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R:\Sitio CES\6. BASES DE DATOS\"/>
    </mc:Choice>
  </mc:AlternateContent>
  <xr:revisionPtr revIDLastSave="0" documentId="13_ncr:1_{8A7AD2B9-F732-4AB8-8136-0443B66BFC99}" xr6:coauthVersionLast="47" xr6:coauthVersionMax="47" xr10:uidLastSave="{00000000-0000-0000-0000-000000000000}"/>
  <bookViews>
    <workbookView xWindow="-120" yWindow="-120" windowWidth="29040" windowHeight="15720" xr2:uid="{1E4A2D94-85F6-4138-AC76-31715159E2CC}"/>
  </bookViews>
  <sheets>
    <sheet name="INDICE" sheetId="53" r:id="rId1"/>
    <sheet name="1.1" sheetId="55" r:id="rId2"/>
    <sheet name="1.2" sheetId="136" r:id="rId3"/>
    <sheet name="1.3" sheetId="64" r:id="rId4"/>
    <sheet name="1.4" sheetId="65" r:id="rId5"/>
    <sheet name="1.5" sheetId="116" r:id="rId6"/>
    <sheet name="1.6" sheetId="106" r:id="rId7"/>
    <sheet name="1.7" sheetId="126" r:id="rId8"/>
    <sheet name="2.1" sheetId="14" r:id="rId9"/>
    <sheet name="2.2" sheetId="41" r:id="rId10"/>
    <sheet name="2.3" sheetId="139" r:id="rId11"/>
    <sheet name="2.4" sheetId="143" r:id="rId12"/>
    <sheet name="2.5" sheetId="152" r:id="rId13"/>
    <sheet name="2.5.a" sheetId="122" r:id="rId14"/>
    <sheet name="2.5.b" sheetId="123" r:id="rId15"/>
    <sheet name="2.5.c" sheetId="151" r:id="rId16"/>
    <sheet name="2.6" sheetId="134" r:id="rId17"/>
    <sheet name="2.7" sheetId="135" r:id="rId18"/>
    <sheet name="2.8" sheetId="141" r:id="rId19"/>
    <sheet name="2.9" sheetId="95" r:id="rId20"/>
    <sheet name="2.10" sheetId="105" r:id="rId21"/>
    <sheet name="3.1" sheetId="30" r:id="rId22"/>
    <sheet name="3.2" sheetId="68" r:id="rId23"/>
    <sheet name="3.3" sheetId="144" r:id="rId24"/>
    <sheet name="3.4" sheetId="20" r:id="rId25"/>
    <sheet name="3.5" sheetId="128" r:id="rId26"/>
    <sheet name="3.6" sheetId="24" r:id="rId27"/>
    <sheet name="3.7" sheetId="114" r:id="rId28"/>
    <sheet name="3.8" sheetId="78" r:id="rId29"/>
    <sheet name="3.9" sheetId="91" r:id="rId30"/>
    <sheet name="3.10" sheetId="117" r:id="rId31"/>
    <sheet name="3.11" sheetId="119" r:id="rId32"/>
    <sheet name="4.1" sheetId="49" r:id="rId33"/>
    <sheet name="4.2" sheetId="45" r:id="rId34"/>
    <sheet name="4.3" sheetId="3" r:id="rId35"/>
    <sheet name="4.4" sheetId="1" r:id="rId36"/>
    <sheet name="4.5" sheetId="76" r:id="rId37"/>
    <sheet name="4.6" sheetId="132" r:id="rId38"/>
    <sheet name="4.7" sheetId="137" r:id="rId39"/>
    <sheet name="5.1" sheetId="17" r:id="rId40"/>
    <sheet name="5.2" sheetId="127" r:id="rId41"/>
    <sheet name="5.3" sheetId="147" r:id="rId42"/>
    <sheet name="5.4" sheetId="4" r:id="rId43"/>
    <sheet name="6.1" sheetId="38" r:id="rId44"/>
    <sheet name="6.2" sheetId="51" r:id="rId45"/>
    <sheet name="6.2.a" sheetId="121" r:id="rId46"/>
    <sheet name="6.3" sheetId="154" r:id="rId47"/>
    <sheet name="6.4" sheetId="149" r:id="rId48"/>
    <sheet name="6.5" sheetId="150" r:id="rId49"/>
    <sheet name="6.6" sheetId="70" r:id="rId50"/>
    <sheet name="6.7" sheetId="153" r:id="rId51"/>
    <sheet name="7.1" sheetId="11" r:id="rId52"/>
    <sheet name="7.2" sheetId="56" r:id="rId53"/>
    <sheet name="7.3" sheetId="89" r:id="rId54"/>
    <sheet name="7.4" sheetId="88" r:id="rId55"/>
    <sheet name="8.1" sheetId="108" r:id="rId56"/>
    <sheet name="8.2" sheetId="130" r:id="rId57"/>
    <sheet name="8.3" sheetId="112" r:id="rId58"/>
    <sheet name="8.4" sheetId="111" r:id="rId59"/>
    <sheet name="8.5" sheetId="59" r:id="rId60"/>
    <sheet name="8.6" sheetId="27" r:id="rId61"/>
    <sheet name="8.7" sheetId="107" r:id="rId62"/>
    <sheet name="8.8" sheetId="69" r:id="rId63"/>
    <sheet name="8.9" sheetId="71" r:id="rId64"/>
    <sheet name="8.10" sheetId="62" r:id="rId65"/>
    <sheet name="8.11" sheetId="142" r:id="rId66"/>
    <sheet name="9.1" sheetId="52" r:id="rId67"/>
    <sheet name="9.2" sheetId="46" r:id="rId68"/>
  </sheets>
  <definedNames>
    <definedName name="adfsd" localSheetId="25">#REF!</definedName>
    <definedName name="adfsd" localSheetId="37">#REF!</definedName>
    <definedName name="adfsd">#REF!</definedName>
    <definedName name="adsf" localSheetId="25">#REF!</definedName>
    <definedName name="adsf" localSheetId="37">#REF!</definedName>
    <definedName name="adsf">#REF!</definedName>
    <definedName name="AJESTA" localSheetId="5">#REF!</definedName>
    <definedName name="AJESTA" localSheetId="6">#REF!</definedName>
    <definedName name="AJESTA" localSheetId="30">#REF!</definedName>
    <definedName name="AJESTA" localSheetId="23">#REF!</definedName>
    <definedName name="AJESTA" localSheetId="37">#REF!</definedName>
    <definedName name="AJESTA" localSheetId="55">#REF!</definedName>
    <definedName name="AJESTA" localSheetId="65">#REF!</definedName>
    <definedName name="AJESTA" localSheetId="61">#REF!</definedName>
    <definedName name="AJESTA">#REF!</definedName>
    <definedName name="ALFA" localSheetId="5">#REF!</definedName>
    <definedName name="ALFA" localSheetId="6">#REF!</definedName>
    <definedName name="ALFA" localSheetId="30">#REF!</definedName>
    <definedName name="ALFA" localSheetId="23">#REF!</definedName>
    <definedName name="ALFA" localSheetId="37">#REF!</definedName>
    <definedName name="ALFA" localSheetId="55">#REF!</definedName>
    <definedName name="ALFA" localSheetId="65">#REF!</definedName>
    <definedName name="ALFA" localSheetId="61">#REF!</definedName>
    <definedName name="ALFA">#REF!</definedName>
    <definedName name="_xlnm.Print_Area" localSheetId="62">'8.8'!$A$1:$K$157</definedName>
    <definedName name="_xlnm.Print_Area" localSheetId="63">'8.9'!$A$1:$F$361</definedName>
    <definedName name="CEMENTO" localSheetId="5">#REF!</definedName>
    <definedName name="CEMENTO" localSheetId="6">#REF!</definedName>
    <definedName name="CEMENTO" localSheetId="14">#REF!</definedName>
    <definedName name="CEMENTO" localSheetId="30">#REF!</definedName>
    <definedName name="CEMENTO" localSheetId="23">#REF!</definedName>
    <definedName name="CEMENTO" localSheetId="37">#REF!</definedName>
    <definedName name="CEMENTO" localSheetId="55">#REF!</definedName>
    <definedName name="CEMENTO" localSheetId="65">#REF!</definedName>
    <definedName name="CEMENTO" localSheetId="61">#REF!</definedName>
    <definedName name="CEMENTO">#REF!</definedName>
    <definedName name="CICESP" localSheetId="5">#REF!</definedName>
    <definedName name="CICESP" localSheetId="6">#REF!</definedName>
    <definedName name="CICESP" localSheetId="30">#REF!</definedName>
    <definedName name="CICESP" localSheetId="23">#REF!</definedName>
    <definedName name="CICESP" localSheetId="37">#REF!</definedName>
    <definedName name="CICESP" localSheetId="55">#REF!</definedName>
    <definedName name="CICESP" localSheetId="65">#REF!</definedName>
    <definedName name="CICESP" localSheetId="61">#REF!</definedName>
    <definedName name="CICESP">#REF!</definedName>
    <definedName name="CO" localSheetId="5">#REF!</definedName>
    <definedName name="CO" localSheetId="6">#REF!</definedName>
    <definedName name="CO" localSheetId="14">#REF!</definedName>
    <definedName name="CO" localSheetId="30">#REF!</definedName>
    <definedName name="CO" localSheetId="23">#REF!</definedName>
    <definedName name="CO" localSheetId="25">#REF!</definedName>
    <definedName name="CO" localSheetId="37">#REF!</definedName>
    <definedName name="CO" localSheetId="55">#REF!</definedName>
    <definedName name="CO" localSheetId="65">#REF!</definedName>
    <definedName name="CO" localSheetId="61">#REF!</definedName>
    <definedName name="CO">#REF!</definedName>
    <definedName name="COMB" localSheetId="5">#REF!</definedName>
    <definedName name="COMB" localSheetId="6">#REF!</definedName>
    <definedName name="COMB" localSheetId="30">#REF!</definedName>
    <definedName name="COMB" localSheetId="23">#REF!</definedName>
    <definedName name="COMB" localSheetId="37">#REF!</definedName>
    <definedName name="COMB" localSheetId="55">#REF!</definedName>
    <definedName name="COMB" localSheetId="65">#REF!</definedName>
    <definedName name="COMB" localSheetId="61">#REF!</definedName>
    <definedName name="COMB">#REF!</definedName>
    <definedName name="CONSTRUC" localSheetId="5">#REF!</definedName>
    <definedName name="CONSTRUC" localSheetId="6">#REF!</definedName>
    <definedName name="CONSTRUC" localSheetId="30">#REF!</definedName>
    <definedName name="CONSTRUC" localSheetId="23">#REF!</definedName>
    <definedName name="CONSTRUC" localSheetId="37">#REF!</definedName>
    <definedName name="CONSTRUC" localSheetId="55">#REF!</definedName>
    <definedName name="CONSTRUC" localSheetId="65">#REF!</definedName>
    <definedName name="CONSTRUC" localSheetId="61">#REF!</definedName>
    <definedName name="CONSTRUC">#REF!</definedName>
    <definedName name="DIFTA" localSheetId="5">#REF!</definedName>
    <definedName name="DIFTA" localSheetId="6">#REF!</definedName>
    <definedName name="DIFTA" localSheetId="30">#REF!</definedName>
    <definedName name="DIFTA" localSheetId="23">#REF!</definedName>
    <definedName name="DIFTA" localSheetId="37">#REF!</definedName>
    <definedName name="DIFTA" localSheetId="55">#REF!</definedName>
    <definedName name="DIFTA" localSheetId="65">#REF!</definedName>
    <definedName name="DIFTA" localSheetId="61">#REF!</definedName>
    <definedName name="DIFTA">#REF!</definedName>
    <definedName name="EEI" localSheetId="5">#REF!</definedName>
    <definedName name="EEI" localSheetId="6">#REF!</definedName>
    <definedName name="EEI" localSheetId="30">#REF!</definedName>
    <definedName name="EEI" localSheetId="23">#REF!</definedName>
    <definedName name="EEI" localSheetId="37">#REF!</definedName>
    <definedName name="EEI" localSheetId="55">#REF!</definedName>
    <definedName name="EEI" localSheetId="65">#REF!</definedName>
    <definedName name="EEI" localSheetId="61">#REF!</definedName>
    <definedName name="EEI">#REF!</definedName>
    <definedName name="EMPLEO" localSheetId="5">#REF!</definedName>
    <definedName name="EMPLEO" localSheetId="6">#REF!</definedName>
    <definedName name="EMPLEO" localSheetId="30">#REF!</definedName>
    <definedName name="EMPLEO" localSheetId="23">#REF!</definedName>
    <definedName name="EMPLEO" localSheetId="37">#REF!</definedName>
    <definedName name="EMPLEO" localSheetId="55">#REF!</definedName>
    <definedName name="EMPLEO" localSheetId="65">#REF!</definedName>
    <definedName name="EMPLEO" localSheetId="61">#REF!</definedName>
    <definedName name="EMPLEO">#REF!</definedName>
    <definedName name="EPH" localSheetId="5">#REF!</definedName>
    <definedName name="EPH" localSheetId="6">#REF!</definedName>
    <definedName name="EPH" localSheetId="30">#REF!</definedName>
    <definedName name="EPH" localSheetId="23">#REF!</definedName>
    <definedName name="EPH" localSheetId="37">#REF!</definedName>
    <definedName name="EPH" localSheetId="55">#REF!</definedName>
    <definedName name="EPH" localSheetId="65">#REF!</definedName>
    <definedName name="EPH" localSheetId="61">#REF!</definedName>
    <definedName name="EPH">#REF!</definedName>
    <definedName name="EPH_POB" localSheetId="5">#REF!</definedName>
    <definedName name="EPH_POB" localSheetId="6">#REF!</definedName>
    <definedName name="EPH_POB" localSheetId="30">#REF!</definedName>
    <definedName name="EPH_POB" localSheetId="23">#REF!</definedName>
    <definedName name="EPH_POB" localSheetId="37">#REF!</definedName>
    <definedName name="EPH_POB" localSheetId="55">#REF!</definedName>
    <definedName name="EPH_POB" localSheetId="65">#REF!</definedName>
    <definedName name="EPH_POB" localSheetId="61">#REF!</definedName>
    <definedName name="EPH_POB">#REF!</definedName>
    <definedName name="FAE_BOVINOS" localSheetId="5">#REF!</definedName>
    <definedName name="FAE_BOVINOS" localSheetId="6">#REF!</definedName>
    <definedName name="FAE_BOVINOS" localSheetId="30">#REF!</definedName>
    <definedName name="FAE_BOVINOS" localSheetId="23">#REF!</definedName>
    <definedName name="FAE_BOVINOS" localSheetId="37">#REF!</definedName>
    <definedName name="FAE_BOVINOS" localSheetId="55">#REF!</definedName>
    <definedName name="FAE_BOVINOS" localSheetId="65">#REF!</definedName>
    <definedName name="FAE_BOVINOS" localSheetId="61">#REF!</definedName>
    <definedName name="FAE_BOVINOS">#REF!</definedName>
    <definedName name="GAS" localSheetId="5">#REF!</definedName>
    <definedName name="GAS" localSheetId="6">#REF!</definedName>
    <definedName name="GAS" localSheetId="30">#REF!</definedName>
    <definedName name="GAS" localSheetId="23">#REF!</definedName>
    <definedName name="GAS" localSheetId="37">#REF!</definedName>
    <definedName name="GAS" localSheetId="55">#REF!</definedName>
    <definedName name="GAS" localSheetId="65">#REF!</definedName>
    <definedName name="GAS" localSheetId="61">#REF!</definedName>
    <definedName name="GAS">#REF!</definedName>
    <definedName name="ICC_FM" localSheetId="5">#REF!</definedName>
    <definedName name="ICC_FM" localSheetId="6">#REF!</definedName>
    <definedName name="ICC_FM" localSheetId="30">#REF!</definedName>
    <definedName name="ICC_FM" localSheetId="23">#REF!</definedName>
    <definedName name="ICC_FM" localSheetId="37">#REF!</definedName>
    <definedName name="ICC_FM" localSheetId="55">#REF!</definedName>
    <definedName name="ICC_FM" localSheetId="65">#REF!</definedName>
    <definedName name="ICC_FM" localSheetId="61">#REF!</definedName>
    <definedName name="ICC_FM">#REF!</definedName>
    <definedName name="IDL_UTDT" localSheetId="5">#REF!</definedName>
    <definedName name="IDL_UTDT" localSheetId="6">#REF!</definedName>
    <definedName name="IDL_UTDT" localSheetId="30">#REF!</definedName>
    <definedName name="IDL_UTDT" localSheetId="23">#REF!</definedName>
    <definedName name="IDL_UTDT" localSheetId="37">#REF!</definedName>
    <definedName name="IDL_UTDT" localSheetId="55">#REF!</definedName>
    <definedName name="IDL_UTDT" localSheetId="65">#REF!</definedName>
    <definedName name="IDL_UTDT" localSheetId="61">#REF!</definedName>
    <definedName name="IDL_UTDT">#REF!</definedName>
    <definedName name="IND_ACEITERA" localSheetId="5">#REF!</definedName>
    <definedName name="IND_ACEITERA" localSheetId="6">#REF!</definedName>
    <definedName name="IND_ACEITERA" localSheetId="30">#REF!</definedName>
    <definedName name="IND_ACEITERA" localSheetId="23">#REF!</definedName>
    <definedName name="IND_ACEITERA" localSheetId="37">#REF!</definedName>
    <definedName name="IND_ACEITERA" localSheetId="55">#REF!</definedName>
    <definedName name="IND_ACEITERA" localSheetId="65">#REF!</definedName>
    <definedName name="IND_ACEITERA" localSheetId="61">#REF!</definedName>
    <definedName name="IND_ACEITERA">#REF!</definedName>
    <definedName name="IPC_GBA" localSheetId="5">#REF!</definedName>
    <definedName name="IPC_GBA" localSheetId="6">#REF!</definedName>
    <definedName name="IPC_GBA" localSheetId="30">#REF!</definedName>
    <definedName name="IPC_GBA" localSheetId="23">#REF!</definedName>
    <definedName name="IPC_GBA" localSheetId="37">#REF!</definedName>
    <definedName name="IPC_GBA" localSheetId="55">#REF!</definedName>
    <definedName name="IPC_GBA" localSheetId="65">#REF!</definedName>
    <definedName name="IPC_GBA" localSheetId="61">#REF!</definedName>
    <definedName name="IPC_GBA">#REF!</definedName>
    <definedName name="IPC_NAC" localSheetId="5">#REF!</definedName>
    <definedName name="IPC_NAC" localSheetId="6">#REF!</definedName>
    <definedName name="IPC_NAC" localSheetId="30">#REF!</definedName>
    <definedName name="IPC_NAC" localSheetId="23">#REF!</definedName>
    <definedName name="IPC_NAC" localSheetId="37">#REF!</definedName>
    <definedName name="IPC_NAC" localSheetId="55">#REF!</definedName>
    <definedName name="IPC_NAC" localSheetId="65">#REF!</definedName>
    <definedName name="IPC_NAC" localSheetId="61">#REF!</definedName>
    <definedName name="IPC_NAC">#REF!</definedName>
    <definedName name="IPC_SFE" localSheetId="5">#REF!</definedName>
    <definedName name="IPC_SFE" localSheetId="6">#REF!</definedName>
    <definedName name="IPC_SFE" localSheetId="30">#REF!</definedName>
    <definedName name="IPC_SFE" localSheetId="23">#REF!</definedName>
    <definedName name="IPC_SFE" localSheetId="37">#REF!</definedName>
    <definedName name="IPC_SFE" localSheetId="55">#REF!</definedName>
    <definedName name="IPC_SFE" localSheetId="65">#REF!</definedName>
    <definedName name="IPC_SFE" localSheetId="61">#REF!</definedName>
    <definedName name="IPC_SFE">#REF!</definedName>
    <definedName name="IPM" localSheetId="5">#REF!</definedName>
    <definedName name="IPM" localSheetId="6">#REF!</definedName>
    <definedName name="IPM" localSheetId="30">#REF!</definedName>
    <definedName name="IPM" localSheetId="23">#REF!</definedName>
    <definedName name="IPM" localSheetId="37">#REF!</definedName>
    <definedName name="IPM" localSheetId="55">#REF!</definedName>
    <definedName name="IPM" localSheetId="65">#REF!</definedName>
    <definedName name="IPM" localSheetId="61">#REF!</definedName>
    <definedName name="IPM">#REF!</definedName>
    <definedName name="IPMPE" localSheetId="5">#REF!</definedName>
    <definedName name="IPMPE" localSheetId="6">#REF!</definedName>
    <definedName name="IPMPE" localSheetId="30">#REF!</definedName>
    <definedName name="IPMPE" localSheetId="23">#REF!</definedName>
    <definedName name="IPMPE" localSheetId="37">#REF!</definedName>
    <definedName name="IPMPE" localSheetId="55">#REF!</definedName>
    <definedName name="IPMPE" localSheetId="65">#REF!</definedName>
    <definedName name="IPMPE" localSheetId="61">#REF!</definedName>
    <definedName name="IPMPE">#REF!</definedName>
    <definedName name="IRR" localSheetId="5">#REF!</definedName>
    <definedName name="IRR" localSheetId="6">#REF!</definedName>
    <definedName name="IRR" localSheetId="30">#REF!</definedName>
    <definedName name="IRR" localSheetId="23">#REF!</definedName>
    <definedName name="IRR" localSheetId="37">#REF!</definedName>
    <definedName name="IRR" localSheetId="55">#REF!</definedName>
    <definedName name="IRR" localSheetId="65">#REF!</definedName>
    <definedName name="IRR" localSheetId="61">#REF!</definedName>
    <definedName name="IRR">#REF!</definedName>
    <definedName name="LACTEA" localSheetId="5">#REF!</definedName>
    <definedName name="LACTEA" localSheetId="6">#REF!</definedName>
    <definedName name="LACTEA" localSheetId="30">#REF!</definedName>
    <definedName name="LACTEA" localSheetId="23">#REF!</definedName>
    <definedName name="LACTEA" localSheetId="37">#REF!</definedName>
    <definedName name="LACTEA" localSheetId="55">#REF!</definedName>
    <definedName name="LACTEA" localSheetId="65">#REF!</definedName>
    <definedName name="LACTEA" localSheetId="61">#REF!</definedName>
    <definedName name="LACTEA">#REF!</definedName>
    <definedName name="MAQ_AGR" localSheetId="5">#REF!</definedName>
    <definedName name="MAQ_AGR" localSheetId="6">#REF!</definedName>
    <definedName name="MAQ_AGR" localSheetId="30">#REF!</definedName>
    <definedName name="MAQ_AGR" localSheetId="23">#REF!</definedName>
    <definedName name="MAQ_AGR" localSheetId="37">#REF!</definedName>
    <definedName name="MAQ_AGR" localSheetId="55">#REF!</definedName>
    <definedName name="MAQ_AGR" localSheetId="65">#REF!</definedName>
    <definedName name="MAQ_AGR" localSheetId="61">#REF!</definedName>
    <definedName name="MAQ_AGR">#REF!</definedName>
    <definedName name="NA" localSheetId="5">#REF!</definedName>
    <definedName name="NA" localSheetId="6">#REF!</definedName>
    <definedName name="NA" localSheetId="30">#REF!</definedName>
    <definedName name="NA" localSheetId="23">#REF!</definedName>
    <definedName name="NA" localSheetId="25">#REF!</definedName>
    <definedName name="NA" localSheetId="32">#REF!</definedName>
    <definedName name="NA" localSheetId="37">#REF!</definedName>
    <definedName name="NA" localSheetId="51">'7.1'!$A$4</definedName>
    <definedName name="NA" localSheetId="52">'7.2'!$A$4</definedName>
    <definedName name="NA" localSheetId="53">'7.3'!$A$4</definedName>
    <definedName name="NA" localSheetId="54">'7.4'!$A$4</definedName>
    <definedName name="NA" localSheetId="55">#REF!</definedName>
    <definedName name="NA" localSheetId="65">#REF!</definedName>
    <definedName name="NA" localSheetId="61">#REF!</definedName>
    <definedName name="NA">#REF!</definedName>
    <definedName name="OLE_LINK1" localSheetId="3">'1.3'!#REF!</definedName>
    <definedName name="OLE_LINK2" localSheetId="3">'1.3'!$D$214</definedName>
    <definedName name="PATENTES" localSheetId="5">#REF!</definedName>
    <definedName name="PATENTES" localSheetId="6">#REF!</definedName>
    <definedName name="PATENTES" localSheetId="30">#REF!</definedName>
    <definedName name="PATENTES" localSheetId="23">#REF!</definedName>
    <definedName name="PATENTES" localSheetId="25">#REF!</definedName>
    <definedName name="PATENTES" localSheetId="37">#REF!</definedName>
    <definedName name="PATENTES" localSheetId="55">#REF!</definedName>
    <definedName name="PATENTES" localSheetId="65">#REF!</definedName>
    <definedName name="PATENTES" localSheetId="61">#REF!</definedName>
    <definedName name="PATENTES">#REF!</definedName>
    <definedName name="PBG" localSheetId="5">#REF!</definedName>
    <definedName name="PBG" localSheetId="6">#REF!</definedName>
    <definedName name="PBG" localSheetId="30">#REF!</definedName>
    <definedName name="PBG" localSheetId="23">#REF!</definedName>
    <definedName name="PBG" localSheetId="25">#REF!</definedName>
    <definedName name="PBG" localSheetId="37">#REF!</definedName>
    <definedName name="PBG" localSheetId="55">#REF!</definedName>
    <definedName name="PBG" localSheetId="65">#REF!</definedName>
    <definedName name="PBG" localSheetId="61">#REF!</definedName>
    <definedName name="PBG">#REF!</definedName>
    <definedName name="PGCLAS" localSheetId="5">#REF!</definedName>
    <definedName name="PGCLAS" localSheetId="6">#REF!</definedName>
    <definedName name="PGCLAS" localSheetId="30">#REF!</definedName>
    <definedName name="PGCLAS" localSheetId="23">#REF!</definedName>
    <definedName name="PGCLAS" localSheetId="37">#REF!</definedName>
    <definedName name="PGCLAS" localSheetId="55">#REF!</definedName>
    <definedName name="PGCLAS" localSheetId="65">#REF!</definedName>
    <definedName name="PGCLAS" localSheetId="61">#REF!</definedName>
    <definedName name="PGCLAS">#REF!</definedName>
    <definedName name="PGCREC" localSheetId="5">#REF!</definedName>
    <definedName name="PGCREC" localSheetId="6">#REF!</definedName>
    <definedName name="PGCREC" localSheetId="30">#REF!</definedName>
    <definedName name="PGCREC" localSheetId="23">#REF!</definedName>
    <definedName name="PGCREC" localSheetId="37">#REF!</definedName>
    <definedName name="PGCREC" localSheetId="55">#REF!</definedName>
    <definedName name="PGCREC" localSheetId="65">#REF!</definedName>
    <definedName name="PGCREC" localSheetId="61">#REF!</definedName>
    <definedName name="PGCREC">#REF!</definedName>
    <definedName name="REC" localSheetId="5">#REF!</definedName>
    <definedName name="REC" localSheetId="6">#REF!</definedName>
    <definedName name="REC" localSheetId="30">#REF!</definedName>
    <definedName name="REC" localSheetId="23">#REF!</definedName>
    <definedName name="REC" localSheetId="37">#REF!</definedName>
    <definedName name="REC" localSheetId="55">#REF!</definedName>
    <definedName name="REC" localSheetId="65">#REF!</definedName>
    <definedName name="REC" localSheetId="61">#REF!</definedName>
    <definedName name="REC">#REF!</definedName>
    <definedName name="sct" localSheetId="5">#REF!</definedName>
    <definedName name="sct" localSheetId="6">#REF!</definedName>
    <definedName name="sct" localSheetId="30">#REF!</definedName>
    <definedName name="sct" localSheetId="23">#REF!</definedName>
    <definedName name="sct" localSheetId="37">#REF!</definedName>
    <definedName name="sct" localSheetId="55">#REF!</definedName>
    <definedName name="sct" localSheetId="65">#REF!</definedName>
    <definedName name="sct" localSheetId="61">#REF!</definedName>
    <definedName name="sct">#REF!</definedName>
    <definedName name="T" localSheetId="5">#REF!</definedName>
    <definedName name="T" localSheetId="6">#REF!</definedName>
    <definedName name="T" localSheetId="14">#REF!</definedName>
    <definedName name="T" localSheetId="30">#REF!</definedName>
    <definedName name="T" localSheetId="23">#REF!</definedName>
    <definedName name="T" localSheetId="25">#REF!</definedName>
    <definedName name="T" localSheetId="37">#REF!</definedName>
    <definedName name="T" localSheetId="55">#REF!</definedName>
    <definedName name="T" localSheetId="65">#REF!</definedName>
    <definedName name="T" localSheetId="61">#REF!</definedName>
    <definedName name="T">#REF!</definedName>
    <definedName name="Trigo" localSheetId="5">#REF!</definedName>
    <definedName name="Trigo" localSheetId="6">#REF!</definedName>
    <definedName name="Trigo" localSheetId="30">#REF!</definedName>
    <definedName name="Trigo" localSheetId="23">#REF!</definedName>
    <definedName name="Trigo" localSheetId="32">#REF!</definedName>
    <definedName name="Trigo" localSheetId="37">#REF!</definedName>
    <definedName name="Trigo" localSheetId="55">#REF!</definedName>
    <definedName name="Trigo" localSheetId="65">#REF!</definedName>
    <definedName name="Trigo" localSheetId="61">#REF!</definedName>
    <definedName name="Trigo">#REF!</definedName>
    <definedName name="VARCRI" localSheetId="5">#REF!</definedName>
    <definedName name="VARCRI" localSheetId="6">#REF!</definedName>
    <definedName name="VARCRI" localSheetId="30">#REF!</definedName>
    <definedName name="VARCRI" localSheetId="23">#REF!</definedName>
    <definedName name="VARCRI" localSheetId="37">#REF!</definedName>
    <definedName name="VARCRI" localSheetId="55">#REF!</definedName>
    <definedName name="VARCRI" localSheetId="65">#REF!</definedName>
    <definedName name="VARCRI" localSheetId="61">#REF!</definedName>
    <definedName name="VARCRI">#REF!</definedName>
    <definedName name="VARTA" localSheetId="5">#REF!</definedName>
    <definedName name="VARTA" localSheetId="6">#REF!</definedName>
    <definedName name="VARTA" localSheetId="30">#REF!</definedName>
    <definedName name="VARTA" localSheetId="23">#REF!</definedName>
    <definedName name="VARTA" localSheetId="37">#REF!</definedName>
    <definedName name="VARTA" localSheetId="55">#REF!</definedName>
    <definedName name="VARTA" localSheetId="65">#REF!</definedName>
    <definedName name="VARTA" localSheetId="61">#REF!</definedName>
    <definedName name="VARTA">#REF!</definedName>
    <definedName name="VENTAS" localSheetId="5">#REF!</definedName>
    <definedName name="VENTAS" localSheetId="6">#REF!</definedName>
    <definedName name="VENTAS" localSheetId="30">#REF!</definedName>
    <definedName name="VENTAS" localSheetId="23">#REF!</definedName>
    <definedName name="VENTAS" localSheetId="25">#REF!</definedName>
    <definedName name="VENTAS" localSheetId="37">#REF!</definedName>
    <definedName name="VENTAS" localSheetId="55">#REF!</definedName>
    <definedName name="VENTAS" localSheetId="65">#REF!</definedName>
    <definedName name="VENTAS" localSheetId="61">#REF!</definedName>
    <definedName name="VENTAS">#REF!</definedName>
    <definedName name="XCER" localSheetId="5">#REF!</definedName>
    <definedName name="XCER" localSheetId="6">#REF!</definedName>
    <definedName name="XCER" localSheetId="30">#REF!</definedName>
    <definedName name="XCER" localSheetId="23">#REF!</definedName>
    <definedName name="XCER" localSheetId="25">#REF!</definedName>
    <definedName name="XCER" localSheetId="37">#REF!</definedName>
    <definedName name="XCER" localSheetId="55">#REF!</definedName>
    <definedName name="XCER" localSheetId="65">#REF!</definedName>
    <definedName name="XCER" localSheetId="61">#REF!</definedName>
    <definedName name="XCE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72" i="53" l="1"/>
  <c r="I477" i="89"/>
  <c r="G477" i="89"/>
  <c r="I476" i="89"/>
  <c r="G476" i="89"/>
  <c r="I475" i="89"/>
  <c r="G475" i="89"/>
  <c r="I474" i="89"/>
  <c r="G474" i="89"/>
  <c r="I473" i="89"/>
  <c r="G473" i="89"/>
  <c r="I472" i="89"/>
  <c r="G472" i="89"/>
  <c r="I471" i="89"/>
  <c r="G471" i="89"/>
  <c r="I470" i="89"/>
  <c r="G470" i="89"/>
  <c r="I469" i="89"/>
  <c r="G469" i="89"/>
  <c r="I468" i="89"/>
  <c r="G468" i="89"/>
  <c r="I467" i="89"/>
  <c r="G467" i="89"/>
  <c r="I466" i="89"/>
  <c r="G466" i="89"/>
  <c r="I465" i="89"/>
  <c r="G465" i="89"/>
  <c r="I464" i="89"/>
  <c r="G464" i="89"/>
  <c r="I463" i="89"/>
  <c r="G463" i="89"/>
  <c r="I462" i="89"/>
  <c r="G462" i="89"/>
  <c r="I461" i="89"/>
  <c r="G461" i="89"/>
  <c r="I460" i="89"/>
  <c r="G460" i="89"/>
  <c r="I459" i="89"/>
  <c r="G459" i="89"/>
  <c r="I458" i="89"/>
  <c r="G458" i="89"/>
  <c r="I457" i="89"/>
  <c r="G457" i="89"/>
  <c r="I456" i="89"/>
  <c r="G456" i="89"/>
  <c r="I455" i="89"/>
  <c r="G455" i="89"/>
  <c r="I454" i="89"/>
  <c r="G454" i="89"/>
  <c r="I453" i="89"/>
  <c r="G453" i="89"/>
  <c r="I452" i="89"/>
  <c r="G452" i="89"/>
  <c r="I451" i="89"/>
  <c r="G451" i="89"/>
  <c r="I450" i="89"/>
  <c r="G450" i="89"/>
  <c r="I449" i="89"/>
  <c r="G449" i="89"/>
  <c r="I448" i="89"/>
  <c r="G448" i="89"/>
  <c r="I447" i="89"/>
  <c r="G447" i="89"/>
  <c r="I446" i="89"/>
  <c r="G446" i="89"/>
  <c r="I445" i="89"/>
  <c r="G445" i="89"/>
  <c r="I444" i="89"/>
  <c r="G444" i="89"/>
  <c r="I443" i="89"/>
  <c r="G443" i="89"/>
  <c r="I442" i="89"/>
  <c r="G442" i="89"/>
  <c r="I441" i="89"/>
  <c r="G441" i="89"/>
  <c r="I440" i="89"/>
  <c r="G440" i="89"/>
  <c r="I439" i="89"/>
  <c r="G439" i="89"/>
  <c r="I438" i="89"/>
  <c r="G438" i="89"/>
  <c r="I437" i="89"/>
  <c r="G437" i="89"/>
  <c r="I436" i="89"/>
  <c r="G436" i="89"/>
  <c r="I435" i="89"/>
  <c r="G435" i="89"/>
  <c r="I434" i="89"/>
  <c r="G434" i="89"/>
  <c r="I433" i="89"/>
  <c r="G433" i="89"/>
  <c r="I432" i="89"/>
  <c r="G432" i="89"/>
  <c r="I431" i="89"/>
  <c r="G431" i="89"/>
  <c r="I430" i="89"/>
  <c r="G430" i="89"/>
  <c r="I429" i="89"/>
  <c r="G429" i="89"/>
  <c r="I428" i="89"/>
  <c r="G428" i="89"/>
  <c r="I427" i="89"/>
  <c r="G427" i="89"/>
  <c r="I426" i="89"/>
  <c r="G426" i="89"/>
  <c r="I425" i="89"/>
  <c r="G425" i="89"/>
  <c r="I424" i="89"/>
  <c r="G424" i="89"/>
  <c r="I423" i="89"/>
  <c r="G423" i="89"/>
  <c r="I422" i="89"/>
  <c r="G422" i="89"/>
  <c r="I421" i="89"/>
  <c r="G421" i="89"/>
  <c r="I420" i="89"/>
  <c r="G420" i="89"/>
  <c r="I419" i="89"/>
  <c r="G419" i="89"/>
  <c r="I418" i="89"/>
  <c r="G418" i="89"/>
  <c r="I417" i="89"/>
  <c r="G417" i="89"/>
  <c r="I416" i="89"/>
  <c r="G416" i="89"/>
  <c r="I415" i="89"/>
  <c r="G415" i="89"/>
  <c r="I414" i="89"/>
  <c r="G414" i="89"/>
  <c r="I413" i="89"/>
  <c r="G413" i="89"/>
  <c r="I412" i="89"/>
  <c r="G412" i="89"/>
  <c r="I411" i="89"/>
  <c r="G411" i="89"/>
  <c r="I410" i="89"/>
  <c r="G410" i="89"/>
  <c r="I409" i="89"/>
  <c r="G409" i="89"/>
  <c r="I408" i="89"/>
  <c r="G408" i="89"/>
  <c r="I407" i="89"/>
  <c r="G407" i="89"/>
  <c r="I406" i="89"/>
  <c r="G406" i="89"/>
  <c r="I405" i="89"/>
  <c r="G405" i="89"/>
  <c r="I404" i="89"/>
  <c r="G404" i="89"/>
  <c r="I403" i="89"/>
  <c r="G403" i="89"/>
  <c r="I402" i="89"/>
  <c r="G402" i="89"/>
  <c r="I401" i="89"/>
  <c r="G401" i="89"/>
  <c r="I400" i="89"/>
  <c r="G400" i="89"/>
  <c r="I399" i="89"/>
  <c r="G399" i="89"/>
  <c r="I398" i="89"/>
  <c r="G398" i="89"/>
  <c r="I397" i="89"/>
  <c r="G397" i="89"/>
  <c r="I396" i="89"/>
  <c r="G396" i="89"/>
  <c r="I395" i="89"/>
  <c r="G395" i="89"/>
  <c r="I394" i="89"/>
  <c r="G394" i="89"/>
  <c r="I393" i="89"/>
  <c r="G393" i="89"/>
  <c r="I392" i="89"/>
  <c r="G392" i="89"/>
  <c r="I391" i="89"/>
  <c r="G391" i="89"/>
  <c r="I390" i="89"/>
  <c r="G390" i="89"/>
  <c r="I389" i="89"/>
  <c r="G389" i="89"/>
  <c r="I388" i="89"/>
  <c r="G388" i="89"/>
  <c r="I387" i="89"/>
  <c r="G387" i="89"/>
  <c r="I386" i="89"/>
  <c r="G386" i="89"/>
  <c r="I385" i="89"/>
  <c r="G385" i="89"/>
  <c r="I384" i="89"/>
  <c r="G384" i="89"/>
  <c r="I383" i="89"/>
  <c r="G383" i="89"/>
  <c r="I382" i="89"/>
  <c r="G382" i="89"/>
  <c r="I381" i="89"/>
  <c r="G381" i="89"/>
  <c r="I380" i="89"/>
  <c r="G380" i="89"/>
  <c r="I379" i="89"/>
  <c r="G379" i="89"/>
  <c r="I378" i="89"/>
  <c r="G378" i="89"/>
  <c r="I377" i="89"/>
  <c r="G377" i="89"/>
  <c r="I376" i="89"/>
  <c r="G376" i="89"/>
  <c r="I375" i="89"/>
  <c r="G375" i="89"/>
  <c r="I374" i="89"/>
  <c r="G374" i="89"/>
  <c r="I373" i="89"/>
  <c r="G373" i="89"/>
  <c r="I372" i="89"/>
  <c r="G372" i="89"/>
  <c r="I371" i="89"/>
  <c r="G371" i="89"/>
  <c r="I370" i="89"/>
  <c r="G370" i="89"/>
  <c r="I369" i="89"/>
  <c r="G369" i="89"/>
  <c r="I368" i="89"/>
  <c r="G368" i="89"/>
  <c r="I367" i="89"/>
  <c r="G367" i="89"/>
  <c r="I366" i="89"/>
  <c r="G366" i="89"/>
  <c r="I365" i="89"/>
  <c r="G365" i="89"/>
  <c r="I364" i="89"/>
  <c r="G364" i="89"/>
  <c r="I363" i="89"/>
  <c r="G363" i="89"/>
  <c r="I362" i="89"/>
  <c r="G362" i="89"/>
  <c r="I361" i="89"/>
  <c r="G361" i="89"/>
  <c r="I360" i="89"/>
  <c r="G360" i="89"/>
  <c r="I359" i="89"/>
  <c r="G359" i="89"/>
  <c r="I358" i="89"/>
  <c r="G358" i="89"/>
  <c r="I357" i="89"/>
  <c r="G357" i="89"/>
  <c r="I356" i="89"/>
  <c r="G356" i="89"/>
  <c r="I355" i="89"/>
  <c r="G355" i="89"/>
  <c r="I354" i="89"/>
  <c r="G354" i="89"/>
  <c r="I353" i="89"/>
  <c r="G353" i="89"/>
  <c r="I352" i="89"/>
  <c r="G352" i="89"/>
  <c r="I351" i="89"/>
  <c r="G351" i="89"/>
  <c r="I350" i="89"/>
  <c r="G350" i="89"/>
  <c r="I349" i="89"/>
  <c r="G349" i="89"/>
  <c r="I348" i="89"/>
  <c r="G348" i="89"/>
  <c r="I347" i="89"/>
  <c r="G347" i="89"/>
  <c r="I346" i="89"/>
  <c r="G346" i="89"/>
  <c r="I345" i="89"/>
  <c r="G345" i="89"/>
  <c r="I344" i="89"/>
  <c r="G344" i="89"/>
  <c r="I343" i="89"/>
  <c r="G343" i="89"/>
  <c r="I342" i="89"/>
  <c r="G342" i="89"/>
  <c r="I341" i="89"/>
  <c r="G341" i="89"/>
  <c r="I340" i="89"/>
  <c r="G340" i="89"/>
  <c r="I339" i="89"/>
  <c r="G339" i="89"/>
  <c r="I338" i="89"/>
  <c r="G338" i="89"/>
  <c r="I337" i="89"/>
  <c r="G337" i="89"/>
  <c r="I336" i="89"/>
  <c r="G336" i="89"/>
  <c r="I335" i="89"/>
  <c r="G335" i="89"/>
  <c r="I334" i="89"/>
  <c r="G334" i="89"/>
  <c r="I333" i="89"/>
  <c r="G333" i="89"/>
  <c r="I332" i="89"/>
  <c r="G332" i="89"/>
  <c r="I331" i="89"/>
  <c r="G331" i="89"/>
  <c r="I330" i="89"/>
  <c r="G330" i="89"/>
  <c r="I329" i="89"/>
  <c r="G329" i="89"/>
  <c r="I328" i="89"/>
  <c r="G328" i="89"/>
  <c r="I327" i="89"/>
  <c r="G327" i="89"/>
  <c r="I326" i="89"/>
  <c r="G326" i="89"/>
  <c r="I325" i="89"/>
  <c r="G325" i="89"/>
  <c r="I324" i="89"/>
  <c r="G324" i="89"/>
  <c r="I323" i="89"/>
  <c r="G323" i="89"/>
  <c r="I322" i="89"/>
  <c r="G322" i="89"/>
  <c r="I321" i="89"/>
  <c r="G321" i="89"/>
  <c r="I320" i="89"/>
  <c r="G320" i="89"/>
  <c r="I319" i="89"/>
  <c r="G319" i="89"/>
  <c r="I318" i="89"/>
  <c r="G318" i="89"/>
  <c r="I317" i="89"/>
  <c r="G317" i="89"/>
  <c r="I316" i="89"/>
  <c r="G316" i="89"/>
  <c r="I315" i="89"/>
  <c r="G315" i="89"/>
  <c r="I314" i="89"/>
  <c r="G314" i="89"/>
  <c r="I313" i="89"/>
  <c r="G313" i="89"/>
  <c r="I312" i="89"/>
  <c r="G312" i="89"/>
  <c r="I311" i="89"/>
  <c r="G311" i="89"/>
  <c r="I310" i="89"/>
  <c r="G310" i="89"/>
  <c r="I309" i="89"/>
  <c r="G309" i="89"/>
  <c r="I308" i="89"/>
  <c r="G308" i="89"/>
  <c r="I307" i="89"/>
  <c r="G307" i="89"/>
  <c r="I306" i="89"/>
  <c r="G306" i="89"/>
  <c r="I305" i="89"/>
  <c r="G305" i="89"/>
  <c r="I304" i="89"/>
  <c r="G304" i="89"/>
  <c r="I303" i="89"/>
  <c r="G303" i="89"/>
  <c r="I302" i="89"/>
  <c r="G302" i="89"/>
  <c r="I301" i="89"/>
  <c r="G301" i="89"/>
  <c r="I300" i="89"/>
  <c r="G300" i="89"/>
  <c r="I299" i="89"/>
  <c r="G299" i="89"/>
  <c r="I298" i="89"/>
  <c r="G298" i="89"/>
  <c r="I297" i="89"/>
  <c r="G297" i="89"/>
  <c r="I296" i="89"/>
  <c r="G296" i="89"/>
  <c r="I295" i="89"/>
  <c r="G295" i="89"/>
  <c r="I294" i="89"/>
  <c r="G294" i="89"/>
  <c r="I293" i="89"/>
  <c r="G293" i="89"/>
  <c r="I292" i="89"/>
  <c r="G292" i="89"/>
  <c r="I291" i="89"/>
  <c r="G291" i="89"/>
  <c r="I290" i="89"/>
  <c r="G290" i="89"/>
  <c r="I289" i="89"/>
  <c r="G289" i="89"/>
  <c r="I288" i="89"/>
  <c r="G288" i="89"/>
  <c r="I287" i="89"/>
  <c r="G287" i="89"/>
  <c r="I286" i="89"/>
  <c r="G286" i="89"/>
  <c r="I285" i="89"/>
  <c r="G285" i="89"/>
  <c r="I284" i="89"/>
  <c r="G284" i="89"/>
  <c r="I283" i="89"/>
  <c r="G283" i="89"/>
  <c r="I282" i="89"/>
  <c r="G282" i="89"/>
  <c r="I281" i="89"/>
  <c r="G281" i="89"/>
  <c r="I280" i="89"/>
  <c r="G280" i="89"/>
  <c r="I279" i="89"/>
  <c r="G279" i="89"/>
  <c r="I278" i="89"/>
  <c r="G278" i="89"/>
  <c r="I277" i="89"/>
  <c r="G277" i="89"/>
  <c r="I276" i="89"/>
  <c r="G276" i="89"/>
  <c r="I275" i="89"/>
  <c r="G275" i="89"/>
  <c r="I274" i="89"/>
  <c r="G274" i="89"/>
  <c r="I273" i="89"/>
  <c r="G273" i="89"/>
  <c r="I272" i="89"/>
  <c r="G272" i="89"/>
  <c r="I271" i="89"/>
  <c r="G271" i="89"/>
  <c r="I270" i="89"/>
  <c r="G270" i="89"/>
  <c r="I269" i="89"/>
  <c r="G269" i="89"/>
  <c r="I268" i="89"/>
  <c r="G268" i="89"/>
  <c r="I267" i="89"/>
  <c r="G267" i="89"/>
  <c r="I266" i="89"/>
  <c r="G266" i="89"/>
  <c r="I265" i="89"/>
  <c r="G265" i="89"/>
  <c r="I264" i="89"/>
  <c r="G264" i="89"/>
  <c r="I263" i="89"/>
  <c r="G263" i="89"/>
  <c r="I262" i="89"/>
  <c r="G262" i="89"/>
  <c r="I261" i="89"/>
  <c r="G261" i="89"/>
  <c r="I260" i="89"/>
  <c r="G260" i="89"/>
  <c r="I259" i="89"/>
  <c r="G259" i="89"/>
  <c r="I258" i="89"/>
  <c r="G258" i="89"/>
  <c r="I257" i="89"/>
  <c r="G257" i="89"/>
  <c r="I256" i="89"/>
  <c r="G256" i="89"/>
  <c r="I255" i="89"/>
  <c r="G255" i="89"/>
  <c r="I254" i="89"/>
  <c r="G254" i="89"/>
  <c r="I253" i="89"/>
  <c r="G253" i="89"/>
  <c r="I252" i="89"/>
  <c r="G252" i="89"/>
  <c r="I251" i="89"/>
  <c r="G251" i="89"/>
  <c r="I250" i="89"/>
  <c r="G250" i="89"/>
  <c r="I249" i="89"/>
  <c r="G249" i="89"/>
  <c r="I248" i="89"/>
  <c r="G248" i="89"/>
  <c r="I247" i="89"/>
  <c r="G247" i="89"/>
  <c r="I246" i="89"/>
  <c r="G246" i="89"/>
  <c r="I245" i="89"/>
  <c r="G245" i="89"/>
  <c r="I244" i="89"/>
  <c r="G244" i="89"/>
  <c r="I243" i="89"/>
  <c r="G243" i="89"/>
  <c r="I242" i="89"/>
  <c r="G242" i="89"/>
  <c r="I241" i="89"/>
  <c r="G241" i="89"/>
  <c r="I240" i="89"/>
  <c r="G240" i="89"/>
  <c r="I239" i="89"/>
  <c r="G239" i="89"/>
  <c r="I238" i="89"/>
  <c r="G238" i="89"/>
  <c r="I237" i="89"/>
  <c r="G237" i="89"/>
  <c r="I236" i="89"/>
  <c r="G236" i="89"/>
  <c r="I235" i="89"/>
  <c r="G235" i="89"/>
  <c r="I234" i="89"/>
  <c r="G234" i="89"/>
  <c r="I233" i="89"/>
  <c r="G233" i="89"/>
  <c r="I232" i="89"/>
  <c r="G232" i="89"/>
  <c r="I231" i="89"/>
  <c r="G231" i="89"/>
  <c r="I230" i="89"/>
  <c r="G230" i="89"/>
  <c r="I229" i="89"/>
  <c r="G229" i="89"/>
  <c r="I228" i="89"/>
  <c r="G228" i="89"/>
  <c r="I227" i="89"/>
  <c r="G227" i="89"/>
  <c r="I226" i="89"/>
  <c r="G226" i="89"/>
  <c r="I225" i="89"/>
  <c r="G225" i="89"/>
  <c r="I224" i="89"/>
  <c r="G224" i="89"/>
  <c r="I223" i="89"/>
  <c r="G223" i="89"/>
  <c r="I222" i="89"/>
  <c r="G222" i="89"/>
  <c r="I221" i="89"/>
  <c r="G221" i="89"/>
  <c r="I220" i="89"/>
  <c r="G220" i="89"/>
  <c r="I219" i="89"/>
  <c r="G219" i="89"/>
  <c r="I218" i="89"/>
  <c r="G218" i="89"/>
  <c r="I217" i="89"/>
  <c r="G217" i="89"/>
  <c r="I216" i="89"/>
  <c r="G216" i="89"/>
  <c r="I215" i="89"/>
  <c r="G215" i="89"/>
  <c r="I214" i="89"/>
  <c r="G214" i="89"/>
  <c r="I213" i="89"/>
  <c r="G213" i="89"/>
  <c r="I212" i="89"/>
  <c r="G212" i="89"/>
  <c r="I211" i="89"/>
  <c r="G211" i="89"/>
  <c r="I210" i="89"/>
  <c r="G210" i="89"/>
  <c r="I209" i="89"/>
  <c r="G209" i="89"/>
  <c r="I208" i="89"/>
  <c r="G208" i="89"/>
  <c r="I207" i="89"/>
  <c r="G207" i="89"/>
  <c r="I206" i="89"/>
  <c r="G206" i="89"/>
  <c r="I205" i="89"/>
  <c r="G205" i="89"/>
  <c r="I204" i="89"/>
  <c r="G204" i="89"/>
  <c r="I203" i="89"/>
  <c r="G203" i="89"/>
  <c r="I202" i="89"/>
  <c r="G202" i="89"/>
  <c r="I201" i="89"/>
  <c r="G201" i="89"/>
  <c r="I200" i="89"/>
  <c r="G200" i="89"/>
  <c r="I199" i="89"/>
  <c r="G199" i="89"/>
  <c r="I198" i="89"/>
  <c r="G198" i="89"/>
  <c r="I197" i="89"/>
  <c r="G197" i="89"/>
  <c r="I196" i="89"/>
  <c r="G196" i="89"/>
  <c r="I195" i="89"/>
  <c r="G195" i="89"/>
  <c r="I194" i="89"/>
  <c r="G194" i="89"/>
  <c r="I193" i="89"/>
  <c r="G193" i="89"/>
  <c r="I192" i="89"/>
  <c r="G192" i="89"/>
  <c r="I191" i="89"/>
  <c r="G191" i="89"/>
  <c r="I190" i="89"/>
  <c r="G190" i="89"/>
  <c r="I189" i="89"/>
  <c r="G189" i="89"/>
  <c r="I188" i="89"/>
  <c r="G188" i="89"/>
  <c r="I187" i="89"/>
  <c r="G187" i="89"/>
  <c r="I186" i="89"/>
  <c r="G186" i="89"/>
  <c r="I185" i="89"/>
  <c r="G185" i="89"/>
  <c r="I184" i="89"/>
  <c r="G184" i="89"/>
  <c r="I183" i="89"/>
  <c r="G183" i="89"/>
  <c r="I182" i="89"/>
  <c r="G182" i="89"/>
  <c r="I181" i="89"/>
  <c r="G181" i="89"/>
  <c r="I180" i="89"/>
  <c r="G180" i="89"/>
  <c r="I179" i="89"/>
  <c r="G179" i="89"/>
  <c r="I178" i="89"/>
  <c r="G178" i="89"/>
  <c r="I177" i="89"/>
  <c r="G177" i="89"/>
  <c r="I176" i="89"/>
  <c r="G176" i="89"/>
  <c r="I175" i="89"/>
  <c r="G175" i="89"/>
  <c r="I174" i="89"/>
  <c r="G174" i="89"/>
  <c r="I173" i="89"/>
  <c r="G173" i="89"/>
  <c r="I172" i="89"/>
  <c r="G172" i="89"/>
  <c r="I171" i="89"/>
  <c r="G171" i="89"/>
  <c r="I170" i="89"/>
  <c r="G170" i="89"/>
  <c r="I169" i="89"/>
  <c r="G169" i="89"/>
  <c r="I168" i="89"/>
  <c r="G168" i="89"/>
  <c r="I167" i="89"/>
  <c r="G167" i="89"/>
  <c r="I166" i="89"/>
  <c r="G166" i="89"/>
  <c r="I165" i="89"/>
  <c r="G165" i="89"/>
  <c r="I164" i="89"/>
  <c r="G164" i="89"/>
  <c r="I163" i="89"/>
  <c r="G163" i="89"/>
  <c r="I162" i="89"/>
  <c r="G162" i="89"/>
  <c r="I161" i="89"/>
  <c r="G161" i="89"/>
  <c r="I160" i="89"/>
  <c r="G160" i="89"/>
  <c r="I159" i="89"/>
  <c r="G159" i="89"/>
  <c r="I158" i="89"/>
  <c r="G158" i="89"/>
  <c r="I157" i="89"/>
  <c r="G157" i="89"/>
  <c r="I156" i="89"/>
  <c r="G156" i="89"/>
  <c r="I155" i="89"/>
  <c r="G155" i="89"/>
  <c r="I154" i="89"/>
  <c r="G154" i="89"/>
  <c r="I153" i="89"/>
  <c r="G153" i="89"/>
  <c r="I152" i="89"/>
  <c r="G152" i="89"/>
  <c r="I151" i="89"/>
  <c r="G151" i="89"/>
  <c r="I150" i="89"/>
  <c r="G150" i="89"/>
  <c r="I149" i="89"/>
  <c r="G149" i="89"/>
  <c r="I148" i="89"/>
  <c r="G148" i="89"/>
  <c r="I147" i="89"/>
  <c r="G147" i="89"/>
  <c r="I146" i="89"/>
  <c r="G146" i="89"/>
  <c r="I145" i="89"/>
  <c r="G145" i="89"/>
  <c r="I144" i="89"/>
  <c r="G144" i="89"/>
  <c r="I143" i="89"/>
  <c r="G143" i="89"/>
  <c r="I142" i="89"/>
  <c r="G142" i="89"/>
  <c r="I141" i="89"/>
  <c r="G141" i="89"/>
  <c r="I140" i="89"/>
  <c r="G140" i="89"/>
  <c r="I139" i="89"/>
  <c r="G139" i="89"/>
  <c r="I138" i="89"/>
  <c r="G138" i="89"/>
  <c r="I137" i="89"/>
  <c r="G137" i="89"/>
  <c r="I136" i="89"/>
  <c r="G136" i="89"/>
  <c r="I135" i="89"/>
  <c r="G135" i="89"/>
  <c r="I134" i="89"/>
  <c r="G134" i="89"/>
  <c r="I133" i="89"/>
  <c r="G133" i="89"/>
  <c r="I132" i="89"/>
  <c r="G132" i="89"/>
  <c r="I131" i="89"/>
  <c r="G131" i="89"/>
  <c r="I130" i="89"/>
  <c r="G130" i="89"/>
  <c r="I129" i="89"/>
  <c r="G129" i="89"/>
  <c r="I128" i="89"/>
  <c r="G128" i="89"/>
  <c r="I127" i="89"/>
  <c r="G127" i="89"/>
  <c r="I126" i="89"/>
  <c r="G126" i="89"/>
  <c r="I125" i="89"/>
  <c r="G125" i="89"/>
  <c r="I124" i="89"/>
  <c r="G124" i="89"/>
  <c r="I123" i="89"/>
  <c r="G123" i="89"/>
  <c r="I122" i="89"/>
  <c r="G122" i="89"/>
  <c r="I121" i="89"/>
  <c r="G121" i="89"/>
  <c r="I120" i="89"/>
  <c r="G120" i="89"/>
  <c r="I119" i="89"/>
  <c r="G119" i="89"/>
  <c r="I118" i="89"/>
  <c r="G118" i="89"/>
  <c r="I117" i="89"/>
  <c r="G117" i="89"/>
  <c r="I116" i="89"/>
  <c r="G116" i="89"/>
  <c r="I115" i="89"/>
  <c r="G115" i="89"/>
  <c r="I114" i="89"/>
  <c r="G114" i="89"/>
  <c r="I113" i="89"/>
  <c r="G113" i="89"/>
  <c r="I112" i="89"/>
  <c r="G112" i="89"/>
  <c r="I111" i="89"/>
  <c r="G111" i="89"/>
  <c r="I110" i="89"/>
  <c r="G110" i="89"/>
  <c r="I109" i="89"/>
  <c r="G109" i="89"/>
  <c r="I108" i="89"/>
  <c r="G108" i="89"/>
  <c r="I107" i="89"/>
  <c r="G107" i="89"/>
  <c r="I106" i="89"/>
  <c r="G106" i="89"/>
  <c r="I105" i="89"/>
  <c r="G105" i="89"/>
  <c r="I104" i="89"/>
  <c r="G104" i="89"/>
  <c r="I103" i="89"/>
  <c r="G103" i="89"/>
  <c r="I102" i="89"/>
  <c r="G102" i="89"/>
  <c r="I101" i="89"/>
  <c r="G101" i="89"/>
  <c r="I100" i="89"/>
  <c r="G100" i="89"/>
  <c r="I99" i="89"/>
  <c r="G99" i="89"/>
  <c r="I98" i="89"/>
  <c r="G98" i="89"/>
  <c r="I97" i="89"/>
  <c r="G97" i="89"/>
  <c r="I96" i="89"/>
  <c r="G96" i="89"/>
  <c r="I95" i="89"/>
  <c r="G95" i="89"/>
  <c r="I94" i="89"/>
  <c r="G94" i="89"/>
  <c r="I93" i="89"/>
  <c r="G93" i="89"/>
  <c r="I92" i="89"/>
  <c r="G92" i="89"/>
  <c r="I91" i="89"/>
  <c r="G91" i="89"/>
  <c r="I90" i="89"/>
  <c r="G90" i="89"/>
  <c r="I89" i="89"/>
  <c r="G89" i="89"/>
  <c r="I88" i="89"/>
  <c r="G88" i="89"/>
  <c r="I87" i="89"/>
  <c r="G87" i="89"/>
  <c r="I86" i="89"/>
  <c r="G86" i="89"/>
  <c r="I85" i="89"/>
  <c r="G85" i="89"/>
  <c r="I84" i="89"/>
  <c r="G84" i="89"/>
  <c r="I83" i="89"/>
  <c r="G83" i="89"/>
  <c r="I82" i="89"/>
  <c r="G82" i="89"/>
  <c r="I81" i="89"/>
  <c r="G81" i="89"/>
  <c r="I80" i="89"/>
  <c r="G80" i="89"/>
  <c r="I79" i="89"/>
  <c r="G79" i="89"/>
  <c r="I78" i="89"/>
  <c r="G78" i="89"/>
  <c r="I77" i="89"/>
  <c r="G77" i="89"/>
  <c r="I76" i="89"/>
  <c r="G76" i="89"/>
  <c r="I75" i="89"/>
  <c r="G75" i="89"/>
  <c r="I74" i="89"/>
  <c r="G74" i="89"/>
  <c r="I73" i="89"/>
  <c r="G73" i="89"/>
  <c r="I72" i="89"/>
  <c r="G72" i="89"/>
  <c r="I71" i="89"/>
  <c r="G71" i="89"/>
  <c r="I70" i="89"/>
  <c r="G70" i="89"/>
  <c r="I69" i="89"/>
  <c r="G69" i="89"/>
  <c r="I68" i="89"/>
  <c r="G68" i="89"/>
  <c r="I67" i="89"/>
  <c r="G67" i="89"/>
  <c r="I66" i="89"/>
  <c r="G66" i="89"/>
  <c r="I65" i="89"/>
  <c r="G65" i="89"/>
  <c r="I64" i="89"/>
  <c r="G64" i="89"/>
  <c r="I63" i="89"/>
  <c r="G63" i="89"/>
  <c r="I62" i="89"/>
  <c r="G62" i="89"/>
  <c r="I61" i="89"/>
  <c r="G61" i="89"/>
  <c r="I60" i="89"/>
  <c r="G60" i="89"/>
  <c r="I59" i="89"/>
  <c r="G59" i="89"/>
  <c r="I58" i="89"/>
  <c r="G58" i="89"/>
  <c r="I57" i="89"/>
  <c r="G57" i="89"/>
  <c r="I56" i="89"/>
  <c r="G56" i="89"/>
  <c r="I55" i="89"/>
  <c r="G55" i="89"/>
  <c r="I54" i="89"/>
  <c r="G54" i="89"/>
  <c r="I53" i="89"/>
  <c r="G53" i="89"/>
  <c r="I52" i="89"/>
  <c r="G52" i="89"/>
  <c r="I51" i="89"/>
  <c r="G51" i="89"/>
  <c r="I50" i="89"/>
  <c r="G50" i="89"/>
  <c r="I49" i="89"/>
  <c r="G49" i="89"/>
  <c r="I48" i="89"/>
  <c r="G48" i="89"/>
  <c r="I47" i="89"/>
  <c r="G47" i="89"/>
  <c r="I46" i="89"/>
  <c r="G46" i="89"/>
  <c r="O395" i="4"/>
  <c r="O397" i="4"/>
  <c r="O394" i="4"/>
  <c r="C106" i="114"/>
  <c r="H181" i="147"/>
  <c r="E181" i="147"/>
  <c r="H179" i="147"/>
  <c r="E179" i="147"/>
  <c r="X250" i="3"/>
  <c r="C250" i="3"/>
  <c r="Z210" i="106"/>
  <c r="Z211" i="106"/>
  <c r="Z212" i="106"/>
  <c r="Z213" i="106"/>
  <c r="Z214" i="106"/>
  <c r="G65" i="53"/>
  <c r="G94" i="53"/>
  <c r="G68" i="53"/>
  <c r="G64" i="53"/>
  <c r="D157" i="154"/>
  <c r="D156" i="154"/>
  <c r="D155" i="154"/>
  <c r="D154" i="154"/>
  <c r="D153" i="154"/>
  <c r="D152" i="154"/>
  <c r="D151" i="154"/>
  <c r="D150" i="154"/>
  <c r="D149" i="154"/>
  <c r="D148" i="154"/>
  <c r="D147" i="154"/>
  <c r="D146" i="154"/>
  <c r="D145" i="154"/>
  <c r="D144" i="154"/>
  <c r="D143" i="154"/>
  <c r="D142" i="154"/>
  <c r="D141" i="154"/>
  <c r="D140" i="154"/>
  <c r="D139" i="154"/>
  <c r="D138" i="154"/>
  <c r="D137" i="154"/>
  <c r="D136" i="154"/>
  <c r="D135" i="154"/>
  <c r="D134" i="154"/>
  <c r="D133" i="154"/>
  <c r="D132" i="154"/>
  <c r="D131" i="154"/>
  <c r="D130" i="154"/>
  <c r="D129" i="154"/>
  <c r="D128" i="154"/>
  <c r="D127" i="154"/>
  <c r="D126" i="154"/>
  <c r="D125" i="154"/>
  <c r="D124" i="154"/>
  <c r="D123" i="154"/>
  <c r="D122" i="154"/>
  <c r="D121" i="154"/>
  <c r="D120" i="154"/>
  <c r="D119" i="154"/>
  <c r="D118" i="154"/>
  <c r="D117" i="154"/>
  <c r="D116" i="154"/>
  <c r="D115" i="154"/>
  <c r="D114" i="154"/>
  <c r="D113" i="154"/>
  <c r="D112" i="154"/>
  <c r="D111" i="154"/>
  <c r="D110" i="154"/>
  <c r="D109" i="154"/>
  <c r="D108" i="154"/>
  <c r="D107" i="154"/>
  <c r="D106" i="154"/>
  <c r="D105" i="154"/>
  <c r="D104" i="154"/>
  <c r="D103" i="154"/>
  <c r="D102" i="154"/>
  <c r="D101" i="154"/>
  <c r="D100" i="154"/>
  <c r="D99" i="154"/>
  <c r="D98" i="154"/>
  <c r="D97" i="154"/>
  <c r="D96" i="154"/>
  <c r="D95" i="154"/>
  <c r="D94" i="154"/>
  <c r="D93" i="154"/>
  <c r="D92" i="154"/>
  <c r="D91" i="154"/>
  <c r="D90" i="154"/>
  <c r="D89" i="154"/>
  <c r="D88" i="154"/>
  <c r="D87" i="154"/>
  <c r="D86" i="154"/>
  <c r="D85" i="154"/>
  <c r="D84" i="154"/>
  <c r="D83" i="154"/>
  <c r="D82" i="154"/>
  <c r="D81" i="154"/>
  <c r="D80" i="154"/>
  <c r="D79" i="154"/>
  <c r="D78" i="154"/>
  <c r="D77" i="154"/>
  <c r="D76" i="154"/>
  <c r="D75" i="154"/>
  <c r="D74" i="154"/>
  <c r="D73" i="154"/>
  <c r="D72" i="154"/>
  <c r="D71" i="154"/>
  <c r="D70" i="154"/>
  <c r="D69" i="154"/>
  <c r="D68" i="154"/>
  <c r="D67" i="154"/>
  <c r="D66" i="154"/>
  <c r="D65" i="154"/>
  <c r="D64" i="154"/>
  <c r="D63" i="154"/>
  <c r="D62" i="154"/>
  <c r="D61" i="154"/>
  <c r="D60" i="154"/>
  <c r="D59" i="154"/>
  <c r="D58" i="154"/>
  <c r="D57" i="154"/>
  <c r="D56" i="154"/>
  <c r="D55" i="154"/>
  <c r="D54" i="154"/>
  <c r="D53" i="154"/>
  <c r="D52" i="154"/>
  <c r="D51" i="154"/>
  <c r="D50" i="154"/>
  <c r="D49" i="154"/>
  <c r="D48" i="154"/>
  <c r="D47" i="154"/>
  <c r="D46" i="154"/>
  <c r="D45" i="154"/>
  <c r="D44" i="154"/>
  <c r="D43" i="154"/>
  <c r="D42" i="154"/>
  <c r="D41" i="154"/>
  <c r="D40" i="154"/>
  <c r="D39" i="154"/>
  <c r="D38" i="154"/>
  <c r="D37" i="154"/>
  <c r="D36" i="154"/>
  <c r="D35" i="154"/>
  <c r="D34" i="154"/>
  <c r="D33" i="154"/>
  <c r="D32" i="154"/>
  <c r="D31" i="154"/>
  <c r="D30" i="154"/>
  <c r="D29" i="154"/>
  <c r="D28" i="154"/>
  <c r="D27" i="154"/>
  <c r="D26" i="154"/>
  <c r="D25" i="154"/>
  <c r="D24" i="154"/>
  <c r="D23" i="154"/>
  <c r="D22" i="154"/>
  <c r="D21" i="154"/>
  <c r="D20" i="154"/>
  <c r="D19" i="154"/>
  <c r="D18" i="154"/>
  <c r="D17" i="154"/>
  <c r="D16" i="154"/>
  <c r="D15" i="154"/>
  <c r="D14" i="154"/>
  <c r="D13" i="154"/>
  <c r="D12" i="154"/>
  <c r="D11" i="154"/>
  <c r="D10" i="154"/>
  <c r="A333" i="153"/>
  <c r="A345" i="153" s="1"/>
  <c r="A357" i="153" s="1"/>
  <c r="A369" i="153" s="1"/>
  <c r="A381" i="153" s="1"/>
  <c r="A393" i="153" s="1"/>
  <c r="A405" i="153" s="1"/>
  <c r="A417" i="153" s="1"/>
  <c r="A429" i="153" s="1"/>
  <c r="A441" i="153" s="1"/>
  <c r="A453" i="153" s="1"/>
  <c r="A465" i="153" s="1"/>
  <c r="A477" i="153" s="1"/>
  <c r="A489" i="153" s="1"/>
  <c r="A501" i="153" s="1"/>
  <c r="A332" i="153"/>
  <c r="A344" i="153" s="1"/>
  <c r="A356" i="153" s="1"/>
  <c r="A368" i="153" s="1"/>
  <c r="A380" i="153" s="1"/>
  <c r="A392" i="153" s="1"/>
  <c r="A404" i="153" s="1"/>
  <c r="A416" i="153" s="1"/>
  <c r="A428" i="153" s="1"/>
  <c r="A440" i="153" s="1"/>
  <c r="A452" i="153" s="1"/>
  <c r="A464" i="153" s="1"/>
  <c r="A476" i="153" s="1"/>
  <c r="A488" i="153" s="1"/>
  <c r="A500" i="153" s="1"/>
  <c r="A331" i="153"/>
  <c r="A343" i="153" s="1"/>
  <c r="A355" i="153" s="1"/>
  <c r="A367" i="153" s="1"/>
  <c r="A379" i="153" s="1"/>
  <c r="A391" i="153" s="1"/>
  <c r="A403" i="153" s="1"/>
  <c r="A415" i="153" s="1"/>
  <c r="A427" i="153" s="1"/>
  <c r="A439" i="153" s="1"/>
  <c r="A451" i="153" s="1"/>
  <c r="A463" i="153" s="1"/>
  <c r="A475" i="153" s="1"/>
  <c r="A487" i="153" s="1"/>
  <c r="A499" i="153" s="1"/>
  <c r="A330" i="153"/>
  <c r="A342" i="153" s="1"/>
  <c r="A354" i="153" s="1"/>
  <c r="A366" i="153" s="1"/>
  <c r="A378" i="153" s="1"/>
  <c r="A390" i="153" s="1"/>
  <c r="A402" i="153" s="1"/>
  <c r="A414" i="153" s="1"/>
  <c r="A426" i="153" s="1"/>
  <c r="A438" i="153" s="1"/>
  <c r="A450" i="153" s="1"/>
  <c r="A462" i="153" s="1"/>
  <c r="A474" i="153" s="1"/>
  <c r="A486" i="153" s="1"/>
  <c r="A498" i="153" s="1"/>
  <c r="A329" i="153"/>
  <c r="A341" i="153" s="1"/>
  <c r="A353" i="153" s="1"/>
  <c r="A365" i="153" s="1"/>
  <c r="A377" i="153" s="1"/>
  <c r="A389" i="153" s="1"/>
  <c r="A401" i="153" s="1"/>
  <c r="A413" i="153" s="1"/>
  <c r="A425" i="153" s="1"/>
  <c r="A437" i="153" s="1"/>
  <c r="A449" i="153" s="1"/>
  <c r="A461" i="153" s="1"/>
  <c r="A473" i="153" s="1"/>
  <c r="A485" i="153" s="1"/>
  <c r="A497" i="153" s="1"/>
  <c r="A328" i="153"/>
  <c r="A340" i="153" s="1"/>
  <c r="A352" i="153" s="1"/>
  <c r="A364" i="153" s="1"/>
  <c r="A376" i="153" s="1"/>
  <c r="A388" i="153" s="1"/>
  <c r="A400" i="153" s="1"/>
  <c r="A412" i="153" s="1"/>
  <c r="A424" i="153" s="1"/>
  <c r="A436" i="153" s="1"/>
  <c r="A448" i="153" s="1"/>
  <c r="A460" i="153" s="1"/>
  <c r="A472" i="153" s="1"/>
  <c r="A484" i="153" s="1"/>
  <c r="A496" i="153" s="1"/>
  <c r="A327" i="153"/>
  <c r="A339" i="153" s="1"/>
  <c r="A351" i="153" s="1"/>
  <c r="A363" i="153" s="1"/>
  <c r="A375" i="153" s="1"/>
  <c r="A387" i="153" s="1"/>
  <c r="A399" i="153" s="1"/>
  <c r="A411" i="153" s="1"/>
  <c r="A423" i="153" s="1"/>
  <c r="A435" i="153" s="1"/>
  <c r="A447" i="153" s="1"/>
  <c r="A459" i="153" s="1"/>
  <c r="A471" i="153" s="1"/>
  <c r="A483" i="153" s="1"/>
  <c r="A495" i="153" s="1"/>
  <c r="A326" i="153"/>
  <c r="A338" i="153" s="1"/>
  <c r="A350" i="153" s="1"/>
  <c r="A362" i="153" s="1"/>
  <c r="A374" i="153" s="1"/>
  <c r="A386" i="153" s="1"/>
  <c r="A398" i="153" s="1"/>
  <c r="A410" i="153" s="1"/>
  <c r="A422" i="153" s="1"/>
  <c r="A434" i="153" s="1"/>
  <c r="A446" i="153" s="1"/>
  <c r="A458" i="153" s="1"/>
  <c r="A470" i="153" s="1"/>
  <c r="A482" i="153" s="1"/>
  <c r="A494" i="153" s="1"/>
  <c r="A325" i="153"/>
  <c r="A337" i="153" s="1"/>
  <c r="A349" i="153" s="1"/>
  <c r="A361" i="153" s="1"/>
  <c r="A373" i="153" s="1"/>
  <c r="A385" i="153" s="1"/>
  <c r="A397" i="153" s="1"/>
  <c r="A409" i="153" s="1"/>
  <c r="A421" i="153" s="1"/>
  <c r="A433" i="153" s="1"/>
  <c r="A445" i="153" s="1"/>
  <c r="A457" i="153" s="1"/>
  <c r="A469" i="153" s="1"/>
  <c r="A481" i="153" s="1"/>
  <c r="A493" i="153" s="1"/>
  <c r="A324" i="153"/>
  <c r="A336" i="153" s="1"/>
  <c r="A348" i="153" s="1"/>
  <c r="A360" i="153" s="1"/>
  <c r="A372" i="153" s="1"/>
  <c r="A384" i="153" s="1"/>
  <c r="A396" i="153" s="1"/>
  <c r="A408" i="153" s="1"/>
  <c r="A420" i="153" s="1"/>
  <c r="A432" i="153" s="1"/>
  <c r="A444" i="153" s="1"/>
  <c r="A456" i="153" s="1"/>
  <c r="A468" i="153" s="1"/>
  <c r="A480" i="153" s="1"/>
  <c r="A492" i="153" s="1"/>
  <c r="A323" i="153"/>
  <c r="A335" i="153" s="1"/>
  <c r="A347" i="153" s="1"/>
  <c r="A359" i="153" s="1"/>
  <c r="A371" i="153" s="1"/>
  <c r="A383" i="153" s="1"/>
  <c r="A395" i="153" s="1"/>
  <c r="A407" i="153" s="1"/>
  <c r="A419" i="153" s="1"/>
  <c r="A431" i="153" s="1"/>
  <c r="A443" i="153" s="1"/>
  <c r="A455" i="153" s="1"/>
  <c r="A467" i="153" s="1"/>
  <c r="A479" i="153" s="1"/>
  <c r="A491" i="153" s="1"/>
  <c r="A322" i="153"/>
  <c r="A334" i="153" s="1"/>
  <c r="A346" i="153" s="1"/>
  <c r="A358" i="153" s="1"/>
  <c r="A370" i="153" s="1"/>
  <c r="A382" i="153" s="1"/>
  <c r="A394" i="153" s="1"/>
  <c r="A406" i="153" s="1"/>
  <c r="A418" i="153" s="1"/>
  <c r="A430" i="153" s="1"/>
  <c r="A442" i="153" s="1"/>
  <c r="A454" i="153" s="1"/>
  <c r="A466" i="153" s="1"/>
  <c r="A478" i="153" s="1"/>
  <c r="A490" i="153" s="1"/>
  <c r="P32" i="134" l="1"/>
  <c r="P33" i="134"/>
  <c r="P34" i="134"/>
  <c r="P35" i="134"/>
  <c r="P36" i="134"/>
  <c r="P37" i="134"/>
  <c r="P38" i="134"/>
  <c r="P39" i="134"/>
  <c r="P40" i="134"/>
  <c r="P41" i="134"/>
  <c r="P42" i="134"/>
  <c r="P43" i="134"/>
  <c r="P44" i="134"/>
  <c r="P45" i="134"/>
  <c r="P46" i="134"/>
  <c r="P47" i="134"/>
  <c r="P48" i="134"/>
  <c r="P49" i="134"/>
  <c r="P50" i="134"/>
  <c r="P51" i="134"/>
  <c r="P52" i="134"/>
  <c r="P53" i="134"/>
  <c r="P54" i="134"/>
  <c r="P55" i="134"/>
  <c r="P56" i="134"/>
  <c r="P57" i="134"/>
  <c r="P58" i="134"/>
  <c r="P59" i="134"/>
  <c r="P60" i="134"/>
  <c r="P61" i="134"/>
  <c r="P62" i="134"/>
  <c r="P63" i="134"/>
  <c r="P64" i="134"/>
  <c r="P65" i="134"/>
  <c r="P66" i="134"/>
  <c r="P67" i="134"/>
  <c r="P68" i="134"/>
  <c r="P69" i="134"/>
  <c r="P70" i="134"/>
  <c r="P71" i="134"/>
  <c r="P72" i="134"/>
  <c r="P73" i="134"/>
  <c r="P74" i="134"/>
  <c r="P75" i="134"/>
  <c r="P76" i="134"/>
  <c r="P77" i="134"/>
  <c r="P78" i="134"/>
  <c r="P79" i="134"/>
  <c r="P80" i="134"/>
  <c r="P81" i="134"/>
  <c r="P82" i="134"/>
  <c r="P83" i="134"/>
  <c r="P84" i="134"/>
  <c r="P85" i="134"/>
  <c r="P86" i="134"/>
  <c r="P87" i="134"/>
  <c r="P88" i="134"/>
  <c r="P89" i="134"/>
  <c r="P90" i="134"/>
  <c r="P91" i="134"/>
  <c r="P92" i="134"/>
  <c r="P93" i="134"/>
  <c r="P94" i="134"/>
  <c r="P95" i="134"/>
  <c r="P96" i="134"/>
  <c r="P97" i="134"/>
  <c r="P98" i="134"/>
  <c r="P99" i="134"/>
  <c r="P100" i="134"/>
  <c r="P101" i="134"/>
  <c r="P102" i="134"/>
  <c r="P103" i="134"/>
  <c r="P104" i="134"/>
  <c r="P105" i="134"/>
  <c r="P106" i="134"/>
  <c r="P107" i="134"/>
  <c r="P108" i="134"/>
  <c r="P109" i="134"/>
  <c r="P110" i="134"/>
  <c r="P111" i="134"/>
  <c r="P112" i="134"/>
  <c r="P113" i="134"/>
  <c r="P114" i="134"/>
  <c r="P115" i="134"/>
  <c r="P116" i="134"/>
  <c r="P117" i="134"/>
  <c r="P118" i="134"/>
  <c r="P119" i="134"/>
  <c r="P120" i="134"/>
  <c r="P121" i="134"/>
  <c r="P122" i="134"/>
  <c r="P123" i="134"/>
  <c r="P124" i="134"/>
  <c r="P125" i="134"/>
  <c r="P126" i="134"/>
  <c r="P127" i="134"/>
  <c r="P128" i="134"/>
  <c r="P129" i="134"/>
  <c r="P130" i="134"/>
  <c r="P131" i="134"/>
  <c r="P132" i="134"/>
  <c r="P133" i="134"/>
  <c r="P134" i="134"/>
  <c r="P135" i="134"/>
  <c r="P136" i="134"/>
  <c r="P137" i="134"/>
  <c r="P138" i="134"/>
  <c r="P139" i="134"/>
  <c r="G322" i="14"/>
  <c r="O643" i="71"/>
  <c r="P643" i="71"/>
  <c r="R358" i="3" l="1"/>
  <c r="C358" i="3"/>
  <c r="S358" i="3"/>
  <c r="X358" i="3"/>
  <c r="H417" i="11"/>
  <c r="AK96" i="141"/>
  <c r="AK95" i="141"/>
  <c r="M96" i="141"/>
  <c r="Y96" i="141"/>
  <c r="G323" i="14" l="1"/>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G371" i="14"/>
  <c r="G372" i="14"/>
  <c r="G373" i="14"/>
  <c r="G374" i="14"/>
  <c r="G375" i="14"/>
  <c r="G376" i="14"/>
  <c r="G377" i="14"/>
  <c r="G378" i="14"/>
  <c r="G379" i="14"/>
  <c r="G380" i="14"/>
  <c r="G381" i="14"/>
  <c r="G252" i="14"/>
  <c r="G253" i="14"/>
  <c r="G254" i="14"/>
  <c r="G255" i="14"/>
  <c r="G257" i="14"/>
  <c r="G259" i="14"/>
  <c r="G260" i="14"/>
  <c r="G261" i="14"/>
  <c r="G264" i="14"/>
  <c r="G268" i="14"/>
  <c r="G271" i="14"/>
  <c r="G272" i="14"/>
  <c r="G273" i="14"/>
  <c r="G276" i="14"/>
  <c r="G277" i="14"/>
  <c r="G278" i="14"/>
  <c r="G279" i="14"/>
  <c r="G285" i="14"/>
  <c r="G287" i="14"/>
  <c r="G288" i="14"/>
  <c r="G289" i="14"/>
  <c r="G291" i="14"/>
  <c r="G295" i="14"/>
  <c r="G296" i="14"/>
  <c r="G297" i="14"/>
  <c r="G300" i="14"/>
  <c r="G301" i="14"/>
  <c r="G303" i="14"/>
  <c r="G307" i="14"/>
  <c r="G308" i="14"/>
  <c r="G309" i="14"/>
  <c r="G315"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371" i="14"/>
  <c r="D372" i="14"/>
  <c r="D373" i="14"/>
  <c r="D374" i="14"/>
  <c r="D375" i="14"/>
  <c r="D376" i="14"/>
  <c r="D377" i="14"/>
  <c r="D378" i="14"/>
  <c r="D379" i="14"/>
  <c r="D380" i="14"/>
  <c r="D381" i="14"/>
  <c r="D252" i="14"/>
  <c r="G256" i="14"/>
  <c r="G258" i="14"/>
  <c r="G262" i="14"/>
  <c r="G266" i="14"/>
  <c r="G267" i="14"/>
  <c r="G274" i="14"/>
  <c r="G280" i="14"/>
  <c r="G286" i="14"/>
  <c r="G292" i="14"/>
  <c r="G294" i="14"/>
  <c r="G298" i="14"/>
  <c r="G304" i="14"/>
  <c r="G310" i="14"/>
  <c r="G312" i="14"/>
  <c r="G313" i="14"/>
  <c r="G316" i="14"/>
  <c r="G320" i="14"/>
  <c r="G321" i="14"/>
  <c r="G263" i="14"/>
  <c r="G269" i="14"/>
  <c r="G270" i="14"/>
  <c r="G275" i="14"/>
  <c r="G281" i="14"/>
  <c r="G282" i="14"/>
  <c r="G283" i="14"/>
  <c r="G284" i="14"/>
  <c r="G299" i="14"/>
  <c r="G311" i="14"/>
  <c r="G265" i="14"/>
  <c r="G290" i="14"/>
  <c r="G302" i="14"/>
  <c r="G314" i="14"/>
  <c r="G293" i="14"/>
  <c r="G305" i="14"/>
  <c r="G306" i="14"/>
  <c r="G317" i="14"/>
  <c r="G318" i="14"/>
  <c r="G319" i="14"/>
  <c r="L321" i="14"/>
  <c r="L322" i="14"/>
  <c r="L323" i="14"/>
  <c r="B54" i="149" l="1"/>
  <c r="C54" i="149"/>
  <c r="S362" i="71"/>
  <c r="D146" i="116"/>
  <c r="O418" i="128"/>
  <c r="O393" i="27" l="1"/>
  <c r="P393" i="27"/>
  <c r="O392" i="27"/>
  <c r="O391" i="27"/>
  <c r="P391" i="27"/>
  <c r="P392" i="27"/>
  <c r="C356" i="3" l="1"/>
  <c r="W49" i="149"/>
  <c r="W50" i="149"/>
  <c r="W51" i="149"/>
  <c r="W52" i="149"/>
  <c r="W53" i="149"/>
  <c r="W54" i="149"/>
  <c r="W55" i="149"/>
  <c r="W56" i="149"/>
  <c r="W57" i="149"/>
  <c r="W58" i="149"/>
  <c r="W59" i="149"/>
  <c r="W60" i="149"/>
  <c r="W48" i="149"/>
  <c r="V56" i="149"/>
  <c r="V57" i="149"/>
  <c r="V58" i="149"/>
  <c r="V59" i="149"/>
  <c r="V60" i="149"/>
  <c r="U53" i="149"/>
  <c r="U60" i="149"/>
  <c r="U59" i="149"/>
  <c r="U58" i="149"/>
  <c r="U57" i="149"/>
  <c r="U56" i="149"/>
  <c r="U55" i="149"/>
  <c r="U54" i="149"/>
  <c r="S54" i="149"/>
  <c r="S55" i="149"/>
  <c r="S56" i="149"/>
  <c r="S57" i="149"/>
  <c r="S58" i="149"/>
  <c r="S59" i="149"/>
  <c r="S60" i="149"/>
  <c r="S53" i="149"/>
  <c r="T60" i="149"/>
  <c r="T59" i="149"/>
  <c r="T58" i="149"/>
  <c r="T57" i="149"/>
  <c r="T56" i="149"/>
  <c r="R56" i="149"/>
  <c r="R57" i="149"/>
  <c r="R58" i="149"/>
  <c r="R59" i="149"/>
  <c r="R60" i="149"/>
  <c r="Q28" i="149"/>
  <c r="Q29" i="149"/>
  <c r="Q30" i="149"/>
  <c r="Q31" i="149"/>
  <c r="Q56" i="149"/>
  <c r="Q57" i="149"/>
  <c r="Q58" i="149"/>
  <c r="Q59" i="149"/>
  <c r="Q60" i="149"/>
  <c r="Q27" i="149"/>
  <c r="P56" i="149"/>
  <c r="P57" i="149"/>
  <c r="P58" i="149"/>
  <c r="P59" i="149"/>
  <c r="P60" i="149"/>
  <c r="M55" i="149" l="1"/>
  <c r="V55" i="149" s="1"/>
  <c r="J55" i="149"/>
  <c r="J54" i="149"/>
  <c r="R54" i="149" l="1"/>
  <c r="T54" i="149"/>
  <c r="T55" i="149"/>
  <c r="R55" i="149"/>
  <c r="V403" i="38"/>
  <c r="L320" i="14" l="1"/>
  <c r="H319" i="14" l="1"/>
  <c r="H318" i="14"/>
  <c r="H416" i="11"/>
  <c r="G28" i="53"/>
  <c r="G29" i="53"/>
  <c r="G26" i="53"/>
  <c r="M225" i="123"/>
  <c r="E225" i="123"/>
  <c r="B225" i="123"/>
  <c r="H225" i="123" s="1"/>
  <c r="M224" i="123"/>
  <c r="E224" i="123"/>
  <c r="B224" i="123"/>
  <c r="H224" i="123" s="1"/>
  <c r="M223" i="123"/>
  <c r="E223" i="123"/>
  <c r="B223" i="123"/>
  <c r="H223" i="123" s="1"/>
  <c r="M222" i="123"/>
  <c r="E222" i="123"/>
  <c r="B222" i="123"/>
  <c r="H222" i="123" s="1"/>
  <c r="M221" i="123"/>
  <c r="H221" i="123"/>
  <c r="E221" i="123"/>
  <c r="B221" i="123"/>
  <c r="M220" i="123"/>
  <c r="H220" i="123"/>
  <c r="E220" i="123"/>
  <c r="B220" i="123"/>
  <c r="M219" i="123"/>
  <c r="E219" i="123"/>
  <c r="B219" i="123"/>
  <c r="H219" i="123" s="1"/>
  <c r="M218" i="123"/>
  <c r="E218" i="123"/>
  <c r="B218" i="123"/>
  <c r="H218" i="123" s="1"/>
  <c r="M217" i="123"/>
  <c r="E217" i="123"/>
  <c r="H217" i="123" s="1"/>
  <c r="B217" i="123"/>
  <c r="M216" i="123"/>
  <c r="E216" i="123"/>
  <c r="B216" i="123"/>
  <c r="H216" i="123" s="1"/>
  <c r="M215" i="123"/>
  <c r="E215" i="123"/>
  <c r="B215" i="123"/>
  <c r="H215" i="123" s="1"/>
  <c r="M214" i="123"/>
  <c r="E214" i="123"/>
  <c r="B214" i="123"/>
  <c r="H214" i="123" s="1"/>
  <c r="M213" i="123"/>
  <c r="H213" i="123"/>
  <c r="E213" i="123"/>
  <c r="B213" i="123"/>
  <c r="M212" i="123"/>
  <c r="H212" i="123"/>
  <c r="E212" i="123"/>
  <c r="B212" i="123"/>
  <c r="M211" i="123"/>
  <c r="E211" i="123"/>
  <c r="B211" i="123"/>
  <c r="H211" i="123" s="1"/>
  <c r="M210" i="123"/>
  <c r="E210" i="123"/>
  <c r="B210" i="123"/>
  <c r="H210" i="123" s="1"/>
  <c r="M209" i="123"/>
  <c r="E209" i="123"/>
  <c r="H209" i="123" s="1"/>
  <c r="B209" i="123"/>
  <c r="M208" i="123"/>
  <c r="E208" i="123"/>
  <c r="B208" i="123"/>
  <c r="H208" i="123" s="1"/>
  <c r="M207" i="123"/>
  <c r="E207" i="123"/>
  <c r="B207" i="123"/>
  <c r="H207" i="123" s="1"/>
  <c r="M206" i="123"/>
  <c r="E206" i="123"/>
  <c r="B206" i="123"/>
  <c r="H206" i="123" s="1"/>
  <c r="M205" i="123"/>
  <c r="H205" i="123"/>
  <c r="E205" i="123"/>
  <c r="B205" i="123"/>
  <c r="M204" i="123"/>
  <c r="H204" i="123"/>
  <c r="E204" i="123"/>
  <c r="B204" i="123"/>
  <c r="M203" i="123"/>
  <c r="E203" i="123"/>
  <c r="B203" i="123"/>
  <c r="H203" i="123" s="1"/>
  <c r="M202" i="123"/>
  <c r="E202" i="123"/>
  <c r="B202" i="123"/>
  <c r="H202" i="123" s="1"/>
  <c r="M201" i="123"/>
  <c r="E201" i="123"/>
  <c r="H201" i="123" s="1"/>
  <c r="B201" i="123"/>
  <c r="M200" i="123"/>
  <c r="E200" i="123"/>
  <c r="B200" i="123"/>
  <c r="H200" i="123" s="1"/>
  <c r="M199" i="123"/>
  <c r="E199" i="123"/>
  <c r="B199" i="123"/>
  <c r="H199" i="123" s="1"/>
  <c r="M198" i="123"/>
  <c r="E198" i="123"/>
  <c r="B198" i="123"/>
  <c r="H198" i="123" s="1"/>
  <c r="M197" i="123"/>
  <c r="H197" i="123"/>
  <c r="E197" i="123"/>
  <c r="B197" i="123"/>
  <c r="M196" i="123"/>
  <c r="H196" i="123"/>
  <c r="E196" i="123"/>
  <c r="B196" i="123"/>
  <c r="M195" i="123"/>
  <c r="E195" i="123"/>
  <c r="B195" i="123"/>
  <c r="H195" i="123" s="1"/>
  <c r="M194" i="123"/>
  <c r="E194" i="123"/>
  <c r="B194" i="123"/>
  <c r="H194" i="123" s="1"/>
  <c r="M193" i="123"/>
  <c r="E193" i="123"/>
  <c r="H193" i="123" s="1"/>
  <c r="B193" i="123"/>
  <c r="M192" i="123"/>
  <c r="E192" i="123"/>
  <c r="B192" i="123"/>
  <c r="H192" i="123" s="1"/>
  <c r="M191" i="123"/>
  <c r="E191" i="123"/>
  <c r="B191" i="123"/>
  <c r="H191" i="123" s="1"/>
  <c r="M190" i="123"/>
  <c r="E190" i="123"/>
  <c r="B190" i="123"/>
  <c r="H190" i="123" s="1"/>
  <c r="M189" i="123"/>
  <c r="H189" i="123"/>
  <c r="E189" i="123"/>
  <c r="B189" i="123"/>
  <c r="M188" i="123"/>
  <c r="H188" i="123"/>
  <c r="E188" i="123"/>
  <c r="B188" i="123"/>
  <c r="M187" i="123"/>
  <c r="E187" i="123"/>
  <c r="B187" i="123"/>
  <c r="H187" i="123" s="1"/>
  <c r="M186" i="123"/>
  <c r="E186" i="123"/>
  <c r="B186" i="123"/>
  <c r="H186" i="123" s="1"/>
  <c r="M185" i="123"/>
  <c r="E185" i="123"/>
  <c r="H185" i="123" s="1"/>
  <c r="B185" i="123"/>
  <c r="M184" i="123"/>
  <c r="E184" i="123"/>
  <c r="B184" i="123"/>
  <c r="H184" i="123" s="1"/>
  <c r="M183" i="123"/>
  <c r="E183" i="123"/>
  <c r="B183" i="123"/>
  <c r="H183" i="123" s="1"/>
  <c r="M182" i="123"/>
  <c r="E182" i="123"/>
  <c r="B182" i="123"/>
  <c r="H182" i="123" s="1"/>
  <c r="M181" i="123"/>
  <c r="H181" i="123"/>
  <c r="E181" i="123"/>
  <c r="B181" i="123"/>
  <c r="M180" i="123"/>
  <c r="H180" i="123"/>
  <c r="E180" i="123"/>
  <c r="B180" i="123"/>
  <c r="M179" i="123"/>
  <c r="E179" i="123"/>
  <c r="B179" i="123"/>
  <c r="H179" i="123" s="1"/>
  <c r="M178" i="123"/>
  <c r="E178" i="123"/>
  <c r="B178" i="123"/>
  <c r="H178" i="123" s="1"/>
  <c r="M177" i="123"/>
  <c r="E177" i="123"/>
  <c r="H177" i="123" s="1"/>
  <c r="B177" i="123"/>
  <c r="M176" i="123"/>
  <c r="E176" i="123"/>
  <c r="B176" i="123"/>
  <c r="H176" i="123" s="1"/>
  <c r="M175" i="123"/>
  <c r="E175" i="123"/>
  <c r="B175" i="123"/>
  <c r="H175" i="123" s="1"/>
  <c r="M174" i="123"/>
  <c r="E174" i="123"/>
  <c r="B174" i="123"/>
  <c r="H174" i="123" s="1"/>
  <c r="M173" i="123"/>
  <c r="H173" i="123"/>
  <c r="E173" i="123"/>
  <c r="B173" i="123"/>
  <c r="M172" i="123"/>
  <c r="H172" i="123"/>
  <c r="E172" i="123"/>
  <c r="B172" i="123"/>
  <c r="M171" i="123"/>
  <c r="E171" i="123"/>
  <c r="B171" i="123"/>
  <c r="H171" i="123" s="1"/>
  <c r="M170" i="123"/>
  <c r="E170" i="123"/>
  <c r="B170" i="123"/>
  <c r="H170" i="123" s="1"/>
  <c r="M169" i="123"/>
  <c r="E169" i="123"/>
  <c r="H169" i="123" s="1"/>
  <c r="B169" i="123"/>
  <c r="M168" i="123"/>
  <c r="E168" i="123"/>
  <c r="B168" i="123"/>
  <c r="H168" i="123" s="1"/>
  <c r="M167" i="123"/>
  <c r="E167" i="123"/>
  <c r="B167" i="123"/>
  <c r="H167" i="123" s="1"/>
  <c r="M166" i="123"/>
  <c r="E166" i="123"/>
  <c r="B166" i="123"/>
  <c r="H166" i="123" s="1"/>
  <c r="M165" i="123"/>
  <c r="H165" i="123"/>
  <c r="E165" i="123"/>
  <c r="B165" i="123"/>
  <c r="M164" i="123"/>
  <c r="H164" i="123"/>
  <c r="E164" i="123"/>
  <c r="B164" i="123"/>
  <c r="M163" i="123"/>
  <c r="E163" i="123"/>
  <c r="B163" i="123"/>
  <c r="H163" i="123" s="1"/>
  <c r="M162" i="123"/>
  <c r="E162" i="123"/>
  <c r="B162" i="123"/>
  <c r="M161" i="123"/>
  <c r="E161" i="123"/>
  <c r="B161" i="123"/>
  <c r="M160" i="123"/>
  <c r="E160" i="123"/>
  <c r="B160" i="123"/>
  <c r="H160" i="123" s="1"/>
  <c r="M159" i="123"/>
  <c r="E159" i="123"/>
  <c r="B159" i="123"/>
  <c r="H159" i="123" s="1"/>
  <c r="M158" i="123"/>
  <c r="E158" i="123"/>
  <c r="B158" i="123"/>
  <c r="H158" i="123" s="1"/>
  <c r="M157" i="123"/>
  <c r="H157" i="123"/>
  <c r="E157" i="123"/>
  <c r="B157" i="123"/>
  <c r="M156" i="123"/>
  <c r="H156" i="123"/>
  <c r="E156" i="123"/>
  <c r="B156" i="123"/>
  <c r="M155" i="123"/>
  <c r="E155" i="123"/>
  <c r="B155" i="123"/>
  <c r="H155" i="123" s="1"/>
  <c r="M154" i="123"/>
  <c r="E154" i="123"/>
  <c r="B154" i="123"/>
  <c r="M153" i="123"/>
  <c r="E153" i="123"/>
  <c r="H153" i="123" s="1"/>
  <c r="B153" i="123"/>
  <c r="M152" i="123"/>
  <c r="E152" i="123"/>
  <c r="B152" i="123"/>
  <c r="H152" i="123" s="1"/>
  <c r="M151" i="123"/>
  <c r="E151" i="123"/>
  <c r="B151" i="123"/>
  <c r="H151" i="123" s="1"/>
  <c r="M150" i="123"/>
  <c r="E150" i="123"/>
  <c r="B150" i="123"/>
  <c r="H150" i="123" s="1"/>
  <c r="M149" i="123"/>
  <c r="H149" i="123"/>
  <c r="E149" i="123"/>
  <c r="B149" i="123"/>
  <c r="M148" i="123"/>
  <c r="H148" i="123"/>
  <c r="E148" i="123"/>
  <c r="B148" i="123"/>
  <c r="M147" i="123"/>
  <c r="E147" i="123"/>
  <c r="B147" i="123"/>
  <c r="H147" i="123" s="1"/>
  <c r="M146" i="123"/>
  <c r="E146" i="123"/>
  <c r="B146" i="123"/>
  <c r="H146" i="123" s="1"/>
  <c r="M145" i="123"/>
  <c r="E145" i="123"/>
  <c r="H145" i="123" s="1"/>
  <c r="B145" i="123"/>
  <c r="M144" i="123"/>
  <c r="E144" i="123"/>
  <c r="B144" i="123"/>
  <c r="H144" i="123" s="1"/>
  <c r="M143" i="123"/>
  <c r="E143" i="123"/>
  <c r="B143" i="123"/>
  <c r="H143" i="123" s="1"/>
  <c r="M142" i="123"/>
  <c r="E142" i="123"/>
  <c r="B142" i="123"/>
  <c r="H142" i="123" s="1"/>
  <c r="H141" i="123"/>
  <c r="H140" i="123"/>
  <c r="H139" i="123"/>
  <c r="H138" i="123"/>
  <c r="H137" i="123"/>
  <c r="H136" i="123"/>
  <c r="H135" i="123"/>
  <c r="H134" i="123"/>
  <c r="H133" i="123"/>
  <c r="H132" i="123"/>
  <c r="H131" i="123"/>
  <c r="H130" i="123"/>
  <c r="H129" i="123"/>
  <c r="H128" i="123"/>
  <c r="H127" i="123"/>
  <c r="H126" i="123"/>
  <c r="H125" i="123"/>
  <c r="H124" i="123"/>
  <c r="H123" i="123"/>
  <c r="H122" i="123"/>
  <c r="H121" i="123"/>
  <c r="H120" i="123"/>
  <c r="H119" i="123"/>
  <c r="H118" i="123"/>
  <c r="H117" i="123"/>
  <c r="A117" i="123"/>
  <c r="A129" i="123" s="1"/>
  <c r="A141" i="123" s="1"/>
  <c r="A153" i="123" s="1"/>
  <c r="A165" i="123" s="1"/>
  <c r="A177" i="123" s="1"/>
  <c r="A189" i="123" s="1"/>
  <c r="A201" i="123" s="1"/>
  <c r="A213" i="123" s="1"/>
  <c r="A225" i="123" s="1"/>
  <c r="H116" i="123"/>
  <c r="A116" i="123"/>
  <c r="A128" i="123" s="1"/>
  <c r="A140" i="123" s="1"/>
  <c r="A152" i="123" s="1"/>
  <c r="A164" i="123" s="1"/>
  <c r="A176" i="123" s="1"/>
  <c r="A188" i="123" s="1"/>
  <c r="A200" i="123" s="1"/>
  <c r="A212" i="123" s="1"/>
  <c r="A224" i="123" s="1"/>
  <c r="H115" i="123"/>
  <c r="A115" i="123"/>
  <c r="A127" i="123" s="1"/>
  <c r="A139" i="123" s="1"/>
  <c r="A151" i="123" s="1"/>
  <c r="A163" i="123" s="1"/>
  <c r="A175" i="123" s="1"/>
  <c r="A187" i="123" s="1"/>
  <c r="A199" i="123" s="1"/>
  <c r="A211" i="123" s="1"/>
  <c r="A223" i="123" s="1"/>
  <c r="H114" i="123"/>
  <c r="A114" i="123"/>
  <c r="A126" i="123" s="1"/>
  <c r="A138" i="123" s="1"/>
  <c r="A150" i="123" s="1"/>
  <c r="A162" i="123" s="1"/>
  <c r="A174" i="123" s="1"/>
  <c r="A186" i="123" s="1"/>
  <c r="A198" i="123" s="1"/>
  <c r="A210" i="123" s="1"/>
  <c r="A222" i="123" s="1"/>
  <c r="H113" i="123"/>
  <c r="A113" i="123"/>
  <c r="A125" i="123" s="1"/>
  <c r="A137" i="123" s="1"/>
  <c r="A149" i="123" s="1"/>
  <c r="A161" i="123" s="1"/>
  <c r="A173" i="123" s="1"/>
  <c r="A185" i="123" s="1"/>
  <c r="A197" i="123" s="1"/>
  <c r="A209" i="123" s="1"/>
  <c r="A221" i="123" s="1"/>
  <c r="H112" i="123"/>
  <c r="A112" i="123"/>
  <c r="A124" i="123" s="1"/>
  <c r="A136" i="123" s="1"/>
  <c r="A148" i="123" s="1"/>
  <c r="A160" i="123" s="1"/>
  <c r="A172" i="123" s="1"/>
  <c r="A184" i="123" s="1"/>
  <c r="A196" i="123" s="1"/>
  <c r="A208" i="123" s="1"/>
  <c r="A220" i="123" s="1"/>
  <c r="H111" i="123"/>
  <c r="A111" i="123"/>
  <c r="A123" i="123" s="1"/>
  <c r="A135" i="123" s="1"/>
  <c r="A147" i="123" s="1"/>
  <c r="A159" i="123" s="1"/>
  <c r="A171" i="123" s="1"/>
  <c r="A183" i="123" s="1"/>
  <c r="A195" i="123" s="1"/>
  <c r="A207" i="123" s="1"/>
  <c r="A219" i="123" s="1"/>
  <c r="H110" i="123"/>
  <c r="A110" i="123"/>
  <c r="A122" i="123" s="1"/>
  <c r="A134" i="123" s="1"/>
  <c r="A146" i="123" s="1"/>
  <c r="A158" i="123" s="1"/>
  <c r="A170" i="123" s="1"/>
  <c r="A182" i="123" s="1"/>
  <c r="A194" i="123" s="1"/>
  <c r="A206" i="123" s="1"/>
  <c r="A218" i="123" s="1"/>
  <c r="H109" i="123"/>
  <c r="A109" i="123"/>
  <c r="A121" i="123" s="1"/>
  <c r="A133" i="123" s="1"/>
  <c r="A145" i="123" s="1"/>
  <c r="A157" i="123" s="1"/>
  <c r="A169" i="123" s="1"/>
  <c r="A181" i="123" s="1"/>
  <c r="A193" i="123" s="1"/>
  <c r="A205" i="123" s="1"/>
  <c r="A217" i="123" s="1"/>
  <c r="H108" i="123"/>
  <c r="A108" i="123"/>
  <c r="A120" i="123" s="1"/>
  <c r="A132" i="123" s="1"/>
  <c r="A144" i="123" s="1"/>
  <c r="A156" i="123" s="1"/>
  <c r="A168" i="123" s="1"/>
  <c r="A180" i="123" s="1"/>
  <c r="A192" i="123" s="1"/>
  <c r="A204" i="123" s="1"/>
  <c r="A216" i="123" s="1"/>
  <c r="H107" i="123"/>
  <c r="A107" i="123"/>
  <c r="A119" i="123" s="1"/>
  <c r="A131" i="123" s="1"/>
  <c r="A143" i="123" s="1"/>
  <c r="A155" i="123" s="1"/>
  <c r="A167" i="123" s="1"/>
  <c r="A179" i="123" s="1"/>
  <c r="A191" i="123" s="1"/>
  <c r="A203" i="123" s="1"/>
  <c r="A215" i="123" s="1"/>
  <c r="H106" i="123"/>
  <c r="A106" i="123"/>
  <c r="A118" i="123" s="1"/>
  <c r="A130" i="123" s="1"/>
  <c r="A142" i="123" s="1"/>
  <c r="A154" i="123" s="1"/>
  <c r="A166" i="123" s="1"/>
  <c r="A178" i="123" s="1"/>
  <c r="A190" i="123" s="1"/>
  <c r="A202" i="123" s="1"/>
  <c r="A214" i="123" s="1"/>
  <c r="H105" i="123"/>
  <c r="H104" i="123"/>
  <c r="H103" i="123"/>
  <c r="H102" i="123"/>
  <c r="H101" i="123"/>
  <c r="H100" i="123"/>
  <c r="H99" i="123"/>
  <c r="H98" i="123"/>
  <c r="H97" i="123"/>
  <c r="H96" i="123"/>
  <c r="H95" i="123"/>
  <c r="H94" i="123"/>
  <c r="H93" i="123"/>
  <c r="H92" i="123"/>
  <c r="H91" i="123"/>
  <c r="H90" i="123"/>
  <c r="H89" i="123"/>
  <c r="H88" i="123"/>
  <c r="H87" i="123"/>
  <c r="H86" i="123"/>
  <c r="H85" i="123"/>
  <c r="H84" i="123"/>
  <c r="H83" i="123"/>
  <c r="H82" i="123"/>
  <c r="H81" i="123"/>
  <c r="H80" i="123"/>
  <c r="H79" i="123"/>
  <c r="H78" i="123"/>
  <c r="H77" i="123"/>
  <c r="H76" i="123"/>
  <c r="H75" i="123"/>
  <c r="H74" i="123"/>
  <c r="H73" i="123"/>
  <c r="H72" i="123"/>
  <c r="H71" i="123"/>
  <c r="H70" i="123"/>
  <c r="H69" i="123"/>
  <c r="H68" i="123"/>
  <c r="H67" i="123"/>
  <c r="H66" i="123"/>
  <c r="H65" i="123"/>
  <c r="H64" i="123"/>
  <c r="H63" i="123"/>
  <c r="H62" i="123"/>
  <c r="H61" i="123"/>
  <c r="H60" i="123"/>
  <c r="H59" i="123"/>
  <c r="H58" i="123"/>
  <c r="H57" i="123"/>
  <c r="H56" i="123"/>
  <c r="H55" i="123"/>
  <c r="H54" i="123"/>
  <c r="H53" i="123"/>
  <c r="H52" i="123"/>
  <c r="H51" i="123"/>
  <c r="H50" i="123"/>
  <c r="H49" i="123"/>
  <c r="H48" i="123"/>
  <c r="H47" i="123"/>
  <c r="H46" i="123"/>
  <c r="H45" i="123"/>
  <c r="H44" i="123"/>
  <c r="H43" i="123"/>
  <c r="H42" i="123"/>
  <c r="H41" i="123"/>
  <c r="H40" i="123"/>
  <c r="H39" i="123"/>
  <c r="H38" i="123"/>
  <c r="H37" i="123"/>
  <c r="H36" i="123"/>
  <c r="H35" i="123"/>
  <c r="H34" i="123"/>
  <c r="H33" i="123"/>
  <c r="H32" i="123"/>
  <c r="H31" i="123"/>
  <c r="H30" i="123"/>
  <c r="H29" i="123"/>
  <c r="H28" i="123"/>
  <c r="H27" i="123"/>
  <c r="H26" i="123"/>
  <c r="H25" i="123"/>
  <c r="H24" i="123"/>
  <c r="H23" i="123"/>
  <c r="H22" i="123"/>
  <c r="H21" i="123"/>
  <c r="H20" i="123"/>
  <c r="H19" i="123"/>
  <c r="H18" i="123"/>
  <c r="H17" i="123"/>
  <c r="H16" i="123"/>
  <c r="H15" i="123"/>
  <c r="H14" i="123"/>
  <c r="H13" i="123"/>
  <c r="H12" i="123"/>
  <c r="H11" i="123"/>
  <c r="H162" i="123" l="1"/>
  <c r="H154" i="123"/>
  <c r="H161" i="123"/>
  <c r="H415" i="11"/>
  <c r="A231" i="152"/>
  <c r="A243" i="152" s="1"/>
  <c r="A255" i="152" s="1"/>
  <c r="A267" i="152" s="1"/>
  <c r="A279" i="152" s="1"/>
  <c r="A291" i="152" s="1"/>
  <c r="A303" i="152" s="1"/>
  <c r="A201" i="152"/>
  <c r="A213" i="152" s="1"/>
  <c r="A225" i="152" s="1"/>
  <c r="A237" i="152" s="1"/>
  <c r="A249" i="152" s="1"/>
  <c r="A261" i="152" s="1"/>
  <c r="A273" i="152" s="1"/>
  <c r="A285" i="152" s="1"/>
  <c r="A297" i="152" s="1"/>
  <c r="A309" i="152" s="1"/>
  <c r="A200" i="152"/>
  <c r="A212" i="152" s="1"/>
  <c r="A224" i="152" s="1"/>
  <c r="A236" i="152" s="1"/>
  <c r="A248" i="152" s="1"/>
  <c r="A260" i="152" s="1"/>
  <c r="A272" i="152" s="1"/>
  <c r="A284" i="152" s="1"/>
  <c r="A296" i="152" s="1"/>
  <c r="A308" i="152" s="1"/>
  <c r="A199" i="152"/>
  <c r="A211" i="152" s="1"/>
  <c r="A223" i="152" s="1"/>
  <c r="A235" i="152" s="1"/>
  <c r="A247" i="152" s="1"/>
  <c r="A259" i="152" s="1"/>
  <c r="A271" i="152" s="1"/>
  <c r="A283" i="152" s="1"/>
  <c r="A295" i="152" s="1"/>
  <c r="A307" i="152" s="1"/>
  <c r="A198" i="152"/>
  <c r="A210" i="152" s="1"/>
  <c r="A222" i="152" s="1"/>
  <c r="A234" i="152" s="1"/>
  <c r="A246" i="152" s="1"/>
  <c r="A258" i="152" s="1"/>
  <c r="A270" i="152" s="1"/>
  <c r="A282" i="152" s="1"/>
  <c r="A294" i="152" s="1"/>
  <c r="A306" i="152" s="1"/>
  <c r="A197" i="152"/>
  <c r="A209" i="152" s="1"/>
  <c r="A221" i="152" s="1"/>
  <c r="A233" i="152" s="1"/>
  <c r="A245" i="152" s="1"/>
  <c r="A257" i="152" s="1"/>
  <c r="A269" i="152" s="1"/>
  <c r="A281" i="152" s="1"/>
  <c r="A293" i="152" s="1"/>
  <c r="A305" i="152" s="1"/>
  <c r="A196" i="152"/>
  <c r="A208" i="152" s="1"/>
  <c r="A220" i="152" s="1"/>
  <c r="A232" i="152" s="1"/>
  <c r="A244" i="152" s="1"/>
  <c r="A256" i="152" s="1"/>
  <c r="A268" i="152" s="1"/>
  <c r="A280" i="152" s="1"/>
  <c r="A292" i="152" s="1"/>
  <c r="A304" i="152" s="1"/>
  <c r="A195" i="152"/>
  <c r="A207" i="152" s="1"/>
  <c r="A219" i="152" s="1"/>
  <c r="A194" i="152"/>
  <c r="A206" i="152" s="1"/>
  <c r="A218" i="152" s="1"/>
  <c r="A230" i="152" s="1"/>
  <c r="A242" i="152" s="1"/>
  <c r="A254" i="152" s="1"/>
  <c r="A266" i="152" s="1"/>
  <c r="A278" i="152" s="1"/>
  <c r="A290" i="152" s="1"/>
  <c r="A302" i="152" s="1"/>
  <c r="A193" i="152"/>
  <c r="A205" i="152" s="1"/>
  <c r="A217" i="152" s="1"/>
  <c r="A229" i="152" s="1"/>
  <c r="A241" i="152" s="1"/>
  <c r="A253" i="152" s="1"/>
  <c r="A265" i="152" s="1"/>
  <c r="A277" i="152" s="1"/>
  <c r="A289" i="152" s="1"/>
  <c r="A301" i="152" s="1"/>
  <c r="A192" i="152"/>
  <c r="A204" i="152" s="1"/>
  <c r="A216" i="152" s="1"/>
  <c r="A228" i="152" s="1"/>
  <c r="A240" i="152" s="1"/>
  <c r="A252" i="152" s="1"/>
  <c r="A264" i="152" s="1"/>
  <c r="A276" i="152" s="1"/>
  <c r="A288" i="152" s="1"/>
  <c r="A300" i="152" s="1"/>
  <c r="A191" i="152"/>
  <c r="A203" i="152" s="1"/>
  <c r="A215" i="152" s="1"/>
  <c r="A227" i="152" s="1"/>
  <c r="A239" i="152" s="1"/>
  <c r="A251" i="152" s="1"/>
  <c r="A263" i="152" s="1"/>
  <c r="A275" i="152" s="1"/>
  <c r="A287" i="152" s="1"/>
  <c r="A299" i="152" s="1"/>
  <c r="A190" i="152"/>
  <c r="A202" i="152" s="1"/>
  <c r="A214" i="152" s="1"/>
  <c r="A226" i="152" s="1"/>
  <c r="A238" i="152" s="1"/>
  <c r="A250" i="152" s="1"/>
  <c r="A262" i="152" s="1"/>
  <c r="A274" i="152" s="1"/>
  <c r="A286" i="152" s="1"/>
  <c r="A298" i="152" s="1"/>
  <c r="A21" i="152"/>
  <c r="A20" i="152"/>
  <c r="A19" i="152"/>
  <c r="A18" i="152"/>
  <c r="A17" i="152"/>
  <c r="A16" i="152"/>
  <c r="A15" i="152"/>
  <c r="A14" i="152"/>
  <c r="A13" i="152"/>
  <c r="A12" i="152"/>
  <c r="A11" i="152"/>
  <c r="A10" i="152"/>
  <c r="G118" i="135"/>
  <c r="Z146" i="106" l="1"/>
  <c r="V133" i="38" l="1"/>
  <c r="J10" i="49"/>
  <c r="A106" i="151" l="1"/>
  <c r="A107" i="151"/>
  <c r="A108" i="151"/>
  <c r="A109" i="151"/>
  <c r="A121" i="151" s="1"/>
  <c r="A133" i="151" s="1"/>
  <c r="A145" i="151" s="1"/>
  <c r="A157" i="151" s="1"/>
  <c r="A169" i="151" s="1"/>
  <c r="A181" i="151" s="1"/>
  <c r="A193" i="151" s="1"/>
  <c r="A205" i="151" s="1"/>
  <c r="A217" i="151" s="1"/>
  <c r="A110" i="151"/>
  <c r="A122" i="151" s="1"/>
  <c r="A134" i="151" s="1"/>
  <c r="A146" i="151" s="1"/>
  <c r="A158" i="151" s="1"/>
  <c r="A170" i="151" s="1"/>
  <c r="A182" i="151" s="1"/>
  <c r="A194" i="151" s="1"/>
  <c r="A206" i="151" s="1"/>
  <c r="A218" i="151" s="1"/>
  <c r="A111" i="151"/>
  <c r="A123" i="151" s="1"/>
  <c r="A135" i="151" s="1"/>
  <c r="A147" i="151" s="1"/>
  <c r="A159" i="151" s="1"/>
  <c r="A171" i="151" s="1"/>
  <c r="A183" i="151" s="1"/>
  <c r="A195" i="151" s="1"/>
  <c r="A207" i="151" s="1"/>
  <c r="A219" i="151" s="1"/>
  <c r="A112" i="151"/>
  <c r="A124" i="151" s="1"/>
  <c r="A136" i="151" s="1"/>
  <c r="A148" i="151" s="1"/>
  <c r="A160" i="151" s="1"/>
  <c r="A172" i="151" s="1"/>
  <c r="A184" i="151" s="1"/>
  <c r="A196" i="151" s="1"/>
  <c r="A208" i="151" s="1"/>
  <c r="A113" i="151"/>
  <c r="A125" i="151" s="1"/>
  <c r="A137" i="151" s="1"/>
  <c r="A149" i="151" s="1"/>
  <c r="A161" i="151" s="1"/>
  <c r="A173" i="151" s="1"/>
  <c r="A185" i="151" s="1"/>
  <c r="A197" i="151" s="1"/>
  <c r="A209" i="151" s="1"/>
  <c r="A221" i="151" s="1"/>
  <c r="A114" i="151"/>
  <c r="A126" i="151" s="1"/>
  <c r="A138" i="151" s="1"/>
  <c r="A150" i="151" s="1"/>
  <c r="A162" i="151" s="1"/>
  <c r="A174" i="151" s="1"/>
  <c r="A186" i="151" s="1"/>
  <c r="A198" i="151" s="1"/>
  <c r="A210" i="151" s="1"/>
  <c r="A222" i="151" s="1"/>
  <c r="A115" i="151"/>
  <c r="A127" i="151" s="1"/>
  <c r="A139" i="151" s="1"/>
  <c r="A151" i="151" s="1"/>
  <c r="A163" i="151" s="1"/>
  <c r="A175" i="151" s="1"/>
  <c r="A187" i="151" s="1"/>
  <c r="A199" i="151" s="1"/>
  <c r="A211" i="151" s="1"/>
  <c r="A223" i="151" s="1"/>
  <c r="A116" i="151"/>
  <c r="A128" i="151" s="1"/>
  <c r="A140" i="151" s="1"/>
  <c r="A152" i="151" s="1"/>
  <c r="A164" i="151" s="1"/>
  <c r="A176" i="151" s="1"/>
  <c r="A188" i="151" s="1"/>
  <c r="A117" i="151"/>
  <c r="A129" i="151" s="1"/>
  <c r="A141" i="151" s="1"/>
  <c r="A153" i="151" s="1"/>
  <c r="A165" i="151" s="1"/>
  <c r="A177" i="151" s="1"/>
  <c r="A189" i="151" s="1"/>
  <c r="A201" i="151" s="1"/>
  <c r="A213" i="151" s="1"/>
  <c r="A225" i="151" s="1"/>
  <c r="A118" i="151"/>
  <c r="A130" i="151" s="1"/>
  <c r="A142" i="151" s="1"/>
  <c r="A154" i="151" s="1"/>
  <c r="A166" i="151" s="1"/>
  <c r="A178" i="151" s="1"/>
  <c r="A190" i="151" s="1"/>
  <c r="A202" i="151" s="1"/>
  <c r="A214" i="151" s="1"/>
  <c r="A119" i="151"/>
  <c r="A131" i="151" s="1"/>
  <c r="A143" i="151" s="1"/>
  <c r="A155" i="151" s="1"/>
  <c r="A167" i="151" s="1"/>
  <c r="A179" i="151" s="1"/>
  <c r="A191" i="151" s="1"/>
  <c r="A203" i="151" s="1"/>
  <c r="A215" i="151" s="1"/>
  <c r="A120" i="151"/>
  <c r="A132" i="151" s="1"/>
  <c r="A144" i="151" s="1"/>
  <c r="A156" i="151" s="1"/>
  <c r="A168" i="151" s="1"/>
  <c r="A180" i="151" s="1"/>
  <c r="A192" i="151" s="1"/>
  <c r="A204" i="151" s="1"/>
  <c r="A216" i="151" s="1"/>
  <c r="A200" i="151"/>
  <c r="A212" i="151" s="1"/>
  <c r="A224" i="151" s="1"/>
  <c r="A220" i="151"/>
  <c r="C107" i="114"/>
  <c r="C108" i="114"/>
  <c r="B106" i="114"/>
  <c r="C125" i="114"/>
  <c r="B111" i="114"/>
  <c r="B112" i="114"/>
  <c r="B110" i="114"/>
  <c r="B109" i="114"/>
  <c r="B107" i="114"/>
  <c r="N390" i="24"/>
  <c r="K2" i="3"/>
  <c r="G45" i="53" l="1"/>
  <c r="G14" i="53"/>
  <c r="E130" i="147" l="1"/>
  <c r="H130" i="147"/>
  <c r="H414" i="11" l="1"/>
  <c r="L416" i="108"/>
  <c r="Y36" i="141"/>
  <c r="Y20" i="141"/>
  <c r="Y21" i="141"/>
  <c r="Y22" i="141"/>
  <c r="Y23" i="141"/>
  <c r="Y25" i="141"/>
  <c r="Y26" i="141"/>
  <c r="Y27" i="141"/>
  <c r="Y28" i="141"/>
  <c r="Y29" i="141"/>
  <c r="Y30" i="141"/>
  <c r="Y31" i="141"/>
  <c r="Y32" i="141"/>
  <c r="Y33" i="141"/>
  <c r="Y34" i="141"/>
  <c r="Y35" i="141"/>
  <c r="Y37" i="141"/>
  <c r="Y38" i="141"/>
  <c r="Y39" i="141"/>
  <c r="Y40" i="141"/>
  <c r="Y41" i="141"/>
  <c r="Y42" i="141"/>
  <c r="Y43" i="141"/>
  <c r="Y44" i="141"/>
  <c r="Y45" i="141"/>
  <c r="Y46" i="141"/>
  <c r="Y47" i="141"/>
  <c r="Y48" i="141"/>
  <c r="Y49" i="141"/>
  <c r="Y50" i="141"/>
  <c r="Y51" i="141"/>
  <c r="Y52" i="141"/>
  <c r="Y53" i="141"/>
  <c r="Y54" i="141"/>
  <c r="Y55" i="141"/>
  <c r="Y56" i="141"/>
  <c r="Y57" i="141"/>
  <c r="Y58" i="141"/>
  <c r="Y59" i="141"/>
  <c r="Y60" i="141"/>
  <c r="Y61" i="141"/>
  <c r="Y62" i="141"/>
  <c r="Y63" i="141"/>
  <c r="Y64" i="141"/>
  <c r="Y65" i="141"/>
  <c r="Y66" i="141"/>
  <c r="Y67" i="141"/>
  <c r="Y68" i="141"/>
  <c r="Y69" i="141"/>
  <c r="Y70" i="141"/>
  <c r="Y71" i="141"/>
  <c r="Y72" i="141"/>
  <c r="Y73" i="141"/>
  <c r="Y74" i="141"/>
  <c r="Y75" i="141"/>
  <c r="Y76" i="141"/>
  <c r="Y77" i="141"/>
  <c r="Y78" i="141"/>
  <c r="Y79" i="141"/>
  <c r="Y80" i="141"/>
  <c r="Y81" i="141"/>
  <c r="Y82" i="141"/>
  <c r="Y83" i="141"/>
  <c r="Y84" i="141"/>
  <c r="Y85" i="141"/>
  <c r="Y86" i="141"/>
  <c r="Y87" i="141"/>
  <c r="Y88" i="141"/>
  <c r="Y89" i="141"/>
  <c r="Y90" i="141"/>
  <c r="Y91" i="141"/>
  <c r="Y92" i="141"/>
  <c r="Y93" i="141"/>
  <c r="Y94" i="141"/>
  <c r="Y95" i="141"/>
  <c r="C41" i="141"/>
  <c r="L41" i="141"/>
  <c r="AA24" i="141"/>
  <c r="AB24" i="141"/>
  <c r="AC24" i="141"/>
  <c r="AD24" i="141"/>
  <c r="AE24" i="141"/>
  <c r="AF24" i="141"/>
  <c r="AG24" i="141"/>
  <c r="AH24" i="141"/>
  <c r="AI24" i="141"/>
  <c r="AJ24" i="141"/>
  <c r="Z24" i="141"/>
  <c r="AK94" i="141"/>
  <c r="AK93" i="141"/>
  <c r="AK92" i="141"/>
  <c r="AK91" i="141"/>
  <c r="AK90" i="141"/>
  <c r="AK89" i="141"/>
  <c r="AK88" i="141"/>
  <c r="AK87" i="141"/>
  <c r="AK86" i="141"/>
  <c r="AK85" i="141"/>
  <c r="AK84" i="141"/>
  <c r="AK83" i="141"/>
  <c r="AK82" i="141"/>
  <c r="AK81" i="141"/>
  <c r="AK80" i="141"/>
  <c r="AK79" i="141"/>
  <c r="AK78" i="141"/>
  <c r="AK77" i="141"/>
  <c r="AK76" i="141"/>
  <c r="AK75" i="141"/>
  <c r="AK74" i="141"/>
  <c r="AK73" i="141"/>
  <c r="AK72" i="141"/>
  <c r="AK71" i="141"/>
  <c r="AK70" i="141"/>
  <c r="AK69" i="141"/>
  <c r="AK68" i="141"/>
  <c r="AK67" i="141"/>
  <c r="AK66" i="141"/>
  <c r="AK65" i="141"/>
  <c r="AK64" i="141"/>
  <c r="AK63" i="141"/>
  <c r="AK62" i="141"/>
  <c r="AK61" i="141"/>
  <c r="AK60" i="141"/>
  <c r="AK59" i="141"/>
  <c r="AK11" i="141"/>
  <c r="AK12" i="141"/>
  <c r="AK13" i="141"/>
  <c r="AK14" i="141"/>
  <c r="AK15" i="141"/>
  <c r="AK16" i="141"/>
  <c r="AK17" i="141"/>
  <c r="AK18" i="141"/>
  <c r="AK19" i="141"/>
  <c r="AK20" i="141"/>
  <c r="AK21" i="141"/>
  <c r="AK22" i="141"/>
  <c r="AK23" i="141"/>
  <c r="AK25" i="141"/>
  <c r="AK26" i="141"/>
  <c r="AK27" i="141"/>
  <c r="AK28" i="141"/>
  <c r="AK29" i="141"/>
  <c r="AK30" i="141"/>
  <c r="AK31" i="141"/>
  <c r="AK32" i="141"/>
  <c r="AK33" i="141"/>
  <c r="AK34" i="141"/>
  <c r="AK35" i="141"/>
  <c r="AK36" i="141"/>
  <c r="AK37" i="141"/>
  <c r="AK38" i="141"/>
  <c r="AK39" i="141"/>
  <c r="AK40" i="141"/>
  <c r="AK41" i="141"/>
  <c r="AK42" i="141"/>
  <c r="AK43" i="141"/>
  <c r="AK44" i="141"/>
  <c r="AK45" i="141"/>
  <c r="AK46" i="141"/>
  <c r="AK47" i="141"/>
  <c r="AK48" i="141"/>
  <c r="AK49" i="141"/>
  <c r="AK50" i="141"/>
  <c r="AK51" i="141"/>
  <c r="AK52" i="141"/>
  <c r="AK53" i="141"/>
  <c r="AK54" i="141"/>
  <c r="AK55" i="141"/>
  <c r="AK10" i="141"/>
  <c r="AK117" i="141"/>
  <c r="AK116" i="141"/>
  <c r="AK115" i="141"/>
  <c r="AK114" i="141"/>
  <c r="AK113" i="141"/>
  <c r="AK112" i="141"/>
  <c r="AK111" i="141"/>
  <c r="AK110" i="141"/>
  <c r="AK109" i="141"/>
  <c r="AK108" i="141"/>
  <c r="AK107" i="141"/>
  <c r="AK106" i="141"/>
  <c r="AK105" i="141"/>
  <c r="AK104" i="141"/>
  <c r="AK103" i="141"/>
  <c r="AK102" i="141"/>
  <c r="AK101" i="141"/>
  <c r="AK100" i="141"/>
  <c r="AK99" i="141"/>
  <c r="AK98" i="141"/>
  <c r="AK97" i="141"/>
  <c r="J294" i="150"/>
  <c r="M54" i="149"/>
  <c r="V54" i="149" s="1"/>
  <c r="M53" i="149"/>
  <c r="V53" i="149" s="1"/>
  <c r="M52" i="149"/>
  <c r="V52" i="149" s="1"/>
  <c r="M51" i="149"/>
  <c r="V51" i="149" s="1"/>
  <c r="M50" i="149"/>
  <c r="V50" i="149" s="1"/>
  <c r="M49" i="149"/>
  <c r="V49" i="149" s="1"/>
  <c r="M48" i="149"/>
  <c r="V48" i="149" s="1"/>
  <c r="M47" i="149"/>
  <c r="M46" i="149"/>
  <c r="M45" i="149"/>
  <c r="M44" i="149"/>
  <c r="M43" i="149"/>
  <c r="M42" i="149"/>
  <c r="M41" i="149"/>
  <c r="M40" i="149"/>
  <c r="M39" i="149"/>
  <c r="M38" i="149"/>
  <c r="M37" i="149"/>
  <c r="M36" i="149"/>
  <c r="M35" i="149"/>
  <c r="M34" i="149"/>
  <c r="M33" i="149"/>
  <c r="M32" i="149"/>
  <c r="M31" i="149"/>
  <c r="M30" i="149"/>
  <c r="M29" i="149"/>
  <c r="M28" i="149"/>
  <c r="M27" i="149"/>
  <c r="M26" i="149"/>
  <c r="M25" i="149"/>
  <c r="M24" i="149"/>
  <c r="M23" i="149"/>
  <c r="M22" i="149"/>
  <c r="M21" i="149"/>
  <c r="M20" i="149"/>
  <c r="J53" i="149"/>
  <c r="J52" i="149"/>
  <c r="J51" i="149"/>
  <c r="J50" i="149"/>
  <c r="J49" i="149"/>
  <c r="J48" i="149"/>
  <c r="J47" i="149"/>
  <c r="J46" i="149"/>
  <c r="J45" i="149"/>
  <c r="J44" i="149"/>
  <c r="J43" i="149"/>
  <c r="J42" i="149"/>
  <c r="J41" i="149"/>
  <c r="J40" i="149"/>
  <c r="J39" i="149"/>
  <c r="J38" i="149"/>
  <c r="J37" i="149"/>
  <c r="J36" i="149"/>
  <c r="J35" i="149"/>
  <c r="J34" i="149"/>
  <c r="J33" i="149"/>
  <c r="J32" i="149"/>
  <c r="J31" i="149"/>
  <c r="P31" i="149" s="1"/>
  <c r="J30" i="149"/>
  <c r="P30" i="149" s="1"/>
  <c r="J29" i="149"/>
  <c r="P29" i="149" s="1"/>
  <c r="J28" i="149"/>
  <c r="P28" i="149" s="1"/>
  <c r="J27" i="149"/>
  <c r="P27" i="149" s="1"/>
  <c r="J26" i="149"/>
  <c r="P26" i="149" s="1"/>
  <c r="J25" i="149"/>
  <c r="P25" i="149" s="1"/>
  <c r="J24" i="149"/>
  <c r="P24" i="149" s="1"/>
  <c r="J23" i="149"/>
  <c r="P23" i="149" s="1"/>
  <c r="J22" i="149"/>
  <c r="J21" i="149"/>
  <c r="J20" i="149"/>
  <c r="J11" i="150"/>
  <c r="K11" i="150"/>
  <c r="J12" i="150"/>
  <c r="K12" i="150"/>
  <c r="J13" i="150"/>
  <c r="K13" i="150"/>
  <c r="J14" i="150"/>
  <c r="K14" i="150"/>
  <c r="J15" i="150"/>
  <c r="K15" i="150"/>
  <c r="J16" i="150"/>
  <c r="K16" i="150"/>
  <c r="J17" i="150"/>
  <c r="K17" i="150"/>
  <c r="J18" i="150"/>
  <c r="K18" i="150"/>
  <c r="J19" i="150"/>
  <c r="K19" i="150"/>
  <c r="J20" i="150"/>
  <c r="K20" i="150"/>
  <c r="J21" i="150"/>
  <c r="K21" i="150"/>
  <c r="J22" i="150"/>
  <c r="K22" i="150"/>
  <c r="J23" i="150"/>
  <c r="K23" i="150"/>
  <c r="J24" i="150"/>
  <c r="K24" i="150"/>
  <c r="J25" i="150"/>
  <c r="K25" i="150"/>
  <c r="J26" i="150"/>
  <c r="K26" i="150"/>
  <c r="J27" i="150"/>
  <c r="K27" i="150"/>
  <c r="J28" i="150"/>
  <c r="K28" i="150"/>
  <c r="J29" i="150"/>
  <c r="K29" i="150"/>
  <c r="J30" i="150"/>
  <c r="K30" i="150"/>
  <c r="J31" i="150"/>
  <c r="K31" i="150"/>
  <c r="J32" i="150"/>
  <c r="K32" i="150"/>
  <c r="J33" i="150"/>
  <c r="K33" i="150"/>
  <c r="J34" i="150"/>
  <c r="K34" i="150"/>
  <c r="J35" i="150"/>
  <c r="K35" i="150"/>
  <c r="J36" i="150"/>
  <c r="K36" i="150"/>
  <c r="J37" i="150"/>
  <c r="K37" i="150"/>
  <c r="J38" i="150"/>
  <c r="K38" i="150"/>
  <c r="J39" i="150"/>
  <c r="K39" i="150"/>
  <c r="J40" i="150"/>
  <c r="K40" i="150"/>
  <c r="J41" i="150"/>
  <c r="K41" i="150"/>
  <c r="J42" i="150"/>
  <c r="K42" i="150"/>
  <c r="J43" i="150"/>
  <c r="K43" i="150"/>
  <c r="J44" i="150"/>
  <c r="K44" i="150"/>
  <c r="J45" i="150"/>
  <c r="K45" i="150"/>
  <c r="J46" i="150"/>
  <c r="K46" i="150"/>
  <c r="J47" i="150"/>
  <c r="K47" i="150"/>
  <c r="J48" i="150"/>
  <c r="K48" i="150"/>
  <c r="J49" i="150"/>
  <c r="K49" i="150"/>
  <c r="J50" i="150"/>
  <c r="K50" i="150"/>
  <c r="J51" i="150"/>
  <c r="K51" i="150"/>
  <c r="J52" i="150"/>
  <c r="K52" i="150"/>
  <c r="J53" i="150"/>
  <c r="K53" i="150"/>
  <c r="J54" i="150"/>
  <c r="K54" i="150"/>
  <c r="J55" i="150"/>
  <c r="K55" i="150"/>
  <c r="J56" i="150"/>
  <c r="K56" i="150"/>
  <c r="J57" i="150"/>
  <c r="K57" i="150"/>
  <c r="J58" i="150"/>
  <c r="K58" i="150"/>
  <c r="J59" i="150"/>
  <c r="K59" i="150"/>
  <c r="J60" i="150"/>
  <c r="K60" i="150"/>
  <c r="J61" i="150"/>
  <c r="K61" i="150"/>
  <c r="J62" i="150"/>
  <c r="K62" i="150"/>
  <c r="J63" i="150"/>
  <c r="K63" i="150"/>
  <c r="J64" i="150"/>
  <c r="K64" i="150"/>
  <c r="J65" i="150"/>
  <c r="K65" i="150"/>
  <c r="J66" i="150"/>
  <c r="K66" i="150"/>
  <c r="J67" i="150"/>
  <c r="K67" i="150"/>
  <c r="J68" i="150"/>
  <c r="K68" i="150"/>
  <c r="J69" i="150"/>
  <c r="K69" i="150"/>
  <c r="J70" i="150"/>
  <c r="K70" i="150"/>
  <c r="J71" i="150"/>
  <c r="K71" i="150"/>
  <c r="J72" i="150"/>
  <c r="K72" i="150"/>
  <c r="J73" i="150"/>
  <c r="K73" i="150"/>
  <c r="J74" i="150"/>
  <c r="K74" i="150"/>
  <c r="J75" i="150"/>
  <c r="K75" i="150"/>
  <c r="J76" i="150"/>
  <c r="K76" i="150"/>
  <c r="J77" i="150"/>
  <c r="K77" i="150"/>
  <c r="J78" i="150"/>
  <c r="K78" i="150"/>
  <c r="J79" i="150"/>
  <c r="K79" i="150"/>
  <c r="J80" i="150"/>
  <c r="K80" i="150"/>
  <c r="J81" i="150"/>
  <c r="K81" i="150"/>
  <c r="J82" i="150"/>
  <c r="K82" i="150"/>
  <c r="J83" i="150"/>
  <c r="K83" i="150"/>
  <c r="J84" i="150"/>
  <c r="K84" i="150"/>
  <c r="J85" i="150"/>
  <c r="K85" i="150"/>
  <c r="J86" i="150"/>
  <c r="K86" i="150"/>
  <c r="J87" i="150"/>
  <c r="K87" i="150"/>
  <c r="J88" i="150"/>
  <c r="K88" i="150"/>
  <c r="J89" i="150"/>
  <c r="K89" i="150"/>
  <c r="J90" i="150"/>
  <c r="K90" i="150"/>
  <c r="J91" i="150"/>
  <c r="K91" i="150"/>
  <c r="J92" i="150"/>
  <c r="K92" i="150"/>
  <c r="J93" i="150"/>
  <c r="K93" i="150"/>
  <c r="J94" i="150"/>
  <c r="K94" i="150"/>
  <c r="J95" i="150"/>
  <c r="K95" i="150"/>
  <c r="J96" i="150"/>
  <c r="K96" i="150"/>
  <c r="J97" i="150"/>
  <c r="K97" i="150"/>
  <c r="J98" i="150"/>
  <c r="K98" i="150"/>
  <c r="J99" i="150"/>
  <c r="K99" i="150"/>
  <c r="J100" i="150"/>
  <c r="K100" i="150"/>
  <c r="J101" i="150"/>
  <c r="K101" i="150"/>
  <c r="J102" i="150"/>
  <c r="K102" i="150"/>
  <c r="J103" i="150"/>
  <c r="K103" i="150"/>
  <c r="J104" i="150"/>
  <c r="K104" i="150"/>
  <c r="J105" i="150"/>
  <c r="K105" i="150"/>
  <c r="J106" i="150"/>
  <c r="K106" i="150"/>
  <c r="J107" i="150"/>
  <c r="K107" i="150"/>
  <c r="J108" i="150"/>
  <c r="K108" i="150"/>
  <c r="J109" i="150"/>
  <c r="K109" i="150"/>
  <c r="J110" i="150"/>
  <c r="K110" i="150"/>
  <c r="J111" i="150"/>
  <c r="K111" i="150"/>
  <c r="J112" i="150"/>
  <c r="K112" i="150"/>
  <c r="J113" i="150"/>
  <c r="K113" i="150"/>
  <c r="J114" i="150"/>
  <c r="K114" i="150"/>
  <c r="J115" i="150"/>
  <c r="K115" i="150"/>
  <c r="J116" i="150"/>
  <c r="K116" i="150"/>
  <c r="J117" i="150"/>
  <c r="K117" i="150"/>
  <c r="J118" i="150"/>
  <c r="K118" i="150"/>
  <c r="J119" i="150"/>
  <c r="K119" i="150"/>
  <c r="J120" i="150"/>
  <c r="K120" i="150"/>
  <c r="J121" i="150"/>
  <c r="K121" i="150"/>
  <c r="J122" i="150"/>
  <c r="K122" i="150"/>
  <c r="J123" i="150"/>
  <c r="K123" i="150"/>
  <c r="J124" i="150"/>
  <c r="K124" i="150"/>
  <c r="J125" i="150"/>
  <c r="K125" i="150"/>
  <c r="J126" i="150"/>
  <c r="K126" i="150"/>
  <c r="J127" i="150"/>
  <c r="K127" i="150"/>
  <c r="J128" i="150"/>
  <c r="K128" i="150"/>
  <c r="J129" i="150"/>
  <c r="K129" i="150"/>
  <c r="J130" i="150"/>
  <c r="K130" i="150"/>
  <c r="J131" i="150"/>
  <c r="K131" i="150"/>
  <c r="J132" i="150"/>
  <c r="K132" i="150"/>
  <c r="J133" i="150"/>
  <c r="K133" i="150"/>
  <c r="J134" i="150"/>
  <c r="K134" i="150"/>
  <c r="J135" i="150"/>
  <c r="K135" i="150"/>
  <c r="J136" i="150"/>
  <c r="K136" i="150"/>
  <c r="J137" i="150"/>
  <c r="K137" i="150"/>
  <c r="J138" i="150"/>
  <c r="K138" i="150"/>
  <c r="J139" i="150"/>
  <c r="K139" i="150"/>
  <c r="J140" i="150"/>
  <c r="K140" i="150"/>
  <c r="J141" i="150"/>
  <c r="K141" i="150"/>
  <c r="J142" i="150"/>
  <c r="K142" i="150"/>
  <c r="J143" i="150"/>
  <c r="K143" i="150"/>
  <c r="J144" i="150"/>
  <c r="K144" i="150"/>
  <c r="J145" i="150"/>
  <c r="K145" i="150"/>
  <c r="J146" i="150"/>
  <c r="K146" i="150"/>
  <c r="J147" i="150"/>
  <c r="K147" i="150"/>
  <c r="J148" i="150"/>
  <c r="K148" i="150"/>
  <c r="J149" i="150"/>
  <c r="K149" i="150"/>
  <c r="J150" i="150"/>
  <c r="K150" i="150"/>
  <c r="J151" i="150"/>
  <c r="K151" i="150"/>
  <c r="J152" i="150"/>
  <c r="K152" i="150"/>
  <c r="J153" i="150"/>
  <c r="K153" i="150"/>
  <c r="J154" i="150"/>
  <c r="K154" i="150"/>
  <c r="J155" i="150"/>
  <c r="K155" i="150"/>
  <c r="J156" i="150"/>
  <c r="K156" i="150"/>
  <c r="J157" i="150"/>
  <c r="K157" i="150"/>
  <c r="J158" i="150"/>
  <c r="K158" i="150"/>
  <c r="J159" i="150"/>
  <c r="K159" i="150"/>
  <c r="J160" i="150"/>
  <c r="K160" i="150"/>
  <c r="J161" i="150"/>
  <c r="K161" i="150"/>
  <c r="J162" i="150"/>
  <c r="K162" i="150"/>
  <c r="J163" i="150"/>
  <c r="K163" i="150"/>
  <c r="J164" i="150"/>
  <c r="K164" i="150"/>
  <c r="J165" i="150"/>
  <c r="K165" i="150"/>
  <c r="J166" i="150"/>
  <c r="K166" i="150"/>
  <c r="J167" i="150"/>
  <c r="K167" i="150"/>
  <c r="J168" i="150"/>
  <c r="K168" i="150"/>
  <c r="J169" i="150"/>
  <c r="K169" i="150"/>
  <c r="J170" i="150"/>
  <c r="K170" i="150"/>
  <c r="J171" i="150"/>
  <c r="K171" i="150"/>
  <c r="J172" i="150"/>
  <c r="K172" i="150"/>
  <c r="J173" i="150"/>
  <c r="K173" i="150"/>
  <c r="J174" i="150"/>
  <c r="K174" i="150"/>
  <c r="J175" i="150"/>
  <c r="K175" i="150"/>
  <c r="J176" i="150"/>
  <c r="K176" i="150"/>
  <c r="J177" i="150"/>
  <c r="K177" i="150"/>
  <c r="J178" i="150"/>
  <c r="K178" i="150"/>
  <c r="J179" i="150"/>
  <c r="K179" i="150"/>
  <c r="J180" i="150"/>
  <c r="K180" i="150"/>
  <c r="J181" i="150"/>
  <c r="K181" i="150"/>
  <c r="J182" i="150"/>
  <c r="K182" i="150"/>
  <c r="J183" i="150"/>
  <c r="K183" i="150"/>
  <c r="J184" i="150"/>
  <c r="K184" i="150"/>
  <c r="J185" i="150"/>
  <c r="K185" i="150"/>
  <c r="J186" i="150"/>
  <c r="K186" i="150"/>
  <c r="J187" i="150"/>
  <c r="K187" i="150"/>
  <c r="J188" i="150"/>
  <c r="K188" i="150"/>
  <c r="J189" i="150"/>
  <c r="K189" i="150"/>
  <c r="J190" i="150"/>
  <c r="K190" i="150"/>
  <c r="J191" i="150"/>
  <c r="K191" i="150"/>
  <c r="J192" i="150"/>
  <c r="K192" i="150"/>
  <c r="J193" i="150"/>
  <c r="K193" i="150"/>
  <c r="J194" i="150"/>
  <c r="K194" i="150"/>
  <c r="J195" i="150"/>
  <c r="K195" i="150"/>
  <c r="J196" i="150"/>
  <c r="K196" i="150"/>
  <c r="J197" i="150"/>
  <c r="K197" i="150"/>
  <c r="J198" i="150"/>
  <c r="K198" i="150"/>
  <c r="J199" i="150"/>
  <c r="K199" i="150"/>
  <c r="J200" i="150"/>
  <c r="K200" i="150"/>
  <c r="J201" i="150"/>
  <c r="K201" i="150"/>
  <c r="J202" i="150"/>
  <c r="K202" i="150"/>
  <c r="J203" i="150"/>
  <c r="K203" i="150"/>
  <c r="J204" i="150"/>
  <c r="K204" i="150"/>
  <c r="J205" i="150"/>
  <c r="K205" i="150"/>
  <c r="J206" i="150"/>
  <c r="K206" i="150"/>
  <c r="J207" i="150"/>
  <c r="K207" i="150"/>
  <c r="J208" i="150"/>
  <c r="K208" i="150"/>
  <c r="J209" i="150"/>
  <c r="K209" i="150"/>
  <c r="J210" i="150"/>
  <c r="K210" i="150"/>
  <c r="J211" i="150"/>
  <c r="K211" i="150"/>
  <c r="J212" i="150"/>
  <c r="K212" i="150"/>
  <c r="J213" i="150"/>
  <c r="K213" i="150"/>
  <c r="J214" i="150"/>
  <c r="K214" i="150"/>
  <c r="J215" i="150"/>
  <c r="K215" i="150"/>
  <c r="J216" i="150"/>
  <c r="K216" i="150"/>
  <c r="J217" i="150"/>
  <c r="K217" i="150"/>
  <c r="J218" i="150"/>
  <c r="K218" i="150"/>
  <c r="J219" i="150"/>
  <c r="K219" i="150"/>
  <c r="J220" i="150"/>
  <c r="K220" i="150"/>
  <c r="J221" i="150"/>
  <c r="K221" i="150"/>
  <c r="J222" i="150"/>
  <c r="K222" i="150"/>
  <c r="J223" i="150"/>
  <c r="K223" i="150"/>
  <c r="J224" i="150"/>
  <c r="K224" i="150"/>
  <c r="J225" i="150"/>
  <c r="K225" i="150"/>
  <c r="J226" i="150"/>
  <c r="K226" i="150"/>
  <c r="J227" i="150"/>
  <c r="K227" i="150"/>
  <c r="J228" i="150"/>
  <c r="K228" i="150"/>
  <c r="J229" i="150"/>
  <c r="K229" i="150"/>
  <c r="J230" i="150"/>
  <c r="K230" i="150"/>
  <c r="J231" i="150"/>
  <c r="K231" i="150"/>
  <c r="J232" i="150"/>
  <c r="K232" i="150"/>
  <c r="J233" i="150"/>
  <c r="K233" i="150"/>
  <c r="J234" i="150"/>
  <c r="K234" i="150"/>
  <c r="J235" i="150"/>
  <c r="K235" i="150"/>
  <c r="J236" i="150"/>
  <c r="K236" i="150"/>
  <c r="J237" i="150"/>
  <c r="K237" i="150"/>
  <c r="J238" i="150"/>
  <c r="B51" i="149" s="1"/>
  <c r="P51" i="149" s="1"/>
  <c r="K238" i="150"/>
  <c r="J239" i="150"/>
  <c r="K239" i="150"/>
  <c r="J240" i="150"/>
  <c r="K240" i="150"/>
  <c r="J241" i="150"/>
  <c r="K241" i="150"/>
  <c r="J242" i="150"/>
  <c r="K242" i="150"/>
  <c r="J243" i="150"/>
  <c r="K243" i="150"/>
  <c r="J244" i="150"/>
  <c r="K244" i="150"/>
  <c r="J245" i="150"/>
  <c r="K245" i="150"/>
  <c r="J246" i="150"/>
  <c r="K246" i="150"/>
  <c r="J247" i="150"/>
  <c r="K247" i="150"/>
  <c r="J248" i="150"/>
  <c r="K248" i="150"/>
  <c r="J249" i="150"/>
  <c r="K249" i="150"/>
  <c r="J250" i="150"/>
  <c r="K250" i="150"/>
  <c r="J251" i="150"/>
  <c r="K251" i="150"/>
  <c r="J252" i="150"/>
  <c r="K252" i="150"/>
  <c r="J253" i="150"/>
  <c r="K253" i="150"/>
  <c r="J254" i="150"/>
  <c r="K254" i="150"/>
  <c r="J255" i="150"/>
  <c r="K255" i="150"/>
  <c r="J256" i="150"/>
  <c r="K256" i="150"/>
  <c r="J257" i="150"/>
  <c r="K257" i="150"/>
  <c r="J258" i="150"/>
  <c r="K258" i="150"/>
  <c r="J259" i="150"/>
  <c r="K259" i="150"/>
  <c r="J260" i="150"/>
  <c r="K260" i="150"/>
  <c r="J261" i="150"/>
  <c r="K261" i="150"/>
  <c r="J262" i="150"/>
  <c r="K262" i="150"/>
  <c r="J263" i="150"/>
  <c r="K263" i="150"/>
  <c r="J264" i="150"/>
  <c r="K264" i="150"/>
  <c r="J265" i="150"/>
  <c r="K265" i="150"/>
  <c r="J266" i="150"/>
  <c r="K266" i="150"/>
  <c r="J267" i="150"/>
  <c r="K267" i="150"/>
  <c r="J268" i="150"/>
  <c r="K268" i="150"/>
  <c r="J269" i="150"/>
  <c r="K269" i="150"/>
  <c r="J270" i="150"/>
  <c r="K270" i="150"/>
  <c r="J271" i="150"/>
  <c r="K271" i="150"/>
  <c r="J272" i="150"/>
  <c r="K272" i="150"/>
  <c r="J273" i="150"/>
  <c r="K273" i="150"/>
  <c r="J274" i="150"/>
  <c r="K274" i="150"/>
  <c r="J275" i="150"/>
  <c r="K275" i="150"/>
  <c r="J276" i="150"/>
  <c r="K276" i="150"/>
  <c r="J277" i="150"/>
  <c r="K277" i="150"/>
  <c r="J278" i="150"/>
  <c r="K278" i="150"/>
  <c r="J279" i="150"/>
  <c r="K279" i="150"/>
  <c r="J280" i="150"/>
  <c r="K280" i="150"/>
  <c r="J281" i="150"/>
  <c r="K281" i="150"/>
  <c r="J282" i="150"/>
  <c r="K282" i="150"/>
  <c r="J283" i="150"/>
  <c r="K283" i="150"/>
  <c r="J284" i="150"/>
  <c r="K284" i="150"/>
  <c r="J285" i="150"/>
  <c r="K285" i="150"/>
  <c r="J286" i="150"/>
  <c r="K286" i="150"/>
  <c r="J287" i="150"/>
  <c r="K287" i="150"/>
  <c r="J288" i="150"/>
  <c r="K288" i="150"/>
  <c r="J289" i="150"/>
  <c r="K289" i="150"/>
  <c r="J290" i="150"/>
  <c r="K290" i="150"/>
  <c r="J291" i="150"/>
  <c r="K291" i="150"/>
  <c r="J292" i="150"/>
  <c r="K292" i="150"/>
  <c r="J293" i="150"/>
  <c r="K293" i="150"/>
  <c r="K294" i="150"/>
  <c r="J295" i="150"/>
  <c r="K295" i="150"/>
  <c r="J296" i="150"/>
  <c r="K296" i="150"/>
  <c r="J297" i="150"/>
  <c r="K297" i="150"/>
  <c r="J298" i="150"/>
  <c r="K298" i="150"/>
  <c r="J299" i="150"/>
  <c r="K299" i="150"/>
  <c r="J300" i="150"/>
  <c r="K300" i="150"/>
  <c r="J301" i="150"/>
  <c r="K301" i="150"/>
  <c r="J302" i="150"/>
  <c r="K302" i="150"/>
  <c r="J303" i="150"/>
  <c r="K303" i="150"/>
  <c r="J304" i="150"/>
  <c r="K304" i="150"/>
  <c r="J305" i="150"/>
  <c r="K305" i="150"/>
  <c r="J306" i="150"/>
  <c r="K306" i="150"/>
  <c r="J307" i="150"/>
  <c r="K307" i="150"/>
  <c r="J308" i="150"/>
  <c r="K308" i="150"/>
  <c r="J309" i="150"/>
  <c r="K309" i="150"/>
  <c r="J310" i="150"/>
  <c r="K310" i="150"/>
  <c r="J311" i="150"/>
  <c r="K311" i="150"/>
  <c r="J312" i="150"/>
  <c r="K312" i="150"/>
  <c r="J313" i="150"/>
  <c r="K313" i="150"/>
  <c r="J314" i="150"/>
  <c r="K314" i="150"/>
  <c r="J315" i="150"/>
  <c r="K315" i="150"/>
  <c r="J316" i="150"/>
  <c r="K316" i="150"/>
  <c r="J317" i="150"/>
  <c r="K317" i="150"/>
  <c r="J318" i="150"/>
  <c r="K318" i="150"/>
  <c r="J319" i="150"/>
  <c r="K319" i="150"/>
  <c r="J320" i="150"/>
  <c r="K320" i="150"/>
  <c r="J321" i="150"/>
  <c r="K321" i="150"/>
  <c r="J322" i="150"/>
  <c r="K322" i="150"/>
  <c r="J323" i="150"/>
  <c r="K323" i="150"/>
  <c r="J324" i="150"/>
  <c r="K324" i="150"/>
  <c r="J325" i="150"/>
  <c r="K325" i="150"/>
  <c r="J326" i="150"/>
  <c r="K326" i="150"/>
  <c r="J327" i="150"/>
  <c r="K327" i="150"/>
  <c r="J328" i="150"/>
  <c r="K328" i="150"/>
  <c r="J329" i="150"/>
  <c r="K329" i="150"/>
  <c r="J330" i="150"/>
  <c r="K330" i="150"/>
  <c r="J331" i="150"/>
  <c r="K331" i="150"/>
  <c r="J332" i="150"/>
  <c r="K332" i="150"/>
  <c r="J333" i="150"/>
  <c r="K333" i="150"/>
  <c r="J334" i="150"/>
  <c r="K334" i="150"/>
  <c r="J335" i="150"/>
  <c r="K335" i="150"/>
  <c r="J336" i="150"/>
  <c r="K336" i="150"/>
  <c r="J337" i="150"/>
  <c r="K337" i="150"/>
  <c r="J338" i="150"/>
  <c r="K338" i="150"/>
  <c r="J339" i="150"/>
  <c r="K339" i="150"/>
  <c r="J340" i="150"/>
  <c r="K340" i="150"/>
  <c r="J341" i="150"/>
  <c r="K341" i="150"/>
  <c r="J342" i="150"/>
  <c r="K342" i="150"/>
  <c r="J343" i="150"/>
  <c r="K343" i="150"/>
  <c r="J344" i="150"/>
  <c r="K344" i="150"/>
  <c r="J345" i="150"/>
  <c r="K345" i="150"/>
  <c r="J346" i="150"/>
  <c r="K346" i="150"/>
  <c r="J347" i="150"/>
  <c r="K347" i="150"/>
  <c r="J348" i="150"/>
  <c r="K348" i="150"/>
  <c r="J349" i="150"/>
  <c r="K349" i="150"/>
  <c r="J350" i="150"/>
  <c r="K350" i="150"/>
  <c r="J351" i="150"/>
  <c r="K351" i="150"/>
  <c r="J352" i="150"/>
  <c r="K352" i="150"/>
  <c r="J353" i="150"/>
  <c r="K353" i="150"/>
  <c r="J354" i="150"/>
  <c r="K354" i="150"/>
  <c r="J355" i="150"/>
  <c r="K355" i="150"/>
  <c r="J356" i="150"/>
  <c r="K356" i="150"/>
  <c r="J357" i="150"/>
  <c r="K357" i="150"/>
  <c r="K10" i="150"/>
  <c r="J10" i="150"/>
  <c r="T48" i="149" l="1"/>
  <c r="R48" i="149"/>
  <c r="T50" i="149"/>
  <c r="R50" i="149"/>
  <c r="R49" i="149"/>
  <c r="T49" i="149"/>
  <c r="T51" i="149"/>
  <c r="R51" i="149"/>
  <c r="T52" i="149"/>
  <c r="R52" i="149"/>
  <c r="R53" i="149"/>
  <c r="T53" i="149"/>
  <c r="AK24" i="141"/>
  <c r="C55" i="149"/>
  <c r="Q55" i="149" s="1"/>
  <c r="B55" i="149"/>
  <c r="P55" i="149" s="1"/>
  <c r="C53" i="149"/>
  <c r="Q53" i="149" s="1"/>
  <c r="C52" i="149"/>
  <c r="Q52" i="149" s="1"/>
  <c r="C51" i="149"/>
  <c r="Q51" i="149" s="1"/>
  <c r="C50" i="149"/>
  <c r="Q50" i="149" s="1"/>
  <c r="C49" i="149"/>
  <c r="Q49" i="149" s="1"/>
  <c r="C48" i="149"/>
  <c r="Q48" i="149" s="1"/>
  <c r="C47" i="149"/>
  <c r="Q47" i="149" s="1"/>
  <c r="B50" i="149"/>
  <c r="P50" i="149" s="1"/>
  <c r="B49" i="149"/>
  <c r="P49" i="149" s="1"/>
  <c r="B48" i="149"/>
  <c r="P48" i="149" s="1"/>
  <c r="B47" i="149"/>
  <c r="P47" i="149" s="1"/>
  <c r="B52" i="149"/>
  <c r="P52" i="149" s="1"/>
  <c r="B53" i="149"/>
  <c r="P53" i="149" s="1"/>
  <c r="O397" i="128"/>
  <c r="O398" i="128"/>
  <c r="C32" i="149"/>
  <c r="Q32" i="149" s="1"/>
  <c r="C33" i="149"/>
  <c r="Q33" i="149" s="1"/>
  <c r="C34" i="149"/>
  <c r="Q34" i="149" s="1"/>
  <c r="C35" i="149"/>
  <c r="Q35" i="149" s="1"/>
  <c r="C36" i="149"/>
  <c r="Q36" i="149" s="1"/>
  <c r="C37" i="149"/>
  <c r="Q37" i="149" s="1"/>
  <c r="C38" i="149"/>
  <c r="Q38" i="149" s="1"/>
  <c r="C39" i="149"/>
  <c r="Q39" i="149" s="1"/>
  <c r="C40" i="149"/>
  <c r="Q40" i="149" s="1"/>
  <c r="C41" i="149"/>
  <c r="Q41" i="149" s="1"/>
  <c r="C42" i="149"/>
  <c r="Q42" i="149" s="1"/>
  <c r="C43" i="149"/>
  <c r="Q43" i="149" s="1"/>
  <c r="C44" i="149"/>
  <c r="Q44" i="149" s="1"/>
  <c r="C45" i="149"/>
  <c r="Q45" i="149" s="1"/>
  <c r="C46" i="149"/>
  <c r="Q46" i="149" s="1"/>
  <c r="Q54" i="149"/>
  <c r="B32" i="149"/>
  <c r="P32" i="149" s="1"/>
  <c r="B33" i="149"/>
  <c r="P33" i="149" s="1"/>
  <c r="B34" i="149"/>
  <c r="P34" i="149" s="1"/>
  <c r="B35" i="149"/>
  <c r="P35" i="149" s="1"/>
  <c r="B36" i="149"/>
  <c r="P36" i="149" s="1"/>
  <c r="B37" i="149"/>
  <c r="P37" i="149" s="1"/>
  <c r="B38" i="149"/>
  <c r="P38" i="149" s="1"/>
  <c r="B39" i="149"/>
  <c r="P39" i="149" s="1"/>
  <c r="B40" i="149"/>
  <c r="P40" i="149" s="1"/>
  <c r="B41" i="149"/>
  <c r="P41" i="149" s="1"/>
  <c r="B42" i="149"/>
  <c r="P42" i="149" s="1"/>
  <c r="B43" i="149"/>
  <c r="P43" i="149" s="1"/>
  <c r="B44" i="149"/>
  <c r="P44" i="149" s="1"/>
  <c r="B45" i="149"/>
  <c r="P45" i="149" s="1"/>
  <c r="B46" i="149"/>
  <c r="P46" i="149" s="1"/>
  <c r="P54" i="149"/>
  <c r="D11" i="51" l="1"/>
  <c r="D12" i="51"/>
  <c r="D13" i="51"/>
  <c r="D14" i="51"/>
  <c r="D15" i="51"/>
  <c r="D16" i="51"/>
  <c r="D17" i="51"/>
  <c r="D18" i="51"/>
  <c r="D19" i="51"/>
  <c r="D20" i="51"/>
  <c r="D21" i="51"/>
  <c r="D22" i="51"/>
  <c r="D23" i="51"/>
  <c r="D24" i="51"/>
  <c r="D25" i="51"/>
  <c r="D26" i="51"/>
  <c r="D27" i="51"/>
  <c r="D28" i="51"/>
  <c r="D29" i="51"/>
  <c r="D30" i="51"/>
  <c r="D31" i="51"/>
  <c r="D32" i="51"/>
  <c r="D33" i="51"/>
  <c r="D34" i="51"/>
  <c r="D35" i="51"/>
  <c r="D36" i="51"/>
  <c r="D37" i="51"/>
  <c r="D38" i="51"/>
  <c r="D39" i="51"/>
  <c r="D40" i="51"/>
  <c r="D41" i="51"/>
  <c r="D42" i="51"/>
  <c r="D43" i="51"/>
  <c r="D44" i="51"/>
  <c r="D45" i="51"/>
  <c r="D46" i="51"/>
  <c r="D47" i="51"/>
  <c r="D48" i="51"/>
  <c r="D49" i="51"/>
  <c r="D50" i="51"/>
  <c r="D51" i="51"/>
  <c r="D52" i="51"/>
  <c r="D53" i="51"/>
  <c r="D54" i="51"/>
  <c r="D55" i="51"/>
  <c r="D56" i="51"/>
  <c r="D57" i="51"/>
  <c r="D58" i="51"/>
  <c r="D59" i="51"/>
  <c r="D60" i="51"/>
  <c r="D61" i="51"/>
  <c r="D62" i="51"/>
  <c r="D63" i="51"/>
  <c r="D64" i="51"/>
  <c r="D65" i="51"/>
  <c r="D66" i="51"/>
  <c r="D67" i="51"/>
  <c r="D68" i="51"/>
  <c r="D69" i="51"/>
  <c r="D70" i="51"/>
  <c r="D71" i="51"/>
  <c r="D72" i="51"/>
  <c r="D73" i="51"/>
  <c r="D74" i="51"/>
  <c r="D75" i="51"/>
  <c r="D76" i="51"/>
  <c r="D77" i="51"/>
  <c r="D78" i="51"/>
  <c r="D79" i="51"/>
  <c r="D80" i="51"/>
  <c r="D81" i="51"/>
  <c r="D82" i="51"/>
  <c r="D83" i="51"/>
  <c r="D84" i="51"/>
  <c r="D85" i="51"/>
  <c r="D86" i="51"/>
  <c r="D87" i="51"/>
  <c r="D88" i="51"/>
  <c r="D89" i="51"/>
  <c r="D90" i="51"/>
  <c r="D91" i="51"/>
  <c r="D92" i="51"/>
  <c r="D93" i="51"/>
  <c r="D94" i="51"/>
  <c r="D95" i="51"/>
  <c r="D96" i="51"/>
  <c r="D97" i="51"/>
  <c r="D98" i="51"/>
  <c r="D99" i="51"/>
  <c r="D100" i="51"/>
  <c r="D101" i="51"/>
  <c r="D102" i="51"/>
  <c r="D103" i="51"/>
  <c r="D104" i="51"/>
  <c r="D105" i="51"/>
  <c r="D106" i="51"/>
  <c r="D107" i="51"/>
  <c r="D108" i="51"/>
  <c r="D109" i="51"/>
  <c r="D110" i="51"/>
  <c r="D111" i="51"/>
  <c r="D112" i="51"/>
  <c r="D113" i="51"/>
  <c r="D114" i="51"/>
  <c r="D115" i="51"/>
  <c r="D116" i="51"/>
  <c r="D117" i="51"/>
  <c r="D118" i="51"/>
  <c r="D119" i="51"/>
  <c r="D120" i="51"/>
  <c r="D121" i="51"/>
  <c r="D122" i="51"/>
  <c r="D123" i="51"/>
  <c r="D124" i="51"/>
  <c r="D125" i="51"/>
  <c r="D126" i="51"/>
  <c r="D127" i="51"/>
  <c r="D128" i="51"/>
  <c r="D129" i="51"/>
  <c r="D130" i="51"/>
  <c r="D131" i="51"/>
  <c r="D132" i="51"/>
  <c r="D133" i="51"/>
  <c r="D134" i="51"/>
  <c r="D135" i="51"/>
  <c r="D136" i="51"/>
  <c r="D137" i="51"/>
  <c r="D138" i="51"/>
  <c r="D139" i="51"/>
  <c r="D140" i="51"/>
  <c r="D141" i="51"/>
  <c r="D142" i="51"/>
  <c r="D143" i="51"/>
  <c r="D144" i="51"/>
  <c r="D145" i="51"/>
  <c r="D146" i="51"/>
  <c r="D147" i="51"/>
  <c r="D148" i="51"/>
  <c r="D149" i="51"/>
  <c r="D150" i="51"/>
  <c r="D151" i="51"/>
  <c r="D152" i="51"/>
  <c r="D153" i="51"/>
  <c r="D154" i="51"/>
  <c r="D155" i="51"/>
  <c r="D156" i="51"/>
  <c r="D157" i="51"/>
  <c r="D158" i="51"/>
  <c r="D159" i="51"/>
  <c r="D160" i="51"/>
  <c r="D161" i="51"/>
  <c r="D162" i="51"/>
  <c r="D163" i="51"/>
  <c r="D164" i="51"/>
  <c r="D165" i="51"/>
  <c r="D166" i="51"/>
  <c r="D167" i="51"/>
  <c r="D168" i="51"/>
  <c r="D169" i="51"/>
  <c r="D170" i="51"/>
  <c r="D171" i="51"/>
  <c r="D172" i="51"/>
  <c r="D173" i="51"/>
  <c r="D174" i="51"/>
  <c r="D175" i="51"/>
  <c r="D176" i="51"/>
  <c r="D177" i="51"/>
  <c r="D178" i="51"/>
  <c r="D179" i="51"/>
  <c r="D180" i="51"/>
  <c r="D181" i="51"/>
  <c r="D182" i="51"/>
  <c r="D183" i="51"/>
  <c r="D184" i="51"/>
  <c r="D185" i="51"/>
  <c r="D186" i="51"/>
  <c r="D187" i="51"/>
  <c r="D188" i="51"/>
  <c r="D189" i="51"/>
  <c r="D190" i="51"/>
  <c r="D191" i="51"/>
  <c r="D192" i="51"/>
  <c r="D193" i="51"/>
  <c r="D194" i="51"/>
  <c r="D195" i="51"/>
  <c r="D196" i="51"/>
  <c r="D197" i="51"/>
  <c r="D198" i="51"/>
  <c r="D199" i="51"/>
  <c r="D200" i="51"/>
  <c r="D201" i="51"/>
  <c r="D202" i="51"/>
  <c r="D203" i="51"/>
  <c r="D204" i="51"/>
  <c r="D205" i="51"/>
  <c r="D206" i="51"/>
  <c r="D207" i="51"/>
  <c r="D208" i="51"/>
  <c r="D209" i="51"/>
  <c r="D210" i="51"/>
  <c r="D211" i="51"/>
  <c r="D212" i="51"/>
  <c r="D213" i="51"/>
  <c r="D214" i="51"/>
  <c r="D215" i="51"/>
  <c r="D216" i="51"/>
  <c r="D217" i="51"/>
  <c r="D218" i="51"/>
  <c r="D219" i="51"/>
  <c r="D220" i="51"/>
  <c r="D221" i="51"/>
  <c r="D222" i="51"/>
  <c r="D223" i="51"/>
  <c r="D224" i="51"/>
  <c r="D225" i="51"/>
  <c r="D226" i="51"/>
  <c r="D227" i="51"/>
  <c r="D228" i="51"/>
  <c r="D229" i="51"/>
  <c r="D230" i="51"/>
  <c r="D231" i="51"/>
  <c r="D232" i="51"/>
  <c r="D233" i="51"/>
  <c r="D234" i="51"/>
  <c r="D235" i="51"/>
  <c r="D236" i="51"/>
  <c r="D237" i="51"/>
  <c r="D238" i="51"/>
  <c r="D239" i="51"/>
  <c r="D240" i="51"/>
  <c r="D241" i="51"/>
  <c r="D242" i="51"/>
  <c r="D243" i="51"/>
  <c r="D244" i="51"/>
  <c r="D245" i="51"/>
  <c r="D246" i="51"/>
  <c r="D247" i="51"/>
  <c r="D248" i="51"/>
  <c r="D249" i="51"/>
  <c r="D250" i="51"/>
  <c r="D251" i="51"/>
  <c r="D252" i="51"/>
  <c r="D253" i="51"/>
  <c r="D254" i="51"/>
  <c r="D255" i="51"/>
  <c r="D256" i="51"/>
  <c r="D257" i="51"/>
  <c r="D258" i="51"/>
  <c r="D259" i="51"/>
  <c r="D260" i="51"/>
  <c r="D261" i="51"/>
  <c r="D262" i="51"/>
  <c r="D263" i="51"/>
  <c r="D264" i="51"/>
  <c r="D265" i="51"/>
  <c r="D266" i="51"/>
  <c r="D267" i="51"/>
  <c r="D268" i="51"/>
  <c r="D269" i="51"/>
  <c r="D270" i="51"/>
  <c r="D271" i="51"/>
  <c r="D272" i="51"/>
  <c r="D273" i="51"/>
  <c r="D274" i="51"/>
  <c r="D275" i="51"/>
  <c r="D276" i="51"/>
  <c r="D277" i="51"/>
  <c r="D278" i="51"/>
  <c r="D279" i="51"/>
  <c r="D280" i="51"/>
  <c r="D281" i="51"/>
  <c r="D282" i="51"/>
  <c r="D283" i="51"/>
  <c r="D284" i="51"/>
  <c r="D285" i="51"/>
  <c r="D286" i="51"/>
  <c r="D287" i="51"/>
  <c r="D288" i="51"/>
  <c r="D289" i="51"/>
  <c r="D290" i="51"/>
  <c r="D291" i="51"/>
  <c r="D292" i="51"/>
  <c r="D293" i="51"/>
  <c r="D294" i="51"/>
  <c r="D295" i="51"/>
  <c r="D296" i="51"/>
  <c r="D297" i="51"/>
  <c r="D298" i="51"/>
  <c r="D299" i="51"/>
  <c r="D300" i="51"/>
  <c r="D301" i="51"/>
  <c r="D302" i="51"/>
  <c r="D303" i="51"/>
  <c r="D304" i="51"/>
  <c r="D305" i="51"/>
  <c r="D306" i="51"/>
  <c r="D307" i="51"/>
  <c r="D308" i="51"/>
  <c r="D309" i="51"/>
  <c r="D310" i="51"/>
  <c r="D311" i="51"/>
  <c r="D312" i="51"/>
  <c r="D313" i="51"/>
  <c r="D314" i="51"/>
  <c r="D315" i="51"/>
  <c r="D316" i="51"/>
  <c r="D317" i="51"/>
  <c r="D318" i="51"/>
  <c r="D319" i="51"/>
  <c r="D320" i="51"/>
  <c r="D321" i="51"/>
  <c r="D322" i="51"/>
  <c r="D323" i="51"/>
  <c r="D324" i="51"/>
  <c r="D325" i="51"/>
  <c r="D326" i="51"/>
  <c r="D327" i="51"/>
  <c r="D328" i="51"/>
  <c r="D329" i="51"/>
  <c r="D330" i="51"/>
  <c r="D331" i="51"/>
  <c r="D332" i="51"/>
  <c r="D333" i="51"/>
  <c r="D334" i="51"/>
  <c r="D335" i="51"/>
  <c r="D336" i="51"/>
  <c r="D337" i="51"/>
  <c r="D338" i="51"/>
  <c r="D339" i="51"/>
  <c r="D340" i="51"/>
  <c r="D341" i="51"/>
  <c r="D342" i="51"/>
  <c r="D343" i="51"/>
  <c r="D344" i="51"/>
  <c r="D345" i="51"/>
  <c r="D346" i="51"/>
  <c r="D347" i="51"/>
  <c r="D348" i="51"/>
  <c r="D349" i="51"/>
  <c r="D350" i="51"/>
  <c r="D351" i="51"/>
  <c r="D352" i="51"/>
  <c r="D353" i="51"/>
  <c r="D354" i="51"/>
  <c r="D355" i="51"/>
  <c r="D356" i="51"/>
  <c r="D357" i="51"/>
  <c r="D358" i="51"/>
  <c r="D359" i="51"/>
  <c r="D360" i="51"/>
  <c r="D361" i="51"/>
  <c r="D362" i="51"/>
  <c r="D363" i="51"/>
  <c r="D364" i="51"/>
  <c r="D365" i="51"/>
  <c r="D366" i="51"/>
  <c r="D367" i="51"/>
  <c r="D368" i="51"/>
  <c r="D369" i="51"/>
  <c r="D370" i="51"/>
  <c r="D371" i="51"/>
  <c r="D372" i="51"/>
  <c r="D373" i="51"/>
  <c r="D374" i="51"/>
  <c r="D375" i="51"/>
  <c r="D376" i="51"/>
  <c r="D377" i="51"/>
  <c r="D378" i="51"/>
  <c r="D379" i="51"/>
  <c r="D380" i="51"/>
  <c r="D381" i="51"/>
  <c r="D382" i="51"/>
  <c r="D383" i="51"/>
  <c r="D384" i="51"/>
  <c r="D385" i="51"/>
  <c r="D386" i="51"/>
  <c r="D387" i="51"/>
  <c r="D388" i="51"/>
  <c r="D389" i="51"/>
  <c r="D390" i="51"/>
  <c r="D391" i="51"/>
  <c r="D392" i="51"/>
  <c r="D393" i="51"/>
  <c r="D394" i="51"/>
  <c r="D395" i="51"/>
  <c r="D396" i="51"/>
  <c r="D397" i="51"/>
  <c r="D398" i="51"/>
  <c r="D399" i="51"/>
  <c r="D400" i="51"/>
  <c r="D401" i="51"/>
  <c r="D402" i="51"/>
  <c r="D403" i="51"/>
  <c r="D404" i="51"/>
  <c r="D405" i="51"/>
  <c r="D406" i="51"/>
  <c r="D407" i="51"/>
  <c r="D408" i="51"/>
  <c r="D409" i="51"/>
  <c r="D410" i="51"/>
  <c r="D411" i="51"/>
  <c r="D412" i="51"/>
  <c r="D413" i="51"/>
  <c r="D414" i="51"/>
  <c r="D415" i="51"/>
  <c r="D416" i="51"/>
  <c r="D417" i="51"/>
  <c r="D418" i="51"/>
  <c r="D419" i="51"/>
  <c r="D420" i="51"/>
  <c r="D421" i="51"/>
  <c r="D422" i="51"/>
  <c r="D423" i="51"/>
  <c r="D424" i="51"/>
  <c r="D425" i="51"/>
  <c r="D426" i="51"/>
  <c r="D427" i="51"/>
  <c r="D428" i="51"/>
  <c r="D429" i="51"/>
  <c r="D430" i="51"/>
  <c r="D431" i="51"/>
  <c r="D432" i="51"/>
  <c r="D433" i="51"/>
  <c r="D434" i="51"/>
  <c r="D435" i="51"/>
  <c r="D436" i="51"/>
  <c r="D437" i="51"/>
  <c r="G66" i="53" l="1"/>
  <c r="A190" i="150"/>
  <c r="A178" i="150" s="1"/>
  <c r="A166" i="150" s="1"/>
  <c r="A154" i="150" s="1"/>
  <c r="A142" i="150" s="1"/>
  <c r="A130" i="150" s="1"/>
  <c r="A118" i="150" s="1"/>
  <c r="A106" i="150" s="1"/>
  <c r="A94" i="150" s="1"/>
  <c r="A82" i="150" s="1"/>
  <c r="A70" i="150" s="1"/>
  <c r="A58" i="150" s="1"/>
  <c r="A46" i="150" s="1"/>
  <c r="A34" i="150" s="1"/>
  <c r="A22" i="150" s="1"/>
  <c r="A10" i="150" s="1"/>
  <c r="A191" i="150"/>
  <c r="A179" i="150" s="1"/>
  <c r="A167" i="150" s="1"/>
  <c r="A155" i="150" s="1"/>
  <c r="A143" i="150" s="1"/>
  <c r="A131" i="150" s="1"/>
  <c r="A119" i="150" s="1"/>
  <c r="A107" i="150" s="1"/>
  <c r="A95" i="150" s="1"/>
  <c r="A83" i="150" s="1"/>
  <c r="A71" i="150" s="1"/>
  <c r="A59" i="150" s="1"/>
  <c r="A47" i="150" s="1"/>
  <c r="A35" i="150" s="1"/>
  <c r="A23" i="150" s="1"/>
  <c r="A11" i="150" s="1"/>
  <c r="A192" i="150"/>
  <c r="A180" i="150" s="1"/>
  <c r="A168" i="150" s="1"/>
  <c r="A156" i="150" s="1"/>
  <c r="A144" i="150" s="1"/>
  <c r="A132" i="150" s="1"/>
  <c r="A120" i="150" s="1"/>
  <c r="A108" i="150" s="1"/>
  <c r="A96" i="150" s="1"/>
  <c r="A84" i="150" s="1"/>
  <c r="A72" i="150" s="1"/>
  <c r="A60" i="150" s="1"/>
  <c r="A48" i="150" s="1"/>
  <c r="A36" i="150" s="1"/>
  <c r="A24" i="150" s="1"/>
  <c r="A12" i="150" s="1"/>
  <c r="A193" i="150"/>
  <c r="A181" i="150" s="1"/>
  <c r="A169" i="150" s="1"/>
  <c r="A157" i="150" s="1"/>
  <c r="A145" i="150" s="1"/>
  <c r="A133" i="150" s="1"/>
  <c r="A121" i="150" s="1"/>
  <c r="A109" i="150" s="1"/>
  <c r="A97" i="150" s="1"/>
  <c r="A85" i="150" s="1"/>
  <c r="A73" i="150" s="1"/>
  <c r="A61" i="150" s="1"/>
  <c r="A49" i="150" s="1"/>
  <c r="A37" i="150" s="1"/>
  <c r="A25" i="150" s="1"/>
  <c r="A13" i="150" s="1"/>
  <c r="A194" i="150"/>
  <c r="A182" i="150" s="1"/>
  <c r="A170" i="150" s="1"/>
  <c r="A158" i="150" s="1"/>
  <c r="A146" i="150" s="1"/>
  <c r="A134" i="150" s="1"/>
  <c r="A122" i="150" s="1"/>
  <c r="A110" i="150" s="1"/>
  <c r="A98" i="150" s="1"/>
  <c r="A86" i="150" s="1"/>
  <c r="A74" i="150" s="1"/>
  <c r="A62" i="150" s="1"/>
  <c r="A50" i="150" s="1"/>
  <c r="A38" i="150" s="1"/>
  <c r="A26" i="150" s="1"/>
  <c r="A14" i="150" s="1"/>
  <c r="A195" i="150"/>
  <c r="A183" i="150" s="1"/>
  <c r="A171" i="150" s="1"/>
  <c r="A159" i="150" s="1"/>
  <c r="A147" i="150" s="1"/>
  <c r="A135" i="150" s="1"/>
  <c r="A123" i="150" s="1"/>
  <c r="A111" i="150" s="1"/>
  <c r="A99" i="150" s="1"/>
  <c r="A87" i="150" s="1"/>
  <c r="A75" i="150" s="1"/>
  <c r="A63" i="150" s="1"/>
  <c r="A51" i="150" s="1"/>
  <c r="A39" i="150" s="1"/>
  <c r="A27" i="150" s="1"/>
  <c r="A15" i="150" s="1"/>
  <c r="A196" i="150"/>
  <c r="A184" i="150" s="1"/>
  <c r="A172" i="150" s="1"/>
  <c r="A160" i="150" s="1"/>
  <c r="A148" i="150" s="1"/>
  <c r="A136" i="150" s="1"/>
  <c r="A124" i="150" s="1"/>
  <c r="A112" i="150" s="1"/>
  <c r="A100" i="150" s="1"/>
  <c r="A88" i="150" s="1"/>
  <c r="A76" i="150" s="1"/>
  <c r="A64" i="150" s="1"/>
  <c r="A52" i="150" s="1"/>
  <c r="A40" i="150" s="1"/>
  <c r="A28" i="150" s="1"/>
  <c r="A16" i="150" s="1"/>
  <c r="A197" i="150"/>
  <c r="A185" i="150" s="1"/>
  <c r="A173" i="150" s="1"/>
  <c r="A161" i="150" s="1"/>
  <c r="A149" i="150" s="1"/>
  <c r="A137" i="150" s="1"/>
  <c r="A125" i="150" s="1"/>
  <c r="A113" i="150" s="1"/>
  <c r="A101" i="150" s="1"/>
  <c r="A89" i="150" s="1"/>
  <c r="A77" i="150" s="1"/>
  <c r="A65" i="150" s="1"/>
  <c r="A53" i="150" s="1"/>
  <c r="A41" i="150" s="1"/>
  <c r="A29" i="150" s="1"/>
  <c r="A17" i="150" s="1"/>
  <c r="A198" i="150"/>
  <c r="A186" i="150" s="1"/>
  <c r="A174" i="150" s="1"/>
  <c r="A162" i="150" s="1"/>
  <c r="A150" i="150" s="1"/>
  <c r="A138" i="150" s="1"/>
  <c r="A126" i="150" s="1"/>
  <c r="A114" i="150" s="1"/>
  <c r="A102" i="150" s="1"/>
  <c r="A90" i="150" s="1"/>
  <c r="A78" i="150" s="1"/>
  <c r="A66" i="150" s="1"/>
  <c r="A54" i="150" s="1"/>
  <c r="A42" i="150" s="1"/>
  <c r="A30" i="150" s="1"/>
  <c r="A18" i="150" s="1"/>
  <c r="A199" i="150"/>
  <c r="A187" i="150" s="1"/>
  <c r="A175" i="150" s="1"/>
  <c r="A163" i="150" s="1"/>
  <c r="A151" i="150" s="1"/>
  <c r="A139" i="150" s="1"/>
  <c r="A127" i="150" s="1"/>
  <c r="A115" i="150" s="1"/>
  <c r="A103" i="150" s="1"/>
  <c r="A91" i="150" s="1"/>
  <c r="A79" i="150" s="1"/>
  <c r="A67" i="150" s="1"/>
  <c r="A55" i="150" s="1"/>
  <c r="A43" i="150" s="1"/>
  <c r="A31" i="150" s="1"/>
  <c r="A19" i="150" s="1"/>
  <c r="A200" i="150"/>
  <c r="A188" i="150" s="1"/>
  <c r="A176" i="150" s="1"/>
  <c r="A164" i="150" s="1"/>
  <c r="A152" i="150" s="1"/>
  <c r="A140" i="150" s="1"/>
  <c r="A128" i="150" s="1"/>
  <c r="A116" i="150" s="1"/>
  <c r="A104" i="150" s="1"/>
  <c r="A92" i="150" s="1"/>
  <c r="A80" i="150" s="1"/>
  <c r="A68" i="150" s="1"/>
  <c r="A56" i="150" s="1"/>
  <c r="A44" i="150" s="1"/>
  <c r="A32" i="150" s="1"/>
  <c r="A20" i="150" s="1"/>
  <c r="A201" i="150"/>
  <c r="A189" i="150" s="1"/>
  <c r="A177" i="150" s="1"/>
  <c r="A165" i="150" s="1"/>
  <c r="A153" i="150" s="1"/>
  <c r="A141" i="150" s="1"/>
  <c r="A129" i="150" s="1"/>
  <c r="A117" i="150" s="1"/>
  <c r="A105" i="150" s="1"/>
  <c r="A93" i="150" s="1"/>
  <c r="A81" i="150" s="1"/>
  <c r="A69" i="150" s="1"/>
  <c r="A57" i="150" s="1"/>
  <c r="A45" i="150" s="1"/>
  <c r="A33" i="150" s="1"/>
  <c r="A21" i="150" s="1"/>
  <c r="A214" i="150"/>
  <c r="A226" i="150" s="1"/>
  <c r="A238" i="150" s="1"/>
  <c r="A250" i="150" s="1"/>
  <c r="A262" i="150" s="1"/>
  <c r="A274" i="150" s="1"/>
  <c r="A286" i="150" s="1"/>
  <c r="A298" i="150" s="1"/>
  <c r="A310" i="150" s="1"/>
  <c r="A322" i="150" s="1"/>
  <c r="A334" i="150" s="1"/>
  <c r="A346" i="150" s="1"/>
  <c r="A215" i="150"/>
  <c r="A227" i="150" s="1"/>
  <c r="A239" i="150" s="1"/>
  <c r="A251" i="150" s="1"/>
  <c r="A263" i="150" s="1"/>
  <c r="A275" i="150" s="1"/>
  <c r="A287" i="150" s="1"/>
  <c r="A299" i="150" s="1"/>
  <c r="A311" i="150" s="1"/>
  <c r="A323" i="150" s="1"/>
  <c r="A335" i="150" s="1"/>
  <c r="A347" i="150" s="1"/>
  <c r="A216" i="150"/>
  <c r="A228" i="150" s="1"/>
  <c r="A240" i="150" s="1"/>
  <c r="A252" i="150" s="1"/>
  <c r="A264" i="150" s="1"/>
  <c r="A276" i="150" s="1"/>
  <c r="A288" i="150" s="1"/>
  <c r="A300" i="150" s="1"/>
  <c r="A312" i="150" s="1"/>
  <c r="A324" i="150" s="1"/>
  <c r="A336" i="150" s="1"/>
  <c r="A348" i="150" s="1"/>
  <c r="A217" i="150"/>
  <c r="A229" i="150" s="1"/>
  <c r="A241" i="150" s="1"/>
  <c r="A253" i="150" s="1"/>
  <c r="A265" i="150" s="1"/>
  <c r="A277" i="150" s="1"/>
  <c r="A289" i="150" s="1"/>
  <c r="A301" i="150" s="1"/>
  <c r="A313" i="150" s="1"/>
  <c r="A325" i="150" s="1"/>
  <c r="A337" i="150" s="1"/>
  <c r="A349" i="150" s="1"/>
  <c r="A218" i="150"/>
  <c r="A230" i="150" s="1"/>
  <c r="A242" i="150" s="1"/>
  <c r="A254" i="150" s="1"/>
  <c r="A266" i="150" s="1"/>
  <c r="A278" i="150" s="1"/>
  <c r="A290" i="150" s="1"/>
  <c r="A302" i="150" s="1"/>
  <c r="A314" i="150" s="1"/>
  <c r="A326" i="150" s="1"/>
  <c r="A338" i="150" s="1"/>
  <c r="A350" i="150" s="1"/>
  <c r="A219" i="150"/>
  <c r="A231" i="150" s="1"/>
  <c r="A243" i="150" s="1"/>
  <c r="A255" i="150" s="1"/>
  <c r="A267" i="150" s="1"/>
  <c r="A279" i="150" s="1"/>
  <c r="A291" i="150" s="1"/>
  <c r="A303" i="150" s="1"/>
  <c r="A315" i="150" s="1"/>
  <c r="A327" i="150" s="1"/>
  <c r="A339" i="150" s="1"/>
  <c r="A351" i="150" s="1"/>
  <c r="A220" i="150"/>
  <c r="A232" i="150" s="1"/>
  <c r="A244" i="150" s="1"/>
  <c r="A256" i="150" s="1"/>
  <c r="A268" i="150" s="1"/>
  <c r="A280" i="150" s="1"/>
  <c r="A292" i="150" s="1"/>
  <c r="A304" i="150" s="1"/>
  <c r="A316" i="150" s="1"/>
  <c r="A328" i="150" s="1"/>
  <c r="A340" i="150" s="1"/>
  <c r="A352" i="150" s="1"/>
  <c r="A221" i="150"/>
  <c r="A233" i="150" s="1"/>
  <c r="A245" i="150" s="1"/>
  <c r="A257" i="150" s="1"/>
  <c r="A269" i="150" s="1"/>
  <c r="A281" i="150" s="1"/>
  <c r="A293" i="150" s="1"/>
  <c r="A305" i="150" s="1"/>
  <c r="A317" i="150" s="1"/>
  <c r="A329" i="150" s="1"/>
  <c r="A341" i="150" s="1"/>
  <c r="A353" i="150" s="1"/>
  <c r="A222" i="150"/>
  <c r="A234" i="150" s="1"/>
  <c r="A246" i="150" s="1"/>
  <c r="A258" i="150" s="1"/>
  <c r="A270" i="150" s="1"/>
  <c r="A282" i="150" s="1"/>
  <c r="A294" i="150" s="1"/>
  <c r="A306" i="150" s="1"/>
  <c r="A318" i="150" s="1"/>
  <c r="A330" i="150" s="1"/>
  <c r="A342" i="150" s="1"/>
  <c r="A354" i="150" s="1"/>
  <c r="A223" i="150"/>
  <c r="A235" i="150" s="1"/>
  <c r="A247" i="150" s="1"/>
  <c r="A259" i="150" s="1"/>
  <c r="A271" i="150" s="1"/>
  <c r="A283" i="150" s="1"/>
  <c r="A295" i="150" s="1"/>
  <c r="A307" i="150" s="1"/>
  <c r="A319" i="150" s="1"/>
  <c r="A331" i="150" s="1"/>
  <c r="A343" i="150" s="1"/>
  <c r="A355" i="150" s="1"/>
  <c r="A224" i="150"/>
  <c r="A236" i="150" s="1"/>
  <c r="A248" i="150" s="1"/>
  <c r="A260" i="150" s="1"/>
  <c r="A272" i="150" s="1"/>
  <c r="A284" i="150" s="1"/>
  <c r="A296" i="150" s="1"/>
  <c r="A308" i="150" s="1"/>
  <c r="A320" i="150" s="1"/>
  <c r="A332" i="150" s="1"/>
  <c r="A344" i="150" s="1"/>
  <c r="A356" i="150" s="1"/>
  <c r="A225" i="150"/>
  <c r="A237" i="150" s="1"/>
  <c r="A249" i="150" s="1"/>
  <c r="A261" i="150" s="1"/>
  <c r="A273" i="150" s="1"/>
  <c r="A285" i="150" s="1"/>
  <c r="A297" i="150" s="1"/>
  <c r="A309" i="150" s="1"/>
  <c r="A321" i="150" s="1"/>
  <c r="A333" i="150" s="1"/>
  <c r="A345" i="150" s="1"/>
  <c r="A357" i="150" s="1"/>
  <c r="G37" i="53" l="1"/>
  <c r="Y395" i="68"/>
  <c r="Y396" i="68"/>
  <c r="Y397" i="68"/>
  <c r="Y398" i="68"/>
  <c r="Y399" i="68"/>
  <c r="Y400" i="68"/>
  <c r="Y394" i="68"/>
  <c r="X395" i="68"/>
  <c r="X396" i="68"/>
  <c r="X397" i="68"/>
  <c r="X398" i="68"/>
  <c r="X399" i="68"/>
  <c r="X400" i="68"/>
  <c r="X394" i="68"/>
  <c r="Y377" i="68"/>
  <c r="X377" i="68"/>
  <c r="X332" i="68"/>
  <c r="X333" i="68"/>
  <c r="V12" i="38" l="1"/>
  <c r="U379" i="38"/>
  <c r="W379" i="38"/>
  <c r="V402" i="38" l="1"/>
  <c r="V320" i="38"/>
  <c r="V331" i="38"/>
  <c r="W331" i="38"/>
  <c r="V399" i="38" l="1"/>
  <c r="G61" i="53"/>
  <c r="AB465" i="38"/>
  <c r="V465" i="38"/>
  <c r="AB464" i="38"/>
  <c r="V464" i="38"/>
  <c r="AB463" i="38"/>
  <c r="V463" i="38"/>
  <c r="AB462" i="38"/>
  <c r="V462" i="38"/>
  <c r="AB461" i="38"/>
  <c r="V461" i="38"/>
  <c r="AB460" i="38"/>
  <c r="V460" i="38"/>
  <c r="AB459" i="38"/>
  <c r="V459" i="38"/>
  <c r="AB458" i="38"/>
  <c r="V458" i="38"/>
  <c r="AB457" i="38"/>
  <c r="V457" i="38"/>
  <c r="AB456" i="38"/>
  <c r="V456" i="38"/>
  <c r="AB455" i="38"/>
  <c r="V455" i="38"/>
  <c r="AB454" i="38"/>
  <c r="V454" i="38"/>
  <c r="AB453" i="38"/>
  <c r="V453" i="38"/>
  <c r="AB452" i="38"/>
  <c r="V452" i="38"/>
  <c r="AB451" i="38"/>
  <c r="V451" i="38"/>
  <c r="AB450" i="38"/>
  <c r="V450" i="38"/>
  <c r="AB449" i="38"/>
  <c r="V449" i="38"/>
  <c r="AB448" i="38"/>
  <c r="V448" i="38"/>
  <c r="AB447" i="38"/>
  <c r="V447" i="38"/>
  <c r="AB446" i="38"/>
  <c r="V446" i="38"/>
  <c r="AB445" i="38"/>
  <c r="V445" i="38"/>
  <c r="AB444" i="38"/>
  <c r="V444" i="38"/>
  <c r="AB443" i="38"/>
  <c r="V443" i="38"/>
  <c r="AB442" i="38"/>
  <c r="V442" i="38"/>
  <c r="AB441" i="38"/>
  <c r="V441" i="38"/>
  <c r="AB440" i="38"/>
  <c r="V440" i="38"/>
  <c r="AB439" i="38"/>
  <c r="V439" i="38"/>
  <c r="AB438" i="38"/>
  <c r="V438" i="38"/>
  <c r="AB437" i="38"/>
  <c r="V437" i="38"/>
  <c r="AB436" i="38"/>
  <c r="V436" i="38"/>
  <c r="AB435" i="38"/>
  <c r="V435" i="38"/>
  <c r="AB434" i="38"/>
  <c r="V434" i="38"/>
  <c r="AB433" i="38"/>
  <c r="V433" i="38"/>
  <c r="AB432" i="38"/>
  <c r="V432" i="38"/>
  <c r="AB431" i="38"/>
  <c r="V431" i="38"/>
  <c r="AB430" i="38"/>
  <c r="V430" i="38"/>
  <c r="AB429" i="38"/>
  <c r="V429" i="38"/>
  <c r="AB428" i="38"/>
  <c r="V428" i="38"/>
  <c r="AB427" i="38"/>
  <c r="V427" i="38"/>
  <c r="AB426" i="38"/>
  <c r="V426" i="38"/>
  <c r="AB425" i="38"/>
  <c r="V425" i="38"/>
  <c r="AB424" i="38"/>
  <c r="V424" i="38"/>
  <c r="AB423" i="38"/>
  <c r="V423" i="38"/>
  <c r="AB422" i="38"/>
  <c r="V422" i="38"/>
  <c r="AB421" i="38"/>
  <c r="V421" i="38"/>
  <c r="AB420" i="38"/>
  <c r="V420" i="38"/>
  <c r="AB419" i="38"/>
  <c r="V419" i="38"/>
  <c r="AB418" i="38"/>
  <c r="V418" i="38"/>
  <c r="AB417" i="38"/>
  <c r="V417" i="38"/>
  <c r="AB416" i="38"/>
  <c r="V416" i="38"/>
  <c r="AB415" i="38"/>
  <c r="V415" i="38"/>
  <c r="AB414" i="38"/>
  <c r="V414" i="38"/>
  <c r="AB413" i="38"/>
  <c r="V413" i="38"/>
  <c r="AB412" i="38"/>
  <c r="V412" i="38"/>
  <c r="AB411" i="38"/>
  <c r="V411" i="38"/>
  <c r="AB410" i="38"/>
  <c r="V410" i="38"/>
  <c r="AB409" i="38"/>
  <c r="V409" i="38"/>
  <c r="AB408" i="38"/>
  <c r="V408" i="38"/>
  <c r="AB407" i="38"/>
  <c r="V407" i="38"/>
  <c r="AB406" i="38"/>
  <c r="V406" i="38"/>
  <c r="AB405" i="38"/>
  <c r="V405" i="38"/>
  <c r="AB404" i="38"/>
  <c r="V404" i="38"/>
  <c r="AB403" i="38"/>
  <c r="AB402" i="38"/>
  <c r="AB401" i="38"/>
  <c r="V401" i="38"/>
  <c r="AB400" i="38"/>
  <c r="V400" i="38"/>
  <c r="AB399" i="38"/>
  <c r="AB398" i="38"/>
  <c r="V398" i="38"/>
  <c r="AB397" i="38"/>
  <c r="V397" i="38"/>
  <c r="AB396" i="38"/>
  <c r="V396" i="38"/>
  <c r="AB395" i="38"/>
  <c r="V395" i="38"/>
  <c r="AB393" i="38"/>
  <c r="V393" i="38"/>
  <c r="AB392" i="38"/>
  <c r="V392" i="38"/>
  <c r="AB391" i="38"/>
  <c r="V391" i="38"/>
  <c r="AB390" i="38"/>
  <c r="U390" i="38"/>
  <c r="V390" i="38" s="1"/>
  <c r="AB389" i="38"/>
  <c r="V389" i="38"/>
  <c r="AB388" i="38"/>
  <c r="V388" i="38"/>
  <c r="AB387" i="38"/>
  <c r="V387" i="38"/>
  <c r="AB386" i="38"/>
  <c r="V386" i="38"/>
  <c r="AB385" i="38"/>
  <c r="V385" i="38"/>
  <c r="AB384" i="38"/>
  <c r="V384" i="38"/>
  <c r="AB383" i="38"/>
  <c r="V383" i="38"/>
  <c r="AB382" i="38"/>
  <c r="V382" i="38"/>
  <c r="AB381" i="38"/>
  <c r="V381" i="38"/>
  <c r="AB380" i="38"/>
  <c r="V380" i="38"/>
  <c r="AB379" i="38"/>
  <c r="V379" i="38"/>
  <c r="AB378" i="38"/>
  <c r="V378" i="38"/>
  <c r="AB377" i="38"/>
  <c r="V377" i="38"/>
  <c r="AB376" i="38"/>
  <c r="V376" i="38"/>
  <c r="AB375" i="38"/>
  <c r="V375" i="38"/>
  <c r="AB374" i="38"/>
  <c r="V374" i="38"/>
  <c r="AB373" i="38"/>
  <c r="V373" i="38"/>
  <c r="AB372" i="38"/>
  <c r="V372" i="38"/>
  <c r="AB371" i="38"/>
  <c r="V371" i="38"/>
  <c r="AB370" i="38"/>
  <c r="V370" i="38"/>
  <c r="AB369" i="38"/>
  <c r="V369" i="38"/>
  <c r="AB368" i="38"/>
  <c r="W368" i="38"/>
  <c r="U368" i="38"/>
  <c r="V368" i="38" s="1"/>
  <c r="AB367" i="38"/>
  <c r="V367" i="38"/>
  <c r="AB366" i="38"/>
  <c r="V366" i="38"/>
  <c r="AB365" i="38"/>
  <c r="W365" i="38"/>
  <c r="U365" i="38"/>
  <c r="T365" i="38"/>
  <c r="AB364" i="38"/>
  <c r="V364" i="38"/>
  <c r="AB363" i="38"/>
  <c r="V363" i="38"/>
  <c r="AB362" i="38"/>
  <c r="W362" i="38"/>
  <c r="V362" i="38"/>
  <c r="AB361" i="38"/>
  <c r="W361" i="38"/>
  <c r="V361" i="38"/>
  <c r="AB360" i="38"/>
  <c r="V360" i="38"/>
  <c r="AB359" i="38"/>
  <c r="V359" i="38"/>
  <c r="AB358" i="38"/>
  <c r="V358" i="38"/>
  <c r="AB357" i="38"/>
  <c r="W357" i="38"/>
  <c r="V357" i="38"/>
  <c r="AB356" i="38"/>
  <c r="W356" i="38"/>
  <c r="V356" i="38"/>
  <c r="AC355" i="38"/>
  <c r="AB355" i="38"/>
  <c r="W355" i="38"/>
  <c r="U355" i="38"/>
  <c r="V355" i="38" s="1"/>
  <c r="AB354" i="38"/>
  <c r="W354" i="38"/>
  <c r="U354" i="38"/>
  <c r="V354" i="38" s="1"/>
  <c r="AB353" i="38"/>
  <c r="W353" i="38"/>
  <c r="V353" i="38"/>
  <c r="U353" i="38"/>
  <c r="AB352" i="38"/>
  <c r="W352" i="38"/>
  <c r="U352" i="38"/>
  <c r="V352" i="38" s="1"/>
  <c r="AB351" i="38"/>
  <c r="W351" i="38"/>
  <c r="V351" i="38"/>
  <c r="U351" i="38"/>
  <c r="AB350" i="38"/>
  <c r="W350" i="38"/>
  <c r="U350" i="38"/>
  <c r="V350" i="38" s="1"/>
  <c r="AB349" i="38"/>
  <c r="W349" i="38"/>
  <c r="V349" i="38"/>
  <c r="U349" i="38"/>
  <c r="AB348" i="38"/>
  <c r="W348" i="38"/>
  <c r="V348" i="38"/>
  <c r="AB347" i="38"/>
  <c r="W347" i="38"/>
  <c r="V347" i="38"/>
  <c r="AC346" i="38"/>
  <c r="AB346" i="38"/>
  <c r="W346" i="38"/>
  <c r="V346" i="38"/>
  <c r="AB345" i="38"/>
  <c r="V345" i="38"/>
  <c r="AB344" i="38"/>
  <c r="W344" i="38"/>
  <c r="V344" i="38"/>
  <c r="AB343" i="38"/>
  <c r="W343" i="38"/>
  <c r="V343" i="38"/>
  <c r="AB342" i="38"/>
  <c r="W342" i="38"/>
  <c r="V342" i="38"/>
  <c r="AB341" i="38"/>
  <c r="W341" i="38"/>
  <c r="V341" i="38"/>
  <c r="AB340" i="38"/>
  <c r="W340" i="38"/>
  <c r="V340" i="38"/>
  <c r="AB339" i="38"/>
  <c r="W339" i="38"/>
  <c r="V339" i="38"/>
  <c r="AB338" i="38"/>
  <c r="W338" i="38"/>
  <c r="V338" i="38"/>
  <c r="AB337" i="38"/>
  <c r="W337" i="38"/>
  <c r="V337" i="38"/>
  <c r="AB336" i="38"/>
  <c r="W336" i="38"/>
  <c r="V336" i="38"/>
  <c r="AB335" i="38"/>
  <c r="W335" i="38"/>
  <c r="V335" i="38"/>
  <c r="AB334" i="38"/>
  <c r="W334" i="38"/>
  <c r="V334" i="38"/>
  <c r="AB333" i="38"/>
  <c r="W333" i="38"/>
  <c r="V333" i="38"/>
  <c r="AB332" i="38"/>
  <c r="W332" i="38"/>
  <c r="V332" i="38"/>
  <c r="AB331" i="38"/>
  <c r="AB330" i="38"/>
  <c r="W330" i="38"/>
  <c r="V330" i="38"/>
  <c r="T330" i="38"/>
  <c r="AB329" i="38"/>
  <c r="W329" i="38"/>
  <c r="V329" i="38"/>
  <c r="AB328" i="38"/>
  <c r="W328" i="38"/>
  <c r="V328" i="38"/>
  <c r="AB327" i="38"/>
  <c r="W327" i="38"/>
  <c r="V327" i="38"/>
  <c r="AB326" i="38"/>
  <c r="W326" i="38"/>
  <c r="V326" i="38"/>
  <c r="AB325" i="38"/>
  <c r="W325" i="38"/>
  <c r="V325" i="38"/>
  <c r="AB324" i="38"/>
  <c r="W324" i="38"/>
  <c r="V324" i="38"/>
  <c r="AB323" i="38"/>
  <c r="W323" i="38"/>
  <c r="V323" i="38"/>
  <c r="AB322" i="38"/>
  <c r="W322" i="38"/>
  <c r="V322" i="38"/>
  <c r="AB321" i="38"/>
  <c r="U321" i="38"/>
  <c r="V321" i="38" s="1"/>
  <c r="AB320" i="38"/>
  <c r="AB319" i="38"/>
  <c r="V319" i="38"/>
  <c r="AB318" i="38"/>
  <c r="W318" i="38"/>
  <c r="V318" i="38"/>
  <c r="AB317" i="38"/>
  <c r="W317" i="38"/>
  <c r="V317" i="38"/>
  <c r="AB316" i="38"/>
  <c r="V316" i="38"/>
  <c r="AB315" i="38"/>
  <c r="V315" i="38"/>
  <c r="AB314" i="38"/>
  <c r="U314" i="38"/>
  <c r="V314" i="38" s="1"/>
  <c r="AB313" i="38"/>
  <c r="U313" i="38"/>
  <c r="V313" i="38" s="1"/>
  <c r="AB312" i="38"/>
  <c r="U312" i="38"/>
  <c r="V312" i="38" s="1"/>
  <c r="AB311" i="38"/>
  <c r="V311" i="38"/>
  <c r="AB310" i="38"/>
  <c r="V310" i="38"/>
  <c r="AB309" i="38"/>
  <c r="V309" i="38"/>
  <c r="AB308" i="38"/>
  <c r="V308" i="38"/>
  <c r="AB307" i="38"/>
  <c r="V307" i="38"/>
  <c r="AB306" i="38"/>
  <c r="V306" i="38"/>
  <c r="AB305" i="38"/>
  <c r="V305" i="38"/>
  <c r="AB304" i="38"/>
  <c r="V304" i="38"/>
  <c r="AB303" i="38"/>
  <c r="V303" i="38"/>
  <c r="AB302" i="38"/>
  <c r="V302" i="38"/>
  <c r="AB301" i="38"/>
  <c r="V301" i="38"/>
  <c r="AB300" i="38"/>
  <c r="V300" i="38"/>
  <c r="AB299" i="38"/>
  <c r="V299" i="38"/>
  <c r="AB298" i="38"/>
  <c r="V298" i="38"/>
  <c r="AB297" i="38"/>
  <c r="V297" i="38"/>
  <c r="AB296" i="38"/>
  <c r="V296" i="38"/>
  <c r="AB295" i="38"/>
  <c r="V295" i="38"/>
  <c r="AB294" i="38"/>
  <c r="V294" i="38"/>
  <c r="AB293" i="38"/>
  <c r="V293" i="38"/>
  <c r="AB292" i="38"/>
  <c r="V292" i="38"/>
  <c r="AB291" i="38"/>
  <c r="V291" i="38"/>
  <c r="AB290" i="38"/>
  <c r="V290" i="38"/>
  <c r="AB289" i="38"/>
  <c r="V289" i="38"/>
  <c r="AB288" i="38"/>
  <c r="V288" i="38"/>
  <c r="AB287" i="38"/>
  <c r="V287" i="38"/>
  <c r="AB286" i="38"/>
  <c r="V286" i="38"/>
  <c r="AB285" i="38"/>
  <c r="V285" i="38"/>
  <c r="AB284" i="38"/>
  <c r="V284" i="38"/>
  <c r="AB283" i="38"/>
  <c r="V283" i="38"/>
  <c r="AB282" i="38"/>
  <c r="V282" i="38"/>
  <c r="AB281" i="38"/>
  <c r="V281" i="38"/>
  <c r="AB280" i="38"/>
  <c r="V280" i="38"/>
  <c r="AB279" i="38"/>
  <c r="V279" i="38"/>
  <c r="AB278" i="38"/>
  <c r="V278" i="38"/>
  <c r="AB277" i="38"/>
  <c r="V277" i="38"/>
  <c r="AB276" i="38"/>
  <c r="V276" i="38"/>
  <c r="AB275" i="38"/>
  <c r="V275" i="38"/>
  <c r="AB274" i="38"/>
  <c r="V274" i="38"/>
  <c r="AB273" i="38"/>
  <c r="V273" i="38"/>
  <c r="AB272" i="38"/>
  <c r="V272" i="38"/>
  <c r="AB271" i="38"/>
  <c r="V271" i="38"/>
  <c r="AB270" i="38"/>
  <c r="V270" i="38"/>
  <c r="AB269" i="38"/>
  <c r="V269" i="38"/>
  <c r="AB268" i="38"/>
  <c r="V268" i="38"/>
  <c r="AB267" i="38"/>
  <c r="V267" i="38"/>
  <c r="AB266" i="38"/>
  <c r="V266" i="38"/>
  <c r="AB265" i="38"/>
  <c r="V265" i="38"/>
  <c r="AB264" i="38"/>
  <c r="V264" i="38"/>
  <c r="AB263" i="38"/>
  <c r="V263" i="38"/>
  <c r="AB262" i="38"/>
  <c r="V262" i="38"/>
  <c r="AB261" i="38"/>
  <c r="W261" i="38"/>
  <c r="U261" i="38"/>
  <c r="T261" i="38"/>
  <c r="AB260" i="38"/>
  <c r="W260" i="38"/>
  <c r="U260" i="38"/>
  <c r="T260" i="38"/>
  <c r="V260" i="38" s="1"/>
  <c r="AB259" i="38"/>
  <c r="W259" i="38"/>
  <c r="U259" i="38"/>
  <c r="T259" i="38"/>
  <c r="V259" i="38" s="1"/>
  <c r="AB258" i="38"/>
  <c r="W258" i="38"/>
  <c r="U258" i="38"/>
  <c r="T258" i="38"/>
  <c r="AB257" i="38"/>
  <c r="W257" i="38"/>
  <c r="U257" i="38"/>
  <c r="T257" i="38"/>
  <c r="AB256" i="38"/>
  <c r="W256" i="38"/>
  <c r="U256" i="38"/>
  <c r="V256" i="38" s="1"/>
  <c r="AB255" i="38"/>
  <c r="W255" i="38"/>
  <c r="V255" i="38"/>
  <c r="AB254" i="38"/>
  <c r="W254" i="38"/>
  <c r="V254" i="38"/>
  <c r="AB253" i="38"/>
  <c r="W253" i="38"/>
  <c r="V253" i="38"/>
  <c r="AB252" i="38"/>
  <c r="W252" i="38"/>
  <c r="V252" i="38"/>
  <c r="AB251" i="38"/>
  <c r="W251" i="38"/>
  <c r="U251" i="38"/>
  <c r="V251" i="38" s="1"/>
  <c r="AB250" i="38"/>
  <c r="V250" i="38"/>
  <c r="AB249" i="38"/>
  <c r="W249" i="38"/>
  <c r="V249" i="38"/>
  <c r="AB248" i="38"/>
  <c r="W248" i="38"/>
  <c r="V248" i="38"/>
  <c r="AB247" i="38"/>
  <c r="W247" i="38"/>
  <c r="V247" i="38"/>
  <c r="AB246" i="38"/>
  <c r="V246" i="38"/>
  <c r="AB245" i="38"/>
  <c r="W245" i="38"/>
  <c r="T245" i="38"/>
  <c r="V245" i="38" s="1"/>
  <c r="AB244" i="38"/>
  <c r="W244" i="38"/>
  <c r="V244" i="38"/>
  <c r="AB243" i="38"/>
  <c r="W243" i="38"/>
  <c r="U243" i="38"/>
  <c r="V243" i="38" s="1"/>
  <c r="AB242" i="38"/>
  <c r="W242" i="38"/>
  <c r="V242" i="38"/>
  <c r="AB241" i="38"/>
  <c r="W241" i="38"/>
  <c r="V241" i="38"/>
  <c r="AB240" i="38"/>
  <c r="W240" i="38"/>
  <c r="U240" i="38"/>
  <c r="V240" i="38" s="1"/>
  <c r="AB239" i="38"/>
  <c r="W239" i="38"/>
  <c r="V239" i="38"/>
  <c r="AB238" i="38"/>
  <c r="W238" i="38"/>
  <c r="U238" i="38"/>
  <c r="V238" i="38" s="1"/>
  <c r="AC237" i="38"/>
  <c r="AB237" i="38"/>
  <c r="W237" i="38"/>
  <c r="U237" i="38"/>
  <c r="V237" i="38" s="1"/>
  <c r="AB236" i="38"/>
  <c r="W236" i="38"/>
  <c r="U236" i="38"/>
  <c r="V236" i="38" s="1"/>
  <c r="AC235" i="38"/>
  <c r="Y235" i="38"/>
  <c r="AB235" i="38" s="1"/>
  <c r="W235" i="38"/>
  <c r="U235" i="38"/>
  <c r="V235" i="38" s="1"/>
  <c r="AB234" i="38"/>
  <c r="W234" i="38"/>
  <c r="U234" i="38"/>
  <c r="V234" i="38" s="1"/>
  <c r="AB233" i="38"/>
  <c r="W233" i="38"/>
  <c r="U233" i="38"/>
  <c r="V233" i="38" s="1"/>
  <c r="AB232" i="38"/>
  <c r="W232" i="38"/>
  <c r="V232" i="38"/>
  <c r="U232" i="38"/>
  <c r="AB231" i="38"/>
  <c r="W231" i="38"/>
  <c r="V231" i="38"/>
  <c r="AB230" i="38"/>
  <c r="W230" i="38"/>
  <c r="V230" i="38"/>
  <c r="AB229" i="38"/>
  <c r="V229" i="38"/>
  <c r="AB228" i="38"/>
  <c r="W228" i="38"/>
  <c r="V228" i="38"/>
  <c r="AB227" i="38"/>
  <c r="W227" i="38"/>
  <c r="V227" i="38"/>
  <c r="AB226" i="38"/>
  <c r="W226" i="38"/>
  <c r="V226" i="38"/>
  <c r="AB225" i="38"/>
  <c r="W225" i="38"/>
  <c r="U225" i="38"/>
  <c r="V225" i="38" s="1"/>
  <c r="AB224" i="38"/>
  <c r="W224" i="38"/>
  <c r="V224" i="38"/>
  <c r="AB223" i="38"/>
  <c r="W223" i="38"/>
  <c r="T223" i="38"/>
  <c r="V223" i="38" s="1"/>
  <c r="AB222" i="38"/>
  <c r="W222" i="38"/>
  <c r="U222" i="38"/>
  <c r="V222" i="38" s="1"/>
  <c r="AB221" i="38"/>
  <c r="W221" i="38"/>
  <c r="V221" i="38"/>
  <c r="AB220" i="38"/>
  <c r="W220" i="38"/>
  <c r="V220" i="38"/>
  <c r="AB219" i="38"/>
  <c r="W219" i="38"/>
  <c r="V219" i="38"/>
  <c r="AC218" i="38"/>
  <c r="AB218" i="38"/>
  <c r="W218" i="38"/>
  <c r="V218" i="38"/>
  <c r="AB217" i="38"/>
  <c r="W217" i="38"/>
  <c r="U217" i="38"/>
  <c r="V217" i="38" s="1"/>
  <c r="T217" i="38"/>
  <c r="AB216" i="38"/>
  <c r="W216" i="38"/>
  <c r="U216" i="38"/>
  <c r="V216" i="38" s="1"/>
  <c r="AB215" i="38"/>
  <c r="W215" i="38"/>
  <c r="V215" i="38"/>
  <c r="AB214" i="38"/>
  <c r="W214" i="38"/>
  <c r="U214" i="38"/>
  <c r="V214" i="38" s="1"/>
  <c r="AB213" i="38"/>
  <c r="V213" i="38"/>
  <c r="AB212" i="38"/>
  <c r="V212" i="38"/>
  <c r="AB211" i="38"/>
  <c r="V211" i="38"/>
  <c r="AB210" i="38"/>
  <c r="V210" i="38"/>
  <c r="AB209" i="38"/>
  <c r="V209" i="38"/>
  <c r="AB208" i="38"/>
  <c r="V208" i="38"/>
  <c r="AB207" i="38"/>
  <c r="V207" i="38"/>
  <c r="AB206" i="38"/>
  <c r="V206" i="38"/>
  <c r="AB205" i="38"/>
  <c r="V205" i="38"/>
  <c r="AB204" i="38"/>
  <c r="V204" i="38"/>
  <c r="AB203" i="38"/>
  <c r="V203" i="38"/>
  <c r="AB202" i="38"/>
  <c r="V202" i="38"/>
  <c r="AB201" i="38"/>
  <c r="V201" i="38"/>
  <c r="AB200" i="38"/>
  <c r="V200" i="38"/>
  <c r="AB199" i="38"/>
  <c r="V199" i="38"/>
  <c r="AB198" i="38"/>
  <c r="V198" i="38"/>
  <c r="AB197" i="38"/>
  <c r="V197" i="38"/>
  <c r="AB196" i="38"/>
  <c r="V196" i="38"/>
  <c r="AB195" i="38"/>
  <c r="V195" i="38"/>
  <c r="AB194" i="38"/>
  <c r="V194" i="38"/>
  <c r="AB193" i="38"/>
  <c r="V193" i="38"/>
  <c r="AB192" i="38"/>
  <c r="V192" i="38"/>
  <c r="AB191" i="38"/>
  <c r="V191" i="38"/>
  <c r="AB190" i="38"/>
  <c r="V190" i="38"/>
  <c r="AB189" i="38"/>
  <c r="V189" i="38"/>
  <c r="AB188" i="38"/>
  <c r="V188" i="38"/>
  <c r="AB187" i="38"/>
  <c r="V187" i="38"/>
  <c r="AB186" i="38"/>
  <c r="V186" i="38"/>
  <c r="AB185" i="38"/>
  <c r="V185" i="38"/>
  <c r="AB184" i="38"/>
  <c r="V184" i="38"/>
  <c r="AB183" i="38"/>
  <c r="V183" i="38"/>
  <c r="AB182" i="38"/>
  <c r="V182" i="38"/>
  <c r="AB181" i="38"/>
  <c r="V181" i="38"/>
  <c r="AB180" i="38"/>
  <c r="V180" i="38"/>
  <c r="AB179" i="38"/>
  <c r="V179" i="38"/>
  <c r="AB178" i="38"/>
  <c r="V178" i="38"/>
  <c r="AB177" i="38"/>
  <c r="V177" i="38"/>
  <c r="AB176" i="38"/>
  <c r="V176" i="38"/>
  <c r="AB175" i="38"/>
  <c r="V175" i="38"/>
  <c r="AB174" i="38"/>
  <c r="V174" i="38"/>
  <c r="AB173" i="38"/>
  <c r="V173" i="38"/>
  <c r="AB172" i="38"/>
  <c r="V172" i="38"/>
  <c r="AB171" i="38"/>
  <c r="V171" i="38"/>
  <c r="AB170" i="38"/>
  <c r="V170" i="38"/>
  <c r="AB169" i="38"/>
  <c r="V169" i="38"/>
  <c r="AB168" i="38"/>
  <c r="V168" i="38"/>
  <c r="AB167" i="38"/>
  <c r="V167" i="38"/>
  <c r="AB166" i="38"/>
  <c r="V166" i="38"/>
  <c r="AB165" i="38"/>
  <c r="V165" i="38"/>
  <c r="AB164" i="38"/>
  <c r="V164" i="38"/>
  <c r="AB163" i="38"/>
  <c r="V163" i="38"/>
  <c r="AB162" i="38"/>
  <c r="V162" i="38"/>
  <c r="AB161" i="38"/>
  <c r="V161" i="38"/>
  <c r="AB160" i="38"/>
  <c r="V160" i="38"/>
  <c r="AB159" i="38"/>
  <c r="V159" i="38"/>
  <c r="AB158" i="38"/>
  <c r="V158" i="38"/>
  <c r="AB157" i="38"/>
  <c r="V157" i="38"/>
  <c r="AB156" i="38"/>
  <c r="V156" i="38"/>
  <c r="AB155" i="38"/>
  <c r="V155" i="38"/>
  <c r="AB154" i="38"/>
  <c r="V154" i="38"/>
  <c r="AB153" i="38"/>
  <c r="V153" i="38"/>
  <c r="AB152" i="38"/>
  <c r="V152" i="38"/>
  <c r="AB151" i="38"/>
  <c r="V151" i="38"/>
  <c r="AB150" i="38"/>
  <c r="V150" i="38"/>
  <c r="AB149" i="38"/>
  <c r="V149" i="38"/>
  <c r="AB148" i="38"/>
  <c r="V148" i="38"/>
  <c r="AB147" i="38"/>
  <c r="V147" i="38"/>
  <c r="AB146" i="38"/>
  <c r="V146" i="38"/>
  <c r="AB145" i="38"/>
  <c r="V145" i="38"/>
  <c r="AB144" i="38"/>
  <c r="V144" i="38"/>
  <c r="AB143" i="38"/>
  <c r="V143" i="38"/>
  <c r="AB142" i="38"/>
  <c r="V142" i="38"/>
  <c r="AB141" i="38"/>
  <c r="V141" i="38"/>
  <c r="AB140" i="38"/>
  <c r="V140" i="38"/>
  <c r="AB139" i="38"/>
  <c r="V139" i="38"/>
  <c r="AB138" i="38"/>
  <c r="V138" i="38"/>
  <c r="AB137" i="38"/>
  <c r="V137" i="38"/>
  <c r="AB136" i="38"/>
  <c r="V136" i="38"/>
  <c r="AB135" i="38"/>
  <c r="V135" i="38"/>
  <c r="AB134" i="38"/>
  <c r="V134" i="38"/>
  <c r="AB133" i="38"/>
  <c r="AB132" i="38"/>
  <c r="V132" i="38"/>
  <c r="AB131" i="38"/>
  <c r="V131" i="38"/>
  <c r="AB130" i="38"/>
  <c r="V130" i="38"/>
  <c r="AB129" i="38"/>
  <c r="V129" i="38"/>
  <c r="AB128" i="38"/>
  <c r="V128" i="38"/>
  <c r="AB127" i="38"/>
  <c r="V127" i="38"/>
  <c r="AB126" i="38"/>
  <c r="V126" i="38"/>
  <c r="AB125" i="38"/>
  <c r="V125" i="38"/>
  <c r="AB124" i="38"/>
  <c r="V124" i="38"/>
  <c r="AB123" i="38"/>
  <c r="V123" i="38"/>
  <c r="AB122" i="38"/>
  <c r="V122" i="38"/>
  <c r="AB121" i="38"/>
  <c r="V121" i="38"/>
  <c r="AB120" i="38"/>
  <c r="V120" i="38"/>
  <c r="AB119" i="38"/>
  <c r="V119" i="38"/>
  <c r="AB118" i="38"/>
  <c r="V118" i="38"/>
  <c r="AB117" i="38"/>
  <c r="V117" i="38"/>
  <c r="AB116" i="38"/>
  <c r="V116" i="38"/>
  <c r="AB115" i="38"/>
  <c r="V115" i="38"/>
  <c r="AB114" i="38"/>
  <c r="V114" i="38"/>
  <c r="AB113" i="38"/>
  <c r="V113" i="38"/>
  <c r="AB112" i="38"/>
  <c r="V112" i="38"/>
  <c r="AB111" i="38"/>
  <c r="V111" i="38"/>
  <c r="AB110" i="38"/>
  <c r="V110" i="38"/>
  <c r="AB109" i="38"/>
  <c r="V109" i="38"/>
  <c r="AB108" i="38"/>
  <c r="V108" i="38"/>
  <c r="AB107" i="38"/>
  <c r="V107" i="38"/>
  <c r="AB106" i="38"/>
  <c r="V106" i="38"/>
  <c r="AB105" i="38"/>
  <c r="V105" i="38"/>
  <c r="AB104" i="38"/>
  <c r="V104" i="38"/>
  <c r="AB103" i="38"/>
  <c r="V103" i="38"/>
  <c r="AB102" i="38"/>
  <c r="V102" i="38"/>
  <c r="AB101" i="38"/>
  <c r="V101" i="38"/>
  <c r="AB100" i="38"/>
  <c r="V100" i="38"/>
  <c r="AB99" i="38"/>
  <c r="V99" i="38"/>
  <c r="AB98" i="38"/>
  <c r="V98" i="38"/>
  <c r="AB97" i="38"/>
  <c r="V97" i="38"/>
  <c r="AB96" i="38"/>
  <c r="V96" i="38"/>
  <c r="AB95" i="38"/>
  <c r="V95" i="38"/>
  <c r="AB94" i="38"/>
  <c r="V94" i="38"/>
  <c r="AB93" i="38"/>
  <c r="V93" i="38"/>
  <c r="AB92" i="38"/>
  <c r="V92" i="38"/>
  <c r="AB91" i="38"/>
  <c r="V91" i="38"/>
  <c r="AB90" i="38"/>
  <c r="V90" i="38"/>
  <c r="AB89" i="38"/>
  <c r="V89" i="38"/>
  <c r="AB88" i="38"/>
  <c r="V88" i="38"/>
  <c r="AB87" i="38"/>
  <c r="V87" i="38"/>
  <c r="AB86" i="38"/>
  <c r="V86" i="38"/>
  <c r="AB85" i="38"/>
  <c r="V85" i="38"/>
  <c r="AB84" i="38"/>
  <c r="V84" i="38"/>
  <c r="AB83" i="38"/>
  <c r="V83" i="38"/>
  <c r="AB82" i="38"/>
  <c r="V82" i="38"/>
  <c r="AB81" i="38"/>
  <c r="V81" i="38"/>
  <c r="AB80" i="38"/>
  <c r="V80" i="38"/>
  <c r="AB79" i="38"/>
  <c r="V79" i="38"/>
  <c r="AB78" i="38"/>
  <c r="V78" i="38"/>
  <c r="AB77" i="38"/>
  <c r="V77" i="38"/>
  <c r="AB76" i="38"/>
  <c r="V76" i="38"/>
  <c r="AB75" i="38"/>
  <c r="V75" i="38"/>
  <c r="AB74" i="38"/>
  <c r="V74" i="38"/>
  <c r="AB73" i="38"/>
  <c r="V73" i="38"/>
  <c r="AB72" i="38"/>
  <c r="V72" i="38"/>
  <c r="AB71" i="38"/>
  <c r="V71" i="38"/>
  <c r="AB70" i="38"/>
  <c r="V70" i="38"/>
  <c r="AB69" i="38"/>
  <c r="V69" i="38"/>
  <c r="AB68" i="38"/>
  <c r="V68" i="38"/>
  <c r="AB67" i="38"/>
  <c r="V67" i="38"/>
  <c r="AB66" i="38"/>
  <c r="V66" i="38"/>
  <c r="AB65" i="38"/>
  <c r="V65" i="38"/>
  <c r="AB64" i="38"/>
  <c r="V64" i="38"/>
  <c r="AB63" i="38"/>
  <c r="V63" i="38"/>
  <c r="AB62" i="38"/>
  <c r="V62" i="38"/>
  <c r="AB61" i="38"/>
  <c r="V61" i="38"/>
  <c r="AB60" i="38"/>
  <c r="V60" i="38"/>
  <c r="AB59" i="38"/>
  <c r="V59" i="38"/>
  <c r="AB58" i="38"/>
  <c r="V58" i="38"/>
  <c r="AB57" i="38"/>
  <c r="V57" i="38"/>
  <c r="AB56" i="38"/>
  <c r="V56" i="38"/>
  <c r="AB55" i="38"/>
  <c r="V55" i="38"/>
  <c r="AB54" i="38"/>
  <c r="V54" i="38"/>
  <c r="AB53" i="38"/>
  <c r="V53" i="38"/>
  <c r="AB52" i="38"/>
  <c r="V52" i="38"/>
  <c r="AB51" i="38"/>
  <c r="V51" i="38"/>
  <c r="AB50" i="38"/>
  <c r="V50" i="38"/>
  <c r="AB49" i="38"/>
  <c r="V49" i="38"/>
  <c r="AB48" i="38"/>
  <c r="V48" i="38"/>
  <c r="AB47" i="38"/>
  <c r="V47" i="38"/>
  <c r="AB46" i="38"/>
  <c r="V46" i="38"/>
  <c r="AB45" i="38"/>
  <c r="V45" i="38"/>
  <c r="AB44" i="38"/>
  <c r="V44" i="38"/>
  <c r="AB43" i="38"/>
  <c r="V43" i="38"/>
  <c r="AB42" i="38"/>
  <c r="V42" i="38"/>
  <c r="AB41" i="38"/>
  <c r="V41" i="38"/>
  <c r="AB40" i="38"/>
  <c r="V40" i="38"/>
  <c r="AB39" i="38"/>
  <c r="V39" i="38"/>
  <c r="AB38" i="38"/>
  <c r="V38" i="38"/>
  <c r="AB37" i="38"/>
  <c r="V37" i="38"/>
  <c r="AB36" i="38"/>
  <c r="V36" i="38"/>
  <c r="AB35" i="38"/>
  <c r="V35" i="38"/>
  <c r="AB34" i="38"/>
  <c r="V34" i="38"/>
  <c r="AB33" i="38"/>
  <c r="V33" i="38"/>
  <c r="AB32" i="38"/>
  <c r="V32" i="38"/>
  <c r="AB31" i="38"/>
  <c r="V31" i="38"/>
  <c r="AB30" i="38"/>
  <c r="V30" i="38"/>
  <c r="AB29" i="38"/>
  <c r="V29" i="38"/>
  <c r="AB28" i="38"/>
  <c r="V28" i="38"/>
  <c r="AB27" i="38"/>
  <c r="V27" i="38"/>
  <c r="AB26" i="38"/>
  <c r="V26" i="38"/>
  <c r="AB25" i="38"/>
  <c r="V25" i="38"/>
  <c r="AB24" i="38"/>
  <c r="V24" i="38"/>
  <c r="AB23" i="38"/>
  <c r="V23" i="38"/>
  <c r="AB22" i="38"/>
  <c r="V22" i="38"/>
  <c r="AB21" i="38"/>
  <c r="V21" i="38"/>
  <c r="AB20" i="38"/>
  <c r="V20" i="38"/>
  <c r="AB19" i="38"/>
  <c r="V19" i="38"/>
  <c r="AB18" i="38"/>
  <c r="V18" i="38"/>
  <c r="AB17" i="38"/>
  <c r="V17" i="38"/>
  <c r="AB16" i="38"/>
  <c r="V16" i="38"/>
  <c r="AB15" i="38"/>
  <c r="V15" i="38"/>
  <c r="AB14" i="38"/>
  <c r="V14" i="38"/>
  <c r="AB13" i="38"/>
  <c r="V13" i="38"/>
  <c r="AB12" i="38"/>
  <c r="AB11" i="38"/>
  <c r="V11" i="38"/>
  <c r="AB10" i="38"/>
  <c r="V10" i="38"/>
  <c r="V257" i="38" l="1"/>
  <c r="V365" i="38"/>
  <c r="V261" i="38"/>
  <c r="V258" i="38"/>
  <c r="D222" i="105"/>
  <c r="C209" i="105"/>
  <c r="G96" i="53" l="1"/>
  <c r="C242" i="3" l="1"/>
  <c r="G84" i="53" l="1"/>
  <c r="E154" i="147"/>
  <c r="H154" i="147"/>
  <c r="H412" i="11"/>
  <c r="H411" i="11"/>
  <c r="H413" i="11"/>
  <c r="J230" i="106"/>
  <c r="J231" i="106"/>
  <c r="H316" i="14" l="1"/>
  <c r="D251" i="14"/>
  <c r="N389" i="24" l="1"/>
  <c r="O484" i="128"/>
  <c r="O485" i="128"/>
  <c r="O486" i="128"/>
  <c r="O487" i="128"/>
  <c r="O488" i="128"/>
  <c r="O489" i="128"/>
  <c r="O463" i="128"/>
  <c r="O464" i="128"/>
  <c r="O465" i="128"/>
  <c r="O466" i="128"/>
  <c r="O467" i="128"/>
  <c r="O468" i="128"/>
  <c r="O469" i="128"/>
  <c r="O470" i="128"/>
  <c r="O471" i="128"/>
  <c r="O472" i="128"/>
  <c r="O473" i="128"/>
  <c r="O474" i="128"/>
  <c r="O475" i="128"/>
  <c r="O476" i="128"/>
  <c r="O477" i="128"/>
  <c r="O478" i="128"/>
  <c r="O479" i="128"/>
  <c r="O480" i="128"/>
  <c r="O481" i="128"/>
  <c r="O482" i="128"/>
  <c r="O483" i="128"/>
  <c r="O443" i="128"/>
  <c r="O444" i="128"/>
  <c r="O445" i="128"/>
  <c r="O446" i="128"/>
  <c r="O447" i="128"/>
  <c r="O448" i="128"/>
  <c r="O449" i="128"/>
  <c r="O450" i="128"/>
  <c r="O451" i="128"/>
  <c r="O452" i="128"/>
  <c r="O453" i="128"/>
  <c r="O454" i="128"/>
  <c r="O455" i="128"/>
  <c r="O456" i="128"/>
  <c r="O457" i="128"/>
  <c r="O458" i="128"/>
  <c r="O459" i="128"/>
  <c r="O460" i="128"/>
  <c r="O461" i="128"/>
  <c r="O462" i="128"/>
  <c r="O427" i="128"/>
  <c r="O428" i="128"/>
  <c r="O429" i="128"/>
  <c r="O430" i="128"/>
  <c r="O431" i="128"/>
  <c r="O432" i="128"/>
  <c r="O433" i="128"/>
  <c r="O434" i="128"/>
  <c r="O435" i="128"/>
  <c r="O436" i="128"/>
  <c r="O437" i="128"/>
  <c r="O438" i="128"/>
  <c r="O439" i="128"/>
  <c r="O440" i="128"/>
  <c r="O441" i="128"/>
  <c r="O442" i="128"/>
  <c r="O426" i="128"/>
  <c r="O425" i="128"/>
  <c r="O424" i="128"/>
  <c r="E148" i="49" l="1"/>
  <c r="C147" i="49"/>
  <c r="F147" i="49"/>
  <c r="G38" i="53" l="1"/>
  <c r="O423" i="128"/>
  <c r="M93" i="141" l="1"/>
  <c r="M94" i="141" l="1"/>
  <c r="M21" i="141"/>
  <c r="M22" i="141"/>
  <c r="M23" i="141"/>
  <c r="M25" i="141"/>
  <c r="M26" i="141"/>
  <c r="M27" i="141"/>
  <c r="M28" i="141"/>
  <c r="M29" i="141"/>
  <c r="M30" i="141"/>
  <c r="M31" i="141"/>
  <c r="M32" i="141"/>
  <c r="M33" i="141"/>
  <c r="M34" i="141"/>
  <c r="M35" i="141"/>
  <c r="M36" i="141"/>
  <c r="M37" i="141"/>
  <c r="M38" i="141"/>
  <c r="M39" i="141"/>
  <c r="M40" i="141"/>
  <c r="M42" i="141"/>
  <c r="M43" i="141"/>
  <c r="M44" i="141"/>
  <c r="M45" i="141"/>
  <c r="M46" i="141"/>
  <c r="M47" i="141"/>
  <c r="M48" i="141"/>
  <c r="M49" i="141"/>
  <c r="M50" i="141"/>
  <c r="M51" i="141"/>
  <c r="M52" i="141"/>
  <c r="M53" i="141"/>
  <c r="M54" i="141"/>
  <c r="M55" i="141"/>
  <c r="M59" i="141"/>
  <c r="M60" i="141"/>
  <c r="M61" i="141"/>
  <c r="M62" i="141"/>
  <c r="M63" i="141"/>
  <c r="M64" i="141"/>
  <c r="M65" i="141"/>
  <c r="M66" i="141"/>
  <c r="M67" i="141"/>
  <c r="M68" i="141"/>
  <c r="M69" i="141"/>
  <c r="M70" i="141"/>
  <c r="M71" i="141"/>
  <c r="M72" i="141"/>
  <c r="M73" i="141"/>
  <c r="M74" i="141"/>
  <c r="M75" i="141"/>
  <c r="M76" i="141"/>
  <c r="M77" i="141"/>
  <c r="M78" i="141"/>
  <c r="M79" i="141"/>
  <c r="M80" i="141"/>
  <c r="M81" i="141"/>
  <c r="M82" i="141"/>
  <c r="M83" i="141"/>
  <c r="M84" i="141"/>
  <c r="M85" i="141"/>
  <c r="M86" i="141"/>
  <c r="M87" i="141"/>
  <c r="M88" i="141"/>
  <c r="M89" i="141"/>
  <c r="M90" i="141"/>
  <c r="M91" i="141"/>
  <c r="M92" i="141"/>
  <c r="M95" i="141"/>
  <c r="M97" i="141"/>
  <c r="M98" i="141"/>
  <c r="M99" i="141"/>
  <c r="M100" i="141"/>
  <c r="M101" i="141"/>
  <c r="M102" i="141"/>
  <c r="M103" i="141"/>
  <c r="M104" i="141"/>
  <c r="M105" i="141"/>
  <c r="M106" i="141"/>
  <c r="M107" i="141"/>
  <c r="M108" i="141"/>
  <c r="M109" i="141"/>
  <c r="M110" i="141"/>
  <c r="M111" i="141"/>
  <c r="M112" i="141"/>
  <c r="M113" i="141"/>
  <c r="M114" i="141"/>
  <c r="M115" i="141"/>
  <c r="M116" i="141"/>
  <c r="M117" i="141"/>
  <c r="M12" i="141"/>
  <c r="M13" i="141"/>
  <c r="M14" i="141"/>
  <c r="M15" i="141"/>
  <c r="M16" i="141"/>
  <c r="M17" i="141"/>
  <c r="M18" i="141"/>
  <c r="M19" i="141"/>
  <c r="M20" i="141"/>
  <c r="S31" i="135"/>
  <c r="S32" i="135"/>
  <c r="S33" i="135"/>
  <c r="S34" i="135"/>
  <c r="S35" i="135"/>
  <c r="S36" i="135"/>
  <c r="S37" i="135"/>
  <c r="S38" i="135"/>
  <c r="S39" i="135"/>
  <c r="S40" i="135"/>
  <c r="S41" i="135"/>
  <c r="S42" i="135"/>
  <c r="S43" i="135"/>
  <c r="S44" i="135"/>
  <c r="S45" i="135"/>
  <c r="S46" i="135"/>
  <c r="S47" i="135"/>
  <c r="S48" i="135"/>
  <c r="S49" i="135"/>
  <c r="S50" i="135"/>
  <c r="S51" i="135"/>
  <c r="S52" i="135"/>
  <c r="S53" i="135"/>
  <c r="S54" i="135"/>
  <c r="S55" i="135"/>
  <c r="S56" i="135"/>
  <c r="S57" i="135"/>
  <c r="S58" i="135"/>
  <c r="S59" i="135"/>
  <c r="S60" i="135"/>
  <c r="S61" i="135"/>
  <c r="S62" i="135"/>
  <c r="S63" i="135"/>
  <c r="S64" i="135"/>
  <c r="S65" i="135"/>
  <c r="S66" i="135"/>
  <c r="S67" i="135"/>
  <c r="S68" i="135"/>
  <c r="S69" i="135"/>
  <c r="S70" i="135"/>
  <c r="S71" i="135"/>
  <c r="S72" i="135"/>
  <c r="S73" i="135"/>
  <c r="S74" i="135"/>
  <c r="S75" i="135"/>
  <c r="S76" i="135"/>
  <c r="S77" i="135"/>
  <c r="S78" i="135"/>
  <c r="S81" i="135"/>
  <c r="S82" i="135"/>
  <c r="S83" i="135"/>
  <c r="S84" i="135"/>
  <c r="S85" i="135"/>
  <c r="S86" i="135"/>
  <c r="S87" i="135"/>
  <c r="S88" i="135"/>
  <c r="S89" i="135"/>
  <c r="S90" i="135"/>
  <c r="S91" i="135"/>
  <c r="S92" i="135"/>
  <c r="S93" i="135"/>
  <c r="S94" i="135"/>
  <c r="S95" i="135"/>
  <c r="S96" i="135"/>
  <c r="S97" i="135"/>
  <c r="S98" i="135"/>
  <c r="S99" i="135"/>
  <c r="S100" i="135"/>
  <c r="S101" i="135"/>
  <c r="S102" i="135"/>
  <c r="S103" i="135"/>
  <c r="S104" i="135"/>
  <c r="S105" i="135"/>
  <c r="S106" i="135"/>
  <c r="S107" i="135"/>
  <c r="S108" i="135"/>
  <c r="S109" i="135"/>
  <c r="S110" i="135"/>
  <c r="S111" i="135"/>
  <c r="S112" i="135"/>
  <c r="S113" i="135"/>
  <c r="S114" i="135"/>
  <c r="S115" i="135"/>
  <c r="S116" i="135"/>
  <c r="S117" i="135"/>
  <c r="S118" i="135"/>
  <c r="S119" i="135"/>
  <c r="S120" i="135"/>
  <c r="S121" i="135"/>
  <c r="S122" i="135"/>
  <c r="S123" i="135"/>
  <c r="S124" i="135"/>
  <c r="S125" i="135"/>
  <c r="S126" i="135"/>
  <c r="S127" i="135"/>
  <c r="S128" i="135"/>
  <c r="S129" i="135"/>
  <c r="S130" i="135"/>
  <c r="S131" i="135"/>
  <c r="S132" i="135"/>
  <c r="S133" i="135"/>
  <c r="S134" i="135"/>
  <c r="S135" i="135"/>
  <c r="S136" i="135"/>
  <c r="S137" i="135"/>
  <c r="S138" i="135"/>
  <c r="S139" i="135"/>
  <c r="M32" i="135"/>
  <c r="M33" i="135"/>
  <c r="M34" i="135"/>
  <c r="M35" i="135"/>
  <c r="M36" i="135"/>
  <c r="M37" i="135"/>
  <c r="M38" i="135"/>
  <c r="M39" i="135"/>
  <c r="M40" i="135"/>
  <c r="M41" i="135"/>
  <c r="M42" i="135"/>
  <c r="M43" i="135"/>
  <c r="M44" i="135"/>
  <c r="M45" i="135"/>
  <c r="M46" i="135"/>
  <c r="M47" i="135"/>
  <c r="M48" i="135"/>
  <c r="M49" i="135"/>
  <c r="M50" i="135"/>
  <c r="M51" i="135"/>
  <c r="M52" i="135"/>
  <c r="M53" i="135"/>
  <c r="M54" i="135"/>
  <c r="M55" i="135"/>
  <c r="M56" i="135"/>
  <c r="M57" i="135"/>
  <c r="M58" i="135"/>
  <c r="M59" i="135"/>
  <c r="M60" i="135"/>
  <c r="M61" i="135"/>
  <c r="M62" i="135"/>
  <c r="M63" i="135"/>
  <c r="M64" i="135"/>
  <c r="M65" i="135"/>
  <c r="M66" i="135"/>
  <c r="M67" i="135"/>
  <c r="M68" i="135"/>
  <c r="M69" i="135"/>
  <c r="M70" i="135"/>
  <c r="M71" i="135"/>
  <c r="M72" i="135"/>
  <c r="M73" i="135"/>
  <c r="M74" i="135"/>
  <c r="M75" i="135"/>
  <c r="M76" i="135"/>
  <c r="M77" i="135"/>
  <c r="M78" i="135"/>
  <c r="M81" i="135"/>
  <c r="M82" i="135"/>
  <c r="M83" i="135"/>
  <c r="M84" i="135"/>
  <c r="M85" i="135"/>
  <c r="M86" i="135"/>
  <c r="M87" i="135"/>
  <c r="M88" i="135"/>
  <c r="M89" i="135"/>
  <c r="M90" i="135"/>
  <c r="M91" i="135"/>
  <c r="M92" i="135"/>
  <c r="M93" i="135"/>
  <c r="M94" i="135"/>
  <c r="M95" i="135"/>
  <c r="M96" i="135"/>
  <c r="M97" i="135"/>
  <c r="M98" i="135"/>
  <c r="M99" i="135"/>
  <c r="M100" i="135"/>
  <c r="M101" i="135"/>
  <c r="M102" i="135"/>
  <c r="M103" i="135"/>
  <c r="M104" i="135"/>
  <c r="M105" i="135"/>
  <c r="M106" i="135"/>
  <c r="M107" i="135"/>
  <c r="M108" i="135"/>
  <c r="M109" i="135"/>
  <c r="M110" i="135"/>
  <c r="M111" i="135"/>
  <c r="M112" i="135"/>
  <c r="M113" i="135"/>
  <c r="M114" i="135"/>
  <c r="M115" i="135"/>
  <c r="M116" i="135"/>
  <c r="M117" i="135"/>
  <c r="M118" i="135"/>
  <c r="M119" i="135"/>
  <c r="M120" i="135"/>
  <c r="M121" i="135"/>
  <c r="M122" i="135"/>
  <c r="M123" i="135"/>
  <c r="M124" i="135"/>
  <c r="M125" i="135"/>
  <c r="M126" i="135"/>
  <c r="M127" i="135"/>
  <c r="M128" i="135"/>
  <c r="M129" i="135"/>
  <c r="M130" i="135"/>
  <c r="M131" i="135"/>
  <c r="M132" i="135"/>
  <c r="M133" i="135"/>
  <c r="M134" i="135"/>
  <c r="M135" i="135"/>
  <c r="M136" i="135"/>
  <c r="M137" i="135"/>
  <c r="M138" i="135"/>
  <c r="M139" i="135"/>
  <c r="G30" i="135"/>
  <c r="G31" i="135"/>
  <c r="G32" i="135"/>
  <c r="G33" i="135"/>
  <c r="G34" i="135"/>
  <c r="G35" i="135"/>
  <c r="G36" i="135"/>
  <c r="G37" i="135"/>
  <c r="G38" i="135"/>
  <c r="G39" i="135"/>
  <c r="G40" i="135"/>
  <c r="G41" i="135"/>
  <c r="G42" i="135"/>
  <c r="G43" i="135"/>
  <c r="G44" i="135"/>
  <c r="G45" i="135"/>
  <c r="G46" i="135"/>
  <c r="G47" i="135"/>
  <c r="G48" i="135"/>
  <c r="G49" i="135"/>
  <c r="G50" i="135"/>
  <c r="G51" i="135"/>
  <c r="G52" i="135"/>
  <c r="G53" i="135"/>
  <c r="G54" i="135"/>
  <c r="G55" i="135"/>
  <c r="G56" i="135"/>
  <c r="G57" i="135"/>
  <c r="G58" i="135"/>
  <c r="G59" i="135"/>
  <c r="G60" i="135"/>
  <c r="G61" i="135"/>
  <c r="G62" i="135"/>
  <c r="G63" i="135"/>
  <c r="G64" i="135"/>
  <c r="G65" i="135"/>
  <c r="G66" i="135"/>
  <c r="G67" i="135"/>
  <c r="G68" i="135"/>
  <c r="G69" i="135"/>
  <c r="G70" i="135"/>
  <c r="G71" i="135"/>
  <c r="G72" i="135"/>
  <c r="G73" i="135"/>
  <c r="G74" i="135"/>
  <c r="G75" i="135"/>
  <c r="G76" i="135"/>
  <c r="G77" i="135"/>
  <c r="G78" i="135"/>
  <c r="G81" i="135"/>
  <c r="G82" i="135"/>
  <c r="G83" i="135"/>
  <c r="G84" i="135"/>
  <c r="G85" i="135"/>
  <c r="G86" i="135"/>
  <c r="G87" i="135"/>
  <c r="G88" i="135"/>
  <c r="G89" i="135"/>
  <c r="G90" i="135"/>
  <c r="G91" i="135"/>
  <c r="G92" i="135"/>
  <c r="G93" i="135"/>
  <c r="G94" i="135"/>
  <c r="G95" i="135"/>
  <c r="G96" i="135"/>
  <c r="G97" i="135"/>
  <c r="G98" i="135"/>
  <c r="G99" i="135"/>
  <c r="G100" i="135"/>
  <c r="G101" i="135"/>
  <c r="G102" i="135"/>
  <c r="G103" i="135"/>
  <c r="G104" i="135"/>
  <c r="G105" i="135"/>
  <c r="G106" i="135"/>
  <c r="G107" i="135"/>
  <c r="G108" i="135"/>
  <c r="G109" i="135"/>
  <c r="G110" i="135"/>
  <c r="G111" i="135"/>
  <c r="G112" i="135"/>
  <c r="G113" i="135"/>
  <c r="G114" i="135"/>
  <c r="G115" i="135"/>
  <c r="G116" i="135"/>
  <c r="G117" i="135"/>
  <c r="G119" i="135"/>
  <c r="G120" i="135"/>
  <c r="G121" i="135"/>
  <c r="G122" i="135"/>
  <c r="G123" i="135"/>
  <c r="G124" i="135"/>
  <c r="G125" i="135"/>
  <c r="G126" i="135"/>
  <c r="G127" i="135"/>
  <c r="G128" i="135"/>
  <c r="G129" i="135"/>
  <c r="G130" i="135"/>
  <c r="G131" i="135"/>
  <c r="G132" i="135"/>
  <c r="G133" i="135"/>
  <c r="G134" i="135"/>
  <c r="G135" i="135"/>
  <c r="G136" i="135"/>
  <c r="G137" i="135"/>
  <c r="G138" i="135"/>
  <c r="G139" i="135"/>
  <c r="L12" i="134"/>
  <c r="M12" i="134"/>
  <c r="N12" i="134"/>
  <c r="O12" i="134"/>
  <c r="L13" i="134"/>
  <c r="M13" i="134"/>
  <c r="N13" i="134"/>
  <c r="O13" i="134"/>
  <c r="L14" i="134"/>
  <c r="M14" i="134"/>
  <c r="N14" i="134"/>
  <c r="O14" i="134"/>
  <c r="L15" i="134"/>
  <c r="M15" i="134"/>
  <c r="N15" i="134"/>
  <c r="O15" i="134"/>
  <c r="L16" i="134"/>
  <c r="M16" i="134"/>
  <c r="N16" i="134"/>
  <c r="O16" i="134"/>
  <c r="L17" i="134"/>
  <c r="M17" i="134"/>
  <c r="N17" i="134"/>
  <c r="O17" i="134"/>
  <c r="L18" i="134"/>
  <c r="M18" i="134"/>
  <c r="N18" i="134"/>
  <c r="O18" i="134"/>
  <c r="L19" i="134"/>
  <c r="M19" i="134"/>
  <c r="N19" i="134"/>
  <c r="O19" i="134"/>
  <c r="L20" i="134"/>
  <c r="M20" i="134"/>
  <c r="N20" i="134"/>
  <c r="O20" i="134"/>
  <c r="L21" i="134"/>
  <c r="M21" i="134"/>
  <c r="N21" i="134"/>
  <c r="O21" i="134"/>
  <c r="L22" i="134"/>
  <c r="M22" i="134"/>
  <c r="N22" i="134"/>
  <c r="O22" i="134"/>
  <c r="L23" i="134"/>
  <c r="M23" i="134"/>
  <c r="N23" i="134"/>
  <c r="O23" i="134"/>
  <c r="L24" i="134"/>
  <c r="M24" i="134"/>
  <c r="N24" i="134"/>
  <c r="O24" i="134"/>
  <c r="L25" i="134"/>
  <c r="M25" i="134"/>
  <c r="N25" i="134"/>
  <c r="O25" i="134"/>
  <c r="L26" i="134"/>
  <c r="M26" i="134"/>
  <c r="N26" i="134"/>
  <c r="O26" i="134"/>
  <c r="L27" i="134"/>
  <c r="M27" i="134"/>
  <c r="N27" i="134"/>
  <c r="O27" i="134"/>
  <c r="L28" i="134"/>
  <c r="M28" i="134"/>
  <c r="N28" i="134"/>
  <c r="O28" i="134"/>
  <c r="L29" i="134"/>
  <c r="M29" i="134"/>
  <c r="N29" i="134"/>
  <c r="O29" i="134"/>
  <c r="L30" i="134"/>
  <c r="M30" i="134"/>
  <c r="N30" i="134"/>
  <c r="O30" i="134"/>
  <c r="L31" i="134"/>
  <c r="M31" i="134"/>
  <c r="N31" i="134"/>
  <c r="O31" i="134"/>
  <c r="L32" i="134"/>
  <c r="M32" i="134"/>
  <c r="N32" i="134"/>
  <c r="O32" i="134"/>
  <c r="L33" i="134"/>
  <c r="M33" i="134"/>
  <c r="N33" i="134"/>
  <c r="O33" i="134"/>
  <c r="L34" i="134"/>
  <c r="M34" i="134"/>
  <c r="N34" i="134"/>
  <c r="O34" i="134"/>
  <c r="L35" i="134"/>
  <c r="M35" i="134"/>
  <c r="N35" i="134"/>
  <c r="O35" i="134"/>
  <c r="L36" i="134"/>
  <c r="M36" i="134"/>
  <c r="N36" i="134"/>
  <c r="O36" i="134"/>
  <c r="L37" i="134"/>
  <c r="M37" i="134"/>
  <c r="N37" i="134"/>
  <c r="O37" i="134"/>
  <c r="L38" i="134"/>
  <c r="M38" i="134"/>
  <c r="N38" i="134"/>
  <c r="O38" i="134"/>
  <c r="L39" i="134"/>
  <c r="M39" i="134"/>
  <c r="N39" i="134"/>
  <c r="O39" i="134"/>
  <c r="L40" i="134"/>
  <c r="M40" i="134"/>
  <c r="N40" i="134"/>
  <c r="O40" i="134"/>
  <c r="L41" i="134"/>
  <c r="M41" i="134"/>
  <c r="N41" i="134"/>
  <c r="O41" i="134"/>
  <c r="L42" i="134"/>
  <c r="M42" i="134"/>
  <c r="N42" i="134"/>
  <c r="O42" i="134"/>
  <c r="L43" i="134"/>
  <c r="M43" i="134"/>
  <c r="N43" i="134"/>
  <c r="O43" i="134"/>
  <c r="L44" i="134"/>
  <c r="M44" i="134"/>
  <c r="N44" i="134"/>
  <c r="O44" i="134"/>
  <c r="L45" i="134"/>
  <c r="M45" i="134"/>
  <c r="N45" i="134"/>
  <c r="O45" i="134"/>
  <c r="L46" i="134"/>
  <c r="M46" i="134"/>
  <c r="N46" i="134"/>
  <c r="O46" i="134"/>
  <c r="L47" i="134"/>
  <c r="M47" i="134"/>
  <c r="N47" i="134"/>
  <c r="O47" i="134"/>
  <c r="L48" i="134"/>
  <c r="M48" i="134"/>
  <c r="N48" i="134"/>
  <c r="O48" i="134"/>
  <c r="L49" i="134"/>
  <c r="M49" i="134"/>
  <c r="N49" i="134"/>
  <c r="O49" i="134"/>
  <c r="L50" i="134"/>
  <c r="M50" i="134"/>
  <c r="N50" i="134"/>
  <c r="O50" i="134"/>
  <c r="L51" i="134"/>
  <c r="M51" i="134"/>
  <c r="N51" i="134"/>
  <c r="O51" i="134"/>
  <c r="L52" i="134"/>
  <c r="M52" i="134"/>
  <c r="N52" i="134"/>
  <c r="O52" i="134"/>
  <c r="L53" i="134"/>
  <c r="M53" i="134"/>
  <c r="N53" i="134"/>
  <c r="O53" i="134"/>
  <c r="L54" i="134"/>
  <c r="M54" i="134"/>
  <c r="N54" i="134"/>
  <c r="O54" i="134"/>
  <c r="L55" i="134"/>
  <c r="M55" i="134"/>
  <c r="N55" i="134"/>
  <c r="O55" i="134"/>
  <c r="L56" i="134"/>
  <c r="M56" i="134"/>
  <c r="N56" i="134"/>
  <c r="O56" i="134"/>
  <c r="L57" i="134"/>
  <c r="M57" i="134"/>
  <c r="N57" i="134"/>
  <c r="O57" i="134"/>
  <c r="L58" i="134"/>
  <c r="M58" i="134"/>
  <c r="N58" i="134"/>
  <c r="O58" i="134"/>
  <c r="L59" i="134"/>
  <c r="M59" i="134"/>
  <c r="N59" i="134"/>
  <c r="O59" i="134"/>
  <c r="L60" i="134"/>
  <c r="M60" i="134"/>
  <c r="N60" i="134"/>
  <c r="O60" i="134"/>
  <c r="L61" i="134"/>
  <c r="M61" i="134"/>
  <c r="N61" i="134"/>
  <c r="O61" i="134"/>
  <c r="L62" i="134"/>
  <c r="M62" i="134"/>
  <c r="N62" i="134"/>
  <c r="O62" i="134"/>
  <c r="L63" i="134"/>
  <c r="M63" i="134"/>
  <c r="N63" i="134"/>
  <c r="O63" i="134"/>
  <c r="L64" i="134"/>
  <c r="M64" i="134"/>
  <c r="N64" i="134"/>
  <c r="O64" i="134"/>
  <c r="L65" i="134"/>
  <c r="M65" i="134"/>
  <c r="N65" i="134"/>
  <c r="O65" i="134"/>
  <c r="L66" i="134"/>
  <c r="M66" i="134"/>
  <c r="N66" i="134"/>
  <c r="O66" i="134"/>
  <c r="L67" i="134"/>
  <c r="M67" i="134"/>
  <c r="N67" i="134"/>
  <c r="O67" i="134"/>
  <c r="L68" i="134"/>
  <c r="M68" i="134"/>
  <c r="N68" i="134"/>
  <c r="O68" i="134"/>
  <c r="L69" i="134"/>
  <c r="M69" i="134"/>
  <c r="N69" i="134"/>
  <c r="O69" i="134"/>
  <c r="L70" i="134"/>
  <c r="M70" i="134"/>
  <c r="N70" i="134"/>
  <c r="O70" i="134"/>
  <c r="L71" i="134"/>
  <c r="M71" i="134"/>
  <c r="N71" i="134"/>
  <c r="O71" i="134"/>
  <c r="L72" i="134"/>
  <c r="M72" i="134"/>
  <c r="N72" i="134"/>
  <c r="O72" i="134"/>
  <c r="L73" i="134"/>
  <c r="M73" i="134"/>
  <c r="N73" i="134"/>
  <c r="O73" i="134"/>
  <c r="L74" i="134"/>
  <c r="M74" i="134"/>
  <c r="N74" i="134"/>
  <c r="O74" i="134"/>
  <c r="L75" i="134"/>
  <c r="M75" i="134"/>
  <c r="N75" i="134"/>
  <c r="O75" i="134"/>
  <c r="L76" i="134"/>
  <c r="M76" i="134"/>
  <c r="N76" i="134"/>
  <c r="O76" i="134"/>
  <c r="L77" i="134"/>
  <c r="M77" i="134"/>
  <c r="N77" i="134"/>
  <c r="O77" i="134"/>
  <c r="L81" i="134"/>
  <c r="M81" i="134"/>
  <c r="N81" i="134"/>
  <c r="O81" i="134"/>
  <c r="L82" i="134"/>
  <c r="M82" i="134"/>
  <c r="N82" i="134"/>
  <c r="O82" i="134"/>
  <c r="L83" i="134"/>
  <c r="M83" i="134"/>
  <c r="N83" i="134"/>
  <c r="O83" i="134"/>
  <c r="L84" i="134"/>
  <c r="M84" i="134"/>
  <c r="N84" i="134"/>
  <c r="O84" i="134"/>
  <c r="L85" i="134"/>
  <c r="M85" i="134"/>
  <c r="N85" i="134"/>
  <c r="O85" i="134"/>
  <c r="L86" i="134"/>
  <c r="M86" i="134"/>
  <c r="N86" i="134"/>
  <c r="O86" i="134"/>
  <c r="L87" i="134"/>
  <c r="M87" i="134"/>
  <c r="N87" i="134"/>
  <c r="O87" i="134"/>
  <c r="L88" i="134"/>
  <c r="M88" i="134"/>
  <c r="N88" i="134"/>
  <c r="O88" i="134"/>
  <c r="L89" i="134"/>
  <c r="M89" i="134"/>
  <c r="N89" i="134"/>
  <c r="O89" i="134"/>
  <c r="L90" i="134"/>
  <c r="M90" i="134"/>
  <c r="N90" i="134"/>
  <c r="O90" i="134"/>
  <c r="L91" i="134"/>
  <c r="M91" i="134"/>
  <c r="N91" i="134"/>
  <c r="O91" i="134"/>
  <c r="L92" i="134"/>
  <c r="M92" i="134"/>
  <c r="N92" i="134"/>
  <c r="O92" i="134"/>
  <c r="L93" i="134"/>
  <c r="M93" i="134"/>
  <c r="N93" i="134"/>
  <c r="O93" i="134"/>
  <c r="L94" i="134"/>
  <c r="M94" i="134"/>
  <c r="N94" i="134"/>
  <c r="O94" i="134"/>
  <c r="L95" i="134"/>
  <c r="M95" i="134"/>
  <c r="N95" i="134"/>
  <c r="O95" i="134"/>
  <c r="L96" i="134"/>
  <c r="M96" i="134"/>
  <c r="N96" i="134"/>
  <c r="O96" i="134"/>
  <c r="L97" i="134"/>
  <c r="M97" i="134"/>
  <c r="N97" i="134"/>
  <c r="O97" i="134"/>
  <c r="L98" i="134"/>
  <c r="M98" i="134"/>
  <c r="N98" i="134"/>
  <c r="O98" i="134"/>
  <c r="L99" i="134"/>
  <c r="M99" i="134"/>
  <c r="N99" i="134"/>
  <c r="O99" i="134"/>
  <c r="L100" i="134"/>
  <c r="M100" i="134"/>
  <c r="N100" i="134"/>
  <c r="O100" i="134"/>
  <c r="L101" i="134"/>
  <c r="M101" i="134"/>
  <c r="N101" i="134"/>
  <c r="O101" i="134"/>
  <c r="L102" i="134"/>
  <c r="M102" i="134"/>
  <c r="N102" i="134"/>
  <c r="O102" i="134"/>
  <c r="L103" i="134"/>
  <c r="M103" i="134"/>
  <c r="N103" i="134"/>
  <c r="O103" i="134"/>
  <c r="L104" i="134"/>
  <c r="M104" i="134"/>
  <c r="N104" i="134"/>
  <c r="O104" i="134"/>
  <c r="L105" i="134"/>
  <c r="M105" i="134"/>
  <c r="N105" i="134"/>
  <c r="O105" i="134"/>
  <c r="L106" i="134"/>
  <c r="M106" i="134"/>
  <c r="N106" i="134"/>
  <c r="O106" i="134"/>
  <c r="L107" i="134"/>
  <c r="M107" i="134"/>
  <c r="N107" i="134"/>
  <c r="O107" i="134"/>
  <c r="L108" i="134"/>
  <c r="M108" i="134"/>
  <c r="N108" i="134"/>
  <c r="O108" i="134"/>
  <c r="L109" i="134"/>
  <c r="M109" i="134"/>
  <c r="N109" i="134"/>
  <c r="O109" i="134"/>
  <c r="L110" i="134"/>
  <c r="M110" i="134"/>
  <c r="N110" i="134"/>
  <c r="O110" i="134"/>
  <c r="L111" i="134"/>
  <c r="M111" i="134"/>
  <c r="N111" i="134"/>
  <c r="O111" i="134"/>
  <c r="L112" i="134"/>
  <c r="M112" i="134"/>
  <c r="N112" i="134"/>
  <c r="O112" i="134"/>
  <c r="L113" i="134"/>
  <c r="M113" i="134"/>
  <c r="N113" i="134"/>
  <c r="O113" i="134"/>
  <c r="L114" i="134"/>
  <c r="M114" i="134"/>
  <c r="N114" i="134"/>
  <c r="O114" i="134"/>
  <c r="L115" i="134"/>
  <c r="M115" i="134"/>
  <c r="N115" i="134"/>
  <c r="O115" i="134"/>
  <c r="L116" i="134"/>
  <c r="M116" i="134"/>
  <c r="N116" i="134"/>
  <c r="O116" i="134"/>
  <c r="L117" i="134"/>
  <c r="M117" i="134"/>
  <c r="N117" i="134"/>
  <c r="O117" i="134"/>
  <c r="L118" i="134"/>
  <c r="M118" i="134"/>
  <c r="N118" i="134"/>
  <c r="O118" i="134"/>
  <c r="L119" i="134"/>
  <c r="M119" i="134"/>
  <c r="N119" i="134"/>
  <c r="O119" i="134"/>
  <c r="L120" i="134"/>
  <c r="M120" i="134"/>
  <c r="N120" i="134"/>
  <c r="O120" i="134"/>
  <c r="L121" i="134"/>
  <c r="M121" i="134"/>
  <c r="N121" i="134"/>
  <c r="O121" i="134"/>
  <c r="L122" i="134"/>
  <c r="M122" i="134"/>
  <c r="N122" i="134"/>
  <c r="O122" i="134"/>
  <c r="L123" i="134"/>
  <c r="M123" i="134"/>
  <c r="N123" i="134"/>
  <c r="O123" i="134"/>
  <c r="L124" i="134"/>
  <c r="M124" i="134"/>
  <c r="N124" i="134"/>
  <c r="O124" i="134"/>
  <c r="L125" i="134"/>
  <c r="M125" i="134"/>
  <c r="N125" i="134"/>
  <c r="O125" i="134"/>
  <c r="L126" i="134"/>
  <c r="M126" i="134"/>
  <c r="N126" i="134"/>
  <c r="O126" i="134"/>
  <c r="L127" i="134"/>
  <c r="M127" i="134"/>
  <c r="N127" i="134"/>
  <c r="O127" i="134"/>
  <c r="L128" i="134"/>
  <c r="M128" i="134"/>
  <c r="N128" i="134"/>
  <c r="O128" i="134"/>
  <c r="L129" i="134"/>
  <c r="M129" i="134"/>
  <c r="N129" i="134"/>
  <c r="O129" i="134"/>
  <c r="L130" i="134"/>
  <c r="M130" i="134"/>
  <c r="N130" i="134"/>
  <c r="O130" i="134"/>
  <c r="L131" i="134"/>
  <c r="M131" i="134"/>
  <c r="N131" i="134"/>
  <c r="O131" i="134"/>
  <c r="L132" i="134"/>
  <c r="M132" i="134"/>
  <c r="N132" i="134"/>
  <c r="O132" i="134"/>
  <c r="L133" i="134"/>
  <c r="M133" i="134"/>
  <c r="N133" i="134"/>
  <c r="O133" i="134"/>
  <c r="L134" i="134"/>
  <c r="M134" i="134"/>
  <c r="N134" i="134"/>
  <c r="O134" i="134"/>
  <c r="L135" i="134"/>
  <c r="M135" i="134"/>
  <c r="N135" i="134"/>
  <c r="O135" i="134"/>
  <c r="L136" i="134"/>
  <c r="M136" i="134"/>
  <c r="N136" i="134"/>
  <c r="O136" i="134"/>
  <c r="L137" i="134"/>
  <c r="M137" i="134"/>
  <c r="N137" i="134"/>
  <c r="O137" i="134"/>
  <c r="L138" i="134"/>
  <c r="M138" i="134"/>
  <c r="N138" i="134"/>
  <c r="O138" i="134"/>
  <c r="L139" i="134"/>
  <c r="M139" i="134"/>
  <c r="N139" i="134"/>
  <c r="O139" i="134"/>
  <c r="L118" i="14"/>
  <c r="L119" i="14"/>
  <c r="L120" i="14"/>
  <c r="L121" i="14"/>
  <c r="L122" i="14"/>
  <c r="L123" i="14"/>
  <c r="L124" i="14"/>
  <c r="L125" i="14"/>
  <c r="L126" i="14"/>
  <c r="L127" i="14"/>
  <c r="L128" i="14"/>
  <c r="L129" i="14"/>
  <c r="L130" i="14"/>
  <c r="L131" i="14"/>
  <c r="L132" i="14"/>
  <c r="L133" i="14"/>
  <c r="L134" i="14"/>
  <c r="L135" i="14"/>
  <c r="L136" i="14"/>
  <c r="L137" i="14"/>
  <c r="L138" i="14"/>
  <c r="L139" i="14"/>
  <c r="L140" i="14"/>
  <c r="L141" i="14"/>
  <c r="L142" i="14"/>
  <c r="L143" i="14"/>
  <c r="L144" i="14"/>
  <c r="L145" i="14"/>
  <c r="L146" i="14"/>
  <c r="L147" i="14"/>
  <c r="L148" i="14"/>
  <c r="L149" i="14"/>
  <c r="L150" i="14"/>
  <c r="L151" i="14"/>
  <c r="L152" i="14"/>
  <c r="L153" i="14"/>
  <c r="L154" i="14"/>
  <c r="L155" i="14"/>
  <c r="L156" i="14"/>
  <c r="L157" i="14"/>
  <c r="L158" i="14"/>
  <c r="L159" i="14"/>
  <c r="L160" i="14"/>
  <c r="L161" i="14"/>
  <c r="L162" i="14"/>
  <c r="L163" i="14"/>
  <c r="L164" i="14"/>
  <c r="L165" i="14"/>
  <c r="L166" i="14"/>
  <c r="L167" i="14"/>
  <c r="L168" i="14"/>
  <c r="L169" i="14"/>
  <c r="L170" i="14"/>
  <c r="L171" i="14"/>
  <c r="L172" i="14"/>
  <c r="L173" i="14"/>
  <c r="L174" i="14"/>
  <c r="L175" i="14"/>
  <c r="L176" i="14"/>
  <c r="L177" i="14"/>
  <c r="L178" i="14"/>
  <c r="L179" i="14"/>
  <c r="L180" i="14"/>
  <c r="L181" i="14"/>
  <c r="L182" i="14"/>
  <c r="L183" i="14"/>
  <c r="L184" i="14"/>
  <c r="L185" i="14"/>
  <c r="L186" i="14"/>
  <c r="L187" i="14"/>
  <c r="L188" i="14"/>
  <c r="L189" i="14"/>
  <c r="L190" i="14"/>
  <c r="L191" i="14"/>
  <c r="L192" i="14"/>
  <c r="L193" i="14"/>
  <c r="L194" i="14"/>
  <c r="L195" i="14"/>
  <c r="L196" i="14"/>
  <c r="L197" i="14"/>
  <c r="L198" i="14"/>
  <c r="L199" i="14"/>
  <c r="L200" i="14"/>
  <c r="L201" i="14"/>
  <c r="L202" i="14"/>
  <c r="L203" i="14"/>
  <c r="L204" i="14"/>
  <c r="L205" i="14"/>
  <c r="L206" i="14"/>
  <c r="L207" i="14"/>
  <c r="L208" i="14"/>
  <c r="L209" i="14"/>
  <c r="L210" i="14"/>
  <c r="L211" i="14"/>
  <c r="L212" i="14"/>
  <c r="L213" i="14"/>
  <c r="L214" i="14"/>
  <c r="L215" i="14"/>
  <c r="L216" i="14"/>
  <c r="L217" i="14"/>
  <c r="L218" i="14"/>
  <c r="L219" i="14"/>
  <c r="L220" i="14"/>
  <c r="L221" i="14"/>
  <c r="L222" i="14"/>
  <c r="L223" i="14"/>
  <c r="L224" i="14"/>
  <c r="L225" i="14"/>
  <c r="L226" i="14"/>
  <c r="L227" i="14"/>
  <c r="L228" i="14"/>
  <c r="L229" i="14"/>
  <c r="L230" i="14"/>
  <c r="L231" i="14"/>
  <c r="L232" i="14"/>
  <c r="L233" i="14"/>
  <c r="L234" i="14"/>
  <c r="L235" i="14"/>
  <c r="L236" i="14"/>
  <c r="L237" i="14"/>
  <c r="L238" i="14"/>
  <c r="L239" i="14"/>
  <c r="L240" i="14"/>
  <c r="L241" i="14"/>
  <c r="L242" i="14"/>
  <c r="L243" i="14"/>
  <c r="L244" i="14"/>
  <c r="L245" i="14"/>
  <c r="L246" i="14"/>
  <c r="L247" i="14"/>
  <c r="L248" i="14"/>
  <c r="L249" i="14"/>
  <c r="L250" i="14"/>
  <c r="L251" i="14"/>
  <c r="L252" i="14"/>
  <c r="L253" i="14"/>
  <c r="L254" i="14"/>
  <c r="L255" i="14"/>
  <c r="L256" i="14"/>
  <c r="L257" i="14"/>
  <c r="L258" i="14"/>
  <c r="L259" i="14"/>
  <c r="L260" i="14"/>
  <c r="L261" i="14"/>
  <c r="L262" i="14"/>
  <c r="L263" i="14"/>
  <c r="L264" i="14"/>
  <c r="L265" i="14"/>
  <c r="L266" i="14"/>
  <c r="L267" i="14"/>
  <c r="L268" i="14"/>
  <c r="L269" i="14"/>
  <c r="L270" i="14"/>
  <c r="L271" i="14"/>
  <c r="L272" i="14"/>
  <c r="L273" i="14"/>
  <c r="L274" i="14"/>
  <c r="L275" i="14"/>
  <c r="L276" i="14"/>
  <c r="L277" i="14"/>
  <c r="L278" i="14"/>
  <c r="L279" i="14"/>
  <c r="L280" i="14"/>
  <c r="L281" i="14"/>
  <c r="L282" i="14"/>
  <c r="L283" i="14"/>
  <c r="L284" i="14"/>
  <c r="L285" i="14"/>
  <c r="L286" i="14"/>
  <c r="L287" i="14"/>
  <c r="L288" i="14"/>
  <c r="L289" i="14"/>
  <c r="L290" i="14"/>
  <c r="L291" i="14"/>
  <c r="L292" i="14"/>
  <c r="L293" i="14"/>
  <c r="L294" i="14"/>
  <c r="L295" i="14"/>
  <c r="L296" i="14"/>
  <c r="L297" i="14"/>
  <c r="L298" i="14"/>
  <c r="L299" i="14"/>
  <c r="L300" i="14"/>
  <c r="L301" i="14"/>
  <c r="L302" i="14"/>
  <c r="L303" i="14"/>
  <c r="L304" i="14"/>
  <c r="L305" i="14"/>
  <c r="L306" i="14"/>
  <c r="L307" i="14"/>
  <c r="L308" i="14"/>
  <c r="L309" i="14"/>
  <c r="L310" i="14"/>
  <c r="L311" i="14"/>
  <c r="L312" i="14"/>
  <c r="L313" i="14"/>
  <c r="L314" i="14"/>
  <c r="L315" i="14"/>
  <c r="L316" i="14"/>
  <c r="L317" i="14"/>
  <c r="L318" i="14"/>
  <c r="L319" i="14"/>
  <c r="L324" i="14"/>
  <c r="L325" i="14"/>
  <c r="L326" i="14"/>
  <c r="L327" i="14"/>
  <c r="L328" i="14"/>
  <c r="L329" i="14"/>
  <c r="L330" i="14"/>
  <c r="L331" i="14"/>
  <c r="L332" i="14"/>
  <c r="L333" i="14"/>
  <c r="L334" i="14"/>
  <c r="L335" i="14"/>
  <c r="L336" i="14"/>
  <c r="L337" i="14"/>
  <c r="L338" i="14"/>
  <c r="L339" i="14"/>
  <c r="L340" i="14"/>
  <c r="L341" i="14"/>
  <c r="L342" i="14"/>
  <c r="L343" i="14"/>
  <c r="L344" i="14"/>
  <c r="L345" i="14"/>
  <c r="L346" i="14"/>
  <c r="L347" i="14"/>
  <c r="L348" i="14"/>
  <c r="L349" i="14"/>
  <c r="L350" i="14"/>
  <c r="L351" i="14"/>
  <c r="L352" i="14"/>
  <c r="L353" i="14"/>
  <c r="L354" i="14"/>
  <c r="L355" i="14"/>
  <c r="L356" i="14"/>
  <c r="L357" i="14"/>
  <c r="L358" i="14"/>
  <c r="L359" i="14"/>
  <c r="L360" i="14"/>
  <c r="L361" i="14"/>
  <c r="L362" i="14"/>
  <c r="L363" i="14"/>
  <c r="L364" i="14"/>
  <c r="L365" i="14"/>
  <c r="L366" i="14"/>
  <c r="L367" i="14"/>
  <c r="L368" i="14"/>
  <c r="L369" i="14"/>
  <c r="L370" i="14"/>
  <c r="L371" i="14"/>
  <c r="L372" i="14"/>
  <c r="L373" i="14"/>
  <c r="L374" i="14"/>
  <c r="L375" i="14"/>
  <c r="L376" i="14"/>
  <c r="L377" i="14"/>
  <c r="L378" i="14"/>
  <c r="L379" i="14"/>
  <c r="L380" i="14"/>
  <c r="L381"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H12" i="14"/>
  <c r="H13" i="14"/>
  <c r="H14" i="14"/>
  <c r="H15" i="14"/>
  <c r="H16" i="14"/>
  <c r="H17" i="14"/>
  <c r="H18" i="14"/>
  <c r="H19" i="14"/>
  <c r="H20" i="14"/>
  <c r="H21" i="14"/>
  <c r="H22" i="14"/>
  <c r="H23" i="14"/>
  <c r="H24" i="14"/>
  <c r="H25" i="14"/>
  <c r="H26" i="14"/>
  <c r="H27" i="14"/>
  <c r="H28" i="14"/>
  <c r="H29" i="14"/>
  <c r="H30" i="14"/>
  <c r="H31" i="14"/>
  <c r="H32" i="14"/>
  <c r="H33" i="14"/>
  <c r="H34" i="14"/>
  <c r="H35" i="14"/>
  <c r="H36" i="14"/>
  <c r="H37" i="14"/>
  <c r="H38" i="14"/>
  <c r="H39" i="14"/>
  <c r="H40" i="14"/>
  <c r="H41" i="14"/>
  <c r="H42" i="14"/>
  <c r="H43" i="14"/>
  <c r="H44" i="14"/>
  <c r="H45" i="14"/>
  <c r="H46" i="14"/>
  <c r="H47" i="14"/>
  <c r="H48" i="14"/>
  <c r="H49" i="14"/>
  <c r="H50" i="14"/>
  <c r="H51" i="14"/>
  <c r="H52" i="14"/>
  <c r="H53" i="14"/>
  <c r="H54" i="14"/>
  <c r="H55" i="14"/>
  <c r="H56" i="14"/>
  <c r="H57" i="14"/>
  <c r="H58" i="14"/>
  <c r="H59" i="14"/>
  <c r="H60" i="14"/>
  <c r="H61" i="14"/>
  <c r="H62" i="14"/>
  <c r="H63" i="14"/>
  <c r="H64" i="14"/>
  <c r="H65" i="14"/>
  <c r="H66" i="14"/>
  <c r="H67" i="14"/>
  <c r="H68" i="14"/>
  <c r="H69" i="14"/>
  <c r="H70" i="14"/>
  <c r="H71" i="14"/>
  <c r="H72" i="14"/>
  <c r="H73" i="14"/>
  <c r="H74" i="14"/>
  <c r="H75" i="14"/>
  <c r="H76" i="14"/>
  <c r="H77" i="14"/>
  <c r="H78" i="14"/>
  <c r="H79" i="14"/>
  <c r="H80" i="14"/>
  <c r="H81" i="14"/>
  <c r="H82" i="14"/>
  <c r="H83" i="14"/>
  <c r="H84" i="14"/>
  <c r="H85" i="14"/>
  <c r="H86" i="14"/>
  <c r="H87" i="14"/>
  <c r="H88" i="14"/>
  <c r="H89" i="14"/>
  <c r="H90" i="14"/>
  <c r="H91" i="14"/>
  <c r="H92" i="14"/>
  <c r="H93" i="14"/>
  <c r="H94" i="14"/>
  <c r="H95" i="14"/>
  <c r="H96" i="14"/>
  <c r="H97" i="14"/>
  <c r="H98" i="14"/>
  <c r="H99" i="14"/>
  <c r="H100" i="14"/>
  <c r="H101" i="14"/>
  <c r="H102" i="14"/>
  <c r="H103" i="14"/>
  <c r="H104" i="14"/>
  <c r="H105" i="14"/>
  <c r="H106" i="14"/>
  <c r="H107" i="14"/>
  <c r="H108" i="14"/>
  <c r="H109" i="14"/>
  <c r="H110" i="14"/>
  <c r="H111" i="14"/>
  <c r="H112" i="14"/>
  <c r="H113" i="14"/>
  <c r="H114" i="14"/>
  <c r="H115" i="14"/>
  <c r="H116" i="14"/>
  <c r="H117" i="14"/>
  <c r="H118" i="14"/>
  <c r="H119" i="14"/>
  <c r="H120" i="14"/>
  <c r="H121" i="14"/>
  <c r="H122" i="14"/>
  <c r="H123" i="14"/>
  <c r="H124" i="14"/>
  <c r="H125" i="14"/>
  <c r="H126" i="14"/>
  <c r="H127" i="14"/>
  <c r="H128" i="14"/>
  <c r="H129" i="14"/>
  <c r="H130" i="14"/>
  <c r="H131" i="14"/>
  <c r="H132" i="14"/>
  <c r="H133" i="14"/>
  <c r="H134" i="14"/>
  <c r="H135" i="14"/>
  <c r="H136" i="14"/>
  <c r="H137" i="14"/>
  <c r="H138" i="14"/>
  <c r="H139" i="14"/>
  <c r="H140" i="14"/>
  <c r="H141" i="14"/>
  <c r="H142" i="14"/>
  <c r="H143" i="14"/>
  <c r="H144" i="14"/>
  <c r="H145" i="14"/>
  <c r="H146" i="14"/>
  <c r="H147" i="14"/>
  <c r="H148" i="14"/>
  <c r="H149" i="14"/>
  <c r="H150" i="14"/>
  <c r="H151" i="14"/>
  <c r="H152" i="14"/>
  <c r="H153" i="14"/>
  <c r="H154" i="14"/>
  <c r="H155" i="14"/>
  <c r="H156" i="14"/>
  <c r="H157" i="14"/>
  <c r="H158" i="14"/>
  <c r="H159" i="14"/>
  <c r="H160" i="14"/>
  <c r="H161" i="14"/>
  <c r="H162" i="14"/>
  <c r="H163" i="14"/>
  <c r="H164" i="14"/>
  <c r="H165" i="14"/>
  <c r="H166" i="14"/>
  <c r="H167" i="14"/>
  <c r="H168" i="14"/>
  <c r="H169" i="14"/>
  <c r="H170" i="14"/>
  <c r="H171" i="14"/>
  <c r="H172" i="14"/>
  <c r="H173" i="14"/>
  <c r="H174" i="14"/>
  <c r="H175" i="14"/>
  <c r="H176" i="14"/>
  <c r="H177" i="14"/>
  <c r="H178" i="14"/>
  <c r="H179" i="14"/>
  <c r="H180" i="14"/>
  <c r="H181" i="14"/>
  <c r="H182" i="14"/>
  <c r="H183" i="14"/>
  <c r="H184" i="14"/>
  <c r="H185" i="14"/>
  <c r="H186" i="14"/>
  <c r="H187" i="14"/>
  <c r="H188" i="14"/>
  <c r="H189" i="14"/>
  <c r="H190" i="14"/>
  <c r="H191" i="14"/>
  <c r="H192" i="14"/>
  <c r="H193" i="14"/>
  <c r="H194" i="14"/>
  <c r="H195" i="14"/>
  <c r="H196" i="14"/>
  <c r="H197" i="14"/>
  <c r="H198" i="14"/>
  <c r="H199" i="14"/>
  <c r="H200" i="14"/>
  <c r="H201" i="14"/>
  <c r="H202" i="14"/>
  <c r="H203" i="14"/>
  <c r="H204" i="14"/>
  <c r="H205" i="14"/>
  <c r="H206" i="14"/>
  <c r="H207" i="14"/>
  <c r="H208" i="14"/>
  <c r="H209" i="14"/>
  <c r="H210" i="14"/>
  <c r="H211" i="14"/>
  <c r="H212" i="14"/>
  <c r="H213" i="14"/>
  <c r="H214" i="14"/>
  <c r="H215" i="14"/>
  <c r="H216" i="14"/>
  <c r="H217" i="14"/>
  <c r="H218" i="14"/>
  <c r="H219" i="14"/>
  <c r="H220" i="14"/>
  <c r="H221" i="14"/>
  <c r="H222" i="14"/>
  <c r="H223" i="14"/>
  <c r="H224" i="14"/>
  <c r="H225" i="14"/>
  <c r="H226" i="14"/>
  <c r="H227" i="14"/>
  <c r="H228" i="14"/>
  <c r="H229" i="14"/>
  <c r="H230" i="14"/>
  <c r="H231" i="14"/>
  <c r="H232" i="14"/>
  <c r="H233" i="14"/>
  <c r="H234" i="14"/>
  <c r="H235" i="14"/>
  <c r="H236" i="14"/>
  <c r="H237" i="14"/>
  <c r="H238" i="14"/>
  <c r="H239" i="14"/>
  <c r="H240" i="14"/>
  <c r="H241" i="14"/>
  <c r="H242" i="14"/>
  <c r="H243" i="14"/>
  <c r="H244" i="14"/>
  <c r="H245" i="14"/>
  <c r="H246" i="14"/>
  <c r="H247" i="14"/>
  <c r="H248" i="14"/>
  <c r="H249" i="14"/>
  <c r="H250" i="14"/>
  <c r="H251" i="14"/>
  <c r="H252" i="14"/>
  <c r="H253" i="14"/>
  <c r="H254" i="14"/>
  <c r="H255" i="14"/>
  <c r="H256" i="14"/>
  <c r="H257" i="14"/>
  <c r="H258" i="14"/>
  <c r="H259" i="14"/>
  <c r="H260" i="14"/>
  <c r="H261" i="14"/>
  <c r="H262" i="14"/>
  <c r="H263" i="14"/>
  <c r="H264" i="14"/>
  <c r="H265" i="14"/>
  <c r="H266" i="14"/>
  <c r="H267" i="14"/>
  <c r="H268" i="14"/>
  <c r="H269" i="14"/>
  <c r="H270" i="14"/>
  <c r="H271" i="14"/>
  <c r="H272" i="14"/>
  <c r="H273" i="14"/>
  <c r="H274" i="14"/>
  <c r="H275" i="14"/>
  <c r="H276" i="14"/>
  <c r="H277" i="14"/>
  <c r="H278" i="14"/>
  <c r="H279" i="14"/>
  <c r="H280" i="14"/>
  <c r="H281" i="14"/>
  <c r="H282" i="14"/>
  <c r="H283" i="14"/>
  <c r="H284" i="14"/>
  <c r="H285" i="14"/>
  <c r="H286" i="14"/>
  <c r="H287" i="14"/>
  <c r="H288" i="14"/>
  <c r="H289" i="14"/>
  <c r="H290" i="14"/>
  <c r="H291" i="14"/>
  <c r="H292" i="14"/>
  <c r="H293" i="14"/>
  <c r="H294" i="14"/>
  <c r="H295" i="14"/>
  <c r="H296" i="14"/>
  <c r="H297" i="14"/>
  <c r="H298" i="14"/>
  <c r="H299" i="14"/>
  <c r="H300" i="14"/>
  <c r="H301" i="14"/>
  <c r="H302" i="14"/>
  <c r="H303" i="14"/>
  <c r="H304" i="14"/>
  <c r="H305" i="14"/>
  <c r="H306" i="14"/>
  <c r="H307" i="14"/>
  <c r="H308" i="14"/>
  <c r="H309" i="14"/>
  <c r="H310" i="14"/>
  <c r="H311" i="14"/>
  <c r="H312" i="14"/>
  <c r="H313" i="14"/>
  <c r="H314" i="14"/>
  <c r="H315" i="14"/>
  <c r="H317" i="14"/>
  <c r="H320" i="14"/>
  <c r="H321" i="14"/>
  <c r="H322" i="14"/>
  <c r="H323" i="14"/>
  <c r="H324" i="14"/>
  <c r="H325" i="14"/>
  <c r="H326" i="14"/>
  <c r="H327" i="14"/>
  <c r="H328" i="14"/>
  <c r="H329" i="14"/>
  <c r="H330" i="14"/>
  <c r="H331" i="14"/>
  <c r="H332" i="14"/>
  <c r="H333" i="14"/>
  <c r="H334" i="14"/>
  <c r="H335" i="14"/>
  <c r="H336" i="14"/>
  <c r="H337" i="14"/>
  <c r="H338" i="14"/>
  <c r="H339" i="14"/>
  <c r="H340" i="14"/>
  <c r="H341" i="14"/>
  <c r="H342" i="14"/>
  <c r="H343" i="14"/>
  <c r="H344" i="14"/>
  <c r="H345" i="14"/>
  <c r="H346" i="14"/>
  <c r="H347" i="14"/>
  <c r="H348" i="14"/>
  <c r="H349" i="14"/>
  <c r="H350" i="14"/>
  <c r="H351" i="14"/>
  <c r="H352" i="14"/>
  <c r="H353" i="14"/>
  <c r="H354" i="14"/>
  <c r="H355" i="14"/>
  <c r="H356" i="14"/>
  <c r="H357" i="14"/>
  <c r="H358" i="14"/>
  <c r="H359" i="14"/>
  <c r="H360" i="14"/>
  <c r="H361" i="14"/>
  <c r="H362" i="14"/>
  <c r="H363" i="14"/>
  <c r="H364" i="14"/>
  <c r="H365" i="14"/>
  <c r="H366" i="14"/>
  <c r="H367" i="14"/>
  <c r="H368" i="14"/>
  <c r="H369" i="14"/>
  <c r="H370" i="14"/>
  <c r="H371" i="14"/>
  <c r="H372" i="14"/>
  <c r="H373" i="14"/>
  <c r="H374" i="14"/>
  <c r="H375" i="14"/>
  <c r="H376" i="14"/>
  <c r="H377" i="14"/>
  <c r="H378" i="14"/>
  <c r="H379" i="14"/>
  <c r="H380" i="14"/>
  <c r="H381" i="14"/>
  <c r="S148" i="106"/>
  <c r="S149" i="106"/>
  <c r="S150" i="106"/>
  <c r="S151" i="106"/>
  <c r="S152" i="106"/>
  <c r="S153" i="106"/>
  <c r="S154" i="106"/>
  <c r="S155" i="106"/>
  <c r="S156" i="106"/>
  <c r="S157" i="106"/>
  <c r="S158" i="106"/>
  <c r="S159" i="106"/>
  <c r="S160" i="106"/>
  <c r="S161" i="106"/>
  <c r="S162" i="106"/>
  <c r="S163" i="106"/>
  <c r="S164" i="106"/>
  <c r="S165" i="106"/>
  <c r="S166" i="106"/>
  <c r="S167" i="106"/>
  <c r="S168" i="106"/>
  <c r="S169" i="106"/>
  <c r="S170" i="106"/>
  <c r="S171" i="106"/>
  <c r="S172" i="106"/>
  <c r="S173" i="106"/>
  <c r="S174" i="106"/>
  <c r="S175" i="106"/>
  <c r="S176" i="106"/>
  <c r="S177" i="106"/>
  <c r="S178" i="106"/>
  <c r="S179" i="106"/>
  <c r="S180" i="106"/>
  <c r="S181" i="106"/>
  <c r="S182" i="106"/>
  <c r="S183" i="106"/>
  <c r="S184" i="106"/>
  <c r="S185" i="106"/>
  <c r="S186" i="106"/>
  <c r="S187" i="106"/>
  <c r="S188" i="106"/>
  <c r="S189" i="106"/>
  <c r="S190" i="106"/>
  <c r="S191" i="106"/>
  <c r="S192" i="106"/>
  <c r="S193" i="106"/>
  <c r="S194" i="106"/>
  <c r="S195" i="106"/>
  <c r="S196" i="106"/>
  <c r="S197" i="106"/>
  <c r="S198" i="106"/>
  <c r="S199" i="106"/>
  <c r="S200" i="106"/>
  <c r="S201" i="106"/>
  <c r="S202" i="106"/>
  <c r="S203" i="106"/>
  <c r="S204" i="106"/>
  <c r="S205" i="106"/>
  <c r="S206" i="106"/>
  <c r="S207" i="106"/>
  <c r="S208" i="106"/>
  <c r="S209" i="106"/>
  <c r="S210" i="106"/>
  <c r="S211" i="106"/>
  <c r="S212" i="106"/>
  <c r="S213" i="106"/>
  <c r="S214" i="106"/>
  <c r="S215" i="106"/>
  <c r="S216" i="106"/>
  <c r="S217" i="106"/>
  <c r="S218" i="106"/>
  <c r="S219" i="106"/>
  <c r="S220" i="106"/>
  <c r="S221" i="106"/>
  <c r="S222" i="106"/>
  <c r="S223" i="106"/>
  <c r="S224" i="106"/>
  <c r="S225" i="106"/>
  <c r="S226" i="106"/>
  <c r="S227" i="106"/>
  <c r="S228" i="106"/>
  <c r="S229" i="106"/>
  <c r="S230" i="106"/>
  <c r="S231" i="106"/>
  <c r="S232" i="106"/>
  <c r="S233" i="106"/>
  <c r="S234" i="106"/>
  <c r="S235" i="106"/>
  <c r="S236" i="106"/>
  <c r="S237" i="106"/>
  <c r="S238" i="106"/>
  <c r="S239" i="106"/>
  <c r="S240" i="106"/>
  <c r="S241" i="106"/>
  <c r="S242" i="106"/>
  <c r="S243" i="106"/>
  <c r="S244" i="106"/>
  <c r="S245" i="106"/>
  <c r="S246" i="106"/>
  <c r="S247" i="106"/>
  <c r="S248" i="106"/>
  <c r="S249" i="106"/>
  <c r="S250" i="106"/>
  <c r="S251" i="106"/>
  <c r="S252" i="106"/>
  <c r="S253" i="106"/>
  <c r="J148" i="106"/>
  <c r="J149" i="106"/>
  <c r="J150" i="106"/>
  <c r="J151" i="106"/>
  <c r="J152" i="106"/>
  <c r="J153" i="106"/>
  <c r="J154" i="106"/>
  <c r="J155" i="106"/>
  <c r="J156" i="106"/>
  <c r="J157" i="106"/>
  <c r="J158" i="106"/>
  <c r="J159" i="106"/>
  <c r="J160" i="106"/>
  <c r="J161" i="106"/>
  <c r="J162" i="106"/>
  <c r="J163" i="106"/>
  <c r="J164" i="106"/>
  <c r="J165" i="106"/>
  <c r="J166" i="106"/>
  <c r="J167" i="106"/>
  <c r="J168" i="106"/>
  <c r="J169" i="106"/>
  <c r="J170" i="106"/>
  <c r="J171" i="106"/>
  <c r="J172" i="106"/>
  <c r="J173" i="106"/>
  <c r="J174" i="106"/>
  <c r="J175" i="106"/>
  <c r="J176" i="106"/>
  <c r="J177" i="106"/>
  <c r="J178" i="106"/>
  <c r="J179" i="106"/>
  <c r="J180" i="106"/>
  <c r="J181" i="106"/>
  <c r="J182" i="106"/>
  <c r="J183" i="106"/>
  <c r="J184" i="106"/>
  <c r="J185" i="106"/>
  <c r="J186" i="106"/>
  <c r="J187" i="106"/>
  <c r="J188" i="106"/>
  <c r="J189" i="106"/>
  <c r="J190" i="106"/>
  <c r="J191" i="106"/>
  <c r="J192" i="106"/>
  <c r="J193" i="106"/>
  <c r="J194" i="106"/>
  <c r="J195" i="106"/>
  <c r="J196" i="106"/>
  <c r="J197" i="106"/>
  <c r="J198" i="106"/>
  <c r="J199" i="106"/>
  <c r="J200" i="106"/>
  <c r="J201" i="106"/>
  <c r="J202" i="106"/>
  <c r="J203" i="106"/>
  <c r="J204" i="106"/>
  <c r="J205" i="106"/>
  <c r="J206" i="106"/>
  <c r="J207" i="106"/>
  <c r="J208" i="106"/>
  <c r="J209" i="106"/>
  <c r="J210" i="106"/>
  <c r="J211" i="106"/>
  <c r="J212" i="106"/>
  <c r="J213" i="106"/>
  <c r="J214" i="106"/>
  <c r="J215" i="106"/>
  <c r="J216" i="106"/>
  <c r="J217" i="106"/>
  <c r="J218" i="106"/>
  <c r="J219" i="106"/>
  <c r="J220" i="106"/>
  <c r="J221" i="106"/>
  <c r="J222" i="106"/>
  <c r="J223" i="106"/>
  <c r="J224" i="106"/>
  <c r="J225" i="106"/>
  <c r="J226" i="106"/>
  <c r="J227" i="106"/>
  <c r="J228" i="106"/>
  <c r="J229" i="106"/>
  <c r="J232" i="106"/>
  <c r="J233" i="106"/>
  <c r="J234" i="106"/>
  <c r="J235" i="106"/>
  <c r="J236" i="106"/>
  <c r="J237" i="106"/>
  <c r="J238" i="106"/>
  <c r="J239" i="106"/>
  <c r="J240" i="106"/>
  <c r="J241" i="106"/>
  <c r="J242" i="106"/>
  <c r="J243" i="106"/>
  <c r="J244" i="106"/>
  <c r="J245" i="106"/>
  <c r="J246" i="106"/>
  <c r="J247" i="106"/>
  <c r="J248" i="106"/>
  <c r="J249" i="106"/>
  <c r="J250" i="106"/>
  <c r="J251" i="106"/>
  <c r="J252" i="106"/>
  <c r="J253" i="106"/>
  <c r="D121" i="116"/>
  <c r="D122" i="116"/>
  <c r="E122" i="116" s="1"/>
  <c r="D123" i="116"/>
  <c r="E123" i="116" s="1"/>
  <c r="D124" i="116"/>
  <c r="D125" i="116"/>
  <c r="D126" i="116"/>
  <c r="E126" i="116" s="1"/>
  <c r="D127" i="116"/>
  <c r="E127" i="116" s="1"/>
  <c r="D128" i="116"/>
  <c r="D129" i="116"/>
  <c r="D130" i="116"/>
  <c r="E130" i="116" s="1"/>
  <c r="D131" i="116"/>
  <c r="E131" i="116" s="1"/>
  <c r="D132" i="116"/>
  <c r="D133" i="116"/>
  <c r="D134" i="116"/>
  <c r="D135" i="116"/>
  <c r="E135" i="116" s="1"/>
  <c r="D136" i="116"/>
  <c r="D137" i="116"/>
  <c r="D138" i="116"/>
  <c r="D139" i="116"/>
  <c r="E139" i="116" s="1"/>
  <c r="D140" i="116"/>
  <c r="D141" i="116"/>
  <c r="D142" i="116"/>
  <c r="E142" i="116" s="1"/>
  <c r="D143" i="116"/>
  <c r="E143" i="116" s="1"/>
  <c r="D144" i="116"/>
  <c r="D145" i="116"/>
  <c r="E146" i="116" s="1"/>
  <c r="D147" i="116"/>
  <c r="E147" i="116" s="1"/>
  <c r="D148" i="116"/>
  <c r="D149" i="116"/>
  <c r="D150" i="116"/>
  <c r="D151" i="116"/>
  <c r="D152" i="116"/>
  <c r="D153" i="116"/>
  <c r="D154" i="116"/>
  <c r="D155" i="116"/>
  <c r="E155" i="116" s="1"/>
  <c r="D156" i="116"/>
  <c r="C15" i="111"/>
  <c r="C110" i="111"/>
  <c r="E149" i="116" l="1"/>
  <c r="E151" i="116"/>
  <c r="E150" i="116"/>
  <c r="E134" i="116"/>
  <c r="E141" i="116"/>
  <c r="E133" i="116"/>
  <c r="E125" i="116"/>
  <c r="E154" i="116"/>
  <c r="E138" i="116"/>
  <c r="E153" i="116"/>
  <c r="E145" i="116"/>
  <c r="E137" i="116"/>
  <c r="E129" i="116"/>
  <c r="E152" i="116"/>
  <c r="E144" i="116"/>
  <c r="E136" i="116"/>
  <c r="E128" i="116"/>
  <c r="E156" i="116"/>
  <c r="E148" i="116"/>
  <c r="E140" i="116"/>
  <c r="E132" i="116"/>
  <c r="E124" i="116"/>
  <c r="G85" i="53" l="1"/>
  <c r="G58" i="53"/>
  <c r="H237" i="147"/>
  <c r="E237" i="147"/>
  <c r="H236" i="147"/>
  <c r="E236" i="147"/>
  <c r="H235" i="147"/>
  <c r="E235" i="147"/>
  <c r="H234" i="147"/>
  <c r="E234" i="147"/>
  <c r="H233" i="147"/>
  <c r="E233" i="147"/>
  <c r="H232" i="147"/>
  <c r="E232" i="147"/>
  <c r="H231" i="147"/>
  <c r="E231" i="147"/>
  <c r="H230" i="147"/>
  <c r="E230" i="147"/>
  <c r="H229" i="147"/>
  <c r="E229" i="147"/>
  <c r="H228" i="147"/>
  <c r="E228" i="147"/>
  <c r="H227" i="147"/>
  <c r="E227" i="147"/>
  <c r="H226" i="147"/>
  <c r="E226" i="147"/>
  <c r="H225" i="147"/>
  <c r="E225" i="147"/>
  <c r="H224" i="147"/>
  <c r="E224" i="147"/>
  <c r="H223" i="147"/>
  <c r="E223" i="147"/>
  <c r="H222" i="147"/>
  <c r="E222" i="147"/>
  <c r="H221" i="147"/>
  <c r="E221" i="147"/>
  <c r="H220" i="147"/>
  <c r="E220" i="147"/>
  <c r="H219" i="147"/>
  <c r="E219" i="147"/>
  <c r="H218" i="147"/>
  <c r="E218" i="147"/>
  <c r="H217" i="147"/>
  <c r="E217" i="147"/>
  <c r="H216" i="147"/>
  <c r="E216" i="147"/>
  <c r="H215" i="147"/>
  <c r="E215" i="147"/>
  <c r="H214" i="147"/>
  <c r="E214" i="147"/>
  <c r="H213" i="147"/>
  <c r="E213" i="147"/>
  <c r="H212" i="147"/>
  <c r="E212" i="147"/>
  <c r="H211" i="147"/>
  <c r="E211" i="147"/>
  <c r="H210" i="147"/>
  <c r="E210" i="147"/>
  <c r="H209" i="147"/>
  <c r="E209" i="147"/>
  <c r="H208" i="147"/>
  <c r="E208" i="147"/>
  <c r="H207" i="147"/>
  <c r="E207" i="147"/>
  <c r="H206" i="147"/>
  <c r="E206" i="147"/>
  <c r="H205" i="147"/>
  <c r="E205" i="147"/>
  <c r="H204" i="147"/>
  <c r="E204" i="147"/>
  <c r="H203" i="147"/>
  <c r="E203" i="147"/>
  <c r="H202" i="147"/>
  <c r="E202" i="147"/>
  <c r="H201" i="147"/>
  <c r="E201" i="147"/>
  <c r="H200" i="147"/>
  <c r="E200" i="147"/>
  <c r="H199" i="147"/>
  <c r="E199" i="147"/>
  <c r="H198" i="147"/>
  <c r="E198" i="147"/>
  <c r="H197" i="147"/>
  <c r="E197" i="147"/>
  <c r="H196" i="147"/>
  <c r="E196" i="147"/>
  <c r="H195" i="147"/>
  <c r="E195" i="147"/>
  <c r="H194" i="147"/>
  <c r="E194" i="147"/>
  <c r="H193" i="147"/>
  <c r="E193" i="147"/>
  <c r="H192" i="147"/>
  <c r="E192" i="147"/>
  <c r="H191" i="147"/>
  <c r="E191" i="147"/>
  <c r="H190" i="147"/>
  <c r="E190" i="147"/>
  <c r="H189" i="147"/>
  <c r="E189" i="147"/>
  <c r="H188" i="147"/>
  <c r="E188" i="147"/>
  <c r="H187" i="147"/>
  <c r="E187" i="147"/>
  <c r="H186" i="147"/>
  <c r="E186" i="147"/>
  <c r="H185" i="147"/>
  <c r="E185" i="147"/>
  <c r="H184" i="147"/>
  <c r="E184" i="147"/>
  <c r="H183" i="147"/>
  <c r="E183" i="147"/>
  <c r="H182" i="147"/>
  <c r="E182" i="147"/>
  <c r="H180" i="147"/>
  <c r="E180" i="147"/>
  <c r="H178" i="147"/>
  <c r="E178" i="147"/>
  <c r="H177" i="147"/>
  <c r="E177" i="147"/>
  <c r="H176" i="147"/>
  <c r="E176" i="147"/>
  <c r="H175" i="147"/>
  <c r="E175" i="147"/>
  <c r="H174" i="147"/>
  <c r="E174" i="147"/>
  <c r="H173" i="147"/>
  <c r="E173" i="147"/>
  <c r="H172" i="147"/>
  <c r="E172" i="147"/>
  <c r="H171" i="147"/>
  <c r="E171" i="147"/>
  <c r="H170" i="147"/>
  <c r="E170" i="147"/>
  <c r="H169" i="147"/>
  <c r="E169" i="147"/>
  <c r="H168" i="147"/>
  <c r="E168" i="147"/>
  <c r="H167" i="147"/>
  <c r="E167" i="147"/>
  <c r="H166" i="147"/>
  <c r="E166" i="147"/>
  <c r="H165" i="147"/>
  <c r="E165" i="147"/>
  <c r="H164" i="147"/>
  <c r="E164" i="147"/>
  <c r="H163" i="147"/>
  <c r="E163" i="147"/>
  <c r="H162" i="147"/>
  <c r="E162" i="147"/>
  <c r="H161" i="147"/>
  <c r="E161" i="147"/>
  <c r="H160" i="147"/>
  <c r="E160" i="147"/>
  <c r="H159" i="147"/>
  <c r="E159" i="147"/>
  <c r="H158" i="147"/>
  <c r="E158" i="147"/>
  <c r="H157" i="147"/>
  <c r="E157" i="147"/>
  <c r="H156" i="147"/>
  <c r="E156" i="147"/>
  <c r="H155" i="147"/>
  <c r="E155" i="147"/>
  <c r="H153" i="147"/>
  <c r="E153" i="147"/>
  <c r="H152" i="147"/>
  <c r="E152" i="147"/>
  <c r="H151" i="147"/>
  <c r="E151" i="147"/>
  <c r="H150" i="147"/>
  <c r="E150" i="147"/>
  <c r="H149" i="147"/>
  <c r="E149" i="147"/>
  <c r="H148" i="147"/>
  <c r="E148" i="147"/>
  <c r="H147" i="147"/>
  <c r="E147" i="147"/>
  <c r="H146" i="147"/>
  <c r="E146" i="147"/>
  <c r="H145" i="147"/>
  <c r="E145" i="147"/>
  <c r="H144" i="147"/>
  <c r="E144" i="147"/>
  <c r="H143" i="147"/>
  <c r="E143" i="147"/>
  <c r="H142" i="147"/>
  <c r="E142" i="147"/>
  <c r="H141" i="147"/>
  <c r="E141" i="147"/>
  <c r="H140" i="147"/>
  <c r="E140" i="147"/>
  <c r="H139" i="147"/>
  <c r="E139" i="147"/>
  <c r="H138" i="147"/>
  <c r="E138" i="147"/>
  <c r="H137" i="147"/>
  <c r="E137" i="147"/>
  <c r="H136" i="147"/>
  <c r="E136" i="147"/>
  <c r="H135" i="147"/>
  <c r="E135" i="147"/>
  <c r="H134" i="147"/>
  <c r="E134" i="147"/>
  <c r="H133" i="147"/>
  <c r="E133" i="147"/>
  <c r="H132" i="147"/>
  <c r="E132" i="147"/>
  <c r="H131" i="147"/>
  <c r="E131" i="147"/>
  <c r="H129" i="147"/>
  <c r="E129" i="147"/>
  <c r="H128" i="147"/>
  <c r="E128" i="147"/>
  <c r="H127" i="147"/>
  <c r="E127" i="147"/>
  <c r="H126" i="147"/>
  <c r="E126" i="147"/>
  <c r="H125" i="147"/>
  <c r="E125" i="147"/>
  <c r="H124" i="147"/>
  <c r="E124" i="147"/>
  <c r="H123" i="147"/>
  <c r="E123" i="147"/>
  <c r="H122" i="147"/>
  <c r="E122" i="147"/>
  <c r="H121" i="147"/>
  <c r="E121" i="147"/>
  <c r="H120" i="147"/>
  <c r="E120" i="147"/>
  <c r="H119" i="147"/>
  <c r="E119" i="147"/>
  <c r="H118" i="147"/>
  <c r="E118" i="147"/>
  <c r="H117" i="147"/>
  <c r="E117" i="147"/>
  <c r="H116" i="147"/>
  <c r="E116" i="147"/>
  <c r="H115" i="147"/>
  <c r="E115" i="147"/>
  <c r="H114" i="147"/>
  <c r="E114" i="147"/>
  <c r="H113" i="147"/>
  <c r="E113" i="147"/>
  <c r="H112" i="147"/>
  <c r="E112" i="147"/>
  <c r="H111" i="147"/>
  <c r="E111" i="147"/>
  <c r="H110" i="147"/>
  <c r="E110" i="147"/>
  <c r="H109" i="147"/>
  <c r="E109" i="147"/>
  <c r="H108" i="147"/>
  <c r="E108" i="147"/>
  <c r="H107" i="147"/>
  <c r="E107" i="147"/>
  <c r="H106" i="147"/>
  <c r="E106" i="147"/>
  <c r="H105" i="147"/>
  <c r="E105" i="147"/>
  <c r="H104" i="147"/>
  <c r="E104" i="147"/>
  <c r="H103" i="147"/>
  <c r="E103" i="147"/>
  <c r="H102" i="147"/>
  <c r="E102" i="147"/>
  <c r="H101" i="147"/>
  <c r="E101" i="147"/>
  <c r="H100" i="147"/>
  <c r="E100" i="147"/>
  <c r="H99" i="147"/>
  <c r="E99" i="147"/>
  <c r="H98" i="147"/>
  <c r="E98" i="147"/>
  <c r="H97" i="147"/>
  <c r="E97" i="147"/>
  <c r="H96" i="147"/>
  <c r="E96" i="147"/>
  <c r="H95" i="147"/>
  <c r="E95" i="147"/>
  <c r="H94" i="147"/>
  <c r="E94" i="147"/>
  <c r="H93" i="147"/>
  <c r="E93" i="147"/>
  <c r="H92" i="147"/>
  <c r="E92" i="147"/>
  <c r="H91" i="147"/>
  <c r="E91" i="147"/>
  <c r="H90" i="147"/>
  <c r="E90" i="147"/>
  <c r="H89" i="147"/>
  <c r="E89" i="147"/>
  <c r="H88" i="147"/>
  <c r="E88" i="147"/>
  <c r="H87" i="147"/>
  <c r="E87" i="147"/>
  <c r="H86" i="147"/>
  <c r="E86" i="147"/>
  <c r="H85" i="147"/>
  <c r="E85" i="147"/>
  <c r="H84" i="147"/>
  <c r="E84" i="147"/>
  <c r="H83" i="147"/>
  <c r="E83" i="147"/>
  <c r="H82" i="147"/>
  <c r="E82" i="147"/>
  <c r="H81" i="147"/>
  <c r="E81" i="147"/>
  <c r="H80" i="147"/>
  <c r="E80" i="147"/>
  <c r="H79" i="147"/>
  <c r="E79" i="147"/>
  <c r="H78" i="147"/>
  <c r="E78" i="147"/>
  <c r="H77" i="147"/>
  <c r="E77" i="147"/>
  <c r="H76" i="147"/>
  <c r="E76" i="147"/>
  <c r="H75" i="147"/>
  <c r="E75" i="147"/>
  <c r="H74" i="147"/>
  <c r="E74" i="147"/>
  <c r="H73" i="147"/>
  <c r="E73" i="147"/>
  <c r="H72" i="147"/>
  <c r="E72" i="147"/>
  <c r="H71" i="147"/>
  <c r="E71" i="147"/>
  <c r="H70" i="147"/>
  <c r="E70" i="147"/>
  <c r="H69" i="147"/>
  <c r="E69" i="147"/>
  <c r="H68" i="147"/>
  <c r="E68" i="147"/>
  <c r="H67" i="147"/>
  <c r="E67" i="147"/>
  <c r="H66" i="147"/>
  <c r="E66" i="147"/>
  <c r="H65" i="147"/>
  <c r="E65" i="147"/>
  <c r="H64" i="147"/>
  <c r="E64" i="147"/>
  <c r="H63" i="147"/>
  <c r="E63" i="147"/>
  <c r="H62" i="147"/>
  <c r="E62" i="147"/>
  <c r="H61" i="147"/>
  <c r="E61" i="147"/>
  <c r="H60" i="147"/>
  <c r="E60" i="147"/>
  <c r="H59" i="147"/>
  <c r="E59" i="147"/>
  <c r="H58" i="147"/>
  <c r="E58" i="147"/>
  <c r="H57" i="147"/>
  <c r="E57" i="147"/>
  <c r="H56" i="147"/>
  <c r="E56" i="147"/>
  <c r="H55" i="147"/>
  <c r="E55" i="147"/>
  <c r="H54" i="147"/>
  <c r="E54" i="147"/>
  <c r="H53" i="147"/>
  <c r="E53" i="147"/>
  <c r="H52" i="147"/>
  <c r="E52" i="147"/>
  <c r="H51" i="147"/>
  <c r="E51" i="147"/>
  <c r="H50" i="147"/>
  <c r="E50" i="147"/>
  <c r="H49" i="147"/>
  <c r="E49" i="147"/>
  <c r="H48" i="147"/>
  <c r="E48" i="147"/>
  <c r="H47" i="147"/>
  <c r="E47" i="147"/>
  <c r="H46" i="147"/>
  <c r="E46" i="147"/>
  <c r="H45" i="147"/>
  <c r="E45" i="147"/>
  <c r="H44" i="147"/>
  <c r="E44" i="147"/>
  <c r="H43" i="147"/>
  <c r="E43" i="147"/>
  <c r="H42" i="147"/>
  <c r="E42" i="147"/>
  <c r="H41" i="147"/>
  <c r="E41" i="147"/>
  <c r="H40" i="147"/>
  <c r="E40" i="147"/>
  <c r="H39" i="147"/>
  <c r="E39" i="147"/>
  <c r="H38" i="147"/>
  <c r="E38" i="147"/>
  <c r="H37" i="147"/>
  <c r="E37" i="147"/>
  <c r="H36" i="147"/>
  <c r="E36" i="147"/>
  <c r="H35" i="147"/>
  <c r="E35" i="147"/>
  <c r="H34" i="147"/>
  <c r="E34" i="147"/>
  <c r="H33" i="147"/>
  <c r="E33" i="147"/>
  <c r="A33" i="147"/>
  <c r="A45" i="147" s="1"/>
  <c r="A57" i="147" s="1"/>
  <c r="A69" i="147" s="1"/>
  <c r="A81" i="147" s="1"/>
  <c r="A93" i="147" s="1"/>
  <c r="A105" i="147" s="1"/>
  <c r="A117" i="147" s="1"/>
  <c r="A129" i="147" s="1"/>
  <c r="A141" i="147" s="1"/>
  <c r="A153" i="147" s="1"/>
  <c r="A165" i="147" s="1"/>
  <c r="A177" i="147" s="1"/>
  <c r="A189" i="147" s="1"/>
  <c r="A201" i="147" s="1"/>
  <c r="A213" i="147" s="1"/>
  <c r="A225" i="147" s="1"/>
  <c r="A237" i="147" s="1"/>
  <c r="H32" i="147"/>
  <c r="E32" i="147"/>
  <c r="A32" i="147"/>
  <c r="A44" i="147" s="1"/>
  <c r="A56" i="147" s="1"/>
  <c r="A68" i="147" s="1"/>
  <c r="A80" i="147" s="1"/>
  <c r="A92" i="147" s="1"/>
  <c r="A104" i="147" s="1"/>
  <c r="A116" i="147" s="1"/>
  <c r="A128" i="147" s="1"/>
  <c r="A140" i="147" s="1"/>
  <c r="A152" i="147" s="1"/>
  <c r="A164" i="147" s="1"/>
  <c r="A176" i="147" s="1"/>
  <c r="A188" i="147" s="1"/>
  <c r="A200" i="147" s="1"/>
  <c r="A212" i="147" s="1"/>
  <c r="A224" i="147" s="1"/>
  <c r="A236" i="147" s="1"/>
  <c r="H31" i="147"/>
  <c r="E31" i="147"/>
  <c r="A31" i="147"/>
  <c r="A43" i="147" s="1"/>
  <c r="A55" i="147" s="1"/>
  <c r="A67" i="147" s="1"/>
  <c r="A79" i="147" s="1"/>
  <c r="A91" i="147" s="1"/>
  <c r="A103" i="147" s="1"/>
  <c r="A115" i="147" s="1"/>
  <c r="A127" i="147" s="1"/>
  <c r="A139" i="147" s="1"/>
  <c r="A151" i="147" s="1"/>
  <c r="A163" i="147" s="1"/>
  <c r="A175" i="147" s="1"/>
  <c r="A187" i="147" s="1"/>
  <c r="A199" i="147" s="1"/>
  <c r="A211" i="147" s="1"/>
  <c r="A223" i="147" s="1"/>
  <c r="A235" i="147" s="1"/>
  <c r="H30" i="147"/>
  <c r="E30" i="147"/>
  <c r="A30" i="147"/>
  <c r="A42" i="147" s="1"/>
  <c r="A54" i="147" s="1"/>
  <c r="A66" i="147" s="1"/>
  <c r="A78" i="147" s="1"/>
  <c r="A90" i="147" s="1"/>
  <c r="A102" i="147" s="1"/>
  <c r="A114" i="147" s="1"/>
  <c r="A126" i="147" s="1"/>
  <c r="A138" i="147" s="1"/>
  <c r="A150" i="147" s="1"/>
  <c r="A162" i="147" s="1"/>
  <c r="A174" i="147" s="1"/>
  <c r="A186" i="147" s="1"/>
  <c r="A198" i="147" s="1"/>
  <c r="A210" i="147" s="1"/>
  <c r="A222" i="147" s="1"/>
  <c r="A234" i="147" s="1"/>
  <c r="H29" i="147"/>
  <c r="E29" i="147"/>
  <c r="A29" i="147"/>
  <c r="A41" i="147" s="1"/>
  <c r="A53" i="147" s="1"/>
  <c r="A65" i="147" s="1"/>
  <c r="A77" i="147" s="1"/>
  <c r="A89" i="147" s="1"/>
  <c r="A101" i="147" s="1"/>
  <c r="A113" i="147" s="1"/>
  <c r="A125" i="147" s="1"/>
  <c r="A137" i="147" s="1"/>
  <c r="A149" i="147" s="1"/>
  <c r="A161" i="147" s="1"/>
  <c r="A173" i="147" s="1"/>
  <c r="A185" i="147" s="1"/>
  <c r="A197" i="147" s="1"/>
  <c r="A209" i="147" s="1"/>
  <c r="A221" i="147" s="1"/>
  <c r="A233" i="147" s="1"/>
  <c r="H28" i="147"/>
  <c r="E28" i="147"/>
  <c r="A28" i="147"/>
  <c r="A40" i="147" s="1"/>
  <c r="A52" i="147" s="1"/>
  <c r="A64" i="147" s="1"/>
  <c r="A76" i="147" s="1"/>
  <c r="A88" i="147" s="1"/>
  <c r="A100" i="147" s="1"/>
  <c r="A112" i="147" s="1"/>
  <c r="A124" i="147" s="1"/>
  <c r="A136" i="147" s="1"/>
  <c r="A148" i="147" s="1"/>
  <c r="A160" i="147" s="1"/>
  <c r="A172" i="147" s="1"/>
  <c r="A184" i="147" s="1"/>
  <c r="A196" i="147" s="1"/>
  <c r="A208" i="147" s="1"/>
  <c r="A220" i="147" s="1"/>
  <c r="A232" i="147" s="1"/>
  <c r="H27" i="147"/>
  <c r="E27" i="147"/>
  <c r="A27" i="147"/>
  <c r="A39" i="147" s="1"/>
  <c r="A51" i="147" s="1"/>
  <c r="A63" i="147" s="1"/>
  <c r="A75" i="147" s="1"/>
  <c r="A87" i="147" s="1"/>
  <c r="A99" i="147" s="1"/>
  <c r="A111" i="147" s="1"/>
  <c r="A123" i="147" s="1"/>
  <c r="A135" i="147" s="1"/>
  <c r="A147" i="147" s="1"/>
  <c r="A159" i="147" s="1"/>
  <c r="A171" i="147" s="1"/>
  <c r="A183" i="147" s="1"/>
  <c r="A195" i="147" s="1"/>
  <c r="A207" i="147" s="1"/>
  <c r="A219" i="147" s="1"/>
  <c r="A231" i="147" s="1"/>
  <c r="H26" i="147"/>
  <c r="E26" i="147"/>
  <c r="A26" i="147"/>
  <c r="A38" i="147" s="1"/>
  <c r="A50" i="147" s="1"/>
  <c r="A62" i="147" s="1"/>
  <c r="A74" i="147" s="1"/>
  <c r="A86" i="147" s="1"/>
  <c r="A98" i="147" s="1"/>
  <c r="A110" i="147" s="1"/>
  <c r="A122" i="147" s="1"/>
  <c r="A134" i="147" s="1"/>
  <c r="A146" i="147" s="1"/>
  <c r="A158" i="147" s="1"/>
  <c r="A170" i="147" s="1"/>
  <c r="A182" i="147" s="1"/>
  <c r="A194" i="147" s="1"/>
  <c r="A206" i="147" s="1"/>
  <c r="A218" i="147" s="1"/>
  <c r="A230" i="147" s="1"/>
  <c r="H25" i="147"/>
  <c r="E25" i="147"/>
  <c r="A25" i="147"/>
  <c r="A37" i="147" s="1"/>
  <c r="A49" i="147" s="1"/>
  <c r="A61" i="147" s="1"/>
  <c r="A73" i="147" s="1"/>
  <c r="A85" i="147" s="1"/>
  <c r="A97" i="147" s="1"/>
  <c r="A109" i="147" s="1"/>
  <c r="A121" i="147" s="1"/>
  <c r="A133" i="147" s="1"/>
  <c r="A145" i="147" s="1"/>
  <c r="A157" i="147" s="1"/>
  <c r="A169" i="147" s="1"/>
  <c r="A181" i="147" s="1"/>
  <c r="A193" i="147" s="1"/>
  <c r="A205" i="147" s="1"/>
  <c r="A217" i="147" s="1"/>
  <c r="A229" i="147" s="1"/>
  <c r="H24" i="147"/>
  <c r="E24" i="147"/>
  <c r="A24" i="147"/>
  <c r="A36" i="147" s="1"/>
  <c r="A48" i="147" s="1"/>
  <c r="A60" i="147" s="1"/>
  <c r="A72" i="147" s="1"/>
  <c r="A84" i="147" s="1"/>
  <c r="A96" i="147" s="1"/>
  <c r="A108" i="147" s="1"/>
  <c r="A120" i="147" s="1"/>
  <c r="A132" i="147" s="1"/>
  <c r="A144" i="147" s="1"/>
  <c r="A156" i="147" s="1"/>
  <c r="A168" i="147" s="1"/>
  <c r="A180" i="147" s="1"/>
  <c r="A192" i="147" s="1"/>
  <c r="A204" i="147" s="1"/>
  <c r="A216" i="147" s="1"/>
  <c r="A228" i="147" s="1"/>
  <c r="H23" i="147"/>
  <c r="E23" i="147"/>
  <c r="A23" i="147"/>
  <c r="A35" i="147" s="1"/>
  <c r="A47" i="147" s="1"/>
  <c r="A59" i="147" s="1"/>
  <c r="A71" i="147" s="1"/>
  <c r="A83" i="147" s="1"/>
  <c r="A95" i="147" s="1"/>
  <c r="A107" i="147" s="1"/>
  <c r="A119" i="147" s="1"/>
  <c r="A131" i="147" s="1"/>
  <c r="A143" i="147" s="1"/>
  <c r="A155" i="147" s="1"/>
  <c r="A167" i="147" s="1"/>
  <c r="A179" i="147" s="1"/>
  <c r="A191" i="147" s="1"/>
  <c r="A203" i="147" s="1"/>
  <c r="A215" i="147" s="1"/>
  <c r="A227" i="147" s="1"/>
  <c r="H22" i="147"/>
  <c r="E22" i="147"/>
  <c r="A22" i="147"/>
  <c r="A34" i="147" s="1"/>
  <c r="A46" i="147" s="1"/>
  <c r="A58" i="147" s="1"/>
  <c r="A70" i="147" s="1"/>
  <c r="A82" i="147" s="1"/>
  <c r="A94" i="147" s="1"/>
  <c r="A106" i="147" s="1"/>
  <c r="A118" i="147" s="1"/>
  <c r="A130" i="147" s="1"/>
  <c r="A142" i="147" s="1"/>
  <c r="A154" i="147" s="1"/>
  <c r="A166" i="147" s="1"/>
  <c r="A178" i="147" s="1"/>
  <c r="A190" i="147" s="1"/>
  <c r="A202" i="147" s="1"/>
  <c r="A214" i="147" s="1"/>
  <c r="A226" i="147" s="1"/>
  <c r="H21" i="147"/>
  <c r="E21" i="147"/>
  <c r="H20" i="147"/>
  <c r="E20" i="147"/>
  <c r="H19" i="147"/>
  <c r="E19" i="147"/>
  <c r="H18" i="147"/>
  <c r="E18" i="147"/>
  <c r="H17" i="147"/>
  <c r="E17" i="147"/>
  <c r="H16" i="147"/>
  <c r="E16" i="147"/>
  <c r="H15" i="147"/>
  <c r="E15" i="147"/>
  <c r="H14" i="147"/>
  <c r="E14" i="147"/>
  <c r="H13" i="147"/>
  <c r="E13" i="147"/>
  <c r="H12" i="147"/>
  <c r="E12" i="147"/>
  <c r="H11" i="147"/>
  <c r="E11" i="147"/>
  <c r="H10" i="147"/>
  <c r="E10" i="147"/>
  <c r="H410" i="11" l="1"/>
  <c r="O422" i="128" l="1"/>
  <c r="A201" i="144" l="1"/>
  <c r="A213" i="144" s="1"/>
  <c r="A225" i="144" s="1"/>
  <c r="A237" i="144" s="1"/>
  <c r="A249" i="144" s="1"/>
  <c r="A261" i="144" s="1"/>
  <c r="A273" i="144" s="1"/>
  <c r="A285" i="144" s="1"/>
  <c r="A297" i="144" s="1"/>
  <c r="A309" i="144" s="1"/>
  <c r="A321" i="144" s="1"/>
  <c r="A333" i="144" s="1"/>
  <c r="A345" i="144" s="1"/>
  <c r="A357" i="144" s="1"/>
  <c r="A369" i="144" s="1"/>
  <c r="A381" i="144" s="1"/>
  <c r="A393" i="144" s="1"/>
  <c r="A405" i="144" s="1"/>
  <c r="A417" i="144" s="1"/>
  <c r="A429" i="144" s="1"/>
  <c r="A441" i="144" s="1"/>
  <c r="A453" i="144" s="1"/>
  <c r="A200" i="144"/>
  <c r="A212" i="144" s="1"/>
  <c r="A224" i="144" s="1"/>
  <c r="A236" i="144" s="1"/>
  <c r="A248" i="144" s="1"/>
  <c r="A260" i="144" s="1"/>
  <c r="A272" i="144" s="1"/>
  <c r="A284" i="144" s="1"/>
  <c r="A296" i="144" s="1"/>
  <c r="A308" i="144" s="1"/>
  <c r="A320" i="144" s="1"/>
  <c r="A332" i="144" s="1"/>
  <c r="A344" i="144" s="1"/>
  <c r="A356" i="144" s="1"/>
  <c r="A368" i="144" s="1"/>
  <c r="A380" i="144" s="1"/>
  <c r="A392" i="144" s="1"/>
  <c r="A404" i="144" s="1"/>
  <c r="A416" i="144" s="1"/>
  <c r="A428" i="144" s="1"/>
  <c r="A440" i="144" s="1"/>
  <c r="A452" i="144" s="1"/>
  <c r="A199" i="144"/>
  <c r="A211" i="144" s="1"/>
  <c r="A223" i="144" s="1"/>
  <c r="A235" i="144" s="1"/>
  <c r="A247" i="144" s="1"/>
  <c r="A259" i="144" s="1"/>
  <c r="A271" i="144" s="1"/>
  <c r="A283" i="144" s="1"/>
  <c r="A295" i="144" s="1"/>
  <c r="A307" i="144" s="1"/>
  <c r="A319" i="144" s="1"/>
  <c r="A331" i="144" s="1"/>
  <c r="A343" i="144" s="1"/>
  <c r="A355" i="144" s="1"/>
  <c r="A367" i="144" s="1"/>
  <c r="A379" i="144" s="1"/>
  <c r="A391" i="144" s="1"/>
  <c r="A403" i="144" s="1"/>
  <c r="A415" i="144" s="1"/>
  <c r="A427" i="144" s="1"/>
  <c r="A439" i="144" s="1"/>
  <c r="A451" i="144" s="1"/>
  <c r="A198" i="144"/>
  <c r="A210" i="144" s="1"/>
  <c r="A222" i="144" s="1"/>
  <c r="A234" i="144" s="1"/>
  <c r="A246" i="144" s="1"/>
  <c r="A258" i="144" s="1"/>
  <c r="A270" i="144" s="1"/>
  <c r="A282" i="144" s="1"/>
  <c r="A294" i="144" s="1"/>
  <c r="A306" i="144" s="1"/>
  <c r="A318" i="144" s="1"/>
  <c r="A330" i="144" s="1"/>
  <c r="A342" i="144" s="1"/>
  <c r="A354" i="144" s="1"/>
  <c r="A366" i="144" s="1"/>
  <c r="A378" i="144" s="1"/>
  <c r="A390" i="144" s="1"/>
  <c r="A402" i="144" s="1"/>
  <c r="A414" i="144" s="1"/>
  <c r="A426" i="144" s="1"/>
  <c r="A438" i="144" s="1"/>
  <c r="A450" i="144" s="1"/>
  <c r="A197" i="144"/>
  <c r="A209" i="144" s="1"/>
  <c r="A221" i="144" s="1"/>
  <c r="A233" i="144" s="1"/>
  <c r="A245" i="144" s="1"/>
  <c r="A257" i="144" s="1"/>
  <c r="A269" i="144" s="1"/>
  <c r="A281" i="144" s="1"/>
  <c r="A293" i="144" s="1"/>
  <c r="A305" i="144" s="1"/>
  <c r="A317" i="144" s="1"/>
  <c r="A329" i="144" s="1"/>
  <c r="A341" i="144" s="1"/>
  <c r="A353" i="144" s="1"/>
  <c r="A365" i="144" s="1"/>
  <c r="A377" i="144" s="1"/>
  <c r="A389" i="144" s="1"/>
  <c r="A401" i="144" s="1"/>
  <c r="A413" i="144" s="1"/>
  <c r="A425" i="144" s="1"/>
  <c r="A437" i="144" s="1"/>
  <c r="A449" i="144" s="1"/>
  <c r="A196" i="144"/>
  <c r="A208" i="144" s="1"/>
  <c r="A220" i="144" s="1"/>
  <c r="A232" i="144" s="1"/>
  <c r="A244" i="144" s="1"/>
  <c r="A256" i="144" s="1"/>
  <c r="A268" i="144" s="1"/>
  <c r="A280" i="144" s="1"/>
  <c r="A292" i="144" s="1"/>
  <c r="A304" i="144" s="1"/>
  <c r="A316" i="144" s="1"/>
  <c r="A328" i="144" s="1"/>
  <c r="A340" i="144" s="1"/>
  <c r="A352" i="144" s="1"/>
  <c r="A364" i="144" s="1"/>
  <c r="A376" i="144" s="1"/>
  <c r="A388" i="144" s="1"/>
  <c r="A400" i="144" s="1"/>
  <c r="A412" i="144" s="1"/>
  <c r="A424" i="144" s="1"/>
  <c r="A436" i="144" s="1"/>
  <c r="A448" i="144" s="1"/>
  <c r="A195" i="144"/>
  <c r="A207" i="144" s="1"/>
  <c r="A219" i="144" s="1"/>
  <c r="A231" i="144" s="1"/>
  <c r="A243" i="144" s="1"/>
  <c r="A255" i="144" s="1"/>
  <c r="A267" i="144" s="1"/>
  <c r="A279" i="144" s="1"/>
  <c r="A291" i="144" s="1"/>
  <c r="A303" i="144" s="1"/>
  <c r="A315" i="144" s="1"/>
  <c r="A327" i="144" s="1"/>
  <c r="A339" i="144" s="1"/>
  <c r="A351" i="144" s="1"/>
  <c r="A363" i="144" s="1"/>
  <c r="A375" i="144" s="1"/>
  <c r="A387" i="144" s="1"/>
  <c r="A399" i="144" s="1"/>
  <c r="A411" i="144" s="1"/>
  <c r="A423" i="144" s="1"/>
  <c r="A435" i="144" s="1"/>
  <c r="A447" i="144" s="1"/>
  <c r="A194" i="144"/>
  <c r="A206" i="144" s="1"/>
  <c r="A218" i="144" s="1"/>
  <c r="A230" i="144" s="1"/>
  <c r="A242" i="144" s="1"/>
  <c r="A254" i="144" s="1"/>
  <c r="A266" i="144" s="1"/>
  <c r="A278" i="144" s="1"/>
  <c r="A290" i="144" s="1"/>
  <c r="A302" i="144" s="1"/>
  <c r="A314" i="144" s="1"/>
  <c r="A326" i="144" s="1"/>
  <c r="A338" i="144" s="1"/>
  <c r="A350" i="144" s="1"/>
  <c r="A362" i="144" s="1"/>
  <c r="A374" i="144" s="1"/>
  <c r="A386" i="144" s="1"/>
  <c r="A398" i="144" s="1"/>
  <c r="A410" i="144" s="1"/>
  <c r="A422" i="144" s="1"/>
  <c r="A434" i="144" s="1"/>
  <c r="A446" i="144" s="1"/>
  <c r="A193" i="144"/>
  <c r="A205" i="144" s="1"/>
  <c r="A217" i="144" s="1"/>
  <c r="A229" i="144" s="1"/>
  <c r="A241" i="144" s="1"/>
  <c r="A253" i="144" s="1"/>
  <c r="A265" i="144" s="1"/>
  <c r="A277" i="144" s="1"/>
  <c r="A289" i="144" s="1"/>
  <c r="A301" i="144" s="1"/>
  <c r="A313" i="144" s="1"/>
  <c r="A325" i="144" s="1"/>
  <c r="A337" i="144" s="1"/>
  <c r="A349" i="144" s="1"/>
  <c r="A361" i="144" s="1"/>
  <c r="A373" i="144" s="1"/>
  <c r="A385" i="144" s="1"/>
  <c r="A397" i="144" s="1"/>
  <c r="A409" i="144" s="1"/>
  <c r="A421" i="144" s="1"/>
  <c r="A433" i="144" s="1"/>
  <c r="A445" i="144" s="1"/>
  <c r="A192" i="144"/>
  <c r="A204" i="144" s="1"/>
  <c r="A216" i="144" s="1"/>
  <c r="A228" i="144" s="1"/>
  <c r="A240" i="144" s="1"/>
  <c r="A252" i="144" s="1"/>
  <c r="A264" i="144" s="1"/>
  <c r="A276" i="144" s="1"/>
  <c r="A288" i="144" s="1"/>
  <c r="A300" i="144" s="1"/>
  <c r="A312" i="144" s="1"/>
  <c r="A324" i="144" s="1"/>
  <c r="A336" i="144" s="1"/>
  <c r="A348" i="144" s="1"/>
  <c r="A360" i="144" s="1"/>
  <c r="A372" i="144" s="1"/>
  <c r="A384" i="144" s="1"/>
  <c r="A396" i="144" s="1"/>
  <c r="A408" i="144" s="1"/>
  <c r="A420" i="144" s="1"/>
  <c r="A432" i="144" s="1"/>
  <c r="A444" i="144" s="1"/>
  <c r="A191" i="144"/>
  <c r="A203" i="144" s="1"/>
  <c r="A215" i="144" s="1"/>
  <c r="A227" i="144" s="1"/>
  <c r="A239" i="144" s="1"/>
  <c r="A251" i="144" s="1"/>
  <c r="A263" i="144" s="1"/>
  <c r="A275" i="144" s="1"/>
  <c r="A287" i="144" s="1"/>
  <c r="A299" i="144" s="1"/>
  <c r="A311" i="144" s="1"/>
  <c r="A323" i="144" s="1"/>
  <c r="A335" i="144" s="1"/>
  <c r="A347" i="144" s="1"/>
  <c r="A359" i="144" s="1"/>
  <c r="A371" i="144" s="1"/>
  <c r="A383" i="144" s="1"/>
  <c r="A395" i="144" s="1"/>
  <c r="A407" i="144" s="1"/>
  <c r="A419" i="144" s="1"/>
  <c r="A431" i="144" s="1"/>
  <c r="A443" i="144" s="1"/>
  <c r="A190" i="144"/>
  <c r="A202" i="144" s="1"/>
  <c r="A214" i="144" s="1"/>
  <c r="A226" i="144" s="1"/>
  <c r="A238" i="144" s="1"/>
  <c r="A250" i="144" s="1"/>
  <c r="A262" i="144" s="1"/>
  <c r="A274" i="144" s="1"/>
  <c r="A286" i="144" s="1"/>
  <c r="A298" i="144" s="1"/>
  <c r="A310" i="144" s="1"/>
  <c r="A322" i="144" s="1"/>
  <c r="A334" i="144" s="1"/>
  <c r="A346" i="144" s="1"/>
  <c r="A358" i="144" s="1"/>
  <c r="A370" i="144" s="1"/>
  <c r="A382" i="144" s="1"/>
  <c r="A394" i="144" s="1"/>
  <c r="A406" i="144" s="1"/>
  <c r="A418" i="144" s="1"/>
  <c r="A430" i="144" s="1"/>
  <c r="A442" i="144" s="1"/>
  <c r="H386" i="4"/>
  <c r="K386" i="4"/>
  <c r="O386" i="4"/>
  <c r="V386" i="4"/>
  <c r="H242" i="143" l="1"/>
  <c r="H408" i="11" l="1"/>
  <c r="H409" i="11"/>
  <c r="G25" i="53"/>
  <c r="G24" i="53"/>
  <c r="G23" i="53" l="1"/>
  <c r="A33" i="143" l="1"/>
  <c r="A45" i="143" s="1"/>
  <c r="A57" i="143" s="1"/>
  <c r="A69" i="143" s="1"/>
  <c r="A81" i="143" s="1"/>
  <c r="A93" i="143" s="1"/>
  <c r="A105" i="143" s="1"/>
  <c r="A117" i="143" s="1"/>
  <c r="A129" i="143" s="1"/>
  <c r="A141" i="143" s="1"/>
  <c r="A153" i="143" s="1"/>
  <c r="A165" i="143" s="1"/>
  <c r="A177" i="143" s="1"/>
  <c r="A189" i="143" s="1"/>
  <c r="A201" i="143" s="1"/>
  <c r="A213" i="143" s="1"/>
  <c r="A225" i="143" s="1"/>
  <c r="A237" i="143" s="1"/>
  <c r="A249" i="143" s="1"/>
  <c r="A261" i="143" s="1"/>
  <c r="A273" i="143" s="1"/>
  <c r="A285" i="143" s="1"/>
  <c r="A297" i="143" s="1"/>
  <c r="A309" i="143" s="1"/>
  <c r="A321" i="143" s="1"/>
  <c r="A333" i="143" s="1"/>
  <c r="A345" i="143" s="1"/>
  <c r="A357" i="143" s="1"/>
  <c r="A369" i="143" s="1"/>
  <c r="A381" i="143" s="1"/>
  <c r="A393" i="143" s="1"/>
  <c r="A405" i="143" s="1"/>
  <c r="A417" i="143" s="1"/>
  <c r="A429" i="143" s="1"/>
  <c r="A32" i="143"/>
  <c r="A44" i="143" s="1"/>
  <c r="A56" i="143" s="1"/>
  <c r="A68" i="143" s="1"/>
  <c r="A80" i="143" s="1"/>
  <c r="A92" i="143" s="1"/>
  <c r="A104" i="143" s="1"/>
  <c r="A116" i="143" s="1"/>
  <c r="A128" i="143" s="1"/>
  <c r="A140" i="143" s="1"/>
  <c r="A152" i="143" s="1"/>
  <c r="A164" i="143" s="1"/>
  <c r="A176" i="143" s="1"/>
  <c r="A188" i="143" s="1"/>
  <c r="A200" i="143" s="1"/>
  <c r="A212" i="143" s="1"/>
  <c r="A224" i="143" s="1"/>
  <c r="A236" i="143" s="1"/>
  <c r="A248" i="143" s="1"/>
  <c r="A260" i="143" s="1"/>
  <c r="A272" i="143" s="1"/>
  <c r="A284" i="143" s="1"/>
  <c r="A296" i="143" s="1"/>
  <c r="A308" i="143" s="1"/>
  <c r="A320" i="143" s="1"/>
  <c r="A332" i="143" s="1"/>
  <c r="A344" i="143" s="1"/>
  <c r="A356" i="143" s="1"/>
  <c r="A368" i="143" s="1"/>
  <c r="A380" i="143" s="1"/>
  <c r="A392" i="143" s="1"/>
  <c r="A404" i="143" s="1"/>
  <c r="A416" i="143" s="1"/>
  <c r="A428" i="143" s="1"/>
  <c r="A31" i="143"/>
  <c r="A43" i="143" s="1"/>
  <c r="A55" i="143" s="1"/>
  <c r="A67" i="143" s="1"/>
  <c r="A79" i="143" s="1"/>
  <c r="A91" i="143" s="1"/>
  <c r="A103" i="143" s="1"/>
  <c r="A115" i="143" s="1"/>
  <c r="A127" i="143" s="1"/>
  <c r="A139" i="143" s="1"/>
  <c r="A151" i="143" s="1"/>
  <c r="A163" i="143" s="1"/>
  <c r="A175" i="143" s="1"/>
  <c r="A187" i="143" s="1"/>
  <c r="A199" i="143" s="1"/>
  <c r="A211" i="143" s="1"/>
  <c r="A223" i="143" s="1"/>
  <c r="A235" i="143" s="1"/>
  <c r="A247" i="143" s="1"/>
  <c r="A259" i="143" s="1"/>
  <c r="A271" i="143" s="1"/>
  <c r="A283" i="143" s="1"/>
  <c r="A295" i="143" s="1"/>
  <c r="A307" i="143" s="1"/>
  <c r="A319" i="143" s="1"/>
  <c r="A331" i="143" s="1"/>
  <c r="A343" i="143" s="1"/>
  <c r="A355" i="143" s="1"/>
  <c r="A367" i="143" s="1"/>
  <c r="A379" i="143" s="1"/>
  <c r="A391" i="143" s="1"/>
  <c r="A403" i="143" s="1"/>
  <c r="A415" i="143" s="1"/>
  <c r="A427" i="143" s="1"/>
  <c r="A30" i="143"/>
  <c r="A42" i="143" s="1"/>
  <c r="A54" i="143" s="1"/>
  <c r="A66" i="143" s="1"/>
  <c r="A78" i="143" s="1"/>
  <c r="A90" i="143" s="1"/>
  <c r="A102" i="143" s="1"/>
  <c r="A114" i="143" s="1"/>
  <c r="A126" i="143" s="1"/>
  <c r="A138" i="143" s="1"/>
  <c r="A150" i="143" s="1"/>
  <c r="A162" i="143" s="1"/>
  <c r="A174" i="143" s="1"/>
  <c r="A186" i="143" s="1"/>
  <c r="A198" i="143" s="1"/>
  <c r="A210" i="143" s="1"/>
  <c r="A222" i="143" s="1"/>
  <c r="A234" i="143" s="1"/>
  <c r="A246" i="143" s="1"/>
  <c r="A258" i="143" s="1"/>
  <c r="A270" i="143" s="1"/>
  <c r="A282" i="143" s="1"/>
  <c r="A294" i="143" s="1"/>
  <c r="A306" i="143" s="1"/>
  <c r="A318" i="143" s="1"/>
  <c r="A330" i="143" s="1"/>
  <c r="A342" i="143" s="1"/>
  <c r="A354" i="143" s="1"/>
  <c r="A366" i="143" s="1"/>
  <c r="A378" i="143" s="1"/>
  <c r="A390" i="143" s="1"/>
  <c r="A402" i="143" s="1"/>
  <c r="A414" i="143" s="1"/>
  <c r="A426" i="143" s="1"/>
  <c r="A29" i="143"/>
  <c r="A41" i="143" s="1"/>
  <c r="A53" i="143" s="1"/>
  <c r="A65" i="143" s="1"/>
  <c r="A77" i="143" s="1"/>
  <c r="A89" i="143" s="1"/>
  <c r="A101" i="143" s="1"/>
  <c r="A113" i="143" s="1"/>
  <c r="A125" i="143" s="1"/>
  <c r="A137" i="143" s="1"/>
  <c r="A149" i="143" s="1"/>
  <c r="A161" i="143" s="1"/>
  <c r="A173" i="143" s="1"/>
  <c r="A185" i="143" s="1"/>
  <c r="A197" i="143" s="1"/>
  <c r="A209" i="143" s="1"/>
  <c r="A221" i="143" s="1"/>
  <c r="A233" i="143" s="1"/>
  <c r="A245" i="143" s="1"/>
  <c r="A257" i="143" s="1"/>
  <c r="A269" i="143" s="1"/>
  <c r="A281" i="143" s="1"/>
  <c r="A293" i="143" s="1"/>
  <c r="A305" i="143" s="1"/>
  <c r="A317" i="143" s="1"/>
  <c r="A329" i="143" s="1"/>
  <c r="A341" i="143" s="1"/>
  <c r="A353" i="143" s="1"/>
  <c r="A365" i="143" s="1"/>
  <c r="A377" i="143" s="1"/>
  <c r="A389" i="143" s="1"/>
  <c r="A401" i="143" s="1"/>
  <c r="A413" i="143" s="1"/>
  <c r="A425" i="143" s="1"/>
  <c r="A28" i="143"/>
  <c r="A40" i="143" s="1"/>
  <c r="A52" i="143" s="1"/>
  <c r="A64" i="143" s="1"/>
  <c r="A76" i="143" s="1"/>
  <c r="A88" i="143" s="1"/>
  <c r="A100" i="143" s="1"/>
  <c r="A112" i="143" s="1"/>
  <c r="A124" i="143" s="1"/>
  <c r="A136" i="143" s="1"/>
  <c r="A148" i="143" s="1"/>
  <c r="A160" i="143" s="1"/>
  <c r="A172" i="143" s="1"/>
  <c r="A184" i="143" s="1"/>
  <c r="A196" i="143" s="1"/>
  <c r="A208" i="143" s="1"/>
  <c r="A220" i="143" s="1"/>
  <c r="A232" i="143" s="1"/>
  <c r="A244" i="143" s="1"/>
  <c r="A256" i="143" s="1"/>
  <c r="A268" i="143" s="1"/>
  <c r="A280" i="143" s="1"/>
  <c r="A292" i="143" s="1"/>
  <c r="A304" i="143" s="1"/>
  <c r="A316" i="143" s="1"/>
  <c r="A328" i="143" s="1"/>
  <c r="A340" i="143" s="1"/>
  <c r="A352" i="143" s="1"/>
  <c r="A364" i="143" s="1"/>
  <c r="A376" i="143" s="1"/>
  <c r="A388" i="143" s="1"/>
  <c r="A400" i="143" s="1"/>
  <c r="A412" i="143" s="1"/>
  <c r="A424" i="143" s="1"/>
  <c r="A27" i="143"/>
  <c r="A39" i="143" s="1"/>
  <c r="A51" i="143" s="1"/>
  <c r="A63" i="143" s="1"/>
  <c r="A75" i="143" s="1"/>
  <c r="A87" i="143" s="1"/>
  <c r="A99" i="143" s="1"/>
  <c r="A111" i="143" s="1"/>
  <c r="A123" i="143" s="1"/>
  <c r="A135" i="143" s="1"/>
  <c r="A147" i="143" s="1"/>
  <c r="A159" i="143" s="1"/>
  <c r="A171" i="143" s="1"/>
  <c r="A183" i="143" s="1"/>
  <c r="A195" i="143" s="1"/>
  <c r="A207" i="143" s="1"/>
  <c r="A219" i="143" s="1"/>
  <c r="A231" i="143" s="1"/>
  <c r="A243" i="143" s="1"/>
  <c r="A255" i="143" s="1"/>
  <c r="A267" i="143" s="1"/>
  <c r="A279" i="143" s="1"/>
  <c r="A291" i="143" s="1"/>
  <c r="A303" i="143" s="1"/>
  <c r="A315" i="143" s="1"/>
  <c r="A327" i="143" s="1"/>
  <c r="A339" i="143" s="1"/>
  <c r="A351" i="143" s="1"/>
  <c r="A363" i="143" s="1"/>
  <c r="A375" i="143" s="1"/>
  <c r="A387" i="143" s="1"/>
  <c r="A399" i="143" s="1"/>
  <c r="A411" i="143" s="1"/>
  <c r="A423" i="143" s="1"/>
  <c r="A26" i="143"/>
  <c r="A38" i="143" s="1"/>
  <c r="A50" i="143" s="1"/>
  <c r="A62" i="143" s="1"/>
  <c r="A74" i="143" s="1"/>
  <c r="A86" i="143" s="1"/>
  <c r="A98" i="143" s="1"/>
  <c r="A110" i="143" s="1"/>
  <c r="A122" i="143" s="1"/>
  <c r="A134" i="143" s="1"/>
  <c r="A146" i="143" s="1"/>
  <c r="A158" i="143" s="1"/>
  <c r="A170" i="143" s="1"/>
  <c r="A182" i="143" s="1"/>
  <c r="A194" i="143" s="1"/>
  <c r="A206" i="143" s="1"/>
  <c r="A218" i="143" s="1"/>
  <c r="A230" i="143" s="1"/>
  <c r="A242" i="143" s="1"/>
  <c r="A254" i="143" s="1"/>
  <c r="A266" i="143" s="1"/>
  <c r="A278" i="143" s="1"/>
  <c r="A290" i="143" s="1"/>
  <c r="A302" i="143" s="1"/>
  <c r="A314" i="143" s="1"/>
  <c r="A326" i="143" s="1"/>
  <c r="A338" i="143" s="1"/>
  <c r="A350" i="143" s="1"/>
  <c r="A362" i="143" s="1"/>
  <c r="A374" i="143" s="1"/>
  <c r="A386" i="143" s="1"/>
  <c r="A398" i="143" s="1"/>
  <c r="A410" i="143" s="1"/>
  <c r="A422" i="143" s="1"/>
  <c r="A25" i="143"/>
  <c r="A37" i="143" s="1"/>
  <c r="A49" i="143" s="1"/>
  <c r="A61" i="143" s="1"/>
  <c r="A73" i="143" s="1"/>
  <c r="A85" i="143" s="1"/>
  <c r="A97" i="143" s="1"/>
  <c r="A109" i="143" s="1"/>
  <c r="A121" i="143" s="1"/>
  <c r="A133" i="143" s="1"/>
  <c r="A145" i="143" s="1"/>
  <c r="A157" i="143" s="1"/>
  <c r="A169" i="143" s="1"/>
  <c r="A181" i="143" s="1"/>
  <c r="A193" i="143" s="1"/>
  <c r="A205" i="143" s="1"/>
  <c r="A217" i="143" s="1"/>
  <c r="A229" i="143" s="1"/>
  <c r="A241" i="143" s="1"/>
  <c r="A253" i="143" s="1"/>
  <c r="A265" i="143" s="1"/>
  <c r="A277" i="143" s="1"/>
  <c r="A289" i="143" s="1"/>
  <c r="A301" i="143" s="1"/>
  <c r="A313" i="143" s="1"/>
  <c r="A325" i="143" s="1"/>
  <c r="A337" i="143" s="1"/>
  <c r="A349" i="143" s="1"/>
  <c r="A361" i="143" s="1"/>
  <c r="A373" i="143" s="1"/>
  <c r="A385" i="143" s="1"/>
  <c r="A397" i="143" s="1"/>
  <c r="A409" i="143" s="1"/>
  <c r="A421" i="143" s="1"/>
  <c r="A24" i="143"/>
  <c r="A36" i="143" s="1"/>
  <c r="A48" i="143" s="1"/>
  <c r="A60" i="143" s="1"/>
  <c r="A72" i="143" s="1"/>
  <c r="A84" i="143" s="1"/>
  <c r="A96" i="143" s="1"/>
  <c r="A108" i="143" s="1"/>
  <c r="A120" i="143" s="1"/>
  <c r="A132" i="143" s="1"/>
  <c r="A144" i="143" s="1"/>
  <c r="A156" i="143" s="1"/>
  <c r="A168" i="143" s="1"/>
  <c r="A180" i="143" s="1"/>
  <c r="A192" i="143" s="1"/>
  <c r="A204" i="143" s="1"/>
  <c r="A216" i="143" s="1"/>
  <c r="A228" i="143" s="1"/>
  <c r="A240" i="143" s="1"/>
  <c r="A252" i="143" s="1"/>
  <c r="A264" i="143" s="1"/>
  <c r="A276" i="143" s="1"/>
  <c r="A288" i="143" s="1"/>
  <c r="A300" i="143" s="1"/>
  <c r="A312" i="143" s="1"/>
  <c r="A324" i="143" s="1"/>
  <c r="A336" i="143" s="1"/>
  <c r="A348" i="143" s="1"/>
  <c r="A360" i="143" s="1"/>
  <c r="A372" i="143" s="1"/>
  <c r="A384" i="143" s="1"/>
  <c r="A396" i="143" s="1"/>
  <c r="A408" i="143" s="1"/>
  <c r="A420" i="143" s="1"/>
  <c r="A23" i="143"/>
  <c r="A35" i="143" s="1"/>
  <c r="A47" i="143" s="1"/>
  <c r="A59" i="143" s="1"/>
  <c r="A71" i="143" s="1"/>
  <c r="A83" i="143" s="1"/>
  <c r="A95" i="143" s="1"/>
  <c r="A107" i="143" s="1"/>
  <c r="A119" i="143" s="1"/>
  <c r="A131" i="143" s="1"/>
  <c r="A143" i="143" s="1"/>
  <c r="A155" i="143" s="1"/>
  <c r="A167" i="143" s="1"/>
  <c r="A179" i="143" s="1"/>
  <c r="A191" i="143" s="1"/>
  <c r="A203" i="143" s="1"/>
  <c r="A215" i="143" s="1"/>
  <c r="A227" i="143" s="1"/>
  <c r="A239" i="143" s="1"/>
  <c r="A251" i="143" s="1"/>
  <c r="A263" i="143" s="1"/>
  <c r="A275" i="143" s="1"/>
  <c r="A287" i="143" s="1"/>
  <c r="A299" i="143" s="1"/>
  <c r="A311" i="143" s="1"/>
  <c r="A323" i="143" s="1"/>
  <c r="A335" i="143" s="1"/>
  <c r="A347" i="143" s="1"/>
  <c r="A359" i="143" s="1"/>
  <c r="A371" i="143" s="1"/>
  <c r="A383" i="143" s="1"/>
  <c r="A395" i="143" s="1"/>
  <c r="A407" i="143" s="1"/>
  <c r="A419" i="143" s="1"/>
  <c r="A22" i="143"/>
  <c r="A34" i="143" s="1"/>
  <c r="A46" i="143" s="1"/>
  <c r="A58" i="143" s="1"/>
  <c r="A70" i="143" s="1"/>
  <c r="A82" i="143" s="1"/>
  <c r="A94" i="143" s="1"/>
  <c r="A106" i="143" s="1"/>
  <c r="A118" i="143" s="1"/>
  <c r="A130" i="143" s="1"/>
  <c r="A142" i="143" s="1"/>
  <c r="A154" i="143" s="1"/>
  <c r="A166" i="143" s="1"/>
  <c r="A178" i="143" s="1"/>
  <c r="A190" i="143" s="1"/>
  <c r="A202" i="143" s="1"/>
  <c r="A214" i="143" s="1"/>
  <c r="A226" i="143" s="1"/>
  <c r="A238" i="143" s="1"/>
  <c r="A250" i="143" s="1"/>
  <c r="A262" i="143" s="1"/>
  <c r="A274" i="143" s="1"/>
  <c r="A286" i="143" s="1"/>
  <c r="A298" i="143" s="1"/>
  <c r="A310" i="143" s="1"/>
  <c r="A322" i="143" s="1"/>
  <c r="A334" i="143" s="1"/>
  <c r="A346" i="143" s="1"/>
  <c r="A358" i="143" s="1"/>
  <c r="A370" i="143" s="1"/>
  <c r="A382" i="143" s="1"/>
  <c r="A394" i="143" s="1"/>
  <c r="A406" i="143" s="1"/>
  <c r="A418" i="143" s="1"/>
  <c r="E385" i="20" l="1"/>
  <c r="O421" i="128" l="1"/>
  <c r="E9" i="64" l="1"/>
  <c r="E144" i="64" l="1"/>
  <c r="E394" i="64"/>
  <c r="B108" i="114"/>
  <c r="C109" i="114"/>
  <c r="E146" i="49"/>
  <c r="B146" i="49"/>
  <c r="A33" i="142"/>
  <c r="A45" i="142" s="1"/>
  <c r="A57" i="142" s="1"/>
  <c r="A69" i="142" s="1"/>
  <c r="A81" i="142" s="1"/>
  <c r="A93" i="142" s="1"/>
  <c r="A105" i="142" s="1"/>
  <c r="A117" i="142" s="1"/>
  <c r="A129" i="142" s="1"/>
  <c r="A141" i="142" s="1"/>
  <c r="A153" i="142" s="1"/>
  <c r="A165" i="142" s="1"/>
  <c r="A177" i="142" s="1"/>
  <c r="A189" i="142" s="1"/>
  <c r="A201" i="142" s="1"/>
  <c r="A213" i="142" s="1"/>
  <c r="A225" i="142" s="1"/>
  <c r="A237" i="142" s="1"/>
  <c r="A249" i="142" s="1"/>
  <c r="A261" i="142" s="1"/>
  <c r="A273" i="142" s="1"/>
  <c r="A285" i="142" s="1"/>
  <c r="A297" i="142" s="1"/>
  <c r="A309" i="142" s="1"/>
  <c r="A321" i="142" s="1"/>
  <c r="A333" i="142" s="1"/>
  <c r="A345" i="142" s="1"/>
  <c r="A357" i="142" s="1"/>
  <c r="A369" i="142" s="1"/>
  <c r="A381" i="142" s="1"/>
  <c r="A393" i="142" s="1"/>
  <c r="A405" i="142" s="1"/>
  <c r="A417" i="142" s="1"/>
  <c r="A429" i="142" s="1"/>
  <c r="A441" i="142" s="1"/>
  <c r="A453" i="142" s="1"/>
  <c r="A465" i="142" s="1"/>
  <c r="A32" i="142"/>
  <c r="A44" i="142" s="1"/>
  <c r="A56" i="142" s="1"/>
  <c r="A68" i="142" s="1"/>
  <c r="A80" i="142" s="1"/>
  <c r="A92" i="142" s="1"/>
  <c r="A104" i="142" s="1"/>
  <c r="A116" i="142" s="1"/>
  <c r="A128" i="142" s="1"/>
  <c r="A140" i="142" s="1"/>
  <c r="A152" i="142" s="1"/>
  <c r="A164" i="142" s="1"/>
  <c r="A176" i="142" s="1"/>
  <c r="A188" i="142" s="1"/>
  <c r="A200" i="142" s="1"/>
  <c r="A212" i="142" s="1"/>
  <c r="A224" i="142" s="1"/>
  <c r="A236" i="142" s="1"/>
  <c r="A248" i="142" s="1"/>
  <c r="A260" i="142" s="1"/>
  <c r="A272" i="142" s="1"/>
  <c r="A284" i="142" s="1"/>
  <c r="A296" i="142" s="1"/>
  <c r="A308" i="142" s="1"/>
  <c r="A320" i="142" s="1"/>
  <c r="A332" i="142" s="1"/>
  <c r="A344" i="142" s="1"/>
  <c r="A356" i="142" s="1"/>
  <c r="A368" i="142" s="1"/>
  <c r="A380" i="142" s="1"/>
  <c r="A392" i="142" s="1"/>
  <c r="A404" i="142" s="1"/>
  <c r="A416" i="142" s="1"/>
  <c r="A428" i="142" s="1"/>
  <c r="A440" i="142" s="1"/>
  <c r="A452" i="142" s="1"/>
  <c r="A464" i="142" s="1"/>
  <c r="A31" i="142"/>
  <c r="A43" i="142" s="1"/>
  <c r="A55" i="142" s="1"/>
  <c r="A67" i="142" s="1"/>
  <c r="A79" i="142" s="1"/>
  <c r="A91" i="142" s="1"/>
  <c r="A103" i="142" s="1"/>
  <c r="A115" i="142" s="1"/>
  <c r="A127" i="142" s="1"/>
  <c r="A139" i="142" s="1"/>
  <c r="A151" i="142" s="1"/>
  <c r="A163" i="142" s="1"/>
  <c r="A175" i="142" s="1"/>
  <c r="A187" i="142" s="1"/>
  <c r="A199" i="142" s="1"/>
  <c r="A211" i="142" s="1"/>
  <c r="A223" i="142" s="1"/>
  <c r="A235" i="142" s="1"/>
  <c r="A247" i="142" s="1"/>
  <c r="A259" i="142" s="1"/>
  <c r="A271" i="142" s="1"/>
  <c r="A283" i="142" s="1"/>
  <c r="A295" i="142" s="1"/>
  <c r="A307" i="142" s="1"/>
  <c r="A319" i="142" s="1"/>
  <c r="A331" i="142" s="1"/>
  <c r="A343" i="142" s="1"/>
  <c r="A355" i="142" s="1"/>
  <c r="A367" i="142" s="1"/>
  <c r="A379" i="142" s="1"/>
  <c r="A391" i="142" s="1"/>
  <c r="A403" i="142" s="1"/>
  <c r="A415" i="142" s="1"/>
  <c r="A427" i="142" s="1"/>
  <c r="A439" i="142" s="1"/>
  <c r="A451" i="142" s="1"/>
  <c r="A463" i="142" s="1"/>
  <c r="A30" i="142"/>
  <c r="A42" i="142" s="1"/>
  <c r="A54" i="142" s="1"/>
  <c r="A66" i="142" s="1"/>
  <c r="A78" i="142" s="1"/>
  <c r="A90" i="142" s="1"/>
  <c r="A102" i="142" s="1"/>
  <c r="A114" i="142" s="1"/>
  <c r="A126" i="142" s="1"/>
  <c r="A138" i="142" s="1"/>
  <c r="A150" i="142" s="1"/>
  <c r="A162" i="142" s="1"/>
  <c r="A174" i="142" s="1"/>
  <c r="A186" i="142" s="1"/>
  <c r="A198" i="142" s="1"/>
  <c r="A210" i="142" s="1"/>
  <c r="A222" i="142" s="1"/>
  <c r="A234" i="142" s="1"/>
  <c r="A246" i="142" s="1"/>
  <c r="A258" i="142" s="1"/>
  <c r="A270" i="142" s="1"/>
  <c r="A282" i="142" s="1"/>
  <c r="A294" i="142" s="1"/>
  <c r="A306" i="142" s="1"/>
  <c r="A318" i="142" s="1"/>
  <c r="A330" i="142" s="1"/>
  <c r="A342" i="142" s="1"/>
  <c r="A354" i="142" s="1"/>
  <c r="A366" i="142" s="1"/>
  <c r="A378" i="142" s="1"/>
  <c r="A390" i="142" s="1"/>
  <c r="A402" i="142" s="1"/>
  <c r="A414" i="142" s="1"/>
  <c r="A426" i="142" s="1"/>
  <c r="A438" i="142" s="1"/>
  <c r="A450" i="142" s="1"/>
  <c r="A462" i="142" s="1"/>
  <c r="A29" i="142"/>
  <c r="A41" i="142" s="1"/>
  <c r="A53" i="142" s="1"/>
  <c r="A65" i="142" s="1"/>
  <c r="A77" i="142" s="1"/>
  <c r="A89" i="142" s="1"/>
  <c r="A101" i="142" s="1"/>
  <c r="A113" i="142" s="1"/>
  <c r="A125" i="142" s="1"/>
  <c r="A137" i="142" s="1"/>
  <c r="A149" i="142" s="1"/>
  <c r="A161" i="142" s="1"/>
  <c r="A173" i="142" s="1"/>
  <c r="A185" i="142" s="1"/>
  <c r="A197" i="142" s="1"/>
  <c r="A209" i="142" s="1"/>
  <c r="A221" i="142" s="1"/>
  <c r="A233" i="142" s="1"/>
  <c r="A245" i="142" s="1"/>
  <c r="A257" i="142" s="1"/>
  <c r="A269" i="142" s="1"/>
  <c r="A281" i="142" s="1"/>
  <c r="A293" i="142" s="1"/>
  <c r="A305" i="142" s="1"/>
  <c r="A317" i="142" s="1"/>
  <c r="A329" i="142" s="1"/>
  <c r="A341" i="142" s="1"/>
  <c r="A353" i="142" s="1"/>
  <c r="A365" i="142" s="1"/>
  <c r="A377" i="142" s="1"/>
  <c r="A389" i="142" s="1"/>
  <c r="A28" i="142"/>
  <c r="A40" i="142" s="1"/>
  <c r="A52" i="142" s="1"/>
  <c r="A64" i="142" s="1"/>
  <c r="A76" i="142" s="1"/>
  <c r="A88" i="142" s="1"/>
  <c r="A100" i="142" s="1"/>
  <c r="A112" i="142" s="1"/>
  <c r="A124" i="142" s="1"/>
  <c r="A136" i="142" s="1"/>
  <c r="A148" i="142" s="1"/>
  <c r="A160" i="142" s="1"/>
  <c r="A172" i="142" s="1"/>
  <c r="A184" i="142" s="1"/>
  <c r="A196" i="142" s="1"/>
  <c r="A208" i="142" s="1"/>
  <c r="A220" i="142" s="1"/>
  <c r="A232" i="142" s="1"/>
  <c r="A244" i="142" s="1"/>
  <c r="A256" i="142" s="1"/>
  <c r="A268" i="142" s="1"/>
  <c r="A280" i="142" s="1"/>
  <c r="A292" i="142" s="1"/>
  <c r="A304" i="142" s="1"/>
  <c r="A316" i="142" s="1"/>
  <c r="A328" i="142" s="1"/>
  <c r="A340" i="142" s="1"/>
  <c r="A352" i="142" s="1"/>
  <c r="A364" i="142" s="1"/>
  <c r="A376" i="142" s="1"/>
  <c r="A388" i="142" s="1"/>
  <c r="A400" i="142" s="1"/>
  <c r="A412" i="142" s="1"/>
  <c r="A424" i="142" s="1"/>
  <c r="A436" i="142" s="1"/>
  <c r="A448" i="142" s="1"/>
  <c r="A460" i="142" s="1"/>
  <c r="A27" i="142"/>
  <c r="A39" i="142" s="1"/>
  <c r="A51" i="142" s="1"/>
  <c r="A63" i="142" s="1"/>
  <c r="A75" i="142" s="1"/>
  <c r="A87" i="142" s="1"/>
  <c r="A99" i="142" s="1"/>
  <c r="A111" i="142" s="1"/>
  <c r="A123" i="142" s="1"/>
  <c r="A135" i="142" s="1"/>
  <c r="A147" i="142" s="1"/>
  <c r="A159" i="142" s="1"/>
  <c r="A171" i="142" s="1"/>
  <c r="A183" i="142" s="1"/>
  <c r="A195" i="142" s="1"/>
  <c r="A207" i="142" s="1"/>
  <c r="A219" i="142" s="1"/>
  <c r="A231" i="142" s="1"/>
  <c r="A243" i="142" s="1"/>
  <c r="A255" i="142" s="1"/>
  <c r="A267" i="142" s="1"/>
  <c r="A279" i="142" s="1"/>
  <c r="A291" i="142" s="1"/>
  <c r="A303" i="142" s="1"/>
  <c r="A315" i="142" s="1"/>
  <c r="A327" i="142" s="1"/>
  <c r="A339" i="142" s="1"/>
  <c r="A351" i="142" s="1"/>
  <c r="A363" i="142" s="1"/>
  <c r="A375" i="142" s="1"/>
  <c r="A387" i="142" s="1"/>
  <c r="A399" i="142" s="1"/>
  <c r="A411" i="142" s="1"/>
  <c r="A423" i="142" s="1"/>
  <c r="A435" i="142" s="1"/>
  <c r="A447" i="142" s="1"/>
  <c r="A459" i="142" s="1"/>
  <c r="A26" i="142"/>
  <c r="A38" i="142" s="1"/>
  <c r="A50" i="142" s="1"/>
  <c r="A62" i="142" s="1"/>
  <c r="A74" i="142" s="1"/>
  <c r="A86" i="142" s="1"/>
  <c r="A98" i="142" s="1"/>
  <c r="A110" i="142" s="1"/>
  <c r="A122" i="142" s="1"/>
  <c r="A134" i="142" s="1"/>
  <c r="A146" i="142" s="1"/>
  <c r="A158" i="142" s="1"/>
  <c r="A170" i="142" s="1"/>
  <c r="A182" i="142" s="1"/>
  <c r="A194" i="142" s="1"/>
  <c r="A206" i="142" s="1"/>
  <c r="A218" i="142" s="1"/>
  <c r="A230" i="142" s="1"/>
  <c r="A242" i="142" s="1"/>
  <c r="A254" i="142" s="1"/>
  <c r="A266" i="142" s="1"/>
  <c r="A278" i="142" s="1"/>
  <c r="A290" i="142" s="1"/>
  <c r="A302" i="142" s="1"/>
  <c r="A314" i="142" s="1"/>
  <c r="A326" i="142" s="1"/>
  <c r="A338" i="142" s="1"/>
  <c r="A350" i="142" s="1"/>
  <c r="A362" i="142" s="1"/>
  <c r="A374" i="142" s="1"/>
  <c r="A386" i="142" s="1"/>
  <c r="A398" i="142" s="1"/>
  <c r="A410" i="142" s="1"/>
  <c r="A422" i="142" s="1"/>
  <c r="A434" i="142" s="1"/>
  <c r="A446" i="142" s="1"/>
  <c r="A458" i="142" s="1"/>
  <c r="A25" i="142"/>
  <c r="A37" i="142" s="1"/>
  <c r="A49" i="142" s="1"/>
  <c r="A61" i="142" s="1"/>
  <c r="A73" i="142" s="1"/>
  <c r="A85" i="142" s="1"/>
  <c r="A97" i="142" s="1"/>
  <c r="A109" i="142" s="1"/>
  <c r="A121" i="142" s="1"/>
  <c r="A133" i="142" s="1"/>
  <c r="A145" i="142" s="1"/>
  <c r="A157" i="142" s="1"/>
  <c r="A169" i="142" s="1"/>
  <c r="A181" i="142" s="1"/>
  <c r="A193" i="142" s="1"/>
  <c r="A205" i="142" s="1"/>
  <c r="A217" i="142" s="1"/>
  <c r="A229" i="142" s="1"/>
  <c r="A241" i="142" s="1"/>
  <c r="A253" i="142" s="1"/>
  <c r="A265" i="142" s="1"/>
  <c r="A277" i="142" s="1"/>
  <c r="A289" i="142" s="1"/>
  <c r="A301" i="142" s="1"/>
  <c r="A313" i="142" s="1"/>
  <c r="A325" i="142" s="1"/>
  <c r="A337" i="142" s="1"/>
  <c r="A349" i="142" s="1"/>
  <c r="A361" i="142" s="1"/>
  <c r="A373" i="142" s="1"/>
  <c r="A385" i="142" s="1"/>
  <c r="A397" i="142" s="1"/>
  <c r="A409" i="142" s="1"/>
  <c r="A421" i="142" s="1"/>
  <c r="A433" i="142" s="1"/>
  <c r="A445" i="142" s="1"/>
  <c r="A457" i="142" s="1"/>
  <c r="A24" i="142"/>
  <c r="A36" i="142" s="1"/>
  <c r="A48" i="142" s="1"/>
  <c r="A60" i="142" s="1"/>
  <c r="A72" i="142" s="1"/>
  <c r="A84" i="142" s="1"/>
  <c r="A96" i="142" s="1"/>
  <c r="A108" i="142" s="1"/>
  <c r="A120" i="142" s="1"/>
  <c r="A132" i="142" s="1"/>
  <c r="A144" i="142" s="1"/>
  <c r="A156" i="142" s="1"/>
  <c r="A168" i="142" s="1"/>
  <c r="A180" i="142" s="1"/>
  <c r="A192" i="142" s="1"/>
  <c r="A204" i="142" s="1"/>
  <c r="A216" i="142" s="1"/>
  <c r="A228" i="142" s="1"/>
  <c r="A240" i="142" s="1"/>
  <c r="A252" i="142" s="1"/>
  <c r="A264" i="142" s="1"/>
  <c r="A276" i="142" s="1"/>
  <c r="A288" i="142" s="1"/>
  <c r="A300" i="142" s="1"/>
  <c r="A312" i="142" s="1"/>
  <c r="A324" i="142" s="1"/>
  <c r="A336" i="142" s="1"/>
  <c r="A348" i="142" s="1"/>
  <c r="A360" i="142" s="1"/>
  <c r="A372" i="142" s="1"/>
  <c r="A384" i="142" s="1"/>
  <c r="A396" i="142" s="1"/>
  <c r="A408" i="142" s="1"/>
  <c r="A420" i="142" s="1"/>
  <c r="A432" i="142" s="1"/>
  <c r="A444" i="142" s="1"/>
  <c r="A456" i="142" s="1"/>
  <c r="A23" i="142"/>
  <c r="A35" i="142" s="1"/>
  <c r="A47" i="142" s="1"/>
  <c r="A59" i="142" s="1"/>
  <c r="A71" i="142" s="1"/>
  <c r="A83" i="142" s="1"/>
  <c r="A95" i="142" s="1"/>
  <c r="A107" i="142" s="1"/>
  <c r="A119" i="142" s="1"/>
  <c r="A131" i="142" s="1"/>
  <c r="A143" i="142" s="1"/>
  <c r="A155" i="142" s="1"/>
  <c r="A167" i="142" s="1"/>
  <c r="A179" i="142" s="1"/>
  <c r="A191" i="142" s="1"/>
  <c r="A203" i="142" s="1"/>
  <c r="A215" i="142" s="1"/>
  <c r="A227" i="142" s="1"/>
  <c r="A239" i="142" s="1"/>
  <c r="A251" i="142" s="1"/>
  <c r="A263" i="142" s="1"/>
  <c r="A275" i="142" s="1"/>
  <c r="A287" i="142" s="1"/>
  <c r="A299" i="142" s="1"/>
  <c r="A311" i="142" s="1"/>
  <c r="A323" i="142" s="1"/>
  <c r="A335" i="142" s="1"/>
  <c r="A347" i="142" s="1"/>
  <c r="A359" i="142" s="1"/>
  <c r="A371" i="142" s="1"/>
  <c r="A383" i="142" s="1"/>
  <c r="A395" i="142" s="1"/>
  <c r="A407" i="142" s="1"/>
  <c r="A419" i="142" s="1"/>
  <c r="A431" i="142" s="1"/>
  <c r="A443" i="142" s="1"/>
  <c r="A455" i="142" s="1"/>
  <c r="A22" i="142"/>
  <c r="A34" i="142" s="1"/>
  <c r="A46" i="142" s="1"/>
  <c r="A58" i="142" s="1"/>
  <c r="A70" i="142" s="1"/>
  <c r="A82" i="142" s="1"/>
  <c r="A94" i="142" s="1"/>
  <c r="A106" i="142" s="1"/>
  <c r="A118" i="142" s="1"/>
  <c r="A130" i="142" s="1"/>
  <c r="A142" i="142" s="1"/>
  <c r="A154" i="142" s="1"/>
  <c r="A166" i="142" s="1"/>
  <c r="A178" i="142" s="1"/>
  <c r="A190" i="142" s="1"/>
  <c r="A202" i="142" s="1"/>
  <c r="A214" i="142" s="1"/>
  <c r="A226" i="142" s="1"/>
  <c r="A238" i="142" s="1"/>
  <c r="A250" i="142" s="1"/>
  <c r="A262" i="142" s="1"/>
  <c r="A274" i="142" s="1"/>
  <c r="A286" i="142" s="1"/>
  <c r="A298" i="142" s="1"/>
  <c r="A310" i="142" s="1"/>
  <c r="A322" i="142" s="1"/>
  <c r="A334" i="142" s="1"/>
  <c r="A346" i="142" s="1"/>
  <c r="A358" i="142" s="1"/>
  <c r="A370" i="142" s="1"/>
  <c r="A382" i="142" s="1"/>
  <c r="A394" i="142" s="1"/>
  <c r="A406" i="142" s="1"/>
  <c r="A418" i="142" s="1"/>
  <c r="A430" i="142" s="1"/>
  <c r="A442" i="142" s="1"/>
  <c r="A454" i="142" s="1"/>
  <c r="A401" i="142" l="1"/>
  <c r="A413" i="142" s="1"/>
  <c r="A425" i="142" s="1"/>
  <c r="A437" i="142" s="1"/>
  <c r="A449" i="142" s="1"/>
  <c r="A461" i="142" s="1"/>
  <c r="L409" i="108" l="1"/>
  <c r="O420" i="128" l="1"/>
  <c r="O417" i="128"/>
  <c r="O416" i="128"/>
  <c r="G40" i="53"/>
  <c r="O419" i="128"/>
  <c r="O415" i="128"/>
  <c r="O414" i="128"/>
  <c r="O413" i="128"/>
  <c r="O412" i="128"/>
  <c r="O411" i="128"/>
  <c r="O410" i="128"/>
  <c r="O409" i="128"/>
  <c r="O408" i="128"/>
  <c r="O407" i="128"/>
  <c r="O406" i="128"/>
  <c r="O405" i="128"/>
  <c r="O404" i="128"/>
  <c r="O403" i="128"/>
  <c r="O402" i="128"/>
  <c r="O401" i="128"/>
  <c r="O400" i="128"/>
  <c r="O399" i="128"/>
  <c r="O396" i="128"/>
  <c r="O395" i="128"/>
  <c r="O394" i="128"/>
  <c r="O393" i="128"/>
  <c r="O392" i="128"/>
  <c r="O391" i="128"/>
  <c r="O390" i="128"/>
  <c r="O389" i="128"/>
  <c r="O388" i="128"/>
  <c r="O387" i="128"/>
  <c r="O386" i="128"/>
  <c r="O385" i="128"/>
  <c r="O384" i="128"/>
  <c r="O383" i="128"/>
  <c r="O382" i="128"/>
  <c r="O381" i="128"/>
  <c r="O380" i="128"/>
  <c r="O379" i="128"/>
  <c r="O378" i="128"/>
  <c r="O377" i="128"/>
  <c r="O376" i="128"/>
  <c r="O375" i="128"/>
  <c r="O374" i="128"/>
  <c r="O373" i="128"/>
  <c r="O372" i="128"/>
  <c r="O371" i="128"/>
  <c r="O370" i="128"/>
  <c r="O369" i="128"/>
  <c r="O368" i="128"/>
  <c r="O367" i="128"/>
  <c r="O366" i="128"/>
  <c r="O365" i="128"/>
  <c r="O364" i="128"/>
  <c r="O363" i="128"/>
  <c r="O362" i="128"/>
  <c r="O361" i="128"/>
  <c r="O360" i="128"/>
  <c r="O359" i="128"/>
  <c r="O358" i="128"/>
  <c r="O357" i="128"/>
  <c r="O356" i="128"/>
  <c r="O355" i="128"/>
  <c r="O354" i="128"/>
  <c r="O353" i="128"/>
  <c r="O352" i="128"/>
  <c r="O351" i="128"/>
  <c r="O350" i="128"/>
  <c r="O349" i="128"/>
  <c r="O348" i="128"/>
  <c r="O347" i="128"/>
  <c r="O346" i="128"/>
  <c r="O345" i="128"/>
  <c r="O344" i="128"/>
  <c r="O343" i="128"/>
  <c r="O342" i="128"/>
  <c r="O341" i="128"/>
  <c r="O340" i="128"/>
  <c r="O339" i="128"/>
  <c r="O338" i="128"/>
  <c r="O337" i="128"/>
  <c r="O336" i="128"/>
  <c r="O335" i="128"/>
  <c r="O334" i="128"/>
  <c r="O333" i="128"/>
  <c r="O332" i="128"/>
  <c r="O331" i="128"/>
  <c r="O330" i="128"/>
  <c r="O329" i="128"/>
  <c r="O328" i="128"/>
  <c r="O327" i="128"/>
  <c r="O326" i="128"/>
  <c r="O325" i="128"/>
  <c r="O324" i="128"/>
  <c r="O323" i="128"/>
  <c r="O322" i="128"/>
  <c r="O321" i="128"/>
  <c r="O320" i="128"/>
  <c r="O319" i="128"/>
  <c r="O318" i="128"/>
  <c r="O317" i="128"/>
  <c r="O316" i="128"/>
  <c r="O315" i="128"/>
  <c r="O314" i="128"/>
  <c r="O313" i="128"/>
  <c r="O312" i="128"/>
  <c r="O311" i="128"/>
  <c r="O310" i="128"/>
  <c r="O309" i="128"/>
  <c r="O308" i="128"/>
  <c r="O307" i="128"/>
  <c r="O306" i="128"/>
  <c r="O305" i="128"/>
  <c r="O304" i="128"/>
  <c r="O303" i="128"/>
  <c r="O302" i="128"/>
  <c r="O301" i="128"/>
  <c r="O300" i="128"/>
  <c r="O299" i="128"/>
  <c r="O298" i="128"/>
  <c r="O297" i="128"/>
  <c r="O296" i="128"/>
  <c r="O295" i="128"/>
  <c r="O294" i="128"/>
  <c r="O293" i="128"/>
  <c r="O292" i="128"/>
  <c r="O291" i="128"/>
  <c r="O290" i="128"/>
  <c r="O289" i="128"/>
  <c r="O288" i="128"/>
  <c r="O287" i="128"/>
  <c r="O286" i="128"/>
  <c r="O285" i="128"/>
  <c r="O284" i="128"/>
  <c r="O283" i="128"/>
  <c r="O282" i="128"/>
  <c r="O281" i="128"/>
  <c r="O280" i="128"/>
  <c r="O279" i="128"/>
  <c r="O278" i="128"/>
  <c r="O277" i="128"/>
  <c r="O276" i="128"/>
  <c r="O275" i="128"/>
  <c r="O274" i="128"/>
  <c r="O273" i="128"/>
  <c r="O272" i="128"/>
  <c r="O271" i="128"/>
  <c r="O270" i="128"/>
  <c r="O269" i="128"/>
  <c r="O268" i="128"/>
  <c r="O267" i="128"/>
  <c r="O266" i="128"/>
  <c r="O265" i="128"/>
  <c r="O264" i="128"/>
  <c r="O263" i="128"/>
  <c r="O262" i="128"/>
  <c r="O261" i="128"/>
  <c r="O260" i="128"/>
  <c r="O259" i="128"/>
  <c r="O258" i="128"/>
  <c r="O257" i="128"/>
  <c r="O256" i="128"/>
  <c r="O255" i="128"/>
  <c r="O254" i="128"/>
  <c r="O253" i="128"/>
  <c r="O252" i="128"/>
  <c r="O251" i="128"/>
  <c r="O250" i="128"/>
  <c r="O249" i="128"/>
  <c r="O248" i="128"/>
  <c r="O247" i="128"/>
  <c r="O246" i="128"/>
  <c r="O245" i="128"/>
  <c r="O244" i="128"/>
  <c r="O243" i="128"/>
  <c r="O242" i="128"/>
  <c r="O241" i="128"/>
  <c r="O240" i="128"/>
  <c r="O239" i="128"/>
  <c r="O238" i="128"/>
  <c r="O237" i="128"/>
  <c r="O236" i="128"/>
  <c r="O235" i="128"/>
  <c r="O234" i="128"/>
  <c r="O233" i="128"/>
  <c r="O232" i="128"/>
  <c r="O231" i="128"/>
  <c r="O230" i="128"/>
  <c r="O229" i="128"/>
  <c r="O228" i="128"/>
  <c r="O227" i="128"/>
  <c r="O226" i="128"/>
  <c r="O225" i="128"/>
  <c r="O224" i="128"/>
  <c r="O223" i="128"/>
  <c r="O222" i="128"/>
  <c r="O221" i="128"/>
  <c r="O220" i="128"/>
  <c r="O219" i="128"/>
  <c r="O218" i="128"/>
  <c r="O217" i="128"/>
  <c r="O216" i="128"/>
  <c r="O215" i="128"/>
  <c r="O214" i="128"/>
  <c r="O213" i="128"/>
  <c r="O212" i="128"/>
  <c r="O211" i="128"/>
  <c r="O210" i="128"/>
  <c r="O209" i="128"/>
  <c r="O208" i="128"/>
  <c r="O207" i="128"/>
  <c r="O206" i="128"/>
  <c r="O205" i="128"/>
  <c r="O204" i="128"/>
  <c r="O203" i="128"/>
  <c r="O202" i="128"/>
  <c r="O201" i="128"/>
  <c r="O200" i="128"/>
  <c r="O199" i="128"/>
  <c r="O198" i="128"/>
  <c r="O197" i="128"/>
  <c r="O196" i="128"/>
  <c r="O195" i="128"/>
  <c r="O194" i="128"/>
  <c r="O193" i="128"/>
  <c r="O192" i="128"/>
  <c r="O191" i="128"/>
  <c r="O190" i="128"/>
  <c r="O189" i="128"/>
  <c r="O188" i="128"/>
  <c r="O187" i="128"/>
  <c r="O186" i="128"/>
  <c r="O185" i="128"/>
  <c r="O184" i="128"/>
  <c r="O183" i="128"/>
  <c r="O182" i="128"/>
  <c r="O181" i="128"/>
  <c r="O180" i="128"/>
  <c r="O179" i="128"/>
  <c r="O178" i="128"/>
  <c r="O177" i="128"/>
  <c r="O176" i="128"/>
  <c r="O175" i="128"/>
  <c r="O174" i="128"/>
  <c r="O173" i="128"/>
  <c r="O172" i="128"/>
  <c r="O171" i="128"/>
  <c r="O170" i="128"/>
  <c r="O169" i="128"/>
  <c r="O168" i="128"/>
  <c r="O167" i="128"/>
  <c r="O166" i="128"/>
  <c r="O165" i="128"/>
  <c r="O164" i="128"/>
  <c r="O163" i="128"/>
  <c r="O162" i="128"/>
  <c r="O161" i="128"/>
  <c r="O160" i="128"/>
  <c r="O159" i="128"/>
  <c r="O158" i="128"/>
  <c r="O157" i="128"/>
  <c r="O156" i="128"/>
  <c r="O155" i="128"/>
  <c r="O154" i="128"/>
  <c r="O153" i="128"/>
  <c r="O152" i="128"/>
  <c r="O151" i="128"/>
  <c r="O150" i="128"/>
  <c r="O149" i="128"/>
  <c r="O148" i="128"/>
  <c r="O147" i="128"/>
  <c r="O146" i="128"/>
  <c r="O145" i="128"/>
  <c r="O144" i="128"/>
  <c r="O143" i="128"/>
  <c r="O142" i="128"/>
  <c r="O141" i="128"/>
  <c r="O140" i="128"/>
  <c r="O139" i="128"/>
  <c r="O138" i="128"/>
  <c r="O137" i="128"/>
  <c r="O136" i="128"/>
  <c r="O135" i="128"/>
  <c r="O134" i="128"/>
  <c r="O133" i="128"/>
  <c r="O132" i="128"/>
  <c r="O131" i="128"/>
  <c r="O130" i="128"/>
  <c r="O129" i="128"/>
  <c r="O128" i="128"/>
  <c r="O127" i="128"/>
  <c r="O126" i="128"/>
  <c r="O125" i="128"/>
  <c r="O124" i="128"/>
  <c r="O123" i="128"/>
  <c r="O122" i="128"/>
  <c r="O121" i="128"/>
  <c r="O120" i="128"/>
  <c r="O119" i="128"/>
  <c r="O118" i="128"/>
  <c r="O117" i="128"/>
  <c r="O116" i="128"/>
  <c r="O115" i="128"/>
  <c r="O114" i="128"/>
  <c r="O113" i="128"/>
  <c r="O112" i="128"/>
  <c r="O111" i="128"/>
  <c r="O110" i="128"/>
  <c r="O109" i="128"/>
  <c r="O108" i="128"/>
  <c r="O107" i="128"/>
  <c r="O106" i="128"/>
  <c r="O105" i="128"/>
  <c r="O104" i="128"/>
  <c r="O103" i="128"/>
  <c r="O102" i="128"/>
  <c r="O101" i="128"/>
  <c r="O100" i="128"/>
  <c r="O99" i="128"/>
  <c r="O98" i="128"/>
  <c r="O97" i="128"/>
  <c r="O96" i="128"/>
  <c r="O95" i="128"/>
  <c r="O94" i="128"/>
  <c r="O93" i="128"/>
  <c r="O92" i="128"/>
  <c r="O91" i="128"/>
  <c r="O90" i="128"/>
  <c r="O89" i="128"/>
  <c r="O88" i="128"/>
  <c r="O87" i="128"/>
  <c r="O86" i="128"/>
  <c r="O85" i="128"/>
  <c r="O84" i="128"/>
  <c r="O83" i="128"/>
  <c r="O82" i="128"/>
  <c r="O81" i="128"/>
  <c r="O80" i="128"/>
  <c r="O79" i="128"/>
  <c r="O78" i="128"/>
  <c r="O77" i="128"/>
  <c r="O76" i="128"/>
  <c r="O75" i="128"/>
  <c r="O74" i="128"/>
  <c r="O73" i="128"/>
  <c r="O72" i="128"/>
  <c r="O71" i="128"/>
  <c r="O70" i="128"/>
  <c r="O69" i="128"/>
  <c r="O68" i="128"/>
  <c r="O67" i="128"/>
  <c r="O66" i="128"/>
  <c r="O65" i="128"/>
  <c r="O64" i="128"/>
  <c r="O63" i="128"/>
  <c r="O62" i="128"/>
  <c r="O61" i="128"/>
  <c r="O60" i="128"/>
  <c r="O59" i="128"/>
  <c r="O58" i="128"/>
  <c r="O57" i="128"/>
  <c r="O56" i="128"/>
  <c r="O55" i="128"/>
  <c r="O54" i="128"/>
  <c r="O53" i="128"/>
  <c r="O52" i="128"/>
  <c r="O51" i="128"/>
  <c r="O50" i="128"/>
  <c r="O49" i="128"/>
  <c r="O48" i="128"/>
  <c r="O47" i="128"/>
  <c r="O46" i="128"/>
  <c r="O45" i="128"/>
  <c r="O44" i="128"/>
  <c r="O43" i="128"/>
  <c r="O42" i="128"/>
  <c r="O41" i="128"/>
  <c r="O40" i="128"/>
  <c r="O39" i="128"/>
  <c r="O38" i="128"/>
  <c r="O37" i="128"/>
  <c r="O36" i="128"/>
  <c r="O35" i="128"/>
  <c r="O34" i="128"/>
  <c r="O33" i="128"/>
  <c r="O32" i="128"/>
  <c r="O31" i="128"/>
  <c r="O30" i="128"/>
  <c r="O29" i="128"/>
  <c r="O28" i="128"/>
  <c r="O27" i="128"/>
  <c r="O26" i="128"/>
  <c r="O25" i="128"/>
  <c r="O24" i="128"/>
  <c r="O23" i="128"/>
  <c r="O22" i="128"/>
  <c r="O21" i="128"/>
  <c r="O20" i="128"/>
  <c r="O19" i="128"/>
  <c r="O18" i="128"/>
  <c r="O17" i="128"/>
  <c r="O16" i="128"/>
  <c r="O15" i="128"/>
  <c r="O14" i="128"/>
  <c r="O13" i="128"/>
  <c r="O12" i="128"/>
  <c r="O11" i="128"/>
  <c r="O10" i="128"/>
  <c r="H407" i="11" l="1"/>
  <c r="H406" i="11"/>
  <c r="H405" i="11"/>
  <c r="G32" i="53" l="1"/>
  <c r="Y97" i="141"/>
  <c r="Y98" i="141"/>
  <c r="Y99" i="141"/>
  <c r="Y100" i="141"/>
  <c r="Y101" i="141"/>
  <c r="Y102" i="141"/>
  <c r="Y103" i="141"/>
  <c r="Y104" i="141"/>
  <c r="Y105" i="141"/>
  <c r="Y106" i="141"/>
  <c r="Y107" i="141"/>
  <c r="Y108" i="141"/>
  <c r="Y109" i="141"/>
  <c r="Y110" i="141"/>
  <c r="Y111" i="141"/>
  <c r="Y112" i="141"/>
  <c r="Y113" i="141"/>
  <c r="Y114" i="141"/>
  <c r="Y115" i="141"/>
  <c r="Y116" i="141"/>
  <c r="Y117" i="141"/>
  <c r="M11" i="141"/>
  <c r="M10" i="141"/>
  <c r="M41" i="141" l="1"/>
  <c r="D406" i="89" l="1"/>
  <c r="B406" i="89"/>
  <c r="L408" i="108" l="1"/>
  <c r="G50" i="53"/>
  <c r="X345" i="3"/>
  <c r="X344" i="3"/>
  <c r="X343" i="3"/>
  <c r="X341" i="3"/>
  <c r="V382" i="4" l="1"/>
  <c r="O382" i="4"/>
  <c r="K382" i="4"/>
  <c r="H382" i="4"/>
  <c r="L407" i="108" l="1"/>
  <c r="C359" i="111"/>
  <c r="C344" i="3" l="1"/>
  <c r="H404" i="11" l="1"/>
  <c r="D403" i="89" l="1"/>
  <c r="H403" i="11"/>
  <c r="H402" i="11"/>
  <c r="O378" i="4" l="1"/>
  <c r="Z228" i="106" l="1"/>
  <c r="G41" i="53" l="1"/>
  <c r="H400" i="11"/>
  <c r="H401" i="11"/>
  <c r="H399" i="11"/>
  <c r="D119" i="116"/>
  <c r="H387" i="17" l="1"/>
  <c r="H398" i="11"/>
  <c r="I162" i="121"/>
  <c r="I163" i="121"/>
  <c r="G16" i="53" l="1"/>
  <c r="L400" i="108" l="1"/>
  <c r="D411" i="30" l="1"/>
  <c r="N375" i="24"/>
  <c r="E385" i="64" l="1"/>
  <c r="E386" i="64" l="1"/>
  <c r="E387" i="64"/>
  <c r="X251" i="3" l="1"/>
  <c r="X252" i="3"/>
  <c r="X253" i="3"/>
  <c r="X254" i="3"/>
  <c r="X255" i="3"/>
  <c r="X256" i="3"/>
  <c r="X257" i="3"/>
  <c r="X258" i="3"/>
  <c r="X259" i="3"/>
  <c r="X260" i="3"/>
  <c r="X261" i="3"/>
  <c r="X262" i="3"/>
  <c r="X263" i="3"/>
  <c r="X264" i="3"/>
  <c r="X265" i="3"/>
  <c r="X266" i="3"/>
  <c r="X267" i="3"/>
  <c r="X268" i="3"/>
  <c r="X269" i="3"/>
  <c r="X270" i="3"/>
  <c r="X271" i="3"/>
  <c r="X272" i="3"/>
  <c r="X273" i="3"/>
  <c r="X274" i="3"/>
  <c r="X275" i="3"/>
  <c r="X276" i="3"/>
  <c r="X277" i="3"/>
  <c r="X278" i="3"/>
  <c r="X279" i="3"/>
  <c r="X280" i="3"/>
  <c r="X281" i="3"/>
  <c r="X282" i="3"/>
  <c r="X283" i="3"/>
  <c r="X284" i="3"/>
  <c r="X285" i="3"/>
  <c r="X286" i="3"/>
  <c r="X287" i="3"/>
  <c r="X288" i="3"/>
  <c r="X289" i="3"/>
  <c r="X290" i="3"/>
  <c r="X291" i="3"/>
  <c r="X292" i="3"/>
  <c r="X293" i="3"/>
  <c r="X294" i="3"/>
  <c r="X295" i="3"/>
  <c r="X296" i="3"/>
  <c r="X297" i="3"/>
  <c r="X298" i="3"/>
  <c r="X299" i="3"/>
  <c r="X300" i="3"/>
  <c r="X301" i="3"/>
  <c r="X302" i="3"/>
  <c r="X303" i="3"/>
  <c r="X304" i="3"/>
  <c r="X305" i="3"/>
  <c r="X306" i="3"/>
  <c r="X307" i="3"/>
  <c r="X308" i="3"/>
  <c r="X309" i="3"/>
  <c r="X310" i="3"/>
  <c r="X311" i="3"/>
  <c r="X312" i="3"/>
  <c r="X313" i="3"/>
  <c r="X314" i="3"/>
  <c r="X315" i="3"/>
  <c r="X316" i="3"/>
  <c r="X317" i="3"/>
  <c r="X318" i="3"/>
  <c r="X319" i="3"/>
  <c r="X320" i="3"/>
  <c r="X321" i="3"/>
  <c r="X322" i="3"/>
  <c r="X323" i="3"/>
  <c r="X324" i="3"/>
  <c r="X325" i="3"/>
  <c r="X326" i="3"/>
  <c r="X327" i="3"/>
  <c r="X328" i="3"/>
  <c r="X329" i="3"/>
  <c r="X330" i="3"/>
  <c r="X331" i="3"/>
  <c r="X332" i="3"/>
  <c r="X333" i="3"/>
  <c r="X334" i="3"/>
  <c r="X335" i="3"/>
  <c r="X336" i="3"/>
  <c r="X337" i="3"/>
  <c r="H397" i="11" l="1"/>
  <c r="H11" i="11"/>
  <c r="H12" i="11"/>
  <c r="H13" i="11"/>
  <c r="H14" i="11"/>
  <c r="H15" i="11"/>
  <c r="H16" i="11"/>
  <c r="H17" i="11"/>
  <c r="H18" i="11"/>
  <c r="H19" i="11"/>
  <c r="H20"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H239" i="11"/>
  <c r="H240" i="11"/>
  <c r="H241" i="11"/>
  <c r="H242" i="11"/>
  <c r="H243" i="11"/>
  <c r="H244" i="11"/>
  <c r="H245" i="11"/>
  <c r="H246" i="11"/>
  <c r="H247" i="11"/>
  <c r="H248" i="11"/>
  <c r="H249" i="11"/>
  <c r="H250" i="11"/>
  <c r="H251" i="11"/>
  <c r="H252" i="11"/>
  <c r="H253" i="11"/>
  <c r="H254" i="11"/>
  <c r="H255" i="11"/>
  <c r="H256" i="11"/>
  <c r="H257" i="11"/>
  <c r="H258" i="11"/>
  <c r="H259" i="11"/>
  <c r="H260" i="11"/>
  <c r="H261" i="11"/>
  <c r="H262" i="11"/>
  <c r="H263" i="11"/>
  <c r="H264" i="11"/>
  <c r="H265" i="11"/>
  <c r="H266" i="11"/>
  <c r="H267" i="11"/>
  <c r="H268" i="11"/>
  <c r="H269" i="11"/>
  <c r="H270" i="11"/>
  <c r="H271" i="11"/>
  <c r="H272" i="11"/>
  <c r="H273" i="11"/>
  <c r="H274" i="11"/>
  <c r="H276" i="11"/>
  <c r="H277" i="11"/>
  <c r="H278" i="11"/>
  <c r="H279" i="11"/>
  <c r="H280" i="11"/>
  <c r="H281" i="11"/>
  <c r="H282" i="11"/>
  <c r="H283" i="11"/>
  <c r="H284" i="11"/>
  <c r="H285" i="11"/>
  <c r="H286" i="11"/>
  <c r="H287" i="11"/>
  <c r="H288" i="11"/>
  <c r="H289" i="11"/>
  <c r="H290" i="11"/>
  <c r="H291" i="11"/>
  <c r="H292" i="11"/>
  <c r="H293" i="11"/>
  <c r="H294" i="11"/>
  <c r="H295" i="11"/>
  <c r="H296" i="11"/>
  <c r="H297" i="11"/>
  <c r="H298" i="11"/>
  <c r="H299" i="11"/>
  <c r="H300" i="11"/>
  <c r="H301" i="11"/>
  <c r="H302" i="11"/>
  <c r="H303" i="11"/>
  <c r="H304" i="11"/>
  <c r="H305" i="11"/>
  <c r="H306" i="11"/>
  <c r="H307" i="11"/>
  <c r="H308" i="11"/>
  <c r="H309" i="11"/>
  <c r="H310" i="11"/>
  <c r="H311" i="11"/>
  <c r="H312" i="11"/>
  <c r="H313" i="11"/>
  <c r="H314" i="11"/>
  <c r="H315" i="11"/>
  <c r="H316" i="11"/>
  <c r="H317" i="11"/>
  <c r="H318" i="11"/>
  <c r="H319" i="11"/>
  <c r="H320" i="11"/>
  <c r="H321" i="11"/>
  <c r="H322" i="11"/>
  <c r="H323" i="11"/>
  <c r="H324" i="11"/>
  <c r="H325" i="11"/>
  <c r="H326" i="11"/>
  <c r="H327" i="11"/>
  <c r="H328" i="11"/>
  <c r="H329" i="11"/>
  <c r="H330" i="11"/>
  <c r="H331" i="11"/>
  <c r="H332" i="11"/>
  <c r="H333" i="11"/>
  <c r="H334" i="11"/>
  <c r="H335" i="11"/>
  <c r="H336" i="11"/>
  <c r="H337" i="11"/>
  <c r="H338" i="11"/>
  <c r="H339" i="11"/>
  <c r="H340" i="11"/>
  <c r="H341" i="11"/>
  <c r="H342" i="11"/>
  <c r="H343" i="11"/>
  <c r="H344" i="11"/>
  <c r="H345" i="11"/>
  <c r="H346" i="11"/>
  <c r="H347" i="11"/>
  <c r="H348" i="11"/>
  <c r="H349" i="11"/>
  <c r="H350" i="11"/>
  <c r="H351" i="11"/>
  <c r="H352" i="11"/>
  <c r="H353" i="11"/>
  <c r="H354" i="11"/>
  <c r="H355" i="11"/>
  <c r="H356" i="11"/>
  <c r="H357" i="11"/>
  <c r="H358" i="11"/>
  <c r="H359" i="11"/>
  <c r="H360" i="11"/>
  <c r="H361" i="11"/>
  <c r="H362" i="11"/>
  <c r="H363" i="11"/>
  <c r="H364" i="11"/>
  <c r="H365" i="11"/>
  <c r="H366" i="11"/>
  <c r="H367" i="11"/>
  <c r="H368" i="11"/>
  <c r="H369" i="11"/>
  <c r="H370" i="11"/>
  <c r="H371" i="11"/>
  <c r="H372" i="11"/>
  <c r="H373" i="11"/>
  <c r="H374" i="11"/>
  <c r="H376" i="11"/>
  <c r="H377" i="11"/>
  <c r="H378" i="11"/>
  <c r="H379" i="11"/>
  <c r="H380" i="11"/>
  <c r="H381" i="11"/>
  <c r="H382" i="11"/>
  <c r="H383" i="11"/>
  <c r="H384" i="11"/>
  <c r="H385" i="11"/>
  <c r="H386" i="11"/>
  <c r="H387" i="11"/>
  <c r="H388" i="11"/>
  <c r="H389" i="11"/>
  <c r="H390" i="11"/>
  <c r="H391" i="11"/>
  <c r="H392" i="11"/>
  <c r="H393" i="11"/>
  <c r="H394" i="11"/>
  <c r="H395" i="11"/>
  <c r="H396" i="11"/>
  <c r="H10" i="11"/>
  <c r="L386" i="38" l="1"/>
  <c r="B395" i="89" l="1"/>
  <c r="B396" i="89"/>
  <c r="B397" i="89"/>
  <c r="B398" i="89"/>
  <c r="B399" i="89"/>
  <c r="B400" i="89"/>
  <c r="B401" i="89"/>
  <c r="B402" i="89"/>
  <c r="B403" i="89"/>
  <c r="B404" i="89"/>
  <c r="B405" i="89"/>
  <c r="D394" i="89"/>
  <c r="B394" i="89"/>
  <c r="C251" i="3" l="1"/>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G87" i="53" l="1"/>
  <c r="I74" i="114"/>
  <c r="I75" i="114"/>
  <c r="I76" i="114"/>
  <c r="I77" i="114"/>
  <c r="I78" i="114"/>
  <c r="I79" i="114"/>
  <c r="I80" i="114"/>
  <c r="I81" i="114"/>
  <c r="I82" i="114"/>
  <c r="I83" i="114"/>
  <c r="I84" i="114"/>
  <c r="I85" i="114"/>
  <c r="I86" i="114"/>
  <c r="I87" i="114"/>
  <c r="I88" i="114"/>
  <c r="I89" i="114"/>
  <c r="I90" i="114"/>
  <c r="I91" i="114"/>
  <c r="I92" i="114"/>
  <c r="I93" i="114"/>
  <c r="I94" i="114"/>
  <c r="I95" i="114"/>
  <c r="I96" i="114"/>
  <c r="I97" i="114"/>
  <c r="L394" i="108" l="1"/>
  <c r="G54" i="53"/>
  <c r="A23" i="112"/>
  <c r="A35" i="112" s="1"/>
  <c r="A47" i="112" s="1"/>
  <c r="A59" i="112" s="1"/>
  <c r="A71" i="112" s="1"/>
  <c r="A83" i="112" s="1"/>
  <c r="A95" i="112" s="1"/>
  <c r="A107" i="112" s="1"/>
  <c r="A119" i="112" s="1"/>
  <c r="A131" i="112" s="1"/>
  <c r="A143" i="112" s="1"/>
  <c r="A155" i="112" s="1"/>
  <c r="A167" i="112" s="1"/>
  <c r="A179" i="112" s="1"/>
  <c r="A24" i="112"/>
  <c r="A36" i="112" s="1"/>
  <c r="A48" i="112" s="1"/>
  <c r="A60" i="112" s="1"/>
  <c r="A72" i="112" s="1"/>
  <c r="A84" i="112" s="1"/>
  <c r="A96" i="112" s="1"/>
  <c r="A108" i="112" s="1"/>
  <c r="A120" i="112" s="1"/>
  <c r="A132" i="112" s="1"/>
  <c r="A144" i="112" s="1"/>
  <c r="A156" i="112" s="1"/>
  <c r="A168" i="112" s="1"/>
  <c r="A180" i="112" s="1"/>
  <c r="A25" i="112"/>
  <c r="A37" i="112" s="1"/>
  <c r="A49" i="112" s="1"/>
  <c r="A61" i="112" s="1"/>
  <c r="A73" i="112" s="1"/>
  <c r="A85" i="112" s="1"/>
  <c r="A97" i="112" s="1"/>
  <c r="A109" i="112" s="1"/>
  <c r="A121" i="112" s="1"/>
  <c r="A133" i="112" s="1"/>
  <c r="A145" i="112" s="1"/>
  <c r="A157" i="112" s="1"/>
  <c r="A169" i="112" s="1"/>
  <c r="A181" i="112" s="1"/>
  <c r="A26" i="112"/>
  <c r="A38" i="112" s="1"/>
  <c r="A50" i="112" s="1"/>
  <c r="A62" i="112" s="1"/>
  <c r="A74" i="112" s="1"/>
  <c r="A86" i="112" s="1"/>
  <c r="A98" i="112" s="1"/>
  <c r="A110" i="112" s="1"/>
  <c r="A122" i="112" s="1"/>
  <c r="A134" i="112" s="1"/>
  <c r="A146" i="112" s="1"/>
  <c r="A158" i="112" s="1"/>
  <c r="A170" i="112" s="1"/>
  <c r="A182" i="112" s="1"/>
  <c r="A27" i="112"/>
  <c r="A39" i="112" s="1"/>
  <c r="A51" i="112" s="1"/>
  <c r="A63" i="112" s="1"/>
  <c r="A75" i="112" s="1"/>
  <c r="A87" i="112" s="1"/>
  <c r="A99" i="112" s="1"/>
  <c r="A111" i="112" s="1"/>
  <c r="A123" i="112" s="1"/>
  <c r="A135" i="112" s="1"/>
  <c r="A147" i="112" s="1"/>
  <c r="A159" i="112" s="1"/>
  <c r="A171" i="112" s="1"/>
  <c r="A183" i="112" s="1"/>
  <c r="A22" i="112"/>
  <c r="A34" i="112" s="1"/>
  <c r="A46" i="112" s="1"/>
  <c r="A58" i="112" s="1"/>
  <c r="A70" i="112" s="1"/>
  <c r="A82" i="112" s="1"/>
  <c r="A94" i="112" s="1"/>
  <c r="A106" i="112" s="1"/>
  <c r="A118" i="112" s="1"/>
  <c r="A130" i="112" s="1"/>
  <c r="A142" i="112" s="1"/>
  <c r="A154" i="112" s="1"/>
  <c r="A166" i="112" s="1"/>
  <c r="A178" i="112" s="1"/>
  <c r="H11" i="14"/>
  <c r="H10" i="14"/>
  <c r="S350" i="3" l="1"/>
  <c r="S351" i="3"/>
  <c r="S352" i="3"/>
  <c r="S353" i="3"/>
  <c r="S354" i="3"/>
  <c r="S355" i="3"/>
  <c r="S356" i="3"/>
  <c r="S357" i="3"/>
  <c r="S359" i="3"/>
  <c r="S360" i="3"/>
  <c r="S361" i="3"/>
  <c r="S362" i="3"/>
  <c r="S363" i="3"/>
  <c r="S364" i="3"/>
  <c r="S365" i="3"/>
  <c r="S366" i="3"/>
  <c r="S367" i="3"/>
  <c r="S368" i="3"/>
  <c r="S369" i="3"/>
  <c r="S370" i="3"/>
  <c r="S371" i="3"/>
  <c r="S372" i="3"/>
  <c r="S373" i="3"/>
  <c r="S374" i="3"/>
  <c r="S375" i="3"/>
  <c r="S376" i="3"/>
  <c r="S377" i="3"/>
  <c r="S378" i="3"/>
  <c r="S379" i="3"/>
  <c r="S380" i="3"/>
  <c r="S381" i="3"/>
  <c r="S382" i="3"/>
  <c r="S383" i="3"/>
  <c r="S384" i="3"/>
  <c r="S385" i="3"/>
  <c r="S386" i="3"/>
  <c r="S387" i="3"/>
  <c r="S388" i="3"/>
  <c r="S389" i="3"/>
  <c r="S390" i="3"/>
  <c r="S391" i="3"/>
  <c r="S392" i="3"/>
  <c r="S393" i="3"/>
  <c r="S394" i="3"/>
  <c r="S395" i="3"/>
  <c r="S396" i="3"/>
  <c r="S397" i="3"/>
  <c r="S398" i="3"/>
  <c r="S399" i="3"/>
  <c r="S400" i="3"/>
  <c r="S401" i="3"/>
  <c r="S402" i="3"/>
  <c r="S403" i="3"/>
  <c r="S404" i="3"/>
  <c r="S405" i="3"/>
  <c r="S406" i="3"/>
  <c r="S407" i="3"/>
  <c r="S408" i="3"/>
  <c r="S409" i="3"/>
  <c r="S410" i="3"/>
  <c r="S411" i="3"/>
  <c r="S412" i="3"/>
  <c r="S413" i="3"/>
  <c r="S414" i="3"/>
  <c r="S415" i="3"/>
  <c r="S416" i="3"/>
  <c r="S417" i="3"/>
  <c r="G15" i="53"/>
  <c r="A69" i="136"/>
  <c r="A81" i="136" s="1"/>
  <c r="A93" i="136" s="1"/>
  <c r="A105" i="136" s="1"/>
  <c r="A117" i="136" s="1"/>
  <c r="A129" i="136" s="1"/>
  <c r="A141" i="136" s="1"/>
  <c r="A153" i="136" s="1"/>
  <c r="A165" i="136" s="1"/>
  <c r="A177" i="136" s="1"/>
  <c r="A189" i="136" s="1"/>
  <c r="A201" i="136" s="1"/>
  <c r="A213" i="136" s="1"/>
  <c r="A225" i="136" s="1"/>
  <c r="A237" i="136" s="1"/>
  <c r="A249" i="136" s="1"/>
  <c r="A261" i="136" s="1"/>
  <c r="A273" i="136" s="1"/>
  <c r="A285" i="136" s="1"/>
  <c r="A297" i="136" s="1"/>
  <c r="A309" i="136" s="1"/>
  <c r="A321" i="136" s="1"/>
  <c r="A333" i="136" s="1"/>
  <c r="A68" i="136"/>
  <c r="A80" i="136" s="1"/>
  <c r="A92" i="136" s="1"/>
  <c r="A104" i="136" s="1"/>
  <c r="A116" i="136" s="1"/>
  <c r="A128" i="136" s="1"/>
  <c r="A140" i="136" s="1"/>
  <c r="A152" i="136" s="1"/>
  <c r="A164" i="136" s="1"/>
  <c r="A176" i="136" s="1"/>
  <c r="A188" i="136" s="1"/>
  <c r="A200" i="136" s="1"/>
  <c r="A212" i="136" s="1"/>
  <c r="A224" i="136" s="1"/>
  <c r="A236" i="136" s="1"/>
  <c r="A248" i="136" s="1"/>
  <c r="A260" i="136" s="1"/>
  <c r="A272" i="136" s="1"/>
  <c r="A284" i="136" s="1"/>
  <c r="A296" i="136" s="1"/>
  <c r="A308" i="136" s="1"/>
  <c r="A320" i="136" s="1"/>
  <c r="A332" i="136" s="1"/>
  <c r="A67" i="136"/>
  <c r="A79" i="136" s="1"/>
  <c r="A91" i="136" s="1"/>
  <c r="A103" i="136" s="1"/>
  <c r="A115" i="136" s="1"/>
  <c r="A127" i="136" s="1"/>
  <c r="A139" i="136" s="1"/>
  <c r="A151" i="136" s="1"/>
  <c r="A163" i="136" s="1"/>
  <c r="A175" i="136" s="1"/>
  <c r="A187" i="136" s="1"/>
  <c r="A199" i="136" s="1"/>
  <c r="A211" i="136" s="1"/>
  <c r="A223" i="136" s="1"/>
  <c r="A235" i="136" s="1"/>
  <c r="A247" i="136" s="1"/>
  <c r="A259" i="136" s="1"/>
  <c r="A271" i="136" s="1"/>
  <c r="A283" i="136" s="1"/>
  <c r="A295" i="136" s="1"/>
  <c r="A307" i="136" s="1"/>
  <c r="A319" i="136" s="1"/>
  <c r="A331" i="136" s="1"/>
  <c r="A66" i="136"/>
  <c r="A78" i="136" s="1"/>
  <c r="A90" i="136" s="1"/>
  <c r="A102" i="136" s="1"/>
  <c r="A114" i="136" s="1"/>
  <c r="A126" i="136" s="1"/>
  <c r="A138" i="136" s="1"/>
  <c r="A150" i="136" s="1"/>
  <c r="A162" i="136" s="1"/>
  <c r="A174" i="136" s="1"/>
  <c r="A186" i="136" s="1"/>
  <c r="A198" i="136" s="1"/>
  <c r="A210" i="136" s="1"/>
  <c r="A222" i="136" s="1"/>
  <c r="A234" i="136" s="1"/>
  <c r="A246" i="136" s="1"/>
  <c r="A258" i="136" s="1"/>
  <c r="A270" i="136" s="1"/>
  <c r="A282" i="136" s="1"/>
  <c r="A294" i="136" s="1"/>
  <c r="A306" i="136" s="1"/>
  <c r="A318" i="136" s="1"/>
  <c r="A330" i="136" s="1"/>
  <c r="A65" i="136"/>
  <c r="A77" i="136" s="1"/>
  <c r="A89" i="136" s="1"/>
  <c r="A101" i="136" s="1"/>
  <c r="A113" i="136" s="1"/>
  <c r="A125" i="136" s="1"/>
  <c r="A137" i="136" s="1"/>
  <c r="A149" i="136" s="1"/>
  <c r="A161" i="136" s="1"/>
  <c r="A173" i="136" s="1"/>
  <c r="A185" i="136" s="1"/>
  <c r="A197" i="136" s="1"/>
  <c r="A209" i="136" s="1"/>
  <c r="A221" i="136" s="1"/>
  <c r="A233" i="136" s="1"/>
  <c r="A245" i="136" s="1"/>
  <c r="A257" i="136" s="1"/>
  <c r="A269" i="136" s="1"/>
  <c r="A281" i="136" s="1"/>
  <c r="A293" i="136" s="1"/>
  <c r="A305" i="136" s="1"/>
  <c r="A317" i="136" s="1"/>
  <c r="A329" i="136" s="1"/>
  <c r="A64" i="136"/>
  <c r="A76" i="136" s="1"/>
  <c r="A88" i="136" s="1"/>
  <c r="A100" i="136" s="1"/>
  <c r="A112" i="136" s="1"/>
  <c r="A124" i="136" s="1"/>
  <c r="A136" i="136" s="1"/>
  <c r="A148" i="136" s="1"/>
  <c r="A160" i="136" s="1"/>
  <c r="A172" i="136" s="1"/>
  <c r="A184" i="136" s="1"/>
  <c r="A196" i="136" s="1"/>
  <c r="A208" i="136" s="1"/>
  <c r="A220" i="136" s="1"/>
  <c r="A232" i="136" s="1"/>
  <c r="A244" i="136" s="1"/>
  <c r="A256" i="136" s="1"/>
  <c r="A268" i="136" s="1"/>
  <c r="A280" i="136" s="1"/>
  <c r="A292" i="136" s="1"/>
  <c r="A304" i="136" s="1"/>
  <c r="A316" i="136" s="1"/>
  <c r="A328" i="136" s="1"/>
  <c r="A63" i="136"/>
  <c r="A75" i="136" s="1"/>
  <c r="A87" i="136" s="1"/>
  <c r="A99" i="136" s="1"/>
  <c r="A111" i="136" s="1"/>
  <c r="A123" i="136" s="1"/>
  <c r="A135" i="136" s="1"/>
  <c r="A147" i="136" s="1"/>
  <c r="A159" i="136" s="1"/>
  <c r="A171" i="136" s="1"/>
  <c r="A183" i="136" s="1"/>
  <c r="A195" i="136" s="1"/>
  <c r="A207" i="136" s="1"/>
  <c r="A219" i="136" s="1"/>
  <c r="A231" i="136" s="1"/>
  <c r="A243" i="136" s="1"/>
  <c r="A255" i="136" s="1"/>
  <c r="A267" i="136" s="1"/>
  <c r="A279" i="136" s="1"/>
  <c r="A291" i="136" s="1"/>
  <c r="A303" i="136" s="1"/>
  <c r="A315" i="136" s="1"/>
  <c r="A327" i="136" s="1"/>
  <c r="A62" i="136"/>
  <c r="A74" i="136" s="1"/>
  <c r="A86" i="136" s="1"/>
  <c r="A98" i="136" s="1"/>
  <c r="A110" i="136" s="1"/>
  <c r="A122" i="136" s="1"/>
  <c r="A134" i="136" s="1"/>
  <c r="A146" i="136" s="1"/>
  <c r="A158" i="136" s="1"/>
  <c r="A170" i="136" s="1"/>
  <c r="A182" i="136" s="1"/>
  <c r="A194" i="136" s="1"/>
  <c r="A206" i="136" s="1"/>
  <c r="A218" i="136" s="1"/>
  <c r="A230" i="136" s="1"/>
  <c r="A242" i="136" s="1"/>
  <c r="A254" i="136" s="1"/>
  <c r="A266" i="136" s="1"/>
  <c r="A278" i="136" s="1"/>
  <c r="A290" i="136" s="1"/>
  <c r="A302" i="136" s="1"/>
  <c r="A314" i="136" s="1"/>
  <c r="A326" i="136" s="1"/>
  <c r="A61" i="136"/>
  <c r="A73" i="136" s="1"/>
  <c r="A85" i="136" s="1"/>
  <c r="A97" i="136" s="1"/>
  <c r="A109" i="136" s="1"/>
  <c r="A121" i="136" s="1"/>
  <c r="A133" i="136" s="1"/>
  <c r="A145" i="136" s="1"/>
  <c r="A157" i="136" s="1"/>
  <c r="A169" i="136" s="1"/>
  <c r="A181" i="136" s="1"/>
  <c r="A193" i="136" s="1"/>
  <c r="A205" i="136" s="1"/>
  <c r="A217" i="136" s="1"/>
  <c r="A229" i="136" s="1"/>
  <c r="A241" i="136" s="1"/>
  <c r="A253" i="136" s="1"/>
  <c r="A265" i="136" s="1"/>
  <c r="A277" i="136" s="1"/>
  <c r="A289" i="136" s="1"/>
  <c r="A301" i="136" s="1"/>
  <c r="A313" i="136" s="1"/>
  <c r="A325" i="136" s="1"/>
  <c r="A60" i="136"/>
  <c r="A72" i="136" s="1"/>
  <c r="A84" i="136" s="1"/>
  <c r="A96" i="136" s="1"/>
  <c r="A108" i="136" s="1"/>
  <c r="A120" i="136" s="1"/>
  <c r="A132" i="136" s="1"/>
  <c r="A144" i="136" s="1"/>
  <c r="A156" i="136" s="1"/>
  <c r="A168" i="136" s="1"/>
  <c r="A180" i="136" s="1"/>
  <c r="A192" i="136" s="1"/>
  <c r="A204" i="136" s="1"/>
  <c r="A216" i="136" s="1"/>
  <c r="A228" i="136" s="1"/>
  <c r="A240" i="136" s="1"/>
  <c r="A252" i="136" s="1"/>
  <c r="A264" i="136" s="1"/>
  <c r="A276" i="136" s="1"/>
  <c r="A288" i="136" s="1"/>
  <c r="A300" i="136" s="1"/>
  <c r="A312" i="136" s="1"/>
  <c r="A324" i="136" s="1"/>
  <c r="A59" i="136"/>
  <c r="A71" i="136" s="1"/>
  <c r="A83" i="136" s="1"/>
  <c r="A95" i="136" s="1"/>
  <c r="A107" i="136" s="1"/>
  <c r="A119" i="136" s="1"/>
  <c r="A131" i="136" s="1"/>
  <c r="A143" i="136" s="1"/>
  <c r="A155" i="136" s="1"/>
  <c r="A167" i="136" s="1"/>
  <c r="A179" i="136" s="1"/>
  <c r="A191" i="136" s="1"/>
  <c r="A203" i="136" s="1"/>
  <c r="A215" i="136" s="1"/>
  <c r="A227" i="136" s="1"/>
  <c r="A239" i="136" s="1"/>
  <c r="A251" i="136" s="1"/>
  <c r="A263" i="136" s="1"/>
  <c r="A275" i="136" s="1"/>
  <c r="A287" i="136" s="1"/>
  <c r="A299" i="136" s="1"/>
  <c r="A311" i="136" s="1"/>
  <c r="A323" i="136" s="1"/>
  <c r="A58" i="136"/>
  <c r="A70" i="136" s="1"/>
  <c r="A82" i="136" s="1"/>
  <c r="A94" i="136" s="1"/>
  <c r="A106" i="136" s="1"/>
  <c r="A118" i="136" s="1"/>
  <c r="A130" i="136" s="1"/>
  <c r="A142" i="136" s="1"/>
  <c r="A154" i="136" s="1"/>
  <c r="A166" i="136" s="1"/>
  <c r="A178" i="136" s="1"/>
  <c r="A190" i="136" s="1"/>
  <c r="A202" i="136" s="1"/>
  <c r="A214" i="136" s="1"/>
  <c r="A226" i="136" s="1"/>
  <c r="A238" i="136" s="1"/>
  <c r="A250" i="136" s="1"/>
  <c r="A262" i="136" s="1"/>
  <c r="A274" i="136" s="1"/>
  <c r="A286" i="136" s="1"/>
  <c r="A298" i="136" s="1"/>
  <c r="A310" i="136" s="1"/>
  <c r="A322" i="136" s="1"/>
  <c r="S19" i="3" l="1"/>
  <c r="G31" i="53"/>
  <c r="G30" i="53"/>
  <c r="B78" i="134" l="1"/>
  <c r="L78" i="134" s="1"/>
  <c r="B80" i="134"/>
  <c r="C78" i="134"/>
  <c r="M78" i="134" s="1"/>
  <c r="C80" i="134"/>
  <c r="D78" i="134"/>
  <c r="D80" i="134"/>
  <c r="E78" i="134"/>
  <c r="O78" i="134" s="1"/>
  <c r="F78" i="134"/>
  <c r="E80" i="134"/>
  <c r="F80" i="134"/>
  <c r="B3" i="95"/>
  <c r="M58" i="141" l="1"/>
  <c r="N78" i="134"/>
  <c r="M56" i="141"/>
  <c r="E79" i="134"/>
  <c r="B79" i="134"/>
  <c r="F79" i="134"/>
  <c r="C79" i="134"/>
  <c r="D79" i="134"/>
  <c r="T10" i="95"/>
  <c r="T11" i="95"/>
  <c r="T12" i="95"/>
  <c r="T13" i="95"/>
  <c r="T14" i="95"/>
  <c r="T15" i="95"/>
  <c r="T16" i="95"/>
  <c r="T17" i="95"/>
  <c r="T18" i="95"/>
  <c r="T19" i="95"/>
  <c r="T20" i="95"/>
  <c r="T21" i="95"/>
  <c r="Q10" i="95"/>
  <c r="Q11" i="95"/>
  <c r="Q12" i="95"/>
  <c r="Q13" i="95"/>
  <c r="Q14" i="95"/>
  <c r="Q15" i="95"/>
  <c r="Q16" i="95"/>
  <c r="Q17" i="95"/>
  <c r="Q18" i="95"/>
  <c r="Q19" i="95"/>
  <c r="Q20" i="95"/>
  <c r="Q21" i="95"/>
  <c r="N10" i="95"/>
  <c r="N11" i="95"/>
  <c r="N12" i="95"/>
  <c r="N13" i="95"/>
  <c r="N14" i="95"/>
  <c r="N15" i="95"/>
  <c r="N16" i="95"/>
  <c r="N17" i="95"/>
  <c r="N18" i="95"/>
  <c r="N19" i="95"/>
  <c r="N20" i="95"/>
  <c r="N21" i="95"/>
  <c r="M57" i="141" l="1"/>
  <c r="P139" i="135"/>
  <c r="O139" i="135"/>
  <c r="N139" i="135"/>
  <c r="P138" i="135"/>
  <c r="O138" i="135"/>
  <c r="N138" i="135"/>
  <c r="P137" i="135"/>
  <c r="O137" i="135"/>
  <c r="N137" i="135"/>
  <c r="P136" i="135"/>
  <c r="O136" i="135"/>
  <c r="N136" i="135"/>
  <c r="P135" i="135"/>
  <c r="O135" i="135"/>
  <c r="N135" i="135"/>
  <c r="P134" i="135"/>
  <c r="O134" i="135"/>
  <c r="N134" i="135"/>
  <c r="P133" i="135"/>
  <c r="O133" i="135"/>
  <c r="N133" i="135"/>
  <c r="P132" i="135"/>
  <c r="O132" i="135"/>
  <c r="N132" i="135"/>
  <c r="P131" i="135"/>
  <c r="O131" i="135"/>
  <c r="N131" i="135"/>
  <c r="P130" i="135"/>
  <c r="O130" i="135"/>
  <c r="N130" i="135"/>
  <c r="P129" i="135"/>
  <c r="O129" i="135"/>
  <c r="N129" i="135"/>
  <c r="P128" i="135"/>
  <c r="O128" i="135"/>
  <c r="N128" i="135"/>
  <c r="P127" i="135"/>
  <c r="O127" i="135"/>
  <c r="N127" i="135"/>
  <c r="P126" i="135"/>
  <c r="O126" i="135"/>
  <c r="N126" i="135"/>
  <c r="P125" i="135"/>
  <c r="O125" i="135"/>
  <c r="N125" i="135"/>
  <c r="P124" i="135"/>
  <c r="O124" i="135"/>
  <c r="N124" i="135"/>
  <c r="P123" i="135"/>
  <c r="O123" i="135"/>
  <c r="N123" i="135"/>
  <c r="P122" i="135"/>
  <c r="O122" i="135"/>
  <c r="N122" i="135"/>
  <c r="P121" i="135"/>
  <c r="O121" i="135"/>
  <c r="N121" i="135"/>
  <c r="P120" i="135"/>
  <c r="O120" i="135"/>
  <c r="N120" i="135"/>
  <c r="P119" i="135"/>
  <c r="O119" i="135"/>
  <c r="N119" i="135"/>
  <c r="P118" i="135"/>
  <c r="O118" i="135"/>
  <c r="N118" i="135"/>
  <c r="P117" i="135"/>
  <c r="O117" i="135"/>
  <c r="N117" i="135"/>
  <c r="P116" i="135"/>
  <c r="O116" i="135"/>
  <c r="N116" i="135"/>
  <c r="P115" i="135"/>
  <c r="O115" i="135"/>
  <c r="N115" i="135"/>
  <c r="P114" i="135"/>
  <c r="O114" i="135"/>
  <c r="N114" i="135"/>
  <c r="P113" i="135"/>
  <c r="O113" i="135"/>
  <c r="N113" i="135"/>
  <c r="P83" i="135"/>
  <c r="O83" i="135"/>
  <c r="N83" i="135"/>
  <c r="P82" i="135"/>
  <c r="O82" i="135"/>
  <c r="N82" i="135"/>
  <c r="P81" i="135"/>
  <c r="O81" i="135"/>
  <c r="N81" i="135"/>
  <c r="P46" i="135"/>
  <c r="O46" i="135"/>
  <c r="N46" i="135"/>
  <c r="P10" i="135"/>
  <c r="P29" i="135"/>
  <c r="P28" i="135"/>
  <c r="P27" i="135"/>
  <c r="P26" i="135"/>
  <c r="P25" i="135"/>
  <c r="P24" i="135"/>
  <c r="P23" i="135"/>
  <c r="P22" i="135"/>
  <c r="P21" i="135"/>
  <c r="P20" i="135"/>
  <c r="P19" i="135"/>
  <c r="P18" i="135"/>
  <c r="P17" i="135"/>
  <c r="P16" i="135"/>
  <c r="P15" i="135"/>
  <c r="P14" i="135"/>
  <c r="P13" i="135"/>
  <c r="P12" i="135"/>
  <c r="P11" i="135"/>
  <c r="O29" i="135"/>
  <c r="O28" i="135"/>
  <c r="O27" i="135"/>
  <c r="O26" i="135"/>
  <c r="O25" i="135"/>
  <c r="O24" i="135"/>
  <c r="O23" i="135"/>
  <c r="O22" i="135"/>
  <c r="O21" i="135"/>
  <c r="O20" i="135"/>
  <c r="O19" i="135"/>
  <c r="O18" i="135"/>
  <c r="O17" i="135"/>
  <c r="O16" i="135"/>
  <c r="O15" i="135"/>
  <c r="O14" i="135"/>
  <c r="O13" i="135"/>
  <c r="O12" i="135"/>
  <c r="O11" i="135"/>
  <c r="O10" i="135"/>
  <c r="N11" i="135"/>
  <c r="N29" i="135"/>
  <c r="N28" i="135"/>
  <c r="N27" i="135"/>
  <c r="N26" i="135"/>
  <c r="N25" i="135"/>
  <c r="N24" i="135"/>
  <c r="N23" i="135"/>
  <c r="N22" i="135"/>
  <c r="N21" i="135"/>
  <c r="N20" i="135"/>
  <c r="N19" i="135"/>
  <c r="N18" i="135"/>
  <c r="N17" i="135"/>
  <c r="N16" i="135"/>
  <c r="N15" i="135"/>
  <c r="N14" i="135"/>
  <c r="N13" i="135"/>
  <c r="N12" i="135"/>
  <c r="N10" i="135"/>
  <c r="T69" i="95" l="1"/>
  <c r="Q69" i="95"/>
  <c r="N69" i="95"/>
  <c r="T68" i="95"/>
  <c r="Q68" i="95"/>
  <c r="N68" i="95"/>
  <c r="T67" i="95"/>
  <c r="Q67" i="95"/>
  <c r="N67" i="95"/>
  <c r="T66" i="95"/>
  <c r="Q66" i="95"/>
  <c r="N66" i="95"/>
  <c r="T65" i="95"/>
  <c r="Q65" i="95"/>
  <c r="N65" i="95"/>
  <c r="T64" i="95"/>
  <c r="Q64" i="95"/>
  <c r="N64" i="95"/>
  <c r="T63" i="95"/>
  <c r="Q63" i="95"/>
  <c r="N63" i="95"/>
  <c r="T62" i="95"/>
  <c r="Q62" i="95"/>
  <c r="N62" i="95"/>
  <c r="T61" i="95"/>
  <c r="Q61" i="95"/>
  <c r="N61" i="95"/>
  <c r="T60" i="95"/>
  <c r="Q60" i="95"/>
  <c r="N60" i="95"/>
  <c r="T59" i="95"/>
  <c r="Q59" i="95"/>
  <c r="N59" i="95"/>
  <c r="T58" i="95"/>
  <c r="Q58" i="95"/>
  <c r="N58" i="95"/>
  <c r="T57" i="95"/>
  <c r="Q57" i="95"/>
  <c r="N57" i="95"/>
  <c r="T56" i="95"/>
  <c r="Q56" i="95"/>
  <c r="N56" i="95"/>
  <c r="T55" i="95"/>
  <c r="Q55" i="95"/>
  <c r="N55" i="95"/>
  <c r="T54" i="95"/>
  <c r="Q54" i="95"/>
  <c r="N54" i="95"/>
  <c r="T53" i="95"/>
  <c r="Q53" i="95"/>
  <c r="N53" i="95"/>
  <c r="T52" i="95"/>
  <c r="Q52" i="95"/>
  <c r="N52" i="95"/>
  <c r="T51" i="95"/>
  <c r="Q51" i="95"/>
  <c r="N51" i="95"/>
  <c r="T50" i="95"/>
  <c r="Q50" i="95"/>
  <c r="N50" i="95"/>
  <c r="T49" i="95"/>
  <c r="Q49" i="95"/>
  <c r="N49" i="95"/>
  <c r="T48" i="95"/>
  <c r="Q48" i="95"/>
  <c r="N48" i="95"/>
  <c r="T47" i="95"/>
  <c r="Q47" i="95"/>
  <c r="N47" i="95"/>
  <c r="T46" i="95"/>
  <c r="Q46" i="95"/>
  <c r="N46" i="95"/>
  <c r="T45" i="95"/>
  <c r="Q45" i="95"/>
  <c r="N45" i="95"/>
  <c r="T44" i="95"/>
  <c r="Q44" i="95"/>
  <c r="N44" i="95"/>
  <c r="T43" i="95"/>
  <c r="Q43" i="95"/>
  <c r="N43" i="95"/>
  <c r="T42" i="95"/>
  <c r="Q42" i="95"/>
  <c r="N42" i="95"/>
  <c r="T41" i="95"/>
  <c r="Q41" i="95"/>
  <c r="N41" i="95"/>
  <c r="T40" i="95"/>
  <c r="T39" i="95"/>
  <c r="T38" i="95"/>
  <c r="Q38" i="95"/>
  <c r="N38" i="95"/>
  <c r="T37" i="95"/>
  <c r="Q37" i="95"/>
  <c r="N37" i="95"/>
  <c r="T36" i="95"/>
  <c r="Q36" i="95"/>
  <c r="N36" i="95"/>
  <c r="T35" i="95"/>
  <c r="Q35" i="95"/>
  <c r="N35" i="95"/>
  <c r="T34" i="95"/>
  <c r="Q34" i="95"/>
  <c r="N34" i="95"/>
  <c r="T33" i="95"/>
  <c r="Q33" i="95"/>
  <c r="N33" i="95"/>
  <c r="T32" i="95"/>
  <c r="Q32" i="95"/>
  <c r="N32" i="95"/>
  <c r="T31" i="95"/>
  <c r="Q31" i="95"/>
  <c r="N31" i="95"/>
  <c r="T30" i="95"/>
  <c r="Q30" i="95"/>
  <c r="N30" i="95"/>
  <c r="T29" i="95"/>
  <c r="Q29" i="95"/>
  <c r="N29" i="95"/>
  <c r="T28" i="95"/>
  <c r="Q28" i="95"/>
  <c r="N28" i="95"/>
  <c r="T27" i="95"/>
  <c r="Q27" i="95"/>
  <c r="N27" i="95"/>
  <c r="T26" i="95"/>
  <c r="Q26" i="95"/>
  <c r="N26" i="95"/>
  <c r="T25" i="95"/>
  <c r="Q25" i="95"/>
  <c r="N25" i="95"/>
  <c r="T24" i="95"/>
  <c r="Q24" i="95"/>
  <c r="N24" i="95"/>
  <c r="T23" i="95"/>
  <c r="Q23" i="95"/>
  <c r="N23" i="95"/>
  <c r="T22" i="95"/>
  <c r="Q22" i="95"/>
  <c r="N22" i="95"/>
  <c r="O80" i="135"/>
  <c r="R80" i="135"/>
  <c r="Q80" i="135"/>
  <c r="L80" i="135"/>
  <c r="K80" i="135"/>
  <c r="J80" i="135"/>
  <c r="I80" i="135"/>
  <c r="H80" i="135"/>
  <c r="F80" i="135"/>
  <c r="E80" i="135"/>
  <c r="D80" i="135"/>
  <c r="C80" i="135"/>
  <c r="B80" i="135"/>
  <c r="R79" i="135"/>
  <c r="Q79" i="135"/>
  <c r="P79" i="135"/>
  <c r="O79" i="135"/>
  <c r="N79" i="135"/>
  <c r="L79" i="135"/>
  <c r="K79" i="135"/>
  <c r="M79" i="135" s="1"/>
  <c r="J79" i="135"/>
  <c r="I79" i="135"/>
  <c r="H79" i="135"/>
  <c r="F79" i="135"/>
  <c r="E79" i="135"/>
  <c r="D79" i="135"/>
  <c r="C79" i="135"/>
  <c r="B79" i="135"/>
  <c r="M31" i="135"/>
  <c r="S30" i="135"/>
  <c r="M30" i="135"/>
  <c r="S29" i="135"/>
  <c r="J29" i="135"/>
  <c r="I29" i="135"/>
  <c r="H29" i="135"/>
  <c r="G29" i="135"/>
  <c r="S28" i="135"/>
  <c r="J28" i="135"/>
  <c r="I28" i="135"/>
  <c r="H28" i="135"/>
  <c r="G28" i="135"/>
  <c r="U80" i="134"/>
  <c r="T80" i="134"/>
  <c r="S80" i="134"/>
  <c r="R80" i="134"/>
  <c r="Q80" i="134"/>
  <c r="K80" i="134"/>
  <c r="J80" i="134"/>
  <c r="O80" i="134" s="1"/>
  <c r="I80" i="134"/>
  <c r="H80" i="134"/>
  <c r="M80" i="134" s="1"/>
  <c r="G80" i="134"/>
  <c r="J79" i="134"/>
  <c r="O79" i="134" s="1"/>
  <c r="I79" i="134"/>
  <c r="H79" i="134"/>
  <c r="M79" i="134" s="1"/>
  <c r="G79" i="134"/>
  <c r="U78" i="134"/>
  <c r="T78" i="134"/>
  <c r="S78" i="134"/>
  <c r="R78" i="134"/>
  <c r="Q78" i="134"/>
  <c r="K78" i="134"/>
  <c r="P31" i="134"/>
  <c r="P30" i="134"/>
  <c r="O11" i="134"/>
  <c r="N11" i="134"/>
  <c r="M11" i="134"/>
  <c r="L11" i="134"/>
  <c r="O10" i="134"/>
  <c r="N10" i="134"/>
  <c r="M10" i="134"/>
  <c r="L10" i="134"/>
  <c r="I378" i="38"/>
  <c r="N361" i="24"/>
  <c r="S79" i="135" l="1"/>
  <c r="M80" i="135"/>
  <c r="S80" i="135"/>
  <c r="N39" i="95"/>
  <c r="L79" i="134"/>
  <c r="G79" i="135"/>
  <c r="G80" i="135"/>
  <c r="N80" i="134"/>
  <c r="N79" i="134"/>
  <c r="N40" i="95"/>
  <c r="L80" i="134"/>
  <c r="Q79" i="134"/>
  <c r="K79" i="134"/>
  <c r="R79" i="134"/>
  <c r="T79" i="134"/>
  <c r="U79" i="134"/>
  <c r="Q39" i="95"/>
  <c r="Q40" i="95"/>
  <c r="S79" i="134"/>
  <c r="N80" i="135"/>
  <c r="P80" i="135"/>
  <c r="R10" i="95" l="1"/>
  <c r="R23" i="95"/>
  <c r="R22" i="95"/>
  <c r="R21" i="95"/>
  <c r="R20" i="95"/>
  <c r="R19" i="95"/>
  <c r="R18" i="95"/>
  <c r="R17" i="95"/>
  <c r="R16" i="95"/>
  <c r="R15" i="95"/>
  <c r="R14" i="95"/>
  <c r="R13" i="95"/>
  <c r="R12" i="95"/>
  <c r="R11" i="95"/>
  <c r="S23" i="95"/>
  <c r="P23" i="95"/>
  <c r="O23" i="95"/>
  <c r="V42" i="95"/>
  <c r="U42" i="95"/>
  <c r="S42" i="95"/>
  <c r="R42" i="95"/>
  <c r="P42" i="95"/>
  <c r="O42" i="95"/>
  <c r="O54" i="95"/>
  <c r="O41" i="95"/>
  <c r="O10" i="95"/>
  <c r="I377" i="38" l="1"/>
  <c r="Z147" i="106" l="1"/>
  <c r="Z148" i="106"/>
  <c r="Z149" i="106"/>
  <c r="Z150" i="106"/>
  <c r="Z151" i="106"/>
  <c r="E375" i="64" l="1"/>
  <c r="D400" i="30"/>
  <c r="I158" i="121" l="1"/>
  <c r="G75" i="53" l="1"/>
  <c r="N250" i="24"/>
  <c r="N453" i="24" l="1"/>
  <c r="N452" i="24"/>
  <c r="N451" i="24"/>
  <c r="N450" i="24"/>
  <c r="N449" i="24"/>
  <c r="N448" i="24"/>
  <c r="N447" i="24"/>
  <c r="N446" i="24"/>
  <c r="N445" i="24"/>
  <c r="N444" i="24"/>
  <c r="N443" i="24"/>
  <c r="N442" i="24"/>
  <c r="N441" i="24"/>
  <c r="N440" i="24"/>
  <c r="N439" i="24"/>
  <c r="N438" i="24"/>
  <c r="N437" i="24"/>
  <c r="N436" i="24"/>
  <c r="N435" i="24"/>
  <c r="N434" i="24"/>
  <c r="N433" i="24"/>
  <c r="N432" i="24"/>
  <c r="N431" i="24"/>
  <c r="N430" i="24"/>
  <c r="N429" i="24"/>
  <c r="N428" i="24"/>
  <c r="N427" i="24"/>
  <c r="N426" i="24"/>
  <c r="N425" i="24"/>
  <c r="N424" i="24"/>
  <c r="N423" i="24"/>
  <c r="N422" i="24"/>
  <c r="N421" i="24"/>
  <c r="N420" i="24"/>
  <c r="N419" i="24"/>
  <c r="N418" i="24"/>
  <c r="N417" i="24"/>
  <c r="N416" i="24"/>
  <c r="N415" i="24"/>
  <c r="N414" i="24"/>
  <c r="N413" i="24"/>
  <c r="N412" i="24"/>
  <c r="N411" i="24"/>
  <c r="N410" i="24"/>
  <c r="N409" i="24"/>
  <c r="N408" i="24"/>
  <c r="N407" i="24"/>
  <c r="N406" i="24"/>
  <c r="N405" i="24"/>
  <c r="N404" i="24"/>
  <c r="N403" i="24"/>
  <c r="N402" i="24"/>
  <c r="N401" i="24"/>
  <c r="N400" i="24"/>
  <c r="N399" i="24"/>
  <c r="N398" i="24"/>
  <c r="N397" i="24"/>
  <c r="N396" i="24"/>
  <c r="N395" i="24"/>
  <c r="N394" i="24"/>
  <c r="N393" i="24"/>
  <c r="N392" i="24"/>
  <c r="N391" i="24"/>
  <c r="N388" i="24"/>
  <c r="N387" i="24"/>
  <c r="N386" i="24"/>
  <c r="N385" i="24"/>
  <c r="N384" i="24"/>
  <c r="N383" i="24"/>
  <c r="N382" i="24"/>
  <c r="N381" i="24"/>
  <c r="N380" i="24"/>
  <c r="N379" i="24"/>
  <c r="N378" i="24"/>
  <c r="N377" i="24"/>
  <c r="N376" i="24"/>
  <c r="N374" i="24"/>
  <c r="N373" i="24"/>
  <c r="N372" i="24"/>
  <c r="N371" i="24"/>
  <c r="N370" i="24"/>
  <c r="N369" i="24"/>
  <c r="N368" i="24"/>
  <c r="N367" i="24"/>
  <c r="N366" i="24"/>
  <c r="N365" i="24"/>
  <c r="N364" i="24"/>
  <c r="N363" i="24"/>
  <c r="N362" i="24"/>
  <c r="N360" i="24"/>
  <c r="N359" i="24"/>
  <c r="N358" i="24"/>
  <c r="N357" i="24"/>
  <c r="N356" i="24"/>
  <c r="N355" i="24"/>
  <c r="N354" i="24"/>
  <c r="N353" i="24"/>
  <c r="N352" i="24"/>
  <c r="N351" i="24"/>
  <c r="N350" i="24"/>
  <c r="N349" i="24"/>
  <c r="N348" i="24"/>
  <c r="N347" i="24"/>
  <c r="N346" i="24"/>
  <c r="N345" i="24"/>
  <c r="N344" i="24"/>
  <c r="N343" i="24"/>
  <c r="N342" i="24"/>
  <c r="N341" i="24"/>
  <c r="N340" i="24"/>
  <c r="N339" i="24"/>
  <c r="N338" i="24"/>
  <c r="N337" i="24"/>
  <c r="N336" i="24"/>
  <c r="N335" i="24"/>
  <c r="N334" i="24"/>
  <c r="N333" i="24"/>
  <c r="N332" i="24"/>
  <c r="N331" i="24"/>
  <c r="N330" i="24"/>
  <c r="N329" i="24"/>
  <c r="N328" i="24"/>
  <c r="N327" i="24"/>
  <c r="N326" i="24"/>
  <c r="N325" i="24"/>
  <c r="N324" i="24"/>
  <c r="N323" i="24"/>
  <c r="N322" i="24"/>
  <c r="N321" i="24"/>
  <c r="N320" i="24"/>
  <c r="N319" i="24"/>
  <c r="N318" i="24"/>
  <c r="N317" i="24"/>
  <c r="N316" i="24"/>
  <c r="N315" i="24"/>
  <c r="N314" i="24"/>
  <c r="N313" i="24"/>
  <c r="N312" i="24"/>
  <c r="N311" i="24"/>
  <c r="N310" i="24"/>
  <c r="N309" i="24"/>
  <c r="N308" i="24"/>
  <c r="N307" i="24"/>
  <c r="N306" i="24"/>
  <c r="N305" i="24"/>
  <c r="N304" i="24"/>
  <c r="N303" i="24"/>
  <c r="N302" i="24"/>
  <c r="N301" i="24"/>
  <c r="N300" i="24"/>
  <c r="N299" i="24"/>
  <c r="N298" i="24"/>
  <c r="N297" i="24"/>
  <c r="N296" i="24"/>
  <c r="N295" i="24"/>
  <c r="N294" i="24"/>
  <c r="N293" i="24"/>
  <c r="N292" i="24"/>
  <c r="N291" i="24"/>
  <c r="N290" i="24"/>
  <c r="N289" i="24"/>
  <c r="N288" i="24"/>
  <c r="N287" i="24"/>
  <c r="N286" i="24"/>
  <c r="N285" i="24"/>
  <c r="N284" i="24"/>
  <c r="N283" i="24"/>
  <c r="N282" i="24"/>
  <c r="N281" i="24"/>
  <c r="N280" i="24"/>
  <c r="N279" i="24"/>
  <c r="N278" i="24"/>
  <c r="N277" i="24"/>
  <c r="N276" i="24"/>
  <c r="N275" i="24"/>
  <c r="N274" i="24"/>
  <c r="N273" i="24"/>
  <c r="N272" i="24"/>
  <c r="N271" i="24"/>
  <c r="N270" i="24"/>
  <c r="N269" i="24"/>
  <c r="N268" i="24"/>
  <c r="N267" i="24"/>
  <c r="N266" i="24"/>
  <c r="N265" i="24"/>
  <c r="N264" i="24"/>
  <c r="N263" i="24"/>
  <c r="N262" i="24"/>
  <c r="N261" i="24"/>
  <c r="N260" i="24"/>
  <c r="N259" i="24"/>
  <c r="N258" i="24"/>
  <c r="N257" i="24"/>
  <c r="N256" i="24"/>
  <c r="N255" i="24"/>
  <c r="N254" i="24"/>
  <c r="N253" i="24"/>
  <c r="N252" i="24"/>
  <c r="N251" i="24"/>
  <c r="A201" i="24"/>
  <c r="A213" i="24" s="1"/>
  <c r="A225" i="24" s="1"/>
  <c r="A237" i="24" s="1"/>
  <c r="A249" i="24" s="1"/>
  <c r="A261" i="24" s="1"/>
  <c r="A273" i="24" s="1"/>
  <c r="A285" i="24" s="1"/>
  <c r="A297" i="24" s="1"/>
  <c r="A309" i="24" s="1"/>
  <c r="A321" i="24" s="1"/>
  <c r="A333" i="24" s="1"/>
  <c r="A345" i="24" s="1"/>
  <c r="A357" i="24" s="1"/>
  <c r="A369" i="24" s="1"/>
  <c r="A381" i="24" s="1"/>
  <c r="A393" i="24" s="1"/>
  <c r="A405" i="24" s="1"/>
  <c r="A417" i="24" s="1"/>
  <c r="A429" i="24" s="1"/>
  <c r="A441" i="24" s="1"/>
  <c r="A453" i="24" s="1"/>
  <c r="A200" i="24"/>
  <c r="A212" i="24" s="1"/>
  <c r="A224" i="24" s="1"/>
  <c r="A236" i="24" s="1"/>
  <c r="A248" i="24" s="1"/>
  <c r="A260" i="24" s="1"/>
  <c r="A272" i="24" s="1"/>
  <c r="A284" i="24" s="1"/>
  <c r="A296" i="24" s="1"/>
  <c r="A308" i="24" s="1"/>
  <c r="A320" i="24" s="1"/>
  <c r="A332" i="24" s="1"/>
  <c r="A344" i="24" s="1"/>
  <c r="A356" i="24" s="1"/>
  <c r="A368" i="24" s="1"/>
  <c r="A380" i="24" s="1"/>
  <c r="A392" i="24" s="1"/>
  <c r="A404" i="24" s="1"/>
  <c r="A416" i="24" s="1"/>
  <c r="A428" i="24" s="1"/>
  <c r="A440" i="24" s="1"/>
  <c r="A452" i="24" s="1"/>
  <c r="A199" i="24"/>
  <c r="A211" i="24" s="1"/>
  <c r="A223" i="24" s="1"/>
  <c r="A235" i="24" s="1"/>
  <c r="A247" i="24" s="1"/>
  <c r="A259" i="24" s="1"/>
  <c r="A271" i="24" s="1"/>
  <c r="A283" i="24" s="1"/>
  <c r="A295" i="24" s="1"/>
  <c r="A307" i="24" s="1"/>
  <c r="A319" i="24" s="1"/>
  <c r="A331" i="24" s="1"/>
  <c r="A343" i="24" s="1"/>
  <c r="A355" i="24" s="1"/>
  <c r="A367" i="24" s="1"/>
  <c r="A379" i="24" s="1"/>
  <c r="A391" i="24" s="1"/>
  <c r="A403" i="24" s="1"/>
  <c r="A415" i="24" s="1"/>
  <c r="A427" i="24" s="1"/>
  <c r="A439" i="24" s="1"/>
  <c r="A451" i="24" s="1"/>
  <c r="A198" i="24"/>
  <c r="A210" i="24" s="1"/>
  <c r="A222" i="24" s="1"/>
  <c r="A234" i="24" s="1"/>
  <c r="A246" i="24" s="1"/>
  <c r="A258" i="24" s="1"/>
  <c r="A270" i="24" s="1"/>
  <c r="A282" i="24" s="1"/>
  <c r="A294" i="24" s="1"/>
  <c r="A306" i="24" s="1"/>
  <c r="A318" i="24" s="1"/>
  <c r="A330" i="24" s="1"/>
  <c r="A342" i="24" s="1"/>
  <c r="A354" i="24" s="1"/>
  <c r="A366" i="24" s="1"/>
  <c r="A378" i="24" s="1"/>
  <c r="A390" i="24" s="1"/>
  <c r="A402" i="24" s="1"/>
  <c r="A414" i="24" s="1"/>
  <c r="A426" i="24" s="1"/>
  <c r="A438" i="24" s="1"/>
  <c r="A450" i="24" s="1"/>
  <c r="A197" i="24"/>
  <c r="A209" i="24" s="1"/>
  <c r="A221" i="24" s="1"/>
  <c r="A233" i="24" s="1"/>
  <c r="A245" i="24" s="1"/>
  <c r="A257" i="24" s="1"/>
  <c r="A269" i="24" s="1"/>
  <c r="A281" i="24" s="1"/>
  <c r="A293" i="24" s="1"/>
  <c r="A305" i="24" s="1"/>
  <c r="A317" i="24" s="1"/>
  <c r="A329" i="24" s="1"/>
  <c r="A341" i="24" s="1"/>
  <c r="A353" i="24" s="1"/>
  <c r="A365" i="24" s="1"/>
  <c r="A377" i="24" s="1"/>
  <c r="A389" i="24" s="1"/>
  <c r="A401" i="24" s="1"/>
  <c r="A413" i="24" s="1"/>
  <c r="A425" i="24" s="1"/>
  <c r="A437" i="24" s="1"/>
  <c r="A449" i="24" s="1"/>
  <c r="A196" i="24"/>
  <c r="A208" i="24" s="1"/>
  <c r="A220" i="24" s="1"/>
  <c r="A232" i="24" s="1"/>
  <c r="A244" i="24" s="1"/>
  <c r="A256" i="24" s="1"/>
  <c r="A268" i="24" s="1"/>
  <c r="A280" i="24" s="1"/>
  <c r="A292" i="24" s="1"/>
  <c r="A304" i="24" s="1"/>
  <c r="A316" i="24" s="1"/>
  <c r="A328" i="24" s="1"/>
  <c r="A340" i="24" s="1"/>
  <c r="A352" i="24" s="1"/>
  <c r="A364" i="24" s="1"/>
  <c r="A376" i="24" s="1"/>
  <c r="A388" i="24" s="1"/>
  <c r="A400" i="24" s="1"/>
  <c r="A412" i="24" s="1"/>
  <c r="A424" i="24" s="1"/>
  <c r="A436" i="24" s="1"/>
  <c r="A448" i="24" s="1"/>
  <c r="A195" i="24"/>
  <c r="A207" i="24" s="1"/>
  <c r="A219" i="24" s="1"/>
  <c r="A231" i="24" s="1"/>
  <c r="A243" i="24" s="1"/>
  <c r="A255" i="24" s="1"/>
  <c r="A267" i="24" s="1"/>
  <c r="A279" i="24" s="1"/>
  <c r="A291" i="24" s="1"/>
  <c r="A303" i="24" s="1"/>
  <c r="A315" i="24" s="1"/>
  <c r="A327" i="24" s="1"/>
  <c r="A339" i="24" s="1"/>
  <c r="A351" i="24" s="1"/>
  <c r="A363" i="24" s="1"/>
  <c r="A375" i="24" s="1"/>
  <c r="A194" i="24"/>
  <c r="A206" i="24" s="1"/>
  <c r="A218" i="24" s="1"/>
  <c r="A230" i="24" s="1"/>
  <c r="A242" i="24" s="1"/>
  <c r="A254" i="24" s="1"/>
  <c r="A266" i="24" s="1"/>
  <c r="A278" i="24" s="1"/>
  <c r="A290" i="24" s="1"/>
  <c r="A302" i="24" s="1"/>
  <c r="A314" i="24" s="1"/>
  <c r="A326" i="24" s="1"/>
  <c r="A338" i="24" s="1"/>
  <c r="A350" i="24" s="1"/>
  <c r="A362" i="24" s="1"/>
  <c r="A374" i="24" s="1"/>
  <c r="A386" i="24" s="1"/>
  <c r="A398" i="24" s="1"/>
  <c r="A410" i="24" s="1"/>
  <c r="A422" i="24" s="1"/>
  <c r="A434" i="24" s="1"/>
  <c r="A446" i="24" s="1"/>
  <c r="A193" i="24"/>
  <c r="A205" i="24" s="1"/>
  <c r="A217" i="24" s="1"/>
  <c r="A229" i="24" s="1"/>
  <c r="A241" i="24" s="1"/>
  <c r="A253" i="24" s="1"/>
  <c r="A265" i="24" s="1"/>
  <c r="A277" i="24" s="1"/>
  <c r="A289" i="24" s="1"/>
  <c r="A301" i="24" s="1"/>
  <c r="A313" i="24" s="1"/>
  <c r="A325" i="24" s="1"/>
  <c r="A337" i="24" s="1"/>
  <c r="A349" i="24" s="1"/>
  <c r="A361" i="24" s="1"/>
  <c r="A373" i="24" s="1"/>
  <c r="A385" i="24" s="1"/>
  <c r="A397" i="24" s="1"/>
  <c r="A409" i="24" s="1"/>
  <c r="A421" i="24" s="1"/>
  <c r="A433" i="24" s="1"/>
  <c r="A445" i="24" s="1"/>
  <c r="A192" i="24"/>
  <c r="A204" i="24" s="1"/>
  <c r="A216" i="24" s="1"/>
  <c r="A228" i="24" s="1"/>
  <c r="A240" i="24" s="1"/>
  <c r="A252" i="24" s="1"/>
  <c r="A264" i="24" s="1"/>
  <c r="A276" i="24" s="1"/>
  <c r="A288" i="24" s="1"/>
  <c r="A300" i="24" s="1"/>
  <c r="A312" i="24" s="1"/>
  <c r="A324" i="24" s="1"/>
  <c r="A336" i="24" s="1"/>
  <c r="A348" i="24" s="1"/>
  <c r="A360" i="24" s="1"/>
  <c r="A372" i="24" s="1"/>
  <c r="A384" i="24" s="1"/>
  <c r="A396" i="24" s="1"/>
  <c r="A408" i="24" s="1"/>
  <c r="A420" i="24" s="1"/>
  <c r="A432" i="24" s="1"/>
  <c r="A444" i="24" s="1"/>
  <c r="A191" i="24"/>
  <c r="A203" i="24" s="1"/>
  <c r="A215" i="24" s="1"/>
  <c r="A227" i="24" s="1"/>
  <c r="A239" i="24" s="1"/>
  <c r="A251" i="24" s="1"/>
  <c r="A263" i="24" s="1"/>
  <c r="A275" i="24" s="1"/>
  <c r="A287" i="24" s="1"/>
  <c r="A299" i="24" s="1"/>
  <c r="A311" i="24" s="1"/>
  <c r="A323" i="24" s="1"/>
  <c r="A335" i="24" s="1"/>
  <c r="A347" i="24" s="1"/>
  <c r="A359" i="24" s="1"/>
  <c r="A371" i="24" s="1"/>
  <c r="A383" i="24" s="1"/>
  <c r="A395" i="24" s="1"/>
  <c r="A407" i="24" s="1"/>
  <c r="A419" i="24" s="1"/>
  <c r="A431" i="24" s="1"/>
  <c r="A443" i="24" s="1"/>
  <c r="A190" i="24"/>
  <c r="A202" i="24" s="1"/>
  <c r="A214" i="24" s="1"/>
  <c r="A226" i="24" s="1"/>
  <c r="A238" i="24" s="1"/>
  <c r="A250" i="24" s="1"/>
  <c r="A262" i="24" s="1"/>
  <c r="A274" i="24" s="1"/>
  <c r="A286" i="24" s="1"/>
  <c r="A298" i="24" s="1"/>
  <c r="A310" i="24" s="1"/>
  <c r="A322" i="24" s="1"/>
  <c r="A334" i="24" s="1"/>
  <c r="A346" i="24" s="1"/>
  <c r="A358" i="24" s="1"/>
  <c r="A370" i="24" s="1"/>
  <c r="A382" i="24" s="1"/>
  <c r="A394" i="24" s="1"/>
  <c r="A406" i="24" s="1"/>
  <c r="A418" i="24" s="1"/>
  <c r="A430" i="24" s="1"/>
  <c r="A442" i="24" s="1"/>
  <c r="A387" i="24" l="1"/>
  <c r="A399" i="24" s="1"/>
  <c r="A411" i="24" s="1"/>
  <c r="A423" i="24" s="1"/>
  <c r="A435" i="24" s="1"/>
  <c r="A447" i="24" s="1"/>
  <c r="D375" i="11" l="1"/>
  <c r="H375" i="11" l="1"/>
  <c r="E372" i="64"/>
  <c r="I170" i="121" l="1"/>
  <c r="I171" i="121"/>
  <c r="I172" i="121"/>
  <c r="I173" i="121"/>
  <c r="I174" i="121"/>
  <c r="I175" i="121"/>
  <c r="I176" i="121"/>
  <c r="I177" i="121"/>
  <c r="I178" i="121"/>
  <c r="I179" i="121"/>
  <c r="I180" i="121"/>
  <c r="I181" i="121"/>
  <c r="I182" i="121"/>
  <c r="I183" i="121"/>
  <c r="I184" i="121"/>
  <c r="I185" i="121"/>
  <c r="I186" i="121"/>
  <c r="I187" i="121"/>
  <c r="I188" i="121"/>
  <c r="I189" i="121"/>
  <c r="J453" i="52" l="1"/>
  <c r="D453" i="52"/>
  <c r="J452" i="52"/>
  <c r="D452" i="52"/>
  <c r="J451" i="52"/>
  <c r="D451" i="52"/>
  <c r="J450" i="52"/>
  <c r="D450" i="52"/>
  <c r="J449" i="52"/>
  <c r="D449" i="52"/>
  <c r="J448" i="52"/>
  <c r="D448" i="52"/>
  <c r="J447" i="52"/>
  <c r="D447" i="52"/>
  <c r="J446" i="52"/>
  <c r="D446" i="52"/>
  <c r="J445" i="52"/>
  <c r="D445" i="52"/>
  <c r="J444" i="52"/>
  <c r="D444" i="52"/>
  <c r="J443" i="52"/>
  <c r="D443" i="52"/>
  <c r="J442" i="52"/>
  <c r="D442" i="52"/>
  <c r="J441" i="52"/>
  <c r="D441" i="52"/>
  <c r="J440" i="52"/>
  <c r="D440" i="52"/>
  <c r="J439" i="52"/>
  <c r="D439" i="52"/>
  <c r="J438" i="52"/>
  <c r="D438" i="52"/>
  <c r="J437" i="52"/>
  <c r="D437" i="52"/>
  <c r="J436" i="52"/>
  <c r="D436" i="52"/>
  <c r="J435" i="52"/>
  <c r="D435" i="52"/>
  <c r="J434" i="52"/>
  <c r="D434" i="52"/>
  <c r="J433" i="52"/>
  <c r="D433" i="52"/>
  <c r="J432" i="52"/>
  <c r="D432" i="52"/>
  <c r="J431" i="52"/>
  <c r="D431" i="52"/>
  <c r="J430" i="52"/>
  <c r="D430" i="52"/>
  <c r="J429" i="52"/>
  <c r="D429" i="52"/>
  <c r="J428" i="52"/>
  <c r="D428" i="52"/>
  <c r="J427" i="52"/>
  <c r="D427" i="52"/>
  <c r="J426" i="52"/>
  <c r="D426" i="52"/>
  <c r="J425" i="52"/>
  <c r="D425" i="52"/>
  <c r="J424" i="52"/>
  <c r="D424" i="52"/>
  <c r="J423" i="52"/>
  <c r="D423" i="52"/>
  <c r="J422" i="52"/>
  <c r="D422" i="52"/>
  <c r="J421" i="52"/>
  <c r="D421" i="52"/>
  <c r="J420" i="52"/>
  <c r="D420" i="52"/>
  <c r="J419" i="52"/>
  <c r="D419" i="52"/>
  <c r="J418" i="52"/>
  <c r="D418" i="52"/>
  <c r="J417" i="52"/>
  <c r="D417" i="52"/>
  <c r="J416" i="52"/>
  <c r="D416" i="52"/>
  <c r="J415" i="52"/>
  <c r="D415" i="52"/>
  <c r="J414" i="52"/>
  <c r="D414" i="52"/>
  <c r="J413" i="52"/>
  <c r="D413" i="52"/>
  <c r="J412" i="52"/>
  <c r="D412" i="52"/>
  <c r="J411" i="52"/>
  <c r="D411" i="52"/>
  <c r="J410" i="52"/>
  <c r="D410" i="52"/>
  <c r="J409" i="52"/>
  <c r="D409" i="52"/>
  <c r="J408" i="52"/>
  <c r="D408" i="52"/>
  <c r="J407" i="52"/>
  <c r="D407" i="52"/>
  <c r="J406" i="52"/>
  <c r="D406" i="52"/>
  <c r="J405" i="52"/>
  <c r="D405" i="52"/>
  <c r="J404" i="52"/>
  <c r="D404" i="52"/>
  <c r="J403" i="52"/>
  <c r="D403" i="52"/>
  <c r="J402" i="52"/>
  <c r="D402" i="52"/>
  <c r="J401" i="52"/>
  <c r="D401" i="52"/>
  <c r="J400" i="52"/>
  <c r="D400" i="52"/>
  <c r="J399" i="52"/>
  <c r="D399" i="52"/>
  <c r="J398" i="52"/>
  <c r="D398" i="52"/>
  <c r="J397" i="52"/>
  <c r="D397" i="52"/>
  <c r="J396" i="52"/>
  <c r="D396" i="52"/>
  <c r="J395" i="52"/>
  <c r="D395" i="52"/>
  <c r="J394" i="52"/>
  <c r="D394" i="52"/>
  <c r="E429" i="59"/>
  <c r="C429" i="59"/>
  <c r="E428" i="59"/>
  <c r="C428" i="59"/>
  <c r="E427" i="59"/>
  <c r="C427" i="59"/>
  <c r="E426" i="59"/>
  <c r="C426" i="59"/>
  <c r="E425" i="59"/>
  <c r="C425" i="59"/>
  <c r="E424" i="59"/>
  <c r="C424" i="59"/>
  <c r="E423" i="59"/>
  <c r="C423" i="59"/>
  <c r="E422" i="59"/>
  <c r="C422" i="59"/>
  <c r="E421" i="59"/>
  <c r="C421" i="59"/>
  <c r="E420" i="59"/>
  <c r="C420" i="59"/>
  <c r="E419" i="59"/>
  <c r="C419" i="59"/>
  <c r="E418" i="59"/>
  <c r="C418" i="59"/>
  <c r="E417" i="59"/>
  <c r="C417" i="59"/>
  <c r="E416" i="59"/>
  <c r="C416" i="59"/>
  <c r="E415" i="59"/>
  <c r="C415" i="59"/>
  <c r="E414" i="59"/>
  <c r="C414" i="59"/>
  <c r="E413" i="59"/>
  <c r="C413" i="59"/>
  <c r="E412" i="59"/>
  <c r="C412" i="59"/>
  <c r="E411" i="59"/>
  <c r="C411" i="59"/>
  <c r="E410" i="59"/>
  <c r="C410" i="59"/>
  <c r="E409" i="59"/>
  <c r="C409" i="59"/>
  <c r="E408" i="59"/>
  <c r="C408" i="59"/>
  <c r="E407" i="59"/>
  <c r="C407" i="59"/>
  <c r="E406" i="59"/>
  <c r="C406" i="59"/>
  <c r="E405" i="59"/>
  <c r="C405" i="59"/>
  <c r="E404" i="59"/>
  <c r="C404" i="59"/>
  <c r="E403" i="59"/>
  <c r="C403" i="59"/>
  <c r="E402" i="59"/>
  <c r="C402" i="59"/>
  <c r="E401" i="59"/>
  <c r="C401" i="59"/>
  <c r="E400" i="59"/>
  <c r="C400" i="59"/>
  <c r="E399" i="59"/>
  <c r="C399" i="59"/>
  <c r="E398" i="59"/>
  <c r="C398" i="59"/>
  <c r="E397" i="59"/>
  <c r="C397" i="59"/>
  <c r="E396" i="59"/>
  <c r="C396" i="59"/>
  <c r="E395" i="59"/>
  <c r="C395" i="59"/>
  <c r="E394" i="59"/>
  <c r="C394" i="59"/>
  <c r="E393" i="59"/>
  <c r="C393" i="59"/>
  <c r="E392" i="59"/>
  <c r="C392" i="59"/>
  <c r="E391" i="59"/>
  <c r="C391" i="59"/>
  <c r="E390" i="59"/>
  <c r="C390" i="59"/>
  <c r="E389" i="59"/>
  <c r="C389" i="59"/>
  <c r="E388" i="59"/>
  <c r="C388" i="59"/>
  <c r="E387" i="59"/>
  <c r="C387" i="59"/>
  <c r="E386" i="59"/>
  <c r="C386" i="59"/>
  <c r="E385" i="59"/>
  <c r="C385" i="59"/>
  <c r="E384" i="59"/>
  <c r="C384" i="59"/>
  <c r="E383" i="59"/>
  <c r="C383" i="59"/>
  <c r="E382" i="59"/>
  <c r="C382" i="59"/>
  <c r="E381" i="59"/>
  <c r="C381" i="59"/>
  <c r="E380" i="59"/>
  <c r="C380" i="59"/>
  <c r="E379" i="59"/>
  <c r="C379" i="59"/>
  <c r="E378" i="59"/>
  <c r="C378" i="59"/>
  <c r="E377" i="59"/>
  <c r="C377" i="59"/>
  <c r="E376" i="59"/>
  <c r="C376" i="59"/>
  <c r="E375" i="59"/>
  <c r="C375" i="59"/>
  <c r="E374" i="59"/>
  <c r="C374" i="59"/>
  <c r="E373" i="59"/>
  <c r="C373" i="59"/>
  <c r="E372" i="59"/>
  <c r="C372" i="59"/>
  <c r="E371" i="59"/>
  <c r="C371" i="59"/>
  <c r="E370" i="59"/>
  <c r="C370" i="59"/>
  <c r="L477" i="108"/>
  <c r="L476" i="108"/>
  <c r="L475" i="108"/>
  <c r="L474" i="108"/>
  <c r="L473" i="108"/>
  <c r="L472" i="108"/>
  <c r="L471" i="108"/>
  <c r="L470" i="108"/>
  <c r="L469" i="108"/>
  <c r="L468" i="108"/>
  <c r="L467" i="108"/>
  <c r="L466" i="108"/>
  <c r="L465" i="108"/>
  <c r="L464" i="108"/>
  <c r="L463" i="108"/>
  <c r="L462" i="108"/>
  <c r="L461" i="108"/>
  <c r="L460" i="108"/>
  <c r="L459" i="108"/>
  <c r="L458" i="108"/>
  <c r="L457" i="108"/>
  <c r="L456" i="108"/>
  <c r="L455" i="108"/>
  <c r="L454" i="108"/>
  <c r="L453" i="108"/>
  <c r="L452" i="108"/>
  <c r="L451" i="108"/>
  <c r="L450" i="108"/>
  <c r="L449" i="108"/>
  <c r="L448" i="108"/>
  <c r="L447" i="108"/>
  <c r="L446" i="108"/>
  <c r="L445" i="108"/>
  <c r="L444" i="108"/>
  <c r="L443" i="108"/>
  <c r="L442" i="108"/>
  <c r="L441" i="108"/>
  <c r="L440" i="108"/>
  <c r="L439" i="108"/>
  <c r="L438" i="108"/>
  <c r="L437" i="108"/>
  <c r="L436" i="108"/>
  <c r="L435" i="108"/>
  <c r="L434" i="108"/>
  <c r="L433" i="108"/>
  <c r="L432" i="108"/>
  <c r="L431" i="108"/>
  <c r="L430" i="108"/>
  <c r="L429" i="108"/>
  <c r="L428" i="108"/>
  <c r="L427" i="108"/>
  <c r="L426" i="108"/>
  <c r="L425" i="108"/>
  <c r="L424" i="108"/>
  <c r="L423" i="108"/>
  <c r="L422" i="108"/>
  <c r="L421" i="108"/>
  <c r="L420" i="108"/>
  <c r="L419" i="108"/>
  <c r="L418" i="108"/>
  <c r="D477" i="89"/>
  <c r="B477" i="89"/>
  <c r="D476" i="89"/>
  <c r="B476" i="89"/>
  <c r="D475" i="89"/>
  <c r="B475" i="89"/>
  <c r="D474" i="89"/>
  <c r="B474" i="89"/>
  <c r="D473" i="89"/>
  <c r="B473" i="89"/>
  <c r="D472" i="89"/>
  <c r="B472" i="89"/>
  <c r="D471" i="89"/>
  <c r="B471" i="89"/>
  <c r="D470" i="89"/>
  <c r="B470" i="89"/>
  <c r="D469" i="89"/>
  <c r="B469" i="89"/>
  <c r="D468" i="89"/>
  <c r="B468" i="89"/>
  <c r="D467" i="89"/>
  <c r="B467" i="89"/>
  <c r="D466" i="89"/>
  <c r="B466" i="89"/>
  <c r="D465" i="89"/>
  <c r="B465" i="89"/>
  <c r="D464" i="89"/>
  <c r="B464" i="89"/>
  <c r="D463" i="89"/>
  <c r="B463" i="89"/>
  <c r="D462" i="89"/>
  <c r="B462" i="89"/>
  <c r="D461" i="89"/>
  <c r="B461" i="89"/>
  <c r="D460" i="89"/>
  <c r="B460" i="89"/>
  <c r="D459" i="89"/>
  <c r="B459" i="89"/>
  <c r="D458" i="89"/>
  <c r="B458" i="89"/>
  <c r="D457" i="89"/>
  <c r="B457" i="89"/>
  <c r="D456" i="89"/>
  <c r="B456" i="89"/>
  <c r="D455" i="89"/>
  <c r="B455" i="89"/>
  <c r="D454" i="89"/>
  <c r="B454" i="89"/>
  <c r="D453" i="89"/>
  <c r="B453" i="89"/>
  <c r="D452" i="89"/>
  <c r="B452" i="89"/>
  <c r="D451" i="89"/>
  <c r="B451" i="89"/>
  <c r="D450" i="89"/>
  <c r="B450" i="89"/>
  <c r="D449" i="89"/>
  <c r="B449" i="89"/>
  <c r="D448" i="89"/>
  <c r="B448" i="89"/>
  <c r="D447" i="89"/>
  <c r="B447" i="89"/>
  <c r="D446" i="89"/>
  <c r="B446" i="89"/>
  <c r="D445" i="89"/>
  <c r="B445" i="89"/>
  <c r="D444" i="89"/>
  <c r="B444" i="89"/>
  <c r="D443" i="89"/>
  <c r="B443" i="89"/>
  <c r="D442" i="89"/>
  <c r="B442" i="89"/>
  <c r="D441" i="89"/>
  <c r="B441" i="89"/>
  <c r="D440" i="89"/>
  <c r="B440" i="89"/>
  <c r="D439" i="89"/>
  <c r="B439" i="89"/>
  <c r="D438" i="89"/>
  <c r="B438" i="89"/>
  <c r="D437" i="89"/>
  <c r="B437" i="89"/>
  <c r="D436" i="89"/>
  <c r="B436" i="89"/>
  <c r="D435" i="89"/>
  <c r="B435" i="89"/>
  <c r="D434" i="89"/>
  <c r="B434" i="89"/>
  <c r="D433" i="89"/>
  <c r="B433" i="89"/>
  <c r="D432" i="89"/>
  <c r="B432" i="89"/>
  <c r="D431" i="89"/>
  <c r="B431" i="89"/>
  <c r="D430" i="89"/>
  <c r="B430" i="89"/>
  <c r="D429" i="89"/>
  <c r="B429" i="89"/>
  <c r="D428" i="89"/>
  <c r="B428" i="89"/>
  <c r="D427" i="89"/>
  <c r="B427" i="89"/>
  <c r="D426" i="89"/>
  <c r="B426" i="89"/>
  <c r="D425" i="89"/>
  <c r="B425" i="89"/>
  <c r="D424" i="89"/>
  <c r="B424" i="89"/>
  <c r="D423" i="89"/>
  <c r="B423" i="89"/>
  <c r="D422" i="89"/>
  <c r="B422" i="89"/>
  <c r="D421" i="89"/>
  <c r="B421" i="89"/>
  <c r="D420" i="89"/>
  <c r="B420" i="89"/>
  <c r="D419" i="89"/>
  <c r="B419" i="89"/>
  <c r="D418" i="89"/>
  <c r="B418" i="89"/>
  <c r="D500" i="51" l="1"/>
  <c r="D501" i="51"/>
  <c r="D490" i="51"/>
  <c r="D491" i="51"/>
  <c r="D492" i="51"/>
  <c r="D493" i="51"/>
  <c r="D494" i="51"/>
  <c r="D495" i="51"/>
  <c r="D496" i="51"/>
  <c r="D497" i="51"/>
  <c r="D498" i="51"/>
  <c r="D499" i="51"/>
  <c r="D478" i="51"/>
  <c r="D479" i="51"/>
  <c r="D480" i="51"/>
  <c r="D481" i="51"/>
  <c r="D482" i="51"/>
  <c r="D483" i="51"/>
  <c r="D484" i="51"/>
  <c r="D485" i="51"/>
  <c r="D486" i="51"/>
  <c r="D487" i="51"/>
  <c r="D488" i="51"/>
  <c r="D489" i="51"/>
  <c r="D465" i="51"/>
  <c r="D466" i="51"/>
  <c r="D467" i="51"/>
  <c r="D468" i="51"/>
  <c r="D469" i="51"/>
  <c r="D470" i="51"/>
  <c r="D471" i="51"/>
  <c r="D472" i="51"/>
  <c r="D473" i="51"/>
  <c r="D474" i="51"/>
  <c r="D475" i="51"/>
  <c r="D476" i="51"/>
  <c r="D477" i="51"/>
  <c r="D458" i="51"/>
  <c r="D459" i="51"/>
  <c r="D460" i="51"/>
  <c r="D461" i="51"/>
  <c r="D462" i="51"/>
  <c r="D463" i="51"/>
  <c r="D464" i="51"/>
  <c r="D442" i="51"/>
  <c r="D443" i="51"/>
  <c r="D444" i="51"/>
  <c r="D445" i="51"/>
  <c r="D446" i="51"/>
  <c r="D447" i="51"/>
  <c r="D448" i="51"/>
  <c r="D449" i="51"/>
  <c r="D450" i="51"/>
  <c r="D451" i="51"/>
  <c r="D452" i="51"/>
  <c r="D453" i="51"/>
  <c r="D454" i="51"/>
  <c r="D455" i="51"/>
  <c r="D456" i="51"/>
  <c r="D457" i="51"/>
  <c r="L433" i="38"/>
  <c r="B433" i="38" s="1"/>
  <c r="Q433" i="38"/>
  <c r="C433" i="38" s="1"/>
  <c r="L434" i="38"/>
  <c r="B434" i="38" s="1"/>
  <c r="Q434" i="38"/>
  <c r="C434" i="38" s="1"/>
  <c r="L435" i="38"/>
  <c r="B435" i="38" s="1"/>
  <c r="Q435" i="38"/>
  <c r="C435" i="38" s="1"/>
  <c r="L436" i="38"/>
  <c r="B436" i="38" s="1"/>
  <c r="Q436" i="38"/>
  <c r="C436" i="38" s="1"/>
  <c r="L437" i="38"/>
  <c r="B437" i="38" s="1"/>
  <c r="Q437" i="38"/>
  <c r="C437" i="38" s="1"/>
  <c r="L438" i="38"/>
  <c r="B438" i="38" s="1"/>
  <c r="Q438" i="38"/>
  <c r="C438" i="38" s="1"/>
  <c r="L439" i="38"/>
  <c r="B439" i="38" s="1"/>
  <c r="Q439" i="38"/>
  <c r="C439" i="38" s="1"/>
  <c r="L440" i="38"/>
  <c r="B440" i="38" s="1"/>
  <c r="Q440" i="38"/>
  <c r="C440" i="38" s="1"/>
  <c r="L441" i="38"/>
  <c r="B441" i="38" s="1"/>
  <c r="Q441" i="38"/>
  <c r="C441" i="38" s="1"/>
  <c r="L442" i="38"/>
  <c r="B442" i="38" s="1"/>
  <c r="Q442" i="38"/>
  <c r="C442" i="38" s="1"/>
  <c r="L443" i="38"/>
  <c r="B443" i="38" s="1"/>
  <c r="Q443" i="38"/>
  <c r="C443" i="38" s="1"/>
  <c r="L444" i="38"/>
  <c r="B444" i="38" s="1"/>
  <c r="Q444" i="38"/>
  <c r="C444" i="38" s="1"/>
  <c r="L445" i="38"/>
  <c r="B445" i="38" s="1"/>
  <c r="Q445" i="38"/>
  <c r="C445" i="38" s="1"/>
  <c r="L446" i="38"/>
  <c r="B446" i="38" s="1"/>
  <c r="Q446" i="38"/>
  <c r="C446" i="38" s="1"/>
  <c r="L447" i="38"/>
  <c r="B447" i="38" s="1"/>
  <c r="Q447" i="38"/>
  <c r="C447" i="38" s="1"/>
  <c r="L448" i="38"/>
  <c r="B448" i="38" s="1"/>
  <c r="Q448" i="38"/>
  <c r="C448" i="38" s="1"/>
  <c r="L449" i="38"/>
  <c r="B449" i="38" s="1"/>
  <c r="Q449" i="38"/>
  <c r="C449" i="38" s="1"/>
  <c r="L450" i="38"/>
  <c r="B450" i="38" s="1"/>
  <c r="Q450" i="38"/>
  <c r="C450" i="38" s="1"/>
  <c r="L451" i="38"/>
  <c r="B451" i="38" s="1"/>
  <c r="Q451" i="38"/>
  <c r="C451" i="38" s="1"/>
  <c r="L452" i="38"/>
  <c r="B452" i="38" s="1"/>
  <c r="Q452" i="38"/>
  <c r="C452" i="38" s="1"/>
  <c r="L453" i="38"/>
  <c r="B453" i="38" s="1"/>
  <c r="Q453" i="38"/>
  <c r="C453" i="38" s="1"/>
  <c r="L454" i="38"/>
  <c r="B454" i="38" s="1"/>
  <c r="Q454" i="38"/>
  <c r="C454" i="38" s="1"/>
  <c r="L455" i="38"/>
  <c r="B455" i="38" s="1"/>
  <c r="Q455" i="38"/>
  <c r="C455" i="38" s="1"/>
  <c r="L456" i="38"/>
  <c r="B456" i="38" s="1"/>
  <c r="Q456" i="38"/>
  <c r="C456" i="38" s="1"/>
  <c r="L457" i="38"/>
  <c r="B457" i="38" s="1"/>
  <c r="Q457" i="38"/>
  <c r="C457" i="38" s="1"/>
  <c r="L458" i="38"/>
  <c r="B458" i="38" s="1"/>
  <c r="Q458" i="38"/>
  <c r="C458" i="38" s="1"/>
  <c r="L459" i="38"/>
  <c r="B459" i="38" s="1"/>
  <c r="Q459" i="38"/>
  <c r="C459" i="38" s="1"/>
  <c r="L460" i="38"/>
  <c r="B460" i="38" s="1"/>
  <c r="Q460" i="38"/>
  <c r="C460" i="38" s="1"/>
  <c r="L461" i="38"/>
  <c r="B461" i="38" s="1"/>
  <c r="Q461" i="38"/>
  <c r="C461" i="38" s="1"/>
  <c r="L462" i="38"/>
  <c r="B462" i="38" s="1"/>
  <c r="Q462" i="38"/>
  <c r="C462" i="38" s="1"/>
  <c r="L463" i="38"/>
  <c r="B463" i="38" s="1"/>
  <c r="Q463" i="38"/>
  <c r="C463" i="38" s="1"/>
  <c r="L464" i="38"/>
  <c r="B464" i="38" s="1"/>
  <c r="Q464" i="38"/>
  <c r="C464" i="38" s="1"/>
  <c r="L465" i="38"/>
  <c r="B465" i="38" s="1"/>
  <c r="Q465" i="38"/>
  <c r="C465" i="38" s="1"/>
  <c r="L406" i="38"/>
  <c r="B406" i="38" s="1"/>
  <c r="Q406" i="38"/>
  <c r="C406" i="38" s="1"/>
  <c r="L407" i="38"/>
  <c r="B407" i="38" s="1"/>
  <c r="Q407" i="38"/>
  <c r="C407" i="38" s="1"/>
  <c r="L408" i="38"/>
  <c r="B408" i="38" s="1"/>
  <c r="Q408" i="38"/>
  <c r="C408" i="38" s="1"/>
  <c r="L409" i="38"/>
  <c r="B409" i="38" s="1"/>
  <c r="Q409" i="38"/>
  <c r="C409" i="38" s="1"/>
  <c r="L410" i="38"/>
  <c r="B410" i="38" s="1"/>
  <c r="Q410" i="38"/>
  <c r="C410" i="38" s="1"/>
  <c r="L411" i="38"/>
  <c r="B411" i="38" s="1"/>
  <c r="Q411" i="38"/>
  <c r="C411" i="38" s="1"/>
  <c r="L412" i="38"/>
  <c r="B412" i="38" s="1"/>
  <c r="Q412" i="38"/>
  <c r="C412" i="38" s="1"/>
  <c r="L413" i="38"/>
  <c r="B413" i="38" s="1"/>
  <c r="Q413" i="38"/>
  <c r="C413" i="38" s="1"/>
  <c r="L414" i="38"/>
  <c r="B414" i="38" s="1"/>
  <c r="Q414" i="38"/>
  <c r="C414" i="38" s="1"/>
  <c r="L415" i="38"/>
  <c r="B415" i="38" s="1"/>
  <c r="Q415" i="38"/>
  <c r="C415" i="38" s="1"/>
  <c r="L416" i="38"/>
  <c r="B416" i="38" s="1"/>
  <c r="Q416" i="38"/>
  <c r="C416" i="38" s="1"/>
  <c r="L417" i="38"/>
  <c r="B417" i="38" s="1"/>
  <c r="Q417" i="38"/>
  <c r="C417" i="38" s="1"/>
  <c r="L418" i="38"/>
  <c r="B418" i="38" s="1"/>
  <c r="Q418" i="38"/>
  <c r="C418" i="38" s="1"/>
  <c r="L419" i="38"/>
  <c r="B419" i="38" s="1"/>
  <c r="Q419" i="38"/>
  <c r="C419" i="38" s="1"/>
  <c r="L420" i="38"/>
  <c r="B420" i="38" s="1"/>
  <c r="Q420" i="38"/>
  <c r="C420" i="38" s="1"/>
  <c r="L421" i="38"/>
  <c r="B421" i="38" s="1"/>
  <c r="Q421" i="38"/>
  <c r="C421" i="38" s="1"/>
  <c r="L422" i="38"/>
  <c r="B422" i="38" s="1"/>
  <c r="Q422" i="38"/>
  <c r="C422" i="38" s="1"/>
  <c r="L423" i="38"/>
  <c r="B423" i="38" s="1"/>
  <c r="Q423" i="38"/>
  <c r="C423" i="38" s="1"/>
  <c r="L424" i="38"/>
  <c r="B424" i="38" s="1"/>
  <c r="Q424" i="38"/>
  <c r="C424" i="38" s="1"/>
  <c r="L425" i="38"/>
  <c r="B425" i="38" s="1"/>
  <c r="Q425" i="38"/>
  <c r="C425" i="38" s="1"/>
  <c r="L426" i="38"/>
  <c r="B426" i="38" s="1"/>
  <c r="Q426" i="38"/>
  <c r="C426" i="38" s="1"/>
  <c r="L427" i="38"/>
  <c r="B427" i="38" s="1"/>
  <c r="Q427" i="38"/>
  <c r="C427" i="38" s="1"/>
  <c r="L428" i="38"/>
  <c r="B428" i="38" s="1"/>
  <c r="Q428" i="38"/>
  <c r="C428" i="38" s="1"/>
  <c r="L429" i="38"/>
  <c r="B429" i="38" s="1"/>
  <c r="Q429" i="38"/>
  <c r="C429" i="38" s="1"/>
  <c r="L430" i="38"/>
  <c r="B430" i="38" s="1"/>
  <c r="Q430" i="38"/>
  <c r="C430" i="38" s="1"/>
  <c r="L431" i="38"/>
  <c r="B431" i="38" s="1"/>
  <c r="Q431" i="38"/>
  <c r="C431" i="38" s="1"/>
  <c r="L432" i="38"/>
  <c r="B432" i="38" s="1"/>
  <c r="Q432" i="38"/>
  <c r="C432" i="38" s="1"/>
  <c r="H446" i="4"/>
  <c r="K446" i="4"/>
  <c r="O446" i="4"/>
  <c r="V446" i="4"/>
  <c r="H447" i="4"/>
  <c r="K447" i="4"/>
  <c r="O447" i="4"/>
  <c r="V447" i="4"/>
  <c r="H448" i="4"/>
  <c r="K448" i="4"/>
  <c r="O448" i="4"/>
  <c r="V448" i="4"/>
  <c r="H449" i="4"/>
  <c r="K449" i="4"/>
  <c r="O449" i="4"/>
  <c r="V449" i="4"/>
  <c r="H450" i="4"/>
  <c r="K450" i="4"/>
  <c r="O450" i="4"/>
  <c r="V450" i="4"/>
  <c r="H451" i="4"/>
  <c r="K451" i="4"/>
  <c r="O451" i="4"/>
  <c r="V451" i="4"/>
  <c r="H452" i="4"/>
  <c r="K452" i="4"/>
  <c r="O452" i="4"/>
  <c r="V452" i="4"/>
  <c r="H453" i="4"/>
  <c r="K453" i="4"/>
  <c r="O453" i="4"/>
  <c r="V453" i="4"/>
  <c r="H437" i="4"/>
  <c r="K437" i="4"/>
  <c r="O437" i="4"/>
  <c r="V437" i="4"/>
  <c r="H438" i="4"/>
  <c r="K438" i="4"/>
  <c r="O438" i="4"/>
  <c r="V438" i="4"/>
  <c r="H439" i="4"/>
  <c r="K439" i="4"/>
  <c r="O439" i="4"/>
  <c r="V439" i="4"/>
  <c r="H440" i="4"/>
  <c r="K440" i="4"/>
  <c r="O440" i="4"/>
  <c r="V440" i="4"/>
  <c r="H441" i="4"/>
  <c r="K441" i="4"/>
  <c r="O441" i="4"/>
  <c r="V441" i="4"/>
  <c r="H442" i="4"/>
  <c r="K442" i="4"/>
  <c r="O442" i="4"/>
  <c r="V442" i="4"/>
  <c r="H443" i="4"/>
  <c r="K443" i="4"/>
  <c r="O443" i="4"/>
  <c r="V443" i="4"/>
  <c r="H444" i="4"/>
  <c r="K444" i="4"/>
  <c r="O444" i="4"/>
  <c r="V444" i="4"/>
  <c r="H445" i="4"/>
  <c r="K445" i="4"/>
  <c r="O445" i="4"/>
  <c r="V445" i="4"/>
  <c r="H425" i="4"/>
  <c r="K425" i="4"/>
  <c r="O425" i="4"/>
  <c r="V425" i="4"/>
  <c r="H426" i="4"/>
  <c r="K426" i="4"/>
  <c r="O426" i="4"/>
  <c r="V426" i="4"/>
  <c r="H427" i="4"/>
  <c r="K427" i="4"/>
  <c r="O427" i="4"/>
  <c r="V427" i="4"/>
  <c r="H428" i="4"/>
  <c r="K428" i="4"/>
  <c r="O428" i="4"/>
  <c r="V428" i="4"/>
  <c r="H429" i="4"/>
  <c r="K429" i="4"/>
  <c r="O429" i="4"/>
  <c r="V429" i="4"/>
  <c r="H430" i="4"/>
  <c r="K430" i="4"/>
  <c r="O430" i="4"/>
  <c r="V430" i="4"/>
  <c r="H431" i="4"/>
  <c r="K431" i="4"/>
  <c r="O431" i="4"/>
  <c r="V431" i="4"/>
  <c r="H432" i="4"/>
  <c r="K432" i="4"/>
  <c r="O432" i="4"/>
  <c r="V432" i="4"/>
  <c r="H433" i="4"/>
  <c r="K433" i="4"/>
  <c r="O433" i="4"/>
  <c r="V433" i="4"/>
  <c r="H434" i="4"/>
  <c r="K434" i="4"/>
  <c r="O434" i="4"/>
  <c r="V434" i="4"/>
  <c r="H435" i="4"/>
  <c r="K435" i="4"/>
  <c r="O435" i="4"/>
  <c r="V435" i="4"/>
  <c r="H436" i="4"/>
  <c r="K436" i="4"/>
  <c r="O436" i="4"/>
  <c r="V436" i="4"/>
  <c r="H410" i="4"/>
  <c r="K410" i="4"/>
  <c r="O410" i="4"/>
  <c r="V410" i="4"/>
  <c r="H411" i="4"/>
  <c r="K411" i="4"/>
  <c r="O411" i="4"/>
  <c r="V411" i="4"/>
  <c r="H412" i="4"/>
  <c r="K412" i="4"/>
  <c r="O412" i="4"/>
  <c r="V412" i="4"/>
  <c r="H413" i="4"/>
  <c r="K413" i="4"/>
  <c r="O413" i="4"/>
  <c r="V413" i="4"/>
  <c r="H414" i="4"/>
  <c r="K414" i="4"/>
  <c r="O414" i="4"/>
  <c r="V414" i="4"/>
  <c r="H415" i="4"/>
  <c r="K415" i="4"/>
  <c r="O415" i="4"/>
  <c r="V415" i="4"/>
  <c r="H416" i="4"/>
  <c r="K416" i="4"/>
  <c r="O416" i="4"/>
  <c r="V416" i="4"/>
  <c r="H417" i="4"/>
  <c r="K417" i="4"/>
  <c r="O417" i="4"/>
  <c r="V417" i="4"/>
  <c r="H418" i="4"/>
  <c r="K418" i="4"/>
  <c r="O418" i="4"/>
  <c r="V418" i="4"/>
  <c r="H419" i="4"/>
  <c r="K419" i="4"/>
  <c r="O419" i="4"/>
  <c r="V419" i="4"/>
  <c r="H420" i="4"/>
  <c r="K420" i="4"/>
  <c r="O420" i="4"/>
  <c r="V420" i="4"/>
  <c r="H421" i="4"/>
  <c r="K421" i="4"/>
  <c r="O421" i="4"/>
  <c r="V421" i="4"/>
  <c r="H422" i="4"/>
  <c r="K422" i="4"/>
  <c r="O422" i="4"/>
  <c r="V422" i="4"/>
  <c r="H423" i="4"/>
  <c r="K423" i="4"/>
  <c r="O423" i="4"/>
  <c r="V423" i="4"/>
  <c r="H424" i="4"/>
  <c r="K424" i="4"/>
  <c r="O424" i="4"/>
  <c r="V424" i="4"/>
  <c r="H394" i="4"/>
  <c r="K394" i="4"/>
  <c r="V394" i="4"/>
  <c r="H395" i="4"/>
  <c r="K395" i="4"/>
  <c r="V395" i="4"/>
  <c r="H396" i="4"/>
  <c r="K396" i="4"/>
  <c r="O396" i="4"/>
  <c r="V396" i="4"/>
  <c r="H397" i="4"/>
  <c r="K397" i="4"/>
  <c r="V397" i="4"/>
  <c r="H398" i="4"/>
  <c r="K398" i="4"/>
  <c r="O398" i="4"/>
  <c r="V398" i="4"/>
  <c r="H399" i="4"/>
  <c r="K399" i="4"/>
  <c r="O399" i="4"/>
  <c r="V399" i="4"/>
  <c r="H400" i="4"/>
  <c r="K400" i="4"/>
  <c r="O400" i="4"/>
  <c r="V400" i="4"/>
  <c r="H401" i="4"/>
  <c r="K401" i="4"/>
  <c r="O401" i="4"/>
  <c r="V401" i="4"/>
  <c r="H402" i="4"/>
  <c r="K402" i="4"/>
  <c r="O402" i="4"/>
  <c r="V402" i="4"/>
  <c r="H403" i="4"/>
  <c r="K403" i="4"/>
  <c r="O403" i="4"/>
  <c r="V403" i="4"/>
  <c r="H404" i="4"/>
  <c r="K404" i="4"/>
  <c r="O404" i="4"/>
  <c r="V404" i="4"/>
  <c r="H405" i="4"/>
  <c r="K405" i="4"/>
  <c r="O405" i="4"/>
  <c r="V405" i="4"/>
  <c r="H406" i="4"/>
  <c r="K406" i="4"/>
  <c r="O406" i="4"/>
  <c r="V406" i="4"/>
  <c r="H407" i="4"/>
  <c r="K407" i="4"/>
  <c r="O407" i="4"/>
  <c r="V407" i="4"/>
  <c r="H408" i="4"/>
  <c r="K408" i="4"/>
  <c r="O408" i="4"/>
  <c r="V408" i="4"/>
  <c r="H409" i="4"/>
  <c r="K409" i="4"/>
  <c r="O409" i="4"/>
  <c r="V409" i="4"/>
  <c r="H464" i="17"/>
  <c r="H465" i="17"/>
  <c r="H457" i="17"/>
  <c r="H458" i="17"/>
  <c r="H459" i="17"/>
  <c r="H460" i="17"/>
  <c r="H461" i="17"/>
  <c r="H462" i="17"/>
  <c r="H463" i="17"/>
  <c r="H450" i="17"/>
  <c r="H451" i="17"/>
  <c r="H452" i="17"/>
  <c r="H453" i="17"/>
  <c r="H454" i="17"/>
  <c r="H455" i="17"/>
  <c r="H456" i="17"/>
  <c r="H440" i="17"/>
  <c r="H441" i="17"/>
  <c r="H442" i="17"/>
  <c r="H443" i="17"/>
  <c r="H444" i="17"/>
  <c r="H445" i="17"/>
  <c r="H446" i="17"/>
  <c r="H447" i="17"/>
  <c r="H448" i="17"/>
  <c r="H449" i="17"/>
  <c r="H431" i="17"/>
  <c r="H432" i="17"/>
  <c r="H433" i="17"/>
  <c r="H434" i="17"/>
  <c r="H435" i="17"/>
  <c r="H436" i="17"/>
  <c r="H437" i="17"/>
  <c r="H438" i="17"/>
  <c r="H439" i="17"/>
  <c r="H420" i="17"/>
  <c r="H421" i="17"/>
  <c r="H422" i="17"/>
  <c r="H423" i="17"/>
  <c r="H424" i="17"/>
  <c r="H425" i="17"/>
  <c r="H426" i="17"/>
  <c r="H427" i="17"/>
  <c r="H428" i="17"/>
  <c r="H429" i="17"/>
  <c r="H430" i="17"/>
  <c r="H406" i="17"/>
  <c r="H407" i="17"/>
  <c r="H408" i="17"/>
  <c r="H409" i="17"/>
  <c r="H410" i="17"/>
  <c r="H411" i="17"/>
  <c r="H412" i="17"/>
  <c r="H413" i="17"/>
  <c r="H414" i="17"/>
  <c r="H415" i="17"/>
  <c r="H416" i="17"/>
  <c r="H417" i="17"/>
  <c r="H418" i="17"/>
  <c r="H419" i="17"/>
  <c r="D455" i="132"/>
  <c r="D456" i="132"/>
  <c r="D457" i="132"/>
  <c r="D458" i="132"/>
  <c r="D459" i="132"/>
  <c r="D460" i="132"/>
  <c r="D461" i="132"/>
  <c r="D462" i="132"/>
  <c r="D463" i="132"/>
  <c r="D464" i="132"/>
  <c r="D465" i="132"/>
  <c r="D440" i="132"/>
  <c r="D441" i="132"/>
  <c r="D442" i="132"/>
  <c r="D443" i="132"/>
  <c r="D444" i="132"/>
  <c r="D445" i="132"/>
  <c r="D446" i="132"/>
  <c r="D447" i="132"/>
  <c r="D448" i="132"/>
  <c r="D449" i="132"/>
  <c r="D450" i="132"/>
  <c r="D451" i="132"/>
  <c r="D452" i="132"/>
  <c r="D453" i="132"/>
  <c r="D454" i="132"/>
  <c r="D406" i="132"/>
  <c r="D407" i="132"/>
  <c r="D408" i="132"/>
  <c r="D409" i="132"/>
  <c r="D410" i="132"/>
  <c r="D411" i="132"/>
  <c r="D412" i="132"/>
  <c r="D413" i="132"/>
  <c r="D414" i="132"/>
  <c r="D415" i="132"/>
  <c r="D416" i="132"/>
  <c r="D417" i="132"/>
  <c r="D418" i="132"/>
  <c r="D419" i="132"/>
  <c r="D420" i="132"/>
  <c r="D421" i="132"/>
  <c r="D422" i="132"/>
  <c r="D423" i="132"/>
  <c r="D424" i="132"/>
  <c r="D425" i="132"/>
  <c r="D426" i="132"/>
  <c r="D427" i="132"/>
  <c r="D428" i="132"/>
  <c r="D429" i="132"/>
  <c r="D430" i="132"/>
  <c r="D431" i="132"/>
  <c r="D432" i="132"/>
  <c r="D433" i="132"/>
  <c r="D434" i="132"/>
  <c r="D435" i="132"/>
  <c r="D436" i="132"/>
  <c r="D437" i="132"/>
  <c r="D438" i="132"/>
  <c r="D439" i="132"/>
  <c r="C413" i="3"/>
  <c r="R413" i="3"/>
  <c r="X413" i="3"/>
  <c r="C414" i="3"/>
  <c r="R414" i="3"/>
  <c r="X414" i="3"/>
  <c r="C415" i="3"/>
  <c r="R415" i="3"/>
  <c r="X415" i="3"/>
  <c r="C416" i="3"/>
  <c r="R416" i="3"/>
  <c r="X416" i="3"/>
  <c r="C417" i="3"/>
  <c r="R417" i="3"/>
  <c r="X417" i="3"/>
  <c r="C404" i="3"/>
  <c r="R404" i="3"/>
  <c r="X404" i="3"/>
  <c r="C405" i="3"/>
  <c r="R405" i="3"/>
  <c r="X405" i="3"/>
  <c r="C406" i="3"/>
  <c r="R406" i="3"/>
  <c r="X406" i="3"/>
  <c r="C407" i="3"/>
  <c r="R407" i="3"/>
  <c r="X407" i="3"/>
  <c r="C408" i="3"/>
  <c r="R408" i="3"/>
  <c r="X408" i="3"/>
  <c r="C409" i="3"/>
  <c r="R409" i="3"/>
  <c r="X409" i="3"/>
  <c r="C410" i="3"/>
  <c r="R410" i="3"/>
  <c r="X410" i="3"/>
  <c r="C411" i="3"/>
  <c r="R411" i="3"/>
  <c r="X411" i="3"/>
  <c r="C412" i="3"/>
  <c r="R412" i="3"/>
  <c r="X412" i="3"/>
  <c r="C390" i="3"/>
  <c r="R390" i="3"/>
  <c r="X390" i="3"/>
  <c r="C391" i="3"/>
  <c r="R391" i="3"/>
  <c r="X391" i="3"/>
  <c r="C392" i="3"/>
  <c r="R392" i="3"/>
  <c r="X392" i="3"/>
  <c r="C393" i="3"/>
  <c r="R393" i="3"/>
  <c r="X393" i="3"/>
  <c r="C394" i="3"/>
  <c r="R394" i="3"/>
  <c r="X394" i="3"/>
  <c r="C395" i="3"/>
  <c r="R395" i="3"/>
  <c r="X395" i="3"/>
  <c r="C396" i="3"/>
  <c r="R396" i="3"/>
  <c r="X396" i="3"/>
  <c r="C397" i="3"/>
  <c r="R397" i="3"/>
  <c r="X397" i="3"/>
  <c r="C398" i="3"/>
  <c r="R398" i="3"/>
  <c r="X398" i="3"/>
  <c r="C399" i="3"/>
  <c r="R399" i="3"/>
  <c r="X399" i="3"/>
  <c r="C400" i="3"/>
  <c r="R400" i="3"/>
  <c r="X400" i="3"/>
  <c r="C401" i="3"/>
  <c r="R401" i="3"/>
  <c r="X401" i="3"/>
  <c r="C402" i="3"/>
  <c r="R402" i="3"/>
  <c r="X402" i="3"/>
  <c r="C403" i="3"/>
  <c r="R403" i="3"/>
  <c r="X403" i="3"/>
  <c r="C375" i="3"/>
  <c r="R375" i="3"/>
  <c r="X375" i="3"/>
  <c r="C376" i="3"/>
  <c r="R376" i="3"/>
  <c r="X376" i="3"/>
  <c r="C377" i="3"/>
  <c r="R377" i="3"/>
  <c r="X377" i="3"/>
  <c r="C378" i="3"/>
  <c r="R378" i="3"/>
  <c r="X378" i="3"/>
  <c r="C379" i="3"/>
  <c r="R379" i="3"/>
  <c r="X379" i="3"/>
  <c r="C380" i="3"/>
  <c r="R380" i="3"/>
  <c r="X380" i="3"/>
  <c r="C381" i="3"/>
  <c r="R381" i="3"/>
  <c r="X381" i="3"/>
  <c r="C382" i="3"/>
  <c r="R382" i="3"/>
  <c r="X382" i="3"/>
  <c r="C383" i="3"/>
  <c r="R383" i="3"/>
  <c r="X383" i="3"/>
  <c r="C384" i="3"/>
  <c r="R384" i="3"/>
  <c r="X384" i="3"/>
  <c r="C385" i="3"/>
  <c r="R385" i="3"/>
  <c r="X385" i="3"/>
  <c r="C386" i="3"/>
  <c r="R386" i="3"/>
  <c r="X386" i="3"/>
  <c r="C387" i="3"/>
  <c r="R387" i="3"/>
  <c r="X387" i="3"/>
  <c r="C388" i="3"/>
  <c r="R388" i="3"/>
  <c r="X388" i="3"/>
  <c r="C389" i="3"/>
  <c r="R389" i="3"/>
  <c r="X389" i="3"/>
  <c r="C359" i="3"/>
  <c r="R359" i="3"/>
  <c r="X359" i="3"/>
  <c r="C360" i="3"/>
  <c r="R360" i="3"/>
  <c r="X360" i="3"/>
  <c r="C361" i="3"/>
  <c r="R361" i="3"/>
  <c r="X361" i="3"/>
  <c r="C362" i="3"/>
  <c r="R362" i="3"/>
  <c r="X362" i="3"/>
  <c r="C363" i="3"/>
  <c r="R363" i="3"/>
  <c r="X363" i="3"/>
  <c r="C364" i="3"/>
  <c r="R364" i="3"/>
  <c r="X364" i="3"/>
  <c r="C365" i="3"/>
  <c r="R365" i="3"/>
  <c r="X365" i="3"/>
  <c r="C366" i="3"/>
  <c r="R366" i="3"/>
  <c r="X366" i="3"/>
  <c r="C367" i="3"/>
  <c r="R367" i="3"/>
  <c r="X367" i="3"/>
  <c r="C368" i="3"/>
  <c r="R368" i="3"/>
  <c r="X368" i="3"/>
  <c r="C369" i="3"/>
  <c r="R369" i="3"/>
  <c r="X369" i="3"/>
  <c r="C370" i="3"/>
  <c r="R370" i="3"/>
  <c r="X370" i="3"/>
  <c r="C371" i="3"/>
  <c r="R371" i="3"/>
  <c r="X371" i="3"/>
  <c r="C372" i="3"/>
  <c r="R372" i="3"/>
  <c r="X372" i="3"/>
  <c r="C373" i="3"/>
  <c r="R373" i="3"/>
  <c r="X373" i="3"/>
  <c r="C374" i="3"/>
  <c r="R374" i="3"/>
  <c r="X374" i="3"/>
  <c r="B162" i="49"/>
  <c r="E162" i="49"/>
  <c r="I162" i="49"/>
  <c r="L162" i="49"/>
  <c r="B163" i="49"/>
  <c r="E163" i="49"/>
  <c r="I163" i="49"/>
  <c r="L163" i="49"/>
  <c r="B164" i="49"/>
  <c r="E164" i="49"/>
  <c r="I164" i="49"/>
  <c r="L164" i="49"/>
  <c r="B165" i="49"/>
  <c r="E165" i="49"/>
  <c r="I165" i="49"/>
  <c r="L165" i="49"/>
  <c r="B166" i="49"/>
  <c r="E166" i="49"/>
  <c r="I166" i="49"/>
  <c r="L166" i="49"/>
  <c r="B167" i="49"/>
  <c r="E167" i="49"/>
  <c r="I167" i="49"/>
  <c r="L167" i="49"/>
  <c r="B168" i="49"/>
  <c r="E168" i="49"/>
  <c r="I168" i="49"/>
  <c r="L168" i="49"/>
  <c r="B169" i="49"/>
  <c r="E169" i="49"/>
  <c r="I169" i="49"/>
  <c r="L169" i="49"/>
  <c r="B150" i="49"/>
  <c r="E150" i="49"/>
  <c r="I150" i="49"/>
  <c r="L150" i="49"/>
  <c r="B151" i="49"/>
  <c r="E151" i="49"/>
  <c r="I151" i="49"/>
  <c r="L151" i="49"/>
  <c r="B152" i="49"/>
  <c r="E152" i="49"/>
  <c r="I152" i="49"/>
  <c r="L152" i="49"/>
  <c r="B153" i="49"/>
  <c r="E153" i="49"/>
  <c r="I153" i="49"/>
  <c r="L153" i="49"/>
  <c r="B154" i="49"/>
  <c r="E154" i="49"/>
  <c r="I154" i="49"/>
  <c r="L154" i="49"/>
  <c r="B155" i="49"/>
  <c r="E155" i="49"/>
  <c r="I155" i="49"/>
  <c r="L155" i="49"/>
  <c r="B156" i="49"/>
  <c r="E156" i="49"/>
  <c r="I156" i="49"/>
  <c r="L156" i="49"/>
  <c r="B157" i="49"/>
  <c r="E157" i="49"/>
  <c r="I157" i="49"/>
  <c r="L157" i="49"/>
  <c r="B158" i="49"/>
  <c r="E158" i="49"/>
  <c r="I158" i="49"/>
  <c r="L158" i="49"/>
  <c r="B159" i="49"/>
  <c r="E159" i="49"/>
  <c r="I159" i="49"/>
  <c r="L159" i="49"/>
  <c r="B160" i="49"/>
  <c r="E160" i="49"/>
  <c r="I160" i="49"/>
  <c r="L160" i="49"/>
  <c r="B161" i="49"/>
  <c r="E161" i="49"/>
  <c r="I161" i="49"/>
  <c r="L161" i="49"/>
  <c r="B122" i="114"/>
  <c r="C122" i="114" s="1"/>
  <c r="I122" i="114"/>
  <c r="B123" i="114"/>
  <c r="C123" i="114" s="1"/>
  <c r="I123" i="114"/>
  <c r="B124" i="114"/>
  <c r="C124" i="114" s="1"/>
  <c r="I124" i="114"/>
  <c r="B125" i="114"/>
  <c r="I125" i="114"/>
  <c r="B119" i="114"/>
  <c r="C119" i="114" s="1"/>
  <c r="I119" i="114"/>
  <c r="B120" i="114"/>
  <c r="C120" i="114" s="1"/>
  <c r="I120" i="114"/>
  <c r="B121" i="114"/>
  <c r="C121" i="114" s="1"/>
  <c r="I121" i="114"/>
  <c r="I106" i="114"/>
  <c r="I107" i="114"/>
  <c r="I108" i="114"/>
  <c r="I109" i="114"/>
  <c r="C110" i="114"/>
  <c r="I110" i="114"/>
  <c r="C111" i="114"/>
  <c r="I111" i="114"/>
  <c r="C112" i="114"/>
  <c r="I112" i="114"/>
  <c r="B113" i="114"/>
  <c r="C113" i="114" s="1"/>
  <c r="I113" i="114"/>
  <c r="B114" i="114"/>
  <c r="C114" i="114" s="1"/>
  <c r="I114" i="114"/>
  <c r="B115" i="114"/>
  <c r="C115" i="114" s="1"/>
  <c r="I115" i="114"/>
  <c r="B116" i="114"/>
  <c r="C116" i="114" s="1"/>
  <c r="I116" i="114"/>
  <c r="B117" i="114"/>
  <c r="C117" i="114" s="1"/>
  <c r="I117" i="114"/>
  <c r="B118" i="114"/>
  <c r="C118" i="114" s="1"/>
  <c r="I118" i="114"/>
  <c r="D478" i="30"/>
  <c r="D479" i="30"/>
  <c r="D480" i="30"/>
  <c r="D481" i="30"/>
  <c r="D482" i="30"/>
  <c r="D483" i="30"/>
  <c r="D484" i="30"/>
  <c r="D485" i="30"/>
  <c r="D486" i="30"/>
  <c r="D487" i="30"/>
  <c r="D488" i="30"/>
  <c r="D489" i="30"/>
  <c r="D461" i="30"/>
  <c r="D462" i="30"/>
  <c r="D463" i="30"/>
  <c r="D464" i="30"/>
  <c r="D465" i="30"/>
  <c r="D466" i="30"/>
  <c r="D467" i="30"/>
  <c r="D468" i="30"/>
  <c r="D469" i="30"/>
  <c r="D470" i="30"/>
  <c r="D471" i="30"/>
  <c r="D472" i="30"/>
  <c r="D473" i="30"/>
  <c r="D474" i="30"/>
  <c r="D475" i="30"/>
  <c r="D476" i="30"/>
  <c r="D477" i="30"/>
  <c r="D449" i="30"/>
  <c r="D450" i="30"/>
  <c r="D451" i="30"/>
  <c r="D452" i="30"/>
  <c r="D453" i="30"/>
  <c r="D454" i="30"/>
  <c r="D455" i="30"/>
  <c r="D456" i="30"/>
  <c r="D457" i="30"/>
  <c r="D458" i="30"/>
  <c r="D459" i="30"/>
  <c r="D460" i="30"/>
  <c r="D430" i="30"/>
  <c r="D431" i="30"/>
  <c r="D432" i="30"/>
  <c r="D433" i="30"/>
  <c r="D434" i="30"/>
  <c r="D435" i="30"/>
  <c r="D436" i="30"/>
  <c r="D437" i="30"/>
  <c r="D438" i="30"/>
  <c r="D439" i="30"/>
  <c r="D440" i="30"/>
  <c r="D441" i="30"/>
  <c r="D442" i="30"/>
  <c r="D443" i="30"/>
  <c r="D444" i="30"/>
  <c r="D445" i="30"/>
  <c r="D446" i="30"/>
  <c r="D447" i="30"/>
  <c r="D448" i="30"/>
  <c r="P66" i="95"/>
  <c r="U66" i="95"/>
  <c r="O67" i="95"/>
  <c r="S67" i="95"/>
  <c r="O68" i="95"/>
  <c r="S68" i="95"/>
  <c r="U68" i="95"/>
  <c r="O69" i="95"/>
  <c r="R69" i="95"/>
  <c r="U69" i="95"/>
  <c r="R60" i="95"/>
  <c r="P61" i="95"/>
  <c r="S61" i="95"/>
  <c r="P62" i="95"/>
  <c r="R62" i="95"/>
  <c r="U62" i="95"/>
  <c r="R63" i="95"/>
  <c r="V63" i="95"/>
  <c r="O64" i="95"/>
  <c r="R64" i="95"/>
  <c r="V64" i="95"/>
  <c r="O65" i="95"/>
  <c r="R65" i="95"/>
  <c r="U65" i="95"/>
  <c r="Z248" i="106"/>
  <c r="Z249" i="106"/>
  <c r="Z250" i="106"/>
  <c r="Z251" i="106"/>
  <c r="Z252" i="106"/>
  <c r="Z253" i="106"/>
  <c r="Z243" i="106"/>
  <c r="Z244" i="106"/>
  <c r="Z245" i="106"/>
  <c r="Z246" i="106"/>
  <c r="Z247" i="106"/>
  <c r="Z238" i="106"/>
  <c r="Z239" i="106"/>
  <c r="Z240" i="106"/>
  <c r="Z241" i="106"/>
  <c r="Z242" i="106"/>
  <c r="Z234" i="106"/>
  <c r="Z235" i="106"/>
  <c r="Z236" i="106"/>
  <c r="Z237" i="106"/>
  <c r="A440" i="126"/>
  <c r="A452" i="126" s="1"/>
  <c r="A464" i="126" s="1"/>
  <c r="A476" i="126" s="1"/>
  <c r="A488" i="126" s="1"/>
  <c r="A437" i="126"/>
  <c r="A449" i="126" s="1"/>
  <c r="A461" i="126" s="1"/>
  <c r="A473" i="126" s="1"/>
  <c r="A485" i="126" s="1"/>
  <c r="A438" i="126"/>
  <c r="A450" i="126" s="1"/>
  <c r="A462" i="126" s="1"/>
  <c r="A474" i="126" s="1"/>
  <c r="A486" i="126" s="1"/>
  <c r="A439" i="126"/>
  <c r="A451" i="126" s="1"/>
  <c r="A463" i="126" s="1"/>
  <c r="A475" i="126" s="1"/>
  <c r="A487" i="126" s="1"/>
  <c r="A430" i="126"/>
  <c r="A442" i="126" s="1"/>
  <c r="A454" i="126" s="1"/>
  <c r="A466" i="126" s="1"/>
  <c r="A478" i="126" s="1"/>
  <c r="A431" i="126"/>
  <c r="A443" i="126" s="1"/>
  <c r="A455" i="126" s="1"/>
  <c r="A467" i="126" s="1"/>
  <c r="A479" i="126" s="1"/>
  <c r="A432" i="126"/>
  <c r="A444" i="126" s="1"/>
  <c r="A456" i="126" s="1"/>
  <c r="A468" i="126" s="1"/>
  <c r="A480" i="126" s="1"/>
  <c r="A433" i="126"/>
  <c r="A445" i="126" s="1"/>
  <c r="A457" i="126" s="1"/>
  <c r="A469" i="126" s="1"/>
  <c r="A481" i="126" s="1"/>
  <c r="A434" i="126"/>
  <c r="A446" i="126" s="1"/>
  <c r="A458" i="126" s="1"/>
  <c r="A470" i="126" s="1"/>
  <c r="A482" i="126" s="1"/>
  <c r="A435" i="126"/>
  <c r="A447" i="126" s="1"/>
  <c r="A459" i="126" s="1"/>
  <c r="A471" i="126" s="1"/>
  <c r="A483" i="126" s="1"/>
  <c r="A436" i="126"/>
  <c r="A448" i="126" s="1"/>
  <c r="A460" i="126" s="1"/>
  <c r="A472" i="126" s="1"/>
  <c r="A484" i="126" s="1"/>
  <c r="A429" i="126"/>
  <c r="A441" i="126" s="1"/>
  <c r="A453" i="126" s="1"/>
  <c r="A465" i="126" s="1"/>
  <c r="A477" i="126" s="1"/>
  <c r="A489" i="126" s="1"/>
  <c r="R61" i="95" l="1"/>
  <c r="V65" i="95"/>
  <c r="R67" i="95"/>
  <c r="O61" i="95"/>
  <c r="P67" i="95"/>
  <c r="U63" i="95"/>
  <c r="V69" i="95"/>
  <c r="S64" i="95"/>
  <c r="R68" i="95"/>
  <c r="S65" i="95"/>
  <c r="P64" i="95"/>
  <c r="P69" i="95"/>
  <c r="V66" i="95"/>
  <c r="O62" i="95"/>
  <c r="S60" i="95"/>
  <c r="V68" i="95"/>
  <c r="U64" i="95"/>
  <c r="O66" i="95"/>
  <c r="P60" i="95"/>
  <c r="O60" i="95"/>
  <c r="P63" i="95"/>
  <c r="O63" i="95"/>
  <c r="V60" i="95"/>
  <c r="U60" i="95"/>
  <c r="V67" i="95"/>
  <c r="U67" i="95"/>
  <c r="U61" i="95"/>
  <c r="V61" i="95"/>
  <c r="S66" i="95"/>
  <c r="R66" i="95"/>
  <c r="P68" i="95"/>
  <c r="S69" i="95"/>
  <c r="P65" i="95"/>
  <c r="V62" i="95"/>
  <c r="S63" i="95"/>
  <c r="S62" i="95"/>
  <c r="J361" i="52" l="1"/>
  <c r="D12" i="52" l="1"/>
  <c r="D370" i="132" l="1"/>
  <c r="D359" i="52"/>
  <c r="J359" i="52"/>
  <c r="B136" i="49" l="1"/>
  <c r="G53" i="53"/>
  <c r="A165" i="46" l="1"/>
  <c r="A177" i="46" s="1"/>
  <c r="A189" i="46" s="1"/>
  <c r="A201" i="46" s="1"/>
  <c r="A213" i="46" s="1"/>
  <c r="A225" i="46" s="1"/>
  <c r="A237" i="46" s="1"/>
  <c r="A249" i="46" s="1"/>
  <c r="A261" i="46" s="1"/>
  <c r="A273" i="46" s="1"/>
  <c r="A285" i="46" s="1"/>
  <c r="A297" i="46" s="1"/>
  <c r="A309" i="46" s="1"/>
  <c r="A321" i="46" s="1"/>
  <c r="A333" i="46" s="1"/>
  <c r="A345" i="46" s="1"/>
  <c r="A357" i="46" s="1"/>
  <c r="A369" i="46" s="1"/>
  <c r="A164" i="46"/>
  <c r="A176" i="46" s="1"/>
  <c r="A188" i="46" s="1"/>
  <c r="A200" i="46" s="1"/>
  <c r="A212" i="46" s="1"/>
  <c r="A224" i="46" s="1"/>
  <c r="A236" i="46" s="1"/>
  <c r="A248" i="46" s="1"/>
  <c r="A260" i="46" s="1"/>
  <c r="A272" i="46" s="1"/>
  <c r="A284" i="46" s="1"/>
  <c r="A296" i="46" s="1"/>
  <c r="A308" i="46" s="1"/>
  <c r="A320" i="46" s="1"/>
  <c r="A332" i="46" s="1"/>
  <c r="A344" i="46" s="1"/>
  <c r="A356" i="46" s="1"/>
  <c r="A368" i="46" s="1"/>
  <c r="A163" i="46"/>
  <c r="A175" i="46" s="1"/>
  <c r="A187" i="46" s="1"/>
  <c r="A199" i="46" s="1"/>
  <c r="A211" i="46" s="1"/>
  <c r="A223" i="46" s="1"/>
  <c r="A235" i="46" s="1"/>
  <c r="A247" i="46" s="1"/>
  <c r="A259" i="46" s="1"/>
  <c r="A271" i="46" s="1"/>
  <c r="A283" i="46" s="1"/>
  <c r="A295" i="46" s="1"/>
  <c r="A307" i="46" s="1"/>
  <c r="A319" i="46" s="1"/>
  <c r="A331" i="46" s="1"/>
  <c r="A343" i="46" s="1"/>
  <c r="A355" i="46" s="1"/>
  <c r="A367" i="46" s="1"/>
  <c r="A162" i="46"/>
  <c r="A174" i="46" s="1"/>
  <c r="A186" i="46" s="1"/>
  <c r="A198" i="46" s="1"/>
  <c r="A210" i="46" s="1"/>
  <c r="A222" i="46" s="1"/>
  <c r="A234" i="46" s="1"/>
  <c r="A246" i="46" s="1"/>
  <c r="A258" i="46" s="1"/>
  <c r="A270" i="46" s="1"/>
  <c r="A282" i="46" s="1"/>
  <c r="A294" i="46" s="1"/>
  <c r="A306" i="46" s="1"/>
  <c r="A318" i="46" s="1"/>
  <c r="A330" i="46" s="1"/>
  <c r="A342" i="46" s="1"/>
  <c r="A354" i="46" s="1"/>
  <c r="A366" i="46" s="1"/>
  <c r="A161" i="46"/>
  <c r="A173" i="46" s="1"/>
  <c r="A185" i="46" s="1"/>
  <c r="A197" i="46" s="1"/>
  <c r="A209" i="46" s="1"/>
  <c r="A221" i="46" s="1"/>
  <c r="A233" i="46" s="1"/>
  <c r="A245" i="46" s="1"/>
  <c r="A257" i="46" s="1"/>
  <c r="A269" i="46" s="1"/>
  <c r="A281" i="46" s="1"/>
  <c r="A293" i="46" s="1"/>
  <c r="A305" i="46" s="1"/>
  <c r="A317" i="46" s="1"/>
  <c r="A329" i="46" s="1"/>
  <c r="A341" i="46" s="1"/>
  <c r="A353" i="46" s="1"/>
  <c r="A365" i="46" s="1"/>
  <c r="A160" i="46"/>
  <c r="A172" i="46" s="1"/>
  <c r="A184" i="46" s="1"/>
  <c r="A196" i="46" s="1"/>
  <c r="A208" i="46" s="1"/>
  <c r="A220" i="46" s="1"/>
  <c r="A232" i="46" s="1"/>
  <c r="A244" i="46" s="1"/>
  <c r="A256" i="46" s="1"/>
  <c r="A268" i="46" s="1"/>
  <c r="A280" i="46" s="1"/>
  <c r="A292" i="46" s="1"/>
  <c r="A304" i="46" s="1"/>
  <c r="A316" i="46" s="1"/>
  <c r="A328" i="46" s="1"/>
  <c r="A340" i="46" s="1"/>
  <c r="A352" i="46" s="1"/>
  <c r="A364" i="46" s="1"/>
  <c r="A159" i="46"/>
  <c r="A171" i="46" s="1"/>
  <c r="A183" i="46" s="1"/>
  <c r="A195" i="46" s="1"/>
  <c r="A207" i="46" s="1"/>
  <c r="A219" i="46" s="1"/>
  <c r="A231" i="46" s="1"/>
  <c r="A243" i="46" s="1"/>
  <c r="A255" i="46" s="1"/>
  <c r="A267" i="46" s="1"/>
  <c r="A279" i="46" s="1"/>
  <c r="A291" i="46" s="1"/>
  <c r="A303" i="46" s="1"/>
  <c r="A315" i="46" s="1"/>
  <c r="A327" i="46" s="1"/>
  <c r="A339" i="46" s="1"/>
  <c r="A351" i="46" s="1"/>
  <c r="A363" i="46" s="1"/>
  <c r="A158" i="46"/>
  <c r="A170" i="46" s="1"/>
  <c r="A182" i="46" s="1"/>
  <c r="A194" i="46" s="1"/>
  <c r="A206" i="46" s="1"/>
  <c r="A218" i="46" s="1"/>
  <c r="A230" i="46" s="1"/>
  <c r="A242" i="46" s="1"/>
  <c r="A254" i="46" s="1"/>
  <c r="A266" i="46" s="1"/>
  <c r="A278" i="46" s="1"/>
  <c r="A290" i="46" s="1"/>
  <c r="A302" i="46" s="1"/>
  <c r="A314" i="46" s="1"/>
  <c r="A326" i="46" s="1"/>
  <c r="A338" i="46" s="1"/>
  <c r="A350" i="46" s="1"/>
  <c r="A362" i="46" s="1"/>
  <c r="A157" i="46"/>
  <c r="A169" i="46" s="1"/>
  <c r="A181" i="46" s="1"/>
  <c r="A193" i="46" s="1"/>
  <c r="A205" i="46" s="1"/>
  <c r="A217" i="46" s="1"/>
  <c r="A229" i="46" s="1"/>
  <c r="A241" i="46" s="1"/>
  <c r="A253" i="46" s="1"/>
  <c r="A265" i="46" s="1"/>
  <c r="A277" i="46" s="1"/>
  <c r="A289" i="46" s="1"/>
  <c r="A301" i="46" s="1"/>
  <c r="A313" i="46" s="1"/>
  <c r="A325" i="46" s="1"/>
  <c r="A337" i="46" s="1"/>
  <c r="A349" i="46" s="1"/>
  <c r="A361" i="46" s="1"/>
  <c r="A156" i="46"/>
  <c r="A168" i="46" s="1"/>
  <c r="A180" i="46" s="1"/>
  <c r="A192" i="46" s="1"/>
  <c r="A204" i="46" s="1"/>
  <c r="A216" i="46" s="1"/>
  <c r="A228" i="46" s="1"/>
  <c r="A240" i="46" s="1"/>
  <c r="A252" i="46" s="1"/>
  <c r="A264" i="46" s="1"/>
  <c r="A276" i="46" s="1"/>
  <c r="A288" i="46" s="1"/>
  <c r="A300" i="46" s="1"/>
  <c r="A312" i="46" s="1"/>
  <c r="A324" i="46" s="1"/>
  <c r="A336" i="46" s="1"/>
  <c r="A348" i="46" s="1"/>
  <c r="A360" i="46" s="1"/>
  <c r="A155" i="46"/>
  <c r="A167" i="46" s="1"/>
  <c r="A179" i="46" s="1"/>
  <c r="A191" i="46" s="1"/>
  <c r="A203" i="46" s="1"/>
  <c r="A215" i="46" s="1"/>
  <c r="A227" i="46" s="1"/>
  <c r="A239" i="46" s="1"/>
  <c r="A251" i="46" s="1"/>
  <c r="A263" i="46" s="1"/>
  <c r="A275" i="46" s="1"/>
  <c r="A287" i="46" s="1"/>
  <c r="A299" i="46" s="1"/>
  <c r="A311" i="46" s="1"/>
  <c r="A323" i="46" s="1"/>
  <c r="A335" i="46" s="1"/>
  <c r="A347" i="46" s="1"/>
  <c r="A359" i="46" s="1"/>
  <c r="A154" i="46"/>
  <c r="A166" i="46" s="1"/>
  <c r="A178" i="46" s="1"/>
  <c r="A190" i="46" s="1"/>
  <c r="A202" i="46" s="1"/>
  <c r="A214" i="46" s="1"/>
  <c r="A226" i="46" s="1"/>
  <c r="A238" i="46" s="1"/>
  <c r="A250" i="46" s="1"/>
  <c r="A262" i="46" s="1"/>
  <c r="A274" i="46" s="1"/>
  <c r="A286" i="46" s="1"/>
  <c r="A298" i="46" s="1"/>
  <c r="A310" i="46" s="1"/>
  <c r="A322" i="46" s="1"/>
  <c r="A334" i="46" s="1"/>
  <c r="A346" i="46" s="1"/>
  <c r="A358" i="46" s="1"/>
  <c r="A189" i="127"/>
  <c r="A201" i="127" s="1"/>
  <c r="A213" i="127" s="1"/>
  <c r="A225" i="127" s="1"/>
  <c r="A237" i="127" s="1"/>
  <c r="A249" i="127" s="1"/>
  <c r="A261" i="127" s="1"/>
  <c r="A273" i="127" s="1"/>
  <c r="A285" i="127" s="1"/>
  <c r="A297" i="127" s="1"/>
  <c r="A309" i="127" s="1"/>
  <c r="A321" i="127" s="1"/>
  <c r="A333" i="127" s="1"/>
  <c r="A345" i="127" s="1"/>
  <c r="A357" i="127" s="1"/>
  <c r="A369" i="127" s="1"/>
  <c r="A381" i="127" s="1"/>
  <c r="A393" i="127" s="1"/>
  <c r="A405" i="127" s="1"/>
  <c r="A417" i="127" s="1"/>
  <c r="A429" i="127" s="1"/>
  <c r="A441" i="127" s="1"/>
  <c r="A453" i="127" s="1"/>
  <c r="A188" i="127"/>
  <c r="A200" i="127" s="1"/>
  <c r="A212" i="127" s="1"/>
  <c r="A224" i="127" s="1"/>
  <c r="A236" i="127" s="1"/>
  <c r="A248" i="127" s="1"/>
  <c r="A260" i="127" s="1"/>
  <c r="A272" i="127" s="1"/>
  <c r="A284" i="127" s="1"/>
  <c r="A296" i="127" s="1"/>
  <c r="A308" i="127" s="1"/>
  <c r="A320" i="127" s="1"/>
  <c r="A332" i="127" s="1"/>
  <c r="A344" i="127" s="1"/>
  <c r="A356" i="127" s="1"/>
  <c r="A368" i="127" s="1"/>
  <c r="A380" i="127" s="1"/>
  <c r="A392" i="127" s="1"/>
  <c r="A404" i="127" s="1"/>
  <c r="A416" i="127" s="1"/>
  <c r="A428" i="127" s="1"/>
  <c r="A440" i="127" s="1"/>
  <c r="A452" i="127" s="1"/>
  <c r="A187" i="127"/>
  <c r="A199" i="127" s="1"/>
  <c r="A211" i="127" s="1"/>
  <c r="A223" i="127" s="1"/>
  <c r="A235" i="127" s="1"/>
  <c r="A247" i="127" s="1"/>
  <c r="A259" i="127" s="1"/>
  <c r="A271" i="127" s="1"/>
  <c r="A283" i="127" s="1"/>
  <c r="A295" i="127" s="1"/>
  <c r="A307" i="127" s="1"/>
  <c r="A319" i="127" s="1"/>
  <c r="A331" i="127" s="1"/>
  <c r="A343" i="127" s="1"/>
  <c r="A355" i="127" s="1"/>
  <c r="A367" i="127" s="1"/>
  <c r="A379" i="127" s="1"/>
  <c r="A391" i="127" s="1"/>
  <c r="A403" i="127" s="1"/>
  <c r="A415" i="127" s="1"/>
  <c r="A427" i="127" s="1"/>
  <c r="A439" i="127" s="1"/>
  <c r="A451" i="127" s="1"/>
  <c r="A186" i="127"/>
  <c r="A198" i="127" s="1"/>
  <c r="A210" i="127" s="1"/>
  <c r="A222" i="127" s="1"/>
  <c r="A234" i="127" s="1"/>
  <c r="A246" i="127" s="1"/>
  <c r="A258" i="127" s="1"/>
  <c r="A270" i="127" s="1"/>
  <c r="A282" i="127" s="1"/>
  <c r="A294" i="127" s="1"/>
  <c r="A306" i="127" s="1"/>
  <c r="A318" i="127" s="1"/>
  <c r="A330" i="127" s="1"/>
  <c r="A342" i="127" s="1"/>
  <c r="A354" i="127" s="1"/>
  <c r="A366" i="127" s="1"/>
  <c r="A378" i="127" s="1"/>
  <c r="A390" i="127" s="1"/>
  <c r="A402" i="127" s="1"/>
  <c r="A414" i="127" s="1"/>
  <c r="A426" i="127" s="1"/>
  <c r="A438" i="127" s="1"/>
  <c r="A450" i="127" s="1"/>
  <c r="A185" i="127"/>
  <c r="A197" i="127" s="1"/>
  <c r="A209" i="127" s="1"/>
  <c r="A221" i="127" s="1"/>
  <c r="A233" i="127" s="1"/>
  <c r="A245" i="127" s="1"/>
  <c r="A257" i="127" s="1"/>
  <c r="A269" i="127" s="1"/>
  <c r="A281" i="127" s="1"/>
  <c r="A293" i="127" s="1"/>
  <c r="A305" i="127" s="1"/>
  <c r="A317" i="127" s="1"/>
  <c r="A329" i="127" s="1"/>
  <c r="A341" i="127" s="1"/>
  <c r="A353" i="127" s="1"/>
  <c r="A365" i="127" s="1"/>
  <c r="A377" i="127" s="1"/>
  <c r="A389" i="127" s="1"/>
  <c r="A401" i="127" s="1"/>
  <c r="A413" i="127" s="1"/>
  <c r="A425" i="127" s="1"/>
  <c r="A437" i="127" s="1"/>
  <c r="A449" i="127" s="1"/>
  <c r="A184" i="127"/>
  <c r="A196" i="127" s="1"/>
  <c r="A208" i="127" s="1"/>
  <c r="A220" i="127" s="1"/>
  <c r="A232" i="127" s="1"/>
  <c r="A244" i="127" s="1"/>
  <c r="A256" i="127" s="1"/>
  <c r="A268" i="127" s="1"/>
  <c r="A280" i="127" s="1"/>
  <c r="A292" i="127" s="1"/>
  <c r="A304" i="127" s="1"/>
  <c r="A316" i="127" s="1"/>
  <c r="A328" i="127" s="1"/>
  <c r="A340" i="127" s="1"/>
  <c r="A352" i="127" s="1"/>
  <c r="A364" i="127" s="1"/>
  <c r="A376" i="127" s="1"/>
  <c r="A388" i="127" s="1"/>
  <c r="A400" i="127" s="1"/>
  <c r="A412" i="127" s="1"/>
  <c r="A424" i="127" s="1"/>
  <c r="A436" i="127" s="1"/>
  <c r="A448" i="127" s="1"/>
  <c r="A183" i="127"/>
  <c r="A195" i="127" s="1"/>
  <c r="A207" i="127" s="1"/>
  <c r="A219" i="127" s="1"/>
  <c r="A231" i="127" s="1"/>
  <c r="A243" i="127" s="1"/>
  <c r="A255" i="127" s="1"/>
  <c r="A267" i="127" s="1"/>
  <c r="A279" i="127" s="1"/>
  <c r="A291" i="127" s="1"/>
  <c r="A303" i="127" s="1"/>
  <c r="A315" i="127" s="1"/>
  <c r="A327" i="127" s="1"/>
  <c r="A339" i="127" s="1"/>
  <c r="A351" i="127" s="1"/>
  <c r="A363" i="127" s="1"/>
  <c r="A375" i="127" s="1"/>
  <c r="A387" i="127" s="1"/>
  <c r="A399" i="127" s="1"/>
  <c r="A411" i="127" s="1"/>
  <c r="A423" i="127" s="1"/>
  <c r="A435" i="127" s="1"/>
  <c r="A447" i="127" s="1"/>
  <c r="A182" i="127"/>
  <c r="A194" i="127" s="1"/>
  <c r="A206" i="127" s="1"/>
  <c r="A218" i="127" s="1"/>
  <c r="A230" i="127" s="1"/>
  <c r="A242" i="127" s="1"/>
  <c r="A254" i="127" s="1"/>
  <c r="A266" i="127" s="1"/>
  <c r="A278" i="127" s="1"/>
  <c r="A290" i="127" s="1"/>
  <c r="A302" i="127" s="1"/>
  <c r="A314" i="127" s="1"/>
  <c r="A326" i="127" s="1"/>
  <c r="A338" i="127" s="1"/>
  <c r="A350" i="127" s="1"/>
  <c r="A362" i="127" s="1"/>
  <c r="A374" i="127" s="1"/>
  <c r="A386" i="127" s="1"/>
  <c r="A398" i="127" s="1"/>
  <c r="A410" i="127" s="1"/>
  <c r="A422" i="127" s="1"/>
  <c r="A434" i="127" s="1"/>
  <c r="A446" i="127" s="1"/>
  <c r="A181" i="127"/>
  <c r="A193" i="127" s="1"/>
  <c r="A205" i="127" s="1"/>
  <c r="A217" i="127" s="1"/>
  <c r="A229" i="127" s="1"/>
  <c r="A241" i="127" s="1"/>
  <c r="A253" i="127" s="1"/>
  <c r="A265" i="127" s="1"/>
  <c r="A277" i="127" s="1"/>
  <c r="A289" i="127" s="1"/>
  <c r="A301" i="127" s="1"/>
  <c r="A313" i="127" s="1"/>
  <c r="A325" i="127" s="1"/>
  <c r="A337" i="127" s="1"/>
  <c r="A349" i="127" s="1"/>
  <c r="A361" i="127" s="1"/>
  <c r="A373" i="127" s="1"/>
  <c r="A385" i="127" s="1"/>
  <c r="A397" i="127" s="1"/>
  <c r="A409" i="127" s="1"/>
  <c r="A421" i="127" s="1"/>
  <c r="A433" i="127" s="1"/>
  <c r="A445" i="127" s="1"/>
  <c r="A180" i="127"/>
  <c r="A192" i="127" s="1"/>
  <c r="A204" i="127" s="1"/>
  <c r="A216" i="127" s="1"/>
  <c r="A228" i="127" s="1"/>
  <c r="A240" i="127" s="1"/>
  <c r="A252" i="127" s="1"/>
  <c r="A264" i="127" s="1"/>
  <c r="A276" i="127" s="1"/>
  <c r="A288" i="127" s="1"/>
  <c r="A300" i="127" s="1"/>
  <c r="A312" i="127" s="1"/>
  <c r="A324" i="127" s="1"/>
  <c r="A336" i="127" s="1"/>
  <c r="A348" i="127" s="1"/>
  <c r="A360" i="127" s="1"/>
  <c r="A372" i="127" s="1"/>
  <c r="A384" i="127" s="1"/>
  <c r="A396" i="127" s="1"/>
  <c r="A408" i="127" s="1"/>
  <c r="A420" i="127" s="1"/>
  <c r="A432" i="127" s="1"/>
  <c r="A444" i="127" s="1"/>
  <c r="A179" i="127"/>
  <c r="A191" i="127" s="1"/>
  <c r="A203" i="127" s="1"/>
  <c r="A215" i="127" s="1"/>
  <c r="A227" i="127" s="1"/>
  <c r="A239" i="127" s="1"/>
  <c r="A251" i="127" s="1"/>
  <c r="A263" i="127" s="1"/>
  <c r="A275" i="127" s="1"/>
  <c r="A287" i="127" s="1"/>
  <c r="A299" i="127" s="1"/>
  <c r="A311" i="127" s="1"/>
  <c r="A323" i="127" s="1"/>
  <c r="A335" i="127" s="1"/>
  <c r="A347" i="127" s="1"/>
  <c r="A359" i="127" s="1"/>
  <c r="A371" i="127" s="1"/>
  <c r="A383" i="127" s="1"/>
  <c r="A395" i="127" s="1"/>
  <c r="A407" i="127" s="1"/>
  <c r="A419" i="127" s="1"/>
  <c r="A431" i="127" s="1"/>
  <c r="A443" i="127" s="1"/>
  <c r="A178" i="127"/>
  <c r="A190" i="127" s="1"/>
  <c r="A202" i="127" s="1"/>
  <c r="A214" i="127" s="1"/>
  <c r="A226" i="127" s="1"/>
  <c r="A238" i="127" s="1"/>
  <c r="A250" i="127" s="1"/>
  <c r="A262" i="127" s="1"/>
  <c r="A274" i="127" s="1"/>
  <c r="A286" i="127" s="1"/>
  <c r="A298" i="127" s="1"/>
  <c r="A310" i="127" s="1"/>
  <c r="A322" i="127" s="1"/>
  <c r="A334" i="127" s="1"/>
  <c r="D142" i="132"/>
  <c r="D143" i="132"/>
  <c r="D144" i="132"/>
  <c r="D145" i="132"/>
  <c r="D146" i="132"/>
  <c r="D147" i="132"/>
  <c r="D148" i="132"/>
  <c r="D149" i="132"/>
  <c r="D150" i="132"/>
  <c r="D151" i="132"/>
  <c r="D152" i="132"/>
  <c r="D153" i="132"/>
  <c r="D154" i="132"/>
  <c r="D155" i="132"/>
  <c r="D156" i="132"/>
  <c r="D157" i="132"/>
  <c r="D158" i="132"/>
  <c r="D159" i="132"/>
  <c r="D160" i="132"/>
  <c r="D161" i="132"/>
  <c r="D162" i="132"/>
  <c r="D163" i="132"/>
  <c r="D164" i="132"/>
  <c r="D165" i="132"/>
  <c r="D166" i="132"/>
  <c r="D167" i="132"/>
  <c r="D168" i="132"/>
  <c r="D169" i="132"/>
  <c r="D170" i="132"/>
  <c r="D171" i="132"/>
  <c r="D172" i="132"/>
  <c r="D173" i="132"/>
  <c r="D174" i="132"/>
  <c r="D175" i="132"/>
  <c r="D176" i="132"/>
  <c r="D177" i="132"/>
  <c r="D178" i="132"/>
  <c r="D179" i="132"/>
  <c r="D180" i="132"/>
  <c r="D181" i="132"/>
  <c r="D182" i="132"/>
  <c r="D183" i="132"/>
  <c r="D184" i="132"/>
  <c r="D185" i="132"/>
  <c r="D186" i="132"/>
  <c r="D187" i="132"/>
  <c r="D188" i="132"/>
  <c r="D189" i="132"/>
  <c r="D190" i="132"/>
  <c r="D191" i="132"/>
  <c r="D192" i="132"/>
  <c r="D193" i="132"/>
  <c r="D194" i="132"/>
  <c r="D195" i="132"/>
  <c r="D196" i="132"/>
  <c r="D197" i="132"/>
  <c r="D198" i="132"/>
  <c r="D199" i="132"/>
  <c r="D200" i="132"/>
  <c r="D201" i="132"/>
  <c r="A202" i="132"/>
  <c r="A214" i="132" s="1"/>
  <c r="A226" i="132" s="1"/>
  <c r="A238" i="132" s="1"/>
  <c r="A250" i="132" s="1"/>
  <c r="A262" i="132" s="1"/>
  <c r="A274" i="132" s="1"/>
  <c r="A286" i="132" s="1"/>
  <c r="A298" i="132" s="1"/>
  <c r="A310" i="132" s="1"/>
  <c r="A322" i="132" s="1"/>
  <c r="A334" i="132" s="1"/>
  <c r="A346" i="132" s="1"/>
  <c r="A358" i="132" s="1"/>
  <c r="A370" i="132" s="1"/>
  <c r="A382" i="132" s="1"/>
  <c r="A394" i="132" s="1"/>
  <c r="A406" i="132" s="1"/>
  <c r="A418" i="132" s="1"/>
  <c r="A430" i="132" s="1"/>
  <c r="A442" i="132" s="1"/>
  <c r="A454" i="132" s="1"/>
  <c r="D202" i="132"/>
  <c r="A203" i="132"/>
  <c r="A215" i="132" s="1"/>
  <c r="A227" i="132" s="1"/>
  <c r="A239" i="132" s="1"/>
  <c r="A251" i="132" s="1"/>
  <c r="A263" i="132" s="1"/>
  <c r="A275" i="132" s="1"/>
  <c r="A287" i="132" s="1"/>
  <c r="A299" i="132" s="1"/>
  <c r="A311" i="132" s="1"/>
  <c r="A323" i="132" s="1"/>
  <c r="A335" i="132" s="1"/>
  <c r="A347" i="132" s="1"/>
  <c r="A359" i="132" s="1"/>
  <c r="A371" i="132" s="1"/>
  <c r="A383" i="132" s="1"/>
  <c r="A395" i="132" s="1"/>
  <c r="A407" i="132" s="1"/>
  <c r="A419" i="132" s="1"/>
  <c r="A431" i="132" s="1"/>
  <c r="A443" i="132" s="1"/>
  <c r="A455" i="132" s="1"/>
  <c r="D203" i="132"/>
  <c r="A204" i="132"/>
  <c r="A216" i="132" s="1"/>
  <c r="A228" i="132" s="1"/>
  <c r="A240" i="132" s="1"/>
  <c r="A252" i="132" s="1"/>
  <c r="A264" i="132" s="1"/>
  <c r="A276" i="132" s="1"/>
  <c r="A288" i="132" s="1"/>
  <c r="A300" i="132" s="1"/>
  <c r="A312" i="132" s="1"/>
  <c r="A324" i="132" s="1"/>
  <c r="A336" i="132" s="1"/>
  <c r="A348" i="132" s="1"/>
  <c r="A360" i="132" s="1"/>
  <c r="A372" i="132" s="1"/>
  <c r="A384" i="132" s="1"/>
  <c r="A396" i="132" s="1"/>
  <c r="A408" i="132" s="1"/>
  <c r="A420" i="132" s="1"/>
  <c r="A432" i="132" s="1"/>
  <c r="A444" i="132" s="1"/>
  <c r="A456" i="132" s="1"/>
  <c r="D204" i="132"/>
  <c r="A205" i="132"/>
  <c r="A217" i="132" s="1"/>
  <c r="A229" i="132" s="1"/>
  <c r="A241" i="132" s="1"/>
  <c r="A253" i="132" s="1"/>
  <c r="A265" i="132" s="1"/>
  <c r="A277" i="132" s="1"/>
  <c r="A289" i="132" s="1"/>
  <c r="A301" i="132" s="1"/>
  <c r="A313" i="132" s="1"/>
  <c r="A325" i="132" s="1"/>
  <c r="A337" i="132" s="1"/>
  <c r="A349" i="132" s="1"/>
  <c r="A361" i="132" s="1"/>
  <c r="A373" i="132" s="1"/>
  <c r="A385" i="132" s="1"/>
  <c r="A397" i="132" s="1"/>
  <c r="A409" i="132" s="1"/>
  <c r="A421" i="132" s="1"/>
  <c r="A433" i="132" s="1"/>
  <c r="A445" i="132" s="1"/>
  <c r="A457" i="132" s="1"/>
  <c r="D205" i="132"/>
  <c r="A206" i="132"/>
  <c r="A218" i="132" s="1"/>
  <c r="A230" i="132" s="1"/>
  <c r="A242" i="132" s="1"/>
  <c r="A254" i="132" s="1"/>
  <c r="A266" i="132" s="1"/>
  <c r="A278" i="132" s="1"/>
  <c r="A290" i="132" s="1"/>
  <c r="A302" i="132" s="1"/>
  <c r="A314" i="132" s="1"/>
  <c r="A326" i="132" s="1"/>
  <c r="A338" i="132" s="1"/>
  <c r="A350" i="132" s="1"/>
  <c r="A362" i="132" s="1"/>
  <c r="A374" i="132" s="1"/>
  <c r="A386" i="132" s="1"/>
  <c r="A398" i="132" s="1"/>
  <c r="A410" i="132" s="1"/>
  <c r="A422" i="132" s="1"/>
  <c r="A434" i="132" s="1"/>
  <c r="A446" i="132" s="1"/>
  <c r="A458" i="132" s="1"/>
  <c r="D206" i="132"/>
  <c r="A207" i="132"/>
  <c r="A219" i="132" s="1"/>
  <c r="A231" i="132" s="1"/>
  <c r="A243" i="132" s="1"/>
  <c r="A255" i="132" s="1"/>
  <c r="A267" i="132" s="1"/>
  <c r="A279" i="132" s="1"/>
  <c r="A291" i="132" s="1"/>
  <c r="A303" i="132" s="1"/>
  <c r="A315" i="132" s="1"/>
  <c r="A327" i="132" s="1"/>
  <c r="A339" i="132" s="1"/>
  <c r="A351" i="132" s="1"/>
  <c r="A363" i="132" s="1"/>
  <c r="A375" i="132" s="1"/>
  <c r="A387" i="132" s="1"/>
  <c r="A399" i="132" s="1"/>
  <c r="A411" i="132" s="1"/>
  <c r="A423" i="132" s="1"/>
  <c r="A435" i="132" s="1"/>
  <c r="A447" i="132" s="1"/>
  <c r="A459" i="132" s="1"/>
  <c r="D207" i="132"/>
  <c r="A208" i="132"/>
  <c r="A220" i="132" s="1"/>
  <c r="A232" i="132" s="1"/>
  <c r="A244" i="132" s="1"/>
  <c r="A256" i="132" s="1"/>
  <c r="A268" i="132" s="1"/>
  <c r="A280" i="132" s="1"/>
  <c r="A292" i="132" s="1"/>
  <c r="A304" i="132" s="1"/>
  <c r="A316" i="132" s="1"/>
  <c r="A328" i="132" s="1"/>
  <c r="A340" i="132" s="1"/>
  <c r="A352" i="132" s="1"/>
  <c r="A364" i="132" s="1"/>
  <c r="A376" i="132" s="1"/>
  <c r="A388" i="132" s="1"/>
  <c r="A400" i="132" s="1"/>
  <c r="A412" i="132" s="1"/>
  <c r="A424" i="132" s="1"/>
  <c r="A436" i="132" s="1"/>
  <c r="A448" i="132" s="1"/>
  <c r="A460" i="132" s="1"/>
  <c r="D208" i="132"/>
  <c r="A209" i="132"/>
  <c r="A221" i="132" s="1"/>
  <c r="A233" i="132" s="1"/>
  <c r="A245" i="132" s="1"/>
  <c r="A257" i="132" s="1"/>
  <c r="A269" i="132" s="1"/>
  <c r="A281" i="132" s="1"/>
  <c r="A293" i="132" s="1"/>
  <c r="A305" i="132" s="1"/>
  <c r="A317" i="132" s="1"/>
  <c r="A329" i="132" s="1"/>
  <c r="A341" i="132" s="1"/>
  <c r="A353" i="132" s="1"/>
  <c r="A365" i="132" s="1"/>
  <c r="A377" i="132" s="1"/>
  <c r="A389" i="132" s="1"/>
  <c r="A401" i="132" s="1"/>
  <c r="A413" i="132" s="1"/>
  <c r="A425" i="132" s="1"/>
  <c r="A437" i="132" s="1"/>
  <c r="A449" i="132" s="1"/>
  <c r="A461" i="132" s="1"/>
  <c r="D209" i="132"/>
  <c r="A210" i="132"/>
  <c r="A222" i="132" s="1"/>
  <c r="A234" i="132" s="1"/>
  <c r="A246" i="132" s="1"/>
  <c r="A258" i="132" s="1"/>
  <c r="A270" i="132" s="1"/>
  <c r="A282" i="132" s="1"/>
  <c r="A294" i="132" s="1"/>
  <c r="A306" i="132" s="1"/>
  <c r="A318" i="132" s="1"/>
  <c r="A330" i="132" s="1"/>
  <c r="A342" i="132" s="1"/>
  <c r="A354" i="132" s="1"/>
  <c r="A366" i="132" s="1"/>
  <c r="A378" i="132" s="1"/>
  <c r="A390" i="132" s="1"/>
  <c r="A402" i="132" s="1"/>
  <c r="A414" i="132" s="1"/>
  <c r="A426" i="132" s="1"/>
  <c r="A438" i="132" s="1"/>
  <c r="A450" i="132" s="1"/>
  <c r="A462" i="132" s="1"/>
  <c r="D210" i="132"/>
  <c r="A211" i="132"/>
  <c r="A223" i="132" s="1"/>
  <c r="A235" i="132" s="1"/>
  <c r="A247" i="132" s="1"/>
  <c r="A259" i="132" s="1"/>
  <c r="A271" i="132" s="1"/>
  <c r="A283" i="132" s="1"/>
  <c r="A295" i="132" s="1"/>
  <c r="A307" i="132" s="1"/>
  <c r="A319" i="132" s="1"/>
  <c r="A331" i="132" s="1"/>
  <c r="A343" i="132" s="1"/>
  <c r="A355" i="132" s="1"/>
  <c r="A367" i="132" s="1"/>
  <c r="A379" i="132" s="1"/>
  <c r="A391" i="132" s="1"/>
  <c r="A403" i="132" s="1"/>
  <c r="A415" i="132" s="1"/>
  <c r="A427" i="132" s="1"/>
  <c r="A439" i="132" s="1"/>
  <c r="A451" i="132" s="1"/>
  <c r="A463" i="132" s="1"/>
  <c r="D211" i="132"/>
  <c r="A212" i="132"/>
  <c r="A224" i="132" s="1"/>
  <c r="A236" i="132" s="1"/>
  <c r="A248" i="132" s="1"/>
  <c r="A260" i="132" s="1"/>
  <c r="A272" i="132" s="1"/>
  <c r="A284" i="132" s="1"/>
  <c r="A296" i="132" s="1"/>
  <c r="A308" i="132" s="1"/>
  <c r="A320" i="132" s="1"/>
  <c r="A332" i="132" s="1"/>
  <c r="A344" i="132" s="1"/>
  <c r="A356" i="132" s="1"/>
  <c r="A368" i="132" s="1"/>
  <c r="A380" i="132" s="1"/>
  <c r="A392" i="132" s="1"/>
  <c r="A404" i="132" s="1"/>
  <c r="A416" i="132" s="1"/>
  <c r="A428" i="132" s="1"/>
  <c r="A440" i="132" s="1"/>
  <c r="A452" i="132" s="1"/>
  <c r="A464" i="132" s="1"/>
  <c r="D212" i="132"/>
  <c r="A213" i="132"/>
  <c r="A225" i="132" s="1"/>
  <c r="A237" i="132" s="1"/>
  <c r="A249" i="132" s="1"/>
  <c r="A261" i="132" s="1"/>
  <c r="A273" i="132" s="1"/>
  <c r="A285" i="132" s="1"/>
  <c r="A297" i="132" s="1"/>
  <c r="A309" i="132" s="1"/>
  <c r="A321" i="132" s="1"/>
  <c r="A333" i="132" s="1"/>
  <c r="A345" i="132" s="1"/>
  <c r="A357" i="132" s="1"/>
  <c r="A369" i="132" s="1"/>
  <c r="A381" i="132" s="1"/>
  <c r="A393" i="132" s="1"/>
  <c r="A405" i="132" s="1"/>
  <c r="A417" i="132" s="1"/>
  <c r="A429" i="132" s="1"/>
  <c r="A441" i="132" s="1"/>
  <c r="A453" i="132" s="1"/>
  <c r="A465" i="132" s="1"/>
  <c r="D213" i="132"/>
  <c r="D214" i="132"/>
  <c r="D215" i="132"/>
  <c r="D216" i="132"/>
  <c r="D217" i="132"/>
  <c r="D218" i="132"/>
  <c r="D219" i="132"/>
  <c r="D220" i="132"/>
  <c r="D221" i="132"/>
  <c r="D222" i="132"/>
  <c r="D223" i="132"/>
  <c r="D224" i="132"/>
  <c r="D225" i="132"/>
  <c r="D226" i="132"/>
  <c r="D227" i="132"/>
  <c r="D228" i="132"/>
  <c r="D229" i="132"/>
  <c r="D230" i="132"/>
  <c r="D231" i="132"/>
  <c r="D232" i="132"/>
  <c r="D233" i="132"/>
  <c r="D234" i="132"/>
  <c r="D235" i="132"/>
  <c r="D236" i="132"/>
  <c r="D237" i="132"/>
  <c r="D238" i="132"/>
  <c r="D239" i="132"/>
  <c r="D240" i="132"/>
  <c r="D241" i="132"/>
  <c r="D242" i="132"/>
  <c r="D243" i="132"/>
  <c r="D244" i="132"/>
  <c r="D245" i="132"/>
  <c r="D246" i="132"/>
  <c r="D247" i="132"/>
  <c r="D248" i="132"/>
  <c r="D249" i="132"/>
  <c r="D250" i="132"/>
  <c r="D251" i="132"/>
  <c r="D252" i="132"/>
  <c r="D253" i="132"/>
  <c r="D254" i="132"/>
  <c r="D255" i="132"/>
  <c r="D256" i="132"/>
  <c r="D257" i="132"/>
  <c r="D258" i="132"/>
  <c r="D259" i="132"/>
  <c r="D260" i="132"/>
  <c r="D261" i="132"/>
  <c r="D262" i="132"/>
  <c r="D263" i="132"/>
  <c r="D264" i="132"/>
  <c r="D265" i="132"/>
  <c r="D266" i="132"/>
  <c r="D267" i="132"/>
  <c r="D268" i="132"/>
  <c r="D269" i="132"/>
  <c r="D270" i="132"/>
  <c r="D271" i="132"/>
  <c r="D272" i="132"/>
  <c r="D273" i="132"/>
  <c r="D274" i="132"/>
  <c r="D275" i="132"/>
  <c r="D276" i="132"/>
  <c r="D277" i="132"/>
  <c r="D278" i="132"/>
  <c r="D279" i="132"/>
  <c r="D280" i="132"/>
  <c r="D281" i="132"/>
  <c r="D282" i="132"/>
  <c r="D283" i="132"/>
  <c r="D284" i="132"/>
  <c r="D285" i="132"/>
  <c r="D286" i="132"/>
  <c r="D287" i="132"/>
  <c r="D288" i="132"/>
  <c r="D289" i="132"/>
  <c r="D290" i="132"/>
  <c r="D291" i="132"/>
  <c r="D292" i="132"/>
  <c r="D293" i="132"/>
  <c r="D294" i="132"/>
  <c r="D295" i="132"/>
  <c r="D296" i="132"/>
  <c r="D297" i="132"/>
  <c r="D298" i="132"/>
  <c r="D299" i="132"/>
  <c r="D300" i="132"/>
  <c r="D301" i="132"/>
  <c r="D302" i="132"/>
  <c r="D303" i="132"/>
  <c r="D304" i="132"/>
  <c r="D305" i="132"/>
  <c r="D306" i="132"/>
  <c r="D307" i="132"/>
  <c r="D308" i="132"/>
  <c r="D309" i="132"/>
  <c r="D310" i="132"/>
  <c r="D311" i="132"/>
  <c r="D312" i="132"/>
  <c r="D313" i="132"/>
  <c r="D314" i="132"/>
  <c r="D315" i="132"/>
  <c r="D316" i="132"/>
  <c r="D317" i="132"/>
  <c r="D318" i="132"/>
  <c r="D319" i="132"/>
  <c r="D320" i="132"/>
  <c r="D321" i="132"/>
  <c r="D322" i="132"/>
  <c r="D323" i="132"/>
  <c r="D324" i="132"/>
  <c r="D325" i="132"/>
  <c r="D326" i="132"/>
  <c r="D327" i="132"/>
  <c r="D328" i="132"/>
  <c r="D329" i="132"/>
  <c r="D330" i="132"/>
  <c r="D331" i="132"/>
  <c r="D332" i="132"/>
  <c r="D333" i="132"/>
  <c r="D334" i="132"/>
  <c r="D335" i="132"/>
  <c r="D336" i="132"/>
  <c r="D337" i="132"/>
  <c r="D338" i="132"/>
  <c r="D339" i="132"/>
  <c r="D340" i="132"/>
  <c r="D341" i="132"/>
  <c r="D342" i="132"/>
  <c r="D343" i="132"/>
  <c r="D344" i="132"/>
  <c r="D345" i="132"/>
  <c r="D346" i="132"/>
  <c r="D347" i="132"/>
  <c r="D348" i="132"/>
  <c r="D349" i="132"/>
  <c r="D350" i="132"/>
  <c r="D351" i="132"/>
  <c r="D352" i="132"/>
  <c r="D353" i="132"/>
  <c r="D354" i="132"/>
  <c r="D355" i="132"/>
  <c r="D356" i="132"/>
  <c r="D357" i="132"/>
  <c r="D358" i="132"/>
  <c r="D359" i="132"/>
  <c r="D360" i="132"/>
  <c r="D361" i="132"/>
  <c r="D362" i="132"/>
  <c r="D363" i="132"/>
  <c r="D364" i="132"/>
  <c r="D365" i="132"/>
  <c r="D366" i="132"/>
  <c r="D367" i="132"/>
  <c r="D368" i="132"/>
  <c r="D369" i="132"/>
  <c r="D371" i="132"/>
  <c r="D372" i="132"/>
  <c r="D373" i="132"/>
  <c r="D374" i="132"/>
  <c r="D375" i="132"/>
  <c r="D376" i="132"/>
  <c r="D377" i="132"/>
  <c r="D378" i="132"/>
  <c r="D379" i="132"/>
  <c r="D380" i="132"/>
  <c r="D381" i="132"/>
  <c r="D382" i="132"/>
  <c r="D383" i="132"/>
  <c r="D384" i="132"/>
  <c r="D385" i="132"/>
  <c r="D386" i="132"/>
  <c r="D387" i="132"/>
  <c r="D388" i="132"/>
  <c r="D389" i="132"/>
  <c r="D390" i="132"/>
  <c r="D391" i="132"/>
  <c r="D392" i="132"/>
  <c r="D393" i="132"/>
  <c r="D394" i="132"/>
  <c r="D395" i="132"/>
  <c r="D396" i="132"/>
  <c r="D397" i="132"/>
  <c r="D398" i="132"/>
  <c r="D399" i="132"/>
  <c r="D400" i="132"/>
  <c r="D401" i="132"/>
  <c r="D402" i="132"/>
  <c r="D403" i="132"/>
  <c r="D404" i="132"/>
  <c r="D405" i="132"/>
  <c r="A346" i="127" l="1"/>
  <c r="A358" i="127" s="1"/>
  <c r="A370" i="127" s="1"/>
  <c r="A382" i="127" s="1"/>
  <c r="A394" i="127" s="1"/>
  <c r="A406" i="127" s="1"/>
  <c r="A418" i="127" s="1"/>
  <c r="A430" i="127" s="1"/>
  <c r="A442" i="127" s="1"/>
  <c r="Z152" i="106" l="1"/>
  <c r="Z153" i="106"/>
  <c r="Z154" i="106"/>
  <c r="Z155" i="106"/>
  <c r="Z156" i="106"/>
  <c r="Z157" i="106"/>
  <c r="Z158" i="106"/>
  <c r="Z159" i="106"/>
  <c r="Z160" i="106"/>
  <c r="Z161" i="106"/>
  <c r="Z162" i="106"/>
  <c r="Z163" i="106"/>
  <c r="Z164" i="106"/>
  <c r="Z165" i="106"/>
  <c r="Z166" i="106"/>
  <c r="Z167" i="106"/>
  <c r="Z168" i="106"/>
  <c r="Z169" i="106"/>
  <c r="Z170" i="106"/>
  <c r="Z171" i="106"/>
  <c r="Z172" i="106"/>
  <c r="Z173" i="106"/>
  <c r="Z174" i="106"/>
  <c r="Z175" i="106"/>
  <c r="Z176" i="106"/>
  <c r="Z177" i="106"/>
  <c r="Z178" i="106"/>
  <c r="Z179" i="106"/>
  <c r="Z180" i="106"/>
  <c r="Z181" i="106"/>
  <c r="Z182" i="106"/>
  <c r="Z183" i="106"/>
  <c r="Z184" i="106"/>
  <c r="Z185" i="106"/>
  <c r="Z186" i="106"/>
  <c r="Z187" i="106"/>
  <c r="Z188" i="106"/>
  <c r="Z189" i="106"/>
  <c r="Z190" i="106"/>
  <c r="Z191" i="106"/>
  <c r="Z192" i="106"/>
  <c r="Z193" i="106"/>
  <c r="Z194" i="106"/>
  <c r="Z195" i="106"/>
  <c r="Z196" i="106"/>
  <c r="Z197" i="106"/>
  <c r="Z198" i="106"/>
  <c r="Z199" i="106"/>
  <c r="Z200" i="106"/>
  <c r="Z201" i="106"/>
  <c r="Z202" i="106"/>
  <c r="Z203" i="106"/>
  <c r="Z204" i="106"/>
  <c r="Z205" i="106"/>
  <c r="Z206" i="106"/>
  <c r="Z207" i="106"/>
  <c r="Z208" i="106"/>
  <c r="Z209" i="106"/>
  <c r="Z215" i="106"/>
  <c r="Z216" i="106"/>
  <c r="Z217" i="106"/>
  <c r="Z218" i="106"/>
  <c r="Z219" i="106"/>
  <c r="Z220" i="106"/>
  <c r="Z221" i="106"/>
  <c r="Z222" i="106"/>
  <c r="N371" i="38" l="1"/>
  <c r="I371" i="38"/>
  <c r="L383" i="108" l="1"/>
  <c r="D382" i="89" l="1"/>
  <c r="B382" i="89"/>
  <c r="B380" i="89"/>
  <c r="B381" i="89"/>
  <c r="C202" i="105" l="1"/>
  <c r="C203" i="105" s="1"/>
  <c r="C204" i="105" s="1"/>
  <c r="C205" i="105" s="1"/>
  <c r="C206" i="105" s="1"/>
  <c r="C207" i="105" s="1"/>
  <c r="C208" i="105" s="1"/>
  <c r="B202" i="105"/>
  <c r="B203" i="105" s="1"/>
  <c r="B204" i="105" s="1"/>
  <c r="B205" i="105" s="1"/>
  <c r="B206" i="105" s="1"/>
  <c r="B207" i="105" s="1"/>
  <c r="B208" i="105" s="1"/>
  <c r="B209" i="105" s="1"/>
  <c r="D211" i="105" l="1"/>
  <c r="L370" i="38"/>
  <c r="D355" i="52" l="1"/>
  <c r="D351" i="52"/>
  <c r="D352" i="52"/>
  <c r="D353" i="52"/>
  <c r="D354" i="52"/>
  <c r="D350" i="52"/>
  <c r="A225" i="128"/>
  <c r="A237" i="128" s="1"/>
  <c r="A249" i="128" s="1"/>
  <c r="A261" i="128" s="1"/>
  <c r="A273" i="128" s="1"/>
  <c r="A285" i="128" s="1"/>
  <c r="A297" i="128" s="1"/>
  <c r="A309" i="128" s="1"/>
  <c r="A321" i="128" s="1"/>
  <c r="A333" i="128" s="1"/>
  <c r="A345" i="128" s="1"/>
  <c r="A357" i="128" s="1"/>
  <c r="A369" i="128" s="1"/>
  <c r="A381" i="128" s="1"/>
  <c r="A393" i="128" s="1"/>
  <c r="A405" i="128" s="1"/>
  <c r="A417" i="128" s="1"/>
  <c r="A429" i="128" s="1"/>
  <c r="A441" i="128" s="1"/>
  <c r="A453" i="128" s="1"/>
  <c r="A465" i="128" s="1"/>
  <c r="A477" i="128" s="1"/>
  <c r="A489" i="128" s="1"/>
  <c r="A224" i="128"/>
  <c r="A236" i="128" s="1"/>
  <c r="A248" i="128" s="1"/>
  <c r="A260" i="128" s="1"/>
  <c r="A272" i="128" s="1"/>
  <c r="A284" i="128" s="1"/>
  <c r="A296" i="128" s="1"/>
  <c r="A308" i="128" s="1"/>
  <c r="A320" i="128" s="1"/>
  <c r="A332" i="128" s="1"/>
  <c r="A344" i="128" s="1"/>
  <c r="A356" i="128" s="1"/>
  <c r="A368" i="128" s="1"/>
  <c r="A380" i="128" s="1"/>
  <c r="A392" i="128" s="1"/>
  <c r="A404" i="128" s="1"/>
  <c r="A416" i="128" s="1"/>
  <c r="A428" i="128" s="1"/>
  <c r="A440" i="128" s="1"/>
  <c r="A452" i="128" s="1"/>
  <c r="A464" i="128" s="1"/>
  <c r="A476" i="128" s="1"/>
  <c r="A488" i="128" s="1"/>
  <c r="A223" i="128"/>
  <c r="A235" i="128" s="1"/>
  <c r="A247" i="128" s="1"/>
  <c r="A259" i="128" s="1"/>
  <c r="A271" i="128" s="1"/>
  <c r="A283" i="128" s="1"/>
  <c r="A295" i="128" s="1"/>
  <c r="A307" i="128" s="1"/>
  <c r="A319" i="128" s="1"/>
  <c r="A331" i="128" s="1"/>
  <c r="A343" i="128" s="1"/>
  <c r="A355" i="128" s="1"/>
  <c r="A367" i="128" s="1"/>
  <c r="A379" i="128" s="1"/>
  <c r="A391" i="128" s="1"/>
  <c r="A403" i="128" s="1"/>
  <c r="A415" i="128" s="1"/>
  <c r="A427" i="128" s="1"/>
  <c r="A439" i="128" s="1"/>
  <c r="A451" i="128" s="1"/>
  <c r="A463" i="128" s="1"/>
  <c r="A475" i="128" s="1"/>
  <c r="A487" i="128" s="1"/>
  <c r="A222" i="128"/>
  <c r="A234" i="128" s="1"/>
  <c r="A246" i="128" s="1"/>
  <c r="A258" i="128" s="1"/>
  <c r="A270" i="128" s="1"/>
  <c r="A282" i="128" s="1"/>
  <c r="A294" i="128" s="1"/>
  <c r="A306" i="128" s="1"/>
  <c r="A318" i="128" s="1"/>
  <c r="A330" i="128" s="1"/>
  <c r="A342" i="128" s="1"/>
  <c r="A354" i="128" s="1"/>
  <c r="A366" i="128" s="1"/>
  <c r="A378" i="128" s="1"/>
  <c r="A390" i="128" s="1"/>
  <c r="A402" i="128" s="1"/>
  <c r="A414" i="128" s="1"/>
  <c r="A426" i="128" s="1"/>
  <c r="A438" i="128" s="1"/>
  <c r="A450" i="128" s="1"/>
  <c r="A462" i="128" s="1"/>
  <c r="A474" i="128" s="1"/>
  <c r="A486" i="128" s="1"/>
  <c r="A221" i="128"/>
  <c r="A233" i="128" s="1"/>
  <c r="A245" i="128" s="1"/>
  <c r="A257" i="128" s="1"/>
  <c r="A269" i="128" s="1"/>
  <c r="A281" i="128" s="1"/>
  <c r="A293" i="128" s="1"/>
  <c r="A305" i="128" s="1"/>
  <c r="A317" i="128" s="1"/>
  <c r="A329" i="128" s="1"/>
  <c r="A341" i="128" s="1"/>
  <c r="A353" i="128" s="1"/>
  <c r="A365" i="128" s="1"/>
  <c r="A377" i="128" s="1"/>
  <c r="A389" i="128" s="1"/>
  <c r="A401" i="128" s="1"/>
  <c r="A413" i="128" s="1"/>
  <c r="A425" i="128" s="1"/>
  <c r="A437" i="128" s="1"/>
  <c r="A449" i="128" s="1"/>
  <c r="A461" i="128" s="1"/>
  <c r="A473" i="128" s="1"/>
  <c r="A485" i="128" s="1"/>
  <c r="A220" i="128"/>
  <c r="A232" i="128" s="1"/>
  <c r="A244" i="128" s="1"/>
  <c r="A256" i="128" s="1"/>
  <c r="A268" i="128" s="1"/>
  <c r="A280" i="128" s="1"/>
  <c r="A292" i="128" s="1"/>
  <c r="A304" i="128" s="1"/>
  <c r="A316" i="128" s="1"/>
  <c r="A328" i="128" s="1"/>
  <c r="A340" i="128" s="1"/>
  <c r="A352" i="128" s="1"/>
  <c r="A364" i="128" s="1"/>
  <c r="A376" i="128" s="1"/>
  <c r="A388" i="128" s="1"/>
  <c r="A400" i="128" s="1"/>
  <c r="A412" i="128" s="1"/>
  <c r="A424" i="128" s="1"/>
  <c r="A436" i="128" s="1"/>
  <c r="A448" i="128" s="1"/>
  <c r="A460" i="128" s="1"/>
  <c r="A472" i="128" s="1"/>
  <c r="A484" i="128" s="1"/>
  <c r="A219" i="128"/>
  <c r="A231" i="128" s="1"/>
  <c r="A243" i="128" s="1"/>
  <c r="A255" i="128" s="1"/>
  <c r="A267" i="128" s="1"/>
  <c r="A279" i="128" s="1"/>
  <c r="A291" i="128" s="1"/>
  <c r="A303" i="128" s="1"/>
  <c r="A315" i="128" s="1"/>
  <c r="A327" i="128" s="1"/>
  <c r="A339" i="128" s="1"/>
  <c r="A351" i="128" s="1"/>
  <c r="A363" i="128" s="1"/>
  <c r="A375" i="128" s="1"/>
  <c r="A387" i="128" s="1"/>
  <c r="A399" i="128" s="1"/>
  <c r="A411" i="128" s="1"/>
  <c r="A423" i="128" s="1"/>
  <c r="A435" i="128" s="1"/>
  <c r="A447" i="128" s="1"/>
  <c r="A459" i="128" s="1"/>
  <c r="A471" i="128" s="1"/>
  <c r="A483" i="128" s="1"/>
  <c r="A218" i="128"/>
  <c r="A230" i="128" s="1"/>
  <c r="A242" i="128" s="1"/>
  <c r="A254" i="128" s="1"/>
  <c r="A266" i="128" s="1"/>
  <c r="A278" i="128" s="1"/>
  <c r="A290" i="128" s="1"/>
  <c r="A302" i="128" s="1"/>
  <c r="A314" i="128" s="1"/>
  <c r="A326" i="128" s="1"/>
  <c r="A338" i="128" s="1"/>
  <c r="A350" i="128" s="1"/>
  <c r="A362" i="128" s="1"/>
  <c r="A374" i="128" s="1"/>
  <c r="A386" i="128" s="1"/>
  <c r="A398" i="128" s="1"/>
  <c r="A410" i="128" s="1"/>
  <c r="A422" i="128" s="1"/>
  <c r="A434" i="128" s="1"/>
  <c r="A446" i="128" s="1"/>
  <c r="A458" i="128" s="1"/>
  <c r="A470" i="128" s="1"/>
  <c r="A482" i="128" s="1"/>
  <c r="A217" i="128"/>
  <c r="A229" i="128" s="1"/>
  <c r="A241" i="128" s="1"/>
  <c r="A253" i="128" s="1"/>
  <c r="A265" i="128" s="1"/>
  <c r="A277" i="128" s="1"/>
  <c r="A289" i="128" s="1"/>
  <c r="A301" i="128" s="1"/>
  <c r="A313" i="128" s="1"/>
  <c r="A325" i="128" s="1"/>
  <c r="A337" i="128" s="1"/>
  <c r="A349" i="128" s="1"/>
  <c r="A361" i="128" s="1"/>
  <c r="A373" i="128" s="1"/>
  <c r="A385" i="128" s="1"/>
  <c r="A397" i="128" s="1"/>
  <c r="A409" i="128" s="1"/>
  <c r="A421" i="128" s="1"/>
  <c r="A433" i="128" s="1"/>
  <c r="A445" i="128" s="1"/>
  <c r="A457" i="128" s="1"/>
  <c r="A469" i="128" s="1"/>
  <c r="A481" i="128" s="1"/>
  <c r="A216" i="128"/>
  <c r="A228" i="128" s="1"/>
  <c r="A240" i="128" s="1"/>
  <c r="A252" i="128" s="1"/>
  <c r="A264" i="128" s="1"/>
  <c r="A276" i="128" s="1"/>
  <c r="A288" i="128" s="1"/>
  <c r="A300" i="128" s="1"/>
  <c r="A312" i="128" s="1"/>
  <c r="A324" i="128" s="1"/>
  <c r="A336" i="128" s="1"/>
  <c r="A348" i="128" s="1"/>
  <c r="A360" i="128" s="1"/>
  <c r="A372" i="128" s="1"/>
  <c r="A384" i="128" s="1"/>
  <c r="A396" i="128" s="1"/>
  <c r="A408" i="128" s="1"/>
  <c r="A420" i="128" s="1"/>
  <c r="A432" i="128" s="1"/>
  <c r="A444" i="128" s="1"/>
  <c r="A456" i="128" s="1"/>
  <c r="A468" i="128" s="1"/>
  <c r="A480" i="128" s="1"/>
  <c r="A215" i="128"/>
  <c r="A227" i="128" s="1"/>
  <c r="A239" i="128" s="1"/>
  <c r="A251" i="128" s="1"/>
  <c r="A263" i="128" s="1"/>
  <c r="A275" i="128" s="1"/>
  <c r="A287" i="128" s="1"/>
  <c r="A299" i="128" s="1"/>
  <c r="A311" i="128" s="1"/>
  <c r="A323" i="128" s="1"/>
  <c r="A335" i="128" s="1"/>
  <c r="A347" i="128" s="1"/>
  <c r="A359" i="128" s="1"/>
  <c r="A371" i="128" s="1"/>
  <c r="A383" i="128" s="1"/>
  <c r="A395" i="128" s="1"/>
  <c r="A407" i="128" s="1"/>
  <c r="A419" i="128" s="1"/>
  <c r="A431" i="128" s="1"/>
  <c r="A443" i="128" s="1"/>
  <c r="A455" i="128" s="1"/>
  <c r="A467" i="128" s="1"/>
  <c r="A479" i="128" s="1"/>
  <c r="A214" i="128"/>
  <c r="A226" i="128" s="1"/>
  <c r="A238" i="128" s="1"/>
  <c r="A250" i="128" s="1"/>
  <c r="A262" i="128" s="1"/>
  <c r="A274" i="128" s="1"/>
  <c r="A286" i="128" s="1"/>
  <c r="A298" i="128" s="1"/>
  <c r="A310" i="128" s="1"/>
  <c r="A322" i="128" s="1"/>
  <c r="A334" i="128" s="1"/>
  <c r="A346" i="128" s="1"/>
  <c r="A358" i="128" s="1"/>
  <c r="A370" i="128" s="1"/>
  <c r="A382" i="128" s="1"/>
  <c r="A394" i="128" s="1"/>
  <c r="A406" i="128" s="1"/>
  <c r="A418" i="128" s="1"/>
  <c r="A430" i="128" s="1"/>
  <c r="A442" i="128" s="1"/>
  <c r="A454" i="128" s="1"/>
  <c r="A466" i="128" s="1"/>
  <c r="A478" i="128" s="1"/>
  <c r="J163" i="76" l="1"/>
  <c r="L376" i="108" l="1"/>
  <c r="B374" i="89" l="1"/>
  <c r="B373" i="89"/>
  <c r="B372" i="89"/>
  <c r="B371" i="89"/>
  <c r="B370" i="89"/>
  <c r="B375" i="89"/>
  <c r="Q344" i="38" l="1"/>
  <c r="L374" i="108" l="1"/>
  <c r="D79" i="30" l="1"/>
  <c r="D80" i="30"/>
  <c r="D81" i="30"/>
  <c r="D82" i="30"/>
  <c r="D83" i="30"/>
  <c r="D84" i="30"/>
  <c r="D85" i="30"/>
  <c r="D86" i="30"/>
  <c r="D87" i="30"/>
  <c r="D88" i="30"/>
  <c r="D89" i="30"/>
  <c r="D90" i="30"/>
  <c r="D91" i="30"/>
  <c r="D92" i="30"/>
  <c r="D93" i="30"/>
  <c r="D94" i="30"/>
  <c r="D95" i="30"/>
  <c r="D96" i="30"/>
  <c r="D97" i="30"/>
  <c r="D98" i="30"/>
  <c r="D99" i="30"/>
  <c r="D10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D129" i="30"/>
  <c r="D130" i="30"/>
  <c r="D131" i="30"/>
  <c r="D132" i="30"/>
  <c r="D133" i="30"/>
  <c r="D134" i="30"/>
  <c r="D135" i="30"/>
  <c r="D136" i="30"/>
  <c r="D137" i="30"/>
  <c r="D138" i="30"/>
  <c r="D139" i="30"/>
  <c r="D140" i="30"/>
  <c r="D141" i="30"/>
  <c r="D142" i="30"/>
  <c r="D143" i="30"/>
  <c r="D144" i="30"/>
  <c r="D145" i="30"/>
  <c r="D146" i="30"/>
  <c r="D147" i="30"/>
  <c r="D148" i="30"/>
  <c r="D149" i="30"/>
  <c r="D150" i="30"/>
  <c r="D151" i="30"/>
  <c r="D152" i="30"/>
  <c r="D153" i="30"/>
  <c r="D154" i="30"/>
  <c r="D155" i="30"/>
  <c r="D156" i="30"/>
  <c r="D157" i="30"/>
  <c r="D158" i="30"/>
  <c r="D159" i="30"/>
  <c r="D160" i="30"/>
  <c r="D161" i="30"/>
  <c r="D162" i="30"/>
  <c r="D163" i="30"/>
  <c r="D164" i="30"/>
  <c r="D165" i="30"/>
  <c r="D166" i="30"/>
  <c r="D167" i="30"/>
  <c r="D168" i="30"/>
  <c r="D169" i="30"/>
  <c r="D170" i="30"/>
  <c r="D171" i="30"/>
  <c r="D172" i="30"/>
  <c r="D173" i="30"/>
  <c r="D174" i="30"/>
  <c r="D175" i="30"/>
  <c r="D176" i="30"/>
  <c r="D177" i="30"/>
  <c r="D178" i="30"/>
  <c r="D179" i="30"/>
  <c r="D180" i="30"/>
  <c r="D181" i="30"/>
  <c r="D182" i="30"/>
  <c r="D183" i="30"/>
  <c r="D184" i="30"/>
  <c r="D185" i="30"/>
  <c r="D186" i="30"/>
  <c r="D187" i="30"/>
  <c r="D188" i="30"/>
  <c r="D189" i="30"/>
  <c r="D190" i="30"/>
  <c r="D191" i="30"/>
  <c r="D192" i="30"/>
  <c r="D193" i="30"/>
  <c r="D194" i="30"/>
  <c r="D195" i="30"/>
  <c r="D196" i="30"/>
  <c r="D197" i="30"/>
  <c r="D198" i="30"/>
  <c r="D199" i="30"/>
  <c r="D200" i="30"/>
  <c r="D201" i="30"/>
  <c r="D202" i="30"/>
  <c r="D203" i="30"/>
  <c r="D204" i="30"/>
  <c r="D205" i="30"/>
  <c r="D206" i="30"/>
  <c r="D207" i="30"/>
  <c r="D208" i="30"/>
  <c r="D209" i="30"/>
  <c r="D210" i="30"/>
  <c r="D211" i="30"/>
  <c r="D212" i="30"/>
  <c r="D213" i="30"/>
  <c r="D214" i="30"/>
  <c r="D215" i="30"/>
  <c r="D216" i="30"/>
  <c r="D217" i="30"/>
  <c r="D218" i="30"/>
  <c r="D219" i="30"/>
  <c r="D220" i="30"/>
  <c r="D221" i="30"/>
  <c r="D222" i="30"/>
  <c r="D223" i="30"/>
  <c r="D224" i="30"/>
  <c r="D225" i="30"/>
  <c r="D226" i="30"/>
  <c r="D227" i="30"/>
  <c r="D228" i="30"/>
  <c r="D229" i="30"/>
  <c r="D230" i="30"/>
  <c r="D231" i="30"/>
  <c r="D232" i="30"/>
  <c r="D233" i="30"/>
  <c r="D234" i="30"/>
  <c r="D235" i="30"/>
  <c r="D236" i="30"/>
  <c r="D237" i="30"/>
  <c r="D238" i="30"/>
  <c r="D239" i="30"/>
  <c r="D240" i="30"/>
  <c r="D241" i="30"/>
  <c r="D242" i="30"/>
  <c r="D243" i="30"/>
  <c r="D244" i="30"/>
  <c r="D245" i="30"/>
  <c r="D246" i="30"/>
  <c r="D247" i="30"/>
  <c r="D248" i="30"/>
  <c r="D249" i="30"/>
  <c r="D250" i="30"/>
  <c r="D251" i="30"/>
  <c r="D252" i="30"/>
  <c r="D253" i="30"/>
  <c r="D254" i="30"/>
  <c r="D255" i="30"/>
  <c r="D256" i="30"/>
  <c r="D257" i="30"/>
  <c r="D258" i="30"/>
  <c r="D259" i="30"/>
  <c r="D260" i="30"/>
  <c r="D261" i="30"/>
  <c r="D262" i="30"/>
  <c r="D263" i="30"/>
  <c r="D264" i="30"/>
  <c r="D265" i="30"/>
  <c r="D266" i="30"/>
  <c r="D267" i="30"/>
  <c r="D268" i="30"/>
  <c r="D269" i="30"/>
  <c r="D270" i="30"/>
  <c r="D271" i="30"/>
  <c r="D272" i="30"/>
  <c r="D273" i="30"/>
  <c r="D274" i="30"/>
  <c r="D275" i="30"/>
  <c r="D276" i="30"/>
  <c r="D277" i="30"/>
  <c r="D278" i="30"/>
  <c r="D279" i="30"/>
  <c r="D280" i="30"/>
  <c r="D281" i="30"/>
  <c r="D282" i="30"/>
  <c r="D283" i="30"/>
  <c r="D284" i="30"/>
  <c r="D285" i="30"/>
  <c r="D286" i="30"/>
  <c r="D287" i="30"/>
  <c r="D288" i="30"/>
  <c r="D289" i="30"/>
  <c r="D290" i="30"/>
  <c r="D291" i="30"/>
  <c r="D292" i="30"/>
  <c r="D293" i="30"/>
  <c r="D294" i="30"/>
  <c r="D295" i="30"/>
  <c r="D296" i="30"/>
  <c r="D297" i="30"/>
  <c r="D298" i="30"/>
  <c r="D299" i="30"/>
  <c r="D300" i="30"/>
  <c r="D301" i="30"/>
  <c r="D302" i="30"/>
  <c r="D303" i="30"/>
  <c r="D304" i="30"/>
  <c r="D305" i="30"/>
  <c r="D306" i="30"/>
  <c r="D307" i="30"/>
  <c r="D308" i="30"/>
  <c r="D309" i="30"/>
  <c r="D310" i="30"/>
  <c r="D311" i="30"/>
  <c r="D312" i="30"/>
  <c r="D313" i="30"/>
  <c r="D314" i="30"/>
  <c r="D315" i="30"/>
  <c r="D316" i="30"/>
  <c r="D317" i="30"/>
  <c r="D318" i="30"/>
  <c r="D319" i="30"/>
  <c r="D320" i="30"/>
  <c r="D321" i="30"/>
  <c r="D322" i="30"/>
  <c r="D323" i="30"/>
  <c r="D324" i="30"/>
  <c r="D325" i="30"/>
  <c r="D326" i="30"/>
  <c r="D327" i="30"/>
  <c r="D328" i="30"/>
  <c r="D329" i="30"/>
  <c r="D330" i="30"/>
  <c r="D331" i="30"/>
  <c r="D332" i="30"/>
  <c r="D333" i="30"/>
  <c r="D334" i="30"/>
  <c r="D335" i="30"/>
  <c r="D336" i="30"/>
  <c r="D337" i="30"/>
  <c r="D338" i="30"/>
  <c r="D339" i="30"/>
  <c r="D340" i="30"/>
  <c r="D341" i="30"/>
  <c r="D342" i="30"/>
  <c r="D343" i="30"/>
  <c r="D344" i="30"/>
  <c r="D345" i="30"/>
  <c r="D346" i="30"/>
  <c r="D347" i="30"/>
  <c r="D348" i="30"/>
  <c r="D349" i="30"/>
  <c r="D350" i="30"/>
  <c r="D351" i="30"/>
  <c r="D352" i="30"/>
  <c r="D353" i="30"/>
  <c r="D354" i="30"/>
  <c r="D355" i="30"/>
  <c r="D356" i="30"/>
  <c r="D357" i="30"/>
  <c r="D358" i="30"/>
  <c r="D359" i="30"/>
  <c r="D360" i="30"/>
  <c r="D361" i="30"/>
  <c r="D362" i="30"/>
  <c r="D363" i="30"/>
  <c r="D364" i="30"/>
  <c r="D365" i="30"/>
  <c r="D366" i="30"/>
  <c r="D367" i="30"/>
  <c r="D368" i="30"/>
  <c r="D369" i="30"/>
  <c r="D370" i="30"/>
  <c r="D371" i="30"/>
  <c r="D372" i="30"/>
  <c r="D373" i="30"/>
  <c r="D374" i="30"/>
  <c r="D375" i="30"/>
  <c r="D376" i="30"/>
  <c r="D377" i="30"/>
  <c r="D378" i="30"/>
  <c r="D379" i="30"/>
  <c r="D380" i="30"/>
  <c r="D381" i="30"/>
  <c r="D382" i="30"/>
  <c r="D383" i="30"/>
  <c r="D384" i="30"/>
  <c r="D385" i="30"/>
  <c r="D386" i="30"/>
  <c r="D387" i="30"/>
  <c r="D388" i="30"/>
  <c r="D389" i="30"/>
  <c r="D390" i="30"/>
  <c r="D391" i="30"/>
  <c r="D392" i="30"/>
  <c r="D393" i="30"/>
  <c r="D394" i="30"/>
  <c r="D395" i="30"/>
  <c r="D396" i="30"/>
  <c r="D397" i="30"/>
  <c r="D398" i="30"/>
  <c r="D399" i="30"/>
  <c r="D401" i="30"/>
  <c r="D402" i="30"/>
  <c r="D403" i="30"/>
  <c r="D404" i="30"/>
  <c r="D405" i="30"/>
  <c r="D406" i="30"/>
  <c r="D407" i="30"/>
  <c r="D408" i="30"/>
  <c r="D409" i="30"/>
  <c r="D410" i="30"/>
  <c r="D412" i="30"/>
  <c r="D413" i="30"/>
  <c r="D414" i="30"/>
  <c r="D415" i="30"/>
  <c r="D416" i="30"/>
  <c r="D417" i="30"/>
  <c r="D418" i="30"/>
  <c r="D419" i="30"/>
  <c r="D420" i="30"/>
  <c r="D421" i="30"/>
  <c r="D422" i="30"/>
  <c r="D423" i="30"/>
  <c r="D424" i="30"/>
  <c r="D425" i="30"/>
  <c r="D426" i="30"/>
  <c r="D427" i="30"/>
  <c r="D428" i="30"/>
  <c r="D429" i="30"/>
  <c r="D78" i="30"/>
  <c r="D77" i="30"/>
  <c r="J349" i="52" l="1"/>
  <c r="O348" i="4" l="1"/>
  <c r="D372" i="89" l="1"/>
  <c r="D371" i="89"/>
  <c r="D370" i="89"/>
  <c r="B359" i="89"/>
  <c r="G76" i="53" l="1"/>
  <c r="A189" i="130"/>
  <c r="A201" i="130" s="1"/>
  <c r="A213" i="130" s="1"/>
  <c r="A225" i="130" s="1"/>
  <c r="A237" i="130" s="1"/>
  <c r="A249" i="130" s="1"/>
  <c r="A261" i="130" s="1"/>
  <c r="A273" i="130" s="1"/>
  <c r="A285" i="130" s="1"/>
  <c r="A297" i="130" s="1"/>
  <c r="A309" i="130" s="1"/>
  <c r="A321" i="130" s="1"/>
  <c r="A333" i="130" s="1"/>
  <c r="A345" i="130" s="1"/>
  <c r="A357" i="130" s="1"/>
  <c r="A369" i="130" s="1"/>
  <c r="A381" i="130" s="1"/>
  <c r="A393" i="130" s="1"/>
  <c r="A188" i="130"/>
  <c r="A200" i="130" s="1"/>
  <c r="A212" i="130" s="1"/>
  <c r="A224" i="130" s="1"/>
  <c r="A236" i="130" s="1"/>
  <c r="A248" i="130" s="1"/>
  <c r="A260" i="130" s="1"/>
  <c r="A272" i="130" s="1"/>
  <c r="A284" i="130" s="1"/>
  <c r="A296" i="130" s="1"/>
  <c r="A308" i="130" s="1"/>
  <c r="A320" i="130" s="1"/>
  <c r="A332" i="130" s="1"/>
  <c r="A344" i="130" s="1"/>
  <c r="A356" i="130" s="1"/>
  <c r="A368" i="130" s="1"/>
  <c r="A380" i="130" s="1"/>
  <c r="A392" i="130" s="1"/>
  <c r="A187" i="130"/>
  <c r="A199" i="130" s="1"/>
  <c r="A211" i="130" s="1"/>
  <c r="A223" i="130" s="1"/>
  <c r="A235" i="130" s="1"/>
  <c r="A247" i="130" s="1"/>
  <c r="A259" i="130" s="1"/>
  <c r="A271" i="130" s="1"/>
  <c r="A283" i="130" s="1"/>
  <c r="A295" i="130" s="1"/>
  <c r="A307" i="130" s="1"/>
  <c r="A319" i="130" s="1"/>
  <c r="A331" i="130" s="1"/>
  <c r="A343" i="130" s="1"/>
  <c r="A355" i="130" s="1"/>
  <c r="A367" i="130" s="1"/>
  <c r="A379" i="130" s="1"/>
  <c r="A391" i="130" s="1"/>
  <c r="A186" i="130"/>
  <c r="A198" i="130" s="1"/>
  <c r="A210" i="130" s="1"/>
  <c r="A222" i="130" s="1"/>
  <c r="A234" i="130" s="1"/>
  <c r="A246" i="130" s="1"/>
  <c r="A258" i="130" s="1"/>
  <c r="A270" i="130" s="1"/>
  <c r="A282" i="130" s="1"/>
  <c r="A294" i="130" s="1"/>
  <c r="A306" i="130" s="1"/>
  <c r="A318" i="130" s="1"/>
  <c r="A330" i="130" s="1"/>
  <c r="A342" i="130" s="1"/>
  <c r="A354" i="130" s="1"/>
  <c r="A366" i="130" s="1"/>
  <c r="A378" i="130" s="1"/>
  <c r="A390" i="130" s="1"/>
  <c r="A185" i="130"/>
  <c r="A197" i="130" s="1"/>
  <c r="A209" i="130" s="1"/>
  <c r="A221" i="130" s="1"/>
  <c r="A233" i="130" s="1"/>
  <c r="A245" i="130" s="1"/>
  <c r="A257" i="130" s="1"/>
  <c r="A269" i="130" s="1"/>
  <c r="A281" i="130" s="1"/>
  <c r="A293" i="130" s="1"/>
  <c r="A305" i="130" s="1"/>
  <c r="A317" i="130" s="1"/>
  <c r="A329" i="130" s="1"/>
  <c r="A341" i="130" s="1"/>
  <c r="A353" i="130" s="1"/>
  <c r="A365" i="130" s="1"/>
  <c r="A377" i="130" s="1"/>
  <c r="A389" i="130" s="1"/>
  <c r="A184" i="130"/>
  <c r="A196" i="130" s="1"/>
  <c r="A208" i="130" s="1"/>
  <c r="A220" i="130" s="1"/>
  <c r="A232" i="130" s="1"/>
  <c r="A244" i="130" s="1"/>
  <c r="A256" i="130" s="1"/>
  <c r="A268" i="130" s="1"/>
  <c r="A280" i="130" s="1"/>
  <c r="A292" i="130" s="1"/>
  <c r="A304" i="130" s="1"/>
  <c r="A316" i="130" s="1"/>
  <c r="A328" i="130" s="1"/>
  <c r="A340" i="130" s="1"/>
  <c r="A352" i="130" s="1"/>
  <c r="A364" i="130" s="1"/>
  <c r="A376" i="130" s="1"/>
  <c r="A388" i="130" s="1"/>
  <c r="A183" i="130"/>
  <c r="A195" i="130" s="1"/>
  <c r="A207" i="130" s="1"/>
  <c r="A219" i="130" s="1"/>
  <c r="A231" i="130" s="1"/>
  <c r="A243" i="130" s="1"/>
  <c r="A255" i="130" s="1"/>
  <c r="A267" i="130" s="1"/>
  <c r="A279" i="130" s="1"/>
  <c r="A291" i="130" s="1"/>
  <c r="A303" i="130" s="1"/>
  <c r="A315" i="130" s="1"/>
  <c r="A327" i="130" s="1"/>
  <c r="A339" i="130" s="1"/>
  <c r="A351" i="130" s="1"/>
  <c r="A363" i="130" s="1"/>
  <c r="A375" i="130" s="1"/>
  <c r="A387" i="130" s="1"/>
  <c r="A182" i="130"/>
  <c r="A194" i="130" s="1"/>
  <c r="A206" i="130" s="1"/>
  <c r="A218" i="130" s="1"/>
  <c r="A230" i="130" s="1"/>
  <c r="A242" i="130" s="1"/>
  <c r="A254" i="130" s="1"/>
  <c r="A266" i="130" s="1"/>
  <c r="A278" i="130" s="1"/>
  <c r="A290" i="130" s="1"/>
  <c r="A302" i="130" s="1"/>
  <c r="A314" i="130" s="1"/>
  <c r="A326" i="130" s="1"/>
  <c r="A338" i="130" s="1"/>
  <c r="A350" i="130" s="1"/>
  <c r="A362" i="130" s="1"/>
  <c r="A181" i="130"/>
  <c r="A193" i="130" s="1"/>
  <c r="A205" i="130" s="1"/>
  <c r="A217" i="130" s="1"/>
  <c r="A229" i="130" s="1"/>
  <c r="A241" i="130" s="1"/>
  <c r="A253" i="130" s="1"/>
  <c r="A265" i="130" s="1"/>
  <c r="A277" i="130" s="1"/>
  <c r="A289" i="130" s="1"/>
  <c r="A301" i="130" s="1"/>
  <c r="A313" i="130" s="1"/>
  <c r="A325" i="130" s="1"/>
  <c r="A337" i="130" s="1"/>
  <c r="A349" i="130" s="1"/>
  <c r="A361" i="130" s="1"/>
  <c r="A373" i="130" s="1"/>
  <c r="A385" i="130" s="1"/>
  <c r="A180" i="130"/>
  <c r="A192" i="130" s="1"/>
  <c r="A204" i="130" s="1"/>
  <c r="A216" i="130" s="1"/>
  <c r="A228" i="130" s="1"/>
  <c r="A240" i="130" s="1"/>
  <c r="A252" i="130" s="1"/>
  <c r="A264" i="130" s="1"/>
  <c r="A276" i="130" s="1"/>
  <c r="A288" i="130" s="1"/>
  <c r="A300" i="130" s="1"/>
  <c r="A312" i="130" s="1"/>
  <c r="A324" i="130" s="1"/>
  <c r="A336" i="130" s="1"/>
  <c r="A348" i="130" s="1"/>
  <c r="A360" i="130" s="1"/>
  <c r="A372" i="130" s="1"/>
  <c r="A384" i="130" s="1"/>
  <c r="A179" i="130"/>
  <c r="A191" i="130" s="1"/>
  <c r="A203" i="130" s="1"/>
  <c r="A215" i="130" s="1"/>
  <c r="A227" i="130" s="1"/>
  <c r="A239" i="130" s="1"/>
  <c r="A251" i="130" s="1"/>
  <c r="A263" i="130" s="1"/>
  <c r="A275" i="130" s="1"/>
  <c r="A287" i="130" s="1"/>
  <c r="A299" i="130" s="1"/>
  <c r="A311" i="130" s="1"/>
  <c r="A323" i="130" s="1"/>
  <c r="A335" i="130" s="1"/>
  <c r="A347" i="130" s="1"/>
  <c r="A359" i="130" s="1"/>
  <c r="A371" i="130" s="1"/>
  <c r="A383" i="130" s="1"/>
  <c r="A178" i="130"/>
  <c r="A190" i="130" s="1"/>
  <c r="A202" i="130" s="1"/>
  <c r="A214" i="130" s="1"/>
  <c r="A226" i="130" s="1"/>
  <c r="A238" i="130" s="1"/>
  <c r="A250" i="130" s="1"/>
  <c r="A262" i="130" s="1"/>
  <c r="A274" i="130" s="1"/>
  <c r="A286" i="130" s="1"/>
  <c r="A298" i="130" s="1"/>
  <c r="A310" i="130" s="1"/>
  <c r="A322" i="130" s="1"/>
  <c r="A334" i="130" s="1"/>
  <c r="A346" i="130" s="1"/>
  <c r="A358" i="130" s="1"/>
  <c r="A370" i="130" s="1"/>
  <c r="A382" i="130" s="1"/>
  <c r="A374" i="130" l="1"/>
  <c r="A386" i="130" s="1"/>
  <c r="L371" i="108" l="1"/>
  <c r="E323" i="59" l="1"/>
  <c r="D320" i="41" l="1"/>
  <c r="C320" i="41"/>
  <c r="B320" i="41"/>
  <c r="I152" i="121" l="1"/>
  <c r="I153" i="121"/>
  <c r="I355" i="38" l="1"/>
  <c r="B365" i="89" l="1"/>
  <c r="I354" i="38" l="1"/>
  <c r="I149" i="121" l="1"/>
  <c r="I150" i="121"/>
  <c r="I151" i="121"/>
  <c r="I351" i="38" l="1"/>
  <c r="I350" i="38" l="1"/>
  <c r="I349" i="38" l="1"/>
  <c r="D358" i="89" l="1"/>
  <c r="B358" i="89"/>
  <c r="K344" i="38" l="1"/>
  <c r="I344" i="38"/>
  <c r="I342" i="38" l="1"/>
  <c r="G22" i="53" l="1"/>
  <c r="L116" i="14" l="1"/>
  <c r="L117" i="14"/>
  <c r="E327" i="41" l="1"/>
  <c r="H326" i="4" l="1"/>
  <c r="E326" i="41" l="1"/>
  <c r="B348" i="89" l="1"/>
  <c r="B349" i="89"/>
  <c r="V6" i="4" l="1"/>
  <c r="I338" i="38" l="1"/>
  <c r="B346" i="89" l="1"/>
  <c r="I337" i="38" l="1"/>
  <c r="G20" i="53" l="1"/>
  <c r="M81" i="114" l="1"/>
  <c r="L346" i="108" l="1"/>
  <c r="H323" i="17" l="1"/>
  <c r="H322" i="17"/>
  <c r="H332" i="17"/>
  <c r="M80" i="114" l="1"/>
  <c r="I329" i="38" l="1"/>
  <c r="M79" i="114" l="1"/>
  <c r="M78" i="114"/>
  <c r="M77" i="114"/>
  <c r="N326" i="38" l="1"/>
  <c r="G79" i="53" l="1"/>
  <c r="G44" i="53" l="1"/>
  <c r="U7" i="3" l="1"/>
  <c r="T7" i="3"/>
  <c r="G83" i="53" l="1"/>
  <c r="G42" i="53" l="1"/>
  <c r="I325" i="38" l="1"/>
  <c r="G27" i="53" l="1"/>
  <c r="A45" i="122" l="1"/>
  <c r="A57" i="122" s="1"/>
  <c r="A69" i="122" s="1"/>
  <c r="A81" i="122" s="1"/>
  <c r="A93" i="122" s="1"/>
  <c r="A105" i="122" s="1"/>
  <c r="A117" i="122" s="1"/>
  <c r="A129" i="122" s="1"/>
  <c r="A141" i="122" s="1"/>
  <c r="A153" i="122" s="1"/>
  <c r="A165" i="122" s="1"/>
  <c r="A177" i="122" s="1"/>
  <c r="A189" i="122" s="1"/>
  <c r="A201" i="122" s="1"/>
  <c r="A213" i="122" s="1"/>
  <c r="A225" i="122" s="1"/>
  <c r="A237" i="122" s="1"/>
  <c r="A249" i="122" s="1"/>
  <c r="A261" i="122" s="1"/>
  <c r="A273" i="122" s="1"/>
  <c r="A285" i="122" s="1"/>
  <c r="A297" i="122" s="1"/>
  <c r="A309" i="122" s="1"/>
  <c r="A321" i="122" s="1"/>
  <c r="A333" i="122" s="1"/>
  <c r="A345" i="122" s="1"/>
  <c r="A357" i="122" s="1"/>
  <c r="A369" i="122" s="1"/>
  <c r="A44" i="122"/>
  <c r="A56" i="122" s="1"/>
  <c r="A68" i="122" s="1"/>
  <c r="A80" i="122" s="1"/>
  <c r="A92" i="122" s="1"/>
  <c r="A104" i="122" s="1"/>
  <c r="A116" i="122" s="1"/>
  <c r="A128" i="122" s="1"/>
  <c r="A140" i="122" s="1"/>
  <c r="A152" i="122" s="1"/>
  <c r="A164" i="122" s="1"/>
  <c r="A176" i="122" s="1"/>
  <c r="A188" i="122" s="1"/>
  <c r="A200" i="122" s="1"/>
  <c r="A212" i="122" s="1"/>
  <c r="A224" i="122" s="1"/>
  <c r="A236" i="122" s="1"/>
  <c r="A248" i="122" s="1"/>
  <c r="A260" i="122" s="1"/>
  <c r="A272" i="122" s="1"/>
  <c r="A284" i="122" s="1"/>
  <c r="A296" i="122" s="1"/>
  <c r="A308" i="122" s="1"/>
  <c r="A320" i="122" s="1"/>
  <c r="A332" i="122" s="1"/>
  <c r="A344" i="122" s="1"/>
  <c r="A356" i="122" s="1"/>
  <c r="A368" i="122" s="1"/>
  <c r="A43" i="122"/>
  <c r="A55" i="122" s="1"/>
  <c r="A67" i="122" s="1"/>
  <c r="A79" i="122" s="1"/>
  <c r="A91" i="122" s="1"/>
  <c r="A103" i="122" s="1"/>
  <c r="A115" i="122" s="1"/>
  <c r="A127" i="122" s="1"/>
  <c r="A139" i="122" s="1"/>
  <c r="A151" i="122" s="1"/>
  <c r="A163" i="122" s="1"/>
  <c r="A175" i="122" s="1"/>
  <c r="A187" i="122" s="1"/>
  <c r="A199" i="122" s="1"/>
  <c r="A211" i="122" s="1"/>
  <c r="A223" i="122" s="1"/>
  <c r="A235" i="122" s="1"/>
  <c r="A247" i="122" s="1"/>
  <c r="A259" i="122" s="1"/>
  <c r="A271" i="122" s="1"/>
  <c r="A283" i="122" s="1"/>
  <c r="A295" i="122" s="1"/>
  <c r="A307" i="122" s="1"/>
  <c r="A319" i="122" s="1"/>
  <c r="A331" i="122" s="1"/>
  <c r="A343" i="122" s="1"/>
  <c r="A355" i="122" s="1"/>
  <c r="A367" i="122" s="1"/>
  <c r="A42" i="122"/>
  <c r="A54" i="122" s="1"/>
  <c r="A66" i="122" s="1"/>
  <c r="A78" i="122" s="1"/>
  <c r="A90" i="122" s="1"/>
  <c r="A102" i="122" s="1"/>
  <c r="A114" i="122" s="1"/>
  <c r="A126" i="122" s="1"/>
  <c r="A138" i="122" s="1"/>
  <c r="A150" i="122" s="1"/>
  <c r="A162" i="122" s="1"/>
  <c r="A174" i="122" s="1"/>
  <c r="A186" i="122" s="1"/>
  <c r="A198" i="122" s="1"/>
  <c r="A210" i="122" s="1"/>
  <c r="A222" i="122" s="1"/>
  <c r="A234" i="122" s="1"/>
  <c r="A246" i="122" s="1"/>
  <c r="A258" i="122" s="1"/>
  <c r="A270" i="122" s="1"/>
  <c r="A282" i="122" s="1"/>
  <c r="A294" i="122" s="1"/>
  <c r="A306" i="122" s="1"/>
  <c r="A318" i="122" s="1"/>
  <c r="A330" i="122" s="1"/>
  <c r="A342" i="122" s="1"/>
  <c r="A354" i="122" s="1"/>
  <c r="A366" i="122" s="1"/>
  <c r="A41" i="122"/>
  <c r="A53" i="122" s="1"/>
  <c r="A65" i="122" s="1"/>
  <c r="A77" i="122" s="1"/>
  <c r="A89" i="122" s="1"/>
  <c r="A101" i="122" s="1"/>
  <c r="A113" i="122" s="1"/>
  <c r="A125" i="122" s="1"/>
  <c r="A137" i="122" s="1"/>
  <c r="A149" i="122" s="1"/>
  <c r="A161" i="122" s="1"/>
  <c r="A173" i="122" s="1"/>
  <c r="A185" i="122" s="1"/>
  <c r="A197" i="122" s="1"/>
  <c r="A209" i="122" s="1"/>
  <c r="A221" i="122" s="1"/>
  <c r="A233" i="122" s="1"/>
  <c r="A245" i="122" s="1"/>
  <c r="A257" i="122" s="1"/>
  <c r="A269" i="122" s="1"/>
  <c r="A281" i="122" s="1"/>
  <c r="A293" i="122" s="1"/>
  <c r="A305" i="122" s="1"/>
  <c r="A317" i="122" s="1"/>
  <c r="A329" i="122" s="1"/>
  <c r="A341" i="122" s="1"/>
  <c r="A353" i="122" s="1"/>
  <c r="A365" i="122" s="1"/>
  <c r="A40" i="122"/>
  <c r="A52" i="122" s="1"/>
  <c r="A64" i="122" s="1"/>
  <c r="A76" i="122" s="1"/>
  <c r="A88" i="122" s="1"/>
  <c r="A100" i="122" s="1"/>
  <c r="A112" i="122" s="1"/>
  <c r="A124" i="122" s="1"/>
  <c r="A136" i="122" s="1"/>
  <c r="A148" i="122" s="1"/>
  <c r="A160" i="122" s="1"/>
  <c r="A172" i="122" s="1"/>
  <c r="A184" i="122" s="1"/>
  <c r="A196" i="122" s="1"/>
  <c r="A208" i="122" s="1"/>
  <c r="A220" i="122" s="1"/>
  <c r="A232" i="122" s="1"/>
  <c r="A244" i="122" s="1"/>
  <c r="A256" i="122" s="1"/>
  <c r="A268" i="122" s="1"/>
  <c r="A280" i="122" s="1"/>
  <c r="A292" i="122" s="1"/>
  <c r="A304" i="122" s="1"/>
  <c r="A316" i="122" s="1"/>
  <c r="A328" i="122" s="1"/>
  <c r="A340" i="122" s="1"/>
  <c r="A352" i="122" s="1"/>
  <c r="A364" i="122" s="1"/>
  <c r="A39" i="122"/>
  <c r="A51" i="122" s="1"/>
  <c r="A63" i="122" s="1"/>
  <c r="A75" i="122" s="1"/>
  <c r="A87" i="122" s="1"/>
  <c r="A99" i="122" s="1"/>
  <c r="A111" i="122" s="1"/>
  <c r="A123" i="122" s="1"/>
  <c r="A135" i="122" s="1"/>
  <c r="A147" i="122" s="1"/>
  <c r="A159" i="122" s="1"/>
  <c r="A171" i="122" s="1"/>
  <c r="A183" i="122" s="1"/>
  <c r="A195" i="122" s="1"/>
  <c r="A207" i="122" s="1"/>
  <c r="A219" i="122" s="1"/>
  <c r="A231" i="122" s="1"/>
  <c r="A243" i="122" s="1"/>
  <c r="A255" i="122" s="1"/>
  <c r="A267" i="122" s="1"/>
  <c r="A279" i="122" s="1"/>
  <c r="A291" i="122" s="1"/>
  <c r="A303" i="122" s="1"/>
  <c r="A315" i="122" s="1"/>
  <c r="A327" i="122" s="1"/>
  <c r="A339" i="122" s="1"/>
  <c r="A351" i="122" s="1"/>
  <c r="A363" i="122" s="1"/>
  <c r="A38" i="122"/>
  <c r="A50" i="122" s="1"/>
  <c r="A62" i="122" s="1"/>
  <c r="A74" i="122" s="1"/>
  <c r="A86" i="122" s="1"/>
  <c r="A98" i="122" s="1"/>
  <c r="A110" i="122" s="1"/>
  <c r="A122" i="122" s="1"/>
  <c r="A134" i="122" s="1"/>
  <c r="A146" i="122" s="1"/>
  <c r="A158" i="122" s="1"/>
  <c r="A170" i="122" s="1"/>
  <c r="A182" i="122" s="1"/>
  <c r="A194" i="122" s="1"/>
  <c r="A206" i="122" s="1"/>
  <c r="A218" i="122" s="1"/>
  <c r="A230" i="122" s="1"/>
  <c r="A242" i="122" s="1"/>
  <c r="A254" i="122" s="1"/>
  <c r="A266" i="122" s="1"/>
  <c r="A278" i="122" s="1"/>
  <c r="A290" i="122" s="1"/>
  <c r="A302" i="122" s="1"/>
  <c r="A314" i="122" s="1"/>
  <c r="A326" i="122" s="1"/>
  <c r="A338" i="122" s="1"/>
  <c r="A350" i="122" s="1"/>
  <c r="A362" i="122" s="1"/>
  <c r="A37" i="122"/>
  <c r="A49" i="122" s="1"/>
  <c r="A61" i="122" s="1"/>
  <c r="A73" i="122" s="1"/>
  <c r="A85" i="122" s="1"/>
  <c r="A97" i="122" s="1"/>
  <c r="A109" i="122" s="1"/>
  <c r="A121" i="122" s="1"/>
  <c r="A133" i="122" s="1"/>
  <c r="A145" i="122" s="1"/>
  <c r="A157" i="122" s="1"/>
  <c r="A169" i="122" s="1"/>
  <c r="A181" i="122" s="1"/>
  <c r="A193" i="122" s="1"/>
  <c r="A205" i="122" s="1"/>
  <c r="A217" i="122" s="1"/>
  <c r="A229" i="122" s="1"/>
  <c r="A241" i="122" s="1"/>
  <c r="A253" i="122" s="1"/>
  <c r="A265" i="122" s="1"/>
  <c r="A277" i="122" s="1"/>
  <c r="A289" i="122" s="1"/>
  <c r="A301" i="122" s="1"/>
  <c r="A313" i="122" s="1"/>
  <c r="A325" i="122" s="1"/>
  <c r="A337" i="122" s="1"/>
  <c r="A349" i="122" s="1"/>
  <c r="A361" i="122" s="1"/>
  <c r="A36" i="122"/>
  <c r="A48" i="122" s="1"/>
  <c r="A60" i="122" s="1"/>
  <c r="A72" i="122" s="1"/>
  <c r="A84" i="122" s="1"/>
  <c r="A96" i="122" s="1"/>
  <c r="A108" i="122" s="1"/>
  <c r="A120" i="122" s="1"/>
  <c r="A132" i="122" s="1"/>
  <c r="A144" i="122" s="1"/>
  <c r="A156" i="122" s="1"/>
  <c r="A168" i="122" s="1"/>
  <c r="A180" i="122" s="1"/>
  <c r="A192" i="122" s="1"/>
  <c r="A204" i="122" s="1"/>
  <c r="A216" i="122" s="1"/>
  <c r="A228" i="122" s="1"/>
  <c r="A240" i="122" s="1"/>
  <c r="A252" i="122" s="1"/>
  <c r="A264" i="122" s="1"/>
  <c r="A276" i="122" s="1"/>
  <c r="A288" i="122" s="1"/>
  <c r="A300" i="122" s="1"/>
  <c r="A312" i="122" s="1"/>
  <c r="A324" i="122" s="1"/>
  <c r="A336" i="122" s="1"/>
  <c r="A348" i="122" s="1"/>
  <c r="A360" i="122" s="1"/>
  <c r="A35" i="122"/>
  <c r="A47" i="122" s="1"/>
  <c r="A59" i="122" s="1"/>
  <c r="A71" i="122" s="1"/>
  <c r="A83" i="122" s="1"/>
  <c r="A95" i="122" s="1"/>
  <c r="A107" i="122" s="1"/>
  <c r="A119" i="122" s="1"/>
  <c r="A131" i="122" s="1"/>
  <c r="A143" i="122" s="1"/>
  <c r="A155" i="122" s="1"/>
  <c r="A167" i="122" s="1"/>
  <c r="A179" i="122" s="1"/>
  <c r="A191" i="122" s="1"/>
  <c r="A203" i="122" s="1"/>
  <c r="A215" i="122" s="1"/>
  <c r="A227" i="122" s="1"/>
  <c r="A239" i="122" s="1"/>
  <c r="A251" i="122" s="1"/>
  <c r="A263" i="122" s="1"/>
  <c r="A275" i="122" s="1"/>
  <c r="A287" i="122" s="1"/>
  <c r="A299" i="122" s="1"/>
  <c r="A311" i="122" s="1"/>
  <c r="A323" i="122" s="1"/>
  <c r="A335" i="122" s="1"/>
  <c r="A347" i="122" s="1"/>
  <c r="A359" i="122" s="1"/>
  <c r="A34" i="122"/>
  <c r="A46" i="122" s="1"/>
  <c r="A58" i="122" s="1"/>
  <c r="A70" i="122" s="1"/>
  <c r="A82" i="122" s="1"/>
  <c r="A94" i="122" s="1"/>
  <c r="A106" i="122" s="1"/>
  <c r="A118" i="122" s="1"/>
  <c r="A130" i="122" s="1"/>
  <c r="A142" i="122" s="1"/>
  <c r="A154" i="122" s="1"/>
  <c r="A166" i="122" s="1"/>
  <c r="A178" i="122" s="1"/>
  <c r="A190" i="122" s="1"/>
  <c r="A202" i="122" s="1"/>
  <c r="A214" i="122" s="1"/>
  <c r="A226" i="122" s="1"/>
  <c r="A238" i="122" s="1"/>
  <c r="A250" i="122" s="1"/>
  <c r="A262" i="122" s="1"/>
  <c r="A274" i="122" s="1"/>
  <c r="A286" i="122" s="1"/>
  <c r="A298" i="122" s="1"/>
  <c r="A310" i="122" s="1"/>
  <c r="A322" i="122" s="1"/>
  <c r="A334" i="122" s="1"/>
  <c r="A346" i="122" s="1"/>
  <c r="A358" i="122" s="1"/>
  <c r="G49" i="53" l="1"/>
  <c r="D337" i="89" l="1"/>
  <c r="G63" i="53" l="1"/>
  <c r="I169" i="121"/>
  <c r="I168" i="121"/>
  <c r="I167" i="121"/>
  <c r="I166" i="121"/>
  <c r="I165" i="121"/>
  <c r="I164" i="121"/>
  <c r="I161" i="121"/>
  <c r="I160" i="121"/>
  <c r="I159" i="121"/>
  <c r="I157" i="121"/>
  <c r="I156" i="121"/>
  <c r="I155" i="121"/>
  <c r="I154" i="121"/>
  <c r="I148" i="121"/>
  <c r="I147" i="121"/>
  <c r="I146" i="121"/>
  <c r="I145" i="121"/>
  <c r="I144" i="121"/>
  <c r="I143" i="121"/>
  <c r="I142" i="121"/>
  <c r="I141" i="121"/>
  <c r="I140" i="121"/>
  <c r="I139" i="121"/>
  <c r="I138" i="121"/>
  <c r="I137" i="121"/>
  <c r="I136" i="121"/>
  <c r="I135" i="121"/>
  <c r="I134" i="121"/>
  <c r="I133" i="121"/>
  <c r="I132" i="121"/>
  <c r="I131" i="121"/>
  <c r="I130" i="121"/>
  <c r="I129" i="121"/>
  <c r="I128" i="121"/>
  <c r="I127" i="121"/>
  <c r="I126" i="121"/>
  <c r="I125" i="121"/>
  <c r="I124" i="121"/>
  <c r="I123" i="121"/>
  <c r="I122" i="121"/>
  <c r="I121" i="121"/>
  <c r="I120" i="121"/>
  <c r="I119" i="121"/>
  <c r="I118" i="121"/>
  <c r="I117" i="121"/>
  <c r="I116" i="121"/>
  <c r="I115" i="121"/>
  <c r="I114" i="121"/>
  <c r="I113" i="121"/>
  <c r="I112" i="121"/>
  <c r="I111" i="121"/>
  <c r="I110" i="121"/>
  <c r="I10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I10" i="121"/>
  <c r="C336" i="3" l="1"/>
  <c r="C337" i="3"/>
  <c r="C338" i="3"/>
  <c r="C339" i="3"/>
  <c r="C340" i="3"/>
  <c r="C341" i="3"/>
  <c r="C342" i="3"/>
  <c r="C343" i="3"/>
  <c r="C345" i="3"/>
  <c r="C346" i="3"/>
  <c r="C347" i="3"/>
  <c r="C348" i="3"/>
  <c r="C349" i="3"/>
  <c r="C350" i="3"/>
  <c r="C351" i="3"/>
  <c r="C352" i="3"/>
  <c r="C353" i="3"/>
  <c r="C354" i="3"/>
  <c r="C355" i="3"/>
  <c r="C357" i="3"/>
  <c r="X338" i="3"/>
  <c r="X339" i="3"/>
  <c r="X340" i="3"/>
  <c r="X342" i="3"/>
  <c r="X346" i="3"/>
  <c r="X347" i="3"/>
  <c r="X348" i="3"/>
  <c r="X349" i="3"/>
  <c r="X350" i="3"/>
  <c r="X351" i="3"/>
  <c r="X352" i="3"/>
  <c r="X353" i="3"/>
  <c r="X354" i="3"/>
  <c r="X355" i="3"/>
  <c r="X356" i="3"/>
  <c r="X357" i="3"/>
  <c r="R237" i="3"/>
  <c r="R238" i="3"/>
  <c r="R239" i="3"/>
  <c r="R240" i="3"/>
  <c r="R241" i="3"/>
  <c r="R242" i="3"/>
  <c r="R243" i="3"/>
  <c r="R244" i="3"/>
  <c r="R245" i="3"/>
  <c r="R246" i="3"/>
  <c r="R247" i="3"/>
  <c r="R248" i="3"/>
  <c r="R249" i="3"/>
  <c r="R332" i="3"/>
  <c r="R333" i="3"/>
  <c r="R334" i="3"/>
  <c r="R335" i="3"/>
  <c r="R336" i="3"/>
  <c r="R337" i="3"/>
  <c r="R338" i="3"/>
  <c r="R339" i="3"/>
  <c r="R340" i="3"/>
  <c r="R341" i="3"/>
  <c r="R342" i="3"/>
  <c r="R343" i="3"/>
  <c r="R344" i="3"/>
  <c r="R345" i="3"/>
  <c r="R346" i="3"/>
  <c r="R347" i="3"/>
  <c r="R348" i="3"/>
  <c r="R349" i="3"/>
  <c r="R350" i="3"/>
  <c r="R351" i="3"/>
  <c r="R352" i="3"/>
  <c r="R353" i="3"/>
  <c r="R354" i="3"/>
  <c r="R355" i="3"/>
  <c r="R356" i="3"/>
  <c r="R357" i="3"/>
  <c r="C110" i="49" l="1"/>
  <c r="A201" i="27" l="1"/>
  <c r="A213" i="27" s="1"/>
  <c r="A225" i="27" s="1"/>
  <c r="A237" i="27" s="1"/>
  <c r="A249" i="27" s="1"/>
  <c r="A261" i="27" s="1"/>
  <c r="A273" i="27" s="1"/>
  <c r="A285" i="27" s="1"/>
  <c r="A200" i="27"/>
  <c r="A212" i="27" s="1"/>
  <c r="A224" i="27" s="1"/>
  <c r="A236" i="27" s="1"/>
  <c r="A248" i="27" s="1"/>
  <c r="A260" i="27" s="1"/>
  <c r="A272" i="27" s="1"/>
  <c r="A284" i="27" s="1"/>
  <c r="A199" i="27"/>
  <c r="A211" i="27" s="1"/>
  <c r="A223" i="27" s="1"/>
  <c r="A235" i="27" s="1"/>
  <c r="A247" i="27" s="1"/>
  <c r="A259" i="27" s="1"/>
  <c r="A271" i="27" s="1"/>
  <c r="A283" i="27" s="1"/>
  <c r="A198" i="27"/>
  <c r="A210" i="27" s="1"/>
  <c r="A222" i="27" s="1"/>
  <c r="A234" i="27" s="1"/>
  <c r="A246" i="27" s="1"/>
  <c r="A258" i="27" s="1"/>
  <c r="A270" i="27" s="1"/>
  <c r="A282" i="27" s="1"/>
  <c r="A197" i="27"/>
  <c r="A209" i="27" s="1"/>
  <c r="A221" i="27" s="1"/>
  <c r="A233" i="27" s="1"/>
  <c r="A245" i="27" s="1"/>
  <c r="A257" i="27" s="1"/>
  <c r="A269" i="27" s="1"/>
  <c r="A281" i="27" s="1"/>
  <c r="A196" i="27"/>
  <c r="A208" i="27" s="1"/>
  <c r="A220" i="27" s="1"/>
  <c r="A232" i="27" s="1"/>
  <c r="A244" i="27" s="1"/>
  <c r="A256" i="27" s="1"/>
  <c r="A268" i="27" s="1"/>
  <c r="A280" i="27" s="1"/>
  <c r="A195" i="27"/>
  <c r="A207" i="27" s="1"/>
  <c r="A219" i="27" s="1"/>
  <c r="A231" i="27" s="1"/>
  <c r="A243" i="27" s="1"/>
  <c r="A255" i="27" s="1"/>
  <c r="A267" i="27" s="1"/>
  <c r="A279" i="27" s="1"/>
  <c r="A194" i="27"/>
  <c r="A206" i="27" s="1"/>
  <c r="A218" i="27" s="1"/>
  <c r="A230" i="27" s="1"/>
  <c r="A242" i="27" s="1"/>
  <c r="A254" i="27" s="1"/>
  <c r="A266" i="27" s="1"/>
  <c r="A278" i="27" s="1"/>
  <c r="A193" i="27"/>
  <c r="A205" i="27" s="1"/>
  <c r="A217" i="27" s="1"/>
  <c r="A229" i="27" s="1"/>
  <c r="A241" i="27" s="1"/>
  <c r="A253" i="27" s="1"/>
  <c r="A265" i="27" s="1"/>
  <c r="A277" i="27" s="1"/>
  <c r="A192" i="27"/>
  <c r="A204" i="27" s="1"/>
  <c r="A216" i="27" s="1"/>
  <c r="A228" i="27" s="1"/>
  <c r="A240" i="27" s="1"/>
  <c r="A252" i="27" s="1"/>
  <c r="A264" i="27" s="1"/>
  <c r="A276" i="27" s="1"/>
  <c r="A191" i="27"/>
  <c r="A203" i="27" s="1"/>
  <c r="A215" i="27" s="1"/>
  <c r="A227" i="27" s="1"/>
  <c r="A239" i="27" s="1"/>
  <c r="A251" i="27" s="1"/>
  <c r="A263" i="27" s="1"/>
  <c r="A275" i="27" s="1"/>
  <c r="A190" i="27"/>
  <c r="A202" i="27" s="1"/>
  <c r="A214" i="27" s="1"/>
  <c r="A226" i="27" s="1"/>
  <c r="A238" i="27" s="1"/>
  <c r="A250" i="27" s="1"/>
  <c r="A262" i="27" s="1"/>
  <c r="A274" i="27" s="1"/>
  <c r="B334" i="89" l="1"/>
  <c r="G46" i="53" l="1"/>
  <c r="B333" i="89" l="1"/>
  <c r="L310" i="4" l="1"/>
  <c r="CK9" i="117" l="1"/>
  <c r="A345" i="117" l="1"/>
  <c r="A357" i="117" s="1"/>
  <c r="A369" i="117" s="1"/>
  <c r="A381" i="117" s="1"/>
  <c r="A393" i="117" s="1"/>
  <c r="A405" i="117" s="1"/>
  <c r="A417" i="117" s="1"/>
  <c r="A429" i="117" s="1"/>
  <c r="A441" i="117" s="1"/>
  <c r="A453" i="117" s="1"/>
  <c r="A344" i="117"/>
  <c r="A356" i="117" s="1"/>
  <c r="A368" i="117" s="1"/>
  <c r="A380" i="117" s="1"/>
  <c r="A392" i="117" s="1"/>
  <c r="A404" i="117" s="1"/>
  <c r="A416" i="117" s="1"/>
  <c r="A428" i="117" s="1"/>
  <c r="A440" i="117" s="1"/>
  <c r="A452" i="117" s="1"/>
  <c r="A343" i="117"/>
  <c r="A355" i="117" s="1"/>
  <c r="A367" i="117" s="1"/>
  <c r="A379" i="117" s="1"/>
  <c r="A391" i="117" s="1"/>
  <c r="A403" i="117" s="1"/>
  <c r="A415" i="117" s="1"/>
  <c r="A427" i="117" s="1"/>
  <c r="A439" i="117" s="1"/>
  <c r="A451" i="117" s="1"/>
  <c r="A342" i="117"/>
  <c r="A354" i="117" s="1"/>
  <c r="A366" i="117" s="1"/>
  <c r="A378" i="117" s="1"/>
  <c r="A390" i="117" s="1"/>
  <c r="A402" i="117" s="1"/>
  <c r="A414" i="117" s="1"/>
  <c r="A426" i="117" s="1"/>
  <c r="A438" i="117" s="1"/>
  <c r="A450" i="117" s="1"/>
  <c r="A341" i="117"/>
  <c r="A353" i="117" s="1"/>
  <c r="A365" i="117" s="1"/>
  <c r="A377" i="117" s="1"/>
  <c r="A389" i="117" s="1"/>
  <c r="A401" i="117" s="1"/>
  <c r="A413" i="117" s="1"/>
  <c r="A425" i="117" s="1"/>
  <c r="A437" i="117" s="1"/>
  <c r="A449" i="117" s="1"/>
  <c r="A340" i="117"/>
  <c r="A352" i="117" s="1"/>
  <c r="A364" i="117" s="1"/>
  <c r="A376" i="117" s="1"/>
  <c r="A388" i="117" s="1"/>
  <c r="A400" i="117" s="1"/>
  <c r="A412" i="117" s="1"/>
  <c r="A424" i="117" s="1"/>
  <c r="A436" i="117" s="1"/>
  <c r="A448" i="117" s="1"/>
  <c r="A339" i="117"/>
  <c r="A351" i="117" s="1"/>
  <c r="A363" i="117" s="1"/>
  <c r="A375" i="117" s="1"/>
  <c r="A387" i="117" s="1"/>
  <c r="A399" i="117" s="1"/>
  <c r="A411" i="117" s="1"/>
  <c r="A423" i="117" s="1"/>
  <c r="A435" i="117" s="1"/>
  <c r="A447" i="117" s="1"/>
  <c r="A338" i="117"/>
  <c r="A350" i="117" s="1"/>
  <c r="A362" i="117" s="1"/>
  <c r="A374" i="117" s="1"/>
  <c r="A386" i="117" s="1"/>
  <c r="A398" i="117" s="1"/>
  <c r="A410" i="117" s="1"/>
  <c r="A422" i="117" s="1"/>
  <c r="A434" i="117" s="1"/>
  <c r="A446" i="117" s="1"/>
  <c r="A337" i="117"/>
  <c r="A349" i="117" s="1"/>
  <c r="A361" i="117" s="1"/>
  <c r="A373" i="117" s="1"/>
  <c r="A385" i="117" s="1"/>
  <c r="A397" i="117" s="1"/>
  <c r="A409" i="117" s="1"/>
  <c r="A421" i="117" s="1"/>
  <c r="A433" i="117" s="1"/>
  <c r="A445" i="117" s="1"/>
  <c r="A336" i="117"/>
  <c r="A348" i="117" s="1"/>
  <c r="A360" i="117" s="1"/>
  <c r="A372" i="117" s="1"/>
  <c r="A384" i="117" s="1"/>
  <c r="A396" i="117" s="1"/>
  <c r="A408" i="117" s="1"/>
  <c r="A420" i="117" s="1"/>
  <c r="A432" i="117" s="1"/>
  <c r="A444" i="117" s="1"/>
  <c r="A335" i="117"/>
  <c r="A347" i="117" s="1"/>
  <c r="A359" i="117" s="1"/>
  <c r="A371" i="117" s="1"/>
  <c r="A383" i="117" s="1"/>
  <c r="A395" i="117" s="1"/>
  <c r="A407" i="117" s="1"/>
  <c r="A419" i="117" s="1"/>
  <c r="A431" i="117" s="1"/>
  <c r="A443" i="117" s="1"/>
  <c r="A334" i="117"/>
  <c r="A346" i="117" s="1"/>
  <c r="A358" i="117" s="1"/>
  <c r="A370" i="117" s="1"/>
  <c r="A382" i="117" s="1"/>
  <c r="A394" i="117" s="1"/>
  <c r="A406" i="117" s="1"/>
  <c r="A418" i="117" s="1"/>
  <c r="A430" i="117" s="1"/>
  <c r="A442" i="117" s="1"/>
  <c r="B332" i="89" l="1"/>
  <c r="Z223" i="106" l="1"/>
  <c r="Z224" i="106"/>
  <c r="Z225" i="106"/>
  <c r="Z226" i="106"/>
  <c r="Z227" i="106"/>
  <c r="Z229" i="106"/>
  <c r="Z230" i="106"/>
  <c r="Z231" i="106"/>
  <c r="Z232" i="106"/>
  <c r="Z233" i="106"/>
  <c r="D334" i="52" l="1"/>
  <c r="J334" i="52"/>
  <c r="D335" i="52"/>
  <c r="J335" i="52"/>
  <c r="D336" i="52"/>
  <c r="J336" i="52"/>
  <c r="D337" i="52"/>
  <c r="J337" i="52"/>
  <c r="D338" i="52"/>
  <c r="J338" i="52"/>
  <c r="D339" i="52"/>
  <c r="J339" i="52"/>
  <c r="D340" i="52"/>
  <c r="J340" i="52"/>
  <c r="D341" i="52"/>
  <c r="J341" i="52"/>
  <c r="D342" i="52"/>
  <c r="J342" i="52"/>
  <c r="D343" i="52"/>
  <c r="J343" i="52"/>
  <c r="D344" i="52"/>
  <c r="J344" i="52"/>
  <c r="D345" i="52"/>
  <c r="J345" i="52"/>
  <c r="D346" i="52"/>
  <c r="J346" i="52"/>
  <c r="D347" i="52"/>
  <c r="J347" i="52"/>
  <c r="D348" i="52"/>
  <c r="J348" i="52"/>
  <c r="D349" i="52"/>
  <c r="J350" i="52"/>
  <c r="J351" i="52"/>
  <c r="J352" i="52"/>
  <c r="J353" i="52"/>
  <c r="J354" i="52"/>
  <c r="J355" i="52"/>
  <c r="D356" i="52"/>
  <c r="J356" i="52"/>
  <c r="D357" i="52"/>
  <c r="J357" i="52"/>
  <c r="D358" i="52"/>
  <c r="J358" i="52"/>
  <c r="D360" i="52"/>
  <c r="J360" i="52"/>
  <c r="D361" i="52"/>
  <c r="D362" i="52"/>
  <c r="J362" i="52"/>
  <c r="D363" i="52"/>
  <c r="J363" i="52"/>
  <c r="D364" i="52"/>
  <c r="J364" i="52"/>
  <c r="D365" i="52"/>
  <c r="J365" i="52"/>
  <c r="D366" i="52"/>
  <c r="J366" i="52"/>
  <c r="D367" i="52"/>
  <c r="J367" i="52"/>
  <c r="D368" i="52"/>
  <c r="J368" i="52"/>
  <c r="D369" i="52"/>
  <c r="J369" i="52"/>
  <c r="D370" i="52"/>
  <c r="J370" i="52"/>
  <c r="D371" i="52"/>
  <c r="J371" i="52"/>
  <c r="D372" i="52"/>
  <c r="J372" i="52"/>
  <c r="D373" i="52"/>
  <c r="J373" i="52"/>
  <c r="D374" i="52"/>
  <c r="J374" i="52"/>
  <c r="D375" i="52"/>
  <c r="J375" i="52"/>
  <c r="D376" i="52"/>
  <c r="J376" i="52"/>
  <c r="D377" i="52"/>
  <c r="J377" i="52"/>
  <c r="D378" i="52"/>
  <c r="J378" i="52"/>
  <c r="D379" i="52"/>
  <c r="J379" i="52"/>
  <c r="D380" i="52"/>
  <c r="J380" i="52"/>
  <c r="D381" i="52"/>
  <c r="J381" i="52"/>
  <c r="D382" i="52"/>
  <c r="J382" i="52"/>
  <c r="D383" i="52"/>
  <c r="J383" i="52"/>
  <c r="D384" i="52"/>
  <c r="J384" i="52"/>
  <c r="D385" i="52"/>
  <c r="J385" i="52"/>
  <c r="D386" i="52"/>
  <c r="J386" i="52"/>
  <c r="D387" i="52"/>
  <c r="J387" i="52"/>
  <c r="D388" i="52"/>
  <c r="J388" i="52"/>
  <c r="D389" i="52"/>
  <c r="J389" i="52"/>
  <c r="D390" i="52"/>
  <c r="J390" i="52"/>
  <c r="D391" i="52"/>
  <c r="J391" i="52"/>
  <c r="D392" i="52"/>
  <c r="J392" i="52"/>
  <c r="D393" i="52"/>
  <c r="J393" i="52"/>
  <c r="C310" i="59"/>
  <c r="E310" i="59"/>
  <c r="C311" i="59"/>
  <c r="E311" i="59"/>
  <c r="C312" i="59"/>
  <c r="E312" i="59"/>
  <c r="C313" i="59"/>
  <c r="E313" i="59"/>
  <c r="C314" i="59"/>
  <c r="E314" i="59"/>
  <c r="C315" i="59"/>
  <c r="E315" i="59"/>
  <c r="C316" i="59"/>
  <c r="E316" i="59"/>
  <c r="C317" i="59"/>
  <c r="E317" i="59"/>
  <c r="C318" i="59"/>
  <c r="E318" i="59"/>
  <c r="C319" i="59"/>
  <c r="E319" i="59"/>
  <c r="C320" i="59"/>
  <c r="E320" i="59"/>
  <c r="C321" i="59"/>
  <c r="E321" i="59"/>
  <c r="C322" i="59"/>
  <c r="E322" i="59"/>
  <c r="C323" i="59"/>
  <c r="C324" i="59"/>
  <c r="E324" i="59"/>
  <c r="C325" i="59"/>
  <c r="E325" i="59"/>
  <c r="C326" i="59"/>
  <c r="E326" i="59"/>
  <c r="C327" i="59"/>
  <c r="E327" i="59"/>
  <c r="C328" i="59"/>
  <c r="E328" i="59"/>
  <c r="C329" i="59"/>
  <c r="E329" i="59"/>
  <c r="C330" i="59"/>
  <c r="E330" i="59"/>
  <c r="C331" i="59"/>
  <c r="E331" i="59"/>
  <c r="C332" i="59"/>
  <c r="E332" i="59"/>
  <c r="C333" i="59"/>
  <c r="E333" i="59"/>
  <c r="C334" i="59"/>
  <c r="E334" i="59"/>
  <c r="C335" i="59"/>
  <c r="E335" i="59"/>
  <c r="C336" i="59"/>
  <c r="E336" i="59"/>
  <c r="C337" i="59"/>
  <c r="E337" i="59"/>
  <c r="C338" i="59"/>
  <c r="E338" i="59"/>
  <c r="C339" i="59"/>
  <c r="E339" i="59"/>
  <c r="C340" i="59"/>
  <c r="E340" i="59"/>
  <c r="C341" i="59"/>
  <c r="E341" i="59"/>
  <c r="C342" i="59"/>
  <c r="E342" i="59"/>
  <c r="C343" i="59"/>
  <c r="E343" i="59"/>
  <c r="C344" i="59"/>
  <c r="E344" i="59"/>
  <c r="C345" i="59"/>
  <c r="E345" i="59"/>
  <c r="C346" i="59"/>
  <c r="E346" i="59"/>
  <c r="C347" i="59"/>
  <c r="E347" i="59"/>
  <c r="C348" i="59"/>
  <c r="E348" i="59"/>
  <c r="C349" i="59"/>
  <c r="E349" i="59"/>
  <c r="C350" i="59"/>
  <c r="E350" i="59"/>
  <c r="C351" i="59"/>
  <c r="E351" i="59"/>
  <c r="C352" i="59"/>
  <c r="E352" i="59"/>
  <c r="C353" i="59"/>
  <c r="E353" i="59"/>
  <c r="C354" i="59"/>
  <c r="E354" i="59"/>
  <c r="C355" i="59"/>
  <c r="E355" i="59"/>
  <c r="C356" i="59"/>
  <c r="E356" i="59"/>
  <c r="C357" i="59"/>
  <c r="E357" i="59"/>
  <c r="C358" i="59"/>
  <c r="E358" i="59"/>
  <c r="C359" i="59"/>
  <c r="E359" i="59"/>
  <c r="C360" i="59"/>
  <c r="E360" i="59"/>
  <c r="C361" i="59"/>
  <c r="E361" i="59"/>
  <c r="C362" i="59"/>
  <c r="E362" i="59"/>
  <c r="C363" i="59"/>
  <c r="E363" i="59"/>
  <c r="C364" i="59"/>
  <c r="E364" i="59"/>
  <c r="C365" i="59"/>
  <c r="E365" i="59"/>
  <c r="C366" i="59"/>
  <c r="E366" i="59"/>
  <c r="C367" i="59"/>
  <c r="E367" i="59"/>
  <c r="C368" i="59"/>
  <c r="E368" i="59"/>
  <c r="C369" i="59"/>
  <c r="E369" i="59"/>
  <c r="L358" i="108"/>
  <c r="L359" i="108"/>
  <c r="L360" i="108"/>
  <c r="L361" i="108"/>
  <c r="L362" i="108"/>
  <c r="L363" i="108"/>
  <c r="L364" i="108"/>
  <c r="L365" i="108"/>
  <c r="L366" i="108"/>
  <c r="L367" i="108"/>
  <c r="L368" i="108"/>
  <c r="L369" i="108"/>
  <c r="L370" i="108"/>
  <c r="L372" i="108"/>
  <c r="L373" i="108"/>
  <c r="L375" i="108"/>
  <c r="L377" i="108"/>
  <c r="L378" i="108"/>
  <c r="L379" i="108"/>
  <c r="L380" i="108"/>
  <c r="L381" i="108"/>
  <c r="L382" i="108"/>
  <c r="L384" i="108"/>
  <c r="L385" i="108"/>
  <c r="L386" i="108"/>
  <c r="L387" i="108"/>
  <c r="L388" i="108"/>
  <c r="L389" i="108"/>
  <c r="L390" i="108"/>
  <c r="L391" i="108"/>
  <c r="L392" i="108"/>
  <c r="L393" i="108"/>
  <c r="L395" i="108"/>
  <c r="L396" i="108"/>
  <c r="L397" i="108"/>
  <c r="L398" i="108"/>
  <c r="L399" i="108"/>
  <c r="L401" i="108"/>
  <c r="L402" i="108"/>
  <c r="L403" i="108"/>
  <c r="L404" i="108"/>
  <c r="L405" i="108"/>
  <c r="L406" i="108"/>
  <c r="L410" i="108"/>
  <c r="L411" i="108"/>
  <c r="L412" i="108"/>
  <c r="L413" i="108"/>
  <c r="L414" i="108"/>
  <c r="L415" i="108"/>
  <c r="L417" i="108"/>
  <c r="D359" i="89"/>
  <c r="B360" i="89"/>
  <c r="D360" i="89"/>
  <c r="B361" i="89"/>
  <c r="D361" i="89"/>
  <c r="B362" i="89"/>
  <c r="D362" i="89"/>
  <c r="B363" i="89"/>
  <c r="D363" i="89"/>
  <c r="B364" i="89"/>
  <c r="D364" i="89"/>
  <c r="D365" i="89"/>
  <c r="B366" i="89"/>
  <c r="D366" i="89"/>
  <c r="B367" i="89"/>
  <c r="D367" i="89"/>
  <c r="B368" i="89"/>
  <c r="D368" i="89"/>
  <c r="B369" i="89"/>
  <c r="D369" i="89"/>
  <c r="D373" i="89"/>
  <c r="D374" i="89"/>
  <c r="D375" i="89"/>
  <c r="B376" i="89"/>
  <c r="D376" i="89"/>
  <c r="B377" i="89"/>
  <c r="D377" i="89"/>
  <c r="B378" i="89"/>
  <c r="D378" i="89"/>
  <c r="B379" i="89"/>
  <c r="D379" i="89"/>
  <c r="D380" i="89"/>
  <c r="D381" i="89"/>
  <c r="B383" i="89"/>
  <c r="D383" i="89"/>
  <c r="B384" i="89"/>
  <c r="D384" i="89"/>
  <c r="B385" i="89"/>
  <c r="D385" i="89"/>
  <c r="B386" i="89"/>
  <c r="D386" i="89"/>
  <c r="B387" i="89"/>
  <c r="D387" i="89"/>
  <c r="B388" i="89"/>
  <c r="D388" i="89"/>
  <c r="B389" i="89"/>
  <c r="D389" i="89"/>
  <c r="B390" i="89"/>
  <c r="D390" i="89"/>
  <c r="B391" i="89"/>
  <c r="D391" i="89"/>
  <c r="B392" i="89"/>
  <c r="D392" i="89"/>
  <c r="B393" i="89"/>
  <c r="D393" i="89"/>
  <c r="D395" i="89"/>
  <c r="D396" i="89"/>
  <c r="D397" i="89"/>
  <c r="D398" i="89"/>
  <c r="D399" i="89"/>
  <c r="D400" i="89"/>
  <c r="D401" i="89"/>
  <c r="D402" i="89"/>
  <c r="D404" i="89"/>
  <c r="D405" i="89"/>
  <c r="B407" i="89"/>
  <c r="D407" i="89"/>
  <c r="B408" i="89"/>
  <c r="D408" i="89"/>
  <c r="B409" i="89"/>
  <c r="D409" i="89"/>
  <c r="B410" i="89"/>
  <c r="D410" i="89"/>
  <c r="B411" i="89"/>
  <c r="D411" i="89"/>
  <c r="B412" i="89"/>
  <c r="D412" i="89"/>
  <c r="B413" i="89"/>
  <c r="D413" i="89"/>
  <c r="B414" i="89"/>
  <c r="D414" i="89"/>
  <c r="B415" i="89"/>
  <c r="D415" i="89"/>
  <c r="B416" i="89"/>
  <c r="D416" i="89"/>
  <c r="B417" i="89"/>
  <c r="D417" i="89"/>
  <c r="D438" i="51"/>
  <c r="D439" i="51"/>
  <c r="D440" i="51"/>
  <c r="D441" i="51"/>
  <c r="L346" i="38"/>
  <c r="B346" i="38" s="1"/>
  <c r="Q346" i="38"/>
  <c r="C346" i="38" s="1"/>
  <c r="L347" i="38"/>
  <c r="B347" i="38" s="1"/>
  <c r="Q347" i="38"/>
  <c r="C347" i="38" s="1"/>
  <c r="L348" i="38"/>
  <c r="B348" i="38" s="1"/>
  <c r="Q348" i="38"/>
  <c r="C348" i="38" s="1"/>
  <c r="L349" i="38"/>
  <c r="B349" i="38" s="1"/>
  <c r="Q349" i="38"/>
  <c r="C349" i="38" s="1"/>
  <c r="L350" i="38"/>
  <c r="B350" i="38" s="1"/>
  <c r="Q350" i="38"/>
  <c r="C350" i="38" s="1"/>
  <c r="L351" i="38"/>
  <c r="B351" i="38" s="1"/>
  <c r="Q351" i="38"/>
  <c r="C351" i="38" s="1"/>
  <c r="L352" i="38"/>
  <c r="B352" i="38" s="1"/>
  <c r="Q352" i="38"/>
  <c r="C352" i="38" s="1"/>
  <c r="L353" i="38"/>
  <c r="B353" i="38" s="1"/>
  <c r="Q353" i="38"/>
  <c r="C353" i="38" s="1"/>
  <c r="L354" i="38"/>
  <c r="B354" i="38" s="1"/>
  <c r="Q354" i="38"/>
  <c r="C354" i="38" s="1"/>
  <c r="L355" i="38"/>
  <c r="B355" i="38" s="1"/>
  <c r="Q355" i="38"/>
  <c r="C355" i="38" s="1"/>
  <c r="L356" i="38"/>
  <c r="B356" i="38" s="1"/>
  <c r="Q356" i="38"/>
  <c r="C356" i="38" s="1"/>
  <c r="L357" i="38"/>
  <c r="B357" i="38" s="1"/>
  <c r="Q357" i="38"/>
  <c r="C357" i="38" s="1"/>
  <c r="L358" i="38"/>
  <c r="B358" i="38" s="1"/>
  <c r="Q358" i="38"/>
  <c r="C358" i="38" s="1"/>
  <c r="L359" i="38"/>
  <c r="B359" i="38" s="1"/>
  <c r="Q359" i="38"/>
  <c r="C359" i="38" s="1"/>
  <c r="L360" i="38"/>
  <c r="B360" i="38" s="1"/>
  <c r="Q360" i="38"/>
  <c r="C360" i="38" s="1"/>
  <c r="L361" i="38"/>
  <c r="B361" i="38" s="1"/>
  <c r="Q361" i="38"/>
  <c r="C361" i="38" s="1"/>
  <c r="L362" i="38"/>
  <c r="B362" i="38" s="1"/>
  <c r="Q362" i="38"/>
  <c r="C362" i="38" s="1"/>
  <c r="L363" i="38"/>
  <c r="B363" i="38" s="1"/>
  <c r="Q363" i="38"/>
  <c r="C363" i="38" s="1"/>
  <c r="L364" i="38"/>
  <c r="B364" i="38" s="1"/>
  <c r="Q364" i="38"/>
  <c r="C364" i="38" s="1"/>
  <c r="L365" i="38"/>
  <c r="B365" i="38" s="1"/>
  <c r="Q365" i="38"/>
  <c r="C365" i="38" s="1"/>
  <c r="L366" i="38"/>
  <c r="B366" i="38" s="1"/>
  <c r="Q366" i="38"/>
  <c r="C366" i="38" s="1"/>
  <c r="L367" i="38"/>
  <c r="B367" i="38" s="1"/>
  <c r="Q367" i="38"/>
  <c r="C367" i="38" s="1"/>
  <c r="L368" i="38"/>
  <c r="B368" i="38" s="1"/>
  <c r="Q368" i="38"/>
  <c r="C368" i="38" s="1"/>
  <c r="L369" i="38"/>
  <c r="B369" i="38" s="1"/>
  <c r="Q369" i="38"/>
  <c r="C369" i="38" s="1"/>
  <c r="B370" i="38"/>
  <c r="Q370" i="38"/>
  <c r="C370" i="38" s="1"/>
  <c r="L371" i="38"/>
  <c r="B371" i="38" s="1"/>
  <c r="Q371" i="38"/>
  <c r="C371" i="38" s="1"/>
  <c r="L372" i="38"/>
  <c r="B372" i="38" s="1"/>
  <c r="Q372" i="38"/>
  <c r="C372" i="38" s="1"/>
  <c r="L373" i="38"/>
  <c r="B373" i="38" s="1"/>
  <c r="Q373" i="38"/>
  <c r="C373" i="38" s="1"/>
  <c r="L374" i="38"/>
  <c r="B374" i="38" s="1"/>
  <c r="Q374" i="38"/>
  <c r="C374" i="38" s="1"/>
  <c r="L375" i="38"/>
  <c r="B375" i="38" s="1"/>
  <c r="Q375" i="38"/>
  <c r="C375" i="38" s="1"/>
  <c r="L376" i="38"/>
  <c r="B376" i="38" s="1"/>
  <c r="Q376" i="38"/>
  <c r="C376" i="38" s="1"/>
  <c r="L377" i="38"/>
  <c r="B377" i="38" s="1"/>
  <c r="Q377" i="38"/>
  <c r="C377" i="38" s="1"/>
  <c r="L378" i="38"/>
  <c r="B378" i="38" s="1"/>
  <c r="Q378" i="38"/>
  <c r="C378" i="38" s="1"/>
  <c r="L379" i="38"/>
  <c r="B379" i="38" s="1"/>
  <c r="Q379" i="38"/>
  <c r="C379" i="38" s="1"/>
  <c r="L380" i="38"/>
  <c r="B380" i="38" s="1"/>
  <c r="Q380" i="38"/>
  <c r="C380" i="38" s="1"/>
  <c r="L381" i="38"/>
  <c r="B381" i="38" s="1"/>
  <c r="Q381" i="38"/>
  <c r="C381" i="38" s="1"/>
  <c r="L382" i="38"/>
  <c r="B382" i="38" s="1"/>
  <c r="Q382" i="38"/>
  <c r="C382" i="38" s="1"/>
  <c r="L383" i="38"/>
  <c r="B383" i="38" s="1"/>
  <c r="Q383" i="38"/>
  <c r="C383" i="38" s="1"/>
  <c r="L384" i="38"/>
  <c r="B384" i="38" s="1"/>
  <c r="Q384" i="38"/>
  <c r="C384" i="38" s="1"/>
  <c r="L385" i="38"/>
  <c r="B385" i="38" s="1"/>
  <c r="Q385" i="38"/>
  <c r="C385" i="38" s="1"/>
  <c r="B386" i="38"/>
  <c r="Q386" i="38"/>
  <c r="C386" i="38" s="1"/>
  <c r="L387" i="38"/>
  <c r="B387" i="38" s="1"/>
  <c r="Q387" i="38"/>
  <c r="C387" i="38" s="1"/>
  <c r="L388" i="38"/>
  <c r="B388" i="38" s="1"/>
  <c r="Q388" i="38"/>
  <c r="C388" i="38" s="1"/>
  <c r="L389" i="38"/>
  <c r="B389" i="38" s="1"/>
  <c r="Q389" i="38"/>
  <c r="C389" i="38" s="1"/>
  <c r="L390" i="38"/>
  <c r="B390" i="38" s="1"/>
  <c r="Q390" i="38"/>
  <c r="C390" i="38" s="1"/>
  <c r="L391" i="38"/>
  <c r="B391" i="38" s="1"/>
  <c r="Q391" i="38"/>
  <c r="C391" i="38" s="1"/>
  <c r="L392" i="38"/>
  <c r="B392" i="38" s="1"/>
  <c r="Q392" i="38"/>
  <c r="C392" i="38" s="1"/>
  <c r="L393" i="38"/>
  <c r="B393" i="38" s="1"/>
  <c r="Q393" i="38"/>
  <c r="C393" i="38" s="1"/>
  <c r="L394" i="38"/>
  <c r="B394" i="38" s="1"/>
  <c r="Q394" i="38"/>
  <c r="C394" i="38" s="1"/>
  <c r="L395" i="38"/>
  <c r="B395" i="38" s="1"/>
  <c r="Q395" i="38"/>
  <c r="C395" i="38" s="1"/>
  <c r="L396" i="38"/>
  <c r="B396" i="38" s="1"/>
  <c r="Q396" i="38"/>
  <c r="C396" i="38" s="1"/>
  <c r="L397" i="38"/>
  <c r="B397" i="38" s="1"/>
  <c r="Q397" i="38"/>
  <c r="C397" i="38" s="1"/>
  <c r="L398" i="38"/>
  <c r="B398" i="38" s="1"/>
  <c r="Q398" i="38"/>
  <c r="C398" i="38" s="1"/>
  <c r="L399" i="38"/>
  <c r="B399" i="38" s="1"/>
  <c r="Q399" i="38"/>
  <c r="C399" i="38" s="1"/>
  <c r="L400" i="38"/>
  <c r="B400" i="38" s="1"/>
  <c r="Q400" i="38"/>
  <c r="C400" i="38" s="1"/>
  <c r="L401" i="38"/>
  <c r="B401" i="38" s="1"/>
  <c r="Q401" i="38"/>
  <c r="C401" i="38" s="1"/>
  <c r="L402" i="38"/>
  <c r="B402" i="38" s="1"/>
  <c r="Q402" i="38"/>
  <c r="C402" i="38" s="1"/>
  <c r="L403" i="38"/>
  <c r="B403" i="38" s="1"/>
  <c r="Q403" i="38"/>
  <c r="C403" i="38" s="1"/>
  <c r="L404" i="38"/>
  <c r="B404" i="38" s="1"/>
  <c r="Q404" i="38"/>
  <c r="C404" i="38" s="1"/>
  <c r="L405" i="38"/>
  <c r="B405" i="38" s="1"/>
  <c r="Q405" i="38"/>
  <c r="C405" i="38" s="1"/>
  <c r="H334" i="4"/>
  <c r="K334" i="4"/>
  <c r="O334" i="4"/>
  <c r="V334" i="4"/>
  <c r="H335" i="4"/>
  <c r="K335" i="4"/>
  <c r="O335" i="4"/>
  <c r="V335" i="4"/>
  <c r="H336" i="4"/>
  <c r="K336" i="4"/>
  <c r="O336" i="4"/>
  <c r="V336" i="4"/>
  <c r="H337" i="4"/>
  <c r="K337" i="4"/>
  <c r="O337" i="4"/>
  <c r="V337" i="4"/>
  <c r="H338" i="4"/>
  <c r="K338" i="4"/>
  <c r="O338" i="4"/>
  <c r="V338" i="4"/>
  <c r="H339" i="4"/>
  <c r="K339" i="4"/>
  <c r="O339" i="4"/>
  <c r="V339" i="4"/>
  <c r="H340" i="4"/>
  <c r="K340" i="4"/>
  <c r="O340" i="4"/>
  <c r="V340" i="4"/>
  <c r="H341" i="4"/>
  <c r="K341" i="4"/>
  <c r="O341" i="4"/>
  <c r="V341" i="4"/>
  <c r="H342" i="4"/>
  <c r="K342" i="4"/>
  <c r="O342" i="4"/>
  <c r="V342" i="4"/>
  <c r="H343" i="4"/>
  <c r="K343" i="4"/>
  <c r="O343" i="4"/>
  <c r="V343" i="4"/>
  <c r="H344" i="4"/>
  <c r="K344" i="4"/>
  <c r="O344" i="4"/>
  <c r="V344" i="4"/>
  <c r="H345" i="4"/>
  <c r="K345" i="4"/>
  <c r="O345" i="4"/>
  <c r="V345" i="4"/>
  <c r="H346" i="4"/>
  <c r="K346" i="4"/>
  <c r="O346" i="4"/>
  <c r="V346" i="4"/>
  <c r="H347" i="4"/>
  <c r="K347" i="4"/>
  <c r="O347" i="4"/>
  <c r="V347" i="4"/>
  <c r="H348" i="4"/>
  <c r="K348" i="4"/>
  <c r="V348" i="4"/>
  <c r="H349" i="4"/>
  <c r="K349" i="4"/>
  <c r="O349" i="4"/>
  <c r="V349" i="4"/>
  <c r="H350" i="4"/>
  <c r="K350" i="4"/>
  <c r="O350" i="4"/>
  <c r="V350" i="4"/>
  <c r="H351" i="4"/>
  <c r="K351" i="4"/>
  <c r="O351" i="4"/>
  <c r="V351" i="4"/>
  <c r="H352" i="4"/>
  <c r="K352" i="4"/>
  <c r="O352" i="4"/>
  <c r="V352" i="4"/>
  <c r="H353" i="4"/>
  <c r="K353" i="4"/>
  <c r="O353" i="4"/>
  <c r="V353" i="4"/>
  <c r="H354" i="4"/>
  <c r="K354" i="4"/>
  <c r="O354" i="4"/>
  <c r="V354" i="4"/>
  <c r="H355" i="4"/>
  <c r="K355" i="4"/>
  <c r="O355" i="4"/>
  <c r="V355" i="4"/>
  <c r="H356" i="4"/>
  <c r="K356" i="4"/>
  <c r="O356" i="4"/>
  <c r="V356" i="4"/>
  <c r="H357" i="4"/>
  <c r="K357" i="4"/>
  <c r="O357" i="4"/>
  <c r="V357" i="4"/>
  <c r="H358" i="4"/>
  <c r="K358" i="4"/>
  <c r="O358" i="4"/>
  <c r="V358" i="4"/>
  <c r="H359" i="4"/>
  <c r="K359" i="4"/>
  <c r="O359" i="4"/>
  <c r="V359" i="4"/>
  <c r="H360" i="4"/>
  <c r="K360" i="4"/>
  <c r="O360" i="4"/>
  <c r="V360" i="4"/>
  <c r="H361" i="4"/>
  <c r="K361" i="4"/>
  <c r="O361" i="4"/>
  <c r="V361" i="4"/>
  <c r="H362" i="4"/>
  <c r="K362" i="4"/>
  <c r="O362" i="4"/>
  <c r="V362" i="4"/>
  <c r="H363" i="4"/>
  <c r="K363" i="4"/>
  <c r="O363" i="4"/>
  <c r="V363" i="4"/>
  <c r="H364" i="4"/>
  <c r="K364" i="4"/>
  <c r="O364" i="4"/>
  <c r="V364" i="4"/>
  <c r="H365" i="4"/>
  <c r="K365" i="4"/>
  <c r="O365" i="4"/>
  <c r="V365" i="4"/>
  <c r="H366" i="4"/>
  <c r="K366" i="4"/>
  <c r="O366" i="4"/>
  <c r="V366" i="4"/>
  <c r="H367" i="4"/>
  <c r="K367" i="4"/>
  <c r="O367" i="4"/>
  <c r="V367" i="4"/>
  <c r="H368" i="4"/>
  <c r="K368" i="4"/>
  <c r="O368" i="4"/>
  <c r="V368" i="4"/>
  <c r="H369" i="4"/>
  <c r="K369" i="4"/>
  <c r="O369" i="4"/>
  <c r="V369" i="4"/>
  <c r="H370" i="4"/>
  <c r="K370" i="4"/>
  <c r="O370" i="4"/>
  <c r="V370" i="4"/>
  <c r="H371" i="4"/>
  <c r="K371" i="4"/>
  <c r="O371" i="4"/>
  <c r="V371" i="4"/>
  <c r="H372" i="4"/>
  <c r="K372" i="4"/>
  <c r="O372" i="4"/>
  <c r="V372" i="4"/>
  <c r="H373" i="4"/>
  <c r="K373" i="4"/>
  <c r="O373" i="4"/>
  <c r="V373" i="4"/>
  <c r="H374" i="4"/>
  <c r="K374" i="4"/>
  <c r="O374" i="4"/>
  <c r="V374" i="4"/>
  <c r="H375" i="4"/>
  <c r="K375" i="4"/>
  <c r="O375" i="4"/>
  <c r="V375" i="4"/>
  <c r="H376" i="4"/>
  <c r="K376" i="4"/>
  <c r="O376" i="4"/>
  <c r="V376" i="4"/>
  <c r="H377" i="4"/>
  <c r="K377" i="4"/>
  <c r="O377" i="4"/>
  <c r="V377" i="4"/>
  <c r="H378" i="4"/>
  <c r="K378" i="4"/>
  <c r="V378" i="4"/>
  <c r="H379" i="4"/>
  <c r="K379" i="4"/>
  <c r="O379" i="4"/>
  <c r="V379" i="4"/>
  <c r="H380" i="4"/>
  <c r="K380" i="4"/>
  <c r="O380" i="4"/>
  <c r="V380" i="4"/>
  <c r="H381" i="4"/>
  <c r="K381" i="4"/>
  <c r="O381" i="4"/>
  <c r="V381" i="4"/>
  <c r="H383" i="4"/>
  <c r="K383" i="4"/>
  <c r="O383" i="4"/>
  <c r="V383" i="4"/>
  <c r="H384" i="4"/>
  <c r="K384" i="4"/>
  <c r="O384" i="4"/>
  <c r="V384" i="4"/>
  <c r="H385" i="4"/>
  <c r="K385" i="4"/>
  <c r="O385" i="4"/>
  <c r="V385" i="4"/>
  <c r="H387" i="4"/>
  <c r="K387" i="4"/>
  <c r="O387" i="4"/>
  <c r="V387" i="4"/>
  <c r="H388" i="4"/>
  <c r="K388" i="4"/>
  <c r="O388" i="4"/>
  <c r="V388" i="4"/>
  <c r="H389" i="4"/>
  <c r="K389" i="4"/>
  <c r="O389" i="4"/>
  <c r="V389" i="4"/>
  <c r="H390" i="4"/>
  <c r="K390" i="4"/>
  <c r="O390" i="4"/>
  <c r="V390" i="4"/>
  <c r="H391" i="4"/>
  <c r="K391" i="4"/>
  <c r="O391" i="4"/>
  <c r="V391" i="4"/>
  <c r="H392" i="4"/>
  <c r="K392" i="4"/>
  <c r="O392" i="4"/>
  <c r="V392" i="4"/>
  <c r="H393" i="4"/>
  <c r="K393" i="4"/>
  <c r="O393" i="4"/>
  <c r="V393" i="4"/>
  <c r="H346" i="17"/>
  <c r="H347" i="17"/>
  <c r="H348" i="17"/>
  <c r="H349" i="17"/>
  <c r="H366" i="17"/>
  <c r="H367" i="17"/>
  <c r="H368" i="17"/>
  <c r="H369" i="17"/>
  <c r="H370" i="17"/>
  <c r="H371" i="17"/>
  <c r="H372" i="17"/>
  <c r="H373" i="17"/>
  <c r="H374" i="17"/>
  <c r="H375" i="17"/>
  <c r="H376" i="17"/>
  <c r="H377" i="17"/>
  <c r="H378" i="17"/>
  <c r="H379" i="17"/>
  <c r="H380" i="17"/>
  <c r="H381" i="17"/>
  <c r="H382" i="17"/>
  <c r="H383" i="17"/>
  <c r="H384" i="17"/>
  <c r="H385" i="17"/>
  <c r="H386" i="17"/>
  <c r="H388" i="17"/>
  <c r="H389" i="17"/>
  <c r="H390" i="17"/>
  <c r="H391" i="17"/>
  <c r="H392" i="17"/>
  <c r="H393" i="17"/>
  <c r="H394" i="17"/>
  <c r="H395" i="17"/>
  <c r="H396" i="17"/>
  <c r="H397" i="17"/>
  <c r="H398" i="17"/>
  <c r="H399" i="17"/>
  <c r="H400" i="17"/>
  <c r="H401" i="17"/>
  <c r="H402" i="17"/>
  <c r="H403" i="17"/>
  <c r="H404" i="17"/>
  <c r="H405" i="17"/>
  <c r="B130" i="49"/>
  <c r="E130" i="49"/>
  <c r="I130" i="49"/>
  <c r="L130" i="49"/>
  <c r="B131" i="49"/>
  <c r="E131" i="49"/>
  <c r="I131" i="49"/>
  <c r="L131" i="49"/>
  <c r="B132" i="49"/>
  <c r="E132" i="49"/>
  <c r="I132" i="49"/>
  <c r="L132" i="49"/>
  <c r="B133" i="49"/>
  <c r="E133" i="49"/>
  <c r="I133" i="49"/>
  <c r="L133" i="49"/>
  <c r="B134" i="49"/>
  <c r="E134" i="49"/>
  <c r="I134" i="49"/>
  <c r="L134" i="49"/>
  <c r="B135" i="49"/>
  <c r="E135" i="49"/>
  <c r="I135" i="49"/>
  <c r="L135" i="49"/>
  <c r="E136" i="49"/>
  <c r="I136" i="49"/>
  <c r="L136" i="49"/>
  <c r="B137" i="49"/>
  <c r="E137" i="49"/>
  <c r="I137" i="49"/>
  <c r="L137" i="49"/>
  <c r="B138" i="49"/>
  <c r="E138" i="49"/>
  <c r="I138" i="49"/>
  <c r="L138" i="49"/>
  <c r="B139" i="49"/>
  <c r="E139" i="49"/>
  <c r="I139" i="49"/>
  <c r="L139" i="49"/>
  <c r="B140" i="49"/>
  <c r="E140" i="49"/>
  <c r="I140" i="49"/>
  <c r="L140" i="49"/>
  <c r="B141" i="49"/>
  <c r="E141" i="49"/>
  <c r="I141" i="49"/>
  <c r="L141" i="49"/>
  <c r="B142" i="49"/>
  <c r="E142" i="49"/>
  <c r="I142" i="49"/>
  <c r="L142" i="49"/>
  <c r="B143" i="49"/>
  <c r="E143" i="49"/>
  <c r="I143" i="49"/>
  <c r="L143" i="49"/>
  <c r="B144" i="49"/>
  <c r="E144" i="49"/>
  <c r="I144" i="49"/>
  <c r="L144" i="49"/>
  <c r="B145" i="49"/>
  <c r="E145" i="49"/>
  <c r="I145" i="49"/>
  <c r="L145" i="49"/>
  <c r="I146" i="49"/>
  <c r="L146" i="49"/>
  <c r="B147" i="49"/>
  <c r="E147" i="49"/>
  <c r="I147" i="49"/>
  <c r="L147" i="49"/>
  <c r="B148" i="49"/>
  <c r="I148" i="49"/>
  <c r="L148" i="49"/>
  <c r="B149" i="49"/>
  <c r="E149" i="49"/>
  <c r="I149" i="49"/>
  <c r="L149" i="49"/>
  <c r="I98" i="114"/>
  <c r="I99" i="114"/>
  <c r="I100" i="114"/>
  <c r="I101" i="114"/>
  <c r="I102" i="114"/>
  <c r="I103" i="114"/>
  <c r="I104" i="114"/>
  <c r="I105" i="114"/>
  <c r="O50" i="95"/>
  <c r="V50" i="95"/>
  <c r="U51" i="95"/>
  <c r="O52" i="95"/>
  <c r="V52" i="95"/>
  <c r="U53" i="95"/>
  <c r="V54" i="95"/>
  <c r="P55" i="95"/>
  <c r="U55" i="95"/>
  <c r="O56" i="95"/>
  <c r="V56" i="95"/>
  <c r="P57" i="95"/>
  <c r="U57" i="95"/>
  <c r="O58" i="95"/>
  <c r="V58" i="95"/>
  <c r="P59" i="95"/>
  <c r="U59" i="95"/>
  <c r="R53" i="95" l="1"/>
  <c r="S53" i="95"/>
  <c r="R58" i="95"/>
  <c r="S58" i="95"/>
  <c r="R50" i="95"/>
  <c r="S50" i="95"/>
  <c r="R59" i="95"/>
  <c r="S59" i="95"/>
  <c r="R55" i="95"/>
  <c r="S55" i="95"/>
  <c r="R51" i="95"/>
  <c r="S51" i="95"/>
  <c r="R57" i="95"/>
  <c r="S57" i="95"/>
  <c r="R54" i="95"/>
  <c r="S54" i="95"/>
  <c r="S56" i="95"/>
  <c r="R56" i="95"/>
  <c r="S52" i="95"/>
  <c r="R52" i="95"/>
  <c r="P52" i="95"/>
  <c r="P50" i="95"/>
  <c r="P54" i="95"/>
  <c r="O59" i="95"/>
  <c r="O57" i="95"/>
  <c r="O55" i="95"/>
  <c r="U54" i="95"/>
  <c r="V53" i="95"/>
  <c r="U52" i="95"/>
  <c r="V51" i="95"/>
  <c r="U50" i="95"/>
  <c r="V59" i="95"/>
  <c r="P58" i="95"/>
  <c r="V57" i="95"/>
  <c r="P56" i="95"/>
  <c r="V55" i="95"/>
  <c r="P53" i="95"/>
  <c r="O53" i="95"/>
  <c r="U58" i="95"/>
  <c r="U56" i="95"/>
  <c r="P51" i="95"/>
  <c r="O51" i="95"/>
  <c r="H308" i="4" l="1"/>
  <c r="M76" i="114" l="1"/>
  <c r="I319" i="38"/>
  <c r="L319" i="38" s="1"/>
  <c r="B319" i="38" s="1"/>
  <c r="E285" i="59"/>
  <c r="E286" i="59"/>
  <c r="E287" i="59"/>
  <c r="E288" i="59"/>
  <c r="E289" i="59"/>
  <c r="E290" i="59"/>
  <c r="E291" i="59"/>
  <c r="E292" i="59"/>
  <c r="E293" i="59"/>
  <c r="E294" i="59"/>
  <c r="E295" i="59"/>
  <c r="E296" i="59"/>
  <c r="E297" i="59"/>
  <c r="E298" i="59"/>
  <c r="E299" i="59"/>
  <c r="E300" i="59"/>
  <c r="E301" i="59"/>
  <c r="E302" i="59"/>
  <c r="E303" i="59"/>
  <c r="E304" i="59"/>
  <c r="E305" i="59"/>
  <c r="E306" i="59"/>
  <c r="E307" i="59"/>
  <c r="E308" i="59"/>
  <c r="E309" i="59"/>
  <c r="E264" i="59"/>
  <c r="E265" i="59"/>
  <c r="E266" i="59"/>
  <c r="E267" i="59"/>
  <c r="E268" i="59"/>
  <c r="E269" i="59"/>
  <c r="E270" i="59"/>
  <c r="E271" i="59"/>
  <c r="E272" i="59"/>
  <c r="E273" i="59"/>
  <c r="E274" i="59"/>
  <c r="E275" i="59"/>
  <c r="E276" i="59"/>
  <c r="E277" i="59"/>
  <c r="E278" i="59"/>
  <c r="E279" i="59"/>
  <c r="E280" i="59"/>
  <c r="E281" i="59"/>
  <c r="E282" i="59"/>
  <c r="E283" i="59"/>
  <c r="E284" i="59"/>
  <c r="E263" i="59"/>
  <c r="G18" i="53"/>
  <c r="L331" i="108"/>
  <c r="Q42" i="38"/>
  <c r="C42" i="38" s="1"/>
  <c r="Q306" i="38"/>
  <c r="C306" i="38" s="1"/>
  <c r="Q307" i="38"/>
  <c r="C307" i="38" s="1"/>
  <c r="Q308" i="38"/>
  <c r="C308" i="38" s="1"/>
  <c r="Q309" i="38"/>
  <c r="C309" i="38" s="1"/>
  <c r="Q310" i="38"/>
  <c r="C310" i="38" s="1"/>
  <c r="Q311" i="38"/>
  <c r="C311" i="38" s="1"/>
  <c r="Q312" i="38"/>
  <c r="C312" i="38" s="1"/>
  <c r="Q313" i="38"/>
  <c r="C313" i="38" s="1"/>
  <c r="Q314" i="38"/>
  <c r="C314" i="38" s="1"/>
  <c r="Q315" i="38"/>
  <c r="C315" i="38" s="1"/>
  <c r="Q316" i="38"/>
  <c r="C316" i="38" s="1"/>
  <c r="Q317" i="38"/>
  <c r="C317" i="38" s="1"/>
  <c r="Q318" i="38"/>
  <c r="C318" i="38" s="1"/>
  <c r="Q319" i="38"/>
  <c r="C319" i="38" s="1"/>
  <c r="Q320" i="38"/>
  <c r="C320" i="38" s="1"/>
  <c r="L309" i="38"/>
  <c r="B309" i="38" s="1"/>
  <c r="L310" i="38"/>
  <c r="B310" i="38" s="1"/>
  <c r="L311" i="38"/>
  <c r="B311" i="38" s="1"/>
  <c r="L312" i="38"/>
  <c r="B312" i="38" s="1"/>
  <c r="L313" i="38"/>
  <c r="B313" i="38" s="1"/>
  <c r="L314" i="38"/>
  <c r="B314" i="38" s="1"/>
  <c r="L315" i="38"/>
  <c r="B315" i="38" s="1"/>
  <c r="L316" i="38"/>
  <c r="B316" i="38" s="1"/>
  <c r="L317" i="38"/>
  <c r="B317" i="38" s="1"/>
  <c r="L318" i="38"/>
  <c r="B318" i="38" s="1"/>
  <c r="L307" i="38"/>
  <c r="B307" i="38" s="1"/>
  <c r="L308" i="38"/>
  <c r="B308" i="38" s="1"/>
  <c r="L193" i="38"/>
  <c r="B193" i="38" s="1"/>
  <c r="Q195" i="38"/>
  <c r="C195" i="38" s="1"/>
  <c r="Q142" i="38"/>
  <c r="C142" i="38" s="1"/>
  <c r="Q143" i="38"/>
  <c r="C143" i="38" s="1"/>
  <c r="Q144" i="38"/>
  <c r="C144" i="38" s="1"/>
  <c r="Q145" i="38"/>
  <c r="C145" i="38" s="1"/>
  <c r="Q146" i="38"/>
  <c r="C146" i="38" s="1"/>
  <c r="Q147" i="38"/>
  <c r="C147" i="38" s="1"/>
  <c r="Q148" i="38"/>
  <c r="C148" i="38" s="1"/>
  <c r="Q149" i="38"/>
  <c r="C149" i="38" s="1"/>
  <c r="Q150" i="38"/>
  <c r="C150" i="38" s="1"/>
  <c r="Q151" i="38"/>
  <c r="C151" i="38" s="1"/>
  <c r="Q152" i="38"/>
  <c r="C152" i="38" s="1"/>
  <c r="Q153" i="38"/>
  <c r="C153" i="38" s="1"/>
  <c r="Q154" i="38"/>
  <c r="C154" i="38" s="1"/>
  <c r="Q155" i="38"/>
  <c r="C155" i="38" s="1"/>
  <c r="Q156" i="38"/>
  <c r="C156" i="38" s="1"/>
  <c r="Q157" i="38"/>
  <c r="C157" i="38" s="1"/>
  <c r="Q158" i="38"/>
  <c r="C158" i="38" s="1"/>
  <c r="Q159" i="38"/>
  <c r="C159" i="38" s="1"/>
  <c r="Q160" i="38"/>
  <c r="C160" i="38" s="1"/>
  <c r="Q161" i="38"/>
  <c r="C161" i="38" s="1"/>
  <c r="Q162" i="38"/>
  <c r="C162" i="38" s="1"/>
  <c r="Q163" i="38"/>
  <c r="C163" i="38" s="1"/>
  <c r="Q164" i="38"/>
  <c r="C164" i="38" s="1"/>
  <c r="Q165" i="38"/>
  <c r="C165" i="38" s="1"/>
  <c r="Q166" i="38"/>
  <c r="C166" i="38" s="1"/>
  <c r="Q167" i="38"/>
  <c r="C167" i="38" s="1"/>
  <c r="Q168" i="38"/>
  <c r="C168" i="38" s="1"/>
  <c r="Q169" i="38"/>
  <c r="C169" i="38" s="1"/>
  <c r="Q170" i="38"/>
  <c r="C170" i="38" s="1"/>
  <c r="Q171" i="38"/>
  <c r="C171" i="38" s="1"/>
  <c r="Q172" i="38"/>
  <c r="C172" i="38" s="1"/>
  <c r="Q173" i="38"/>
  <c r="C173" i="38" s="1"/>
  <c r="Q174" i="38"/>
  <c r="C174" i="38" s="1"/>
  <c r="Q175" i="38"/>
  <c r="C175" i="38" s="1"/>
  <c r="Q176" i="38"/>
  <c r="C176" i="38" s="1"/>
  <c r="Q177" i="38"/>
  <c r="C177" i="38" s="1"/>
  <c r="Q178" i="38"/>
  <c r="C178" i="38" s="1"/>
  <c r="Q179" i="38"/>
  <c r="C179" i="38" s="1"/>
  <c r="Q180" i="38"/>
  <c r="C180" i="38" s="1"/>
  <c r="Q181" i="38"/>
  <c r="C181" i="38" s="1"/>
  <c r="Q182" i="38"/>
  <c r="C182" i="38" s="1"/>
  <c r="Q183" i="38"/>
  <c r="C183" i="38" s="1"/>
  <c r="Q184" i="38"/>
  <c r="C184" i="38" s="1"/>
  <c r="Q185" i="38"/>
  <c r="C185" i="38" s="1"/>
  <c r="Q186" i="38"/>
  <c r="C186" i="38" s="1"/>
  <c r="Q187" i="38"/>
  <c r="C187" i="38" s="1"/>
  <c r="Q188" i="38"/>
  <c r="C188" i="38" s="1"/>
  <c r="Q189" i="38"/>
  <c r="C189" i="38" s="1"/>
  <c r="Q190" i="38"/>
  <c r="C190" i="38" s="1"/>
  <c r="Q191" i="38"/>
  <c r="C191" i="38" s="1"/>
  <c r="Q192" i="38"/>
  <c r="C192" i="38" s="1"/>
  <c r="Q193" i="38"/>
  <c r="C193" i="38" s="1"/>
  <c r="Q194" i="38"/>
  <c r="C194" i="38" s="1"/>
  <c r="Q196" i="38"/>
  <c r="C196" i="38" s="1"/>
  <c r="Q197" i="38"/>
  <c r="C197" i="38" s="1"/>
  <c r="Q198" i="38"/>
  <c r="C198" i="38" s="1"/>
  <c r="Q199" i="38"/>
  <c r="C199" i="38" s="1"/>
  <c r="Q200" i="38"/>
  <c r="C200" i="38" s="1"/>
  <c r="Q201" i="38"/>
  <c r="C201" i="38" s="1"/>
  <c r="Q202" i="38"/>
  <c r="C202" i="38" s="1"/>
  <c r="Q203" i="38"/>
  <c r="C203" i="38" s="1"/>
  <c r="Q204" i="38"/>
  <c r="C204" i="38" s="1"/>
  <c r="Q205" i="38"/>
  <c r="C205" i="38" s="1"/>
  <c r="Q206" i="38"/>
  <c r="C206" i="38" s="1"/>
  <c r="Q207" i="38"/>
  <c r="C207" i="38" s="1"/>
  <c r="Q208" i="38"/>
  <c r="C208" i="38" s="1"/>
  <c r="Q209" i="38"/>
  <c r="C209" i="38" s="1"/>
  <c r="Q210" i="38"/>
  <c r="C210" i="38" s="1"/>
  <c r="Q211" i="38"/>
  <c r="C211" i="38" s="1"/>
  <c r="Q212" i="38"/>
  <c r="C212" i="38" s="1"/>
  <c r="Q213" i="38"/>
  <c r="C213" i="38" s="1"/>
  <c r="Q214" i="38"/>
  <c r="C214" i="38" s="1"/>
  <c r="Q215" i="38"/>
  <c r="C215" i="38" s="1"/>
  <c r="Q216" i="38"/>
  <c r="C216" i="38" s="1"/>
  <c r="Q217" i="38"/>
  <c r="C217" i="38" s="1"/>
  <c r="Q218" i="38"/>
  <c r="C218" i="38" s="1"/>
  <c r="Q219" i="38"/>
  <c r="C219" i="38" s="1"/>
  <c r="Q220" i="38"/>
  <c r="C220" i="38" s="1"/>
  <c r="Q221" i="38"/>
  <c r="C221" i="38" s="1"/>
  <c r="Q222" i="38"/>
  <c r="C222" i="38" s="1"/>
  <c r="Q223" i="38"/>
  <c r="C223" i="38" s="1"/>
  <c r="Q224" i="38"/>
  <c r="C224" i="38" s="1"/>
  <c r="Q225" i="38"/>
  <c r="C225" i="38" s="1"/>
  <c r="Q226" i="38"/>
  <c r="C226" i="38" s="1"/>
  <c r="Q227" i="38"/>
  <c r="C227" i="38" s="1"/>
  <c r="Q228" i="38"/>
  <c r="C228" i="38" s="1"/>
  <c r="Q229" i="38"/>
  <c r="C229" i="38" s="1"/>
  <c r="Q230" i="38"/>
  <c r="C230" i="38" s="1"/>
  <c r="Q231" i="38"/>
  <c r="C231" i="38" s="1"/>
  <c r="Q232" i="38"/>
  <c r="C232" i="38" s="1"/>
  <c r="Q233" i="38"/>
  <c r="C233" i="38" s="1"/>
  <c r="Q234" i="38"/>
  <c r="C234" i="38" s="1"/>
  <c r="Q235" i="38"/>
  <c r="C235" i="38" s="1"/>
  <c r="Q236" i="38"/>
  <c r="C236" i="38" s="1"/>
  <c r="Q237" i="38"/>
  <c r="C237" i="38" s="1"/>
  <c r="Q238" i="38"/>
  <c r="C238" i="38" s="1"/>
  <c r="Q239" i="38"/>
  <c r="C239" i="38" s="1"/>
  <c r="Q240" i="38"/>
  <c r="C240" i="38" s="1"/>
  <c r="Q241" i="38"/>
  <c r="C241" i="38" s="1"/>
  <c r="Q242" i="38"/>
  <c r="C242" i="38" s="1"/>
  <c r="Q243" i="38"/>
  <c r="C243" i="38" s="1"/>
  <c r="Q244" i="38"/>
  <c r="C244" i="38" s="1"/>
  <c r="Q245" i="38"/>
  <c r="C245" i="38" s="1"/>
  <c r="Q246" i="38"/>
  <c r="C246" i="38" s="1"/>
  <c r="Q247" i="38"/>
  <c r="C247" i="38" s="1"/>
  <c r="Q248" i="38"/>
  <c r="C248" i="38" s="1"/>
  <c r="Q249" i="38"/>
  <c r="C249" i="38" s="1"/>
  <c r="Q250" i="38"/>
  <c r="C250" i="38" s="1"/>
  <c r="Q251" i="38"/>
  <c r="C251" i="38" s="1"/>
  <c r="Q252" i="38"/>
  <c r="C252" i="38" s="1"/>
  <c r="Q253" i="38"/>
  <c r="C253" i="38" s="1"/>
  <c r="Q254" i="38"/>
  <c r="C254" i="38" s="1"/>
  <c r="Q255" i="38"/>
  <c r="C255" i="38" s="1"/>
  <c r="Q256" i="38"/>
  <c r="C256" i="38" s="1"/>
  <c r="Q257" i="38"/>
  <c r="C257" i="38" s="1"/>
  <c r="Q258" i="38"/>
  <c r="C258" i="38" s="1"/>
  <c r="Q259" i="38"/>
  <c r="C259" i="38" s="1"/>
  <c r="Q260" i="38"/>
  <c r="C260" i="38" s="1"/>
  <c r="Q261" i="38"/>
  <c r="C261" i="38" s="1"/>
  <c r="Q262" i="38"/>
  <c r="C262" i="38" s="1"/>
  <c r="Q263" i="38"/>
  <c r="C263" i="38" s="1"/>
  <c r="Q264" i="38"/>
  <c r="C264" i="38" s="1"/>
  <c r="Q265" i="38"/>
  <c r="C265" i="38" s="1"/>
  <c r="Q266" i="38"/>
  <c r="C266" i="38" s="1"/>
  <c r="Q267" i="38"/>
  <c r="C267" i="38" s="1"/>
  <c r="Q268" i="38"/>
  <c r="C268" i="38" s="1"/>
  <c r="Q269" i="38"/>
  <c r="C269" i="38" s="1"/>
  <c r="Q270" i="38"/>
  <c r="C270" i="38" s="1"/>
  <c r="Q271" i="38"/>
  <c r="C271" i="38" s="1"/>
  <c r="Q272" i="38"/>
  <c r="C272" i="38" s="1"/>
  <c r="Q273" i="38"/>
  <c r="C273" i="38" s="1"/>
  <c r="Q274" i="38"/>
  <c r="C274" i="38" s="1"/>
  <c r="Q275" i="38"/>
  <c r="C275" i="38" s="1"/>
  <c r="Q276" i="38"/>
  <c r="C276" i="38" s="1"/>
  <c r="Q277" i="38"/>
  <c r="C277" i="38" s="1"/>
  <c r="Q278" i="38"/>
  <c r="C278" i="38" s="1"/>
  <c r="Q279" i="38"/>
  <c r="C279" i="38" s="1"/>
  <c r="Q280" i="38"/>
  <c r="C280" i="38" s="1"/>
  <c r="Q281" i="38"/>
  <c r="C281" i="38" s="1"/>
  <c r="Q282" i="38"/>
  <c r="C282" i="38" s="1"/>
  <c r="Q283" i="38"/>
  <c r="C283" i="38" s="1"/>
  <c r="Q284" i="38"/>
  <c r="C284" i="38" s="1"/>
  <c r="Q285" i="38"/>
  <c r="C285" i="38" s="1"/>
  <c r="Q286" i="38"/>
  <c r="C286" i="38" s="1"/>
  <c r="Q287" i="38"/>
  <c r="C287" i="38" s="1"/>
  <c r="Q288" i="38"/>
  <c r="C288" i="38" s="1"/>
  <c r="Q289" i="38"/>
  <c r="C289" i="38" s="1"/>
  <c r="Q290" i="38"/>
  <c r="C290" i="38" s="1"/>
  <c r="Q291" i="38"/>
  <c r="C291" i="38" s="1"/>
  <c r="Q292" i="38"/>
  <c r="C292" i="38" s="1"/>
  <c r="Q293" i="38"/>
  <c r="C293" i="38" s="1"/>
  <c r="Q294" i="38"/>
  <c r="C294" i="38" s="1"/>
  <c r="Q295" i="38"/>
  <c r="C295" i="38" s="1"/>
  <c r="Q296" i="38"/>
  <c r="C296" i="38" s="1"/>
  <c r="Q297" i="38"/>
  <c r="C297" i="38" s="1"/>
  <c r="Q298" i="38"/>
  <c r="C298" i="38" s="1"/>
  <c r="Q299" i="38"/>
  <c r="C299" i="38" s="1"/>
  <c r="Q300" i="38"/>
  <c r="C300" i="38" s="1"/>
  <c r="Q301" i="38"/>
  <c r="C301" i="38" s="1"/>
  <c r="Q302" i="38"/>
  <c r="C302" i="38" s="1"/>
  <c r="Q303" i="38"/>
  <c r="C303" i="38" s="1"/>
  <c r="Q304" i="38"/>
  <c r="C304" i="38" s="1"/>
  <c r="Q305" i="38"/>
  <c r="C305" i="38" s="1"/>
  <c r="Q321" i="38"/>
  <c r="C321" i="38" s="1"/>
  <c r="Q322" i="38"/>
  <c r="C322" i="38" s="1"/>
  <c r="Q323" i="38"/>
  <c r="C323" i="38" s="1"/>
  <c r="Q324" i="38"/>
  <c r="C324" i="38" s="1"/>
  <c r="Q325" i="38"/>
  <c r="C325" i="38" s="1"/>
  <c r="Q326" i="38"/>
  <c r="C326" i="38" s="1"/>
  <c r="Q327" i="38"/>
  <c r="C327" i="38" s="1"/>
  <c r="Q328" i="38"/>
  <c r="C328" i="38" s="1"/>
  <c r="Q329" i="38"/>
  <c r="C329" i="38" s="1"/>
  <c r="Q330" i="38"/>
  <c r="C330" i="38" s="1"/>
  <c r="Q331" i="38"/>
  <c r="C331" i="38" s="1"/>
  <c r="Q332" i="38"/>
  <c r="C332" i="38" s="1"/>
  <c r="Q333" i="38"/>
  <c r="C333" i="38" s="1"/>
  <c r="Q334" i="38"/>
  <c r="C334" i="38" s="1"/>
  <c r="Q335" i="38"/>
  <c r="C335" i="38" s="1"/>
  <c r="Q336" i="38"/>
  <c r="C336" i="38" s="1"/>
  <c r="Q337" i="38"/>
  <c r="C337" i="38" s="1"/>
  <c r="Q338" i="38"/>
  <c r="C338" i="38" s="1"/>
  <c r="Q339" i="38"/>
  <c r="C339" i="38" s="1"/>
  <c r="Q340" i="38"/>
  <c r="C340" i="38" s="1"/>
  <c r="Q341" i="38"/>
  <c r="C341" i="38" s="1"/>
  <c r="Q342" i="38"/>
  <c r="C342" i="38" s="1"/>
  <c r="Q343" i="38"/>
  <c r="C343" i="38" s="1"/>
  <c r="C344" i="38"/>
  <c r="Q345" i="38"/>
  <c r="C345" i="38" s="1"/>
  <c r="L146" i="38"/>
  <c r="B146" i="38" s="1"/>
  <c r="L147" i="38"/>
  <c r="B147" i="38" s="1"/>
  <c r="L148" i="38"/>
  <c r="B148" i="38" s="1"/>
  <c r="L149" i="38"/>
  <c r="B149" i="38" s="1"/>
  <c r="L150" i="38"/>
  <c r="B150" i="38" s="1"/>
  <c r="L151" i="38"/>
  <c r="B151" i="38" s="1"/>
  <c r="L152" i="38"/>
  <c r="B152" i="38" s="1"/>
  <c r="L153" i="38"/>
  <c r="B153" i="38" s="1"/>
  <c r="L154" i="38"/>
  <c r="B154" i="38" s="1"/>
  <c r="L155" i="38"/>
  <c r="B155" i="38" s="1"/>
  <c r="L156" i="38"/>
  <c r="B156" i="38" s="1"/>
  <c r="L157" i="38"/>
  <c r="B157" i="38" s="1"/>
  <c r="L158" i="38"/>
  <c r="B158" i="38" s="1"/>
  <c r="L159" i="38"/>
  <c r="B159" i="38" s="1"/>
  <c r="L160" i="38"/>
  <c r="B160" i="38" s="1"/>
  <c r="L161" i="38"/>
  <c r="B161" i="38" s="1"/>
  <c r="L162" i="38"/>
  <c r="B162" i="38" s="1"/>
  <c r="L163" i="38"/>
  <c r="B163" i="38" s="1"/>
  <c r="L164" i="38"/>
  <c r="B164" i="38" s="1"/>
  <c r="L165" i="38"/>
  <c r="B165" i="38" s="1"/>
  <c r="L166" i="38"/>
  <c r="B166" i="38" s="1"/>
  <c r="L167" i="38"/>
  <c r="B167" i="38" s="1"/>
  <c r="L168" i="38"/>
  <c r="B168" i="38" s="1"/>
  <c r="L169" i="38"/>
  <c r="B169" i="38" s="1"/>
  <c r="L170" i="38"/>
  <c r="B170" i="38" s="1"/>
  <c r="L171" i="38"/>
  <c r="B171" i="38" s="1"/>
  <c r="L172" i="38"/>
  <c r="B172" i="38" s="1"/>
  <c r="L173" i="38"/>
  <c r="B173" i="38" s="1"/>
  <c r="L174" i="38"/>
  <c r="B174" i="38" s="1"/>
  <c r="L175" i="38"/>
  <c r="B175" i="38" s="1"/>
  <c r="L176" i="38"/>
  <c r="B176" i="38" s="1"/>
  <c r="L177" i="38"/>
  <c r="B177" i="38" s="1"/>
  <c r="L178" i="38"/>
  <c r="B178" i="38" s="1"/>
  <c r="L179" i="38"/>
  <c r="B179" i="38" s="1"/>
  <c r="L180" i="38"/>
  <c r="B180" i="38" s="1"/>
  <c r="L181" i="38"/>
  <c r="B181" i="38" s="1"/>
  <c r="L182" i="38"/>
  <c r="B182" i="38" s="1"/>
  <c r="L183" i="38"/>
  <c r="B183" i="38" s="1"/>
  <c r="L184" i="38"/>
  <c r="B184" i="38" s="1"/>
  <c r="L185" i="38"/>
  <c r="B185" i="38" s="1"/>
  <c r="L186" i="38"/>
  <c r="B186" i="38" s="1"/>
  <c r="L187" i="38"/>
  <c r="B187" i="38" s="1"/>
  <c r="L188" i="38"/>
  <c r="B188" i="38" s="1"/>
  <c r="L189" i="38"/>
  <c r="B189" i="38" s="1"/>
  <c r="L190" i="38"/>
  <c r="B190" i="38" s="1"/>
  <c r="L191" i="38"/>
  <c r="B191" i="38" s="1"/>
  <c r="L192" i="38"/>
  <c r="B192" i="38" s="1"/>
  <c r="L194" i="38"/>
  <c r="B194" i="38" s="1"/>
  <c r="L195" i="38"/>
  <c r="B195" i="38" s="1"/>
  <c r="L196" i="38"/>
  <c r="B196" i="38" s="1"/>
  <c r="L197" i="38"/>
  <c r="B197" i="38" s="1"/>
  <c r="L198" i="38"/>
  <c r="B198" i="38" s="1"/>
  <c r="L199" i="38"/>
  <c r="B199" i="38" s="1"/>
  <c r="L200" i="38"/>
  <c r="B200" i="38" s="1"/>
  <c r="L201" i="38"/>
  <c r="B201" i="38" s="1"/>
  <c r="L202" i="38"/>
  <c r="B202" i="38" s="1"/>
  <c r="L203" i="38"/>
  <c r="B203" i="38" s="1"/>
  <c r="L204" i="38"/>
  <c r="B204" i="38" s="1"/>
  <c r="L205" i="38"/>
  <c r="B205" i="38" s="1"/>
  <c r="L206" i="38"/>
  <c r="B206" i="38" s="1"/>
  <c r="L207" i="38"/>
  <c r="B207" i="38" s="1"/>
  <c r="L208" i="38"/>
  <c r="B208" i="38" s="1"/>
  <c r="L209" i="38"/>
  <c r="B209" i="38" s="1"/>
  <c r="L210" i="38"/>
  <c r="B210" i="38" s="1"/>
  <c r="L211" i="38"/>
  <c r="B211" i="38" s="1"/>
  <c r="L212" i="38"/>
  <c r="B212" i="38" s="1"/>
  <c r="L213" i="38"/>
  <c r="B213" i="38" s="1"/>
  <c r="L214" i="38"/>
  <c r="B214" i="38" s="1"/>
  <c r="L215" i="38"/>
  <c r="B215" i="38" s="1"/>
  <c r="L216" i="38"/>
  <c r="B216" i="38" s="1"/>
  <c r="L217" i="38"/>
  <c r="B217" i="38" s="1"/>
  <c r="L218" i="38"/>
  <c r="B218" i="38" s="1"/>
  <c r="L219" i="38"/>
  <c r="B219" i="38" s="1"/>
  <c r="L220" i="38"/>
  <c r="B220" i="38" s="1"/>
  <c r="L221" i="38"/>
  <c r="B221" i="38" s="1"/>
  <c r="L222" i="38"/>
  <c r="B222" i="38" s="1"/>
  <c r="L223" i="38"/>
  <c r="B223" i="38" s="1"/>
  <c r="L224" i="38"/>
  <c r="B224" i="38" s="1"/>
  <c r="L225" i="38"/>
  <c r="B225" i="38" s="1"/>
  <c r="L226" i="38"/>
  <c r="B226" i="38" s="1"/>
  <c r="L227" i="38"/>
  <c r="B227" i="38" s="1"/>
  <c r="L228" i="38"/>
  <c r="B228" i="38" s="1"/>
  <c r="L229" i="38"/>
  <c r="B229" i="38" s="1"/>
  <c r="L230" i="38"/>
  <c r="B230" i="38" s="1"/>
  <c r="L231" i="38"/>
  <c r="B231" i="38" s="1"/>
  <c r="L232" i="38"/>
  <c r="B232" i="38" s="1"/>
  <c r="L233" i="38"/>
  <c r="B233" i="38" s="1"/>
  <c r="L234" i="38"/>
  <c r="B234" i="38" s="1"/>
  <c r="L235" i="38"/>
  <c r="B235" i="38" s="1"/>
  <c r="L236" i="38"/>
  <c r="B236" i="38" s="1"/>
  <c r="L237" i="38"/>
  <c r="B237" i="38" s="1"/>
  <c r="L238" i="38"/>
  <c r="B238" i="38" s="1"/>
  <c r="L239" i="38"/>
  <c r="B239" i="38" s="1"/>
  <c r="L240" i="38"/>
  <c r="B240" i="38" s="1"/>
  <c r="L241" i="38"/>
  <c r="B241" i="38" s="1"/>
  <c r="L242" i="38"/>
  <c r="B242" i="38" s="1"/>
  <c r="L243" i="38"/>
  <c r="B243" i="38" s="1"/>
  <c r="L244" i="38"/>
  <c r="B244" i="38" s="1"/>
  <c r="L245" i="38"/>
  <c r="B245" i="38" s="1"/>
  <c r="L246" i="38"/>
  <c r="B246" i="38" s="1"/>
  <c r="L247" i="38"/>
  <c r="B247" i="38" s="1"/>
  <c r="L248" i="38"/>
  <c r="B248" i="38" s="1"/>
  <c r="L249" i="38"/>
  <c r="B249" i="38" s="1"/>
  <c r="L250" i="38"/>
  <c r="B250" i="38" s="1"/>
  <c r="L251" i="38"/>
  <c r="B251" i="38" s="1"/>
  <c r="L252" i="38"/>
  <c r="B252" i="38" s="1"/>
  <c r="L253" i="38"/>
  <c r="B253" i="38" s="1"/>
  <c r="L254" i="38"/>
  <c r="B254" i="38" s="1"/>
  <c r="L255" i="38"/>
  <c r="B255" i="38" s="1"/>
  <c r="L256" i="38"/>
  <c r="B256" i="38" s="1"/>
  <c r="L257" i="38"/>
  <c r="B257" i="38" s="1"/>
  <c r="L258" i="38"/>
  <c r="B258" i="38" s="1"/>
  <c r="L259" i="38"/>
  <c r="B259" i="38" s="1"/>
  <c r="L260" i="38"/>
  <c r="B260" i="38" s="1"/>
  <c r="L261" i="38"/>
  <c r="B261" i="38" s="1"/>
  <c r="L262" i="38"/>
  <c r="B262" i="38" s="1"/>
  <c r="L263" i="38"/>
  <c r="B263" i="38" s="1"/>
  <c r="L264" i="38"/>
  <c r="B264" i="38" s="1"/>
  <c r="L265" i="38"/>
  <c r="B265" i="38" s="1"/>
  <c r="L266" i="38"/>
  <c r="B266" i="38" s="1"/>
  <c r="L267" i="38"/>
  <c r="B267" i="38" s="1"/>
  <c r="L268" i="38"/>
  <c r="B268" i="38" s="1"/>
  <c r="L269" i="38"/>
  <c r="B269" i="38" s="1"/>
  <c r="L270" i="38"/>
  <c r="B270" i="38" s="1"/>
  <c r="L271" i="38"/>
  <c r="B271" i="38" s="1"/>
  <c r="L272" i="38"/>
  <c r="B272" i="38" s="1"/>
  <c r="L273" i="38"/>
  <c r="B273" i="38" s="1"/>
  <c r="L274" i="38"/>
  <c r="B274" i="38" s="1"/>
  <c r="L275" i="38"/>
  <c r="B275" i="38" s="1"/>
  <c r="L276" i="38"/>
  <c r="B276" i="38" s="1"/>
  <c r="L277" i="38"/>
  <c r="B277" i="38" s="1"/>
  <c r="L278" i="38"/>
  <c r="B278" i="38" s="1"/>
  <c r="L279" i="38"/>
  <c r="B279" i="38" s="1"/>
  <c r="L280" i="38"/>
  <c r="B280" i="38" s="1"/>
  <c r="L281" i="38"/>
  <c r="B281" i="38" s="1"/>
  <c r="L282" i="38"/>
  <c r="B282" i="38" s="1"/>
  <c r="L283" i="38"/>
  <c r="B283" i="38" s="1"/>
  <c r="L284" i="38"/>
  <c r="B284" i="38" s="1"/>
  <c r="L285" i="38"/>
  <c r="B285" i="38" s="1"/>
  <c r="L286" i="38"/>
  <c r="B286" i="38" s="1"/>
  <c r="L287" i="38"/>
  <c r="B287" i="38" s="1"/>
  <c r="L288" i="38"/>
  <c r="B288" i="38" s="1"/>
  <c r="L289" i="38"/>
  <c r="B289" i="38" s="1"/>
  <c r="L290" i="38"/>
  <c r="B290" i="38" s="1"/>
  <c r="L291" i="38"/>
  <c r="B291" i="38" s="1"/>
  <c r="L292" i="38"/>
  <c r="B292" i="38" s="1"/>
  <c r="L293" i="38"/>
  <c r="B293" i="38" s="1"/>
  <c r="L294" i="38"/>
  <c r="B294" i="38" s="1"/>
  <c r="L295" i="38"/>
  <c r="B295" i="38" s="1"/>
  <c r="L296" i="38"/>
  <c r="B296" i="38" s="1"/>
  <c r="L297" i="38"/>
  <c r="B297" i="38" s="1"/>
  <c r="L298" i="38"/>
  <c r="B298" i="38" s="1"/>
  <c r="L299" i="38"/>
  <c r="B299" i="38" s="1"/>
  <c r="L300" i="38"/>
  <c r="B300" i="38" s="1"/>
  <c r="L301" i="38"/>
  <c r="B301" i="38" s="1"/>
  <c r="L302" i="38"/>
  <c r="B302" i="38" s="1"/>
  <c r="L303" i="38"/>
  <c r="B303" i="38" s="1"/>
  <c r="L304" i="38"/>
  <c r="B304" i="38" s="1"/>
  <c r="L305" i="38"/>
  <c r="B305" i="38" s="1"/>
  <c r="L306" i="38"/>
  <c r="B306" i="38" s="1"/>
  <c r="L320" i="38"/>
  <c r="B320" i="38" s="1"/>
  <c r="L321" i="38"/>
  <c r="B321" i="38" s="1"/>
  <c r="L322" i="38"/>
  <c r="B322" i="38" s="1"/>
  <c r="L323" i="38"/>
  <c r="B323" i="38" s="1"/>
  <c r="L324" i="38"/>
  <c r="B324" i="38" s="1"/>
  <c r="L325" i="38"/>
  <c r="B325" i="38" s="1"/>
  <c r="L326" i="38"/>
  <c r="B326" i="38" s="1"/>
  <c r="L327" i="38"/>
  <c r="B327" i="38" s="1"/>
  <c r="L328" i="38"/>
  <c r="B328" i="38" s="1"/>
  <c r="L329" i="38"/>
  <c r="B329" i="38" s="1"/>
  <c r="L330" i="38"/>
  <c r="B330" i="38" s="1"/>
  <c r="L331" i="38"/>
  <c r="B331" i="38" s="1"/>
  <c r="L332" i="38"/>
  <c r="B332" i="38" s="1"/>
  <c r="L333" i="38"/>
  <c r="B333" i="38" s="1"/>
  <c r="L334" i="38"/>
  <c r="B334" i="38" s="1"/>
  <c r="L335" i="38"/>
  <c r="B335" i="38" s="1"/>
  <c r="L336" i="38"/>
  <c r="B336" i="38" s="1"/>
  <c r="L337" i="38"/>
  <c r="B337" i="38" s="1"/>
  <c r="L338" i="38"/>
  <c r="B338" i="38" s="1"/>
  <c r="L339" i="38"/>
  <c r="B339" i="38" s="1"/>
  <c r="L340" i="38"/>
  <c r="B340" i="38" s="1"/>
  <c r="L341" i="38"/>
  <c r="B341" i="38" s="1"/>
  <c r="L342" i="38"/>
  <c r="B342" i="38" s="1"/>
  <c r="L343" i="38"/>
  <c r="B343" i="38" s="1"/>
  <c r="L344" i="38"/>
  <c r="B344" i="38" s="1"/>
  <c r="L345" i="38"/>
  <c r="B345" i="38" s="1"/>
  <c r="D120" i="116"/>
  <c r="L330" i="108"/>
  <c r="D329" i="89"/>
  <c r="M75" i="114"/>
  <c r="V304" i="4"/>
  <c r="O304" i="4"/>
  <c r="K304" i="4"/>
  <c r="H304" i="4"/>
  <c r="M119" i="49"/>
  <c r="L119" i="49" s="1"/>
  <c r="J119" i="49"/>
  <c r="I119" i="49" s="1"/>
  <c r="E119" i="49"/>
  <c r="C119" i="49"/>
  <c r="B119" i="49" s="1"/>
  <c r="L328" i="108"/>
  <c r="L327" i="108"/>
  <c r="M74" i="114"/>
  <c r="L326" i="108"/>
  <c r="B313" i="89"/>
  <c r="B62" i="114"/>
  <c r="L325" i="108"/>
  <c r="B117" i="49"/>
  <c r="B324" i="89"/>
  <c r="D323" i="89"/>
  <c r="B322" i="89"/>
  <c r="D12" i="114"/>
  <c r="D13" i="114"/>
  <c r="D14" i="114"/>
  <c r="D15" i="114"/>
  <c r="D16" i="114"/>
  <c r="D17" i="114"/>
  <c r="D18" i="114"/>
  <c r="D19" i="114"/>
  <c r="D20" i="114"/>
  <c r="D21" i="114"/>
  <c r="D22" i="114"/>
  <c r="D23" i="114"/>
  <c r="D24" i="114"/>
  <c r="D25" i="114"/>
  <c r="D26" i="114"/>
  <c r="D27" i="114"/>
  <c r="D28" i="114"/>
  <c r="D29" i="114"/>
  <c r="D30" i="114"/>
  <c r="D31" i="114"/>
  <c r="D32" i="114"/>
  <c r="D33" i="114"/>
  <c r="D34" i="114"/>
  <c r="D35" i="114"/>
  <c r="D36" i="114"/>
  <c r="D37" i="114"/>
  <c r="D38" i="114"/>
  <c r="D39" i="114"/>
  <c r="D40" i="114"/>
  <c r="D41" i="114"/>
  <c r="D42" i="114"/>
  <c r="D43" i="114"/>
  <c r="D44" i="114"/>
  <c r="D45" i="114"/>
  <c r="D46" i="114"/>
  <c r="D47" i="114"/>
  <c r="D48" i="114"/>
  <c r="D49" i="114"/>
  <c r="D50" i="114"/>
  <c r="D51" i="114"/>
  <c r="D52" i="114"/>
  <c r="D53" i="114"/>
  <c r="D54" i="114"/>
  <c r="D55" i="114"/>
  <c r="D56" i="114"/>
  <c r="D57" i="114"/>
  <c r="D58" i="114"/>
  <c r="D59" i="114"/>
  <c r="D60" i="114"/>
  <c r="D61" i="114"/>
  <c r="D11" i="114"/>
  <c r="D10" i="114"/>
  <c r="M70" i="114"/>
  <c r="M69" i="114"/>
  <c r="M68" i="114"/>
  <c r="M67" i="114"/>
  <c r="M66" i="114"/>
  <c r="J146" i="106"/>
  <c r="S146" i="106"/>
  <c r="D91" i="14"/>
  <c r="V12" i="4"/>
  <c r="V13" i="4"/>
  <c r="V14" i="4"/>
  <c r="V15" i="4"/>
  <c r="V16" i="4"/>
  <c r="V17" i="4"/>
  <c r="V18" i="4"/>
  <c r="V19" i="4"/>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67" i="4"/>
  <c r="V168" i="4"/>
  <c r="V169" i="4"/>
  <c r="V170" i="4"/>
  <c r="V171" i="4"/>
  <c r="V172" i="4"/>
  <c r="V173" i="4"/>
  <c r="V174" i="4"/>
  <c r="V175" i="4"/>
  <c r="V176" i="4"/>
  <c r="V177" i="4"/>
  <c r="V178" i="4"/>
  <c r="V179" i="4"/>
  <c r="V180" i="4"/>
  <c r="V181" i="4"/>
  <c r="V182" i="4"/>
  <c r="V183" i="4"/>
  <c r="V184" i="4"/>
  <c r="V185" i="4"/>
  <c r="V186" i="4"/>
  <c r="V187" i="4"/>
  <c r="V188" i="4"/>
  <c r="V189"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8" i="4"/>
  <c r="V219"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01" i="4"/>
  <c r="V302" i="4"/>
  <c r="V303" i="4"/>
  <c r="V305" i="4"/>
  <c r="V306" i="4"/>
  <c r="V307" i="4"/>
  <c r="V308" i="4"/>
  <c r="V309" i="4"/>
  <c r="V310" i="4"/>
  <c r="V311" i="4"/>
  <c r="V312" i="4"/>
  <c r="V313" i="4"/>
  <c r="V314" i="4"/>
  <c r="V315" i="4"/>
  <c r="V316" i="4"/>
  <c r="V317" i="4"/>
  <c r="V318" i="4"/>
  <c r="V319" i="4"/>
  <c r="V320" i="4"/>
  <c r="V321" i="4"/>
  <c r="V322" i="4"/>
  <c r="V323" i="4"/>
  <c r="V324" i="4"/>
  <c r="V325" i="4"/>
  <c r="V326" i="4"/>
  <c r="V327" i="4"/>
  <c r="V328" i="4"/>
  <c r="V329" i="4"/>
  <c r="V330" i="4"/>
  <c r="V331" i="4"/>
  <c r="V332" i="4"/>
  <c r="V333" i="4"/>
  <c r="V11" i="4"/>
  <c r="V10" i="4"/>
  <c r="O202" i="4"/>
  <c r="O203" i="4"/>
  <c r="O204" i="4"/>
  <c r="O205" i="4"/>
  <c r="O206" i="4"/>
  <c r="O207" i="4"/>
  <c r="O208" i="4"/>
  <c r="O209" i="4"/>
  <c r="O210" i="4"/>
  <c r="O211" i="4"/>
  <c r="O212" i="4"/>
  <c r="O213" i="4"/>
  <c r="O214" i="4"/>
  <c r="O215" i="4"/>
  <c r="O216" i="4"/>
  <c r="O217" i="4"/>
  <c r="O218" i="4"/>
  <c r="O219" i="4"/>
  <c r="O220" i="4"/>
  <c r="O221" i="4"/>
  <c r="O222" i="4"/>
  <c r="O223" i="4"/>
  <c r="O224" i="4"/>
  <c r="O225" i="4"/>
  <c r="O226" i="4"/>
  <c r="O227" i="4"/>
  <c r="O228" i="4"/>
  <c r="O229" i="4"/>
  <c r="O230" i="4"/>
  <c r="O231" i="4"/>
  <c r="O232" i="4"/>
  <c r="O233" i="4"/>
  <c r="O234" i="4"/>
  <c r="O235" i="4"/>
  <c r="O236" i="4"/>
  <c r="O237" i="4"/>
  <c r="O238" i="4"/>
  <c r="O239" i="4"/>
  <c r="O240" i="4"/>
  <c r="O241" i="4"/>
  <c r="O242" i="4"/>
  <c r="O243" i="4"/>
  <c r="O244" i="4"/>
  <c r="O245" i="4"/>
  <c r="O246" i="4"/>
  <c r="O247" i="4"/>
  <c r="O248" i="4"/>
  <c r="O249" i="4"/>
  <c r="O250" i="4"/>
  <c r="O251" i="4"/>
  <c r="O252" i="4"/>
  <c r="O253" i="4"/>
  <c r="O254" i="4"/>
  <c r="O255" i="4"/>
  <c r="O256" i="4"/>
  <c r="O257" i="4"/>
  <c r="O258" i="4"/>
  <c r="O259" i="4"/>
  <c r="O260" i="4"/>
  <c r="O261" i="4"/>
  <c r="O262" i="4"/>
  <c r="O263" i="4"/>
  <c r="O264" i="4"/>
  <c r="O265" i="4"/>
  <c r="O266" i="4"/>
  <c r="O267" i="4"/>
  <c r="O268" i="4"/>
  <c r="O269" i="4"/>
  <c r="O270" i="4"/>
  <c r="O271" i="4"/>
  <c r="O272" i="4"/>
  <c r="O273" i="4"/>
  <c r="O274" i="4"/>
  <c r="O275" i="4"/>
  <c r="O276" i="4"/>
  <c r="O277" i="4"/>
  <c r="O278" i="4"/>
  <c r="O279" i="4"/>
  <c r="O280" i="4"/>
  <c r="O281" i="4"/>
  <c r="O282" i="4"/>
  <c r="O283" i="4"/>
  <c r="O284" i="4"/>
  <c r="O285" i="4"/>
  <c r="O286" i="4"/>
  <c r="O287" i="4"/>
  <c r="O288" i="4"/>
  <c r="O289" i="4"/>
  <c r="O290" i="4"/>
  <c r="O291" i="4"/>
  <c r="O292" i="4"/>
  <c r="O293" i="4"/>
  <c r="O294" i="4"/>
  <c r="O295" i="4"/>
  <c r="O297" i="4"/>
  <c r="O298" i="4"/>
  <c r="O299" i="4"/>
  <c r="O300" i="4"/>
  <c r="O301" i="4"/>
  <c r="O302" i="4"/>
  <c r="O303" i="4"/>
  <c r="O305" i="4"/>
  <c r="O306" i="4"/>
  <c r="O307" i="4"/>
  <c r="O308" i="4"/>
  <c r="O309" i="4"/>
  <c r="O310" i="4"/>
  <c r="O311" i="4"/>
  <c r="O312" i="4"/>
  <c r="O313" i="4"/>
  <c r="O314" i="4"/>
  <c r="O315" i="4"/>
  <c r="O316" i="4"/>
  <c r="O317" i="4"/>
  <c r="O318" i="4"/>
  <c r="O319" i="4"/>
  <c r="O320" i="4"/>
  <c r="O321" i="4"/>
  <c r="O322" i="4"/>
  <c r="O323" i="4"/>
  <c r="O324" i="4"/>
  <c r="O325" i="4"/>
  <c r="O326" i="4"/>
  <c r="O327" i="4"/>
  <c r="O328" i="4"/>
  <c r="O329" i="4"/>
  <c r="O330" i="4"/>
  <c r="O331" i="4"/>
  <c r="O332" i="4"/>
  <c r="O333" i="4"/>
  <c r="O201" i="4"/>
  <c r="O12" i="4"/>
  <c r="O13" i="4"/>
  <c r="O14" i="4"/>
  <c r="O15" i="4"/>
  <c r="O16" i="4"/>
  <c r="O17" i="4"/>
  <c r="O18" i="4"/>
  <c r="O19" i="4"/>
  <c r="O20" i="4"/>
  <c r="O21" i="4"/>
  <c r="O22" i="4"/>
  <c r="O23" i="4"/>
  <c r="O24" i="4"/>
  <c r="O25" i="4"/>
  <c r="O26" i="4"/>
  <c r="O27" i="4"/>
  <c r="O28" i="4"/>
  <c r="O29" i="4"/>
  <c r="O30" i="4"/>
  <c r="O31" i="4"/>
  <c r="O32" i="4"/>
  <c r="O33" i="4"/>
  <c r="O34" i="4"/>
  <c r="O35" i="4"/>
  <c r="O36" i="4"/>
  <c r="O37" i="4"/>
  <c r="O38" i="4"/>
  <c r="O39" i="4"/>
  <c r="O40" i="4"/>
  <c r="O41" i="4"/>
  <c r="O42" i="4"/>
  <c r="O43" i="4"/>
  <c r="O44" i="4"/>
  <c r="O45" i="4"/>
  <c r="O46" i="4"/>
  <c r="O47" i="4"/>
  <c r="O48" i="4"/>
  <c r="O49" i="4"/>
  <c r="O50" i="4"/>
  <c r="O51" i="4"/>
  <c r="O52" i="4"/>
  <c r="O53" i="4"/>
  <c r="O54" i="4"/>
  <c r="O55" i="4"/>
  <c r="O56" i="4"/>
  <c r="O57" i="4"/>
  <c r="O58" i="4"/>
  <c r="O59" i="4"/>
  <c r="O60" i="4"/>
  <c r="O61" i="4"/>
  <c r="O62" i="4"/>
  <c r="O63" i="4"/>
  <c r="O64" i="4"/>
  <c r="O65" i="4"/>
  <c r="O66" i="4"/>
  <c r="O67" i="4"/>
  <c r="O68" i="4"/>
  <c r="O69" i="4"/>
  <c r="O70" i="4"/>
  <c r="O71" i="4"/>
  <c r="O72" i="4"/>
  <c r="O73" i="4"/>
  <c r="O74" i="4"/>
  <c r="O75" i="4"/>
  <c r="O76" i="4"/>
  <c r="O77" i="4"/>
  <c r="O78" i="4"/>
  <c r="O79" i="4"/>
  <c r="O80" i="4"/>
  <c r="O81" i="4"/>
  <c r="O82" i="4"/>
  <c r="O83" i="4"/>
  <c r="O84" i="4"/>
  <c r="O85" i="4"/>
  <c r="O86" i="4"/>
  <c r="O87" i="4"/>
  <c r="O88" i="4"/>
  <c r="O89" i="4"/>
  <c r="O90" i="4"/>
  <c r="O91" i="4"/>
  <c r="O92" i="4"/>
  <c r="O93" i="4"/>
  <c r="O94" i="4"/>
  <c r="O95" i="4"/>
  <c r="O96" i="4"/>
  <c r="O97" i="4"/>
  <c r="O98" i="4"/>
  <c r="O99" i="4"/>
  <c r="O100" i="4"/>
  <c r="O101" i="4"/>
  <c r="O102" i="4"/>
  <c r="O103" i="4"/>
  <c r="O104" i="4"/>
  <c r="O105" i="4"/>
  <c r="O106" i="4"/>
  <c r="O107" i="4"/>
  <c r="O108" i="4"/>
  <c r="O109" i="4"/>
  <c r="O110" i="4"/>
  <c r="O111" i="4"/>
  <c r="O112" i="4"/>
  <c r="O113" i="4"/>
  <c r="O114" i="4"/>
  <c r="O115" i="4"/>
  <c r="O116" i="4"/>
  <c r="O117" i="4"/>
  <c r="O118" i="4"/>
  <c r="O119" i="4"/>
  <c r="O120" i="4"/>
  <c r="O121" i="4"/>
  <c r="O122" i="4"/>
  <c r="O123" i="4"/>
  <c r="O124" i="4"/>
  <c r="O125" i="4"/>
  <c r="O126" i="4"/>
  <c r="O127" i="4"/>
  <c r="O128" i="4"/>
  <c r="O129" i="4"/>
  <c r="O130" i="4"/>
  <c r="O131" i="4"/>
  <c r="O132" i="4"/>
  <c r="O133" i="4"/>
  <c r="O134" i="4"/>
  <c r="O135" i="4"/>
  <c r="O136" i="4"/>
  <c r="O137" i="4"/>
  <c r="O138" i="4"/>
  <c r="O139" i="4"/>
  <c r="O140" i="4"/>
  <c r="O141" i="4"/>
  <c r="O142" i="4"/>
  <c r="O143" i="4"/>
  <c r="O144" i="4"/>
  <c r="O145" i="4"/>
  <c r="O146" i="4"/>
  <c r="O147" i="4"/>
  <c r="O148" i="4"/>
  <c r="O149" i="4"/>
  <c r="O150" i="4"/>
  <c r="O151" i="4"/>
  <c r="O152" i="4"/>
  <c r="O153" i="4"/>
  <c r="O154" i="4"/>
  <c r="O155" i="4"/>
  <c r="O156" i="4"/>
  <c r="O157" i="4"/>
  <c r="O158" i="4"/>
  <c r="O159" i="4"/>
  <c r="O160" i="4"/>
  <c r="O161" i="4"/>
  <c r="O162" i="4"/>
  <c r="O163" i="4"/>
  <c r="O164" i="4"/>
  <c r="O165" i="4"/>
  <c r="O166" i="4"/>
  <c r="O167" i="4"/>
  <c r="O168" i="4"/>
  <c r="O169" i="4"/>
  <c r="O170" i="4"/>
  <c r="O171" i="4"/>
  <c r="O172" i="4"/>
  <c r="O173" i="4"/>
  <c r="O174" i="4"/>
  <c r="O175" i="4"/>
  <c r="O176" i="4"/>
  <c r="O177" i="4"/>
  <c r="O178" i="4"/>
  <c r="O179" i="4"/>
  <c r="O180" i="4"/>
  <c r="O181" i="4"/>
  <c r="O182" i="4"/>
  <c r="O183" i="4"/>
  <c r="O184" i="4"/>
  <c r="O185" i="4"/>
  <c r="O186" i="4"/>
  <c r="O187" i="4"/>
  <c r="O188" i="4"/>
  <c r="O189" i="4"/>
  <c r="O190" i="4"/>
  <c r="O191" i="4"/>
  <c r="O192" i="4"/>
  <c r="O193" i="4"/>
  <c r="O194" i="4"/>
  <c r="O195" i="4"/>
  <c r="O196" i="4"/>
  <c r="O197" i="4"/>
  <c r="O198" i="4"/>
  <c r="O199" i="4"/>
  <c r="O200" i="4"/>
  <c r="O11" i="4"/>
  <c r="O10" i="4"/>
  <c r="L321" i="108"/>
  <c r="Q14" i="38"/>
  <c r="C14" i="38" s="1"/>
  <c r="C305" i="108"/>
  <c r="L296" i="4"/>
  <c r="O296" i="4" s="1"/>
  <c r="B296" i="4"/>
  <c r="H307" i="17"/>
  <c r="K306" i="108"/>
  <c r="J306" i="108"/>
  <c r="I306" i="108"/>
  <c r="H306" i="108"/>
  <c r="G306" i="108"/>
  <c r="F306" i="108"/>
  <c r="E306" i="108"/>
  <c r="D306" i="108"/>
  <c r="C306" i="108"/>
  <c r="B116" i="49"/>
  <c r="B118" i="49"/>
  <c r="B120" i="49"/>
  <c r="B121" i="49"/>
  <c r="B122" i="49"/>
  <c r="B123" i="49"/>
  <c r="B124" i="49"/>
  <c r="B125" i="49"/>
  <c r="B126" i="49"/>
  <c r="B127" i="49"/>
  <c r="B128" i="49"/>
  <c r="B129" i="49"/>
  <c r="E116" i="49"/>
  <c r="E117" i="49"/>
  <c r="E118" i="49"/>
  <c r="E120" i="49"/>
  <c r="E121" i="49"/>
  <c r="E122" i="49"/>
  <c r="E123" i="49"/>
  <c r="E124" i="49"/>
  <c r="E125" i="49"/>
  <c r="E126" i="49"/>
  <c r="E127" i="49"/>
  <c r="E128" i="49"/>
  <c r="E129" i="49"/>
  <c r="I116" i="49"/>
  <c r="I117" i="49"/>
  <c r="I118" i="49"/>
  <c r="I120" i="49"/>
  <c r="I121" i="49"/>
  <c r="I122" i="49"/>
  <c r="I123" i="49"/>
  <c r="I124" i="49"/>
  <c r="I125" i="49"/>
  <c r="I126" i="49"/>
  <c r="I127" i="49"/>
  <c r="I128" i="49"/>
  <c r="I129" i="49"/>
  <c r="L116" i="49"/>
  <c r="L117" i="49"/>
  <c r="L118" i="49"/>
  <c r="L120" i="49"/>
  <c r="L121" i="49"/>
  <c r="L122" i="49"/>
  <c r="L123" i="49"/>
  <c r="L124" i="49"/>
  <c r="L125" i="49"/>
  <c r="L126" i="49"/>
  <c r="L127" i="49"/>
  <c r="L128" i="49"/>
  <c r="L129" i="49"/>
  <c r="K302" i="108"/>
  <c r="J302" i="108"/>
  <c r="I302" i="108"/>
  <c r="H302" i="108"/>
  <c r="G302" i="108"/>
  <c r="F302" i="108"/>
  <c r="E302" i="108"/>
  <c r="D302" i="108"/>
  <c r="C302" i="108"/>
  <c r="K303" i="108"/>
  <c r="J303" i="108"/>
  <c r="I303" i="108"/>
  <c r="H303" i="108"/>
  <c r="G303" i="108"/>
  <c r="F303" i="108"/>
  <c r="E303" i="108"/>
  <c r="D303" i="108"/>
  <c r="C303" i="108"/>
  <c r="K304" i="108"/>
  <c r="J304" i="108"/>
  <c r="I304" i="108"/>
  <c r="H304" i="108"/>
  <c r="G304" i="108"/>
  <c r="F304" i="108"/>
  <c r="E304" i="108"/>
  <c r="D304" i="108"/>
  <c r="C304" i="108"/>
  <c r="K305" i="108"/>
  <c r="J305" i="108"/>
  <c r="I305" i="108"/>
  <c r="H305" i="108"/>
  <c r="G305" i="108"/>
  <c r="F305" i="108"/>
  <c r="E305" i="108"/>
  <c r="D305" i="108"/>
  <c r="B115" i="49"/>
  <c r="E115" i="49"/>
  <c r="I115" i="49"/>
  <c r="L115" i="49"/>
  <c r="C301" i="108"/>
  <c r="G81" i="53"/>
  <c r="A16" i="112"/>
  <c r="G77" i="53"/>
  <c r="G78" i="53"/>
  <c r="C518" i="111"/>
  <c r="C310" i="111"/>
  <c r="C311" i="111"/>
  <c r="C312" i="111"/>
  <c r="C313" i="111"/>
  <c r="C314" i="111"/>
  <c r="C315" i="111"/>
  <c r="C316" i="111"/>
  <c r="C317" i="111"/>
  <c r="C318" i="111"/>
  <c r="C319" i="111"/>
  <c r="C320" i="111"/>
  <c r="C321" i="111"/>
  <c r="C322" i="111"/>
  <c r="C323" i="111"/>
  <c r="C324" i="111"/>
  <c r="C325" i="111"/>
  <c r="C326" i="111"/>
  <c r="C327" i="111"/>
  <c r="C328" i="111"/>
  <c r="C329" i="111"/>
  <c r="C330" i="111"/>
  <c r="C331" i="111"/>
  <c r="C332" i="111"/>
  <c r="C333" i="111"/>
  <c r="C334" i="111"/>
  <c r="C335" i="111"/>
  <c r="C336" i="111"/>
  <c r="C337" i="111"/>
  <c r="C338" i="111"/>
  <c r="C339" i="111"/>
  <c r="C340" i="111"/>
  <c r="C341" i="111"/>
  <c r="C342" i="111"/>
  <c r="C343" i="111"/>
  <c r="C344" i="111"/>
  <c r="C345" i="111"/>
  <c r="C346" i="111"/>
  <c r="C347" i="111"/>
  <c r="C348" i="111"/>
  <c r="C349" i="111"/>
  <c r="C350" i="111"/>
  <c r="C351" i="111"/>
  <c r="C352" i="111"/>
  <c r="C353" i="111"/>
  <c r="C354" i="111"/>
  <c r="C355" i="111"/>
  <c r="C356" i="111"/>
  <c r="C357" i="111"/>
  <c r="C358" i="111"/>
  <c r="C360" i="111"/>
  <c r="C361" i="111"/>
  <c r="C362" i="111"/>
  <c r="C363" i="111"/>
  <c r="C364" i="111"/>
  <c r="C365" i="111"/>
  <c r="C366" i="111"/>
  <c r="C367" i="111"/>
  <c r="C368" i="111"/>
  <c r="C369" i="111"/>
  <c r="C370" i="111"/>
  <c r="C371" i="111"/>
  <c r="C372" i="111"/>
  <c r="C373" i="111"/>
  <c r="C374" i="111"/>
  <c r="C375" i="111"/>
  <c r="C376" i="111"/>
  <c r="C377" i="111"/>
  <c r="C378" i="111"/>
  <c r="C379" i="111"/>
  <c r="C380" i="111"/>
  <c r="C381" i="111"/>
  <c r="C382" i="111"/>
  <c r="C383" i="111"/>
  <c r="C384" i="111"/>
  <c r="C385" i="111"/>
  <c r="C386" i="111"/>
  <c r="C387" i="111"/>
  <c r="C388" i="111"/>
  <c r="C389" i="111"/>
  <c r="C390" i="111"/>
  <c r="C391" i="111"/>
  <c r="C392" i="111"/>
  <c r="C393" i="111"/>
  <c r="C394" i="111"/>
  <c r="C395" i="111"/>
  <c r="C396" i="111"/>
  <c r="C397" i="111"/>
  <c r="C398" i="111"/>
  <c r="C399" i="111"/>
  <c r="C400" i="111"/>
  <c r="C401" i="111"/>
  <c r="C402" i="111"/>
  <c r="C403" i="111"/>
  <c r="C404" i="111"/>
  <c r="C405" i="111"/>
  <c r="C406" i="111"/>
  <c r="C407" i="111"/>
  <c r="C408" i="111"/>
  <c r="C409" i="111"/>
  <c r="C410" i="111"/>
  <c r="C411" i="111"/>
  <c r="C412" i="111"/>
  <c r="C413" i="111"/>
  <c r="C414" i="111"/>
  <c r="C415" i="111"/>
  <c r="C416" i="111"/>
  <c r="C417" i="111"/>
  <c r="C418" i="111"/>
  <c r="C419" i="111"/>
  <c r="C420" i="111"/>
  <c r="C421" i="111"/>
  <c r="C422" i="111"/>
  <c r="C423" i="111"/>
  <c r="C424" i="111"/>
  <c r="C425" i="111"/>
  <c r="C426" i="111"/>
  <c r="C427" i="111"/>
  <c r="C428" i="111"/>
  <c r="C429" i="111"/>
  <c r="C430" i="111"/>
  <c r="C431" i="111"/>
  <c r="C432" i="111"/>
  <c r="C433" i="111"/>
  <c r="C434" i="111"/>
  <c r="C435" i="111"/>
  <c r="C436" i="111"/>
  <c r="C437" i="111"/>
  <c r="C438" i="111"/>
  <c r="C439" i="111"/>
  <c r="C440" i="111"/>
  <c r="C441" i="111"/>
  <c r="C442" i="111"/>
  <c r="C443" i="111"/>
  <c r="C444" i="111"/>
  <c r="C445" i="111"/>
  <c r="C446" i="111"/>
  <c r="C447" i="111"/>
  <c r="C448" i="111"/>
  <c r="C449" i="111"/>
  <c r="C450" i="111"/>
  <c r="C451" i="111"/>
  <c r="C452" i="111"/>
  <c r="C453" i="111"/>
  <c r="C454" i="111"/>
  <c r="C455" i="111"/>
  <c r="C456" i="111"/>
  <c r="C457" i="111"/>
  <c r="C458" i="111"/>
  <c r="C459" i="111"/>
  <c r="C460" i="111"/>
  <c r="C461" i="111"/>
  <c r="C462" i="111"/>
  <c r="C12" i="111"/>
  <c r="C13" i="111"/>
  <c r="C14" i="111"/>
  <c r="C16" i="111"/>
  <c r="C17" i="111"/>
  <c r="C18" i="111"/>
  <c r="C19" i="111"/>
  <c r="C20" i="111"/>
  <c r="C21" i="111"/>
  <c r="C22" i="111"/>
  <c r="C23" i="111"/>
  <c r="C24" i="111"/>
  <c r="C25" i="111"/>
  <c r="C26" i="111"/>
  <c r="C27" i="111"/>
  <c r="C28" i="111"/>
  <c r="C29" i="111"/>
  <c r="C30" i="111"/>
  <c r="C31" i="111"/>
  <c r="C32" i="111"/>
  <c r="C33" i="111"/>
  <c r="C34" i="111"/>
  <c r="C35" i="111"/>
  <c r="C36" i="111"/>
  <c r="C37" i="111"/>
  <c r="C38" i="111"/>
  <c r="C39" i="111"/>
  <c r="C40" i="111"/>
  <c r="C41" i="111"/>
  <c r="C42" i="111"/>
  <c r="C43" i="111"/>
  <c r="C44" i="111"/>
  <c r="C45" i="111"/>
  <c r="C46" i="111"/>
  <c r="C47" i="111"/>
  <c r="C48" i="111"/>
  <c r="C49" i="111"/>
  <c r="C50" i="111"/>
  <c r="C51" i="111"/>
  <c r="C52" i="111"/>
  <c r="C53" i="111"/>
  <c r="C54" i="111"/>
  <c r="C55" i="111"/>
  <c r="C56" i="111"/>
  <c r="C57" i="111"/>
  <c r="C58" i="111"/>
  <c r="C59" i="111"/>
  <c r="C60" i="111"/>
  <c r="C61" i="111"/>
  <c r="C62" i="111"/>
  <c r="C63" i="111"/>
  <c r="C64" i="111"/>
  <c r="C65" i="111"/>
  <c r="C66" i="111"/>
  <c r="C67" i="111"/>
  <c r="C68" i="111"/>
  <c r="C69" i="111"/>
  <c r="C70" i="111"/>
  <c r="C71" i="111"/>
  <c r="C72" i="111"/>
  <c r="C73" i="111"/>
  <c r="C74" i="111"/>
  <c r="C75" i="111"/>
  <c r="C76" i="111"/>
  <c r="C77" i="111"/>
  <c r="C78" i="111"/>
  <c r="C79" i="111"/>
  <c r="C80" i="111"/>
  <c r="C81" i="111"/>
  <c r="C82" i="111"/>
  <c r="C83" i="111"/>
  <c r="C84" i="111"/>
  <c r="C85" i="111"/>
  <c r="C86" i="111"/>
  <c r="C87" i="111"/>
  <c r="C88" i="111"/>
  <c r="C89" i="111"/>
  <c r="C90" i="111"/>
  <c r="C91" i="111"/>
  <c r="C92" i="111"/>
  <c r="C93" i="111"/>
  <c r="C94" i="111"/>
  <c r="C95" i="111"/>
  <c r="C96" i="111"/>
  <c r="C97" i="111"/>
  <c r="C98" i="111"/>
  <c r="C99" i="111"/>
  <c r="C100" i="111"/>
  <c r="C101" i="111"/>
  <c r="C102" i="111"/>
  <c r="C103" i="111"/>
  <c r="C104" i="111"/>
  <c r="C105" i="111"/>
  <c r="C106" i="111"/>
  <c r="C107" i="111"/>
  <c r="C108" i="111"/>
  <c r="C109" i="111"/>
  <c r="C111" i="111"/>
  <c r="C112" i="111"/>
  <c r="C113" i="111"/>
  <c r="C114" i="111"/>
  <c r="C115" i="111"/>
  <c r="C116" i="111"/>
  <c r="C117" i="111"/>
  <c r="C118" i="111"/>
  <c r="C119" i="111"/>
  <c r="C120" i="111"/>
  <c r="C121" i="111"/>
  <c r="C122" i="111"/>
  <c r="C123" i="111"/>
  <c r="C124" i="111"/>
  <c r="C125" i="111"/>
  <c r="C126" i="111"/>
  <c r="C127" i="111"/>
  <c r="C128" i="111"/>
  <c r="C129" i="111"/>
  <c r="C130" i="111"/>
  <c r="C131" i="111"/>
  <c r="C132" i="111"/>
  <c r="C133" i="111"/>
  <c r="C134" i="111"/>
  <c r="C135" i="111"/>
  <c r="C136" i="111"/>
  <c r="C137" i="111"/>
  <c r="C138" i="111"/>
  <c r="C139" i="111"/>
  <c r="C140" i="111"/>
  <c r="C141" i="111"/>
  <c r="C142" i="111"/>
  <c r="C143" i="111"/>
  <c r="C144" i="111"/>
  <c r="C145" i="111"/>
  <c r="C146" i="111"/>
  <c r="C147" i="111"/>
  <c r="C148" i="111"/>
  <c r="C149" i="111"/>
  <c r="C150" i="111"/>
  <c r="C151" i="111"/>
  <c r="C152" i="111"/>
  <c r="C153" i="111"/>
  <c r="C154" i="111"/>
  <c r="C155" i="111"/>
  <c r="C156" i="111"/>
  <c r="C157" i="111"/>
  <c r="C158" i="111"/>
  <c r="C159" i="111"/>
  <c r="C160" i="111"/>
  <c r="C161" i="111"/>
  <c r="C162" i="111"/>
  <c r="C163" i="111"/>
  <c r="C164" i="111"/>
  <c r="C165" i="111"/>
  <c r="C166" i="111"/>
  <c r="C167" i="111"/>
  <c r="C168" i="111"/>
  <c r="C169" i="111"/>
  <c r="C170" i="111"/>
  <c r="C171" i="111"/>
  <c r="C172" i="111"/>
  <c r="C173" i="111"/>
  <c r="C174" i="111"/>
  <c r="C175" i="111"/>
  <c r="C176" i="111"/>
  <c r="C177" i="111"/>
  <c r="C178" i="111"/>
  <c r="C179" i="111"/>
  <c r="C180" i="111"/>
  <c r="C181" i="111"/>
  <c r="C182" i="111"/>
  <c r="C183" i="111"/>
  <c r="C184" i="111"/>
  <c r="C185" i="111"/>
  <c r="C186" i="111"/>
  <c r="C187" i="111"/>
  <c r="C188" i="111"/>
  <c r="C189" i="111"/>
  <c r="C190" i="111"/>
  <c r="C191" i="111"/>
  <c r="C192" i="111"/>
  <c r="C193" i="111"/>
  <c r="C194" i="111"/>
  <c r="C195" i="111"/>
  <c r="C196" i="111"/>
  <c r="C197" i="111"/>
  <c r="C198" i="111"/>
  <c r="C199" i="111"/>
  <c r="C200" i="111"/>
  <c r="C201" i="111"/>
  <c r="C202" i="111"/>
  <c r="C203" i="111"/>
  <c r="C204" i="111"/>
  <c r="C205" i="111"/>
  <c r="C206" i="111"/>
  <c r="C207" i="111"/>
  <c r="C208" i="111"/>
  <c r="C209" i="111"/>
  <c r="C210" i="111"/>
  <c r="C211" i="111"/>
  <c r="C212" i="111"/>
  <c r="C213" i="111"/>
  <c r="C214" i="111"/>
  <c r="C215" i="111"/>
  <c r="C216" i="111"/>
  <c r="C217" i="111"/>
  <c r="C218" i="111"/>
  <c r="C219" i="111"/>
  <c r="C220" i="111"/>
  <c r="C221" i="111"/>
  <c r="C222" i="111"/>
  <c r="C223" i="111"/>
  <c r="C224" i="111"/>
  <c r="C225" i="111"/>
  <c r="C226" i="111"/>
  <c r="C227" i="111"/>
  <c r="C228" i="111"/>
  <c r="C229" i="111"/>
  <c r="C230" i="111"/>
  <c r="C231" i="111"/>
  <c r="C232" i="111"/>
  <c r="C233" i="111"/>
  <c r="C234" i="111"/>
  <c r="C235" i="111"/>
  <c r="C236" i="111"/>
  <c r="C237" i="111"/>
  <c r="C238" i="111"/>
  <c r="C239" i="111"/>
  <c r="C240" i="111"/>
  <c r="C241" i="111"/>
  <c r="C242" i="111"/>
  <c r="C243" i="111"/>
  <c r="C244" i="111"/>
  <c r="C245" i="111"/>
  <c r="C246" i="111"/>
  <c r="C247" i="111"/>
  <c r="C248" i="111"/>
  <c r="C249" i="111"/>
  <c r="C250" i="111"/>
  <c r="C251" i="111"/>
  <c r="C252" i="111"/>
  <c r="C253" i="111"/>
  <c r="C254" i="111"/>
  <c r="C255" i="111"/>
  <c r="C256" i="111"/>
  <c r="C257" i="111"/>
  <c r="C258" i="111"/>
  <c r="C259" i="111"/>
  <c r="C260" i="111"/>
  <c r="C261" i="111"/>
  <c r="C262" i="111"/>
  <c r="C263" i="111"/>
  <c r="C264" i="111"/>
  <c r="C265" i="111"/>
  <c r="C266" i="111"/>
  <c r="C267" i="111"/>
  <c r="C268" i="111"/>
  <c r="C269" i="111"/>
  <c r="C270" i="111"/>
  <c r="C271" i="111"/>
  <c r="C272" i="111"/>
  <c r="C273" i="111"/>
  <c r="C274" i="111"/>
  <c r="C275" i="111"/>
  <c r="C276" i="111"/>
  <c r="C277" i="111"/>
  <c r="C278" i="111"/>
  <c r="C279" i="111"/>
  <c r="C280" i="111"/>
  <c r="C281" i="111"/>
  <c r="C282" i="111"/>
  <c r="C283" i="111"/>
  <c r="C284" i="111"/>
  <c r="C285" i="111"/>
  <c r="C286" i="111"/>
  <c r="C287" i="111"/>
  <c r="C288" i="111"/>
  <c r="C289" i="111"/>
  <c r="C290" i="111"/>
  <c r="C291" i="111"/>
  <c r="C292" i="111"/>
  <c r="C293" i="111"/>
  <c r="C294" i="111"/>
  <c r="C295" i="111"/>
  <c r="C296" i="111"/>
  <c r="C297" i="111"/>
  <c r="C298" i="111"/>
  <c r="C299" i="111"/>
  <c r="C300" i="111"/>
  <c r="C301" i="111"/>
  <c r="C302" i="111"/>
  <c r="C303" i="111"/>
  <c r="C304" i="111"/>
  <c r="C305" i="111"/>
  <c r="C306" i="111"/>
  <c r="C307" i="111"/>
  <c r="C308" i="111"/>
  <c r="C309" i="111"/>
  <c r="C11" i="111"/>
  <c r="C10" i="111"/>
  <c r="A489" i="111"/>
  <c r="A501" i="111" s="1"/>
  <c r="A513" i="111" s="1"/>
  <c r="A525" i="111" s="1"/>
  <c r="A537" i="111" s="1"/>
  <c r="A549" i="111" s="1"/>
  <c r="A561" i="111" s="1"/>
  <c r="A573" i="111" s="1"/>
  <c r="A585" i="111" s="1"/>
  <c r="A597" i="111" s="1"/>
  <c r="A609" i="111" s="1"/>
  <c r="A621" i="111" s="1"/>
  <c r="A633" i="111" s="1"/>
  <c r="A645" i="111" s="1"/>
  <c r="A657" i="111" s="1"/>
  <c r="A669" i="111" s="1"/>
  <c r="A681" i="111" s="1"/>
  <c r="A693" i="111" s="1"/>
  <c r="A488" i="111"/>
  <c r="A500" i="111" s="1"/>
  <c r="A512" i="111" s="1"/>
  <c r="A524" i="111" s="1"/>
  <c r="A536" i="111" s="1"/>
  <c r="A548" i="111" s="1"/>
  <c r="A560" i="111" s="1"/>
  <c r="A572" i="111" s="1"/>
  <c r="A584" i="111" s="1"/>
  <c r="A596" i="111" s="1"/>
  <c r="A608" i="111" s="1"/>
  <c r="A620" i="111" s="1"/>
  <c r="A632" i="111" s="1"/>
  <c r="A644" i="111" s="1"/>
  <c r="A656" i="111" s="1"/>
  <c r="A668" i="111" s="1"/>
  <c r="A680" i="111" s="1"/>
  <c r="A692" i="111" s="1"/>
  <c r="A487" i="111"/>
  <c r="A499" i="111" s="1"/>
  <c r="A511" i="111" s="1"/>
  <c r="A523" i="111" s="1"/>
  <c r="A535" i="111" s="1"/>
  <c r="A547" i="111" s="1"/>
  <c r="A559" i="111" s="1"/>
  <c r="A571" i="111" s="1"/>
  <c r="A583" i="111" s="1"/>
  <c r="A595" i="111" s="1"/>
  <c r="A607" i="111" s="1"/>
  <c r="A619" i="111" s="1"/>
  <c r="A631" i="111" s="1"/>
  <c r="A643" i="111" s="1"/>
  <c r="A655" i="111" s="1"/>
  <c r="A667" i="111" s="1"/>
  <c r="A679" i="111" s="1"/>
  <c r="A691" i="111" s="1"/>
  <c r="A486" i="111"/>
  <c r="A498" i="111" s="1"/>
  <c r="A510" i="111" s="1"/>
  <c r="A522" i="111" s="1"/>
  <c r="A534" i="111" s="1"/>
  <c r="A546" i="111" s="1"/>
  <c r="A558" i="111" s="1"/>
  <c r="A570" i="111" s="1"/>
  <c r="A582" i="111" s="1"/>
  <c r="A594" i="111" s="1"/>
  <c r="A606" i="111" s="1"/>
  <c r="A618" i="111" s="1"/>
  <c r="A630" i="111" s="1"/>
  <c r="A642" i="111" s="1"/>
  <c r="A654" i="111" s="1"/>
  <c r="A666" i="111" s="1"/>
  <c r="A678" i="111" s="1"/>
  <c r="A690" i="111" s="1"/>
  <c r="A485" i="111"/>
  <c r="A497" i="111" s="1"/>
  <c r="A509" i="111" s="1"/>
  <c r="A521" i="111" s="1"/>
  <c r="A533" i="111" s="1"/>
  <c r="A545" i="111" s="1"/>
  <c r="A557" i="111" s="1"/>
  <c r="A569" i="111" s="1"/>
  <c r="A581" i="111" s="1"/>
  <c r="A593" i="111" s="1"/>
  <c r="A605" i="111" s="1"/>
  <c r="A617" i="111" s="1"/>
  <c r="A629" i="111" s="1"/>
  <c r="A641" i="111" s="1"/>
  <c r="A653" i="111" s="1"/>
  <c r="A665" i="111" s="1"/>
  <c r="A677" i="111" s="1"/>
  <c r="A689" i="111" s="1"/>
  <c r="A484" i="111"/>
  <c r="A496" i="111" s="1"/>
  <c r="A508" i="111" s="1"/>
  <c r="A520" i="111" s="1"/>
  <c r="A532" i="111" s="1"/>
  <c r="A544" i="111" s="1"/>
  <c r="A556" i="111" s="1"/>
  <c r="A568" i="111" s="1"/>
  <c r="A580" i="111" s="1"/>
  <c r="A592" i="111" s="1"/>
  <c r="A604" i="111" s="1"/>
  <c r="A616" i="111" s="1"/>
  <c r="A628" i="111" s="1"/>
  <c r="A640" i="111" s="1"/>
  <c r="A652" i="111" s="1"/>
  <c r="A664" i="111" s="1"/>
  <c r="A676" i="111" s="1"/>
  <c r="A688" i="111" s="1"/>
  <c r="A483" i="111"/>
  <c r="A495" i="111" s="1"/>
  <c r="A507" i="111" s="1"/>
  <c r="A519" i="111" s="1"/>
  <c r="A531" i="111" s="1"/>
  <c r="A543" i="111" s="1"/>
  <c r="A555" i="111" s="1"/>
  <c r="A567" i="111" s="1"/>
  <c r="A579" i="111" s="1"/>
  <c r="A591" i="111" s="1"/>
  <c r="A603" i="111" s="1"/>
  <c r="A615" i="111" s="1"/>
  <c r="A627" i="111" s="1"/>
  <c r="A639" i="111" s="1"/>
  <c r="A651" i="111" s="1"/>
  <c r="A663" i="111" s="1"/>
  <c r="A675" i="111" s="1"/>
  <c r="A687" i="111" s="1"/>
  <c r="A482" i="111"/>
  <c r="A494" i="111" s="1"/>
  <c r="A506" i="111" s="1"/>
  <c r="A518" i="111" s="1"/>
  <c r="A530" i="111" s="1"/>
  <c r="A542" i="111" s="1"/>
  <c r="A554" i="111" s="1"/>
  <c r="A566" i="111" s="1"/>
  <c r="A578" i="111" s="1"/>
  <c r="A590" i="111" s="1"/>
  <c r="A602" i="111" s="1"/>
  <c r="A614" i="111" s="1"/>
  <c r="A626" i="111" s="1"/>
  <c r="A638" i="111" s="1"/>
  <c r="A650" i="111" s="1"/>
  <c r="A662" i="111" s="1"/>
  <c r="A674" i="111" s="1"/>
  <c r="A686" i="111" s="1"/>
  <c r="A481" i="111"/>
  <c r="A493" i="111" s="1"/>
  <c r="A505" i="111" s="1"/>
  <c r="A517" i="111" s="1"/>
  <c r="A529" i="111" s="1"/>
  <c r="A541" i="111" s="1"/>
  <c r="A553" i="111" s="1"/>
  <c r="A565" i="111" s="1"/>
  <c r="A577" i="111" s="1"/>
  <c r="A589" i="111" s="1"/>
  <c r="A601" i="111" s="1"/>
  <c r="A613" i="111" s="1"/>
  <c r="A625" i="111" s="1"/>
  <c r="A637" i="111" s="1"/>
  <c r="A649" i="111" s="1"/>
  <c r="A661" i="111" s="1"/>
  <c r="A673" i="111" s="1"/>
  <c r="A685" i="111" s="1"/>
  <c r="A480" i="111"/>
  <c r="A492" i="111" s="1"/>
  <c r="A504" i="111" s="1"/>
  <c r="A516" i="111" s="1"/>
  <c r="A528" i="111" s="1"/>
  <c r="A540" i="111" s="1"/>
  <c r="A552" i="111" s="1"/>
  <c r="A564" i="111" s="1"/>
  <c r="A576" i="111" s="1"/>
  <c r="A588" i="111" s="1"/>
  <c r="A600" i="111" s="1"/>
  <c r="A612" i="111" s="1"/>
  <c r="A624" i="111" s="1"/>
  <c r="A636" i="111" s="1"/>
  <c r="A648" i="111" s="1"/>
  <c r="A660" i="111" s="1"/>
  <c r="A672" i="111" s="1"/>
  <c r="A684" i="111" s="1"/>
  <c r="A479" i="111"/>
  <c r="A491" i="111" s="1"/>
  <c r="A503" i="111" s="1"/>
  <c r="A515" i="111" s="1"/>
  <c r="A527" i="111" s="1"/>
  <c r="A539" i="111" s="1"/>
  <c r="A551" i="111" s="1"/>
  <c r="A563" i="111" s="1"/>
  <c r="A575" i="111" s="1"/>
  <c r="A587" i="111" s="1"/>
  <c r="A599" i="111" s="1"/>
  <c r="A611" i="111" s="1"/>
  <c r="A623" i="111" s="1"/>
  <c r="A635" i="111" s="1"/>
  <c r="A647" i="111" s="1"/>
  <c r="A659" i="111" s="1"/>
  <c r="A671" i="111" s="1"/>
  <c r="A683" i="111" s="1"/>
  <c r="A478" i="111"/>
  <c r="A490" i="111" s="1"/>
  <c r="A502" i="111" s="1"/>
  <c r="A514" i="111" s="1"/>
  <c r="A526" i="111" s="1"/>
  <c r="A538" i="111" s="1"/>
  <c r="A550" i="111" s="1"/>
  <c r="A562" i="111" s="1"/>
  <c r="A574" i="111" s="1"/>
  <c r="A586" i="111" s="1"/>
  <c r="A598" i="111" s="1"/>
  <c r="A610" i="111" s="1"/>
  <c r="A622" i="111" s="1"/>
  <c r="A634" i="111" s="1"/>
  <c r="A646" i="111" s="1"/>
  <c r="A658" i="111" s="1"/>
  <c r="A670" i="111" s="1"/>
  <c r="A682" i="111" s="1"/>
  <c r="B311" i="89"/>
  <c r="B312" i="89"/>
  <c r="K301" i="108"/>
  <c r="J301" i="108"/>
  <c r="I301" i="108"/>
  <c r="H301" i="108"/>
  <c r="G301" i="108"/>
  <c r="F301" i="108"/>
  <c r="E301" i="108"/>
  <c r="D301" i="108"/>
  <c r="B114" i="49"/>
  <c r="E114" i="49"/>
  <c r="I114" i="49"/>
  <c r="L114" i="49"/>
  <c r="K297" i="108"/>
  <c r="K300" i="108"/>
  <c r="J300" i="108"/>
  <c r="I300" i="108"/>
  <c r="H300" i="108"/>
  <c r="G300" i="108"/>
  <c r="F300" i="108"/>
  <c r="E300" i="108"/>
  <c r="D300" i="108"/>
  <c r="C300" i="108"/>
  <c r="D299" i="108"/>
  <c r="B310" i="89"/>
  <c r="P41" i="95"/>
  <c r="K299" i="108"/>
  <c r="J299" i="108"/>
  <c r="I299" i="108"/>
  <c r="H299" i="108"/>
  <c r="G299" i="108"/>
  <c r="F299" i="108"/>
  <c r="E299" i="108"/>
  <c r="C299" i="108"/>
  <c r="C298" i="108"/>
  <c r="E296" i="108"/>
  <c r="J112" i="49"/>
  <c r="I112" i="49" s="1"/>
  <c r="M112" i="49"/>
  <c r="L112" i="49" s="1"/>
  <c r="J113" i="49"/>
  <c r="I113" i="49" s="1"/>
  <c r="M113" i="49"/>
  <c r="L113" i="49" s="1"/>
  <c r="C112" i="49"/>
  <c r="B112" i="49" s="1"/>
  <c r="F112" i="49"/>
  <c r="E112" i="49" s="1"/>
  <c r="C113" i="49"/>
  <c r="B113" i="49" s="1"/>
  <c r="F113" i="49"/>
  <c r="E113" i="49" s="1"/>
  <c r="K298" i="108"/>
  <c r="J298" i="108"/>
  <c r="I298" i="108"/>
  <c r="H298" i="108"/>
  <c r="G298" i="108"/>
  <c r="F298" i="108"/>
  <c r="E298" i="108"/>
  <c r="D298" i="108"/>
  <c r="J297" i="108"/>
  <c r="I297" i="108"/>
  <c r="H297" i="108"/>
  <c r="G297" i="108"/>
  <c r="F297" i="108"/>
  <c r="E297" i="108"/>
  <c r="D297" i="108"/>
  <c r="C297" i="108"/>
  <c r="K296" i="108"/>
  <c r="J296" i="108"/>
  <c r="I296" i="108"/>
  <c r="H296" i="108"/>
  <c r="G296" i="108"/>
  <c r="F296" i="108"/>
  <c r="D296" i="108"/>
  <c r="L307" i="108"/>
  <c r="C296" i="108"/>
  <c r="P235" i="3"/>
  <c r="B236" i="3"/>
  <c r="L308" i="108"/>
  <c r="L309" i="108"/>
  <c r="L310" i="108"/>
  <c r="L311" i="108"/>
  <c r="L312" i="108"/>
  <c r="L313" i="108"/>
  <c r="L314" i="108"/>
  <c r="L315" i="108"/>
  <c r="L316" i="108"/>
  <c r="L317" i="108"/>
  <c r="L318" i="108"/>
  <c r="L319" i="108"/>
  <c r="L320" i="108"/>
  <c r="L322" i="108"/>
  <c r="L323" i="108"/>
  <c r="L324" i="108"/>
  <c r="L329" i="108"/>
  <c r="L332" i="108"/>
  <c r="L333" i="108"/>
  <c r="L334" i="108"/>
  <c r="L335" i="108"/>
  <c r="L336" i="108"/>
  <c r="L337" i="108"/>
  <c r="L338" i="108"/>
  <c r="L339" i="108"/>
  <c r="L340" i="108"/>
  <c r="L341" i="108"/>
  <c r="L342" i="108"/>
  <c r="L343" i="108"/>
  <c r="L344" i="108"/>
  <c r="L345" i="108"/>
  <c r="L347" i="108"/>
  <c r="L348" i="108"/>
  <c r="L349" i="108"/>
  <c r="L350" i="108"/>
  <c r="L351" i="108"/>
  <c r="L352" i="108"/>
  <c r="L353" i="108"/>
  <c r="L354" i="108"/>
  <c r="L355" i="108"/>
  <c r="L356" i="108"/>
  <c r="L357" i="108"/>
  <c r="A225" i="108"/>
  <c r="A237" i="108" s="1"/>
  <c r="A249" i="108" s="1"/>
  <c r="A261" i="108" s="1"/>
  <c r="A273" i="108" s="1"/>
  <c r="A285" i="108" s="1"/>
  <c r="A297" i="108" s="1"/>
  <c r="A309" i="108" s="1"/>
  <c r="A321" i="108" s="1"/>
  <c r="A333" i="108" s="1"/>
  <c r="A345" i="108" s="1"/>
  <c r="A357" i="108" s="1"/>
  <c r="A369" i="108" s="1"/>
  <c r="A381" i="108" s="1"/>
  <c r="A393" i="108" s="1"/>
  <c r="A405" i="108" s="1"/>
  <c r="A417" i="108" s="1"/>
  <c r="A429" i="108" s="1"/>
  <c r="A441" i="108" s="1"/>
  <c r="A453" i="108" s="1"/>
  <c r="A465" i="108" s="1"/>
  <c r="A477" i="108" s="1"/>
  <c r="A224" i="108"/>
  <c r="A236" i="108" s="1"/>
  <c r="A248" i="108" s="1"/>
  <c r="A260" i="108" s="1"/>
  <c r="A272" i="108" s="1"/>
  <c r="A284" i="108" s="1"/>
  <c r="A296" i="108" s="1"/>
  <c r="A308" i="108" s="1"/>
  <c r="A320" i="108" s="1"/>
  <c r="A332" i="108" s="1"/>
  <c r="A344" i="108" s="1"/>
  <c r="A356" i="108" s="1"/>
  <c r="A368" i="108" s="1"/>
  <c r="A380" i="108" s="1"/>
  <c r="A223" i="108"/>
  <c r="A235" i="108" s="1"/>
  <c r="A247" i="108" s="1"/>
  <c r="A259" i="108" s="1"/>
  <c r="A271" i="108" s="1"/>
  <c r="A283" i="108" s="1"/>
  <c r="A295" i="108" s="1"/>
  <c r="A307" i="108" s="1"/>
  <c r="A319" i="108" s="1"/>
  <c r="A331" i="108" s="1"/>
  <c r="A343" i="108" s="1"/>
  <c r="A355" i="108" s="1"/>
  <c r="A367" i="108" s="1"/>
  <c r="A379" i="108" s="1"/>
  <c r="A391" i="108" s="1"/>
  <c r="A403" i="108" s="1"/>
  <c r="A415" i="108" s="1"/>
  <c r="A427" i="108" s="1"/>
  <c r="A439" i="108" s="1"/>
  <c r="A451" i="108" s="1"/>
  <c r="A463" i="108" s="1"/>
  <c r="A475" i="108" s="1"/>
  <c r="A222" i="108"/>
  <c r="A234" i="108" s="1"/>
  <c r="A246" i="108" s="1"/>
  <c r="A258" i="108" s="1"/>
  <c r="A270" i="108" s="1"/>
  <c r="A282" i="108" s="1"/>
  <c r="A294" i="108" s="1"/>
  <c r="A306" i="108" s="1"/>
  <c r="A318" i="108" s="1"/>
  <c r="A330" i="108" s="1"/>
  <c r="A342" i="108" s="1"/>
  <c r="A354" i="108" s="1"/>
  <c r="A366" i="108" s="1"/>
  <c r="A378" i="108" s="1"/>
  <c r="A390" i="108" s="1"/>
  <c r="A402" i="108" s="1"/>
  <c r="A414" i="108" s="1"/>
  <c r="A426" i="108" s="1"/>
  <c r="A438" i="108" s="1"/>
  <c r="A450" i="108" s="1"/>
  <c r="A462" i="108" s="1"/>
  <c r="A474" i="108" s="1"/>
  <c r="A221" i="108"/>
  <c r="A233" i="108" s="1"/>
  <c r="A245" i="108" s="1"/>
  <c r="A257" i="108" s="1"/>
  <c r="A269" i="108" s="1"/>
  <c r="A281" i="108" s="1"/>
  <c r="A293" i="108" s="1"/>
  <c r="A305" i="108" s="1"/>
  <c r="A317" i="108" s="1"/>
  <c r="A329" i="108" s="1"/>
  <c r="A341" i="108" s="1"/>
  <c r="A353" i="108" s="1"/>
  <c r="A365" i="108" s="1"/>
  <c r="A377" i="108" s="1"/>
  <c r="A389" i="108" s="1"/>
  <c r="A401" i="108" s="1"/>
  <c r="A413" i="108" s="1"/>
  <c r="A425" i="108" s="1"/>
  <c r="A437" i="108" s="1"/>
  <c r="A449" i="108" s="1"/>
  <c r="A461" i="108" s="1"/>
  <c r="A473" i="108" s="1"/>
  <c r="A220" i="108"/>
  <c r="A232" i="108" s="1"/>
  <c r="A244" i="108" s="1"/>
  <c r="A256" i="108" s="1"/>
  <c r="A268" i="108" s="1"/>
  <c r="A280" i="108" s="1"/>
  <c r="A292" i="108" s="1"/>
  <c r="A304" i="108" s="1"/>
  <c r="A316" i="108" s="1"/>
  <c r="A328" i="108" s="1"/>
  <c r="A340" i="108" s="1"/>
  <c r="A352" i="108" s="1"/>
  <c r="A364" i="108" s="1"/>
  <c r="A376" i="108" s="1"/>
  <c r="A388" i="108" s="1"/>
  <c r="A400" i="108" s="1"/>
  <c r="A412" i="108" s="1"/>
  <c r="A424" i="108" s="1"/>
  <c r="A436" i="108" s="1"/>
  <c r="A448" i="108" s="1"/>
  <c r="A460" i="108" s="1"/>
  <c r="A472" i="108" s="1"/>
  <c r="A219" i="108"/>
  <c r="A231" i="108" s="1"/>
  <c r="A243" i="108" s="1"/>
  <c r="A255" i="108" s="1"/>
  <c r="A267" i="108" s="1"/>
  <c r="A279" i="108" s="1"/>
  <c r="A291" i="108" s="1"/>
  <c r="A303" i="108" s="1"/>
  <c r="A315" i="108" s="1"/>
  <c r="A327" i="108" s="1"/>
  <c r="A339" i="108" s="1"/>
  <c r="A351" i="108" s="1"/>
  <c r="A363" i="108" s="1"/>
  <c r="A375" i="108" s="1"/>
  <c r="A387" i="108" s="1"/>
  <c r="A399" i="108" s="1"/>
  <c r="A411" i="108" s="1"/>
  <c r="A423" i="108" s="1"/>
  <c r="A435" i="108" s="1"/>
  <c r="A447" i="108" s="1"/>
  <c r="A459" i="108" s="1"/>
  <c r="A471" i="108" s="1"/>
  <c r="A218" i="108"/>
  <c r="A230" i="108" s="1"/>
  <c r="A242" i="108" s="1"/>
  <c r="A254" i="108" s="1"/>
  <c r="A266" i="108" s="1"/>
  <c r="A278" i="108" s="1"/>
  <c r="A290" i="108" s="1"/>
  <c r="A302" i="108" s="1"/>
  <c r="A314" i="108" s="1"/>
  <c r="A326" i="108" s="1"/>
  <c r="A338" i="108" s="1"/>
  <c r="A350" i="108" s="1"/>
  <c r="A362" i="108" s="1"/>
  <c r="A374" i="108" s="1"/>
  <c r="A386" i="108" s="1"/>
  <c r="A398" i="108" s="1"/>
  <c r="A410" i="108" s="1"/>
  <c r="A422" i="108" s="1"/>
  <c r="A434" i="108" s="1"/>
  <c r="A446" i="108" s="1"/>
  <c r="A458" i="108" s="1"/>
  <c r="A470" i="108" s="1"/>
  <c r="A217" i="108"/>
  <c r="A229" i="108" s="1"/>
  <c r="A241" i="108" s="1"/>
  <c r="A253" i="108" s="1"/>
  <c r="A265" i="108" s="1"/>
  <c r="A277" i="108" s="1"/>
  <c r="A289" i="108" s="1"/>
  <c r="A301" i="108" s="1"/>
  <c r="A313" i="108" s="1"/>
  <c r="A325" i="108" s="1"/>
  <c r="A337" i="108" s="1"/>
  <c r="A349" i="108" s="1"/>
  <c r="A361" i="108" s="1"/>
  <c r="A373" i="108" s="1"/>
  <c r="A385" i="108" s="1"/>
  <c r="A397" i="108" s="1"/>
  <c r="A409" i="108" s="1"/>
  <c r="A421" i="108" s="1"/>
  <c r="A433" i="108" s="1"/>
  <c r="A445" i="108" s="1"/>
  <c r="A457" i="108" s="1"/>
  <c r="A469" i="108" s="1"/>
  <c r="A216" i="108"/>
  <c r="A228" i="108" s="1"/>
  <c r="A240" i="108" s="1"/>
  <c r="A252" i="108" s="1"/>
  <c r="A264" i="108" s="1"/>
  <c r="A276" i="108" s="1"/>
  <c r="A288" i="108" s="1"/>
  <c r="A300" i="108" s="1"/>
  <c r="A312" i="108" s="1"/>
  <c r="A324" i="108" s="1"/>
  <c r="A336" i="108" s="1"/>
  <c r="A348" i="108" s="1"/>
  <c r="A360" i="108" s="1"/>
  <c r="A372" i="108" s="1"/>
  <c r="A384" i="108" s="1"/>
  <c r="A396" i="108" s="1"/>
  <c r="A408" i="108" s="1"/>
  <c r="A420" i="108" s="1"/>
  <c r="A432" i="108" s="1"/>
  <c r="A444" i="108" s="1"/>
  <c r="A456" i="108" s="1"/>
  <c r="A468" i="108" s="1"/>
  <c r="A215" i="108"/>
  <c r="A227" i="108" s="1"/>
  <c r="A239" i="108" s="1"/>
  <c r="A251" i="108" s="1"/>
  <c r="A263" i="108" s="1"/>
  <c r="A275" i="108" s="1"/>
  <c r="A287" i="108" s="1"/>
  <c r="A299" i="108" s="1"/>
  <c r="A311" i="108" s="1"/>
  <c r="A323" i="108" s="1"/>
  <c r="A335" i="108" s="1"/>
  <c r="A347" i="108" s="1"/>
  <c r="A359" i="108" s="1"/>
  <c r="A371" i="108" s="1"/>
  <c r="A383" i="108" s="1"/>
  <c r="A395" i="108" s="1"/>
  <c r="A407" i="108" s="1"/>
  <c r="A419" i="108" s="1"/>
  <c r="A431" i="108" s="1"/>
  <c r="A443" i="108" s="1"/>
  <c r="A455" i="108" s="1"/>
  <c r="A467" i="108" s="1"/>
  <c r="A214" i="108"/>
  <c r="A226" i="108" s="1"/>
  <c r="A238" i="108" s="1"/>
  <c r="A250" i="108" s="1"/>
  <c r="A262" i="108" s="1"/>
  <c r="A274" i="108" s="1"/>
  <c r="A286" i="108" s="1"/>
  <c r="A298" i="108" s="1"/>
  <c r="A310" i="108" s="1"/>
  <c r="A322" i="108" s="1"/>
  <c r="A334" i="108" s="1"/>
  <c r="A346" i="108" s="1"/>
  <c r="A358" i="108" s="1"/>
  <c r="A370" i="108" s="1"/>
  <c r="A382" i="108" s="1"/>
  <c r="A394" i="108" s="1"/>
  <c r="L9" i="108"/>
  <c r="B235" i="3"/>
  <c r="D235" i="3"/>
  <c r="D236" i="3" s="1"/>
  <c r="C261" i="59"/>
  <c r="C260" i="59"/>
  <c r="C262" i="59"/>
  <c r="S22" i="95"/>
  <c r="V48" i="95"/>
  <c r="V45" i="95"/>
  <c r="V44" i="95"/>
  <c r="V43" i="95"/>
  <c r="V41" i="95"/>
  <c r="P49" i="95"/>
  <c r="P48" i="95"/>
  <c r="P47" i="95"/>
  <c r="P46" i="95"/>
  <c r="P43" i="95"/>
  <c r="P44" i="95"/>
  <c r="P45" i="95"/>
  <c r="O21" i="95"/>
  <c r="O14" i="95"/>
  <c r="P236" i="3"/>
  <c r="E235" i="3"/>
  <c r="E236" i="3" s="1"/>
  <c r="F235" i="3"/>
  <c r="F236" i="3" s="1"/>
  <c r="G235" i="3"/>
  <c r="G236" i="3" s="1"/>
  <c r="H235" i="3"/>
  <c r="I235" i="3"/>
  <c r="I236" i="3" s="1"/>
  <c r="J235" i="3"/>
  <c r="J236" i="3" s="1"/>
  <c r="K235" i="3"/>
  <c r="K236" i="3" s="1"/>
  <c r="L235" i="3"/>
  <c r="L236" i="3" s="1"/>
  <c r="M235" i="3"/>
  <c r="M236" i="3" s="1"/>
  <c r="N235" i="3"/>
  <c r="N236" i="3" s="1"/>
  <c r="G19" i="53"/>
  <c r="G92" i="53" s="1"/>
  <c r="C111" i="49"/>
  <c r="B111" i="49" s="1"/>
  <c r="F111" i="49"/>
  <c r="E111" i="49" s="1"/>
  <c r="J111" i="49"/>
  <c r="I111" i="49" s="1"/>
  <c r="M111" i="49"/>
  <c r="L111" i="49" s="1"/>
  <c r="G71" i="53"/>
  <c r="A165" i="107"/>
  <c r="A177" i="107" s="1"/>
  <c r="A189" i="107" s="1"/>
  <c r="A201" i="107" s="1"/>
  <c r="A213" i="107" s="1"/>
  <c r="A225" i="107" s="1"/>
  <c r="A237" i="107" s="1"/>
  <c r="A249" i="107" s="1"/>
  <c r="A261" i="107" s="1"/>
  <c r="A273" i="107" s="1"/>
  <c r="A285" i="107" s="1"/>
  <c r="A297" i="107" s="1"/>
  <c r="A309" i="107" s="1"/>
  <c r="A321" i="107" s="1"/>
  <c r="A333" i="107" s="1"/>
  <c r="A345" i="107" s="1"/>
  <c r="A357" i="107" s="1"/>
  <c r="A369" i="107" s="1"/>
  <c r="A164" i="107"/>
  <c r="A176" i="107" s="1"/>
  <c r="A188" i="107" s="1"/>
  <c r="A200" i="107" s="1"/>
  <c r="A212" i="107" s="1"/>
  <c r="A224" i="107" s="1"/>
  <c r="A236" i="107" s="1"/>
  <c r="A248" i="107" s="1"/>
  <c r="A260" i="107" s="1"/>
  <c r="A272" i="107" s="1"/>
  <c r="A284" i="107" s="1"/>
  <c r="A296" i="107" s="1"/>
  <c r="A308" i="107" s="1"/>
  <c r="A320" i="107" s="1"/>
  <c r="A332" i="107" s="1"/>
  <c r="A344" i="107" s="1"/>
  <c r="A356" i="107" s="1"/>
  <c r="A368" i="107" s="1"/>
  <c r="A163" i="107"/>
  <c r="A175" i="107" s="1"/>
  <c r="A187" i="107" s="1"/>
  <c r="A199" i="107" s="1"/>
  <c r="A211" i="107" s="1"/>
  <c r="A223" i="107" s="1"/>
  <c r="A235" i="107" s="1"/>
  <c r="A247" i="107" s="1"/>
  <c r="A259" i="107" s="1"/>
  <c r="A271" i="107" s="1"/>
  <c r="A283" i="107" s="1"/>
  <c r="A295" i="107" s="1"/>
  <c r="A307" i="107" s="1"/>
  <c r="A319" i="107" s="1"/>
  <c r="A331" i="107" s="1"/>
  <c r="A343" i="107" s="1"/>
  <c r="A355" i="107" s="1"/>
  <c r="A367" i="107" s="1"/>
  <c r="A162" i="107"/>
  <c r="A174" i="107" s="1"/>
  <c r="A186" i="107" s="1"/>
  <c r="A198" i="107" s="1"/>
  <c r="A210" i="107" s="1"/>
  <c r="A222" i="107" s="1"/>
  <c r="A234" i="107" s="1"/>
  <c r="A246" i="107" s="1"/>
  <c r="A258" i="107" s="1"/>
  <c r="A270" i="107" s="1"/>
  <c r="A282" i="107" s="1"/>
  <c r="A294" i="107" s="1"/>
  <c r="A306" i="107" s="1"/>
  <c r="A318" i="107" s="1"/>
  <c r="A330" i="107" s="1"/>
  <c r="A342" i="107" s="1"/>
  <c r="A354" i="107" s="1"/>
  <c r="A366" i="107" s="1"/>
  <c r="A161" i="107"/>
  <c r="A173" i="107" s="1"/>
  <c r="A185" i="107" s="1"/>
  <c r="A197" i="107" s="1"/>
  <c r="A209" i="107" s="1"/>
  <c r="A221" i="107" s="1"/>
  <c r="A233" i="107" s="1"/>
  <c r="A245" i="107" s="1"/>
  <c r="A257" i="107" s="1"/>
  <c r="A269" i="107" s="1"/>
  <c r="A281" i="107" s="1"/>
  <c r="A293" i="107" s="1"/>
  <c r="A305" i="107" s="1"/>
  <c r="A317" i="107" s="1"/>
  <c r="A329" i="107" s="1"/>
  <c r="A341" i="107" s="1"/>
  <c r="A353" i="107" s="1"/>
  <c r="A365" i="107" s="1"/>
  <c r="A160" i="107"/>
  <c r="A172" i="107" s="1"/>
  <c r="A184" i="107" s="1"/>
  <c r="A196" i="107" s="1"/>
  <c r="A208" i="107" s="1"/>
  <c r="A220" i="107" s="1"/>
  <c r="A232" i="107" s="1"/>
  <c r="A244" i="107" s="1"/>
  <c r="A256" i="107" s="1"/>
  <c r="A268" i="107" s="1"/>
  <c r="A280" i="107" s="1"/>
  <c r="A292" i="107" s="1"/>
  <c r="A304" i="107" s="1"/>
  <c r="A316" i="107" s="1"/>
  <c r="A328" i="107" s="1"/>
  <c r="A340" i="107" s="1"/>
  <c r="A352" i="107" s="1"/>
  <c r="A364" i="107" s="1"/>
  <c r="A159" i="107"/>
  <c r="A171" i="107" s="1"/>
  <c r="A183" i="107" s="1"/>
  <c r="A195" i="107" s="1"/>
  <c r="A207" i="107" s="1"/>
  <c r="A219" i="107" s="1"/>
  <c r="A231" i="107" s="1"/>
  <c r="A243" i="107" s="1"/>
  <c r="A255" i="107" s="1"/>
  <c r="A267" i="107" s="1"/>
  <c r="A279" i="107" s="1"/>
  <c r="A291" i="107" s="1"/>
  <c r="A303" i="107" s="1"/>
  <c r="A315" i="107" s="1"/>
  <c r="A327" i="107" s="1"/>
  <c r="A339" i="107" s="1"/>
  <c r="A351" i="107" s="1"/>
  <c r="A363" i="107" s="1"/>
  <c r="A158" i="107"/>
  <c r="A170" i="107" s="1"/>
  <c r="A182" i="107" s="1"/>
  <c r="A194" i="107" s="1"/>
  <c r="A206" i="107" s="1"/>
  <c r="A218" i="107" s="1"/>
  <c r="A230" i="107" s="1"/>
  <c r="A242" i="107" s="1"/>
  <c r="A254" i="107" s="1"/>
  <c r="A266" i="107" s="1"/>
  <c r="A278" i="107" s="1"/>
  <c r="A290" i="107" s="1"/>
  <c r="A302" i="107" s="1"/>
  <c r="A314" i="107" s="1"/>
  <c r="A326" i="107" s="1"/>
  <c r="A338" i="107" s="1"/>
  <c r="A350" i="107" s="1"/>
  <c r="A362" i="107" s="1"/>
  <c r="A157" i="107"/>
  <c r="A169" i="107" s="1"/>
  <c r="A181" i="107" s="1"/>
  <c r="A193" i="107" s="1"/>
  <c r="A205" i="107" s="1"/>
  <c r="A217" i="107" s="1"/>
  <c r="A229" i="107" s="1"/>
  <c r="A241" i="107" s="1"/>
  <c r="A253" i="107" s="1"/>
  <c r="A265" i="107" s="1"/>
  <c r="A277" i="107" s="1"/>
  <c r="A289" i="107" s="1"/>
  <c r="A301" i="107" s="1"/>
  <c r="A313" i="107" s="1"/>
  <c r="A325" i="107" s="1"/>
  <c r="A337" i="107" s="1"/>
  <c r="A349" i="107" s="1"/>
  <c r="A361" i="107" s="1"/>
  <c r="A156" i="107"/>
  <c r="A168" i="107" s="1"/>
  <c r="A180" i="107" s="1"/>
  <c r="A192" i="107" s="1"/>
  <c r="A204" i="107" s="1"/>
  <c r="A216" i="107" s="1"/>
  <c r="A228" i="107" s="1"/>
  <c r="A240" i="107" s="1"/>
  <c r="A252" i="107" s="1"/>
  <c r="A264" i="107" s="1"/>
  <c r="A276" i="107" s="1"/>
  <c r="A288" i="107" s="1"/>
  <c r="A300" i="107" s="1"/>
  <c r="A312" i="107" s="1"/>
  <c r="A324" i="107" s="1"/>
  <c r="A336" i="107" s="1"/>
  <c r="A348" i="107" s="1"/>
  <c r="A360" i="107" s="1"/>
  <c r="A155" i="107"/>
  <c r="A167" i="107" s="1"/>
  <c r="A179" i="107" s="1"/>
  <c r="A191" i="107" s="1"/>
  <c r="A203" i="107" s="1"/>
  <c r="A215" i="107" s="1"/>
  <c r="A227" i="107" s="1"/>
  <c r="A239" i="107" s="1"/>
  <c r="A251" i="107" s="1"/>
  <c r="A263" i="107" s="1"/>
  <c r="A275" i="107" s="1"/>
  <c r="A287" i="107" s="1"/>
  <c r="A299" i="107" s="1"/>
  <c r="A311" i="107" s="1"/>
  <c r="A323" i="107" s="1"/>
  <c r="A335" i="107" s="1"/>
  <c r="A347" i="107" s="1"/>
  <c r="A359" i="107" s="1"/>
  <c r="A154" i="107"/>
  <c r="A166" i="107" s="1"/>
  <c r="A178" i="107" s="1"/>
  <c r="A190" i="107" s="1"/>
  <c r="A202" i="107" s="1"/>
  <c r="A214" i="107" s="1"/>
  <c r="A226" i="107" s="1"/>
  <c r="A238" i="107" s="1"/>
  <c r="A250" i="107" s="1"/>
  <c r="A262" i="107" s="1"/>
  <c r="A274" i="107" s="1"/>
  <c r="A286" i="107" s="1"/>
  <c r="A298" i="107" s="1"/>
  <c r="A310" i="107" s="1"/>
  <c r="A322" i="107" s="1"/>
  <c r="A334" i="107" s="1"/>
  <c r="A346" i="107" s="1"/>
  <c r="A358" i="107" s="1"/>
  <c r="B299" i="89"/>
  <c r="S147" i="106"/>
  <c r="J147" i="106"/>
  <c r="G117" i="14"/>
  <c r="G116" i="14"/>
  <c r="D92" i="14"/>
  <c r="B110" i="49"/>
  <c r="F110" i="49"/>
  <c r="E110" i="49" s="1"/>
  <c r="J110" i="49"/>
  <c r="I110" i="49" s="1"/>
  <c r="M110" i="49"/>
  <c r="L110" i="49" s="1"/>
  <c r="D287" i="89"/>
  <c r="B298" i="89"/>
  <c r="G34" i="53"/>
  <c r="G33" i="53"/>
  <c r="G17" i="53"/>
  <c r="D227" i="105"/>
  <c r="D205" i="105"/>
  <c r="D206" i="105"/>
  <c r="D207" i="105"/>
  <c r="D208" i="105"/>
  <c r="D209" i="105"/>
  <c r="D210" i="105"/>
  <c r="D212" i="105"/>
  <c r="D213" i="105"/>
  <c r="D214" i="105"/>
  <c r="D215" i="105"/>
  <c r="D216" i="105"/>
  <c r="D217" i="105"/>
  <c r="D218" i="105"/>
  <c r="D219" i="105"/>
  <c r="D220" i="105"/>
  <c r="D221" i="105"/>
  <c r="D223" i="105"/>
  <c r="D224" i="105"/>
  <c r="D225" i="105"/>
  <c r="D226" i="105"/>
  <c r="D228" i="105"/>
  <c r="D229" i="105"/>
  <c r="D230" i="105"/>
  <c r="D231" i="105"/>
  <c r="D232" i="105"/>
  <c r="D233" i="105"/>
  <c r="D234" i="105"/>
  <c r="D235" i="105"/>
  <c r="D236" i="105"/>
  <c r="D237" i="105"/>
  <c r="D238" i="105"/>
  <c r="D239" i="105"/>
  <c r="D240" i="105"/>
  <c r="D204" i="105"/>
  <c r="D199" i="105"/>
  <c r="D71" i="105"/>
  <c r="D72" i="105"/>
  <c r="D73" i="105"/>
  <c r="D74" i="105"/>
  <c r="D75" i="105"/>
  <c r="D76" i="105"/>
  <c r="D77" i="105"/>
  <c r="D78" i="105"/>
  <c r="D79" i="105"/>
  <c r="D80" i="105"/>
  <c r="D81" i="105"/>
  <c r="D82" i="105"/>
  <c r="D83" i="105"/>
  <c r="D84" i="105"/>
  <c r="D85" i="105"/>
  <c r="D86" i="105"/>
  <c r="D87" i="105"/>
  <c r="D88" i="105"/>
  <c r="D89" i="105"/>
  <c r="D90" i="105"/>
  <c r="D91" i="105"/>
  <c r="D92" i="105"/>
  <c r="D93" i="105"/>
  <c r="D94" i="105"/>
  <c r="D95" i="105"/>
  <c r="D96" i="105"/>
  <c r="D97" i="105"/>
  <c r="D98" i="105"/>
  <c r="D99" i="105"/>
  <c r="D100" i="105"/>
  <c r="D101" i="105"/>
  <c r="D102" i="105"/>
  <c r="D103" i="105"/>
  <c r="D104" i="105"/>
  <c r="D105" i="105"/>
  <c r="D106" i="105"/>
  <c r="D107" i="105"/>
  <c r="D108" i="105"/>
  <c r="D109" i="105"/>
  <c r="D110" i="105"/>
  <c r="D111" i="105"/>
  <c r="D112" i="105"/>
  <c r="D113" i="105"/>
  <c r="D114" i="105"/>
  <c r="D115" i="105"/>
  <c r="D116" i="105"/>
  <c r="D117" i="105"/>
  <c r="D118" i="105"/>
  <c r="D119" i="105"/>
  <c r="D120" i="105"/>
  <c r="D121" i="105"/>
  <c r="D122" i="105"/>
  <c r="D123" i="105"/>
  <c r="D124" i="105"/>
  <c r="D125" i="105"/>
  <c r="D126" i="105"/>
  <c r="D127" i="105"/>
  <c r="D128" i="105"/>
  <c r="D129" i="105"/>
  <c r="D130" i="105"/>
  <c r="D131" i="105"/>
  <c r="D132" i="105"/>
  <c r="D133" i="105"/>
  <c r="D134" i="105"/>
  <c r="D135" i="105"/>
  <c r="D136" i="105"/>
  <c r="D137" i="105"/>
  <c r="D138" i="105"/>
  <c r="D139" i="105"/>
  <c r="D140" i="105"/>
  <c r="D141" i="105"/>
  <c r="D142" i="105"/>
  <c r="D143" i="105"/>
  <c r="D144" i="105"/>
  <c r="D145" i="105"/>
  <c r="D146" i="105"/>
  <c r="D147" i="105"/>
  <c r="D148" i="105"/>
  <c r="D149" i="105"/>
  <c r="D150" i="105"/>
  <c r="D151" i="105"/>
  <c r="D152" i="105"/>
  <c r="D153" i="105"/>
  <c r="D154" i="105"/>
  <c r="D155" i="105"/>
  <c r="D156" i="105"/>
  <c r="D157" i="105"/>
  <c r="D158" i="105"/>
  <c r="D159" i="105"/>
  <c r="D160" i="105"/>
  <c r="D161" i="105"/>
  <c r="D162" i="105"/>
  <c r="D163" i="105"/>
  <c r="D164" i="105"/>
  <c r="D165" i="105"/>
  <c r="D166" i="105"/>
  <c r="D167" i="105"/>
  <c r="D168" i="105"/>
  <c r="D169" i="105"/>
  <c r="D170" i="105"/>
  <c r="D171" i="105"/>
  <c r="D172" i="105"/>
  <c r="D173" i="105"/>
  <c r="D174" i="105"/>
  <c r="D175" i="105"/>
  <c r="D176" i="105"/>
  <c r="D177" i="105"/>
  <c r="D178" i="105"/>
  <c r="D179" i="105"/>
  <c r="D180" i="105"/>
  <c r="D181" i="105"/>
  <c r="D182" i="105"/>
  <c r="D183" i="105"/>
  <c r="D184" i="105"/>
  <c r="D185" i="105"/>
  <c r="D186" i="105"/>
  <c r="D187" i="105"/>
  <c r="D188" i="105"/>
  <c r="D189" i="105"/>
  <c r="D190" i="105"/>
  <c r="D191" i="105"/>
  <c r="D192" i="105"/>
  <c r="D193" i="105"/>
  <c r="D194" i="105"/>
  <c r="D195" i="105"/>
  <c r="D196" i="105"/>
  <c r="D197" i="105"/>
  <c r="D198" i="105"/>
  <c r="D200" i="105"/>
  <c r="D201" i="105"/>
  <c r="D202" i="105"/>
  <c r="D203" i="105"/>
  <c r="D70" i="105"/>
  <c r="D69" i="105"/>
  <c r="A11" i="105"/>
  <c r="A12" i="105" s="1"/>
  <c r="A13" i="105" s="1"/>
  <c r="A14" i="105" s="1"/>
  <c r="A15" i="105" s="1"/>
  <c r="A16" i="105" s="1"/>
  <c r="A17" i="105" s="1"/>
  <c r="A18" i="105" s="1"/>
  <c r="A19" i="105" s="1"/>
  <c r="A20" i="105" s="1"/>
  <c r="A21" i="105" s="1"/>
  <c r="A22" i="105" s="1"/>
  <c r="A23" i="105" s="1"/>
  <c r="A24" i="105" s="1"/>
  <c r="A25" i="105" s="1"/>
  <c r="A26" i="105" s="1"/>
  <c r="A27" i="105" s="1"/>
  <c r="A28" i="105" s="1"/>
  <c r="A29" i="105" s="1"/>
  <c r="A30" i="105" s="1"/>
  <c r="A31" i="105" s="1"/>
  <c r="A32" i="105" s="1"/>
  <c r="A33" i="105" s="1"/>
  <c r="A34" i="105" s="1"/>
  <c r="A35" i="105" s="1"/>
  <c r="A36" i="105" s="1"/>
  <c r="A37" i="105" s="1"/>
  <c r="A38" i="105" s="1"/>
  <c r="A39" i="105" s="1"/>
  <c r="A40" i="105" s="1"/>
  <c r="A41" i="105" s="1"/>
  <c r="A42" i="105" s="1"/>
  <c r="A43" i="105" s="1"/>
  <c r="A44" i="105" s="1"/>
  <c r="A45" i="105" s="1"/>
  <c r="A46" i="105" s="1"/>
  <c r="A47" i="105" s="1"/>
  <c r="A48" i="105" s="1"/>
  <c r="A49" i="105" s="1"/>
  <c r="A50" i="105" s="1"/>
  <c r="A51" i="105" s="1"/>
  <c r="A52" i="105" s="1"/>
  <c r="A53" i="105" s="1"/>
  <c r="A54" i="105" s="1"/>
  <c r="A55" i="105" s="1"/>
  <c r="A56" i="105" s="1"/>
  <c r="A57" i="105" s="1"/>
  <c r="A58" i="105" s="1"/>
  <c r="A59" i="105" s="1"/>
  <c r="A60" i="105" s="1"/>
  <c r="A61" i="105" s="1"/>
  <c r="A62" i="105" s="1"/>
  <c r="A63" i="105" s="1"/>
  <c r="A64" i="105" s="1"/>
  <c r="A65" i="105" s="1"/>
  <c r="A66" i="105" s="1"/>
  <c r="A67" i="105" s="1"/>
  <c r="A68" i="105" s="1"/>
  <c r="A69" i="105" s="1"/>
  <c r="A70" i="105" s="1"/>
  <c r="A71" i="105" s="1"/>
  <c r="A72" i="105" s="1"/>
  <c r="A73" i="105" s="1"/>
  <c r="A74" i="105" s="1"/>
  <c r="A75" i="105" s="1"/>
  <c r="A76" i="105" s="1"/>
  <c r="A77" i="105" s="1"/>
  <c r="A78" i="105" s="1"/>
  <c r="A79" i="105" s="1"/>
  <c r="A80" i="105" s="1"/>
  <c r="A81" i="105" s="1"/>
  <c r="A82" i="105" s="1"/>
  <c r="A83" i="105" s="1"/>
  <c r="A84" i="105" s="1"/>
  <c r="A85" i="105" s="1"/>
  <c r="A86" i="105" s="1"/>
  <c r="A87" i="105" s="1"/>
  <c r="A88" i="105" s="1"/>
  <c r="A89" i="105" s="1"/>
  <c r="A90" i="105" s="1"/>
  <c r="A91" i="105" s="1"/>
  <c r="A92" i="105" s="1"/>
  <c r="A93" i="105" s="1"/>
  <c r="A94" i="105" s="1"/>
  <c r="A95" i="105" s="1"/>
  <c r="A96" i="105" s="1"/>
  <c r="A97" i="105" s="1"/>
  <c r="A98" i="105" s="1"/>
  <c r="A99" i="105" s="1"/>
  <c r="A100" i="105" s="1"/>
  <c r="A101" i="105" s="1"/>
  <c r="A102" i="105" s="1"/>
  <c r="A103" i="105" s="1"/>
  <c r="A104" i="105" s="1"/>
  <c r="A105" i="105" s="1"/>
  <c r="A106" i="105" s="1"/>
  <c r="A107" i="105" s="1"/>
  <c r="A108" i="105" s="1"/>
  <c r="A109" i="105" s="1"/>
  <c r="A110" i="105" s="1"/>
  <c r="A111" i="105" s="1"/>
  <c r="A112" i="105" s="1"/>
  <c r="A113" i="105" s="1"/>
  <c r="A114" i="105" s="1"/>
  <c r="A115" i="105" s="1"/>
  <c r="A116" i="105" s="1"/>
  <c r="A117" i="105" s="1"/>
  <c r="A118" i="105" s="1"/>
  <c r="A119" i="105" s="1"/>
  <c r="A120" i="105" s="1"/>
  <c r="A121" i="105" s="1"/>
  <c r="A122" i="105" s="1"/>
  <c r="A123" i="105" s="1"/>
  <c r="A124" i="105" s="1"/>
  <c r="A125" i="105" s="1"/>
  <c r="A126" i="105" s="1"/>
  <c r="A127" i="105" s="1"/>
  <c r="A128" i="105" s="1"/>
  <c r="A129" i="105" s="1"/>
  <c r="A130" i="105" s="1"/>
  <c r="A131" i="105" s="1"/>
  <c r="A132" i="105" s="1"/>
  <c r="A133" i="105" s="1"/>
  <c r="A134" i="105" s="1"/>
  <c r="A135" i="105" s="1"/>
  <c r="A136" i="105" s="1"/>
  <c r="A137" i="105" s="1"/>
  <c r="A138" i="105" s="1"/>
  <c r="A139" i="105" s="1"/>
  <c r="A140" i="105" s="1"/>
  <c r="A141" i="105" s="1"/>
  <c r="A142" i="105" s="1"/>
  <c r="A143" i="105" s="1"/>
  <c r="A144" i="105" s="1"/>
  <c r="A145" i="105" s="1"/>
  <c r="A146" i="105" s="1"/>
  <c r="A147" i="105" s="1"/>
  <c r="A148" i="105" s="1"/>
  <c r="A149" i="105" s="1"/>
  <c r="A150" i="105" s="1"/>
  <c r="A151" i="105" s="1"/>
  <c r="A152" i="105" s="1"/>
  <c r="A153" i="105" s="1"/>
  <c r="A154" i="105" s="1"/>
  <c r="A155" i="105" s="1"/>
  <c r="A156" i="105" s="1"/>
  <c r="A157" i="105" s="1"/>
  <c r="A158" i="105" s="1"/>
  <c r="A159" i="105" s="1"/>
  <c r="A160" i="105" s="1"/>
  <c r="A161" i="105" s="1"/>
  <c r="A162" i="105" s="1"/>
  <c r="A163" i="105" s="1"/>
  <c r="A164" i="105" s="1"/>
  <c r="A165" i="105" s="1"/>
  <c r="A166" i="105" s="1"/>
  <c r="A167" i="105" s="1"/>
  <c r="A168" i="105" s="1"/>
  <c r="A169" i="105" s="1"/>
  <c r="A170" i="105" s="1"/>
  <c r="A171" i="105" s="1"/>
  <c r="A172" i="105" s="1"/>
  <c r="A173" i="105" s="1"/>
  <c r="A174" i="105" s="1"/>
  <c r="A175" i="105" s="1"/>
  <c r="A176" i="105" s="1"/>
  <c r="A177" i="105" s="1"/>
  <c r="A178" i="105" s="1"/>
  <c r="A179" i="105" s="1"/>
  <c r="A180" i="105" s="1"/>
  <c r="A181" i="105" s="1"/>
  <c r="A182" i="105" s="1"/>
  <c r="A183" i="105" s="1"/>
  <c r="A184" i="105" s="1"/>
  <c r="A185" i="105" s="1"/>
  <c r="A186" i="105" s="1"/>
  <c r="A187" i="105" s="1"/>
  <c r="A188" i="105" s="1"/>
  <c r="A189" i="105" s="1"/>
  <c r="A190" i="105" s="1"/>
  <c r="A191" i="105" s="1"/>
  <c r="A192" i="105" s="1"/>
  <c r="A193" i="105" s="1"/>
  <c r="A194" i="105" s="1"/>
  <c r="A195" i="105" s="1"/>
  <c r="A196" i="105" s="1"/>
  <c r="A197" i="105" s="1"/>
  <c r="A198" i="105" s="1"/>
  <c r="A199" i="105" s="1"/>
  <c r="A200" i="105" s="1"/>
  <c r="A201" i="105" s="1"/>
  <c r="A202" i="105" s="1"/>
  <c r="A203" i="105" s="1"/>
  <c r="A204" i="105" s="1"/>
  <c r="A205" i="105" s="1"/>
  <c r="A206" i="105" s="1"/>
  <c r="A207" i="105" s="1"/>
  <c r="A208" i="105" s="1"/>
  <c r="A209" i="105" s="1"/>
  <c r="A210" i="105" s="1"/>
  <c r="A211" i="105" s="1"/>
  <c r="A212" i="105" s="1"/>
  <c r="A213" i="105" s="1"/>
  <c r="A214" i="105" s="1"/>
  <c r="A215" i="105" s="1"/>
  <c r="A216" i="105" s="1"/>
  <c r="A217" i="105" s="1"/>
  <c r="A218" i="105" s="1"/>
  <c r="A219" i="105" s="1"/>
  <c r="A220" i="105" s="1"/>
  <c r="A221" i="105" s="1"/>
  <c r="A222" i="105" s="1"/>
  <c r="A223" i="105" s="1"/>
  <c r="A224" i="105" s="1"/>
  <c r="A225" i="105" s="1"/>
  <c r="A226" i="105" s="1"/>
  <c r="A227" i="105" s="1"/>
  <c r="A228" i="105" s="1"/>
  <c r="A229" i="105" s="1"/>
  <c r="A230" i="105" s="1"/>
  <c r="A231" i="105" s="1"/>
  <c r="A232" i="105" s="1"/>
  <c r="A233" i="105" s="1"/>
  <c r="A234" i="105" s="1"/>
  <c r="A235" i="105" s="1"/>
  <c r="A236" i="105" s="1"/>
  <c r="A237" i="105" s="1"/>
  <c r="A238" i="105" s="1"/>
  <c r="A239" i="105" s="1"/>
  <c r="A240" i="105" s="1"/>
  <c r="A241" i="105" s="1"/>
  <c r="A242" i="105" s="1"/>
  <c r="A243" i="105" s="1"/>
  <c r="A244" i="105" s="1"/>
  <c r="A245" i="105" s="1"/>
  <c r="A246" i="105" s="1"/>
  <c r="A247" i="105" s="1"/>
  <c r="A248" i="105" s="1"/>
  <c r="A249" i="105" s="1"/>
  <c r="A250" i="105" s="1"/>
  <c r="A251" i="105" s="1"/>
  <c r="A252" i="105" s="1"/>
  <c r="A253" i="105" s="1"/>
  <c r="A254" i="105" s="1"/>
  <c r="A255" i="105" s="1"/>
  <c r="C109" i="49"/>
  <c r="B109" i="49" s="1"/>
  <c r="F109" i="49"/>
  <c r="E109" i="49" s="1"/>
  <c r="C108" i="49"/>
  <c r="B108" i="49" s="1"/>
  <c r="F108" i="49"/>
  <c r="E108" i="49" s="1"/>
  <c r="C107" i="49"/>
  <c r="B107" i="49" s="1"/>
  <c r="F107" i="49"/>
  <c r="E107" i="49" s="1"/>
  <c r="C106" i="49"/>
  <c r="B106" i="49" s="1"/>
  <c r="F106" i="49"/>
  <c r="E106" i="49" s="1"/>
  <c r="J109" i="49"/>
  <c r="I109" i="49" s="1"/>
  <c r="M109" i="49"/>
  <c r="L109" i="49" s="1"/>
  <c r="J108" i="49"/>
  <c r="I108" i="49" s="1"/>
  <c r="M108" i="49"/>
  <c r="L108" i="49" s="1"/>
  <c r="J107" i="49"/>
  <c r="I107" i="49" s="1"/>
  <c r="M107" i="49"/>
  <c r="L107" i="49" s="1"/>
  <c r="M106" i="49"/>
  <c r="L106" i="49" s="1"/>
  <c r="J106" i="49"/>
  <c r="I106" i="49" s="1"/>
  <c r="D296" i="89"/>
  <c r="H272" i="4"/>
  <c r="B293" i="89"/>
  <c r="H280" i="17"/>
  <c r="B290" i="89"/>
  <c r="D357" i="89"/>
  <c r="D356" i="89"/>
  <c r="D355" i="89"/>
  <c r="D354" i="89"/>
  <c r="D353" i="89"/>
  <c r="D352" i="89"/>
  <c r="D351" i="89"/>
  <c r="D350" i="89"/>
  <c r="D349" i="89"/>
  <c r="D348" i="89"/>
  <c r="D347" i="89"/>
  <c r="D346" i="89"/>
  <c r="D345" i="89"/>
  <c r="D344" i="89"/>
  <c r="D343" i="89"/>
  <c r="D342" i="89"/>
  <c r="D341" i="89"/>
  <c r="D340" i="89"/>
  <c r="D339" i="89"/>
  <c r="D338" i="89"/>
  <c r="D336" i="89"/>
  <c r="D335" i="89"/>
  <c r="D334" i="89"/>
  <c r="D333" i="89"/>
  <c r="D332" i="89"/>
  <c r="D331" i="89"/>
  <c r="D330" i="89"/>
  <c r="D327" i="89"/>
  <c r="D326" i="89"/>
  <c r="D325" i="89"/>
  <c r="D324" i="89"/>
  <c r="D322" i="89"/>
  <c r="D321" i="89"/>
  <c r="D320" i="89"/>
  <c r="D319" i="89"/>
  <c r="D318" i="89"/>
  <c r="D317" i="89"/>
  <c r="D316" i="89"/>
  <c r="D315" i="89"/>
  <c r="D314" i="89"/>
  <c r="D313" i="89"/>
  <c r="D312" i="89"/>
  <c r="D311" i="89"/>
  <c r="D310" i="89"/>
  <c r="D309" i="89"/>
  <c r="D308" i="89"/>
  <c r="D307" i="89"/>
  <c r="D306" i="89"/>
  <c r="D305" i="89"/>
  <c r="D304" i="89"/>
  <c r="D303" i="89"/>
  <c r="D302" i="89"/>
  <c r="D301" i="89"/>
  <c r="D300" i="89"/>
  <c r="D299" i="89"/>
  <c r="D298" i="89"/>
  <c r="D297" i="89"/>
  <c r="D295" i="89"/>
  <c r="D294" i="89"/>
  <c r="D293" i="89"/>
  <c r="D292" i="89"/>
  <c r="D291" i="89"/>
  <c r="D290" i="89"/>
  <c r="D289" i="89"/>
  <c r="D288" i="89"/>
  <c r="D286" i="89"/>
  <c r="D285" i="89"/>
  <c r="D276" i="89"/>
  <c r="D277" i="89"/>
  <c r="D278" i="89"/>
  <c r="D279" i="89"/>
  <c r="D280" i="89"/>
  <c r="D281" i="89"/>
  <c r="D282" i="89"/>
  <c r="D283" i="89"/>
  <c r="D284" i="89"/>
  <c r="D275" i="89"/>
  <c r="D274" i="89"/>
  <c r="D264" i="89"/>
  <c r="D265" i="89"/>
  <c r="D266" i="89"/>
  <c r="D267" i="89"/>
  <c r="D268" i="89"/>
  <c r="D269" i="89"/>
  <c r="D270" i="89"/>
  <c r="D271" i="89"/>
  <c r="D272" i="89"/>
  <c r="D273" i="89"/>
  <c r="D263" i="89"/>
  <c r="D262" i="89"/>
  <c r="D252" i="89"/>
  <c r="D253" i="89"/>
  <c r="D254" i="89"/>
  <c r="D255" i="89"/>
  <c r="D256" i="89"/>
  <c r="D257" i="89"/>
  <c r="D258" i="89"/>
  <c r="D259" i="89"/>
  <c r="D260" i="89"/>
  <c r="D261" i="89"/>
  <c r="D251" i="89"/>
  <c r="D250" i="89"/>
  <c r="D240" i="89"/>
  <c r="D241" i="89"/>
  <c r="D242" i="89"/>
  <c r="D243" i="89"/>
  <c r="D244" i="89"/>
  <c r="D245" i="89"/>
  <c r="D246" i="89"/>
  <c r="D247" i="89"/>
  <c r="D248" i="89"/>
  <c r="D249" i="89"/>
  <c r="D239" i="89"/>
  <c r="D238" i="89"/>
  <c r="D228" i="89"/>
  <c r="D229" i="89"/>
  <c r="D230" i="89"/>
  <c r="D231" i="89"/>
  <c r="D232" i="89"/>
  <c r="D233" i="89"/>
  <c r="D234" i="89"/>
  <c r="D235" i="89"/>
  <c r="D236" i="89"/>
  <c r="D237" i="89"/>
  <c r="D227" i="89"/>
  <c r="D226" i="89"/>
  <c r="D216" i="89"/>
  <c r="D217" i="89"/>
  <c r="D218" i="89"/>
  <c r="D219" i="89"/>
  <c r="D220" i="89"/>
  <c r="D221" i="89"/>
  <c r="D222" i="89"/>
  <c r="D223" i="89"/>
  <c r="D224" i="89"/>
  <c r="D225" i="89"/>
  <c r="D215" i="89"/>
  <c r="D214" i="89"/>
  <c r="D204" i="89"/>
  <c r="D205" i="89"/>
  <c r="D206" i="89"/>
  <c r="D207" i="89"/>
  <c r="D208" i="89"/>
  <c r="D209" i="89"/>
  <c r="D210" i="89"/>
  <c r="D211" i="89"/>
  <c r="D212" i="89"/>
  <c r="D213" i="89"/>
  <c r="D203" i="89"/>
  <c r="D202" i="89"/>
  <c r="D192" i="89"/>
  <c r="D193" i="89"/>
  <c r="D194" i="89"/>
  <c r="D195" i="89"/>
  <c r="D196" i="89"/>
  <c r="D197" i="89"/>
  <c r="D198" i="89"/>
  <c r="D199" i="89"/>
  <c r="D200" i="89"/>
  <c r="D201" i="89"/>
  <c r="D191" i="89"/>
  <c r="D190" i="89"/>
  <c r="D180" i="89"/>
  <c r="D181" i="89"/>
  <c r="D182" i="89"/>
  <c r="D183" i="89"/>
  <c r="D184" i="89"/>
  <c r="D185" i="89"/>
  <c r="D186" i="89"/>
  <c r="D187" i="89"/>
  <c r="D188" i="89"/>
  <c r="D189" i="89"/>
  <c r="D179" i="89"/>
  <c r="D178" i="89"/>
  <c r="D168" i="89"/>
  <c r="D169" i="89"/>
  <c r="D170" i="89"/>
  <c r="D171" i="89"/>
  <c r="D172" i="89"/>
  <c r="D173" i="89"/>
  <c r="D174" i="89"/>
  <c r="D175" i="89"/>
  <c r="D176" i="89"/>
  <c r="D177" i="89"/>
  <c r="D167" i="89"/>
  <c r="D166" i="89"/>
  <c r="D161" i="89"/>
  <c r="D162" i="89"/>
  <c r="D163" i="89"/>
  <c r="D164" i="89"/>
  <c r="D165" i="89"/>
  <c r="D157" i="89"/>
  <c r="D158" i="89"/>
  <c r="D159" i="89"/>
  <c r="D160" i="89"/>
  <c r="D156" i="89"/>
  <c r="D155" i="89"/>
  <c r="D147" i="89"/>
  <c r="D148" i="89"/>
  <c r="D149" i="89"/>
  <c r="D150" i="89"/>
  <c r="D151" i="89"/>
  <c r="D152" i="89"/>
  <c r="D153" i="89"/>
  <c r="D144" i="89"/>
  <c r="D145" i="89"/>
  <c r="D146" i="89"/>
  <c r="D143" i="89"/>
  <c r="B285" i="89"/>
  <c r="J105" i="49"/>
  <c r="I105" i="49" s="1"/>
  <c r="M105" i="49"/>
  <c r="L105" i="49" s="1"/>
  <c r="C103" i="49"/>
  <c r="B103" i="49" s="1"/>
  <c r="F103" i="49"/>
  <c r="E103" i="49" s="1"/>
  <c r="F104" i="49"/>
  <c r="E104" i="49" s="1"/>
  <c r="C105" i="49"/>
  <c r="B105" i="49" s="1"/>
  <c r="F105" i="49"/>
  <c r="E105" i="49" s="1"/>
  <c r="G39" i="53"/>
  <c r="G67" i="53"/>
  <c r="J104" i="49"/>
  <c r="I104" i="49" s="1"/>
  <c r="M104" i="49"/>
  <c r="L104" i="49" s="1"/>
  <c r="J103" i="49"/>
  <c r="I103" i="49" s="1"/>
  <c r="M103" i="49"/>
  <c r="L103" i="49" s="1"/>
  <c r="C102" i="49"/>
  <c r="B102" i="49" s="1"/>
  <c r="F102" i="49"/>
  <c r="E102" i="49" s="1"/>
  <c r="C104" i="49"/>
  <c r="B104" i="49" s="1"/>
  <c r="H273" i="17"/>
  <c r="S224" i="3"/>
  <c r="R224" i="3"/>
  <c r="B205" i="68"/>
  <c r="C221" i="3"/>
  <c r="S220" i="3"/>
  <c r="B281" i="89"/>
  <c r="B282" i="89"/>
  <c r="C220" i="3"/>
  <c r="C229" i="59"/>
  <c r="C11" i="59"/>
  <c r="C12" i="59"/>
  <c r="C13" i="59"/>
  <c r="C14" i="59"/>
  <c r="C15" i="59"/>
  <c r="C16" i="59"/>
  <c r="C17" i="59"/>
  <c r="C18" i="59"/>
  <c r="C19" i="59"/>
  <c r="C20" i="59"/>
  <c r="C21" i="59"/>
  <c r="C22" i="59"/>
  <c r="C23" i="59"/>
  <c r="C24" i="59"/>
  <c r="C25" i="59"/>
  <c r="C26" i="59"/>
  <c r="C27" i="59"/>
  <c r="C28" i="59"/>
  <c r="C29" i="59"/>
  <c r="C30" i="59"/>
  <c r="C31" i="59"/>
  <c r="C32" i="59"/>
  <c r="C33" i="59"/>
  <c r="C34" i="59"/>
  <c r="C35" i="59"/>
  <c r="C36" i="59"/>
  <c r="C37" i="59"/>
  <c r="C38" i="59"/>
  <c r="C39" i="59"/>
  <c r="C40" i="59"/>
  <c r="C41" i="59"/>
  <c r="C42" i="59"/>
  <c r="C43" i="59"/>
  <c r="C44" i="59"/>
  <c r="C45" i="59"/>
  <c r="C46" i="59"/>
  <c r="C47" i="59"/>
  <c r="C48" i="59"/>
  <c r="C49" i="59"/>
  <c r="C50" i="59"/>
  <c r="C51" i="59"/>
  <c r="C52" i="59"/>
  <c r="C53" i="59"/>
  <c r="C54" i="59"/>
  <c r="C55" i="59"/>
  <c r="C56" i="59"/>
  <c r="C57" i="59"/>
  <c r="C58" i="59"/>
  <c r="C59" i="59"/>
  <c r="C60" i="59"/>
  <c r="C61" i="59"/>
  <c r="C62" i="59"/>
  <c r="C63" i="59"/>
  <c r="C64" i="59"/>
  <c r="C65" i="59"/>
  <c r="C66" i="59"/>
  <c r="C67" i="59"/>
  <c r="C68" i="59"/>
  <c r="C69" i="59"/>
  <c r="C70" i="59"/>
  <c r="C71" i="59"/>
  <c r="C72" i="59"/>
  <c r="C73" i="59"/>
  <c r="C74" i="59"/>
  <c r="C75" i="59"/>
  <c r="C76" i="59"/>
  <c r="C77" i="59"/>
  <c r="C78" i="59"/>
  <c r="C79" i="59"/>
  <c r="C80" i="59"/>
  <c r="C81" i="59"/>
  <c r="C82" i="59"/>
  <c r="C83" i="59"/>
  <c r="C84" i="59"/>
  <c r="C85" i="59"/>
  <c r="C86" i="59"/>
  <c r="C87" i="59"/>
  <c r="C88" i="59"/>
  <c r="C89" i="59"/>
  <c r="C90" i="59"/>
  <c r="C91" i="59"/>
  <c r="C92" i="59"/>
  <c r="C93" i="59"/>
  <c r="C94" i="59"/>
  <c r="C95" i="59"/>
  <c r="C96" i="59"/>
  <c r="C97" i="59"/>
  <c r="C98" i="59"/>
  <c r="C99" i="59"/>
  <c r="C100" i="59"/>
  <c r="C101" i="59"/>
  <c r="C102" i="59"/>
  <c r="C103" i="59"/>
  <c r="C104" i="59"/>
  <c r="C105" i="59"/>
  <c r="C106" i="59"/>
  <c r="C107" i="59"/>
  <c r="C108" i="59"/>
  <c r="C109" i="59"/>
  <c r="C110" i="59"/>
  <c r="C111" i="59"/>
  <c r="C112" i="59"/>
  <c r="C113" i="59"/>
  <c r="C114" i="59"/>
  <c r="C115" i="59"/>
  <c r="C116" i="59"/>
  <c r="C117" i="59"/>
  <c r="C118" i="59"/>
  <c r="C119" i="59"/>
  <c r="C120" i="59"/>
  <c r="C121" i="59"/>
  <c r="C122" i="59"/>
  <c r="C123" i="59"/>
  <c r="C124" i="59"/>
  <c r="C125" i="59"/>
  <c r="C126" i="59"/>
  <c r="C127" i="59"/>
  <c r="C128" i="59"/>
  <c r="C129" i="59"/>
  <c r="C130" i="59"/>
  <c r="C131" i="59"/>
  <c r="C132" i="59"/>
  <c r="C133" i="59"/>
  <c r="C134" i="59"/>
  <c r="C135" i="59"/>
  <c r="C136" i="59"/>
  <c r="C137" i="59"/>
  <c r="C138" i="59"/>
  <c r="C139" i="59"/>
  <c r="C140" i="59"/>
  <c r="C141" i="59"/>
  <c r="C142" i="59"/>
  <c r="C143" i="59"/>
  <c r="C144" i="59"/>
  <c r="C145" i="59"/>
  <c r="C146" i="59"/>
  <c r="C147" i="59"/>
  <c r="C148" i="59"/>
  <c r="C149" i="59"/>
  <c r="C150" i="59"/>
  <c r="C151" i="59"/>
  <c r="C152" i="59"/>
  <c r="C153" i="59"/>
  <c r="C154" i="59"/>
  <c r="C155" i="59"/>
  <c r="C156" i="59"/>
  <c r="C157" i="59"/>
  <c r="C158" i="59"/>
  <c r="C159" i="59"/>
  <c r="C160" i="59"/>
  <c r="C161" i="59"/>
  <c r="C162" i="59"/>
  <c r="C163" i="59"/>
  <c r="C218" i="3"/>
  <c r="J102" i="49"/>
  <c r="I102" i="49" s="1"/>
  <c r="M102" i="49"/>
  <c r="L102" i="49" s="1"/>
  <c r="G82" i="53"/>
  <c r="D255" i="52"/>
  <c r="G255" i="52"/>
  <c r="J253" i="52"/>
  <c r="G253" i="52"/>
  <c r="D253" i="52"/>
  <c r="J200" i="52"/>
  <c r="G200" i="52"/>
  <c r="D200" i="52"/>
  <c r="J10" i="52"/>
  <c r="D10" i="52"/>
  <c r="B275" i="11"/>
  <c r="Q10" i="38"/>
  <c r="C10" i="38" s="1"/>
  <c r="Q11" i="38"/>
  <c r="C11" i="38" s="1"/>
  <c r="Q12" i="38"/>
  <c r="C12" i="38" s="1"/>
  <c r="Q13" i="38"/>
  <c r="C13" i="38" s="1"/>
  <c r="Q15" i="38"/>
  <c r="C15" i="38" s="1"/>
  <c r="Q16" i="38"/>
  <c r="C16" i="38" s="1"/>
  <c r="Q17" i="38"/>
  <c r="C17" i="38" s="1"/>
  <c r="Q18" i="38"/>
  <c r="C18" i="38" s="1"/>
  <c r="Q19" i="38"/>
  <c r="C19" i="38" s="1"/>
  <c r="Q20" i="38"/>
  <c r="C20" i="38" s="1"/>
  <c r="Q21" i="38"/>
  <c r="C21" i="38" s="1"/>
  <c r="Q22" i="38"/>
  <c r="C22" i="38" s="1"/>
  <c r="Q23" i="38"/>
  <c r="C23" i="38" s="1"/>
  <c r="Q24" i="38"/>
  <c r="C24" i="38" s="1"/>
  <c r="Q25" i="38"/>
  <c r="C25" i="38" s="1"/>
  <c r="Q26" i="38"/>
  <c r="C26" i="38" s="1"/>
  <c r="Q27" i="38"/>
  <c r="C27" i="38" s="1"/>
  <c r="Q28" i="38"/>
  <c r="C28" i="38" s="1"/>
  <c r="Q29" i="38"/>
  <c r="C29" i="38" s="1"/>
  <c r="Q30" i="38"/>
  <c r="C30" i="38" s="1"/>
  <c r="Q31" i="38"/>
  <c r="C31" i="38" s="1"/>
  <c r="Q32" i="38"/>
  <c r="C32" i="38" s="1"/>
  <c r="Q33" i="38"/>
  <c r="C33" i="38" s="1"/>
  <c r="Q34" i="38"/>
  <c r="C34" i="38" s="1"/>
  <c r="Q35" i="38"/>
  <c r="C35" i="38" s="1"/>
  <c r="Q36" i="38"/>
  <c r="C36" i="38" s="1"/>
  <c r="Q37" i="38"/>
  <c r="C37" i="38" s="1"/>
  <c r="Q38" i="38"/>
  <c r="C38" i="38" s="1"/>
  <c r="Q39" i="38"/>
  <c r="C39" i="38" s="1"/>
  <c r="Q40" i="38"/>
  <c r="C40" i="38" s="1"/>
  <c r="Q41" i="38"/>
  <c r="C41" i="38" s="1"/>
  <c r="Q43" i="38"/>
  <c r="C43" i="38" s="1"/>
  <c r="Q44" i="38"/>
  <c r="C44" i="38" s="1"/>
  <c r="Q45" i="38"/>
  <c r="C45" i="38" s="1"/>
  <c r="Q46" i="38"/>
  <c r="C46" i="38" s="1"/>
  <c r="Q47" i="38"/>
  <c r="C47" i="38" s="1"/>
  <c r="Q48" i="38"/>
  <c r="C48" i="38" s="1"/>
  <c r="Q49" i="38"/>
  <c r="C49" i="38" s="1"/>
  <c r="Q50" i="38"/>
  <c r="C50" i="38" s="1"/>
  <c r="Q51" i="38"/>
  <c r="C51" i="38" s="1"/>
  <c r="Q52" i="38"/>
  <c r="C52" i="38" s="1"/>
  <c r="Q53" i="38"/>
  <c r="C53" i="38" s="1"/>
  <c r="Q54" i="38"/>
  <c r="C54" i="38" s="1"/>
  <c r="Q55" i="38"/>
  <c r="C55" i="38" s="1"/>
  <c r="Q56" i="38"/>
  <c r="C56" i="38" s="1"/>
  <c r="Q57" i="38"/>
  <c r="C57" i="38" s="1"/>
  <c r="Q58" i="38"/>
  <c r="C58" i="38" s="1"/>
  <c r="Q59" i="38"/>
  <c r="C59" i="38" s="1"/>
  <c r="Q60" i="38"/>
  <c r="C60" i="38" s="1"/>
  <c r="Q61" i="38"/>
  <c r="C61" i="38" s="1"/>
  <c r="Q62" i="38"/>
  <c r="C62" i="38" s="1"/>
  <c r="Q63" i="38"/>
  <c r="C63" i="38" s="1"/>
  <c r="Q64" i="38"/>
  <c r="C64" i="38" s="1"/>
  <c r="Q65" i="38"/>
  <c r="C65" i="38" s="1"/>
  <c r="Q66" i="38"/>
  <c r="C66" i="38" s="1"/>
  <c r="Q67" i="38"/>
  <c r="C67" i="38" s="1"/>
  <c r="Q68" i="38"/>
  <c r="C68" i="38" s="1"/>
  <c r="Q69" i="38"/>
  <c r="C69" i="38" s="1"/>
  <c r="Q70" i="38"/>
  <c r="C70" i="38" s="1"/>
  <c r="Q71" i="38"/>
  <c r="C71" i="38" s="1"/>
  <c r="Q72" i="38"/>
  <c r="C72" i="38" s="1"/>
  <c r="Q73" i="38"/>
  <c r="C73" i="38" s="1"/>
  <c r="Q74" i="38"/>
  <c r="C74" i="38" s="1"/>
  <c r="Q75" i="38"/>
  <c r="C75" i="38" s="1"/>
  <c r="Q76" i="38"/>
  <c r="C76" i="38" s="1"/>
  <c r="Q77" i="38"/>
  <c r="C77" i="38" s="1"/>
  <c r="Q78" i="38"/>
  <c r="C78" i="38" s="1"/>
  <c r="Q79" i="38"/>
  <c r="C79" i="38" s="1"/>
  <c r="Q80" i="38"/>
  <c r="C80" i="38" s="1"/>
  <c r="Q81" i="38"/>
  <c r="C81" i="38" s="1"/>
  <c r="Q82" i="38"/>
  <c r="C82" i="38" s="1"/>
  <c r="Q83" i="38"/>
  <c r="C83" i="38" s="1"/>
  <c r="Q84" i="38"/>
  <c r="C84" i="38" s="1"/>
  <c r="Q85" i="38"/>
  <c r="C85" i="38" s="1"/>
  <c r="Q86" i="38"/>
  <c r="C86" i="38" s="1"/>
  <c r="Q87" i="38"/>
  <c r="C87" i="38" s="1"/>
  <c r="Q88" i="38"/>
  <c r="C88" i="38" s="1"/>
  <c r="Q89" i="38"/>
  <c r="C89" i="38" s="1"/>
  <c r="Q90" i="38"/>
  <c r="C90" i="38" s="1"/>
  <c r="Q91" i="38"/>
  <c r="C91" i="38" s="1"/>
  <c r="Q92" i="38"/>
  <c r="C92" i="38" s="1"/>
  <c r="Q93" i="38"/>
  <c r="C93" i="38" s="1"/>
  <c r="Q94" i="38"/>
  <c r="C94" i="38" s="1"/>
  <c r="Q95" i="38"/>
  <c r="C95" i="38" s="1"/>
  <c r="Q96" i="38"/>
  <c r="C96" i="38" s="1"/>
  <c r="Q97" i="38"/>
  <c r="C97" i="38" s="1"/>
  <c r="Q98" i="38"/>
  <c r="C98" i="38" s="1"/>
  <c r="Q99" i="38"/>
  <c r="C99" i="38" s="1"/>
  <c r="Q100" i="38"/>
  <c r="C100" i="38" s="1"/>
  <c r="Q101" i="38"/>
  <c r="C101" i="38" s="1"/>
  <c r="Q102" i="38"/>
  <c r="C102" i="38" s="1"/>
  <c r="Q103" i="38"/>
  <c r="C103" i="38" s="1"/>
  <c r="Q104" i="38"/>
  <c r="C104" i="38" s="1"/>
  <c r="Q105" i="38"/>
  <c r="C105" i="38" s="1"/>
  <c r="Q106" i="38"/>
  <c r="C106" i="38" s="1"/>
  <c r="Q107" i="38"/>
  <c r="C107" i="38" s="1"/>
  <c r="Q108" i="38"/>
  <c r="C108" i="38" s="1"/>
  <c r="Q109" i="38"/>
  <c r="C109" i="38" s="1"/>
  <c r="Q110" i="38"/>
  <c r="C110" i="38" s="1"/>
  <c r="Q111" i="38"/>
  <c r="C111" i="38" s="1"/>
  <c r="Q112" i="38"/>
  <c r="C112" i="38" s="1"/>
  <c r="Q113" i="38"/>
  <c r="C113" i="38" s="1"/>
  <c r="Q114" i="38"/>
  <c r="C114" i="38" s="1"/>
  <c r="Q115" i="38"/>
  <c r="C115" i="38" s="1"/>
  <c r="Q116" i="38"/>
  <c r="C116" i="38" s="1"/>
  <c r="Q117" i="38"/>
  <c r="C117" i="38" s="1"/>
  <c r="Q118" i="38"/>
  <c r="C118" i="38" s="1"/>
  <c r="Q119" i="38"/>
  <c r="C119" i="38" s="1"/>
  <c r="Q120" i="38"/>
  <c r="C120" i="38" s="1"/>
  <c r="Q121" i="38"/>
  <c r="C121" i="38" s="1"/>
  <c r="Q122" i="38"/>
  <c r="C122" i="38" s="1"/>
  <c r="Q123" i="38"/>
  <c r="C123" i="38" s="1"/>
  <c r="Q124" i="38"/>
  <c r="C124" i="38" s="1"/>
  <c r="Q125" i="38"/>
  <c r="C125" i="38" s="1"/>
  <c r="Q126" i="38"/>
  <c r="C126" i="38" s="1"/>
  <c r="Q127" i="38"/>
  <c r="C127" i="38" s="1"/>
  <c r="Q128" i="38"/>
  <c r="C128" i="38" s="1"/>
  <c r="Q129" i="38"/>
  <c r="C129" i="38" s="1"/>
  <c r="Q130" i="38"/>
  <c r="C130" i="38" s="1"/>
  <c r="Q131" i="38"/>
  <c r="C131" i="38" s="1"/>
  <c r="Q132" i="38"/>
  <c r="C132" i="38" s="1"/>
  <c r="Q133" i="38"/>
  <c r="C133" i="38" s="1"/>
  <c r="Q134" i="38"/>
  <c r="C134" i="38" s="1"/>
  <c r="Q135" i="38"/>
  <c r="C135" i="38" s="1"/>
  <c r="Q136" i="38"/>
  <c r="C136" i="38" s="1"/>
  <c r="Q137" i="38"/>
  <c r="C137" i="38" s="1"/>
  <c r="Q138" i="38"/>
  <c r="C138" i="38" s="1"/>
  <c r="Q139" i="38"/>
  <c r="C139" i="38" s="1"/>
  <c r="Q140" i="38"/>
  <c r="C140" i="38" s="1"/>
  <c r="Q141" i="38"/>
  <c r="C141" i="38" s="1"/>
  <c r="L10" i="38"/>
  <c r="B10" i="38" s="1"/>
  <c r="L11" i="38"/>
  <c r="B11" i="38" s="1"/>
  <c r="L12" i="38"/>
  <c r="B12" i="38" s="1"/>
  <c r="L13" i="38"/>
  <c r="B13" i="38" s="1"/>
  <c r="L14" i="38"/>
  <c r="B14" i="38" s="1"/>
  <c r="L15" i="38"/>
  <c r="B15" i="38" s="1"/>
  <c r="L16" i="38"/>
  <c r="B16" i="38" s="1"/>
  <c r="L17" i="38"/>
  <c r="B17" i="38" s="1"/>
  <c r="L18" i="38"/>
  <c r="B18" i="38" s="1"/>
  <c r="L19" i="38"/>
  <c r="B19" i="38" s="1"/>
  <c r="L20" i="38"/>
  <c r="B20" i="38" s="1"/>
  <c r="L21" i="38"/>
  <c r="B21" i="38" s="1"/>
  <c r="L22" i="38"/>
  <c r="B22" i="38" s="1"/>
  <c r="L23" i="38"/>
  <c r="B23" i="38" s="1"/>
  <c r="L24" i="38"/>
  <c r="B24" i="38" s="1"/>
  <c r="L25" i="38"/>
  <c r="B25" i="38" s="1"/>
  <c r="L26" i="38"/>
  <c r="B26" i="38" s="1"/>
  <c r="L27" i="38"/>
  <c r="B27" i="38" s="1"/>
  <c r="L28" i="38"/>
  <c r="B28" i="38" s="1"/>
  <c r="L29" i="38"/>
  <c r="B29" i="38" s="1"/>
  <c r="L30" i="38"/>
  <c r="B30" i="38" s="1"/>
  <c r="L31" i="38"/>
  <c r="B31" i="38" s="1"/>
  <c r="L32" i="38"/>
  <c r="B32" i="38" s="1"/>
  <c r="L33" i="38"/>
  <c r="B33" i="38" s="1"/>
  <c r="L34" i="38"/>
  <c r="B34" i="38" s="1"/>
  <c r="L35" i="38"/>
  <c r="B35" i="38" s="1"/>
  <c r="L36" i="38"/>
  <c r="B36" i="38" s="1"/>
  <c r="L37" i="38"/>
  <c r="B37" i="38" s="1"/>
  <c r="L38" i="38"/>
  <c r="B38" i="38" s="1"/>
  <c r="L39" i="38"/>
  <c r="B39" i="38" s="1"/>
  <c r="L40" i="38"/>
  <c r="B40" i="38" s="1"/>
  <c r="L41" i="38"/>
  <c r="B41" i="38" s="1"/>
  <c r="L42" i="38"/>
  <c r="B42" i="38" s="1"/>
  <c r="L43" i="38"/>
  <c r="B43" i="38" s="1"/>
  <c r="L44" i="38"/>
  <c r="B44" i="38" s="1"/>
  <c r="L45" i="38"/>
  <c r="B45" i="38" s="1"/>
  <c r="L46" i="38"/>
  <c r="B46" i="38" s="1"/>
  <c r="L47" i="38"/>
  <c r="B47" i="38" s="1"/>
  <c r="L48" i="38"/>
  <c r="B48" i="38" s="1"/>
  <c r="L49" i="38"/>
  <c r="B49" i="38" s="1"/>
  <c r="L50" i="38"/>
  <c r="B50" i="38" s="1"/>
  <c r="L51" i="38"/>
  <c r="B51" i="38" s="1"/>
  <c r="L52" i="38"/>
  <c r="B52" i="38" s="1"/>
  <c r="L53" i="38"/>
  <c r="B53" i="38" s="1"/>
  <c r="L54" i="38"/>
  <c r="B54" i="38" s="1"/>
  <c r="L55" i="38"/>
  <c r="B55" i="38" s="1"/>
  <c r="L56" i="38"/>
  <c r="B56" i="38" s="1"/>
  <c r="L57" i="38"/>
  <c r="B57" i="38" s="1"/>
  <c r="L58" i="38"/>
  <c r="B58" i="38" s="1"/>
  <c r="L59" i="38"/>
  <c r="B59" i="38" s="1"/>
  <c r="L60" i="38"/>
  <c r="B60" i="38" s="1"/>
  <c r="L61" i="38"/>
  <c r="B61" i="38" s="1"/>
  <c r="L62" i="38"/>
  <c r="B62" i="38" s="1"/>
  <c r="L63" i="38"/>
  <c r="B63" i="38" s="1"/>
  <c r="L64" i="38"/>
  <c r="B64" i="38" s="1"/>
  <c r="L65" i="38"/>
  <c r="B65" i="38" s="1"/>
  <c r="L66" i="38"/>
  <c r="B66" i="38" s="1"/>
  <c r="L67" i="38"/>
  <c r="B67" i="38" s="1"/>
  <c r="L68" i="38"/>
  <c r="B68" i="38" s="1"/>
  <c r="L69" i="38"/>
  <c r="B69" i="38" s="1"/>
  <c r="L70" i="38"/>
  <c r="B70" i="38" s="1"/>
  <c r="L71" i="38"/>
  <c r="B71" i="38" s="1"/>
  <c r="L72" i="38"/>
  <c r="B72" i="38" s="1"/>
  <c r="L73" i="38"/>
  <c r="B73" i="38" s="1"/>
  <c r="L74" i="38"/>
  <c r="B74" i="38" s="1"/>
  <c r="L75" i="38"/>
  <c r="B75" i="38" s="1"/>
  <c r="L76" i="38"/>
  <c r="B76" i="38" s="1"/>
  <c r="L77" i="38"/>
  <c r="B77" i="38" s="1"/>
  <c r="L78" i="38"/>
  <c r="B78" i="38" s="1"/>
  <c r="L79" i="38"/>
  <c r="B79" i="38" s="1"/>
  <c r="L80" i="38"/>
  <c r="B80" i="38" s="1"/>
  <c r="L81" i="38"/>
  <c r="B81" i="38" s="1"/>
  <c r="L82" i="38"/>
  <c r="B82" i="38" s="1"/>
  <c r="L83" i="38"/>
  <c r="B83" i="38" s="1"/>
  <c r="L84" i="38"/>
  <c r="B84" i="38" s="1"/>
  <c r="L85" i="38"/>
  <c r="B85" i="38" s="1"/>
  <c r="L86" i="38"/>
  <c r="B86" i="38" s="1"/>
  <c r="L87" i="38"/>
  <c r="B87" i="38" s="1"/>
  <c r="L88" i="38"/>
  <c r="B88" i="38" s="1"/>
  <c r="L89" i="38"/>
  <c r="B89" i="38" s="1"/>
  <c r="L90" i="38"/>
  <c r="B90" i="38" s="1"/>
  <c r="L91" i="38"/>
  <c r="B91" i="38" s="1"/>
  <c r="L92" i="38"/>
  <c r="B92" i="38" s="1"/>
  <c r="L93" i="38"/>
  <c r="B93" i="38" s="1"/>
  <c r="L94" i="38"/>
  <c r="B94" i="38" s="1"/>
  <c r="L95" i="38"/>
  <c r="B95" i="38" s="1"/>
  <c r="L96" i="38"/>
  <c r="B96" i="38" s="1"/>
  <c r="L97" i="38"/>
  <c r="B97" i="38" s="1"/>
  <c r="L98" i="38"/>
  <c r="B98" i="38" s="1"/>
  <c r="L99" i="38"/>
  <c r="B99" i="38" s="1"/>
  <c r="L100" i="38"/>
  <c r="B100" i="38" s="1"/>
  <c r="L101" i="38"/>
  <c r="B101" i="38" s="1"/>
  <c r="L102" i="38"/>
  <c r="B102" i="38" s="1"/>
  <c r="L103" i="38"/>
  <c r="B103" i="38" s="1"/>
  <c r="L104" i="38"/>
  <c r="B104" i="38" s="1"/>
  <c r="L105" i="38"/>
  <c r="B105" i="38" s="1"/>
  <c r="L106" i="38"/>
  <c r="B106" i="38" s="1"/>
  <c r="L107" i="38"/>
  <c r="B107" i="38" s="1"/>
  <c r="L108" i="38"/>
  <c r="B108" i="38" s="1"/>
  <c r="L109" i="38"/>
  <c r="B109" i="38" s="1"/>
  <c r="L110" i="38"/>
  <c r="B110" i="38" s="1"/>
  <c r="L111" i="38"/>
  <c r="B111" i="38" s="1"/>
  <c r="L112" i="38"/>
  <c r="B112" i="38" s="1"/>
  <c r="L113" i="38"/>
  <c r="B113" i="38" s="1"/>
  <c r="L114" i="38"/>
  <c r="B114" i="38" s="1"/>
  <c r="L115" i="38"/>
  <c r="B115" i="38" s="1"/>
  <c r="L116" i="38"/>
  <c r="B116" i="38" s="1"/>
  <c r="L117" i="38"/>
  <c r="B117" i="38" s="1"/>
  <c r="L118" i="38"/>
  <c r="B118" i="38" s="1"/>
  <c r="L119" i="38"/>
  <c r="B119" i="38" s="1"/>
  <c r="L120" i="38"/>
  <c r="B120" i="38" s="1"/>
  <c r="L121" i="38"/>
  <c r="B121" i="38" s="1"/>
  <c r="L122" i="38"/>
  <c r="B122" i="38" s="1"/>
  <c r="L123" i="38"/>
  <c r="B123" i="38" s="1"/>
  <c r="L124" i="38"/>
  <c r="B124" i="38" s="1"/>
  <c r="L125" i="38"/>
  <c r="B125" i="38" s="1"/>
  <c r="L126" i="38"/>
  <c r="B126" i="38" s="1"/>
  <c r="L127" i="38"/>
  <c r="B127" i="38" s="1"/>
  <c r="L128" i="38"/>
  <c r="B128" i="38" s="1"/>
  <c r="L129" i="38"/>
  <c r="B129" i="38" s="1"/>
  <c r="L130" i="38"/>
  <c r="B130" i="38" s="1"/>
  <c r="L131" i="38"/>
  <c r="B131" i="38" s="1"/>
  <c r="L132" i="38"/>
  <c r="B132" i="38" s="1"/>
  <c r="L133" i="38"/>
  <c r="B133" i="38" s="1"/>
  <c r="L134" i="38"/>
  <c r="B134" i="38" s="1"/>
  <c r="L135" i="38"/>
  <c r="B135" i="38" s="1"/>
  <c r="L136" i="38"/>
  <c r="B136" i="38" s="1"/>
  <c r="L137" i="38"/>
  <c r="B137" i="38" s="1"/>
  <c r="L138" i="38"/>
  <c r="B138" i="38" s="1"/>
  <c r="L139" i="38"/>
  <c r="B139" i="38" s="1"/>
  <c r="L140" i="38"/>
  <c r="B140" i="38" s="1"/>
  <c r="L141" i="38"/>
  <c r="B141" i="38" s="1"/>
  <c r="L142" i="38"/>
  <c r="B142" i="38" s="1"/>
  <c r="L143" i="38"/>
  <c r="B143" i="38" s="1"/>
  <c r="L144" i="38"/>
  <c r="B144" i="38" s="1"/>
  <c r="L145" i="38"/>
  <c r="B145" i="38" s="1"/>
  <c r="J101" i="49"/>
  <c r="I101" i="49" s="1"/>
  <c r="C101" i="49"/>
  <c r="B101" i="49" s="1"/>
  <c r="F101" i="49"/>
  <c r="E101" i="49" s="1"/>
  <c r="C100" i="49"/>
  <c r="B100" i="49" s="1"/>
  <c r="F100" i="49"/>
  <c r="E100" i="49" s="1"/>
  <c r="M101" i="49"/>
  <c r="L101" i="49" s="1"/>
  <c r="J100" i="49"/>
  <c r="I100" i="49" s="1"/>
  <c r="M100" i="49"/>
  <c r="L100" i="49" s="1"/>
  <c r="D325" i="52"/>
  <c r="J325" i="52"/>
  <c r="D326" i="52"/>
  <c r="J326" i="52"/>
  <c r="D327" i="52"/>
  <c r="J327" i="52"/>
  <c r="D328" i="52"/>
  <c r="J328" i="52"/>
  <c r="D329" i="52"/>
  <c r="J329" i="52"/>
  <c r="D330" i="52"/>
  <c r="J330" i="52"/>
  <c r="D331" i="52"/>
  <c r="J331" i="52"/>
  <c r="D332" i="52"/>
  <c r="J332" i="52"/>
  <c r="D333" i="52"/>
  <c r="J333" i="52"/>
  <c r="D313" i="52"/>
  <c r="J313" i="52"/>
  <c r="D314" i="52"/>
  <c r="J314" i="52"/>
  <c r="D315" i="52"/>
  <c r="J315" i="52"/>
  <c r="D316" i="52"/>
  <c r="J316" i="52"/>
  <c r="D317" i="52"/>
  <c r="J317" i="52"/>
  <c r="D318" i="52"/>
  <c r="J318" i="52"/>
  <c r="D319" i="52"/>
  <c r="J319" i="52"/>
  <c r="D320" i="52"/>
  <c r="J320" i="52"/>
  <c r="D321" i="52"/>
  <c r="J321" i="52"/>
  <c r="D322" i="52"/>
  <c r="J322" i="52"/>
  <c r="D323" i="52"/>
  <c r="J323" i="52"/>
  <c r="D324" i="52"/>
  <c r="J324" i="52"/>
  <c r="D302" i="52"/>
  <c r="J302" i="52"/>
  <c r="D303" i="52"/>
  <c r="J303" i="52"/>
  <c r="D304" i="52"/>
  <c r="J304" i="52"/>
  <c r="D305" i="52"/>
  <c r="J305" i="52"/>
  <c r="D306" i="52"/>
  <c r="J306" i="52"/>
  <c r="D307" i="52"/>
  <c r="J307" i="52"/>
  <c r="D308" i="52"/>
  <c r="J308" i="52"/>
  <c r="D309" i="52"/>
  <c r="J309" i="52"/>
  <c r="D310" i="52"/>
  <c r="J310" i="52"/>
  <c r="D311" i="52"/>
  <c r="J311" i="52"/>
  <c r="D312" i="52"/>
  <c r="J312" i="52"/>
  <c r="D292" i="52"/>
  <c r="J292" i="52"/>
  <c r="D293" i="52"/>
  <c r="J293" i="52"/>
  <c r="D294" i="52"/>
  <c r="J294" i="52"/>
  <c r="D295" i="52"/>
  <c r="J295" i="52"/>
  <c r="D296" i="52"/>
  <c r="J296" i="52"/>
  <c r="D297" i="52"/>
  <c r="J297" i="52"/>
  <c r="D298" i="52"/>
  <c r="J298" i="52"/>
  <c r="D299" i="52"/>
  <c r="J299" i="52"/>
  <c r="D300" i="52"/>
  <c r="J300" i="52"/>
  <c r="D301" i="52"/>
  <c r="J301" i="52"/>
  <c r="D287" i="52"/>
  <c r="G287" i="52"/>
  <c r="J287" i="52"/>
  <c r="D288" i="52"/>
  <c r="G288" i="52"/>
  <c r="J288" i="52"/>
  <c r="D289" i="52"/>
  <c r="J289" i="52"/>
  <c r="D290" i="52"/>
  <c r="J290" i="52"/>
  <c r="D291" i="52"/>
  <c r="J291" i="52"/>
  <c r="D274" i="52"/>
  <c r="G274" i="52"/>
  <c r="J274" i="52"/>
  <c r="D275" i="52"/>
  <c r="G275" i="52"/>
  <c r="J275" i="52"/>
  <c r="D276" i="52"/>
  <c r="G276" i="52"/>
  <c r="J276" i="52"/>
  <c r="D277" i="52"/>
  <c r="G277" i="52"/>
  <c r="J277" i="52"/>
  <c r="D278" i="52"/>
  <c r="G278" i="52"/>
  <c r="J278" i="52"/>
  <c r="D279" i="52"/>
  <c r="G279" i="52"/>
  <c r="J279" i="52"/>
  <c r="D280" i="52"/>
  <c r="G280" i="52"/>
  <c r="J280" i="52"/>
  <c r="D281" i="52"/>
  <c r="G281" i="52"/>
  <c r="J281" i="52"/>
  <c r="D282" i="52"/>
  <c r="G282" i="52"/>
  <c r="J282" i="52"/>
  <c r="D283" i="52"/>
  <c r="G283" i="52"/>
  <c r="J283" i="52"/>
  <c r="D284" i="52"/>
  <c r="G284" i="52"/>
  <c r="J284" i="52"/>
  <c r="D285" i="52"/>
  <c r="G285" i="52"/>
  <c r="J285" i="52"/>
  <c r="D286" i="52"/>
  <c r="G286" i="52"/>
  <c r="J286" i="52"/>
  <c r="A137" i="62"/>
  <c r="A149" i="62" s="1"/>
  <c r="A161" i="62" s="1"/>
  <c r="A173" i="62" s="1"/>
  <c r="A185" i="62" s="1"/>
  <c r="A197" i="62" s="1"/>
  <c r="A209" i="62" s="1"/>
  <c r="A221" i="62" s="1"/>
  <c r="A233" i="62" s="1"/>
  <c r="A245" i="62" s="1"/>
  <c r="A138" i="62"/>
  <c r="A150" i="62" s="1"/>
  <c r="A162" i="62" s="1"/>
  <c r="A174" i="62" s="1"/>
  <c r="A186" i="62" s="1"/>
  <c r="A198" i="62" s="1"/>
  <c r="A210" i="62" s="1"/>
  <c r="A222" i="62" s="1"/>
  <c r="A234" i="62" s="1"/>
  <c r="A246" i="62" s="1"/>
  <c r="A139" i="62"/>
  <c r="A151" i="62" s="1"/>
  <c r="A163" i="62" s="1"/>
  <c r="A175" i="62" s="1"/>
  <c r="A187" i="62" s="1"/>
  <c r="A199" i="62" s="1"/>
  <c r="A211" i="62" s="1"/>
  <c r="A223" i="62" s="1"/>
  <c r="A235" i="62" s="1"/>
  <c r="A247" i="62" s="1"/>
  <c r="A140" i="62"/>
  <c r="A152" i="62" s="1"/>
  <c r="A164" i="62" s="1"/>
  <c r="A176" i="62" s="1"/>
  <c r="A188" i="62" s="1"/>
  <c r="A200" i="62" s="1"/>
  <c r="A212" i="62" s="1"/>
  <c r="A224" i="62" s="1"/>
  <c r="A236" i="62" s="1"/>
  <c r="A248" i="62" s="1"/>
  <c r="A141" i="62"/>
  <c r="A153" i="62" s="1"/>
  <c r="A165" i="62" s="1"/>
  <c r="A177" i="62" s="1"/>
  <c r="A189" i="62" s="1"/>
  <c r="A201" i="62" s="1"/>
  <c r="A213" i="62" s="1"/>
  <c r="A225" i="62" s="1"/>
  <c r="A237" i="62" s="1"/>
  <c r="A249" i="62" s="1"/>
  <c r="A131" i="62"/>
  <c r="A143" i="62" s="1"/>
  <c r="A155" i="62" s="1"/>
  <c r="A167" i="62" s="1"/>
  <c r="A179" i="62" s="1"/>
  <c r="A191" i="62" s="1"/>
  <c r="A203" i="62" s="1"/>
  <c r="A215" i="62" s="1"/>
  <c r="A227" i="62" s="1"/>
  <c r="A239" i="62" s="1"/>
  <c r="A132" i="62"/>
  <c r="A144" i="62" s="1"/>
  <c r="A156" i="62" s="1"/>
  <c r="A168" i="62" s="1"/>
  <c r="A180" i="62" s="1"/>
  <c r="A192" i="62" s="1"/>
  <c r="A204" i="62" s="1"/>
  <c r="A216" i="62" s="1"/>
  <c r="A228" i="62" s="1"/>
  <c r="A240" i="62" s="1"/>
  <c r="A133" i="62"/>
  <c r="A145" i="62" s="1"/>
  <c r="A157" i="62" s="1"/>
  <c r="A169" i="62" s="1"/>
  <c r="A181" i="62" s="1"/>
  <c r="A193" i="62" s="1"/>
  <c r="A205" i="62" s="1"/>
  <c r="A217" i="62" s="1"/>
  <c r="A229" i="62" s="1"/>
  <c r="A241" i="62" s="1"/>
  <c r="A134" i="62"/>
  <c r="A146" i="62" s="1"/>
  <c r="A158" i="62" s="1"/>
  <c r="A170" i="62" s="1"/>
  <c r="A182" i="62" s="1"/>
  <c r="A194" i="62" s="1"/>
  <c r="A206" i="62" s="1"/>
  <c r="A218" i="62" s="1"/>
  <c r="A230" i="62" s="1"/>
  <c r="A242" i="62" s="1"/>
  <c r="A135" i="62"/>
  <c r="A147" i="62" s="1"/>
  <c r="A159" i="62" s="1"/>
  <c r="A171" i="62" s="1"/>
  <c r="A183" i="62" s="1"/>
  <c r="A195" i="62" s="1"/>
  <c r="A207" i="62" s="1"/>
  <c r="A219" i="62" s="1"/>
  <c r="A231" i="62" s="1"/>
  <c r="A243" i="62" s="1"/>
  <c r="A136" i="62"/>
  <c r="A148" i="62" s="1"/>
  <c r="A160" i="62" s="1"/>
  <c r="A172" i="62" s="1"/>
  <c r="A184" i="62" s="1"/>
  <c r="A196" i="62" s="1"/>
  <c r="A208" i="62" s="1"/>
  <c r="A220" i="62" s="1"/>
  <c r="A232" i="62" s="1"/>
  <c r="A244" i="62" s="1"/>
  <c r="A130" i="62"/>
  <c r="A142" i="62" s="1"/>
  <c r="A154" i="62" s="1"/>
  <c r="A166" i="62" s="1"/>
  <c r="A178" i="62" s="1"/>
  <c r="A190" i="62" s="1"/>
  <c r="A202" i="62" s="1"/>
  <c r="A214" i="62" s="1"/>
  <c r="A226" i="62" s="1"/>
  <c r="A238" i="62" s="1"/>
  <c r="C308" i="59"/>
  <c r="C309" i="59"/>
  <c r="C301" i="59"/>
  <c r="C302" i="59"/>
  <c r="C303" i="59"/>
  <c r="C304" i="59"/>
  <c r="C305" i="59"/>
  <c r="C306" i="59"/>
  <c r="C307" i="59"/>
  <c r="C292" i="59"/>
  <c r="C293" i="59"/>
  <c r="C294" i="59"/>
  <c r="C295" i="59"/>
  <c r="C296" i="59"/>
  <c r="C297" i="59"/>
  <c r="C298" i="59"/>
  <c r="C299" i="59"/>
  <c r="C300" i="59"/>
  <c r="C281" i="59"/>
  <c r="C282" i="59"/>
  <c r="C283" i="59"/>
  <c r="C284" i="59"/>
  <c r="C285" i="59"/>
  <c r="C286" i="59"/>
  <c r="C287" i="59"/>
  <c r="C288" i="59"/>
  <c r="C289" i="59"/>
  <c r="C290" i="59"/>
  <c r="C291" i="59"/>
  <c r="C271" i="59"/>
  <c r="C272" i="59"/>
  <c r="C273" i="59"/>
  <c r="C274" i="59"/>
  <c r="C275" i="59"/>
  <c r="C276" i="59"/>
  <c r="C277" i="59"/>
  <c r="C278" i="59"/>
  <c r="C279" i="59"/>
  <c r="C280" i="59"/>
  <c r="C263" i="59"/>
  <c r="C264" i="59"/>
  <c r="C265" i="59"/>
  <c r="C266" i="59"/>
  <c r="C267" i="59"/>
  <c r="C268" i="59"/>
  <c r="C269" i="59"/>
  <c r="C270" i="59"/>
  <c r="C250" i="59"/>
  <c r="C251" i="59"/>
  <c r="C252" i="59"/>
  <c r="C253" i="59"/>
  <c r="C254" i="59"/>
  <c r="C255" i="59"/>
  <c r="C256" i="59"/>
  <c r="C257" i="59"/>
  <c r="C258" i="59"/>
  <c r="C259" i="59"/>
  <c r="B350" i="89"/>
  <c r="B351" i="89"/>
  <c r="B352" i="89"/>
  <c r="B353" i="89"/>
  <c r="B354" i="89"/>
  <c r="B355" i="89"/>
  <c r="B356" i="89"/>
  <c r="B357" i="89"/>
  <c r="B341" i="89"/>
  <c r="B342" i="89"/>
  <c r="B343" i="89"/>
  <c r="B344" i="89"/>
  <c r="B345" i="89"/>
  <c r="B347" i="89"/>
  <c r="B331" i="89"/>
  <c r="B335" i="89"/>
  <c r="B336" i="89"/>
  <c r="B337" i="89"/>
  <c r="B338" i="89"/>
  <c r="B339" i="89"/>
  <c r="B340" i="89"/>
  <c r="B323" i="89"/>
  <c r="B325" i="89"/>
  <c r="B326" i="89"/>
  <c r="B327" i="89"/>
  <c r="B328" i="89"/>
  <c r="B315" i="89"/>
  <c r="B316" i="89"/>
  <c r="B317" i="89"/>
  <c r="B318" i="89"/>
  <c r="B319" i="89"/>
  <c r="B320" i="89"/>
  <c r="B321" i="89"/>
  <c r="B307" i="89"/>
  <c r="B308" i="89"/>
  <c r="B309" i="89"/>
  <c r="B314" i="89"/>
  <c r="B300" i="89"/>
  <c r="B301" i="89"/>
  <c r="B302" i="89"/>
  <c r="B303" i="89"/>
  <c r="B304" i="89"/>
  <c r="B305" i="89"/>
  <c r="B306" i="89"/>
  <c r="A332" i="51"/>
  <c r="A344" i="51" s="1"/>
  <c r="A356" i="51" s="1"/>
  <c r="A368" i="51" s="1"/>
  <c r="A380" i="51" s="1"/>
  <c r="A392" i="51" s="1"/>
  <c r="A404" i="51" s="1"/>
  <c r="A416" i="51" s="1"/>
  <c r="A428" i="51" s="1"/>
  <c r="A440" i="51" s="1"/>
  <c r="A452" i="51" s="1"/>
  <c r="A464" i="51" s="1"/>
  <c r="A476" i="51" s="1"/>
  <c r="A488" i="51" s="1"/>
  <c r="A500" i="51" s="1"/>
  <c r="A333" i="51"/>
  <c r="A345" i="51" s="1"/>
  <c r="A357" i="51" s="1"/>
  <c r="A369" i="51" s="1"/>
  <c r="A381" i="51" s="1"/>
  <c r="A393" i="51" s="1"/>
  <c r="A405" i="51" s="1"/>
  <c r="A417" i="51" s="1"/>
  <c r="A429" i="51" s="1"/>
  <c r="A441" i="51" s="1"/>
  <c r="A453" i="51" s="1"/>
  <c r="A465" i="51" s="1"/>
  <c r="A477" i="51" s="1"/>
  <c r="A489" i="51" s="1"/>
  <c r="A501" i="51" s="1"/>
  <c r="A323" i="51"/>
  <c r="A335" i="51" s="1"/>
  <c r="A347" i="51" s="1"/>
  <c r="A359" i="51" s="1"/>
  <c r="A371" i="51" s="1"/>
  <c r="A383" i="51" s="1"/>
  <c r="A395" i="51" s="1"/>
  <c r="A407" i="51" s="1"/>
  <c r="A419" i="51" s="1"/>
  <c r="A431" i="51" s="1"/>
  <c r="A443" i="51" s="1"/>
  <c r="A455" i="51" s="1"/>
  <c r="A467" i="51" s="1"/>
  <c r="A479" i="51" s="1"/>
  <c r="A491" i="51" s="1"/>
  <c r="A324" i="51"/>
  <c r="A336" i="51" s="1"/>
  <c r="A348" i="51" s="1"/>
  <c r="A360" i="51" s="1"/>
  <c r="A372" i="51" s="1"/>
  <c r="A384" i="51" s="1"/>
  <c r="A396" i="51" s="1"/>
  <c r="A408" i="51" s="1"/>
  <c r="A420" i="51" s="1"/>
  <c r="A432" i="51" s="1"/>
  <c r="A444" i="51" s="1"/>
  <c r="A456" i="51" s="1"/>
  <c r="A468" i="51" s="1"/>
  <c r="A480" i="51" s="1"/>
  <c r="A492" i="51" s="1"/>
  <c r="A325" i="51"/>
  <c r="A337" i="51" s="1"/>
  <c r="A349" i="51" s="1"/>
  <c r="A361" i="51" s="1"/>
  <c r="A373" i="51" s="1"/>
  <c r="A385" i="51" s="1"/>
  <c r="A397" i="51" s="1"/>
  <c r="A409" i="51" s="1"/>
  <c r="A421" i="51" s="1"/>
  <c r="A433" i="51" s="1"/>
  <c r="A445" i="51" s="1"/>
  <c r="A457" i="51" s="1"/>
  <c r="A469" i="51" s="1"/>
  <c r="A481" i="51" s="1"/>
  <c r="A493" i="51" s="1"/>
  <c r="A326" i="51"/>
  <c r="A338" i="51" s="1"/>
  <c r="A350" i="51" s="1"/>
  <c r="A362" i="51" s="1"/>
  <c r="A374" i="51" s="1"/>
  <c r="A386" i="51" s="1"/>
  <c r="A398" i="51" s="1"/>
  <c r="A410" i="51" s="1"/>
  <c r="A422" i="51" s="1"/>
  <c r="A434" i="51" s="1"/>
  <c r="A446" i="51" s="1"/>
  <c r="A458" i="51" s="1"/>
  <c r="A470" i="51" s="1"/>
  <c r="A482" i="51" s="1"/>
  <c r="A494" i="51" s="1"/>
  <c r="A327" i="51"/>
  <c r="A339" i="51" s="1"/>
  <c r="A351" i="51" s="1"/>
  <c r="A363" i="51" s="1"/>
  <c r="A375" i="51" s="1"/>
  <c r="A387" i="51" s="1"/>
  <c r="A399" i="51" s="1"/>
  <c r="A411" i="51" s="1"/>
  <c r="A423" i="51" s="1"/>
  <c r="A435" i="51" s="1"/>
  <c r="A447" i="51" s="1"/>
  <c r="A459" i="51" s="1"/>
  <c r="A471" i="51" s="1"/>
  <c r="A483" i="51" s="1"/>
  <c r="A495" i="51" s="1"/>
  <c r="A328" i="51"/>
  <c r="A340" i="51" s="1"/>
  <c r="A352" i="51" s="1"/>
  <c r="A364" i="51" s="1"/>
  <c r="A376" i="51" s="1"/>
  <c r="A388" i="51" s="1"/>
  <c r="A400" i="51" s="1"/>
  <c r="A412" i="51" s="1"/>
  <c r="A424" i="51" s="1"/>
  <c r="A436" i="51" s="1"/>
  <c r="A448" i="51" s="1"/>
  <c r="A460" i="51" s="1"/>
  <c r="A472" i="51" s="1"/>
  <c r="A484" i="51" s="1"/>
  <c r="A496" i="51" s="1"/>
  <c r="A329" i="51"/>
  <c r="A341" i="51" s="1"/>
  <c r="A353" i="51" s="1"/>
  <c r="A365" i="51" s="1"/>
  <c r="A377" i="51" s="1"/>
  <c r="A389" i="51" s="1"/>
  <c r="A401" i="51" s="1"/>
  <c r="A413" i="51" s="1"/>
  <c r="A425" i="51" s="1"/>
  <c r="A437" i="51" s="1"/>
  <c r="A449" i="51" s="1"/>
  <c r="A461" i="51" s="1"/>
  <c r="A473" i="51" s="1"/>
  <c r="A485" i="51" s="1"/>
  <c r="A497" i="51" s="1"/>
  <c r="A330" i="51"/>
  <c r="A342" i="51" s="1"/>
  <c r="A354" i="51" s="1"/>
  <c r="A366" i="51" s="1"/>
  <c r="A378" i="51" s="1"/>
  <c r="A390" i="51" s="1"/>
  <c r="A402" i="51" s="1"/>
  <c r="A414" i="51" s="1"/>
  <c r="A426" i="51" s="1"/>
  <c r="A438" i="51" s="1"/>
  <c r="A450" i="51" s="1"/>
  <c r="A462" i="51" s="1"/>
  <c r="A474" i="51" s="1"/>
  <c r="A486" i="51" s="1"/>
  <c r="A498" i="51" s="1"/>
  <c r="A331" i="51"/>
  <c r="A343" i="51" s="1"/>
  <c r="A355" i="51" s="1"/>
  <c r="A367" i="51" s="1"/>
  <c r="A379" i="51" s="1"/>
  <c r="A391" i="51" s="1"/>
  <c r="A403" i="51" s="1"/>
  <c r="A415" i="51" s="1"/>
  <c r="A427" i="51" s="1"/>
  <c r="A439" i="51" s="1"/>
  <c r="A451" i="51" s="1"/>
  <c r="A463" i="51" s="1"/>
  <c r="A475" i="51" s="1"/>
  <c r="A487" i="51" s="1"/>
  <c r="A499" i="51" s="1"/>
  <c r="A322" i="51"/>
  <c r="A334" i="51" s="1"/>
  <c r="A346" i="51" s="1"/>
  <c r="A358" i="51" s="1"/>
  <c r="A370" i="51" s="1"/>
  <c r="A382" i="51" s="1"/>
  <c r="A394" i="51" s="1"/>
  <c r="A406" i="51" s="1"/>
  <c r="A418" i="51" s="1"/>
  <c r="A430" i="51" s="1"/>
  <c r="A442" i="51" s="1"/>
  <c r="A454" i="51" s="1"/>
  <c r="A466" i="51" s="1"/>
  <c r="A478" i="51" s="1"/>
  <c r="A490" i="51" s="1"/>
  <c r="A292" i="38"/>
  <c r="A304" i="38" s="1"/>
  <c r="A316" i="38" s="1"/>
  <c r="A328" i="38" s="1"/>
  <c r="A340" i="38" s="1"/>
  <c r="A352" i="38" s="1"/>
  <c r="A364" i="38" s="1"/>
  <c r="A376" i="38" s="1"/>
  <c r="A388" i="38" s="1"/>
  <c r="A400" i="38" s="1"/>
  <c r="A412" i="38" s="1"/>
  <c r="A424" i="38" s="1"/>
  <c r="A436" i="38" s="1"/>
  <c r="A448" i="38" s="1"/>
  <c r="A460" i="38" s="1"/>
  <c r="A293" i="38"/>
  <c r="A305" i="38" s="1"/>
  <c r="A317" i="38" s="1"/>
  <c r="A329" i="38" s="1"/>
  <c r="A341" i="38" s="1"/>
  <c r="A353" i="38" s="1"/>
  <c r="A365" i="38" s="1"/>
  <c r="A377" i="38" s="1"/>
  <c r="A389" i="38" s="1"/>
  <c r="A401" i="38" s="1"/>
  <c r="A413" i="38" s="1"/>
  <c r="A425" i="38" s="1"/>
  <c r="A437" i="38" s="1"/>
  <c r="A449" i="38" s="1"/>
  <c r="A461" i="38" s="1"/>
  <c r="A294" i="38"/>
  <c r="A306" i="38" s="1"/>
  <c r="A318" i="38" s="1"/>
  <c r="A330" i="38" s="1"/>
  <c r="A342" i="38" s="1"/>
  <c r="A354" i="38" s="1"/>
  <c r="A366" i="38" s="1"/>
  <c r="A378" i="38" s="1"/>
  <c r="A390" i="38" s="1"/>
  <c r="A402" i="38" s="1"/>
  <c r="A414" i="38" s="1"/>
  <c r="A426" i="38" s="1"/>
  <c r="A438" i="38" s="1"/>
  <c r="A450" i="38" s="1"/>
  <c r="A462" i="38" s="1"/>
  <c r="A295" i="38"/>
  <c r="A307" i="38" s="1"/>
  <c r="A319" i="38" s="1"/>
  <c r="A331" i="38" s="1"/>
  <c r="A343" i="38" s="1"/>
  <c r="A355" i="38" s="1"/>
  <c r="A367" i="38" s="1"/>
  <c r="A379" i="38" s="1"/>
  <c r="A391" i="38" s="1"/>
  <c r="A403" i="38" s="1"/>
  <c r="A415" i="38" s="1"/>
  <c r="A427" i="38" s="1"/>
  <c r="A439" i="38" s="1"/>
  <c r="A451" i="38" s="1"/>
  <c r="A463" i="38" s="1"/>
  <c r="A296" i="38"/>
  <c r="A308" i="38" s="1"/>
  <c r="A320" i="38" s="1"/>
  <c r="A332" i="38" s="1"/>
  <c r="A344" i="38" s="1"/>
  <c r="A356" i="38" s="1"/>
  <c r="A368" i="38" s="1"/>
  <c r="A380" i="38" s="1"/>
  <c r="A392" i="38" s="1"/>
  <c r="A404" i="38" s="1"/>
  <c r="A416" i="38" s="1"/>
  <c r="A428" i="38" s="1"/>
  <c r="A440" i="38" s="1"/>
  <c r="A452" i="38" s="1"/>
  <c r="A464" i="38" s="1"/>
  <c r="A297" i="38"/>
  <c r="A309" i="38" s="1"/>
  <c r="A321" i="38" s="1"/>
  <c r="A333" i="38" s="1"/>
  <c r="A345" i="38" s="1"/>
  <c r="A357" i="38" s="1"/>
  <c r="A369" i="38" s="1"/>
  <c r="A381" i="38" s="1"/>
  <c r="A393" i="38" s="1"/>
  <c r="A405" i="38" s="1"/>
  <c r="A417" i="38" s="1"/>
  <c r="A429" i="38" s="1"/>
  <c r="A441" i="38" s="1"/>
  <c r="A453" i="38" s="1"/>
  <c r="A465" i="38" s="1"/>
  <c r="A287" i="38"/>
  <c r="A299" i="38" s="1"/>
  <c r="A311" i="38" s="1"/>
  <c r="A323" i="38" s="1"/>
  <c r="A335" i="38" s="1"/>
  <c r="A347" i="38" s="1"/>
  <c r="A359" i="38" s="1"/>
  <c r="A371" i="38" s="1"/>
  <c r="A383" i="38" s="1"/>
  <c r="A395" i="38" s="1"/>
  <c r="A407" i="38" s="1"/>
  <c r="A419" i="38" s="1"/>
  <c r="A431" i="38" s="1"/>
  <c r="A443" i="38" s="1"/>
  <c r="A455" i="38" s="1"/>
  <c r="A288" i="38"/>
  <c r="A300" i="38" s="1"/>
  <c r="A312" i="38" s="1"/>
  <c r="A324" i="38" s="1"/>
  <c r="A336" i="38" s="1"/>
  <c r="A348" i="38" s="1"/>
  <c r="A360" i="38" s="1"/>
  <c r="A372" i="38" s="1"/>
  <c r="A384" i="38" s="1"/>
  <c r="A396" i="38" s="1"/>
  <c r="A408" i="38" s="1"/>
  <c r="A420" i="38" s="1"/>
  <c r="A432" i="38" s="1"/>
  <c r="A444" i="38" s="1"/>
  <c r="A456" i="38" s="1"/>
  <c r="A289" i="38"/>
  <c r="A301" i="38" s="1"/>
  <c r="A313" i="38" s="1"/>
  <c r="A325" i="38" s="1"/>
  <c r="A337" i="38" s="1"/>
  <c r="A349" i="38" s="1"/>
  <c r="A361" i="38" s="1"/>
  <c r="A373" i="38" s="1"/>
  <c r="A385" i="38" s="1"/>
  <c r="A397" i="38" s="1"/>
  <c r="A409" i="38" s="1"/>
  <c r="A421" i="38" s="1"/>
  <c r="A433" i="38" s="1"/>
  <c r="A445" i="38" s="1"/>
  <c r="A457" i="38" s="1"/>
  <c r="A290" i="38"/>
  <c r="A302" i="38" s="1"/>
  <c r="A314" i="38" s="1"/>
  <c r="A326" i="38" s="1"/>
  <c r="A338" i="38" s="1"/>
  <c r="A350" i="38" s="1"/>
  <c r="A362" i="38" s="1"/>
  <c r="A374" i="38" s="1"/>
  <c r="A386" i="38" s="1"/>
  <c r="A398" i="38" s="1"/>
  <c r="A410" i="38" s="1"/>
  <c r="A422" i="38" s="1"/>
  <c r="A434" i="38" s="1"/>
  <c r="A446" i="38" s="1"/>
  <c r="A458" i="38" s="1"/>
  <c r="A291" i="38"/>
  <c r="A303" i="38" s="1"/>
  <c r="A315" i="38" s="1"/>
  <c r="A327" i="38" s="1"/>
  <c r="A339" i="38" s="1"/>
  <c r="A351" i="38" s="1"/>
  <c r="A363" i="38" s="1"/>
  <c r="A375" i="38" s="1"/>
  <c r="A387" i="38" s="1"/>
  <c r="A399" i="38" s="1"/>
  <c r="A411" i="38" s="1"/>
  <c r="A423" i="38" s="1"/>
  <c r="A435" i="38" s="1"/>
  <c r="A447" i="38" s="1"/>
  <c r="A459" i="38" s="1"/>
  <c r="A286" i="38"/>
  <c r="A298" i="38" s="1"/>
  <c r="A310" i="38" s="1"/>
  <c r="A322" i="38" s="1"/>
  <c r="A334" i="38" s="1"/>
  <c r="A346" i="38" s="1"/>
  <c r="A358" i="38" s="1"/>
  <c r="A370" i="38" s="1"/>
  <c r="A382" i="38" s="1"/>
  <c r="A394" i="38" s="1"/>
  <c r="A406" i="38" s="1"/>
  <c r="A418" i="38" s="1"/>
  <c r="A430" i="38" s="1"/>
  <c r="A442" i="38" s="1"/>
  <c r="A454" i="38" s="1"/>
  <c r="H331" i="4"/>
  <c r="K331" i="4"/>
  <c r="H332" i="4"/>
  <c r="K332" i="4"/>
  <c r="H333" i="4"/>
  <c r="K333" i="4"/>
  <c r="H324" i="4"/>
  <c r="K324" i="4"/>
  <c r="H325" i="4"/>
  <c r="K325" i="4"/>
  <c r="K326" i="4"/>
  <c r="H327" i="4"/>
  <c r="K327" i="4"/>
  <c r="H328" i="4"/>
  <c r="K328" i="4"/>
  <c r="H329" i="4"/>
  <c r="K329" i="4"/>
  <c r="H330" i="4"/>
  <c r="K330" i="4"/>
  <c r="H313" i="4"/>
  <c r="K313" i="4"/>
  <c r="H314" i="4"/>
  <c r="K314" i="4"/>
  <c r="H315" i="4"/>
  <c r="K315" i="4"/>
  <c r="H316" i="4"/>
  <c r="K316" i="4"/>
  <c r="H317" i="4"/>
  <c r="K317" i="4"/>
  <c r="H318" i="4"/>
  <c r="K318" i="4"/>
  <c r="H319" i="4"/>
  <c r="K319" i="4"/>
  <c r="H320" i="4"/>
  <c r="K320" i="4"/>
  <c r="H321" i="4"/>
  <c r="K321" i="4"/>
  <c r="H322" i="4"/>
  <c r="K322" i="4"/>
  <c r="H323" i="4"/>
  <c r="K323" i="4"/>
  <c r="H306" i="4"/>
  <c r="K306" i="4"/>
  <c r="H307" i="4"/>
  <c r="K307" i="4"/>
  <c r="K308" i="4"/>
  <c r="H309" i="4"/>
  <c r="K309" i="4"/>
  <c r="H310" i="4"/>
  <c r="K310" i="4"/>
  <c r="H311" i="4"/>
  <c r="K311" i="4"/>
  <c r="H312" i="4"/>
  <c r="K312" i="4"/>
  <c r="H298" i="4"/>
  <c r="K298" i="4"/>
  <c r="H299" i="4"/>
  <c r="K299" i="4"/>
  <c r="H300" i="4"/>
  <c r="K300" i="4"/>
  <c r="H301" i="4"/>
  <c r="K301" i="4"/>
  <c r="H302" i="4"/>
  <c r="K302" i="4"/>
  <c r="H303" i="4"/>
  <c r="K303" i="4"/>
  <c r="H305" i="4"/>
  <c r="K305" i="4"/>
  <c r="H285" i="4"/>
  <c r="K285" i="4"/>
  <c r="H286" i="4"/>
  <c r="K286" i="4"/>
  <c r="H287" i="4"/>
  <c r="K287" i="4"/>
  <c r="H288" i="4"/>
  <c r="K288" i="4"/>
  <c r="H289" i="4"/>
  <c r="K289" i="4"/>
  <c r="H290" i="4"/>
  <c r="K290" i="4"/>
  <c r="H291" i="4"/>
  <c r="K291" i="4"/>
  <c r="H292" i="4"/>
  <c r="K292" i="4"/>
  <c r="H293" i="4"/>
  <c r="K293" i="4"/>
  <c r="H294" i="4"/>
  <c r="K294" i="4"/>
  <c r="H295" i="4"/>
  <c r="H296" i="4"/>
  <c r="K296" i="4"/>
  <c r="H297" i="4"/>
  <c r="K297" i="4"/>
  <c r="H274" i="4"/>
  <c r="K274" i="4"/>
  <c r="H275" i="4"/>
  <c r="K275" i="4"/>
  <c r="H276" i="4"/>
  <c r="K276" i="4"/>
  <c r="H277" i="4"/>
  <c r="K277" i="4"/>
  <c r="H278" i="4"/>
  <c r="K278" i="4"/>
  <c r="H279" i="4"/>
  <c r="K279" i="4"/>
  <c r="H280" i="4"/>
  <c r="K280" i="4"/>
  <c r="H281" i="4"/>
  <c r="K281" i="4"/>
  <c r="H282" i="4"/>
  <c r="K282" i="4"/>
  <c r="H283" i="4"/>
  <c r="K283" i="4"/>
  <c r="H284" i="4"/>
  <c r="K284" i="4"/>
  <c r="H342" i="17"/>
  <c r="H343" i="17"/>
  <c r="H344" i="17"/>
  <c r="H345" i="17"/>
  <c r="H333" i="17"/>
  <c r="H334" i="17"/>
  <c r="H335" i="17"/>
  <c r="H336" i="17"/>
  <c r="H337" i="17"/>
  <c r="H338" i="17"/>
  <c r="H339" i="17"/>
  <c r="H340" i="17"/>
  <c r="H341" i="17"/>
  <c r="H320" i="17"/>
  <c r="H321" i="17"/>
  <c r="H324" i="17"/>
  <c r="H325" i="17"/>
  <c r="H326" i="17"/>
  <c r="H327" i="17"/>
  <c r="H328" i="17"/>
  <c r="H329" i="17"/>
  <c r="H330" i="17"/>
  <c r="H331" i="17"/>
  <c r="H310" i="17"/>
  <c r="H311" i="17"/>
  <c r="H312" i="17"/>
  <c r="H313" i="17"/>
  <c r="H314" i="17"/>
  <c r="H315" i="17"/>
  <c r="H316" i="17"/>
  <c r="H317" i="17"/>
  <c r="H318" i="17"/>
  <c r="H319" i="17"/>
  <c r="H299" i="17"/>
  <c r="H300" i="17"/>
  <c r="H301" i="17"/>
  <c r="H302" i="17"/>
  <c r="H303" i="17"/>
  <c r="H304" i="17"/>
  <c r="H305" i="17"/>
  <c r="H306" i="17"/>
  <c r="H308" i="17"/>
  <c r="H309" i="17"/>
  <c r="H286" i="17"/>
  <c r="H287" i="17"/>
  <c r="H288" i="17"/>
  <c r="H289" i="17"/>
  <c r="H290" i="17"/>
  <c r="H291" i="17"/>
  <c r="H292" i="17"/>
  <c r="H293" i="17"/>
  <c r="H294" i="17"/>
  <c r="H295" i="17"/>
  <c r="H296" i="17"/>
  <c r="H297" i="17"/>
  <c r="H298" i="17"/>
  <c r="C245" i="3"/>
  <c r="C246" i="3"/>
  <c r="C247" i="3"/>
  <c r="C248" i="3"/>
  <c r="C249" i="3"/>
  <c r="C238" i="3"/>
  <c r="C239" i="3"/>
  <c r="C240" i="3"/>
  <c r="C241" i="3"/>
  <c r="C243" i="3"/>
  <c r="C244" i="3"/>
  <c r="A279" i="45"/>
  <c r="A291" i="45" s="1"/>
  <c r="A303" i="45" s="1"/>
  <c r="A315" i="45" s="1"/>
  <c r="A327" i="45" s="1"/>
  <c r="A339" i="45" s="1"/>
  <c r="A351" i="45" s="1"/>
  <c r="A363" i="45" s="1"/>
  <c r="A375" i="45" s="1"/>
  <c r="A387" i="45" s="1"/>
  <c r="A399" i="45" s="1"/>
  <c r="A411" i="45" s="1"/>
  <c r="A423" i="45" s="1"/>
  <c r="A435" i="45" s="1"/>
  <c r="A447" i="45" s="1"/>
  <c r="A281" i="45"/>
  <c r="A293" i="45" s="1"/>
  <c r="A305" i="45" s="1"/>
  <c r="A317" i="45" s="1"/>
  <c r="A329" i="45" s="1"/>
  <c r="A341" i="45" s="1"/>
  <c r="A353" i="45" s="1"/>
  <c r="A365" i="45" s="1"/>
  <c r="A377" i="45" s="1"/>
  <c r="A389" i="45" s="1"/>
  <c r="A401" i="45" s="1"/>
  <c r="A413" i="45" s="1"/>
  <c r="A425" i="45" s="1"/>
  <c r="A437" i="45" s="1"/>
  <c r="A449" i="45" s="1"/>
  <c r="A275" i="45"/>
  <c r="A287" i="45" s="1"/>
  <c r="A299" i="45" s="1"/>
  <c r="A311" i="45" s="1"/>
  <c r="A323" i="45" s="1"/>
  <c r="A335" i="45" s="1"/>
  <c r="A347" i="45" s="1"/>
  <c r="A359" i="45" s="1"/>
  <c r="A371" i="45" s="1"/>
  <c r="A383" i="45" s="1"/>
  <c r="A395" i="45" s="1"/>
  <c r="A407" i="45" s="1"/>
  <c r="A419" i="45" s="1"/>
  <c r="A431" i="45" s="1"/>
  <c r="A443" i="45" s="1"/>
  <c r="A276" i="45"/>
  <c r="A288" i="45" s="1"/>
  <c r="A300" i="45" s="1"/>
  <c r="A312" i="45" s="1"/>
  <c r="A324" i="45" s="1"/>
  <c r="A336" i="45" s="1"/>
  <c r="A348" i="45" s="1"/>
  <c r="A360" i="45" s="1"/>
  <c r="A372" i="45" s="1"/>
  <c r="A384" i="45" s="1"/>
  <c r="A396" i="45" s="1"/>
  <c r="A408" i="45" s="1"/>
  <c r="A420" i="45" s="1"/>
  <c r="A432" i="45" s="1"/>
  <c r="A444" i="45" s="1"/>
  <c r="A277" i="45"/>
  <c r="A289" i="45" s="1"/>
  <c r="A301" i="45" s="1"/>
  <c r="A313" i="45" s="1"/>
  <c r="A325" i="45" s="1"/>
  <c r="A337" i="45" s="1"/>
  <c r="A349" i="45" s="1"/>
  <c r="A361" i="45" s="1"/>
  <c r="A373" i="45" s="1"/>
  <c r="A385" i="45" s="1"/>
  <c r="A397" i="45" s="1"/>
  <c r="A409" i="45" s="1"/>
  <c r="A421" i="45" s="1"/>
  <c r="A433" i="45" s="1"/>
  <c r="A445" i="45" s="1"/>
  <c r="A278" i="45"/>
  <c r="A290" i="45" s="1"/>
  <c r="A302" i="45" s="1"/>
  <c r="A314" i="45" s="1"/>
  <c r="A326" i="45" s="1"/>
  <c r="A338" i="45" s="1"/>
  <c r="A350" i="45" s="1"/>
  <c r="A362" i="45" s="1"/>
  <c r="A374" i="45" s="1"/>
  <c r="A386" i="45" s="1"/>
  <c r="A398" i="45" s="1"/>
  <c r="A410" i="45" s="1"/>
  <c r="A422" i="45" s="1"/>
  <c r="A434" i="45" s="1"/>
  <c r="A446" i="45" s="1"/>
  <c r="A280" i="45"/>
  <c r="A292" i="45" s="1"/>
  <c r="A304" i="45" s="1"/>
  <c r="A316" i="45" s="1"/>
  <c r="A328" i="45" s="1"/>
  <c r="A340" i="45" s="1"/>
  <c r="A352" i="45" s="1"/>
  <c r="A364" i="45" s="1"/>
  <c r="A376" i="45" s="1"/>
  <c r="A388" i="45" s="1"/>
  <c r="A400" i="45" s="1"/>
  <c r="A412" i="45" s="1"/>
  <c r="A424" i="45" s="1"/>
  <c r="A436" i="45" s="1"/>
  <c r="A448" i="45" s="1"/>
  <c r="A282" i="45"/>
  <c r="A294" i="45" s="1"/>
  <c r="A306" i="45" s="1"/>
  <c r="A318" i="45" s="1"/>
  <c r="A330" i="45" s="1"/>
  <c r="A342" i="45" s="1"/>
  <c r="A354" i="45" s="1"/>
  <c r="A366" i="45" s="1"/>
  <c r="A378" i="45" s="1"/>
  <c r="A390" i="45" s="1"/>
  <c r="A402" i="45" s="1"/>
  <c r="A414" i="45" s="1"/>
  <c r="A426" i="45" s="1"/>
  <c r="A438" i="45" s="1"/>
  <c r="A450" i="45" s="1"/>
  <c r="A283" i="45"/>
  <c r="A295" i="45" s="1"/>
  <c r="A307" i="45" s="1"/>
  <c r="A319" i="45" s="1"/>
  <c r="A331" i="45" s="1"/>
  <c r="A343" i="45" s="1"/>
  <c r="A355" i="45" s="1"/>
  <c r="A367" i="45" s="1"/>
  <c r="A379" i="45" s="1"/>
  <c r="A391" i="45" s="1"/>
  <c r="A403" i="45" s="1"/>
  <c r="A415" i="45" s="1"/>
  <c r="A427" i="45" s="1"/>
  <c r="A439" i="45" s="1"/>
  <c r="A451" i="45" s="1"/>
  <c r="A284" i="45"/>
  <c r="A296" i="45" s="1"/>
  <c r="A308" i="45" s="1"/>
  <c r="A320" i="45" s="1"/>
  <c r="A332" i="45" s="1"/>
  <c r="A344" i="45" s="1"/>
  <c r="A356" i="45" s="1"/>
  <c r="A368" i="45" s="1"/>
  <c r="A380" i="45" s="1"/>
  <c r="A392" i="45" s="1"/>
  <c r="A404" i="45" s="1"/>
  <c r="A416" i="45" s="1"/>
  <c r="A428" i="45" s="1"/>
  <c r="A440" i="45" s="1"/>
  <c r="A452" i="45" s="1"/>
  <c r="A285" i="45"/>
  <c r="A297" i="45" s="1"/>
  <c r="A309" i="45" s="1"/>
  <c r="A321" i="45" s="1"/>
  <c r="A333" i="45" s="1"/>
  <c r="A345" i="45" s="1"/>
  <c r="A357" i="45" s="1"/>
  <c r="A369" i="45" s="1"/>
  <c r="A381" i="45" s="1"/>
  <c r="A393" i="45" s="1"/>
  <c r="A405" i="45" s="1"/>
  <c r="A417" i="45" s="1"/>
  <c r="A429" i="45" s="1"/>
  <c r="A441" i="45" s="1"/>
  <c r="A453" i="45" s="1"/>
  <c r="A274" i="45"/>
  <c r="A286" i="45" s="1"/>
  <c r="A298" i="45" s="1"/>
  <c r="A310" i="45" s="1"/>
  <c r="A322" i="45" s="1"/>
  <c r="A334" i="45" s="1"/>
  <c r="A346" i="45" s="1"/>
  <c r="A358" i="45" s="1"/>
  <c r="A370" i="45" s="1"/>
  <c r="A382" i="45" s="1"/>
  <c r="A394" i="45" s="1"/>
  <c r="A406" i="45" s="1"/>
  <c r="A418" i="45" s="1"/>
  <c r="A430" i="45" s="1"/>
  <c r="A442" i="45" s="1"/>
  <c r="R212" i="3"/>
  <c r="E297" i="69"/>
  <c r="G297" i="69"/>
  <c r="J297" i="69"/>
  <c r="F99" i="49"/>
  <c r="E99" i="49" s="1"/>
  <c r="C99" i="49"/>
  <c r="B99" i="49" s="1"/>
  <c r="C98" i="49"/>
  <c r="B98" i="49" s="1"/>
  <c r="F98" i="49"/>
  <c r="E98" i="49" s="1"/>
  <c r="J99" i="49"/>
  <c r="I99" i="49" s="1"/>
  <c r="M99" i="49"/>
  <c r="L99" i="49" s="1"/>
  <c r="S209" i="3"/>
  <c r="R209" i="3"/>
  <c r="C209" i="3"/>
  <c r="S208" i="3"/>
  <c r="R208" i="3"/>
  <c r="C208" i="3"/>
  <c r="M98" i="49"/>
  <c r="L98" i="49" s="1"/>
  <c r="J98" i="49"/>
  <c r="I98" i="49" s="1"/>
  <c r="G36" i="53"/>
  <c r="B262" i="89"/>
  <c r="B261" i="89"/>
  <c r="D7" i="95"/>
  <c r="F7" i="95"/>
  <c r="H7" i="95"/>
  <c r="J7" i="95"/>
  <c r="L7" i="95"/>
  <c r="Q7" i="95"/>
  <c r="T7" i="95"/>
  <c r="P10" i="95"/>
  <c r="S10" i="95"/>
  <c r="U10" i="95"/>
  <c r="V10" i="95"/>
  <c r="O11" i="95"/>
  <c r="P11" i="95"/>
  <c r="S11" i="95"/>
  <c r="U11" i="95"/>
  <c r="V11" i="95"/>
  <c r="O12" i="95"/>
  <c r="P12" i="95"/>
  <c r="S12" i="95"/>
  <c r="U12" i="95"/>
  <c r="V12" i="95"/>
  <c r="O13" i="95"/>
  <c r="P13" i="95"/>
  <c r="S13" i="95"/>
  <c r="U13" i="95"/>
  <c r="V13" i="95"/>
  <c r="P14" i="95"/>
  <c r="U14" i="95"/>
  <c r="O15" i="95"/>
  <c r="P15" i="95"/>
  <c r="V15" i="95"/>
  <c r="O16" i="95"/>
  <c r="P16" i="95"/>
  <c r="S16" i="95"/>
  <c r="U16" i="95"/>
  <c r="V16" i="95"/>
  <c r="O17" i="95"/>
  <c r="P17" i="95"/>
  <c r="S17" i="95"/>
  <c r="U17" i="95"/>
  <c r="V17" i="95"/>
  <c r="O18" i="95"/>
  <c r="P18" i="95"/>
  <c r="S18" i="95"/>
  <c r="U18" i="95"/>
  <c r="V18" i="95"/>
  <c r="O19" i="95"/>
  <c r="P19" i="95"/>
  <c r="S19" i="95"/>
  <c r="U19" i="95"/>
  <c r="V19" i="95"/>
  <c r="O20" i="95"/>
  <c r="P20" i="95"/>
  <c r="S20" i="95"/>
  <c r="U20" i="95"/>
  <c r="V20" i="95"/>
  <c r="P21" i="95"/>
  <c r="S21" i="95"/>
  <c r="U21" i="95"/>
  <c r="V21" i="95"/>
  <c r="P22" i="95"/>
  <c r="V22" i="95"/>
  <c r="V23" i="95"/>
  <c r="J97" i="49"/>
  <c r="I97" i="49" s="1"/>
  <c r="M97" i="49"/>
  <c r="L97" i="49" s="1"/>
  <c r="J96" i="49"/>
  <c r="I96" i="49" s="1"/>
  <c r="M96" i="49"/>
  <c r="L96" i="49" s="1"/>
  <c r="J95" i="49"/>
  <c r="I95" i="49" s="1"/>
  <c r="M95" i="49"/>
  <c r="L95" i="49" s="1"/>
  <c r="J94" i="49"/>
  <c r="I94" i="49" s="1"/>
  <c r="M94" i="49"/>
  <c r="L94" i="49" s="1"/>
  <c r="C97" i="49"/>
  <c r="B97" i="49" s="1"/>
  <c r="F97" i="49"/>
  <c r="E97" i="49" s="1"/>
  <c r="C96" i="49"/>
  <c r="B96" i="49" s="1"/>
  <c r="F96" i="49"/>
  <c r="E96" i="49" s="1"/>
  <c r="C95" i="49"/>
  <c r="B95" i="49" s="1"/>
  <c r="F95" i="49"/>
  <c r="E95" i="49" s="1"/>
  <c r="F94" i="49"/>
  <c r="E94" i="49" s="1"/>
  <c r="C94" i="49"/>
  <c r="B94" i="49" s="1"/>
  <c r="B249" i="89"/>
  <c r="B251" i="89"/>
  <c r="C93" i="49"/>
  <c r="B93" i="49" s="1"/>
  <c r="F93" i="49"/>
  <c r="E93" i="49" s="1"/>
  <c r="J93" i="49"/>
  <c r="I93" i="49" s="1"/>
  <c r="M93" i="49"/>
  <c r="L93" i="49" s="1"/>
  <c r="C92" i="49"/>
  <c r="B92" i="49" s="1"/>
  <c r="F92" i="49"/>
  <c r="E92" i="49" s="1"/>
  <c r="C91" i="49"/>
  <c r="B91" i="49" s="1"/>
  <c r="F91" i="49"/>
  <c r="E91" i="49" s="1"/>
  <c r="C90" i="49"/>
  <c r="B90" i="49" s="1"/>
  <c r="F90" i="49"/>
  <c r="E90" i="49" s="1"/>
  <c r="J92" i="49"/>
  <c r="I92" i="49" s="1"/>
  <c r="M92" i="49"/>
  <c r="L92" i="49" s="1"/>
  <c r="J90" i="49"/>
  <c r="I90" i="49" s="1"/>
  <c r="M90" i="49"/>
  <c r="L90" i="49" s="1"/>
  <c r="B248" i="89"/>
  <c r="J91" i="49"/>
  <c r="I91" i="49" s="1"/>
  <c r="M91" i="49"/>
  <c r="L91" i="49" s="1"/>
  <c r="G51" i="53"/>
  <c r="G80" i="53"/>
  <c r="G43" i="53"/>
  <c r="G56" i="53"/>
  <c r="G70" i="53"/>
  <c r="G52" i="53"/>
  <c r="G59" i="53"/>
  <c r="G73" i="53"/>
  <c r="H231" i="17"/>
  <c r="F217" i="4"/>
  <c r="H217" i="4" s="1"/>
  <c r="F216" i="4"/>
  <c r="H216" i="4" s="1"/>
  <c r="H10" i="4"/>
  <c r="K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3" i="4"/>
  <c r="K195" i="4"/>
  <c r="K196" i="4"/>
  <c r="K197" i="4"/>
  <c r="K97" i="4"/>
  <c r="K98" i="4"/>
  <c r="K99" i="4"/>
  <c r="K211" i="4"/>
  <c r="K212" i="4"/>
  <c r="K213" i="4"/>
  <c r="K172" i="4"/>
  <c r="K173" i="4"/>
  <c r="K174" i="4"/>
  <c r="K114" i="4"/>
  <c r="K115" i="4"/>
  <c r="K116" i="4"/>
  <c r="K11" i="4"/>
  <c r="K12" i="4"/>
  <c r="K13" i="4"/>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100" i="4"/>
  <c r="K101" i="4"/>
  <c r="K102" i="4"/>
  <c r="K103" i="4"/>
  <c r="K104" i="4"/>
  <c r="K105" i="4"/>
  <c r="K106" i="4"/>
  <c r="K107" i="4"/>
  <c r="K108" i="4"/>
  <c r="K109" i="4"/>
  <c r="K110" i="4"/>
  <c r="K111" i="4"/>
  <c r="K112" i="4"/>
  <c r="K113"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5" i="4"/>
  <c r="K176" i="4"/>
  <c r="K177" i="4"/>
  <c r="K178" i="4"/>
  <c r="K179" i="4"/>
  <c r="K180" i="4"/>
  <c r="K181" i="4"/>
  <c r="K182" i="4"/>
  <c r="K183" i="4"/>
  <c r="K184" i="4"/>
  <c r="K185" i="4"/>
  <c r="K186" i="4"/>
  <c r="K187" i="4"/>
  <c r="K188" i="4"/>
  <c r="K189" i="4"/>
  <c r="K190" i="4"/>
  <c r="K191" i="4"/>
  <c r="K192" i="4"/>
  <c r="K193" i="4"/>
  <c r="K194" i="4"/>
  <c r="K198" i="4"/>
  <c r="K199" i="4"/>
  <c r="K200" i="4"/>
  <c r="K201" i="4"/>
  <c r="K202" i="4"/>
  <c r="K203" i="4"/>
  <c r="K204" i="4"/>
  <c r="K205" i="4"/>
  <c r="K206" i="4"/>
  <c r="K207" i="4"/>
  <c r="K208" i="4"/>
  <c r="K209" i="4"/>
  <c r="K210" i="4"/>
  <c r="K214" i="4"/>
  <c r="K216" i="4"/>
  <c r="K217" i="4"/>
  <c r="K218" i="4"/>
  <c r="K215" i="4"/>
  <c r="K238" i="4"/>
  <c r="K237" i="4"/>
  <c r="K235" i="4"/>
  <c r="K234" i="4"/>
  <c r="K233" i="4"/>
  <c r="K232" i="4"/>
  <c r="K219" i="4"/>
  <c r="K220" i="4"/>
  <c r="K221" i="4"/>
  <c r="K222" i="4"/>
  <c r="K223" i="4"/>
  <c r="K224" i="4"/>
  <c r="K225" i="4"/>
  <c r="K226" i="4"/>
  <c r="K227" i="4"/>
  <c r="K228" i="4"/>
  <c r="K229" i="4"/>
  <c r="K230" i="4"/>
  <c r="K231" i="4"/>
  <c r="K236" i="4"/>
  <c r="K239" i="4"/>
  <c r="K240" i="4"/>
  <c r="K241" i="4"/>
  <c r="K242" i="4"/>
  <c r="K243" i="4"/>
  <c r="K244" i="4"/>
  <c r="K245"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B237" i="89"/>
  <c r="A178" i="91"/>
  <c r="A190" i="91" s="1"/>
  <c r="A202" i="91" s="1"/>
  <c r="A214" i="91" s="1"/>
  <c r="A226" i="91" s="1"/>
  <c r="A238" i="91" s="1"/>
  <c r="A250" i="91" s="1"/>
  <c r="A262" i="91" s="1"/>
  <c r="A274" i="91" s="1"/>
  <c r="A286" i="91" s="1"/>
  <c r="A298" i="91" s="1"/>
  <c r="A310" i="91" s="1"/>
  <c r="A322" i="91" s="1"/>
  <c r="A334" i="91" s="1"/>
  <c r="A346" i="91" s="1"/>
  <c r="A358" i="91" s="1"/>
  <c r="A370" i="91" s="1"/>
  <c r="A382" i="91" s="1"/>
  <c r="A394" i="91" s="1"/>
  <c r="A406" i="91" s="1"/>
  <c r="A418" i="91" s="1"/>
  <c r="A430" i="91" s="1"/>
  <c r="A442" i="91" s="1"/>
  <c r="A179" i="91"/>
  <c r="A191" i="91" s="1"/>
  <c r="A203" i="91" s="1"/>
  <c r="A215" i="91" s="1"/>
  <c r="A227" i="91" s="1"/>
  <c r="A239" i="91" s="1"/>
  <c r="A251" i="91" s="1"/>
  <c r="A263" i="91" s="1"/>
  <c r="A275" i="91" s="1"/>
  <c r="A287" i="91" s="1"/>
  <c r="A299" i="91" s="1"/>
  <c r="A311" i="91" s="1"/>
  <c r="A323" i="91" s="1"/>
  <c r="A335" i="91" s="1"/>
  <c r="A347" i="91" s="1"/>
  <c r="A359" i="91" s="1"/>
  <c r="A371" i="91" s="1"/>
  <c r="A383" i="91" s="1"/>
  <c r="A395" i="91" s="1"/>
  <c r="A407" i="91" s="1"/>
  <c r="A419" i="91" s="1"/>
  <c r="A431" i="91" s="1"/>
  <c r="A443" i="91" s="1"/>
  <c r="A180" i="91"/>
  <c r="A192" i="91" s="1"/>
  <c r="A204" i="91" s="1"/>
  <c r="A216" i="91" s="1"/>
  <c r="A228" i="91" s="1"/>
  <c r="A240" i="91" s="1"/>
  <c r="A252" i="91" s="1"/>
  <c r="A264" i="91" s="1"/>
  <c r="A276" i="91" s="1"/>
  <c r="A288" i="91" s="1"/>
  <c r="A300" i="91" s="1"/>
  <c r="A312" i="91" s="1"/>
  <c r="A324" i="91" s="1"/>
  <c r="A336" i="91" s="1"/>
  <c r="A348" i="91" s="1"/>
  <c r="A360" i="91" s="1"/>
  <c r="A372" i="91" s="1"/>
  <c r="A384" i="91" s="1"/>
  <c r="A396" i="91" s="1"/>
  <c r="A408" i="91" s="1"/>
  <c r="A420" i="91" s="1"/>
  <c r="A432" i="91" s="1"/>
  <c r="A444" i="91" s="1"/>
  <c r="A181" i="91"/>
  <c r="A193" i="91" s="1"/>
  <c r="A205" i="91" s="1"/>
  <c r="A217" i="91" s="1"/>
  <c r="A229" i="91" s="1"/>
  <c r="A241" i="91" s="1"/>
  <c r="A253" i="91" s="1"/>
  <c r="A265" i="91" s="1"/>
  <c r="A277" i="91" s="1"/>
  <c r="A289" i="91" s="1"/>
  <c r="A301" i="91" s="1"/>
  <c r="A313" i="91" s="1"/>
  <c r="A325" i="91" s="1"/>
  <c r="A337" i="91" s="1"/>
  <c r="A349" i="91" s="1"/>
  <c r="A361" i="91" s="1"/>
  <c r="A373" i="91" s="1"/>
  <c r="A385" i="91" s="1"/>
  <c r="A397" i="91" s="1"/>
  <c r="A409" i="91" s="1"/>
  <c r="A421" i="91" s="1"/>
  <c r="A433" i="91" s="1"/>
  <c r="A445" i="91" s="1"/>
  <c r="A182" i="91"/>
  <c r="A194" i="91" s="1"/>
  <c r="A206" i="91" s="1"/>
  <c r="A218" i="91" s="1"/>
  <c r="A230" i="91" s="1"/>
  <c r="A242" i="91" s="1"/>
  <c r="A254" i="91" s="1"/>
  <c r="A266" i="91" s="1"/>
  <c r="A278" i="91" s="1"/>
  <c r="A290" i="91" s="1"/>
  <c r="A302" i="91" s="1"/>
  <c r="A314" i="91" s="1"/>
  <c r="A326" i="91" s="1"/>
  <c r="A338" i="91" s="1"/>
  <c r="A350" i="91" s="1"/>
  <c r="A362" i="91" s="1"/>
  <c r="A374" i="91" s="1"/>
  <c r="A386" i="91" s="1"/>
  <c r="A398" i="91" s="1"/>
  <c r="A410" i="91" s="1"/>
  <c r="A422" i="91" s="1"/>
  <c r="A434" i="91" s="1"/>
  <c r="A446" i="91" s="1"/>
  <c r="A183" i="91"/>
  <c r="A195" i="91" s="1"/>
  <c r="A207" i="91" s="1"/>
  <c r="A219" i="91" s="1"/>
  <c r="A231" i="91" s="1"/>
  <c r="A243" i="91" s="1"/>
  <c r="A255" i="91" s="1"/>
  <c r="A267" i="91" s="1"/>
  <c r="A279" i="91" s="1"/>
  <c r="A291" i="91" s="1"/>
  <c r="A303" i="91" s="1"/>
  <c r="A315" i="91" s="1"/>
  <c r="A327" i="91" s="1"/>
  <c r="A339" i="91" s="1"/>
  <c r="A351" i="91" s="1"/>
  <c r="A363" i="91" s="1"/>
  <c r="A375" i="91" s="1"/>
  <c r="A387" i="91" s="1"/>
  <c r="A399" i="91" s="1"/>
  <c r="A411" i="91" s="1"/>
  <c r="A423" i="91" s="1"/>
  <c r="A435" i="91" s="1"/>
  <c r="A447" i="91" s="1"/>
  <c r="A184" i="91"/>
  <c r="A196" i="91" s="1"/>
  <c r="A208" i="91" s="1"/>
  <c r="A220" i="91" s="1"/>
  <c r="A232" i="91" s="1"/>
  <c r="A244" i="91" s="1"/>
  <c r="A256" i="91" s="1"/>
  <c r="A268" i="91" s="1"/>
  <c r="A280" i="91" s="1"/>
  <c r="A292" i="91" s="1"/>
  <c r="A304" i="91" s="1"/>
  <c r="A316" i="91" s="1"/>
  <c r="A328" i="91" s="1"/>
  <c r="A340" i="91" s="1"/>
  <c r="A352" i="91" s="1"/>
  <c r="A364" i="91" s="1"/>
  <c r="A376" i="91" s="1"/>
  <c r="A388" i="91" s="1"/>
  <c r="A400" i="91" s="1"/>
  <c r="A412" i="91" s="1"/>
  <c r="A424" i="91" s="1"/>
  <c r="A436" i="91" s="1"/>
  <c r="A448" i="91" s="1"/>
  <c r="A185" i="91"/>
  <c r="A197" i="91" s="1"/>
  <c r="A209" i="91" s="1"/>
  <c r="A221" i="91" s="1"/>
  <c r="A233" i="91" s="1"/>
  <c r="A245" i="91" s="1"/>
  <c r="A257" i="91" s="1"/>
  <c r="A269" i="91" s="1"/>
  <c r="A281" i="91" s="1"/>
  <c r="A293" i="91" s="1"/>
  <c r="A305" i="91" s="1"/>
  <c r="A317" i="91" s="1"/>
  <c r="A329" i="91" s="1"/>
  <c r="A341" i="91" s="1"/>
  <c r="A353" i="91" s="1"/>
  <c r="A365" i="91" s="1"/>
  <c r="A377" i="91" s="1"/>
  <c r="A389" i="91" s="1"/>
  <c r="A401" i="91" s="1"/>
  <c r="A413" i="91" s="1"/>
  <c r="A425" i="91" s="1"/>
  <c r="A437" i="91" s="1"/>
  <c r="A449" i="91" s="1"/>
  <c r="A186" i="91"/>
  <c r="A198" i="91" s="1"/>
  <c r="A210" i="91" s="1"/>
  <c r="A222" i="91" s="1"/>
  <c r="A234" i="91" s="1"/>
  <c r="A246" i="91" s="1"/>
  <c r="A258" i="91" s="1"/>
  <c r="A270" i="91" s="1"/>
  <c r="A282" i="91" s="1"/>
  <c r="A294" i="91" s="1"/>
  <c r="A306" i="91" s="1"/>
  <c r="A318" i="91" s="1"/>
  <c r="A330" i="91" s="1"/>
  <c r="A342" i="91" s="1"/>
  <c r="A354" i="91" s="1"/>
  <c r="A366" i="91" s="1"/>
  <c r="A378" i="91" s="1"/>
  <c r="A390" i="91" s="1"/>
  <c r="A402" i="91" s="1"/>
  <c r="A414" i="91" s="1"/>
  <c r="A426" i="91" s="1"/>
  <c r="A438" i="91" s="1"/>
  <c r="A450" i="91" s="1"/>
  <c r="A187" i="91"/>
  <c r="A199" i="91" s="1"/>
  <c r="A211" i="91" s="1"/>
  <c r="A223" i="91" s="1"/>
  <c r="A235" i="91" s="1"/>
  <c r="A247" i="91" s="1"/>
  <c r="A259" i="91" s="1"/>
  <c r="A271" i="91" s="1"/>
  <c r="A283" i="91" s="1"/>
  <c r="A295" i="91" s="1"/>
  <c r="A307" i="91" s="1"/>
  <c r="A319" i="91" s="1"/>
  <c r="A331" i="91" s="1"/>
  <c r="A343" i="91" s="1"/>
  <c r="A355" i="91" s="1"/>
  <c r="A367" i="91" s="1"/>
  <c r="A379" i="91" s="1"/>
  <c r="A391" i="91" s="1"/>
  <c r="A403" i="91" s="1"/>
  <c r="A415" i="91" s="1"/>
  <c r="A427" i="91" s="1"/>
  <c r="A439" i="91" s="1"/>
  <c r="A451" i="91" s="1"/>
  <c r="A188" i="91"/>
  <c r="A200" i="91" s="1"/>
  <c r="A212" i="91" s="1"/>
  <c r="A224" i="91" s="1"/>
  <c r="A236" i="91" s="1"/>
  <c r="A248" i="91" s="1"/>
  <c r="A260" i="91" s="1"/>
  <c r="A272" i="91" s="1"/>
  <c r="A284" i="91" s="1"/>
  <c r="A296" i="91" s="1"/>
  <c r="A308" i="91" s="1"/>
  <c r="A320" i="91" s="1"/>
  <c r="A332" i="91" s="1"/>
  <c r="A344" i="91" s="1"/>
  <c r="A356" i="91" s="1"/>
  <c r="A368" i="91" s="1"/>
  <c r="A380" i="91" s="1"/>
  <c r="A392" i="91" s="1"/>
  <c r="A404" i="91" s="1"/>
  <c r="A416" i="91" s="1"/>
  <c r="A428" i="91" s="1"/>
  <c r="A440" i="91" s="1"/>
  <c r="A452" i="91" s="1"/>
  <c r="A189" i="91"/>
  <c r="A201" i="91" s="1"/>
  <c r="A213" i="91" s="1"/>
  <c r="A225" i="91" s="1"/>
  <c r="A237" i="91" s="1"/>
  <c r="A249" i="91" s="1"/>
  <c r="A261" i="91" s="1"/>
  <c r="A273" i="91" s="1"/>
  <c r="A285" i="91" s="1"/>
  <c r="A297" i="91" s="1"/>
  <c r="A309" i="91" s="1"/>
  <c r="A321" i="91" s="1"/>
  <c r="A333" i="91" s="1"/>
  <c r="A345" i="91" s="1"/>
  <c r="A357" i="91" s="1"/>
  <c r="A369" i="91" s="1"/>
  <c r="A381" i="91" s="1"/>
  <c r="A393" i="91" s="1"/>
  <c r="A405" i="91" s="1"/>
  <c r="A417" i="91" s="1"/>
  <c r="A429" i="91" s="1"/>
  <c r="A441" i="91" s="1"/>
  <c r="A453" i="91" s="1"/>
  <c r="R217" i="4"/>
  <c r="V217" i="4" s="1"/>
  <c r="C89" i="49"/>
  <c r="B89" i="49" s="1"/>
  <c r="J89" i="49"/>
  <c r="I89" i="49" s="1"/>
  <c r="M89" i="49"/>
  <c r="L89" i="49" s="1"/>
  <c r="G48" i="53"/>
  <c r="J88" i="49"/>
  <c r="M88" i="49"/>
  <c r="J87" i="49"/>
  <c r="I87" i="49" s="1"/>
  <c r="M87" i="49"/>
  <c r="L87" i="49" s="1"/>
  <c r="J86" i="49"/>
  <c r="I86" i="49" s="1"/>
  <c r="M86" i="49"/>
  <c r="L86" i="49" s="1"/>
  <c r="C88" i="49"/>
  <c r="B88" i="49" s="1"/>
  <c r="F88" i="49"/>
  <c r="E88" i="49" s="1"/>
  <c r="C87" i="49"/>
  <c r="B87" i="49" s="1"/>
  <c r="F87" i="49"/>
  <c r="E87" i="49" s="1"/>
  <c r="C86" i="49"/>
  <c r="B86" i="49" s="1"/>
  <c r="F86" i="49"/>
  <c r="E86" i="49" s="1"/>
  <c r="B233" i="89"/>
  <c r="H221" i="17"/>
  <c r="B297" i="89"/>
  <c r="B296" i="89"/>
  <c r="B295" i="89"/>
  <c r="B294" i="89"/>
  <c r="B292" i="89"/>
  <c r="B291" i="89"/>
  <c r="B289" i="89"/>
  <c r="B288" i="89"/>
  <c r="B287" i="89"/>
  <c r="B286" i="89"/>
  <c r="B284" i="89"/>
  <c r="B283" i="89"/>
  <c r="B280" i="89"/>
  <c r="B279" i="89"/>
  <c r="B278" i="89"/>
  <c r="B277" i="89"/>
  <c r="B276" i="89"/>
  <c r="B275" i="89"/>
  <c r="B274" i="89"/>
  <c r="B273" i="89"/>
  <c r="B272" i="89"/>
  <c r="B271" i="89"/>
  <c r="B270" i="89"/>
  <c r="B269" i="89"/>
  <c r="B268" i="89"/>
  <c r="B267" i="89"/>
  <c r="B266" i="89"/>
  <c r="B265" i="89"/>
  <c r="B264" i="89"/>
  <c r="B260" i="89"/>
  <c r="B259" i="89"/>
  <c r="B258" i="89"/>
  <c r="B257" i="89"/>
  <c r="B256" i="89"/>
  <c r="B255" i="89"/>
  <c r="B254" i="89"/>
  <c r="B253" i="89"/>
  <c r="B252" i="89"/>
  <c r="B250" i="89"/>
  <c r="B247" i="89"/>
  <c r="B246" i="89"/>
  <c r="B245" i="89"/>
  <c r="B244" i="89"/>
  <c r="B243" i="89"/>
  <c r="B242" i="89"/>
  <c r="B241" i="89"/>
  <c r="B240" i="89"/>
  <c r="B239" i="89"/>
  <c r="B238" i="89"/>
  <c r="B236" i="89"/>
  <c r="B235" i="89"/>
  <c r="B234" i="89"/>
  <c r="B232" i="89"/>
  <c r="B231" i="89"/>
  <c r="B230" i="89"/>
  <c r="B229" i="89"/>
  <c r="B228" i="89"/>
  <c r="B227" i="89"/>
  <c r="B226" i="89"/>
  <c r="B225" i="89"/>
  <c r="B224" i="89"/>
  <c r="B223" i="89"/>
  <c r="B222" i="89"/>
  <c r="B221" i="89"/>
  <c r="B220" i="89"/>
  <c r="B219" i="89"/>
  <c r="B218" i="89"/>
  <c r="B217" i="89"/>
  <c r="B216" i="89"/>
  <c r="B215" i="89"/>
  <c r="B214" i="89"/>
  <c r="B213" i="89"/>
  <c r="B212" i="89"/>
  <c r="B211" i="89"/>
  <c r="B210" i="89"/>
  <c r="B209" i="89"/>
  <c r="B208" i="89"/>
  <c r="B207" i="89"/>
  <c r="B206" i="89"/>
  <c r="B205" i="89"/>
  <c r="B204" i="89"/>
  <c r="B203" i="89"/>
  <c r="B202" i="89"/>
  <c r="B201" i="89"/>
  <c r="B200" i="89"/>
  <c r="B199" i="89"/>
  <c r="B198" i="89"/>
  <c r="B197" i="89"/>
  <c r="B196" i="89"/>
  <c r="B195" i="89"/>
  <c r="B194" i="89"/>
  <c r="B193" i="89"/>
  <c r="B192" i="89"/>
  <c r="B191" i="89"/>
  <c r="B190" i="89"/>
  <c r="B189" i="89"/>
  <c r="B188" i="89"/>
  <c r="B187" i="89"/>
  <c r="B186" i="89"/>
  <c r="B185" i="89"/>
  <c r="B184" i="89"/>
  <c r="B183" i="89"/>
  <c r="B182" i="89"/>
  <c r="B181" i="89"/>
  <c r="B180" i="89"/>
  <c r="B179" i="89"/>
  <c r="B178" i="89"/>
  <c r="B177" i="89"/>
  <c r="B176" i="89"/>
  <c r="B175" i="89"/>
  <c r="B174" i="89"/>
  <c r="B173" i="89"/>
  <c r="B172" i="89"/>
  <c r="B171" i="89"/>
  <c r="B170" i="89"/>
  <c r="B169" i="89"/>
  <c r="B168" i="89"/>
  <c r="B167" i="89"/>
  <c r="B166" i="89"/>
  <c r="B165" i="89"/>
  <c r="B164" i="89"/>
  <c r="B163" i="89"/>
  <c r="B162" i="89"/>
  <c r="B161" i="89"/>
  <c r="B160" i="89"/>
  <c r="B159" i="89"/>
  <c r="B158" i="89"/>
  <c r="B157" i="89"/>
  <c r="B156" i="89"/>
  <c r="B155" i="89"/>
  <c r="B154" i="89"/>
  <c r="B144" i="89"/>
  <c r="B145" i="89"/>
  <c r="B146" i="89"/>
  <c r="B147" i="89"/>
  <c r="B148" i="89"/>
  <c r="B149" i="89"/>
  <c r="B150" i="89"/>
  <c r="B151" i="89"/>
  <c r="B152" i="89"/>
  <c r="B153" i="89"/>
  <c r="B143" i="89"/>
  <c r="B142" i="89"/>
  <c r="D176" i="52"/>
  <c r="J176" i="52"/>
  <c r="D161" i="52"/>
  <c r="J161" i="52"/>
  <c r="D132" i="52"/>
  <c r="J132" i="52"/>
  <c r="D111" i="52"/>
  <c r="J111" i="52"/>
  <c r="D110" i="52"/>
  <c r="J110" i="52"/>
  <c r="D91" i="52"/>
  <c r="J91" i="52"/>
  <c r="D87" i="52"/>
  <c r="J87" i="52"/>
  <c r="D82" i="52"/>
  <c r="J82" i="52"/>
  <c r="D79" i="52"/>
  <c r="J79" i="52"/>
  <c r="D70" i="52"/>
  <c r="J70" i="52"/>
  <c r="D35" i="52"/>
  <c r="J35" i="52"/>
  <c r="D14" i="52"/>
  <c r="J14" i="52"/>
  <c r="D209" i="52"/>
  <c r="J209" i="52"/>
  <c r="D210" i="52"/>
  <c r="J210" i="52"/>
  <c r="D211" i="52"/>
  <c r="J211" i="52"/>
  <c r="D212" i="52"/>
  <c r="J212" i="52"/>
  <c r="D213" i="52"/>
  <c r="J213" i="52"/>
  <c r="D214" i="52"/>
  <c r="J214" i="52"/>
  <c r="D215" i="52"/>
  <c r="J215" i="52"/>
  <c r="D216" i="52"/>
  <c r="J216" i="52"/>
  <c r="D217" i="52"/>
  <c r="J217" i="52"/>
  <c r="D218" i="52"/>
  <c r="J218" i="52"/>
  <c r="D219" i="52"/>
  <c r="J219" i="52"/>
  <c r="D220" i="52"/>
  <c r="J220" i="52"/>
  <c r="D221" i="52"/>
  <c r="J221" i="52"/>
  <c r="D222" i="52"/>
  <c r="J222" i="52"/>
  <c r="D223" i="52"/>
  <c r="J223" i="52"/>
  <c r="D224" i="52"/>
  <c r="J224" i="52"/>
  <c r="D225" i="52"/>
  <c r="J225" i="52"/>
  <c r="D226" i="52"/>
  <c r="J226" i="52"/>
  <c r="D227" i="52"/>
  <c r="J227" i="52"/>
  <c r="D228" i="52"/>
  <c r="J228" i="52"/>
  <c r="D229" i="52"/>
  <c r="J229" i="52"/>
  <c r="D230" i="52"/>
  <c r="J230" i="52"/>
  <c r="D231" i="52"/>
  <c r="J231" i="52"/>
  <c r="D232" i="52"/>
  <c r="J232" i="52"/>
  <c r="D233" i="52"/>
  <c r="J233" i="52"/>
  <c r="D234" i="52"/>
  <c r="J234" i="52"/>
  <c r="D235" i="52"/>
  <c r="J235" i="52"/>
  <c r="D236" i="52"/>
  <c r="J236" i="52"/>
  <c r="D237" i="52"/>
  <c r="J237" i="52"/>
  <c r="D238" i="52"/>
  <c r="J238" i="52"/>
  <c r="D239" i="52"/>
  <c r="J239" i="52"/>
  <c r="D240" i="52"/>
  <c r="J240" i="52"/>
  <c r="D241" i="52"/>
  <c r="J241" i="52"/>
  <c r="D242" i="52"/>
  <c r="J242" i="52"/>
  <c r="D243" i="52"/>
  <c r="J243" i="52"/>
  <c r="D244" i="52"/>
  <c r="J244" i="52"/>
  <c r="D245" i="52"/>
  <c r="J245" i="52"/>
  <c r="D246" i="52"/>
  <c r="J246" i="52"/>
  <c r="D247" i="52"/>
  <c r="J247" i="52"/>
  <c r="D248" i="52"/>
  <c r="J248" i="52"/>
  <c r="D249" i="52"/>
  <c r="J249" i="52"/>
  <c r="D250" i="52"/>
  <c r="J250" i="52"/>
  <c r="D251" i="52"/>
  <c r="J251" i="52"/>
  <c r="D252" i="52"/>
  <c r="J252" i="52"/>
  <c r="D254" i="52"/>
  <c r="J254" i="52"/>
  <c r="J255" i="52"/>
  <c r="D256" i="52"/>
  <c r="J256" i="52"/>
  <c r="D257" i="52"/>
  <c r="J257" i="52"/>
  <c r="D258" i="52"/>
  <c r="J258" i="52"/>
  <c r="D259" i="52"/>
  <c r="J259" i="52"/>
  <c r="D260" i="52"/>
  <c r="J260" i="52"/>
  <c r="D261" i="52"/>
  <c r="J261" i="52"/>
  <c r="D262" i="52"/>
  <c r="J262" i="52"/>
  <c r="D263" i="52"/>
  <c r="J263" i="52"/>
  <c r="D264" i="52"/>
  <c r="J264" i="52"/>
  <c r="D265" i="52"/>
  <c r="J265" i="52"/>
  <c r="D266" i="52"/>
  <c r="J266" i="52"/>
  <c r="D267" i="52"/>
  <c r="J267" i="52"/>
  <c r="D268" i="52"/>
  <c r="J268" i="52"/>
  <c r="D269" i="52"/>
  <c r="J269" i="52"/>
  <c r="D270" i="52"/>
  <c r="J270" i="52"/>
  <c r="D271" i="52"/>
  <c r="J271" i="52"/>
  <c r="D272" i="52"/>
  <c r="J272" i="52"/>
  <c r="D273" i="52"/>
  <c r="J273" i="52"/>
  <c r="J12" i="52"/>
  <c r="D13" i="52"/>
  <c r="J13" i="52"/>
  <c r="D15" i="52"/>
  <c r="J15" i="52"/>
  <c r="D16" i="52"/>
  <c r="J16" i="52"/>
  <c r="D17" i="52"/>
  <c r="J17" i="52"/>
  <c r="D18" i="52"/>
  <c r="J18" i="52"/>
  <c r="D19" i="52"/>
  <c r="J19" i="52"/>
  <c r="D20" i="52"/>
  <c r="J20" i="52"/>
  <c r="D21" i="52"/>
  <c r="J21" i="52"/>
  <c r="D22" i="52"/>
  <c r="J22" i="52"/>
  <c r="D23" i="52"/>
  <c r="J23" i="52"/>
  <c r="D24" i="52"/>
  <c r="J24" i="52"/>
  <c r="D25" i="52"/>
  <c r="J25" i="52"/>
  <c r="D26" i="52"/>
  <c r="J26" i="52"/>
  <c r="D27" i="52"/>
  <c r="J27" i="52"/>
  <c r="D28" i="52"/>
  <c r="J28" i="52"/>
  <c r="D29" i="52"/>
  <c r="J29" i="52"/>
  <c r="D30" i="52"/>
  <c r="J30" i="52"/>
  <c r="D31" i="52"/>
  <c r="J31" i="52"/>
  <c r="D32" i="52"/>
  <c r="J32" i="52"/>
  <c r="D33" i="52"/>
  <c r="J33" i="52"/>
  <c r="D34" i="52"/>
  <c r="J34" i="52"/>
  <c r="D36" i="52"/>
  <c r="J36" i="52"/>
  <c r="D37" i="52"/>
  <c r="J37" i="52"/>
  <c r="D38" i="52"/>
  <c r="J38" i="52"/>
  <c r="D39" i="52"/>
  <c r="J39" i="52"/>
  <c r="D40" i="52"/>
  <c r="J40" i="52"/>
  <c r="D41" i="52"/>
  <c r="J41" i="52"/>
  <c r="D42" i="52"/>
  <c r="J42" i="52"/>
  <c r="D43" i="52"/>
  <c r="J43" i="52"/>
  <c r="D44" i="52"/>
  <c r="J44" i="52"/>
  <c r="D45" i="52"/>
  <c r="J45" i="52"/>
  <c r="D46" i="52"/>
  <c r="J46" i="52"/>
  <c r="D47" i="52"/>
  <c r="J47" i="52"/>
  <c r="D48" i="52"/>
  <c r="J48" i="52"/>
  <c r="D49" i="52"/>
  <c r="J49" i="52"/>
  <c r="D50" i="52"/>
  <c r="J50" i="52"/>
  <c r="D51" i="52"/>
  <c r="J51" i="52"/>
  <c r="D52" i="52"/>
  <c r="J52" i="52"/>
  <c r="D53" i="52"/>
  <c r="J53" i="52"/>
  <c r="D54" i="52"/>
  <c r="J54" i="52"/>
  <c r="D55" i="52"/>
  <c r="J55" i="52"/>
  <c r="D56" i="52"/>
  <c r="J56" i="52"/>
  <c r="D57" i="52"/>
  <c r="J57" i="52"/>
  <c r="D58" i="52"/>
  <c r="J58" i="52"/>
  <c r="D59" i="52"/>
  <c r="J59" i="52"/>
  <c r="D60" i="52"/>
  <c r="J60" i="52"/>
  <c r="D61" i="52"/>
  <c r="J61" i="52"/>
  <c r="D62" i="52"/>
  <c r="J62" i="52"/>
  <c r="D63" i="52"/>
  <c r="J63" i="52"/>
  <c r="D64" i="52"/>
  <c r="J64" i="52"/>
  <c r="D65" i="52"/>
  <c r="J65" i="52"/>
  <c r="D66" i="52"/>
  <c r="J66" i="52"/>
  <c r="D67" i="52"/>
  <c r="J67" i="52"/>
  <c r="D68" i="52"/>
  <c r="J68" i="52"/>
  <c r="D69" i="52"/>
  <c r="J69" i="52"/>
  <c r="D71" i="52"/>
  <c r="J71" i="52"/>
  <c r="D72" i="52"/>
  <c r="J72" i="52"/>
  <c r="D73" i="52"/>
  <c r="J73" i="52"/>
  <c r="D74" i="52"/>
  <c r="J74" i="52"/>
  <c r="D75" i="52"/>
  <c r="J75" i="52"/>
  <c r="D76" i="52"/>
  <c r="J76" i="52"/>
  <c r="D77" i="52"/>
  <c r="J77" i="52"/>
  <c r="D78" i="52"/>
  <c r="J78" i="52"/>
  <c r="D80" i="52"/>
  <c r="J80" i="52"/>
  <c r="D81" i="52"/>
  <c r="J81" i="52"/>
  <c r="D83" i="52"/>
  <c r="J83" i="52"/>
  <c r="D84" i="52"/>
  <c r="J84" i="52"/>
  <c r="D85" i="52"/>
  <c r="J85" i="52"/>
  <c r="D86" i="52"/>
  <c r="J86" i="52"/>
  <c r="D88" i="52"/>
  <c r="J88" i="52"/>
  <c r="D89" i="52"/>
  <c r="J89" i="52"/>
  <c r="D90" i="52"/>
  <c r="J90" i="52"/>
  <c r="D92" i="52"/>
  <c r="J92" i="52"/>
  <c r="D93" i="52"/>
  <c r="J93" i="52"/>
  <c r="D94" i="52"/>
  <c r="J94" i="52"/>
  <c r="D95" i="52"/>
  <c r="J95" i="52"/>
  <c r="D96" i="52"/>
  <c r="J96" i="52"/>
  <c r="D97" i="52"/>
  <c r="J97" i="52"/>
  <c r="D98" i="52"/>
  <c r="J98" i="52"/>
  <c r="D99" i="52"/>
  <c r="J99" i="52"/>
  <c r="D100" i="52"/>
  <c r="J100" i="52"/>
  <c r="D101" i="52"/>
  <c r="J101" i="52"/>
  <c r="D102" i="52"/>
  <c r="J102" i="52"/>
  <c r="D103" i="52"/>
  <c r="J103" i="52"/>
  <c r="D104" i="52"/>
  <c r="J104" i="52"/>
  <c r="D105" i="52"/>
  <c r="J105" i="52"/>
  <c r="D106" i="52"/>
  <c r="J106" i="52"/>
  <c r="D107" i="52"/>
  <c r="J107" i="52"/>
  <c r="D108" i="52"/>
  <c r="J108" i="52"/>
  <c r="D109" i="52"/>
  <c r="J109" i="52"/>
  <c r="D112" i="52"/>
  <c r="J112" i="52"/>
  <c r="D113" i="52"/>
  <c r="J113" i="52"/>
  <c r="D114" i="52"/>
  <c r="J114" i="52"/>
  <c r="D115" i="52"/>
  <c r="J115" i="52"/>
  <c r="D116" i="52"/>
  <c r="J116" i="52"/>
  <c r="D117" i="52"/>
  <c r="J117" i="52"/>
  <c r="D118" i="52"/>
  <c r="J118" i="52"/>
  <c r="D119" i="52"/>
  <c r="J119" i="52"/>
  <c r="D120" i="52"/>
  <c r="J120" i="52"/>
  <c r="D121" i="52"/>
  <c r="J121" i="52"/>
  <c r="D122" i="52"/>
  <c r="J122" i="52"/>
  <c r="D123" i="52"/>
  <c r="J123" i="52"/>
  <c r="D124" i="52"/>
  <c r="J124" i="52"/>
  <c r="D125" i="52"/>
  <c r="J125" i="52"/>
  <c r="D126" i="52"/>
  <c r="J126" i="52"/>
  <c r="D127" i="52"/>
  <c r="J127" i="52"/>
  <c r="D128" i="52"/>
  <c r="J128" i="52"/>
  <c r="D129" i="52"/>
  <c r="J129" i="52"/>
  <c r="D130" i="52"/>
  <c r="J130" i="52"/>
  <c r="D131" i="52"/>
  <c r="J131" i="52"/>
  <c r="D133" i="52"/>
  <c r="J133" i="52"/>
  <c r="D134" i="52"/>
  <c r="J134" i="52"/>
  <c r="D135" i="52"/>
  <c r="J135" i="52"/>
  <c r="D136" i="52"/>
  <c r="J136" i="52"/>
  <c r="D137" i="52"/>
  <c r="J137" i="52"/>
  <c r="D138" i="52"/>
  <c r="J138" i="52"/>
  <c r="D139" i="52"/>
  <c r="J139" i="52"/>
  <c r="D140" i="52"/>
  <c r="J140" i="52"/>
  <c r="D141" i="52"/>
  <c r="J141" i="52"/>
  <c r="D142" i="52"/>
  <c r="J142" i="52"/>
  <c r="D143" i="52"/>
  <c r="J143" i="52"/>
  <c r="D144" i="52"/>
  <c r="J144" i="52"/>
  <c r="D145" i="52"/>
  <c r="J145" i="52"/>
  <c r="D146" i="52"/>
  <c r="J146" i="52"/>
  <c r="D147" i="52"/>
  <c r="J147" i="52"/>
  <c r="D148" i="52"/>
  <c r="J148" i="52"/>
  <c r="D149" i="52"/>
  <c r="J149" i="52"/>
  <c r="D150" i="52"/>
  <c r="J150" i="52"/>
  <c r="D151" i="52"/>
  <c r="J151" i="52"/>
  <c r="D152" i="52"/>
  <c r="J152" i="52"/>
  <c r="D153" i="52"/>
  <c r="J153" i="52"/>
  <c r="D154" i="52"/>
  <c r="J154" i="52"/>
  <c r="D155" i="52"/>
  <c r="J155" i="52"/>
  <c r="D156" i="52"/>
  <c r="J156" i="52"/>
  <c r="D157" i="52"/>
  <c r="J157" i="52"/>
  <c r="D158" i="52"/>
  <c r="J158" i="52"/>
  <c r="D159" i="52"/>
  <c r="J159" i="52"/>
  <c r="D160" i="52"/>
  <c r="J160" i="52"/>
  <c r="D162" i="52"/>
  <c r="J162" i="52"/>
  <c r="D163" i="52"/>
  <c r="J163" i="52"/>
  <c r="D164" i="52"/>
  <c r="J164" i="52"/>
  <c r="D165" i="52"/>
  <c r="J165" i="52"/>
  <c r="D166" i="52"/>
  <c r="J166" i="52"/>
  <c r="D167" i="52"/>
  <c r="J167" i="52"/>
  <c r="D168" i="52"/>
  <c r="J168" i="52"/>
  <c r="D169" i="52"/>
  <c r="J169" i="52"/>
  <c r="D170" i="52"/>
  <c r="J170" i="52"/>
  <c r="D171" i="52"/>
  <c r="J171" i="52"/>
  <c r="D172" i="52"/>
  <c r="J172" i="52"/>
  <c r="D173" i="52"/>
  <c r="J173" i="52"/>
  <c r="D174" i="52"/>
  <c r="J174" i="52"/>
  <c r="D175" i="52"/>
  <c r="J175" i="52"/>
  <c r="D177" i="52"/>
  <c r="J177" i="52"/>
  <c r="D178" i="52"/>
  <c r="J178" i="52"/>
  <c r="D179" i="52"/>
  <c r="J179" i="52"/>
  <c r="D180" i="52"/>
  <c r="J180" i="52"/>
  <c r="D181" i="52"/>
  <c r="J181" i="52"/>
  <c r="D182" i="52"/>
  <c r="J182" i="52"/>
  <c r="D183" i="52"/>
  <c r="J183" i="52"/>
  <c r="D184" i="52"/>
  <c r="J184" i="52"/>
  <c r="D185" i="52"/>
  <c r="J185" i="52"/>
  <c r="D186" i="52"/>
  <c r="J186" i="52"/>
  <c r="D187" i="52"/>
  <c r="J187" i="52"/>
  <c r="D188" i="52"/>
  <c r="J188" i="52"/>
  <c r="D189" i="52"/>
  <c r="J189" i="52"/>
  <c r="D190" i="52"/>
  <c r="J190" i="52"/>
  <c r="D191" i="52"/>
  <c r="J191" i="52"/>
  <c r="D192" i="52"/>
  <c r="J192" i="52"/>
  <c r="D193" i="52"/>
  <c r="J193" i="52"/>
  <c r="D194" i="52"/>
  <c r="J194" i="52"/>
  <c r="D195" i="52"/>
  <c r="J195" i="52"/>
  <c r="D196" i="52"/>
  <c r="J196" i="52"/>
  <c r="D197" i="52"/>
  <c r="J197" i="52"/>
  <c r="D198" i="52"/>
  <c r="J198" i="52"/>
  <c r="D199" i="52"/>
  <c r="J199" i="52"/>
  <c r="D201" i="52"/>
  <c r="J201" i="52"/>
  <c r="D202" i="52"/>
  <c r="J202" i="52"/>
  <c r="D203" i="52"/>
  <c r="J203" i="52"/>
  <c r="D204" i="52"/>
  <c r="J204" i="52"/>
  <c r="D205" i="52"/>
  <c r="J205" i="52"/>
  <c r="D206" i="52"/>
  <c r="J206" i="52"/>
  <c r="D207" i="52"/>
  <c r="J207" i="52"/>
  <c r="D208" i="52"/>
  <c r="J208" i="52"/>
  <c r="D11" i="52"/>
  <c r="J11" i="52"/>
  <c r="H218" i="17"/>
  <c r="A202" i="89"/>
  <c r="A214" i="89" s="1"/>
  <c r="A226" i="89" s="1"/>
  <c r="A238" i="89" s="1"/>
  <c r="A250" i="89" s="1"/>
  <c r="A262" i="89" s="1"/>
  <c r="A274" i="89" s="1"/>
  <c r="A286" i="89" s="1"/>
  <c r="A298" i="89" s="1"/>
  <c r="A310" i="89" s="1"/>
  <c r="A322" i="89" s="1"/>
  <c r="A334" i="89" s="1"/>
  <c r="A346" i="89" s="1"/>
  <c r="A358" i="89" s="1"/>
  <c r="A370" i="89" s="1"/>
  <c r="A382" i="89" s="1"/>
  <c r="A394" i="89" s="1"/>
  <c r="A406" i="89" s="1"/>
  <c r="A418" i="89" s="1"/>
  <c r="A430" i="89" s="1"/>
  <c r="A442" i="89" s="1"/>
  <c r="A454" i="89" s="1"/>
  <c r="A466" i="89" s="1"/>
  <c r="A203" i="89"/>
  <c r="A215" i="89" s="1"/>
  <c r="A227" i="89" s="1"/>
  <c r="A239" i="89" s="1"/>
  <c r="A251" i="89" s="1"/>
  <c r="A263" i="89" s="1"/>
  <c r="A275" i="89" s="1"/>
  <c r="A287" i="89" s="1"/>
  <c r="A299" i="89" s="1"/>
  <c r="A311" i="89" s="1"/>
  <c r="A323" i="89" s="1"/>
  <c r="A335" i="89" s="1"/>
  <c r="A347" i="89" s="1"/>
  <c r="A359" i="89" s="1"/>
  <c r="A371" i="89" s="1"/>
  <c r="A383" i="89" s="1"/>
  <c r="A395" i="89" s="1"/>
  <c r="A407" i="89" s="1"/>
  <c r="A419" i="89" s="1"/>
  <c r="A431" i="89" s="1"/>
  <c r="A443" i="89" s="1"/>
  <c r="A455" i="89" s="1"/>
  <c r="A467" i="89" s="1"/>
  <c r="A204" i="89"/>
  <c r="A216" i="89" s="1"/>
  <c r="A228" i="89" s="1"/>
  <c r="A240" i="89" s="1"/>
  <c r="A252" i="89" s="1"/>
  <c r="A264" i="89" s="1"/>
  <c r="A276" i="89" s="1"/>
  <c r="A288" i="89" s="1"/>
  <c r="A300" i="89" s="1"/>
  <c r="A312" i="89" s="1"/>
  <c r="A324" i="89" s="1"/>
  <c r="A336" i="89" s="1"/>
  <c r="A348" i="89" s="1"/>
  <c r="A360" i="89" s="1"/>
  <c r="A372" i="89" s="1"/>
  <c r="A384" i="89" s="1"/>
  <c r="A396" i="89" s="1"/>
  <c r="A408" i="89" s="1"/>
  <c r="A420" i="89" s="1"/>
  <c r="A432" i="89" s="1"/>
  <c r="A444" i="89" s="1"/>
  <c r="A456" i="89" s="1"/>
  <c r="A468" i="89" s="1"/>
  <c r="A205" i="89"/>
  <c r="A217" i="89" s="1"/>
  <c r="A229" i="89" s="1"/>
  <c r="A241" i="89" s="1"/>
  <c r="A253" i="89" s="1"/>
  <c r="A265" i="89" s="1"/>
  <c r="A277" i="89" s="1"/>
  <c r="A289" i="89" s="1"/>
  <c r="A301" i="89" s="1"/>
  <c r="A313" i="89" s="1"/>
  <c r="A325" i="89" s="1"/>
  <c r="A337" i="89" s="1"/>
  <c r="A349" i="89" s="1"/>
  <c r="A361" i="89" s="1"/>
  <c r="A373" i="89" s="1"/>
  <c r="A385" i="89" s="1"/>
  <c r="A397" i="89" s="1"/>
  <c r="A409" i="89" s="1"/>
  <c r="A421" i="89" s="1"/>
  <c r="A433" i="89" s="1"/>
  <c r="A445" i="89" s="1"/>
  <c r="A457" i="89" s="1"/>
  <c r="A469" i="89" s="1"/>
  <c r="A206" i="89"/>
  <c r="A218" i="89" s="1"/>
  <c r="A230" i="89" s="1"/>
  <c r="A242" i="89" s="1"/>
  <c r="A254" i="89" s="1"/>
  <c r="A266" i="89" s="1"/>
  <c r="A278" i="89" s="1"/>
  <c r="A290" i="89" s="1"/>
  <c r="A302" i="89" s="1"/>
  <c r="A314" i="89" s="1"/>
  <c r="A326" i="89" s="1"/>
  <c r="A338" i="89" s="1"/>
  <c r="A350" i="89" s="1"/>
  <c r="A362" i="89" s="1"/>
  <c r="A374" i="89" s="1"/>
  <c r="A386" i="89" s="1"/>
  <c r="A398" i="89" s="1"/>
  <c r="A410" i="89" s="1"/>
  <c r="A422" i="89" s="1"/>
  <c r="A434" i="89" s="1"/>
  <c r="A446" i="89" s="1"/>
  <c r="A458" i="89" s="1"/>
  <c r="A470" i="89" s="1"/>
  <c r="A207" i="89"/>
  <c r="A219" i="89" s="1"/>
  <c r="A231" i="89" s="1"/>
  <c r="A243" i="89" s="1"/>
  <c r="A255" i="89" s="1"/>
  <c r="A267" i="89" s="1"/>
  <c r="A279" i="89" s="1"/>
  <c r="A291" i="89" s="1"/>
  <c r="A303" i="89" s="1"/>
  <c r="A315" i="89" s="1"/>
  <c r="A327" i="89" s="1"/>
  <c r="A339" i="89" s="1"/>
  <c r="A351" i="89" s="1"/>
  <c r="A363" i="89" s="1"/>
  <c r="A375" i="89" s="1"/>
  <c r="A387" i="89" s="1"/>
  <c r="A399" i="89" s="1"/>
  <c r="A411" i="89" s="1"/>
  <c r="A423" i="89" s="1"/>
  <c r="A435" i="89" s="1"/>
  <c r="A447" i="89" s="1"/>
  <c r="A459" i="89" s="1"/>
  <c r="A471" i="89" s="1"/>
  <c r="A208" i="89"/>
  <c r="A220" i="89" s="1"/>
  <c r="A232" i="89" s="1"/>
  <c r="A244" i="89" s="1"/>
  <c r="A256" i="89" s="1"/>
  <c r="A268" i="89" s="1"/>
  <c r="A280" i="89" s="1"/>
  <c r="A292" i="89" s="1"/>
  <c r="A304" i="89" s="1"/>
  <c r="A316" i="89" s="1"/>
  <c r="A328" i="89" s="1"/>
  <c r="A340" i="89" s="1"/>
  <c r="A352" i="89" s="1"/>
  <c r="A364" i="89" s="1"/>
  <c r="A376" i="89" s="1"/>
  <c r="A388" i="89" s="1"/>
  <c r="A400" i="89" s="1"/>
  <c r="A412" i="89" s="1"/>
  <c r="A424" i="89" s="1"/>
  <c r="A436" i="89" s="1"/>
  <c r="A448" i="89" s="1"/>
  <c r="A460" i="89" s="1"/>
  <c r="A472" i="89" s="1"/>
  <c r="A209" i="89"/>
  <c r="A221" i="89" s="1"/>
  <c r="A233" i="89" s="1"/>
  <c r="A245" i="89" s="1"/>
  <c r="A257" i="89" s="1"/>
  <c r="A269" i="89" s="1"/>
  <c r="A281" i="89" s="1"/>
  <c r="A293" i="89" s="1"/>
  <c r="A305" i="89" s="1"/>
  <c r="A317" i="89" s="1"/>
  <c r="A329" i="89" s="1"/>
  <c r="A341" i="89" s="1"/>
  <c r="A353" i="89" s="1"/>
  <c r="A365" i="89" s="1"/>
  <c r="A377" i="89" s="1"/>
  <c r="A389" i="89" s="1"/>
  <c r="A401" i="89" s="1"/>
  <c r="A413" i="89" s="1"/>
  <c r="A425" i="89" s="1"/>
  <c r="A437" i="89" s="1"/>
  <c r="A449" i="89" s="1"/>
  <c r="A461" i="89" s="1"/>
  <c r="A473" i="89" s="1"/>
  <c r="A210" i="89"/>
  <c r="A222" i="89" s="1"/>
  <c r="A234" i="89" s="1"/>
  <c r="A246" i="89" s="1"/>
  <c r="A258" i="89" s="1"/>
  <c r="A270" i="89" s="1"/>
  <c r="A282" i="89" s="1"/>
  <c r="A294" i="89" s="1"/>
  <c r="A306" i="89" s="1"/>
  <c r="A318" i="89" s="1"/>
  <c r="A330" i="89" s="1"/>
  <c r="A342" i="89" s="1"/>
  <c r="A354" i="89" s="1"/>
  <c r="A366" i="89" s="1"/>
  <c r="A378" i="89" s="1"/>
  <c r="A390" i="89" s="1"/>
  <c r="A402" i="89" s="1"/>
  <c r="A414" i="89" s="1"/>
  <c r="A426" i="89" s="1"/>
  <c r="A438" i="89" s="1"/>
  <c r="A450" i="89" s="1"/>
  <c r="A462" i="89" s="1"/>
  <c r="A474" i="89" s="1"/>
  <c r="A211" i="89"/>
  <c r="A223" i="89" s="1"/>
  <c r="A235" i="89" s="1"/>
  <c r="A247" i="89" s="1"/>
  <c r="A259" i="89" s="1"/>
  <c r="A271" i="89" s="1"/>
  <c r="A283" i="89" s="1"/>
  <c r="A295" i="89" s="1"/>
  <c r="A307" i="89" s="1"/>
  <c r="A319" i="89" s="1"/>
  <c r="A331" i="89" s="1"/>
  <c r="A343" i="89" s="1"/>
  <c r="A355" i="89" s="1"/>
  <c r="A367" i="89" s="1"/>
  <c r="A379" i="89" s="1"/>
  <c r="A391" i="89" s="1"/>
  <c r="A403" i="89" s="1"/>
  <c r="A415" i="89" s="1"/>
  <c r="A427" i="89" s="1"/>
  <c r="A439" i="89" s="1"/>
  <c r="A451" i="89" s="1"/>
  <c r="A463" i="89" s="1"/>
  <c r="A475" i="89" s="1"/>
  <c r="A212" i="89"/>
  <c r="A224" i="89" s="1"/>
  <c r="A236" i="89" s="1"/>
  <c r="A248" i="89" s="1"/>
  <c r="A260" i="89" s="1"/>
  <c r="A272" i="89" s="1"/>
  <c r="A284" i="89" s="1"/>
  <c r="A296" i="89" s="1"/>
  <c r="A308" i="89" s="1"/>
  <c r="A320" i="89" s="1"/>
  <c r="A332" i="89" s="1"/>
  <c r="A344" i="89" s="1"/>
  <c r="A356" i="89" s="1"/>
  <c r="A368" i="89" s="1"/>
  <c r="A380" i="89" s="1"/>
  <c r="A392" i="89" s="1"/>
  <c r="A404" i="89" s="1"/>
  <c r="A416" i="89" s="1"/>
  <c r="A428" i="89" s="1"/>
  <c r="A440" i="89" s="1"/>
  <c r="A452" i="89" s="1"/>
  <c r="A464" i="89" s="1"/>
  <c r="A476" i="89" s="1"/>
  <c r="A213" i="89"/>
  <c r="A225" i="89" s="1"/>
  <c r="A237" i="89" s="1"/>
  <c r="A249" i="89" s="1"/>
  <c r="A261" i="89" s="1"/>
  <c r="A273" i="89" s="1"/>
  <c r="A285" i="89" s="1"/>
  <c r="A297" i="89" s="1"/>
  <c r="A309" i="89" s="1"/>
  <c r="A321" i="89" s="1"/>
  <c r="A333" i="89" s="1"/>
  <c r="A345" i="89" s="1"/>
  <c r="A357" i="89" s="1"/>
  <c r="A369" i="89" s="1"/>
  <c r="A381" i="89" s="1"/>
  <c r="A393" i="89" s="1"/>
  <c r="A405" i="89" s="1"/>
  <c r="A417" i="89" s="1"/>
  <c r="A429" i="89" s="1"/>
  <c r="A441" i="89" s="1"/>
  <c r="A453" i="89" s="1"/>
  <c r="A465" i="89" s="1"/>
  <c r="A477" i="89" s="1"/>
  <c r="A178" i="88"/>
  <c r="A190" i="88" s="1"/>
  <c r="A202" i="88" s="1"/>
  <c r="A214" i="88" s="1"/>
  <c r="A226" i="88" s="1"/>
  <c r="A238" i="88" s="1"/>
  <c r="A250" i="88" s="1"/>
  <c r="A262" i="88" s="1"/>
  <c r="A274" i="88" s="1"/>
  <c r="A286" i="88" s="1"/>
  <c r="A298" i="88" s="1"/>
  <c r="A310" i="88" s="1"/>
  <c r="A322" i="88" s="1"/>
  <c r="A334" i="88" s="1"/>
  <c r="A346" i="88" s="1"/>
  <c r="A358" i="88" s="1"/>
  <c r="A370" i="88" s="1"/>
  <c r="A382" i="88" s="1"/>
  <c r="A394" i="88" s="1"/>
  <c r="A406" i="88" s="1"/>
  <c r="A418" i="88" s="1"/>
  <c r="A430" i="88" s="1"/>
  <c r="A442" i="88" s="1"/>
  <c r="A179" i="88"/>
  <c r="A191" i="88" s="1"/>
  <c r="A203" i="88" s="1"/>
  <c r="A215" i="88" s="1"/>
  <c r="A227" i="88" s="1"/>
  <c r="A239" i="88" s="1"/>
  <c r="A251" i="88" s="1"/>
  <c r="A263" i="88" s="1"/>
  <c r="A275" i="88" s="1"/>
  <c r="A287" i="88" s="1"/>
  <c r="A299" i="88" s="1"/>
  <c r="A311" i="88" s="1"/>
  <c r="A323" i="88" s="1"/>
  <c r="A335" i="88" s="1"/>
  <c r="A347" i="88" s="1"/>
  <c r="A359" i="88" s="1"/>
  <c r="A371" i="88" s="1"/>
  <c r="A383" i="88" s="1"/>
  <c r="A395" i="88" s="1"/>
  <c r="A407" i="88" s="1"/>
  <c r="A419" i="88" s="1"/>
  <c r="A431" i="88" s="1"/>
  <c r="A443" i="88" s="1"/>
  <c r="A180" i="88"/>
  <c r="A192" i="88" s="1"/>
  <c r="A204" i="88" s="1"/>
  <c r="A216" i="88" s="1"/>
  <c r="A228" i="88" s="1"/>
  <c r="A240" i="88" s="1"/>
  <c r="A252" i="88" s="1"/>
  <c r="A264" i="88" s="1"/>
  <c r="A276" i="88" s="1"/>
  <c r="A288" i="88" s="1"/>
  <c r="A300" i="88" s="1"/>
  <c r="A312" i="88" s="1"/>
  <c r="A324" i="88" s="1"/>
  <c r="A336" i="88" s="1"/>
  <c r="A348" i="88" s="1"/>
  <c r="A360" i="88" s="1"/>
  <c r="A372" i="88" s="1"/>
  <c r="A384" i="88" s="1"/>
  <c r="A396" i="88" s="1"/>
  <c r="A408" i="88" s="1"/>
  <c r="A420" i="88" s="1"/>
  <c r="A432" i="88" s="1"/>
  <c r="A444" i="88" s="1"/>
  <c r="A181" i="88"/>
  <c r="A193" i="88" s="1"/>
  <c r="A205" i="88" s="1"/>
  <c r="A217" i="88" s="1"/>
  <c r="A229" i="88" s="1"/>
  <c r="A241" i="88" s="1"/>
  <c r="A253" i="88" s="1"/>
  <c r="A265" i="88" s="1"/>
  <c r="A277" i="88" s="1"/>
  <c r="A289" i="88" s="1"/>
  <c r="A301" i="88" s="1"/>
  <c r="A313" i="88" s="1"/>
  <c r="A325" i="88" s="1"/>
  <c r="A337" i="88" s="1"/>
  <c r="A349" i="88" s="1"/>
  <c r="A361" i="88" s="1"/>
  <c r="A373" i="88" s="1"/>
  <c r="A385" i="88" s="1"/>
  <c r="A397" i="88" s="1"/>
  <c r="A409" i="88" s="1"/>
  <c r="A421" i="88" s="1"/>
  <c r="A433" i="88" s="1"/>
  <c r="A445" i="88" s="1"/>
  <c r="A182" i="88"/>
  <c r="A194" i="88" s="1"/>
  <c r="A206" i="88" s="1"/>
  <c r="A218" i="88" s="1"/>
  <c r="A230" i="88" s="1"/>
  <c r="A242" i="88" s="1"/>
  <c r="A254" i="88" s="1"/>
  <c r="A266" i="88" s="1"/>
  <c r="A278" i="88" s="1"/>
  <c r="A290" i="88" s="1"/>
  <c r="A302" i="88" s="1"/>
  <c r="A314" i="88" s="1"/>
  <c r="A326" i="88" s="1"/>
  <c r="A338" i="88" s="1"/>
  <c r="A350" i="88" s="1"/>
  <c r="A362" i="88" s="1"/>
  <c r="A374" i="88" s="1"/>
  <c r="A386" i="88" s="1"/>
  <c r="A398" i="88" s="1"/>
  <c r="A410" i="88" s="1"/>
  <c r="A422" i="88" s="1"/>
  <c r="A434" i="88" s="1"/>
  <c r="A446" i="88" s="1"/>
  <c r="A183" i="88"/>
  <c r="A195" i="88" s="1"/>
  <c r="A207" i="88" s="1"/>
  <c r="A219" i="88" s="1"/>
  <c r="A231" i="88" s="1"/>
  <c r="A243" i="88" s="1"/>
  <c r="A255" i="88" s="1"/>
  <c r="A267" i="88" s="1"/>
  <c r="A279" i="88" s="1"/>
  <c r="A291" i="88" s="1"/>
  <c r="A303" i="88" s="1"/>
  <c r="A315" i="88" s="1"/>
  <c r="A327" i="88" s="1"/>
  <c r="A339" i="88" s="1"/>
  <c r="A351" i="88" s="1"/>
  <c r="A363" i="88" s="1"/>
  <c r="A375" i="88" s="1"/>
  <c r="A387" i="88" s="1"/>
  <c r="A399" i="88" s="1"/>
  <c r="A411" i="88" s="1"/>
  <c r="A423" i="88" s="1"/>
  <c r="A435" i="88" s="1"/>
  <c r="A447" i="88" s="1"/>
  <c r="A184" i="88"/>
  <c r="A196" i="88" s="1"/>
  <c r="A208" i="88" s="1"/>
  <c r="A220" i="88" s="1"/>
  <c r="A232" i="88" s="1"/>
  <c r="A244" i="88" s="1"/>
  <c r="A256" i="88" s="1"/>
  <c r="A268" i="88" s="1"/>
  <c r="A280" i="88" s="1"/>
  <c r="A292" i="88" s="1"/>
  <c r="A304" i="88" s="1"/>
  <c r="A316" i="88" s="1"/>
  <c r="A328" i="88" s="1"/>
  <c r="A340" i="88" s="1"/>
  <c r="A352" i="88" s="1"/>
  <c r="A364" i="88" s="1"/>
  <c r="A376" i="88" s="1"/>
  <c r="A388" i="88" s="1"/>
  <c r="A400" i="88" s="1"/>
  <c r="A412" i="88" s="1"/>
  <c r="A424" i="88" s="1"/>
  <c r="A436" i="88" s="1"/>
  <c r="A448" i="88" s="1"/>
  <c r="A185" i="88"/>
  <c r="A197" i="88" s="1"/>
  <c r="A209" i="88" s="1"/>
  <c r="A221" i="88" s="1"/>
  <c r="A233" i="88" s="1"/>
  <c r="A245" i="88" s="1"/>
  <c r="A257" i="88" s="1"/>
  <c r="A269" i="88" s="1"/>
  <c r="A281" i="88" s="1"/>
  <c r="A293" i="88" s="1"/>
  <c r="A305" i="88" s="1"/>
  <c r="A317" i="88" s="1"/>
  <c r="A329" i="88" s="1"/>
  <c r="A341" i="88" s="1"/>
  <c r="A353" i="88" s="1"/>
  <c r="A365" i="88" s="1"/>
  <c r="A377" i="88" s="1"/>
  <c r="A389" i="88" s="1"/>
  <c r="A401" i="88" s="1"/>
  <c r="A413" i="88" s="1"/>
  <c r="A425" i="88" s="1"/>
  <c r="A437" i="88" s="1"/>
  <c r="A449" i="88" s="1"/>
  <c r="A186" i="88"/>
  <c r="A198" i="88" s="1"/>
  <c r="A210" i="88" s="1"/>
  <c r="A222" i="88" s="1"/>
  <c r="A234" i="88" s="1"/>
  <c r="A246" i="88" s="1"/>
  <c r="A258" i="88" s="1"/>
  <c r="A270" i="88" s="1"/>
  <c r="A282" i="88" s="1"/>
  <c r="A294" i="88" s="1"/>
  <c r="A306" i="88" s="1"/>
  <c r="A318" i="88" s="1"/>
  <c r="A330" i="88" s="1"/>
  <c r="A342" i="88" s="1"/>
  <c r="A354" i="88" s="1"/>
  <c r="A366" i="88" s="1"/>
  <c r="A378" i="88" s="1"/>
  <c r="A390" i="88" s="1"/>
  <c r="A402" i="88" s="1"/>
  <c r="A414" i="88" s="1"/>
  <c r="A426" i="88" s="1"/>
  <c r="A438" i="88" s="1"/>
  <c r="A450" i="88" s="1"/>
  <c r="A187" i="88"/>
  <c r="A199" i="88" s="1"/>
  <c r="A211" i="88" s="1"/>
  <c r="A223" i="88" s="1"/>
  <c r="A235" i="88" s="1"/>
  <c r="A247" i="88" s="1"/>
  <c r="A259" i="88" s="1"/>
  <c r="A271" i="88" s="1"/>
  <c r="A283" i="88" s="1"/>
  <c r="A295" i="88" s="1"/>
  <c r="A307" i="88" s="1"/>
  <c r="A319" i="88" s="1"/>
  <c r="A331" i="88" s="1"/>
  <c r="A343" i="88" s="1"/>
  <c r="A355" i="88" s="1"/>
  <c r="A367" i="88" s="1"/>
  <c r="A379" i="88" s="1"/>
  <c r="A391" i="88" s="1"/>
  <c r="A403" i="88" s="1"/>
  <c r="A415" i="88" s="1"/>
  <c r="A427" i="88" s="1"/>
  <c r="A439" i="88" s="1"/>
  <c r="A451" i="88" s="1"/>
  <c r="A188" i="88"/>
  <c r="A200" i="88" s="1"/>
  <c r="A212" i="88" s="1"/>
  <c r="A224" i="88" s="1"/>
  <c r="A236" i="88" s="1"/>
  <c r="A248" i="88" s="1"/>
  <c r="A260" i="88" s="1"/>
  <c r="A272" i="88" s="1"/>
  <c r="A284" i="88" s="1"/>
  <c r="A296" i="88" s="1"/>
  <c r="A308" i="88" s="1"/>
  <c r="A320" i="88" s="1"/>
  <c r="A332" i="88" s="1"/>
  <c r="A344" i="88" s="1"/>
  <c r="A356" i="88" s="1"/>
  <c r="A368" i="88" s="1"/>
  <c r="A380" i="88" s="1"/>
  <c r="A392" i="88" s="1"/>
  <c r="A404" i="88" s="1"/>
  <c r="A416" i="88" s="1"/>
  <c r="A428" i="88" s="1"/>
  <c r="A440" i="88" s="1"/>
  <c r="A452" i="88" s="1"/>
  <c r="A189" i="88"/>
  <c r="A201" i="88" s="1"/>
  <c r="A213" i="88" s="1"/>
  <c r="A225" i="88" s="1"/>
  <c r="A237" i="88" s="1"/>
  <c r="A249" i="88" s="1"/>
  <c r="A261" i="88" s="1"/>
  <c r="A273" i="88" s="1"/>
  <c r="A285" i="88" s="1"/>
  <c r="A297" i="88" s="1"/>
  <c r="A309" i="88" s="1"/>
  <c r="A321" i="88" s="1"/>
  <c r="A333" i="88" s="1"/>
  <c r="A345" i="88" s="1"/>
  <c r="A357" i="88" s="1"/>
  <c r="A369" i="88" s="1"/>
  <c r="A381" i="88" s="1"/>
  <c r="A393" i="88" s="1"/>
  <c r="A405" i="88" s="1"/>
  <c r="A417" i="88" s="1"/>
  <c r="A429" i="88" s="1"/>
  <c r="A441" i="88" s="1"/>
  <c r="A453" i="88" s="1"/>
  <c r="R169" i="3"/>
  <c r="S169" i="3"/>
  <c r="R170" i="3"/>
  <c r="S170" i="3"/>
  <c r="R171" i="3"/>
  <c r="S171" i="3"/>
  <c r="R172" i="3"/>
  <c r="S172" i="3"/>
  <c r="R173" i="3"/>
  <c r="S173" i="3"/>
  <c r="R174" i="3"/>
  <c r="S174" i="3"/>
  <c r="R175" i="3"/>
  <c r="S175" i="3"/>
  <c r="R176" i="3"/>
  <c r="S176" i="3"/>
  <c r="R177" i="3"/>
  <c r="S177" i="3"/>
  <c r="R178" i="3"/>
  <c r="S178" i="3"/>
  <c r="R179" i="3"/>
  <c r="S179" i="3"/>
  <c r="R180" i="3"/>
  <c r="S180" i="3"/>
  <c r="R181" i="3"/>
  <c r="S181" i="3"/>
  <c r="R182" i="3"/>
  <c r="S182" i="3"/>
  <c r="R183" i="3"/>
  <c r="S183" i="3"/>
  <c r="R184" i="3"/>
  <c r="S184" i="3"/>
  <c r="R185" i="3"/>
  <c r="S185" i="3"/>
  <c r="R186" i="3"/>
  <c r="S186" i="3"/>
  <c r="R187" i="3"/>
  <c r="S187" i="3"/>
  <c r="R188" i="3"/>
  <c r="S188" i="3"/>
  <c r="R189" i="3"/>
  <c r="S189" i="3"/>
  <c r="R190" i="3"/>
  <c r="S190" i="3"/>
  <c r="R191" i="3"/>
  <c r="S191" i="3"/>
  <c r="R192" i="3"/>
  <c r="S192" i="3"/>
  <c r="R193" i="3"/>
  <c r="S193" i="3"/>
  <c r="R194" i="3"/>
  <c r="S194" i="3"/>
  <c r="R195" i="3"/>
  <c r="S195" i="3"/>
  <c r="R196" i="3"/>
  <c r="S196" i="3"/>
  <c r="R197" i="3"/>
  <c r="S197" i="3"/>
  <c r="R198" i="3"/>
  <c r="S198" i="3"/>
  <c r="R199" i="3"/>
  <c r="S199" i="3"/>
  <c r="R200" i="3"/>
  <c r="S200" i="3"/>
  <c r="R201" i="3"/>
  <c r="S201" i="3"/>
  <c r="R202" i="3"/>
  <c r="S202" i="3"/>
  <c r="R203" i="3"/>
  <c r="S203" i="3"/>
  <c r="R204" i="3"/>
  <c r="S204" i="3"/>
  <c r="R205" i="3"/>
  <c r="S205" i="3"/>
  <c r="R206" i="3"/>
  <c r="S206" i="3"/>
  <c r="R207" i="3"/>
  <c r="S207" i="3"/>
  <c r="R210" i="3"/>
  <c r="S210" i="3"/>
  <c r="R211" i="3"/>
  <c r="S211" i="3"/>
  <c r="S212" i="3"/>
  <c r="R213" i="3"/>
  <c r="S213" i="3"/>
  <c r="R214" i="3"/>
  <c r="S214" i="3"/>
  <c r="R215" i="3"/>
  <c r="S215" i="3"/>
  <c r="R216" i="3"/>
  <c r="S216" i="3"/>
  <c r="R217" i="3"/>
  <c r="S217" i="3"/>
  <c r="R218" i="3"/>
  <c r="S218" i="3"/>
  <c r="R219" i="3"/>
  <c r="S219" i="3"/>
  <c r="R220" i="3"/>
  <c r="R221" i="3"/>
  <c r="S221" i="3"/>
  <c r="R222" i="3"/>
  <c r="S222" i="3"/>
  <c r="R223" i="3"/>
  <c r="S223" i="3"/>
  <c r="R225" i="3"/>
  <c r="S225" i="3"/>
  <c r="R226" i="3"/>
  <c r="S226" i="3"/>
  <c r="R227" i="3"/>
  <c r="S227" i="3"/>
  <c r="R228" i="3"/>
  <c r="S228" i="3"/>
  <c r="R229" i="3"/>
  <c r="S229" i="3"/>
  <c r="R230" i="3"/>
  <c r="S230" i="3"/>
  <c r="R231" i="3"/>
  <c r="S231" i="3"/>
  <c r="R232" i="3"/>
  <c r="S232" i="3"/>
  <c r="R233" i="3"/>
  <c r="S233" i="3"/>
  <c r="R234" i="3"/>
  <c r="S234" i="3"/>
  <c r="H217" i="17"/>
  <c r="A178" i="52"/>
  <c r="A190" i="52" s="1"/>
  <c r="A202" i="52" s="1"/>
  <c r="A214" i="52" s="1"/>
  <c r="A226" i="52" s="1"/>
  <c r="A238" i="52" s="1"/>
  <c r="A250" i="52" s="1"/>
  <c r="A262" i="52" s="1"/>
  <c r="A274" i="52" s="1"/>
  <c r="A286" i="52" s="1"/>
  <c r="A298" i="52" s="1"/>
  <c r="A310" i="52" s="1"/>
  <c r="A322" i="52" s="1"/>
  <c r="A334" i="52" s="1"/>
  <c r="A346" i="52" s="1"/>
  <c r="A358" i="52" s="1"/>
  <c r="A370" i="52" s="1"/>
  <c r="A382" i="52" s="1"/>
  <c r="A179" i="52"/>
  <c r="A191" i="52" s="1"/>
  <c r="A203" i="52" s="1"/>
  <c r="A215" i="52" s="1"/>
  <c r="A227" i="52" s="1"/>
  <c r="A239" i="52" s="1"/>
  <c r="A251" i="52" s="1"/>
  <c r="A263" i="52" s="1"/>
  <c r="A275" i="52" s="1"/>
  <c r="A287" i="52" s="1"/>
  <c r="A299" i="52" s="1"/>
  <c r="A311" i="52" s="1"/>
  <c r="A323" i="52" s="1"/>
  <c r="A335" i="52" s="1"/>
  <c r="A347" i="52" s="1"/>
  <c r="A359" i="52" s="1"/>
  <c r="A371" i="52" s="1"/>
  <c r="A383" i="52" s="1"/>
  <c r="A180" i="52"/>
  <c r="A192" i="52" s="1"/>
  <c r="A204" i="52" s="1"/>
  <c r="A216" i="52" s="1"/>
  <c r="A228" i="52" s="1"/>
  <c r="A240" i="52" s="1"/>
  <c r="A252" i="52" s="1"/>
  <c r="A264" i="52" s="1"/>
  <c r="A276" i="52" s="1"/>
  <c r="A288" i="52" s="1"/>
  <c r="A300" i="52" s="1"/>
  <c r="A312" i="52" s="1"/>
  <c r="A324" i="52" s="1"/>
  <c r="A336" i="52" s="1"/>
  <c r="A348" i="52" s="1"/>
  <c r="A360" i="52" s="1"/>
  <c r="A372" i="52" s="1"/>
  <c r="A384" i="52" s="1"/>
  <c r="A181" i="52"/>
  <c r="A193" i="52" s="1"/>
  <c r="A205" i="52" s="1"/>
  <c r="A217" i="52" s="1"/>
  <c r="A229" i="52" s="1"/>
  <c r="A241" i="52" s="1"/>
  <c r="A253" i="52" s="1"/>
  <c r="A265" i="52" s="1"/>
  <c r="A277" i="52" s="1"/>
  <c r="A289" i="52" s="1"/>
  <c r="A301" i="52" s="1"/>
  <c r="A313" i="52" s="1"/>
  <c r="A325" i="52" s="1"/>
  <c r="A337" i="52" s="1"/>
  <c r="A349" i="52" s="1"/>
  <c r="A361" i="52" s="1"/>
  <c r="A373" i="52" s="1"/>
  <c r="A385" i="52" s="1"/>
  <c r="A182" i="52"/>
  <c r="A194" i="52" s="1"/>
  <c r="A206" i="52" s="1"/>
  <c r="A218" i="52" s="1"/>
  <c r="A230" i="52" s="1"/>
  <c r="A242" i="52" s="1"/>
  <c r="A254" i="52" s="1"/>
  <c r="A266" i="52" s="1"/>
  <c r="A278" i="52" s="1"/>
  <c r="A290" i="52" s="1"/>
  <c r="A302" i="52" s="1"/>
  <c r="A314" i="52" s="1"/>
  <c r="A326" i="52" s="1"/>
  <c r="A338" i="52" s="1"/>
  <c r="A350" i="52" s="1"/>
  <c r="A362" i="52" s="1"/>
  <c r="A374" i="52" s="1"/>
  <c r="A386" i="52" s="1"/>
  <c r="A183" i="52"/>
  <c r="A195" i="52" s="1"/>
  <c r="A207" i="52" s="1"/>
  <c r="A219" i="52" s="1"/>
  <c r="A231" i="52" s="1"/>
  <c r="A243" i="52" s="1"/>
  <c r="A255" i="52" s="1"/>
  <c r="A267" i="52" s="1"/>
  <c r="A279" i="52" s="1"/>
  <c r="A291" i="52" s="1"/>
  <c r="A303" i="52" s="1"/>
  <c r="A315" i="52" s="1"/>
  <c r="A327" i="52" s="1"/>
  <c r="A339" i="52" s="1"/>
  <c r="A351" i="52" s="1"/>
  <c r="A363" i="52" s="1"/>
  <c r="A375" i="52" s="1"/>
  <c r="A387" i="52" s="1"/>
  <c r="A184" i="52"/>
  <c r="A196" i="52" s="1"/>
  <c r="A208" i="52" s="1"/>
  <c r="A220" i="52" s="1"/>
  <c r="A232" i="52" s="1"/>
  <c r="A244" i="52" s="1"/>
  <c r="A256" i="52" s="1"/>
  <c r="A268" i="52" s="1"/>
  <c r="A280" i="52" s="1"/>
  <c r="A292" i="52" s="1"/>
  <c r="A304" i="52" s="1"/>
  <c r="A316" i="52" s="1"/>
  <c r="A328" i="52" s="1"/>
  <c r="A340" i="52" s="1"/>
  <c r="A352" i="52" s="1"/>
  <c r="A364" i="52" s="1"/>
  <c r="A376" i="52" s="1"/>
  <c r="A388" i="52" s="1"/>
  <c r="A185" i="52"/>
  <c r="A197" i="52" s="1"/>
  <c r="A209" i="52" s="1"/>
  <c r="A221" i="52" s="1"/>
  <c r="A233" i="52" s="1"/>
  <c r="A245" i="52" s="1"/>
  <c r="A257" i="52" s="1"/>
  <c r="A269" i="52" s="1"/>
  <c r="A281" i="52" s="1"/>
  <c r="A293" i="52" s="1"/>
  <c r="A305" i="52" s="1"/>
  <c r="A317" i="52" s="1"/>
  <c r="A329" i="52" s="1"/>
  <c r="A341" i="52" s="1"/>
  <c r="A353" i="52" s="1"/>
  <c r="A365" i="52" s="1"/>
  <c r="A377" i="52" s="1"/>
  <c r="A389" i="52" s="1"/>
  <c r="A186" i="52"/>
  <c r="A198" i="52" s="1"/>
  <c r="A210" i="52" s="1"/>
  <c r="A222" i="52" s="1"/>
  <c r="A234" i="52" s="1"/>
  <c r="A246" i="52" s="1"/>
  <c r="A258" i="52" s="1"/>
  <c r="A270" i="52" s="1"/>
  <c r="A282" i="52" s="1"/>
  <c r="A294" i="52" s="1"/>
  <c r="A306" i="52" s="1"/>
  <c r="A318" i="52" s="1"/>
  <c r="A330" i="52" s="1"/>
  <c r="A342" i="52" s="1"/>
  <c r="A354" i="52" s="1"/>
  <c r="A366" i="52" s="1"/>
  <c r="A378" i="52" s="1"/>
  <c r="A390" i="52" s="1"/>
  <c r="A187" i="52"/>
  <c r="A199" i="52" s="1"/>
  <c r="A211" i="52" s="1"/>
  <c r="A223" i="52" s="1"/>
  <c r="A235" i="52" s="1"/>
  <c r="A247" i="52" s="1"/>
  <c r="A259" i="52" s="1"/>
  <c r="A271" i="52" s="1"/>
  <c r="A283" i="52" s="1"/>
  <c r="A295" i="52" s="1"/>
  <c r="A307" i="52" s="1"/>
  <c r="A319" i="52" s="1"/>
  <c r="A331" i="52" s="1"/>
  <c r="A343" i="52" s="1"/>
  <c r="A355" i="52" s="1"/>
  <c r="A367" i="52" s="1"/>
  <c r="A379" i="52" s="1"/>
  <c r="A391" i="52" s="1"/>
  <c r="A188" i="52"/>
  <c r="A200" i="52" s="1"/>
  <c r="A212" i="52" s="1"/>
  <c r="A224" i="52" s="1"/>
  <c r="A236" i="52" s="1"/>
  <c r="A248" i="52" s="1"/>
  <c r="A260" i="52" s="1"/>
  <c r="A272" i="52" s="1"/>
  <c r="A284" i="52" s="1"/>
  <c r="A296" i="52" s="1"/>
  <c r="A308" i="52" s="1"/>
  <c r="A320" i="52" s="1"/>
  <c r="A332" i="52" s="1"/>
  <c r="A344" i="52" s="1"/>
  <c r="A356" i="52" s="1"/>
  <c r="A368" i="52" s="1"/>
  <c r="A380" i="52" s="1"/>
  <c r="A392" i="52" s="1"/>
  <c r="A189" i="52"/>
  <c r="A201" i="52" s="1"/>
  <c r="A213" i="52" s="1"/>
  <c r="A225" i="52" s="1"/>
  <c r="A237" i="52" s="1"/>
  <c r="A249" i="52" s="1"/>
  <c r="A261" i="52" s="1"/>
  <c r="A273" i="52" s="1"/>
  <c r="A285" i="52" s="1"/>
  <c r="A297" i="52" s="1"/>
  <c r="A309" i="52" s="1"/>
  <c r="A321" i="52" s="1"/>
  <c r="A333" i="52" s="1"/>
  <c r="A345" i="52" s="1"/>
  <c r="A357" i="52" s="1"/>
  <c r="A369" i="52" s="1"/>
  <c r="A381" i="52" s="1"/>
  <c r="A393" i="52" s="1"/>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4" i="52"/>
  <c r="G256" i="52"/>
  <c r="G257" i="52"/>
  <c r="G258" i="52"/>
  <c r="G259" i="52"/>
  <c r="G260" i="52"/>
  <c r="G261" i="52"/>
  <c r="G262" i="52"/>
  <c r="G263" i="52"/>
  <c r="G264" i="52"/>
  <c r="G265" i="52"/>
  <c r="G266" i="52"/>
  <c r="G267" i="52"/>
  <c r="G268" i="52"/>
  <c r="G269" i="52"/>
  <c r="G270" i="52"/>
  <c r="G271" i="52"/>
  <c r="G272" i="52"/>
  <c r="G273" i="52"/>
  <c r="A430" i="71"/>
  <c r="A442" i="71" s="1"/>
  <c r="A454" i="71" s="1"/>
  <c r="A466" i="71" s="1"/>
  <c r="A478" i="71" s="1"/>
  <c r="A490" i="71" s="1"/>
  <c r="A502" i="71" s="1"/>
  <c r="A514" i="71" s="1"/>
  <c r="A526" i="71" s="1"/>
  <c r="A538" i="71" s="1"/>
  <c r="A550" i="71" s="1"/>
  <c r="A562" i="71" s="1"/>
  <c r="A574" i="71" s="1"/>
  <c r="A586" i="71" s="1"/>
  <c r="A598" i="71" s="1"/>
  <c r="A610" i="71" s="1"/>
  <c r="A622" i="71" s="1"/>
  <c r="A634" i="71" s="1"/>
  <c r="A431" i="71"/>
  <c r="A443" i="71" s="1"/>
  <c r="A455" i="71" s="1"/>
  <c r="A467" i="71" s="1"/>
  <c r="A479" i="71" s="1"/>
  <c r="A491" i="71" s="1"/>
  <c r="A503" i="71" s="1"/>
  <c r="A515" i="71" s="1"/>
  <c r="A527" i="71" s="1"/>
  <c r="A539" i="71" s="1"/>
  <c r="A551" i="71" s="1"/>
  <c r="A563" i="71" s="1"/>
  <c r="A575" i="71" s="1"/>
  <c r="A587" i="71" s="1"/>
  <c r="A599" i="71" s="1"/>
  <c r="A611" i="71" s="1"/>
  <c r="A623" i="71" s="1"/>
  <c r="A635" i="71" s="1"/>
  <c r="A432" i="71"/>
  <c r="A444" i="71" s="1"/>
  <c r="A456" i="71" s="1"/>
  <c r="A468" i="71" s="1"/>
  <c r="A480" i="71" s="1"/>
  <c r="A492" i="71" s="1"/>
  <c r="A504" i="71" s="1"/>
  <c r="A516" i="71" s="1"/>
  <c r="A528" i="71" s="1"/>
  <c r="A540" i="71" s="1"/>
  <c r="A552" i="71" s="1"/>
  <c r="A564" i="71" s="1"/>
  <c r="A576" i="71" s="1"/>
  <c r="A588" i="71" s="1"/>
  <c r="A600" i="71" s="1"/>
  <c r="A433" i="71"/>
  <c r="A445" i="71" s="1"/>
  <c r="A457" i="71" s="1"/>
  <c r="A469" i="71" s="1"/>
  <c r="A481" i="71" s="1"/>
  <c r="A493" i="71" s="1"/>
  <c r="A505" i="71" s="1"/>
  <c r="A517" i="71" s="1"/>
  <c r="A529" i="71" s="1"/>
  <c r="A541" i="71" s="1"/>
  <c r="A553" i="71" s="1"/>
  <c r="A565" i="71" s="1"/>
  <c r="A577" i="71" s="1"/>
  <c r="A589" i="71" s="1"/>
  <c r="A601" i="71" s="1"/>
  <c r="A613" i="71" s="1"/>
  <c r="A625" i="71" s="1"/>
  <c r="A637" i="71" s="1"/>
  <c r="A434" i="71"/>
  <c r="A446" i="71" s="1"/>
  <c r="A458" i="71" s="1"/>
  <c r="A470" i="71" s="1"/>
  <c r="A482" i="71" s="1"/>
  <c r="A494" i="71" s="1"/>
  <c r="A506" i="71" s="1"/>
  <c r="A518" i="71" s="1"/>
  <c r="A530" i="71" s="1"/>
  <c r="A542" i="71" s="1"/>
  <c r="A554" i="71" s="1"/>
  <c r="A566" i="71" s="1"/>
  <c r="A578" i="71" s="1"/>
  <c r="A590" i="71" s="1"/>
  <c r="A602" i="71" s="1"/>
  <c r="A614" i="71" s="1"/>
  <c r="A626" i="71" s="1"/>
  <c r="A638" i="71" s="1"/>
  <c r="A435" i="71"/>
  <c r="A447" i="71" s="1"/>
  <c r="A459" i="71" s="1"/>
  <c r="A471" i="71" s="1"/>
  <c r="A483" i="71" s="1"/>
  <c r="A495" i="71" s="1"/>
  <c r="A507" i="71" s="1"/>
  <c r="A519" i="71" s="1"/>
  <c r="A531" i="71" s="1"/>
  <c r="A543" i="71" s="1"/>
  <c r="A555" i="71" s="1"/>
  <c r="A567" i="71" s="1"/>
  <c r="A579" i="71" s="1"/>
  <c r="A591" i="71" s="1"/>
  <c r="A603" i="71" s="1"/>
  <c r="A615" i="71" s="1"/>
  <c r="A627" i="71" s="1"/>
  <c r="A639" i="71" s="1"/>
  <c r="A436" i="71"/>
  <c r="A448" i="71" s="1"/>
  <c r="A460" i="71" s="1"/>
  <c r="A472" i="71" s="1"/>
  <c r="A484" i="71" s="1"/>
  <c r="A496" i="71" s="1"/>
  <c r="A508" i="71" s="1"/>
  <c r="A520" i="71" s="1"/>
  <c r="A532" i="71" s="1"/>
  <c r="A544" i="71" s="1"/>
  <c r="A556" i="71" s="1"/>
  <c r="A568" i="71" s="1"/>
  <c r="A580" i="71" s="1"/>
  <c r="A592" i="71" s="1"/>
  <c r="A604" i="71" s="1"/>
  <c r="A616" i="71" s="1"/>
  <c r="A628" i="71" s="1"/>
  <c r="A640" i="71" s="1"/>
  <c r="A437" i="71"/>
  <c r="A449" i="71" s="1"/>
  <c r="A461" i="71" s="1"/>
  <c r="A473" i="71" s="1"/>
  <c r="A485" i="71" s="1"/>
  <c r="A497" i="71" s="1"/>
  <c r="A509" i="71" s="1"/>
  <c r="A521" i="71" s="1"/>
  <c r="A533" i="71" s="1"/>
  <c r="A545" i="71" s="1"/>
  <c r="A557" i="71" s="1"/>
  <c r="A569" i="71" s="1"/>
  <c r="A438" i="71"/>
  <c r="A450" i="71" s="1"/>
  <c r="A462" i="71" s="1"/>
  <c r="A474" i="71" s="1"/>
  <c r="A486" i="71" s="1"/>
  <c r="A498" i="71" s="1"/>
  <c r="A510" i="71" s="1"/>
  <c r="A522" i="71" s="1"/>
  <c r="A534" i="71" s="1"/>
  <c r="A546" i="71" s="1"/>
  <c r="A558" i="71" s="1"/>
  <c r="A570" i="71" s="1"/>
  <c r="A582" i="71" s="1"/>
  <c r="A594" i="71" s="1"/>
  <c r="A606" i="71" s="1"/>
  <c r="A618" i="71" s="1"/>
  <c r="A630" i="71" s="1"/>
  <c r="A642" i="71" s="1"/>
  <c r="A439" i="71"/>
  <c r="A451" i="71" s="1"/>
  <c r="A463" i="71" s="1"/>
  <c r="A475" i="71" s="1"/>
  <c r="A487" i="71" s="1"/>
  <c r="A499" i="71" s="1"/>
  <c r="A511" i="71" s="1"/>
  <c r="A523" i="71" s="1"/>
  <c r="A535" i="71" s="1"/>
  <c r="A547" i="71" s="1"/>
  <c r="A559" i="71" s="1"/>
  <c r="A571" i="71" s="1"/>
  <c r="A583" i="71" s="1"/>
  <c r="A595" i="71" s="1"/>
  <c r="A607" i="71" s="1"/>
  <c r="A619" i="71" s="1"/>
  <c r="A631" i="71" s="1"/>
  <c r="A643" i="71" s="1"/>
  <c r="A440" i="71"/>
  <c r="A452" i="71" s="1"/>
  <c r="A464" i="71" s="1"/>
  <c r="A476" i="71" s="1"/>
  <c r="A488" i="71" s="1"/>
  <c r="A500" i="71" s="1"/>
  <c r="A512" i="71" s="1"/>
  <c r="A524" i="71" s="1"/>
  <c r="A536" i="71" s="1"/>
  <c r="A548" i="71" s="1"/>
  <c r="A560" i="71" s="1"/>
  <c r="A572" i="71" s="1"/>
  <c r="A584" i="71" s="1"/>
  <c r="A596" i="71" s="1"/>
  <c r="A608" i="71" s="1"/>
  <c r="A620" i="71" s="1"/>
  <c r="A632" i="71" s="1"/>
  <c r="A644" i="71" s="1"/>
  <c r="A441" i="71"/>
  <c r="A453" i="71" s="1"/>
  <c r="A465" i="71" s="1"/>
  <c r="A477" i="71" s="1"/>
  <c r="A489" i="71" s="1"/>
  <c r="A501" i="71" s="1"/>
  <c r="A513" i="71" s="1"/>
  <c r="A525" i="71" s="1"/>
  <c r="A537" i="71" s="1"/>
  <c r="A549" i="71" s="1"/>
  <c r="A561" i="71" s="1"/>
  <c r="A573" i="71" s="1"/>
  <c r="A585" i="71" s="1"/>
  <c r="A597" i="71" s="1"/>
  <c r="A609" i="71" s="1"/>
  <c r="A621" i="71" s="1"/>
  <c r="A633" i="71" s="1"/>
  <c r="A645" i="71" s="1"/>
  <c r="B148" i="69"/>
  <c r="C148" i="69"/>
  <c r="C146" i="69" s="1"/>
  <c r="C147" i="69" s="1"/>
  <c r="E148" i="69"/>
  <c r="F148" i="69"/>
  <c r="F146" i="69" s="1"/>
  <c r="G148" i="69"/>
  <c r="H148" i="69"/>
  <c r="H146" i="69" s="1"/>
  <c r="J148" i="69"/>
  <c r="K148" i="69"/>
  <c r="A226" i="69"/>
  <c r="A238" i="69" s="1"/>
  <c r="A250" i="69" s="1"/>
  <c r="A262" i="69" s="1"/>
  <c r="A274" i="69" s="1"/>
  <c r="A286" i="69" s="1"/>
  <c r="A298" i="69" s="1"/>
  <c r="A310" i="69" s="1"/>
  <c r="A322" i="69" s="1"/>
  <c r="A334" i="69" s="1"/>
  <c r="A346" i="69" s="1"/>
  <c r="A358" i="69" s="1"/>
  <c r="A370" i="69" s="1"/>
  <c r="A382" i="69" s="1"/>
  <c r="A394" i="69" s="1"/>
  <c r="A406" i="69" s="1"/>
  <c r="A418" i="69" s="1"/>
  <c r="A430" i="69" s="1"/>
  <c r="A227" i="69"/>
  <c r="A239" i="69" s="1"/>
  <c r="A251" i="69" s="1"/>
  <c r="A263" i="69" s="1"/>
  <c r="A275" i="69" s="1"/>
  <c r="A287" i="69" s="1"/>
  <c r="A299" i="69" s="1"/>
  <c r="A311" i="69" s="1"/>
  <c r="A323" i="69" s="1"/>
  <c r="A335" i="69" s="1"/>
  <c r="A347" i="69" s="1"/>
  <c r="A359" i="69" s="1"/>
  <c r="A371" i="69" s="1"/>
  <c r="A383" i="69" s="1"/>
  <c r="A395" i="69" s="1"/>
  <c r="A407" i="69" s="1"/>
  <c r="A419" i="69" s="1"/>
  <c r="A431" i="69" s="1"/>
  <c r="A228" i="69"/>
  <c r="A240" i="69" s="1"/>
  <c r="A252" i="69" s="1"/>
  <c r="A264" i="69" s="1"/>
  <c r="A276" i="69" s="1"/>
  <c r="A288" i="69" s="1"/>
  <c r="A300" i="69" s="1"/>
  <c r="A312" i="69" s="1"/>
  <c r="A324" i="69" s="1"/>
  <c r="A336" i="69" s="1"/>
  <c r="A348" i="69" s="1"/>
  <c r="A360" i="69" s="1"/>
  <c r="A372" i="69" s="1"/>
  <c r="A384" i="69" s="1"/>
  <c r="A396" i="69" s="1"/>
  <c r="A408" i="69" s="1"/>
  <c r="A420" i="69" s="1"/>
  <c r="A432" i="69" s="1"/>
  <c r="A229" i="69"/>
  <c r="A241" i="69" s="1"/>
  <c r="A253" i="69" s="1"/>
  <c r="A265" i="69" s="1"/>
  <c r="A277" i="69" s="1"/>
  <c r="A289" i="69" s="1"/>
  <c r="A301" i="69" s="1"/>
  <c r="A313" i="69" s="1"/>
  <c r="A325" i="69" s="1"/>
  <c r="A337" i="69" s="1"/>
  <c r="A349" i="69" s="1"/>
  <c r="A361" i="69" s="1"/>
  <c r="A373" i="69" s="1"/>
  <c r="A385" i="69" s="1"/>
  <c r="A397" i="69" s="1"/>
  <c r="A409" i="69" s="1"/>
  <c r="A421" i="69" s="1"/>
  <c r="A433" i="69" s="1"/>
  <c r="A230" i="69"/>
  <c r="A242" i="69" s="1"/>
  <c r="A254" i="69" s="1"/>
  <c r="A266" i="69" s="1"/>
  <c r="A278" i="69" s="1"/>
  <c r="A290" i="69" s="1"/>
  <c r="A302" i="69" s="1"/>
  <c r="A314" i="69" s="1"/>
  <c r="A326" i="69" s="1"/>
  <c r="A338" i="69" s="1"/>
  <c r="A350" i="69" s="1"/>
  <c r="A362" i="69" s="1"/>
  <c r="A374" i="69" s="1"/>
  <c r="A386" i="69" s="1"/>
  <c r="A398" i="69" s="1"/>
  <c r="A410" i="69" s="1"/>
  <c r="A422" i="69" s="1"/>
  <c r="A434" i="69" s="1"/>
  <c r="A231" i="69"/>
  <c r="A243" i="69" s="1"/>
  <c r="A255" i="69" s="1"/>
  <c r="A267" i="69" s="1"/>
  <c r="A279" i="69" s="1"/>
  <c r="A291" i="69" s="1"/>
  <c r="A303" i="69" s="1"/>
  <c r="A315" i="69" s="1"/>
  <c r="A327" i="69" s="1"/>
  <c r="A339" i="69" s="1"/>
  <c r="A351" i="69" s="1"/>
  <c r="A363" i="69" s="1"/>
  <c r="A375" i="69" s="1"/>
  <c r="A387" i="69" s="1"/>
  <c r="A399" i="69" s="1"/>
  <c r="A411" i="69" s="1"/>
  <c r="A423" i="69" s="1"/>
  <c r="A435" i="69" s="1"/>
  <c r="A232" i="69"/>
  <c r="A244" i="69" s="1"/>
  <c r="A256" i="69" s="1"/>
  <c r="A268" i="69" s="1"/>
  <c r="A280" i="69" s="1"/>
  <c r="A292" i="69" s="1"/>
  <c r="A304" i="69" s="1"/>
  <c r="A316" i="69" s="1"/>
  <c r="A328" i="69" s="1"/>
  <c r="A340" i="69" s="1"/>
  <c r="A352" i="69" s="1"/>
  <c r="A364" i="69" s="1"/>
  <c r="A376" i="69" s="1"/>
  <c r="A388" i="69" s="1"/>
  <c r="A400" i="69" s="1"/>
  <c r="A412" i="69" s="1"/>
  <c r="A424" i="69" s="1"/>
  <c r="A436" i="69" s="1"/>
  <c r="A233" i="69"/>
  <c r="A245" i="69" s="1"/>
  <c r="A257" i="69" s="1"/>
  <c r="A269" i="69" s="1"/>
  <c r="A281" i="69" s="1"/>
  <c r="A293" i="69" s="1"/>
  <c r="A305" i="69" s="1"/>
  <c r="A317" i="69" s="1"/>
  <c r="A329" i="69" s="1"/>
  <c r="A341" i="69" s="1"/>
  <c r="A353" i="69" s="1"/>
  <c r="A365" i="69" s="1"/>
  <c r="A377" i="69" s="1"/>
  <c r="A389" i="69" s="1"/>
  <c r="A401" i="69" s="1"/>
  <c r="A413" i="69" s="1"/>
  <c r="A425" i="69" s="1"/>
  <c r="A437" i="69" s="1"/>
  <c r="A234" i="69"/>
  <c r="A246" i="69" s="1"/>
  <c r="A258" i="69" s="1"/>
  <c r="A270" i="69" s="1"/>
  <c r="A282" i="69" s="1"/>
  <c r="A294" i="69" s="1"/>
  <c r="A306" i="69" s="1"/>
  <c r="A318" i="69" s="1"/>
  <c r="A330" i="69" s="1"/>
  <c r="A342" i="69" s="1"/>
  <c r="A354" i="69" s="1"/>
  <c r="A366" i="69" s="1"/>
  <c r="A378" i="69" s="1"/>
  <c r="A390" i="69" s="1"/>
  <c r="A402" i="69" s="1"/>
  <c r="A414" i="69" s="1"/>
  <c r="A426" i="69" s="1"/>
  <c r="A438" i="69" s="1"/>
  <c r="A235" i="69"/>
  <c r="A247" i="69" s="1"/>
  <c r="A259" i="69" s="1"/>
  <c r="A271" i="69" s="1"/>
  <c r="A283" i="69" s="1"/>
  <c r="A295" i="69" s="1"/>
  <c r="A307" i="69" s="1"/>
  <c r="A319" i="69" s="1"/>
  <c r="A331" i="69" s="1"/>
  <c r="A343" i="69" s="1"/>
  <c r="A355" i="69" s="1"/>
  <c r="A367" i="69" s="1"/>
  <c r="A379" i="69" s="1"/>
  <c r="A391" i="69" s="1"/>
  <c r="A403" i="69" s="1"/>
  <c r="A415" i="69" s="1"/>
  <c r="A427" i="69" s="1"/>
  <c r="A439" i="69" s="1"/>
  <c r="A236" i="69"/>
  <c r="A248" i="69" s="1"/>
  <c r="A260" i="69" s="1"/>
  <c r="A272" i="69" s="1"/>
  <c r="A284" i="69" s="1"/>
  <c r="A296" i="69" s="1"/>
  <c r="A308" i="69" s="1"/>
  <c r="A320" i="69" s="1"/>
  <c r="A332" i="69" s="1"/>
  <c r="A344" i="69" s="1"/>
  <c r="A356" i="69" s="1"/>
  <c r="A368" i="69" s="1"/>
  <c r="A380" i="69" s="1"/>
  <c r="A392" i="69" s="1"/>
  <c r="A404" i="69" s="1"/>
  <c r="A416" i="69" s="1"/>
  <c r="A428" i="69" s="1"/>
  <c r="A440" i="69" s="1"/>
  <c r="A237" i="69"/>
  <c r="A249" i="69" s="1"/>
  <c r="A261" i="69" s="1"/>
  <c r="A273" i="69" s="1"/>
  <c r="A285" i="69" s="1"/>
  <c r="A297" i="69" s="1"/>
  <c r="A309" i="69" s="1"/>
  <c r="A321" i="69" s="1"/>
  <c r="A333" i="69" s="1"/>
  <c r="A345" i="69" s="1"/>
  <c r="A357" i="69" s="1"/>
  <c r="A369" i="69" s="1"/>
  <c r="A381" i="69" s="1"/>
  <c r="A393" i="69" s="1"/>
  <c r="A405" i="69" s="1"/>
  <c r="A417" i="69" s="1"/>
  <c r="A429" i="69" s="1"/>
  <c r="A441" i="69" s="1"/>
  <c r="A298" i="27"/>
  <c r="A310" i="27" s="1"/>
  <c r="A322" i="27" s="1"/>
  <c r="A334" i="27" s="1"/>
  <c r="A346" i="27" s="1"/>
  <c r="A358" i="27" s="1"/>
  <c r="A370" i="27" s="1"/>
  <c r="A382" i="27" s="1"/>
  <c r="A394" i="27" s="1"/>
  <c r="A299" i="27"/>
  <c r="A311" i="27" s="1"/>
  <c r="A323" i="27" s="1"/>
  <c r="A335" i="27" s="1"/>
  <c r="A347" i="27" s="1"/>
  <c r="A359" i="27" s="1"/>
  <c r="A371" i="27" s="1"/>
  <c r="A383" i="27" s="1"/>
  <c r="A395" i="27" s="1"/>
  <c r="A300" i="27"/>
  <c r="A312" i="27" s="1"/>
  <c r="A324" i="27" s="1"/>
  <c r="A336" i="27" s="1"/>
  <c r="A348" i="27" s="1"/>
  <c r="A360" i="27" s="1"/>
  <c r="A372" i="27" s="1"/>
  <c r="A384" i="27" s="1"/>
  <c r="A396" i="27" s="1"/>
  <c r="A301" i="27"/>
  <c r="A313" i="27" s="1"/>
  <c r="A325" i="27" s="1"/>
  <c r="A337" i="27" s="1"/>
  <c r="A349" i="27" s="1"/>
  <c r="A361" i="27" s="1"/>
  <c r="A373" i="27" s="1"/>
  <c r="A385" i="27" s="1"/>
  <c r="A397" i="27" s="1"/>
  <c r="A302" i="27"/>
  <c r="A314" i="27" s="1"/>
  <c r="A326" i="27" s="1"/>
  <c r="A338" i="27" s="1"/>
  <c r="A350" i="27" s="1"/>
  <c r="A362" i="27" s="1"/>
  <c r="A374" i="27" s="1"/>
  <c r="A386" i="27" s="1"/>
  <c r="A398" i="27" s="1"/>
  <c r="A303" i="27"/>
  <c r="A315" i="27" s="1"/>
  <c r="A327" i="27" s="1"/>
  <c r="A339" i="27" s="1"/>
  <c r="A351" i="27" s="1"/>
  <c r="A363" i="27" s="1"/>
  <c r="A375" i="27" s="1"/>
  <c r="A387" i="27" s="1"/>
  <c r="A399" i="27" s="1"/>
  <c r="A304" i="27"/>
  <c r="A316" i="27" s="1"/>
  <c r="A328" i="27" s="1"/>
  <c r="A340" i="27" s="1"/>
  <c r="A352" i="27" s="1"/>
  <c r="A364" i="27" s="1"/>
  <c r="A376" i="27" s="1"/>
  <c r="A388" i="27" s="1"/>
  <c r="A400" i="27" s="1"/>
  <c r="A305" i="27"/>
  <c r="A317" i="27" s="1"/>
  <c r="A329" i="27" s="1"/>
  <c r="A341" i="27" s="1"/>
  <c r="A353" i="27" s="1"/>
  <c r="A365" i="27" s="1"/>
  <c r="A377" i="27" s="1"/>
  <c r="A389" i="27" s="1"/>
  <c r="A401" i="27" s="1"/>
  <c r="A306" i="27"/>
  <c r="A318" i="27" s="1"/>
  <c r="A330" i="27" s="1"/>
  <c r="A342" i="27" s="1"/>
  <c r="A354" i="27" s="1"/>
  <c r="A366" i="27" s="1"/>
  <c r="A378" i="27" s="1"/>
  <c r="A390" i="27" s="1"/>
  <c r="A402" i="27" s="1"/>
  <c r="A307" i="27"/>
  <c r="A319" i="27" s="1"/>
  <c r="A331" i="27" s="1"/>
  <c r="A343" i="27" s="1"/>
  <c r="A355" i="27" s="1"/>
  <c r="A367" i="27" s="1"/>
  <c r="A379" i="27" s="1"/>
  <c r="A391" i="27" s="1"/>
  <c r="A403" i="27" s="1"/>
  <c r="A308" i="27"/>
  <c r="A320" i="27" s="1"/>
  <c r="A332" i="27" s="1"/>
  <c r="A344" i="27" s="1"/>
  <c r="A356" i="27" s="1"/>
  <c r="A368" i="27" s="1"/>
  <c r="A380" i="27" s="1"/>
  <c r="A392" i="27" s="1"/>
  <c r="A404" i="27" s="1"/>
  <c r="A309" i="27"/>
  <c r="A321" i="27" s="1"/>
  <c r="A333" i="27" s="1"/>
  <c r="A345" i="27" s="1"/>
  <c r="A357" i="27" s="1"/>
  <c r="A369" i="27" s="1"/>
  <c r="A381" i="27" s="1"/>
  <c r="A393" i="27" s="1"/>
  <c r="A405" i="27" s="1"/>
  <c r="C164" i="59"/>
  <c r="C165" i="59"/>
  <c r="A166" i="59"/>
  <c r="A178" i="59" s="1"/>
  <c r="A190" i="59" s="1"/>
  <c r="A202" i="59" s="1"/>
  <c r="A214" i="59" s="1"/>
  <c r="A226" i="59" s="1"/>
  <c r="A238" i="59" s="1"/>
  <c r="A250" i="59" s="1"/>
  <c r="A262" i="59" s="1"/>
  <c r="A274" i="59" s="1"/>
  <c r="A286" i="59" s="1"/>
  <c r="A298" i="59" s="1"/>
  <c r="A310" i="59" s="1"/>
  <c r="A322" i="59" s="1"/>
  <c r="A334" i="59" s="1"/>
  <c r="A346" i="59" s="1"/>
  <c r="A358" i="59" s="1"/>
  <c r="C166" i="59"/>
  <c r="A167" i="59"/>
  <c r="A179" i="59" s="1"/>
  <c r="A191" i="59" s="1"/>
  <c r="A203" i="59" s="1"/>
  <c r="A215" i="59" s="1"/>
  <c r="A227" i="59" s="1"/>
  <c r="A239" i="59" s="1"/>
  <c r="A251" i="59" s="1"/>
  <c r="A263" i="59" s="1"/>
  <c r="A275" i="59" s="1"/>
  <c r="A287" i="59" s="1"/>
  <c r="A299" i="59" s="1"/>
  <c r="A311" i="59" s="1"/>
  <c r="A323" i="59" s="1"/>
  <c r="A335" i="59" s="1"/>
  <c r="A347" i="59" s="1"/>
  <c r="A359" i="59" s="1"/>
  <c r="C167" i="59"/>
  <c r="A168" i="59"/>
  <c r="A180" i="59" s="1"/>
  <c r="A192" i="59" s="1"/>
  <c r="A204" i="59" s="1"/>
  <c r="A216" i="59" s="1"/>
  <c r="A228" i="59" s="1"/>
  <c r="A240" i="59" s="1"/>
  <c r="A252" i="59" s="1"/>
  <c r="A264" i="59" s="1"/>
  <c r="A276" i="59" s="1"/>
  <c r="A288" i="59" s="1"/>
  <c r="A300" i="59" s="1"/>
  <c r="A312" i="59" s="1"/>
  <c r="A324" i="59" s="1"/>
  <c r="A336" i="59" s="1"/>
  <c r="A348" i="59" s="1"/>
  <c r="A360" i="59" s="1"/>
  <c r="C168" i="59"/>
  <c r="A169" i="59"/>
  <c r="A181" i="59" s="1"/>
  <c r="A193" i="59" s="1"/>
  <c r="A205" i="59" s="1"/>
  <c r="A217" i="59" s="1"/>
  <c r="A229" i="59" s="1"/>
  <c r="A241" i="59" s="1"/>
  <c r="A253" i="59" s="1"/>
  <c r="A265" i="59" s="1"/>
  <c r="A277" i="59" s="1"/>
  <c r="A289" i="59" s="1"/>
  <c r="A301" i="59" s="1"/>
  <c r="A313" i="59" s="1"/>
  <c r="A325" i="59" s="1"/>
  <c r="A337" i="59" s="1"/>
  <c r="A349" i="59" s="1"/>
  <c r="A361" i="59" s="1"/>
  <c r="C169" i="59"/>
  <c r="A170" i="59"/>
  <c r="A182" i="59" s="1"/>
  <c r="A194" i="59" s="1"/>
  <c r="A206" i="59" s="1"/>
  <c r="A218" i="59" s="1"/>
  <c r="A230" i="59" s="1"/>
  <c r="A242" i="59" s="1"/>
  <c r="A254" i="59" s="1"/>
  <c r="A266" i="59" s="1"/>
  <c r="A278" i="59" s="1"/>
  <c r="A290" i="59" s="1"/>
  <c r="A302" i="59" s="1"/>
  <c r="A314" i="59" s="1"/>
  <c r="A326" i="59" s="1"/>
  <c r="A338" i="59" s="1"/>
  <c r="A350" i="59" s="1"/>
  <c r="A362" i="59" s="1"/>
  <c r="C170" i="59"/>
  <c r="A171" i="59"/>
  <c r="A183" i="59" s="1"/>
  <c r="A195" i="59" s="1"/>
  <c r="A207" i="59" s="1"/>
  <c r="A219" i="59" s="1"/>
  <c r="A231" i="59" s="1"/>
  <c r="A243" i="59" s="1"/>
  <c r="A255" i="59" s="1"/>
  <c r="A267" i="59" s="1"/>
  <c r="A279" i="59" s="1"/>
  <c r="A291" i="59" s="1"/>
  <c r="A303" i="59" s="1"/>
  <c r="A315" i="59" s="1"/>
  <c r="A327" i="59" s="1"/>
  <c r="A339" i="59" s="1"/>
  <c r="A351" i="59" s="1"/>
  <c r="A363" i="59" s="1"/>
  <c r="C171" i="59"/>
  <c r="A172" i="59"/>
  <c r="A184" i="59" s="1"/>
  <c r="A196" i="59" s="1"/>
  <c r="A208" i="59" s="1"/>
  <c r="A220" i="59" s="1"/>
  <c r="A232" i="59" s="1"/>
  <c r="A244" i="59" s="1"/>
  <c r="A256" i="59" s="1"/>
  <c r="A268" i="59" s="1"/>
  <c r="A280" i="59" s="1"/>
  <c r="A292" i="59" s="1"/>
  <c r="A304" i="59" s="1"/>
  <c r="A316" i="59" s="1"/>
  <c r="A328" i="59" s="1"/>
  <c r="A340" i="59" s="1"/>
  <c r="A352" i="59" s="1"/>
  <c r="A364" i="59" s="1"/>
  <c r="C172" i="59"/>
  <c r="A173" i="59"/>
  <c r="A185" i="59" s="1"/>
  <c r="A197" i="59" s="1"/>
  <c r="A209" i="59" s="1"/>
  <c r="A221" i="59" s="1"/>
  <c r="A233" i="59" s="1"/>
  <c r="A245" i="59" s="1"/>
  <c r="A257" i="59" s="1"/>
  <c r="A269" i="59" s="1"/>
  <c r="A281" i="59" s="1"/>
  <c r="A293" i="59" s="1"/>
  <c r="A305" i="59" s="1"/>
  <c r="A317" i="59" s="1"/>
  <c r="A329" i="59" s="1"/>
  <c r="A341" i="59" s="1"/>
  <c r="A353" i="59" s="1"/>
  <c r="A365" i="59" s="1"/>
  <c r="C173" i="59"/>
  <c r="A174" i="59"/>
  <c r="A186" i="59" s="1"/>
  <c r="A198" i="59" s="1"/>
  <c r="A210" i="59" s="1"/>
  <c r="A222" i="59" s="1"/>
  <c r="A234" i="59" s="1"/>
  <c r="A246" i="59" s="1"/>
  <c r="A258" i="59" s="1"/>
  <c r="A270" i="59" s="1"/>
  <c r="A282" i="59" s="1"/>
  <c r="A294" i="59" s="1"/>
  <c r="A306" i="59" s="1"/>
  <c r="A318" i="59" s="1"/>
  <c r="A330" i="59" s="1"/>
  <c r="A342" i="59" s="1"/>
  <c r="A354" i="59" s="1"/>
  <c r="A366" i="59" s="1"/>
  <c r="C174" i="59"/>
  <c r="A175" i="59"/>
  <c r="A187" i="59" s="1"/>
  <c r="A199" i="59" s="1"/>
  <c r="A211" i="59" s="1"/>
  <c r="A223" i="59" s="1"/>
  <c r="A235" i="59" s="1"/>
  <c r="A247" i="59" s="1"/>
  <c r="A259" i="59" s="1"/>
  <c r="A271" i="59" s="1"/>
  <c r="A283" i="59" s="1"/>
  <c r="A295" i="59" s="1"/>
  <c r="A307" i="59" s="1"/>
  <c r="A319" i="59" s="1"/>
  <c r="A331" i="59" s="1"/>
  <c r="A343" i="59" s="1"/>
  <c r="A355" i="59" s="1"/>
  <c r="A367" i="59" s="1"/>
  <c r="C175" i="59"/>
  <c r="A176" i="59"/>
  <c r="A188" i="59" s="1"/>
  <c r="A200" i="59" s="1"/>
  <c r="A212" i="59" s="1"/>
  <c r="A224" i="59" s="1"/>
  <c r="A236" i="59" s="1"/>
  <c r="A248" i="59" s="1"/>
  <c r="A260" i="59" s="1"/>
  <c r="A272" i="59" s="1"/>
  <c r="A284" i="59" s="1"/>
  <c r="A296" i="59" s="1"/>
  <c r="A308" i="59" s="1"/>
  <c r="A320" i="59" s="1"/>
  <c r="A332" i="59" s="1"/>
  <c r="A344" i="59" s="1"/>
  <c r="A356" i="59" s="1"/>
  <c r="A368" i="59" s="1"/>
  <c r="C176" i="59"/>
  <c r="A177" i="59"/>
  <c r="A189" i="59" s="1"/>
  <c r="A201" i="59" s="1"/>
  <c r="A213" i="59" s="1"/>
  <c r="A225" i="59" s="1"/>
  <c r="A237" i="59" s="1"/>
  <c r="A249" i="59" s="1"/>
  <c r="A261" i="59" s="1"/>
  <c r="A273" i="59" s="1"/>
  <c r="A285" i="59" s="1"/>
  <c r="A297" i="59" s="1"/>
  <c r="A309" i="59" s="1"/>
  <c r="A321" i="59" s="1"/>
  <c r="A333" i="59" s="1"/>
  <c r="A345" i="59" s="1"/>
  <c r="A357" i="59" s="1"/>
  <c r="A369" i="59" s="1"/>
  <c r="C177" i="59"/>
  <c r="C178" i="59"/>
  <c r="C179" i="59"/>
  <c r="C180" i="59"/>
  <c r="C181" i="59"/>
  <c r="C182" i="59"/>
  <c r="C183" i="59"/>
  <c r="C184" i="59"/>
  <c r="C185" i="59"/>
  <c r="C186" i="59"/>
  <c r="C187" i="59"/>
  <c r="C188" i="59"/>
  <c r="C189" i="59"/>
  <c r="C190" i="59"/>
  <c r="C191" i="59"/>
  <c r="C192" i="59"/>
  <c r="C193" i="59"/>
  <c r="C194" i="59"/>
  <c r="C195" i="59"/>
  <c r="C196" i="59"/>
  <c r="C197" i="59"/>
  <c r="C198" i="59"/>
  <c r="C199" i="59"/>
  <c r="C200" i="59"/>
  <c r="C201" i="59"/>
  <c r="C202" i="59"/>
  <c r="C203" i="59"/>
  <c r="C204" i="59"/>
  <c r="C205" i="59"/>
  <c r="C206" i="59"/>
  <c r="C207" i="59"/>
  <c r="C208" i="59"/>
  <c r="C209" i="59"/>
  <c r="C210" i="59"/>
  <c r="C211" i="59"/>
  <c r="C212" i="59"/>
  <c r="C213" i="59"/>
  <c r="C214" i="59"/>
  <c r="C215" i="59"/>
  <c r="C216" i="59"/>
  <c r="C217" i="59"/>
  <c r="C218" i="59"/>
  <c r="C219" i="59"/>
  <c r="C220" i="59"/>
  <c r="C221" i="59"/>
  <c r="C222" i="59"/>
  <c r="C223" i="59"/>
  <c r="C224" i="59"/>
  <c r="C225" i="59"/>
  <c r="C226" i="59"/>
  <c r="C227" i="59"/>
  <c r="C228" i="59"/>
  <c r="C230" i="59"/>
  <c r="C231" i="59"/>
  <c r="C232" i="59"/>
  <c r="C233" i="59"/>
  <c r="C234" i="59"/>
  <c r="C235" i="59"/>
  <c r="C236" i="59"/>
  <c r="C237" i="59"/>
  <c r="C238" i="59"/>
  <c r="C239" i="59"/>
  <c r="C240" i="59"/>
  <c r="C241" i="59"/>
  <c r="C242" i="59"/>
  <c r="C243" i="59"/>
  <c r="C244" i="59"/>
  <c r="C245" i="59"/>
  <c r="C246" i="59"/>
  <c r="C247" i="59"/>
  <c r="C248" i="59"/>
  <c r="C249" i="59"/>
  <c r="A202" i="56"/>
  <c r="A214" i="56" s="1"/>
  <c r="A226" i="56" s="1"/>
  <c r="A238" i="56" s="1"/>
  <c r="A250" i="56" s="1"/>
  <c r="A262" i="56" s="1"/>
  <c r="A274" i="56" s="1"/>
  <c r="A286" i="56" s="1"/>
  <c r="A298" i="56" s="1"/>
  <c r="A310" i="56" s="1"/>
  <c r="A322" i="56" s="1"/>
  <c r="A334" i="56" s="1"/>
  <c r="A346" i="56" s="1"/>
  <c r="A358" i="56" s="1"/>
  <c r="A370" i="56" s="1"/>
  <c r="A382" i="56" s="1"/>
  <c r="A394" i="56" s="1"/>
  <c r="A406" i="56" s="1"/>
  <c r="A418" i="56" s="1"/>
  <c r="A430" i="56" s="1"/>
  <c r="A442" i="56" s="1"/>
  <c r="A454" i="56" s="1"/>
  <c r="A466" i="56" s="1"/>
  <c r="A203" i="56"/>
  <c r="A215" i="56" s="1"/>
  <c r="A227" i="56" s="1"/>
  <c r="A239" i="56" s="1"/>
  <c r="A251" i="56" s="1"/>
  <c r="A263" i="56" s="1"/>
  <c r="A275" i="56" s="1"/>
  <c r="A287" i="56" s="1"/>
  <c r="A299" i="56" s="1"/>
  <c r="A311" i="56" s="1"/>
  <c r="A323" i="56" s="1"/>
  <c r="A335" i="56" s="1"/>
  <c r="A347" i="56" s="1"/>
  <c r="A359" i="56" s="1"/>
  <c r="A371" i="56" s="1"/>
  <c r="A383" i="56" s="1"/>
  <c r="A395" i="56" s="1"/>
  <c r="A407" i="56" s="1"/>
  <c r="A419" i="56" s="1"/>
  <c r="A431" i="56" s="1"/>
  <c r="A443" i="56" s="1"/>
  <c r="A455" i="56" s="1"/>
  <c r="A467" i="56" s="1"/>
  <c r="A204" i="56"/>
  <c r="A216" i="56" s="1"/>
  <c r="A228" i="56" s="1"/>
  <c r="A240" i="56" s="1"/>
  <c r="A252" i="56" s="1"/>
  <c r="A264" i="56" s="1"/>
  <c r="A276" i="56" s="1"/>
  <c r="A288" i="56" s="1"/>
  <c r="A300" i="56" s="1"/>
  <c r="A312" i="56" s="1"/>
  <c r="A324" i="56" s="1"/>
  <c r="A336" i="56" s="1"/>
  <c r="A348" i="56" s="1"/>
  <c r="A360" i="56" s="1"/>
  <c r="A372" i="56" s="1"/>
  <c r="A384" i="56" s="1"/>
  <c r="A396" i="56" s="1"/>
  <c r="A408" i="56" s="1"/>
  <c r="A420" i="56" s="1"/>
  <c r="A432" i="56" s="1"/>
  <c r="A444" i="56" s="1"/>
  <c r="A456" i="56" s="1"/>
  <c r="A468" i="56" s="1"/>
  <c r="A205" i="56"/>
  <c r="A217" i="56" s="1"/>
  <c r="A229" i="56" s="1"/>
  <c r="A241" i="56" s="1"/>
  <c r="A253" i="56" s="1"/>
  <c r="A265" i="56" s="1"/>
  <c r="A277" i="56" s="1"/>
  <c r="A289" i="56" s="1"/>
  <c r="A301" i="56" s="1"/>
  <c r="A313" i="56" s="1"/>
  <c r="A325" i="56" s="1"/>
  <c r="A337" i="56" s="1"/>
  <c r="A349" i="56" s="1"/>
  <c r="A361" i="56" s="1"/>
  <c r="A373" i="56" s="1"/>
  <c r="A385" i="56" s="1"/>
  <c r="A397" i="56" s="1"/>
  <c r="A409" i="56" s="1"/>
  <c r="A421" i="56" s="1"/>
  <c r="A433" i="56" s="1"/>
  <c r="A445" i="56" s="1"/>
  <c r="A457" i="56" s="1"/>
  <c r="A469" i="56" s="1"/>
  <c r="A206" i="56"/>
  <c r="A218" i="56" s="1"/>
  <c r="A230" i="56" s="1"/>
  <c r="A242" i="56" s="1"/>
  <c r="A254" i="56" s="1"/>
  <c r="A266" i="56" s="1"/>
  <c r="A278" i="56" s="1"/>
  <c r="A290" i="56" s="1"/>
  <c r="A302" i="56" s="1"/>
  <c r="A314" i="56" s="1"/>
  <c r="A326" i="56" s="1"/>
  <c r="A338" i="56" s="1"/>
  <c r="A350" i="56" s="1"/>
  <c r="A362" i="56" s="1"/>
  <c r="A374" i="56" s="1"/>
  <c r="A386" i="56" s="1"/>
  <c r="A398" i="56" s="1"/>
  <c r="A410" i="56" s="1"/>
  <c r="A422" i="56" s="1"/>
  <c r="A434" i="56" s="1"/>
  <c r="A446" i="56" s="1"/>
  <c r="A458" i="56" s="1"/>
  <c r="A470" i="56" s="1"/>
  <c r="A207" i="56"/>
  <c r="A219" i="56" s="1"/>
  <c r="A231" i="56" s="1"/>
  <c r="A243" i="56" s="1"/>
  <c r="A255" i="56" s="1"/>
  <c r="A267" i="56" s="1"/>
  <c r="A279" i="56" s="1"/>
  <c r="A291" i="56" s="1"/>
  <c r="A303" i="56" s="1"/>
  <c r="A315" i="56" s="1"/>
  <c r="A327" i="56" s="1"/>
  <c r="A339" i="56" s="1"/>
  <c r="A351" i="56" s="1"/>
  <c r="A363" i="56" s="1"/>
  <c r="A375" i="56" s="1"/>
  <c r="A387" i="56" s="1"/>
  <c r="A399" i="56" s="1"/>
  <c r="A411" i="56" s="1"/>
  <c r="A423" i="56" s="1"/>
  <c r="A435" i="56" s="1"/>
  <c r="A447" i="56" s="1"/>
  <c r="A459" i="56" s="1"/>
  <c r="A471" i="56" s="1"/>
  <c r="A208" i="56"/>
  <c r="A220" i="56" s="1"/>
  <c r="A232" i="56" s="1"/>
  <c r="A244" i="56" s="1"/>
  <c r="A256" i="56" s="1"/>
  <c r="A268" i="56" s="1"/>
  <c r="A280" i="56" s="1"/>
  <c r="A292" i="56" s="1"/>
  <c r="A304" i="56" s="1"/>
  <c r="A316" i="56" s="1"/>
  <c r="A328" i="56" s="1"/>
  <c r="A340" i="56" s="1"/>
  <c r="A352" i="56" s="1"/>
  <c r="A364" i="56" s="1"/>
  <c r="A376" i="56" s="1"/>
  <c r="A388" i="56" s="1"/>
  <c r="A400" i="56" s="1"/>
  <c r="A412" i="56" s="1"/>
  <c r="A424" i="56" s="1"/>
  <c r="A436" i="56" s="1"/>
  <c r="A448" i="56" s="1"/>
  <c r="A460" i="56" s="1"/>
  <c r="A472" i="56" s="1"/>
  <c r="A209" i="56"/>
  <c r="A221" i="56" s="1"/>
  <c r="A233" i="56" s="1"/>
  <c r="A245" i="56" s="1"/>
  <c r="A257" i="56" s="1"/>
  <c r="A269" i="56" s="1"/>
  <c r="A281" i="56" s="1"/>
  <c r="A293" i="56" s="1"/>
  <c r="A305" i="56" s="1"/>
  <c r="A317" i="56" s="1"/>
  <c r="A329" i="56" s="1"/>
  <c r="A341" i="56" s="1"/>
  <c r="A353" i="56" s="1"/>
  <c r="A365" i="56" s="1"/>
  <c r="A377" i="56" s="1"/>
  <c r="A389" i="56" s="1"/>
  <c r="A401" i="56" s="1"/>
  <c r="A413" i="56" s="1"/>
  <c r="A425" i="56" s="1"/>
  <c r="A437" i="56" s="1"/>
  <c r="A449" i="56" s="1"/>
  <c r="A461" i="56" s="1"/>
  <c r="A473" i="56" s="1"/>
  <c r="A210" i="56"/>
  <c r="A222" i="56" s="1"/>
  <c r="A234" i="56" s="1"/>
  <c r="A246" i="56" s="1"/>
  <c r="A258" i="56" s="1"/>
  <c r="A270" i="56" s="1"/>
  <c r="A282" i="56" s="1"/>
  <c r="A294" i="56" s="1"/>
  <c r="A306" i="56" s="1"/>
  <c r="A318" i="56" s="1"/>
  <c r="A330" i="56" s="1"/>
  <c r="A342" i="56" s="1"/>
  <c r="A354" i="56" s="1"/>
  <c r="A366" i="56" s="1"/>
  <c r="A378" i="56" s="1"/>
  <c r="A390" i="56" s="1"/>
  <c r="A402" i="56" s="1"/>
  <c r="A414" i="56" s="1"/>
  <c r="A426" i="56" s="1"/>
  <c r="A438" i="56" s="1"/>
  <c r="A450" i="56" s="1"/>
  <c r="A462" i="56" s="1"/>
  <c r="A474" i="56" s="1"/>
  <c r="A211" i="56"/>
  <c r="A223" i="56" s="1"/>
  <c r="A235" i="56" s="1"/>
  <c r="A247" i="56" s="1"/>
  <c r="A259" i="56" s="1"/>
  <c r="A271" i="56" s="1"/>
  <c r="A283" i="56" s="1"/>
  <c r="A295" i="56" s="1"/>
  <c r="A307" i="56" s="1"/>
  <c r="A319" i="56" s="1"/>
  <c r="A331" i="56" s="1"/>
  <c r="A343" i="56" s="1"/>
  <c r="A355" i="56" s="1"/>
  <c r="A367" i="56" s="1"/>
  <c r="A379" i="56" s="1"/>
  <c r="A391" i="56" s="1"/>
  <c r="A403" i="56" s="1"/>
  <c r="A415" i="56" s="1"/>
  <c r="A427" i="56" s="1"/>
  <c r="A439" i="56" s="1"/>
  <c r="A451" i="56" s="1"/>
  <c r="A463" i="56" s="1"/>
  <c r="A475" i="56" s="1"/>
  <c r="A212" i="56"/>
  <c r="A224" i="56" s="1"/>
  <c r="A236" i="56" s="1"/>
  <c r="A248" i="56" s="1"/>
  <c r="A260" i="56" s="1"/>
  <c r="A272" i="56" s="1"/>
  <c r="A284" i="56" s="1"/>
  <c r="A296" i="56" s="1"/>
  <c r="A308" i="56" s="1"/>
  <c r="A320" i="56" s="1"/>
  <c r="A332" i="56" s="1"/>
  <c r="A344" i="56" s="1"/>
  <c r="A356" i="56" s="1"/>
  <c r="A368" i="56" s="1"/>
  <c r="A380" i="56" s="1"/>
  <c r="A392" i="56" s="1"/>
  <c r="A404" i="56" s="1"/>
  <c r="A416" i="56" s="1"/>
  <c r="A428" i="56" s="1"/>
  <c r="A440" i="56" s="1"/>
  <c r="A452" i="56" s="1"/>
  <c r="A464" i="56" s="1"/>
  <c r="A476" i="56" s="1"/>
  <c r="A213" i="56"/>
  <c r="A225" i="56" s="1"/>
  <c r="A237" i="56" s="1"/>
  <c r="A249" i="56" s="1"/>
  <c r="A261" i="56" s="1"/>
  <c r="A273" i="56" s="1"/>
  <c r="A285" i="56" s="1"/>
  <c r="A297" i="56" s="1"/>
  <c r="A309" i="56" s="1"/>
  <c r="A321" i="56" s="1"/>
  <c r="A333" i="56" s="1"/>
  <c r="A345" i="56" s="1"/>
  <c r="A357" i="56" s="1"/>
  <c r="A369" i="56" s="1"/>
  <c r="A381" i="56" s="1"/>
  <c r="A393" i="56" s="1"/>
  <c r="A405" i="56" s="1"/>
  <c r="A417" i="56" s="1"/>
  <c r="A429" i="56" s="1"/>
  <c r="A441" i="56" s="1"/>
  <c r="A453" i="56" s="1"/>
  <c r="A465" i="56" s="1"/>
  <c r="A477" i="56" s="1"/>
  <c r="H7" i="11"/>
  <c r="A202" i="11"/>
  <c r="A214" i="11" s="1"/>
  <c r="A226" i="11" s="1"/>
  <c r="A238" i="11" s="1"/>
  <c r="A250" i="11" s="1"/>
  <c r="A262" i="11" s="1"/>
  <c r="A274" i="11" s="1"/>
  <c r="A286" i="11" s="1"/>
  <c r="A298" i="11" s="1"/>
  <c r="A310" i="11" s="1"/>
  <c r="A322" i="11" s="1"/>
  <c r="A334" i="11" s="1"/>
  <c r="A346" i="11" s="1"/>
  <c r="A358" i="11" s="1"/>
  <c r="A370" i="11" s="1"/>
  <c r="A382" i="11" s="1"/>
  <c r="A394" i="11" s="1"/>
  <c r="A406" i="11" s="1"/>
  <c r="A418" i="11" s="1"/>
  <c r="A430" i="11" s="1"/>
  <c r="A442" i="11" s="1"/>
  <c r="A454" i="11" s="1"/>
  <c r="A466" i="11" s="1"/>
  <c r="A203" i="11"/>
  <c r="A215" i="11" s="1"/>
  <c r="A227" i="11" s="1"/>
  <c r="A239" i="11" s="1"/>
  <c r="A251" i="11" s="1"/>
  <c r="A263" i="11" s="1"/>
  <c r="A275" i="11" s="1"/>
  <c r="A287" i="11" s="1"/>
  <c r="A299" i="11" s="1"/>
  <c r="A311" i="11" s="1"/>
  <c r="A323" i="11" s="1"/>
  <c r="A335" i="11" s="1"/>
  <c r="A347" i="11" s="1"/>
  <c r="A359" i="11" s="1"/>
  <c r="A371" i="11" s="1"/>
  <c r="A383" i="11" s="1"/>
  <c r="A395" i="11" s="1"/>
  <c r="A407" i="11" s="1"/>
  <c r="A419" i="11" s="1"/>
  <c r="A431" i="11" s="1"/>
  <c r="A443" i="11" s="1"/>
  <c r="A455" i="11" s="1"/>
  <c r="A467" i="11" s="1"/>
  <c r="A204" i="11"/>
  <c r="A216" i="11" s="1"/>
  <c r="A228" i="11" s="1"/>
  <c r="A240" i="11" s="1"/>
  <c r="A252" i="11" s="1"/>
  <c r="A264" i="11" s="1"/>
  <c r="A276" i="11" s="1"/>
  <c r="A288" i="11" s="1"/>
  <c r="A300" i="11" s="1"/>
  <c r="A312" i="11" s="1"/>
  <c r="A324" i="11" s="1"/>
  <c r="A336" i="11" s="1"/>
  <c r="A348" i="11" s="1"/>
  <c r="A360" i="11" s="1"/>
  <c r="A372" i="11" s="1"/>
  <c r="A384" i="11" s="1"/>
  <c r="A396" i="11" s="1"/>
  <c r="A408" i="11" s="1"/>
  <c r="A420" i="11" s="1"/>
  <c r="A432" i="11" s="1"/>
  <c r="A444" i="11" s="1"/>
  <c r="A456" i="11" s="1"/>
  <c r="A468" i="11" s="1"/>
  <c r="A205" i="11"/>
  <c r="A217" i="11" s="1"/>
  <c r="A229" i="11" s="1"/>
  <c r="A241" i="11" s="1"/>
  <c r="A253" i="11" s="1"/>
  <c r="A265" i="11" s="1"/>
  <c r="A277" i="11" s="1"/>
  <c r="A289" i="11" s="1"/>
  <c r="A301" i="11" s="1"/>
  <c r="A313" i="11" s="1"/>
  <c r="A325" i="11" s="1"/>
  <c r="A337" i="11" s="1"/>
  <c r="A349" i="11" s="1"/>
  <c r="A361" i="11" s="1"/>
  <c r="A373" i="11" s="1"/>
  <c r="A385" i="11" s="1"/>
  <c r="A397" i="11" s="1"/>
  <c r="A409" i="11" s="1"/>
  <c r="A421" i="11" s="1"/>
  <c r="A433" i="11" s="1"/>
  <c r="A445" i="11" s="1"/>
  <c r="A457" i="11" s="1"/>
  <c r="A469" i="11" s="1"/>
  <c r="A206" i="11"/>
  <c r="A218" i="11" s="1"/>
  <c r="A230" i="11" s="1"/>
  <c r="A242" i="11" s="1"/>
  <c r="A254" i="11" s="1"/>
  <c r="A266" i="11" s="1"/>
  <c r="A278" i="11" s="1"/>
  <c r="A290" i="11" s="1"/>
  <c r="A302" i="11" s="1"/>
  <c r="A314" i="11" s="1"/>
  <c r="A326" i="11" s="1"/>
  <c r="A338" i="11" s="1"/>
  <c r="A350" i="11" s="1"/>
  <c r="A362" i="11" s="1"/>
  <c r="A374" i="11" s="1"/>
  <c r="A386" i="11" s="1"/>
  <c r="A398" i="11" s="1"/>
  <c r="A410" i="11" s="1"/>
  <c r="A422" i="11" s="1"/>
  <c r="A434" i="11" s="1"/>
  <c r="A446" i="11" s="1"/>
  <c r="A458" i="11" s="1"/>
  <c r="A470" i="11" s="1"/>
  <c r="A207" i="11"/>
  <c r="A219" i="11" s="1"/>
  <c r="A231" i="11" s="1"/>
  <c r="A243" i="11" s="1"/>
  <c r="A255" i="11" s="1"/>
  <c r="A267" i="11" s="1"/>
  <c r="A279" i="11" s="1"/>
  <c r="A291" i="11" s="1"/>
  <c r="A303" i="11" s="1"/>
  <c r="A315" i="11" s="1"/>
  <c r="A327" i="11" s="1"/>
  <c r="A339" i="11" s="1"/>
  <c r="A351" i="11" s="1"/>
  <c r="A363" i="11" s="1"/>
  <c r="A375" i="11" s="1"/>
  <c r="A387" i="11" s="1"/>
  <c r="A399" i="11" s="1"/>
  <c r="A411" i="11" s="1"/>
  <c r="A423" i="11" s="1"/>
  <c r="A435" i="11" s="1"/>
  <c r="A447" i="11" s="1"/>
  <c r="A459" i="11" s="1"/>
  <c r="A471" i="11" s="1"/>
  <c r="A208" i="11"/>
  <c r="A220" i="11" s="1"/>
  <c r="A232" i="11" s="1"/>
  <c r="A244" i="11" s="1"/>
  <c r="A256" i="11" s="1"/>
  <c r="A268" i="11" s="1"/>
  <c r="A280" i="11" s="1"/>
  <c r="A292" i="11" s="1"/>
  <c r="A304" i="11" s="1"/>
  <c r="A316" i="11" s="1"/>
  <c r="A328" i="11" s="1"/>
  <c r="A340" i="11" s="1"/>
  <c r="A352" i="11" s="1"/>
  <c r="A364" i="11" s="1"/>
  <c r="A376" i="11" s="1"/>
  <c r="A388" i="11" s="1"/>
  <c r="A400" i="11" s="1"/>
  <c r="A412" i="11" s="1"/>
  <c r="A424" i="11" s="1"/>
  <c r="A436" i="11" s="1"/>
  <c r="A448" i="11" s="1"/>
  <c r="A460" i="11" s="1"/>
  <c r="A472" i="11" s="1"/>
  <c r="A209" i="11"/>
  <c r="A221" i="11" s="1"/>
  <c r="A233" i="11" s="1"/>
  <c r="A245" i="11" s="1"/>
  <c r="A257" i="11" s="1"/>
  <c r="A269" i="11" s="1"/>
  <c r="A281" i="11" s="1"/>
  <c r="A293" i="11" s="1"/>
  <c r="A305" i="11" s="1"/>
  <c r="A317" i="11" s="1"/>
  <c r="A329" i="11" s="1"/>
  <c r="A341" i="11" s="1"/>
  <c r="A353" i="11" s="1"/>
  <c r="A365" i="11" s="1"/>
  <c r="A377" i="11" s="1"/>
  <c r="A389" i="11" s="1"/>
  <c r="A401" i="11" s="1"/>
  <c r="A413" i="11" s="1"/>
  <c r="A425" i="11" s="1"/>
  <c r="A437" i="11" s="1"/>
  <c r="A449" i="11" s="1"/>
  <c r="A461" i="11" s="1"/>
  <c r="A473" i="11" s="1"/>
  <c r="A210" i="11"/>
  <c r="A222" i="11" s="1"/>
  <c r="A234" i="11" s="1"/>
  <c r="A246" i="11" s="1"/>
  <c r="A258" i="11" s="1"/>
  <c r="A270" i="11" s="1"/>
  <c r="A282" i="11" s="1"/>
  <c r="A294" i="11" s="1"/>
  <c r="A306" i="11" s="1"/>
  <c r="A318" i="11" s="1"/>
  <c r="A330" i="11" s="1"/>
  <c r="A342" i="11" s="1"/>
  <c r="A354" i="11" s="1"/>
  <c r="A366" i="11" s="1"/>
  <c r="A378" i="11" s="1"/>
  <c r="A390" i="11" s="1"/>
  <c r="A402" i="11" s="1"/>
  <c r="A414" i="11" s="1"/>
  <c r="A426" i="11" s="1"/>
  <c r="A438" i="11" s="1"/>
  <c r="A450" i="11" s="1"/>
  <c r="A462" i="11" s="1"/>
  <c r="A474" i="11" s="1"/>
  <c r="A211" i="11"/>
  <c r="A223" i="11" s="1"/>
  <c r="A235" i="11" s="1"/>
  <c r="A247" i="11" s="1"/>
  <c r="A259" i="11" s="1"/>
  <c r="A271" i="11" s="1"/>
  <c r="A283" i="11" s="1"/>
  <c r="A295" i="11" s="1"/>
  <c r="A307" i="11" s="1"/>
  <c r="A319" i="11" s="1"/>
  <c r="A331" i="11" s="1"/>
  <c r="A343" i="11" s="1"/>
  <c r="A355" i="11" s="1"/>
  <c r="A367" i="11" s="1"/>
  <c r="A379" i="11" s="1"/>
  <c r="A391" i="11" s="1"/>
  <c r="A403" i="11" s="1"/>
  <c r="A415" i="11" s="1"/>
  <c r="A427" i="11" s="1"/>
  <c r="A439" i="11" s="1"/>
  <c r="A451" i="11" s="1"/>
  <c r="A463" i="11" s="1"/>
  <c r="A475" i="11" s="1"/>
  <c r="A212" i="11"/>
  <c r="A224" i="11" s="1"/>
  <c r="A236" i="11" s="1"/>
  <c r="A248" i="11" s="1"/>
  <c r="A260" i="11" s="1"/>
  <c r="A272" i="11" s="1"/>
  <c r="A284" i="11" s="1"/>
  <c r="A296" i="11" s="1"/>
  <c r="A308" i="11" s="1"/>
  <c r="A320" i="11" s="1"/>
  <c r="A332" i="11" s="1"/>
  <c r="A344" i="11" s="1"/>
  <c r="A356" i="11" s="1"/>
  <c r="A368" i="11" s="1"/>
  <c r="A380" i="11" s="1"/>
  <c r="A213" i="11"/>
  <c r="A225" i="11" s="1"/>
  <c r="A237" i="11" s="1"/>
  <c r="A249" i="11" s="1"/>
  <c r="A261" i="11" s="1"/>
  <c r="A273" i="11" s="1"/>
  <c r="A285" i="11" s="1"/>
  <c r="A297" i="11" s="1"/>
  <c r="A309" i="11" s="1"/>
  <c r="A321" i="11" s="1"/>
  <c r="A333" i="11" s="1"/>
  <c r="A345" i="11" s="1"/>
  <c r="A357" i="11" s="1"/>
  <c r="A369" i="11" s="1"/>
  <c r="A381" i="11" s="1"/>
  <c r="A393" i="11" s="1"/>
  <c r="A405" i="11" s="1"/>
  <c r="A417" i="11" s="1"/>
  <c r="A429" i="11" s="1"/>
  <c r="A441" i="11" s="1"/>
  <c r="A453" i="11" s="1"/>
  <c r="A465" i="11" s="1"/>
  <c r="A477" i="11" s="1"/>
  <c r="A214" i="70"/>
  <c r="A226" i="70" s="1"/>
  <c r="A238" i="70" s="1"/>
  <c r="A250" i="70" s="1"/>
  <c r="A262" i="70" s="1"/>
  <c r="A274" i="70" s="1"/>
  <c r="A286" i="70" s="1"/>
  <c r="A298" i="70" s="1"/>
  <c r="A310" i="70" s="1"/>
  <c r="A322" i="70" s="1"/>
  <c r="A334" i="70" s="1"/>
  <c r="A346" i="70" s="1"/>
  <c r="A358" i="70" s="1"/>
  <c r="A370" i="70" s="1"/>
  <c r="A382" i="70" s="1"/>
  <c r="A394" i="70" s="1"/>
  <c r="A406" i="70" s="1"/>
  <c r="A418" i="70" s="1"/>
  <c r="A430" i="70" s="1"/>
  <c r="A442" i="70" s="1"/>
  <c r="A454" i="70" s="1"/>
  <c r="A466" i="70" s="1"/>
  <c r="A478" i="70" s="1"/>
  <c r="A215" i="70"/>
  <c r="A227" i="70" s="1"/>
  <c r="A239" i="70" s="1"/>
  <c r="A251" i="70" s="1"/>
  <c r="A263" i="70" s="1"/>
  <c r="A275" i="70" s="1"/>
  <c r="A287" i="70" s="1"/>
  <c r="A299" i="70" s="1"/>
  <c r="A311" i="70" s="1"/>
  <c r="A323" i="70" s="1"/>
  <c r="A335" i="70" s="1"/>
  <c r="A347" i="70" s="1"/>
  <c r="A359" i="70" s="1"/>
  <c r="A371" i="70" s="1"/>
  <c r="A383" i="70" s="1"/>
  <c r="A395" i="70" s="1"/>
  <c r="A407" i="70" s="1"/>
  <c r="A419" i="70" s="1"/>
  <c r="A431" i="70" s="1"/>
  <c r="A443" i="70" s="1"/>
  <c r="A455" i="70" s="1"/>
  <c r="A467" i="70" s="1"/>
  <c r="A479" i="70" s="1"/>
  <c r="A216" i="70"/>
  <c r="A228" i="70" s="1"/>
  <c r="A240" i="70" s="1"/>
  <c r="A252" i="70" s="1"/>
  <c r="A264" i="70" s="1"/>
  <c r="A276" i="70" s="1"/>
  <c r="A288" i="70" s="1"/>
  <c r="A300" i="70" s="1"/>
  <c r="A312" i="70" s="1"/>
  <c r="A324" i="70" s="1"/>
  <c r="A336" i="70" s="1"/>
  <c r="A348" i="70" s="1"/>
  <c r="A360" i="70" s="1"/>
  <c r="A372" i="70" s="1"/>
  <c r="A384" i="70" s="1"/>
  <c r="A396" i="70" s="1"/>
  <c r="A408" i="70" s="1"/>
  <c r="A420" i="70" s="1"/>
  <c r="A432" i="70" s="1"/>
  <c r="A444" i="70" s="1"/>
  <c r="A456" i="70" s="1"/>
  <c r="A468" i="70" s="1"/>
  <c r="A480" i="70" s="1"/>
  <c r="A217" i="70"/>
  <c r="A229" i="70" s="1"/>
  <c r="A241" i="70" s="1"/>
  <c r="A253" i="70" s="1"/>
  <c r="A265" i="70" s="1"/>
  <c r="A277" i="70" s="1"/>
  <c r="A289" i="70" s="1"/>
  <c r="A301" i="70" s="1"/>
  <c r="A313" i="70" s="1"/>
  <c r="A325" i="70" s="1"/>
  <c r="A337" i="70" s="1"/>
  <c r="A349" i="70" s="1"/>
  <c r="A361" i="70" s="1"/>
  <c r="A373" i="70" s="1"/>
  <c r="A385" i="70" s="1"/>
  <c r="A397" i="70" s="1"/>
  <c r="A409" i="70" s="1"/>
  <c r="A421" i="70" s="1"/>
  <c r="A433" i="70" s="1"/>
  <c r="A445" i="70" s="1"/>
  <c r="A457" i="70" s="1"/>
  <c r="A469" i="70" s="1"/>
  <c r="A481" i="70" s="1"/>
  <c r="A218" i="70"/>
  <c r="A230" i="70" s="1"/>
  <c r="A242" i="70" s="1"/>
  <c r="A254" i="70" s="1"/>
  <c r="A266" i="70" s="1"/>
  <c r="A278" i="70" s="1"/>
  <c r="A290" i="70" s="1"/>
  <c r="A302" i="70" s="1"/>
  <c r="A314" i="70" s="1"/>
  <c r="A326" i="70" s="1"/>
  <c r="A338" i="70" s="1"/>
  <c r="A350" i="70" s="1"/>
  <c r="A362" i="70" s="1"/>
  <c r="A374" i="70" s="1"/>
  <c r="A386" i="70" s="1"/>
  <c r="A398" i="70" s="1"/>
  <c r="A410" i="70" s="1"/>
  <c r="A422" i="70" s="1"/>
  <c r="A434" i="70" s="1"/>
  <c r="A446" i="70" s="1"/>
  <c r="A458" i="70" s="1"/>
  <c r="A470" i="70" s="1"/>
  <c r="A482" i="70" s="1"/>
  <c r="A219" i="70"/>
  <c r="A231" i="70" s="1"/>
  <c r="A243" i="70" s="1"/>
  <c r="A255" i="70" s="1"/>
  <c r="A267" i="70" s="1"/>
  <c r="A279" i="70" s="1"/>
  <c r="A291" i="70" s="1"/>
  <c r="A303" i="70" s="1"/>
  <c r="A315" i="70" s="1"/>
  <c r="A327" i="70" s="1"/>
  <c r="A339" i="70" s="1"/>
  <c r="A351" i="70" s="1"/>
  <c r="A363" i="70" s="1"/>
  <c r="A375" i="70" s="1"/>
  <c r="A387" i="70" s="1"/>
  <c r="A399" i="70" s="1"/>
  <c r="A411" i="70" s="1"/>
  <c r="A423" i="70" s="1"/>
  <c r="A435" i="70" s="1"/>
  <c r="A447" i="70" s="1"/>
  <c r="A459" i="70" s="1"/>
  <c r="A471" i="70" s="1"/>
  <c r="A483" i="70" s="1"/>
  <c r="A220" i="70"/>
  <c r="A232" i="70" s="1"/>
  <c r="A244" i="70" s="1"/>
  <c r="A256" i="70" s="1"/>
  <c r="A268" i="70" s="1"/>
  <c r="A280" i="70" s="1"/>
  <c r="A292" i="70" s="1"/>
  <c r="A304" i="70" s="1"/>
  <c r="A316" i="70" s="1"/>
  <c r="A328" i="70" s="1"/>
  <c r="A340" i="70" s="1"/>
  <c r="A352" i="70" s="1"/>
  <c r="A364" i="70" s="1"/>
  <c r="A376" i="70" s="1"/>
  <c r="A388" i="70" s="1"/>
  <c r="A400" i="70" s="1"/>
  <c r="A412" i="70" s="1"/>
  <c r="A424" i="70" s="1"/>
  <c r="A436" i="70" s="1"/>
  <c r="A448" i="70" s="1"/>
  <c r="A460" i="70" s="1"/>
  <c r="A472" i="70" s="1"/>
  <c r="A484" i="70" s="1"/>
  <c r="A221" i="70"/>
  <c r="A233" i="70" s="1"/>
  <c r="A245" i="70" s="1"/>
  <c r="A257" i="70" s="1"/>
  <c r="A269" i="70" s="1"/>
  <c r="A281" i="70" s="1"/>
  <c r="A293" i="70" s="1"/>
  <c r="A305" i="70" s="1"/>
  <c r="A317" i="70" s="1"/>
  <c r="A329" i="70" s="1"/>
  <c r="A341" i="70" s="1"/>
  <c r="A353" i="70" s="1"/>
  <c r="A365" i="70" s="1"/>
  <c r="A377" i="70" s="1"/>
  <c r="A389" i="70" s="1"/>
  <c r="A401" i="70" s="1"/>
  <c r="A413" i="70" s="1"/>
  <c r="A425" i="70" s="1"/>
  <c r="A437" i="70" s="1"/>
  <c r="A449" i="70" s="1"/>
  <c r="A461" i="70" s="1"/>
  <c r="A473" i="70" s="1"/>
  <c r="A485" i="70" s="1"/>
  <c r="A222" i="70"/>
  <c r="A234" i="70" s="1"/>
  <c r="A246" i="70" s="1"/>
  <c r="A258" i="70" s="1"/>
  <c r="A270" i="70" s="1"/>
  <c r="A282" i="70" s="1"/>
  <c r="A294" i="70" s="1"/>
  <c r="A306" i="70" s="1"/>
  <c r="A318" i="70" s="1"/>
  <c r="A330" i="70" s="1"/>
  <c r="A342" i="70" s="1"/>
  <c r="A354" i="70" s="1"/>
  <c r="A366" i="70" s="1"/>
  <c r="A378" i="70" s="1"/>
  <c r="A390" i="70" s="1"/>
  <c r="A402" i="70" s="1"/>
  <c r="A414" i="70" s="1"/>
  <c r="A426" i="70" s="1"/>
  <c r="A438" i="70" s="1"/>
  <c r="A450" i="70" s="1"/>
  <c r="A462" i="70" s="1"/>
  <c r="A474" i="70" s="1"/>
  <c r="A486" i="70" s="1"/>
  <c r="A223" i="70"/>
  <c r="A235" i="70" s="1"/>
  <c r="A247" i="70" s="1"/>
  <c r="A259" i="70" s="1"/>
  <c r="A271" i="70" s="1"/>
  <c r="A283" i="70" s="1"/>
  <c r="A295" i="70" s="1"/>
  <c r="A307" i="70" s="1"/>
  <c r="A319" i="70" s="1"/>
  <c r="A331" i="70" s="1"/>
  <c r="A343" i="70" s="1"/>
  <c r="A355" i="70" s="1"/>
  <c r="A367" i="70" s="1"/>
  <c r="A379" i="70" s="1"/>
  <c r="A391" i="70" s="1"/>
  <c r="A403" i="70" s="1"/>
  <c r="A415" i="70" s="1"/>
  <c r="A427" i="70" s="1"/>
  <c r="A439" i="70" s="1"/>
  <c r="A451" i="70" s="1"/>
  <c r="A463" i="70" s="1"/>
  <c r="A475" i="70" s="1"/>
  <c r="A487" i="70" s="1"/>
  <c r="A224" i="70"/>
  <c r="A236" i="70" s="1"/>
  <c r="A248" i="70" s="1"/>
  <c r="A260" i="70" s="1"/>
  <c r="A272" i="70" s="1"/>
  <c r="A284" i="70" s="1"/>
  <c r="A296" i="70" s="1"/>
  <c r="A308" i="70" s="1"/>
  <c r="A320" i="70" s="1"/>
  <c r="A332" i="70" s="1"/>
  <c r="A344" i="70" s="1"/>
  <c r="A356" i="70" s="1"/>
  <c r="A368" i="70" s="1"/>
  <c r="A380" i="70" s="1"/>
  <c r="A392" i="70" s="1"/>
  <c r="A404" i="70" s="1"/>
  <c r="A416" i="70" s="1"/>
  <c r="A428" i="70" s="1"/>
  <c r="A440" i="70" s="1"/>
  <c r="A452" i="70" s="1"/>
  <c r="A464" i="70" s="1"/>
  <c r="A476" i="70" s="1"/>
  <c r="A488" i="70" s="1"/>
  <c r="A225" i="70"/>
  <c r="A237" i="70" s="1"/>
  <c r="A249" i="70" s="1"/>
  <c r="A261" i="70" s="1"/>
  <c r="A273" i="70" s="1"/>
  <c r="A285" i="70" s="1"/>
  <c r="A297" i="70" s="1"/>
  <c r="A309" i="70" s="1"/>
  <c r="A321" i="70" s="1"/>
  <c r="A333" i="70" s="1"/>
  <c r="A345" i="70" s="1"/>
  <c r="A357" i="70" s="1"/>
  <c r="A369" i="70" s="1"/>
  <c r="A381" i="70" s="1"/>
  <c r="A393" i="70" s="1"/>
  <c r="A405" i="70" s="1"/>
  <c r="A417" i="70" s="1"/>
  <c r="A429" i="70" s="1"/>
  <c r="A441" i="70" s="1"/>
  <c r="A453" i="70" s="1"/>
  <c r="A465" i="70" s="1"/>
  <c r="A477" i="70" s="1"/>
  <c r="A489" i="70" s="1"/>
  <c r="A11" i="38"/>
  <c r="A12" i="38" s="1"/>
  <c r="A24" i="38" s="1"/>
  <c r="A36" i="38" s="1"/>
  <c r="A48" i="38" s="1"/>
  <c r="A60" i="38" s="1"/>
  <c r="A72" i="38" s="1"/>
  <c r="A84" i="38" s="1"/>
  <c r="A96" i="38" s="1"/>
  <c r="A108" i="38" s="1"/>
  <c r="A120" i="38" s="1"/>
  <c r="A132" i="38" s="1"/>
  <c r="A144" i="38" s="1"/>
  <c r="A156" i="38" s="1"/>
  <c r="A168" i="38" s="1"/>
  <c r="A180" i="38" s="1"/>
  <c r="A192" i="38" s="1"/>
  <c r="A204" i="38" s="1"/>
  <c r="A22" i="38"/>
  <c r="A34" i="38" s="1"/>
  <c r="A46" i="38" s="1"/>
  <c r="A58" i="38" s="1"/>
  <c r="A70" i="38" s="1"/>
  <c r="A82" i="38" s="1"/>
  <c r="A94" i="38" s="1"/>
  <c r="A106" i="38" s="1"/>
  <c r="A118" i="38" s="1"/>
  <c r="A130" i="38" s="1"/>
  <c r="A142" i="38" s="1"/>
  <c r="A154" i="38" s="1"/>
  <c r="A166" i="38" s="1"/>
  <c r="A178" i="38" s="1"/>
  <c r="A190" i="38" s="1"/>
  <c r="A202" i="38" s="1"/>
  <c r="A178" i="4"/>
  <c r="A190" i="4" s="1"/>
  <c r="A202" i="4" s="1"/>
  <c r="A214" i="4" s="1"/>
  <c r="A226" i="4" s="1"/>
  <c r="A238" i="4" s="1"/>
  <c r="A250" i="4" s="1"/>
  <c r="A262" i="4" s="1"/>
  <c r="A274" i="4" s="1"/>
  <c r="A286" i="4" s="1"/>
  <c r="A298" i="4" s="1"/>
  <c r="A310" i="4" s="1"/>
  <c r="A322" i="4" s="1"/>
  <c r="A334" i="4" s="1"/>
  <c r="A346" i="4" s="1"/>
  <c r="A358" i="4" s="1"/>
  <c r="A370" i="4" s="1"/>
  <c r="A382" i="4" s="1"/>
  <c r="A394" i="4" s="1"/>
  <c r="A406" i="4" s="1"/>
  <c r="A418" i="4" s="1"/>
  <c r="A430" i="4" s="1"/>
  <c r="A442" i="4" s="1"/>
  <c r="A179" i="4"/>
  <c r="A191" i="4" s="1"/>
  <c r="A203" i="4" s="1"/>
  <c r="A215" i="4" s="1"/>
  <c r="A227" i="4" s="1"/>
  <c r="A239" i="4" s="1"/>
  <c r="A251" i="4" s="1"/>
  <c r="A263" i="4" s="1"/>
  <c r="A275" i="4" s="1"/>
  <c r="A287" i="4" s="1"/>
  <c r="A299" i="4" s="1"/>
  <c r="A311" i="4" s="1"/>
  <c r="A323" i="4" s="1"/>
  <c r="A335" i="4" s="1"/>
  <c r="A347" i="4" s="1"/>
  <c r="A359" i="4" s="1"/>
  <c r="A371" i="4" s="1"/>
  <c r="A383" i="4" s="1"/>
  <c r="A395" i="4" s="1"/>
  <c r="A407" i="4" s="1"/>
  <c r="A419" i="4" s="1"/>
  <c r="A431" i="4" s="1"/>
  <c r="A443" i="4" s="1"/>
  <c r="A180" i="4"/>
  <c r="A192" i="4" s="1"/>
  <c r="A204" i="4" s="1"/>
  <c r="A216" i="4" s="1"/>
  <c r="A228" i="4" s="1"/>
  <c r="A240" i="4" s="1"/>
  <c r="A252" i="4" s="1"/>
  <c r="A264" i="4" s="1"/>
  <c r="A276" i="4" s="1"/>
  <c r="A288" i="4" s="1"/>
  <c r="A300" i="4" s="1"/>
  <c r="A312" i="4" s="1"/>
  <c r="A324" i="4" s="1"/>
  <c r="A336" i="4" s="1"/>
  <c r="A348" i="4" s="1"/>
  <c r="A360" i="4" s="1"/>
  <c r="A372" i="4" s="1"/>
  <c r="A384" i="4" s="1"/>
  <c r="A396" i="4" s="1"/>
  <c r="A408" i="4" s="1"/>
  <c r="A420" i="4" s="1"/>
  <c r="A432" i="4" s="1"/>
  <c r="A444" i="4" s="1"/>
  <c r="A181" i="4"/>
  <c r="A193" i="4" s="1"/>
  <c r="A205" i="4" s="1"/>
  <c r="A217" i="4" s="1"/>
  <c r="A229" i="4" s="1"/>
  <c r="A241" i="4" s="1"/>
  <c r="A253" i="4" s="1"/>
  <c r="A265" i="4" s="1"/>
  <c r="A277" i="4" s="1"/>
  <c r="A289" i="4" s="1"/>
  <c r="A301" i="4" s="1"/>
  <c r="A313" i="4" s="1"/>
  <c r="A325" i="4" s="1"/>
  <c r="A337" i="4" s="1"/>
  <c r="A349" i="4" s="1"/>
  <c r="A361" i="4" s="1"/>
  <c r="A373" i="4" s="1"/>
  <c r="A385" i="4" s="1"/>
  <c r="A397" i="4" s="1"/>
  <c r="A409" i="4" s="1"/>
  <c r="A421" i="4" s="1"/>
  <c r="A433" i="4" s="1"/>
  <c r="A445" i="4" s="1"/>
  <c r="A182" i="4"/>
  <c r="A194" i="4" s="1"/>
  <c r="A206" i="4" s="1"/>
  <c r="A218" i="4" s="1"/>
  <c r="A230" i="4" s="1"/>
  <c r="A242" i="4" s="1"/>
  <c r="A254" i="4" s="1"/>
  <c r="A266" i="4" s="1"/>
  <c r="A278" i="4" s="1"/>
  <c r="A290" i="4" s="1"/>
  <c r="A302" i="4" s="1"/>
  <c r="A314" i="4" s="1"/>
  <c r="A326" i="4" s="1"/>
  <c r="A338" i="4" s="1"/>
  <c r="A350" i="4" s="1"/>
  <c r="A362" i="4" s="1"/>
  <c r="A183" i="4"/>
  <c r="A195" i="4" s="1"/>
  <c r="A207" i="4" s="1"/>
  <c r="A219" i="4" s="1"/>
  <c r="A231" i="4" s="1"/>
  <c r="A243" i="4" s="1"/>
  <c r="A255" i="4" s="1"/>
  <c r="A267" i="4" s="1"/>
  <c r="A279" i="4" s="1"/>
  <c r="A291" i="4" s="1"/>
  <c r="A303" i="4" s="1"/>
  <c r="A315" i="4" s="1"/>
  <c r="A327" i="4" s="1"/>
  <c r="A339" i="4" s="1"/>
  <c r="A351" i="4" s="1"/>
  <c r="A363" i="4" s="1"/>
  <c r="A375" i="4" s="1"/>
  <c r="A387" i="4" s="1"/>
  <c r="A399" i="4" s="1"/>
  <c r="A411" i="4" s="1"/>
  <c r="A423" i="4" s="1"/>
  <c r="A435" i="4" s="1"/>
  <c r="A447" i="4" s="1"/>
  <c r="A184" i="4"/>
  <c r="A196" i="4" s="1"/>
  <c r="A208" i="4" s="1"/>
  <c r="A220" i="4" s="1"/>
  <c r="A232" i="4" s="1"/>
  <c r="A244" i="4" s="1"/>
  <c r="A256" i="4" s="1"/>
  <c r="A268" i="4" s="1"/>
  <c r="A280" i="4" s="1"/>
  <c r="A292" i="4" s="1"/>
  <c r="A304" i="4" s="1"/>
  <c r="A316" i="4" s="1"/>
  <c r="A328" i="4" s="1"/>
  <c r="A340" i="4" s="1"/>
  <c r="A352" i="4" s="1"/>
  <c r="A364" i="4" s="1"/>
  <c r="A376" i="4" s="1"/>
  <c r="A388" i="4" s="1"/>
  <c r="A400" i="4" s="1"/>
  <c r="A412" i="4" s="1"/>
  <c r="A424" i="4" s="1"/>
  <c r="A436" i="4" s="1"/>
  <c r="A448" i="4" s="1"/>
  <c r="A185" i="4"/>
  <c r="A197" i="4" s="1"/>
  <c r="A209" i="4" s="1"/>
  <c r="A221" i="4" s="1"/>
  <c r="A233" i="4" s="1"/>
  <c r="A245" i="4" s="1"/>
  <c r="A257" i="4" s="1"/>
  <c r="A269" i="4" s="1"/>
  <c r="A281" i="4" s="1"/>
  <c r="A293" i="4" s="1"/>
  <c r="A305" i="4" s="1"/>
  <c r="A317" i="4" s="1"/>
  <c r="A329" i="4" s="1"/>
  <c r="A341" i="4" s="1"/>
  <c r="A353" i="4" s="1"/>
  <c r="A365" i="4" s="1"/>
  <c r="A377" i="4" s="1"/>
  <c r="A389" i="4" s="1"/>
  <c r="A401" i="4" s="1"/>
  <c r="A413" i="4" s="1"/>
  <c r="A425" i="4" s="1"/>
  <c r="A437" i="4" s="1"/>
  <c r="A449" i="4" s="1"/>
  <c r="A186" i="4"/>
  <c r="A198" i="4" s="1"/>
  <c r="A210" i="4" s="1"/>
  <c r="A222" i="4" s="1"/>
  <c r="A234" i="4" s="1"/>
  <c r="A246" i="4" s="1"/>
  <c r="A258" i="4" s="1"/>
  <c r="A270" i="4" s="1"/>
  <c r="A282" i="4" s="1"/>
  <c r="A294" i="4" s="1"/>
  <c r="A306" i="4" s="1"/>
  <c r="A318" i="4" s="1"/>
  <c r="A330" i="4" s="1"/>
  <c r="A342" i="4" s="1"/>
  <c r="A354" i="4" s="1"/>
  <c r="A366" i="4" s="1"/>
  <c r="A378" i="4" s="1"/>
  <c r="A390" i="4" s="1"/>
  <c r="A402" i="4" s="1"/>
  <c r="A414" i="4" s="1"/>
  <c r="A426" i="4" s="1"/>
  <c r="A438" i="4" s="1"/>
  <c r="A450" i="4" s="1"/>
  <c r="A187" i="4"/>
  <c r="A199" i="4" s="1"/>
  <c r="A211" i="4" s="1"/>
  <c r="A223" i="4" s="1"/>
  <c r="A235" i="4" s="1"/>
  <c r="A247" i="4" s="1"/>
  <c r="A259" i="4" s="1"/>
  <c r="A271" i="4" s="1"/>
  <c r="A283" i="4" s="1"/>
  <c r="A295" i="4" s="1"/>
  <c r="A307" i="4" s="1"/>
  <c r="A319" i="4" s="1"/>
  <c r="A331" i="4" s="1"/>
  <c r="A343" i="4" s="1"/>
  <c r="A355" i="4" s="1"/>
  <c r="A367" i="4" s="1"/>
  <c r="A379" i="4" s="1"/>
  <c r="A391" i="4" s="1"/>
  <c r="A403" i="4" s="1"/>
  <c r="A415" i="4" s="1"/>
  <c r="A427" i="4" s="1"/>
  <c r="A439" i="4" s="1"/>
  <c r="A451" i="4" s="1"/>
  <c r="A188" i="4"/>
  <c r="A200" i="4" s="1"/>
  <c r="A212" i="4" s="1"/>
  <c r="A224" i="4" s="1"/>
  <c r="A236" i="4" s="1"/>
  <c r="A248" i="4" s="1"/>
  <c r="A260" i="4" s="1"/>
  <c r="A272" i="4" s="1"/>
  <c r="A284" i="4" s="1"/>
  <c r="A296" i="4" s="1"/>
  <c r="A308" i="4" s="1"/>
  <c r="A320" i="4" s="1"/>
  <c r="A332" i="4" s="1"/>
  <c r="A344" i="4" s="1"/>
  <c r="A356" i="4" s="1"/>
  <c r="A368" i="4" s="1"/>
  <c r="A380" i="4" s="1"/>
  <c r="A392" i="4" s="1"/>
  <c r="A404" i="4" s="1"/>
  <c r="A416" i="4" s="1"/>
  <c r="A428" i="4" s="1"/>
  <c r="A440" i="4" s="1"/>
  <c r="A452" i="4" s="1"/>
  <c r="A189" i="4"/>
  <c r="A201" i="4" s="1"/>
  <c r="A213" i="4" s="1"/>
  <c r="A225" i="4" s="1"/>
  <c r="A237" i="4" s="1"/>
  <c r="A249" i="4" s="1"/>
  <c r="A261" i="4" s="1"/>
  <c r="A273" i="4" s="1"/>
  <c r="A285" i="4" s="1"/>
  <c r="A297" i="4" s="1"/>
  <c r="A309" i="4" s="1"/>
  <c r="A321" i="4" s="1"/>
  <c r="A333" i="4" s="1"/>
  <c r="A345" i="4" s="1"/>
  <c r="A357" i="4" s="1"/>
  <c r="A369" i="4" s="1"/>
  <c r="A381" i="4" s="1"/>
  <c r="A393" i="4" s="1"/>
  <c r="A405" i="4" s="1"/>
  <c r="A417" i="4" s="1"/>
  <c r="A429" i="4" s="1"/>
  <c r="A441" i="4" s="1"/>
  <c r="A453" i="4" s="1"/>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H152" i="17"/>
  <c r="H153" i="17"/>
  <c r="H154" i="17"/>
  <c r="H155" i="17"/>
  <c r="H156" i="17"/>
  <c r="H157" i="17"/>
  <c r="H158" i="17"/>
  <c r="H159" i="17"/>
  <c r="H160" i="17"/>
  <c r="H161" i="17"/>
  <c r="H162" i="17"/>
  <c r="H163" i="17"/>
  <c r="H164" i="17"/>
  <c r="H165" i="17"/>
  <c r="H166" i="17"/>
  <c r="H167" i="17"/>
  <c r="H168" i="17"/>
  <c r="H169" i="17"/>
  <c r="H170" i="17"/>
  <c r="H171" i="17"/>
  <c r="H172" i="17"/>
  <c r="H173" i="17"/>
  <c r="H174" i="17"/>
  <c r="H175" i="17"/>
  <c r="H176" i="17"/>
  <c r="H177" i="17"/>
  <c r="H178" i="17"/>
  <c r="H179" i="17"/>
  <c r="H180" i="17"/>
  <c r="H181" i="17"/>
  <c r="H182" i="17"/>
  <c r="H183" i="17"/>
  <c r="H184" i="17"/>
  <c r="H185" i="17"/>
  <c r="H186" i="17"/>
  <c r="H187" i="17"/>
  <c r="H188" i="17"/>
  <c r="H189" i="17"/>
  <c r="A190" i="17"/>
  <c r="A202" i="17" s="1"/>
  <c r="A214" i="17" s="1"/>
  <c r="A226" i="17" s="1"/>
  <c r="A238" i="17" s="1"/>
  <c r="A250" i="17" s="1"/>
  <c r="A262" i="17" s="1"/>
  <c r="A274" i="17" s="1"/>
  <c r="A286" i="17" s="1"/>
  <c r="A298" i="17" s="1"/>
  <c r="A310" i="17" s="1"/>
  <c r="A322" i="17" s="1"/>
  <c r="A334" i="17" s="1"/>
  <c r="A346" i="17" s="1"/>
  <c r="A370" i="17" s="1"/>
  <c r="A382" i="17" s="1"/>
  <c r="A394" i="17" s="1"/>
  <c r="A406" i="17" s="1"/>
  <c r="A418" i="17" s="1"/>
  <c r="A430" i="17" s="1"/>
  <c r="A442" i="17" s="1"/>
  <c r="A454" i="17" s="1"/>
  <c r="H190" i="17"/>
  <c r="A191" i="17"/>
  <c r="A203" i="17" s="1"/>
  <c r="A215" i="17" s="1"/>
  <c r="A227" i="17" s="1"/>
  <c r="A239" i="17" s="1"/>
  <c r="A251" i="17" s="1"/>
  <c r="A263" i="17" s="1"/>
  <c r="A275" i="17" s="1"/>
  <c r="A287" i="17" s="1"/>
  <c r="A299" i="17" s="1"/>
  <c r="A311" i="17" s="1"/>
  <c r="A323" i="17" s="1"/>
  <c r="A335" i="17" s="1"/>
  <c r="A347" i="17" s="1"/>
  <c r="A371" i="17" s="1"/>
  <c r="A383" i="17" s="1"/>
  <c r="A395" i="17" s="1"/>
  <c r="A407" i="17" s="1"/>
  <c r="A419" i="17" s="1"/>
  <c r="A431" i="17" s="1"/>
  <c r="A443" i="17" s="1"/>
  <c r="A455" i="17" s="1"/>
  <c r="H191" i="17"/>
  <c r="A192" i="17"/>
  <c r="A204" i="17" s="1"/>
  <c r="A216" i="17" s="1"/>
  <c r="A228" i="17" s="1"/>
  <c r="A240" i="17" s="1"/>
  <c r="A252" i="17" s="1"/>
  <c r="A264" i="17" s="1"/>
  <c r="A276" i="17" s="1"/>
  <c r="A288" i="17" s="1"/>
  <c r="A300" i="17" s="1"/>
  <c r="A312" i="17" s="1"/>
  <c r="A324" i="17" s="1"/>
  <c r="A336" i="17" s="1"/>
  <c r="A348" i="17" s="1"/>
  <c r="A372" i="17" s="1"/>
  <c r="A384" i="17" s="1"/>
  <c r="A396" i="17" s="1"/>
  <c r="A408" i="17" s="1"/>
  <c r="A420" i="17" s="1"/>
  <c r="A432" i="17" s="1"/>
  <c r="A444" i="17" s="1"/>
  <c r="A456" i="17" s="1"/>
  <c r="H192" i="17"/>
  <c r="A193" i="17"/>
  <c r="A205" i="17" s="1"/>
  <c r="A217" i="17" s="1"/>
  <c r="A229" i="17" s="1"/>
  <c r="A241" i="17" s="1"/>
  <c r="A253" i="17" s="1"/>
  <c r="A265" i="17" s="1"/>
  <c r="A277" i="17" s="1"/>
  <c r="A289" i="17" s="1"/>
  <c r="A301" i="17" s="1"/>
  <c r="A313" i="17" s="1"/>
  <c r="A325" i="17" s="1"/>
  <c r="A337" i="17" s="1"/>
  <c r="A349" i="17" s="1"/>
  <c r="A373" i="17" s="1"/>
  <c r="A385" i="17" s="1"/>
  <c r="A397" i="17" s="1"/>
  <c r="A409" i="17" s="1"/>
  <c r="A421" i="17" s="1"/>
  <c r="A433" i="17" s="1"/>
  <c r="A445" i="17" s="1"/>
  <c r="A457" i="17" s="1"/>
  <c r="H193" i="17"/>
  <c r="A194" i="17"/>
  <c r="A206" i="17" s="1"/>
  <c r="A218" i="17" s="1"/>
  <c r="A230" i="17" s="1"/>
  <c r="A242" i="17" s="1"/>
  <c r="A254" i="17" s="1"/>
  <c r="A266" i="17" s="1"/>
  <c r="A278" i="17" s="1"/>
  <c r="A290" i="17" s="1"/>
  <c r="A302" i="17" s="1"/>
  <c r="A314" i="17" s="1"/>
  <c r="A326" i="17" s="1"/>
  <c r="A338" i="17" s="1"/>
  <c r="A374" i="17" s="1"/>
  <c r="A386" i="17" s="1"/>
  <c r="A398" i="17" s="1"/>
  <c r="A410" i="17" s="1"/>
  <c r="A422" i="17" s="1"/>
  <c r="A434" i="17" s="1"/>
  <c r="A446" i="17" s="1"/>
  <c r="A458" i="17" s="1"/>
  <c r="H194" i="17"/>
  <c r="A195" i="17"/>
  <c r="A207" i="17" s="1"/>
  <c r="A219" i="17" s="1"/>
  <c r="A231" i="17" s="1"/>
  <c r="A243" i="17" s="1"/>
  <c r="A255" i="17" s="1"/>
  <c r="A267" i="17" s="1"/>
  <c r="A279" i="17" s="1"/>
  <c r="A291" i="17" s="1"/>
  <c r="A303" i="17" s="1"/>
  <c r="A315" i="17" s="1"/>
  <c r="A327" i="17" s="1"/>
  <c r="A339" i="17" s="1"/>
  <c r="A375" i="17" s="1"/>
  <c r="A387" i="17" s="1"/>
  <c r="A399" i="17" s="1"/>
  <c r="A411" i="17" s="1"/>
  <c r="A423" i="17" s="1"/>
  <c r="A435" i="17" s="1"/>
  <c r="A447" i="17" s="1"/>
  <c r="A459" i="17" s="1"/>
  <c r="H195" i="17"/>
  <c r="A196" i="17"/>
  <c r="A208" i="17" s="1"/>
  <c r="A220" i="17" s="1"/>
  <c r="A232" i="17" s="1"/>
  <c r="A244" i="17" s="1"/>
  <c r="A256" i="17" s="1"/>
  <c r="A268" i="17" s="1"/>
  <c r="A280" i="17" s="1"/>
  <c r="A292" i="17" s="1"/>
  <c r="A304" i="17" s="1"/>
  <c r="A316" i="17" s="1"/>
  <c r="A328" i="17" s="1"/>
  <c r="A340" i="17" s="1"/>
  <c r="A376" i="17" s="1"/>
  <c r="A388" i="17" s="1"/>
  <c r="A400" i="17" s="1"/>
  <c r="A412" i="17" s="1"/>
  <c r="A424" i="17" s="1"/>
  <c r="A436" i="17" s="1"/>
  <c r="A448" i="17" s="1"/>
  <c r="A460" i="17" s="1"/>
  <c r="H196" i="17"/>
  <c r="A197" i="17"/>
  <c r="A209" i="17" s="1"/>
  <c r="A221" i="17" s="1"/>
  <c r="A233" i="17" s="1"/>
  <c r="A245" i="17" s="1"/>
  <c r="A257" i="17" s="1"/>
  <c r="A269" i="17" s="1"/>
  <c r="A281" i="17" s="1"/>
  <c r="A293" i="17" s="1"/>
  <c r="A305" i="17" s="1"/>
  <c r="A317" i="17" s="1"/>
  <c r="A329" i="17" s="1"/>
  <c r="A341" i="17" s="1"/>
  <c r="A365" i="17" s="1"/>
  <c r="A377" i="17" s="1"/>
  <c r="A389" i="17" s="1"/>
  <c r="A401" i="17" s="1"/>
  <c r="A413" i="17" s="1"/>
  <c r="A425" i="17" s="1"/>
  <c r="A437" i="17" s="1"/>
  <c r="A449" i="17" s="1"/>
  <c r="A461" i="17" s="1"/>
  <c r="H197" i="17"/>
  <c r="A198" i="17"/>
  <c r="A210" i="17" s="1"/>
  <c r="A222" i="17" s="1"/>
  <c r="A234" i="17" s="1"/>
  <c r="A246" i="17" s="1"/>
  <c r="A258" i="17" s="1"/>
  <c r="A270" i="17" s="1"/>
  <c r="A282" i="17" s="1"/>
  <c r="A294" i="17" s="1"/>
  <c r="A306" i="17" s="1"/>
  <c r="A318" i="17" s="1"/>
  <c r="A330" i="17" s="1"/>
  <c r="A342" i="17" s="1"/>
  <c r="A366" i="17" s="1"/>
  <c r="A378" i="17" s="1"/>
  <c r="A390" i="17" s="1"/>
  <c r="A402" i="17" s="1"/>
  <c r="A414" i="17" s="1"/>
  <c r="A426" i="17" s="1"/>
  <c r="A438" i="17" s="1"/>
  <c r="A450" i="17" s="1"/>
  <c r="A462" i="17" s="1"/>
  <c r="H198" i="17"/>
  <c r="A199" i="17"/>
  <c r="A211" i="17" s="1"/>
  <c r="A223" i="17" s="1"/>
  <c r="A235" i="17" s="1"/>
  <c r="A247" i="17" s="1"/>
  <c r="A259" i="17" s="1"/>
  <c r="A271" i="17" s="1"/>
  <c r="A283" i="17" s="1"/>
  <c r="A295" i="17" s="1"/>
  <c r="A307" i="17" s="1"/>
  <c r="A319" i="17" s="1"/>
  <c r="A331" i="17" s="1"/>
  <c r="A343" i="17" s="1"/>
  <c r="A367" i="17" s="1"/>
  <c r="A379" i="17" s="1"/>
  <c r="A391" i="17" s="1"/>
  <c r="A403" i="17" s="1"/>
  <c r="A415" i="17" s="1"/>
  <c r="A427" i="17" s="1"/>
  <c r="A439" i="17" s="1"/>
  <c r="A451" i="17" s="1"/>
  <c r="A463" i="17" s="1"/>
  <c r="H199" i="17"/>
  <c r="A200" i="17"/>
  <c r="A212" i="17" s="1"/>
  <c r="A224" i="17" s="1"/>
  <c r="A236" i="17" s="1"/>
  <c r="A248" i="17" s="1"/>
  <c r="A260" i="17" s="1"/>
  <c r="A272" i="17" s="1"/>
  <c r="A284" i="17" s="1"/>
  <c r="A296" i="17" s="1"/>
  <c r="A308" i="17" s="1"/>
  <c r="A320" i="17" s="1"/>
  <c r="A332" i="17" s="1"/>
  <c r="A344" i="17" s="1"/>
  <c r="A368" i="17" s="1"/>
  <c r="A380" i="17" s="1"/>
  <c r="A392" i="17" s="1"/>
  <c r="A404" i="17" s="1"/>
  <c r="A416" i="17" s="1"/>
  <c r="A428" i="17" s="1"/>
  <c r="A440" i="17" s="1"/>
  <c r="A452" i="17" s="1"/>
  <c r="A464" i="17" s="1"/>
  <c r="H200" i="17"/>
  <c r="A201" i="17"/>
  <c r="A213" i="17" s="1"/>
  <c r="A225" i="17" s="1"/>
  <c r="A237" i="17" s="1"/>
  <c r="A249" i="17" s="1"/>
  <c r="A261" i="17" s="1"/>
  <c r="A273" i="17" s="1"/>
  <c r="A285" i="17" s="1"/>
  <c r="A297" i="17" s="1"/>
  <c r="A309" i="17" s="1"/>
  <c r="A321" i="17" s="1"/>
  <c r="A333" i="17" s="1"/>
  <c r="A345" i="17" s="1"/>
  <c r="A369" i="17" s="1"/>
  <c r="A381" i="17" s="1"/>
  <c r="A393" i="17" s="1"/>
  <c r="A405" i="17" s="1"/>
  <c r="A417" i="17" s="1"/>
  <c r="A429" i="17" s="1"/>
  <c r="A441" i="17" s="1"/>
  <c r="A453" i="17" s="1"/>
  <c r="A465" i="17" s="1"/>
  <c r="H201" i="17"/>
  <c r="H202" i="17"/>
  <c r="H203" i="17"/>
  <c r="H204" i="17"/>
  <c r="H205" i="17"/>
  <c r="H206" i="17"/>
  <c r="H207" i="17"/>
  <c r="H208" i="17"/>
  <c r="H209" i="17"/>
  <c r="H210" i="17"/>
  <c r="H211" i="17"/>
  <c r="H212" i="17"/>
  <c r="H213" i="17"/>
  <c r="H214" i="17"/>
  <c r="H215" i="17"/>
  <c r="H216" i="17"/>
  <c r="H219" i="17"/>
  <c r="H220" i="17"/>
  <c r="H222" i="17"/>
  <c r="H223" i="17"/>
  <c r="H224" i="17"/>
  <c r="H225" i="17"/>
  <c r="H226" i="17"/>
  <c r="H227" i="17"/>
  <c r="H228" i="17"/>
  <c r="H229" i="17"/>
  <c r="H230" i="17"/>
  <c r="H232" i="17"/>
  <c r="H233" i="17"/>
  <c r="H234" i="17"/>
  <c r="H235" i="17"/>
  <c r="H236" i="17"/>
  <c r="H237" i="17"/>
  <c r="H238" i="17"/>
  <c r="H239" i="17"/>
  <c r="H240" i="17"/>
  <c r="H241" i="17"/>
  <c r="H242" i="17"/>
  <c r="H243" i="17"/>
  <c r="H244" i="17"/>
  <c r="H245" i="17"/>
  <c r="H246" i="17"/>
  <c r="H247" i="17"/>
  <c r="H248" i="17"/>
  <c r="H249" i="17"/>
  <c r="H250" i="17"/>
  <c r="H251" i="17"/>
  <c r="H252" i="17"/>
  <c r="H253" i="17"/>
  <c r="H254" i="17"/>
  <c r="H255" i="17"/>
  <c r="H256" i="17"/>
  <c r="H257" i="17"/>
  <c r="H258" i="17"/>
  <c r="H259" i="17"/>
  <c r="H260" i="17"/>
  <c r="H261" i="17"/>
  <c r="H262" i="17"/>
  <c r="H263" i="17"/>
  <c r="H264" i="17"/>
  <c r="H265" i="17"/>
  <c r="H266" i="17"/>
  <c r="H267" i="17"/>
  <c r="H268" i="17"/>
  <c r="H269" i="17"/>
  <c r="H270" i="17"/>
  <c r="H271" i="17"/>
  <c r="H272" i="17"/>
  <c r="H274" i="17"/>
  <c r="H275" i="17"/>
  <c r="H276" i="17"/>
  <c r="H277" i="17"/>
  <c r="H278" i="17"/>
  <c r="H279" i="17"/>
  <c r="H281" i="17"/>
  <c r="H282" i="17"/>
  <c r="H283" i="17"/>
  <c r="H284" i="17"/>
  <c r="H285" i="17"/>
  <c r="A34" i="76"/>
  <c r="A46" i="76" s="1"/>
  <c r="A58" i="76" s="1"/>
  <c r="A70" i="76" s="1"/>
  <c r="A82" i="76" s="1"/>
  <c r="A94" i="76" s="1"/>
  <c r="A106" i="76" s="1"/>
  <c r="A118" i="76" s="1"/>
  <c r="A130" i="76" s="1"/>
  <c r="A142" i="76" s="1"/>
  <c r="A154" i="76" s="1"/>
  <c r="A166" i="76" s="1"/>
  <c r="A178" i="76" s="1"/>
  <c r="A190" i="76" s="1"/>
  <c r="A202" i="76" s="1"/>
  <c r="A214" i="76" s="1"/>
  <c r="A226" i="76" s="1"/>
  <c r="A238" i="76" s="1"/>
  <c r="A250" i="76" s="1"/>
  <c r="A262" i="76" s="1"/>
  <c r="A274" i="76" s="1"/>
  <c r="A286" i="76" s="1"/>
  <c r="A298" i="76" s="1"/>
  <c r="A35" i="76"/>
  <c r="A47" i="76" s="1"/>
  <c r="A59" i="76" s="1"/>
  <c r="A71" i="76" s="1"/>
  <c r="A83" i="76" s="1"/>
  <c r="A95" i="76" s="1"/>
  <c r="A107" i="76" s="1"/>
  <c r="A119" i="76" s="1"/>
  <c r="A131" i="76" s="1"/>
  <c r="A143" i="76" s="1"/>
  <c r="A155" i="76" s="1"/>
  <c r="A167" i="76" s="1"/>
  <c r="A179" i="76" s="1"/>
  <c r="A191" i="76" s="1"/>
  <c r="A203" i="76" s="1"/>
  <c r="A215" i="76" s="1"/>
  <c r="A227" i="76" s="1"/>
  <c r="A239" i="76" s="1"/>
  <c r="A251" i="76" s="1"/>
  <c r="A263" i="76" s="1"/>
  <c r="A275" i="76" s="1"/>
  <c r="A287" i="76" s="1"/>
  <c r="A299" i="76" s="1"/>
  <c r="A36" i="76"/>
  <c r="A48" i="76" s="1"/>
  <c r="A60" i="76" s="1"/>
  <c r="A72" i="76" s="1"/>
  <c r="A84" i="76" s="1"/>
  <c r="A96" i="76" s="1"/>
  <c r="A108" i="76" s="1"/>
  <c r="A120" i="76" s="1"/>
  <c r="A132" i="76" s="1"/>
  <c r="A144" i="76" s="1"/>
  <c r="A156" i="76" s="1"/>
  <c r="A168" i="76" s="1"/>
  <c r="A180" i="76" s="1"/>
  <c r="A192" i="76" s="1"/>
  <c r="A204" i="76" s="1"/>
  <c r="A216" i="76" s="1"/>
  <c r="A228" i="76" s="1"/>
  <c r="A240" i="76" s="1"/>
  <c r="A252" i="76" s="1"/>
  <c r="A264" i="76" s="1"/>
  <c r="A276" i="76" s="1"/>
  <c r="A288" i="76" s="1"/>
  <c r="A300" i="76" s="1"/>
  <c r="A37" i="76"/>
  <c r="A49" i="76" s="1"/>
  <c r="A61" i="76" s="1"/>
  <c r="A73" i="76" s="1"/>
  <c r="A85" i="76" s="1"/>
  <c r="A97" i="76" s="1"/>
  <c r="A109" i="76" s="1"/>
  <c r="A121" i="76" s="1"/>
  <c r="A133" i="76" s="1"/>
  <c r="A145" i="76" s="1"/>
  <c r="A157" i="76" s="1"/>
  <c r="A169" i="76" s="1"/>
  <c r="A181" i="76" s="1"/>
  <c r="A193" i="76" s="1"/>
  <c r="A205" i="76" s="1"/>
  <c r="A217" i="76" s="1"/>
  <c r="A229" i="76" s="1"/>
  <c r="A241" i="76" s="1"/>
  <c r="A253" i="76" s="1"/>
  <c r="A265" i="76" s="1"/>
  <c r="A277" i="76" s="1"/>
  <c r="A289" i="76" s="1"/>
  <c r="A301" i="76" s="1"/>
  <c r="A38" i="76"/>
  <c r="A50" i="76" s="1"/>
  <c r="A62" i="76" s="1"/>
  <c r="A74" i="76" s="1"/>
  <c r="A86" i="76" s="1"/>
  <c r="A98" i="76" s="1"/>
  <c r="A110" i="76" s="1"/>
  <c r="A122" i="76" s="1"/>
  <c r="A134" i="76" s="1"/>
  <c r="A146" i="76" s="1"/>
  <c r="A158" i="76" s="1"/>
  <c r="A170" i="76" s="1"/>
  <c r="A182" i="76" s="1"/>
  <c r="A194" i="76" s="1"/>
  <c r="A206" i="76" s="1"/>
  <c r="A218" i="76" s="1"/>
  <c r="A230" i="76" s="1"/>
  <c r="A242" i="76" s="1"/>
  <c r="A254" i="76" s="1"/>
  <c r="A266" i="76" s="1"/>
  <c r="A278" i="76" s="1"/>
  <c r="A290" i="76" s="1"/>
  <c r="A302" i="76" s="1"/>
  <c r="A39" i="76"/>
  <c r="A51" i="76" s="1"/>
  <c r="A63" i="76" s="1"/>
  <c r="A75" i="76" s="1"/>
  <c r="A87" i="76" s="1"/>
  <c r="A99" i="76" s="1"/>
  <c r="A111" i="76" s="1"/>
  <c r="A123" i="76" s="1"/>
  <c r="A135" i="76" s="1"/>
  <c r="A147" i="76" s="1"/>
  <c r="A159" i="76" s="1"/>
  <c r="A171" i="76" s="1"/>
  <c r="A183" i="76" s="1"/>
  <c r="A195" i="76" s="1"/>
  <c r="A207" i="76" s="1"/>
  <c r="A219" i="76" s="1"/>
  <c r="A231" i="76" s="1"/>
  <c r="A243" i="76" s="1"/>
  <c r="A255" i="76" s="1"/>
  <c r="A267" i="76" s="1"/>
  <c r="A279" i="76" s="1"/>
  <c r="A291" i="76" s="1"/>
  <c r="A303" i="76" s="1"/>
  <c r="A40" i="76"/>
  <c r="A52" i="76" s="1"/>
  <c r="A64" i="76" s="1"/>
  <c r="A76" i="76" s="1"/>
  <c r="A88" i="76" s="1"/>
  <c r="A100" i="76" s="1"/>
  <c r="A112" i="76" s="1"/>
  <c r="A124" i="76" s="1"/>
  <c r="A136" i="76" s="1"/>
  <c r="A148" i="76" s="1"/>
  <c r="A160" i="76" s="1"/>
  <c r="A172" i="76" s="1"/>
  <c r="A184" i="76" s="1"/>
  <c r="A196" i="76" s="1"/>
  <c r="A208" i="76" s="1"/>
  <c r="A220" i="76" s="1"/>
  <c r="A232" i="76" s="1"/>
  <c r="A244" i="76" s="1"/>
  <c r="A256" i="76" s="1"/>
  <c r="A268" i="76" s="1"/>
  <c r="A280" i="76" s="1"/>
  <c r="A292" i="76" s="1"/>
  <c r="A304" i="76" s="1"/>
  <c r="A41" i="76"/>
  <c r="A53" i="76" s="1"/>
  <c r="A65" i="76" s="1"/>
  <c r="A77" i="76" s="1"/>
  <c r="A89" i="76" s="1"/>
  <c r="A101" i="76" s="1"/>
  <c r="A113" i="76" s="1"/>
  <c r="A125" i="76" s="1"/>
  <c r="A137" i="76" s="1"/>
  <c r="A149" i="76" s="1"/>
  <c r="A161" i="76" s="1"/>
  <c r="A173" i="76" s="1"/>
  <c r="A185" i="76" s="1"/>
  <c r="A197" i="76" s="1"/>
  <c r="A209" i="76" s="1"/>
  <c r="A221" i="76" s="1"/>
  <c r="A233" i="76" s="1"/>
  <c r="A245" i="76" s="1"/>
  <c r="A257" i="76" s="1"/>
  <c r="A269" i="76" s="1"/>
  <c r="A281" i="76" s="1"/>
  <c r="A293" i="76" s="1"/>
  <c r="A305" i="76" s="1"/>
  <c r="A42" i="76"/>
  <c r="A54" i="76" s="1"/>
  <c r="A66" i="76" s="1"/>
  <c r="A78" i="76" s="1"/>
  <c r="A90" i="76" s="1"/>
  <c r="A102" i="76" s="1"/>
  <c r="A114" i="76" s="1"/>
  <c r="A126" i="76" s="1"/>
  <c r="A138" i="76" s="1"/>
  <c r="A150" i="76" s="1"/>
  <c r="A162" i="76" s="1"/>
  <c r="A174" i="76" s="1"/>
  <c r="A186" i="76" s="1"/>
  <c r="A198" i="76" s="1"/>
  <c r="A210" i="76" s="1"/>
  <c r="A222" i="76" s="1"/>
  <c r="A234" i="76" s="1"/>
  <c r="A246" i="76" s="1"/>
  <c r="A258" i="76" s="1"/>
  <c r="A270" i="76" s="1"/>
  <c r="A282" i="76" s="1"/>
  <c r="A294" i="76" s="1"/>
  <c r="A306" i="76" s="1"/>
  <c r="A43" i="76"/>
  <c r="A55" i="76" s="1"/>
  <c r="A67" i="76" s="1"/>
  <c r="A79" i="76" s="1"/>
  <c r="A91" i="76" s="1"/>
  <c r="A103" i="76" s="1"/>
  <c r="A115" i="76" s="1"/>
  <c r="A127" i="76" s="1"/>
  <c r="A139" i="76" s="1"/>
  <c r="A151" i="76" s="1"/>
  <c r="A163" i="76" s="1"/>
  <c r="A175" i="76" s="1"/>
  <c r="A187" i="76" s="1"/>
  <c r="A199" i="76" s="1"/>
  <c r="A211" i="76" s="1"/>
  <c r="A223" i="76" s="1"/>
  <c r="A235" i="76" s="1"/>
  <c r="A247" i="76" s="1"/>
  <c r="A259" i="76" s="1"/>
  <c r="A271" i="76" s="1"/>
  <c r="A283" i="76" s="1"/>
  <c r="A295" i="76" s="1"/>
  <c r="A307" i="76" s="1"/>
  <c r="A44" i="76"/>
  <c r="A56" i="76" s="1"/>
  <c r="A68" i="76" s="1"/>
  <c r="A80" i="76" s="1"/>
  <c r="A92" i="76" s="1"/>
  <c r="A104" i="76" s="1"/>
  <c r="A116" i="76" s="1"/>
  <c r="A128" i="76" s="1"/>
  <c r="A140" i="76" s="1"/>
  <c r="A152" i="76" s="1"/>
  <c r="A164" i="76" s="1"/>
  <c r="A176" i="76" s="1"/>
  <c r="A188" i="76" s="1"/>
  <c r="A200" i="76" s="1"/>
  <c r="A212" i="76" s="1"/>
  <c r="A224" i="76" s="1"/>
  <c r="A236" i="76" s="1"/>
  <c r="A248" i="76" s="1"/>
  <c r="A260" i="76" s="1"/>
  <c r="A272" i="76" s="1"/>
  <c r="A284" i="76" s="1"/>
  <c r="A296" i="76" s="1"/>
  <c r="A308" i="76" s="1"/>
  <c r="A45" i="76"/>
  <c r="A57" i="76" s="1"/>
  <c r="A69" i="76" s="1"/>
  <c r="A81" i="76" s="1"/>
  <c r="A93" i="76" s="1"/>
  <c r="A105" i="76" s="1"/>
  <c r="A117" i="76" s="1"/>
  <c r="A129" i="76" s="1"/>
  <c r="A141" i="76" s="1"/>
  <c r="A153" i="76" s="1"/>
  <c r="A165" i="76" s="1"/>
  <c r="A177" i="76" s="1"/>
  <c r="A189" i="76" s="1"/>
  <c r="A201" i="76" s="1"/>
  <c r="A213" i="76" s="1"/>
  <c r="A225" i="76" s="1"/>
  <c r="A237" i="76" s="1"/>
  <c r="A249" i="76" s="1"/>
  <c r="A261" i="76" s="1"/>
  <c r="A273" i="76" s="1"/>
  <c r="A285" i="76" s="1"/>
  <c r="A297" i="76" s="1"/>
  <c r="A309" i="76" s="1"/>
  <c r="A130" i="1"/>
  <c r="A142" i="1" s="1"/>
  <c r="A154" i="1" s="1"/>
  <c r="A166" i="1" s="1"/>
  <c r="A178" i="1" s="1"/>
  <c r="A190" i="1" s="1"/>
  <c r="A202" i="1" s="1"/>
  <c r="A214" i="1" s="1"/>
  <c r="A226" i="1" s="1"/>
  <c r="A238" i="1" s="1"/>
  <c r="A250" i="1" s="1"/>
  <c r="A262" i="1" s="1"/>
  <c r="A274" i="1" s="1"/>
  <c r="A286" i="1" s="1"/>
  <c r="A298" i="1" s="1"/>
  <c r="A310" i="1" s="1"/>
  <c r="A322" i="1" s="1"/>
  <c r="A334" i="1" s="1"/>
  <c r="A346" i="1" s="1"/>
  <c r="A358" i="1" s="1"/>
  <c r="A370" i="1" s="1"/>
  <c r="A382" i="1" s="1"/>
  <c r="A394" i="1" s="1"/>
  <c r="A131" i="1"/>
  <c r="A143" i="1" s="1"/>
  <c r="A155" i="1" s="1"/>
  <c r="A167" i="1" s="1"/>
  <c r="A179" i="1" s="1"/>
  <c r="A191" i="1" s="1"/>
  <c r="A203" i="1" s="1"/>
  <c r="A215" i="1" s="1"/>
  <c r="A227" i="1" s="1"/>
  <c r="A239" i="1" s="1"/>
  <c r="A251" i="1" s="1"/>
  <c r="A263" i="1" s="1"/>
  <c r="A275" i="1" s="1"/>
  <c r="A287" i="1" s="1"/>
  <c r="A299" i="1" s="1"/>
  <c r="A311" i="1" s="1"/>
  <c r="A323" i="1" s="1"/>
  <c r="A335" i="1" s="1"/>
  <c r="A347" i="1" s="1"/>
  <c r="A359" i="1" s="1"/>
  <c r="A371" i="1" s="1"/>
  <c r="A383" i="1" s="1"/>
  <c r="A395" i="1" s="1"/>
  <c r="A132" i="1"/>
  <c r="A144" i="1" s="1"/>
  <c r="A156" i="1" s="1"/>
  <c r="A168" i="1" s="1"/>
  <c r="A180" i="1" s="1"/>
  <c r="A192" i="1" s="1"/>
  <c r="A204" i="1" s="1"/>
  <c r="A216" i="1" s="1"/>
  <c r="A228" i="1" s="1"/>
  <c r="A240" i="1" s="1"/>
  <c r="A252" i="1" s="1"/>
  <c r="A264" i="1" s="1"/>
  <c r="A276" i="1" s="1"/>
  <c r="A288" i="1" s="1"/>
  <c r="A300" i="1" s="1"/>
  <c r="A133" i="1"/>
  <c r="A145" i="1" s="1"/>
  <c r="A157" i="1" s="1"/>
  <c r="A169" i="1" s="1"/>
  <c r="A181" i="1" s="1"/>
  <c r="A193" i="1" s="1"/>
  <c r="A205" i="1" s="1"/>
  <c r="A217" i="1" s="1"/>
  <c r="A229" i="1" s="1"/>
  <c r="A241" i="1" s="1"/>
  <c r="A253" i="1" s="1"/>
  <c r="A265" i="1" s="1"/>
  <c r="A277" i="1" s="1"/>
  <c r="A289" i="1" s="1"/>
  <c r="A301" i="1" s="1"/>
  <c r="A313" i="1" s="1"/>
  <c r="A325" i="1" s="1"/>
  <c r="A337" i="1" s="1"/>
  <c r="A349" i="1" s="1"/>
  <c r="A361" i="1" s="1"/>
  <c r="A373" i="1" s="1"/>
  <c r="A385" i="1" s="1"/>
  <c r="A397" i="1" s="1"/>
  <c r="A134" i="1"/>
  <c r="A146" i="1" s="1"/>
  <c r="A158" i="1" s="1"/>
  <c r="A170" i="1" s="1"/>
  <c r="A182" i="1" s="1"/>
  <c r="A194" i="1" s="1"/>
  <c r="A206" i="1" s="1"/>
  <c r="A218" i="1" s="1"/>
  <c r="A230" i="1" s="1"/>
  <c r="A242" i="1" s="1"/>
  <c r="A254" i="1" s="1"/>
  <c r="A266" i="1" s="1"/>
  <c r="A278" i="1" s="1"/>
  <c r="A290" i="1" s="1"/>
  <c r="A302" i="1" s="1"/>
  <c r="A314" i="1" s="1"/>
  <c r="A326" i="1" s="1"/>
  <c r="A338" i="1" s="1"/>
  <c r="A350" i="1" s="1"/>
  <c r="A362" i="1" s="1"/>
  <c r="A374" i="1" s="1"/>
  <c r="A386" i="1" s="1"/>
  <c r="A398" i="1" s="1"/>
  <c r="A135" i="1"/>
  <c r="A147" i="1" s="1"/>
  <c r="A159" i="1" s="1"/>
  <c r="A171" i="1" s="1"/>
  <c r="A183" i="1" s="1"/>
  <c r="A195" i="1" s="1"/>
  <c r="A207" i="1" s="1"/>
  <c r="A219" i="1" s="1"/>
  <c r="A231" i="1" s="1"/>
  <c r="A243" i="1" s="1"/>
  <c r="A255" i="1" s="1"/>
  <c r="A267" i="1" s="1"/>
  <c r="A279" i="1" s="1"/>
  <c r="A291" i="1" s="1"/>
  <c r="A303" i="1" s="1"/>
  <c r="A315" i="1" s="1"/>
  <c r="A327" i="1" s="1"/>
  <c r="A339" i="1" s="1"/>
  <c r="A351" i="1" s="1"/>
  <c r="A363" i="1" s="1"/>
  <c r="A375" i="1" s="1"/>
  <c r="A387" i="1" s="1"/>
  <c r="A399" i="1" s="1"/>
  <c r="A136" i="1"/>
  <c r="A148" i="1" s="1"/>
  <c r="A160" i="1" s="1"/>
  <c r="A172" i="1" s="1"/>
  <c r="A184" i="1" s="1"/>
  <c r="A196" i="1" s="1"/>
  <c r="A208" i="1" s="1"/>
  <c r="A220" i="1" s="1"/>
  <c r="A232" i="1" s="1"/>
  <c r="A244" i="1" s="1"/>
  <c r="A256" i="1" s="1"/>
  <c r="A268" i="1" s="1"/>
  <c r="A280" i="1" s="1"/>
  <c r="A292" i="1" s="1"/>
  <c r="A304" i="1" s="1"/>
  <c r="A316" i="1" s="1"/>
  <c r="A328" i="1" s="1"/>
  <c r="A340" i="1" s="1"/>
  <c r="A352" i="1" s="1"/>
  <c r="A364" i="1" s="1"/>
  <c r="A376" i="1" s="1"/>
  <c r="A388" i="1" s="1"/>
  <c r="A400" i="1" s="1"/>
  <c r="A137" i="1"/>
  <c r="A149" i="1" s="1"/>
  <c r="A161" i="1" s="1"/>
  <c r="A173" i="1" s="1"/>
  <c r="A185" i="1" s="1"/>
  <c r="A197" i="1" s="1"/>
  <c r="A209" i="1" s="1"/>
  <c r="A221" i="1" s="1"/>
  <c r="A233" i="1" s="1"/>
  <c r="A245" i="1" s="1"/>
  <c r="A257" i="1" s="1"/>
  <c r="A269" i="1" s="1"/>
  <c r="A281" i="1" s="1"/>
  <c r="A293" i="1" s="1"/>
  <c r="A305" i="1" s="1"/>
  <c r="A317" i="1" s="1"/>
  <c r="A329" i="1" s="1"/>
  <c r="A341" i="1" s="1"/>
  <c r="A353" i="1" s="1"/>
  <c r="A365" i="1" s="1"/>
  <c r="A377" i="1" s="1"/>
  <c r="A389" i="1" s="1"/>
  <c r="A401" i="1" s="1"/>
  <c r="A138" i="1"/>
  <c r="A150" i="1" s="1"/>
  <c r="A162" i="1" s="1"/>
  <c r="A174" i="1" s="1"/>
  <c r="A186" i="1" s="1"/>
  <c r="A198" i="1" s="1"/>
  <c r="A210" i="1" s="1"/>
  <c r="A222" i="1" s="1"/>
  <c r="A234" i="1" s="1"/>
  <c r="A246" i="1" s="1"/>
  <c r="A258" i="1" s="1"/>
  <c r="A270" i="1" s="1"/>
  <c r="A282" i="1" s="1"/>
  <c r="A294" i="1" s="1"/>
  <c r="A306" i="1" s="1"/>
  <c r="A318" i="1" s="1"/>
  <c r="A330" i="1" s="1"/>
  <c r="A342" i="1" s="1"/>
  <c r="A354" i="1" s="1"/>
  <c r="A366" i="1" s="1"/>
  <c r="A378" i="1" s="1"/>
  <c r="A390" i="1" s="1"/>
  <c r="A402" i="1" s="1"/>
  <c r="A139" i="1"/>
  <c r="A151" i="1" s="1"/>
  <c r="A163" i="1" s="1"/>
  <c r="A175" i="1" s="1"/>
  <c r="A187" i="1" s="1"/>
  <c r="A199" i="1" s="1"/>
  <c r="A211" i="1" s="1"/>
  <c r="A223" i="1" s="1"/>
  <c r="A235" i="1" s="1"/>
  <c r="A247" i="1" s="1"/>
  <c r="A259" i="1" s="1"/>
  <c r="A271" i="1" s="1"/>
  <c r="A283" i="1" s="1"/>
  <c r="A295" i="1" s="1"/>
  <c r="A307" i="1" s="1"/>
  <c r="A319" i="1" s="1"/>
  <c r="A331" i="1" s="1"/>
  <c r="A343" i="1" s="1"/>
  <c r="A355" i="1" s="1"/>
  <c r="A367" i="1" s="1"/>
  <c r="A379" i="1" s="1"/>
  <c r="A391" i="1" s="1"/>
  <c r="A403" i="1" s="1"/>
  <c r="A140" i="1"/>
  <c r="A152" i="1" s="1"/>
  <c r="A164" i="1" s="1"/>
  <c r="A176" i="1" s="1"/>
  <c r="A188" i="1" s="1"/>
  <c r="A200" i="1" s="1"/>
  <c r="A212" i="1" s="1"/>
  <c r="A224" i="1" s="1"/>
  <c r="A236" i="1" s="1"/>
  <c r="A248" i="1" s="1"/>
  <c r="A260" i="1" s="1"/>
  <c r="A272" i="1" s="1"/>
  <c r="A284" i="1" s="1"/>
  <c r="A296" i="1" s="1"/>
  <c r="A308" i="1" s="1"/>
  <c r="A320" i="1" s="1"/>
  <c r="A332" i="1" s="1"/>
  <c r="A344" i="1" s="1"/>
  <c r="A356" i="1" s="1"/>
  <c r="A368" i="1" s="1"/>
  <c r="A380" i="1" s="1"/>
  <c r="A392" i="1" s="1"/>
  <c r="A404" i="1" s="1"/>
  <c r="A141" i="1"/>
  <c r="A153" i="1" s="1"/>
  <c r="A165" i="1" s="1"/>
  <c r="A177" i="1" s="1"/>
  <c r="A189" i="1" s="1"/>
  <c r="A201" i="1" s="1"/>
  <c r="A213" i="1" s="1"/>
  <c r="A225" i="1" s="1"/>
  <c r="A237" i="1" s="1"/>
  <c r="A249" i="1" s="1"/>
  <c r="A261" i="1" s="1"/>
  <c r="A273" i="1" s="1"/>
  <c r="A285" i="1" s="1"/>
  <c r="A297" i="1" s="1"/>
  <c r="A309" i="1" s="1"/>
  <c r="A321" i="1" s="1"/>
  <c r="A333" i="1" s="1"/>
  <c r="A345" i="1" s="1"/>
  <c r="A357" i="1" s="1"/>
  <c r="A369" i="1" s="1"/>
  <c r="A381" i="1" s="1"/>
  <c r="A393" i="1" s="1"/>
  <c r="A405" i="1" s="1"/>
  <c r="C7" i="3"/>
  <c r="D7" i="3" s="1"/>
  <c r="E7" i="3" s="1"/>
  <c r="F7" i="3" s="1"/>
  <c r="G7" i="3" s="1"/>
  <c r="H7" i="3" s="1"/>
  <c r="I7" i="3" s="1"/>
  <c r="J7" i="3" s="1"/>
  <c r="K7" i="3" s="1"/>
  <c r="L7" i="3" s="1"/>
  <c r="M7" i="3" s="1"/>
  <c r="N7" i="3" s="1"/>
  <c r="R10" i="3"/>
  <c r="S10" i="3"/>
  <c r="R11" i="3"/>
  <c r="S11" i="3"/>
  <c r="R12" i="3"/>
  <c r="S12" i="3"/>
  <c r="R13" i="3"/>
  <c r="S13" i="3"/>
  <c r="R14" i="3"/>
  <c r="S14" i="3"/>
  <c r="R15" i="3"/>
  <c r="S15" i="3"/>
  <c r="R16" i="3"/>
  <c r="S16" i="3"/>
  <c r="R17" i="3"/>
  <c r="S17" i="3"/>
  <c r="R18" i="3"/>
  <c r="S18" i="3"/>
  <c r="R19" i="3"/>
  <c r="R20" i="3"/>
  <c r="S20" i="3"/>
  <c r="R21" i="3"/>
  <c r="S21" i="3"/>
  <c r="R22" i="3"/>
  <c r="S22" i="3"/>
  <c r="R23" i="3"/>
  <c r="S23" i="3"/>
  <c r="R24" i="3"/>
  <c r="S24" i="3"/>
  <c r="R25" i="3"/>
  <c r="S25" i="3"/>
  <c r="R26" i="3"/>
  <c r="S26" i="3"/>
  <c r="R27" i="3"/>
  <c r="S27" i="3"/>
  <c r="R28" i="3"/>
  <c r="S28" i="3"/>
  <c r="R29" i="3"/>
  <c r="S29" i="3"/>
  <c r="R30" i="3"/>
  <c r="S30" i="3"/>
  <c r="R31" i="3"/>
  <c r="S31" i="3"/>
  <c r="R32" i="3"/>
  <c r="S32" i="3"/>
  <c r="R33" i="3"/>
  <c r="S33" i="3"/>
  <c r="R34" i="3"/>
  <c r="S34" i="3"/>
  <c r="R35" i="3"/>
  <c r="S35" i="3"/>
  <c r="R36" i="3"/>
  <c r="S36" i="3"/>
  <c r="R37" i="3"/>
  <c r="S37" i="3"/>
  <c r="R38" i="3"/>
  <c r="S38" i="3"/>
  <c r="R39" i="3"/>
  <c r="S39" i="3"/>
  <c r="R40" i="3"/>
  <c r="S40" i="3"/>
  <c r="R41" i="3"/>
  <c r="S41" i="3"/>
  <c r="R42" i="3"/>
  <c r="S42" i="3"/>
  <c r="R43" i="3"/>
  <c r="S43" i="3"/>
  <c r="R44" i="3"/>
  <c r="S44" i="3"/>
  <c r="R45" i="3"/>
  <c r="S45" i="3"/>
  <c r="R46" i="3"/>
  <c r="S46" i="3"/>
  <c r="R47" i="3"/>
  <c r="S47" i="3"/>
  <c r="R48" i="3"/>
  <c r="S48" i="3"/>
  <c r="R49" i="3"/>
  <c r="S49" i="3"/>
  <c r="R50" i="3"/>
  <c r="S50" i="3"/>
  <c r="R51" i="3"/>
  <c r="S51" i="3"/>
  <c r="R52" i="3"/>
  <c r="S52" i="3"/>
  <c r="R53" i="3"/>
  <c r="S53" i="3"/>
  <c r="R54" i="3"/>
  <c r="S54" i="3"/>
  <c r="R55" i="3"/>
  <c r="S55" i="3"/>
  <c r="R56" i="3"/>
  <c r="S56" i="3"/>
  <c r="R57" i="3"/>
  <c r="S57" i="3"/>
  <c r="R58" i="3"/>
  <c r="S58" i="3"/>
  <c r="R59" i="3"/>
  <c r="S59" i="3"/>
  <c r="R60" i="3"/>
  <c r="S60" i="3"/>
  <c r="R61" i="3"/>
  <c r="S61" i="3"/>
  <c r="R62" i="3"/>
  <c r="S62" i="3"/>
  <c r="R63" i="3"/>
  <c r="S63" i="3"/>
  <c r="R64" i="3"/>
  <c r="S64" i="3"/>
  <c r="R65" i="3"/>
  <c r="S65" i="3"/>
  <c r="R66" i="3"/>
  <c r="S66" i="3"/>
  <c r="R67" i="3"/>
  <c r="S67" i="3"/>
  <c r="R68" i="3"/>
  <c r="S68" i="3"/>
  <c r="R69" i="3"/>
  <c r="S69" i="3"/>
  <c r="R70" i="3"/>
  <c r="S70" i="3"/>
  <c r="R71" i="3"/>
  <c r="S71" i="3"/>
  <c r="R72" i="3"/>
  <c r="S72" i="3"/>
  <c r="R73" i="3"/>
  <c r="S73" i="3"/>
  <c r="R74" i="3"/>
  <c r="S74" i="3"/>
  <c r="R75" i="3"/>
  <c r="S75" i="3"/>
  <c r="R76" i="3"/>
  <c r="S76" i="3"/>
  <c r="R77" i="3"/>
  <c r="S77" i="3"/>
  <c r="R78" i="3"/>
  <c r="S78" i="3"/>
  <c r="R79" i="3"/>
  <c r="S79" i="3"/>
  <c r="R80" i="3"/>
  <c r="S80" i="3"/>
  <c r="R81" i="3"/>
  <c r="S81" i="3"/>
  <c r="R82" i="3"/>
  <c r="S82" i="3"/>
  <c r="R83" i="3"/>
  <c r="S83" i="3"/>
  <c r="R84" i="3"/>
  <c r="S84" i="3"/>
  <c r="R85" i="3"/>
  <c r="S85" i="3"/>
  <c r="R86" i="3"/>
  <c r="S86" i="3"/>
  <c r="R87" i="3"/>
  <c r="S87" i="3"/>
  <c r="R88" i="3"/>
  <c r="S88" i="3"/>
  <c r="R89" i="3"/>
  <c r="S89" i="3"/>
  <c r="R90" i="3"/>
  <c r="S90" i="3"/>
  <c r="R91" i="3"/>
  <c r="S91" i="3"/>
  <c r="R92" i="3"/>
  <c r="S92" i="3"/>
  <c r="R93" i="3"/>
  <c r="S93" i="3"/>
  <c r="R94" i="3"/>
  <c r="S94" i="3"/>
  <c r="R95" i="3"/>
  <c r="S95" i="3"/>
  <c r="C96" i="3"/>
  <c r="R96" i="3"/>
  <c r="S96" i="3"/>
  <c r="C97" i="3"/>
  <c r="R97" i="3"/>
  <c r="S97" i="3"/>
  <c r="C98" i="3"/>
  <c r="R98" i="3"/>
  <c r="S98" i="3"/>
  <c r="C99" i="3"/>
  <c r="R99" i="3"/>
  <c r="S99" i="3"/>
  <c r="C100" i="3"/>
  <c r="R100" i="3"/>
  <c r="S100" i="3"/>
  <c r="C101" i="3"/>
  <c r="R101" i="3"/>
  <c r="S101" i="3"/>
  <c r="C102" i="3"/>
  <c r="R102" i="3"/>
  <c r="S102" i="3"/>
  <c r="C103" i="3"/>
  <c r="R103" i="3"/>
  <c r="S103" i="3"/>
  <c r="C104" i="3"/>
  <c r="R104" i="3"/>
  <c r="S104" i="3"/>
  <c r="C105" i="3"/>
  <c r="R105" i="3"/>
  <c r="S105" i="3"/>
  <c r="C106" i="3"/>
  <c r="R106" i="3"/>
  <c r="S106" i="3"/>
  <c r="C107" i="3"/>
  <c r="R107" i="3"/>
  <c r="S107" i="3"/>
  <c r="C108" i="3"/>
  <c r="R108" i="3"/>
  <c r="S108" i="3"/>
  <c r="C109" i="3"/>
  <c r="R109" i="3"/>
  <c r="S109" i="3"/>
  <c r="C110" i="3"/>
  <c r="R110" i="3"/>
  <c r="S110" i="3"/>
  <c r="C111" i="3"/>
  <c r="R111" i="3"/>
  <c r="S111" i="3"/>
  <c r="C112" i="3"/>
  <c r="R112" i="3"/>
  <c r="S112" i="3"/>
  <c r="C113" i="3"/>
  <c r="R113" i="3"/>
  <c r="S113" i="3"/>
  <c r="C114" i="3"/>
  <c r="R114" i="3"/>
  <c r="S114" i="3"/>
  <c r="C115" i="3"/>
  <c r="R115" i="3"/>
  <c r="S115" i="3"/>
  <c r="C116" i="3"/>
  <c r="R116" i="3"/>
  <c r="S116" i="3"/>
  <c r="C117" i="3"/>
  <c r="R117" i="3"/>
  <c r="S117" i="3"/>
  <c r="C118" i="3"/>
  <c r="R118" i="3"/>
  <c r="S118" i="3"/>
  <c r="C119" i="3"/>
  <c r="R119" i="3"/>
  <c r="S119" i="3"/>
  <c r="C120" i="3"/>
  <c r="R120" i="3"/>
  <c r="S120" i="3"/>
  <c r="C121" i="3"/>
  <c r="R121" i="3"/>
  <c r="S121" i="3"/>
  <c r="C122" i="3"/>
  <c r="R122" i="3"/>
  <c r="S122" i="3"/>
  <c r="C123" i="3"/>
  <c r="R123" i="3"/>
  <c r="S123" i="3"/>
  <c r="C124" i="3"/>
  <c r="R124" i="3"/>
  <c r="S124" i="3"/>
  <c r="C125" i="3"/>
  <c r="R125" i="3"/>
  <c r="S125" i="3"/>
  <c r="C126" i="3"/>
  <c r="R126" i="3"/>
  <c r="S126" i="3"/>
  <c r="C127" i="3"/>
  <c r="R127" i="3"/>
  <c r="S127" i="3"/>
  <c r="C128" i="3"/>
  <c r="R128" i="3"/>
  <c r="S128" i="3"/>
  <c r="C129" i="3"/>
  <c r="R129" i="3"/>
  <c r="S129" i="3"/>
  <c r="C130" i="3"/>
  <c r="R130" i="3"/>
  <c r="S130" i="3"/>
  <c r="C131" i="3"/>
  <c r="R131" i="3"/>
  <c r="S131" i="3"/>
  <c r="C132" i="3"/>
  <c r="R132" i="3"/>
  <c r="S132" i="3"/>
  <c r="C133" i="3"/>
  <c r="R133" i="3"/>
  <c r="S133" i="3"/>
  <c r="C134" i="3"/>
  <c r="R134" i="3"/>
  <c r="S134" i="3"/>
  <c r="C135" i="3"/>
  <c r="R135" i="3"/>
  <c r="S135" i="3"/>
  <c r="C136" i="3"/>
  <c r="R136" i="3"/>
  <c r="S136" i="3"/>
  <c r="C137" i="3"/>
  <c r="R137" i="3"/>
  <c r="S137" i="3"/>
  <c r="C138" i="3"/>
  <c r="R138" i="3"/>
  <c r="S138" i="3"/>
  <c r="C139" i="3"/>
  <c r="R139" i="3"/>
  <c r="S139" i="3"/>
  <c r="C140" i="3"/>
  <c r="R140" i="3"/>
  <c r="S140" i="3"/>
  <c r="C141" i="3"/>
  <c r="R141" i="3"/>
  <c r="S141" i="3"/>
  <c r="A142" i="3"/>
  <c r="A154" i="3" s="1"/>
  <c r="A166" i="3" s="1"/>
  <c r="A178" i="3" s="1"/>
  <c r="A190" i="3" s="1"/>
  <c r="A202" i="3" s="1"/>
  <c r="A214" i="3" s="1"/>
  <c r="A226" i="3" s="1"/>
  <c r="A238" i="3" s="1"/>
  <c r="A250" i="3" s="1"/>
  <c r="A262" i="3" s="1"/>
  <c r="A274" i="3" s="1"/>
  <c r="A286" i="3" s="1"/>
  <c r="A298" i="3" s="1"/>
  <c r="A310" i="3" s="1"/>
  <c r="A322" i="3" s="1"/>
  <c r="A334" i="3" s="1"/>
  <c r="A346" i="3" s="1"/>
  <c r="A358" i="3" s="1"/>
  <c r="A370" i="3" s="1"/>
  <c r="A382" i="3" s="1"/>
  <c r="A394" i="3" s="1"/>
  <c r="A406" i="3" s="1"/>
  <c r="C142" i="3"/>
  <c r="R142" i="3"/>
  <c r="S142" i="3"/>
  <c r="A143" i="3"/>
  <c r="A155" i="3" s="1"/>
  <c r="A167" i="3" s="1"/>
  <c r="A179" i="3" s="1"/>
  <c r="A191" i="3" s="1"/>
  <c r="A203" i="3" s="1"/>
  <c r="A215" i="3" s="1"/>
  <c r="A227" i="3" s="1"/>
  <c r="A239" i="3" s="1"/>
  <c r="A251" i="3" s="1"/>
  <c r="A263" i="3" s="1"/>
  <c r="A275" i="3" s="1"/>
  <c r="A287" i="3" s="1"/>
  <c r="A299" i="3" s="1"/>
  <c r="A311" i="3" s="1"/>
  <c r="A323" i="3" s="1"/>
  <c r="A335" i="3" s="1"/>
  <c r="A347" i="3" s="1"/>
  <c r="A359" i="3" s="1"/>
  <c r="A371" i="3" s="1"/>
  <c r="A383" i="3" s="1"/>
  <c r="A395" i="3" s="1"/>
  <c r="A407" i="3" s="1"/>
  <c r="C143" i="3"/>
  <c r="R143" i="3"/>
  <c r="S143" i="3"/>
  <c r="A144" i="3"/>
  <c r="A156" i="3" s="1"/>
  <c r="A168" i="3" s="1"/>
  <c r="A180" i="3" s="1"/>
  <c r="A192" i="3" s="1"/>
  <c r="A204" i="3" s="1"/>
  <c r="A216" i="3" s="1"/>
  <c r="A228" i="3" s="1"/>
  <c r="A240" i="3" s="1"/>
  <c r="A252" i="3" s="1"/>
  <c r="A264" i="3" s="1"/>
  <c r="A276" i="3" s="1"/>
  <c r="A288" i="3" s="1"/>
  <c r="A300" i="3" s="1"/>
  <c r="A312" i="3" s="1"/>
  <c r="A324" i="3" s="1"/>
  <c r="A336" i="3" s="1"/>
  <c r="A348" i="3" s="1"/>
  <c r="A360" i="3" s="1"/>
  <c r="A372" i="3" s="1"/>
  <c r="A384" i="3" s="1"/>
  <c r="A396" i="3" s="1"/>
  <c r="A408" i="3" s="1"/>
  <c r="C144" i="3"/>
  <c r="R144" i="3"/>
  <c r="S144" i="3"/>
  <c r="A145" i="3"/>
  <c r="A157" i="3" s="1"/>
  <c r="A169" i="3" s="1"/>
  <c r="A181" i="3" s="1"/>
  <c r="A193" i="3" s="1"/>
  <c r="A205" i="3" s="1"/>
  <c r="A217" i="3" s="1"/>
  <c r="A229" i="3" s="1"/>
  <c r="A241" i="3" s="1"/>
  <c r="A253" i="3" s="1"/>
  <c r="A265" i="3" s="1"/>
  <c r="A277" i="3" s="1"/>
  <c r="A289" i="3" s="1"/>
  <c r="A301" i="3" s="1"/>
  <c r="A313" i="3" s="1"/>
  <c r="A325" i="3" s="1"/>
  <c r="A337" i="3" s="1"/>
  <c r="A349" i="3" s="1"/>
  <c r="A361" i="3" s="1"/>
  <c r="A373" i="3" s="1"/>
  <c r="A385" i="3" s="1"/>
  <c r="A397" i="3" s="1"/>
  <c r="A409" i="3" s="1"/>
  <c r="C145" i="3"/>
  <c r="R145" i="3"/>
  <c r="S145" i="3"/>
  <c r="A146" i="3"/>
  <c r="A158" i="3" s="1"/>
  <c r="A170" i="3" s="1"/>
  <c r="A182" i="3" s="1"/>
  <c r="A194" i="3" s="1"/>
  <c r="A206" i="3" s="1"/>
  <c r="A218" i="3" s="1"/>
  <c r="A230" i="3" s="1"/>
  <c r="A242" i="3" s="1"/>
  <c r="A254" i="3" s="1"/>
  <c r="A266" i="3" s="1"/>
  <c r="A278" i="3" s="1"/>
  <c r="A290" i="3" s="1"/>
  <c r="A302" i="3" s="1"/>
  <c r="A314" i="3" s="1"/>
  <c r="A326" i="3" s="1"/>
  <c r="A338" i="3" s="1"/>
  <c r="A350" i="3" s="1"/>
  <c r="A362" i="3" s="1"/>
  <c r="A374" i="3" s="1"/>
  <c r="A386" i="3" s="1"/>
  <c r="A398" i="3" s="1"/>
  <c r="A410" i="3" s="1"/>
  <c r="C146" i="3"/>
  <c r="R146" i="3"/>
  <c r="S146" i="3"/>
  <c r="A147" i="3"/>
  <c r="A159" i="3" s="1"/>
  <c r="A171" i="3" s="1"/>
  <c r="A183" i="3" s="1"/>
  <c r="A195" i="3" s="1"/>
  <c r="A207" i="3" s="1"/>
  <c r="A219" i="3" s="1"/>
  <c r="A231" i="3" s="1"/>
  <c r="A243" i="3" s="1"/>
  <c r="A255" i="3" s="1"/>
  <c r="A267" i="3" s="1"/>
  <c r="A279" i="3" s="1"/>
  <c r="A291" i="3" s="1"/>
  <c r="A303" i="3" s="1"/>
  <c r="A315" i="3" s="1"/>
  <c r="A327" i="3" s="1"/>
  <c r="A339" i="3" s="1"/>
  <c r="A351" i="3" s="1"/>
  <c r="A363" i="3" s="1"/>
  <c r="A375" i="3" s="1"/>
  <c r="A387" i="3" s="1"/>
  <c r="A399" i="3" s="1"/>
  <c r="A411" i="3" s="1"/>
  <c r="C147" i="3"/>
  <c r="R147" i="3"/>
  <c r="S147" i="3"/>
  <c r="A148" i="3"/>
  <c r="A160" i="3" s="1"/>
  <c r="A172" i="3" s="1"/>
  <c r="A184" i="3" s="1"/>
  <c r="A196" i="3" s="1"/>
  <c r="A208" i="3" s="1"/>
  <c r="A220" i="3" s="1"/>
  <c r="A232" i="3" s="1"/>
  <c r="A244" i="3" s="1"/>
  <c r="A256" i="3" s="1"/>
  <c r="A268" i="3" s="1"/>
  <c r="A280" i="3" s="1"/>
  <c r="A292" i="3" s="1"/>
  <c r="A304" i="3" s="1"/>
  <c r="A316" i="3" s="1"/>
  <c r="A328" i="3" s="1"/>
  <c r="A340" i="3" s="1"/>
  <c r="A352" i="3" s="1"/>
  <c r="A364" i="3" s="1"/>
  <c r="A376" i="3" s="1"/>
  <c r="A388" i="3" s="1"/>
  <c r="A400" i="3" s="1"/>
  <c r="A412" i="3" s="1"/>
  <c r="C148" i="3"/>
  <c r="R148" i="3"/>
  <c r="S148" i="3"/>
  <c r="A149" i="3"/>
  <c r="A161" i="3" s="1"/>
  <c r="A173" i="3" s="1"/>
  <c r="A185" i="3" s="1"/>
  <c r="A197" i="3" s="1"/>
  <c r="A209" i="3" s="1"/>
  <c r="A221" i="3" s="1"/>
  <c r="A233" i="3" s="1"/>
  <c r="A245" i="3" s="1"/>
  <c r="A257" i="3" s="1"/>
  <c r="A269" i="3" s="1"/>
  <c r="A281" i="3" s="1"/>
  <c r="A293" i="3" s="1"/>
  <c r="A305" i="3" s="1"/>
  <c r="A317" i="3" s="1"/>
  <c r="A329" i="3" s="1"/>
  <c r="A341" i="3" s="1"/>
  <c r="A353" i="3" s="1"/>
  <c r="A365" i="3" s="1"/>
  <c r="A377" i="3" s="1"/>
  <c r="A389" i="3" s="1"/>
  <c r="A401" i="3" s="1"/>
  <c r="A413" i="3" s="1"/>
  <c r="C149" i="3"/>
  <c r="R149" i="3"/>
  <c r="S149" i="3"/>
  <c r="A150" i="3"/>
  <c r="A162" i="3" s="1"/>
  <c r="A174" i="3" s="1"/>
  <c r="A186" i="3" s="1"/>
  <c r="A198" i="3" s="1"/>
  <c r="A210" i="3" s="1"/>
  <c r="A222" i="3" s="1"/>
  <c r="A234" i="3" s="1"/>
  <c r="A246" i="3" s="1"/>
  <c r="A258" i="3" s="1"/>
  <c r="A270" i="3" s="1"/>
  <c r="A282" i="3" s="1"/>
  <c r="A294" i="3" s="1"/>
  <c r="A306" i="3" s="1"/>
  <c r="A318" i="3" s="1"/>
  <c r="A330" i="3" s="1"/>
  <c r="A342" i="3" s="1"/>
  <c r="A354" i="3" s="1"/>
  <c r="A366" i="3" s="1"/>
  <c r="A378" i="3" s="1"/>
  <c r="A390" i="3" s="1"/>
  <c r="A402" i="3" s="1"/>
  <c r="A414" i="3" s="1"/>
  <c r="C150" i="3"/>
  <c r="R150" i="3"/>
  <c r="S150" i="3"/>
  <c r="A151" i="3"/>
  <c r="A163" i="3" s="1"/>
  <c r="A175" i="3" s="1"/>
  <c r="A187" i="3" s="1"/>
  <c r="A199" i="3" s="1"/>
  <c r="A211" i="3" s="1"/>
  <c r="A223" i="3" s="1"/>
  <c r="A235" i="3" s="1"/>
  <c r="A247" i="3" s="1"/>
  <c r="A259" i="3" s="1"/>
  <c r="A271" i="3" s="1"/>
  <c r="A283" i="3" s="1"/>
  <c r="A295" i="3" s="1"/>
  <c r="A307" i="3" s="1"/>
  <c r="A319" i="3" s="1"/>
  <c r="A331" i="3" s="1"/>
  <c r="A343" i="3" s="1"/>
  <c r="A355" i="3" s="1"/>
  <c r="A367" i="3" s="1"/>
  <c r="A379" i="3" s="1"/>
  <c r="A391" i="3" s="1"/>
  <c r="A403" i="3" s="1"/>
  <c r="A415" i="3" s="1"/>
  <c r="C151" i="3"/>
  <c r="R151" i="3"/>
  <c r="S151" i="3"/>
  <c r="A152" i="3"/>
  <c r="A164" i="3" s="1"/>
  <c r="A176" i="3" s="1"/>
  <c r="A188" i="3" s="1"/>
  <c r="A200" i="3" s="1"/>
  <c r="A212" i="3" s="1"/>
  <c r="A224" i="3" s="1"/>
  <c r="A236" i="3" s="1"/>
  <c r="A248" i="3" s="1"/>
  <c r="A260" i="3" s="1"/>
  <c r="A272" i="3" s="1"/>
  <c r="A284" i="3" s="1"/>
  <c r="A296" i="3" s="1"/>
  <c r="A308" i="3" s="1"/>
  <c r="A320" i="3" s="1"/>
  <c r="A332" i="3" s="1"/>
  <c r="A344" i="3" s="1"/>
  <c r="A356" i="3" s="1"/>
  <c r="A368" i="3" s="1"/>
  <c r="A380" i="3" s="1"/>
  <c r="A392" i="3" s="1"/>
  <c r="A404" i="3" s="1"/>
  <c r="A416" i="3" s="1"/>
  <c r="R152" i="3"/>
  <c r="S152" i="3"/>
  <c r="A153" i="3"/>
  <c r="A165" i="3" s="1"/>
  <c r="A177" i="3" s="1"/>
  <c r="A189" i="3" s="1"/>
  <c r="A201" i="3" s="1"/>
  <c r="A213" i="3" s="1"/>
  <c r="A225" i="3" s="1"/>
  <c r="A237" i="3" s="1"/>
  <c r="A249" i="3" s="1"/>
  <c r="A261" i="3" s="1"/>
  <c r="A273" i="3" s="1"/>
  <c r="A285" i="3" s="1"/>
  <c r="A297" i="3" s="1"/>
  <c r="A309" i="3" s="1"/>
  <c r="A321" i="3" s="1"/>
  <c r="A333" i="3" s="1"/>
  <c r="A345" i="3" s="1"/>
  <c r="A357" i="3" s="1"/>
  <c r="A369" i="3" s="1"/>
  <c r="A381" i="3" s="1"/>
  <c r="A393" i="3" s="1"/>
  <c r="A405" i="3" s="1"/>
  <c r="A417" i="3" s="1"/>
  <c r="R153" i="3"/>
  <c r="S153" i="3"/>
  <c r="C154" i="3"/>
  <c r="R154" i="3"/>
  <c r="S154" i="3"/>
  <c r="C155" i="3"/>
  <c r="R155" i="3"/>
  <c r="S155" i="3"/>
  <c r="C156" i="3"/>
  <c r="R156" i="3"/>
  <c r="S156" i="3"/>
  <c r="C157" i="3"/>
  <c r="R157" i="3"/>
  <c r="S157" i="3"/>
  <c r="C158" i="3"/>
  <c r="R158" i="3"/>
  <c r="S158" i="3"/>
  <c r="C159" i="3"/>
  <c r="R159" i="3"/>
  <c r="S159" i="3"/>
  <c r="C160" i="3"/>
  <c r="R160" i="3"/>
  <c r="S160" i="3"/>
  <c r="C161" i="3"/>
  <c r="R161" i="3"/>
  <c r="S161" i="3"/>
  <c r="C162" i="3"/>
  <c r="R162" i="3"/>
  <c r="S162" i="3"/>
  <c r="C163" i="3"/>
  <c r="R163" i="3"/>
  <c r="S163" i="3"/>
  <c r="C164" i="3"/>
  <c r="R164" i="3"/>
  <c r="S164" i="3"/>
  <c r="C165" i="3"/>
  <c r="R165" i="3"/>
  <c r="S165" i="3"/>
  <c r="C166" i="3"/>
  <c r="R166" i="3"/>
  <c r="S166" i="3"/>
  <c r="C167" i="3"/>
  <c r="R167" i="3"/>
  <c r="S167" i="3"/>
  <c r="C168" i="3"/>
  <c r="R168" i="3"/>
  <c r="S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10" i="3"/>
  <c r="C211" i="3"/>
  <c r="C212" i="3"/>
  <c r="C213" i="3"/>
  <c r="C214" i="3"/>
  <c r="C215" i="3"/>
  <c r="C216" i="3"/>
  <c r="C217" i="3"/>
  <c r="C219" i="3"/>
  <c r="C222" i="3"/>
  <c r="C223" i="3"/>
  <c r="C224" i="3"/>
  <c r="C225" i="3"/>
  <c r="C226" i="3"/>
  <c r="C227" i="3"/>
  <c r="C228" i="3"/>
  <c r="C229" i="3"/>
  <c r="C230" i="3"/>
  <c r="C231" i="3"/>
  <c r="C232" i="3"/>
  <c r="C233" i="3"/>
  <c r="C234" i="3"/>
  <c r="C237" i="3"/>
  <c r="A23" i="45"/>
  <c r="A35" i="45" s="1"/>
  <c r="A47" i="45" s="1"/>
  <c r="A59" i="45" s="1"/>
  <c r="A71" i="45" s="1"/>
  <c r="A83" i="45" s="1"/>
  <c r="A95" i="45" s="1"/>
  <c r="A107" i="45" s="1"/>
  <c r="A119" i="45" s="1"/>
  <c r="A131" i="45" s="1"/>
  <c r="A143" i="45" s="1"/>
  <c r="A155" i="45" s="1"/>
  <c r="A167" i="45" s="1"/>
  <c r="A179" i="45" s="1"/>
  <c r="A191" i="45" s="1"/>
  <c r="A22" i="45"/>
  <c r="A34" i="45" s="1"/>
  <c r="A46" i="45" s="1"/>
  <c r="A58" i="45" s="1"/>
  <c r="A70" i="45" s="1"/>
  <c r="A82" i="45" s="1"/>
  <c r="A94" i="45" s="1"/>
  <c r="A106" i="45" s="1"/>
  <c r="A118" i="45" s="1"/>
  <c r="A130" i="45" s="1"/>
  <c r="A142" i="45" s="1"/>
  <c r="A154" i="45" s="1"/>
  <c r="A166" i="45" s="1"/>
  <c r="A178" i="45" s="1"/>
  <c r="A190" i="45" s="1"/>
  <c r="I5" i="49"/>
  <c r="B10" i="49"/>
  <c r="E10" i="49"/>
  <c r="I10" i="49"/>
  <c r="K10" i="49"/>
  <c r="L10" i="49"/>
  <c r="M10" i="49"/>
  <c r="N10" i="49"/>
  <c r="B11" i="49"/>
  <c r="E11" i="49"/>
  <c r="I11" i="49"/>
  <c r="J11" i="49"/>
  <c r="K11" i="49"/>
  <c r="L11" i="49"/>
  <c r="M11" i="49"/>
  <c r="N11" i="49"/>
  <c r="B12" i="49"/>
  <c r="E12" i="49"/>
  <c r="I12" i="49"/>
  <c r="J12" i="49"/>
  <c r="K12" i="49"/>
  <c r="L12" i="49"/>
  <c r="M12" i="49"/>
  <c r="N12" i="49"/>
  <c r="B13" i="49"/>
  <c r="E13" i="49"/>
  <c r="I13" i="49"/>
  <c r="J13" i="49"/>
  <c r="K13" i="49"/>
  <c r="L13" i="49"/>
  <c r="M13" i="49"/>
  <c r="N13" i="49"/>
  <c r="B14" i="49"/>
  <c r="B15" i="49"/>
  <c r="B16" i="49"/>
  <c r="B17" i="49"/>
  <c r="B18" i="49"/>
  <c r="B19" i="49"/>
  <c r="B20" i="49"/>
  <c r="B21" i="49"/>
  <c r="B22" i="49"/>
  <c r="B23" i="49"/>
  <c r="B24" i="49"/>
  <c r="B25" i="49"/>
  <c r="B26" i="49"/>
  <c r="B27" i="49"/>
  <c r="B28" i="49"/>
  <c r="B29" i="49"/>
  <c r="B30" i="49"/>
  <c r="B31" i="49"/>
  <c r="B32" i="49"/>
  <c r="B33" i="49"/>
  <c r="B34" i="49"/>
  <c r="B35" i="49"/>
  <c r="B36" i="49"/>
  <c r="B37" i="49"/>
  <c r="B38" i="49"/>
  <c r="B39" i="49"/>
  <c r="B40" i="49"/>
  <c r="B41" i="49"/>
  <c r="B42" i="49"/>
  <c r="B43" i="49"/>
  <c r="B44" i="49"/>
  <c r="B45" i="49"/>
  <c r="B46" i="49"/>
  <c r="E46" i="49"/>
  <c r="I46" i="49"/>
  <c r="L46" i="49"/>
  <c r="B47" i="49"/>
  <c r="E47" i="49"/>
  <c r="I47" i="49"/>
  <c r="L47" i="49"/>
  <c r="B48" i="49"/>
  <c r="E48" i="49"/>
  <c r="I48" i="49"/>
  <c r="L48" i="49"/>
  <c r="B49" i="49"/>
  <c r="E49" i="49"/>
  <c r="I49" i="49"/>
  <c r="L49" i="49"/>
  <c r="B50" i="49"/>
  <c r="E50" i="49"/>
  <c r="I50" i="49"/>
  <c r="L50" i="49"/>
  <c r="B51" i="49"/>
  <c r="E51" i="49"/>
  <c r="I51" i="49"/>
  <c r="L51" i="49"/>
  <c r="B52" i="49"/>
  <c r="E52" i="49"/>
  <c r="I52" i="49"/>
  <c r="L52" i="49"/>
  <c r="B53" i="49"/>
  <c r="E53" i="49"/>
  <c r="I53" i="49"/>
  <c r="L53" i="49"/>
  <c r="B54" i="49"/>
  <c r="E54" i="49"/>
  <c r="I54" i="49"/>
  <c r="L54" i="49"/>
  <c r="B55" i="49"/>
  <c r="E55" i="49"/>
  <c r="I55" i="49"/>
  <c r="L55" i="49"/>
  <c r="B56" i="49"/>
  <c r="E56" i="49"/>
  <c r="I56" i="49"/>
  <c r="L56" i="49"/>
  <c r="B57" i="49"/>
  <c r="E57" i="49"/>
  <c r="I57" i="49"/>
  <c r="L57" i="49"/>
  <c r="B58" i="49"/>
  <c r="E58" i="49"/>
  <c r="I58" i="49"/>
  <c r="L58" i="49"/>
  <c r="B59" i="49"/>
  <c r="E59" i="49"/>
  <c r="I59" i="49"/>
  <c r="L59" i="49"/>
  <c r="B60" i="49"/>
  <c r="E60" i="49"/>
  <c r="I60" i="49"/>
  <c r="L60" i="49"/>
  <c r="B61" i="49"/>
  <c r="E61" i="49"/>
  <c r="I61" i="49"/>
  <c r="L61" i="49"/>
  <c r="B62" i="49"/>
  <c r="E62" i="49"/>
  <c r="I62" i="49"/>
  <c r="L62" i="49"/>
  <c r="B63" i="49"/>
  <c r="E63" i="49"/>
  <c r="I63" i="49"/>
  <c r="L63" i="49"/>
  <c r="B64" i="49"/>
  <c r="E64" i="49"/>
  <c r="I64" i="49"/>
  <c r="L64" i="49"/>
  <c r="B65" i="49"/>
  <c r="E65" i="49"/>
  <c r="I65" i="49"/>
  <c r="L65" i="49"/>
  <c r="B66" i="49"/>
  <c r="E66" i="49"/>
  <c r="I66" i="49"/>
  <c r="L66" i="49"/>
  <c r="B67" i="49"/>
  <c r="E67" i="49"/>
  <c r="I67" i="49"/>
  <c r="L67" i="49"/>
  <c r="B68" i="49"/>
  <c r="E68" i="49"/>
  <c r="I68" i="49"/>
  <c r="L68" i="49"/>
  <c r="B69" i="49"/>
  <c r="E69" i="49"/>
  <c r="I69" i="49"/>
  <c r="L69" i="49"/>
  <c r="B70" i="49"/>
  <c r="E70" i="49"/>
  <c r="I70" i="49"/>
  <c r="L70" i="49"/>
  <c r="B71" i="49"/>
  <c r="E71" i="49"/>
  <c r="I71" i="49"/>
  <c r="L71" i="49"/>
  <c r="B72" i="49"/>
  <c r="E72" i="49"/>
  <c r="I72" i="49"/>
  <c r="L72" i="49"/>
  <c r="B73" i="49"/>
  <c r="E73" i="49"/>
  <c r="I73" i="49"/>
  <c r="L73" i="49"/>
  <c r="B74" i="49"/>
  <c r="E74" i="49"/>
  <c r="I74" i="49"/>
  <c r="L74" i="49"/>
  <c r="B75" i="49"/>
  <c r="E75" i="49"/>
  <c r="I75" i="49"/>
  <c r="L75" i="49"/>
  <c r="B76" i="49"/>
  <c r="E76" i="49"/>
  <c r="I76" i="49"/>
  <c r="L76" i="49"/>
  <c r="B77" i="49"/>
  <c r="E77" i="49"/>
  <c r="I77" i="49"/>
  <c r="L77" i="49"/>
  <c r="B78" i="49"/>
  <c r="E78" i="49"/>
  <c r="I78" i="49"/>
  <c r="L78" i="49"/>
  <c r="B79" i="49"/>
  <c r="E79" i="49"/>
  <c r="I79" i="49"/>
  <c r="L79" i="49"/>
  <c r="B80" i="49"/>
  <c r="E80" i="49"/>
  <c r="I80" i="49"/>
  <c r="L80" i="49"/>
  <c r="B81" i="49"/>
  <c r="E81" i="49"/>
  <c r="I81" i="49"/>
  <c r="L81" i="49"/>
  <c r="C82" i="49"/>
  <c r="B82" i="49" s="1"/>
  <c r="F82" i="49"/>
  <c r="E82" i="49" s="1"/>
  <c r="J82" i="49"/>
  <c r="I82" i="49" s="1"/>
  <c r="M82" i="49"/>
  <c r="L82" i="49" s="1"/>
  <c r="C83" i="49"/>
  <c r="B83" i="49" s="1"/>
  <c r="F83" i="49"/>
  <c r="E83" i="49" s="1"/>
  <c r="J83" i="49"/>
  <c r="I83" i="49" s="1"/>
  <c r="M83" i="49"/>
  <c r="L83" i="49" s="1"/>
  <c r="C84" i="49"/>
  <c r="B84" i="49" s="1"/>
  <c r="F84" i="49"/>
  <c r="E84" i="49" s="1"/>
  <c r="J84" i="49"/>
  <c r="I84" i="49" s="1"/>
  <c r="M84" i="49"/>
  <c r="L84" i="49" s="1"/>
  <c r="C85" i="49"/>
  <c r="B85" i="49" s="1"/>
  <c r="F85" i="49"/>
  <c r="E85" i="49" s="1"/>
  <c r="J85" i="49"/>
  <c r="I85" i="49" s="1"/>
  <c r="M85" i="49"/>
  <c r="L85" i="49" s="1"/>
  <c r="E89" i="49"/>
  <c r="A190" i="78"/>
  <c r="A202" i="78" s="1"/>
  <c r="A214" i="78" s="1"/>
  <c r="A226" i="78" s="1"/>
  <c r="A238" i="78" s="1"/>
  <c r="A250" i="78" s="1"/>
  <c r="A262" i="78" s="1"/>
  <c r="A274" i="78" s="1"/>
  <c r="A286" i="78" s="1"/>
  <c r="A298" i="78" s="1"/>
  <c r="A310" i="78" s="1"/>
  <c r="A322" i="78" s="1"/>
  <c r="A334" i="78" s="1"/>
  <c r="A346" i="78" s="1"/>
  <c r="A358" i="78" s="1"/>
  <c r="A370" i="78" s="1"/>
  <c r="A382" i="78" s="1"/>
  <c r="A394" i="78" s="1"/>
  <c r="A406" i="78" s="1"/>
  <c r="A418" i="78" s="1"/>
  <c r="A430" i="78" s="1"/>
  <c r="A442" i="78" s="1"/>
  <c r="A454" i="78" s="1"/>
  <c r="A191" i="78"/>
  <c r="A203" i="78" s="1"/>
  <c r="A215" i="78" s="1"/>
  <c r="A227" i="78" s="1"/>
  <c r="A239" i="78" s="1"/>
  <c r="A251" i="78" s="1"/>
  <c r="A263" i="78" s="1"/>
  <c r="A275" i="78" s="1"/>
  <c r="A287" i="78" s="1"/>
  <c r="A299" i="78" s="1"/>
  <c r="A311" i="78" s="1"/>
  <c r="A323" i="78" s="1"/>
  <c r="A335" i="78" s="1"/>
  <c r="A347" i="78" s="1"/>
  <c r="A359" i="78" s="1"/>
  <c r="A371" i="78" s="1"/>
  <c r="A383" i="78" s="1"/>
  <c r="A395" i="78" s="1"/>
  <c r="A407" i="78" s="1"/>
  <c r="A419" i="78" s="1"/>
  <c r="A431" i="78" s="1"/>
  <c r="A443" i="78" s="1"/>
  <c r="A455" i="78" s="1"/>
  <c r="A192" i="78"/>
  <c r="A204" i="78" s="1"/>
  <c r="A216" i="78" s="1"/>
  <c r="A228" i="78" s="1"/>
  <c r="A240" i="78" s="1"/>
  <c r="A252" i="78" s="1"/>
  <c r="A264" i="78" s="1"/>
  <c r="A276" i="78" s="1"/>
  <c r="A288" i="78" s="1"/>
  <c r="A300" i="78" s="1"/>
  <c r="A312" i="78" s="1"/>
  <c r="A324" i="78" s="1"/>
  <c r="A336" i="78" s="1"/>
  <c r="A348" i="78" s="1"/>
  <c r="A360" i="78" s="1"/>
  <c r="A372" i="78" s="1"/>
  <c r="A384" i="78" s="1"/>
  <c r="A396" i="78" s="1"/>
  <c r="A408" i="78" s="1"/>
  <c r="A420" i="78" s="1"/>
  <c r="A432" i="78" s="1"/>
  <c r="A444" i="78" s="1"/>
  <c r="A456" i="78" s="1"/>
  <c r="A193" i="78"/>
  <c r="A205" i="78" s="1"/>
  <c r="A217" i="78" s="1"/>
  <c r="A229" i="78" s="1"/>
  <c r="A241" i="78" s="1"/>
  <c r="A253" i="78" s="1"/>
  <c r="A265" i="78" s="1"/>
  <c r="A277" i="78" s="1"/>
  <c r="A289" i="78" s="1"/>
  <c r="A301" i="78" s="1"/>
  <c r="A313" i="78" s="1"/>
  <c r="A325" i="78" s="1"/>
  <c r="A337" i="78" s="1"/>
  <c r="A349" i="78" s="1"/>
  <c r="A361" i="78" s="1"/>
  <c r="A373" i="78" s="1"/>
  <c r="A385" i="78" s="1"/>
  <c r="A397" i="78" s="1"/>
  <c r="A409" i="78" s="1"/>
  <c r="A421" i="78" s="1"/>
  <c r="A433" i="78" s="1"/>
  <c r="A445" i="78" s="1"/>
  <c r="A457" i="78" s="1"/>
  <c r="A194" i="78"/>
  <c r="A206" i="78" s="1"/>
  <c r="A218" i="78" s="1"/>
  <c r="A230" i="78" s="1"/>
  <c r="A242" i="78" s="1"/>
  <c r="A254" i="78" s="1"/>
  <c r="A266" i="78" s="1"/>
  <c r="A278" i="78" s="1"/>
  <c r="A290" i="78" s="1"/>
  <c r="A302" i="78" s="1"/>
  <c r="A314" i="78" s="1"/>
  <c r="A326" i="78" s="1"/>
  <c r="A338" i="78" s="1"/>
  <c r="A350" i="78" s="1"/>
  <c r="A362" i="78" s="1"/>
  <c r="A374" i="78" s="1"/>
  <c r="A386" i="78" s="1"/>
  <c r="A398" i="78" s="1"/>
  <c r="A410" i="78" s="1"/>
  <c r="A422" i="78" s="1"/>
  <c r="A434" i="78" s="1"/>
  <c r="A446" i="78" s="1"/>
  <c r="A458" i="78" s="1"/>
  <c r="A195" i="78"/>
  <c r="A207" i="78" s="1"/>
  <c r="A219" i="78" s="1"/>
  <c r="A231" i="78" s="1"/>
  <c r="A243" i="78" s="1"/>
  <c r="A255" i="78" s="1"/>
  <c r="A267" i="78" s="1"/>
  <c r="A279" i="78" s="1"/>
  <c r="A291" i="78" s="1"/>
  <c r="A303" i="78" s="1"/>
  <c r="A315" i="78" s="1"/>
  <c r="A327" i="78" s="1"/>
  <c r="A339" i="78" s="1"/>
  <c r="A351" i="78" s="1"/>
  <c r="A363" i="78" s="1"/>
  <c r="A375" i="78" s="1"/>
  <c r="A387" i="78" s="1"/>
  <c r="A399" i="78" s="1"/>
  <c r="A411" i="78" s="1"/>
  <c r="A423" i="78" s="1"/>
  <c r="A435" i="78" s="1"/>
  <c r="A447" i="78" s="1"/>
  <c r="A459" i="78" s="1"/>
  <c r="A196" i="78"/>
  <c r="A208" i="78" s="1"/>
  <c r="A220" i="78" s="1"/>
  <c r="A232" i="78" s="1"/>
  <c r="A244" i="78" s="1"/>
  <c r="A256" i="78" s="1"/>
  <c r="A268" i="78" s="1"/>
  <c r="A280" i="78" s="1"/>
  <c r="A292" i="78" s="1"/>
  <c r="A304" i="78" s="1"/>
  <c r="A316" i="78" s="1"/>
  <c r="A328" i="78" s="1"/>
  <c r="A340" i="78" s="1"/>
  <c r="A352" i="78" s="1"/>
  <c r="A364" i="78" s="1"/>
  <c r="A376" i="78" s="1"/>
  <c r="A388" i="78" s="1"/>
  <c r="A400" i="78" s="1"/>
  <c r="A412" i="78" s="1"/>
  <c r="A424" i="78" s="1"/>
  <c r="A436" i="78" s="1"/>
  <c r="A448" i="78" s="1"/>
  <c r="A460" i="78" s="1"/>
  <c r="A197" i="78"/>
  <c r="A209" i="78" s="1"/>
  <c r="A221" i="78" s="1"/>
  <c r="A233" i="78" s="1"/>
  <c r="A245" i="78" s="1"/>
  <c r="A257" i="78" s="1"/>
  <c r="A269" i="78" s="1"/>
  <c r="A281" i="78" s="1"/>
  <c r="A293" i="78" s="1"/>
  <c r="A305" i="78" s="1"/>
  <c r="A317" i="78" s="1"/>
  <c r="A329" i="78" s="1"/>
  <c r="A341" i="78" s="1"/>
  <c r="A353" i="78" s="1"/>
  <c r="A365" i="78" s="1"/>
  <c r="A377" i="78" s="1"/>
  <c r="A389" i="78" s="1"/>
  <c r="A401" i="78" s="1"/>
  <c r="A413" i="78" s="1"/>
  <c r="A425" i="78" s="1"/>
  <c r="A437" i="78" s="1"/>
  <c r="A449" i="78" s="1"/>
  <c r="A461" i="78" s="1"/>
  <c r="A198" i="78"/>
  <c r="A210" i="78" s="1"/>
  <c r="A222" i="78" s="1"/>
  <c r="A234" i="78" s="1"/>
  <c r="A246" i="78" s="1"/>
  <c r="A258" i="78" s="1"/>
  <c r="A270" i="78" s="1"/>
  <c r="A282" i="78" s="1"/>
  <c r="A294" i="78" s="1"/>
  <c r="A306" i="78" s="1"/>
  <c r="A318" i="78" s="1"/>
  <c r="A330" i="78" s="1"/>
  <c r="A342" i="78" s="1"/>
  <c r="A354" i="78" s="1"/>
  <c r="A366" i="78" s="1"/>
  <c r="A378" i="78" s="1"/>
  <c r="A390" i="78" s="1"/>
  <c r="A402" i="78" s="1"/>
  <c r="A414" i="78" s="1"/>
  <c r="A426" i="78" s="1"/>
  <c r="A438" i="78" s="1"/>
  <c r="A450" i="78" s="1"/>
  <c r="A462" i="78" s="1"/>
  <c r="A199" i="78"/>
  <c r="A211" i="78" s="1"/>
  <c r="A223" i="78" s="1"/>
  <c r="A235" i="78" s="1"/>
  <c r="A247" i="78" s="1"/>
  <c r="A259" i="78" s="1"/>
  <c r="A271" i="78" s="1"/>
  <c r="A283" i="78" s="1"/>
  <c r="A295" i="78" s="1"/>
  <c r="A307" i="78" s="1"/>
  <c r="A319" i="78" s="1"/>
  <c r="A331" i="78" s="1"/>
  <c r="A343" i="78" s="1"/>
  <c r="A355" i="78" s="1"/>
  <c r="A367" i="78" s="1"/>
  <c r="A379" i="78" s="1"/>
  <c r="A391" i="78" s="1"/>
  <c r="A403" i="78" s="1"/>
  <c r="A415" i="78" s="1"/>
  <c r="A427" i="78" s="1"/>
  <c r="A439" i="78" s="1"/>
  <c r="A451" i="78" s="1"/>
  <c r="A463" i="78" s="1"/>
  <c r="A200" i="78"/>
  <c r="A212" i="78" s="1"/>
  <c r="A224" i="78" s="1"/>
  <c r="A236" i="78" s="1"/>
  <c r="A248" i="78" s="1"/>
  <c r="A260" i="78" s="1"/>
  <c r="A272" i="78" s="1"/>
  <c r="A284" i="78" s="1"/>
  <c r="A296" i="78" s="1"/>
  <c r="A308" i="78" s="1"/>
  <c r="A320" i="78" s="1"/>
  <c r="A332" i="78" s="1"/>
  <c r="A344" i="78" s="1"/>
  <c r="A356" i="78" s="1"/>
  <c r="A368" i="78" s="1"/>
  <c r="A380" i="78" s="1"/>
  <c r="A392" i="78" s="1"/>
  <c r="A404" i="78" s="1"/>
  <c r="A416" i="78" s="1"/>
  <c r="A428" i="78" s="1"/>
  <c r="A440" i="78" s="1"/>
  <c r="A452" i="78" s="1"/>
  <c r="A464" i="78" s="1"/>
  <c r="A201" i="78"/>
  <c r="A213" i="78" s="1"/>
  <c r="A225" i="78" s="1"/>
  <c r="A237" i="78" s="1"/>
  <c r="A249" i="78" s="1"/>
  <c r="A261" i="78" s="1"/>
  <c r="A273" i="78" s="1"/>
  <c r="A285" i="78" s="1"/>
  <c r="A297" i="78" s="1"/>
  <c r="A309" i="78" s="1"/>
  <c r="A321" i="78" s="1"/>
  <c r="A333" i="78" s="1"/>
  <c r="A345" i="78" s="1"/>
  <c r="A357" i="78" s="1"/>
  <c r="A369" i="78" s="1"/>
  <c r="A381" i="78" s="1"/>
  <c r="A393" i="78" s="1"/>
  <c r="A405" i="78" s="1"/>
  <c r="A417" i="78" s="1"/>
  <c r="A429" i="78" s="1"/>
  <c r="A441" i="78" s="1"/>
  <c r="A453" i="78" s="1"/>
  <c r="A465" i="78" s="1"/>
  <c r="A178" i="20"/>
  <c r="A190" i="20" s="1"/>
  <c r="A202" i="20" s="1"/>
  <c r="A214" i="20" s="1"/>
  <c r="A226" i="20" s="1"/>
  <c r="A238" i="20" s="1"/>
  <c r="A250" i="20" s="1"/>
  <c r="A262" i="20" s="1"/>
  <c r="A274" i="20" s="1"/>
  <c r="A286" i="20" s="1"/>
  <c r="A298" i="20" s="1"/>
  <c r="A310" i="20" s="1"/>
  <c r="A322" i="20" s="1"/>
  <c r="A334" i="20" s="1"/>
  <c r="A346" i="20" s="1"/>
  <c r="A358" i="20" s="1"/>
  <c r="A370" i="20" s="1"/>
  <c r="A382" i="20" s="1"/>
  <c r="A394" i="20" s="1"/>
  <c r="A406" i="20" s="1"/>
  <c r="A418" i="20" s="1"/>
  <c r="A430" i="20" s="1"/>
  <c r="A442" i="20" s="1"/>
  <c r="A179" i="20"/>
  <c r="A191" i="20" s="1"/>
  <c r="A203" i="20" s="1"/>
  <c r="A215" i="20" s="1"/>
  <c r="A227" i="20" s="1"/>
  <c r="A239" i="20" s="1"/>
  <c r="A251" i="20" s="1"/>
  <c r="A263" i="20" s="1"/>
  <c r="A275" i="20" s="1"/>
  <c r="A287" i="20" s="1"/>
  <c r="A299" i="20" s="1"/>
  <c r="A311" i="20" s="1"/>
  <c r="A323" i="20" s="1"/>
  <c r="A335" i="20" s="1"/>
  <c r="A347" i="20" s="1"/>
  <c r="A359" i="20" s="1"/>
  <c r="A371" i="20" s="1"/>
  <c r="A383" i="20" s="1"/>
  <c r="A395" i="20" s="1"/>
  <c r="A407" i="20" s="1"/>
  <c r="A419" i="20" s="1"/>
  <c r="A431" i="20" s="1"/>
  <c r="A443" i="20" s="1"/>
  <c r="A180" i="20"/>
  <c r="A192" i="20" s="1"/>
  <c r="A204" i="20" s="1"/>
  <c r="A216" i="20" s="1"/>
  <c r="A228" i="20" s="1"/>
  <c r="A240" i="20" s="1"/>
  <c r="A252" i="20" s="1"/>
  <c r="A264" i="20" s="1"/>
  <c r="A276" i="20" s="1"/>
  <c r="A288" i="20" s="1"/>
  <c r="A300" i="20" s="1"/>
  <c r="A312" i="20" s="1"/>
  <c r="A324" i="20" s="1"/>
  <c r="A336" i="20" s="1"/>
  <c r="A348" i="20" s="1"/>
  <c r="A360" i="20" s="1"/>
  <c r="A372" i="20" s="1"/>
  <c r="A384" i="20" s="1"/>
  <c r="A396" i="20" s="1"/>
  <c r="A408" i="20" s="1"/>
  <c r="A420" i="20" s="1"/>
  <c r="A432" i="20" s="1"/>
  <c r="A444" i="20" s="1"/>
  <c r="A181" i="20"/>
  <c r="A193" i="20" s="1"/>
  <c r="A205" i="20" s="1"/>
  <c r="A217" i="20" s="1"/>
  <c r="A229" i="20" s="1"/>
  <c r="A241" i="20" s="1"/>
  <c r="A253" i="20" s="1"/>
  <c r="A265" i="20" s="1"/>
  <c r="A277" i="20" s="1"/>
  <c r="A289" i="20" s="1"/>
  <c r="A301" i="20" s="1"/>
  <c r="A313" i="20" s="1"/>
  <c r="A325" i="20" s="1"/>
  <c r="A337" i="20" s="1"/>
  <c r="A349" i="20" s="1"/>
  <c r="A361" i="20" s="1"/>
  <c r="A373" i="20" s="1"/>
  <c r="A385" i="20" s="1"/>
  <c r="A397" i="20" s="1"/>
  <c r="A409" i="20" s="1"/>
  <c r="A421" i="20" s="1"/>
  <c r="A433" i="20" s="1"/>
  <c r="A445" i="20" s="1"/>
  <c r="A182" i="20"/>
  <c r="A194" i="20" s="1"/>
  <c r="A206" i="20" s="1"/>
  <c r="A218" i="20" s="1"/>
  <c r="A230" i="20" s="1"/>
  <c r="A242" i="20" s="1"/>
  <c r="A254" i="20" s="1"/>
  <c r="A266" i="20" s="1"/>
  <c r="A278" i="20" s="1"/>
  <c r="A290" i="20" s="1"/>
  <c r="A302" i="20" s="1"/>
  <c r="A314" i="20" s="1"/>
  <c r="A326" i="20" s="1"/>
  <c r="A338" i="20" s="1"/>
  <c r="A350" i="20" s="1"/>
  <c r="A362" i="20" s="1"/>
  <c r="A374" i="20" s="1"/>
  <c r="A386" i="20" s="1"/>
  <c r="A398" i="20" s="1"/>
  <c r="A410" i="20" s="1"/>
  <c r="A422" i="20" s="1"/>
  <c r="A434" i="20" s="1"/>
  <c r="A446" i="20" s="1"/>
  <c r="A183" i="20"/>
  <c r="A195" i="20" s="1"/>
  <c r="A207" i="20" s="1"/>
  <c r="A219" i="20" s="1"/>
  <c r="A231" i="20" s="1"/>
  <c r="A243" i="20" s="1"/>
  <c r="A255" i="20" s="1"/>
  <c r="A267" i="20" s="1"/>
  <c r="A279" i="20" s="1"/>
  <c r="A291" i="20" s="1"/>
  <c r="A303" i="20" s="1"/>
  <c r="A315" i="20" s="1"/>
  <c r="A327" i="20" s="1"/>
  <c r="A339" i="20" s="1"/>
  <c r="A351" i="20" s="1"/>
  <c r="A363" i="20" s="1"/>
  <c r="A375" i="20" s="1"/>
  <c r="A387" i="20" s="1"/>
  <c r="A399" i="20" s="1"/>
  <c r="A411" i="20" s="1"/>
  <c r="A423" i="20" s="1"/>
  <c r="A435" i="20" s="1"/>
  <c r="A447" i="20" s="1"/>
  <c r="A184" i="20"/>
  <c r="A196" i="20" s="1"/>
  <c r="A208" i="20" s="1"/>
  <c r="A220" i="20" s="1"/>
  <c r="A232" i="20" s="1"/>
  <c r="A244" i="20" s="1"/>
  <c r="A256" i="20" s="1"/>
  <c r="A268" i="20" s="1"/>
  <c r="A280" i="20" s="1"/>
  <c r="A292" i="20" s="1"/>
  <c r="A304" i="20" s="1"/>
  <c r="A316" i="20" s="1"/>
  <c r="A328" i="20" s="1"/>
  <c r="A340" i="20" s="1"/>
  <c r="A352" i="20" s="1"/>
  <c r="A364" i="20" s="1"/>
  <c r="A376" i="20" s="1"/>
  <c r="A388" i="20" s="1"/>
  <c r="A400" i="20" s="1"/>
  <c r="A412" i="20" s="1"/>
  <c r="A424" i="20" s="1"/>
  <c r="A436" i="20" s="1"/>
  <c r="A448" i="20" s="1"/>
  <c r="A185" i="20"/>
  <c r="A197" i="20" s="1"/>
  <c r="A209" i="20" s="1"/>
  <c r="A221" i="20" s="1"/>
  <c r="A233" i="20" s="1"/>
  <c r="A245" i="20" s="1"/>
  <c r="A257" i="20" s="1"/>
  <c r="A269" i="20" s="1"/>
  <c r="A281" i="20" s="1"/>
  <c r="A293" i="20" s="1"/>
  <c r="A305" i="20" s="1"/>
  <c r="A317" i="20" s="1"/>
  <c r="A329" i="20" s="1"/>
  <c r="A341" i="20" s="1"/>
  <c r="A353" i="20" s="1"/>
  <c r="A365" i="20" s="1"/>
  <c r="A377" i="20" s="1"/>
  <c r="A389" i="20" s="1"/>
  <c r="A401" i="20" s="1"/>
  <c r="A413" i="20" s="1"/>
  <c r="A425" i="20" s="1"/>
  <c r="A437" i="20" s="1"/>
  <c r="A449" i="20" s="1"/>
  <c r="A186" i="20"/>
  <c r="A198" i="20" s="1"/>
  <c r="A210" i="20" s="1"/>
  <c r="A222" i="20" s="1"/>
  <c r="A234" i="20" s="1"/>
  <c r="A246" i="20" s="1"/>
  <c r="A258" i="20" s="1"/>
  <c r="A270" i="20" s="1"/>
  <c r="A282" i="20" s="1"/>
  <c r="A294" i="20" s="1"/>
  <c r="A306" i="20" s="1"/>
  <c r="A318" i="20" s="1"/>
  <c r="A330" i="20" s="1"/>
  <c r="A342" i="20" s="1"/>
  <c r="A354" i="20" s="1"/>
  <c r="A366" i="20" s="1"/>
  <c r="A378" i="20" s="1"/>
  <c r="A390" i="20" s="1"/>
  <c r="A402" i="20" s="1"/>
  <c r="A414" i="20" s="1"/>
  <c r="A426" i="20" s="1"/>
  <c r="A438" i="20" s="1"/>
  <c r="A450" i="20" s="1"/>
  <c r="A187" i="20"/>
  <c r="A199" i="20" s="1"/>
  <c r="A211" i="20" s="1"/>
  <c r="A223" i="20" s="1"/>
  <c r="A235" i="20" s="1"/>
  <c r="A247" i="20" s="1"/>
  <c r="A259" i="20" s="1"/>
  <c r="A271" i="20" s="1"/>
  <c r="A283" i="20" s="1"/>
  <c r="A295" i="20" s="1"/>
  <c r="A307" i="20" s="1"/>
  <c r="A319" i="20" s="1"/>
  <c r="A331" i="20" s="1"/>
  <c r="A343" i="20" s="1"/>
  <c r="A355" i="20" s="1"/>
  <c r="A367" i="20" s="1"/>
  <c r="A379" i="20" s="1"/>
  <c r="A391" i="20" s="1"/>
  <c r="A403" i="20" s="1"/>
  <c r="A415" i="20" s="1"/>
  <c r="A427" i="20" s="1"/>
  <c r="A439" i="20" s="1"/>
  <c r="A451" i="20" s="1"/>
  <c r="A188" i="20"/>
  <c r="A200" i="20" s="1"/>
  <c r="A212" i="20" s="1"/>
  <c r="A224" i="20" s="1"/>
  <c r="A236" i="20" s="1"/>
  <c r="A248" i="20" s="1"/>
  <c r="A260" i="20" s="1"/>
  <c r="A272" i="20" s="1"/>
  <c r="A284" i="20" s="1"/>
  <c r="A296" i="20" s="1"/>
  <c r="A308" i="20" s="1"/>
  <c r="A320" i="20" s="1"/>
  <c r="A332" i="20" s="1"/>
  <c r="A344" i="20" s="1"/>
  <c r="A356" i="20" s="1"/>
  <c r="A368" i="20" s="1"/>
  <c r="A380" i="20" s="1"/>
  <c r="A392" i="20" s="1"/>
  <c r="A404" i="20" s="1"/>
  <c r="A416" i="20" s="1"/>
  <c r="A428" i="20" s="1"/>
  <c r="A440" i="20" s="1"/>
  <c r="A452" i="20" s="1"/>
  <c r="A189" i="20"/>
  <c r="A201" i="20" s="1"/>
  <c r="A213" i="20" s="1"/>
  <c r="A225" i="20" s="1"/>
  <c r="A237" i="20" s="1"/>
  <c r="A249" i="20" s="1"/>
  <c r="A261" i="20" s="1"/>
  <c r="A273" i="20" s="1"/>
  <c r="A285" i="20" s="1"/>
  <c r="A297" i="20" s="1"/>
  <c r="A309" i="20" s="1"/>
  <c r="A321" i="20" s="1"/>
  <c r="A333" i="20" s="1"/>
  <c r="A345" i="20" s="1"/>
  <c r="A357" i="20" s="1"/>
  <c r="A369" i="20" s="1"/>
  <c r="A381" i="20" s="1"/>
  <c r="A393" i="20" s="1"/>
  <c r="A405" i="20" s="1"/>
  <c r="A417" i="20" s="1"/>
  <c r="A429" i="20" s="1"/>
  <c r="A441" i="20" s="1"/>
  <c r="A453" i="20" s="1"/>
  <c r="A11" i="68"/>
  <c r="A12" i="68" s="1"/>
  <c r="A22" i="68"/>
  <c r="A34" i="68" s="1"/>
  <c r="A46" i="68" s="1"/>
  <c r="A58" i="68" s="1"/>
  <c r="A70" i="68" s="1"/>
  <c r="A82" i="68" s="1"/>
  <c r="A94" i="68" s="1"/>
  <c r="A106" i="68" s="1"/>
  <c r="A118" i="68" s="1"/>
  <c r="A130" i="68" s="1"/>
  <c r="A142" i="68" s="1"/>
  <c r="A154" i="68" s="1"/>
  <c r="A166" i="68" s="1"/>
  <c r="A178" i="68" s="1"/>
  <c r="A190" i="68" s="1"/>
  <c r="A202" i="68" s="1"/>
  <c r="A214" i="68" s="1"/>
  <c r="A226" i="68" s="1"/>
  <c r="A238" i="68" s="1"/>
  <c r="A250" i="68" s="1"/>
  <c r="A262" i="68" s="1"/>
  <c r="A274" i="68" s="1"/>
  <c r="A286" i="68" s="1"/>
  <c r="A298" i="68" s="1"/>
  <c r="A310" i="68" s="1"/>
  <c r="A322" i="68" s="1"/>
  <c r="A334" i="68" s="1"/>
  <c r="A346" i="68" s="1"/>
  <c r="A358" i="68" s="1"/>
  <c r="A370" i="68" s="1"/>
  <c r="A382" i="68" s="1"/>
  <c r="A394" i="68" s="1"/>
  <c r="A406" i="68" s="1"/>
  <c r="A418" i="68" s="1"/>
  <c r="A430" i="68" s="1"/>
  <c r="A442" i="68" s="1"/>
  <c r="A454" i="68" s="1"/>
  <c r="A226" i="30"/>
  <c r="A238" i="30" s="1"/>
  <c r="A250" i="30" s="1"/>
  <c r="A262" i="30" s="1"/>
  <c r="A274" i="30" s="1"/>
  <c r="A286" i="30" s="1"/>
  <c r="A298" i="30" s="1"/>
  <c r="A310" i="30" s="1"/>
  <c r="A322" i="30" s="1"/>
  <c r="A334" i="30" s="1"/>
  <c r="A346" i="30" s="1"/>
  <c r="A358" i="30" s="1"/>
  <c r="A370" i="30" s="1"/>
  <c r="A382" i="30" s="1"/>
  <c r="A394" i="30" s="1"/>
  <c r="A406" i="30" s="1"/>
  <c r="A418" i="30" s="1"/>
  <c r="A430" i="30" s="1"/>
  <c r="A442" i="30" s="1"/>
  <c r="A454" i="30" s="1"/>
  <c r="A466" i="30" s="1"/>
  <c r="A478" i="30" s="1"/>
  <c r="A227" i="30"/>
  <c r="A239" i="30" s="1"/>
  <c r="A251" i="30" s="1"/>
  <c r="A263" i="30" s="1"/>
  <c r="A275" i="30" s="1"/>
  <c r="A287" i="30" s="1"/>
  <c r="A299" i="30" s="1"/>
  <c r="A311" i="30" s="1"/>
  <c r="A323" i="30" s="1"/>
  <c r="A335" i="30" s="1"/>
  <c r="A347" i="30" s="1"/>
  <c r="A359" i="30" s="1"/>
  <c r="A371" i="30" s="1"/>
  <c r="A383" i="30" s="1"/>
  <c r="A395" i="30" s="1"/>
  <c r="A407" i="30" s="1"/>
  <c r="A419" i="30" s="1"/>
  <c r="A431" i="30" s="1"/>
  <c r="A443" i="30" s="1"/>
  <c r="A455" i="30" s="1"/>
  <c r="A467" i="30" s="1"/>
  <c r="A479" i="30" s="1"/>
  <c r="A228" i="30"/>
  <c r="A240" i="30" s="1"/>
  <c r="A252" i="30" s="1"/>
  <c r="A264" i="30" s="1"/>
  <c r="A276" i="30" s="1"/>
  <c r="A288" i="30" s="1"/>
  <c r="A300" i="30" s="1"/>
  <c r="A312" i="30" s="1"/>
  <c r="A324" i="30" s="1"/>
  <c r="A336" i="30" s="1"/>
  <c r="A348" i="30" s="1"/>
  <c r="A360" i="30" s="1"/>
  <c r="A372" i="30" s="1"/>
  <c r="A384" i="30" s="1"/>
  <c r="A396" i="30" s="1"/>
  <c r="A408" i="30" s="1"/>
  <c r="A420" i="30" s="1"/>
  <c r="A432" i="30" s="1"/>
  <c r="A444" i="30" s="1"/>
  <c r="A456" i="30" s="1"/>
  <c r="A468" i="30" s="1"/>
  <c r="A480" i="30" s="1"/>
  <c r="A229" i="30"/>
  <c r="A241" i="30" s="1"/>
  <c r="A253" i="30" s="1"/>
  <c r="A265" i="30" s="1"/>
  <c r="A277" i="30" s="1"/>
  <c r="A289" i="30" s="1"/>
  <c r="A301" i="30" s="1"/>
  <c r="A313" i="30" s="1"/>
  <c r="A325" i="30" s="1"/>
  <c r="A337" i="30" s="1"/>
  <c r="A349" i="30" s="1"/>
  <c r="A361" i="30" s="1"/>
  <c r="A373" i="30" s="1"/>
  <c r="A385" i="30" s="1"/>
  <c r="A397" i="30" s="1"/>
  <c r="A409" i="30" s="1"/>
  <c r="A421" i="30" s="1"/>
  <c r="A433" i="30" s="1"/>
  <c r="A445" i="30" s="1"/>
  <c r="A457" i="30" s="1"/>
  <c r="A469" i="30" s="1"/>
  <c r="A481" i="30" s="1"/>
  <c r="A230" i="30"/>
  <c r="A242" i="30" s="1"/>
  <c r="A254" i="30" s="1"/>
  <c r="A266" i="30" s="1"/>
  <c r="A278" i="30" s="1"/>
  <c r="A290" i="30" s="1"/>
  <c r="A302" i="30" s="1"/>
  <c r="A314" i="30" s="1"/>
  <c r="A326" i="30" s="1"/>
  <c r="A338" i="30" s="1"/>
  <c r="A350" i="30" s="1"/>
  <c r="A362" i="30" s="1"/>
  <c r="A374" i="30" s="1"/>
  <c r="A386" i="30" s="1"/>
  <c r="A398" i="30" s="1"/>
  <c r="A410" i="30" s="1"/>
  <c r="A422" i="30" s="1"/>
  <c r="A434" i="30" s="1"/>
  <c r="A446" i="30" s="1"/>
  <c r="A458" i="30" s="1"/>
  <c r="A470" i="30" s="1"/>
  <c r="A482" i="30" s="1"/>
  <c r="A231" i="30"/>
  <c r="A243" i="30" s="1"/>
  <c r="A255" i="30" s="1"/>
  <c r="A267" i="30" s="1"/>
  <c r="A279" i="30" s="1"/>
  <c r="A291" i="30" s="1"/>
  <c r="A303" i="30" s="1"/>
  <c r="A315" i="30" s="1"/>
  <c r="A327" i="30" s="1"/>
  <c r="A339" i="30" s="1"/>
  <c r="A351" i="30" s="1"/>
  <c r="A363" i="30" s="1"/>
  <c r="A375" i="30" s="1"/>
  <c r="A387" i="30" s="1"/>
  <c r="A399" i="30" s="1"/>
  <c r="A411" i="30" s="1"/>
  <c r="A423" i="30" s="1"/>
  <c r="A435" i="30" s="1"/>
  <c r="A447" i="30" s="1"/>
  <c r="A459" i="30" s="1"/>
  <c r="A471" i="30" s="1"/>
  <c r="A483" i="30" s="1"/>
  <c r="A232" i="30"/>
  <c r="A244" i="30" s="1"/>
  <c r="A256" i="30" s="1"/>
  <c r="A268" i="30" s="1"/>
  <c r="A280" i="30" s="1"/>
  <c r="A292" i="30" s="1"/>
  <c r="A304" i="30" s="1"/>
  <c r="A316" i="30" s="1"/>
  <c r="A328" i="30" s="1"/>
  <c r="A340" i="30" s="1"/>
  <c r="A352" i="30" s="1"/>
  <c r="A364" i="30" s="1"/>
  <c r="A376" i="30" s="1"/>
  <c r="A388" i="30" s="1"/>
  <c r="A400" i="30" s="1"/>
  <c r="A412" i="30" s="1"/>
  <c r="A424" i="30" s="1"/>
  <c r="A436" i="30" s="1"/>
  <c r="A448" i="30" s="1"/>
  <c r="A460" i="30" s="1"/>
  <c r="A472" i="30" s="1"/>
  <c r="A484" i="30" s="1"/>
  <c r="A233" i="30"/>
  <c r="A245" i="30" s="1"/>
  <c r="A257" i="30" s="1"/>
  <c r="A269" i="30" s="1"/>
  <c r="A281" i="30" s="1"/>
  <c r="A293" i="30" s="1"/>
  <c r="A305" i="30" s="1"/>
  <c r="A317" i="30" s="1"/>
  <c r="A329" i="30" s="1"/>
  <c r="A341" i="30" s="1"/>
  <c r="A353" i="30" s="1"/>
  <c r="A365" i="30" s="1"/>
  <c r="A377" i="30" s="1"/>
  <c r="A389" i="30" s="1"/>
  <c r="A401" i="30" s="1"/>
  <c r="A413" i="30" s="1"/>
  <c r="A425" i="30" s="1"/>
  <c r="A437" i="30" s="1"/>
  <c r="A449" i="30" s="1"/>
  <c r="A461" i="30" s="1"/>
  <c r="A473" i="30" s="1"/>
  <c r="A485" i="30" s="1"/>
  <c r="A234" i="30"/>
  <c r="A246" i="30" s="1"/>
  <c r="A258" i="30" s="1"/>
  <c r="A270" i="30" s="1"/>
  <c r="A282" i="30" s="1"/>
  <c r="A294" i="30" s="1"/>
  <c r="A306" i="30" s="1"/>
  <c r="A318" i="30" s="1"/>
  <c r="A330" i="30" s="1"/>
  <c r="A342" i="30" s="1"/>
  <c r="A354" i="30" s="1"/>
  <c r="A366" i="30" s="1"/>
  <c r="A378" i="30" s="1"/>
  <c r="A390" i="30" s="1"/>
  <c r="A402" i="30" s="1"/>
  <c r="A414" i="30" s="1"/>
  <c r="A426" i="30" s="1"/>
  <c r="A438" i="30" s="1"/>
  <c r="A450" i="30" s="1"/>
  <c r="A462" i="30" s="1"/>
  <c r="A474" i="30" s="1"/>
  <c r="A486" i="30" s="1"/>
  <c r="A235" i="30"/>
  <c r="A247" i="30" s="1"/>
  <c r="A259" i="30" s="1"/>
  <c r="A271" i="30" s="1"/>
  <c r="A283" i="30" s="1"/>
  <c r="A295" i="30" s="1"/>
  <c r="A307" i="30" s="1"/>
  <c r="A319" i="30" s="1"/>
  <c r="A331" i="30" s="1"/>
  <c r="A343" i="30" s="1"/>
  <c r="A355" i="30" s="1"/>
  <c r="A367" i="30" s="1"/>
  <c r="A379" i="30" s="1"/>
  <c r="A391" i="30" s="1"/>
  <c r="A403" i="30" s="1"/>
  <c r="A415" i="30" s="1"/>
  <c r="A427" i="30" s="1"/>
  <c r="A439" i="30" s="1"/>
  <c r="A451" i="30" s="1"/>
  <c r="A463" i="30" s="1"/>
  <c r="A475" i="30" s="1"/>
  <c r="A487" i="30" s="1"/>
  <c r="A236" i="30"/>
  <c r="A248" i="30" s="1"/>
  <c r="A260" i="30" s="1"/>
  <c r="A272" i="30" s="1"/>
  <c r="A284" i="30" s="1"/>
  <c r="A296" i="30" s="1"/>
  <c r="A308" i="30" s="1"/>
  <c r="A320" i="30" s="1"/>
  <c r="A332" i="30" s="1"/>
  <c r="A344" i="30" s="1"/>
  <c r="A356" i="30" s="1"/>
  <c r="A368" i="30" s="1"/>
  <c r="A380" i="30" s="1"/>
  <c r="A392" i="30" s="1"/>
  <c r="A404" i="30" s="1"/>
  <c r="A416" i="30" s="1"/>
  <c r="A428" i="30" s="1"/>
  <c r="A440" i="30" s="1"/>
  <c r="A452" i="30" s="1"/>
  <c r="A464" i="30" s="1"/>
  <c r="A476" i="30" s="1"/>
  <c r="A488" i="30" s="1"/>
  <c r="A237" i="30"/>
  <c r="A249" i="30" s="1"/>
  <c r="A261" i="30" s="1"/>
  <c r="A273" i="30" s="1"/>
  <c r="A285" i="30" s="1"/>
  <c r="A297" i="30" s="1"/>
  <c r="A309" i="30" s="1"/>
  <c r="A321" i="30" s="1"/>
  <c r="A333" i="30" s="1"/>
  <c r="A345" i="30" s="1"/>
  <c r="A357" i="30" s="1"/>
  <c r="A369" i="30" s="1"/>
  <c r="A381" i="30" s="1"/>
  <c r="A393" i="30" s="1"/>
  <c r="A405" i="30" s="1"/>
  <c r="A417" i="30" s="1"/>
  <c r="A429" i="30" s="1"/>
  <c r="A441" i="30" s="1"/>
  <c r="A453" i="30" s="1"/>
  <c r="A465" i="30" s="1"/>
  <c r="A477" i="30" s="1"/>
  <c r="A489" i="30" s="1"/>
  <c r="A178" i="41"/>
  <c r="A190" i="41" s="1"/>
  <c r="A202" i="41" s="1"/>
  <c r="A214" i="41" s="1"/>
  <c r="A226" i="41" s="1"/>
  <c r="A238" i="41" s="1"/>
  <c r="A250" i="41" s="1"/>
  <c r="A262" i="41" s="1"/>
  <c r="A274" i="41" s="1"/>
  <c r="A286" i="41" s="1"/>
  <c r="A298" i="41" s="1"/>
  <c r="A310" i="41" s="1"/>
  <c r="A322" i="41" s="1"/>
  <c r="A334" i="41" s="1"/>
  <c r="A346" i="41" s="1"/>
  <c r="A358" i="41" s="1"/>
  <c r="A370" i="41" s="1"/>
  <c r="A382" i="41" s="1"/>
  <c r="A394" i="41" s="1"/>
  <c r="A406" i="41" s="1"/>
  <c r="A418" i="41" s="1"/>
  <c r="A430" i="41" s="1"/>
  <c r="A442" i="41" s="1"/>
  <c r="A179" i="41"/>
  <c r="A191" i="41" s="1"/>
  <c r="A203" i="41" s="1"/>
  <c r="A215" i="41" s="1"/>
  <c r="A227" i="41" s="1"/>
  <c r="A239" i="41" s="1"/>
  <c r="A251" i="41" s="1"/>
  <c r="A263" i="41" s="1"/>
  <c r="A275" i="41" s="1"/>
  <c r="A287" i="41" s="1"/>
  <c r="A299" i="41" s="1"/>
  <c r="A311" i="41" s="1"/>
  <c r="A323" i="41" s="1"/>
  <c r="A335" i="41" s="1"/>
  <c r="A347" i="41" s="1"/>
  <c r="A359" i="41" s="1"/>
  <c r="A371" i="41" s="1"/>
  <c r="A383" i="41" s="1"/>
  <c r="A395" i="41" s="1"/>
  <c r="A407" i="41" s="1"/>
  <c r="A419" i="41" s="1"/>
  <c r="A431" i="41" s="1"/>
  <c r="A443" i="41" s="1"/>
  <c r="A180" i="41"/>
  <c r="A192" i="41" s="1"/>
  <c r="A204" i="41" s="1"/>
  <c r="A216" i="41" s="1"/>
  <c r="A228" i="41" s="1"/>
  <c r="A240" i="41" s="1"/>
  <c r="A252" i="41" s="1"/>
  <c r="A264" i="41" s="1"/>
  <c r="A276" i="41" s="1"/>
  <c r="A288" i="41" s="1"/>
  <c r="A300" i="41" s="1"/>
  <c r="A312" i="41" s="1"/>
  <c r="A324" i="41" s="1"/>
  <c r="A336" i="41" s="1"/>
  <c r="A348" i="41" s="1"/>
  <c r="A360" i="41" s="1"/>
  <c r="A372" i="41" s="1"/>
  <c r="A384" i="41" s="1"/>
  <c r="A396" i="41" s="1"/>
  <c r="A408" i="41" s="1"/>
  <c r="A420" i="41" s="1"/>
  <c r="A432" i="41" s="1"/>
  <c r="A444" i="41" s="1"/>
  <c r="A181" i="41"/>
  <c r="A193" i="41" s="1"/>
  <c r="A205" i="41" s="1"/>
  <c r="A217" i="41" s="1"/>
  <c r="A229" i="41" s="1"/>
  <c r="A241" i="41" s="1"/>
  <c r="A253" i="41" s="1"/>
  <c r="A265" i="41" s="1"/>
  <c r="A277" i="41" s="1"/>
  <c r="A289" i="41" s="1"/>
  <c r="A301" i="41" s="1"/>
  <c r="A313" i="41" s="1"/>
  <c r="A325" i="41" s="1"/>
  <c r="A337" i="41" s="1"/>
  <c r="A349" i="41" s="1"/>
  <c r="A361" i="41" s="1"/>
  <c r="A373" i="41" s="1"/>
  <c r="A385" i="41" s="1"/>
  <c r="A397" i="41" s="1"/>
  <c r="A409" i="41" s="1"/>
  <c r="A421" i="41" s="1"/>
  <c r="A433" i="41" s="1"/>
  <c r="A445" i="41" s="1"/>
  <c r="A182" i="41"/>
  <c r="A194" i="41" s="1"/>
  <c r="A206" i="41" s="1"/>
  <c r="A218" i="41" s="1"/>
  <c r="A230" i="41" s="1"/>
  <c r="A242" i="41" s="1"/>
  <c r="A254" i="41" s="1"/>
  <c r="A266" i="41" s="1"/>
  <c r="A278" i="41" s="1"/>
  <c r="A290" i="41" s="1"/>
  <c r="A302" i="41" s="1"/>
  <c r="A314" i="41" s="1"/>
  <c r="A326" i="41" s="1"/>
  <c r="A338" i="41" s="1"/>
  <c r="A350" i="41" s="1"/>
  <c r="A362" i="41" s="1"/>
  <c r="A374" i="41" s="1"/>
  <c r="A386" i="41" s="1"/>
  <c r="A398" i="41" s="1"/>
  <c r="A410" i="41" s="1"/>
  <c r="A422" i="41" s="1"/>
  <c r="A434" i="41" s="1"/>
  <c r="A446" i="41" s="1"/>
  <c r="A183" i="41"/>
  <c r="A195" i="41" s="1"/>
  <c r="A207" i="41" s="1"/>
  <c r="A219" i="41" s="1"/>
  <c r="A231" i="41" s="1"/>
  <c r="A243" i="41" s="1"/>
  <c r="A255" i="41" s="1"/>
  <c r="A267" i="41" s="1"/>
  <c r="A279" i="41" s="1"/>
  <c r="A291" i="41" s="1"/>
  <c r="A303" i="41" s="1"/>
  <c r="A315" i="41" s="1"/>
  <c r="A327" i="41" s="1"/>
  <c r="A339" i="41" s="1"/>
  <c r="A351" i="41" s="1"/>
  <c r="A363" i="41" s="1"/>
  <c r="A375" i="41" s="1"/>
  <c r="A387" i="41" s="1"/>
  <c r="A399" i="41" s="1"/>
  <c r="A411" i="41" s="1"/>
  <c r="A423" i="41" s="1"/>
  <c r="A435" i="41" s="1"/>
  <c r="A447" i="41" s="1"/>
  <c r="A184" i="41"/>
  <c r="A196" i="41" s="1"/>
  <c r="A208" i="41" s="1"/>
  <c r="A220" i="41" s="1"/>
  <c r="A232" i="41" s="1"/>
  <c r="A244" i="41" s="1"/>
  <c r="A256" i="41" s="1"/>
  <c r="A268" i="41" s="1"/>
  <c r="A280" i="41" s="1"/>
  <c r="A292" i="41" s="1"/>
  <c r="A304" i="41" s="1"/>
  <c r="A316" i="41" s="1"/>
  <c r="A328" i="41" s="1"/>
  <c r="A340" i="41" s="1"/>
  <c r="A352" i="41" s="1"/>
  <c r="A364" i="41" s="1"/>
  <c r="A376" i="41" s="1"/>
  <c r="A388" i="41" s="1"/>
  <c r="A400" i="41" s="1"/>
  <c r="A412" i="41" s="1"/>
  <c r="A424" i="41" s="1"/>
  <c r="A436" i="41" s="1"/>
  <c r="A448" i="41" s="1"/>
  <c r="A185" i="41"/>
  <c r="A197" i="41" s="1"/>
  <c r="A209" i="41" s="1"/>
  <c r="A221" i="41" s="1"/>
  <c r="A233" i="41" s="1"/>
  <c r="A245" i="41" s="1"/>
  <c r="A257" i="41" s="1"/>
  <c r="A269" i="41" s="1"/>
  <c r="A281" i="41" s="1"/>
  <c r="A293" i="41" s="1"/>
  <c r="A305" i="41" s="1"/>
  <c r="A317" i="41" s="1"/>
  <c r="A329" i="41" s="1"/>
  <c r="A341" i="41" s="1"/>
  <c r="A353" i="41" s="1"/>
  <c r="A365" i="41" s="1"/>
  <c r="A377" i="41" s="1"/>
  <c r="A389" i="41" s="1"/>
  <c r="A401" i="41" s="1"/>
  <c r="A413" i="41" s="1"/>
  <c r="A425" i="41" s="1"/>
  <c r="A437" i="41" s="1"/>
  <c r="A449" i="41" s="1"/>
  <c r="A186" i="41"/>
  <c r="A198" i="41" s="1"/>
  <c r="A210" i="41" s="1"/>
  <c r="A222" i="41" s="1"/>
  <c r="A234" i="41" s="1"/>
  <c r="A246" i="41" s="1"/>
  <c r="A258" i="41" s="1"/>
  <c r="A270" i="41" s="1"/>
  <c r="A282" i="41" s="1"/>
  <c r="A294" i="41" s="1"/>
  <c r="A306" i="41" s="1"/>
  <c r="A318" i="41" s="1"/>
  <c r="A330" i="41" s="1"/>
  <c r="A342" i="41" s="1"/>
  <c r="A354" i="41" s="1"/>
  <c r="A366" i="41" s="1"/>
  <c r="A378" i="41" s="1"/>
  <c r="A390" i="41" s="1"/>
  <c r="A402" i="41" s="1"/>
  <c r="A414" i="41" s="1"/>
  <c r="A426" i="41" s="1"/>
  <c r="A438" i="41" s="1"/>
  <c r="A450" i="41" s="1"/>
  <c r="A187" i="41"/>
  <c r="A199" i="41" s="1"/>
  <c r="A211" i="41" s="1"/>
  <c r="A223" i="41" s="1"/>
  <c r="A235" i="41" s="1"/>
  <c r="A247" i="41" s="1"/>
  <c r="A259" i="41" s="1"/>
  <c r="A271" i="41" s="1"/>
  <c r="A283" i="41" s="1"/>
  <c r="A295" i="41" s="1"/>
  <c r="A307" i="41" s="1"/>
  <c r="A319" i="41" s="1"/>
  <c r="A331" i="41" s="1"/>
  <c r="A343" i="41" s="1"/>
  <c r="A355" i="41" s="1"/>
  <c r="A367" i="41" s="1"/>
  <c r="A379" i="41" s="1"/>
  <c r="A391" i="41" s="1"/>
  <c r="A403" i="41" s="1"/>
  <c r="A415" i="41" s="1"/>
  <c r="A427" i="41" s="1"/>
  <c r="A439" i="41" s="1"/>
  <c r="A451" i="41" s="1"/>
  <c r="A188" i="41"/>
  <c r="A200" i="41" s="1"/>
  <c r="A212" i="41" s="1"/>
  <c r="A224" i="41" s="1"/>
  <c r="A236" i="41" s="1"/>
  <c r="A248" i="41" s="1"/>
  <c r="A260" i="41" s="1"/>
  <c r="A272" i="41" s="1"/>
  <c r="A284" i="41" s="1"/>
  <c r="A296" i="41" s="1"/>
  <c r="A308" i="41" s="1"/>
  <c r="A320" i="41" s="1"/>
  <c r="A332" i="41" s="1"/>
  <c r="A344" i="41" s="1"/>
  <c r="A356" i="41" s="1"/>
  <c r="A368" i="41" s="1"/>
  <c r="A380" i="41" s="1"/>
  <c r="A392" i="41" s="1"/>
  <c r="A404" i="41" s="1"/>
  <c r="A416" i="41" s="1"/>
  <c r="A428" i="41" s="1"/>
  <c r="A440" i="41" s="1"/>
  <c r="A452" i="41" s="1"/>
  <c r="A189" i="41"/>
  <c r="A201" i="41" s="1"/>
  <c r="A213" i="41" s="1"/>
  <c r="A225" i="41" s="1"/>
  <c r="A237" i="41" s="1"/>
  <c r="A249" i="41" s="1"/>
  <c r="A261" i="41" s="1"/>
  <c r="A273" i="41" s="1"/>
  <c r="A285" i="41" s="1"/>
  <c r="A297" i="41" s="1"/>
  <c r="A309" i="41" s="1"/>
  <c r="A321" i="41" s="1"/>
  <c r="A333" i="41" s="1"/>
  <c r="A345" i="41" s="1"/>
  <c r="A357" i="41" s="1"/>
  <c r="A369" i="41" s="1"/>
  <c r="A381" i="41" s="1"/>
  <c r="A393" i="41" s="1"/>
  <c r="A405" i="41" s="1"/>
  <c r="A417" i="41" s="1"/>
  <c r="A429" i="41" s="1"/>
  <c r="A441" i="41" s="1"/>
  <c r="A453" i="41" s="1"/>
  <c r="A106" i="14"/>
  <c r="A118" i="14" s="1"/>
  <c r="A130" i="14" s="1"/>
  <c r="A142" i="14" s="1"/>
  <c r="A154" i="14" s="1"/>
  <c r="A166" i="14" s="1"/>
  <c r="A178" i="14" s="1"/>
  <c r="A190" i="14" s="1"/>
  <c r="A202" i="14" s="1"/>
  <c r="A214" i="14" s="1"/>
  <c r="A226" i="14" s="1"/>
  <c r="A238" i="14" s="1"/>
  <c r="A250" i="14" s="1"/>
  <c r="A262" i="14" s="1"/>
  <c r="A274" i="14" s="1"/>
  <c r="A286" i="14" s="1"/>
  <c r="A298" i="14" s="1"/>
  <c r="A310" i="14" s="1"/>
  <c r="A322" i="14" s="1"/>
  <c r="A334" i="14" s="1"/>
  <c r="A346" i="14" s="1"/>
  <c r="A358" i="14" s="1"/>
  <c r="A370" i="14" s="1"/>
  <c r="A107" i="14"/>
  <c r="A119" i="14" s="1"/>
  <c r="A131" i="14" s="1"/>
  <c r="A143" i="14" s="1"/>
  <c r="A155" i="14" s="1"/>
  <c r="A167" i="14" s="1"/>
  <c r="A179" i="14" s="1"/>
  <c r="A191" i="14" s="1"/>
  <c r="A203" i="14" s="1"/>
  <c r="A215" i="14" s="1"/>
  <c r="A227" i="14" s="1"/>
  <c r="A239" i="14" s="1"/>
  <c r="A251" i="14" s="1"/>
  <c r="A263" i="14" s="1"/>
  <c r="A275" i="14" s="1"/>
  <c r="A287" i="14" s="1"/>
  <c r="A299" i="14" s="1"/>
  <c r="A311" i="14" s="1"/>
  <c r="A323" i="14" s="1"/>
  <c r="A335" i="14" s="1"/>
  <c r="A347" i="14" s="1"/>
  <c r="A359" i="14" s="1"/>
  <c r="A371" i="14" s="1"/>
  <c r="A108" i="14"/>
  <c r="A120" i="14" s="1"/>
  <c r="A132" i="14" s="1"/>
  <c r="A144" i="14" s="1"/>
  <c r="A156" i="14" s="1"/>
  <c r="A168" i="14" s="1"/>
  <c r="A180" i="14" s="1"/>
  <c r="A192" i="14" s="1"/>
  <c r="A204" i="14" s="1"/>
  <c r="A216" i="14" s="1"/>
  <c r="A228" i="14" s="1"/>
  <c r="A240" i="14" s="1"/>
  <c r="A252" i="14" s="1"/>
  <c r="A264" i="14" s="1"/>
  <c r="A276" i="14" s="1"/>
  <c r="A288" i="14" s="1"/>
  <c r="A300" i="14" s="1"/>
  <c r="A312" i="14" s="1"/>
  <c r="A324" i="14" s="1"/>
  <c r="A336" i="14" s="1"/>
  <c r="A348" i="14" s="1"/>
  <c r="A360" i="14" s="1"/>
  <c r="A372" i="14" s="1"/>
  <c r="A109" i="14"/>
  <c r="A121" i="14" s="1"/>
  <c r="A133" i="14" s="1"/>
  <c r="A145" i="14" s="1"/>
  <c r="A157" i="14" s="1"/>
  <c r="A169" i="14" s="1"/>
  <c r="A181" i="14" s="1"/>
  <c r="A193" i="14" s="1"/>
  <c r="A205" i="14" s="1"/>
  <c r="A217" i="14" s="1"/>
  <c r="A229" i="14" s="1"/>
  <c r="A241" i="14" s="1"/>
  <c r="A253" i="14" s="1"/>
  <c r="A265" i="14" s="1"/>
  <c r="A277" i="14" s="1"/>
  <c r="A289" i="14" s="1"/>
  <c r="A301" i="14" s="1"/>
  <c r="A313" i="14" s="1"/>
  <c r="A325" i="14" s="1"/>
  <c r="A337" i="14" s="1"/>
  <c r="A349" i="14" s="1"/>
  <c r="A361" i="14" s="1"/>
  <c r="A373" i="14" s="1"/>
  <c r="A110" i="14"/>
  <c r="A122" i="14" s="1"/>
  <c r="A134" i="14" s="1"/>
  <c r="A146" i="14" s="1"/>
  <c r="A158" i="14" s="1"/>
  <c r="A170" i="14" s="1"/>
  <c r="A182" i="14" s="1"/>
  <c r="A194" i="14" s="1"/>
  <c r="A206" i="14" s="1"/>
  <c r="A218" i="14" s="1"/>
  <c r="A230" i="14" s="1"/>
  <c r="A242" i="14" s="1"/>
  <c r="A254" i="14" s="1"/>
  <c r="A266" i="14" s="1"/>
  <c r="A278" i="14" s="1"/>
  <c r="A290" i="14" s="1"/>
  <c r="A302" i="14" s="1"/>
  <c r="A314" i="14" s="1"/>
  <c r="A326" i="14" s="1"/>
  <c r="A338" i="14" s="1"/>
  <c r="A350" i="14" s="1"/>
  <c r="A362" i="14" s="1"/>
  <c r="A374" i="14" s="1"/>
  <c r="A111" i="14"/>
  <c r="A123" i="14" s="1"/>
  <c r="A135" i="14" s="1"/>
  <c r="A147" i="14" s="1"/>
  <c r="A159" i="14" s="1"/>
  <c r="A171" i="14" s="1"/>
  <c r="A183" i="14" s="1"/>
  <c r="A195" i="14" s="1"/>
  <c r="A207" i="14" s="1"/>
  <c r="A219" i="14" s="1"/>
  <c r="A231" i="14" s="1"/>
  <c r="A243" i="14" s="1"/>
  <c r="A255" i="14" s="1"/>
  <c r="A267" i="14" s="1"/>
  <c r="A279" i="14" s="1"/>
  <c r="A291" i="14" s="1"/>
  <c r="A303" i="14" s="1"/>
  <c r="A315" i="14" s="1"/>
  <c r="A327" i="14" s="1"/>
  <c r="A339" i="14" s="1"/>
  <c r="A351" i="14" s="1"/>
  <c r="A363" i="14" s="1"/>
  <c r="A375" i="14" s="1"/>
  <c r="A112" i="14"/>
  <c r="A124" i="14" s="1"/>
  <c r="A136" i="14" s="1"/>
  <c r="A148" i="14" s="1"/>
  <c r="A160" i="14" s="1"/>
  <c r="A172" i="14" s="1"/>
  <c r="A184" i="14" s="1"/>
  <c r="A196" i="14" s="1"/>
  <c r="A208" i="14" s="1"/>
  <c r="A220" i="14" s="1"/>
  <c r="A232" i="14" s="1"/>
  <c r="A244" i="14" s="1"/>
  <c r="A256" i="14" s="1"/>
  <c r="A268" i="14" s="1"/>
  <c r="A280" i="14" s="1"/>
  <c r="A292" i="14" s="1"/>
  <c r="A304" i="14" s="1"/>
  <c r="A316" i="14" s="1"/>
  <c r="A328" i="14" s="1"/>
  <c r="A340" i="14" s="1"/>
  <c r="A352" i="14" s="1"/>
  <c r="A364" i="14" s="1"/>
  <c r="A376" i="14" s="1"/>
  <c r="A113" i="14"/>
  <c r="A125" i="14" s="1"/>
  <c r="A137" i="14" s="1"/>
  <c r="A149" i="14" s="1"/>
  <c r="A161" i="14" s="1"/>
  <c r="A173" i="14" s="1"/>
  <c r="A185" i="14" s="1"/>
  <c r="A197" i="14" s="1"/>
  <c r="A209" i="14" s="1"/>
  <c r="A221" i="14" s="1"/>
  <c r="A233" i="14" s="1"/>
  <c r="A245" i="14" s="1"/>
  <c r="A257" i="14" s="1"/>
  <c r="A269" i="14" s="1"/>
  <c r="A281" i="14" s="1"/>
  <c r="A293" i="14" s="1"/>
  <c r="A305" i="14" s="1"/>
  <c r="A317" i="14" s="1"/>
  <c r="A329" i="14" s="1"/>
  <c r="A341" i="14" s="1"/>
  <c r="A353" i="14" s="1"/>
  <c r="A365" i="14" s="1"/>
  <c r="A377" i="14" s="1"/>
  <c r="A114" i="14"/>
  <c r="A126" i="14" s="1"/>
  <c r="A138" i="14" s="1"/>
  <c r="A150" i="14" s="1"/>
  <c r="A162" i="14" s="1"/>
  <c r="A174" i="14" s="1"/>
  <c r="A186" i="14" s="1"/>
  <c r="A198" i="14" s="1"/>
  <c r="A210" i="14" s="1"/>
  <c r="A222" i="14" s="1"/>
  <c r="A234" i="14" s="1"/>
  <c r="A246" i="14" s="1"/>
  <c r="A258" i="14" s="1"/>
  <c r="A270" i="14" s="1"/>
  <c r="A282" i="14" s="1"/>
  <c r="A294" i="14" s="1"/>
  <c r="A306" i="14" s="1"/>
  <c r="A318" i="14" s="1"/>
  <c r="A330" i="14" s="1"/>
  <c r="A342" i="14" s="1"/>
  <c r="A354" i="14" s="1"/>
  <c r="A366" i="14" s="1"/>
  <c r="A378" i="14" s="1"/>
  <c r="A115" i="14"/>
  <c r="A127" i="14" s="1"/>
  <c r="A139" i="14" s="1"/>
  <c r="A151" i="14" s="1"/>
  <c r="A163" i="14" s="1"/>
  <c r="A175" i="14" s="1"/>
  <c r="A187" i="14" s="1"/>
  <c r="A199" i="14" s="1"/>
  <c r="A211" i="14" s="1"/>
  <c r="A223" i="14" s="1"/>
  <c r="A235" i="14" s="1"/>
  <c r="A247" i="14" s="1"/>
  <c r="A259" i="14" s="1"/>
  <c r="A271" i="14" s="1"/>
  <c r="A283" i="14" s="1"/>
  <c r="A295" i="14" s="1"/>
  <c r="A307" i="14" s="1"/>
  <c r="A319" i="14" s="1"/>
  <c r="A331" i="14" s="1"/>
  <c r="A343" i="14" s="1"/>
  <c r="A355" i="14" s="1"/>
  <c r="A367" i="14" s="1"/>
  <c r="A379" i="14" s="1"/>
  <c r="A116" i="14"/>
  <c r="A128" i="14" s="1"/>
  <c r="A140" i="14" s="1"/>
  <c r="A152" i="14" s="1"/>
  <c r="A164" i="14" s="1"/>
  <c r="A176" i="14" s="1"/>
  <c r="A188" i="14" s="1"/>
  <c r="A200" i="14" s="1"/>
  <c r="A212" i="14" s="1"/>
  <c r="A224" i="14" s="1"/>
  <c r="A236" i="14" s="1"/>
  <c r="A248" i="14" s="1"/>
  <c r="A260" i="14" s="1"/>
  <c r="A272" i="14" s="1"/>
  <c r="A284" i="14" s="1"/>
  <c r="A296" i="14" s="1"/>
  <c r="A308" i="14" s="1"/>
  <c r="A320" i="14" s="1"/>
  <c r="A332" i="14" s="1"/>
  <c r="A344" i="14" s="1"/>
  <c r="A356" i="14" s="1"/>
  <c r="A368" i="14" s="1"/>
  <c r="A380" i="14" s="1"/>
  <c r="A117" i="14"/>
  <c r="A129" i="14" s="1"/>
  <c r="A141" i="14" s="1"/>
  <c r="A153" i="14" s="1"/>
  <c r="A165" i="14" s="1"/>
  <c r="A177" i="14" s="1"/>
  <c r="A189" i="14" s="1"/>
  <c r="A201" i="14" s="1"/>
  <c r="A213" i="14" s="1"/>
  <c r="A225" i="14" s="1"/>
  <c r="A237" i="14" s="1"/>
  <c r="A249" i="14" s="1"/>
  <c r="A261" i="14" s="1"/>
  <c r="A273" i="14" s="1"/>
  <c r="A285" i="14" s="1"/>
  <c r="A297" i="14" s="1"/>
  <c r="A309" i="14" s="1"/>
  <c r="A321" i="14" s="1"/>
  <c r="A333" i="14" s="1"/>
  <c r="A345" i="14" s="1"/>
  <c r="A357" i="14" s="1"/>
  <c r="A369" i="14" s="1"/>
  <c r="A381" i="14" s="1"/>
  <c r="A190" i="65"/>
  <c r="A202" i="65" s="1"/>
  <c r="A214" i="65" s="1"/>
  <c r="A226" i="65" s="1"/>
  <c r="A238" i="65" s="1"/>
  <c r="A250" i="65" s="1"/>
  <c r="A262" i="65" s="1"/>
  <c r="A274" i="65" s="1"/>
  <c r="A286" i="65" s="1"/>
  <c r="A298" i="65" s="1"/>
  <c r="A310" i="65" s="1"/>
  <c r="A322" i="65" s="1"/>
  <c r="A334" i="65" s="1"/>
  <c r="A346" i="65" s="1"/>
  <c r="A358" i="65" s="1"/>
  <c r="A370" i="65" s="1"/>
  <c r="A382" i="65" s="1"/>
  <c r="A394" i="65" s="1"/>
  <c r="A406" i="65" s="1"/>
  <c r="A418" i="65" s="1"/>
  <c r="A430" i="65" s="1"/>
  <c r="A442" i="65" s="1"/>
  <c r="A454" i="65" s="1"/>
  <c r="A191" i="65"/>
  <c r="A203" i="65" s="1"/>
  <c r="A215" i="65" s="1"/>
  <c r="A227" i="65" s="1"/>
  <c r="A239" i="65" s="1"/>
  <c r="A251" i="65" s="1"/>
  <c r="A263" i="65" s="1"/>
  <c r="A275" i="65" s="1"/>
  <c r="A287" i="65" s="1"/>
  <c r="A299" i="65" s="1"/>
  <c r="A311" i="65" s="1"/>
  <c r="A323" i="65" s="1"/>
  <c r="A335" i="65" s="1"/>
  <c r="A347" i="65" s="1"/>
  <c r="A359" i="65" s="1"/>
  <c r="A371" i="65" s="1"/>
  <c r="A383" i="65" s="1"/>
  <c r="A395" i="65" s="1"/>
  <c r="A407" i="65" s="1"/>
  <c r="A419" i="65" s="1"/>
  <c r="A431" i="65" s="1"/>
  <c r="A443" i="65" s="1"/>
  <c r="A455" i="65" s="1"/>
  <c r="A192" i="65"/>
  <c r="A204" i="65" s="1"/>
  <c r="A216" i="65" s="1"/>
  <c r="A228" i="65" s="1"/>
  <c r="A240" i="65" s="1"/>
  <c r="A252" i="65" s="1"/>
  <c r="A264" i="65" s="1"/>
  <c r="A276" i="65" s="1"/>
  <c r="A288" i="65" s="1"/>
  <c r="A300" i="65" s="1"/>
  <c r="A312" i="65" s="1"/>
  <c r="A324" i="65" s="1"/>
  <c r="A336" i="65" s="1"/>
  <c r="A348" i="65" s="1"/>
  <c r="A360" i="65" s="1"/>
  <c r="A372" i="65" s="1"/>
  <c r="A384" i="65" s="1"/>
  <c r="A396" i="65" s="1"/>
  <c r="A408" i="65" s="1"/>
  <c r="A420" i="65" s="1"/>
  <c r="A432" i="65" s="1"/>
  <c r="A444" i="65" s="1"/>
  <c r="A456" i="65" s="1"/>
  <c r="A193" i="65"/>
  <c r="A205" i="65" s="1"/>
  <c r="A217" i="65" s="1"/>
  <c r="A229" i="65" s="1"/>
  <c r="A241" i="65" s="1"/>
  <c r="A253" i="65" s="1"/>
  <c r="A265" i="65" s="1"/>
  <c r="A277" i="65" s="1"/>
  <c r="A289" i="65" s="1"/>
  <c r="A301" i="65" s="1"/>
  <c r="A313" i="65" s="1"/>
  <c r="A325" i="65" s="1"/>
  <c r="A337" i="65" s="1"/>
  <c r="A349" i="65" s="1"/>
  <c r="A361" i="65" s="1"/>
  <c r="A373" i="65" s="1"/>
  <c r="A385" i="65" s="1"/>
  <c r="A397" i="65" s="1"/>
  <c r="A409" i="65" s="1"/>
  <c r="A421" i="65" s="1"/>
  <c r="A433" i="65" s="1"/>
  <c r="A445" i="65" s="1"/>
  <c r="A457" i="65" s="1"/>
  <c r="A194" i="65"/>
  <c r="A206" i="65" s="1"/>
  <c r="A218" i="65" s="1"/>
  <c r="A230" i="65" s="1"/>
  <c r="A242" i="65" s="1"/>
  <c r="A254" i="65" s="1"/>
  <c r="A266" i="65" s="1"/>
  <c r="A278" i="65" s="1"/>
  <c r="A290" i="65" s="1"/>
  <c r="A302" i="65" s="1"/>
  <c r="A314" i="65" s="1"/>
  <c r="A326" i="65" s="1"/>
  <c r="A338" i="65" s="1"/>
  <c r="A350" i="65" s="1"/>
  <c r="A362" i="65" s="1"/>
  <c r="A374" i="65" s="1"/>
  <c r="A386" i="65" s="1"/>
  <c r="A398" i="65" s="1"/>
  <c r="A410" i="65" s="1"/>
  <c r="A422" i="65" s="1"/>
  <c r="A434" i="65" s="1"/>
  <c r="A446" i="65" s="1"/>
  <c r="A458" i="65" s="1"/>
  <c r="A195" i="65"/>
  <c r="A207" i="65" s="1"/>
  <c r="A219" i="65" s="1"/>
  <c r="A231" i="65" s="1"/>
  <c r="A243" i="65" s="1"/>
  <c r="A255" i="65" s="1"/>
  <c r="A267" i="65" s="1"/>
  <c r="A279" i="65" s="1"/>
  <c r="A291" i="65" s="1"/>
  <c r="A303" i="65" s="1"/>
  <c r="A315" i="65" s="1"/>
  <c r="A327" i="65" s="1"/>
  <c r="A339" i="65" s="1"/>
  <c r="A351" i="65" s="1"/>
  <c r="A363" i="65" s="1"/>
  <c r="A375" i="65" s="1"/>
  <c r="A387" i="65" s="1"/>
  <c r="A399" i="65" s="1"/>
  <c r="A411" i="65" s="1"/>
  <c r="A423" i="65" s="1"/>
  <c r="A435" i="65" s="1"/>
  <c r="A447" i="65" s="1"/>
  <c r="A459" i="65" s="1"/>
  <c r="A196" i="65"/>
  <c r="A208" i="65" s="1"/>
  <c r="A220" i="65" s="1"/>
  <c r="A232" i="65" s="1"/>
  <c r="A244" i="65" s="1"/>
  <c r="A256" i="65" s="1"/>
  <c r="A268" i="65" s="1"/>
  <c r="A280" i="65" s="1"/>
  <c r="A292" i="65" s="1"/>
  <c r="A304" i="65" s="1"/>
  <c r="A316" i="65" s="1"/>
  <c r="A328" i="65" s="1"/>
  <c r="A340" i="65" s="1"/>
  <c r="A352" i="65" s="1"/>
  <c r="A364" i="65" s="1"/>
  <c r="A376" i="65" s="1"/>
  <c r="A388" i="65" s="1"/>
  <c r="A400" i="65" s="1"/>
  <c r="A412" i="65" s="1"/>
  <c r="A424" i="65" s="1"/>
  <c r="A436" i="65" s="1"/>
  <c r="A448" i="65" s="1"/>
  <c r="A460" i="65" s="1"/>
  <c r="A197" i="65"/>
  <c r="A209" i="65" s="1"/>
  <c r="A221" i="65" s="1"/>
  <c r="A233" i="65" s="1"/>
  <c r="A245" i="65" s="1"/>
  <c r="A257" i="65" s="1"/>
  <c r="A269" i="65" s="1"/>
  <c r="A281" i="65" s="1"/>
  <c r="A293" i="65" s="1"/>
  <c r="A305" i="65" s="1"/>
  <c r="A317" i="65" s="1"/>
  <c r="A329" i="65" s="1"/>
  <c r="A341" i="65" s="1"/>
  <c r="A353" i="65" s="1"/>
  <c r="A365" i="65" s="1"/>
  <c r="A377" i="65" s="1"/>
  <c r="A389" i="65" s="1"/>
  <c r="A401" i="65" s="1"/>
  <c r="A413" i="65" s="1"/>
  <c r="A425" i="65" s="1"/>
  <c r="A437" i="65" s="1"/>
  <c r="A449" i="65" s="1"/>
  <c r="A461" i="65" s="1"/>
  <c r="A198" i="65"/>
  <c r="A210" i="65" s="1"/>
  <c r="A222" i="65" s="1"/>
  <c r="A234" i="65" s="1"/>
  <c r="A246" i="65" s="1"/>
  <c r="A258" i="65" s="1"/>
  <c r="A270" i="65" s="1"/>
  <c r="A282" i="65" s="1"/>
  <c r="A294" i="65" s="1"/>
  <c r="A306" i="65" s="1"/>
  <c r="A318" i="65" s="1"/>
  <c r="A330" i="65" s="1"/>
  <c r="A342" i="65" s="1"/>
  <c r="A354" i="65" s="1"/>
  <c r="A366" i="65" s="1"/>
  <c r="A378" i="65" s="1"/>
  <c r="A390" i="65" s="1"/>
  <c r="A402" i="65" s="1"/>
  <c r="A414" i="65" s="1"/>
  <c r="A426" i="65" s="1"/>
  <c r="A438" i="65" s="1"/>
  <c r="A450" i="65" s="1"/>
  <c r="A462" i="65" s="1"/>
  <c r="A199" i="65"/>
  <c r="A211" i="65" s="1"/>
  <c r="A223" i="65" s="1"/>
  <c r="A235" i="65" s="1"/>
  <c r="A247" i="65" s="1"/>
  <c r="A259" i="65" s="1"/>
  <c r="A271" i="65" s="1"/>
  <c r="A283" i="65" s="1"/>
  <c r="A295" i="65" s="1"/>
  <c r="A307" i="65" s="1"/>
  <c r="A319" i="65" s="1"/>
  <c r="A331" i="65" s="1"/>
  <c r="A343" i="65" s="1"/>
  <c r="A355" i="65" s="1"/>
  <c r="A367" i="65" s="1"/>
  <c r="A379" i="65" s="1"/>
  <c r="A391" i="65" s="1"/>
  <c r="A403" i="65" s="1"/>
  <c r="A415" i="65" s="1"/>
  <c r="A427" i="65" s="1"/>
  <c r="A439" i="65" s="1"/>
  <c r="A451" i="65" s="1"/>
  <c r="A463" i="65" s="1"/>
  <c r="A200" i="65"/>
  <c r="A212" i="65" s="1"/>
  <c r="A224" i="65" s="1"/>
  <c r="A236" i="65" s="1"/>
  <c r="A248" i="65" s="1"/>
  <c r="A260" i="65" s="1"/>
  <c r="A272" i="65" s="1"/>
  <c r="A284" i="65" s="1"/>
  <c r="A296" i="65" s="1"/>
  <c r="A308" i="65" s="1"/>
  <c r="A320" i="65" s="1"/>
  <c r="A332" i="65" s="1"/>
  <c r="A344" i="65" s="1"/>
  <c r="A356" i="65" s="1"/>
  <c r="A368" i="65" s="1"/>
  <c r="A380" i="65" s="1"/>
  <c r="A392" i="65" s="1"/>
  <c r="A404" i="65" s="1"/>
  <c r="A416" i="65" s="1"/>
  <c r="A428" i="65" s="1"/>
  <c r="A440" i="65" s="1"/>
  <c r="A452" i="65" s="1"/>
  <c r="A464" i="65" s="1"/>
  <c r="A201" i="65"/>
  <c r="A213" i="65" s="1"/>
  <c r="A225" i="65" s="1"/>
  <c r="A237" i="65" s="1"/>
  <c r="A249" i="65" s="1"/>
  <c r="A261" i="65" s="1"/>
  <c r="A273" i="65" s="1"/>
  <c r="A285" i="65" s="1"/>
  <c r="A297" i="65" s="1"/>
  <c r="A309" i="65" s="1"/>
  <c r="A321" i="65" s="1"/>
  <c r="A333" i="65" s="1"/>
  <c r="A345" i="65" s="1"/>
  <c r="A357" i="65" s="1"/>
  <c r="A369" i="65" s="1"/>
  <c r="A381" i="65" s="1"/>
  <c r="A393" i="65" s="1"/>
  <c r="A405" i="65" s="1"/>
  <c r="A417" i="65" s="1"/>
  <c r="A429" i="65" s="1"/>
  <c r="A441" i="65" s="1"/>
  <c r="A453" i="65" s="1"/>
  <c r="A465" i="65" s="1"/>
  <c r="A190" i="64"/>
  <c r="A202" i="64" s="1"/>
  <c r="A214" i="64" s="1"/>
  <c r="A226" i="64" s="1"/>
  <c r="A238" i="64" s="1"/>
  <c r="A250" i="64" s="1"/>
  <c r="A262" i="64" s="1"/>
  <c r="A274" i="64" s="1"/>
  <c r="A286" i="64" s="1"/>
  <c r="A298" i="64" s="1"/>
  <c r="A310" i="64" s="1"/>
  <c r="A322" i="64" s="1"/>
  <c r="A334" i="64" s="1"/>
  <c r="A346" i="64" s="1"/>
  <c r="A358" i="64" s="1"/>
  <c r="A370" i="64" s="1"/>
  <c r="A382" i="64" s="1"/>
  <c r="A394" i="64" s="1"/>
  <c r="A406" i="64" s="1"/>
  <c r="A418" i="64" s="1"/>
  <c r="A430" i="64" s="1"/>
  <c r="A442" i="64" s="1"/>
  <c r="A454" i="64" s="1"/>
  <c r="A191" i="64"/>
  <c r="A203" i="64" s="1"/>
  <c r="A215" i="64" s="1"/>
  <c r="A227" i="64" s="1"/>
  <c r="A239" i="64" s="1"/>
  <c r="A251" i="64" s="1"/>
  <c r="A263" i="64" s="1"/>
  <c r="A275" i="64" s="1"/>
  <c r="A287" i="64" s="1"/>
  <c r="A299" i="64" s="1"/>
  <c r="A311" i="64" s="1"/>
  <c r="A323" i="64" s="1"/>
  <c r="A335" i="64" s="1"/>
  <c r="A347" i="64" s="1"/>
  <c r="A359" i="64" s="1"/>
  <c r="A371" i="64" s="1"/>
  <c r="A383" i="64" s="1"/>
  <c r="A395" i="64" s="1"/>
  <c r="A407" i="64" s="1"/>
  <c r="A419" i="64" s="1"/>
  <c r="A431" i="64" s="1"/>
  <c r="A443" i="64" s="1"/>
  <c r="A455" i="64" s="1"/>
  <c r="A192" i="64"/>
  <c r="A204" i="64" s="1"/>
  <c r="A216" i="64" s="1"/>
  <c r="A228" i="64" s="1"/>
  <c r="A240" i="64" s="1"/>
  <c r="A252" i="64" s="1"/>
  <c r="A264" i="64" s="1"/>
  <c r="A276" i="64" s="1"/>
  <c r="A288" i="64" s="1"/>
  <c r="A300" i="64" s="1"/>
  <c r="A312" i="64" s="1"/>
  <c r="A324" i="64" s="1"/>
  <c r="A336" i="64" s="1"/>
  <c r="A348" i="64" s="1"/>
  <c r="A360" i="64" s="1"/>
  <c r="A372" i="64" s="1"/>
  <c r="A384" i="64" s="1"/>
  <c r="A396" i="64" s="1"/>
  <c r="A408" i="64" s="1"/>
  <c r="A420" i="64" s="1"/>
  <c r="A432" i="64" s="1"/>
  <c r="A444" i="64" s="1"/>
  <c r="A456" i="64" s="1"/>
  <c r="A193" i="64"/>
  <c r="A205" i="64" s="1"/>
  <c r="A217" i="64" s="1"/>
  <c r="A229" i="64" s="1"/>
  <c r="A241" i="64" s="1"/>
  <c r="A253" i="64" s="1"/>
  <c r="A265" i="64" s="1"/>
  <c r="A277" i="64" s="1"/>
  <c r="A289" i="64" s="1"/>
  <c r="A301" i="64" s="1"/>
  <c r="A313" i="64" s="1"/>
  <c r="A325" i="64" s="1"/>
  <c r="A337" i="64" s="1"/>
  <c r="A349" i="64" s="1"/>
  <c r="A361" i="64" s="1"/>
  <c r="A373" i="64" s="1"/>
  <c r="A385" i="64" s="1"/>
  <c r="A397" i="64" s="1"/>
  <c r="A409" i="64" s="1"/>
  <c r="A421" i="64" s="1"/>
  <c r="A433" i="64" s="1"/>
  <c r="A445" i="64" s="1"/>
  <c r="A457" i="64" s="1"/>
  <c r="A194" i="64"/>
  <c r="A206" i="64" s="1"/>
  <c r="A218" i="64" s="1"/>
  <c r="A230" i="64" s="1"/>
  <c r="A242" i="64" s="1"/>
  <c r="A254" i="64" s="1"/>
  <c r="A266" i="64" s="1"/>
  <c r="A278" i="64" s="1"/>
  <c r="A290" i="64" s="1"/>
  <c r="A302" i="64" s="1"/>
  <c r="A314" i="64" s="1"/>
  <c r="A326" i="64" s="1"/>
  <c r="A338" i="64" s="1"/>
  <c r="A350" i="64" s="1"/>
  <c r="A362" i="64" s="1"/>
  <c r="A374" i="64" s="1"/>
  <c r="A386" i="64" s="1"/>
  <c r="A398" i="64" s="1"/>
  <c r="A410" i="64" s="1"/>
  <c r="A422" i="64" s="1"/>
  <c r="A434" i="64" s="1"/>
  <c r="A446" i="64" s="1"/>
  <c r="A458" i="64" s="1"/>
  <c r="A195" i="64"/>
  <c r="A207" i="64" s="1"/>
  <c r="A219" i="64" s="1"/>
  <c r="A231" i="64" s="1"/>
  <c r="A243" i="64" s="1"/>
  <c r="A255" i="64" s="1"/>
  <c r="A267" i="64" s="1"/>
  <c r="A279" i="64" s="1"/>
  <c r="A291" i="64" s="1"/>
  <c r="A303" i="64" s="1"/>
  <c r="A315" i="64" s="1"/>
  <c r="A327" i="64" s="1"/>
  <c r="A339" i="64" s="1"/>
  <c r="A351" i="64" s="1"/>
  <c r="A363" i="64" s="1"/>
  <c r="A375" i="64" s="1"/>
  <c r="A387" i="64" s="1"/>
  <c r="A399" i="64" s="1"/>
  <c r="A411" i="64" s="1"/>
  <c r="A423" i="64" s="1"/>
  <c r="A435" i="64" s="1"/>
  <c r="A447" i="64" s="1"/>
  <c r="A459" i="64" s="1"/>
  <c r="A196" i="64"/>
  <c r="A208" i="64" s="1"/>
  <c r="A220" i="64" s="1"/>
  <c r="A232" i="64" s="1"/>
  <c r="A244" i="64" s="1"/>
  <c r="A256" i="64" s="1"/>
  <c r="A268" i="64" s="1"/>
  <c r="A280" i="64" s="1"/>
  <c r="A292" i="64" s="1"/>
  <c r="A304" i="64" s="1"/>
  <c r="A316" i="64" s="1"/>
  <c r="A328" i="64" s="1"/>
  <c r="A340" i="64" s="1"/>
  <c r="A352" i="64" s="1"/>
  <c r="A364" i="64" s="1"/>
  <c r="A376" i="64" s="1"/>
  <c r="A388" i="64" s="1"/>
  <c r="A400" i="64" s="1"/>
  <c r="A412" i="64" s="1"/>
  <c r="A424" i="64" s="1"/>
  <c r="A436" i="64" s="1"/>
  <c r="A448" i="64" s="1"/>
  <c r="A460" i="64" s="1"/>
  <c r="A197" i="64"/>
  <c r="A209" i="64" s="1"/>
  <c r="A221" i="64" s="1"/>
  <c r="A233" i="64" s="1"/>
  <c r="A245" i="64" s="1"/>
  <c r="A257" i="64" s="1"/>
  <c r="A269" i="64" s="1"/>
  <c r="A281" i="64" s="1"/>
  <c r="A293" i="64" s="1"/>
  <c r="A305" i="64" s="1"/>
  <c r="A317" i="64" s="1"/>
  <c r="A329" i="64" s="1"/>
  <c r="A341" i="64" s="1"/>
  <c r="A353" i="64" s="1"/>
  <c r="A365" i="64" s="1"/>
  <c r="A377" i="64" s="1"/>
  <c r="A389" i="64" s="1"/>
  <c r="A401" i="64" s="1"/>
  <c r="A413" i="64" s="1"/>
  <c r="A425" i="64" s="1"/>
  <c r="A437" i="64" s="1"/>
  <c r="A449" i="64" s="1"/>
  <c r="A461" i="64" s="1"/>
  <c r="A198" i="64"/>
  <c r="A210" i="64" s="1"/>
  <c r="A222" i="64" s="1"/>
  <c r="A234" i="64" s="1"/>
  <c r="A246" i="64" s="1"/>
  <c r="A258" i="64" s="1"/>
  <c r="A270" i="64" s="1"/>
  <c r="A282" i="64" s="1"/>
  <c r="A294" i="64" s="1"/>
  <c r="A306" i="64" s="1"/>
  <c r="A318" i="64" s="1"/>
  <c r="A330" i="64" s="1"/>
  <c r="A342" i="64" s="1"/>
  <c r="A354" i="64" s="1"/>
  <c r="A366" i="64" s="1"/>
  <c r="A378" i="64" s="1"/>
  <c r="A390" i="64" s="1"/>
  <c r="A402" i="64" s="1"/>
  <c r="A414" i="64" s="1"/>
  <c r="A426" i="64" s="1"/>
  <c r="A438" i="64" s="1"/>
  <c r="A450" i="64" s="1"/>
  <c r="A462" i="64" s="1"/>
  <c r="A199" i="64"/>
  <c r="A211" i="64" s="1"/>
  <c r="A223" i="64" s="1"/>
  <c r="A235" i="64" s="1"/>
  <c r="A247" i="64" s="1"/>
  <c r="A259" i="64" s="1"/>
  <c r="A271" i="64" s="1"/>
  <c r="A283" i="64" s="1"/>
  <c r="A295" i="64" s="1"/>
  <c r="A307" i="64" s="1"/>
  <c r="A319" i="64" s="1"/>
  <c r="A331" i="64" s="1"/>
  <c r="A343" i="64" s="1"/>
  <c r="A355" i="64" s="1"/>
  <c r="A367" i="64" s="1"/>
  <c r="A379" i="64" s="1"/>
  <c r="A391" i="64" s="1"/>
  <c r="A403" i="64" s="1"/>
  <c r="A415" i="64" s="1"/>
  <c r="A427" i="64" s="1"/>
  <c r="A439" i="64" s="1"/>
  <c r="A451" i="64" s="1"/>
  <c r="A463" i="64" s="1"/>
  <c r="A200" i="64"/>
  <c r="A212" i="64" s="1"/>
  <c r="A224" i="64" s="1"/>
  <c r="A236" i="64" s="1"/>
  <c r="A248" i="64" s="1"/>
  <c r="A260" i="64" s="1"/>
  <c r="A272" i="64" s="1"/>
  <c r="A284" i="64" s="1"/>
  <c r="A296" i="64" s="1"/>
  <c r="A308" i="64" s="1"/>
  <c r="A320" i="64" s="1"/>
  <c r="A332" i="64" s="1"/>
  <c r="A344" i="64" s="1"/>
  <c r="A356" i="64" s="1"/>
  <c r="A368" i="64" s="1"/>
  <c r="A380" i="64" s="1"/>
  <c r="A392" i="64" s="1"/>
  <c r="A404" i="64" s="1"/>
  <c r="A416" i="64" s="1"/>
  <c r="A428" i="64" s="1"/>
  <c r="A440" i="64" s="1"/>
  <c r="A452" i="64" s="1"/>
  <c r="A464" i="64" s="1"/>
  <c r="A201" i="64"/>
  <c r="A213" i="64" s="1"/>
  <c r="A225" i="64" s="1"/>
  <c r="A237" i="64" s="1"/>
  <c r="A249" i="64" s="1"/>
  <c r="A261" i="64" s="1"/>
  <c r="A273" i="64" s="1"/>
  <c r="A285" i="64" s="1"/>
  <c r="A297" i="64" s="1"/>
  <c r="A309" i="64" s="1"/>
  <c r="A321" i="64" s="1"/>
  <c r="A333" i="64" s="1"/>
  <c r="A345" i="64" s="1"/>
  <c r="A357" i="64" s="1"/>
  <c r="A369" i="64" s="1"/>
  <c r="A381" i="64" s="1"/>
  <c r="A393" i="64" s="1"/>
  <c r="A405" i="64" s="1"/>
  <c r="A417" i="64" s="1"/>
  <c r="A429" i="64" s="1"/>
  <c r="A441" i="64" s="1"/>
  <c r="A453" i="64" s="1"/>
  <c r="A465" i="64" s="1"/>
  <c r="A178" i="55"/>
  <c r="A190" i="55" s="1"/>
  <c r="A202" i="55" s="1"/>
  <c r="A214" i="55" s="1"/>
  <c r="A226" i="55" s="1"/>
  <c r="A238" i="55" s="1"/>
  <c r="A250" i="55" s="1"/>
  <c r="A262" i="55" s="1"/>
  <c r="A274" i="55" s="1"/>
  <c r="A286" i="55" s="1"/>
  <c r="A298" i="55" s="1"/>
  <c r="A310" i="55" s="1"/>
  <c r="A322" i="55" s="1"/>
  <c r="A334" i="55" s="1"/>
  <c r="A346" i="55" s="1"/>
  <c r="A358" i="55" s="1"/>
  <c r="A370" i="55" s="1"/>
  <c r="A382" i="55" s="1"/>
  <c r="A394" i="55" s="1"/>
  <c r="A406" i="55" s="1"/>
  <c r="A418" i="55" s="1"/>
  <c r="A430" i="55" s="1"/>
  <c r="A442" i="55" s="1"/>
  <c r="A179" i="55"/>
  <c r="A191" i="55" s="1"/>
  <c r="A203" i="55" s="1"/>
  <c r="A215" i="55" s="1"/>
  <c r="A227" i="55" s="1"/>
  <c r="A239" i="55" s="1"/>
  <c r="A251" i="55" s="1"/>
  <c r="A263" i="55" s="1"/>
  <c r="A275" i="55" s="1"/>
  <c r="A287" i="55" s="1"/>
  <c r="A299" i="55" s="1"/>
  <c r="A311" i="55" s="1"/>
  <c r="A323" i="55" s="1"/>
  <c r="A335" i="55" s="1"/>
  <c r="A347" i="55" s="1"/>
  <c r="A359" i="55" s="1"/>
  <c r="A371" i="55" s="1"/>
  <c r="A383" i="55" s="1"/>
  <c r="A395" i="55" s="1"/>
  <c r="A407" i="55" s="1"/>
  <c r="A419" i="55" s="1"/>
  <c r="A431" i="55" s="1"/>
  <c r="A443" i="55" s="1"/>
  <c r="A180" i="55"/>
  <c r="A192" i="55" s="1"/>
  <c r="A204" i="55" s="1"/>
  <c r="A216" i="55" s="1"/>
  <c r="A228" i="55" s="1"/>
  <c r="A240" i="55" s="1"/>
  <c r="A252" i="55" s="1"/>
  <c r="A264" i="55" s="1"/>
  <c r="A276" i="55" s="1"/>
  <c r="A288" i="55" s="1"/>
  <c r="A300" i="55" s="1"/>
  <c r="A312" i="55" s="1"/>
  <c r="A324" i="55" s="1"/>
  <c r="A336" i="55" s="1"/>
  <c r="A348" i="55" s="1"/>
  <c r="A360" i="55" s="1"/>
  <c r="A372" i="55" s="1"/>
  <c r="A384" i="55" s="1"/>
  <c r="A396" i="55" s="1"/>
  <c r="A408" i="55" s="1"/>
  <c r="A420" i="55" s="1"/>
  <c r="A432" i="55" s="1"/>
  <c r="A444" i="55" s="1"/>
  <c r="A181" i="55"/>
  <c r="A193" i="55" s="1"/>
  <c r="A205" i="55" s="1"/>
  <c r="A217" i="55" s="1"/>
  <c r="A229" i="55" s="1"/>
  <c r="A241" i="55" s="1"/>
  <c r="A253" i="55" s="1"/>
  <c r="A265" i="55" s="1"/>
  <c r="A277" i="55" s="1"/>
  <c r="A289" i="55" s="1"/>
  <c r="A301" i="55" s="1"/>
  <c r="A313" i="55" s="1"/>
  <c r="A325" i="55" s="1"/>
  <c r="A337" i="55" s="1"/>
  <c r="A349" i="55" s="1"/>
  <c r="A361" i="55" s="1"/>
  <c r="A373" i="55" s="1"/>
  <c r="A385" i="55" s="1"/>
  <c r="A397" i="55" s="1"/>
  <c r="A409" i="55" s="1"/>
  <c r="A421" i="55" s="1"/>
  <c r="A433" i="55" s="1"/>
  <c r="A445" i="55" s="1"/>
  <c r="A182" i="55"/>
  <c r="A194" i="55" s="1"/>
  <c r="A206" i="55" s="1"/>
  <c r="A218" i="55" s="1"/>
  <c r="A230" i="55" s="1"/>
  <c r="A242" i="55" s="1"/>
  <c r="A254" i="55" s="1"/>
  <c r="A266" i="55" s="1"/>
  <c r="A278" i="55" s="1"/>
  <c r="A290" i="55" s="1"/>
  <c r="A302" i="55" s="1"/>
  <c r="A314" i="55" s="1"/>
  <c r="A326" i="55" s="1"/>
  <c r="A338" i="55" s="1"/>
  <c r="A350" i="55" s="1"/>
  <c r="A362" i="55" s="1"/>
  <c r="A374" i="55" s="1"/>
  <c r="A386" i="55" s="1"/>
  <c r="A398" i="55" s="1"/>
  <c r="A410" i="55" s="1"/>
  <c r="A422" i="55" s="1"/>
  <c r="A434" i="55" s="1"/>
  <c r="A446" i="55" s="1"/>
  <c r="A183" i="55"/>
  <c r="A195" i="55" s="1"/>
  <c r="A207" i="55" s="1"/>
  <c r="A219" i="55" s="1"/>
  <c r="A231" i="55" s="1"/>
  <c r="A243" i="55" s="1"/>
  <c r="A255" i="55" s="1"/>
  <c r="A267" i="55" s="1"/>
  <c r="A279" i="55" s="1"/>
  <c r="A291" i="55" s="1"/>
  <c r="A303" i="55" s="1"/>
  <c r="A315" i="55" s="1"/>
  <c r="A327" i="55" s="1"/>
  <c r="A339" i="55" s="1"/>
  <c r="A351" i="55" s="1"/>
  <c r="A363" i="55" s="1"/>
  <c r="A375" i="55" s="1"/>
  <c r="A387" i="55" s="1"/>
  <c r="A399" i="55" s="1"/>
  <c r="A411" i="55" s="1"/>
  <c r="A423" i="55" s="1"/>
  <c r="A435" i="55" s="1"/>
  <c r="A447" i="55" s="1"/>
  <c r="A184" i="55"/>
  <c r="A196" i="55" s="1"/>
  <c r="A208" i="55" s="1"/>
  <c r="A220" i="55" s="1"/>
  <c r="A232" i="55" s="1"/>
  <c r="A244" i="55" s="1"/>
  <c r="A256" i="55" s="1"/>
  <c r="A268" i="55" s="1"/>
  <c r="A280" i="55" s="1"/>
  <c r="A292" i="55" s="1"/>
  <c r="A304" i="55" s="1"/>
  <c r="A316" i="55" s="1"/>
  <c r="A328" i="55" s="1"/>
  <c r="A340" i="55" s="1"/>
  <c r="A352" i="55" s="1"/>
  <c r="A364" i="55" s="1"/>
  <c r="A376" i="55" s="1"/>
  <c r="A388" i="55" s="1"/>
  <c r="A400" i="55" s="1"/>
  <c r="A412" i="55" s="1"/>
  <c r="A424" i="55" s="1"/>
  <c r="A436" i="55" s="1"/>
  <c r="A448" i="55" s="1"/>
  <c r="A185" i="55"/>
  <c r="A197" i="55" s="1"/>
  <c r="A209" i="55" s="1"/>
  <c r="A221" i="55" s="1"/>
  <c r="A233" i="55" s="1"/>
  <c r="A245" i="55" s="1"/>
  <c r="A257" i="55" s="1"/>
  <c r="A269" i="55" s="1"/>
  <c r="A281" i="55" s="1"/>
  <c r="A293" i="55" s="1"/>
  <c r="A305" i="55" s="1"/>
  <c r="A317" i="55" s="1"/>
  <c r="A329" i="55" s="1"/>
  <c r="A341" i="55" s="1"/>
  <c r="A353" i="55" s="1"/>
  <c r="A365" i="55" s="1"/>
  <c r="A377" i="55" s="1"/>
  <c r="A389" i="55" s="1"/>
  <c r="A401" i="55" s="1"/>
  <c r="A413" i="55" s="1"/>
  <c r="A425" i="55" s="1"/>
  <c r="A437" i="55" s="1"/>
  <c r="A449" i="55" s="1"/>
  <c r="A186" i="55"/>
  <c r="A198" i="55" s="1"/>
  <c r="A210" i="55" s="1"/>
  <c r="A222" i="55" s="1"/>
  <c r="A234" i="55" s="1"/>
  <c r="A246" i="55" s="1"/>
  <c r="A258" i="55" s="1"/>
  <c r="A270" i="55" s="1"/>
  <c r="A282" i="55" s="1"/>
  <c r="A294" i="55" s="1"/>
  <c r="A306" i="55" s="1"/>
  <c r="A318" i="55" s="1"/>
  <c r="A330" i="55" s="1"/>
  <c r="A342" i="55" s="1"/>
  <c r="A354" i="55" s="1"/>
  <c r="A366" i="55" s="1"/>
  <c r="A378" i="55" s="1"/>
  <c r="A390" i="55" s="1"/>
  <c r="A402" i="55" s="1"/>
  <c r="A414" i="55" s="1"/>
  <c r="A426" i="55" s="1"/>
  <c r="A438" i="55" s="1"/>
  <c r="A450" i="55" s="1"/>
  <c r="A187" i="55"/>
  <c r="A199" i="55" s="1"/>
  <c r="A211" i="55" s="1"/>
  <c r="A223" i="55" s="1"/>
  <c r="A235" i="55" s="1"/>
  <c r="A247" i="55" s="1"/>
  <c r="A259" i="55" s="1"/>
  <c r="A271" i="55" s="1"/>
  <c r="A283" i="55" s="1"/>
  <c r="A295" i="55" s="1"/>
  <c r="A307" i="55" s="1"/>
  <c r="A319" i="55" s="1"/>
  <c r="A331" i="55" s="1"/>
  <c r="A343" i="55" s="1"/>
  <c r="A355" i="55" s="1"/>
  <c r="A367" i="55" s="1"/>
  <c r="A379" i="55" s="1"/>
  <c r="A391" i="55" s="1"/>
  <c r="A403" i="55" s="1"/>
  <c r="A415" i="55" s="1"/>
  <c r="A427" i="55" s="1"/>
  <c r="A439" i="55" s="1"/>
  <c r="A451" i="55" s="1"/>
  <c r="A188" i="55"/>
  <c r="A200" i="55" s="1"/>
  <c r="A212" i="55" s="1"/>
  <c r="A224" i="55" s="1"/>
  <c r="A236" i="55" s="1"/>
  <c r="A248" i="55" s="1"/>
  <c r="A260" i="55" s="1"/>
  <c r="A272" i="55" s="1"/>
  <c r="A284" i="55" s="1"/>
  <c r="A296" i="55" s="1"/>
  <c r="A308" i="55" s="1"/>
  <c r="A320" i="55" s="1"/>
  <c r="A332" i="55" s="1"/>
  <c r="A344" i="55" s="1"/>
  <c r="A356" i="55" s="1"/>
  <c r="A368" i="55" s="1"/>
  <c r="A380" i="55" s="1"/>
  <c r="A392" i="55" s="1"/>
  <c r="A404" i="55" s="1"/>
  <c r="A416" i="55" s="1"/>
  <c r="A428" i="55" s="1"/>
  <c r="A440" i="55" s="1"/>
  <c r="A452" i="55" s="1"/>
  <c r="A189" i="55"/>
  <c r="A201" i="55" s="1"/>
  <c r="A213" i="55" s="1"/>
  <c r="A225" i="55" s="1"/>
  <c r="A237" i="55" s="1"/>
  <c r="A249" i="55" s="1"/>
  <c r="A261" i="55" s="1"/>
  <c r="A273" i="55" s="1"/>
  <c r="A285" i="55" s="1"/>
  <c r="A297" i="55" s="1"/>
  <c r="A309" i="55" s="1"/>
  <c r="A321" i="55" s="1"/>
  <c r="A333" i="55" s="1"/>
  <c r="A345" i="55" s="1"/>
  <c r="A357" i="55" s="1"/>
  <c r="A369" i="55" s="1"/>
  <c r="A381" i="55" s="1"/>
  <c r="A393" i="55" s="1"/>
  <c r="A405" i="55" s="1"/>
  <c r="A417" i="55" s="1"/>
  <c r="A429" i="55" s="1"/>
  <c r="A441" i="55" s="1"/>
  <c r="A453" i="55" s="1"/>
  <c r="B263" i="89"/>
  <c r="O48" i="95"/>
  <c r="A24" i="45"/>
  <c r="A36" i="45" s="1"/>
  <c r="A48" i="45" s="1"/>
  <c r="A60" i="45" s="1"/>
  <c r="A72" i="45" s="1"/>
  <c r="A84" i="45" s="1"/>
  <c r="A96" i="45" s="1"/>
  <c r="A108" i="45" s="1"/>
  <c r="A120" i="45" s="1"/>
  <c r="A132" i="45" s="1"/>
  <c r="A144" i="45" s="1"/>
  <c r="A156" i="45" s="1"/>
  <c r="A168" i="45" s="1"/>
  <c r="A180" i="45" s="1"/>
  <c r="A192" i="45" s="1"/>
  <c r="A25" i="45"/>
  <c r="A37" i="45" s="1"/>
  <c r="A49" i="45" s="1"/>
  <c r="A61" i="45" s="1"/>
  <c r="A73" i="45" s="1"/>
  <c r="A85" i="45" s="1"/>
  <c r="A97" i="45" s="1"/>
  <c r="A109" i="45" s="1"/>
  <c r="A121" i="45" s="1"/>
  <c r="A133" i="45" s="1"/>
  <c r="A145" i="45" s="1"/>
  <c r="A157" i="45" s="1"/>
  <c r="A169" i="45" s="1"/>
  <c r="A181" i="45" s="1"/>
  <c r="A193" i="45" s="1"/>
  <c r="A26" i="45"/>
  <c r="A38" i="45" s="1"/>
  <c r="A50" i="45" s="1"/>
  <c r="A62" i="45" s="1"/>
  <c r="A74" i="45" s="1"/>
  <c r="A86" i="45" s="1"/>
  <c r="A98" i="45" s="1"/>
  <c r="A110" i="45" s="1"/>
  <c r="A122" i="45" s="1"/>
  <c r="A134" i="45" s="1"/>
  <c r="A146" i="45" s="1"/>
  <c r="A158" i="45" s="1"/>
  <c r="A170" i="45" s="1"/>
  <c r="A182" i="45" s="1"/>
  <c r="A194" i="45" s="1"/>
  <c r="A27" i="45"/>
  <c r="A39" i="45" s="1"/>
  <c r="A51" i="45" s="1"/>
  <c r="A63" i="45" s="1"/>
  <c r="A75" i="45" s="1"/>
  <c r="A87" i="45" s="1"/>
  <c r="A99" i="45" s="1"/>
  <c r="A111" i="45" s="1"/>
  <c r="A123" i="45" s="1"/>
  <c r="A135" i="45" s="1"/>
  <c r="A147" i="45" s="1"/>
  <c r="A159" i="45" s="1"/>
  <c r="A171" i="45" s="1"/>
  <c r="A183" i="45" s="1"/>
  <c r="A195" i="45" s="1"/>
  <c r="A28" i="45"/>
  <c r="A40" i="45" s="1"/>
  <c r="A52" i="45" s="1"/>
  <c r="A64" i="45" s="1"/>
  <c r="A76" i="45" s="1"/>
  <c r="A88" i="45" s="1"/>
  <c r="A100" i="45" s="1"/>
  <c r="A112" i="45" s="1"/>
  <c r="A124" i="45" s="1"/>
  <c r="A136" i="45" s="1"/>
  <c r="A148" i="45" s="1"/>
  <c r="A160" i="45" s="1"/>
  <c r="A172" i="45" s="1"/>
  <c r="A184" i="45" s="1"/>
  <c r="A196" i="45" s="1"/>
  <c r="A29" i="45"/>
  <c r="A41" i="45" s="1"/>
  <c r="A53" i="45" s="1"/>
  <c r="A65" i="45" s="1"/>
  <c r="A77" i="45" s="1"/>
  <c r="A89" i="45" s="1"/>
  <c r="A101" i="45" s="1"/>
  <c r="A113" i="45" s="1"/>
  <c r="A125" i="45" s="1"/>
  <c r="A137" i="45" s="1"/>
  <c r="A149" i="45" s="1"/>
  <c r="A161" i="45" s="1"/>
  <c r="A173" i="45" s="1"/>
  <c r="A185" i="45" s="1"/>
  <c r="A197" i="45" s="1"/>
  <c r="A30" i="45"/>
  <c r="A42" i="45" s="1"/>
  <c r="A54" i="45" s="1"/>
  <c r="A66" i="45" s="1"/>
  <c r="A78" i="45" s="1"/>
  <c r="A90" i="45" s="1"/>
  <c r="A102" i="45" s="1"/>
  <c r="A114" i="45" s="1"/>
  <c r="A126" i="45" s="1"/>
  <c r="A138" i="45" s="1"/>
  <c r="A150" i="45" s="1"/>
  <c r="A162" i="45" s="1"/>
  <c r="A174" i="45" s="1"/>
  <c r="A186" i="45" s="1"/>
  <c r="A198" i="45" s="1"/>
  <c r="A31" i="45"/>
  <c r="A43" i="45" s="1"/>
  <c r="A55" i="45" s="1"/>
  <c r="A67" i="45" s="1"/>
  <c r="A79" i="45" s="1"/>
  <c r="A91" i="45" s="1"/>
  <c r="A103" i="45" s="1"/>
  <c r="A115" i="45" s="1"/>
  <c r="A127" i="45" s="1"/>
  <c r="A139" i="45" s="1"/>
  <c r="A151" i="45" s="1"/>
  <c r="A163" i="45" s="1"/>
  <c r="A175" i="45" s="1"/>
  <c r="A187" i="45" s="1"/>
  <c r="A199" i="45" s="1"/>
  <c r="A33" i="45"/>
  <c r="A45" i="45" s="1"/>
  <c r="A57" i="45" s="1"/>
  <c r="A69" i="45" s="1"/>
  <c r="A81" i="45" s="1"/>
  <c r="A93" i="45" s="1"/>
  <c r="A105" i="45" s="1"/>
  <c r="A117" i="45" s="1"/>
  <c r="A129" i="45" s="1"/>
  <c r="A141" i="45" s="1"/>
  <c r="A153" i="45" s="1"/>
  <c r="A165" i="45" s="1"/>
  <c r="A177" i="45" s="1"/>
  <c r="A189" i="45" s="1"/>
  <c r="A201" i="45" s="1"/>
  <c r="A32" i="45"/>
  <c r="A44" i="45" s="1"/>
  <c r="A56" i="45" s="1"/>
  <c r="A68" i="45" s="1"/>
  <c r="A80" i="45" s="1"/>
  <c r="A92" i="45" s="1"/>
  <c r="A104" i="45" s="1"/>
  <c r="A116" i="45" s="1"/>
  <c r="A128" i="45" s="1"/>
  <c r="A140" i="45" s="1"/>
  <c r="A152" i="45" s="1"/>
  <c r="A164" i="45" s="1"/>
  <c r="A176" i="45" s="1"/>
  <c r="A188" i="45" s="1"/>
  <c r="A200" i="45" s="1"/>
  <c r="D328" i="89"/>
  <c r="B329" i="89"/>
  <c r="B330" i="89"/>
  <c r="G90" i="53" l="1"/>
  <c r="C463" i="111"/>
  <c r="C519" i="111"/>
  <c r="A374" i="4"/>
  <c r="A386" i="4" s="1"/>
  <c r="A398" i="4" s="1"/>
  <c r="A410" i="4" s="1"/>
  <c r="A422" i="4" s="1"/>
  <c r="A434" i="4" s="1"/>
  <c r="A446" i="4" s="1"/>
  <c r="A406" i="108"/>
  <c r="A418" i="108" s="1"/>
  <c r="A430" i="108" s="1"/>
  <c r="A442" i="108" s="1"/>
  <c r="A454" i="108" s="1"/>
  <c r="A466" i="108" s="1"/>
  <c r="H275" i="11"/>
  <c r="A17" i="112"/>
  <c r="A28" i="112"/>
  <c r="A40" i="112" s="1"/>
  <c r="A52" i="112" s="1"/>
  <c r="A64" i="112" s="1"/>
  <c r="A76" i="112" s="1"/>
  <c r="A88" i="112" s="1"/>
  <c r="A100" i="112" s="1"/>
  <c r="A112" i="112" s="1"/>
  <c r="A124" i="112" s="1"/>
  <c r="A136" i="112" s="1"/>
  <c r="A148" i="112" s="1"/>
  <c r="A160" i="112" s="1"/>
  <c r="A172" i="112" s="1"/>
  <c r="A184" i="112" s="1"/>
  <c r="A392" i="11"/>
  <c r="A404" i="11" s="1"/>
  <c r="A416" i="11" s="1"/>
  <c r="A428" i="11" s="1"/>
  <c r="A440" i="11" s="1"/>
  <c r="A452" i="11" s="1"/>
  <c r="A464" i="11" s="1"/>
  <c r="A476" i="11" s="1"/>
  <c r="A392" i="108"/>
  <c r="A404" i="108" s="1"/>
  <c r="A416" i="108" s="1"/>
  <c r="A428" i="108" s="1"/>
  <c r="A440" i="108" s="1"/>
  <c r="A452" i="108" s="1"/>
  <c r="A464" i="108" s="1"/>
  <c r="A476" i="108" s="1"/>
  <c r="J146" i="69"/>
  <c r="G146" i="69"/>
  <c r="E149" i="69"/>
  <c r="B146" i="69"/>
  <c r="E417" i="64"/>
  <c r="E459" i="64"/>
  <c r="E444" i="64"/>
  <c r="E452" i="64"/>
  <c r="E436" i="64"/>
  <c r="E407" i="64"/>
  <c r="E415" i="64"/>
  <c r="E418" i="64"/>
  <c r="E421" i="64"/>
  <c r="E424" i="64"/>
  <c r="E427" i="64"/>
  <c r="E457" i="64"/>
  <c r="E465" i="64"/>
  <c r="E442" i="64"/>
  <c r="E413" i="64"/>
  <c r="E462" i="64"/>
  <c r="E447" i="64"/>
  <c r="E455" i="64"/>
  <c r="E439" i="64"/>
  <c r="E410" i="64"/>
  <c r="E431" i="64"/>
  <c r="E450" i="64"/>
  <c r="E434" i="64"/>
  <c r="E463" i="64"/>
  <c r="E448" i="64"/>
  <c r="E456" i="64"/>
  <c r="E440" i="64"/>
  <c r="E411" i="64"/>
  <c r="E432" i="64"/>
  <c r="E461" i="64"/>
  <c r="E454" i="64"/>
  <c r="E420" i="64"/>
  <c r="E458" i="64"/>
  <c r="E443" i="64"/>
  <c r="E451" i="64"/>
  <c r="E435" i="64"/>
  <c r="E406" i="64"/>
  <c r="E414" i="64"/>
  <c r="E423" i="64"/>
  <c r="E426" i="64"/>
  <c r="E429" i="64"/>
  <c r="E446" i="64"/>
  <c r="E438" i="64"/>
  <c r="E409" i="64"/>
  <c r="E433" i="64"/>
  <c r="E425" i="64"/>
  <c r="E460" i="64"/>
  <c r="E408" i="64"/>
  <c r="E419" i="64"/>
  <c r="E449" i="64"/>
  <c r="E437" i="64"/>
  <c r="E464" i="64"/>
  <c r="E412" i="64"/>
  <c r="E422" i="64"/>
  <c r="E428" i="64"/>
  <c r="E453" i="64"/>
  <c r="E441" i="64"/>
  <c r="E445" i="64"/>
  <c r="E430" i="64"/>
  <c r="E416" i="64"/>
  <c r="A612" i="71"/>
  <c r="A624" i="71" s="1"/>
  <c r="A636" i="71" s="1"/>
  <c r="E12" i="64"/>
  <c r="E360" i="64"/>
  <c r="S44" i="95"/>
  <c r="R44" i="95"/>
  <c r="S48" i="95"/>
  <c r="R48" i="95"/>
  <c r="S41" i="95"/>
  <c r="R41" i="95"/>
  <c r="R45" i="95"/>
  <c r="S45" i="95"/>
  <c r="R49" i="95"/>
  <c r="S49" i="95"/>
  <c r="R46" i="95"/>
  <c r="S46" i="95"/>
  <c r="R43" i="95"/>
  <c r="S43" i="95"/>
  <c r="R47" i="95"/>
  <c r="S47" i="95"/>
  <c r="A312" i="1"/>
  <c r="A324" i="1" s="1"/>
  <c r="A336" i="1" s="1"/>
  <c r="A348" i="1" s="1"/>
  <c r="A360" i="1" s="1"/>
  <c r="A372" i="1" s="1"/>
  <c r="A384" i="1" s="1"/>
  <c r="A396" i="1" s="1"/>
  <c r="E405" i="64"/>
  <c r="E131" i="64"/>
  <c r="U43" i="95"/>
  <c r="S14" i="95"/>
  <c r="E121" i="116"/>
  <c r="S15" i="95"/>
  <c r="O49" i="95"/>
  <c r="E146" i="69"/>
  <c r="F149" i="69"/>
  <c r="F150" i="69" s="1"/>
  <c r="F151" i="69" s="1"/>
  <c r="F152" i="69" s="1"/>
  <c r="F153" i="69" s="1"/>
  <c r="U44" i="95"/>
  <c r="U23" i="95"/>
  <c r="C149" i="69"/>
  <c r="C150" i="69" s="1"/>
  <c r="C151" i="69" s="1"/>
  <c r="C152" i="69" s="1"/>
  <c r="C153" i="69" s="1"/>
  <c r="O44" i="95"/>
  <c r="U22" i="95"/>
  <c r="H149" i="69"/>
  <c r="H150" i="69" s="1"/>
  <c r="H151" i="69" s="1"/>
  <c r="H152" i="69" s="1"/>
  <c r="H153" i="69" s="1"/>
  <c r="C144" i="69"/>
  <c r="C145" i="69" s="1"/>
  <c r="A13" i="38"/>
  <c r="A25" i="38" s="1"/>
  <c r="A37" i="38" s="1"/>
  <c r="A49" i="38" s="1"/>
  <c r="A61" i="38" s="1"/>
  <c r="A73" i="38" s="1"/>
  <c r="A85" i="38" s="1"/>
  <c r="A97" i="38" s="1"/>
  <c r="A109" i="38" s="1"/>
  <c r="A121" i="38" s="1"/>
  <c r="A133" i="38" s="1"/>
  <c r="A145" i="38" s="1"/>
  <c r="A157" i="38" s="1"/>
  <c r="A169" i="38" s="1"/>
  <c r="A181" i="38" s="1"/>
  <c r="A193" i="38" s="1"/>
  <c r="A205" i="38" s="1"/>
  <c r="L303" i="108"/>
  <c r="O22" i="95"/>
  <c r="I88" i="49"/>
  <c r="V14" i="95"/>
  <c r="L305" i="108"/>
  <c r="L304" i="108"/>
  <c r="L302" i="108"/>
  <c r="L296" i="108"/>
  <c r="L299" i="108"/>
  <c r="L300" i="108"/>
  <c r="L301" i="108"/>
  <c r="E120" i="116"/>
  <c r="O45" i="95"/>
  <c r="J149" i="69"/>
  <c r="A23" i="68"/>
  <c r="A35" i="68" s="1"/>
  <c r="A47" i="68" s="1"/>
  <c r="A59" i="68" s="1"/>
  <c r="A71" i="68" s="1"/>
  <c r="A83" i="68" s="1"/>
  <c r="A95" i="68" s="1"/>
  <c r="A107" i="68" s="1"/>
  <c r="A119" i="68" s="1"/>
  <c r="A131" i="68" s="1"/>
  <c r="A143" i="68" s="1"/>
  <c r="A155" i="68" s="1"/>
  <c r="A167" i="68" s="1"/>
  <c r="A179" i="68" s="1"/>
  <c r="A191" i="68" s="1"/>
  <c r="A203" i="68" s="1"/>
  <c r="A215" i="68" s="1"/>
  <c r="A227" i="68" s="1"/>
  <c r="A239" i="68" s="1"/>
  <c r="A251" i="68" s="1"/>
  <c r="A263" i="68" s="1"/>
  <c r="A275" i="68" s="1"/>
  <c r="A287" i="68" s="1"/>
  <c r="A299" i="68" s="1"/>
  <c r="A311" i="68" s="1"/>
  <c r="A323" i="68" s="1"/>
  <c r="A335" i="68" s="1"/>
  <c r="A347" i="68" s="1"/>
  <c r="A359" i="68" s="1"/>
  <c r="A371" i="68" s="1"/>
  <c r="A383" i="68" s="1"/>
  <c r="A395" i="68" s="1"/>
  <c r="A407" i="68" s="1"/>
  <c r="A419" i="68" s="1"/>
  <c r="A431" i="68" s="1"/>
  <c r="A443" i="68" s="1"/>
  <c r="A455" i="68" s="1"/>
  <c r="U41" i="95"/>
  <c r="U15" i="95"/>
  <c r="O43" i="95"/>
  <c r="A23" i="38"/>
  <c r="A35" i="38" s="1"/>
  <c r="A47" i="38" s="1"/>
  <c r="A59" i="38" s="1"/>
  <c r="A71" i="38" s="1"/>
  <c r="A83" i="38" s="1"/>
  <c r="A95" i="38" s="1"/>
  <c r="A107" i="38" s="1"/>
  <c r="A119" i="38" s="1"/>
  <c r="A131" i="38" s="1"/>
  <c r="A143" i="38" s="1"/>
  <c r="A155" i="38" s="1"/>
  <c r="A167" i="38" s="1"/>
  <c r="A179" i="38" s="1"/>
  <c r="A191" i="38" s="1"/>
  <c r="A203" i="38" s="1"/>
  <c r="F147" i="69"/>
  <c r="F144" i="69"/>
  <c r="F145" i="69" s="1"/>
  <c r="H147" i="69"/>
  <c r="H144" i="69"/>
  <c r="H145" i="69" s="1"/>
  <c r="B149" i="69"/>
  <c r="E142" i="64"/>
  <c r="E143" i="64"/>
  <c r="L297" i="108"/>
  <c r="A581" i="71"/>
  <c r="A593" i="71" s="1"/>
  <c r="A605" i="71" s="1"/>
  <c r="A617" i="71" s="1"/>
  <c r="A629" i="71" s="1"/>
  <c r="A641" i="71" s="1"/>
  <c r="R235" i="3"/>
  <c r="L88" i="49"/>
  <c r="L306" i="108"/>
  <c r="A24" i="68"/>
  <c r="A36" i="68" s="1"/>
  <c r="A48" i="68" s="1"/>
  <c r="A60" i="68" s="1"/>
  <c r="A72" i="68" s="1"/>
  <c r="A84" i="68" s="1"/>
  <c r="A96" i="68" s="1"/>
  <c r="A108" i="68" s="1"/>
  <c r="A120" i="68" s="1"/>
  <c r="A132" i="68" s="1"/>
  <c r="A144" i="68" s="1"/>
  <c r="A156" i="68" s="1"/>
  <c r="A168" i="68" s="1"/>
  <c r="A180" i="68" s="1"/>
  <c r="A192" i="68" s="1"/>
  <c r="A204" i="68" s="1"/>
  <c r="A216" i="68" s="1"/>
  <c r="A228" i="68" s="1"/>
  <c r="A240" i="68" s="1"/>
  <c r="A252" i="68" s="1"/>
  <c r="A264" i="68" s="1"/>
  <c r="A276" i="68" s="1"/>
  <c r="A288" i="68" s="1"/>
  <c r="A300" i="68" s="1"/>
  <c r="A312" i="68" s="1"/>
  <c r="A324" i="68" s="1"/>
  <c r="A336" i="68" s="1"/>
  <c r="A348" i="68" s="1"/>
  <c r="A360" i="68" s="1"/>
  <c r="A372" i="68" s="1"/>
  <c r="A384" i="68" s="1"/>
  <c r="A396" i="68" s="1"/>
  <c r="A408" i="68" s="1"/>
  <c r="A420" i="68" s="1"/>
  <c r="A432" i="68" s="1"/>
  <c r="A444" i="68" s="1"/>
  <c r="A456" i="68" s="1"/>
  <c r="A13" i="68"/>
  <c r="G149" i="69"/>
  <c r="V49" i="95"/>
  <c r="U49" i="95"/>
  <c r="U48" i="95"/>
  <c r="O47" i="95"/>
  <c r="E33" i="64"/>
  <c r="E324" i="64"/>
  <c r="E376" i="64"/>
  <c r="E380" i="64"/>
  <c r="E384" i="64"/>
  <c r="E388" i="64"/>
  <c r="E392" i="64"/>
  <c r="E396" i="64"/>
  <c r="E400" i="64"/>
  <c r="E404" i="64"/>
  <c r="E377" i="64"/>
  <c r="E381" i="64"/>
  <c r="E389" i="64"/>
  <c r="E393" i="64"/>
  <c r="E397" i="64"/>
  <c r="E401" i="64"/>
  <c r="E378" i="64"/>
  <c r="E382" i="64"/>
  <c r="E390" i="64"/>
  <c r="E398" i="64"/>
  <c r="E402" i="64"/>
  <c r="E379" i="64"/>
  <c r="E383" i="64"/>
  <c r="E391" i="64"/>
  <c r="E395" i="64"/>
  <c r="E399" i="64"/>
  <c r="E403" i="64"/>
  <c r="E147" i="64"/>
  <c r="E151" i="64"/>
  <c r="E155" i="64"/>
  <c r="E159" i="64"/>
  <c r="E163" i="64"/>
  <c r="E167" i="64"/>
  <c r="E171" i="64"/>
  <c r="E175" i="64"/>
  <c r="E179" i="64"/>
  <c r="E183" i="64"/>
  <c r="E187" i="64"/>
  <c r="E191" i="64"/>
  <c r="E195" i="64"/>
  <c r="E199" i="64"/>
  <c r="E203" i="64"/>
  <c r="E207" i="64"/>
  <c r="E211" i="64"/>
  <c r="E215" i="64"/>
  <c r="E219" i="64"/>
  <c r="E223" i="64"/>
  <c r="E227" i="64"/>
  <c r="E231" i="64"/>
  <c r="E235" i="64"/>
  <c r="E239" i="64"/>
  <c r="E243" i="64"/>
  <c r="E247" i="64"/>
  <c r="E251" i="64"/>
  <c r="E255" i="64"/>
  <c r="E259" i="64"/>
  <c r="E263" i="64"/>
  <c r="E267" i="64"/>
  <c r="E271" i="64"/>
  <c r="E275" i="64"/>
  <c r="E279" i="64"/>
  <c r="E283" i="64"/>
  <c r="E287" i="64"/>
  <c r="E291" i="64"/>
  <c r="E295" i="64"/>
  <c r="E299" i="64"/>
  <c r="E303" i="64"/>
  <c r="E307" i="64"/>
  <c r="E311" i="64"/>
  <c r="E315" i="64"/>
  <c r="E319" i="64"/>
  <c r="E323" i="64"/>
  <c r="E328" i="64"/>
  <c r="E332" i="64"/>
  <c r="E336" i="64"/>
  <c r="E340" i="64"/>
  <c r="E344" i="64"/>
  <c r="E348" i="64"/>
  <c r="E352" i="64"/>
  <c r="E356" i="64"/>
  <c r="E364" i="64"/>
  <c r="E368" i="64"/>
  <c r="E148" i="64"/>
  <c r="E152" i="64"/>
  <c r="E156" i="64"/>
  <c r="E160" i="64"/>
  <c r="E164" i="64"/>
  <c r="E168" i="64"/>
  <c r="E172" i="64"/>
  <c r="E176" i="64"/>
  <c r="E180" i="64"/>
  <c r="E184" i="64"/>
  <c r="E188" i="64"/>
  <c r="E192" i="64"/>
  <c r="E196" i="64"/>
  <c r="E200" i="64"/>
  <c r="E204" i="64"/>
  <c r="E208" i="64"/>
  <c r="E212" i="64"/>
  <c r="E216" i="64"/>
  <c r="E220" i="64"/>
  <c r="E224" i="64"/>
  <c r="E228" i="64"/>
  <c r="E232" i="64"/>
  <c r="E236" i="64"/>
  <c r="E240" i="64"/>
  <c r="E244" i="64"/>
  <c r="E248" i="64"/>
  <c r="E146" i="64"/>
  <c r="E154" i="64"/>
  <c r="E162" i="64"/>
  <c r="E170" i="64"/>
  <c r="E178" i="64"/>
  <c r="E186" i="64"/>
  <c r="E194" i="64"/>
  <c r="E202" i="64"/>
  <c r="E210" i="64"/>
  <c r="E218" i="64"/>
  <c r="E226" i="64"/>
  <c r="E234" i="64"/>
  <c r="E242" i="64"/>
  <c r="E250" i="64"/>
  <c r="E256" i="64"/>
  <c r="E261" i="64"/>
  <c r="E266" i="64"/>
  <c r="E272" i="64"/>
  <c r="E277" i="64"/>
  <c r="E282" i="64"/>
  <c r="E288" i="64"/>
  <c r="E293" i="64"/>
  <c r="E298" i="64"/>
  <c r="E304" i="64"/>
  <c r="E309" i="64"/>
  <c r="E314" i="64"/>
  <c r="E320" i="64"/>
  <c r="E326" i="64"/>
  <c r="E331" i="64"/>
  <c r="E337" i="64"/>
  <c r="E342" i="64"/>
  <c r="E347" i="64"/>
  <c r="E353" i="64"/>
  <c r="E358" i="64"/>
  <c r="E363" i="64"/>
  <c r="E369" i="64"/>
  <c r="E374" i="64"/>
  <c r="E149" i="64"/>
  <c r="E157" i="64"/>
  <c r="E165" i="64"/>
  <c r="E173" i="64"/>
  <c r="E181" i="64"/>
  <c r="E189" i="64"/>
  <c r="E197" i="64"/>
  <c r="E205" i="64"/>
  <c r="E213" i="64"/>
  <c r="E221" i="64"/>
  <c r="E229" i="64"/>
  <c r="E237" i="64"/>
  <c r="E245" i="64"/>
  <c r="E252" i="64"/>
  <c r="E257" i="64"/>
  <c r="E262" i="64"/>
  <c r="E268" i="64"/>
  <c r="E273" i="64"/>
  <c r="E278" i="64"/>
  <c r="E284" i="64"/>
  <c r="E289" i="64"/>
  <c r="E294" i="64"/>
  <c r="E300" i="64"/>
  <c r="E305" i="64"/>
  <c r="E310" i="64"/>
  <c r="E316" i="64"/>
  <c r="E321" i="64"/>
  <c r="E327" i="64"/>
  <c r="E333" i="64"/>
  <c r="E338" i="64"/>
  <c r="E343" i="64"/>
  <c r="E349" i="64"/>
  <c r="E354" i="64"/>
  <c r="E359" i="64"/>
  <c r="E365" i="64"/>
  <c r="E370" i="64"/>
  <c r="E150" i="64"/>
  <c r="E158" i="64"/>
  <c r="E166" i="64"/>
  <c r="E174" i="64"/>
  <c r="E182" i="64"/>
  <c r="E190" i="64"/>
  <c r="E198" i="64"/>
  <c r="E206" i="64"/>
  <c r="E214" i="64"/>
  <c r="E222" i="64"/>
  <c r="E230" i="64"/>
  <c r="E145" i="64"/>
  <c r="E177" i="64"/>
  <c r="E209" i="64"/>
  <c r="E238" i="64"/>
  <c r="E253" i="64"/>
  <c r="E264" i="64"/>
  <c r="E274" i="64"/>
  <c r="E285" i="64"/>
  <c r="E296" i="64"/>
  <c r="E306" i="64"/>
  <c r="E317" i="64"/>
  <c r="E329" i="64"/>
  <c r="E339" i="64"/>
  <c r="E350" i="64"/>
  <c r="E361" i="64"/>
  <c r="E371" i="64"/>
  <c r="E153" i="64"/>
  <c r="E185" i="64"/>
  <c r="E217" i="64"/>
  <c r="E241" i="64"/>
  <c r="E254" i="64"/>
  <c r="E265" i="64"/>
  <c r="E276" i="64"/>
  <c r="E286" i="64"/>
  <c r="E297" i="64"/>
  <c r="E308" i="64"/>
  <c r="E318" i="64"/>
  <c r="E330" i="64"/>
  <c r="E341" i="64"/>
  <c r="E351" i="64"/>
  <c r="E362" i="64"/>
  <c r="E373" i="64"/>
  <c r="E161" i="64"/>
  <c r="E193" i="64"/>
  <c r="E225" i="64"/>
  <c r="E246" i="64"/>
  <c r="E258" i="64"/>
  <c r="E269" i="64"/>
  <c r="E280" i="64"/>
  <c r="E290" i="64"/>
  <c r="E301" i="64"/>
  <c r="E312" i="64"/>
  <c r="E322" i="64"/>
  <c r="E334" i="64"/>
  <c r="E345" i="64"/>
  <c r="E355" i="64"/>
  <c r="E366" i="64"/>
  <c r="E169" i="64"/>
  <c r="E201" i="64"/>
  <c r="E233" i="64"/>
  <c r="E249" i="64"/>
  <c r="E260" i="64"/>
  <c r="E270" i="64"/>
  <c r="E281" i="64"/>
  <c r="E292" i="64"/>
  <c r="E302" i="64"/>
  <c r="E313" i="64"/>
  <c r="E325" i="64"/>
  <c r="E335" i="64"/>
  <c r="E346" i="64"/>
  <c r="E357" i="64"/>
  <c r="E367" i="64"/>
  <c r="O46" i="95"/>
  <c r="R236" i="3"/>
  <c r="E82" i="64"/>
  <c r="E104" i="64"/>
  <c r="E70" i="64"/>
  <c r="E45" i="64"/>
  <c r="E140" i="64"/>
  <c r="E18" i="64"/>
  <c r="E37" i="64"/>
  <c r="E49" i="64"/>
  <c r="E52" i="64"/>
  <c r="E105" i="64"/>
  <c r="E130" i="64"/>
  <c r="E69" i="64"/>
  <c r="E101" i="64"/>
  <c r="E25" i="64"/>
  <c r="E64" i="64"/>
  <c r="E127" i="64"/>
  <c r="E67" i="64"/>
  <c r="E47" i="64"/>
  <c r="E39" i="64"/>
  <c r="E80" i="64"/>
  <c r="E42" i="64"/>
  <c r="E86" i="64"/>
  <c r="E85" i="64"/>
  <c r="E132" i="64"/>
  <c r="E88" i="64"/>
  <c r="E114" i="64"/>
  <c r="E50" i="64"/>
  <c r="E121" i="64"/>
  <c r="E123" i="64"/>
  <c r="E95" i="64"/>
  <c r="E40" i="64"/>
  <c r="E103" i="64"/>
  <c r="E106" i="64"/>
  <c r="E26" i="64"/>
  <c r="E135" i="64"/>
  <c r="E17" i="64"/>
  <c r="E84" i="64"/>
  <c r="E115" i="64"/>
  <c r="E44" i="64"/>
  <c r="E21" i="64"/>
  <c r="E55" i="64"/>
  <c r="E87" i="64"/>
  <c r="E119" i="64"/>
  <c r="E19" i="64"/>
  <c r="E61" i="64"/>
  <c r="E93" i="64"/>
  <c r="E41" i="64"/>
  <c r="E73" i="64"/>
  <c r="E129" i="64"/>
  <c r="E81" i="64"/>
  <c r="E91" i="64"/>
  <c r="E27" i="64"/>
  <c r="E38" i="64"/>
  <c r="E66" i="64"/>
  <c r="E90" i="64"/>
  <c r="E122" i="64"/>
  <c r="E134" i="64"/>
  <c r="E102" i="64"/>
  <c r="E58" i="64"/>
  <c r="E22" i="64"/>
  <c r="E113" i="64"/>
  <c r="E92" i="64"/>
  <c r="E68" i="64"/>
  <c r="E20" i="64"/>
  <c r="E125" i="64"/>
  <c r="E72" i="64"/>
  <c r="E29" i="64"/>
  <c r="E112" i="64"/>
  <c r="E76" i="64"/>
  <c r="E23" i="64"/>
  <c r="E11" i="64"/>
  <c r="E32" i="64"/>
  <c r="E53" i="64"/>
  <c r="E75" i="64"/>
  <c r="E96" i="64"/>
  <c r="E111" i="64"/>
  <c r="E124" i="64"/>
  <c r="E139" i="64"/>
  <c r="E13" i="64"/>
  <c r="E35" i="64"/>
  <c r="E56" i="64"/>
  <c r="E77" i="64"/>
  <c r="E99" i="64"/>
  <c r="E120" i="64"/>
  <c r="E141" i="64"/>
  <c r="E15" i="64"/>
  <c r="E36" i="64"/>
  <c r="E57" i="64"/>
  <c r="E79" i="64"/>
  <c r="E137" i="64"/>
  <c r="E108" i="64"/>
  <c r="E71" i="64"/>
  <c r="E28" i="64"/>
  <c r="E128" i="64"/>
  <c r="E100" i="64"/>
  <c r="E59" i="64"/>
  <c r="E16" i="64"/>
  <c r="E14" i="64"/>
  <c r="E30" i="64"/>
  <c r="E46" i="64"/>
  <c r="E62" i="64"/>
  <c r="E78" i="64"/>
  <c r="E94" i="64"/>
  <c r="E110" i="64"/>
  <c r="E126" i="64"/>
  <c r="E138" i="64"/>
  <c r="E118" i="64"/>
  <c r="E98" i="64"/>
  <c r="E74" i="64"/>
  <c r="E54" i="64"/>
  <c r="E34" i="64"/>
  <c r="E10" i="64"/>
  <c r="E48" i="64"/>
  <c r="E107" i="64"/>
  <c r="E60" i="64"/>
  <c r="E116" i="64"/>
  <c r="E89" i="64"/>
  <c r="E63" i="64"/>
  <c r="E31" i="64"/>
  <c r="E136" i="64"/>
  <c r="E109" i="64"/>
  <c r="E83" i="64"/>
  <c r="E51" i="64"/>
  <c r="E24" i="64"/>
  <c r="E133" i="64"/>
  <c r="E117" i="64"/>
  <c r="E97" i="64"/>
  <c r="E65" i="64"/>
  <c r="E43" i="64"/>
  <c r="H236" i="3"/>
  <c r="C236" i="3" s="1"/>
  <c r="C235" i="3"/>
  <c r="K146" i="69"/>
  <c r="K149" i="69"/>
  <c r="K150" i="69" s="1"/>
  <c r="K151" i="69" s="1"/>
  <c r="K152" i="69" s="1"/>
  <c r="K153" i="69" s="1"/>
  <c r="U46" i="95"/>
  <c r="V46" i="95"/>
  <c r="U47" i="95"/>
  <c r="V47" i="95"/>
  <c r="L298" i="108"/>
  <c r="U45" i="95"/>
  <c r="C520" i="111" l="1"/>
  <c r="C464" i="111"/>
  <c r="G9" i="64"/>
  <c r="B147" i="69"/>
  <c r="G147" i="69"/>
  <c r="J147" i="69"/>
  <c r="J144" i="69"/>
  <c r="A18" i="112"/>
  <c r="A29" i="112"/>
  <c r="A41" i="112" s="1"/>
  <c r="A53" i="112" s="1"/>
  <c r="A65" i="112" s="1"/>
  <c r="A77" i="112" s="1"/>
  <c r="A89" i="112" s="1"/>
  <c r="A101" i="112" s="1"/>
  <c r="A113" i="112" s="1"/>
  <c r="A125" i="112" s="1"/>
  <c r="A137" i="112" s="1"/>
  <c r="A149" i="112" s="1"/>
  <c r="A161" i="112" s="1"/>
  <c r="A173" i="112" s="1"/>
  <c r="A185" i="112" s="1"/>
  <c r="J150" i="69"/>
  <c r="E147" i="69"/>
  <c r="G150" i="69"/>
  <c r="E150" i="69"/>
  <c r="G144" i="69"/>
  <c r="B150" i="69"/>
  <c r="B144" i="69"/>
  <c r="A14" i="38"/>
  <c r="A26" i="38" s="1"/>
  <c r="A38" i="38" s="1"/>
  <c r="A50" i="38" s="1"/>
  <c r="A62" i="38" s="1"/>
  <c r="A74" i="38" s="1"/>
  <c r="A86" i="38" s="1"/>
  <c r="A98" i="38" s="1"/>
  <c r="A110" i="38" s="1"/>
  <c r="A122" i="38" s="1"/>
  <c r="A134" i="38" s="1"/>
  <c r="A146" i="38" s="1"/>
  <c r="A158" i="38" s="1"/>
  <c r="A170" i="38" s="1"/>
  <c r="A182" i="38" s="1"/>
  <c r="A194" i="38" s="1"/>
  <c r="A206" i="38" s="1"/>
  <c r="E144" i="69"/>
  <c r="A14" i="68"/>
  <c r="A25" i="68"/>
  <c r="A37" i="68" s="1"/>
  <c r="A49" i="68" s="1"/>
  <c r="A61" i="68" s="1"/>
  <c r="A73" i="68" s="1"/>
  <c r="A85" i="68" s="1"/>
  <c r="A97" i="68" s="1"/>
  <c r="A109" i="68" s="1"/>
  <c r="A121" i="68" s="1"/>
  <c r="A133" i="68" s="1"/>
  <c r="A145" i="68" s="1"/>
  <c r="A157" i="68" s="1"/>
  <c r="A169" i="68" s="1"/>
  <c r="A181" i="68" s="1"/>
  <c r="A193" i="68" s="1"/>
  <c r="A205" i="68" s="1"/>
  <c r="A217" i="68" s="1"/>
  <c r="A229" i="68" s="1"/>
  <c r="A241" i="68" s="1"/>
  <c r="A253" i="68" s="1"/>
  <c r="A265" i="68" s="1"/>
  <c r="A277" i="68" s="1"/>
  <c r="A289" i="68" s="1"/>
  <c r="A301" i="68" s="1"/>
  <c r="A313" i="68" s="1"/>
  <c r="A325" i="68" s="1"/>
  <c r="A337" i="68" s="1"/>
  <c r="A349" i="68" s="1"/>
  <c r="A361" i="68" s="1"/>
  <c r="A373" i="68" s="1"/>
  <c r="A385" i="68" s="1"/>
  <c r="A397" i="68" s="1"/>
  <c r="A409" i="68" s="1"/>
  <c r="A421" i="68" s="1"/>
  <c r="A433" i="68" s="1"/>
  <c r="A445" i="68" s="1"/>
  <c r="A457" i="68" s="1"/>
  <c r="K144" i="69"/>
  <c r="K145" i="69" s="1"/>
  <c r="K147" i="69"/>
  <c r="C465" i="111" l="1"/>
  <c r="C521" i="111"/>
  <c r="J145" i="69"/>
  <c r="A19" i="112"/>
  <c r="A30" i="112"/>
  <c r="A42" i="112" s="1"/>
  <c r="A54" i="112" s="1"/>
  <c r="A66" i="112" s="1"/>
  <c r="A78" i="112" s="1"/>
  <c r="A90" i="112" s="1"/>
  <c r="A102" i="112" s="1"/>
  <c r="A114" i="112" s="1"/>
  <c r="A126" i="112" s="1"/>
  <c r="A138" i="112" s="1"/>
  <c r="A150" i="112" s="1"/>
  <c r="A162" i="112" s="1"/>
  <c r="A174" i="112" s="1"/>
  <c r="A186" i="112" s="1"/>
  <c r="E151" i="69"/>
  <c r="G151" i="69"/>
  <c r="E145" i="69"/>
  <c r="G145" i="69"/>
  <c r="J151" i="69"/>
  <c r="B145" i="69"/>
  <c r="B151" i="69"/>
  <c r="A15" i="38"/>
  <c r="A27" i="38" s="1"/>
  <c r="A39" i="38" s="1"/>
  <c r="A51" i="38" s="1"/>
  <c r="A63" i="38" s="1"/>
  <c r="A75" i="38" s="1"/>
  <c r="A87" i="38" s="1"/>
  <c r="A99" i="38" s="1"/>
  <c r="A111" i="38" s="1"/>
  <c r="A123" i="38" s="1"/>
  <c r="A135" i="38" s="1"/>
  <c r="A147" i="38" s="1"/>
  <c r="A159" i="38" s="1"/>
  <c r="A171" i="38" s="1"/>
  <c r="A183" i="38" s="1"/>
  <c r="A195" i="38" s="1"/>
  <c r="A207" i="38" s="1"/>
  <c r="A26" i="68"/>
  <c r="A38" i="68" s="1"/>
  <c r="A50" i="68" s="1"/>
  <c r="A62" i="68" s="1"/>
  <c r="A74" i="68" s="1"/>
  <c r="A86" i="68" s="1"/>
  <c r="A98" i="68" s="1"/>
  <c r="A110" i="68" s="1"/>
  <c r="A122" i="68" s="1"/>
  <c r="A134" i="68" s="1"/>
  <c r="A146" i="68" s="1"/>
  <c r="A158" i="68" s="1"/>
  <c r="A170" i="68" s="1"/>
  <c r="A182" i="68" s="1"/>
  <c r="A194" i="68" s="1"/>
  <c r="A206" i="68" s="1"/>
  <c r="A218" i="68" s="1"/>
  <c r="A230" i="68" s="1"/>
  <c r="A242" i="68" s="1"/>
  <c r="A254" i="68" s="1"/>
  <c r="A266" i="68" s="1"/>
  <c r="A278" i="68" s="1"/>
  <c r="A290" i="68" s="1"/>
  <c r="A302" i="68" s="1"/>
  <c r="A314" i="68" s="1"/>
  <c r="A326" i="68" s="1"/>
  <c r="A338" i="68" s="1"/>
  <c r="A350" i="68" s="1"/>
  <c r="A362" i="68" s="1"/>
  <c r="A374" i="68" s="1"/>
  <c r="A386" i="68" s="1"/>
  <c r="A398" i="68" s="1"/>
  <c r="A410" i="68" s="1"/>
  <c r="A422" i="68" s="1"/>
  <c r="A434" i="68" s="1"/>
  <c r="A446" i="68" s="1"/>
  <c r="A458" i="68" s="1"/>
  <c r="A15" i="68"/>
  <c r="C522" i="111" l="1"/>
  <c r="C466" i="111"/>
  <c r="A20" i="112"/>
  <c r="A31" i="112"/>
  <c r="A43" i="112" s="1"/>
  <c r="A55" i="112" s="1"/>
  <c r="A67" i="112" s="1"/>
  <c r="A79" i="112" s="1"/>
  <c r="A91" i="112" s="1"/>
  <c r="A103" i="112" s="1"/>
  <c r="A115" i="112" s="1"/>
  <c r="A127" i="112" s="1"/>
  <c r="A139" i="112" s="1"/>
  <c r="A151" i="112" s="1"/>
  <c r="A163" i="112" s="1"/>
  <c r="A175" i="112" s="1"/>
  <c r="A187" i="112" s="1"/>
  <c r="G152" i="69"/>
  <c r="J152" i="69"/>
  <c r="E152" i="69"/>
  <c r="B152" i="69"/>
  <c r="A16" i="38"/>
  <c r="A17" i="38" s="1"/>
  <c r="A18" i="38" s="1"/>
  <c r="A27" i="68"/>
  <c r="A39" i="68" s="1"/>
  <c r="A51" i="68" s="1"/>
  <c r="A63" i="68" s="1"/>
  <c r="A75" i="68" s="1"/>
  <c r="A87" i="68" s="1"/>
  <c r="A99" i="68" s="1"/>
  <c r="A111" i="68" s="1"/>
  <c r="A123" i="68" s="1"/>
  <c r="A135" i="68" s="1"/>
  <c r="A147" i="68" s="1"/>
  <c r="A159" i="68" s="1"/>
  <c r="A171" i="68" s="1"/>
  <c r="A183" i="68" s="1"/>
  <c r="A195" i="68" s="1"/>
  <c r="A207" i="68" s="1"/>
  <c r="A219" i="68" s="1"/>
  <c r="A231" i="68" s="1"/>
  <c r="A243" i="68" s="1"/>
  <c r="A255" i="68" s="1"/>
  <c r="A267" i="68" s="1"/>
  <c r="A279" i="68" s="1"/>
  <c r="A291" i="68" s="1"/>
  <c r="A303" i="68" s="1"/>
  <c r="A315" i="68" s="1"/>
  <c r="A327" i="68" s="1"/>
  <c r="A339" i="68" s="1"/>
  <c r="A351" i="68" s="1"/>
  <c r="A363" i="68" s="1"/>
  <c r="A375" i="68" s="1"/>
  <c r="A387" i="68" s="1"/>
  <c r="A399" i="68" s="1"/>
  <c r="A411" i="68" s="1"/>
  <c r="A423" i="68" s="1"/>
  <c r="A435" i="68" s="1"/>
  <c r="A447" i="68" s="1"/>
  <c r="A459" i="68" s="1"/>
  <c r="A16" i="68"/>
  <c r="C467" i="111" l="1"/>
  <c r="C523" i="111"/>
  <c r="A21" i="112"/>
  <c r="A33" i="112" s="1"/>
  <c r="A45" i="112" s="1"/>
  <c r="A57" i="112" s="1"/>
  <c r="A69" i="112" s="1"/>
  <c r="A81" i="112" s="1"/>
  <c r="A93" i="112" s="1"/>
  <c r="A105" i="112" s="1"/>
  <c r="A117" i="112" s="1"/>
  <c r="A129" i="112" s="1"/>
  <c r="A141" i="112" s="1"/>
  <c r="A153" i="112" s="1"/>
  <c r="A165" i="112" s="1"/>
  <c r="A177" i="112" s="1"/>
  <c r="A189" i="112" s="1"/>
  <c r="A32" i="112"/>
  <c r="A44" i="112" s="1"/>
  <c r="A56" i="112" s="1"/>
  <c r="A68" i="112" s="1"/>
  <c r="A80" i="112" s="1"/>
  <c r="A92" i="112" s="1"/>
  <c r="A104" i="112" s="1"/>
  <c r="A116" i="112" s="1"/>
  <c r="A128" i="112" s="1"/>
  <c r="A140" i="112" s="1"/>
  <c r="A152" i="112" s="1"/>
  <c r="A164" i="112" s="1"/>
  <c r="A176" i="112" s="1"/>
  <c r="A188" i="112" s="1"/>
  <c r="E153" i="69"/>
  <c r="J153" i="69"/>
  <c r="G153" i="69"/>
  <c r="B153" i="69"/>
  <c r="A28" i="38"/>
  <c r="A40" i="38" s="1"/>
  <c r="A52" i="38" s="1"/>
  <c r="A64" i="38" s="1"/>
  <c r="A76" i="38" s="1"/>
  <c r="A88" i="38" s="1"/>
  <c r="A100" i="38" s="1"/>
  <c r="A112" i="38" s="1"/>
  <c r="A124" i="38" s="1"/>
  <c r="A136" i="38" s="1"/>
  <c r="A148" i="38" s="1"/>
  <c r="A160" i="38" s="1"/>
  <c r="A172" i="38" s="1"/>
  <c r="A184" i="38" s="1"/>
  <c r="A196" i="38" s="1"/>
  <c r="A208" i="38" s="1"/>
  <c r="A29" i="38"/>
  <c r="A41" i="38" s="1"/>
  <c r="A53" i="38" s="1"/>
  <c r="A65" i="38" s="1"/>
  <c r="A77" i="38" s="1"/>
  <c r="A89" i="38" s="1"/>
  <c r="A101" i="38" s="1"/>
  <c r="A113" i="38" s="1"/>
  <c r="A125" i="38" s="1"/>
  <c r="A137" i="38" s="1"/>
  <c r="A149" i="38" s="1"/>
  <c r="A161" i="38" s="1"/>
  <c r="A173" i="38" s="1"/>
  <c r="A185" i="38" s="1"/>
  <c r="A197" i="38" s="1"/>
  <c r="A209" i="38" s="1"/>
  <c r="A28" i="68"/>
  <c r="A40" i="68" s="1"/>
  <c r="A52" i="68" s="1"/>
  <c r="A64" i="68" s="1"/>
  <c r="A76" i="68" s="1"/>
  <c r="A88" i="68" s="1"/>
  <c r="A100" i="68" s="1"/>
  <c r="A112" i="68" s="1"/>
  <c r="A124" i="68" s="1"/>
  <c r="A136" i="68" s="1"/>
  <c r="A148" i="68" s="1"/>
  <c r="A160" i="68" s="1"/>
  <c r="A172" i="68" s="1"/>
  <c r="A184" i="68" s="1"/>
  <c r="A196" i="68" s="1"/>
  <c r="A208" i="68" s="1"/>
  <c r="A220" i="68" s="1"/>
  <c r="A232" i="68" s="1"/>
  <c r="A244" i="68" s="1"/>
  <c r="A256" i="68" s="1"/>
  <c r="A268" i="68" s="1"/>
  <c r="A280" i="68" s="1"/>
  <c r="A292" i="68" s="1"/>
  <c r="A304" i="68" s="1"/>
  <c r="A316" i="68" s="1"/>
  <c r="A328" i="68" s="1"/>
  <c r="A340" i="68" s="1"/>
  <c r="A352" i="68" s="1"/>
  <c r="A364" i="68" s="1"/>
  <c r="A376" i="68" s="1"/>
  <c r="A388" i="68" s="1"/>
  <c r="A400" i="68" s="1"/>
  <c r="A412" i="68" s="1"/>
  <c r="A424" i="68" s="1"/>
  <c r="A436" i="68" s="1"/>
  <c r="A448" i="68" s="1"/>
  <c r="A460" i="68" s="1"/>
  <c r="A17" i="68"/>
  <c r="A19" i="38"/>
  <c r="A30" i="38"/>
  <c r="A42" i="38" s="1"/>
  <c r="A54" i="38" s="1"/>
  <c r="A66" i="38" s="1"/>
  <c r="A78" i="38" s="1"/>
  <c r="A90" i="38" s="1"/>
  <c r="A102" i="38" s="1"/>
  <c r="A114" i="38" s="1"/>
  <c r="A126" i="38" s="1"/>
  <c r="A138" i="38" s="1"/>
  <c r="A150" i="38" s="1"/>
  <c r="A162" i="38" s="1"/>
  <c r="A174" i="38" s="1"/>
  <c r="A186" i="38" s="1"/>
  <c r="A198" i="38" s="1"/>
  <c r="A210" i="38" s="1"/>
  <c r="C524" i="111" l="1"/>
  <c r="C468" i="111"/>
  <c r="A29" i="68"/>
  <c r="A41" i="68" s="1"/>
  <c r="A53" i="68" s="1"/>
  <c r="A65" i="68" s="1"/>
  <c r="A77" i="68" s="1"/>
  <c r="A89" i="68" s="1"/>
  <c r="A101" i="68" s="1"/>
  <c r="A113" i="68" s="1"/>
  <c r="A125" i="68" s="1"/>
  <c r="A137" i="68" s="1"/>
  <c r="A149" i="68" s="1"/>
  <c r="A161" i="68" s="1"/>
  <c r="A173" i="68" s="1"/>
  <c r="A185" i="68" s="1"/>
  <c r="A197" i="68" s="1"/>
  <c r="A209" i="68" s="1"/>
  <c r="A221" i="68" s="1"/>
  <c r="A233" i="68" s="1"/>
  <c r="A245" i="68" s="1"/>
  <c r="A257" i="68" s="1"/>
  <c r="A269" i="68" s="1"/>
  <c r="A281" i="68" s="1"/>
  <c r="A293" i="68" s="1"/>
  <c r="A305" i="68" s="1"/>
  <c r="A317" i="68" s="1"/>
  <c r="A329" i="68" s="1"/>
  <c r="A341" i="68" s="1"/>
  <c r="A353" i="68" s="1"/>
  <c r="A365" i="68" s="1"/>
  <c r="A377" i="68" s="1"/>
  <c r="A389" i="68" s="1"/>
  <c r="A401" i="68" s="1"/>
  <c r="A413" i="68" s="1"/>
  <c r="A425" i="68" s="1"/>
  <c r="A437" i="68" s="1"/>
  <c r="A449" i="68" s="1"/>
  <c r="A461" i="68" s="1"/>
  <c r="A18" i="68"/>
  <c r="A20" i="38"/>
  <c r="A31" i="38"/>
  <c r="A43" i="38" s="1"/>
  <c r="A55" i="38" s="1"/>
  <c r="A67" i="38" s="1"/>
  <c r="A79" i="38" s="1"/>
  <c r="A91" i="38" s="1"/>
  <c r="A103" i="38" s="1"/>
  <c r="A115" i="38" s="1"/>
  <c r="A127" i="38" s="1"/>
  <c r="A139" i="38" s="1"/>
  <c r="A151" i="38" s="1"/>
  <c r="A163" i="38" s="1"/>
  <c r="A175" i="38" s="1"/>
  <c r="A187" i="38" s="1"/>
  <c r="A199" i="38" s="1"/>
  <c r="A211" i="38" s="1"/>
  <c r="C469" i="111" l="1"/>
  <c r="C525" i="111"/>
  <c r="A30" i="68"/>
  <c r="A42" i="68" s="1"/>
  <c r="A54" i="68" s="1"/>
  <c r="A66" i="68" s="1"/>
  <c r="A78" i="68" s="1"/>
  <c r="A90" i="68" s="1"/>
  <c r="A102" i="68" s="1"/>
  <c r="A114" i="68" s="1"/>
  <c r="A126" i="68" s="1"/>
  <c r="A138" i="68" s="1"/>
  <c r="A150" i="68" s="1"/>
  <c r="A162" i="68" s="1"/>
  <c r="A174" i="68" s="1"/>
  <c r="A186" i="68" s="1"/>
  <c r="A198" i="68" s="1"/>
  <c r="A210" i="68" s="1"/>
  <c r="A222" i="68" s="1"/>
  <c r="A234" i="68" s="1"/>
  <c r="A246" i="68" s="1"/>
  <c r="A258" i="68" s="1"/>
  <c r="A270" i="68" s="1"/>
  <c r="A282" i="68" s="1"/>
  <c r="A294" i="68" s="1"/>
  <c r="A306" i="68" s="1"/>
  <c r="A318" i="68" s="1"/>
  <c r="A330" i="68" s="1"/>
  <c r="A342" i="68" s="1"/>
  <c r="A354" i="68" s="1"/>
  <c r="A366" i="68" s="1"/>
  <c r="A378" i="68" s="1"/>
  <c r="A390" i="68" s="1"/>
  <c r="A402" i="68" s="1"/>
  <c r="A414" i="68" s="1"/>
  <c r="A426" i="68" s="1"/>
  <c r="A438" i="68" s="1"/>
  <c r="A450" i="68" s="1"/>
  <c r="A462" i="68" s="1"/>
  <c r="A19" i="68"/>
  <c r="A21" i="38"/>
  <c r="A33" i="38" s="1"/>
  <c r="A45" i="38" s="1"/>
  <c r="A57" i="38" s="1"/>
  <c r="A69" i="38" s="1"/>
  <c r="A81" i="38" s="1"/>
  <c r="A93" i="38" s="1"/>
  <c r="A105" i="38" s="1"/>
  <c r="A117" i="38" s="1"/>
  <c r="A129" i="38" s="1"/>
  <c r="A141" i="38" s="1"/>
  <c r="A153" i="38" s="1"/>
  <c r="A165" i="38" s="1"/>
  <c r="A177" i="38" s="1"/>
  <c r="A189" i="38" s="1"/>
  <c r="A201" i="38" s="1"/>
  <c r="A213" i="38" s="1"/>
  <c r="A32" i="38"/>
  <c r="A44" i="38" s="1"/>
  <c r="A56" i="38" s="1"/>
  <c r="A68" i="38" s="1"/>
  <c r="A80" i="38" s="1"/>
  <c r="A92" i="38" s="1"/>
  <c r="A104" i="38" s="1"/>
  <c r="A116" i="38" s="1"/>
  <c r="A128" i="38" s="1"/>
  <c r="A140" i="38" s="1"/>
  <c r="A152" i="38" s="1"/>
  <c r="A164" i="38" s="1"/>
  <c r="A176" i="38" s="1"/>
  <c r="A188" i="38" s="1"/>
  <c r="A200" i="38" s="1"/>
  <c r="A212" i="38" s="1"/>
  <c r="C526" i="111" l="1"/>
  <c r="C470" i="111"/>
  <c r="A20" i="68"/>
  <c r="A31" i="68"/>
  <c r="A43" i="68" s="1"/>
  <c r="A55" i="68" s="1"/>
  <c r="A67" i="68" s="1"/>
  <c r="A79" i="68" s="1"/>
  <c r="A91" i="68" s="1"/>
  <c r="A103" i="68" s="1"/>
  <c r="A115" i="68" s="1"/>
  <c r="A127" i="68" s="1"/>
  <c r="A139" i="68" s="1"/>
  <c r="A151" i="68" s="1"/>
  <c r="A163" i="68" s="1"/>
  <c r="A175" i="68" s="1"/>
  <c r="A187" i="68" s="1"/>
  <c r="A199" i="68" s="1"/>
  <c r="A211" i="68" s="1"/>
  <c r="A223" i="68" s="1"/>
  <c r="A235" i="68" s="1"/>
  <c r="A247" i="68" s="1"/>
  <c r="A259" i="68" s="1"/>
  <c r="A271" i="68" s="1"/>
  <c r="A283" i="68" s="1"/>
  <c r="A295" i="68" s="1"/>
  <c r="A307" i="68" s="1"/>
  <c r="A319" i="68" s="1"/>
  <c r="A331" i="68" s="1"/>
  <c r="A343" i="68" s="1"/>
  <c r="A355" i="68" s="1"/>
  <c r="A367" i="68" s="1"/>
  <c r="A379" i="68" s="1"/>
  <c r="A391" i="68" s="1"/>
  <c r="A403" i="68" s="1"/>
  <c r="A415" i="68" s="1"/>
  <c r="A427" i="68" s="1"/>
  <c r="A439" i="68" s="1"/>
  <c r="A451" i="68" s="1"/>
  <c r="A463" i="68" s="1"/>
  <c r="C471" i="111" l="1"/>
  <c r="C527" i="111"/>
  <c r="A21" i="68"/>
  <c r="A33" i="68" s="1"/>
  <c r="A45" i="68" s="1"/>
  <c r="A57" i="68" s="1"/>
  <c r="A69" i="68" s="1"/>
  <c r="A81" i="68" s="1"/>
  <c r="A93" i="68" s="1"/>
  <c r="A105" i="68" s="1"/>
  <c r="A117" i="68" s="1"/>
  <c r="A129" i="68" s="1"/>
  <c r="A141" i="68" s="1"/>
  <c r="A153" i="68" s="1"/>
  <c r="A165" i="68" s="1"/>
  <c r="A177" i="68" s="1"/>
  <c r="A189" i="68" s="1"/>
  <c r="A201" i="68" s="1"/>
  <c r="A213" i="68" s="1"/>
  <c r="A225" i="68" s="1"/>
  <c r="A237" i="68" s="1"/>
  <c r="A249" i="68" s="1"/>
  <c r="A261" i="68" s="1"/>
  <c r="A273" i="68" s="1"/>
  <c r="A285" i="68" s="1"/>
  <c r="A297" i="68" s="1"/>
  <c r="A309" i="68" s="1"/>
  <c r="A321" i="68" s="1"/>
  <c r="A333" i="68" s="1"/>
  <c r="A345" i="68" s="1"/>
  <c r="A357" i="68" s="1"/>
  <c r="A369" i="68" s="1"/>
  <c r="A381" i="68" s="1"/>
  <c r="A393" i="68" s="1"/>
  <c r="A405" i="68" s="1"/>
  <c r="A417" i="68" s="1"/>
  <c r="A429" i="68" s="1"/>
  <c r="A441" i="68" s="1"/>
  <c r="A453" i="68" s="1"/>
  <c r="A465" i="68" s="1"/>
  <c r="A32" i="68"/>
  <c r="A44" i="68" s="1"/>
  <c r="A56" i="68" s="1"/>
  <c r="A68" i="68" s="1"/>
  <c r="A80" i="68" s="1"/>
  <c r="A92" i="68" s="1"/>
  <c r="A104" i="68" s="1"/>
  <c r="A116" i="68" s="1"/>
  <c r="A128" i="68" s="1"/>
  <c r="A140" i="68" s="1"/>
  <c r="A152" i="68" s="1"/>
  <c r="A164" i="68" s="1"/>
  <c r="A176" i="68" s="1"/>
  <c r="A188" i="68" s="1"/>
  <c r="A200" i="68" s="1"/>
  <c r="A212" i="68" s="1"/>
  <c r="A224" i="68" s="1"/>
  <c r="A236" i="68" s="1"/>
  <c r="A248" i="68" s="1"/>
  <c r="A260" i="68" s="1"/>
  <c r="A272" i="68" s="1"/>
  <c r="A284" i="68" s="1"/>
  <c r="A296" i="68" s="1"/>
  <c r="A308" i="68" s="1"/>
  <c r="A320" i="68" s="1"/>
  <c r="A332" i="68" s="1"/>
  <c r="A344" i="68" s="1"/>
  <c r="A356" i="68" s="1"/>
  <c r="A368" i="68" s="1"/>
  <c r="A380" i="68" s="1"/>
  <c r="A392" i="68" s="1"/>
  <c r="A404" i="68" s="1"/>
  <c r="A416" i="68" s="1"/>
  <c r="A428" i="68" s="1"/>
  <c r="A440" i="68" s="1"/>
  <c r="A452" i="68" s="1"/>
  <c r="A464" i="68" s="1"/>
  <c r="C472" i="111" l="1"/>
  <c r="C528" i="111"/>
  <c r="C529" i="111" l="1"/>
  <c r="C473" i="111"/>
  <c r="C530" i="111" l="1"/>
  <c r="C474" i="111"/>
  <c r="C475" i="111" l="1"/>
  <c r="C531" i="111"/>
  <c r="C532" i="111" l="1"/>
  <c r="C476" i="111"/>
  <c r="C477" i="111" l="1"/>
  <c r="C533" i="111"/>
  <c r="C534" i="111" l="1"/>
  <c r="C478" i="111"/>
  <c r="C479" i="111" l="1"/>
  <c r="C535" i="111"/>
  <c r="C480" i="111" l="1"/>
  <c r="C536" i="111"/>
  <c r="C537" i="111" l="1"/>
  <c r="C481" i="111"/>
  <c r="C482" i="111" l="1"/>
  <c r="C538" i="111"/>
  <c r="C483" i="111" l="1"/>
  <c r="C539" i="111"/>
  <c r="C540" i="111" l="1"/>
  <c r="C484" i="111"/>
  <c r="C485" i="111" l="1"/>
  <c r="C541" i="111"/>
  <c r="C486" i="111" l="1"/>
  <c r="C542" i="111"/>
  <c r="C543" i="111" l="1"/>
  <c r="C487" i="111"/>
  <c r="C544" i="111" l="1"/>
  <c r="C488" i="111"/>
  <c r="C489" i="111" l="1"/>
  <c r="C545" i="111"/>
  <c r="C490" i="111" l="1"/>
  <c r="C546" i="111"/>
  <c r="C547" i="111" l="1"/>
  <c r="C491" i="111"/>
  <c r="C548" i="111" l="1"/>
  <c r="C492" i="111"/>
  <c r="C493" i="111" l="1"/>
  <c r="C549" i="111"/>
  <c r="C494" i="111" l="1"/>
  <c r="C550" i="111"/>
  <c r="C551" i="111" l="1"/>
  <c r="C495" i="111"/>
  <c r="C496" i="111" l="1"/>
  <c r="C552" i="111"/>
  <c r="C553" i="111" l="1"/>
  <c r="C497" i="111"/>
  <c r="C554" i="111" l="1"/>
  <c r="C498" i="111"/>
  <c r="C499" i="111" l="1"/>
  <c r="C555" i="111"/>
  <c r="C500" i="111" l="1"/>
  <c r="C556" i="111"/>
  <c r="C557" i="111" l="1"/>
  <c r="C501" i="111"/>
  <c r="C558" i="111" l="1"/>
  <c r="C502" i="111"/>
  <c r="C503" i="111" l="1"/>
  <c r="C559" i="111"/>
  <c r="C560" i="111" l="1"/>
  <c r="C504" i="111"/>
  <c r="C505" i="111" l="1"/>
  <c r="C561" i="111"/>
  <c r="C562" i="111" l="1"/>
  <c r="C506" i="111"/>
  <c r="C507" i="111" l="1"/>
  <c r="C563" i="111"/>
  <c r="C564" i="111" l="1"/>
  <c r="C508" i="111"/>
  <c r="C565" i="111" l="1"/>
  <c r="C509" i="111"/>
  <c r="C566" i="111" l="1"/>
  <c r="C510" i="111"/>
  <c r="C511" i="111" l="1"/>
  <c r="C567" i="111"/>
  <c r="C512" i="111" l="1"/>
  <c r="C568" i="111"/>
  <c r="C569" i="111" l="1"/>
  <c r="C570" i="111" l="1"/>
  <c r="C571" i="111" l="1"/>
  <c r="C572" i="111" l="1"/>
  <c r="C573" i="111" l="1"/>
  <c r="C574" i="111" l="1"/>
  <c r="C575" i="111" l="1"/>
  <c r="C576" i="111" l="1"/>
  <c r="C577" i="111" l="1"/>
  <c r="C578" i="111" l="1"/>
  <c r="C579" i="111" l="1"/>
  <c r="C580" i="111" l="1"/>
  <c r="C581" i="111" l="1"/>
  <c r="C582" i="111" l="1"/>
  <c r="C583" i="111" l="1"/>
  <c r="C584" i="111" l="1"/>
  <c r="C585" i="111" l="1"/>
  <c r="C586" i="111" l="1"/>
  <c r="C587" i="111" l="1"/>
  <c r="C588" i="111" l="1"/>
  <c r="C589" i="111" l="1"/>
  <c r="C590" i="111" l="1"/>
  <c r="C591" i="111" l="1"/>
  <c r="C592" i="111" l="1"/>
  <c r="C593" i="111" l="1"/>
  <c r="C594" i="111" l="1"/>
  <c r="C595" i="111" l="1"/>
  <c r="C596" i="111" l="1"/>
  <c r="C597" i="1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ces11</author>
  </authors>
  <commentList>
    <comment ref="C9" authorId="0" shapeId="0" xr:uid="{00000000-0006-0000-0400-000001000000}">
      <text>
        <r>
          <rPr>
            <sz val="8"/>
            <color indexed="81"/>
            <rFont val="Tahoma"/>
            <family val="2"/>
          </rPr>
          <t>Los datos desde 2003.12 a 1993.01 se estiman con las tasas de cambio del indicador base 1993=100.</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Pedro Pablo Cohan</author>
    <author>Valentin Corvalan Erbes</author>
    <author>Francisco Leiva</author>
  </authors>
  <commentList>
    <comment ref="B6" authorId="0" shapeId="0" xr:uid="{C33A07C8-50BC-495B-823B-65B53C9DA47D}">
      <text>
        <r>
          <rPr>
            <u/>
            <sz val="9"/>
            <color indexed="81"/>
            <rFont val="Tahoma"/>
            <family val="2"/>
          </rPr>
          <t>Estructura microdatos</t>
        </r>
        <r>
          <rPr>
            <sz val="9"/>
            <color indexed="81"/>
            <rFont val="Tahoma"/>
            <family val="2"/>
          </rPr>
          <t>:
ESTADO = "1" &amp; PP04A = "1"</t>
        </r>
      </text>
    </comment>
    <comment ref="C6" authorId="1" shapeId="0" xr:uid="{5846BBFF-B7C0-4DDA-A8D4-61F3306692C9}">
      <text>
        <r>
          <rPr>
            <sz val="9"/>
            <color indexed="81"/>
            <rFont val="Tahoma"/>
            <family val="2"/>
          </rPr>
          <t xml:space="preserve">Suma de patrones formales, cuentapropistas formales y asalariados formales.
</t>
        </r>
      </text>
    </comment>
    <comment ref="D6" authorId="1" shapeId="0" xr:uid="{1E32638C-E974-46EC-9E67-37796AD57726}">
      <text>
        <r>
          <rPr>
            <u/>
            <sz val="9"/>
            <color indexed="81"/>
            <rFont val="Tahoma"/>
            <family val="2"/>
          </rPr>
          <t>Estructura microdato</t>
        </r>
        <r>
          <rPr>
            <sz val="9"/>
            <color indexed="81"/>
            <rFont val="Tahoma"/>
            <family val="2"/>
          </rPr>
          <t xml:space="preserve">s:
ESTADO = "1" &amp; PP04A = "2" &amp;
CAT_OCUP = "1" &amp; PP06E = "1"
</t>
        </r>
      </text>
    </comment>
    <comment ref="E6" authorId="1" shapeId="0" xr:uid="{340112E3-B8B6-4330-80ED-A42BA91BD153}">
      <text>
        <r>
          <rPr>
            <u/>
            <sz val="9"/>
            <color indexed="81"/>
            <rFont val="Tahoma"/>
            <family val="2"/>
          </rPr>
          <t>Estructura microdatos</t>
        </r>
        <r>
          <rPr>
            <sz val="9"/>
            <color indexed="81"/>
            <rFont val="Tahoma"/>
            <family val="2"/>
          </rPr>
          <t xml:space="preserve">:
ESTADO = "1" &amp;  PP04A = "2" &amp;
CAT_OCUP = "2" &amp; CH08 = (1+2+3)
</t>
        </r>
      </text>
    </comment>
    <comment ref="F6" authorId="1" shapeId="0" xr:uid="{0392DFD2-5693-4B5A-BD56-4AE06D8B86A0}">
      <text>
        <r>
          <rPr>
            <u/>
            <sz val="9"/>
            <color indexed="81"/>
            <rFont val="Tahoma"/>
            <family val="2"/>
          </rPr>
          <t>Estructura microdatos</t>
        </r>
        <r>
          <rPr>
            <sz val="9"/>
            <color indexed="81"/>
            <rFont val="Tahoma"/>
            <family val="2"/>
          </rPr>
          <t>:
ESTADO = "1" &amp; PP04A = "2" &amp; CAT_OCUP = "3" &amp; PP07H = "1"</t>
        </r>
      </text>
    </comment>
    <comment ref="G6" authorId="1" shapeId="0" xr:uid="{75DDE587-6041-474D-866D-44E723CE91FF}">
      <text>
        <r>
          <rPr>
            <sz val="9"/>
            <color indexed="81"/>
            <rFont val="Tahoma"/>
            <family val="2"/>
          </rPr>
          <t>Suma de patrones informales, cuentapropistas informales, asalariados informales y trabajadores familiares sin remuneración</t>
        </r>
      </text>
    </comment>
    <comment ref="H6" authorId="1" shapeId="0" xr:uid="{27AE0B9E-26FD-49C9-9AD6-04443605F4C1}">
      <text>
        <r>
          <rPr>
            <u/>
            <sz val="9"/>
            <color indexed="81"/>
            <rFont val="Tahoma"/>
            <family val="2"/>
          </rPr>
          <t>Estructura microdatos</t>
        </r>
        <r>
          <rPr>
            <sz val="9"/>
            <color indexed="81"/>
            <rFont val="Tahoma"/>
            <family val="2"/>
          </rPr>
          <t xml:space="preserve">:
ESTADO = "1" &amp;  PP04A = "2" &amp; 
CAT_OCUP = "1" &amp; PP06E = (2+3) &amp;
PP06H = (1+2)
</t>
        </r>
      </text>
    </comment>
    <comment ref="I6" authorId="1" shapeId="0" xr:uid="{628EB866-C0B1-4793-B799-81F171D28994}">
      <text>
        <r>
          <rPr>
            <u/>
            <sz val="9"/>
            <color indexed="81"/>
            <rFont val="Tahoma"/>
            <family val="2"/>
          </rPr>
          <t>Estructura microdatos</t>
        </r>
        <r>
          <rPr>
            <sz val="9"/>
            <color indexed="81"/>
            <rFont val="Tahoma"/>
            <family val="2"/>
          </rPr>
          <t xml:space="preserve">:
ESTADO = "1" &amp; PP04A = "2" &amp;
CAT_OCUP = "2" &amp; CH08 = "4"
</t>
        </r>
      </text>
    </comment>
    <comment ref="J6" authorId="1" shapeId="0" xr:uid="{FF44D009-88B2-40CB-9980-91F72BDE01FB}">
      <text>
        <r>
          <rPr>
            <u/>
            <sz val="9"/>
            <color indexed="81"/>
            <rFont val="Tahoma"/>
            <family val="2"/>
          </rPr>
          <t>Estructura microdatos</t>
        </r>
        <r>
          <rPr>
            <sz val="9"/>
            <color indexed="81"/>
            <rFont val="Tahoma"/>
            <family val="2"/>
          </rPr>
          <t xml:space="preserve">:
ESTADO = "1" &amp;  PP04A = "2" &amp; CAT_OCUP = "3" &amp; PP07H = "2"
</t>
        </r>
      </text>
    </comment>
    <comment ref="K6" authorId="1" shapeId="0" xr:uid="{612BE4BC-C3D4-486B-BC47-D8EB99635A2A}">
      <text>
        <r>
          <rPr>
            <u/>
            <sz val="9"/>
            <color indexed="81"/>
            <rFont val="Tahoma"/>
            <family val="2"/>
          </rPr>
          <t>Estructura microdatos</t>
        </r>
        <r>
          <rPr>
            <sz val="9"/>
            <color indexed="81"/>
            <rFont val="Tahoma"/>
            <family val="2"/>
          </rPr>
          <t xml:space="preserve">:
ESTADO = "1" &amp;  PP04A = "2" &amp; CAT_OCUP = "4" 
</t>
        </r>
      </text>
    </comment>
    <comment ref="L6" authorId="0" shapeId="0" xr:uid="{AA3ACAA3-E8F6-4E20-BFD1-9E208BCBCDC1}">
      <text>
        <r>
          <rPr>
            <u/>
            <sz val="9"/>
            <color indexed="81"/>
            <rFont val="Tahoma"/>
            <family val="2"/>
          </rPr>
          <t>Estructura microdatos</t>
        </r>
        <r>
          <rPr>
            <sz val="9"/>
            <color indexed="81"/>
            <rFont val="Tahoma"/>
            <family val="2"/>
          </rPr>
          <t>:
PP04A = "3" o CAT_OCUP = "9"</t>
        </r>
      </text>
    </comment>
    <comment ref="M6" authorId="0" shapeId="0" xr:uid="{6CD54ABB-8E8A-43C7-A9B1-0FBBECA32B7C}">
      <text>
        <r>
          <rPr>
            <sz val="9"/>
            <color indexed="81"/>
            <rFont val="Tahoma"/>
            <family val="2"/>
          </rPr>
          <t>Ocupados publicados en reportes EPH - (filtrado de microdatos: públicos, privados y otros)</t>
        </r>
      </text>
    </comment>
    <comment ref="N6" authorId="0" shapeId="0" xr:uid="{0B3786FA-C09E-408F-8279-1989200C1D77}">
      <text>
        <r>
          <rPr>
            <u/>
            <sz val="9"/>
            <color indexed="81"/>
            <rFont val="Tahoma"/>
            <family val="2"/>
          </rPr>
          <t>Estructura microdatos</t>
        </r>
        <r>
          <rPr>
            <sz val="9"/>
            <color indexed="81"/>
            <rFont val="Tahoma"/>
            <family val="2"/>
          </rPr>
          <t>:
ESTADO = "1" &amp; PP04A = "1"</t>
        </r>
      </text>
    </comment>
    <comment ref="O6" authorId="1" shapeId="0" xr:uid="{77266333-46D0-47CF-94D7-848703363428}">
      <text>
        <r>
          <rPr>
            <sz val="9"/>
            <color indexed="81"/>
            <rFont val="Tahoma"/>
            <family val="2"/>
          </rPr>
          <t xml:space="preserve">Suma de patrones formales, cuentapropistas formales y asalariados formales.
</t>
        </r>
      </text>
    </comment>
    <comment ref="P6" authorId="1" shapeId="0" xr:uid="{9CB16768-C029-4102-9E5C-14875031A761}">
      <text>
        <r>
          <rPr>
            <u/>
            <sz val="9"/>
            <color indexed="81"/>
            <rFont val="Tahoma"/>
            <family val="2"/>
          </rPr>
          <t>Estructura microdatos</t>
        </r>
        <r>
          <rPr>
            <sz val="9"/>
            <color indexed="81"/>
            <rFont val="Tahoma"/>
            <family val="2"/>
          </rPr>
          <t xml:space="preserve">:
ESTADO = "1" &amp; PP04A = "2" &amp;
CAT_OCUP = "1" &amp; PP06E = "1"
</t>
        </r>
      </text>
    </comment>
    <comment ref="Q6" authorId="1" shapeId="0" xr:uid="{2DB8E2E5-B962-4E48-BC2D-2DF4ABAC0535}">
      <text>
        <r>
          <rPr>
            <u/>
            <sz val="9"/>
            <color indexed="81"/>
            <rFont val="Tahoma"/>
            <family val="2"/>
          </rPr>
          <t>Estructura microdatos</t>
        </r>
        <r>
          <rPr>
            <sz val="9"/>
            <color indexed="81"/>
            <rFont val="Tahoma"/>
            <family val="2"/>
          </rPr>
          <t xml:space="preserve">:
ESTADO = "1" &amp; PP04A = "2" &amp;
CAT_OCUP = "2" &amp; CH08 = (1+2+3)
</t>
        </r>
      </text>
    </comment>
    <comment ref="R6" authorId="1" shapeId="0" xr:uid="{6ABCDA29-DDFD-4CA0-B26D-6A32FFCDBCCC}">
      <text>
        <r>
          <rPr>
            <u/>
            <sz val="9"/>
            <color indexed="81"/>
            <rFont val="Tahoma"/>
            <family val="2"/>
          </rPr>
          <t>Estructura microdatos</t>
        </r>
        <r>
          <rPr>
            <sz val="9"/>
            <color indexed="81"/>
            <rFont val="Tahoma"/>
            <family val="2"/>
          </rPr>
          <t xml:space="preserve">:
ESTADO = "1" &amp; PP04A = "2" &amp; 
CAT_OCUP = "3" &amp; PP07H = "1"
</t>
        </r>
      </text>
    </comment>
    <comment ref="S6" authorId="1" shapeId="0" xr:uid="{EEDE9F26-C137-4B9B-9C48-9E95A961D7EB}">
      <text>
        <r>
          <rPr>
            <sz val="9"/>
            <color indexed="81"/>
            <rFont val="Tahoma"/>
            <family val="2"/>
          </rPr>
          <t>Suma de patrones informales, cuentapropistas informales, asalariados informales y trabajadores familiares sin remuneración</t>
        </r>
      </text>
    </comment>
    <comment ref="T6" authorId="1" shapeId="0" xr:uid="{945DA872-22A2-4621-A4CE-7960C1BB45FA}">
      <text>
        <r>
          <rPr>
            <u/>
            <sz val="9"/>
            <color indexed="81"/>
            <rFont val="Tahoma"/>
            <family val="2"/>
          </rPr>
          <t>Estructura microdatos</t>
        </r>
        <r>
          <rPr>
            <sz val="9"/>
            <color indexed="81"/>
            <rFont val="Tahoma"/>
            <family val="2"/>
          </rPr>
          <t xml:space="preserve">:
ESTADO = "1" &amp;  PP04A = "2" &amp; 
CAT_OCUP = "1" &amp; PP06E = (2+3) &amp;
PP06H = (1+2)
</t>
        </r>
      </text>
    </comment>
    <comment ref="U6" authorId="1" shapeId="0" xr:uid="{652ED537-CA43-4184-8EEA-BC105177416C}">
      <text>
        <r>
          <rPr>
            <u/>
            <sz val="9"/>
            <color indexed="81"/>
            <rFont val="Tahoma"/>
            <family val="2"/>
          </rPr>
          <t>Estructura microdatos</t>
        </r>
        <r>
          <rPr>
            <sz val="9"/>
            <color indexed="81"/>
            <rFont val="Tahoma"/>
            <family val="2"/>
          </rPr>
          <t xml:space="preserve">:
PP04A = "2" &amp; CAT_OCUP = "2" &amp;
CH08 = "4"
</t>
        </r>
      </text>
    </comment>
    <comment ref="V6" authorId="1" shapeId="0" xr:uid="{1E34DF15-65A4-43A3-AC4A-282C7124E21C}">
      <text>
        <r>
          <rPr>
            <u/>
            <sz val="9"/>
            <color indexed="81"/>
            <rFont val="Tahoma"/>
            <family val="2"/>
          </rPr>
          <t>Estructura microdatos</t>
        </r>
        <r>
          <rPr>
            <sz val="9"/>
            <color indexed="81"/>
            <rFont val="Tahoma"/>
            <family val="2"/>
          </rPr>
          <t xml:space="preserve">:
ESTADO = "1" &amp; PP04A = "2" &amp;
CAT_OCUP = "3" &amp; PP07H = "2"
</t>
        </r>
      </text>
    </comment>
    <comment ref="W6" authorId="1" shapeId="0" xr:uid="{000D5B7C-CE2A-4B50-A936-EA4E19447889}">
      <text>
        <r>
          <rPr>
            <u/>
            <sz val="9"/>
            <color indexed="81"/>
            <rFont val="Tahoma"/>
            <family val="2"/>
          </rPr>
          <t>Estructura microdatos</t>
        </r>
        <r>
          <rPr>
            <sz val="9"/>
            <color indexed="81"/>
            <rFont val="Tahoma"/>
            <family val="2"/>
          </rPr>
          <t xml:space="preserve">:
ESTADO = "1" &amp;  PP04A = "2" &amp;
CAT_OCUP = "4" 
</t>
        </r>
      </text>
    </comment>
    <comment ref="X6" authorId="0" shapeId="0" xr:uid="{F0478FDB-D7BF-4C58-BE7C-E7D77E903BF1}">
      <text>
        <r>
          <rPr>
            <u/>
            <sz val="9"/>
            <color indexed="81"/>
            <rFont val="Tahoma"/>
            <family val="2"/>
          </rPr>
          <t>Estructura microdatos</t>
        </r>
        <r>
          <rPr>
            <sz val="9"/>
            <color indexed="81"/>
            <rFont val="Tahoma"/>
            <family val="2"/>
          </rPr>
          <t>:
PP04A = "3" o CAT_OCUP = "9"</t>
        </r>
      </text>
    </comment>
    <comment ref="Y6" authorId="0" shapeId="0" xr:uid="{F59ECC67-9929-462F-A3D1-87B28F0AFD91}">
      <text>
        <r>
          <rPr>
            <sz val="9"/>
            <color indexed="81"/>
            <rFont val="Tahoma"/>
            <family val="2"/>
          </rPr>
          <t>Ocupados publicados en reportes EPH - (filtrado de microdatos: públicos, privados y otros)</t>
        </r>
      </text>
    </comment>
    <comment ref="Z6" authorId="0" shapeId="0" xr:uid="{D2FBF34E-1D79-4C1F-8F58-069B813DE856}">
      <text>
        <r>
          <rPr>
            <u/>
            <sz val="9"/>
            <color indexed="81"/>
            <rFont val="Tahoma"/>
            <family val="2"/>
          </rPr>
          <t>Estructura microdatos</t>
        </r>
        <r>
          <rPr>
            <sz val="9"/>
            <color indexed="81"/>
            <rFont val="Tahoma"/>
            <family val="2"/>
          </rPr>
          <t>:
ESTADO = "1" &amp; PP04A = "1"</t>
        </r>
      </text>
    </comment>
    <comment ref="AA6" authorId="1" shapeId="0" xr:uid="{E7FFDC08-CEAE-4680-A7B4-8BAEA9FFBAE3}">
      <text>
        <r>
          <rPr>
            <sz val="9"/>
            <color indexed="81"/>
            <rFont val="Tahoma"/>
            <family val="2"/>
          </rPr>
          <t xml:space="preserve">Suma de patrones formales, cuentapropistas formales y asalariados formales.
</t>
        </r>
      </text>
    </comment>
    <comment ref="AB6" authorId="1" shapeId="0" xr:uid="{5037FE98-3FE9-4639-9E22-D8907181E4D4}">
      <text>
        <r>
          <rPr>
            <u/>
            <sz val="9"/>
            <color indexed="81"/>
            <rFont val="Tahoma"/>
            <family val="2"/>
          </rPr>
          <t>Estructura microdatos</t>
        </r>
        <r>
          <rPr>
            <sz val="9"/>
            <color indexed="81"/>
            <rFont val="Tahoma"/>
            <family val="2"/>
          </rPr>
          <t xml:space="preserve">:
ESTADO = "1" &amp; PP04A = "2" &amp;
CAT_OCUP = "1" &amp; PP06E = "1"
</t>
        </r>
      </text>
    </comment>
    <comment ref="AC6" authorId="1" shapeId="0" xr:uid="{4111184E-EAB2-4A5D-B87A-288638839FAA}">
      <text>
        <r>
          <rPr>
            <u/>
            <sz val="9"/>
            <color indexed="81"/>
            <rFont val="Tahoma"/>
            <family val="2"/>
          </rPr>
          <t>Estructura microdatos</t>
        </r>
        <r>
          <rPr>
            <sz val="9"/>
            <color indexed="81"/>
            <rFont val="Tahoma"/>
            <family val="2"/>
          </rPr>
          <t xml:space="preserve">:
ESTADO = "1" &amp; PP04A = "2" &amp;
CAT_OCUP = "2" &amp; CH08 = (1+2+3)
</t>
        </r>
      </text>
    </comment>
    <comment ref="AD6" authorId="1" shapeId="0" xr:uid="{E20E3C93-26DA-4C7E-8A97-E48F3BA6268F}">
      <text>
        <r>
          <rPr>
            <u/>
            <sz val="9"/>
            <color indexed="81"/>
            <rFont val="Tahoma"/>
            <family val="2"/>
          </rPr>
          <t>Estructura microdatos</t>
        </r>
        <r>
          <rPr>
            <sz val="9"/>
            <color indexed="81"/>
            <rFont val="Tahoma"/>
            <family val="2"/>
          </rPr>
          <t xml:space="preserve">:
ESTADO = "1" &amp; PP04A = "2" &amp; 
CAT_OCUP = "3" &amp; PP07H = "1"
</t>
        </r>
      </text>
    </comment>
    <comment ref="AE6" authorId="1" shapeId="0" xr:uid="{BABF4F08-4B8B-4C61-AF25-2F86F6130D43}">
      <text>
        <r>
          <rPr>
            <sz val="9"/>
            <color indexed="81"/>
            <rFont val="Tahoma"/>
            <family val="2"/>
          </rPr>
          <t>Suma de patrones informales, cuentapropistas informales, asalariados informales y trabajadores familiares sin remuneración</t>
        </r>
      </text>
    </comment>
    <comment ref="AF6" authorId="1" shapeId="0" xr:uid="{73BDCCCA-24E6-4F66-A24D-713938DE4B07}">
      <text>
        <r>
          <rPr>
            <u/>
            <sz val="9"/>
            <color indexed="81"/>
            <rFont val="Tahoma"/>
            <family val="2"/>
          </rPr>
          <t>Estructura microdatos</t>
        </r>
        <r>
          <rPr>
            <sz val="9"/>
            <color indexed="81"/>
            <rFont val="Tahoma"/>
            <family val="2"/>
          </rPr>
          <t xml:space="preserve">:
ESTADO = "1" &amp;  PP04A = "2" &amp; 
CAT_OCUP = "1" &amp; PP06E = (2+3) &amp;
PP06H = (1+2)
</t>
        </r>
      </text>
    </comment>
    <comment ref="AG6" authorId="1" shapeId="0" xr:uid="{500C6348-661D-41FF-BEE5-1ABC31559BAC}">
      <text>
        <r>
          <rPr>
            <u/>
            <sz val="9"/>
            <color indexed="81"/>
            <rFont val="Tahoma"/>
            <family val="2"/>
          </rPr>
          <t>Estructura microdatos</t>
        </r>
        <r>
          <rPr>
            <sz val="9"/>
            <color indexed="81"/>
            <rFont val="Tahoma"/>
            <family val="2"/>
          </rPr>
          <t xml:space="preserve">:
PP04A = "2" &amp; CAT_OCUP = "2" &amp;
CH08 = "4"
</t>
        </r>
      </text>
    </comment>
    <comment ref="AH6" authorId="1" shapeId="0" xr:uid="{F5659ADC-4865-4A2A-ADFD-84893226D091}">
      <text>
        <r>
          <rPr>
            <u/>
            <sz val="9"/>
            <color indexed="81"/>
            <rFont val="Tahoma"/>
            <family val="2"/>
          </rPr>
          <t>Estructura microdatos</t>
        </r>
        <r>
          <rPr>
            <sz val="9"/>
            <color indexed="81"/>
            <rFont val="Tahoma"/>
            <family val="2"/>
          </rPr>
          <t xml:space="preserve">:
ESTADO = "1" &amp; PP04A = "2" &amp;
CAT_OCUP = "3" &amp; PP07H = "2"
</t>
        </r>
      </text>
    </comment>
    <comment ref="AI6" authorId="1" shapeId="0" xr:uid="{28596F82-E90D-4A09-99D0-4627949DD16A}">
      <text>
        <r>
          <rPr>
            <u/>
            <sz val="9"/>
            <color indexed="81"/>
            <rFont val="Tahoma"/>
            <family val="2"/>
          </rPr>
          <t>Estructura microdatos</t>
        </r>
        <r>
          <rPr>
            <sz val="9"/>
            <color indexed="81"/>
            <rFont val="Tahoma"/>
            <family val="2"/>
          </rPr>
          <t xml:space="preserve">:
ESTADO = "1" &amp;  PP04A = "2" &amp;
CAT_OCUP = "4" 
</t>
        </r>
      </text>
    </comment>
    <comment ref="AJ6" authorId="0" shapeId="0" xr:uid="{CFD43BD2-B760-4579-9A1C-F3C6753FF99A}">
      <text>
        <r>
          <rPr>
            <u/>
            <sz val="9"/>
            <color indexed="81"/>
            <rFont val="Tahoma"/>
            <family val="2"/>
          </rPr>
          <t>Estructura microdatos</t>
        </r>
        <r>
          <rPr>
            <sz val="9"/>
            <color indexed="81"/>
            <rFont val="Tahoma"/>
            <family val="2"/>
          </rPr>
          <t>:
PP04A = "3" o CAT_OCUP = "9"</t>
        </r>
      </text>
    </comment>
    <comment ref="AK6" authorId="0" shapeId="0" xr:uid="{63BD3060-723E-4679-A2F8-457D0BE6E4F6}">
      <text>
        <r>
          <rPr>
            <sz val="9"/>
            <color indexed="81"/>
            <rFont val="Tahoma"/>
            <family val="2"/>
          </rPr>
          <t>Ocupados publicados en reportes EPH - (filtrado de microdatos: públicos, privados y otros)</t>
        </r>
      </text>
    </comment>
    <comment ref="A24" authorId="2" shapeId="0" xr:uid="{E2E2902A-1888-4B63-B87E-7696EED65712}">
      <text>
        <r>
          <rPr>
            <b/>
            <sz val="9"/>
            <color indexed="81"/>
            <rFont val="Tahoma"/>
            <family val="2"/>
          </rPr>
          <t>No hay registro de EPH para el período</t>
        </r>
      </text>
    </comment>
    <comment ref="A56" authorId="2" shapeId="0" xr:uid="{6AFB9710-07CC-4568-8DF5-AD2B967C4F2A}">
      <text>
        <r>
          <rPr>
            <b/>
            <sz val="9"/>
            <color indexed="81"/>
            <rFont val="Tahoma"/>
            <family val="2"/>
          </rPr>
          <t>No hay registro de EPH para el período</t>
        </r>
      </text>
    </comment>
    <comment ref="A57" authorId="2" shapeId="0" xr:uid="{83B2525B-3B4C-4686-B839-E7B11BE3C98D}">
      <text>
        <r>
          <rPr>
            <b/>
            <sz val="9"/>
            <color indexed="81"/>
            <rFont val="Tahoma"/>
            <family val="2"/>
          </rPr>
          <t>No hay registro de EPH para el período</t>
        </r>
      </text>
    </comment>
    <comment ref="A58" authorId="2" shapeId="0" xr:uid="{C1ECE733-14F9-4DBD-8D6A-2C2C44A85628}">
      <text>
        <r>
          <rPr>
            <b/>
            <sz val="9"/>
            <color indexed="81"/>
            <rFont val="Tahoma"/>
            <family val="2"/>
          </rPr>
          <t>No hay registro de EPH para el período</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pcohan</author>
  </authors>
  <commentList>
    <comment ref="A14" authorId="0" shapeId="0" xr:uid="{00000000-0006-0000-1300-000001000000}">
      <text>
        <r>
          <rPr>
            <b/>
            <sz val="8"/>
            <color indexed="81"/>
            <rFont val="Tahoma"/>
            <family val="2"/>
          </rPr>
          <t>Comienza la EPH Contínua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ces11</author>
    <author>Lautaro Zanini</author>
    <author>Franco Ocampo</author>
    <author>Martina Mas</author>
  </authors>
  <commentList>
    <comment ref="A10" authorId="0" shapeId="0" xr:uid="{00000000-0006-0000-1400-000001000000}">
      <text>
        <r>
          <rPr>
            <sz val="9"/>
            <color indexed="81"/>
            <rFont val="Tahoma"/>
            <family val="2"/>
          </rPr>
          <t>Para el período 1810-2004 los datos corresponden a estimaciones realizadas por la Fundación Norte y Sur
(bajo la dirección de Orlando J. Ferreres)</t>
        </r>
      </text>
    </comment>
    <comment ref="B202" authorId="1" shapeId="0" xr:uid="{00000000-0006-0000-1400-000002000000}">
      <text>
        <r>
          <rPr>
            <b/>
            <sz val="9"/>
            <color indexed="81"/>
            <rFont val="Tahoma"/>
            <family val="2"/>
          </rPr>
          <t>Anualizando la tasa intercensal a 0.013161</t>
        </r>
      </text>
    </comment>
    <comment ref="C202" authorId="1" shapeId="0" xr:uid="{00000000-0006-0000-1400-000003000000}">
      <text>
        <r>
          <rPr>
            <b/>
            <sz val="9"/>
            <color indexed="81"/>
            <rFont val="Tahoma"/>
            <family val="2"/>
          </rPr>
          <t>Anualizando la tasa intercensal a 0.009180</t>
        </r>
      </text>
    </comment>
    <comment ref="A210" authorId="0" shapeId="0" xr:uid="{00000000-0006-0000-1400-000004000000}">
      <text>
        <r>
          <rPr>
            <b/>
            <sz val="9"/>
            <color indexed="81"/>
            <rFont val="Tahoma"/>
            <family val="2"/>
          </rPr>
          <t>Población del Censo 2010 evaluada y corregida. Definida como población base de las siguientes proyecciones al 2040 realizada por INDEC</t>
        </r>
      </text>
    </comment>
    <comment ref="B211" authorId="2" shapeId="0" xr:uid="{95BEC3AE-10BC-453D-949E-44E53DDD5A67}">
      <text>
        <r>
          <rPr>
            <b/>
            <sz val="9"/>
            <color indexed="81"/>
            <rFont val="Tahoma"/>
            <family val="2"/>
          </rPr>
          <t xml:space="preserve">Anualizando la tasa intercensal a 0.010318
</t>
        </r>
      </text>
    </comment>
    <comment ref="C211" authorId="2" shapeId="0" xr:uid="{068640CC-A473-46D6-95C6-34B8B5858487}">
      <text>
        <r>
          <rPr>
            <b/>
            <sz val="9"/>
            <color indexed="81"/>
            <rFont val="Tahoma"/>
            <family val="2"/>
          </rPr>
          <t xml:space="preserve">Anualizando la tasa intercensal a 0.009979
</t>
        </r>
      </text>
    </comment>
    <comment ref="A222" authorId="3" shapeId="0" xr:uid="{00000000-0006-0000-1400-000007000000}">
      <text>
        <r>
          <rPr>
            <b/>
            <sz val="9"/>
            <color indexed="81"/>
            <rFont val="Tahoma"/>
            <family val="2"/>
          </rPr>
          <t>Población del Censo Nacional 2022: resultados provisionales a enero 2023.</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Pedro Pablo Cohan</author>
    <author>Yamila Sonder</author>
  </authors>
  <commentList>
    <comment ref="B2" authorId="0" shapeId="0" xr:uid="{00000000-0006-0000-1500-000001000000}">
      <text>
        <r>
          <rPr>
            <sz val="9"/>
            <color indexed="81"/>
            <rFont val="Tahoma"/>
            <family val="2"/>
          </rPr>
          <t>S/ Ministerio de la Producción, 78,13% de la producción total</t>
        </r>
      </text>
    </comment>
    <comment ref="D2" authorId="1" shapeId="0" xr:uid="{9F98294E-5406-47CF-8DF0-B21AD1824BC4}">
      <text>
        <r>
          <rPr>
            <sz val="9"/>
            <color indexed="81"/>
            <rFont val="Tahoma"/>
            <family val="2"/>
          </rPr>
          <t>Promedio, por el total de las empresas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Yamila Sonder</author>
  </authors>
  <commentList>
    <comment ref="X9" authorId="0" shapeId="0" xr:uid="{F362AD21-06A3-4532-BC5A-F44A7F7B852B}">
      <text>
        <r>
          <rPr>
            <sz val="8"/>
            <color indexed="81"/>
            <rFont val="Tahoma"/>
            <family val="2"/>
          </rPr>
          <t>Promedio para la provincia de Santa Fe del ratio producción de harina / molienda de trigo</t>
        </r>
        <r>
          <rPr>
            <sz val="9"/>
            <color indexed="81"/>
            <rFont val="Tahoma"/>
            <family val="2"/>
          </rPr>
          <t xml:space="preserve">
</t>
        </r>
      </text>
    </comment>
    <comment ref="Y9" authorId="0" shapeId="0" xr:uid="{F9E74F3E-B1DD-4AE2-B808-AA7C0664BADA}">
      <text>
        <r>
          <rPr>
            <sz val="8"/>
            <color indexed="81"/>
            <rFont val="Tahoma"/>
            <family val="2"/>
          </rPr>
          <t>Promedio para Argentina del ratio producción de harina / molienda de trigo</t>
        </r>
        <r>
          <rPr>
            <b/>
            <sz val="9"/>
            <color indexed="81"/>
            <rFont val="Tahoma"/>
            <family val="2"/>
          </rPr>
          <t xml:space="preserve">
</t>
        </r>
        <r>
          <rPr>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Pedro Pablo Cohan</author>
    <author>Franco Ocampo</author>
    <author>Pedro</author>
    <author>Lautaro Zanini</author>
    <author>Yamila Sonder</author>
    <author>ces14</author>
  </authors>
  <commentList>
    <comment ref="E3" authorId="0" shapeId="0" xr:uid="{1BBC85EA-63C5-428D-8A4B-0336B2A9C386}">
      <text>
        <r>
          <rPr>
            <sz val="9"/>
            <color indexed="81"/>
            <rFont val="Tahoma"/>
            <family val="2"/>
          </rPr>
          <t xml:space="preserve">La serie se reconstruyó históricamente con información publicada por el Servicio Nacional de 
Sanidad y Calidad Agroalimentaria </t>
        </r>
        <r>
          <rPr>
            <b/>
            <sz val="9"/>
            <color indexed="81"/>
            <rFont val="Tahoma"/>
            <family val="2"/>
          </rPr>
          <t>(SENASA)</t>
        </r>
        <r>
          <rPr>
            <sz val="9"/>
            <color indexed="81"/>
            <rFont val="Tahoma"/>
            <family val="2"/>
          </rPr>
          <t xml:space="preserve"> </t>
        </r>
        <r>
          <rPr>
            <b/>
            <sz val="9"/>
            <color indexed="81"/>
            <rFont val="Tahoma"/>
            <family val="2"/>
          </rPr>
          <t>desde enero de 1994 hasta diciembre de 1998</t>
        </r>
        <r>
          <rPr>
            <sz val="9"/>
            <color indexed="81"/>
            <rFont val="Tahoma"/>
            <family val="2"/>
          </rPr>
          <t xml:space="preserve">. 
Luego, la Oficina de Control Comercial Agropecuario </t>
        </r>
        <r>
          <rPr>
            <b/>
            <sz val="9"/>
            <color indexed="81"/>
            <rFont val="Tahoma"/>
            <family val="2"/>
          </rPr>
          <t>(ONCCA)</t>
        </r>
        <r>
          <rPr>
            <sz val="9"/>
            <color indexed="81"/>
            <rFont val="Tahoma"/>
            <family val="2"/>
          </rPr>
          <t xml:space="preserve"> estuvo a cargo de recopilar la 
información </t>
        </r>
        <r>
          <rPr>
            <b/>
            <sz val="9"/>
            <color indexed="81"/>
            <rFont val="Tahoma"/>
            <family val="2"/>
          </rPr>
          <t>(disuelta en 2012)</t>
        </r>
        <r>
          <rPr>
            <sz val="9"/>
            <color indexed="81"/>
            <rFont val="Tahoma"/>
            <family val="2"/>
          </rPr>
          <t xml:space="preserve">. Luego los datos son publicados por la Secretaría de Agricultura, Ganadería y Pesca de la Nación en base a declaraciones juradas de los establecimientos faenadores inscriptos en el Registro Único de Operadores de la Cadena Agroindustrial </t>
        </r>
        <r>
          <rPr>
            <b/>
            <sz val="9"/>
            <color indexed="81"/>
            <rFont val="Tahoma"/>
            <family val="2"/>
          </rPr>
          <t>(RUCA) a través del Sistema SIF/SIGICA</t>
        </r>
        <r>
          <rPr>
            <sz val="9"/>
            <color indexed="81"/>
            <rFont val="Tahoma"/>
            <family val="2"/>
          </rPr>
          <t xml:space="preserve">. A través de la Resolución 50/2025 se elimina el RUCA; quedando </t>
        </r>
        <r>
          <rPr>
            <b/>
            <sz val="9"/>
            <color indexed="81"/>
            <rFont val="Tahoma"/>
            <family val="2"/>
          </rPr>
          <t xml:space="preserve">Actualmente </t>
        </r>
        <r>
          <rPr>
            <sz val="9"/>
            <color indexed="81"/>
            <rFont val="Tahoma"/>
            <family val="2"/>
          </rPr>
          <t xml:space="preserve">como fuente primaria el </t>
        </r>
        <r>
          <rPr>
            <b/>
            <sz val="9"/>
            <color indexed="81"/>
            <rFont val="Tahoma"/>
            <family val="2"/>
          </rPr>
          <t>Sistema SIF/SIGICA de la SAGyP (Sistema integral de Faena - Sistema Integrado de Gestión de Inocuidad y Calidad Agroalimentaria).</t>
        </r>
        <r>
          <rPr>
            <sz val="9"/>
            <color indexed="81"/>
            <rFont val="Tahoma"/>
            <family val="2"/>
          </rPr>
          <t xml:space="preserve">
</t>
        </r>
      </text>
    </comment>
    <comment ref="I3" authorId="0" shapeId="0" xr:uid="{839BB911-079E-4082-95CA-144ED65BFFCB}">
      <text>
        <r>
          <rPr>
            <sz val="9"/>
            <color indexed="81"/>
            <rFont val="Tahoma"/>
            <family val="2"/>
          </rPr>
          <t xml:space="preserve">La serie se reconstruyó históricamente con información publicada por el Servicio Nacional de 
Sanidad y Calidad Agroalimentaria </t>
        </r>
        <r>
          <rPr>
            <b/>
            <sz val="9"/>
            <color indexed="81"/>
            <rFont val="Tahoma"/>
            <family val="2"/>
          </rPr>
          <t xml:space="preserve">(SENASA) desde enero de 1994 hasta diciembre de 1998. </t>
        </r>
        <r>
          <rPr>
            <sz val="9"/>
            <color indexed="81"/>
            <rFont val="Tahoma"/>
            <family val="2"/>
          </rPr>
          <t xml:space="preserve">
Luego, la Oficina de Control Comercial Agropecuario </t>
        </r>
        <r>
          <rPr>
            <b/>
            <sz val="9"/>
            <color indexed="81"/>
            <rFont val="Tahoma"/>
            <family val="2"/>
          </rPr>
          <t>(ONCCA)</t>
        </r>
        <r>
          <rPr>
            <sz val="9"/>
            <color indexed="81"/>
            <rFont val="Tahoma"/>
            <family val="2"/>
          </rPr>
          <t xml:space="preserve"> estuvo a cargo de recopilar la 
información</t>
        </r>
        <r>
          <rPr>
            <b/>
            <sz val="9"/>
            <color indexed="81"/>
            <rFont val="Tahoma"/>
            <family val="2"/>
          </rPr>
          <t xml:space="preserve"> (disuelta en 2012)</t>
        </r>
        <r>
          <rPr>
            <sz val="9"/>
            <color indexed="81"/>
            <rFont val="Tahoma"/>
            <family val="2"/>
          </rPr>
          <t>. Luego los datos son publicados por la Secretaría de Agricultura, Ganadería y Pesca de la Nación en base a declaraciones juradas de los establecimientos faenadores inscriptos en el Registro Único de Operadores de la Cadena Agroindustrial</t>
        </r>
        <r>
          <rPr>
            <b/>
            <sz val="9"/>
            <color indexed="81"/>
            <rFont val="Tahoma"/>
            <family val="2"/>
          </rPr>
          <t xml:space="preserve"> (RUCA) a través del Sistema SIF/SIGICA</t>
        </r>
        <r>
          <rPr>
            <sz val="9"/>
            <color indexed="81"/>
            <rFont val="Tahoma"/>
            <family val="2"/>
          </rPr>
          <t xml:space="preserve">. A través de la Resolución 50/2025 se elimina el RUCA; quedando </t>
        </r>
        <r>
          <rPr>
            <b/>
            <sz val="9"/>
            <color indexed="81"/>
            <rFont val="Tahoma"/>
            <family val="2"/>
          </rPr>
          <t>Actualmente</t>
        </r>
        <r>
          <rPr>
            <sz val="9"/>
            <color indexed="81"/>
            <rFont val="Tahoma"/>
            <family val="2"/>
          </rPr>
          <t xml:space="preserve"> como fuente primaria el Sistema</t>
        </r>
        <r>
          <rPr>
            <b/>
            <sz val="9"/>
            <color indexed="81"/>
            <rFont val="Tahoma"/>
            <family val="2"/>
          </rPr>
          <t xml:space="preserve"> SIF/SIGICA de la SAGyP (Sistema integral de Faena - Sistema Integrado de Gestión de Inocuidad y Calidad Agroalimentaria).</t>
        </r>
        <r>
          <rPr>
            <sz val="9"/>
            <color indexed="81"/>
            <rFont val="Tahoma"/>
            <family val="2"/>
          </rPr>
          <t xml:space="preserve">
</t>
        </r>
      </text>
    </comment>
    <comment ref="B5" authorId="1" shapeId="0" xr:uid="{E3B512DC-438C-48EC-B94E-9B466E04D559}">
      <text>
        <r>
          <rPr>
            <sz val="9"/>
            <color indexed="81"/>
            <rFont val="Tahoma"/>
            <family val="2"/>
          </rPr>
          <t xml:space="preserve">Datos de la Direccion Nacional de Control Comercial Agropecuario (DNCCA) a través de SIF-SIGICA
</t>
        </r>
      </text>
    </comment>
    <comment ref="C5" authorId="1" shapeId="0" xr:uid="{5B60C4A2-372A-4153-94CE-A5840A120E9C}">
      <text>
        <r>
          <rPr>
            <sz val="9"/>
            <color indexed="81"/>
            <rFont val="Tahoma"/>
            <family val="2"/>
          </rPr>
          <t xml:space="preserve">Datos de la Direccion Nacional de Control Comercial Agropecuario (DNCCA) a través de SIF-SIGICA
</t>
        </r>
      </text>
    </comment>
    <comment ref="D5" authorId="2" shapeId="0" xr:uid="{C7DA666C-1764-4537-82F1-39EC3D090222}">
      <text>
        <r>
          <rPr>
            <sz val="9"/>
            <color indexed="81"/>
            <rFont val="Tahoma"/>
            <family val="2"/>
          </rPr>
          <t xml:space="preserve">Promedio ponderado de cabezas faenadas por categoría: datos nacionales. En Kg de res con hueso.
</t>
        </r>
      </text>
    </comment>
    <comment ref="E5" authorId="3" shapeId="0" xr:uid="{47BD7D3D-08F6-4899-8342-22AD59611A45}">
      <text>
        <r>
          <rPr>
            <sz val="9"/>
            <color indexed="81"/>
            <rFont val="Tahoma"/>
            <family val="2"/>
          </rPr>
          <t xml:space="preserve">Precio promedio ponderado por kilo vivo de ganado bovino en el Mercado Agroganadero S.A.
INDICE MERCADO
AGROGANADERO (INMAG) </t>
        </r>
      </text>
    </comment>
    <comment ref="F5" authorId="1" shapeId="0" xr:uid="{DE6E8D0F-C73E-4C64-B979-7100420B06FC}">
      <text>
        <r>
          <rPr>
            <sz val="9"/>
            <color indexed="81"/>
            <rFont val="Tahoma"/>
            <family val="2"/>
          </rPr>
          <t xml:space="preserve">Datos de la Direccion Nacional de Control Comercial Agropecuario (DNCCA) a través de SIF-SIGICA
</t>
        </r>
      </text>
    </comment>
    <comment ref="G5" authorId="1" shapeId="0" xr:uid="{FA60A35F-99E3-4093-BBD7-E5528BB666E3}">
      <text>
        <r>
          <rPr>
            <sz val="9"/>
            <color indexed="81"/>
            <rFont val="Tahoma"/>
            <family val="2"/>
          </rPr>
          <t xml:space="preserve">Datos de la Direccion Nacional de Control Comercial Agropecuario (DNCCA) a través de SIF-SIGICA
</t>
        </r>
      </text>
    </comment>
    <comment ref="H5" authorId="2" shapeId="0" xr:uid="{A7D2BA2F-D4B4-4378-8A31-DA26266EDBC0}">
      <text>
        <r>
          <rPr>
            <sz val="9"/>
            <color indexed="81"/>
            <rFont val="Tahoma"/>
            <family val="2"/>
          </rPr>
          <t>Promedio ponderado de cabezas faenadas por categoría: datos nacionales. En Kg de res con hueso.</t>
        </r>
      </text>
    </comment>
    <comment ref="I5" authorId="3" shapeId="0" xr:uid="{7F3A272A-9BD5-4926-84D2-6071BBB8CFA6}">
      <text>
        <r>
          <rPr>
            <sz val="9"/>
            <color indexed="81"/>
            <rFont val="Tahoma"/>
            <family val="2"/>
          </rPr>
          <t>Precios promedios de categoría "capón general", en pesos ($) por kilos vivos, según Resolución ONCCA 1797/05</t>
        </r>
      </text>
    </comment>
    <comment ref="N5" authorId="4" shapeId="0" xr:uid="{BE807188-8771-4E29-8E4E-15E2E1D44342}">
      <text>
        <r>
          <rPr>
            <b/>
            <sz val="9"/>
            <color indexed="81"/>
            <rFont val="Tahoma"/>
            <family val="2"/>
          </rPr>
          <t>precio corriente sin iva tomado por cajon de 20kg</t>
        </r>
      </text>
    </comment>
    <comment ref="O5" authorId="4" shapeId="0" xr:uid="{EBBD3EA6-65AD-47B9-81A8-41B179262837}">
      <text>
        <r>
          <rPr>
            <b/>
            <sz val="9"/>
            <color indexed="81"/>
            <rFont val="Tahoma"/>
            <family val="2"/>
          </rPr>
          <t xml:space="preserve">precios corrientes con iva tomado por cajón de 20kg
</t>
        </r>
      </text>
    </comment>
    <comment ref="B10" authorId="5" shapeId="0" xr:uid="{DDE817CB-F5F2-48DB-A461-290ABF38FCEF}">
      <text>
        <r>
          <rPr>
            <sz val="9"/>
            <color indexed="81"/>
            <rFont val="Tahoma"/>
            <family val="2"/>
          </rPr>
          <t xml:space="preserve">SENASA y estimaciones propias (1994,01-1998,12) </t>
        </r>
      </text>
    </comment>
    <comment ref="C10" authorId="1" shapeId="0" xr:uid="{305E936E-A586-4B06-BDD7-8CF852EAF2B0}">
      <text>
        <r>
          <rPr>
            <sz val="9"/>
            <color indexed="81"/>
            <rFont val="Tahoma"/>
            <family val="2"/>
          </rPr>
          <t xml:space="preserve">SENASA y estimaciones propias (1994,01-1998,12) </t>
        </r>
      </text>
    </comment>
    <comment ref="F10" authorId="5" shapeId="0" xr:uid="{422711EB-7CFB-4D3E-810D-9528DD2B9046}">
      <text>
        <r>
          <rPr>
            <sz val="9"/>
            <color indexed="81"/>
            <rFont val="Tahoma"/>
            <family val="2"/>
          </rPr>
          <t>SENASA y estimaciones propias (1994,01-1998,12)</t>
        </r>
        <r>
          <rPr>
            <b/>
            <sz val="9"/>
            <color indexed="81"/>
            <rFont val="Tahoma"/>
            <family val="2"/>
          </rPr>
          <t xml:space="preserve"> </t>
        </r>
      </text>
    </comment>
    <comment ref="B70" authorId="5" shapeId="0" xr:uid="{81FB56E4-AF40-4E33-BE83-DC71FBDE5197}">
      <text>
        <r>
          <rPr>
            <sz val="9"/>
            <color indexed="81"/>
            <rFont val="Tahoma"/>
            <family val="2"/>
          </rPr>
          <t xml:space="preserve">ONCCA (1991,01 - 2012,02)
</t>
        </r>
      </text>
    </comment>
    <comment ref="C70" authorId="5" shapeId="0" xr:uid="{64204395-99F9-4C9C-B777-4349FF44E2E6}">
      <text>
        <r>
          <rPr>
            <sz val="9"/>
            <color indexed="81"/>
            <rFont val="Tahoma"/>
            <family val="2"/>
          </rPr>
          <t>ONCCA (1991,01 - 2012,02)</t>
        </r>
      </text>
    </comment>
    <comment ref="F70" authorId="5" shapeId="0" xr:uid="{47FE9D2B-FBC7-4394-88DF-D6ACF1BFA1C6}">
      <text>
        <r>
          <rPr>
            <sz val="9"/>
            <color indexed="81"/>
            <rFont val="Tahoma"/>
            <family val="2"/>
          </rPr>
          <t>ONCCA (1991,01 - 2012,10)</t>
        </r>
      </text>
    </comment>
    <comment ref="B228" authorId="5" shapeId="0" xr:uid="{598835A2-D0E2-4F1C-966C-B967E5D1CE4C}">
      <text>
        <r>
          <rPr>
            <sz val="9"/>
            <color indexed="81"/>
            <rFont val="Tahoma"/>
            <family val="2"/>
          </rPr>
          <t>Datos estimados como proporción de la provincia de Santa Fe (DNMF) sobre el total nacional en base a proporción promedio de año previo y año siguiente para cada mes</t>
        </r>
      </text>
    </comment>
    <comment ref="B259" authorId="5" shapeId="0" xr:uid="{36AEF4B9-14A7-430B-95A8-AA8A3B1D5AD1}">
      <text>
        <r>
          <rPr>
            <sz val="9"/>
            <color indexed="81"/>
            <rFont val="Tahoma"/>
            <family val="2"/>
          </rPr>
          <t>Datos estimados como proporción de la provincia de Santa Fe (DNMF) sobre el total nacional en base a MINAGRI (2014,10 - 2016,12)</t>
        </r>
      </text>
    </comment>
    <comment ref="B286" authorId="5" shapeId="0" xr:uid="{1E7960A8-E9B6-4B51-8797-0F89ACD6D487}">
      <text>
        <r>
          <rPr>
            <sz val="9"/>
            <color indexed="81"/>
            <rFont val="Tahoma"/>
            <family val="2"/>
          </rPr>
          <t>(RUCA) a través del Sistema SIF/SIGICA.</t>
        </r>
      </text>
    </comment>
    <comment ref="D286" authorId="3" shapeId="0" xr:uid="{3AD8E3F9-BC6C-40B9-B53B-41024734D1AA}">
      <text>
        <r>
          <rPr>
            <sz val="9"/>
            <color indexed="81"/>
            <rFont val="Tahoma"/>
            <family val="2"/>
          </rPr>
          <t xml:space="preserve">
Dato de peso promedio de faena publicado por MAGyP</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Agustin Rodríguez</author>
    <author>Martina Mas</author>
  </authors>
  <commentList>
    <comment ref="D3" authorId="0" shapeId="0" xr:uid="{00000000-0006-0000-1800-000001000000}">
      <text>
        <r>
          <rPr>
            <sz val="7"/>
            <color indexed="81"/>
            <rFont val="Tahoma"/>
            <family val="2"/>
          </rPr>
          <t xml:space="preserve">Por disposición nacional en mayo de 2022, la información desagregada por provincias se comienza a publicar con un rezago de 12 meses.
</t>
        </r>
      </text>
    </comment>
    <comment ref="E5" authorId="1" shapeId="0" xr:uid="{00000000-0006-0000-1800-000002000000}">
      <text>
        <r>
          <rPr>
            <sz val="9"/>
            <color indexed="81"/>
            <rFont val="Tahoma"/>
            <family val="2"/>
          </rPr>
          <t xml:space="preserve">Incluye el despacho al mercado interno (despacho nacional) más las importaciones.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Agustin Rodríguez</author>
  </authors>
  <commentList>
    <comment ref="R5" authorId="0" shapeId="0" xr:uid="{00000000-0006-0000-1900-000001000000}">
      <text>
        <r>
          <rPr>
            <sz val="8"/>
            <color indexed="81"/>
            <rFont val="Tahoma"/>
            <family val="2"/>
          </rPr>
          <t xml:space="preserve">Incluye la sumatoria de las municipalidades, quedando excluídas las comunas.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Ailén Bianchi</author>
  </authors>
  <commentList>
    <comment ref="D7" authorId="0" shapeId="0" xr:uid="{00000000-0006-0000-1A00-000002000000}">
      <text>
        <r>
          <rPr>
            <sz val="9"/>
            <color indexed="81"/>
            <rFont val="Tahoma"/>
            <family val="2"/>
          </rPr>
          <t>Incluye maquinaria vial, agrícola e industrial. Según Disposición 948/97 de DNRPA, se compone de: 
Tractor, cosechadora, pulverizadora, sembradora, fumigadora, enfardadora, rotoenfardadora, pavimentadora, aplanadora, pala mecánica, grúa, excavadora, carretón, motoniveladora, cargadora, mototrailla, máquina compactadora, máquina para tratamiento de suelo, autoelevador, motovehículo con dispositivo de enganche y otros.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Pedro</author>
    <author>Yamila Sonder</author>
  </authors>
  <commentList>
    <comment ref="D2" authorId="0" shapeId="0" xr:uid="{00000000-0006-0000-1B00-000001000000}">
      <text>
        <r>
          <rPr>
            <u/>
            <sz val="9"/>
            <color indexed="81"/>
            <rFont val="Tahoma"/>
            <family val="2"/>
          </rPr>
          <t>Implementos:</t>
        </r>
        <r>
          <rPr>
            <sz val="9"/>
            <color indexed="81"/>
            <rFont val="Tahoma"/>
            <family val="2"/>
          </rPr>
          <t xml:space="preserve">
Pulverizadoras autopropulsadas y de arrastre
Acarreo y almacenaje de granos 
Otros Implementos</t>
        </r>
      </text>
    </comment>
    <comment ref="D5" authorId="1" shapeId="0" xr:uid="{F10485AC-6F30-4864-960E-9796D0CA164F}">
      <text>
        <r>
          <rPr>
            <sz val="9"/>
            <color indexed="81"/>
            <rFont val="Tahoma"/>
            <family val="2"/>
          </rPr>
          <t>Las ventas totales pueden no coincidir con la suma de ventas nacionales e importadas debido a que, por resguardo estadístico, no se presenta la desagregación de algunos implementos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Florencia Camusso</author>
    <author>pcohan</author>
  </authors>
  <commentList>
    <comment ref="D5" authorId="0" shapeId="0" xr:uid="{00000000-0006-0000-0600-000001000000}">
      <text>
        <r>
          <rPr>
            <sz val="9"/>
            <color indexed="81"/>
            <rFont val="Tahoma"/>
            <family val="2"/>
          </rPr>
          <t>Precios implícitos = (PGB Corriente / PBG Constante) * 100</t>
        </r>
      </text>
    </comment>
    <comment ref="C10" authorId="1" shapeId="0" xr:uid="{00000000-0006-0000-0600-000002000000}">
      <text>
        <r>
          <rPr>
            <b/>
            <sz val="8"/>
            <color indexed="81"/>
            <rFont val="Tahoma"/>
            <family val="2"/>
          </rPr>
          <t xml:space="preserve">El tramo 1884 - 2003 ha sido estimado por economistas del CES, utilizando datos históricos de distintas fuentes bibliográficas.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Franco Riottini</author>
  </authors>
  <commentList>
    <comment ref="A270" authorId="0" shapeId="0" xr:uid="{00000000-0006-0000-1D00-000001000000}">
      <text>
        <r>
          <rPr>
            <sz val="9"/>
            <color indexed="81"/>
            <rFont val="Tahoma"/>
            <family val="2"/>
          </rPr>
          <t>Hacia atrás usando niveles de capacidad instalada según EMI base 2006=100</t>
        </r>
      </text>
    </comment>
    <comment ref="A271" authorId="0" shapeId="0" xr:uid="{00000000-0006-0000-1D00-000002000000}">
      <text>
        <r>
          <rPr>
            <sz val="9"/>
            <color indexed="81"/>
            <rFont val="Tahoma"/>
            <family val="2"/>
          </rPr>
          <t xml:space="preserve">Estimados con la tasa de cambio del mismo mes del año 2014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Franco Riottini</author>
  </authors>
  <commentList>
    <comment ref="A273" authorId="0" shapeId="0" xr:uid="{00000000-0006-0000-1E00-000001000000}">
      <text>
        <r>
          <rPr>
            <sz val="9"/>
            <color indexed="81"/>
            <rFont val="Tahoma"/>
            <family val="2"/>
          </rPr>
          <t xml:space="preserve">Serie empalmada con la tasa de cambio mensual del EMI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pc2</author>
    <author>pcohan</author>
    <author>ces11</author>
  </authors>
  <commentList>
    <comment ref="C6" authorId="0" shapeId="0" xr:uid="{00000000-0006-0000-2000-000001000000}">
      <text>
        <r>
          <rPr>
            <sz val="8"/>
            <color indexed="81"/>
            <rFont val="Tahoma"/>
            <family val="2"/>
          </rPr>
          <t>depósitos privados con residentes en el pais + depósitos privados con residentes en el exterior</t>
        </r>
      </text>
    </comment>
    <comment ref="H6" authorId="1" shapeId="0" xr:uid="{00000000-0006-0000-2000-000002000000}">
      <text>
        <r>
          <rPr>
            <sz val="8"/>
            <color indexed="81"/>
            <rFont val="Tahoma"/>
            <family val="2"/>
          </rPr>
          <t xml:space="preserve">billetes, monedas y oro ya sea en caja en custodia o en tránsito.
</t>
        </r>
      </text>
    </comment>
    <comment ref="J6" authorId="0" shapeId="0" xr:uid="{00000000-0006-0000-2000-000003000000}">
      <text>
        <r>
          <rPr>
            <sz val="8"/>
            <color indexed="81"/>
            <rFont val="Tahoma"/>
            <family val="2"/>
          </rPr>
          <t>depósitos privados con residentes en el pais + depósitos privados con residentes en el exterior.</t>
        </r>
      </text>
    </comment>
    <comment ref="M6" authorId="2" shapeId="0" xr:uid="{00000000-0006-0000-2000-000004000000}">
      <text>
        <r>
          <rPr>
            <sz val="9"/>
            <color indexed="81"/>
            <rFont val="Tahoma"/>
            <family val="2"/>
          </rPr>
          <t xml:space="preserve">Prestamos Privados= prestamos privados con residentes en el pais + prestamos privados con residentes en el exterior
</t>
        </r>
      </text>
    </comment>
    <comment ref="O6" authorId="1" shapeId="0" xr:uid="{00000000-0006-0000-2000-000005000000}">
      <text>
        <r>
          <rPr>
            <sz val="8"/>
            <color indexed="81"/>
            <rFont val="Tahoma"/>
            <family val="2"/>
          </rPr>
          <t xml:space="preserve">billetes, monedas y oro ya sea en caja en custodia o en tránsito.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Pedro</author>
    <author>Florencia Camusso</author>
  </authors>
  <commentList>
    <comment ref="B2" authorId="0" shapeId="0" xr:uid="{00000000-0006-0000-2100-000001000000}">
      <text>
        <r>
          <rPr>
            <sz val="9"/>
            <color indexed="81"/>
            <rFont val="Tahoma"/>
            <family val="2"/>
          </rPr>
          <t>Empalme: los datos de 1994.01 a 2019.01 refieren al índice Merval que publicaba la Bolsa de Comercio de Buenos Aires antes de adoptar la metodología propuesta por S&amp;P.
Actualmente son 20 componentes.</t>
        </r>
      </text>
    </comment>
    <comment ref="C2" authorId="1" shapeId="0" xr:uid="{00000000-0006-0000-2100-000002000000}">
      <text>
        <r>
          <rPr>
            <sz val="9"/>
            <color indexed="81"/>
            <rFont val="Tahoma"/>
            <family val="2"/>
          </rPr>
          <t>Empalme: los datos de 2009.02 a 2019.03 refieren al índice Byma que publicaba Bolsas y Mercados Argentinos antes de adoptar la metodología propuesta por S&amp;P.
El índice mide el desempeño de todas las acciones que han registrado actividad en al menos el 20% de las sesiones de negociación en Bolsa durante los últimos seis meses.
Compuesto por 56 componentes, de los cuales 10 se ponderan en 78.0%.</t>
        </r>
      </text>
    </comment>
    <comment ref="B7" authorId="1" shapeId="0" xr:uid="{00000000-0006-0000-2100-000003000000}">
      <text>
        <r>
          <rPr>
            <sz val="9"/>
            <color indexed="81"/>
            <rFont val="Tahoma"/>
            <family val="2"/>
          </rPr>
          <t>Valor de cierre del último día habil de cada mes.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Pedro</author>
    <author>ces11</author>
    <author>Agustin Rodríguez</author>
  </authors>
  <commentList>
    <comment ref="B235" authorId="0" shapeId="0" xr:uid="{00000000-0006-0000-2200-000001000000}">
      <text>
        <r>
          <rPr>
            <b/>
            <sz val="9"/>
            <color indexed="81"/>
            <rFont val="Tahoma"/>
            <family val="2"/>
          </rPr>
          <t>Calculado sobre la base de la publicación interanual de octubre de 2016 (20,0%)</t>
        </r>
      </text>
    </comment>
    <comment ref="B236" authorId="1" shapeId="0" xr:uid="{00000000-0006-0000-2200-000002000000}">
      <text>
        <r>
          <rPr>
            <sz val="9"/>
            <color indexed="81"/>
            <rFont val="Tahoma"/>
            <family val="2"/>
          </rPr>
          <t xml:space="preserve">Calculado sobre la base de la publicación interanual de octubre de 2016 (19,2%)
</t>
        </r>
      </text>
    </comment>
    <comment ref="Y315" authorId="2" shapeId="0" xr:uid="{00000000-0006-0000-2200-000003000000}">
      <text>
        <r>
          <rPr>
            <sz val="7"/>
            <color indexed="81"/>
            <rFont val="Tahoma"/>
            <family val="2"/>
          </rPr>
          <t xml:space="preserve">Debido a que no han publicado el informe correspondiente al mes de Junio, dicho dato se obtuvo por diferencia respecto al promedio acumulado de crecimiento de ventas para los primeros 7 meses del año respecto al mismo período de 2021. Éste último se encuentra en el informe de Julio 2022.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Pedro</author>
  </authors>
  <commentList>
    <comment ref="D2" authorId="0" shapeId="0" xr:uid="{A4C9F8DA-3D06-4D33-9253-E40E2AFF6481}">
      <text>
        <r>
          <rPr>
            <sz val="8"/>
            <color indexed="81"/>
            <rFont val="Tahoma"/>
            <family val="2"/>
          </rPr>
          <t>Inculye todos los actos de venta:
Venta 
Venta con reserva de usufructo
Venta nuda propiedad
Venta de partes indivisas
Venta por tracto abreviado
Venta FONAVI
Venta e hipoteca FONAVI
Venta e hipoteca - P. Federal
Venta (Nuda propiedad y usufructo)
Venta con toma a cargo embargo
Venta ley 12.953
Venta ley 24.374</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Mercedes Buich</author>
  </authors>
  <commentList>
    <comment ref="C5" authorId="0" shapeId="0" xr:uid="{8D6B2289-FEB9-4453-8231-A565BDDCB405}">
      <text>
        <r>
          <rPr>
            <b/>
            <sz val="9"/>
            <color indexed="81"/>
            <rFont val="Tahoma"/>
            <family val="2"/>
          </rPr>
          <t xml:space="preserve">Incluye principalmente los puertos de Santa Fe y Rosario. 
</t>
        </r>
        <r>
          <rPr>
            <u/>
            <sz val="9"/>
            <color indexed="81"/>
            <rFont val="Tahoma"/>
            <family val="2"/>
          </rPr>
          <t>No obstante, también se consideran los siguientes muelles:</t>
        </r>
        <r>
          <rPr>
            <sz val="9"/>
            <color indexed="81"/>
            <rFont val="Tahoma"/>
            <family val="2"/>
          </rPr>
          <t xml:space="preserve">
ACA (San Lorenzo), Acindar (Villa Constitución), ADM AGRO - Muelle El Tránsito, ADM AGRO (Arroyo Seco), Bunge (Dempa y Pampa), Cargill - Muelle Quebracho, Cargill (Punta Alvear), Cargill (Villa Gobernador Gálvez), Cofco International Argentina S.A. (PGSM), Dreyfus (Gral Lagos), Dreyfus (Timbúes), Minera Alumbrera, Molinos San Benito, Pampa Energía, Pan American Energy (San Lorenzo), Profertil, Renova, Shell (Arroyo Seco), Terminal 6, Terminal de Fertilizantes Argentinos, Termoeléctrica San Martín, Vicentín, Aceitera General Deheza, Nouryon (Ex Akzo Nobel), Planta fluvial YPF, San Lorenzo - San Martín - Muelle YPF.</t>
        </r>
      </text>
    </comment>
    <comment ref="K5" authorId="0" shapeId="0" xr:uid="{6371BF72-5510-4250-B62C-F8D1A360A2FE}">
      <text>
        <r>
          <rPr>
            <b/>
            <sz val="9"/>
            <color indexed="81"/>
            <rFont val="Tahoma"/>
            <family val="2"/>
          </rPr>
          <t>Incluye principalmente los puertos de San Lorenzo, Villa Constitución, Puerto Gral. San Martín, Arroyo Seco, Alvear, Villa Gobernador Gálvez, Timbúes, Rosario y Santa Fe.</t>
        </r>
      </text>
    </comment>
    <comment ref="B6" authorId="0" shapeId="0" xr:uid="{CECE7793-DF7D-4A13-BE80-2BF277FB2634}">
      <text>
        <r>
          <rPr>
            <b/>
            <sz val="9"/>
            <color indexed="81"/>
            <rFont val="Tahoma"/>
            <family val="2"/>
          </rPr>
          <t>Embarque o carga:</t>
        </r>
        <r>
          <rPr>
            <sz val="9"/>
            <color indexed="81"/>
            <rFont val="Tahoma"/>
            <family val="2"/>
          </rPr>
          <t xml:space="preserve"> Tipo de operación portuaria en la que se introducen contenedores en una embarcación.</t>
        </r>
      </text>
    </comment>
    <comment ref="C6" authorId="0" shapeId="0" xr:uid="{2710BE96-5FA5-4ACB-963C-3F9790BAE170}">
      <text>
        <r>
          <rPr>
            <b/>
            <sz val="9"/>
            <color indexed="81"/>
            <rFont val="Tahoma"/>
            <family val="2"/>
          </rPr>
          <t>Desembarque o descarga:</t>
        </r>
        <r>
          <rPr>
            <sz val="9"/>
            <color indexed="81"/>
            <rFont val="Tahoma"/>
            <family val="2"/>
          </rPr>
          <t xml:space="preserve"> Tipo de operación portuaria en la que se sacan contenedores de una embarcación y se ponen en tierra.</t>
        </r>
      </text>
    </comment>
    <comment ref="F6" authorId="0" shapeId="0" xr:uid="{4177C35F-7543-49AC-95A2-05C4C66B3B47}">
      <text>
        <r>
          <rPr>
            <sz val="9"/>
            <color indexed="81"/>
            <rFont val="Tahoma"/>
            <family val="2"/>
          </rPr>
          <t>Entrada de bienes o mercancías en el país desde el extranjero, a través de un puerto nacional.</t>
        </r>
      </text>
    </comment>
    <comment ref="G6" authorId="0" shapeId="0" xr:uid="{9FBF087E-D20B-43FB-A78F-1D1BC745138B}">
      <text>
        <r>
          <rPr>
            <sz val="9"/>
            <color indexed="81"/>
            <rFont val="Tahoma"/>
            <family val="2"/>
          </rPr>
          <t>Envío de bienes o mercancías fuera del país, a través de un puerto nacional.</t>
        </r>
      </text>
    </comment>
    <comment ref="H6" authorId="0" shapeId="0" xr:uid="{C1120E33-B8E0-408D-B4FA-FF65203C3CFD}">
      <text>
        <r>
          <rPr>
            <sz val="9"/>
            <color indexed="81"/>
            <rFont val="Tahoma"/>
            <family val="2"/>
          </rPr>
          <t>Se refiere al movimiento de bienes o mercancías entre puertos dentro del mismo país. En particular, serían los movimientos de carga que llegan a los puertos de la provincia desde otros puertos nacionales.</t>
        </r>
      </text>
    </comment>
    <comment ref="I6" authorId="0" shapeId="0" xr:uid="{440DE9E0-00C5-4CAF-842F-8B0FB5D50901}">
      <text>
        <r>
          <rPr>
            <sz val="9"/>
            <color indexed="81"/>
            <rFont val="Tahoma"/>
            <family val="2"/>
          </rPr>
          <t>Implica el transporte de mercancías desde los puertos de la provincia hacia otros puertos nacionales.</t>
        </r>
      </text>
    </comment>
    <comment ref="J6" authorId="0" shapeId="0" xr:uid="{CD7EF6C6-FED5-460F-B766-817B012CC386}">
      <text>
        <r>
          <rPr>
            <sz val="9"/>
            <color indexed="81"/>
            <rFont val="Tahoma"/>
            <family val="2"/>
          </rPr>
          <t>Indica que las mercancías están en tránsito hacia otro destino final, ya sea dentro del país o internacionalmente.</t>
        </r>
      </text>
    </comment>
    <comment ref="K6" authorId="0" shapeId="0" xr:uid="{87BE9B9F-8425-4486-A278-17DFA51DFE08}">
      <text>
        <r>
          <rPr>
            <sz val="9"/>
            <color indexed="81"/>
            <rFont val="Tahoma"/>
            <family val="2"/>
          </rPr>
          <t>Las mercancías salen del puerto con destino a otro puerto nacional o internacional.</t>
        </r>
      </text>
    </comment>
    <comment ref="B7" authorId="0" shapeId="0" xr:uid="{FE067D71-AC9B-4745-B732-97F3395D9731}">
      <text>
        <r>
          <rPr>
            <b/>
            <sz val="9"/>
            <color indexed="81"/>
            <rFont val="Tahoma"/>
            <family val="2"/>
          </rPr>
          <t xml:space="preserve">TEU: </t>
        </r>
        <r>
          <rPr>
            <sz val="9"/>
            <color indexed="81"/>
            <rFont val="Tahoma"/>
            <family val="2"/>
          </rPr>
          <t>Twenty-foot Equivalent Unit (unidad equivalente a veinte pies).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pcohan</author>
    <author>Franco Ocampo</author>
  </authors>
  <commentList>
    <comment ref="L5" authorId="0" shapeId="0" xr:uid="{00000000-0006-0000-2600-000001000000}">
      <text>
        <r>
          <rPr>
            <sz val="8"/>
            <color indexed="81"/>
            <rFont val="Tahoma"/>
            <family val="2"/>
          </rPr>
          <t xml:space="preserve">Servicio general: usos no domésticos sin contratación de entrega mínima
</t>
        </r>
      </text>
    </comment>
    <comment ref="M5" authorId="0" shapeId="0" xr:uid="{00000000-0006-0000-2600-000002000000}">
      <text>
        <r>
          <rPr>
            <sz val="8"/>
            <color indexed="81"/>
            <rFont val="Tahoma"/>
            <family val="2"/>
          </rPr>
          <t>Servicio general: usos no domésticos con contratación de entrega mínima</t>
        </r>
      </text>
    </comment>
    <comment ref="N5" authorId="0" shapeId="0" xr:uid="{00000000-0006-0000-2600-000003000000}">
      <text>
        <r>
          <rPr>
            <sz val="8"/>
            <color indexed="81"/>
            <rFont val="Tahoma"/>
            <family val="2"/>
          </rPr>
          <t xml:space="preserve">Servicios grandes usuarios:
ID = Grandes usuarios no domésticos, ni estaciones, ni GNC, ni subdistribuidor. </t>
        </r>
        <r>
          <rPr>
            <b/>
            <sz val="8"/>
            <color indexed="81"/>
            <rFont val="Tahoma"/>
            <family val="2"/>
          </rPr>
          <t>Ininterrumpible</t>
        </r>
        <r>
          <rPr>
            <sz val="8"/>
            <color indexed="81"/>
            <rFont val="Tahoma"/>
            <family val="2"/>
          </rPr>
          <t>. Mínimo de 3 millones de m3 por año.
IT = idem ID pero</t>
        </r>
        <r>
          <rPr>
            <b/>
            <sz val="8"/>
            <color indexed="81"/>
            <rFont val="Tahoma"/>
            <family val="2"/>
          </rPr>
          <t xml:space="preserve"> Interrumpible</t>
        </r>
        <r>
          <rPr>
            <sz val="8"/>
            <color indexed="81"/>
            <rFont val="Tahoma"/>
            <family val="2"/>
          </rPr>
          <t xml:space="preserve">. 
FD = grandes usuarios no domesticos, ni estaciones, ni GNC, ni subdistribuidor.Mínimo de 10 mil m3 diarios.
FT = idem FD pero a través de una distribuidora.
</t>
        </r>
      </text>
    </comment>
    <comment ref="M406" authorId="1" shapeId="0" xr:uid="{0B4C6C4C-59C9-492A-8DD5-01F4D7972BCB}">
      <text>
        <r>
          <rPr>
            <b/>
            <sz val="9"/>
            <color indexed="81"/>
            <rFont val="Tahoma"/>
            <family val="2"/>
          </rPr>
          <t xml:space="preserve">Provisorio a falta de dato para enero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Franco Ocampo</author>
  </authors>
  <commentList>
    <comment ref="F5" authorId="0" shapeId="0" xr:uid="{51CB39C9-A120-40A5-BE6B-77559C6EEF88}">
      <text>
        <r>
          <rPr>
            <sz val="9"/>
            <color indexed="81"/>
            <rFont val="Tahoma"/>
            <family val="2"/>
          </rPr>
          <t>Sumatoria de demanda Industrial-Comercial Grande de los Comercios:
Hasta 2025:{Cencosud - Rosario; Casino Rosario S.A.}</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Pedro</author>
  </authors>
  <commentList>
    <comment ref="B6" authorId="0" shapeId="0" xr:uid="{00000000-0006-0000-2800-000001000000}">
      <text>
        <r>
          <rPr>
            <sz val="9"/>
            <color indexed="81"/>
            <rFont val="Tahoma"/>
            <family val="2"/>
          </rPr>
          <t>Considerando la suma empresas del sector y otras</t>
        </r>
      </text>
    </comment>
    <comment ref="C6" authorId="0" shapeId="0" xr:uid="{00000000-0006-0000-2800-000002000000}">
      <text>
        <r>
          <rPr>
            <sz val="9"/>
            <color indexed="81"/>
            <rFont val="Tahoma"/>
            <family val="2"/>
          </rPr>
          <t>Considerando la suma empresas del sector y otras</t>
        </r>
      </text>
    </comment>
    <comment ref="D6" authorId="0" shapeId="0" xr:uid="{00000000-0006-0000-2800-000003000000}">
      <text>
        <r>
          <rPr>
            <sz val="9"/>
            <color indexed="81"/>
            <rFont val="Tahoma"/>
            <family val="2"/>
          </rPr>
          <t>Considerando la suma empresas del sector y otras</t>
        </r>
      </text>
    </comment>
    <comment ref="E6" authorId="0" shapeId="0" xr:uid="{00000000-0006-0000-2800-000004000000}">
      <text>
        <r>
          <rPr>
            <sz val="9"/>
            <color indexed="81"/>
            <rFont val="Tahoma"/>
            <family val="2"/>
          </rPr>
          <t>Considerando la suma empresas del sector y otras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Pedro</author>
    <author>ces11</author>
  </authors>
  <commentList>
    <comment ref="J3" authorId="0" shapeId="0" xr:uid="{00000000-0006-0000-0700-000001000000}">
      <text>
        <r>
          <rPr>
            <sz val="8"/>
            <color indexed="81"/>
            <rFont val="Tahoma"/>
            <family val="2"/>
          </rPr>
          <t>La matedología base 2004 genera un aumento fundamentalmente en los sub componentes de consumo (en principio se corrige la sub estimación de gastos que informan individuos y familias)</t>
        </r>
        <r>
          <rPr>
            <sz val="11"/>
            <color indexed="81"/>
            <rFont val="Tahoma"/>
            <family val="2"/>
          </rPr>
          <t xml:space="preserve">
</t>
        </r>
      </text>
    </comment>
    <comment ref="S3" authorId="0" shapeId="0" xr:uid="{00000000-0006-0000-0700-000002000000}">
      <text>
        <r>
          <rPr>
            <sz val="8"/>
            <color indexed="81"/>
            <rFont val="Tahoma"/>
            <family val="2"/>
          </rPr>
          <t>La matedología base 2004 genera un aumento fundamentalmente en los sub componentes de consumo (en principio se corrige la sub estimación de gastos que informan individuos y familias)</t>
        </r>
        <r>
          <rPr>
            <sz val="11"/>
            <color indexed="81"/>
            <rFont val="Tahoma"/>
            <family val="2"/>
          </rPr>
          <t xml:space="preserve">
</t>
        </r>
      </text>
    </comment>
    <comment ref="H5" authorId="1" shapeId="0" xr:uid="{00000000-0006-0000-0700-000003000000}">
      <text>
        <r>
          <rPr>
            <sz val="9"/>
            <color indexed="81"/>
            <rFont val="Tahoma"/>
            <family val="2"/>
          </rPr>
          <t>Hasta el 2015 incluye: variación de existencias de productos agrícolas e industriales nacionales y variación de existencias de productos industriales importados más discrepancia estadistica neta.</t>
        </r>
      </text>
    </comment>
    <comment ref="Q5" authorId="1" shapeId="0" xr:uid="{00000000-0006-0000-0700-000004000000}">
      <text>
        <r>
          <rPr>
            <sz val="9"/>
            <color indexed="81"/>
            <rFont val="Tahoma"/>
            <family val="2"/>
          </rPr>
          <t xml:space="preserve">Hasta el 2015 incluye: variación de existencias de productos agrícolas e industriales nacionales y variación de existencias de productos industriales importados más discrepancia estadistica neta.
</t>
        </r>
      </text>
    </comment>
    <comment ref="Z5" authorId="1" shapeId="0" xr:uid="{00000000-0006-0000-0700-000005000000}">
      <text>
        <r>
          <rPr>
            <sz val="9"/>
            <color indexed="81"/>
            <rFont val="Tahoma"/>
            <family val="2"/>
          </rPr>
          <t>Incluye: variación de existencias de productos agrícolas e industriales nacionales y variación de existencias de productos industriales importados más discrepancia estadística neta.</t>
        </r>
      </text>
    </comment>
    <comment ref="A102" authorId="0" shapeId="0" xr:uid="{00000000-0006-0000-0700-000006000000}">
      <text>
        <r>
          <rPr>
            <sz val="8"/>
            <color indexed="81"/>
            <rFont val="Tahoma"/>
            <family val="2"/>
          </rPr>
          <t>Las estimaciones se hicieron tomando tasas de cambio de los sub-componentes en la metodología base 1993</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Franco Riottini</author>
    <author>Francisco Leiva</author>
    <author>Florencia Camusso</author>
    <author>Ailén Bianchi</author>
    <author>Franco Ocampo</author>
    <author>Pedro</author>
  </authors>
  <commentList>
    <comment ref="L2" authorId="0" shapeId="0" xr:uid="{00000000-0006-0000-2900-000001000000}">
      <text>
        <r>
          <rPr>
            <sz val="9"/>
            <color indexed="81"/>
            <rFont val="Tahoma"/>
            <family val="2"/>
          </rPr>
          <t>Clasificadas por puerto de salida</t>
        </r>
        <r>
          <rPr>
            <sz val="9"/>
            <color indexed="81"/>
            <rFont val="Tahoma"/>
            <family val="2"/>
          </rPr>
          <t xml:space="preserve">
</t>
        </r>
      </text>
    </comment>
    <comment ref="Q2" authorId="0" shapeId="0" xr:uid="{00000000-0006-0000-2900-000002000000}">
      <text>
        <r>
          <rPr>
            <sz val="9"/>
            <color indexed="81"/>
            <rFont val="Tahoma"/>
            <family val="2"/>
          </rPr>
          <t xml:space="preserve">Clasificación por puerto de salida
</t>
        </r>
      </text>
    </comment>
    <comment ref="B3" authorId="1" shapeId="0" xr:uid="{DF322615-E42A-4D85-9FFE-21CA8AC9CDE1}">
      <text>
        <r>
          <rPr>
            <b/>
            <sz val="9"/>
            <color indexed="81"/>
            <rFont val="Tahoma"/>
            <family val="2"/>
          </rPr>
          <t>NOTA METODOLÓGICA:
Estadísticas elaboradas en base a información de elevadores de terminales portuarias (incluye solamente embarque por elevador a transporte marítimo).</t>
        </r>
      </text>
    </comment>
    <comment ref="AC3" authorId="2" shapeId="0" xr:uid="{00000000-0006-0000-1600-000001000000}">
      <text>
        <r>
          <rPr>
            <sz val="9"/>
            <color indexed="81"/>
            <rFont val="Tahoma"/>
            <family val="2"/>
          </rPr>
          <t xml:space="preserve">En base a declaraciones juradas de empresas exportadoras. </t>
        </r>
      </text>
    </comment>
    <comment ref="B5" authorId="3" shapeId="0" xr:uid="{00000000-0006-0000-2900-000003000000}">
      <text>
        <r>
          <rPr>
            <sz val="9"/>
            <color indexed="81"/>
            <rFont val="Tahoma"/>
            <family val="2"/>
          </rPr>
          <t xml:space="preserve">Revisión de datos desde 2005.01 hasta 2018.08, corrigiendo diferencias entre publicaciones mensuales y datos acumulados (noviembre 2018) 
</t>
        </r>
      </text>
    </comment>
    <comment ref="R9" authorId="1" shapeId="0" xr:uid="{253D1385-3736-448A-8C08-3B581C72FE74}">
      <text>
        <r>
          <rPr>
            <b/>
            <sz val="9"/>
            <color indexed="81"/>
            <rFont val="Tahoma"/>
            <family val="2"/>
          </rPr>
          <t>Muelles:
- GENERAL LAGOS
- VILLA GOBERNADOR GALVEZ</t>
        </r>
        <r>
          <rPr>
            <sz val="9"/>
            <color indexed="81"/>
            <rFont val="Tahoma"/>
            <family val="2"/>
          </rPr>
          <t xml:space="preserve">
</t>
        </r>
      </text>
    </comment>
    <comment ref="S9" authorId="1" shapeId="0" xr:uid="{DF2C1F62-57B2-4F8D-BBC8-55C10F7C52CB}">
      <text>
        <r>
          <rPr>
            <b/>
            <sz val="8"/>
            <color indexed="81"/>
            <rFont val="Tahoma"/>
            <family val="2"/>
          </rPr>
          <t>Muelles:
- COFCO PGSM
- SAN BENITO
- TERINAL 6
- TIMBUES COFCO
- TIMBUES DREYFUS
- TIMBUES RENOVA
- VICENTIN</t>
        </r>
      </text>
    </comment>
    <comment ref="T9" authorId="1" shapeId="0" xr:uid="{02FB5F64-BE3E-4408-95C2-79F51AD180BB}">
      <text>
        <r>
          <rPr>
            <b/>
            <sz val="9"/>
            <color indexed="81"/>
            <rFont val="Tahoma"/>
            <family val="2"/>
          </rPr>
          <t>Muelles:
- GENERAL LAGOS
- VILLA GOBERNADOR GALVEZ</t>
        </r>
        <r>
          <rPr>
            <sz val="9"/>
            <color indexed="81"/>
            <rFont val="Tahoma"/>
            <family val="2"/>
          </rPr>
          <t xml:space="preserve">
</t>
        </r>
      </text>
    </comment>
    <comment ref="U9" authorId="1" shapeId="0" xr:uid="{FFD3ECE9-E9DC-464F-AFF0-661F385E3C81}">
      <text>
        <r>
          <rPr>
            <b/>
            <sz val="8"/>
            <color indexed="81"/>
            <rFont val="Tahoma"/>
            <family val="2"/>
          </rPr>
          <t>Muelles:
- COFCO PGSM
- SAN BENITO
- TERINAL 6
- TIMBUES COFCO
- TIMBUES DREYFUS
- TIMBUES RENOVA
- VICENTIN</t>
        </r>
      </text>
    </comment>
    <comment ref="V9" authorId="3" shapeId="0" xr:uid="{00000000-0006-0000-1600-000002000000}">
      <text>
        <r>
          <rPr>
            <sz val="9"/>
            <color indexed="81"/>
            <rFont val="Tahoma"/>
            <family val="2"/>
          </rPr>
          <t xml:space="preserve">Revisión de datos desde 2014.01 hasta 2018.06, corrigiendo diferencias entre publicaciones mensuales y datos acumulados (septiembre 2018) 
</t>
        </r>
      </text>
    </comment>
    <comment ref="W9" authorId="4" shapeId="0" xr:uid="{2022932D-DA13-42EB-819D-DFB4926AF60B}">
      <text>
        <r>
          <rPr>
            <sz val="9"/>
            <color indexed="81"/>
            <rFont val="Tahoma"/>
            <family val="2"/>
          </rPr>
          <t xml:space="preserve">Exportación de aceite (nacional y extranjero) por todos los puertos
</t>
        </r>
      </text>
    </comment>
    <comment ref="AB9" authorId="3" shapeId="0" xr:uid="{00000000-0006-0000-1600-000003000000}">
      <text>
        <r>
          <rPr>
            <sz val="8"/>
            <color indexed="81"/>
            <rFont val="Tahoma"/>
            <family val="2"/>
          </rPr>
          <t xml:space="preserve">Revisión de datos desde 2014.01 hasta 2018.06, corrigiendo diferencias entre publicaciones mensuales y datos acumulados (septiembre 2018) 
</t>
        </r>
      </text>
    </comment>
    <comment ref="H233" authorId="5" shapeId="0" xr:uid="{00000000-0006-0000-2900-000004000000}">
      <text>
        <r>
          <rPr>
            <b/>
            <sz val="8"/>
            <color indexed="81"/>
            <rFont val="Tahoma"/>
            <family val="2"/>
          </rPr>
          <t>+ Arroyo Seco</t>
        </r>
        <r>
          <rPr>
            <sz val="8"/>
            <color indexed="81"/>
            <rFont val="Tahoma"/>
            <family val="2"/>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Pedro</author>
    <author>Franco Riottini</author>
  </authors>
  <commentList>
    <comment ref="B5" authorId="0" shapeId="0" xr:uid="{00000000-0006-0000-2B00-000001000000}">
      <text>
        <r>
          <rPr>
            <sz val="9"/>
            <color indexed="81"/>
            <rFont val="Tahoma"/>
            <family val="2"/>
          </rPr>
          <t>Mide la evolución del valor corriente de las exportaciones del período considerado respecto al valor corriente de las exportaciones del año base</t>
        </r>
      </text>
    </comment>
    <comment ref="C5" authorId="1" shapeId="0" xr:uid="{00000000-0006-0000-2B00-000002000000}">
      <text>
        <r>
          <rPr>
            <sz val="9"/>
            <color indexed="81"/>
            <rFont val="Tahoma"/>
            <family val="2"/>
          </rPr>
          <t>Mide la evolución de los precios de las exportaciones del período considerado respecto al año base.</t>
        </r>
      </text>
    </comment>
    <comment ref="D5" authorId="1" shapeId="0" xr:uid="{00000000-0006-0000-2B00-000003000000}">
      <text>
        <r>
          <rPr>
            <sz val="9"/>
            <color indexed="81"/>
            <rFont val="Tahoma"/>
            <family val="2"/>
          </rPr>
          <t>Resulta de dividir el índice de valor de las exportaciones del período considerado por el índice de precios de las exportaciones del mismo período. Mide la evolución de las cantidades físicas exportadas en el período considerado, expresadas a precios del año base.</t>
        </r>
      </text>
    </comment>
    <comment ref="E5" authorId="1" shapeId="0" xr:uid="{00000000-0006-0000-2B00-000004000000}">
      <text>
        <r>
          <rPr>
            <sz val="9"/>
            <color indexed="81"/>
            <rFont val="Tahoma"/>
            <family val="2"/>
          </rPr>
          <t>Mide la evolución del valor corriente de las importaciones del período considerado respecto al valor corriente de las importaciones del año base</t>
        </r>
      </text>
    </comment>
    <comment ref="F5" authorId="1" shapeId="0" xr:uid="{00000000-0006-0000-2B00-000005000000}">
      <text>
        <r>
          <rPr>
            <sz val="9"/>
            <color indexed="81"/>
            <rFont val="Tahoma"/>
            <family val="2"/>
          </rPr>
          <t>Mide la evolución de los precios de las importaciones del período considerado respecto al año base.</t>
        </r>
      </text>
    </comment>
    <comment ref="G5" authorId="1" shapeId="0" xr:uid="{00000000-0006-0000-2B00-000006000000}">
      <text>
        <r>
          <rPr>
            <sz val="9"/>
            <color indexed="81"/>
            <rFont val="Tahoma"/>
            <family val="2"/>
          </rPr>
          <t>Resulta de dividir el índice de valor de las exportaciones del período considerado por el índice de precios de las exportaciones del mismo período. Mide la evolución de las cantidades físicas exportadas en el período considerado, expresadas a precios del año base.</t>
        </r>
      </text>
    </comment>
    <comment ref="H5" authorId="1" shapeId="0" xr:uid="{00000000-0006-0000-2B00-000007000000}">
      <text>
        <r>
          <rPr>
            <sz val="9"/>
            <color indexed="81"/>
            <rFont val="Tahoma"/>
            <family val="2"/>
          </rPr>
          <t>Mide la evolución del poder de compra de una unidad física de exportación en términos de importaciones. Representa las variaciones en los precios relativos.</t>
        </r>
      </text>
    </comment>
    <comment ref="I5" authorId="1" shapeId="0" xr:uid="{00000000-0006-0000-2B00-000008000000}">
      <text>
        <r>
          <rPr>
            <sz val="9"/>
            <color indexed="81"/>
            <rFont val="Tahoma"/>
            <family val="2"/>
          </rPr>
          <t>Mide el valor de las unidades físicas de importación, a precios del año base, que se pueden comprar con las exportaciones del período.</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Valentin Corvalan Erbes</author>
    <author>Francisco Leiva</author>
  </authors>
  <commentList>
    <comment ref="C5" authorId="0" shapeId="0" xr:uid="{09249CBB-F4B9-4414-9F7A-3FD09F66A18E}">
      <text>
        <r>
          <rPr>
            <sz val="9"/>
            <color indexed="81"/>
            <rFont val="Tahoma"/>
            <family val="2"/>
          </rPr>
          <t xml:space="preserve">Corresponde a una estimación elaborada por INDEC, que indica el total de exportaciones nacionales vinculadas a bienes producidos en la provincia de Santa Fe.
</t>
        </r>
      </text>
    </comment>
    <comment ref="E5" authorId="0" shapeId="0" xr:uid="{5549F6AF-79B9-49E0-B2AA-1C0467EE7D9F}">
      <text>
        <r>
          <rPr>
            <sz val="9"/>
            <color indexed="81"/>
            <rFont val="Tahoma"/>
            <family val="2"/>
          </rPr>
          <t>Corresponde a operaciones de exportaciones que han sido registradas inicialmente en aduanas de la provincia de Santa Fe (San Lorenzo, Rosario, Villa Constitución, Santa Fe y Rafaela). Vale aclarar que dichos bienes no necesariamente fueron producidos en la provincia.</t>
        </r>
      </text>
    </comment>
    <comment ref="G5" authorId="0" shapeId="0" xr:uid="{83263F75-EEB6-455F-AFD8-50827D1A9497}">
      <text>
        <r>
          <rPr>
            <sz val="9"/>
            <color indexed="81"/>
            <rFont val="Tahoma"/>
            <family val="2"/>
          </rPr>
          <t>Corresponde a operaciones de exportaciones que han sido registradas finalmente en aduanas de la provincia de Santa Fe (San Lorenzo, Rosario, Villa Constitución y Santa Fe). Vale aclarar que dichos bienes no necesariamente fueron producidos en la provincia.</t>
        </r>
      </text>
    </comment>
    <comment ref="I5" authorId="0" shapeId="0" xr:uid="{9330223E-9BC7-408A-8784-43A88D3AE4A8}">
      <text>
        <r>
          <rPr>
            <sz val="9"/>
            <color indexed="81"/>
            <rFont val="Tahoma"/>
            <family val="2"/>
          </rPr>
          <t xml:space="preserve">Corresponde a operaciones de importaciones que han sido registradas por aduanas de la provincia de Santa Fe (San Lorenzo, Rosario, Villa Constitución, Santa Fe y Rafaela). </t>
        </r>
      </text>
    </comment>
    <comment ref="L5" authorId="0" shapeId="0" xr:uid="{F35986CA-6C1F-4A3B-8767-E2CF6D196FF3}">
      <text>
        <r>
          <rPr>
            <b/>
            <sz val="9"/>
            <color indexed="81"/>
            <rFont val="Tahoma"/>
            <family val="2"/>
          </rPr>
          <t>Refiere al monto de "ingresos  de servicios" de la cuenta corriente del balance de pagos</t>
        </r>
      </text>
    </comment>
    <comment ref="O5" authorId="0" shapeId="0" xr:uid="{2120BAE2-2AC0-4BCF-9D65-E0B9CC29B548}">
      <text>
        <r>
          <rPr>
            <b/>
            <sz val="9"/>
            <color indexed="81"/>
            <rFont val="Tahoma"/>
            <family val="2"/>
          </rPr>
          <t>Refiere al monto de "egresos  de servicios" de la cuenta corriente del balance de pagos</t>
        </r>
      </text>
    </comment>
    <comment ref="D55" authorId="1" shapeId="0" xr:uid="{2F7E8CB3-7D61-4A7D-8E3B-A0BD986E5D92}">
      <text>
        <r>
          <rPr>
            <b/>
            <sz val="9"/>
            <color indexed="81"/>
            <rFont val="Tahoma"/>
            <family val="2"/>
          </rPr>
          <t>A partir de noviembre de 2025 se incorporaron 2 aduanas.</t>
        </r>
      </text>
    </comment>
    <comment ref="E55" authorId="1" shapeId="0" xr:uid="{B38E53B5-2D43-477C-BAE4-2C823D63A234}">
      <text>
        <r>
          <rPr>
            <b/>
            <sz val="9"/>
            <color indexed="81"/>
            <rFont val="Tahoma"/>
            <family val="2"/>
          </rPr>
          <t>A partir de noviembre de 2025 se incorporaron 2 aduanas.</t>
        </r>
      </text>
    </comment>
    <comment ref="F55" authorId="1" shapeId="0" xr:uid="{46C17EEB-1DA3-4847-A9ED-4FE6DE755BBB}">
      <text>
        <r>
          <rPr>
            <b/>
            <sz val="9"/>
            <color indexed="81"/>
            <rFont val="Tahoma"/>
            <family val="2"/>
          </rPr>
          <t>A partir de noviembre de 2025 se incorporaron 2 aduanas.</t>
        </r>
      </text>
    </comment>
    <comment ref="G55" authorId="1" shapeId="0" xr:uid="{7CD194A1-FCCB-4D8E-887A-841F65B87159}">
      <text>
        <r>
          <rPr>
            <b/>
            <sz val="9"/>
            <color indexed="81"/>
            <rFont val="Tahoma"/>
            <family val="2"/>
          </rPr>
          <t>A partir de noviembre de 2025 se incorporaron 2 aduanas.</t>
        </r>
      </text>
    </comment>
    <comment ref="H55" authorId="1" shapeId="0" xr:uid="{7CBAD8E7-DBEE-4C8A-96A4-51ED74AF808A}">
      <text>
        <r>
          <rPr>
            <b/>
            <sz val="9"/>
            <color indexed="81"/>
            <rFont val="Tahoma"/>
            <family val="2"/>
          </rPr>
          <t>A partir de noviembre de 2025 se incorporaron 2 aduanas.</t>
        </r>
      </text>
    </comment>
    <comment ref="I55" authorId="1" shapeId="0" xr:uid="{97977B1C-C162-4396-AC29-B7C5F833949E}">
      <text>
        <r>
          <rPr>
            <b/>
            <sz val="9"/>
            <color indexed="81"/>
            <rFont val="Tahoma"/>
            <family val="2"/>
          </rPr>
          <t>A partir de noviembre de 2025 se incorporaron 2 aduanas.</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Valentin Corvalan Erbes</author>
  </authors>
  <commentList>
    <comment ref="K2" authorId="0" shapeId="0" xr:uid="{A18D5CF0-534C-4456-8F45-D47F5D11326E}">
      <text>
        <r>
          <rPr>
            <sz val="9"/>
            <color indexed="81"/>
            <rFont val="Tahoma"/>
            <family val="2"/>
          </rPr>
          <t xml:space="preserve">Corresponde a una estimación elaborada por INDEC, que indica el total de exportaciones nacionales vinculadas a bienes producidos en la provincia de Santa Fe.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Pedro</author>
  </authors>
  <commentList>
    <comment ref="B10" authorId="0" shapeId="0" xr:uid="{00000000-0006-0000-2D00-000001000000}">
      <text>
        <r>
          <rPr>
            <sz val="9"/>
            <color indexed="81"/>
            <rFont val="Tahoma"/>
            <family val="2"/>
          </rPr>
          <t>Datos calculados con las tasas de cambio del indicador que se publicó hasta noviembre de 2015 utlizando de punto de empalme 1997.01</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Martina Mas</author>
    <author>pcohan</author>
  </authors>
  <commentList>
    <comment ref="D5" authorId="0" shapeId="0" xr:uid="{00000000-0006-0000-2E00-000001000000}">
      <text>
        <r>
          <rPr>
            <sz val="9"/>
            <color indexed="81"/>
            <rFont val="Tahoma"/>
            <family val="2"/>
          </rPr>
          <t xml:space="preserve">Este componente no aparece en el análisis de las finanzas provinciales, por tanto, se estima.
Aportes sociales mes objetivo = Participación del mismo mes del año anterior * suma de resto de componentes mes objetivo
Part. en el mismo mes del año anterior = (Aportes sociales mes anterior / (Remuneración total mes anterior - Aportes sociales mes anterior))
</t>
        </r>
      </text>
    </comment>
    <comment ref="F5" authorId="1" shapeId="0" xr:uid="{00000000-0006-0000-2E00-000002000000}">
      <text>
        <r>
          <rPr>
            <sz val="8"/>
            <color indexed="81"/>
            <rFont val="Tahoma"/>
            <family val="2"/>
          </rPr>
          <t xml:space="preserve">05/06/2024
Este componente no se encuentra en el análisis de las finanzas provinciales, por tanto, se estima.
El 95 % de lo recaudado se coparticipa a municipios y comunas.
PUSV = 5% de provincia de la tabla: RECURSOS DE LA ADMINISTRACIÓN PROVINCIAL del mes + (acumulado coparticipacion mes actual - acumulado coparticipacion mes anterior.
Se lo calcula de esta manera: se toma el total del concepto Tributarios, se le resta inmobiliario y se le suma inmobiliario corregido (regla de tres)
18/9/25
Recaudación Total de la Provincia, de la cual el 93% de la recaudación del Impuesto del Año corriente y el
100% de la recaudación de impuestos vencidos al 31 de Diciembre del año anterior, corresponde y es
coparticipado a Municipalidades y Comunas; más 1% distribuido en partes iguales entre las Municipalidades y un
1% distribuido en partes iguales entre las Comunas.
</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Francisco Leiva</author>
    <author>Pedro</author>
  </authors>
  <commentList>
    <comment ref="C6" authorId="0" shapeId="0" xr:uid="{8889D21E-40AD-400C-AC51-4FB1A39907DC}">
      <text>
        <r>
          <rPr>
            <b/>
            <sz val="8"/>
            <color indexed="81"/>
            <rFont val="Tahoma"/>
            <family val="2"/>
          </rPr>
          <t xml:space="preserve">19-5-25: se modificaron en el data (el cambio por parte de IPEC lo implementó en 2023.12), antes se leían la siguientes ponderaciones:
32,55% 8,42% 10,18% 7,51% 5,97% 19,27% 8,72% 2,52% 4,86% 0,15% </t>
        </r>
      </text>
    </comment>
    <comment ref="B272" authorId="1" shapeId="0" xr:uid="{00000000-0006-0000-3200-000001000000}">
      <text>
        <r>
          <rPr>
            <b/>
            <sz val="9"/>
            <color indexed="81"/>
            <rFont val="Tahoma"/>
            <family val="2"/>
          </rPr>
          <t>tasas de cambio del IPC de la provincia de Santa Fe base 2003 = 100</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Martina Mas</author>
  </authors>
  <commentList>
    <comment ref="B7" authorId="0" shapeId="0" xr:uid="{00000000-0006-0000-3300-000001000000}">
      <text>
        <r>
          <rPr>
            <sz val="9"/>
            <color indexed="81"/>
            <rFont val="Tahoma"/>
            <family val="2"/>
          </rPr>
          <t>Los niveles correspondientes al año 2021 no se encuentran publicados. Por tal motivo, las cifras con nueva base, se estiman en función de datos históricos, con eje en las ponderaciones previas al cambio de base.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ces11</author>
  </authors>
  <commentList>
    <comment ref="W5" authorId="0" shapeId="0" xr:uid="{00000000-0006-0000-3400-000001000000}">
      <text>
        <r>
          <rPr>
            <sz val="9"/>
            <color indexed="81"/>
            <rFont val="Tahoma"/>
            <family val="2"/>
          </rPr>
          <t xml:space="preserve">Partidas no incluídas en "Regulados" ni en "Estacionales". Representan el 69,9% de la canasta total del IPC
</t>
        </r>
      </text>
    </comment>
    <comment ref="X5" authorId="0" shapeId="0" xr:uid="{00000000-0006-0000-3400-000002000000}">
      <text>
        <r>
          <rPr>
            <sz val="9"/>
            <color indexed="81"/>
            <rFont val="Tahoma"/>
            <family val="2"/>
          </rPr>
          <t>Bienes y servicios cuyos precios están sujetos a regulación o tienen un alto componente impositivo: combustibles para la vivienda, electricidad, agua y servicios sanitarios, sistemas de salud y servicios auxiliares, transporte público de pasajeros, funcionamiento y mantenimiento de vehículos, correo, teléfono, educación formal y cigarrillos y accesorios. Esta categoría representa el 19,4% de la canasta total del IPC.</t>
        </r>
      </text>
    </comment>
    <comment ref="Y5" authorId="0" shapeId="0" xr:uid="{00000000-0006-0000-3400-000003000000}">
      <text>
        <r>
          <rPr>
            <sz val="9"/>
            <color indexed="81"/>
            <rFont val="Tahoma"/>
            <family val="2"/>
          </rPr>
          <t>Bienes y servicios con comportamiento estacional: frutas, verduras, ropa exterior, transporte por turismo y alojamiento y excursiones. Esta categoría representa el 10,8% de la canasta total del IPC</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Florencia Camusso</author>
    <author>Pedro</author>
  </authors>
  <commentList>
    <comment ref="B2" authorId="0" shapeId="0" xr:uid="{00000000-0006-0000-3500-000001000000}">
      <text>
        <r>
          <rPr>
            <b/>
            <sz val="9"/>
            <color indexed="81"/>
            <rFont val="Tahoma"/>
            <family val="2"/>
          </rPr>
          <t>1969.01 a 2013.12.</t>
        </r>
      </text>
    </comment>
    <comment ref="C2" authorId="0" shapeId="0" xr:uid="{00000000-0006-0000-3500-000002000000}">
      <text>
        <r>
          <rPr>
            <sz val="9"/>
            <color indexed="81"/>
            <rFont val="Tahoma"/>
            <family val="2"/>
          </rPr>
          <t>Datos corregidos por fuentes alternativas</t>
        </r>
      </text>
    </comment>
    <comment ref="C3" authorId="1" shapeId="0" xr:uid="{00000000-0006-0000-3500-000003000000}">
      <text>
        <r>
          <rPr>
            <b/>
            <u/>
            <sz val="9"/>
            <color indexed="81"/>
            <rFont val="Tahoma"/>
            <family val="2"/>
          </rPr>
          <t xml:space="preserve">
Empalmes
</t>
        </r>
        <r>
          <rPr>
            <sz val="9"/>
            <color indexed="81"/>
            <rFont val="Tahoma"/>
            <family val="2"/>
          </rPr>
          <t xml:space="preserve">2006.10 con IPC Buenos Aires City
2010.12 con IPC Santa Fe
2011.05 con IPC Congreso
</t>
        </r>
      </text>
    </comment>
    <comment ref="E3" authorId="1" shapeId="0" xr:uid="{00000000-0006-0000-3500-000004000000}">
      <text>
        <r>
          <rPr>
            <sz val="9"/>
            <color indexed="81"/>
            <rFont val="Tahoma"/>
            <family val="2"/>
          </rPr>
          <t xml:space="preserve">Promedio de mediciones privadas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Franco Riottini</author>
  </authors>
  <commentList>
    <comment ref="K2" authorId="0" shapeId="0" xr:uid="{00000000-0006-0000-0900-000001000000}">
      <text>
        <r>
          <rPr>
            <sz val="9"/>
            <color indexed="81"/>
            <rFont val="Tahoma"/>
            <family val="2"/>
          </rPr>
          <t>Refiere a las expectativas y/o decisiones planificadas o por planificar por parte de la empresa, respecto de la evolución neta de la dotación de las firmas para los siguientes tres meses al mes del relevamiento.</t>
        </r>
      </text>
    </comment>
    <comment ref="O2" authorId="0" shapeId="0" xr:uid="{00000000-0006-0000-0900-000002000000}">
      <text>
        <r>
          <rPr>
            <sz val="9"/>
            <color indexed="81"/>
            <rFont val="Tahoma"/>
            <family val="2"/>
          </rPr>
          <t>Refiere a las expectativas y/o decisiones planificadas o por planificar por parte de la empresa, respecto de la evolución neta de la dotación de las firmas para los siguientes tres meses al mes del relevamiento.</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Pedro</author>
  </authors>
  <commentList>
    <comment ref="E5" authorId="0" shapeId="0" xr:uid="{00000000-0006-0000-3600-000001000000}">
      <text>
        <r>
          <rPr>
            <sz val="8"/>
            <color indexed="81"/>
            <rFont val="Tahoma"/>
            <family val="2"/>
          </rPr>
          <t xml:space="preserve">Nueva canasta en línea con lo que propone el INDEC.
Canasta Básica: Canasta alimentaria + bienes y servicios. Delimita la línea de pobreza.
Familia tipo de 4 personas; un matrimonio y dos hijos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Ignacio Falco</author>
    <author>Franco Riottini</author>
  </authors>
  <commentList>
    <comment ref="B5" authorId="0" shapeId="0" xr:uid="{00000000-0006-0000-3700-000001000000}">
      <text>
        <r>
          <rPr>
            <sz val="9"/>
            <color indexed="81"/>
            <rFont val="Tahoma"/>
            <family val="2"/>
          </rPr>
          <t xml:space="preserve">Mide la evolución promedio de los precios de los productos de orígenes nacional e importado ofrecidos en el mercado interno. Se incluyen el IVA, los impuestos internos y los impuestos a los combustibles netos de los subsidios explícitos. Se excluye el valor de las exportaciones en el cálculo del peso relativo de cada actividad. </t>
        </r>
      </text>
    </comment>
    <comment ref="G5" authorId="0" shapeId="0" xr:uid="{00000000-0006-0000-3700-000002000000}">
      <text>
        <r>
          <rPr>
            <b/>
            <sz val="9"/>
            <color indexed="81"/>
            <rFont val="Tahoma"/>
            <family val="2"/>
          </rPr>
          <t>Igual cobertura que el IPIM, pero los precios no incluyen el efecto impositivo mencionado en el IPIM.</t>
        </r>
        <r>
          <rPr>
            <sz val="9"/>
            <color indexed="81"/>
            <rFont val="Tahoma"/>
            <family val="2"/>
          </rPr>
          <t xml:space="preserve">
</t>
        </r>
      </text>
    </comment>
    <comment ref="L5" authorId="0" shapeId="0" xr:uid="{00000000-0006-0000-3700-000003000000}">
      <text>
        <r>
          <rPr>
            <sz val="9"/>
            <color indexed="81"/>
            <rFont val="Tahoma"/>
            <family val="2"/>
          </rPr>
          <t xml:space="preserve">Mide la variación promedio de los precios percibidos por el productor local; por lo tanto se excluyen los bienes importados y en la ponderación de cada actividad se incluyen las exportaciones.
</t>
        </r>
      </text>
    </comment>
    <comment ref="A284" authorId="1" shapeId="0" xr:uid="{00000000-0006-0000-3700-000004000000}">
      <text>
        <r>
          <rPr>
            <sz val="9"/>
            <color indexed="81"/>
            <rFont val="Tahoma"/>
            <family val="2"/>
          </rPr>
          <t>Estimación: tasa de cambio del  IPC-NACIONAL (INDEC) + 0,03% de factor de corrección. Diferencia media entre IPC e IPIM durante 2014.03-2015.10</t>
        </r>
      </text>
    </comment>
    <comment ref="A285" authorId="1" shapeId="0" xr:uid="{00000000-0006-0000-3700-000005000000}">
      <text>
        <r>
          <rPr>
            <sz val="9"/>
            <color indexed="81"/>
            <rFont val="Tahoma"/>
            <family val="2"/>
          </rPr>
          <t>Estimación: tasa de cambio del  IPC-NACIONAL (INDEC) + 0,03% de factor de corrección. Diferencia media entre IPC e IPIM durante 2014.03-2015.10</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pcohan</author>
  </authors>
  <commentList>
    <comment ref="D5" authorId="0" shapeId="0" xr:uid="{00000000-0006-0000-3900-000001000000}">
      <text>
        <r>
          <rPr>
            <sz val="8"/>
            <color indexed="81"/>
            <rFont val="Tahoma"/>
            <family val="2"/>
          </rPr>
          <t>Referencia: Pergamino, Rojas, Colón (Bs. As.)</t>
        </r>
      </text>
    </comment>
    <comment ref="F5" authorId="0" shapeId="0" xr:uid="{00000000-0006-0000-3900-000002000000}">
      <text>
        <r>
          <rPr>
            <sz val="8"/>
            <color indexed="81"/>
            <rFont val="Tahoma"/>
            <family val="2"/>
          </rPr>
          <t>Referencia: Tres Arroyos, Necochea, Lobería (Bs. As.)</t>
        </r>
      </text>
    </comment>
    <comment ref="I5" authorId="0" shapeId="0" xr:uid="{00000000-0006-0000-3900-000003000000}">
      <text>
        <r>
          <rPr>
            <sz val="8"/>
            <color indexed="81"/>
            <rFont val="Tahoma"/>
            <family val="2"/>
          </rPr>
          <t>Referencia: Partidos de Trenque Lauquen, Rivadavia, Villegas (Bs. As.)</t>
        </r>
      </text>
    </comment>
    <comment ref="K5" authorId="0" shapeId="0" xr:uid="{00000000-0006-0000-3900-000004000000}">
      <text>
        <r>
          <rPr>
            <sz val="8"/>
            <color indexed="81"/>
            <rFont val="Tahoma"/>
            <family val="2"/>
          </rPr>
          <t>Referencia: Partidos de Ayacucho, Rauch, Las Flores (Bs. As.)</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Franco Riottini</author>
    <author>Francisco Leiva</author>
  </authors>
  <commentList>
    <comment ref="K2" authorId="0" shapeId="0" xr:uid="{00000000-0006-0000-3A00-000001000000}">
      <text>
        <r>
          <rPr>
            <sz val="9"/>
            <color indexed="81"/>
            <rFont val="Tahoma"/>
            <family val="2"/>
          </rPr>
          <t>El dólar MEP (o dólar bolsa) surge a partir de la compraventa de bonos y acciones que coticen en el mercado local y en el extranjero. A diferencia del dólar CCL, la compra se realiza en pesos y estos se venden en el mercado local en su variante "D". En este sentido, la cotización es el resultado de la división de la cantidad de pesos gastados en la compra de los bonos o acciones, por los dólares recibidos al venderlos.</t>
        </r>
      </text>
    </comment>
    <comment ref="L2" authorId="0" shapeId="0" xr:uid="{00000000-0006-0000-3A00-000002000000}">
      <text>
        <r>
          <rPr>
            <sz val="9"/>
            <color indexed="81"/>
            <rFont val="Tahoma"/>
            <family val="2"/>
          </rPr>
          <t>El dólar CCL (contado con liquidación) surge a partir de la compraventa de bonos y acciones que coticen en el mercado local y en el extranjero. A diferencia del dólar MEP, la compra se realiza en pesos y estos se venden en el mercado local en su variante "C", y estas especies liquidan luego en cuentas de EE. UU. En este sentido, la cotización es el resultado de la división de la cantidad de pesos gastados en la compra de los bonos o acciones, por los dólares recibidos al venderlos. El plazo de permanencia (parking) es de dos días hábiles. Y entre las restricciones existentes para obtener dólar CCL, si se utilizó el cupo mensual de los US$200 para obtener dólar turista, no se puede operar en dólar CCL sin que hayan transcurrido 90 días, y viceversa.</t>
        </r>
      </text>
    </comment>
    <comment ref="K6" authorId="1" shapeId="0" xr:uid="{99696C8C-CCC4-45EB-92F4-8D400FF586B2}">
      <text>
        <r>
          <rPr>
            <b/>
            <sz val="9"/>
            <color indexed="81"/>
            <rFont val="Tahoma"/>
            <family val="2"/>
          </rPr>
          <t>Antes del 16/04/2024 se cargaba el valor de cierre al último día del mes.</t>
        </r>
      </text>
    </comment>
    <comment ref="L6" authorId="1" shapeId="0" xr:uid="{D6839F64-B409-477A-B5CD-8410970DF479}">
      <text>
        <r>
          <rPr>
            <b/>
            <sz val="9"/>
            <color indexed="81"/>
            <rFont val="Tahoma"/>
            <family val="2"/>
          </rPr>
          <t>Antes del 16/04/2024 se cargaba el valor de cierre al último día del mes.</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ces11</author>
  </authors>
  <commentList>
    <comment ref="G3" authorId="0" shapeId="0" xr:uid="{00000000-0006-0000-3B00-000001000000}">
      <text>
        <r>
          <rPr>
            <sz val="9"/>
            <color indexed="81"/>
            <rFont val="Tahoma"/>
            <family val="2"/>
          </rPr>
          <t>Resultados del Relevamiento de Expectativas de Mercado (REM)</t>
        </r>
      </text>
    </comment>
    <comment ref="I3" authorId="0" shapeId="0" xr:uid="{684A9442-2102-43C9-B60B-44B684001728}">
      <text>
        <r>
          <rPr>
            <sz val="9"/>
            <color indexed="81"/>
            <rFont val="Tahoma"/>
            <family val="2"/>
          </rPr>
          <t>Resultados del Relevamiento de Expectativas de Mercado (REM)</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Florencia Camusso</author>
    <author>Pedro</author>
  </authors>
  <commentList>
    <comment ref="N5" authorId="0" shapeId="0" xr:uid="{D0747713-8F40-409D-ACE1-3A17AC6092F9}">
      <text>
        <r>
          <rPr>
            <sz val="9"/>
            <color indexed="81"/>
            <rFont val="Tahoma"/>
            <family val="2"/>
          </rPr>
          <t>Se corresponde con la categoría "Individual en dúplex"</t>
        </r>
      </text>
    </comment>
    <comment ref="O5" authorId="0" shapeId="0" xr:uid="{1BA048EA-3A8B-42F0-B514-C91C5F89B275}">
      <text>
        <r>
          <rPr>
            <sz val="9"/>
            <color indexed="81"/>
            <rFont val="Tahoma"/>
            <family val="2"/>
          </rPr>
          <t>Se corresponde con la categoría "Individual en planta baja".</t>
        </r>
      </text>
    </comment>
    <comment ref="P5" authorId="0" shapeId="0" xr:uid="{83CF6629-3795-47E1-8676-86B51D11E190}">
      <text>
        <r>
          <rPr>
            <sz val="9"/>
            <color indexed="81"/>
            <rFont val="Tahoma"/>
            <family val="2"/>
          </rPr>
          <t>Se corresponde con la categoría "Vivienda en colectiva en torre".</t>
        </r>
      </text>
    </comment>
    <comment ref="Q6" authorId="0" shapeId="0" xr:uid="{7EF24B19-2D5B-46E8-AE8B-78C47BCCB9E9}">
      <text>
        <r>
          <rPr>
            <sz val="9"/>
            <color indexed="81"/>
            <rFont val="Tahoma"/>
            <family val="2"/>
          </rPr>
          <t>Incluye referencias de las provincias de Corrientes, Entre Ríos, Chaco, Santa Fe y Córdoba.</t>
        </r>
      </text>
    </comment>
    <comment ref="B258" authorId="1" shapeId="0" xr:uid="{27D40779-4B24-4D9D-A5BF-1BF81AA46045}">
      <text>
        <r>
          <rPr>
            <b/>
            <sz val="9"/>
            <color indexed="81"/>
            <rFont val="Tahoma"/>
            <family val="2"/>
          </rPr>
          <t>tasas de cambio del IPC de la provincia de Santa Fe base 2003 = 100</t>
        </r>
      </text>
    </comment>
    <comment ref="F287" authorId="0" shapeId="0" xr:uid="{874EF381-A668-46A1-80CF-A483B7529974}">
      <text>
        <r>
          <rPr>
            <sz val="9"/>
            <color indexed="81"/>
            <rFont val="Tahoma"/>
            <family val="2"/>
          </rPr>
          <t>Valores estimados a partir de la tasa de cambio del valor del m2 en la ciudad de Santa Fe</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Pedro</author>
  </authors>
  <commentList>
    <comment ref="B5" authorId="0" shapeId="0" xr:uid="{00000000-0006-0000-3D00-000001000000}">
      <text>
        <r>
          <rPr>
            <sz val="9"/>
            <color indexed="81"/>
            <rFont val="Tahoma"/>
            <family val="2"/>
          </rPr>
          <t>Total país</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Francisco Leiva</author>
  </authors>
  <commentList>
    <comment ref="A349" authorId="0" shapeId="0" xr:uid="{65B21FA5-FE0B-4AA7-847F-3E3DB30137DF}">
      <text>
        <r>
          <rPr>
            <b/>
            <sz val="8"/>
            <color indexed="81"/>
            <rFont val="Tahoma"/>
            <family val="2"/>
          </rPr>
          <t>A partir de este período, los valores que se reciben desde la oficina son corregidos. En efecto, se tienen en cuenta categorías no determinadas, las cuales se suman a la categoría 1 (monto insignificante). Adicionalmente, las categorías 1 2 y 3 del tramo km146 se corrigen evitando que se considere el tráfico ineherente al puente Santa Fe-Santo Tomé.</t>
        </r>
      </text>
    </comment>
    <comment ref="A352" authorId="0" shapeId="0" xr:uid="{6200F16B-8566-4DEE-ABA5-8A0D193CF729}">
      <text>
        <r>
          <rPr>
            <b/>
            <sz val="8"/>
            <color indexed="81"/>
            <rFont val="Tahoma"/>
            <family val="2"/>
          </rPr>
          <t>Desde acá en adelante, existen vehículos que no se suman a ninguna de las categorías dado que se los registra como "Cat s/ determinar".
Entre 2024.07 y 2024.10, este número fue amplio (364.564, 356.034 y 203.530), mientras que en adelante se está ubicando en 6.500 vehículos en promedio.
Según se ha conversado con Vialidad, estos vehículos se sumaban a la categoría 1.</t>
        </r>
      </text>
    </comment>
    <comment ref="A358" authorId="0" shapeId="0" xr:uid="{AE7CA4C8-D2D5-47F2-BDD6-6F6D76C30818}">
      <text>
        <r>
          <rPr>
            <b/>
            <sz val="9"/>
            <color indexed="81"/>
            <rFont val="Tahoma"/>
            <family val="2"/>
          </rPr>
          <t>A partir de este período, los vehículos catalogados como sin categoría, se suman a la categoría 1, como siempre lo ha hecho vialidad (según mencionaron).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Florencia Camusso</author>
    <author>Franco Riottini</author>
    <author>pcohan</author>
    <author>Pedro Pablo Cohan</author>
  </authors>
  <commentList>
    <comment ref="E2" authorId="0" shapeId="0" xr:uid="{00000000-0006-0000-0B00-000001000000}">
      <text>
        <r>
          <rPr>
            <sz val="9"/>
            <color indexed="81"/>
            <rFont val="Tahoma"/>
            <family val="2"/>
          </rPr>
          <t>Valores acumulados desde enero a diciembre. Los datos provienen del informe denominado Análisis de las finanzas provinciales.</t>
        </r>
      </text>
    </comment>
    <comment ref="F2" authorId="1" shapeId="0" xr:uid="{00000000-0006-0000-0B00-000002000000}">
      <text>
        <r>
          <rPr>
            <sz val="9"/>
            <color indexed="81"/>
            <rFont val="Tahoma"/>
            <family val="2"/>
          </rPr>
          <t>No incluye asalariados del sector publico, asalariados de casas particulares, monostributistas o autonomos</t>
        </r>
      </text>
    </comment>
    <comment ref="E5" authorId="0" shapeId="0" xr:uid="{00000000-0006-0000-0B00-000004000000}">
      <text>
        <r>
          <rPr>
            <sz val="9"/>
            <color indexed="81"/>
            <rFont val="Tahoma"/>
            <family val="2"/>
          </rPr>
          <t xml:space="preserve">Incluye egresos destinados a pagos de: Emergencia Salud y Promoción Comunitaria / Desarrollo Social / Reemplazos docentes y no docentes.
s/ esquema AIF: incluye remuneraciones a la Administración Central, Org. Desentralizados e Inst. de la Seguridad Social. </t>
        </r>
      </text>
    </comment>
    <comment ref="K5" authorId="1" shapeId="0" xr:uid="{5BCD0EB5-A607-4411-8CF6-52C67F3039CC}">
      <text>
        <r>
          <rPr>
            <sz val="9"/>
            <color indexed="81"/>
            <rFont val="Tahoma"/>
            <family val="2"/>
          </rPr>
          <t xml:space="preserve">La asignación corresponde al lugar en el cual desarrolla su tarea el individuo informado. Los datos fueron relevados de los formularios ingresados en el mes de vencimiento de la obligación. Al no incluir a los empleados informados con posterioridad al mes de vencimiento de la obligación, las cantidades pueden presentar diferencias con sistemas administrativos de registración abiertos en el tiempo. </t>
        </r>
      </text>
    </comment>
    <comment ref="E10" authorId="2" shapeId="0" xr:uid="{00000000-0006-0000-0B00-000005000000}">
      <text>
        <r>
          <rPr>
            <sz val="8"/>
            <color indexed="81"/>
            <rFont val="Tahoma"/>
            <family val="2"/>
          </rPr>
          <t xml:space="preserve">Estimados utilizando los valores publicados para diciembre de cada año desde 1994 a 2001 en el Presupuesto Provincial y los pesos estacionales de la serie publicada de 2001 en adelante
</t>
        </r>
      </text>
    </comment>
    <comment ref="B370" authorId="3" shapeId="0" xr:uid="{D64ED8DD-0019-4DDC-9386-B3FFFBC40239}">
      <text>
        <r>
          <rPr>
            <sz val="9"/>
            <color indexed="81"/>
            <rFont val="Tahoma"/>
            <family val="2"/>
          </rPr>
          <t>Estrapolación lineal usando de base los datos publicados en 2024.12 y 2025.03</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Franco Ocampo</author>
    <author>Pedro Pablo Cohan</author>
  </authors>
  <commentList>
    <comment ref="D5" authorId="0" shapeId="0" xr:uid="{CEFA132F-B85E-4B01-9304-D78A83E5BC88}">
      <text>
        <r>
          <rPr>
            <b/>
            <sz val="9"/>
            <color indexed="81"/>
            <rFont val="Tahoma"/>
            <family val="2"/>
          </rPr>
          <t>Cantidad de asegurados que delcaran trabajar en la provincia de Santa Fe.</t>
        </r>
      </text>
    </comment>
    <comment ref="H5" authorId="0" shapeId="0" xr:uid="{16832ACC-C66C-4E9F-9383-CBDA1A758A18}">
      <text>
        <r>
          <rPr>
            <b/>
            <sz val="9"/>
            <color indexed="81"/>
            <rFont val="Tahoma"/>
            <family val="2"/>
          </rPr>
          <t>Cantidad de asegurados que pertenencen a empresas cuyo CUIT está radicado en la provincia de Santa Fe</t>
        </r>
      </text>
    </comment>
    <comment ref="B9" authorId="1" shapeId="0" xr:uid="{D83653C1-CA3F-4565-B368-D0EFFEAA461E}">
      <text>
        <r>
          <rPr>
            <sz val="9"/>
            <color indexed="81"/>
            <rFont val="Tahoma"/>
            <family val="2"/>
          </rPr>
          <t>Incluye algunas personas que trabajan en el sector público (aunque son minoritarias). No incluye personas trabajadoras en casas particulares. No es estrictamente comparable con otras bases de datos de empleo.</t>
        </r>
      </text>
    </comment>
    <comment ref="E9" authorId="1" shapeId="0" xr:uid="{76F2CCDC-018E-43B5-B4F1-393A5E28522F}">
      <text>
        <r>
          <rPr>
            <sz val="9"/>
            <color indexed="81"/>
            <rFont val="Tahoma"/>
            <family val="2"/>
          </rPr>
          <t>Incluye algunas personas que trabajan en el sector público (aunque son minoritarias). No incluye personas trabajadoras en casas particulares. No es estrictamente comparable con otras bases de datos de empleo.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Valentin Corvalan Erbes</author>
  </authors>
  <commentList>
    <comment ref="N2" authorId="0" shapeId="0" xr:uid="{48B1E27D-FCB7-4AF5-8163-A11D714F5A22}">
      <text>
        <r>
          <rPr>
            <sz val="8"/>
            <color indexed="81"/>
            <rFont val="Tahoma"/>
            <family val="2"/>
          </rPr>
          <t xml:space="preserve">En el caso de los trabajadores que tienen más de un empleo (pluriempleo) y esos puestos corresponden a modalidades ocupacionales diferentes, se categoriza de manera unívoca al trabajador en la modalidad que tenga el mejor orden de prioridad según la siguiente jerarquía: 
1°.  Asalariado Privado
2°.  Asalariado Público
3°.  Independiente autónomo
4°.  Independiente monotributo
5°.  Asalariado de casas particulares
6°.  Independiente monotributo social
</t>
        </r>
      </text>
    </comment>
    <comment ref="P2" authorId="0" shapeId="0" xr:uid="{3634D1F1-E6DE-4CB3-99EB-8F836A5260FE}">
      <text>
        <r>
          <rPr>
            <sz val="9"/>
            <color indexed="81"/>
            <rFont val="Tahoma"/>
            <family val="2"/>
          </rPr>
          <t>Es la remuneración bruta (previa a las deducciones por cargas sociales) declarada por la empresa para cada mes. Incluye adicionales de periodicidad no mensual, horas extraordinarias, viáticos, sueldo anual complementario y bonificación por vacaciones. No incluye indemnizaciones.</t>
        </r>
      </text>
    </comment>
    <comment ref="G3" authorId="0" shapeId="0" xr:uid="{493A2E25-E8DD-41AE-BBD4-E4A617F81809}">
      <text>
        <r>
          <rPr>
            <sz val="8"/>
            <color indexed="81"/>
            <rFont val="Tahoma"/>
            <family val="2"/>
          </rPr>
          <t>Al no incluir a los empleados informados con posterioridad al mes de vencimiento de la
obligación, las cantidades pueden presentar diferencias con sistemas administrativos de registración abiertos en el tiempo.</t>
        </r>
      </text>
    </comment>
    <comment ref="P3" authorId="0" shapeId="0" xr:uid="{F26592AF-0F2C-41FB-ACED-54C00A84B6AC}">
      <text>
        <r>
          <rPr>
            <sz val="9"/>
            <color indexed="81"/>
            <rFont val="Arial"/>
            <family val="2"/>
          </rPr>
          <t xml:space="preserve">En base a registros administrativos del sistema de seguridad social, el cual incluye a SIPA y a otras cajas previsionales no transferidas al SIPA. </t>
        </r>
      </text>
    </comment>
    <comment ref="N5" authorId="0" shapeId="0" xr:uid="{144F7981-078F-45D2-A76E-D26F77E0F975}">
      <text>
        <r>
          <rPr>
            <sz val="8"/>
            <color indexed="81"/>
            <rFont val="Tahoma"/>
            <family val="2"/>
          </rPr>
          <t>Se considera trabajador registrado a toda persona (identificada a través de un CUIT / CUIL) que ocupa al menos un puesto de trabajo declarado en los distintos subsistemas de la seguridad social.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Yamila Sonder</author>
    <author>Franco Riottini</author>
  </authors>
  <commentList>
    <comment ref="F4" authorId="0" shapeId="0" xr:uid="{9D646A7E-41E3-41F1-B84D-F6339E2873AD}">
      <text>
        <r>
          <rPr>
            <sz val="9"/>
            <color indexed="81"/>
            <rFont val="Tahoma"/>
            <family val="2"/>
          </rPr>
          <t xml:space="preserve">La provincia corresponde a la del domicilio del beneficiario
</t>
        </r>
      </text>
    </comment>
    <comment ref="D5" authorId="1" shapeId="0" xr:uid="{29DA14F6-F930-4127-83BD-D45FEC491143}">
      <text>
        <r>
          <rPr>
            <sz val="9"/>
            <color indexed="81"/>
            <rFont val="Tahoma"/>
            <family val="2"/>
          </rPr>
          <t>Los montos corresponden al 80% de la liquidación normal. No incluyen el 20% del complemento que se abona contra la presentación de la Libreta Nacional de Seguridad Social, Salud y Educación y la DDJJ del adulto responsable.</t>
        </r>
      </text>
    </comment>
    <comment ref="E5" authorId="1" shapeId="0" xr:uid="{5AC9DC8A-F7E3-4206-8FB4-8B4C101FE11D}">
      <text>
        <r>
          <rPr>
            <sz val="9"/>
            <color indexed="81"/>
            <rFont val="Tahoma"/>
            <family val="2"/>
          </rPr>
          <t>Los montos corresponden al 80% de la liquidación normal. No incluyen el 20% del complemento que se abona contra la presentación de la Libreta Nacional de Seguridad Social, Salud y Educación y la DDJJ del adulto responsable.</t>
        </r>
      </text>
    </comment>
    <comment ref="I5" authorId="1" shapeId="0" xr:uid="{FE36EE17-C9D8-4F42-8369-93CC50921106}">
      <text>
        <r>
          <rPr>
            <sz val="9"/>
            <color indexed="81"/>
            <rFont val="Tahoma"/>
            <family val="2"/>
          </rPr>
          <t>Los montos corresponden al 80% de la liquidación normal. No incluyen el 20% del complemento que se abona contra la presentación de la Libreta Nacional de Seguridad Social, Salud y Educación y la DDJJ del adulto responsable.</t>
        </r>
      </text>
    </comment>
    <comment ref="J5" authorId="1" shapeId="0" xr:uid="{C65C99AF-C422-4424-B961-4E133F1711C2}">
      <text>
        <r>
          <rPr>
            <sz val="9"/>
            <color indexed="81"/>
            <rFont val="Tahoma"/>
            <family val="2"/>
          </rPr>
          <t>Los montos corresponden al 80% de la liquidación normal. No incluyen el 20% del complemento que se abona contra la presentación de la Libreta Nacional de Seguridad Social, Salud y Educación y la DDJJ del adulto responsable.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Yamila Sonder</author>
    <author>pcohan</author>
  </authors>
  <commentList>
    <comment ref="B9" authorId="0" shapeId="0" xr:uid="{F7AB372A-5914-431B-A3CB-0748D733BE0C}">
      <text>
        <r>
          <rPr>
            <sz val="9"/>
            <color indexed="81"/>
            <rFont val="Tahoma"/>
            <family val="2"/>
          </rPr>
          <t>PEA / Población total</t>
        </r>
      </text>
    </comment>
    <comment ref="C9" authorId="0" shapeId="0" xr:uid="{10FB69BA-4B7B-4F29-AE75-EDBEA2C14BDE}">
      <text>
        <r>
          <rPr>
            <sz val="9"/>
            <color indexed="81"/>
            <rFont val="Tahoma"/>
            <family val="2"/>
          </rPr>
          <t>Población ocupada / Población total
O bien, (1 - T. Desempleo) * T. De actividad</t>
        </r>
      </text>
    </comment>
    <comment ref="D9" authorId="0" shapeId="0" xr:uid="{13342EAC-ACB9-40C9-9847-D5CC63229297}">
      <text>
        <r>
          <rPr>
            <sz val="9"/>
            <color indexed="81"/>
            <rFont val="Tahoma"/>
            <family val="2"/>
          </rPr>
          <t>Población desocupada / PEA</t>
        </r>
      </text>
    </comment>
    <comment ref="G9" authorId="0" shapeId="0" xr:uid="{02110F0A-0736-4FAD-913A-9787EECDF529}">
      <text>
        <r>
          <rPr>
            <sz val="9"/>
            <color indexed="81"/>
            <rFont val="Tahoma"/>
            <family val="2"/>
          </rPr>
          <t>Población subocupada / PEA</t>
        </r>
      </text>
    </comment>
    <comment ref="H9" authorId="0" shapeId="0" xr:uid="{5103C245-2C0B-4EBA-90FD-F014B3E2F930}">
      <text>
        <r>
          <rPr>
            <sz val="9"/>
            <color indexed="81"/>
            <rFont val="Tahoma"/>
            <family val="2"/>
          </rPr>
          <t>PEA / Población total</t>
        </r>
      </text>
    </comment>
    <comment ref="I9" authorId="0" shapeId="0" xr:uid="{F5425767-F230-46C7-B0D2-F299C86E97AB}">
      <text>
        <r>
          <rPr>
            <sz val="9"/>
            <color indexed="81"/>
            <rFont val="Tahoma"/>
            <family val="2"/>
          </rPr>
          <t>Población ocupada / Población total
O bien, (1 - T. Desempleo) * T. De actividad</t>
        </r>
      </text>
    </comment>
    <comment ref="J9" authorId="0" shapeId="0" xr:uid="{921F3282-6660-4B1A-8D49-BAA7F0C9CDBB}">
      <text>
        <r>
          <rPr>
            <sz val="9"/>
            <color indexed="81"/>
            <rFont val="Tahoma"/>
            <family val="2"/>
          </rPr>
          <t>Población desocupada / PEA</t>
        </r>
      </text>
    </comment>
    <comment ref="M9" authorId="0" shapeId="0" xr:uid="{56846F8B-B901-4ADC-984B-537C090F82A5}">
      <text>
        <r>
          <rPr>
            <sz val="9"/>
            <color indexed="81"/>
            <rFont val="Tahoma"/>
            <family val="2"/>
          </rPr>
          <t>Población subocupada / PEA</t>
        </r>
      </text>
    </comment>
    <comment ref="N9" authorId="0" shapeId="0" xr:uid="{D66975ED-F867-49C8-8404-288390739286}">
      <text>
        <r>
          <rPr>
            <sz val="9"/>
            <color indexed="81"/>
            <rFont val="Tahoma"/>
            <family val="2"/>
          </rPr>
          <t>PEA / Población total</t>
        </r>
      </text>
    </comment>
    <comment ref="O9" authorId="0" shapeId="0" xr:uid="{760DA34F-05DC-4DBE-802D-1D5DCA6D59E3}">
      <text>
        <r>
          <rPr>
            <sz val="9"/>
            <color indexed="81"/>
            <rFont val="Tahoma"/>
            <family val="2"/>
          </rPr>
          <t>Población ocupada / Población total
O bien, (1 - T. Desempleo) * T. De actividad</t>
        </r>
      </text>
    </comment>
    <comment ref="P9" authorId="0" shapeId="0" xr:uid="{06B9FC84-FF30-4147-A2CF-0D6928E00664}">
      <text>
        <r>
          <rPr>
            <sz val="9"/>
            <color indexed="81"/>
            <rFont val="Tahoma"/>
            <family val="2"/>
          </rPr>
          <t>Población desocupada / PEA</t>
        </r>
      </text>
    </comment>
    <comment ref="S9" authorId="0" shapeId="0" xr:uid="{2973A821-F4D9-45E2-A162-03D428B8CDF4}">
      <text>
        <r>
          <rPr>
            <sz val="9"/>
            <color indexed="81"/>
            <rFont val="Tahoma"/>
            <family val="2"/>
          </rPr>
          <t>Población subocupada / PEA</t>
        </r>
      </text>
    </comment>
    <comment ref="A28" authorId="1" shapeId="0" xr:uid="{9B3B0BC8-37FB-4FD7-A2A0-387AFAFA99C9}">
      <text>
        <r>
          <rPr>
            <b/>
            <sz val="8"/>
            <color indexed="81"/>
            <rFont val="Tahoma"/>
            <family val="2"/>
          </rPr>
          <t>Comienza la EPH contínua</t>
        </r>
      </text>
    </comment>
    <comment ref="H29" authorId="1" shapeId="0" xr:uid="{EB746901-3A6B-4B0A-B9C6-1CA9E9C464A8}">
      <text>
        <r>
          <rPr>
            <b/>
            <sz val="8"/>
            <color indexed="81"/>
            <rFont val="Tahoma"/>
            <family val="2"/>
          </rPr>
          <t>Se postergó por inundaciones...</t>
        </r>
      </text>
    </comment>
  </commentList>
</comments>
</file>

<file path=xl/sharedStrings.xml><?xml version="1.0" encoding="utf-8"?>
<sst xmlns="http://schemas.openxmlformats.org/spreadsheetml/2006/main" count="4825" uniqueCount="2117">
  <si>
    <t>Centro de Estudios y Servicios - Bolsa de Comercio de Santa Fe -</t>
  </si>
  <si>
    <t>San Martín 2231 - CP 3000 - Santa Fe - Argentina</t>
  </si>
  <si>
    <r>
      <rPr>
        <b/>
        <u/>
        <sz val="10"/>
        <rFont val="Arial"/>
        <family val="2"/>
      </rPr>
      <t>Teléfono</t>
    </r>
    <r>
      <rPr>
        <b/>
        <sz val="10"/>
        <rFont val="Arial"/>
        <family val="2"/>
      </rPr>
      <t xml:space="preserve">: (0342) 4845800 </t>
    </r>
  </si>
  <si>
    <r>
      <rPr>
        <b/>
        <u/>
        <sz val="10"/>
        <rFont val="Arial"/>
        <family val="2"/>
      </rPr>
      <t>Email</t>
    </r>
    <r>
      <rPr>
        <b/>
        <sz val="10"/>
        <rFont val="Arial"/>
        <family val="2"/>
      </rPr>
      <t>: ces@bcsf.com.ar</t>
    </r>
  </si>
  <si>
    <r>
      <rPr>
        <b/>
        <u/>
        <sz val="10"/>
        <rFont val="Arial"/>
        <family val="2"/>
      </rPr>
      <t>Website</t>
    </r>
    <r>
      <rPr>
        <b/>
        <sz val="10"/>
        <rFont val="Arial"/>
        <family val="2"/>
      </rPr>
      <t xml:space="preserve">: https://bcsf.com.ar/ces/ o bien http://www.bcsf.com.ar </t>
    </r>
  </si>
  <si>
    <t xml:space="preserve"> </t>
  </si>
  <si>
    <t>BASE DE DATOS ESTADÍSTICOS DE LA PROVINCIA DE SANTA FE</t>
  </si>
  <si>
    <r>
      <rPr>
        <b/>
        <u/>
        <sz val="11"/>
        <rFont val="Arial"/>
        <family val="2"/>
      </rPr>
      <t>Aclaración general</t>
    </r>
    <r>
      <rPr>
        <b/>
        <sz val="11"/>
        <rFont val="Arial"/>
        <family val="2"/>
      </rPr>
      <t xml:space="preserve">: los datos </t>
    </r>
    <r>
      <rPr>
        <b/>
        <u/>
        <sz val="11"/>
        <rFont val="Arial"/>
        <family val="2"/>
      </rPr>
      <t>subrayados</t>
    </r>
    <r>
      <rPr>
        <b/>
        <sz val="11"/>
        <rFont val="Arial"/>
        <family val="2"/>
      </rPr>
      <t xml:space="preserve"> implican estimaciones propias y los datos en </t>
    </r>
    <r>
      <rPr>
        <b/>
        <sz val="11"/>
        <color rgb="FF0070C0"/>
        <rFont val="Arial"/>
        <family val="2"/>
      </rPr>
      <t>azul</t>
    </r>
    <r>
      <rPr>
        <b/>
        <sz val="11"/>
        <rFont val="Arial"/>
        <family val="2"/>
      </rPr>
      <t xml:space="preserve"> la existencia de una fórmula. Los datos en </t>
    </r>
    <r>
      <rPr>
        <b/>
        <sz val="11"/>
        <color theme="7" tint="-0.499984740745262"/>
        <rFont val="Arial"/>
        <family val="2"/>
      </rPr>
      <t>amarillo oscuro</t>
    </r>
    <r>
      <rPr>
        <b/>
        <sz val="11"/>
        <rFont val="Arial"/>
        <family val="2"/>
      </rPr>
      <t xml:space="preserve"> indican información provisoria.</t>
    </r>
  </si>
  <si>
    <t>Actividad económica y valor agregado</t>
  </si>
  <si>
    <t>Frecuencia</t>
  </si>
  <si>
    <t>Nº de series</t>
  </si>
  <si>
    <t>Fecha de inicio</t>
  </si>
  <si>
    <t>1.1. Índice de Actividad Económica (ICA-SFE) - provincia de Santa Fe -</t>
  </si>
  <si>
    <t>Mensual</t>
  </si>
  <si>
    <t>1.2. Indicador Mensual de la Actividad Económica (IMAE) - provincia de Santa Fe -</t>
  </si>
  <si>
    <t>}</t>
  </si>
  <si>
    <t>1.3. Actividad económica coincidente - Argentina -</t>
  </si>
  <si>
    <t>1.4. Actividad económica líder - Argentina -</t>
  </si>
  <si>
    <t>1.5. Producto Bruto Geográfico de Santa Fe (PBG)</t>
  </si>
  <si>
    <t>Anual</t>
  </si>
  <si>
    <t>1.6. Producto Bruto Interno (PBI) de Argentina y subcomponentes</t>
  </si>
  <si>
    <t>Trimestral</t>
  </si>
  <si>
    <t>1970.T1</t>
  </si>
  <si>
    <t>1.7. Actividad económica global</t>
  </si>
  <si>
    <t>Mercado laboral y población</t>
  </si>
  <si>
    <t>2.1. Demanda laboral y expectativas empresarias - provincia de Santa Fe -</t>
  </si>
  <si>
    <t>2.2. Nivel de empleo y remuneraciones - provincia de Santa Fe -</t>
  </si>
  <si>
    <t>2.3. Puestos privados por sector - provincia de Santa Fe -</t>
  </si>
  <si>
    <t>1994.T1</t>
  </si>
  <si>
    <t>2.4. Coberturas de ART - provincia de Santa Fe -</t>
  </si>
  <si>
    <t>2.5. Nivel de empleo y remuneraciones - Argentina -</t>
  </si>
  <si>
    <t>2.5.a. Índice de salarios - Argentina -</t>
  </si>
  <si>
    <t>2.5.b. Jubilaciones y pensiones por tipo de prestación</t>
  </si>
  <si>
    <t>2.5.c. Beneficiarios y montos de programas de la seguridad social</t>
  </si>
  <si>
    <t>2.6. PEA, ocupación, desocupación y subocupación (EPH)</t>
  </si>
  <si>
    <t>1994.T2</t>
  </si>
  <si>
    <t>2.7. Tasas de actividad, empleo, desocupación y subempleo (EPH)</t>
  </si>
  <si>
    <t>2.8. Empleo público, categorías ocupacionales e informalidad (microdatos EPH)</t>
  </si>
  <si>
    <t>2004.T1</t>
  </si>
  <si>
    <t>2.9. Pobreza e indigencia (EPH)</t>
  </si>
  <si>
    <t>Semestral</t>
  </si>
  <si>
    <t>2001.S1</t>
  </si>
  <si>
    <t>2.10. Población provincial y nacional</t>
  </si>
  <si>
    <t>Indicadores del sector primario y secundario</t>
  </si>
  <si>
    <t>3.1. Producción de la industria láctea y precios de referencia</t>
  </si>
  <si>
    <t xml:space="preserve">3.2. Molienda de granos </t>
  </si>
  <si>
    <t>3.3. Faena bovina, porcina y aviar</t>
  </si>
  <si>
    <t>3.4. Despacho de cemento y otras estadísticas del sector construcción</t>
  </si>
  <si>
    <t>3.5. Permisos de edificación y superficie cubierta autorizada</t>
  </si>
  <si>
    <t>3.6. Patentamientos, transferencias y producción de automotores</t>
  </si>
  <si>
    <t>3.7. Maquinaria agrícola</t>
  </si>
  <si>
    <t>2002.T1</t>
  </si>
  <si>
    <t>3.8. Índice de Producción Industrial (IPI) - Argentina -</t>
  </si>
  <si>
    <t>3.9. Utilización de la capacidad instalada en la industria</t>
  </si>
  <si>
    <t>3.10. Índice de Producción Industrial Manufacturera (IPIM) - Argentina -</t>
  </si>
  <si>
    <t>3.11. Producción industrial en la provincia de Santa Fe</t>
  </si>
  <si>
    <t>Indicadores del sector terciario</t>
  </si>
  <si>
    <t>4.1. Mercado financiero bancario</t>
  </si>
  <si>
    <t>1991.T1</t>
  </si>
  <si>
    <t>4.2. Mercado de capitales</t>
  </si>
  <si>
    <t>4.3. Ventas de supermercados e indicadores de consumo minorista</t>
  </si>
  <si>
    <t>4.4. Índice de Confianza del Consumidor (ICC)</t>
  </si>
  <si>
    <t>4.5. Encuesta de Ocupación Hotelera (EOH)</t>
  </si>
  <si>
    <t>4.6. Transferencias de inmuebles y estadísticas afines</t>
  </si>
  <si>
    <t>4.7. Movimientos de carga de puertos de la provincia</t>
  </si>
  <si>
    <t>2014.T1</t>
  </si>
  <si>
    <t>Indicadores del sector energético</t>
  </si>
  <si>
    <t>5.1. Consumo de gas</t>
  </si>
  <si>
    <t xml:space="preserve">5.2. Consumo de energía eléctrica - EPE - </t>
  </si>
  <si>
    <t>No se publican por secreto estadístico</t>
  </si>
  <si>
    <t xml:space="preserve">5.3. Consumo de energía eléctrica - CAMMESA - </t>
  </si>
  <si>
    <t>5.4. Ventas de combustibles</t>
  </si>
  <si>
    <t>Sector externo</t>
  </si>
  <si>
    <t xml:space="preserve">6.1. Exportación de cereales y aceites de oleaginosas por puertos santafesinos </t>
  </si>
  <si>
    <t>1986.T1</t>
  </si>
  <si>
    <t>Finanzas Públicas</t>
  </si>
  <si>
    <t>7.1. Recursos tributarios de origen provincial</t>
  </si>
  <si>
    <t>7.2. Recursos tributarios de origen nacional</t>
  </si>
  <si>
    <t>7.4. Recaudación de IVA</t>
  </si>
  <si>
    <t>Precios</t>
  </si>
  <si>
    <t>8.1. IPC Santa Fe</t>
  </si>
  <si>
    <t xml:space="preserve">8.2. Índice de Precios al Consumidor de la Ciudad de Buenos Aires (IPC-BA) </t>
  </si>
  <si>
    <t xml:space="preserve">8.3. IPC Nacional y regiones  - oficial - </t>
  </si>
  <si>
    <t>8.4. Precios minoristas  - serie histórica GBA y fuentes alternativas -</t>
  </si>
  <si>
    <t>8.5. Precios minoristas y costo de vida en Bahía Blanca</t>
  </si>
  <si>
    <t>8.6. Sistema de Índices de Precios Mayoristas (SIPM)</t>
  </si>
  <si>
    <t>8.7. Índice de precios de las materias primas de exportación</t>
  </si>
  <si>
    <t xml:space="preserve">8.8. Valor de la tierra destinada a la explotación agrícola y ganadera </t>
  </si>
  <si>
    <t>8.9. Valor del dólar norteamericano respecto al peso y a otras monedas</t>
  </si>
  <si>
    <t>8.10. Expectativas de inflación</t>
  </si>
  <si>
    <t>8.11. Costos de la construcción</t>
  </si>
  <si>
    <t>Otros indicadores</t>
  </si>
  <si>
    <t>9.1. Circulación de periódicos</t>
  </si>
  <si>
    <t>9.2. Tránsito vehicular autopista AP-01</t>
  </si>
  <si>
    <t>Total de series mensuales</t>
  </si>
  <si>
    <t>Total de series trimestrales</t>
  </si>
  <si>
    <t>Total de series semestrales</t>
  </si>
  <si>
    <t>Total de series anuales</t>
  </si>
  <si>
    <t>Índice de precios al productor de USA</t>
  </si>
  <si>
    <t>Título</t>
  </si>
  <si>
    <t>Índice de precios de materias primas de exportación</t>
  </si>
  <si>
    <t>Índice Compuesto de Evolución Industrial de Santa Fe</t>
  </si>
  <si>
    <t>S&amp;P 500 Index</t>
  </si>
  <si>
    <t>Index, not seasonally adjusted</t>
  </si>
  <si>
    <t>Fuente</t>
  </si>
  <si>
    <t>KOF Swiss Economic Institute and Fundação Getúlio Vargas (FGV)</t>
  </si>
  <si>
    <t>Universidad Torcuato Di Tella (UTDT)</t>
  </si>
  <si>
    <t>Asociación de Fabricantes de Cemento Pórtland (AFCP)</t>
  </si>
  <si>
    <t>Secretaría de Energía de la Nación</t>
  </si>
  <si>
    <t>Instituto Nacional de Estadística y Censos (INDEC)</t>
  </si>
  <si>
    <t>Ministerio de Economía de la provincia de Santa Fe</t>
  </si>
  <si>
    <t>Superintendencia de Riesgos del Trabajo. Gerencia Técnica. Departamento de Estudios Estadísticos.</t>
  </si>
  <si>
    <t>Ente Nacional Regulador del Gas (ENARGAS)</t>
  </si>
  <si>
    <t>Compañía Administradora del Mercado Mayorista Eléctrico Sociedad Anónima (CAMMESA)</t>
  </si>
  <si>
    <t>Banco Central de la República Argentina (BCRA)</t>
  </si>
  <si>
    <t>Secretaria de Agricultura, Ganadería y Pesca de Nación</t>
  </si>
  <si>
    <t>Administración Provincial de Impuestos (API)</t>
  </si>
  <si>
    <t>Fundación de Investigaciones Económicas Latinoamericanas (FIEL)</t>
  </si>
  <si>
    <t>Secretaría de Agricultura, Ganadería y Pesca de Nación</t>
  </si>
  <si>
    <t>CES-BCSF</t>
  </si>
  <si>
    <t>Comisión Nacional de Valores (CNV)</t>
  </si>
  <si>
    <t>Dirección Nacional de Registro de la Propiedad Automotor de Argentina (DNRPA)</t>
  </si>
  <si>
    <t>Revista Márgenes Agropecuarios</t>
  </si>
  <si>
    <t>Confederación Argentina de la Mediana Empresa (CAME)</t>
  </si>
  <si>
    <t>INDEC</t>
  </si>
  <si>
    <t>Unidad de medida</t>
  </si>
  <si>
    <t>Porcentaje</t>
  </si>
  <si>
    <t>Toneladas</t>
  </si>
  <si>
    <t>Miles de asalariados</t>
  </si>
  <si>
    <t>Índice Base 2001.12=100</t>
  </si>
  <si>
    <t>Índice base 2004=100</t>
  </si>
  <si>
    <t>Índice base 1993=100</t>
  </si>
  <si>
    <t>Millones de litros</t>
  </si>
  <si>
    <t>Índice base 1994=100</t>
  </si>
  <si>
    <t>Producto Interno Bruto a precios de mercado</t>
  </si>
  <si>
    <t>Instituto Nacional de Estadísticas y Censos (INDEC)</t>
  </si>
  <si>
    <t>Millones de pesos constantes de 2004</t>
  </si>
  <si>
    <t>Miles de personas</t>
  </si>
  <si>
    <t>Índice Compuesto Coincidente de Actividad Económica de la provincia de Santa Fe (ICA-SFE)</t>
  </si>
  <si>
    <t>Centro de Estudios y Servicios (CES) - Bolsa de Comercio de Santa Fe (BCSF)</t>
  </si>
  <si>
    <t>VOLVER AL ÍNDICE</t>
  </si>
  <si>
    <t>Nivel</t>
  </si>
  <si>
    <t>Variaciones mensuales</t>
  </si>
  <si>
    <t>Variaciones interanuales</t>
  </si>
  <si>
    <t>CÓDIGO</t>
  </si>
  <si>
    <t>1.1.1</t>
  </si>
  <si>
    <t>1.1.2</t>
  </si>
  <si>
    <t>1.1.3</t>
  </si>
  <si>
    <t>Indicador Mensual de Actividad Económica de la provincia de Santa Fe (IMAE)</t>
  </si>
  <si>
    <t>Componentes del Indicador Mensual de Actividad Económica de la provincia de Santa Fe (IMAE)</t>
  </si>
  <si>
    <t>Instituto Provincial de Estadísticas y Censos (IPEC)</t>
  </si>
  <si>
    <t xml:space="preserve">Agricultura, ganadería, caza y silvicultura </t>
  </si>
  <si>
    <t xml:space="preserve"> Pesca</t>
  </si>
  <si>
    <t>Explotación de minas y canteras</t>
  </si>
  <si>
    <t>Industria manufacturera</t>
  </si>
  <si>
    <t>Electricidad, gas y agua</t>
  </si>
  <si>
    <t>Construcción</t>
  </si>
  <si>
    <t>Comercio mayorista, minorista y reparaciones</t>
  </si>
  <si>
    <t>Hoteles y restaurantes</t>
  </si>
  <si>
    <t>Transporte y comunicaciones</t>
  </si>
  <si>
    <t>Intermediación financiera</t>
  </si>
  <si>
    <t>Actividades inmobiliarias, empresariales y de alquiler</t>
  </si>
  <si>
    <t xml:space="preserve"> Administración pública y defensa; planes de seguridad social de afiliación obligatoria</t>
  </si>
  <si>
    <t>Enseñanza</t>
  </si>
  <si>
    <t>Servicios sociales y de salud</t>
  </si>
  <si>
    <t>Otras actividades de servicios comunitarios, sociales y personales</t>
  </si>
  <si>
    <t>Servicio doméstico</t>
  </si>
  <si>
    <t>Serie original</t>
  </si>
  <si>
    <t>Serie desestacionalizada</t>
  </si>
  <si>
    <t>Serie tendencia-ciclo</t>
  </si>
  <si>
    <t>Series con estacionalidad</t>
  </si>
  <si>
    <t>1.2.1</t>
  </si>
  <si>
    <t>1.2.2</t>
  </si>
  <si>
    <t>1.2.3</t>
  </si>
  <si>
    <t>1.2.4</t>
  </si>
  <si>
    <t>1.2.5</t>
  </si>
  <si>
    <t>1.2.6</t>
  </si>
  <si>
    <t>1.2.7</t>
  </si>
  <si>
    <t>1.2.8</t>
  </si>
  <si>
    <t>1.2.9</t>
  </si>
  <si>
    <t>1.2.10</t>
  </si>
  <si>
    <t>1.2.11</t>
  </si>
  <si>
    <t>1.2.12</t>
  </si>
  <si>
    <t>1.2.13</t>
  </si>
  <si>
    <t>1.2.14</t>
  </si>
  <si>
    <t>1.2.15</t>
  </si>
  <si>
    <t>1.2.16</t>
  </si>
  <si>
    <t>1.2.17</t>
  </si>
  <si>
    <t>1.2.18</t>
  </si>
  <si>
    <t>1.2.19</t>
  </si>
  <si>
    <t xml:space="preserve"> Estimador Mensual de Actividad Económica (EMAE) en Argentina</t>
  </si>
  <si>
    <t>Indice General de Actividad (IGA) de Argentina</t>
  </si>
  <si>
    <t>Índice Compuesto de Actividad Económica de Argentina</t>
  </si>
  <si>
    <t>Fuentes</t>
  </si>
  <si>
    <t xml:space="preserve"> Orlando J. Ferreres &amp; Asociados S.A. (OJF)</t>
  </si>
  <si>
    <t>Centro de Investigación del Ciclo Económico (CICEc)</t>
  </si>
  <si>
    <t>Serie tendencia- ciclo</t>
  </si>
  <si>
    <t>Tendencia con cambio de base</t>
  </si>
  <si>
    <t>1.3.1</t>
  </si>
  <si>
    <t>1.3.2</t>
  </si>
  <si>
    <t>1.3.3</t>
  </si>
  <si>
    <t>1.3.4</t>
  </si>
  <si>
    <t>1.3.5</t>
  </si>
  <si>
    <t>1.3.6</t>
  </si>
  <si>
    <t>Índice líder de actividad económica de Argentina</t>
  </si>
  <si>
    <t>1.4.1</t>
  </si>
  <si>
    <t>Producto Bruto Geográfico (PBG) de la provincia de Santa Fe, a precios constantes de 2004, sin IVA, según categoría</t>
  </si>
  <si>
    <t>Instituto Provincial de Estadística y Censos (IPEC), CEPAL y Consejo Federal de Inversiones (CFI). La estimación de largo plazo (1884-1992) fue realizada por el CES</t>
  </si>
  <si>
    <t>Productores de Bienes</t>
  </si>
  <si>
    <t>Productores de Servicios</t>
  </si>
  <si>
    <t>PBG Total</t>
  </si>
  <si>
    <t>Precios implícitos</t>
  </si>
  <si>
    <t>Inflación implicita anual</t>
  </si>
  <si>
    <t>Agricultura, ganadería, caza y silvicultura</t>
  </si>
  <si>
    <t>Pesca</t>
  </si>
  <si>
    <t>Construcciones</t>
  </si>
  <si>
    <t>Comercio</t>
  </si>
  <si>
    <t>Restaurantes y hoteles</t>
  </si>
  <si>
    <t>Transporte, almacenamiento y comunicaciones</t>
  </si>
  <si>
    <t>Servicios inmobiliarios, empresariales y de alquiler</t>
  </si>
  <si>
    <t>Administración pública y Seguridad Social</t>
  </si>
  <si>
    <t>Servicios comunitarios, sociales y personales</t>
  </si>
  <si>
    <t>A</t>
  </si>
  <si>
    <t>B</t>
  </si>
  <si>
    <t>C</t>
  </si>
  <si>
    <t>D</t>
  </si>
  <si>
    <t>E</t>
  </si>
  <si>
    <t>F</t>
  </si>
  <si>
    <t>G</t>
  </si>
  <si>
    <t>H</t>
  </si>
  <si>
    <t>I</t>
  </si>
  <si>
    <t>J</t>
  </si>
  <si>
    <t>K</t>
  </si>
  <si>
    <t>L</t>
  </si>
  <si>
    <t>M</t>
  </si>
  <si>
    <t>N</t>
  </si>
  <si>
    <t xml:space="preserve">O </t>
  </si>
  <si>
    <t>P</t>
  </si>
  <si>
    <t>Miles de pesos corrientes</t>
  </si>
  <si>
    <t>Miles de pesos de 2004</t>
  </si>
  <si>
    <t>Índice</t>
  </si>
  <si>
    <t>%</t>
  </si>
  <si>
    <t>Miles de pesos constantes de 2004</t>
  </si>
  <si>
    <t>1.5.1</t>
  </si>
  <si>
    <t>1.5.2</t>
  </si>
  <si>
    <t>1.5.3</t>
  </si>
  <si>
    <t>1.5.4</t>
  </si>
  <si>
    <t>1.5.5</t>
  </si>
  <si>
    <t>1.5.6</t>
  </si>
  <si>
    <t>1.5.7</t>
  </si>
  <si>
    <t>1.5.8</t>
  </si>
  <si>
    <t>1.5.9</t>
  </si>
  <si>
    <t>1.5.10</t>
  </si>
  <si>
    <t>1.5.11</t>
  </si>
  <si>
    <t>1.5.12</t>
  </si>
  <si>
    <t>1.5.13</t>
  </si>
  <si>
    <t>1.5.14</t>
  </si>
  <si>
    <t>1.5.15</t>
  </si>
  <si>
    <t>1.5.16</t>
  </si>
  <si>
    <t>1.5.17</t>
  </si>
  <si>
    <t>1.5.18</t>
  </si>
  <si>
    <t>1.5.19</t>
  </si>
  <si>
    <t>1.5.20</t>
  </si>
  <si>
    <t>Oferta y Demanda agregada: Producto Bruto Interno (PBI) y otros sub-componentes, a precios de mercado. Pesos constantes de 2004</t>
  </si>
  <si>
    <t>Oferta y Demanda agregada: Producto Bruto Interno (PBI) y otros sub-componentes, a precios de mercado. Precios Corrientes</t>
  </si>
  <si>
    <t>Oferta y Demanda Globales: series desestacionalizadas en millones de pesos, a precios de 2004</t>
  </si>
  <si>
    <t>Cuentas Nacionales - Instituto Nacional de Estadísticas y Censos (INDEC). Metodología revisión base 2004</t>
  </si>
  <si>
    <t>Oferta Agregada</t>
  </si>
  <si>
    <t>Demanda Agregada</t>
  </si>
  <si>
    <t>Otros</t>
  </si>
  <si>
    <t>Importaciones</t>
  </si>
  <si>
    <t>Consumo Privado</t>
  </si>
  <si>
    <t>Consumo Público</t>
  </si>
  <si>
    <t>Exportaciones</t>
  </si>
  <si>
    <t>Formación Bruta de Capital Fijo (FBCF)</t>
  </si>
  <si>
    <t>Variación de Existencias</t>
  </si>
  <si>
    <t>Discrepancia Estadística</t>
  </si>
  <si>
    <t>Discrepancia Estadística y Variación de Existencias</t>
  </si>
  <si>
    <t>Formación Bruta de Capital</t>
  </si>
  <si>
    <t>Millones de pesos corrientes</t>
  </si>
  <si>
    <t>1.6.1</t>
  </si>
  <si>
    <t>1.6.2</t>
  </si>
  <si>
    <t>1.6.3</t>
  </si>
  <si>
    <t>1.6.4</t>
  </si>
  <si>
    <t>1.6.5</t>
  </si>
  <si>
    <t>1.6.6</t>
  </si>
  <si>
    <t>1.6.7</t>
  </si>
  <si>
    <t>1.6.8</t>
  </si>
  <si>
    <t>1.6.9</t>
  </si>
  <si>
    <t>1.6.10</t>
  </si>
  <si>
    <t>1.6.11</t>
  </si>
  <si>
    <t>1.6.12</t>
  </si>
  <si>
    <t>1.6.13</t>
  </si>
  <si>
    <t>1.6.14</t>
  </si>
  <si>
    <t>1.6.15</t>
  </si>
  <si>
    <t>1.6.16</t>
  </si>
  <si>
    <t>1.6.17</t>
  </si>
  <si>
    <t>1.6.18</t>
  </si>
  <si>
    <t>1.6.19</t>
  </si>
  <si>
    <t>1.6.20</t>
  </si>
  <si>
    <t>1.6.21</t>
  </si>
  <si>
    <t>1.6.22</t>
  </si>
  <si>
    <t>1.6.23</t>
  </si>
  <si>
    <t>1.6.24</t>
  </si>
  <si>
    <t>1.6.25</t>
  </si>
  <si>
    <t>1970.T2</t>
  </si>
  <si>
    <t>1970.T3</t>
  </si>
  <si>
    <t>1970.T4</t>
  </si>
  <si>
    <t>1971.T1</t>
  </si>
  <si>
    <t>1971.T2</t>
  </si>
  <si>
    <t>1971.T3</t>
  </si>
  <si>
    <t>1971.T4</t>
  </si>
  <si>
    <t>1972.T1</t>
  </si>
  <si>
    <t>1972.T2</t>
  </si>
  <si>
    <t>1972.T3</t>
  </si>
  <si>
    <t>1972.T4</t>
  </si>
  <si>
    <t>1973.T1</t>
  </si>
  <si>
    <t>1973.T2</t>
  </si>
  <si>
    <t>1973.T3</t>
  </si>
  <si>
    <t>1973.T4</t>
  </si>
  <si>
    <t>1974.T1</t>
  </si>
  <si>
    <t>1974.T2</t>
  </si>
  <si>
    <t>1974.T3</t>
  </si>
  <si>
    <t>1974.T4</t>
  </si>
  <si>
    <t>1975.T1</t>
  </si>
  <si>
    <t>1975.T2</t>
  </si>
  <si>
    <t>1975.T3</t>
  </si>
  <si>
    <t>1975.T4</t>
  </si>
  <si>
    <t>1976.T1</t>
  </si>
  <si>
    <t>1976.T2</t>
  </si>
  <si>
    <t>1976.T3</t>
  </si>
  <si>
    <t>1976.T4</t>
  </si>
  <si>
    <t>1977.T1</t>
  </si>
  <si>
    <t>1977.T2</t>
  </si>
  <si>
    <t>1977.T3</t>
  </si>
  <si>
    <t>1977.T4</t>
  </si>
  <si>
    <t>1978.T1</t>
  </si>
  <si>
    <t>1978.T2</t>
  </si>
  <si>
    <t>1978.T3</t>
  </si>
  <si>
    <t>1978.T4</t>
  </si>
  <si>
    <t>1979.T1</t>
  </si>
  <si>
    <t>1979.T2</t>
  </si>
  <si>
    <t>1979.T3</t>
  </si>
  <si>
    <t>1979.T4</t>
  </si>
  <si>
    <t>1980.T1</t>
  </si>
  <si>
    <t>1980.T2</t>
  </si>
  <si>
    <t>1980.T3</t>
  </si>
  <si>
    <t>1980.T4</t>
  </si>
  <si>
    <t>1981.T1</t>
  </si>
  <si>
    <t>1981.T2</t>
  </si>
  <si>
    <t>1981.T3</t>
  </si>
  <si>
    <t>1981.T4</t>
  </si>
  <si>
    <t>1982.T1</t>
  </si>
  <si>
    <t>1982.T2</t>
  </si>
  <si>
    <t>1982.T3</t>
  </si>
  <si>
    <t>1982.T4</t>
  </si>
  <si>
    <t>1983.T1</t>
  </si>
  <si>
    <t>1983.T2</t>
  </si>
  <si>
    <t>1983.T3</t>
  </si>
  <si>
    <t>1983.T4</t>
  </si>
  <si>
    <t>1984.T1</t>
  </si>
  <si>
    <t>1984.T2</t>
  </si>
  <si>
    <t>1984.T3</t>
  </si>
  <si>
    <t>1984.T4</t>
  </si>
  <si>
    <t>1985.T1</t>
  </si>
  <si>
    <t>1985.T2</t>
  </si>
  <si>
    <t>1985.T3</t>
  </si>
  <si>
    <t>1985.T4</t>
  </si>
  <si>
    <t>1986.T2</t>
  </si>
  <si>
    <t>1986.T3</t>
  </si>
  <si>
    <t>1986.T4</t>
  </si>
  <si>
    <t>1987.T1</t>
  </si>
  <si>
    <t>1987.T2</t>
  </si>
  <si>
    <t>1987.T3</t>
  </si>
  <si>
    <t>1987.T4</t>
  </si>
  <si>
    <t>1988.T1</t>
  </si>
  <si>
    <t>1988.T2</t>
  </si>
  <si>
    <t>1988.T3</t>
  </si>
  <si>
    <t>1988.T4</t>
  </si>
  <si>
    <t>1989.T1</t>
  </si>
  <si>
    <t>1989.T2</t>
  </si>
  <si>
    <t>1989.T3</t>
  </si>
  <si>
    <t>1989.T4</t>
  </si>
  <si>
    <t>1990.T1</t>
  </si>
  <si>
    <t>1990.T2</t>
  </si>
  <si>
    <t>1990.T3</t>
  </si>
  <si>
    <t>1990.T4</t>
  </si>
  <si>
    <t>1991.T2</t>
  </si>
  <si>
    <t>1991.T3</t>
  </si>
  <si>
    <t>1991.T4</t>
  </si>
  <si>
    <t>1992.T1</t>
  </si>
  <si>
    <t>1992.T2</t>
  </si>
  <si>
    <t>1992.T3</t>
  </si>
  <si>
    <t>1992.T4</t>
  </si>
  <si>
    <t>1993.T1</t>
  </si>
  <si>
    <t>1993.T2</t>
  </si>
  <si>
    <t>1993.T3</t>
  </si>
  <si>
    <t>1993.T4</t>
  </si>
  <si>
    <t>1994.T3</t>
  </si>
  <si>
    <t>1994.T4</t>
  </si>
  <si>
    <t>1995.T1</t>
  </si>
  <si>
    <t>1995.T2</t>
  </si>
  <si>
    <t>1995.T3</t>
  </si>
  <si>
    <t>1995.T4</t>
  </si>
  <si>
    <t>1996.T1</t>
  </si>
  <si>
    <t>1996.T2</t>
  </si>
  <si>
    <t>1996.T3</t>
  </si>
  <si>
    <t>1996.T4</t>
  </si>
  <si>
    <t>1997.T1</t>
  </si>
  <si>
    <t>1997.T2</t>
  </si>
  <si>
    <t>1997.T3</t>
  </si>
  <si>
    <t>1997.T4</t>
  </si>
  <si>
    <t>1998.T1</t>
  </si>
  <si>
    <t>1998.T2</t>
  </si>
  <si>
    <t>1998.T3</t>
  </si>
  <si>
    <t>1998.T4</t>
  </si>
  <si>
    <t>1999.T1</t>
  </si>
  <si>
    <t>1999.T2</t>
  </si>
  <si>
    <t>1999.T3</t>
  </si>
  <si>
    <t>1999.T4</t>
  </si>
  <si>
    <t>2000.T1</t>
  </si>
  <si>
    <t>2000.T2</t>
  </si>
  <si>
    <t>2000.T3</t>
  </si>
  <si>
    <t>2000.T4</t>
  </si>
  <si>
    <t>2001.T1</t>
  </si>
  <si>
    <t>2001.T2</t>
  </si>
  <si>
    <t>2001.T3</t>
  </si>
  <si>
    <t>2001.T4</t>
  </si>
  <si>
    <t>2002.T2</t>
  </si>
  <si>
    <t>2002.T3</t>
  </si>
  <si>
    <t>2002.T4</t>
  </si>
  <si>
    <t>2003.T1</t>
  </si>
  <si>
    <t>2003.T2</t>
  </si>
  <si>
    <t>2003.T3</t>
  </si>
  <si>
    <t>2003.T4</t>
  </si>
  <si>
    <t>2004.T2</t>
  </si>
  <si>
    <t>2004.T3</t>
  </si>
  <si>
    <t>2004.T4</t>
  </si>
  <si>
    <t>2005.T1</t>
  </si>
  <si>
    <t>2005.T2</t>
  </si>
  <si>
    <t>2005.T3</t>
  </si>
  <si>
    <t>2005.T4</t>
  </si>
  <si>
    <t>2006.T1</t>
  </si>
  <si>
    <t>2006.T2</t>
  </si>
  <si>
    <t>2006.T3</t>
  </si>
  <si>
    <t>2006.T4</t>
  </si>
  <si>
    <t>2007.T1</t>
  </si>
  <si>
    <t>2007.T2</t>
  </si>
  <si>
    <t>2007.T3</t>
  </si>
  <si>
    <t>2007.T4</t>
  </si>
  <si>
    <t>2008.T1</t>
  </si>
  <si>
    <t>2008.T2</t>
  </si>
  <si>
    <t>2008.T3</t>
  </si>
  <si>
    <t>2008.T4</t>
  </si>
  <si>
    <t>2009.T1</t>
  </si>
  <si>
    <t>2009.T2</t>
  </si>
  <si>
    <t>2009.T3</t>
  </si>
  <si>
    <t>2009.T4</t>
  </si>
  <si>
    <t>2010.T1</t>
  </si>
  <si>
    <t>2010.T2</t>
  </si>
  <si>
    <t>2010.T3</t>
  </si>
  <si>
    <t>2010.T4</t>
  </si>
  <si>
    <t>2011.T1</t>
  </si>
  <si>
    <t>2011.T2</t>
  </si>
  <si>
    <t>2011.T3</t>
  </si>
  <si>
    <t>2011.T4</t>
  </si>
  <si>
    <t>2012.T1</t>
  </si>
  <si>
    <t>2012.T2</t>
  </si>
  <si>
    <t>2012.T3</t>
  </si>
  <si>
    <t>2012.T4</t>
  </si>
  <si>
    <t>2013.T1</t>
  </si>
  <si>
    <t>2013.T2</t>
  </si>
  <si>
    <t>2013.T3</t>
  </si>
  <si>
    <t>2013.T4</t>
  </si>
  <si>
    <t>2014.T2</t>
  </si>
  <si>
    <t>2014.T3</t>
  </si>
  <si>
    <t>2014.T4</t>
  </si>
  <si>
    <t>2015.T1</t>
  </si>
  <si>
    <t>2015.T2</t>
  </si>
  <si>
    <t>2015.T3</t>
  </si>
  <si>
    <t>2015.T4</t>
  </si>
  <si>
    <t>2016.T1</t>
  </si>
  <si>
    <t>2016.T2</t>
  </si>
  <si>
    <t>2016.T3</t>
  </si>
  <si>
    <t>2016.T4</t>
  </si>
  <si>
    <t>2017.T1</t>
  </si>
  <si>
    <t>2017.T2</t>
  </si>
  <si>
    <t>2017.T3</t>
  </si>
  <si>
    <t>2017.T4</t>
  </si>
  <si>
    <t>2018.T1</t>
  </si>
  <si>
    <t>2018.T2</t>
  </si>
  <si>
    <t>2018.T3</t>
  </si>
  <si>
    <t>2018.T4</t>
  </si>
  <si>
    <t>2019.T1</t>
  </si>
  <si>
    <t>2019.T2</t>
  </si>
  <si>
    <t>2019.T3</t>
  </si>
  <si>
    <t>2019.T4</t>
  </si>
  <si>
    <t>2020.T1</t>
  </si>
  <si>
    <t>2020.T2</t>
  </si>
  <si>
    <t>2020.T3</t>
  </si>
  <si>
    <t>2020.T4</t>
  </si>
  <si>
    <t>2021.T1</t>
  </si>
  <si>
    <t>2021.T2</t>
  </si>
  <si>
    <t>2021.T3</t>
  </si>
  <si>
    <t>2021.T4</t>
  </si>
  <si>
    <t>2022.T1</t>
  </si>
  <si>
    <t>2022.T2</t>
  </si>
  <si>
    <t>2022.T3</t>
  </si>
  <si>
    <t>2022.T4</t>
  </si>
  <si>
    <t>2023.T1</t>
  </si>
  <si>
    <t>2023.T2</t>
  </si>
  <si>
    <t>2023.T3</t>
  </si>
  <si>
    <t>2023.T4</t>
  </si>
  <si>
    <t>2024.T1</t>
  </si>
  <si>
    <t>2024.T2</t>
  </si>
  <si>
    <t>2024.T3</t>
  </si>
  <si>
    <t>2024.T4</t>
  </si>
  <si>
    <t>2025.T1</t>
  </si>
  <si>
    <t>2025.T2</t>
  </si>
  <si>
    <t>2025.T3</t>
  </si>
  <si>
    <t>2025.T4</t>
  </si>
  <si>
    <t>2026.T1</t>
  </si>
  <si>
    <t>2026.T2</t>
  </si>
  <si>
    <t>2026.T3</t>
  </si>
  <si>
    <t>2026.T4</t>
  </si>
  <si>
    <t>2027.T1</t>
  </si>
  <si>
    <t>2027.T2</t>
  </si>
  <si>
    <t>2027.T3</t>
  </si>
  <si>
    <t>2027.T4</t>
  </si>
  <si>
    <t>2028.T1</t>
  </si>
  <si>
    <t>2028.T2</t>
  </si>
  <si>
    <t>2028.T3</t>
  </si>
  <si>
    <t>2028.T4</t>
  </si>
  <si>
    <t>2029.T1</t>
  </si>
  <si>
    <t>2029.T2</t>
  </si>
  <si>
    <t>2029.T3</t>
  </si>
  <si>
    <t>2029.T4</t>
  </si>
  <si>
    <t>2030.T1</t>
  </si>
  <si>
    <t>2030.T2</t>
  </si>
  <si>
    <t>2030.T3</t>
  </si>
  <si>
    <t>2030.T4</t>
  </si>
  <si>
    <t>Actividad económica global (Global Economic Barometers)</t>
  </si>
  <si>
    <t>Global economic barometer (Coincident)</t>
  </si>
  <si>
    <t>Global economic barometer (Leading)</t>
  </si>
  <si>
    <t>Índice. Promedio de largo plazo = 100</t>
  </si>
  <si>
    <t>1.7.1</t>
  </si>
  <si>
    <t>1.7.2</t>
  </si>
  <si>
    <t>Expectativas de los empresarios: demanda laboral en Gran Rosario</t>
  </si>
  <si>
    <t>Expectativas de los empresarios: demanda laboral en Gran Santa Fe</t>
  </si>
  <si>
    <t>Expectativas empresarias y puestos vacantes: Aglomerado Gran Rosario</t>
  </si>
  <si>
    <t>Expectativas empresarias y puestos vacantes: Aglomerado Gran Santa Fe</t>
  </si>
  <si>
    <t>Encuesta de Indicadores Laborales (EIL) - Ministerio de Capital Humano</t>
  </si>
  <si>
    <t>No realizaron búsquedas de personal</t>
  </si>
  <si>
    <t>Realizaron búsquedas de personal</t>
  </si>
  <si>
    <t>Total</t>
  </si>
  <si>
    <t>La dotación se mantendrá</t>
  </si>
  <si>
    <t>La dotación aumentará</t>
  </si>
  <si>
    <t>La dotación disminuirá</t>
  </si>
  <si>
    <t>2.1.1</t>
  </si>
  <si>
    <t>2.1.2</t>
  </si>
  <si>
    <t>2.1.3</t>
  </si>
  <si>
    <t>2.1.4</t>
  </si>
  <si>
    <t>2.1.5</t>
  </si>
  <si>
    <t>2.1.6</t>
  </si>
  <si>
    <t>2.1.7</t>
  </si>
  <si>
    <t>2.1.8</t>
  </si>
  <si>
    <t>2.1.9</t>
  </si>
  <si>
    <t>2.1.10</t>
  </si>
  <si>
    <t>2.1.11</t>
  </si>
  <si>
    <t>2.1.12</t>
  </si>
  <si>
    <t>2.1.13</t>
  </si>
  <si>
    <t>2.1.14</t>
  </si>
  <si>
    <t>Planta de personal ocupado del sector público provincial</t>
  </si>
  <si>
    <t>Monto destinado a remuneraciones</t>
  </si>
  <si>
    <t>Empleos registrados del sector privado en el SIPA de la provincia de Santa Fe</t>
  </si>
  <si>
    <t>Salario promedio del sector público</t>
  </si>
  <si>
    <t>Salario promedio del sector privado</t>
  </si>
  <si>
    <t>Salario mediano del sector público</t>
  </si>
  <si>
    <t>Salario mediano del sector privado</t>
  </si>
  <si>
    <t>Empleos privados registrados</t>
  </si>
  <si>
    <t>Salarios formales promedios vinculados a SIPA</t>
  </si>
  <si>
    <t xml:space="preserve"> Dirección General de Recursos Humanos y Función Pública - Ministerio de Economía</t>
  </si>
  <si>
    <r>
      <t>STEySS (con datos SIPA) -</t>
    </r>
    <r>
      <rPr>
        <sz val="8"/>
        <rFont val="Arial"/>
        <family val="2"/>
      </rPr>
      <t xml:space="preserve"> Observatorio de Empleo y Dinámica Empresarial (OEDE)</t>
    </r>
  </si>
  <si>
    <t>Ministerio de Desarrollo Productivo. Unidad Gabinete de Asesores. Dirección Nacional de Estudios para la Producción.</t>
  </si>
  <si>
    <t>Sistema Integrado Previsional Argentino (SIPA)</t>
  </si>
  <si>
    <t>Planta ocupada</t>
  </si>
  <si>
    <t>Planta permanente</t>
  </si>
  <si>
    <t>Planta no permanente</t>
  </si>
  <si>
    <t>Numero de empleados. Serie con estacionalidad.</t>
  </si>
  <si>
    <t>Salario promedio - promedio de los departamentos de la provincia de Santa Fe (no se publica el total provincial)</t>
  </si>
  <si>
    <t>Salario mediano - mediana de los departamentos de la provincia de Santa Fe (no se publica el total provincial)</t>
  </si>
  <si>
    <t xml:space="preserve">Nº de empleos privados registrados en la provincia de Santa Fe </t>
  </si>
  <si>
    <t>Remuneración bruta promedio en Santa Fe</t>
  </si>
  <si>
    <t>Nº de puestos</t>
  </si>
  <si>
    <t>Pesos corrientes</t>
  </si>
  <si>
    <t>Nº de personas</t>
  </si>
  <si>
    <t>2.2.1</t>
  </si>
  <si>
    <t>2.2.2</t>
  </si>
  <si>
    <t>2.2.3</t>
  </si>
  <si>
    <t>2.2.4</t>
  </si>
  <si>
    <t>2.2.5</t>
  </si>
  <si>
    <t>2.2.6</t>
  </si>
  <si>
    <t>2.2.7</t>
  </si>
  <si>
    <t>2.2.8</t>
  </si>
  <si>
    <t>2.2.9</t>
  </si>
  <si>
    <t>2.2.10</t>
  </si>
  <si>
    <t>2.2.11</t>
  </si>
  <si>
    <t>Puestos de trabajo asalariados registrados en el sector privado en Santa Fe</t>
  </si>
  <si>
    <t>Observatorio de Empleo y Dinámica Empresarial (OEDE)</t>
  </si>
  <si>
    <t>Agricultura, ganaderia, caza y silvicultura</t>
  </si>
  <si>
    <t>Pesca y servicios conexos</t>
  </si>
  <si>
    <t>Explotacion  de  minas  y  canteras</t>
  </si>
  <si>
    <t>Construccion</t>
  </si>
  <si>
    <t>Comercio al por mayor y al por menor</t>
  </si>
  <si>
    <t xml:space="preserve">Hoteleria y restaurantes </t>
  </si>
  <si>
    <t>Servicios de transporte, de almacenamiento y de comunicaciones</t>
  </si>
  <si>
    <t xml:space="preserve">Intermediacion financiera y otros servicios financieros </t>
  </si>
  <si>
    <t>Servicios comunitarios, sociales y personales n.c.p.</t>
  </si>
  <si>
    <t>2.3.1</t>
  </si>
  <si>
    <t>2.3.2</t>
  </si>
  <si>
    <t>2.3.3</t>
  </si>
  <si>
    <t>2.3.4</t>
  </si>
  <si>
    <t>2.3.5</t>
  </si>
  <si>
    <t>2.3.6</t>
  </si>
  <si>
    <t>2.3.7</t>
  </si>
  <si>
    <t>2.3.8</t>
  </si>
  <si>
    <t>2.3.9</t>
  </si>
  <si>
    <t>2.3.10</t>
  </si>
  <si>
    <t>2.3.11</t>
  </si>
  <si>
    <t>2.3.12</t>
  </si>
  <si>
    <t>2.3.13</t>
  </si>
  <si>
    <t>2.3.14</t>
  </si>
  <si>
    <t>2.3.15</t>
  </si>
  <si>
    <t>Coberturas listadas en Aseguradoras de Riesgos del Trabajo (ART) para provincia de Santa Fe</t>
  </si>
  <si>
    <t>Jurisdicción provincia de Santa Fe y ubicación de la persona trabajadora en base a su propia declaración</t>
  </si>
  <si>
    <t>Jurisdicción provincia de Santa Fe y ubicación fiscal de la unidad productiva</t>
  </si>
  <si>
    <t>N° de asegurados</t>
  </si>
  <si>
    <t>N° de empresas</t>
  </si>
  <si>
    <t>2.4.1</t>
  </si>
  <si>
    <t>2.4.2</t>
  </si>
  <si>
    <t>2.4.3</t>
  </si>
  <si>
    <t>2.4.4</t>
  </si>
  <si>
    <t>2.4.5</t>
  </si>
  <si>
    <t>2.4.6</t>
  </si>
  <si>
    <t>2.4.7</t>
  </si>
  <si>
    <t xml:space="preserve">Personas cubiertas </t>
  </si>
  <si>
    <t>Remuneración bruta sin descuentos (masa salarial)</t>
  </si>
  <si>
    <t>Empresas vinculadas a los trabajadores</t>
  </si>
  <si>
    <t>Pesonas trabajadoras en casas particulares</t>
  </si>
  <si>
    <t>Empleo registrado en Argentina</t>
  </si>
  <si>
    <t>Salarios formales en Argentina</t>
  </si>
  <si>
    <t>Empleo registrado en Argentina, según modalidad ocupacional</t>
  </si>
  <si>
    <t>Salario formal en Argentina, sector privado</t>
  </si>
  <si>
    <t>Agencia de Recaudación y Control Aduanero (ARCA) en base a Sistema Integrado Previsional Argentino (SIPA)</t>
  </si>
  <si>
    <t xml:space="preserve">Asalariados registrados </t>
  </si>
  <si>
    <t xml:space="preserve">Asalariados públicos registrados en SIPA </t>
  </si>
  <si>
    <t xml:space="preserve">Asalariados privados registrados </t>
  </si>
  <si>
    <t>Remuneración bruta promedio (públicos y privados)</t>
  </si>
  <si>
    <t>Remuneración bruta promedio en el sector público</t>
  </si>
  <si>
    <t>Remuneración bruta promedio en el sector privado</t>
  </si>
  <si>
    <t>Asalariados privados</t>
  </si>
  <si>
    <t>Asalariados públicos</t>
  </si>
  <si>
    <t xml:space="preserve">Asalariados de casas particulares </t>
  </si>
  <si>
    <t xml:space="preserve">Independientes Autónomos </t>
  </si>
  <si>
    <t>Independientes Monotributo</t>
  </si>
  <si>
    <t xml:space="preserve">Independientes Monotributo
Social </t>
  </si>
  <si>
    <t xml:space="preserve">Total </t>
  </si>
  <si>
    <t>Remuneración bruta mediana</t>
  </si>
  <si>
    <t xml:space="preserve">Remuneración bruta promedio </t>
  </si>
  <si>
    <t>Nº de trabajadores</t>
  </si>
  <si>
    <t>Miles de trabajadores</t>
  </si>
  <si>
    <t>2.5.1</t>
  </si>
  <si>
    <t>2.5.2</t>
  </si>
  <si>
    <t>2.5.3</t>
  </si>
  <si>
    <t>2.5.4</t>
  </si>
  <si>
    <t>2.5.5</t>
  </si>
  <si>
    <t>2.5.6</t>
  </si>
  <si>
    <t>2.5.7</t>
  </si>
  <si>
    <t>2.5.8</t>
  </si>
  <si>
    <t>2.5.9</t>
  </si>
  <si>
    <t>2.5.10</t>
  </si>
  <si>
    <t>2.5.11</t>
  </si>
  <si>
    <t>2.5.12</t>
  </si>
  <si>
    <t>2.5.13</t>
  </si>
  <si>
    <t>2.5.14</t>
  </si>
  <si>
    <t>2.5.15</t>
  </si>
  <si>
    <t>Índice de salarios</t>
  </si>
  <si>
    <t>Instituto Nacional de Estadisticas y Censos (INDEC)</t>
  </si>
  <si>
    <t>Sector registrado</t>
  </si>
  <si>
    <t>Sector privado no registrado</t>
  </si>
  <si>
    <t>Total índice de salarios</t>
  </si>
  <si>
    <t>Sector privado registrado</t>
  </si>
  <si>
    <t>Sector público</t>
  </si>
  <si>
    <t>Total registrado</t>
  </si>
  <si>
    <t>Índice base 2015.10=100</t>
  </si>
  <si>
    <t>Ponderaciones</t>
  </si>
  <si>
    <t>2.5.a.1</t>
  </si>
  <si>
    <t>2.5.a.2</t>
  </si>
  <si>
    <t>2.5.a.3</t>
  </si>
  <si>
    <t>2.5.a.4</t>
  </si>
  <si>
    <t>2.5.a.5</t>
  </si>
  <si>
    <t>Jubilaciones y pensiones por tipo de prestación</t>
  </si>
  <si>
    <t>Administración Nacional de la Seguridad Social (ANSES)</t>
  </si>
  <si>
    <t>Argentina</t>
  </si>
  <si>
    <t>Provincia de Santa Fe</t>
  </si>
  <si>
    <t>Jubilados</t>
  </si>
  <si>
    <t>Pensionados</t>
  </si>
  <si>
    <t>N° de personas</t>
  </si>
  <si>
    <t>Forma de adquisición</t>
  </si>
  <si>
    <t>Sin moratoria</t>
  </si>
  <si>
    <t>Con moratoria</t>
  </si>
  <si>
    <t>2.5.b.1</t>
  </si>
  <si>
    <t>2.5b.2</t>
  </si>
  <si>
    <t>2.5.b.2</t>
  </si>
  <si>
    <t>2.5b.3</t>
  </si>
  <si>
    <t>2.5.b.3</t>
  </si>
  <si>
    <t>2.5b.4</t>
  </si>
  <si>
    <t>2.5.b.4</t>
  </si>
  <si>
    <t>2.5b.5</t>
  </si>
  <si>
    <t>2.5.b.5</t>
  </si>
  <si>
    <t>2.5b.6</t>
  </si>
  <si>
    <t>2.5.b.6</t>
  </si>
  <si>
    <t>2.5b.7</t>
  </si>
  <si>
    <t>Beneficiarios y montos de la Asignacion Universal por Hijo (AUH), por Hijo Discapacitado (AUHD) y de prestaciones por desempleo</t>
  </si>
  <si>
    <t>Santa Fe</t>
  </si>
  <si>
    <t>AUH</t>
  </si>
  <si>
    <t>AUHD</t>
  </si>
  <si>
    <t>Prestación por desempleo</t>
  </si>
  <si>
    <t>N° de beneficiarios</t>
  </si>
  <si>
    <t>2.5.c.1</t>
  </si>
  <si>
    <t>2.5.c.2</t>
  </si>
  <si>
    <t>2.5.c.3</t>
  </si>
  <si>
    <t>2.5.c.4</t>
  </si>
  <si>
    <t>2.5.c.5</t>
  </si>
  <si>
    <t>2.5.c.6</t>
  </si>
  <si>
    <t>2.5.c.7</t>
  </si>
  <si>
    <t>2.5.c.8</t>
  </si>
  <si>
    <t>2.5.c.9</t>
  </si>
  <si>
    <t>2.5.c.10</t>
  </si>
  <si>
    <t>EPH | Estadísticas del mercado de trabajo</t>
  </si>
  <si>
    <t>Encuesta Permanente de Hogares (EPH) - INDEC</t>
  </si>
  <si>
    <r>
      <rPr>
        <b/>
        <sz val="8"/>
        <rFont val="Arial"/>
        <family val="2"/>
      </rPr>
      <t>Advertencia</t>
    </r>
    <r>
      <rPr>
        <sz val="8"/>
        <rFont val="Arial"/>
        <family val="2"/>
      </rPr>
      <t xml:space="preserve"> sobre el uso de series estadísticas (comunicado oficial de INDEC): las estadísticas publicadas entre enero 2007 y hasta diciembre 2015 deben ser consideradas con reservas, excepto las que ya hayan sido revisadas en 2016 y su difusión lo consigne expresamente. Por tal motivo, los datos se encuentran subrayados.</t>
    </r>
  </si>
  <si>
    <t>Aglomerado Gran Rosario</t>
  </si>
  <si>
    <t>Aglomerado Gran Santa Fe</t>
  </si>
  <si>
    <t>Gran Rosario + Gran Santa Fe</t>
  </si>
  <si>
    <t>Total de aglomerados relevados en Argentina</t>
  </si>
  <si>
    <t>2.6.1</t>
  </si>
  <si>
    <t>2.6.2</t>
  </si>
  <si>
    <t>2.6.3</t>
  </si>
  <si>
    <t>2.6.4</t>
  </si>
  <si>
    <t>2.6.5</t>
  </si>
  <si>
    <t>2.6.6</t>
  </si>
  <si>
    <t>2.6.7</t>
  </si>
  <si>
    <t>2.6.8</t>
  </si>
  <si>
    <t>2.6.9</t>
  </si>
  <si>
    <t>2.6.10</t>
  </si>
  <si>
    <t>2.6.11</t>
  </si>
  <si>
    <t>2.6.12</t>
  </si>
  <si>
    <t>2.6.13</t>
  </si>
  <si>
    <t>2.6.14</t>
  </si>
  <si>
    <t>2.6.15</t>
  </si>
  <si>
    <t>2.6.16</t>
  </si>
  <si>
    <t>2.6.17</t>
  </si>
  <si>
    <t>2.6.18</t>
  </si>
  <si>
    <t>2.6.19</t>
  </si>
  <si>
    <t>2.6.20</t>
  </si>
  <si>
    <t>Serie</t>
  </si>
  <si>
    <t>Población</t>
  </si>
  <si>
    <t>PEA</t>
  </si>
  <si>
    <t>Ocupados</t>
  </si>
  <si>
    <t>Desocupados</t>
  </si>
  <si>
    <t>Subocupados</t>
  </si>
  <si>
    <t>mayo.94</t>
  </si>
  <si>
    <t>octubre.94</t>
  </si>
  <si>
    <t>mayo.95</t>
  </si>
  <si>
    <t>octubre.95</t>
  </si>
  <si>
    <t>mayo.96</t>
  </si>
  <si>
    <t>octubre.96</t>
  </si>
  <si>
    <t>mayo.97</t>
  </si>
  <si>
    <t>octubre.97</t>
  </si>
  <si>
    <t>mayo.98</t>
  </si>
  <si>
    <t>octubre.98</t>
  </si>
  <si>
    <t>mayo.99</t>
  </si>
  <si>
    <t>octubre.99</t>
  </si>
  <si>
    <t>mayo.00</t>
  </si>
  <si>
    <t>octubre.00</t>
  </si>
  <si>
    <t>mayo.01</t>
  </si>
  <si>
    <t>octubre.01</t>
  </si>
  <si>
    <t>mayo.02</t>
  </si>
  <si>
    <t>octubre.02</t>
  </si>
  <si>
    <t>EPH | Tasas del mercado de trabajo</t>
  </si>
  <si>
    <t>Tasas</t>
  </si>
  <si>
    <t>2.7.1</t>
  </si>
  <si>
    <t>2.7.2</t>
  </si>
  <si>
    <t>2.7.3</t>
  </si>
  <si>
    <t>2.7.4</t>
  </si>
  <si>
    <t>2.7.5</t>
  </si>
  <si>
    <t>2.7.6</t>
  </si>
  <si>
    <t>2.7.7</t>
  </si>
  <si>
    <t>2.7.8</t>
  </si>
  <si>
    <t>2.7.9</t>
  </si>
  <si>
    <t>2.7.10</t>
  </si>
  <si>
    <t>2.7.11</t>
  </si>
  <si>
    <t>2.7.12</t>
  </si>
  <si>
    <t>2.7.13</t>
  </si>
  <si>
    <t>2.7.14</t>
  </si>
  <si>
    <t>2.7.15</t>
  </si>
  <si>
    <t>2.7.16</t>
  </si>
  <si>
    <t>2.7.17</t>
  </si>
  <si>
    <t>2.7.18</t>
  </si>
  <si>
    <t>Tasa de actividad</t>
  </si>
  <si>
    <t>Tasa de empleo</t>
  </si>
  <si>
    <t>Tasa de desocupación</t>
  </si>
  <si>
    <t>Tasa de subocupación demandante</t>
  </si>
  <si>
    <t>Tasa de subocupación no demandante</t>
  </si>
  <si>
    <t>Tasa de subocupación</t>
  </si>
  <si>
    <r>
      <t>Advertencia sobre el uso de series estadísticas (comunicado oficial de INDEC)</t>
    </r>
    <r>
      <rPr>
        <b/>
        <sz val="8"/>
        <rFont val="Arial"/>
        <family val="2"/>
      </rPr>
      <t xml:space="preserve">: </t>
    </r>
    <r>
      <rPr>
        <sz val="8"/>
        <rFont val="Arial"/>
        <family val="2"/>
      </rPr>
      <t xml:space="preserve">Los datos subrayados indican que las estadísticas publicadas entre enero 2007 y hasta diciembre 2015 deben ser consideradas con reservas, excepto las que ya hayan sido revisadas en 2016 y su difusión lo consigne expresamente. </t>
    </r>
  </si>
  <si>
    <t>Estimaciones para el mercado de trabajo en base a filtros sobre la base de microdatos de EPH</t>
  </si>
  <si>
    <t>Base de microdatos de la Encuesta Permanente de Hogares (EPH) - INDEC</t>
  </si>
  <si>
    <t>Gran Rosario</t>
  </si>
  <si>
    <t>Gran Santa Fe</t>
  </si>
  <si>
    <t>Ocupados en el sector público</t>
  </si>
  <si>
    <t>Ocupados en el sector privado formal</t>
  </si>
  <si>
    <t>Patrones formales</t>
  </si>
  <si>
    <t>Cuentapropistas formales</t>
  </si>
  <si>
    <t>Asalariados formales</t>
  </si>
  <si>
    <t>Ocupados en el sector privado informal</t>
  </si>
  <si>
    <t>Patrones informales</t>
  </si>
  <si>
    <t>Cuentapropistas informales</t>
  </si>
  <si>
    <t>Asalariados informales</t>
  </si>
  <si>
    <t>Trabajadores familiares sin remuneración</t>
  </si>
  <si>
    <t>Otro tipo / NS NR</t>
  </si>
  <si>
    <t>Difrencia con reportes EPH</t>
  </si>
  <si>
    <t>Personas</t>
  </si>
  <si>
    <t>2.8.1</t>
  </si>
  <si>
    <t>2.8.2</t>
  </si>
  <si>
    <t>2.8.2.1</t>
  </si>
  <si>
    <t>2.8.2.2</t>
  </si>
  <si>
    <t>2.8.2.3</t>
  </si>
  <si>
    <t>2.8.3</t>
  </si>
  <si>
    <t>2.8.3.1</t>
  </si>
  <si>
    <t>2.8.3.2</t>
  </si>
  <si>
    <t>2.8.3.3</t>
  </si>
  <si>
    <t>2.8.3.4</t>
  </si>
  <si>
    <t>2.8.4</t>
  </si>
  <si>
    <t>2.8.5</t>
  </si>
  <si>
    <t>2.8.6</t>
  </si>
  <si>
    <t>2.8.6.1</t>
  </si>
  <si>
    <t>2.8.6.2</t>
  </si>
  <si>
    <t>2.8.6.3</t>
  </si>
  <si>
    <t>2.8.7</t>
  </si>
  <si>
    <t>2.8.7.1</t>
  </si>
  <si>
    <t>2.8.7.2</t>
  </si>
  <si>
    <t>2.8.7.3</t>
  </si>
  <si>
    <t>2.8.7.4</t>
  </si>
  <si>
    <t>2.8.8</t>
  </si>
  <si>
    <t>2.8.9</t>
  </si>
  <si>
    <t>2.8.10</t>
  </si>
  <si>
    <t>2.8.11</t>
  </si>
  <si>
    <t>2.8.12</t>
  </si>
  <si>
    <t>2.8.13</t>
  </si>
  <si>
    <t>2.8.14</t>
  </si>
  <si>
    <t>2.8.15</t>
  </si>
  <si>
    <t>2.8.16</t>
  </si>
  <si>
    <t>2.8.17</t>
  </si>
  <si>
    <t>2.8.18</t>
  </si>
  <si>
    <t>2.8.19</t>
  </si>
  <si>
    <t>2.8.20</t>
  </si>
  <si>
    <t>2.8.21</t>
  </si>
  <si>
    <t>Población según condición de pobreza e indigencia</t>
  </si>
  <si>
    <t>Hogares según condición de pobreza e indigencia</t>
  </si>
  <si>
    <t>Aglomerado:
GRAN SANTA FE</t>
  </si>
  <si>
    <t>Aglomerado: 
GRAN ROSARIO</t>
  </si>
  <si>
    <t>Aglomerado:
TOTAL PAÍS</t>
  </si>
  <si>
    <t>Miles personas</t>
  </si>
  <si>
    <t>2.9.1</t>
  </si>
  <si>
    <t>2.9.2</t>
  </si>
  <si>
    <t>2.9.3</t>
  </si>
  <si>
    <t>2.9.4</t>
  </si>
  <si>
    <t>2.9.5</t>
  </si>
  <si>
    <t>2.9.6</t>
  </si>
  <si>
    <t>2.9.7</t>
  </si>
  <si>
    <t>2.9.8</t>
  </si>
  <si>
    <t>2.9.9</t>
  </si>
  <si>
    <t>2.9.10</t>
  </si>
  <si>
    <t>2.9.11</t>
  </si>
  <si>
    <t>2.9.12</t>
  </si>
  <si>
    <t>2.9.13</t>
  </si>
  <si>
    <t>2.9.14</t>
  </si>
  <si>
    <t>2.9.15</t>
  </si>
  <si>
    <t>2.9.16</t>
  </si>
  <si>
    <t>2.9.17</t>
  </si>
  <si>
    <t>2.9.18</t>
  </si>
  <si>
    <t>2.9.19</t>
  </si>
  <si>
    <t>2.9.20</t>
  </si>
  <si>
    <t>2.9.21</t>
  </si>
  <si>
    <t>Pobreza</t>
  </si>
  <si>
    <t>Indigencia</t>
  </si>
  <si>
    <t>Habitantes</t>
  </si>
  <si>
    <t>Pobres</t>
  </si>
  <si>
    <t>Indigentes</t>
  </si>
  <si>
    <t>2003.S1</t>
  </si>
  <si>
    <t>2003.S2</t>
  </si>
  <si>
    <t>2004.S1</t>
  </si>
  <si>
    <t>2004.S2</t>
  </si>
  <si>
    <t>2005.S1</t>
  </si>
  <si>
    <t>2005.S2</t>
  </si>
  <si>
    <t>2006.S1</t>
  </si>
  <si>
    <t>2006.S2</t>
  </si>
  <si>
    <t>2007.S1</t>
  </si>
  <si>
    <t>2007.S2</t>
  </si>
  <si>
    <t>2008.S1</t>
  </si>
  <si>
    <t>2008.S2</t>
  </si>
  <si>
    <t>2009.S1</t>
  </si>
  <si>
    <t>2009.S2</t>
  </si>
  <si>
    <t>2010.S1</t>
  </si>
  <si>
    <t>2010.S2</t>
  </si>
  <si>
    <t>2011.S1</t>
  </si>
  <si>
    <t>2011.S2</t>
  </si>
  <si>
    <t>2012.S1</t>
  </si>
  <si>
    <t>2012.S2</t>
  </si>
  <si>
    <t>2013.S1</t>
  </si>
  <si>
    <t>2013.S2</t>
  </si>
  <si>
    <t>2014.S1</t>
  </si>
  <si>
    <t>2014.S2</t>
  </si>
  <si>
    <t>2015.S1</t>
  </si>
  <si>
    <t>2015.S2</t>
  </si>
  <si>
    <t>2016.S1</t>
  </si>
  <si>
    <t>2016.S2</t>
  </si>
  <si>
    <t>2017.S1</t>
  </si>
  <si>
    <t>2017.S2</t>
  </si>
  <si>
    <t>2018.S1</t>
  </si>
  <si>
    <t>2018.S2</t>
  </si>
  <si>
    <t>2019.S1</t>
  </si>
  <si>
    <t>2019.S2</t>
  </si>
  <si>
    <t>2020.S1</t>
  </si>
  <si>
    <t>2020.S2</t>
  </si>
  <si>
    <t>2021.S1</t>
  </si>
  <si>
    <t>2021.S2</t>
  </si>
  <si>
    <t>2022.S1</t>
  </si>
  <si>
    <t>2022.S2</t>
  </si>
  <si>
    <t>2023.S1</t>
  </si>
  <si>
    <t>2023.S2</t>
  </si>
  <si>
    <t>2024.S1</t>
  </si>
  <si>
    <t>2024.S2</t>
  </si>
  <si>
    <t>2025.S1</t>
  </si>
  <si>
    <t>2025.S2</t>
  </si>
  <si>
    <t>2026.S1</t>
  </si>
  <si>
    <t>2026.S2</t>
  </si>
  <si>
    <t>2027.S1</t>
  </si>
  <si>
    <t>2027.S2</t>
  </si>
  <si>
    <t>2028.S1</t>
  </si>
  <si>
    <t>2028.S2</t>
  </si>
  <si>
    <t>2029.S1</t>
  </si>
  <si>
    <t>2029.S2</t>
  </si>
  <si>
    <t>2030.S1</t>
  </si>
  <si>
    <t>2030.S2</t>
  </si>
  <si>
    <t>Población provincial y nacional</t>
  </si>
  <si>
    <t xml:space="preserve">Fundación Norte y Sur (con la colaboración de la UCA); Director Orlando J. Ferreres y proyecciones de INDEC desde 2010 </t>
  </si>
  <si>
    <t>Población de Argentina</t>
  </si>
  <si>
    <t>Población provincia de Santa Fe</t>
  </si>
  <si>
    <t>Participación de la población provincial en la población nacional</t>
  </si>
  <si>
    <t>2.10.1</t>
  </si>
  <si>
    <t>2.10.2</t>
  </si>
  <si>
    <t>2.10.3</t>
  </si>
  <si>
    <t>Producción láctea de once (11) empresas de la provincia de Santa Fe</t>
  </si>
  <si>
    <t xml:space="preserve">Precio del litro de leche abonada al productor </t>
  </si>
  <si>
    <t>Producción nacional de leche cruda</t>
  </si>
  <si>
    <t>Precio internacional de leche entera en polvo con 26% de contenido graso (Oceanía)</t>
  </si>
  <si>
    <t>Direccion Provincial de Lechería - Dirección de Sanidad Animal - Ministerio de Desarrollo Productivo</t>
  </si>
  <si>
    <t>Dirección Nacional Láctea - Secretaría de Agricultura, Ganadería y Pesca</t>
  </si>
  <si>
    <r>
      <rPr>
        <b/>
        <i/>
        <sz val="8"/>
        <rFont val="Arial"/>
        <family val="2"/>
      </rPr>
      <t>Understanding dairy markets</t>
    </r>
    <r>
      <rPr>
        <b/>
        <sz val="8"/>
        <rFont val="Arial"/>
        <family val="2"/>
      </rPr>
      <t xml:space="preserve"> 1995.01-2017.12 y CLAL desde 2018.01</t>
    </r>
  </si>
  <si>
    <t>Producción láctea industrial</t>
  </si>
  <si>
    <t>Precio por litro</t>
  </si>
  <si>
    <t>Producción nacional</t>
  </si>
  <si>
    <t>Precio disponible del mes: valor promedio</t>
  </si>
  <si>
    <t>Litros</t>
  </si>
  <si>
    <t>Pesos constantes de 2014</t>
  </si>
  <si>
    <t>USD / tonelada</t>
  </si>
  <si>
    <t>3.1.1</t>
  </si>
  <si>
    <t>3.1.2</t>
  </si>
  <si>
    <t>3.1.3</t>
  </si>
  <si>
    <t>3.1.4</t>
  </si>
  <si>
    <t>3.1.5</t>
  </si>
  <si>
    <t>Semillas de oleaginosas para molienda en la provincia de Santa Fe</t>
  </si>
  <si>
    <t>Producción de aceites de oleaginosas en la provincia de Santa Fe</t>
  </si>
  <si>
    <t>Producción de pellets de oleaginosas en la provincia de Santa Fe</t>
  </si>
  <si>
    <t>Producción de expellers de oleaginosas en la provincia de Santa Fe</t>
  </si>
  <si>
    <t>Semillas de oleaginosas para molienda en Argentina</t>
  </si>
  <si>
    <t>Molienda de trigo pan en la provincia de Santa Fe</t>
  </si>
  <si>
    <t>Molienda de trigo pan en Argentina</t>
  </si>
  <si>
    <t>Producción de harinas de trigo en la provincia de Santa Fe</t>
  </si>
  <si>
    <t>Producción de harinas de trigo en Argentina</t>
  </si>
  <si>
    <t>Secretaría de Agricultura, Ganadería y Pesca  - Ministerio de Economía de la Nación</t>
  </si>
  <si>
    <t>Soja</t>
  </si>
  <si>
    <t>Girasol</t>
  </si>
  <si>
    <t>Lino</t>
  </si>
  <si>
    <t>Algodón</t>
  </si>
  <si>
    <t>Tn.</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</si>
  <si>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</si>
  <si>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</si>
  <si>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</si>
  <si>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</si>
  <si>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</si>
  <si>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</si>
  <si>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</si>
  <si>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</si>
  <si>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</si>
  <si>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</si>
  <si>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</si>
  <si>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</si>
  <si>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</si>
  <si>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</si>
  <si>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</si>
  <si>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</si>
  <si>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</si>
  <si>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</si>
  <si>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</si>
  <si>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</si>
  <si>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</si>
  <si>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</si>
  <si>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</si>
  <si>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</si>
  <si>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Faena de bovinos</t>
  </si>
  <si>
    <t>Faena de porcinos</t>
  </si>
  <si>
    <t>Faena de aves</t>
  </si>
  <si>
    <t>IPEC</t>
  </si>
  <si>
    <t>Peso de referencia de una cabeza tipo</t>
  </si>
  <si>
    <t>Precio de referencia por kilogramo. Promedio mensual.</t>
  </si>
  <si>
    <t>Precio de referencia del pollo eviscerado nivel mayorista por kilogramo</t>
  </si>
  <si>
    <t>Precio de referencia del pollo eviscerado nivel consumidor por kilogramo</t>
  </si>
  <si>
    <t>Cabezas</t>
  </si>
  <si>
    <t>Kg</t>
  </si>
  <si>
    <t>3.3.1</t>
  </si>
  <si>
    <t>3.3.2</t>
  </si>
  <si>
    <t>3.3.3</t>
  </si>
  <si>
    <t>3.3.4</t>
  </si>
  <si>
    <t>3.3.5</t>
  </si>
  <si>
    <t>3.3.6</t>
  </si>
  <si>
    <t>3.3.7</t>
  </si>
  <si>
    <t>3.3.8</t>
  </si>
  <si>
    <t>3.3.9</t>
  </si>
  <si>
    <t>3.3.10</t>
  </si>
  <si>
    <t>3.3.11</t>
  </si>
  <si>
    <t>3.3.12</t>
  </si>
  <si>
    <t>3.3.13</t>
  </si>
  <si>
    <t>3.3.14</t>
  </si>
  <si>
    <t>Consumo de cemento en la provincia Santa Fe</t>
  </si>
  <si>
    <t xml:space="preserve">Consumo interno de cemento en Argentina </t>
  </si>
  <si>
    <t>Cantidad de empresas constructoras, contratistas y subcontratistas en actividad (asociadas a IERIC)</t>
  </si>
  <si>
    <t>Puestos de trabajo registrados en el sector construcción</t>
  </si>
  <si>
    <t>Puestos de trabajo registrados en el sector construcción (consolidado)</t>
  </si>
  <si>
    <t>Salario promedio mensual de los trabajadores registrados en el sector construcción</t>
  </si>
  <si>
    <t>Salario promedio mensual de los trabajadores registrados en el sector construcción (consolidado)</t>
  </si>
  <si>
    <t>Instituto de Estadística y Registro de la Industria de la Construcción (IERIC)</t>
  </si>
  <si>
    <t xml:space="preserve">Obra Social del Personal de la Construcción (OSPECON - SIJyP) </t>
  </si>
  <si>
    <t>IERIC en base a datos de OSPECON y Seguro de Vida Obligatorio (SIJyP)</t>
  </si>
  <si>
    <t>Total (granel + bolsas)</t>
  </si>
  <si>
    <t>Consumo en bolsa</t>
  </si>
  <si>
    <t>Consumo a granel</t>
  </si>
  <si>
    <t>Consumo del Mercado Interno (Despacho Nacional + Importaciones)</t>
  </si>
  <si>
    <t>Nº de empresas</t>
  </si>
  <si>
    <t>3.4.1</t>
  </si>
  <si>
    <t>3.4.2</t>
  </si>
  <si>
    <t>3.4.3</t>
  </si>
  <si>
    <t>3.4.4</t>
  </si>
  <si>
    <t>3.4.5</t>
  </si>
  <si>
    <t>3.4.6</t>
  </si>
  <si>
    <t>3.4.7</t>
  </si>
  <si>
    <t>3.4.8</t>
  </si>
  <si>
    <t>3.4.9</t>
  </si>
  <si>
    <t>3.4.10</t>
  </si>
  <si>
    <t>3.4.11</t>
  </si>
  <si>
    <t>3.4.12</t>
  </si>
  <si>
    <t>3.4.13</t>
  </si>
  <si>
    <t>3.4.14</t>
  </si>
  <si>
    <t>no se publica más</t>
  </si>
  <si>
    <t>Superficie cubierta autorizada para obras privadas nuevas y ampliaciones en Argentina</t>
  </si>
  <si>
    <t>Superficie cubierta autorizada de permisos de edificación en la provincia de Santa Fe</t>
  </si>
  <si>
    <t xml:space="preserve">Instituto Nacional de Estadísticas y Censos (INDEC) - Instituto Provincial de Estadísticas y Censos (IPEC) </t>
  </si>
  <si>
    <t>41 municipios de Argentina</t>
  </si>
  <si>
    <t>60 municipios de Argentina</t>
  </si>
  <si>
    <t>176 municipios de Argentina</t>
  </si>
  <si>
    <t>246 municipios de Argentina</t>
  </si>
  <si>
    <t>Casilda</t>
  </si>
  <si>
    <t>Esperanza</t>
  </si>
  <si>
    <t>Rafaela</t>
  </si>
  <si>
    <t>Reconquista</t>
  </si>
  <si>
    <t>Santo Tomé</t>
  </si>
  <si>
    <t>Sunchales</t>
  </si>
  <si>
    <t>Venado Tuerto</t>
  </si>
  <si>
    <t>Villa Constitución</t>
  </si>
  <si>
    <t>Rosario</t>
  </si>
  <si>
    <t>San Lorenzo</t>
  </si>
  <si>
    <t>Total provincia de Santa Fe</t>
  </si>
  <si>
    <r>
      <t>m</t>
    </r>
    <r>
      <rPr>
        <vertAlign val="superscript"/>
        <sz val="8"/>
        <rFont val="Arial"/>
        <family val="2"/>
      </rPr>
      <t>2</t>
    </r>
  </si>
  <si>
    <t>3.5.1</t>
  </si>
  <si>
    <t>3.5.2</t>
  </si>
  <si>
    <t>3.5.3</t>
  </si>
  <si>
    <t>3.5.4</t>
  </si>
  <si>
    <t>3.5.5</t>
  </si>
  <si>
    <t>3.5.6</t>
  </si>
  <si>
    <t>3.5.7</t>
  </si>
  <si>
    <t>3.5.8</t>
  </si>
  <si>
    <t>3.5.9</t>
  </si>
  <si>
    <t>3.5.10</t>
  </si>
  <si>
    <t>3.5.11</t>
  </si>
  <si>
    <t>3.5.12</t>
  </si>
  <si>
    <t>3.5.13</t>
  </si>
  <si>
    <t>3.5.14</t>
  </si>
  <si>
    <t>3.5.15</t>
  </si>
  <si>
    <t>3.5.16</t>
  </si>
  <si>
    <t>3.5.17</t>
  </si>
  <si>
    <t>Patentamientos y transferencias de usados en la provincia de Santa Fe</t>
  </si>
  <si>
    <t>Patentamientos y transferencias de usados en Argentina</t>
  </si>
  <si>
    <t>Patentamientos de automotores en la provincia de Santa Fe, desagregados por categoría</t>
  </si>
  <si>
    <t>Producción nacional de automotores</t>
  </si>
  <si>
    <t>Asociación De Fábricas de Automotores (ADEFA)</t>
  </si>
  <si>
    <t>Patentamientos (inscripciones Iniciales)</t>
  </si>
  <si>
    <t>Transferencias</t>
  </si>
  <si>
    <t>Patentamientos de automotores sin motos desagregados</t>
  </si>
  <si>
    <t>Producción argentina</t>
  </si>
  <si>
    <t>Nº de automotores s/motos</t>
  </si>
  <si>
    <t>Nº de motos</t>
  </si>
  <si>
    <t>Nº de maquinarias</t>
  </si>
  <si>
    <t>Total sin motos</t>
  </si>
  <si>
    <t xml:space="preserve">Automóviles </t>
  </si>
  <si>
    <t>Transporte y carga</t>
  </si>
  <si>
    <t>Acoplados</t>
  </si>
  <si>
    <t>Número de automotores</t>
  </si>
  <si>
    <t>3.6.1</t>
  </si>
  <si>
    <t>3.6.2</t>
  </si>
  <si>
    <t>3.6.3</t>
  </si>
  <si>
    <t>3.6.4</t>
  </si>
  <si>
    <t>3.6.5</t>
  </si>
  <si>
    <t>3.6.6</t>
  </si>
  <si>
    <t>3.6.7</t>
  </si>
  <si>
    <t>3.6.8</t>
  </si>
  <si>
    <t>3.6.9</t>
  </si>
  <si>
    <t>3.6.10</t>
  </si>
  <si>
    <t>3.6.11</t>
  </si>
  <si>
    <t>3.6.12</t>
  </si>
  <si>
    <t>3.6.13</t>
  </si>
  <si>
    <t>3.6.14</t>
  </si>
  <si>
    <t>3.6.15</t>
  </si>
  <si>
    <t>3.6.16</t>
  </si>
  <si>
    <t>3.6.17</t>
  </si>
  <si>
    <t>Venta de maquinarias agrícolas en Argentina: incluye cosechadores, tractores, sembradoras e implementos</t>
  </si>
  <si>
    <t>Facturación por ventas de maquinaría agrícola en Argentina: incluye cosechadores, tractores, sembradoras e implementos</t>
  </si>
  <si>
    <t>Producción de maquinaria agrícola en Argentina</t>
  </si>
  <si>
    <t>Instituto Nacional de Estadísticas y Censos (INDEC): informe técnico de maquinaria agrícola</t>
  </si>
  <si>
    <t>Estadísticas de Productos Industriales (EPI) - INDEC</t>
  </si>
  <si>
    <t>Ventas nacionales</t>
  </si>
  <si>
    <t>Ventas importadas</t>
  </si>
  <si>
    <t>Ventas totales</t>
  </si>
  <si>
    <t>Cosechadoras</t>
  </si>
  <si>
    <t>Tractores</t>
  </si>
  <si>
    <t>Sembradoras</t>
  </si>
  <si>
    <t>Implementos</t>
  </si>
  <si>
    <t>Unidades físicas</t>
  </si>
  <si>
    <t>3.7.1</t>
  </si>
  <si>
    <t>3.7.2</t>
  </si>
  <si>
    <t>3.7.3</t>
  </si>
  <si>
    <t>3.7.4</t>
  </si>
  <si>
    <t>3.7.5</t>
  </si>
  <si>
    <t>3.7.6</t>
  </si>
  <si>
    <t>3.7.7</t>
  </si>
  <si>
    <t>3.7.8</t>
  </si>
  <si>
    <t>3.7.9</t>
  </si>
  <si>
    <t>3.7.10</t>
  </si>
  <si>
    <t>3.7.11</t>
  </si>
  <si>
    <t>3.7.12</t>
  </si>
  <si>
    <t>Índice de Producción Industrial (IPI) de Argentina</t>
  </si>
  <si>
    <t>Ramas del Índice de Producción Industrial (IPI) de Argentina</t>
  </si>
  <si>
    <t>Índice de Producción Industrial (IPI) por tipo de bienes</t>
  </si>
  <si>
    <t>Alimentos y bebidas</t>
  </si>
  <si>
    <t>Cigarrillos</t>
  </si>
  <si>
    <t>Insumos textiles</t>
  </si>
  <si>
    <t>Pastas y papel</t>
  </si>
  <si>
    <t>Combustibles</t>
  </si>
  <si>
    <t>Quimicos y plásticos</t>
  </si>
  <si>
    <t>Minerales no metálicos</t>
  </si>
  <si>
    <t>Siderurgia</t>
  </si>
  <si>
    <t>Metalmecánica</t>
  </si>
  <si>
    <t>Automóviles</t>
  </si>
  <si>
    <t>Bienes Consumo No Durable (BCND)</t>
  </si>
  <si>
    <t>Bienes Consumo Durable (BCD)</t>
  </si>
  <si>
    <t>Bienes de Uso Intermedio (BUI)</t>
  </si>
  <si>
    <t>Bienes de Capital (BK)</t>
  </si>
  <si>
    <t xml:space="preserve">BEBIDAS </t>
  </si>
  <si>
    <t>PLASTICOS</t>
  </si>
  <si>
    <t>METALICOS</t>
  </si>
  <si>
    <t>3.8.1</t>
  </si>
  <si>
    <t>3.8.2</t>
  </si>
  <si>
    <t>3.8.3</t>
  </si>
  <si>
    <t>3.8.4</t>
  </si>
  <si>
    <t>3.8.5</t>
  </si>
  <si>
    <t>3.8.6</t>
  </si>
  <si>
    <t>3.8.7</t>
  </si>
  <si>
    <t>3.8.8</t>
  </si>
  <si>
    <t>3.8.9</t>
  </si>
  <si>
    <t>3.8.10</t>
  </si>
  <si>
    <t>3.8.11</t>
  </si>
  <si>
    <t>3.8.12</t>
  </si>
  <si>
    <t>3.8.13</t>
  </si>
  <si>
    <t>3.8.14</t>
  </si>
  <si>
    <t>3.8.15</t>
  </si>
  <si>
    <t>3.8.16</t>
  </si>
  <si>
    <t>Utilización de la capacidad instalada en la industria según bloques del Estimador Mensual Industrial (EMI) base 2004=100</t>
  </si>
  <si>
    <t>Nivel general</t>
  </si>
  <si>
    <t>Productos alimenticios y bebidas</t>
  </si>
  <si>
    <t>Productos del tabaco</t>
  </si>
  <si>
    <t>Productos textiles</t>
  </si>
  <si>
    <t>Papel y cartón</t>
  </si>
  <si>
    <t>Edición e impresión</t>
  </si>
  <si>
    <t>Refinación del petróleo</t>
  </si>
  <si>
    <t>Sustancias y
productos químicos</t>
  </si>
  <si>
    <t>Caucho 
y 
plástico</t>
  </si>
  <si>
    <t>Industrias metálicas básicas</t>
  </si>
  <si>
    <t>Industria automotriz</t>
  </si>
  <si>
    <t>Metalmecánica excluida industria automotriz</t>
  </si>
  <si>
    <t>3.9.1</t>
  </si>
  <si>
    <t>3.9.2</t>
  </si>
  <si>
    <t>3.9.3</t>
  </si>
  <si>
    <t>3.9.4</t>
  </si>
  <si>
    <t>3.9.5</t>
  </si>
  <si>
    <t>3.9.6</t>
  </si>
  <si>
    <t>3.9.7</t>
  </si>
  <si>
    <t>3.9.8</t>
  </si>
  <si>
    <t>3.9.9</t>
  </si>
  <si>
    <t>3.9.10</t>
  </si>
  <si>
    <t>3.9.11</t>
  </si>
  <si>
    <t>3.9.12</t>
  </si>
  <si>
    <t>3.9.13</t>
  </si>
  <si>
    <t>Índice de Producción Industrial Manufacturero (IPIM)</t>
  </si>
  <si>
    <t>Ramas del Índice de Producción Industrial Manufacturero (IPIM)</t>
  </si>
  <si>
    <t>Carne vacuna</t>
  </si>
  <si>
    <t>Carne aviar</t>
  </si>
  <si>
    <t>Fiambres y embutidos</t>
  </si>
  <si>
    <t>Preparación de frutas, hortalizas y legumbres</t>
  </si>
  <si>
    <t>Molienda de oleaginosas</t>
  </si>
  <si>
    <t>Productos lácteos</t>
  </si>
  <si>
    <t>Molienda de cereales</t>
  </si>
  <si>
    <t>Galletitas, productos de panadería y pastas</t>
  </si>
  <si>
    <t>Azúcar, productos de confitería y chocolate</t>
  </si>
  <si>
    <t>Yerba mate, té y café</t>
  </si>
  <si>
    <t>Gaseosas, aguas, sodas, cervezas, jugos para diluir, sidras y bebidas espirituosas</t>
  </si>
  <si>
    <t>Vino</t>
  </si>
  <si>
    <t>Otros productos alimenticios</t>
  </si>
  <si>
    <t>Productos de tabaco</t>
  </si>
  <si>
    <t>Preparación de hojas de tabaco</t>
  </si>
  <si>
    <t>Preparación de fibras de uso textil</t>
  </si>
  <si>
    <t>Hilados de algodón</t>
  </si>
  <si>
    <t>Tejidos y acabado de productos textiles</t>
  </si>
  <si>
    <t>Otros productos textiles</t>
  </si>
  <si>
    <t>Prendas de vestir, cuero y calzado</t>
  </si>
  <si>
    <t>Prendas de vestir</t>
  </si>
  <si>
    <t>Curtido y artículos de cuero, excepto prendas</t>
  </si>
  <si>
    <t xml:space="preserve">Calzado y sus partes </t>
  </si>
  <si>
    <t>Madera, papel, edición e impresión</t>
  </si>
  <si>
    <t>Madera y productos de madera y corcho, excepto muebles</t>
  </si>
  <si>
    <t>Papel y productos de papel</t>
  </si>
  <si>
    <t>Refinación del petróleo, coque y combustible nuclear</t>
  </si>
  <si>
    <t>Naftas</t>
  </si>
  <si>
    <t>Gasoil</t>
  </si>
  <si>
    <t>Fueloil</t>
  </si>
  <si>
    <t xml:space="preserve">Asfaltos </t>
  </si>
  <si>
    <t>Otros productos de la refinación del petróleo, coque y combustible nuclear</t>
  </si>
  <si>
    <t>Sustancias y productos químicos</t>
  </si>
  <si>
    <t>Gases industriales</t>
  </si>
  <si>
    <t>Productos químicos básicos</t>
  </si>
  <si>
    <t>Agroquímicos</t>
  </si>
  <si>
    <t>Materias primas plásticas y caucho sintético</t>
  </si>
  <si>
    <t>Pinturas</t>
  </si>
  <si>
    <t>Productos farmacéuticos</t>
  </si>
  <si>
    <t>Detergentes, jabones y productos personales</t>
  </si>
  <si>
    <t>Otros productos químicos</t>
  </si>
  <si>
    <t>Productos de caucho y plástico</t>
  </si>
  <si>
    <t>Neumáticos</t>
  </si>
  <si>
    <t>Otros productos de caucho</t>
  </si>
  <si>
    <t>Manufacturas de plástico</t>
  </si>
  <si>
    <t>Productos minerales no metálicos</t>
  </si>
  <si>
    <t>Vidrio y productos de vidrio</t>
  </si>
  <si>
    <t xml:space="preserve">Productos de arcilla y cerámica no refractaria </t>
  </si>
  <si>
    <t>Cemento</t>
  </si>
  <si>
    <t>Cal y yeso</t>
  </si>
  <si>
    <t>Artículos de cemento y de yeso</t>
  </si>
  <si>
    <t>Otros productos minerales no metálicos</t>
  </si>
  <si>
    <t>Industria siderúrgica</t>
  </si>
  <si>
    <t>Aluminio y otros metales no ferrosos</t>
  </si>
  <si>
    <t>Fundición de metales</t>
  </si>
  <si>
    <t>Productos de metal</t>
  </si>
  <si>
    <t xml:space="preserve">Productos metálicos para uso estructural </t>
  </si>
  <si>
    <t>Envases metálicos</t>
  </si>
  <si>
    <t>Otros productos de metal y servicios de trabajo de metales</t>
  </si>
  <si>
    <t>Maquinaria y equipo</t>
  </si>
  <si>
    <t>Maquinaria de uso general</t>
  </si>
  <si>
    <t>Maquinaria agropecuaria</t>
  </si>
  <si>
    <t>Otra maquinaria de uso especial</t>
  </si>
  <si>
    <t>Aparatos de uso doméstico</t>
  </si>
  <si>
    <t>Otros equipos, aparatos e instrumentos</t>
  </si>
  <si>
    <t>Equipos y aparatos de informática, televisión y comunicaciones, y componentes electrónicos</t>
  </si>
  <si>
    <t>Equipos y aparatos eléctricos</t>
  </si>
  <si>
    <t>Instrumentos médicos, ópticos y de precisión</t>
  </si>
  <si>
    <t>Vehículos automotores, carrocerías, remolques y autopartes</t>
  </si>
  <si>
    <t>Vehículos automotores</t>
  </si>
  <si>
    <t>Carrocerías, remolques y semirremolques</t>
  </si>
  <si>
    <t>Autopartes</t>
  </si>
  <si>
    <t>Otro equipo de transporte</t>
  </si>
  <si>
    <t>Motocicletas</t>
  </si>
  <si>
    <t>Muebles y colchones, y otras industrias manufactureras</t>
  </si>
  <si>
    <t>Muebles y colchones</t>
  </si>
  <si>
    <t>Otras industrias manufactureras</t>
  </si>
  <si>
    <t>Reciclamiento y reparación, instalación y mantenimiento</t>
  </si>
  <si>
    <t>Ponderador</t>
  </si>
  <si>
    <t>3.10.1</t>
  </si>
  <si>
    <t>3.10.2</t>
  </si>
  <si>
    <t>3.10.3</t>
  </si>
  <si>
    <t>3.10.4</t>
  </si>
  <si>
    <t>3.10.5</t>
  </si>
  <si>
    <t>3.10.6</t>
  </si>
  <si>
    <t>3.10.7</t>
  </si>
  <si>
    <t>3.10.8</t>
  </si>
  <si>
    <t>3.10.9</t>
  </si>
  <si>
    <t>3.10.10</t>
  </si>
  <si>
    <t>3.10.11</t>
  </si>
  <si>
    <t>3.10.12</t>
  </si>
  <si>
    <t>3.10.13</t>
  </si>
  <si>
    <t>3.10.14</t>
  </si>
  <si>
    <t>3.10.15</t>
  </si>
  <si>
    <t>3.10.16</t>
  </si>
  <si>
    <t>3.10.17</t>
  </si>
  <si>
    <t>3.10.18</t>
  </si>
  <si>
    <t>3.10.19</t>
  </si>
  <si>
    <t>Índice Provincial de Actividad Industrial (IPAI)</t>
  </si>
  <si>
    <t>Instituto Provincial de Estadísticas y Censo (IPEC)</t>
  </si>
  <si>
    <t>Agregación de componentes con tasas simétricas</t>
  </si>
  <si>
    <t>3.11.1</t>
  </si>
  <si>
    <t>3.11.2</t>
  </si>
  <si>
    <t>Sistema financiero bancario de la provincia de Santa Fe</t>
  </si>
  <si>
    <t>Sistema financiero bancario de Argentina</t>
  </si>
  <si>
    <t>Tipo de cambio</t>
  </si>
  <si>
    <t>Banco Central de la Republica Argentina (BCRA)</t>
  </si>
  <si>
    <t>BCRA</t>
  </si>
  <si>
    <t>Depósitos y préstamos. Sector privado y público no financiero. Total de residentes en el país y extranjeros.</t>
  </si>
  <si>
    <t>Depósitos Totales</t>
  </si>
  <si>
    <t>Depósitos sector privado</t>
  </si>
  <si>
    <t>Depósitos sector público</t>
  </si>
  <si>
    <t>Préstamos Totales</t>
  </si>
  <si>
    <t>Préstamos sector privado</t>
  </si>
  <si>
    <t>Préstamos Sector Público</t>
  </si>
  <si>
    <t>Disponibilidades</t>
  </si>
  <si>
    <t xml:space="preserve">Tipo de cambio de referencia </t>
  </si>
  <si>
    <t>Pesos corrientes por dólar norteamericano</t>
  </si>
  <si>
    <t>4.1.1</t>
  </si>
  <si>
    <t>4.1.2</t>
  </si>
  <si>
    <t>4.1.3</t>
  </si>
  <si>
    <t>4.1.4</t>
  </si>
  <si>
    <t>4.1.5</t>
  </si>
  <si>
    <t>4.1.6</t>
  </si>
  <si>
    <t>4.1.7</t>
  </si>
  <si>
    <t>4.1.8</t>
  </si>
  <si>
    <t>4.1.9</t>
  </si>
  <si>
    <t>4.1.10</t>
  </si>
  <si>
    <t>4.1.11</t>
  </si>
  <si>
    <t>4.1.12</t>
  </si>
  <si>
    <t>4.1.13</t>
  </si>
  <si>
    <t>4.1.14</t>
  </si>
  <si>
    <t>4.1.15</t>
  </si>
  <si>
    <t>S&amp;P MERVAL Index</t>
  </si>
  <si>
    <t>S&amp;P BYMA Argentina General Index</t>
  </si>
  <si>
    <t>Volumen negociado mercado renta fija</t>
  </si>
  <si>
    <t>Financiamiento total en el mercado de capitales</t>
  </si>
  <si>
    <t>S&amp;P Dow Jones Indices</t>
  </si>
  <si>
    <t>Mercado Abierto Electrónico (MAE)</t>
  </si>
  <si>
    <t>Ventas totales más cartera propia</t>
  </si>
  <si>
    <t>Volúmenes captados</t>
  </si>
  <si>
    <t>Índice base 11-01-2019 = 33884.60</t>
  </si>
  <si>
    <t>Índice base 08-03-2019 = 14333042.31</t>
  </si>
  <si>
    <t>Dólares</t>
  </si>
  <si>
    <t>Índice base 1941-1943=10</t>
  </si>
  <si>
    <t>4.2.1</t>
  </si>
  <si>
    <t>4.2.2</t>
  </si>
  <si>
    <t>4.2.3</t>
  </si>
  <si>
    <t>4.2.4</t>
  </si>
  <si>
    <t>4.2.5</t>
  </si>
  <si>
    <t>Ventas en supermercados de gran superficie en la provincia de Santa Fe</t>
  </si>
  <si>
    <t>Ventas en supermercados de gran superficie en Argentina</t>
  </si>
  <si>
    <t>Ventas de autoservicios mayoristas en Argentina</t>
  </si>
  <si>
    <t>Ventas minoristas en Argentina</t>
  </si>
  <si>
    <t>Bebidas</t>
  </si>
  <si>
    <t>Almacén</t>
  </si>
  <si>
    <t xml:space="preserve">Panadería </t>
  </si>
  <si>
    <t>Lácteos</t>
  </si>
  <si>
    <t>Carnes</t>
  </si>
  <si>
    <t>Verdulería y frutería</t>
  </si>
  <si>
    <t>Alimentos preparados y rotisería</t>
  </si>
  <si>
    <t>Artículos de limpieza y perfumería</t>
  </si>
  <si>
    <t>Indumentaria, calzado y textiles para el hogar</t>
  </si>
  <si>
    <t>Electrónicos y artículos para el hogar</t>
  </si>
  <si>
    <t>Índice de precios implícitos</t>
  </si>
  <si>
    <t>Superficie del área de ventas</t>
  </si>
  <si>
    <t>Cantidad de operaciones</t>
  </si>
  <si>
    <r>
      <t>Ventas por m</t>
    </r>
    <r>
      <rPr>
        <vertAlign val="superscript"/>
        <sz val="8"/>
        <rFont val="Arial"/>
        <family val="2"/>
      </rPr>
      <t>2</t>
    </r>
  </si>
  <si>
    <t>Ventas por operación</t>
  </si>
  <si>
    <t>Ventas por canales On-line</t>
  </si>
  <si>
    <t>Ventas nacionales totales</t>
  </si>
  <si>
    <t>Facturación tipo "A"</t>
  </si>
  <si>
    <t>Facturación tipo "B"</t>
  </si>
  <si>
    <t>Facturación
"A" y "B"</t>
  </si>
  <si>
    <t>Variaciones inter-anuales</t>
  </si>
  <si>
    <t>Base 2017=100</t>
  </si>
  <si>
    <r>
      <t>M</t>
    </r>
    <r>
      <rPr>
        <vertAlign val="superscript"/>
        <sz val="8"/>
        <rFont val="Arial"/>
        <family val="2"/>
      </rPr>
      <t>2</t>
    </r>
  </si>
  <si>
    <t>Nº</t>
  </si>
  <si>
    <r>
      <t>Pesos Ctes. / m</t>
    </r>
    <r>
      <rPr>
        <vertAlign val="superscript"/>
        <sz val="8"/>
        <rFont val="Arial"/>
        <family val="2"/>
      </rPr>
      <t>2</t>
    </r>
  </si>
  <si>
    <t>Pesos corrientes / Operación</t>
  </si>
  <si>
    <t>Millones de pesos</t>
  </si>
  <si>
    <t>4.3.1</t>
  </si>
  <si>
    <t>4.3.2</t>
  </si>
  <si>
    <t>4.3.3</t>
  </si>
  <si>
    <t>4.3.4</t>
  </si>
  <si>
    <t>4.3.5</t>
  </si>
  <si>
    <t>4.3.6</t>
  </si>
  <si>
    <t>4.3.7</t>
  </si>
  <si>
    <t>4.3.8</t>
  </si>
  <si>
    <t>4.3.9</t>
  </si>
  <si>
    <t>4.3.10</t>
  </si>
  <si>
    <t>4.3.11</t>
  </si>
  <si>
    <t>4.3.12</t>
  </si>
  <si>
    <t>4.3.13</t>
  </si>
  <si>
    <t>4.3.14</t>
  </si>
  <si>
    <t>4.3.15</t>
  </si>
  <si>
    <t>4.3.16</t>
  </si>
  <si>
    <t>4.3.17</t>
  </si>
  <si>
    <t>4.3.18</t>
  </si>
  <si>
    <t>4.3.19</t>
  </si>
  <si>
    <t>4.3.20</t>
  </si>
  <si>
    <t>4.3.21</t>
  </si>
  <si>
    <t>4.3.22</t>
  </si>
  <si>
    <t>4.3.23</t>
  </si>
  <si>
    <t>4.3.24</t>
  </si>
  <si>
    <t>Índices de Confianza del Consumidor (ICC)</t>
  </si>
  <si>
    <t>Desagregado por regiones</t>
  </si>
  <si>
    <t>Desagregado por subíndices</t>
  </si>
  <si>
    <t>ICC Nacional</t>
  </si>
  <si>
    <t>Capital</t>
  </si>
  <si>
    <t>Interior</t>
  </si>
  <si>
    <t>GBA</t>
  </si>
  <si>
    <t>Situación personal</t>
  </si>
  <si>
    <t>Situación macro</t>
  </si>
  <si>
    <t>Bienes durables e inmuebles</t>
  </si>
  <si>
    <t>4.4.1</t>
  </si>
  <si>
    <t>4.4.2</t>
  </si>
  <si>
    <t>4.4.3</t>
  </si>
  <si>
    <t>4.4.4</t>
  </si>
  <si>
    <t>4.4.5</t>
  </si>
  <si>
    <t>4.4.6</t>
  </si>
  <si>
    <t>4.4.7</t>
  </si>
  <si>
    <t>Encuesta de Ocupación Hotelera (EOH). Oferta y demanda</t>
  </si>
  <si>
    <t>Ciudad de Santa Fe</t>
  </si>
  <si>
    <t>Plaza disponibles</t>
  </si>
  <si>
    <t>Plazas ocupadas por residentes</t>
  </si>
  <si>
    <t>Plazas ocupadas por no residentes</t>
  </si>
  <si>
    <t>Plaza</t>
  </si>
  <si>
    <t>4.5.1</t>
  </si>
  <si>
    <t>4.5.2</t>
  </si>
  <si>
    <t>4.5.3</t>
  </si>
  <si>
    <t>4.5.4</t>
  </si>
  <si>
    <t>4.5.5</t>
  </si>
  <si>
    <t>4.5.6</t>
  </si>
  <si>
    <t>4.5.7</t>
  </si>
  <si>
    <t>4.5.8</t>
  </si>
  <si>
    <t>4.5.9</t>
  </si>
  <si>
    <t>///</t>
  </si>
  <si>
    <t>Escrituras de compraventa en la provincia de Santa Fe</t>
  </si>
  <si>
    <t>Colegio de Escribanos, 1era circunscripción (Santa Fe)</t>
  </si>
  <si>
    <t>Colegio de Escribanos, 2da circunscripción (Rosario)</t>
  </si>
  <si>
    <t>Colegio de Escribanos, Provincia de Santa Fe</t>
  </si>
  <si>
    <t>Centro-norte de Santa Fe</t>
  </si>
  <si>
    <t>Sur de Santa Fe</t>
  </si>
  <si>
    <t>Nº de escrituras</t>
  </si>
  <si>
    <t>4.6.1</t>
  </si>
  <si>
    <t>4.6.2</t>
  </si>
  <si>
    <t>4.6.3</t>
  </si>
  <si>
    <t>Estadísticas de carga en base a los puertos comerciales e industriales del país</t>
  </si>
  <si>
    <t xml:space="preserve">Secretaría de Transporte de la Nación </t>
  </si>
  <si>
    <t>Carga containerizada</t>
  </si>
  <si>
    <t xml:space="preserve">Carga no containerizada </t>
  </si>
  <si>
    <t>Total puertos registrados a nivel nacional</t>
  </si>
  <si>
    <t>Tipo de operación</t>
  </si>
  <si>
    <t>Carga</t>
  </si>
  <si>
    <t>Descarga</t>
  </si>
  <si>
    <t xml:space="preserve">Importación </t>
  </si>
  <si>
    <t xml:space="preserve">Exportación </t>
  </si>
  <si>
    <t xml:space="preserve">Cabotaje entrado </t>
  </si>
  <si>
    <t xml:space="preserve">Cabotaje salido </t>
  </si>
  <si>
    <t>Transbordo / Tránsito Entrado</t>
  </si>
  <si>
    <t>Transbordo / Tránsito Salido</t>
  </si>
  <si>
    <t>TEU</t>
  </si>
  <si>
    <t>4.7.1</t>
  </si>
  <si>
    <t>4.7.2</t>
  </si>
  <si>
    <t>4.7.3</t>
  </si>
  <si>
    <t>4.7.4</t>
  </si>
  <si>
    <t>4.7.5</t>
  </si>
  <si>
    <t>4.7.6</t>
  </si>
  <si>
    <t>4.7.7</t>
  </si>
  <si>
    <t>4.7.8</t>
  </si>
  <si>
    <t>4.7.9</t>
  </si>
  <si>
    <t>4.7.10</t>
  </si>
  <si>
    <t>4.7.11</t>
  </si>
  <si>
    <t>4.7.12</t>
  </si>
  <si>
    <t>4.7.13</t>
  </si>
  <si>
    <t>4.7.14</t>
  </si>
  <si>
    <t>4.7.15</t>
  </si>
  <si>
    <t>4.7.16</t>
  </si>
  <si>
    <t>Gas entregado por tipo de usuario en la provincia de Santa Fe</t>
  </si>
  <si>
    <t>Gas entregado a grandes usuarios industriales en la provincia de Santa Fe</t>
  </si>
  <si>
    <t>Gas entregado a pequeños, medianos y grandes usuarios en la provincia de Santa Fe</t>
  </si>
  <si>
    <t>ENARGAS</t>
  </si>
  <si>
    <t>Categorías</t>
  </si>
  <si>
    <t>Tipo de servicio tarifario</t>
  </si>
  <si>
    <t>GAS Total Entregado</t>
  </si>
  <si>
    <t>GAS Residencial</t>
  </si>
  <si>
    <t>GAS Comercial</t>
  </si>
  <si>
    <t>Entes Oficiales</t>
  </si>
  <si>
    <t>GAS Centrales Eléctricas</t>
  </si>
  <si>
    <t>GAS Industrial</t>
  </si>
  <si>
    <t>GAS Industrial y Centrales Eléctricas</t>
  </si>
  <si>
    <t>SDB (subdistribuidores)</t>
  </si>
  <si>
    <t>GNC (Gas Natural Comprimido)</t>
  </si>
  <si>
    <t>GAS Industrial: subcategoría grandes usuarios</t>
  </si>
  <si>
    <t>Servicio SGP</t>
  </si>
  <si>
    <t>Servicio SGG</t>
  </si>
  <si>
    <t>Servicios FD+ID+FT+IT</t>
  </si>
  <si>
    <t>Miles de m3 de 9300 kcal</t>
  </si>
  <si>
    <t>5.1.1</t>
  </si>
  <si>
    <t>5.1.2</t>
  </si>
  <si>
    <t>5.1.3</t>
  </si>
  <si>
    <t>5.1.4</t>
  </si>
  <si>
    <t>5.1.5</t>
  </si>
  <si>
    <t>5.1.6</t>
  </si>
  <si>
    <t>5.1.7</t>
  </si>
  <si>
    <t>5.1.8</t>
  </si>
  <si>
    <t>5.1.9</t>
  </si>
  <si>
    <t>5.1.10</t>
  </si>
  <si>
    <t>5.1.11</t>
  </si>
  <si>
    <t>5.1.12</t>
  </si>
  <si>
    <t>5.1.13</t>
  </si>
  <si>
    <t>Residencial</t>
  </si>
  <si>
    <t>Comercial</t>
  </si>
  <si>
    <t>MWh</t>
  </si>
  <si>
    <t>Demanda energética según categoría tarifaria</t>
  </si>
  <si>
    <t>Desagregación de la categoría tarifaria "Industrial/Comercial Grande"</t>
  </si>
  <si>
    <t xml:space="preserve">Industrial/Comercial Grande </t>
  </si>
  <si>
    <t>Total Santa Fe</t>
  </si>
  <si>
    <t>Comercial Grande</t>
  </si>
  <si>
    <t>EPE Industrial-Comercial</t>
  </si>
  <si>
    <t>Industriales (Gran Usuario Mayor - GUM)</t>
  </si>
  <si>
    <t>5.3.1</t>
  </si>
  <si>
    <t>5.3.2</t>
  </si>
  <si>
    <t>5.3.3</t>
  </si>
  <si>
    <t>5.3.4</t>
  </si>
  <si>
    <t>5.3.5</t>
  </si>
  <si>
    <t>5.3.6</t>
  </si>
  <si>
    <t>5.3.7</t>
  </si>
  <si>
    <t>Ventas de combustibles en la provincia de Santa Fe</t>
  </si>
  <si>
    <t>Aerokerosene (jet)</t>
  </si>
  <si>
    <t>Aeronaftas</t>
  </si>
  <si>
    <t>Asfaltos</t>
  </si>
  <si>
    <t>Kerosene</t>
  </si>
  <si>
    <t>Diesel Oil</t>
  </si>
  <si>
    <t>Fuel Oil</t>
  </si>
  <si>
    <t>Gas Oil (grados 1, 2 y 3)</t>
  </si>
  <si>
    <t>Otro tipo de gasoil</t>
  </si>
  <si>
    <t>Total Gasoil</t>
  </si>
  <si>
    <t>Nafta Grado 1 (Común)</t>
  </si>
  <si>
    <t>Nafta Grado 2 (Super)</t>
  </si>
  <si>
    <t>Nafta Grado 3 (Ultra)</t>
  </si>
  <si>
    <t>Naftas Grado 1, 2 y 3.</t>
  </si>
  <si>
    <t>Otro tipo de naftas + nafta virgen</t>
  </si>
  <si>
    <t>Total Naftas</t>
  </si>
  <si>
    <t>Excluye empresas del sector</t>
  </si>
  <si>
    <t>Empresas del sector</t>
  </si>
  <si>
    <t>Total Fuel Oil</t>
  </si>
  <si>
    <r>
      <t>M</t>
    </r>
    <r>
      <rPr>
        <vertAlign val="superscript"/>
        <sz val="8"/>
        <rFont val="Arial"/>
        <family val="2"/>
      </rPr>
      <t>3</t>
    </r>
  </si>
  <si>
    <t>M3</t>
  </si>
  <si>
    <t>5.4.1</t>
  </si>
  <si>
    <t>5.4.2</t>
  </si>
  <si>
    <t>5.4.3</t>
  </si>
  <si>
    <t>5.4.4</t>
  </si>
  <si>
    <t>5.4.5</t>
  </si>
  <si>
    <t>5.4.6</t>
  </si>
  <si>
    <t>5.4.7</t>
  </si>
  <si>
    <t>5.4.8</t>
  </si>
  <si>
    <t>5.4.9</t>
  </si>
  <si>
    <t>5.4.10</t>
  </si>
  <si>
    <t>5.4.11</t>
  </si>
  <si>
    <t>5.4.12</t>
  </si>
  <si>
    <t>5.4.13</t>
  </si>
  <si>
    <t>5.4.14</t>
  </si>
  <si>
    <t>5.4.15</t>
  </si>
  <si>
    <t>5.4.16</t>
  </si>
  <si>
    <t>5.4.17</t>
  </si>
  <si>
    <t>5.4.18</t>
  </si>
  <si>
    <t>5.4.19</t>
  </si>
  <si>
    <t>5.4.20</t>
  </si>
  <si>
    <t>5.4.21</t>
  </si>
  <si>
    <t>Toneladas de cereales exportadas por puertos de la provincia de Santa Fe</t>
  </si>
  <si>
    <t>Toneladas de cereales exportadas por puertos de todo el país (total Argentina)</t>
  </si>
  <si>
    <t>Toneladas de maíz exportadas por puertos de la provincia de Santa Fe</t>
  </si>
  <si>
    <t>Toneladas de trigo exportadas por puertos de la provincia de Santa Fe</t>
  </si>
  <si>
    <t>Exportaciones de aceites oleaginosos por puertos de Santa Fe</t>
  </si>
  <si>
    <t xml:space="preserve">Secretaría de Agricultura, Ganadería y Pesca de Nación </t>
  </si>
  <si>
    <t>Maíz total</t>
  </si>
  <si>
    <t>Trigo</t>
  </si>
  <si>
    <t>Maíz nacional</t>
  </si>
  <si>
    <t>Maíz paraguayo</t>
  </si>
  <si>
    <t>Trigo nacional</t>
  </si>
  <si>
    <t>Trigo paraguayo</t>
  </si>
  <si>
    <t>Trigo total</t>
  </si>
  <si>
    <t>Aceite de soja nacional</t>
  </si>
  <si>
    <t>Aceite de soja extranjera (Paraguay y Bolivia)</t>
  </si>
  <si>
    <t>Aceite de soja total</t>
  </si>
  <si>
    <t>Aceite de girasol nacional</t>
  </si>
  <si>
    <t>Aceite de girasol extranjera (Paraguay y Bolivia)</t>
  </si>
  <si>
    <t>Aceite de girasol total</t>
  </si>
  <si>
    <t>tn</t>
  </si>
  <si>
    <t>6.1.1</t>
  </si>
  <si>
    <t>6.1.2</t>
  </si>
  <si>
    <t>6.1.3</t>
  </si>
  <si>
    <t>6.1.4</t>
  </si>
  <si>
    <t>6.1.5</t>
  </si>
  <si>
    <t>6.1.6</t>
  </si>
  <si>
    <t>6.1.7</t>
  </si>
  <si>
    <t>6.1.8</t>
  </si>
  <si>
    <t>6.1.9</t>
  </si>
  <si>
    <t>6.1.10</t>
  </si>
  <si>
    <t>6.1.11</t>
  </si>
  <si>
    <t>6.1.12</t>
  </si>
  <si>
    <t>6.1.13</t>
  </si>
  <si>
    <t>6.1.14</t>
  </si>
  <si>
    <t>6.1.15</t>
  </si>
  <si>
    <t>6.1.16</t>
  </si>
  <si>
    <t>6.1.17</t>
  </si>
  <si>
    <t>6.1.18</t>
  </si>
  <si>
    <t>6.1.19</t>
  </si>
  <si>
    <t>6.1.20</t>
  </si>
  <si>
    <t>6.1.21</t>
  </si>
  <si>
    <t>6.1.22</t>
  </si>
  <si>
    <t>6.1.23</t>
  </si>
  <si>
    <t>6.1.24</t>
  </si>
  <si>
    <t>6.1.25</t>
  </si>
  <si>
    <t>6.1.26</t>
  </si>
  <si>
    <t>6.1.27</t>
  </si>
  <si>
    <t>6.1.28</t>
  </si>
  <si>
    <t>San Lorenzo / San Martín / Villa Constitución</t>
  </si>
  <si>
    <t>SL/SM</t>
  </si>
  <si>
    <t>Prov. Sta. Fe</t>
  </si>
  <si>
    <t>Banco Central República Argentina (BCRA)</t>
  </si>
  <si>
    <t>Exportaciones Argentina</t>
  </si>
  <si>
    <t>Importaciones Argentinas</t>
  </si>
  <si>
    <t>Balanza comercial argentina</t>
  </si>
  <si>
    <t>Saldos al cierre de mes</t>
  </si>
  <si>
    <t>Millones de dólares corrientes</t>
  </si>
  <si>
    <t>6.2.1</t>
  </si>
  <si>
    <t>6.2.2</t>
  </si>
  <si>
    <t>6.2.3</t>
  </si>
  <si>
    <t>Indice de valor de las exportaciones (VX)</t>
  </si>
  <si>
    <t>Indice de precio de las exportaciones (PX)</t>
  </si>
  <si>
    <t>Indice de cantidad de las exportaciones (QX)</t>
  </si>
  <si>
    <t>Indice de valor de las importaciones (VM)</t>
  </si>
  <si>
    <t>Indice de precio de las importaciones (PM)</t>
  </si>
  <si>
    <t>Indice de cantidad de las importaciones (QM)</t>
  </si>
  <si>
    <t>Índice de términos de intercambio (NBTT = PX/PM*100)</t>
  </si>
  <si>
    <t>Indice de poder de compra de las exportaciones (ITT=Qx*PX/PM*100)</t>
  </si>
  <si>
    <t>Base 2004=100</t>
  </si>
  <si>
    <t>Exportaciones de bienes producidos</t>
  </si>
  <si>
    <t>Exportaciones de bienes según aduana de origen</t>
  </si>
  <si>
    <t>Exportaciones de bienes según aduana de salida</t>
  </si>
  <si>
    <t>Importaciones de bienes registradas en aduana</t>
  </si>
  <si>
    <t>Exportaciones de bienes</t>
  </si>
  <si>
    <t>Exportaciones de servicios</t>
  </si>
  <si>
    <t>Importaciones de bienes</t>
  </si>
  <si>
    <t>Importaciones  de servicios</t>
  </si>
  <si>
    <t>Instituto Nacional de Estadísticas y Censos (INDEC), Banco Central de la República Argentina (BCRA) e Instituto Provincial de Estadísticas y Censos (IPEC)</t>
  </si>
  <si>
    <t>Peso neto</t>
  </si>
  <si>
    <t>6.3.1</t>
  </si>
  <si>
    <t>6.3.2</t>
  </si>
  <si>
    <t>6.3.3</t>
  </si>
  <si>
    <t>Espacio</t>
  </si>
  <si>
    <t xml:space="preserve">Exportaciones de bienes producidos en la provincia de Santa Fe </t>
  </si>
  <si>
    <t>Productos primarios (PP)</t>
  </si>
  <si>
    <t>Manufacturas de origen agropecuario (MOA)</t>
  </si>
  <si>
    <t>Manufacturas de origen industrial (MOI)</t>
  </si>
  <si>
    <t>Combustibles y energía (CyE)</t>
  </si>
  <si>
    <t>Total exportado</t>
  </si>
  <si>
    <t>FOB</t>
  </si>
  <si>
    <t>6.4.1</t>
  </si>
  <si>
    <t>6.4.2</t>
  </si>
  <si>
    <t>6.4.3</t>
  </si>
  <si>
    <t>6.4.4</t>
  </si>
  <si>
    <t>6.4.5</t>
  </si>
  <si>
    <t>6.4.6</t>
  </si>
  <si>
    <t>6.4.7</t>
  </si>
  <si>
    <t>6.4.8</t>
  </si>
  <si>
    <t>6.4.9</t>
  </si>
  <si>
    <t>6.4.10</t>
  </si>
  <si>
    <t>Índice de Tipo de Cambio Real Multilateral (ITCRM)</t>
  </si>
  <si>
    <t>Índices de tipo de cambio real bilateral con los principales socios comerciales</t>
  </si>
  <si>
    <t>Valor real del peso argentino en relación a las monedas de sus principales socios
comerciales; promedios mensuales</t>
  </si>
  <si>
    <r>
      <t xml:space="preserve">Valor real del peso argentino en relación al </t>
    </r>
    <r>
      <rPr>
        <b/>
        <sz val="8"/>
        <rFont val="Arial"/>
        <family val="2"/>
      </rPr>
      <t>real</t>
    </r>
    <r>
      <rPr>
        <sz val="8"/>
        <rFont val="Arial"/>
        <family val="2"/>
      </rPr>
      <t>; promedios mensuales</t>
    </r>
  </si>
  <si>
    <r>
      <t xml:space="preserve">Valor real del peso argentino en relación al </t>
    </r>
    <r>
      <rPr>
        <b/>
        <sz val="8"/>
        <rFont val="Arial"/>
        <family val="2"/>
      </rPr>
      <t>dólar norteamericano</t>
    </r>
    <r>
      <rPr>
        <sz val="8"/>
        <rFont val="Arial"/>
        <family val="2"/>
      </rPr>
      <t>; promedios mensuales</t>
    </r>
  </si>
  <si>
    <r>
      <t xml:space="preserve">Valor real del peso argentino en relación al </t>
    </r>
    <r>
      <rPr>
        <b/>
        <sz val="8"/>
        <rFont val="Arial"/>
        <family val="2"/>
      </rPr>
      <t>yuan</t>
    </r>
    <r>
      <rPr>
        <sz val="8"/>
        <rFont val="Arial"/>
        <family val="2"/>
      </rPr>
      <t>; promedios mensuales</t>
    </r>
  </si>
  <si>
    <r>
      <t xml:space="preserve">Valor real del peso argentino en relación al </t>
    </r>
    <r>
      <rPr>
        <b/>
        <sz val="8"/>
        <rFont val="Arial"/>
        <family val="2"/>
      </rPr>
      <t>euro</t>
    </r>
    <r>
      <rPr>
        <sz val="8"/>
        <rFont val="Arial"/>
        <family val="2"/>
      </rPr>
      <t>; promedios mensuales</t>
    </r>
  </si>
  <si>
    <t>Índices con base 17-12-15=100</t>
  </si>
  <si>
    <t>6.5.1</t>
  </si>
  <si>
    <t>6.5.2</t>
  </si>
  <si>
    <t>6.5.3</t>
  </si>
  <si>
    <t>6.5.4</t>
  </si>
  <si>
    <t>6.5.5</t>
  </si>
  <si>
    <t>Recursos tributarios de origen provincial, provincia de Santa Fe</t>
  </si>
  <si>
    <t>Impuesto inmobiliario</t>
  </si>
  <si>
    <t>Ingresos brutos</t>
  </si>
  <si>
    <t>Aportes sociales</t>
  </si>
  <si>
    <t>Impuesto de sellos</t>
  </si>
  <si>
    <t>Patente única sobre vehículos</t>
  </si>
  <si>
    <t>Otros Impuestos</t>
  </si>
  <si>
    <t>Recaudación provincial total</t>
  </si>
  <si>
    <t>7.1.1</t>
  </si>
  <si>
    <t>7.1.2</t>
  </si>
  <si>
    <t>7.1.3</t>
  </si>
  <si>
    <t>7.1.4</t>
  </si>
  <si>
    <t>7.1.5</t>
  </si>
  <si>
    <t>7.1.6</t>
  </si>
  <si>
    <t>7.1.7</t>
  </si>
  <si>
    <t>Recursos tributarios de origen nacional transferidos a la provincia de Santa Fe (Coparticipación y otros)</t>
  </si>
  <si>
    <t>Secretaría de Haciendia del Ministerio Economía de la Nación (MECON)</t>
  </si>
  <si>
    <t>7.2.1</t>
  </si>
  <si>
    <t>Gasto total ejecutado</t>
  </si>
  <si>
    <t>Gasto en capital ejecutado</t>
  </si>
  <si>
    <t>7.3.1</t>
  </si>
  <si>
    <t>7.3.2</t>
  </si>
  <si>
    <t>7.3.3</t>
  </si>
  <si>
    <t>7.3.4</t>
  </si>
  <si>
    <t>Recaudación de IVA. Contribuyentes con domicilio fiscal en la provincia de Santa Fe</t>
  </si>
  <si>
    <t>Recaudación de IVA total en Argentina</t>
  </si>
  <si>
    <t>Agencia de Recaudación y Control Aduanero (ARCA)</t>
  </si>
  <si>
    <t>7.4.1</t>
  </si>
  <si>
    <t>7.4.2</t>
  </si>
  <si>
    <t xml:space="preserve">Índice de precios al consumidor en la provincia de Santa Fe </t>
  </si>
  <si>
    <t>Instituto Provincial de Estadística y Censos, Provincia de Santa Fe</t>
  </si>
  <si>
    <t>IPC Nivel General (IPEC)</t>
  </si>
  <si>
    <t>Alimentos y Bebidas</t>
  </si>
  <si>
    <t>Indumentaria</t>
  </si>
  <si>
    <t>Vivienda y Servicios Básicos</t>
  </si>
  <si>
    <t>Equip. y Mant. del Hogar</t>
  </si>
  <si>
    <t>Atención Médica y Gtos. de Salud</t>
  </si>
  <si>
    <t>Transporte y Comunicaciones</t>
  </si>
  <si>
    <t>Esparcimiento</t>
  </si>
  <si>
    <t>Educación</t>
  </si>
  <si>
    <t>Otros Bs. y Serv.</t>
  </si>
  <si>
    <t>Control</t>
  </si>
  <si>
    <t>Ponderadores</t>
  </si>
  <si>
    <t>Índice Base 2014=100</t>
  </si>
  <si>
    <t>8.1.1</t>
  </si>
  <si>
    <t>8.1.2</t>
  </si>
  <si>
    <t>8.1.3</t>
  </si>
  <si>
    <t>8.1.4</t>
  </si>
  <si>
    <t>8.1.5</t>
  </si>
  <si>
    <t>8.1.6</t>
  </si>
  <si>
    <t>8.1.7</t>
  </si>
  <si>
    <t>8.1.8</t>
  </si>
  <si>
    <t>8.1.9</t>
  </si>
  <si>
    <t>8.1.10</t>
  </si>
  <si>
    <t>8.1.11</t>
  </si>
  <si>
    <t>SFE-IPC</t>
  </si>
  <si>
    <t>SFE-ALI</t>
  </si>
  <si>
    <t xml:space="preserve"> Índice de Precios al Consumidor de la Ciudad de Buenos Aires (IPCBA) </t>
  </si>
  <si>
    <t>Gobierno de la Ciudad de Buenos Aires</t>
  </si>
  <si>
    <t>Divisiones</t>
  </si>
  <si>
    <t>Alimentos y bebidas no alcohólicas</t>
  </si>
  <si>
    <t>Bebidas alcohólicas y tabaco</t>
  </si>
  <si>
    <t>Prendas de vestir y calzado</t>
  </si>
  <si>
    <t>Vivienda. agua. electricidad y otros combustibles</t>
  </si>
  <si>
    <t>Equipamiento y mantenimiento del hogar</t>
  </si>
  <si>
    <t>Salud</t>
  </si>
  <si>
    <t>Transporte</t>
  </si>
  <si>
    <t>Información y comunicación</t>
  </si>
  <si>
    <t>Recreación y cultura</t>
  </si>
  <si>
    <t>Seguros y servicios financieros</t>
  </si>
  <si>
    <t>Cuidado personal. proteccion social y otros productos</t>
  </si>
  <si>
    <t>Índice base 2021 ≈ 100</t>
  </si>
  <si>
    <t>8.2.1</t>
  </si>
  <si>
    <t>8.2.2</t>
  </si>
  <si>
    <t>8.2.3</t>
  </si>
  <si>
    <t>8.2.4</t>
  </si>
  <si>
    <t>8.2.5</t>
  </si>
  <si>
    <t>8.2.6</t>
  </si>
  <si>
    <t>8.2.7</t>
  </si>
  <si>
    <t>8.2.8</t>
  </si>
  <si>
    <t>8.2.9</t>
  </si>
  <si>
    <t>8.2.10</t>
  </si>
  <si>
    <t>8.2.11</t>
  </si>
  <si>
    <t>8.2.12</t>
  </si>
  <si>
    <t>8.2.13</t>
  </si>
  <si>
    <t>8.2.14</t>
  </si>
  <si>
    <t xml:space="preserve">Índice de precios al consumidor - IPC NACIONAL - </t>
  </si>
  <si>
    <t>Nivel general y regiones</t>
  </si>
  <si>
    <t>Componentes desagregados del IPC Nacional</t>
  </si>
  <si>
    <t>Nacional (Nivel general)</t>
  </si>
  <si>
    <t>Pampeana</t>
  </si>
  <si>
    <t>Noreste</t>
  </si>
  <si>
    <t>Noroeste</t>
  </si>
  <si>
    <t>Cuyo</t>
  </si>
  <si>
    <t>Patagonia</t>
  </si>
  <si>
    <t>Alimentos y bebidas no alchólicos</t>
  </si>
  <si>
    <t>Bebidas alchólicas y tabaco</t>
  </si>
  <si>
    <t>Vivienda, agua, electricidad, gas y
otros combustibles</t>
  </si>
  <si>
    <t>Equip. y mant. del hogar</t>
  </si>
  <si>
    <t>Comunicaciones</t>
  </si>
  <si>
    <t>Otros bs. y serv.</t>
  </si>
  <si>
    <t>Bienes</t>
  </si>
  <si>
    <t>Servicios</t>
  </si>
  <si>
    <t>IPC Núcleo</t>
  </si>
  <si>
    <t>Regulados</t>
  </si>
  <si>
    <t>Estacionales</t>
  </si>
  <si>
    <t>Tasa de cambio mensual</t>
  </si>
  <si>
    <t>8.3.1</t>
  </si>
  <si>
    <t>8.3.2</t>
  </si>
  <si>
    <t>8.3.3</t>
  </si>
  <si>
    <t>8.3.4</t>
  </si>
  <si>
    <t>8.3.5</t>
  </si>
  <si>
    <t>8.3.6</t>
  </si>
  <si>
    <t>8.3.7</t>
  </si>
  <si>
    <t>8.3.8</t>
  </si>
  <si>
    <t>8.3.9</t>
  </si>
  <si>
    <t>8.3.10</t>
  </si>
  <si>
    <t>8.3.11</t>
  </si>
  <si>
    <t>8.3.12</t>
  </si>
  <si>
    <t>8.3.13</t>
  </si>
  <si>
    <t>8.3.14</t>
  </si>
  <si>
    <t>8.3.15</t>
  </si>
  <si>
    <t>8.3.16</t>
  </si>
  <si>
    <t>8.3.17</t>
  </si>
  <si>
    <t>8.3.18</t>
  </si>
  <si>
    <t>8.3.19</t>
  </si>
  <si>
    <t>8.3.20</t>
  </si>
  <si>
    <t>8.3.21</t>
  </si>
  <si>
    <t>8.3.22</t>
  </si>
  <si>
    <t>8.3.23</t>
  </si>
  <si>
    <t>8.3.24</t>
  </si>
  <si>
    <t>IPC-GBA (serie histórica)</t>
  </si>
  <si>
    <t>IPC-GBA (corregida)</t>
  </si>
  <si>
    <t>Precios minoristas GBA (fuentes alternativas)</t>
  </si>
  <si>
    <t>INDEC y otras fuentes</t>
  </si>
  <si>
    <t>Centro de investigacions Buenos Aires City - UBA</t>
  </si>
  <si>
    <t xml:space="preserve">IPC Congreso </t>
  </si>
  <si>
    <t>Índice Base abril 2008=100</t>
  </si>
  <si>
    <t>Sin base</t>
  </si>
  <si>
    <t>8.4.1</t>
  </si>
  <si>
    <t>8.4.2</t>
  </si>
  <si>
    <t>8.4.3</t>
  </si>
  <si>
    <t>8.4.4</t>
  </si>
  <si>
    <t xml:space="preserve">IPC ciudad de Bahía Blanca </t>
  </si>
  <si>
    <t xml:space="preserve"> Costo de vida en Bahía Blanca</t>
  </si>
  <si>
    <t>Centro Regional de Estudios Económicos de Bahía Blanca (CREEBBA)</t>
  </si>
  <si>
    <t>Nivel General</t>
  </si>
  <si>
    <t>Valor de la canasta de básica familiar (familia tipo 2)</t>
  </si>
  <si>
    <t>Índice base 2020.12=100</t>
  </si>
  <si>
    <t>8.5.1</t>
  </si>
  <si>
    <t>8.5.2</t>
  </si>
  <si>
    <t>8.5.3</t>
  </si>
  <si>
    <t>8.5.4</t>
  </si>
  <si>
    <t>Índice de Precios Internos Mayoristas (IPIM)</t>
  </si>
  <si>
    <t>Índice de Precios Internos Básicos (IPIB)</t>
  </si>
  <si>
    <t>Índice de Precios del Productor (IPP)</t>
  </si>
  <si>
    <t>Productos Nacionales</t>
  </si>
  <si>
    <t>Productos importados</t>
  </si>
  <si>
    <t>Productos nacionales</t>
  </si>
  <si>
    <t>Productos primarios</t>
  </si>
  <si>
    <t>Productos manufacturados y energía eléctrica</t>
  </si>
  <si>
    <t>Índice base 2015.12=100</t>
  </si>
  <si>
    <t>Índice base 2015.12=101</t>
  </si>
  <si>
    <t>Índice base 2015.12=102</t>
  </si>
  <si>
    <t>Índice base 2015.12=103</t>
  </si>
  <si>
    <t>Índice base 2015.12=104</t>
  </si>
  <si>
    <t>Índice base 2015.12=105</t>
  </si>
  <si>
    <t>Índice base 2015.12=106</t>
  </si>
  <si>
    <t>Índice base 2015.12=107</t>
  </si>
  <si>
    <t>Índice base 2015.12=108</t>
  </si>
  <si>
    <t>Índice base 2015.12=109</t>
  </si>
  <si>
    <t>Índice base 2015.12=110</t>
  </si>
  <si>
    <t>Índice base 2015.12=111</t>
  </si>
  <si>
    <t>Índice base 2015.12=112</t>
  </si>
  <si>
    <t>8.6.1</t>
  </si>
  <si>
    <t>8.6.2</t>
  </si>
  <si>
    <t>8.6.3</t>
  </si>
  <si>
    <t>8.6.4</t>
  </si>
  <si>
    <t>8.6.5</t>
  </si>
  <si>
    <t>8.6.6</t>
  </si>
  <si>
    <t>8.6.7</t>
  </si>
  <si>
    <t>8.6.8</t>
  </si>
  <si>
    <t>8.6.9</t>
  </si>
  <si>
    <t>8.6.10</t>
  </si>
  <si>
    <t>8.6.11</t>
  </si>
  <si>
    <t>8.6.12</t>
  </si>
  <si>
    <t>8.6.13</t>
  </si>
  <si>
    <t>8.7.1</t>
  </si>
  <si>
    <t>Valor de la tierra agrícola y ganadera en la pradera pampeana. Valuación de la tierra libre de mejoras</t>
  </si>
  <si>
    <t>Zona maicera</t>
  </si>
  <si>
    <t>Zona triguera</t>
  </si>
  <si>
    <t>Zona de invernada</t>
  </si>
  <si>
    <t>Zona de cría</t>
  </si>
  <si>
    <t>US$ / hectárea</t>
  </si>
  <si>
    <t>ton. maíz / hectárea</t>
  </si>
  <si>
    <t>ton. soja / hectárea</t>
  </si>
  <si>
    <t>ton. trigo / hectárea</t>
  </si>
  <si>
    <t>Kg. novillo / hectárea</t>
  </si>
  <si>
    <t>Kg. ternera / hectárea</t>
  </si>
  <si>
    <t>8.8.1</t>
  </si>
  <si>
    <t>8.8.2</t>
  </si>
  <si>
    <t>8.8.3</t>
  </si>
  <si>
    <t>8.8.4</t>
  </si>
  <si>
    <t>8.8.5</t>
  </si>
  <si>
    <t>8.8.6</t>
  </si>
  <si>
    <t>8.8.7</t>
  </si>
  <si>
    <t>8.8.8</t>
  </si>
  <si>
    <t>8.8.9</t>
  </si>
  <si>
    <t>8.8.10</t>
  </si>
  <si>
    <t>Loading PDF 45% ...</t>
  </si>
  <si>
    <t>Valor del dólar respecto a otras monedas</t>
  </si>
  <si>
    <t>$ / USD Oficial</t>
  </si>
  <si>
    <t>$ / USD Paralelo</t>
  </si>
  <si>
    <t>$ / USD MEP</t>
  </si>
  <si>
    <t>$ / USD CCL</t>
  </si>
  <si>
    <t>$ / USD  a 12 meses</t>
  </si>
  <si>
    <t>Índice de precios al consumidor de USA</t>
  </si>
  <si>
    <t>Federal Reserve Board</t>
  </si>
  <si>
    <t>Agrofy  News</t>
  </si>
  <si>
    <t>Ámbito Financiero</t>
  </si>
  <si>
    <t>Rava Bursatil</t>
  </si>
  <si>
    <t>Federal Reserve of St. Louis</t>
  </si>
  <si>
    <t>Nominal dollar indexes</t>
  </si>
  <si>
    <t>Real dollar indexes</t>
  </si>
  <si>
    <t>Tipo de cambio nominal</t>
  </si>
  <si>
    <t>Index for all urban consumers, not seasonally adjusted</t>
  </si>
  <si>
    <t>Index for all urban consumers, seasonally Adjusted</t>
  </si>
  <si>
    <t>Broad dollar index</t>
  </si>
  <si>
    <t>Advanced Foreign Economies (AFE)</t>
  </si>
  <si>
    <t>Emerging market economies (EME)</t>
  </si>
  <si>
    <t>Advanced Foreign economies (AFE)</t>
  </si>
  <si>
    <r>
      <t xml:space="preserve">Promedio valor de compra / venta a </t>
    </r>
    <r>
      <rPr>
        <b/>
        <sz val="8"/>
        <rFont val="Arial"/>
        <family val="2"/>
      </rPr>
      <t>fin de cada mes</t>
    </r>
  </si>
  <si>
    <r>
      <rPr>
        <b/>
        <sz val="8"/>
        <rFont val="Arial"/>
        <family val="2"/>
      </rPr>
      <t>Promedio mensual</t>
    </r>
    <r>
      <rPr>
        <sz val="8"/>
        <rFont val="Arial"/>
        <family val="2"/>
      </rPr>
      <t xml:space="preserve"> de valores diarios considerando el promedio entre puntas compradora / vendedora de dólar minorista Banco Nación</t>
    </r>
  </si>
  <si>
    <r>
      <rPr>
        <b/>
        <sz val="8"/>
        <rFont val="Arial"/>
        <family val="2"/>
      </rPr>
      <t>Promedio mensual</t>
    </r>
    <r>
      <rPr>
        <sz val="8"/>
        <rFont val="Arial"/>
        <family val="2"/>
      </rPr>
      <t xml:space="preserve"> de </t>
    </r>
    <r>
      <rPr>
        <b/>
        <sz val="8"/>
        <rFont val="Arial"/>
        <family val="2"/>
      </rPr>
      <t>valores</t>
    </r>
    <r>
      <rPr>
        <sz val="8"/>
        <rFont val="Arial"/>
        <family val="2"/>
      </rPr>
      <t xml:space="preserve"> diarios considerando el promedio entre puntas compradora / vendedora</t>
    </r>
  </si>
  <si>
    <r>
      <rPr>
        <b/>
        <sz val="8"/>
        <rFont val="Arial"/>
        <family val="2"/>
      </rPr>
      <t>Promedio mensual</t>
    </r>
    <r>
      <rPr>
        <sz val="8"/>
        <rFont val="Arial"/>
        <family val="2"/>
      </rPr>
      <t xml:space="preserve"> de valores diarios de </t>
    </r>
    <r>
      <rPr>
        <b/>
        <sz val="8"/>
        <rFont val="Arial"/>
        <family val="2"/>
      </rPr>
      <t>cierre</t>
    </r>
  </si>
  <si>
    <r>
      <t xml:space="preserve">Tipo de cambio </t>
    </r>
    <r>
      <rPr>
        <b/>
        <sz val="8"/>
        <rFont val="Arial"/>
        <family val="2"/>
      </rPr>
      <t>mediano</t>
    </r>
    <r>
      <rPr>
        <sz val="8"/>
        <rFont val="Arial"/>
        <family val="2"/>
      </rPr>
      <t xml:space="preserve"> nominal  esperado: $/US$: Próx. 12 meses</t>
    </r>
  </si>
  <si>
    <r>
      <t xml:space="preserve">Tipo de cambio </t>
    </r>
    <r>
      <rPr>
        <b/>
        <sz val="8"/>
        <rFont val="Arial"/>
        <family val="2"/>
      </rPr>
      <t>promedio</t>
    </r>
    <r>
      <rPr>
        <sz val="8"/>
        <rFont val="Arial"/>
        <family val="2"/>
      </rPr>
      <t xml:space="preserve"> nominal esperado: $/US$: Próx. 12 meses</t>
    </r>
  </si>
  <si>
    <t>All items</t>
  </si>
  <si>
    <t>All commodities</t>
  </si>
  <si>
    <t>Base Enero 2006=100</t>
  </si>
  <si>
    <t>Base 1982-1984=100</t>
  </si>
  <si>
    <t>Base 1982=100</t>
  </si>
  <si>
    <t>8.9.1</t>
  </si>
  <si>
    <t>8.9.2</t>
  </si>
  <si>
    <t>8.9.3</t>
  </si>
  <si>
    <t>8.9.4</t>
  </si>
  <si>
    <t>8.9.5</t>
  </si>
  <si>
    <t>8.9.6</t>
  </si>
  <si>
    <t>8.9.7</t>
  </si>
  <si>
    <t>8.9.8</t>
  </si>
  <si>
    <t>8.9.9</t>
  </si>
  <si>
    <t>8.9.10</t>
  </si>
  <si>
    <t>8.9.11</t>
  </si>
  <si>
    <t>8.9.12</t>
  </si>
  <si>
    <t>8.9.13</t>
  </si>
  <si>
    <t>8.9.14</t>
  </si>
  <si>
    <t>8.9.15</t>
  </si>
  <si>
    <t>8.9.16</t>
  </si>
  <si>
    <t>Expectativas de Inflación para los próximos 12 meses</t>
  </si>
  <si>
    <t>Expectativas de Inflación para el próximo mes</t>
  </si>
  <si>
    <t>Equilibra</t>
  </si>
  <si>
    <t>Mediana nacional</t>
  </si>
  <si>
    <t>Promedio nacional</t>
  </si>
  <si>
    <t>Mediana interior</t>
  </si>
  <si>
    <t>Promedio interior</t>
  </si>
  <si>
    <t xml:space="preserve">Mediana </t>
  </si>
  <si>
    <t xml:space="preserve">Promedio </t>
  </si>
  <si>
    <t>Total: mediana nivel general</t>
  </si>
  <si>
    <t>Top 10: mediana nivel general</t>
  </si>
  <si>
    <t>Promedio</t>
  </si>
  <si>
    <t>8.10.1</t>
  </si>
  <si>
    <t>8.10.2</t>
  </si>
  <si>
    <t>8.10.3</t>
  </si>
  <si>
    <t>8.10.4</t>
  </si>
  <si>
    <t>8.10.5</t>
  </si>
  <si>
    <t>8.10.6</t>
  </si>
  <si>
    <t>8.10.7</t>
  </si>
  <si>
    <t>8.10.8</t>
  </si>
  <si>
    <t>8.10.9</t>
  </si>
  <si>
    <t>Índice de Costo de la Construcción (ICC)</t>
  </si>
  <si>
    <t>Costo de la Construcción (CC)</t>
  </si>
  <si>
    <t>Valor del m2 de construcción</t>
  </si>
  <si>
    <t>Instituto Provincial de Estadística y Censos (IPEC)</t>
  </si>
  <si>
    <t>Revista Cifras</t>
  </si>
  <si>
    <t>ICC- Nivel general</t>
  </si>
  <si>
    <t>Materiales</t>
  </si>
  <si>
    <t>Mano de obra</t>
  </si>
  <si>
    <t>Gastos generales</t>
  </si>
  <si>
    <t>Casa en dos plantas</t>
  </si>
  <si>
    <t>Casa en una planta</t>
  </si>
  <si>
    <t>Departamento en edificio en altura</t>
  </si>
  <si>
    <t>Depósito / Galpón</t>
  </si>
  <si>
    <t>Gran Buenos Aires</t>
  </si>
  <si>
    <t>Región Litoral</t>
  </si>
  <si>
    <t>Índice Base 2022.01=100</t>
  </si>
  <si>
    <t>Pesos corrientes por metro cuadrado</t>
  </si>
  <si>
    <t>8.11.1</t>
  </si>
  <si>
    <t>8.11.2</t>
  </si>
  <si>
    <t>8.11.3</t>
  </si>
  <si>
    <t>8.11.4</t>
  </si>
  <si>
    <t>8.11.5</t>
  </si>
  <si>
    <t>8.11.6</t>
  </si>
  <si>
    <t>8.11.7</t>
  </si>
  <si>
    <t>8.11.8</t>
  </si>
  <si>
    <t>8.11.9</t>
  </si>
  <si>
    <t>8.11.10</t>
  </si>
  <si>
    <t>8.11.11</t>
  </si>
  <si>
    <t>8.11.12</t>
  </si>
  <si>
    <t>8.11.13</t>
  </si>
  <si>
    <t>8.11.14</t>
  </si>
  <si>
    <t>8.11.15</t>
  </si>
  <si>
    <t>8.11.16</t>
  </si>
  <si>
    <t>Circulación neta pagada (ventas) del Diario El Litoral</t>
  </si>
  <si>
    <t>Circulación neta pagada (ventas) del Diario Uno de Santa Fe</t>
  </si>
  <si>
    <t>Circulación neta pagada (ventas) del Diario La Capital</t>
  </si>
  <si>
    <t>Instituto Verificador de Circulares (IVC)</t>
  </si>
  <si>
    <t>Circulación total de lunes a domingos</t>
  </si>
  <si>
    <t>Circulación total de los domingos</t>
  </si>
  <si>
    <t>Circulación total del mes</t>
  </si>
  <si>
    <t>Circulación total total del mes</t>
  </si>
  <si>
    <t>Nº de ejemplares</t>
  </si>
  <si>
    <t>9.1.1</t>
  </si>
  <si>
    <t>9.1.2</t>
  </si>
  <si>
    <t>9.1.3</t>
  </si>
  <si>
    <t>9.1.4</t>
  </si>
  <si>
    <t>9.1.5</t>
  </si>
  <si>
    <t>9.1.6</t>
  </si>
  <si>
    <t>9.1.7</t>
  </si>
  <si>
    <t>9.1.8</t>
  </si>
  <si>
    <t>9.1.9</t>
  </si>
  <si>
    <t>no se edita más</t>
  </si>
  <si>
    <t>6.4. Cifras de comercio de la provincia de Santa Fe y Argentina - consolidados anuales -</t>
  </si>
  <si>
    <t>6.5. Exportaciones con origen en la provincia de Santa Fe</t>
  </si>
  <si>
    <t>6.6. Tipo de cambio real multilateral y bilaterales - Argentina -</t>
  </si>
  <si>
    <t>6.7. Reservas extranjeras brutas - Argentina -</t>
  </si>
  <si>
    <t xml:space="preserve">6.2. Comercio exterorior de bienes - Argentina - </t>
  </si>
  <si>
    <t>6.3. Comercio exterior de servicios - Argentina -</t>
  </si>
  <si>
    <t>Comercio exterior de bienes</t>
  </si>
  <si>
    <t>6.2.a.1</t>
  </si>
  <si>
    <t>6.2.a.2</t>
  </si>
  <si>
    <t>6.2.a.3</t>
  </si>
  <si>
    <t>6.2.a.4</t>
  </si>
  <si>
    <t>6.2.a.5</t>
  </si>
  <si>
    <t>6.2.a.6</t>
  </si>
  <si>
    <t>6.2.a.7</t>
  </si>
  <si>
    <t>6.2.a.8</t>
  </si>
  <si>
    <t>6.7.1</t>
  </si>
  <si>
    <t>Reservas extranjeras brutas del BCRA</t>
  </si>
  <si>
    <t>6.6.1</t>
  </si>
  <si>
    <t>6.6.2</t>
  </si>
  <si>
    <t>6.6.3</t>
  </si>
  <si>
    <t>6.6.4</t>
  </si>
  <si>
    <t>6.6.5</t>
  </si>
  <si>
    <t>6.5.6</t>
  </si>
  <si>
    <t>6.5.7</t>
  </si>
  <si>
    <t>6.5.8</t>
  </si>
  <si>
    <t>6.5.9</t>
  </si>
  <si>
    <t>6.5.10</t>
  </si>
  <si>
    <t>6.4.16</t>
  </si>
  <si>
    <t>6.4.17</t>
  </si>
  <si>
    <t>6.4.18</t>
  </si>
  <si>
    <t>6.4.19</t>
  </si>
  <si>
    <t>6.4.20</t>
  </si>
  <si>
    <t>6.4.21</t>
  </si>
  <si>
    <t>6.4.11</t>
  </si>
  <si>
    <t>6.4.12</t>
  </si>
  <si>
    <t>6.4.13</t>
  </si>
  <si>
    <t>6.4.14</t>
  </si>
  <si>
    <t>6.4.15</t>
  </si>
  <si>
    <r>
      <t xml:space="preserve">Millones de dólares corrientes </t>
    </r>
    <r>
      <rPr>
        <i/>
        <sz val="8"/>
        <rFont val="Arial"/>
        <family val="2"/>
      </rPr>
      <t>Free On Board</t>
    </r>
    <r>
      <rPr>
        <sz val="8"/>
        <rFont val="Arial"/>
        <family val="2"/>
      </rPr>
      <t xml:space="preserve"> (FOB)</t>
    </r>
  </si>
  <si>
    <r>
      <t xml:space="preserve">Millones de dólares corrientes </t>
    </r>
    <r>
      <rPr>
        <i/>
        <sz val="8"/>
        <rFont val="Arial"/>
        <family val="2"/>
      </rPr>
      <t>Cost, Insurance and Freight</t>
    </r>
    <r>
      <rPr>
        <sz val="8"/>
        <rFont val="Arial"/>
        <family val="2"/>
      </rPr>
      <t xml:space="preserve"> (CIF)</t>
    </r>
  </si>
  <si>
    <t>Participación de Santa Fe en Argentina</t>
  </si>
  <si>
    <t>Total general</t>
  </si>
  <si>
    <t>Cifras del omercio exterior de la Provincia de Santa Fe y Argentina</t>
  </si>
  <si>
    <t>6.2.a. Términos de intercambio comercial - Argentina -</t>
  </si>
  <si>
    <t>Términos de intercambio</t>
  </si>
  <si>
    <t xml:space="preserve">Balanza de Pagos de Argentina. Cuenta Corriente: Servicios. </t>
  </si>
  <si>
    <t>Saldo del comercio de Servicios</t>
  </si>
  <si>
    <t>All commodities and services</t>
  </si>
  <si>
    <t>Base 2009.11 = 100</t>
  </si>
  <si>
    <t>8.9.17</t>
  </si>
  <si>
    <t>Seasonally Adjusted</t>
  </si>
  <si>
    <t>Ingresos (exportaciones)</t>
  </si>
  <si>
    <t>Egresos (importaciones)</t>
  </si>
  <si>
    <t>Dirección Nacional de Estadísticas del Sector Externo y Cuentas Internacionales (INDEC), en base a encuestas, otros organismos y estimaciones propias</t>
  </si>
  <si>
    <t>En el mes</t>
  </si>
  <si>
    <t>Acumulado en el año</t>
  </si>
  <si>
    <t>Gasto público nacional ejecutado en la provincia de Santa Fe</t>
  </si>
  <si>
    <t>Subsecretaría de Presupuesto. Secretaría de Hacienda. Ministerio de Economía de la Nación.</t>
  </si>
  <si>
    <t>7.3.5</t>
  </si>
  <si>
    <t>7.3.6</t>
  </si>
  <si>
    <t>7.3.7</t>
  </si>
  <si>
    <t>7.3.8</t>
  </si>
  <si>
    <t>7.3. Gasto público provincial y nacional en la provincia de Santa Fe</t>
  </si>
  <si>
    <t>Gasto público provincial ejecutado en la provincia de Santa Fe</t>
  </si>
  <si>
    <r>
      <rPr>
        <b/>
        <u/>
        <sz val="11"/>
        <rFont val="Arial"/>
        <family val="2"/>
      </rPr>
      <t>Última actualización</t>
    </r>
    <r>
      <rPr>
        <b/>
        <sz val="11"/>
        <rFont val="Arial"/>
        <family val="2"/>
      </rPr>
      <t>:  01/04/2026</t>
    </r>
  </si>
  <si>
    <r>
      <t xml:space="preserve">&lt; </t>
    </r>
    <r>
      <rPr>
        <b/>
        <u/>
        <sz val="11"/>
        <rFont val="Arial"/>
        <family val="2"/>
      </rPr>
      <t>Próxima fecha de publicación</t>
    </r>
    <r>
      <rPr>
        <b/>
        <sz val="11"/>
        <rFont val="Arial"/>
        <family val="2"/>
      </rPr>
      <t>: 06/04/2026 &gt;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</si>
</sst>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4">
    <numFmt numFmtId="44" formatCode="_-&quot;$&quot;\ * #,##0.00_-;\-&quot;$&quot;\ * #,##0.00_-;_-&quot;$&quot;\ * &quot;-&quot;??_-;_-@_-"/>
    <numFmt numFmtId="43" formatCode="_-* #,##0.00_-;\-* #,##0.00_-;_-* &quot;-&quot;??_-;_-@_-"/>
    <numFmt numFmtId="164" formatCode="_-* #,##0.00\ &quot;€&quot;_-;\-* #,##0.00\ &quot;€&quot;_-;_-* &quot;-&quot;??\ &quot;€&quot;_-;_-@_-"/>
    <numFmt numFmtId="165" formatCode="_(* #,##0.00_);_(* \(#,##0.00\);_(* &quot;-&quot;??_);_(@_)"/>
    <numFmt numFmtId="166" formatCode="_ &quot;$&quot;\ * #,##0_ ;_ &quot;$&quot;\ * \-#,##0_ ;_ &quot;$&quot;\ * &quot;-&quot;_ ;_ @_ "/>
    <numFmt numFmtId="167" formatCode="_ &quot;$&quot;\ * #,##0.00_ ;_ &quot;$&quot;\ * \-#,##0.00_ ;_ &quot;$&quot;\ * &quot;-&quot;??_ ;_ @_ "/>
    <numFmt numFmtId="168" formatCode="_ * #,##0.00_ ;_ * \-#,##0.00_ ;_ * &quot;-&quot;??_ ;_ @_ "/>
    <numFmt numFmtId="169" formatCode="_-* #,##0.00\ _€_-;\-* #,##0.00\ _€_-;_-* &quot;-&quot;??\ _€_-;_-@_-"/>
    <numFmt numFmtId="170" formatCode="#,##0_);[Red]\-#,##0_)"/>
    <numFmt numFmtId="171" formatCode="#,##0.0_);[Red]\-#,##0.0_)"/>
    <numFmt numFmtId="172" formatCode="#,##0.00_);[Red]\-#,##0.00_)"/>
    <numFmt numFmtId="173" formatCode="0.00_);[Red]\-0.00_)"/>
    <numFmt numFmtId="174" formatCode="#,##0.000_);[Red]\-#,##0.000_)"/>
    <numFmt numFmtId="175" formatCode="#,##0_)"/>
    <numFmt numFmtId="176" formatCode="0.000"/>
    <numFmt numFmtId="177" formatCode="#,##0.00_)"/>
    <numFmt numFmtId="178" formatCode="0.00%_);[Red]\-0.00%_)"/>
    <numFmt numFmtId="179" formatCode="0.0%"/>
    <numFmt numFmtId="180" formatCode="0.0%_);[Red]\-0.0%_)"/>
    <numFmt numFmtId="181" formatCode="#,##0.0_)"/>
    <numFmt numFmtId="182" formatCode="0.0000"/>
    <numFmt numFmtId="183" formatCode="#,##0.000"/>
    <numFmt numFmtId="184" formatCode="#,##0.0"/>
    <numFmt numFmtId="185" formatCode="0.0"/>
    <numFmt numFmtId="186" formatCode="0.00000"/>
    <numFmt numFmtId="187" formatCode="General_)"/>
    <numFmt numFmtId="188" formatCode="_ [$€-2]\ * #,##0.00_ ;_ [$€-2]\ * \-#,##0.00_ ;_ [$€-2]\ * &quot;-&quot;??_ "/>
    <numFmt numFmtId="189" formatCode="0.0_)"/>
    <numFmt numFmtId="190" formatCode="#.00"/>
    <numFmt numFmtId="191" formatCode="\$#.00"/>
    <numFmt numFmtId="192" formatCode="#,"/>
    <numFmt numFmtId="193" formatCode="0.0000000%"/>
    <numFmt numFmtId="194" formatCode="_-* #,##0.00\ [$€]_-;\-* #,##0.00\ [$€]_-;_-* &quot;-&quot;??\ [$€]_-;_-@_-"/>
    <numFmt numFmtId="195" formatCode="_ * #,##0.0_ ;_ * \-#,##0.0_ ;_ * &quot;-&quot;??_ ;_ @_ "/>
    <numFmt numFmtId="196" formatCode="_ * #,##0_ ;_ * \-#,##0_ ;_ * &quot;-&quot;??_ ;_ @_ "/>
    <numFmt numFmtId="197" formatCode="#,000,000"/>
    <numFmt numFmtId="198" formatCode="0.0_);[Red]\-0.0_)"/>
    <numFmt numFmtId="199" formatCode="#,##0.0_ ;[Red]\-#,##0.0\ "/>
    <numFmt numFmtId="200" formatCode="#.##000"/>
    <numFmt numFmtId="201" formatCode="\$#,#00"/>
    <numFmt numFmtId="202" formatCode="#,#00"/>
    <numFmt numFmtId="203" formatCode="#.##0,"/>
    <numFmt numFmtId="204" formatCode="\$#,"/>
    <numFmt numFmtId="205" formatCode="0.00000000000000%"/>
    <numFmt numFmtId="206" formatCode="&quot;$&quot;\ #,##0.00_);[Red]\(&quot;$&quot;\ #,##0.00\)"/>
    <numFmt numFmtId="207" formatCode="_-* #,##0.00\ _P_t_s_-;\-* #,##0.00\ _P_t_s_-;_-* &quot;-&quot;??\ _P_t_s_-;_-@_-"/>
    <numFmt numFmtId="208" formatCode="0.0\ \ "/>
    <numFmt numFmtId="209" formatCode="0.00_ ;[Red]\-0.00\ "/>
    <numFmt numFmtId="210" formatCode="##.###.###.##00"/>
    <numFmt numFmtId="211" formatCode="0.0000%"/>
    <numFmt numFmtId="212" formatCode="#,##0_ ;[Red]\-#,##0\ "/>
    <numFmt numFmtId="213" formatCode="#,##0.0000_);[Red]\-#,##0.0000_)"/>
    <numFmt numFmtId="214" formatCode="#,##0.0000_ ;[Red]\-#,##0.0000\ "/>
    <numFmt numFmtId="215" formatCode="0.000000000000000%"/>
    <numFmt numFmtId="216" formatCode="_-* #,##0_-;\-* #,##0_-;_-* &quot;-&quot;??_-;_-@_-"/>
    <numFmt numFmtId="217" formatCode="0.000_);[Red]\-0.000_)"/>
    <numFmt numFmtId="218" formatCode="_-* #,##0.0_-;\-* #,##0.0_-;_-* &quot;-&quot;??_-;_-@_-"/>
    <numFmt numFmtId="219" formatCode="#."/>
    <numFmt numFmtId="220" formatCode="_ [$€]\ * #,##0.00_ ;_ [$€]\ * \-#,##0.00_ ;_ [$€]\ * &quot;-&quot;??_ ;_ @_ "/>
    <numFmt numFmtId="221" formatCode="_-[$€]* #,##0.00_-;\-[$€]* #,##0.00_-;_-[$€]* &quot;-&quot;??_-;_-@_-"/>
    <numFmt numFmtId="222" formatCode="#,##0.000000_);[Red]\-#,##0.000000_)"/>
    <numFmt numFmtId="223" formatCode="0.00000000%"/>
    <numFmt numFmtId="225" formatCode="_ * #,##0.00_ ;_ * \-#,##0.00_ ;_ * \-??_ ;_ @_ "/>
    <numFmt numFmtId="226" formatCode="0\ %"/>
  </numFmts>
  <fonts count="3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
      <color indexed="8"/>
      <name val="Courier"/>
    </font>
    <font>
      <sz val="10"/>
      <name val="Arial"/>
      <family val="2"/>
    </font>
    <font>
      <b/>
      <sz val="1"/>
      <color indexed="8"/>
      <name val="Courier"/>
    </font>
    <font>
      <u/>
      <sz val="10"/>
      <color indexed="12"/>
      <name val="Arial"/>
      <family val="2"/>
    </font>
    <font>
      <b/>
      <sz val="10"/>
      <name val="Arial"/>
      <family val="2"/>
    </font>
    <font>
      <sz val="10"/>
      <name val="Arial"/>
      <family val="2"/>
    </font>
    <font>
      <sz val="8"/>
      <name val="Arial"/>
      <family val="2"/>
    </font>
    <font>
      <sz val="10"/>
      <color indexed="9"/>
      <name val="Arial"/>
      <family val="2"/>
    </font>
    <font>
      <sz val="1"/>
      <color indexed="18"/>
      <name val="Courier"/>
    </font>
    <font>
      <sz val="10"/>
      <name val="Univers"/>
      <family val="2"/>
    </font>
    <font>
      <sz val="8"/>
      <name val="Univers"/>
      <family val="2"/>
    </font>
    <font>
      <sz val="10"/>
      <name val="MS Sans Serif"/>
    </font>
    <font>
      <sz val="10"/>
      <name val="Courier"/>
    </font>
    <font>
      <sz val="10"/>
      <name val="Verdana"/>
      <family val="2"/>
    </font>
    <font>
      <b/>
      <sz val="10"/>
      <color indexed="9"/>
      <name val="Arial"/>
      <family val="2"/>
    </font>
    <font>
      <sz val="10"/>
      <color indexed="10"/>
      <name val="Arial"/>
      <family val="2"/>
    </font>
    <font>
      <b/>
      <sz val="8"/>
      <color indexed="81"/>
      <name val="Tahoma"/>
      <family val="2"/>
    </font>
    <font>
      <sz val="8"/>
      <color indexed="81"/>
      <name val="Tahoma"/>
      <family val="2"/>
    </font>
    <font>
      <sz val="8"/>
      <color indexed="9"/>
      <name val="Arial"/>
      <family val="2"/>
    </font>
    <font>
      <b/>
      <sz val="8"/>
      <name val="Arial"/>
      <family val="2"/>
    </font>
    <font>
      <b/>
      <sz val="8"/>
      <color indexed="16"/>
      <name val="Arial"/>
      <family val="2"/>
    </font>
    <font>
      <b/>
      <i/>
      <sz val="8"/>
      <name val="Arial"/>
      <family val="2"/>
    </font>
    <font>
      <b/>
      <sz val="8"/>
      <color indexed="10"/>
      <name val="Arial"/>
      <family val="2"/>
    </font>
    <font>
      <sz val="8"/>
      <name val="Arial"/>
      <family val="2"/>
    </font>
    <font>
      <b/>
      <sz val="8"/>
      <color indexed="12"/>
      <name val="Arial"/>
      <family val="2"/>
    </font>
    <font>
      <b/>
      <sz val="8"/>
      <color indexed="8"/>
      <name val="Arial"/>
      <family val="2"/>
    </font>
    <font>
      <sz val="8"/>
      <color indexed="12"/>
      <name val="Arial"/>
      <family val="2"/>
    </font>
    <font>
      <b/>
      <sz val="8"/>
      <color indexed="20"/>
      <name val="Arial"/>
      <family val="2"/>
    </font>
    <font>
      <b/>
      <i/>
      <sz val="8"/>
      <color indexed="20"/>
      <name val="Arial"/>
      <family val="2"/>
    </font>
    <font>
      <sz val="9"/>
      <name val="Arial"/>
      <family val="2"/>
    </font>
    <font>
      <sz val="8"/>
      <color indexed="10"/>
      <name val="Arial"/>
      <family val="2"/>
    </font>
    <font>
      <b/>
      <sz val="10"/>
      <color indexed="18"/>
      <name val="Arial"/>
      <family val="2"/>
    </font>
    <font>
      <b/>
      <sz val="11"/>
      <color indexed="9"/>
      <name val="Arial"/>
      <family val="2"/>
    </font>
    <font>
      <b/>
      <sz val="10"/>
      <color indexed="62"/>
      <name val="Arial"/>
      <family val="2"/>
    </font>
    <font>
      <b/>
      <sz val="10"/>
      <color indexed="17"/>
      <name val="Arial"/>
      <family val="2"/>
    </font>
    <font>
      <sz val="10"/>
      <color indexed="17"/>
      <name val="Arial"/>
      <family val="2"/>
    </font>
    <font>
      <sz val="10"/>
      <color indexed="62"/>
      <name val="Arial"/>
      <family val="2"/>
    </font>
    <font>
      <i/>
      <sz val="8"/>
      <color indexed="9"/>
      <name val="Arial"/>
      <family val="2"/>
    </font>
    <font>
      <b/>
      <sz val="8"/>
      <color indexed="9"/>
      <name val="Arial"/>
      <family val="2"/>
    </font>
    <font>
      <sz val="8"/>
      <color indexed="22"/>
      <name val="Arial"/>
      <family val="2"/>
    </font>
    <font>
      <b/>
      <sz val="8"/>
      <color indexed="41"/>
      <name val="Arial"/>
      <family val="2"/>
    </font>
    <font>
      <vertAlign val="superscript"/>
      <sz val="8"/>
      <name val="Arial"/>
      <family val="2"/>
    </font>
    <font>
      <b/>
      <u/>
      <sz val="8"/>
      <color indexed="12"/>
      <name val="Arial"/>
      <family val="2"/>
    </font>
    <font>
      <i/>
      <sz val="8"/>
      <name val="Arial"/>
      <family val="2"/>
    </font>
    <font>
      <u/>
      <sz val="8"/>
      <name val="Arial"/>
      <family val="2"/>
    </font>
    <font>
      <sz val="8"/>
      <color indexed="8"/>
      <name val="Arial"/>
      <family val="2"/>
    </font>
    <font>
      <b/>
      <sz val="11"/>
      <name val="Arial"/>
      <family val="2"/>
    </font>
    <font>
      <sz val="8"/>
      <color indexed="55"/>
      <name val="Arial"/>
      <family val="2"/>
    </font>
    <font>
      <b/>
      <u/>
      <sz val="8"/>
      <color indexed="9"/>
      <name val="Arial"/>
      <family val="2"/>
    </font>
    <font>
      <sz val="8"/>
      <color indexed="53"/>
      <name val="Arial"/>
      <family val="2"/>
    </font>
    <font>
      <sz val="8"/>
      <color indexed="41"/>
      <name val="Arial"/>
      <family val="2"/>
    </font>
    <font>
      <u/>
      <sz val="8"/>
      <color indexed="12"/>
      <name val="Arial"/>
      <family val="2"/>
    </font>
    <font>
      <sz val="10"/>
      <color indexed="12"/>
      <name val="Arial"/>
      <family val="2"/>
    </font>
    <font>
      <b/>
      <sz val="10"/>
      <color indexed="10"/>
      <name val="Arial"/>
      <family val="2"/>
    </font>
    <font>
      <b/>
      <sz val="7"/>
      <color indexed="8"/>
      <name val="Verdana"/>
      <family val="2"/>
    </font>
    <font>
      <sz val="7"/>
      <name val="Arial"/>
      <family val="2"/>
    </font>
    <font>
      <sz val="12"/>
      <name val="Courier"/>
      <family val="3"/>
    </font>
    <font>
      <sz val="1"/>
      <color indexed="8"/>
      <name val="Courier"/>
      <family val="3"/>
    </font>
    <font>
      <i/>
      <sz val="1"/>
      <color indexed="8"/>
      <name val="Courier"/>
      <family val="3"/>
    </font>
    <font>
      <b/>
      <sz val="8"/>
      <color theme="0"/>
      <name val="Arial"/>
      <family val="2"/>
    </font>
    <font>
      <b/>
      <sz val="9"/>
      <color indexed="81"/>
      <name val="Tahoma"/>
      <family val="2"/>
    </font>
    <font>
      <sz val="8"/>
      <color rgb="FF002060"/>
      <name val="Arial"/>
      <family val="2"/>
    </font>
    <font>
      <b/>
      <sz val="8"/>
      <color theme="4" tint="-0.249977111117893"/>
      <name val="Arial"/>
      <family val="2"/>
    </font>
    <font>
      <sz val="9"/>
      <color indexed="81"/>
      <name val="Tahoma"/>
      <family val="2"/>
    </font>
    <font>
      <b/>
      <sz val="10"/>
      <color rgb="FF002060"/>
      <name val="Arial"/>
      <family val="2"/>
    </font>
    <font>
      <b/>
      <sz val="8"/>
      <color rgb="FF0070C0"/>
      <name val="Arial"/>
      <family val="2"/>
    </font>
    <font>
      <sz val="8"/>
      <color theme="1"/>
      <name val="Arial"/>
      <family val="2"/>
    </font>
    <font>
      <b/>
      <sz val="8"/>
      <color rgb="FF002060"/>
      <name val="Arial"/>
      <family val="2"/>
    </font>
    <font>
      <b/>
      <sz val="10"/>
      <color rgb="FFFF000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1"/>
      <color theme="1"/>
      <name val="Calibri"/>
      <family val="2"/>
      <scheme val="minor"/>
    </font>
    <font>
      <b/>
      <sz val="1"/>
      <color indexed="8"/>
      <name val="Courier"/>
      <family val="3"/>
    </font>
    <font>
      <sz val="10"/>
      <color theme="1"/>
      <name val="Calibri"/>
      <family val="2"/>
    </font>
    <font>
      <sz val="1"/>
      <color indexed="16"/>
      <name val="Courier"/>
      <family val="3"/>
    </font>
    <font>
      <b/>
      <sz val="1"/>
      <color indexed="16"/>
      <name val="Courier"/>
      <family val="3"/>
    </font>
    <font>
      <u/>
      <sz val="11"/>
      <color indexed="12"/>
      <name val="Arial"/>
      <family val="2"/>
    </font>
    <font>
      <sz val="11"/>
      <name val="Arial"/>
      <family val="2"/>
    </font>
    <font>
      <sz val="12"/>
      <name val="Times New Roman"/>
      <family val="1"/>
    </font>
    <font>
      <b/>
      <i/>
      <sz val="10"/>
      <color indexed="8"/>
      <name val="Arial"/>
      <family val="2"/>
    </font>
    <font>
      <b/>
      <sz val="11"/>
      <color indexed="21"/>
      <name val="Arial"/>
      <family val="2"/>
    </font>
    <font>
      <b/>
      <sz val="22"/>
      <color indexed="21"/>
      <name val="Times New Roman"/>
      <family val="1"/>
    </font>
    <font>
      <sz val="11"/>
      <color indexed="8"/>
      <name val="Calibri"/>
      <family val="2"/>
    </font>
    <font>
      <b/>
      <sz val="8"/>
      <color rgb="FF00B0F0"/>
      <name val="Arial"/>
      <family val="2"/>
    </font>
    <font>
      <sz val="10"/>
      <name val="Times New Roman"/>
      <family val="1"/>
    </font>
    <font>
      <sz val="11"/>
      <color indexed="81"/>
      <name val="Tahoma"/>
      <family val="2"/>
    </font>
    <font>
      <sz val="10"/>
      <color rgb="FFFF0000"/>
      <name val="Arial"/>
      <family val="2"/>
    </font>
    <font>
      <sz val="10"/>
      <name val="Arial"/>
      <family val="2"/>
    </font>
    <font>
      <sz val="8"/>
      <color theme="0"/>
      <name val="Arial"/>
      <family val="2"/>
    </font>
    <font>
      <sz val="8"/>
      <color rgb="FFFF0000"/>
      <name val="Arial"/>
      <family val="2"/>
    </font>
    <font>
      <sz val="10"/>
      <name val="Arial"/>
      <family val="2"/>
    </font>
    <font>
      <sz val="12"/>
      <name val="Helv"/>
    </font>
    <font>
      <sz val="8"/>
      <color theme="0" tint="-0.249977111117893"/>
      <name val="Arial"/>
      <family val="2"/>
    </font>
    <font>
      <u/>
      <sz val="8"/>
      <color theme="0" tint="-0.249977111117893"/>
      <name val="Arial"/>
      <family val="2"/>
    </font>
    <font>
      <sz val="9"/>
      <name val="Calibri"/>
      <family val="2"/>
    </font>
    <font>
      <u/>
      <sz val="9"/>
      <name val="Calibri"/>
      <family val="2"/>
    </font>
    <font>
      <b/>
      <u/>
      <sz val="9"/>
      <color indexed="81"/>
      <name val="Tahoma"/>
      <family val="2"/>
    </font>
    <font>
      <b/>
      <u/>
      <sz val="8"/>
      <color theme="0"/>
      <name val="Arial"/>
      <family val="2"/>
    </font>
    <font>
      <u/>
      <sz val="9"/>
      <color indexed="81"/>
      <name val="Tahoma"/>
      <family val="2"/>
    </font>
    <font>
      <b/>
      <u/>
      <sz val="9"/>
      <color theme="0"/>
      <name val="Calibri"/>
      <family val="2"/>
    </font>
    <font>
      <sz val="10"/>
      <name val="Arial"/>
      <family val="2"/>
    </font>
    <font>
      <b/>
      <sz val="10"/>
      <name val="Times New Roman"/>
      <family val="1"/>
    </font>
    <font>
      <sz val="10"/>
      <name val="Arial"/>
      <family val="2"/>
    </font>
    <font>
      <sz val="10"/>
      <color theme="0"/>
      <name val="Arial"/>
      <family val="2"/>
    </font>
    <font>
      <b/>
      <sz val="8"/>
      <color theme="1"/>
      <name val="Arial"/>
      <family val="2"/>
    </font>
    <font>
      <b/>
      <sz val="8"/>
      <color rgb="FFFF0000"/>
      <name val="Arial"/>
      <family val="2"/>
    </font>
    <font>
      <b/>
      <sz val="11"/>
      <name val="Calibri"/>
      <family val="2"/>
      <scheme val="minor"/>
    </font>
    <font>
      <sz val="8"/>
      <color theme="1"/>
      <name val="Calibri"/>
      <family val="2"/>
      <scheme val="minor"/>
    </font>
    <font>
      <sz val="8"/>
      <color theme="4" tint="-0.249977111117893"/>
      <name val="Arial"/>
      <family val="2"/>
    </font>
    <font>
      <sz val="10"/>
      <color theme="1"/>
      <name val="Arial"/>
      <family val="2"/>
    </font>
    <font>
      <b/>
      <sz val="10"/>
      <color theme="1"/>
      <name val="Arial"/>
      <family val="2"/>
    </font>
    <font>
      <u/>
      <sz val="11"/>
      <color theme="10"/>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b/>
      <sz val="15"/>
      <color indexed="54"/>
      <name val="Calibri"/>
      <family val="2"/>
    </font>
    <font>
      <u/>
      <sz val="9.35"/>
      <color theme="10"/>
      <name val="Calibri"/>
      <family val="2"/>
    </font>
    <font>
      <sz val="8"/>
      <color rgb="FF543904"/>
      <name val="Arial"/>
      <family val="2"/>
    </font>
    <font>
      <u/>
      <sz val="8"/>
      <color theme="0"/>
      <name val="Arial"/>
      <family val="2"/>
    </font>
    <font>
      <u/>
      <sz val="8"/>
      <color theme="1"/>
      <name val="Arial"/>
      <family val="2"/>
    </font>
    <font>
      <b/>
      <sz val="8"/>
      <color theme="1"/>
      <name val="Calibri"/>
      <family val="2"/>
      <scheme val="minor"/>
    </font>
    <font>
      <sz val="10"/>
      <color rgb="FF000000"/>
      <name val="Calibri"/>
      <family val="2"/>
      <charset val="1"/>
    </font>
    <font>
      <sz val="12"/>
      <name val="Arial"/>
      <family val="2"/>
    </font>
    <font>
      <u/>
      <sz val="10.45"/>
      <color indexed="12"/>
      <name val="Arial"/>
      <family val="2"/>
    </font>
    <font>
      <u/>
      <sz val="9"/>
      <color indexed="12"/>
      <name val="Arial"/>
      <family val="2"/>
    </font>
    <font>
      <sz val="10"/>
      <name val="Arial"/>
      <family val="2"/>
    </font>
    <font>
      <sz val="10"/>
      <name val="Arial"/>
      <family val="2"/>
    </font>
    <font>
      <sz val="10"/>
      <name val="Arial"/>
      <family val="2"/>
    </font>
    <font>
      <u/>
      <sz val="10"/>
      <color theme="10"/>
      <name val="Arial"/>
      <family val="2"/>
    </font>
    <font>
      <u/>
      <sz val="11"/>
      <color theme="10"/>
      <name val="Calibri"/>
      <family val="2"/>
      <scheme val="minor"/>
    </font>
    <font>
      <b/>
      <sz val="7"/>
      <color indexed="10"/>
      <name val="Arial"/>
      <family val="2"/>
    </font>
    <font>
      <b/>
      <sz val="7"/>
      <color theme="0"/>
      <name val="Arial"/>
      <family val="2"/>
    </font>
    <font>
      <sz val="8"/>
      <color theme="7" tint="-0.499984740745262"/>
      <name val="Arial"/>
      <family val="2"/>
    </font>
    <font>
      <sz val="7"/>
      <color indexed="81"/>
      <name val="Tahoma"/>
      <family val="2"/>
    </font>
    <font>
      <i/>
      <sz val="8"/>
      <color rgb="FFFFFFFF"/>
      <name val="Inherit"/>
    </font>
    <font>
      <b/>
      <sz val="12"/>
      <name val="Arial"/>
      <family val="2"/>
    </font>
    <font>
      <sz val="7"/>
      <color rgb="FF002060"/>
      <name val="Arial"/>
      <family val="2"/>
    </font>
    <font>
      <b/>
      <sz val="8"/>
      <color rgb="FF000000"/>
      <name val="Arial"/>
      <family val="2"/>
    </font>
    <font>
      <sz val="8"/>
      <color rgb="FF000000"/>
      <name val="Arial"/>
      <family val="2"/>
    </font>
    <font>
      <b/>
      <sz val="8"/>
      <color rgb="FFFFFFFF"/>
      <name val="Arial"/>
      <family val="2"/>
    </font>
    <font>
      <sz val="8"/>
      <color rgb="FFFFFFFF"/>
      <name val="Arial"/>
      <family val="2"/>
    </font>
    <font>
      <sz val="12"/>
      <name val="Arial"/>
      <family val="2"/>
    </font>
    <font>
      <sz val="8"/>
      <color rgb="FF0070C0"/>
      <name val="Arial"/>
      <family val="2"/>
    </font>
    <font>
      <u/>
      <sz val="8"/>
      <color rgb="FF0070C0"/>
      <name val="Arial"/>
      <family val="2"/>
    </font>
    <font>
      <b/>
      <u/>
      <sz val="8"/>
      <color rgb="FFFF0000"/>
      <name val="Arial"/>
      <family val="2"/>
    </font>
    <font>
      <i/>
      <sz val="8"/>
      <color rgb="FFFF0000"/>
      <name val="Arial"/>
      <family val="2"/>
    </font>
    <font>
      <b/>
      <u/>
      <sz val="8"/>
      <name val="Arial"/>
      <family val="2"/>
    </font>
    <font>
      <b/>
      <sz val="7"/>
      <name val="Arial"/>
      <family val="2"/>
    </font>
    <font>
      <sz val="10"/>
      <name val="Arial"/>
      <family val="2"/>
    </font>
    <font>
      <sz val="11"/>
      <color indexed="9"/>
      <name val="Arial"/>
      <family val="2"/>
    </font>
    <font>
      <sz val="8"/>
      <color indexed="16"/>
      <name val="Arial"/>
      <family val="2"/>
    </font>
    <font>
      <u/>
      <sz val="8"/>
      <color theme="8"/>
      <name val="Arial"/>
      <family val="2"/>
    </font>
    <font>
      <sz val="8"/>
      <name val="Arial"/>
      <family val="2"/>
    </font>
    <font>
      <sz val="11"/>
      <color rgb="FF9C5700"/>
      <name val="Calibri"/>
      <family val="2"/>
      <scheme val="minor"/>
    </font>
    <font>
      <sz val="11"/>
      <name val="Calibri"/>
      <family val="2"/>
    </font>
    <font>
      <b/>
      <sz val="18"/>
      <color theme="3"/>
      <name val="Calibri Light"/>
      <family val="2"/>
      <scheme val="major"/>
    </font>
    <font>
      <sz val="9"/>
      <color indexed="8"/>
      <name val="Calibri"/>
      <family val="2"/>
    </font>
    <font>
      <sz val="9"/>
      <color indexed="9"/>
      <name val="Calibri"/>
      <family val="2"/>
    </font>
    <font>
      <sz val="10"/>
      <color theme="0"/>
      <name val="Calibri"/>
      <family val="2"/>
    </font>
    <font>
      <sz val="11"/>
      <color indexed="17"/>
      <name val="Calibri"/>
      <family val="2"/>
    </font>
    <font>
      <sz val="9"/>
      <color indexed="17"/>
      <name val="Calibri"/>
      <family val="2"/>
    </font>
    <font>
      <sz val="10"/>
      <color rgb="FF006100"/>
      <name val="Calibri"/>
      <family val="2"/>
    </font>
    <font>
      <b/>
      <sz val="9"/>
      <color indexed="52"/>
      <name val="Calibri"/>
      <family val="2"/>
    </font>
    <font>
      <b/>
      <sz val="10"/>
      <color rgb="FFFA7D00"/>
      <name val="Calibri"/>
      <family val="2"/>
    </font>
    <font>
      <b/>
      <sz val="9"/>
      <color indexed="9"/>
      <name val="Calibri"/>
      <family val="2"/>
    </font>
    <font>
      <b/>
      <sz val="10"/>
      <color theme="0"/>
      <name val="Calibri"/>
      <family val="2"/>
    </font>
    <font>
      <sz val="9"/>
      <color indexed="52"/>
      <name val="Calibri"/>
      <family val="2"/>
    </font>
    <font>
      <sz val="10"/>
      <color rgb="FFFA7D00"/>
      <name val="Calibri"/>
      <family val="2"/>
    </font>
    <font>
      <sz val="1"/>
      <color indexed="18"/>
      <name val="Courier"/>
      <family val="3"/>
    </font>
    <font>
      <b/>
      <sz val="11"/>
      <color theme="3"/>
      <name val="Calibri"/>
      <family val="2"/>
    </font>
    <font>
      <sz val="9"/>
      <color indexed="62"/>
      <name val="Calibri"/>
      <family val="2"/>
    </font>
    <font>
      <sz val="10"/>
      <color rgb="FF3F3F76"/>
      <name val="Calibri"/>
      <family val="2"/>
    </font>
    <font>
      <sz val="9"/>
      <color indexed="20"/>
      <name val="Calibri"/>
      <family val="2"/>
    </font>
    <font>
      <sz val="10"/>
      <color rgb="FF9C0006"/>
      <name val="Calibri"/>
      <family val="2"/>
    </font>
    <font>
      <sz val="9"/>
      <color indexed="8"/>
      <name val="Cambria"/>
      <family val="2"/>
    </font>
    <font>
      <sz val="9"/>
      <color indexed="60"/>
      <name val="Calibri"/>
      <family val="2"/>
    </font>
    <font>
      <sz val="10"/>
      <color rgb="FF9C6500"/>
      <name val="Calibri"/>
      <family val="2"/>
    </font>
    <font>
      <b/>
      <sz val="9"/>
      <color indexed="63"/>
      <name val="Calibri"/>
      <family val="2"/>
    </font>
    <font>
      <b/>
      <sz val="10"/>
      <color rgb="FF3F3F3F"/>
      <name val="Calibri"/>
      <family val="2"/>
    </font>
    <font>
      <sz val="9"/>
      <color indexed="10"/>
      <name val="Calibri"/>
      <family val="2"/>
    </font>
    <font>
      <sz val="10"/>
      <color rgb="FFFF0000"/>
      <name val="Calibri"/>
      <family val="2"/>
    </font>
    <font>
      <i/>
      <sz val="9"/>
      <color indexed="23"/>
      <name val="Calibri"/>
      <family val="2"/>
    </font>
    <font>
      <i/>
      <sz val="10"/>
      <color rgb="FF7F7F7F"/>
      <name val="Calibri"/>
      <family val="2"/>
    </font>
    <font>
      <b/>
      <sz val="15"/>
      <color theme="3"/>
      <name val="Calibri"/>
      <family val="2"/>
    </font>
    <font>
      <b/>
      <sz val="13"/>
      <color theme="3"/>
      <name val="Calibri"/>
      <family val="2"/>
    </font>
    <font>
      <b/>
      <sz val="9"/>
      <color indexed="8"/>
      <name val="Calibri"/>
      <family val="2"/>
    </font>
    <font>
      <b/>
      <sz val="10"/>
      <color theme="1"/>
      <name val="Calibri"/>
      <family val="2"/>
    </font>
    <font>
      <u/>
      <sz val="10"/>
      <name val="Arial"/>
      <family val="2"/>
    </font>
    <font>
      <sz val="10"/>
      <color indexed="8"/>
      <name val="Calibri"/>
      <family val="2"/>
    </font>
    <font>
      <sz val="10"/>
      <color indexed="9"/>
      <name val="Calibri"/>
      <family val="2"/>
    </font>
    <font>
      <b/>
      <sz val="11"/>
      <color indexed="54"/>
      <name val="Calibri"/>
      <family val="2"/>
    </font>
    <font>
      <sz val="10"/>
      <color indexed="60"/>
      <name val="Calibri"/>
      <family val="2"/>
    </font>
    <font>
      <sz val="18"/>
      <color indexed="54"/>
      <name val="Calibri Light"/>
      <family val="2"/>
    </font>
    <font>
      <b/>
      <sz val="13"/>
      <color indexed="54"/>
      <name val="Calibri"/>
      <family val="2"/>
    </font>
    <font>
      <b/>
      <sz val="18"/>
      <color indexed="54"/>
      <name val="Calibri Light"/>
      <family val="2"/>
    </font>
    <font>
      <b/>
      <sz val="10"/>
      <color indexed="8"/>
      <name val="Calibri"/>
      <family val="2"/>
    </font>
    <font>
      <sz val="12"/>
      <name val="Monaco"/>
      <family val="3"/>
    </font>
    <font>
      <sz val="8.5"/>
      <name val="Arial"/>
      <family val="2"/>
    </font>
    <font>
      <sz val="12"/>
      <name val="Monaco"/>
    </font>
    <font>
      <sz val="9"/>
      <color rgb="FF244062"/>
      <name val="Arial"/>
      <family val="2"/>
    </font>
    <font>
      <sz val="8"/>
      <name val="Arial"/>
      <family val="2"/>
    </font>
    <font>
      <sz val="8"/>
      <name val="Arial"/>
      <family val="2"/>
    </font>
    <font>
      <b/>
      <u/>
      <sz val="11"/>
      <name val="Arial"/>
      <family val="2"/>
    </font>
    <font>
      <b/>
      <u/>
      <sz val="10"/>
      <name val="Arial"/>
      <family val="2"/>
    </font>
    <font>
      <b/>
      <sz val="11"/>
      <color theme="7" tint="-0.499984740745262"/>
      <name val="Arial"/>
      <family val="2"/>
    </font>
    <font>
      <b/>
      <sz val="11"/>
      <color rgb="FF0070C0"/>
      <name val="Arial"/>
      <family val="2"/>
    </font>
    <font>
      <sz val="10"/>
      <color rgb="FF0070C0"/>
      <name val="Arial"/>
      <family val="2"/>
    </font>
    <font>
      <sz val="8"/>
      <name val="Arial"/>
      <family val="2"/>
    </font>
    <font>
      <u/>
      <sz val="8"/>
      <color theme="7" tint="-0.249977111117893"/>
      <name val="Arial"/>
      <family val="2"/>
    </font>
    <font>
      <i/>
      <sz val="8"/>
      <color theme="1"/>
      <name val="Arial"/>
      <family val="2"/>
    </font>
    <font>
      <sz val="8"/>
      <color theme="8"/>
      <name val="Arial"/>
      <family val="2"/>
    </font>
    <font>
      <b/>
      <sz val="8"/>
      <color theme="8" tint="-0.249977111117893"/>
      <name val="Arial"/>
      <family val="2"/>
    </font>
    <font>
      <sz val="8"/>
      <color theme="8" tint="-0.249977111117893"/>
      <name val="Arial"/>
      <family val="2"/>
    </font>
    <font>
      <sz val="8"/>
      <color rgb="FF996600"/>
      <name val="Arial"/>
      <family val="2"/>
    </font>
    <font>
      <u/>
      <sz val="8"/>
      <color rgb="FF996600"/>
      <name val="Arial"/>
      <family val="2"/>
    </font>
    <font>
      <sz val="10"/>
      <name val="Arial"/>
      <family val="2"/>
    </font>
    <font>
      <sz val="9"/>
      <color indexed="81"/>
      <name val="Arial"/>
      <family val="2"/>
    </font>
    <font>
      <b/>
      <sz val="8"/>
      <color theme="8"/>
      <name val="Arial"/>
      <family val="2"/>
    </font>
    <font>
      <sz val="8"/>
      <name val="Arial"/>
      <family val="2"/>
    </font>
    <font>
      <sz val="10"/>
      <name val="Arial"/>
      <family val="2"/>
    </font>
  </fonts>
  <fills count="78">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9"/>
        <bgColor indexed="26"/>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21"/>
        <bgColor indexed="64"/>
      </patternFill>
    </fill>
    <fill>
      <patternFill patternType="solid">
        <fgColor theme="2" tint="-9.9978637043366805E-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patternFill>
    </fill>
    <fill>
      <patternFill patternType="solid">
        <fgColor theme="4" tint="0.79998168889431442"/>
        <bgColor indexed="64"/>
      </patternFill>
    </fill>
    <fill>
      <patternFill patternType="solid">
        <fgColor rgb="FFFFFFFF"/>
        <bgColor rgb="FF000000"/>
      </patternFill>
    </fill>
    <fill>
      <patternFill patternType="solid">
        <fgColor rgb="FFC0C0C0"/>
        <bgColor rgb="FF000000"/>
      </patternFill>
    </fill>
    <fill>
      <patternFill patternType="solid">
        <fgColor rgb="FF000000"/>
        <bgColor rgb="FF000000"/>
      </patternFill>
    </fill>
    <fill>
      <patternFill patternType="solid">
        <fgColor theme="6" tint="0.59999389629810485"/>
        <bgColor indexed="64"/>
      </patternFill>
    </fill>
    <fill>
      <patternFill patternType="solid">
        <fgColor theme="0" tint="-0.499984740745262"/>
        <bgColor indexed="64"/>
      </patternFill>
    </fill>
    <fill>
      <patternFill patternType="solid">
        <fgColor indexed="65"/>
        <bgColor indexed="64"/>
      </patternFill>
    </fill>
    <fill>
      <patternFill patternType="solid">
        <fgColor theme="2"/>
        <bgColor indexed="64"/>
      </patternFill>
    </fill>
    <fill>
      <patternFill patternType="solid">
        <fgColor theme="1" tint="4.9989318521683403E-2"/>
        <bgColor indexed="64"/>
      </patternFill>
    </fill>
    <fill>
      <patternFill patternType="solid">
        <fgColor theme="7"/>
        <bgColor indexed="64"/>
      </patternFill>
    </fill>
  </fills>
  <borders count="219">
    <border>
      <left/>
      <right/>
      <top/>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thin">
        <color indexed="64"/>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style="thin">
        <color indexed="64"/>
      </right>
      <top/>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top/>
      <bottom style="medium">
        <color indexed="64"/>
      </bottom>
      <diagonal/>
    </border>
    <border>
      <left style="medium">
        <color indexed="64"/>
      </left>
      <right/>
      <top/>
      <bottom style="thin">
        <color indexed="64"/>
      </bottom>
      <diagonal/>
    </border>
    <border>
      <left/>
      <right/>
      <top style="medium">
        <color indexed="64"/>
      </top>
      <bottom/>
      <diagonal/>
    </border>
    <border>
      <left style="thin">
        <color theme="0"/>
      </left>
      <right style="thin">
        <color indexed="64"/>
      </right>
      <top/>
      <bottom/>
      <diagonal/>
    </border>
    <border>
      <left/>
      <right style="thin">
        <color theme="0"/>
      </right>
      <top/>
      <bottom/>
      <diagonal/>
    </border>
    <border>
      <left style="thin">
        <color theme="0"/>
      </left>
      <right style="thin">
        <color theme="0"/>
      </right>
      <top style="medium">
        <color indexed="64"/>
      </top>
      <bottom/>
      <diagonal/>
    </border>
    <border>
      <left style="thin">
        <color theme="0"/>
      </left>
      <right/>
      <top style="medium">
        <color indexed="64"/>
      </top>
      <bottom/>
      <diagonal/>
    </border>
    <border>
      <left/>
      <right style="thin">
        <color theme="0"/>
      </right>
      <top style="medium">
        <color indexed="64"/>
      </top>
      <bottom/>
      <diagonal/>
    </border>
    <border>
      <left style="thin">
        <color theme="0"/>
      </left>
      <right style="thin">
        <color indexed="64"/>
      </right>
      <top style="thin">
        <color indexed="64"/>
      </top>
      <bottom style="thin">
        <color indexed="64"/>
      </bottom>
      <diagonal/>
    </border>
    <border>
      <left style="thin">
        <color theme="0"/>
      </left>
      <right/>
      <top/>
      <bottom/>
      <diagonal/>
    </border>
    <border>
      <left style="thin">
        <color theme="0"/>
      </left>
      <right style="thin">
        <color indexed="64"/>
      </right>
      <top style="medium">
        <color indexed="64"/>
      </top>
      <bottom/>
      <diagonal/>
    </border>
    <border>
      <left style="dotted">
        <color theme="0"/>
      </left>
      <right style="medium">
        <color indexed="64"/>
      </right>
      <top/>
      <bottom/>
      <diagonal/>
    </border>
    <border>
      <left style="thin">
        <color theme="0"/>
      </left>
      <right style="medium">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bottom/>
      <diagonal/>
    </border>
    <border>
      <left style="thin">
        <color auto="1"/>
      </left>
      <right style="thin">
        <color indexed="64"/>
      </right>
      <top/>
      <bottom/>
      <diagonal/>
    </border>
    <border>
      <left style="thin">
        <color auto="1"/>
      </left>
      <right style="medium">
        <color auto="1"/>
      </right>
      <top/>
      <bottom/>
      <diagonal/>
    </border>
    <border>
      <left style="thin">
        <color theme="0"/>
      </left>
      <right style="medium">
        <color auto="1"/>
      </right>
      <top/>
      <bottom/>
      <diagonal/>
    </border>
    <border>
      <left style="thin">
        <color auto="1"/>
      </left>
      <right style="thin">
        <color theme="0"/>
      </right>
      <top/>
      <bottom/>
      <diagonal/>
    </border>
    <border>
      <left style="medium">
        <color indexed="64"/>
      </left>
      <right style="medium">
        <color indexed="64"/>
      </right>
      <top/>
      <bottom/>
      <diagonal/>
    </border>
    <border>
      <left style="dashed">
        <color indexed="64"/>
      </left>
      <right/>
      <top style="thin">
        <color indexed="64"/>
      </top>
      <bottom style="thin">
        <color indexed="64"/>
      </bottom>
      <diagonal/>
    </border>
    <border>
      <left/>
      <right/>
      <top style="double">
        <color indexed="64"/>
      </top>
      <bottom/>
      <diagonal/>
    </border>
    <border>
      <left/>
      <right style="dotted">
        <color theme="0"/>
      </right>
      <top/>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ashed">
        <color auto="1"/>
      </left>
      <right style="thin">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tted">
        <color auto="1"/>
      </left>
      <right style="dotted">
        <color auto="1"/>
      </right>
      <top style="medium">
        <color indexed="64"/>
      </top>
      <bottom/>
      <diagonal/>
    </border>
    <border>
      <left style="dotted">
        <color indexed="64"/>
      </left>
      <right style="thin">
        <color indexed="64"/>
      </right>
      <top style="medium">
        <color indexed="64"/>
      </top>
      <bottom/>
      <diagonal/>
    </border>
    <border>
      <left style="dotted">
        <color indexed="64"/>
      </left>
      <right style="thin">
        <color theme="0"/>
      </right>
      <top style="medium">
        <color indexed="64"/>
      </top>
      <bottom/>
      <diagonal/>
    </border>
    <border>
      <left style="dotted">
        <color indexed="64"/>
      </left>
      <right style="medium">
        <color indexed="64"/>
      </right>
      <top style="thin">
        <color indexed="64"/>
      </top>
      <bottom style="medium">
        <color indexed="64"/>
      </bottom>
      <diagonal/>
    </border>
    <border>
      <left style="dotted">
        <color auto="1"/>
      </left>
      <right style="dotted">
        <color auto="1"/>
      </right>
      <top style="thin">
        <color indexed="64"/>
      </top>
      <bottom style="medium">
        <color indexed="64"/>
      </bottom>
      <diagonal/>
    </border>
    <border>
      <left/>
      <right style="dotted">
        <color indexed="64"/>
      </right>
      <top style="thin">
        <color indexed="64"/>
      </top>
      <bottom style="thin">
        <color indexed="64"/>
      </bottom>
      <diagonal/>
    </border>
    <border>
      <left/>
      <right style="dotted">
        <color indexed="64"/>
      </right>
      <top style="thin">
        <color indexed="64"/>
      </top>
      <bottom style="medium">
        <color indexed="64"/>
      </bottom>
      <diagonal/>
    </border>
    <border>
      <left style="thin">
        <color indexed="64"/>
      </left>
      <right style="dotted">
        <color indexed="64"/>
      </right>
      <top/>
      <bottom/>
      <diagonal/>
    </border>
    <border>
      <left style="thin">
        <color theme="0"/>
      </left>
      <right style="dotted">
        <color indexed="64"/>
      </right>
      <top/>
      <bottom/>
      <diagonal/>
    </border>
    <border>
      <left/>
      <right style="dotted">
        <color indexed="64"/>
      </right>
      <top/>
      <bottom/>
      <diagonal/>
    </border>
    <border>
      <left style="thin">
        <color indexed="64"/>
      </left>
      <right style="dotted">
        <color indexed="64"/>
      </right>
      <top style="thin">
        <color indexed="64"/>
      </top>
      <bottom style="medium">
        <color indexed="64"/>
      </bottom>
      <diagonal/>
    </border>
    <border>
      <left style="thin">
        <color theme="1"/>
      </left>
      <right style="dotted">
        <color indexed="64"/>
      </right>
      <top/>
      <bottom/>
      <diagonal/>
    </border>
    <border>
      <left style="dotted">
        <color indexed="64"/>
      </left>
      <right style="dotted">
        <color indexed="64"/>
      </right>
      <top/>
      <bottom style="thin">
        <color indexed="64"/>
      </bottom>
      <diagonal/>
    </border>
    <border>
      <left style="dotted">
        <color indexed="64"/>
      </left>
      <right/>
      <top style="thin">
        <color indexed="64"/>
      </top>
      <bottom style="medium">
        <color indexed="64"/>
      </bottom>
      <diagonal/>
    </border>
    <border>
      <left style="dotted">
        <color indexed="64"/>
      </left>
      <right style="medium">
        <color auto="1"/>
      </right>
      <top style="medium">
        <color indexed="64"/>
      </top>
      <bottom/>
      <diagonal/>
    </border>
    <border>
      <left style="dotted">
        <color indexed="64"/>
      </left>
      <right style="thin">
        <color indexed="64"/>
      </right>
      <top style="thin">
        <color indexed="64"/>
      </top>
      <bottom style="medium">
        <color indexed="64"/>
      </bottom>
      <diagonal/>
    </border>
    <border>
      <left style="medium">
        <color indexed="64"/>
      </left>
      <right style="dotted">
        <color indexed="64"/>
      </right>
      <top style="thin">
        <color indexed="64"/>
      </top>
      <bottom style="medium">
        <color indexed="64"/>
      </bottom>
      <diagonal/>
    </border>
    <border>
      <left style="medium">
        <color indexed="64"/>
      </left>
      <right style="dotted">
        <color indexed="64"/>
      </right>
      <top/>
      <bottom/>
      <diagonal/>
    </border>
    <border>
      <left style="thin">
        <color theme="0"/>
      </left>
      <right style="dotted">
        <color indexed="64"/>
      </right>
      <top style="medium">
        <color indexed="64"/>
      </top>
      <bottom/>
      <diagonal/>
    </border>
    <border>
      <left style="dotted">
        <color indexed="64"/>
      </left>
      <right style="dotted">
        <color indexed="64"/>
      </right>
      <top/>
      <bottom style="medium">
        <color indexed="64"/>
      </bottom>
      <diagonal/>
    </border>
    <border>
      <left style="thin">
        <color indexed="64"/>
      </left>
      <right style="dotted">
        <color indexed="64"/>
      </right>
      <top style="medium">
        <color indexed="64"/>
      </top>
      <bottom/>
      <diagonal/>
    </border>
    <border>
      <left style="medium">
        <color indexed="64"/>
      </left>
      <right style="dotted">
        <color indexed="64"/>
      </right>
      <top style="thin">
        <color indexed="64"/>
      </top>
      <bottom style="thin">
        <color indexed="64"/>
      </bottom>
      <diagonal/>
    </border>
    <border>
      <left style="dotted">
        <color indexed="64"/>
      </left>
      <right/>
      <top style="medium">
        <color indexed="64"/>
      </top>
      <bottom/>
      <diagonal/>
    </border>
    <border>
      <left/>
      <right style="dotted">
        <color indexed="64"/>
      </right>
      <top style="medium">
        <color indexed="64"/>
      </top>
      <bottom/>
      <diagonal/>
    </border>
    <border>
      <left style="dotted">
        <color theme="0"/>
      </left>
      <right/>
      <top/>
      <bottom/>
      <diagonal/>
    </border>
    <border>
      <left style="dotted">
        <color indexed="64"/>
      </left>
      <right style="thin">
        <color indexed="64"/>
      </right>
      <top/>
      <bottom style="thin">
        <color indexed="64"/>
      </bottom>
      <diagonal/>
    </border>
    <border>
      <left/>
      <right style="dashed">
        <color indexed="64"/>
      </right>
      <top style="thin">
        <color indexed="64"/>
      </top>
      <bottom style="thin">
        <color indexed="64"/>
      </bottom>
      <diagonal/>
    </border>
    <border>
      <left/>
      <right style="dashed">
        <color indexed="64"/>
      </right>
      <top/>
      <bottom/>
      <diagonal/>
    </border>
    <border>
      <left/>
      <right style="dashed">
        <color indexed="64"/>
      </right>
      <top style="thin">
        <color indexed="64"/>
      </top>
      <bottom style="medium">
        <color indexed="64"/>
      </bottom>
      <diagonal/>
    </border>
    <border>
      <left style="thin">
        <color indexed="64"/>
      </left>
      <right style="dashed">
        <color indexed="64"/>
      </right>
      <top style="medium">
        <color indexed="64"/>
      </top>
      <bottom/>
      <diagonal/>
    </border>
    <border>
      <left style="thin">
        <color indexed="64"/>
      </left>
      <right style="dashed">
        <color indexed="64"/>
      </right>
      <top/>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style="medium">
        <color indexed="64"/>
      </right>
      <top style="thin">
        <color indexed="64"/>
      </top>
      <bottom style="thin">
        <color indexed="64"/>
      </bottom>
      <diagonal/>
    </border>
    <border>
      <left style="thin">
        <color auto="1"/>
      </left>
      <right style="hair">
        <color auto="1"/>
      </right>
      <top/>
      <bottom/>
      <diagonal/>
    </border>
    <border>
      <left style="medium">
        <color indexed="64"/>
      </left>
      <right style="dotted">
        <color indexed="64"/>
      </right>
      <top style="medium">
        <color indexed="64"/>
      </top>
      <bottom/>
      <diagonal/>
    </border>
    <border>
      <left style="dotted">
        <color indexed="64"/>
      </left>
      <right style="medium">
        <color indexed="64"/>
      </right>
      <top/>
      <bottom style="thin">
        <color indexed="64"/>
      </bottom>
      <diagonal/>
    </border>
    <border>
      <left style="thin">
        <color auto="1"/>
      </left>
      <right style="dotted">
        <color indexed="64"/>
      </right>
      <top/>
      <bottom style="thin">
        <color indexed="64"/>
      </bottom>
      <diagonal/>
    </border>
    <border>
      <left style="hair">
        <color auto="1"/>
      </left>
      <right style="medium">
        <color auto="1"/>
      </right>
      <top style="thin">
        <color indexed="64"/>
      </top>
      <bottom style="thin">
        <color indexed="64"/>
      </bottom>
      <diagonal/>
    </border>
    <border>
      <left style="hair">
        <color auto="1"/>
      </left>
      <right style="dotted">
        <color auto="1"/>
      </right>
      <top style="thin">
        <color indexed="64"/>
      </top>
      <bottom style="thin">
        <color indexed="64"/>
      </bottom>
      <diagonal/>
    </border>
    <border>
      <left style="hair">
        <color auto="1"/>
      </left>
      <right/>
      <top style="thin">
        <color indexed="64"/>
      </top>
      <bottom style="thin">
        <color indexed="64"/>
      </bottom>
      <diagonal/>
    </border>
    <border>
      <left style="hair">
        <color auto="1"/>
      </left>
      <right style="dotted">
        <color auto="1"/>
      </right>
      <top style="thin">
        <color indexed="64"/>
      </top>
      <bottom style="medium">
        <color indexed="64"/>
      </bottom>
      <diagonal/>
    </border>
    <border>
      <left style="hair">
        <color auto="1"/>
      </left>
      <right style="dotted">
        <color auto="1"/>
      </right>
      <top/>
      <bottom/>
      <diagonal/>
    </border>
    <border>
      <left style="hair">
        <color auto="1"/>
      </left>
      <right style="medium">
        <color auto="1"/>
      </right>
      <top/>
      <bottom/>
      <diagonal/>
    </border>
    <border>
      <left style="dashed">
        <color theme="0"/>
      </left>
      <right style="dotted">
        <color indexed="64"/>
      </right>
      <top/>
      <bottom/>
      <diagonal/>
    </border>
    <border>
      <left style="dotted">
        <color indexed="64"/>
      </left>
      <right/>
      <top/>
      <bottom style="thin">
        <color indexed="64"/>
      </bottom>
      <diagonal/>
    </border>
    <border>
      <left style="dotted">
        <color indexed="64"/>
      </left>
      <right style="dashed">
        <color indexed="64"/>
      </right>
      <top style="medium">
        <color indexed="64"/>
      </top>
      <bottom/>
      <diagonal/>
    </border>
    <border>
      <left style="medium">
        <color indexed="64"/>
      </left>
      <right style="dashed">
        <color indexed="64"/>
      </right>
      <top style="thin">
        <color indexed="64"/>
      </top>
      <bottom style="thin">
        <color indexed="64"/>
      </bottom>
      <diagonal/>
    </border>
    <border>
      <left style="dashed">
        <color indexed="64"/>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thin">
        <color theme="0"/>
      </left>
      <right style="dashed">
        <color indexed="64"/>
      </right>
      <top/>
      <bottom/>
      <diagonal/>
    </border>
    <border>
      <left style="dotted">
        <color auto="1"/>
      </left>
      <right/>
      <top/>
      <bottom/>
      <diagonal/>
    </border>
    <border>
      <left style="dashed">
        <color auto="1"/>
      </left>
      <right style="thin">
        <color auto="1"/>
      </right>
      <top/>
      <bottom style="thin">
        <color indexed="64"/>
      </bottom>
      <diagonal/>
    </border>
    <border>
      <left style="dashed">
        <color indexed="64"/>
      </left>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otted">
        <color indexed="64"/>
      </right>
      <top/>
      <bottom/>
      <diagonal/>
    </border>
    <border>
      <left style="dashed">
        <color indexed="64"/>
      </left>
      <right style="dotted">
        <color indexed="64"/>
      </right>
      <top style="thin">
        <color indexed="64"/>
      </top>
      <bottom style="thin">
        <color indexed="64"/>
      </bottom>
      <diagonal/>
    </border>
    <border>
      <left style="dashed">
        <color indexed="64"/>
      </left>
      <right style="dotted">
        <color indexed="64"/>
      </right>
      <top style="thin">
        <color indexed="64"/>
      </top>
      <bottom style="medium">
        <color indexed="64"/>
      </bottom>
      <diagonal/>
    </border>
    <border>
      <left style="dashed">
        <color indexed="64"/>
      </left>
      <right style="thin">
        <color indexed="64"/>
      </right>
      <top style="thin">
        <color indexed="64"/>
      </top>
      <bottom style="medium">
        <color indexed="64"/>
      </bottom>
      <diagonal/>
    </border>
    <border>
      <left style="thin">
        <color theme="0"/>
      </left>
      <right style="thin">
        <color theme="1"/>
      </right>
      <top style="medium">
        <color indexed="64"/>
      </top>
      <bottom/>
      <diagonal/>
    </border>
    <border>
      <left/>
      <right style="medium">
        <color indexed="64"/>
      </right>
      <top style="thin">
        <color auto="1"/>
      </top>
      <bottom/>
      <diagonal/>
    </border>
    <border>
      <left/>
      <right/>
      <top style="thin">
        <color auto="1"/>
      </top>
      <bottom/>
      <diagonal/>
    </border>
    <border>
      <left style="medium">
        <color indexed="64"/>
      </left>
      <right style="dotted">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8"/>
      </top>
      <bottom style="double">
        <color indexed="8"/>
      </bottom>
      <diagonal/>
    </border>
    <border>
      <left/>
      <right/>
      <top style="thin">
        <color indexed="62"/>
      </top>
      <bottom style="double">
        <color indexed="62"/>
      </bottom>
      <diagonal/>
    </border>
    <border>
      <left/>
      <right/>
      <top/>
      <bottom style="thick">
        <color indexed="44"/>
      </bottom>
      <diagonal/>
    </border>
    <border>
      <left/>
      <right/>
      <top/>
      <bottom style="medium">
        <color indexed="49"/>
      </bottom>
      <diagonal/>
    </border>
    <border>
      <left style="dotted">
        <color indexed="64"/>
      </left>
      <right style="medium">
        <color indexed="64"/>
      </right>
      <top style="thin">
        <color indexed="64"/>
      </top>
      <bottom style="thin">
        <color indexed="64"/>
      </bottom>
      <diagonal/>
    </border>
    <border>
      <left style="medium">
        <color indexed="64"/>
      </left>
      <right style="thin">
        <color theme="0"/>
      </right>
      <top/>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auto="1"/>
      </left>
      <right style="dotted">
        <color auto="1"/>
      </right>
      <top style="thin">
        <color indexed="64"/>
      </top>
      <bottom/>
      <diagonal/>
    </border>
    <border>
      <left style="dashed">
        <color indexed="64"/>
      </left>
      <right style="medium">
        <color indexed="64"/>
      </right>
      <top style="thin">
        <color indexed="64"/>
      </top>
      <bottom style="medium">
        <color indexed="64"/>
      </bottom>
      <diagonal/>
    </border>
    <border>
      <left style="dotted">
        <color theme="1"/>
      </left>
      <right style="dotted">
        <color theme="1"/>
      </right>
      <top style="thin">
        <color indexed="64"/>
      </top>
      <bottom style="thin">
        <color indexed="64"/>
      </bottom>
      <diagonal/>
    </border>
    <border>
      <left style="dotted">
        <color theme="1"/>
      </left>
      <right style="dotted">
        <color theme="1"/>
      </right>
      <top style="thin">
        <color indexed="64"/>
      </top>
      <bottom/>
      <diagonal/>
    </border>
    <border>
      <left style="dotted">
        <color theme="1"/>
      </left>
      <right style="dotted">
        <color theme="1"/>
      </right>
      <top/>
      <bottom/>
      <diagonal/>
    </border>
    <border>
      <left style="dotted">
        <color theme="1"/>
      </left>
      <right style="dotted">
        <color theme="1"/>
      </right>
      <top/>
      <bottom style="thin">
        <color indexed="64"/>
      </bottom>
      <diagonal/>
    </border>
    <border>
      <left style="dotted">
        <color theme="1"/>
      </left>
      <right style="dotted">
        <color theme="1"/>
      </right>
      <top/>
      <bottom style="dotted">
        <color theme="1"/>
      </bottom>
      <diagonal/>
    </border>
    <border>
      <left style="dotted">
        <color theme="1"/>
      </left>
      <right style="dotted">
        <color theme="1"/>
      </right>
      <top style="dotted">
        <color theme="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8"/>
      </top>
      <bottom style="double">
        <color indexed="8"/>
      </bottom>
      <diagonal/>
    </border>
    <border>
      <left style="dotted">
        <color indexed="64"/>
      </left>
      <right style="thin">
        <color theme="0"/>
      </right>
      <top/>
      <bottom/>
      <diagonal/>
    </border>
    <border>
      <left style="dotted">
        <color auto="1"/>
      </left>
      <right style="medium">
        <color auto="1"/>
      </right>
      <top/>
      <bottom/>
      <diagonal/>
    </border>
    <border>
      <left style="thin">
        <color indexed="64"/>
      </left>
      <right style="thin">
        <color theme="0"/>
      </right>
      <top style="medium">
        <color indexed="64"/>
      </top>
      <bottom/>
      <diagonal/>
    </border>
    <border>
      <left style="dashed">
        <color auto="1"/>
      </left>
      <right style="dashed">
        <color auto="1"/>
      </right>
      <top style="medium">
        <color indexed="64"/>
      </top>
      <bottom/>
      <diagonal/>
    </border>
    <border>
      <left style="dotted">
        <color auto="1"/>
      </left>
      <right style="thin">
        <color auto="1"/>
      </right>
      <top/>
      <bottom/>
      <diagonal/>
    </border>
    <border>
      <left style="dotted">
        <color indexed="64"/>
      </left>
      <right style="medium">
        <color indexed="64"/>
      </right>
      <top/>
      <bottom style="medium">
        <color indexed="64"/>
      </bottom>
      <diagonal/>
    </border>
    <border>
      <left style="dashed">
        <color indexed="64"/>
      </left>
      <right style="dashed">
        <color indexed="64"/>
      </right>
      <top style="thin">
        <color auto="1"/>
      </top>
      <bottom/>
      <diagonal/>
    </border>
    <border>
      <left style="dashed">
        <color indexed="64"/>
      </left>
      <right style="dotted">
        <color auto="1"/>
      </right>
      <top style="thin">
        <color auto="1"/>
      </top>
      <bottom/>
      <diagonal/>
    </border>
    <border>
      <left style="dashed">
        <color indexed="64"/>
      </left>
      <right style="dotted">
        <color auto="1"/>
      </right>
      <top style="medium">
        <color indexed="64"/>
      </top>
      <bottom/>
      <diagonal/>
    </border>
    <border>
      <left style="dashed">
        <color auto="1"/>
      </left>
      <right style="thin">
        <color auto="1"/>
      </right>
      <top style="thin">
        <color indexed="64"/>
      </top>
      <bottom/>
      <diagonal/>
    </border>
    <border>
      <left style="thin">
        <color indexed="9"/>
      </left>
      <right style="thin">
        <color indexed="9"/>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dotted">
        <color indexed="64"/>
      </right>
      <top style="thin">
        <color indexed="64"/>
      </top>
      <bottom/>
      <diagonal/>
    </border>
    <border>
      <left style="thin">
        <color indexed="64"/>
      </left>
      <right style="dotted">
        <color indexed="64"/>
      </right>
      <top style="thin">
        <color indexed="64"/>
      </top>
      <bottom/>
      <diagonal/>
    </border>
    <border>
      <left style="medium">
        <color indexed="64"/>
      </left>
      <right style="dotted">
        <color indexed="64"/>
      </right>
      <top style="thin">
        <color indexed="64"/>
      </top>
      <bottom/>
      <diagonal/>
    </border>
    <border>
      <left style="dotted">
        <color indexed="64"/>
      </left>
      <right style="medium">
        <color indexed="64"/>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indexed="64"/>
      </left>
      <right style="medium">
        <color indexed="64"/>
      </right>
      <top style="thin">
        <color indexed="64"/>
      </top>
      <bottom/>
      <diagonal/>
    </border>
    <border>
      <left style="thin">
        <color theme="0"/>
      </left>
      <right/>
      <top style="thin">
        <color auto="1"/>
      </top>
      <bottom/>
      <diagonal/>
    </border>
    <border>
      <left style="thin">
        <color theme="0"/>
      </left>
      <right style="thin">
        <color theme="0"/>
      </right>
      <top style="thin">
        <color auto="1"/>
      </top>
      <bottom/>
      <diagonal/>
    </border>
    <border>
      <left style="thin">
        <color theme="0"/>
      </left>
      <right style="medium">
        <color indexed="64"/>
      </right>
      <top style="thin">
        <color indexed="64"/>
      </top>
      <bottom/>
      <diagonal/>
    </border>
    <border>
      <left style="medium">
        <color indexed="64"/>
      </left>
      <right/>
      <top style="thin">
        <color auto="1"/>
      </top>
      <bottom/>
      <diagonal/>
    </border>
    <border>
      <left style="dashDotDot">
        <color indexed="64"/>
      </left>
      <right style="dotted">
        <color indexed="64"/>
      </right>
      <top style="thin">
        <color indexed="64"/>
      </top>
      <bottom style="thin">
        <color indexed="64"/>
      </bottom>
      <diagonal/>
    </border>
    <border>
      <left style="dotted">
        <color indexed="64"/>
      </left>
      <right style="dashDotDot">
        <color indexed="64"/>
      </right>
      <top style="thin">
        <color indexed="64"/>
      </top>
      <bottom style="thin">
        <color indexed="64"/>
      </bottom>
      <diagonal/>
    </border>
    <border>
      <left style="dashDotDot">
        <color indexed="64"/>
      </left>
      <right style="dotted">
        <color indexed="64"/>
      </right>
      <top/>
      <bottom style="thin">
        <color indexed="64"/>
      </bottom>
      <diagonal/>
    </border>
    <border>
      <left style="dotted">
        <color indexed="64"/>
      </left>
      <right style="dashDotDot">
        <color indexed="64"/>
      </right>
      <top/>
      <bottom style="thin">
        <color indexed="64"/>
      </bottom>
      <diagonal/>
    </border>
    <border>
      <left style="dashDotDot">
        <color indexed="64"/>
      </left>
      <right style="dotted">
        <color auto="1"/>
      </right>
      <top style="thin">
        <color indexed="64"/>
      </top>
      <bottom style="medium">
        <color indexed="64"/>
      </bottom>
      <diagonal/>
    </border>
    <border>
      <left style="dotted">
        <color auto="1"/>
      </left>
      <right style="dashDotDot">
        <color indexed="64"/>
      </right>
      <top style="thin">
        <color indexed="64"/>
      </top>
      <bottom style="medium">
        <color indexed="64"/>
      </bottom>
      <diagonal/>
    </border>
    <border>
      <left style="dotted">
        <color auto="1"/>
      </left>
      <right style="dotted">
        <color auto="1"/>
      </right>
      <top/>
      <bottom/>
      <diagonal/>
    </border>
    <border>
      <left style="dashDotDot">
        <color indexed="64"/>
      </left>
      <right style="dotted">
        <color auto="1"/>
      </right>
      <top/>
      <bottom/>
      <diagonal/>
    </border>
    <border>
      <left style="dotted">
        <color auto="1"/>
      </left>
      <right style="dashDotDot">
        <color indexed="64"/>
      </right>
      <top/>
      <bottom/>
      <diagonal/>
    </border>
    <border>
      <left style="dashDotDot">
        <color indexed="64"/>
      </left>
      <right/>
      <top style="thin">
        <color indexed="64"/>
      </top>
      <bottom style="thin">
        <color indexed="64"/>
      </bottom>
      <diagonal/>
    </border>
    <border>
      <left style="dotted">
        <color indexed="64"/>
      </left>
      <right/>
      <top style="thin">
        <color indexed="64"/>
      </top>
      <bottom/>
      <diagonal/>
    </border>
    <border>
      <left style="dashDotDot">
        <color indexed="64"/>
      </left>
      <right style="dotted">
        <color indexed="64"/>
      </right>
      <top style="thin">
        <color indexed="64"/>
      </top>
      <bottom/>
      <diagonal/>
    </border>
    <border>
      <left style="dotted">
        <color indexed="64"/>
      </left>
      <right style="thin">
        <color indexed="64"/>
      </right>
      <top style="thin">
        <color indexed="64"/>
      </top>
      <bottom/>
      <diagonal/>
    </border>
    <border>
      <left style="dashDotDot">
        <color indexed="64"/>
      </left>
      <right/>
      <top/>
      <bottom/>
      <diagonal/>
    </border>
    <border>
      <left style="dotted">
        <color indexed="18"/>
      </left>
      <right/>
      <top/>
      <bottom/>
      <diagonal/>
    </border>
    <border>
      <left style="dotted">
        <color indexed="64"/>
      </left>
      <right style="dashed">
        <color indexed="64"/>
      </right>
      <top/>
      <bottom/>
      <diagonal/>
    </border>
    <border>
      <left style="dotted">
        <color auto="1"/>
      </left>
      <right style="dotted">
        <color theme="0"/>
      </right>
      <top/>
      <bottom/>
      <diagonal/>
    </border>
    <border>
      <left style="medium">
        <color indexed="64"/>
      </left>
      <right/>
      <top style="medium">
        <color indexed="64"/>
      </top>
      <bottom style="thin">
        <color indexed="64"/>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bottom style="medium">
        <color indexed="64"/>
      </bottom>
      <diagonal/>
    </border>
    <border>
      <left style="thin">
        <color auto="1"/>
      </left>
      <right/>
      <top style="thin">
        <color indexed="64"/>
      </top>
      <bottom style="thin">
        <color indexed="64"/>
      </bottom>
      <diagonal/>
    </border>
    <border>
      <left style="dotted">
        <color indexed="64"/>
      </left>
      <right style="thin">
        <color theme="0"/>
      </right>
      <top/>
      <bottom/>
      <diagonal/>
    </border>
  </borders>
  <cellStyleXfs count="24495">
    <xf numFmtId="0" fontId="0" fillId="0" borderId="0"/>
    <xf numFmtId="0" fontId="73" fillId="0" borderId="0">
      <protection locked="0"/>
    </xf>
    <xf numFmtId="0" fontId="65" fillId="0" borderId="0">
      <protection locked="0"/>
    </xf>
    <xf numFmtId="0" fontId="73" fillId="0" borderId="0">
      <protection locked="0"/>
    </xf>
    <xf numFmtId="0" fontId="65" fillId="0" borderId="0">
      <protection locked="0"/>
    </xf>
    <xf numFmtId="0" fontId="66" fillId="0" borderId="0" applyFont="0" applyFill="0" applyBorder="0" applyAlignment="0" applyProtection="0"/>
    <xf numFmtId="0" fontId="65" fillId="0" borderId="0">
      <protection locked="0"/>
    </xf>
    <xf numFmtId="0" fontId="67" fillId="0" borderId="0">
      <protection locked="0"/>
    </xf>
    <xf numFmtId="0" fontId="67" fillId="0" borderId="0">
      <protection locked="0"/>
    </xf>
    <xf numFmtId="0" fontId="68" fillId="0" borderId="0" applyNumberFormat="0" applyFill="0" applyBorder="0" applyAlignment="0" applyProtection="0">
      <alignment vertical="top"/>
      <protection locked="0"/>
    </xf>
    <xf numFmtId="0" fontId="74" fillId="0" borderId="0"/>
    <xf numFmtId="0" fontId="66" fillId="0" borderId="0"/>
    <xf numFmtId="0" fontId="77" fillId="0" borderId="0"/>
    <xf numFmtId="0" fontId="76" fillId="0" borderId="0"/>
    <xf numFmtId="0" fontId="78" fillId="0" borderId="0"/>
    <xf numFmtId="0" fontId="65" fillId="0" borderId="1">
      <protection locked="0"/>
    </xf>
    <xf numFmtId="0" fontId="66" fillId="0" borderId="0"/>
    <xf numFmtId="187" fontId="121" fillId="0" borderId="0"/>
    <xf numFmtId="188" fontId="66" fillId="0" borderId="0" applyFont="0" applyFill="0" applyBorder="0" applyAlignment="0" applyProtection="0"/>
    <xf numFmtId="0" fontId="122" fillId="0" borderId="0">
      <protection locked="0"/>
    </xf>
    <xf numFmtId="0" fontId="122" fillId="0" borderId="0">
      <protection locked="0"/>
    </xf>
    <xf numFmtId="0" fontId="123" fillId="0" borderId="0">
      <protection locked="0"/>
    </xf>
    <xf numFmtId="0" fontId="122" fillId="0" borderId="0">
      <protection locked="0"/>
    </xf>
    <xf numFmtId="0" fontId="122" fillId="0" borderId="0">
      <protection locked="0"/>
    </xf>
    <xf numFmtId="0" fontId="122" fillId="0" borderId="0">
      <protection locked="0"/>
    </xf>
    <xf numFmtId="0" fontId="123" fillId="0" borderId="0">
      <protection locked="0"/>
    </xf>
    <xf numFmtId="168" fontId="64" fillId="0" borderId="0" applyFont="0" applyFill="0" applyBorder="0" applyAlignment="0" applyProtection="0"/>
    <xf numFmtId="9" fontId="66" fillId="0" borderId="0" applyFont="0" applyFill="0" applyBorder="0" applyAlignment="0" applyProtection="0"/>
    <xf numFmtId="168" fontId="63" fillId="0" borderId="0" applyFont="0" applyFill="0" applyBorder="0" applyAlignment="0" applyProtection="0"/>
    <xf numFmtId="189" fontId="121" fillId="0" borderId="0"/>
    <xf numFmtId="0" fontId="134" fillId="0" borderId="0" applyNumberFormat="0" applyFill="0" applyBorder="0" applyAlignment="0" applyProtection="0"/>
    <xf numFmtId="0" fontId="136" fillId="0" borderId="48" applyNumberFormat="0" applyFill="0" applyAlignment="0" applyProtection="0"/>
    <xf numFmtId="0" fontId="137" fillId="0" borderId="49" applyNumberFormat="0" applyFill="0" applyAlignment="0" applyProtection="0"/>
    <xf numFmtId="0" fontId="139" fillId="12" borderId="0" applyNumberFormat="0" applyBorder="0" applyAlignment="0" applyProtection="0"/>
    <xf numFmtId="0" fontId="140" fillId="13" borderId="0" applyNumberFormat="0" applyBorder="0" applyAlignment="0" applyProtection="0"/>
    <xf numFmtId="0" fontId="142" fillId="15" borderId="51" applyNumberFormat="0" applyAlignment="0" applyProtection="0"/>
    <xf numFmtId="0" fontId="143" fillId="15" borderId="50" applyNumberFormat="0" applyAlignment="0" applyProtection="0"/>
    <xf numFmtId="0" fontId="147" fillId="0" borderId="0" applyNumberFormat="0" applyFill="0" applyBorder="0" applyAlignment="0" applyProtection="0"/>
    <xf numFmtId="0" fontId="148" fillId="18" borderId="0" applyNumberFormat="0" applyBorder="0" applyAlignment="0" applyProtection="0"/>
    <xf numFmtId="0" fontId="62" fillId="19" borderId="0" applyNumberFormat="0" applyBorder="0" applyAlignment="0" applyProtection="0"/>
    <xf numFmtId="0" fontId="62" fillId="20" borderId="0" applyNumberFormat="0" applyBorder="0" applyAlignment="0" applyProtection="0"/>
    <xf numFmtId="0" fontId="148" fillId="21" borderId="0" applyNumberFormat="0" applyBorder="0" applyAlignment="0" applyProtection="0"/>
    <xf numFmtId="0" fontId="148" fillId="22" borderId="0" applyNumberFormat="0" applyBorder="0" applyAlignment="0" applyProtection="0"/>
    <xf numFmtId="0" fontId="62" fillId="23" borderId="0" applyNumberFormat="0" applyBorder="0" applyAlignment="0" applyProtection="0"/>
    <xf numFmtId="0" fontId="62" fillId="24" borderId="0" applyNumberFormat="0" applyBorder="0" applyAlignment="0" applyProtection="0"/>
    <xf numFmtId="0" fontId="148" fillId="25" borderId="0" applyNumberFormat="0" applyBorder="0" applyAlignment="0" applyProtection="0"/>
    <xf numFmtId="0" fontId="148" fillId="26" borderId="0" applyNumberFormat="0" applyBorder="0" applyAlignment="0" applyProtection="0"/>
    <xf numFmtId="0" fontId="62" fillId="27" borderId="0" applyNumberFormat="0" applyBorder="0" applyAlignment="0" applyProtection="0"/>
    <xf numFmtId="0" fontId="62" fillId="28" borderId="0" applyNumberFormat="0" applyBorder="0" applyAlignment="0" applyProtection="0"/>
    <xf numFmtId="0" fontId="148" fillId="29" borderId="0" applyNumberFormat="0" applyBorder="0" applyAlignment="0" applyProtection="0"/>
    <xf numFmtId="0" fontId="148" fillId="30" borderId="0" applyNumberFormat="0" applyBorder="0" applyAlignment="0" applyProtection="0"/>
    <xf numFmtId="0" fontId="62" fillId="31" borderId="0" applyNumberFormat="0" applyBorder="0" applyAlignment="0" applyProtection="0"/>
    <xf numFmtId="0" fontId="62" fillId="32" borderId="0" applyNumberFormat="0" applyBorder="0" applyAlignment="0" applyProtection="0"/>
    <xf numFmtId="0" fontId="148" fillId="33" borderId="0" applyNumberFormat="0" applyBorder="0" applyAlignment="0" applyProtection="0"/>
    <xf numFmtId="0" fontId="148" fillId="34" borderId="0" applyNumberFormat="0" applyBorder="0" applyAlignment="0" applyProtection="0"/>
    <xf numFmtId="0" fontId="62" fillId="35" borderId="0" applyNumberFormat="0" applyBorder="0" applyAlignment="0" applyProtection="0"/>
    <xf numFmtId="0" fontId="62" fillId="36" borderId="0" applyNumberFormat="0" applyBorder="0" applyAlignment="0" applyProtection="0"/>
    <xf numFmtId="0" fontId="148" fillId="37" borderId="0" applyNumberFormat="0" applyBorder="0" applyAlignment="0" applyProtection="0"/>
    <xf numFmtId="0" fontId="148" fillId="38" borderId="0" applyNumberFormat="0" applyBorder="0" applyAlignment="0" applyProtection="0"/>
    <xf numFmtId="0" fontId="62" fillId="39" borderId="0" applyNumberFormat="0" applyBorder="0" applyAlignment="0" applyProtection="0"/>
    <xf numFmtId="0" fontId="62" fillId="40" borderId="0" applyNumberFormat="0" applyBorder="0" applyAlignment="0" applyProtection="0"/>
    <xf numFmtId="0" fontId="148" fillId="41" borderId="0" applyNumberFormat="0" applyBorder="0" applyAlignment="0" applyProtection="0"/>
    <xf numFmtId="0" fontId="62" fillId="0" borderId="0"/>
    <xf numFmtId="0" fontId="62" fillId="17" borderId="54" applyNumberFormat="0" applyFont="0" applyAlignment="0" applyProtection="0"/>
    <xf numFmtId="0" fontId="149" fillId="0" borderId="55" applyNumberFormat="0" applyFill="0" applyAlignment="0" applyProtection="0"/>
    <xf numFmtId="0" fontId="122" fillId="0" borderId="0">
      <protection locked="0"/>
    </xf>
    <xf numFmtId="0" fontId="150" fillId="0" borderId="0">
      <protection locked="0"/>
    </xf>
    <xf numFmtId="0" fontId="150" fillId="0" borderId="0">
      <protection locked="0"/>
    </xf>
    <xf numFmtId="190" fontId="122" fillId="0" borderId="0">
      <protection locked="0"/>
    </xf>
    <xf numFmtId="4" fontId="122" fillId="0" borderId="0">
      <protection locked="0"/>
    </xf>
    <xf numFmtId="191" fontId="122" fillId="0" borderId="0">
      <protection locked="0"/>
    </xf>
    <xf numFmtId="0" fontId="121" fillId="0" borderId="0"/>
    <xf numFmtId="0" fontId="61" fillId="0" borderId="0"/>
    <xf numFmtId="0" fontId="122" fillId="0" borderId="1">
      <protection locked="0"/>
    </xf>
    <xf numFmtId="168" fontId="66" fillId="0" borderId="0" applyFont="0" applyFill="0" applyBorder="0" applyAlignment="0" applyProtection="0"/>
    <xf numFmtId="0" fontId="151" fillId="0" borderId="0"/>
    <xf numFmtId="192" fontId="152" fillId="0" borderId="0">
      <protection locked="0"/>
    </xf>
    <xf numFmtId="192" fontId="152" fillId="0" borderId="0">
      <protection locked="0"/>
    </xf>
    <xf numFmtId="192" fontId="152" fillId="0" borderId="0">
      <protection locked="0"/>
    </xf>
    <xf numFmtId="192" fontId="153" fillId="0" borderId="0">
      <protection locked="0"/>
    </xf>
    <xf numFmtId="192" fontId="153" fillId="0" borderId="0">
      <protection locked="0"/>
    </xf>
    <xf numFmtId="192" fontId="153" fillId="0" borderId="0">
      <protection locked="0"/>
    </xf>
    <xf numFmtId="192" fontId="153" fillId="0" borderId="0">
      <protection locked="0"/>
    </xf>
    <xf numFmtId="192" fontId="153" fillId="0" borderId="0">
      <protection locked="0"/>
    </xf>
    <xf numFmtId="192" fontId="153" fillId="0" borderId="0">
      <protection locked="0"/>
    </xf>
    <xf numFmtId="192" fontId="153" fillId="0" borderId="0">
      <protection locked="0"/>
    </xf>
    <xf numFmtId="2" fontId="68" fillId="0" borderId="0" applyFont="0" applyFill="0" applyBorder="0" applyAlignment="0" applyProtection="0"/>
    <xf numFmtId="192" fontId="152" fillId="0" borderId="0">
      <protection locked="0"/>
    </xf>
    <xf numFmtId="0" fontId="154" fillId="0" borderId="0" applyNumberFormat="0" applyFill="0" applyBorder="0" applyAlignment="0" applyProtection="0">
      <alignment vertical="top"/>
      <protection locked="0"/>
    </xf>
    <xf numFmtId="168" fontId="66" fillId="0" borderId="0" applyFont="0" applyFill="0" applyBorder="0" applyAlignment="0" applyProtection="0"/>
    <xf numFmtId="193" fontId="66" fillId="0" borderId="0" applyFont="0" applyFill="0" applyBorder="0" applyAlignment="0" applyProtection="0"/>
    <xf numFmtId="43" fontId="60" fillId="0" borderId="0" applyFont="0" applyFill="0" applyBorder="0" applyAlignment="0" applyProtection="0"/>
    <xf numFmtId="43"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44" fontId="60" fillId="0" borderId="0" applyFont="0" applyFill="0" applyBorder="0" applyAlignment="0" applyProtection="0"/>
    <xf numFmtId="167" fontId="66" fillId="0" borderId="0" applyFont="0" applyFill="0" applyBorder="0" applyAlignment="0" applyProtection="0"/>
    <xf numFmtId="192" fontId="152" fillId="0" borderId="0">
      <protection locked="0"/>
    </xf>
    <xf numFmtId="0" fontId="155" fillId="0" borderId="0"/>
    <xf numFmtId="0" fontId="60" fillId="0" borderId="0"/>
    <xf numFmtId="0" fontId="60" fillId="0" borderId="0"/>
    <xf numFmtId="0" fontId="66" fillId="0" borderId="0"/>
    <xf numFmtId="0" fontId="66" fillId="0" borderId="0"/>
    <xf numFmtId="0" fontId="156" fillId="0" borderId="0"/>
    <xf numFmtId="0" fontId="66" fillId="0" borderId="0"/>
    <xf numFmtId="0" fontId="66" fillId="0" borderId="0"/>
    <xf numFmtId="0" fontId="60" fillId="0" borderId="0"/>
    <xf numFmtId="0" fontId="60" fillId="0" borderId="0"/>
    <xf numFmtId="0" fontId="157" fillId="42" borderId="0">
      <alignment horizontal="center"/>
    </xf>
    <xf numFmtId="0" fontId="79" fillId="43" borderId="16"/>
    <xf numFmtId="0" fontId="158" fillId="0" borderId="0" applyBorder="0">
      <alignment horizontal="centerContinuous"/>
    </xf>
    <xf numFmtId="0" fontId="159" fillId="0" borderId="0" applyBorder="0">
      <alignment horizontal="centerContinuous"/>
    </xf>
    <xf numFmtId="9" fontId="60" fillId="0" borderId="0" applyFont="0" applyFill="0" applyBorder="0" applyAlignment="0" applyProtection="0"/>
    <xf numFmtId="9" fontId="60" fillId="0" borderId="0" applyFont="0" applyFill="0" applyBorder="0" applyAlignment="0" applyProtection="0"/>
    <xf numFmtId="9" fontId="160"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1" fontId="66" fillId="0" borderId="0" applyFont="0" applyFill="0" applyBorder="0" applyAlignment="0" applyProtection="0"/>
    <xf numFmtId="0" fontId="162" fillId="0" borderId="0"/>
    <xf numFmtId="168" fontId="59" fillId="0" borderId="0" applyFont="0" applyFill="0" applyBorder="0" applyAlignment="0" applyProtection="0"/>
    <xf numFmtId="0" fontId="78" fillId="0" borderId="0"/>
    <xf numFmtId="168" fontId="58" fillId="0" borderId="0" applyFont="0" applyFill="0" applyBorder="0" applyAlignment="0" applyProtection="0"/>
    <xf numFmtId="0" fontId="66" fillId="0" borderId="0"/>
    <xf numFmtId="9" fontId="165" fillId="0" borderId="0" applyFont="0" applyFill="0" applyBorder="0" applyAlignment="0" applyProtection="0"/>
    <xf numFmtId="194" fontId="66" fillId="0" borderId="0" applyFont="0" applyFill="0" applyBorder="0" applyAlignment="0" applyProtection="0"/>
    <xf numFmtId="0" fontId="66" fillId="0" borderId="0" applyNumberFormat="0" applyFill="0" applyBorder="0" applyAlignment="0" applyProtection="0"/>
    <xf numFmtId="187" fontId="77" fillId="0" borderId="0"/>
    <xf numFmtId="0" fontId="168" fillId="0" borderId="0" applyNumberFormat="0" applyFill="0" applyBorder="0" applyAlignment="0" applyProtection="0"/>
    <xf numFmtId="187" fontId="169" fillId="0" borderId="0"/>
    <xf numFmtId="0" fontId="78" fillId="0" borderId="0"/>
    <xf numFmtId="168" fontId="66" fillId="0" borderId="0" applyFont="0" applyFill="0" applyBorder="0" applyAlignment="0" applyProtection="0"/>
    <xf numFmtId="9" fontId="66" fillId="0" borderId="0" applyFont="0" applyFill="0" applyBorder="0" applyAlignment="0" applyProtection="0"/>
    <xf numFmtId="0" fontId="57" fillId="0" borderId="0"/>
    <xf numFmtId="197" fontId="65" fillId="0" borderId="0">
      <protection locked="0"/>
    </xf>
    <xf numFmtId="197" fontId="65" fillId="0" borderId="0">
      <protection locked="0"/>
    </xf>
    <xf numFmtId="197" fontId="65" fillId="0" borderId="0">
      <protection locked="0"/>
    </xf>
    <xf numFmtId="197" fontId="65" fillId="0" borderId="0">
      <protection locked="0"/>
    </xf>
    <xf numFmtId="197" fontId="65" fillId="0" borderId="0">
      <protection locked="0"/>
    </xf>
    <xf numFmtId="197" fontId="65" fillId="0" borderId="0">
      <protection locked="0"/>
    </xf>
    <xf numFmtId="197" fontId="65" fillId="0" borderId="0">
      <protection locked="0"/>
    </xf>
    <xf numFmtId="0" fontId="56" fillId="0" borderId="0"/>
    <xf numFmtId="0" fontId="56" fillId="17" borderId="54" applyNumberFormat="0" applyFont="0" applyAlignment="0" applyProtection="0"/>
    <xf numFmtId="0" fontId="56" fillId="19" borderId="0" applyNumberFormat="0" applyBorder="0" applyAlignment="0" applyProtection="0"/>
    <xf numFmtId="0" fontId="56" fillId="20"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0" fontId="56" fillId="31" borderId="0" applyNumberFormat="0" applyBorder="0" applyAlignment="0" applyProtection="0"/>
    <xf numFmtId="0" fontId="56" fillId="32" borderId="0" applyNumberFormat="0" applyBorder="0" applyAlignment="0" applyProtection="0"/>
    <xf numFmtId="0" fontId="56" fillId="35" borderId="0" applyNumberFormat="0" applyBorder="0" applyAlignment="0" applyProtection="0"/>
    <xf numFmtId="0" fontId="56" fillId="36" borderId="0" applyNumberFormat="0" applyBorder="0" applyAlignment="0" applyProtection="0"/>
    <xf numFmtId="0" fontId="56" fillId="39" borderId="0" applyNumberFormat="0" applyBorder="0" applyAlignment="0" applyProtection="0"/>
    <xf numFmtId="0" fontId="56" fillId="40" borderId="0" applyNumberFormat="0" applyBorder="0" applyAlignment="0" applyProtection="0"/>
    <xf numFmtId="0" fontId="55" fillId="0" borderId="0"/>
    <xf numFmtId="0" fontId="55" fillId="17" borderId="54" applyNumberFormat="0" applyFont="0" applyAlignment="0" applyProtection="0"/>
    <xf numFmtId="0" fontId="55" fillId="19" borderId="0" applyNumberFormat="0" applyBorder="0" applyAlignment="0" applyProtection="0"/>
    <xf numFmtId="0" fontId="55" fillId="20"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7" borderId="0" applyNumberFormat="0" applyBorder="0" applyAlignment="0" applyProtection="0"/>
    <xf numFmtId="0" fontId="55" fillId="28" borderId="0" applyNumberFormat="0" applyBorder="0" applyAlignment="0" applyProtection="0"/>
    <xf numFmtId="0" fontId="55" fillId="31" borderId="0" applyNumberFormat="0" applyBorder="0" applyAlignment="0" applyProtection="0"/>
    <xf numFmtId="0" fontId="55" fillId="32" borderId="0" applyNumberFormat="0" applyBorder="0" applyAlignment="0" applyProtection="0"/>
    <xf numFmtId="0" fontId="55" fillId="35" borderId="0" applyNumberFormat="0" applyBorder="0" applyAlignment="0" applyProtection="0"/>
    <xf numFmtId="0" fontId="55" fillId="36" borderId="0" applyNumberFormat="0" applyBorder="0" applyAlignment="0" applyProtection="0"/>
    <xf numFmtId="0" fontId="55" fillId="39" borderId="0" applyNumberFormat="0" applyBorder="0" applyAlignment="0" applyProtection="0"/>
    <xf numFmtId="0" fontId="55" fillId="40" borderId="0" applyNumberFormat="0" applyBorder="0" applyAlignment="0" applyProtection="0"/>
    <xf numFmtId="0" fontId="54" fillId="0" borderId="0"/>
    <xf numFmtId="0" fontId="54" fillId="17" borderId="54" applyNumberFormat="0" applyFont="0" applyAlignment="0" applyProtection="0"/>
    <xf numFmtId="0" fontId="54" fillId="19" borderId="0" applyNumberFormat="0" applyBorder="0" applyAlignment="0" applyProtection="0"/>
    <xf numFmtId="0" fontId="54" fillId="20" borderId="0" applyNumberFormat="0" applyBorder="0" applyAlignment="0" applyProtection="0"/>
    <xf numFmtId="0" fontId="54" fillId="23" borderId="0" applyNumberFormat="0" applyBorder="0" applyAlignment="0" applyProtection="0"/>
    <xf numFmtId="0" fontId="54" fillId="24" borderId="0" applyNumberFormat="0" applyBorder="0" applyAlignment="0" applyProtection="0"/>
    <xf numFmtId="0" fontId="54" fillId="27" borderId="0" applyNumberFormat="0" applyBorder="0" applyAlignment="0" applyProtection="0"/>
    <xf numFmtId="0" fontId="54" fillId="28" borderId="0" applyNumberFormat="0" applyBorder="0" applyAlignment="0" applyProtection="0"/>
    <xf numFmtId="0" fontId="54" fillId="31" borderId="0" applyNumberFormat="0" applyBorder="0" applyAlignment="0" applyProtection="0"/>
    <xf numFmtId="0" fontId="54" fillId="32" borderId="0" applyNumberFormat="0" applyBorder="0" applyAlignment="0" applyProtection="0"/>
    <xf numFmtId="0" fontId="54" fillId="35" borderId="0" applyNumberFormat="0" applyBorder="0" applyAlignment="0" applyProtection="0"/>
    <xf numFmtId="0" fontId="54" fillId="36" borderId="0" applyNumberFormat="0" applyBorder="0" applyAlignment="0" applyProtection="0"/>
    <xf numFmtId="0" fontId="54" fillId="39" borderId="0" applyNumberFormat="0" applyBorder="0" applyAlignment="0" applyProtection="0"/>
    <xf numFmtId="0" fontId="54" fillId="40" borderId="0" applyNumberFormat="0" applyBorder="0" applyAlignment="0" applyProtection="0"/>
    <xf numFmtId="0" fontId="53" fillId="0" borderId="0"/>
    <xf numFmtId="168" fontId="53" fillId="0" borderId="0" applyFont="0" applyFill="0" applyBorder="0" applyAlignment="0" applyProtection="0"/>
    <xf numFmtId="0" fontId="52" fillId="17" borderId="54" applyNumberFormat="0" applyFont="0" applyAlignment="0" applyProtection="0"/>
    <xf numFmtId="0" fontId="52" fillId="19" borderId="0" applyNumberFormat="0" applyBorder="0" applyAlignment="0" applyProtection="0"/>
    <xf numFmtId="0" fontId="52" fillId="20"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7" borderId="0" applyNumberFormat="0" applyBorder="0" applyAlignment="0" applyProtection="0"/>
    <xf numFmtId="0" fontId="52" fillId="28" borderId="0" applyNumberFormat="0" applyBorder="0" applyAlignment="0" applyProtection="0"/>
    <xf numFmtId="0" fontId="52" fillId="31" borderId="0" applyNumberFormat="0" applyBorder="0" applyAlignment="0" applyProtection="0"/>
    <xf numFmtId="0" fontId="52" fillId="32" borderId="0" applyNumberFormat="0" applyBorder="0" applyAlignment="0" applyProtection="0"/>
    <xf numFmtId="0" fontId="52" fillId="35" borderId="0" applyNumberFormat="0" applyBorder="0" applyAlignment="0" applyProtection="0"/>
    <xf numFmtId="0" fontId="52" fillId="36" borderId="0" applyNumberFormat="0" applyBorder="0" applyAlignment="0" applyProtection="0"/>
    <xf numFmtId="0" fontId="52" fillId="39" borderId="0" applyNumberFormat="0" applyBorder="0" applyAlignment="0" applyProtection="0"/>
    <xf numFmtId="0" fontId="52" fillId="40" borderId="0" applyNumberFormat="0" applyBorder="0" applyAlignment="0" applyProtection="0"/>
    <xf numFmtId="0" fontId="51" fillId="0" borderId="0"/>
    <xf numFmtId="0" fontId="51" fillId="17" borderId="54" applyNumberFormat="0" applyFont="0" applyAlignment="0" applyProtection="0"/>
    <xf numFmtId="0" fontId="51" fillId="19" borderId="0" applyNumberFormat="0" applyBorder="0" applyAlignment="0" applyProtection="0"/>
    <xf numFmtId="0" fontId="51" fillId="20"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7" borderId="0" applyNumberFormat="0" applyBorder="0" applyAlignment="0" applyProtection="0"/>
    <xf numFmtId="0" fontId="51" fillId="28" borderId="0" applyNumberFormat="0" applyBorder="0" applyAlignment="0" applyProtection="0"/>
    <xf numFmtId="0" fontId="51" fillId="31" borderId="0" applyNumberFormat="0" applyBorder="0" applyAlignment="0" applyProtection="0"/>
    <xf numFmtId="0" fontId="51" fillId="32" borderId="0" applyNumberFormat="0" applyBorder="0" applyAlignment="0" applyProtection="0"/>
    <xf numFmtId="0" fontId="51" fillId="35" borderId="0" applyNumberFormat="0" applyBorder="0" applyAlignment="0" applyProtection="0"/>
    <xf numFmtId="0" fontId="51" fillId="36" borderId="0" applyNumberFormat="0" applyBorder="0" applyAlignment="0" applyProtection="0"/>
    <xf numFmtId="0" fontId="51" fillId="39" borderId="0" applyNumberFormat="0" applyBorder="0" applyAlignment="0" applyProtection="0"/>
    <xf numFmtId="0" fontId="51" fillId="40" borderId="0" applyNumberFormat="0" applyBorder="0" applyAlignment="0" applyProtection="0"/>
    <xf numFmtId="0" fontId="50" fillId="0" borderId="0"/>
    <xf numFmtId="0" fontId="150" fillId="0" borderId="0">
      <protection locked="0"/>
    </xf>
    <xf numFmtId="0" fontId="150" fillId="0" borderId="0">
      <protection locked="0"/>
    </xf>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188" fontId="68" fillId="0" borderId="0" applyFont="0" applyFill="0" applyBorder="0" applyAlignment="0" applyProtection="0"/>
    <xf numFmtId="0" fontId="122" fillId="0" borderId="0">
      <protection locked="0"/>
    </xf>
    <xf numFmtId="202" fontId="122" fillId="0" borderId="0">
      <protection locked="0"/>
    </xf>
    <xf numFmtId="0" fontId="179" fillId="0" borderId="0" applyNumberFormat="0" applyFill="0" applyBorder="0" applyAlignment="0" applyProtection="0">
      <alignment vertical="top"/>
      <protection locked="0"/>
    </xf>
    <xf numFmtId="168"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160"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160"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6"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85"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6"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6"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6"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6"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168" fontId="66"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6"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6"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168" fontId="66"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168" fontId="66"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205" fontId="68" fillId="0" borderId="0" applyFont="0" applyFill="0" applyBorder="0" applyAlignment="0" applyProtection="0"/>
    <xf numFmtId="168" fontId="66"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7"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6" fontId="68" fillId="0" borderId="0" applyFont="0" applyFill="0" applyBorder="0" applyAlignment="0" applyProtection="0"/>
    <xf numFmtId="201" fontId="122" fillId="0" borderId="0">
      <protection locked="0"/>
    </xf>
    <xf numFmtId="204" fontId="122" fillId="0" borderId="0">
      <protection locked="0"/>
    </xf>
    <xf numFmtId="0" fontId="160" fillId="0" borderId="0"/>
    <xf numFmtId="0" fontId="6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6" fillId="0" borderId="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8"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6"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6"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6"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6"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8"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8"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8"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8"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200" fontId="122" fillId="0" borderId="0">
      <protection locked="0"/>
    </xf>
    <xf numFmtId="203" fontId="122" fillId="0" borderId="0">
      <protection locked="0"/>
    </xf>
    <xf numFmtId="0" fontId="122" fillId="0" borderId="63">
      <protection locked="0"/>
    </xf>
    <xf numFmtId="0" fontId="162" fillId="0" borderId="63">
      <protection locked="0"/>
    </xf>
    <xf numFmtId="0" fontId="66" fillId="0" borderId="0"/>
    <xf numFmtId="0" fontId="49" fillId="0" borderId="0"/>
    <xf numFmtId="0" fontId="49" fillId="0" borderId="0"/>
    <xf numFmtId="0" fontId="49" fillId="0" borderId="0"/>
    <xf numFmtId="164" fontId="66" fillId="0" borderId="0" applyFont="0" applyFill="0" applyBorder="0" applyAlignment="0" applyProtection="0"/>
    <xf numFmtId="0" fontId="66" fillId="0" borderId="0"/>
    <xf numFmtId="0" fontId="49" fillId="0" borderId="0"/>
    <xf numFmtId="0" fontId="66" fillId="0" borderId="0"/>
    <xf numFmtId="0" fontId="49" fillId="0" borderId="0"/>
    <xf numFmtId="0" fontId="49" fillId="0" borderId="0"/>
    <xf numFmtId="0" fontId="49" fillId="0" borderId="0"/>
    <xf numFmtId="0" fontId="49" fillId="0" borderId="0"/>
    <xf numFmtId="0" fontId="49" fillId="0" borderId="0"/>
    <xf numFmtId="0" fontId="49" fillId="0" borderId="0"/>
    <xf numFmtId="0" fontId="66" fillId="0" borderId="0"/>
    <xf numFmtId="168" fontId="66" fillId="0" borderId="0" applyFont="0" applyFill="0" applyBorder="0" applyAlignment="0" applyProtection="0"/>
    <xf numFmtId="168" fontId="49" fillId="0" borderId="0" applyFont="0" applyFill="0" applyBorder="0" applyAlignment="0" applyProtection="0"/>
    <xf numFmtId="167" fontId="66" fillId="0" borderId="0" applyFont="0" applyFill="0" applyBorder="0" applyAlignment="0" applyProtection="0"/>
    <xf numFmtId="0" fontId="49" fillId="0" borderId="0"/>
    <xf numFmtId="9" fontId="66" fillId="0" borderId="0" applyFont="0" applyFill="0" applyBorder="0" applyAlignment="0" applyProtection="0"/>
    <xf numFmtId="9" fontId="49" fillId="0" borderId="0" applyFont="0" applyFill="0" applyBorder="0" applyAlignment="0" applyProtection="0"/>
    <xf numFmtId="0" fontId="122" fillId="0" borderId="63">
      <protection locked="0"/>
    </xf>
    <xf numFmtId="188" fontId="66" fillId="0" borderId="0" applyFont="0" applyFill="0" applyBorder="0" applyAlignment="0" applyProtection="0"/>
    <xf numFmtId="188" fontId="66" fillId="0" borderId="0" applyFont="0" applyFill="0" applyBorder="0" applyAlignment="0" applyProtection="0"/>
    <xf numFmtId="168" fontId="49" fillId="0" borderId="0" applyFont="0" applyFill="0" applyBorder="0" applyAlignment="0" applyProtection="0"/>
    <xf numFmtId="167" fontId="66" fillId="0" borderId="0" applyFont="0" applyFill="0" applyBorder="0" applyAlignment="0" applyProtection="0"/>
    <xf numFmtId="0" fontId="66" fillId="0" borderId="0"/>
    <xf numFmtId="0" fontId="49" fillId="0" borderId="0"/>
    <xf numFmtId="9" fontId="49" fillId="0" borderId="0" applyFont="0" applyFill="0" applyBorder="0" applyAlignment="0" applyProtection="0"/>
    <xf numFmtId="0" fontId="122" fillId="0" borderId="63">
      <protection locked="0"/>
    </xf>
    <xf numFmtId="0" fontId="49" fillId="0" borderId="0"/>
    <xf numFmtId="0" fontId="66" fillId="0" borderId="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0" fontId="66" fillId="0" borderId="0"/>
    <xf numFmtId="0" fontId="49" fillId="0" borderId="0"/>
    <xf numFmtId="0" fontId="66" fillId="0" borderId="0"/>
    <xf numFmtId="0" fontId="49" fillId="0" borderId="0"/>
    <xf numFmtId="0" fontId="66" fillId="0" borderId="0"/>
    <xf numFmtId="0" fontId="49" fillId="0" borderId="0"/>
    <xf numFmtId="188" fontId="66" fillId="0" borderId="0" applyFont="0" applyFill="0" applyBorder="0" applyAlignment="0" applyProtection="0"/>
    <xf numFmtId="0" fontId="49" fillId="0" borderId="0"/>
    <xf numFmtId="0" fontId="66" fillId="0" borderId="0"/>
    <xf numFmtId="0" fontId="49" fillId="0" borderId="0"/>
    <xf numFmtId="0" fontId="66" fillId="0" borderId="0"/>
    <xf numFmtId="0" fontId="49" fillId="0" borderId="0"/>
    <xf numFmtId="0" fontId="49" fillId="0" borderId="0"/>
    <xf numFmtId="168" fontId="49" fillId="0" borderId="0" applyFont="0" applyFill="0" applyBorder="0" applyAlignment="0" applyProtection="0"/>
    <xf numFmtId="9" fontId="49" fillId="0" borderId="0" applyFont="0" applyFill="0" applyBorder="0" applyAlignment="0" applyProtection="0"/>
    <xf numFmtId="168" fontId="49" fillId="0" borderId="0" applyFont="0" applyFill="0" applyBorder="0" applyAlignment="0" applyProtection="0"/>
    <xf numFmtId="0" fontId="49" fillId="0" borderId="0"/>
    <xf numFmtId="9" fontId="49" fillId="0" borderId="0" applyFont="0" applyFill="0" applyBorder="0" applyAlignment="0" applyProtection="0"/>
    <xf numFmtId="0" fontId="66" fillId="0" borderId="0"/>
    <xf numFmtId="188" fontId="66" fillId="0" borderId="0" applyFont="0" applyFill="0" applyBorder="0" applyAlignment="0" applyProtection="0"/>
    <xf numFmtId="188" fontId="66" fillId="0" borderId="0" applyFont="0" applyFill="0" applyBorder="0" applyAlignment="0" applyProtection="0"/>
    <xf numFmtId="168" fontId="49" fillId="0" borderId="0" applyFont="0" applyFill="0" applyBorder="0" applyAlignment="0" applyProtection="0"/>
    <xf numFmtId="167" fontId="66" fillId="0" borderId="0" applyFont="0" applyFill="0" applyBorder="0" applyAlignment="0" applyProtection="0"/>
    <xf numFmtId="0" fontId="66" fillId="0" borderId="0"/>
    <xf numFmtId="0" fontId="49" fillId="0" borderId="0"/>
    <xf numFmtId="9" fontId="49" fillId="0" borderId="0" applyFont="0" applyFill="0" applyBorder="0" applyAlignment="0" applyProtection="0"/>
    <xf numFmtId="0" fontId="49" fillId="0" borderId="0"/>
    <xf numFmtId="0" fontId="66" fillId="0" borderId="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0" fontId="66" fillId="0" borderId="0"/>
    <xf numFmtId="0" fontId="49" fillId="0" borderId="0"/>
    <xf numFmtId="0" fontId="66" fillId="0" borderId="0"/>
    <xf numFmtId="0" fontId="49" fillId="0" borderId="0"/>
    <xf numFmtId="0" fontId="66" fillId="0" borderId="0"/>
    <xf numFmtId="0" fontId="49" fillId="0" borderId="0"/>
    <xf numFmtId="188" fontId="66" fillId="0" borderId="0" applyFont="0" applyFill="0" applyBorder="0" applyAlignment="0" applyProtection="0"/>
    <xf numFmtId="0" fontId="49" fillId="0" borderId="0"/>
    <xf numFmtId="0" fontId="66" fillId="0" borderId="0"/>
    <xf numFmtId="0" fontId="49" fillId="0" borderId="0"/>
    <xf numFmtId="0" fontId="66" fillId="0" borderId="0"/>
    <xf numFmtId="0" fontId="49" fillId="0" borderId="0"/>
    <xf numFmtId="0" fontId="49" fillId="0" borderId="0"/>
    <xf numFmtId="168" fontId="49" fillId="0" borderId="0" applyFont="0" applyFill="0" applyBorder="0" applyAlignment="0" applyProtection="0"/>
    <xf numFmtId="9" fontId="49" fillId="0" borderId="0" applyFont="0" applyFill="0" applyBorder="0" applyAlignment="0" applyProtection="0"/>
    <xf numFmtId="0" fontId="49" fillId="0" borderId="0"/>
    <xf numFmtId="9" fontId="49" fillId="0" borderId="0" applyFont="0" applyFill="0" applyBorder="0" applyAlignment="0" applyProtection="0"/>
    <xf numFmtId="0" fontId="68" fillId="0" borderId="0" applyNumberFormat="0" applyFill="0" applyBorder="0" applyAlignment="0" applyProtection="0">
      <alignment vertical="top"/>
      <protection locked="0"/>
    </xf>
    <xf numFmtId="168" fontId="66" fillId="0" borderId="0" applyFont="0" applyFill="0" applyBorder="0" applyAlignment="0" applyProtection="0"/>
    <xf numFmtId="168" fontId="49" fillId="0" borderId="0" applyFont="0" applyFill="0" applyBorder="0" applyAlignment="0" applyProtection="0"/>
    <xf numFmtId="167" fontId="66" fillId="0" borderId="0" applyFont="0" applyFill="0" applyBorder="0" applyAlignment="0" applyProtection="0"/>
    <xf numFmtId="0" fontId="49" fillId="0" borderId="0"/>
    <xf numFmtId="9" fontId="66" fillId="0" borderId="0" applyFont="0" applyFill="0" applyBorder="0" applyAlignment="0" applyProtection="0"/>
    <xf numFmtId="9" fontId="49" fillId="0" borderId="0" applyFont="0" applyFill="0" applyBorder="0" applyAlignment="0" applyProtection="0"/>
    <xf numFmtId="0" fontId="122" fillId="0" borderId="63">
      <protection locked="0"/>
    </xf>
    <xf numFmtId="0" fontId="66" fillId="0" borderId="0"/>
    <xf numFmtId="188" fontId="66" fillId="0" borderId="0" applyFont="0" applyFill="0" applyBorder="0" applyAlignment="0" applyProtection="0"/>
    <xf numFmtId="188" fontId="66" fillId="0" borderId="0" applyFont="0" applyFill="0" applyBorder="0" applyAlignment="0" applyProtection="0"/>
    <xf numFmtId="168" fontId="49" fillId="0" borderId="0" applyFont="0" applyFill="0" applyBorder="0" applyAlignment="0" applyProtection="0"/>
    <xf numFmtId="167" fontId="66" fillId="0" borderId="0" applyFont="0" applyFill="0" applyBorder="0" applyAlignment="0" applyProtection="0"/>
    <xf numFmtId="0" fontId="66" fillId="0" borderId="0"/>
    <xf numFmtId="0" fontId="49" fillId="0" borderId="0"/>
    <xf numFmtId="9" fontId="49" fillId="0" borderId="0" applyFont="0" applyFill="0" applyBorder="0" applyAlignment="0" applyProtection="0"/>
    <xf numFmtId="0" fontId="49" fillId="0" borderId="0"/>
    <xf numFmtId="0" fontId="66" fillId="0" borderId="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0" fontId="66" fillId="0" borderId="0"/>
    <xf numFmtId="0" fontId="49" fillId="0" borderId="0"/>
    <xf numFmtId="0" fontId="66" fillId="0" borderId="0"/>
    <xf numFmtId="0" fontId="49" fillId="0" borderId="0"/>
    <xf numFmtId="0" fontId="66" fillId="0" borderId="0"/>
    <xf numFmtId="0" fontId="49" fillId="0" borderId="0"/>
    <xf numFmtId="188" fontId="66" fillId="0" borderId="0" applyFont="0" applyFill="0" applyBorder="0" applyAlignment="0" applyProtection="0"/>
    <xf numFmtId="0" fontId="49" fillId="0" borderId="0"/>
    <xf numFmtId="0" fontId="66" fillId="0" borderId="0"/>
    <xf numFmtId="0" fontId="49" fillId="0" borderId="0"/>
    <xf numFmtId="0" fontId="66" fillId="0" borderId="0"/>
    <xf numFmtId="0" fontId="49" fillId="0" borderId="0"/>
    <xf numFmtId="0" fontId="49" fillId="0" borderId="0"/>
    <xf numFmtId="168" fontId="49" fillId="0" borderId="0" applyFont="0" applyFill="0" applyBorder="0" applyAlignment="0" applyProtection="0"/>
    <xf numFmtId="9" fontId="49" fillId="0" borderId="0" applyFont="0" applyFill="0" applyBorder="0" applyAlignment="0" applyProtection="0"/>
    <xf numFmtId="168" fontId="66" fillId="0" borderId="0" applyFont="0" applyFill="0" applyBorder="0" applyAlignment="0" applyProtection="0"/>
    <xf numFmtId="167" fontId="66" fillId="0" borderId="0" applyFont="0" applyFill="0" applyBorder="0" applyAlignment="0" applyProtection="0"/>
    <xf numFmtId="168" fontId="66" fillId="0" borderId="0" applyFont="0" applyFill="0" applyBorder="0" applyAlignment="0" applyProtection="0"/>
    <xf numFmtId="167" fontId="66" fillId="0" borderId="0" applyFont="0" applyFill="0" applyBorder="0" applyAlignment="0" applyProtection="0"/>
    <xf numFmtId="168" fontId="66" fillId="0" borderId="0" applyFont="0" applyFill="0" applyBorder="0" applyAlignment="0" applyProtection="0"/>
    <xf numFmtId="167" fontId="66" fillId="0" borderId="0" applyFont="0" applyFill="0" applyBorder="0" applyAlignment="0" applyProtection="0"/>
    <xf numFmtId="168" fontId="66" fillId="0" borderId="0" applyFont="0" applyFill="0" applyBorder="0" applyAlignment="0" applyProtection="0"/>
    <xf numFmtId="0" fontId="49" fillId="0" borderId="0"/>
    <xf numFmtId="0" fontId="66" fillId="0" borderId="0"/>
    <xf numFmtId="168" fontId="66" fillId="0" borderId="0" applyFont="0" applyFill="0" applyBorder="0" applyAlignment="0" applyProtection="0"/>
    <xf numFmtId="168" fontId="49" fillId="0" borderId="0" applyFont="0" applyFill="0" applyBorder="0" applyAlignment="0" applyProtection="0"/>
    <xf numFmtId="167" fontId="66" fillId="0" borderId="0" applyFont="0" applyFill="0" applyBorder="0" applyAlignment="0" applyProtection="0"/>
    <xf numFmtId="0" fontId="49" fillId="0" borderId="0"/>
    <xf numFmtId="9" fontId="66" fillId="0" borderId="0" applyFont="0" applyFill="0" applyBorder="0" applyAlignment="0" applyProtection="0"/>
    <xf numFmtId="9" fontId="49" fillId="0" borderId="0" applyFont="0" applyFill="0" applyBorder="0" applyAlignment="0" applyProtection="0"/>
    <xf numFmtId="0" fontId="122" fillId="0" borderId="63">
      <protection locked="0"/>
    </xf>
    <xf numFmtId="168"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68" fontId="49" fillId="0" borderId="0" applyFont="0" applyFill="0" applyBorder="0" applyAlignment="0" applyProtection="0"/>
    <xf numFmtId="9" fontId="49" fillId="0" borderId="0" applyFont="0" applyFill="0" applyBorder="0" applyAlignment="0" applyProtection="0"/>
    <xf numFmtId="168" fontId="49" fillId="0" borderId="0" applyFont="0" applyFill="0" applyBorder="0" applyAlignment="0" applyProtection="0"/>
    <xf numFmtId="0" fontId="49" fillId="0" borderId="0"/>
    <xf numFmtId="9" fontId="49" fillId="0" borderId="0" applyFont="0" applyFill="0" applyBorder="0" applyAlignment="0" applyProtection="0"/>
    <xf numFmtId="168"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68" fontId="49" fillId="0" borderId="0" applyFont="0" applyFill="0" applyBorder="0" applyAlignment="0" applyProtection="0"/>
    <xf numFmtId="9" fontId="49" fillId="0" borderId="0" applyFont="0" applyFill="0" applyBorder="0" applyAlignment="0" applyProtection="0"/>
    <xf numFmtId="0" fontId="49" fillId="0" borderId="0"/>
    <xf numFmtId="9" fontId="49" fillId="0" borderId="0" applyFont="0" applyFill="0" applyBorder="0" applyAlignment="0" applyProtection="0"/>
    <xf numFmtId="168" fontId="49" fillId="0" borderId="0" applyFont="0" applyFill="0" applyBorder="0" applyAlignment="0" applyProtection="0"/>
    <xf numFmtId="0" fontId="49" fillId="0" borderId="0"/>
    <xf numFmtId="9" fontId="49" fillId="0" borderId="0" applyFont="0" applyFill="0" applyBorder="0" applyAlignment="0" applyProtection="0"/>
    <xf numFmtId="168"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68" fontId="49" fillId="0" borderId="0" applyFont="0" applyFill="0" applyBorder="0" applyAlignment="0" applyProtection="0"/>
    <xf numFmtId="9" fontId="49" fillId="0" borderId="0" applyFont="0" applyFill="0" applyBorder="0" applyAlignment="0" applyProtection="0"/>
    <xf numFmtId="0" fontId="49" fillId="0" borderId="0"/>
    <xf numFmtId="168" fontId="49" fillId="0" borderId="0" applyFont="0" applyFill="0" applyBorder="0" applyAlignment="0" applyProtection="0"/>
    <xf numFmtId="0" fontId="49" fillId="0" borderId="0"/>
    <xf numFmtId="9" fontId="49" fillId="0" borderId="0" applyFont="0" applyFill="0" applyBorder="0" applyAlignment="0" applyProtection="0"/>
    <xf numFmtId="168"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68" fontId="49" fillId="0" borderId="0" applyFont="0" applyFill="0" applyBorder="0" applyAlignment="0" applyProtection="0"/>
    <xf numFmtId="9" fontId="49" fillId="0" borderId="0" applyFont="0" applyFill="0" applyBorder="0" applyAlignment="0" applyProtection="0"/>
    <xf numFmtId="168" fontId="49" fillId="0" borderId="0" applyFont="0" applyFill="0" applyBorder="0" applyAlignment="0" applyProtection="0"/>
    <xf numFmtId="0" fontId="49" fillId="0" borderId="0"/>
    <xf numFmtId="9" fontId="49" fillId="0" borderId="0" applyFont="0" applyFill="0" applyBorder="0" applyAlignment="0" applyProtection="0"/>
    <xf numFmtId="168"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68" fontId="49" fillId="0" borderId="0" applyFont="0" applyFill="0" applyBorder="0" applyAlignment="0" applyProtection="0"/>
    <xf numFmtId="9" fontId="49" fillId="0" borderId="0" applyFont="0" applyFill="0" applyBorder="0" applyAlignment="0" applyProtection="0"/>
    <xf numFmtId="0" fontId="49" fillId="0" borderId="0"/>
    <xf numFmtId="9" fontId="49" fillId="0" borderId="0" applyFont="0" applyFill="0" applyBorder="0" applyAlignment="0" applyProtection="0"/>
    <xf numFmtId="168" fontId="49" fillId="0" borderId="0" applyFont="0" applyFill="0" applyBorder="0" applyAlignment="0" applyProtection="0"/>
    <xf numFmtId="0" fontId="49" fillId="0" borderId="0"/>
    <xf numFmtId="9" fontId="49" fillId="0" borderId="0" applyFont="0" applyFill="0" applyBorder="0" applyAlignment="0" applyProtection="0"/>
    <xf numFmtId="168"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68" fontId="49" fillId="0" borderId="0" applyFont="0" applyFill="0" applyBorder="0" applyAlignment="0" applyProtection="0"/>
    <xf numFmtId="9" fontId="49" fillId="0" borderId="0" applyFont="0" applyFill="0" applyBorder="0" applyAlignment="0" applyProtection="0"/>
    <xf numFmtId="168" fontId="66" fillId="0" borderId="0" applyFont="0" applyFill="0" applyBorder="0" applyAlignment="0" applyProtection="0"/>
    <xf numFmtId="0" fontId="49" fillId="0" borderId="0"/>
    <xf numFmtId="9" fontId="49" fillId="0" borderId="0" applyFont="0" applyFill="0" applyBorder="0" applyAlignment="0" applyProtection="0"/>
    <xf numFmtId="0" fontId="66" fillId="0" borderId="0"/>
    <xf numFmtId="168" fontId="66" fillId="0" borderId="0" applyFont="0" applyFill="0" applyBorder="0" applyAlignment="0" applyProtection="0"/>
    <xf numFmtId="168" fontId="49" fillId="0" borderId="0" applyFont="0" applyFill="0" applyBorder="0" applyAlignment="0" applyProtection="0"/>
    <xf numFmtId="0" fontId="49" fillId="0" borderId="0"/>
    <xf numFmtId="9" fontId="66" fillId="0" borderId="0" applyFont="0" applyFill="0" applyBorder="0" applyAlignment="0" applyProtection="0"/>
    <xf numFmtId="9" fontId="49"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0" fontId="49" fillId="0" borderId="0"/>
    <xf numFmtId="168"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168"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0" fontId="49" fillId="0" borderId="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0" fontId="66" fillId="0" borderId="0"/>
    <xf numFmtId="168" fontId="66" fillId="0" borderId="0" applyFont="0" applyFill="0" applyBorder="0" applyAlignment="0" applyProtection="0"/>
    <xf numFmtId="168" fontId="66" fillId="0" borderId="0" applyFont="0" applyFill="0" applyBorder="0" applyAlignment="0" applyProtection="0"/>
    <xf numFmtId="0" fontId="49" fillId="0" borderId="0"/>
    <xf numFmtId="9" fontId="49" fillId="0" borderId="0" applyFont="0" applyFill="0" applyBorder="0" applyAlignment="0" applyProtection="0"/>
    <xf numFmtId="0" fontId="66" fillId="0" borderId="0"/>
    <xf numFmtId="168" fontId="66" fillId="0" borderId="0" applyFont="0" applyFill="0" applyBorder="0" applyAlignment="0" applyProtection="0"/>
    <xf numFmtId="168" fontId="49" fillId="0" borderId="0" applyFont="0" applyFill="0" applyBorder="0" applyAlignment="0" applyProtection="0"/>
    <xf numFmtId="0" fontId="49" fillId="0" borderId="0"/>
    <xf numFmtId="9" fontId="49"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0" fontId="66" fillId="0" borderId="0"/>
    <xf numFmtId="0" fontId="49" fillId="0" borderId="0"/>
    <xf numFmtId="0" fontId="49" fillId="0" borderId="0"/>
    <xf numFmtId="0" fontId="49" fillId="0" borderId="0"/>
    <xf numFmtId="0" fontId="49" fillId="0" borderId="0"/>
    <xf numFmtId="0" fontId="49" fillId="0" borderId="0"/>
    <xf numFmtId="0" fontId="49" fillId="0" borderId="0"/>
    <xf numFmtId="168" fontId="66" fillId="0" borderId="0" applyFont="0" applyFill="0" applyBorder="0" applyAlignment="0" applyProtection="0"/>
    <xf numFmtId="168" fontId="66" fillId="0" borderId="0" applyFont="0" applyFill="0" applyBorder="0" applyAlignment="0" applyProtection="0"/>
    <xf numFmtId="0" fontId="49" fillId="0" borderId="0"/>
    <xf numFmtId="9" fontId="49" fillId="0" borderId="0" applyFont="0" applyFill="0" applyBorder="0" applyAlignment="0" applyProtection="0"/>
    <xf numFmtId="0" fontId="66" fillId="0" borderId="0"/>
    <xf numFmtId="168"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0" fontId="49" fillId="0" borderId="0"/>
    <xf numFmtId="0" fontId="49" fillId="0" borderId="0"/>
    <xf numFmtId="9"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9" fontId="66" fillId="0" borderId="0" applyFont="0" applyFill="0" applyBorder="0" applyAlignment="0" applyProtection="0"/>
    <xf numFmtId="168" fontId="66" fillId="0" borderId="0" applyFont="0" applyFill="0" applyBorder="0" applyAlignment="0" applyProtection="0"/>
    <xf numFmtId="0" fontId="49" fillId="0" borderId="0"/>
    <xf numFmtId="168" fontId="66"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168" fontId="49" fillId="0" borderId="0" applyFont="0" applyFill="0" applyBorder="0" applyAlignment="0" applyProtection="0"/>
    <xf numFmtId="0" fontId="49" fillId="0" borderId="0"/>
    <xf numFmtId="0" fontId="49" fillId="0" borderId="0"/>
    <xf numFmtId="9" fontId="49" fillId="0" borderId="0" applyFont="0" applyFill="0" applyBorder="0" applyAlignment="0" applyProtection="0"/>
    <xf numFmtId="0" fontId="49" fillId="0" borderId="0"/>
    <xf numFmtId="0" fontId="49" fillId="0" borderId="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88" fontId="66"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49" fillId="0" borderId="0" applyFont="0" applyFill="0" applyBorder="0" applyAlignment="0" applyProtection="0"/>
    <xf numFmtId="9" fontId="160" fillId="0" borderId="0" applyFont="0" applyFill="0" applyBorder="0" applyAlignment="0" applyProtection="0"/>
    <xf numFmtId="9" fontId="49"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0"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66"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66"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xf numFmtId="0" fontId="66" fillId="0" borderId="0"/>
    <xf numFmtId="0" fontId="49" fillId="0" borderId="0"/>
    <xf numFmtId="168" fontId="66" fillId="0" borderId="0" applyFont="0" applyFill="0" applyBorder="0" applyAlignment="0" applyProtection="0"/>
    <xf numFmtId="168" fontId="66"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78" fillId="0" borderId="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205"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0" fontId="122" fillId="0" borderId="63">
      <protection locked="0"/>
    </xf>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66" fillId="0" borderId="0"/>
    <xf numFmtId="168" fontId="49" fillId="0" borderId="0" applyFont="0" applyFill="0" applyBorder="0" applyAlignment="0" applyProtection="0"/>
    <xf numFmtId="0" fontId="49" fillId="0" borderId="0"/>
    <xf numFmtId="9" fontId="49" fillId="0" borderId="0" applyFont="0" applyFill="0" applyBorder="0" applyAlignment="0" applyProtection="0"/>
    <xf numFmtId="168"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68" fontId="49" fillId="0" borderId="0" applyFont="0" applyFill="0" applyBorder="0" applyAlignment="0" applyProtection="0"/>
    <xf numFmtId="9" fontId="49" fillId="0" borderId="0" applyFont="0" applyFill="0" applyBorder="0" applyAlignment="0" applyProtection="0"/>
    <xf numFmtId="168" fontId="49" fillId="0" borderId="0" applyFont="0" applyFill="0" applyBorder="0" applyAlignment="0" applyProtection="0"/>
    <xf numFmtId="0" fontId="49" fillId="0" borderId="0"/>
    <xf numFmtId="9" fontId="49" fillId="0" borderId="0" applyFont="0" applyFill="0" applyBorder="0" applyAlignment="0" applyProtection="0"/>
    <xf numFmtId="168"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68" fontId="49" fillId="0" borderId="0" applyFont="0" applyFill="0" applyBorder="0" applyAlignment="0" applyProtection="0"/>
    <xf numFmtId="9" fontId="49" fillId="0" borderId="0" applyFont="0" applyFill="0" applyBorder="0" applyAlignment="0" applyProtection="0"/>
    <xf numFmtId="0" fontId="49" fillId="0" borderId="0"/>
    <xf numFmtId="9" fontId="49" fillId="0" borderId="0" applyFont="0" applyFill="0" applyBorder="0" applyAlignment="0" applyProtection="0"/>
    <xf numFmtId="0" fontId="66" fillId="0" borderId="0"/>
    <xf numFmtId="168" fontId="49" fillId="0" borderId="0" applyFont="0" applyFill="0" applyBorder="0" applyAlignment="0" applyProtection="0"/>
    <xf numFmtId="0" fontId="49" fillId="0" borderId="0"/>
    <xf numFmtId="9" fontId="49" fillId="0" borderId="0" applyFont="0" applyFill="0" applyBorder="0" applyAlignment="0" applyProtection="0"/>
    <xf numFmtId="168"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68" fontId="49" fillId="0" borderId="0" applyFont="0" applyFill="0" applyBorder="0" applyAlignment="0" applyProtection="0"/>
    <xf numFmtId="9" fontId="49" fillId="0" borderId="0" applyFont="0" applyFill="0" applyBorder="0" applyAlignment="0" applyProtection="0"/>
    <xf numFmtId="0" fontId="49" fillId="0" borderId="0"/>
    <xf numFmtId="0" fontId="66" fillId="0" borderId="0"/>
    <xf numFmtId="168" fontId="49" fillId="0" borderId="0" applyFont="0" applyFill="0" applyBorder="0" applyAlignment="0" applyProtection="0"/>
    <xf numFmtId="0" fontId="49" fillId="0" borderId="0"/>
    <xf numFmtId="9" fontId="49" fillId="0" borderId="0" applyFont="0" applyFill="0" applyBorder="0" applyAlignment="0" applyProtection="0"/>
    <xf numFmtId="168"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68" fontId="49" fillId="0" borderId="0" applyFont="0" applyFill="0" applyBorder="0" applyAlignment="0" applyProtection="0"/>
    <xf numFmtId="9" fontId="49" fillId="0" borderId="0" applyFont="0" applyFill="0" applyBorder="0" applyAlignment="0" applyProtection="0"/>
    <xf numFmtId="168" fontId="49" fillId="0" borderId="0" applyFont="0" applyFill="0" applyBorder="0" applyAlignment="0" applyProtection="0"/>
    <xf numFmtId="0" fontId="49" fillId="0" borderId="0"/>
    <xf numFmtId="9" fontId="49" fillId="0" borderId="0" applyFont="0" applyFill="0" applyBorder="0" applyAlignment="0" applyProtection="0"/>
    <xf numFmtId="168"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68" fontId="49" fillId="0" borderId="0" applyFont="0" applyFill="0" applyBorder="0" applyAlignment="0" applyProtection="0"/>
    <xf numFmtId="9" fontId="49" fillId="0" borderId="0" applyFont="0" applyFill="0" applyBorder="0" applyAlignment="0" applyProtection="0"/>
    <xf numFmtId="0" fontId="49" fillId="0" borderId="0"/>
    <xf numFmtId="9" fontId="49" fillId="0" borderId="0" applyFont="0" applyFill="0" applyBorder="0" applyAlignment="0" applyProtection="0"/>
    <xf numFmtId="168" fontId="49" fillId="0" borderId="0" applyFont="0" applyFill="0" applyBorder="0" applyAlignment="0" applyProtection="0"/>
    <xf numFmtId="0" fontId="49" fillId="0" borderId="0"/>
    <xf numFmtId="9" fontId="49" fillId="0" borderId="0" applyFont="0" applyFill="0" applyBorder="0" applyAlignment="0" applyProtection="0"/>
    <xf numFmtId="168"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68" fontId="49" fillId="0" borderId="0" applyFont="0" applyFill="0" applyBorder="0" applyAlignment="0" applyProtection="0"/>
    <xf numFmtId="9" fontId="49" fillId="0" borderId="0" applyFont="0" applyFill="0" applyBorder="0" applyAlignment="0" applyProtection="0"/>
    <xf numFmtId="0" fontId="49" fillId="0" borderId="0"/>
    <xf numFmtId="168" fontId="49" fillId="0" borderId="0" applyFont="0" applyFill="0" applyBorder="0" applyAlignment="0" applyProtection="0"/>
    <xf numFmtId="0" fontId="49" fillId="0" borderId="0"/>
    <xf numFmtId="9" fontId="49" fillId="0" borderId="0" applyFont="0" applyFill="0" applyBorder="0" applyAlignment="0" applyProtection="0"/>
    <xf numFmtId="168"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68" fontId="49" fillId="0" borderId="0" applyFont="0" applyFill="0" applyBorder="0" applyAlignment="0" applyProtection="0"/>
    <xf numFmtId="9" fontId="49" fillId="0" borderId="0" applyFont="0" applyFill="0" applyBorder="0" applyAlignment="0" applyProtection="0"/>
    <xf numFmtId="168" fontId="49" fillId="0" borderId="0" applyFont="0" applyFill="0" applyBorder="0" applyAlignment="0" applyProtection="0"/>
    <xf numFmtId="0" fontId="49" fillId="0" borderId="0"/>
    <xf numFmtId="9" fontId="49" fillId="0" borderId="0" applyFont="0" applyFill="0" applyBorder="0" applyAlignment="0" applyProtection="0"/>
    <xf numFmtId="168"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68" fontId="49" fillId="0" borderId="0" applyFont="0" applyFill="0" applyBorder="0" applyAlignment="0" applyProtection="0"/>
    <xf numFmtId="9" fontId="49" fillId="0" borderId="0" applyFont="0" applyFill="0" applyBorder="0" applyAlignment="0" applyProtection="0"/>
    <xf numFmtId="0" fontId="49" fillId="0" borderId="0"/>
    <xf numFmtId="9" fontId="49" fillId="0" borderId="0" applyFont="0" applyFill="0" applyBorder="0" applyAlignment="0" applyProtection="0"/>
    <xf numFmtId="168" fontId="49" fillId="0" borderId="0" applyFont="0" applyFill="0" applyBorder="0" applyAlignment="0" applyProtection="0"/>
    <xf numFmtId="0" fontId="49" fillId="0" borderId="0"/>
    <xf numFmtId="9" fontId="49" fillId="0" borderId="0" applyFont="0" applyFill="0" applyBorder="0" applyAlignment="0" applyProtection="0"/>
    <xf numFmtId="168"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68" fontId="49" fillId="0" borderId="0" applyFont="0" applyFill="0" applyBorder="0" applyAlignment="0" applyProtection="0"/>
    <xf numFmtId="9" fontId="49" fillId="0" borderId="0" applyFont="0" applyFill="0" applyBorder="0" applyAlignment="0" applyProtection="0"/>
    <xf numFmtId="0" fontId="49" fillId="0" borderId="0"/>
    <xf numFmtId="9" fontId="49" fillId="0" borderId="0" applyFont="0" applyFill="0" applyBorder="0" applyAlignment="0" applyProtection="0"/>
    <xf numFmtId="0" fontId="66" fillId="0" borderId="0"/>
    <xf numFmtId="168"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168"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168"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0" fontId="49" fillId="0" borderId="0"/>
    <xf numFmtId="0" fontId="49" fillId="0" borderId="0"/>
    <xf numFmtId="9" fontId="49" fillId="0" borderId="0" applyFont="0" applyFill="0" applyBorder="0" applyAlignment="0" applyProtection="0"/>
    <xf numFmtId="0" fontId="66" fillId="0" borderId="0"/>
    <xf numFmtId="168"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9" fontId="49" fillId="0" borderId="0" applyFont="0" applyFill="0" applyBorder="0" applyAlignment="0" applyProtection="0"/>
    <xf numFmtId="0" fontId="66" fillId="0" borderId="0"/>
    <xf numFmtId="168"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0" fontId="49" fillId="0" borderId="0"/>
    <xf numFmtId="0" fontId="49" fillId="0" borderId="0"/>
    <xf numFmtId="9"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68" fontId="49" fillId="0" borderId="0" applyFont="0" applyFill="0" applyBorder="0" applyAlignment="0" applyProtection="0"/>
    <xf numFmtId="0" fontId="49" fillId="0" borderId="0"/>
    <xf numFmtId="0" fontId="49" fillId="0" borderId="0"/>
    <xf numFmtId="9" fontId="49" fillId="0" borderId="0" applyFont="0" applyFill="0" applyBorder="0" applyAlignment="0" applyProtection="0"/>
    <xf numFmtId="0" fontId="49" fillId="0" borderId="0"/>
    <xf numFmtId="0" fontId="49" fillId="0" borderId="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17" borderId="54" applyNumberFormat="0" applyFont="0" applyAlignment="0" applyProtection="0"/>
    <xf numFmtId="0" fontId="48" fillId="19" borderId="0" applyNumberFormat="0" applyBorder="0" applyAlignment="0" applyProtection="0"/>
    <xf numFmtId="0" fontId="48" fillId="20" borderId="0" applyNumberFormat="0" applyBorder="0" applyAlignment="0" applyProtection="0"/>
    <xf numFmtId="0" fontId="48" fillId="23" borderId="0" applyNumberFormat="0" applyBorder="0" applyAlignment="0" applyProtection="0"/>
    <xf numFmtId="0" fontId="48" fillId="24" borderId="0" applyNumberFormat="0" applyBorder="0" applyAlignment="0" applyProtection="0"/>
    <xf numFmtId="0" fontId="48" fillId="27" borderId="0" applyNumberFormat="0" applyBorder="0" applyAlignment="0" applyProtection="0"/>
    <xf numFmtId="0" fontId="48" fillId="28"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48" fillId="35" borderId="0" applyNumberFormat="0" applyBorder="0" applyAlignment="0" applyProtection="0"/>
    <xf numFmtId="0" fontId="48" fillId="36" borderId="0" applyNumberFormat="0" applyBorder="0" applyAlignment="0" applyProtection="0"/>
    <xf numFmtId="0" fontId="48" fillId="39" borderId="0" applyNumberFormat="0" applyBorder="0" applyAlignment="0" applyProtection="0"/>
    <xf numFmtId="0" fontId="48" fillId="40" borderId="0" applyNumberFormat="0" applyBorder="0" applyAlignment="0" applyProtection="0"/>
    <xf numFmtId="207" fontId="180" fillId="0" borderId="0" applyFont="0" applyFill="0" applyBorder="0" applyAlignment="0" applyProtection="0"/>
    <xf numFmtId="9" fontId="180" fillId="0" borderId="0" applyFont="0" applyFill="0" applyBorder="0" applyAlignment="0" applyProtection="0"/>
    <xf numFmtId="207" fontId="66" fillId="0" borderId="0" applyFont="0" applyFill="0" applyBorder="0" applyAlignment="0" applyProtection="0"/>
    <xf numFmtId="0" fontId="47" fillId="0" borderId="0"/>
    <xf numFmtId="9" fontId="47" fillId="0" borderId="0" applyFont="0" applyFill="0" applyBorder="0" applyAlignment="0" applyProtection="0"/>
    <xf numFmtId="0" fontId="46" fillId="0" borderId="0"/>
    <xf numFmtId="0" fontId="46" fillId="17" borderId="54" applyNumberFormat="0" applyFont="0" applyAlignment="0" applyProtection="0"/>
    <xf numFmtId="0" fontId="46" fillId="19" borderId="0" applyNumberFormat="0" applyBorder="0" applyAlignment="0" applyProtection="0"/>
    <xf numFmtId="0" fontId="46" fillId="20"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5" fillId="0" borderId="0"/>
    <xf numFmtId="168" fontId="44" fillId="0" borderId="0" applyFont="0" applyFill="0" applyBorder="0" applyAlignment="0" applyProtection="0"/>
    <xf numFmtId="0" fontId="44" fillId="0" borderId="0"/>
    <xf numFmtId="9" fontId="44" fillId="0" borderId="0" applyFont="0" applyFill="0" applyBorder="0" applyAlignment="0" applyProtection="0"/>
    <xf numFmtId="0" fontId="43" fillId="0" borderId="0"/>
    <xf numFmtId="0" fontId="189" fillId="0" borderId="0" applyNumberFormat="0" applyFill="0" applyBorder="0" applyAlignment="0" applyProtection="0">
      <alignment vertical="top"/>
      <protection locked="0"/>
    </xf>
    <xf numFmtId="9" fontId="43" fillId="0" borderId="0" applyFont="0" applyFill="0" applyBorder="0" applyAlignment="0" applyProtection="0"/>
    <xf numFmtId="0" fontId="160" fillId="45" borderId="0" applyNumberFormat="0" applyBorder="0" applyAlignment="0" applyProtection="0"/>
    <xf numFmtId="0" fontId="160" fillId="46" borderId="0" applyNumberFormat="0" applyBorder="0" applyAlignment="0" applyProtection="0"/>
    <xf numFmtId="0" fontId="160" fillId="47" borderId="0" applyNumberFormat="0" applyBorder="0" applyAlignment="0" applyProtection="0"/>
    <xf numFmtId="0" fontId="160" fillId="48" borderId="0" applyNumberFormat="0" applyBorder="0" applyAlignment="0" applyProtection="0"/>
    <xf numFmtId="0" fontId="160" fillId="49" borderId="0" applyNumberFormat="0" applyBorder="0" applyAlignment="0" applyProtection="0"/>
    <xf numFmtId="0" fontId="160" fillId="50" borderId="0" applyNumberFormat="0" applyBorder="0" applyAlignment="0" applyProtection="0"/>
    <xf numFmtId="0" fontId="160" fillId="51" borderId="0" applyNumberFormat="0" applyBorder="0" applyAlignment="0" applyProtection="0"/>
    <xf numFmtId="0" fontId="160" fillId="52" borderId="0" applyNumberFormat="0" applyBorder="0" applyAlignment="0" applyProtection="0"/>
    <xf numFmtId="0" fontId="160" fillId="53" borderId="0" applyNumberFormat="0" applyBorder="0" applyAlignment="0" applyProtection="0"/>
    <xf numFmtId="0" fontId="160" fillId="48" borderId="0" applyNumberFormat="0" applyBorder="0" applyAlignment="0" applyProtection="0"/>
    <xf numFmtId="0" fontId="160" fillId="51" borderId="0" applyNumberFormat="0" applyBorder="0" applyAlignment="0" applyProtection="0"/>
    <xf numFmtId="0" fontId="160" fillId="54" borderId="0" applyNumberFormat="0" applyBorder="0" applyAlignment="0" applyProtection="0"/>
    <xf numFmtId="0" fontId="190" fillId="55" borderId="0" applyNumberFormat="0" applyBorder="0" applyAlignment="0" applyProtection="0"/>
    <xf numFmtId="0" fontId="190" fillId="52" borderId="0" applyNumberFormat="0" applyBorder="0" applyAlignment="0" applyProtection="0"/>
    <xf numFmtId="0" fontId="190" fillId="53" borderId="0" applyNumberFormat="0" applyBorder="0" applyAlignment="0" applyProtection="0"/>
    <xf numFmtId="0" fontId="190" fillId="56" borderId="0" applyNumberFormat="0" applyBorder="0" applyAlignment="0" applyProtection="0"/>
    <xf numFmtId="0" fontId="190" fillId="57" borderId="0" applyNumberFormat="0" applyBorder="0" applyAlignment="0" applyProtection="0"/>
    <xf numFmtId="0" fontId="190" fillId="58" borderId="0" applyNumberFormat="0" applyBorder="0" applyAlignment="0" applyProtection="0"/>
    <xf numFmtId="0" fontId="191" fillId="59" borderId="68" applyNumberFormat="0" applyAlignment="0" applyProtection="0"/>
    <xf numFmtId="0" fontId="192" fillId="60" borderId="69" applyNumberFormat="0" applyAlignment="0" applyProtection="0"/>
    <xf numFmtId="0" fontId="193" fillId="0" borderId="70" applyNumberFormat="0" applyFill="0" applyAlignment="0" applyProtection="0"/>
    <xf numFmtId="0" fontId="205" fillId="0" borderId="71" applyNumberFormat="0" applyFill="0" applyAlignment="0" applyProtection="0"/>
    <xf numFmtId="0" fontId="194" fillId="0" borderId="0" applyNumberFormat="0" applyFill="0" applyBorder="0" applyAlignment="0" applyProtection="0"/>
    <xf numFmtId="0" fontId="190" fillId="61" borderId="0" applyNumberFormat="0" applyBorder="0" applyAlignment="0" applyProtection="0"/>
    <xf numFmtId="0" fontId="190" fillId="62" borderId="0" applyNumberFormat="0" applyBorder="0" applyAlignment="0" applyProtection="0"/>
    <xf numFmtId="0" fontId="190" fillId="63" borderId="0" applyNumberFormat="0" applyBorder="0" applyAlignment="0" applyProtection="0"/>
    <xf numFmtId="0" fontId="190" fillId="56" borderId="0" applyNumberFormat="0" applyBorder="0" applyAlignment="0" applyProtection="0"/>
    <xf numFmtId="0" fontId="190" fillId="57" borderId="0" applyNumberFormat="0" applyBorder="0" applyAlignment="0" applyProtection="0"/>
    <xf numFmtId="0" fontId="190" fillId="64" borderId="0" applyNumberFormat="0" applyBorder="0" applyAlignment="0" applyProtection="0"/>
    <xf numFmtId="0" fontId="195" fillId="50" borderId="68" applyNumberFormat="0" applyAlignment="0" applyProtection="0"/>
    <xf numFmtId="0" fontId="206"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196" fillId="46" borderId="0" applyNumberFormat="0" applyBorder="0" applyAlignment="0" applyProtection="0"/>
    <xf numFmtId="169" fontId="66" fillId="0" borderId="0" applyFont="0" applyFill="0" applyBorder="0" applyAlignment="0" applyProtection="0"/>
    <xf numFmtId="168" fontId="160" fillId="0" borderId="0" applyFont="0" applyFill="0" applyBorder="0" applyAlignment="0" applyProtection="0"/>
    <xf numFmtId="0" fontId="197" fillId="65" borderId="0" applyNumberFormat="0" applyBorder="0" applyAlignment="0" applyProtection="0"/>
    <xf numFmtId="0" fontId="42" fillId="0" borderId="0"/>
    <xf numFmtId="3" fontId="66" fillId="0" borderId="0">
      <alignment vertical="center"/>
    </xf>
    <xf numFmtId="0" fontId="66" fillId="0" borderId="0"/>
    <xf numFmtId="0" fontId="66" fillId="0" borderId="0"/>
    <xf numFmtId="0" fontId="66" fillId="66" borderId="72" applyNumberFormat="0" applyFont="0" applyAlignment="0" applyProtection="0"/>
    <xf numFmtId="0" fontId="198" fillId="59" borderId="73" applyNumberFormat="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1" fillId="0" borderId="0" applyNumberFormat="0" applyFill="0" applyBorder="0" applyAlignment="0" applyProtection="0"/>
    <xf numFmtId="0" fontId="202" fillId="0" borderId="74" applyNumberFormat="0" applyFill="0" applyAlignment="0" applyProtection="0"/>
    <xf numFmtId="0" fontId="203" fillId="0" borderId="75" applyNumberFormat="0" applyFill="0" applyAlignment="0" applyProtection="0"/>
    <xf numFmtId="0" fontId="194" fillId="0" borderId="76" applyNumberFormat="0" applyFill="0" applyAlignment="0" applyProtection="0"/>
    <xf numFmtId="0" fontId="204" fillId="0" borderId="77" applyNumberFormat="0" applyFill="0" applyAlignment="0" applyProtection="0"/>
    <xf numFmtId="0" fontId="41" fillId="0" borderId="0"/>
    <xf numFmtId="0" fontId="41" fillId="17" borderId="54" applyNumberFormat="0" applyFont="0" applyAlignment="0" applyProtection="0"/>
    <xf numFmtId="0" fontId="41" fillId="19" borderId="0" applyNumberFormat="0" applyBorder="0" applyAlignment="0" applyProtection="0"/>
    <xf numFmtId="0" fontId="41" fillId="20"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1" fillId="35" borderId="0" applyNumberFormat="0" applyBorder="0" applyAlignment="0" applyProtection="0"/>
    <xf numFmtId="0" fontId="41" fillId="36"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0" fillId="0" borderId="0"/>
    <xf numFmtId="0" fontId="39" fillId="0" borderId="0"/>
    <xf numFmtId="0" fontId="187" fillId="0" borderId="0"/>
    <xf numFmtId="0" fontId="38" fillId="0" borderId="0"/>
    <xf numFmtId="0" fontId="37" fillId="0" borderId="0"/>
    <xf numFmtId="0" fontId="36" fillId="27" borderId="0" applyNumberFormat="0" applyBorder="0" applyAlignment="0" applyProtection="0"/>
    <xf numFmtId="9" fontId="66"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9" fontId="3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0" fontId="36" fillId="28" borderId="0" applyNumberFormat="0" applyBorder="0" applyAlignment="0" applyProtection="0"/>
    <xf numFmtId="0" fontId="36" fillId="35" borderId="0" applyNumberFormat="0" applyBorder="0" applyAlignment="0" applyProtection="0"/>
    <xf numFmtId="0" fontId="36" fillId="0" borderId="0"/>
    <xf numFmtId="168" fontId="36" fillId="0" borderId="0" applyFont="0" applyFill="0" applyBorder="0" applyAlignment="0" applyProtection="0"/>
    <xf numFmtId="0" fontId="36" fillId="24" borderId="0" applyNumberFormat="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8" fontId="36" fillId="0" borderId="0" applyFont="0" applyFill="0" applyBorder="0" applyAlignment="0" applyProtection="0"/>
    <xf numFmtId="0" fontId="36" fillId="0" borderId="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8" fontId="36" fillId="0" borderId="0" applyFont="0" applyFill="0" applyBorder="0" applyAlignment="0" applyProtection="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8" fontId="36" fillId="0" borderId="0" applyFont="0" applyFill="0" applyBorder="0" applyAlignment="0" applyProtection="0"/>
    <xf numFmtId="9" fontId="36" fillId="0" borderId="0" applyFont="0" applyFill="0" applyBorder="0" applyAlignment="0" applyProtection="0"/>
    <xf numFmtId="0" fontId="36" fillId="0" borderId="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8" fontId="36" fillId="0" borderId="0" applyFont="0" applyFill="0" applyBorder="0" applyAlignment="0" applyProtection="0"/>
    <xf numFmtId="9" fontId="36" fillId="0" borderId="0" applyFont="0" applyFill="0" applyBorder="0" applyAlignment="0" applyProtection="0"/>
    <xf numFmtId="0" fontId="36" fillId="0" borderId="0"/>
    <xf numFmtId="168" fontId="36" fillId="0" borderId="0" applyFont="0" applyFill="0" applyBorder="0" applyAlignment="0" applyProtection="0"/>
    <xf numFmtId="0" fontId="36" fillId="0" borderId="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8" fontId="36" fillId="0" borderId="0" applyFont="0" applyFill="0" applyBorder="0" applyAlignment="0" applyProtection="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8" fontId="36" fillId="0" borderId="0" applyFont="0" applyFill="0" applyBorder="0" applyAlignment="0" applyProtection="0"/>
    <xf numFmtId="9" fontId="36" fillId="0" borderId="0" applyFont="0" applyFill="0" applyBorder="0" applyAlignment="0" applyProtection="0"/>
    <xf numFmtId="0" fontId="36" fillId="0" borderId="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8" fontId="36" fillId="0" borderId="0" applyFont="0" applyFill="0" applyBorder="0" applyAlignment="0" applyProtection="0"/>
    <xf numFmtId="9" fontId="36" fillId="0" borderId="0" applyFont="0" applyFill="0" applyBorder="0" applyAlignment="0" applyProtection="0"/>
    <xf numFmtId="0" fontId="36" fillId="0" borderId="0"/>
    <xf numFmtId="168" fontId="36" fillId="0" borderId="0" applyFont="0" applyFill="0" applyBorder="0" applyAlignment="0" applyProtection="0"/>
    <xf numFmtId="0" fontId="36" fillId="0" borderId="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8" fontId="36" fillId="0" borderId="0" applyFont="0" applyFill="0" applyBorder="0" applyAlignment="0" applyProtection="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8" fontId="36" fillId="0" borderId="0" applyFont="0" applyFill="0" applyBorder="0" applyAlignment="0" applyProtection="0"/>
    <xf numFmtId="9" fontId="36" fillId="0" borderId="0" applyFont="0" applyFill="0" applyBorder="0" applyAlignment="0" applyProtection="0"/>
    <xf numFmtId="0" fontId="36" fillId="0" borderId="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8" fontId="36" fillId="0" borderId="0" applyFont="0" applyFill="0" applyBorder="0" applyAlignment="0" applyProtection="0"/>
    <xf numFmtId="9" fontId="36" fillId="0" borderId="0" applyFont="0" applyFill="0" applyBorder="0" applyAlignment="0" applyProtection="0"/>
    <xf numFmtId="0" fontId="36" fillId="0" borderId="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168"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168"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8" fontId="66" fillId="0" borderId="0" applyFont="0" applyFill="0" applyBorder="0" applyAlignment="0" applyProtection="0"/>
    <xf numFmtId="0" fontId="36" fillId="0" borderId="0"/>
    <xf numFmtId="168" fontId="6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168" fontId="36" fillId="0" borderId="0" applyFont="0" applyFill="0" applyBorder="0" applyAlignment="0" applyProtection="0"/>
    <xf numFmtId="0" fontId="36" fillId="0" borderId="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17" borderId="54" applyNumberFormat="0" applyFont="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36" fillId="23" borderId="0" applyNumberFormat="0" applyBorder="0" applyAlignment="0" applyProtection="0"/>
    <xf numFmtId="0" fontId="36" fillId="20" borderId="0" applyNumberFormat="0" applyBorder="0" applyAlignment="0" applyProtection="0"/>
    <xf numFmtId="168" fontId="66" fillId="0" borderId="0" applyFont="0" applyFill="0" applyBorder="0" applyAlignment="0" applyProtection="0"/>
    <xf numFmtId="0" fontId="36"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36" fillId="0" borderId="0"/>
    <xf numFmtId="0" fontId="36" fillId="0" borderId="0"/>
    <xf numFmtId="168" fontId="66" fillId="0" borderId="0" applyFont="0" applyFill="0" applyBorder="0" applyAlignment="0" applyProtection="0"/>
    <xf numFmtId="168" fontId="6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66" fillId="0" borderId="0"/>
    <xf numFmtId="168" fontId="66" fillId="0" borderId="0" applyFont="0" applyFill="0" applyBorder="0" applyAlignment="0" applyProtection="0"/>
    <xf numFmtId="168" fontId="66" fillId="0" borderId="0" applyFont="0" applyFill="0" applyBorder="0" applyAlignment="0" applyProtection="0"/>
    <xf numFmtId="0" fontId="36" fillId="0" borderId="0"/>
    <xf numFmtId="0" fontId="36" fillId="0" borderId="0"/>
    <xf numFmtId="0" fontId="36" fillId="0" borderId="0"/>
    <xf numFmtId="0" fontId="36" fillId="36" borderId="0" applyNumberFormat="0" applyBorder="0" applyAlignment="0" applyProtection="0"/>
    <xf numFmtId="0" fontId="36" fillId="19" borderId="0" applyNumberFormat="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8" fontId="36" fillId="0" borderId="0" applyFont="0" applyFill="0" applyBorder="0" applyAlignment="0" applyProtection="0"/>
    <xf numFmtId="0" fontId="36" fillId="0" borderId="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8" fontId="36" fillId="0" borderId="0" applyFont="0" applyFill="0" applyBorder="0" applyAlignment="0" applyProtection="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8" fontId="36" fillId="0" borderId="0" applyFont="0" applyFill="0" applyBorder="0" applyAlignment="0" applyProtection="0"/>
    <xf numFmtId="9" fontId="36" fillId="0" borderId="0" applyFont="0" applyFill="0" applyBorder="0" applyAlignment="0" applyProtection="0"/>
    <xf numFmtId="0" fontId="36" fillId="0" borderId="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8" fontId="36" fillId="0" borderId="0" applyFont="0" applyFill="0" applyBorder="0" applyAlignment="0" applyProtection="0"/>
    <xf numFmtId="9" fontId="36" fillId="0" borderId="0" applyFont="0" applyFill="0" applyBorder="0" applyAlignment="0" applyProtection="0"/>
    <xf numFmtId="0" fontId="36" fillId="0" borderId="0"/>
    <xf numFmtId="168" fontId="36" fillId="0" borderId="0" applyFont="0" applyFill="0" applyBorder="0" applyAlignment="0" applyProtection="0"/>
    <xf numFmtId="0" fontId="36" fillId="0" borderId="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8" fontId="36" fillId="0" borderId="0" applyFont="0" applyFill="0" applyBorder="0" applyAlignment="0" applyProtection="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8" fontId="36" fillId="0" borderId="0" applyFont="0" applyFill="0" applyBorder="0" applyAlignment="0" applyProtection="0"/>
    <xf numFmtId="9" fontId="36" fillId="0" borderId="0" applyFont="0" applyFill="0" applyBorder="0" applyAlignment="0" applyProtection="0"/>
    <xf numFmtId="0" fontId="36" fillId="0" borderId="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8" fontId="36" fillId="0" borderId="0" applyFont="0" applyFill="0" applyBorder="0" applyAlignment="0" applyProtection="0"/>
    <xf numFmtId="9" fontId="36" fillId="0" borderId="0" applyFont="0" applyFill="0" applyBorder="0" applyAlignment="0" applyProtection="0"/>
    <xf numFmtId="0" fontId="36" fillId="0" borderId="0"/>
    <xf numFmtId="168" fontId="36" fillId="0" borderId="0" applyFont="0" applyFill="0" applyBorder="0" applyAlignment="0" applyProtection="0"/>
    <xf numFmtId="0" fontId="36" fillId="0" borderId="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8" fontId="36" fillId="0" borderId="0" applyFont="0" applyFill="0" applyBorder="0" applyAlignment="0" applyProtection="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8" fontId="36" fillId="0" borderId="0" applyFont="0" applyFill="0" applyBorder="0" applyAlignment="0" applyProtection="0"/>
    <xf numFmtId="9" fontId="36" fillId="0" borderId="0" applyFont="0" applyFill="0" applyBorder="0" applyAlignment="0" applyProtection="0"/>
    <xf numFmtId="0" fontId="36" fillId="0" borderId="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8" fontId="36" fillId="0" borderId="0" applyFont="0" applyFill="0" applyBorder="0" applyAlignment="0" applyProtection="0"/>
    <xf numFmtId="9" fontId="36" fillId="0" borderId="0" applyFont="0" applyFill="0" applyBorder="0" applyAlignment="0" applyProtection="0"/>
    <xf numFmtId="0" fontId="36" fillId="0" borderId="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168"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168"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9" fontId="36" fillId="0" borderId="0" applyFont="0" applyFill="0" applyBorder="0" applyAlignment="0" applyProtection="0"/>
    <xf numFmtId="168" fontId="36" fillId="0" borderId="0" applyFont="0" applyFill="0" applyBorder="0" applyAlignment="0" applyProtection="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168" fontId="36" fillId="0" borderId="0" applyFont="0" applyFill="0" applyBorder="0" applyAlignment="0" applyProtection="0"/>
    <xf numFmtId="0" fontId="36" fillId="0" borderId="0"/>
    <xf numFmtId="0" fontId="36" fillId="0" borderId="0"/>
    <xf numFmtId="9" fontId="36" fillId="0" borderId="0" applyFont="0" applyFill="0" applyBorder="0" applyAlignment="0" applyProtection="0"/>
    <xf numFmtId="0" fontId="36" fillId="0" borderId="0"/>
    <xf numFmtId="0" fontId="36" fillId="0" borderId="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31" borderId="0" applyNumberFormat="0" applyBorder="0" applyAlignment="0" applyProtection="0"/>
    <xf numFmtId="0" fontId="36" fillId="32"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168" fontId="36" fillId="0" borderId="0" applyFont="0" applyFill="0" applyBorder="0" applyAlignment="0" applyProtection="0"/>
    <xf numFmtId="0" fontId="35" fillId="0" borderId="0"/>
    <xf numFmtId="0" fontId="35" fillId="17" borderId="54" applyNumberFormat="0" applyFont="0" applyAlignment="0" applyProtection="0"/>
    <xf numFmtId="0" fontId="35" fillId="19" borderId="0" applyNumberFormat="0" applyBorder="0" applyAlignment="0" applyProtection="0"/>
    <xf numFmtId="0" fontId="35" fillId="20"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35" fillId="27" borderId="0" applyNumberFormat="0" applyBorder="0" applyAlignment="0" applyProtection="0"/>
    <xf numFmtId="0" fontId="35" fillId="28" borderId="0" applyNumberFormat="0" applyBorder="0" applyAlignment="0" applyProtection="0"/>
    <xf numFmtId="0" fontId="35" fillId="31" borderId="0" applyNumberFormat="0" applyBorder="0" applyAlignment="0" applyProtection="0"/>
    <xf numFmtId="0" fontId="35" fillId="32" borderId="0" applyNumberFormat="0" applyBorder="0" applyAlignment="0" applyProtection="0"/>
    <xf numFmtId="0" fontId="35" fillId="35" borderId="0" applyNumberFormat="0" applyBorder="0" applyAlignment="0" applyProtection="0"/>
    <xf numFmtId="0" fontId="35" fillId="36"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4" fillId="0" borderId="0"/>
    <xf numFmtId="0" fontId="34" fillId="0" borderId="0"/>
    <xf numFmtId="0" fontId="34" fillId="0" borderId="0"/>
    <xf numFmtId="0" fontId="34" fillId="0" borderId="0"/>
    <xf numFmtId="168" fontId="66" fillId="0" borderId="0" applyFont="0" applyFill="0" applyBorder="0" applyAlignment="0" applyProtection="0"/>
    <xf numFmtId="0" fontId="34" fillId="0" borderId="0"/>
    <xf numFmtId="168" fontId="66"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0" fontId="34" fillId="0" borderId="0"/>
    <xf numFmtId="168" fontId="34" fillId="0" borderId="0" applyFont="0" applyFill="0" applyBorder="0" applyAlignment="0" applyProtection="0"/>
    <xf numFmtId="168" fontId="66" fillId="0" borderId="0" applyFont="0" applyFill="0" applyBorder="0" applyAlignment="0" applyProtection="0"/>
    <xf numFmtId="0" fontId="34" fillId="0" borderId="0"/>
    <xf numFmtId="0" fontId="34" fillId="0" borderId="0"/>
    <xf numFmtId="0" fontId="34" fillId="0" borderId="0"/>
    <xf numFmtId="9"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168" fontId="34" fillId="0" borderId="0" applyFont="0" applyFill="0" applyBorder="0" applyAlignment="0" applyProtection="0"/>
    <xf numFmtId="0" fontId="33" fillId="0" borderId="0"/>
    <xf numFmtId="0" fontId="211" fillId="0" borderId="0"/>
    <xf numFmtId="1" fontId="211" fillId="0" borderId="0" applyBorder="0" applyProtection="0"/>
    <xf numFmtId="0" fontId="32" fillId="0" borderId="0"/>
    <xf numFmtId="0" fontId="31" fillId="0" borderId="0"/>
    <xf numFmtId="0" fontId="30" fillId="0" borderId="0"/>
    <xf numFmtId="0" fontId="30" fillId="17" borderId="54" applyNumberFormat="0" applyFont="0" applyAlignment="0" applyProtection="0"/>
    <xf numFmtId="0" fontId="30" fillId="19" borderId="0" applyNumberFormat="0" applyBorder="0" applyAlignment="0" applyProtection="0"/>
    <xf numFmtId="0" fontId="30" fillId="20" borderId="0" applyNumberFormat="0" applyBorder="0" applyAlignment="0" applyProtection="0"/>
    <xf numFmtId="0" fontId="30" fillId="23" borderId="0" applyNumberFormat="0" applyBorder="0" applyAlignment="0" applyProtection="0"/>
    <xf numFmtId="0" fontId="30" fillId="24" borderId="0" applyNumberFormat="0" applyBorder="0" applyAlignment="0" applyProtection="0"/>
    <xf numFmtId="0" fontId="30" fillId="27" borderId="0" applyNumberFormat="0" applyBorder="0" applyAlignment="0" applyProtection="0"/>
    <xf numFmtId="0" fontId="30" fillId="28" borderId="0" applyNumberFormat="0" applyBorder="0" applyAlignment="0" applyProtection="0"/>
    <xf numFmtId="0" fontId="30" fillId="31" borderId="0" applyNumberFormat="0" applyBorder="0" applyAlignment="0" applyProtection="0"/>
    <xf numFmtId="0" fontId="30" fillId="32" borderId="0" applyNumberFormat="0" applyBorder="0" applyAlignment="0" applyProtection="0"/>
    <xf numFmtId="0" fontId="30" fillId="35" borderId="0" applyNumberFormat="0" applyBorder="0" applyAlignment="0" applyProtection="0"/>
    <xf numFmtId="0" fontId="30" fillId="36"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29" fillId="0" borderId="0"/>
    <xf numFmtId="0" fontId="212" fillId="67" borderId="0"/>
    <xf numFmtId="0" fontId="76" fillId="0" borderId="0"/>
    <xf numFmtId="0" fontId="213" fillId="0" borderId="0" applyNumberFormat="0" applyFill="0" applyBorder="0" applyAlignment="0" applyProtection="0">
      <alignment vertical="top"/>
      <protection locked="0"/>
    </xf>
    <xf numFmtId="0" fontId="66" fillId="0" borderId="0"/>
    <xf numFmtId="0" fontId="28" fillId="0" borderId="0"/>
    <xf numFmtId="0" fontId="27" fillId="0" borderId="0"/>
    <xf numFmtId="0" fontId="27" fillId="17" borderId="54" applyNumberFormat="0" applyFont="0" applyAlignment="0" applyProtection="0"/>
    <xf numFmtId="0" fontId="27" fillId="19" borderId="0" applyNumberFormat="0" applyBorder="0" applyAlignment="0" applyProtection="0"/>
    <xf numFmtId="0" fontId="27" fillId="20"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7" fillId="28" borderId="0" applyNumberFormat="0" applyBorder="0" applyAlignment="0" applyProtection="0"/>
    <xf numFmtId="0" fontId="27" fillId="31" borderId="0" applyNumberFormat="0" applyBorder="0" applyAlignment="0" applyProtection="0"/>
    <xf numFmtId="0" fontId="27" fillId="32" borderId="0" applyNumberFormat="0" applyBorder="0" applyAlignment="0" applyProtection="0"/>
    <xf numFmtId="0" fontId="27" fillId="35" borderId="0" applyNumberFormat="0" applyBorder="0" applyAlignment="0" applyProtection="0"/>
    <xf numFmtId="0" fontId="27" fillId="36"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6" fillId="0" borderId="0"/>
    <xf numFmtId="0" fontId="25" fillId="0" borderId="0"/>
    <xf numFmtId="3" fontId="66" fillId="0" borderId="0" applyFill="0" applyBorder="0" applyAlignment="0" applyProtection="0"/>
    <xf numFmtId="0" fontId="214" fillId="0" borderId="0" applyNumberFormat="0" applyFill="0" applyBorder="0" applyAlignment="0" applyProtection="0">
      <alignment vertical="top"/>
      <protection locked="0"/>
    </xf>
    <xf numFmtId="168" fontId="66" fillId="0" borderId="0" applyFont="0" applyFill="0" applyBorder="0" applyAlignment="0" applyProtection="0"/>
    <xf numFmtId="0" fontId="24" fillId="0" borderId="0"/>
    <xf numFmtId="0" fontId="66" fillId="0" borderId="0"/>
    <xf numFmtId="0" fontId="23" fillId="0" borderId="0"/>
    <xf numFmtId="9" fontId="23" fillId="0" borderId="0" applyFont="0" applyFill="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15" fillId="0" borderId="0"/>
    <xf numFmtId="9" fontId="66" fillId="0" borderId="0" applyFont="0" applyFill="0" applyBorder="0" applyAlignment="0" applyProtection="0"/>
    <xf numFmtId="0" fontId="65" fillId="0" borderId="1">
      <protection locked="0"/>
    </xf>
    <xf numFmtId="168" fontId="23" fillId="0" borderId="0" applyFont="0" applyFill="0" applyBorder="0" applyAlignment="0" applyProtection="0"/>
    <xf numFmtId="168" fontId="23" fillId="0" borderId="0" applyFont="0" applyFill="0" applyBorder="0" applyAlignment="0" applyProtection="0"/>
    <xf numFmtId="0" fontId="140" fillId="13" borderId="0" applyNumberFormat="0" applyBorder="0" applyAlignment="0" applyProtection="0"/>
    <xf numFmtId="0" fontId="148" fillId="21" borderId="0" applyNumberFormat="0" applyBorder="0" applyAlignment="0" applyProtection="0"/>
    <xf numFmtId="0" fontId="148" fillId="25" borderId="0" applyNumberFormat="0" applyBorder="0" applyAlignment="0" applyProtection="0"/>
    <xf numFmtId="0" fontId="148" fillId="29" borderId="0" applyNumberFormat="0" applyBorder="0" applyAlignment="0" applyProtection="0"/>
    <xf numFmtId="0" fontId="148" fillId="33" borderId="0" applyNumberFormat="0" applyBorder="0" applyAlignment="0" applyProtection="0"/>
    <xf numFmtId="0" fontId="148" fillId="37" borderId="0" applyNumberFormat="0" applyBorder="0" applyAlignment="0" applyProtection="0"/>
    <xf numFmtId="0" fontId="148" fillId="41" borderId="0" applyNumberFormat="0" applyBorder="0" applyAlignment="0" applyProtection="0"/>
    <xf numFmtId="0" fontId="23" fillId="0" borderId="0"/>
    <xf numFmtId="0" fontId="23" fillId="17" borderId="54" applyNumberFormat="0" applyFont="0" applyAlignment="0" applyProtection="0"/>
    <xf numFmtId="0" fontId="23" fillId="0" borderId="0"/>
    <xf numFmtId="168" fontId="66" fillId="0" borderId="0" applyFont="0" applyFill="0" applyBorder="0" applyAlignment="0" applyProtection="0"/>
    <xf numFmtId="168" fontId="66" fillId="0" borderId="0" applyFont="0" applyFill="0" applyBorder="0" applyAlignment="0" applyProtection="0"/>
    <xf numFmtId="43" fontId="2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44" fontId="23" fillId="0" borderId="0" applyFont="0" applyFill="0" applyBorder="0" applyAlignment="0" applyProtection="0"/>
    <xf numFmtId="167" fontId="66" fillId="0" borderId="0" applyFont="0" applyFill="0" applyBorder="0" applyAlignment="0" applyProtection="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168" fontId="23" fillId="0" borderId="0" applyFont="0" applyFill="0" applyBorder="0" applyAlignment="0" applyProtection="0"/>
    <xf numFmtId="168" fontId="23" fillId="0" borderId="0" applyFont="0" applyFill="0" applyBorder="0" applyAlignment="0" applyProtection="0"/>
    <xf numFmtId="0" fontId="66" fillId="0" borderId="0" applyNumberFormat="0" applyFill="0" applyBorder="0" applyAlignment="0" applyProtection="0"/>
    <xf numFmtId="168" fontId="66" fillId="0" borderId="0" applyFont="0" applyFill="0" applyBorder="0" applyAlignment="0" applyProtection="0"/>
    <xf numFmtId="0" fontId="23" fillId="0" borderId="0"/>
    <xf numFmtId="0" fontId="23" fillId="0" borderId="0"/>
    <xf numFmtId="0" fontId="23" fillId="17" borderId="54" applyNumberFormat="0" applyFont="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0" borderId="0"/>
    <xf numFmtId="0" fontId="23" fillId="17" borderId="54" applyNumberFormat="0" applyFont="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0" borderId="0"/>
    <xf numFmtId="0" fontId="23" fillId="17" borderId="54" applyNumberFormat="0" applyFont="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0" borderId="0"/>
    <xf numFmtId="168" fontId="23" fillId="0" borderId="0" applyFont="0" applyFill="0" applyBorder="0" applyAlignment="0" applyProtection="0"/>
    <xf numFmtId="0" fontId="23" fillId="17" borderId="54" applyNumberFormat="0" applyFont="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0" borderId="0"/>
    <xf numFmtId="0" fontId="23" fillId="17" borderId="54" applyNumberFormat="0" applyFont="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0" borderId="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160"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160"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6"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6"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6"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6"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6"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6"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6" fontId="68" fillId="0" borderId="0" applyFont="0" applyFill="0" applyBorder="0" applyAlignment="0" applyProtection="0"/>
    <xf numFmtId="167" fontId="68"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66" fillId="0" borderId="0" applyFont="0" applyFill="0" applyBorder="0" applyAlignment="0" applyProtection="0"/>
    <xf numFmtId="168" fontId="23" fillId="0" borderId="0" applyFont="0" applyFill="0" applyBorder="0" applyAlignment="0" applyProtection="0"/>
    <xf numFmtId="167" fontId="66"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167" fontId="66"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167" fontId="66"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0" fontId="23" fillId="0" borderId="0"/>
    <xf numFmtId="9" fontId="23" fillId="0" borderId="0" applyFont="0" applyFill="0" applyBorder="0" applyAlignment="0" applyProtection="0"/>
    <xf numFmtId="168" fontId="66" fillId="0" borderId="0" applyFont="0" applyFill="0" applyBorder="0" applyAlignment="0" applyProtection="0"/>
    <xf numFmtId="168" fontId="23" fillId="0" borderId="0" applyFont="0" applyFill="0" applyBorder="0" applyAlignment="0" applyProtection="0"/>
    <xf numFmtId="167" fontId="66"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167" fontId="66"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168" fontId="66" fillId="0" borderId="0" applyFont="0" applyFill="0" applyBorder="0" applyAlignment="0" applyProtection="0"/>
    <xf numFmtId="167" fontId="66" fillId="0" borderId="0" applyFont="0" applyFill="0" applyBorder="0" applyAlignment="0" applyProtection="0"/>
    <xf numFmtId="168" fontId="66" fillId="0" borderId="0" applyFont="0" applyFill="0" applyBorder="0" applyAlignment="0" applyProtection="0"/>
    <xf numFmtId="167" fontId="66" fillId="0" borderId="0" applyFont="0" applyFill="0" applyBorder="0" applyAlignment="0" applyProtection="0"/>
    <xf numFmtId="168" fontId="66" fillId="0" borderId="0" applyFont="0" applyFill="0" applyBorder="0" applyAlignment="0" applyProtection="0"/>
    <xf numFmtId="167" fontId="66" fillId="0" borderId="0" applyFont="0" applyFill="0" applyBorder="0" applyAlignment="0" applyProtection="0"/>
    <xf numFmtId="168" fontId="66" fillId="0" borderId="0" applyFont="0" applyFill="0" applyBorder="0" applyAlignment="0" applyProtection="0"/>
    <xf numFmtId="0" fontId="23" fillId="0" borderId="0"/>
    <xf numFmtId="168" fontId="66" fillId="0" borderId="0" applyFont="0" applyFill="0" applyBorder="0" applyAlignment="0" applyProtection="0"/>
    <xf numFmtId="168" fontId="23" fillId="0" borderId="0" applyFont="0" applyFill="0" applyBorder="0" applyAlignment="0" applyProtection="0"/>
    <xf numFmtId="167" fontId="66"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0" fontId="23" fillId="0" borderId="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168" fontId="66" fillId="0" borderId="0" applyFont="0" applyFill="0" applyBorder="0" applyAlignment="0" applyProtection="0"/>
    <xf numFmtId="0" fontId="23" fillId="0" borderId="0"/>
    <xf numFmtId="9" fontId="23" fillId="0" borderId="0" applyFont="0" applyFill="0" applyBorder="0" applyAlignment="0" applyProtection="0"/>
    <xf numFmtId="168" fontId="66"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7"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0" fontId="23" fillId="0" borderId="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0" fontId="23" fillId="0" borderId="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0" fontId="23" fillId="0" borderId="0"/>
    <xf numFmtId="9" fontId="23" fillId="0" borderId="0" applyFont="0" applyFill="0" applyBorder="0" applyAlignment="0" applyProtection="0"/>
    <xf numFmtId="168" fontId="66"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168" fontId="66" fillId="0" borderId="0" applyFont="0" applyFill="0" applyBorder="0" applyAlignment="0" applyProtection="0"/>
    <xf numFmtId="168" fontId="66"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66" fillId="0" borderId="0" applyFont="0" applyFill="0" applyBorder="0" applyAlignment="0" applyProtection="0"/>
    <xf numFmtId="0" fontId="23" fillId="0" borderId="0"/>
    <xf numFmtId="168" fontId="66"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168" fontId="16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168" fontId="66" fillId="0" borderId="0" applyFont="0" applyFill="0" applyBorder="0" applyAlignment="0" applyProtection="0"/>
    <xf numFmtId="168" fontId="66"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0" fontId="23" fillId="0" borderId="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0" fontId="23" fillId="0" borderId="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7" borderId="54" applyNumberFormat="0" applyFont="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207" fontId="66" fillId="0" borderId="0" applyFont="0" applyFill="0" applyBorder="0" applyAlignment="0" applyProtection="0"/>
    <xf numFmtId="9" fontId="66"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17" borderId="54" applyNumberFormat="0" applyFont="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0" borderId="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168" fontId="160" fillId="0" borderId="0" applyFont="0" applyFill="0" applyBorder="0" applyAlignment="0" applyProtection="0"/>
    <xf numFmtId="0" fontId="23" fillId="0" borderId="0"/>
    <xf numFmtId="0" fontId="23" fillId="0" borderId="0"/>
    <xf numFmtId="0" fontId="23" fillId="17" borderId="54" applyNumberFormat="0" applyFont="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0" borderId="0"/>
    <xf numFmtId="0" fontId="23" fillId="0" borderId="0"/>
    <xf numFmtId="168" fontId="66" fillId="0" borderId="0" applyFont="0" applyFill="0" applyBorder="0" applyAlignment="0" applyProtection="0"/>
    <xf numFmtId="0" fontId="23" fillId="0" borderId="0"/>
    <xf numFmtId="0" fontId="23" fillId="0" borderId="0"/>
    <xf numFmtId="0" fontId="23" fillId="27" borderId="0" applyNumberFormat="0" applyBorder="0" applyAlignment="0" applyProtection="0"/>
    <xf numFmtId="168" fontId="68" fillId="0" borderId="0" applyFont="0" applyFill="0" applyBorder="0" applyAlignment="0" applyProtection="0"/>
    <xf numFmtId="168" fontId="68" fillId="0" borderId="0" applyFont="0" applyFill="0" applyBorder="0" applyAlignment="0" applyProtection="0"/>
    <xf numFmtId="168" fontId="68" fillId="0" borderId="0" applyFont="0" applyFill="0" applyBorder="0" applyAlignment="0" applyProtection="0"/>
    <xf numFmtId="9" fontId="23"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168" fontId="66" fillId="0" borderId="0" applyFont="0" applyFill="0" applyBorder="0" applyAlignment="0" applyProtection="0"/>
    <xf numFmtId="0" fontId="23" fillId="28" borderId="0" applyNumberFormat="0" applyBorder="0" applyAlignment="0" applyProtection="0"/>
    <xf numFmtId="0" fontId="23" fillId="35" borderId="0" applyNumberFormat="0" applyBorder="0" applyAlignment="0" applyProtection="0"/>
    <xf numFmtId="0" fontId="23" fillId="0" borderId="0"/>
    <xf numFmtId="168" fontId="23" fillId="0" borderId="0" applyFont="0" applyFill="0" applyBorder="0" applyAlignment="0" applyProtection="0"/>
    <xf numFmtId="0" fontId="23" fillId="24"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0" fontId="23" fillId="0" borderId="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0" fontId="23" fillId="0" borderId="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66" fillId="0" borderId="0" applyFont="0" applyFill="0" applyBorder="0" applyAlignment="0" applyProtection="0"/>
    <xf numFmtId="0" fontId="23" fillId="0" borderId="0"/>
    <xf numFmtId="168" fontId="66"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17" borderId="5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23" borderId="0" applyNumberFormat="0" applyBorder="0" applyAlignment="0" applyProtection="0"/>
    <xf numFmtId="0" fontId="23" fillId="20" borderId="0" applyNumberFormat="0" applyBorder="0" applyAlignment="0" applyProtection="0"/>
    <xf numFmtId="168" fontId="66" fillId="0" borderId="0" applyFont="0" applyFill="0" applyBorder="0" applyAlignment="0" applyProtection="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168" fontId="66" fillId="0" borderId="0" applyFont="0" applyFill="0" applyBorder="0" applyAlignment="0" applyProtection="0"/>
    <xf numFmtId="168" fontId="66"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66" fillId="0" borderId="0" applyFont="0" applyFill="0" applyBorder="0" applyAlignment="0" applyProtection="0"/>
    <xf numFmtId="168" fontId="66" fillId="0" borderId="0" applyFont="0" applyFill="0" applyBorder="0" applyAlignment="0" applyProtection="0"/>
    <xf numFmtId="0" fontId="23" fillId="0" borderId="0"/>
    <xf numFmtId="0" fontId="23" fillId="0" borderId="0"/>
    <xf numFmtId="0" fontId="23" fillId="0" borderId="0"/>
    <xf numFmtId="0" fontId="23" fillId="36" borderId="0" applyNumberFormat="0" applyBorder="0" applyAlignment="0" applyProtection="0"/>
    <xf numFmtId="0" fontId="23" fillId="19" borderId="0" applyNumberFormat="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0" fontId="23" fillId="0" borderId="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0" fontId="23" fillId="0" borderId="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9" fontId="23" fillId="0" borderId="0" applyFont="0" applyFill="0" applyBorder="0" applyAlignment="0" applyProtection="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8"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31" borderId="0" applyNumberFormat="0" applyBorder="0" applyAlignment="0" applyProtection="0"/>
    <xf numFmtId="0" fontId="23" fillId="32"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168" fontId="23" fillId="0" borderId="0" applyFont="0" applyFill="0" applyBorder="0" applyAlignment="0" applyProtection="0"/>
    <xf numFmtId="0" fontId="23" fillId="0" borderId="0"/>
    <xf numFmtId="0" fontId="23" fillId="17" borderId="54" applyNumberFormat="0" applyFont="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0" borderId="0"/>
    <xf numFmtId="0" fontId="23" fillId="0" borderId="0"/>
    <xf numFmtId="0" fontId="23" fillId="0" borderId="0"/>
    <xf numFmtId="0" fontId="23" fillId="0" borderId="0"/>
    <xf numFmtId="168" fontId="66" fillId="0" borderId="0" applyFont="0" applyFill="0" applyBorder="0" applyAlignment="0" applyProtection="0"/>
    <xf numFmtId="0" fontId="23" fillId="0" borderId="0"/>
    <xf numFmtId="168" fontId="66"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168" fontId="23" fillId="0" borderId="0" applyFont="0" applyFill="0" applyBorder="0" applyAlignment="0" applyProtection="0"/>
    <xf numFmtId="168" fontId="66" fillId="0" borderId="0" applyFont="0" applyFill="0" applyBorder="0" applyAlignment="0" applyProtection="0"/>
    <xf numFmtId="0" fontId="23" fillId="0" borderId="0"/>
    <xf numFmtId="0" fontId="23" fillId="0" borderId="0"/>
    <xf numFmtId="0" fontId="23" fillId="0" borderId="0"/>
    <xf numFmtId="9" fontId="23" fillId="0" borderId="0" applyFont="0" applyFill="0" applyBorder="0" applyAlignment="0" applyProtection="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168"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17" borderId="54" applyNumberFormat="0" applyFont="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0" borderId="0"/>
    <xf numFmtId="0" fontId="23" fillId="0" borderId="0"/>
    <xf numFmtId="0" fontId="23" fillId="0" borderId="0"/>
    <xf numFmtId="0" fontId="23" fillId="17" borderId="54" applyNumberFormat="0" applyFont="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0" borderId="0"/>
    <xf numFmtId="0" fontId="23" fillId="0" borderId="0"/>
    <xf numFmtId="168" fontId="66" fillId="0" borderId="0" applyFont="0" applyFill="0" applyBorder="0" applyAlignment="0" applyProtection="0"/>
    <xf numFmtId="0" fontId="23" fillId="0" borderId="0"/>
    <xf numFmtId="0" fontId="198" fillId="59" borderId="73" applyNumberFormat="0" applyAlignment="0" applyProtection="0"/>
    <xf numFmtId="0" fontId="191" fillId="59" borderId="68" applyNumberFormat="0" applyAlignment="0" applyProtection="0"/>
    <xf numFmtId="0" fontId="195" fillId="50" borderId="68" applyNumberFormat="0" applyAlignment="0" applyProtection="0"/>
    <xf numFmtId="0" fontId="204" fillId="0" borderId="77" applyNumberFormat="0" applyFill="0" applyAlignment="0" applyProtection="0"/>
    <xf numFmtId="0" fontId="66" fillId="66" borderId="72" applyNumberFormat="0" applyFont="0" applyAlignment="0" applyProtection="0"/>
    <xf numFmtId="0" fontId="191" fillId="59" borderId="68" applyNumberFormat="0" applyAlignment="0" applyProtection="0"/>
    <xf numFmtId="0" fontId="195" fillId="50" borderId="68" applyNumberFormat="0" applyAlignment="0" applyProtection="0"/>
    <xf numFmtId="0" fontId="66" fillId="66" borderId="72" applyNumberFormat="0" applyFont="0" applyAlignment="0" applyProtection="0"/>
    <xf numFmtId="0" fontId="198" fillId="59" borderId="73" applyNumberFormat="0" applyAlignment="0" applyProtection="0"/>
    <xf numFmtId="0" fontId="204" fillId="0" borderId="77" applyNumberFormat="0" applyFill="0" applyAlignment="0" applyProtection="0"/>
    <xf numFmtId="0" fontId="22" fillId="0" borderId="0"/>
    <xf numFmtId="168" fontId="66" fillId="0" borderId="0" applyFont="0" applyFill="0" applyBorder="0" applyAlignment="0" applyProtection="0"/>
    <xf numFmtId="194" fontId="216" fillId="0" borderId="0" applyFont="0" applyFill="0" applyBorder="0" applyAlignment="0" applyProtection="0"/>
    <xf numFmtId="0" fontId="21" fillId="0" borderId="0"/>
    <xf numFmtId="168" fontId="66" fillId="0" borderId="0" applyFont="0" applyFill="0" applyBorder="0" applyAlignment="0" applyProtection="0"/>
    <xf numFmtId="0" fontId="20" fillId="0" borderId="0"/>
    <xf numFmtId="0" fontId="20" fillId="17" borderId="54" applyNumberFormat="0" applyFont="0" applyAlignment="0" applyProtection="0"/>
    <xf numFmtId="0" fontId="20" fillId="19" borderId="0" applyNumberFormat="0" applyBorder="0" applyAlignment="0" applyProtection="0"/>
    <xf numFmtId="0" fontId="20" fillId="20"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194" fontId="217" fillId="0" borderId="0" applyFont="0" applyFill="0" applyBorder="0" applyAlignment="0" applyProtection="0"/>
    <xf numFmtId="0" fontId="19" fillId="0" borderId="0"/>
    <xf numFmtId="0" fontId="19" fillId="17" borderId="54" applyNumberFormat="0" applyFont="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66" fillId="0" borderId="0" applyFont="0" applyFill="0" applyBorder="0" applyAlignment="0" applyProtection="0"/>
    <xf numFmtId="0" fontId="218" fillId="0" borderId="0" applyNumberFormat="0" applyFill="0" applyBorder="0" applyAlignment="0" applyProtection="0"/>
    <xf numFmtId="0" fontId="18" fillId="0" borderId="0"/>
    <xf numFmtId="168" fontId="66" fillId="0" borderId="0" applyFont="0" applyFill="0" applyBorder="0" applyAlignment="0" applyProtection="0"/>
    <xf numFmtId="0" fontId="17" fillId="0" borderId="0"/>
    <xf numFmtId="0" fontId="219" fillId="0" borderId="0" applyNumberFormat="0" applyFill="0" applyBorder="0" applyAlignment="0" applyProtection="0"/>
    <xf numFmtId="9" fontId="16" fillId="0" borderId="0" applyFont="0" applyFill="0" applyBorder="0" applyAlignment="0" applyProtection="0"/>
    <xf numFmtId="0" fontId="218"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165" fontId="66" fillId="0" borderId="0" applyFont="0" applyFill="0" applyBorder="0" applyAlignment="0" applyProtection="0"/>
    <xf numFmtId="0" fontId="15" fillId="0" borderId="0"/>
    <xf numFmtId="0" fontId="15" fillId="0" borderId="0"/>
    <xf numFmtId="0" fontId="231" fillId="67" borderId="0"/>
    <xf numFmtId="0" fontId="14" fillId="0" borderId="0"/>
    <xf numFmtId="9" fontId="238"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9" fontId="66" fillId="0" borderId="0" applyFont="0" applyFill="0" applyBorder="0" applyAlignment="0" applyProtection="0"/>
    <xf numFmtId="0" fontId="12" fillId="0" borderId="0"/>
    <xf numFmtId="0" fontId="244" fillId="0" borderId="0"/>
    <xf numFmtId="0" fontId="160" fillId="45" borderId="0" applyNumberFormat="0" applyBorder="0" applyAlignment="0" applyProtection="0"/>
    <xf numFmtId="0" fontId="160" fillId="45"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8" borderId="0" applyNumberFormat="0" applyBorder="0" applyAlignment="0" applyProtection="0"/>
    <xf numFmtId="0" fontId="160" fillId="48"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4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60" fillId="4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246"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246" fillId="45" borderId="0" applyNumberFormat="0" applyBorder="0" applyAlignment="0" applyProtection="0"/>
    <xf numFmtId="0" fontId="246" fillId="4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51"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60" fillId="46"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60" fillId="46"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246"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246" fillId="46" borderId="0" applyNumberFormat="0" applyBorder="0" applyAlignment="0" applyProtection="0"/>
    <xf numFmtId="0" fontId="246" fillId="46"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60" fillId="46" borderId="0" applyNumberFormat="0" applyBorder="0" applyAlignment="0" applyProtection="0"/>
    <xf numFmtId="0" fontId="160" fillId="46"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51"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60" fillId="4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60" fillId="4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246"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246" fillId="47" borderId="0" applyNumberFormat="0" applyBorder="0" applyAlignment="0" applyProtection="0"/>
    <xf numFmtId="0" fontId="246" fillId="4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51"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60" fillId="48"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60" fillId="48"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60" fillId="48" borderId="0" applyNumberFormat="0" applyBorder="0" applyAlignment="0" applyProtection="0"/>
    <xf numFmtId="0" fontId="160" fillId="48" borderId="0" applyNumberFormat="0" applyBorder="0" applyAlignment="0" applyProtection="0"/>
    <xf numFmtId="0" fontId="160" fillId="48" borderId="0" applyNumberFormat="0" applyBorder="0" applyAlignment="0" applyProtection="0"/>
    <xf numFmtId="0" fontId="246" fillId="48" borderId="0" applyNumberFormat="0" applyBorder="0" applyAlignment="0" applyProtection="0"/>
    <xf numFmtId="0" fontId="160" fillId="48" borderId="0" applyNumberFormat="0" applyBorder="0" applyAlignment="0" applyProtection="0"/>
    <xf numFmtId="0" fontId="160" fillId="48" borderId="0" applyNumberFormat="0" applyBorder="0" applyAlignment="0" applyProtection="0"/>
    <xf numFmtId="0" fontId="160" fillId="48" borderId="0" applyNumberFormat="0" applyBorder="0" applyAlignment="0" applyProtection="0"/>
    <xf numFmtId="0" fontId="160" fillId="48" borderId="0" applyNumberFormat="0" applyBorder="0" applyAlignment="0" applyProtection="0"/>
    <xf numFmtId="0" fontId="246" fillId="48" borderId="0" applyNumberFormat="0" applyBorder="0" applyAlignment="0" applyProtection="0"/>
    <xf numFmtId="0" fontId="246" fillId="48"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60" fillId="48" borderId="0" applyNumberFormat="0" applyBorder="0" applyAlignment="0" applyProtection="0"/>
    <xf numFmtId="0" fontId="160" fillId="48"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51"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60" fillId="49"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246"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246" fillId="49" borderId="0" applyNumberFormat="0" applyBorder="0" applyAlignment="0" applyProtection="0"/>
    <xf numFmtId="0" fontId="246" fillId="49"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60" fillId="49"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51"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60" fillId="5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246"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246" fillId="50" borderId="0" applyNumberFormat="0" applyBorder="0" applyAlignment="0" applyProtection="0"/>
    <xf numFmtId="0" fontId="246" fillId="5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0"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51"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48" borderId="0" applyNumberFormat="0" applyBorder="0" applyAlignment="0" applyProtection="0"/>
    <xf numFmtId="0" fontId="160" fillId="48"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60" fillId="51"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246"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60" fillId="51"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51"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60" fillId="5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246"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160" fillId="52" borderId="0" applyNumberFormat="0" applyBorder="0" applyAlignment="0" applyProtection="0"/>
    <xf numFmtId="0" fontId="246" fillId="52" borderId="0" applyNumberFormat="0" applyBorder="0" applyAlignment="0" applyProtection="0"/>
    <xf numFmtId="0" fontId="246" fillId="5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60" fillId="5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51"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60" fillId="5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60" fillId="5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246"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246" fillId="53" borderId="0" applyNumberFormat="0" applyBorder="0" applyAlignment="0" applyProtection="0"/>
    <xf numFmtId="0" fontId="246" fillId="5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60" fillId="53" borderId="0" applyNumberFormat="0" applyBorder="0" applyAlignment="0" applyProtection="0"/>
    <xf numFmtId="0" fontId="160" fillId="5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51"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60" fillId="4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60" fillId="48" borderId="0" applyNumberFormat="0" applyBorder="0" applyAlignment="0" applyProtection="0"/>
    <xf numFmtId="0" fontId="160" fillId="48" borderId="0" applyNumberFormat="0" applyBorder="0" applyAlignment="0" applyProtection="0"/>
    <xf numFmtId="0" fontId="160" fillId="48" borderId="0" applyNumberFormat="0" applyBorder="0" applyAlignment="0" applyProtection="0"/>
    <xf numFmtId="0" fontId="246" fillId="48" borderId="0" applyNumberFormat="0" applyBorder="0" applyAlignment="0" applyProtection="0"/>
    <xf numFmtId="0" fontId="160" fillId="48" borderId="0" applyNumberFormat="0" applyBorder="0" applyAlignment="0" applyProtection="0"/>
    <xf numFmtId="0" fontId="160" fillId="48" borderId="0" applyNumberFormat="0" applyBorder="0" applyAlignment="0" applyProtection="0"/>
    <xf numFmtId="0" fontId="160" fillId="48" borderId="0" applyNumberFormat="0" applyBorder="0" applyAlignment="0" applyProtection="0"/>
    <xf numFmtId="0" fontId="160" fillId="48" borderId="0" applyNumberFormat="0" applyBorder="0" applyAlignment="0" applyProtection="0"/>
    <xf numFmtId="0" fontId="246" fillId="48" borderId="0" applyNumberFormat="0" applyBorder="0" applyAlignment="0" applyProtection="0"/>
    <xf numFmtId="0" fontId="246" fillId="4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60" fillId="48"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51"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60" fillId="51"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246"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246" fillId="51" borderId="0" applyNumberFormat="0" applyBorder="0" applyAlignment="0" applyProtection="0"/>
    <xf numFmtId="0" fontId="246" fillId="51"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60" fillId="51"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51"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60" fillId="54"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246"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246" fillId="54" borderId="0" applyNumberFormat="0" applyBorder="0" applyAlignment="0" applyProtection="0"/>
    <xf numFmtId="0" fontId="246" fillId="54"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60" fillId="54"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51"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247" fillId="55" borderId="0" applyNumberFormat="0" applyBorder="0" applyAlignment="0" applyProtection="0"/>
    <xf numFmtId="0" fontId="190" fillId="55" borderId="0" applyNumberFormat="0" applyBorder="0" applyAlignment="0" applyProtection="0"/>
    <xf numFmtId="0" fontId="190" fillId="55" borderId="0" applyNumberFormat="0" applyBorder="0" applyAlignment="0" applyProtection="0"/>
    <xf numFmtId="0" fontId="190" fillId="55" borderId="0" applyNumberFormat="0" applyBorder="0" applyAlignment="0" applyProtection="0"/>
    <xf numFmtId="0" fontId="190" fillId="55" borderId="0" applyNumberFormat="0" applyBorder="0" applyAlignment="0" applyProtection="0"/>
    <xf numFmtId="0" fontId="190" fillId="55" borderId="0" applyNumberFormat="0" applyBorder="0" applyAlignment="0" applyProtection="0"/>
    <xf numFmtId="0" fontId="190" fillId="55" borderId="0" applyNumberFormat="0" applyBorder="0" applyAlignment="0" applyProtection="0"/>
    <xf numFmtId="0" fontId="190" fillId="55" borderId="0" applyNumberFormat="0" applyBorder="0" applyAlignment="0" applyProtection="0"/>
    <xf numFmtId="0" fontId="247" fillId="55" borderId="0" applyNumberFormat="0" applyBorder="0" applyAlignment="0" applyProtection="0"/>
    <xf numFmtId="0" fontId="247" fillId="55" borderId="0" applyNumberFormat="0" applyBorder="0" applyAlignment="0" applyProtection="0"/>
    <xf numFmtId="0" fontId="148" fillId="21" borderId="0" applyNumberFormat="0" applyBorder="0" applyAlignment="0" applyProtection="0"/>
    <xf numFmtId="0" fontId="190" fillId="55" borderId="0" applyNumberFormat="0" applyBorder="0" applyAlignment="0" applyProtection="0"/>
    <xf numFmtId="0" fontId="12" fillId="21" borderId="0" applyNumberFormat="0" applyBorder="0" applyAlignment="0" applyProtection="0"/>
    <xf numFmtId="0" fontId="248" fillId="21" borderId="0" applyNumberFormat="0" applyBorder="0" applyAlignment="0" applyProtection="0"/>
    <xf numFmtId="0" fontId="148" fillId="21" borderId="0" applyNumberFormat="0" applyBorder="0" applyAlignment="0" applyProtection="0"/>
    <xf numFmtId="0" fontId="148" fillId="21" borderId="0" applyNumberFormat="0" applyBorder="0" applyAlignment="0" applyProtection="0"/>
    <xf numFmtId="0" fontId="247"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190" fillId="52" borderId="0" applyNumberFormat="0" applyBorder="0" applyAlignment="0" applyProtection="0"/>
    <xf numFmtId="0" fontId="247" fillId="52" borderId="0" applyNumberFormat="0" applyBorder="0" applyAlignment="0" applyProtection="0"/>
    <xf numFmtId="0" fontId="247" fillId="52" borderId="0" applyNumberFormat="0" applyBorder="0" applyAlignment="0" applyProtection="0"/>
    <xf numFmtId="0" fontId="148" fillId="25" borderId="0" applyNumberFormat="0" applyBorder="0" applyAlignment="0" applyProtection="0"/>
    <xf numFmtId="0" fontId="190" fillId="52" borderId="0" applyNumberFormat="0" applyBorder="0" applyAlignment="0" applyProtection="0"/>
    <xf numFmtId="0" fontId="12" fillId="25" borderId="0" applyNumberFormat="0" applyBorder="0" applyAlignment="0" applyProtection="0"/>
    <xf numFmtId="0" fontId="248" fillId="25" borderId="0" applyNumberFormat="0" applyBorder="0" applyAlignment="0" applyProtection="0"/>
    <xf numFmtId="0" fontId="148" fillId="25" borderId="0" applyNumberFormat="0" applyBorder="0" applyAlignment="0" applyProtection="0"/>
    <xf numFmtId="0" fontId="148" fillId="25" borderId="0" applyNumberFormat="0" applyBorder="0" applyAlignment="0" applyProtection="0"/>
    <xf numFmtId="0" fontId="190" fillId="53" borderId="0" applyNumberFormat="0" applyBorder="0" applyAlignment="0" applyProtection="0"/>
    <xf numFmtId="0" fontId="148" fillId="29"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247" fillId="53"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247" fillId="53" borderId="0" applyNumberFormat="0" applyBorder="0" applyAlignment="0" applyProtection="0"/>
    <xf numFmtId="0" fontId="247" fillId="53" borderId="0" applyNumberFormat="0" applyBorder="0" applyAlignment="0" applyProtection="0"/>
    <xf numFmtId="0" fontId="190" fillId="53" borderId="0" applyNumberFormat="0" applyBorder="0" applyAlignment="0" applyProtection="0"/>
    <xf numFmtId="0" fontId="190" fillId="53" borderId="0" applyNumberFormat="0" applyBorder="0" applyAlignment="0" applyProtection="0"/>
    <xf numFmtId="0" fontId="148" fillId="29" borderId="0" applyNumberFormat="0" applyBorder="0" applyAlignment="0" applyProtection="0"/>
    <xf numFmtId="0" fontId="248" fillId="29" borderId="0" applyNumberFormat="0" applyBorder="0" applyAlignment="0" applyProtection="0"/>
    <xf numFmtId="0" fontId="148" fillId="29" borderId="0" applyNumberFormat="0" applyBorder="0" applyAlignment="0" applyProtection="0"/>
    <xf numFmtId="0" fontId="148" fillId="29" borderId="0" applyNumberFormat="0" applyBorder="0" applyAlignment="0" applyProtection="0"/>
    <xf numFmtId="0" fontId="148" fillId="29" borderId="0" applyNumberFormat="0" applyBorder="0" applyAlignment="0" applyProtection="0"/>
    <xf numFmtId="0" fontId="12" fillId="29" borderId="0" applyNumberFormat="0" applyBorder="0" applyAlignment="0" applyProtection="0"/>
    <xf numFmtId="0" fontId="148" fillId="29" borderId="0" applyNumberFormat="0" applyBorder="0" applyAlignment="0" applyProtection="0"/>
    <xf numFmtId="0" fontId="148" fillId="29" borderId="0" applyNumberFormat="0" applyBorder="0" applyAlignment="0" applyProtection="0"/>
    <xf numFmtId="0" fontId="148" fillId="29" borderId="0" applyNumberFormat="0" applyBorder="0" applyAlignment="0" applyProtection="0"/>
    <xf numFmtId="0" fontId="148" fillId="29" borderId="0" applyNumberFormat="0" applyBorder="0" applyAlignment="0" applyProtection="0"/>
    <xf numFmtId="0" fontId="190" fillId="56" borderId="0" applyNumberFormat="0" applyBorder="0" applyAlignment="0" applyProtection="0"/>
    <xf numFmtId="0" fontId="148" fillId="33" borderId="0" applyNumberFormat="0" applyBorder="0" applyAlignment="0" applyProtection="0"/>
    <xf numFmtId="0" fontId="190" fillId="56" borderId="0" applyNumberFormat="0" applyBorder="0" applyAlignment="0" applyProtection="0"/>
    <xf numFmtId="0" fontId="190" fillId="56" borderId="0" applyNumberFormat="0" applyBorder="0" applyAlignment="0" applyProtection="0"/>
    <xf numFmtId="0" fontId="190" fillId="56" borderId="0" applyNumberFormat="0" applyBorder="0" applyAlignment="0" applyProtection="0"/>
    <xf numFmtId="0" fontId="247" fillId="56" borderId="0" applyNumberFormat="0" applyBorder="0" applyAlignment="0" applyProtection="0"/>
    <xf numFmtId="0" fontId="190" fillId="56" borderId="0" applyNumberFormat="0" applyBorder="0" applyAlignment="0" applyProtection="0"/>
    <xf numFmtId="0" fontId="190" fillId="56" borderId="0" applyNumberFormat="0" applyBorder="0" applyAlignment="0" applyProtection="0"/>
    <xf numFmtId="0" fontId="190" fillId="56" borderId="0" applyNumberFormat="0" applyBorder="0" applyAlignment="0" applyProtection="0"/>
    <xf numFmtId="0" fontId="190" fillId="56" borderId="0" applyNumberFormat="0" applyBorder="0" applyAlignment="0" applyProtection="0"/>
    <xf numFmtId="0" fontId="247" fillId="56" borderId="0" applyNumberFormat="0" applyBorder="0" applyAlignment="0" applyProtection="0"/>
    <xf numFmtId="0" fontId="247" fillId="56" borderId="0" applyNumberFormat="0" applyBorder="0" applyAlignment="0" applyProtection="0"/>
    <xf numFmtId="0" fontId="190" fillId="56" borderId="0" applyNumberFormat="0" applyBorder="0" applyAlignment="0" applyProtection="0"/>
    <xf numFmtId="0" fontId="190" fillId="56" borderId="0" applyNumberFormat="0" applyBorder="0" applyAlignment="0" applyProtection="0"/>
    <xf numFmtId="0" fontId="148" fillId="33" borderId="0" applyNumberFormat="0" applyBorder="0" applyAlignment="0" applyProtection="0"/>
    <xf numFmtId="0" fontId="248" fillId="33" borderId="0" applyNumberFormat="0" applyBorder="0" applyAlignment="0" applyProtection="0"/>
    <xf numFmtId="0" fontId="148" fillId="33" borderId="0" applyNumberFormat="0" applyBorder="0" applyAlignment="0" applyProtection="0"/>
    <xf numFmtId="0" fontId="148" fillId="33" borderId="0" applyNumberFormat="0" applyBorder="0" applyAlignment="0" applyProtection="0"/>
    <xf numFmtId="0" fontId="148" fillId="33" borderId="0" applyNumberFormat="0" applyBorder="0" applyAlignment="0" applyProtection="0"/>
    <xf numFmtId="0" fontId="12" fillId="33" borderId="0" applyNumberFormat="0" applyBorder="0" applyAlignment="0" applyProtection="0"/>
    <xf numFmtId="0" fontId="148" fillId="33" borderId="0" applyNumberFormat="0" applyBorder="0" applyAlignment="0" applyProtection="0"/>
    <xf numFmtId="0" fontId="148" fillId="33" borderId="0" applyNumberFormat="0" applyBorder="0" applyAlignment="0" applyProtection="0"/>
    <xf numFmtId="0" fontId="148" fillId="33" borderId="0" applyNumberFormat="0" applyBorder="0" applyAlignment="0" applyProtection="0"/>
    <xf numFmtId="0" fontId="148" fillId="33" borderId="0" applyNumberFormat="0" applyBorder="0" applyAlignment="0" applyProtection="0"/>
    <xf numFmtId="0" fontId="247"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247" fillId="57" borderId="0" applyNumberFormat="0" applyBorder="0" applyAlignment="0" applyProtection="0"/>
    <xf numFmtId="0" fontId="247" fillId="57" borderId="0" applyNumberFormat="0" applyBorder="0" applyAlignment="0" applyProtection="0"/>
    <xf numFmtId="0" fontId="148" fillId="37" borderId="0" applyNumberFormat="0" applyBorder="0" applyAlignment="0" applyProtection="0"/>
    <xf numFmtId="0" fontId="190" fillId="57" borderId="0" applyNumberFormat="0" applyBorder="0" applyAlignment="0" applyProtection="0"/>
    <xf numFmtId="0" fontId="12" fillId="37" borderId="0" applyNumberFormat="0" applyBorder="0" applyAlignment="0" applyProtection="0"/>
    <xf numFmtId="0" fontId="248" fillId="37" borderId="0" applyNumberFormat="0" applyBorder="0" applyAlignment="0" applyProtection="0"/>
    <xf numFmtId="0" fontId="148" fillId="37" borderId="0" applyNumberFormat="0" applyBorder="0" applyAlignment="0" applyProtection="0"/>
    <xf numFmtId="0" fontId="148" fillId="37" borderId="0" applyNumberFormat="0" applyBorder="0" applyAlignment="0" applyProtection="0"/>
    <xf numFmtId="0" fontId="190" fillId="58" borderId="0" applyNumberFormat="0" applyBorder="0" applyAlignment="0" applyProtection="0"/>
    <xf numFmtId="0" fontId="148" fillId="41" borderId="0" applyNumberFormat="0" applyBorder="0" applyAlignment="0" applyProtection="0"/>
    <xf numFmtId="0" fontId="190" fillId="58" borderId="0" applyNumberFormat="0" applyBorder="0" applyAlignment="0" applyProtection="0"/>
    <xf numFmtId="0" fontId="190" fillId="58" borderId="0" applyNumberFormat="0" applyBorder="0" applyAlignment="0" applyProtection="0"/>
    <xf numFmtId="0" fontId="190" fillId="58" borderId="0" applyNumberFormat="0" applyBorder="0" applyAlignment="0" applyProtection="0"/>
    <xf numFmtId="0" fontId="247" fillId="58" borderId="0" applyNumberFormat="0" applyBorder="0" applyAlignment="0" applyProtection="0"/>
    <xf numFmtId="0" fontId="190" fillId="58" borderId="0" applyNumberFormat="0" applyBorder="0" applyAlignment="0" applyProtection="0"/>
    <xf numFmtId="0" fontId="190" fillId="58" borderId="0" applyNumberFormat="0" applyBorder="0" applyAlignment="0" applyProtection="0"/>
    <xf numFmtId="0" fontId="190" fillId="58" borderId="0" applyNumberFormat="0" applyBorder="0" applyAlignment="0" applyProtection="0"/>
    <xf numFmtId="0" fontId="190" fillId="58" borderId="0" applyNumberFormat="0" applyBorder="0" applyAlignment="0" applyProtection="0"/>
    <xf numFmtId="0" fontId="247" fillId="58" borderId="0" applyNumberFormat="0" applyBorder="0" applyAlignment="0" applyProtection="0"/>
    <xf numFmtId="0" fontId="247" fillId="58" borderId="0" applyNumberFormat="0" applyBorder="0" applyAlignment="0" applyProtection="0"/>
    <xf numFmtId="0" fontId="190" fillId="58" borderId="0" applyNumberFormat="0" applyBorder="0" applyAlignment="0" applyProtection="0"/>
    <xf numFmtId="0" fontId="190" fillId="58" borderId="0" applyNumberFormat="0" applyBorder="0" applyAlignment="0" applyProtection="0"/>
    <xf numFmtId="0" fontId="148" fillId="41" borderId="0" applyNumberFormat="0" applyBorder="0" applyAlignment="0" applyProtection="0"/>
    <xf numFmtId="0" fontId="2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2"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148" fillId="41" borderId="0" applyNumberFormat="0" applyBorder="0" applyAlignment="0" applyProtection="0"/>
    <xf numFmtId="0" fontId="66" fillId="0" borderId="0" applyNumberFormat="0" applyFill="0" applyBorder="0" applyAlignment="0" applyProtection="0"/>
    <xf numFmtId="0" fontId="249" fillId="47" borderId="0" applyNumberFormat="0" applyBorder="0" applyAlignment="0" applyProtection="0"/>
    <xf numFmtId="0" fontId="250" fillId="47" borderId="0" applyNumberFormat="0" applyBorder="0" applyAlignment="0" applyProtection="0"/>
    <xf numFmtId="0" fontId="249" fillId="47" borderId="0" applyNumberFormat="0" applyBorder="0" applyAlignment="0" applyProtection="0"/>
    <xf numFmtId="0" fontId="249" fillId="47" borderId="0" applyNumberFormat="0" applyBorder="0" applyAlignment="0" applyProtection="0"/>
    <xf numFmtId="0" fontId="249" fillId="47" borderId="0" applyNumberFormat="0" applyBorder="0" applyAlignment="0" applyProtection="0"/>
    <xf numFmtId="0" fontId="249" fillId="47" borderId="0" applyNumberFormat="0" applyBorder="0" applyAlignment="0" applyProtection="0"/>
    <xf numFmtId="0" fontId="249" fillId="47" borderId="0" applyNumberFormat="0" applyBorder="0" applyAlignment="0" applyProtection="0"/>
    <xf numFmtId="0" fontId="249" fillId="47" borderId="0" applyNumberFormat="0" applyBorder="0" applyAlignment="0" applyProtection="0"/>
    <xf numFmtId="0" fontId="249" fillId="47" borderId="0" applyNumberFormat="0" applyBorder="0" applyAlignment="0" applyProtection="0"/>
    <xf numFmtId="0" fontId="250" fillId="47" borderId="0" applyNumberFormat="0" applyBorder="0" applyAlignment="0" applyProtection="0"/>
    <xf numFmtId="0" fontId="250" fillId="47" borderId="0" applyNumberFormat="0" applyBorder="0" applyAlignment="0" applyProtection="0"/>
    <xf numFmtId="0" fontId="249" fillId="47" borderId="0" applyNumberFormat="0" applyBorder="0" applyAlignment="0" applyProtection="0"/>
    <xf numFmtId="0" fontId="138" fillId="11" borderId="0" applyNumberFormat="0" applyBorder="0" applyAlignment="0" applyProtection="0"/>
    <xf numFmtId="0" fontId="251"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38" fillId="11" borderId="0" applyNumberFormat="0" applyBorder="0" applyAlignment="0" applyProtection="0"/>
    <xf numFmtId="0" fontId="191" fillId="59" borderId="146" applyNumberFormat="0" applyAlignment="0" applyProtection="0"/>
    <xf numFmtId="0" fontId="252" fillId="59" borderId="146" applyNumberFormat="0" applyAlignment="0" applyProtection="0"/>
    <xf numFmtId="0" fontId="191" fillId="59" borderId="146" applyNumberFormat="0" applyAlignment="0" applyProtection="0"/>
    <xf numFmtId="0" fontId="191" fillId="59" borderId="146" applyNumberFormat="0" applyAlignment="0" applyProtection="0"/>
    <xf numFmtId="0" fontId="191" fillId="59" borderId="146" applyNumberFormat="0" applyAlignment="0" applyProtection="0"/>
    <xf numFmtId="0" fontId="191" fillId="59" borderId="146" applyNumberFormat="0" applyAlignment="0" applyProtection="0"/>
    <xf numFmtId="0" fontId="191" fillId="59" borderId="146" applyNumberFormat="0" applyAlignment="0" applyProtection="0"/>
    <xf numFmtId="0" fontId="191" fillId="59" borderId="146" applyNumberFormat="0" applyAlignment="0" applyProtection="0"/>
    <xf numFmtId="0" fontId="191" fillId="59" borderId="146" applyNumberFormat="0" applyAlignment="0" applyProtection="0"/>
    <xf numFmtId="0" fontId="252" fillId="59" borderId="146" applyNumberFormat="0" applyAlignment="0" applyProtection="0"/>
    <xf numFmtId="0" fontId="252" fillId="59" borderId="146" applyNumberFormat="0" applyAlignment="0" applyProtection="0"/>
    <xf numFmtId="0" fontId="143" fillId="15" borderId="50" applyNumberFormat="0" applyAlignment="0" applyProtection="0"/>
    <xf numFmtId="0" fontId="143" fillId="15" borderId="50" applyNumberFormat="0" applyAlignment="0" applyProtection="0"/>
    <xf numFmtId="0" fontId="191" fillId="59" borderId="146" applyNumberFormat="0" applyAlignment="0" applyProtection="0"/>
    <xf numFmtId="0" fontId="253" fillId="15" borderId="50" applyNumberFormat="0" applyAlignment="0" applyProtection="0"/>
    <xf numFmtId="0" fontId="143" fillId="15" borderId="50" applyNumberFormat="0" applyAlignment="0" applyProtection="0"/>
    <xf numFmtId="0" fontId="143" fillId="15" borderId="50" applyNumberFormat="0" applyAlignment="0" applyProtection="0"/>
    <xf numFmtId="0" fontId="254" fillId="60" borderId="69" applyNumberFormat="0" applyAlignment="0" applyProtection="0"/>
    <xf numFmtId="0" fontId="192" fillId="60" borderId="69" applyNumberFormat="0" applyAlignment="0" applyProtection="0"/>
    <xf numFmtId="0" fontId="192" fillId="60" borderId="69" applyNumberFormat="0" applyAlignment="0" applyProtection="0"/>
    <xf numFmtId="0" fontId="192" fillId="60" borderId="69" applyNumberFormat="0" applyAlignment="0" applyProtection="0"/>
    <xf numFmtId="0" fontId="192" fillId="60" borderId="69" applyNumberFormat="0" applyAlignment="0" applyProtection="0"/>
    <xf numFmtId="0" fontId="192" fillId="60" borderId="69" applyNumberFormat="0" applyAlignment="0" applyProtection="0"/>
    <xf numFmtId="0" fontId="192" fillId="60" borderId="69" applyNumberFormat="0" applyAlignment="0" applyProtection="0"/>
    <xf numFmtId="0" fontId="192" fillId="60" borderId="69" applyNumberFormat="0" applyAlignment="0" applyProtection="0"/>
    <xf numFmtId="0" fontId="254" fillId="60" borderId="69" applyNumberFormat="0" applyAlignment="0" applyProtection="0"/>
    <xf numFmtId="0" fontId="254" fillId="60" borderId="69" applyNumberFormat="0" applyAlignment="0" applyProtection="0"/>
    <xf numFmtId="0" fontId="145" fillId="16" borderId="53" applyNumberFormat="0" applyAlignment="0" applyProtection="0"/>
    <xf numFmtId="0" fontId="145" fillId="16" borderId="53" applyNumberFormat="0" applyAlignment="0" applyProtection="0"/>
    <xf numFmtId="0" fontId="192" fillId="60" borderId="69" applyNumberFormat="0" applyAlignment="0" applyProtection="0"/>
    <xf numFmtId="0" fontId="255" fillId="16" borderId="53" applyNumberFormat="0" applyAlignment="0" applyProtection="0"/>
    <xf numFmtId="0" fontId="145" fillId="16" borderId="53" applyNumberFormat="0" applyAlignment="0" applyProtection="0"/>
    <xf numFmtId="0" fontId="145" fillId="16" borderId="53" applyNumberFormat="0" applyAlignment="0" applyProtection="0"/>
    <xf numFmtId="0" fontId="256" fillId="0" borderId="70" applyNumberFormat="0" applyFill="0" applyAlignment="0" applyProtection="0"/>
    <xf numFmtId="0" fontId="193" fillId="0" borderId="70" applyNumberFormat="0" applyFill="0" applyAlignment="0" applyProtection="0"/>
    <xf numFmtId="0" fontId="193" fillId="0" borderId="70" applyNumberFormat="0" applyFill="0" applyAlignment="0" applyProtection="0"/>
    <xf numFmtId="0" fontId="193" fillId="0" borderId="70" applyNumberFormat="0" applyFill="0" applyAlignment="0" applyProtection="0"/>
    <xf numFmtId="0" fontId="193" fillId="0" borderId="70" applyNumberFormat="0" applyFill="0" applyAlignment="0" applyProtection="0"/>
    <xf numFmtId="0" fontId="193" fillId="0" borderId="70" applyNumberFormat="0" applyFill="0" applyAlignment="0" applyProtection="0"/>
    <xf numFmtId="0" fontId="193" fillId="0" borderId="70" applyNumberFormat="0" applyFill="0" applyAlignment="0" applyProtection="0"/>
    <xf numFmtId="0" fontId="193" fillId="0" borderId="70" applyNumberFormat="0" applyFill="0" applyAlignment="0" applyProtection="0"/>
    <xf numFmtId="0" fontId="256" fillId="0" borderId="70" applyNumberFormat="0" applyFill="0" applyAlignment="0" applyProtection="0"/>
    <xf numFmtId="0" fontId="256" fillId="0" borderId="70" applyNumberFormat="0" applyFill="0" applyAlignment="0" applyProtection="0"/>
    <xf numFmtId="0" fontId="144" fillId="0" borderId="52" applyNumberFormat="0" applyFill="0" applyAlignment="0" applyProtection="0"/>
    <xf numFmtId="0" fontId="144" fillId="0" borderId="52" applyNumberFormat="0" applyFill="0" applyAlignment="0" applyProtection="0"/>
    <xf numFmtId="0" fontId="193" fillId="0" borderId="70" applyNumberFormat="0" applyFill="0" applyAlignment="0" applyProtection="0"/>
    <xf numFmtId="0" fontId="257" fillId="0" borderId="52" applyNumberFormat="0" applyFill="0" applyAlignment="0" applyProtection="0"/>
    <xf numFmtId="0" fontId="144" fillId="0" borderId="52" applyNumberFormat="0" applyFill="0" applyAlignment="0" applyProtection="0"/>
    <xf numFmtId="0" fontId="144" fillId="0" borderId="52" applyNumberFormat="0" applyFill="0" applyAlignment="0" applyProtection="0"/>
    <xf numFmtId="0" fontId="192" fillId="60" borderId="69" applyNumberFormat="0" applyAlignment="0" applyProtection="0"/>
    <xf numFmtId="0" fontId="122" fillId="0" borderId="0">
      <protection locked="0"/>
    </xf>
    <xf numFmtId="0" fontId="258" fillId="0" borderId="0">
      <protection locked="0"/>
    </xf>
    <xf numFmtId="0" fontId="122" fillId="0" borderId="0">
      <protection locked="0"/>
    </xf>
    <xf numFmtId="0" fontId="258" fillId="0" borderId="0">
      <protection locked="0"/>
    </xf>
    <xf numFmtId="0" fontId="122" fillId="0" borderId="0">
      <protection locked="0"/>
    </xf>
    <xf numFmtId="219" fontId="150" fillId="0" borderId="0">
      <protection locked="0"/>
    </xf>
    <xf numFmtId="219" fontId="150" fillId="0" borderId="0">
      <protection locked="0"/>
    </xf>
    <xf numFmtId="0" fontId="135" fillId="0" borderId="47" applyNumberFormat="0" applyFill="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94" fillId="0" borderId="0" applyNumberFormat="0" applyFill="0" applyBorder="0" applyAlignment="0" applyProtection="0"/>
    <xf numFmtId="0" fontId="259"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247" fillId="61" borderId="0" applyNumberFormat="0" applyBorder="0" applyAlignment="0" applyProtection="0"/>
    <xf numFmtId="0" fontId="190" fillId="61" borderId="0" applyNumberFormat="0" applyBorder="0" applyAlignment="0" applyProtection="0"/>
    <xf numFmtId="0" fontId="190" fillId="61" borderId="0" applyNumberFormat="0" applyBorder="0" applyAlignment="0" applyProtection="0"/>
    <xf numFmtId="0" fontId="190" fillId="61" borderId="0" applyNumberFormat="0" applyBorder="0" applyAlignment="0" applyProtection="0"/>
    <xf numFmtId="0" fontId="190" fillId="61" borderId="0" applyNumberFormat="0" applyBorder="0" applyAlignment="0" applyProtection="0"/>
    <xf numFmtId="0" fontId="190" fillId="61" borderId="0" applyNumberFormat="0" applyBorder="0" applyAlignment="0" applyProtection="0"/>
    <xf numFmtId="0" fontId="190" fillId="61" borderId="0" applyNumberFormat="0" applyBorder="0" applyAlignment="0" applyProtection="0"/>
    <xf numFmtId="0" fontId="190" fillId="61" borderId="0" applyNumberFormat="0" applyBorder="0" applyAlignment="0" applyProtection="0"/>
    <xf numFmtId="0" fontId="247" fillId="61" borderId="0" applyNumberFormat="0" applyBorder="0" applyAlignment="0" applyProtection="0"/>
    <xf numFmtId="0" fontId="247" fillId="61"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190" fillId="61" borderId="0" applyNumberFormat="0" applyBorder="0" applyAlignment="0" applyProtection="0"/>
    <xf numFmtId="0" fontId="248" fillId="18" borderId="0" applyNumberFormat="0" applyBorder="0" applyAlignment="0" applyProtection="0"/>
    <xf numFmtId="0" fontId="148" fillId="18" borderId="0" applyNumberFormat="0" applyBorder="0" applyAlignment="0" applyProtection="0"/>
    <xf numFmtId="0" fontId="148" fillId="18" borderId="0" applyNumberFormat="0" applyBorder="0" applyAlignment="0" applyProtection="0"/>
    <xf numFmtId="0" fontId="247" fillId="62" borderId="0" applyNumberFormat="0" applyBorder="0" applyAlignment="0" applyProtection="0"/>
    <xf numFmtId="0" fontId="190" fillId="62" borderId="0" applyNumberFormat="0" applyBorder="0" applyAlignment="0" applyProtection="0"/>
    <xf numFmtId="0" fontId="190" fillId="62" borderId="0" applyNumberFormat="0" applyBorder="0" applyAlignment="0" applyProtection="0"/>
    <xf numFmtId="0" fontId="190" fillId="62" borderId="0" applyNumberFormat="0" applyBorder="0" applyAlignment="0" applyProtection="0"/>
    <xf numFmtId="0" fontId="190" fillId="62" borderId="0" applyNumberFormat="0" applyBorder="0" applyAlignment="0" applyProtection="0"/>
    <xf numFmtId="0" fontId="190" fillId="62" borderId="0" applyNumberFormat="0" applyBorder="0" applyAlignment="0" applyProtection="0"/>
    <xf numFmtId="0" fontId="190" fillId="62" borderId="0" applyNumberFormat="0" applyBorder="0" applyAlignment="0" applyProtection="0"/>
    <xf numFmtId="0" fontId="190" fillId="62" borderId="0" applyNumberFormat="0" applyBorder="0" applyAlignment="0" applyProtection="0"/>
    <xf numFmtId="0" fontId="247" fillId="62" borderId="0" applyNumberFormat="0" applyBorder="0" applyAlignment="0" applyProtection="0"/>
    <xf numFmtId="0" fontId="247" fillId="6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190" fillId="62" borderId="0" applyNumberFormat="0" applyBorder="0" applyAlignment="0" applyProtection="0"/>
    <xf numFmtId="0" fontId="248" fillId="22" borderId="0" applyNumberFormat="0" applyBorder="0" applyAlignment="0" applyProtection="0"/>
    <xf numFmtId="0" fontId="148" fillId="22" borderId="0" applyNumberFormat="0" applyBorder="0" applyAlignment="0" applyProtection="0"/>
    <xf numFmtId="0" fontId="148" fillId="22" borderId="0" applyNumberFormat="0" applyBorder="0" applyAlignment="0" applyProtection="0"/>
    <xf numFmtId="0" fontId="247" fillId="63" borderId="0" applyNumberFormat="0" applyBorder="0" applyAlignment="0" applyProtection="0"/>
    <xf numFmtId="0" fontId="190" fillId="63" borderId="0" applyNumberFormat="0" applyBorder="0" applyAlignment="0" applyProtection="0"/>
    <xf numFmtId="0" fontId="190" fillId="63" borderId="0" applyNumberFormat="0" applyBorder="0" applyAlignment="0" applyProtection="0"/>
    <xf numFmtId="0" fontId="190" fillId="63" borderId="0" applyNumberFormat="0" applyBorder="0" applyAlignment="0" applyProtection="0"/>
    <xf numFmtId="0" fontId="190" fillId="63" borderId="0" applyNumberFormat="0" applyBorder="0" applyAlignment="0" applyProtection="0"/>
    <xf numFmtId="0" fontId="190" fillId="63" borderId="0" applyNumberFormat="0" applyBorder="0" applyAlignment="0" applyProtection="0"/>
    <xf numFmtId="0" fontId="190" fillId="63" borderId="0" applyNumberFormat="0" applyBorder="0" applyAlignment="0" applyProtection="0"/>
    <xf numFmtId="0" fontId="190" fillId="63" borderId="0" applyNumberFormat="0" applyBorder="0" applyAlignment="0" applyProtection="0"/>
    <xf numFmtId="0" fontId="247" fillId="63" borderId="0" applyNumberFormat="0" applyBorder="0" applyAlignment="0" applyProtection="0"/>
    <xf numFmtId="0" fontId="247" fillId="63"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190" fillId="63" borderId="0" applyNumberFormat="0" applyBorder="0" applyAlignment="0" applyProtection="0"/>
    <xf numFmtId="0" fontId="248" fillId="26" borderId="0" applyNumberFormat="0" applyBorder="0" applyAlignment="0" applyProtection="0"/>
    <xf numFmtId="0" fontId="148" fillId="26" borderId="0" applyNumberFormat="0" applyBorder="0" applyAlignment="0" applyProtection="0"/>
    <xf numFmtId="0" fontId="148" fillId="26" borderId="0" applyNumberFormat="0" applyBorder="0" applyAlignment="0" applyProtection="0"/>
    <xf numFmtId="0" fontId="247" fillId="56" borderId="0" applyNumberFormat="0" applyBorder="0" applyAlignment="0" applyProtection="0"/>
    <xf numFmtId="0" fontId="190" fillId="56" borderId="0" applyNumberFormat="0" applyBorder="0" applyAlignment="0" applyProtection="0"/>
    <xf numFmtId="0" fontId="190" fillId="56" borderId="0" applyNumberFormat="0" applyBorder="0" applyAlignment="0" applyProtection="0"/>
    <xf numFmtId="0" fontId="190" fillId="56" borderId="0" applyNumberFormat="0" applyBorder="0" applyAlignment="0" applyProtection="0"/>
    <xf numFmtId="0" fontId="190" fillId="56" borderId="0" applyNumberFormat="0" applyBorder="0" applyAlignment="0" applyProtection="0"/>
    <xf numFmtId="0" fontId="190" fillId="56" borderId="0" applyNumberFormat="0" applyBorder="0" applyAlignment="0" applyProtection="0"/>
    <xf numFmtId="0" fontId="190" fillId="56" borderId="0" applyNumberFormat="0" applyBorder="0" applyAlignment="0" applyProtection="0"/>
    <xf numFmtId="0" fontId="190" fillId="56" borderId="0" applyNumberFormat="0" applyBorder="0" applyAlignment="0" applyProtection="0"/>
    <xf numFmtId="0" fontId="247" fillId="56" borderId="0" applyNumberFormat="0" applyBorder="0" applyAlignment="0" applyProtection="0"/>
    <xf numFmtId="0" fontId="247" fillId="56"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190" fillId="56" borderId="0" applyNumberFormat="0" applyBorder="0" applyAlignment="0" applyProtection="0"/>
    <xf numFmtId="0" fontId="248" fillId="30" borderId="0" applyNumberFormat="0" applyBorder="0" applyAlignment="0" applyProtection="0"/>
    <xf numFmtId="0" fontId="148" fillId="30" borderId="0" applyNumberFormat="0" applyBorder="0" applyAlignment="0" applyProtection="0"/>
    <xf numFmtId="0" fontId="148" fillId="30" borderId="0" applyNumberFormat="0" applyBorder="0" applyAlignment="0" applyProtection="0"/>
    <xf numFmtId="0" fontId="247"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190" fillId="57" borderId="0" applyNumberFormat="0" applyBorder="0" applyAlignment="0" applyProtection="0"/>
    <xf numFmtId="0" fontId="247" fillId="57" borderId="0" applyNumberFormat="0" applyBorder="0" applyAlignment="0" applyProtection="0"/>
    <xf numFmtId="0" fontId="247" fillId="57" borderId="0" applyNumberFormat="0" applyBorder="0" applyAlignment="0" applyProtection="0"/>
    <xf numFmtId="0" fontId="148" fillId="34" borderId="0" applyNumberFormat="0" applyBorder="0" applyAlignment="0" applyProtection="0"/>
    <xf numFmtId="0" fontId="148" fillId="34" borderId="0" applyNumberFormat="0" applyBorder="0" applyAlignment="0" applyProtection="0"/>
    <xf numFmtId="0" fontId="190" fillId="57" borderId="0" applyNumberFormat="0" applyBorder="0" applyAlignment="0" applyProtection="0"/>
    <xf numFmtId="0" fontId="248" fillId="34" borderId="0" applyNumberFormat="0" applyBorder="0" applyAlignment="0" applyProtection="0"/>
    <xf numFmtId="0" fontId="148" fillId="34" borderId="0" applyNumberFormat="0" applyBorder="0" applyAlignment="0" applyProtection="0"/>
    <xf numFmtId="0" fontId="148" fillId="34" borderId="0" applyNumberFormat="0" applyBorder="0" applyAlignment="0" applyProtection="0"/>
    <xf numFmtId="0" fontId="247" fillId="64" borderId="0" applyNumberFormat="0" applyBorder="0" applyAlignment="0" applyProtection="0"/>
    <xf numFmtId="0" fontId="190" fillId="64" borderId="0" applyNumberFormat="0" applyBorder="0" applyAlignment="0" applyProtection="0"/>
    <xf numFmtId="0" fontId="190" fillId="64" borderId="0" applyNumberFormat="0" applyBorder="0" applyAlignment="0" applyProtection="0"/>
    <xf numFmtId="0" fontId="190" fillId="64" borderId="0" applyNumberFormat="0" applyBorder="0" applyAlignment="0" applyProtection="0"/>
    <xf numFmtId="0" fontId="190" fillId="64" borderId="0" applyNumberFormat="0" applyBorder="0" applyAlignment="0" applyProtection="0"/>
    <xf numFmtId="0" fontId="190" fillId="64" borderId="0" applyNumberFormat="0" applyBorder="0" applyAlignment="0" applyProtection="0"/>
    <xf numFmtId="0" fontId="190" fillId="64" borderId="0" applyNumberFormat="0" applyBorder="0" applyAlignment="0" applyProtection="0"/>
    <xf numFmtId="0" fontId="190" fillId="64" borderId="0" applyNumberFormat="0" applyBorder="0" applyAlignment="0" applyProtection="0"/>
    <xf numFmtId="0" fontId="247" fillId="64" borderId="0" applyNumberFormat="0" applyBorder="0" applyAlignment="0" applyProtection="0"/>
    <xf numFmtId="0" fontId="247" fillId="64"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90" fillId="64" borderId="0" applyNumberFormat="0" applyBorder="0" applyAlignment="0" applyProtection="0"/>
    <xf numFmtId="0" fontId="248" fillId="38" borderId="0" applyNumberFormat="0" applyBorder="0" applyAlignment="0" applyProtection="0"/>
    <xf numFmtId="0" fontId="148" fillId="38" borderId="0" applyNumberFormat="0" applyBorder="0" applyAlignment="0" applyProtection="0"/>
    <xf numFmtId="0" fontId="148" fillId="38" borderId="0" applyNumberFormat="0" applyBorder="0" applyAlignment="0" applyProtection="0"/>
    <xf numFmtId="0" fontId="195" fillId="50" borderId="146" applyNumberFormat="0" applyAlignment="0" applyProtection="0"/>
    <xf numFmtId="0" fontId="260" fillId="50" borderId="146" applyNumberFormat="0" applyAlignment="0" applyProtection="0"/>
    <xf numFmtId="0" fontId="195" fillId="50" borderId="146" applyNumberFormat="0" applyAlignment="0" applyProtection="0"/>
    <xf numFmtId="0" fontId="195" fillId="50" borderId="146" applyNumberFormat="0" applyAlignment="0" applyProtection="0"/>
    <xf numFmtId="0" fontId="195" fillId="50" borderId="146" applyNumberFormat="0" applyAlignment="0" applyProtection="0"/>
    <xf numFmtId="0" fontId="195" fillId="50" borderId="146" applyNumberFormat="0" applyAlignment="0" applyProtection="0"/>
    <xf numFmtId="0" fontId="195" fillId="50" borderId="146" applyNumberFormat="0" applyAlignment="0" applyProtection="0"/>
    <xf numFmtId="0" fontId="195" fillId="50" borderId="146" applyNumberFormat="0" applyAlignment="0" applyProtection="0"/>
    <xf numFmtId="0" fontId="195" fillId="50" borderId="146" applyNumberFormat="0" applyAlignment="0" applyProtection="0"/>
    <xf numFmtId="0" fontId="260" fillId="50" borderId="146" applyNumberFormat="0" applyAlignment="0" applyProtection="0"/>
    <xf numFmtId="0" fontId="260" fillId="50" borderId="146" applyNumberFormat="0" applyAlignment="0" applyProtection="0"/>
    <xf numFmtId="0" fontId="141" fillId="14" borderId="50" applyNumberFormat="0" applyAlignment="0" applyProtection="0"/>
    <xf numFmtId="0" fontId="141" fillId="14" borderId="50" applyNumberFormat="0" applyAlignment="0" applyProtection="0"/>
    <xf numFmtId="0" fontId="195" fillId="59" borderId="146" applyNumberFormat="0" applyAlignment="0" applyProtection="0"/>
    <xf numFmtId="0" fontId="195" fillId="59" borderId="146" applyNumberFormat="0" applyAlignment="0" applyProtection="0"/>
    <xf numFmtId="0" fontId="195" fillId="50" borderId="146" applyNumberFormat="0" applyAlignment="0" applyProtection="0"/>
    <xf numFmtId="0" fontId="261" fillId="14" borderId="50" applyNumberFormat="0" applyAlignment="0" applyProtection="0"/>
    <xf numFmtId="0" fontId="141" fillId="14" borderId="50" applyNumberFormat="0" applyAlignment="0" applyProtection="0"/>
    <xf numFmtId="0" fontId="141" fillId="14" borderId="50" applyNumberFormat="0" applyAlignment="0" applyProtection="0"/>
    <xf numFmtId="220" fontId="66" fillId="0" borderId="0" applyFont="0" applyFill="0" applyBorder="0" applyAlignment="0" applyProtection="0"/>
    <xf numFmtId="221" fontId="71" fillId="0" borderId="0" applyFont="0" applyFill="0" applyBorder="0" applyAlignment="0" applyProtection="0"/>
    <xf numFmtId="221" fontId="71" fillId="0" borderId="0" applyFont="0" applyFill="0" applyBorder="0" applyAlignment="0" applyProtection="0"/>
    <xf numFmtId="200" fontId="122" fillId="0" borderId="0">
      <protection locked="0"/>
    </xf>
    <xf numFmtId="0" fontId="122" fillId="0" borderId="0">
      <protection locked="0"/>
    </xf>
    <xf numFmtId="0" fontId="249" fillId="47" borderId="0" applyNumberFormat="0" applyBorder="0" applyAlignment="0" applyProtection="0"/>
    <xf numFmtId="0" fontId="202" fillId="0" borderId="74" applyNumberFormat="0" applyFill="0" applyAlignment="0" applyProtection="0"/>
    <xf numFmtId="0" fontId="194" fillId="0" borderId="0" applyNumberFormat="0" applyFill="0" applyBorder="0" applyAlignment="0" applyProtection="0"/>
    <xf numFmtId="0" fontId="150" fillId="0" borderId="0">
      <protection locked="0"/>
    </xf>
    <xf numFmtId="0" fontId="150" fillId="0" borderId="0">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262" fillId="46" borderId="0" applyNumberFormat="0" applyBorder="0" applyAlignment="0" applyProtection="0"/>
    <xf numFmtId="0" fontId="196" fillId="46" borderId="0" applyNumberFormat="0" applyBorder="0" applyAlignment="0" applyProtection="0"/>
    <xf numFmtId="0" fontId="196" fillId="46" borderId="0" applyNumberFormat="0" applyBorder="0" applyAlignment="0" applyProtection="0"/>
    <xf numFmtId="0" fontId="196" fillId="46" borderId="0" applyNumberFormat="0" applyBorder="0" applyAlignment="0" applyProtection="0"/>
    <xf numFmtId="0" fontId="196" fillId="46" borderId="0" applyNumberFormat="0" applyBorder="0" applyAlignment="0" applyProtection="0"/>
    <xf numFmtId="0" fontId="196" fillId="46" borderId="0" applyNumberFormat="0" applyBorder="0" applyAlignment="0" applyProtection="0"/>
    <xf numFmtId="0" fontId="196" fillId="46" borderId="0" applyNumberFormat="0" applyBorder="0" applyAlignment="0" applyProtection="0"/>
    <xf numFmtId="0" fontId="196" fillId="46" borderId="0" applyNumberFormat="0" applyBorder="0" applyAlignment="0" applyProtection="0"/>
    <xf numFmtId="0" fontId="262" fillId="46" borderId="0" applyNumberFormat="0" applyBorder="0" applyAlignment="0" applyProtection="0"/>
    <xf numFmtId="0" fontId="262" fillId="46" borderId="0" applyNumberFormat="0" applyBorder="0" applyAlignment="0" applyProtection="0"/>
    <xf numFmtId="0" fontId="139" fillId="12" borderId="0" applyNumberFormat="0" applyBorder="0" applyAlignment="0" applyProtection="0"/>
    <xf numFmtId="0" fontId="139" fillId="12" borderId="0" applyNumberFormat="0" applyBorder="0" applyAlignment="0" applyProtection="0"/>
    <xf numFmtId="0" fontId="196" fillId="46" borderId="0" applyNumberFormat="0" applyBorder="0" applyAlignment="0" applyProtection="0"/>
    <xf numFmtId="0" fontId="263" fillId="12" borderId="0" applyNumberFormat="0" applyBorder="0" applyAlignment="0" applyProtection="0"/>
    <xf numFmtId="0" fontId="139" fillId="12" borderId="0" applyNumberFormat="0" applyBorder="0" applyAlignment="0" applyProtection="0"/>
    <xf numFmtId="0" fontId="139" fillId="12" borderId="0" applyNumberFormat="0" applyBorder="0" applyAlignment="0" applyProtection="0"/>
    <xf numFmtId="0" fontId="195" fillId="50" borderId="146" applyNumberFormat="0" applyAlignment="0" applyProtection="0"/>
    <xf numFmtId="0" fontId="193" fillId="0" borderId="70" applyNumberFormat="0" applyFill="0" applyAlignment="0" applyProtection="0"/>
    <xf numFmtId="207"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43" fontId="264" fillId="0" borderId="0" applyFont="0" applyFill="0" applyBorder="0" applyAlignment="0" applyProtection="0"/>
    <xf numFmtId="0" fontId="140" fillId="13" borderId="0" applyNumberFormat="0" applyBorder="0" applyAlignment="0" applyProtection="0"/>
    <xf numFmtId="0" fontId="265" fillId="65" borderId="0" applyNumberFormat="0" applyBorder="0" applyAlignment="0" applyProtection="0"/>
    <xf numFmtId="0" fontId="197" fillId="65" borderId="0" applyNumberFormat="0" applyBorder="0" applyAlignment="0" applyProtection="0"/>
    <xf numFmtId="0" fontId="197" fillId="65" borderId="0" applyNumberFormat="0" applyBorder="0" applyAlignment="0" applyProtection="0"/>
    <xf numFmtId="0" fontId="197" fillId="65" borderId="0" applyNumberFormat="0" applyBorder="0" applyAlignment="0" applyProtection="0"/>
    <xf numFmtId="0" fontId="197" fillId="65" borderId="0" applyNumberFormat="0" applyBorder="0" applyAlignment="0" applyProtection="0"/>
    <xf numFmtId="0" fontId="265" fillId="65" borderId="0" applyNumberFormat="0" applyBorder="0" applyAlignment="0" applyProtection="0"/>
    <xf numFmtId="0" fontId="265" fillId="65" borderId="0" applyNumberFormat="0" applyBorder="0" applyAlignment="0" applyProtection="0"/>
    <xf numFmtId="0" fontId="197" fillId="65" borderId="0" applyNumberFormat="0" applyBorder="0" applyAlignment="0" applyProtection="0"/>
    <xf numFmtId="0" fontId="197" fillId="65" borderId="0" applyNumberFormat="0" applyBorder="0" applyAlignment="0" applyProtection="0"/>
    <xf numFmtId="0" fontId="243" fillId="13" borderId="0" applyNumberFormat="0" applyBorder="0" applyAlignment="0" applyProtection="0"/>
    <xf numFmtId="0" fontId="197" fillId="65" borderId="0" applyNumberFormat="0" applyBorder="0" applyAlignment="0" applyProtection="0"/>
    <xf numFmtId="0" fontId="197" fillId="65" borderId="0" applyNumberFormat="0" applyBorder="0" applyAlignment="0" applyProtection="0"/>
    <xf numFmtId="0" fontId="197" fillId="65" borderId="0" applyNumberFormat="0" applyBorder="0" applyAlignment="0" applyProtection="0"/>
    <xf numFmtId="0" fontId="140" fillId="13" borderId="0" applyNumberFormat="0" applyBorder="0" applyAlignment="0" applyProtection="0"/>
    <xf numFmtId="0" fontId="197" fillId="65" borderId="0" applyNumberFormat="0" applyBorder="0" applyAlignment="0" applyProtection="0"/>
    <xf numFmtId="0" fontId="197" fillId="65" borderId="0" applyNumberFormat="0" applyBorder="0" applyAlignment="0" applyProtection="0"/>
    <xf numFmtId="0" fontId="266" fillId="13" borderId="0" applyNumberFormat="0" applyBorder="0" applyAlignment="0" applyProtection="0"/>
    <xf numFmtId="0" fontId="197" fillId="65" borderId="0" applyNumberFormat="0" applyBorder="0" applyAlignment="0" applyProtection="0"/>
    <xf numFmtId="0" fontId="197" fillId="65" borderId="0" applyNumberFormat="0" applyBorder="0" applyAlignment="0" applyProtection="0"/>
    <xf numFmtId="0" fontId="140" fillId="13" borderId="0" applyNumberFormat="0" applyBorder="0" applyAlignment="0" applyProtection="0"/>
    <xf numFmtId="0" fontId="197" fillId="65" borderId="0" applyNumberFormat="0" applyBorder="0" applyAlignment="0" applyProtection="0"/>
    <xf numFmtId="0" fontId="197" fillId="65" borderId="0" applyNumberFormat="0" applyBorder="0" applyAlignment="0" applyProtection="0"/>
    <xf numFmtId="0" fontId="71" fillId="0" borderId="0"/>
    <xf numFmtId="0" fontId="12" fillId="0" borderId="0"/>
    <xf numFmtId="0" fontId="12" fillId="0" borderId="0"/>
    <xf numFmtId="0" fontId="151" fillId="0" borderId="0"/>
    <xf numFmtId="0" fontId="66"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60" fillId="0" borderId="0"/>
    <xf numFmtId="0" fontId="12" fillId="0" borderId="0"/>
    <xf numFmtId="0" fontId="12" fillId="0" borderId="0"/>
    <xf numFmtId="0" fontId="12" fillId="0" borderId="0"/>
    <xf numFmtId="0" fontId="12" fillId="0" borderId="0"/>
    <xf numFmtId="0" fontId="12" fillId="0" borderId="0"/>
    <xf numFmtId="0" fontId="66" fillId="0" borderId="0"/>
    <xf numFmtId="0" fontId="66" fillId="0" borderId="0"/>
    <xf numFmtId="0" fontId="160" fillId="0" borderId="0"/>
    <xf numFmtId="0" fontId="12" fillId="0" borderId="0"/>
    <xf numFmtId="0" fontId="12" fillId="0" borderId="0"/>
    <xf numFmtId="0" fontId="66" fillId="0" borderId="0"/>
    <xf numFmtId="0" fontId="12" fillId="0" borderId="0"/>
    <xf numFmtId="0" fontId="12" fillId="0" borderId="0"/>
    <xf numFmtId="0" fontId="66" fillId="0" borderId="0"/>
    <xf numFmtId="0" fontId="66" fillId="0" borderId="0"/>
    <xf numFmtId="0" fontId="71" fillId="0" borderId="0"/>
    <xf numFmtId="0" fontId="71" fillId="0" borderId="0"/>
    <xf numFmtId="0" fontId="12" fillId="0" borderId="0"/>
    <xf numFmtId="0" fontId="12"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1" fillId="0" borderId="0"/>
    <xf numFmtId="0" fontId="12" fillId="0" borderId="0"/>
    <xf numFmtId="0" fontId="71" fillId="0" borderId="0"/>
    <xf numFmtId="0" fontId="71" fillId="0" borderId="0"/>
    <xf numFmtId="0" fontId="66" fillId="0" borderId="0"/>
    <xf numFmtId="0" fontId="12" fillId="0" borderId="0"/>
    <xf numFmtId="0" fontId="71" fillId="0" borderId="0"/>
    <xf numFmtId="0" fontId="71" fillId="0" borderId="0"/>
    <xf numFmtId="0" fontId="71" fillId="0" borderId="0"/>
    <xf numFmtId="0" fontId="71" fillId="0" borderId="0"/>
    <xf numFmtId="0" fontId="71" fillId="0" borderId="0"/>
    <xf numFmtId="0" fontId="66" fillId="0" borderId="0"/>
    <xf numFmtId="0" fontId="71" fillId="0" borderId="0"/>
    <xf numFmtId="0" fontId="71" fillId="0" borderId="0"/>
    <xf numFmtId="0" fontId="66" fillId="0" borderId="0"/>
    <xf numFmtId="0" fontId="66"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71" fillId="0" borderId="0"/>
    <xf numFmtId="0" fontId="71" fillId="0" borderId="0"/>
    <xf numFmtId="0" fontId="71" fillId="0" borderId="0"/>
    <xf numFmtId="0" fontId="71" fillId="0" borderId="0"/>
    <xf numFmtId="0" fontId="66" fillId="0" borderId="0"/>
    <xf numFmtId="0" fontId="66" fillId="0" borderId="0"/>
    <xf numFmtId="0" fontId="7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1" fillId="0" borderId="0"/>
    <xf numFmtId="0" fontId="71" fillId="0" borderId="0"/>
    <xf numFmtId="0" fontId="71" fillId="0" borderId="0"/>
    <xf numFmtId="0" fontId="66" fillId="66" borderId="147"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66" fillId="66" borderId="147"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66" fillId="66" borderId="147" applyNumberFormat="0" applyFont="0" applyAlignment="0" applyProtection="0"/>
    <xf numFmtId="0" fontId="66" fillId="66" borderId="147" applyNumberFormat="0" applyFont="0" applyAlignment="0" applyProtection="0"/>
    <xf numFmtId="0" fontId="66" fillId="66" borderId="147" applyNumberFormat="0" applyFont="0" applyAlignment="0" applyProtection="0"/>
    <xf numFmtId="0" fontId="160" fillId="66" borderId="147" applyNumberFormat="0" applyFont="0" applyAlignment="0" applyProtection="0"/>
    <xf numFmtId="0" fontId="66" fillId="66" borderId="147" applyNumberFormat="0" applyFont="0" applyAlignment="0" applyProtection="0"/>
    <xf numFmtId="0" fontId="66" fillId="66" borderId="147" applyNumberFormat="0" applyFont="0" applyAlignment="0" applyProtection="0"/>
    <xf numFmtId="0" fontId="66" fillId="66" borderId="147" applyNumberFormat="0" applyFont="0" applyAlignment="0" applyProtection="0"/>
    <xf numFmtId="0" fontId="66"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66" fillId="66" borderId="147"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60" fillId="17" borderId="54" applyNumberFormat="0" applyFont="0" applyAlignment="0" applyProtection="0"/>
    <xf numFmtId="0" fontId="160" fillId="17" borderId="54" applyNumberFormat="0" applyFont="0" applyAlignment="0" applyProtection="0"/>
    <xf numFmtId="0" fontId="264" fillId="66" borderId="147" applyNumberFormat="0" applyFont="0" applyAlignment="0" applyProtection="0"/>
    <xf numFmtId="0" fontId="264" fillId="66" borderId="147" applyNumberFormat="0" applyFont="0" applyAlignment="0" applyProtection="0"/>
    <xf numFmtId="0" fontId="160"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60" fillId="17" borderId="54" applyNumberFormat="0" applyFont="0" applyAlignment="0" applyProtection="0"/>
    <xf numFmtId="0" fontId="160" fillId="17" borderId="54" applyNumberFormat="0" applyFont="0" applyAlignment="0" applyProtection="0"/>
    <xf numFmtId="0" fontId="160"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51" fillId="17" borderId="54" applyNumberFormat="0" applyFont="0" applyAlignment="0" applyProtection="0"/>
    <xf numFmtId="0" fontId="160" fillId="17" borderId="54" applyNumberFormat="0" applyFont="0" applyAlignment="0" applyProtection="0"/>
    <xf numFmtId="0" fontId="160" fillId="17" borderId="54" applyNumberFormat="0" applyFont="0" applyAlignment="0" applyProtection="0"/>
    <xf numFmtId="0" fontId="160"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60" fillId="17" borderId="54" applyNumberFormat="0" applyFont="0" applyAlignment="0" applyProtection="0"/>
    <xf numFmtId="0" fontId="160"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60" fillId="17" borderId="54" applyNumberFormat="0" applyFont="0" applyAlignment="0" applyProtection="0"/>
    <xf numFmtId="0" fontId="160"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60" fillId="17" borderId="54" applyNumberFormat="0" applyFont="0" applyAlignment="0" applyProtection="0"/>
    <xf numFmtId="0" fontId="160"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60" fillId="17" borderId="54" applyNumberFormat="0" applyFont="0" applyAlignment="0" applyProtection="0"/>
    <xf numFmtId="0" fontId="160"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12" fillId="17" borderId="54" applyNumberFormat="0" applyFont="0" applyAlignment="0" applyProtection="0"/>
    <xf numFmtId="0" fontId="71" fillId="66" borderId="147" applyNumberFormat="0" applyFont="0" applyAlignment="0" applyProtection="0"/>
    <xf numFmtId="0" fontId="122" fillId="0" borderId="0">
      <protection locked="0"/>
    </xf>
    <xf numFmtId="9" fontId="12" fillId="0" borderId="0" applyFont="0" applyFill="0" applyBorder="0" applyAlignment="0" applyProtection="0"/>
    <xf numFmtId="9" fontId="12"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66" fillId="0" borderId="0" applyFont="0" applyFill="0" applyBorder="0" applyAlignment="0" applyProtection="0"/>
    <xf numFmtId="9" fontId="12"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66" fillId="0" borderId="0" applyFont="0" applyFill="0" applyBorder="0" applyAlignment="0" applyProtection="0"/>
    <xf numFmtId="9" fontId="7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98" fillId="59" borderId="148" applyNumberFormat="0" applyAlignment="0" applyProtection="0"/>
    <xf numFmtId="0" fontId="267" fillId="59" borderId="148" applyNumberFormat="0" applyAlignment="0" applyProtection="0"/>
    <xf numFmtId="0" fontId="198" fillId="59" borderId="148" applyNumberFormat="0" applyAlignment="0" applyProtection="0"/>
    <xf numFmtId="0" fontId="198" fillId="59" borderId="148" applyNumberFormat="0" applyAlignment="0" applyProtection="0"/>
    <xf numFmtId="0" fontId="198" fillId="59" borderId="148" applyNumberFormat="0" applyAlignment="0" applyProtection="0"/>
    <xf numFmtId="0" fontId="198" fillId="59" borderId="148" applyNumberFormat="0" applyAlignment="0" applyProtection="0"/>
    <xf numFmtId="0" fontId="198" fillId="59" borderId="148" applyNumberFormat="0" applyAlignment="0" applyProtection="0"/>
    <xf numFmtId="0" fontId="198" fillId="59" borderId="148" applyNumberFormat="0" applyAlignment="0" applyProtection="0"/>
    <xf numFmtId="0" fontId="198" fillId="59" borderId="148" applyNumberFormat="0" applyAlignment="0" applyProtection="0"/>
    <xf numFmtId="0" fontId="267" fillId="59" borderId="148" applyNumberFormat="0" applyAlignment="0" applyProtection="0"/>
    <xf numFmtId="0" fontId="267" fillId="59" borderId="148" applyNumberFormat="0" applyAlignment="0" applyProtection="0"/>
    <xf numFmtId="0" fontId="142" fillId="15" borderId="51" applyNumberFormat="0" applyAlignment="0" applyProtection="0"/>
    <xf numFmtId="0" fontId="142" fillId="15" borderId="51" applyNumberFormat="0" applyAlignment="0" applyProtection="0"/>
    <xf numFmtId="0" fontId="198" fillId="59" borderId="148" applyNumberFormat="0" applyAlignment="0" applyProtection="0"/>
    <xf numFmtId="0" fontId="268" fillId="15" borderId="51" applyNumberFormat="0" applyAlignment="0" applyProtection="0"/>
    <xf numFmtId="0" fontId="142" fillId="15" borderId="51" applyNumberFormat="0" applyAlignment="0" applyProtection="0"/>
    <xf numFmtId="0" fontId="142" fillId="15" borderId="51" applyNumberFormat="0" applyAlignment="0" applyProtection="0"/>
    <xf numFmtId="0" fontId="26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269" fillId="0" borderId="0" applyNumberFormat="0" applyFill="0" applyBorder="0" applyAlignment="0" applyProtection="0"/>
    <xf numFmtId="0" fontId="269"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99" fillId="0" borderId="0" applyNumberFormat="0" applyFill="0" applyBorder="0" applyAlignment="0" applyProtection="0"/>
    <xf numFmtId="0" fontId="270"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271"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71" fillId="0" borderId="0" applyNumberFormat="0" applyFill="0" applyBorder="0" applyAlignment="0" applyProtection="0"/>
    <xf numFmtId="0" fontId="271"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200" fillId="0" borderId="0" applyNumberFormat="0" applyFill="0" applyBorder="0" applyAlignment="0" applyProtection="0"/>
    <xf numFmtId="0" fontId="272"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202" fillId="0" borderId="74" applyNumberFormat="0" applyFill="0" applyAlignment="0" applyProtection="0"/>
    <xf numFmtId="0" fontId="202" fillId="0" borderId="74" applyNumberFormat="0" applyFill="0" applyAlignment="0" applyProtection="0"/>
    <xf numFmtId="0" fontId="202" fillId="0" borderId="74" applyNumberFormat="0" applyFill="0" applyAlignment="0" applyProtection="0"/>
    <xf numFmtId="0" fontId="202" fillId="0" borderId="74" applyNumberFormat="0" applyFill="0" applyAlignment="0" applyProtection="0"/>
    <xf numFmtId="0" fontId="202" fillId="0" borderId="74" applyNumberFormat="0" applyFill="0" applyAlignment="0" applyProtection="0"/>
    <xf numFmtId="0" fontId="135" fillId="0" borderId="47" applyNumberFormat="0" applyFill="0" applyAlignment="0" applyProtection="0"/>
    <xf numFmtId="0" fontId="273" fillId="0" borderId="47" applyNumberFormat="0" applyFill="0" applyAlignment="0" applyProtection="0"/>
    <xf numFmtId="0" fontId="135" fillId="0" borderId="47" applyNumberFormat="0" applyFill="0" applyAlignment="0" applyProtection="0"/>
    <xf numFmtId="0" fontId="135" fillId="0" borderId="47" applyNumberFormat="0" applyFill="0" applyAlignment="0" applyProtection="0"/>
    <xf numFmtId="0" fontId="203" fillId="0" borderId="75" applyNumberFormat="0" applyFill="0" applyAlignment="0" applyProtection="0"/>
    <xf numFmtId="0" fontId="203" fillId="0" borderId="75" applyNumberFormat="0" applyFill="0" applyAlignment="0" applyProtection="0"/>
    <xf numFmtId="0" fontId="203" fillId="0" borderId="75" applyNumberFormat="0" applyFill="0" applyAlignment="0" applyProtection="0"/>
    <xf numFmtId="0" fontId="136" fillId="0" borderId="48" applyNumberFormat="0" applyFill="0" applyAlignment="0" applyProtection="0"/>
    <xf numFmtId="0" fontId="136" fillId="0" borderId="48" applyNumberFormat="0" applyFill="0" applyAlignment="0" applyProtection="0"/>
    <xf numFmtId="0" fontId="203" fillId="0" borderId="75" applyNumberFormat="0" applyFill="0" applyAlignment="0" applyProtection="0"/>
    <xf numFmtId="0" fontId="274" fillId="0" borderId="48" applyNumberFormat="0" applyFill="0" applyAlignment="0" applyProtection="0"/>
    <xf numFmtId="0" fontId="136" fillId="0" borderId="48" applyNumberFormat="0" applyFill="0" applyAlignment="0" applyProtection="0"/>
    <xf numFmtId="0" fontId="136" fillId="0" borderId="48" applyNumberFormat="0" applyFill="0" applyAlignment="0" applyProtection="0"/>
    <xf numFmtId="0" fontId="194" fillId="0" borderId="76" applyNumberFormat="0" applyFill="0" applyAlignment="0" applyProtection="0"/>
    <xf numFmtId="0" fontId="194" fillId="0" borderId="76" applyNumberFormat="0" applyFill="0" applyAlignment="0" applyProtection="0"/>
    <xf numFmtId="0" fontId="194" fillId="0" borderId="76" applyNumberFormat="0" applyFill="0" applyAlignment="0" applyProtection="0"/>
    <xf numFmtId="0" fontId="137" fillId="0" borderId="49" applyNumberFormat="0" applyFill="0" applyAlignment="0" applyProtection="0"/>
    <xf numFmtId="0" fontId="137" fillId="0" borderId="49" applyNumberFormat="0" applyFill="0" applyAlignment="0" applyProtection="0"/>
    <xf numFmtId="0" fontId="194" fillId="0" borderId="76" applyNumberFormat="0" applyFill="0" applyAlignment="0" applyProtection="0"/>
    <xf numFmtId="0" fontId="259" fillId="0" borderId="49" applyNumberFormat="0" applyFill="0" applyAlignment="0" applyProtection="0"/>
    <xf numFmtId="0" fontId="137" fillId="0" borderId="49" applyNumberFormat="0" applyFill="0" applyAlignment="0" applyProtection="0"/>
    <xf numFmtId="0" fontId="137" fillId="0" borderId="49" applyNumberFormat="0" applyFill="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01"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201" fillId="0" borderId="0" applyNumberFormat="0" applyFill="0" applyBorder="0" applyAlignment="0" applyProtection="0"/>
    <xf numFmtId="0" fontId="134" fillId="0" borderId="0" applyNumberFormat="0" applyFill="0" applyBorder="0" applyAlignment="0" applyProtection="0"/>
    <xf numFmtId="0" fontId="245" fillId="0" borderId="0" applyNumberFormat="0" applyFill="0" applyBorder="0" applyAlignment="0" applyProtection="0"/>
    <xf numFmtId="0" fontId="245" fillId="0" borderId="0" applyNumberFormat="0" applyFill="0" applyBorder="0" applyAlignment="0" applyProtection="0"/>
    <xf numFmtId="0" fontId="149" fillId="0" borderId="55" applyNumberFormat="0" applyFill="0" applyAlignment="0" applyProtection="0"/>
    <xf numFmtId="219" fontId="122" fillId="0" borderId="149">
      <protection locked="0"/>
    </xf>
    <xf numFmtId="0" fontId="275" fillId="0" borderId="150" applyNumberFormat="0" applyFill="0" applyAlignment="0" applyProtection="0"/>
    <xf numFmtId="0" fontId="204" fillId="0" borderId="150" applyNumberFormat="0" applyFill="0" applyAlignment="0" applyProtection="0"/>
    <xf numFmtId="0" fontId="204" fillId="0" borderId="150" applyNumberFormat="0" applyFill="0" applyAlignment="0" applyProtection="0"/>
    <xf numFmtId="0" fontId="204" fillId="0" borderId="150" applyNumberFormat="0" applyFill="0" applyAlignment="0" applyProtection="0"/>
    <xf numFmtId="0" fontId="204" fillId="0" borderId="150" applyNumberFormat="0" applyFill="0" applyAlignment="0" applyProtection="0"/>
    <xf numFmtId="0" fontId="275" fillId="0" borderId="150" applyNumberFormat="0" applyFill="0" applyAlignment="0" applyProtection="0"/>
    <xf numFmtId="0" fontId="275" fillId="0" borderId="150" applyNumberFormat="0" applyFill="0" applyAlignment="0" applyProtection="0"/>
    <xf numFmtId="0" fontId="204" fillId="0" borderId="150" applyNumberFormat="0" applyFill="0" applyAlignment="0" applyProtection="0"/>
    <xf numFmtId="0" fontId="149" fillId="0" borderId="55" applyNumberFormat="0" applyFill="0" applyAlignment="0" applyProtection="0"/>
    <xf numFmtId="0" fontId="204" fillId="0" borderId="150" applyNumberFormat="0" applyFill="0" applyAlignment="0" applyProtection="0"/>
    <xf numFmtId="0" fontId="204" fillId="0" borderId="150" applyNumberFormat="0" applyFill="0" applyAlignment="0" applyProtection="0"/>
    <xf numFmtId="0" fontId="204" fillId="0" borderId="150" applyNumberFormat="0" applyFill="0" applyAlignment="0" applyProtection="0"/>
    <xf numFmtId="0" fontId="204" fillId="0" borderId="150" applyNumberFormat="0" applyFill="0" applyAlignment="0" applyProtection="0"/>
    <xf numFmtId="0" fontId="204" fillId="0" borderId="150" applyNumberFormat="0" applyFill="0" applyAlignment="0" applyProtection="0"/>
    <xf numFmtId="0" fontId="149" fillId="0" borderId="55" applyNumberFormat="0" applyFill="0" applyAlignment="0" applyProtection="0"/>
    <xf numFmtId="0" fontId="204" fillId="0" borderId="150" applyNumberFormat="0" applyFill="0" applyAlignment="0" applyProtection="0"/>
    <xf numFmtId="0" fontId="204" fillId="0" borderId="150" applyNumberFormat="0" applyFill="0" applyAlignment="0" applyProtection="0"/>
    <xf numFmtId="0" fontId="276" fillId="0" borderId="55" applyNumberFormat="0" applyFill="0" applyAlignment="0" applyProtection="0"/>
    <xf numFmtId="0" fontId="204" fillId="0" borderId="150" applyNumberFormat="0" applyFill="0" applyAlignment="0" applyProtection="0"/>
    <xf numFmtId="0" fontId="204" fillId="0" borderId="150" applyNumberFormat="0" applyFill="0" applyAlignment="0" applyProtection="0"/>
    <xf numFmtId="0" fontId="149" fillId="0" borderId="55" applyNumberFormat="0" applyFill="0" applyAlignment="0" applyProtection="0"/>
    <xf numFmtId="0" fontId="204" fillId="0" borderId="150" applyNumberFormat="0" applyFill="0" applyAlignment="0" applyProtection="0"/>
    <xf numFmtId="0" fontId="204" fillId="0" borderId="150" applyNumberFormat="0" applyFill="0" applyAlignment="0" applyProtection="0"/>
    <xf numFmtId="0" fontId="199" fillId="0" borderId="0" applyNumberFormat="0" applyFill="0" applyBorder="0" applyAlignment="0" applyProtection="0"/>
    <xf numFmtId="0" fontId="66" fillId="0" borderId="0"/>
    <xf numFmtId="0" fontId="66" fillId="0" borderId="0"/>
    <xf numFmtId="0" fontId="66" fillId="0" borderId="0" applyNumberFormat="0" applyFill="0" applyBorder="0" applyAlignment="0" applyProtection="0"/>
    <xf numFmtId="0" fontId="66" fillId="0" borderId="0" applyNumberFormat="0" applyFill="0" applyBorder="0" applyAlignment="0" applyProtection="0"/>
    <xf numFmtId="0" fontId="249" fillId="47" borderId="0" applyNumberFormat="0" applyBorder="0" applyAlignment="0" applyProtection="0"/>
    <xf numFmtId="207" fontId="66" fillId="0" borderId="0" applyFont="0" applyFill="0" applyBorder="0" applyAlignment="0" applyProtection="0"/>
    <xf numFmtId="207" fontId="66" fillId="0" borderId="0" applyFont="0" applyFill="0" applyBorder="0" applyAlignment="0" applyProtection="0"/>
    <xf numFmtId="0" fontId="66" fillId="0" borderId="0"/>
    <xf numFmtId="0" fontId="66" fillId="0" borderId="0"/>
    <xf numFmtId="0" fontId="66" fillId="0" borderId="0"/>
    <xf numFmtId="0" fontId="66" fillId="0" borderId="0"/>
    <xf numFmtId="0" fontId="66" fillId="66" borderId="147" applyNumberFormat="0" applyFont="0" applyAlignment="0" applyProtection="0"/>
    <xf numFmtId="0" fontId="66" fillId="66" borderId="147" applyNumberFormat="0" applyFont="0" applyAlignment="0" applyProtection="0"/>
    <xf numFmtId="9" fontId="66" fillId="0" borderId="0" applyFont="0" applyFill="0" applyBorder="0" applyAlignment="0" applyProtection="0"/>
    <xf numFmtId="0" fontId="202" fillId="0" borderId="74" applyNumberFormat="0" applyFill="0" applyAlignment="0" applyProtection="0"/>
    <xf numFmtId="0" fontId="66" fillId="0" borderId="0"/>
    <xf numFmtId="168" fontId="66" fillId="0" borderId="0" applyFont="0" applyFill="0" applyBorder="0" applyAlignment="0" applyProtection="0"/>
    <xf numFmtId="9" fontId="66" fillId="0" borderId="0" applyFont="0" applyFill="0" applyBorder="0" applyAlignment="0" applyProtection="0"/>
    <xf numFmtId="220"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64"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66" borderId="147" applyNumberFormat="0" applyFont="0" applyAlignment="0" applyProtection="0"/>
    <xf numFmtId="0" fontId="66" fillId="66" borderId="147" applyNumberFormat="0" applyFont="0" applyAlignment="0" applyProtection="0"/>
    <xf numFmtId="0" fontId="66" fillId="66" borderId="147" applyNumberFormat="0" applyFont="0" applyAlignment="0" applyProtection="0"/>
    <xf numFmtId="0" fontId="66" fillId="66" borderId="147" applyNumberFormat="0" applyFont="0" applyAlignment="0" applyProtection="0"/>
    <xf numFmtId="0" fontId="66" fillId="66" borderId="147" applyNumberFormat="0" applyFont="0" applyAlignment="0" applyProtection="0"/>
    <xf numFmtId="0" fontId="66" fillId="66" borderId="147" applyNumberFormat="0" applyFont="0" applyAlignment="0" applyProtection="0"/>
    <xf numFmtId="0" fontId="66" fillId="66" borderId="147" applyNumberFormat="0" applyFont="0" applyAlignment="0" applyProtection="0"/>
    <xf numFmtId="0" fontId="66" fillId="66" borderId="147" applyNumberFormat="0" applyFont="0" applyAlignment="0" applyProtection="0"/>
    <xf numFmtId="0" fontId="66" fillId="66" borderId="147" applyNumberFormat="0" applyFont="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64" fillId="0" borderId="0" applyFont="0" applyFill="0" applyBorder="0" applyAlignment="0" applyProtection="0"/>
    <xf numFmtId="9" fontId="12" fillId="0" borderId="0" applyFont="0" applyFill="0" applyBorder="0" applyAlignment="0" applyProtection="0"/>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0" fontId="122" fillId="0" borderId="0">
      <protection locked="0"/>
    </xf>
    <xf numFmtId="2" fontId="124" fillId="6" borderId="33"/>
    <xf numFmtId="2" fontId="124" fillId="6" borderId="33"/>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278"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5" borderId="0" applyNumberFormat="0" applyBorder="0" applyAlignment="0" applyProtection="0"/>
    <xf numFmtId="0" fontId="160" fillId="46"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46"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278"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4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4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278"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67" borderId="0" applyNumberFormat="0" applyBorder="0" applyAlignment="0" applyProtection="0"/>
    <xf numFmtId="0" fontId="160" fillId="48"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48"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278"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66"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278"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9"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0"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278"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47"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278"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2"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278"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60" fillId="53"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3"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278"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59"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48"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278"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278"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54"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278"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60" fillId="65" borderId="0" applyNumberFormat="0" applyBorder="0" applyAlignment="0" applyProtection="0"/>
    <xf numFmtId="0" fontId="190" fillId="57" borderId="0" applyNumberFormat="0" applyBorder="0" applyAlignment="0" applyProtection="0"/>
    <xf numFmtId="0" fontId="160" fillId="57" borderId="0" applyNumberFormat="0" applyBorder="0" applyAlignment="0" applyProtection="0"/>
    <xf numFmtId="0" fontId="190" fillId="50" borderId="0" applyNumberFormat="0" applyBorder="0" applyAlignment="0" applyProtection="0"/>
    <xf numFmtId="0" fontId="160" fillId="50" borderId="0" applyNumberFormat="0" applyBorder="0" applyAlignment="0" applyProtection="0"/>
    <xf numFmtId="0" fontId="190" fillId="59" borderId="0" applyNumberFormat="0" applyBorder="0" applyAlignment="0" applyProtection="0"/>
    <xf numFmtId="0" fontId="190" fillId="59" borderId="0" applyNumberFormat="0" applyBorder="0" applyAlignment="0" applyProtection="0"/>
    <xf numFmtId="0" fontId="190" fillId="59" borderId="0" applyNumberFormat="0" applyBorder="0" applyAlignment="0" applyProtection="0"/>
    <xf numFmtId="0" fontId="279" fillId="59" borderId="0" applyNumberFormat="0" applyBorder="0" applyAlignment="0" applyProtection="0"/>
    <xf numFmtId="0" fontId="160" fillId="59" borderId="0" applyNumberFormat="0" applyBorder="0" applyAlignment="0" applyProtection="0"/>
    <xf numFmtId="0" fontId="190" fillId="65" borderId="0" applyNumberFormat="0" applyBorder="0" applyAlignment="0" applyProtection="0"/>
    <xf numFmtId="0" fontId="190" fillId="65" borderId="0" applyNumberFormat="0" applyBorder="0" applyAlignment="0" applyProtection="0"/>
    <xf numFmtId="0" fontId="190" fillId="65" borderId="0" applyNumberFormat="0" applyBorder="0" applyAlignment="0" applyProtection="0"/>
    <xf numFmtId="0" fontId="279" fillId="65" borderId="0" applyNumberFormat="0" applyBorder="0" applyAlignment="0" applyProtection="0"/>
    <xf numFmtId="0" fontId="160" fillId="65" borderId="0" applyNumberFormat="0" applyBorder="0" applyAlignment="0" applyProtection="0"/>
    <xf numFmtId="0" fontId="190" fillId="51" borderId="0" applyNumberFormat="0" applyBorder="0" applyAlignment="0" applyProtection="0"/>
    <xf numFmtId="0" fontId="160" fillId="51" borderId="0" applyNumberFormat="0" applyBorder="0" applyAlignment="0" applyProtection="0"/>
    <xf numFmtId="0" fontId="190" fillId="63" borderId="0" applyNumberFormat="0" applyBorder="0" applyAlignment="0" applyProtection="0"/>
    <xf numFmtId="0" fontId="190" fillId="63" borderId="0" applyNumberFormat="0" applyBorder="0" applyAlignment="0" applyProtection="0"/>
    <xf numFmtId="0" fontId="190" fillId="63" borderId="0" applyNumberFormat="0" applyBorder="0" applyAlignment="0" applyProtection="0"/>
    <xf numFmtId="0" fontId="279" fillId="63" borderId="0" applyNumberFormat="0" applyBorder="0" applyAlignment="0" applyProtection="0"/>
    <xf numFmtId="0" fontId="160" fillId="63" borderId="0" applyNumberFormat="0" applyBorder="0" applyAlignment="0" applyProtection="0"/>
    <xf numFmtId="0" fontId="191" fillId="59" borderId="146" applyNumberFormat="0" applyAlignment="0" applyProtection="0"/>
    <xf numFmtId="0" fontId="252" fillId="59" borderId="146" applyNumberFormat="0" applyAlignment="0" applyProtection="0"/>
    <xf numFmtId="0" fontId="191" fillId="59" borderId="146" applyNumberFormat="0" applyAlignment="0" applyProtection="0"/>
    <xf numFmtId="0" fontId="191" fillId="59" borderId="146" applyNumberFormat="0" applyAlignment="0" applyProtection="0"/>
    <xf numFmtId="0" fontId="192" fillId="60" borderId="69" applyNumberFormat="0" applyAlignment="0" applyProtection="0"/>
    <xf numFmtId="0" fontId="193" fillId="0" borderId="70" applyNumberFormat="0" applyFill="0" applyAlignment="0" applyProtection="0"/>
    <xf numFmtId="0" fontId="122" fillId="0" borderId="0">
      <protection locked="0"/>
    </xf>
    <xf numFmtId="0" fontId="258" fillId="0" borderId="0">
      <protection locked="0"/>
    </xf>
    <xf numFmtId="0" fontId="122" fillId="0" borderId="0">
      <protection locked="0"/>
    </xf>
    <xf numFmtId="0" fontId="258" fillId="0" borderId="0">
      <protection locked="0"/>
    </xf>
    <xf numFmtId="0" fontId="122" fillId="0" borderId="0">
      <protection locked="0"/>
    </xf>
    <xf numFmtId="219" fontId="150" fillId="0" borderId="0">
      <protection locked="0"/>
    </xf>
    <xf numFmtId="219" fontId="150" fillId="0" borderId="0">
      <protection locked="0"/>
    </xf>
    <xf numFmtId="0" fontId="205" fillId="0" borderId="74" applyNumberFormat="0" applyFill="0" applyAlignment="0" applyProtection="0"/>
    <xf numFmtId="0" fontId="280" fillId="0" borderId="0" applyNumberFormat="0" applyFill="0" applyBorder="0" applyAlignment="0" applyProtection="0"/>
    <xf numFmtId="0" fontId="190" fillId="61" borderId="0" applyNumberFormat="0" applyBorder="0" applyAlignment="0" applyProtection="0"/>
    <xf numFmtId="0" fontId="190" fillId="64" borderId="0" applyNumberFormat="0" applyBorder="0" applyAlignment="0" applyProtection="0"/>
    <xf numFmtId="0" fontId="190" fillId="60" borderId="0" applyNumberFormat="0" applyBorder="0" applyAlignment="0" applyProtection="0"/>
    <xf numFmtId="0" fontId="190" fillId="54" borderId="0" applyNumberFormat="0" applyBorder="0" applyAlignment="0" applyProtection="0"/>
    <xf numFmtId="0" fontId="190" fillId="57" borderId="0" applyNumberFormat="0" applyBorder="0" applyAlignment="0" applyProtection="0"/>
    <xf numFmtId="0" fontId="190" fillId="63" borderId="0" applyNumberFormat="0" applyBorder="0" applyAlignment="0" applyProtection="0"/>
    <xf numFmtId="0" fontId="195" fillId="50" borderId="146" applyNumberFormat="0" applyAlignment="0" applyProtection="0"/>
    <xf numFmtId="0" fontId="260" fillId="50" borderId="146" applyNumberFormat="0" applyAlignment="0" applyProtection="0"/>
    <xf numFmtId="0" fontId="195" fillId="50" borderId="146" applyNumberFormat="0" applyAlignment="0" applyProtection="0"/>
    <xf numFmtId="0" fontId="195" fillId="50" borderId="146" applyNumberFormat="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66" fillId="0" borderId="0" applyFont="0" applyFill="0" applyBorder="0" applyAlignment="0" applyProtection="0"/>
    <xf numFmtId="0" fontId="71" fillId="0" borderId="0" applyFont="0" applyFill="0" applyBorder="0" applyAlignment="0" applyProtection="0"/>
    <xf numFmtId="0" fontId="71" fillId="0" borderId="0" applyFont="0" applyFill="0" applyBorder="0" applyAlignment="0" applyProtection="0"/>
    <xf numFmtId="0" fontId="66" fillId="0" borderId="0" applyFont="0" applyFill="0" applyBorder="0" applyAlignment="0" applyProtection="0"/>
    <xf numFmtId="202" fontId="122" fillId="0" borderId="0">
      <protection locked="0"/>
    </xf>
    <xf numFmtId="200" fontId="122" fillId="0" borderId="0">
      <protection locked="0"/>
    </xf>
    <xf numFmtId="0" fontId="122" fillId="0" borderId="0">
      <protection locked="0"/>
    </xf>
    <xf numFmtId="0" fontId="150" fillId="0" borderId="0">
      <protection locked="0"/>
    </xf>
    <xf numFmtId="0" fontId="150" fillId="0" borderId="0">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96" fillId="46" borderId="0" applyNumberFormat="0" applyBorder="0" applyAlignment="0" applyProtection="0"/>
    <xf numFmtId="207"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207" fontId="66" fillId="0" borderId="0" applyFont="0" applyFill="0" applyBorder="0" applyAlignment="0" applyProtection="0"/>
    <xf numFmtId="168" fontId="66" fillId="0" borderId="0" applyFont="0" applyFill="0" applyBorder="0" applyAlignment="0" applyProtection="0"/>
    <xf numFmtId="207" fontId="66" fillId="0" borderId="0" applyFont="0" applyFill="0" applyBorder="0" applyAlignment="0" applyProtection="0"/>
    <xf numFmtId="168" fontId="66" fillId="0" borderId="0" applyFont="0" applyFill="0" applyBorder="0" applyAlignment="0" applyProtection="0"/>
    <xf numFmtId="168" fontId="160" fillId="0" borderId="0" applyFont="0" applyFill="0" applyBorder="0" applyAlignment="0" applyProtection="0"/>
    <xf numFmtId="43" fontId="264" fillId="0" borderId="0" applyFont="0" applyFill="0" applyBorder="0" applyAlignment="0" applyProtection="0"/>
    <xf numFmtId="201" fontId="122" fillId="0" borderId="0">
      <protection locked="0"/>
    </xf>
    <xf numFmtId="0" fontId="197" fillId="65" borderId="0" applyNumberFormat="0" applyBorder="0" applyAlignment="0" applyProtection="0"/>
    <xf numFmtId="0" fontId="197" fillId="65" borderId="0" applyNumberFormat="0" applyBorder="0" applyAlignment="0" applyProtection="0"/>
    <xf numFmtId="0" fontId="197" fillId="65" borderId="0" applyNumberFormat="0" applyBorder="0" applyAlignment="0" applyProtection="0"/>
    <xf numFmtId="0" fontId="281" fillId="65" borderId="0" applyNumberFormat="0" applyBorder="0" applyAlignment="0" applyProtection="0"/>
    <xf numFmtId="0" fontId="197" fillId="65" borderId="0" applyNumberFormat="0" applyBorder="0" applyAlignment="0" applyProtection="0"/>
    <xf numFmtId="0" fontId="66" fillId="0" borderId="0"/>
    <xf numFmtId="0" fontId="71" fillId="0" borderId="0"/>
    <xf numFmtId="0" fontId="160" fillId="0" borderId="0"/>
    <xf numFmtId="0" fontId="160" fillId="0" borderId="0"/>
    <xf numFmtId="0" fontId="278" fillId="0" borderId="0"/>
    <xf numFmtId="0" fontId="66" fillId="0" borderId="0"/>
    <xf numFmtId="0" fontId="66" fillId="0" borderId="0"/>
    <xf numFmtId="0" fontId="66" fillId="0" borderId="0"/>
    <xf numFmtId="0" fontId="66" fillId="0" borderId="0"/>
    <xf numFmtId="0" fontId="160" fillId="0" borderId="0"/>
    <xf numFmtId="0" fontId="160" fillId="0" borderId="0"/>
    <xf numFmtId="0" fontId="160" fillId="0" borderId="0"/>
    <xf numFmtId="0" fontId="160" fillId="0" borderId="0"/>
    <xf numFmtId="0" fontId="160" fillId="0" borderId="0"/>
    <xf numFmtId="0" fontId="244" fillId="0" borderId="0"/>
    <xf numFmtId="0" fontId="160" fillId="0" borderId="0"/>
    <xf numFmtId="0" fontId="160" fillId="0" borderId="0"/>
    <xf numFmtId="0" fontId="160" fillId="0" borderId="0"/>
    <xf numFmtId="0" fontId="160" fillId="0" borderId="0"/>
    <xf numFmtId="0" fontId="66" fillId="0" borderId="0"/>
    <xf numFmtId="0" fontId="66" fillId="0" borderId="0"/>
    <xf numFmtId="0" fontId="66" fillId="0" borderId="0"/>
    <xf numFmtId="0" fontId="66" fillId="0" borderId="0"/>
    <xf numFmtId="0" fontId="160" fillId="0" borderId="0"/>
    <xf numFmtId="0" fontId="66" fillId="0" borderId="0"/>
    <xf numFmtId="0" fontId="160" fillId="0" borderId="0"/>
    <xf numFmtId="0" fontId="160" fillId="0" borderId="0"/>
    <xf numFmtId="0" fontId="160" fillId="0" borderId="0"/>
    <xf numFmtId="0" fontId="160" fillId="0" borderId="0"/>
    <xf numFmtId="0" fontId="160" fillId="0" borderId="0"/>
    <xf numFmtId="0" fontId="66" fillId="0" borderId="0"/>
    <xf numFmtId="0" fontId="66" fillId="0" borderId="0"/>
    <xf numFmtId="0" fontId="66" fillId="0" borderId="0"/>
    <xf numFmtId="0" fontId="66" fillId="0" borderId="0"/>
    <xf numFmtId="0" fontId="160" fillId="0" borderId="0"/>
    <xf numFmtId="0" fontId="160" fillId="0" borderId="0"/>
    <xf numFmtId="0" fontId="160" fillId="0" borderId="0"/>
    <xf numFmtId="0" fontId="66" fillId="0" borderId="0"/>
    <xf numFmtId="0" fontId="160" fillId="0" borderId="0"/>
    <xf numFmtId="0" fontId="160" fillId="0" borderId="0"/>
    <xf numFmtId="0" fontId="66" fillId="0" borderId="0"/>
    <xf numFmtId="0" fontId="66" fillId="0" borderId="0"/>
    <xf numFmtId="0" fontId="66" fillId="0" borderId="0"/>
    <xf numFmtId="0" fontId="66" fillId="0" borderId="0"/>
    <xf numFmtId="0" fontId="71" fillId="0" borderId="0"/>
    <xf numFmtId="0" fontId="160" fillId="0" borderId="0"/>
    <xf numFmtId="0" fontId="160" fillId="0" borderId="0"/>
    <xf numFmtId="0" fontId="66" fillId="0" borderId="0"/>
    <xf numFmtId="0" fontId="66" fillId="0" borderId="0"/>
    <xf numFmtId="0" fontId="66" fillId="0" borderId="0"/>
    <xf numFmtId="0" fontId="160" fillId="0" borderId="0"/>
    <xf numFmtId="0" fontId="66" fillId="0" borderId="0"/>
    <xf numFmtId="0" fontId="6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66" fillId="0" borderId="0"/>
    <xf numFmtId="0" fontId="66" fillId="0" borderId="0"/>
    <xf numFmtId="0" fontId="160" fillId="0" borderId="0"/>
    <xf numFmtId="0" fontId="160" fillId="0" borderId="0"/>
    <xf numFmtId="0" fontId="160" fillId="0" borderId="0"/>
    <xf numFmtId="0" fontId="71" fillId="0" borderId="0"/>
    <xf numFmtId="0" fontId="160" fillId="0" borderId="0"/>
    <xf numFmtId="0" fontId="71" fillId="0" borderId="0"/>
    <xf numFmtId="0" fontId="71" fillId="0" borderId="0"/>
    <xf numFmtId="0" fontId="66" fillId="0" borderId="0"/>
    <xf numFmtId="0" fontId="160" fillId="0" borderId="0"/>
    <xf numFmtId="0" fontId="71" fillId="0" borderId="0"/>
    <xf numFmtId="0" fontId="71" fillId="0" borderId="0"/>
    <xf numFmtId="0" fontId="71" fillId="0" borderId="0"/>
    <xf numFmtId="0" fontId="66" fillId="0" borderId="0"/>
    <xf numFmtId="0" fontId="71" fillId="0" borderId="0"/>
    <xf numFmtId="0" fontId="66" fillId="0" borderId="0"/>
    <xf numFmtId="0" fontId="66" fillId="0" borderId="0"/>
    <xf numFmtId="0" fontId="66" fillId="0" borderId="0"/>
    <xf numFmtId="0" fontId="6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66" fillId="0" borderId="0"/>
    <xf numFmtId="0" fontId="71" fillId="0" borderId="0"/>
    <xf numFmtId="0" fontId="71" fillId="0" borderId="0"/>
    <xf numFmtId="0" fontId="71" fillId="0" borderId="0"/>
    <xf numFmtId="0" fontId="66" fillId="0" borderId="0"/>
    <xf numFmtId="0" fontId="71" fillId="0" borderId="0"/>
    <xf numFmtId="0" fontId="66" fillId="0" borderId="0"/>
    <xf numFmtId="0" fontId="66" fillId="0" borderId="0"/>
    <xf numFmtId="0" fontId="66" fillId="0" borderId="0"/>
    <xf numFmtId="0" fontId="71"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66" fillId="0" borderId="0"/>
    <xf numFmtId="0" fontId="160" fillId="0" borderId="0"/>
    <xf numFmtId="0" fontId="160" fillId="0" borderId="0"/>
    <xf numFmtId="0" fontId="160" fillId="0" borderId="0"/>
    <xf numFmtId="0" fontId="66" fillId="0" borderId="0"/>
    <xf numFmtId="0" fontId="66" fillId="0" borderId="0"/>
    <xf numFmtId="0" fontId="6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66" fillId="0" borderId="0"/>
    <xf numFmtId="0" fontId="6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6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66" fillId="66" borderId="147" applyNumberFormat="0" applyFont="0" applyAlignment="0" applyProtection="0"/>
    <xf numFmtId="0" fontId="66"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66"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278"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60" fillId="66" borderId="147" applyNumberFormat="0" applyFont="0" applyAlignment="0" applyProtection="0"/>
    <xf numFmtId="0" fontId="198" fillId="59" borderId="148" applyNumberFormat="0" applyAlignment="0" applyProtection="0"/>
    <xf numFmtId="0" fontId="267" fillId="59" borderId="148" applyNumberFormat="0" applyAlignment="0" applyProtection="0"/>
    <xf numFmtId="0" fontId="198" fillId="59" borderId="148" applyNumberFormat="0" applyAlignment="0" applyProtection="0"/>
    <xf numFmtId="0" fontId="198" fillId="59" borderId="148" applyNumberFormat="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83" fillId="0" borderId="151" applyNumberFormat="0" applyFill="0" applyAlignment="0" applyProtection="0"/>
    <xf numFmtId="0" fontId="280" fillId="0" borderId="152" applyNumberFormat="0" applyFill="0" applyAlignment="0" applyProtection="0"/>
    <xf numFmtId="0" fontId="284" fillId="0" borderId="0" applyNumberFormat="0" applyFill="0" applyBorder="0" applyAlignment="0" applyProtection="0"/>
    <xf numFmtId="0" fontId="282" fillId="0" borderId="0" applyNumberFormat="0" applyFill="0" applyBorder="0" applyAlignment="0" applyProtection="0"/>
    <xf numFmtId="219" fontId="122" fillId="0" borderId="149">
      <protection locked="0"/>
    </xf>
    <xf numFmtId="0" fontId="275" fillId="0" borderId="150" applyNumberFormat="0" applyFill="0" applyAlignment="0" applyProtection="0"/>
    <xf numFmtId="0" fontId="204" fillId="0" borderId="150" applyNumberFormat="0" applyFill="0" applyAlignment="0" applyProtection="0"/>
    <xf numFmtId="0" fontId="204" fillId="0" borderId="150" applyNumberFormat="0" applyFill="0" applyAlignment="0" applyProtection="0"/>
    <xf numFmtId="0" fontId="204" fillId="0" borderId="150" applyNumberFormat="0" applyFill="0" applyAlignment="0" applyProtection="0"/>
    <xf numFmtId="0" fontId="204" fillId="0" borderId="150" applyNumberFormat="0" applyFill="0" applyAlignment="0" applyProtection="0"/>
    <xf numFmtId="0" fontId="204" fillId="0" borderId="150" applyNumberFormat="0" applyFill="0" applyAlignment="0" applyProtection="0"/>
    <xf numFmtId="0" fontId="204" fillId="0" borderId="150" applyNumberFormat="0" applyFill="0" applyAlignment="0" applyProtection="0"/>
    <xf numFmtId="0" fontId="204" fillId="0" borderId="150" applyNumberFormat="0" applyFill="0" applyAlignment="0" applyProtection="0"/>
    <xf numFmtId="0" fontId="285" fillId="0" borderId="150" applyNumberFormat="0" applyFill="0" applyAlignment="0" applyProtection="0"/>
    <xf numFmtId="0" fontId="204" fillId="0" borderId="150" applyNumberFormat="0" applyFill="0" applyAlignment="0" applyProtection="0"/>
    <xf numFmtId="0" fontId="204" fillId="0" borderId="150" applyNumberFormat="0" applyFill="0" applyAlignment="0" applyProtection="0"/>
    <xf numFmtId="0" fontId="204" fillId="0" borderId="150" applyNumberFormat="0" applyFill="0" applyAlignment="0" applyProtection="0"/>
    <xf numFmtId="0" fontId="11" fillId="0" borderId="0"/>
    <xf numFmtId="0" fontId="219" fillId="0" borderId="0" applyNumberFormat="0" applyFill="0" applyBorder="0" applyAlignment="0" applyProtection="0"/>
    <xf numFmtId="0" fontId="244" fillId="0" borderId="0"/>
    <xf numFmtId="0" fontId="11" fillId="33" borderId="0" applyNumberFormat="0" applyBorder="0" applyAlignment="0" applyProtection="0"/>
    <xf numFmtId="0" fontId="11" fillId="24" borderId="0" applyNumberFormat="0" applyBorder="0" applyAlignment="0" applyProtection="0"/>
    <xf numFmtId="0" fontId="11" fillId="37"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60" fillId="4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37"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5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60" fillId="46"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60" fillId="5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5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60" fillId="4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41" borderId="0" applyNumberFormat="0" applyBorder="0" applyAlignment="0" applyProtection="0"/>
    <xf numFmtId="0" fontId="160" fillId="52" borderId="0" applyNumberFormat="0" applyBorder="0" applyAlignment="0" applyProtection="0"/>
    <xf numFmtId="0" fontId="11" fillId="41"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5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60" fillId="48"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5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60" fillId="49"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60" fillId="50"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60" fillId="51"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60" fillId="52"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22" fillId="0" borderId="0">
      <protection locked="0"/>
    </xf>
    <xf numFmtId="0" fontId="122" fillId="0" borderId="0">
      <protection locked="0"/>
    </xf>
    <xf numFmtId="0" fontId="122" fillId="0" borderId="0">
      <protection locked="0"/>
    </xf>
    <xf numFmtId="0" fontId="122" fillId="0" borderId="0">
      <protection locked="0"/>
    </xf>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60" fillId="53"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60" fillId="51"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5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60" fillId="4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60" fillId="51"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60" fillId="51"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60" fillId="54"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39" borderId="0" applyNumberFormat="0" applyBorder="0" applyAlignment="0" applyProtection="0"/>
    <xf numFmtId="0" fontId="11" fillId="29" borderId="0" applyNumberFormat="0" applyBorder="0" applyAlignment="0" applyProtection="0"/>
    <xf numFmtId="0" fontId="11" fillId="39" borderId="0" applyNumberFormat="0" applyBorder="0" applyAlignment="0" applyProtection="0"/>
    <xf numFmtId="0" fontId="11" fillId="33" borderId="0" applyNumberFormat="0" applyBorder="0" applyAlignment="0" applyProtection="0"/>
    <xf numFmtId="0" fontId="160" fillId="50" borderId="0" applyNumberFormat="0" applyBorder="0" applyAlignment="0" applyProtection="0"/>
    <xf numFmtId="0" fontId="160" fillId="50" borderId="0" applyNumberFormat="0" applyBorder="0" applyAlignment="0" applyProtection="0"/>
    <xf numFmtId="0" fontId="11" fillId="37" borderId="0" applyNumberFormat="0" applyBorder="0" applyAlignment="0" applyProtection="0"/>
    <xf numFmtId="207" fontId="66" fillId="0" borderId="0" applyFont="0" applyFill="0" applyBorder="0" applyAlignment="0" applyProtection="0"/>
    <xf numFmtId="0" fontId="11" fillId="4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60" fillId="49" borderId="0" applyNumberFormat="0" applyBorder="0" applyAlignment="0" applyProtection="0"/>
    <xf numFmtId="0" fontId="11" fillId="0" borderId="0"/>
    <xf numFmtId="0" fontId="11" fillId="0" borderId="0"/>
    <xf numFmtId="0" fontId="160" fillId="49" borderId="0" applyNumberFormat="0" applyBorder="0" applyAlignment="0" applyProtection="0"/>
    <xf numFmtId="0" fontId="11" fillId="0" borderId="0"/>
    <xf numFmtId="0" fontId="11" fillId="0" borderId="0"/>
    <xf numFmtId="0" fontId="11" fillId="0" borderId="0"/>
    <xf numFmtId="0" fontId="122" fillId="0" borderId="0">
      <protection locked="0"/>
    </xf>
    <xf numFmtId="0" fontId="122" fillId="0" borderId="0">
      <protection locked="0"/>
    </xf>
    <xf numFmtId="0" fontId="11" fillId="0" borderId="0"/>
    <xf numFmtId="0" fontId="11" fillId="0" borderId="0"/>
    <xf numFmtId="0" fontId="11" fillId="0" borderId="0"/>
    <xf numFmtId="0" fontId="66" fillId="0" borderId="0"/>
    <xf numFmtId="0" fontId="151" fillId="31" borderId="0" applyNumberFormat="0" applyBorder="0" applyAlignment="0" applyProtection="0"/>
    <xf numFmtId="0" fontId="160" fillId="48" borderId="0" applyNumberFormat="0" applyBorder="0" applyAlignment="0" applyProtection="0"/>
    <xf numFmtId="0" fontId="160" fillId="48" borderId="0" applyNumberFormat="0" applyBorder="0" applyAlignment="0" applyProtection="0"/>
    <xf numFmtId="0" fontId="11" fillId="0" borderId="0"/>
    <xf numFmtId="0" fontId="66" fillId="66" borderId="147" applyNumberFormat="0" applyFont="0" applyAlignment="0" applyProtection="0"/>
    <xf numFmtId="0" fontId="151" fillId="27" borderId="0" applyNumberFormat="0" applyBorder="0" applyAlignment="0" applyProtection="0"/>
    <xf numFmtId="207"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43" fontId="264" fillId="0" borderId="0" applyFont="0" applyFill="0" applyBorder="0" applyAlignment="0" applyProtection="0"/>
    <xf numFmtId="0" fontId="151" fillId="27" borderId="0" applyNumberFormat="0" applyBorder="0" applyAlignment="0" applyProtection="0"/>
    <xf numFmtId="0" fontId="160" fillId="47" borderId="0" applyNumberFormat="0" applyBorder="0" applyAlignment="0" applyProtection="0"/>
    <xf numFmtId="0" fontId="66" fillId="66" borderId="147" applyNumberFormat="0" applyFont="0" applyAlignment="0" applyProtection="0"/>
    <xf numFmtId="0" fontId="151" fillId="17" borderId="54" applyNumberFormat="0" applyFont="0" applyAlignment="0" applyProtection="0"/>
    <xf numFmtId="0" fontId="11" fillId="17" borderId="54" applyNumberFormat="0" applyFont="0" applyAlignment="0" applyProtection="0"/>
    <xf numFmtId="0" fontId="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7" borderId="54"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7" borderId="54"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51" fillId="2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0" fillId="46" borderId="0" applyNumberFormat="0" applyBorder="0" applyAlignment="0" applyProtection="0"/>
    <xf numFmtId="0" fontId="11" fillId="0" borderId="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66" fillId="66" borderId="147"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5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60" fillId="46" borderId="0" applyNumberFormat="0" applyBorder="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75" fillId="0" borderId="150" applyNumberFormat="0" applyFill="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76" fillId="0" borderId="55" applyNumberFormat="0" applyFill="0" applyAlignment="0" applyProtection="0"/>
    <xf numFmtId="0" fontId="160" fillId="45" borderId="0" applyNumberFormat="0" applyBorder="0" applyAlignment="0" applyProtection="0"/>
    <xf numFmtId="0" fontId="151" fillId="19" borderId="0" applyNumberFormat="0" applyBorder="0" applyAlignment="0" applyProtection="0"/>
    <xf numFmtId="219" fontId="122" fillId="0" borderId="149">
      <protection locked="0"/>
    </xf>
    <xf numFmtId="0" fontId="275" fillId="0" borderId="150" applyNumberFormat="0" applyFill="0" applyAlignment="0" applyProtection="0"/>
    <xf numFmtId="0" fontId="244" fillId="0" borderId="0"/>
    <xf numFmtId="0" fontId="276" fillId="0" borderId="55" applyNumberFormat="0" applyFill="0" applyAlignment="0" applyProtection="0"/>
    <xf numFmtId="0" fontId="11" fillId="0" borderId="0"/>
    <xf numFmtId="0" fontId="11" fillId="0" borderId="0"/>
    <xf numFmtId="0" fontId="11" fillId="0" borderId="0"/>
    <xf numFmtId="0" fontId="160" fillId="45" borderId="0" applyNumberFormat="0" applyBorder="0" applyAlignment="0" applyProtection="0"/>
    <xf numFmtId="219" fontId="122" fillId="0" borderId="149">
      <protection locked="0"/>
    </xf>
    <xf numFmtId="0" fontId="275" fillId="0" borderId="150" applyNumberFormat="0" applyFill="0" applyAlignment="0" applyProtection="0"/>
    <xf numFmtId="0" fontId="276" fillId="0" borderId="55" applyNumberFormat="0" applyFill="0" applyAlignment="0" applyProtection="0"/>
    <xf numFmtId="0" fontId="244" fillId="0" borderId="0"/>
    <xf numFmtId="0" fontId="219" fillId="0" borderId="0" applyNumberFormat="0" applyFill="0" applyBorder="0" applyAlignment="0" applyProtection="0"/>
    <xf numFmtId="0" fontId="11" fillId="0" borderId="0"/>
    <xf numFmtId="0" fontId="151" fillId="17" borderId="54" applyNumberFormat="0" applyFont="0" applyAlignment="0" applyProtection="0"/>
    <xf numFmtId="0" fontId="151" fillId="23" borderId="0" applyNumberFormat="0" applyBorder="0" applyAlignment="0" applyProtection="0"/>
    <xf numFmtId="0" fontId="11" fillId="17" borderId="5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64" fillId="0" borderId="0" applyFont="0" applyFill="0" applyBorder="0" applyAlignment="0" applyProtection="0"/>
    <xf numFmtId="0" fontId="160" fillId="47" borderId="0" applyNumberFormat="0" applyBorder="0" applyAlignment="0" applyProtection="0"/>
    <xf numFmtId="0" fontId="11" fillId="17" borderId="54" applyNumberFormat="0" applyFont="0" applyAlignment="0" applyProtection="0"/>
    <xf numFmtId="0" fontId="11" fillId="17" borderId="54" applyNumberFormat="0" applyFont="0" applyAlignment="0" applyProtection="0"/>
    <xf numFmtId="0" fontId="151" fillId="19"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64" fillId="0" borderId="0" applyFont="0" applyFill="0" applyBorder="0" applyAlignment="0" applyProtection="0"/>
    <xf numFmtId="9" fontId="11" fillId="0" borderId="0" applyFont="0" applyFill="0" applyBorder="0" applyAlignment="0" applyProtection="0"/>
    <xf numFmtId="0" fontId="11" fillId="33" borderId="0" applyNumberFormat="0" applyBorder="0" applyAlignment="0" applyProtection="0"/>
    <xf numFmtId="0" fontId="11" fillId="24"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1" borderId="0" applyNumberFormat="0" applyBorder="0" applyAlignment="0" applyProtection="0"/>
    <xf numFmtId="0" fontId="160" fillId="53" borderId="0" applyNumberFormat="0" applyBorder="0" applyAlignment="0" applyProtection="0"/>
    <xf numFmtId="0" fontId="11" fillId="21" borderId="0" applyNumberFormat="0" applyBorder="0" applyAlignment="0" applyProtection="0"/>
    <xf numFmtId="0" fontId="160" fillId="53" borderId="0" applyNumberFormat="0" applyBorder="0" applyAlignment="0" applyProtection="0"/>
    <xf numFmtId="0" fontId="151" fillId="28" borderId="0" applyNumberFormat="0" applyBorder="0" applyAlignment="0" applyProtection="0"/>
    <xf numFmtId="0" fontId="151" fillId="28"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60" fillId="54" borderId="0" applyNumberFormat="0" applyBorder="0" applyAlignment="0" applyProtection="0"/>
    <xf numFmtId="0" fontId="160" fillId="48" borderId="0" applyNumberFormat="0" applyBorder="0" applyAlignment="0" applyProtection="0"/>
    <xf numFmtId="0" fontId="160" fillId="48" borderId="0" applyNumberFormat="0" applyBorder="0" applyAlignment="0" applyProtection="0"/>
    <xf numFmtId="0" fontId="160" fillId="54"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60" fillId="48" borderId="0" applyNumberFormat="0" applyBorder="0" applyAlignment="0" applyProtection="0"/>
    <xf numFmtId="0" fontId="160" fillId="54" borderId="0" applyNumberFormat="0" applyBorder="0" applyAlignment="0" applyProtection="0"/>
    <xf numFmtId="0" fontId="160" fillId="54" borderId="0" applyNumberFormat="0" applyBorder="0" applyAlignment="0" applyProtection="0"/>
    <xf numFmtId="0" fontId="160" fillId="48"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51" fillId="28" borderId="0" applyNumberFormat="0" applyBorder="0" applyAlignment="0" applyProtection="0"/>
    <xf numFmtId="0" fontId="151" fillId="28" borderId="0" applyNumberFormat="0" applyBorder="0" applyAlignment="0" applyProtection="0"/>
    <xf numFmtId="0" fontId="160" fillId="53"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60" fillId="53"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1" fillId="24" borderId="0" applyNumberFormat="0" applyBorder="0" applyAlignment="0" applyProtection="0"/>
    <xf numFmtId="0" fontId="11" fillId="33"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24" borderId="0" applyNumberFormat="0" applyBorder="0" applyAlignment="0" applyProtection="0"/>
    <xf numFmtId="0" fontId="11" fillId="41" borderId="0" applyNumberFormat="0" applyBorder="0" applyAlignment="0" applyProtection="0"/>
    <xf numFmtId="0" fontId="160" fillId="52" borderId="0" applyNumberFormat="0" applyBorder="0" applyAlignment="0" applyProtection="0"/>
    <xf numFmtId="0" fontId="11" fillId="41" borderId="0" applyNumberFormat="0" applyBorder="0" applyAlignment="0" applyProtection="0"/>
    <xf numFmtId="0" fontId="160" fillId="52" borderId="0" applyNumberFormat="0" applyBorder="0" applyAlignment="0" applyProtection="0"/>
    <xf numFmtId="0" fontId="11" fillId="20" borderId="0" applyNumberFormat="0" applyBorder="0" applyAlignment="0" applyProtection="0"/>
    <xf numFmtId="0" fontId="122" fillId="0" borderId="0">
      <protection locked="0"/>
    </xf>
    <xf numFmtId="0" fontId="122" fillId="0" borderId="0">
      <protection locked="0"/>
    </xf>
    <xf numFmtId="0" fontId="122" fillId="0" borderId="0">
      <protection locked="0"/>
    </xf>
    <xf numFmtId="0" fontId="122" fillId="0" borderId="0">
      <protection locked="0"/>
    </xf>
    <xf numFmtId="0" fontId="11" fillId="20" borderId="0" applyNumberFormat="0" applyBorder="0" applyAlignment="0" applyProtection="0"/>
    <xf numFmtId="0" fontId="160" fillId="51" borderId="0" applyNumberFormat="0" applyBorder="0" applyAlignment="0" applyProtection="0"/>
    <xf numFmtId="0" fontId="160" fillId="51"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60" fillId="50" borderId="0" applyNumberFormat="0" applyBorder="0" applyAlignment="0" applyProtection="0"/>
    <xf numFmtId="207" fontId="66" fillId="0" borderId="0" applyFont="0" applyFill="0" applyBorder="0" applyAlignment="0" applyProtection="0"/>
    <xf numFmtId="0" fontId="160" fillId="50"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71" fillId="0" borderId="0"/>
    <xf numFmtId="0" fontId="11" fillId="0" borderId="0"/>
    <xf numFmtId="0" fontId="11" fillId="0" borderId="0"/>
    <xf numFmtId="0" fontId="11" fillId="0" borderId="0"/>
    <xf numFmtId="0" fontId="11" fillId="0" borderId="0"/>
    <xf numFmtId="0" fontId="160" fillId="49" borderId="0" applyNumberFormat="0" applyBorder="0" applyAlignment="0" applyProtection="0"/>
    <xf numFmtId="0" fontId="11" fillId="0" borderId="0"/>
    <xf numFmtId="0" fontId="160"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1" fillId="31" borderId="0" applyNumberFormat="0" applyBorder="0" applyAlignment="0" applyProtection="0"/>
    <xf numFmtId="0" fontId="151" fillId="31" borderId="0" applyNumberFormat="0" applyBorder="0" applyAlignment="0" applyProtection="0"/>
    <xf numFmtId="0" fontId="11" fillId="0" borderId="0"/>
    <xf numFmtId="0" fontId="66" fillId="0" borderId="0"/>
    <xf numFmtId="0" fontId="160" fillId="48" borderId="0" applyNumberFormat="0" applyBorder="0" applyAlignment="0" applyProtection="0"/>
    <xf numFmtId="0" fontId="160" fillId="48" borderId="0" applyNumberFormat="0" applyBorder="0" applyAlignment="0" applyProtection="0"/>
    <xf numFmtId="0" fontId="11" fillId="0" borderId="0"/>
    <xf numFmtId="0" fontId="11" fillId="0" borderId="0"/>
    <xf numFmtId="0" fontId="66" fillId="66" borderId="147" applyNumberFormat="0" applyFont="0" applyAlignment="0" applyProtection="0"/>
    <xf numFmtId="0" fontId="160" fillId="47" borderId="0" applyNumberFormat="0" applyBorder="0" applyAlignment="0" applyProtection="0"/>
    <xf numFmtId="0" fontId="66" fillId="66" borderId="147" applyNumberFormat="0" applyFont="0" applyAlignment="0" applyProtection="0"/>
    <xf numFmtId="0" fontId="160" fillId="47" borderId="0" applyNumberFormat="0" applyBorder="0" applyAlignment="0" applyProtection="0"/>
    <xf numFmtId="0" fontId="15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1" fillId="17" borderId="54" applyNumberFormat="0" applyFont="0" applyAlignment="0" applyProtection="0"/>
    <xf numFmtId="0" fontId="151" fillId="23" borderId="0" applyNumberFormat="0" applyBorder="0" applyAlignment="0" applyProtection="0"/>
    <xf numFmtId="0" fontId="11" fillId="17" borderId="54" applyNumberFormat="0" applyFont="0" applyAlignment="0" applyProtection="0"/>
    <xf numFmtId="0" fontId="151" fillId="17" borderId="54" applyNumberFormat="0" applyFont="0" applyAlignment="0" applyProtection="0"/>
    <xf numFmtId="0" fontId="11" fillId="17" borderId="54" applyNumberFormat="0" applyFont="0" applyAlignment="0" applyProtection="0"/>
    <xf numFmtId="0" fontId="151" fillId="23" borderId="0" applyNumberFormat="0" applyBorder="0" applyAlignment="0" applyProtection="0"/>
    <xf numFmtId="0" fontId="160" fillId="46" borderId="0" applyNumberFormat="0" applyBorder="0" applyAlignment="0" applyProtection="0"/>
    <xf numFmtId="0" fontId="160" fillId="45" borderId="0" applyNumberFormat="0" applyBorder="0" applyAlignment="0" applyProtection="0"/>
    <xf numFmtId="0" fontId="151" fillId="19" borderId="0" applyNumberFormat="0" applyBorder="0" applyAlignment="0" applyProtection="0"/>
    <xf numFmtId="0" fontId="275" fillId="0" borderId="150" applyNumberFormat="0" applyFill="0" applyAlignment="0" applyProtection="0"/>
    <xf numFmtId="0" fontId="276" fillId="0" borderId="55" applyNumberFormat="0" applyFill="0" applyAlignment="0" applyProtection="0"/>
    <xf numFmtId="0" fontId="244" fillId="0" borderId="0"/>
    <xf numFmtId="0" fontId="11" fillId="0" borderId="0"/>
    <xf numFmtId="0" fontId="160" fillId="45" borderId="0" applyNumberFormat="0" applyBorder="0" applyAlignment="0" applyProtection="0"/>
    <xf numFmtId="0" fontId="151" fillId="27" borderId="0" applyNumberFormat="0" applyBorder="0" applyAlignment="0" applyProtection="0"/>
    <xf numFmtId="219" fontId="122" fillId="0" borderId="149">
      <protection locked="0"/>
    </xf>
    <xf numFmtId="0" fontId="275" fillId="0" borderId="150" applyNumberFormat="0" applyFill="0" applyAlignment="0" applyProtection="0"/>
    <xf numFmtId="0" fontId="276" fillId="0" borderId="55" applyNumberFormat="0" applyFill="0" applyAlignment="0" applyProtection="0"/>
    <xf numFmtId="0" fontId="244" fillId="0" borderId="0"/>
    <xf numFmtId="0" fontId="11" fillId="0" borderId="0"/>
    <xf numFmtId="0" fontId="160" fillId="46" borderId="0" applyNumberFormat="0" applyBorder="0" applyAlignment="0" applyProtection="0"/>
    <xf numFmtId="0" fontId="151" fillId="19" borderId="0" applyNumberFormat="0" applyBorder="0" applyAlignment="0" applyProtection="0"/>
    <xf numFmtId="0" fontId="11" fillId="0" borderId="0"/>
    <xf numFmtId="0" fontId="151" fillId="27" borderId="0" applyNumberFormat="0" applyBorder="0" applyAlignment="0" applyProtection="0"/>
    <xf numFmtId="0" fontId="11" fillId="17" borderId="54" applyNumberFormat="0" applyFont="0" applyAlignment="0" applyProtection="0"/>
    <xf numFmtId="207" fontId="66" fillId="0" borderId="0" applyFont="0" applyFill="0" applyBorder="0" applyAlignment="0" applyProtection="0"/>
    <xf numFmtId="0" fontId="11" fillId="0" borderId="0"/>
    <xf numFmtId="0" fontId="151" fillId="31" borderId="0" applyNumberFormat="0" applyBorder="0" applyAlignment="0" applyProtection="0"/>
    <xf numFmtId="0" fontId="10" fillId="0" borderId="0"/>
    <xf numFmtId="0" fontId="286" fillId="0" borderId="0"/>
    <xf numFmtId="9" fontId="10" fillId="0" borderId="0" applyFont="0" applyFill="0" applyBorder="0" applyAlignment="0" applyProtection="0"/>
    <xf numFmtId="0" fontId="288" fillId="0" borderId="0"/>
    <xf numFmtId="0" fontId="9" fillId="0" borderId="0"/>
    <xf numFmtId="0" fontId="8" fillId="0" borderId="0"/>
    <xf numFmtId="9" fontId="66" fillId="0" borderId="0" applyFont="0" applyFill="0" applyBorder="0" applyAlignment="0" applyProtection="0"/>
    <xf numFmtId="0" fontId="7" fillId="0" borderId="0"/>
    <xf numFmtId="0" fontId="134" fillId="0" borderId="0" applyNumberFormat="0" applyFill="0" applyBorder="0" applyAlignment="0" applyProtection="0"/>
    <xf numFmtId="0" fontId="135" fillId="0" borderId="47" applyNumberFormat="0" applyFill="0" applyAlignment="0" applyProtection="0"/>
    <xf numFmtId="0" fontId="136" fillId="0" borderId="48" applyNumberFormat="0" applyFill="0" applyAlignment="0" applyProtection="0"/>
    <xf numFmtId="0" fontId="137" fillId="0" borderId="49" applyNumberFormat="0" applyFill="0" applyAlignment="0" applyProtection="0"/>
    <xf numFmtId="0" fontId="137" fillId="0" borderId="0" applyNumberFormat="0" applyFill="0" applyBorder="0" applyAlignment="0" applyProtection="0"/>
    <xf numFmtId="0" fontId="138" fillId="11" borderId="0" applyNumberFormat="0" applyBorder="0" applyAlignment="0" applyProtection="0"/>
    <xf numFmtId="0" fontId="139" fillId="12" borderId="0" applyNumberFormat="0" applyBorder="0" applyAlignment="0" applyProtection="0"/>
    <xf numFmtId="0" fontId="243" fillId="13" borderId="0" applyNumberFormat="0" applyBorder="0" applyAlignment="0" applyProtection="0"/>
    <xf numFmtId="0" fontId="141" fillId="14" borderId="50" applyNumberFormat="0" applyAlignment="0" applyProtection="0"/>
    <xf numFmtId="0" fontId="142" fillId="15" borderId="51" applyNumberFormat="0" applyAlignment="0" applyProtection="0"/>
    <xf numFmtId="0" fontId="143" fillId="15" borderId="50" applyNumberFormat="0" applyAlignment="0" applyProtection="0"/>
    <xf numFmtId="0" fontId="144" fillId="0" borderId="52" applyNumberFormat="0" applyFill="0" applyAlignment="0" applyProtection="0"/>
    <xf numFmtId="0" fontId="145" fillId="16" borderId="53" applyNumberFormat="0" applyAlignment="0" applyProtection="0"/>
    <xf numFmtId="0" fontId="146" fillId="0" borderId="0" applyNumberFormat="0" applyFill="0" applyBorder="0" applyAlignment="0" applyProtection="0"/>
    <xf numFmtId="0" fontId="7" fillId="17" borderId="54" applyNumberFormat="0" applyFont="0" applyAlignment="0" applyProtection="0"/>
    <xf numFmtId="0" fontId="147" fillId="0" borderId="0" applyNumberFormat="0" applyFill="0" applyBorder="0" applyAlignment="0" applyProtection="0"/>
    <xf numFmtId="0" fontId="148"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148"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148"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148"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148"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148"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0" borderId="0"/>
    <xf numFmtId="0" fontId="6" fillId="0" borderId="0"/>
    <xf numFmtId="0" fontId="6" fillId="0" borderId="0"/>
    <xf numFmtId="0" fontId="6" fillId="17" borderId="54" applyNumberFormat="0" applyFont="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0" borderId="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171" fontId="232" fillId="0" borderId="0"/>
    <xf numFmtId="171" fontId="222" fillId="0" borderId="57"/>
    <xf numFmtId="168" fontId="5" fillId="0" borderId="0" applyFont="0" applyFill="0" applyBorder="0" applyAlignment="0" applyProtection="0"/>
    <xf numFmtId="168" fontId="5" fillId="0" borderId="0" applyFont="0" applyFill="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54" applyNumberFormat="0" applyFont="0" applyAlignment="0" applyProtection="0"/>
    <xf numFmtId="0" fontId="5" fillId="0" borderId="0"/>
    <xf numFmtId="43" fontId="5" fillId="0" borderId="0" applyFont="0" applyFill="0" applyBorder="0" applyAlignment="0" applyProtection="0"/>
    <xf numFmtId="43" fontId="66"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66" fillId="0" borderId="0" applyNumberFormat="0" applyFill="0" applyBorder="0" applyAlignment="0" applyProtection="0"/>
    <xf numFmtId="0" fontId="5" fillId="0" borderId="0"/>
    <xf numFmtId="0" fontId="5" fillId="0" borderId="0"/>
    <xf numFmtId="0" fontId="5" fillId="17" borderId="54"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54"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54"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168" fontId="5" fillId="0" borderId="0" applyFont="0" applyFill="0" applyBorder="0" applyAlignment="0" applyProtection="0"/>
    <xf numFmtId="0" fontId="5" fillId="17" borderId="54"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54"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7" borderId="54"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9" fontId="5" fillId="0" borderId="0" applyFont="0" applyFill="0" applyBorder="0" applyAlignment="0" applyProtection="0"/>
    <xf numFmtId="0" fontId="5" fillId="0" borderId="0"/>
    <xf numFmtId="0" fontId="5" fillId="17" borderId="54"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191" fillId="59" borderId="165" applyNumberFormat="0" applyAlignment="0" applyProtection="0"/>
    <xf numFmtId="0" fontId="195" fillId="50" borderId="165" applyNumberFormat="0" applyAlignment="0" applyProtection="0"/>
    <xf numFmtId="0" fontId="5" fillId="0" borderId="0"/>
    <xf numFmtId="0" fontId="66" fillId="66" borderId="166" applyNumberFormat="0" applyFont="0" applyAlignment="0" applyProtection="0"/>
    <xf numFmtId="0" fontId="198" fillId="59" borderId="167" applyNumberFormat="0" applyAlignment="0" applyProtection="0"/>
    <xf numFmtId="0" fontId="204" fillId="0" borderId="168" applyNumberFormat="0" applyFill="0" applyAlignment="0" applyProtection="0"/>
    <xf numFmtId="0" fontId="5" fillId="0" borderId="0"/>
    <xf numFmtId="0" fontId="5" fillId="17" borderId="54"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0" borderId="0"/>
    <xf numFmtId="0" fontId="5" fillId="0" borderId="0"/>
    <xf numFmtId="0" fontId="5" fillId="0" borderId="0"/>
    <xf numFmtId="0" fontId="5" fillId="27" borderId="0" applyNumberFormat="0" applyBorder="0" applyAlignment="0" applyProtection="0"/>
    <xf numFmtId="9" fontId="5" fillId="0" borderId="0" applyFont="0" applyFill="0" applyBorder="0" applyAlignment="0" applyProtection="0"/>
    <xf numFmtId="0" fontId="5" fillId="28" borderId="0" applyNumberFormat="0" applyBorder="0" applyAlignment="0" applyProtection="0"/>
    <xf numFmtId="0" fontId="5" fillId="35" borderId="0" applyNumberFormat="0" applyBorder="0" applyAlignment="0" applyProtection="0"/>
    <xf numFmtId="0" fontId="5" fillId="0" borderId="0"/>
    <xf numFmtId="168" fontId="5" fillId="0" borderId="0" applyFont="0" applyFill="0" applyBorder="0" applyAlignment="0" applyProtection="0"/>
    <xf numFmtId="0" fontId="5" fillId="2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17" borderId="5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6" borderId="0" applyNumberFormat="0" applyBorder="0" applyAlignment="0" applyProtection="0"/>
    <xf numFmtId="0" fontId="5" fillId="1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1"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168" fontId="5" fillId="0" borderId="0" applyFont="0" applyFill="0" applyBorder="0" applyAlignment="0" applyProtection="0"/>
    <xf numFmtId="0" fontId="5" fillId="0" borderId="0"/>
    <xf numFmtId="0" fontId="5" fillId="17" borderId="54"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17" borderId="54"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0" borderId="0"/>
    <xf numFmtId="0" fontId="5" fillId="0" borderId="0"/>
    <xf numFmtId="0" fontId="5" fillId="17" borderId="54"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66" fillId="0" borderId="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17" borderId="54" applyNumberFormat="0" applyFont="0" applyAlignment="0" applyProtection="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17" borderId="54"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54"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54"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168" fontId="5" fillId="0" borderId="0" applyFont="0" applyFill="0" applyBorder="0" applyAlignment="0" applyProtection="0"/>
    <xf numFmtId="0" fontId="5" fillId="17" borderId="54"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17" borderId="54"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7" borderId="54"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9" fontId="5" fillId="0" borderId="0" applyFont="0" applyFill="0" applyBorder="0" applyAlignment="0" applyProtection="0"/>
    <xf numFmtId="0" fontId="5" fillId="0" borderId="0"/>
    <xf numFmtId="0" fontId="5" fillId="17" borderId="54"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17" borderId="54"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0" borderId="0"/>
    <xf numFmtId="0" fontId="5" fillId="0" borderId="0"/>
    <xf numFmtId="0" fontId="5" fillId="0" borderId="0"/>
    <xf numFmtId="0" fontId="5" fillId="27" borderId="0" applyNumberFormat="0" applyBorder="0" applyAlignment="0" applyProtection="0"/>
    <xf numFmtId="9" fontId="5" fillId="0" borderId="0" applyFont="0" applyFill="0" applyBorder="0" applyAlignment="0" applyProtection="0"/>
    <xf numFmtId="0" fontId="5" fillId="28" borderId="0" applyNumberFormat="0" applyBorder="0" applyAlignment="0" applyProtection="0"/>
    <xf numFmtId="0" fontId="5" fillId="35" borderId="0" applyNumberFormat="0" applyBorder="0" applyAlignment="0" applyProtection="0"/>
    <xf numFmtId="0" fontId="5" fillId="0" borderId="0"/>
    <xf numFmtId="168" fontId="5" fillId="0" borderId="0" applyFont="0" applyFill="0" applyBorder="0" applyAlignment="0" applyProtection="0"/>
    <xf numFmtId="0" fontId="5" fillId="2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17" borderId="5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23" borderId="0" applyNumberFormat="0" applyBorder="0" applyAlignment="0" applyProtection="0"/>
    <xf numFmtId="0" fontId="5" fillId="20" borderId="0" applyNumberFormat="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6" borderId="0" applyNumberFormat="0" applyBorder="0" applyAlignment="0" applyProtection="0"/>
    <xf numFmtId="0" fontId="5" fillId="1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8"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1" borderId="0" applyNumberFormat="0" applyBorder="0" applyAlignment="0" applyProtection="0"/>
    <xf numFmtId="0" fontId="5" fillId="32"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168" fontId="5" fillId="0" borderId="0" applyFont="0" applyFill="0" applyBorder="0" applyAlignment="0" applyProtection="0"/>
    <xf numFmtId="0" fontId="5" fillId="0" borderId="0"/>
    <xf numFmtId="0" fontId="5" fillId="17" borderId="54"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168"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168" fontId="5" fillId="0" borderId="0" applyFont="0" applyFill="0" applyBorder="0" applyAlignment="0" applyProtection="0"/>
    <xf numFmtId="0" fontId="5" fillId="0" borderId="0"/>
    <xf numFmtId="0" fontId="5" fillId="0" borderId="0"/>
    <xf numFmtId="0" fontId="5" fillId="0" borderId="0"/>
    <xf numFmtId="0" fontId="5" fillId="0" borderId="0"/>
    <xf numFmtId="0" fontId="5" fillId="17" borderId="54"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0" borderId="0"/>
    <xf numFmtId="0" fontId="5" fillId="0" borderId="0"/>
    <xf numFmtId="0" fontId="5" fillId="17" borderId="54"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0" borderId="0"/>
    <xf numFmtId="0" fontId="5" fillId="0" borderId="0"/>
    <xf numFmtId="0" fontId="198" fillId="59" borderId="167" applyNumberFormat="0" applyAlignment="0" applyProtection="0"/>
    <xf numFmtId="0" fontId="191" fillId="59" borderId="165" applyNumberFormat="0" applyAlignment="0" applyProtection="0"/>
    <xf numFmtId="0" fontId="195" fillId="50" borderId="165" applyNumberFormat="0" applyAlignment="0" applyProtection="0"/>
    <xf numFmtId="0" fontId="204" fillId="0" borderId="168" applyNumberFormat="0" applyFill="0" applyAlignment="0" applyProtection="0"/>
    <xf numFmtId="0" fontId="66" fillId="66" borderId="166" applyNumberFormat="0" applyFont="0" applyAlignment="0" applyProtection="0"/>
    <xf numFmtId="0" fontId="191" fillId="59" borderId="165" applyNumberFormat="0" applyAlignment="0" applyProtection="0"/>
    <xf numFmtId="0" fontId="195" fillId="50" borderId="165" applyNumberFormat="0" applyAlignment="0" applyProtection="0"/>
    <xf numFmtId="0" fontId="66" fillId="66" borderId="166" applyNumberFormat="0" applyFont="0" applyAlignment="0" applyProtection="0"/>
    <xf numFmtId="0" fontId="198" fillId="59" borderId="167" applyNumberFormat="0" applyAlignment="0" applyProtection="0"/>
    <xf numFmtId="0" fontId="204" fillId="0" borderId="168" applyNumberFormat="0" applyFill="0" applyAlignment="0" applyProtection="0"/>
    <xf numFmtId="0" fontId="5" fillId="0" borderId="0"/>
    <xf numFmtId="194" fontId="66" fillId="0" borderId="0" applyFont="0" applyFill="0" applyBorder="0" applyAlignment="0" applyProtection="0"/>
    <xf numFmtId="0" fontId="5" fillId="0" borderId="0"/>
    <xf numFmtId="0" fontId="5" fillId="0" borderId="0"/>
    <xf numFmtId="0" fontId="5" fillId="17" borderId="54"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194" fontId="66" fillId="0" borderId="0" applyFont="0" applyFill="0" applyBorder="0" applyAlignment="0" applyProtection="0"/>
    <xf numFmtId="0" fontId="5" fillId="0" borderId="0"/>
    <xf numFmtId="0" fontId="5" fillId="17" borderId="54"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0" borderId="0"/>
    <xf numFmtId="0" fontId="5" fillId="0" borderId="0"/>
    <xf numFmtId="9" fontId="5" fillId="0" borderId="0" applyFont="0" applyFill="0" applyBorder="0" applyAlignment="0" applyProtection="0"/>
    <xf numFmtId="43" fontId="66" fillId="0" borderId="0" applyFont="0" applyFill="0" applyBorder="0" applyAlignment="0" applyProtection="0"/>
    <xf numFmtId="0" fontId="5" fillId="0" borderId="0"/>
    <xf numFmtId="0" fontId="5" fillId="0" borderId="0"/>
    <xf numFmtId="0" fontId="212" fillId="67"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xf numFmtId="43" fontId="66" fillId="0" borderId="0" applyFont="0" applyFill="0" applyBorder="0" applyAlignment="0" applyProtection="0"/>
    <xf numFmtId="0" fontId="5" fillId="0" borderId="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191" fillId="59" borderId="165" applyNumberFormat="0" applyAlignment="0" applyProtection="0"/>
    <xf numFmtId="0" fontId="252" fillId="59" borderId="165" applyNumberFormat="0" applyAlignment="0" applyProtection="0"/>
    <xf numFmtId="0" fontId="191" fillId="59" borderId="165" applyNumberFormat="0" applyAlignment="0" applyProtection="0"/>
    <xf numFmtId="0" fontId="191" fillId="59" borderId="165" applyNumberFormat="0" applyAlignment="0" applyProtection="0"/>
    <xf numFmtId="0" fontId="191" fillId="59" borderId="165" applyNumberFormat="0" applyAlignment="0" applyProtection="0"/>
    <xf numFmtId="0" fontId="191" fillId="59" borderId="165" applyNumberFormat="0" applyAlignment="0" applyProtection="0"/>
    <xf numFmtId="0" fontId="191" fillId="59" borderId="165" applyNumberFormat="0" applyAlignment="0" applyProtection="0"/>
    <xf numFmtId="0" fontId="191" fillId="59" borderId="165" applyNumberFormat="0" applyAlignment="0" applyProtection="0"/>
    <xf numFmtId="0" fontId="191" fillId="59" borderId="165" applyNumberFormat="0" applyAlignment="0" applyProtection="0"/>
    <xf numFmtId="0" fontId="252" fillId="59" borderId="165" applyNumberFormat="0" applyAlignment="0" applyProtection="0"/>
    <xf numFmtId="0" fontId="252" fillId="59" borderId="165" applyNumberFormat="0" applyAlignment="0" applyProtection="0"/>
    <xf numFmtId="0" fontId="191" fillId="59" borderId="165" applyNumberFormat="0" applyAlignment="0" applyProtection="0"/>
    <xf numFmtId="0" fontId="195" fillId="50" borderId="165" applyNumberFormat="0" applyAlignment="0" applyProtection="0"/>
    <xf numFmtId="0" fontId="260" fillId="50" borderId="165" applyNumberFormat="0" applyAlignment="0" applyProtection="0"/>
    <xf numFmtId="0" fontId="195" fillId="50" borderId="165" applyNumberFormat="0" applyAlignment="0" applyProtection="0"/>
    <xf numFmtId="0" fontId="195" fillId="50" borderId="165" applyNumberFormat="0" applyAlignment="0" applyProtection="0"/>
    <xf numFmtId="0" fontId="195" fillId="50" borderId="165" applyNumberFormat="0" applyAlignment="0" applyProtection="0"/>
    <xf numFmtId="0" fontId="195" fillId="50" borderId="165" applyNumberFormat="0" applyAlignment="0" applyProtection="0"/>
    <xf numFmtId="0" fontId="195" fillId="50" borderId="165" applyNumberFormat="0" applyAlignment="0" applyProtection="0"/>
    <xf numFmtId="0" fontId="195" fillId="50" borderId="165" applyNumberFormat="0" applyAlignment="0" applyProtection="0"/>
    <xf numFmtId="0" fontId="195" fillId="50" borderId="165" applyNumberFormat="0" applyAlignment="0" applyProtection="0"/>
    <xf numFmtId="0" fontId="260" fillId="50" borderId="165" applyNumberFormat="0" applyAlignment="0" applyProtection="0"/>
    <xf numFmtId="0" fontId="260" fillId="50" borderId="165" applyNumberFormat="0" applyAlignment="0" applyProtection="0"/>
    <xf numFmtId="0" fontId="195" fillId="59" borderId="165" applyNumberFormat="0" applyAlignment="0" applyProtection="0"/>
    <xf numFmtId="0" fontId="195" fillId="59" borderId="165" applyNumberFormat="0" applyAlignment="0" applyProtection="0"/>
    <xf numFmtId="0" fontId="195" fillId="50" borderId="165" applyNumberFormat="0" applyAlignment="0" applyProtection="0"/>
    <xf numFmtId="0" fontId="195" fillId="50" borderId="165" applyNumberForma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26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6" fillId="66" borderId="166"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66" fillId="66" borderId="166"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66" fillId="66" borderId="166" applyNumberFormat="0" applyFont="0" applyAlignment="0" applyProtection="0"/>
    <xf numFmtId="0" fontId="66" fillId="66" borderId="166" applyNumberFormat="0" applyFont="0" applyAlignment="0" applyProtection="0"/>
    <xf numFmtId="0" fontId="66" fillId="66" borderId="166" applyNumberFormat="0" applyFont="0" applyAlignment="0" applyProtection="0"/>
    <xf numFmtId="0" fontId="160" fillId="66" borderId="166" applyNumberFormat="0" applyFont="0" applyAlignment="0" applyProtection="0"/>
    <xf numFmtId="0" fontId="66" fillId="66" borderId="166" applyNumberFormat="0" applyFont="0" applyAlignment="0" applyProtection="0"/>
    <xf numFmtId="0" fontId="66" fillId="66" borderId="166" applyNumberFormat="0" applyFont="0" applyAlignment="0" applyProtection="0"/>
    <xf numFmtId="0" fontId="66" fillId="66" borderId="166" applyNumberFormat="0" applyFont="0" applyAlignment="0" applyProtection="0"/>
    <xf numFmtId="0" fontId="66" fillId="66" borderId="166" applyNumberFormat="0" applyFont="0" applyAlignment="0" applyProtection="0"/>
    <xf numFmtId="0" fontId="160" fillId="66" borderId="166" applyNumberFormat="0" applyFont="0" applyAlignment="0" applyProtection="0"/>
    <xf numFmtId="0" fontId="160" fillId="66" borderId="166" applyNumberFormat="0" applyFont="0" applyAlignment="0" applyProtection="0"/>
    <xf numFmtId="0" fontId="66" fillId="66" borderId="166"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264" fillId="66" borderId="166" applyNumberFormat="0" applyFont="0" applyAlignment="0" applyProtection="0"/>
    <xf numFmtId="0" fontId="264" fillId="66" borderId="166"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71" fillId="66" borderId="166"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98" fillId="59" borderId="167" applyNumberFormat="0" applyAlignment="0" applyProtection="0"/>
    <xf numFmtId="0" fontId="267" fillId="59" borderId="167" applyNumberFormat="0" applyAlignment="0" applyProtection="0"/>
    <xf numFmtId="0" fontId="198" fillId="59" borderId="167" applyNumberFormat="0" applyAlignment="0" applyProtection="0"/>
    <xf numFmtId="0" fontId="198" fillId="59" borderId="167" applyNumberFormat="0" applyAlignment="0" applyProtection="0"/>
    <xf numFmtId="0" fontId="198" fillId="59" borderId="167" applyNumberFormat="0" applyAlignment="0" applyProtection="0"/>
    <xf numFmtId="0" fontId="198" fillId="59" borderId="167" applyNumberFormat="0" applyAlignment="0" applyProtection="0"/>
    <xf numFmtId="0" fontId="198" fillId="59" borderId="167" applyNumberFormat="0" applyAlignment="0" applyProtection="0"/>
    <xf numFmtId="0" fontId="198" fillId="59" borderId="167" applyNumberFormat="0" applyAlignment="0" applyProtection="0"/>
    <xf numFmtId="0" fontId="198" fillId="59" borderId="167" applyNumberFormat="0" applyAlignment="0" applyProtection="0"/>
    <xf numFmtId="0" fontId="267" fillId="59" borderId="167" applyNumberFormat="0" applyAlignment="0" applyProtection="0"/>
    <xf numFmtId="0" fontId="267" fillId="59" borderId="167" applyNumberFormat="0" applyAlignment="0" applyProtection="0"/>
    <xf numFmtId="0" fontId="198" fillId="59" borderId="167" applyNumberFormat="0" applyAlignment="0" applyProtection="0"/>
    <xf numFmtId="219" fontId="122" fillId="0" borderId="169">
      <protection locked="0"/>
    </xf>
    <xf numFmtId="0" fontId="275" fillId="0" borderId="168" applyNumberFormat="0" applyFill="0" applyAlignment="0" applyProtection="0"/>
    <xf numFmtId="0" fontId="204" fillId="0" borderId="168" applyNumberFormat="0" applyFill="0" applyAlignment="0" applyProtection="0"/>
    <xf numFmtId="0" fontId="204" fillId="0" borderId="168" applyNumberFormat="0" applyFill="0" applyAlignment="0" applyProtection="0"/>
    <xf numFmtId="0" fontId="204" fillId="0" borderId="168" applyNumberFormat="0" applyFill="0" applyAlignment="0" applyProtection="0"/>
    <xf numFmtId="0" fontId="204" fillId="0" borderId="168" applyNumberFormat="0" applyFill="0" applyAlignment="0" applyProtection="0"/>
    <xf numFmtId="0" fontId="275" fillId="0" borderId="168" applyNumberFormat="0" applyFill="0" applyAlignment="0" applyProtection="0"/>
    <xf numFmtId="0" fontId="275" fillId="0" borderId="168" applyNumberFormat="0" applyFill="0" applyAlignment="0" applyProtection="0"/>
    <xf numFmtId="0" fontId="204" fillId="0" borderId="168" applyNumberFormat="0" applyFill="0" applyAlignment="0" applyProtection="0"/>
    <xf numFmtId="0" fontId="204" fillId="0" borderId="168" applyNumberFormat="0" applyFill="0" applyAlignment="0" applyProtection="0"/>
    <xf numFmtId="0" fontId="204" fillId="0" borderId="168" applyNumberFormat="0" applyFill="0" applyAlignment="0" applyProtection="0"/>
    <xf numFmtId="0" fontId="204" fillId="0" borderId="168" applyNumberFormat="0" applyFill="0" applyAlignment="0" applyProtection="0"/>
    <xf numFmtId="0" fontId="204" fillId="0" borderId="168" applyNumberFormat="0" applyFill="0" applyAlignment="0" applyProtection="0"/>
    <xf numFmtId="0" fontId="204" fillId="0" borderId="168" applyNumberFormat="0" applyFill="0" applyAlignment="0" applyProtection="0"/>
    <xf numFmtId="0" fontId="204" fillId="0" borderId="168" applyNumberFormat="0" applyFill="0" applyAlignment="0" applyProtection="0"/>
    <xf numFmtId="0" fontId="204" fillId="0" borderId="168" applyNumberFormat="0" applyFill="0" applyAlignment="0" applyProtection="0"/>
    <xf numFmtId="0" fontId="204" fillId="0" borderId="168" applyNumberFormat="0" applyFill="0" applyAlignment="0" applyProtection="0"/>
    <xf numFmtId="0" fontId="204" fillId="0" borderId="168" applyNumberFormat="0" applyFill="0" applyAlignment="0" applyProtection="0"/>
    <xf numFmtId="0" fontId="204" fillId="0" borderId="168" applyNumberFormat="0" applyFill="0" applyAlignment="0" applyProtection="0"/>
    <xf numFmtId="0" fontId="204" fillId="0" borderId="168" applyNumberFormat="0" applyFill="0" applyAlignment="0" applyProtection="0"/>
    <xf numFmtId="0" fontId="66" fillId="66" borderId="166" applyNumberFormat="0" applyFont="0" applyAlignment="0" applyProtection="0"/>
    <xf numFmtId="0" fontId="66" fillId="66" borderId="166"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64" fillId="0" borderId="0" applyFont="0" applyFill="0" applyBorder="0" applyAlignment="0" applyProtection="0"/>
    <xf numFmtId="0" fontId="66" fillId="66" borderId="166" applyNumberFormat="0" applyFont="0" applyAlignment="0" applyProtection="0"/>
    <xf numFmtId="0" fontId="66" fillId="66" borderId="166" applyNumberFormat="0" applyFont="0" applyAlignment="0" applyProtection="0"/>
    <xf numFmtId="0" fontId="66" fillId="66" borderId="166" applyNumberFormat="0" applyFont="0" applyAlignment="0" applyProtection="0"/>
    <xf numFmtId="0" fontId="66" fillId="66" borderId="166" applyNumberFormat="0" applyFont="0" applyAlignment="0" applyProtection="0"/>
    <xf numFmtId="0" fontId="66" fillId="66" borderId="166" applyNumberFormat="0" applyFont="0" applyAlignment="0" applyProtection="0"/>
    <xf numFmtId="0" fontId="66" fillId="66" borderId="166" applyNumberFormat="0" applyFont="0" applyAlignment="0" applyProtection="0"/>
    <xf numFmtId="0" fontId="66" fillId="66" borderId="166" applyNumberFormat="0" applyFont="0" applyAlignment="0" applyProtection="0"/>
    <xf numFmtId="0" fontId="66" fillId="66" borderId="166" applyNumberFormat="0" applyFont="0" applyAlignment="0" applyProtection="0"/>
    <xf numFmtId="0" fontId="66" fillId="66" borderId="166"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64" fillId="0" borderId="0" applyFont="0" applyFill="0" applyBorder="0" applyAlignment="0" applyProtection="0"/>
    <xf numFmtId="9" fontId="5" fillId="0" borderId="0" applyFont="0" applyFill="0" applyBorder="0" applyAlignment="0" applyProtection="0"/>
    <xf numFmtId="0" fontId="5" fillId="0" borderId="0"/>
    <xf numFmtId="0" fontId="5" fillId="33" borderId="0" applyNumberFormat="0" applyBorder="0" applyAlignment="0" applyProtection="0"/>
    <xf numFmtId="0" fontId="5" fillId="24" borderId="0" applyNumberFormat="0" applyBorder="0" applyAlignment="0" applyProtection="0"/>
    <xf numFmtId="0" fontId="5" fillId="3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3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39" borderId="0" applyNumberFormat="0" applyBorder="0" applyAlignment="0" applyProtection="0"/>
    <xf numFmtId="0" fontId="5" fillId="29" borderId="0" applyNumberFormat="0" applyBorder="0" applyAlignment="0" applyProtection="0"/>
    <xf numFmtId="0" fontId="5" fillId="39"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6" fillId="66" borderId="166"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43" fontId="264" fillId="0" borderId="0" applyFont="0" applyFill="0" applyBorder="0" applyAlignment="0" applyProtection="0"/>
    <xf numFmtId="0" fontId="66" fillId="66" borderId="166" applyNumberFormat="0" applyFont="0" applyAlignment="0" applyProtection="0"/>
    <xf numFmtId="0" fontId="5" fillId="17" borderId="5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7" borderId="5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7" borderId="54"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66" fillId="66" borderId="166"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75" fillId="0" borderId="168" applyNumberFormat="0" applyFill="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219" fontId="122" fillId="0" borderId="169">
      <protection locked="0"/>
    </xf>
    <xf numFmtId="0" fontId="275" fillId="0" borderId="168" applyNumberFormat="0" applyFill="0" applyAlignment="0" applyProtection="0"/>
    <xf numFmtId="0" fontId="5" fillId="0" borderId="0"/>
    <xf numFmtId="0" fontId="5" fillId="0" borderId="0"/>
    <xf numFmtId="0" fontId="5" fillId="0" borderId="0"/>
    <xf numFmtId="219" fontId="122" fillId="0" borderId="169">
      <protection locked="0"/>
    </xf>
    <xf numFmtId="0" fontId="275" fillId="0" borderId="168" applyNumberFormat="0" applyFill="0" applyAlignment="0" applyProtection="0"/>
    <xf numFmtId="0" fontId="5" fillId="0" borderId="0"/>
    <xf numFmtId="0" fontId="5" fillId="17" borderId="5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64" fillId="0" borderId="0" applyFont="0" applyFill="0" applyBorder="0" applyAlignment="0" applyProtection="0"/>
    <xf numFmtId="0" fontId="5" fillId="17" borderId="54" applyNumberFormat="0" applyFont="0" applyAlignment="0" applyProtection="0"/>
    <xf numFmtId="0" fontId="5" fillId="17" borderId="5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264" fillId="0" borderId="0" applyFont="0" applyFill="0" applyBorder="0" applyAlignment="0" applyProtection="0"/>
    <xf numFmtId="9" fontId="5" fillId="0" borderId="0" applyFont="0" applyFill="0" applyBorder="0" applyAlignment="0" applyProtection="0"/>
    <xf numFmtId="0" fontId="5" fillId="33" borderId="0" applyNumberFormat="0" applyBorder="0" applyAlignment="0" applyProtection="0"/>
    <xf numFmtId="0" fontId="5" fillId="24"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24"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5" borderId="0" applyNumberFormat="0" applyBorder="0" applyAlignment="0" applyProtection="0"/>
    <xf numFmtId="0" fontId="5" fillId="3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6" fillId="66" borderId="166" applyNumberFormat="0" applyFont="0" applyAlignment="0" applyProtection="0"/>
    <xf numFmtId="0" fontId="66" fillId="66" borderId="166"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5" fillId="17" borderId="54" applyNumberFormat="0" applyFont="0" applyAlignment="0" applyProtection="0"/>
    <xf numFmtId="0" fontId="275" fillId="0" borderId="168" applyNumberFormat="0" applyFill="0" applyAlignment="0" applyProtection="0"/>
    <xf numFmtId="0" fontId="5" fillId="0" borderId="0"/>
    <xf numFmtId="219" fontId="122" fillId="0" borderId="169">
      <protection locked="0"/>
    </xf>
    <xf numFmtId="0" fontId="275" fillId="0" borderId="168" applyNumberFormat="0" applyFill="0" applyAlignment="0" applyProtection="0"/>
    <xf numFmtId="0" fontId="5" fillId="0" borderId="0"/>
    <xf numFmtId="0" fontId="5" fillId="0" borderId="0"/>
    <xf numFmtId="0" fontId="5" fillId="17" borderId="54" applyNumberFormat="0" applyFont="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17" borderId="54"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0" borderId="0"/>
    <xf numFmtId="0" fontId="5" fillId="0" borderId="0"/>
    <xf numFmtId="0" fontId="5" fillId="0" borderId="0"/>
    <xf numFmtId="0" fontId="5" fillId="17" borderId="54" applyNumberFormat="0" applyFont="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0" borderId="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194" fontId="66" fillId="0" borderId="0" applyFont="0" applyFill="0" applyBorder="0" applyAlignment="0" applyProtection="0"/>
    <xf numFmtId="194" fontId="66" fillId="0" borderId="0" applyFont="0" applyFill="0" applyBorder="0" applyAlignment="0" applyProtection="0"/>
    <xf numFmtId="0" fontId="4" fillId="0" borderId="0"/>
    <xf numFmtId="9" fontId="66" fillId="0" borderId="0" applyFont="0" applyFill="0" applyBorder="0" applyAlignment="0" applyProtection="0"/>
    <xf numFmtId="0" fontId="3" fillId="0" borderId="0"/>
    <xf numFmtId="194" fontId="305" fillId="0" borderId="0" applyFont="0" applyFill="0" applyBorder="0" applyAlignment="0" applyProtection="0"/>
    <xf numFmtId="0" fontId="2" fillId="0" borderId="0"/>
    <xf numFmtId="0" fontId="2" fillId="0" borderId="0"/>
    <xf numFmtId="0" fontId="1" fillId="0" borderId="0"/>
    <xf numFmtId="0" fontId="1" fillId="0" borderId="0"/>
    <xf numFmtId="168" fontId="1" fillId="0" borderId="0" applyFont="0" applyFill="0" applyBorder="0" applyAlignment="0" applyProtection="0"/>
    <xf numFmtId="43" fontId="309" fillId="0" borderId="0" applyFont="0" applyFill="0" applyBorder="0" applyAlignment="0" applyProtection="0"/>
    <xf numFmtId="0" fontId="76" fillId="0" borderId="0"/>
    <xf numFmtId="225" fontId="66" fillId="0" borderId="0" applyFill="0" applyBorder="0" applyAlignment="0" applyProtection="0"/>
    <xf numFmtId="226" fontId="66" fillId="0" borderId="0" applyFill="0" applyBorder="0" applyAlignment="0" applyProtection="0"/>
    <xf numFmtId="225" fontId="66" fillId="0" borderId="0" applyFill="0" applyBorder="0" applyAlignment="0" applyProtection="0"/>
  </cellStyleXfs>
  <cellXfs count="3794">
    <xf numFmtId="0" fontId="0" fillId="0" borderId="0" xfId="0"/>
    <xf numFmtId="0" fontId="71" fillId="2" borderId="7" xfId="0" applyFont="1" applyFill="1" applyBorder="1" applyAlignment="1">
      <alignment horizontal="center" vertical="center" wrapText="1"/>
    </xf>
    <xf numFmtId="0" fontId="71" fillId="2" borderId="25" xfId="12" applyFont="1" applyFill="1" applyBorder="1" applyAlignment="1">
      <alignment horizontal="center" vertical="center" wrapText="1"/>
    </xf>
    <xf numFmtId="0" fontId="71" fillId="2" borderId="25" xfId="0" applyFont="1" applyFill="1" applyBorder="1" applyAlignment="1">
      <alignment horizontal="center" vertical="center" wrapText="1"/>
    </xf>
    <xf numFmtId="0" fontId="71" fillId="2" borderId="5" xfId="0" applyFont="1" applyFill="1" applyBorder="1" applyAlignment="1">
      <alignment horizontal="center" vertical="center" wrapText="1"/>
    </xf>
    <xf numFmtId="0" fontId="71" fillId="2" borderId="6" xfId="0" applyFont="1" applyFill="1" applyBorder="1" applyAlignment="1">
      <alignment horizontal="center" vertical="center" wrapText="1"/>
    </xf>
    <xf numFmtId="0" fontId="70" fillId="2" borderId="0" xfId="0" applyFont="1" applyFill="1"/>
    <xf numFmtId="0" fontId="0" fillId="2" borderId="0" xfId="0" applyFill="1"/>
    <xf numFmtId="0" fontId="0" fillId="2" borderId="2" xfId="0" applyFill="1" applyBorder="1"/>
    <xf numFmtId="0" fontId="91" fillId="2" borderId="3" xfId="0" applyFont="1" applyFill="1" applyBorder="1"/>
    <xf numFmtId="0" fontId="70" fillId="2" borderId="0" xfId="0" applyFont="1" applyFill="1" applyAlignment="1">
      <alignment vertical="center"/>
    </xf>
    <xf numFmtId="0" fontId="70" fillId="2" borderId="0" xfId="0" applyFont="1" applyFill="1" applyAlignment="1">
      <alignment vertical="center" wrapText="1"/>
    </xf>
    <xf numFmtId="0" fontId="91" fillId="2" borderId="0" xfId="0" applyFont="1" applyFill="1"/>
    <xf numFmtId="0" fontId="70" fillId="2" borderId="0" xfId="13" applyFont="1" applyFill="1" applyAlignment="1">
      <alignment vertical="center"/>
    </xf>
    <xf numFmtId="0" fontId="70" fillId="2" borderId="0" xfId="13" applyFont="1" applyFill="1" applyAlignment="1">
      <alignment vertical="center" wrapText="1"/>
    </xf>
    <xf numFmtId="0" fontId="70" fillId="2" borderId="0" xfId="13" applyFont="1" applyFill="1"/>
    <xf numFmtId="0" fontId="70" fillId="2" borderId="0" xfId="12" applyFont="1" applyFill="1" applyAlignment="1">
      <alignment vertical="center"/>
    </xf>
    <xf numFmtId="0" fontId="70" fillId="2" borderId="0" xfId="12" applyFont="1" applyFill="1" applyAlignment="1">
      <alignment vertical="center" wrapText="1"/>
    </xf>
    <xf numFmtId="0" fontId="70" fillId="2" borderId="0" xfId="12" applyFont="1" applyFill="1"/>
    <xf numFmtId="0" fontId="72" fillId="2" borderId="0" xfId="0" applyFont="1" applyFill="1"/>
    <xf numFmtId="0" fontId="69" fillId="2" borderId="0" xfId="0" applyFont="1" applyFill="1"/>
    <xf numFmtId="0" fontId="88" fillId="2" borderId="0" xfId="0" applyFont="1" applyFill="1"/>
    <xf numFmtId="0" fontId="79" fillId="2" borderId="0" xfId="0" applyFont="1" applyFill="1" applyAlignment="1">
      <alignment vertical="center"/>
    </xf>
    <xf numFmtId="0" fontId="98" fillId="2" borderId="0" xfId="0" applyFont="1" applyFill="1" applyAlignment="1">
      <alignment horizontal="center" vertical="center"/>
    </xf>
    <xf numFmtId="0" fontId="96" fillId="2" borderId="0" xfId="0" applyFont="1" applyFill="1" applyAlignment="1">
      <alignment horizontal="left" vertical="center"/>
    </xf>
    <xf numFmtId="0" fontId="99" fillId="2" borderId="0" xfId="0" applyFont="1" applyFill="1" applyAlignment="1">
      <alignment horizontal="center" vertical="center"/>
    </xf>
    <xf numFmtId="0" fontId="100" fillId="2" borderId="0" xfId="0" applyFont="1" applyFill="1" applyAlignment="1">
      <alignment horizontal="center" vertical="center"/>
    </xf>
    <xf numFmtId="0" fontId="88" fillId="2" borderId="0" xfId="13" applyFont="1" applyFill="1" applyAlignment="1">
      <alignment vertical="center"/>
    </xf>
    <xf numFmtId="180" fontId="92" fillId="2" borderId="2" xfId="12401" applyNumberFormat="1" applyFont="1" applyFill="1" applyBorder="1" applyAlignment="1">
      <alignment horizontal="center" vertical="center"/>
    </xf>
    <xf numFmtId="0" fontId="0" fillId="2" borderId="0" xfId="0" applyFill="1" applyAlignment="1">
      <alignment wrapText="1"/>
    </xf>
    <xf numFmtId="170" fontId="103" fillId="3" borderId="2" xfId="0" applyNumberFormat="1" applyFont="1" applyFill="1" applyBorder="1"/>
    <xf numFmtId="0" fontId="86" fillId="2" borderId="6" xfId="13" applyFont="1" applyFill="1" applyBorder="1" applyAlignment="1">
      <alignment horizontal="centerContinuous" vertical="center" wrapText="1"/>
    </xf>
    <xf numFmtId="170" fontId="104" fillId="4" borderId="11" xfId="0" applyNumberFormat="1" applyFont="1" applyFill="1" applyBorder="1"/>
    <xf numFmtId="170" fontId="104" fillId="4" borderId="2" xfId="0" applyNumberFormat="1" applyFont="1" applyFill="1" applyBorder="1"/>
    <xf numFmtId="170" fontId="104" fillId="4" borderId="15" xfId="0" applyNumberFormat="1" applyFont="1" applyFill="1" applyBorder="1"/>
    <xf numFmtId="170" fontId="104" fillId="4" borderId="16" xfId="0" applyNumberFormat="1" applyFont="1" applyFill="1" applyBorder="1"/>
    <xf numFmtId="0" fontId="83" fillId="2" borderId="0" xfId="0" applyFont="1" applyFill="1"/>
    <xf numFmtId="0" fontId="91" fillId="2" borderId="6" xfId="0" applyFont="1" applyFill="1" applyBorder="1" applyAlignment="1">
      <alignment horizontal="centerContinuous" vertical="center" wrapText="1"/>
    </xf>
    <xf numFmtId="0" fontId="86" fillId="2" borderId="6" xfId="0" applyFont="1" applyFill="1" applyBorder="1" applyAlignment="1">
      <alignment horizontal="centerContinuous" vertical="center" wrapText="1"/>
    </xf>
    <xf numFmtId="170" fontId="103" fillId="3" borderId="10" xfId="0" applyNumberFormat="1" applyFont="1" applyFill="1" applyBorder="1"/>
    <xf numFmtId="1" fontId="107" fillId="2" borderId="0" xfId="9" applyNumberFormat="1" applyFont="1" applyFill="1" applyBorder="1" applyAlignment="1" applyProtection="1">
      <alignment horizontal="center" vertical="center"/>
    </xf>
    <xf numFmtId="0" fontId="93" fillId="2" borderId="5" xfId="13" applyFont="1" applyFill="1" applyBorder="1" applyAlignment="1">
      <alignment horizontal="center" vertical="center"/>
    </xf>
    <xf numFmtId="0" fontId="93" fillId="2" borderId="6" xfId="13" applyFont="1" applyFill="1" applyBorder="1" applyAlignment="1">
      <alignment horizontal="center" vertical="center"/>
    </xf>
    <xf numFmtId="0" fontId="93" fillId="2" borderId="18" xfId="13" applyFont="1" applyFill="1" applyBorder="1" applyAlignment="1">
      <alignment horizontal="center" vertical="center"/>
    </xf>
    <xf numFmtId="180" fontId="92" fillId="2" borderId="18" xfId="12401" applyNumberFormat="1" applyFont="1" applyFill="1" applyBorder="1" applyAlignment="1">
      <alignment horizontal="center" vertical="center"/>
    </xf>
    <xf numFmtId="180" fontId="92" fillId="2" borderId="6" xfId="12401" applyNumberFormat="1" applyFont="1" applyFill="1" applyBorder="1" applyAlignment="1">
      <alignment horizontal="center" vertical="center"/>
    </xf>
    <xf numFmtId="180" fontId="92" fillId="2" borderId="19" xfId="12401" applyNumberFormat="1" applyFont="1" applyFill="1" applyBorder="1" applyAlignment="1">
      <alignment horizontal="center" vertical="center"/>
    </xf>
    <xf numFmtId="170" fontId="103" fillId="3" borderId="11" xfId="0" applyNumberFormat="1" applyFont="1" applyFill="1" applyBorder="1"/>
    <xf numFmtId="0" fontId="86" fillId="2" borderId="7" xfId="0" applyFont="1" applyFill="1" applyBorder="1" applyAlignment="1">
      <alignment horizontal="centerContinuous" vertical="center" wrapText="1"/>
    </xf>
    <xf numFmtId="170" fontId="110" fillId="0" borderId="2" xfId="0" applyNumberFormat="1" applyFont="1" applyBorder="1"/>
    <xf numFmtId="170" fontId="103" fillId="3" borderId="0" xfId="0" applyNumberFormat="1" applyFont="1" applyFill="1"/>
    <xf numFmtId="0" fontId="89" fillId="2" borderId="20" xfId="0" applyFont="1" applyFill="1" applyBorder="1" applyAlignment="1">
      <alignment horizontal="center" vertical="center" wrapText="1"/>
    </xf>
    <xf numFmtId="0" fontId="71" fillId="2" borderId="0" xfId="0" applyFont="1" applyFill="1"/>
    <xf numFmtId="2" fontId="71" fillId="0" borderId="3" xfId="0" applyNumberFormat="1" applyFont="1" applyBorder="1" applyAlignment="1">
      <alignment horizontal="center"/>
    </xf>
    <xf numFmtId="0" fontId="71" fillId="2" borderId="25" xfId="0" applyFont="1" applyFill="1" applyBorder="1"/>
    <xf numFmtId="0" fontId="71" fillId="2" borderId="5" xfId="0" applyFont="1" applyFill="1" applyBorder="1"/>
    <xf numFmtId="0" fontId="84" fillId="2" borderId="13" xfId="0" applyFont="1" applyFill="1" applyBorder="1" applyAlignment="1">
      <alignment horizontal="centerContinuous" vertical="center" wrapText="1"/>
    </xf>
    <xf numFmtId="2" fontId="71" fillId="0" borderId="9" xfId="0" applyNumberFormat="1" applyFont="1" applyBorder="1" applyAlignment="1">
      <alignment horizontal="center"/>
    </xf>
    <xf numFmtId="0" fontId="71" fillId="2" borderId="6" xfId="0" applyFont="1" applyFill="1" applyBorder="1"/>
    <xf numFmtId="0" fontId="71" fillId="2" borderId="7" xfId="0" applyFont="1" applyFill="1" applyBorder="1"/>
    <xf numFmtId="0" fontId="91" fillId="2" borderId="2" xfId="0" applyFont="1" applyFill="1" applyBorder="1" applyAlignment="1">
      <alignment horizontal="centerContinuous" vertical="center" wrapText="1"/>
    </xf>
    <xf numFmtId="0" fontId="91" fillId="2" borderId="0" xfId="0" applyFont="1" applyFill="1" applyAlignment="1">
      <alignment horizontal="centerContinuous" vertical="center" wrapText="1"/>
    </xf>
    <xf numFmtId="0" fontId="91" fillId="2" borderId="29" xfId="0" applyFont="1" applyFill="1" applyBorder="1" applyAlignment="1">
      <alignment horizontal="centerContinuous" vertical="center" wrapText="1"/>
    </xf>
    <xf numFmtId="1" fontId="87" fillId="2" borderId="5" xfId="0" applyNumberFormat="1" applyFont="1" applyFill="1" applyBorder="1" applyAlignment="1">
      <alignment horizontal="center"/>
    </xf>
    <xf numFmtId="1" fontId="87" fillId="2" borderId="6" xfId="0" applyNumberFormat="1" applyFont="1" applyFill="1" applyBorder="1" applyAlignment="1">
      <alignment horizontal="center"/>
    </xf>
    <xf numFmtId="1" fontId="87" fillId="2" borderId="7" xfId="0" applyNumberFormat="1" applyFont="1" applyFill="1" applyBorder="1" applyAlignment="1">
      <alignment horizontal="center"/>
    </xf>
    <xf numFmtId="0" fontId="71" fillId="2" borderId="2" xfId="0" applyFont="1" applyFill="1" applyBorder="1" applyAlignment="1">
      <alignment vertical="center"/>
    </xf>
    <xf numFmtId="0" fontId="71" fillId="2" borderId="0" xfId="0" applyFont="1" applyFill="1" applyAlignment="1">
      <alignment vertical="center"/>
    </xf>
    <xf numFmtId="0" fontId="71" fillId="2" borderId="3" xfId="0" applyFont="1" applyFill="1" applyBorder="1" applyAlignment="1">
      <alignment vertical="center"/>
    </xf>
    <xf numFmtId="0" fontId="71" fillId="2" borderId="6" xfId="0" applyFont="1" applyFill="1" applyBorder="1" applyAlignment="1">
      <alignment horizontal="centerContinuous" vertical="center" wrapText="1"/>
    </xf>
    <xf numFmtId="0" fontId="71" fillId="2" borderId="7" xfId="0" applyFont="1" applyFill="1" applyBorder="1" applyAlignment="1">
      <alignment horizontal="centerContinuous" vertical="center" wrapText="1"/>
    </xf>
    <xf numFmtId="175" fontId="71" fillId="0" borderId="16" xfId="0" applyNumberFormat="1" applyFont="1" applyBorder="1"/>
    <xf numFmtId="0" fontId="71" fillId="2" borderId="18" xfId="0" applyFont="1" applyFill="1" applyBorder="1" applyAlignment="1">
      <alignment vertical="center"/>
    </xf>
    <xf numFmtId="0" fontId="71" fillId="2" borderId="6" xfId="0" applyFont="1" applyFill="1" applyBorder="1" applyAlignment="1">
      <alignment vertical="center"/>
    </xf>
    <xf numFmtId="0" fontId="71" fillId="2" borderId="7" xfId="0" applyFont="1" applyFill="1" applyBorder="1" applyAlignment="1">
      <alignment vertical="center"/>
    </xf>
    <xf numFmtId="0" fontId="97" fillId="2" borderId="0" xfId="0" applyFont="1" applyFill="1" applyAlignment="1">
      <alignment vertical="center"/>
    </xf>
    <xf numFmtId="0" fontId="111" fillId="2" borderId="0" xfId="0" applyFont="1" applyFill="1" applyAlignment="1">
      <alignment vertical="center"/>
    </xf>
    <xf numFmtId="0" fontId="101" fillId="2" borderId="0" xfId="0" applyFont="1" applyFill="1" applyAlignment="1">
      <alignment horizontal="center" vertical="center"/>
    </xf>
    <xf numFmtId="1" fontId="88" fillId="2" borderId="0" xfId="13" applyNumberFormat="1" applyFont="1" applyFill="1"/>
    <xf numFmtId="0" fontId="88" fillId="2" borderId="0" xfId="13" applyFont="1" applyFill="1"/>
    <xf numFmtId="0" fontId="95" fillId="2" borderId="0" xfId="0" applyFont="1" applyFill="1" applyAlignment="1">
      <alignment horizontal="center" vertical="center"/>
    </xf>
    <xf numFmtId="2" fontId="110" fillId="0" borderId="3" xfId="0" applyNumberFormat="1" applyFont="1" applyBorder="1" applyAlignment="1">
      <alignment horizontal="center"/>
    </xf>
    <xf numFmtId="0" fontId="83" fillId="2" borderId="23" xfId="0" applyFont="1" applyFill="1" applyBorder="1"/>
    <xf numFmtId="0" fontId="87" fillId="2" borderId="6" xfId="0" applyFont="1" applyFill="1" applyBorder="1" applyAlignment="1">
      <alignment horizontal="centerContinuous" vertical="center" wrapText="1"/>
    </xf>
    <xf numFmtId="0" fontId="88" fillId="2" borderId="0" xfId="12" applyFont="1" applyFill="1"/>
    <xf numFmtId="0" fontId="86" fillId="2" borderId="6" xfId="12" applyFont="1" applyFill="1" applyBorder="1" applyAlignment="1">
      <alignment horizontal="centerContinuous" vertical="center" wrapText="1"/>
    </xf>
    <xf numFmtId="1" fontId="91" fillId="2" borderId="5" xfId="12" quotePrefix="1" applyNumberFormat="1" applyFont="1" applyFill="1" applyBorder="1" applyAlignment="1">
      <alignment horizontal="center" vertical="center"/>
    </xf>
    <xf numFmtId="1" fontId="91" fillId="2" borderId="7" xfId="12" quotePrefix="1" applyNumberFormat="1" applyFont="1" applyFill="1" applyBorder="1" applyAlignment="1">
      <alignment horizontal="center" vertical="center"/>
    </xf>
    <xf numFmtId="170" fontId="110" fillId="0" borderId="16" xfId="0" applyNumberFormat="1" applyFont="1" applyBorder="1"/>
    <xf numFmtId="0" fontId="91" fillId="2" borderId="2" xfId="0" applyFont="1" applyFill="1" applyBorder="1"/>
    <xf numFmtId="0" fontId="89" fillId="2" borderId="14" xfId="0" quotePrefix="1" applyFont="1" applyFill="1" applyBorder="1" applyAlignment="1">
      <alignment horizontal="center" vertical="center" wrapText="1"/>
    </xf>
    <xf numFmtId="0" fontId="94" fillId="2" borderId="0" xfId="0" applyFont="1" applyFill="1"/>
    <xf numFmtId="170" fontId="110" fillId="4" borderId="3" xfId="0" applyNumberFormat="1" applyFont="1" applyFill="1" applyBorder="1"/>
    <xf numFmtId="0" fontId="108" fillId="2" borderId="5" xfId="0" applyFont="1" applyFill="1" applyBorder="1" applyAlignment="1">
      <alignment horizontal="centerContinuous" vertical="center" wrapText="1"/>
    </xf>
    <xf numFmtId="0" fontId="108" fillId="2" borderId="6" xfId="0" applyFont="1" applyFill="1" applyBorder="1" applyAlignment="1">
      <alignment horizontal="centerContinuous" vertical="center" wrapText="1"/>
    </xf>
    <xf numFmtId="0" fontId="87" fillId="2" borderId="2" xfId="0" applyFont="1" applyFill="1" applyBorder="1" applyAlignment="1">
      <alignment horizontal="centerContinuous" vertical="center"/>
    </xf>
    <xf numFmtId="0" fontId="90" fillId="2" borderId="0" xfId="0" applyFont="1" applyFill="1" applyAlignment="1">
      <alignment horizontal="centerContinuous" vertical="center" wrapText="1"/>
    </xf>
    <xf numFmtId="10" fontId="87" fillId="2" borderId="7" xfId="0" applyNumberFormat="1" applyFont="1" applyFill="1" applyBorder="1" applyAlignment="1">
      <alignment horizontal="center"/>
    </xf>
    <xf numFmtId="10" fontId="88" fillId="2" borderId="0" xfId="0" applyNumberFormat="1" applyFont="1" applyFill="1"/>
    <xf numFmtId="0" fontId="85" fillId="2" borderId="6" xfId="0" applyFont="1" applyFill="1" applyBorder="1" applyAlignment="1">
      <alignment horizontal="centerContinuous" vertical="center" wrapText="1"/>
    </xf>
    <xf numFmtId="0" fontId="85" fillId="2" borderId="7" xfId="0" applyFont="1" applyFill="1" applyBorder="1" applyAlignment="1">
      <alignment horizontal="centerContinuous" vertical="center" wrapText="1"/>
    </xf>
    <xf numFmtId="0" fontId="87" fillId="2" borderId="7" xfId="0" applyFont="1" applyFill="1" applyBorder="1" applyAlignment="1">
      <alignment horizontal="centerContinuous" vertical="center" wrapText="1"/>
    </xf>
    <xf numFmtId="0" fontId="87" fillId="2" borderId="18" xfId="0" applyFont="1" applyFill="1" applyBorder="1" applyAlignment="1">
      <alignment horizontal="centerContinuous" vertical="center" wrapText="1"/>
    </xf>
    <xf numFmtId="0" fontId="79" fillId="0" borderId="0" xfId="0" applyFont="1" applyAlignment="1">
      <alignment vertical="center"/>
    </xf>
    <xf numFmtId="0" fontId="80" fillId="2" borderId="0" xfId="0" applyFont="1" applyFill="1" applyAlignment="1">
      <alignment vertical="center"/>
    </xf>
    <xf numFmtId="170" fontId="91" fillId="4" borderId="0" xfId="0" applyNumberFormat="1" applyFont="1" applyFill="1"/>
    <xf numFmtId="0" fontId="95" fillId="2" borderId="6" xfId="0" applyFont="1" applyFill="1" applyBorder="1" applyAlignment="1">
      <alignment horizontal="centerContinuous" vertical="center" wrapText="1"/>
    </xf>
    <xf numFmtId="0" fontId="86" fillId="2" borderId="6" xfId="0" applyFont="1" applyFill="1" applyBorder="1" applyAlignment="1">
      <alignment vertical="center" wrapText="1"/>
    </xf>
    <xf numFmtId="0" fontId="86" fillId="2" borderId="7" xfId="0" applyFont="1" applyFill="1" applyBorder="1" applyAlignment="1">
      <alignment vertical="center" wrapText="1"/>
    </xf>
    <xf numFmtId="1" fontId="91" fillId="2" borderId="6" xfId="12" quotePrefix="1" applyNumberFormat="1" applyFont="1" applyFill="1" applyBorder="1" applyAlignment="1">
      <alignment horizontal="center" vertical="center"/>
    </xf>
    <xf numFmtId="0" fontId="86" fillId="2" borderId="7" xfId="12" applyFont="1" applyFill="1" applyBorder="1" applyAlignment="1">
      <alignment horizontal="centerContinuous" vertical="center" wrapText="1"/>
    </xf>
    <xf numFmtId="175" fontId="71" fillId="0" borderId="0" xfId="0" applyNumberFormat="1" applyFont="1"/>
    <xf numFmtId="3" fontId="109" fillId="0" borderId="2" xfId="14" applyNumberFormat="1" applyFont="1" applyBorder="1"/>
    <xf numFmtId="170" fontId="110" fillId="4" borderId="16" xfId="0" applyNumberFormat="1" applyFont="1" applyFill="1" applyBorder="1"/>
    <xf numFmtId="0" fontId="108" fillId="2" borderId="0" xfId="0" applyFont="1" applyFill="1" applyAlignment="1">
      <alignment horizontal="centerContinuous" vertical="center" wrapText="1"/>
    </xf>
    <xf numFmtId="170" fontId="109" fillId="0" borderId="0" xfId="0" applyNumberFormat="1" applyFont="1"/>
    <xf numFmtId="170" fontId="103" fillId="4" borderId="16" xfId="0" applyNumberFormat="1" applyFont="1" applyFill="1" applyBorder="1"/>
    <xf numFmtId="3" fontId="103" fillId="3" borderId="0" xfId="0" applyNumberFormat="1" applyFont="1" applyFill="1"/>
    <xf numFmtId="3" fontId="103" fillId="3" borderId="16" xfId="0" applyNumberFormat="1" applyFont="1" applyFill="1" applyBorder="1"/>
    <xf numFmtId="1" fontId="87" fillId="2" borderId="25" xfId="0" applyNumberFormat="1" applyFont="1" applyFill="1" applyBorder="1" applyAlignment="1">
      <alignment horizontal="center"/>
    </xf>
    <xf numFmtId="1" fontId="87" fillId="2" borderId="0" xfId="0" applyNumberFormat="1" applyFont="1" applyFill="1" applyAlignment="1">
      <alignment horizontal="center"/>
    </xf>
    <xf numFmtId="1" fontId="87" fillId="2" borderId="3" xfId="0" applyNumberFormat="1" applyFont="1" applyFill="1" applyBorder="1" applyAlignment="1">
      <alignment horizontal="center"/>
    </xf>
    <xf numFmtId="186" fontId="103" fillId="2" borderId="6" xfId="0" applyNumberFormat="1" applyFont="1" applyFill="1" applyBorder="1" applyAlignment="1">
      <alignment horizontal="center"/>
    </xf>
    <xf numFmtId="186" fontId="103" fillId="2" borderId="7" xfId="0" applyNumberFormat="1" applyFont="1" applyFill="1" applyBorder="1" applyAlignment="1">
      <alignment horizontal="center"/>
    </xf>
    <xf numFmtId="0" fontId="87" fillId="2" borderId="25" xfId="0" applyFont="1" applyFill="1" applyBorder="1" applyAlignment="1">
      <alignment horizontal="center" vertical="center"/>
    </xf>
    <xf numFmtId="0" fontId="87" fillId="2" borderId="6" xfId="0" applyFont="1" applyFill="1" applyBorder="1" applyAlignment="1">
      <alignment horizontal="center" vertical="center"/>
    </xf>
    <xf numFmtId="170" fontId="103" fillId="3" borderId="3" xfId="0" applyNumberFormat="1" applyFont="1" applyFill="1" applyBorder="1"/>
    <xf numFmtId="179" fontId="91" fillId="2" borderId="5" xfId="12401" quotePrefix="1" applyNumberFormat="1" applyFont="1" applyFill="1" applyBorder="1" applyAlignment="1" applyProtection="1">
      <alignment horizontal="center" vertical="center"/>
    </xf>
    <xf numFmtId="179" fontId="91" fillId="2" borderId="6" xfId="12401" quotePrefix="1" applyNumberFormat="1" applyFont="1" applyFill="1" applyBorder="1" applyAlignment="1" applyProtection="1">
      <alignment horizontal="center" vertical="center"/>
    </xf>
    <xf numFmtId="179" fontId="91" fillId="2" borderId="7" xfId="12401" applyNumberFormat="1" applyFont="1" applyFill="1" applyBorder="1" applyAlignment="1">
      <alignment horizontal="center" vertical="center"/>
    </xf>
    <xf numFmtId="179" fontId="91" fillId="2" borderId="6" xfId="12401" applyNumberFormat="1" applyFont="1" applyFill="1" applyBorder="1" applyAlignment="1">
      <alignment horizontal="centerContinuous" vertical="center"/>
    </xf>
    <xf numFmtId="179" fontId="91" fillId="2" borderId="7" xfId="12401" applyNumberFormat="1" applyFont="1" applyFill="1" applyBorder="1" applyAlignment="1">
      <alignment horizontal="centerContinuous" vertical="center"/>
    </xf>
    <xf numFmtId="170" fontId="103" fillId="4" borderId="10" xfId="0" applyNumberFormat="1" applyFont="1" applyFill="1" applyBorder="1"/>
    <xf numFmtId="0" fontId="71" fillId="2" borderId="25" xfId="0" applyFont="1" applyFill="1" applyBorder="1" applyAlignment="1">
      <alignment horizontal="centerContinuous" vertical="center" wrapText="1"/>
    </xf>
    <xf numFmtId="0" fontId="93" fillId="2" borderId="7" xfId="13" applyFont="1" applyFill="1" applyBorder="1" applyAlignment="1">
      <alignment horizontal="center" vertical="center"/>
    </xf>
    <xf numFmtId="0" fontId="86" fillId="2" borderId="7" xfId="13" applyFont="1" applyFill="1" applyBorder="1" applyAlignment="1">
      <alignment horizontal="centerContinuous" vertical="center" wrapText="1"/>
    </xf>
    <xf numFmtId="171" fontId="109" fillId="4" borderId="3" xfId="0" applyNumberFormat="1" applyFont="1" applyFill="1" applyBorder="1"/>
    <xf numFmtId="0" fontId="118" fillId="2" borderId="0" xfId="0" applyFont="1" applyFill="1" applyAlignment="1">
      <alignment horizontal="left" vertical="center"/>
    </xf>
    <xf numFmtId="0" fontId="118" fillId="2" borderId="0" xfId="0" applyFont="1" applyFill="1" applyAlignment="1">
      <alignment vertical="center"/>
    </xf>
    <xf numFmtId="171" fontId="103" fillId="3" borderId="3" xfId="0" applyNumberFormat="1" applyFont="1" applyFill="1" applyBorder="1"/>
    <xf numFmtId="10" fontId="87" fillId="2" borderId="6" xfId="0" applyNumberFormat="1" applyFont="1" applyFill="1" applyBorder="1" applyAlignment="1">
      <alignment horizontal="center"/>
    </xf>
    <xf numFmtId="170" fontId="71" fillId="0" borderId="0" xfId="0" applyNumberFormat="1" applyFont="1"/>
    <xf numFmtId="1" fontId="124" fillId="2" borderId="0" xfId="0" applyNumberFormat="1" applyFont="1" applyFill="1" applyAlignment="1">
      <alignment horizontal="center"/>
    </xf>
    <xf numFmtId="1" fontId="124" fillId="2" borderId="3" xfId="0" applyNumberFormat="1" applyFont="1" applyFill="1" applyBorder="1" applyAlignment="1">
      <alignment horizontal="center"/>
    </xf>
    <xf numFmtId="170" fontId="124" fillId="6" borderId="16" xfId="0" applyNumberFormat="1" applyFont="1" applyFill="1" applyBorder="1"/>
    <xf numFmtId="0" fontId="84" fillId="2" borderId="6" xfId="13" applyFont="1" applyFill="1" applyBorder="1" applyAlignment="1">
      <alignment horizontal="centerContinuous" vertical="center" wrapText="1"/>
    </xf>
    <xf numFmtId="0" fontId="84" fillId="0" borderId="0" xfId="0" applyFont="1" applyAlignment="1">
      <alignment horizontal="centerContinuous" vertical="center"/>
    </xf>
    <xf numFmtId="0" fontId="71" fillId="2" borderId="13" xfId="0" applyFont="1" applyFill="1" applyBorder="1" applyAlignment="1">
      <alignment horizontal="centerContinuous" vertical="center" wrapText="1"/>
    </xf>
    <xf numFmtId="0" fontId="71" fillId="2" borderId="5" xfId="0" applyFont="1" applyFill="1" applyBorder="1" applyAlignment="1">
      <alignment horizontal="centerContinuous" vertical="center" wrapText="1"/>
    </xf>
    <xf numFmtId="3" fontId="103" fillId="8" borderId="0" xfId="0" applyNumberFormat="1" applyFont="1" applyFill="1"/>
    <xf numFmtId="3" fontId="103" fillId="3" borderId="36" xfId="0" applyNumberFormat="1" applyFont="1" applyFill="1" applyBorder="1"/>
    <xf numFmtId="3" fontId="71" fillId="0" borderId="0" xfId="0" applyNumberFormat="1" applyFont="1"/>
    <xf numFmtId="3" fontId="103" fillId="3" borderId="40" xfId="0" applyNumberFormat="1" applyFont="1" applyFill="1" applyBorder="1"/>
    <xf numFmtId="0" fontId="129" fillId="2" borderId="0" xfId="0" applyFont="1" applyFill="1" applyAlignment="1">
      <alignment vertical="center"/>
    </xf>
    <xf numFmtId="0" fontId="129" fillId="2" borderId="0" xfId="0" applyFont="1" applyFill="1" applyAlignment="1">
      <alignment horizontal="left" vertical="center"/>
    </xf>
    <xf numFmtId="171" fontId="103" fillId="7" borderId="16" xfId="0" applyNumberFormat="1" applyFont="1" applyFill="1" applyBorder="1"/>
    <xf numFmtId="1" fontId="71" fillId="2" borderId="6" xfId="0" applyNumberFormat="1" applyFont="1" applyFill="1" applyBorder="1" applyAlignment="1">
      <alignment horizontal="center" vertical="center" wrapText="1"/>
    </xf>
    <xf numFmtId="171" fontId="124" fillId="6" borderId="45" xfId="0" applyNumberFormat="1" applyFont="1" applyFill="1" applyBorder="1"/>
    <xf numFmtId="170" fontId="103" fillId="3" borderId="39" xfId="0" applyNumberFormat="1" applyFont="1" applyFill="1" applyBorder="1"/>
    <xf numFmtId="170" fontId="103" fillId="3" borderId="33" xfId="0" applyNumberFormat="1" applyFont="1" applyFill="1" applyBorder="1"/>
    <xf numFmtId="170" fontId="126" fillId="0" borderId="0" xfId="0" applyNumberFormat="1" applyFont="1"/>
    <xf numFmtId="170" fontId="126" fillId="0" borderId="16" xfId="0" applyNumberFormat="1" applyFont="1" applyBorder="1"/>
    <xf numFmtId="170" fontId="110" fillId="4" borderId="11" xfId="0" applyNumberFormat="1" applyFont="1" applyFill="1" applyBorder="1"/>
    <xf numFmtId="170" fontId="130" fillId="6" borderId="0" xfId="0" applyNumberFormat="1" applyFont="1" applyFill="1"/>
    <xf numFmtId="170" fontId="103" fillId="3" borderId="0" xfId="0" quotePrefix="1" applyNumberFormat="1" applyFont="1" applyFill="1" applyAlignment="1">
      <alignment vertical="center" wrapText="1"/>
    </xf>
    <xf numFmtId="170" fontId="103" fillId="3" borderId="3" xfId="0" quotePrefix="1" applyNumberFormat="1" applyFont="1" applyFill="1" applyBorder="1" applyAlignment="1">
      <alignment vertical="center" wrapText="1"/>
    </xf>
    <xf numFmtId="0" fontId="66" fillId="2" borderId="0" xfId="0" applyFont="1" applyFill="1"/>
    <xf numFmtId="2" fontId="71" fillId="0" borderId="3" xfId="0" quotePrefix="1" applyNumberFormat="1" applyFont="1" applyBorder="1" applyAlignment="1">
      <alignment horizontal="center"/>
    </xf>
    <xf numFmtId="171" fontId="126" fillId="0" borderId="0" xfId="0" applyNumberFormat="1" applyFont="1"/>
    <xf numFmtId="0" fontId="90" fillId="2" borderId="31" xfId="0" applyFont="1" applyFill="1" applyBorder="1" applyAlignment="1">
      <alignment horizontal="centerContinuous" vertical="center" wrapText="1"/>
    </xf>
    <xf numFmtId="170" fontId="103" fillId="3" borderId="15" xfId="0" applyNumberFormat="1" applyFont="1" applyFill="1" applyBorder="1"/>
    <xf numFmtId="170" fontId="126" fillId="0" borderId="3" xfId="0" applyNumberFormat="1" applyFont="1" applyBorder="1"/>
    <xf numFmtId="0" fontId="126" fillId="0" borderId="21" xfId="0" applyFont="1" applyBorder="1" applyAlignment="1">
      <alignment horizontal="center" vertical="center" wrapText="1"/>
    </xf>
    <xf numFmtId="173" fontId="103" fillId="3" borderId="33" xfId="14" applyNumberFormat="1" applyFont="1" applyFill="1" applyBorder="1"/>
    <xf numFmtId="171" fontId="103" fillId="3" borderId="40" xfId="0" applyNumberFormat="1" applyFont="1" applyFill="1" applyBorder="1"/>
    <xf numFmtId="2" fontId="103" fillId="3" borderId="12" xfId="0" applyNumberFormat="1" applyFont="1" applyFill="1" applyBorder="1"/>
    <xf numFmtId="0" fontId="66" fillId="2" borderId="0" xfId="13" applyFont="1" applyFill="1"/>
    <xf numFmtId="0" fontId="71" fillId="2" borderId="0" xfId="13" applyFont="1" applyFill="1"/>
    <xf numFmtId="1" fontId="71" fillId="2" borderId="0" xfId="13" applyNumberFormat="1" applyFont="1" applyFill="1"/>
    <xf numFmtId="0" fontId="66" fillId="2" borderId="0" xfId="13" applyFont="1" applyFill="1" applyAlignment="1">
      <alignment vertical="center" wrapText="1"/>
    </xf>
    <xf numFmtId="0" fontId="84" fillId="2" borderId="20" xfId="13" quotePrefix="1" applyFont="1" applyFill="1" applyBorder="1" applyAlignment="1">
      <alignment horizontal="center" vertical="center" wrapText="1"/>
    </xf>
    <xf numFmtId="0" fontId="66" fillId="2" borderId="0" xfId="13" applyFont="1" applyFill="1" applyAlignment="1">
      <alignment vertical="center"/>
    </xf>
    <xf numFmtId="0" fontId="84" fillId="2" borderId="0" xfId="13" quotePrefix="1" applyFont="1" applyFill="1" applyAlignment="1">
      <alignment horizontal="centerContinuous" vertical="center" wrapText="1"/>
    </xf>
    <xf numFmtId="0" fontId="84" fillId="2" borderId="23" xfId="13" quotePrefix="1" applyFont="1" applyFill="1" applyBorder="1" applyAlignment="1">
      <alignment horizontal="centerContinuous" vertical="center" wrapText="1"/>
    </xf>
    <xf numFmtId="0" fontId="84" fillId="2" borderId="3" xfId="13" quotePrefix="1" applyFont="1" applyFill="1" applyBorder="1" applyAlignment="1">
      <alignment horizontal="centerContinuous" vertical="center" wrapText="1"/>
    </xf>
    <xf numFmtId="170" fontId="103" fillId="3" borderId="46" xfId="0" applyNumberFormat="1" applyFont="1" applyFill="1" applyBorder="1"/>
    <xf numFmtId="3" fontId="124" fillId="6" borderId="57" xfId="0" applyNumberFormat="1" applyFont="1" applyFill="1" applyBorder="1"/>
    <xf numFmtId="170" fontId="109" fillId="0" borderId="56" xfId="0" applyNumberFormat="1" applyFont="1" applyBorder="1"/>
    <xf numFmtId="170" fontId="103" fillId="3" borderId="56" xfId="0" applyNumberFormat="1" applyFont="1" applyFill="1" applyBorder="1"/>
    <xf numFmtId="0" fontId="84" fillId="2" borderId="5" xfId="12" applyFont="1" applyFill="1" applyBorder="1" applyAlignment="1">
      <alignment horizontal="centerContinuous" vertical="center" wrapText="1"/>
    </xf>
    <xf numFmtId="170" fontId="71" fillId="0" borderId="16" xfId="0" applyNumberFormat="1" applyFont="1" applyBorder="1"/>
    <xf numFmtId="1" fontId="87" fillId="2" borderId="23" xfId="0" applyNumberFormat="1" applyFont="1" applyFill="1" applyBorder="1" applyAlignment="1">
      <alignment horizontal="center"/>
    </xf>
    <xf numFmtId="0" fontId="66" fillId="2" borderId="0" xfId="16" applyFill="1"/>
    <xf numFmtId="0" fontId="71" fillId="2" borderId="0" xfId="16" applyFont="1" applyFill="1"/>
    <xf numFmtId="3" fontId="71" fillId="0" borderId="56" xfId="16" applyNumberFormat="1" applyFont="1" applyBorder="1"/>
    <xf numFmtId="0" fontId="71" fillId="0" borderId="2" xfId="16" applyFont="1" applyBorder="1" applyAlignment="1">
      <alignment horizontal="center"/>
    </xf>
    <xf numFmtId="0" fontId="71" fillId="0" borderId="0" xfId="16" applyFont="1" applyAlignment="1">
      <alignment horizontal="center"/>
    </xf>
    <xf numFmtId="1" fontId="84" fillId="2" borderId="21" xfId="13" quotePrefix="1" applyNumberFormat="1" applyFont="1" applyFill="1" applyBorder="1" applyAlignment="1">
      <alignment horizontal="center" vertical="center" wrapText="1"/>
    </xf>
    <xf numFmtId="0" fontId="84" fillId="2" borderId="21" xfId="13" quotePrefix="1" applyFont="1" applyFill="1" applyBorder="1" applyAlignment="1">
      <alignment horizontal="center" vertical="center" wrapText="1"/>
    </xf>
    <xf numFmtId="0" fontId="84" fillId="2" borderId="21" xfId="13" applyFont="1" applyFill="1" applyBorder="1" applyAlignment="1">
      <alignment horizontal="center" vertical="center" wrapText="1"/>
    </xf>
    <xf numFmtId="0" fontId="71" fillId="2" borderId="0" xfId="13" applyFont="1" applyFill="1" applyAlignment="1">
      <alignment vertical="center"/>
    </xf>
    <xf numFmtId="0" fontId="71" fillId="9" borderId="25" xfId="13" applyFont="1" applyFill="1" applyBorder="1" applyAlignment="1">
      <alignment horizontal="center" vertical="center" wrapText="1"/>
    </xf>
    <xf numFmtId="180" fontId="71" fillId="0" borderId="6" xfId="12401" applyNumberFormat="1" applyFont="1" applyFill="1" applyBorder="1" applyAlignment="1">
      <alignment horizontal="center" vertical="center"/>
    </xf>
    <xf numFmtId="0" fontId="71" fillId="0" borderId="6" xfId="13" applyFont="1" applyBorder="1" applyAlignment="1">
      <alignment horizontal="center" vertical="center"/>
    </xf>
    <xf numFmtId="0" fontId="71" fillId="2" borderId="6" xfId="13" applyFont="1" applyFill="1" applyBorder="1" applyAlignment="1">
      <alignment vertical="center"/>
    </xf>
    <xf numFmtId="179" fontId="102" fillId="2" borderId="25" xfId="12401" applyNumberFormat="1" applyFont="1" applyFill="1" applyBorder="1" applyAlignment="1">
      <alignment horizontal="center" vertical="center"/>
    </xf>
    <xf numFmtId="0" fontId="71" fillId="0" borderId="6" xfId="13" quotePrefix="1" applyFont="1" applyBorder="1" applyAlignment="1">
      <alignment horizontal="center" vertical="center" wrapText="1"/>
    </xf>
    <xf numFmtId="0" fontId="71" fillId="0" borderId="25" xfId="13" applyFont="1" applyBorder="1" applyAlignment="1">
      <alignment horizontal="center" vertical="center" wrapText="1"/>
    </xf>
    <xf numFmtId="0" fontId="71" fillId="9" borderId="6" xfId="13" quotePrefix="1" applyFont="1" applyFill="1" applyBorder="1" applyAlignment="1">
      <alignment horizontal="centerContinuous" vertical="center" wrapText="1"/>
    </xf>
    <xf numFmtId="0" fontId="71" fillId="9" borderId="6" xfId="13" applyFont="1" applyFill="1" applyBorder="1" applyAlignment="1">
      <alignment horizontal="centerContinuous" vertical="center" wrapText="1"/>
    </xf>
    <xf numFmtId="0" fontId="71" fillId="9" borderId="25" xfId="13" applyFont="1" applyFill="1" applyBorder="1" applyAlignment="1">
      <alignment horizontal="centerContinuous" vertical="center" wrapText="1"/>
    </xf>
    <xf numFmtId="0" fontId="129" fillId="9" borderId="0" xfId="0" applyFont="1" applyFill="1" applyAlignment="1">
      <alignment vertical="center"/>
    </xf>
    <xf numFmtId="0" fontId="79" fillId="9" borderId="0" xfId="0" applyFont="1" applyFill="1" applyAlignment="1">
      <alignment vertical="center"/>
    </xf>
    <xf numFmtId="0" fontId="133" fillId="2" borderId="0" xfId="0" applyFont="1" applyFill="1" applyAlignment="1">
      <alignment vertical="center"/>
    </xf>
    <xf numFmtId="175" fontId="71" fillId="0" borderId="2" xfId="0" applyNumberFormat="1" applyFont="1" applyBorder="1"/>
    <xf numFmtId="170" fontId="71" fillId="0" borderId="2" xfId="0" applyNumberFormat="1" applyFont="1" applyBorder="1"/>
    <xf numFmtId="0" fontId="90" fillId="2" borderId="23" xfId="0" applyFont="1" applyFill="1" applyBorder="1" applyAlignment="1">
      <alignment horizontal="centerContinuous" vertical="center" wrapText="1"/>
    </xf>
    <xf numFmtId="171" fontId="71" fillId="0" borderId="58" xfId="0" applyNumberFormat="1" applyFont="1" applyBorder="1"/>
    <xf numFmtId="171" fontId="131" fillId="0" borderId="58" xfId="0" applyNumberFormat="1" applyFont="1" applyBorder="1"/>
    <xf numFmtId="0" fontId="66" fillId="0" borderId="0" xfId="0" applyFont="1"/>
    <xf numFmtId="1" fontId="91" fillId="2" borderId="56" xfId="12" quotePrefix="1" applyNumberFormat="1" applyFont="1" applyFill="1" applyBorder="1" applyAlignment="1">
      <alignment horizontal="center" vertical="center"/>
    </xf>
    <xf numFmtId="1" fontId="91" fillId="2" borderId="0" xfId="12" quotePrefix="1" applyNumberFormat="1" applyFont="1" applyFill="1" applyAlignment="1">
      <alignment horizontal="center" vertical="center"/>
    </xf>
    <xf numFmtId="1" fontId="91" fillId="2" borderId="3" xfId="12" quotePrefix="1" applyNumberFormat="1" applyFont="1" applyFill="1" applyBorder="1" applyAlignment="1">
      <alignment horizontal="center" vertical="center"/>
    </xf>
    <xf numFmtId="170" fontId="71" fillId="0" borderId="56" xfId="0" applyNumberFormat="1" applyFont="1" applyBorder="1"/>
    <xf numFmtId="1" fontId="87" fillId="9" borderId="6" xfId="0" applyNumberFormat="1" applyFont="1" applyFill="1" applyBorder="1" applyAlignment="1">
      <alignment horizontal="center"/>
    </xf>
    <xf numFmtId="1" fontId="87" fillId="9" borderId="7" xfId="0" applyNumberFormat="1" applyFont="1" applyFill="1" applyBorder="1" applyAlignment="1">
      <alignment horizontal="center"/>
    </xf>
    <xf numFmtId="0" fontId="70" fillId="9" borderId="0" xfId="0" applyFont="1" applyFill="1"/>
    <xf numFmtId="170" fontId="167" fillId="9" borderId="0" xfId="0" applyNumberFormat="1" applyFont="1" applyFill="1"/>
    <xf numFmtId="196" fontId="71" fillId="0" borderId="0" xfId="89" applyNumberFormat="1" applyFont="1" applyFill="1" applyAlignment="1">
      <alignment horizontal="center"/>
    </xf>
    <xf numFmtId="10" fontId="124" fillId="6" borderId="3" xfId="0" applyNumberFormat="1" applyFont="1" applyFill="1" applyBorder="1"/>
    <xf numFmtId="196" fontId="124" fillId="6" borderId="60" xfId="89" applyNumberFormat="1" applyFont="1" applyFill="1" applyBorder="1" applyAlignment="1">
      <alignment horizontal="center"/>
    </xf>
    <xf numFmtId="173" fontId="109" fillId="0" borderId="2" xfId="14" applyNumberFormat="1" applyFont="1" applyBorder="1"/>
    <xf numFmtId="173" fontId="109" fillId="0" borderId="0" xfId="14" applyNumberFormat="1" applyFont="1"/>
    <xf numFmtId="173" fontId="103" fillId="3" borderId="36" xfId="14" applyNumberFormat="1" applyFont="1" applyFill="1" applyBorder="1"/>
    <xf numFmtId="173" fontId="109" fillId="0" borderId="11" xfId="14" applyNumberFormat="1" applyFont="1" applyBorder="1"/>
    <xf numFmtId="173" fontId="109" fillId="0" borderId="56" xfId="14" applyNumberFormat="1" applyFont="1" applyBorder="1"/>
    <xf numFmtId="171" fontId="166" fillId="6" borderId="58" xfId="0" applyNumberFormat="1" applyFont="1" applyFill="1" applyBorder="1"/>
    <xf numFmtId="0" fontId="66" fillId="2" borderId="56" xfId="10" applyFont="1" applyFill="1" applyBorder="1"/>
    <xf numFmtId="0" fontId="66" fillId="2" borderId="0" xfId="10" applyFont="1" applyFill="1"/>
    <xf numFmtId="0" fontId="66" fillId="2" borderId="6" xfId="10" applyFont="1" applyFill="1" applyBorder="1" applyAlignment="1">
      <alignment horizontal="centerContinuous" vertical="center"/>
    </xf>
    <xf numFmtId="2" fontId="71" fillId="0" borderId="3" xfId="10" applyNumberFormat="1" applyFont="1" applyBorder="1" applyAlignment="1">
      <alignment horizontal="center"/>
    </xf>
    <xf numFmtId="0" fontId="84" fillId="2" borderId="20" xfId="10" applyFont="1" applyFill="1" applyBorder="1" applyAlignment="1">
      <alignment horizontal="centerContinuous" vertical="center" wrapText="1"/>
    </xf>
    <xf numFmtId="0" fontId="84" fillId="2" borderId="21" xfId="10" applyFont="1" applyFill="1" applyBorder="1" applyAlignment="1">
      <alignment horizontal="centerContinuous" vertical="center" wrapText="1"/>
    </xf>
    <xf numFmtId="0" fontId="84" fillId="2" borderId="27" xfId="10" applyFont="1" applyFill="1" applyBorder="1" applyAlignment="1">
      <alignment horizontal="centerContinuous" vertical="center" wrapText="1"/>
    </xf>
    <xf numFmtId="0" fontId="66" fillId="2" borderId="3" xfId="10" applyFont="1" applyFill="1" applyBorder="1"/>
    <xf numFmtId="0" fontId="84" fillId="2" borderId="22" xfId="10" applyFont="1" applyFill="1" applyBorder="1" applyAlignment="1">
      <alignment horizontal="centerContinuous" vertical="center" wrapText="1"/>
    </xf>
    <xf numFmtId="0" fontId="71" fillId="2" borderId="6" xfId="12" applyFont="1" applyFill="1" applyBorder="1" applyAlignment="1">
      <alignment horizontal="centerContinuous" vertical="center" wrapText="1"/>
    </xf>
    <xf numFmtId="198" fontId="109" fillId="0" borderId="17" xfId="14" applyNumberFormat="1" applyFont="1" applyBorder="1"/>
    <xf numFmtId="171" fontId="109" fillId="7" borderId="2" xfId="0" applyNumberFormat="1" applyFont="1" applyFill="1" applyBorder="1"/>
    <xf numFmtId="171" fontId="124" fillId="6" borderId="2" xfId="0" applyNumberFormat="1" applyFont="1" applyFill="1" applyBorder="1" applyAlignment="1">
      <alignment horizontal="right" vertical="center"/>
    </xf>
    <xf numFmtId="3" fontId="109" fillId="7" borderId="16" xfId="16" applyNumberFormat="1" applyFont="1" applyFill="1" applyBorder="1"/>
    <xf numFmtId="3" fontId="109" fillId="0" borderId="16" xfId="16" applyNumberFormat="1" applyFont="1" applyBorder="1"/>
    <xf numFmtId="3" fontId="124" fillId="3" borderId="38" xfId="16" applyNumberFormat="1" applyFont="1" applyFill="1" applyBorder="1"/>
    <xf numFmtId="3" fontId="71" fillId="0" borderId="16" xfId="16" applyNumberFormat="1" applyFont="1" applyBorder="1"/>
    <xf numFmtId="0" fontId="71" fillId="9" borderId="7" xfId="13" applyFont="1" applyFill="1" applyBorder="1" applyAlignment="1">
      <alignment horizontal="center" vertical="center" wrapText="1"/>
    </xf>
    <xf numFmtId="0" fontId="71" fillId="9" borderId="7" xfId="13" quotePrefix="1" applyFont="1" applyFill="1" applyBorder="1" applyAlignment="1">
      <alignment horizontal="centerContinuous" vertical="center" wrapText="1"/>
    </xf>
    <xf numFmtId="0" fontId="71" fillId="0" borderId="7" xfId="13" quotePrefix="1" applyFont="1" applyBorder="1" applyAlignment="1">
      <alignment horizontal="center" vertical="center" wrapText="1"/>
    </xf>
    <xf numFmtId="180" fontId="71" fillId="0" borderId="7" xfId="12401" applyNumberFormat="1" applyFont="1" applyFill="1" applyBorder="1" applyAlignment="1">
      <alignment horizontal="center" vertical="center"/>
    </xf>
    <xf numFmtId="1" fontId="84" fillId="2" borderId="22" xfId="13" quotePrefix="1" applyNumberFormat="1" applyFont="1" applyFill="1" applyBorder="1" applyAlignment="1">
      <alignment horizontal="center" vertical="center" wrapText="1"/>
    </xf>
    <xf numFmtId="0" fontId="70" fillId="0" borderId="0" xfId="0" applyFont="1"/>
    <xf numFmtId="170" fontId="126" fillId="7" borderId="0" xfId="0" applyNumberFormat="1" applyFont="1" applyFill="1"/>
    <xf numFmtId="171" fontId="170" fillId="7" borderId="0" xfId="0" applyNumberFormat="1" applyFont="1" applyFill="1"/>
    <xf numFmtId="1" fontId="87" fillId="2" borderId="56" xfId="0" applyNumberFormat="1" applyFont="1" applyFill="1" applyBorder="1" applyAlignment="1">
      <alignment horizontal="center"/>
    </xf>
    <xf numFmtId="1" fontId="124" fillId="2" borderId="56" xfId="0" applyNumberFormat="1" applyFont="1" applyFill="1" applyBorder="1" applyAlignment="1">
      <alignment horizontal="center"/>
    </xf>
    <xf numFmtId="0" fontId="112" fillId="4" borderId="58" xfId="0" applyFont="1" applyFill="1" applyBorder="1"/>
    <xf numFmtId="10" fontId="132" fillId="7" borderId="58" xfId="12401" applyNumberFormat="1" applyFont="1" applyFill="1" applyBorder="1"/>
    <xf numFmtId="0" fontId="66" fillId="4" borderId="56" xfId="12" applyFont="1" applyFill="1" applyBorder="1" applyAlignment="1">
      <alignment horizontal="center" vertical="center" wrapText="1"/>
    </xf>
    <xf numFmtId="0" fontId="66" fillId="4" borderId="56" xfId="12" applyFont="1" applyFill="1" applyBorder="1" applyAlignment="1">
      <alignment horizontal="center"/>
    </xf>
    <xf numFmtId="4" fontId="71" fillId="0" borderId="56" xfId="14" applyNumberFormat="1" applyFont="1" applyBorder="1" applyAlignment="1">
      <alignment horizontal="right"/>
    </xf>
    <xf numFmtId="0" fontId="70" fillId="9" borderId="0" xfId="12" applyFont="1" applyFill="1"/>
    <xf numFmtId="0" fontId="84" fillId="2" borderId="18" xfId="13" quotePrefix="1" applyFont="1" applyFill="1" applyBorder="1" applyAlignment="1">
      <alignment horizontal="centerContinuous" vertical="center" wrapText="1"/>
    </xf>
    <xf numFmtId="0" fontId="84" fillId="2" borderId="5" xfId="13" applyFont="1" applyFill="1" applyBorder="1" applyAlignment="1">
      <alignment horizontal="centerContinuous" vertical="center" wrapText="1"/>
    </xf>
    <xf numFmtId="0" fontId="71" fillId="2" borderId="6" xfId="13" applyFont="1" applyFill="1" applyBorder="1" applyAlignment="1">
      <alignment horizontal="centerContinuous" vertical="center" wrapText="1"/>
    </xf>
    <xf numFmtId="0" fontId="84" fillId="2" borderId="6" xfId="13" quotePrefix="1" applyFont="1" applyFill="1" applyBorder="1" applyAlignment="1">
      <alignment horizontal="centerContinuous" vertical="center" wrapText="1"/>
    </xf>
    <xf numFmtId="0" fontId="84" fillId="2" borderId="5" xfId="13" quotePrefix="1" applyFont="1" applyFill="1" applyBorder="1" applyAlignment="1">
      <alignment horizontal="centerContinuous" vertical="center" wrapText="1"/>
    </xf>
    <xf numFmtId="0" fontId="71" fillId="2" borderId="6" xfId="13" applyFont="1" applyFill="1" applyBorder="1" applyAlignment="1">
      <alignment horizontal="center" vertical="center" wrapText="1"/>
    </xf>
    <xf numFmtId="0" fontId="84" fillId="2" borderId="7" xfId="13" quotePrefix="1" applyFont="1" applyFill="1" applyBorder="1" applyAlignment="1">
      <alignment horizontal="centerContinuous" vertical="center" wrapText="1"/>
    </xf>
    <xf numFmtId="0" fontId="71" fillId="2" borderId="6" xfId="13" quotePrefix="1" applyFont="1" applyFill="1" applyBorder="1" applyAlignment="1">
      <alignment horizontal="centerContinuous" vertical="center" wrapText="1"/>
    </xf>
    <xf numFmtId="0" fontId="71" fillId="2" borderId="7" xfId="13" quotePrefix="1" applyFont="1" applyFill="1" applyBorder="1" applyAlignment="1">
      <alignment horizontal="centerContinuous" vertical="center" wrapText="1"/>
    </xf>
    <xf numFmtId="0" fontId="71" fillId="2" borderId="62" xfId="13" quotePrefix="1" applyFont="1" applyFill="1" applyBorder="1" applyAlignment="1">
      <alignment horizontal="centerContinuous" vertical="center" wrapText="1"/>
    </xf>
    <xf numFmtId="2" fontId="71" fillId="0" borderId="3" xfId="13" applyNumberFormat="1" applyFont="1" applyBorder="1" applyAlignment="1">
      <alignment horizontal="center"/>
    </xf>
    <xf numFmtId="0" fontId="66" fillId="2" borderId="0" xfId="12401" applyNumberFormat="1" applyFont="1" applyFill="1"/>
    <xf numFmtId="0" fontId="71" fillId="0" borderId="6" xfId="13" applyFont="1" applyBorder="1" applyAlignment="1">
      <alignment horizontal="center" vertical="center" wrapText="1"/>
    </xf>
    <xf numFmtId="1" fontId="84" fillId="2" borderId="20" xfId="13" quotePrefix="1" applyNumberFormat="1" applyFont="1" applyFill="1" applyBorder="1" applyAlignment="1">
      <alignment horizontal="center" vertical="center" wrapText="1"/>
    </xf>
    <xf numFmtId="1" fontId="71" fillId="2" borderId="18" xfId="13" applyNumberFormat="1" applyFont="1" applyFill="1" applyBorder="1" applyAlignment="1">
      <alignment horizontal="centerContinuous" vertical="center" wrapText="1"/>
    </xf>
    <xf numFmtId="0" fontId="84" fillId="2" borderId="7" xfId="13" applyFont="1" applyFill="1" applyBorder="1" applyAlignment="1">
      <alignment horizontal="centerContinuous" vertical="center" wrapText="1"/>
    </xf>
    <xf numFmtId="173" fontId="103" fillId="3" borderId="16" xfId="14" applyNumberFormat="1" applyFont="1" applyFill="1" applyBorder="1"/>
    <xf numFmtId="1" fontId="91" fillId="2" borderId="25" xfId="12" quotePrefix="1" applyNumberFormat="1" applyFont="1" applyFill="1" applyBorder="1" applyAlignment="1">
      <alignment horizontal="center" vertical="center"/>
    </xf>
    <xf numFmtId="0" fontId="86" fillId="2" borderId="25" xfId="12" applyFont="1" applyFill="1" applyBorder="1" applyAlignment="1">
      <alignment horizontal="centerContinuous" vertical="center" wrapText="1"/>
    </xf>
    <xf numFmtId="0" fontId="66" fillId="2" borderId="57" xfId="12" applyFont="1" applyFill="1" applyBorder="1" applyAlignment="1">
      <alignment horizontal="center" vertical="center"/>
    </xf>
    <xf numFmtId="0" fontId="71" fillId="2" borderId="57" xfId="12" applyFont="1" applyFill="1" applyBorder="1" applyAlignment="1">
      <alignment horizontal="center" vertical="center"/>
    </xf>
    <xf numFmtId="0" fontId="66" fillId="4" borderId="57" xfId="12" applyFont="1" applyFill="1" applyBorder="1" applyAlignment="1">
      <alignment horizontal="center" vertical="center" wrapText="1"/>
    </xf>
    <xf numFmtId="4" fontId="103" fillId="3" borderId="57" xfId="14" applyNumberFormat="1" applyFont="1" applyFill="1" applyBorder="1" applyAlignment="1">
      <alignment horizontal="right"/>
    </xf>
    <xf numFmtId="4" fontId="71" fillId="0" borderId="57" xfId="14" applyNumberFormat="1" applyFont="1" applyBorder="1" applyAlignment="1">
      <alignment horizontal="right"/>
    </xf>
    <xf numFmtId="0" fontId="66" fillId="2" borderId="0" xfId="12" applyFont="1" applyFill="1" applyAlignment="1">
      <alignment horizontal="center" vertical="center"/>
    </xf>
    <xf numFmtId="0" fontId="66" fillId="4" borderId="0" xfId="12" applyFont="1" applyFill="1" applyAlignment="1">
      <alignment horizontal="center" vertical="center" wrapText="1"/>
    </xf>
    <xf numFmtId="4" fontId="103" fillId="3" borderId="16" xfId="14" applyNumberFormat="1" applyFont="1" applyFill="1" applyBorder="1" applyAlignment="1">
      <alignment horizontal="right"/>
    </xf>
    <xf numFmtId="0" fontId="84" fillId="2" borderId="7" xfId="12" applyFont="1" applyFill="1" applyBorder="1" applyAlignment="1">
      <alignment horizontal="centerContinuous" vertical="center" wrapText="1"/>
    </xf>
    <xf numFmtId="0" fontId="66" fillId="2" borderId="0" xfId="126" applyFill="1"/>
    <xf numFmtId="0" fontId="71" fillId="2" borderId="0" xfId="126" applyFont="1" applyFill="1"/>
    <xf numFmtId="0" fontId="0" fillId="9" borderId="0" xfId="0" applyFill="1"/>
    <xf numFmtId="0" fontId="71" fillId="0" borderId="6" xfId="0" applyFont="1" applyBorder="1"/>
    <xf numFmtId="0" fontId="71" fillId="0" borderId="7" xfId="0" applyFont="1" applyBorder="1"/>
    <xf numFmtId="0" fontId="84" fillId="0" borderId="25" xfId="0" applyFont="1" applyBorder="1" applyAlignment="1">
      <alignment horizontal="centerContinuous" vertical="center"/>
    </xf>
    <xf numFmtId="0" fontId="71" fillId="0" borderId="25" xfId="0" applyFont="1" applyBorder="1" applyAlignment="1">
      <alignment horizontal="center" vertical="center" wrapText="1"/>
    </xf>
    <xf numFmtId="0" fontId="89" fillId="2" borderId="22" xfId="0" applyFont="1" applyFill="1" applyBorder="1" applyAlignment="1">
      <alignment horizontal="center" vertical="center" wrapText="1"/>
    </xf>
    <xf numFmtId="0" fontId="0" fillId="9" borderId="3" xfId="0" applyFill="1" applyBorder="1"/>
    <xf numFmtId="0" fontId="71" fillId="9" borderId="6" xfId="0" applyFont="1" applyFill="1" applyBorder="1" applyAlignment="1">
      <alignment wrapText="1"/>
    </xf>
    <xf numFmtId="0" fontId="71" fillId="9" borderId="6" xfId="0" applyFont="1" applyFill="1" applyBorder="1"/>
    <xf numFmtId="0" fontId="0" fillId="9" borderId="6" xfId="0" applyFill="1" applyBorder="1"/>
    <xf numFmtId="0" fontId="71" fillId="9" borderId="7" xfId="0" applyFont="1" applyFill="1" applyBorder="1"/>
    <xf numFmtId="0" fontId="0" fillId="9" borderId="16" xfId="0" applyFill="1" applyBorder="1"/>
    <xf numFmtId="0" fontId="71" fillId="9" borderId="25" xfId="0" applyFont="1" applyFill="1" applyBorder="1"/>
    <xf numFmtId="0" fontId="71" fillId="0" borderId="25" xfId="0" applyFont="1" applyBorder="1"/>
    <xf numFmtId="3" fontId="103" fillId="3" borderId="3" xfId="0" applyNumberFormat="1" applyFont="1" applyFill="1" applyBorder="1"/>
    <xf numFmtId="0" fontId="84" fillId="0" borderId="25" xfId="0" applyFont="1" applyBorder="1" applyAlignment="1">
      <alignment horizontal="centerContinuous" vertical="center" wrapText="1"/>
    </xf>
    <xf numFmtId="0" fontId="84" fillId="2" borderId="7" xfId="0" applyFont="1" applyFill="1" applyBorder="1" applyAlignment="1">
      <alignment horizontal="centerContinuous" vertical="center" wrapText="1"/>
    </xf>
    <xf numFmtId="10" fontId="161" fillId="6" borderId="58" xfId="12401" applyNumberFormat="1" applyFont="1" applyFill="1" applyBorder="1"/>
    <xf numFmtId="170" fontId="71" fillId="0" borderId="3" xfId="0" applyNumberFormat="1" applyFont="1" applyBorder="1"/>
    <xf numFmtId="0" fontId="84" fillId="2" borderId="34" xfId="0" quotePrefix="1" applyFont="1" applyFill="1" applyBorder="1" applyAlignment="1">
      <alignment horizontal="center" vertical="center" wrapText="1"/>
    </xf>
    <xf numFmtId="0" fontId="84" fillId="2" borderId="6" xfId="0" applyFont="1" applyFill="1" applyBorder="1" applyAlignment="1">
      <alignment horizontal="centerContinuous" vertical="center" wrapText="1"/>
    </xf>
    <xf numFmtId="0" fontId="84" fillId="2" borderId="5" xfId="0" applyFont="1" applyFill="1" applyBorder="1" applyAlignment="1">
      <alignment horizontal="centerContinuous" vertical="center" wrapText="1"/>
    </xf>
    <xf numFmtId="2" fontId="0" fillId="9" borderId="0" xfId="0" applyNumberFormat="1" applyFill="1"/>
    <xf numFmtId="179" fontId="0" fillId="9" borderId="0" xfId="12401" applyNumberFormat="1" applyFont="1" applyFill="1"/>
    <xf numFmtId="173" fontId="71" fillId="0" borderId="2" xfId="14" applyNumberFormat="1" applyFont="1" applyBorder="1"/>
    <xf numFmtId="173" fontId="71" fillId="0" borderId="56" xfId="14" applyNumberFormat="1" applyFont="1" applyBorder="1"/>
    <xf numFmtId="173" fontId="71" fillId="0" borderId="0" xfId="14" applyNumberFormat="1" applyFont="1"/>
    <xf numFmtId="170" fontId="113" fillId="3" borderId="16" xfId="0" applyNumberFormat="1" applyFont="1" applyFill="1" applyBorder="1"/>
    <xf numFmtId="0" fontId="93" fillId="2" borderId="26" xfId="13" applyFont="1" applyFill="1" applyBorder="1" applyAlignment="1">
      <alignment horizontal="center" vertical="center"/>
    </xf>
    <xf numFmtId="1" fontId="84" fillId="9" borderId="25" xfId="13" applyNumberFormat="1" applyFont="1" applyFill="1" applyBorder="1" applyAlignment="1">
      <alignment horizontal="centerContinuous" vertical="center" wrapText="1"/>
    </xf>
    <xf numFmtId="195" fontId="94" fillId="9" borderId="0" xfId="89" applyNumberFormat="1" applyFont="1" applyFill="1" applyAlignment="1">
      <alignment horizontal="center"/>
    </xf>
    <xf numFmtId="0" fontId="110" fillId="2" borderId="7" xfId="0" applyFont="1" applyFill="1" applyBorder="1" applyAlignment="1">
      <alignment horizontal="centerContinuous" vertical="center" wrapText="1"/>
    </xf>
    <xf numFmtId="0" fontId="71" fillId="2" borderId="25" xfId="0" applyFont="1" applyFill="1" applyBorder="1" applyAlignment="1">
      <alignment vertical="center"/>
    </xf>
    <xf numFmtId="175" fontId="103" fillId="3" borderId="16" xfId="0" applyNumberFormat="1" applyFont="1" applyFill="1" applyBorder="1"/>
    <xf numFmtId="3" fontId="161" fillId="3" borderId="0" xfId="0" applyNumberFormat="1" applyFont="1" applyFill="1"/>
    <xf numFmtId="171" fontId="124" fillId="6" borderId="64" xfId="0" applyNumberFormat="1" applyFont="1" applyFill="1" applyBorder="1"/>
    <xf numFmtId="175" fontId="161" fillId="3" borderId="11" xfId="0" applyNumberFormat="1" applyFont="1" applyFill="1" applyBorder="1"/>
    <xf numFmtId="175" fontId="161" fillId="3" borderId="39" xfId="0" applyNumberFormat="1" applyFont="1" applyFill="1" applyBorder="1"/>
    <xf numFmtId="175" fontId="161" fillId="3" borderId="9" xfId="0" applyNumberFormat="1" applyFont="1" applyFill="1" applyBorder="1"/>
    <xf numFmtId="3" fontId="71" fillId="0" borderId="57" xfId="0" applyNumberFormat="1" applyFont="1" applyBorder="1"/>
    <xf numFmtId="3" fontId="161" fillId="3" borderId="40" xfId="0" applyNumberFormat="1" applyFont="1" applyFill="1" applyBorder="1"/>
    <xf numFmtId="172" fontId="130" fillId="3" borderId="57" xfId="13" applyNumberFormat="1" applyFont="1" applyFill="1" applyBorder="1"/>
    <xf numFmtId="174" fontId="95" fillId="4" borderId="17" xfId="0" applyNumberFormat="1" applyFont="1" applyFill="1" applyBorder="1" applyAlignment="1">
      <alignment horizontal="center"/>
    </xf>
    <xf numFmtId="181" fontId="95" fillId="4" borderId="17" xfId="0" applyNumberFormat="1" applyFont="1" applyFill="1" applyBorder="1" applyAlignment="1">
      <alignment horizontal="center"/>
    </xf>
    <xf numFmtId="181" fontId="95" fillId="4" borderId="57" xfId="0" applyNumberFormat="1" applyFont="1" applyFill="1" applyBorder="1" applyAlignment="1">
      <alignment horizontal="center"/>
    </xf>
    <xf numFmtId="170" fontId="161" fillId="3" borderId="36" xfId="0" applyNumberFormat="1" applyFont="1" applyFill="1" applyBorder="1"/>
    <xf numFmtId="170" fontId="161" fillId="3" borderId="9" xfId="0" applyNumberFormat="1" applyFont="1" applyFill="1" applyBorder="1"/>
    <xf numFmtId="208" fontId="155" fillId="9" borderId="0" xfId="0" applyNumberFormat="1" applyFont="1" applyFill="1"/>
    <xf numFmtId="207" fontId="155" fillId="9" borderId="0" xfId="9841" applyFont="1" applyFill="1" applyBorder="1"/>
    <xf numFmtId="170" fontId="110" fillId="4" borderId="56" xfId="0" applyNumberFormat="1" applyFont="1" applyFill="1" applyBorder="1"/>
    <xf numFmtId="176" fontId="103" fillId="3" borderId="56" xfId="0" applyNumberFormat="1" applyFont="1" applyFill="1" applyBorder="1"/>
    <xf numFmtId="176" fontId="110" fillId="0" borderId="56" xfId="0" applyNumberFormat="1" applyFont="1" applyBorder="1"/>
    <xf numFmtId="170" fontId="110" fillId="4" borderId="9" xfId="0" applyNumberFormat="1" applyFont="1" applyFill="1" applyBorder="1"/>
    <xf numFmtId="3" fontId="110" fillId="0" borderId="3" xfId="0" applyNumberFormat="1" applyFont="1" applyBorder="1"/>
    <xf numFmtId="170" fontId="110" fillId="4" borderId="10" xfId="0" applyNumberFormat="1" applyFont="1" applyFill="1" applyBorder="1"/>
    <xf numFmtId="170" fontId="110" fillId="4" borderId="57" xfId="0" applyNumberFormat="1" applyFont="1" applyFill="1" applyBorder="1"/>
    <xf numFmtId="171" fontId="103" fillId="3" borderId="57" xfId="0" applyNumberFormat="1" applyFont="1" applyFill="1" applyBorder="1"/>
    <xf numFmtId="171" fontId="110" fillId="0" borderId="57" xfId="0" applyNumberFormat="1" applyFont="1" applyBorder="1"/>
    <xf numFmtId="171" fontId="71" fillId="0" borderId="16" xfId="0" applyNumberFormat="1" applyFont="1" applyBorder="1"/>
    <xf numFmtId="171" fontId="109" fillId="7" borderId="11" xfId="0" applyNumberFormat="1" applyFont="1" applyFill="1" applyBorder="1"/>
    <xf numFmtId="171" fontId="109" fillId="7" borderId="0" xfId="0" applyNumberFormat="1" applyFont="1" applyFill="1"/>
    <xf numFmtId="171" fontId="109" fillId="7" borderId="56" xfId="0" applyNumberFormat="1" applyFont="1" applyFill="1" applyBorder="1"/>
    <xf numFmtId="0" fontId="124" fillId="2" borderId="21" xfId="0" applyFont="1" applyFill="1" applyBorder="1" applyAlignment="1">
      <alignment horizontal="center" vertical="center" wrapText="1"/>
    </xf>
    <xf numFmtId="0" fontId="181" fillId="2" borderId="0" xfId="0" applyFont="1" applyFill="1" applyAlignment="1">
      <alignment vertical="center" wrapText="1"/>
    </xf>
    <xf numFmtId="182" fontId="0" fillId="2" borderId="0" xfId="0" applyNumberFormat="1" applyFill="1" applyAlignment="1">
      <alignment horizontal="center" vertical="center"/>
    </xf>
    <xf numFmtId="182" fontId="0" fillId="9" borderId="0" xfId="0" applyNumberFormat="1" applyFill="1" applyAlignment="1">
      <alignment horizontal="center" vertical="center"/>
    </xf>
    <xf numFmtId="182" fontId="66" fillId="9" borderId="0" xfId="0" applyNumberFormat="1" applyFont="1" applyFill="1" applyAlignment="1">
      <alignment horizontal="center" vertical="center"/>
    </xf>
    <xf numFmtId="0" fontId="0" fillId="9" borderId="0" xfId="0" applyFill="1" applyAlignment="1">
      <alignment horizontal="center" vertical="center"/>
    </xf>
    <xf numFmtId="1" fontId="0" fillId="2" borderId="0" xfId="0" applyNumberFormat="1" applyFill="1"/>
    <xf numFmtId="3" fontId="0" fillId="2" borderId="0" xfId="0" applyNumberFormat="1" applyFill="1"/>
    <xf numFmtId="170" fontId="109" fillId="0" borderId="16" xfId="0" applyNumberFormat="1" applyFont="1" applyBorder="1"/>
    <xf numFmtId="0" fontId="88" fillId="9" borderId="0" xfId="0" applyFont="1" applyFill="1"/>
    <xf numFmtId="170" fontId="161" fillId="3" borderId="39" xfId="0" applyNumberFormat="1" applyFont="1" applyFill="1" applyBorder="1"/>
    <xf numFmtId="0" fontId="90" fillId="2" borderId="18" xfId="0" applyFont="1" applyFill="1" applyBorder="1" applyAlignment="1">
      <alignment horizontal="centerContinuous" vertical="center" wrapText="1"/>
    </xf>
    <xf numFmtId="0" fontId="90" fillId="2" borderId="26" xfId="0" applyFont="1" applyFill="1" applyBorder="1" applyAlignment="1">
      <alignment horizontal="centerContinuous" vertical="center" wrapText="1"/>
    </xf>
    <xf numFmtId="4" fontId="124" fillId="6" borderId="2" xfId="14" applyNumberFormat="1" applyFont="1" applyFill="1" applyBorder="1"/>
    <xf numFmtId="4" fontId="124" fillId="6" borderId="16" xfId="14" applyNumberFormat="1" applyFont="1" applyFill="1" applyBorder="1"/>
    <xf numFmtId="0" fontId="71" fillId="2" borderId="5" xfId="12" applyFont="1" applyFill="1" applyBorder="1" applyAlignment="1">
      <alignment horizontal="centerContinuous" vertical="center" wrapText="1"/>
    </xf>
    <xf numFmtId="0" fontId="131" fillId="9" borderId="0" xfId="9842" applyFont="1" applyFill="1"/>
    <xf numFmtId="0" fontId="131" fillId="9" borderId="3" xfId="9842" applyFont="1" applyFill="1" applyBorder="1"/>
    <xf numFmtId="0" fontId="131" fillId="9" borderId="0" xfId="9842" applyFont="1" applyFill="1" applyAlignment="1">
      <alignment vertical="center"/>
    </xf>
    <xf numFmtId="2" fontId="131" fillId="9" borderId="0" xfId="9842" applyNumberFormat="1" applyFont="1" applyFill="1" applyAlignment="1">
      <alignment horizontal="center"/>
    </xf>
    <xf numFmtId="0" fontId="131" fillId="9" borderId="0" xfId="9842" applyFont="1" applyFill="1" applyAlignment="1">
      <alignment horizontal="center" vertical="center" wrapText="1"/>
    </xf>
    <xf numFmtId="2" fontId="131" fillId="0" borderId="57" xfId="9842" applyNumberFormat="1" applyFont="1" applyBorder="1" applyAlignment="1">
      <alignment horizontal="center"/>
    </xf>
    <xf numFmtId="171" fontId="71" fillId="0" borderId="57" xfId="9842" applyNumberFormat="1" applyFont="1" applyBorder="1"/>
    <xf numFmtId="2" fontId="131" fillId="0" borderId="56" xfId="9842" applyNumberFormat="1" applyFont="1" applyBorder="1" applyAlignment="1">
      <alignment horizontal="center"/>
    </xf>
    <xf numFmtId="3" fontId="71" fillId="0" borderId="56" xfId="0" applyNumberFormat="1" applyFont="1" applyBorder="1"/>
    <xf numFmtId="10" fontId="155" fillId="9" borderId="0" xfId="12401" applyNumberFormat="1" applyFont="1" applyFill="1" applyBorder="1"/>
    <xf numFmtId="2" fontId="71" fillId="0" borderId="0" xfId="0" applyNumberFormat="1" applyFont="1" applyAlignment="1">
      <alignment horizontal="center"/>
    </xf>
    <xf numFmtId="10" fontId="71" fillId="4" borderId="3" xfId="0" applyNumberFormat="1" applyFont="1" applyFill="1" applyBorder="1"/>
    <xf numFmtId="179" fontId="71" fillId="0" borderId="16" xfId="12401" applyNumberFormat="1" applyFont="1" applyFill="1" applyBorder="1"/>
    <xf numFmtId="3" fontId="71" fillId="0" borderId="57" xfId="0" quotePrefix="1" applyNumberFormat="1" applyFont="1" applyBorder="1" applyAlignment="1">
      <alignment horizontal="center"/>
    </xf>
    <xf numFmtId="173" fontId="71" fillId="0" borderId="17" xfId="14" applyNumberFormat="1" applyFont="1" applyBorder="1"/>
    <xf numFmtId="0" fontId="45" fillId="9" borderId="0" xfId="9858" applyFill="1"/>
    <xf numFmtId="0" fontId="84" fillId="0" borderId="65" xfId="126" applyFont="1" applyBorder="1" applyAlignment="1">
      <alignment horizontal="centerContinuous" vertical="center" wrapText="1" readingOrder="1"/>
    </xf>
    <xf numFmtId="0" fontId="84" fillId="0" borderId="25" xfId="126" applyFont="1" applyBorder="1" applyAlignment="1">
      <alignment horizontal="centerContinuous" vertical="center" wrapText="1" readingOrder="1"/>
    </xf>
    <xf numFmtId="0" fontId="45" fillId="0" borderId="65" xfId="9858" applyBorder="1"/>
    <xf numFmtId="0" fontId="45" fillId="0" borderId="25" xfId="9858" applyBorder="1"/>
    <xf numFmtId="185" fontId="131" fillId="0" borderId="0" xfId="9858" applyNumberFormat="1" applyFont="1" applyAlignment="1">
      <alignment horizontal="center"/>
    </xf>
    <xf numFmtId="210" fontId="71" fillId="0" borderId="6" xfId="126" quotePrefix="1" applyNumberFormat="1" applyFont="1" applyBorder="1" applyAlignment="1">
      <alignment horizontal="center" vertical="center" wrapText="1" readingOrder="1"/>
    </xf>
    <xf numFmtId="210" fontId="71" fillId="0" borderId="65" xfId="126" quotePrefix="1" applyNumberFormat="1" applyFont="1" applyBorder="1" applyAlignment="1">
      <alignment horizontal="center" vertical="center" wrapText="1" readingOrder="1"/>
    </xf>
    <xf numFmtId="210" fontId="71" fillId="0" borderId="25" xfId="126" quotePrefix="1" applyNumberFormat="1" applyFont="1" applyBorder="1" applyAlignment="1">
      <alignment horizontal="center" vertical="center" wrapText="1" readingOrder="1"/>
    </xf>
    <xf numFmtId="0" fontId="84" fillId="0" borderId="25" xfId="9858" applyFont="1" applyBorder="1" applyAlignment="1">
      <alignment horizontal="centerContinuous" vertical="center"/>
    </xf>
    <xf numFmtId="0" fontId="84" fillId="0" borderId="7" xfId="9858" applyFont="1" applyBorder="1" applyAlignment="1">
      <alignment horizontal="centerContinuous" vertical="center" wrapText="1"/>
    </xf>
    <xf numFmtId="210" fontId="71" fillId="9" borderId="6" xfId="126" quotePrefix="1" applyNumberFormat="1" applyFont="1" applyFill="1" applyBorder="1" applyAlignment="1">
      <alignment horizontal="center" vertical="center" wrapText="1" readingOrder="1"/>
    </xf>
    <xf numFmtId="210" fontId="71" fillId="9" borderId="7" xfId="126" quotePrefix="1" applyNumberFormat="1" applyFont="1" applyFill="1" applyBorder="1" applyAlignment="1">
      <alignment horizontal="center" vertical="center" wrapText="1" readingOrder="1"/>
    </xf>
    <xf numFmtId="0" fontId="184" fillId="9" borderId="6" xfId="9858" applyFont="1" applyFill="1" applyBorder="1" applyAlignment="1">
      <alignment horizontal="center" vertical="center" wrapText="1"/>
    </xf>
    <xf numFmtId="2" fontId="71" fillId="0" borderId="65" xfId="9858" applyNumberFormat="1" applyFont="1" applyBorder="1" applyAlignment="1">
      <alignment horizontal="center" vertical="center" wrapText="1"/>
    </xf>
    <xf numFmtId="2" fontId="71" fillId="0" borderId="25" xfId="9858" applyNumberFormat="1" applyFont="1" applyBorder="1" applyAlignment="1">
      <alignment horizontal="center" vertical="center" wrapText="1"/>
    </xf>
    <xf numFmtId="0" fontId="84" fillId="2" borderId="25" xfId="12" applyFont="1" applyFill="1" applyBorder="1" applyAlignment="1">
      <alignment horizontal="centerContinuous" vertical="center" wrapText="1"/>
    </xf>
    <xf numFmtId="0" fontId="71" fillId="2" borderId="25" xfId="12" applyFont="1" applyFill="1" applyBorder="1" applyAlignment="1">
      <alignment horizontal="center" vertical="center"/>
    </xf>
    <xf numFmtId="3" fontId="124" fillId="7" borderId="0" xfId="0" applyNumberFormat="1" applyFont="1" applyFill="1"/>
    <xf numFmtId="3" fontId="71" fillId="7" borderId="0" xfId="0" applyNumberFormat="1" applyFont="1" applyFill="1"/>
    <xf numFmtId="3" fontId="124" fillId="6" borderId="0" xfId="0" applyNumberFormat="1" applyFont="1" applyFill="1"/>
    <xf numFmtId="3" fontId="71" fillId="0" borderId="58" xfId="0" applyNumberFormat="1" applyFont="1" applyBorder="1"/>
    <xf numFmtId="0" fontId="71" fillId="9" borderId="6" xfId="9860" applyFont="1" applyFill="1" applyBorder="1" applyAlignment="1">
      <alignment horizontal="centerContinuous" vertical="center" wrapText="1"/>
    </xf>
    <xf numFmtId="0" fontId="71" fillId="9" borderId="18" xfId="9860" applyFont="1" applyFill="1" applyBorder="1" applyAlignment="1">
      <alignment horizontal="centerContinuous" vertical="center" wrapText="1"/>
    </xf>
    <xf numFmtId="0" fontId="71" fillId="9" borderId="19" xfId="9860" applyFont="1" applyFill="1" applyBorder="1" applyAlignment="1">
      <alignment horizontal="centerContinuous" vertical="center" wrapText="1"/>
    </xf>
    <xf numFmtId="0" fontId="44" fillId="9" borderId="0" xfId="9860" applyFill="1"/>
    <xf numFmtId="0" fontId="110" fillId="9" borderId="0" xfId="9860" applyFont="1" applyFill="1" applyAlignment="1">
      <alignment horizontal="center" vertical="center" wrapText="1"/>
    </xf>
    <xf numFmtId="0" fontId="71" fillId="9" borderId="25" xfId="9860" applyFont="1" applyFill="1" applyBorder="1" applyAlignment="1">
      <alignment horizontal="centerContinuous" vertical="center" wrapText="1"/>
    </xf>
    <xf numFmtId="0" fontId="71" fillId="9" borderId="29" xfId="9860" applyFont="1" applyFill="1" applyBorder="1" applyAlignment="1">
      <alignment horizontal="centerContinuous" vertical="center" wrapText="1"/>
    </xf>
    <xf numFmtId="0" fontId="185" fillId="9" borderId="0" xfId="9860" applyFont="1" applyFill="1"/>
    <xf numFmtId="0" fontId="110" fillId="9" borderId="0" xfId="9860" applyFont="1" applyFill="1" applyAlignment="1">
      <alignment horizontal="center"/>
    </xf>
    <xf numFmtId="0" fontId="84" fillId="0" borderId="18" xfId="126" applyFont="1" applyBorder="1" applyAlignment="1">
      <alignment horizontal="centerContinuous" vertical="center" wrapText="1" readingOrder="1"/>
    </xf>
    <xf numFmtId="0" fontId="71" fillId="2" borderId="29" xfId="9860" applyFont="1" applyFill="1" applyBorder="1" applyAlignment="1">
      <alignment horizontal="centerContinuous" vertical="center" wrapText="1"/>
    </xf>
    <xf numFmtId="0" fontId="71" fillId="0" borderId="29" xfId="9860" applyFont="1" applyBorder="1" applyAlignment="1">
      <alignment horizontal="centerContinuous" wrapText="1"/>
    </xf>
    <xf numFmtId="0" fontId="71" fillId="0" borderId="19" xfId="9860" applyFont="1" applyBorder="1" applyAlignment="1">
      <alignment horizontal="centerContinuous" wrapText="1"/>
    </xf>
    <xf numFmtId="0" fontId="90" fillId="9" borderId="0" xfId="9860" applyFont="1" applyFill="1"/>
    <xf numFmtId="2" fontId="90" fillId="9" borderId="0" xfId="9860" applyNumberFormat="1" applyFont="1" applyFill="1" applyAlignment="1">
      <alignment horizontal="center"/>
    </xf>
    <xf numFmtId="195" fontId="71" fillId="2" borderId="18" xfId="9859" applyNumberFormat="1" applyFont="1" applyFill="1" applyBorder="1" applyAlignment="1">
      <alignment horizontal="centerContinuous" vertical="center" wrapText="1"/>
    </xf>
    <xf numFmtId="0" fontId="71" fillId="0" borderId="18" xfId="9860" applyFont="1" applyBorder="1" applyAlignment="1">
      <alignment horizontal="centerContinuous" vertical="center" wrapText="1"/>
    </xf>
    <xf numFmtId="0" fontId="71" fillId="0" borderId="26" xfId="9860" applyFont="1" applyBorder="1" applyAlignment="1">
      <alignment horizontal="centerContinuous" vertical="center" wrapText="1"/>
    </xf>
    <xf numFmtId="0" fontId="71" fillId="2" borderId="25" xfId="9860" applyFont="1" applyFill="1" applyBorder="1" applyAlignment="1">
      <alignment horizontal="center" vertical="center" wrapText="1"/>
    </xf>
    <xf numFmtId="168" fontId="71" fillId="2" borderId="29" xfId="9859" applyFont="1" applyFill="1" applyBorder="1" applyAlignment="1">
      <alignment horizontal="center" vertical="center"/>
    </xf>
    <xf numFmtId="168" fontId="71" fillId="2" borderId="19" xfId="9859" applyFont="1" applyFill="1" applyBorder="1" applyAlignment="1">
      <alignment horizontal="center" vertical="center"/>
    </xf>
    <xf numFmtId="0" fontId="110" fillId="9" borderId="0" xfId="9860" applyFont="1" applyFill="1"/>
    <xf numFmtId="0" fontId="131" fillId="9" borderId="0" xfId="9860" applyFont="1" applyFill="1" applyAlignment="1">
      <alignment horizontal="center"/>
    </xf>
    <xf numFmtId="179" fontId="0" fillId="9" borderId="0" xfId="9861" applyNumberFormat="1" applyFont="1" applyFill="1"/>
    <xf numFmtId="0" fontId="188" fillId="2" borderId="0" xfId="0" applyFont="1" applyFill="1" applyAlignment="1">
      <alignment vertical="center"/>
    </xf>
    <xf numFmtId="0" fontId="66" fillId="2" borderId="29" xfId="12" applyFont="1" applyFill="1" applyBorder="1" applyAlignment="1">
      <alignment horizontal="center" vertical="center"/>
    </xf>
    <xf numFmtId="0" fontId="90" fillId="2" borderId="56" xfId="0" applyFont="1" applyFill="1" applyBorder="1" applyAlignment="1">
      <alignment horizontal="centerContinuous" vertical="center" wrapText="1"/>
    </xf>
    <xf numFmtId="171" fontId="170" fillId="7" borderId="58" xfId="0" applyNumberFormat="1" applyFont="1" applyFill="1" applyBorder="1"/>
    <xf numFmtId="184" fontId="103" fillId="3" borderId="10" xfId="0" applyNumberFormat="1" applyFont="1" applyFill="1" applyBorder="1"/>
    <xf numFmtId="3" fontId="124" fillId="6" borderId="12" xfId="0" applyNumberFormat="1" applyFont="1" applyFill="1" applyBorder="1"/>
    <xf numFmtId="3" fontId="124" fillId="6" borderId="56" xfId="0" applyNumberFormat="1" applyFont="1" applyFill="1" applyBorder="1"/>
    <xf numFmtId="3" fontId="124" fillId="6" borderId="44" xfId="0" applyNumberFormat="1" applyFont="1" applyFill="1" applyBorder="1"/>
    <xf numFmtId="3" fontId="71" fillId="0" borderId="67" xfId="0" applyNumberFormat="1" applyFont="1" applyBorder="1"/>
    <xf numFmtId="0" fontId="71" fillId="2" borderId="5" xfId="13" quotePrefix="1" applyFont="1" applyFill="1" applyBorder="1" applyAlignment="1">
      <alignment horizontal="center" vertical="center" wrapText="1"/>
    </xf>
    <xf numFmtId="173" fontId="131" fillId="0" borderId="2" xfId="14" applyNumberFormat="1" applyFont="1" applyBorder="1"/>
    <xf numFmtId="173" fontId="131" fillId="0" borderId="56" xfId="14" applyNumberFormat="1" applyFont="1" applyBorder="1"/>
    <xf numFmtId="179" fontId="124" fillId="6" borderId="3" xfId="12401" applyNumberFormat="1" applyFont="1" applyFill="1" applyBorder="1"/>
    <xf numFmtId="171" fontId="71" fillId="9" borderId="2" xfId="9842" applyNumberFormat="1" applyFont="1" applyFill="1" applyBorder="1"/>
    <xf numFmtId="171" fontId="71" fillId="9" borderId="0" xfId="9842" applyNumberFormat="1" applyFont="1" applyFill="1"/>
    <xf numFmtId="184" fontId="71" fillId="0" borderId="0" xfId="0" applyNumberFormat="1" applyFont="1"/>
    <xf numFmtId="184" fontId="71" fillId="0" borderId="56" xfId="0" applyNumberFormat="1" applyFont="1" applyBorder="1"/>
    <xf numFmtId="175" fontId="71" fillId="0" borderId="56" xfId="0" applyNumberFormat="1" applyFont="1" applyBorder="1"/>
    <xf numFmtId="0" fontId="71" fillId="2" borderId="18" xfId="0" applyFont="1" applyFill="1" applyBorder="1"/>
    <xf numFmtId="0" fontId="71" fillId="2" borderId="23" xfId="0" applyFont="1" applyFill="1" applyBorder="1"/>
    <xf numFmtId="0" fontId="71" fillId="2" borderId="19" xfId="0" applyFont="1" applyFill="1" applyBorder="1"/>
    <xf numFmtId="0" fontId="84" fillId="2" borderId="21" xfId="0" quotePrefix="1" applyFont="1" applyFill="1" applyBorder="1" applyAlignment="1">
      <alignment horizontal="center" vertical="center" wrapText="1"/>
    </xf>
    <xf numFmtId="177" fontId="71" fillId="0" borderId="16" xfId="0" applyNumberFormat="1" applyFont="1" applyBorder="1"/>
    <xf numFmtId="0" fontId="71" fillId="9" borderId="23" xfId="126" applyFont="1" applyFill="1" applyBorder="1"/>
    <xf numFmtId="0" fontId="71" fillId="9" borderId="18" xfId="126" applyFont="1" applyFill="1" applyBorder="1"/>
    <xf numFmtId="0" fontId="71" fillId="9" borderId="0" xfId="126" applyFont="1" applyFill="1"/>
    <xf numFmtId="0" fontId="71" fillId="9" borderId="6" xfId="126" applyFont="1" applyFill="1" applyBorder="1"/>
    <xf numFmtId="2" fontId="71" fillId="0" borderId="3" xfId="9931" applyNumberFormat="1" applyFont="1" applyBorder="1" applyAlignment="1">
      <alignment horizontal="center"/>
    </xf>
    <xf numFmtId="0" fontId="66" fillId="9" borderId="0" xfId="126" applyFill="1"/>
    <xf numFmtId="0" fontId="38" fillId="9" borderId="0" xfId="9931" applyFill="1"/>
    <xf numFmtId="0" fontId="71" fillId="9" borderId="7" xfId="126" applyFont="1" applyFill="1" applyBorder="1"/>
    <xf numFmtId="170" fontId="124" fillId="6" borderId="56" xfId="9931" applyNumberFormat="1" applyFont="1" applyFill="1" applyBorder="1" applyAlignment="1">
      <alignment horizontal="right" vertical="center"/>
    </xf>
    <xf numFmtId="1" fontId="84" fillId="9" borderId="6" xfId="9931" applyNumberFormat="1" applyFont="1" applyFill="1" applyBorder="1" applyAlignment="1">
      <alignment horizontal="centerContinuous" vertical="center" wrapText="1"/>
    </xf>
    <xf numFmtId="0" fontId="71" fillId="9" borderId="6" xfId="126" applyFont="1" applyFill="1" applyBorder="1" applyAlignment="1">
      <alignment horizontal="centerContinuous"/>
    </xf>
    <xf numFmtId="175" fontId="71" fillId="7" borderId="56" xfId="0" applyNumberFormat="1" applyFont="1" applyFill="1" applyBorder="1"/>
    <xf numFmtId="171" fontId="71" fillId="0" borderId="2" xfId="0" applyNumberFormat="1" applyFont="1" applyBorder="1"/>
    <xf numFmtId="171" fontId="103" fillId="3" borderId="2" xfId="0" applyNumberFormat="1" applyFont="1" applyFill="1" applyBorder="1"/>
    <xf numFmtId="10" fontId="103" fillId="3" borderId="3" xfId="0" applyNumberFormat="1" applyFont="1" applyFill="1" applyBorder="1"/>
    <xf numFmtId="10" fontId="71" fillId="0" borderId="3" xfId="0" applyNumberFormat="1" applyFont="1" applyBorder="1"/>
    <xf numFmtId="10" fontId="83" fillId="4" borderId="3" xfId="0" applyNumberFormat="1" applyFont="1" applyFill="1" applyBorder="1"/>
    <xf numFmtId="171" fontId="161" fillId="3" borderId="9" xfId="0" applyNumberFormat="1" applyFont="1" applyFill="1" applyBorder="1"/>
    <xf numFmtId="171" fontId="71" fillId="0" borderId="2" xfId="0" applyNumberFormat="1" applyFont="1" applyBorder="1" applyAlignment="1">
      <alignment horizontal="right" vertical="center"/>
    </xf>
    <xf numFmtId="1" fontId="87" fillId="2" borderId="65" xfId="0" applyNumberFormat="1" applyFont="1" applyFill="1" applyBorder="1" applyAlignment="1">
      <alignment horizontal="center"/>
    </xf>
    <xf numFmtId="171" fontId="109" fillId="0" borderId="78" xfId="0" applyNumberFormat="1" applyFont="1" applyBorder="1"/>
    <xf numFmtId="171" fontId="103" fillId="3" borderId="78" xfId="0" applyNumberFormat="1" applyFont="1" applyFill="1" applyBorder="1"/>
    <xf numFmtId="179" fontId="102" fillId="2" borderId="5" xfId="12401" applyNumberFormat="1" applyFont="1" applyFill="1" applyBorder="1" applyAlignment="1">
      <alignment horizontal="center" vertical="center"/>
    </xf>
    <xf numFmtId="179" fontId="161" fillId="3" borderId="38" xfId="12401" applyNumberFormat="1" applyFont="1" applyFill="1" applyBorder="1" applyAlignment="1">
      <alignment horizontal="right"/>
    </xf>
    <xf numFmtId="170" fontId="104" fillId="4" borderId="36" xfId="0" applyNumberFormat="1" applyFont="1" applyFill="1" applyBorder="1"/>
    <xf numFmtId="170" fontId="104" fillId="4" borderId="0" xfId="0" applyNumberFormat="1" applyFont="1" applyFill="1"/>
    <xf numFmtId="170" fontId="113" fillId="3" borderId="43" xfId="0" applyNumberFormat="1" applyFont="1" applyFill="1" applyBorder="1"/>
    <xf numFmtId="170" fontId="113" fillId="3" borderId="38" xfId="0" applyNumberFormat="1" applyFont="1" applyFill="1" applyBorder="1"/>
    <xf numFmtId="170" fontId="104" fillId="4" borderId="78" xfId="0" applyNumberFormat="1" applyFont="1" applyFill="1" applyBorder="1"/>
    <xf numFmtId="170" fontId="113" fillId="3" borderId="0" xfId="0" applyNumberFormat="1" applyFont="1" applyFill="1"/>
    <xf numFmtId="170" fontId="104" fillId="4" borderId="56" xfId="0" applyNumberFormat="1" applyFont="1" applyFill="1" applyBorder="1"/>
    <xf numFmtId="170" fontId="104" fillId="4" borderId="9" xfId="0" applyNumberFormat="1" applyFont="1" applyFill="1" applyBorder="1"/>
    <xf numFmtId="170" fontId="104" fillId="4" borderId="3" xfId="0" applyNumberFormat="1" applyFont="1" applyFill="1" applyBorder="1"/>
    <xf numFmtId="0" fontId="71" fillId="0" borderId="83" xfId="13" applyFont="1" applyBorder="1" applyAlignment="1">
      <alignment horizontal="center" vertical="center" wrapText="1"/>
    </xf>
    <xf numFmtId="0" fontId="71" fillId="9" borderId="83" xfId="13" applyFont="1" applyFill="1" applyBorder="1" applyAlignment="1">
      <alignment horizontal="center" vertical="center" wrapText="1"/>
    </xf>
    <xf numFmtId="0" fontId="84" fillId="2" borderId="84" xfId="13" applyFont="1" applyFill="1" applyBorder="1" applyAlignment="1">
      <alignment horizontal="center" vertical="center" wrapText="1"/>
    </xf>
    <xf numFmtId="3" fontId="109" fillId="7" borderId="87" xfId="16" applyNumberFormat="1" applyFont="1" applyFill="1" applyBorder="1"/>
    <xf numFmtId="3" fontId="124" fillId="3" borderId="87" xfId="16" applyNumberFormat="1" applyFont="1" applyFill="1" applyBorder="1"/>
    <xf numFmtId="3" fontId="71" fillId="0" borderId="87" xfId="16" applyNumberFormat="1" applyFont="1" applyBorder="1"/>
    <xf numFmtId="0" fontId="71" fillId="0" borderId="66" xfId="13" applyFont="1" applyBorder="1" applyAlignment="1">
      <alignment horizontal="center" vertical="center" wrapText="1"/>
    </xf>
    <xf numFmtId="0" fontId="71" fillId="2" borderId="87" xfId="13" applyFont="1" applyFill="1" applyBorder="1" applyAlignment="1">
      <alignment vertical="center"/>
    </xf>
    <xf numFmtId="0" fontId="84" fillId="2" borderId="88" xfId="13" quotePrefix="1" applyFont="1" applyFill="1" applyBorder="1" applyAlignment="1">
      <alignment horizontal="center" vertical="center" wrapText="1"/>
    </xf>
    <xf numFmtId="3" fontId="109" fillId="7" borderId="85" xfId="16" applyNumberFormat="1" applyFont="1" applyFill="1" applyBorder="1"/>
    <xf numFmtId="3" fontId="124" fillId="3" borderId="86" xfId="16" applyNumberFormat="1" applyFont="1" applyFill="1" applyBorder="1"/>
    <xf numFmtId="3" fontId="71" fillId="0" borderId="85" xfId="16" applyNumberFormat="1" applyFont="1" applyBorder="1"/>
    <xf numFmtId="0" fontId="71" fillId="9" borderId="6" xfId="13" applyFont="1" applyFill="1" applyBorder="1" applyAlignment="1">
      <alignment horizontal="center" vertical="center" wrapText="1"/>
    </xf>
    <xf numFmtId="3" fontId="109" fillId="7" borderId="0" xfId="16" applyNumberFormat="1" applyFont="1" applyFill="1"/>
    <xf numFmtId="3" fontId="124" fillId="3" borderId="0" xfId="16" applyNumberFormat="1" applyFont="1" applyFill="1"/>
    <xf numFmtId="3" fontId="71" fillId="0" borderId="0" xfId="16" applyNumberFormat="1" applyFont="1"/>
    <xf numFmtId="0" fontId="71" fillId="9" borderId="65" xfId="13" quotePrefix="1" applyFont="1" applyFill="1" applyBorder="1" applyAlignment="1">
      <alignment horizontal="center" vertical="center" wrapText="1"/>
    </xf>
    <xf numFmtId="0" fontId="71" fillId="0" borderId="65" xfId="13" applyFont="1" applyBorder="1" applyAlignment="1">
      <alignment horizontal="center" vertical="center"/>
    </xf>
    <xf numFmtId="0" fontId="71" fillId="9" borderId="65" xfId="13" applyFont="1" applyFill="1" applyBorder="1" applyAlignment="1">
      <alignment horizontal="center" vertical="center" wrapText="1"/>
    </xf>
    <xf numFmtId="0" fontId="84" fillId="2" borderId="82" xfId="13" quotePrefix="1" applyFont="1" applyFill="1" applyBorder="1" applyAlignment="1">
      <alignment horizontal="center" vertical="center" wrapText="1"/>
    </xf>
    <xf numFmtId="3" fontId="71" fillId="7" borderId="3" xfId="16" applyNumberFormat="1" applyFont="1" applyFill="1" applyBorder="1"/>
    <xf numFmtId="3" fontId="109" fillId="7" borderId="3" xfId="16" applyNumberFormat="1" applyFont="1" applyFill="1" applyBorder="1"/>
    <xf numFmtId="3" fontId="161" fillId="3" borderId="3" xfId="16" applyNumberFormat="1" applyFont="1" applyFill="1" applyBorder="1"/>
    <xf numFmtId="3" fontId="109" fillId="7" borderId="56" xfId="16" applyNumberFormat="1" applyFont="1" applyFill="1" applyBorder="1"/>
    <xf numFmtId="3" fontId="109" fillId="0" borderId="56" xfId="16" applyNumberFormat="1" applyFont="1" applyBorder="1"/>
    <xf numFmtId="3" fontId="124" fillId="3" borderId="43" xfId="16" applyNumberFormat="1" applyFont="1" applyFill="1" applyBorder="1"/>
    <xf numFmtId="0" fontId="71" fillId="0" borderId="65" xfId="13" applyFont="1" applyBorder="1" applyAlignment="1">
      <alignment horizontal="center" vertical="center" wrapText="1"/>
    </xf>
    <xf numFmtId="0" fontId="71" fillId="2" borderId="65" xfId="13" applyFont="1" applyFill="1" applyBorder="1" applyAlignment="1">
      <alignment vertical="center"/>
    </xf>
    <xf numFmtId="3" fontId="109" fillId="0" borderId="0" xfId="16" applyNumberFormat="1" applyFont="1"/>
    <xf numFmtId="3" fontId="71" fillId="7" borderId="0" xfId="16" applyNumberFormat="1" applyFont="1" applyFill="1"/>
    <xf numFmtId="3" fontId="124" fillId="3" borderId="16" xfId="16" applyNumberFormat="1" applyFont="1" applyFill="1" applyBorder="1"/>
    <xf numFmtId="0" fontId="71" fillId="0" borderId="25" xfId="13" applyFont="1" applyBorder="1" applyAlignment="1">
      <alignment horizontal="center" vertical="center"/>
    </xf>
    <xf numFmtId="0" fontId="84" fillId="2" borderId="27" xfId="13" quotePrefix="1" applyFont="1" applyFill="1" applyBorder="1" applyAlignment="1">
      <alignment horizontal="center" vertical="center" wrapText="1"/>
    </xf>
    <xf numFmtId="3" fontId="161" fillId="3" borderId="38" xfId="16" applyNumberFormat="1" applyFont="1" applyFill="1" applyBorder="1"/>
    <xf numFmtId="3" fontId="124" fillId="3" borderId="89" xfId="16" applyNumberFormat="1" applyFont="1" applyFill="1" applyBorder="1"/>
    <xf numFmtId="3" fontId="109" fillId="0" borderId="87" xfId="16" applyNumberFormat="1" applyFont="1" applyBorder="1"/>
    <xf numFmtId="0" fontId="71" fillId="9" borderId="66" xfId="13" applyFont="1" applyFill="1" applyBorder="1" applyAlignment="1">
      <alignment horizontal="center" vertical="center" wrapText="1"/>
    </xf>
    <xf numFmtId="3" fontId="124" fillId="3" borderId="85" xfId="16" applyNumberFormat="1" applyFont="1" applyFill="1" applyBorder="1"/>
    <xf numFmtId="0" fontId="71" fillId="2" borderId="6" xfId="10" applyFont="1" applyFill="1" applyBorder="1" applyAlignment="1">
      <alignment horizontal="centerContinuous" vertical="center" wrapText="1"/>
    </xf>
    <xf numFmtId="172" fontId="71" fillId="7" borderId="11" xfId="11" applyNumberFormat="1" applyFont="1" applyFill="1" applyBorder="1"/>
    <xf numFmtId="172" fontId="71" fillId="7" borderId="56" xfId="11" applyNumberFormat="1" applyFont="1" applyFill="1" applyBorder="1"/>
    <xf numFmtId="172" fontId="71" fillId="7" borderId="15" xfId="11" applyNumberFormat="1" applyFont="1" applyFill="1" applyBorder="1"/>
    <xf numFmtId="172" fontId="71" fillId="7" borderId="16" xfId="11" applyNumberFormat="1" applyFont="1" applyFill="1" applyBorder="1"/>
    <xf numFmtId="0" fontId="84" fillId="2" borderId="82" xfId="10" applyFont="1" applyFill="1" applyBorder="1" applyAlignment="1">
      <alignment horizontal="centerContinuous" vertical="center" wrapText="1"/>
    </xf>
    <xf numFmtId="172" fontId="71" fillId="7" borderId="78" xfId="11" applyNumberFormat="1" applyFont="1" applyFill="1" applyBorder="1"/>
    <xf numFmtId="0" fontId="71" fillId="2" borderId="65" xfId="10" applyFont="1" applyFill="1" applyBorder="1" applyAlignment="1">
      <alignment horizontal="centerContinuous" vertical="center" wrapText="1"/>
    </xf>
    <xf numFmtId="0" fontId="71" fillId="2" borderId="7" xfId="10" applyFont="1" applyFill="1" applyBorder="1" applyAlignment="1">
      <alignment horizontal="centerContinuous" vertical="center" wrapText="1"/>
    </xf>
    <xf numFmtId="170" fontId="103" fillId="3" borderId="16" xfId="0" applyNumberFormat="1" applyFont="1" applyFill="1" applyBorder="1"/>
    <xf numFmtId="0" fontId="149" fillId="9" borderId="0" xfId="9858" applyFont="1" applyFill="1" applyAlignment="1">
      <alignment horizontal="centerContinuous"/>
    </xf>
    <xf numFmtId="0" fontId="45" fillId="9" borderId="0" xfId="9858" applyFill="1" applyAlignment="1">
      <alignment horizontal="centerContinuous"/>
    </xf>
    <xf numFmtId="0" fontId="45" fillId="9" borderId="3" xfId="9858" applyFill="1" applyBorder="1"/>
    <xf numFmtId="175" fontId="124" fillId="6" borderId="56" xfId="0" applyNumberFormat="1" applyFont="1" applyFill="1" applyBorder="1" applyAlignment="1">
      <alignment horizontal="right"/>
    </xf>
    <xf numFmtId="172" fontId="103" fillId="3" borderId="33" xfId="13" applyNumberFormat="1" applyFont="1" applyFill="1" applyBorder="1"/>
    <xf numFmtId="172" fontId="161" fillId="3" borderId="44" xfId="13" applyNumberFormat="1" applyFont="1" applyFill="1" applyBorder="1"/>
    <xf numFmtId="174" fontId="95" fillId="4" borderId="56" xfId="0" applyNumberFormat="1" applyFont="1" applyFill="1" applyBorder="1" applyAlignment="1">
      <alignment horizontal="center"/>
    </xf>
    <xf numFmtId="174" fontId="83" fillId="4" borderId="56" xfId="0" applyNumberFormat="1" applyFont="1" applyFill="1" applyBorder="1" applyAlignment="1">
      <alignment vertical="center" wrapText="1"/>
    </xf>
    <xf numFmtId="181" fontId="95" fillId="4" borderId="56" xfId="0" applyNumberFormat="1" applyFont="1" applyFill="1" applyBorder="1" applyAlignment="1">
      <alignment horizontal="center"/>
    </xf>
    <xf numFmtId="179" fontId="71" fillId="0" borderId="3" xfId="12401" applyNumberFormat="1" applyFont="1" applyFill="1" applyBorder="1"/>
    <xf numFmtId="170" fontId="104" fillId="4" borderId="10" xfId="0" applyNumberFormat="1" applyFont="1" applyFill="1" applyBorder="1"/>
    <xf numFmtId="170" fontId="104" fillId="4" borderId="57" xfId="0" applyNumberFormat="1" applyFont="1" applyFill="1" applyBorder="1"/>
    <xf numFmtId="170" fontId="103" fillId="3" borderId="85" xfId="215" applyNumberFormat="1" applyFont="1" applyFill="1" applyBorder="1"/>
    <xf numFmtId="170" fontId="71" fillId="0" borderId="85" xfId="215" applyNumberFormat="1" applyFont="1" applyBorder="1"/>
    <xf numFmtId="0" fontId="71" fillId="2" borderId="6" xfId="9860" applyFont="1" applyFill="1" applyBorder="1" applyAlignment="1">
      <alignment horizontal="center" vertical="center" wrapText="1"/>
    </xf>
    <xf numFmtId="0" fontId="71" fillId="2" borderId="65" xfId="9860" applyFont="1" applyFill="1" applyBorder="1" applyAlignment="1">
      <alignment horizontal="center" vertical="center" wrapText="1"/>
    </xf>
    <xf numFmtId="0" fontId="110" fillId="0" borderId="65" xfId="9860" applyFont="1" applyBorder="1" applyAlignment="1">
      <alignment horizontal="center" vertical="center"/>
    </xf>
    <xf numFmtId="170" fontId="103" fillId="3" borderId="78" xfId="0" applyNumberFormat="1" applyFont="1" applyFill="1" applyBorder="1"/>
    <xf numFmtId="170" fontId="103" fillId="3" borderId="36" xfId="0" applyNumberFormat="1" applyFont="1" applyFill="1" applyBorder="1"/>
    <xf numFmtId="171" fontId="103" fillId="3" borderId="56" xfId="0" applyNumberFormat="1" applyFont="1" applyFill="1" applyBorder="1"/>
    <xf numFmtId="171" fontId="103" fillId="3" borderId="36" xfId="0" applyNumberFormat="1" applyFont="1" applyFill="1" applyBorder="1"/>
    <xf numFmtId="171" fontId="103" fillId="3" borderId="41" xfId="0" applyNumberFormat="1" applyFont="1" applyFill="1" applyBorder="1"/>
    <xf numFmtId="171" fontId="103" fillId="3" borderId="87" xfId="0" applyNumberFormat="1" applyFont="1" applyFill="1" applyBorder="1"/>
    <xf numFmtId="171" fontId="103" fillId="3" borderId="96" xfId="0" applyNumberFormat="1" applyFont="1" applyFill="1" applyBorder="1"/>
    <xf numFmtId="170" fontId="103" fillId="3" borderId="40" xfId="0" applyNumberFormat="1" applyFont="1" applyFill="1" applyBorder="1"/>
    <xf numFmtId="175" fontId="109" fillId="0" borderId="2" xfId="0" applyNumberFormat="1" applyFont="1" applyBorder="1"/>
    <xf numFmtId="175" fontId="124" fillId="6" borderId="2" xfId="0" applyNumberFormat="1" applyFont="1" applyFill="1" applyBorder="1"/>
    <xf numFmtId="0" fontId="71" fillId="2" borderId="66" xfId="0" applyFont="1" applyFill="1" applyBorder="1" applyAlignment="1">
      <alignment horizontal="centerContinuous" vertical="center" wrapText="1"/>
    </xf>
    <xf numFmtId="0" fontId="71" fillId="2" borderId="66" xfId="0" applyFont="1" applyFill="1" applyBorder="1"/>
    <xf numFmtId="175" fontId="71" fillId="0" borderId="85" xfId="0" applyNumberFormat="1" applyFont="1" applyBorder="1"/>
    <xf numFmtId="0" fontId="84" fillId="2" borderId="20" xfId="0" quotePrefix="1" applyFont="1" applyFill="1" applyBorder="1" applyAlignment="1">
      <alignment horizontal="center" vertical="center" wrapText="1"/>
    </xf>
    <xf numFmtId="175" fontId="103" fillId="3" borderId="85" xfId="0" applyNumberFormat="1" applyFont="1" applyFill="1" applyBorder="1"/>
    <xf numFmtId="175" fontId="95" fillId="4" borderId="56" xfId="0" applyNumberFormat="1" applyFont="1" applyFill="1" applyBorder="1" applyAlignment="1">
      <alignment horizontal="center"/>
    </xf>
    <xf numFmtId="175" fontId="95" fillId="4" borderId="56" xfId="0" applyNumberFormat="1" applyFont="1" applyFill="1" applyBorder="1"/>
    <xf numFmtId="175" fontId="103" fillId="3" borderId="56" xfId="0" applyNumberFormat="1" applyFont="1" applyFill="1" applyBorder="1"/>
    <xf numFmtId="175" fontId="124" fillId="3" borderId="56" xfId="0" applyNumberFormat="1" applyFont="1" applyFill="1" applyBorder="1"/>
    <xf numFmtId="175" fontId="131" fillId="0" borderId="56" xfId="0" applyNumberFormat="1" applyFont="1" applyBorder="1"/>
    <xf numFmtId="0" fontId="71" fillId="0" borderId="5" xfId="0" applyFont="1" applyBorder="1" applyAlignment="1">
      <alignment horizontal="centerContinuous" vertical="center" wrapText="1"/>
    </xf>
    <xf numFmtId="0" fontId="71" fillId="0" borderId="25" xfId="0" applyFont="1" applyBorder="1" applyAlignment="1">
      <alignment horizontal="centerContinuous" vertical="center" wrapText="1"/>
    </xf>
    <xf numFmtId="170" fontId="110" fillId="7" borderId="16" xfId="0" applyNumberFormat="1" applyFont="1" applyFill="1" applyBorder="1"/>
    <xf numFmtId="0" fontId="71" fillId="0" borderId="65" xfId="0" applyFont="1" applyBorder="1" applyAlignment="1">
      <alignment horizontal="centerContinuous" vertical="center" wrapText="1"/>
    </xf>
    <xf numFmtId="170" fontId="110" fillId="0" borderId="56" xfId="0" applyNumberFormat="1" applyFont="1" applyBorder="1"/>
    <xf numFmtId="170" fontId="103" fillId="7" borderId="15" xfId="0" applyNumberFormat="1" applyFont="1" applyFill="1" applyBorder="1"/>
    <xf numFmtId="170" fontId="71" fillId="7" borderId="16" xfId="0" applyNumberFormat="1" applyFont="1" applyFill="1" applyBorder="1"/>
    <xf numFmtId="170" fontId="103" fillId="7" borderId="78" xfId="0" applyNumberFormat="1" applyFont="1" applyFill="1" applyBorder="1"/>
    <xf numFmtId="170" fontId="71" fillId="7" borderId="0" xfId="0" applyNumberFormat="1" applyFont="1" applyFill="1"/>
    <xf numFmtId="0" fontId="71" fillId="0" borderId="6" xfId="0" applyFont="1" applyBorder="1" applyAlignment="1">
      <alignment horizontal="center" vertical="center" wrapText="1"/>
    </xf>
    <xf numFmtId="175" fontId="71" fillId="0" borderId="16" xfId="0" applyNumberFormat="1" applyFont="1" applyBorder="1" applyAlignment="1">
      <alignment horizontal="right"/>
    </xf>
    <xf numFmtId="0" fontId="71" fillId="0" borderId="65" xfId="0" applyFont="1" applyBorder="1" applyAlignment="1">
      <alignment horizontal="center" vertical="center" wrapText="1"/>
    </xf>
    <xf numFmtId="0" fontId="71" fillId="0" borderId="65" xfId="0" applyFont="1" applyBorder="1"/>
    <xf numFmtId="181" fontId="71" fillId="0" borderId="16" xfId="0" applyNumberFormat="1" applyFont="1" applyBorder="1" applyAlignment="1">
      <alignment horizontal="right"/>
    </xf>
    <xf numFmtId="181" fontId="126" fillId="0" borderId="16" xfId="0" applyNumberFormat="1" applyFont="1" applyBorder="1" applyAlignment="1">
      <alignment horizontal="right"/>
    </xf>
    <xf numFmtId="0" fontId="71" fillId="0" borderId="6" xfId="0" applyFont="1" applyBorder="1" applyAlignment="1">
      <alignment horizontal="center" vertical="center"/>
    </xf>
    <xf numFmtId="175" fontId="71" fillId="4" borderId="0" xfId="0" applyNumberFormat="1" applyFont="1" applyFill="1"/>
    <xf numFmtId="3" fontId="71" fillId="0" borderId="0" xfId="13" applyNumberFormat="1" applyFont="1"/>
    <xf numFmtId="0" fontId="71" fillId="0" borderId="65" xfId="0" applyFont="1" applyBorder="1" applyAlignment="1">
      <alignment horizontal="center" vertical="center"/>
    </xf>
    <xf numFmtId="0" fontId="71" fillId="0" borderId="7" xfId="0" applyFont="1" applyBorder="1" applyAlignment="1">
      <alignment horizontal="center" vertical="center"/>
    </xf>
    <xf numFmtId="0" fontId="71" fillId="0" borderId="7" xfId="0" applyFont="1" applyBorder="1" applyAlignment="1">
      <alignment horizontal="center" vertical="center" wrapText="1"/>
    </xf>
    <xf numFmtId="175" fontId="71" fillId="4" borderId="3" xfId="0" applyNumberFormat="1" applyFont="1" applyFill="1" applyBorder="1"/>
    <xf numFmtId="3" fontId="71" fillId="0" borderId="3" xfId="13" applyNumberFormat="1" applyFont="1" applyBorder="1"/>
    <xf numFmtId="3" fontId="71" fillId="0" borderId="3" xfId="0" applyNumberFormat="1" applyFont="1" applyBorder="1"/>
    <xf numFmtId="1" fontId="87" fillId="2" borderId="99" xfId="0" applyNumberFormat="1" applyFont="1" applyFill="1" applyBorder="1" applyAlignment="1">
      <alignment horizontal="center"/>
    </xf>
    <xf numFmtId="171" fontId="103" fillId="3" borderId="79" xfId="0" applyNumberFormat="1" applyFont="1" applyFill="1" applyBorder="1"/>
    <xf numFmtId="171" fontId="103" fillId="10" borderId="11" xfId="0" applyNumberFormat="1" applyFont="1" applyFill="1" applyBorder="1"/>
    <xf numFmtId="171" fontId="103" fillId="10" borderId="78" xfId="0" applyNumberFormat="1" applyFont="1" applyFill="1" applyBorder="1"/>
    <xf numFmtId="171" fontId="113" fillId="4" borderId="11" xfId="0" applyNumberFormat="1" applyFont="1" applyFill="1" applyBorder="1"/>
    <xf numFmtId="171" fontId="109" fillId="4" borderId="56" xfId="0" applyNumberFormat="1" applyFont="1" applyFill="1" applyBorder="1"/>
    <xf numFmtId="171" fontId="113" fillId="4" borderId="78" xfId="0" applyNumberFormat="1" applyFont="1" applyFill="1" applyBorder="1"/>
    <xf numFmtId="171" fontId="113" fillId="4" borderId="36" xfId="0" applyNumberFormat="1" applyFont="1" applyFill="1" applyBorder="1"/>
    <xf numFmtId="171" fontId="109" fillId="4" borderId="0" xfId="0" applyNumberFormat="1" applyFont="1" applyFill="1"/>
    <xf numFmtId="171" fontId="109" fillId="0" borderId="0" xfId="0" applyNumberFormat="1" applyFont="1"/>
    <xf numFmtId="171" fontId="113" fillId="4" borderId="9" xfId="0" applyNumberFormat="1" applyFont="1" applyFill="1" applyBorder="1"/>
    <xf numFmtId="171" fontId="71" fillId="0" borderId="0" xfId="0" applyNumberFormat="1" applyFont="1"/>
    <xf numFmtId="171" fontId="109" fillId="7" borderId="36" xfId="0" applyNumberFormat="1" applyFont="1" applyFill="1" applyBorder="1"/>
    <xf numFmtId="171" fontId="113" fillId="7" borderId="0" xfId="0" applyNumberFormat="1" applyFont="1" applyFill="1"/>
    <xf numFmtId="0" fontId="124" fillId="2" borderId="82" xfId="0" applyFont="1" applyFill="1" applyBorder="1" applyAlignment="1">
      <alignment horizontal="center" vertical="center" wrapText="1"/>
    </xf>
    <xf numFmtId="171" fontId="109" fillId="7" borderId="78" xfId="0" applyNumberFormat="1" applyFont="1" applyFill="1" applyBorder="1"/>
    <xf numFmtId="0" fontId="124" fillId="2" borderId="81" xfId="0" applyFont="1" applyFill="1" applyBorder="1" applyAlignment="1">
      <alignment horizontal="center" vertical="center" wrapText="1"/>
    </xf>
    <xf numFmtId="171" fontId="103" fillId="3" borderId="92" xfId="0" applyNumberFormat="1" applyFont="1" applyFill="1" applyBorder="1"/>
    <xf numFmtId="0" fontId="131" fillId="9" borderId="16" xfId="9842" applyFont="1" applyFill="1" applyBorder="1"/>
    <xf numFmtId="0" fontId="131" fillId="0" borderId="7" xfId="9842" applyFont="1" applyBorder="1" applyAlignment="1">
      <alignment horizontal="center" vertical="center" wrapText="1"/>
    </xf>
    <xf numFmtId="170" fontId="103" fillId="4" borderId="11" xfId="0" applyNumberFormat="1" applyFont="1" applyFill="1" applyBorder="1"/>
    <xf numFmtId="3" fontId="161" fillId="3" borderId="100" xfId="0" applyNumberFormat="1" applyFont="1" applyFill="1" applyBorder="1"/>
    <xf numFmtId="3" fontId="71" fillId="0" borderId="56" xfId="0" applyNumberFormat="1" applyFont="1" applyBorder="1" applyAlignment="1">
      <alignment horizontal="right"/>
    </xf>
    <xf numFmtId="0" fontId="71" fillId="2" borderId="65" xfId="0" applyFont="1" applyFill="1" applyBorder="1"/>
    <xf numFmtId="3" fontId="103" fillId="8" borderId="78" xfId="0" applyNumberFormat="1" applyFont="1" applyFill="1" applyBorder="1"/>
    <xf numFmtId="3" fontId="71" fillId="0" borderId="0" xfId="0" applyNumberFormat="1" applyFont="1" applyAlignment="1">
      <alignment horizontal="right"/>
    </xf>
    <xf numFmtId="3" fontId="103" fillId="8" borderId="100" xfId="0" applyNumberFormat="1" applyFont="1" applyFill="1" applyBorder="1"/>
    <xf numFmtId="3" fontId="103" fillId="3" borderId="101" xfId="0" applyNumberFormat="1" applyFont="1" applyFill="1" applyBorder="1"/>
    <xf numFmtId="3" fontId="71" fillId="0" borderId="85" xfId="0" applyNumberFormat="1" applyFont="1" applyBorder="1"/>
    <xf numFmtId="3" fontId="103" fillId="8" borderId="101" xfId="0" applyNumberFormat="1" applyFont="1" applyFill="1" applyBorder="1"/>
    <xf numFmtId="3" fontId="103" fillId="3" borderId="96" xfId="0" applyNumberFormat="1" applyFont="1" applyFill="1" applyBorder="1"/>
    <xf numFmtId="0" fontId="71" fillId="0" borderId="85" xfId="0" applyFont="1" applyBorder="1"/>
    <xf numFmtId="3" fontId="71" fillId="8" borderId="87" xfId="0" applyNumberFormat="1" applyFont="1" applyFill="1" applyBorder="1"/>
    <xf numFmtId="3" fontId="127" fillId="6" borderId="87" xfId="0" applyNumberFormat="1" applyFont="1" applyFill="1" applyBorder="1"/>
    <xf numFmtId="3" fontId="71" fillId="0" borderId="87" xfId="0" applyNumberFormat="1" applyFont="1" applyBorder="1"/>
    <xf numFmtId="177" fontId="112" fillId="4" borderId="0" xfId="0" applyNumberFormat="1" applyFont="1" applyFill="1"/>
    <xf numFmtId="3" fontId="109" fillId="0" borderId="0" xfId="0" applyNumberFormat="1" applyFont="1"/>
    <xf numFmtId="0" fontId="86" fillId="2" borderId="65" xfId="0" applyFont="1" applyFill="1" applyBorder="1" applyAlignment="1">
      <alignment horizontal="centerContinuous" vertical="center" wrapText="1"/>
    </xf>
    <xf numFmtId="3" fontId="103" fillId="3" borderId="78" xfId="0" applyNumberFormat="1" applyFont="1" applyFill="1" applyBorder="1"/>
    <xf numFmtId="170" fontId="110" fillId="0" borderId="0" xfId="0" applyNumberFormat="1" applyFont="1"/>
    <xf numFmtId="0" fontId="110" fillId="9" borderId="66" xfId="0" applyFont="1" applyFill="1" applyBorder="1" applyAlignment="1">
      <alignment horizontal="center" vertical="center" wrapText="1"/>
    </xf>
    <xf numFmtId="0" fontId="86" fillId="2" borderId="66" xfId="0" applyFont="1" applyFill="1" applyBorder="1" applyAlignment="1">
      <alignment horizontal="centerContinuous" vertical="center" wrapText="1"/>
    </xf>
    <xf numFmtId="171" fontId="126" fillId="7" borderId="85" xfId="0" applyNumberFormat="1" applyFont="1" applyFill="1" applyBorder="1"/>
    <xf numFmtId="171" fontId="170" fillId="7" borderId="85" xfId="0" applyNumberFormat="1" applyFont="1" applyFill="1" applyBorder="1"/>
    <xf numFmtId="1" fontId="71" fillId="2" borderId="99" xfId="0" applyNumberFormat="1" applyFont="1" applyFill="1" applyBorder="1" applyAlignment="1">
      <alignment horizontal="center" vertical="center"/>
    </xf>
    <xf numFmtId="171" fontId="103" fillId="7" borderId="95" xfId="0" applyNumberFormat="1" applyFont="1" applyFill="1" applyBorder="1"/>
    <xf numFmtId="171" fontId="103" fillId="3" borderId="95" xfId="0" applyNumberFormat="1" applyFont="1" applyFill="1" applyBorder="1"/>
    <xf numFmtId="0" fontId="71" fillId="2" borderId="6" xfId="0" applyFont="1" applyFill="1" applyBorder="1" applyAlignment="1">
      <alignment horizontal="center" vertical="center"/>
    </xf>
    <xf numFmtId="171" fontId="103" fillId="7" borderId="0" xfId="0" applyNumberFormat="1" applyFont="1" applyFill="1"/>
    <xf numFmtId="171" fontId="124" fillId="6" borderId="0" xfId="0" applyNumberFormat="1" applyFont="1" applyFill="1"/>
    <xf numFmtId="171" fontId="124" fillId="6" borderId="102" xfId="0" applyNumberFormat="1" applyFont="1" applyFill="1" applyBorder="1"/>
    <xf numFmtId="0" fontId="71" fillId="2" borderId="65" xfId="0" applyFont="1" applyFill="1" applyBorder="1" applyAlignment="1">
      <alignment horizontal="center" vertical="center"/>
    </xf>
    <xf numFmtId="179" fontId="91" fillId="2" borderId="65" xfId="12401" quotePrefix="1" applyNumberFormat="1" applyFont="1" applyFill="1" applyBorder="1" applyAlignment="1" applyProtection="1">
      <alignment horizontal="center" vertical="center"/>
    </xf>
    <xf numFmtId="179" fontId="91" fillId="2" borderId="66" xfId="12401" quotePrefix="1" applyNumberFormat="1" applyFont="1" applyFill="1" applyBorder="1" applyAlignment="1" applyProtection="1">
      <alignment horizontal="center" vertical="center"/>
    </xf>
    <xf numFmtId="179" fontId="91" fillId="2" borderId="65" xfId="12401" applyNumberFormat="1" applyFont="1" applyFill="1" applyBorder="1" applyAlignment="1">
      <alignment horizontal="center" vertical="center"/>
    </xf>
    <xf numFmtId="170" fontId="103" fillId="3" borderId="41" xfId="0" applyNumberFormat="1" applyFont="1" applyFill="1" applyBorder="1"/>
    <xf numFmtId="170" fontId="103" fillId="4" borderId="78" xfId="0" applyNumberFormat="1" applyFont="1" applyFill="1" applyBorder="1"/>
    <xf numFmtId="175" fontId="161" fillId="3" borderId="36" xfId="0" applyNumberFormat="1" applyFont="1" applyFill="1" applyBorder="1"/>
    <xf numFmtId="170" fontId="103" fillId="4" borderId="100" xfId="0" applyNumberFormat="1" applyFont="1" applyFill="1" applyBorder="1"/>
    <xf numFmtId="170" fontId="103" fillId="3" borderId="100" xfId="0" applyNumberFormat="1" applyFont="1" applyFill="1" applyBorder="1"/>
    <xf numFmtId="0" fontId="126" fillId="0" borderId="20" xfId="0" applyFont="1" applyBorder="1" applyAlignment="1">
      <alignment horizontal="center" vertical="center" wrapText="1"/>
    </xf>
    <xf numFmtId="170" fontId="103" fillId="3" borderId="96" xfId="0" applyNumberFormat="1" applyFont="1" applyFill="1" applyBorder="1"/>
    <xf numFmtId="170" fontId="103" fillId="4" borderId="15" xfId="0" applyNumberFormat="1" applyFont="1" applyFill="1" applyBorder="1"/>
    <xf numFmtId="170" fontId="103" fillId="4" borderId="98" xfId="0" applyNumberFormat="1" applyFont="1" applyFill="1" applyBorder="1"/>
    <xf numFmtId="170" fontId="103" fillId="4" borderId="85" xfId="0" applyNumberFormat="1" applyFont="1" applyFill="1" applyBorder="1"/>
    <xf numFmtId="3" fontId="71" fillId="8" borderId="0" xfId="0" applyNumberFormat="1" applyFont="1" applyFill="1"/>
    <xf numFmtId="3" fontId="127" fillId="3" borderId="0" xfId="0" applyNumberFormat="1" applyFont="1" applyFill="1"/>
    <xf numFmtId="3" fontId="127" fillId="6" borderId="0" xfId="0" applyNumberFormat="1" applyFont="1" applyFill="1"/>
    <xf numFmtId="173" fontId="103" fillId="3" borderId="40" xfId="14" applyNumberFormat="1" applyFont="1" applyFill="1" applyBorder="1"/>
    <xf numFmtId="0" fontId="71" fillId="2" borderId="65" xfId="12" applyFont="1" applyFill="1" applyBorder="1" applyAlignment="1">
      <alignment horizontal="centerContinuous" vertical="center" wrapText="1"/>
    </xf>
    <xf numFmtId="173" fontId="109" fillId="0" borderId="78" xfId="14" applyNumberFormat="1" applyFont="1" applyBorder="1"/>
    <xf numFmtId="173" fontId="103" fillId="3" borderId="78" xfId="14" applyNumberFormat="1" applyFont="1" applyFill="1" applyBorder="1"/>
    <xf numFmtId="0" fontId="71" fillId="2" borderId="25" xfId="12" applyFont="1" applyFill="1" applyBorder="1" applyAlignment="1">
      <alignment horizontal="centerContinuous" vertical="center" wrapText="1"/>
    </xf>
    <xf numFmtId="173" fontId="71" fillId="0" borderId="3" xfId="14" applyNumberFormat="1" applyFont="1" applyBorder="1"/>
    <xf numFmtId="173" fontId="131" fillId="0" borderId="3" xfId="14" applyNumberFormat="1" applyFont="1" applyBorder="1"/>
    <xf numFmtId="170" fontId="131" fillId="0" borderId="56" xfId="0" applyNumberFormat="1" applyFont="1" applyBorder="1"/>
    <xf numFmtId="170" fontId="131" fillId="0" borderId="2" xfId="0" applyNumberFormat="1" applyFont="1" applyBorder="1"/>
    <xf numFmtId="0" fontId="108" fillId="2" borderId="65" xfId="0" applyFont="1" applyFill="1" applyBorder="1" applyAlignment="1">
      <alignment horizontal="centerContinuous" vertical="center" wrapText="1"/>
    </xf>
    <xf numFmtId="170" fontId="131" fillId="0" borderId="0" xfId="0" applyNumberFormat="1" applyFont="1"/>
    <xf numFmtId="0" fontId="71" fillId="2" borderId="21" xfId="0" applyFont="1" applyFill="1" applyBorder="1" applyAlignment="1">
      <alignment horizontal="center" vertical="center" wrapText="1"/>
    </xf>
    <xf numFmtId="170" fontId="113" fillId="7" borderId="0" xfId="0" applyNumberFormat="1" applyFont="1" applyFill="1"/>
    <xf numFmtId="170" fontId="109" fillId="7" borderId="0" xfId="0" applyNumberFormat="1" applyFont="1" applyFill="1"/>
    <xf numFmtId="0" fontId="71" fillId="2" borderId="88" xfId="0" applyFont="1" applyFill="1" applyBorder="1" applyAlignment="1">
      <alignment horizontal="center" vertical="center" wrapText="1"/>
    </xf>
    <xf numFmtId="170" fontId="113" fillId="3" borderId="85" xfId="0" applyNumberFormat="1" applyFont="1" applyFill="1" applyBorder="1"/>
    <xf numFmtId="170" fontId="109" fillId="0" borderId="85" xfId="0" applyNumberFormat="1" applyFont="1" applyBorder="1"/>
    <xf numFmtId="170" fontId="71" fillId="0" borderId="22" xfId="0" applyNumberFormat="1" applyFont="1" applyBorder="1" applyAlignment="1">
      <alignment horizontal="center" vertical="center"/>
    </xf>
    <xf numFmtId="170" fontId="113" fillId="4" borderId="3" xfId="0" applyNumberFormat="1" applyFont="1" applyFill="1" applyBorder="1"/>
    <xf numFmtId="170" fontId="109" fillId="4" borderId="3" xfId="0" applyNumberFormat="1" applyFont="1" applyFill="1" applyBorder="1"/>
    <xf numFmtId="170" fontId="113" fillId="7" borderId="85" xfId="0" applyNumberFormat="1" applyFont="1" applyFill="1" applyBorder="1"/>
    <xf numFmtId="170" fontId="109" fillId="7" borderId="85" xfId="0" applyNumberFormat="1" applyFont="1" applyFill="1" applyBorder="1"/>
    <xf numFmtId="170" fontId="161" fillId="3" borderId="86" xfId="0" applyNumberFormat="1" applyFont="1" applyFill="1" applyBorder="1"/>
    <xf numFmtId="177" fontId="112" fillId="4" borderId="87" xfId="0" applyNumberFormat="1" applyFont="1" applyFill="1" applyBorder="1"/>
    <xf numFmtId="0" fontId="172" fillId="0" borderId="87" xfId="0" applyFont="1" applyBorder="1" applyAlignment="1">
      <alignment horizontal="right" vertical="center" wrapText="1"/>
    </xf>
    <xf numFmtId="0" fontId="95" fillId="2" borderId="66" xfId="0" applyFont="1" applyFill="1" applyBorder="1" applyAlignment="1">
      <alignment horizontal="center" vertical="center"/>
    </xf>
    <xf numFmtId="0" fontId="71" fillId="2" borderId="66" xfId="0" quotePrefix="1" applyFont="1" applyFill="1" applyBorder="1" applyAlignment="1">
      <alignment horizontal="center" vertical="center" wrapText="1"/>
    </xf>
    <xf numFmtId="177" fontId="109" fillId="0" borderId="85" xfId="0" applyNumberFormat="1" applyFont="1" applyBorder="1"/>
    <xf numFmtId="177" fontId="124" fillId="6" borderId="85" xfId="0" applyNumberFormat="1" applyFont="1" applyFill="1" applyBorder="1" applyAlignment="1">
      <alignment horizontal="right"/>
    </xf>
    <xf numFmtId="0" fontId="172" fillId="0" borderId="95" xfId="0" applyFont="1" applyBorder="1" applyAlignment="1">
      <alignment horizontal="right" vertical="center" wrapText="1"/>
    </xf>
    <xf numFmtId="179" fontId="71" fillId="10" borderId="33" xfId="12401" applyNumberFormat="1" applyFont="1" applyFill="1" applyBorder="1"/>
    <xf numFmtId="179" fontId="71" fillId="10" borderId="2" xfId="12401" applyNumberFormat="1" applyFont="1" applyFill="1" applyBorder="1"/>
    <xf numFmtId="179" fontId="124" fillId="6" borderId="2" xfId="12401" applyNumberFormat="1" applyFont="1" applyFill="1" applyBorder="1" applyAlignment="1">
      <alignment vertical="center"/>
    </xf>
    <xf numFmtId="179" fontId="71" fillId="0" borderId="2" xfId="12401" applyNumberFormat="1" applyFont="1" applyFill="1" applyBorder="1"/>
    <xf numFmtId="179" fontId="71" fillId="10" borderId="15" xfId="12401" applyNumberFormat="1" applyFont="1" applyFill="1" applyBorder="1"/>
    <xf numFmtId="179" fontId="71" fillId="10" borderId="16" xfId="12401" applyNumberFormat="1" applyFont="1" applyFill="1" applyBorder="1"/>
    <xf numFmtId="179" fontId="124" fillId="6" borderId="0" xfId="12401" applyNumberFormat="1" applyFont="1" applyFill="1" applyBorder="1" applyAlignment="1">
      <alignment vertical="center"/>
    </xf>
    <xf numFmtId="0" fontId="71" fillId="2" borderId="65" xfId="13" applyFont="1" applyFill="1" applyBorder="1" applyAlignment="1">
      <alignment horizontal="centerContinuous" vertical="center" wrapText="1"/>
    </xf>
    <xf numFmtId="0" fontId="71" fillId="2" borderId="65" xfId="13" quotePrefix="1" applyFont="1" applyFill="1" applyBorder="1" applyAlignment="1">
      <alignment horizontal="centerContinuous" vertical="center" wrapText="1"/>
    </xf>
    <xf numFmtId="179" fontId="71" fillId="10" borderId="78" xfId="12401" applyNumberFormat="1" applyFont="1" applyFill="1" applyBorder="1"/>
    <xf numFmtId="179" fontId="71" fillId="10" borderId="36" xfId="12401" applyNumberFormat="1" applyFont="1" applyFill="1" applyBorder="1"/>
    <xf numFmtId="179" fontId="71" fillId="10" borderId="0" xfId="12401" applyNumberFormat="1" applyFont="1" applyFill="1" applyBorder="1"/>
    <xf numFmtId="179" fontId="71" fillId="0" borderId="0" xfId="12401" applyNumberFormat="1" applyFont="1" applyFill="1" applyBorder="1"/>
    <xf numFmtId="179" fontId="124" fillId="6" borderId="38" xfId="12401" applyNumberFormat="1" applyFont="1" applyFill="1" applyBorder="1" applyAlignment="1">
      <alignment vertical="center"/>
    </xf>
    <xf numFmtId="179" fontId="71" fillId="10" borderId="11" xfId="12401" applyNumberFormat="1" applyFont="1" applyFill="1" applyBorder="1"/>
    <xf numFmtId="179" fontId="71" fillId="10" borderId="56" xfId="12401" applyNumberFormat="1" applyFont="1" applyFill="1" applyBorder="1"/>
    <xf numFmtId="179" fontId="124" fillId="6" borderId="43" xfId="12401" applyNumberFormat="1" applyFont="1" applyFill="1" applyBorder="1"/>
    <xf numFmtId="179" fontId="71" fillId="0" borderId="56" xfId="12401" applyNumberFormat="1" applyFont="1" applyFill="1" applyBorder="1"/>
    <xf numFmtId="179" fontId="124" fillId="6" borderId="0" xfId="12401" applyNumberFormat="1" applyFont="1" applyFill="1" applyBorder="1"/>
    <xf numFmtId="0" fontId="71" fillId="2" borderId="65" xfId="13" applyFont="1" applyFill="1" applyBorder="1" applyAlignment="1">
      <alignment horizontal="center" vertical="center" wrapText="1"/>
    </xf>
    <xf numFmtId="0" fontId="84" fillId="2" borderId="65" xfId="13" quotePrefix="1" applyFont="1" applyFill="1" applyBorder="1" applyAlignment="1">
      <alignment horizontal="centerContinuous" vertical="center" wrapText="1"/>
    </xf>
    <xf numFmtId="1" fontId="84" fillId="2" borderId="82" xfId="13" quotePrefix="1" applyNumberFormat="1" applyFont="1" applyFill="1" applyBorder="1" applyAlignment="1">
      <alignment horizontal="center" vertical="center" wrapText="1"/>
    </xf>
    <xf numFmtId="179" fontId="71" fillId="10" borderId="100" xfId="12401" applyNumberFormat="1" applyFont="1" applyFill="1" applyBorder="1"/>
    <xf numFmtId="0" fontId="71" fillId="2" borderId="66" xfId="13" applyFont="1" applyFill="1" applyBorder="1" applyAlignment="1">
      <alignment horizontal="center" vertical="center" wrapText="1"/>
    </xf>
    <xf numFmtId="0" fontId="84" fillId="2" borderId="66" xfId="13" quotePrefix="1" applyFont="1" applyFill="1" applyBorder="1" applyAlignment="1">
      <alignment horizontal="centerContinuous" vertical="center" wrapText="1"/>
    </xf>
    <xf numFmtId="0" fontId="71" fillId="2" borderId="66" xfId="13" quotePrefix="1" applyFont="1" applyFill="1" applyBorder="1" applyAlignment="1">
      <alignment horizontal="centerContinuous" vertical="center" wrapText="1"/>
    </xf>
    <xf numFmtId="0" fontId="84" fillId="2" borderId="88" xfId="13" applyFont="1" applyFill="1" applyBorder="1" applyAlignment="1">
      <alignment horizontal="center" vertical="center" wrapText="1"/>
    </xf>
    <xf numFmtId="179" fontId="71" fillId="10" borderId="98" xfId="12401" applyNumberFormat="1" applyFont="1" applyFill="1" applyBorder="1"/>
    <xf numFmtId="179" fontId="71" fillId="10" borderId="85" xfId="12401" applyNumberFormat="1" applyFont="1" applyFill="1" applyBorder="1"/>
    <xf numFmtId="179" fontId="124" fillId="6" borderId="85" xfId="12401" applyNumberFormat="1" applyFont="1" applyFill="1" applyBorder="1"/>
    <xf numFmtId="179" fontId="71" fillId="0" borderId="85" xfId="12401" applyNumberFormat="1" applyFont="1" applyFill="1" applyBorder="1"/>
    <xf numFmtId="0" fontId="84" fillId="2" borderId="91" xfId="13" applyFont="1" applyFill="1" applyBorder="1" applyAlignment="1">
      <alignment horizontal="center" vertical="center" wrapText="1"/>
    </xf>
    <xf numFmtId="179" fontId="124" fillId="6" borderId="56" xfId="12401" applyNumberFormat="1" applyFont="1" applyFill="1" applyBorder="1"/>
    <xf numFmtId="0" fontId="71" fillId="2" borderId="7" xfId="13" applyFont="1" applyFill="1" applyBorder="1" applyAlignment="1">
      <alignment horizontal="center" vertical="center" wrapText="1"/>
    </xf>
    <xf numFmtId="179" fontId="71" fillId="10" borderId="9" xfId="12401" applyNumberFormat="1" applyFont="1" applyFill="1" applyBorder="1"/>
    <xf numFmtId="179" fontId="71" fillId="10" borderId="3" xfId="12401" applyNumberFormat="1" applyFont="1" applyFill="1" applyBorder="1"/>
    <xf numFmtId="3" fontId="109" fillId="4" borderId="0" xfId="14" applyNumberFormat="1" applyFont="1" applyFill="1"/>
    <xf numFmtId="184" fontId="103" fillId="3" borderId="0" xfId="14" applyNumberFormat="1" applyFont="1" applyFill="1"/>
    <xf numFmtId="3" fontId="109" fillId="0" borderId="56" xfId="14" applyNumberFormat="1" applyFont="1" applyBorder="1"/>
    <xf numFmtId="3" fontId="109" fillId="4" borderId="16" xfId="14" applyNumberFormat="1" applyFont="1" applyFill="1" applyBorder="1"/>
    <xf numFmtId="0" fontId="66" fillId="4" borderId="16" xfId="12" applyFont="1" applyFill="1" applyBorder="1" applyAlignment="1">
      <alignment horizontal="center" vertical="center" wrapText="1"/>
    </xf>
    <xf numFmtId="4" fontId="124" fillId="6" borderId="38" xfId="14" applyNumberFormat="1" applyFont="1" applyFill="1" applyBorder="1"/>
    <xf numFmtId="4" fontId="124" fillId="6" borderId="43" xfId="14" applyNumberFormat="1" applyFont="1" applyFill="1" applyBorder="1"/>
    <xf numFmtId="0" fontId="71" fillId="2" borderId="0" xfId="12" applyFont="1" applyFill="1" applyAlignment="1">
      <alignment horizontal="centerContinuous" vertical="center" wrapText="1"/>
    </xf>
    <xf numFmtId="0" fontId="71" fillId="2" borderId="66" xfId="12" applyFont="1" applyFill="1" applyBorder="1" applyAlignment="1">
      <alignment horizontal="center" vertical="center" wrapText="1"/>
    </xf>
    <xf numFmtId="0" fontId="71" fillId="2" borderId="66" xfId="12" applyFont="1" applyFill="1" applyBorder="1" applyAlignment="1">
      <alignment horizontal="center" vertical="center"/>
    </xf>
    <xf numFmtId="4" fontId="71" fillId="0" borderId="16" xfId="14" applyNumberFormat="1" applyFont="1" applyBorder="1" applyAlignment="1">
      <alignment horizontal="right"/>
    </xf>
    <xf numFmtId="0" fontId="66" fillId="4" borderId="85" xfId="12" applyFont="1" applyFill="1" applyBorder="1" applyAlignment="1">
      <alignment horizontal="center" vertical="center" wrapText="1"/>
    </xf>
    <xf numFmtId="4" fontId="103" fillId="3" borderId="85" xfId="14" applyNumberFormat="1" applyFont="1" applyFill="1" applyBorder="1" applyAlignment="1">
      <alignment horizontal="right"/>
    </xf>
    <xf numFmtId="4" fontId="71" fillId="0" borderId="85" xfId="14" applyNumberFormat="1" applyFont="1" applyBorder="1" applyAlignment="1">
      <alignment horizontal="right"/>
    </xf>
    <xf numFmtId="1" fontId="91" fillId="2" borderId="66" xfId="12" quotePrefix="1" applyNumberFormat="1" applyFont="1" applyFill="1" applyBorder="1" applyAlignment="1">
      <alignment horizontal="center" vertical="center"/>
    </xf>
    <xf numFmtId="173" fontId="103" fillId="4" borderId="85" xfId="14" applyNumberFormat="1" applyFont="1" applyFill="1" applyBorder="1"/>
    <xf numFmtId="173" fontId="103" fillId="3" borderId="85" xfId="14" applyNumberFormat="1" applyFont="1" applyFill="1" applyBorder="1"/>
    <xf numFmtId="1" fontId="91" fillId="2" borderId="99" xfId="12" quotePrefix="1" applyNumberFormat="1" applyFont="1" applyFill="1" applyBorder="1" applyAlignment="1">
      <alignment horizontal="center" vertical="center"/>
    </xf>
    <xf numFmtId="1" fontId="91" fillId="2" borderId="83" xfId="12" quotePrefix="1" applyNumberFormat="1" applyFont="1" applyFill="1" applyBorder="1" applyAlignment="1">
      <alignment horizontal="center" vertical="center"/>
    </xf>
    <xf numFmtId="173" fontId="103" fillId="4" borderId="87" xfId="14" applyNumberFormat="1" applyFont="1" applyFill="1" applyBorder="1"/>
    <xf numFmtId="170" fontId="124" fillId="6" borderId="56" xfId="0" applyNumberFormat="1" applyFont="1" applyFill="1" applyBorder="1"/>
    <xf numFmtId="170" fontId="167" fillId="7" borderId="56" xfId="0" applyNumberFormat="1" applyFont="1" applyFill="1" applyBorder="1" applyAlignment="1">
      <alignment horizontal="center"/>
    </xf>
    <xf numFmtId="170" fontId="105" fillId="4" borderId="36" xfId="0" applyNumberFormat="1" applyFont="1" applyFill="1" applyBorder="1"/>
    <xf numFmtId="170" fontId="167" fillId="7" borderId="0" xfId="0" applyNumberFormat="1" applyFont="1" applyFill="1" applyAlignment="1">
      <alignment horizontal="center"/>
    </xf>
    <xf numFmtId="170" fontId="71" fillId="0" borderId="56" xfId="9931" applyNumberFormat="1" applyFont="1" applyBorder="1" applyAlignment="1">
      <alignment horizontal="right" vertical="center"/>
    </xf>
    <xf numFmtId="1" fontId="71" fillId="9" borderId="7" xfId="9931" applyNumberFormat="1" applyFont="1" applyFill="1" applyBorder="1" applyAlignment="1">
      <alignment horizontal="centerContinuous" vertical="center" wrapText="1"/>
    </xf>
    <xf numFmtId="0" fontId="71" fillId="2" borderId="7" xfId="9931" applyFont="1" applyFill="1" applyBorder="1" applyAlignment="1">
      <alignment horizontal="center" vertical="center" wrapText="1"/>
    </xf>
    <xf numFmtId="175" fontId="131" fillId="0" borderId="16" xfId="0" applyNumberFormat="1" applyFont="1" applyBorder="1"/>
    <xf numFmtId="175" fontId="131" fillId="0" borderId="85" xfId="0" applyNumberFormat="1" applyFont="1" applyBorder="1"/>
    <xf numFmtId="171" fontId="131" fillId="0" borderId="56" xfId="0" applyNumberFormat="1" applyFont="1" applyBorder="1"/>
    <xf numFmtId="0" fontId="84" fillId="0" borderId="6" xfId="0" applyFont="1" applyBorder="1" applyAlignment="1">
      <alignment horizontal="centerContinuous" vertical="center" wrapText="1"/>
    </xf>
    <xf numFmtId="10" fontId="87" fillId="9" borderId="5" xfId="10594" applyNumberFormat="1" applyFont="1" applyFill="1" applyBorder="1" applyAlignment="1">
      <alignment horizontal="center"/>
    </xf>
    <xf numFmtId="10" fontId="87" fillId="9" borderId="7" xfId="10594" applyNumberFormat="1" applyFont="1" applyFill="1" applyBorder="1" applyAlignment="1">
      <alignment horizontal="center"/>
    </xf>
    <xf numFmtId="10" fontId="84" fillId="2" borderId="13" xfId="10594" applyNumberFormat="1" applyFont="1" applyFill="1" applyBorder="1" applyAlignment="1">
      <alignment horizontal="centerContinuous" vertical="center" wrapText="1"/>
    </xf>
    <xf numFmtId="0" fontId="28" fillId="9" borderId="5" xfId="10595" applyFill="1" applyBorder="1"/>
    <xf numFmtId="0" fontId="28" fillId="9" borderId="7" xfId="10595" applyFill="1" applyBorder="1"/>
    <xf numFmtId="10" fontId="84" fillId="2" borderId="5" xfId="10594" applyNumberFormat="1" applyFont="1" applyFill="1" applyBorder="1" applyAlignment="1">
      <alignment horizontal="center" vertical="center" wrapText="1"/>
    </xf>
    <xf numFmtId="2" fontId="71" fillId="0" borderId="3" xfId="10594" applyNumberFormat="1" applyFont="1" applyBorder="1" applyAlignment="1">
      <alignment horizontal="center"/>
    </xf>
    <xf numFmtId="170" fontId="207" fillId="0" borderId="0" xfId="0" applyNumberFormat="1" applyFont="1"/>
    <xf numFmtId="0" fontId="71" fillId="2" borderId="0" xfId="0" applyFont="1" applyFill="1" applyAlignment="1">
      <alignment horizontal="center" vertical="center"/>
    </xf>
    <xf numFmtId="0" fontId="28" fillId="9" borderId="0" xfId="10595" applyFill="1"/>
    <xf numFmtId="168" fontId="71" fillId="2" borderId="6" xfId="9859" applyFont="1" applyFill="1" applyBorder="1" applyAlignment="1">
      <alignment horizontal="center" vertical="center" wrapText="1"/>
    </xf>
    <xf numFmtId="168" fontId="71" fillId="2" borderId="65" xfId="9859" applyFont="1" applyFill="1" applyBorder="1" applyAlignment="1">
      <alignment horizontal="center" vertical="center" wrapText="1"/>
    </xf>
    <xf numFmtId="168" fontId="71" fillId="2" borderId="25" xfId="9859" applyFont="1" applyFill="1" applyBorder="1" applyAlignment="1">
      <alignment horizontal="center" vertical="center" wrapText="1"/>
    </xf>
    <xf numFmtId="168" fontId="71" fillId="2" borderId="7" xfId="9859" applyFont="1" applyFill="1" applyBorder="1" applyAlignment="1">
      <alignment horizontal="center" vertical="center" wrapText="1"/>
    </xf>
    <xf numFmtId="0" fontId="71" fillId="2" borderId="65" xfId="0" quotePrefix="1" applyFont="1" applyFill="1" applyBorder="1" applyAlignment="1">
      <alignment horizontal="center" vertical="center" wrapText="1"/>
    </xf>
    <xf numFmtId="0" fontId="71" fillId="2" borderId="6" xfId="0" quotePrefix="1" applyFont="1" applyFill="1" applyBorder="1" applyAlignment="1">
      <alignment horizontal="center" vertical="center" wrapText="1"/>
    </xf>
    <xf numFmtId="0" fontId="71" fillId="2" borderId="7" xfId="0" quotePrefix="1" applyFont="1" applyFill="1" applyBorder="1" applyAlignment="1">
      <alignment horizontal="center" vertical="center" wrapText="1"/>
    </xf>
    <xf numFmtId="0" fontId="71" fillId="2" borderId="99" xfId="0" quotePrefix="1" applyFont="1" applyFill="1" applyBorder="1" applyAlignment="1">
      <alignment horizontal="center" vertical="center" wrapText="1"/>
    </xf>
    <xf numFmtId="0" fontId="71" fillId="2" borderId="6" xfId="10" applyFont="1" applyFill="1" applyBorder="1" applyAlignment="1">
      <alignment horizontal="center" vertical="center"/>
    </xf>
    <xf numFmtId="0" fontId="71" fillId="2" borderId="83" xfId="10" applyFont="1" applyFill="1" applyBorder="1" applyAlignment="1">
      <alignment horizontal="center" vertical="center"/>
    </xf>
    <xf numFmtId="0" fontId="71" fillId="2" borderId="66" xfId="10" applyFont="1" applyFill="1" applyBorder="1" applyAlignment="1">
      <alignment horizontal="centerContinuous" vertical="center" wrapText="1"/>
    </xf>
    <xf numFmtId="9" fontId="161" fillId="3" borderId="36" xfId="12401" applyFont="1" applyFill="1" applyBorder="1" applyAlignment="1"/>
    <xf numFmtId="0" fontId="66" fillId="9" borderId="0" xfId="10616" applyFill="1"/>
    <xf numFmtId="0" fontId="66" fillId="9" borderId="18" xfId="10" applyFont="1" applyFill="1" applyBorder="1"/>
    <xf numFmtId="0" fontId="66" fillId="9" borderId="16" xfId="10" applyFont="1" applyFill="1" applyBorder="1"/>
    <xf numFmtId="0" fontId="66" fillId="9" borderId="56" xfId="10" applyFont="1" applyFill="1" applyBorder="1"/>
    <xf numFmtId="0" fontId="66" fillId="2" borderId="104" xfId="10" applyFont="1" applyFill="1" applyBorder="1" applyAlignment="1">
      <alignment horizontal="centerContinuous" vertical="center"/>
    </xf>
    <xf numFmtId="0" fontId="84" fillId="2" borderId="25" xfId="10" applyFont="1" applyFill="1" applyBorder="1" applyAlignment="1">
      <alignment horizontal="centerContinuous" vertical="center" wrapText="1"/>
    </xf>
    <xf numFmtId="0" fontId="66" fillId="9" borderId="6" xfId="10" applyFont="1" applyFill="1" applyBorder="1" applyAlignment="1">
      <alignment horizontal="centerContinuous" vertical="center"/>
    </xf>
    <xf numFmtId="0" fontId="66" fillId="9" borderId="25" xfId="10" applyFont="1" applyFill="1" applyBorder="1" applyAlignment="1">
      <alignment horizontal="centerContinuous" vertical="center"/>
    </xf>
    <xf numFmtId="0" fontId="66" fillId="9" borderId="18" xfId="10616" applyFill="1" applyBorder="1"/>
    <xf numFmtId="0" fontId="66" fillId="9" borderId="6" xfId="10" applyFont="1" applyFill="1" applyBorder="1"/>
    <xf numFmtId="0" fontId="66" fillId="9" borderId="25" xfId="10" applyFont="1" applyFill="1" applyBorder="1"/>
    <xf numFmtId="0" fontId="71" fillId="2" borderId="104" xfId="10" applyFont="1" applyFill="1" applyBorder="1" applyAlignment="1">
      <alignment horizontal="centerContinuous" vertical="center" wrapText="1"/>
    </xf>
    <xf numFmtId="0" fontId="71" fillId="2" borderId="25" xfId="10" applyFont="1" applyFill="1" applyBorder="1" applyAlignment="1">
      <alignment horizontal="centerContinuous" vertical="center" wrapText="1"/>
    </xf>
    <xf numFmtId="0" fontId="66" fillId="0" borderId="0" xfId="10616"/>
    <xf numFmtId="0" fontId="66" fillId="2" borderId="105" xfId="10" applyFont="1" applyFill="1" applyBorder="1"/>
    <xf numFmtId="0" fontId="66" fillId="2" borderId="16" xfId="10" applyFont="1" applyFill="1" applyBorder="1"/>
    <xf numFmtId="0" fontId="71" fillId="2" borderId="104" xfId="10" applyFont="1" applyFill="1" applyBorder="1" applyAlignment="1">
      <alignment horizontal="centerContinuous" vertical="center"/>
    </xf>
    <xf numFmtId="0" fontId="84" fillId="2" borderId="106" xfId="10" applyFont="1" applyFill="1" applyBorder="1" applyAlignment="1">
      <alignment horizontal="centerContinuous" vertical="center" wrapText="1"/>
    </xf>
    <xf numFmtId="0" fontId="66" fillId="9" borderId="0" xfId="10" applyFont="1" applyFill="1"/>
    <xf numFmtId="0" fontId="84" fillId="2" borderId="6" xfId="10" applyFont="1" applyFill="1" applyBorder="1" applyAlignment="1">
      <alignment horizontal="centerContinuous" vertical="center" wrapText="1"/>
    </xf>
    <xf numFmtId="0" fontId="71" fillId="2" borderId="83" xfId="10" applyFont="1" applyFill="1" applyBorder="1" applyAlignment="1">
      <alignment horizontal="centerContinuous" vertical="center" wrapText="1"/>
    </xf>
    <xf numFmtId="0" fontId="66" fillId="2" borderId="26" xfId="10" applyFont="1" applyFill="1" applyBorder="1"/>
    <xf numFmtId="0" fontId="66" fillId="2" borderId="25" xfId="10" applyFont="1" applyFill="1" applyBorder="1" applyAlignment="1">
      <alignment horizontal="centerContinuous" vertical="center"/>
    </xf>
    <xf numFmtId="0" fontId="71" fillId="2" borderId="25" xfId="10" applyFont="1" applyFill="1" applyBorder="1" applyAlignment="1">
      <alignment horizontal="centerContinuous" vertical="center"/>
    </xf>
    <xf numFmtId="9" fontId="103" fillId="3" borderId="101" xfId="1471" applyFont="1" applyFill="1" applyBorder="1" applyAlignment="1"/>
    <xf numFmtId="9" fontId="103" fillId="3" borderId="78" xfId="1471" applyFont="1" applyFill="1" applyBorder="1" applyAlignment="1"/>
    <xf numFmtId="9" fontId="103" fillId="3" borderId="79" xfId="1471" applyFont="1" applyFill="1" applyBorder="1" applyAlignment="1"/>
    <xf numFmtId="172" fontId="71" fillId="7" borderId="0" xfId="11" applyNumberFormat="1" applyFont="1" applyFill="1"/>
    <xf numFmtId="9" fontId="71" fillId="0" borderId="87" xfId="1471" applyFont="1" applyFill="1" applyBorder="1" applyAlignment="1"/>
    <xf numFmtId="172" fontId="71" fillId="7" borderId="97" xfId="11" applyNumberFormat="1" applyFont="1" applyFill="1" applyBorder="1"/>
    <xf numFmtId="9" fontId="161" fillId="3" borderId="107" xfId="1471" applyFont="1" applyFill="1" applyBorder="1" applyAlignment="1"/>
    <xf numFmtId="172" fontId="71" fillId="7" borderId="87" xfId="11" applyNumberFormat="1" applyFont="1" applyFill="1" applyBorder="1"/>
    <xf numFmtId="0" fontId="66" fillId="9" borderId="3" xfId="10" applyFont="1" applyFill="1" applyBorder="1"/>
    <xf numFmtId="0" fontId="84" fillId="2" borderId="7" xfId="10" applyFont="1" applyFill="1" applyBorder="1" applyAlignment="1">
      <alignment horizontal="centerContinuous" vertical="center" wrapText="1"/>
    </xf>
    <xf numFmtId="0" fontId="66" fillId="9" borderId="7" xfId="10" applyFont="1" applyFill="1" applyBorder="1" applyAlignment="1">
      <alignment horizontal="centerContinuous" vertical="center"/>
    </xf>
    <xf numFmtId="0" fontId="66" fillId="9" borderId="7" xfId="10" applyFont="1" applyFill="1" applyBorder="1"/>
    <xf numFmtId="9" fontId="103" fillId="3" borderId="92" xfId="1471" applyFont="1" applyFill="1" applyBorder="1" applyAlignment="1"/>
    <xf numFmtId="9" fontId="161" fillId="3" borderId="101" xfId="1471" applyFont="1" applyFill="1" applyBorder="1" applyAlignment="1"/>
    <xf numFmtId="179" fontId="66" fillId="2" borderId="0" xfId="12401" applyNumberFormat="1" applyFont="1" applyFill="1"/>
    <xf numFmtId="212" fontId="71" fillId="0" borderId="2" xfId="0" applyNumberFormat="1" applyFont="1" applyBorder="1"/>
    <xf numFmtId="181" fontId="109" fillId="0" borderId="2" xfId="0" applyNumberFormat="1" applyFont="1" applyBorder="1"/>
    <xf numFmtId="0" fontId="164" fillId="9" borderId="0" xfId="0" applyFont="1" applyFill="1"/>
    <xf numFmtId="173" fontId="131" fillId="0" borderId="0" xfId="14" applyNumberFormat="1" applyFont="1"/>
    <xf numFmtId="3" fontId="66" fillId="2" borderId="0" xfId="126" applyNumberFormat="1" applyFill="1"/>
    <xf numFmtId="171" fontId="71" fillId="0" borderId="57" xfId="9842" applyNumberFormat="1" applyFont="1" applyBorder="1" applyAlignment="1">
      <alignment horizontal="right"/>
    </xf>
    <xf numFmtId="0" fontId="66" fillId="2" borderId="3" xfId="16" applyFill="1" applyBorder="1"/>
    <xf numFmtId="0" fontId="84" fillId="2" borderId="13" xfId="16" applyFont="1" applyFill="1" applyBorder="1" applyAlignment="1">
      <alignment horizontal="centerContinuous" vertical="center" wrapText="1"/>
    </xf>
    <xf numFmtId="1" fontId="84" fillId="2" borderId="6" xfId="9" applyNumberFormat="1" applyFont="1" applyFill="1" applyBorder="1" applyAlignment="1" applyProtection="1">
      <alignment horizontal="centerContinuous" vertical="center" wrapText="1"/>
    </xf>
    <xf numFmtId="1" fontId="84" fillId="2" borderId="7" xfId="9" applyNumberFormat="1" applyFont="1" applyFill="1" applyBorder="1" applyAlignment="1" applyProtection="1">
      <alignment horizontal="centerContinuous" vertical="center" wrapText="1"/>
    </xf>
    <xf numFmtId="1" fontId="86" fillId="0" borderId="6" xfId="9" applyNumberFormat="1" applyFont="1" applyFill="1" applyBorder="1" applyAlignment="1" applyProtection="1">
      <alignment horizontal="centerContinuous" vertical="center" wrapText="1"/>
    </xf>
    <xf numFmtId="0" fontId="84" fillId="0" borderId="6" xfId="16" applyFont="1" applyBorder="1" applyAlignment="1">
      <alignment horizontal="centerContinuous" vertical="center" wrapText="1"/>
    </xf>
    <xf numFmtId="0" fontId="84" fillId="0" borderId="7" xfId="16" applyFont="1" applyBorder="1" applyAlignment="1">
      <alignment horizontal="centerContinuous" vertical="center" wrapText="1"/>
    </xf>
    <xf numFmtId="1" fontId="107" fillId="9" borderId="0" xfId="9" applyNumberFormat="1" applyFont="1" applyFill="1" applyBorder="1" applyAlignment="1" applyProtection="1">
      <alignment horizontal="center" vertical="center"/>
    </xf>
    <xf numFmtId="1" fontId="108" fillId="9" borderId="25" xfId="9" applyNumberFormat="1" applyFont="1" applyFill="1" applyBorder="1" applyAlignment="1" applyProtection="1">
      <alignment horizontal="center" vertical="center" wrapText="1"/>
    </xf>
    <xf numFmtId="1" fontId="107" fillId="9" borderId="3" xfId="9" applyNumberFormat="1" applyFont="1" applyFill="1" applyBorder="1" applyAlignment="1" applyProtection="1">
      <alignment horizontal="center" vertical="center"/>
    </xf>
    <xf numFmtId="0" fontId="71" fillId="0" borderId="66" xfId="16" applyFont="1" applyBorder="1" applyAlignment="1">
      <alignment horizontal="centerContinuous" vertical="center" wrapText="1"/>
    </xf>
    <xf numFmtId="0" fontId="71" fillId="0" borderId="66" xfId="16" applyFont="1" applyBorder="1" applyAlignment="1">
      <alignment horizontal="center" vertical="center" wrapText="1"/>
    </xf>
    <xf numFmtId="0" fontId="71" fillId="0" borderId="6" xfId="16" applyFont="1" applyBorder="1" applyAlignment="1">
      <alignment horizontal="center" vertical="center" wrapText="1"/>
    </xf>
    <xf numFmtId="0" fontId="71" fillId="0" borderId="66" xfId="16" quotePrefix="1" applyFont="1" applyBorder="1" applyAlignment="1">
      <alignment horizontal="center" vertical="center" wrapText="1"/>
    </xf>
    <xf numFmtId="0" fontId="71" fillId="9" borderId="66" xfId="16" applyFont="1" applyFill="1" applyBorder="1" applyAlignment="1">
      <alignment horizontal="center" vertical="center" wrapText="1"/>
    </xf>
    <xf numFmtId="0" fontId="71" fillId="9" borderId="6" xfId="16" applyFont="1" applyFill="1" applyBorder="1" applyAlignment="1">
      <alignment horizontal="center" vertical="center" wrapText="1"/>
    </xf>
    <xf numFmtId="0" fontId="71" fillId="9" borderId="65" xfId="16" applyFont="1" applyFill="1" applyBorder="1" applyAlignment="1">
      <alignment horizontal="center" vertical="center" wrapText="1"/>
    </xf>
    <xf numFmtId="0" fontId="66" fillId="2" borderId="56" xfId="16" applyFill="1" applyBorder="1"/>
    <xf numFmtId="0" fontId="66" fillId="2" borderId="58" xfId="16" applyFill="1" applyBorder="1"/>
    <xf numFmtId="0" fontId="84" fillId="2" borderId="88" xfId="16" applyFont="1" applyFill="1" applyBorder="1" applyAlignment="1">
      <alignment horizontal="center" vertical="center" wrapText="1"/>
    </xf>
    <xf numFmtId="0" fontId="71" fillId="2" borderId="88" xfId="16" applyFont="1" applyFill="1" applyBorder="1"/>
    <xf numFmtId="0" fontId="71" fillId="2" borderId="21" xfId="16" applyFont="1" applyFill="1" applyBorder="1"/>
    <xf numFmtId="0" fontId="71" fillId="2" borderId="82" xfId="16" applyFont="1" applyFill="1" applyBorder="1"/>
    <xf numFmtId="0" fontId="71" fillId="2" borderId="93" xfId="16" applyFont="1" applyFill="1" applyBorder="1"/>
    <xf numFmtId="0" fontId="71" fillId="2" borderId="20" xfId="16" applyFont="1" applyFill="1" applyBorder="1"/>
    <xf numFmtId="0" fontId="71" fillId="2" borderId="91" xfId="16" applyFont="1" applyFill="1" applyBorder="1"/>
    <xf numFmtId="0" fontId="71" fillId="2" borderId="28" xfId="16" applyFont="1" applyFill="1" applyBorder="1"/>
    <xf numFmtId="2" fontId="71" fillId="0" borderId="3" xfId="16" applyNumberFormat="1" applyFont="1" applyBorder="1" applyAlignment="1">
      <alignment horizontal="center"/>
    </xf>
    <xf numFmtId="175" fontId="103" fillId="3" borderId="98" xfId="16" applyNumberFormat="1" applyFont="1" applyFill="1" applyBorder="1"/>
    <xf numFmtId="175" fontId="103" fillId="3" borderId="36" xfId="16" applyNumberFormat="1" applyFont="1" applyFill="1" applyBorder="1"/>
    <xf numFmtId="175" fontId="103" fillId="3" borderId="78" xfId="16" applyNumberFormat="1" applyFont="1" applyFill="1" applyBorder="1"/>
    <xf numFmtId="170" fontId="71" fillId="4" borderId="56" xfId="16" applyNumberFormat="1" applyFont="1" applyFill="1" applyBorder="1"/>
    <xf numFmtId="170" fontId="71" fillId="4" borderId="58" xfId="16" applyNumberFormat="1" applyFont="1" applyFill="1" applyBorder="1"/>
    <xf numFmtId="170" fontId="71" fillId="0" borderId="85" xfId="16" applyNumberFormat="1" applyFont="1" applyBorder="1" applyAlignment="1">
      <alignment horizontal="right" vertical="center"/>
    </xf>
    <xf numFmtId="175" fontId="71" fillId="0" borderId="85" xfId="16" applyNumberFormat="1" applyFont="1" applyBorder="1"/>
    <xf numFmtId="175" fontId="71" fillId="0" borderId="0" xfId="16" applyNumberFormat="1" applyFont="1"/>
    <xf numFmtId="0" fontId="66" fillId="0" borderId="0" xfId="16"/>
    <xf numFmtId="175" fontId="71" fillId="0" borderId="112" xfId="0" applyNumberFormat="1" applyFont="1" applyBorder="1"/>
    <xf numFmtId="175" fontId="0" fillId="9" borderId="0" xfId="0" applyNumberFormat="1" applyFill="1"/>
    <xf numFmtId="0" fontId="69" fillId="2" borderId="0" xfId="0" applyFont="1" applyFill="1" applyAlignment="1">
      <alignment vertical="center"/>
    </xf>
    <xf numFmtId="0" fontId="71" fillId="9" borderId="6" xfId="0" applyFont="1" applyFill="1" applyBorder="1" applyAlignment="1">
      <alignment horizontal="centerContinuous" vertical="center" wrapText="1"/>
    </xf>
    <xf numFmtId="0" fontId="71" fillId="9" borderId="25" xfId="0" applyFont="1" applyFill="1" applyBorder="1" applyAlignment="1">
      <alignment horizontal="centerContinuous" vertical="center" wrapText="1"/>
    </xf>
    <xf numFmtId="0" fontId="71" fillId="9" borderId="7" xfId="0" applyFont="1" applyFill="1" applyBorder="1" applyAlignment="1">
      <alignment horizontal="centerContinuous" vertical="center" wrapText="1"/>
    </xf>
    <xf numFmtId="10" fontId="88" fillId="0" borderId="0" xfId="0" applyNumberFormat="1" applyFont="1"/>
    <xf numFmtId="0" fontId="71" fillId="2" borderId="56" xfId="0" applyFont="1" applyFill="1" applyBorder="1" applyAlignment="1">
      <alignment vertical="center"/>
    </xf>
    <xf numFmtId="2" fontId="71" fillId="0" borderId="57" xfId="9860" applyNumberFormat="1" applyFont="1" applyBorder="1" applyAlignment="1">
      <alignment horizontal="center" vertical="center" wrapText="1"/>
    </xf>
    <xf numFmtId="1" fontId="108" fillId="9" borderId="6" xfId="9" applyNumberFormat="1" applyFont="1" applyFill="1" applyBorder="1" applyAlignment="1" applyProtection="1">
      <alignment horizontal="centerContinuous" vertical="center" wrapText="1"/>
    </xf>
    <xf numFmtId="170" fontId="71" fillId="0" borderId="58" xfId="0" applyNumberFormat="1" applyFont="1" applyBorder="1"/>
    <xf numFmtId="2" fontId="87" fillId="2" borderId="6" xfId="0" applyNumberFormat="1" applyFont="1" applyFill="1" applyBorder="1" applyAlignment="1">
      <alignment horizontal="center"/>
    </xf>
    <xf numFmtId="2" fontId="71" fillId="0" borderId="2" xfId="0" applyNumberFormat="1" applyFont="1" applyBorder="1"/>
    <xf numFmtId="0" fontId="66" fillId="2" borderId="3" xfId="13" applyFont="1" applyFill="1" applyBorder="1" applyAlignment="1">
      <alignment vertical="center"/>
    </xf>
    <xf numFmtId="0" fontId="66" fillId="2" borderId="0" xfId="13" applyFont="1" applyFill="1" applyAlignment="1">
      <alignment horizontal="centerContinuous" vertical="center"/>
    </xf>
    <xf numFmtId="0" fontId="66" fillId="2" borderId="3" xfId="13" applyFont="1" applyFill="1" applyBorder="1" applyAlignment="1">
      <alignment horizontal="centerContinuous" vertical="center"/>
    </xf>
    <xf numFmtId="10" fontId="71" fillId="2" borderId="65" xfId="12393" applyNumberFormat="1" applyFont="1" applyFill="1" applyBorder="1" applyAlignment="1">
      <alignment horizontal="center" vertical="center"/>
    </xf>
    <xf numFmtId="10" fontId="71" fillId="2" borderId="6" xfId="12393" applyNumberFormat="1" applyFont="1" applyFill="1" applyBorder="1" applyAlignment="1">
      <alignment horizontal="center" vertical="center"/>
    </xf>
    <xf numFmtId="10" fontId="71" fillId="2" borderId="117" xfId="12393" applyNumberFormat="1" applyFont="1" applyFill="1" applyBorder="1" applyAlignment="1">
      <alignment horizontal="center" vertical="center"/>
    </xf>
    <xf numFmtId="10" fontId="71" fillId="2" borderId="116" xfId="12393" applyNumberFormat="1" applyFont="1" applyFill="1" applyBorder="1" applyAlignment="1">
      <alignment horizontal="center" vertical="center"/>
    </xf>
    <xf numFmtId="0" fontId="71" fillId="2" borderId="118" xfId="16" applyFont="1" applyFill="1" applyBorder="1" applyAlignment="1">
      <alignment horizontal="center" vertical="center" wrapText="1"/>
    </xf>
    <xf numFmtId="0" fontId="71" fillId="2" borderId="66" xfId="16" applyFont="1" applyFill="1" applyBorder="1" applyAlignment="1">
      <alignment horizontal="center" vertical="center" wrapText="1"/>
    </xf>
    <xf numFmtId="0" fontId="71" fillId="2" borderId="117" xfId="16" applyFont="1" applyFill="1" applyBorder="1" applyAlignment="1">
      <alignment horizontal="center" vertical="center" wrapText="1"/>
    </xf>
    <xf numFmtId="0" fontId="71" fillId="2" borderId="116" xfId="16" applyFont="1" applyFill="1" applyBorder="1" applyAlignment="1">
      <alignment horizontal="center" vertical="center" wrapText="1"/>
    </xf>
    <xf numFmtId="0" fontId="84" fillId="2" borderId="119" xfId="13" quotePrefix="1" applyFont="1" applyFill="1" applyBorder="1" applyAlignment="1">
      <alignment horizontal="center" vertical="center" wrapText="1"/>
    </xf>
    <xf numFmtId="172" fontId="103" fillId="4" borderId="11" xfId="13" applyNumberFormat="1" applyFont="1" applyFill="1" applyBorder="1"/>
    <xf numFmtId="172" fontId="103" fillId="4" borderId="56" xfId="13" applyNumberFormat="1" applyFont="1" applyFill="1" applyBorder="1"/>
    <xf numFmtId="172" fontId="103" fillId="4" borderId="0" xfId="13" applyNumberFormat="1" applyFont="1" applyFill="1"/>
    <xf numFmtId="172" fontId="103" fillId="4" borderId="120" xfId="13" applyNumberFormat="1" applyFont="1" applyFill="1" applyBorder="1"/>
    <xf numFmtId="172" fontId="103" fillId="4" borderId="92" xfId="13" applyNumberFormat="1" applyFont="1" applyFill="1" applyBorder="1"/>
    <xf numFmtId="0" fontId="66" fillId="0" borderId="0" xfId="13" applyFont="1"/>
    <xf numFmtId="10" fontId="71" fillId="4" borderId="56" xfId="13" applyNumberFormat="1" applyFont="1" applyFill="1" applyBorder="1"/>
    <xf numFmtId="10" fontId="71" fillId="4" borderId="0" xfId="13" applyNumberFormat="1" applyFont="1" applyFill="1"/>
    <xf numFmtId="172" fontId="103" fillId="4" borderId="121" xfId="13" applyNumberFormat="1" applyFont="1" applyFill="1" applyBorder="1"/>
    <xf numFmtId="10" fontId="71" fillId="4" borderId="120" xfId="13" applyNumberFormat="1" applyFont="1" applyFill="1" applyBorder="1"/>
    <xf numFmtId="10" fontId="71" fillId="4" borderId="121" xfId="13" applyNumberFormat="1" applyFont="1" applyFill="1" applyBorder="1"/>
    <xf numFmtId="4" fontId="175" fillId="3" borderId="0" xfId="13" applyNumberFormat="1" applyFont="1" applyFill="1"/>
    <xf numFmtId="2" fontId="109" fillId="0" borderId="56" xfId="13" applyNumberFormat="1" applyFont="1" applyBorder="1"/>
    <xf numFmtId="4" fontId="124" fillId="3" borderId="0" xfId="13" applyNumberFormat="1" applyFont="1" applyFill="1"/>
    <xf numFmtId="4" fontId="124" fillId="3" borderId="122" xfId="13" applyNumberFormat="1" applyFont="1" applyFill="1" applyBorder="1"/>
    <xf numFmtId="2" fontId="71" fillId="0" borderId="56" xfId="13" applyNumberFormat="1" applyFont="1" applyBorder="1"/>
    <xf numFmtId="2" fontId="71" fillId="0" borderId="0" xfId="13" applyNumberFormat="1" applyFont="1"/>
    <xf numFmtId="2" fontId="71" fillId="0" borderId="3" xfId="13" applyNumberFormat="1" applyFont="1" applyBorder="1"/>
    <xf numFmtId="1" fontId="71" fillId="0" borderId="0" xfId="13" applyNumberFormat="1" applyFont="1"/>
    <xf numFmtId="0" fontId="71" fillId="0" borderId="0" xfId="13" applyFont="1"/>
    <xf numFmtId="0" fontId="66" fillId="9" borderId="0" xfId="13" applyFont="1" applyFill="1" applyAlignment="1">
      <alignment vertical="center"/>
    </xf>
    <xf numFmtId="0" fontId="66" fillId="9" borderId="0" xfId="13" applyFont="1" applyFill="1" applyAlignment="1">
      <alignment vertical="center" wrapText="1"/>
    </xf>
    <xf numFmtId="0" fontId="66" fillId="9" borderId="0" xfId="13" applyFont="1" applyFill="1"/>
    <xf numFmtId="4" fontId="124" fillId="3" borderId="3" xfId="13" applyNumberFormat="1" applyFont="1" applyFill="1" applyBorder="1"/>
    <xf numFmtId="0" fontId="71" fillId="0" borderId="116" xfId="13" applyFont="1" applyBorder="1" applyAlignment="1">
      <alignment horizontal="center" vertical="center" wrapText="1"/>
    </xf>
    <xf numFmtId="0" fontId="131" fillId="9" borderId="7" xfId="9842" applyFont="1" applyFill="1" applyBorder="1" applyAlignment="1">
      <alignment horizontal="center" vertical="center" wrapText="1"/>
    </xf>
    <xf numFmtId="0" fontId="84" fillId="2" borderId="13" xfId="12" applyFont="1" applyFill="1" applyBorder="1" applyAlignment="1">
      <alignment horizontal="centerContinuous" vertical="center" wrapText="1"/>
    </xf>
    <xf numFmtId="171" fontId="109" fillId="0" borderId="58" xfId="0" applyNumberFormat="1" applyFont="1" applyBorder="1"/>
    <xf numFmtId="0" fontId="224" fillId="0" borderId="0" xfId="0" applyFont="1" applyAlignment="1">
      <alignment vertical="center"/>
    </xf>
    <xf numFmtId="0" fontId="164" fillId="2" borderId="0" xfId="0" applyFont="1" applyFill="1"/>
    <xf numFmtId="170" fontId="71" fillId="0" borderId="85" xfId="0" applyNumberFormat="1" applyFont="1" applyBorder="1" applyAlignment="1">
      <alignment horizontal="right" vertical="center"/>
    </xf>
    <xf numFmtId="170" fontId="71" fillId="0" borderId="87" xfId="0" applyNumberFormat="1" applyFont="1" applyBorder="1" applyAlignment="1">
      <alignment horizontal="right" vertical="center"/>
    </xf>
    <xf numFmtId="170" fontId="71" fillId="0" borderId="95" xfId="0" applyNumberFormat="1" applyFont="1" applyBorder="1" applyAlignment="1">
      <alignment horizontal="right" vertical="center"/>
    </xf>
    <xf numFmtId="170" fontId="71" fillId="0" borderId="56" xfId="0" applyNumberFormat="1" applyFont="1" applyBorder="1" applyAlignment="1">
      <alignment horizontal="right"/>
    </xf>
    <xf numFmtId="170" fontId="71" fillId="0" borderId="56" xfId="0" applyNumberFormat="1" applyFont="1" applyBorder="1" applyAlignment="1">
      <alignment horizontal="right" vertical="center"/>
    </xf>
    <xf numFmtId="170" fontId="71" fillId="0" borderId="0" xfId="0" applyNumberFormat="1" applyFont="1" applyAlignment="1">
      <alignment horizontal="right"/>
    </xf>
    <xf numFmtId="170" fontId="71" fillId="0" borderId="0" xfId="0" applyNumberFormat="1" applyFont="1" applyAlignment="1">
      <alignment horizontal="right" vertical="center"/>
    </xf>
    <xf numFmtId="1" fontId="107" fillId="9" borderId="25" xfId="9" applyNumberFormat="1" applyFont="1" applyFill="1" applyBorder="1" applyAlignment="1" applyProtection="1">
      <alignment horizontal="center" vertical="center"/>
    </xf>
    <xf numFmtId="0" fontId="71" fillId="0" borderId="6" xfId="16" applyFont="1" applyBorder="1" applyAlignment="1">
      <alignment horizontal="centerContinuous" vertical="center" wrapText="1"/>
    </xf>
    <xf numFmtId="0" fontId="71" fillId="0" borderId="6" xfId="16" quotePrefix="1" applyFont="1" applyBorder="1" applyAlignment="1">
      <alignment horizontal="center" vertical="center" wrapText="1"/>
    </xf>
    <xf numFmtId="0" fontId="84" fillId="2" borderId="21" xfId="16" applyFont="1" applyFill="1" applyBorder="1" applyAlignment="1">
      <alignment horizontal="center" vertical="center" wrapText="1"/>
    </xf>
    <xf numFmtId="170" fontId="71" fillId="7" borderId="36" xfId="16" applyNumberFormat="1" applyFont="1" applyFill="1" applyBorder="1" applyAlignment="1">
      <alignment horizontal="right" vertical="center"/>
    </xf>
    <xf numFmtId="170" fontId="71" fillId="7" borderId="0" xfId="16" applyNumberFormat="1" applyFont="1" applyFill="1" applyAlignment="1">
      <alignment horizontal="right" vertical="center"/>
    </xf>
    <xf numFmtId="10" fontId="66" fillId="9" borderId="0" xfId="12401" applyNumberFormat="1" applyFont="1" applyFill="1"/>
    <xf numFmtId="170" fontId="84" fillId="68" borderId="16" xfId="0" applyNumberFormat="1" applyFont="1" applyFill="1" applyBorder="1"/>
    <xf numFmtId="196" fontId="84" fillId="68" borderId="0" xfId="89" applyNumberFormat="1" applyFont="1" applyFill="1" applyAlignment="1">
      <alignment horizontal="center"/>
    </xf>
    <xf numFmtId="196" fontId="71" fillId="68" borderId="0" xfId="89" applyNumberFormat="1" applyFont="1" applyFill="1" applyAlignment="1">
      <alignment horizontal="center"/>
    </xf>
    <xf numFmtId="10" fontId="94" fillId="9" borderId="0" xfId="12401" applyNumberFormat="1" applyFont="1" applyFill="1" applyAlignment="1">
      <alignment horizontal="center"/>
    </xf>
    <xf numFmtId="211" fontId="94" fillId="9" borderId="0" xfId="12401" applyNumberFormat="1" applyFont="1" applyFill="1" applyAlignment="1">
      <alignment horizontal="center"/>
    </xf>
    <xf numFmtId="170" fontId="71" fillId="0" borderId="85" xfId="0" applyNumberFormat="1" applyFont="1" applyBorder="1"/>
    <xf numFmtId="0" fontId="84" fillId="2" borderId="18" xfId="0" applyFont="1" applyFill="1" applyBorder="1" applyAlignment="1">
      <alignment horizontal="centerContinuous" vertical="center" wrapText="1"/>
    </xf>
    <xf numFmtId="0" fontId="84" fillId="2" borderId="23" xfId="0" applyFont="1" applyFill="1" applyBorder="1" applyAlignment="1">
      <alignment horizontal="centerContinuous" vertical="center" wrapText="1"/>
    </xf>
    <xf numFmtId="1" fontId="71" fillId="0" borderId="65" xfId="0" applyNumberFormat="1" applyFont="1" applyBorder="1" applyAlignment="1">
      <alignment horizontal="center" vertical="center" wrapText="1"/>
    </xf>
    <xf numFmtId="1" fontId="71" fillId="0" borderId="25" xfId="0" applyNumberFormat="1" applyFont="1" applyBorder="1" applyAlignment="1">
      <alignment horizontal="center" vertical="center" wrapText="1"/>
    </xf>
    <xf numFmtId="0" fontId="71" fillId="2" borderId="65" xfId="0" applyFont="1" applyFill="1" applyBorder="1" applyAlignment="1">
      <alignment horizontal="center" vertical="center" wrapText="1"/>
    </xf>
    <xf numFmtId="0" fontId="84" fillId="2" borderId="65" xfId="0" applyFont="1" applyFill="1" applyBorder="1" applyAlignment="1">
      <alignment horizontal="center" vertical="center" wrapText="1"/>
    </xf>
    <xf numFmtId="170" fontId="66" fillId="2" borderId="0" xfId="0" applyNumberFormat="1" applyFont="1" applyFill="1"/>
    <xf numFmtId="0" fontId="71" fillId="69" borderId="0" xfId="0" applyFont="1" applyFill="1"/>
    <xf numFmtId="170" fontId="110" fillId="4" borderId="3" xfId="126" applyNumberFormat="1" applyFont="1" applyFill="1" applyBorder="1"/>
    <xf numFmtId="170" fontId="103" fillId="4" borderId="9" xfId="126" applyNumberFormat="1" applyFont="1" applyFill="1" applyBorder="1"/>
    <xf numFmtId="0" fontId="84" fillId="2" borderId="22" xfId="126" quotePrefix="1" applyFont="1" applyFill="1" applyBorder="1" applyAlignment="1">
      <alignment horizontal="center" vertical="center" wrapText="1"/>
    </xf>
    <xf numFmtId="0" fontId="84" fillId="2" borderId="27" xfId="126" quotePrefix="1" applyFont="1" applyFill="1" applyBorder="1" applyAlignment="1">
      <alignment horizontal="center" vertical="center" wrapText="1"/>
    </xf>
    <xf numFmtId="0" fontId="110" fillId="2" borderId="7" xfId="126" applyFont="1" applyFill="1" applyBorder="1" applyAlignment="1">
      <alignment horizontal="centerContinuous" vertical="center" wrapText="1"/>
    </xf>
    <xf numFmtId="0" fontId="71" fillId="2" borderId="7" xfId="126" applyFont="1" applyFill="1" applyBorder="1" applyAlignment="1">
      <alignment horizontal="centerContinuous" vertical="center" wrapText="1"/>
    </xf>
    <xf numFmtId="0" fontId="71" fillId="2" borderId="6" xfId="126" applyFont="1" applyFill="1" applyBorder="1" applyAlignment="1">
      <alignment horizontal="centerContinuous" vertical="center" wrapText="1"/>
    </xf>
    <xf numFmtId="0" fontId="84" fillId="2" borderId="7" xfId="126" applyFont="1" applyFill="1" applyBorder="1" applyAlignment="1">
      <alignment horizontal="centerContinuous" vertical="center" wrapText="1"/>
    </xf>
    <xf numFmtId="0" fontId="84" fillId="2" borderId="6" xfId="126" applyFont="1" applyFill="1" applyBorder="1" applyAlignment="1">
      <alignment horizontal="centerContinuous" vertical="center" wrapText="1"/>
    </xf>
    <xf numFmtId="0" fontId="84" fillId="2" borderId="25" xfId="126" applyFont="1" applyFill="1" applyBorder="1" applyAlignment="1">
      <alignment horizontal="centerContinuous" vertical="center" wrapText="1"/>
    </xf>
    <xf numFmtId="0" fontId="87" fillId="2" borderId="18" xfId="126" applyFont="1" applyFill="1" applyBorder="1" applyAlignment="1">
      <alignment horizontal="centerContinuous" vertical="center"/>
    </xf>
    <xf numFmtId="0" fontId="66" fillId="69" borderId="0" xfId="0" applyFont="1" applyFill="1"/>
    <xf numFmtId="0" fontId="71" fillId="0" borderId="6" xfId="0" applyFont="1" applyBorder="1" applyAlignment="1">
      <alignment horizontal="centerContinuous" vertical="center"/>
    </xf>
    <xf numFmtId="0" fontId="71" fillId="0" borderId="6" xfId="0" applyFont="1" applyBorder="1" applyAlignment="1">
      <alignment horizontal="centerContinuous" vertical="center" wrapText="1"/>
    </xf>
    <xf numFmtId="173" fontId="71" fillId="0" borderId="9" xfId="0" applyNumberFormat="1" applyFont="1" applyBorder="1" applyAlignment="1">
      <alignment horizontal="center"/>
    </xf>
    <xf numFmtId="170" fontId="66" fillId="69" borderId="0" xfId="0" applyNumberFormat="1" applyFont="1" applyFill="1"/>
    <xf numFmtId="173" fontId="71" fillId="0" borderId="3" xfId="0" applyNumberFormat="1" applyFont="1" applyBorder="1" applyAlignment="1">
      <alignment horizontal="center"/>
    </xf>
    <xf numFmtId="179" fontId="66" fillId="69" borderId="0" xfId="12401" applyNumberFormat="1" applyFont="1" applyFill="1" applyBorder="1"/>
    <xf numFmtId="0" fontId="66" fillId="69" borderId="0" xfId="0" applyFont="1" applyFill="1" applyAlignment="1">
      <alignment vertical="center"/>
    </xf>
    <xf numFmtId="0" fontId="66" fillId="69" borderId="0" xfId="0" applyFont="1" applyFill="1" applyAlignment="1">
      <alignment vertical="center" wrapText="1"/>
    </xf>
    <xf numFmtId="3" fontId="167" fillId="10" borderId="16" xfId="126" applyNumberFormat="1" applyFont="1" applyFill="1" applyBorder="1" applyAlignment="1">
      <alignment horizontal="center"/>
    </xf>
    <xf numFmtId="170" fontId="103" fillId="7" borderId="36" xfId="0" applyNumberFormat="1" applyFont="1" applyFill="1" applyBorder="1"/>
    <xf numFmtId="170" fontId="110" fillId="7" borderId="0" xfId="0" applyNumberFormat="1" applyFont="1" applyFill="1"/>
    <xf numFmtId="170" fontId="124" fillId="6" borderId="0" xfId="0" applyNumberFormat="1" applyFont="1" applyFill="1"/>
    <xf numFmtId="0" fontId="91" fillId="2" borderId="56" xfId="0" applyFont="1" applyFill="1" applyBorder="1"/>
    <xf numFmtId="2" fontId="71" fillId="0" borderId="85" xfId="13" applyNumberFormat="1" applyFont="1" applyBorder="1"/>
    <xf numFmtId="0" fontId="44" fillId="9" borderId="0" xfId="9860" applyFill="1" applyAlignment="1">
      <alignment horizontal="center"/>
    </xf>
    <xf numFmtId="170" fontId="71" fillId="0" borderId="56" xfId="9931" applyNumberFormat="1" applyFont="1" applyBorder="1" applyAlignment="1">
      <alignment horizontal="center" vertical="center"/>
    </xf>
    <xf numFmtId="0" fontId="71" fillId="2" borderId="23" xfId="16" applyFont="1" applyFill="1" applyBorder="1"/>
    <xf numFmtId="0" fontId="71" fillId="2" borderId="3" xfId="16" applyFont="1" applyFill="1" applyBorder="1"/>
    <xf numFmtId="1" fontId="84" fillId="2" borderId="65" xfId="16" applyNumberFormat="1" applyFont="1" applyFill="1" applyBorder="1" applyAlignment="1">
      <alignment horizontal="center" vertical="center" wrapText="1"/>
    </xf>
    <xf numFmtId="1" fontId="84" fillId="2" borderId="6" xfId="16" applyNumberFormat="1" applyFont="1" applyFill="1" applyBorder="1" applyAlignment="1">
      <alignment horizontal="centerContinuous" vertical="center" wrapText="1"/>
    </xf>
    <xf numFmtId="0" fontId="86" fillId="2" borderId="16" xfId="16" applyFont="1" applyFill="1" applyBorder="1" applyAlignment="1">
      <alignment horizontal="centerContinuous" vertical="center" wrapText="1"/>
    </xf>
    <xf numFmtId="1" fontId="71" fillId="2" borderId="6" xfId="16" applyNumberFormat="1" applyFont="1" applyFill="1" applyBorder="1" applyAlignment="1">
      <alignment horizontal="centerContinuous" vertical="center" wrapText="1"/>
    </xf>
    <xf numFmtId="1" fontId="71" fillId="2" borderId="65" xfId="16" applyNumberFormat="1" applyFont="1" applyFill="1" applyBorder="1" applyAlignment="1">
      <alignment horizontal="centerContinuous" vertical="center" wrapText="1"/>
    </xf>
    <xf numFmtId="1" fontId="71" fillId="0" borderId="65" xfId="16" applyNumberFormat="1" applyFont="1" applyBorder="1" applyAlignment="1">
      <alignment horizontal="centerContinuous" vertical="center" wrapText="1"/>
    </xf>
    <xf numFmtId="1" fontId="71" fillId="0" borderId="6" xfId="16" applyNumberFormat="1" applyFont="1" applyBorder="1" applyAlignment="1">
      <alignment horizontal="centerContinuous" vertical="center" wrapText="1"/>
    </xf>
    <xf numFmtId="1" fontId="71" fillId="9" borderId="65" xfId="16" applyNumberFormat="1" applyFont="1" applyFill="1" applyBorder="1" applyAlignment="1">
      <alignment horizontal="centerContinuous" vertical="center" wrapText="1"/>
    </xf>
    <xf numFmtId="0" fontId="71" fillId="2" borderId="16" xfId="16" applyFont="1" applyFill="1" applyBorder="1"/>
    <xf numFmtId="0" fontId="71" fillId="2" borderId="65" xfId="16" applyFont="1" applyFill="1" applyBorder="1" applyAlignment="1">
      <alignment horizontal="center" vertical="center" wrapText="1"/>
    </xf>
    <xf numFmtId="0" fontId="71" fillId="2" borderId="83" xfId="16" applyFont="1" applyFill="1" applyBorder="1" applyAlignment="1">
      <alignment horizontal="center" vertical="center" wrapText="1"/>
    </xf>
    <xf numFmtId="0" fontId="71" fillId="2" borderId="6" xfId="16" applyFont="1" applyFill="1" applyBorder="1" applyAlignment="1">
      <alignment horizontal="centerContinuous" vertical="center" wrapText="1"/>
    </xf>
    <xf numFmtId="0" fontId="84" fillId="2" borderId="65" xfId="16" applyFont="1" applyFill="1" applyBorder="1" applyAlignment="1">
      <alignment horizontal="center" vertical="center" wrapText="1"/>
    </xf>
    <xf numFmtId="0" fontId="84" fillId="2" borderId="83" xfId="16" applyFont="1" applyFill="1" applyBorder="1" applyAlignment="1">
      <alignment horizontal="center" vertical="center" wrapText="1"/>
    </xf>
    <xf numFmtId="170" fontId="124" fillId="6" borderId="87" xfId="16" applyNumberFormat="1" applyFont="1" applyFill="1" applyBorder="1"/>
    <xf numFmtId="170" fontId="71" fillId="0" borderId="87" xfId="16" applyNumberFormat="1" applyFont="1" applyBorder="1"/>
    <xf numFmtId="170" fontId="175" fillId="6" borderId="86" xfId="16" applyNumberFormat="1" applyFont="1" applyFill="1" applyBorder="1"/>
    <xf numFmtId="170" fontId="175" fillId="6" borderId="87" xfId="16" applyNumberFormat="1" applyFont="1" applyFill="1" applyBorder="1"/>
    <xf numFmtId="170" fontId="109" fillId="0" borderId="87" xfId="16" applyNumberFormat="1" applyFont="1" applyBorder="1"/>
    <xf numFmtId="170" fontId="209" fillId="0" borderId="87" xfId="16" applyNumberFormat="1" applyFont="1" applyBorder="1"/>
    <xf numFmtId="170" fontId="103" fillId="7" borderId="0" xfId="0" applyNumberFormat="1" applyFont="1" applyFill="1"/>
    <xf numFmtId="0" fontId="84" fillId="7" borderId="87" xfId="16" applyFont="1" applyFill="1" applyBorder="1" applyAlignment="1">
      <alignment horizontal="center" vertical="center" wrapText="1"/>
    </xf>
    <xf numFmtId="0" fontId="71" fillId="0" borderId="109" xfId="0" applyFont="1" applyBorder="1" applyAlignment="1">
      <alignment horizontal="centerContinuous" vertical="center" wrapText="1"/>
    </xf>
    <xf numFmtId="170" fontId="103" fillId="7" borderId="98" xfId="0" applyNumberFormat="1" applyFont="1" applyFill="1" applyBorder="1"/>
    <xf numFmtId="170" fontId="110" fillId="7" borderId="85" xfId="0" applyNumberFormat="1" applyFont="1" applyFill="1" applyBorder="1"/>
    <xf numFmtId="170" fontId="71" fillId="7" borderId="85" xfId="0" applyNumberFormat="1" applyFont="1" applyFill="1" applyBorder="1"/>
    <xf numFmtId="3" fontId="66" fillId="2" borderId="0" xfId="0" applyNumberFormat="1" applyFont="1" applyFill="1"/>
    <xf numFmtId="170" fontId="110" fillId="0" borderId="87" xfId="0" applyNumberFormat="1" applyFont="1" applyBorder="1"/>
    <xf numFmtId="170" fontId="161" fillId="6" borderId="86" xfId="0" applyNumberFormat="1" applyFont="1" applyFill="1" applyBorder="1"/>
    <xf numFmtId="3" fontId="103" fillId="3" borderId="100" xfId="0" applyNumberFormat="1" applyFont="1" applyFill="1" applyBorder="1"/>
    <xf numFmtId="171" fontId="113" fillId="7" borderId="10" xfId="0" applyNumberFormat="1" applyFont="1" applyFill="1" applyBorder="1"/>
    <xf numFmtId="0" fontId="126" fillId="0" borderId="20" xfId="0" quotePrefix="1" applyFont="1" applyBorder="1" applyAlignment="1">
      <alignment horizontal="center" vertical="center" wrapText="1"/>
    </xf>
    <xf numFmtId="0" fontId="126" fillId="0" borderId="28" xfId="0" applyFont="1" applyBorder="1" applyAlignment="1">
      <alignment horizontal="center" vertical="center" wrapText="1"/>
    </xf>
    <xf numFmtId="0" fontId="71" fillId="0" borderId="65" xfId="16" applyFont="1" applyBorder="1" applyAlignment="1">
      <alignment horizontal="center" vertical="center" wrapText="1"/>
    </xf>
    <xf numFmtId="171" fontId="71" fillId="10" borderId="87" xfId="0" applyNumberFormat="1" applyFont="1" applyFill="1" applyBorder="1"/>
    <xf numFmtId="171" fontId="71" fillId="10" borderId="16" xfId="0" applyNumberFormat="1" applyFont="1" applyFill="1" applyBorder="1"/>
    <xf numFmtId="171" fontId="71" fillId="10" borderId="85" xfId="0" applyNumberFormat="1" applyFont="1" applyFill="1" applyBorder="1"/>
    <xf numFmtId="0" fontId="235" fillId="0" borderId="2" xfId="0" applyFont="1" applyBorder="1" applyAlignment="1">
      <alignment vertical="top"/>
    </xf>
    <xf numFmtId="0" fontId="234" fillId="2" borderId="2" xfId="0" applyFont="1" applyFill="1" applyBorder="1" applyAlignment="1">
      <alignment horizontal="left"/>
    </xf>
    <xf numFmtId="0" fontId="234" fillId="2" borderId="0" xfId="0" applyFont="1" applyFill="1" applyAlignment="1">
      <alignment horizontal="left"/>
    </xf>
    <xf numFmtId="0" fontId="66" fillId="2" borderId="0" xfId="12400" applyFont="1" applyFill="1"/>
    <xf numFmtId="0" fontId="84" fillId="2" borderId="5" xfId="12400" applyFont="1" applyFill="1" applyBorder="1" applyAlignment="1">
      <alignment horizontal="centerContinuous" vertical="center" wrapText="1"/>
    </xf>
    <xf numFmtId="0" fontId="84" fillId="2" borderId="6" xfId="12400" applyFont="1" applyFill="1" applyBorder="1" applyAlignment="1">
      <alignment horizontal="centerContinuous" vertical="center" wrapText="1"/>
    </xf>
    <xf numFmtId="0" fontId="84" fillId="2" borderId="25" xfId="12400" applyFont="1" applyFill="1" applyBorder="1" applyAlignment="1">
      <alignment horizontal="centerContinuous" vertical="center" wrapText="1"/>
    </xf>
    <xf numFmtId="0" fontId="86" fillId="2" borderId="6" xfId="12400" applyFont="1" applyFill="1" applyBorder="1" applyAlignment="1">
      <alignment horizontal="centerContinuous" vertical="center" wrapText="1"/>
    </xf>
    <xf numFmtId="0" fontId="86" fillId="2" borderId="7" xfId="12400" applyFont="1" applyFill="1" applyBorder="1" applyAlignment="1">
      <alignment horizontal="centerContinuous" vertical="center" wrapText="1"/>
    </xf>
    <xf numFmtId="0" fontId="84" fillId="2" borderId="7" xfId="12400" applyFont="1" applyFill="1" applyBorder="1" applyAlignment="1">
      <alignment horizontal="centerContinuous" vertical="center" wrapText="1"/>
    </xf>
    <xf numFmtId="0" fontId="71" fillId="2" borderId="5" xfId="12400" applyFont="1" applyFill="1" applyBorder="1" applyAlignment="1">
      <alignment horizontal="centerContinuous" vertical="center" wrapText="1"/>
    </xf>
    <xf numFmtId="0" fontId="87" fillId="2" borderId="6" xfId="12400" applyFont="1" applyFill="1" applyBorder="1" applyAlignment="1">
      <alignment horizontal="centerContinuous" vertical="center" wrapText="1"/>
    </xf>
    <xf numFmtId="0" fontId="87" fillId="2" borderId="25" xfId="12400" applyFont="1" applyFill="1" applyBorder="1" applyAlignment="1">
      <alignment horizontal="centerContinuous" vertical="center" wrapText="1"/>
    </xf>
    <xf numFmtId="0" fontId="87" fillId="2" borderId="7" xfId="12400" applyFont="1" applyFill="1" applyBorder="1" applyAlignment="1">
      <alignment horizontal="centerContinuous" vertical="center" wrapText="1"/>
    </xf>
    <xf numFmtId="170" fontId="103" fillId="3" borderId="33" xfId="12400" applyNumberFormat="1" applyFont="1" applyFill="1" applyBorder="1"/>
    <xf numFmtId="170" fontId="103" fillId="3" borderId="78" xfId="12400" applyNumberFormat="1" applyFont="1" applyFill="1" applyBorder="1"/>
    <xf numFmtId="170" fontId="103" fillId="3" borderId="36" xfId="12400" applyNumberFormat="1" applyFont="1" applyFill="1" applyBorder="1"/>
    <xf numFmtId="170" fontId="71" fillId="4" borderId="15" xfId="12400" applyNumberFormat="1" applyFont="1" applyFill="1" applyBorder="1"/>
    <xf numFmtId="170" fontId="103" fillId="3" borderId="11" xfId="12400" applyNumberFormat="1" applyFont="1" applyFill="1" applyBorder="1"/>
    <xf numFmtId="170" fontId="71" fillId="4" borderId="0" xfId="12400" applyNumberFormat="1" applyFont="1" applyFill="1"/>
    <xf numFmtId="170" fontId="91" fillId="4" borderId="0" xfId="12400" applyNumberFormat="1" applyFont="1" applyFill="1"/>
    <xf numFmtId="170" fontId="103" fillId="3" borderId="56" xfId="12400" applyNumberFormat="1" applyFont="1" applyFill="1" applyBorder="1"/>
    <xf numFmtId="170" fontId="91" fillId="4" borderId="9" xfId="12400" applyNumberFormat="1" applyFont="1" applyFill="1" applyBorder="1"/>
    <xf numFmtId="170" fontId="71" fillId="0" borderId="2" xfId="12400" applyNumberFormat="1" applyFont="1" applyBorder="1"/>
    <xf numFmtId="170" fontId="71" fillId="0" borderId="0" xfId="12400" applyNumberFormat="1" applyFont="1"/>
    <xf numFmtId="170" fontId="71" fillId="4" borderId="16" xfId="12400" applyNumberFormat="1" applyFont="1" applyFill="1" applyBorder="1"/>
    <xf numFmtId="170" fontId="71" fillId="0" borderId="56" xfId="12400" applyNumberFormat="1" applyFont="1" applyBorder="1"/>
    <xf numFmtId="170" fontId="91" fillId="4" borderId="3" xfId="12400" applyNumberFormat="1" applyFont="1" applyFill="1" applyBorder="1"/>
    <xf numFmtId="0" fontId="84" fillId="0" borderId="3" xfId="12400" applyFont="1" applyBorder="1" applyAlignment="1">
      <alignment horizontal="center"/>
    </xf>
    <xf numFmtId="170" fontId="103" fillId="3" borderId="16" xfId="12400" applyNumberFormat="1" applyFont="1" applyFill="1" applyBorder="1"/>
    <xf numFmtId="170" fontId="71" fillId="4" borderId="3" xfId="12400" applyNumberFormat="1" applyFont="1" applyFill="1" applyBorder="1"/>
    <xf numFmtId="0" fontId="71" fillId="0" borderId="3" xfId="12400" applyFont="1" applyBorder="1" applyAlignment="1">
      <alignment horizontal="center"/>
    </xf>
    <xf numFmtId="170" fontId="71" fillId="0" borderId="16" xfId="12400" applyNumberFormat="1" applyFont="1" applyBorder="1"/>
    <xf numFmtId="0" fontId="66" fillId="9" borderId="0" xfId="12400" applyFont="1" applyFill="1"/>
    <xf numFmtId="170" fontId="71" fillId="0" borderId="3" xfId="12400" applyNumberFormat="1" applyFont="1" applyBorder="1"/>
    <xf numFmtId="0" fontId="71" fillId="2" borderId="0" xfId="12400" applyFont="1" applyFill="1"/>
    <xf numFmtId="0" fontId="71" fillId="2" borderId="0" xfId="12400" applyFont="1" applyFill="1" applyAlignment="1">
      <alignment horizontal="centerContinuous" vertical="center" wrapText="1"/>
    </xf>
    <xf numFmtId="0" fontId="84" fillId="2" borderId="0" xfId="12400" applyFont="1" applyFill="1" applyAlignment="1">
      <alignment horizontal="centerContinuous" vertical="center" wrapText="1"/>
    </xf>
    <xf numFmtId="0" fontId="84" fillId="2" borderId="16" xfId="12400" applyFont="1" applyFill="1" applyBorder="1" applyAlignment="1">
      <alignment horizontal="centerContinuous" vertical="center" wrapText="1"/>
    </xf>
    <xf numFmtId="0" fontId="71" fillId="2" borderId="56" xfId="12400" applyFont="1" applyFill="1" applyBorder="1" applyAlignment="1">
      <alignment horizontal="centerContinuous" vertical="center" wrapText="1"/>
    </xf>
    <xf numFmtId="0" fontId="84" fillId="2" borderId="3" xfId="12400" applyFont="1" applyFill="1" applyBorder="1" applyAlignment="1">
      <alignment horizontal="centerContinuous" vertical="center" wrapText="1"/>
    </xf>
    <xf numFmtId="0" fontId="66" fillId="2" borderId="0" xfId="12400" applyFont="1" applyFill="1" applyAlignment="1">
      <alignment vertical="center" wrapText="1"/>
    </xf>
    <xf numFmtId="0" fontId="226" fillId="2" borderId="6" xfId="12400" quotePrefix="1" applyFont="1" applyFill="1" applyBorder="1" applyAlignment="1">
      <alignment horizontal="center" vertical="center" wrapText="1"/>
    </xf>
    <xf numFmtId="0" fontId="226" fillId="2" borderId="6" xfId="12400" applyFont="1" applyFill="1" applyBorder="1" applyAlignment="1">
      <alignment horizontal="center" vertical="center" textRotation="90" wrapText="1"/>
    </xf>
    <xf numFmtId="0" fontId="226" fillId="2" borderId="6" xfId="12400" applyFont="1" applyFill="1" applyBorder="1" applyAlignment="1">
      <alignment horizontal="centerContinuous" vertical="center" wrapText="1"/>
    </xf>
    <xf numFmtId="0" fontId="226" fillId="2" borderId="7" xfId="12400" quotePrefix="1" applyFont="1" applyFill="1" applyBorder="1" applyAlignment="1">
      <alignment horizontal="center" vertical="center" wrapText="1"/>
    </xf>
    <xf numFmtId="0" fontId="120" fillId="2" borderId="0" xfId="12400" applyFont="1" applyFill="1"/>
    <xf numFmtId="0" fontId="71" fillId="2" borderId="3" xfId="12400" applyFont="1" applyFill="1" applyBorder="1" applyAlignment="1">
      <alignment horizontal="centerContinuous" vertical="center" wrapText="1"/>
    </xf>
    <xf numFmtId="0" fontId="71" fillId="2" borderId="6" xfId="12400" applyFont="1" applyFill="1" applyBorder="1" applyAlignment="1">
      <alignment horizontal="center" vertical="center" wrapText="1"/>
    </xf>
    <xf numFmtId="0" fontId="71" fillId="2" borderId="25" xfId="12400" applyFont="1" applyFill="1" applyBorder="1" applyAlignment="1">
      <alignment horizontal="center" vertical="center" wrapText="1"/>
    </xf>
    <xf numFmtId="0" fontId="126" fillId="2" borderId="65" xfId="12400" applyFont="1" applyFill="1" applyBorder="1" applyAlignment="1">
      <alignment horizontal="centerContinuous" vertical="center" wrapText="1"/>
    </xf>
    <xf numFmtId="0" fontId="126" fillId="2" borderId="6" xfId="12400" quotePrefix="1" applyFont="1" applyFill="1" applyBorder="1" applyAlignment="1">
      <alignment horizontal="centerContinuous" vertical="center" wrapText="1"/>
    </xf>
    <xf numFmtId="0" fontId="66" fillId="2" borderId="0" xfId="12400" applyFont="1" applyFill="1" applyAlignment="1">
      <alignment wrapText="1"/>
    </xf>
    <xf numFmtId="171" fontId="103" fillId="3" borderId="56" xfId="12400" applyNumberFormat="1" applyFont="1" applyFill="1" applyBorder="1"/>
    <xf numFmtId="171" fontId="114" fillId="4" borderId="3" xfId="12400" applyNumberFormat="1" applyFont="1" applyFill="1" applyBorder="1"/>
    <xf numFmtId="171" fontId="71" fillId="0" borderId="56" xfId="12400" applyNumberFormat="1" applyFont="1" applyBorder="1"/>
    <xf numFmtId="171" fontId="71" fillId="0" borderId="0" xfId="12400" applyNumberFormat="1" applyFont="1"/>
    <xf numFmtId="171" fontId="71" fillId="4" borderId="16" xfId="12400" applyNumberFormat="1" applyFont="1" applyFill="1" applyBorder="1"/>
    <xf numFmtId="171" fontId="91" fillId="4" borderId="16" xfId="12400" applyNumberFormat="1" applyFont="1" applyFill="1" applyBorder="1"/>
    <xf numFmtId="171" fontId="71" fillId="4" borderId="3" xfId="12400" applyNumberFormat="1" applyFont="1" applyFill="1" applyBorder="1"/>
    <xf numFmtId="171" fontId="71" fillId="0" borderId="2" xfId="12400" applyNumberFormat="1" applyFont="1" applyBorder="1"/>
    <xf numFmtId="171" fontId="104" fillId="4" borderId="16" xfId="12400" applyNumberFormat="1" applyFont="1" applyFill="1" applyBorder="1"/>
    <xf numFmtId="184" fontId="71" fillId="0" borderId="0" xfId="12400" applyNumberFormat="1" applyFont="1" applyAlignment="1">
      <alignment horizontal="right" vertical="top" wrapText="1"/>
    </xf>
    <xf numFmtId="0" fontId="235" fillId="0" borderId="0" xfId="12400" applyFont="1" applyAlignment="1">
      <alignment vertical="top"/>
    </xf>
    <xf numFmtId="171" fontId="161" fillId="6" borderId="16" xfId="12400" applyNumberFormat="1" applyFont="1" applyFill="1" applyBorder="1"/>
    <xf numFmtId="171" fontId="161" fillId="3" borderId="16" xfId="12400" applyNumberFormat="1" applyFont="1" applyFill="1" applyBorder="1"/>
    <xf numFmtId="171" fontId="161" fillId="3" borderId="3" xfId="12400" applyNumberFormat="1" applyFont="1" applyFill="1" applyBorder="1"/>
    <xf numFmtId="170" fontId="161" fillId="3" borderId="56" xfId="12400" applyNumberFormat="1" applyFont="1" applyFill="1" applyBorder="1"/>
    <xf numFmtId="170" fontId="161" fillId="3" borderId="78" xfId="12400" applyNumberFormat="1" applyFont="1" applyFill="1" applyBorder="1"/>
    <xf numFmtId="170" fontId="161" fillId="3" borderId="36" xfId="12400" applyNumberFormat="1" applyFont="1" applyFill="1" applyBorder="1"/>
    <xf numFmtId="170" fontId="161" fillId="6" borderId="0" xfId="12400" applyNumberFormat="1" applyFont="1" applyFill="1"/>
    <xf numFmtId="171" fontId="126" fillId="0" borderId="56" xfId="0" applyNumberFormat="1" applyFont="1" applyBorder="1"/>
    <xf numFmtId="0" fontId="120" fillId="9" borderId="123" xfId="16" applyFont="1" applyFill="1" applyBorder="1" applyAlignment="1">
      <alignment horizontal="center" vertical="center" wrapText="1"/>
    </xf>
    <xf numFmtId="2" fontId="71" fillId="0" borderId="85" xfId="12401" applyNumberFormat="1" applyFont="1" applyFill="1" applyBorder="1" applyAlignment="1"/>
    <xf numFmtId="2" fontId="71" fillId="0" borderId="0" xfId="12401" applyNumberFormat="1" applyFont="1" applyFill="1" applyBorder="1"/>
    <xf numFmtId="2" fontId="71" fillId="0" borderId="85" xfId="12401" applyNumberFormat="1" applyFont="1" applyFill="1" applyBorder="1"/>
    <xf numFmtId="2" fontId="124" fillId="6" borderId="124" xfId="12401" applyNumberFormat="1" applyFont="1" applyFill="1" applyBorder="1" applyAlignment="1"/>
    <xf numFmtId="0" fontId="71" fillId="2" borderId="19" xfId="0" applyFont="1" applyFill="1" applyBorder="1" applyAlignment="1">
      <alignment vertical="center"/>
    </xf>
    <xf numFmtId="2" fontId="131" fillId="10" borderId="57" xfId="9842" applyNumberFormat="1" applyFont="1" applyFill="1" applyBorder="1" applyAlignment="1">
      <alignment horizontal="center"/>
    </xf>
    <xf numFmtId="171" fontId="109" fillId="0" borderId="0" xfId="12400" applyNumberFormat="1" applyFont="1"/>
    <xf numFmtId="171" fontId="109" fillId="0" borderId="56" xfId="12400" applyNumberFormat="1" applyFont="1" applyBorder="1"/>
    <xf numFmtId="170" fontId="109" fillId="0" borderId="56" xfId="12400" applyNumberFormat="1" applyFont="1" applyBorder="1"/>
    <xf numFmtId="170" fontId="109" fillId="0" borderId="0" xfId="12400" applyNumberFormat="1" applyFont="1"/>
    <xf numFmtId="170" fontId="109" fillId="0" borderId="2" xfId="12400" applyNumberFormat="1" applyFont="1" applyBorder="1"/>
    <xf numFmtId="170" fontId="109" fillId="0" borderId="16" xfId="12400" applyNumberFormat="1" applyFont="1" applyBorder="1"/>
    <xf numFmtId="170" fontId="175" fillId="3" borderId="16" xfId="12400" applyNumberFormat="1" applyFont="1" applyFill="1" applyBorder="1"/>
    <xf numFmtId="170" fontId="109" fillId="0" borderId="85" xfId="12400" applyNumberFormat="1" applyFont="1" applyBorder="1"/>
    <xf numFmtId="0" fontId="236" fillId="2" borderId="0" xfId="12400" applyFont="1" applyFill="1" applyAlignment="1">
      <alignment horizontal="left"/>
    </xf>
    <xf numFmtId="0" fontId="66" fillId="2" borderId="0" xfId="12" applyFont="1" applyFill="1" applyAlignment="1">
      <alignment vertical="center" wrapText="1"/>
    </xf>
    <xf numFmtId="0" fontId="84" fillId="2" borderId="94" xfId="12" applyFont="1" applyFill="1" applyBorder="1" applyAlignment="1">
      <alignment horizontal="centerContinuous" vertical="center" wrapText="1"/>
    </xf>
    <xf numFmtId="0" fontId="84" fillId="2" borderId="21" xfId="12" applyFont="1" applyFill="1" applyBorder="1" applyAlignment="1">
      <alignment vertical="center" wrapText="1"/>
    </xf>
    <xf numFmtId="0" fontId="84" fillId="2" borderId="82" xfId="12" applyFont="1" applyFill="1" applyBorder="1" applyAlignment="1">
      <alignment vertical="center" wrapText="1"/>
    </xf>
    <xf numFmtId="0" fontId="84" fillId="2" borderId="21" xfId="12" applyFont="1" applyFill="1" applyBorder="1" applyAlignment="1">
      <alignment horizontal="centerContinuous" vertical="center" wrapText="1"/>
    </xf>
    <xf numFmtId="0" fontId="84" fillId="2" borderId="93" xfId="12" quotePrefix="1" applyFont="1" applyFill="1" applyBorder="1" applyAlignment="1">
      <alignment horizontal="center" vertical="center" wrapText="1"/>
    </xf>
    <xf numFmtId="0" fontId="84" fillId="2" borderId="88" xfId="12" applyFont="1" applyFill="1" applyBorder="1" applyAlignment="1">
      <alignment horizontal="center" vertical="center" wrapText="1"/>
    </xf>
    <xf numFmtId="0" fontId="84" fillId="2" borderId="21" xfId="12" applyFont="1" applyFill="1" applyBorder="1" applyAlignment="1">
      <alignment horizontal="center" vertical="center" wrapText="1"/>
    </xf>
    <xf numFmtId="0" fontId="84" fillId="2" borderId="82" xfId="12" applyFont="1" applyFill="1" applyBorder="1" applyAlignment="1">
      <alignment horizontal="center" vertical="center" wrapText="1"/>
    </xf>
    <xf numFmtId="0" fontId="84" fillId="2" borderId="21" xfId="12" quotePrefix="1" applyFont="1" applyFill="1" applyBorder="1" applyAlignment="1">
      <alignment horizontal="center" vertical="center" wrapText="1"/>
    </xf>
    <xf numFmtId="0" fontId="84" fillId="2" borderId="81" xfId="12" applyFont="1" applyFill="1" applyBorder="1" applyAlignment="1">
      <alignment horizontal="center" vertical="center" wrapText="1"/>
    </xf>
    <xf numFmtId="2" fontId="84" fillId="2" borderId="6" xfId="0" applyNumberFormat="1" applyFont="1" applyFill="1" applyBorder="1" applyAlignment="1">
      <alignment horizontal="center"/>
    </xf>
    <xf numFmtId="10" fontId="84" fillId="2" borderId="6" xfId="0" applyNumberFormat="1" applyFont="1" applyFill="1" applyBorder="1" applyAlignment="1">
      <alignment horizontal="center"/>
    </xf>
    <xf numFmtId="10" fontId="84" fillId="2" borderId="18" xfId="0" applyNumberFormat="1" applyFont="1" applyFill="1" applyBorder="1" applyAlignment="1">
      <alignment horizontal="center"/>
    </xf>
    <xf numFmtId="10" fontId="87" fillId="2" borderId="18" xfId="0" applyNumberFormat="1" applyFont="1" applyFill="1" applyBorder="1" applyAlignment="1">
      <alignment horizontal="center"/>
    </xf>
    <xf numFmtId="10" fontId="87" fillId="2" borderId="19" xfId="0" applyNumberFormat="1" applyFont="1" applyFill="1" applyBorder="1" applyAlignment="1">
      <alignment horizontal="center"/>
    </xf>
    <xf numFmtId="2" fontId="84" fillId="2" borderId="125" xfId="0" applyNumberFormat="1" applyFont="1" applyFill="1" applyBorder="1" applyAlignment="1">
      <alignment horizontal="centerContinuous" vertical="center" wrapText="1"/>
    </xf>
    <xf numFmtId="2" fontId="84" fillId="2" borderId="110" xfId="0" applyNumberFormat="1" applyFont="1" applyFill="1" applyBorder="1" applyAlignment="1">
      <alignment horizontal="centerContinuous" vertical="center" wrapText="1"/>
    </xf>
    <xf numFmtId="2" fontId="84" fillId="2" borderId="62" xfId="0" applyNumberFormat="1" applyFont="1" applyFill="1" applyBorder="1" applyAlignment="1">
      <alignment horizontal="centerContinuous" vertical="center" wrapText="1"/>
    </xf>
    <xf numFmtId="0" fontId="84" fillId="2" borderId="109" xfId="0" applyFont="1" applyFill="1" applyBorder="1" applyAlignment="1">
      <alignment horizontal="centerContinuous" vertical="center" wrapText="1"/>
    </xf>
    <xf numFmtId="0" fontId="84" fillId="2" borderId="62" xfId="0" applyFont="1" applyFill="1" applyBorder="1" applyAlignment="1">
      <alignment horizontal="centerContinuous" vertical="center" wrapText="1"/>
    </xf>
    <xf numFmtId="0" fontId="84" fillId="2" borderId="111" xfId="0" applyFont="1" applyFill="1" applyBorder="1" applyAlignment="1">
      <alignment horizontal="centerContinuous" vertical="center" wrapText="1"/>
    </xf>
    <xf numFmtId="2" fontId="84" fillId="2" borderId="125" xfId="0" applyNumberFormat="1" applyFont="1" applyFill="1" applyBorder="1" applyAlignment="1">
      <alignment horizontal="centerContinuous" vertical="center"/>
    </xf>
    <xf numFmtId="2" fontId="84" fillId="2" borderId="110" xfId="0" applyNumberFormat="1" applyFont="1" applyFill="1" applyBorder="1" applyAlignment="1">
      <alignment horizontal="centerContinuous" vertical="center"/>
    </xf>
    <xf numFmtId="2" fontId="84" fillId="2" borderId="104" xfId="0" applyNumberFormat="1" applyFont="1" applyFill="1" applyBorder="1" applyAlignment="1">
      <alignment horizontal="centerContinuous" vertical="center"/>
    </xf>
    <xf numFmtId="10" fontId="84" fillId="2" borderId="109" xfId="0" applyNumberFormat="1" applyFont="1" applyFill="1" applyBorder="1" applyAlignment="1">
      <alignment horizontal="centerContinuous" vertical="center"/>
    </xf>
    <xf numFmtId="10" fontId="84" fillId="2" borderId="110" xfId="0" applyNumberFormat="1" applyFont="1" applyFill="1" applyBorder="1" applyAlignment="1">
      <alignment horizontal="centerContinuous" vertical="center"/>
    </xf>
    <xf numFmtId="10" fontId="84" fillId="2" borderId="126" xfId="0" applyNumberFormat="1" applyFont="1" applyFill="1" applyBorder="1" applyAlignment="1">
      <alignment horizontal="centerContinuous" vertical="center"/>
    </xf>
    <xf numFmtId="10" fontId="84" fillId="2" borderId="127" xfId="0" applyNumberFormat="1" applyFont="1" applyFill="1" applyBorder="1" applyAlignment="1">
      <alignment horizontal="centerContinuous" vertical="center"/>
    </xf>
    <xf numFmtId="2" fontId="71" fillId="2" borderId="110" xfId="0" applyNumberFormat="1" applyFont="1" applyFill="1" applyBorder="1" applyAlignment="1">
      <alignment horizontal="centerContinuous" vertical="center" wrapText="1"/>
    </xf>
    <xf numFmtId="2" fontId="84" fillId="2" borderId="104" xfId="0" applyNumberFormat="1" applyFont="1" applyFill="1" applyBorder="1" applyAlignment="1">
      <alignment horizontal="centerContinuous" vertical="center" wrapText="1"/>
    </xf>
    <xf numFmtId="10" fontId="237" fillId="2" borderId="109" xfId="0" applyNumberFormat="1" applyFont="1" applyFill="1" applyBorder="1" applyAlignment="1">
      <alignment horizontal="centerContinuous"/>
    </xf>
    <xf numFmtId="10" fontId="237" fillId="2" borderId="62" xfId="0" applyNumberFormat="1" applyFont="1" applyFill="1" applyBorder="1" applyAlignment="1">
      <alignment horizontal="centerContinuous"/>
    </xf>
    <xf numFmtId="10" fontId="220" fillId="2" borderId="109" xfId="0" applyNumberFormat="1" applyFont="1" applyFill="1" applyBorder="1" applyAlignment="1">
      <alignment horizontal="centerContinuous"/>
    </xf>
    <xf numFmtId="10" fontId="220" fillId="2" borderId="111" xfId="0" applyNumberFormat="1" applyFont="1" applyFill="1" applyBorder="1" applyAlignment="1">
      <alignment horizontal="centerContinuous"/>
    </xf>
    <xf numFmtId="2" fontId="71" fillId="2" borderId="110" xfId="0" quotePrefix="1" applyNumberFormat="1" applyFont="1" applyFill="1" applyBorder="1" applyAlignment="1">
      <alignment horizontal="centerContinuous" vertical="center" wrapText="1"/>
    </xf>
    <xf numFmtId="10" fontId="84" fillId="2" borderId="104" xfId="0" applyNumberFormat="1" applyFont="1" applyFill="1" applyBorder="1" applyAlignment="1">
      <alignment horizontal="centerContinuous" vertical="center" wrapText="1"/>
    </xf>
    <xf numFmtId="10" fontId="71" fillId="2" borderId="109" xfId="0" applyNumberFormat="1" applyFont="1" applyFill="1" applyBorder="1" applyAlignment="1">
      <alignment horizontal="centerContinuous" vertical="center" wrapText="1"/>
    </xf>
    <xf numFmtId="10" fontId="71" fillId="2" borderId="110" xfId="0" applyNumberFormat="1" applyFont="1" applyFill="1" applyBorder="1" applyAlignment="1">
      <alignment horizontal="centerContinuous" vertical="center" wrapText="1"/>
    </xf>
    <xf numFmtId="10" fontId="71" fillId="2" borderId="111" xfId="0" applyNumberFormat="1" applyFont="1" applyFill="1" applyBorder="1" applyAlignment="1">
      <alignment horizontal="centerContinuous" vertical="center" wrapText="1"/>
    </xf>
    <xf numFmtId="2" fontId="71" fillId="0" borderId="110" xfId="0" applyNumberFormat="1" applyFont="1" applyBorder="1" applyAlignment="1">
      <alignment horizontal="center" vertical="center"/>
    </xf>
    <xf numFmtId="10" fontId="71" fillId="0" borderId="104" xfId="0" applyNumberFormat="1" applyFont="1" applyBorder="1" applyAlignment="1">
      <alignment horizontal="center" vertical="center" wrapText="1"/>
    </xf>
    <xf numFmtId="10" fontId="71" fillId="0" borderId="109" xfId="0" applyNumberFormat="1" applyFont="1" applyBorder="1" applyAlignment="1">
      <alignment horizontal="center" vertical="center" wrapText="1"/>
    </xf>
    <xf numFmtId="10" fontId="71" fillId="0" borderId="110" xfId="0" applyNumberFormat="1" applyFont="1" applyBorder="1" applyAlignment="1">
      <alignment horizontal="center" vertical="center" wrapText="1"/>
    </xf>
    <xf numFmtId="10" fontId="71" fillId="2" borderId="109" xfId="0" applyNumberFormat="1" applyFont="1" applyFill="1" applyBorder="1" applyAlignment="1">
      <alignment horizontal="center" vertical="center" wrapText="1"/>
    </xf>
    <xf numFmtId="10" fontId="71" fillId="0" borderId="111" xfId="0" applyNumberFormat="1" applyFont="1" applyBorder="1" applyAlignment="1">
      <alignment horizontal="center" vertical="center" wrapText="1"/>
    </xf>
    <xf numFmtId="2" fontId="71" fillId="2" borderId="110" xfId="0" applyNumberFormat="1" applyFont="1" applyFill="1" applyBorder="1" applyAlignment="1">
      <alignment horizontal="center" vertical="center" wrapText="1"/>
    </xf>
    <xf numFmtId="10" fontId="71" fillId="2" borderId="104" xfId="0" applyNumberFormat="1" applyFont="1" applyFill="1" applyBorder="1" applyAlignment="1">
      <alignment horizontal="center" vertical="center"/>
    </xf>
    <xf numFmtId="10" fontId="71" fillId="2" borderId="109" xfId="0" applyNumberFormat="1" applyFont="1" applyFill="1" applyBorder="1" applyAlignment="1">
      <alignment horizontal="center" vertical="center"/>
    </xf>
    <xf numFmtId="10" fontId="71" fillId="2" borderId="110" xfId="0" applyNumberFormat="1" applyFont="1" applyFill="1" applyBorder="1" applyAlignment="1">
      <alignment horizontal="center" vertical="center"/>
    </xf>
    <xf numFmtId="10" fontId="71" fillId="2" borderId="111" xfId="0" applyNumberFormat="1" applyFont="1" applyFill="1" applyBorder="1" applyAlignment="1">
      <alignment horizontal="center" vertical="center"/>
    </xf>
    <xf numFmtId="185" fontId="71" fillId="0" borderId="3" xfId="0" applyNumberFormat="1" applyFont="1" applyBorder="1" applyAlignment="1">
      <alignment horizontal="center"/>
    </xf>
    <xf numFmtId="216" fontId="124" fillId="6" borderId="0" xfId="24490" applyNumberFormat="1" applyFont="1" applyFill="1"/>
    <xf numFmtId="216" fontId="124" fillId="6" borderId="128" xfId="24490" applyNumberFormat="1" applyFont="1" applyFill="1" applyBorder="1" applyAlignment="1"/>
    <xf numFmtId="216" fontId="124" fillId="6" borderId="129" xfId="24490" applyNumberFormat="1" applyFont="1" applyFill="1" applyBorder="1"/>
    <xf numFmtId="216" fontId="124" fillId="6" borderId="129" xfId="24490" applyNumberFormat="1" applyFont="1" applyFill="1" applyBorder="1" applyAlignment="1"/>
    <xf numFmtId="216" fontId="124" fillId="6" borderId="126" xfId="24490" applyNumberFormat="1" applyFont="1" applyFill="1" applyBorder="1" applyAlignment="1"/>
    <xf numFmtId="216" fontId="124" fillId="6" borderId="127" xfId="24490" applyNumberFormat="1" applyFont="1" applyFill="1" applyBorder="1" applyAlignment="1"/>
    <xf numFmtId="216" fontId="71" fillId="0" borderId="0" xfId="24490" applyNumberFormat="1" applyFont="1"/>
    <xf numFmtId="216" fontId="71" fillId="0" borderId="67" xfId="24490" applyNumberFormat="1" applyFont="1" applyBorder="1" applyAlignment="1"/>
    <xf numFmtId="216" fontId="71" fillId="0" borderId="0" xfId="24490" applyNumberFormat="1" applyFont="1" applyBorder="1"/>
    <xf numFmtId="216" fontId="71" fillId="0" borderId="126" xfId="24490" applyNumberFormat="1" applyFont="1" applyBorder="1"/>
    <xf numFmtId="216" fontId="71" fillId="0" borderId="56" xfId="24490" applyNumberFormat="1" applyFont="1" applyBorder="1"/>
    <xf numFmtId="216" fontId="71" fillId="0" borderId="127" xfId="24490" applyNumberFormat="1" applyFont="1" applyBorder="1" applyAlignment="1"/>
    <xf numFmtId="216" fontId="71" fillId="0" borderId="126" xfId="24490" applyNumberFormat="1" applyFont="1" applyFill="1" applyBorder="1"/>
    <xf numFmtId="216" fontId="71" fillId="0" borderId="0" xfId="24490" applyNumberFormat="1" applyFont="1" applyFill="1"/>
    <xf numFmtId="216" fontId="71" fillId="0" borderId="67" xfId="24490" applyNumberFormat="1" applyFont="1" applyFill="1" applyBorder="1" applyAlignment="1"/>
    <xf numFmtId="216" fontId="71" fillId="0" borderId="0" xfId="24490" applyNumberFormat="1" applyFont="1" applyFill="1" applyBorder="1"/>
    <xf numFmtId="216" fontId="71" fillId="0" borderId="56" xfId="24490" applyNumberFormat="1" applyFont="1" applyFill="1" applyBorder="1"/>
    <xf numFmtId="216" fontId="71" fillId="0" borderId="127" xfId="24490" applyNumberFormat="1" applyFont="1" applyFill="1" applyBorder="1" applyAlignment="1"/>
    <xf numFmtId="0" fontId="149" fillId="9" borderId="0" xfId="0" applyFont="1" applyFill="1"/>
    <xf numFmtId="1" fontId="71" fillId="0" borderId="0" xfId="0" applyNumberFormat="1" applyFont="1"/>
    <xf numFmtId="1" fontId="71" fillId="0" borderId="67" xfId="12401" applyNumberFormat="1" applyFont="1" applyBorder="1" applyAlignment="1"/>
    <xf numFmtId="2" fontId="71" fillId="0" borderId="0" xfId="0" applyNumberFormat="1" applyFont="1"/>
    <xf numFmtId="2" fontId="71" fillId="0" borderId="105" xfId="0" applyNumberFormat="1" applyFont="1" applyBorder="1"/>
    <xf numFmtId="2" fontId="71" fillId="0" borderId="126" xfId="0" applyNumberFormat="1" applyFont="1" applyBorder="1"/>
    <xf numFmtId="2" fontId="71" fillId="0" borderId="67" xfId="0" applyNumberFormat="1" applyFont="1" applyBorder="1"/>
    <xf numFmtId="2" fontId="71" fillId="0" borderId="108" xfId="0" applyNumberFormat="1" applyFont="1" applyBorder="1"/>
    <xf numFmtId="2" fontId="71" fillId="0" borderId="127" xfId="0" applyNumberFormat="1" applyFont="1" applyBorder="1"/>
    <xf numFmtId="2" fontId="71" fillId="2" borderId="0" xfId="0" applyNumberFormat="1" applyFont="1" applyFill="1"/>
    <xf numFmtId="10" fontId="71" fillId="2" borderId="0" xfId="0" applyNumberFormat="1" applyFont="1" applyFill="1"/>
    <xf numFmtId="171" fontId="71" fillId="0" borderId="56" xfId="0" applyNumberFormat="1" applyFont="1" applyBorder="1"/>
    <xf numFmtId="0" fontId="80" fillId="2" borderId="0" xfId="0" applyFont="1" applyFill="1" applyAlignment="1">
      <alignment horizontal="left" vertical="center"/>
    </xf>
    <xf numFmtId="10" fontId="71" fillId="2" borderId="6" xfId="0" applyNumberFormat="1" applyFont="1" applyFill="1" applyBorder="1" applyAlignment="1">
      <alignment horizontal="center" vertical="center" wrapText="1"/>
    </xf>
    <xf numFmtId="2" fontId="71" fillId="2" borderId="65" xfId="0" applyNumberFormat="1" applyFont="1" applyFill="1" applyBorder="1" applyAlignment="1">
      <alignment horizontal="center" vertical="center"/>
    </xf>
    <xf numFmtId="0" fontId="66" fillId="2" borderId="20" xfId="0" applyFont="1" applyFill="1" applyBorder="1" applyAlignment="1">
      <alignment vertical="center"/>
    </xf>
    <xf numFmtId="0" fontId="66" fillId="2" borderId="21" xfId="0" applyFont="1" applyFill="1" applyBorder="1" applyAlignment="1">
      <alignment vertical="center" wrapText="1"/>
    </xf>
    <xf numFmtId="0" fontId="66" fillId="2" borderId="22" xfId="0" applyFont="1" applyFill="1" applyBorder="1" applyAlignment="1">
      <alignment vertical="center" wrapText="1"/>
    </xf>
    <xf numFmtId="0" fontId="84" fillId="2" borderId="25" xfId="0" applyFont="1" applyFill="1" applyBorder="1" applyAlignment="1">
      <alignment horizontal="centerContinuous" vertical="center" wrapText="1"/>
    </xf>
    <xf numFmtId="170" fontId="71" fillId="0" borderId="87" xfId="0" applyNumberFormat="1" applyFont="1" applyBorder="1"/>
    <xf numFmtId="0" fontId="88" fillId="0" borderId="0" xfId="0" applyFont="1"/>
    <xf numFmtId="172" fontId="232" fillId="0" borderId="57" xfId="0" applyNumberFormat="1" applyFont="1" applyBorder="1"/>
    <xf numFmtId="170" fontId="232" fillId="0" borderId="85" xfId="0" applyNumberFormat="1" applyFont="1" applyBorder="1"/>
    <xf numFmtId="170" fontId="232" fillId="0" borderId="56" xfId="0" applyNumberFormat="1" applyFont="1" applyBorder="1"/>
    <xf numFmtId="0" fontId="71" fillId="0" borderId="62" xfId="0" applyFont="1" applyBorder="1" applyAlignment="1">
      <alignment horizontal="centerContinuous" vertical="center" wrapText="1"/>
    </xf>
    <xf numFmtId="181" fontId="95" fillId="4" borderId="85" xfId="0" applyNumberFormat="1" applyFont="1" applyFill="1" applyBorder="1" applyAlignment="1">
      <alignment horizontal="center"/>
    </xf>
    <xf numFmtId="171" fontId="71" fillId="0" borderId="57" xfId="0" applyNumberFormat="1" applyFont="1" applyBorder="1"/>
    <xf numFmtId="173" fontId="71" fillId="0" borderId="95" xfId="14" applyNumberFormat="1" applyFont="1" applyBorder="1"/>
    <xf numFmtId="173" fontId="71" fillId="0" borderId="16" xfId="14" applyNumberFormat="1" applyFont="1" applyBorder="1"/>
    <xf numFmtId="173" fontId="71" fillId="0" borderId="85" xfId="14" applyNumberFormat="1" applyFont="1" applyBorder="1"/>
    <xf numFmtId="0" fontId="28" fillId="0" borderId="0" xfId="10595"/>
    <xf numFmtId="0" fontId="71" fillId="0" borderId="0" xfId="10" applyFont="1"/>
    <xf numFmtId="0" fontId="66" fillId="0" borderId="0" xfId="10" applyFont="1"/>
    <xf numFmtId="185" fontId="71" fillId="0" borderId="0" xfId="0" applyNumberFormat="1" applyFont="1" applyAlignment="1">
      <alignment horizontal="center"/>
    </xf>
    <xf numFmtId="171" fontId="71" fillId="0" borderId="126" xfId="0" applyNumberFormat="1" applyFont="1" applyBorder="1"/>
    <xf numFmtId="171" fontId="161" fillId="3" borderId="56" xfId="0" applyNumberFormat="1" applyFont="1" applyFill="1" applyBorder="1"/>
    <xf numFmtId="171" fontId="232" fillId="0" borderId="56" xfId="0" applyNumberFormat="1" applyFont="1" applyBorder="1"/>
    <xf numFmtId="0" fontId="97" fillId="9" borderId="0" xfId="0" applyFont="1" applyFill="1" applyAlignment="1">
      <alignment vertical="center"/>
    </xf>
    <xf numFmtId="0" fontId="72" fillId="9" borderId="0" xfId="0" applyFont="1" applyFill="1"/>
    <xf numFmtId="171" fontId="126" fillId="7" borderId="58" xfId="0" applyNumberFormat="1" applyFont="1" applyFill="1" applyBorder="1"/>
    <xf numFmtId="171" fontId="103" fillId="3" borderId="12" xfId="0" applyNumberFormat="1" applyFont="1" applyFill="1" applyBorder="1"/>
    <xf numFmtId="171" fontId="222" fillId="0" borderId="57" xfId="0" applyNumberFormat="1" applyFont="1" applyBorder="1"/>
    <xf numFmtId="0" fontId="70" fillId="9" borderId="0" xfId="0" applyFont="1" applyFill="1" applyAlignment="1">
      <alignment vertical="center"/>
    </xf>
    <xf numFmtId="0" fontId="70" fillId="9" borderId="0" xfId="0" applyFont="1" applyFill="1" applyAlignment="1">
      <alignment vertical="center" wrapText="1"/>
    </xf>
    <xf numFmtId="179" fontId="69" fillId="9" borderId="0" xfId="12401" applyNumberFormat="1" applyFont="1" applyFill="1"/>
    <xf numFmtId="10" fontId="225" fillId="9" borderId="0" xfId="12401" applyNumberFormat="1" applyFont="1" applyFill="1"/>
    <xf numFmtId="10" fontId="88" fillId="9" borderId="0" xfId="0" applyNumberFormat="1" applyFont="1" applyFill="1"/>
    <xf numFmtId="2" fontId="88" fillId="9" borderId="0" xfId="0" applyNumberFormat="1" applyFont="1" applyFill="1"/>
    <xf numFmtId="2" fontId="221" fillId="9" borderId="35" xfId="0" applyNumberFormat="1" applyFont="1" applyFill="1" applyBorder="1" applyAlignment="1">
      <alignment horizontal="center"/>
    </xf>
    <xf numFmtId="2" fontId="220" fillId="9" borderId="18" xfId="0" applyNumberFormat="1" applyFont="1" applyFill="1" applyBorder="1" applyAlignment="1">
      <alignment horizontal="center"/>
    </xf>
    <xf numFmtId="10" fontId="220" fillId="9" borderId="18" xfId="0" applyNumberFormat="1" applyFont="1" applyFill="1" applyBorder="1" applyAlignment="1">
      <alignment horizontal="center"/>
    </xf>
    <xf numFmtId="2" fontId="87" fillId="9" borderId="5" xfId="0" applyNumberFormat="1" applyFont="1" applyFill="1" applyBorder="1" applyAlignment="1">
      <alignment horizontal="center"/>
    </xf>
    <xf numFmtId="2" fontId="87" fillId="9" borderId="6" xfId="0" applyNumberFormat="1" applyFont="1" applyFill="1" applyBorder="1" applyAlignment="1">
      <alignment horizontal="center"/>
    </xf>
    <xf numFmtId="10" fontId="87" fillId="9" borderId="6" xfId="0" applyNumberFormat="1" applyFont="1" applyFill="1" applyBorder="1" applyAlignment="1">
      <alignment horizontal="center"/>
    </xf>
    <xf numFmtId="0" fontId="66" fillId="2" borderId="0" xfId="0" applyFont="1" applyFill="1" applyAlignment="1">
      <alignment horizontal="center" vertical="center"/>
    </xf>
    <xf numFmtId="0" fontId="66" fillId="2" borderId="6" xfId="0" applyFont="1" applyFill="1" applyBorder="1" applyAlignment="1">
      <alignment horizontal="center" vertical="center"/>
    </xf>
    <xf numFmtId="0" fontId="84" fillId="0" borderId="20" xfId="0" quotePrefix="1" applyFont="1" applyBorder="1" applyAlignment="1">
      <alignment horizontal="center" vertical="center" wrapText="1"/>
    </xf>
    <xf numFmtId="173" fontId="71" fillId="0" borderId="0" xfId="0" applyNumberFormat="1" applyFont="1" applyAlignment="1">
      <alignment horizontal="center"/>
    </xf>
    <xf numFmtId="0" fontId="66" fillId="9" borderId="0" xfId="0" applyFont="1" applyFill="1" applyAlignment="1">
      <alignment vertical="center"/>
    </xf>
    <xf numFmtId="10" fontId="71" fillId="2" borderId="7" xfId="0" applyNumberFormat="1" applyFont="1" applyFill="1" applyBorder="1" applyAlignment="1">
      <alignment horizontal="center" vertical="center" wrapText="1"/>
    </xf>
    <xf numFmtId="10" fontId="71" fillId="2" borderId="65"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0" fontId="84" fillId="2" borderId="24" xfId="0" applyFont="1" applyFill="1" applyBorder="1" applyAlignment="1">
      <alignment horizontal="center" vertical="center" wrapText="1"/>
    </xf>
    <xf numFmtId="0" fontId="84" fillId="2" borderId="82" xfId="0" quotePrefix="1" applyFont="1" applyFill="1" applyBorder="1" applyAlignment="1">
      <alignment horizontal="center" vertical="center" wrapText="1"/>
    </xf>
    <xf numFmtId="10" fontId="84" fillId="2" borderId="22" xfId="0" quotePrefix="1" applyNumberFormat="1" applyFont="1" applyFill="1" applyBorder="1" applyAlignment="1">
      <alignment horizontal="center" vertical="center" wrapText="1"/>
    </xf>
    <xf numFmtId="0" fontId="66" fillId="9" borderId="0" xfId="0" applyFont="1" applyFill="1"/>
    <xf numFmtId="2" fontId="71" fillId="9" borderId="0" xfId="0" applyNumberFormat="1" applyFont="1" applyFill="1" applyAlignment="1">
      <alignment horizontal="center"/>
    </xf>
    <xf numFmtId="0" fontId="71" fillId="9" borderId="0" xfId="0" applyFont="1" applyFill="1"/>
    <xf numFmtId="10" fontId="71" fillId="9" borderId="0" xfId="0" applyNumberFormat="1" applyFont="1" applyFill="1"/>
    <xf numFmtId="2" fontId="84" fillId="9" borderId="24" xfId="0" applyNumberFormat="1" applyFont="1" applyFill="1" applyBorder="1" applyAlignment="1">
      <alignment horizontal="center" vertical="center" wrapText="1"/>
    </xf>
    <xf numFmtId="2" fontId="84" fillId="9" borderId="82" xfId="0" quotePrefix="1" applyNumberFormat="1" applyFont="1" applyFill="1" applyBorder="1" applyAlignment="1">
      <alignment horizontal="center" vertical="center" wrapText="1"/>
    </xf>
    <xf numFmtId="10" fontId="84" fillId="9" borderId="21" xfId="0" quotePrefix="1" applyNumberFormat="1" applyFont="1" applyFill="1" applyBorder="1" applyAlignment="1">
      <alignment horizontal="center" vertical="center" wrapText="1"/>
    </xf>
    <xf numFmtId="179" fontId="71" fillId="0" borderId="130" xfId="12401" applyNumberFormat="1" applyFont="1" applyFill="1" applyBorder="1"/>
    <xf numFmtId="2" fontId="84" fillId="9" borderId="5" xfId="0" applyNumberFormat="1" applyFont="1" applyFill="1" applyBorder="1" applyAlignment="1">
      <alignment horizontal="centerContinuous" vertical="center" wrapText="1"/>
    </xf>
    <xf numFmtId="2" fontId="84" fillId="9" borderId="6" xfId="0" applyNumberFormat="1" applyFont="1" applyFill="1" applyBorder="1" applyAlignment="1">
      <alignment horizontal="centerContinuous" vertical="center" wrapText="1"/>
    </xf>
    <xf numFmtId="0" fontId="84" fillId="9" borderId="6" xfId="0" applyFont="1" applyFill="1" applyBorder="1" applyAlignment="1">
      <alignment horizontal="centerContinuous" vertical="center" wrapText="1"/>
    </xf>
    <xf numFmtId="2" fontId="84" fillId="9" borderId="13" xfId="0" applyNumberFormat="1" applyFont="1" applyFill="1" applyBorder="1" applyAlignment="1">
      <alignment horizontal="centerContinuous" vertical="center"/>
    </xf>
    <xf numFmtId="2" fontId="71" fillId="9" borderId="5" xfId="0" applyNumberFormat="1" applyFont="1" applyFill="1" applyBorder="1" applyAlignment="1">
      <alignment horizontal="center" vertical="center" wrapText="1"/>
    </xf>
    <xf numFmtId="2" fontId="71" fillId="9" borderId="65" xfId="0" applyNumberFormat="1" applyFont="1" applyFill="1" applyBorder="1" applyAlignment="1">
      <alignment horizontal="center" vertical="center" wrapText="1"/>
    </xf>
    <xf numFmtId="10" fontId="71" fillId="9" borderId="6" xfId="0" applyNumberFormat="1" applyFont="1" applyFill="1" applyBorder="1" applyAlignment="1">
      <alignment horizontal="center" vertical="center" wrapText="1"/>
    </xf>
    <xf numFmtId="2" fontId="71" fillId="0" borderId="130" xfId="12401" applyNumberFormat="1" applyFont="1" applyFill="1" applyBorder="1"/>
    <xf numFmtId="0" fontId="66" fillId="9" borderId="0" xfId="0" applyFont="1" applyFill="1" applyAlignment="1">
      <alignment vertical="center" wrapText="1"/>
    </xf>
    <xf numFmtId="185" fontId="66" fillId="9" borderId="0" xfId="0" applyNumberFormat="1" applyFont="1" applyFill="1" applyAlignment="1">
      <alignment vertical="center" wrapText="1"/>
    </xf>
    <xf numFmtId="185" fontId="66" fillId="9" borderId="0" xfId="0" applyNumberFormat="1" applyFont="1" applyFill="1"/>
    <xf numFmtId="185" fontId="66" fillId="9" borderId="0" xfId="12401" applyNumberFormat="1" applyFont="1" applyFill="1"/>
    <xf numFmtId="179" fontId="66" fillId="9" borderId="0" xfId="12401" applyNumberFormat="1" applyFont="1" applyFill="1"/>
    <xf numFmtId="171" fontId="71" fillId="0" borderId="85" xfId="0" applyNumberFormat="1" applyFont="1" applyBorder="1"/>
    <xf numFmtId="2" fontId="71" fillId="0" borderId="58" xfId="0" applyNumberFormat="1" applyFont="1" applyBorder="1"/>
    <xf numFmtId="0" fontId="71" fillId="2" borderId="0" xfId="13" applyFont="1" applyFill="1" applyAlignment="1">
      <alignment vertical="center" wrapText="1"/>
    </xf>
    <xf numFmtId="0" fontId="84" fillId="2" borderId="5" xfId="13" applyFont="1" applyFill="1" applyBorder="1" applyAlignment="1">
      <alignment horizontal="centerContinuous" vertical="center" readingOrder="1"/>
    </xf>
    <xf numFmtId="0" fontId="84" fillId="2" borderId="6" xfId="13" applyFont="1" applyFill="1" applyBorder="1" applyAlignment="1">
      <alignment horizontal="centerContinuous" vertical="center" wrapText="1" readingOrder="1"/>
    </xf>
    <xf numFmtId="0" fontId="84" fillId="2" borderId="6" xfId="13" quotePrefix="1" applyFont="1" applyFill="1" applyBorder="1" applyAlignment="1">
      <alignment horizontal="centerContinuous" vertical="center" wrapText="1" readingOrder="1"/>
    </xf>
    <xf numFmtId="0" fontId="84" fillId="2" borderId="7" xfId="13" quotePrefix="1" applyFont="1" applyFill="1" applyBorder="1" applyAlignment="1">
      <alignment horizontal="centerContinuous" vertical="center" wrapText="1" readingOrder="1"/>
    </xf>
    <xf numFmtId="0" fontId="66" fillId="2" borderId="2" xfId="13" applyFont="1" applyFill="1" applyBorder="1" applyAlignment="1">
      <alignment vertical="center"/>
    </xf>
    <xf numFmtId="0" fontId="71" fillId="2" borderId="2" xfId="13" applyFont="1" applyFill="1" applyBorder="1" applyAlignment="1">
      <alignment horizontal="centerContinuous" vertical="center" wrapText="1"/>
    </xf>
    <xf numFmtId="0" fontId="71" fillId="2" borderId="0" xfId="13" applyFont="1" applyFill="1" applyAlignment="1">
      <alignment horizontal="centerContinuous" vertical="center" wrapText="1"/>
    </xf>
    <xf numFmtId="0" fontId="71" fillId="0" borderId="6" xfId="13" applyFont="1" applyBorder="1" applyAlignment="1">
      <alignment horizontal="centerContinuous" vertical="center" wrapText="1"/>
    </xf>
    <xf numFmtId="0" fontId="71" fillId="0" borderId="6" xfId="13" quotePrefix="1" applyFont="1" applyBorder="1" applyAlignment="1">
      <alignment horizontal="centerContinuous" vertical="center" wrapText="1"/>
    </xf>
    <xf numFmtId="0" fontId="71" fillId="0" borderId="7" xfId="13" quotePrefix="1" applyFont="1" applyBorder="1" applyAlignment="1">
      <alignment horizontal="centerContinuous" vertical="center" wrapText="1"/>
    </xf>
    <xf numFmtId="0" fontId="71" fillId="0" borderId="18" xfId="13" quotePrefix="1" applyFont="1" applyBorder="1" applyAlignment="1">
      <alignment horizontal="center" vertical="center" wrapText="1"/>
    </xf>
    <xf numFmtId="0" fontId="71" fillId="0" borderId="18" xfId="13" applyFont="1" applyBorder="1" applyAlignment="1">
      <alignment horizontal="center" vertical="center" wrapText="1"/>
    </xf>
    <xf numFmtId="0" fontId="71" fillId="0" borderId="23" xfId="13" quotePrefix="1" applyFont="1" applyBorder="1" applyAlignment="1">
      <alignment horizontal="center" vertical="center" wrapText="1"/>
    </xf>
    <xf numFmtId="0" fontId="71" fillId="0" borderId="65" xfId="13" quotePrefix="1" applyFont="1" applyBorder="1" applyAlignment="1">
      <alignment horizontal="center" vertical="center" wrapText="1"/>
    </xf>
    <xf numFmtId="0" fontId="71" fillId="0" borderId="19" xfId="13" quotePrefix="1" applyFont="1" applyBorder="1" applyAlignment="1">
      <alignment horizontal="center" vertical="center" wrapText="1"/>
    </xf>
    <xf numFmtId="0" fontId="71" fillId="2" borderId="2" xfId="13" applyFont="1" applyFill="1" applyBorder="1" applyAlignment="1">
      <alignment vertical="center"/>
    </xf>
    <xf numFmtId="180" fontId="71" fillId="2" borderId="65" xfId="12401" applyNumberFormat="1" applyFont="1" applyFill="1" applyBorder="1" applyAlignment="1">
      <alignment horizontal="center" vertical="center"/>
    </xf>
    <xf numFmtId="180" fontId="71" fillId="2" borderId="6" xfId="12401" applyNumberFormat="1" applyFont="1" applyFill="1" applyBorder="1" applyAlignment="1">
      <alignment horizontal="center" vertical="center"/>
    </xf>
    <xf numFmtId="0" fontId="71" fillId="2" borderId="5" xfId="13" applyFont="1" applyFill="1" applyBorder="1" applyAlignment="1">
      <alignment horizontal="center" vertical="center" wrapText="1"/>
    </xf>
    <xf numFmtId="0" fontId="71" fillId="2" borderId="25" xfId="13" applyFont="1" applyFill="1" applyBorder="1" applyAlignment="1">
      <alignment horizontal="center" vertical="center" wrapText="1"/>
    </xf>
    <xf numFmtId="0" fontId="84" fillId="2" borderId="24" xfId="13" applyFont="1" applyFill="1" applyBorder="1" applyAlignment="1">
      <alignment horizontal="center" vertical="center" wrapText="1"/>
    </xf>
    <xf numFmtId="0" fontId="84" fillId="2" borderId="14" xfId="13" applyFont="1" applyFill="1" applyBorder="1" applyAlignment="1">
      <alignment horizontal="center" vertical="center" wrapText="1"/>
    </xf>
    <xf numFmtId="0" fontId="84" fillId="2" borderId="27" xfId="13" applyFont="1" applyFill="1" applyBorder="1" applyAlignment="1">
      <alignment horizontal="center" vertical="center" wrapText="1"/>
    </xf>
    <xf numFmtId="1" fontId="84" fillId="2" borderId="93" xfId="13" quotePrefix="1" applyNumberFormat="1" applyFont="1" applyFill="1" applyBorder="1" applyAlignment="1">
      <alignment horizontal="center" vertical="center" wrapText="1"/>
    </xf>
    <xf numFmtId="0" fontId="66" fillId="2" borderId="2" xfId="13" applyFont="1" applyFill="1" applyBorder="1" applyAlignment="1">
      <alignment vertical="center" wrapText="1"/>
    </xf>
    <xf numFmtId="0" fontId="71" fillId="0" borderId="0" xfId="0" applyFont="1" applyAlignment="1">
      <alignment horizontal="center"/>
    </xf>
    <xf numFmtId="170" fontId="109" fillId="0" borderId="130" xfId="0" applyNumberFormat="1" applyFont="1" applyBorder="1"/>
    <xf numFmtId="0" fontId="71" fillId="0" borderId="2" xfId="0" applyFont="1" applyBorder="1" applyAlignment="1">
      <alignment horizontal="center"/>
    </xf>
    <xf numFmtId="170" fontId="113" fillId="3" borderId="130" xfId="0" applyNumberFormat="1" applyFont="1" applyFill="1" applyBorder="1"/>
    <xf numFmtId="170" fontId="71" fillId="0" borderId="130" xfId="0" applyNumberFormat="1" applyFont="1" applyBorder="1"/>
    <xf numFmtId="170" fontId="71" fillId="9" borderId="0" xfId="0" applyNumberFormat="1" applyFont="1" applyFill="1"/>
    <xf numFmtId="0" fontId="71" fillId="0" borderId="3" xfId="0" applyFont="1" applyBorder="1" applyAlignment="1">
      <alignment horizontal="center"/>
    </xf>
    <xf numFmtId="1" fontId="71" fillId="0" borderId="6" xfId="0" applyNumberFormat="1" applyFont="1" applyBorder="1" applyAlignment="1">
      <alignment horizontal="center" vertical="center" wrapText="1"/>
    </xf>
    <xf numFmtId="0" fontId="84" fillId="2" borderId="65" xfId="0" applyFont="1" applyFill="1" applyBorder="1" applyAlignment="1">
      <alignment horizontal="centerContinuous" vertical="center" wrapText="1"/>
    </xf>
    <xf numFmtId="0" fontId="71" fillId="2" borderId="25" xfId="0" quotePrefix="1" applyFont="1" applyFill="1" applyBorder="1" applyAlignment="1">
      <alignment horizontal="center" vertical="center" wrapText="1"/>
    </xf>
    <xf numFmtId="0" fontId="84" fillId="2" borderId="2" xfId="0" applyFont="1" applyFill="1" applyBorder="1" applyAlignment="1">
      <alignment horizontal="centerContinuous" vertical="center" wrapText="1"/>
    </xf>
    <xf numFmtId="0" fontId="84" fillId="2" borderId="0" xfId="0" applyFont="1" applyFill="1" applyAlignment="1">
      <alignment horizontal="centerContinuous" vertical="center" wrapText="1"/>
    </xf>
    <xf numFmtId="0" fontId="84" fillId="2" borderId="56" xfId="0" applyFont="1" applyFill="1" applyBorder="1" applyAlignment="1">
      <alignment horizontal="centerContinuous" vertical="center" wrapText="1"/>
    </xf>
    <xf numFmtId="0" fontId="84" fillId="2" borderId="5" xfId="0" applyFont="1" applyFill="1" applyBorder="1" applyAlignment="1">
      <alignment vertical="center" wrapText="1"/>
    </xf>
    <xf numFmtId="0" fontId="84" fillId="2" borderId="6" xfId="0" applyFont="1" applyFill="1" applyBorder="1" applyAlignment="1">
      <alignment vertical="center" wrapText="1"/>
    </xf>
    <xf numFmtId="0" fontId="71" fillId="0" borderId="94" xfId="0" applyFont="1" applyBorder="1" applyAlignment="1">
      <alignment horizontal="center" vertical="center" wrapText="1"/>
    </xf>
    <xf numFmtId="0" fontId="71" fillId="0" borderId="21" xfId="0" applyFont="1" applyBorder="1" applyAlignment="1">
      <alignment horizontal="center" vertical="center" wrapText="1"/>
    </xf>
    <xf numFmtId="0" fontId="71" fillId="0" borderId="88" xfId="0" applyFont="1" applyBorder="1" applyAlignment="1">
      <alignment horizontal="center" vertical="center" wrapText="1"/>
    </xf>
    <xf numFmtId="0" fontId="71" fillId="0" borderId="27" xfId="0" applyFont="1" applyBorder="1" applyAlignment="1">
      <alignment horizontal="center" vertical="center" wrapText="1"/>
    </xf>
    <xf numFmtId="0" fontId="71" fillId="0" borderId="84" xfId="0" applyFont="1" applyBorder="1" applyAlignment="1">
      <alignment horizontal="center" vertical="center" wrapText="1"/>
    </xf>
    <xf numFmtId="0" fontId="71" fillId="0" borderId="20" xfId="0" applyFont="1" applyBorder="1" applyAlignment="1">
      <alignment horizontal="center" vertical="center" wrapText="1"/>
    </xf>
    <xf numFmtId="0" fontId="71" fillId="0" borderId="82" xfId="0" applyFont="1" applyBorder="1" applyAlignment="1">
      <alignment horizontal="center" vertical="center" wrapText="1"/>
    </xf>
    <xf numFmtId="0" fontId="71" fillId="0" borderId="22" xfId="0" applyFont="1" applyBorder="1" applyAlignment="1">
      <alignment horizontal="center" vertical="center" wrapText="1"/>
    </xf>
    <xf numFmtId="171" fontId="71" fillId="0" borderId="95" xfId="0" applyNumberFormat="1" applyFont="1" applyBorder="1"/>
    <xf numFmtId="171" fontId="71" fillId="0" borderId="87" xfId="0" applyNumberFormat="1" applyFont="1" applyBorder="1"/>
    <xf numFmtId="0" fontId="84" fillId="0" borderId="3" xfId="0" applyFont="1" applyBorder="1" applyAlignment="1">
      <alignment horizontal="center"/>
    </xf>
    <xf numFmtId="171" fontId="71" fillId="0" borderId="87" xfId="0" applyNumberFormat="1" applyFont="1" applyBorder="1" applyAlignment="1">
      <alignment horizontal="right"/>
    </xf>
    <xf numFmtId="0" fontId="84" fillId="2" borderId="21" xfId="0" applyFont="1" applyFill="1" applyBorder="1" applyAlignment="1">
      <alignment horizontal="center" vertical="center" wrapText="1"/>
    </xf>
    <xf numFmtId="171" fontId="71" fillId="8" borderId="57" xfId="0" applyNumberFormat="1" applyFont="1" applyFill="1" applyBorder="1"/>
    <xf numFmtId="171" fontId="71" fillId="8" borderId="3" xfId="0" applyNumberFormat="1" applyFont="1" applyFill="1" applyBorder="1"/>
    <xf numFmtId="10" fontId="71" fillId="8" borderId="57" xfId="0" applyNumberFormat="1" applyFont="1" applyFill="1" applyBorder="1"/>
    <xf numFmtId="10" fontId="71" fillId="8" borderId="58" xfId="0" applyNumberFormat="1" applyFont="1" applyFill="1" applyBorder="1"/>
    <xf numFmtId="10" fontId="71" fillId="0" borderId="58" xfId="0" applyNumberFormat="1" applyFont="1" applyBorder="1"/>
    <xf numFmtId="170" fontId="71" fillId="68" borderId="16" xfId="0" applyNumberFormat="1" applyFont="1" applyFill="1" applyBorder="1"/>
    <xf numFmtId="0" fontId="71" fillId="2" borderId="26" xfId="0" applyFont="1" applyFill="1" applyBorder="1" applyAlignment="1">
      <alignment vertical="center"/>
    </xf>
    <xf numFmtId="0" fontId="71" fillId="2" borderId="29" xfId="0" applyFont="1" applyFill="1" applyBorder="1" applyAlignment="1">
      <alignment vertical="center"/>
    </xf>
    <xf numFmtId="0" fontId="71" fillId="2" borderId="5" xfId="0" applyFont="1" applyFill="1" applyBorder="1" applyAlignment="1">
      <alignment vertical="center"/>
    </xf>
    <xf numFmtId="0" fontId="84" fillId="2" borderId="14" xfId="0" applyFont="1" applyFill="1" applyBorder="1" applyAlignment="1">
      <alignment horizontal="center" vertical="center" wrapText="1"/>
    </xf>
    <xf numFmtId="0" fontId="84" fillId="2" borderId="22" xfId="0" applyFont="1" applyFill="1" applyBorder="1" applyAlignment="1">
      <alignment horizontal="center" vertical="center" wrapText="1"/>
    </xf>
    <xf numFmtId="170" fontId="71" fillId="4" borderId="56" xfId="0" applyNumberFormat="1" applyFont="1" applyFill="1" applyBorder="1"/>
    <xf numFmtId="170" fontId="71" fillId="4" borderId="57" xfId="0" applyNumberFormat="1" applyFont="1" applyFill="1" applyBorder="1"/>
    <xf numFmtId="0" fontId="71" fillId="2" borderId="5" xfId="0" applyFont="1" applyFill="1" applyBorder="1" applyAlignment="1">
      <alignment horizontal="center" vertical="center"/>
    </xf>
    <xf numFmtId="0" fontId="84" fillId="2" borderId="24" xfId="0" applyFont="1" applyFill="1" applyBorder="1" applyAlignment="1">
      <alignment horizontal="center" vertical="center"/>
    </xf>
    <xf numFmtId="175" fontId="109" fillId="4" borderId="56" xfId="0" applyNumberFormat="1" applyFont="1" applyFill="1" applyBorder="1"/>
    <xf numFmtId="175" fontId="66" fillId="2" borderId="0" xfId="0" applyNumberFormat="1" applyFont="1" applyFill="1"/>
    <xf numFmtId="9" fontId="66" fillId="2" borderId="0" xfId="12401" applyFont="1" applyFill="1"/>
    <xf numFmtId="0" fontId="71" fillId="2" borderId="56" xfId="0" applyFont="1" applyFill="1" applyBorder="1"/>
    <xf numFmtId="0" fontId="71" fillId="2" borderId="16" xfId="0" applyFont="1" applyFill="1" applyBorder="1"/>
    <xf numFmtId="0" fontId="71" fillId="2" borderId="3" xfId="0" applyFont="1" applyFill="1" applyBorder="1"/>
    <xf numFmtId="0" fontId="84" fillId="0" borderId="5" xfId="0" applyFont="1" applyBorder="1" applyAlignment="1">
      <alignment horizontal="centerContinuous" vertical="center" wrapText="1"/>
    </xf>
    <xf numFmtId="0" fontId="71" fillId="2" borderId="66" xfId="0" applyFont="1" applyFill="1" applyBorder="1" applyAlignment="1">
      <alignment horizontal="center" vertical="center" wrapText="1"/>
    </xf>
    <xf numFmtId="0" fontId="66" fillId="2" borderId="2" xfId="0" applyFont="1" applyFill="1" applyBorder="1"/>
    <xf numFmtId="0" fontId="84" fillId="2" borderId="20" xfId="0" applyFont="1" applyFill="1" applyBorder="1" applyAlignment="1">
      <alignment horizontal="center"/>
    </xf>
    <xf numFmtId="0" fontId="84" fillId="2" borderId="21" xfId="0" applyFont="1" applyFill="1" applyBorder="1" applyAlignment="1">
      <alignment horizontal="center"/>
    </xf>
    <xf numFmtId="0" fontId="84" fillId="4" borderId="2" xfId="0" applyFont="1" applyFill="1" applyBorder="1" applyAlignment="1">
      <alignment horizontal="center"/>
    </xf>
    <xf numFmtId="0" fontId="84" fillId="4" borderId="16" xfId="0" applyFont="1" applyFill="1" applyBorder="1" applyAlignment="1">
      <alignment horizontal="center"/>
    </xf>
    <xf numFmtId="175" fontId="71" fillId="4" borderId="85" xfId="0" applyNumberFormat="1" applyFont="1" applyFill="1" applyBorder="1"/>
    <xf numFmtId="175" fontId="71" fillId="4" borderId="16" xfId="0" applyNumberFormat="1" applyFont="1" applyFill="1" applyBorder="1"/>
    <xf numFmtId="175" fontId="71" fillId="4" borderId="56" xfId="0" applyNumberFormat="1" applyFont="1" applyFill="1" applyBorder="1"/>
    <xf numFmtId="170" fontId="71" fillId="4" borderId="16" xfId="0" applyNumberFormat="1" applyFont="1" applyFill="1" applyBorder="1"/>
    <xf numFmtId="0" fontId="66" fillId="2" borderId="130" xfId="16" applyFill="1" applyBorder="1"/>
    <xf numFmtId="170" fontId="71" fillId="4" borderId="130" xfId="16" applyNumberFormat="1" applyFont="1" applyFill="1" applyBorder="1"/>
    <xf numFmtId="175" fontId="71" fillId="0" borderId="130" xfId="16" applyNumberFormat="1" applyFont="1" applyBorder="1"/>
    <xf numFmtId="0" fontId="0" fillId="9" borderId="56" xfId="0" applyFill="1" applyBorder="1"/>
    <xf numFmtId="0" fontId="71" fillId="2" borderId="99" xfId="0" applyFont="1" applyFill="1" applyBorder="1" applyAlignment="1">
      <alignment horizontal="center" vertical="center" wrapText="1"/>
    </xf>
    <xf numFmtId="0" fontId="84" fillId="2" borderId="94" xfId="0" applyFont="1" applyFill="1" applyBorder="1" applyAlignment="1">
      <alignment horizontal="center" vertical="center" wrapText="1"/>
    </xf>
    <xf numFmtId="0" fontId="84" fillId="2" borderId="20" xfId="0" applyFont="1" applyFill="1" applyBorder="1" applyAlignment="1">
      <alignment horizontal="center" vertical="center" wrapText="1"/>
    </xf>
    <xf numFmtId="0" fontId="84" fillId="2" borderId="82" xfId="0" applyFont="1" applyFill="1" applyBorder="1" applyAlignment="1">
      <alignment horizontal="center" vertical="center" wrapText="1"/>
    </xf>
    <xf numFmtId="0" fontId="84" fillId="2" borderId="93" xfId="0" applyFont="1" applyFill="1" applyBorder="1" applyAlignment="1">
      <alignment horizontal="center" vertical="center" wrapText="1"/>
    </xf>
    <xf numFmtId="0" fontId="84" fillId="2" borderId="22" xfId="0" quotePrefix="1" applyFont="1" applyFill="1" applyBorder="1" applyAlignment="1">
      <alignment horizontal="center" vertical="center" wrapText="1"/>
    </xf>
    <xf numFmtId="171" fontId="71" fillId="10" borderId="56" xfId="0" applyNumberFormat="1" applyFont="1" applyFill="1" applyBorder="1"/>
    <xf numFmtId="171" fontId="71" fillId="10" borderId="3" xfId="0" applyNumberFormat="1" applyFont="1" applyFill="1" applyBorder="1"/>
    <xf numFmtId="171" fontId="71" fillId="0" borderId="3" xfId="0" applyNumberFormat="1" applyFont="1" applyBorder="1"/>
    <xf numFmtId="171" fontId="71" fillId="7" borderId="56" xfId="0" applyNumberFormat="1" applyFont="1" applyFill="1" applyBorder="1"/>
    <xf numFmtId="171" fontId="71" fillId="7" borderId="0" xfId="0" applyNumberFormat="1" applyFont="1" applyFill="1"/>
    <xf numFmtId="171" fontId="71" fillId="7" borderId="3" xfId="0" applyNumberFormat="1" applyFont="1" applyFill="1" applyBorder="1"/>
    <xf numFmtId="0" fontId="66" fillId="2" borderId="0" xfId="0" applyFont="1" applyFill="1" applyAlignment="1">
      <alignment vertical="center"/>
    </xf>
    <xf numFmtId="0" fontId="84" fillId="2" borderId="27" xfId="0" applyFont="1" applyFill="1" applyBorder="1" applyAlignment="1">
      <alignment horizontal="center" vertical="center" wrapText="1"/>
    </xf>
    <xf numFmtId="0" fontId="66" fillId="2" borderId="0" xfId="0" applyFont="1" applyFill="1" applyAlignment="1">
      <alignment vertical="center" wrapText="1"/>
    </xf>
    <xf numFmtId="0" fontId="66" fillId="2" borderId="58" xfId="0" applyFont="1" applyFill="1" applyBorder="1"/>
    <xf numFmtId="0" fontId="71" fillId="2" borderId="65" xfId="0" applyFont="1" applyFill="1" applyBorder="1" applyAlignment="1">
      <alignment horizontal="centerContinuous" vertical="center" wrapText="1"/>
    </xf>
    <xf numFmtId="3" fontId="71" fillId="4" borderId="0" xfId="0" applyNumberFormat="1" applyFont="1" applyFill="1"/>
    <xf numFmtId="3" fontId="71" fillId="4" borderId="16" xfId="0" applyNumberFormat="1" applyFont="1" applyFill="1" applyBorder="1"/>
    <xf numFmtId="183" fontId="71" fillId="0" borderId="3" xfId="0" applyNumberFormat="1" applyFont="1" applyBorder="1"/>
    <xf numFmtId="3" fontId="71" fillId="0" borderId="16" xfId="0" applyNumberFormat="1" applyFont="1" applyBorder="1"/>
    <xf numFmtId="0" fontId="71" fillId="2" borderId="6" xfId="0" applyFont="1" applyFill="1" applyBorder="1" applyAlignment="1">
      <alignment horizontal="center"/>
    </xf>
    <xf numFmtId="0" fontId="71" fillId="9" borderId="6" xfId="0" applyFont="1" applyFill="1" applyBorder="1" applyAlignment="1">
      <alignment horizontal="center" vertical="center" wrapText="1"/>
    </xf>
    <xf numFmtId="3" fontId="71" fillId="4" borderId="57" xfId="0" applyNumberFormat="1" applyFont="1" applyFill="1" applyBorder="1"/>
    <xf numFmtId="3" fontId="71" fillId="0" borderId="58" xfId="0" applyNumberFormat="1" applyFont="1" applyBorder="1" applyAlignment="1">
      <alignment horizontal="right"/>
    </xf>
    <xf numFmtId="3" fontId="71" fillId="0" borderId="67" xfId="0" applyNumberFormat="1" applyFont="1" applyBorder="1" applyAlignment="1">
      <alignment horizontal="right"/>
    </xf>
    <xf numFmtId="183" fontId="71" fillId="0" borderId="57" xfId="0" applyNumberFormat="1" applyFont="1" applyBorder="1"/>
    <xf numFmtId="0" fontId="84" fillId="2" borderId="6" xfId="0" quotePrefix="1" applyFont="1" applyFill="1" applyBorder="1" applyAlignment="1">
      <alignment horizontal="centerContinuous" vertical="center" wrapText="1"/>
    </xf>
    <xf numFmtId="0" fontId="84" fillId="2" borderId="25" xfId="0" applyFont="1" applyFill="1" applyBorder="1" applyAlignment="1">
      <alignment vertical="center"/>
    </xf>
    <xf numFmtId="0" fontId="84" fillId="2" borderId="6" xfId="0" applyFont="1" applyFill="1" applyBorder="1" applyAlignment="1">
      <alignment vertical="center"/>
    </xf>
    <xf numFmtId="0" fontId="84" fillId="2" borderId="66" xfId="0" applyFont="1" applyFill="1" applyBorder="1" applyAlignment="1">
      <alignment vertical="center"/>
    </xf>
    <xf numFmtId="0" fontId="71" fillId="2" borderId="25" xfId="0" quotePrefix="1" applyFont="1" applyFill="1" applyBorder="1" applyAlignment="1">
      <alignment horizontal="centerContinuous" vertical="center" wrapText="1"/>
    </xf>
    <xf numFmtId="0" fontId="71" fillId="2" borderId="65" xfId="0" quotePrefix="1" applyFont="1" applyFill="1" applyBorder="1" applyAlignment="1">
      <alignment horizontal="centerContinuous" vertical="center" wrapText="1"/>
    </xf>
    <xf numFmtId="0" fontId="71" fillId="2" borderId="6" xfId="0" quotePrefix="1" applyFont="1" applyFill="1" applyBorder="1" applyAlignment="1">
      <alignment horizontal="centerContinuous" vertical="center" wrapText="1"/>
    </xf>
    <xf numFmtId="0" fontId="84" fillId="2" borderId="93" xfId="0" quotePrefix="1" applyFont="1" applyFill="1" applyBorder="1" applyAlignment="1">
      <alignment horizontal="center" vertical="center" wrapText="1"/>
    </xf>
    <xf numFmtId="0" fontId="84" fillId="2" borderId="14" xfId="0" quotePrefix="1" applyFont="1" applyFill="1" applyBorder="1" applyAlignment="1">
      <alignment horizontal="center" vertical="center" wrapText="1"/>
    </xf>
    <xf numFmtId="0" fontId="84" fillId="2" borderId="28" xfId="0" applyFont="1" applyFill="1" applyBorder="1" applyAlignment="1">
      <alignment horizontal="center" vertical="center" wrapText="1"/>
    </xf>
    <xf numFmtId="3" fontId="71" fillId="0" borderId="130" xfId="0" applyNumberFormat="1" applyFont="1" applyBorder="1"/>
    <xf numFmtId="171" fontId="109" fillId="7" borderId="57" xfId="0" applyNumberFormat="1" applyFont="1" applyFill="1" applyBorder="1"/>
    <xf numFmtId="170" fontId="71" fillId="0" borderId="57" xfId="0" applyNumberFormat="1" applyFont="1" applyBorder="1"/>
    <xf numFmtId="171" fontId="71" fillId="7" borderId="57" xfId="0" applyNumberFormat="1" applyFont="1" applyFill="1" applyBorder="1"/>
    <xf numFmtId="170" fontId="71" fillId="9" borderId="57" xfId="0" applyNumberFormat="1" applyFont="1" applyFill="1" applyBorder="1"/>
    <xf numFmtId="3" fontId="109" fillId="0" borderId="130" xfId="0" applyNumberFormat="1" applyFont="1" applyBorder="1"/>
    <xf numFmtId="171" fontId="170" fillId="7" borderId="57" xfId="0" applyNumberFormat="1" applyFont="1" applyFill="1" applyBorder="1"/>
    <xf numFmtId="3" fontId="109" fillId="0" borderId="56" xfId="0" applyNumberFormat="1" applyFont="1" applyBorder="1"/>
    <xf numFmtId="3" fontId="171" fillId="7" borderId="56" xfId="0" applyNumberFormat="1" applyFont="1" applyFill="1" applyBorder="1"/>
    <xf numFmtId="170" fontId="66" fillId="9" borderId="0" xfId="0" applyNumberFormat="1" applyFont="1" applyFill="1"/>
    <xf numFmtId="170" fontId="170" fillId="7" borderId="57" xfId="0" applyNumberFormat="1" applyFont="1" applyFill="1" applyBorder="1"/>
    <xf numFmtId="184" fontId="71" fillId="0" borderId="57" xfId="0" applyNumberFormat="1" applyFont="1" applyBorder="1"/>
    <xf numFmtId="213" fontId="66" fillId="9" borderId="0" xfId="0" applyNumberFormat="1" applyFont="1" applyFill="1"/>
    <xf numFmtId="199" fontId="66" fillId="9" borderId="0" xfId="0" applyNumberFormat="1" applyFont="1" applyFill="1"/>
    <xf numFmtId="215" fontId="66" fillId="9" borderId="0" xfId="12401" applyNumberFormat="1" applyFont="1" applyFill="1"/>
    <xf numFmtId="214" fontId="66" fillId="9" borderId="0" xfId="0" applyNumberFormat="1" applyFont="1" applyFill="1"/>
    <xf numFmtId="0" fontId="71" fillId="2" borderId="99" xfId="0" applyFont="1" applyFill="1" applyBorder="1" applyAlignment="1">
      <alignment horizontal="center" vertical="center"/>
    </xf>
    <xf numFmtId="0" fontId="84" fillId="2" borderId="94" xfId="0" quotePrefix="1" applyFont="1" applyFill="1" applyBorder="1" applyAlignment="1">
      <alignment horizontal="center" vertical="center" wrapText="1"/>
    </xf>
    <xf numFmtId="0" fontId="84" fillId="2" borderId="91" xfId="0" quotePrefix="1" applyFont="1" applyFill="1" applyBorder="1" applyAlignment="1">
      <alignment horizontal="center" vertical="center" wrapText="1"/>
    </xf>
    <xf numFmtId="0" fontId="84" fillId="2" borderId="28" xfId="0" quotePrefix="1" applyFont="1" applyFill="1" applyBorder="1" applyAlignment="1">
      <alignment horizontal="center" vertical="center" wrapText="1"/>
    </xf>
    <xf numFmtId="0" fontId="84" fillId="7" borderId="0" xfId="0" quotePrefix="1" applyFont="1" applyFill="1" applyAlignment="1">
      <alignment horizontal="center" vertical="center" wrapText="1"/>
    </xf>
    <xf numFmtId="0" fontId="84" fillId="7" borderId="130" xfId="0" quotePrefix="1" applyFont="1" applyFill="1" applyBorder="1" applyAlignment="1">
      <alignment horizontal="center" vertical="center" wrapText="1"/>
    </xf>
    <xf numFmtId="0" fontId="84" fillId="7" borderId="11" xfId="0" quotePrefix="1" applyFont="1" applyFill="1" applyBorder="1" applyAlignment="1">
      <alignment horizontal="center" vertical="center" wrapText="1"/>
    </xf>
    <xf numFmtId="0" fontId="84" fillId="7" borderId="58" xfId="0" quotePrefix="1" applyFont="1" applyFill="1" applyBorder="1" applyAlignment="1">
      <alignment horizontal="center" vertical="center" wrapText="1"/>
    </xf>
    <xf numFmtId="171" fontId="71" fillId="7" borderId="95" xfId="0" applyNumberFormat="1" applyFont="1" applyFill="1" applyBorder="1"/>
    <xf numFmtId="0" fontId="84" fillId="7" borderId="56" xfId="0" quotePrefix="1" applyFont="1" applyFill="1" applyBorder="1" applyAlignment="1">
      <alignment horizontal="center" vertical="center" wrapText="1"/>
    </xf>
    <xf numFmtId="171" fontId="103" fillId="7" borderId="58" xfId="0" applyNumberFormat="1" applyFont="1" applyFill="1" applyBorder="1"/>
    <xf numFmtId="171" fontId="71" fillId="7" borderId="16" xfId="0" applyNumberFormat="1" applyFont="1" applyFill="1" applyBorder="1"/>
    <xf numFmtId="171" fontId="71" fillId="7" borderId="58" xfId="0" applyNumberFormat="1" applyFont="1" applyFill="1" applyBorder="1"/>
    <xf numFmtId="0" fontId="84" fillId="2" borderId="24" xfId="0" quotePrefix="1" applyFont="1" applyFill="1" applyBorder="1" applyAlignment="1">
      <alignment horizontal="center" vertical="center" wrapText="1"/>
    </xf>
    <xf numFmtId="170" fontId="71" fillId="4" borderId="2" xfId="0" applyNumberFormat="1" applyFont="1" applyFill="1" applyBorder="1"/>
    <xf numFmtId="170" fontId="71" fillId="4" borderId="0" xfId="0" applyNumberFormat="1" applyFont="1" applyFill="1"/>
    <xf numFmtId="170" fontId="71" fillId="4" borderId="3" xfId="0" applyNumberFormat="1" applyFont="1" applyFill="1" applyBorder="1"/>
    <xf numFmtId="2" fontId="66" fillId="2" borderId="0" xfId="0" applyNumberFormat="1" applyFont="1" applyFill="1"/>
    <xf numFmtId="0" fontId="71" fillId="2" borderId="0" xfId="0" applyFont="1" applyFill="1" applyAlignment="1">
      <alignment horizontal="centerContinuous" vertical="center" wrapText="1"/>
    </xf>
    <xf numFmtId="0" fontId="71" fillId="2" borderId="19" xfId="0" applyFont="1" applyFill="1" applyBorder="1" applyAlignment="1">
      <alignment horizontal="centerContinuous" vertical="center" wrapText="1"/>
    </xf>
    <xf numFmtId="0" fontId="71" fillId="0" borderId="66" xfId="0" applyFont="1" applyBorder="1" applyAlignment="1">
      <alignment horizontal="centerContinuous" vertical="center" wrapText="1"/>
    </xf>
    <xf numFmtId="170" fontId="71" fillId="0" borderId="85" xfId="0" quotePrefix="1" applyNumberFormat="1" applyFont="1" applyBorder="1" applyAlignment="1">
      <alignment vertical="center" wrapText="1"/>
    </xf>
    <xf numFmtId="170" fontId="71" fillId="0" borderId="0" xfId="0" quotePrefix="1" applyNumberFormat="1" applyFont="1" applyAlignment="1">
      <alignment vertical="center" wrapText="1"/>
    </xf>
    <xf numFmtId="170" fontId="71" fillId="0" borderId="56" xfId="0" quotePrefix="1" applyNumberFormat="1" applyFont="1" applyBorder="1" applyAlignment="1">
      <alignment vertical="center" wrapText="1"/>
    </xf>
    <xf numFmtId="170" fontId="71" fillId="0" borderId="3" xfId="0" quotePrefix="1" applyNumberFormat="1" applyFont="1" applyBorder="1" applyAlignment="1">
      <alignment vertical="center" wrapText="1"/>
    </xf>
    <xf numFmtId="170" fontId="71" fillId="0" borderId="56" xfId="0" applyNumberFormat="1" applyFont="1" applyBorder="1" applyAlignment="1">
      <alignment wrapText="1"/>
    </xf>
    <xf numFmtId="170" fontId="71" fillId="0" borderId="3" xfId="0" applyNumberFormat="1" applyFont="1" applyBorder="1" applyAlignment="1">
      <alignment wrapText="1"/>
    </xf>
    <xf numFmtId="170" fontId="71" fillId="0" borderId="17" xfId="0" applyNumberFormat="1" applyFont="1" applyBorder="1"/>
    <xf numFmtId="0" fontId="84" fillId="2" borderId="5" xfId="0" applyFont="1" applyFill="1" applyBorder="1" applyAlignment="1">
      <alignment horizontal="centerContinuous" vertical="center"/>
    </xf>
    <xf numFmtId="0" fontId="71" fillId="0" borderId="14" xfId="0" applyFont="1" applyBorder="1" applyAlignment="1">
      <alignment horizontal="center" vertical="center" wrapText="1"/>
    </xf>
    <xf numFmtId="0" fontId="71" fillId="0" borderId="82" xfId="0" quotePrefix="1" applyFont="1" applyBorder="1" applyAlignment="1">
      <alignment horizontal="center" vertical="center" wrapText="1"/>
    </xf>
    <xf numFmtId="0" fontId="71" fillId="0" borderId="91" xfId="0" quotePrefix="1" applyFont="1" applyBorder="1" applyAlignment="1">
      <alignment horizontal="center" vertical="center" wrapText="1"/>
    </xf>
    <xf numFmtId="0" fontId="71" fillId="0" borderId="21" xfId="0" quotePrefix="1" applyFont="1" applyBorder="1" applyAlignment="1">
      <alignment horizontal="center" vertical="center" wrapText="1"/>
    </xf>
    <xf numFmtId="0" fontId="71" fillId="0" borderId="20" xfId="0" quotePrefix="1" applyFont="1" applyBorder="1" applyAlignment="1">
      <alignment horizontal="center" vertical="center" wrapText="1"/>
    </xf>
    <xf numFmtId="170" fontId="71" fillId="7" borderId="57" xfId="0" applyNumberFormat="1" applyFont="1" applyFill="1" applyBorder="1"/>
    <xf numFmtId="170" fontId="71" fillId="4" borderId="130" xfId="0" applyNumberFormat="1" applyFont="1" applyFill="1" applyBorder="1"/>
    <xf numFmtId="0" fontId="103" fillId="9" borderId="42" xfId="0" applyFont="1" applyFill="1" applyBorder="1" applyAlignment="1">
      <alignment horizontal="centerContinuous" vertical="center"/>
    </xf>
    <xf numFmtId="0" fontId="84" fillId="2" borderId="8" xfId="0" quotePrefix="1" applyFont="1" applyFill="1" applyBorder="1" applyAlignment="1">
      <alignment horizontal="center" vertical="center" wrapText="1"/>
    </xf>
    <xf numFmtId="0" fontId="84" fillId="2" borderId="5" xfId="13" applyFont="1" applyFill="1" applyBorder="1" applyAlignment="1">
      <alignment horizontal="centerContinuous" vertical="center"/>
    </xf>
    <xf numFmtId="0" fontId="71" fillId="2" borderId="99" xfId="13" applyFont="1" applyFill="1" applyBorder="1" applyAlignment="1">
      <alignment horizontal="center" vertical="center" wrapText="1"/>
    </xf>
    <xf numFmtId="0" fontId="84" fillId="2" borderId="94" xfId="13" applyFont="1" applyFill="1" applyBorder="1" applyAlignment="1">
      <alignment horizontal="center" vertical="center" wrapText="1"/>
    </xf>
    <xf numFmtId="0" fontId="84" fillId="2" borderId="2" xfId="12" applyFont="1" applyFill="1" applyBorder="1" applyAlignment="1">
      <alignment horizontal="centerContinuous" vertical="center"/>
    </xf>
    <xf numFmtId="0" fontId="84" fillId="2" borderId="56" xfId="12" applyFont="1" applyFill="1" applyBorder="1" applyAlignment="1">
      <alignment horizontal="centerContinuous" vertical="center"/>
    </xf>
    <xf numFmtId="0" fontId="84" fillId="2" borderId="0" xfId="12" applyFont="1" applyFill="1" applyAlignment="1">
      <alignment horizontal="centerContinuous" vertical="center"/>
    </xf>
    <xf numFmtId="0" fontId="84" fillId="2" borderId="3" xfId="12" applyFont="1" applyFill="1" applyBorder="1" applyAlignment="1">
      <alignment horizontal="centerContinuous" vertical="center"/>
    </xf>
    <xf numFmtId="0" fontId="66" fillId="2" borderId="2" xfId="12" applyFont="1" applyFill="1" applyBorder="1" applyAlignment="1">
      <alignment vertical="center"/>
    </xf>
    <xf numFmtId="0" fontId="66" fillId="2" borderId="0" xfId="12" applyFont="1" applyFill="1" applyAlignment="1">
      <alignment vertical="center"/>
    </xf>
    <xf numFmtId="0" fontId="84" fillId="2" borderId="6" xfId="12" applyFont="1" applyFill="1" applyBorder="1" applyAlignment="1">
      <alignment horizontal="centerContinuous" vertical="center" wrapText="1"/>
    </xf>
    <xf numFmtId="0" fontId="71" fillId="2" borderId="35" xfId="12" applyFont="1" applyFill="1" applyBorder="1" applyAlignment="1">
      <alignment horizontal="centerContinuous" vertical="center" wrapText="1"/>
    </xf>
    <xf numFmtId="0" fontId="71" fillId="2" borderId="56" xfId="12" applyFont="1" applyFill="1" applyBorder="1" applyAlignment="1">
      <alignment horizontal="centerContinuous" vertical="center" wrapText="1"/>
    </xf>
    <xf numFmtId="0" fontId="71" fillId="2" borderId="3" xfId="12" applyFont="1" applyFill="1" applyBorder="1" applyAlignment="1">
      <alignment horizontal="centerContinuous" vertical="center" wrapText="1"/>
    </xf>
    <xf numFmtId="0" fontId="84" fillId="2" borderId="24" xfId="12" applyFont="1" applyFill="1" applyBorder="1" applyAlignment="1">
      <alignment horizontal="centerContinuous" vertical="center" wrapText="1"/>
    </xf>
    <xf numFmtId="0" fontId="84" fillId="2" borderId="20" xfId="12" applyFont="1" applyFill="1" applyBorder="1" applyAlignment="1">
      <alignment horizontal="centerContinuous" vertical="center" wrapText="1"/>
    </xf>
    <xf numFmtId="0" fontId="84" fillId="2" borderId="82" xfId="12" applyFont="1" applyFill="1" applyBorder="1" applyAlignment="1">
      <alignment horizontal="centerContinuous" vertical="center" wrapText="1"/>
    </xf>
    <xf numFmtId="0" fontId="84" fillId="2" borderId="22" xfId="12" applyFont="1" applyFill="1" applyBorder="1" applyAlignment="1">
      <alignment horizontal="centerContinuous" vertical="center" wrapText="1"/>
    </xf>
    <xf numFmtId="0" fontId="66" fillId="2" borderId="2" xfId="12" applyFont="1" applyFill="1" applyBorder="1" applyAlignment="1">
      <alignment vertical="center" wrapText="1"/>
    </xf>
    <xf numFmtId="2" fontId="71" fillId="0" borderId="3" xfId="12" applyNumberFormat="1" applyFont="1" applyBorder="1" applyAlignment="1">
      <alignment horizontal="center"/>
    </xf>
    <xf numFmtId="10" fontId="66" fillId="2" borderId="2" xfId="12401" applyNumberFormat="1" applyFont="1" applyFill="1" applyBorder="1"/>
    <xf numFmtId="0" fontId="66" fillId="2" borderId="0" xfId="12" applyFont="1" applyFill="1"/>
    <xf numFmtId="2" fontId="66" fillId="2" borderId="0" xfId="12" applyNumberFormat="1" applyFont="1" applyFill="1"/>
    <xf numFmtId="209" fontId="66" fillId="2" borderId="0" xfId="12" applyNumberFormat="1" applyFont="1" applyFill="1"/>
    <xf numFmtId="176" fontId="71" fillId="2" borderId="7" xfId="0" applyNumberFormat="1" applyFont="1" applyFill="1" applyBorder="1" applyAlignment="1">
      <alignment horizontal="center" vertical="center" wrapText="1"/>
    </xf>
    <xf numFmtId="0" fontId="84" fillId="2" borderId="0" xfId="0" applyFont="1" applyFill="1" applyAlignment="1">
      <alignment horizontal="center"/>
    </xf>
    <xf numFmtId="0" fontId="84" fillId="2" borderId="0" xfId="0" applyFont="1" applyFill="1" applyAlignment="1">
      <alignment horizontal="center" vertical="center" wrapText="1"/>
    </xf>
    <xf numFmtId="170" fontId="109" fillId="0" borderId="58" xfId="0" applyNumberFormat="1" applyFont="1" applyBorder="1"/>
    <xf numFmtId="170" fontId="66" fillId="2" borderId="2" xfId="0" applyNumberFormat="1" applyFont="1" applyFill="1" applyBorder="1"/>
    <xf numFmtId="0" fontId="84" fillId="9" borderId="7" xfId="0" applyFont="1" applyFill="1" applyBorder="1" applyAlignment="1">
      <alignment horizontal="centerContinuous" vertical="center" wrapText="1"/>
    </xf>
    <xf numFmtId="0" fontId="71" fillId="2" borderId="2" xfId="0" applyFont="1" applyFill="1" applyBorder="1"/>
    <xf numFmtId="0" fontId="71" fillId="2" borderId="3" xfId="0" applyFont="1" applyFill="1" applyBorder="1" applyAlignment="1">
      <alignment horizontal="centerContinuous" vertical="center" wrapText="1"/>
    </xf>
    <xf numFmtId="0" fontId="84" fillId="2" borderId="30" xfId="0" applyFont="1" applyFill="1" applyBorder="1" applyAlignment="1">
      <alignment horizontal="centerContinuous" vertical="center" wrapText="1"/>
    </xf>
    <xf numFmtId="0" fontId="71" fillId="2" borderId="30" xfId="0" applyFont="1" applyFill="1" applyBorder="1" applyAlignment="1">
      <alignment horizontal="centerContinuous" vertical="center" wrapText="1"/>
    </xf>
    <xf numFmtId="170" fontId="109" fillId="4" borderId="58" xfId="0" applyNumberFormat="1" applyFont="1" applyFill="1" applyBorder="1"/>
    <xf numFmtId="170" fontId="103" fillId="3" borderId="58" xfId="0" applyNumberFormat="1" applyFont="1" applyFill="1" applyBorder="1"/>
    <xf numFmtId="0" fontId="71" fillId="2" borderId="6" xfId="0" applyFont="1" applyFill="1" applyBorder="1" applyAlignment="1">
      <alignment horizontal="centerContinuous" vertical="center"/>
    </xf>
    <xf numFmtId="0" fontId="71" fillId="2" borderId="7" xfId="0" applyFont="1" applyFill="1" applyBorder="1" applyAlignment="1">
      <alignment horizontal="centerContinuous" vertical="center"/>
    </xf>
    <xf numFmtId="0" fontId="71" fillId="2" borderId="83" xfId="0" applyFont="1" applyFill="1" applyBorder="1"/>
    <xf numFmtId="10" fontId="71" fillId="2" borderId="83" xfId="12401" applyNumberFormat="1" applyFont="1" applyFill="1" applyBorder="1" applyAlignment="1">
      <alignment horizontal="center" vertical="center"/>
    </xf>
    <xf numFmtId="10" fontId="71" fillId="2" borderId="6" xfId="12401" applyNumberFormat="1" applyFont="1" applyFill="1" applyBorder="1" applyAlignment="1">
      <alignment horizontal="center" vertical="center"/>
    </xf>
    <xf numFmtId="10" fontId="71" fillId="2" borderId="65" xfId="12401" applyNumberFormat="1" applyFont="1" applyFill="1" applyBorder="1" applyAlignment="1">
      <alignment horizontal="center" vertical="center"/>
    </xf>
    <xf numFmtId="0" fontId="71" fillId="2" borderId="83" xfId="0" quotePrefix="1" applyFont="1" applyFill="1" applyBorder="1" applyAlignment="1">
      <alignment horizontal="center" vertical="center" wrapText="1"/>
    </xf>
    <xf numFmtId="0" fontId="84" fillId="2" borderId="88" xfId="0" quotePrefix="1" applyFont="1" applyFill="1" applyBorder="1" applyAlignment="1">
      <alignment horizontal="center" vertical="center"/>
    </xf>
    <xf numFmtId="0" fontId="84" fillId="2" borderId="84" xfId="0" applyFont="1" applyFill="1" applyBorder="1" applyAlignment="1">
      <alignment horizontal="center" vertical="center" wrapText="1"/>
    </xf>
    <xf numFmtId="0" fontId="71" fillId="2" borderId="91" xfId="0" applyFont="1" applyFill="1" applyBorder="1"/>
    <xf numFmtId="177" fontId="112" fillId="4" borderId="130" xfId="0" applyNumberFormat="1" applyFont="1" applyFill="1" applyBorder="1"/>
    <xf numFmtId="177" fontId="71" fillId="4" borderId="87" xfId="0" applyNumberFormat="1" applyFont="1" applyFill="1" applyBorder="1"/>
    <xf numFmtId="177" fontId="71" fillId="4" borderId="0" xfId="0" applyNumberFormat="1" applyFont="1" applyFill="1"/>
    <xf numFmtId="177" fontId="71" fillId="4" borderId="130" xfId="0" applyNumberFormat="1" applyFont="1" applyFill="1" applyBorder="1"/>
    <xf numFmtId="0" fontId="71" fillId="4" borderId="58" xfId="0" applyFont="1" applyFill="1" applyBorder="1"/>
    <xf numFmtId="177" fontId="71" fillId="7" borderId="87" xfId="0" applyNumberFormat="1" applyFont="1" applyFill="1" applyBorder="1"/>
    <xf numFmtId="177" fontId="71" fillId="7" borderId="0" xfId="0" applyNumberFormat="1" applyFont="1" applyFill="1"/>
    <xf numFmtId="177" fontId="71" fillId="7" borderId="130" xfId="0" applyNumberFormat="1" applyFont="1" applyFill="1" applyBorder="1"/>
    <xf numFmtId="10" fontId="71" fillId="4" borderId="130" xfId="13" applyNumberFormat="1" applyFont="1" applyFill="1" applyBorder="1"/>
    <xf numFmtId="4" fontId="124" fillId="3" borderId="130" xfId="13" applyNumberFormat="1" applyFont="1" applyFill="1" applyBorder="1"/>
    <xf numFmtId="179" fontId="71" fillId="10" borderId="130" xfId="12401" applyNumberFormat="1" applyFont="1" applyFill="1" applyBorder="1"/>
    <xf numFmtId="179" fontId="124" fillId="6" borderId="130" xfId="12401" applyNumberFormat="1" applyFont="1" applyFill="1" applyBorder="1"/>
    <xf numFmtId="0" fontId="84" fillId="2" borderId="2" xfId="13" quotePrefix="1" applyFont="1" applyFill="1" applyBorder="1" applyAlignment="1">
      <alignment horizontal="centerContinuous" vertical="center" wrapText="1"/>
    </xf>
    <xf numFmtId="0" fontId="84" fillId="2" borderId="29" xfId="13" quotePrefix="1" applyFont="1" applyFill="1" applyBorder="1" applyAlignment="1">
      <alignment horizontal="centerContinuous" vertical="center" wrapText="1"/>
    </xf>
    <xf numFmtId="0" fontId="84" fillId="2" borderId="5" xfId="13" applyFont="1" applyFill="1" applyBorder="1" applyAlignment="1">
      <alignment horizontal="center" vertical="center" wrapText="1"/>
    </xf>
    <xf numFmtId="0" fontId="71" fillId="2" borderId="5" xfId="13" applyFont="1" applyFill="1" applyBorder="1" applyAlignment="1">
      <alignment horizontal="centerContinuous" vertical="center" wrapText="1"/>
    </xf>
    <xf numFmtId="0" fontId="71" fillId="0" borderId="5" xfId="13" applyFont="1" applyBorder="1" applyAlignment="1">
      <alignment horizontal="center" vertical="center" wrapText="1"/>
    </xf>
    <xf numFmtId="0" fontId="84" fillId="2" borderId="14" xfId="13" quotePrefix="1" applyFont="1" applyFill="1" applyBorder="1" applyAlignment="1">
      <alignment horizontal="center" vertical="center" wrapText="1"/>
    </xf>
    <xf numFmtId="0" fontId="84" fillId="2" borderId="81" xfId="13" quotePrefix="1" applyFont="1" applyFill="1" applyBorder="1" applyAlignment="1">
      <alignment horizontal="center" vertical="center" wrapText="1"/>
    </xf>
    <xf numFmtId="2" fontId="71" fillId="0" borderId="0" xfId="13" applyNumberFormat="1" applyFont="1" applyAlignment="1">
      <alignment horizontal="center"/>
    </xf>
    <xf numFmtId="10" fontId="71" fillId="4" borderId="11" xfId="13" applyNumberFormat="1" applyFont="1" applyFill="1" applyBorder="1"/>
    <xf numFmtId="10" fontId="71" fillId="4" borderId="92" xfId="13" applyNumberFormat="1" applyFont="1" applyFill="1" applyBorder="1"/>
    <xf numFmtId="172" fontId="71" fillId="0" borderId="17" xfId="13" applyNumberFormat="1" applyFont="1" applyBorder="1"/>
    <xf numFmtId="10" fontId="71" fillId="0" borderId="56" xfId="13" applyNumberFormat="1" applyFont="1" applyBorder="1"/>
    <xf numFmtId="0" fontId="71" fillId="2" borderId="0" xfId="0" applyFont="1" applyFill="1" applyAlignment="1">
      <alignment horizontal="centerContinuous" vertical="center"/>
    </xf>
    <xf numFmtId="0" fontId="71" fillId="2" borderId="56" xfId="0" applyFont="1" applyFill="1" applyBorder="1" applyAlignment="1">
      <alignment horizontal="centerContinuous" vertical="center"/>
    </xf>
    <xf numFmtId="0" fontId="71" fillId="2" borderId="3" xfId="0" applyFont="1" applyFill="1" applyBorder="1" applyAlignment="1">
      <alignment horizontal="centerContinuous" vertical="center"/>
    </xf>
    <xf numFmtId="0" fontId="71" fillId="2" borderId="23" xfId="0" applyFont="1" applyFill="1" applyBorder="1" applyAlignment="1">
      <alignment vertical="center"/>
    </xf>
    <xf numFmtId="0" fontId="71" fillId="2" borderId="13" xfId="0" applyFont="1" applyFill="1" applyBorder="1" applyAlignment="1">
      <alignment horizontal="centerContinuous" vertical="center"/>
    </xf>
    <xf numFmtId="0" fontId="84" fillId="2" borderId="91"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81" xfId="0" quotePrefix="1" applyFont="1" applyFill="1" applyBorder="1" applyAlignment="1">
      <alignment horizontal="center" vertical="center"/>
    </xf>
    <xf numFmtId="177" fontId="71" fillId="4" borderId="56" xfId="0" applyNumberFormat="1" applyFont="1" applyFill="1" applyBorder="1"/>
    <xf numFmtId="177" fontId="71" fillId="4" borderId="92" xfId="0" applyNumberFormat="1" applyFont="1" applyFill="1" applyBorder="1"/>
    <xf numFmtId="179" fontId="161" fillId="6" borderId="130" xfId="0" applyNumberFormat="1" applyFont="1" applyFill="1" applyBorder="1"/>
    <xf numFmtId="175" fontId="71" fillId="0" borderId="56" xfId="0" applyNumberFormat="1" applyFont="1" applyBorder="1" applyAlignment="1">
      <alignment horizontal="right"/>
    </xf>
    <xf numFmtId="181" fontId="71" fillId="0" borderId="2" xfId="0" applyNumberFormat="1" applyFont="1" applyBorder="1"/>
    <xf numFmtId="175" fontId="71" fillId="0" borderId="56" xfId="0" applyNumberFormat="1" applyFont="1" applyBorder="1" applyAlignment="1">
      <alignment horizontal="center"/>
    </xf>
    <xf numFmtId="0" fontId="84" fillId="2" borderId="23" xfId="12" applyFont="1" applyFill="1" applyBorder="1" applyAlignment="1">
      <alignment horizontal="centerContinuous" vertical="center"/>
    </xf>
    <xf numFmtId="0" fontId="84" fillId="2" borderId="2" xfId="12" quotePrefix="1" applyFont="1" applyFill="1" applyBorder="1" applyAlignment="1">
      <alignment horizontal="centerContinuous" vertical="center" wrapText="1"/>
    </xf>
    <xf numFmtId="0" fontId="84" fillId="2" borderId="0" xfId="12" quotePrefix="1" applyFont="1" applyFill="1" applyAlignment="1">
      <alignment horizontal="centerContinuous" vertical="center" wrapText="1"/>
    </xf>
    <xf numFmtId="0" fontId="84" fillId="2" borderId="0" xfId="12" applyFont="1" applyFill="1" applyAlignment="1">
      <alignment horizontal="centerContinuous" vertical="center" wrapText="1"/>
    </xf>
    <xf numFmtId="0" fontId="84" fillId="2" borderId="3" xfId="12" applyFont="1" applyFill="1" applyBorder="1" applyAlignment="1">
      <alignment horizontal="centerContinuous" vertical="center" wrapText="1"/>
    </xf>
    <xf numFmtId="0" fontId="71" fillId="2" borderId="66" xfId="12" quotePrefix="1" applyFont="1" applyFill="1" applyBorder="1" applyAlignment="1">
      <alignment horizontal="center" vertical="center" wrapText="1"/>
    </xf>
    <xf numFmtId="0" fontId="71" fillId="2" borderId="6" xfId="12" quotePrefix="1" applyFont="1" applyFill="1" applyBorder="1" applyAlignment="1">
      <alignment horizontal="center" vertical="center" wrapText="1"/>
    </xf>
    <xf numFmtId="0" fontId="71" fillId="2" borderId="65" xfId="12" quotePrefix="1" applyFont="1" applyFill="1" applyBorder="1" applyAlignment="1">
      <alignment horizontal="center" vertical="center" wrapText="1"/>
    </xf>
    <xf numFmtId="0" fontId="71" fillId="2" borderId="6" xfId="12" applyFont="1" applyFill="1" applyBorder="1" applyAlignment="1">
      <alignment horizontal="center" vertical="center" wrapText="1"/>
    </xf>
    <xf numFmtId="0" fontId="71" fillId="2" borderId="32" xfId="12" applyFont="1" applyFill="1" applyBorder="1" applyAlignment="1">
      <alignment horizontal="center" vertical="center" wrapText="1"/>
    </xf>
    <xf numFmtId="0" fontId="71" fillId="2" borderId="13" xfId="12" applyFont="1" applyFill="1" applyBorder="1" applyAlignment="1">
      <alignment horizontal="centerContinuous" vertical="center" wrapText="1"/>
    </xf>
    <xf numFmtId="198" fontId="71" fillId="0" borderId="61" xfId="14" applyNumberFormat="1" applyFont="1" applyBorder="1"/>
    <xf numFmtId="0" fontId="84" fillId="2" borderId="18" xfId="12" applyFont="1" applyFill="1" applyBorder="1" applyAlignment="1">
      <alignment horizontal="centerContinuous" vertical="center"/>
    </xf>
    <xf numFmtId="0" fontId="71" fillId="2" borderId="6" xfId="12" quotePrefix="1" applyFont="1" applyFill="1" applyBorder="1" applyAlignment="1">
      <alignment horizontal="centerContinuous" vertical="center" wrapText="1"/>
    </xf>
    <xf numFmtId="0" fontId="71" fillId="2" borderId="7" xfId="12" applyFont="1" applyFill="1" applyBorder="1" applyAlignment="1">
      <alignment horizontal="centerContinuous" vertical="center" wrapText="1"/>
    </xf>
    <xf numFmtId="2" fontId="71" fillId="0" borderId="0" xfId="12" applyNumberFormat="1" applyFont="1" applyAlignment="1">
      <alignment horizontal="center"/>
    </xf>
    <xf numFmtId="3" fontId="71" fillId="4" borderId="0" xfId="14" applyNumberFormat="1" applyFont="1" applyFill="1"/>
    <xf numFmtId="3" fontId="71" fillId="0" borderId="2" xfId="14" applyNumberFormat="1" applyFont="1" applyBorder="1"/>
    <xf numFmtId="3" fontId="71" fillId="0" borderId="56" xfId="14" applyNumberFormat="1" applyFont="1" applyBorder="1"/>
    <xf numFmtId="184" fontId="71" fillId="0" borderId="130" xfId="14" applyNumberFormat="1" applyFont="1" applyBorder="1"/>
    <xf numFmtId="184" fontId="71" fillId="0" borderId="0" xfId="14" applyNumberFormat="1" applyFont="1"/>
    <xf numFmtId="0" fontId="66" fillId="2" borderId="56" xfId="12" applyFont="1" applyFill="1" applyBorder="1" applyAlignment="1">
      <alignment vertical="center"/>
    </xf>
    <xf numFmtId="0" fontId="71" fillId="2" borderId="56" xfId="12" applyFont="1" applyFill="1" applyBorder="1" applyAlignment="1">
      <alignment horizontal="center" vertical="center"/>
    </xf>
    <xf numFmtId="2" fontId="71" fillId="0" borderId="9" xfId="12" applyNumberFormat="1" applyFont="1" applyBorder="1" applyAlignment="1">
      <alignment horizontal="center"/>
    </xf>
    <xf numFmtId="0" fontId="66" fillId="4" borderId="56" xfId="12" applyFont="1" applyFill="1" applyBorder="1" applyAlignment="1">
      <alignment vertical="center" wrapText="1"/>
    </xf>
    <xf numFmtId="0" fontId="66" fillId="4" borderId="0" xfId="12" applyFont="1" applyFill="1" applyAlignment="1">
      <alignment vertical="center" wrapText="1"/>
    </xf>
    <xf numFmtId="4" fontId="71" fillId="0" borderId="2" xfId="14" applyNumberFormat="1" applyFont="1" applyBorder="1"/>
    <xf numFmtId="4" fontId="71" fillId="0" borderId="16" xfId="14" applyNumberFormat="1" applyFont="1" applyBorder="1"/>
    <xf numFmtId="4" fontId="71" fillId="0" borderId="56" xfId="14" applyNumberFormat="1" applyFont="1" applyBorder="1"/>
    <xf numFmtId="0" fontId="66" fillId="4" borderId="56" xfId="12" applyFont="1" applyFill="1" applyBorder="1"/>
    <xf numFmtId="4" fontId="103" fillId="3" borderId="56" xfId="14" applyNumberFormat="1" applyFont="1" applyFill="1" applyBorder="1"/>
    <xf numFmtId="4" fontId="71" fillId="0" borderId="57" xfId="14" applyNumberFormat="1" applyFont="1" applyBorder="1"/>
    <xf numFmtId="0" fontId="84" fillId="2" borderId="35" xfId="12" applyFont="1" applyFill="1" applyBorder="1" applyAlignment="1">
      <alignment horizontal="centerContinuous" vertical="center"/>
    </xf>
    <xf numFmtId="0" fontId="84" fillId="2" borderId="19" xfId="12" applyFont="1" applyFill="1" applyBorder="1" applyAlignment="1">
      <alignment horizontal="centerContinuous" vertical="center"/>
    </xf>
    <xf numFmtId="0" fontId="71" fillId="2" borderId="99" xfId="13" applyFont="1" applyFill="1" applyBorder="1" applyAlignment="1">
      <alignment horizontal="centerContinuous" vertical="center" wrapText="1"/>
    </xf>
    <xf numFmtId="0" fontId="71" fillId="2" borderId="66" xfId="13" applyFont="1" applyFill="1" applyBorder="1" applyAlignment="1">
      <alignment horizontal="centerContinuous" vertical="center" wrapText="1"/>
    </xf>
    <xf numFmtId="0" fontId="71" fillId="2" borderId="99" xfId="12" applyFont="1" applyFill="1" applyBorder="1" applyAlignment="1">
      <alignment horizontal="centerContinuous" vertical="center" wrapText="1"/>
    </xf>
    <xf numFmtId="0" fontId="71" fillId="2" borderId="66" xfId="12" applyFont="1" applyFill="1" applyBorder="1" applyAlignment="1">
      <alignment horizontal="centerContinuous" vertical="center" wrapText="1"/>
    </xf>
    <xf numFmtId="0" fontId="84" fillId="2" borderId="94" xfId="12" applyFont="1" applyFill="1" applyBorder="1" applyAlignment="1">
      <alignment horizontal="center" vertical="center" wrapText="1"/>
    </xf>
    <xf numFmtId="0" fontId="84" fillId="2" borderId="27" xfId="12" applyFont="1" applyFill="1" applyBorder="1" applyAlignment="1">
      <alignment horizontal="center" vertical="center" wrapText="1"/>
    </xf>
    <xf numFmtId="0" fontId="84" fillId="2" borderId="22" xfId="12" applyFont="1" applyFill="1" applyBorder="1" applyAlignment="1">
      <alignment horizontal="center" vertical="center" wrapText="1"/>
    </xf>
    <xf numFmtId="0" fontId="84" fillId="4" borderId="95" xfId="12" applyFont="1" applyFill="1" applyBorder="1" applyAlignment="1">
      <alignment horizontal="center" vertical="center" wrapText="1"/>
    </xf>
    <xf numFmtId="0" fontId="84" fillId="4" borderId="0" xfId="12" applyFont="1" applyFill="1" applyAlignment="1">
      <alignment horizontal="centerContinuous" vertical="center" wrapText="1"/>
    </xf>
    <xf numFmtId="0" fontId="84" fillId="4" borderId="85" xfId="12" applyFont="1" applyFill="1" applyBorder="1" applyAlignment="1">
      <alignment horizontal="center" vertical="center" wrapText="1"/>
    </xf>
    <xf numFmtId="0" fontId="84" fillId="4" borderId="16" xfId="12" applyFont="1" applyFill="1" applyBorder="1" applyAlignment="1">
      <alignment horizontal="centerContinuous" vertical="center" wrapText="1"/>
    </xf>
    <xf numFmtId="0" fontId="84" fillId="4" borderId="3" xfId="12" applyFont="1" applyFill="1" applyBorder="1" applyAlignment="1">
      <alignment horizontal="centerContinuous" vertical="center" wrapText="1"/>
    </xf>
    <xf numFmtId="173" fontId="71" fillId="4" borderId="87" xfId="14" applyNumberFormat="1" applyFont="1" applyFill="1" applyBorder="1"/>
    <xf numFmtId="173" fontId="71" fillId="4" borderId="85" xfId="14" applyNumberFormat="1" applyFont="1" applyFill="1" applyBorder="1"/>
    <xf numFmtId="0" fontId="71" fillId="2" borderId="7" xfId="0" applyFont="1" applyFill="1" applyBorder="1" applyAlignment="1">
      <alignment horizontal="center" vertical="center"/>
    </xf>
    <xf numFmtId="170" fontId="71" fillId="7" borderId="56" xfId="0" applyNumberFormat="1" applyFont="1" applyFill="1" applyBorder="1"/>
    <xf numFmtId="2" fontId="71" fillId="0" borderId="0" xfId="0" quotePrefix="1" applyNumberFormat="1" applyFont="1" applyAlignment="1">
      <alignment horizontal="center"/>
    </xf>
    <xf numFmtId="4" fontId="172" fillId="0" borderId="87" xfId="0" applyNumberFormat="1" applyFont="1" applyBorder="1" applyAlignment="1">
      <alignment horizontal="right" vertical="center" wrapText="1"/>
    </xf>
    <xf numFmtId="4" fontId="177" fillId="6" borderId="87" xfId="0" applyNumberFormat="1" applyFont="1" applyFill="1" applyBorder="1" applyAlignment="1">
      <alignment horizontal="right" vertical="center" wrapText="1"/>
    </xf>
    <xf numFmtId="4" fontId="177" fillId="6" borderId="0" xfId="0" applyNumberFormat="1" applyFont="1" applyFill="1" applyAlignment="1">
      <alignment horizontal="right" vertical="center" wrapText="1"/>
    </xf>
    <xf numFmtId="4" fontId="177" fillId="6" borderId="130" xfId="0" applyNumberFormat="1" applyFont="1" applyFill="1" applyBorder="1" applyAlignment="1">
      <alignment horizontal="right" vertical="center" wrapText="1"/>
    </xf>
    <xf numFmtId="4" fontId="173" fillId="0" borderId="87" xfId="0" applyNumberFormat="1" applyFont="1" applyBorder="1" applyAlignment="1">
      <alignment horizontal="right" vertical="center" wrapText="1"/>
    </xf>
    <xf numFmtId="4" fontId="173" fillId="0" borderId="0" xfId="0" applyNumberFormat="1" applyFont="1" applyAlignment="1">
      <alignment horizontal="right" vertical="center" wrapText="1"/>
    </xf>
    <xf numFmtId="4" fontId="173" fillId="0" borderId="130" xfId="0" applyNumberFormat="1" applyFont="1" applyBorder="1" applyAlignment="1">
      <alignment horizontal="right" vertical="center" wrapText="1"/>
    </xf>
    <xf numFmtId="4" fontId="172" fillId="0" borderId="95" xfId="0" applyNumberFormat="1" applyFont="1" applyBorder="1" applyAlignment="1">
      <alignment horizontal="right" vertical="center" wrapText="1"/>
    </xf>
    <xf numFmtId="4" fontId="172" fillId="0" borderId="0" xfId="0" applyNumberFormat="1" applyFont="1" applyAlignment="1">
      <alignment horizontal="right" vertical="center" wrapText="1"/>
    </xf>
    <xf numFmtId="4" fontId="172" fillId="0" borderId="130" xfId="0" applyNumberFormat="1" applyFont="1" applyBorder="1" applyAlignment="1">
      <alignment horizontal="right" vertical="center" wrapText="1"/>
    </xf>
    <xf numFmtId="4" fontId="71" fillId="0" borderId="0" xfId="0" applyNumberFormat="1" applyFont="1"/>
    <xf numFmtId="4" fontId="71" fillId="0" borderId="130" xfId="0" applyNumberFormat="1" applyFont="1" applyBorder="1"/>
    <xf numFmtId="4" fontId="172" fillId="0" borderId="85" xfId="0" applyNumberFormat="1" applyFont="1" applyBorder="1" applyAlignment="1">
      <alignment horizontal="right" vertical="center" wrapText="1"/>
    </xf>
    <xf numFmtId="4" fontId="71" fillId="0" borderId="85" xfId="0" applyNumberFormat="1" applyFont="1" applyBorder="1"/>
    <xf numFmtId="4" fontId="71" fillId="0" borderId="87" xfId="0" applyNumberFormat="1" applyFont="1" applyBorder="1"/>
    <xf numFmtId="172" fontId="66" fillId="2" borderId="0" xfId="0" applyNumberFormat="1" applyFont="1" applyFill="1"/>
    <xf numFmtId="170" fontId="71" fillId="0" borderId="0" xfId="0" applyNumberFormat="1" applyFont="1" applyAlignment="1">
      <alignment vertical="center" wrapText="1"/>
    </xf>
    <xf numFmtId="10" fontId="124" fillId="2" borderId="21" xfId="0" applyNumberFormat="1" applyFont="1" applyFill="1" applyBorder="1" applyAlignment="1">
      <alignment horizontal="center"/>
    </xf>
    <xf numFmtId="170" fontId="232" fillId="0" borderId="57" xfId="0" applyNumberFormat="1" applyFont="1" applyBorder="1"/>
    <xf numFmtId="2" fontId="109" fillId="0" borderId="3" xfId="0" applyNumberFormat="1" applyFont="1" applyBorder="1" applyAlignment="1">
      <alignment horizontal="center"/>
    </xf>
    <xf numFmtId="171" fontId="232" fillId="0" borderId="0" xfId="0" applyNumberFormat="1" applyFont="1"/>
    <xf numFmtId="0" fontId="71" fillId="2" borderId="18" xfId="16" applyFont="1" applyFill="1" applyBorder="1"/>
    <xf numFmtId="1" fontId="71" fillId="0" borderId="83" xfId="16" applyNumberFormat="1" applyFont="1" applyBorder="1" applyAlignment="1">
      <alignment horizontal="centerContinuous" vertical="center" wrapText="1"/>
    </xf>
    <xf numFmtId="1" fontId="84" fillId="2" borderId="7" xfId="16" applyNumberFormat="1" applyFont="1" applyFill="1" applyBorder="1" applyAlignment="1">
      <alignment horizontal="centerContinuous" vertical="center" wrapText="1"/>
    </xf>
    <xf numFmtId="170" fontId="71" fillId="0" borderId="17" xfId="16" applyNumberFormat="1" applyFont="1" applyBorder="1"/>
    <xf numFmtId="3" fontId="94" fillId="9" borderId="0" xfId="12401" applyNumberFormat="1" applyFont="1" applyFill="1" applyAlignment="1">
      <alignment horizontal="center"/>
    </xf>
    <xf numFmtId="9" fontId="66" fillId="9" borderId="0" xfId="12401" applyFont="1" applyFill="1"/>
    <xf numFmtId="217" fontId="66" fillId="2" borderId="0" xfId="12" applyNumberFormat="1" applyFont="1" applyFill="1"/>
    <xf numFmtId="171" fontId="161" fillId="7" borderId="101" xfId="0" applyNumberFormat="1" applyFont="1" applyFill="1" applyBorder="1"/>
    <xf numFmtId="171" fontId="161" fillId="3" borderId="139" xfId="0" applyNumberFormat="1" applyFont="1" applyFill="1" applyBorder="1"/>
    <xf numFmtId="170" fontId="161" fillId="3" borderId="79" xfId="0" applyNumberFormat="1" applyFont="1" applyFill="1" applyBorder="1"/>
    <xf numFmtId="170" fontId="132" fillId="0" borderId="85" xfId="0" applyNumberFormat="1" applyFont="1" applyBorder="1"/>
    <xf numFmtId="43" fontId="0" fillId="2" borderId="0" xfId="24490" applyFont="1" applyFill="1"/>
    <xf numFmtId="10" fontId="124" fillId="2" borderId="28" xfId="0" applyNumberFormat="1" applyFont="1" applyFill="1" applyBorder="1" applyAlignment="1">
      <alignment horizontal="center"/>
    </xf>
    <xf numFmtId="0" fontId="71" fillId="0" borderId="5" xfId="13" quotePrefix="1" applyFont="1" applyBorder="1" applyAlignment="1">
      <alignment horizontal="center" vertical="center" wrapText="1"/>
    </xf>
    <xf numFmtId="0" fontId="240" fillId="2" borderId="6" xfId="12400" applyFont="1" applyFill="1" applyBorder="1" applyAlignment="1">
      <alignment horizontal="centerContinuous" vertical="center" wrapText="1"/>
    </xf>
    <xf numFmtId="0" fontId="240" fillId="2" borderId="25" xfId="12400" applyFont="1" applyFill="1" applyBorder="1" applyAlignment="1">
      <alignment horizontal="centerContinuous" vertical="center" wrapText="1"/>
    </xf>
    <xf numFmtId="0" fontId="240" fillId="2" borderId="7" xfId="12400" applyFont="1" applyFill="1" applyBorder="1" applyAlignment="1">
      <alignment horizontal="centerContinuous" vertical="center" wrapText="1"/>
    </xf>
    <xf numFmtId="0" fontId="71" fillId="2" borderId="24" xfId="12400" applyFont="1" applyFill="1" applyBorder="1" applyAlignment="1">
      <alignment horizontal="center" vertical="center" wrapText="1"/>
    </xf>
    <xf numFmtId="0" fontId="71" fillId="2" borderId="82" xfId="12400" applyFont="1" applyFill="1" applyBorder="1" applyAlignment="1">
      <alignment horizontal="center" vertical="center" wrapText="1"/>
    </xf>
    <xf numFmtId="0" fontId="71" fillId="2" borderId="21" xfId="12400" applyFont="1" applyFill="1" applyBorder="1" applyAlignment="1">
      <alignment horizontal="center" vertical="center" wrapText="1"/>
    </xf>
    <xf numFmtId="0" fontId="71" fillId="2" borderId="20" xfId="12400" applyFont="1" applyFill="1" applyBorder="1" applyAlignment="1">
      <alignment horizontal="center" vertical="center" wrapText="1"/>
    </xf>
    <xf numFmtId="0" fontId="71" fillId="2" borderId="22" xfId="12400" applyFont="1" applyFill="1" applyBorder="1" applyAlignment="1">
      <alignment horizontal="center" vertical="center" wrapText="1"/>
    </xf>
    <xf numFmtId="0" fontId="71" fillId="2" borderId="5" xfId="12400" applyFont="1" applyFill="1" applyBorder="1" applyAlignment="1">
      <alignment horizontal="centerContinuous" vertical="center"/>
    </xf>
    <xf numFmtId="1" fontId="71" fillId="0" borderId="3" xfId="0" applyNumberFormat="1" applyFont="1" applyBorder="1" applyAlignment="1">
      <alignment horizontal="center"/>
    </xf>
    <xf numFmtId="1" fontId="71" fillId="68" borderId="3" xfId="0" applyNumberFormat="1" applyFont="1" applyFill="1" applyBorder="1" applyAlignment="1">
      <alignment horizontal="center"/>
    </xf>
    <xf numFmtId="0" fontId="71" fillId="0" borderId="7" xfId="0" applyFont="1" applyBorder="1" applyAlignment="1">
      <alignment horizontal="centerContinuous" vertical="center"/>
    </xf>
    <xf numFmtId="175" fontId="232" fillId="0" borderId="2" xfId="0" applyNumberFormat="1" applyFont="1" applyBorder="1"/>
    <xf numFmtId="0" fontId="71" fillId="2" borderId="0" xfId="0" applyFont="1" applyFill="1" applyAlignment="1">
      <alignment horizontal="center" vertical="center" wrapText="1"/>
    </xf>
    <xf numFmtId="0" fontId="84" fillId="2" borderId="66" xfId="0" applyFont="1" applyFill="1" applyBorder="1" applyAlignment="1">
      <alignment horizontal="centerContinuous" vertical="center"/>
    </xf>
    <xf numFmtId="0" fontId="71" fillId="2" borderId="25" xfId="0" applyFont="1" applyFill="1" applyBorder="1" applyAlignment="1">
      <alignment horizontal="centerContinuous" vertical="center"/>
    </xf>
    <xf numFmtId="0" fontId="120" fillId="2" borderId="88" xfId="0" applyFont="1" applyFill="1" applyBorder="1" applyAlignment="1">
      <alignment horizontal="center" vertical="center" wrapText="1"/>
    </xf>
    <xf numFmtId="0" fontId="120" fillId="2" borderId="82" xfId="0" quotePrefix="1" applyFont="1" applyFill="1" applyBorder="1" applyAlignment="1">
      <alignment horizontal="center" vertical="center" wrapText="1"/>
    </xf>
    <xf numFmtId="0" fontId="120" fillId="2" borderId="84" xfId="0" applyFont="1" applyFill="1" applyBorder="1" applyAlignment="1">
      <alignment horizontal="center" vertical="center" wrapText="1"/>
    </xf>
    <xf numFmtId="0" fontId="120" fillId="2" borderId="21" xfId="0" quotePrefix="1" applyFont="1" applyFill="1" applyBorder="1" applyAlignment="1">
      <alignment horizontal="center" vertical="center" wrapText="1"/>
    </xf>
    <xf numFmtId="0" fontId="120" fillId="2" borderId="93" xfId="0" applyFont="1" applyFill="1" applyBorder="1" applyAlignment="1">
      <alignment horizontal="center" vertical="center" wrapText="1"/>
    </xf>
    <xf numFmtId="0" fontId="120" fillId="2" borderId="82" xfId="0" applyFont="1" applyFill="1" applyBorder="1" applyAlignment="1">
      <alignment horizontal="center" vertical="center" wrapText="1"/>
    </xf>
    <xf numFmtId="170" fontId="104" fillId="4" borderId="95" xfId="0" applyNumberFormat="1" applyFont="1" applyFill="1" applyBorder="1"/>
    <xf numFmtId="0" fontId="131" fillId="0" borderId="3" xfId="12400" applyFont="1" applyBorder="1" applyAlignment="1">
      <alignment horizontal="center"/>
    </xf>
    <xf numFmtId="0" fontId="84" fillId="2" borderId="6" xfId="12400" applyFont="1" applyFill="1" applyBorder="1" applyAlignment="1">
      <alignment vertical="center" wrapText="1"/>
    </xf>
    <xf numFmtId="0" fontId="84" fillId="2" borderId="7" xfId="12400" applyFont="1" applyFill="1" applyBorder="1" applyAlignment="1">
      <alignment vertical="center" wrapText="1"/>
    </xf>
    <xf numFmtId="0" fontId="84" fillId="2" borderId="5" xfId="12400" applyFont="1" applyFill="1" applyBorder="1" applyAlignment="1">
      <alignment vertical="center" wrapText="1"/>
    </xf>
    <xf numFmtId="0" fontId="131" fillId="0" borderId="3" xfId="0" applyFont="1" applyBorder="1" applyAlignment="1">
      <alignment horizontal="center"/>
    </xf>
    <xf numFmtId="168" fontId="71" fillId="8" borderId="56" xfId="9859" applyFont="1" applyFill="1" applyBorder="1" applyAlignment="1"/>
    <xf numFmtId="168" fontId="186" fillId="8" borderId="16" xfId="9859" applyFont="1" applyFill="1" applyBorder="1" applyAlignment="1"/>
    <xf numFmtId="168" fontId="71" fillId="8" borderId="57" xfId="9859" applyFont="1" applyFill="1" applyBorder="1" applyAlignment="1">
      <alignment wrapText="1"/>
    </xf>
    <xf numFmtId="168" fontId="71" fillId="8" borderId="3" xfId="9859" applyFont="1" applyFill="1" applyBorder="1" applyAlignment="1"/>
    <xf numFmtId="0" fontId="70" fillId="2" borderId="18" xfId="0" applyFont="1" applyFill="1" applyBorder="1"/>
    <xf numFmtId="0" fontId="70" fillId="2" borderId="6" xfId="0" applyFont="1" applyFill="1" applyBorder="1"/>
    <xf numFmtId="0" fontId="70" fillId="2" borderId="141" xfId="0" applyFont="1" applyFill="1" applyBorder="1"/>
    <xf numFmtId="0" fontId="86" fillId="2" borderId="25" xfId="12400" applyFont="1" applyFill="1" applyBorder="1" applyAlignment="1">
      <alignment horizontal="centerContinuous" vertical="center" wrapText="1"/>
    </xf>
    <xf numFmtId="0" fontId="226" fillId="2" borderId="25" xfId="12400" applyFont="1" applyFill="1" applyBorder="1" applyAlignment="1">
      <alignment horizontal="center" vertical="center" textRotation="90" wrapText="1"/>
    </xf>
    <xf numFmtId="0" fontId="71" fillId="2" borderId="18" xfId="12400" applyFont="1" applyFill="1" applyBorder="1" applyAlignment="1">
      <alignment horizontal="centerContinuous" vertical="center" wrapText="1"/>
    </xf>
    <xf numFmtId="0" fontId="71" fillId="2" borderId="65" xfId="12400" applyFont="1" applyFill="1" applyBorder="1" applyAlignment="1">
      <alignment horizontal="centerContinuous" vertical="center" wrapText="1"/>
    </xf>
    <xf numFmtId="3" fontId="71" fillId="44" borderId="56" xfId="12400" applyNumberFormat="1" applyFont="1" applyFill="1" applyBorder="1" applyAlignment="1">
      <alignment horizontal="right" vertical="center" wrapText="1"/>
    </xf>
    <xf numFmtId="170" fontId="103" fillId="3" borderId="85" xfId="0" quotePrefix="1" applyNumberFormat="1" applyFont="1" applyFill="1" applyBorder="1" applyAlignment="1">
      <alignment vertical="center" wrapText="1"/>
    </xf>
    <xf numFmtId="170" fontId="84" fillId="4" borderId="16" xfId="0" applyNumberFormat="1" applyFont="1" applyFill="1" applyBorder="1"/>
    <xf numFmtId="0" fontId="84" fillId="2" borderId="5" xfId="0" quotePrefix="1" applyFont="1" applyFill="1" applyBorder="1" applyAlignment="1">
      <alignment horizontal="center" vertical="center" wrapText="1"/>
    </xf>
    <xf numFmtId="0" fontId="84" fillId="2" borderId="66" xfId="0" applyFont="1" applyFill="1" applyBorder="1" applyAlignment="1">
      <alignment horizontal="center" vertical="center" wrapText="1"/>
    </xf>
    <xf numFmtId="0" fontId="84" fillId="2" borderId="6" xfId="0" applyFont="1" applyFill="1" applyBorder="1" applyAlignment="1">
      <alignment horizontal="center" vertical="center" wrapText="1"/>
    </xf>
    <xf numFmtId="0" fontId="84" fillId="2" borderId="65" xfId="0" quotePrefix="1" applyFont="1" applyFill="1" applyBorder="1" applyAlignment="1">
      <alignment horizontal="center" vertical="center" wrapText="1"/>
    </xf>
    <xf numFmtId="0" fontId="84" fillId="2" borderId="7" xfId="0" applyFont="1" applyFill="1" applyBorder="1" applyAlignment="1">
      <alignment horizontal="center" vertical="center" wrapText="1"/>
    </xf>
    <xf numFmtId="0" fontId="71" fillId="2" borderId="84" xfId="0" applyFont="1" applyFill="1" applyBorder="1" applyAlignment="1">
      <alignment horizontal="center" vertical="center" wrapText="1"/>
    </xf>
    <xf numFmtId="170" fontId="71" fillId="4" borderId="10" xfId="0" applyNumberFormat="1" applyFont="1" applyFill="1" applyBorder="1"/>
    <xf numFmtId="173" fontId="109" fillId="0" borderId="33" xfId="14" applyNumberFormat="1" applyFont="1" applyBorder="1"/>
    <xf numFmtId="173" fontId="109" fillId="0" borderId="9" xfId="14" applyNumberFormat="1" applyFont="1" applyBorder="1"/>
    <xf numFmtId="170" fontId="113" fillId="3" borderId="12" xfId="0" applyNumberFormat="1" applyFont="1" applyFill="1" applyBorder="1"/>
    <xf numFmtId="170" fontId="113" fillId="3" borderId="11" xfId="0" applyNumberFormat="1" applyFont="1" applyFill="1" applyBorder="1"/>
    <xf numFmtId="170" fontId="113" fillId="4" borderId="12" xfId="0" applyNumberFormat="1" applyFont="1" applyFill="1" applyBorder="1"/>
    <xf numFmtId="2" fontId="110" fillId="0" borderId="9" xfId="0" applyNumberFormat="1" applyFont="1" applyBorder="1" applyAlignment="1">
      <alignment horizontal="center"/>
    </xf>
    <xf numFmtId="181" fontId="113" fillId="3" borderId="33" xfId="0" applyNumberFormat="1" applyFont="1" applyFill="1" applyBorder="1"/>
    <xf numFmtId="177" fontId="71" fillId="4" borderId="100" xfId="0" applyNumberFormat="1" applyFont="1" applyFill="1" applyBorder="1"/>
    <xf numFmtId="177" fontId="71" fillId="4" borderId="11" xfId="0" applyNumberFormat="1" applyFont="1" applyFill="1" applyBorder="1"/>
    <xf numFmtId="0" fontId="71" fillId="2" borderId="142" xfId="12" quotePrefix="1" applyFont="1" applyFill="1" applyBorder="1" applyAlignment="1">
      <alignment horizontal="center" vertical="center" wrapText="1"/>
    </xf>
    <xf numFmtId="0" fontId="71" fillId="2" borderId="29" xfId="12" quotePrefix="1" applyFont="1" applyFill="1" applyBorder="1" applyAlignment="1">
      <alignment horizontal="center" vertical="center" wrapText="1"/>
    </xf>
    <xf numFmtId="0" fontId="71" fillId="2" borderId="104" xfId="12" applyFont="1" applyFill="1" applyBorder="1" applyAlignment="1">
      <alignment horizontal="centerContinuous" vertical="center" wrapText="1"/>
    </xf>
    <xf numFmtId="0" fontId="71" fillId="2" borderId="131" xfId="12" applyFont="1" applyFill="1" applyBorder="1" applyAlignment="1">
      <alignment horizontal="center" vertical="center" wrapText="1"/>
    </xf>
    <xf numFmtId="0" fontId="71" fillId="2" borderId="115" xfId="12" applyFont="1" applyFill="1" applyBorder="1" applyAlignment="1">
      <alignment horizontal="center" vertical="center" wrapText="1"/>
    </xf>
    <xf numFmtId="0" fontId="71" fillId="9" borderId="103" xfId="12" applyFont="1" applyFill="1" applyBorder="1" applyAlignment="1">
      <alignment horizontal="center" vertical="center" wrapText="1"/>
    </xf>
    <xf numFmtId="2" fontId="71" fillId="0" borderId="36" xfId="0" applyNumberFormat="1" applyFont="1" applyBorder="1" applyAlignment="1">
      <alignment horizontal="center"/>
    </xf>
    <xf numFmtId="0" fontId="84" fillId="2" borderId="143" xfId="12" applyFont="1" applyFill="1" applyBorder="1" applyAlignment="1">
      <alignment horizontal="centerContinuous" vertical="center" wrapText="1"/>
    </xf>
    <xf numFmtId="198" fontId="109" fillId="0" borderId="144" xfId="14" applyNumberFormat="1" applyFont="1" applyBorder="1"/>
    <xf numFmtId="0" fontId="84" fillId="2" borderId="27" xfId="12" applyFont="1" applyFill="1" applyBorder="1" applyAlignment="1">
      <alignment horizontal="centerContinuous" vertical="center" wrapText="1"/>
    </xf>
    <xf numFmtId="0" fontId="84" fillId="2" borderId="91" xfId="12" applyFont="1" applyFill="1" applyBorder="1" applyAlignment="1">
      <alignment horizontal="centerContinuous" vertical="center" wrapText="1"/>
    </xf>
    <xf numFmtId="0" fontId="84" fillId="2" borderId="81" xfId="12" applyFont="1" applyFill="1" applyBorder="1" applyAlignment="1">
      <alignment horizontal="centerContinuous" vertical="center" wrapText="1"/>
    </xf>
    <xf numFmtId="2" fontId="71" fillId="0" borderId="36" xfId="12" applyNumberFormat="1" applyFont="1" applyBorder="1" applyAlignment="1">
      <alignment horizontal="center"/>
    </xf>
    <xf numFmtId="3" fontId="103" fillId="3" borderId="33" xfId="14" applyNumberFormat="1" applyFont="1" applyFill="1" applyBorder="1"/>
    <xf numFmtId="184" fontId="103" fillId="3" borderId="78" xfId="14" applyNumberFormat="1" applyFont="1" applyFill="1" applyBorder="1"/>
    <xf numFmtId="3" fontId="71" fillId="4" borderId="36" xfId="14" applyNumberFormat="1" applyFont="1" applyFill="1" applyBorder="1"/>
    <xf numFmtId="3" fontId="103" fillId="3" borderId="11" xfId="14" applyNumberFormat="1" applyFont="1" applyFill="1" applyBorder="1"/>
    <xf numFmtId="184" fontId="103" fillId="3" borderId="80" xfId="14" applyNumberFormat="1" applyFont="1" applyFill="1" applyBorder="1"/>
    <xf numFmtId="3" fontId="103" fillId="3" borderId="40" xfId="14" applyNumberFormat="1" applyFont="1" applyFill="1" applyBorder="1"/>
    <xf numFmtId="3" fontId="103" fillId="3" borderId="78" xfId="14" applyNumberFormat="1" applyFont="1" applyFill="1" applyBorder="1"/>
    <xf numFmtId="3" fontId="103" fillId="3" borderId="92" xfId="14" applyNumberFormat="1" applyFont="1" applyFill="1" applyBorder="1"/>
    <xf numFmtId="0" fontId="66" fillId="2" borderId="20" xfId="12" applyFont="1" applyFill="1" applyBorder="1" applyAlignment="1">
      <alignment vertical="center" wrapText="1"/>
    </xf>
    <xf numFmtId="0" fontId="66" fillId="2" borderId="14" xfId="12" applyFont="1" applyFill="1" applyBorder="1" applyAlignment="1">
      <alignment horizontal="center" vertical="center" wrapText="1"/>
    </xf>
    <xf numFmtId="0" fontId="66" fillId="2" borderId="20" xfId="12" applyFont="1" applyFill="1" applyBorder="1" applyAlignment="1">
      <alignment horizontal="center" vertical="center" wrapText="1"/>
    </xf>
    <xf numFmtId="0" fontId="66" fillId="2" borderId="88" xfId="12" applyFont="1" applyFill="1" applyBorder="1" applyAlignment="1">
      <alignment horizontal="center" vertical="center" wrapText="1"/>
    </xf>
    <xf numFmtId="0" fontId="66" fillId="2" borderId="27" xfId="12" applyFont="1" applyFill="1" applyBorder="1" applyAlignment="1">
      <alignment horizontal="center" vertical="center" wrapText="1"/>
    </xf>
    <xf numFmtId="0" fontId="66" fillId="4" borderId="11" xfId="12" applyFont="1" applyFill="1" applyBorder="1" applyAlignment="1">
      <alignment vertical="center" wrapText="1"/>
    </xf>
    <xf numFmtId="0" fontId="66" fillId="4" borderId="78" xfId="12" applyFont="1" applyFill="1" applyBorder="1" applyAlignment="1">
      <alignment horizontal="center" vertical="center" wrapText="1"/>
    </xf>
    <xf numFmtId="0" fontId="66" fillId="4" borderId="15" xfId="12" applyFont="1" applyFill="1" applyBorder="1" applyAlignment="1">
      <alignment horizontal="center" vertical="center" wrapText="1"/>
    </xf>
    <xf numFmtId="0" fontId="66" fillId="4" borderId="36" xfId="12" applyFont="1" applyFill="1" applyBorder="1" applyAlignment="1">
      <alignment horizontal="center" vertical="center" wrapText="1"/>
    </xf>
    <xf numFmtId="0" fontId="66" fillId="4" borderId="11" xfId="12" applyFont="1" applyFill="1" applyBorder="1" applyAlignment="1">
      <alignment horizontal="center" vertical="center" wrapText="1"/>
    </xf>
    <xf numFmtId="0" fontId="66" fillId="4" borderId="10" xfId="12" applyFont="1" applyFill="1" applyBorder="1" applyAlignment="1">
      <alignment horizontal="center" vertical="center" wrapText="1"/>
    </xf>
    <xf numFmtId="0" fontId="66" fillId="4" borderId="98" xfId="12" applyFont="1" applyFill="1" applyBorder="1" applyAlignment="1">
      <alignment horizontal="center" vertical="center" wrapText="1"/>
    </xf>
    <xf numFmtId="0" fontId="84" fillId="4" borderId="113" xfId="12" applyFont="1" applyFill="1" applyBorder="1" applyAlignment="1">
      <alignment horizontal="center" vertical="center" wrapText="1"/>
    </xf>
    <xf numFmtId="0" fontId="84" fillId="4" borderId="36" xfId="12" applyFont="1" applyFill="1" applyBorder="1" applyAlignment="1">
      <alignment horizontal="centerContinuous" vertical="center" wrapText="1"/>
    </xf>
    <xf numFmtId="0" fontId="84" fillId="4" borderId="98" xfId="12" applyFont="1" applyFill="1" applyBorder="1" applyAlignment="1">
      <alignment horizontal="center" vertical="center" wrapText="1"/>
    </xf>
    <xf numFmtId="0" fontId="84" fillId="4" borderId="15" xfId="12" applyFont="1" applyFill="1" applyBorder="1" applyAlignment="1">
      <alignment horizontal="centerContinuous" vertical="center" wrapText="1"/>
    </xf>
    <xf numFmtId="0" fontId="84" fillId="4" borderId="9" xfId="12" applyFont="1" applyFill="1" applyBorder="1" applyAlignment="1">
      <alignment horizontal="centerContinuous" vertical="center" wrapText="1"/>
    </xf>
    <xf numFmtId="0" fontId="71" fillId="2" borderId="31" xfId="0" quotePrefix="1" applyFont="1" applyFill="1" applyBorder="1" applyAlignment="1">
      <alignment horizontal="center" vertical="center" wrapText="1"/>
    </xf>
    <xf numFmtId="0" fontId="84" fillId="2" borderId="24" xfId="0" applyFont="1" applyFill="1" applyBorder="1" applyAlignment="1">
      <alignment horizontal="center"/>
    </xf>
    <xf numFmtId="0" fontId="84" fillId="2" borderId="82" xfId="0" applyFont="1" applyFill="1" applyBorder="1" applyAlignment="1">
      <alignment horizontal="center"/>
    </xf>
    <xf numFmtId="0" fontId="84" fillId="2" borderId="22" xfId="0" applyFont="1" applyFill="1" applyBorder="1" applyAlignment="1">
      <alignment horizontal="center"/>
    </xf>
    <xf numFmtId="2" fontId="124" fillId="6" borderId="33" xfId="0" applyNumberFormat="1" applyFont="1" applyFill="1" applyBorder="1"/>
    <xf numFmtId="2" fontId="124" fillId="6" borderId="78" xfId="12401" applyNumberFormat="1" applyFont="1" applyFill="1" applyBorder="1" applyAlignment="1"/>
    <xf numFmtId="2" fontId="124" fillId="6" borderId="36" xfId="12401" applyNumberFormat="1" applyFont="1" applyFill="1" applyBorder="1"/>
    <xf numFmtId="2" fontId="124" fillId="6" borderId="100" xfId="12401" applyNumberFormat="1" applyFont="1" applyFill="1" applyBorder="1"/>
    <xf numFmtId="2" fontId="124" fillId="6" borderId="92" xfId="12401" applyNumberFormat="1" applyFont="1" applyFill="1" applyBorder="1"/>
    <xf numFmtId="0" fontId="120" fillId="9" borderId="115" xfId="16" applyFont="1" applyFill="1" applyBorder="1" applyAlignment="1">
      <alignment horizontal="centerContinuous" vertical="center" wrapText="1"/>
    </xf>
    <xf numFmtId="0" fontId="120" fillId="9" borderId="90" xfId="16" applyFont="1" applyFill="1" applyBorder="1" applyAlignment="1">
      <alignment horizontal="center" vertical="center" wrapText="1"/>
    </xf>
    <xf numFmtId="0" fontId="120" fillId="0" borderId="90" xfId="16" applyFont="1" applyBorder="1" applyAlignment="1">
      <alignment horizontal="center" vertical="center" wrapText="1"/>
    </xf>
    <xf numFmtId="0" fontId="120" fillId="9" borderId="114" xfId="16" applyFont="1" applyFill="1" applyBorder="1" applyAlignment="1">
      <alignment horizontal="center" vertical="center" wrapText="1"/>
    </xf>
    <xf numFmtId="3" fontId="109" fillId="7" borderId="15" xfId="16" applyNumberFormat="1" applyFont="1" applyFill="1" applyBorder="1"/>
    <xf numFmtId="3" fontId="109" fillId="7" borderId="11" xfId="16" applyNumberFormat="1" applyFont="1" applyFill="1" applyBorder="1"/>
    <xf numFmtId="3" fontId="109" fillId="7" borderId="78" xfId="16" applyNumberFormat="1" applyFont="1" applyFill="1" applyBorder="1"/>
    <xf numFmtId="3" fontId="109" fillId="7" borderId="36" xfId="16" applyNumberFormat="1" applyFont="1" applyFill="1" applyBorder="1"/>
    <xf numFmtId="3" fontId="71" fillId="7" borderId="36" xfId="16" applyNumberFormat="1" applyFont="1" applyFill="1" applyBorder="1"/>
    <xf numFmtId="3" fontId="109" fillId="7" borderId="98" xfId="16" applyNumberFormat="1" applyFont="1" applyFill="1" applyBorder="1"/>
    <xf numFmtId="3" fontId="109" fillId="7" borderId="101" xfId="16" applyNumberFormat="1" applyFont="1" applyFill="1" applyBorder="1"/>
    <xf numFmtId="3" fontId="71" fillId="7" borderId="9" xfId="16" applyNumberFormat="1" applyFont="1" applyFill="1" applyBorder="1"/>
    <xf numFmtId="2" fontId="71" fillId="0" borderId="9" xfId="10" applyNumberFormat="1" applyFont="1" applyBorder="1" applyAlignment="1">
      <alignment horizontal="center"/>
    </xf>
    <xf numFmtId="172" fontId="71" fillId="7" borderId="101" xfId="11" applyNumberFormat="1" applyFont="1" applyFill="1" applyBorder="1"/>
    <xf numFmtId="172" fontId="71" fillId="7" borderId="92" xfId="11" applyNumberFormat="1" applyFont="1" applyFill="1" applyBorder="1"/>
    <xf numFmtId="0" fontId="66" fillId="0" borderId="57" xfId="0" applyFont="1" applyBorder="1"/>
    <xf numFmtId="0" fontId="66" fillId="7" borderId="57" xfId="0" applyFont="1" applyFill="1" applyBorder="1"/>
    <xf numFmtId="0" fontId="66" fillId="9" borderId="0" xfId="12400" applyFont="1" applyFill="1" applyAlignment="1">
      <alignment vertical="center" wrapText="1"/>
    </xf>
    <xf numFmtId="0" fontId="120" fillId="9" borderId="0" xfId="12400" applyFont="1" applyFill="1"/>
    <xf numFmtId="0" fontId="71" fillId="9" borderId="0" xfId="12400" applyFont="1" applyFill="1"/>
    <xf numFmtId="0" fontId="0" fillId="9" borderId="0" xfId="12400" applyFont="1" applyFill="1"/>
    <xf numFmtId="0" fontId="71" fillId="2" borderId="26" xfId="12400" applyFont="1" applyFill="1" applyBorder="1" applyAlignment="1">
      <alignment horizontal="centerContinuous" vertical="center" wrapText="1"/>
    </xf>
    <xf numFmtId="1" fontId="71" fillId="0" borderId="9" xfId="0" applyNumberFormat="1" applyFont="1" applyBorder="1" applyAlignment="1">
      <alignment horizontal="center"/>
    </xf>
    <xf numFmtId="171" fontId="71" fillId="8" borderId="10" xfId="0" applyNumberFormat="1" applyFont="1" applyFill="1" applyBorder="1"/>
    <xf numFmtId="171" fontId="103" fillId="8" borderId="9" xfId="0" applyNumberFormat="1" applyFont="1" applyFill="1" applyBorder="1"/>
    <xf numFmtId="0" fontId="84" fillId="2" borderId="5" xfId="0" applyFont="1" applyFill="1" applyBorder="1" applyAlignment="1">
      <alignment horizontal="center" vertical="center"/>
    </xf>
    <xf numFmtId="0" fontId="84" fillId="2" borderId="6" xfId="0" applyFont="1" applyFill="1" applyBorder="1" applyAlignment="1">
      <alignment horizontal="center" vertical="center"/>
    </xf>
    <xf numFmtId="0" fontId="84" fillId="2" borderId="25" xfId="0" applyFont="1" applyFill="1" applyBorder="1" applyAlignment="1">
      <alignment horizontal="center" vertical="center"/>
    </xf>
    <xf numFmtId="2" fontId="71" fillId="0" borderId="9" xfId="16" applyNumberFormat="1" applyFont="1" applyBorder="1" applyAlignment="1">
      <alignment horizontal="center"/>
    </xf>
    <xf numFmtId="170" fontId="103" fillId="3" borderId="98" xfId="16" applyNumberFormat="1" applyFont="1" applyFill="1" applyBorder="1" applyAlignment="1">
      <alignment horizontal="right" vertical="center"/>
    </xf>
    <xf numFmtId="175" fontId="103" fillId="3" borderId="80" xfId="16" applyNumberFormat="1" applyFont="1" applyFill="1" applyBorder="1"/>
    <xf numFmtId="170" fontId="71" fillId="4" borderId="11" xfId="16" applyNumberFormat="1" applyFont="1" applyFill="1" applyBorder="1"/>
    <xf numFmtId="170" fontId="71" fillId="4" borderId="100" xfId="16" applyNumberFormat="1" applyFont="1" applyFill="1" applyBorder="1"/>
    <xf numFmtId="170" fontId="71" fillId="4" borderId="12" xfId="16" applyNumberFormat="1" applyFont="1" applyFill="1" applyBorder="1"/>
    <xf numFmtId="0" fontId="84" fillId="2" borderId="134" xfId="0" quotePrefix="1" applyFont="1" applyFill="1" applyBorder="1" applyAlignment="1">
      <alignment horizontal="center" vertical="center" wrapText="1"/>
    </xf>
    <xf numFmtId="0" fontId="84" fillId="2" borderId="133" xfId="0" applyFont="1" applyFill="1" applyBorder="1" applyAlignment="1">
      <alignment horizontal="center" vertical="center" wrapText="1"/>
    </xf>
    <xf numFmtId="0" fontId="0" fillId="0" borderId="21" xfId="0" applyBorder="1"/>
    <xf numFmtId="0" fontId="0" fillId="0" borderId="82" xfId="0" applyBorder="1"/>
    <xf numFmtId="0" fontId="0" fillId="0" borderId="20" xfId="0" applyBorder="1"/>
    <xf numFmtId="0" fontId="0" fillId="0" borderId="27" xfId="0" applyBorder="1"/>
    <xf numFmtId="0" fontId="0" fillId="0" borderId="22" xfId="0" applyBorder="1"/>
    <xf numFmtId="175" fontId="161" fillId="3" borderId="41" xfId="0" applyNumberFormat="1" applyFont="1" applyFill="1" applyBorder="1"/>
    <xf numFmtId="199" fontId="103" fillId="3" borderId="40" xfId="0" applyNumberFormat="1" applyFont="1" applyFill="1" applyBorder="1"/>
    <xf numFmtId="199" fontId="103" fillId="3" borderId="78" xfId="0" applyNumberFormat="1" applyFont="1" applyFill="1" applyBorder="1"/>
    <xf numFmtId="199" fontId="103" fillId="3" borderId="36" xfId="0" applyNumberFormat="1" applyFont="1" applyFill="1" applyBorder="1"/>
    <xf numFmtId="181" fontId="124" fillId="3" borderId="9" xfId="0" applyNumberFormat="1" applyFont="1" applyFill="1" applyBorder="1"/>
    <xf numFmtId="175" fontId="71" fillId="4" borderId="36" xfId="0" applyNumberFormat="1" applyFont="1" applyFill="1" applyBorder="1"/>
    <xf numFmtId="175" fontId="71" fillId="4" borderId="78" xfId="0" applyNumberFormat="1" applyFont="1" applyFill="1" applyBorder="1"/>
    <xf numFmtId="175" fontId="71" fillId="4" borderId="9" xfId="0" applyNumberFormat="1" applyFont="1" applyFill="1" applyBorder="1"/>
    <xf numFmtId="171" fontId="103" fillId="3" borderId="98" xfId="0" applyNumberFormat="1" applyFont="1" applyFill="1" applyBorder="1"/>
    <xf numFmtId="171" fontId="103" fillId="10" borderId="9" xfId="0" applyNumberFormat="1" applyFont="1" applyFill="1" applyBorder="1"/>
    <xf numFmtId="171" fontId="71" fillId="7" borderId="92" xfId="0" applyNumberFormat="1" applyFont="1" applyFill="1" applyBorder="1"/>
    <xf numFmtId="0" fontId="84" fillId="2" borderId="4" xfId="0" quotePrefix="1" applyFont="1" applyFill="1" applyBorder="1" applyAlignment="1">
      <alignment horizontal="center" vertical="center" wrapText="1"/>
    </xf>
    <xf numFmtId="170" fontId="71" fillId="4" borderId="33" xfId="0" applyNumberFormat="1" applyFont="1" applyFill="1" applyBorder="1"/>
    <xf numFmtId="170" fontId="71" fillId="4" borderId="78" xfId="0" applyNumberFormat="1" applyFont="1" applyFill="1" applyBorder="1"/>
    <xf numFmtId="170" fontId="71" fillId="4" borderId="36" xfId="0" applyNumberFormat="1" applyFont="1" applyFill="1" applyBorder="1"/>
    <xf numFmtId="170" fontId="103" fillId="4" borderId="36" xfId="0" applyNumberFormat="1" applyFont="1" applyFill="1" applyBorder="1"/>
    <xf numFmtId="170" fontId="103" fillId="4" borderId="9" xfId="0" applyNumberFormat="1" applyFont="1" applyFill="1" applyBorder="1"/>
    <xf numFmtId="0" fontId="108" fillId="0" borderId="5" xfId="12" applyFont="1" applyBorder="1" applyAlignment="1">
      <alignment horizontal="centerContinuous" vertical="center" wrapText="1"/>
    </xf>
    <xf numFmtId="0" fontId="108" fillId="0" borderId="65" xfId="12" applyFont="1" applyBorder="1" applyAlignment="1">
      <alignment horizontal="centerContinuous" vertical="center" wrapText="1"/>
    </xf>
    <xf numFmtId="0" fontId="108" fillId="0" borderId="6" xfId="12" applyFont="1" applyBorder="1" applyAlignment="1">
      <alignment horizontal="centerContinuous" vertical="center" wrapText="1"/>
    </xf>
    <xf numFmtId="0" fontId="108" fillId="2" borderId="65" xfId="12" applyFont="1" applyFill="1" applyBorder="1" applyAlignment="1">
      <alignment horizontal="centerContinuous" vertical="center" wrapText="1"/>
    </xf>
    <xf numFmtId="0" fontId="108" fillId="2" borderId="6" xfId="12" applyFont="1" applyFill="1" applyBorder="1" applyAlignment="1">
      <alignment horizontal="centerContinuous" vertical="center" wrapText="1"/>
    </xf>
    <xf numFmtId="0" fontId="108" fillId="2" borderId="5" xfId="12" applyFont="1" applyFill="1" applyBorder="1" applyAlignment="1">
      <alignment horizontal="centerContinuous" vertical="center" wrapText="1"/>
    </xf>
    <xf numFmtId="0" fontId="71" fillId="0" borderId="65" xfId="12400" applyFont="1" applyBorder="1" applyAlignment="1">
      <alignment horizontal="center" vertical="center" wrapText="1"/>
    </xf>
    <xf numFmtId="0" fontId="71" fillId="0" borderId="6" xfId="12400" applyFont="1" applyBorder="1" applyAlignment="1">
      <alignment horizontal="center" vertical="center" wrapText="1"/>
    </xf>
    <xf numFmtId="0" fontId="84" fillId="0" borderId="29" xfId="12400" applyFont="1" applyBorder="1" applyAlignment="1">
      <alignment horizontal="center" vertical="center" wrapText="1"/>
    </xf>
    <xf numFmtId="0" fontId="71" fillId="0" borderId="83" xfId="12400" applyFont="1" applyBorder="1" applyAlignment="1">
      <alignment horizontal="center" vertical="center" wrapText="1"/>
    </xf>
    <xf numFmtId="0" fontId="71" fillId="2" borderId="65" xfId="12400" quotePrefix="1" applyFont="1" applyFill="1" applyBorder="1" applyAlignment="1">
      <alignment horizontal="centerContinuous" vertical="center" wrapText="1"/>
    </xf>
    <xf numFmtId="0" fontId="71" fillId="2" borderId="83" xfId="12400" applyFont="1" applyFill="1" applyBorder="1" applyAlignment="1">
      <alignment horizontal="centerContinuous" vertical="center" wrapText="1"/>
    </xf>
    <xf numFmtId="3" fontId="71" fillId="44" borderId="57" xfId="12400" applyNumberFormat="1" applyFont="1" applyFill="1" applyBorder="1" applyAlignment="1">
      <alignment horizontal="right" vertical="center" wrapText="1"/>
    </xf>
    <xf numFmtId="3" fontId="71" fillId="44" borderId="85" xfId="12400" applyNumberFormat="1" applyFont="1" applyFill="1" applyBorder="1" applyAlignment="1">
      <alignment horizontal="right" vertical="center" wrapText="1"/>
    </xf>
    <xf numFmtId="3" fontId="175" fillId="6" borderId="56" xfId="12400" applyNumberFormat="1" applyFont="1" applyFill="1" applyBorder="1" applyAlignment="1">
      <alignment vertical="center" wrapText="1"/>
    </xf>
    <xf numFmtId="3" fontId="175" fillId="6" borderId="130" xfId="12400" quotePrefix="1" applyNumberFormat="1" applyFont="1" applyFill="1" applyBorder="1" applyAlignment="1">
      <alignment vertical="center" wrapText="1"/>
    </xf>
    <xf numFmtId="3" fontId="175" fillId="6" borderId="0" xfId="12400" quotePrefix="1" applyNumberFormat="1" applyFont="1" applyFill="1" applyAlignment="1">
      <alignment vertical="center" wrapText="1"/>
    </xf>
    <xf numFmtId="3" fontId="109" fillId="0" borderId="56" xfId="12400" applyNumberFormat="1" applyFont="1" applyBorder="1" applyAlignment="1">
      <alignment vertical="center" wrapText="1"/>
    </xf>
    <xf numFmtId="3" fontId="109" fillId="0" borderId="56" xfId="12400" quotePrefix="1" applyNumberFormat="1" applyFont="1" applyBorder="1" applyAlignment="1">
      <alignment vertical="center" wrapText="1"/>
    </xf>
    <xf numFmtId="3" fontId="109" fillId="0" borderId="0" xfId="12400" quotePrefix="1" applyNumberFormat="1" applyFont="1" applyAlignment="1">
      <alignment vertical="center" wrapText="1"/>
    </xf>
    <xf numFmtId="3" fontId="71" fillId="0" borderId="56" xfId="12400" quotePrefix="1" applyNumberFormat="1" applyFont="1" applyBorder="1" applyAlignment="1">
      <alignment vertical="center" wrapText="1"/>
    </xf>
    <xf numFmtId="3" fontId="71" fillId="0" borderId="0" xfId="12400" quotePrefix="1" applyNumberFormat="1" applyFont="1" applyAlignment="1">
      <alignment vertical="center" wrapText="1"/>
    </xf>
    <xf numFmtId="3" fontId="175" fillId="6" borderId="87" xfId="12400" quotePrefix="1" applyNumberFormat="1" applyFont="1" applyFill="1" applyBorder="1" applyAlignment="1">
      <alignment vertical="center" wrapText="1"/>
    </xf>
    <xf numFmtId="3" fontId="109" fillId="0" borderId="87" xfId="12400" quotePrefix="1" applyNumberFormat="1" applyFont="1" applyBorder="1" applyAlignment="1">
      <alignment vertical="center" wrapText="1"/>
    </xf>
    <xf numFmtId="3" fontId="109" fillId="0" borderId="130" xfId="12400" quotePrefix="1" applyNumberFormat="1" applyFont="1" applyBorder="1" applyAlignment="1">
      <alignment vertical="center" wrapText="1"/>
    </xf>
    <xf numFmtId="3" fontId="109" fillId="0" borderId="57" xfId="12400" quotePrefix="1" applyNumberFormat="1" applyFont="1" applyBorder="1" applyAlignment="1">
      <alignment vertical="center" wrapText="1"/>
    </xf>
    <xf numFmtId="3" fontId="71" fillId="0" borderId="87" xfId="12400" quotePrefix="1" applyNumberFormat="1" applyFont="1" applyBorder="1" applyAlignment="1">
      <alignment vertical="center" wrapText="1"/>
    </xf>
    <xf numFmtId="3" fontId="71" fillId="0" borderId="130" xfId="12400" quotePrefix="1" applyNumberFormat="1" applyFont="1" applyBorder="1" applyAlignment="1">
      <alignment vertical="center" wrapText="1"/>
    </xf>
    <xf numFmtId="3" fontId="71" fillId="0" borderId="57" xfId="12400" quotePrefix="1" applyNumberFormat="1" applyFont="1" applyBorder="1" applyAlignment="1">
      <alignment vertical="center" wrapText="1"/>
    </xf>
    <xf numFmtId="0" fontId="71" fillId="0" borderId="56" xfId="12400" quotePrefix="1" applyFont="1" applyBorder="1" applyAlignment="1">
      <alignment vertical="center" wrapText="1"/>
    </xf>
    <xf numFmtId="0" fontId="71" fillId="0" borderId="0" xfId="12400" quotePrefix="1" applyFont="1" applyAlignment="1">
      <alignment vertical="center" wrapText="1"/>
    </xf>
    <xf numFmtId="0" fontId="71" fillId="0" borderId="130" xfId="12400" quotePrefix="1" applyFont="1" applyBorder="1" applyAlignment="1">
      <alignment vertical="center" wrapText="1"/>
    </xf>
    <xf numFmtId="0" fontId="226" fillId="2" borderId="7" xfId="12400" applyFont="1" applyFill="1" applyBorder="1" applyAlignment="1">
      <alignment horizontal="center" vertical="center" textRotation="90" wrapText="1"/>
    </xf>
    <xf numFmtId="0" fontId="71" fillId="2" borderId="19" xfId="12400" applyFont="1" applyFill="1" applyBorder="1" applyAlignment="1">
      <alignment horizontal="centerContinuous" vertical="center" wrapText="1"/>
    </xf>
    <xf numFmtId="0" fontId="84" fillId="0" borderId="31" xfId="12400" applyFont="1" applyBorder="1" applyAlignment="1">
      <alignment horizontal="center" vertical="center" wrapText="1"/>
    </xf>
    <xf numFmtId="3" fontId="71" fillId="44" borderId="58" xfId="12400" applyNumberFormat="1" applyFont="1" applyFill="1" applyBorder="1" applyAlignment="1">
      <alignment horizontal="right" vertical="center" wrapText="1"/>
    </xf>
    <xf numFmtId="0" fontId="87" fillId="2" borderId="20" xfId="12400" applyFont="1" applyFill="1" applyBorder="1" applyAlignment="1">
      <alignment horizontal="center" vertical="center"/>
    </xf>
    <xf numFmtId="0" fontId="87" fillId="2" borderId="82" xfId="12400" applyFont="1" applyFill="1" applyBorder="1" applyAlignment="1">
      <alignment horizontal="center" vertical="center"/>
    </xf>
    <xf numFmtId="0" fontId="87" fillId="2" borderId="21" xfId="12400" applyFont="1" applyFill="1" applyBorder="1" applyAlignment="1">
      <alignment horizontal="center" vertical="center"/>
    </xf>
    <xf numFmtId="0" fontId="87" fillId="2" borderId="91" xfId="12400" applyFont="1" applyFill="1" applyBorder="1" applyAlignment="1">
      <alignment horizontal="center" vertical="center"/>
    </xf>
    <xf numFmtId="0" fontId="87" fillId="2" borderId="14" xfId="12400" applyFont="1" applyFill="1" applyBorder="1" applyAlignment="1">
      <alignment horizontal="center" vertical="center"/>
    </xf>
    <xf numFmtId="0" fontId="87" fillId="2" borderId="84" xfId="12400" applyFont="1" applyFill="1" applyBorder="1" applyAlignment="1">
      <alignment horizontal="center" vertical="center"/>
    </xf>
    <xf numFmtId="0" fontId="87" fillId="2" borderId="28" xfId="12400" applyFont="1" applyFill="1" applyBorder="1" applyAlignment="1">
      <alignment horizontal="center" vertical="center"/>
    </xf>
    <xf numFmtId="3" fontId="175" fillId="6" borderId="40" xfId="12400" quotePrefix="1" applyNumberFormat="1" applyFont="1" applyFill="1" applyBorder="1" applyAlignment="1">
      <alignment vertical="center" wrapText="1"/>
    </xf>
    <xf numFmtId="3" fontId="175" fillId="6" borderId="78" xfId="12400" quotePrefix="1" applyNumberFormat="1" applyFont="1" applyFill="1" applyBorder="1" applyAlignment="1">
      <alignment vertical="center" wrapText="1"/>
    </xf>
    <xf numFmtId="3" fontId="175" fillId="6" borderId="100" xfId="12400" quotePrefix="1" applyNumberFormat="1" applyFont="1" applyFill="1" applyBorder="1" applyAlignment="1">
      <alignment vertical="center" wrapText="1"/>
    </xf>
    <xf numFmtId="3" fontId="175" fillId="6" borderId="36" xfId="12400" quotePrefix="1" applyNumberFormat="1" applyFont="1" applyFill="1" applyBorder="1" applyAlignment="1">
      <alignment vertical="center" wrapText="1"/>
    </xf>
    <xf numFmtId="3" fontId="175" fillId="6" borderId="39" xfId="12400" quotePrefix="1" applyNumberFormat="1" applyFont="1" applyFill="1" applyBorder="1" applyAlignment="1">
      <alignment vertical="center" wrapText="1"/>
    </xf>
    <xf numFmtId="3" fontId="71" fillId="44" borderId="98" xfId="12400" applyNumberFormat="1" applyFont="1" applyFill="1" applyBorder="1" applyAlignment="1">
      <alignment horizontal="right" vertical="center" wrapText="1"/>
    </xf>
    <xf numFmtId="3" fontId="71" fillId="44" borderId="78" xfId="12400" applyNumberFormat="1" applyFont="1" applyFill="1" applyBorder="1" applyAlignment="1">
      <alignment horizontal="right" vertical="center" wrapText="1"/>
    </xf>
    <xf numFmtId="3" fontId="71" fillId="44" borderId="79" xfId="12400" applyNumberFormat="1" applyFont="1" applyFill="1" applyBorder="1" applyAlignment="1">
      <alignment horizontal="right" vertical="center" wrapText="1"/>
    </xf>
    <xf numFmtId="3" fontId="71" fillId="44" borderId="11" xfId="12400" applyNumberFormat="1" applyFont="1" applyFill="1" applyBorder="1" applyAlignment="1">
      <alignment horizontal="right" vertical="center" wrapText="1"/>
    </xf>
    <xf numFmtId="3" fontId="71" fillId="44" borderId="10" xfId="12400" applyNumberFormat="1" applyFont="1" applyFill="1" applyBorder="1" applyAlignment="1">
      <alignment horizontal="right" vertical="center" wrapText="1"/>
    </xf>
    <xf numFmtId="3" fontId="71" fillId="44" borderId="12" xfId="12400" applyNumberFormat="1" applyFont="1" applyFill="1" applyBorder="1" applyAlignment="1">
      <alignment horizontal="right" vertical="center" wrapText="1"/>
    </xf>
    <xf numFmtId="170" fontId="161" fillId="3" borderId="78" xfId="0" applyNumberFormat="1" applyFont="1" applyFill="1" applyBorder="1"/>
    <xf numFmtId="170" fontId="161" fillId="3" borderId="41" xfId="0" applyNumberFormat="1" applyFont="1" applyFill="1" applyBorder="1"/>
    <xf numFmtId="170" fontId="161" fillId="3" borderId="40" xfId="0" applyNumberFormat="1" applyFont="1" applyFill="1" applyBorder="1"/>
    <xf numFmtId="3" fontId="109" fillId="0" borderId="0" xfId="12400" applyNumberFormat="1" applyFont="1" applyAlignment="1">
      <alignment vertical="center" wrapText="1"/>
    </xf>
    <xf numFmtId="3" fontId="131" fillId="9" borderId="0" xfId="0" applyNumberFormat="1" applyFont="1" applyFill="1"/>
    <xf numFmtId="2" fontId="124" fillId="6" borderId="0" xfId="12401" applyNumberFormat="1" applyFont="1" applyFill="1" applyBorder="1" applyAlignment="1"/>
    <xf numFmtId="2" fontId="124" fillId="6" borderId="86" xfId="12401" applyNumberFormat="1" applyFont="1" applyFill="1" applyBorder="1" applyAlignment="1"/>
    <xf numFmtId="2" fontId="110" fillId="0" borderId="0" xfId="12401" applyNumberFormat="1" applyFont="1" applyBorder="1" applyAlignment="1"/>
    <xf numFmtId="2" fontId="110" fillId="0" borderId="85" xfId="12401" applyNumberFormat="1" applyFont="1" applyBorder="1" applyAlignment="1"/>
    <xf numFmtId="218" fontId="71" fillId="0" borderId="0" xfId="24490" applyNumberFormat="1" applyFont="1"/>
    <xf numFmtId="218" fontId="71" fillId="0" borderId="3" xfId="24490" applyNumberFormat="1" applyFont="1" applyBorder="1"/>
    <xf numFmtId="218" fontId="71" fillId="0" borderId="56" xfId="24490" applyNumberFormat="1" applyFont="1" applyBorder="1"/>
    <xf numFmtId="218" fontId="109" fillId="0" borderId="56" xfId="24490" applyNumberFormat="1" applyFont="1" applyBorder="1"/>
    <xf numFmtId="218" fontId="109" fillId="0" borderId="0" xfId="24490" applyNumberFormat="1" applyFont="1"/>
    <xf numFmtId="218" fontId="109" fillId="0" borderId="3" xfId="24490" applyNumberFormat="1" applyFont="1" applyBorder="1"/>
    <xf numFmtId="218" fontId="124" fillId="6" borderId="56" xfId="24490" applyNumberFormat="1" applyFont="1" applyFill="1" applyBorder="1"/>
    <xf numFmtId="218" fontId="124" fillId="6" borderId="0" xfId="24490" applyNumberFormat="1" applyFont="1" applyFill="1" applyAlignment="1">
      <alignment horizontal="right"/>
    </xf>
    <xf numFmtId="218" fontId="124" fillId="6" borderId="3" xfId="24490" applyNumberFormat="1" applyFont="1" applyFill="1" applyBorder="1" applyAlignment="1">
      <alignment horizontal="right"/>
    </xf>
    <xf numFmtId="218" fontId="71" fillId="0" borderId="0" xfId="24490" applyNumberFormat="1" applyFont="1" applyAlignment="1">
      <alignment horizontal="right"/>
    </xf>
    <xf numFmtId="218" fontId="71" fillId="0" borderId="3" xfId="24490" applyNumberFormat="1" applyFont="1" applyBorder="1" applyAlignment="1">
      <alignment horizontal="right"/>
    </xf>
    <xf numFmtId="10" fontId="71" fillId="9" borderId="140" xfId="12401" applyNumberFormat="1" applyFont="1" applyFill="1" applyBorder="1" applyAlignment="1">
      <alignment horizontal="centerContinuous" vertical="center" wrapText="1"/>
    </xf>
    <xf numFmtId="1" fontId="84" fillId="2" borderId="140" xfId="13" applyNumberFormat="1" applyFont="1" applyFill="1" applyBorder="1" applyAlignment="1">
      <alignment horizontal="centerContinuous" vertical="center" wrapText="1"/>
    </xf>
    <xf numFmtId="179" fontId="102" fillId="2" borderId="145" xfId="12401" applyNumberFormat="1" applyFont="1" applyFill="1" applyBorder="1" applyAlignment="1">
      <alignment horizontal="center" vertical="center"/>
    </xf>
    <xf numFmtId="0" fontId="84" fillId="0" borderId="145" xfId="13" applyFont="1" applyBorder="1" applyAlignment="1">
      <alignment horizontal="centerContinuous" vertical="center" wrapText="1"/>
    </xf>
    <xf numFmtId="0" fontId="84" fillId="0" borderId="140" xfId="13" quotePrefix="1" applyFont="1" applyBorder="1" applyAlignment="1">
      <alignment horizontal="centerContinuous" vertical="center" wrapText="1"/>
    </xf>
    <xf numFmtId="1" fontId="84" fillId="9" borderId="140" xfId="13" applyNumberFormat="1" applyFont="1" applyFill="1" applyBorder="1" applyAlignment="1">
      <alignment horizontal="centerContinuous" vertical="center" wrapText="1"/>
    </xf>
    <xf numFmtId="0" fontId="66" fillId="2" borderId="145" xfId="10" applyFont="1" applyFill="1" applyBorder="1"/>
    <xf numFmtId="0" fontId="71" fillId="2" borderId="140" xfId="9860" applyFont="1" applyFill="1" applyBorder="1" applyAlignment="1">
      <alignment horizontal="center" vertical="center" wrapText="1"/>
    </xf>
    <xf numFmtId="0" fontId="84" fillId="2" borderId="140" xfId="0" applyFont="1" applyFill="1" applyBorder="1" applyAlignment="1">
      <alignment horizontal="centerContinuous" vertical="center" wrapText="1"/>
    </xf>
    <xf numFmtId="43" fontId="66" fillId="2" borderId="0" xfId="24490" applyFont="1" applyFill="1"/>
    <xf numFmtId="0" fontId="71" fillId="2" borderId="145" xfId="0" applyFont="1" applyFill="1" applyBorder="1" applyAlignment="1">
      <alignment horizontal="center" vertical="center" wrapText="1"/>
    </xf>
    <xf numFmtId="0" fontId="126" fillId="0" borderId="145" xfId="0" applyFont="1" applyBorder="1" applyAlignment="1">
      <alignment horizontal="center" vertical="center" wrapText="1"/>
    </xf>
    <xf numFmtId="0" fontId="71" fillId="0" borderId="145" xfId="0" quotePrefix="1" applyFont="1" applyBorder="1" applyAlignment="1">
      <alignment horizontal="center" vertical="center" wrapText="1"/>
    </xf>
    <xf numFmtId="171" fontId="66" fillId="2" borderId="0" xfId="0" applyNumberFormat="1" applyFont="1" applyFill="1"/>
    <xf numFmtId="0" fontId="84" fillId="2" borderId="140" xfId="12" applyFont="1" applyFill="1" applyBorder="1" applyAlignment="1">
      <alignment horizontal="centerContinuous" vertical="center" wrapText="1"/>
    </xf>
    <xf numFmtId="0" fontId="84" fillId="2" borderId="140" xfId="12" quotePrefix="1" applyFont="1" applyFill="1" applyBorder="1" applyAlignment="1">
      <alignment horizontal="centerContinuous" vertical="center" wrapText="1"/>
    </xf>
    <xf numFmtId="170" fontId="71" fillId="0" borderId="56" xfId="9931" applyNumberFormat="1" applyFont="1" applyBorder="1" applyAlignment="1">
      <alignment vertical="center"/>
    </xf>
    <xf numFmtId="173" fontId="66" fillId="2" borderId="0" xfId="12" applyNumberFormat="1" applyFont="1" applyFill="1" applyAlignment="1">
      <alignment vertical="center" wrapText="1"/>
    </xf>
    <xf numFmtId="211" fontId="0" fillId="9" borderId="0" xfId="9861" applyNumberFormat="1" applyFont="1" applyFill="1"/>
    <xf numFmtId="0" fontId="84" fillId="2" borderId="6" xfId="16" applyFont="1" applyFill="1" applyBorder="1" applyAlignment="1">
      <alignment horizontal="centerContinuous" vertical="center" wrapText="1"/>
    </xf>
    <xf numFmtId="0" fontId="71" fillId="0" borderId="65" xfId="16" applyFont="1" applyBorder="1" applyAlignment="1">
      <alignment horizontal="centerContinuous" vertical="center" wrapText="1"/>
    </xf>
    <xf numFmtId="0" fontId="71" fillId="0" borderId="65" xfId="16" quotePrefix="1" applyFont="1" applyBorder="1" applyAlignment="1">
      <alignment horizontal="center" vertical="center" wrapText="1"/>
    </xf>
    <xf numFmtId="0" fontId="84" fillId="2" borderId="82" xfId="16" applyFont="1" applyFill="1" applyBorder="1" applyAlignment="1">
      <alignment horizontal="center" vertical="center" wrapText="1"/>
    </xf>
    <xf numFmtId="170" fontId="71" fillId="7" borderId="78" xfId="16" applyNumberFormat="1" applyFont="1" applyFill="1" applyBorder="1" applyAlignment="1">
      <alignment horizontal="right" vertical="center"/>
    </xf>
    <xf numFmtId="1" fontId="107" fillId="2" borderId="56" xfId="9" applyNumberFormat="1" applyFont="1" applyFill="1" applyBorder="1" applyAlignment="1" applyProtection="1">
      <alignment horizontal="center" vertical="center"/>
    </xf>
    <xf numFmtId="170" fontId="71" fillId="0" borderId="85" xfId="16" applyNumberFormat="1" applyFont="1" applyBorder="1" applyAlignment="1">
      <alignment vertical="center"/>
    </xf>
    <xf numFmtId="170" fontId="71" fillId="7" borderId="0" xfId="16" applyNumberFormat="1" applyFont="1" applyFill="1" applyAlignment="1">
      <alignment vertical="center"/>
    </xf>
    <xf numFmtId="175" fontId="71" fillId="0" borderId="85" xfId="16" applyNumberFormat="1" applyFont="1" applyBorder="1" applyAlignment="1">
      <alignment vertical="center"/>
    </xf>
    <xf numFmtId="175" fontId="71" fillId="0" borderId="0" xfId="16" applyNumberFormat="1" applyFont="1" applyAlignment="1">
      <alignment vertical="center"/>
    </xf>
    <xf numFmtId="175" fontId="71" fillId="0" borderId="130" xfId="16" applyNumberFormat="1" applyFont="1" applyBorder="1" applyAlignment="1">
      <alignment vertical="center"/>
    </xf>
    <xf numFmtId="170" fontId="103" fillId="3" borderId="56" xfId="16" applyNumberFormat="1" applyFont="1" applyFill="1" applyBorder="1" applyAlignment="1">
      <alignment vertical="center"/>
    </xf>
    <xf numFmtId="175" fontId="124" fillId="6" borderId="3" xfId="16" applyNumberFormat="1" applyFont="1" applyFill="1" applyBorder="1" applyAlignment="1">
      <alignment vertical="center"/>
    </xf>
    <xf numFmtId="175" fontId="71" fillId="0" borderId="56" xfId="16" applyNumberFormat="1" applyFont="1" applyBorder="1" applyAlignment="1">
      <alignment vertical="center"/>
    </xf>
    <xf numFmtId="175" fontId="71" fillId="0" borderId="58" xfId="16" applyNumberFormat="1" applyFont="1" applyBorder="1" applyAlignment="1">
      <alignment vertical="center"/>
    </xf>
    <xf numFmtId="175" fontId="71" fillId="0" borderId="130" xfId="16" quotePrefix="1" applyNumberFormat="1" applyFont="1" applyBorder="1" applyAlignment="1">
      <alignment vertical="center"/>
    </xf>
    <xf numFmtId="175" fontId="109" fillId="0" borderId="0" xfId="16" applyNumberFormat="1" applyFont="1" applyAlignment="1">
      <alignment vertical="center"/>
    </xf>
    <xf numFmtId="175" fontId="109" fillId="0" borderId="85" xfId="16" applyNumberFormat="1" applyFont="1" applyBorder="1" applyAlignment="1">
      <alignment vertical="center"/>
    </xf>
    <xf numFmtId="170" fontId="103" fillId="3" borderId="0" xfId="16" applyNumberFormat="1" applyFont="1" applyFill="1" applyAlignment="1">
      <alignment vertical="center"/>
    </xf>
    <xf numFmtId="170" fontId="103" fillId="7" borderId="0" xfId="16" applyNumberFormat="1" applyFont="1" applyFill="1" applyAlignment="1">
      <alignment vertical="center"/>
    </xf>
    <xf numFmtId="170" fontId="71" fillId="0" borderId="0" xfId="16" applyNumberFormat="1" applyFont="1" applyAlignment="1">
      <alignment vertical="center"/>
    </xf>
    <xf numFmtId="170" fontId="167" fillId="44" borderId="85" xfId="16" applyNumberFormat="1" applyFont="1" applyFill="1" applyBorder="1" applyAlignment="1">
      <alignment vertical="center"/>
    </xf>
    <xf numFmtId="170" fontId="71" fillId="44" borderId="95" xfId="16" applyNumberFormat="1" applyFont="1" applyFill="1" applyBorder="1" applyAlignment="1">
      <alignment vertical="center"/>
    </xf>
    <xf numFmtId="3" fontId="71" fillId="0" borderId="0" xfId="0" applyNumberFormat="1" applyFont="1" applyAlignment="1">
      <alignment vertical="center"/>
    </xf>
    <xf numFmtId="175" fontId="207" fillId="0" borderId="0" xfId="16" applyNumberFormat="1" applyFont="1" applyAlignment="1">
      <alignment vertical="center"/>
    </xf>
    <xf numFmtId="170" fontId="71" fillId="44" borderId="2" xfId="16" applyNumberFormat="1" applyFont="1" applyFill="1" applyBorder="1" applyAlignment="1">
      <alignment vertical="center"/>
    </xf>
    <xf numFmtId="170" fontId="167" fillId="44" borderId="130" xfId="16" applyNumberFormat="1" applyFont="1" applyFill="1" applyBorder="1" applyAlignment="1">
      <alignment vertical="center"/>
    </xf>
    <xf numFmtId="170" fontId="71" fillId="44" borderId="0" xfId="16" applyNumberFormat="1" applyFont="1" applyFill="1" applyAlignment="1">
      <alignment vertical="center"/>
    </xf>
    <xf numFmtId="175" fontId="71" fillId="0" borderId="0" xfId="16" quotePrefix="1" applyNumberFormat="1" applyFont="1" applyAlignment="1">
      <alignment vertical="center"/>
    </xf>
    <xf numFmtId="175" fontId="71" fillId="0" borderId="85" xfId="16" quotePrefix="1" applyNumberFormat="1" applyFont="1" applyBorder="1" applyAlignment="1">
      <alignment vertical="center"/>
    </xf>
    <xf numFmtId="3" fontId="71" fillId="0" borderId="85" xfId="16" applyNumberFormat="1" applyFont="1" applyBorder="1" applyAlignment="1">
      <alignment vertical="center"/>
    </xf>
    <xf numFmtId="3" fontId="71" fillId="0" borderId="0" xfId="16" applyNumberFormat="1" applyFont="1" applyAlignment="1">
      <alignment vertical="center"/>
    </xf>
    <xf numFmtId="0" fontId="83" fillId="2" borderId="23" xfId="126" applyFont="1" applyFill="1" applyBorder="1"/>
    <xf numFmtId="0" fontId="71" fillId="2" borderId="0" xfId="126" applyFont="1" applyFill="1" applyAlignment="1">
      <alignment vertical="center"/>
    </xf>
    <xf numFmtId="0" fontId="95" fillId="2" borderId="0" xfId="126" applyFont="1" applyFill="1" applyAlignment="1">
      <alignment horizontal="center" vertical="center"/>
    </xf>
    <xf numFmtId="0" fontId="87" fillId="2" borderId="6" xfId="126" applyFont="1" applyFill="1" applyBorder="1" applyAlignment="1">
      <alignment horizontal="centerContinuous" vertical="center" wrapText="1"/>
    </xf>
    <xf numFmtId="0" fontId="71" fillId="2" borderId="66" xfId="126" quotePrefix="1" applyFont="1" applyFill="1" applyBorder="1" applyAlignment="1">
      <alignment horizontal="center" vertical="center" wrapText="1"/>
    </xf>
    <xf numFmtId="10" fontId="71" fillId="2" borderId="65" xfId="12405" applyNumberFormat="1" applyFont="1" applyFill="1" applyBorder="1" applyAlignment="1">
      <alignment horizontal="centerContinuous" vertical="center"/>
    </xf>
    <xf numFmtId="10" fontId="71" fillId="2" borderId="6" xfId="12405" applyNumberFormat="1" applyFont="1" applyFill="1" applyBorder="1" applyAlignment="1">
      <alignment horizontal="centerContinuous" vertical="center"/>
    </xf>
    <xf numFmtId="0" fontId="71" fillId="2" borderId="83" xfId="126" quotePrefix="1" applyFont="1" applyFill="1" applyBorder="1" applyAlignment="1">
      <alignment horizontal="center" vertical="center" wrapText="1"/>
    </xf>
    <xf numFmtId="0" fontId="71" fillId="2" borderId="6" xfId="126" quotePrefix="1" applyFont="1" applyFill="1" applyBorder="1" applyAlignment="1">
      <alignment horizontal="center" vertical="center" wrapText="1"/>
    </xf>
    <xf numFmtId="0" fontId="71" fillId="2" borderId="65" xfId="126" quotePrefix="1" applyFont="1" applyFill="1" applyBorder="1" applyAlignment="1">
      <alignment horizontal="center" vertical="center" wrapText="1"/>
    </xf>
    <xf numFmtId="0" fontId="84" fillId="2" borderId="20" xfId="126" quotePrefix="1" applyFont="1" applyFill="1" applyBorder="1" applyAlignment="1">
      <alignment horizontal="center" vertical="center"/>
    </xf>
    <xf numFmtId="0" fontId="84" fillId="2" borderId="21" xfId="126" applyFont="1" applyFill="1" applyBorder="1" applyAlignment="1">
      <alignment horizontal="center" vertical="center" wrapText="1"/>
    </xf>
    <xf numFmtId="0" fontId="84" fillId="2" borderId="21" xfId="126" quotePrefix="1" applyFont="1" applyFill="1" applyBorder="1" applyAlignment="1">
      <alignment horizontal="center" vertical="center" wrapText="1"/>
    </xf>
    <xf numFmtId="0" fontId="84" fillId="2" borderId="20" xfId="126" quotePrefix="1" applyFont="1" applyFill="1" applyBorder="1" applyAlignment="1">
      <alignment horizontal="center" vertical="center" wrapText="1"/>
    </xf>
    <xf numFmtId="0" fontId="84" fillId="2" borderId="27" xfId="126" applyFont="1" applyFill="1" applyBorder="1" applyAlignment="1">
      <alignment horizontal="center" vertical="center" wrapText="1"/>
    </xf>
    <xf numFmtId="2" fontId="110" fillId="0" borderId="3" xfId="126" applyNumberFormat="1" applyFont="1" applyBorder="1" applyAlignment="1">
      <alignment horizontal="center"/>
    </xf>
    <xf numFmtId="177" fontId="71" fillId="10" borderId="56" xfId="126" applyNumberFormat="1" applyFont="1" applyFill="1" applyBorder="1"/>
    <xf numFmtId="177" fontId="71" fillId="10" borderId="0" xfId="126" applyNumberFormat="1" applyFont="1" applyFill="1"/>
    <xf numFmtId="3" fontId="209" fillId="0" borderId="56" xfId="126" applyNumberFormat="1" applyFont="1" applyBorder="1"/>
    <xf numFmtId="3" fontId="209" fillId="0" borderId="0" xfId="126" applyNumberFormat="1" applyFont="1"/>
    <xf numFmtId="3" fontId="209" fillId="0" borderId="85" xfId="126" applyNumberFormat="1" applyFont="1" applyBorder="1"/>
    <xf numFmtId="3" fontId="209" fillId="0" borderId="87" xfId="126" applyNumberFormat="1" applyFont="1" applyBorder="1"/>
    <xf numFmtId="3" fontId="209" fillId="0" borderId="16" xfId="126" applyNumberFormat="1" applyFont="1" applyBorder="1"/>
    <xf numFmtId="3" fontId="71" fillId="0" borderId="85" xfId="126" applyNumberFormat="1" applyFont="1" applyBorder="1"/>
    <xf numFmtId="3" fontId="71" fillId="0" borderId="87" xfId="126" applyNumberFormat="1" applyFont="1" applyBorder="1"/>
    <xf numFmtId="3" fontId="71" fillId="0" borderId="16" xfId="126" applyNumberFormat="1" applyFont="1" applyBorder="1"/>
    <xf numFmtId="3" fontId="71" fillId="0" borderId="3" xfId="126" applyNumberFormat="1" applyFont="1" applyBorder="1"/>
    <xf numFmtId="3" fontId="124" fillId="6" borderId="56" xfId="126" applyNumberFormat="1" applyFont="1" applyFill="1" applyBorder="1" applyAlignment="1">
      <alignment horizontal="right" vertical="center" wrapText="1"/>
    </xf>
    <xf numFmtId="3" fontId="124" fillId="6" borderId="0" xfId="126" applyNumberFormat="1" applyFont="1" applyFill="1" applyAlignment="1">
      <alignment horizontal="right" vertical="center" wrapText="1"/>
    </xf>
    <xf numFmtId="3" fontId="124" fillId="6" borderId="86" xfId="126" applyNumberFormat="1" applyFont="1" applyFill="1" applyBorder="1" applyAlignment="1">
      <alignment horizontal="right" vertical="center" wrapText="1"/>
    </xf>
    <xf numFmtId="3" fontId="209" fillId="0" borderId="56" xfId="126" applyNumberFormat="1" applyFont="1" applyBorder="1" applyAlignment="1">
      <alignment horizontal="right" vertical="center" wrapText="1"/>
    </xf>
    <xf numFmtId="3" fontId="209" fillId="0" borderId="0" xfId="126" applyNumberFormat="1" applyFont="1" applyAlignment="1">
      <alignment horizontal="right" vertical="center" wrapText="1"/>
    </xf>
    <xf numFmtId="184" fontId="124" fillId="6" borderId="87" xfId="126" applyNumberFormat="1" applyFont="1" applyFill="1" applyBorder="1" applyAlignment="1">
      <alignment vertical="center" wrapText="1"/>
    </xf>
    <xf numFmtId="184" fontId="124" fillId="6" borderId="0" xfId="126" applyNumberFormat="1" applyFont="1" applyFill="1" applyAlignment="1">
      <alignment vertical="center" wrapText="1"/>
    </xf>
    <xf numFmtId="184" fontId="71" fillId="0" borderId="87" xfId="126" applyNumberFormat="1" applyFont="1" applyBorder="1" applyAlignment="1">
      <alignment vertical="center" wrapText="1"/>
    </xf>
    <xf numFmtId="184" fontId="71" fillId="0" borderId="0" xfId="126" applyNumberFormat="1" applyFont="1" applyAlignment="1">
      <alignment vertical="center" wrapText="1"/>
    </xf>
    <xf numFmtId="184" fontId="71" fillId="0" borderId="87" xfId="126" applyNumberFormat="1" applyFont="1" applyBorder="1" applyAlignment="1">
      <alignment vertical="center"/>
    </xf>
    <xf numFmtId="184" fontId="71" fillId="0" borderId="16" xfId="126" applyNumberFormat="1" applyFont="1" applyBorder="1" applyAlignment="1">
      <alignment vertical="center"/>
    </xf>
    <xf numFmtId="179" fontId="277" fillId="9" borderId="0" xfId="12401" applyNumberFormat="1" applyFont="1" applyFill="1"/>
    <xf numFmtId="170" fontId="232" fillId="0" borderId="0" xfId="0" applyNumberFormat="1" applyFont="1"/>
    <xf numFmtId="4" fontId="103" fillId="3" borderId="57" xfId="14" applyNumberFormat="1" applyFont="1" applyFill="1" applyBorder="1"/>
    <xf numFmtId="3" fontId="287" fillId="74" borderId="0" xfId="18286" applyNumberFormat="1" applyFont="1" applyFill="1" applyAlignment="1">
      <alignment horizontal="right"/>
    </xf>
    <xf numFmtId="3" fontId="66" fillId="2" borderId="0" xfId="16" applyNumberFormat="1" applyFill="1"/>
    <xf numFmtId="184" fontId="124" fillId="6" borderId="56" xfId="9859" applyNumberFormat="1" applyFont="1" applyFill="1" applyBorder="1" applyAlignment="1"/>
    <xf numFmtId="184" fontId="109" fillId="0" borderId="16" xfId="9859" applyNumberFormat="1" applyFont="1" applyFill="1" applyBorder="1" applyAlignment="1"/>
    <xf numFmtId="184" fontId="109" fillId="0" borderId="57" xfId="9859" applyNumberFormat="1" applyFont="1" applyFill="1" applyBorder="1" applyAlignment="1"/>
    <xf numFmtId="184" fontId="109" fillId="0" borderId="3" xfId="9859" applyNumberFormat="1" applyFont="1" applyFill="1" applyBorder="1" applyAlignment="1"/>
    <xf numFmtId="184" fontId="71" fillId="0" borderId="56" xfId="9859" applyNumberFormat="1" applyFont="1" applyFill="1" applyBorder="1" applyAlignment="1"/>
    <xf numFmtId="184" fontId="124" fillId="6" borderId="38" xfId="9859" applyNumberFormat="1" applyFont="1" applyFill="1" applyBorder="1" applyAlignment="1"/>
    <xf numFmtId="184" fontId="71" fillId="0" borderId="16" xfId="9859" applyNumberFormat="1" applyFont="1" applyFill="1" applyBorder="1" applyAlignment="1"/>
    <xf numFmtId="184" fontId="124" fillId="6" borderId="59" xfId="9859" applyNumberFormat="1" applyFont="1" applyFill="1" applyBorder="1" applyAlignment="1"/>
    <xf numFmtId="184" fontId="71" fillId="0" borderId="57" xfId="9859" applyNumberFormat="1" applyFont="1" applyFill="1" applyBorder="1" applyAlignment="1"/>
    <xf numFmtId="184" fontId="71" fillId="0" borderId="3" xfId="9859" applyNumberFormat="1" applyFont="1" applyFill="1" applyBorder="1" applyAlignment="1"/>
    <xf numFmtId="184" fontId="71" fillId="0" borderId="57" xfId="5120" applyNumberFormat="1" applyFont="1" applyFill="1" applyBorder="1" applyAlignment="1"/>
    <xf numFmtId="1" fontId="84" fillId="0" borderId="83" xfId="16" applyNumberFormat="1" applyFont="1" applyBorder="1" applyAlignment="1">
      <alignment horizontal="center" vertical="center" wrapText="1"/>
    </xf>
    <xf numFmtId="0" fontId="66" fillId="9" borderId="56" xfId="18289" applyFont="1" applyFill="1" applyBorder="1"/>
    <xf numFmtId="0" fontId="84" fillId="7" borderId="130" xfId="16" applyFont="1" applyFill="1" applyBorder="1" applyAlignment="1">
      <alignment horizontal="center" vertical="center" wrapText="1"/>
    </xf>
    <xf numFmtId="170" fontId="175" fillId="6" borderId="130" xfId="16" applyNumberFormat="1" applyFont="1" applyFill="1" applyBorder="1"/>
    <xf numFmtId="170" fontId="109" fillId="0" borderId="130" xfId="16" applyNumberFormat="1" applyFont="1" applyBorder="1"/>
    <xf numFmtId="170" fontId="209" fillId="0" borderId="130" xfId="16" applyNumberFormat="1" applyFont="1" applyBorder="1"/>
    <xf numFmtId="0" fontId="84" fillId="7" borderId="85" xfId="16" applyFont="1" applyFill="1" applyBorder="1" applyAlignment="1">
      <alignment horizontal="center" vertical="center" wrapText="1"/>
    </xf>
    <xf numFmtId="170" fontId="131" fillId="0" borderId="85" xfId="16" applyNumberFormat="1" applyFont="1" applyBorder="1"/>
    <xf numFmtId="0" fontId="71" fillId="2" borderId="0" xfId="16" applyFont="1" applyFill="1" applyAlignment="1">
      <alignment horizontal="centerContinuous" vertical="top"/>
    </xf>
    <xf numFmtId="0" fontId="86" fillId="2" borderId="0" xfId="16" applyFont="1" applyFill="1" applyAlignment="1">
      <alignment vertical="center" readingOrder="2"/>
    </xf>
    <xf numFmtId="0" fontId="86" fillId="2" borderId="16" xfId="16" applyFont="1" applyFill="1" applyBorder="1" applyAlignment="1">
      <alignment vertical="center" readingOrder="2"/>
    </xf>
    <xf numFmtId="0" fontId="86" fillId="2" borderId="7" xfId="16" applyFont="1" applyFill="1" applyBorder="1" applyAlignment="1">
      <alignment horizontal="centerContinuous" vertical="center"/>
    </xf>
    <xf numFmtId="1" fontId="84" fillId="2" borderId="31" xfId="16" applyNumberFormat="1" applyFont="1" applyFill="1" applyBorder="1" applyAlignment="1">
      <alignment horizontal="centerContinuous" vertical="center" wrapText="1"/>
    </xf>
    <xf numFmtId="10" fontId="71" fillId="2" borderId="5" xfId="10594" applyNumberFormat="1" applyFont="1" applyFill="1" applyBorder="1" applyAlignment="1">
      <alignment horizontal="centerContinuous" vertical="center" wrapText="1"/>
    </xf>
    <xf numFmtId="10" fontId="71" fillId="2" borderId="5" xfId="10594" applyNumberFormat="1" applyFont="1" applyFill="1" applyBorder="1" applyAlignment="1">
      <alignment horizontal="center" vertical="center" wrapText="1"/>
    </xf>
    <xf numFmtId="10" fontId="84" fillId="2" borderId="19" xfId="10594" applyNumberFormat="1" applyFont="1" applyFill="1" applyBorder="1" applyAlignment="1">
      <alignment horizontal="center" vertical="center" wrapText="1"/>
    </xf>
    <xf numFmtId="0" fontId="289" fillId="69" borderId="0" xfId="0" applyFont="1" applyFill="1" applyAlignment="1">
      <alignment horizontal="right" vertical="center" indent="2"/>
    </xf>
    <xf numFmtId="0" fontId="133" fillId="2" borderId="0" xfId="0" applyFont="1" applyFill="1" applyAlignment="1">
      <alignment horizontal="left" vertical="center"/>
    </xf>
    <xf numFmtId="212" fontId="103" fillId="3" borderId="98" xfId="0" applyNumberFormat="1" applyFont="1" applyFill="1" applyBorder="1"/>
    <xf numFmtId="212" fontId="103" fillId="3" borderId="36" xfId="0" applyNumberFormat="1" applyFont="1" applyFill="1" applyBorder="1"/>
    <xf numFmtId="212" fontId="71" fillId="0" borderId="85" xfId="0" applyNumberFormat="1" applyFont="1" applyBorder="1"/>
    <xf numFmtId="212" fontId="71" fillId="0" borderId="0" xfId="0" applyNumberFormat="1" applyFont="1"/>
    <xf numFmtId="212" fontId="71" fillId="0" borderId="16" xfId="0" applyNumberFormat="1" applyFont="1" applyBorder="1"/>
    <xf numFmtId="212" fontId="103" fillId="3" borderId="15" xfId="0" applyNumberFormat="1" applyFont="1" applyFill="1" applyBorder="1"/>
    <xf numFmtId="212" fontId="110" fillId="0" borderId="0" xfId="0" applyNumberFormat="1" applyFont="1"/>
    <xf numFmtId="0" fontId="131" fillId="9" borderId="0" xfId="18289" applyFont="1" applyFill="1"/>
    <xf numFmtId="0" fontId="131" fillId="9" borderId="3" xfId="18289" applyFont="1" applyFill="1" applyBorder="1"/>
    <xf numFmtId="0" fontId="131" fillId="9" borderId="6" xfId="18289" applyFont="1" applyFill="1" applyBorder="1"/>
    <xf numFmtId="0" fontId="131" fillId="9" borderId="7" xfId="18289" applyFont="1" applyFill="1" applyBorder="1"/>
    <xf numFmtId="0" fontId="131" fillId="9" borderId="6" xfId="18289" applyFont="1" applyFill="1" applyBorder="1" applyAlignment="1">
      <alignment horizontal="centerContinuous" vertical="center" wrapText="1"/>
    </xf>
    <xf numFmtId="0" fontId="131" fillId="9" borderId="65" xfId="18289" applyFont="1" applyFill="1" applyBorder="1" applyAlignment="1">
      <alignment horizontal="center" vertical="center" wrapText="1"/>
    </xf>
    <xf numFmtId="2" fontId="131" fillId="0" borderId="0" xfId="18289" applyNumberFormat="1" applyFont="1" applyAlignment="1">
      <alignment horizontal="center"/>
    </xf>
    <xf numFmtId="0" fontId="131" fillId="7" borderId="0" xfId="18289" applyFont="1" applyFill="1"/>
    <xf numFmtId="0" fontId="131" fillId="7" borderId="130" xfId="18289" applyFont="1" applyFill="1" applyBorder="1"/>
    <xf numFmtId="0" fontId="131" fillId="7" borderId="85" xfId="18289" applyFont="1" applyFill="1" applyBorder="1"/>
    <xf numFmtId="3" fontId="131" fillId="7" borderId="0" xfId="18289" applyNumberFormat="1" applyFont="1" applyFill="1"/>
    <xf numFmtId="3" fontId="131" fillId="7" borderId="130" xfId="18289" applyNumberFormat="1" applyFont="1" applyFill="1" applyBorder="1"/>
    <xf numFmtId="3" fontId="124" fillId="6" borderId="85" xfId="18289" applyNumberFormat="1" applyFont="1" applyFill="1" applyBorder="1"/>
    <xf numFmtId="3" fontId="131" fillId="0" borderId="85" xfId="18289" applyNumberFormat="1" applyFont="1" applyBorder="1"/>
    <xf numFmtId="3" fontId="124" fillId="6" borderId="0" xfId="18289" applyNumberFormat="1" applyFont="1" applyFill="1"/>
    <xf numFmtId="3" fontId="131" fillId="0" borderId="0" xfId="18289" applyNumberFormat="1" applyFont="1"/>
    <xf numFmtId="3" fontId="131" fillId="0" borderId="130" xfId="18289" applyNumberFormat="1" applyFont="1" applyBorder="1"/>
    <xf numFmtId="0" fontId="131" fillId="0" borderId="0" xfId="18289" applyFont="1"/>
    <xf numFmtId="170" fontId="124" fillId="6" borderId="154" xfId="16" applyNumberFormat="1" applyFont="1" applyFill="1" applyBorder="1"/>
    <xf numFmtId="2" fontId="71" fillId="0" borderId="0" xfId="14694" applyNumberFormat="1" applyFont="1"/>
    <xf numFmtId="2" fontId="124" fillId="6" borderId="78" xfId="0" applyNumberFormat="1" applyFont="1" applyFill="1" applyBorder="1" applyAlignment="1">
      <alignment horizontal="right"/>
    </xf>
    <xf numFmtId="2" fontId="124" fillId="6" borderId="101" xfId="12401" applyNumberFormat="1" applyFont="1" applyFill="1" applyBorder="1" applyAlignment="1"/>
    <xf numFmtId="2" fontId="124" fillId="6" borderId="80" xfId="0" applyNumberFormat="1" applyFont="1" applyFill="1" applyBorder="1"/>
    <xf numFmtId="3" fontId="124" fillId="6" borderId="130" xfId="18289" applyNumberFormat="1" applyFont="1" applyFill="1" applyBorder="1"/>
    <xf numFmtId="0" fontId="131" fillId="7" borderId="58" xfId="18289" applyFont="1" applyFill="1" applyBorder="1"/>
    <xf numFmtId="3" fontId="124" fillId="6" borderId="58" xfId="18289" applyNumberFormat="1" applyFont="1" applyFill="1" applyBorder="1"/>
    <xf numFmtId="3" fontId="131" fillId="0" borderId="58" xfId="18289" applyNumberFormat="1" applyFont="1" applyBorder="1"/>
    <xf numFmtId="172" fontId="130" fillId="3" borderId="60" xfId="13" applyNumberFormat="1" applyFont="1" applyFill="1" applyBorder="1"/>
    <xf numFmtId="10" fontId="103" fillId="3" borderId="86" xfId="13" applyNumberFormat="1" applyFont="1" applyFill="1" applyBorder="1"/>
    <xf numFmtId="3" fontId="109" fillId="0" borderId="58" xfId="18289" applyNumberFormat="1" applyFont="1" applyBorder="1"/>
    <xf numFmtId="4" fontId="103" fillId="3" borderId="58" xfId="14" applyNumberFormat="1" applyFont="1" applyFill="1" applyBorder="1" applyAlignment="1">
      <alignment horizontal="right"/>
    </xf>
    <xf numFmtId="0" fontId="84" fillId="9" borderId="6" xfId="0" quotePrefix="1" applyFont="1" applyFill="1" applyBorder="1" applyAlignment="1">
      <alignment horizontal="center" vertical="center" wrapText="1"/>
    </xf>
    <xf numFmtId="0" fontId="84" fillId="9" borderId="7" xfId="0" quotePrefix="1" applyFont="1" applyFill="1" applyBorder="1" applyAlignment="1">
      <alignment horizontal="center" vertical="center" wrapText="1"/>
    </xf>
    <xf numFmtId="3" fontId="131" fillId="9" borderId="0" xfId="18289" applyNumberFormat="1" applyFont="1" applyFill="1"/>
    <xf numFmtId="0" fontId="84" fillId="9" borderId="25" xfId="0" applyFont="1" applyFill="1" applyBorder="1" applyAlignment="1">
      <alignment horizontal="centerContinuous" vertical="center" wrapText="1"/>
    </xf>
    <xf numFmtId="0" fontId="84" fillId="2" borderId="27" xfId="0" quotePrefix="1" applyFont="1" applyFill="1" applyBorder="1" applyAlignment="1">
      <alignment horizontal="center" vertical="center" wrapText="1"/>
    </xf>
    <xf numFmtId="177" fontId="124" fillId="6" borderId="41" xfId="0" applyNumberFormat="1" applyFont="1" applyFill="1" applyBorder="1"/>
    <xf numFmtId="168" fontId="71" fillId="0" borderId="16" xfId="24490" applyNumberFormat="1" applyFont="1" applyBorder="1"/>
    <xf numFmtId="0" fontId="71" fillId="9" borderId="65" xfId="0" applyFont="1" applyFill="1" applyBorder="1" applyAlignment="1">
      <alignment horizontal="centerContinuous" vertical="center" wrapText="1"/>
    </xf>
    <xf numFmtId="0" fontId="71" fillId="9" borderId="65" xfId="0" applyFont="1" applyFill="1" applyBorder="1" applyAlignment="1">
      <alignment horizontal="center" vertical="center" wrapText="1"/>
    </xf>
    <xf numFmtId="175" fontId="113" fillId="3" borderId="78" xfId="0" applyNumberFormat="1" applyFont="1" applyFill="1" applyBorder="1"/>
    <xf numFmtId="175" fontId="175" fillId="6" borderId="78" xfId="0" applyNumberFormat="1" applyFont="1" applyFill="1" applyBorder="1"/>
    <xf numFmtId="175" fontId="113" fillId="3" borderId="40" xfId="0" applyNumberFormat="1" applyFont="1" applyFill="1" applyBorder="1"/>
    <xf numFmtId="175" fontId="109" fillId="0" borderId="56" xfId="0" applyNumberFormat="1" applyFont="1" applyBorder="1"/>
    <xf numFmtId="175" fontId="71" fillId="10" borderId="78" xfId="0" applyNumberFormat="1" applyFont="1" applyFill="1" applyBorder="1"/>
    <xf numFmtId="168" fontId="71" fillId="0" borderId="16" xfId="24490" applyNumberFormat="1" applyFont="1" applyFill="1" applyBorder="1"/>
    <xf numFmtId="0" fontId="71" fillId="0" borderId="155" xfId="0" applyFont="1" applyBorder="1" applyAlignment="1">
      <alignment horizontal="centerContinuous" vertical="center" wrapText="1"/>
    </xf>
    <xf numFmtId="0" fontId="71" fillId="0" borderId="156" xfId="13" quotePrefix="1" applyFont="1" applyBorder="1" applyAlignment="1">
      <alignment horizontal="center" vertical="center" wrapText="1"/>
    </xf>
    <xf numFmtId="179" fontId="102" fillId="2" borderId="156" xfId="12401" applyNumberFormat="1" applyFont="1" applyFill="1" applyBorder="1" applyAlignment="1">
      <alignment horizontal="center" vertical="center"/>
    </xf>
    <xf numFmtId="0" fontId="71" fillId="2" borderId="156" xfId="13" applyFont="1" applyFill="1" applyBorder="1" applyAlignment="1">
      <alignment horizontal="center" vertical="center" wrapText="1"/>
    </xf>
    <xf numFmtId="10" fontId="71" fillId="2" borderId="153" xfId="10594" applyNumberFormat="1" applyFont="1" applyFill="1" applyBorder="1" applyAlignment="1">
      <alignment horizontal="centerContinuous" vertical="center" wrapText="1"/>
    </xf>
    <xf numFmtId="10" fontId="87" fillId="9" borderId="153" xfId="10594" applyNumberFormat="1" applyFont="1" applyFill="1" applyBorder="1" applyAlignment="1">
      <alignment horizontal="center"/>
    </xf>
    <xf numFmtId="10" fontId="71" fillId="2" borderId="153" xfId="10594" applyNumberFormat="1" applyFont="1" applyFill="1" applyBorder="1" applyAlignment="1">
      <alignment horizontal="center" vertical="center" wrapText="1"/>
    </xf>
    <xf numFmtId="0" fontId="66" fillId="2" borderId="85" xfId="0" applyFont="1" applyFill="1" applyBorder="1"/>
    <xf numFmtId="1" fontId="84" fillId="0" borderId="156" xfId="16" applyNumberFormat="1" applyFont="1" applyBorder="1" applyAlignment="1">
      <alignment horizontal="center" vertical="center" wrapText="1"/>
    </xf>
    <xf numFmtId="1" fontId="84" fillId="0" borderId="153" xfId="16" applyNumberFormat="1" applyFont="1" applyBorder="1" applyAlignment="1">
      <alignment horizontal="center" vertical="center" wrapText="1"/>
    </xf>
    <xf numFmtId="0" fontId="66" fillId="2" borderId="0" xfId="0" applyFont="1" applyFill="1" applyAlignment="1">
      <alignment vertical="center" readingOrder="2"/>
    </xf>
    <xf numFmtId="1" fontId="71" fillId="0" borderId="156" xfId="16" applyNumberFormat="1" applyFont="1" applyBorder="1" applyAlignment="1">
      <alignment horizontal="centerContinuous" vertical="center" wrapText="1"/>
    </xf>
    <xf numFmtId="1" fontId="71" fillId="0" borderId="153" xfId="16" applyNumberFormat="1" applyFont="1" applyBorder="1" applyAlignment="1">
      <alignment horizontal="centerContinuous" vertical="center" wrapText="1"/>
    </xf>
    <xf numFmtId="0" fontId="71" fillId="2" borderId="153" xfId="16" applyFont="1" applyFill="1" applyBorder="1"/>
    <xf numFmtId="0" fontId="71" fillId="2" borderId="156" xfId="16" applyFont="1" applyFill="1" applyBorder="1" applyAlignment="1">
      <alignment horizontal="center" vertical="center" wrapText="1"/>
    </xf>
    <xf numFmtId="0" fontId="71" fillId="2" borderId="153" xfId="16" applyFont="1" applyFill="1" applyBorder="1" applyAlignment="1">
      <alignment horizontal="center" vertical="center" wrapText="1"/>
    </xf>
    <xf numFmtId="0" fontId="84" fillId="2" borderId="156" xfId="16" applyFont="1" applyFill="1" applyBorder="1" applyAlignment="1">
      <alignment horizontal="center" vertical="center" wrapText="1"/>
    </xf>
    <xf numFmtId="1" fontId="84" fillId="2" borderId="155" xfId="16" applyNumberFormat="1" applyFont="1" applyFill="1" applyBorder="1" applyAlignment="1">
      <alignment horizontal="centerContinuous" vertical="center" wrapText="1"/>
    </xf>
    <xf numFmtId="1" fontId="71" fillId="9" borderId="153" xfId="16" applyNumberFormat="1" applyFont="1" applyFill="1" applyBorder="1" applyAlignment="1">
      <alignment horizontal="centerContinuous" vertical="center" wrapText="1"/>
    </xf>
    <xf numFmtId="1" fontId="71" fillId="0" borderId="155" xfId="16" applyNumberFormat="1" applyFont="1" applyBorder="1" applyAlignment="1">
      <alignment horizontal="centerContinuous" vertical="center" wrapText="1"/>
    </xf>
    <xf numFmtId="0" fontId="71" fillId="2" borderId="155" xfId="16" applyFont="1" applyFill="1" applyBorder="1" applyAlignment="1">
      <alignment horizontal="center" vertical="center" wrapText="1"/>
    </xf>
    <xf numFmtId="0" fontId="84" fillId="2" borderId="153" xfId="16" applyFont="1" applyFill="1" applyBorder="1" applyAlignment="1">
      <alignment horizontal="center" vertical="center" wrapText="1"/>
    </xf>
    <xf numFmtId="0" fontId="131" fillId="9" borderId="156" xfId="18289" applyFont="1" applyFill="1" applyBorder="1" applyAlignment="1">
      <alignment horizontal="center" vertical="center" wrapText="1"/>
    </xf>
    <xf numFmtId="0" fontId="71" fillId="2" borderId="155" xfId="9931" applyFont="1" applyFill="1" applyBorder="1" applyAlignment="1">
      <alignment horizontal="center" vertical="center" wrapText="1"/>
    </xf>
    <xf numFmtId="0" fontId="71" fillId="0" borderId="156" xfId="12400" applyFont="1" applyBorder="1" applyAlignment="1">
      <alignment horizontal="center" vertical="center" wrapText="1"/>
    </xf>
    <xf numFmtId="0" fontId="71" fillId="2" borderId="156" xfId="12400" quotePrefix="1" applyFont="1" applyFill="1" applyBorder="1" applyAlignment="1">
      <alignment horizontal="centerContinuous" vertical="center" wrapText="1"/>
    </xf>
    <xf numFmtId="0" fontId="71" fillId="2" borderId="155" xfId="0" applyFont="1" applyFill="1" applyBorder="1" applyAlignment="1">
      <alignment horizontal="center" vertical="center"/>
    </xf>
    <xf numFmtId="0" fontId="71" fillId="2" borderId="153" xfId="0" applyFont="1" applyFill="1" applyBorder="1" applyAlignment="1">
      <alignment horizontal="center" vertical="center"/>
    </xf>
    <xf numFmtId="0" fontId="71" fillId="2" borderId="155" xfId="0" applyFont="1" applyFill="1" applyBorder="1" applyAlignment="1">
      <alignment horizontal="center" vertical="center" wrapText="1"/>
    </xf>
    <xf numFmtId="0" fontId="71" fillId="2" borderId="156" xfId="0" applyFont="1" applyFill="1" applyBorder="1" applyAlignment="1">
      <alignment horizontal="center" vertical="center" wrapText="1"/>
    </xf>
    <xf numFmtId="0" fontId="71" fillId="2" borderId="155" xfId="0" applyFont="1" applyFill="1" applyBorder="1"/>
    <xf numFmtId="0" fontId="71" fillId="2" borderId="156" xfId="0" applyFont="1" applyFill="1" applyBorder="1"/>
    <xf numFmtId="0" fontId="71" fillId="0" borderId="155" xfId="16" applyFont="1" applyBorder="1" applyAlignment="1">
      <alignment horizontal="center" vertical="center" wrapText="1"/>
    </xf>
    <xf numFmtId="0" fontId="71" fillId="0" borderId="156" xfId="16" applyFont="1" applyBorder="1" applyAlignment="1">
      <alignment horizontal="center" vertical="center" wrapText="1"/>
    </xf>
    <xf numFmtId="0" fontId="71" fillId="9" borderId="155" xfId="16" applyFont="1" applyFill="1" applyBorder="1" applyAlignment="1">
      <alignment horizontal="center" vertical="center" wrapText="1"/>
    </xf>
    <xf numFmtId="0" fontId="71" fillId="0" borderId="153" xfId="0" applyFont="1" applyBorder="1" applyAlignment="1">
      <alignment horizontal="center" vertical="center" wrapText="1"/>
    </xf>
    <xf numFmtId="0" fontId="71" fillId="2" borderId="153" xfId="0" applyFont="1" applyFill="1" applyBorder="1" applyAlignment="1">
      <alignment horizontal="center" vertical="center" wrapText="1"/>
    </xf>
    <xf numFmtId="2" fontId="71" fillId="2" borderId="153" xfId="0" applyNumberFormat="1" applyFont="1" applyFill="1" applyBorder="1" applyAlignment="1">
      <alignment horizontal="center" vertical="center"/>
    </xf>
    <xf numFmtId="0" fontId="71" fillId="0" borderId="155" xfId="0" applyFont="1" applyBorder="1" applyAlignment="1">
      <alignment horizontal="center" vertical="center" wrapText="1"/>
    </xf>
    <xf numFmtId="0" fontId="84" fillId="0" borderId="155" xfId="0" applyFont="1" applyBorder="1" applyAlignment="1">
      <alignment horizontal="centerContinuous" vertical="center" wrapText="1"/>
    </xf>
    <xf numFmtId="0" fontId="71" fillId="9" borderId="155" xfId="0" applyFont="1" applyFill="1" applyBorder="1" applyAlignment="1">
      <alignment horizontal="center" vertical="center" wrapText="1"/>
    </xf>
    <xf numFmtId="0" fontId="71" fillId="2" borderId="155" xfId="0" applyFont="1" applyFill="1" applyBorder="1" applyAlignment="1">
      <alignment horizontal="centerContinuous" vertical="center" wrapText="1"/>
    </xf>
    <xf numFmtId="0" fontId="86" fillId="2" borderId="156" xfId="0" applyFont="1" applyFill="1" applyBorder="1" applyAlignment="1">
      <alignment horizontal="centerContinuous" vertical="center" wrapText="1"/>
    </xf>
    <xf numFmtId="0" fontId="84" fillId="2" borderId="155" xfId="0" applyFont="1" applyFill="1" applyBorder="1" applyAlignment="1">
      <alignment vertical="center"/>
    </xf>
    <xf numFmtId="0" fontId="71" fillId="2" borderId="155" xfId="0" quotePrefix="1" applyFont="1" applyFill="1" applyBorder="1" applyAlignment="1">
      <alignment horizontal="centerContinuous" vertical="center" wrapText="1"/>
    </xf>
    <xf numFmtId="1" fontId="71" fillId="2" borderId="156" xfId="0" applyNumberFormat="1" applyFont="1" applyFill="1" applyBorder="1" applyAlignment="1">
      <alignment horizontal="center" vertical="center"/>
    </xf>
    <xf numFmtId="0" fontId="71" fillId="2" borderId="156" xfId="0" applyFont="1" applyFill="1" applyBorder="1" applyAlignment="1">
      <alignment horizontal="center" vertical="center"/>
    </xf>
    <xf numFmtId="179" fontId="83" fillId="2" borderId="155" xfId="12401" quotePrefix="1" applyNumberFormat="1" applyFont="1" applyFill="1" applyBorder="1" applyAlignment="1" applyProtection="1">
      <alignment horizontal="center" vertical="center"/>
    </xf>
    <xf numFmtId="0" fontId="71" fillId="2" borderId="156" xfId="0" applyFont="1" applyFill="1" applyBorder="1" applyAlignment="1">
      <alignment horizontal="centerContinuous" vertical="center" wrapText="1"/>
    </xf>
    <xf numFmtId="0" fontId="71" fillId="2" borderId="155" xfId="0" applyFont="1" applyFill="1" applyBorder="1" applyAlignment="1">
      <alignment horizontal="centerContinuous" vertical="center"/>
    </xf>
    <xf numFmtId="210" fontId="71" fillId="0" borderId="153" xfId="126" quotePrefix="1" applyNumberFormat="1" applyFont="1" applyBorder="1" applyAlignment="1">
      <alignment horizontal="center" vertical="center" wrapText="1" readingOrder="1"/>
    </xf>
    <xf numFmtId="0" fontId="184" fillId="9" borderId="153" xfId="9858" applyFont="1" applyFill="1" applyBorder="1" applyAlignment="1">
      <alignment horizontal="center" vertical="center" wrapText="1"/>
    </xf>
    <xf numFmtId="2" fontId="71" fillId="0" borderId="153" xfId="9858" applyNumberFormat="1" applyFont="1" applyBorder="1" applyAlignment="1">
      <alignment horizontal="center" vertical="center" wrapText="1"/>
    </xf>
    <xf numFmtId="0" fontId="45" fillId="0" borderId="153" xfId="9858" applyBorder="1"/>
    <xf numFmtId="10" fontId="71" fillId="2" borderId="156" xfId="12401" applyNumberFormat="1" applyFont="1" applyFill="1" applyBorder="1" applyAlignment="1">
      <alignment horizontal="center" vertical="center"/>
    </xf>
    <xf numFmtId="0" fontId="71" fillId="2" borderId="156" xfId="0" quotePrefix="1" applyFont="1" applyFill="1" applyBorder="1" applyAlignment="1">
      <alignment horizontal="center" vertical="center" wrapText="1"/>
    </xf>
    <xf numFmtId="0" fontId="71" fillId="2" borderId="156" xfId="13" applyFont="1" applyFill="1" applyBorder="1" applyAlignment="1">
      <alignment horizontal="center" vertical="center"/>
    </xf>
    <xf numFmtId="0" fontId="84" fillId="2" borderId="156" xfId="13" quotePrefix="1" applyFont="1" applyFill="1" applyBorder="1" applyAlignment="1">
      <alignment horizontal="centerContinuous" vertical="center" wrapText="1"/>
    </xf>
    <xf numFmtId="9" fontId="89" fillId="2" borderId="156" xfId="12401" applyFont="1" applyFill="1" applyBorder="1" applyAlignment="1">
      <alignment horizontal="centerContinuous" vertical="center" wrapText="1"/>
    </xf>
    <xf numFmtId="0" fontId="71" fillId="2" borderId="156" xfId="13" quotePrefix="1" applyFont="1" applyFill="1" applyBorder="1" applyAlignment="1">
      <alignment horizontal="centerContinuous" vertical="center" wrapText="1"/>
    </xf>
    <xf numFmtId="0" fontId="84" fillId="0" borderId="153" xfId="0" applyFont="1" applyBorder="1" applyAlignment="1">
      <alignment horizontal="center" vertical="center" wrapText="1"/>
    </xf>
    <xf numFmtId="0" fontId="71" fillId="2" borderId="153" xfId="13" applyFont="1" applyFill="1" applyBorder="1" applyAlignment="1">
      <alignment horizontal="centerContinuous" vertical="center" wrapText="1"/>
    </xf>
    <xf numFmtId="0" fontId="71" fillId="0" borderId="153" xfId="13" applyFont="1" applyBorder="1" applyAlignment="1">
      <alignment horizontal="center" vertical="center" wrapText="1"/>
    </xf>
    <xf numFmtId="0" fontId="71" fillId="2" borderId="153" xfId="12" applyFont="1" applyFill="1" applyBorder="1" applyAlignment="1">
      <alignment horizontal="center" vertical="center" wrapText="1"/>
    </xf>
    <xf numFmtId="0" fontId="71" fillId="2" borderId="155" xfId="12" quotePrefix="1" applyFont="1" applyFill="1" applyBorder="1" applyAlignment="1">
      <alignment horizontal="center" vertical="center" wrapText="1"/>
    </xf>
    <xf numFmtId="0" fontId="71" fillId="2" borderId="156" xfId="12" applyFont="1" applyFill="1" applyBorder="1" applyAlignment="1">
      <alignment horizontal="centerContinuous" vertical="center" wrapText="1"/>
    </xf>
    <xf numFmtId="0" fontId="71" fillId="2" borderId="153" xfId="12" applyFont="1" applyFill="1" applyBorder="1" applyAlignment="1">
      <alignment horizontal="centerContinuous" vertical="center" wrapText="1"/>
    </xf>
    <xf numFmtId="0" fontId="71" fillId="2" borderId="155" xfId="13" applyFont="1" applyFill="1" applyBorder="1" applyAlignment="1">
      <alignment horizontal="center" vertical="center" wrapText="1"/>
    </xf>
    <xf numFmtId="0" fontId="71" fillId="0" borderId="155" xfId="13" applyFont="1" applyBorder="1" applyAlignment="1">
      <alignment horizontal="center" vertical="center" wrapText="1"/>
    </xf>
    <xf numFmtId="10" fontId="71" fillId="2" borderId="155" xfId="12405" applyNumberFormat="1" applyFont="1" applyFill="1" applyBorder="1" applyAlignment="1">
      <alignment horizontal="centerContinuous" vertical="center"/>
    </xf>
    <xf numFmtId="10" fontId="71" fillId="2" borderId="153" xfId="12405" applyNumberFormat="1" applyFont="1" applyFill="1" applyBorder="1" applyAlignment="1">
      <alignment horizontal="centerContinuous" vertical="center"/>
    </xf>
    <xf numFmtId="0" fontId="71" fillId="2" borderId="155" xfId="126" quotePrefix="1" applyFont="1" applyFill="1" applyBorder="1" applyAlignment="1">
      <alignment horizontal="center" vertical="center" wrapText="1"/>
    </xf>
    <xf numFmtId="0" fontId="71" fillId="2" borderId="153" xfId="126" quotePrefix="1" applyFont="1" applyFill="1" applyBorder="1" applyAlignment="1">
      <alignment horizontal="center" vertical="center" wrapText="1"/>
    </xf>
    <xf numFmtId="0" fontId="71" fillId="9" borderId="153" xfId="0" applyFont="1" applyFill="1" applyBorder="1" applyAlignment="1">
      <alignment horizontal="center" vertical="center" wrapText="1"/>
    </xf>
    <xf numFmtId="0" fontId="84" fillId="2" borderId="153" xfId="0" quotePrefix="1" applyFont="1" applyFill="1" applyBorder="1" applyAlignment="1">
      <alignment horizontal="center" vertical="center" wrapText="1"/>
    </xf>
    <xf numFmtId="0" fontId="84" fillId="2" borderId="81" xfId="0" quotePrefix="1" applyFont="1" applyFill="1" applyBorder="1" applyAlignment="1">
      <alignment horizontal="center" vertical="center" wrapText="1"/>
    </xf>
    <xf numFmtId="175" fontId="103" fillId="3" borderId="11" xfId="0" applyNumberFormat="1" applyFont="1" applyFill="1" applyBorder="1"/>
    <xf numFmtId="175" fontId="103" fillId="3" borderId="78" xfId="0" applyNumberFormat="1" applyFont="1" applyFill="1" applyBorder="1"/>
    <xf numFmtId="170" fontId="161" fillId="3" borderId="41" xfId="12400" applyNumberFormat="1" applyFont="1" applyFill="1" applyBorder="1"/>
    <xf numFmtId="175" fontId="103" fillId="3" borderId="96" xfId="0" applyNumberFormat="1" applyFont="1" applyFill="1" applyBorder="1"/>
    <xf numFmtId="170" fontId="161" fillId="3" borderId="9" xfId="12400" applyNumberFormat="1" applyFont="1" applyFill="1" applyBorder="1"/>
    <xf numFmtId="9" fontId="66" fillId="2" borderId="0" xfId="12405" applyFont="1" applyFill="1"/>
    <xf numFmtId="0" fontId="71" fillId="2" borderId="3" xfId="126" applyFont="1" applyFill="1" applyBorder="1" applyAlignment="1">
      <alignment vertical="center"/>
    </xf>
    <xf numFmtId="0" fontId="71" fillId="2" borderId="153" xfId="13" applyFont="1" applyFill="1" applyBorder="1" applyAlignment="1">
      <alignment horizontal="center" vertical="center" wrapText="1"/>
    </xf>
    <xf numFmtId="3" fontId="124" fillId="6" borderId="85" xfId="126" applyNumberFormat="1" applyFont="1" applyFill="1" applyBorder="1"/>
    <xf numFmtId="3" fontId="124" fillId="6" borderId="87" xfId="126" applyNumberFormat="1" applyFont="1" applyFill="1" applyBorder="1"/>
    <xf numFmtId="3" fontId="124" fillId="6" borderId="3" xfId="126" applyNumberFormat="1" applyFont="1" applyFill="1" applyBorder="1"/>
    <xf numFmtId="0" fontId="95" fillId="2" borderId="18" xfId="126" applyFont="1" applyFill="1" applyBorder="1" applyAlignment="1">
      <alignment horizontal="center" vertical="center"/>
    </xf>
    <xf numFmtId="0" fontId="83" fillId="2" borderId="18" xfId="126" applyFont="1" applyFill="1" applyBorder="1"/>
    <xf numFmtId="0" fontId="87" fillId="2" borderId="25" xfId="126" applyFont="1" applyFill="1" applyBorder="1" applyAlignment="1">
      <alignment horizontal="centerContinuous" vertical="center" wrapText="1"/>
    </xf>
    <xf numFmtId="0" fontId="111" fillId="9" borderId="6" xfId="0" applyFont="1" applyFill="1" applyBorder="1" applyAlignment="1">
      <alignment vertical="center"/>
    </xf>
    <xf numFmtId="0" fontId="239" fillId="6" borderId="6" xfId="0" applyFont="1" applyFill="1" applyBorder="1" applyAlignment="1">
      <alignment vertical="center"/>
    </xf>
    <xf numFmtId="0" fontId="97" fillId="6" borderId="6" xfId="0" applyFont="1" applyFill="1" applyBorder="1" applyAlignment="1">
      <alignment vertical="center"/>
    </xf>
    <xf numFmtId="0" fontId="69" fillId="2" borderId="0" xfId="0" applyFont="1" applyFill="1" applyAlignment="1">
      <alignment horizontal="left" vertical="center"/>
    </xf>
    <xf numFmtId="1" fontId="103" fillId="73" borderId="20" xfId="13" applyNumberFormat="1" applyFont="1" applyFill="1" applyBorder="1" applyAlignment="1">
      <alignment horizontal="centerContinuous" vertical="center"/>
    </xf>
    <xf numFmtId="1" fontId="84" fillId="2" borderId="5" xfId="0" applyNumberFormat="1" applyFont="1" applyFill="1" applyBorder="1" applyAlignment="1">
      <alignment horizontal="center" vertical="center"/>
    </xf>
    <xf numFmtId="1" fontId="84" fillId="2" borderId="65" xfId="0" applyNumberFormat="1" applyFont="1" applyFill="1" applyBorder="1" applyAlignment="1">
      <alignment horizontal="center" vertical="center"/>
    </xf>
    <xf numFmtId="49" fontId="84" fillId="2" borderId="7" xfId="0" applyNumberFormat="1" applyFont="1" applyFill="1" applyBorder="1" applyAlignment="1">
      <alignment horizontal="center" vertical="center"/>
    </xf>
    <xf numFmtId="2" fontId="84" fillId="9" borderId="83" xfId="0" applyNumberFormat="1" applyFont="1" applyFill="1" applyBorder="1" applyAlignment="1">
      <alignment horizontal="center" vertical="center"/>
    </xf>
    <xf numFmtId="2" fontId="84" fillId="9" borderId="65" xfId="0" applyNumberFormat="1" applyFont="1" applyFill="1" applyBorder="1" applyAlignment="1">
      <alignment horizontal="center" vertical="center"/>
    </xf>
    <xf numFmtId="2" fontId="84" fillId="9" borderId="155" xfId="0" applyNumberFormat="1" applyFont="1" applyFill="1" applyBorder="1" applyAlignment="1">
      <alignment horizontal="center" vertical="center"/>
    </xf>
    <xf numFmtId="2" fontId="84" fillId="9" borderId="66" xfId="0" applyNumberFormat="1" applyFont="1" applyFill="1" applyBorder="1" applyAlignment="1">
      <alignment horizontal="center" vertical="center"/>
    </xf>
    <xf numFmtId="2" fontId="84" fillId="9" borderId="153" xfId="0" applyNumberFormat="1" applyFont="1" applyFill="1" applyBorder="1" applyAlignment="1">
      <alignment horizontal="center" vertical="center"/>
    </xf>
    <xf numFmtId="1" fontId="84" fillId="2" borderId="83" xfId="0" applyNumberFormat="1" applyFont="1" applyFill="1" applyBorder="1" applyAlignment="1">
      <alignment horizontal="center" vertical="center"/>
    </xf>
    <xf numFmtId="1" fontId="84" fillId="2" borderId="156" xfId="0" applyNumberFormat="1" applyFont="1" applyFill="1" applyBorder="1" applyAlignment="1">
      <alignment horizontal="center" vertical="center"/>
    </xf>
    <xf numFmtId="1" fontId="84" fillId="2" borderId="66" xfId="0" applyNumberFormat="1" applyFont="1" applyFill="1" applyBorder="1" applyAlignment="1">
      <alignment horizontal="center" vertical="center"/>
    </xf>
    <xf numFmtId="10" fontId="84" fillId="2" borderId="7" xfId="0" applyNumberFormat="1" applyFont="1" applyFill="1" applyBorder="1" applyAlignment="1">
      <alignment horizontal="centerContinuous" vertical="center" wrapText="1"/>
    </xf>
    <xf numFmtId="10" fontId="84" fillId="2" borderId="22" xfId="0" applyNumberFormat="1" applyFont="1" applyFill="1" applyBorder="1" applyAlignment="1">
      <alignment horizontal="center" vertical="center" wrapText="1"/>
    </xf>
    <xf numFmtId="1" fontId="103" fillId="73" borderId="28" xfId="13" applyNumberFormat="1" applyFont="1" applyFill="1" applyBorder="1" applyAlignment="1">
      <alignment horizontal="centerContinuous" vertical="center"/>
    </xf>
    <xf numFmtId="0" fontId="84" fillId="2" borderId="7" xfId="0" applyFont="1" applyFill="1" applyBorder="1" applyAlignment="1">
      <alignment horizontal="center" vertical="center"/>
    </xf>
    <xf numFmtId="1" fontId="84" fillId="2" borderId="155" xfId="0" applyNumberFormat="1" applyFont="1" applyFill="1" applyBorder="1" applyAlignment="1">
      <alignment horizontal="center" vertical="center"/>
    </xf>
    <xf numFmtId="1" fontId="84" fillId="2" borderId="153" xfId="0" applyNumberFormat="1" applyFont="1" applyFill="1" applyBorder="1" applyAlignment="1">
      <alignment horizontal="center" vertical="center"/>
    </xf>
    <xf numFmtId="172" fontId="161" fillId="3" borderId="37" xfId="0" applyNumberFormat="1" applyFont="1" applyFill="1" applyBorder="1"/>
    <xf numFmtId="1" fontId="84" fillId="2" borderId="83" xfId="16" applyNumberFormat="1" applyFont="1" applyFill="1" applyBorder="1" applyAlignment="1">
      <alignment horizontal="center" vertical="center"/>
    </xf>
    <xf numFmtId="1" fontId="84" fillId="2" borderId="25" xfId="16" applyNumberFormat="1" applyFont="1" applyFill="1" applyBorder="1" applyAlignment="1">
      <alignment horizontal="center" vertical="center"/>
    </xf>
    <xf numFmtId="1" fontId="84" fillId="2" borderId="65" xfId="16" applyNumberFormat="1" applyFont="1" applyFill="1" applyBorder="1" applyAlignment="1">
      <alignment horizontal="center" vertical="center"/>
    </xf>
    <xf numFmtId="1" fontId="84" fillId="2" borderId="6" xfId="16" applyNumberFormat="1" applyFont="1" applyFill="1" applyBorder="1" applyAlignment="1">
      <alignment horizontal="center" vertical="center"/>
    </xf>
    <xf numFmtId="1" fontId="84" fillId="2" borderId="66" xfId="16" applyNumberFormat="1" applyFont="1" applyFill="1" applyBorder="1" applyAlignment="1">
      <alignment horizontal="center" vertical="center"/>
    </xf>
    <xf numFmtId="1" fontId="84" fillId="2" borderId="7" xfId="16" applyNumberFormat="1" applyFont="1" applyFill="1" applyBorder="1" applyAlignment="1">
      <alignment horizontal="center" vertical="center"/>
    </xf>
    <xf numFmtId="3" fontId="109" fillId="0" borderId="113" xfId="16" applyNumberFormat="1" applyFont="1" applyBorder="1"/>
    <xf numFmtId="3" fontId="109" fillId="0" borderId="95" xfId="16" applyNumberFormat="1" applyFont="1" applyBorder="1"/>
    <xf numFmtId="3" fontId="124" fillId="3" borderId="95" xfId="16" applyNumberFormat="1" applyFont="1" applyFill="1" applyBorder="1"/>
    <xf numFmtId="3" fontId="71" fillId="0" borderId="95" xfId="16" applyNumberFormat="1" applyFont="1" applyBorder="1"/>
    <xf numFmtId="0" fontId="84" fillId="2" borderId="5" xfId="10594" applyFont="1" applyFill="1" applyBorder="1" applyAlignment="1">
      <alignment horizontal="center" vertical="center"/>
    </xf>
    <xf numFmtId="0" fontId="84" fillId="2" borderId="153" xfId="10594" applyFont="1" applyFill="1" applyBorder="1" applyAlignment="1">
      <alignment horizontal="center" vertical="center"/>
    </xf>
    <xf numFmtId="0" fontId="84" fillId="2" borderId="65" xfId="0" applyFont="1" applyFill="1" applyBorder="1" applyAlignment="1">
      <alignment horizontal="center" vertical="center"/>
    </xf>
    <xf numFmtId="0" fontId="84" fillId="2" borderId="109" xfId="0" applyFont="1" applyFill="1" applyBorder="1" applyAlignment="1">
      <alignment horizontal="center" vertical="center"/>
    </xf>
    <xf numFmtId="0" fontId="84" fillId="2" borderId="110" xfId="0" applyFont="1" applyFill="1" applyBorder="1" applyAlignment="1">
      <alignment horizontal="center" vertical="center"/>
    </xf>
    <xf numFmtId="0" fontId="84" fillId="2" borderId="111" xfId="0" applyFont="1" applyFill="1" applyBorder="1" applyAlignment="1">
      <alignment horizontal="center" vertical="center"/>
    </xf>
    <xf numFmtId="185" fontId="117" fillId="0" borderId="21" xfId="0" applyNumberFormat="1" applyFont="1" applyBorder="1"/>
    <xf numFmtId="0" fontId="84" fillId="2" borderId="84" xfId="16" applyFont="1" applyFill="1" applyBorder="1" applyAlignment="1">
      <alignment horizontal="center" vertical="center" wrapText="1"/>
    </xf>
    <xf numFmtId="0" fontId="84" fillId="2" borderId="91" xfId="16" applyFont="1" applyFill="1" applyBorder="1" applyAlignment="1">
      <alignment horizontal="center" vertical="center" wrapText="1"/>
    </xf>
    <xf numFmtId="0" fontId="66" fillId="2" borderId="88" xfId="0" applyFont="1" applyFill="1" applyBorder="1"/>
    <xf numFmtId="0" fontId="71" fillId="0" borderId="81" xfId="0" applyFont="1" applyBorder="1"/>
    <xf numFmtId="0" fontId="84" fillId="2" borderId="153" xfId="0" applyFont="1" applyFill="1" applyBorder="1" applyAlignment="1">
      <alignment horizontal="center" vertical="center"/>
    </xf>
    <xf numFmtId="0" fontId="84" fillId="0" borderId="155" xfId="16" applyFont="1" applyBorder="1" applyAlignment="1">
      <alignment horizontal="center" vertical="center" wrapText="1"/>
    </xf>
    <xf numFmtId="0" fontId="84" fillId="0" borderId="83" xfId="16" applyFont="1" applyBorder="1" applyAlignment="1">
      <alignment horizontal="center" vertical="center" wrapText="1"/>
    </xf>
    <xf numFmtId="0" fontId="84" fillId="0" borderId="65" xfId="16" applyFont="1" applyBorder="1" applyAlignment="1">
      <alignment horizontal="center" vertical="center" wrapText="1"/>
    </xf>
    <xf numFmtId="0" fontId="84" fillId="0" borderId="153" xfId="16" applyFont="1" applyBorder="1" applyAlignment="1">
      <alignment horizontal="center" vertical="center" wrapText="1"/>
    </xf>
    <xf numFmtId="0" fontId="84" fillId="2" borderId="93" xfId="16" applyFont="1" applyFill="1" applyBorder="1" applyAlignment="1">
      <alignment horizontal="center" vertical="center" wrapText="1"/>
    </xf>
    <xf numFmtId="0" fontId="84" fillId="2" borderId="81" xfId="16" applyFont="1" applyFill="1" applyBorder="1" applyAlignment="1">
      <alignment horizontal="center" vertical="center" wrapText="1"/>
    </xf>
    <xf numFmtId="0" fontId="71" fillId="2" borderId="20" xfId="18289" applyFont="1" applyFill="1" applyBorder="1" applyAlignment="1">
      <alignment horizontal="center" vertical="center" wrapText="1"/>
    </xf>
    <xf numFmtId="0" fontId="71" fillId="2" borderId="82" xfId="18289" applyFont="1" applyFill="1" applyBorder="1" applyAlignment="1">
      <alignment horizontal="center" vertical="center" wrapText="1"/>
    </xf>
    <xf numFmtId="0" fontId="71" fillId="2" borderId="91" xfId="18289" applyFont="1" applyFill="1" applyBorder="1" applyAlignment="1">
      <alignment horizontal="center" vertical="center" wrapText="1"/>
    </xf>
    <xf numFmtId="0" fontId="71" fillId="2" borderId="28" xfId="18289" applyFont="1" applyFill="1" applyBorder="1" applyAlignment="1">
      <alignment horizontal="center" vertical="center" wrapText="1"/>
    </xf>
    <xf numFmtId="0" fontId="84" fillId="9" borderId="66" xfId="18289" applyFont="1" applyFill="1" applyBorder="1" applyAlignment="1">
      <alignment horizontal="center" vertical="center"/>
    </xf>
    <xf numFmtId="0" fontId="84" fillId="9" borderId="65" xfId="18289" applyFont="1" applyFill="1" applyBorder="1" applyAlignment="1">
      <alignment horizontal="center" vertical="center"/>
    </xf>
    <xf numFmtId="0" fontId="84" fillId="9" borderId="155" xfId="18289" applyFont="1" applyFill="1" applyBorder="1" applyAlignment="1">
      <alignment horizontal="center" vertical="center"/>
    </xf>
    <xf numFmtId="0" fontId="84" fillId="9" borderId="156" xfId="18289" applyFont="1" applyFill="1" applyBorder="1" applyAlignment="1">
      <alignment horizontal="center" vertical="center"/>
    </xf>
    <xf numFmtId="0" fontId="84" fillId="9" borderId="6" xfId="18289" applyFont="1" applyFill="1" applyBorder="1" applyAlignment="1">
      <alignment horizontal="centerContinuous" vertical="center" wrapText="1"/>
    </xf>
    <xf numFmtId="0" fontId="84" fillId="9" borderId="7" xfId="18289" applyFont="1" applyFill="1" applyBorder="1" applyAlignment="1">
      <alignment horizontal="centerContinuous" vertical="center" wrapText="1"/>
    </xf>
    <xf numFmtId="168" fontId="71" fillId="2" borderId="21" xfId="9859" applyFont="1" applyFill="1" applyBorder="1" applyAlignment="1">
      <alignment horizontal="center" vertical="center"/>
    </xf>
    <xf numFmtId="168" fontId="71" fillId="2" borderId="82" xfId="9859" applyFont="1" applyFill="1" applyBorder="1" applyAlignment="1">
      <alignment horizontal="center" vertical="center"/>
    </xf>
    <xf numFmtId="168" fontId="71" fillId="2" borderId="27" xfId="9859" applyFont="1" applyFill="1" applyBorder="1" applyAlignment="1">
      <alignment horizontal="center" vertical="center"/>
    </xf>
    <xf numFmtId="168" fontId="71" fillId="2" borderId="14" xfId="9859" applyFont="1" applyFill="1" applyBorder="1" applyAlignment="1">
      <alignment horizontal="center" vertical="center" wrapText="1"/>
    </xf>
    <xf numFmtId="168" fontId="71" fillId="2" borderId="22" xfId="9859" applyFont="1" applyFill="1" applyBorder="1" applyAlignment="1">
      <alignment horizontal="center" vertical="center"/>
    </xf>
    <xf numFmtId="168" fontId="84" fillId="2" borderId="18" xfId="9859" applyFont="1" applyFill="1" applyBorder="1" applyAlignment="1">
      <alignment horizontal="center" vertical="center"/>
    </xf>
    <xf numFmtId="168" fontId="84" fillId="2" borderId="90" xfId="9859" applyFont="1" applyFill="1" applyBorder="1" applyAlignment="1">
      <alignment horizontal="center" vertical="center"/>
    </xf>
    <xf numFmtId="168" fontId="84" fillId="2" borderId="26" xfId="9859" applyFont="1" applyFill="1" applyBorder="1" applyAlignment="1">
      <alignment horizontal="center" vertical="center"/>
    </xf>
    <xf numFmtId="0" fontId="71" fillId="9" borderId="82" xfId="126" applyFont="1" applyFill="1" applyBorder="1"/>
    <xf numFmtId="0" fontId="71" fillId="9" borderId="21" xfId="126" applyFont="1" applyFill="1" applyBorder="1"/>
    <xf numFmtId="0" fontId="84" fillId="2" borderId="155" xfId="126" applyFont="1" applyFill="1" applyBorder="1" applyAlignment="1">
      <alignment horizontal="center" vertical="center"/>
    </xf>
    <xf numFmtId="0" fontId="84" fillId="2" borderId="153" xfId="126" applyFont="1" applyFill="1" applyBorder="1" applyAlignment="1">
      <alignment horizontal="center" vertical="center"/>
    </xf>
    <xf numFmtId="0" fontId="84" fillId="2" borderId="65" xfId="12400" applyFont="1" applyFill="1" applyBorder="1" applyAlignment="1">
      <alignment horizontal="center" vertical="center"/>
    </xf>
    <xf numFmtId="0" fontId="84" fillId="2" borderId="6" xfId="12400" applyFont="1" applyFill="1" applyBorder="1" applyAlignment="1">
      <alignment horizontal="center" vertical="center"/>
    </xf>
    <xf numFmtId="0" fontId="84" fillId="2" borderId="25" xfId="12400" applyFont="1" applyFill="1" applyBorder="1" applyAlignment="1">
      <alignment horizontal="center" vertical="center"/>
    </xf>
    <xf numFmtId="0" fontId="84" fillId="2" borderId="7" xfId="12400" applyFont="1" applyFill="1" applyBorder="1" applyAlignment="1">
      <alignment horizontal="center" vertical="center"/>
    </xf>
    <xf numFmtId="0" fontId="71" fillId="2" borderId="6" xfId="12400" applyFont="1" applyFill="1" applyBorder="1" applyAlignment="1">
      <alignment horizontal="centerContinuous" vertical="center" wrapText="1"/>
    </xf>
    <xf numFmtId="0" fontId="84" fillId="2" borderId="156" xfId="12400" applyFont="1" applyFill="1" applyBorder="1" applyAlignment="1">
      <alignment horizontal="center" vertical="center"/>
    </xf>
    <xf numFmtId="0" fontId="84" fillId="2" borderId="83" xfId="12400" applyFont="1" applyFill="1" applyBorder="1" applyAlignment="1">
      <alignment horizontal="center" vertical="center"/>
    </xf>
    <xf numFmtId="3" fontId="175" fillId="6" borderId="36" xfId="12400" applyNumberFormat="1" applyFont="1" applyFill="1" applyBorder="1" applyAlignment="1">
      <alignment vertical="center" wrapText="1"/>
    </xf>
    <xf numFmtId="0" fontId="71" fillId="0" borderId="9" xfId="0" applyFont="1" applyBorder="1" applyAlignment="1">
      <alignment horizontal="center"/>
    </xf>
    <xf numFmtId="0" fontId="84" fillId="2" borderId="66" xfId="0" applyFont="1" applyFill="1" applyBorder="1" applyAlignment="1">
      <alignment horizontal="center" vertical="center"/>
    </xf>
    <xf numFmtId="1" fontId="84" fillId="2" borderId="145" xfId="0" applyNumberFormat="1" applyFont="1" applyFill="1" applyBorder="1" applyAlignment="1">
      <alignment horizontal="center" vertical="center"/>
    </xf>
    <xf numFmtId="0" fontId="110" fillId="2" borderId="25" xfId="0" applyFont="1" applyFill="1" applyBorder="1" applyAlignment="1">
      <alignment horizontal="centerContinuous" vertical="center" wrapText="1"/>
    </xf>
    <xf numFmtId="0" fontId="71" fillId="2" borderId="155" xfId="0" applyFont="1" applyFill="1" applyBorder="1" applyAlignment="1">
      <alignment vertical="center"/>
    </xf>
    <xf numFmtId="0" fontId="110" fillId="2" borderId="155" xfId="0" applyFont="1" applyFill="1" applyBorder="1" applyAlignment="1">
      <alignment horizontal="centerContinuous" vertical="center" wrapText="1"/>
    </xf>
    <xf numFmtId="170" fontId="110" fillId="4" borderId="79" xfId="0" applyNumberFormat="1" applyFont="1" applyFill="1" applyBorder="1"/>
    <xf numFmtId="0" fontId="84" fillId="2" borderId="155" xfId="0" applyFont="1" applyFill="1" applyBorder="1" applyAlignment="1">
      <alignment horizontal="center" vertical="center"/>
    </xf>
    <xf numFmtId="175" fontId="103" fillId="3" borderId="2" xfId="0" applyNumberFormat="1" applyFont="1" applyFill="1" applyBorder="1"/>
    <xf numFmtId="175" fontId="103" fillId="3" borderId="38" xfId="0" applyNumberFormat="1" applyFont="1" applyFill="1" applyBorder="1"/>
    <xf numFmtId="175" fontId="103" fillId="3" borderId="43" xfId="0" applyNumberFormat="1" applyFont="1" applyFill="1" applyBorder="1"/>
    <xf numFmtId="175" fontId="103" fillId="7" borderId="56" xfId="0" applyNumberFormat="1" applyFont="1" applyFill="1" applyBorder="1"/>
    <xf numFmtId="0" fontId="84" fillId="2" borderId="21" xfId="0" applyFont="1" applyFill="1" applyBorder="1" applyAlignment="1">
      <alignment horizontal="center" vertical="center"/>
    </xf>
    <xf numFmtId="0" fontId="71" fillId="2" borderId="35" xfId="0" applyFont="1" applyFill="1" applyBorder="1"/>
    <xf numFmtId="0" fontId="84" fillId="0" borderId="13" xfId="0" applyFont="1" applyBorder="1" applyAlignment="1">
      <alignment horizontal="centerContinuous" vertical="center" wrapText="1"/>
    </xf>
    <xf numFmtId="0" fontId="84" fillId="9" borderId="13" xfId="0" applyFont="1" applyFill="1" applyBorder="1" applyAlignment="1">
      <alignment horizontal="centerContinuous" vertical="center" wrapText="1"/>
    </xf>
    <xf numFmtId="0" fontId="71" fillId="9" borderId="5" xfId="0" applyFont="1" applyFill="1" applyBorder="1" applyAlignment="1">
      <alignment horizontal="centerContinuous" vertical="center" wrapText="1"/>
    </xf>
    <xf numFmtId="175" fontId="113" fillId="3" borderId="33" xfId="0" applyNumberFormat="1" applyFont="1" applyFill="1" applyBorder="1"/>
    <xf numFmtId="175" fontId="175" fillId="6" borderId="2" xfId="0" applyNumberFormat="1" applyFont="1" applyFill="1" applyBorder="1"/>
    <xf numFmtId="175" fontId="103" fillId="4" borderId="85" xfId="0" applyNumberFormat="1" applyFont="1" applyFill="1" applyBorder="1"/>
    <xf numFmtId="175" fontId="103" fillId="4" borderId="16" xfId="0" applyNumberFormat="1" applyFont="1" applyFill="1" applyBorder="1"/>
    <xf numFmtId="175" fontId="103" fillId="4" borderId="56" xfId="0" applyNumberFormat="1" applyFont="1" applyFill="1" applyBorder="1"/>
    <xf numFmtId="0" fontId="84" fillId="2" borderId="24" xfId="0" quotePrefix="1" applyFont="1" applyFill="1" applyBorder="1" applyAlignment="1">
      <alignment horizontal="center"/>
    </xf>
    <xf numFmtId="0" fontId="84" fillId="2" borderId="82" xfId="0" quotePrefix="1" applyFont="1" applyFill="1" applyBorder="1" applyAlignment="1">
      <alignment horizontal="center"/>
    </xf>
    <xf numFmtId="0" fontId="84" fillId="2" borderId="21" xfId="0" quotePrefix="1" applyFont="1" applyFill="1" applyBorder="1" applyAlignment="1">
      <alignment horizontal="center"/>
    </xf>
    <xf numFmtId="0" fontId="84" fillId="2" borderId="88" xfId="0" applyFont="1" applyFill="1" applyBorder="1" applyAlignment="1">
      <alignment horizontal="center"/>
    </xf>
    <xf numFmtId="0" fontId="84" fillId="2" borderId="27" xfId="0" applyFont="1" applyFill="1" applyBorder="1" applyAlignment="1">
      <alignment horizontal="center"/>
    </xf>
    <xf numFmtId="0" fontId="84" fillId="2" borderId="93" xfId="0" applyFont="1" applyFill="1" applyBorder="1" applyAlignment="1">
      <alignment horizontal="center"/>
    </xf>
    <xf numFmtId="0" fontId="84" fillId="2" borderId="81" xfId="0" applyFont="1" applyFill="1" applyBorder="1" applyAlignment="1">
      <alignment horizontal="center"/>
    </xf>
    <xf numFmtId="0" fontId="84" fillId="0" borderId="66" xfId="16" applyFont="1" applyBorder="1" applyAlignment="1">
      <alignment horizontal="center" vertical="center"/>
    </xf>
    <xf numFmtId="0" fontId="84" fillId="0" borderId="6" xfId="16" applyFont="1" applyBorder="1" applyAlignment="1">
      <alignment horizontal="center" vertical="center"/>
    </xf>
    <xf numFmtId="0" fontId="84" fillId="0" borderId="65" xfId="16" applyFont="1" applyBorder="1" applyAlignment="1">
      <alignment horizontal="center" vertical="center"/>
    </xf>
    <xf numFmtId="0" fontId="84" fillId="0" borderId="155" xfId="16" applyFont="1" applyBorder="1" applyAlignment="1">
      <alignment horizontal="center" vertical="center"/>
    </xf>
    <xf numFmtId="0" fontId="84" fillId="0" borderId="156" xfId="16" applyFont="1" applyBorder="1" applyAlignment="1">
      <alignment horizontal="center" vertical="center"/>
    </xf>
    <xf numFmtId="185" fontId="71" fillId="0" borderId="9" xfId="0" applyNumberFormat="1" applyFont="1" applyBorder="1" applyAlignment="1">
      <alignment horizontal="center"/>
    </xf>
    <xf numFmtId="0" fontId="84" fillId="2" borderId="157" xfId="0" applyFont="1" applyFill="1" applyBorder="1" applyAlignment="1">
      <alignment horizontal="center" vertical="center"/>
    </xf>
    <xf numFmtId="0" fontId="84" fillId="2" borderId="145" xfId="0" applyFont="1" applyFill="1" applyBorder="1" applyAlignment="1">
      <alignment horizontal="center" vertical="center"/>
    </xf>
    <xf numFmtId="0" fontId="84" fillId="2" borderId="140" xfId="0" applyFont="1" applyFill="1" applyBorder="1" applyAlignment="1">
      <alignment horizontal="center" vertical="center"/>
    </xf>
    <xf numFmtId="0" fontId="0" fillId="0" borderId="24" xfId="0" applyBorder="1"/>
    <xf numFmtId="0" fontId="84" fillId="0" borderId="7" xfId="9842" applyFont="1" applyBorder="1" applyAlignment="1">
      <alignment horizontal="center" vertical="center" wrapText="1"/>
    </xf>
    <xf numFmtId="0" fontId="183" fillId="0" borderId="14" xfId="9842" applyFont="1" applyBorder="1" applyAlignment="1">
      <alignment horizontal="center" vertical="center" wrapText="1"/>
    </xf>
    <xf numFmtId="9" fontId="71" fillId="0" borderId="22" xfId="9843" applyFont="1" applyFill="1" applyBorder="1" applyAlignment="1">
      <alignment horizontal="center" vertical="center"/>
    </xf>
    <xf numFmtId="3" fontId="103" fillId="3" borderId="0" xfId="0" applyNumberFormat="1" applyFont="1" applyFill="1" applyAlignment="1">
      <alignment vertical="center" wrapText="1"/>
    </xf>
    <xf numFmtId="3" fontId="71" fillId="4" borderId="0" xfId="0" applyNumberFormat="1" applyFont="1" applyFill="1" applyAlignment="1">
      <alignment vertical="center" wrapText="1"/>
    </xf>
    <xf numFmtId="3" fontId="161" fillId="3" borderId="56" xfId="0" applyNumberFormat="1" applyFont="1" applyFill="1" applyBorder="1" applyAlignment="1">
      <alignment vertical="center" wrapText="1"/>
    </xf>
    <xf numFmtId="3" fontId="110" fillId="4" borderId="0" xfId="0" applyNumberFormat="1" applyFont="1" applyFill="1" applyAlignment="1">
      <alignment vertical="center" wrapText="1"/>
    </xf>
    <xf numFmtId="183" fontId="103" fillId="3" borderId="3" xfId="0" applyNumberFormat="1" applyFont="1" applyFill="1" applyBorder="1"/>
    <xf numFmtId="0" fontId="84" fillId="0" borderId="82" xfId="0" quotePrefix="1" applyFont="1" applyBorder="1" applyAlignment="1">
      <alignment horizontal="center" vertical="center" wrapText="1"/>
    </xf>
    <xf numFmtId="0" fontId="84" fillId="0" borderId="21" xfId="0" quotePrefix="1" applyFont="1" applyBorder="1" applyAlignment="1">
      <alignment horizontal="center" vertical="center" wrapText="1"/>
    </xf>
    <xf numFmtId="0" fontId="84" fillId="0" borderId="21" xfId="0" applyFont="1" applyBorder="1" applyAlignment="1">
      <alignment horizontal="center" vertical="center" wrapText="1"/>
    </xf>
    <xf numFmtId="183" fontId="71" fillId="2" borderId="28" xfId="0" applyNumberFormat="1" applyFont="1" applyFill="1" applyBorder="1"/>
    <xf numFmtId="0" fontId="84" fillId="2" borderId="14" xfId="0" applyFont="1" applyFill="1" applyBorder="1" applyAlignment="1">
      <alignment horizontal="center"/>
    </xf>
    <xf numFmtId="0" fontId="84" fillId="2" borderId="28" xfId="0" applyFont="1" applyFill="1" applyBorder="1" applyAlignment="1">
      <alignment horizontal="center"/>
    </xf>
    <xf numFmtId="0" fontId="89" fillId="2" borderId="88" xfId="0" applyFont="1" applyFill="1" applyBorder="1" applyAlignment="1">
      <alignment horizontal="center" vertical="center" wrapText="1"/>
    </xf>
    <xf numFmtId="0" fontId="84" fillId="2" borderId="88" xfId="0" applyFont="1" applyFill="1" applyBorder="1" applyAlignment="1">
      <alignment horizontal="center" vertical="center" wrapText="1"/>
    </xf>
    <xf numFmtId="0" fontId="84" fillId="2" borderId="83" xfId="0" applyFont="1" applyFill="1" applyBorder="1" applyAlignment="1">
      <alignment horizontal="center" vertical="center"/>
    </xf>
    <xf numFmtId="0" fontId="84" fillId="2" borderId="18" xfId="0" applyFont="1" applyFill="1" applyBorder="1" applyAlignment="1">
      <alignment horizontal="center" vertical="center"/>
    </xf>
    <xf numFmtId="0" fontId="84" fillId="2" borderId="90" xfId="0" applyFont="1" applyFill="1" applyBorder="1" applyAlignment="1">
      <alignment horizontal="center" vertical="center"/>
    </xf>
    <xf numFmtId="0" fontId="84" fillId="2" borderId="26" xfId="0" applyFont="1" applyFill="1" applyBorder="1" applyAlignment="1">
      <alignment horizontal="center" vertical="center"/>
    </xf>
    <xf numFmtId="0" fontId="84" fillId="2" borderId="23"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83" xfId="126" applyFont="1" applyFill="1" applyBorder="1" applyAlignment="1">
      <alignment horizontal="center" vertical="center"/>
    </xf>
    <xf numFmtId="0" fontId="84" fillId="2" borderId="7" xfId="126" applyFont="1" applyFill="1" applyBorder="1" applyAlignment="1">
      <alignment horizontal="center" vertical="center"/>
    </xf>
    <xf numFmtId="2" fontId="71" fillId="0" borderId="3" xfId="126" applyNumberFormat="1" applyFont="1" applyBorder="1" applyAlignment="1">
      <alignment horizontal="center"/>
    </xf>
    <xf numFmtId="170" fontId="110" fillId="4" borderId="0" xfId="126" applyNumberFormat="1" applyFont="1" applyFill="1"/>
    <xf numFmtId="2" fontId="84" fillId="2" borderId="134" xfId="0" quotePrefix="1" applyNumberFormat="1" applyFont="1" applyFill="1" applyBorder="1" applyAlignment="1">
      <alignment horizontal="center" vertical="center" wrapText="1"/>
    </xf>
    <xf numFmtId="2" fontId="84" fillId="2" borderId="138" xfId="0" quotePrefix="1" applyNumberFormat="1" applyFont="1" applyFill="1" applyBorder="1" applyAlignment="1">
      <alignment horizontal="center" vertical="center" wrapText="1"/>
    </xf>
    <xf numFmtId="2" fontId="84" fillId="2" borderId="20" xfId="0" quotePrefix="1" applyNumberFormat="1" applyFont="1" applyFill="1" applyBorder="1" applyAlignment="1">
      <alignment horizontal="center" vertical="center" wrapText="1"/>
    </xf>
    <xf numFmtId="10" fontId="71" fillId="2" borderId="106" xfId="0" applyNumberFormat="1" applyFont="1" applyFill="1" applyBorder="1" applyAlignment="1">
      <alignment horizontal="center" vertical="center" wrapText="1"/>
    </xf>
    <xf numFmtId="10" fontId="71" fillId="2" borderId="133" xfId="0" applyNumberFormat="1" applyFont="1" applyFill="1" applyBorder="1" applyAlignment="1">
      <alignment horizontal="center" vertical="center" wrapText="1"/>
    </xf>
    <xf numFmtId="10" fontId="71" fillId="2" borderId="138" xfId="0" applyNumberFormat="1" applyFont="1" applyFill="1" applyBorder="1" applyAlignment="1">
      <alignment horizontal="center" vertical="center" wrapText="1"/>
    </xf>
    <xf numFmtId="10" fontId="71" fillId="2" borderId="134" xfId="0" applyNumberFormat="1" applyFont="1" applyFill="1" applyBorder="1" applyAlignment="1">
      <alignment horizontal="center" vertical="center" wrapText="1"/>
    </xf>
    <xf numFmtId="10" fontId="71" fillId="2" borderId="158" xfId="0" applyNumberFormat="1" applyFont="1" applyFill="1" applyBorder="1" applyAlignment="1">
      <alignment horizontal="center" vertical="center" wrapText="1"/>
    </xf>
    <xf numFmtId="2" fontId="182" fillId="2" borderId="110" xfId="0" applyNumberFormat="1" applyFont="1" applyFill="1" applyBorder="1" applyAlignment="1">
      <alignment horizontal="center" vertical="center" wrapText="1"/>
    </xf>
    <xf numFmtId="10" fontId="182" fillId="2" borderId="104" xfId="0" applyNumberFormat="1" applyFont="1" applyFill="1" applyBorder="1" applyAlignment="1">
      <alignment horizontal="center" vertical="center"/>
    </xf>
    <xf numFmtId="10" fontId="182" fillId="2" borderId="109" xfId="0" applyNumberFormat="1" applyFont="1" applyFill="1" applyBorder="1" applyAlignment="1">
      <alignment horizontal="center" vertical="center"/>
    </xf>
    <xf numFmtId="10" fontId="182" fillId="2" borderId="110" xfId="0" applyNumberFormat="1" applyFont="1" applyFill="1" applyBorder="1" applyAlignment="1">
      <alignment horizontal="center" vertical="center"/>
    </xf>
    <xf numFmtId="10" fontId="182" fillId="2" borderId="111" xfId="0" applyNumberFormat="1" applyFont="1" applyFill="1" applyBorder="1" applyAlignment="1">
      <alignment horizontal="center" vertical="center"/>
    </xf>
    <xf numFmtId="0" fontId="182" fillId="2" borderId="6" xfId="0" applyFont="1" applyFill="1" applyBorder="1" applyAlignment="1">
      <alignment horizontal="center" vertical="center"/>
    </xf>
    <xf numFmtId="0" fontId="182" fillId="2" borderId="66" xfId="0" applyFont="1" applyFill="1" applyBorder="1" applyAlignment="1">
      <alignment horizontal="center" vertical="center"/>
    </xf>
    <xf numFmtId="0" fontId="182" fillId="2" borderId="65" xfId="0" applyFont="1" applyFill="1" applyBorder="1" applyAlignment="1">
      <alignment horizontal="center" vertical="center"/>
    </xf>
    <xf numFmtId="0" fontId="182" fillId="2" borderId="155" xfId="0" applyFont="1" applyFill="1" applyBorder="1" applyAlignment="1">
      <alignment horizontal="center" vertical="center"/>
    </xf>
    <xf numFmtId="0" fontId="182" fillId="2" borderId="7" xfId="0" applyFont="1" applyFill="1" applyBorder="1" applyAlignment="1">
      <alignment horizontal="center" vertical="center"/>
    </xf>
    <xf numFmtId="0" fontId="182" fillId="2" borderId="153" xfId="0" applyFont="1" applyFill="1" applyBorder="1" applyAlignment="1">
      <alignment horizontal="center" vertical="center"/>
    </xf>
    <xf numFmtId="0" fontId="182" fillId="2" borderId="25" xfId="0" applyFont="1" applyFill="1" applyBorder="1" applyAlignment="1">
      <alignment horizontal="center" vertical="center"/>
    </xf>
    <xf numFmtId="0" fontId="182" fillId="2" borderId="156" xfId="0" applyFont="1" applyFill="1" applyBorder="1" applyAlignment="1">
      <alignment horizontal="center" vertical="center"/>
    </xf>
    <xf numFmtId="0" fontId="182" fillId="2" borderId="83" xfId="0" applyFont="1" applyFill="1" applyBorder="1" applyAlignment="1">
      <alignment horizontal="center" vertical="center"/>
    </xf>
    <xf numFmtId="0" fontId="182" fillId="0" borderId="66" xfId="9858" applyFont="1" applyBorder="1" applyAlignment="1">
      <alignment horizontal="center" vertical="center"/>
    </xf>
    <xf numFmtId="0" fontId="182" fillId="0" borderId="65" xfId="9858" applyFont="1" applyBorder="1" applyAlignment="1">
      <alignment horizontal="center" vertical="center"/>
    </xf>
    <xf numFmtId="0" fontId="182" fillId="0" borderId="155" xfId="9858" applyFont="1" applyBorder="1" applyAlignment="1">
      <alignment horizontal="center" vertical="center"/>
    </xf>
    <xf numFmtId="0" fontId="182" fillId="0" borderId="153" xfId="9858" applyFont="1" applyBorder="1" applyAlignment="1">
      <alignment horizontal="center" vertical="center"/>
    </xf>
    <xf numFmtId="171" fontId="103" fillId="3" borderId="0" xfId="0" applyNumberFormat="1" applyFont="1" applyFill="1"/>
    <xf numFmtId="171" fontId="103" fillId="3" borderId="100" xfId="0" applyNumberFormat="1" applyFont="1" applyFill="1" applyBorder="1"/>
    <xf numFmtId="171" fontId="71" fillId="0" borderId="130" xfId="0" applyNumberFormat="1" applyFont="1" applyBorder="1"/>
    <xf numFmtId="171" fontId="161" fillId="3" borderId="92" xfId="0" applyNumberFormat="1" applyFont="1" applyFill="1" applyBorder="1"/>
    <xf numFmtId="185" fontId="182" fillId="2" borderId="66" xfId="0" applyNumberFormat="1" applyFont="1" applyFill="1" applyBorder="1" applyAlignment="1">
      <alignment horizontal="center" vertical="center"/>
    </xf>
    <xf numFmtId="185" fontId="182" fillId="2" borderId="6" xfId="0" applyNumberFormat="1" applyFont="1" applyFill="1" applyBorder="1" applyAlignment="1">
      <alignment horizontal="center" vertical="center"/>
    </xf>
    <xf numFmtId="185" fontId="182" fillId="2" borderId="7" xfId="0" applyNumberFormat="1" applyFont="1" applyFill="1" applyBorder="1" applyAlignment="1">
      <alignment horizontal="center" vertical="center"/>
    </xf>
    <xf numFmtId="0" fontId="182" fillId="2" borderId="65" xfId="16" applyFont="1" applyFill="1" applyBorder="1" applyAlignment="1">
      <alignment horizontal="center" vertical="center"/>
    </xf>
    <xf numFmtId="0" fontId="182" fillId="2" borderId="6" xfId="16" applyFont="1" applyFill="1" applyBorder="1" applyAlignment="1">
      <alignment horizontal="center" vertical="center"/>
    </xf>
    <xf numFmtId="0" fontId="182" fillId="2" borderId="153" xfId="16" applyFont="1" applyFill="1" applyBorder="1" applyAlignment="1">
      <alignment horizontal="center" vertical="center"/>
    </xf>
    <xf numFmtId="2" fontId="71" fillId="0" borderId="56" xfId="13" applyNumberFormat="1" applyFont="1" applyBorder="1" applyAlignment="1">
      <alignment vertical="center"/>
    </xf>
    <xf numFmtId="0" fontId="182" fillId="2" borderId="6" xfId="126" applyFont="1" applyFill="1" applyBorder="1" applyAlignment="1">
      <alignment horizontal="center" vertical="center"/>
    </xf>
    <xf numFmtId="0" fontId="182" fillId="2" borderId="65" xfId="126" applyFont="1" applyFill="1" applyBorder="1" applyAlignment="1">
      <alignment horizontal="center" vertical="center"/>
    </xf>
    <xf numFmtId="0" fontId="182" fillId="2" borderId="156" xfId="126" applyFont="1" applyFill="1" applyBorder="1" applyAlignment="1">
      <alignment horizontal="center" vertical="center"/>
    </xf>
    <xf numFmtId="0" fontId="182" fillId="2" borderId="66" xfId="126" applyFont="1" applyFill="1" applyBorder="1" applyAlignment="1">
      <alignment horizontal="center" vertical="center"/>
    </xf>
    <xf numFmtId="0" fontId="182" fillId="2" borderId="7" xfId="126" applyFont="1" applyFill="1" applyBorder="1" applyAlignment="1">
      <alignment horizontal="center" vertical="center"/>
    </xf>
    <xf numFmtId="2" fontId="110" fillId="0" borderId="87" xfId="12401" applyNumberFormat="1" applyFont="1" applyBorder="1" applyAlignment="1"/>
    <xf numFmtId="2" fontId="124" fillId="6" borderId="87" xfId="12401" applyNumberFormat="1" applyFont="1" applyFill="1" applyBorder="1" applyAlignment="1"/>
    <xf numFmtId="2" fontId="71" fillId="0" borderId="58" xfId="0" applyNumberFormat="1" applyFont="1" applyBorder="1" applyAlignment="1">
      <alignment horizontal="center"/>
    </xf>
    <xf numFmtId="0" fontId="182" fillId="2" borderId="66" xfId="0" applyFont="1" applyFill="1" applyBorder="1" applyAlignment="1">
      <alignment horizontal="center"/>
    </xf>
    <xf numFmtId="0" fontId="182" fillId="2" borderId="6" xfId="0" applyFont="1" applyFill="1" applyBorder="1" applyAlignment="1">
      <alignment horizontal="center"/>
    </xf>
    <xf numFmtId="0" fontId="182" fillId="2" borderId="65" xfId="0" applyFont="1" applyFill="1" applyBorder="1" applyAlignment="1">
      <alignment horizontal="center"/>
    </xf>
    <xf numFmtId="0" fontId="182" fillId="2" borderId="155" xfId="0" applyFont="1" applyFill="1" applyBorder="1" applyAlignment="1">
      <alignment horizontal="center"/>
    </xf>
    <xf numFmtId="0" fontId="182" fillId="2" borderId="153" xfId="0" applyFont="1" applyFill="1" applyBorder="1" applyAlignment="1">
      <alignment horizontal="center"/>
    </xf>
    <xf numFmtId="198" fontId="109" fillId="0" borderId="61" xfId="14" applyNumberFormat="1" applyFont="1" applyBorder="1"/>
    <xf numFmtId="198" fontId="124" fillId="6" borderId="61" xfId="14" applyNumberFormat="1" applyFont="1" applyFill="1" applyBorder="1"/>
    <xf numFmtId="0" fontId="71" fillId="2" borderId="20" xfId="126" applyFont="1" applyFill="1" applyBorder="1"/>
    <xf numFmtId="0" fontId="71" fillId="2" borderId="21" xfId="126" applyFont="1" applyFill="1" applyBorder="1"/>
    <xf numFmtId="0" fontId="71" fillId="2" borderId="22" xfId="126" applyFont="1" applyFill="1" applyBorder="1"/>
    <xf numFmtId="0" fontId="84" fillId="2" borderId="66" xfId="126" applyFont="1" applyFill="1" applyBorder="1" applyAlignment="1">
      <alignment horizontal="center" vertical="center"/>
    </xf>
    <xf numFmtId="0" fontId="84" fillId="2" borderId="6" xfId="126" applyFont="1" applyFill="1" applyBorder="1" applyAlignment="1">
      <alignment horizontal="center" vertical="center"/>
    </xf>
    <xf numFmtId="0" fontId="84" fillId="2" borderId="65" xfId="126" applyFont="1" applyFill="1" applyBorder="1" applyAlignment="1">
      <alignment horizontal="center" vertical="center"/>
    </xf>
    <xf numFmtId="0" fontId="66" fillId="9" borderId="160" xfId="0" applyFont="1" applyFill="1" applyBorder="1" applyAlignment="1">
      <alignment horizontal="center" vertical="center"/>
    </xf>
    <xf numFmtId="0" fontId="66" fillId="9" borderId="161" xfId="0" applyFont="1" applyFill="1" applyBorder="1" applyAlignment="1">
      <alignment horizontal="center" vertical="center"/>
    </xf>
    <xf numFmtId="0" fontId="66" fillId="9" borderId="162" xfId="0" applyFont="1" applyFill="1" applyBorder="1" applyAlignment="1">
      <alignment horizontal="center" vertical="center"/>
    </xf>
    <xf numFmtId="0" fontId="66" fillId="2" borderId="160" xfId="0" applyFont="1" applyFill="1" applyBorder="1" applyAlignment="1">
      <alignment horizontal="center" vertical="center"/>
    </xf>
    <xf numFmtId="2" fontId="66" fillId="2" borderId="160" xfId="0" applyNumberFormat="1" applyFont="1" applyFill="1" applyBorder="1" applyAlignment="1">
      <alignment horizontal="center" vertical="center"/>
    </xf>
    <xf numFmtId="0" fontId="66" fillId="2" borderId="161" xfId="0" applyFont="1" applyFill="1" applyBorder="1" applyAlignment="1">
      <alignment horizontal="center" vertical="center"/>
    </xf>
    <xf numFmtId="0" fontId="66" fillId="0" borderId="161" xfId="0" applyFont="1" applyBorder="1" applyAlignment="1">
      <alignment horizontal="center" vertical="center"/>
    </xf>
    <xf numFmtId="2" fontId="66" fillId="2" borderId="161" xfId="0" applyNumberFormat="1" applyFont="1" applyFill="1" applyBorder="1" applyAlignment="1">
      <alignment horizontal="center" vertical="center"/>
    </xf>
    <xf numFmtId="0" fontId="66" fillId="2" borderId="162" xfId="0" applyFont="1" applyFill="1" applyBorder="1" applyAlignment="1">
      <alignment horizontal="center" vertical="center"/>
    </xf>
    <xf numFmtId="0" fontId="187" fillId="2" borderId="0" xfId="0" applyFont="1" applyFill="1" applyAlignment="1">
      <alignment horizontal="left" vertical="center"/>
    </xf>
    <xf numFmtId="0" fontId="187" fillId="2" borderId="161" xfId="0" applyFont="1" applyFill="1" applyBorder="1" applyAlignment="1">
      <alignment horizontal="center" vertical="center"/>
    </xf>
    <xf numFmtId="0" fontId="80" fillId="2" borderId="161" xfId="0" applyFont="1" applyFill="1" applyBorder="1" applyAlignment="1">
      <alignment horizontal="center" vertical="center"/>
    </xf>
    <xf numFmtId="0" fontId="80" fillId="2" borderId="163" xfId="0" applyFont="1" applyFill="1" applyBorder="1" applyAlignment="1">
      <alignment horizontal="center" vertical="center"/>
    </xf>
    <xf numFmtId="0" fontId="164" fillId="2" borderId="163" xfId="0" applyFont="1" applyFill="1" applyBorder="1" applyAlignment="1">
      <alignment horizontal="center" vertical="center"/>
    </xf>
    <xf numFmtId="0" fontId="66" fillId="2" borderId="164" xfId="0" applyFont="1" applyFill="1" applyBorder="1" applyAlignment="1">
      <alignment horizontal="center" vertical="center"/>
    </xf>
    <xf numFmtId="171" fontId="222" fillId="0" borderId="56" xfId="0" applyNumberFormat="1" applyFont="1" applyBorder="1"/>
    <xf numFmtId="171" fontId="222" fillId="0" borderId="58" xfId="0" applyNumberFormat="1" applyFont="1" applyBorder="1"/>
    <xf numFmtId="171" fontId="233" fillId="0" borderId="0" xfId="0" applyNumberFormat="1" applyFont="1"/>
    <xf numFmtId="171" fontId="222" fillId="0" borderId="2" xfId="0" applyNumberFormat="1" applyFont="1" applyBorder="1"/>
    <xf numFmtId="10" fontId="222" fillId="0" borderId="3" xfId="0" applyNumberFormat="1" applyFont="1" applyBorder="1"/>
    <xf numFmtId="179" fontId="232" fillId="0" borderId="16" xfId="12401" applyNumberFormat="1" applyFont="1" applyBorder="1"/>
    <xf numFmtId="170" fontId="222" fillId="0" borderId="130" xfId="0" applyNumberFormat="1" applyFont="1" applyBorder="1"/>
    <xf numFmtId="170" fontId="222" fillId="0" borderId="0" xfId="0" applyNumberFormat="1" applyFont="1"/>
    <xf numFmtId="3" fontId="222" fillId="0" borderId="87" xfId="16" applyNumberFormat="1" applyFont="1" applyBorder="1"/>
    <xf numFmtId="3" fontId="222" fillId="0" borderId="16" xfId="16" applyNumberFormat="1" applyFont="1" applyBorder="1"/>
    <xf numFmtId="3" fontId="222" fillId="0" borderId="56" xfId="16" applyNumberFormat="1" applyFont="1" applyBorder="1"/>
    <xf numFmtId="3" fontId="222" fillId="0" borderId="0" xfId="16" applyNumberFormat="1" applyFont="1"/>
    <xf numFmtId="3" fontId="222" fillId="0" borderId="85" xfId="16" applyNumberFormat="1" applyFont="1" applyBorder="1"/>
    <xf numFmtId="3" fontId="222" fillId="0" borderId="95" xfId="16" applyNumberFormat="1" applyFont="1" applyBorder="1"/>
    <xf numFmtId="3" fontId="232" fillId="0" borderId="16" xfId="16" applyNumberFormat="1" applyFont="1" applyBorder="1"/>
    <xf numFmtId="9" fontId="232" fillId="0" borderId="108" xfId="1471" applyFont="1" applyFill="1" applyBorder="1" applyAlignment="1"/>
    <xf numFmtId="9" fontId="232" fillId="0" borderId="16" xfId="12401" applyFont="1" applyFill="1" applyBorder="1" applyAlignment="1"/>
    <xf numFmtId="9" fontId="232" fillId="0" borderId="0" xfId="12401" applyFont="1" applyFill="1" applyBorder="1"/>
    <xf numFmtId="170" fontId="232" fillId="0" borderId="56" xfId="12400" applyNumberFormat="1" applyFont="1" applyBorder="1"/>
    <xf numFmtId="170" fontId="232" fillId="0" borderId="0" xfId="12400" applyNumberFormat="1" applyFont="1"/>
    <xf numFmtId="171" fontId="232" fillId="0" borderId="16" xfId="12400" applyNumberFormat="1" applyFont="1" applyBorder="1"/>
    <xf numFmtId="171" fontId="232" fillId="0" borderId="3" xfId="12400" applyNumberFormat="1" applyFont="1" applyBorder="1"/>
    <xf numFmtId="3" fontId="161" fillId="6" borderId="44" xfId="12400" quotePrefix="1" applyNumberFormat="1" applyFont="1" applyFill="1" applyBorder="1" applyAlignment="1">
      <alignment vertical="center" wrapText="1"/>
    </xf>
    <xf numFmtId="170" fontId="232" fillId="0" borderId="16" xfId="0" applyNumberFormat="1" applyFont="1" applyBorder="1"/>
    <xf numFmtId="170" fontId="232" fillId="0" borderId="3" xfId="0" applyNumberFormat="1" applyFont="1" applyBorder="1"/>
    <xf numFmtId="10" fontId="130" fillId="68" borderId="58" xfId="0" applyNumberFormat="1" applyFont="1" applyFill="1" applyBorder="1"/>
    <xf numFmtId="10" fontId="232" fillId="68" borderId="58" xfId="0" applyNumberFormat="1" applyFont="1" applyFill="1" applyBorder="1"/>
    <xf numFmtId="175" fontId="161" fillId="3" borderId="56" xfId="0" applyNumberFormat="1" applyFont="1" applyFill="1" applyBorder="1"/>
    <xf numFmtId="175" fontId="232" fillId="0" borderId="56" xfId="0" applyNumberFormat="1" applyFont="1" applyBorder="1"/>
    <xf numFmtId="4" fontId="124" fillId="3" borderId="57" xfId="14" applyNumberFormat="1" applyFont="1" applyFill="1" applyBorder="1" applyAlignment="1">
      <alignment horizontal="right"/>
    </xf>
    <xf numFmtId="175" fontId="161" fillId="3" borderId="40" xfId="16" applyNumberFormat="1" applyFont="1" applyFill="1" applyBorder="1"/>
    <xf numFmtId="175" fontId="232" fillId="0" borderId="56" xfId="16" applyNumberFormat="1" applyFont="1" applyBorder="1"/>
    <xf numFmtId="175" fontId="232" fillId="0" borderId="56" xfId="16" applyNumberFormat="1" applyFont="1" applyBorder="1" applyAlignment="1">
      <alignment vertical="center"/>
    </xf>
    <xf numFmtId="175" fontId="232" fillId="0" borderId="57" xfId="16" applyNumberFormat="1" applyFont="1" applyBorder="1" applyAlignment="1">
      <alignment vertical="center"/>
    </xf>
    <xf numFmtId="175" fontId="232" fillId="0" borderId="85" xfId="0" applyNumberFormat="1" applyFont="1" applyBorder="1" applyAlignment="1">
      <alignment horizontal="right"/>
    </xf>
    <xf numFmtId="175" fontId="232" fillId="0" borderId="85" xfId="0" applyNumberFormat="1" applyFont="1" applyBorder="1" applyAlignment="1">
      <alignment horizontal="center"/>
    </xf>
    <xf numFmtId="181" fontId="232" fillId="0" borderId="16" xfId="0" applyNumberFormat="1" applyFont="1" applyBorder="1" applyAlignment="1">
      <alignment horizontal="right"/>
    </xf>
    <xf numFmtId="0" fontId="296" fillId="9" borderId="0" xfId="0" applyFont="1" applyFill="1"/>
    <xf numFmtId="171" fontId="124" fillId="3" borderId="56" xfId="0" applyNumberFormat="1" applyFont="1" applyFill="1" applyBorder="1"/>
    <xf numFmtId="3" fontId="232" fillId="0" borderId="0" xfId="0" applyNumberFormat="1" applyFont="1"/>
    <xf numFmtId="3" fontId="232" fillId="0" borderId="56" xfId="0" applyNumberFormat="1" applyFont="1" applyBorder="1" applyAlignment="1">
      <alignment vertical="center" wrapText="1"/>
    </xf>
    <xf numFmtId="3" fontId="232" fillId="0" borderId="56" xfId="0" applyNumberFormat="1" applyFont="1" applyBorder="1"/>
    <xf numFmtId="3" fontId="233" fillId="7" borderId="56" xfId="0" applyNumberFormat="1" applyFont="1" applyFill="1" applyBorder="1"/>
    <xf numFmtId="170" fontId="232" fillId="7" borderId="57" xfId="0" applyNumberFormat="1" applyFont="1" applyFill="1" applyBorder="1"/>
    <xf numFmtId="170" fontId="222" fillId="0" borderId="56" xfId="0" applyNumberFormat="1" applyFont="1" applyBorder="1"/>
    <xf numFmtId="170" fontId="222" fillId="0" borderId="3" xfId="0" applyNumberFormat="1" applyFont="1" applyBorder="1"/>
    <xf numFmtId="216" fontId="222" fillId="0" borderId="0" xfId="24490" applyNumberFormat="1" applyFont="1"/>
    <xf numFmtId="216" fontId="222" fillId="0" borderId="67" xfId="24490" applyNumberFormat="1" applyFont="1" applyBorder="1" applyAlignment="1"/>
    <xf numFmtId="216" fontId="222" fillId="0" borderId="0" xfId="24490" applyNumberFormat="1" applyFont="1" applyBorder="1"/>
    <xf numFmtId="216" fontId="222" fillId="0" borderId="126" xfId="24490" applyNumberFormat="1" applyFont="1" applyBorder="1"/>
    <xf numFmtId="216" fontId="222" fillId="0" borderId="56" xfId="24490" applyNumberFormat="1" applyFont="1" applyBorder="1"/>
    <xf numFmtId="216" fontId="222" fillId="0" borderId="127" xfId="24490" applyNumberFormat="1" applyFont="1" applyBorder="1" applyAlignment="1"/>
    <xf numFmtId="170" fontId="232" fillId="0" borderId="3" xfId="12400" applyNumberFormat="1" applyFont="1" applyBorder="1"/>
    <xf numFmtId="175" fontId="232" fillId="0" borderId="57" xfId="0" applyNumberFormat="1" applyFont="1" applyBorder="1"/>
    <xf numFmtId="3" fontId="232" fillId="0" borderId="2" xfId="0" applyNumberFormat="1" applyFont="1" applyBorder="1"/>
    <xf numFmtId="3" fontId="232" fillId="0" borderId="130" xfId="0" applyNumberFormat="1" applyFont="1" applyBorder="1"/>
    <xf numFmtId="170" fontId="130" fillId="0" borderId="85" xfId="0" applyNumberFormat="1" applyFont="1" applyBorder="1"/>
    <xf numFmtId="10" fontId="232" fillId="0" borderId="58" xfId="12401" applyNumberFormat="1" applyFont="1" applyBorder="1"/>
    <xf numFmtId="172" fontId="232" fillId="0" borderId="57" xfId="13" applyNumberFormat="1" applyFont="1" applyBorder="1"/>
    <xf numFmtId="172" fontId="233" fillId="0" borderId="57" xfId="13" applyNumberFormat="1" applyFont="1" applyBorder="1"/>
    <xf numFmtId="179" fontId="232" fillId="0" borderId="130" xfId="0" applyNumberFormat="1" applyFont="1" applyBorder="1"/>
    <xf numFmtId="3" fontId="232" fillId="0" borderId="3" xfId="16" applyNumberFormat="1" applyFont="1" applyBorder="1"/>
    <xf numFmtId="175" fontId="232" fillId="0" borderId="16" xfId="0" applyNumberFormat="1" applyFont="1" applyBorder="1" applyAlignment="1">
      <alignment horizontal="right"/>
    </xf>
    <xf numFmtId="3" fontId="71" fillId="0" borderId="16" xfId="12400" quotePrefix="1" applyNumberFormat="1" applyFont="1" applyBorder="1" applyAlignment="1">
      <alignment vertical="center" wrapText="1"/>
    </xf>
    <xf numFmtId="3" fontId="71" fillId="0" borderId="85" xfId="12400" quotePrefix="1" applyNumberFormat="1" applyFont="1" applyBorder="1" applyAlignment="1">
      <alignment vertical="center" wrapText="1"/>
    </xf>
    <xf numFmtId="3" fontId="71" fillId="0" borderId="17" xfId="12400" quotePrefix="1" applyNumberFormat="1" applyFont="1" applyBorder="1" applyAlignment="1">
      <alignment vertical="center" wrapText="1"/>
    </xf>
    <xf numFmtId="17" fontId="66" fillId="9" borderId="0" xfId="0" applyNumberFormat="1" applyFont="1" applyFill="1"/>
    <xf numFmtId="0" fontId="84" fillId="9" borderId="5" xfId="0" quotePrefix="1" applyFont="1" applyFill="1" applyBorder="1" applyAlignment="1">
      <alignment horizontal="center" vertical="center" wrapText="1"/>
    </xf>
    <xf numFmtId="175" fontId="109" fillId="0" borderId="56" xfId="0" applyNumberFormat="1" applyFont="1" applyBorder="1" applyAlignment="1">
      <alignment horizontal="right"/>
    </xf>
    <xf numFmtId="0" fontId="71" fillId="9" borderId="18" xfId="0" applyFont="1" applyFill="1" applyBorder="1" applyAlignment="1">
      <alignment horizontal="centerContinuous" wrapText="1"/>
    </xf>
    <xf numFmtId="0" fontId="71" fillId="9" borderId="18" xfId="0" applyFont="1" applyFill="1" applyBorder="1" applyAlignment="1">
      <alignment horizontal="centerContinuous"/>
    </xf>
    <xf numFmtId="0" fontId="84" fillId="9" borderId="57" xfId="0" applyFont="1" applyFill="1" applyBorder="1" applyAlignment="1">
      <alignment horizontal="centerContinuous" vertical="center" wrapText="1"/>
    </xf>
    <xf numFmtId="0" fontId="71" fillId="9" borderId="6" xfId="0" quotePrefix="1" applyFont="1" applyFill="1" applyBorder="1" applyAlignment="1">
      <alignment horizontal="center" vertical="center" wrapText="1"/>
    </xf>
    <xf numFmtId="0" fontId="71" fillId="9" borderId="66" xfId="0" applyFont="1" applyFill="1" applyBorder="1" applyAlignment="1">
      <alignment horizontal="center" vertical="center" wrapText="1"/>
    </xf>
    <xf numFmtId="0" fontId="71" fillId="9" borderId="66" xfId="0" applyFont="1" applyFill="1" applyBorder="1" applyAlignment="1">
      <alignment horizontal="center"/>
    </xf>
    <xf numFmtId="0" fontId="71" fillId="9" borderId="65" xfId="0" applyFont="1" applyFill="1" applyBorder="1"/>
    <xf numFmtId="0" fontId="71" fillId="2" borderId="157" xfId="0" applyFont="1" applyFill="1" applyBorder="1" applyAlignment="1">
      <alignment horizontal="center" vertical="center" wrapText="1"/>
    </xf>
    <xf numFmtId="0" fontId="84" fillId="2" borderId="88" xfId="0" quotePrefix="1" applyFont="1" applyFill="1" applyBorder="1" applyAlignment="1">
      <alignment horizontal="center" vertical="center" wrapText="1"/>
    </xf>
    <xf numFmtId="3" fontId="175" fillId="6" borderId="57" xfId="0" applyNumberFormat="1" applyFont="1" applyFill="1" applyBorder="1"/>
    <xf numFmtId="3" fontId="71" fillId="10" borderId="85" xfId="0" applyNumberFormat="1" applyFont="1" applyFill="1" applyBorder="1"/>
    <xf numFmtId="3" fontId="175" fillId="6" borderId="78" xfId="0" applyNumberFormat="1" applyFont="1" applyFill="1" applyBorder="1"/>
    <xf numFmtId="4" fontId="175" fillId="6" borderId="78" xfId="0" applyNumberFormat="1" applyFont="1" applyFill="1" applyBorder="1"/>
    <xf numFmtId="3" fontId="175" fillId="10" borderId="78" xfId="0" applyNumberFormat="1" applyFont="1" applyFill="1" applyBorder="1"/>
    <xf numFmtId="3" fontId="109" fillId="0" borderId="57" xfId="0" applyNumberFormat="1" applyFont="1" applyBorder="1"/>
    <xf numFmtId="3" fontId="124" fillId="6" borderId="85" xfId="0" applyNumberFormat="1" applyFont="1" applyFill="1" applyBorder="1"/>
    <xf numFmtId="3" fontId="109" fillId="0" borderId="85" xfId="0" applyNumberFormat="1" applyFont="1" applyBorder="1"/>
    <xf numFmtId="3" fontId="71" fillId="9" borderId="0" xfId="0" applyNumberFormat="1" applyFont="1" applyFill="1"/>
    <xf numFmtId="0" fontId="131" fillId="9" borderId="0" xfId="0" applyFont="1" applyFill="1"/>
    <xf numFmtId="0" fontId="71" fillId="2" borderId="26" xfId="0" applyFont="1" applyFill="1" applyBorder="1"/>
    <xf numFmtId="0" fontId="71" fillId="9" borderId="23" xfId="0" applyFont="1" applyFill="1" applyBorder="1" applyAlignment="1">
      <alignment horizontal="centerContinuous" wrapText="1"/>
    </xf>
    <xf numFmtId="0" fontId="84" fillId="9" borderId="25" xfId="0" quotePrefix="1" applyFont="1" applyFill="1" applyBorder="1" applyAlignment="1">
      <alignment horizontal="center" vertical="center" wrapText="1"/>
    </xf>
    <xf numFmtId="168" fontId="124" fillId="6" borderId="15" xfId="24490" quotePrefix="1" applyNumberFormat="1" applyFont="1" applyFill="1" applyBorder="1" applyAlignment="1">
      <alignment horizontal="center" vertical="center" wrapText="1"/>
    </xf>
    <xf numFmtId="168" fontId="71" fillId="0" borderId="16" xfId="24490" quotePrefix="1" applyNumberFormat="1" applyFont="1" applyFill="1" applyBorder="1" applyAlignment="1">
      <alignment horizontal="center" vertical="center" wrapText="1"/>
    </xf>
    <xf numFmtId="168" fontId="71" fillId="0" borderId="16" xfId="24490" applyNumberFormat="1" applyFont="1" applyFill="1" applyBorder="1" applyAlignment="1">
      <alignment horizontal="center" vertical="center" wrapText="1"/>
    </xf>
    <xf numFmtId="0" fontId="71" fillId="9" borderId="19" xfId="0" applyFont="1" applyFill="1" applyBorder="1" applyAlignment="1">
      <alignment horizontal="centerContinuous"/>
    </xf>
    <xf numFmtId="0" fontId="84" fillId="9" borderId="58" xfId="0" applyFont="1" applyFill="1" applyBorder="1" applyAlignment="1">
      <alignment horizontal="centerContinuous" vertical="center" wrapText="1"/>
    </xf>
    <xf numFmtId="0" fontId="71" fillId="9" borderId="7" xfId="0" quotePrefix="1" applyFont="1" applyFill="1" applyBorder="1" applyAlignment="1">
      <alignment horizontal="center" vertical="center" wrapText="1"/>
    </xf>
    <xf numFmtId="0" fontId="71" fillId="9" borderId="153" xfId="0" applyFont="1" applyFill="1" applyBorder="1"/>
    <xf numFmtId="3" fontId="175" fillId="10" borderId="92" xfId="0" applyNumberFormat="1" applyFont="1" applyFill="1" applyBorder="1"/>
    <xf numFmtId="10" fontId="66" fillId="9" borderId="0" xfId="0" applyNumberFormat="1" applyFont="1" applyFill="1"/>
    <xf numFmtId="0" fontId="71" fillId="0" borderId="157" xfId="13" applyFont="1" applyBorder="1" applyAlignment="1">
      <alignment horizontal="center" vertical="center"/>
    </xf>
    <xf numFmtId="0" fontId="71" fillId="9" borderId="157" xfId="0" applyFont="1" applyFill="1" applyBorder="1" applyAlignment="1">
      <alignment horizontal="center" vertical="center" wrapText="1"/>
    </xf>
    <xf numFmtId="0" fontId="71" fillId="0" borderId="157" xfId="0" applyFont="1" applyBorder="1" applyAlignment="1">
      <alignment horizontal="center" vertical="center" wrapText="1"/>
    </xf>
    <xf numFmtId="1" fontId="124" fillId="2" borderId="157" xfId="0" applyNumberFormat="1" applyFont="1" applyFill="1" applyBorder="1" applyAlignment="1">
      <alignment horizontal="center"/>
    </xf>
    <xf numFmtId="199" fontId="66" fillId="2" borderId="0" xfId="0" applyNumberFormat="1" applyFont="1" applyFill="1"/>
    <xf numFmtId="0" fontId="71" fillId="0" borderId="157" xfId="0" quotePrefix="1" applyFont="1" applyBorder="1" applyAlignment="1">
      <alignment horizontal="center" vertical="center" wrapText="1"/>
    </xf>
    <xf numFmtId="0" fontId="111" fillId="75" borderId="0" xfId="0" applyFont="1" applyFill="1" applyAlignment="1">
      <alignment vertical="center"/>
    </xf>
    <xf numFmtId="0" fontId="97" fillId="75" borderId="0" xfId="0" applyFont="1" applyFill="1" applyAlignment="1">
      <alignment vertical="center"/>
    </xf>
    <xf numFmtId="0" fontId="0" fillId="9" borderId="0" xfId="13" applyFont="1" applyFill="1"/>
    <xf numFmtId="0" fontId="71" fillId="0" borderId="9" xfId="16" applyFont="1" applyBorder="1" applyAlignment="1">
      <alignment horizontal="center"/>
    </xf>
    <xf numFmtId="0" fontId="71" fillId="0" borderId="3" xfId="16" applyFont="1" applyBorder="1" applyAlignment="1">
      <alignment horizontal="center"/>
    </xf>
    <xf numFmtId="0" fontId="71" fillId="9" borderId="0" xfId="16" applyFont="1" applyFill="1"/>
    <xf numFmtId="0" fontId="66" fillId="9" borderId="0" xfId="16" applyFill="1"/>
    <xf numFmtId="170" fontId="103" fillId="3" borderId="15" xfId="126" applyNumberFormat="1" applyFont="1" applyFill="1" applyBorder="1"/>
    <xf numFmtId="0" fontId="0" fillId="2" borderId="0" xfId="12" applyFont="1" applyFill="1" applyAlignment="1">
      <alignment vertical="center"/>
    </xf>
    <xf numFmtId="0" fontId="0" fillId="2" borderId="0" xfId="12" applyFont="1" applyFill="1"/>
    <xf numFmtId="3" fontId="175" fillId="6" borderId="170" xfId="12400" quotePrefix="1" applyNumberFormat="1" applyFont="1" applyFill="1" applyBorder="1" applyAlignment="1">
      <alignment vertical="center" wrapText="1"/>
    </xf>
    <xf numFmtId="175" fontId="103" fillId="3" borderId="170" xfId="0" applyNumberFormat="1" applyFont="1" applyFill="1" applyBorder="1"/>
    <xf numFmtId="2" fontId="66" fillId="2" borderId="0" xfId="13" applyNumberFormat="1" applyFont="1" applyFill="1"/>
    <xf numFmtId="2" fontId="124" fillId="6" borderId="170" xfId="12401" applyNumberFormat="1" applyFont="1" applyFill="1" applyBorder="1" applyAlignment="1"/>
    <xf numFmtId="3" fontId="124" fillId="6" borderId="170" xfId="126" applyNumberFormat="1" applyFont="1" applyFill="1" applyBorder="1" applyAlignment="1">
      <alignment horizontal="right" vertical="center" wrapText="1"/>
    </xf>
    <xf numFmtId="173" fontId="298" fillId="0" borderId="85" xfId="14" applyNumberFormat="1" applyFont="1" applyBorder="1"/>
    <xf numFmtId="173" fontId="103" fillId="3" borderId="0" xfId="14" applyNumberFormat="1" applyFont="1" applyFill="1"/>
    <xf numFmtId="173" fontId="298" fillId="0" borderId="0" xfId="14" applyNumberFormat="1" applyFont="1"/>
    <xf numFmtId="0" fontId="84" fillId="2" borderId="28" xfId="12" applyFont="1" applyFill="1" applyBorder="1" applyAlignment="1">
      <alignment horizontal="center" vertical="center" wrapText="1"/>
    </xf>
    <xf numFmtId="0" fontId="84" fillId="4" borderId="58" xfId="12" applyFont="1" applyFill="1" applyBorder="1" applyAlignment="1">
      <alignment horizontal="centerContinuous" vertical="center" wrapText="1"/>
    </xf>
    <xf numFmtId="173" fontId="103" fillId="3" borderId="57" xfId="14" applyNumberFormat="1" applyFont="1" applyFill="1" applyBorder="1"/>
    <xf numFmtId="173" fontId="71" fillId="0" borderId="58" xfId="14" applyNumberFormat="1" applyFont="1" applyBorder="1"/>
    <xf numFmtId="171" fontId="124" fillId="6" borderId="56" xfId="9842" applyNumberFormat="1" applyFont="1" applyFill="1" applyBorder="1"/>
    <xf numFmtId="2" fontId="71" fillId="0" borderId="56" xfId="13" applyNumberFormat="1" applyFont="1" applyBorder="1" applyAlignment="1">
      <alignment horizontal="centerContinuous" vertical="center"/>
    </xf>
    <xf numFmtId="0" fontId="183" fillId="7" borderId="56" xfId="9842" applyFont="1" applyFill="1" applyBorder="1" applyAlignment="1">
      <alignment horizontal="center" vertical="center" wrapText="1"/>
    </xf>
    <xf numFmtId="0" fontId="84" fillId="2" borderId="6" xfId="13" applyFont="1" applyFill="1" applyBorder="1" applyAlignment="1">
      <alignment horizontal="centerContinuous" vertical="center"/>
    </xf>
    <xf numFmtId="179" fontId="102" fillId="2" borderId="99" xfId="12405" applyNumberFormat="1" applyFont="1" applyFill="1" applyBorder="1" applyAlignment="1">
      <alignment horizontal="center" vertical="center"/>
    </xf>
    <xf numFmtId="179" fontId="102" fillId="2" borderId="155" xfId="12405" applyNumberFormat="1" applyFont="1" applyFill="1" applyBorder="1" applyAlignment="1">
      <alignment horizontal="center" vertical="center"/>
    </xf>
    <xf numFmtId="179" fontId="102" fillId="2" borderId="83" xfId="12405" applyNumberFormat="1" applyFont="1" applyFill="1" applyBorder="1" applyAlignment="1">
      <alignment horizontal="center" vertical="center"/>
    </xf>
    <xf numFmtId="179" fontId="102" fillId="2" borderId="25" xfId="12405" applyNumberFormat="1" applyFont="1" applyFill="1" applyBorder="1" applyAlignment="1">
      <alignment horizontal="center" vertical="center"/>
    </xf>
    <xf numFmtId="179" fontId="102" fillId="2" borderId="66" xfId="12405" applyNumberFormat="1" applyFont="1" applyFill="1" applyBorder="1" applyAlignment="1">
      <alignment horizontal="center" vertical="center"/>
    </xf>
    <xf numFmtId="179" fontId="102" fillId="2" borderId="6" xfId="12405" applyNumberFormat="1" applyFont="1" applyFill="1" applyBorder="1" applyAlignment="1">
      <alignment horizontal="center" vertical="center"/>
    </xf>
    <xf numFmtId="0" fontId="71" fillId="0" borderId="0" xfId="24481" applyFont="1" applyAlignment="1">
      <alignment horizontal="center"/>
    </xf>
    <xf numFmtId="0" fontId="4" fillId="2" borderId="0" xfId="24481" applyFill="1"/>
    <xf numFmtId="179" fontId="71" fillId="2" borderId="0" xfId="12405" applyNumberFormat="1" applyFont="1" applyFill="1"/>
    <xf numFmtId="0" fontId="71" fillId="2" borderId="0" xfId="24481" applyFont="1" applyFill="1"/>
    <xf numFmtId="9" fontId="71" fillId="2" borderId="0" xfId="12405" applyFont="1" applyFill="1"/>
    <xf numFmtId="0" fontId="66" fillId="2" borderId="0" xfId="13" applyFont="1" applyFill="1" applyAlignment="1">
      <alignment wrapText="1"/>
    </xf>
    <xf numFmtId="0" fontId="84" fillId="7" borderId="95" xfId="13" applyFont="1" applyFill="1" applyBorder="1" applyAlignment="1">
      <alignment horizontal="center" wrapText="1"/>
    </xf>
    <xf numFmtId="0" fontId="84" fillId="7" borderId="16" xfId="13" applyFont="1" applyFill="1" applyBorder="1" applyAlignment="1">
      <alignment horizontal="center" wrapText="1"/>
    </xf>
    <xf numFmtId="170" fontId="71" fillId="7" borderId="85" xfId="24481" applyNumberFormat="1" applyFont="1" applyFill="1" applyBorder="1"/>
    <xf numFmtId="170" fontId="71" fillId="7" borderId="16" xfId="24481" applyNumberFormat="1" applyFont="1" applyFill="1" applyBorder="1"/>
    <xf numFmtId="170" fontId="71" fillId="7" borderId="0" xfId="24481" applyNumberFormat="1" applyFont="1" applyFill="1"/>
    <xf numFmtId="170" fontId="71" fillId="0" borderId="85" xfId="24481" applyNumberFormat="1" applyFont="1" applyBorder="1"/>
    <xf numFmtId="0" fontId="84" fillId="7" borderId="0" xfId="13" applyFont="1" applyFill="1" applyAlignment="1">
      <alignment horizontal="center" wrapText="1"/>
    </xf>
    <xf numFmtId="222" fontId="66" fillId="2" borderId="0" xfId="13" applyNumberFormat="1" applyFont="1" applyFill="1" applyAlignment="1">
      <alignment wrapText="1"/>
    </xf>
    <xf numFmtId="170" fontId="103" fillId="3" borderId="113" xfId="24481" applyNumberFormat="1" applyFont="1" applyFill="1" applyBorder="1"/>
    <xf numFmtId="170" fontId="71" fillId="0" borderId="95" xfId="24481" applyNumberFormat="1" applyFont="1" applyBorder="1"/>
    <xf numFmtId="170" fontId="103" fillId="4" borderId="16" xfId="24481" applyNumberFormat="1" applyFont="1" applyFill="1" applyBorder="1"/>
    <xf numFmtId="170" fontId="71" fillId="4" borderId="16" xfId="24481" applyNumberFormat="1" applyFont="1" applyFill="1" applyBorder="1"/>
    <xf numFmtId="170" fontId="103" fillId="3" borderId="16" xfId="24481" applyNumberFormat="1" applyFont="1" applyFill="1" applyBorder="1"/>
    <xf numFmtId="170" fontId="71" fillId="0" borderId="16" xfId="24481" applyNumberFormat="1" applyFont="1" applyBorder="1"/>
    <xf numFmtId="170" fontId="124" fillId="3" borderId="98" xfId="24481" applyNumberFormat="1" applyFont="1" applyFill="1" applyBorder="1"/>
    <xf numFmtId="170" fontId="131" fillId="0" borderId="85" xfId="24481" applyNumberFormat="1" applyFont="1" applyBorder="1"/>
    <xf numFmtId="170" fontId="124" fillId="6" borderId="87" xfId="24481" applyNumberFormat="1" applyFont="1" applyFill="1" applyBorder="1"/>
    <xf numFmtId="170" fontId="124" fillId="6" borderId="0" xfId="24481" applyNumberFormat="1" applyFont="1" applyFill="1"/>
    <xf numFmtId="170" fontId="222" fillId="0" borderId="85" xfId="24481" applyNumberFormat="1" applyFont="1" applyBorder="1"/>
    <xf numFmtId="170" fontId="222" fillId="0" borderId="87" xfId="24481" applyNumberFormat="1" applyFont="1" applyBorder="1"/>
    <xf numFmtId="170" fontId="222" fillId="0" borderId="0" xfId="24481" applyNumberFormat="1" applyFont="1"/>
    <xf numFmtId="170" fontId="71" fillId="0" borderId="0" xfId="24481" applyNumberFormat="1" applyFont="1"/>
    <xf numFmtId="170" fontId="232" fillId="0" borderId="85" xfId="24481" applyNumberFormat="1" applyFont="1" applyBorder="1"/>
    <xf numFmtId="196" fontId="84" fillId="68" borderId="17" xfId="89" applyNumberFormat="1" applyFont="1" applyFill="1" applyBorder="1" applyAlignment="1">
      <alignment horizontal="center"/>
    </xf>
    <xf numFmtId="0" fontId="69" fillId="9" borderId="0" xfId="0" applyFont="1" applyFill="1"/>
    <xf numFmtId="0" fontId="69" fillId="9" borderId="0" xfId="0" applyFont="1" applyFill="1" applyAlignment="1">
      <alignment vertical="center" wrapText="1"/>
    </xf>
    <xf numFmtId="0" fontId="69" fillId="9" borderId="18" xfId="0" applyFont="1" applyFill="1" applyBorder="1"/>
    <xf numFmtId="0" fontId="0" fillId="9" borderId="141" xfId="0" applyFill="1" applyBorder="1"/>
    <xf numFmtId="0" fontId="119" fillId="9" borderId="0" xfId="0" applyFont="1" applyFill="1"/>
    <xf numFmtId="0" fontId="120" fillId="2" borderId="91" xfId="0" applyFont="1" applyFill="1" applyBorder="1" applyAlignment="1">
      <alignment horizontal="center" vertical="center" wrapText="1"/>
    </xf>
    <xf numFmtId="3" fontId="161" fillId="6" borderId="130" xfId="0" applyNumberFormat="1" applyFont="1" applyFill="1" applyBorder="1"/>
    <xf numFmtId="170" fontId="71" fillId="0" borderId="171" xfId="0" applyNumberFormat="1" applyFont="1" applyBorder="1"/>
    <xf numFmtId="3" fontId="124" fillId="6" borderId="172" xfId="0" applyNumberFormat="1" applyFont="1" applyFill="1" applyBorder="1"/>
    <xf numFmtId="3" fontId="131" fillId="10" borderId="57" xfId="0" applyNumberFormat="1" applyFont="1" applyFill="1" applyBorder="1"/>
    <xf numFmtId="3" fontId="131" fillId="10" borderId="58" xfId="0" applyNumberFormat="1" applyFont="1" applyFill="1" applyBorder="1"/>
    <xf numFmtId="3" fontId="131" fillId="0" borderId="57" xfId="0" applyNumberFormat="1" applyFont="1" applyBorder="1"/>
    <xf numFmtId="3" fontId="124" fillId="6" borderId="46" xfId="0" applyNumberFormat="1" applyFont="1" applyFill="1" applyBorder="1"/>
    <xf numFmtId="3" fontId="131" fillId="0" borderId="58" xfId="0" applyNumberFormat="1" applyFont="1" applyBorder="1"/>
    <xf numFmtId="3" fontId="209" fillId="0" borderId="57" xfId="0" applyNumberFormat="1" applyFont="1" applyBorder="1"/>
    <xf numFmtId="3" fontId="209" fillId="0" borderId="58" xfId="0" applyNumberFormat="1" applyFont="1" applyBorder="1"/>
    <xf numFmtId="3" fontId="109" fillId="0" borderId="58" xfId="0" applyNumberFormat="1" applyFont="1" applyBorder="1"/>
    <xf numFmtId="0" fontId="131" fillId="0" borderId="57" xfId="0" applyFont="1" applyBorder="1"/>
    <xf numFmtId="0" fontId="131" fillId="0" borderId="58" xfId="0" applyFont="1" applyBorder="1"/>
    <xf numFmtId="2" fontId="71" fillId="2" borderId="14" xfId="0" quotePrefix="1" applyNumberFormat="1" applyFont="1" applyFill="1" applyBorder="1" applyAlignment="1">
      <alignment horizontal="center" vertical="center" wrapText="1"/>
    </xf>
    <xf numFmtId="2" fontId="71" fillId="2" borderId="28" xfId="0" quotePrefix="1" applyNumberFormat="1" applyFont="1" applyFill="1" applyBorder="1" applyAlignment="1">
      <alignment horizontal="center" vertical="center" wrapText="1"/>
    </xf>
    <xf numFmtId="0" fontId="3" fillId="9" borderId="0" xfId="24483" applyFill="1"/>
    <xf numFmtId="0" fontId="71" fillId="2" borderId="0" xfId="24483" applyFont="1" applyFill="1"/>
    <xf numFmtId="2" fontId="71" fillId="0" borderId="0" xfId="24483" applyNumberFormat="1" applyFont="1" applyAlignment="1">
      <alignment horizontal="center"/>
    </xf>
    <xf numFmtId="0" fontId="71" fillId="0" borderId="0" xfId="24483" applyFont="1" applyAlignment="1">
      <alignment horizontal="center"/>
    </xf>
    <xf numFmtId="2" fontId="71" fillId="0" borderId="2" xfId="24483" applyNumberFormat="1" applyFont="1" applyBorder="1" applyAlignment="1">
      <alignment horizontal="center"/>
    </xf>
    <xf numFmtId="3" fontId="124" fillId="6" borderId="78" xfId="13" applyNumberFormat="1" applyFont="1" applyFill="1" applyBorder="1" applyAlignment="1">
      <alignment horizontal="right" vertical="center" wrapText="1"/>
    </xf>
    <xf numFmtId="0" fontId="84" fillId="2" borderId="81" xfId="13" applyFont="1" applyFill="1" applyBorder="1" applyAlignment="1">
      <alignment horizontal="center" vertical="center" wrapText="1"/>
    </xf>
    <xf numFmtId="0" fontId="84" fillId="2" borderId="82" xfId="13" applyFont="1" applyFill="1" applyBorder="1" applyAlignment="1">
      <alignment horizontal="center" vertical="center" wrapText="1"/>
    </xf>
    <xf numFmtId="0" fontId="182" fillId="2" borderId="153" xfId="24483" applyFont="1" applyFill="1" applyBorder="1" applyAlignment="1">
      <alignment horizontal="center" vertical="center"/>
    </xf>
    <xf numFmtId="0" fontId="182" fillId="2" borderId="65" xfId="24483" applyFont="1" applyFill="1" applyBorder="1" applyAlignment="1">
      <alignment horizontal="center" vertical="center"/>
    </xf>
    <xf numFmtId="179" fontId="131" fillId="2" borderId="153" xfId="12405" applyNumberFormat="1" applyFont="1" applyFill="1" applyBorder="1" applyAlignment="1">
      <alignment horizontal="center" vertical="center"/>
    </xf>
    <xf numFmtId="0" fontId="84" fillId="0" borderId="153" xfId="13" applyFont="1" applyBorder="1" applyAlignment="1">
      <alignment horizontal="center" vertical="center" wrapText="1"/>
    </xf>
    <xf numFmtId="0" fontId="71" fillId="2" borderId="3" xfId="13" applyFont="1" applyFill="1" applyBorder="1" applyAlignment="1">
      <alignment horizontal="centerContinuous" vertical="center" wrapText="1"/>
    </xf>
    <xf numFmtId="0" fontId="84" fillId="9" borderId="7" xfId="13" applyFont="1" applyFill="1" applyBorder="1" applyAlignment="1">
      <alignment horizontal="centerContinuous" vertical="center" wrapText="1"/>
    </xf>
    <xf numFmtId="0" fontId="84" fillId="9" borderId="0" xfId="24483" applyFont="1" applyFill="1" applyAlignment="1">
      <alignment horizontal="centerContinuous" vertical="center"/>
    </xf>
    <xf numFmtId="170" fontId="131" fillId="0" borderId="0" xfId="24481" applyNumberFormat="1" applyFont="1"/>
    <xf numFmtId="3" fontId="4" fillId="2" borderId="0" xfId="24481" applyNumberFormat="1" applyFill="1"/>
    <xf numFmtId="170" fontId="207" fillId="0" borderId="56" xfId="0" applyNumberFormat="1" applyFont="1" applyBorder="1"/>
    <xf numFmtId="170" fontId="300" fillId="0" borderId="95" xfId="24481" applyNumberFormat="1" applyFont="1" applyBorder="1"/>
    <xf numFmtId="170" fontId="300" fillId="0" borderId="16" xfId="24481" applyNumberFormat="1" applyFont="1" applyBorder="1"/>
    <xf numFmtId="1" fontId="3" fillId="9" borderId="0" xfId="24483" applyNumberFormat="1" applyFill="1"/>
    <xf numFmtId="3" fontId="3" fillId="9" borderId="0" xfId="24483" applyNumberFormat="1" applyFill="1"/>
    <xf numFmtId="0" fontId="84" fillId="2" borderId="20" xfId="13" applyFont="1" applyFill="1" applyBorder="1" applyAlignment="1">
      <alignment horizontal="center" vertical="center" wrapText="1"/>
    </xf>
    <xf numFmtId="3" fontId="124" fillId="6" borderId="101" xfId="13" applyNumberFormat="1" applyFont="1" applyFill="1" applyBorder="1" applyAlignment="1">
      <alignment horizontal="right" vertical="center" wrapText="1"/>
    </xf>
    <xf numFmtId="170" fontId="103" fillId="4" borderId="0" xfId="24481" applyNumberFormat="1" applyFont="1" applyFill="1"/>
    <xf numFmtId="170" fontId="71" fillId="4" borderId="0" xfId="24481" applyNumberFormat="1" applyFont="1" applyFill="1"/>
    <xf numFmtId="170" fontId="103" fillId="3" borderId="0" xfId="24481" applyNumberFormat="1" applyFont="1" applyFill="1"/>
    <xf numFmtId="0" fontId="84" fillId="7" borderId="85" xfId="13" applyFont="1" applyFill="1" applyBorder="1" applyAlignment="1">
      <alignment horizontal="center" wrapText="1"/>
    </xf>
    <xf numFmtId="170" fontId="124" fillId="6" borderId="85" xfId="24481" applyNumberFormat="1" applyFont="1" applyFill="1" applyBorder="1"/>
    <xf numFmtId="0" fontId="93" fillId="2" borderId="6" xfId="13" applyFont="1" applyFill="1" applyBorder="1" applyAlignment="1">
      <alignment horizontal="centerContinuous" vertical="center"/>
    </xf>
    <xf numFmtId="0" fontId="93" fillId="2" borderId="25" xfId="13" applyFont="1" applyFill="1" applyBorder="1" applyAlignment="1">
      <alignment horizontal="centerContinuous" vertical="center"/>
    </xf>
    <xf numFmtId="0" fontId="71" fillId="0" borderId="25" xfId="13" applyFont="1" applyBorder="1" applyAlignment="1">
      <alignment horizontal="centerContinuous" vertical="center" wrapText="1"/>
    </xf>
    <xf numFmtId="0" fontId="71" fillId="0" borderId="0" xfId="24481" applyFont="1" applyAlignment="1">
      <alignment horizontal="centerContinuous" vertical="center" wrapText="1"/>
    </xf>
    <xf numFmtId="0" fontId="71" fillId="0" borderId="16" xfId="24481" applyFont="1" applyBorder="1" applyAlignment="1">
      <alignment horizontal="centerContinuous" vertical="center" wrapText="1"/>
    </xf>
    <xf numFmtId="0" fontId="71" fillId="2" borderId="5" xfId="13" applyFont="1" applyFill="1" applyBorder="1" applyAlignment="1">
      <alignment horizontal="centerContinuous" vertical="center"/>
    </xf>
    <xf numFmtId="0" fontId="108" fillId="2" borderId="25" xfId="13" applyFont="1" applyFill="1" applyBorder="1" applyAlignment="1">
      <alignment horizontal="centerContinuous" vertical="center" wrapText="1"/>
    </xf>
    <xf numFmtId="0" fontId="71" fillId="2" borderId="6" xfId="13" applyFont="1" applyFill="1" applyBorder="1" applyAlignment="1">
      <alignment horizontal="centerContinuous" vertical="center"/>
    </xf>
    <xf numFmtId="0" fontId="71" fillId="2" borderId="25" xfId="13" applyFont="1" applyFill="1" applyBorder="1" applyAlignment="1">
      <alignment horizontal="centerContinuous" vertical="center"/>
    </xf>
    <xf numFmtId="0" fontId="108" fillId="2" borderId="6" xfId="13" applyFont="1" applyFill="1" applyBorder="1" applyAlignment="1">
      <alignment horizontal="centerContinuous" vertical="center" wrapText="1"/>
    </xf>
    <xf numFmtId="0" fontId="93" fillId="2" borderId="7" xfId="13" applyFont="1" applyFill="1" applyBorder="1" applyAlignment="1">
      <alignment horizontal="centerContinuous" vertical="center"/>
    </xf>
    <xf numFmtId="0" fontId="71" fillId="0" borderId="56" xfId="24481" applyFont="1" applyBorder="1" applyAlignment="1">
      <alignment horizontal="centerContinuous" vertical="center" wrapText="1"/>
    </xf>
    <xf numFmtId="0" fontId="108" fillId="2" borderId="155" xfId="13" applyFont="1" applyFill="1" applyBorder="1" applyAlignment="1">
      <alignment horizontal="centerContinuous" vertical="center" wrapText="1"/>
    </xf>
    <xf numFmtId="170" fontId="71" fillId="0" borderId="87" xfId="24481" applyNumberFormat="1" applyFont="1" applyBorder="1"/>
    <xf numFmtId="170" fontId="232" fillId="0" borderId="87" xfId="24481" applyNumberFormat="1" applyFont="1" applyBorder="1"/>
    <xf numFmtId="0" fontId="71" fillId="0" borderId="3" xfId="24481" applyFont="1" applyBorder="1" applyAlignment="1">
      <alignment horizontal="centerContinuous" vertical="center" wrapText="1"/>
    </xf>
    <xf numFmtId="170" fontId="103" fillId="7" borderId="85" xfId="24481" applyNumberFormat="1" applyFont="1" applyFill="1" applyBorder="1"/>
    <xf numFmtId="170" fontId="103" fillId="7" borderId="16" xfId="24481" applyNumberFormat="1" applyFont="1" applyFill="1" applyBorder="1"/>
    <xf numFmtId="170" fontId="103" fillId="7" borderId="0" xfId="24481" applyNumberFormat="1" applyFont="1" applyFill="1"/>
    <xf numFmtId="170" fontId="103" fillId="3" borderId="85" xfId="24481" applyNumberFormat="1" applyFont="1" applyFill="1" applyBorder="1"/>
    <xf numFmtId="170" fontId="103" fillId="3" borderId="87" xfId="24481" applyNumberFormat="1" applyFont="1" applyFill="1" applyBorder="1"/>
    <xf numFmtId="0" fontId="108" fillId="2" borderId="156" xfId="13" applyFont="1" applyFill="1" applyBorder="1" applyAlignment="1">
      <alignment horizontal="centerContinuous" vertical="center" wrapText="1"/>
    </xf>
    <xf numFmtId="0" fontId="71" fillId="2" borderId="153" xfId="13" applyFont="1" applyFill="1" applyBorder="1" applyAlignment="1">
      <alignment horizontal="centerContinuous" vertical="center"/>
    </xf>
    <xf numFmtId="179" fontId="102" fillId="2" borderId="153" xfId="12405" applyNumberFormat="1" applyFont="1" applyFill="1" applyBorder="1" applyAlignment="1">
      <alignment horizontal="center" vertical="center"/>
    </xf>
    <xf numFmtId="179" fontId="71" fillId="2" borderId="0" xfId="12405" applyNumberFormat="1" applyFont="1" applyFill="1" applyBorder="1"/>
    <xf numFmtId="0" fontId="71" fillId="0" borderId="35" xfId="24481" applyFont="1" applyBorder="1" applyAlignment="1">
      <alignment horizontal="centerContinuous" vertical="center" wrapText="1"/>
    </xf>
    <xf numFmtId="0" fontId="84" fillId="7" borderId="3" xfId="13" applyFont="1" applyFill="1" applyBorder="1" applyAlignment="1">
      <alignment horizontal="center" wrapText="1"/>
    </xf>
    <xf numFmtId="170" fontId="103" fillId="3" borderId="3" xfId="24481" applyNumberFormat="1" applyFont="1" applyFill="1" applyBorder="1"/>
    <xf numFmtId="170" fontId="71" fillId="0" borderId="3" xfId="24481" applyNumberFormat="1" applyFont="1" applyBorder="1"/>
    <xf numFmtId="0" fontId="182" fillId="2" borderId="6" xfId="24483" applyFont="1" applyFill="1" applyBorder="1" applyAlignment="1">
      <alignment horizontal="center" vertical="center"/>
    </xf>
    <xf numFmtId="3" fontId="131" fillId="0" borderId="87" xfId="13" applyNumberFormat="1" applyFont="1" applyBorder="1" applyAlignment="1">
      <alignment horizontal="right" vertical="center" wrapText="1"/>
    </xf>
    <xf numFmtId="3" fontId="131" fillId="0" borderId="87" xfId="24483" applyNumberFormat="1" applyFont="1" applyBorder="1" applyAlignment="1">
      <alignment horizontal="right"/>
    </xf>
    <xf numFmtId="170" fontId="71" fillId="0" borderId="87" xfId="24483" applyNumberFormat="1" applyFont="1" applyBorder="1"/>
    <xf numFmtId="0" fontId="182" fillId="2" borderId="156" xfId="24483" applyFont="1" applyFill="1" applyBorder="1" applyAlignment="1">
      <alignment horizontal="center" vertical="center"/>
    </xf>
    <xf numFmtId="3" fontId="124" fillId="6" borderId="100" xfId="13" applyNumberFormat="1" applyFont="1" applyFill="1" applyBorder="1" applyAlignment="1">
      <alignment horizontal="right" vertical="center" wrapText="1"/>
    </xf>
    <xf numFmtId="3" fontId="131" fillId="0" borderId="130" xfId="13" applyNumberFormat="1" applyFont="1" applyBorder="1" applyAlignment="1">
      <alignment horizontal="right" vertical="center" wrapText="1"/>
    </xf>
    <xf numFmtId="3" fontId="131" fillId="0" borderId="130" xfId="24483" applyNumberFormat="1" applyFont="1" applyBorder="1" applyAlignment="1">
      <alignment horizontal="right"/>
    </xf>
    <xf numFmtId="170" fontId="71" fillId="0" borderId="130" xfId="24483" applyNumberFormat="1" applyFont="1" applyBorder="1"/>
    <xf numFmtId="0" fontId="71" fillId="2" borderId="18" xfId="13" applyFont="1" applyFill="1" applyBorder="1" applyAlignment="1">
      <alignment horizontal="centerContinuous" vertical="center" wrapText="1"/>
    </xf>
    <xf numFmtId="3" fontId="301" fillId="6" borderId="101" xfId="13" applyNumberFormat="1" applyFont="1" applyFill="1" applyBorder="1" applyAlignment="1">
      <alignment horizontal="right" vertical="center" wrapText="1"/>
    </xf>
    <xf numFmtId="3" fontId="301" fillId="6" borderId="92" xfId="13" applyNumberFormat="1" applyFont="1" applyFill="1" applyBorder="1" applyAlignment="1">
      <alignment horizontal="right" vertical="center" wrapText="1"/>
    </xf>
    <xf numFmtId="3" fontId="302" fillId="0" borderId="85" xfId="13" applyNumberFormat="1" applyFont="1" applyBorder="1" applyAlignment="1">
      <alignment horizontal="right" vertical="center" wrapText="1"/>
    </xf>
    <xf numFmtId="3" fontId="302" fillId="0" borderId="171" xfId="13" applyNumberFormat="1" applyFont="1" applyBorder="1" applyAlignment="1">
      <alignment horizontal="right" vertical="center" wrapText="1"/>
    </xf>
    <xf numFmtId="3" fontId="302" fillId="0" borderId="85" xfId="24483" applyNumberFormat="1" applyFont="1" applyBorder="1" applyAlignment="1">
      <alignment horizontal="right"/>
    </xf>
    <xf numFmtId="3" fontId="302" fillId="0" borderId="171" xfId="24483" applyNumberFormat="1" applyFont="1" applyBorder="1" applyAlignment="1">
      <alignment horizontal="right"/>
    </xf>
    <xf numFmtId="0" fontId="86" fillId="0" borderId="156" xfId="13" applyFont="1" applyBorder="1" applyAlignment="1">
      <alignment horizontal="centerContinuous" vertical="center" wrapText="1"/>
    </xf>
    <xf numFmtId="0" fontId="86" fillId="0" borderId="65" xfId="13" applyFont="1" applyBorder="1" applyAlignment="1">
      <alignment horizontal="centerContinuous" vertical="center" wrapText="1"/>
    </xf>
    <xf numFmtId="0" fontId="86" fillId="0" borderId="6" xfId="13" applyFont="1" applyBorder="1" applyAlignment="1">
      <alignment horizontal="centerContinuous" vertical="center" wrapText="1"/>
    </xf>
    <xf numFmtId="179" fontId="299" fillId="2" borderId="156" xfId="12405" applyNumberFormat="1" applyFont="1" applyFill="1" applyBorder="1" applyAlignment="1">
      <alignment horizontal="centerContinuous" vertical="center" wrapText="1"/>
    </xf>
    <xf numFmtId="179" fontId="299" fillId="2" borderId="6" xfId="12405" applyNumberFormat="1" applyFont="1" applyFill="1" applyBorder="1" applyAlignment="1">
      <alignment horizontal="centerContinuous" vertical="center" wrapText="1"/>
    </xf>
    <xf numFmtId="0" fontId="71" fillId="2" borderId="156" xfId="13" applyFont="1" applyFill="1" applyBorder="1" applyAlignment="1">
      <alignment horizontal="centerContinuous" vertical="center" wrapText="1"/>
    </xf>
    <xf numFmtId="170" fontId="303" fillId="0" borderId="130" xfId="24483" applyNumberFormat="1" applyFont="1" applyBorder="1"/>
    <xf numFmtId="170" fontId="303" fillId="0" borderId="87" xfId="24483" applyNumberFormat="1" applyFont="1" applyBorder="1"/>
    <xf numFmtId="170" fontId="222" fillId="0" borderId="174" xfId="24481" applyNumberFormat="1" applyFont="1" applyBorder="1"/>
    <xf numFmtId="170" fontId="71" fillId="0" borderId="174" xfId="24481" applyNumberFormat="1" applyFont="1" applyBorder="1"/>
    <xf numFmtId="170" fontId="222" fillId="0" borderId="130" xfId="24481" applyNumberFormat="1" applyFont="1" applyBorder="1"/>
    <xf numFmtId="170" fontId="131" fillId="0" borderId="95" xfId="24481" applyNumberFormat="1" applyFont="1" applyBorder="1"/>
    <xf numFmtId="170" fontId="71" fillId="2" borderId="5" xfId="12400" applyNumberFormat="1" applyFont="1" applyFill="1" applyBorder="1" applyAlignment="1">
      <alignment horizontal="centerContinuous" vertical="center" wrapText="1"/>
    </xf>
    <xf numFmtId="170" fontId="71" fillId="2" borderId="6" xfId="12400" applyNumberFormat="1" applyFont="1" applyFill="1" applyBorder="1" applyAlignment="1">
      <alignment horizontal="centerContinuous" vertical="center" wrapText="1"/>
    </xf>
    <xf numFmtId="0" fontId="71" fillId="2" borderId="7" xfId="12400" applyFont="1" applyFill="1" applyBorder="1" applyAlignment="1">
      <alignment horizontal="centerContinuous" vertical="center" wrapText="1"/>
    </xf>
    <xf numFmtId="0" fontId="71" fillId="2" borderId="5" xfId="12400" applyFont="1" applyFill="1" applyBorder="1" applyAlignment="1">
      <alignment horizontal="center" vertical="center" wrapText="1"/>
    </xf>
    <xf numFmtId="171" fontId="103" fillId="3" borderId="0" xfId="12400" applyNumberFormat="1" applyFont="1" applyFill="1"/>
    <xf numFmtId="171" fontId="161" fillId="3" borderId="0" xfId="0" applyNumberFormat="1" applyFont="1" applyFill="1"/>
    <xf numFmtId="1" fontId="103" fillId="73" borderId="28" xfId="9" applyNumberFormat="1" applyFont="1" applyFill="1" applyBorder="1" applyAlignment="1" applyProtection="1">
      <alignment horizontal="centerContinuous" vertical="center" wrapText="1"/>
    </xf>
    <xf numFmtId="0" fontId="71" fillId="2" borderId="27" xfId="12400" applyFont="1" applyFill="1" applyBorder="1" applyAlignment="1">
      <alignment horizontal="center" vertical="center" wrapText="1"/>
    </xf>
    <xf numFmtId="0" fontId="234" fillId="2" borderId="0" xfId="12400" applyFont="1" applyFill="1" applyAlignment="1">
      <alignment horizontal="left"/>
    </xf>
    <xf numFmtId="0" fontId="71" fillId="2" borderId="91" xfId="12400" applyFont="1" applyFill="1" applyBorder="1" applyAlignment="1">
      <alignment horizontal="center" vertical="center" wrapText="1"/>
    </xf>
    <xf numFmtId="0" fontId="71" fillId="2" borderId="7" xfId="12400" applyFont="1" applyFill="1" applyBorder="1" applyAlignment="1">
      <alignment horizontal="center" vertical="center" wrapText="1"/>
    </xf>
    <xf numFmtId="0" fontId="71" fillId="2" borderId="175" xfId="12400" applyFont="1" applyFill="1" applyBorder="1" applyAlignment="1">
      <alignment horizontal="center" vertical="center" wrapText="1"/>
    </xf>
    <xf numFmtId="0" fontId="84" fillId="2" borderId="153" xfId="12400" applyFont="1" applyFill="1" applyBorder="1" applyAlignment="1">
      <alignment horizontal="center" vertical="center"/>
    </xf>
    <xf numFmtId="170" fontId="66" fillId="2" borderId="0" xfId="12400" applyNumberFormat="1" applyFont="1" applyFill="1"/>
    <xf numFmtId="43" fontId="0" fillId="9" borderId="0" xfId="24490" applyFont="1" applyFill="1"/>
    <xf numFmtId="170" fontId="222" fillId="0" borderId="171" xfId="24481" applyNumberFormat="1" applyFont="1" applyBorder="1"/>
    <xf numFmtId="170" fontId="71" fillId="0" borderId="171" xfId="24481" applyNumberFormat="1" applyFont="1" applyBorder="1"/>
    <xf numFmtId="0" fontId="84" fillId="7" borderId="174" xfId="13" applyFont="1" applyFill="1" applyBorder="1" applyAlignment="1">
      <alignment horizontal="center" wrapText="1"/>
    </xf>
    <xf numFmtId="0" fontId="84" fillId="2" borderId="94" xfId="13" applyFont="1" applyFill="1" applyBorder="1" applyAlignment="1">
      <alignment horizontal="centerContinuous" vertical="center" wrapText="1"/>
    </xf>
    <xf numFmtId="0" fontId="84" fillId="2" borderId="27" xfId="13" applyFont="1" applyFill="1" applyBorder="1" applyAlignment="1">
      <alignment horizontal="centerContinuous" vertical="center" wrapText="1"/>
    </xf>
    <xf numFmtId="0" fontId="84" fillId="2" borderId="88" xfId="13" applyFont="1" applyFill="1" applyBorder="1" applyAlignment="1">
      <alignment horizontal="centerContinuous" vertical="center" wrapText="1"/>
    </xf>
    <xf numFmtId="0" fontId="84" fillId="2" borderId="21" xfId="13" applyFont="1" applyFill="1" applyBorder="1" applyAlignment="1">
      <alignment horizontal="centerContinuous" vertical="center" wrapText="1"/>
    </xf>
    <xf numFmtId="0" fontId="84" fillId="2" borderId="82" xfId="13" applyFont="1" applyFill="1" applyBorder="1" applyAlignment="1">
      <alignment horizontal="centerContinuous" vertical="center" wrapText="1"/>
    </xf>
    <xf numFmtId="0" fontId="66" fillId="2" borderId="93" xfId="13" applyFont="1" applyFill="1" applyBorder="1" applyAlignment="1">
      <alignment horizontal="centerContinuous" vertical="center" wrapText="1"/>
    </xf>
    <xf numFmtId="0" fontId="84" fillId="2" borderId="84" xfId="13" applyFont="1" applyFill="1" applyBorder="1" applyAlignment="1">
      <alignment horizontal="centerContinuous" vertical="center" wrapText="1"/>
    </xf>
    <xf numFmtId="0" fontId="84" fillId="2" borderId="28" xfId="13" applyFont="1" applyFill="1" applyBorder="1" applyAlignment="1">
      <alignment horizontal="centerContinuous" vertical="center" wrapText="1"/>
    </xf>
    <xf numFmtId="0" fontId="84" fillId="0" borderId="65" xfId="0" applyFont="1" applyBorder="1" applyAlignment="1">
      <alignment horizontal="center" vertical="center" wrapText="1"/>
    </xf>
    <xf numFmtId="0" fontId="71" fillId="0" borderId="109" xfId="0" applyFont="1" applyBorder="1" applyAlignment="1">
      <alignment horizontal="center" vertical="center" wrapText="1"/>
    </xf>
    <xf numFmtId="0" fontId="71" fillId="0" borderId="136" xfId="0" applyFont="1" applyBorder="1" applyAlignment="1">
      <alignment horizontal="center" vertical="center" wrapText="1"/>
    </xf>
    <xf numFmtId="0" fontId="71" fillId="2" borderId="109" xfId="0" applyFont="1" applyFill="1" applyBorder="1" applyAlignment="1">
      <alignment horizontal="center" vertical="center" wrapText="1"/>
    </xf>
    <xf numFmtId="0" fontId="71" fillId="2" borderId="136" xfId="0" applyFont="1" applyFill="1" applyBorder="1" applyAlignment="1">
      <alignment horizontal="center" vertical="center" wrapText="1"/>
    </xf>
    <xf numFmtId="1" fontId="124" fillId="2" borderId="176" xfId="0" applyNumberFormat="1" applyFont="1" applyFill="1" applyBorder="1" applyAlignment="1">
      <alignment horizontal="center"/>
    </xf>
    <xf numFmtId="1" fontId="124" fillId="2" borderId="177" xfId="0" applyNumberFormat="1" applyFont="1" applyFill="1" applyBorder="1" applyAlignment="1">
      <alignment horizontal="center"/>
    </xf>
    <xf numFmtId="2" fontId="71" fillId="0" borderId="109" xfId="0" applyNumberFormat="1" applyFont="1" applyBorder="1" applyAlignment="1">
      <alignment horizontal="center" vertical="center"/>
    </xf>
    <xf numFmtId="2" fontId="71" fillId="0" borderId="136" xfId="0" applyNumberFormat="1" applyFont="1" applyBorder="1" applyAlignment="1">
      <alignment horizontal="center" vertical="center"/>
    </xf>
    <xf numFmtId="0" fontId="84" fillId="2" borderId="176" xfId="0" applyFont="1" applyFill="1" applyBorder="1" applyAlignment="1">
      <alignment horizontal="center" vertical="center"/>
    </xf>
    <xf numFmtId="0" fontId="84" fillId="2" borderId="177" xfId="0" applyFont="1" applyFill="1" applyBorder="1" applyAlignment="1">
      <alignment horizontal="center" vertical="center"/>
    </xf>
    <xf numFmtId="0" fontId="124" fillId="2" borderId="133" xfId="0" applyFont="1" applyFill="1" applyBorder="1" applyAlignment="1">
      <alignment horizontal="center" vertical="center" wrapText="1"/>
    </xf>
    <xf numFmtId="0" fontId="124" fillId="2" borderId="137" xfId="0" applyFont="1" applyFill="1" applyBorder="1" applyAlignment="1">
      <alignment horizontal="center" vertical="center" wrapText="1"/>
    </xf>
    <xf numFmtId="171" fontId="109" fillId="7" borderId="173" xfId="0" applyNumberFormat="1" applyFont="1" applyFill="1" applyBorder="1"/>
    <xf numFmtId="171" fontId="109" fillId="7" borderId="178" xfId="0" applyNumberFormat="1" applyFont="1" applyFill="1" applyBorder="1"/>
    <xf numFmtId="171" fontId="109" fillId="7" borderId="126" xfId="0" applyNumberFormat="1" applyFont="1" applyFill="1" applyBorder="1"/>
    <xf numFmtId="171" fontId="109" fillId="7" borderId="135" xfId="0" applyNumberFormat="1" applyFont="1" applyFill="1" applyBorder="1"/>
    <xf numFmtId="171" fontId="103" fillId="3" borderId="173" xfId="0" applyNumberFormat="1" applyFont="1" applyFill="1" applyBorder="1"/>
    <xf numFmtId="171" fontId="103" fillId="3" borderId="178" xfId="0" applyNumberFormat="1" applyFont="1" applyFill="1" applyBorder="1"/>
    <xf numFmtId="171" fontId="71" fillId="0" borderId="135" xfId="0" applyNumberFormat="1" applyFont="1" applyBorder="1"/>
    <xf numFmtId="2" fontId="71" fillId="2" borderId="0" xfId="13" applyNumberFormat="1" applyFont="1" applyFill="1"/>
    <xf numFmtId="0" fontId="2" fillId="9" borderId="0" xfId="24485" applyFill="1"/>
    <xf numFmtId="0" fontId="2" fillId="9" borderId="0" xfId="24486" applyFill="1"/>
    <xf numFmtId="170" fontId="71" fillId="0" borderId="85" xfId="24486" applyNumberFormat="1" applyFont="1" applyBorder="1"/>
    <xf numFmtId="170" fontId="71" fillId="0" borderId="95" xfId="24486" applyNumberFormat="1" applyFont="1" applyBorder="1"/>
    <xf numFmtId="2" fontId="71" fillId="0" borderId="3" xfId="24486" applyNumberFormat="1" applyFont="1" applyBorder="1" applyAlignment="1">
      <alignment horizontal="center"/>
    </xf>
    <xf numFmtId="170" fontId="124" fillId="6" borderId="95" xfId="24486" applyNumberFormat="1" applyFont="1" applyFill="1" applyBorder="1"/>
    <xf numFmtId="170" fontId="71" fillId="10" borderId="95" xfId="24486" applyNumberFormat="1" applyFont="1" applyFill="1" applyBorder="1"/>
    <xf numFmtId="170" fontId="124" fillId="6" borderId="85" xfId="24486" applyNumberFormat="1" applyFont="1" applyFill="1" applyBorder="1"/>
    <xf numFmtId="0" fontId="71" fillId="2" borderId="65" xfId="24486" applyFont="1" applyFill="1" applyBorder="1" applyAlignment="1">
      <alignment horizontal="center" vertical="center" wrapText="1"/>
    </xf>
    <xf numFmtId="0" fontId="71" fillId="2" borderId="66" xfId="24486" applyFont="1" applyFill="1" applyBorder="1" applyAlignment="1">
      <alignment horizontal="center" vertical="center" wrapText="1"/>
    </xf>
    <xf numFmtId="0" fontId="71" fillId="2" borderId="99" xfId="24486" applyFont="1" applyFill="1" applyBorder="1" applyAlignment="1">
      <alignment horizontal="center" vertical="center" wrapText="1"/>
    </xf>
    <xf numFmtId="0" fontId="71" fillId="2" borderId="65" xfId="24486" applyFont="1" applyFill="1" applyBorder="1" applyAlignment="1">
      <alignment horizontal="centerContinuous" vertical="center" wrapText="1"/>
    </xf>
    <xf numFmtId="0" fontId="71" fillId="0" borderId="65" xfId="24486" applyFont="1" applyBorder="1" applyAlignment="1">
      <alignment horizontal="center" vertical="center" wrapText="1"/>
    </xf>
    <xf numFmtId="0" fontId="71" fillId="0" borderId="99" xfId="24486" applyFont="1" applyBorder="1" applyAlignment="1">
      <alignment horizontal="center" vertical="center" wrapText="1"/>
    </xf>
    <xf numFmtId="0" fontId="84" fillId="2" borderId="3" xfId="24486" applyFont="1" applyFill="1" applyBorder="1" applyAlignment="1">
      <alignment horizontal="centerContinuous" vertical="center" wrapText="1"/>
    </xf>
    <xf numFmtId="0" fontId="84" fillId="2" borderId="18" xfId="24486" applyFont="1" applyFill="1" applyBorder="1" applyAlignment="1">
      <alignment horizontal="centerContinuous" vertical="center" wrapText="1"/>
    </xf>
    <xf numFmtId="0" fontId="84" fillId="2" borderId="6" xfId="24486" applyFont="1" applyFill="1" applyBorder="1" applyAlignment="1">
      <alignment horizontal="centerContinuous" vertical="center" wrapText="1"/>
    </xf>
    <xf numFmtId="0" fontId="84" fillId="2" borderId="0" xfId="24486" applyFont="1" applyFill="1" applyAlignment="1">
      <alignment horizontal="centerContinuous" vertical="center" wrapText="1"/>
    </xf>
    <xf numFmtId="1" fontId="84" fillId="2" borderId="7" xfId="24486" applyNumberFormat="1" applyFont="1" applyFill="1" applyBorder="1" applyAlignment="1">
      <alignment horizontal="centerContinuous" vertical="center" wrapText="1"/>
    </xf>
    <xf numFmtId="0" fontId="2" fillId="9" borderId="6" xfId="24486" applyFill="1" applyBorder="1" applyAlignment="1">
      <alignment horizontal="centerContinuous"/>
    </xf>
    <xf numFmtId="1" fontId="84" fillId="2" borderId="6" xfId="24486" applyNumberFormat="1" applyFont="1" applyFill="1" applyBorder="1" applyAlignment="1">
      <alignment horizontal="centerContinuous" vertical="center" wrapText="1"/>
    </xf>
    <xf numFmtId="1" fontId="84" fillId="2" borderId="13" xfId="24486" applyNumberFormat="1" applyFont="1" applyFill="1" applyBorder="1" applyAlignment="1">
      <alignment horizontal="centerContinuous" vertical="center" wrapText="1"/>
    </xf>
    <xf numFmtId="0" fontId="84" fillId="2" borderId="141" xfId="24486" applyFont="1" applyFill="1" applyBorder="1" applyAlignment="1">
      <alignment horizontal="centerContinuous" vertical="center" wrapText="1"/>
    </xf>
    <xf numFmtId="0" fontId="71" fillId="2" borderId="156" xfId="24486" applyFont="1" applyFill="1" applyBorder="1" applyAlignment="1">
      <alignment horizontal="centerContinuous" vertical="center" wrapText="1"/>
    </xf>
    <xf numFmtId="170" fontId="124" fillId="10" borderId="130" xfId="24486" applyNumberFormat="1" applyFont="1" applyFill="1" applyBorder="1"/>
    <xf numFmtId="170" fontId="71" fillId="10" borderId="130" xfId="24486" applyNumberFormat="1" applyFont="1" applyFill="1" applyBorder="1"/>
    <xf numFmtId="170" fontId="124" fillId="6" borderId="130" xfId="24486" applyNumberFormat="1" applyFont="1" applyFill="1" applyBorder="1"/>
    <xf numFmtId="170" fontId="71" fillId="0" borderId="130" xfId="24486" applyNumberFormat="1" applyFont="1" applyBorder="1"/>
    <xf numFmtId="170" fontId="124" fillId="10" borderId="57" xfId="24486" applyNumberFormat="1" applyFont="1" applyFill="1" applyBorder="1"/>
    <xf numFmtId="170" fontId="71" fillId="10" borderId="57" xfId="24486" applyNumberFormat="1" applyFont="1" applyFill="1" applyBorder="1"/>
    <xf numFmtId="170" fontId="124" fillId="6" borderId="57" xfId="24486" applyNumberFormat="1" applyFont="1" applyFill="1" applyBorder="1"/>
    <xf numFmtId="170" fontId="71" fillId="0" borderId="57" xfId="24486" applyNumberFormat="1" applyFont="1" applyBorder="1"/>
    <xf numFmtId="0" fontId="71" fillId="2" borderId="156" xfId="24486" applyFont="1" applyFill="1" applyBorder="1" applyAlignment="1">
      <alignment horizontal="center" vertical="center" wrapText="1"/>
    </xf>
    <xf numFmtId="170" fontId="124" fillId="10" borderId="58" xfId="24486" applyNumberFormat="1" applyFont="1" applyFill="1" applyBorder="1"/>
    <xf numFmtId="170" fontId="71" fillId="10" borderId="58" xfId="24486" applyNumberFormat="1" applyFont="1" applyFill="1" applyBorder="1"/>
    <xf numFmtId="170" fontId="124" fillId="6" borderId="58" xfId="24486" applyNumberFormat="1" applyFont="1" applyFill="1" applyBorder="1"/>
    <xf numFmtId="170" fontId="71" fillId="0" borderId="58" xfId="24486" applyNumberFormat="1" applyFont="1" applyBorder="1"/>
    <xf numFmtId="0" fontId="71" fillId="2" borderId="5" xfId="24486" applyFont="1" applyFill="1" applyBorder="1" applyAlignment="1">
      <alignment horizontal="center" vertical="center" wrapText="1"/>
    </xf>
    <xf numFmtId="0" fontId="71" fillId="2" borderId="6" xfId="24486" applyFont="1" applyFill="1" applyBorder="1" applyAlignment="1">
      <alignment horizontal="center" vertical="center" wrapText="1"/>
    </xf>
    <xf numFmtId="0" fontId="185" fillId="9" borderId="6" xfId="24486" applyFont="1" applyFill="1" applyBorder="1"/>
    <xf numFmtId="0" fontId="185" fillId="9" borderId="25" xfId="24486" applyFont="1" applyFill="1" applyBorder="1"/>
    <xf numFmtId="0" fontId="185" fillId="9" borderId="21" xfId="24486" applyFont="1" applyFill="1" applyBorder="1" applyAlignment="1">
      <alignment vertical="center"/>
    </xf>
    <xf numFmtId="0" fontId="131" fillId="9" borderId="27" xfId="24486" applyFont="1" applyFill="1" applyBorder="1" applyAlignment="1">
      <alignment horizontal="center" vertical="center"/>
    </xf>
    <xf numFmtId="0" fontId="131" fillId="9" borderId="22" xfId="24486" applyFont="1" applyFill="1" applyBorder="1" applyAlignment="1">
      <alignment horizontal="center" vertical="center"/>
    </xf>
    <xf numFmtId="0" fontId="185" fillId="9" borderId="7" xfId="24486" applyFont="1" applyFill="1" applyBorder="1"/>
    <xf numFmtId="0" fontId="210" fillId="9" borderId="20" xfId="126" applyFont="1" applyFill="1" applyBorder="1" applyAlignment="1">
      <alignment horizontal="centerContinuous" vertical="center"/>
    </xf>
    <xf numFmtId="0" fontId="210" fillId="9" borderId="21" xfId="126" applyFont="1" applyFill="1" applyBorder="1" applyAlignment="1">
      <alignment horizontal="centerContinuous" vertical="center" wrapText="1"/>
    </xf>
    <xf numFmtId="0" fontId="210" fillId="9" borderId="24" xfId="126" applyFont="1" applyFill="1" applyBorder="1" applyAlignment="1">
      <alignment horizontal="centerContinuous" vertical="center"/>
    </xf>
    <xf numFmtId="0" fontId="71" fillId="2" borderId="6" xfId="24486" applyFont="1" applyFill="1" applyBorder="1" applyAlignment="1">
      <alignment horizontal="centerContinuous" vertical="center" wrapText="1"/>
    </xf>
    <xf numFmtId="0" fontId="71" fillId="2" borderId="18" xfId="24486" applyFont="1" applyFill="1" applyBorder="1" applyAlignment="1">
      <alignment horizontal="centerContinuous" vertical="center" wrapText="1"/>
    </xf>
    <xf numFmtId="0" fontId="71" fillId="2" borderId="0" xfId="24486" applyFont="1" applyFill="1" applyAlignment="1">
      <alignment horizontal="centerContinuous" vertical="center" wrapText="1"/>
    </xf>
    <xf numFmtId="4" fontId="110" fillId="0" borderId="85" xfId="12" applyNumberFormat="1" applyFont="1" applyBorder="1"/>
    <xf numFmtId="4" fontId="110" fillId="0" borderId="0" xfId="12" applyNumberFormat="1" applyFont="1"/>
    <xf numFmtId="4" fontId="110" fillId="0" borderId="85" xfId="12401" applyNumberFormat="1" applyFont="1" applyBorder="1" applyAlignment="1"/>
    <xf numFmtId="4" fontId="110" fillId="0" borderId="0" xfId="12401" applyNumberFormat="1" applyFont="1" applyBorder="1" applyAlignment="1"/>
    <xf numFmtId="4" fontId="110" fillId="0" borderId="130" xfId="12401" applyNumberFormat="1" applyFont="1" applyBorder="1" applyAlignment="1"/>
    <xf numFmtId="4" fontId="71" fillId="0" borderId="85" xfId="12" applyNumberFormat="1" applyFont="1" applyBorder="1"/>
    <xf numFmtId="4" fontId="71" fillId="0" borderId="0" xfId="12" applyNumberFormat="1" applyFont="1"/>
    <xf numFmtId="4" fontId="110" fillId="0" borderId="85" xfId="24490" applyNumberFormat="1" applyFont="1" applyBorder="1"/>
    <xf numFmtId="4" fontId="110" fillId="0" borderId="0" xfId="24490" applyNumberFormat="1" applyFont="1"/>
    <xf numFmtId="0" fontId="97" fillId="6" borderId="180" xfId="0" applyFont="1" applyFill="1" applyBorder="1" applyAlignment="1">
      <alignment horizontal="center" vertical="center"/>
    </xf>
    <xf numFmtId="0" fontId="80" fillId="2" borderId="141" xfId="0" applyFont="1" applyFill="1" applyBorder="1" applyAlignment="1">
      <alignment horizontal="left" vertical="center"/>
    </xf>
    <xf numFmtId="0" fontId="69" fillId="2" borderId="181" xfId="0" applyFont="1" applyFill="1" applyBorder="1" applyAlignment="1">
      <alignment vertical="center"/>
    </xf>
    <xf numFmtId="0" fontId="71" fillId="0" borderId="181" xfId="0" applyFont="1" applyBorder="1" applyAlignment="1">
      <alignment horizontal="centerContinuous" vertical="center" wrapText="1"/>
    </xf>
    <xf numFmtId="0" fontId="71" fillId="0" borderId="183" xfId="0" applyFont="1" applyBorder="1" applyAlignment="1">
      <alignment horizontal="centerContinuous" vertical="center" wrapText="1"/>
    </xf>
    <xf numFmtId="0" fontId="71" fillId="0" borderId="182" xfId="0" applyFont="1" applyBorder="1" applyAlignment="1">
      <alignment horizontal="centerContinuous" vertical="center" wrapText="1"/>
    </xf>
    <xf numFmtId="0" fontId="71" fillId="0" borderId="182" xfId="0" applyFont="1" applyBorder="1" applyAlignment="1">
      <alignment horizontal="center" vertical="center" wrapText="1"/>
    </xf>
    <xf numFmtId="176" fontId="232" fillId="0" borderId="174" xfId="0" applyNumberFormat="1" applyFont="1" applyBorder="1"/>
    <xf numFmtId="170" fontId="232" fillId="0" borderId="174" xfId="0" applyNumberFormat="1" applyFont="1" applyBorder="1"/>
    <xf numFmtId="0" fontId="71" fillId="0" borderId="182" xfId="13" applyFont="1" applyBorder="1" applyAlignment="1">
      <alignment horizontal="center" vertical="center" wrapText="1"/>
    </xf>
    <xf numFmtId="171" fontId="232" fillId="0" borderId="174" xfId="0" applyNumberFormat="1" applyFont="1" applyBorder="1"/>
    <xf numFmtId="1" fontId="92" fillId="73" borderId="181" xfId="13" applyNumberFormat="1" applyFont="1" applyFill="1" applyBorder="1" applyAlignment="1">
      <alignment horizontal="center" vertical="center"/>
    </xf>
    <xf numFmtId="1" fontId="103" fillId="73" borderId="181" xfId="9" applyNumberFormat="1" applyFont="1" applyFill="1" applyBorder="1" applyAlignment="1" applyProtection="1">
      <alignment horizontal="centerContinuous" vertical="center" wrapText="1"/>
    </xf>
    <xf numFmtId="0" fontId="84" fillId="2" borderId="182" xfId="0" applyFont="1" applyFill="1" applyBorder="1" applyAlignment="1">
      <alignment horizontal="centerContinuous" vertical="center" wrapText="1"/>
    </xf>
    <xf numFmtId="10" fontId="84" fillId="2" borderId="184" xfId="0" applyNumberFormat="1" applyFont="1" applyFill="1" applyBorder="1" applyAlignment="1">
      <alignment horizontal="centerContinuous" vertical="center" wrapText="1"/>
    </xf>
    <xf numFmtId="1" fontId="103" fillId="3" borderId="181" xfId="9" applyNumberFormat="1" applyFont="1" applyFill="1" applyBorder="1" applyAlignment="1" applyProtection="1">
      <alignment horizontal="centerContinuous" vertical="center" wrapText="1"/>
    </xf>
    <xf numFmtId="1" fontId="103" fillId="73" borderId="181" xfId="13" applyNumberFormat="1" applyFont="1" applyFill="1" applyBorder="1" applyAlignment="1">
      <alignment horizontal="centerContinuous" vertical="center"/>
    </xf>
    <xf numFmtId="2" fontId="87" fillId="9" borderId="141" xfId="0" applyNumberFormat="1" applyFont="1" applyFill="1" applyBorder="1" applyAlignment="1">
      <alignment horizontal="center"/>
    </xf>
    <xf numFmtId="10" fontId="87" fillId="9" borderId="141" xfId="0" applyNumberFormat="1" applyFont="1" applyFill="1" applyBorder="1" applyAlignment="1">
      <alignment horizontal="center"/>
    </xf>
    <xf numFmtId="0" fontId="84" fillId="2" borderId="181" xfId="0" applyFont="1" applyFill="1" applyBorder="1" applyAlignment="1">
      <alignment horizontal="centerContinuous" vertical="center" wrapText="1"/>
    </xf>
    <xf numFmtId="2" fontId="84" fillId="9" borderId="182" xfId="0" applyNumberFormat="1" applyFont="1" applyFill="1" applyBorder="1" applyAlignment="1">
      <alignment horizontal="centerContinuous" vertical="center"/>
    </xf>
    <xf numFmtId="10" fontId="84" fillId="9" borderId="181" xfId="0" applyNumberFormat="1" applyFont="1" applyFill="1" applyBorder="1" applyAlignment="1">
      <alignment horizontal="centerContinuous" vertical="center"/>
    </xf>
    <xf numFmtId="0" fontId="84" fillId="2" borderId="182" xfId="0" applyFont="1" applyFill="1" applyBorder="1" applyAlignment="1">
      <alignment horizontal="centerContinuous" vertical="center"/>
    </xf>
    <xf numFmtId="0" fontId="71" fillId="2" borderId="182" xfId="0" applyFont="1" applyFill="1" applyBorder="1" applyAlignment="1">
      <alignment horizontal="centerContinuous" vertical="center"/>
    </xf>
    <xf numFmtId="0" fontId="71" fillId="2" borderId="184" xfId="0" applyFont="1" applyFill="1" applyBorder="1" applyAlignment="1">
      <alignment horizontal="centerContinuous" vertical="center"/>
    </xf>
    <xf numFmtId="10" fontId="71" fillId="9" borderId="141" xfId="12401" applyNumberFormat="1" applyFont="1" applyFill="1" applyBorder="1" applyAlignment="1">
      <alignment horizontal="centerContinuous" vertical="center" wrapText="1"/>
    </xf>
    <xf numFmtId="0" fontId="71" fillId="9" borderId="181" xfId="0" applyFont="1" applyFill="1" applyBorder="1"/>
    <xf numFmtId="0" fontId="71" fillId="9" borderId="181" xfId="0" applyFont="1" applyFill="1" applyBorder="1" applyAlignment="1">
      <alignment horizontal="centerContinuous" vertical="center" wrapText="1"/>
    </xf>
    <xf numFmtId="1" fontId="103" fillId="73" borderId="184" xfId="13" applyNumberFormat="1" applyFont="1" applyFill="1" applyBorder="1" applyAlignment="1">
      <alignment horizontal="centerContinuous" vertical="center"/>
    </xf>
    <xf numFmtId="2" fontId="71" fillId="0" borderId="171" xfId="12401" applyNumberFormat="1" applyFont="1" applyFill="1" applyBorder="1"/>
    <xf numFmtId="2" fontId="71" fillId="0" borderId="174" xfId="14694" applyNumberFormat="1" applyFont="1" applyBorder="1"/>
    <xf numFmtId="1" fontId="87" fillId="2" borderId="181" xfId="0" applyNumberFormat="1" applyFont="1" applyFill="1" applyBorder="1" applyAlignment="1">
      <alignment horizontal="center"/>
    </xf>
    <xf numFmtId="10" fontId="87" fillId="2" borderId="184" xfId="0" applyNumberFormat="1" applyFont="1" applyFill="1" applyBorder="1" applyAlignment="1">
      <alignment horizontal="center"/>
    </xf>
    <xf numFmtId="10" fontId="84" fillId="2" borderId="181" xfId="0" applyNumberFormat="1" applyFont="1" applyFill="1" applyBorder="1" applyAlignment="1">
      <alignment horizontal="centerContinuous" vertical="center" wrapText="1"/>
    </xf>
    <xf numFmtId="10" fontId="84" fillId="2" borderId="184" xfId="0" applyNumberFormat="1" applyFont="1" applyFill="1" applyBorder="1" applyAlignment="1">
      <alignment horizontal="center" vertical="center" wrapText="1"/>
    </xf>
    <xf numFmtId="0" fontId="71" fillId="2" borderId="181" xfId="0" applyFont="1" applyFill="1" applyBorder="1" applyAlignment="1">
      <alignment horizontal="center" vertical="center" wrapText="1"/>
    </xf>
    <xf numFmtId="10" fontId="71" fillId="2" borderId="184" xfId="0" applyNumberFormat="1" applyFont="1" applyFill="1" applyBorder="1" applyAlignment="1">
      <alignment horizontal="center" vertical="center" wrapText="1"/>
    </xf>
    <xf numFmtId="1" fontId="84" fillId="2" borderId="184" xfId="0" applyNumberFormat="1" applyFont="1" applyFill="1" applyBorder="1" applyAlignment="1">
      <alignment horizontal="center" vertical="center"/>
    </xf>
    <xf numFmtId="1" fontId="92" fillId="73" borderId="184" xfId="13" applyNumberFormat="1" applyFont="1" applyFill="1" applyBorder="1" applyAlignment="1">
      <alignment horizontal="center" vertical="center"/>
    </xf>
    <xf numFmtId="1" fontId="103" fillId="73" borderId="184" xfId="9" applyNumberFormat="1" applyFont="1" applyFill="1" applyBorder="1" applyAlignment="1" applyProtection="1">
      <alignment horizontal="centerContinuous" vertical="center" wrapText="1"/>
    </xf>
    <xf numFmtId="1" fontId="103" fillId="3" borderId="184" xfId="9" applyNumberFormat="1" applyFont="1" applyFill="1" applyBorder="1" applyAlignment="1" applyProtection="1">
      <alignment horizontal="centerContinuous" vertical="center" wrapText="1"/>
    </xf>
    <xf numFmtId="0" fontId="86" fillId="2" borderId="141" xfId="13" applyFont="1" applyFill="1" applyBorder="1" applyAlignment="1">
      <alignment horizontal="centerContinuous" vertical="center" wrapText="1"/>
    </xf>
    <xf numFmtId="1" fontId="84" fillId="2" borderId="141" xfId="13" applyNumberFormat="1" applyFont="1" applyFill="1" applyBorder="1" applyAlignment="1">
      <alignment horizontal="centerContinuous" vertical="center" wrapText="1"/>
    </xf>
    <xf numFmtId="0" fontId="71" fillId="0" borderId="181" xfId="13" applyFont="1" applyBorder="1" applyAlignment="1">
      <alignment horizontal="centerContinuous" vertical="center" wrapText="1"/>
    </xf>
    <xf numFmtId="179" fontId="102" fillId="2" borderId="182" xfId="12401" applyNumberFormat="1" applyFont="1" applyFill="1" applyBorder="1" applyAlignment="1">
      <alignment horizontal="center" vertical="center"/>
    </xf>
    <xf numFmtId="0" fontId="71" fillId="0" borderId="141" xfId="13" applyFont="1" applyBorder="1" applyAlignment="1">
      <alignment horizontal="center" vertical="center"/>
    </xf>
    <xf numFmtId="180" fontId="71" fillId="0" borderId="141" xfId="12401" applyNumberFormat="1" applyFont="1" applyFill="1" applyBorder="1" applyAlignment="1">
      <alignment horizontal="center" vertical="center"/>
    </xf>
    <xf numFmtId="180" fontId="71" fillId="2" borderId="181" xfId="12401" applyNumberFormat="1" applyFont="1" applyFill="1" applyBorder="1" applyAlignment="1">
      <alignment horizontal="center" vertical="center"/>
    </xf>
    <xf numFmtId="180" fontId="71" fillId="2" borderId="141" xfId="12401" applyNumberFormat="1" applyFont="1" applyFill="1" applyBorder="1" applyAlignment="1">
      <alignment horizontal="center" vertical="center"/>
    </xf>
    <xf numFmtId="0" fontId="71" fillId="2" borderId="181" xfId="13" applyFont="1" applyFill="1" applyBorder="1" applyAlignment="1">
      <alignment horizontal="center" vertical="center" wrapText="1"/>
    </xf>
    <xf numFmtId="1" fontId="84" fillId="2" borderId="182" xfId="0" applyNumberFormat="1" applyFont="1" applyFill="1" applyBorder="1" applyAlignment="1">
      <alignment horizontal="center" vertical="center"/>
    </xf>
    <xf numFmtId="170" fontId="71" fillId="0" borderId="174" xfId="0" applyNumberFormat="1" applyFont="1" applyBorder="1"/>
    <xf numFmtId="170" fontId="222" fillId="0" borderId="174" xfId="0" applyNumberFormat="1" applyFont="1" applyBorder="1"/>
    <xf numFmtId="0" fontId="84" fillId="0" borderId="141" xfId="13" applyFont="1" applyBorder="1" applyAlignment="1">
      <alignment horizontal="centerContinuous" vertical="center" wrapText="1"/>
    </xf>
    <xf numFmtId="0" fontId="84" fillId="0" borderId="141" xfId="13" quotePrefix="1" applyFont="1" applyBorder="1" applyAlignment="1">
      <alignment horizontal="centerContinuous" vertical="center" wrapText="1"/>
    </xf>
    <xf numFmtId="0" fontId="84" fillId="9" borderId="141" xfId="13" applyFont="1" applyFill="1" applyBorder="1" applyAlignment="1">
      <alignment horizontal="centerContinuous" vertical="center" wrapText="1"/>
    </xf>
    <xf numFmtId="0" fontId="86" fillId="9" borderId="141" xfId="13" applyFont="1" applyFill="1" applyBorder="1" applyAlignment="1">
      <alignment horizontal="centerContinuous" vertical="center" wrapText="1"/>
    </xf>
    <xf numFmtId="1" fontId="84" fillId="9" borderId="141" xfId="13" applyNumberFormat="1" applyFont="1" applyFill="1" applyBorder="1" applyAlignment="1">
      <alignment horizontal="centerContinuous" vertical="center" wrapText="1"/>
    </xf>
    <xf numFmtId="0" fontId="71" fillId="9" borderId="181" xfId="13" applyFont="1" applyFill="1" applyBorder="1" applyAlignment="1">
      <alignment horizontal="centerContinuous" vertical="center" wrapText="1"/>
    </xf>
    <xf numFmtId="0" fontId="71" fillId="0" borderId="181" xfId="13" applyFont="1" applyBorder="1" applyAlignment="1">
      <alignment horizontal="center" vertical="center" wrapText="1"/>
    </xf>
    <xf numFmtId="179" fontId="102" fillId="2" borderId="185" xfId="12401" applyNumberFormat="1" applyFont="1" applyFill="1" applyBorder="1" applyAlignment="1">
      <alignment horizontal="center" vertical="center"/>
    </xf>
    <xf numFmtId="0" fontId="71" fillId="0" borderId="186" xfId="13" applyFont="1" applyBorder="1" applyAlignment="1">
      <alignment horizontal="center" vertical="center"/>
    </xf>
    <xf numFmtId="1" fontId="84" fillId="2" borderId="181" xfId="16" applyNumberFormat="1" applyFont="1" applyFill="1" applyBorder="1" applyAlignment="1">
      <alignment horizontal="center" vertical="center"/>
    </xf>
    <xf numFmtId="10" fontId="84" fillId="2" borderId="184" xfId="10594" applyNumberFormat="1" applyFont="1" applyFill="1" applyBorder="1" applyAlignment="1">
      <alignment horizontal="centerContinuous" vertical="center" wrapText="1"/>
    </xf>
    <xf numFmtId="170" fontId="104" fillId="4" borderId="187" xfId="0" applyNumberFormat="1" applyFont="1" applyFill="1" applyBorder="1"/>
    <xf numFmtId="170" fontId="104" fillId="4" borderId="188" xfId="0" applyNumberFormat="1" applyFont="1" applyFill="1" applyBorder="1"/>
    <xf numFmtId="170" fontId="104" fillId="4" borderId="171" xfId="0" applyNumberFormat="1" applyFont="1" applyFill="1" applyBorder="1"/>
    <xf numFmtId="172" fontId="124" fillId="6" borderId="171" xfId="126" applyNumberFormat="1" applyFont="1" applyFill="1" applyBorder="1"/>
    <xf numFmtId="172" fontId="71" fillId="0" borderId="171" xfId="126" applyNumberFormat="1" applyFont="1" applyBorder="1"/>
    <xf numFmtId="0" fontId="84" fillId="2" borderId="181" xfId="10" applyFont="1" applyFill="1" applyBorder="1" applyAlignment="1">
      <alignment horizontal="centerContinuous" vertical="center" wrapText="1"/>
    </xf>
    <xf numFmtId="0" fontId="66" fillId="9" borderId="181" xfId="10" applyFont="1" applyFill="1" applyBorder="1" applyAlignment="1">
      <alignment horizontal="centerContinuous" vertical="center"/>
    </xf>
    <xf numFmtId="0" fontId="66" fillId="2" borderId="189" xfId="10" applyFont="1" applyFill="1" applyBorder="1"/>
    <xf numFmtId="0" fontId="66" fillId="9" borderId="181" xfId="10" applyFont="1" applyFill="1" applyBorder="1"/>
    <xf numFmtId="0" fontId="71" fillId="2" borderId="181" xfId="10" applyFont="1" applyFill="1" applyBorder="1" applyAlignment="1">
      <alignment horizontal="centerContinuous" vertical="center" wrapText="1"/>
    </xf>
    <xf numFmtId="0" fontId="84" fillId="2" borderId="181" xfId="0" applyFont="1" applyFill="1" applyBorder="1" applyAlignment="1">
      <alignment horizontal="center" vertical="center"/>
    </xf>
    <xf numFmtId="0" fontId="84" fillId="2" borderId="183" xfId="0" applyFont="1" applyFill="1" applyBorder="1" applyAlignment="1">
      <alignment horizontal="center" vertical="center"/>
    </xf>
    <xf numFmtId="9" fontId="71" fillId="0" borderId="174" xfId="1471" applyFont="1" applyFill="1" applyBorder="1" applyAlignment="1"/>
    <xf numFmtId="172" fontId="71" fillId="7" borderId="171" xfId="11" applyNumberFormat="1" applyFont="1" applyFill="1" applyBorder="1"/>
    <xf numFmtId="9" fontId="71" fillId="0" borderId="171" xfId="1471" applyFont="1" applyFill="1" applyBorder="1" applyAlignment="1"/>
    <xf numFmtId="9" fontId="71" fillId="0" borderId="171" xfId="12401" applyFont="1" applyFill="1" applyBorder="1" applyAlignment="1"/>
    <xf numFmtId="0" fontId="71" fillId="0" borderId="171" xfId="0" applyFont="1" applyBorder="1"/>
    <xf numFmtId="1" fontId="84" fillId="2" borderId="182" xfId="0" quotePrefix="1" applyNumberFormat="1" applyFont="1" applyFill="1" applyBorder="1" applyAlignment="1">
      <alignment horizontal="centerContinuous" vertical="center" wrapText="1"/>
    </xf>
    <xf numFmtId="1" fontId="84" fillId="2" borderId="181" xfId="0" quotePrefix="1" applyNumberFormat="1" applyFont="1" applyFill="1" applyBorder="1" applyAlignment="1">
      <alignment horizontal="centerContinuous" vertical="center" wrapText="1"/>
    </xf>
    <xf numFmtId="1" fontId="84" fillId="0" borderId="181" xfId="0" applyNumberFormat="1" applyFont="1" applyBorder="1" applyAlignment="1">
      <alignment horizontal="center" vertical="center" wrapText="1"/>
    </xf>
    <xf numFmtId="0" fontId="84" fillId="0" borderId="182" xfId="0" applyFont="1" applyBorder="1" applyAlignment="1">
      <alignment horizontal="center" vertical="center" wrapText="1"/>
    </xf>
    <xf numFmtId="1" fontId="84" fillId="0" borderId="181" xfId="215" applyNumberFormat="1" applyFont="1" applyBorder="1" applyAlignment="1">
      <alignment horizontal="center" vertical="center" wrapText="1"/>
    </xf>
    <xf numFmtId="0" fontId="84" fillId="9" borderId="190" xfId="0" applyFont="1" applyFill="1" applyBorder="1" applyAlignment="1">
      <alignment horizontal="centerContinuous" vertical="center" wrapText="1"/>
    </xf>
    <xf numFmtId="0" fontId="84" fillId="2" borderId="190" xfId="0" applyFont="1" applyFill="1" applyBorder="1" applyAlignment="1">
      <alignment horizontal="centerContinuous" vertical="center" wrapText="1"/>
    </xf>
    <xf numFmtId="0" fontId="84" fillId="0" borderId="190" xfId="0" applyFont="1" applyBorder="1" applyAlignment="1">
      <alignment horizontal="center" vertical="center" wrapText="1"/>
    </xf>
    <xf numFmtId="1" fontId="84" fillId="2" borderId="181" xfId="16" applyNumberFormat="1" applyFont="1" applyFill="1" applyBorder="1" applyAlignment="1">
      <alignment horizontal="centerContinuous" vertical="center" wrapText="1"/>
    </xf>
    <xf numFmtId="1" fontId="84" fillId="0" borderId="182" xfId="215" applyNumberFormat="1" applyFont="1" applyBorder="1" applyAlignment="1">
      <alignment horizontal="centerContinuous" vertical="center" wrapText="1"/>
    </xf>
    <xf numFmtId="0" fontId="84" fillId="0" borderId="181" xfId="215" applyFont="1" applyBorder="1" applyAlignment="1">
      <alignment horizontal="centerContinuous" vertical="center" wrapText="1"/>
    </xf>
    <xf numFmtId="1" fontId="71" fillId="0" borderId="181" xfId="0" applyNumberFormat="1" applyFont="1" applyBorder="1" applyAlignment="1">
      <alignment horizontal="center" vertical="center" wrapText="1"/>
    </xf>
    <xf numFmtId="0" fontId="71" fillId="2" borderId="182" xfId="0" applyFont="1" applyFill="1" applyBorder="1" applyAlignment="1">
      <alignment horizontal="centerContinuous" vertical="center" wrapText="1"/>
    </xf>
    <xf numFmtId="1" fontId="71" fillId="0" borderId="181" xfId="215" applyNumberFormat="1" applyFont="1" applyBorder="1" applyAlignment="1">
      <alignment horizontal="center" vertical="center" wrapText="1"/>
    </xf>
    <xf numFmtId="0" fontId="71" fillId="0" borderId="181" xfId="215" applyFont="1" applyBorder="1" applyAlignment="1">
      <alignment horizontal="center" vertical="center" wrapText="1"/>
    </xf>
    <xf numFmtId="0" fontId="84" fillId="2" borderId="182" xfId="0" applyFont="1" applyFill="1" applyBorder="1" applyAlignment="1">
      <alignment horizontal="center" vertical="center"/>
    </xf>
    <xf numFmtId="0" fontId="84" fillId="0" borderId="181" xfId="215" applyFont="1" applyBorder="1" applyAlignment="1">
      <alignment horizontal="center" vertical="center"/>
    </xf>
    <xf numFmtId="0" fontId="71" fillId="7" borderId="171" xfId="0" applyFont="1" applyFill="1" applyBorder="1"/>
    <xf numFmtId="3" fontId="124" fillId="6" borderId="171" xfId="0" applyNumberFormat="1" applyFont="1" applyFill="1" applyBorder="1"/>
    <xf numFmtId="3" fontId="71" fillId="0" borderId="171" xfId="0" applyNumberFormat="1" applyFont="1" applyBorder="1"/>
    <xf numFmtId="0" fontId="71" fillId="2" borderId="181" xfId="0" applyFont="1" applyFill="1" applyBorder="1" applyAlignment="1">
      <alignment horizontal="centerContinuous" vertical="center" wrapText="1"/>
    </xf>
    <xf numFmtId="0" fontId="71" fillId="2" borderId="181" xfId="0" quotePrefix="1" applyFont="1" applyFill="1" applyBorder="1" applyAlignment="1">
      <alignment horizontal="center" vertical="center" wrapText="1"/>
    </xf>
    <xf numFmtId="1" fontId="84" fillId="2" borderId="182" xfId="16" applyNumberFormat="1" applyFont="1" applyFill="1" applyBorder="1" applyAlignment="1">
      <alignment horizontal="centerContinuous" vertical="center" wrapText="1"/>
    </xf>
    <xf numFmtId="0" fontId="84" fillId="7" borderId="174" xfId="16" applyFont="1" applyFill="1" applyBorder="1" applyAlignment="1">
      <alignment horizontal="center" vertical="center" wrapText="1"/>
    </xf>
    <xf numFmtId="0" fontId="84" fillId="7" borderId="171" xfId="16" applyFont="1" applyFill="1" applyBorder="1" applyAlignment="1">
      <alignment horizontal="center" vertical="center" wrapText="1"/>
    </xf>
    <xf numFmtId="170" fontId="124" fillId="6" borderId="171" xfId="16" applyNumberFormat="1" applyFont="1" applyFill="1" applyBorder="1"/>
    <xf numFmtId="170" fontId="71" fillId="0" borderId="171" xfId="16" applyNumberFormat="1" applyFont="1" applyBorder="1"/>
    <xf numFmtId="0" fontId="84" fillId="9" borderId="181" xfId="18289" applyFont="1" applyFill="1" applyBorder="1" applyAlignment="1">
      <alignment horizontal="centerContinuous" vertical="center" wrapText="1"/>
    </xf>
    <xf numFmtId="0" fontId="71" fillId="9" borderId="181" xfId="18289" applyFont="1" applyFill="1" applyBorder="1" applyAlignment="1">
      <alignment horizontal="centerContinuous" vertical="center" wrapText="1"/>
    </xf>
    <xf numFmtId="0" fontId="131" fillId="9" borderId="184" xfId="18289" applyFont="1" applyFill="1" applyBorder="1" applyAlignment="1">
      <alignment horizontal="centerContinuous" vertical="center" wrapText="1"/>
    </xf>
    <xf numFmtId="0" fontId="131" fillId="9" borderId="184" xfId="18289" applyFont="1" applyFill="1" applyBorder="1"/>
    <xf numFmtId="0" fontId="71" fillId="9" borderId="181" xfId="18289" applyFont="1" applyFill="1" applyBorder="1" applyAlignment="1">
      <alignment horizontal="center" vertical="center" wrapText="1"/>
    </xf>
    <xf numFmtId="0" fontId="131" fillId="9" borderId="184" xfId="18289" applyFont="1" applyFill="1" applyBorder="1" applyAlignment="1">
      <alignment horizontal="center" vertical="center" wrapText="1"/>
    </xf>
    <xf numFmtId="0" fontId="84" fillId="9" borderId="184" xfId="18289" applyFont="1" applyFill="1" applyBorder="1" applyAlignment="1">
      <alignment horizontal="center" vertical="center"/>
    </xf>
    <xf numFmtId="195" fontId="84" fillId="9" borderId="181" xfId="9859" applyNumberFormat="1" applyFont="1" applyFill="1" applyBorder="1" applyAlignment="1">
      <alignment horizontal="centerContinuous" vertical="center" wrapText="1"/>
    </xf>
    <xf numFmtId="0" fontId="71" fillId="2" borderId="190" xfId="9860" applyFont="1" applyFill="1" applyBorder="1" applyAlignment="1">
      <alignment horizontal="center" vertical="center" wrapText="1"/>
    </xf>
    <xf numFmtId="168" fontId="71" fillId="2" borderId="182" xfId="9859" applyFont="1" applyFill="1" applyBorder="1" applyAlignment="1">
      <alignment horizontal="center" vertical="center" wrapText="1"/>
    </xf>
    <xf numFmtId="0" fontId="110" fillId="0" borderId="181" xfId="9860" applyFont="1" applyBorder="1" applyAlignment="1">
      <alignment horizontal="center" vertical="center"/>
    </xf>
    <xf numFmtId="0" fontId="110" fillId="0" borderId="182" xfId="9860" applyFont="1" applyBorder="1" applyAlignment="1">
      <alignment horizontal="center" vertical="center"/>
    </xf>
    <xf numFmtId="0" fontId="110" fillId="0" borderId="184" xfId="9860" applyFont="1" applyBorder="1" applyAlignment="1">
      <alignment horizontal="center" vertical="center"/>
    </xf>
    <xf numFmtId="168" fontId="84" fillId="2" borderId="184" xfId="9859" applyFont="1" applyFill="1" applyBorder="1" applyAlignment="1">
      <alignment horizontal="center" vertical="center"/>
    </xf>
    <xf numFmtId="1" fontId="84" fillId="9" borderId="182" xfId="9931" applyNumberFormat="1" applyFont="1" applyFill="1" applyBorder="1" applyAlignment="1">
      <alignment horizontal="centerContinuous" vertical="center" wrapText="1"/>
    </xf>
    <xf numFmtId="1" fontId="84" fillId="9" borderId="184" xfId="9931" applyNumberFormat="1" applyFont="1" applyFill="1" applyBorder="1" applyAlignment="1">
      <alignment horizontal="centerContinuous" vertical="center" wrapText="1"/>
    </xf>
    <xf numFmtId="0" fontId="71" fillId="9" borderId="182" xfId="126" applyFont="1" applyFill="1" applyBorder="1" applyAlignment="1">
      <alignment horizontal="centerContinuous"/>
    </xf>
    <xf numFmtId="0" fontId="71" fillId="9" borderId="184" xfId="126" applyFont="1" applyFill="1" applyBorder="1" applyAlignment="1">
      <alignment horizontal="centerContinuous"/>
    </xf>
    <xf numFmtId="1" fontId="71" fillId="9" borderId="181" xfId="9931" applyNumberFormat="1" applyFont="1" applyFill="1" applyBorder="1" applyAlignment="1">
      <alignment horizontal="centerContinuous" vertical="center" wrapText="1"/>
    </xf>
    <xf numFmtId="0" fontId="71" fillId="2" borderId="181" xfId="9931" applyFont="1" applyFill="1" applyBorder="1" applyAlignment="1">
      <alignment horizontal="center" vertical="center" wrapText="1"/>
    </xf>
    <xf numFmtId="1" fontId="84" fillId="9" borderId="181" xfId="9931" applyNumberFormat="1" applyFont="1" applyFill="1" applyBorder="1" applyAlignment="1">
      <alignment horizontal="centerContinuous" vertical="center" wrapText="1"/>
    </xf>
    <xf numFmtId="0" fontId="71" fillId="9" borderId="181" xfId="126" applyFont="1" applyFill="1" applyBorder="1" applyAlignment="1">
      <alignment horizontal="centerContinuous"/>
    </xf>
    <xf numFmtId="1" fontId="103" fillId="73" borderId="184" xfId="18122" applyNumberFormat="1" applyFont="1" applyFill="1" applyBorder="1" applyAlignment="1" applyProtection="1">
      <alignment horizontal="centerContinuous" vertical="center" wrapText="1"/>
    </xf>
    <xf numFmtId="1" fontId="84" fillId="2" borderId="182" xfId="24486" applyNumberFormat="1" applyFont="1" applyFill="1" applyBorder="1" applyAlignment="1">
      <alignment horizontal="centerContinuous" vertical="center" wrapText="1"/>
    </xf>
    <xf numFmtId="1" fontId="84" fillId="2" borderId="181" xfId="24486" applyNumberFormat="1" applyFont="1" applyFill="1" applyBorder="1" applyAlignment="1">
      <alignment horizontal="centerContinuous" vertical="center" wrapText="1"/>
    </xf>
    <xf numFmtId="0" fontId="71" fillId="2" borderId="181" xfId="24486" applyFont="1" applyFill="1" applyBorder="1" applyAlignment="1">
      <alignment horizontal="centerContinuous" vertical="center" wrapText="1"/>
    </xf>
    <xf numFmtId="1" fontId="103" fillId="3" borderId="184" xfId="18122" applyNumberFormat="1" applyFont="1" applyFill="1" applyBorder="1" applyAlignment="1" applyProtection="1">
      <alignment horizontal="centerContinuous" vertical="center" wrapText="1"/>
    </xf>
    <xf numFmtId="0" fontId="71" fillId="0" borderId="182" xfId="24486" applyFont="1" applyBorder="1" applyAlignment="1">
      <alignment horizontal="center" vertical="center" wrapText="1"/>
    </xf>
    <xf numFmtId="0" fontId="71" fillId="0" borderId="184" xfId="24486" applyFont="1" applyBorder="1" applyAlignment="1">
      <alignment horizontal="center" vertical="center" wrapText="1"/>
    </xf>
    <xf numFmtId="0" fontId="71" fillId="2" borderId="182" xfId="24486" applyFont="1" applyFill="1" applyBorder="1" applyAlignment="1">
      <alignment horizontal="center" vertical="center" wrapText="1"/>
    </xf>
    <xf numFmtId="0" fontId="71" fillId="2" borderId="184" xfId="24486" applyFont="1" applyFill="1" applyBorder="1" applyAlignment="1">
      <alignment horizontal="center" vertical="center" wrapText="1"/>
    </xf>
    <xf numFmtId="0" fontId="71" fillId="2" borderId="181" xfId="24486" applyFont="1" applyFill="1" applyBorder="1" applyAlignment="1">
      <alignment horizontal="center" vertical="center" wrapText="1"/>
    </xf>
    <xf numFmtId="0" fontId="71" fillId="2" borderId="181" xfId="12400" applyFont="1" applyFill="1" applyBorder="1" applyAlignment="1">
      <alignment horizontal="centerContinuous" vertical="center"/>
    </xf>
    <xf numFmtId="0" fontId="71" fillId="2" borderId="181" xfId="12400" applyFont="1" applyFill="1" applyBorder="1" applyAlignment="1">
      <alignment horizontal="centerContinuous" vertical="center" wrapText="1"/>
    </xf>
    <xf numFmtId="0" fontId="84" fillId="2" borderId="181" xfId="12400" applyFont="1" applyFill="1" applyBorder="1" applyAlignment="1">
      <alignment horizontal="center" vertical="center"/>
    </xf>
    <xf numFmtId="170" fontId="109" fillId="0" borderId="171" xfId="12400" applyNumberFormat="1" applyFont="1" applyBorder="1"/>
    <xf numFmtId="1" fontId="103" fillId="3" borderId="184" xfId="9" applyNumberFormat="1" applyFont="1" applyFill="1" applyBorder="1" applyAlignment="1" applyProtection="1">
      <alignment horizontal="center" vertical="center" wrapText="1"/>
    </xf>
    <xf numFmtId="0" fontId="71" fillId="2" borderId="189" xfId="12400" applyFont="1" applyFill="1" applyBorder="1" applyAlignment="1">
      <alignment horizontal="centerContinuous" vertical="center" wrapText="1"/>
    </xf>
    <xf numFmtId="0" fontId="71" fillId="2" borderId="181" xfId="12400" applyFont="1" applyFill="1" applyBorder="1" applyAlignment="1">
      <alignment horizontal="center" vertical="center" wrapText="1"/>
    </xf>
    <xf numFmtId="0" fontId="126" fillId="2" borderId="141" xfId="12400" quotePrefix="1" applyFont="1" applyFill="1" applyBorder="1" applyAlignment="1">
      <alignment horizontal="centerContinuous" vertical="center" wrapText="1"/>
    </xf>
    <xf numFmtId="0" fontId="71" fillId="2" borderId="182" xfId="12400" applyFont="1" applyFill="1" applyBorder="1" applyAlignment="1">
      <alignment horizontal="centerContinuous" vertical="center" wrapText="1"/>
    </xf>
    <xf numFmtId="0" fontId="126" fillId="2" borderId="182" xfId="12400" applyFont="1" applyFill="1" applyBorder="1" applyAlignment="1">
      <alignment horizontal="centerContinuous" vertical="center" wrapText="1"/>
    </xf>
    <xf numFmtId="0" fontId="126" fillId="2" borderId="182" xfId="12400" quotePrefix="1" applyFont="1" applyFill="1" applyBorder="1" applyAlignment="1">
      <alignment horizontal="centerContinuous" vertical="center" wrapText="1"/>
    </xf>
    <xf numFmtId="0" fontId="126" fillId="2" borderId="181" xfId="12400" quotePrefix="1" applyFont="1" applyFill="1" applyBorder="1" applyAlignment="1">
      <alignment horizontal="centerContinuous" vertical="center" wrapText="1"/>
    </xf>
    <xf numFmtId="0" fontId="126" fillId="2" borderId="181" xfId="12400" applyFont="1" applyFill="1" applyBorder="1" applyAlignment="1">
      <alignment horizontal="centerContinuous" vertical="center" wrapText="1"/>
    </xf>
    <xf numFmtId="0" fontId="126" fillId="2" borderId="191" xfId="12400" quotePrefix="1" applyFont="1" applyFill="1" applyBorder="1" applyAlignment="1">
      <alignment horizontal="centerContinuous" vertical="center" wrapText="1"/>
    </xf>
    <xf numFmtId="0" fontId="84" fillId="2" borderId="181" xfId="12400" applyFont="1" applyFill="1" applyBorder="1" applyAlignment="1">
      <alignment horizontal="centerContinuous" vertical="center" wrapText="1"/>
    </xf>
    <xf numFmtId="0" fontId="226" fillId="2" borderId="181" xfId="12400" applyFont="1" applyFill="1" applyBorder="1" applyAlignment="1">
      <alignment horizontal="centerContinuous" vertical="center" wrapText="1"/>
    </xf>
    <xf numFmtId="0" fontId="84" fillId="2" borderId="181" xfId="12400" applyFont="1" applyFill="1" applyBorder="1" applyAlignment="1">
      <alignment horizontal="center" vertical="center" wrapText="1"/>
    </xf>
    <xf numFmtId="0" fontId="84" fillId="0" borderId="181" xfId="12400" applyFont="1" applyBorder="1" applyAlignment="1">
      <alignment horizontal="center" vertical="center" wrapText="1"/>
    </xf>
    <xf numFmtId="0" fontId="84" fillId="0" borderId="182" xfId="12400" applyFont="1" applyBorder="1" applyAlignment="1">
      <alignment horizontal="center" vertical="center" wrapText="1"/>
    </xf>
    <xf numFmtId="0" fontId="71" fillId="2" borderId="184" xfId="12400" quotePrefix="1" applyFont="1" applyFill="1" applyBorder="1" applyAlignment="1">
      <alignment horizontal="centerContinuous" vertical="center" wrapText="1"/>
    </xf>
    <xf numFmtId="0" fontId="84" fillId="2" borderId="182" xfId="12400" applyFont="1" applyFill="1" applyBorder="1" applyAlignment="1">
      <alignment horizontal="center" vertical="center"/>
    </xf>
    <xf numFmtId="0" fontId="84" fillId="2" borderId="184" xfId="12400" applyFont="1" applyFill="1" applyBorder="1" applyAlignment="1">
      <alignment horizontal="center" vertical="center"/>
    </xf>
    <xf numFmtId="3" fontId="175" fillId="6" borderId="192" xfId="12400" quotePrefix="1" applyNumberFormat="1" applyFont="1" applyFill="1" applyBorder="1" applyAlignment="1">
      <alignment vertical="center" wrapText="1"/>
    </xf>
    <xf numFmtId="3" fontId="175" fillId="6" borderId="193" xfId="12400" quotePrefix="1" applyNumberFormat="1" applyFont="1" applyFill="1" applyBorder="1" applyAlignment="1">
      <alignment vertical="center" wrapText="1"/>
    </xf>
    <xf numFmtId="3" fontId="161" fillId="6" borderId="194" xfId="12400" quotePrefix="1" applyNumberFormat="1" applyFont="1" applyFill="1" applyBorder="1" applyAlignment="1">
      <alignment vertical="center" wrapText="1"/>
    </xf>
    <xf numFmtId="3" fontId="109" fillId="0" borderId="174" xfId="12400" quotePrefix="1" applyNumberFormat="1" applyFont="1" applyBorder="1" applyAlignment="1">
      <alignment vertical="center" wrapText="1"/>
    </xf>
    <xf numFmtId="3" fontId="232" fillId="0" borderId="174" xfId="12400" quotePrefix="1" applyNumberFormat="1" applyFont="1" applyBorder="1" applyAlignment="1">
      <alignment vertical="center" wrapText="1"/>
    </xf>
    <xf numFmtId="3" fontId="71" fillId="44" borderId="174" xfId="12400" applyNumberFormat="1" applyFont="1" applyFill="1" applyBorder="1" applyAlignment="1">
      <alignment horizontal="right" vertical="center" wrapText="1"/>
    </xf>
    <xf numFmtId="3" fontId="232" fillId="0" borderId="171" xfId="12400" quotePrefix="1" applyNumberFormat="1" applyFont="1" applyBorder="1" applyAlignment="1">
      <alignment vertical="center" wrapText="1"/>
    </xf>
    <xf numFmtId="3" fontId="109" fillId="0" borderId="174" xfId="12400" applyNumberFormat="1" applyFont="1" applyBorder="1" applyAlignment="1">
      <alignment vertical="center" wrapText="1"/>
    </xf>
    <xf numFmtId="3" fontId="241" fillId="0" borderId="174" xfId="12400" applyNumberFormat="1" applyFont="1" applyBorder="1" applyAlignment="1">
      <alignment vertical="center" wrapText="1"/>
    </xf>
    <xf numFmtId="3" fontId="232" fillId="0" borderId="171" xfId="12400" applyNumberFormat="1" applyFont="1" applyBorder="1" applyAlignment="1">
      <alignment vertical="center" wrapText="1"/>
    </xf>
    <xf numFmtId="3" fontId="71" fillId="0" borderId="174" xfId="12400" quotePrefix="1" applyNumberFormat="1" applyFont="1" applyBorder="1" applyAlignment="1">
      <alignment vertical="center" wrapText="1"/>
    </xf>
    <xf numFmtId="0" fontId="84" fillId="2" borderId="195" xfId="0" applyFont="1" applyFill="1" applyBorder="1" applyAlignment="1">
      <alignment horizontal="centerContinuous" vertical="center" wrapText="1"/>
    </xf>
    <xf numFmtId="0" fontId="84" fillId="2" borderId="141" xfId="0" applyFont="1" applyFill="1" applyBorder="1" applyAlignment="1">
      <alignment horizontal="centerContinuous" vertical="center" wrapText="1"/>
    </xf>
    <xf numFmtId="0" fontId="84" fillId="2" borderId="189" xfId="0" applyFont="1" applyFill="1" applyBorder="1" applyAlignment="1">
      <alignment horizontal="centerContinuous" vertical="center" wrapText="1"/>
    </xf>
    <xf numFmtId="0" fontId="86" fillId="2" borderId="181" xfId="0" applyFont="1" applyFill="1" applyBorder="1" applyAlignment="1">
      <alignment vertical="center" wrapText="1"/>
    </xf>
    <xf numFmtId="171" fontId="71" fillId="10" borderId="171" xfId="0" applyNumberFormat="1" applyFont="1" applyFill="1" applyBorder="1"/>
    <xf numFmtId="170" fontId="126" fillId="0" borderId="171" xfId="0" applyNumberFormat="1" applyFont="1" applyBorder="1"/>
    <xf numFmtId="0" fontId="71" fillId="2" borderId="182" xfId="0" applyFont="1" applyFill="1" applyBorder="1" applyAlignment="1">
      <alignment horizontal="center" vertical="center" wrapText="1"/>
    </xf>
    <xf numFmtId="10" fontId="71" fillId="2" borderId="184" xfId="0" applyNumberFormat="1" applyFont="1" applyFill="1" applyBorder="1" applyAlignment="1">
      <alignment horizontal="center" vertical="center"/>
    </xf>
    <xf numFmtId="1" fontId="84" fillId="2" borderId="190" xfId="0" applyNumberFormat="1" applyFont="1" applyFill="1" applyBorder="1" applyAlignment="1">
      <alignment horizontal="center" vertical="center"/>
    </xf>
    <xf numFmtId="1" fontId="84" fillId="2" borderId="191" xfId="0" applyNumberFormat="1" applyFont="1" applyFill="1" applyBorder="1" applyAlignment="1">
      <alignment horizontal="center" vertical="center"/>
    </xf>
    <xf numFmtId="0" fontId="84" fillId="0" borderId="182" xfId="0" applyFont="1" applyBorder="1" applyAlignment="1">
      <alignment horizontal="centerContinuous" vertical="center" wrapText="1"/>
    </xf>
    <xf numFmtId="0" fontId="84" fillId="2" borderId="182" xfId="0" applyFont="1" applyFill="1" applyBorder="1" applyAlignment="1">
      <alignment horizontal="center" vertical="center" wrapText="1"/>
    </xf>
    <xf numFmtId="0" fontId="71" fillId="2" borderId="182" xfId="0" applyFont="1" applyFill="1" applyBorder="1" applyAlignment="1">
      <alignment vertical="center"/>
    </xf>
    <xf numFmtId="0" fontId="110" fillId="2" borderId="181" xfId="0" applyFont="1" applyFill="1" applyBorder="1" applyAlignment="1">
      <alignment horizontal="centerContinuous" vertical="center" wrapText="1"/>
    </xf>
    <xf numFmtId="170" fontId="110" fillId="4" borderId="174" xfId="0" applyNumberFormat="1" applyFont="1" applyFill="1" applyBorder="1"/>
    <xf numFmtId="170" fontId="71" fillId="4" borderId="174" xfId="0" applyNumberFormat="1" applyFont="1" applyFill="1" applyBorder="1"/>
    <xf numFmtId="176" fontId="161" fillId="3" borderId="174" xfId="0" applyNumberFormat="1" applyFont="1" applyFill="1" applyBorder="1"/>
    <xf numFmtId="0" fontId="84" fillId="2" borderId="184" xfId="0" applyFont="1" applyFill="1" applyBorder="1" applyAlignment="1">
      <alignment horizontal="centerContinuous" vertical="center" wrapText="1"/>
    </xf>
    <xf numFmtId="0" fontId="71" fillId="2" borderId="181" xfId="0" applyFont="1" applyFill="1" applyBorder="1" applyAlignment="1">
      <alignment vertical="center"/>
    </xf>
    <xf numFmtId="1" fontId="87" fillId="2" borderId="182" xfId="0" applyNumberFormat="1" applyFont="1" applyFill="1" applyBorder="1" applyAlignment="1">
      <alignment horizontal="center"/>
    </xf>
    <xf numFmtId="1" fontId="87" fillId="2" borderId="184" xfId="0" applyNumberFormat="1" applyFont="1" applyFill="1" applyBorder="1" applyAlignment="1">
      <alignment horizontal="center"/>
    </xf>
    <xf numFmtId="0" fontId="71" fillId="2" borderId="181" xfId="0" applyFont="1" applyFill="1" applyBorder="1" applyAlignment="1">
      <alignment horizontal="center" vertical="center"/>
    </xf>
    <xf numFmtId="0" fontId="69" fillId="9" borderId="182" xfId="0" applyFont="1" applyFill="1" applyBorder="1"/>
    <xf numFmtId="0" fontId="69" fillId="9" borderId="184" xfId="0" applyFont="1" applyFill="1" applyBorder="1"/>
    <xf numFmtId="0" fontId="71" fillId="2" borderId="184" xfId="0" applyFont="1" applyFill="1" applyBorder="1" applyAlignment="1">
      <alignment horizontal="center" vertical="center" wrapText="1"/>
    </xf>
    <xf numFmtId="0" fontId="84" fillId="9" borderId="182" xfId="0" applyFont="1" applyFill="1" applyBorder="1" applyAlignment="1">
      <alignment horizontal="centerContinuous" vertical="center" wrapText="1"/>
    </xf>
    <xf numFmtId="0" fontId="84" fillId="9" borderId="182" xfId="0" applyFont="1" applyFill="1" applyBorder="1" applyAlignment="1">
      <alignment horizontal="center" vertical="center" wrapText="1"/>
    </xf>
    <xf numFmtId="0" fontId="84" fillId="9" borderId="184" xfId="0" applyFont="1" applyFill="1" applyBorder="1" applyAlignment="1">
      <alignment horizontal="centerContinuous" vertical="center" wrapText="1"/>
    </xf>
    <xf numFmtId="0" fontId="84" fillId="9" borderId="181" xfId="0" quotePrefix="1" applyFont="1" applyFill="1" applyBorder="1" applyAlignment="1">
      <alignment horizontal="center" vertical="center" wrapText="1"/>
    </xf>
    <xf numFmtId="0" fontId="71" fillId="9" borderId="181" xfId="0" applyFont="1" applyFill="1" applyBorder="1" applyAlignment="1">
      <alignment horizontal="center" vertical="center" wrapText="1"/>
    </xf>
    <xf numFmtId="0" fontId="71" fillId="9" borderId="182" xfId="0" applyFont="1" applyFill="1" applyBorder="1" applyAlignment="1">
      <alignment horizontal="center" vertical="center" wrapText="1"/>
    </xf>
    <xf numFmtId="0" fontId="71" fillId="2" borderId="181" xfId="0" applyFont="1" applyFill="1" applyBorder="1"/>
    <xf numFmtId="0" fontId="71" fillId="9" borderId="182" xfId="0" applyFont="1" applyFill="1" applyBorder="1" applyAlignment="1">
      <alignment horizontal="center"/>
    </xf>
    <xf numFmtId="0" fontId="71" fillId="2" borderId="195" xfId="0" applyFont="1" applyFill="1" applyBorder="1" applyAlignment="1">
      <alignment horizontal="center" vertical="center" wrapText="1"/>
    </xf>
    <xf numFmtId="0" fontId="71" fillId="2" borderId="190" xfId="0" applyFont="1" applyFill="1" applyBorder="1" applyAlignment="1">
      <alignment horizontal="center" vertical="center" wrapText="1"/>
    </xf>
    <xf numFmtId="0" fontId="71" fillId="2" borderId="186" xfId="0" applyFont="1" applyFill="1" applyBorder="1" applyAlignment="1">
      <alignment horizontal="center" vertical="center" wrapText="1"/>
    </xf>
    <xf numFmtId="0" fontId="71" fillId="2" borderId="188" xfId="0" applyFont="1" applyFill="1" applyBorder="1" applyAlignment="1">
      <alignment horizontal="center" vertical="center" wrapText="1"/>
    </xf>
    <xf numFmtId="3" fontId="208" fillId="10" borderId="171" xfId="0" applyNumberFormat="1" applyFont="1" applyFill="1" applyBorder="1"/>
    <xf numFmtId="4" fontId="124" fillId="6" borderId="171" xfId="0" applyNumberFormat="1" applyFont="1" applyFill="1" applyBorder="1"/>
    <xf numFmtId="4" fontId="71" fillId="0" borderId="171" xfId="0" applyNumberFormat="1" applyFont="1" applyBorder="1"/>
    <xf numFmtId="0" fontId="84" fillId="0" borderId="181" xfId="0" applyFont="1" applyBorder="1" applyAlignment="1">
      <alignment horizontal="centerContinuous" vertical="center" wrapText="1"/>
    </xf>
    <xf numFmtId="175" fontId="103" fillId="4" borderId="174" xfId="0" applyNumberFormat="1" applyFont="1" applyFill="1" applyBorder="1"/>
    <xf numFmtId="175" fontId="103" fillId="4" borderId="171" xfId="0" applyNumberFormat="1" applyFont="1" applyFill="1" applyBorder="1"/>
    <xf numFmtId="175" fontId="71" fillId="4" borderId="174" xfId="0" applyNumberFormat="1" applyFont="1" applyFill="1" applyBorder="1"/>
    <xf numFmtId="175" fontId="71" fillId="4" borderId="171" xfId="0" applyNumberFormat="1" applyFont="1" applyFill="1" applyBorder="1"/>
    <xf numFmtId="175" fontId="103" fillId="3" borderId="174" xfId="0" applyNumberFormat="1" applyFont="1" applyFill="1" applyBorder="1"/>
    <xf numFmtId="175" fontId="71" fillId="0" borderId="174" xfId="0" applyNumberFormat="1" applyFont="1" applyBorder="1"/>
    <xf numFmtId="175" fontId="124" fillId="3" borderId="174" xfId="0" applyNumberFormat="1" applyFont="1" applyFill="1" applyBorder="1"/>
    <xf numFmtId="175" fontId="71" fillId="0" borderId="171" xfId="0" applyNumberFormat="1" applyFont="1" applyBorder="1"/>
    <xf numFmtId="175" fontId="95" fillId="4" borderId="174" xfId="0" applyNumberFormat="1" applyFont="1" applyFill="1" applyBorder="1" applyAlignment="1">
      <alignment horizontal="center"/>
    </xf>
    <xf numFmtId="175" fontId="95" fillId="4" borderId="174" xfId="0" applyNumberFormat="1" applyFont="1" applyFill="1" applyBorder="1"/>
    <xf numFmtId="175" fontId="131" fillId="0" borderId="171" xfId="0" applyNumberFormat="1" applyFont="1" applyBorder="1"/>
    <xf numFmtId="0" fontId="84" fillId="2" borderId="182" xfId="16" applyFont="1" applyFill="1" applyBorder="1" applyAlignment="1">
      <alignment horizontal="centerContinuous" vertical="center" wrapText="1"/>
    </xf>
    <xf numFmtId="1" fontId="84" fillId="2" borderId="181" xfId="9" applyNumberFormat="1" applyFont="1" applyFill="1" applyBorder="1" applyAlignment="1" applyProtection="1">
      <alignment horizontal="centerContinuous" vertical="center" wrapText="1"/>
    </xf>
    <xf numFmtId="1" fontId="84" fillId="0" borderId="181" xfId="9" applyNumberFormat="1" applyFont="1" applyFill="1" applyBorder="1" applyAlignment="1" applyProtection="1">
      <alignment horizontal="centerContinuous" vertical="center" wrapText="1"/>
    </xf>
    <xf numFmtId="0" fontId="71" fillId="0" borderId="181" xfId="16" applyFont="1" applyBorder="1" applyAlignment="1">
      <alignment horizontal="center" vertical="center" wrapText="1"/>
    </xf>
    <xf numFmtId="0" fontId="71" fillId="0" borderId="184" xfId="16" applyFont="1" applyBorder="1" applyAlignment="1">
      <alignment horizontal="center" vertical="center" wrapText="1"/>
    </xf>
    <xf numFmtId="0" fontId="84" fillId="0" borderId="181" xfId="16" applyFont="1" applyBorder="1" applyAlignment="1">
      <alignment horizontal="center" vertical="center"/>
    </xf>
    <xf numFmtId="0" fontId="84" fillId="0" borderId="184" xfId="16" applyFont="1" applyBorder="1" applyAlignment="1">
      <alignment horizontal="center" vertical="center"/>
    </xf>
    <xf numFmtId="170" fontId="71" fillId="0" borderId="174" xfId="16" applyNumberFormat="1" applyFont="1" applyBorder="1" applyAlignment="1">
      <alignment vertical="center"/>
    </xf>
    <xf numFmtId="0" fontId="84" fillId="2" borderId="184" xfId="0" applyFont="1" applyFill="1" applyBorder="1" applyAlignment="1">
      <alignment horizontal="center" vertical="center"/>
    </xf>
    <xf numFmtId="0" fontId="84" fillId="0" borderId="182" xfId="0" applyFont="1" applyBorder="1" applyAlignment="1">
      <alignment horizontal="centerContinuous"/>
    </xf>
    <xf numFmtId="0" fontId="84" fillId="0" borderId="181" xfId="0" applyFont="1" applyBorder="1" applyAlignment="1">
      <alignment horizontal="centerContinuous"/>
    </xf>
    <xf numFmtId="0" fontId="71" fillId="0" borderId="182" xfId="0" applyFont="1" applyBorder="1" applyAlignment="1">
      <alignment horizontal="centerContinuous"/>
    </xf>
    <xf numFmtId="0" fontId="84" fillId="0" borderId="182" xfId="0" applyFont="1" applyBorder="1" applyAlignment="1">
      <alignment horizontal="centerContinuous" vertical="center"/>
    </xf>
    <xf numFmtId="0" fontId="84" fillId="0" borderId="184" xfId="0" applyFont="1" applyBorder="1" applyAlignment="1">
      <alignment horizontal="centerContinuous" vertical="center"/>
    </xf>
    <xf numFmtId="0" fontId="71" fillId="0" borderId="182" xfId="0" applyFont="1" applyBorder="1" applyAlignment="1">
      <alignment horizontal="centerContinuous" vertical="center"/>
    </xf>
    <xf numFmtId="0" fontId="71" fillId="0" borderId="184" xfId="0" applyFont="1" applyBorder="1" applyAlignment="1">
      <alignment horizontal="centerContinuous" vertical="center"/>
    </xf>
    <xf numFmtId="0" fontId="71" fillId="0" borderId="181" xfId="0" applyFont="1" applyBorder="1" applyAlignment="1">
      <alignment horizontal="center" vertical="center" wrapText="1"/>
    </xf>
    <xf numFmtId="0" fontId="71" fillId="0" borderId="181" xfId="0" applyFont="1" applyBorder="1"/>
    <xf numFmtId="0" fontId="84" fillId="2" borderId="141" xfId="0" applyFont="1" applyFill="1" applyBorder="1" applyAlignment="1">
      <alignment horizontal="center" vertical="center"/>
    </xf>
    <xf numFmtId="0" fontId="84" fillId="2" borderId="189" xfId="0" applyFont="1" applyFill="1" applyBorder="1" applyAlignment="1">
      <alignment horizontal="center" vertical="center"/>
    </xf>
    <xf numFmtId="1" fontId="124" fillId="2" borderId="174" xfId="0" applyNumberFormat="1" applyFont="1" applyFill="1" applyBorder="1" applyAlignment="1">
      <alignment horizontal="center"/>
    </xf>
    <xf numFmtId="0" fontId="84" fillId="2" borderId="186" xfId="0" applyFont="1" applyFill="1" applyBorder="1" applyAlignment="1">
      <alignment horizontal="center" vertical="center"/>
    </xf>
    <xf numFmtId="171" fontId="71" fillId="0" borderId="174" xfId="0" applyNumberFormat="1" applyFont="1" applyBorder="1"/>
    <xf numFmtId="186" fontId="103" fillId="2" borderId="181" xfId="0" applyNumberFormat="1" applyFont="1" applyFill="1" applyBorder="1" applyAlignment="1">
      <alignment horizontal="center"/>
    </xf>
    <xf numFmtId="0" fontId="84" fillId="0" borderId="181" xfId="0" applyFont="1" applyBorder="1" applyAlignment="1">
      <alignment horizontal="center" vertical="center" wrapText="1"/>
    </xf>
    <xf numFmtId="1" fontId="124" fillId="2" borderId="189" xfId="0" applyNumberFormat="1" applyFont="1" applyFill="1" applyBorder="1" applyAlignment="1">
      <alignment horizontal="center"/>
    </xf>
    <xf numFmtId="1" fontId="124" fillId="2" borderId="188" xfId="0" applyNumberFormat="1" applyFont="1" applyFill="1" applyBorder="1" applyAlignment="1">
      <alignment horizontal="center"/>
    </xf>
    <xf numFmtId="2" fontId="71" fillId="0" borderId="181" xfId="0" applyNumberFormat="1" applyFont="1" applyBorder="1" applyAlignment="1">
      <alignment horizontal="center" vertical="center"/>
    </xf>
    <xf numFmtId="0" fontId="84" fillId="2" borderId="188" xfId="0" applyFont="1" applyFill="1" applyBorder="1" applyAlignment="1">
      <alignment horizontal="center" vertical="center"/>
    </xf>
    <xf numFmtId="171" fontId="71" fillId="7" borderId="171" xfId="0" applyNumberFormat="1" applyFont="1" applyFill="1" applyBorder="1"/>
    <xf numFmtId="171" fontId="71" fillId="0" borderId="171" xfId="0" applyNumberFormat="1" applyFont="1" applyBorder="1"/>
    <xf numFmtId="0" fontId="182" fillId="0" borderId="182" xfId="9842" applyFont="1" applyBorder="1" applyAlignment="1">
      <alignment horizontal="centerContinuous" vertical="center" wrapText="1"/>
    </xf>
    <xf numFmtId="0" fontId="182" fillId="0" borderId="184" xfId="9842" applyFont="1" applyBorder="1" applyAlignment="1">
      <alignment horizontal="centerContinuous" vertical="center" wrapText="1"/>
    </xf>
    <xf numFmtId="0" fontId="131" fillId="0" borderId="182" xfId="9842" applyFont="1" applyBorder="1" applyAlignment="1">
      <alignment horizontal="center" vertical="center" wrapText="1"/>
    </xf>
    <xf numFmtId="0" fontId="84" fillId="0" borderId="182" xfId="9842" applyFont="1" applyBorder="1" applyAlignment="1">
      <alignment horizontal="center" vertical="center" wrapText="1"/>
    </xf>
    <xf numFmtId="171" fontId="124" fillId="6" borderId="171" xfId="0" applyNumberFormat="1" applyFont="1" applyFill="1" applyBorder="1"/>
    <xf numFmtId="0" fontId="66" fillId="2" borderId="184" xfId="0" applyFont="1" applyFill="1" applyBorder="1"/>
    <xf numFmtId="0" fontId="71" fillId="2" borderId="182" xfId="0" applyFont="1" applyFill="1" applyBorder="1" applyAlignment="1">
      <alignment horizontal="center"/>
    </xf>
    <xf numFmtId="0" fontId="71" fillId="2" borderId="184" xfId="0" applyFont="1" applyFill="1" applyBorder="1" applyAlignment="1">
      <alignment horizontal="center"/>
    </xf>
    <xf numFmtId="0" fontId="84" fillId="0" borderId="190" xfId="0" applyFont="1" applyBorder="1" applyAlignment="1">
      <alignment horizontal="centerContinuous" vertical="center" wrapText="1"/>
    </xf>
    <xf numFmtId="0" fontId="84" fillId="0" borderId="184" xfId="0" applyFont="1" applyBorder="1" applyAlignment="1">
      <alignment horizontal="centerContinuous" vertical="center" wrapText="1"/>
    </xf>
    <xf numFmtId="0" fontId="71" fillId="2" borderId="182" xfId="0" applyFont="1" applyFill="1" applyBorder="1" applyAlignment="1">
      <alignment horizontal="center" vertical="center"/>
    </xf>
    <xf numFmtId="0" fontId="71" fillId="2" borderId="184" xfId="0" applyFont="1" applyFill="1" applyBorder="1" applyAlignment="1">
      <alignment horizontal="center" vertical="center"/>
    </xf>
    <xf numFmtId="0" fontId="71" fillId="9" borderId="184" xfId="0" applyFont="1" applyFill="1" applyBorder="1" applyAlignment="1">
      <alignment horizontal="center" vertical="center" wrapText="1"/>
    </xf>
    <xf numFmtId="0" fontId="84" fillId="2" borderId="190" xfId="0" applyFont="1" applyFill="1" applyBorder="1" applyAlignment="1">
      <alignment horizontal="center" vertical="center"/>
    </xf>
    <xf numFmtId="0" fontId="84" fillId="2" borderId="191" xfId="0" applyFont="1" applyFill="1" applyBorder="1" applyAlignment="1">
      <alignment horizontal="center" vertical="center"/>
    </xf>
    <xf numFmtId="0" fontId="86" fillId="2" borderId="181" xfId="0" applyFont="1" applyFill="1" applyBorder="1" applyAlignment="1">
      <alignment horizontal="centerContinuous" vertical="center" wrapText="1"/>
    </xf>
    <xf numFmtId="0" fontId="84" fillId="2" borderId="181" xfId="0" applyFont="1" applyFill="1" applyBorder="1" applyAlignment="1">
      <alignment vertical="center"/>
    </xf>
    <xf numFmtId="0" fontId="84" fillId="2" borderId="184" xfId="0" applyFont="1" applyFill="1" applyBorder="1" applyAlignment="1">
      <alignment vertical="center"/>
    </xf>
    <xf numFmtId="0" fontId="71" fillId="2" borderId="182" xfId="0" quotePrefix="1" applyFont="1" applyFill="1" applyBorder="1" applyAlignment="1">
      <alignment horizontal="center" vertical="center" wrapText="1"/>
    </xf>
    <xf numFmtId="0" fontId="71" fillId="2" borderId="184" xfId="0" applyFont="1" applyFill="1" applyBorder="1" applyAlignment="1">
      <alignment horizontal="centerContinuous" vertical="center" wrapText="1"/>
    </xf>
    <xf numFmtId="0" fontId="71" fillId="2" borderId="181" xfId="0" quotePrefix="1" applyFont="1" applyFill="1" applyBorder="1" applyAlignment="1">
      <alignment horizontal="centerContinuous" vertical="center" wrapText="1"/>
    </xf>
    <xf numFmtId="0" fontId="71" fillId="2" borderId="182" xfId="0" quotePrefix="1" applyFont="1" applyFill="1" applyBorder="1" applyAlignment="1">
      <alignment horizontal="centerContinuous" vertical="center" wrapText="1"/>
    </xf>
    <xf numFmtId="0" fontId="71" fillId="2" borderId="184" xfId="0" quotePrefix="1" applyFont="1" applyFill="1" applyBorder="1" applyAlignment="1">
      <alignment horizontal="center" vertical="center" wrapText="1"/>
    </xf>
    <xf numFmtId="1" fontId="103" fillId="73" borderId="191" xfId="13" applyNumberFormat="1" applyFont="1" applyFill="1" applyBorder="1" applyAlignment="1">
      <alignment horizontal="centerContinuous" vertical="center"/>
    </xf>
    <xf numFmtId="171" fontId="170" fillId="7" borderId="174" xfId="0" applyNumberFormat="1" applyFont="1" applyFill="1" applyBorder="1"/>
    <xf numFmtId="0" fontId="71" fillId="2" borderId="191" xfId="0" quotePrefix="1" applyFont="1" applyFill="1" applyBorder="1" applyAlignment="1">
      <alignment horizontal="center" vertical="center" wrapText="1"/>
    </xf>
    <xf numFmtId="1" fontId="71" fillId="2" borderId="181" xfId="0" applyNumberFormat="1" applyFont="1" applyFill="1" applyBorder="1" applyAlignment="1">
      <alignment horizontal="center" vertical="center"/>
    </xf>
    <xf numFmtId="0" fontId="71" fillId="2" borderId="189" xfId="0" applyFont="1" applyFill="1" applyBorder="1" applyAlignment="1">
      <alignment horizontal="center" vertical="center"/>
    </xf>
    <xf numFmtId="171" fontId="103" fillId="7" borderId="174" xfId="0" applyNumberFormat="1" applyFont="1" applyFill="1" applyBorder="1"/>
    <xf numFmtId="171" fontId="71" fillId="7" borderId="174" xfId="0" applyNumberFormat="1" applyFont="1" applyFill="1" applyBorder="1"/>
    <xf numFmtId="0" fontId="71" fillId="2" borderId="184" xfId="0" quotePrefix="1" applyFont="1" applyFill="1" applyBorder="1" applyAlignment="1">
      <alignment horizontal="centerContinuous" vertical="center" wrapText="1"/>
    </xf>
    <xf numFmtId="170" fontId="71" fillId="0" borderId="171" xfId="0" applyNumberFormat="1" applyFont="1" applyBorder="1" applyAlignment="1">
      <alignment horizontal="right"/>
    </xf>
    <xf numFmtId="170" fontId="71" fillId="0" borderId="174" xfId="0" applyNumberFormat="1" applyFont="1" applyBorder="1" applyAlignment="1">
      <alignment horizontal="right" vertical="center"/>
    </xf>
    <xf numFmtId="170" fontId="232" fillId="0" borderId="171" xfId="0" applyNumberFormat="1" applyFont="1" applyBorder="1"/>
    <xf numFmtId="2" fontId="84" fillId="2" borderId="181" xfId="0" applyNumberFormat="1" applyFont="1" applyFill="1" applyBorder="1" applyAlignment="1">
      <alignment horizontal="center"/>
    </xf>
    <xf numFmtId="10" fontId="84" fillId="2" borderId="181" xfId="0" applyNumberFormat="1" applyFont="1" applyFill="1" applyBorder="1" applyAlignment="1">
      <alignment horizontal="center"/>
    </xf>
    <xf numFmtId="2" fontId="84" fillId="2" borderId="183" xfId="0" applyNumberFormat="1" applyFont="1" applyFill="1" applyBorder="1" applyAlignment="1">
      <alignment horizontal="centerContinuous" vertical="center" wrapText="1"/>
    </xf>
    <xf numFmtId="0" fontId="84" fillId="2" borderId="183" xfId="0" applyFont="1" applyFill="1" applyBorder="1" applyAlignment="1">
      <alignment horizontal="centerContinuous" vertical="center" wrapText="1"/>
    </xf>
    <xf numFmtId="2" fontId="84" fillId="2" borderId="181" xfId="0" applyNumberFormat="1" applyFont="1" applyFill="1" applyBorder="1" applyAlignment="1">
      <alignment horizontal="centerContinuous" vertical="center"/>
    </xf>
    <xf numFmtId="2" fontId="71" fillId="2" borderId="181" xfId="0" applyNumberFormat="1" applyFont="1" applyFill="1" applyBorder="1" applyAlignment="1">
      <alignment horizontal="centerContinuous" vertical="center" wrapText="1"/>
    </xf>
    <xf numFmtId="2" fontId="84" fillId="2" borderId="183" xfId="0" quotePrefix="1" applyNumberFormat="1" applyFont="1" applyFill="1" applyBorder="1" applyAlignment="1">
      <alignment horizontal="centerContinuous" vertical="center" wrapText="1"/>
    </xf>
    <xf numFmtId="2" fontId="84" fillId="2" borderId="181" xfId="0" quotePrefix="1" applyNumberFormat="1" applyFont="1" applyFill="1" applyBorder="1" applyAlignment="1">
      <alignment horizontal="centerContinuous" vertical="center" wrapText="1"/>
    </xf>
    <xf numFmtId="2" fontId="71" fillId="0" borderId="183" xfId="0" applyNumberFormat="1" applyFont="1" applyBorder="1" applyAlignment="1">
      <alignment horizontal="center" vertical="center"/>
    </xf>
    <xf numFmtId="10" fontId="71" fillId="2" borderId="183" xfId="0" applyNumberFormat="1" applyFont="1" applyFill="1" applyBorder="1" applyAlignment="1">
      <alignment horizontal="center" vertical="center" wrapText="1"/>
    </xf>
    <xf numFmtId="2" fontId="71" fillId="2" borderId="183" xfId="0" applyNumberFormat="1" applyFont="1" applyFill="1" applyBorder="1" applyAlignment="1">
      <alignment horizontal="center" vertical="center" wrapText="1"/>
    </xf>
    <xf numFmtId="10" fontId="71" fillId="2" borderId="183" xfId="0" applyNumberFormat="1" applyFont="1" applyFill="1" applyBorder="1" applyAlignment="1">
      <alignment horizontal="center" vertical="center"/>
    </xf>
    <xf numFmtId="2" fontId="182" fillId="2" borderId="183" xfId="0" applyNumberFormat="1" applyFont="1" applyFill="1" applyBorder="1" applyAlignment="1">
      <alignment horizontal="center" vertical="center" wrapText="1"/>
    </xf>
    <xf numFmtId="10" fontId="182" fillId="2" borderId="183" xfId="0" applyNumberFormat="1" applyFont="1" applyFill="1" applyBorder="1" applyAlignment="1">
      <alignment horizontal="center" vertical="center"/>
    </xf>
    <xf numFmtId="0" fontId="115" fillId="2" borderId="182" xfId="0" quotePrefix="1" applyFont="1" applyFill="1" applyBorder="1" applyAlignment="1">
      <alignment horizontal="center"/>
    </xf>
    <xf numFmtId="179" fontId="71" fillId="2" borderId="181" xfId="12401" applyNumberFormat="1" applyFont="1" applyFill="1" applyBorder="1" applyAlignment="1">
      <alignment horizontal="centerContinuous" vertical="center"/>
    </xf>
    <xf numFmtId="179" fontId="91" fillId="2" borderId="181" xfId="12401" applyNumberFormat="1" applyFont="1" applyFill="1" applyBorder="1" applyAlignment="1">
      <alignment horizontal="center" vertical="center"/>
    </xf>
    <xf numFmtId="0" fontId="182" fillId="2" borderId="182" xfId="0" applyFont="1" applyFill="1" applyBorder="1" applyAlignment="1">
      <alignment horizontal="center" vertical="center"/>
    </xf>
    <xf numFmtId="0" fontId="182" fillId="2" borderId="181" xfId="0" applyFont="1" applyFill="1" applyBorder="1" applyAlignment="1">
      <alignment horizontal="center" vertical="center"/>
    </xf>
    <xf numFmtId="0" fontId="84" fillId="2" borderId="182" xfId="0" quotePrefix="1" applyFont="1" applyFill="1" applyBorder="1" applyAlignment="1">
      <alignment horizontal="center" vertical="center" wrapText="1"/>
    </xf>
    <xf numFmtId="0" fontId="84" fillId="2" borderId="181" xfId="0" quotePrefix="1" applyFont="1" applyFill="1" applyBorder="1" applyAlignment="1">
      <alignment horizontal="center" vertical="center" wrapText="1"/>
    </xf>
    <xf numFmtId="170" fontId="103" fillId="3" borderId="174" xfId="0" quotePrefix="1" applyNumberFormat="1" applyFont="1" applyFill="1" applyBorder="1" applyAlignment="1">
      <alignment vertical="center" wrapText="1"/>
    </xf>
    <xf numFmtId="170" fontId="71" fillId="0" borderId="174" xfId="0" quotePrefix="1" applyNumberFormat="1" applyFont="1" applyBorder="1" applyAlignment="1">
      <alignment vertical="center" wrapText="1"/>
    </xf>
    <xf numFmtId="0" fontId="84" fillId="9" borderId="181" xfId="0" applyFont="1" applyFill="1" applyBorder="1" applyAlignment="1">
      <alignment horizontal="centerContinuous" vertical="center" wrapText="1"/>
    </xf>
    <xf numFmtId="0" fontId="84" fillId="9" borderId="182" xfId="0" quotePrefix="1" applyFont="1" applyFill="1" applyBorder="1" applyAlignment="1">
      <alignment horizontal="center" vertical="center" wrapText="1"/>
    </xf>
    <xf numFmtId="0" fontId="71" fillId="2" borderId="189" xfId="0" applyFont="1" applyFill="1" applyBorder="1" applyAlignment="1">
      <alignment horizontal="center" vertical="center" wrapText="1"/>
    </xf>
    <xf numFmtId="0" fontId="91" fillId="0" borderId="182" xfId="0" applyFont="1" applyBorder="1" applyAlignment="1">
      <alignment horizontal="centerContinuous" vertical="center" wrapText="1"/>
    </xf>
    <xf numFmtId="0" fontId="126" fillId="2" borderId="182" xfId="0" applyFont="1" applyFill="1" applyBorder="1" applyAlignment="1">
      <alignment horizontal="centerContinuous" vertical="center" wrapText="1"/>
    </xf>
    <xf numFmtId="0" fontId="71" fillId="0" borderId="190" xfId="0" quotePrefix="1" applyFont="1" applyBorder="1" applyAlignment="1">
      <alignment horizontal="center" vertical="center" wrapText="1"/>
    </xf>
    <xf numFmtId="0" fontId="71" fillId="0" borderId="190" xfId="0" applyFont="1" applyBorder="1" applyAlignment="1">
      <alignment horizontal="center" vertical="center" wrapText="1"/>
    </xf>
    <xf numFmtId="0" fontId="71" fillId="0" borderId="189" xfId="0" applyFont="1" applyBorder="1" applyAlignment="1">
      <alignment horizontal="center" vertical="center" wrapText="1"/>
    </xf>
    <xf numFmtId="0" fontId="71" fillId="0" borderId="186" xfId="0" applyFont="1" applyBorder="1" applyAlignment="1">
      <alignment horizontal="center" vertical="center" wrapText="1"/>
    </xf>
    <xf numFmtId="0" fontId="71" fillId="0" borderId="141" xfId="0" quotePrefix="1" applyFont="1" applyBorder="1" applyAlignment="1">
      <alignment horizontal="center" vertical="center" wrapText="1"/>
    </xf>
    <xf numFmtId="0" fontId="71" fillId="0" borderId="191" xfId="0" applyFont="1" applyBorder="1" applyAlignment="1">
      <alignment horizontal="center" vertical="center" wrapText="1"/>
    </xf>
    <xf numFmtId="0" fontId="182" fillId="2" borderId="184" xfId="0" applyFont="1" applyFill="1" applyBorder="1" applyAlignment="1">
      <alignment horizontal="center" vertical="center"/>
    </xf>
    <xf numFmtId="0" fontId="87" fillId="2" borderId="182" xfId="0" applyFont="1" applyFill="1" applyBorder="1" applyAlignment="1">
      <alignment horizontal="centerContinuous"/>
    </xf>
    <xf numFmtId="0" fontId="103" fillId="9" borderId="182" xfId="0" applyFont="1" applyFill="1" applyBorder="1" applyAlignment="1">
      <alignment horizontal="centerContinuous" vertical="center"/>
    </xf>
    <xf numFmtId="0" fontId="83" fillId="9" borderId="182" xfId="0" applyFont="1" applyFill="1" applyBorder="1" applyAlignment="1">
      <alignment horizontal="centerContinuous" vertical="center"/>
    </xf>
    <xf numFmtId="0" fontId="83" fillId="9" borderId="181" xfId="0" applyFont="1" applyFill="1" applyBorder="1" applyAlignment="1">
      <alignment horizontal="centerContinuous" vertical="center"/>
    </xf>
    <xf numFmtId="0" fontId="71" fillId="2" borderId="181" xfId="0" applyFont="1" applyFill="1" applyBorder="1" applyAlignment="1">
      <alignment horizontal="centerContinuous" vertical="center"/>
    </xf>
    <xf numFmtId="0" fontId="71" fillId="2" borderId="190" xfId="0" applyFont="1" applyFill="1" applyBorder="1" applyAlignment="1">
      <alignment horizontal="centerContinuous" vertical="center" wrapText="1"/>
    </xf>
    <xf numFmtId="0" fontId="84" fillId="2" borderId="181" xfId="0" applyFont="1" applyFill="1" applyBorder="1" applyAlignment="1">
      <alignment horizontal="centerContinuous" vertical="center"/>
    </xf>
    <xf numFmtId="0" fontId="71" fillId="0" borderId="181" xfId="0" applyFont="1" applyBorder="1" applyAlignment="1">
      <alignment horizontal="centerContinuous" vertical="center"/>
    </xf>
    <xf numFmtId="0" fontId="71" fillId="2" borderId="195" xfId="0" applyFont="1" applyFill="1" applyBorder="1" applyAlignment="1">
      <alignment horizontal="center" vertical="center"/>
    </xf>
    <xf numFmtId="0" fontId="131" fillId="2" borderId="181" xfId="0" applyFont="1" applyFill="1" applyBorder="1" applyAlignment="1">
      <alignment horizontal="center" vertical="center"/>
    </xf>
    <xf numFmtId="175" fontId="103" fillId="7" borderId="174" xfId="0" applyNumberFormat="1" applyFont="1" applyFill="1" applyBorder="1"/>
    <xf numFmtId="175" fontId="109" fillId="4" borderId="174" xfId="0" applyNumberFormat="1" applyFont="1" applyFill="1" applyBorder="1"/>
    <xf numFmtId="175" fontId="103" fillId="3" borderId="171" xfId="0" applyNumberFormat="1" applyFont="1" applyFill="1" applyBorder="1"/>
    <xf numFmtId="3" fontId="71" fillId="8" borderId="174" xfId="0" applyNumberFormat="1" applyFont="1" applyFill="1" applyBorder="1"/>
    <xf numFmtId="3" fontId="232" fillId="0" borderId="174" xfId="0" applyNumberFormat="1" applyFont="1" applyBorder="1"/>
    <xf numFmtId="175" fontId="71" fillId="7" borderId="174" xfId="0" applyNumberFormat="1" applyFont="1" applyFill="1" applyBorder="1"/>
    <xf numFmtId="3" fontId="127" fillId="6" borderId="174" xfId="0" applyNumberFormat="1" applyFont="1" applyFill="1" applyBorder="1"/>
    <xf numFmtId="3" fontId="71" fillId="0" borderId="174" xfId="0" applyNumberFormat="1" applyFont="1" applyBorder="1"/>
    <xf numFmtId="0" fontId="86" fillId="2" borderId="184" xfId="0" applyFont="1" applyFill="1" applyBorder="1" applyAlignment="1">
      <alignment horizontal="centerContinuous" vertical="center" wrapText="1"/>
    </xf>
    <xf numFmtId="0" fontId="84" fillId="2" borderId="184" xfId="0" quotePrefix="1" applyFont="1" applyFill="1" applyBorder="1" applyAlignment="1">
      <alignment horizontal="centerContinuous" vertical="center" wrapText="1"/>
    </xf>
    <xf numFmtId="174" fontId="66" fillId="2" borderId="0" xfId="0" applyNumberFormat="1" applyFont="1" applyFill="1"/>
    <xf numFmtId="0" fontId="84" fillId="0" borderId="182" xfId="9858" applyFont="1" applyBorder="1" applyAlignment="1">
      <alignment horizontal="centerContinuous" vertical="center"/>
    </xf>
    <xf numFmtId="0" fontId="84" fillId="0" borderId="181" xfId="9858" applyFont="1" applyBorder="1" applyAlignment="1">
      <alignment horizontal="centerContinuous" vertical="center" wrapText="1"/>
    </xf>
    <xf numFmtId="0" fontId="84" fillId="0" borderId="181" xfId="126" applyFont="1" applyBorder="1" applyAlignment="1">
      <alignment horizontal="centerContinuous" vertical="center" wrapText="1" readingOrder="1"/>
    </xf>
    <xf numFmtId="0" fontId="84" fillId="0" borderId="184" xfId="126" applyFont="1" applyBorder="1" applyAlignment="1">
      <alignment horizontal="centerContinuous" vertical="center" wrapText="1" readingOrder="1"/>
    </xf>
    <xf numFmtId="210" fontId="71" fillId="0" borderId="181" xfId="126" quotePrefix="1" applyNumberFormat="1" applyFont="1" applyBorder="1" applyAlignment="1">
      <alignment horizontal="center" vertical="center" wrapText="1" readingOrder="1"/>
    </xf>
    <xf numFmtId="0" fontId="184" fillId="9" borderId="181" xfId="9858" applyFont="1" applyFill="1" applyBorder="1" applyAlignment="1">
      <alignment horizontal="center" vertical="center" wrapText="1"/>
    </xf>
    <xf numFmtId="2" fontId="71" fillId="0" borderId="181" xfId="9858" applyNumberFormat="1" applyFont="1" applyBorder="1" applyAlignment="1">
      <alignment horizontal="center" vertical="center" wrapText="1"/>
    </xf>
    <xf numFmtId="0" fontId="182" fillId="0" borderId="181" xfId="9858" applyFont="1" applyBorder="1" applyAlignment="1">
      <alignment horizontal="center" vertical="center"/>
    </xf>
    <xf numFmtId="0" fontId="45" fillId="0" borderId="189" xfId="9858" applyBorder="1"/>
    <xf numFmtId="0" fontId="45" fillId="0" borderId="181" xfId="9858" applyBorder="1"/>
    <xf numFmtId="171" fontId="232" fillId="0" borderId="171" xfId="0" applyNumberFormat="1" applyFont="1" applyBorder="1"/>
    <xf numFmtId="0" fontId="84" fillId="2" borderId="184" xfId="13" applyFont="1" applyFill="1" applyBorder="1" applyAlignment="1">
      <alignment horizontal="centerContinuous" vertical="center"/>
    </xf>
    <xf numFmtId="1" fontId="103" fillId="73" borderId="181" xfId="18122" applyNumberFormat="1" applyFont="1" applyFill="1" applyBorder="1" applyAlignment="1" applyProtection="1">
      <alignment horizontal="centerContinuous" vertical="center" wrapText="1"/>
    </xf>
    <xf numFmtId="0" fontId="71" fillId="0" borderId="189" xfId="24481" applyFont="1" applyBorder="1" applyAlignment="1">
      <alignment horizontal="centerContinuous" vertical="center" wrapText="1"/>
    </xf>
    <xf numFmtId="0" fontId="71" fillId="2" borderId="181" xfId="13" applyFont="1" applyFill="1" applyBorder="1" applyAlignment="1">
      <alignment horizontal="centerContinuous" vertical="center"/>
    </xf>
    <xf numFmtId="1" fontId="103" fillId="3" borderId="184" xfId="18122" applyNumberFormat="1" applyFont="1" applyFill="1" applyBorder="1" applyAlignment="1" applyProtection="1">
      <alignment horizontal="center" vertical="center" wrapText="1"/>
    </xf>
    <xf numFmtId="170" fontId="103" fillId="3" borderId="174" xfId="24481" applyNumberFormat="1" applyFont="1" applyFill="1" applyBorder="1"/>
    <xf numFmtId="0" fontId="86" fillId="0" borderId="181" xfId="13" applyFont="1" applyBorder="1" applyAlignment="1">
      <alignment horizontal="center" vertical="center" wrapText="1"/>
    </xf>
    <xf numFmtId="179" fontId="299" fillId="2" borderId="181" xfId="12405" applyNumberFormat="1" applyFont="1" applyFill="1" applyBorder="1" applyAlignment="1">
      <alignment horizontal="center" vertical="center" wrapText="1"/>
    </xf>
    <xf numFmtId="0" fontId="182" fillId="2" borderId="181" xfId="24483" applyFont="1" applyFill="1" applyBorder="1" applyAlignment="1">
      <alignment horizontal="center" vertical="center"/>
    </xf>
    <xf numFmtId="0" fontId="84" fillId="2" borderId="195" xfId="12" applyFont="1" applyFill="1" applyBorder="1" applyAlignment="1">
      <alignment horizontal="centerContinuous" vertical="center" wrapText="1"/>
    </xf>
    <xf numFmtId="0" fontId="84" fillId="2" borderId="189" xfId="12" applyFont="1" applyFill="1" applyBorder="1" applyAlignment="1">
      <alignment horizontal="centerContinuous" vertical="center" wrapText="1"/>
    </xf>
    <xf numFmtId="0" fontId="84" fillId="2" borderId="141" xfId="12" applyFont="1" applyFill="1" applyBorder="1" applyAlignment="1">
      <alignment horizontal="centerContinuous" vertical="center" wrapText="1"/>
    </xf>
    <xf numFmtId="0" fontId="84" fillId="2" borderId="182" xfId="12" applyFont="1" applyFill="1" applyBorder="1" applyAlignment="1">
      <alignment horizontal="centerContinuous" vertical="center" wrapText="1"/>
    </xf>
    <xf numFmtId="0" fontId="71" fillId="2" borderId="182" xfId="12" applyFont="1" applyFill="1" applyBorder="1" applyAlignment="1">
      <alignment horizontal="centerContinuous" vertical="center" wrapText="1"/>
    </xf>
    <xf numFmtId="0" fontId="71" fillId="2" borderId="190" xfId="12" applyFont="1" applyFill="1" applyBorder="1" applyAlignment="1">
      <alignment horizontal="centerContinuous" vertical="center" wrapText="1"/>
    </xf>
    <xf numFmtId="0" fontId="71" fillId="2" borderId="141" xfId="12" applyFont="1" applyFill="1" applyBorder="1" applyAlignment="1">
      <alignment horizontal="centerContinuous" vertical="center" wrapText="1"/>
    </xf>
    <xf numFmtId="185" fontId="182" fillId="2" borderId="184" xfId="0" applyNumberFormat="1" applyFont="1" applyFill="1" applyBorder="1" applyAlignment="1">
      <alignment horizontal="center" vertical="center"/>
    </xf>
    <xf numFmtId="1" fontId="87" fillId="9" borderId="181" xfId="0" applyNumberFormat="1" applyFont="1" applyFill="1" applyBorder="1" applyAlignment="1">
      <alignment horizontal="center"/>
    </xf>
    <xf numFmtId="0" fontId="84" fillId="2" borderId="182" xfId="0" quotePrefix="1" applyFont="1" applyFill="1" applyBorder="1" applyAlignment="1">
      <alignment horizontal="centerContinuous" vertical="center"/>
    </xf>
    <xf numFmtId="0" fontId="71" fillId="2" borderId="184" xfId="0" applyFont="1" applyFill="1" applyBorder="1"/>
    <xf numFmtId="178" fontId="71" fillId="5" borderId="184" xfId="12401" applyNumberFormat="1" applyFont="1" applyFill="1" applyBorder="1" applyAlignment="1">
      <alignment horizontal="center" vertical="center"/>
    </xf>
    <xf numFmtId="0" fontId="84" fillId="2" borderId="181" xfId="13" applyFont="1" applyFill="1" applyBorder="1" applyAlignment="1">
      <alignment horizontal="centerContinuous" vertical="center" wrapText="1"/>
    </xf>
    <xf numFmtId="0" fontId="84" fillId="2" borderId="184" xfId="13" applyFont="1" applyFill="1" applyBorder="1" applyAlignment="1">
      <alignment horizontal="centerContinuous" vertical="center" wrapText="1"/>
    </xf>
    <xf numFmtId="0" fontId="84" fillId="0" borderId="181" xfId="16" applyFont="1" applyBorder="1" applyAlignment="1">
      <alignment horizontal="centerContinuous" vertical="center" wrapText="1"/>
    </xf>
    <xf numFmtId="0" fontId="71" fillId="0" borderId="181" xfId="16" applyFont="1" applyBorder="1" applyAlignment="1">
      <alignment horizontal="centerContinuous" vertical="center" wrapText="1"/>
    </xf>
    <xf numFmtId="0" fontId="71" fillId="2" borderId="181" xfId="13" applyFont="1" applyFill="1" applyBorder="1" applyAlignment="1">
      <alignment horizontal="centerContinuous" vertical="center" wrapText="1"/>
    </xf>
    <xf numFmtId="0" fontId="71" fillId="2" borderId="184" xfId="13" applyFont="1" applyFill="1" applyBorder="1" applyAlignment="1">
      <alignment horizontal="centerContinuous" vertical="center" wrapText="1"/>
    </xf>
    <xf numFmtId="10" fontId="71" fillId="2" borderId="181" xfId="12393" applyNumberFormat="1" applyFont="1" applyFill="1" applyBorder="1" applyAlignment="1">
      <alignment horizontal="center" vertical="center"/>
    </xf>
    <xf numFmtId="0" fontId="182" fillId="2" borderId="181" xfId="16" applyFont="1" applyFill="1" applyBorder="1" applyAlignment="1">
      <alignment horizontal="center" vertical="center"/>
    </xf>
    <xf numFmtId="0" fontId="66" fillId="2" borderId="188" xfId="13" applyFont="1" applyFill="1" applyBorder="1" applyAlignment="1">
      <alignment vertical="center"/>
    </xf>
    <xf numFmtId="10" fontId="71" fillId="4" borderId="171" xfId="13" applyNumberFormat="1" applyFont="1" applyFill="1" applyBorder="1"/>
    <xf numFmtId="0" fontId="71" fillId="2" borderId="182" xfId="13" applyFont="1" applyFill="1" applyBorder="1" applyAlignment="1">
      <alignment horizontal="centerContinuous" vertical="center" wrapText="1"/>
    </xf>
    <xf numFmtId="9" fontId="89" fillId="2" borderId="181" xfId="12401" applyFont="1" applyFill="1" applyBorder="1" applyAlignment="1">
      <alignment horizontal="centerContinuous" vertical="center" wrapText="1"/>
    </xf>
    <xf numFmtId="0" fontId="84" fillId="2" borderId="181" xfId="13" quotePrefix="1" applyFont="1" applyFill="1" applyBorder="1" applyAlignment="1">
      <alignment horizontal="centerContinuous" vertical="center" wrapText="1"/>
    </xf>
    <xf numFmtId="0" fontId="71" fillId="2" borderId="181" xfId="13" quotePrefix="1" applyFont="1" applyFill="1" applyBorder="1" applyAlignment="1">
      <alignment horizontal="centerContinuous" vertical="center" wrapText="1"/>
    </xf>
    <xf numFmtId="0" fontId="182" fillId="2" borderId="181" xfId="126" applyFont="1" applyFill="1" applyBorder="1" applyAlignment="1">
      <alignment horizontal="center" vertical="center"/>
    </xf>
    <xf numFmtId="0" fontId="84" fillId="2" borderId="182" xfId="13" applyFont="1" applyFill="1" applyBorder="1" applyAlignment="1">
      <alignment horizontal="center" vertical="center" wrapText="1"/>
    </xf>
    <xf numFmtId="0" fontId="84" fillId="2" borderId="181" xfId="13" applyFont="1" applyFill="1" applyBorder="1" applyAlignment="1">
      <alignment horizontal="center" vertical="center" wrapText="1"/>
    </xf>
    <xf numFmtId="0" fontId="86" fillId="2" borderId="181" xfId="13" applyFont="1" applyFill="1" applyBorder="1" applyAlignment="1">
      <alignment horizontal="centerContinuous" vertical="center" wrapText="1"/>
    </xf>
    <xf numFmtId="0" fontId="71" fillId="2" borderId="181" xfId="13" quotePrefix="1" applyFont="1" applyFill="1" applyBorder="1" applyAlignment="1">
      <alignment horizontal="center" vertical="center" wrapText="1"/>
    </xf>
    <xf numFmtId="10" fontId="103" fillId="3" borderId="171" xfId="13" applyNumberFormat="1" applyFont="1" applyFill="1" applyBorder="1"/>
    <xf numFmtId="10" fontId="71" fillId="0" borderId="171" xfId="13" applyNumberFormat="1" applyFont="1" applyBorder="1"/>
    <xf numFmtId="181" fontId="95" fillId="4" borderId="171" xfId="0" applyNumberFormat="1" applyFont="1" applyFill="1" applyBorder="1" applyAlignment="1">
      <alignment horizontal="center"/>
    </xf>
    <xf numFmtId="177" fontId="71" fillId="4" borderId="171" xfId="0" applyNumberFormat="1" applyFont="1" applyFill="1" applyBorder="1"/>
    <xf numFmtId="179" fontId="161" fillId="6" borderId="171" xfId="0" applyNumberFormat="1" applyFont="1" applyFill="1" applyBorder="1"/>
    <xf numFmtId="179" fontId="232" fillId="0" borderId="171" xfId="0" applyNumberFormat="1" applyFont="1" applyBorder="1"/>
    <xf numFmtId="0" fontId="84" fillId="2" borderId="182" xfId="12" quotePrefix="1" applyFont="1" applyFill="1" applyBorder="1" applyAlignment="1">
      <alignment horizontal="centerContinuous" vertical="center" wrapText="1"/>
    </xf>
    <xf numFmtId="0" fontId="84" fillId="2" borderId="184" xfId="12" applyFont="1" applyFill="1" applyBorder="1" applyAlignment="1">
      <alignment horizontal="centerContinuous" vertical="center" wrapText="1"/>
    </xf>
    <xf numFmtId="0" fontId="86" fillId="2" borderId="182" xfId="12" applyFont="1" applyFill="1" applyBorder="1" applyAlignment="1">
      <alignment horizontal="centerContinuous" vertical="center" wrapText="1"/>
    </xf>
    <xf numFmtId="0" fontId="86" fillId="2" borderId="184" xfId="12" applyFont="1" applyFill="1" applyBorder="1" applyAlignment="1">
      <alignment horizontal="centerContinuous" vertical="center" wrapText="1"/>
    </xf>
    <xf numFmtId="0" fontId="71" fillId="2" borderId="187" xfId="12" quotePrefix="1" applyFont="1" applyFill="1" applyBorder="1" applyAlignment="1">
      <alignment horizontal="center" vertical="center" wrapText="1"/>
    </xf>
    <xf numFmtId="0" fontId="71" fillId="2" borderId="182" xfId="12" quotePrefix="1" applyFont="1" applyFill="1" applyBorder="1" applyAlignment="1">
      <alignment horizontal="centerContinuous" vertical="center" wrapText="1"/>
    </xf>
    <xf numFmtId="0" fontId="71" fillId="0" borderId="183" xfId="12" applyFont="1" applyBorder="1" applyAlignment="1">
      <alignment horizontal="centerContinuous" vertical="center"/>
    </xf>
    <xf numFmtId="0" fontId="71" fillId="2" borderId="179" xfId="12" quotePrefix="1" applyFont="1" applyFill="1" applyBorder="1" applyAlignment="1">
      <alignment horizontal="center" vertical="center" wrapText="1"/>
    </xf>
    <xf numFmtId="0" fontId="71" fillId="2" borderId="190" xfId="12" quotePrefix="1" applyFont="1" applyFill="1" applyBorder="1" applyAlignment="1">
      <alignment horizontal="center" vertical="center" wrapText="1"/>
    </xf>
    <xf numFmtId="0" fontId="71" fillId="0" borderId="181" xfId="12" applyFont="1" applyBorder="1" applyAlignment="1">
      <alignment horizontal="centerContinuous" vertical="center" wrapText="1"/>
    </xf>
    <xf numFmtId="0" fontId="71" fillId="2" borderId="186" xfId="12" applyFont="1" applyFill="1" applyBorder="1" applyAlignment="1">
      <alignment horizontal="center" vertical="center" wrapText="1"/>
    </xf>
    <xf numFmtId="0" fontId="71" fillId="0" borderId="184" xfId="12" applyFont="1" applyBorder="1" applyAlignment="1">
      <alignment horizontal="centerContinuous" vertical="center" wrapText="1"/>
    </xf>
    <xf numFmtId="2" fontId="124" fillId="6" borderId="171" xfId="12401" applyNumberFormat="1" applyFont="1" applyFill="1" applyBorder="1" applyAlignment="1"/>
    <xf numFmtId="2" fontId="110" fillId="0" borderId="174" xfId="12401" applyNumberFormat="1" applyFont="1" applyBorder="1" applyAlignment="1"/>
    <xf numFmtId="2" fontId="110" fillId="0" borderId="171" xfId="12401" applyNumberFormat="1" applyFont="1" applyBorder="1" applyAlignment="1"/>
    <xf numFmtId="4" fontId="110" fillId="0" borderId="174" xfId="12" applyNumberFormat="1" applyFont="1" applyBorder="1"/>
    <xf numFmtId="4" fontId="110" fillId="0" borderId="174" xfId="12401" applyNumberFormat="1" applyFont="1" applyBorder="1" applyAlignment="1"/>
    <xf numFmtId="4" fontId="110" fillId="0" borderId="171" xfId="12401" applyNumberFormat="1" applyFont="1" applyBorder="1" applyAlignment="1"/>
    <xf numFmtId="4" fontId="110" fillId="0" borderId="174" xfId="12401" applyNumberFormat="1" applyFont="1" applyBorder="1" applyAlignment="1">
      <alignment horizontal="right"/>
    </xf>
    <xf numFmtId="4" fontId="110" fillId="0" borderId="171" xfId="12" applyNumberFormat="1" applyFont="1" applyBorder="1"/>
    <xf numFmtId="4" fontId="71" fillId="0" borderId="174" xfId="12" applyNumberFormat="1" applyFont="1" applyBorder="1"/>
    <xf numFmtId="4" fontId="71" fillId="0" borderId="171" xfId="12" applyNumberFormat="1" applyFont="1" applyBorder="1"/>
    <xf numFmtId="4" fontId="110" fillId="0" borderId="171" xfId="24490" applyNumberFormat="1" applyFont="1" applyBorder="1"/>
    <xf numFmtId="0" fontId="84" fillId="2" borderId="141" xfId="12" quotePrefix="1" applyFont="1" applyFill="1" applyBorder="1" applyAlignment="1">
      <alignment horizontal="centerContinuous" vertical="center" wrapText="1"/>
    </xf>
    <xf numFmtId="0" fontId="84" fillId="2" borderId="181" xfId="12" applyFont="1" applyFill="1" applyBorder="1" applyAlignment="1">
      <alignment horizontal="centerContinuous" vertical="center" wrapText="1"/>
    </xf>
    <xf numFmtId="0" fontId="71" fillId="2" borderId="181" xfId="12" applyFont="1" applyFill="1" applyBorder="1" applyAlignment="1">
      <alignment horizontal="centerContinuous" vertical="center" wrapText="1"/>
    </xf>
    <xf numFmtId="1" fontId="91" fillId="2" borderId="181" xfId="12" quotePrefix="1" applyNumberFormat="1" applyFont="1" applyFill="1" applyBorder="1" applyAlignment="1">
      <alignment horizontal="center" vertical="center"/>
    </xf>
    <xf numFmtId="3" fontId="71" fillId="0" borderId="171" xfId="14" applyNumberFormat="1" applyFont="1" applyBorder="1"/>
    <xf numFmtId="184" fontId="109" fillId="0" borderId="174" xfId="14" applyNumberFormat="1" applyFont="1" applyBorder="1"/>
    <xf numFmtId="3" fontId="109" fillId="0" borderId="171" xfId="14" applyNumberFormat="1" applyFont="1" applyBorder="1"/>
    <xf numFmtId="0" fontId="84" fillId="2" borderId="182" xfId="12" applyFont="1" applyFill="1" applyBorder="1" applyAlignment="1">
      <alignment horizontal="center" vertical="center" wrapText="1"/>
    </xf>
    <xf numFmtId="0" fontId="84" fillId="0" borderId="181" xfId="12" applyFont="1" applyBorder="1" applyAlignment="1">
      <alignment horizontal="centerContinuous" vertical="center" wrapText="1"/>
    </xf>
    <xf numFmtId="0" fontId="84" fillId="2" borderId="181" xfId="12" applyFont="1" applyFill="1" applyBorder="1" applyAlignment="1">
      <alignment horizontal="center" vertical="center" wrapText="1"/>
    </xf>
    <xf numFmtId="0" fontId="87" fillId="2" borderId="181" xfId="0" applyFont="1" applyFill="1" applyBorder="1" applyAlignment="1">
      <alignment horizontal="center" vertical="center"/>
    </xf>
    <xf numFmtId="0" fontId="87" fillId="2" borderId="182" xfId="0" applyFont="1" applyFill="1" applyBorder="1" applyAlignment="1">
      <alignment horizontal="center" vertical="center"/>
    </xf>
    <xf numFmtId="0" fontId="108" fillId="2" borderId="181" xfId="12" applyFont="1" applyFill="1" applyBorder="1" applyAlignment="1">
      <alignment horizontal="centerContinuous" vertical="center" wrapText="1"/>
    </xf>
    <xf numFmtId="0" fontId="71" fillId="2" borderId="182" xfId="12" applyFont="1" applyFill="1" applyBorder="1" applyAlignment="1">
      <alignment horizontal="center" vertical="center" wrapText="1"/>
    </xf>
    <xf numFmtId="0" fontId="71" fillId="2" borderId="181" xfId="12" applyFont="1" applyFill="1" applyBorder="1" applyAlignment="1">
      <alignment horizontal="center" vertical="center" wrapText="1"/>
    </xf>
    <xf numFmtId="0" fontId="71" fillId="9" borderId="181" xfId="12" applyFont="1" applyFill="1" applyBorder="1" applyAlignment="1">
      <alignment horizontal="center" vertical="center" wrapText="1"/>
    </xf>
    <xf numFmtId="0" fontId="66" fillId="2" borderId="3" xfId="12" applyFont="1" applyFill="1" applyBorder="1" applyAlignment="1">
      <alignment vertical="center"/>
    </xf>
    <xf numFmtId="0" fontId="66" fillId="2" borderId="6" xfId="12" applyFont="1" applyFill="1" applyBorder="1" applyAlignment="1">
      <alignment horizontal="centerContinuous" vertical="center"/>
    </xf>
    <xf numFmtId="0" fontId="66" fillId="2" borderId="7" xfId="12" applyFont="1" applyFill="1" applyBorder="1" applyAlignment="1">
      <alignment horizontal="centerContinuous" vertical="center"/>
    </xf>
    <xf numFmtId="0" fontId="66" fillId="2" borderId="58" xfId="12" applyFont="1" applyFill="1" applyBorder="1" applyAlignment="1">
      <alignment vertical="center"/>
    </xf>
    <xf numFmtId="0" fontId="71" fillId="2" borderId="184" xfId="12" applyFont="1" applyFill="1" applyBorder="1" applyAlignment="1">
      <alignment horizontal="centerContinuous" vertical="center" wrapText="1"/>
    </xf>
    <xf numFmtId="0" fontId="84" fillId="2" borderId="182" xfId="126" quotePrefix="1" applyFont="1" applyFill="1" applyBorder="1" applyAlignment="1">
      <alignment horizontal="centerContinuous" vertical="center"/>
    </xf>
    <xf numFmtId="0" fontId="84" fillId="2" borderId="182" xfId="126" applyFont="1" applyFill="1" applyBorder="1" applyAlignment="1">
      <alignment horizontal="centerContinuous" vertical="center" wrapText="1"/>
    </xf>
    <xf numFmtId="0" fontId="84" fillId="2" borderId="181" xfId="126" applyFont="1" applyFill="1" applyBorder="1" applyAlignment="1">
      <alignment horizontal="centerContinuous" vertical="center" wrapText="1"/>
    </xf>
    <xf numFmtId="0" fontId="84" fillId="2" borderId="184" xfId="126" applyFont="1" applyFill="1" applyBorder="1" applyAlignment="1">
      <alignment horizontal="centerContinuous" vertical="center" wrapText="1"/>
    </xf>
    <xf numFmtId="10" fontId="71" fillId="2" borderId="181" xfId="12405" applyNumberFormat="1" applyFont="1" applyFill="1" applyBorder="1" applyAlignment="1">
      <alignment horizontal="centerContinuous" vertical="center"/>
    </xf>
    <xf numFmtId="0" fontId="84" fillId="2" borderId="181" xfId="126" applyFont="1" applyFill="1" applyBorder="1" applyAlignment="1">
      <alignment horizontal="center" vertical="center"/>
    </xf>
    <xf numFmtId="184" fontId="124" fillId="6" borderId="174" xfId="126" applyNumberFormat="1" applyFont="1" applyFill="1" applyBorder="1" applyAlignment="1">
      <alignment vertical="center" wrapText="1"/>
    </xf>
    <xf numFmtId="177" fontId="71" fillId="10" borderId="174" xfId="126" applyNumberFormat="1" applyFont="1" applyFill="1" applyBorder="1"/>
    <xf numFmtId="177" fontId="71" fillId="10" borderId="171" xfId="126" applyNumberFormat="1" applyFont="1" applyFill="1" applyBorder="1"/>
    <xf numFmtId="184" fontId="71" fillId="0" borderId="174" xfId="126" applyNumberFormat="1" applyFont="1" applyBorder="1" applyAlignment="1">
      <alignment vertical="center" wrapText="1"/>
    </xf>
    <xf numFmtId="3" fontId="209" fillId="0" borderId="174" xfId="126" applyNumberFormat="1" applyFont="1" applyBorder="1" applyAlignment="1">
      <alignment horizontal="right" vertical="center" wrapText="1"/>
    </xf>
    <xf numFmtId="3" fontId="209" fillId="0" borderId="174" xfId="126" applyNumberFormat="1" applyFont="1" applyBorder="1"/>
    <xf numFmtId="3" fontId="124" fillId="6" borderId="174" xfId="126" applyNumberFormat="1" applyFont="1" applyFill="1" applyBorder="1" applyAlignment="1">
      <alignment horizontal="right" vertical="center" wrapText="1"/>
    </xf>
    <xf numFmtId="0" fontId="84" fillId="2" borderId="18" xfId="24487" applyFont="1" applyFill="1" applyBorder="1" applyAlignment="1">
      <alignment horizontal="centerContinuous" vertical="center" wrapText="1"/>
    </xf>
    <xf numFmtId="0" fontId="84" fillId="2" borderId="26" xfId="24487" applyFont="1" applyFill="1" applyBorder="1" applyAlignment="1">
      <alignment horizontal="centerContinuous" vertical="center" wrapText="1"/>
    </xf>
    <xf numFmtId="0" fontId="84" fillId="2" borderId="19" xfId="24487" applyFont="1" applyFill="1" applyBorder="1" applyAlignment="1">
      <alignment horizontal="centerContinuous" vertical="center" wrapText="1"/>
    </xf>
    <xf numFmtId="0" fontId="1" fillId="9" borderId="0" xfId="24487" applyFill="1"/>
    <xf numFmtId="1" fontId="84" fillId="2" borderId="182" xfId="24487" applyNumberFormat="1" applyFont="1" applyFill="1" applyBorder="1" applyAlignment="1">
      <alignment horizontal="centerContinuous" vertical="center" wrapText="1"/>
    </xf>
    <xf numFmtId="0" fontId="71" fillId="2" borderId="0" xfId="24487" applyFont="1" applyFill="1" applyAlignment="1">
      <alignment horizontal="centerContinuous"/>
    </xf>
    <xf numFmtId="1" fontId="84" fillId="9" borderId="182" xfId="24487" applyNumberFormat="1" applyFont="1" applyFill="1" applyBorder="1" applyAlignment="1">
      <alignment horizontal="centerContinuous" vertical="center" wrapText="1"/>
    </xf>
    <xf numFmtId="1" fontId="84" fillId="9" borderId="6" xfId="24488" applyNumberFormat="1" applyFont="1" applyFill="1" applyBorder="1" applyAlignment="1">
      <alignment horizontal="centerContinuous" vertical="center" wrapText="1"/>
    </xf>
    <xf numFmtId="0" fontId="71" fillId="9" borderId="25" xfId="126" applyFont="1" applyFill="1" applyBorder="1" applyAlignment="1">
      <alignment horizontal="centerContinuous"/>
    </xf>
    <xf numFmtId="1" fontId="84" fillId="9" borderId="25" xfId="24487" applyNumberFormat="1" applyFont="1" applyFill="1" applyBorder="1" applyAlignment="1">
      <alignment horizontal="centerContinuous" vertical="center" wrapText="1"/>
    </xf>
    <xf numFmtId="1" fontId="84" fillId="9" borderId="184" xfId="24487" applyNumberFormat="1" applyFont="1" applyFill="1" applyBorder="1" applyAlignment="1">
      <alignment horizontal="centerContinuous" vertical="center" wrapText="1"/>
    </xf>
    <xf numFmtId="1" fontId="84" fillId="2" borderId="181" xfId="24487" applyNumberFormat="1" applyFont="1" applyFill="1" applyBorder="1" applyAlignment="1">
      <alignment horizontal="centerContinuous" vertical="center" wrapText="1"/>
    </xf>
    <xf numFmtId="1" fontId="84" fillId="2" borderId="6" xfId="24487" applyNumberFormat="1" applyFont="1" applyFill="1" applyBorder="1" applyAlignment="1">
      <alignment horizontal="centerContinuous" vertical="center" wrapText="1"/>
    </xf>
    <xf numFmtId="1" fontId="84" fillId="2" borderId="7" xfId="24487" applyNumberFormat="1" applyFont="1" applyFill="1" applyBorder="1" applyAlignment="1">
      <alignment horizontal="centerContinuous" vertical="center" wrapText="1"/>
    </xf>
    <xf numFmtId="0" fontId="84" fillId="2" borderId="6" xfId="24487" applyFont="1" applyFill="1" applyBorder="1" applyAlignment="1">
      <alignment horizontal="centerContinuous" vertical="center" wrapText="1"/>
    </xf>
    <xf numFmtId="0" fontId="84" fillId="2" borderId="25" xfId="24487" applyFont="1" applyFill="1" applyBorder="1" applyAlignment="1">
      <alignment horizontal="centerContinuous" vertical="center" wrapText="1"/>
    </xf>
    <xf numFmtId="0" fontId="71" fillId="9" borderId="25" xfId="126" applyFont="1" applyFill="1" applyBorder="1"/>
    <xf numFmtId="0" fontId="84" fillId="2" borderId="7" xfId="24487" applyFont="1" applyFill="1" applyBorder="1" applyAlignment="1">
      <alignment horizontal="centerContinuous" vertical="center" wrapText="1"/>
    </xf>
    <xf numFmtId="1" fontId="131" fillId="0" borderId="181" xfId="24487" applyNumberFormat="1" applyFont="1" applyBorder="1" applyAlignment="1">
      <alignment horizontal="center" vertical="center" wrapText="1"/>
    </xf>
    <xf numFmtId="1" fontId="71" fillId="0" borderId="65" xfId="24487" applyNumberFormat="1" applyFont="1" applyBorder="1" applyAlignment="1">
      <alignment horizontal="center" vertical="center" wrapText="1"/>
    </xf>
    <xf numFmtId="1" fontId="71" fillId="0" borderId="155" xfId="24487" applyNumberFormat="1" applyFont="1" applyBorder="1" applyAlignment="1">
      <alignment horizontal="center" vertical="center" wrapText="1"/>
    </xf>
    <xf numFmtId="1" fontId="71" fillId="0" borderId="66" xfId="24487" applyNumberFormat="1" applyFont="1" applyBorder="1" applyAlignment="1">
      <alignment horizontal="center" vertical="center" wrapText="1"/>
    </xf>
    <xf numFmtId="1" fontId="71" fillId="9" borderId="6" xfId="24488" applyNumberFormat="1" applyFont="1" applyFill="1" applyBorder="1" applyAlignment="1">
      <alignment horizontal="center" vertical="center" wrapText="1"/>
    </xf>
    <xf numFmtId="1" fontId="71" fillId="9" borderId="65" xfId="24488" applyNumberFormat="1" applyFont="1" applyFill="1" applyBorder="1" applyAlignment="1">
      <alignment horizontal="center" vertical="center" wrapText="1"/>
    </xf>
    <xf numFmtId="1" fontId="71" fillId="9" borderId="196" xfId="24488" applyNumberFormat="1" applyFont="1" applyFill="1" applyBorder="1" applyAlignment="1">
      <alignment horizontal="center" vertical="center" wrapText="1"/>
    </xf>
    <xf numFmtId="1" fontId="71" fillId="9" borderId="197" xfId="24488" applyNumberFormat="1" applyFont="1" applyFill="1" applyBorder="1" applyAlignment="1">
      <alignment horizontal="center" vertical="center" wrapText="1"/>
    </xf>
    <xf numFmtId="1" fontId="131" fillId="9" borderId="25" xfId="24488" applyNumberFormat="1" applyFont="1" applyFill="1" applyBorder="1" applyAlignment="1">
      <alignment horizontal="center" vertical="center" wrapText="1"/>
    </xf>
    <xf numFmtId="1" fontId="71" fillId="0" borderId="83" xfId="24487" applyNumberFormat="1" applyFont="1" applyBorder="1" applyAlignment="1">
      <alignment horizontal="center" vertical="center" wrapText="1"/>
    </xf>
    <xf numFmtId="1" fontId="71" fillId="0" borderId="7" xfId="24487" applyNumberFormat="1" applyFont="1" applyBorder="1" applyAlignment="1">
      <alignment horizontal="center" vertical="center" wrapText="1"/>
    </xf>
    <xf numFmtId="0" fontId="84" fillId="2" borderId="65" xfId="24487" applyFont="1" applyFill="1" applyBorder="1" applyAlignment="1">
      <alignment horizontal="centerContinuous" vertical="center" wrapText="1"/>
    </xf>
    <xf numFmtId="0" fontId="84" fillId="2" borderId="155" xfId="24487" applyFont="1" applyFill="1" applyBorder="1" applyAlignment="1">
      <alignment horizontal="centerContinuous" vertical="center" wrapText="1"/>
    </xf>
    <xf numFmtId="0" fontId="84" fillId="2" borderId="66" xfId="24487" applyFont="1" applyFill="1" applyBorder="1" applyAlignment="1">
      <alignment horizontal="centerContinuous" vertical="center" wrapText="1"/>
    </xf>
    <xf numFmtId="0" fontId="71" fillId="2" borderId="6" xfId="24488" applyFont="1" applyFill="1" applyBorder="1" applyAlignment="1">
      <alignment horizontal="center" vertical="center" wrapText="1"/>
    </xf>
    <xf numFmtId="0" fontId="71" fillId="2" borderId="65" xfId="24488" applyFont="1" applyFill="1" applyBorder="1" applyAlignment="1">
      <alignment horizontal="center" vertical="center" wrapText="1"/>
    </xf>
    <xf numFmtId="0" fontId="71" fillId="2" borderId="196" xfId="24488" applyFont="1" applyFill="1" applyBorder="1" applyAlignment="1">
      <alignment horizontal="center" vertical="center" wrapText="1"/>
    </xf>
    <xf numFmtId="0" fontId="71" fillId="2" borderId="197" xfId="24488" applyFont="1" applyFill="1" applyBorder="1" applyAlignment="1">
      <alignment horizontal="center" vertical="center" wrapText="1"/>
    </xf>
    <xf numFmtId="0" fontId="71" fillId="2" borderId="25" xfId="24488" applyFont="1" applyFill="1" applyBorder="1" applyAlignment="1">
      <alignment horizontal="center" vertical="center" wrapText="1"/>
    </xf>
    <xf numFmtId="0" fontId="84" fillId="2" borderId="83" xfId="24487" applyFont="1" applyFill="1" applyBorder="1" applyAlignment="1">
      <alignment horizontal="centerContinuous" vertical="center" wrapText="1"/>
    </xf>
    <xf numFmtId="0" fontId="131" fillId="2" borderId="181" xfId="24487" applyFont="1" applyFill="1" applyBorder="1" applyAlignment="1">
      <alignment horizontal="center" vertical="center" wrapText="1"/>
    </xf>
    <xf numFmtId="0" fontId="71" fillId="2" borderId="65" xfId="24487" applyFont="1" applyFill="1" applyBorder="1" applyAlignment="1">
      <alignment horizontal="center" vertical="center" wrapText="1"/>
    </xf>
    <xf numFmtId="0" fontId="71" fillId="2" borderId="155" xfId="24487" applyFont="1" applyFill="1" applyBorder="1" applyAlignment="1">
      <alignment horizontal="center" vertical="center" wrapText="1"/>
    </xf>
    <xf numFmtId="0" fontId="71" fillId="2" borderId="66" xfId="24487" applyFont="1" applyFill="1" applyBorder="1" applyAlignment="1">
      <alignment horizontal="center" vertical="center" wrapText="1"/>
    </xf>
    <xf numFmtId="0" fontId="71" fillId="9" borderId="6" xfId="126" applyFont="1" applyFill="1" applyBorder="1" applyAlignment="1">
      <alignment horizontal="center" vertical="center" wrapText="1"/>
    </xf>
    <xf numFmtId="0" fontId="71" fillId="9" borderId="65" xfId="126" applyFont="1" applyFill="1" applyBorder="1" applyAlignment="1">
      <alignment horizontal="center" vertical="center" wrapText="1"/>
    </xf>
    <xf numFmtId="0" fontId="71" fillId="9" borderId="196" xfId="126" applyFont="1" applyFill="1" applyBorder="1" applyAlignment="1">
      <alignment horizontal="center" vertical="center" wrapText="1"/>
    </xf>
    <xf numFmtId="0" fontId="71" fillId="9" borderId="197" xfId="126" applyFont="1" applyFill="1" applyBorder="1" applyAlignment="1">
      <alignment horizontal="center" vertical="center" wrapText="1"/>
    </xf>
    <xf numFmtId="0" fontId="71" fillId="9" borderId="25" xfId="126" applyFont="1" applyFill="1" applyBorder="1" applyAlignment="1">
      <alignment horizontal="center" vertical="center" wrapText="1"/>
    </xf>
    <xf numFmtId="0" fontId="71" fillId="2" borderId="83" xfId="24487" applyFont="1" applyFill="1" applyBorder="1" applyAlignment="1">
      <alignment horizontal="center" vertical="center" wrapText="1"/>
    </xf>
    <xf numFmtId="0" fontId="71" fillId="2" borderId="7" xfId="24487" applyFont="1" applyFill="1" applyBorder="1" applyAlignment="1">
      <alignment horizontal="center" vertical="center" wrapText="1"/>
    </xf>
    <xf numFmtId="0" fontId="84" fillId="0" borderId="181" xfId="24487" applyFont="1" applyBorder="1" applyAlignment="1">
      <alignment horizontal="center" vertical="center"/>
    </xf>
    <xf numFmtId="0" fontId="84" fillId="0" borderId="65" xfId="24487" applyFont="1" applyBorder="1" applyAlignment="1">
      <alignment horizontal="center" vertical="center"/>
    </xf>
    <xf numFmtId="0" fontId="84" fillId="0" borderId="155" xfId="24487" applyFont="1" applyBorder="1" applyAlignment="1">
      <alignment horizontal="center" vertical="center"/>
    </xf>
    <xf numFmtId="0" fontId="84" fillId="0" borderId="66" xfId="24487" applyFont="1" applyBorder="1" applyAlignment="1">
      <alignment horizontal="center" vertical="center"/>
    </xf>
    <xf numFmtId="168" fontId="84" fillId="2" borderId="18" xfId="24489" applyFont="1" applyFill="1" applyBorder="1" applyAlignment="1">
      <alignment horizontal="center" vertical="center"/>
    </xf>
    <xf numFmtId="168" fontId="84" fillId="2" borderId="90" xfId="24489" applyFont="1" applyFill="1" applyBorder="1" applyAlignment="1">
      <alignment horizontal="center" vertical="center"/>
    </xf>
    <xf numFmtId="168" fontId="84" fillId="2" borderId="198" xfId="24489" applyFont="1" applyFill="1" applyBorder="1" applyAlignment="1">
      <alignment horizontal="center" vertical="center"/>
    </xf>
    <xf numFmtId="168" fontId="84" fillId="2" borderId="199" xfId="24489" applyFont="1" applyFill="1" applyBorder="1" applyAlignment="1">
      <alignment horizontal="center" vertical="center"/>
    </xf>
    <xf numFmtId="168" fontId="84" fillId="2" borderId="26" xfId="24489" applyFont="1" applyFill="1" applyBorder="1" applyAlignment="1">
      <alignment horizontal="center" vertical="center"/>
    </xf>
    <xf numFmtId="0" fontId="84" fillId="0" borderId="6" xfId="24487" applyFont="1" applyBorder="1" applyAlignment="1">
      <alignment horizontal="center" vertical="center"/>
    </xf>
    <xf numFmtId="0" fontId="84" fillId="0" borderId="153" xfId="24487" applyFont="1" applyBorder="1" applyAlignment="1">
      <alignment horizontal="center" vertical="center"/>
    </xf>
    <xf numFmtId="0" fontId="84" fillId="2" borderId="94" xfId="24487" applyFont="1" applyFill="1" applyBorder="1" applyAlignment="1">
      <alignment horizontal="center" vertical="center" wrapText="1"/>
    </xf>
    <xf numFmtId="0" fontId="84" fillId="2" borderId="82" xfId="24487" applyFont="1" applyFill="1" applyBorder="1" applyAlignment="1">
      <alignment horizontal="center" vertical="center" wrapText="1"/>
    </xf>
    <xf numFmtId="0" fontId="84" fillId="2" borderId="93" xfId="24487" applyFont="1" applyFill="1" applyBorder="1" applyAlignment="1">
      <alignment horizontal="center" vertical="center" wrapText="1"/>
    </xf>
    <xf numFmtId="0" fontId="84" fillId="2" borderId="88" xfId="24487" applyFont="1" applyFill="1" applyBorder="1" applyAlignment="1">
      <alignment horizontal="center" vertical="center" wrapText="1"/>
    </xf>
    <xf numFmtId="0" fontId="71" fillId="9" borderId="200" xfId="126" applyFont="1" applyFill="1" applyBorder="1"/>
    <xf numFmtId="0" fontId="71" fillId="9" borderId="201" xfId="126" applyFont="1" applyFill="1" applyBorder="1"/>
    <xf numFmtId="0" fontId="71" fillId="9" borderId="27" xfId="126" applyFont="1" applyFill="1" applyBorder="1"/>
    <xf numFmtId="0" fontId="84" fillId="2" borderId="84" xfId="24487" applyFont="1" applyFill="1" applyBorder="1" applyAlignment="1">
      <alignment horizontal="center" vertical="center" wrapText="1"/>
    </xf>
    <xf numFmtId="0" fontId="84" fillId="2" borderId="22" xfId="24487" applyFont="1" applyFill="1" applyBorder="1" applyAlignment="1">
      <alignment horizontal="center" vertical="center" wrapText="1"/>
    </xf>
    <xf numFmtId="2" fontId="71" fillId="0" borderId="3" xfId="24487" applyNumberFormat="1" applyFont="1" applyBorder="1" applyAlignment="1">
      <alignment horizontal="center"/>
    </xf>
    <xf numFmtId="170" fontId="103" fillId="76" borderId="0" xfId="24487" applyNumberFormat="1" applyFont="1" applyFill="1"/>
    <xf numFmtId="170" fontId="103" fillId="76" borderId="202" xfId="24487" applyNumberFormat="1" applyFont="1" applyFill="1" applyBorder="1"/>
    <xf numFmtId="170" fontId="103" fillId="76" borderId="80" xfId="24487" applyNumberFormat="1" applyFont="1" applyFill="1" applyBorder="1"/>
    <xf numFmtId="170" fontId="103" fillId="3" borderId="87" xfId="24487" applyNumberFormat="1" applyFont="1" applyFill="1" applyBorder="1"/>
    <xf numFmtId="170" fontId="103" fillId="3" borderId="202" xfId="24487" applyNumberFormat="1" applyFont="1" applyFill="1" applyBorder="1"/>
    <xf numFmtId="170" fontId="103" fillId="3" borderId="79" xfId="24487" applyNumberFormat="1" applyFont="1" applyFill="1" applyBorder="1"/>
    <xf numFmtId="0" fontId="1" fillId="7" borderId="0" xfId="24487" applyFill="1"/>
    <xf numFmtId="0" fontId="1" fillId="7" borderId="202" xfId="24487" applyFill="1" applyBorder="1"/>
    <xf numFmtId="0" fontId="1" fillId="7" borderId="203" xfId="24487" applyFill="1" applyBorder="1"/>
    <xf numFmtId="0" fontId="1" fillId="7" borderId="204" xfId="24487" applyFill="1" applyBorder="1"/>
    <xf numFmtId="0" fontId="1" fillId="7" borderId="16" xfId="24487" applyFill="1" applyBorder="1"/>
    <xf numFmtId="174" fontId="71" fillId="4" borderId="87" xfId="24487" applyNumberFormat="1" applyFont="1" applyFill="1" applyBorder="1"/>
    <xf numFmtId="174" fontId="71" fillId="4" borderId="3" xfId="24487" applyNumberFormat="1" applyFont="1" applyFill="1" applyBorder="1"/>
    <xf numFmtId="170" fontId="131" fillId="0" borderId="0" xfId="24487" applyNumberFormat="1" applyFont="1"/>
    <xf numFmtId="170" fontId="131" fillId="0" borderId="202" xfId="24487" applyNumberFormat="1" applyFont="1" applyBorder="1"/>
    <xf numFmtId="170" fontId="131" fillId="0" borderId="174" xfId="24487" applyNumberFormat="1" applyFont="1" applyBorder="1"/>
    <xf numFmtId="170" fontId="131" fillId="0" borderId="85" xfId="24487" applyNumberFormat="1" applyFont="1" applyBorder="1"/>
    <xf numFmtId="170" fontId="131" fillId="0" borderId="2" xfId="24487" applyNumberFormat="1" applyFont="1" applyBorder="1"/>
    <xf numFmtId="170" fontId="131" fillId="0" borderId="43" xfId="24487" applyNumberFormat="1" applyFont="1" applyBorder="1"/>
    <xf numFmtId="0" fontId="1" fillId="7" borderId="87" xfId="24487" applyFill="1" applyBorder="1"/>
    <xf numFmtId="0" fontId="1" fillId="7" borderId="130" xfId="24487" applyFill="1" applyBorder="1"/>
    <xf numFmtId="170" fontId="71" fillId="0" borderId="0" xfId="24487" applyNumberFormat="1" applyFont="1"/>
    <xf numFmtId="170" fontId="71" fillId="0" borderId="202" xfId="24487" applyNumberFormat="1" applyFont="1" applyBorder="1"/>
    <xf numFmtId="170" fontId="71" fillId="0" borderId="174" xfId="24487" applyNumberFormat="1" applyFont="1" applyBorder="1"/>
    <xf numFmtId="170" fontId="71" fillId="0" borderId="85" xfId="24487" applyNumberFormat="1" applyFont="1" applyBorder="1"/>
    <xf numFmtId="170" fontId="103" fillId="3" borderId="3" xfId="24487" applyNumberFormat="1" applyFont="1" applyFill="1" applyBorder="1"/>
    <xf numFmtId="170" fontId="71" fillId="0" borderId="87" xfId="24487" applyNumberFormat="1" applyFont="1" applyBorder="1"/>
    <xf numFmtId="170" fontId="71" fillId="0" borderId="3" xfId="24487" applyNumberFormat="1" applyFont="1" applyBorder="1"/>
    <xf numFmtId="171" fontId="124" fillId="6" borderId="87" xfId="24488" applyNumberFormat="1" applyFont="1" applyFill="1" applyBorder="1" applyAlignment="1">
      <alignment horizontal="right" vertical="center"/>
    </xf>
    <xf numFmtId="171" fontId="124" fillId="6" borderId="202" xfId="24488" applyNumberFormat="1" applyFont="1" applyFill="1" applyBorder="1" applyAlignment="1">
      <alignment horizontal="right" vertical="center"/>
    </xf>
    <xf numFmtId="171" fontId="124" fillId="6" borderId="130" xfId="24488" applyNumberFormat="1" applyFont="1" applyFill="1" applyBorder="1" applyAlignment="1">
      <alignment horizontal="right" vertical="center"/>
    </xf>
    <xf numFmtId="171" fontId="124" fillId="6" borderId="203" xfId="24488" applyNumberFormat="1" applyFont="1" applyFill="1" applyBorder="1" applyAlignment="1">
      <alignment horizontal="right" vertical="center"/>
    </xf>
    <xf numFmtId="171" fontId="124" fillId="6" borderId="204" xfId="24488" applyNumberFormat="1" applyFont="1" applyFill="1" applyBorder="1" applyAlignment="1">
      <alignment horizontal="right" vertical="center"/>
    </xf>
    <xf numFmtId="171" fontId="124" fillId="6" borderId="16" xfId="24488" applyNumberFormat="1" applyFont="1" applyFill="1" applyBorder="1" applyAlignment="1">
      <alignment horizontal="right" vertical="center"/>
    </xf>
    <xf numFmtId="171" fontId="71" fillId="0" borderId="0" xfId="24488" applyNumberFormat="1" applyFont="1" applyAlignment="1">
      <alignment horizontal="right" vertical="center"/>
    </xf>
    <xf numFmtId="171" fontId="71" fillId="0" borderId="202" xfId="24488" applyNumberFormat="1" applyFont="1" applyBorder="1" applyAlignment="1">
      <alignment horizontal="right" vertical="center"/>
    </xf>
    <xf numFmtId="171" fontId="71" fillId="0" borderId="203" xfId="24488" applyNumberFormat="1" applyFont="1" applyBorder="1" applyAlignment="1">
      <alignment horizontal="right" vertical="center"/>
    </xf>
    <xf numFmtId="171" fontId="71" fillId="0" borderId="204" xfId="24488" applyNumberFormat="1" applyFont="1" applyBorder="1" applyAlignment="1">
      <alignment horizontal="right" vertical="center"/>
    </xf>
    <xf numFmtId="171" fontId="71" fillId="0" borderId="16" xfId="24488" applyNumberFormat="1" applyFont="1" applyBorder="1" applyAlignment="1">
      <alignment horizontal="right" vertical="center"/>
    </xf>
    <xf numFmtId="170" fontId="71" fillId="0" borderId="56" xfId="24487" applyNumberFormat="1" applyFont="1" applyBorder="1"/>
    <xf numFmtId="171" fontId="71" fillId="0" borderId="87" xfId="24488" applyNumberFormat="1" applyFont="1" applyBorder="1" applyAlignment="1">
      <alignment horizontal="right" vertical="center"/>
    </xf>
    <xf numFmtId="171" fontId="71" fillId="0" borderId="130" xfId="24488" applyNumberFormat="1" applyFont="1" applyBorder="1" applyAlignment="1">
      <alignment horizontal="right" vertical="center"/>
    </xf>
    <xf numFmtId="171" fontId="131" fillId="0" borderId="87" xfId="24488" applyNumberFormat="1" applyFont="1" applyBorder="1" applyAlignment="1">
      <alignment horizontal="right" vertical="center"/>
    </xf>
    <xf numFmtId="171" fontId="131" fillId="0" borderId="202" xfId="24488" applyNumberFormat="1" applyFont="1" applyBorder="1" applyAlignment="1">
      <alignment horizontal="right" vertical="center"/>
    </xf>
    <xf numFmtId="171" fontId="131" fillId="0" borderId="130" xfId="24488" applyNumberFormat="1" applyFont="1" applyBorder="1" applyAlignment="1">
      <alignment horizontal="right" vertical="center"/>
    </xf>
    <xf numFmtId="171" fontId="131" fillId="0" borderId="203" xfId="24488" applyNumberFormat="1" applyFont="1" applyBorder="1" applyAlignment="1">
      <alignment horizontal="right" vertical="center"/>
    </xf>
    <xf numFmtId="171" fontId="131" fillId="0" borderId="204" xfId="24488" applyNumberFormat="1" applyFont="1" applyBorder="1" applyAlignment="1">
      <alignment horizontal="right" vertical="center"/>
    </xf>
    <xf numFmtId="171" fontId="131" fillId="0" borderId="16" xfId="24488" applyNumberFormat="1" applyFont="1" applyBorder="1" applyAlignment="1">
      <alignment horizontal="right" vertical="center"/>
    </xf>
    <xf numFmtId="170" fontId="131" fillId="0" borderId="87" xfId="24487" applyNumberFormat="1" applyFont="1" applyBorder="1"/>
    <xf numFmtId="170" fontId="131" fillId="0" borderId="3" xfId="24487" applyNumberFormat="1" applyFont="1" applyBorder="1"/>
    <xf numFmtId="170" fontId="131" fillId="0" borderId="56" xfId="24487" applyNumberFormat="1" applyFont="1" applyBorder="1"/>
    <xf numFmtId="171" fontId="131" fillId="0" borderId="0" xfId="24488" applyNumberFormat="1" applyFont="1" applyAlignment="1">
      <alignment horizontal="right" vertical="center"/>
    </xf>
    <xf numFmtId="171" fontId="222" fillId="0" borderId="202" xfId="24488" applyNumberFormat="1" applyFont="1" applyBorder="1" applyAlignment="1">
      <alignment horizontal="right" vertical="center"/>
    </xf>
    <xf numFmtId="171" fontId="222" fillId="0" borderId="130" xfId="24488" applyNumberFormat="1" applyFont="1" applyBorder="1" applyAlignment="1">
      <alignment horizontal="right" vertical="center"/>
    </xf>
    <xf numFmtId="171" fontId="222" fillId="0" borderId="203" xfId="24488" applyNumberFormat="1" applyFont="1" applyBorder="1" applyAlignment="1">
      <alignment horizontal="right" vertical="center"/>
    </xf>
    <xf numFmtId="171" fontId="222" fillId="0" borderId="0" xfId="24488" applyNumberFormat="1" applyFont="1" applyAlignment="1">
      <alignment horizontal="right" vertical="center"/>
    </xf>
    <xf numFmtId="171" fontId="222" fillId="0" borderId="204" xfId="24488" applyNumberFormat="1" applyFont="1" applyBorder="1" applyAlignment="1">
      <alignment horizontal="right" vertical="center"/>
    </xf>
    <xf numFmtId="171" fontId="222" fillId="0" borderId="16" xfId="24488" applyNumberFormat="1" applyFont="1" applyBorder="1" applyAlignment="1">
      <alignment horizontal="right" vertical="center"/>
    </xf>
    <xf numFmtId="170" fontId="222" fillId="0" borderId="87" xfId="24487" applyNumberFormat="1" applyFont="1" applyBorder="1"/>
    <xf numFmtId="170" fontId="222" fillId="0" borderId="3" xfId="24487" applyNumberFormat="1" applyFont="1" applyBorder="1"/>
    <xf numFmtId="171" fontId="222" fillId="0" borderId="87" xfId="24488" applyNumberFormat="1" applyFont="1" applyBorder="1" applyAlignment="1">
      <alignment horizontal="right" vertical="center"/>
    </xf>
    <xf numFmtId="170" fontId="131" fillId="0" borderId="16" xfId="24487" applyNumberFormat="1" applyFont="1" applyBorder="1"/>
    <xf numFmtId="170" fontId="71" fillId="0" borderId="16" xfId="24487" applyNumberFormat="1" applyFont="1" applyBorder="1"/>
    <xf numFmtId="171" fontId="71" fillId="0" borderId="0" xfId="24488" applyNumberFormat="1" applyFont="1" applyAlignment="1">
      <alignment horizontal="center" vertical="center"/>
    </xf>
    <xf numFmtId="171" fontId="71" fillId="0" borderId="202" xfId="24488" applyNumberFormat="1" applyFont="1" applyBorder="1" applyAlignment="1">
      <alignment horizontal="center" vertical="center"/>
    </xf>
    <xf numFmtId="171" fontId="71" fillId="0" borderId="203" xfId="24488" applyNumberFormat="1" applyFont="1" applyBorder="1" applyAlignment="1">
      <alignment horizontal="center" vertical="center"/>
    </xf>
    <xf numFmtId="171" fontId="71" fillId="0" borderId="204" xfId="24488" applyNumberFormat="1" applyFont="1" applyBorder="1" applyAlignment="1">
      <alignment horizontal="center" vertical="center"/>
    </xf>
    <xf numFmtId="171" fontId="71" fillId="0" borderId="16" xfId="24488" applyNumberFormat="1" applyFont="1" applyBorder="1" applyAlignment="1">
      <alignment horizontal="center" vertical="center"/>
    </xf>
    <xf numFmtId="0" fontId="71" fillId="2" borderId="0" xfId="24487" applyFont="1" applyFill="1"/>
    <xf numFmtId="0" fontId="71" fillId="9" borderId="26" xfId="126" applyFont="1" applyFill="1" applyBorder="1"/>
    <xf numFmtId="1" fontId="103" fillId="73" borderId="184" xfId="4122" applyNumberFormat="1" applyFont="1" applyFill="1" applyBorder="1" applyAlignment="1" applyProtection="1">
      <alignment horizontal="centerContinuous" vertical="center" wrapText="1"/>
    </xf>
    <xf numFmtId="0" fontId="84" fillId="9" borderId="6" xfId="126" applyFont="1" applyFill="1" applyBorder="1" applyAlignment="1">
      <alignment horizontal="centerContinuous"/>
    </xf>
    <xf numFmtId="0" fontId="84" fillId="9" borderId="25" xfId="126" applyFont="1" applyFill="1" applyBorder="1" applyAlignment="1">
      <alignment horizontal="centerContinuous"/>
    </xf>
    <xf numFmtId="0" fontId="84" fillId="9" borderId="181" xfId="126" applyFont="1" applyFill="1" applyBorder="1" applyAlignment="1">
      <alignment horizontal="centerContinuous" vertical="center"/>
    </xf>
    <xf numFmtId="0" fontId="84" fillId="9" borderId="6" xfId="126" applyFont="1" applyFill="1" applyBorder="1" applyAlignment="1">
      <alignment horizontal="centerContinuous" vertical="center"/>
    </xf>
    <xf numFmtId="0" fontId="84" fillId="9" borderId="7" xfId="126" applyFont="1" applyFill="1" applyBorder="1" applyAlignment="1">
      <alignment horizontal="centerContinuous" vertical="center"/>
    </xf>
    <xf numFmtId="0" fontId="84" fillId="9" borderId="0" xfId="126" applyFont="1" applyFill="1"/>
    <xf numFmtId="1" fontId="103" fillId="3" borderId="184" xfId="4122" applyNumberFormat="1" applyFont="1" applyFill="1" applyBorder="1" applyAlignment="1" applyProtection="1">
      <alignment horizontal="centerContinuous" vertical="center" wrapText="1"/>
    </xf>
    <xf numFmtId="1" fontId="71" fillId="9" borderId="6" xfId="9931" applyNumberFormat="1" applyFont="1" applyFill="1" applyBorder="1" applyAlignment="1">
      <alignment horizontal="centerContinuous" vertical="center" wrapText="1"/>
    </xf>
    <xf numFmtId="1" fontId="71" fillId="9" borderId="196" xfId="9931" applyNumberFormat="1" applyFont="1" applyFill="1" applyBorder="1" applyAlignment="1">
      <alignment horizontal="centerContinuous" vertical="center" wrapText="1"/>
    </xf>
    <xf numFmtId="1" fontId="71" fillId="9" borderId="25" xfId="9931" applyNumberFormat="1" applyFont="1" applyFill="1" applyBorder="1" applyAlignment="1">
      <alignment horizontal="centerContinuous" vertical="center" wrapText="1"/>
    </xf>
    <xf numFmtId="1" fontId="71" fillId="9" borderId="66" xfId="9931" applyNumberFormat="1" applyFont="1" applyFill="1" applyBorder="1" applyAlignment="1">
      <alignment horizontal="centerContinuous" vertical="center" wrapText="1"/>
    </xf>
    <xf numFmtId="1" fontId="71" fillId="9" borderId="156" xfId="9931" applyNumberFormat="1" applyFont="1" applyFill="1" applyBorder="1" applyAlignment="1">
      <alignment horizontal="centerContinuous" vertical="center" wrapText="1"/>
    </xf>
    <xf numFmtId="1" fontId="71" fillId="9" borderId="155" xfId="9931" applyNumberFormat="1" applyFont="1" applyFill="1" applyBorder="1" applyAlignment="1">
      <alignment horizontal="centerContinuous" vertical="center" wrapText="1"/>
    </xf>
    <xf numFmtId="0" fontId="71" fillId="2" borderId="156" xfId="9931" applyFont="1" applyFill="1" applyBorder="1" applyAlignment="1">
      <alignment horizontal="center" vertical="center" wrapText="1"/>
    </xf>
    <xf numFmtId="0" fontId="71" fillId="2" borderId="196" xfId="9931" applyFont="1" applyFill="1" applyBorder="1" applyAlignment="1">
      <alignment horizontal="center" vertical="center" wrapText="1"/>
    </xf>
    <xf numFmtId="0" fontId="71" fillId="2" borderId="25" xfId="9931" applyFont="1" applyFill="1" applyBorder="1" applyAlignment="1">
      <alignment horizontal="center" vertical="center" wrapText="1"/>
    </xf>
    <xf numFmtId="0" fontId="71" fillId="2" borderId="66" xfId="9931" applyFont="1" applyFill="1" applyBorder="1" applyAlignment="1">
      <alignment horizontal="center" vertical="center" wrapText="1"/>
    </xf>
    <xf numFmtId="0" fontId="71" fillId="9" borderId="181" xfId="126" applyFont="1" applyFill="1" applyBorder="1" applyAlignment="1">
      <alignment horizontal="center" vertical="center"/>
    </xf>
    <xf numFmtId="0" fontId="71" fillId="9" borderId="205" xfId="126" applyFont="1" applyFill="1" applyBorder="1" applyAlignment="1">
      <alignment horizontal="center" vertical="center"/>
    </xf>
    <xf numFmtId="0" fontId="84" fillId="9" borderId="181" xfId="126" applyFont="1" applyFill="1" applyBorder="1" applyAlignment="1">
      <alignment horizontal="center" vertical="center"/>
    </xf>
    <xf numFmtId="0" fontId="84" fillId="2" borderId="181" xfId="9931" applyFont="1" applyFill="1" applyBorder="1" applyAlignment="1">
      <alignment horizontal="center" vertical="center" wrapText="1"/>
    </xf>
    <xf numFmtId="0" fontId="84" fillId="2" borderId="156" xfId="9931" applyFont="1" applyFill="1" applyBorder="1" applyAlignment="1">
      <alignment horizontal="center" vertical="center" wrapText="1"/>
    </xf>
    <xf numFmtId="0" fontId="84" fillId="9" borderId="205" xfId="126" applyFont="1" applyFill="1" applyBorder="1" applyAlignment="1">
      <alignment horizontal="center" vertical="center"/>
    </xf>
    <xf numFmtId="0" fontId="84" fillId="2" borderId="155" xfId="9931" applyFont="1" applyFill="1" applyBorder="1" applyAlignment="1">
      <alignment horizontal="center" vertical="center" wrapText="1"/>
    </xf>
    <xf numFmtId="0" fontId="84" fillId="9" borderId="25" xfId="126" applyFont="1" applyFill="1" applyBorder="1" applyAlignment="1">
      <alignment horizontal="center" vertical="center"/>
    </xf>
    <xf numFmtId="0" fontId="84" fillId="2" borderId="66" xfId="9931" applyFont="1" applyFill="1" applyBorder="1" applyAlignment="1">
      <alignment horizontal="center" vertical="center" wrapText="1"/>
    </xf>
    <xf numFmtId="0" fontId="84" fillId="2" borderId="196" xfId="9931" applyFont="1" applyFill="1" applyBorder="1" applyAlignment="1">
      <alignment horizontal="center" vertical="center" wrapText="1"/>
    </xf>
    <xf numFmtId="0" fontId="84" fillId="9" borderId="7" xfId="126" applyFont="1" applyFill="1" applyBorder="1" applyAlignment="1">
      <alignment horizontal="center" vertical="center"/>
    </xf>
    <xf numFmtId="0" fontId="71" fillId="9" borderId="195" xfId="126" applyFont="1" applyFill="1" applyBorder="1"/>
    <xf numFmtId="0" fontId="71" fillId="9" borderId="189" xfId="126" applyFont="1" applyFill="1" applyBorder="1"/>
    <xf numFmtId="0" fontId="71" fillId="2" borderId="206" xfId="9931" applyFont="1" applyFill="1" applyBorder="1" applyAlignment="1">
      <alignment horizontal="center" vertical="center" wrapText="1"/>
    </xf>
    <xf numFmtId="0" fontId="71" fillId="9" borderId="207" xfId="126" applyFont="1" applyFill="1" applyBorder="1"/>
    <xf numFmtId="0" fontId="71" fillId="2" borderId="189" xfId="9931" applyFont="1" applyFill="1" applyBorder="1" applyAlignment="1">
      <alignment horizontal="center" vertical="center" wrapText="1"/>
    </xf>
    <xf numFmtId="0" fontId="71" fillId="9" borderId="208" xfId="126" applyFont="1" applyFill="1" applyBorder="1"/>
    <xf numFmtId="0" fontId="71" fillId="9" borderId="145" xfId="126" applyFont="1" applyFill="1" applyBorder="1"/>
    <xf numFmtId="0" fontId="71" fillId="9" borderId="186" xfId="126" applyFont="1" applyFill="1" applyBorder="1"/>
    <xf numFmtId="0" fontId="71" fillId="9" borderId="206" xfId="126" applyFont="1" applyFill="1" applyBorder="1"/>
    <xf numFmtId="0" fontId="71" fillId="9" borderId="140" xfId="126" applyFont="1" applyFill="1" applyBorder="1"/>
    <xf numFmtId="170" fontId="183" fillId="10" borderId="56" xfId="9931" applyNumberFormat="1" applyFont="1" applyFill="1" applyBorder="1" applyAlignment="1">
      <alignment horizontal="right" vertical="center"/>
    </xf>
    <xf numFmtId="170" fontId="183" fillId="10" borderId="130" xfId="9931" applyNumberFormat="1" applyFont="1" applyFill="1" applyBorder="1" applyAlignment="1">
      <alignment horizontal="right" vertical="center"/>
    </xf>
    <xf numFmtId="170" fontId="124" fillId="6" borderId="203" xfId="9931" applyNumberFormat="1" applyFont="1" applyFill="1" applyBorder="1" applyAlignment="1">
      <alignment horizontal="right" vertical="center"/>
    </xf>
    <xf numFmtId="170" fontId="183" fillId="10" borderId="174" xfId="9931" applyNumberFormat="1" applyFont="1" applyFill="1" applyBorder="1" applyAlignment="1">
      <alignment horizontal="right" vertical="center"/>
    </xf>
    <xf numFmtId="170" fontId="161" fillId="6" borderId="16" xfId="9931" applyNumberFormat="1" applyFont="1" applyFill="1" applyBorder="1" applyAlignment="1">
      <alignment horizontal="right" vertical="center"/>
    </xf>
    <xf numFmtId="170" fontId="71" fillId="10" borderId="85" xfId="9931" applyNumberFormat="1" applyFont="1" applyFill="1" applyBorder="1" applyAlignment="1">
      <alignment horizontal="right" vertical="center"/>
    </xf>
    <xf numFmtId="170" fontId="71" fillId="10" borderId="130" xfId="9931" applyNumberFormat="1" applyFont="1" applyFill="1" applyBorder="1" applyAlignment="1">
      <alignment horizontal="right" vertical="center"/>
    </xf>
    <xf numFmtId="170" fontId="71" fillId="10" borderId="203" xfId="9931" applyNumberFormat="1" applyFont="1" applyFill="1" applyBorder="1" applyAlignment="1">
      <alignment horizontal="right" vertical="center"/>
    </xf>
    <xf numFmtId="170" fontId="71" fillId="10" borderId="174" xfId="9931" applyNumberFormat="1" applyFont="1" applyFill="1" applyBorder="1" applyAlignment="1">
      <alignment horizontal="right" vertical="center"/>
    </xf>
    <xf numFmtId="170" fontId="71" fillId="10" borderId="3" xfId="9931" applyNumberFormat="1" applyFont="1" applyFill="1" applyBorder="1" applyAlignment="1">
      <alignment horizontal="right" vertical="center"/>
    </xf>
    <xf numFmtId="170" fontId="167" fillId="10" borderId="56" xfId="9931" applyNumberFormat="1" applyFont="1" applyFill="1" applyBorder="1" applyAlignment="1">
      <alignment horizontal="right" vertical="center"/>
    </xf>
    <xf numFmtId="170" fontId="167" fillId="10" borderId="130" xfId="9931" applyNumberFormat="1" applyFont="1" applyFill="1" applyBorder="1" applyAlignment="1">
      <alignment horizontal="right" vertical="center"/>
    </xf>
    <xf numFmtId="170" fontId="71" fillId="0" borderId="203" xfId="9931" applyNumberFormat="1" applyFont="1" applyBorder="1" applyAlignment="1">
      <alignment horizontal="right" vertical="center"/>
    </xf>
    <xf numFmtId="170" fontId="167" fillId="10" borderId="174" xfId="9931" applyNumberFormat="1" applyFont="1" applyFill="1" applyBorder="1" applyAlignment="1">
      <alignment horizontal="right" vertical="center"/>
    </xf>
    <xf numFmtId="170" fontId="232" fillId="0" borderId="16" xfId="9931" applyNumberFormat="1" applyFont="1" applyBorder="1" applyAlignment="1">
      <alignment horizontal="right" vertical="center"/>
    </xf>
    <xf numFmtId="170" fontId="232" fillId="0" borderId="56" xfId="9931" applyNumberFormat="1" applyFont="1" applyBorder="1" applyAlignment="1">
      <alignment horizontal="right" vertical="center"/>
    </xf>
    <xf numFmtId="170" fontId="124" fillId="6" borderId="130" xfId="9931" applyNumberFormat="1" applyFont="1" applyFill="1" applyBorder="1" applyAlignment="1">
      <alignment horizontal="right" vertical="center"/>
    </xf>
    <xf numFmtId="170" fontId="232" fillId="0" borderId="209" xfId="9931" applyNumberFormat="1" applyFont="1" applyBorder="1" applyAlignment="1">
      <alignment horizontal="right" vertical="center"/>
    </xf>
    <xf numFmtId="170" fontId="124" fillId="6" borderId="174" xfId="9931" applyNumberFormat="1" applyFont="1" applyFill="1" applyBorder="1" applyAlignment="1">
      <alignment horizontal="right" vertical="center"/>
    </xf>
    <xf numFmtId="170" fontId="124" fillId="6" borderId="85" xfId="9931" applyNumberFormat="1" applyFont="1" applyFill="1" applyBorder="1" applyAlignment="1">
      <alignment horizontal="right" vertical="center"/>
    </xf>
    <xf numFmtId="170" fontId="161" fillId="6" borderId="59" xfId="9931" applyNumberFormat="1" applyFont="1" applyFill="1" applyBorder="1" applyAlignment="1">
      <alignment horizontal="right" vertical="center"/>
    </xf>
    <xf numFmtId="170" fontId="71" fillId="0" borderId="130" xfId="9931" applyNumberFormat="1" applyFont="1" applyBorder="1" applyAlignment="1">
      <alignment horizontal="right" vertical="center"/>
    </xf>
    <xf numFmtId="170" fontId="71" fillId="0" borderId="174" xfId="9931" applyNumberFormat="1" applyFont="1" applyBorder="1" applyAlignment="1">
      <alignment horizontal="right" vertical="center"/>
    </xf>
    <xf numFmtId="170" fontId="71" fillId="0" borderId="85" xfId="9931" applyNumberFormat="1" applyFont="1" applyBorder="1" applyAlignment="1">
      <alignment horizontal="right" vertical="center"/>
    </xf>
    <xf numFmtId="170" fontId="71" fillId="0" borderId="130" xfId="9931" applyNumberFormat="1" applyFont="1" applyBorder="1" applyAlignment="1">
      <alignment vertical="center"/>
    </xf>
    <xf numFmtId="170" fontId="71" fillId="0" borderId="174" xfId="9931" applyNumberFormat="1" applyFont="1" applyBorder="1" applyAlignment="1">
      <alignment vertical="center"/>
    </xf>
    <xf numFmtId="170" fontId="71" fillId="0" borderId="85" xfId="9931" applyNumberFormat="1" applyFont="1" applyBorder="1" applyAlignment="1">
      <alignment vertical="center"/>
    </xf>
    <xf numFmtId="170" fontId="71" fillId="0" borderId="203" xfId="9931" applyNumberFormat="1" applyFont="1" applyBorder="1" applyAlignment="1">
      <alignment vertical="center"/>
    </xf>
    <xf numFmtId="170" fontId="232" fillId="0" borderId="56" xfId="9931" applyNumberFormat="1" applyFont="1" applyBorder="1" applyAlignment="1">
      <alignment vertical="center"/>
    </xf>
    <xf numFmtId="170" fontId="71" fillId="0" borderId="130" xfId="9931" applyNumberFormat="1" applyFont="1" applyBorder="1" applyAlignment="1">
      <alignment horizontal="center" vertical="center"/>
    </xf>
    <xf numFmtId="170" fontId="232" fillId="0" borderId="209" xfId="9931" applyNumberFormat="1" applyFont="1" applyBorder="1" applyAlignment="1">
      <alignment vertical="center"/>
    </xf>
    <xf numFmtId="170" fontId="71" fillId="0" borderId="174" xfId="9931" applyNumberFormat="1" applyFont="1" applyBorder="1" applyAlignment="1">
      <alignment horizontal="center" vertical="center"/>
    </xf>
    <xf numFmtId="170" fontId="232" fillId="0" borderId="16" xfId="9931" applyNumberFormat="1" applyFont="1" applyBorder="1" applyAlignment="1">
      <alignment vertical="center"/>
    </xf>
    <xf numFmtId="170" fontId="71" fillId="0" borderId="85" xfId="9931" applyNumberFormat="1" applyFont="1" applyBorder="1" applyAlignment="1">
      <alignment horizontal="center" vertical="center"/>
    </xf>
    <xf numFmtId="170" fontId="71" fillId="0" borderId="203" xfId="9931" applyNumberFormat="1" applyFont="1" applyBorder="1" applyAlignment="1">
      <alignment horizontal="center" vertical="center"/>
    </xf>
    <xf numFmtId="170" fontId="232" fillId="0" borderId="3" xfId="9931" applyNumberFormat="1" applyFont="1" applyBorder="1" applyAlignment="1">
      <alignment horizontal="right" vertical="center"/>
    </xf>
    <xf numFmtId="170" fontId="232" fillId="0" borderId="3" xfId="9931" applyNumberFormat="1" applyFont="1" applyBorder="1" applyAlignment="1">
      <alignment vertical="center"/>
    </xf>
    <xf numFmtId="171" fontId="71" fillId="0" borderId="12" xfId="0" applyNumberFormat="1" applyFont="1" applyBorder="1"/>
    <xf numFmtId="168" fontId="84" fillId="2" borderId="5" xfId="9859" applyFont="1" applyFill="1" applyBorder="1" applyAlignment="1">
      <alignment horizontal="center" vertical="center"/>
    </xf>
    <xf numFmtId="168" fontId="84" fillId="2" borderId="65" xfId="9859" applyFont="1" applyFill="1" applyBorder="1" applyAlignment="1">
      <alignment horizontal="center" vertical="center"/>
    </xf>
    <xf numFmtId="168" fontId="84" fillId="2" borderId="6" xfId="9859" applyFont="1" applyFill="1" applyBorder="1" applyAlignment="1">
      <alignment horizontal="center" vertical="center"/>
    </xf>
    <xf numFmtId="168" fontId="84" fillId="2" borderId="156" xfId="9859" applyFont="1" applyFill="1" applyBorder="1" applyAlignment="1">
      <alignment horizontal="center" vertical="center"/>
    </xf>
    <xf numFmtId="168" fontId="84" fillId="2" borderId="182" xfId="9859" applyFont="1" applyFill="1" applyBorder="1" applyAlignment="1">
      <alignment horizontal="center" vertical="center"/>
    </xf>
    <xf numFmtId="0" fontId="84" fillId="2" borderId="83" xfId="24486" applyFont="1" applyFill="1" applyBorder="1" applyAlignment="1">
      <alignment horizontal="center" vertical="center" wrapText="1"/>
    </xf>
    <xf numFmtId="168" fontId="84" fillId="2" borderId="66" xfId="9859" applyFont="1" applyFill="1" applyBorder="1" applyAlignment="1">
      <alignment horizontal="center" vertical="center"/>
    </xf>
    <xf numFmtId="168" fontId="84" fillId="2" borderId="155" xfId="9859" applyFont="1" applyFill="1" applyBorder="1" applyAlignment="1">
      <alignment horizontal="center" vertical="center"/>
    </xf>
    <xf numFmtId="0" fontId="69" fillId="9" borderId="0" xfId="0" applyFont="1" applyFill="1" applyAlignment="1">
      <alignment vertical="center"/>
    </xf>
    <xf numFmtId="2" fontId="66" fillId="9" borderId="161" xfId="0" applyNumberFormat="1" applyFont="1" applyFill="1" applyBorder="1" applyAlignment="1">
      <alignment horizontal="center" vertical="center"/>
    </xf>
    <xf numFmtId="179" fontId="0" fillId="2" borderId="0" xfId="12401" applyNumberFormat="1" applyFont="1" applyFill="1"/>
    <xf numFmtId="3" fontId="230" fillId="0" borderId="0" xfId="0" applyNumberFormat="1" applyFont="1"/>
    <xf numFmtId="0" fontId="71" fillId="2" borderId="182" xfId="126" applyFont="1" applyFill="1" applyBorder="1" applyAlignment="1">
      <alignment horizontal="centerContinuous" vertical="center" wrapText="1"/>
    </xf>
    <xf numFmtId="0" fontId="131" fillId="2" borderId="6" xfId="126" applyFont="1" applyFill="1" applyBorder="1" applyAlignment="1">
      <alignment horizontal="center" vertical="center" wrapText="1"/>
    </xf>
    <xf numFmtId="0" fontId="110" fillId="2" borderId="6" xfId="126" applyFont="1" applyFill="1" applyBorder="1" applyAlignment="1">
      <alignment horizontal="centerContinuous" vertical="center" wrapText="1"/>
    </xf>
    <xf numFmtId="170" fontId="103" fillId="4" borderId="36" xfId="126" applyNumberFormat="1" applyFont="1" applyFill="1" applyBorder="1"/>
    <xf numFmtId="3" fontId="103" fillId="7" borderId="0" xfId="126" applyNumberFormat="1" applyFont="1" applyFill="1"/>
    <xf numFmtId="3" fontId="110" fillId="7" borderId="0" xfId="126" applyNumberFormat="1" applyFont="1" applyFill="1"/>
    <xf numFmtId="170" fontId="124" fillId="6" borderId="2" xfId="0" applyNumberFormat="1" applyFont="1" applyFill="1" applyBorder="1"/>
    <xf numFmtId="4" fontId="131" fillId="2" borderId="182" xfId="126" applyNumberFormat="1" applyFont="1" applyFill="1" applyBorder="1" applyAlignment="1">
      <alignment horizontal="center" vertical="center" wrapText="1"/>
    </xf>
    <xf numFmtId="4" fontId="71" fillId="2" borderId="182" xfId="126" applyNumberFormat="1" applyFont="1" applyFill="1" applyBorder="1" applyAlignment="1">
      <alignment horizontal="centerContinuous" vertical="center" wrapText="1"/>
    </xf>
    <xf numFmtId="4" fontId="110" fillId="2" borderId="182" xfId="126" applyNumberFormat="1" applyFont="1" applyFill="1" applyBorder="1" applyAlignment="1">
      <alignment horizontal="centerContinuous" vertical="center" wrapText="1"/>
    </xf>
    <xf numFmtId="4" fontId="84" fillId="2" borderId="182" xfId="126" applyNumberFormat="1" applyFont="1" applyFill="1" applyBorder="1" applyAlignment="1">
      <alignment horizontal="center" vertical="center"/>
    </xf>
    <xf numFmtId="4" fontId="84" fillId="2" borderId="14" xfId="126" quotePrefix="1" applyNumberFormat="1" applyFont="1" applyFill="1" applyBorder="1" applyAlignment="1">
      <alignment horizontal="center" vertical="center" wrapText="1"/>
    </xf>
    <xf numFmtId="4" fontId="103" fillId="4" borderId="10" xfId="126" applyNumberFormat="1" applyFont="1" applyFill="1" applyBorder="1"/>
    <xf numFmtId="4" fontId="110" fillId="4" borderId="57" xfId="126" applyNumberFormat="1" applyFont="1" applyFill="1" applyBorder="1"/>
    <xf numFmtId="4" fontId="103" fillId="7" borderId="57" xfId="126" applyNumberFormat="1" applyFont="1" applyFill="1" applyBorder="1"/>
    <xf numFmtId="4" fontId="110" fillId="7" borderId="57" xfId="126" applyNumberFormat="1" applyFont="1" applyFill="1" applyBorder="1"/>
    <xf numFmtId="170" fontId="124" fillId="6" borderId="57" xfId="0" applyNumberFormat="1" applyFont="1" applyFill="1" applyBorder="1"/>
    <xf numFmtId="0" fontId="87" fillId="2" borderId="19" xfId="126" applyFont="1" applyFill="1" applyBorder="1" applyAlignment="1">
      <alignment horizontal="centerContinuous" vertical="center"/>
    </xf>
    <xf numFmtId="0" fontId="131" fillId="2" borderId="7" xfId="126" applyFont="1" applyFill="1" applyBorder="1" applyAlignment="1">
      <alignment horizontal="center" vertical="center" wrapText="1"/>
    </xf>
    <xf numFmtId="3" fontId="103" fillId="7" borderId="3" xfId="126" applyNumberFormat="1" applyFont="1" applyFill="1" applyBorder="1"/>
    <xf numFmtId="3" fontId="110" fillId="7" borderId="3" xfId="126" applyNumberFormat="1" applyFont="1" applyFill="1" applyBorder="1"/>
    <xf numFmtId="170" fontId="161" fillId="6" borderId="3" xfId="0" applyNumberFormat="1" applyFont="1" applyFill="1" applyBorder="1"/>
    <xf numFmtId="0" fontId="84" fillId="2" borderId="62" xfId="0" applyFont="1" applyFill="1" applyBorder="1" applyAlignment="1">
      <alignment horizontal="center" vertical="center"/>
    </xf>
    <xf numFmtId="0" fontId="84" fillId="2" borderId="132" xfId="0" applyFont="1" applyFill="1" applyBorder="1" applyAlignment="1">
      <alignment horizontal="center" vertical="center" wrapText="1"/>
    </xf>
    <xf numFmtId="43" fontId="71" fillId="69" borderId="31" xfId="0" applyNumberFormat="1" applyFont="1" applyFill="1" applyBorder="1" applyAlignment="1">
      <alignment horizontal="centerContinuous"/>
    </xf>
    <xf numFmtId="43" fontId="84" fillId="69" borderId="184" xfId="0" applyNumberFormat="1" applyFont="1" applyFill="1" applyBorder="1" applyAlignment="1">
      <alignment horizontal="centerContinuous" vertical="center" wrapText="1"/>
    </xf>
    <xf numFmtId="43" fontId="71" fillId="69" borderId="184" xfId="0" applyNumberFormat="1" applyFont="1" applyFill="1" applyBorder="1"/>
    <xf numFmtId="43" fontId="71" fillId="69" borderId="184" xfId="0" applyNumberFormat="1" applyFont="1" applyFill="1" applyBorder="1" applyAlignment="1">
      <alignment horizontal="center" vertical="center" wrapText="1"/>
    </xf>
    <xf numFmtId="43" fontId="71" fillId="69" borderId="184" xfId="0" applyNumberFormat="1" applyFont="1" applyFill="1" applyBorder="1" applyAlignment="1">
      <alignment horizontal="centerContinuous" vertical="center" wrapText="1"/>
    </xf>
    <xf numFmtId="43" fontId="84" fillId="2" borderId="184" xfId="0" applyNumberFormat="1" applyFont="1" applyFill="1" applyBorder="1" applyAlignment="1">
      <alignment horizontal="center" vertical="center"/>
    </xf>
    <xf numFmtId="43" fontId="84" fillId="69" borderId="28" xfId="0" applyNumberFormat="1" applyFont="1" applyFill="1" applyBorder="1" applyAlignment="1">
      <alignment horizontal="center"/>
    </xf>
    <xf numFmtId="43" fontId="227" fillId="70" borderId="12" xfId="0" applyNumberFormat="1" applyFont="1" applyFill="1" applyBorder="1"/>
    <xf numFmtId="43" fontId="228" fillId="70" borderId="58" xfId="0" applyNumberFormat="1" applyFont="1" applyFill="1" applyBorder="1"/>
    <xf numFmtId="43" fontId="229" fillId="71" borderId="58" xfId="0" applyNumberFormat="1" applyFont="1" applyFill="1" applyBorder="1"/>
    <xf numFmtId="43" fontId="228" fillId="0" borderId="58" xfId="0" applyNumberFormat="1" applyFont="1" applyBorder="1"/>
    <xf numFmtId="43" fontId="71" fillId="0" borderId="58" xfId="0" applyNumberFormat="1" applyFont="1" applyBorder="1"/>
    <xf numFmtId="179" fontId="307" fillId="3" borderId="113" xfId="12401" applyNumberFormat="1" applyFont="1" applyFill="1" applyBorder="1"/>
    <xf numFmtId="179" fontId="300" fillId="0" borderId="85" xfId="12401" applyNumberFormat="1" applyFont="1" applyBorder="1"/>
    <xf numFmtId="179" fontId="307" fillId="3" borderId="98" xfId="12401" applyNumberFormat="1" applyFont="1" applyFill="1" applyBorder="1"/>
    <xf numFmtId="0" fontId="71" fillId="0" borderId="184" xfId="24481" applyFont="1" applyBorder="1" applyAlignment="1">
      <alignment horizontal="centerContinuous" vertical="center" wrapText="1"/>
    </xf>
    <xf numFmtId="0" fontId="84" fillId="7" borderId="130" xfId="13" applyFont="1" applyFill="1" applyBorder="1" applyAlignment="1">
      <alignment horizontal="center" wrapText="1"/>
    </xf>
    <xf numFmtId="179" fontId="307" fillId="3" borderId="33" xfId="12401" applyNumberFormat="1" applyFont="1" applyFill="1" applyBorder="1"/>
    <xf numFmtId="179" fontId="232" fillId="0" borderId="0" xfId="12401" applyNumberFormat="1" applyFont="1" applyBorder="1"/>
    <xf numFmtId="179" fontId="300" fillId="0" borderId="0" xfId="12401" applyNumberFormat="1" applyFont="1" applyBorder="1"/>
    <xf numFmtId="179" fontId="300" fillId="0" borderId="56" xfId="12401" applyNumberFormat="1" applyFont="1" applyBorder="1"/>
    <xf numFmtId="179" fontId="232" fillId="0" borderId="85" xfId="12401" applyNumberFormat="1" applyFont="1" applyBorder="1"/>
    <xf numFmtId="179" fontId="307" fillId="3" borderId="10" xfId="12401" applyNumberFormat="1" applyFont="1" applyFill="1" applyBorder="1"/>
    <xf numFmtId="179" fontId="300" fillId="0" borderId="16" xfId="12401" applyNumberFormat="1" applyFont="1" applyBorder="1"/>
    <xf numFmtId="179" fontId="300" fillId="0" borderId="57" xfId="12401" applyNumberFormat="1" applyFont="1" applyBorder="1"/>
    <xf numFmtId="0" fontId="71" fillId="2" borderId="0" xfId="13" applyFont="1" applyFill="1" applyAlignment="1">
      <alignment horizontal="centerContinuous" vertical="center"/>
    </xf>
    <xf numFmtId="0" fontId="71" fillId="2" borderId="3" xfId="13" applyFont="1" applyFill="1" applyBorder="1" applyAlignment="1">
      <alignment vertical="center"/>
    </xf>
    <xf numFmtId="0" fontId="71" fillId="0" borderId="61" xfId="24481" applyFont="1" applyBorder="1" applyAlignment="1">
      <alignment horizontal="centerContinuous" vertical="center" wrapText="1"/>
    </xf>
    <xf numFmtId="0" fontId="71" fillId="0" borderId="7" xfId="13" applyFont="1" applyBorder="1" applyAlignment="1">
      <alignment horizontal="centerContinuous" vertical="center" wrapText="1"/>
    </xf>
    <xf numFmtId="0" fontId="108" fillId="2" borderId="153" xfId="13" applyFont="1" applyFill="1" applyBorder="1" applyAlignment="1">
      <alignment horizontal="centerContinuous" vertical="center" wrapText="1"/>
    </xf>
    <xf numFmtId="0" fontId="108" fillId="2" borderId="7" xfId="13" applyFont="1" applyFill="1" applyBorder="1" applyAlignment="1">
      <alignment horizontal="centerContinuous" vertical="center" wrapText="1"/>
    </xf>
    <xf numFmtId="179" fontId="102" fillId="2" borderId="7" xfId="12405" applyNumberFormat="1" applyFont="1" applyFill="1" applyBorder="1" applyAlignment="1">
      <alignment horizontal="center" vertical="center"/>
    </xf>
    <xf numFmtId="0" fontId="84" fillId="2" borderId="94" xfId="13" applyFont="1" applyFill="1" applyBorder="1" applyAlignment="1">
      <alignment horizontal="left" vertical="center" wrapText="1"/>
    </xf>
    <xf numFmtId="0" fontId="84" fillId="2" borderId="22" xfId="13" applyFont="1" applyFill="1" applyBorder="1" applyAlignment="1">
      <alignment horizontal="centerContinuous" vertical="center" wrapText="1"/>
    </xf>
    <xf numFmtId="170" fontId="71" fillId="7" borderId="3" xfId="24481" applyNumberFormat="1" applyFont="1" applyFill="1" applyBorder="1"/>
    <xf numFmtId="179" fontId="232" fillId="0" borderId="95" xfId="12401" applyNumberFormat="1" applyFont="1" applyBorder="1"/>
    <xf numFmtId="179" fontId="307" fillId="3" borderId="12" xfId="12401" applyNumberFormat="1" applyFont="1" applyFill="1" applyBorder="1"/>
    <xf numFmtId="179" fontId="232" fillId="0" borderId="58" xfId="12401" applyNumberFormat="1" applyFont="1" applyBorder="1"/>
    <xf numFmtId="179" fontId="300" fillId="0" borderId="95" xfId="12401" applyNumberFormat="1" applyFont="1" applyBorder="1"/>
    <xf numFmtId="179" fontId="300" fillId="0" borderId="58" xfId="12401" applyNumberFormat="1" applyFont="1" applyBorder="1"/>
    <xf numFmtId="171" fontId="66" fillId="9" borderId="0" xfId="0" applyNumberFormat="1" applyFont="1" applyFill="1"/>
    <xf numFmtId="170" fontId="303" fillId="0" borderId="0" xfId="0" applyNumberFormat="1" applyFont="1"/>
    <xf numFmtId="170" fontId="303" fillId="0" borderId="3" xfId="0" applyNumberFormat="1" applyFont="1" applyBorder="1"/>
    <xf numFmtId="10" fontId="222" fillId="0" borderId="202" xfId="0" applyNumberFormat="1" applyFont="1" applyBorder="1"/>
    <xf numFmtId="10" fontId="71" fillId="0" borderId="202" xfId="0" applyNumberFormat="1" applyFont="1" applyBorder="1"/>
    <xf numFmtId="4" fontId="71" fillId="2" borderId="0" xfId="126" applyNumberFormat="1" applyFont="1" applyFill="1"/>
    <xf numFmtId="170" fontId="222" fillId="0" borderId="95" xfId="0" applyNumberFormat="1" applyFont="1" applyBorder="1"/>
    <xf numFmtId="9" fontId="71" fillId="0" borderId="56" xfId="12401" applyFont="1" applyFill="1" applyBorder="1"/>
    <xf numFmtId="223" fontId="71" fillId="0" borderId="56" xfId="12401" applyNumberFormat="1" applyFont="1" applyFill="1" applyBorder="1" applyAlignment="1"/>
    <xf numFmtId="9" fontId="103" fillId="3" borderId="33" xfId="12401" applyFont="1" applyFill="1" applyBorder="1" applyAlignment="1"/>
    <xf numFmtId="9" fontId="103" fillId="3" borderId="78" xfId="12401" applyFont="1" applyFill="1" applyBorder="1" applyAlignment="1"/>
    <xf numFmtId="9" fontId="71" fillId="0" borderId="56" xfId="12401" applyFont="1" applyFill="1" applyBorder="1" applyAlignment="1"/>
    <xf numFmtId="9" fontId="71" fillId="0" borderId="130" xfId="1471" applyFont="1" applyFill="1" applyBorder="1"/>
    <xf numFmtId="9" fontId="232" fillId="0" borderId="105" xfId="1471" applyFont="1" applyFill="1" applyBorder="1" applyAlignment="1"/>
    <xf numFmtId="9" fontId="232" fillId="0" borderId="174" xfId="1471" applyFont="1" applyBorder="1"/>
    <xf numFmtId="179" fontId="84" fillId="2" borderId="82" xfId="12401" quotePrefix="1" applyNumberFormat="1" applyFont="1" applyFill="1" applyBorder="1" applyAlignment="1">
      <alignment horizontal="center" vertical="center" wrapText="1"/>
    </xf>
    <xf numFmtId="179" fontId="84" fillId="2" borderId="21" xfId="12401" quotePrefix="1" applyNumberFormat="1" applyFont="1" applyFill="1" applyBorder="1" applyAlignment="1">
      <alignment horizontal="center" vertical="center" wrapText="1"/>
    </xf>
    <xf numFmtId="9" fontId="84" fillId="2" borderId="21" xfId="13" quotePrefix="1" applyNumberFormat="1" applyFont="1" applyFill="1" applyBorder="1" applyAlignment="1">
      <alignment horizontal="center" vertical="center" wrapText="1"/>
    </xf>
    <xf numFmtId="179" fontId="84" fillId="2" borderId="20" xfId="12401" quotePrefix="1" applyNumberFormat="1" applyFont="1" applyFill="1" applyBorder="1" applyAlignment="1">
      <alignment horizontal="center" vertical="center" wrapText="1"/>
    </xf>
    <xf numFmtId="179" fontId="84" fillId="2" borderId="21" xfId="12401" applyNumberFormat="1" applyFont="1" applyFill="1" applyBorder="1" applyAlignment="1">
      <alignment horizontal="center" vertical="center" wrapText="1"/>
    </xf>
    <xf numFmtId="179" fontId="84" fillId="2" borderId="91" xfId="12401" quotePrefix="1" applyNumberFormat="1" applyFont="1" applyFill="1" applyBorder="1" applyAlignment="1">
      <alignment horizontal="center" vertical="center" wrapText="1"/>
    </xf>
    <xf numFmtId="0" fontId="66" fillId="2" borderId="23" xfId="12" applyFont="1" applyFill="1" applyBorder="1" applyAlignment="1">
      <alignment horizontal="center" vertical="center"/>
    </xf>
    <xf numFmtId="0" fontId="66" fillId="2" borderId="18" xfId="12" applyFont="1" applyFill="1" applyBorder="1" applyAlignment="1">
      <alignment horizontal="center" vertical="center"/>
    </xf>
    <xf numFmtId="0" fontId="108" fillId="2" borderId="181" xfId="12" applyFont="1" applyFill="1" applyBorder="1" applyAlignment="1">
      <alignment horizontal="center" vertical="center" wrapText="1"/>
    </xf>
    <xf numFmtId="0" fontId="71" fillId="2" borderId="181" xfId="12" applyFont="1" applyFill="1" applyBorder="1" applyAlignment="1">
      <alignment horizontal="center" vertical="center"/>
    </xf>
    <xf numFmtId="4" fontId="124" fillId="6" borderId="11" xfId="14" applyNumberFormat="1" applyFont="1" applyFill="1" applyBorder="1" applyAlignment="1">
      <alignment horizontal="right"/>
    </xf>
    <xf numFmtId="4" fontId="304" fillId="0" borderId="56" xfId="14" applyNumberFormat="1" applyFont="1" applyBorder="1" applyAlignment="1">
      <alignment horizontal="right"/>
    </xf>
    <xf numFmtId="179" fontId="71" fillId="2" borderId="0" xfId="12401" applyNumberFormat="1" applyFont="1" applyFill="1"/>
    <xf numFmtId="3" fontId="71" fillId="0" borderId="202" xfId="0" applyNumberFormat="1" applyFont="1" applyBorder="1"/>
    <xf numFmtId="10" fontId="0" fillId="9" borderId="0" xfId="12401" applyNumberFormat="1" applyFont="1" applyFill="1"/>
    <xf numFmtId="10" fontId="0" fillId="9" borderId="0" xfId="0" applyNumberFormat="1" applyFill="1"/>
    <xf numFmtId="0" fontId="84" fillId="2" borderId="18" xfId="12" applyFont="1" applyFill="1" applyBorder="1" applyAlignment="1">
      <alignment horizontal="centerContinuous" vertical="center" wrapText="1"/>
    </xf>
    <xf numFmtId="0" fontId="108" fillId="2" borderId="156" xfId="12" applyFont="1" applyFill="1" applyBorder="1" applyAlignment="1">
      <alignment horizontal="center" vertical="center" wrapText="1"/>
    </xf>
    <xf numFmtId="0" fontId="71" fillId="2" borderId="156" xfId="12" applyFont="1" applyFill="1" applyBorder="1" applyAlignment="1">
      <alignment horizontal="center" vertical="center"/>
    </xf>
    <xf numFmtId="0" fontId="84" fillId="2" borderId="156" xfId="0" applyFont="1" applyFill="1" applyBorder="1" applyAlignment="1">
      <alignment horizontal="center" vertical="center"/>
    </xf>
    <xf numFmtId="0" fontId="66" fillId="2" borderId="91" xfId="12" applyFont="1" applyFill="1" applyBorder="1" applyAlignment="1">
      <alignment horizontal="center" vertical="center" wrapText="1"/>
    </xf>
    <xf numFmtId="4" fontId="124" fillId="6" borderId="100" xfId="14" applyNumberFormat="1" applyFont="1" applyFill="1" applyBorder="1" applyAlignment="1">
      <alignment horizontal="right"/>
    </xf>
    <xf numFmtId="4" fontId="71" fillId="0" borderId="130" xfId="14" applyNumberFormat="1" applyFont="1" applyBorder="1" applyAlignment="1">
      <alignment horizontal="right"/>
    </xf>
    <xf numFmtId="4" fontId="304" fillId="0" borderId="130" xfId="14" applyNumberFormat="1" applyFont="1" applyBorder="1" applyAlignment="1">
      <alignment horizontal="right"/>
    </xf>
    <xf numFmtId="4" fontId="71" fillId="0" borderId="130" xfId="14" applyNumberFormat="1" applyFont="1" applyBorder="1"/>
    <xf numFmtId="4" fontId="71" fillId="0" borderId="85" xfId="14" applyNumberFormat="1" applyFont="1" applyBorder="1"/>
    <xf numFmtId="3" fontId="0" fillId="9" borderId="0" xfId="0" applyNumberFormat="1" applyFill="1"/>
    <xf numFmtId="0" fontId="80" fillId="2" borderId="210" xfId="0" applyFont="1" applyFill="1" applyBorder="1" applyAlignment="1">
      <alignment horizontal="left" vertical="center"/>
    </xf>
    <xf numFmtId="170" fontId="232" fillId="0" borderId="202" xfId="0" applyNumberFormat="1" applyFont="1" applyBorder="1"/>
    <xf numFmtId="170" fontId="109" fillId="0" borderId="202" xfId="0" applyNumberFormat="1" applyFont="1" applyBorder="1"/>
    <xf numFmtId="171" fontId="103" fillId="4" borderId="202" xfId="0" applyNumberFormat="1" applyFont="1" applyFill="1" applyBorder="1"/>
    <xf numFmtId="10" fontId="103" fillId="3" borderId="202" xfId="0" applyNumberFormat="1" applyFont="1" applyFill="1" applyBorder="1"/>
    <xf numFmtId="2" fontId="87" fillId="9" borderId="195" xfId="0" applyNumberFormat="1" applyFont="1" applyFill="1" applyBorder="1" applyAlignment="1">
      <alignment horizontal="center"/>
    </xf>
    <xf numFmtId="10" fontId="71" fillId="9" borderId="189" xfId="12401" applyNumberFormat="1" applyFont="1" applyFill="1" applyBorder="1" applyAlignment="1">
      <alignment horizontal="centerContinuous" vertical="center" wrapText="1"/>
    </xf>
    <xf numFmtId="2" fontId="131" fillId="0" borderId="202" xfId="0" applyNumberFormat="1" applyFont="1" applyBorder="1" applyAlignment="1">
      <alignment horizontal="right"/>
    </xf>
    <xf numFmtId="2" fontId="71" fillId="0" borderId="202" xfId="12401" applyNumberFormat="1" applyFont="1" applyFill="1" applyBorder="1" applyAlignment="1"/>
    <xf numFmtId="2" fontId="71" fillId="0" borderId="211" xfId="12401" applyNumberFormat="1" applyFont="1" applyFill="1" applyBorder="1" applyAlignment="1"/>
    <xf numFmtId="2" fontId="71" fillId="0" borderId="202" xfId="12401" applyNumberFormat="1" applyFont="1" applyFill="1" applyBorder="1"/>
    <xf numFmtId="2" fontId="71" fillId="0" borderId="211" xfId="12401" applyNumberFormat="1" applyFont="1" applyFill="1" applyBorder="1"/>
    <xf numFmtId="4" fontId="71" fillId="0" borderId="202" xfId="12401" applyNumberFormat="1" applyFont="1" applyBorder="1"/>
    <xf numFmtId="4" fontId="71" fillId="0" borderId="202" xfId="12401" applyNumberFormat="1" applyFont="1" applyFill="1" applyBorder="1" applyAlignment="1"/>
    <xf numFmtId="171" fontId="109" fillId="0" borderId="202" xfId="0" applyNumberFormat="1" applyFont="1" applyBorder="1"/>
    <xf numFmtId="171" fontId="124" fillId="6" borderId="202" xfId="0" applyNumberFormat="1" applyFont="1" applyFill="1" applyBorder="1" applyAlignment="1">
      <alignment horizontal="right" vertical="center"/>
    </xf>
    <xf numFmtId="171" fontId="71" fillId="0" borderId="202" xfId="0" applyNumberFormat="1" applyFont="1" applyBorder="1" applyAlignment="1">
      <alignment horizontal="right" vertical="center"/>
    </xf>
    <xf numFmtId="171" fontId="71" fillId="0" borderId="202" xfId="0" applyNumberFormat="1" applyFont="1" applyBorder="1"/>
    <xf numFmtId="170" fontId="104" fillId="4" borderId="202" xfId="0" applyNumberFormat="1" applyFont="1" applyFill="1" applyBorder="1"/>
    <xf numFmtId="170" fontId="113" fillId="3" borderId="202" xfId="0" applyNumberFormat="1" applyFont="1" applyFill="1" applyBorder="1"/>
    <xf numFmtId="170" fontId="71" fillId="0" borderId="202" xfId="0" applyNumberFormat="1" applyFont="1" applyBorder="1"/>
    <xf numFmtId="3" fontId="109" fillId="7" borderId="202" xfId="16" applyNumberFormat="1" applyFont="1" applyFill="1" applyBorder="1"/>
    <xf numFmtId="3" fontId="109" fillId="0" borderId="202" xfId="16" applyNumberFormat="1" applyFont="1" applyBorder="1"/>
    <xf numFmtId="3" fontId="124" fillId="3" borderId="202" xfId="16" applyNumberFormat="1" applyFont="1" applyFill="1" applyBorder="1"/>
    <xf numFmtId="3" fontId="71" fillId="0" borderId="202" xfId="16" applyNumberFormat="1" applyFont="1" applyBorder="1"/>
    <xf numFmtId="3" fontId="222" fillId="0" borderId="202" xfId="16" applyNumberFormat="1" applyFont="1" applyBorder="1"/>
    <xf numFmtId="172" fontId="124" fillId="6" borderId="202" xfId="126" applyNumberFormat="1" applyFont="1" applyFill="1" applyBorder="1"/>
    <xf numFmtId="172" fontId="71" fillId="0" borderId="202" xfId="126" applyNumberFormat="1" applyFont="1" applyBorder="1"/>
    <xf numFmtId="10" fontId="1" fillId="9" borderId="0" xfId="12401" applyNumberFormat="1" applyFont="1" applyFill="1"/>
    <xf numFmtId="172" fontId="71" fillId="7" borderId="202" xfId="11" applyNumberFormat="1" applyFont="1" applyFill="1" applyBorder="1"/>
    <xf numFmtId="9" fontId="71" fillId="0" borderId="202" xfId="1471" applyFont="1" applyFill="1" applyBorder="1" applyAlignment="1"/>
    <xf numFmtId="9" fontId="71" fillId="0" borderId="202" xfId="12401" applyFont="1" applyFill="1" applyBorder="1" applyAlignment="1"/>
    <xf numFmtId="9" fontId="71" fillId="0" borderId="202" xfId="12401" applyFont="1" applyFill="1" applyBorder="1"/>
    <xf numFmtId="9" fontId="71" fillId="0" borderId="202" xfId="1471" applyFont="1" applyFill="1" applyBorder="1"/>
    <xf numFmtId="223" fontId="71" fillId="0" borderId="202" xfId="12401" applyNumberFormat="1" applyFont="1" applyFill="1" applyBorder="1" applyAlignment="1"/>
    <xf numFmtId="170" fontId="71" fillId="7" borderId="202" xfId="0" applyNumberFormat="1" applyFont="1" applyFill="1" applyBorder="1"/>
    <xf numFmtId="0" fontId="84" fillId="7" borderId="202" xfId="16" applyFont="1" applyFill="1" applyBorder="1" applyAlignment="1">
      <alignment horizontal="center" vertical="center" wrapText="1"/>
    </xf>
    <xf numFmtId="170" fontId="103" fillId="7" borderId="202" xfId="0" applyNumberFormat="1" applyFont="1" applyFill="1" applyBorder="1"/>
    <xf numFmtId="170" fontId="103" fillId="3" borderId="202" xfId="0" applyNumberFormat="1" applyFont="1" applyFill="1" applyBorder="1"/>
    <xf numFmtId="170" fontId="109" fillId="0" borderId="202" xfId="16" applyNumberFormat="1" applyFont="1" applyBorder="1"/>
    <xf numFmtId="170" fontId="209" fillId="0" borderId="202" xfId="16" applyNumberFormat="1" applyFont="1" applyBorder="1"/>
    <xf numFmtId="170" fontId="124" fillId="6" borderId="202" xfId="16" applyNumberFormat="1" applyFont="1" applyFill="1" applyBorder="1"/>
    <xf numFmtId="170" fontId="71" fillId="0" borderId="202" xfId="16" applyNumberFormat="1" applyFont="1" applyBorder="1"/>
    <xf numFmtId="0" fontId="131" fillId="7" borderId="202" xfId="18289" applyFont="1" applyFill="1" applyBorder="1"/>
    <xf numFmtId="3" fontId="124" fillId="6" borderId="202" xfId="18289" applyNumberFormat="1" applyFont="1" applyFill="1" applyBorder="1"/>
    <xf numFmtId="3" fontId="131" fillId="0" borderId="202" xfId="18289" applyNumberFormat="1" applyFont="1" applyBorder="1"/>
    <xf numFmtId="168" fontId="71" fillId="8" borderId="202" xfId="9859" applyFont="1" applyFill="1" applyBorder="1" applyAlignment="1"/>
    <xf numFmtId="184" fontId="124" fillId="6" borderId="202" xfId="9859" applyNumberFormat="1" applyFont="1" applyFill="1" applyBorder="1" applyAlignment="1"/>
    <xf numFmtId="184" fontId="71" fillId="0" borderId="202" xfId="9859" applyNumberFormat="1" applyFont="1" applyFill="1" applyBorder="1" applyAlignment="1"/>
    <xf numFmtId="170" fontId="124" fillId="10" borderId="202" xfId="24486" applyNumberFormat="1" applyFont="1" applyFill="1" applyBorder="1"/>
    <xf numFmtId="170" fontId="124" fillId="6" borderId="202" xfId="24486" applyNumberFormat="1" applyFont="1" applyFill="1" applyBorder="1"/>
    <xf numFmtId="170" fontId="71" fillId="10" borderId="202" xfId="24486" applyNumberFormat="1" applyFont="1" applyFill="1" applyBorder="1"/>
    <xf numFmtId="170" fontId="71" fillId="0" borderId="202" xfId="24486" applyNumberFormat="1" applyFont="1" applyBorder="1"/>
    <xf numFmtId="170" fontId="71" fillId="0" borderId="202" xfId="12400" applyNumberFormat="1" applyFont="1" applyBorder="1"/>
    <xf numFmtId="170" fontId="232" fillId="0" borderId="202" xfId="12400" applyNumberFormat="1" applyFont="1" applyBorder="1"/>
    <xf numFmtId="170" fontId="109" fillId="0" borderId="202" xfId="12400" applyNumberFormat="1" applyFont="1" applyBorder="1"/>
    <xf numFmtId="171" fontId="103" fillId="3" borderId="202" xfId="12400" applyNumberFormat="1" applyFont="1" applyFill="1" applyBorder="1"/>
    <xf numFmtId="171" fontId="71" fillId="4" borderId="202" xfId="12400" applyNumberFormat="1" applyFont="1" applyFill="1" applyBorder="1"/>
    <xf numFmtId="171" fontId="91" fillId="4" borderId="202" xfId="12400" applyNumberFormat="1" applyFont="1" applyFill="1" applyBorder="1"/>
    <xf numFmtId="171" fontId="161" fillId="3" borderId="202" xfId="0" applyNumberFormat="1" applyFont="1" applyFill="1" applyBorder="1"/>
    <xf numFmtId="171" fontId="114" fillId="4" borderId="202" xfId="12400" applyNumberFormat="1" applyFont="1" applyFill="1" applyBorder="1"/>
    <xf numFmtId="171" fontId="71" fillId="0" borderId="202" xfId="12400" applyNumberFormat="1" applyFont="1" applyBorder="1"/>
    <xf numFmtId="171" fontId="232" fillId="0" borderId="202" xfId="0" applyNumberFormat="1" applyFont="1" applyBorder="1"/>
    <xf numFmtId="171" fontId="124" fillId="3" borderId="202" xfId="12400" applyNumberFormat="1" applyFont="1" applyFill="1" applyBorder="1"/>
    <xf numFmtId="171" fontId="109" fillId="0" borderId="202" xfId="12400" applyNumberFormat="1" applyFont="1" applyBorder="1"/>
    <xf numFmtId="171" fontId="104" fillId="4" borderId="202" xfId="12400" applyNumberFormat="1" applyFont="1" applyFill="1" applyBorder="1"/>
    <xf numFmtId="171" fontId="175" fillId="6" borderId="202" xfId="12400" applyNumberFormat="1" applyFont="1" applyFill="1" applyBorder="1"/>
    <xf numFmtId="171" fontId="126" fillId="0" borderId="211" xfId="12400" applyNumberFormat="1" applyFont="1" applyBorder="1"/>
    <xf numFmtId="171" fontId="232" fillId="0" borderId="211" xfId="12400" applyNumberFormat="1" applyFont="1" applyBorder="1"/>
    <xf numFmtId="171" fontId="126" fillId="0" borderId="202" xfId="0" applyNumberFormat="1" applyFont="1" applyBorder="1"/>
    <xf numFmtId="171" fontId="71" fillId="0" borderId="211" xfId="12400" applyNumberFormat="1" applyFont="1" applyBorder="1"/>
    <xf numFmtId="3" fontId="175" fillId="6" borderId="202" xfId="12400" quotePrefix="1" applyNumberFormat="1" applyFont="1" applyFill="1" applyBorder="1" applyAlignment="1">
      <alignment vertical="center" wrapText="1"/>
    </xf>
    <xf numFmtId="3" fontId="109" fillId="0" borderId="202" xfId="12400" quotePrefix="1" applyNumberFormat="1" applyFont="1" applyBorder="1" applyAlignment="1">
      <alignment vertical="center" wrapText="1"/>
    </xf>
    <xf numFmtId="3" fontId="71" fillId="44" borderId="202" xfId="12400" applyNumberFormat="1" applyFont="1" applyFill="1" applyBorder="1" applyAlignment="1">
      <alignment horizontal="right" vertical="center" wrapText="1"/>
    </xf>
    <xf numFmtId="3" fontId="109" fillId="0" borderId="202" xfId="12400" applyNumberFormat="1" applyFont="1" applyBorder="1" applyAlignment="1">
      <alignment vertical="center" wrapText="1"/>
    </xf>
    <xf numFmtId="3" fontId="71" fillId="0" borderId="202" xfId="12400" quotePrefix="1" applyNumberFormat="1" applyFont="1" applyBorder="1" applyAlignment="1">
      <alignment vertical="center" wrapText="1"/>
    </xf>
    <xf numFmtId="0" fontId="71" fillId="0" borderId="202" xfId="12400" quotePrefix="1" applyFont="1" applyBorder="1" applyAlignment="1">
      <alignment vertical="center" wrapText="1"/>
    </xf>
    <xf numFmtId="170" fontId="126" fillId="72" borderId="202" xfId="0" applyNumberFormat="1" applyFont="1" applyFill="1" applyBorder="1"/>
    <xf numFmtId="170" fontId="126" fillId="0" borderId="202" xfId="0" applyNumberFormat="1" applyFont="1" applyBorder="1"/>
    <xf numFmtId="175" fontId="103" fillId="3" borderId="202" xfId="0" applyNumberFormat="1" applyFont="1" applyFill="1" applyBorder="1"/>
    <xf numFmtId="175" fontId="71" fillId="0" borderId="202" xfId="0" applyNumberFormat="1" applyFont="1" applyBorder="1"/>
    <xf numFmtId="0" fontId="71" fillId="0" borderId="202" xfId="0" applyFont="1" applyBorder="1"/>
    <xf numFmtId="175" fontId="109" fillId="0" borderId="202" xfId="0" applyNumberFormat="1" applyFont="1" applyBorder="1"/>
    <xf numFmtId="175" fontId="209" fillId="0" borderId="202" xfId="0" applyNumberFormat="1" applyFont="1" applyBorder="1"/>
    <xf numFmtId="175" fontId="71" fillId="10" borderId="202" xfId="0" applyNumberFormat="1" applyFont="1" applyFill="1" applyBorder="1"/>
    <xf numFmtId="3" fontId="109" fillId="0" borderId="202" xfId="0" applyNumberFormat="1" applyFont="1" applyBorder="1"/>
    <xf numFmtId="4" fontId="109" fillId="0" borderId="202" xfId="0" applyNumberFormat="1" applyFont="1" applyBorder="1"/>
    <xf numFmtId="3" fontId="208" fillId="10" borderId="202" xfId="0" applyNumberFormat="1" applyFont="1" applyFill="1" applyBorder="1"/>
    <xf numFmtId="175" fontId="175" fillId="6" borderId="202" xfId="0" applyNumberFormat="1" applyFont="1" applyFill="1" applyBorder="1"/>
    <xf numFmtId="4" fontId="124" fillId="6" borderId="202" xfId="0" applyNumberFormat="1" applyFont="1" applyFill="1" applyBorder="1"/>
    <xf numFmtId="4" fontId="71" fillId="0" borderId="202" xfId="0" applyNumberFormat="1" applyFont="1" applyBorder="1"/>
    <xf numFmtId="175" fontId="124" fillId="6" borderId="202" xfId="0" applyNumberFormat="1" applyFont="1" applyFill="1" applyBorder="1"/>
    <xf numFmtId="175" fontId="131" fillId="0" borderId="202" xfId="0" applyNumberFormat="1" applyFont="1" applyBorder="1"/>
    <xf numFmtId="175" fontId="71" fillId="0" borderId="202" xfId="0" applyNumberFormat="1" applyFont="1" applyBorder="1" applyAlignment="1">
      <alignment horizontal="right"/>
    </xf>
    <xf numFmtId="0" fontId="84" fillId="4" borderId="202" xfId="0" applyFont="1" applyFill="1" applyBorder="1" applyAlignment="1">
      <alignment horizontal="center"/>
    </xf>
    <xf numFmtId="170" fontId="103" fillId="4" borderId="202" xfId="0" applyNumberFormat="1" applyFont="1" applyFill="1" applyBorder="1"/>
    <xf numFmtId="170" fontId="71" fillId="4" borderId="202" xfId="0" applyNumberFormat="1" applyFont="1" applyFill="1" applyBorder="1"/>
    <xf numFmtId="170" fontId="71" fillId="0" borderId="202" xfId="0" applyNumberFormat="1" applyFont="1" applyBorder="1" applyAlignment="1">
      <alignment horizontal="right"/>
    </xf>
    <xf numFmtId="170" fontId="71" fillId="7" borderId="202" xfId="16" applyNumberFormat="1" applyFont="1" applyFill="1" applyBorder="1" applyAlignment="1">
      <alignment horizontal="right" vertical="center"/>
    </xf>
    <xf numFmtId="175" fontId="71" fillId="0" borderId="202" xfId="16" applyNumberFormat="1" applyFont="1" applyBorder="1"/>
    <xf numFmtId="170" fontId="71" fillId="7" borderId="202" xfId="16" applyNumberFormat="1" applyFont="1" applyFill="1" applyBorder="1" applyAlignment="1">
      <alignment vertical="center"/>
    </xf>
    <xf numFmtId="175" fontId="71" fillId="0" borderId="202" xfId="16" applyNumberFormat="1" applyFont="1" applyBorder="1" applyAlignment="1">
      <alignment vertical="center"/>
    </xf>
    <xf numFmtId="170" fontId="103" fillId="3" borderId="212" xfId="16" applyNumberFormat="1" applyFont="1" applyFill="1" applyBorder="1" applyAlignment="1">
      <alignment vertical="center"/>
    </xf>
    <xf numFmtId="170" fontId="103" fillId="7" borderId="202" xfId="16" applyNumberFormat="1" applyFont="1" applyFill="1" applyBorder="1" applyAlignment="1">
      <alignment vertical="center"/>
    </xf>
    <xf numFmtId="175" fontId="109" fillId="0" borderId="202" xfId="16" applyNumberFormat="1" applyFont="1" applyBorder="1" applyAlignment="1">
      <alignment vertical="center"/>
    </xf>
    <xf numFmtId="170" fontId="124" fillId="6" borderId="202" xfId="16" applyNumberFormat="1" applyFont="1" applyFill="1" applyBorder="1" applyAlignment="1">
      <alignment vertical="center"/>
    </xf>
    <xf numFmtId="170" fontId="71" fillId="0" borderId="202" xfId="16" applyNumberFormat="1" applyFont="1" applyBorder="1" applyAlignment="1">
      <alignment vertical="center"/>
    </xf>
    <xf numFmtId="175" fontId="207" fillId="0" borderId="202" xfId="16" applyNumberFormat="1" applyFont="1" applyBorder="1" applyAlignment="1">
      <alignment vertical="center"/>
    </xf>
    <xf numFmtId="175" fontId="71" fillId="0" borderId="202" xfId="16" quotePrefix="1" applyNumberFormat="1" applyFont="1" applyBorder="1" applyAlignment="1">
      <alignment vertical="center"/>
    </xf>
    <xf numFmtId="170" fontId="167" fillId="44" borderId="202" xfId="16" applyNumberFormat="1" applyFont="1" applyFill="1" applyBorder="1" applyAlignment="1">
      <alignment vertical="center"/>
    </xf>
    <xf numFmtId="3" fontId="71" fillId="0" borderId="202" xfId="16" applyNumberFormat="1" applyFont="1" applyBorder="1" applyAlignment="1">
      <alignment vertical="center"/>
    </xf>
    <xf numFmtId="170" fontId="71" fillId="44" borderId="202" xfId="16" applyNumberFormat="1" applyFont="1" applyFill="1" applyBorder="1" applyAlignment="1">
      <alignment vertical="center"/>
    </xf>
    <xf numFmtId="170" fontId="110" fillId="4" borderId="202" xfId="0" applyNumberFormat="1" applyFont="1" applyFill="1" applyBorder="1"/>
    <xf numFmtId="170" fontId="110" fillId="7" borderId="202" xfId="0" applyNumberFormat="1" applyFont="1" applyFill="1" applyBorder="1"/>
    <xf numFmtId="170" fontId="124" fillId="6" borderId="202" xfId="0" applyNumberFormat="1" applyFont="1" applyFill="1" applyBorder="1"/>
    <xf numFmtId="170" fontId="110" fillId="0" borderId="202" xfId="0" applyNumberFormat="1" applyFont="1" applyBorder="1"/>
    <xf numFmtId="184" fontId="71" fillId="0" borderId="202" xfId="0" applyNumberFormat="1" applyFont="1" applyBorder="1"/>
    <xf numFmtId="175" fontId="71" fillId="4" borderId="202" xfId="0" applyNumberFormat="1" applyFont="1" applyFill="1" applyBorder="1"/>
    <xf numFmtId="3" fontId="103" fillId="3" borderId="202" xfId="0" applyNumberFormat="1" applyFont="1" applyFill="1" applyBorder="1"/>
    <xf numFmtId="3" fontId="71" fillId="0" borderId="202" xfId="13" applyNumberFormat="1" applyFont="1" applyBorder="1"/>
    <xf numFmtId="1" fontId="124" fillId="2" borderId="202" xfId="0" applyNumberFormat="1" applyFont="1" applyFill="1" applyBorder="1" applyAlignment="1">
      <alignment horizontal="center"/>
    </xf>
    <xf numFmtId="1" fontId="87" fillId="2" borderId="202" xfId="0" applyNumberFormat="1" applyFont="1" applyFill="1" applyBorder="1" applyAlignment="1">
      <alignment horizontal="center"/>
    </xf>
    <xf numFmtId="0" fontId="84" fillId="2" borderId="208" xfId="0" applyFont="1" applyFill="1" applyBorder="1" applyAlignment="1">
      <alignment horizontal="center" vertical="center"/>
    </xf>
    <xf numFmtId="171" fontId="71" fillId="10" borderId="202" xfId="0" applyNumberFormat="1" applyFont="1" applyFill="1" applyBorder="1"/>
    <xf numFmtId="171" fontId="103" fillId="3" borderId="202" xfId="0" applyNumberFormat="1" applyFont="1" applyFill="1" applyBorder="1"/>
    <xf numFmtId="171" fontId="109" fillId="4" borderId="202" xfId="0" applyNumberFormat="1" applyFont="1" applyFill="1" applyBorder="1"/>
    <xf numFmtId="171" fontId="71" fillId="7" borderId="202" xfId="0" applyNumberFormat="1" applyFont="1" applyFill="1" applyBorder="1"/>
    <xf numFmtId="218" fontId="71" fillId="0" borderId="202" xfId="24490" applyNumberFormat="1" applyFont="1" applyBorder="1"/>
    <xf numFmtId="218" fontId="109" fillId="0" borderId="202" xfId="24490" applyNumberFormat="1" applyFont="1" applyBorder="1"/>
    <xf numFmtId="218" fontId="124" fillId="6" borderId="202" xfId="24490" applyNumberFormat="1" applyFont="1" applyFill="1" applyBorder="1" applyAlignment="1">
      <alignment horizontal="right"/>
    </xf>
    <xf numFmtId="218" fontId="71" fillId="0" borderId="202" xfId="24490" applyNumberFormat="1" applyFont="1" applyBorder="1" applyAlignment="1">
      <alignment horizontal="right"/>
    </xf>
    <xf numFmtId="171" fontId="109" fillId="7" borderId="202" xfId="0" applyNumberFormat="1" applyFont="1" applyFill="1" applyBorder="1"/>
    <xf numFmtId="3" fontId="103" fillId="3" borderId="202" xfId="0" applyNumberFormat="1" applyFont="1" applyFill="1" applyBorder="1" applyAlignment="1">
      <alignment vertical="center" wrapText="1"/>
    </xf>
    <xf numFmtId="3" fontId="161" fillId="3" borderId="202" xfId="0" applyNumberFormat="1" applyFont="1" applyFill="1" applyBorder="1" applyAlignment="1">
      <alignment vertical="center" wrapText="1"/>
    </xf>
    <xf numFmtId="3" fontId="232" fillId="0" borderId="202" xfId="0" applyNumberFormat="1" applyFont="1" applyBorder="1" applyAlignment="1">
      <alignment vertical="center" wrapText="1"/>
    </xf>
    <xf numFmtId="3" fontId="71" fillId="2" borderId="202" xfId="0" applyNumberFormat="1" applyFont="1" applyFill="1" applyBorder="1"/>
    <xf numFmtId="3" fontId="71" fillId="9" borderId="202" xfId="0" applyNumberFormat="1" applyFont="1" applyFill="1" applyBorder="1"/>
    <xf numFmtId="0" fontId="84" fillId="7" borderId="202" xfId="0" quotePrefix="1" applyFont="1" applyFill="1" applyBorder="1" applyAlignment="1">
      <alignment horizontal="center" vertical="center" wrapText="1"/>
    </xf>
    <xf numFmtId="171" fontId="103" fillId="7" borderId="202" xfId="0" applyNumberFormat="1" applyFont="1" applyFill="1" applyBorder="1"/>
    <xf numFmtId="171" fontId="124" fillId="6" borderId="212" xfId="0" applyNumberFormat="1" applyFont="1" applyFill="1" applyBorder="1"/>
    <xf numFmtId="171" fontId="124" fillId="6" borderId="202" xfId="0" applyNumberFormat="1" applyFont="1" applyFill="1" applyBorder="1"/>
    <xf numFmtId="170" fontId="71" fillId="0" borderId="202" xfId="0" applyNumberFormat="1" applyFont="1" applyBorder="1" applyAlignment="1">
      <alignment horizontal="right" vertical="center"/>
    </xf>
    <xf numFmtId="170" fontId="131" fillId="0" borderId="202" xfId="0" applyNumberFormat="1" applyFont="1" applyBorder="1"/>
    <xf numFmtId="170" fontId="222" fillId="0" borderId="202" xfId="0" applyNumberFormat="1" applyFont="1" applyBorder="1"/>
    <xf numFmtId="170" fontId="103" fillId="3" borderId="202" xfId="0" quotePrefix="1" applyNumberFormat="1" applyFont="1" applyFill="1" applyBorder="1" applyAlignment="1">
      <alignment vertical="center" wrapText="1"/>
    </xf>
    <xf numFmtId="170" fontId="161" fillId="3" borderId="202" xfId="0" quotePrefix="1" applyNumberFormat="1" applyFont="1" applyFill="1" applyBorder="1" applyAlignment="1">
      <alignment vertical="center" wrapText="1"/>
    </xf>
    <xf numFmtId="170" fontId="71" fillId="0" borderId="202" xfId="0" quotePrefix="1" applyNumberFormat="1" applyFont="1" applyBorder="1" applyAlignment="1">
      <alignment vertical="center" wrapText="1"/>
    </xf>
    <xf numFmtId="170" fontId="232" fillId="0" borderId="202" xfId="0" quotePrefix="1" applyNumberFormat="1" applyFont="1" applyBorder="1" applyAlignment="1">
      <alignment vertical="center" wrapText="1"/>
    </xf>
    <xf numFmtId="0" fontId="71" fillId="0" borderId="206" xfId="0" quotePrefix="1" applyFont="1" applyBorder="1" applyAlignment="1">
      <alignment horizontal="center" vertical="center" wrapText="1"/>
    </xf>
    <xf numFmtId="0" fontId="71" fillId="2" borderId="208" xfId="0" applyFont="1" applyFill="1" applyBorder="1" applyAlignment="1">
      <alignment horizontal="center" vertical="center"/>
    </xf>
    <xf numFmtId="0" fontId="71" fillId="2" borderId="208" xfId="0" applyFont="1" applyFill="1" applyBorder="1" applyAlignment="1">
      <alignment horizontal="center" vertical="center" wrapText="1"/>
    </xf>
    <xf numFmtId="3" fontId="71" fillId="8" borderId="202" xfId="0" applyNumberFormat="1" applyFont="1" applyFill="1" applyBorder="1"/>
    <xf numFmtId="3" fontId="127" fillId="6" borderId="202" xfId="0" applyNumberFormat="1" applyFont="1" applyFill="1" applyBorder="1"/>
    <xf numFmtId="0" fontId="84" fillId="7" borderId="202" xfId="13" applyFont="1" applyFill="1" applyBorder="1" applyAlignment="1">
      <alignment horizontal="center" wrapText="1"/>
    </xf>
    <xf numFmtId="170" fontId="124" fillId="6" borderId="202" xfId="24481" applyNumberFormat="1" applyFont="1" applyFill="1" applyBorder="1"/>
    <xf numFmtId="170" fontId="131" fillId="0" borderId="202" xfId="24481" applyNumberFormat="1" applyFont="1" applyBorder="1"/>
    <xf numFmtId="3" fontId="131" fillId="0" borderId="202" xfId="13" applyNumberFormat="1" applyFont="1" applyBorder="1" applyAlignment="1">
      <alignment horizontal="right" vertical="center" wrapText="1"/>
    </xf>
    <xf numFmtId="3" fontId="131" fillId="0" borderId="202" xfId="24483" applyNumberFormat="1" applyFont="1" applyBorder="1" applyAlignment="1">
      <alignment horizontal="right"/>
    </xf>
    <xf numFmtId="170" fontId="303" fillId="0" borderId="202" xfId="24483" applyNumberFormat="1" applyFont="1" applyBorder="1"/>
    <xf numFmtId="170" fontId="71" fillId="0" borderId="202" xfId="24483" applyNumberFormat="1" applyFont="1" applyBorder="1"/>
    <xf numFmtId="0" fontId="71" fillId="2" borderId="202" xfId="12" applyFont="1" applyFill="1" applyBorder="1" applyAlignment="1">
      <alignment horizontal="centerContinuous" vertical="center" wrapText="1"/>
    </xf>
    <xf numFmtId="173" fontId="109" fillId="0" borderId="202" xfId="14" applyNumberFormat="1" applyFont="1" applyBorder="1"/>
    <xf numFmtId="173" fontId="71" fillId="0" borderId="202" xfId="14" applyNumberFormat="1" applyFont="1" applyBorder="1"/>
    <xf numFmtId="173" fontId="131" fillId="0" borderId="202" xfId="14" applyNumberFormat="1" applyFont="1" applyBorder="1"/>
    <xf numFmtId="170" fontId="71" fillId="0" borderId="202" xfId="12401" applyNumberFormat="1" applyFont="1" applyBorder="1"/>
    <xf numFmtId="177" fontId="112" fillId="4" borderId="202" xfId="0" applyNumberFormat="1" applyFont="1" applyFill="1" applyBorder="1"/>
    <xf numFmtId="177" fontId="71" fillId="4" borderId="202" xfId="0" applyNumberFormat="1" applyFont="1" applyFill="1" applyBorder="1"/>
    <xf numFmtId="177" fontId="71" fillId="7" borderId="202" xfId="0" applyNumberFormat="1" applyFont="1" applyFill="1" applyBorder="1"/>
    <xf numFmtId="4" fontId="177" fillId="6" borderId="202" xfId="0" applyNumberFormat="1" applyFont="1" applyFill="1" applyBorder="1" applyAlignment="1">
      <alignment horizontal="right" vertical="center" wrapText="1"/>
    </xf>
    <xf numFmtId="4" fontId="173" fillId="0" borderId="202" xfId="0" applyNumberFormat="1" applyFont="1" applyBorder="1" applyAlignment="1">
      <alignment horizontal="right" vertical="center" wrapText="1"/>
    </xf>
    <xf numFmtId="4" fontId="172" fillId="0" borderId="202" xfId="0" applyNumberFormat="1" applyFont="1" applyBorder="1" applyAlignment="1">
      <alignment horizontal="right" vertical="center" wrapText="1"/>
    </xf>
    <xf numFmtId="172" fontId="103" fillId="4" borderId="202" xfId="13" applyNumberFormat="1" applyFont="1" applyFill="1" applyBorder="1"/>
    <xf numFmtId="10" fontId="71" fillId="4" borderId="202" xfId="13" applyNumberFormat="1" applyFont="1" applyFill="1" applyBorder="1"/>
    <xf numFmtId="4" fontId="175" fillId="3" borderId="202" xfId="13" applyNumberFormat="1" applyFont="1" applyFill="1" applyBorder="1"/>
    <xf numFmtId="2" fontId="109" fillId="0" borderId="202" xfId="13" applyNumberFormat="1" applyFont="1" applyBorder="1"/>
    <xf numFmtId="4" fontId="124" fillId="3" borderId="202" xfId="13" applyNumberFormat="1" applyFont="1" applyFill="1" applyBorder="1"/>
    <xf numFmtId="2" fontId="71" fillId="0" borderId="202" xfId="13" applyNumberFormat="1" applyFont="1" applyBorder="1"/>
    <xf numFmtId="179" fontId="71" fillId="10" borderId="202" xfId="12401" applyNumberFormat="1" applyFont="1" applyFill="1" applyBorder="1"/>
    <xf numFmtId="179" fontId="124" fillId="6" borderId="202" xfId="12401" applyNumberFormat="1" applyFont="1" applyFill="1" applyBorder="1" applyAlignment="1">
      <alignment vertical="center"/>
    </xf>
    <xf numFmtId="179" fontId="71" fillId="0" borderId="202" xfId="12401" applyNumberFormat="1" applyFont="1" applyFill="1" applyBorder="1"/>
    <xf numFmtId="179" fontId="124" fillId="6" borderId="202" xfId="12401" applyNumberFormat="1" applyFont="1" applyFill="1" applyBorder="1"/>
    <xf numFmtId="0" fontId="71" fillId="9" borderId="208" xfId="12" applyFont="1" applyFill="1" applyBorder="1" applyAlignment="1">
      <alignment horizontal="center" vertical="center" wrapText="1"/>
    </xf>
    <xf numFmtId="2" fontId="124" fillId="6" borderId="202" xfId="12401" applyNumberFormat="1" applyFont="1" applyFill="1" applyBorder="1" applyAlignment="1"/>
    <xf numFmtId="2" fontId="110" fillId="0" borderId="202" xfId="12401" applyNumberFormat="1" applyFont="1" applyBorder="1" applyAlignment="1"/>
    <xf numFmtId="4" fontId="110" fillId="0" borderId="202" xfId="12" applyNumberFormat="1" applyFont="1" applyBorder="1"/>
    <xf numFmtId="4" fontId="110" fillId="0" borderId="202" xfId="12401" applyNumberFormat="1" applyFont="1" applyBorder="1" applyAlignment="1"/>
    <xf numFmtId="4" fontId="71" fillId="0" borderId="202" xfId="12" applyNumberFormat="1" applyFont="1" applyBorder="1"/>
    <xf numFmtId="184" fontId="71" fillId="0" borderId="202" xfId="14" applyNumberFormat="1" applyFont="1" applyBorder="1"/>
    <xf numFmtId="3" fontId="71" fillId="0" borderId="202" xfId="14" applyNumberFormat="1" applyFont="1" applyBorder="1"/>
    <xf numFmtId="184" fontId="109" fillId="0" borderId="202" xfId="14" applyNumberFormat="1" applyFont="1" applyBorder="1"/>
    <xf numFmtId="3" fontId="109" fillId="0" borderId="202" xfId="14" applyNumberFormat="1" applyFont="1" applyBorder="1"/>
    <xf numFmtId="0" fontId="66" fillId="4" borderId="202" xfId="12" applyFont="1" applyFill="1" applyBorder="1" applyAlignment="1">
      <alignment horizontal="center" vertical="center" wrapText="1"/>
    </xf>
    <xf numFmtId="4" fontId="124" fillId="6" borderId="202" xfId="14" applyNumberFormat="1" applyFont="1" applyFill="1" applyBorder="1"/>
    <xf numFmtId="4" fontId="71" fillId="0" borderId="202" xfId="14" applyNumberFormat="1" applyFont="1" applyBorder="1"/>
    <xf numFmtId="177" fontId="71" fillId="10" borderId="202" xfId="126" applyNumberFormat="1" applyFont="1" applyFill="1" applyBorder="1"/>
    <xf numFmtId="3" fontId="209" fillId="0" borderId="202" xfId="126" applyNumberFormat="1" applyFont="1" applyBorder="1" applyAlignment="1">
      <alignment horizontal="right" vertical="center" wrapText="1"/>
    </xf>
    <xf numFmtId="3" fontId="209" fillId="0" borderId="202" xfId="126" applyNumberFormat="1" applyFont="1" applyBorder="1"/>
    <xf numFmtId="3" fontId="124" fillId="6" borderId="202" xfId="126" applyNumberFormat="1" applyFont="1" applyFill="1" applyBorder="1" applyAlignment="1">
      <alignment horizontal="right" vertical="center" wrapText="1"/>
    </xf>
    <xf numFmtId="170" fontId="167" fillId="7" borderId="202" xfId="0" applyNumberFormat="1" applyFont="1" applyFill="1" applyBorder="1" applyAlignment="1">
      <alignment horizontal="center"/>
    </xf>
    <xf numFmtId="9" fontId="232" fillId="0" borderId="16" xfId="12401" applyFont="1" applyFill="1" applyBorder="1"/>
    <xf numFmtId="1" fontId="92" fillId="73" borderId="184" xfId="24491" applyNumberFormat="1" applyFont="1" applyFill="1" applyBorder="1" applyAlignment="1">
      <alignment horizontal="center" vertical="center"/>
    </xf>
    <xf numFmtId="0" fontId="86" fillId="2" borderId="213" xfId="0" applyFont="1" applyFill="1" applyBorder="1" applyAlignment="1">
      <alignment horizontal="centerContinuous" vertical="center" wrapText="1"/>
    </xf>
    <xf numFmtId="0" fontId="86" fillId="2" borderId="214" xfId="0" applyFont="1" applyFill="1" applyBorder="1" applyAlignment="1">
      <alignment horizontal="centerContinuous" vertical="center" wrapText="1"/>
    </xf>
    <xf numFmtId="0" fontId="86" fillId="2" borderId="215" xfId="0" applyFont="1" applyFill="1" applyBorder="1" applyAlignment="1">
      <alignment horizontal="centerContinuous" vertical="center" wrapText="1"/>
    </xf>
    <xf numFmtId="0" fontId="86" fillId="2" borderId="5" xfId="0" applyFont="1" applyFill="1" applyBorder="1" applyAlignment="1">
      <alignment horizontal="centerContinuous" vertical="center" wrapText="1"/>
    </xf>
    <xf numFmtId="0" fontId="71" fillId="2" borderId="5" xfId="24491" applyFont="1" applyFill="1" applyBorder="1" applyAlignment="1">
      <alignment horizontal="center" vertical="center" wrapText="1"/>
    </xf>
    <xf numFmtId="0" fontId="71" fillId="2" borderId="181" xfId="24491" applyFont="1" applyFill="1" applyBorder="1" applyAlignment="1">
      <alignment horizontal="center" vertical="center" wrapText="1"/>
    </xf>
    <xf numFmtId="1" fontId="103" fillId="73" borderId="191" xfId="24491" applyNumberFormat="1" applyFont="1" applyFill="1" applyBorder="1" applyAlignment="1">
      <alignment horizontal="centerContinuous" vertical="center"/>
    </xf>
    <xf numFmtId="0" fontId="182" fillId="2" borderId="5" xfId="0" applyFont="1" applyFill="1" applyBorder="1" applyAlignment="1">
      <alignment horizontal="center" vertical="center"/>
    </xf>
    <xf numFmtId="1" fontId="103" fillId="73" borderId="28" xfId="24491" applyNumberFormat="1" applyFont="1" applyFill="1" applyBorder="1" applyAlignment="1">
      <alignment horizontal="centerContinuous" vertical="center"/>
    </xf>
    <xf numFmtId="0" fontId="84" fillId="2" borderId="216" xfId="0" quotePrefix="1" applyFont="1" applyFill="1" applyBorder="1" applyAlignment="1">
      <alignment horizontal="center" vertical="center" wrapText="1"/>
    </xf>
    <xf numFmtId="185" fontId="71" fillId="0" borderId="3" xfId="9860" applyNumberFormat="1" applyFont="1" applyBorder="1" applyAlignment="1">
      <alignment horizontal="center"/>
    </xf>
    <xf numFmtId="184" fontId="161" fillId="6" borderId="3" xfId="126" applyNumberFormat="1" applyFont="1" applyFill="1" applyBorder="1"/>
    <xf numFmtId="0" fontId="44" fillId="0" borderId="0" xfId="9860"/>
    <xf numFmtId="170" fontId="232" fillId="0" borderId="58" xfId="0" applyNumberFormat="1" applyFont="1" applyBorder="1"/>
    <xf numFmtId="184" fontId="124" fillId="6" borderId="2" xfId="126" applyNumberFormat="1" applyFont="1" applyFill="1" applyBorder="1"/>
    <xf numFmtId="184" fontId="71" fillId="0" borderId="2" xfId="126" applyNumberFormat="1" applyFont="1" applyBorder="1" applyAlignment="1">
      <alignment horizontal="right"/>
    </xf>
    <xf numFmtId="184" fontId="232" fillId="0" borderId="3" xfId="126" applyNumberFormat="1" applyFont="1" applyBorder="1" applyAlignment="1">
      <alignment horizontal="right"/>
    </xf>
    <xf numFmtId="184" fontId="71" fillId="0" borderId="57" xfId="126" applyNumberFormat="1" applyFont="1" applyBorder="1" applyAlignment="1">
      <alignment horizontal="right"/>
    </xf>
    <xf numFmtId="184" fontId="124" fillId="6" borderId="39" xfId="126" applyNumberFormat="1" applyFont="1" applyFill="1" applyBorder="1"/>
    <xf numFmtId="0" fontId="182" fillId="2" borderId="99" xfId="24481" applyFont="1" applyFill="1" applyBorder="1" applyAlignment="1">
      <alignment horizontal="center" vertical="center"/>
    </xf>
    <xf numFmtId="0" fontId="182" fillId="2" borderId="25" xfId="24481" applyFont="1" applyFill="1" applyBorder="1" applyAlignment="1">
      <alignment horizontal="center" vertical="center"/>
    </xf>
    <xf numFmtId="0" fontId="182" fillId="2" borderId="66" xfId="24481" applyFont="1" applyFill="1" applyBorder="1" applyAlignment="1">
      <alignment horizontal="center" vertical="center"/>
    </xf>
    <xf numFmtId="0" fontId="182" fillId="2" borderId="6" xfId="24481" applyFont="1" applyFill="1" applyBorder="1" applyAlignment="1">
      <alignment horizontal="center" vertical="center"/>
    </xf>
    <xf numFmtId="0" fontId="182" fillId="2" borderId="155" xfId="24481" applyFont="1" applyFill="1" applyBorder="1" applyAlignment="1">
      <alignment horizontal="center" vertical="center"/>
    </xf>
    <xf numFmtId="0" fontId="182" fillId="2" borderId="83" xfId="24481" applyFont="1" applyFill="1" applyBorder="1" applyAlignment="1">
      <alignment horizontal="center" vertical="center"/>
    </xf>
    <xf numFmtId="0" fontId="182" fillId="2" borderId="153" xfId="24481" applyFont="1" applyFill="1" applyBorder="1" applyAlignment="1">
      <alignment horizontal="center" vertical="center"/>
    </xf>
    <xf numFmtId="0" fontId="182" fillId="2" borderId="7" xfId="24481" applyFont="1" applyFill="1" applyBorder="1" applyAlignment="1">
      <alignment horizontal="center" vertical="center"/>
    </xf>
    <xf numFmtId="0" fontId="84" fillId="2" borderId="195" xfId="13" applyFont="1" applyFill="1" applyBorder="1" applyAlignment="1">
      <alignment horizontal="centerContinuous" vertical="center"/>
    </xf>
    <xf numFmtId="0" fontId="84" fillId="2" borderId="141" xfId="13" applyFont="1" applyFill="1" applyBorder="1" applyAlignment="1">
      <alignment horizontal="centerContinuous" vertical="center"/>
    </xf>
    <xf numFmtId="0" fontId="84" fillId="0" borderId="13" xfId="24481" applyFont="1" applyBorder="1" applyAlignment="1">
      <alignment horizontal="centerContinuous" vertical="center" wrapText="1"/>
    </xf>
    <xf numFmtId="0" fontId="71" fillId="0" borderId="6" xfId="24481" applyFont="1" applyBorder="1" applyAlignment="1">
      <alignment horizontal="centerContinuous" vertical="center" wrapText="1"/>
    </xf>
    <xf numFmtId="0" fontId="71" fillId="0" borderId="25" xfId="24481" applyFont="1" applyBorder="1" applyAlignment="1">
      <alignment horizontal="centerContinuous" vertical="center" wrapText="1"/>
    </xf>
    <xf numFmtId="0" fontId="71" fillId="0" borderId="217" xfId="24481" applyFont="1" applyBorder="1" applyAlignment="1">
      <alignment horizontal="centerContinuous" vertical="center" wrapText="1"/>
    </xf>
    <xf numFmtId="0" fontId="71" fillId="0" borderId="153" xfId="0" applyFont="1" applyBorder="1" applyAlignment="1">
      <alignment horizontal="centerContinuous" vertical="center" wrapText="1"/>
    </xf>
    <xf numFmtId="0" fontId="71" fillId="2" borderId="217" xfId="13" applyFont="1" applyFill="1" applyBorder="1" applyAlignment="1">
      <alignment horizontal="centerContinuous" vertical="center"/>
    </xf>
    <xf numFmtId="0" fontId="120" fillId="0" borderId="20" xfId="0" applyFont="1" applyBorder="1" applyAlignment="1">
      <alignment horizontal="center" vertical="center"/>
    </xf>
    <xf numFmtId="0" fontId="120" fillId="0" borderId="93" xfId="0" applyFont="1" applyBorder="1" applyAlignment="1">
      <alignment horizontal="center" vertical="center"/>
    </xf>
    <xf numFmtId="0" fontId="120" fillId="2" borderId="20" xfId="0" applyFont="1" applyFill="1" applyBorder="1" applyAlignment="1">
      <alignment horizontal="center" vertical="center"/>
    </xf>
    <xf numFmtId="0" fontId="120" fillId="2" borderId="93" xfId="0" applyFont="1" applyFill="1" applyBorder="1" applyAlignment="1">
      <alignment horizontal="center" vertical="center"/>
    </xf>
    <xf numFmtId="0" fontId="120" fillId="2" borderId="81" xfId="0" applyFont="1" applyFill="1" applyBorder="1" applyAlignment="1">
      <alignment horizontal="center" vertical="center"/>
    </xf>
    <xf numFmtId="0" fontId="69" fillId="0" borderId="159" xfId="0" applyFont="1" applyBorder="1" applyAlignment="1">
      <alignment horizontal="center" vertical="center"/>
    </xf>
    <xf numFmtId="0" fontId="0" fillId="2" borderId="161" xfId="0" applyFill="1" applyBorder="1" applyAlignment="1">
      <alignment horizontal="center" vertical="center"/>
    </xf>
    <xf numFmtId="0" fontId="66" fillId="2" borderId="103" xfId="12" applyFont="1" applyFill="1" applyBorder="1" applyAlignment="1">
      <alignment vertical="center"/>
    </xf>
    <xf numFmtId="0" fontId="84" fillId="2" borderId="26" xfId="12" applyFont="1" applyFill="1" applyBorder="1" applyAlignment="1">
      <alignment horizontal="centerContinuous" vertical="center" wrapText="1"/>
    </xf>
    <xf numFmtId="0" fontId="108" fillId="2" borderId="155" xfId="12" applyFont="1" applyFill="1" applyBorder="1" applyAlignment="1">
      <alignment horizontal="center" vertical="center" wrapText="1"/>
    </xf>
    <xf numFmtId="0" fontId="71" fillId="2" borderId="155" xfId="12" applyFont="1" applyFill="1" applyBorder="1" applyAlignment="1">
      <alignment horizontal="center" vertical="center"/>
    </xf>
    <xf numFmtId="0" fontId="66" fillId="2" borderId="93" xfId="12" applyFont="1" applyFill="1" applyBorder="1" applyAlignment="1">
      <alignment horizontal="center" vertical="center" wrapText="1"/>
    </xf>
    <xf numFmtId="4" fontId="71" fillId="0" borderId="174" xfId="14" applyNumberFormat="1" applyFont="1" applyBorder="1" applyAlignment="1">
      <alignment horizontal="right"/>
    </xf>
    <xf numFmtId="4" fontId="71" fillId="0" borderId="174" xfId="14" applyNumberFormat="1" applyFont="1" applyBorder="1"/>
    <xf numFmtId="4" fontId="124" fillId="6" borderId="174" xfId="14" applyNumberFormat="1" applyFont="1" applyFill="1" applyBorder="1" applyAlignment="1">
      <alignment horizontal="right"/>
    </xf>
    <xf numFmtId="4" fontId="124" fillId="7" borderId="79" xfId="14" applyNumberFormat="1" applyFont="1" applyFill="1" applyBorder="1" applyAlignment="1">
      <alignment horizontal="right"/>
    </xf>
    <xf numFmtId="4" fontId="71" fillId="7" borderId="174" xfId="14" applyNumberFormat="1" applyFont="1" applyFill="1" applyBorder="1" applyAlignment="1">
      <alignment horizontal="right"/>
    </xf>
    <xf numFmtId="170" fontId="71" fillId="77" borderId="202" xfId="0" applyNumberFormat="1" applyFont="1" applyFill="1" applyBorder="1"/>
    <xf numFmtId="0" fontId="84" fillId="9" borderId="217" xfId="0" applyFont="1" applyFill="1" applyBorder="1" applyAlignment="1">
      <alignment horizontal="centerContinuous" vertical="center" wrapText="1"/>
    </xf>
    <xf numFmtId="1" fontId="71" fillId="9" borderId="217" xfId="0" applyNumberFormat="1" applyFont="1" applyFill="1" applyBorder="1" applyAlignment="1">
      <alignment horizontal="center"/>
    </xf>
    <xf numFmtId="1" fontId="71" fillId="9" borderId="6" xfId="0" applyNumberFormat="1" applyFont="1" applyFill="1" applyBorder="1" applyAlignment="1">
      <alignment horizontal="center"/>
    </xf>
    <xf numFmtId="1" fontId="71" fillId="9" borderId="7" xfId="0" applyNumberFormat="1" applyFont="1" applyFill="1" applyBorder="1" applyAlignment="1">
      <alignment horizontal="center"/>
    </xf>
    <xf numFmtId="0" fontId="71" fillId="2" borderId="217" xfId="0" applyFont="1" applyFill="1" applyBorder="1" applyAlignment="1">
      <alignment horizontal="centerContinuous" vertical="center" wrapText="1"/>
    </xf>
    <xf numFmtId="1" fontId="87" fillId="2" borderId="217" xfId="0" applyNumberFormat="1" applyFont="1" applyFill="1" applyBorder="1" applyAlignment="1">
      <alignment horizontal="center"/>
    </xf>
    <xf numFmtId="170" fontId="124" fillId="6" borderId="85" xfId="0" applyNumberFormat="1" applyFont="1" applyFill="1" applyBorder="1"/>
    <xf numFmtId="170" fontId="161" fillId="6" borderId="218" xfId="0" applyNumberFormat="1" applyFont="1" applyFill="1" applyBorder="1"/>
    <xf numFmtId="170" fontId="124" fillId="6" borderId="86" xfId="0" applyNumberFormat="1" applyFont="1" applyFill="1" applyBorder="1"/>
    <xf numFmtId="170" fontId="222" fillId="0" borderId="85" xfId="0" applyNumberFormat="1" applyFont="1" applyBorder="1"/>
    <xf numFmtId="0" fontId="71" fillId="2" borderId="181" xfId="0" applyFont="1" applyFill="1" applyBorder="1" applyAlignment="1">
      <alignment horizontal="center" vertical="center" wrapText="1"/>
    </xf>
    <xf numFmtId="0" fontId="71" fillId="2" borderId="25" xfId="0" applyFont="1" applyFill="1" applyBorder="1" applyAlignment="1">
      <alignment horizontal="center" vertical="center" wrapText="1"/>
    </xf>
    <xf numFmtId="0" fontId="71" fillId="2" borderId="6"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84" fillId="0" borderId="56" xfId="0" applyFont="1" applyBorder="1" applyAlignment="1">
      <alignment horizontal="center" vertical="center" wrapText="1"/>
    </xf>
    <xf numFmtId="0" fontId="84" fillId="0" borderId="0" xfId="0" applyFont="1" applyAlignment="1">
      <alignment horizontal="center" vertical="center" wrapText="1"/>
    </xf>
    <xf numFmtId="0" fontId="84" fillId="0" borderId="3" xfId="0" applyFont="1" applyBorder="1" applyAlignment="1">
      <alignment horizontal="center" vertical="center" wrapText="1"/>
    </xf>
    <xf numFmtId="0" fontId="71" fillId="2" borderId="5" xfId="0" applyFont="1" applyFill="1" applyBorder="1" applyAlignment="1">
      <alignment horizontal="center" vertical="center" wrapText="1"/>
    </xf>
    <xf numFmtId="1" fontId="107" fillId="9" borderId="181" xfId="9" applyNumberFormat="1" applyFont="1" applyFill="1" applyBorder="1" applyAlignment="1" applyProtection="1">
      <alignment horizontal="center" vertical="center"/>
    </xf>
    <xf numFmtId="1" fontId="107" fillId="9" borderId="6" xfId="9" applyNumberFormat="1" applyFont="1" applyFill="1" applyBorder="1" applyAlignment="1" applyProtection="1">
      <alignment horizontal="center" vertical="center"/>
    </xf>
    <xf numFmtId="0" fontId="71" fillId="2" borderId="181" xfId="12" applyFont="1" applyFill="1" applyBorder="1" applyAlignment="1">
      <alignment horizontal="center" vertical="center" wrapText="1"/>
    </xf>
    <xf numFmtId="0" fontId="71" fillId="2" borderId="25" xfId="12" applyFont="1" applyFill="1" applyBorder="1" applyAlignment="1">
      <alignment horizontal="center" vertical="center" wrapText="1"/>
    </xf>
  </cellXfs>
  <cellStyles count="24495">
    <cellStyle name="20% - Accent1" xfId="39" xr:uid="{69222916-145C-45ED-8888-143A4DB2CD35}"/>
    <cellStyle name="20% - Accent1 2" xfId="12408" xr:uid="{E5D6008F-2F25-4D84-82F5-8F89EB59AE6C}"/>
    <cellStyle name="20% - Accent1 3" xfId="12409" xr:uid="{A6091900-4F4C-43BB-9E19-9C94C95BF2C4}"/>
    <cellStyle name="20% - Accent1 4" xfId="18310" xr:uid="{6C80D143-D68D-4182-97C6-43AC406AC5B2}"/>
    <cellStyle name="20% - Accent1 4 2" xfId="24438" xr:uid="{098EF2EF-6D35-420F-83D9-5D467E1AF6A6}"/>
    <cellStyle name="20% - Accent1 5" xfId="18337" xr:uid="{BF259DC2-6FC9-4D68-B121-FBBFD2D1D57C}"/>
    <cellStyle name="20% - Accent1 5 2" xfId="24460" xr:uid="{3954F680-1C31-48CD-91E0-A9FEFDF92E81}"/>
    <cellStyle name="20% - Accent1 6" xfId="18360" xr:uid="{5810C968-D745-48FC-8411-CF1EDFA8C980}"/>
    <cellStyle name="20% - Accent2" xfId="43" xr:uid="{BC9490FA-5FF1-4086-AA83-97B387D3D6CA}"/>
    <cellStyle name="20% - Accent2 2" xfId="12410" xr:uid="{F2FAD2DD-5AC4-4CF7-8047-ADBED616C4F9}"/>
    <cellStyle name="20% - Accent2 3" xfId="12411" xr:uid="{A8A8DD76-9228-4FE3-8FD6-4CFAAC386D64}"/>
    <cellStyle name="20% - Accent2 4" xfId="18314" xr:uid="{0FB02D69-02B4-4501-AC40-F63460233F57}"/>
    <cellStyle name="20% - Accent2 4 2" xfId="24441" xr:uid="{2B29CCA4-DAFA-4813-81D3-6A5111ACA064}"/>
    <cellStyle name="20% - Accent2 5" xfId="18340" xr:uid="{4BBD0447-9E53-4E12-ABFC-86B4ED0821B2}"/>
    <cellStyle name="20% - Accent2 5 2" xfId="24463" xr:uid="{D2F3F81D-3F18-4E10-8D20-2963579AD06F}"/>
    <cellStyle name="20% - Accent2 6" xfId="18362" xr:uid="{AC15C044-EBB2-4AEA-8869-643BCB3DB12A}"/>
    <cellStyle name="20% - Accent3" xfId="47" xr:uid="{F2EFCF08-1397-45F2-8C5D-FAD1EB3DC331}"/>
    <cellStyle name="20% - Accent3 2" xfId="12412" xr:uid="{A144516D-3CFE-4AF4-88C3-207E4D235B00}"/>
    <cellStyle name="20% - Accent3 3" xfId="12413" xr:uid="{795983A7-E2AC-461D-A515-EEC29C3667DD}"/>
    <cellStyle name="20% - Accent3 4" xfId="18318" xr:uid="{D00A6E34-C359-4B06-B8CA-0650E90C5F5F}"/>
    <cellStyle name="20% - Accent3 4 2" xfId="24444" xr:uid="{8B809E7F-0E01-476E-892F-4E08CE348817}"/>
    <cellStyle name="20% - Accent3 5" xfId="18343" xr:uid="{24FA8471-40B1-4CD8-95F5-0317D14AFE21}"/>
    <cellStyle name="20% - Accent3 5 2" xfId="24466" xr:uid="{11754FEE-3CEC-4BDC-ABDE-A31FAC9E7822}"/>
    <cellStyle name="20% - Accent3 6" xfId="18364" xr:uid="{4889E307-73B8-4743-9860-2DD758A83D4D}"/>
    <cellStyle name="20% - Accent4" xfId="51" xr:uid="{C03C09AA-6D17-4AF1-8669-2F51BF72EFE8}"/>
    <cellStyle name="20% - Accent4 2" xfId="12414" xr:uid="{0602932C-8AF2-4819-80E8-C6FE474B10D7}"/>
    <cellStyle name="20% - Accent4 3" xfId="12415" xr:uid="{D9AE5D68-CDA6-4B15-A342-4A6019BAC90D}"/>
    <cellStyle name="20% - Accent4 4" xfId="18322" xr:uid="{C56237EE-1068-46E8-817A-947C72314999}"/>
    <cellStyle name="20% - Accent4 4 2" xfId="24447" xr:uid="{64690517-8938-4578-B1AF-D291DD23294B}"/>
    <cellStyle name="20% - Accent4 5" xfId="18346" xr:uid="{EC2F2C86-03FD-4600-8C86-A74A43DBBC36}"/>
    <cellStyle name="20% - Accent4 5 2" xfId="24469" xr:uid="{65C1A5E8-F09F-4E22-9020-878159BD9B92}"/>
    <cellStyle name="20% - Accent4 6" xfId="18366" xr:uid="{179765ED-09D9-4E76-BD74-436E6595BDA8}"/>
    <cellStyle name="20% - Accent5" xfId="55" xr:uid="{A88195FE-A7DD-47A8-816D-F0E819ED5365}"/>
    <cellStyle name="20% - Accent5 2" xfId="12416" xr:uid="{6FF7E92C-8D05-4F70-8EE2-E06E4DD78D11}"/>
    <cellStyle name="20% - Accent5 3" xfId="12417" xr:uid="{F2AD1E07-8173-4AD0-AE62-503C02E116FC}"/>
    <cellStyle name="20% - Accent5 4" xfId="18326" xr:uid="{772DE2F2-CBF4-4749-867F-9B8A090527C4}"/>
    <cellStyle name="20% - Accent5 4 2" xfId="24450" xr:uid="{3DD1C741-E287-4DD7-B1C1-4E53BEAB7BFA}"/>
    <cellStyle name="20% - Accent5 5" xfId="18350" xr:uid="{B85B895B-6C30-4770-8789-79F231637E19}"/>
    <cellStyle name="20% - Accent5 5 2" xfId="24473" xr:uid="{04A24B55-A4B9-46B8-9BB2-30A1FD6A851A}"/>
    <cellStyle name="20% - Accent5 6" xfId="18368" xr:uid="{DD1D9CFC-3AC7-4B67-AF3A-2584636FD743}"/>
    <cellStyle name="20% - Accent6" xfId="59" xr:uid="{123BB277-91EB-413B-B437-79D9EFA12DFE}"/>
    <cellStyle name="20% - Accent6 2" xfId="12418" xr:uid="{82ADCE17-883A-43DE-8619-42C0AB6B9D8E}"/>
    <cellStyle name="20% - Accent6 3" xfId="12419" xr:uid="{E20F0295-9155-46F8-B484-BFF9810B119D}"/>
    <cellStyle name="20% - Accent6 4" xfId="18330" xr:uid="{F3B3EEA6-3BDA-4939-BB03-08B62AA3F1F8}"/>
    <cellStyle name="20% - Accent6 4 2" xfId="24453" xr:uid="{699E139F-1017-459C-8D82-3EE4C1A6F99C}"/>
    <cellStyle name="20% - Accent6 5" xfId="18353" xr:uid="{BDC78D7B-DE7C-491D-8E3C-078D38C49CC7}"/>
    <cellStyle name="20% - Accent6 5 2" xfId="24476" xr:uid="{5A91E419-B3D6-45A1-BF00-B3D3E1936BC9}"/>
    <cellStyle name="20% - Accent6 6" xfId="18370" xr:uid="{D032CEBA-819E-42E7-A80D-D95C47108FBF}"/>
    <cellStyle name="20% - Énfasis1 10" xfId="9916" xr:uid="{00000000-0005-0000-0000-000001000000}"/>
    <cellStyle name="20% - Énfasis1 10 2" xfId="11653" xr:uid="{00000000-0005-0000-0000-000002000000}"/>
    <cellStyle name="20% - Énfasis1 10 2 2" xfId="20419" xr:uid="{F61DFE08-0C88-44DF-99CB-3C78943D6746}"/>
    <cellStyle name="20% - Énfasis1 10 3" xfId="12420" xr:uid="{94A8F54A-84E3-494F-8FCE-63CF97C86DB3}"/>
    <cellStyle name="20% - Énfasis1 10 4" xfId="19056" xr:uid="{98774CA6-1441-40BB-9343-2740539B2FB9}"/>
    <cellStyle name="20% - Énfasis1 10_1.2.b" xfId="14783" xr:uid="{73E878CC-D5BD-4254-BF8E-B955F0F08B75}"/>
    <cellStyle name="20% - Énfasis1 11" xfId="10247" xr:uid="{00000000-0005-0000-0000-000003000000}"/>
    <cellStyle name="20% - Énfasis1 11 2" xfId="11982" xr:uid="{00000000-0005-0000-0000-000004000000}"/>
    <cellStyle name="20% - Énfasis1 11 2 2" xfId="20731" xr:uid="{7191AAD1-D5CF-428F-9287-96B164BB837F}"/>
    <cellStyle name="20% - Énfasis1 11 3" xfId="12421" xr:uid="{EC7A70F2-837A-4F55-B4BA-BF1D164F30EC}"/>
    <cellStyle name="20% - Énfasis1 11 3 2" xfId="21143" xr:uid="{A5781D18-D73C-4DED-A72C-92348BC1AC4B}"/>
    <cellStyle name="20% - Énfasis1 11 4" xfId="16509" xr:uid="{20064112-178F-431F-B42A-1058B77FA6B5}"/>
    <cellStyle name="20% - Énfasis1 11 4 2" xfId="22775" xr:uid="{E08CA882-3E9E-42E2-BBD9-74440E9F334F}"/>
    <cellStyle name="20% - Énfasis1 11 5" xfId="19368" xr:uid="{7D4825D6-6A19-4189-9C97-A66C40A5A7B0}"/>
    <cellStyle name="20% - Énfasis1 11_1.2.b" xfId="14784" xr:uid="{B17EFEDC-DCBB-48C8-9058-9A108A487595}"/>
    <cellStyle name="20% - Énfasis1 12" xfId="10531" xr:uid="{00000000-0005-0000-0000-000005000000}"/>
    <cellStyle name="20% - Énfasis1 12 2" xfId="12266" xr:uid="{00000000-0005-0000-0000-000006000000}"/>
    <cellStyle name="20% - Énfasis1 12 2 2" xfId="21015" xr:uid="{410EB7C3-8BED-4A3B-88D5-A6CB5F6AD7B2}"/>
    <cellStyle name="20% - Énfasis1 12 3" xfId="12422" xr:uid="{8851BC2D-A514-4227-ACF3-52F67C3E589E}"/>
    <cellStyle name="20% - Énfasis1 12 3 2" xfId="21144" xr:uid="{B5836C65-55D0-4505-81C0-7F2CF64F03BB}"/>
    <cellStyle name="20% - Énfasis1 12 4" xfId="16510" xr:uid="{01CF607E-1B1E-4480-A87B-A222CB5536AD}"/>
    <cellStyle name="20% - Énfasis1 12 4 2" xfId="22776" xr:uid="{BADF884D-BB23-4311-A087-44BF10C7926C}"/>
    <cellStyle name="20% - Énfasis1 12 5" xfId="19652" xr:uid="{066DC3F1-12EC-4893-8B3B-2F4C35DF1C36}"/>
    <cellStyle name="20% - Énfasis1 12_1.2.b" xfId="14785" xr:uid="{1D75B247-92E1-4CA0-ACBB-A7445F19B471}"/>
    <cellStyle name="20% - Énfasis1 13" xfId="10578" xr:uid="{00000000-0005-0000-0000-000007000000}"/>
    <cellStyle name="20% - Énfasis1 13 2" xfId="12311" xr:uid="{00000000-0005-0000-0000-000008000000}"/>
    <cellStyle name="20% - Énfasis1 13 2 2" xfId="21057" xr:uid="{9B6EF9A8-633A-4F12-B07D-AB05EC7A318B}"/>
    <cellStyle name="20% - Énfasis1 13 3" xfId="12423" xr:uid="{2C24B7F1-8F73-442D-97BD-D3736C4C6ACD}"/>
    <cellStyle name="20% - Énfasis1 13 3 2" xfId="21145" xr:uid="{FA086240-6F9A-4236-8004-7320F0FFE140}"/>
    <cellStyle name="20% - Énfasis1 13 4" xfId="16511" xr:uid="{F2AB8A12-7DD3-4097-ADF3-64EA946256FB}"/>
    <cellStyle name="20% - Énfasis1 13 4 2" xfId="22777" xr:uid="{23A7A133-8896-45B2-94CF-1F1667EBED5C}"/>
    <cellStyle name="20% - Énfasis1 13 5" xfId="19694" xr:uid="{7F50F405-1C78-426C-9E0D-4096B607DD82}"/>
    <cellStyle name="20% - Énfasis1 13_1.2.b" xfId="14786" xr:uid="{3372A582-324C-4FCF-9AD5-0B8ACED40A31}"/>
    <cellStyle name="20% - Énfasis1 14" xfId="10598" xr:uid="{00000000-0005-0000-0000-000009000000}"/>
    <cellStyle name="20% - Énfasis1 14 2" xfId="12327" xr:uid="{00000000-0005-0000-0000-00000A000000}"/>
    <cellStyle name="20% - Énfasis1 14 2 2" xfId="21073" xr:uid="{1A8B66B2-9605-4944-BA42-53A1EAE17213}"/>
    <cellStyle name="20% - Énfasis1 14 3" xfId="12424" xr:uid="{D5633AAF-D55D-4758-B61C-26BC65C7AE3A}"/>
    <cellStyle name="20% - Énfasis1 14 3 2" xfId="21146" xr:uid="{879E5ECF-DDD1-46A9-876D-110E1BFE80D2}"/>
    <cellStyle name="20% - Énfasis1 14 4" xfId="16512" xr:uid="{528784F5-85EA-4C86-BF6A-D30E5BDEE1ED}"/>
    <cellStyle name="20% - Énfasis1 14 4 2" xfId="22778" xr:uid="{9ECAFB01-8F7A-48F5-844C-94448D924E65}"/>
    <cellStyle name="20% - Énfasis1 14 5" xfId="19710" xr:uid="{6DFF1934-B48F-4DFC-A94D-059CCF866737}"/>
    <cellStyle name="20% - Énfasis1 14_1.2.b" xfId="14787" xr:uid="{8AA0556D-01FE-4D32-B76E-536E0D65445D}"/>
    <cellStyle name="20% - Énfasis1 15" xfId="10619" xr:uid="{00000000-0005-0000-0000-00000B000000}"/>
    <cellStyle name="20% - Énfasis1 15 2" xfId="12425" xr:uid="{38290413-7239-430B-B47E-F403DEB219DB}"/>
    <cellStyle name="20% - Énfasis1 15 2 2" xfId="21147" xr:uid="{5DDB6A4C-40C1-4B6B-B531-5625E50CB041}"/>
    <cellStyle name="20% - Énfasis1 15 3" xfId="16513" xr:uid="{1C0DEF55-A216-4AEE-822A-563378AAD96A}"/>
    <cellStyle name="20% - Énfasis1 15 3 2" xfId="22779" xr:uid="{B05F42B0-BCC1-45FC-B7B8-182198BAD651}"/>
    <cellStyle name="20% - Énfasis1 15 4" xfId="19727" xr:uid="{EC43BE27-EFD7-4E2A-88A9-F13DB97FC670}"/>
    <cellStyle name="20% - Énfasis1 15_1.2.b" xfId="14788" xr:uid="{4987CBB7-F87A-4713-B380-6484F7696740}"/>
    <cellStyle name="20% - Énfasis1 16" xfId="12360" xr:uid="{00000000-0005-0000-0000-00000C000000}"/>
    <cellStyle name="20% - Énfasis1 16 2" xfId="12426" xr:uid="{7BC8F893-A87F-4A8F-89FD-C5C7BD97B3B6}"/>
    <cellStyle name="20% - Énfasis1 16 2 2" xfId="21148" xr:uid="{62FEC4AD-FFAF-4283-B2CA-BF675E8788D1}"/>
    <cellStyle name="20% - Énfasis1 16 3" xfId="16514" xr:uid="{62C92051-C490-4324-B982-D920172E4CC2}"/>
    <cellStyle name="20% - Énfasis1 16 3 2" xfId="22780" xr:uid="{839C38F5-1626-4DD1-99BC-F90A98B58526}"/>
    <cellStyle name="20% - Énfasis1 16 4" xfId="21103" xr:uid="{3B143EFE-73F8-402C-9EF2-9729CCB0661D}"/>
    <cellStyle name="20% - Énfasis1 16_1.2.b" xfId="14789" xr:uid="{C75683DB-F0B1-4313-A4C7-310E29E1B1EC}"/>
    <cellStyle name="20% - Énfasis1 17" xfId="12375" xr:uid="{00000000-0005-0000-0000-00000D000000}"/>
    <cellStyle name="20% - Énfasis1 17 2" xfId="12427" xr:uid="{81D453AD-3ED5-44AF-9871-996BAA6A978D}"/>
    <cellStyle name="20% - Énfasis1 17 2 2" xfId="21149" xr:uid="{47DA84CF-E5EA-4256-9ED2-EBB942ACE15C}"/>
    <cellStyle name="20% - Énfasis1 17 3" xfId="16515" xr:uid="{58198238-05F0-4C23-A2C1-7728458B3FBF}"/>
    <cellStyle name="20% - Énfasis1 17 3 2" xfId="22781" xr:uid="{E8668C50-DEB6-4A3D-AB6D-1672D90CD252}"/>
    <cellStyle name="20% - Énfasis1 17 4" xfId="21118" xr:uid="{DB1F6182-5C60-43B5-BCD6-AF00DD3AC6F1}"/>
    <cellStyle name="20% - Énfasis1 17_1.2.b" xfId="14790" xr:uid="{D6CD4437-B065-4762-8848-ABD262A1D42C}"/>
    <cellStyle name="20% - Énfasis1 18" xfId="12428" xr:uid="{28113596-04FF-4641-82D2-314CA7D4D20C}"/>
    <cellStyle name="20% - Énfasis1 18 2" xfId="16516" xr:uid="{05401436-9CB4-47A5-85CD-843EEDD44316}"/>
    <cellStyle name="20% - Énfasis1 18 2 2" xfId="22782" xr:uid="{FB10D9F7-2F60-48B5-AA21-980271E55210}"/>
    <cellStyle name="20% - Énfasis1 18 3" xfId="21150" xr:uid="{4B7510A0-3FD6-446E-B809-4F530705ACCA}"/>
    <cellStyle name="20% - Énfasis1 18_1.2.b" xfId="14791" xr:uid="{A6A2D8F8-3229-44AC-AAE0-559138A700A0}"/>
    <cellStyle name="20% - Énfasis1 19" xfId="12429" xr:uid="{36E4D35C-5C8A-4552-92C5-ECD657DF6FD7}"/>
    <cellStyle name="20% - Énfasis1 19 2" xfId="16517" xr:uid="{2D2A8709-CCB4-4E07-9D71-C569D9FF6D2E}"/>
    <cellStyle name="20% - Énfasis1 19 2 2" xfId="22783" xr:uid="{7434AC86-AF94-4B08-9073-8B5F2E0594B2}"/>
    <cellStyle name="20% - Énfasis1 19 3" xfId="21151" xr:uid="{82FC1CAB-5523-45B9-A2D6-F8D61FB1F202}"/>
    <cellStyle name="20% - Énfasis1 19_1.2.b" xfId="14792" xr:uid="{0AEACD94-EBB4-4289-B4B7-AAB3EAD5B379}"/>
    <cellStyle name="20% - Énfasis1 2" xfId="146" xr:uid="{00000000-0005-0000-0000-00000E000000}"/>
    <cellStyle name="20% - Énfasis1 2 10" xfId="12431" xr:uid="{3EC70498-4334-41CF-8C1D-2512EB6C83EB}"/>
    <cellStyle name="20% - Énfasis1 2 10 2" xfId="16519" xr:uid="{DCD21D65-87AE-4428-A64D-61B4683A0468}"/>
    <cellStyle name="20% - Énfasis1 2 10 2 2" xfId="22784" xr:uid="{86BE81D3-85FE-4E4E-94D8-6AF0380F93A2}"/>
    <cellStyle name="20% - Énfasis1 2 10 3" xfId="21152" xr:uid="{79F17C2C-9057-41AC-AF38-0C02D32187D5}"/>
    <cellStyle name="20% - Énfasis1 2 10_1.2.b" xfId="14794" xr:uid="{AFD3349D-2EE3-4ECF-8EC9-572D709AE332}"/>
    <cellStyle name="20% - Énfasis1 2 11" xfId="12430" xr:uid="{CD9F7887-A5F2-4854-A302-293B39A92965}"/>
    <cellStyle name="20% - Énfasis1 2 12" xfId="16518" xr:uid="{5BC40296-F0E6-4A3A-B6A5-6CCB995E3623}"/>
    <cellStyle name="20% - Énfasis1 2 13" xfId="18117" xr:uid="{1973C997-5473-4B32-A2FD-0761F86EEABE}"/>
    <cellStyle name="20% - Énfasis1 2 14" xfId="18270" xr:uid="{AB8950A7-E934-43DD-9A2E-8A46C445703E}"/>
    <cellStyle name="20% - Énfasis1 2 15" xfId="18108" xr:uid="{080B2832-874D-42F6-9793-D1D98FF74D4F}"/>
    <cellStyle name="20% - Énfasis1 2 16" xfId="18264" xr:uid="{FCBB0382-0E9F-446F-90AB-884750FD5D6F}"/>
    <cellStyle name="20% - Énfasis1 2 17" xfId="18390" xr:uid="{072A23D2-E404-46C4-8CEA-0D3D2CC022F0}"/>
    <cellStyle name="20% - Énfasis1 2 2" xfId="10666" xr:uid="{00000000-0005-0000-0000-00000F000000}"/>
    <cellStyle name="20% - Énfasis1 2 2 2" xfId="12433" xr:uid="{7B6E756F-21D2-4E48-A8F2-E10B01D0AA94}"/>
    <cellStyle name="20% - Énfasis1 2 2 3" xfId="12434" xr:uid="{3B3AD109-5E23-4A6C-8286-D1C70AC208A2}"/>
    <cellStyle name="20% - Énfasis1 2 2 4" xfId="12435" xr:uid="{5E516224-ADE6-4254-A4BB-6D23700D6F49}"/>
    <cellStyle name="20% - Énfasis1 2 2 5" xfId="12436" xr:uid="{5D92D319-506B-4024-A815-E3F6BBF724F0}"/>
    <cellStyle name="20% - Énfasis1 2 2 6" xfId="12432" xr:uid="{4D4E0C7F-4D34-45F7-8FD3-AA65978351D9}"/>
    <cellStyle name="20% - Énfasis1 2 2 6 2" xfId="21153" xr:uid="{42DC96CB-9B97-4A4C-B6D7-52E21BCABED3}"/>
    <cellStyle name="20% - Énfasis1 2 2 7" xfId="16520" xr:uid="{5582201E-85FF-4365-90F9-135C8B4FF3EB}"/>
    <cellStyle name="20% - Énfasis1 2 2 7 2" xfId="22785" xr:uid="{53739422-66E8-4E73-B032-DB813A17F5D3}"/>
    <cellStyle name="20% - Énfasis1 2 2 8" xfId="19758" xr:uid="{BFC6DD38-8149-4829-B55D-B79D7FE331A2}"/>
    <cellStyle name="20% - Énfasis1 2 2_1.2.b" xfId="14795" xr:uid="{86C47ADD-62AC-4DEA-A957-CBBC690F61A9}"/>
    <cellStyle name="20% - Énfasis1 2 3" xfId="12437" xr:uid="{CA1BEC63-2592-4C14-9F53-89568BD2F392}"/>
    <cellStyle name="20% - Énfasis1 2 4" xfId="12438" xr:uid="{DF4CBDF9-B858-4C6C-A893-F8706D4806C3}"/>
    <cellStyle name="20% - Énfasis1 2 5" xfId="12439" xr:uid="{C3E4002E-DCBF-4917-8502-91B4764465F8}"/>
    <cellStyle name="20% - Énfasis1 2 6" xfId="12440" xr:uid="{EBBE9EA7-CEA8-4EA0-A20C-103A861341F8}"/>
    <cellStyle name="20% - Énfasis1 2 7" xfId="12441" xr:uid="{C452E146-309E-4562-948F-658DE3B308AF}"/>
    <cellStyle name="20% - Énfasis1 2 8" xfId="12442" xr:uid="{59824BA4-337B-42F9-85F4-149571E944F9}"/>
    <cellStyle name="20% - Énfasis1 2 9" xfId="12443" xr:uid="{61EDD49D-8071-4B0F-B864-D5FB0EEFF0F6}"/>
    <cellStyle name="20% - Énfasis1 2 9 2" xfId="16522" xr:uid="{D2D4EB23-D0CB-41C8-9576-1A5997AEF3B6}"/>
    <cellStyle name="20% - Énfasis1 2 9 2 2" xfId="22787" xr:uid="{23AAEBA2-5282-4118-B1E3-BBEC03F64330}"/>
    <cellStyle name="20% - Énfasis1 2 9 3" xfId="21154" xr:uid="{483555FA-4508-42D8-A106-82D399D52B63}"/>
    <cellStyle name="20% - Énfasis1 2 9_1.2.b" xfId="14796" xr:uid="{D9D14747-0A5D-4C7B-985D-DAB62CDB3114}"/>
    <cellStyle name="20% - Énfasis1 2_1.2.b" xfId="14793" xr:uid="{94141105-9BC2-405E-AB26-B7658820D51F}"/>
    <cellStyle name="20% - Énfasis1 20" xfId="12444" xr:uid="{D89BAC68-8401-4F8F-9A5F-C90FB849E00B}"/>
    <cellStyle name="20% - Énfasis1 20 2" xfId="16523" xr:uid="{05F7178E-9E32-4F00-B3FA-F3B3F5F134B5}"/>
    <cellStyle name="20% - Énfasis1 20 2 2" xfId="22788" xr:uid="{2336B884-33E3-481C-97A7-380B3EE6ED27}"/>
    <cellStyle name="20% - Énfasis1 20 3" xfId="21155" xr:uid="{4AB02586-4F2D-4370-BB84-607E000E5C3E}"/>
    <cellStyle name="20% - Énfasis1 20_1.2.b" xfId="14797" xr:uid="{801AA87E-ADCC-4FBB-9A56-2679A56BFEA7}"/>
    <cellStyle name="20% - Énfasis1 21" xfId="12445" xr:uid="{B0ECB3E3-6040-4CDB-B455-D6E95B7457DB}"/>
    <cellStyle name="20% - Énfasis1 21 2" xfId="16524" xr:uid="{F3DCE3CA-A7A4-4542-AC04-6F42346F498C}"/>
    <cellStyle name="20% - Énfasis1 21 2 2" xfId="22789" xr:uid="{147D10A9-CF51-44EE-AF73-83E3E427461F}"/>
    <cellStyle name="20% - Énfasis1 21 3" xfId="21156" xr:uid="{CE7843DF-E67B-49C9-894E-CD980C9BF373}"/>
    <cellStyle name="20% - Énfasis1 21_1.2.b" xfId="14798" xr:uid="{2BB7CD94-2702-4454-8A2E-B09C1DC72742}"/>
    <cellStyle name="20% - Énfasis1 22" xfId="12446" xr:uid="{B5DDADB5-0763-4CFF-9996-626EB462F1F6}"/>
    <cellStyle name="20% - Énfasis1 22 2" xfId="16525" xr:uid="{FD9848C5-9B29-4B92-A705-A83C01DFDB02}"/>
    <cellStyle name="20% - Énfasis1 22 2 2" xfId="22790" xr:uid="{0D68E4F4-6AED-407A-A45B-C1F862F2ADFB}"/>
    <cellStyle name="20% - Énfasis1 22 3" xfId="21157" xr:uid="{FCF427B5-6D6B-4BE3-A2C4-B0D6E91C26B7}"/>
    <cellStyle name="20% - Énfasis1 22_1.2.b" xfId="14799" xr:uid="{B85ECF34-78E9-4082-A5A6-DEC154BE5DCE}"/>
    <cellStyle name="20% - Énfasis1 23" xfId="12447" xr:uid="{43919581-BC9D-4F0A-BD2D-BA7974496F3B}"/>
    <cellStyle name="20% - Énfasis1 23 2" xfId="16526" xr:uid="{DA759414-4DA4-473D-82B1-CF8E7DFD738C}"/>
    <cellStyle name="20% - Énfasis1 23 2 2" xfId="22791" xr:uid="{FD80C74B-C406-4ED1-97D4-DFB373242AB7}"/>
    <cellStyle name="20% - Énfasis1 23 3" xfId="21158" xr:uid="{9B834D2B-D0F3-4D11-AA59-BC61EE40582A}"/>
    <cellStyle name="20% - Énfasis1 23_1.2.b" xfId="14800" xr:uid="{0FEE5568-A247-48F4-846E-68034522C837}"/>
    <cellStyle name="20% - Énfasis1 24" xfId="12448" xr:uid="{E153537D-0D7A-4B73-8E34-1D257F08BFFB}"/>
    <cellStyle name="20% - Énfasis1 24 2" xfId="16527" xr:uid="{C690165C-2D0D-4A45-A83F-C1AD98EDBE11}"/>
    <cellStyle name="20% - Énfasis1 24 2 2" xfId="22792" xr:uid="{50496001-CB8C-4FE2-92F2-CB47E651B221}"/>
    <cellStyle name="20% - Énfasis1 24 3" xfId="21159" xr:uid="{C67B2D6F-88DA-4F55-926D-FC6704605B83}"/>
    <cellStyle name="20% - Énfasis1 24_1.2.b" xfId="14801" xr:uid="{A777A2F0-D43C-428C-A42A-89575B58581C}"/>
    <cellStyle name="20% - Énfasis1 25" xfId="12449" xr:uid="{3D1FCDBF-34A9-4726-9FDD-70987FE5AA34}"/>
    <cellStyle name="20% - Énfasis1 25 2" xfId="16528" xr:uid="{664E77D0-ACCB-4AA6-86B3-5CA0E8F54C3D}"/>
    <cellStyle name="20% - Énfasis1 25 2 2" xfId="22793" xr:uid="{C94F1500-7D50-4E71-91E3-E04F9DEC2034}"/>
    <cellStyle name="20% - Énfasis1 25 3" xfId="21160" xr:uid="{1CD10F43-1250-4BCD-A943-13FF913636F3}"/>
    <cellStyle name="20% - Énfasis1 25_1.2.b" xfId="14802" xr:uid="{29B051B4-A9A0-4903-9EB6-F6CBD978AED5}"/>
    <cellStyle name="20% - Énfasis1 26" xfId="12450" xr:uid="{B44BDC74-4481-4144-82AE-B0E3FBC5C3F5}"/>
    <cellStyle name="20% - Énfasis1 26 2" xfId="16529" xr:uid="{19DF1445-516A-4883-B791-2613E598F327}"/>
    <cellStyle name="20% - Énfasis1 26 2 2" xfId="22794" xr:uid="{35351FCF-B58F-4595-B568-EEA8E947886D}"/>
    <cellStyle name="20% - Énfasis1 26 3" xfId="21161" xr:uid="{38884B8A-4FFC-4C22-99E1-B73BAD7D427C}"/>
    <cellStyle name="20% - Énfasis1 26_1.2.b" xfId="14803" xr:uid="{BC3824EB-B025-43E1-AF2F-EA4C2BC895A3}"/>
    <cellStyle name="20% - Énfasis1 27" xfId="12451" xr:uid="{BC52861C-CF06-4380-8BD5-B38AF92F9A5C}"/>
    <cellStyle name="20% - Énfasis1 27 2" xfId="16530" xr:uid="{7DAF7043-D8A7-4D57-A7B0-015223A1030C}"/>
    <cellStyle name="20% - Énfasis1 27 2 2" xfId="22795" xr:uid="{51C70478-0994-46FD-A1F7-A3B3B99350C4}"/>
    <cellStyle name="20% - Énfasis1 27 3" xfId="21162" xr:uid="{BC9BA103-412A-4E2E-9605-6C7E4BAD4BDE}"/>
    <cellStyle name="20% - Énfasis1 27_1.2.b" xfId="14804" xr:uid="{0B2E412B-E721-46DC-B223-0A316DC2FB58}"/>
    <cellStyle name="20% - Énfasis1 28" xfId="12452" xr:uid="{E794C1F2-8D74-477C-9B0D-27B136E35CBA}"/>
    <cellStyle name="20% - Énfasis1 28 2" xfId="16531" xr:uid="{B06819AA-23EA-4D83-A056-9AD4BC4EE7B6}"/>
    <cellStyle name="20% - Énfasis1 28 2 2" xfId="22796" xr:uid="{59528C61-C4E7-4353-934E-1DD87171A331}"/>
    <cellStyle name="20% - Énfasis1 28 3" xfId="21163" xr:uid="{4D364FE9-661F-419E-B1DE-CB750C7BD2A3}"/>
    <cellStyle name="20% - Énfasis1 28_1.2.b" xfId="14805" xr:uid="{0F5E4544-E98B-4285-BAF6-4EFD43D812AD}"/>
    <cellStyle name="20% - Énfasis1 29" xfId="12453" xr:uid="{BAADD0A4-7042-4AB1-AF45-F13CE558808A}"/>
    <cellStyle name="20% - Énfasis1 29 2" xfId="16532" xr:uid="{BE8F7F47-03C4-493A-ACED-C09ED9F2557D}"/>
    <cellStyle name="20% - Énfasis1 29 2 2" xfId="22797" xr:uid="{DA197097-0F2A-4364-B39B-D16ED6272CD9}"/>
    <cellStyle name="20% - Énfasis1 29 3" xfId="21164" xr:uid="{FA0C7CDD-5B8E-4B69-9CA5-FCBA53EA1CA1}"/>
    <cellStyle name="20% - Énfasis1 29_1.2.b" xfId="14806" xr:uid="{2E04C578-0EDE-4D71-8F4D-F0C62917DE7A}"/>
    <cellStyle name="20% - Énfasis1 3" xfId="160" xr:uid="{00000000-0005-0000-0000-000010000000}"/>
    <cellStyle name="20% - Énfasis1 3 10" xfId="18404" xr:uid="{3FD89024-B2E1-4A59-9F15-46B06E3C0A56}"/>
    <cellStyle name="20% - Énfasis1 3 2" xfId="10680" xr:uid="{00000000-0005-0000-0000-000011000000}"/>
    <cellStyle name="20% - Énfasis1 3 2 2" xfId="12455" xr:uid="{84FCF528-7119-4EF1-BCF1-FD083D2507F5}"/>
    <cellStyle name="20% - Énfasis1 3 2 2 2" xfId="21166" xr:uid="{44161A5C-C2B9-4945-86D5-AA480FF66EFB}"/>
    <cellStyle name="20% - Énfasis1 3 2 3" xfId="16534" xr:uid="{611970FD-BB95-413A-A33A-7DADEDCC7F13}"/>
    <cellStyle name="20% - Énfasis1 3 2 3 2" xfId="22799" xr:uid="{32A15DEA-5AD3-474F-B9E7-BD05961B5E3B}"/>
    <cellStyle name="20% - Énfasis1 3 2 4" xfId="19772" xr:uid="{B07804A2-5797-46CC-BB83-B7F6DA942F05}"/>
    <cellStyle name="20% - Énfasis1 3 2_1.2.b" xfId="14808" xr:uid="{A80F0E24-4B31-48CC-9439-FCA213F1CAE1}"/>
    <cellStyle name="20% - Énfasis1 3 3" xfId="12456" xr:uid="{448D87CA-A4D3-4B06-BB49-46B154C93F51}"/>
    <cellStyle name="20% - Énfasis1 3 4" xfId="12457" xr:uid="{E4F7F583-72E3-469F-A339-466CD0595D86}"/>
    <cellStyle name="20% - Énfasis1 3 5" xfId="12458" xr:uid="{4977B72B-5EB9-40DB-96FA-F830E7C05023}"/>
    <cellStyle name="20% - Énfasis1 3 5 2" xfId="16535" xr:uid="{4E75701C-4021-4418-B06D-DA88BEDDB6DE}"/>
    <cellStyle name="20% - Énfasis1 3 5 2 2" xfId="22800" xr:uid="{F85A8DAC-1089-482F-9CE5-808DC0F963BC}"/>
    <cellStyle name="20% - Énfasis1 3 5 3" xfId="21167" xr:uid="{0AC1168C-8E3F-4240-8880-83D6D236A137}"/>
    <cellStyle name="20% - Énfasis1 3 5_1.2.b" xfId="14809" xr:uid="{929C309C-F132-45F9-9C08-64A224DC8457}"/>
    <cellStyle name="20% - Énfasis1 3 6" xfId="12459" xr:uid="{626277C2-C01B-4C3E-A78B-0A7DC767EE6B}"/>
    <cellStyle name="20% - Énfasis1 3 6 2" xfId="16536" xr:uid="{CE278538-9CD5-46EB-B2A9-DB845C162C62}"/>
    <cellStyle name="20% - Énfasis1 3 6 2 2" xfId="22801" xr:uid="{59526ECF-6AD9-42A4-BBBA-EC760F2B898A}"/>
    <cellStyle name="20% - Énfasis1 3 6 3" xfId="21168" xr:uid="{CF759B1F-84DA-4FA6-BF59-D46DE878E60E}"/>
    <cellStyle name="20% - Énfasis1 3 6_1.2.b" xfId="14810" xr:uid="{F4A3982E-80A8-4B7C-94A3-6EA5B4661224}"/>
    <cellStyle name="20% - Énfasis1 3 7" xfId="12460" xr:uid="{350FA651-A218-401A-854D-5F27251361E6}"/>
    <cellStyle name="20% - Énfasis1 3 7 2" xfId="16537" xr:uid="{AC4F262E-2362-4058-A948-575DE66E1F19}"/>
    <cellStyle name="20% - Énfasis1 3 7 2 2" xfId="22802" xr:uid="{1F0B08C1-72EE-452E-AAE5-29694C0C3E6C}"/>
    <cellStyle name="20% - Énfasis1 3 7 3" xfId="21169" xr:uid="{F38832D6-4336-49CC-BF73-DAAF9AD7F7E5}"/>
    <cellStyle name="20% - Énfasis1 3 7_1.2.b" xfId="14811" xr:uid="{3B712708-1D18-482A-8024-E1211474777E}"/>
    <cellStyle name="20% - Énfasis1 3 8" xfId="12454" xr:uid="{A149A45A-1EB1-4AD1-B70D-21089756F693}"/>
    <cellStyle name="20% - Énfasis1 3 8 2" xfId="21165" xr:uid="{0612FC5F-768A-49AB-BE29-5F4FA582D04D}"/>
    <cellStyle name="20% - Énfasis1 3 9" xfId="16533" xr:uid="{19AF4672-9C9B-48AE-B88F-000C47F09D69}"/>
    <cellStyle name="20% - Énfasis1 3 9 2" xfId="22798" xr:uid="{83344990-1BAC-45BC-95CF-4B86C6B53719}"/>
    <cellStyle name="20% - Énfasis1 3_1.2.b" xfId="14807" xr:uid="{A566DDEC-4D0F-4584-9EFF-233B53BECAF6}"/>
    <cellStyle name="20% - Énfasis1 30" xfId="12461" xr:uid="{7E4E72A0-003C-46BD-B23A-99E376BE2BB3}"/>
    <cellStyle name="20% - Énfasis1 30 2" xfId="16538" xr:uid="{9D78C1D6-5A77-4CCA-91EB-7A3BFCA4B4D2}"/>
    <cellStyle name="20% - Énfasis1 30 2 2" xfId="22803" xr:uid="{2D1AB7AE-67A5-479E-8225-EFB68852C624}"/>
    <cellStyle name="20% - Énfasis1 30 3" xfId="21170" xr:uid="{5939350A-9359-4117-B42D-FFAA92BDD603}"/>
    <cellStyle name="20% - Énfasis1 30_1.2.b" xfId="14812" xr:uid="{7E901759-1EB9-4587-85DB-10BBBC45775B}"/>
    <cellStyle name="20% - Énfasis1 31" xfId="12462" xr:uid="{62AD3032-DDF5-464C-B665-1284CC2403EB}"/>
    <cellStyle name="20% - Énfasis1 31 2" xfId="16539" xr:uid="{4D49B2DD-663B-4E98-B481-950DDD85223C}"/>
    <cellStyle name="20% - Énfasis1 31 2 2" xfId="22804" xr:uid="{5B08C578-7584-48E4-8718-37136FBA1B30}"/>
    <cellStyle name="20% - Énfasis1 31 3" xfId="21171" xr:uid="{87149262-9A78-4928-B8C0-2251816FBA9B}"/>
    <cellStyle name="20% - Énfasis1 31_1.2.b" xfId="14813" xr:uid="{F7117166-FC9F-4771-97DA-EDB969A60671}"/>
    <cellStyle name="20% - Énfasis1 32" xfId="12463" xr:uid="{A781CF04-4B32-4B5D-9D18-559672ADB4C7}"/>
    <cellStyle name="20% - Énfasis1 32 2" xfId="16540" xr:uid="{4F669DB6-E710-4F51-AECC-F757E321720B}"/>
    <cellStyle name="20% - Énfasis1 32 2 2" xfId="22805" xr:uid="{E563DA05-618F-43C5-9644-C0BB3CBC3CBA}"/>
    <cellStyle name="20% - Énfasis1 32 3" xfId="21172" xr:uid="{9C9E2459-A072-462C-B448-1B68958F345F}"/>
    <cellStyle name="20% - Énfasis1 32_1.2.b" xfId="14814" xr:uid="{8E36BC47-D075-43E7-9038-524EF632CEDA}"/>
    <cellStyle name="20% - Énfasis1 33" xfId="12464" xr:uid="{00927129-D600-4064-A5D9-D6256A69298D}"/>
    <cellStyle name="20% - Énfasis1 33 2" xfId="16541" xr:uid="{FD2A8FB7-26C9-474F-9F65-43F30C021AB3}"/>
    <cellStyle name="20% - Énfasis1 33 2 2" xfId="22806" xr:uid="{3B25447C-E7BC-45C6-BD5E-A5F6C00C8145}"/>
    <cellStyle name="20% - Énfasis1 33 3" xfId="21173" xr:uid="{F596AADC-A40D-4AA5-B493-CB6374083239}"/>
    <cellStyle name="20% - Énfasis1 33_1.2.b" xfId="14815" xr:uid="{F393F0B4-A1FE-49FE-BF8A-6F442AC79C1D}"/>
    <cellStyle name="20% - Énfasis1 34" xfId="12465" xr:uid="{14F7BCEC-309F-4043-AC7B-A9CF6BBFA705}"/>
    <cellStyle name="20% - Énfasis1 34 2" xfId="16542" xr:uid="{EF553A26-70E6-4386-8493-F05A74601B61}"/>
    <cellStyle name="20% - Énfasis1 34 2 2" xfId="22807" xr:uid="{82EC7BF5-6D0C-437B-BEC0-21696D3EB249}"/>
    <cellStyle name="20% - Énfasis1 34 3" xfId="21174" xr:uid="{74B9B61D-11EA-47A6-98CE-86D202C843C0}"/>
    <cellStyle name="20% - Énfasis1 34_1.2.b" xfId="14816" xr:uid="{F4BB1668-8D48-4FD4-B50A-04748E6A3854}"/>
    <cellStyle name="20% - Énfasis1 35" xfId="12466" xr:uid="{381857AC-D0A8-4004-9CED-E683BFF36842}"/>
    <cellStyle name="20% - Énfasis1 35 2" xfId="16543" xr:uid="{2B659597-0126-4FC9-883D-9995B831ED79}"/>
    <cellStyle name="20% - Énfasis1 35 2 2" xfId="22808" xr:uid="{005AB49F-6A12-4F94-A398-6D641A5E211F}"/>
    <cellStyle name="20% - Énfasis1 35 3" xfId="21175" xr:uid="{51866C3F-F2A2-47E6-8FC9-E469A4C9DE9B}"/>
    <cellStyle name="20% - Énfasis1 35_1.2.b" xfId="14817" xr:uid="{25AB763F-DC0D-4311-8777-9B5ED1B34E34}"/>
    <cellStyle name="20% - Énfasis1 36" xfId="12467" xr:uid="{0FB174B0-73EA-4165-BD0E-5F04DB759227}"/>
    <cellStyle name="20% - Énfasis1 36 2" xfId="16544" xr:uid="{98CB01AE-6D1D-4E65-9F40-C20A53AEF210}"/>
    <cellStyle name="20% - Énfasis1 36 2 2" xfId="22809" xr:uid="{1D3FD501-A22D-47AB-95FB-B058A3BE86CB}"/>
    <cellStyle name="20% - Énfasis1 36 3" xfId="21176" xr:uid="{FE5A59D2-B481-417D-9B70-9CC7208255AA}"/>
    <cellStyle name="20% - Énfasis1 36_1.2.b" xfId="14818" xr:uid="{4677782E-6787-4758-8A0F-7577ECFE7797}"/>
    <cellStyle name="20% - Énfasis1 37" xfId="12468" xr:uid="{0E3FC961-9DC4-4E46-93A5-CBC3D3DC3FF3}"/>
    <cellStyle name="20% - Énfasis1 37 2" xfId="16545" xr:uid="{A3D55A78-3B0E-4088-A95F-FB1C3370C35B}"/>
    <cellStyle name="20% - Énfasis1 37 2 2" xfId="22810" xr:uid="{4314C91D-068A-475E-B0E4-72623CE011A7}"/>
    <cellStyle name="20% - Énfasis1 37 3" xfId="21177" xr:uid="{87A905B1-1FB8-4BDB-98CC-742FE86CF840}"/>
    <cellStyle name="20% - Énfasis1 37_1.2.b" xfId="14819" xr:uid="{50946E2E-A2DE-46A9-BA69-58D297AFC3C8}"/>
    <cellStyle name="20% - Énfasis1 38" xfId="12469" xr:uid="{C1B24105-9C98-4227-AB1B-53ADF4DAA5F4}"/>
    <cellStyle name="20% - Énfasis1 38 2" xfId="16546" xr:uid="{AD143074-D861-478E-9DA0-DD33717C11A2}"/>
    <cellStyle name="20% - Énfasis1 38 2 2" xfId="22811" xr:uid="{BCC19D66-FD2A-4360-B256-0D0BF2D9D555}"/>
    <cellStyle name="20% - Énfasis1 38 3" xfId="21178" xr:uid="{A61529B9-4801-432A-BE54-C602BA4AF2BF}"/>
    <cellStyle name="20% - Énfasis1 38_1.2.b" xfId="14820" xr:uid="{F38B10D8-0E0F-449D-9824-EF37B979B1CB}"/>
    <cellStyle name="20% - Énfasis1 39" xfId="12470" xr:uid="{2A639936-6EBD-4BA3-94CC-D9AB3E90B122}"/>
    <cellStyle name="20% - Énfasis1 39 2" xfId="16547" xr:uid="{0809EF29-1E69-4BF3-BB57-7249915710B4}"/>
    <cellStyle name="20% - Énfasis1 39 2 2" xfId="22812" xr:uid="{73A12779-5063-48CF-97DD-74A5BC1F5764}"/>
    <cellStyle name="20% - Énfasis1 39 3" xfId="21179" xr:uid="{43B2D6D9-E857-44DD-B4DC-27A5F9B1A526}"/>
    <cellStyle name="20% - Énfasis1 39_1.2.b" xfId="14821" xr:uid="{54A7F579-6106-4CAC-8423-CC486767EE26}"/>
    <cellStyle name="20% - Énfasis1 4" xfId="174" xr:uid="{00000000-0005-0000-0000-000012000000}"/>
    <cellStyle name="20% - Énfasis1 4 2" xfId="10694" xr:uid="{00000000-0005-0000-0000-000013000000}"/>
    <cellStyle name="20% - Énfasis1 4 2 2" xfId="12473" xr:uid="{6B13FA58-573E-4A3D-9C3B-B7382AA7F076}"/>
    <cellStyle name="20% - Énfasis1 4 2 2 2" xfId="16550" xr:uid="{B2D08750-6A13-45F8-8929-9B41528CB527}"/>
    <cellStyle name="20% - Énfasis1 4 2 2 2 2" xfId="22814" xr:uid="{9646B0C8-3FB1-422E-8F49-61979BB36B2C}"/>
    <cellStyle name="20% - Énfasis1 4 2 2 3" xfId="21181" xr:uid="{0D99CCD3-1B0F-4104-B037-BB3EFD573252}"/>
    <cellStyle name="20% - Énfasis1 4 2 2_1.2.b" xfId="14824" xr:uid="{EE5315DC-FE65-49E7-B7E8-286155A9BD0A}"/>
    <cellStyle name="20% - Énfasis1 4 2 3" xfId="12472" xr:uid="{6D1F5E74-B5BA-4DE9-9D2B-D7CECC8D7845}"/>
    <cellStyle name="20% - Énfasis1 4 2 4" xfId="16549" xr:uid="{91A85964-DF36-43AE-A3F1-443F6A9F5899}"/>
    <cellStyle name="20% - Énfasis1 4 2 5" xfId="18109" xr:uid="{2F4989E2-F493-4B13-AF87-38044C5276A3}"/>
    <cellStyle name="20% - Énfasis1 4 2 6" xfId="18265" xr:uid="{E0849738-D9E6-4D8D-A50F-369112105B22}"/>
    <cellStyle name="20% - Énfasis1 4 2 7" xfId="18140" xr:uid="{A4CB70AF-F44D-4F16-BEB5-19087B26F1FE}"/>
    <cellStyle name="20% - Énfasis1 4 2 8" xfId="18278" xr:uid="{1E9BEB7A-9756-4780-9DC5-D9E456F27A10}"/>
    <cellStyle name="20% - Énfasis1 4 2 9" xfId="19786" xr:uid="{05221C7B-9A25-44B6-A49F-6D3AF230995C}"/>
    <cellStyle name="20% - Énfasis1 4 2_1.2.b" xfId="14823" xr:uid="{573BC9EF-E8F4-44CC-9650-423B655F5B1E}"/>
    <cellStyle name="20% - Énfasis1 4 3" xfId="12474" xr:uid="{18AF64B5-EBF9-4432-ACF5-1976CC78FFEA}"/>
    <cellStyle name="20% - Énfasis1 4 3 2" xfId="16551" xr:uid="{9ECA14B0-8888-4764-ADF1-279CA999DADA}"/>
    <cellStyle name="20% - Énfasis1 4 3 2 2" xfId="22815" xr:uid="{5C8D5306-D3F8-4F23-9273-E8D54E689927}"/>
    <cellStyle name="20% - Énfasis1 4 3 3" xfId="21182" xr:uid="{3E39B06D-20CF-443B-9E44-6D1C9D2A3A66}"/>
    <cellStyle name="20% - Énfasis1 4 3_1.2.b" xfId="14825" xr:uid="{0800F830-5B63-4B41-AB64-9CD351C91925}"/>
    <cellStyle name="20% - Énfasis1 4 4" xfId="12475" xr:uid="{4C750ABB-92F1-4EE6-BB81-9FF7800078D5}"/>
    <cellStyle name="20% - Énfasis1 4 4 2" xfId="16552" xr:uid="{BB7BAC7B-FF93-4644-8CA2-3E4005B1720E}"/>
    <cellStyle name="20% - Énfasis1 4 4 2 2" xfId="22816" xr:uid="{BFBCC10C-360E-448F-8950-B749884120C9}"/>
    <cellStyle name="20% - Énfasis1 4 4 3" xfId="21183" xr:uid="{DEB533E9-A334-4D99-95B4-17CB6847A490}"/>
    <cellStyle name="20% - Énfasis1 4 4_1.2.b" xfId="14826" xr:uid="{9E831DCE-52ED-43C3-B61B-CF5B1219A3DA}"/>
    <cellStyle name="20% - Énfasis1 4 5" xfId="12476" xr:uid="{3DAE89DC-0883-4CEC-917F-9BB1CFE1E9F2}"/>
    <cellStyle name="20% - Énfasis1 4 5 2" xfId="16553" xr:uid="{BC97C8F2-036E-4387-9BCF-B54F6468B0B6}"/>
    <cellStyle name="20% - Énfasis1 4 5 2 2" xfId="22817" xr:uid="{FD95B586-F1EB-4BA8-A3EE-5A121DF58959}"/>
    <cellStyle name="20% - Énfasis1 4 5 3" xfId="21184" xr:uid="{84157663-F99E-4EAE-A2B1-ED0BF06E85E6}"/>
    <cellStyle name="20% - Énfasis1 4 5_1.2.b" xfId="14827" xr:uid="{629540E7-7846-40B8-BF8A-11595B9CC0E8}"/>
    <cellStyle name="20% - Énfasis1 4 6" xfId="12477" xr:uid="{710CD777-3EBA-4D3C-8B1A-7705DBB14AB8}"/>
    <cellStyle name="20% - Énfasis1 4 6 2" xfId="16554" xr:uid="{F71B0C60-CFD9-4A0D-BAC5-1128B3D1D221}"/>
    <cellStyle name="20% - Énfasis1 4 6 2 2" xfId="22818" xr:uid="{EE5283C4-F070-4E9E-B2E1-3EC0D8695087}"/>
    <cellStyle name="20% - Énfasis1 4 6 3" xfId="21185" xr:uid="{949E7931-C5CD-40A6-B761-A782B2BE654D}"/>
    <cellStyle name="20% - Énfasis1 4 6_1.2.b" xfId="14828" xr:uid="{CE2D1D71-CD23-4C41-A975-A3114ECA5E7C}"/>
    <cellStyle name="20% - Énfasis1 4 7" xfId="12471" xr:uid="{EFDABC86-AB21-4142-AAA1-A6DDB9AD6B36}"/>
    <cellStyle name="20% - Énfasis1 4 7 2" xfId="21180" xr:uid="{301EB9D5-D484-44A8-B0E2-C7D8B6FD78ED}"/>
    <cellStyle name="20% - Énfasis1 4 8" xfId="16548" xr:uid="{91157963-F18F-4542-89E3-636B4D15068C}"/>
    <cellStyle name="20% - Énfasis1 4 8 2" xfId="22813" xr:uid="{18FB267F-F8EC-4B54-A5B1-6DCFB25E9874}"/>
    <cellStyle name="20% - Énfasis1 4 9" xfId="18418" xr:uid="{3859D1C4-C7DE-4F08-8E4E-855C8F11816E}"/>
    <cellStyle name="20% - Énfasis1 4_1.2.b" xfId="14822" xr:uid="{EFAABD4E-88D7-42CB-B548-6DDAFFEB378E}"/>
    <cellStyle name="20% - Énfasis1 40" xfId="12478" xr:uid="{4A80DFA9-CDDC-48CB-A813-883DDF0BF7D4}"/>
    <cellStyle name="20% - Énfasis1 40 2" xfId="16555" xr:uid="{FC7AD74B-9BE9-403D-B200-FB1A449F022E}"/>
    <cellStyle name="20% - Énfasis1 40 2 2" xfId="22819" xr:uid="{C0063765-7A2F-496B-9AAF-45EE1C363DE8}"/>
    <cellStyle name="20% - Énfasis1 40 3" xfId="21186" xr:uid="{2CEEF37D-2F0C-46C8-A6AD-A4C5B914581F}"/>
    <cellStyle name="20% - Énfasis1 40_1.2.b" xfId="14829" xr:uid="{C2EB83B0-6236-473A-AF3D-E7A940060AF6}"/>
    <cellStyle name="20% - Énfasis1 41" xfId="12479" xr:uid="{E5025A50-9D38-4A2A-B016-BDDD940846D2}"/>
    <cellStyle name="20% - Énfasis1 41 2" xfId="16556" xr:uid="{21D52CB6-C1CE-4562-BD6E-A3EC9DC9C123}"/>
    <cellStyle name="20% - Énfasis1 41 2 2" xfId="22820" xr:uid="{F3892554-7306-4CBF-A1A6-FC313B0AD325}"/>
    <cellStyle name="20% - Énfasis1 41 3" xfId="21187" xr:uid="{C5198D23-288B-468E-99E6-DD268D5095DA}"/>
    <cellStyle name="20% - Énfasis1 41_1.2.b" xfId="14830" xr:uid="{52C71A1C-1768-4AC0-B0F7-8A265C2C0168}"/>
    <cellStyle name="20% - Énfasis1 42" xfId="12480" xr:uid="{16EF7778-62B1-4441-A8BB-6643927F1ECD}"/>
    <cellStyle name="20% - Énfasis1 42 2" xfId="16557" xr:uid="{DD0C25DF-B144-43E2-B45E-0C53A59081B4}"/>
    <cellStyle name="20% - Énfasis1 42 2 2" xfId="22821" xr:uid="{6BD404A0-B7A2-4B10-BDAD-93FF2631E3FC}"/>
    <cellStyle name="20% - Énfasis1 42 3" xfId="21188" xr:uid="{D5D5D469-D1E7-4E42-902B-AB2F7B591213}"/>
    <cellStyle name="20% - Énfasis1 42_1.2.b" xfId="14831" xr:uid="{2AE0E06D-EA27-4C75-AF76-842903E41FF4}"/>
    <cellStyle name="20% - Énfasis1 43" xfId="12481" xr:uid="{ECD69C49-711D-40F7-8F02-46133D4622E2}"/>
    <cellStyle name="20% - Énfasis1 43 2" xfId="16558" xr:uid="{508EA71B-C9D2-46D5-B916-0D32855E209B}"/>
    <cellStyle name="20% - Énfasis1 43 2 2" xfId="22822" xr:uid="{9A0FD95A-31D2-4E65-9C9C-E5A115F5FAF7}"/>
    <cellStyle name="20% - Énfasis1 43 3" xfId="21189" xr:uid="{FA4BC709-FA41-42D4-AFE0-9347B608E0F6}"/>
    <cellStyle name="20% - Énfasis1 43_1.2.b" xfId="14832" xr:uid="{B0EDACDF-2CE4-41CD-9D4C-5178CBCDA913}"/>
    <cellStyle name="20% - Énfasis1 44" xfId="12482" xr:uid="{CCF8B539-1088-4C0A-810B-AA5241B033B7}"/>
    <cellStyle name="20% - Énfasis1 44 2" xfId="16559" xr:uid="{083EBBCF-9FB2-453A-9EF6-2BE9AC0E7C05}"/>
    <cellStyle name="20% - Énfasis1 44 2 2" xfId="22823" xr:uid="{A039526E-B234-4CBF-84D0-3CC478417928}"/>
    <cellStyle name="20% - Énfasis1 44 3" xfId="21190" xr:uid="{8278FBC8-2DAF-4F0A-B47F-680BB5D9EA9B}"/>
    <cellStyle name="20% - Énfasis1 44_1.2.b" xfId="14833" xr:uid="{BFE14108-1F7D-4A09-9F6E-8F6578BDE589}"/>
    <cellStyle name="20% - Énfasis1 45" xfId="12483" xr:uid="{0EC99B90-593A-4EC1-AA0D-117DE8D592C3}"/>
    <cellStyle name="20% - Énfasis1 45 2" xfId="16560" xr:uid="{F4A12883-93CB-4DDD-A622-AF2D4C0E456A}"/>
    <cellStyle name="20% - Énfasis1 45 2 2" xfId="22824" xr:uid="{4AD6680E-59B7-4C3A-9883-BDF187D52075}"/>
    <cellStyle name="20% - Énfasis1 45 3" xfId="21191" xr:uid="{5003D0B3-DC30-4E76-84AF-5E59DB7B8BD2}"/>
    <cellStyle name="20% - Énfasis1 45_1.2.b" xfId="14834" xr:uid="{DE9ACC1B-AC57-4669-8B59-90B8861721B2}"/>
    <cellStyle name="20% - Énfasis1 46" xfId="12484" xr:uid="{E86369AB-D5C9-4650-8BF6-CDE691DDFE7B}"/>
    <cellStyle name="20% - Énfasis1 46 2" xfId="16561" xr:uid="{EE0A2359-8730-43BB-8FE4-88664865EBA0}"/>
    <cellStyle name="20% - Énfasis1 46 2 2" xfId="22825" xr:uid="{31A31793-9944-43FF-81B6-E2BF1FEE6679}"/>
    <cellStyle name="20% - Énfasis1 46 3" xfId="21192" xr:uid="{ED86D9F0-EA63-4678-9335-6F16DCE94A9D}"/>
    <cellStyle name="20% - Énfasis1 46_1.2.b" xfId="14835" xr:uid="{4BC6FC0B-AC57-424E-BD68-0664B4E95161}"/>
    <cellStyle name="20% - Énfasis1 47" xfId="12485" xr:uid="{F55EBD10-4E63-4151-A919-590A501A6530}"/>
    <cellStyle name="20% - Énfasis1 47 2" xfId="16562" xr:uid="{63F890A1-ADF0-4BED-B00C-AF57C55F2DD7}"/>
    <cellStyle name="20% - Énfasis1 47 2 2" xfId="22826" xr:uid="{FEF7CCB6-7B82-4E84-9485-07D55B46EF82}"/>
    <cellStyle name="20% - Énfasis1 47 3" xfId="21193" xr:uid="{98A48C0D-C623-42CD-AF6E-29FA77695AC8}"/>
    <cellStyle name="20% - Énfasis1 47_1.2.b" xfId="14836" xr:uid="{B99ABA05-7296-44A2-8960-CFE4327D80C4}"/>
    <cellStyle name="20% - Énfasis1 48" xfId="12486" xr:uid="{744F8301-E0A0-4FB6-9C0E-A14FFA9073E0}"/>
    <cellStyle name="20% - Énfasis1 48 2" xfId="16563" xr:uid="{9733A5BE-3575-4FC3-AF49-D63B2D66B296}"/>
    <cellStyle name="20% - Énfasis1 48 2 2" xfId="22827" xr:uid="{4D6F89F4-0CBB-4548-9A28-3B1BEDEE78D7}"/>
    <cellStyle name="20% - Énfasis1 48 3" xfId="21194" xr:uid="{05C4228A-F9C5-4B13-BF07-93E409C6D96E}"/>
    <cellStyle name="20% - Énfasis1 48_1.2.b" xfId="14837" xr:uid="{7E67B13E-EEB2-416E-ADDB-A3566D87B192}"/>
    <cellStyle name="20% - Énfasis1 49" xfId="12487" xr:uid="{E4C07547-8CAE-453C-B1D2-D580973BD08C}"/>
    <cellStyle name="20% - Énfasis1 49 2" xfId="16564" xr:uid="{D56F78A9-47FD-4414-A072-FB30264D0F9B}"/>
    <cellStyle name="20% - Énfasis1 49 2 2" xfId="22828" xr:uid="{5CDD5495-4025-4891-A60A-2DC9A6E861CE}"/>
    <cellStyle name="20% - Énfasis1 49 3" xfId="21195" xr:uid="{842ACD80-8099-4B4D-8756-1A89C2A2AAE7}"/>
    <cellStyle name="20% - Énfasis1 49_1.2.b" xfId="14838" xr:uid="{D1FA3131-730D-4804-B6BD-8BA5DEC75C42}"/>
    <cellStyle name="20% - Énfasis1 5" xfId="189" xr:uid="{00000000-0005-0000-0000-000014000000}"/>
    <cellStyle name="20% - Énfasis1 5 2" xfId="10709" xr:uid="{00000000-0005-0000-0000-000015000000}"/>
    <cellStyle name="20% - Énfasis1 5 2 2" xfId="12489" xr:uid="{E39B1E4E-51A9-40AB-8A26-78592AA6441C}"/>
    <cellStyle name="20% - Énfasis1 5 2 2 2" xfId="21197" xr:uid="{0392431B-0B5D-4BA2-BBA4-DB7B7D718576}"/>
    <cellStyle name="20% - Énfasis1 5 2 3" xfId="16566" xr:uid="{EAA7AFBA-E818-49B5-A433-6DB6A2833FBE}"/>
    <cellStyle name="20% - Énfasis1 5 2 3 2" xfId="22830" xr:uid="{4E5F98B1-399F-4593-8FA9-ECE6CDC964B0}"/>
    <cellStyle name="20% - Énfasis1 5 2 4" xfId="19801" xr:uid="{056146FC-E6EE-416C-AB74-C16E22515982}"/>
    <cellStyle name="20% - Énfasis1 5 2_1.2.b" xfId="14840" xr:uid="{DE133259-1BE9-4CA1-8AE3-9B49DBD18745}"/>
    <cellStyle name="20% - Énfasis1 5 3" xfId="12490" xr:uid="{EDE42DD8-C6AA-4BA5-A412-706B4676E686}"/>
    <cellStyle name="20% - Énfasis1 5 3 2" xfId="16567" xr:uid="{7E0AE50A-EA78-4D6A-8549-7B0869F28F99}"/>
    <cellStyle name="20% - Énfasis1 5 3 2 2" xfId="22831" xr:uid="{F24FF6B1-385A-431A-88C3-F5BE80B3CE21}"/>
    <cellStyle name="20% - Énfasis1 5 3 3" xfId="21198" xr:uid="{99A4F050-7A02-4C2A-BCD0-F5511A8D7D95}"/>
    <cellStyle name="20% - Énfasis1 5 3_1.2.b" xfId="14841" xr:uid="{C39D4B9A-AF8B-43C6-A2C1-C417A284E325}"/>
    <cellStyle name="20% - Énfasis1 5 4" xfId="12488" xr:uid="{6B9BC48A-7054-4467-8372-C67C934C4E9F}"/>
    <cellStyle name="20% - Énfasis1 5 4 2" xfId="21196" xr:uid="{7A5B8437-DC48-4292-824E-DCA3065AC013}"/>
    <cellStyle name="20% - Énfasis1 5 5" xfId="16565" xr:uid="{F398AA52-21AE-45C8-A30D-6A791780F429}"/>
    <cellStyle name="20% - Énfasis1 5 5 2" xfId="22829" xr:uid="{50677FCF-8F49-4165-9B96-20456700291B}"/>
    <cellStyle name="20% - Énfasis1 5 6" xfId="18433" xr:uid="{6CEC211A-6074-41CB-B6BE-D4ECD1D29F6C}"/>
    <cellStyle name="20% - Énfasis1 5_1.2.b" xfId="14839" xr:uid="{C98754BE-CFC7-4607-ADCB-52A7E607305E}"/>
    <cellStyle name="20% - Énfasis1 50" xfId="12491" xr:uid="{9361A56D-AA73-47C7-A43E-771AE1DB3D3E}"/>
    <cellStyle name="20% - Énfasis1 50 2" xfId="16568" xr:uid="{A88414C2-357E-48A4-9E2C-DF0690332FD9}"/>
    <cellStyle name="20% - Énfasis1 50 2 2" xfId="22832" xr:uid="{3A86159A-672C-41F6-9AB2-669EE292EEED}"/>
    <cellStyle name="20% - Énfasis1 50 3" xfId="21199" xr:uid="{C84C7535-3C6C-4202-AACF-8D9CC1A67BDE}"/>
    <cellStyle name="20% - Énfasis1 50_1.2.b" xfId="14842" xr:uid="{5EABD753-C80F-46BD-85C7-E97FB0C77670}"/>
    <cellStyle name="20% - Énfasis1 51" xfId="12492" xr:uid="{13348A0C-0A7C-4E81-A036-F7B307917C57}"/>
    <cellStyle name="20% - Énfasis1 51 2" xfId="16569" xr:uid="{C4D2FC24-D1E9-4F15-BFF3-3329B723C4B4}"/>
    <cellStyle name="20% - Énfasis1 51 2 2" xfId="22833" xr:uid="{E7E3A5E3-0481-4711-91D9-0E6AC7248E3C}"/>
    <cellStyle name="20% - Énfasis1 51 3" xfId="21200" xr:uid="{6FC3F5C4-7B9C-4FC9-BEEB-754A8BF551F1}"/>
    <cellStyle name="20% - Énfasis1 51_1.2.b" xfId="14843" xr:uid="{BDD1FE05-9634-42B3-B89D-E0E8C9132E7E}"/>
    <cellStyle name="20% - Énfasis1 52" xfId="12493" xr:uid="{ACEA6CDF-7903-4DA1-80D4-AB30E38B8565}"/>
    <cellStyle name="20% - Énfasis1 52 2" xfId="16570" xr:uid="{71E37A69-5372-47E2-8057-FA7938718148}"/>
    <cellStyle name="20% - Énfasis1 52 2 2" xfId="22834" xr:uid="{B91BBD37-E98A-4A72-A8F3-CE107C6ABFCA}"/>
    <cellStyle name="20% - Énfasis1 52 3" xfId="21201" xr:uid="{8425F9B0-00F4-4FFF-9CBC-1550171A8B78}"/>
    <cellStyle name="20% - Énfasis1 52_1.2.b" xfId="14844" xr:uid="{E17E626A-8F73-4BC9-8B1D-10FE95DA4DFD}"/>
    <cellStyle name="20% - Énfasis1 53" xfId="12494" xr:uid="{64C870DD-2FDF-4797-B6FE-544961B80761}"/>
    <cellStyle name="20% - Énfasis1 53 2" xfId="16571" xr:uid="{73A344D4-95FA-427F-87A0-005C412CF88B}"/>
    <cellStyle name="20% - Énfasis1 53 2 2" xfId="22835" xr:uid="{F86E6BE7-F515-4B99-8B1D-23EAC92C6834}"/>
    <cellStyle name="20% - Énfasis1 53 3" xfId="21202" xr:uid="{FD37CF26-8389-4C74-AE60-B03F33ED8DC4}"/>
    <cellStyle name="20% - Énfasis1 53_1.2.b" xfId="14845" xr:uid="{75578B19-80F7-4389-BDC0-2D465C522517}"/>
    <cellStyle name="20% - Énfasis1 54" xfId="12495" xr:uid="{2954CEBA-12BA-4ED4-BEFE-CE7DA5F07E51}"/>
    <cellStyle name="20% - Énfasis1 54 2" xfId="16572" xr:uid="{2F61BE50-8AE6-4210-AF56-3A9F4D6E06C8}"/>
    <cellStyle name="20% - Énfasis1 54 2 2" xfId="22836" xr:uid="{778475E7-A504-419D-B126-3851130A1D9F}"/>
    <cellStyle name="20% - Énfasis1 54 3" xfId="21203" xr:uid="{4F5B71F2-2E48-4812-8D66-949753308E51}"/>
    <cellStyle name="20% - Énfasis1 54_1.2.b" xfId="14846" xr:uid="{643D35E6-4099-4B75-BF65-E86C12B6F80E}"/>
    <cellStyle name="20% - Énfasis1 55" xfId="12496" xr:uid="{E320D6F7-40EC-4169-AA3B-DCADA23AF7CD}"/>
    <cellStyle name="20% - Énfasis1 55 2" xfId="16573" xr:uid="{F1BFEFCA-9510-41CF-B5C9-9AF02758FD68}"/>
    <cellStyle name="20% - Énfasis1 55 2 2" xfId="22837" xr:uid="{C9593250-27DA-41AB-9BF7-39D3A98E2AF0}"/>
    <cellStyle name="20% - Énfasis1 55 3" xfId="21204" xr:uid="{68807813-003A-4CF2-B20D-F8646C0098C8}"/>
    <cellStyle name="20% - Énfasis1 55_1.2.b" xfId="14847" xr:uid="{DD0814D9-8058-4586-A814-6A867BEF14FB}"/>
    <cellStyle name="20% - Énfasis1 56" xfId="12497" xr:uid="{C3AE5C31-92E4-43EA-B925-5254EF7A2D28}"/>
    <cellStyle name="20% - Énfasis1 56 2" xfId="16574" xr:uid="{217FBABF-FAF5-4E7E-96AC-06117658B37F}"/>
    <cellStyle name="20% - Énfasis1 56 2 2" xfId="22838" xr:uid="{790684F4-314B-45DA-B810-FC6482B98B8D}"/>
    <cellStyle name="20% - Énfasis1 56 3" xfId="21205" xr:uid="{1AE42D94-2814-4DFD-ACB2-6F422C7C4A14}"/>
    <cellStyle name="20% - Énfasis1 56_1.2.b" xfId="14848" xr:uid="{C06AA589-10EC-4B26-A9AF-067366E10873}"/>
    <cellStyle name="20% - Énfasis1 57" xfId="12498" xr:uid="{D9C234AA-2DC8-4F08-8320-C3F59AFF0DF2}"/>
    <cellStyle name="20% - Énfasis1 57 2" xfId="16575" xr:uid="{6E98969B-0C24-4001-BA68-3B35A18A52EA}"/>
    <cellStyle name="20% - Énfasis1 57 2 2" xfId="22839" xr:uid="{43364DFB-C282-494E-8956-257FD16D2E21}"/>
    <cellStyle name="20% - Énfasis1 57 3" xfId="21206" xr:uid="{2A6354ED-6311-4C48-9078-DAD3925CAC1C}"/>
    <cellStyle name="20% - Énfasis1 57_1.2.b" xfId="14849" xr:uid="{C81B766E-A834-4543-A00E-02708B58003D}"/>
    <cellStyle name="20% - Énfasis1 58" xfId="12499" xr:uid="{9E9F74BE-E2E5-4BDC-A884-6CE35707B4F4}"/>
    <cellStyle name="20% - Énfasis1 58 2" xfId="16576" xr:uid="{68438075-F817-4159-BB7A-13E7255CDA1F}"/>
    <cellStyle name="20% - Énfasis1 58 2 2" xfId="22840" xr:uid="{E0A9B9F8-4597-4E87-9015-BDBEF2EC8263}"/>
    <cellStyle name="20% - Énfasis1 58 3" xfId="21207" xr:uid="{1EDD7172-50FC-417E-A719-5148289C6621}"/>
    <cellStyle name="20% - Énfasis1 58_1.2.b" xfId="14850" xr:uid="{E92E1DCD-0A93-4124-BE03-9D0B19E925A2}"/>
    <cellStyle name="20% - Énfasis1 59" xfId="12500" xr:uid="{8C14F3D2-CFC4-4431-B869-73213E73A79C}"/>
    <cellStyle name="20% - Énfasis1 59 2" xfId="16577" xr:uid="{5FD14D7B-1715-45AC-84EC-EA27DE4A3F01}"/>
    <cellStyle name="20% - Énfasis1 59 2 2" xfId="22841" xr:uid="{E3214BF0-AC20-4F08-B1B2-76E209C09CCD}"/>
    <cellStyle name="20% - Énfasis1 59 3" xfId="21208" xr:uid="{F8A5AC73-1AA0-4529-8F8C-0AF1A87EE742}"/>
    <cellStyle name="20% - Énfasis1 59_1.2.b" xfId="14851" xr:uid="{47C6F707-AA59-4D90-A0BA-3A4EE7EB8FAE}"/>
    <cellStyle name="20% - Énfasis1 6" xfId="203" xr:uid="{00000000-0005-0000-0000-000016000000}"/>
    <cellStyle name="20% - Énfasis1 6 2" xfId="10723" xr:uid="{00000000-0005-0000-0000-000017000000}"/>
    <cellStyle name="20% - Énfasis1 6 2 2" xfId="12502" xr:uid="{2D8F16FC-2D8D-4365-8CA9-191F111778DA}"/>
    <cellStyle name="20% - Énfasis1 6 2 2 2" xfId="21210" xr:uid="{B10163B1-A51B-451F-9933-C5C7195DBDA3}"/>
    <cellStyle name="20% - Énfasis1 6 2 3" xfId="16579" xr:uid="{38098BEC-746F-4523-9B29-C12B5CAF6AA4}"/>
    <cellStyle name="20% - Énfasis1 6 2 3 2" xfId="22843" xr:uid="{61BA96FE-B75E-4F21-A07E-85A1BF420674}"/>
    <cellStyle name="20% - Énfasis1 6 2 4" xfId="19815" xr:uid="{FB1A01F3-AD34-408A-85CA-BCCDC0E6A372}"/>
    <cellStyle name="20% - Énfasis1 6 2_1.2.b" xfId="14853" xr:uid="{A6DF8C00-FB7B-4B97-92CA-13AAA49B2E21}"/>
    <cellStyle name="20% - Énfasis1 6 3" xfId="12501" xr:uid="{44B0F6D6-612F-4A4B-9E5C-C8D8F2F10BB0}"/>
    <cellStyle name="20% - Énfasis1 6 3 2" xfId="21209" xr:uid="{E547A4B3-0630-4607-8530-93BFA2150AF6}"/>
    <cellStyle name="20% - Énfasis1 6 4" xfId="16578" xr:uid="{AA9E5669-25E7-4829-8B08-3EF7064D81E4}"/>
    <cellStyle name="20% - Énfasis1 6 4 2" xfId="22842" xr:uid="{3E8C6B53-9648-46DE-B8C2-E1DC0B9183E0}"/>
    <cellStyle name="20% - Énfasis1 6 5" xfId="18447" xr:uid="{C15CC9BD-90AA-4F44-B572-E23C31EC9242}"/>
    <cellStyle name="20% - Énfasis1 6_1.2.b" xfId="14852" xr:uid="{792491FA-531F-423C-9C8B-DE03B7F234DB}"/>
    <cellStyle name="20% - Énfasis1 60" xfId="12503" xr:uid="{1AC0EB8F-022A-4D03-841E-07D40AF3D0CD}"/>
    <cellStyle name="20% - Énfasis1 60 2" xfId="16580" xr:uid="{D6F5AC51-6B13-4DDD-A021-46D7EDD8207A}"/>
    <cellStyle name="20% - Énfasis1 60 2 2" xfId="22844" xr:uid="{42A4CBB6-C908-47E4-B5FC-D70B74EE1D04}"/>
    <cellStyle name="20% - Énfasis1 60 3" xfId="21211" xr:uid="{93E26D33-1CE9-431F-B24D-FC52DC4A417E}"/>
    <cellStyle name="20% - Énfasis1 60_1.2.b" xfId="14854" xr:uid="{CE29E116-60DB-486A-8662-4912DEA8B5ED}"/>
    <cellStyle name="20% - Énfasis1 61" xfId="12504" xr:uid="{5AA45871-AD03-4462-8C45-C338E9674559}"/>
    <cellStyle name="20% - Énfasis1 61 2" xfId="16581" xr:uid="{BDC6243B-DA42-4968-A8A4-534B66A2F9C4}"/>
    <cellStyle name="20% - Énfasis1 61 2 2" xfId="22845" xr:uid="{8C29432A-1FE9-41DD-B1E9-C51493DD12B3}"/>
    <cellStyle name="20% - Énfasis1 61 3" xfId="21212" xr:uid="{ABFED557-A906-4192-90F4-69F45B107FDB}"/>
    <cellStyle name="20% - Énfasis1 61_1.2.b" xfId="14855" xr:uid="{823D67C9-F19B-419A-BE25-40644B73E222}"/>
    <cellStyle name="20% - Énfasis1 62" xfId="12505" xr:uid="{B53B3933-63F4-45EE-A2C8-C9EE13E25C25}"/>
    <cellStyle name="20% - Énfasis1 62 2" xfId="16582" xr:uid="{91F675A0-BCDE-4BC8-91F3-BEB31B7F90AE}"/>
    <cellStyle name="20% - Énfasis1 62 2 2" xfId="22846" xr:uid="{79DE6BF2-2C4B-4934-9A07-E51907731DFB}"/>
    <cellStyle name="20% - Énfasis1 62 3" xfId="21213" xr:uid="{2A64C2C5-6ACE-4F51-BC98-9E5820000DC2}"/>
    <cellStyle name="20% - Énfasis1 62_1.2.b" xfId="14856" xr:uid="{E8107EE4-96F4-46C6-AE47-D2CB44C960C3}"/>
    <cellStyle name="20% - Énfasis1 63" xfId="12506" xr:uid="{45CF8446-F6CA-483B-9535-038B96E23E34}"/>
    <cellStyle name="20% - Énfasis1 63 2" xfId="16583" xr:uid="{91E81527-762D-4BEA-848C-B6E3D7D56AC5}"/>
    <cellStyle name="20% - Énfasis1 63 2 2" xfId="22847" xr:uid="{40138541-C4A3-4E99-979A-DBA0ABDC3EB3}"/>
    <cellStyle name="20% - Énfasis1 63 3" xfId="21214" xr:uid="{330C1943-401A-4BDF-9BEE-5D474579F8A1}"/>
    <cellStyle name="20% - Énfasis1 63_1.2.b" xfId="14857" xr:uid="{4520487A-4156-440C-95CB-9FDEFB5B4116}"/>
    <cellStyle name="20% - Énfasis1 64" xfId="12507" xr:uid="{514FA450-7453-4678-A11A-11B8681E5E60}"/>
    <cellStyle name="20% - Énfasis1 64 2" xfId="16584" xr:uid="{3580A51A-5AAB-46CA-A152-C64C11DBF211}"/>
    <cellStyle name="20% - Énfasis1 64 2 2" xfId="22848" xr:uid="{88E8B637-65B3-40E8-8A66-AEBFE9700250}"/>
    <cellStyle name="20% - Énfasis1 64 3" xfId="21215" xr:uid="{FF6F676A-CA74-4AF9-B43B-955A644E608E}"/>
    <cellStyle name="20% - Énfasis1 64_1.2.b" xfId="14858" xr:uid="{2320365D-C581-4BE6-8ED8-93B87B28EDCE}"/>
    <cellStyle name="20% - Énfasis1 65" xfId="12508" xr:uid="{84EB05D9-0F39-4FFD-8B40-D84246E8B0FF}"/>
    <cellStyle name="20% - Énfasis1 65 2" xfId="16585" xr:uid="{56B03604-07D3-4169-8DE1-ADB14ACDACE2}"/>
    <cellStyle name="20% - Énfasis1 65 2 2" xfId="22849" xr:uid="{5B640852-0F06-498E-90F0-7B92959DA325}"/>
    <cellStyle name="20% - Énfasis1 65 3" xfId="21216" xr:uid="{1C30BD04-7BAC-4812-84ED-90B206D33EF8}"/>
    <cellStyle name="20% - Énfasis1 65_1.2.b" xfId="14859" xr:uid="{4B644AF9-C342-4698-8EE4-CCCAD20C8006}"/>
    <cellStyle name="20% - Énfasis1 66" xfId="12509" xr:uid="{F04A2809-80F1-460A-BCA4-5FEC6E4CFB48}"/>
    <cellStyle name="20% - Énfasis1 66 2" xfId="16586" xr:uid="{AA0F4F52-F38F-49B2-9B29-60D23DE9561C}"/>
    <cellStyle name="20% - Énfasis1 66 2 2" xfId="22850" xr:uid="{F3C7A214-181A-4A48-B0FC-19D88CAA0B73}"/>
    <cellStyle name="20% - Énfasis1 66 3" xfId="21217" xr:uid="{F92A4ECE-2D4A-4741-A28C-401DA3953B0A}"/>
    <cellStyle name="20% - Énfasis1 66_1.2.b" xfId="14860" xr:uid="{BA165673-86E0-4BF4-BA3E-05A2A38EAF1A}"/>
    <cellStyle name="20% - Énfasis1 67" xfId="12510" xr:uid="{9FA02F87-0621-468D-84F7-A95103B1810A}"/>
    <cellStyle name="20% - Énfasis1 67 2" xfId="16587" xr:uid="{47E41F05-CD29-4945-8E12-72902A79FAB3}"/>
    <cellStyle name="20% - Énfasis1 67 2 2" xfId="22851" xr:uid="{55AC4C40-1AE0-45A8-A9DF-959B01F216A3}"/>
    <cellStyle name="20% - Énfasis1 67 3" xfId="21218" xr:uid="{89894F1B-B81C-42ED-92CA-D910267F10E5}"/>
    <cellStyle name="20% - Énfasis1 67_1.2.b" xfId="14861" xr:uid="{7ECC4984-166D-412D-8D80-DD29FEF51162}"/>
    <cellStyle name="20% - Énfasis1 68" xfId="12511" xr:uid="{41BFA88D-208A-42C6-A320-E820ACA16F54}"/>
    <cellStyle name="20% - Énfasis1 68 2" xfId="16588" xr:uid="{D6078D3F-5460-493A-9290-D5D6C30FA08A}"/>
    <cellStyle name="20% - Énfasis1 68 2 2" xfId="22852" xr:uid="{AE350C93-3EB9-4A32-A44A-FD25D180281E}"/>
    <cellStyle name="20% - Énfasis1 68 3" xfId="21219" xr:uid="{C0FCC025-9320-46D8-AC6A-3666A4341D1B}"/>
    <cellStyle name="20% - Énfasis1 68_1.2.b" xfId="14862" xr:uid="{410AC220-75BC-42B1-A82D-984F4AC3D17D}"/>
    <cellStyle name="20% - Énfasis1 69" xfId="12512" xr:uid="{C85B7D84-F1F6-4582-B59E-3320F6513E3D}"/>
    <cellStyle name="20% - Énfasis1 69 2" xfId="16589" xr:uid="{5B16D9F8-D9DE-4A51-B6A5-2155C5546DDD}"/>
    <cellStyle name="20% - Énfasis1 69 2 2" xfId="22853" xr:uid="{306CFDE3-A016-4628-9401-EE309DFB51F0}"/>
    <cellStyle name="20% - Énfasis1 69 3" xfId="21220" xr:uid="{00AF11AA-56EB-4CD0-A383-6FEAE1CAAFA2}"/>
    <cellStyle name="20% - Énfasis1 69_1.2.b" xfId="14863" xr:uid="{29B81254-4BE1-4B52-A120-41C9A41D97F4}"/>
    <cellStyle name="20% - Énfasis1 7" xfId="9827" xr:uid="{00000000-0005-0000-0000-000018000000}"/>
    <cellStyle name="20% - Énfasis1 7 2" xfId="11613" xr:uid="{00000000-0005-0000-0000-000019000000}"/>
    <cellStyle name="20% - Énfasis1 7 2 2" xfId="12514" xr:uid="{F69624E9-E369-4A8D-ACBD-7686B9C0AA5E}"/>
    <cellStyle name="20% - Énfasis1 7 2 2 2" xfId="21222" xr:uid="{3AB95CDA-4FE7-4579-894C-6225C95D17AD}"/>
    <cellStyle name="20% - Énfasis1 7 2 3" xfId="16591" xr:uid="{63D52C4F-1C6E-4726-92CB-CB2B9F55E1F7}"/>
    <cellStyle name="20% - Énfasis1 7 2 3 2" xfId="22855" xr:uid="{CE50B522-4FD3-4243-9684-9490E0761EB7}"/>
    <cellStyle name="20% - Énfasis1 7 2 4" xfId="20382" xr:uid="{5257ED9E-8C39-4881-9D00-546106078B8F}"/>
    <cellStyle name="20% - Énfasis1 7 2_1.2.b" xfId="14865" xr:uid="{C6CB5B53-6991-4EF1-B1B1-47BF02C24765}"/>
    <cellStyle name="20% - Énfasis1 7 3" xfId="12513" xr:uid="{7134C1D4-AC60-41FA-BFD9-8AC47808023C}"/>
    <cellStyle name="20% - Énfasis1 7 3 2" xfId="21221" xr:uid="{761C3D33-27FC-4EBA-88F8-10CF1012B48A}"/>
    <cellStyle name="20% - Énfasis1 7 4" xfId="16590" xr:uid="{6A341C9E-67DB-4C08-ABAD-C0C4B8E618E5}"/>
    <cellStyle name="20% - Énfasis1 7 4 2" xfId="22854" xr:uid="{269A3F36-4123-48C3-BC51-CF1976452CCD}"/>
    <cellStyle name="20% - Énfasis1 7 5" xfId="19014" xr:uid="{3AEF7BF8-A566-4E5A-BC8B-7DBEAE154840}"/>
    <cellStyle name="20% - Énfasis1 7_1.2.b" xfId="14864" xr:uid="{75DD33BA-E2D7-40ED-B3B5-42C1C0C0E953}"/>
    <cellStyle name="20% - Énfasis1 70" xfId="12515" xr:uid="{993DC290-8D0C-440B-959B-41EAA3F00CBB}"/>
    <cellStyle name="20% - Énfasis1 70 2" xfId="16592" xr:uid="{7393DB28-693E-4D1D-BB9F-17C6668BCDBF}"/>
    <cellStyle name="20% - Énfasis1 70 2 2" xfId="22856" xr:uid="{E0FC0264-206A-4ABE-BD20-8BCF17F85269}"/>
    <cellStyle name="20% - Énfasis1 70 3" xfId="21223" xr:uid="{28432B3D-98C8-4101-A2A0-33D3E879D300}"/>
    <cellStyle name="20% - Énfasis1 70_1.2.b" xfId="14866" xr:uid="{A759807D-89B6-4433-A3C6-005811B4FA63}"/>
    <cellStyle name="20% - Énfasis1 71" xfId="12516" xr:uid="{6ABB4734-14BF-4774-8AF6-C08A38F905EA}"/>
    <cellStyle name="20% - Énfasis1 71 2" xfId="16593" xr:uid="{A97B65CC-F962-4957-9ADB-BBD71BBA9C90}"/>
    <cellStyle name="20% - Énfasis1 71 2 2" xfId="22857" xr:uid="{150CE5E4-5FE1-4DB7-A95B-EBF3BE9A9A28}"/>
    <cellStyle name="20% - Énfasis1 71 3" xfId="21224" xr:uid="{6DF2F8EF-14C4-40BB-B65D-C7FAC13D8543}"/>
    <cellStyle name="20% - Énfasis1 71_1.2.b" xfId="14867" xr:uid="{C74E75EF-66EE-404F-AB64-3E54812E7682}"/>
    <cellStyle name="20% - Énfasis1 72" xfId="12517" xr:uid="{49664BB6-3285-4229-9C99-01B7E4B6706D}"/>
    <cellStyle name="20% - Énfasis1 72 2" xfId="16594" xr:uid="{97F41C1E-D8E6-42C6-A849-389478A94B75}"/>
    <cellStyle name="20% - Énfasis1 72 2 2" xfId="22858" xr:uid="{60AA9BF2-D2C5-4EE1-B3E3-5B57A980A332}"/>
    <cellStyle name="20% - Énfasis1 72 3" xfId="21225" xr:uid="{71C8DFAC-88C3-47E0-A5CB-3A9734B65E5E}"/>
    <cellStyle name="20% - Énfasis1 72_1.2.b" xfId="14868" xr:uid="{FB3D9260-ED54-4E53-85E4-3006BDBE4247}"/>
    <cellStyle name="20% - Énfasis1 73" xfId="12518" xr:uid="{DEBD5E84-67A4-47A7-86A3-B14AD438FBEF}"/>
    <cellStyle name="20% - Énfasis1 73 2" xfId="16595" xr:uid="{02784069-8448-48EB-B5CF-E3B87BC6317A}"/>
    <cellStyle name="20% - Énfasis1 73 2 2" xfId="22859" xr:uid="{C794E5DD-4498-4D30-A922-146418EBD4F6}"/>
    <cellStyle name="20% - Énfasis1 73 3" xfId="21226" xr:uid="{98D8BAD6-A7B2-49DB-98A7-8E97E71BDED3}"/>
    <cellStyle name="20% - Énfasis1 73_1.2.b" xfId="14869" xr:uid="{60954488-B45D-423E-AA3B-0A58E87C1835}"/>
    <cellStyle name="20% - Énfasis1 74" xfId="12519" xr:uid="{3474962D-0565-4AFD-B1DC-FBDA7FE229A9}"/>
    <cellStyle name="20% - Énfasis1 74 2" xfId="16596" xr:uid="{27D19CA1-A1E3-4051-AF9C-A5643870DA00}"/>
    <cellStyle name="20% - Énfasis1 74 2 2" xfId="22860" xr:uid="{510D91A2-95F6-40F7-B495-5A913F6FAA72}"/>
    <cellStyle name="20% - Énfasis1 74 3" xfId="21227" xr:uid="{E92EDE7D-9027-4C86-8113-16C6A8A15BBE}"/>
    <cellStyle name="20% - Énfasis1 74_1.2.b" xfId="14870" xr:uid="{1CF3853E-F8B1-47EE-BB0D-11017BDC35D4}"/>
    <cellStyle name="20% - Énfasis1 75" xfId="12520" xr:uid="{1EFB879F-E002-4896-88AC-5B44DF3BA8F9}"/>
    <cellStyle name="20% - Énfasis1 75 2" xfId="16597" xr:uid="{FE18911F-ACA9-4545-B229-77F7663747B8}"/>
    <cellStyle name="20% - Énfasis1 75 2 2" xfId="22861" xr:uid="{31F8E82A-EA99-4E4A-BE91-A254C08BF61A}"/>
    <cellStyle name="20% - Énfasis1 75 3" xfId="21228" xr:uid="{92AE579A-96EF-4806-A3BC-24D033394BB7}"/>
    <cellStyle name="20% - Énfasis1 75_1.2.b" xfId="14871" xr:uid="{3051EA75-B6F2-4F56-BF6A-D12073A43EF8}"/>
    <cellStyle name="20% - Énfasis1 76" xfId="12521" xr:uid="{AAE32DEE-C0D9-4B70-B24A-DC991484B8C2}"/>
    <cellStyle name="20% - Énfasis1 76 2" xfId="16598" xr:uid="{04352BCE-E685-4097-84AC-4F4C9074E63B}"/>
    <cellStyle name="20% - Énfasis1 76 2 2" xfId="22862" xr:uid="{E4EDDAA2-6DA4-4F38-A80E-EAD1663C4A95}"/>
    <cellStyle name="20% - Énfasis1 76 3" xfId="21229" xr:uid="{B42D60C2-A073-4D0D-9683-B3B8184641C7}"/>
    <cellStyle name="20% - Énfasis1 76_1.2.b" xfId="14872" xr:uid="{24C9791A-3226-4B81-94BF-FEFDFE2BF0EE}"/>
    <cellStyle name="20% - Énfasis1 77" xfId="12522" xr:uid="{F08AA9FE-439B-4848-B59F-1523EF5933EA}"/>
    <cellStyle name="20% - Énfasis1 77 2" xfId="16599" xr:uid="{7484BCB7-BD82-49D4-9415-7DBB9818223E}"/>
    <cellStyle name="20% - Énfasis1 77 2 2" xfId="22863" xr:uid="{AB037874-FC60-43B4-99B2-BC4D4C01629E}"/>
    <cellStyle name="20% - Énfasis1 77 3" xfId="21230" xr:uid="{A7627EE6-9CF1-4218-AE1B-1FACDF664AF6}"/>
    <cellStyle name="20% - Énfasis1 77_1.2.b" xfId="14873" xr:uid="{1405C76D-BA91-4C01-9208-CDAEF0F474E9}"/>
    <cellStyle name="20% - Énfasis1 78" xfId="12523" xr:uid="{503B1FAF-5688-40B0-A742-508D8A12E229}"/>
    <cellStyle name="20% - Énfasis1 78 2" xfId="16600" xr:uid="{05D4B704-1BAB-49BB-9991-2C16DE089525}"/>
    <cellStyle name="20% - Énfasis1 78 2 2" xfId="22864" xr:uid="{A3299C4B-33E1-4E48-AD42-BB8EA93CB127}"/>
    <cellStyle name="20% - Énfasis1 78 3" xfId="21231" xr:uid="{95D8348A-92DA-45B9-BCE4-CC3AE74B1033}"/>
    <cellStyle name="20% - Énfasis1 78_1.2.b" xfId="14874" xr:uid="{2BAF8E19-243A-4662-A248-2FFFE68E7CC5}"/>
    <cellStyle name="20% - Énfasis1 79" xfId="12524" xr:uid="{0E97E047-49F4-4FC3-8178-8ECC62AC3395}"/>
    <cellStyle name="20% - Énfasis1 79 2" xfId="16601" xr:uid="{94D8AD35-0387-41FA-90AC-5A6BD510AE44}"/>
    <cellStyle name="20% - Énfasis1 79 2 2" xfId="22865" xr:uid="{0F47F9C3-8C56-4945-8764-A8ED4591CCE0}"/>
    <cellStyle name="20% - Énfasis1 79 3" xfId="21232" xr:uid="{C6000F57-994C-4922-A740-621B3A3FC9A7}"/>
    <cellStyle name="20% - Énfasis1 79_1.2.b" xfId="14875" xr:uid="{9AEF2310-AEA6-49A2-A58F-FF62021C82EA}"/>
    <cellStyle name="20% - Énfasis1 8" xfId="9846" xr:uid="{00000000-0005-0000-0000-00001A000000}"/>
    <cellStyle name="20% - Énfasis1 8 2" xfId="11631" xr:uid="{00000000-0005-0000-0000-00001B000000}"/>
    <cellStyle name="20% - Énfasis1 8 2 2" xfId="12526" xr:uid="{4956E666-D0E4-44F9-9974-7094088C6349}"/>
    <cellStyle name="20% - Énfasis1 8 2 2 2" xfId="21234" xr:uid="{D4D126B7-5D43-43B9-A131-3BE2C1BC1007}"/>
    <cellStyle name="20% - Énfasis1 8 2 3" xfId="16603" xr:uid="{C160DAFE-81C2-4AF3-B7BD-2B964E8B0360}"/>
    <cellStyle name="20% - Énfasis1 8 2 3 2" xfId="22867" xr:uid="{91B306BB-8ADC-4A10-ABD1-50CC1A5DEB3E}"/>
    <cellStyle name="20% - Énfasis1 8 2 4" xfId="20398" xr:uid="{E4985E1A-BAC7-4E64-BCB3-FAF38002ECA9}"/>
    <cellStyle name="20% - Énfasis1 8 2_1.2.b" xfId="14877" xr:uid="{BE124A93-ED7C-4150-8428-75ADDD3E3EA3}"/>
    <cellStyle name="20% - Énfasis1 8 3" xfId="12525" xr:uid="{41DFAA93-29BC-47AF-95C5-7B14C79F71F8}"/>
    <cellStyle name="20% - Énfasis1 8 3 2" xfId="21233" xr:uid="{C6FF64DB-2AA4-4292-9CA2-4B9E9EEB4B07}"/>
    <cellStyle name="20% - Énfasis1 8 4" xfId="16602" xr:uid="{FED4A1DB-A870-44C5-9A3D-B3C4F680EA5C}"/>
    <cellStyle name="20% - Énfasis1 8 4 2" xfId="22866" xr:uid="{B293E82F-F9C9-40C1-8309-DB17448CF9F2}"/>
    <cellStyle name="20% - Énfasis1 8 5" xfId="19030" xr:uid="{9F6ECA6A-DDBA-40F1-9374-AD2EF33DE503}"/>
    <cellStyle name="20% - Énfasis1 8_1.2.b" xfId="14876" xr:uid="{84FECD3F-0A5C-4D0A-80BB-E8DDC591488F}"/>
    <cellStyle name="20% - Énfasis1 80" xfId="12527" xr:uid="{5FA860B5-7DD4-46C1-BA40-D734EE683DD0}"/>
    <cellStyle name="20% - Énfasis1 80 2" xfId="16604" xr:uid="{79D08D59-EDE0-42A4-91B6-DD8EBF9B6974}"/>
    <cellStyle name="20% - Énfasis1 80 2 2" xfId="22868" xr:uid="{F839AC17-BD76-4FEF-A536-C1F922866D0D}"/>
    <cellStyle name="20% - Énfasis1 80 3" xfId="21235" xr:uid="{98D33B42-4EB4-4A52-82D4-65EF7A2216CB}"/>
    <cellStyle name="20% - Énfasis1 80_1.2.b" xfId="14878" xr:uid="{D0662EE0-7612-407E-BFD2-256E3374059D}"/>
    <cellStyle name="20% - Énfasis1 81" xfId="12528" xr:uid="{BABD3396-CFE8-40D9-8195-8EABBF9A2D39}"/>
    <cellStyle name="20% - Énfasis1 81 2" xfId="16605" xr:uid="{78AE63FD-82CF-4363-B95D-944868EB2C9C}"/>
    <cellStyle name="20% - Énfasis1 81 2 2" xfId="22869" xr:uid="{D11548F4-6006-4127-B0FE-4F96C66889B1}"/>
    <cellStyle name="20% - Énfasis1 81 3" xfId="21236" xr:uid="{62ED4AE1-C087-49F8-817C-14AF380430C9}"/>
    <cellStyle name="20% - Énfasis1 81_1.2.b" xfId="14879" xr:uid="{A75A8CDF-9477-4AB2-A957-7B7455165154}"/>
    <cellStyle name="20% - Énfasis1 82" xfId="12529" xr:uid="{D55CD329-DB5B-400C-A762-89EEABB89C2B}"/>
    <cellStyle name="20% - Énfasis1 82 2" xfId="16606" xr:uid="{8C8BAB76-02E1-4456-986A-63F3652C7B49}"/>
    <cellStyle name="20% - Énfasis1 82 2 2" xfId="22870" xr:uid="{AF65416F-13EF-44A7-9B70-306E85C3A8CD}"/>
    <cellStyle name="20% - Énfasis1 82 3" xfId="21237" xr:uid="{568132CD-52BC-41EB-999D-AD0D0F0075C1}"/>
    <cellStyle name="20% - Énfasis1 82_1.2.b" xfId="14880" xr:uid="{1A0D1FDD-1BB4-4CB6-B06D-88E79C544A55}"/>
    <cellStyle name="20% - Énfasis1 83" xfId="12530" xr:uid="{BBB1D14D-04B6-4473-80E5-9A564C3B6983}"/>
    <cellStyle name="20% - Énfasis1 83 2" xfId="16607" xr:uid="{8B1FB2F7-1EF8-401D-A9B0-7AA7CB19F399}"/>
    <cellStyle name="20% - Énfasis1 83 2 2" xfId="22871" xr:uid="{4345F8C3-5B2F-47D9-84AD-2E6174F4EF40}"/>
    <cellStyle name="20% - Énfasis1 83 3" xfId="21238" xr:uid="{B0D78E11-3B8B-489B-840A-B0CF914BEF08}"/>
    <cellStyle name="20% - Énfasis1 83_1.2.b" xfId="14881" xr:uid="{368E2A66-0BCD-4E6E-829E-81A251A7EDE7}"/>
    <cellStyle name="20% - Énfasis1 84" xfId="12531" xr:uid="{C9CDD5D9-10CA-4150-8B56-883C87D4DAC3}"/>
    <cellStyle name="20% - Énfasis1 84 2" xfId="16608" xr:uid="{CAC28D05-3CEB-451C-B165-F490CE243BF1}"/>
    <cellStyle name="20% - Énfasis1 84 2 2" xfId="22872" xr:uid="{D9A1EDE2-FBDE-4B75-B922-1E9408FBAE33}"/>
    <cellStyle name="20% - Énfasis1 84 3" xfId="21239" xr:uid="{47874FA9-F43E-4538-8FB3-7F8783B04798}"/>
    <cellStyle name="20% - Énfasis1 84_1.2.b" xfId="14882" xr:uid="{BB5386DD-F919-48BA-B827-5E1CFD1DA460}"/>
    <cellStyle name="20% - Énfasis1 85" xfId="12532" xr:uid="{340AC7D9-AEC2-406A-9946-1556F08EA289}"/>
    <cellStyle name="20% - Énfasis1 85 2" xfId="16609" xr:uid="{9DDA9108-60F8-455E-BE2E-F37D82485615}"/>
    <cellStyle name="20% - Énfasis1 85 2 2" xfId="22873" xr:uid="{207B61C3-8D84-4AC2-812F-4933D38D7E29}"/>
    <cellStyle name="20% - Énfasis1 85 3" xfId="21240" xr:uid="{4884071F-1227-4037-9084-80989A77A8BC}"/>
    <cellStyle name="20% - Énfasis1 85_1.2.b" xfId="14883" xr:uid="{A09E1418-D011-47EA-8597-83E8D6DD0081}"/>
    <cellStyle name="20% - Énfasis1 86" xfId="12533" xr:uid="{27D803E9-189E-414C-BDEE-F7FFB514420A}"/>
    <cellStyle name="20% - Énfasis1 86 2" xfId="16610" xr:uid="{030C72A5-E06D-4E4F-B2CB-7D7D95C404E3}"/>
    <cellStyle name="20% - Énfasis1 86 2 2" xfId="22874" xr:uid="{11746A8E-6F2E-4F87-8E85-D625C72EC408}"/>
    <cellStyle name="20% - Énfasis1 86 3" xfId="21241" xr:uid="{7BF00E9F-DDF0-4905-BB06-B9AE0E0A4439}"/>
    <cellStyle name="20% - Énfasis1 86_1.2.b" xfId="14884" xr:uid="{FB35E668-90B4-4448-9D79-32B0BD4E374F}"/>
    <cellStyle name="20% - Énfasis1 87" xfId="12534" xr:uid="{B3FD5FB0-1061-4593-9E21-A7F2B0A01A69}"/>
    <cellStyle name="20% - Énfasis1 87 2" xfId="16611" xr:uid="{C6983632-1E72-4C38-B59F-C1ABA713A27A}"/>
    <cellStyle name="20% - Énfasis1 87 2 2" xfId="22875" xr:uid="{CBACBDF7-5CBA-44C2-8487-109150F09D19}"/>
    <cellStyle name="20% - Énfasis1 87 3" xfId="21242" xr:uid="{D84B295E-D5FF-4EDC-815C-C93E63FBFCDA}"/>
    <cellStyle name="20% - Énfasis1 87_1.2.b" xfId="14885" xr:uid="{7CDFBFA2-6837-46ED-9E5F-63857F76767A}"/>
    <cellStyle name="20% - Énfasis1 88" xfId="12535" xr:uid="{90E5E8AE-6432-4797-B28F-91AD8BB7061A}"/>
    <cellStyle name="20% - Énfasis1 88 2" xfId="16612" xr:uid="{C813A5FF-BEC6-41DB-B547-75A037B025EA}"/>
    <cellStyle name="20% - Énfasis1 88 2 2" xfId="22876" xr:uid="{961743AB-13D6-4C87-B97C-7FDFBEFA6375}"/>
    <cellStyle name="20% - Énfasis1 88 3" xfId="21243" xr:uid="{2993E99B-4960-41AC-80AB-F8919C0DF9B2}"/>
    <cellStyle name="20% - Énfasis1 88_1.2.b" xfId="14886" xr:uid="{BA32BE68-BC07-4286-B2B6-862B1F937151}"/>
    <cellStyle name="20% - Énfasis1 89" xfId="12536" xr:uid="{85594A1A-3725-4F14-9CD0-FD5F3EE1BFD5}"/>
    <cellStyle name="20% - Énfasis1 89 2" xfId="16613" xr:uid="{F0D8230E-C73C-4F32-A753-75E1BBC5C33D}"/>
    <cellStyle name="20% - Énfasis1 89 2 2" xfId="22877" xr:uid="{DC2E3C5D-4F36-4B9D-AF87-0809C855C054}"/>
    <cellStyle name="20% - Énfasis1 89 3" xfId="21244" xr:uid="{7C2CC9A2-17BD-47B4-812A-DF348941D56C}"/>
    <cellStyle name="20% - Énfasis1 89_1.2.b" xfId="14887" xr:uid="{AE460BBA-461A-48AF-BE37-561E499024D4}"/>
    <cellStyle name="20% - Énfasis1 9" xfId="9865" xr:uid="{00000000-0005-0000-0000-00001C000000}"/>
    <cellStyle name="20% - Énfasis1 9 2" xfId="12538" xr:uid="{6BA0ED07-ECB3-4839-955C-D2D2F95FD13F}"/>
    <cellStyle name="20% - Énfasis1 9 2 2" xfId="16615" xr:uid="{B0D656A1-3796-4FFB-B9F1-CFCB7A8000EA}"/>
    <cellStyle name="20% - Énfasis1 9 2 2 2" xfId="22879" xr:uid="{AAF59749-86E2-4956-A569-45EE44C8F5F9}"/>
    <cellStyle name="20% - Énfasis1 9 2 3" xfId="21246" xr:uid="{87CF1B9D-533D-4B0A-BC0E-2418878C5094}"/>
    <cellStyle name="20% - Énfasis1 9 2_1.2.b" xfId="14888" xr:uid="{C2A07203-40E8-46E7-B8D9-7C9F3E84A692}"/>
    <cellStyle name="20% - Énfasis1 9 3" xfId="12537" xr:uid="{28ACD4FF-3F09-48F3-8E99-4681753EE2AE}"/>
    <cellStyle name="20% - Énfasis1 9 3 2" xfId="21245" xr:uid="{FA5D46A8-B210-4455-AA9E-0DDFDDE5B950}"/>
    <cellStyle name="20% - Énfasis1 9 4" xfId="16614" xr:uid="{13C24310-B58E-4970-960A-C9F22D2E63FE}"/>
    <cellStyle name="20% - Énfasis1 9 4 2" xfId="22878" xr:uid="{F60DC349-A2DF-4856-AAF5-1BBAADE33702}"/>
    <cellStyle name="20% - Énfasis1 90" xfId="12539" xr:uid="{55373E35-4DDA-4A8C-95FC-70EFCD9FE6F2}"/>
    <cellStyle name="20% - Énfasis1 90 2" xfId="16616" xr:uid="{57C65D8D-AFFF-481C-A318-683B1EDABC48}"/>
    <cellStyle name="20% - Énfasis1 90 2 2" xfId="22880" xr:uid="{B1A310FA-20BB-4B6E-9FD9-00560212E4B0}"/>
    <cellStyle name="20% - Énfasis1 90 3" xfId="21247" xr:uid="{9F7E86CC-20FF-44E7-98E2-0FD1A250EB93}"/>
    <cellStyle name="20% - Énfasis1 90_1.2.b" xfId="14889" xr:uid="{5FBE00A0-444F-4BEA-8397-829BEB6C6D93}"/>
    <cellStyle name="20% - Énfasis1 91" xfId="12540" xr:uid="{74E85040-5A93-4E4F-8010-462BCF47AB6E}"/>
    <cellStyle name="20% - Énfasis1 91 2" xfId="16617" xr:uid="{8825C428-6A96-43A0-9DFA-04F212A95EA7}"/>
    <cellStyle name="20% - Énfasis1 91 2 2" xfId="22881" xr:uid="{8D42808D-3C9D-454F-91E3-C68F4F7A9FF9}"/>
    <cellStyle name="20% - Énfasis1 91 3" xfId="21248" xr:uid="{B4CE9DC5-066C-465C-96A4-83292393A6EE}"/>
    <cellStyle name="20% - Énfasis1 91_1.2.b" xfId="14890" xr:uid="{39C3EBE3-7664-4750-B78C-E38C91236A55}"/>
    <cellStyle name="20% - Énfasis1 92" xfId="12541" xr:uid="{6D03CAB5-6A1B-49BF-A4B7-40DDE0B4AEF6}"/>
    <cellStyle name="20% - Énfasis1 92 2" xfId="16618" xr:uid="{10858BD3-298F-4F47-A5E7-0DD621F09694}"/>
    <cellStyle name="20% - Énfasis1 92 2 2" xfId="22882" xr:uid="{13696C70-6026-43B4-B61D-CEFD795233D9}"/>
    <cellStyle name="20% - Énfasis1 92 3" xfId="21249" xr:uid="{FC64F5F6-FC91-443D-86EE-EE54555DAA71}"/>
    <cellStyle name="20% - Énfasis1 92_1.2.b" xfId="14891" xr:uid="{56BB0C96-B571-4A14-905D-CACEEEF7CF98}"/>
    <cellStyle name="20% - Énfasis1 93" xfId="12542" xr:uid="{D525577E-64FF-45A0-A90B-86D2DDCDE4B3}"/>
    <cellStyle name="20% - Énfasis1 93 2" xfId="16619" xr:uid="{F952483B-71E3-4C38-A3FA-97D0C93EE8C7}"/>
    <cellStyle name="20% - Énfasis1 93 2 2" xfId="22883" xr:uid="{64DD54FE-5F67-4A5C-96AC-EF840EBAC7EC}"/>
    <cellStyle name="20% - Énfasis1 93 3" xfId="21250" xr:uid="{7D64A40D-CE52-44FE-8E7B-8B4D9C1E420D}"/>
    <cellStyle name="20% - Énfasis1 93_1.2.b" xfId="14892" xr:uid="{92D3A71E-7C0A-4485-9855-2F2F7C388CD3}"/>
    <cellStyle name="20% - Énfasis1 94" xfId="12543" xr:uid="{24E5303F-A299-4378-A430-DD58AB2CD1E3}"/>
    <cellStyle name="20% - Énfasis1 94 2" xfId="16620" xr:uid="{A0D6A125-A83D-4664-9935-D06975BF4385}"/>
    <cellStyle name="20% - Énfasis1 94 2 2" xfId="22884" xr:uid="{340AA8FB-9BC2-45F2-B145-B968888D8A24}"/>
    <cellStyle name="20% - Énfasis1 94 3" xfId="21251" xr:uid="{B89FE705-B1EF-48ED-97DD-28E9647C86D1}"/>
    <cellStyle name="20% - Énfasis1 94_1.2.b" xfId="14893" xr:uid="{8D8F3066-767C-4196-BD8E-22D0F91CDC77}"/>
    <cellStyle name="20% - Énfasis1 95" xfId="12544" xr:uid="{CA83B373-0D81-4137-8D9E-A9C7AB3A354D}"/>
    <cellStyle name="20% - Énfasis1 95 2" xfId="16621" xr:uid="{6C1C2CBD-0C0D-42DC-83B0-F204551A7485}"/>
    <cellStyle name="20% - Énfasis1 95 2 2" xfId="22885" xr:uid="{CBC6C70E-B012-45A2-A6F4-7311AC3A9930}"/>
    <cellStyle name="20% - Énfasis1 95 3" xfId="21252" xr:uid="{EBC74B32-7435-4039-AE3F-EA6E6C3C79D1}"/>
    <cellStyle name="20% - Énfasis1 95_1.2.b" xfId="14894" xr:uid="{EBB3AA70-5EDF-461E-86C3-90F0DA3D09A8}"/>
    <cellStyle name="20% - Énfasis2 10" xfId="9918" xr:uid="{00000000-0005-0000-0000-00001E000000}"/>
    <cellStyle name="20% - Énfasis2 10 2" xfId="11655" xr:uid="{00000000-0005-0000-0000-00001F000000}"/>
    <cellStyle name="20% - Énfasis2 10 2 2" xfId="20421" xr:uid="{16635BDD-0CCE-4B07-B21B-C099D58834E6}"/>
    <cellStyle name="20% - Énfasis2 10 3" xfId="12545" xr:uid="{5CD3577F-7C57-4C73-99EC-CF1D9EAA67A6}"/>
    <cellStyle name="20% - Énfasis2 10 4" xfId="19058" xr:uid="{E5970E54-2B71-4EC9-ACBB-090CE4C0A00A}"/>
    <cellStyle name="20% - Énfasis2 10_1.2.b" xfId="14895" xr:uid="{CFCCF31D-431F-426E-8328-F9019CB63F2C}"/>
    <cellStyle name="20% - Énfasis2 11" xfId="10185" xr:uid="{00000000-0005-0000-0000-000020000000}"/>
    <cellStyle name="20% - Énfasis2 11 2" xfId="11921" xr:uid="{00000000-0005-0000-0000-000021000000}"/>
    <cellStyle name="20% - Énfasis2 11 2 2" xfId="20675" xr:uid="{8B6C9518-19A6-4445-A0CB-3913D24F8D68}"/>
    <cellStyle name="20% - Énfasis2 11 3" xfId="12546" xr:uid="{497C6613-6B37-478F-A3C9-B3BFB6B452AC}"/>
    <cellStyle name="20% - Énfasis2 11 3 2" xfId="21253" xr:uid="{1595EF8F-EDE0-4E74-8120-4B5D10D3D7C4}"/>
    <cellStyle name="20% - Énfasis2 11 4" xfId="16622" xr:uid="{D9280D0D-9BE8-40B5-B692-B79798FD7D7E}"/>
    <cellStyle name="20% - Énfasis2 11 4 2" xfId="22886" xr:uid="{C2563894-E04C-4613-9DCE-FE78472287FA}"/>
    <cellStyle name="20% - Énfasis2 11 5" xfId="19312" xr:uid="{831887FA-CF75-45FA-AFAE-67033FB01512}"/>
    <cellStyle name="20% - Énfasis2 11_1.2.b" xfId="14896" xr:uid="{5B2EDDCF-2172-42B6-B28F-FBB20A09507F}"/>
    <cellStyle name="20% - Énfasis2 12" xfId="10533" xr:uid="{00000000-0005-0000-0000-000022000000}"/>
    <cellStyle name="20% - Énfasis2 12 2" xfId="12268" xr:uid="{00000000-0005-0000-0000-000023000000}"/>
    <cellStyle name="20% - Énfasis2 12 2 2" xfId="21017" xr:uid="{86C165EF-EB6C-4008-9090-D3DC9D546CCA}"/>
    <cellStyle name="20% - Énfasis2 12 3" xfId="12547" xr:uid="{D6EB02D5-216D-4B8D-810E-FE0BBA63C420}"/>
    <cellStyle name="20% - Énfasis2 12 3 2" xfId="21254" xr:uid="{4AFF2ABD-9E77-4B1F-BFD2-1FC39EFFE0D1}"/>
    <cellStyle name="20% - Énfasis2 12 4" xfId="16623" xr:uid="{D68C32D6-1163-4771-B566-B0726A6C89D0}"/>
    <cellStyle name="20% - Énfasis2 12 4 2" xfId="22887" xr:uid="{D41DC10D-F625-41E8-A14B-5460DFB14431}"/>
    <cellStyle name="20% - Énfasis2 12 5" xfId="19654" xr:uid="{2C8B82CB-390C-4BEC-84C0-46A7AAF63A92}"/>
    <cellStyle name="20% - Énfasis2 12_1.2.b" xfId="14897" xr:uid="{1C4C3115-68FF-4B31-AC9F-922DAB626523}"/>
    <cellStyle name="20% - Énfasis2 13" xfId="10580" xr:uid="{00000000-0005-0000-0000-000024000000}"/>
    <cellStyle name="20% - Énfasis2 13 2" xfId="12313" xr:uid="{00000000-0005-0000-0000-000025000000}"/>
    <cellStyle name="20% - Énfasis2 13 2 2" xfId="21059" xr:uid="{8CA524FD-1019-4A37-BACE-C40766961562}"/>
    <cellStyle name="20% - Énfasis2 13 3" xfId="12548" xr:uid="{1E929200-F9D2-47DA-A104-2856CE635602}"/>
    <cellStyle name="20% - Énfasis2 13 3 2" xfId="21255" xr:uid="{4C583292-3E32-4829-8422-9012DF32727D}"/>
    <cellStyle name="20% - Énfasis2 13 4" xfId="16624" xr:uid="{22D25435-E940-4EB0-BB7B-A9602EC7DA99}"/>
    <cellStyle name="20% - Énfasis2 13 4 2" xfId="22888" xr:uid="{FDAFCC7E-AD0E-464C-9D82-2E2D02E70D0D}"/>
    <cellStyle name="20% - Énfasis2 13 5" xfId="19696" xr:uid="{B2EF23AB-9D7A-4EC8-B197-F950E1513B48}"/>
    <cellStyle name="20% - Énfasis2 13_1.2.b" xfId="14898" xr:uid="{42C2310E-2C87-47F3-A737-99C7125DD05D}"/>
    <cellStyle name="20% - Énfasis2 14" xfId="10600" xr:uid="{00000000-0005-0000-0000-000026000000}"/>
    <cellStyle name="20% - Énfasis2 14 2" xfId="12329" xr:uid="{00000000-0005-0000-0000-000027000000}"/>
    <cellStyle name="20% - Énfasis2 14 2 2" xfId="21075" xr:uid="{4F108F69-0032-4682-90C5-E6C0EAA76EC4}"/>
    <cellStyle name="20% - Énfasis2 14 3" xfId="12549" xr:uid="{A81FF69D-27CE-46DE-9253-71C65CD72CFB}"/>
    <cellStyle name="20% - Énfasis2 14 3 2" xfId="21256" xr:uid="{FEE6A273-920E-450B-965A-5F42467A3AB9}"/>
    <cellStyle name="20% - Énfasis2 14 4" xfId="16625" xr:uid="{8D404B75-FAE9-488C-B411-91A063435723}"/>
    <cellStyle name="20% - Énfasis2 14 4 2" xfId="22889" xr:uid="{7686F4B5-89E7-4864-828F-9BF895D6BA34}"/>
    <cellStyle name="20% - Énfasis2 14 5" xfId="19712" xr:uid="{7E79F850-4985-4B80-ABEC-CF3220270F57}"/>
    <cellStyle name="20% - Énfasis2 14_1.2.b" xfId="14899" xr:uid="{357746A5-BA27-446E-AE3E-6240DEC63E71}"/>
    <cellStyle name="20% - Énfasis2 15" xfId="10621" xr:uid="{00000000-0005-0000-0000-000028000000}"/>
    <cellStyle name="20% - Énfasis2 15 2" xfId="12550" xr:uid="{17150AEB-C3CC-444C-BE2E-4156BEBBD15C}"/>
    <cellStyle name="20% - Énfasis2 15 2 2" xfId="21257" xr:uid="{B8AB0EB2-58F7-47D8-A5BC-D971B4A3B99A}"/>
    <cellStyle name="20% - Énfasis2 15 3" xfId="16626" xr:uid="{D3B68FAB-B69F-4F00-BFF9-E8DA35E54DBF}"/>
    <cellStyle name="20% - Énfasis2 15 3 2" xfId="22890" xr:uid="{3E2F80EB-739D-4267-9EFA-1B2402FDC54B}"/>
    <cellStyle name="20% - Énfasis2 15 4" xfId="19729" xr:uid="{277A5023-A6FA-49DD-A6F0-57DFC57F310B}"/>
    <cellStyle name="20% - Énfasis2 15_1.2.b" xfId="14900" xr:uid="{0D903598-36DB-444A-AD6D-D785EDC9E40B}"/>
    <cellStyle name="20% - Énfasis2 16" xfId="12362" xr:uid="{00000000-0005-0000-0000-000029000000}"/>
    <cellStyle name="20% - Énfasis2 16 2" xfId="12551" xr:uid="{72EA3AAE-1AAE-473B-8EE8-3D6ABE1E72FB}"/>
    <cellStyle name="20% - Énfasis2 16 2 2" xfId="21258" xr:uid="{13B8B681-29CC-4977-B056-95A050493255}"/>
    <cellStyle name="20% - Énfasis2 16 3" xfId="16627" xr:uid="{ACDA078F-166B-4684-92C6-6DF111ED4C53}"/>
    <cellStyle name="20% - Énfasis2 16 3 2" xfId="22891" xr:uid="{F8241E74-30C5-4CD7-96B4-BAC79FDF610F}"/>
    <cellStyle name="20% - Énfasis2 16 4" xfId="21105" xr:uid="{F12801C9-3699-48B9-8335-7F762BCF0B87}"/>
    <cellStyle name="20% - Énfasis2 16_1.2.b" xfId="14901" xr:uid="{30F216B0-44C0-4034-873E-5A8DB174434E}"/>
    <cellStyle name="20% - Énfasis2 17" xfId="12377" xr:uid="{00000000-0005-0000-0000-00002A000000}"/>
    <cellStyle name="20% - Énfasis2 17 2" xfId="12552" xr:uid="{A80A1666-6D55-4DEF-87ED-6975F3FE2A7E}"/>
    <cellStyle name="20% - Énfasis2 17 2 2" xfId="21259" xr:uid="{C088C916-8945-4493-9EBB-BA8BA1459AAE}"/>
    <cellStyle name="20% - Énfasis2 17 3" xfId="16628" xr:uid="{B5035E56-1550-4A6C-9449-14EC452B89DA}"/>
    <cellStyle name="20% - Énfasis2 17 3 2" xfId="22892" xr:uid="{41D8CE93-F039-43C0-A318-52D3F856869D}"/>
    <cellStyle name="20% - Énfasis2 17 4" xfId="21120" xr:uid="{539A5C2B-B558-48DB-ABDB-0B5A379CEF4B}"/>
    <cellStyle name="20% - Énfasis2 17_1.2.b" xfId="14902" xr:uid="{1D62A895-DCCF-4A47-8080-3AA6DB2A95A1}"/>
    <cellStyle name="20% - Énfasis2 18" xfId="12553" xr:uid="{28729650-B31B-48B9-A228-B7AD89685B63}"/>
    <cellStyle name="20% - Énfasis2 18 2" xfId="16629" xr:uid="{156036C7-2866-45EB-93EA-2DD788A79254}"/>
    <cellStyle name="20% - Énfasis2 18 2 2" xfId="22893" xr:uid="{A63D17BE-D3D3-4010-9C93-85DCC7AA5084}"/>
    <cellStyle name="20% - Énfasis2 18 3" xfId="21260" xr:uid="{23436D55-2601-4BB4-AC3A-D10B3C01846C}"/>
    <cellStyle name="20% - Énfasis2 18_1.2.b" xfId="14903" xr:uid="{65C0E868-D32C-4CB4-8204-44790DD5DE45}"/>
    <cellStyle name="20% - Énfasis2 19" xfId="12554" xr:uid="{DBA9A3A0-D338-43A9-862C-303AC92CB680}"/>
    <cellStyle name="20% - Énfasis2 19 2" xfId="16630" xr:uid="{9D3F5997-2422-4060-B8CE-AC53EA7D8E43}"/>
    <cellStyle name="20% - Énfasis2 19 2 2" xfId="22894" xr:uid="{78B3B6F5-F430-4F12-BDDC-412A04507FAF}"/>
    <cellStyle name="20% - Énfasis2 19 3" xfId="21261" xr:uid="{34A6A8F3-8D4C-41CF-9006-C2C6E1C51EF5}"/>
    <cellStyle name="20% - Énfasis2 19_1.2.b" xfId="14904" xr:uid="{E5CC4A4E-451C-4D29-A291-837CA820E131}"/>
    <cellStyle name="20% - Énfasis2 2" xfId="148" xr:uid="{00000000-0005-0000-0000-00002B000000}"/>
    <cellStyle name="20% - Énfasis2 2 10" xfId="12556" xr:uid="{69D690E5-4447-4AB9-8050-EFEA1C18190E}"/>
    <cellStyle name="20% - Énfasis2 2 10 2" xfId="16632" xr:uid="{402812E2-A279-4164-97BA-8BE22C9F7DAC}"/>
    <cellStyle name="20% - Énfasis2 2 10 2 2" xfId="22895" xr:uid="{AD089264-3C99-465E-ADC5-581DB1816227}"/>
    <cellStyle name="20% - Énfasis2 2 10 3" xfId="21262" xr:uid="{ECFBE506-F544-4EB9-9F4E-F9A3E59CE182}"/>
    <cellStyle name="20% - Énfasis2 2 10_1.2.b" xfId="14906" xr:uid="{9FCC473F-4DCF-4974-BDAE-40326FF222AF}"/>
    <cellStyle name="20% - Énfasis2 2 11" xfId="12555" xr:uid="{A84EC656-E1D6-401F-9995-FFFEC43CC234}"/>
    <cellStyle name="20% - Énfasis2 2 12" xfId="16631" xr:uid="{172A9E6E-70FC-4664-BC68-9F4D886F6DEA}"/>
    <cellStyle name="20% - Énfasis2 2 13" xfId="18060" xr:uid="{EA06A220-08B5-4362-B6BC-94AB64EC0DD6}"/>
    <cellStyle name="20% - Énfasis2 2 14" xfId="18277" xr:uid="{088D7C58-412C-4637-83F7-6C1A821EB9B1}"/>
    <cellStyle name="20% - Énfasis2 2 15" xfId="17993" xr:uid="{F8F00F9F-0124-4BCA-AFA7-4DA8129A67F8}"/>
    <cellStyle name="20% - Énfasis2 2 16" xfId="18263" xr:uid="{41C45EC1-FAA1-4468-A1D9-BBEDEED2AF11}"/>
    <cellStyle name="20% - Énfasis2 2 17" xfId="18392" xr:uid="{2A2A3D20-AFD2-480E-8247-2AB84B58BDC8}"/>
    <cellStyle name="20% - Énfasis2 2 2" xfId="10668" xr:uid="{00000000-0005-0000-0000-00002C000000}"/>
    <cellStyle name="20% - Énfasis2 2 2 2" xfId="12558" xr:uid="{EF5908BB-8559-4553-A102-1F6DCEA66B45}"/>
    <cellStyle name="20% - Énfasis2 2 2 3" xfId="12559" xr:uid="{12E2B22E-E538-4671-8648-C607851C21A7}"/>
    <cellStyle name="20% - Énfasis2 2 2 4" xfId="12560" xr:uid="{52BD4C38-D009-4C3E-A70A-1A8F29AC7F71}"/>
    <cellStyle name="20% - Énfasis2 2 2 5" xfId="12561" xr:uid="{371F45EB-557E-41B3-B48B-24848003F9BF}"/>
    <cellStyle name="20% - Énfasis2 2 2 6" xfId="12557" xr:uid="{29F64488-61F5-4BBA-B89A-4CDA401DA3AA}"/>
    <cellStyle name="20% - Énfasis2 2 2 6 2" xfId="21263" xr:uid="{04A7B277-D4A0-4FC7-AEAB-A27688BFC4ED}"/>
    <cellStyle name="20% - Énfasis2 2 2 7" xfId="16633" xr:uid="{C27FA859-7AA4-4BA3-A266-A3B8AEA917D8}"/>
    <cellStyle name="20% - Énfasis2 2 2 7 2" xfId="22896" xr:uid="{E3B6A053-CDC5-4554-B7AD-2A84AF2C17CD}"/>
    <cellStyle name="20% - Énfasis2 2 2 8" xfId="19760" xr:uid="{8B536E78-36C8-41B9-B6CC-5452DA127840}"/>
    <cellStyle name="20% - Énfasis2 2 2_1.2.b" xfId="14907" xr:uid="{A3710F7A-3E62-49A5-9C4D-8FBE509E2E0C}"/>
    <cellStyle name="20% - Énfasis2 2 3" xfId="12562" xr:uid="{65FF6ADF-C018-4232-8960-AFDF99672967}"/>
    <cellStyle name="20% - Énfasis2 2 4" xfId="12563" xr:uid="{F3EA0A76-986F-4A94-819A-D395B6BC56BD}"/>
    <cellStyle name="20% - Énfasis2 2 5" xfId="12564" xr:uid="{4AA0A164-B3F6-47DA-9CE0-3B054D8F685A}"/>
    <cellStyle name="20% - Énfasis2 2 6" xfId="12565" xr:uid="{9C9F1F51-0380-4C7E-8F52-573F931B2623}"/>
    <cellStyle name="20% - Énfasis2 2 7" xfId="12566" xr:uid="{ED3DC646-3A32-4794-A3DF-3E1C474164F0}"/>
    <cellStyle name="20% - Énfasis2 2 8" xfId="12567" xr:uid="{1EF615B4-3A6C-4E59-95FD-E161628BC7E2}"/>
    <cellStyle name="20% - Énfasis2 2 9" xfId="12568" xr:uid="{0B4A295C-DAD3-4A68-9E7E-18D5422047CA}"/>
    <cellStyle name="20% - Énfasis2 2 9 2" xfId="16635" xr:uid="{5B7ADEC6-E00C-451A-A769-92FD5061A021}"/>
    <cellStyle name="20% - Énfasis2 2 9 2 2" xfId="22897" xr:uid="{6F052900-AF2F-4B94-8D2C-A30462B71594}"/>
    <cellStyle name="20% - Énfasis2 2 9 3" xfId="21264" xr:uid="{71903977-89B0-4CBB-BCD7-F99B8B63C3C3}"/>
    <cellStyle name="20% - Énfasis2 2 9_1.2.b" xfId="14908" xr:uid="{8F5D37AF-4C16-45E7-9A48-E30A4F157BA6}"/>
    <cellStyle name="20% - Énfasis2 2_1.2.b" xfId="14905" xr:uid="{5D898D27-AC7D-4FF3-9883-0DD1BF43155E}"/>
    <cellStyle name="20% - Énfasis2 20" xfId="12569" xr:uid="{0AA95534-B1F7-4035-822E-C76EACF32127}"/>
    <cellStyle name="20% - Énfasis2 20 2" xfId="16636" xr:uid="{70F31CA9-3BC8-4979-82A3-D4C411E51A3A}"/>
    <cellStyle name="20% - Énfasis2 20 2 2" xfId="22898" xr:uid="{AA62D08F-6204-4C85-891F-83A4E106DFDA}"/>
    <cellStyle name="20% - Énfasis2 20 3" xfId="21265" xr:uid="{F107720A-5A75-48FE-82BB-3D72BADCC4FD}"/>
    <cellStyle name="20% - Énfasis2 20_1.2.b" xfId="14909" xr:uid="{F816F965-753E-4ADF-A0C8-6A9D1A72C71F}"/>
    <cellStyle name="20% - Énfasis2 21" xfId="12570" xr:uid="{04258993-5004-4FF7-9F86-4FF818BDFEB7}"/>
    <cellStyle name="20% - Énfasis2 21 2" xfId="16637" xr:uid="{4995B4B4-B60E-4B0C-8B0B-37A12581F90B}"/>
    <cellStyle name="20% - Énfasis2 21 2 2" xfId="22899" xr:uid="{015085AB-D645-4061-B770-7655A5CACFD8}"/>
    <cellStyle name="20% - Énfasis2 21 3" xfId="21266" xr:uid="{1A013A3C-C0B5-42F1-93F5-81E62C28A1E7}"/>
    <cellStyle name="20% - Énfasis2 21_1.2.b" xfId="14910" xr:uid="{C5B42E59-5B30-470F-B3A5-FFAD311EF2B6}"/>
    <cellStyle name="20% - Énfasis2 22" xfId="12571" xr:uid="{45C871F3-B55A-45BB-8583-1300D6C0ED4F}"/>
    <cellStyle name="20% - Énfasis2 22 2" xfId="16638" xr:uid="{E6042E8C-C9CC-4EF1-B5CD-7CDB38D7F975}"/>
    <cellStyle name="20% - Énfasis2 22 2 2" xfId="22900" xr:uid="{40E16929-3C84-4F85-8F92-799431710778}"/>
    <cellStyle name="20% - Énfasis2 22 3" xfId="21267" xr:uid="{91C1C655-29F2-428A-A054-9FCA303DFA6C}"/>
    <cellStyle name="20% - Énfasis2 22_1.2.b" xfId="14911" xr:uid="{5147A91A-56C0-46A1-998E-D9320D42BD9F}"/>
    <cellStyle name="20% - Énfasis2 23" xfId="12572" xr:uid="{AB9333F8-6BFC-449D-BC86-429A9BC7757D}"/>
    <cellStyle name="20% - Énfasis2 23 2" xfId="16639" xr:uid="{1C3EC0E8-FF2A-4E55-BED4-2BCC0A79C1B3}"/>
    <cellStyle name="20% - Énfasis2 23 2 2" xfId="22901" xr:uid="{D4712067-3F2B-4966-B6F0-0356D2004792}"/>
    <cellStyle name="20% - Énfasis2 23 3" xfId="21268" xr:uid="{23BCFEAE-1195-47FD-86C7-CAF315C66775}"/>
    <cellStyle name="20% - Énfasis2 23_1.2.b" xfId="14912" xr:uid="{A7B30627-7812-4E4E-80BE-46B8E5C312FB}"/>
    <cellStyle name="20% - Énfasis2 24" xfId="12573" xr:uid="{118F27FA-9B6F-4242-8BFA-C2FB164CBB65}"/>
    <cellStyle name="20% - Énfasis2 24 2" xfId="16640" xr:uid="{7002A8C2-4C8F-4020-B3C7-5EB976A2793B}"/>
    <cellStyle name="20% - Énfasis2 24 2 2" xfId="22902" xr:uid="{8113946D-7493-4479-9C22-CF9391ABB6E4}"/>
    <cellStyle name="20% - Énfasis2 24 3" xfId="21269" xr:uid="{8299CD3A-D583-49B6-BE2D-EAB6B44719F1}"/>
    <cellStyle name="20% - Énfasis2 24_1.2.b" xfId="14913" xr:uid="{733C2420-2738-4488-9B29-29E2D9D1776A}"/>
    <cellStyle name="20% - Énfasis2 25" xfId="12574" xr:uid="{9B71D659-7479-4E64-B037-A1C9DB3B22C8}"/>
    <cellStyle name="20% - Énfasis2 25 2" xfId="16641" xr:uid="{F792A16E-9A39-4198-9345-2EB1DE389933}"/>
    <cellStyle name="20% - Énfasis2 25 2 2" xfId="22903" xr:uid="{3186D901-A2D3-42FA-808D-C0C40E20F4AE}"/>
    <cellStyle name="20% - Énfasis2 25 3" xfId="21270" xr:uid="{290139A8-A10B-431D-9F1B-58F68FF61FA2}"/>
    <cellStyle name="20% - Énfasis2 25_1.2.b" xfId="14914" xr:uid="{F99A4727-2487-4526-983B-06CB6B28E2D2}"/>
    <cellStyle name="20% - Énfasis2 26" xfId="12575" xr:uid="{88372B8B-801F-4B3D-9319-3D4424F2FC31}"/>
    <cellStyle name="20% - Énfasis2 26 2" xfId="16642" xr:uid="{F17EC3C3-7724-4AB2-AA64-E793F08EFC66}"/>
    <cellStyle name="20% - Énfasis2 26 2 2" xfId="22904" xr:uid="{F524B4B1-F92B-49AA-87EE-5D37ED1831B7}"/>
    <cellStyle name="20% - Énfasis2 26 3" xfId="21271" xr:uid="{8A9D3046-E9B5-4497-A80D-1338CC9178E8}"/>
    <cellStyle name="20% - Énfasis2 26_1.2.b" xfId="14915" xr:uid="{9C5E88A7-9318-45BF-B39F-D8D13BB43B70}"/>
    <cellStyle name="20% - Énfasis2 27" xfId="12576" xr:uid="{99E49204-BA34-49B8-B08D-3F38E39ABCA5}"/>
    <cellStyle name="20% - Énfasis2 27 2" xfId="16643" xr:uid="{A3111449-5AC3-47F7-A1B4-A1B3176D7EC8}"/>
    <cellStyle name="20% - Énfasis2 27 2 2" xfId="22905" xr:uid="{79D2A4A1-3182-4495-88D8-0C088B013167}"/>
    <cellStyle name="20% - Énfasis2 27 3" xfId="21272" xr:uid="{93CC18DA-5051-4DD6-81CF-8426232237A7}"/>
    <cellStyle name="20% - Énfasis2 27_1.2.b" xfId="14916" xr:uid="{6BECF409-26E4-452C-8297-25BE01580E5C}"/>
    <cellStyle name="20% - Énfasis2 28" xfId="12577" xr:uid="{F681272B-BBBC-4941-8B25-E69AF8273AAA}"/>
    <cellStyle name="20% - Énfasis2 28 2" xfId="16644" xr:uid="{FF970917-E36C-4733-84A9-543E6516076A}"/>
    <cellStyle name="20% - Énfasis2 28 2 2" xfId="22906" xr:uid="{BA60F98D-3A3E-4626-903D-083AD1F4C5E3}"/>
    <cellStyle name="20% - Énfasis2 28 3" xfId="21273" xr:uid="{FC3E26B7-D1EA-4C81-BAC1-D356E8442A89}"/>
    <cellStyle name="20% - Énfasis2 28_1.2.b" xfId="14917" xr:uid="{5E0C9CDA-9B05-4A93-9FC7-62BEE11D0358}"/>
    <cellStyle name="20% - Énfasis2 29" xfId="12578" xr:uid="{57E53CAA-B5C3-40DB-8A2F-35979F7A9F15}"/>
    <cellStyle name="20% - Énfasis2 29 2" xfId="16645" xr:uid="{AF29DF87-FC70-469D-9D76-115E939B51D7}"/>
    <cellStyle name="20% - Énfasis2 29 2 2" xfId="22907" xr:uid="{D3390D76-3D91-4F64-8649-6785CE35B5BF}"/>
    <cellStyle name="20% - Énfasis2 29 3" xfId="21274" xr:uid="{A5F29AAC-E8F9-45E3-8CD8-CC33077162C2}"/>
    <cellStyle name="20% - Énfasis2 29_1.2.b" xfId="14918" xr:uid="{5C2667DB-AD24-48CC-9A0F-2B14916ADF30}"/>
    <cellStyle name="20% - Énfasis2 3" xfId="162" xr:uid="{00000000-0005-0000-0000-00002D000000}"/>
    <cellStyle name="20% - Énfasis2 3 10" xfId="18406" xr:uid="{FFD174A2-51F5-4479-BA48-813A633807EA}"/>
    <cellStyle name="20% - Énfasis2 3 2" xfId="10682" xr:uid="{00000000-0005-0000-0000-00002E000000}"/>
    <cellStyle name="20% - Énfasis2 3 2 2" xfId="12580" xr:uid="{9869A811-525D-4DE4-AFC6-2B7C4227684F}"/>
    <cellStyle name="20% - Énfasis2 3 2 2 2" xfId="21276" xr:uid="{191DC9CF-22DC-489C-A73B-E4C9C65D07E4}"/>
    <cellStyle name="20% - Énfasis2 3 2 3" xfId="16647" xr:uid="{9A45D5E6-EB65-4554-A29D-76D095E277C1}"/>
    <cellStyle name="20% - Énfasis2 3 2 3 2" xfId="22909" xr:uid="{EB4823F2-366E-4024-8CF5-E22BFB1F3C9E}"/>
    <cellStyle name="20% - Énfasis2 3 2 4" xfId="19774" xr:uid="{C8E846A6-9CE2-4A3B-BB63-64B871D38508}"/>
    <cellStyle name="20% - Énfasis2 3 2_1.2.b" xfId="14920" xr:uid="{B73A4BE9-5165-4FBE-86BC-8FF808C46239}"/>
    <cellStyle name="20% - Énfasis2 3 3" xfId="12581" xr:uid="{9C99A6BF-8007-40D6-A70D-BF51629E0843}"/>
    <cellStyle name="20% - Énfasis2 3 4" xfId="12582" xr:uid="{B358B97F-377F-4257-A1EC-DA6BBEA9BADB}"/>
    <cellStyle name="20% - Énfasis2 3 5" xfId="12583" xr:uid="{CAFA3776-5BE1-47F1-A7D5-23F5FADBD04A}"/>
    <cellStyle name="20% - Énfasis2 3 5 2" xfId="16648" xr:uid="{93E9704B-D004-4819-B825-DCFEA1DB4204}"/>
    <cellStyle name="20% - Énfasis2 3 5 2 2" xfId="22910" xr:uid="{36B299CF-3A37-404B-8635-709BF957F50F}"/>
    <cellStyle name="20% - Énfasis2 3 5 3" xfId="21277" xr:uid="{397DD42C-3616-4FF7-99D4-C62E1F0C1DBB}"/>
    <cellStyle name="20% - Énfasis2 3 5_1.2.b" xfId="14921" xr:uid="{8AFE2F5B-FC0B-48A1-B1FF-E19A7FE376D5}"/>
    <cellStyle name="20% - Énfasis2 3 6" xfId="12584" xr:uid="{1CE49A89-15CE-472E-A7E3-211503A6F100}"/>
    <cellStyle name="20% - Énfasis2 3 6 2" xfId="16649" xr:uid="{C4F04FEC-1462-4656-B2F5-ADA0CBEFCBF2}"/>
    <cellStyle name="20% - Énfasis2 3 6 2 2" xfId="22911" xr:uid="{A9A5E0C3-0978-4DD8-9D18-DDD7539CC1F8}"/>
    <cellStyle name="20% - Énfasis2 3 6 3" xfId="21278" xr:uid="{31485FF3-DF31-4A2F-BDE1-CD93060ACAB1}"/>
    <cellStyle name="20% - Énfasis2 3 6_1.2.b" xfId="14922" xr:uid="{E4F09290-D74C-4F7B-B19D-FE2E22F4996A}"/>
    <cellStyle name="20% - Énfasis2 3 7" xfId="12585" xr:uid="{7FC3B157-3EE0-47E7-A7E1-C4EA4CEA3615}"/>
    <cellStyle name="20% - Énfasis2 3 7 2" xfId="16650" xr:uid="{350E670F-AF3B-4392-9880-6931687A9F88}"/>
    <cellStyle name="20% - Énfasis2 3 7 2 2" xfId="22912" xr:uid="{89AF6CAB-A5A6-48F9-A78D-8522DC15781F}"/>
    <cellStyle name="20% - Énfasis2 3 7 3" xfId="21279" xr:uid="{DC9B9A81-3C6F-4AC2-AD23-00C1D86507D5}"/>
    <cellStyle name="20% - Énfasis2 3 7_1.2.b" xfId="14923" xr:uid="{E92EB542-4785-4FAD-A8FC-071A38BEA4E6}"/>
    <cellStyle name="20% - Énfasis2 3 8" xfId="12579" xr:uid="{8443EF8E-8862-437E-8B9A-E8EFA6BB57D5}"/>
    <cellStyle name="20% - Énfasis2 3 8 2" xfId="21275" xr:uid="{C028DF54-09E3-4F37-AF17-2BBB8EEE6F51}"/>
    <cellStyle name="20% - Énfasis2 3 9" xfId="16646" xr:uid="{3B1FC7AF-241D-4120-9E9D-DD6C89B74B25}"/>
    <cellStyle name="20% - Énfasis2 3 9 2" xfId="22908" xr:uid="{DBE84993-C347-4220-AB57-31EE1DE1DC65}"/>
    <cellStyle name="20% - Énfasis2 3_1.2.b" xfId="14919" xr:uid="{233B446E-9568-4518-92E2-9C007B61CB3A}"/>
    <cellStyle name="20% - Énfasis2 30" xfId="12586" xr:uid="{653E691A-865A-4132-A77E-E6F9FDE65410}"/>
    <cellStyle name="20% - Énfasis2 30 2" xfId="16651" xr:uid="{20EAA188-62C3-408E-A6B2-096CBD375448}"/>
    <cellStyle name="20% - Énfasis2 30 2 2" xfId="22913" xr:uid="{3E3D9518-7112-4ECB-A3CD-9C77CE734D18}"/>
    <cellStyle name="20% - Énfasis2 30 3" xfId="21280" xr:uid="{60309BCE-BEDB-4D9A-A2E4-4E8CE3011501}"/>
    <cellStyle name="20% - Énfasis2 30_1.2.b" xfId="14924" xr:uid="{94B42C81-B86A-45D8-B4BF-7AE285BE1B20}"/>
    <cellStyle name="20% - Énfasis2 31" xfId="12587" xr:uid="{94F5AAB0-5E36-4CAC-A67F-CDDDDFEAA290}"/>
    <cellStyle name="20% - Énfasis2 31 2" xfId="16652" xr:uid="{0A873203-AFB4-4C7A-9AAD-D433F92ECA10}"/>
    <cellStyle name="20% - Énfasis2 31 2 2" xfId="22914" xr:uid="{D333AD5A-5679-44D7-AC54-52FD87FC4595}"/>
    <cellStyle name="20% - Énfasis2 31 3" xfId="21281" xr:uid="{53E6C7C5-40A8-417D-A82D-FECF52DBB34A}"/>
    <cellStyle name="20% - Énfasis2 31_1.2.b" xfId="14925" xr:uid="{3CAB8B67-8D53-4EB2-9AAE-78478C85C6B0}"/>
    <cellStyle name="20% - Énfasis2 32" xfId="12588" xr:uid="{308C2B6C-2D50-4170-A246-9D6450D79897}"/>
    <cellStyle name="20% - Énfasis2 32 2" xfId="16653" xr:uid="{8B7A38F8-8132-4F35-A63B-AB213C3324BA}"/>
    <cellStyle name="20% - Énfasis2 32 2 2" xfId="22915" xr:uid="{5F532075-F331-4F83-88DE-6C00982F1881}"/>
    <cellStyle name="20% - Énfasis2 32 3" xfId="21282" xr:uid="{65B424EE-6F71-44EE-9FB3-14C079C207C0}"/>
    <cellStyle name="20% - Énfasis2 32_1.2.b" xfId="14926" xr:uid="{7C11FBA9-5576-4495-939A-D15EDE622A2D}"/>
    <cellStyle name="20% - Énfasis2 33" xfId="12589" xr:uid="{DCF8AE9E-244A-451B-8D07-4A247DC084D2}"/>
    <cellStyle name="20% - Énfasis2 33 2" xfId="16654" xr:uid="{B3997D08-B639-466A-8855-D6A702D8754D}"/>
    <cellStyle name="20% - Énfasis2 33 2 2" xfId="22916" xr:uid="{82444608-48CD-4E21-AC9C-139FC49DDBA8}"/>
    <cellStyle name="20% - Énfasis2 33 3" xfId="21283" xr:uid="{F6546AAC-8A1E-4759-BFFE-7B01D1E7FBC5}"/>
    <cellStyle name="20% - Énfasis2 33_1.2.b" xfId="14927" xr:uid="{F0DFAF49-A92F-4F8D-B1A0-064581EB67B7}"/>
    <cellStyle name="20% - Énfasis2 34" xfId="12590" xr:uid="{E10D0031-4EDA-4514-A4EC-C407346A3726}"/>
    <cellStyle name="20% - Énfasis2 34 2" xfId="16655" xr:uid="{9E205500-A18D-488F-9DE2-B5430BB78CC4}"/>
    <cellStyle name="20% - Énfasis2 34 2 2" xfId="22917" xr:uid="{694619AA-BBD0-4221-B3D7-2D20B48C84E9}"/>
    <cellStyle name="20% - Énfasis2 34 3" xfId="21284" xr:uid="{FFFCBC8F-8576-4AD7-95F1-AD1B64980971}"/>
    <cellStyle name="20% - Énfasis2 34_1.2.b" xfId="14928" xr:uid="{FA6B91F8-D40D-4D2B-A130-25BAD81A47BC}"/>
    <cellStyle name="20% - Énfasis2 35" xfId="12591" xr:uid="{21CE0708-0D32-4598-81E6-71237DABE32B}"/>
    <cellStyle name="20% - Énfasis2 35 2" xfId="16656" xr:uid="{7ED4BEC4-83A7-4194-A096-66EA7F85599E}"/>
    <cellStyle name="20% - Énfasis2 35 2 2" xfId="22918" xr:uid="{1BE3DD99-76D1-462D-9626-923C54F7250B}"/>
    <cellStyle name="20% - Énfasis2 35 3" xfId="21285" xr:uid="{0592BCF9-4A17-49EE-BE4B-E952C65A7869}"/>
    <cellStyle name="20% - Énfasis2 35_1.2.b" xfId="14929" xr:uid="{0150585E-DE01-447D-ABE8-856B86C52983}"/>
    <cellStyle name="20% - Énfasis2 36" xfId="12592" xr:uid="{D9E8A856-4E18-4818-9D93-6E7E078C84BC}"/>
    <cellStyle name="20% - Énfasis2 36 2" xfId="16657" xr:uid="{0D487BF7-BB2D-470D-B1D6-A18F5634F628}"/>
    <cellStyle name="20% - Énfasis2 36 2 2" xfId="22919" xr:uid="{CCDA3AFF-6B5B-4B33-A035-F69A0D271AB1}"/>
    <cellStyle name="20% - Énfasis2 36 3" xfId="21286" xr:uid="{F813BD27-FFC7-46CA-A856-DEBE916A0B74}"/>
    <cellStyle name="20% - Énfasis2 36_1.2.b" xfId="14930" xr:uid="{935B3A58-65C8-4ECE-91A1-345C9615ED02}"/>
    <cellStyle name="20% - Énfasis2 37" xfId="12593" xr:uid="{10E13207-C215-405C-BA38-3C5FD7049C51}"/>
    <cellStyle name="20% - Énfasis2 37 2" xfId="16658" xr:uid="{4C4F1686-4B47-4B4F-8025-6E27CEF85C11}"/>
    <cellStyle name="20% - Énfasis2 37 2 2" xfId="22920" xr:uid="{2DE60C5B-BF81-42D6-ADB7-ECC8D8248587}"/>
    <cellStyle name="20% - Énfasis2 37 3" xfId="21287" xr:uid="{7ABA38EC-EC44-4797-9E30-B5206008E33F}"/>
    <cellStyle name="20% - Énfasis2 37_1.2.b" xfId="14931" xr:uid="{65D2997E-A4E9-44A5-A3A7-CABE0CC7130D}"/>
    <cellStyle name="20% - Énfasis2 38" xfId="12594" xr:uid="{6FAC2D01-3298-4969-98E4-5245E5AD3F86}"/>
    <cellStyle name="20% - Énfasis2 38 2" xfId="16659" xr:uid="{69F90C1D-73E9-4D72-A63C-A9B52559AB79}"/>
    <cellStyle name="20% - Énfasis2 38 2 2" xfId="22921" xr:uid="{73A95432-56DE-4B8A-9951-1145F24AC89D}"/>
    <cellStyle name="20% - Énfasis2 38 3" xfId="21288" xr:uid="{5B37CB95-4567-4F2A-977E-06044290F005}"/>
    <cellStyle name="20% - Énfasis2 38_1.2.b" xfId="14932" xr:uid="{78F4B277-1F3D-4D01-A524-A5DFA6F3457F}"/>
    <cellStyle name="20% - Énfasis2 39" xfId="12595" xr:uid="{3BF6D68E-FD3A-4D5F-9668-63ACED6795F1}"/>
    <cellStyle name="20% - Énfasis2 39 2" xfId="16660" xr:uid="{4CDFE2B6-6CAB-41A2-B1FF-1AC49A55AFE5}"/>
    <cellStyle name="20% - Énfasis2 39 2 2" xfId="22922" xr:uid="{F454AC2A-5548-4D99-A165-610A2408CE56}"/>
    <cellStyle name="20% - Énfasis2 39 3" xfId="21289" xr:uid="{C1E69819-A043-430B-98DA-3876D5A4395D}"/>
    <cellStyle name="20% - Énfasis2 39_1.2.b" xfId="14933" xr:uid="{AF97A0AE-399E-4ACB-9787-351BE3719CF8}"/>
    <cellStyle name="20% - Énfasis2 4" xfId="176" xr:uid="{00000000-0005-0000-0000-00002F000000}"/>
    <cellStyle name="20% - Énfasis2 4 2" xfId="10696" xr:uid="{00000000-0005-0000-0000-000030000000}"/>
    <cellStyle name="20% - Énfasis2 4 2 2" xfId="12598" xr:uid="{1F9D70E7-1E77-4A74-B1C1-C463FAB70D0A}"/>
    <cellStyle name="20% - Énfasis2 4 2 2 2" xfId="16663" xr:uid="{7D97F03D-CFE2-4395-A959-7A1433DA5772}"/>
    <cellStyle name="20% - Énfasis2 4 2 2 2 2" xfId="22924" xr:uid="{97DDFA6A-99BD-43CB-83A9-A0D6FF20E88C}"/>
    <cellStyle name="20% - Énfasis2 4 2 2 3" xfId="21291" xr:uid="{C77BF926-2103-449D-BFD5-D1AE0A2AB357}"/>
    <cellStyle name="20% - Énfasis2 4 2 2_1.2.b" xfId="14936" xr:uid="{6472C8B7-CA52-42E6-AFD3-97A74D049A08}"/>
    <cellStyle name="20% - Énfasis2 4 2 3" xfId="12597" xr:uid="{39D5E25A-851E-47A1-BD0A-7E532634A858}"/>
    <cellStyle name="20% - Énfasis2 4 2 4" xfId="16662" xr:uid="{33284E0A-B89A-4B3B-B616-19D5634CA040}"/>
    <cellStyle name="20% - Énfasis2 4 2 5" xfId="18125" xr:uid="{A2753E63-B5E3-4AAE-AB2F-D63D28037028}"/>
    <cellStyle name="20% - Énfasis2 4 2 6" xfId="18262" xr:uid="{01472229-CEE5-4998-BF3A-3A76E2211A2A}"/>
    <cellStyle name="20% - Énfasis2 4 2 7" xfId="17877" xr:uid="{1BC4AFBA-3B0A-4305-99CD-12C136335591}"/>
    <cellStyle name="20% - Énfasis2 4 2 8" xfId="18258" xr:uid="{0DC6218E-0ECF-425E-830D-29CE6B799569}"/>
    <cellStyle name="20% - Énfasis2 4 2 9" xfId="19788" xr:uid="{DCD3492B-D6F5-4D4C-A2B2-D0948BBFBC82}"/>
    <cellStyle name="20% - Énfasis2 4 2_1.2.b" xfId="14935" xr:uid="{E4B52027-4ED7-46BA-B34E-671EF0ED3361}"/>
    <cellStyle name="20% - Énfasis2 4 3" xfId="12599" xr:uid="{F0B62A96-C5A3-415F-A9C8-CD0A78B8922C}"/>
    <cellStyle name="20% - Énfasis2 4 3 2" xfId="16664" xr:uid="{E0BCC230-B691-4152-BFA8-D64525646FF5}"/>
    <cellStyle name="20% - Énfasis2 4 3 2 2" xfId="22925" xr:uid="{6F8858A8-1FA0-432E-9398-593F77D0F141}"/>
    <cellStyle name="20% - Énfasis2 4 3 3" xfId="21292" xr:uid="{7D7CE5D9-60A7-4F2C-9F78-7AB7845F58D8}"/>
    <cellStyle name="20% - Énfasis2 4 3_1.2.b" xfId="14937" xr:uid="{EFBA1A56-AC8C-4C41-A753-D9205A619A89}"/>
    <cellStyle name="20% - Énfasis2 4 4" xfId="12600" xr:uid="{CC660AAF-2850-4665-9A16-8CE00B0FAC9B}"/>
    <cellStyle name="20% - Énfasis2 4 4 2" xfId="16665" xr:uid="{A770D1BD-A19E-4170-9EB1-ED3C97B92721}"/>
    <cellStyle name="20% - Énfasis2 4 4 2 2" xfId="22926" xr:uid="{01ACCFA4-3377-41D8-8DC4-40E1DC1C2668}"/>
    <cellStyle name="20% - Énfasis2 4 4 3" xfId="21293" xr:uid="{2072D9AB-2922-4674-A1FA-D5229E2D007E}"/>
    <cellStyle name="20% - Énfasis2 4 4_1.2.b" xfId="14938" xr:uid="{D3B7AE86-8D07-4B17-B177-CE604D502DDD}"/>
    <cellStyle name="20% - Énfasis2 4 5" xfId="12601" xr:uid="{E312612C-77E9-4E28-A82C-FAEFDA5E75BA}"/>
    <cellStyle name="20% - Énfasis2 4 5 2" xfId="16666" xr:uid="{03400F24-4852-481D-874D-7DB0B706F4F9}"/>
    <cellStyle name="20% - Énfasis2 4 5 2 2" xfId="22927" xr:uid="{D56713EA-5936-4577-B40B-FBB1DABE8825}"/>
    <cellStyle name="20% - Énfasis2 4 5 3" xfId="21294" xr:uid="{0BE0F86E-9317-490F-8631-2689C61E71C9}"/>
    <cellStyle name="20% - Énfasis2 4 5_1.2.b" xfId="14939" xr:uid="{005F1D60-D902-4C28-858B-A009840E7734}"/>
    <cellStyle name="20% - Énfasis2 4 6" xfId="12602" xr:uid="{2705876B-2B9A-4024-A87D-E2D6EDF55E37}"/>
    <cellStyle name="20% - Énfasis2 4 6 2" xfId="16667" xr:uid="{EF53C8B9-4B18-41D0-AF89-E49FD1F5880E}"/>
    <cellStyle name="20% - Énfasis2 4 6 2 2" xfId="22928" xr:uid="{DB4D5309-65AB-4B54-894A-CFD35F9EB666}"/>
    <cellStyle name="20% - Énfasis2 4 6 3" xfId="21295" xr:uid="{987760A8-E6B0-4990-A388-4C4CC1EF52B5}"/>
    <cellStyle name="20% - Énfasis2 4 6_1.2.b" xfId="14940" xr:uid="{0873F266-60E4-464F-B070-96209D13E607}"/>
    <cellStyle name="20% - Énfasis2 4 7" xfId="12596" xr:uid="{90C89DD4-A8A2-47BD-9420-60BD4CEB5C3F}"/>
    <cellStyle name="20% - Énfasis2 4 7 2" xfId="21290" xr:uid="{3F387BE5-27C3-4043-A59B-2081C66C6EB5}"/>
    <cellStyle name="20% - Énfasis2 4 8" xfId="16661" xr:uid="{B0094F26-C1A4-42A7-9F4C-BFB4BFCD5036}"/>
    <cellStyle name="20% - Énfasis2 4 8 2" xfId="22923" xr:uid="{60536616-4439-425A-A434-58517E912A0B}"/>
    <cellStyle name="20% - Énfasis2 4 9" xfId="18420" xr:uid="{A0341E2A-14E5-4A06-A755-3AF24B0B67DB}"/>
    <cellStyle name="20% - Énfasis2 4_1.2.b" xfId="14934" xr:uid="{347E78AE-B2E8-4E4B-B1B0-76A8BDD5D95A}"/>
    <cellStyle name="20% - Énfasis2 40" xfId="12603" xr:uid="{A2CEEBA1-A559-4077-9C0B-5023FDDDE07A}"/>
    <cellStyle name="20% - Énfasis2 40 2" xfId="16668" xr:uid="{F29E8A4B-B01C-450B-BB36-51B6D3FC30A1}"/>
    <cellStyle name="20% - Énfasis2 40 2 2" xfId="22929" xr:uid="{87601E54-6A98-4C85-9A6E-D748B161B7F9}"/>
    <cellStyle name="20% - Énfasis2 40 3" xfId="21296" xr:uid="{762B0045-FFD5-4704-8630-45682A6FE3A9}"/>
    <cellStyle name="20% - Énfasis2 40_1.2.b" xfId="14941" xr:uid="{1749CE4D-C993-40DD-AF43-0CA43B33A076}"/>
    <cellStyle name="20% - Énfasis2 41" xfId="12604" xr:uid="{65DE9B66-A0CA-4241-8BA0-EDE40230D058}"/>
    <cellStyle name="20% - Énfasis2 41 2" xfId="16669" xr:uid="{0005BBB5-0815-41F5-8BBD-D87B39F6021C}"/>
    <cellStyle name="20% - Énfasis2 41 2 2" xfId="22930" xr:uid="{E982A73A-F026-4324-AB47-AA8E0EF7AC2D}"/>
    <cellStyle name="20% - Énfasis2 41 3" xfId="21297" xr:uid="{F41C5AA5-2A32-4072-B58D-DBE754522D57}"/>
    <cellStyle name="20% - Énfasis2 41_1.2.b" xfId="14942" xr:uid="{0F77F8C9-8143-46DA-A1A3-0F3EFB7A7371}"/>
    <cellStyle name="20% - Énfasis2 42" xfId="12605" xr:uid="{9C03134E-BC21-4592-8857-B2190C087FE2}"/>
    <cellStyle name="20% - Énfasis2 42 2" xfId="16670" xr:uid="{27835AA6-BE9F-459A-A2DA-58EB80750A15}"/>
    <cellStyle name="20% - Énfasis2 42 2 2" xfId="22931" xr:uid="{96EEB565-01C2-4510-929F-80413F5F057D}"/>
    <cellStyle name="20% - Énfasis2 42 3" xfId="21298" xr:uid="{F93476B6-616C-480C-A3C1-48EEC73F3186}"/>
    <cellStyle name="20% - Énfasis2 42_1.2.b" xfId="14943" xr:uid="{C9A21810-2706-478D-B496-09EFDCEE6EFD}"/>
    <cellStyle name="20% - Énfasis2 43" xfId="12606" xr:uid="{9348514F-E3D9-4DB7-87DE-22580B155C1C}"/>
    <cellStyle name="20% - Énfasis2 43 2" xfId="16671" xr:uid="{DE360A47-BBBE-4EC3-A9F7-CD773E673ED9}"/>
    <cellStyle name="20% - Énfasis2 43 2 2" xfId="22932" xr:uid="{C68BAEDB-60F5-49FC-95FD-9AAD66ACB5C7}"/>
    <cellStyle name="20% - Énfasis2 43 3" xfId="21299" xr:uid="{5FFC4A47-731F-4099-861D-9B98F3578535}"/>
    <cellStyle name="20% - Énfasis2 43_1.2.b" xfId="14944" xr:uid="{D9A67942-F23B-480B-A0E0-90E4525F821C}"/>
    <cellStyle name="20% - Énfasis2 44" xfId="12607" xr:uid="{0F1F8220-3166-4F29-92D1-9B0F1FE81129}"/>
    <cellStyle name="20% - Énfasis2 44 2" xfId="16672" xr:uid="{54296825-22DF-4197-8511-DB26E6086B3F}"/>
    <cellStyle name="20% - Énfasis2 44 2 2" xfId="22933" xr:uid="{0A1B1E00-5AA0-4B77-8131-E06FC190646A}"/>
    <cellStyle name="20% - Énfasis2 44 3" xfId="21300" xr:uid="{B7946C70-5EB8-48BE-9DB3-6E9289F20183}"/>
    <cellStyle name="20% - Énfasis2 44_1.2.b" xfId="14945" xr:uid="{0B0B35E3-01D2-47CE-8B68-ADB64BFEFACB}"/>
    <cellStyle name="20% - Énfasis2 45" xfId="12608" xr:uid="{B51BAEDE-FF61-49E1-ADB3-5E68E915DBD1}"/>
    <cellStyle name="20% - Énfasis2 45 2" xfId="16673" xr:uid="{71699495-C7EB-4890-AD7F-D12F39C6B2A0}"/>
    <cellStyle name="20% - Énfasis2 45 2 2" xfId="22934" xr:uid="{2CCA5A19-64B9-4F38-9696-DA53B82DB11A}"/>
    <cellStyle name="20% - Énfasis2 45 3" xfId="21301" xr:uid="{C3210433-039C-4B4A-A746-962456B25DB8}"/>
    <cellStyle name="20% - Énfasis2 45_1.2.b" xfId="14946" xr:uid="{DE538F2A-C854-4C8B-B9D5-DE057FAF25F1}"/>
    <cellStyle name="20% - Énfasis2 46" xfId="12609" xr:uid="{2B0CE693-A03D-4CCF-A8D8-74A977EC3121}"/>
    <cellStyle name="20% - Énfasis2 46 2" xfId="16674" xr:uid="{6C5031B1-19B5-487B-8730-58DDF5BF8C99}"/>
    <cellStyle name="20% - Énfasis2 46 2 2" xfId="22935" xr:uid="{6DB71CB2-DE03-4F59-923D-4AC31CD60C00}"/>
    <cellStyle name="20% - Énfasis2 46 3" xfId="21302" xr:uid="{84C31041-8275-4270-9043-B3C7D24B34FA}"/>
    <cellStyle name="20% - Énfasis2 46_1.2.b" xfId="14947" xr:uid="{6406CF46-1DB6-4F94-B0E1-6943C557A829}"/>
    <cellStyle name="20% - Énfasis2 47" xfId="12610" xr:uid="{0C6C4E55-0B51-4E8C-9D9B-9BE52533AD1D}"/>
    <cellStyle name="20% - Énfasis2 47 2" xfId="16675" xr:uid="{B569F427-95E5-4EA2-8E61-FCB6F61970AB}"/>
    <cellStyle name="20% - Énfasis2 47 2 2" xfId="22936" xr:uid="{A61242B7-843F-453B-85E7-96AFA5008D3D}"/>
    <cellStyle name="20% - Énfasis2 47 3" xfId="21303" xr:uid="{455C1E70-0D90-4CBC-A366-2893E12A054B}"/>
    <cellStyle name="20% - Énfasis2 47_1.2.b" xfId="14948" xr:uid="{1DE46A7F-CCEE-44C2-B2A0-499EACB96F96}"/>
    <cellStyle name="20% - Énfasis2 48" xfId="12611" xr:uid="{68C29728-D897-4987-9986-39B230D01E3B}"/>
    <cellStyle name="20% - Énfasis2 48 2" xfId="16676" xr:uid="{26486588-8235-43BF-B6DC-05E6F3912F39}"/>
    <cellStyle name="20% - Énfasis2 48 2 2" xfId="22937" xr:uid="{7028965D-D177-4129-872E-687ABD2F725A}"/>
    <cellStyle name="20% - Énfasis2 48 3" xfId="21304" xr:uid="{02D2A84F-CADE-4DBE-9A40-15435965574E}"/>
    <cellStyle name="20% - Énfasis2 48_1.2.b" xfId="14949" xr:uid="{357F465A-C7F1-4FD6-AF8C-0FDEE5F4114C}"/>
    <cellStyle name="20% - Énfasis2 49" xfId="12612" xr:uid="{CCADE797-C58B-4700-9FD5-A59DA251843D}"/>
    <cellStyle name="20% - Énfasis2 49 2" xfId="16677" xr:uid="{C1918C10-0DE6-464A-9CA8-838E3271A7D4}"/>
    <cellStyle name="20% - Énfasis2 49 2 2" xfId="22938" xr:uid="{FB6E6B37-0303-465D-A3D1-528AB15B15F2}"/>
    <cellStyle name="20% - Énfasis2 49 3" xfId="21305" xr:uid="{C553F377-7CD9-4C41-BA5D-E083A3755847}"/>
    <cellStyle name="20% - Énfasis2 49_1.2.b" xfId="14950" xr:uid="{94346273-43A9-4D0B-B5E1-3DEA7635039D}"/>
    <cellStyle name="20% - Énfasis2 5" xfId="191" xr:uid="{00000000-0005-0000-0000-000031000000}"/>
    <cellStyle name="20% - Énfasis2 5 2" xfId="10711" xr:uid="{00000000-0005-0000-0000-000032000000}"/>
    <cellStyle name="20% - Énfasis2 5 2 2" xfId="12614" xr:uid="{6274F7B0-D067-47F6-9E82-9459F1260F07}"/>
    <cellStyle name="20% - Énfasis2 5 2 2 2" xfId="21307" xr:uid="{EB81EE8F-BFA4-407A-ADB4-9BF8F55EB911}"/>
    <cellStyle name="20% - Énfasis2 5 2 3" xfId="16679" xr:uid="{8522EBCF-125F-40E3-8928-8454260F662E}"/>
    <cellStyle name="20% - Énfasis2 5 2 3 2" xfId="22940" xr:uid="{48AB3479-AE39-47E7-ACCF-1E02CB920080}"/>
    <cellStyle name="20% - Énfasis2 5 2 4" xfId="19803" xr:uid="{DEC26A8C-F0EA-4464-B3B5-B3FE2C3DC870}"/>
    <cellStyle name="20% - Énfasis2 5 2_1.2.b" xfId="14952" xr:uid="{1FBE47C7-6D79-4417-BA9D-6DB71F491BC9}"/>
    <cellStyle name="20% - Énfasis2 5 3" xfId="12615" xr:uid="{68042893-EB47-4578-9E5C-77AC68288D75}"/>
    <cellStyle name="20% - Énfasis2 5 3 2" xfId="16680" xr:uid="{F208BC35-AB1A-439C-93DF-EF986F2CA1CD}"/>
    <cellStyle name="20% - Énfasis2 5 3 2 2" xfId="22941" xr:uid="{FBE6D44B-8FA6-45DF-B571-E5471CBD2F52}"/>
    <cellStyle name="20% - Énfasis2 5 3 3" xfId="21308" xr:uid="{E51D92D2-496C-4398-B85F-083FB73A0C4B}"/>
    <cellStyle name="20% - Énfasis2 5 3_1.2.b" xfId="14953" xr:uid="{A7068617-B763-495C-9FD5-D5FFE31B61C9}"/>
    <cellStyle name="20% - Énfasis2 5 4" xfId="12613" xr:uid="{04026588-04B4-4867-8EE8-B9D0CB1467C4}"/>
    <cellStyle name="20% - Énfasis2 5 4 2" xfId="21306" xr:uid="{130DAFC3-6F49-43BE-8CA2-07A2D7086866}"/>
    <cellStyle name="20% - Énfasis2 5 5" xfId="16678" xr:uid="{B8589DD8-9A66-4675-B6D7-0ADBB3F92A6B}"/>
    <cellStyle name="20% - Énfasis2 5 5 2" xfId="22939" xr:uid="{656F8261-99CB-4DCA-820A-8AA811640DB4}"/>
    <cellStyle name="20% - Énfasis2 5 6" xfId="18435" xr:uid="{A44CDF51-CD42-4A73-AB40-1135DEB4CC9F}"/>
    <cellStyle name="20% - Énfasis2 5_1.2.b" xfId="14951" xr:uid="{BBDD6A1D-066E-41BA-BB44-06533C919CE3}"/>
    <cellStyle name="20% - Énfasis2 50" xfId="12616" xr:uid="{3EC11FBF-868B-4F09-9374-CCFD95D27AA7}"/>
    <cellStyle name="20% - Énfasis2 50 2" xfId="16681" xr:uid="{A6E2646E-455A-40E3-B7CE-0577BA1F6D0E}"/>
    <cellStyle name="20% - Énfasis2 50 2 2" xfId="22942" xr:uid="{E8DB0BC3-AF91-4417-AF57-BDEBFA6D9529}"/>
    <cellStyle name="20% - Énfasis2 50 3" xfId="21309" xr:uid="{A178CB9B-FF0C-4317-9196-6B1D03F681D8}"/>
    <cellStyle name="20% - Énfasis2 50_1.2.b" xfId="14954" xr:uid="{7B731E61-E97B-4FE1-9999-95AE560ECBF5}"/>
    <cellStyle name="20% - Énfasis2 51" xfId="12617" xr:uid="{902766C4-E07D-4C9B-AE2B-12158DD56664}"/>
    <cellStyle name="20% - Énfasis2 51 2" xfId="16682" xr:uid="{3FE342E7-01B0-4C9C-94DB-906B2EDB1B0B}"/>
    <cellStyle name="20% - Énfasis2 51 2 2" xfId="22943" xr:uid="{CE5FF2F1-4C88-4319-9E2F-67AB1408EC42}"/>
    <cellStyle name="20% - Énfasis2 51 3" xfId="21310" xr:uid="{050E006E-DA29-41BF-A8BA-44C0F581BB1B}"/>
    <cellStyle name="20% - Énfasis2 51_1.2.b" xfId="14955" xr:uid="{CC6E8C8E-925C-48C5-8332-08918A0CA355}"/>
    <cellStyle name="20% - Énfasis2 52" xfId="12618" xr:uid="{D2BA7A24-42B3-4AB3-BA11-C2040382C54F}"/>
    <cellStyle name="20% - Énfasis2 52 2" xfId="16683" xr:uid="{AF239801-9855-410C-9C04-939F8BFFA630}"/>
    <cellStyle name="20% - Énfasis2 52 2 2" xfId="22944" xr:uid="{DDE935DA-ABB0-42C5-ABC4-D8483666073F}"/>
    <cellStyle name="20% - Énfasis2 52 3" xfId="21311" xr:uid="{25021090-CA1C-4945-9816-43FE7C29E677}"/>
    <cellStyle name="20% - Énfasis2 52_1.2.b" xfId="14956" xr:uid="{EE1F1201-20F2-4F60-BAA1-983E450E5AD2}"/>
    <cellStyle name="20% - Énfasis2 53" xfId="12619" xr:uid="{44704087-2F4F-42E0-9E2B-B3D01436303E}"/>
    <cellStyle name="20% - Énfasis2 53 2" xfId="16684" xr:uid="{EE8D1751-0063-4BCD-8557-D69FDED12EF9}"/>
    <cellStyle name="20% - Énfasis2 53 2 2" xfId="22945" xr:uid="{ADAB3AA5-C0FF-4FBF-93F0-361AA08B1EE7}"/>
    <cellStyle name="20% - Énfasis2 53 3" xfId="21312" xr:uid="{239C697D-C0DA-44CA-B7E9-414B59FFD655}"/>
    <cellStyle name="20% - Énfasis2 53_1.2.b" xfId="14957" xr:uid="{1D5EA7A1-01F3-4BE1-A203-D54F48D21DAD}"/>
    <cellStyle name="20% - Énfasis2 54" xfId="12620" xr:uid="{2D7C08C3-0D9B-4660-BD05-6FAA91509826}"/>
    <cellStyle name="20% - Énfasis2 54 2" xfId="16685" xr:uid="{9DDFCE56-FD96-4E18-A1A2-FEBF71BCBDE2}"/>
    <cellStyle name="20% - Énfasis2 54 2 2" xfId="22946" xr:uid="{898103D3-E745-4C17-967A-0D93BEAA3A20}"/>
    <cellStyle name="20% - Énfasis2 54 3" xfId="21313" xr:uid="{3BBE0520-EC90-4111-B6B8-600E27526A9B}"/>
    <cellStyle name="20% - Énfasis2 54_1.2.b" xfId="14958" xr:uid="{DCA072A6-7E23-496C-8411-8E7FD876079B}"/>
    <cellStyle name="20% - Énfasis2 55" xfId="12621" xr:uid="{C2CF3317-5774-49E9-B0FE-94C01926A678}"/>
    <cellStyle name="20% - Énfasis2 55 2" xfId="16686" xr:uid="{5A0F7D2F-9846-4F77-8393-6DA23033E069}"/>
    <cellStyle name="20% - Énfasis2 55 2 2" xfId="22947" xr:uid="{419052AF-F6EE-4E56-9254-1F14397E2C1B}"/>
    <cellStyle name="20% - Énfasis2 55 3" xfId="21314" xr:uid="{2DC012C0-5E4A-43E0-93D9-6A715774CABD}"/>
    <cellStyle name="20% - Énfasis2 55_1.2.b" xfId="14959" xr:uid="{75CB2450-AD9A-41CB-86A6-0AF22BD0ED0A}"/>
    <cellStyle name="20% - Énfasis2 56" xfId="12622" xr:uid="{8578DD91-0029-49E1-B35A-7DB34B28E12E}"/>
    <cellStyle name="20% - Énfasis2 56 2" xfId="16687" xr:uid="{45B2F143-8FDA-4556-B24D-4BB1297A1C17}"/>
    <cellStyle name="20% - Énfasis2 56 2 2" xfId="22948" xr:uid="{B2F9306E-9192-4B60-98E1-6FB8D7F7210E}"/>
    <cellStyle name="20% - Énfasis2 56 3" xfId="21315" xr:uid="{EDE6F529-76F7-4BE2-B430-D1C1325B9E49}"/>
    <cellStyle name="20% - Énfasis2 56_1.2.b" xfId="14960" xr:uid="{25DA2AFC-50A1-49BD-B552-31FED0643348}"/>
    <cellStyle name="20% - Énfasis2 57" xfId="12623" xr:uid="{F742E3FF-C099-4AEE-B657-F932373FC502}"/>
    <cellStyle name="20% - Énfasis2 57 2" xfId="16688" xr:uid="{A2D586A5-2F76-46AA-98E0-BA68E32EBB24}"/>
    <cellStyle name="20% - Énfasis2 57 2 2" xfId="22949" xr:uid="{C12FF47D-3790-4D11-B7B3-AC03CDB7AC31}"/>
    <cellStyle name="20% - Énfasis2 57 3" xfId="21316" xr:uid="{A37E2F3D-7BB5-4F5B-ACB2-2EEF20099128}"/>
    <cellStyle name="20% - Énfasis2 57_1.2.b" xfId="14961" xr:uid="{24EB5EEF-7FC9-4D33-A80E-284F9C3A26E9}"/>
    <cellStyle name="20% - Énfasis2 58" xfId="12624" xr:uid="{6E07483E-12DB-489D-A4CE-0204FF38EBBC}"/>
    <cellStyle name="20% - Énfasis2 58 2" xfId="16689" xr:uid="{C4BE092F-9626-40D3-800E-407BBFB3EC80}"/>
    <cellStyle name="20% - Énfasis2 58 2 2" xfId="22950" xr:uid="{11D40DC6-CD1F-4E77-B5D0-E05D77F5E1BC}"/>
    <cellStyle name="20% - Énfasis2 58 3" xfId="21317" xr:uid="{8EC0650C-0FC2-4D44-8E73-DDBE6E19D03C}"/>
    <cellStyle name="20% - Énfasis2 58_1.2.b" xfId="14962" xr:uid="{ED6B03F1-6B07-4770-911C-51591C10C584}"/>
    <cellStyle name="20% - Énfasis2 59" xfId="12625" xr:uid="{31AF01F7-4CC9-44EE-BA77-C43C0DCF7376}"/>
    <cellStyle name="20% - Énfasis2 59 2" xfId="16690" xr:uid="{DF277A83-0AB1-411D-A5FB-AEBE8089A549}"/>
    <cellStyle name="20% - Énfasis2 59 2 2" xfId="22951" xr:uid="{D6DD8931-0371-4A81-9582-6F2682BD48AA}"/>
    <cellStyle name="20% - Énfasis2 59 3" xfId="21318" xr:uid="{BB7A2151-3B6D-4653-A760-200211B8B433}"/>
    <cellStyle name="20% - Énfasis2 59_1.2.b" xfId="14963" xr:uid="{2117F05D-A95D-405F-ACC8-D656D77EEC23}"/>
    <cellStyle name="20% - Énfasis2 6" xfId="205" xr:uid="{00000000-0005-0000-0000-000033000000}"/>
    <cellStyle name="20% - Énfasis2 6 2" xfId="10725" xr:uid="{00000000-0005-0000-0000-000034000000}"/>
    <cellStyle name="20% - Énfasis2 6 2 2" xfId="12627" xr:uid="{CD519161-A7EB-40D2-8197-DC4C365E1765}"/>
    <cellStyle name="20% - Énfasis2 6 2 2 2" xfId="21320" xr:uid="{FFAE8CB3-08DF-4A14-8641-C21C9F3770EB}"/>
    <cellStyle name="20% - Énfasis2 6 2 3" xfId="16692" xr:uid="{3D06F052-70A4-4C8C-BF9E-7E15FB7A3374}"/>
    <cellStyle name="20% - Énfasis2 6 2 3 2" xfId="22953" xr:uid="{3EE87592-5C70-4E47-B139-5306132AE977}"/>
    <cellStyle name="20% - Énfasis2 6 2 4" xfId="19817" xr:uid="{CAB2190D-883F-473E-A1BB-A58C0E4B5502}"/>
    <cellStyle name="20% - Énfasis2 6 2_1.2.b" xfId="14965" xr:uid="{22DECF20-82D1-4A36-B535-1480F2A4D7C7}"/>
    <cellStyle name="20% - Énfasis2 6 3" xfId="12626" xr:uid="{B740EE9E-E85F-452F-BF73-1E7C7D438F31}"/>
    <cellStyle name="20% - Énfasis2 6 3 2" xfId="21319" xr:uid="{418FAAF0-B01F-44EA-A775-44895A2534A9}"/>
    <cellStyle name="20% - Énfasis2 6 4" xfId="16691" xr:uid="{424A02BE-5DEF-4226-B6D1-0658E3FBB21B}"/>
    <cellStyle name="20% - Énfasis2 6 4 2" xfId="22952" xr:uid="{C7A9D8AC-15D1-43A4-A65B-AE1E1B7D2230}"/>
    <cellStyle name="20% - Énfasis2 6 5" xfId="18449" xr:uid="{293F720B-B430-4E34-96C6-A35AB7990873}"/>
    <cellStyle name="20% - Énfasis2 6_1.2.b" xfId="14964" xr:uid="{3C1D0C90-524F-4930-9985-B5A9A8E4B085}"/>
    <cellStyle name="20% - Énfasis2 60" xfId="12628" xr:uid="{87BF5EB5-13A4-4E4C-81E4-36BC2D977AD9}"/>
    <cellStyle name="20% - Énfasis2 60 2" xfId="16693" xr:uid="{411F97AE-E2B9-4403-821C-F38A0A8B7030}"/>
    <cellStyle name="20% - Énfasis2 60 2 2" xfId="22954" xr:uid="{05E3F34D-D970-4B91-9D3B-627E3DC309B7}"/>
    <cellStyle name="20% - Énfasis2 60 3" xfId="21321" xr:uid="{813AC2E7-3046-4CC5-BD68-693AA296326F}"/>
    <cellStyle name="20% - Énfasis2 60_1.2.b" xfId="14966" xr:uid="{E2C265F9-7B39-404D-A342-7BA750EAC29A}"/>
    <cellStyle name="20% - Énfasis2 61" xfId="12629" xr:uid="{3D5B8499-24FB-43ED-96FB-4CC523F86C1A}"/>
    <cellStyle name="20% - Énfasis2 61 2" xfId="16694" xr:uid="{BCA781BB-03DC-47C9-AD2D-EFE809E10ECB}"/>
    <cellStyle name="20% - Énfasis2 61 2 2" xfId="22955" xr:uid="{47AD570C-D48B-4610-BB14-E0CDD975CEAE}"/>
    <cellStyle name="20% - Énfasis2 61 3" xfId="21322" xr:uid="{AD87D974-3882-4127-A300-95132007AF6D}"/>
    <cellStyle name="20% - Énfasis2 61_1.2.b" xfId="14967" xr:uid="{DFA9080A-AF2C-46A9-B454-648058E444CB}"/>
    <cellStyle name="20% - Énfasis2 62" xfId="12630" xr:uid="{EBC71A24-A3EC-4CCA-9BC8-D2C2011A4F23}"/>
    <cellStyle name="20% - Énfasis2 62 2" xfId="16695" xr:uid="{392FE937-7195-43FF-98BF-D0E116CD75AA}"/>
    <cellStyle name="20% - Énfasis2 62 2 2" xfId="22956" xr:uid="{F0FE5687-7771-4E35-BF6D-56A59C9DA00C}"/>
    <cellStyle name="20% - Énfasis2 62 3" xfId="21323" xr:uid="{B3DBC9E1-6C14-4BCC-96D4-8135CCF67052}"/>
    <cellStyle name="20% - Énfasis2 62_1.2.b" xfId="14968" xr:uid="{C608F826-F6FB-47B6-9C43-E25442C16364}"/>
    <cellStyle name="20% - Énfasis2 63" xfId="12631" xr:uid="{448A502E-D81C-4828-ABBB-7C2C2E6F014A}"/>
    <cellStyle name="20% - Énfasis2 63 2" xfId="16696" xr:uid="{66C518F1-FAE4-40EA-AC03-958345A847AE}"/>
    <cellStyle name="20% - Énfasis2 63 2 2" xfId="22957" xr:uid="{C2FC6F0D-0978-439E-9752-8F43B25B7DA5}"/>
    <cellStyle name="20% - Énfasis2 63 3" xfId="21324" xr:uid="{D9872E4E-5C3E-4FB9-BFFD-05FEA42F29B0}"/>
    <cellStyle name="20% - Énfasis2 63_1.2.b" xfId="14969" xr:uid="{5E0900F5-0BDF-4BEC-AFA3-52BA8658ED2C}"/>
    <cellStyle name="20% - Énfasis2 64" xfId="12632" xr:uid="{EAF5486C-5F10-4F78-BD4A-64977286EACF}"/>
    <cellStyle name="20% - Énfasis2 64 2" xfId="16697" xr:uid="{219E98D9-BDA3-4E5E-BE28-9F33ECF75056}"/>
    <cellStyle name="20% - Énfasis2 64 2 2" xfId="22958" xr:uid="{D2193C68-CFC0-4AFD-8CAA-A0D7F91FBF9B}"/>
    <cellStyle name="20% - Énfasis2 64 3" xfId="21325" xr:uid="{8980ABA7-FC25-4957-A1B4-7E9FCE254148}"/>
    <cellStyle name="20% - Énfasis2 64_1.2.b" xfId="14970" xr:uid="{6633FB92-3052-4E81-BEBD-51E755698069}"/>
    <cellStyle name="20% - Énfasis2 65" xfId="12633" xr:uid="{AB0EABC3-0F75-4C57-84BB-799A15202036}"/>
    <cellStyle name="20% - Énfasis2 65 2" xfId="16698" xr:uid="{A75EDBCF-4959-4603-85DA-E6DA165E6A74}"/>
    <cellStyle name="20% - Énfasis2 65 2 2" xfId="22959" xr:uid="{E4864013-31F5-4DF8-AC6E-F5F7D240D23F}"/>
    <cellStyle name="20% - Énfasis2 65 3" xfId="21326" xr:uid="{B1BCEAB6-8AE9-4A72-ABD7-5DDA344AEC3C}"/>
    <cellStyle name="20% - Énfasis2 65_1.2.b" xfId="14971" xr:uid="{D856803A-91D0-454C-A2A7-A66B0CA890F7}"/>
    <cellStyle name="20% - Énfasis2 66" xfId="12634" xr:uid="{219D80C7-3724-4552-AE07-AB0300866045}"/>
    <cellStyle name="20% - Énfasis2 66 2" xfId="16699" xr:uid="{4B9DBF1A-50EB-45CD-BEC2-EA54C02A4B06}"/>
    <cellStyle name="20% - Énfasis2 66 2 2" xfId="22960" xr:uid="{B7F9DFBA-C678-4591-8AE9-267DD195039C}"/>
    <cellStyle name="20% - Énfasis2 66 3" xfId="21327" xr:uid="{7D40A3A6-04FF-41A7-A14E-D86DA932BE50}"/>
    <cellStyle name="20% - Énfasis2 66_1.2.b" xfId="14972" xr:uid="{D3D5076E-C25B-4A9F-A8C1-E2060236773A}"/>
    <cellStyle name="20% - Énfasis2 67" xfId="12635" xr:uid="{4F6959FF-D662-48D3-B770-1145EFF5B5C5}"/>
    <cellStyle name="20% - Énfasis2 67 2" xfId="16700" xr:uid="{F65D39F4-3DFA-41FD-ADFA-9F30BF3E447F}"/>
    <cellStyle name="20% - Énfasis2 67 2 2" xfId="22961" xr:uid="{286A40BB-DE97-41A3-BE91-A0FC708D845B}"/>
    <cellStyle name="20% - Énfasis2 67 3" xfId="21328" xr:uid="{3E0BB307-4474-49A0-BE32-6E0A274DBB62}"/>
    <cellStyle name="20% - Énfasis2 67_1.2.b" xfId="14973" xr:uid="{065C529A-3EA9-4CE9-9145-DCEE66688391}"/>
    <cellStyle name="20% - Énfasis2 68" xfId="12636" xr:uid="{A542F10C-B67C-4514-9F33-DFF0FD495CE2}"/>
    <cellStyle name="20% - Énfasis2 68 2" xfId="16701" xr:uid="{4F0270FF-6BD3-488B-A0F8-9F036032AF56}"/>
    <cellStyle name="20% - Énfasis2 68 2 2" xfId="22962" xr:uid="{53146174-2C49-4482-8B1B-94C89E95EF7A}"/>
    <cellStyle name="20% - Énfasis2 68 3" xfId="21329" xr:uid="{2D88257C-160F-484D-B558-68CFCBBFEACD}"/>
    <cellStyle name="20% - Énfasis2 68_1.2.b" xfId="14974" xr:uid="{1E93F720-B8C3-419C-BA15-D021E7E84D9D}"/>
    <cellStyle name="20% - Énfasis2 69" xfId="12637" xr:uid="{D3F0280C-0D3C-426B-A55D-1B60E61435B3}"/>
    <cellStyle name="20% - Énfasis2 69 2" xfId="16702" xr:uid="{F06D3763-0DCA-4519-9F34-E4018ADED8EB}"/>
    <cellStyle name="20% - Énfasis2 69 2 2" xfId="22963" xr:uid="{F82D19B0-FD8B-46CB-97BD-C66E5D146462}"/>
    <cellStyle name="20% - Énfasis2 69 3" xfId="21330" xr:uid="{F485AF6C-365D-47E3-9505-030823F8C035}"/>
    <cellStyle name="20% - Énfasis2 69_1.2.b" xfId="14975" xr:uid="{C015B1E2-A53E-4C35-8F30-743521E29492}"/>
    <cellStyle name="20% - Énfasis2 7" xfId="9829" xr:uid="{00000000-0005-0000-0000-000035000000}"/>
    <cellStyle name="20% - Énfasis2 7 2" xfId="11615" xr:uid="{00000000-0005-0000-0000-000036000000}"/>
    <cellStyle name="20% - Énfasis2 7 2 2" xfId="12639" xr:uid="{449CFD96-E0ED-4EB5-9D7A-153AB343A44B}"/>
    <cellStyle name="20% - Énfasis2 7 2 2 2" xfId="21332" xr:uid="{AE302C60-345C-4BB8-BB30-D1594A309456}"/>
    <cellStyle name="20% - Énfasis2 7 2 3" xfId="16704" xr:uid="{9723165D-3558-4F06-B10D-0E762A23BD24}"/>
    <cellStyle name="20% - Énfasis2 7 2 3 2" xfId="22965" xr:uid="{66FD13B0-F71A-44AB-8141-1F209E2FE1EE}"/>
    <cellStyle name="20% - Énfasis2 7 2 4" xfId="20384" xr:uid="{A2B70B6F-F236-4E57-B0E3-16A91F6F64A1}"/>
    <cellStyle name="20% - Énfasis2 7 2_1.2.b" xfId="14977" xr:uid="{A3544CCA-0D61-4CF3-8B9A-5C91A6EB019B}"/>
    <cellStyle name="20% - Énfasis2 7 3" xfId="12638" xr:uid="{F121C429-F119-4DA2-B9DC-0AFBBAE5991A}"/>
    <cellStyle name="20% - Énfasis2 7 3 2" xfId="21331" xr:uid="{4BE6255F-B4CB-420C-92E1-278381721B1A}"/>
    <cellStyle name="20% - Énfasis2 7 4" xfId="16703" xr:uid="{66D01D89-6DC1-4645-A3C9-43E3D291D9C0}"/>
    <cellStyle name="20% - Énfasis2 7 4 2" xfId="22964" xr:uid="{CC5D74A7-D94B-471D-93A8-D89DC0C22372}"/>
    <cellStyle name="20% - Énfasis2 7 5" xfId="19016" xr:uid="{17351E38-3BD8-4CE2-ABBD-0BF7FE2C8BE4}"/>
    <cellStyle name="20% - Énfasis2 7_1.2.b" xfId="14976" xr:uid="{1037C16A-B5B5-499E-8233-4696A4842D96}"/>
    <cellStyle name="20% - Énfasis2 70" xfId="12640" xr:uid="{EC7176BD-0A14-4FCD-AA59-67C9F9969291}"/>
    <cellStyle name="20% - Énfasis2 70 2" xfId="16705" xr:uid="{786ED67A-D767-4F3E-AC01-19671CB6EE26}"/>
    <cellStyle name="20% - Énfasis2 70 2 2" xfId="22966" xr:uid="{91E4CE5E-23A3-4B52-81E5-9FDB96CDAAC2}"/>
    <cellStyle name="20% - Énfasis2 70 3" xfId="21333" xr:uid="{EF8F821D-24BA-4CC2-A574-17FBAC9DCE91}"/>
    <cellStyle name="20% - Énfasis2 70_1.2.b" xfId="14978" xr:uid="{E44E703F-C772-4724-95E2-BA1415BDBE1A}"/>
    <cellStyle name="20% - Énfasis2 71" xfId="12641" xr:uid="{2656C8CF-7248-47E4-9EC8-B0FAF2949F35}"/>
    <cellStyle name="20% - Énfasis2 71 2" xfId="16706" xr:uid="{B2984585-9ECF-4BA7-A08E-0A2A4C626EC5}"/>
    <cellStyle name="20% - Énfasis2 71 2 2" xfId="22967" xr:uid="{8F511C31-8311-4722-81AE-2B13C2B99397}"/>
    <cellStyle name="20% - Énfasis2 71 3" xfId="21334" xr:uid="{89A66640-2E84-41B5-9FC4-E3BB727BB539}"/>
    <cellStyle name="20% - Énfasis2 71_1.2.b" xfId="14979" xr:uid="{AC754150-0624-4285-A1EC-C64207036CB8}"/>
    <cellStyle name="20% - Énfasis2 72" xfId="12642" xr:uid="{CCEF94BC-C58B-40E1-A8E8-7E1D3EA58110}"/>
    <cellStyle name="20% - Énfasis2 72 2" xfId="16707" xr:uid="{07739EB7-1C7D-4ACF-9051-3512653D7AE5}"/>
    <cellStyle name="20% - Énfasis2 72 2 2" xfId="22968" xr:uid="{6049C82F-6201-4F5E-A5B8-3A8DD84EF46B}"/>
    <cellStyle name="20% - Énfasis2 72 3" xfId="21335" xr:uid="{7A63CB89-CA5B-463D-A2D8-69530C66AE38}"/>
    <cellStyle name="20% - Énfasis2 72_1.2.b" xfId="14980" xr:uid="{5FCE6A1B-9B3A-4111-A589-D35B2FF257CD}"/>
    <cellStyle name="20% - Énfasis2 73" xfId="12643" xr:uid="{188BF279-ACA1-4251-B389-0CDF5E041F04}"/>
    <cellStyle name="20% - Énfasis2 73 2" xfId="16708" xr:uid="{D0CF392D-18B2-45C6-82CA-4DCB0AB6F32B}"/>
    <cellStyle name="20% - Énfasis2 73 2 2" xfId="22969" xr:uid="{5F0C18A2-E0A6-4993-94E4-9ED2B8190FAD}"/>
    <cellStyle name="20% - Énfasis2 73 3" xfId="21336" xr:uid="{48461075-B100-438E-8545-19159194958C}"/>
    <cellStyle name="20% - Énfasis2 73_1.2.b" xfId="14981" xr:uid="{3AE0A250-FFF4-4964-AB1A-1868E552B8BF}"/>
    <cellStyle name="20% - Énfasis2 74" xfId="12644" xr:uid="{86B5C80E-3F9C-46B2-A516-A15501AD0C7C}"/>
    <cellStyle name="20% - Énfasis2 74 2" xfId="16709" xr:uid="{72540DAD-9BDC-4D68-AEB6-FA0F285B6F4C}"/>
    <cellStyle name="20% - Énfasis2 74 2 2" xfId="22970" xr:uid="{7D041ACD-8638-4893-90A0-470086C11A6E}"/>
    <cellStyle name="20% - Énfasis2 74 3" xfId="21337" xr:uid="{A95857A2-9B88-4F6D-A7A0-C15AE57881CC}"/>
    <cellStyle name="20% - Énfasis2 74_1.2.b" xfId="14982" xr:uid="{E5EBE7F5-4851-458E-9962-3FEDDBA87279}"/>
    <cellStyle name="20% - Énfasis2 75" xfId="12645" xr:uid="{61DD0E51-FBC1-457C-A93F-0E46567BAB9D}"/>
    <cellStyle name="20% - Énfasis2 75 2" xfId="16710" xr:uid="{DE6760B7-5427-4E4B-B356-81962B395B06}"/>
    <cellStyle name="20% - Énfasis2 75 2 2" xfId="22971" xr:uid="{5FF15FBE-FF9B-4E47-BED1-DBBE981BA737}"/>
    <cellStyle name="20% - Énfasis2 75 3" xfId="21338" xr:uid="{000EEC0D-F7B2-4604-B672-76695693D35C}"/>
    <cellStyle name="20% - Énfasis2 75_1.2.b" xfId="14983" xr:uid="{0C1A8BCD-2FDF-433B-9A85-F70A62B235FC}"/>
    <cellStyle name="20% - Énfasis2 76" xfId="12646" xr:uid="{59D2CFD4-EB45-4CA7-A8AA-FA25F95EC77A}"/>
    <cellStyle name="20% - Énfasis2 76 2" xfId="16711" xr:uid="{5A186447-001C-413E-AC3E-DB610C0C00BB}"/>
    <cellStyle name="20% - Énfasis2 76 2 2" xfId="22972" xr:uid="{19DDB10C-0951-40F5-9F9C-29163C270DED}"/>
    <cellStyle name="20% - Énfasis2 76 3" xfId="21339" xr:uid="{DFBE266C-7A5E-41A4-B7F1-648E48DDE486}"/>
    <cellStyle name="20% - Énfasis2 76_1.2.b" xfId="14984" xr:uid="{EE5578B5-5545-4D2F-BC61-4E48CBFF6BD3}"/>
    <cellStyle name="20% - Énfasis2 77" xfId="12647" xr:uid="{966BAA21-3FD8-4507-AC46-8639E093EE73}"/>
    <cellStyle name="20% - Énfasis2 77 2" xfId="16712" xr:uid="{5BA5DA2C-EC71-4228-BF71-F7DD3F20E964}"/>
    <cellStyle name="20% - Énfasis2 77 2 2" xfId="22973" xr:uid="{D722CED9-DBF3-45EF-A9A2-645D24F68EAF}"/>
    <cellStyle name="20% - Énfasis2 77 3" xfId="21340" xr:uid="{F78FA34A-730D-459E-A122-AF52F1677067}"/>
    <cellStyle name="20% - Énfasis2 77_1.2.b" xfId="14985" xr:uid="{57639E0E-4545-43CC-9C30-C206CA49E7E5}"/>
    <cellStyle name="20% - Énfasis2 78" xfId="12648" xr:uid="{850920D7-CC00-4E82-84DF-86418CBD1AFC}"/>
    <cellStyle name="20% - Énfasis2 78 2" xfId="16713" xr:uid="{21DC60D5-CE58-451E-9CFE-6C01E5A15AE7}"/>
    <cellStyle name="20% - Énfasis2 78 2 2" xfId="22974" xr:uid="{A79BC188-B9FB-4852-9314-586DDA46C21E}"/>
    <cellStyle name="20% - Énfasis2 78 3" xfId="21341" xr:uid="{30F727B0-3C60-4845-A0C6-2193671624A7}"/>
    <cellStyle name="20% - Énfasis2 78_1.2.b" xfId="14986" xr:uid="{3169A60F-598A-4C1C-865A-3A2518B23CAC}"/>
    <cellStyle name="20% - Énfasis2 79" xfId="12649" xr:uid="{A8F73A6D-F7BD-4AF2-AF45-A367384A184B}"/>
    <cellStyle name="20% - Énfasis2 79 2" xfId="16714" xr:uid="{312849D9-23F2-4307-8DF5-9EFD648362D1}"/>
    <cellStyle name="20% - Énfasis2 79 2 2" xfId="22975" xr:uid="{B4CB4750-D1B7-4657-B74F-20DAF2A761E3}"/>
    <cellStyle name="20% - Énfasis2 79 3" xfId="21342" xr:uid="{350C49E6-3E9C-4869-8211-77B099EDB1B2}"/>
    <cellStyle name="20% - Énfasis2 79_1.2.b" xfId="14987" xr:uid="{A35348A1-6BB0-4A85-8C7B-EE4CDFAD08DE}"/>
    <cellStyle name="20% - Énfasis2 8" xfId="9848" xr:uid="{00000000-0005-0000-0000-000037000000}"/>
    <cellStyle name="20% - Énfasis2 8 2" xfId="11633" xr:uid="{00000000-0005-0000-0000-000038000000}"/>
    <cellStyle name="20% - Énfasis2 8 2 2" xfId="12651" xr:uid="{4E7B4469-FA08-4A96-8727-41B68F765CF0}"/>
    <cellStyle name="20% - Énfasis2 8 2 2 2" xfId="21344" xr:uid="{1C1CA9E4-DBAD-4F04-828B-E7284F32B578}"/>
    <cellStyle name="20% - Énfasis2 8 2 3" xfId="16716" xr:uid="{FAD6B32D-AD02-42FE-8CEA-593C4E9A98D3}"/>
    <cellStyle name="20% - Énfasis2 8 2 3 2" xfId="22977" xr:uid="{2E5F3C92-A692-46C8-BD9A-AAF8F747D42C}"/>
    <cellStyle name="20% - Énfasis2 8 2 4" xfId="20400" xr:uid="{98911535-2A47-483C-930E-4232F7EF94B7}"/>
    <cellStyle name="20% - Énfasis2 8 2_1.2.b" xfId="14989" xr:uid="{D49EA435-BA52-4E00-8061-3CCAFCFDC4AC}"/>
    <cellStyle name="20% - Énfasis2 8 3" xfId="12650" xr:uid="{0CE073AD-1469-4C9B-B71A-0E14B0C31AD3}"/>
    <cellStyle name="20% - Énfasis2 8 3 2" xfId="21343" xr:uid="{F67665AD-7D4F-4F41-9EEE-0A5374C9AF69}"/>
    <cellStyle name="20% - Énfasis2 8 4" xfId="16715" xr:uid="{2D18DD2B-E0A0-4528-AE40-F5F4D822DE59}"/>
    <cellStyle name="20% - Énfasis2 8 4 2" xfId="22976" xr:uid="{2329093D-8330-4DAF-A306-80D7EC1F5147}"/>
    <cellStyle name="20% - Énfasis2 8 5" xfId="19032" xr:uid="{8086DD30-433C-45FC-8078-4BB1E910256F}"/>
    <cellStyle name="20% - Énfasis2 8_1.2.b" xfId="14988" xr:uid="{4E18F6F8-839A-4D48-AE9F-7E793386C4E1}"/>
    <cellStyle name="20% - Énfasis2 80" xfId="12652" xr:uid="{48436052-3C8A-4CEC-AD8A-9781C5F24B5F}"/>
    <cellStyle name="20% - Énfasis2 80 2" xfId="16717" xr:uid="{2BD10B83-091E-46B6-B929-EF37FCF4387B}"/>
    <cellStyle name="20% - Énfasis2 80 2 2" xfId="22978" xr:uid="{BEF6E3EC-AA06-4E90-A538-C095FD4FF5D8}"/>
    <cellStyle name="20% - Énfasis2 80 3" xfId="21345" xr:uid="{0B30A33F-A0DB-4A00-92FE-29BD1380722B}"/>
    <cellStyle name="20% - Énfasis2 80_1.2.b" xfId="14990" xr:uid="{55F7FFCD-CEBD-48D9-8C3B-E5B150772792}"/>
    <cellStyle name="20% - Énfasis2 81" xfId="12653" xr:uid="{B654F4FB-6B94-42C4-BED8-E62501E3C1D1}"/>
    <cellStyle name="20% - Énfasis2 81 2" xfId="16718" xr:uid="{4CAC18EC-57E0-4DDA-A82F-F69F30500B94}"/>
    <cellStyle name="20% - Énfasis2 81 2 2" xfId="22979" xr:uid="{A7724907-5B4E-4B2F-80DC-482CD11F7FE2}"/>
    <cellStyle name="20% - Énfasis2 81 3" xfId="21346" xr:uid="{5997E4DA-82DA-4645-B47B-43807A5E4843}"/>
    <cellStyle name="20% - Énfasis2 81_1.2.b" xfId="14991" xr:uid="{AFBBF5F6-53ED-4B84-87F6-23250E907237}"/>
    <cellStyle name="20% - Énfasis2 82" xfId="12654" xr:uid="{B58B37C4-37C1-4DB8-B4C6-68C291A5C1CD}"/>
    <cellStyle name="20% - Énfasis2 82 2" xfId="16719" xr:uid="{722F114D-C007-4145-BC0F-5D6F3C40C424}"/>
    <cellStyle name="20% - Énfasis2 82 2 2" xfId="22980" xr:uid="{D786C822-DEAB-419D-984C-7E702ECC99A4}"/>
    <cellStyle name="20% - Énfasis2 82 3" xfId="21347" xr:uid="{AEFA9729-F426-4BFB-A0D8-DABA5F3FE023}"/>
    <cellStyle name="20% - Énfasis2 82_1.2.b" xfId="14992" xr:uid="{E856D33B-D152-4139-B4C1-4F4DD795C0A2}"/>
    <cellStyle name="20% - Énfasis2 83" xfId="12655" xr:uid="{4AD48AAC-342B-4904-9B36-7E12314D5F7B}"/>
    <cellStyle name="20% - Énfasis2 83 2" xfId="16720" xr:uid="{58C9F437-7C8C-4EE4-8653-BC97AA799227}"/>
    <cellStyle name="20% - Énfasis2 83 2 2" xfId="22981" xr:uid="{5EBC00DA-34D9-4CF1-B846-C0894F88B56F}"/>
    <cellStyle name="20% - Énfasis2 83 3" xfId="21348" xr:uid="{8814B33B-EF5B-4B6A-8142-34C20D38452A}"/>
    <cellStyle name="20% - Énfasis2 83_1.2.b" xfId="14993" xr:uid="{AB21E66E-0C1E-4402-A332-6AB3558AE990}"/>
    <cellStyle name="20% - Énfasis2 84" xfId="12656" xr:uid="{245A2721-C2C8-43E8-8A26-F325E7ABF3CC}"/>
    <cellStyle name="20% - Énfasis2 84 2" xfId="16721" xr:uid="{DB45C222-9E4C-4734-BF89-F65CBDEADC11}"/>
    <cellStyle name="20% - Énfasis2 84 2 2" xfId="22982" xr:uid="{3B9B608E-E7A8-4894-8E69-9EFAEE96339A}"/>
    <cellStyle name="20% - Énfasis2 84 3" xfId="21349" xr:uid="{59B016AE-724E-42FC-B5B1-E028439A7B9E}"/>
    <cellStyle name="20% - Énfasis2 84_1.2.b" xfId="14994" xr:uid="{1158377E-676E-4E30-B02E-93BBC31FD388}"/>
    <cellStyle name="20% - Énfasis2 85" xfId="12657" xr:uid="{19EBCAEA-9541-4505-BA70-D6F0AC5F33EE}"/>
    <cellStyle name="20% - Énfasis2 85 2" xfId="16722" xr:uid="{7083DF25-7778-41BB-A839-7E32CD65866F}"/>
    <cellStyle name="20% - Énfasis2 85 2 2" xfId="22983" xr:uid="{1DD18B2B-CDB0-4DC5-ACF4-F99DCE7B4A9B}"/>
    <cellStyle name="20% - Énfasis2 85 3" xfId="21350" xr:uid="{44D4DB86-64A4-4473-A0AA-59C3B6BDF5A0}"/>
    <cellStyle name="20% - Énfasis2 85_1.2.b" xfId="14995" xr:uid="{E72C804C-3295-4D74-8EFE-626BC8EDBE05}"/>
    <cellStyle name="20% - Énfasis2 86" xfId="12658" xr:uid="{5FBA7E61-2DEC-4BA2-8A06-67E289912040}"/>
    <cellStyle name="20% - Énfasis2 86 2" xfId="16723" xr:uid="{0A62AC54-48F4-4612-93E3-5ABEA77DEDBE}"/>
    <cellStyle name="20% - Énfasis2 86 2 2" xfId="22984" xr:uid="{577D1ABB-DA17-43E7-A4A2-84CB18617B69}"/>
    <cellStyle name="20% - Énfasis2 86 3" xfId="21351" xr:uid="{6484DF09-86A0-4CB5-A569-98AE8E4E2D3C}"/>
    <cellStyle name="20% - Énfasis2 86_1.2.b" xfId="14996" xr:uid="{CD20C15D-9A37-4357-9762-08450E734F8B}"/>
    <cellStyle name="20% - Énfasis2 87" xfId="12659" xr:uid="{9189B69F-85F3-4B96-B690-85731FB39E8B}"/>
    <cellStyle name="20% - Énfasis2 87 2" xfId="16724" xr:uid="{2F5E958D-7098-4E5E-BFFE-29AF1D6BCA17}"/>
    <cellStyle name="20% - Énfasis2 87 2 2" xfId="22985" xr:uid="{ADDA22CE-EACB-4064-9F7C-1A1AE369A953}"/>
    <cellStyle name="20% - Énfasis2 87 3" xfId="21352" xr:uid="{4A60EA70-584D-43DE-90A5-254E34788998}"/>
    <cellStyle name="20% - Énfasis2 87_1.2.b" xfId="14997" xr:uid="{0AE14EF3-392E-4EE3-91E9-B05ABFD970BD}"/>
    <cellStyle name="20% - Énfasis2 88" xfId="12660" xr:uid="{6BF25692-FAE9-4223-91AC-88275C9C9E26}"/>
    <cellStyle name="20% - Énfasis2 88 2" xfId="16725" xr:uid="{05AE7C8A-E957-4485-BE47-EA0DA27AF0C5}"/>
    <cellStyle name="20% - Énfasis2 88 2 2" xfId="22986" xr:uid="{ABED1C8F-BC88-47BD-A5DF-FA65EB4E5F81}"/>
    <cellStyle name="20% - Énfasis2 88 3" xfId="21353" xr:uid="{8564AFB9-759C-4EDE-B15B-C7E0B1D255AF}"/>
    <cellStyle name="20% - Énfasis2 88_1.2.b" xfId="14998" xr:uid="{6FE2B9B7-9B05-4976-9DCF-901C688E3661}"/>
    <cellStyle name="20% - Énfasis2 89" xfId="12661" xr:uid="{679A441A-A845-45E0-BDC9-3AEFD19A8270}"/>
    <cellStyle name="20% - Énfasis2 89 2" xfId="16726" xr:uid="{4A2AED23-0D75-459C-BF0E-76F561FCE180}"/>
    <cellStyle name="20% - Énfasis2 89 2 2" xfId="22987" xr:uid="{F6F0B984-E9E5-48EF-9F2A-F8FB7AFEC625}"/>
    <cellStyle name="20% - Énfasis2 89 3" xfId="21354" xr:uid="{C03C5C66-76FD-4BF2-BE20-505DF6303F58}"/>
    <cellStyle name="20% - Énfasis2 89_1.2.b" xfId="14999" xr:uid="{B0AC83EE-DB90-4615-A3DF-44792D1A0E96}"/>
    <cellStyle name="20% - Énfasis2 9" xfId="9866" xr:uid="{00000000-0005-0000-0000-000039000000}"/>
    <cellStyle name="20% - Énfasis2 9 2" xfId="12663" xr:uid="{59CC51DD-C909-4378-903C-E4EB39514C46}"/>
    <cellStyle name="20% - Énfasis2 9 2 2" xfId="16728" xr:uid="{5E12E525-9D38-409B-8D49-CD869D3E7BC3}"/>
    <cellStyle name="20% - Énfasis2 9 2 2 2" xfId="22989" xr:uid="{5C828332-25AA-4AD3-9795-6E7F2642BCA8}"/>
    <cellStyle name="20% - Énfasis2 9 2 3" xfId="21356" xr:uid="{AEE418C9-EDD9-4301-A493-914879D3D787}"/>
    <cellStyle name="20% - Énfasis2 9 2_1.2.b" xfId="15001" xr:uid="{3D4C0C84-2097-4EEF-8D3F-4C2B4AB07479}"/>
    <cellStyle name="20% - Énfasis2 9 3" xfId="12662" xr:uid="{9101CD05-F233-4A21-B4A6-C59D1D17FF8F}"/>
    <cellStyle name="20% - Énfasis2 9 3 2" xfId="21355" xr:uid="{D87DC64F-7000-471A-B088-6B826DCE418E}"/>
    <cellStyle name="20% - Énfasis2 9 4" xfId="16727" xr:uid="{22152C1E-2943-4C22-BC57-DC89F816C68E}"/>
    <cellStyle name="20% - Énfasis2 9 4 2" xfId="22988" xr:uid="{C4E3AE2C-5552-44FD-9E08-1C94E96B6D98}"/>
    <cellStyle name="20% - Énfasis2 9_1.2.b" xfId="15000" xr:uid="{4376DAAC-C25E-4DF4-9882-875E422A3E0B}"/>
    <cellStyle name="20% - Énfasis2 90" xfId="12664" xr:uid="{63AEC0BF-D9D5-4BB0-90FB-3F715CACADBA}"/>
    <cellStyle name="20% - Énfasis2 90 2" xfId="16729" xr:uid="{9B8A038B-313E-4138-BE11-22DB324B5684}"/>
    <cellStyle name="20% - Énfasis2 90 2 2" xfId="22990" xr:uid="{29CE5D2B-21E6-4A75-A389-00360D9410DB}"/>
    <cellStyle name="20% - Énfasis2 90 3" xfId="21357" xr:uid="{6B1F24C5-EC0D-4C51-B4AD-7D71A10CC3CB}"/>
    <cellStyle name="20% - Énfasis2 90_1.2.b" xfId="15002" xr:uid="{D6F4ECBE-5DB9-4F82-8CFB-E600A8A6265D}"/>
    <cellStyle name="20% - Énfasis2 91" xfId="12665" xr:uid="{91D3619F-132C-40BC-9C24-4F51060E4D41}"/>
    <cellStyle name="20% - Énfasis2 91 2" xfId="16730" xr:uid="{CDF788D0-A59E-4FF6-A5AF-C53CE30270DF}"/>
    <cellStyle name="20% - Énfasis2 91 2 2" xfId="22991" xr:uid="{804A7DB6-ACD9-4A63-AC2B-C01CB2F8827D}"/>
    <cellStyle name="20% - Énfasis2 91 3" xfId="21358" xr:uid="{1D59A2C2-53E7-4D77-B71A-060CD871112A}"/>
    <cellStyle name="20% - Énfasis2 91_1.2.b" xfId="15003" xr:uid="{26684631-68AA-473F-92FE-19B4107A41EE}"/>
    <cellStyle name="20% - Énfasis2 92" xfId="12666" xr:uid="{0BD41727-FA6E-46B4-ADA3-AEC9A331A4A3}"/>
    <cellStyle name="20% - Énfasis2 92 2" xfId="16731" xr:uid="{55E76F15-BF05-4483-B01E-FC4CD5D33160}"/>
    <cellStyle name="20% - Énfasis2 92 2 2" xfId="22992" xr:uid="{2EF1C81D-29F6-408C-A252-51F38BD86BAE}"/>
    <cellStyle name="20% - Énfasis2 92 3" xfId="21359" xr:uid="{B20D9054-7B2C-4B6B-87BB-D9FDD4750A75}"/>
    <cellStyle name="20% - Énfasis2 92_1.2.b" xfId="15004" xr:uid="{162C9850-2046-4192-A0CF-B90501F4B039}"/>
    <cellStyle name="20% - Énfasis2 93" xfId="12667" xr:uid="{FDD61233-5A13-4C8B-B007-82E70E329951}"/>
    <cellStyle name="20% - Énfasis2 93 2" xfId="16732" xr:uid="{12029A1C-B983-4CAB-84FD-73B11447ABF2}"/>
    <cellStyle name="20% - Énfasis2 93 2 2" xfId="22993" xr:uid="{FD5F3F57-DF42-43D0-BBCC-2A169011771A}"/>
    <cellStyle name="20% - Énfasis2 93 3" xfId="21360" xr:uid="{7F864CA8-7DEA-4FBC-A8A5-A4FBE20998FB}"/>
    <cellStyle name="20% - Énfasis2 93_1.2.b" xfId="15005" xr:uid="{399733F1-39D0-4AD2-8DF0-8997F0361A11}"/>
    <cellStyle name="20% - Énfasis2 94" xfId="12668" xr:uid="{01F2360D-6A08-4954-A52D-B0DC32890048}"/>
    <cellStyle name="20% - Énfasis2 94 2" xfId="16733" xr:uid="{1A8DA7BF-924B-4761-BFD5-A22CD3F8EF12}"/>
    <cellStyle name="20% - Énfasis2 94 2 2" xfId="22994" xr:uid="{63B4874A-307E-461F-8676-4161A54D584B}"/>
    <cellStyle name="20% - Énfasis2 94 3" xfId="21361" xr:uid="{2FFA949B-A681-4426-BD08-3AFB02A88FEC}"/>
    <cellStyle name="20% - Énfasis2 94_1.2.b" xfId="15006" xr:uid="{7DA2A40E-4EF3-4230-BE30-E9BD1A87E981}"/>
    <cellStyle name="20% - Énfasis2 95" xfId="12669" xr:uid="{DBC8F6FE-770E-4D7D-86F0-60BD2E6E4C93}"/>
    <cellStyle name="20% - Énfasis2 95 2" xfId="16734" xr:uid="{03F370BC-8A06-4163-82A5-0C4C516BAFAD}"/>
    <cellStyle name="20% - Énfasis2 95 2 2" xfId="22995" xr:uid="{9FF9A2EC-6FA8-4AFA-A0D5-79DB26558CE6}"/>
    <cellStyle name="20% - Énfasis2 95 3" xfId="21362" xr:uid="{CEB10BDB-63FE-4F44-A4B8-7F9F4DB5CB3D}"/>
    <cellStyle name="20% - Énfasis2 95_1.2.b" xfId="15007" xr:uid="{C3449ED7-C93D-4D96-AA7C-61F7E8E01F56}"/>
    <cellStyle name="20% - Énfasis3 10" xfId="9920" xr:uid="{00000000-0005-0000-0000-00003B000000}"/>
    <cellStyle name="20% - Énfasis3 10 2" xfId="11657" xr:uid="{00000000-0005-0000-0000-00003C000000}"/>
    <cellStyle name="20% - Énfasis3 10 2 2" xfId="20423" xr:uid="{E09223CE-C958-49F4-939C-CDF48DB91777}"/>
    <cellStyle name="20% - Énfasis3 10 3" xfId="12670" xr:uid="{10FC85FC-084B-4FBB-B980-E17EE7BFC570}"/>
    <cellStyle name="20% - Énfasis3 10 4" xfId="19060" xr:uid="{DA59A25D-6E58-477B-A28C-2E5077305C21}"/>
    <cellStyle name="20% - Énfasis3 10_1.2.b" xfId="15008" xr:uid="{81E7D59D-B1E6-434E-9265-44CB0084F3C9}"/>
    <cellStyle name="20% - Énfasis3 11" xfId="9933" xr:uid="{00000000-0005-0000-0000-00003D000000}"/>
    <cellStyle name="20% - Énfasis3 11 2" xfId="11670" xr:uid="{00000000-0005-0000-0000-00003E000000}"/>
    <cellStyle name="20% - Énfasis3 11 2 2" xfId="20435" xr:uid="{340C9F1D-0FA7-4CE5-90F1-1DD86DACA419}"/>
    <cellStyle name="20% - Énfasis3 11 3" xfId="12671" xr:uid="{0821E57A-9C9C-4A56-A4C2-6390C52EDF2A}"/>
    <cellStyle name="20% - Énfasis3 11 3 2" xfId="21363" xr:uid="{AFE9B4B9-5124-4F73-85A1-FD72D34B911C}"/>
    <cellStyle name="20% - Énfasis3 11 4" xfId="16735" xr:uid="{DFBFD1F2-B973-45C3-B27F-0CFDD881138E}"/>
    <cellStyle name="20% - Énfasis3 11 4 2" xfId="22996" xr:uid="{4EA3E042-3A80-487E-B01D-0903DD9C7542}"/>
    <cellStyle name="20% - Énfasis3 11 5" xfId="19072" xr:uid="{DF8C7EF8-0946-44BE-B9C9-4A6E5900ACA4}"/>
    <cellStyle name="20% - Énfasis3 11_1.2.b" xfId="15009" xr:uid="{15BEE7EF-C69F-4ED5-80B6-FC8B2B39098F}"/>
    <cellStyle name="20% - Énfasis3 12" xfId="10535" xr:uid="{00000000-0005-0000-0000-00003F000000}"/>
    <cellStyle name="20% - Énfasis3 12 2" xfId="12270" xr:uid="{00000000-0005-0000-0000-000040000000}"/>
    <cellStyle name="20% - Énfasis3 12 2 2" xfId="21019" xr:uid="{930113DE-8B5E-455F-9559-812BD9BCB97D}"/>
    <cellStyle name="20% - Énfasis3 12 3" xfId="12672" xr:uid="{EA184DEA-0CD1-4662-AF24-681ED22CD59B}"/>
    <cellStyle name="20% - Énfasis3 12 3 2" xfId="21364" xr:uid="{31308269-DEA3-4310-98EC-16AB5EBEBF6A}"/>
    <cellStyle name="20% - Énfasis3 12 4" xfId="16736" xr:uid="{D35A8569-AC5A-44B6-9C0F-D647AB6B4B97}"/>
    <cellStyle name="20% - Énfasis3 12 4 2" xfId="22997" xr:uid="{7E27595E-7C81-4D4D-9B57-E67423FD1233}"/>
    <cellStyle name="20% - Énfasis3 12 5" xfId="19656" xr:uid="{468B4177-07BE-477E-82EC-EF7FC244F0AD}"/>
    <cellStyle name="20% - Énfasis3 12_1.2.b" xfId="15010" xr:uid="{6BAA5E58-36E2-40C5-8187-9504FA22A05B}"/>
    <cellStyle name="20% - Énfasis3 13" xfId="10582" xr:uid="{00000000-0005-0000-0000-000041000000}"/>
    <cellStyle name="20% - Énfasis3 13 2" xfId="12315" xr:uid="{00000000-0005-0000-0000-000042000000}"/>
    <cellStyle name="20% - Énfasis3 13 2 2" xfId="21061" xr:uid="{D52F389B-FCB8-4F3A-AC41-A53F8B987B3C}"/>
    <cellStyle name="20% - Énfasis3 13 3" xfId="12673" xr:uid="{BD7B0F0D-BAD0-49DA-98A5-8A97860372EB}"/>
    <cellStyle name="20% - Énfasis3 13 3 2" xfId="21365" xr:uid="{A3216349-DDDA-4F7B-8E23-3B0B1B03D6DB}"/>
    <cellStyle name="20% - Énfasis3 13 4" xfId="16737" xr:uid="{10A275C0-8ADE-4FFD-AD58-0EAD57AA2B59}"/>
    <cellStyle name="20% - Énfasis3 13 4 2" xfId="22998" xr:uid="{B426A919-4DB1-4DFF-8302-6DF78F7CCBC8}"/>
    <cellStyle name="20% - Énfasis3 13 5" xfId="19698" xr:uid="{544A25F6-6E6E-42C6-90CE-F629A13E7148}"/>
    <cellStyle name="20% - Énfasis3 13_1.2.b" xfId="15011" xr:uid="{E6D84AD4-89A7-466D-9E5D-464DD8B497EB}"/>
    <cellStyle name="20% - Énfasis3 14" xfId="10602" xr:uid="{00000000-0005-0000-0000-000043000000}"/>
    <cellStyle name="20% - Énfasis3 14 2" xfId="12331" xr:uid="{00000000-0005-0000-0000-000044000000}"/>
    <cellStyle name="20% - Énfasis3 14 2 2" xfId="21077" xr:uid="{C170BBA4-9DA3-49E3-B350-EF7A7E69B107}"/>
    <cellStyle name="20% - Énfasis3 14 3" xfId="12674" xr:uid="{189E905C-98C4-4EE9-92DD-9B7F6E12DE2B}"/>
    <cellStyle name="20% - Énfasis3 14 3 2" xfId="21366" xr:uid="{C084F9CC-A754-4F2A-A2BD-64B665FAB43C}"/>
    <cellStyle name="20% - Énfasis3 14 4" xfId="16738" xr:uid="{F423F99B-14FA-4F01-9FDD-488E69ECE53B}"/>
    <cellStyle name="20% - Énfasis3 14 4 2" xfId="22999" xr:uid="{DA83E3D9-C449-43A5-A88C-D339DA8CD9D9}"/>
    <cellStyle name="20% - Énfasis3 14 5" xfId="19714" xr:uid="{194DA6F2-051B-485C-9931-1BE64775DCD7}"/>
    <cellStyle name="20% - Énfasis3 14_1.2.b" xfId="15012" xr:uid="{063680A8-2028-4DFB-992D-4250195E2FE8}"/>
    <cellStyle name="20% - Énfasis3 15" xfId="10623" xr:uid="{00000000-0005-0000-0000-000045000000}"/>
    <cellStyle name="20% - Énfasis3 15 2" xfId="12675" xr:uid="{A9CB0CB7-EF71-40F6-B0BB-04EC1099B1F9}"/>
    <cellStyle name="20% - Énfasis3 15 2 2" xfId="21367" xr:uid="{17D55CE5-1E7C-4B61-8A8F-0396429908A6}"/>
    <cellStyle name="20% - Énfasis3 15 3" xfId="16739" xr:uid="{7B4876C3-22E2-4DFA-BE52-E1212C8AD917}"/>
    <cellStyle name="20% - Énfasis3 15 3 2" xfId="23000" xr:uid="{55857BB5-3875-4963-B8B8-EA1E0447736D}"/>
    <cellStyle name="20% - Énfasis3 15 4" xfId="19731" xr:uid="{276F2B7D-0AD1-47BB-A7C3-7162299773C9}"/>
    <cellStyle name="20% - Énfasis3 15_1.2.b" xfId="15013" xr:uid="{7DD6F8C0-8187-45E5-9D97-E4373CD78DE8}"/>
    <cellStyle name="20% - Énfasis3 16" xfId="12364" xr:uid="{00000000-0005-0000-0000-000046000000}"/>
    <cellStyle name="20% - Énfasis3 16 2" xfId="12676" xr:uid="{BCC2062C-51F1-4A93-8502-217E1D991BB3}"/>
    <cellStyle name="20% - Énfasis3 16 2 2" xfId="21368" xr:uid="{D2A52A05-D169-42F1-9E79-70365A745320}"/>
    <cellStyle name="20% - Énfasis3 16 3" xfId="16740" xr:uid="{A0F39967-8EA6-4751-86D3-1F881D2DF2DC}"/>
    <cellStyle name="20% - Énfasis3 16 3 2" xfId="23001" xr:uid="{D0976FDF-61CC-4F17-B2E6-3BDB142CD790}"/>
    <cellStyle name="20% - Énfasis3 16 4" xfId="21107" xr:uid="{C49B9708-0F7E-4FB3-BF20-E111D96AE669}"/>
    <cellStyle name="20% - Énfasis3 16_1.2.b" xfId="15014" xr:uid="{4DBE25BB-A032-4905-8C03-5A291F22BA88}"/>
    <cellStyle name="20% - Énfasis3 17" xfId="12379" xr:uid="{00000000-0005-0000-0000-000047000000}"/>
    <cellStyle name="20% - Énfasis3 17 2" xfId="12677" xr:uid="{E118D98F-7F59-498D-A59F-BE56EC82906E}"/>
    <cellStyle name="20% - Énfasis3 17 2 2" xfId="21369" xr:uid="{2329D4F1-61E4-4851-905E-66789E04FA3B}"/>
    <cellStyle name="20% - Énfasis3 17 3" xfId="16741" xr:uid="{B86A3F82-9A46-4D65-A166-63927D7F7D65}"/>
    <cellStyle name="20% - Énfasis3 17 3 2" xfId="23002" xr:uid="{5C540333-1D6B-4FE3-B437-81D3F75441C3}"/>
    <cellStyle name="20% - Énfasis3 17 4" xfId="21122" xr:uid="{1684EA35-F2A1-4970-A9B3-1CC18351B17C}"/>
    <cellStyle name="20% - Énfasis3 17_1.2.b" xfId="15015" xr:uid="{D7A6DEDB-0000-4E83-B4CA-1416799D0811}"/>
    <cellStyle name="20% - Énfasis3 18" xfId="12678" xr:uid="{4B0E6C91-D6C4-440C-BDEB-7893099FBEBF}"/>
    <cellStyle name="20% - Énfasis3 18 2" xfId="16742" xr:uid="{207F7797-752F-433B-A3C3-8FAAB385AB04}"/>
    <cellStyle name="20% - Énfasis3 18 2 2" xfId="23003" xr:uid="{1C05D9B7-CE7F-4E9D-BCC8-FD635D29A495}"/>
    <cellStyle name="20% - Énfasis3 18 3" xfId="21370" xr:uid="{356BCD4A-5C83-46A0-84D6-92E9583917E7}"/>
    <cellStyle name="20% - Énfasis3 18_1.2.b" xfId="15016" xr:uid="{CBE0F454-BA22-46B7-BFD1-C22F6DE30D54}"/>
    <cellStyle name="20% - Énfasis3 19" xfId="12679" xr:uid="{0953E859-D193-43B5-8FD2-47A5759A213A}"/>
    <cellStyle name="20% - Énfasis3 19 2" xfId="16743" xr:uid="{4D8D5FD0-8C1C-475B-A632-8A9661A99F84}"/>
    <cellStyle name="20% - Énfasis3 19 2 2" xfId="23004" xr:uid="{892E5E68-1F9F-465D-A788-1A86194A8D74}"/>
    <cellStyle name="20% - Énfasis3 19 3" xfId="21371" xr:uid="{60DC6CF4-C26A-4D8C-823F-682EFA8C492C}"/>
    <cellStyle name="20% - Énfasis3 19_1.2.b" xfId="15017" xr:uid="{21B9A301-D59B-4140-B558-43A5E6D649D7}"/>
    <cellStyle name="20% - Énfasis3 2" xfId="150" xr:uid="{00000000-0005-0000-0000-000048000000}"/>
    <cellStyle name="20% - Énfasis3 2 10" xfId="12681" xr:uid="{5563030A-DF82-4795-9BC0-519C031BAE8D}"/>
    <cellStyle name="20% - Énfasis3 2 10 2" xfId="16745" xr:uid="{0E77C697-F51D-4F25-8702-518C72D38629}"/>
    <cellStyle name="20% - Énfasis3 2 10 2 2" xfId="23005" xr:uid="{8B02E39C-AC93-4BEF-9B29-9C1C5FCD6943}"/>
    <cellStyle name="20% - Énfasis3 2 10 3" xfId="21372" xr:uid="{A13A3DCB-086B-4FC0-B956-F046B83AD06A}"/>
    <cellStyle name="20% - Énfasis3 2 10_1.2.b" xfId="15019" xr:uid="{B49144A7-B59B-406C-9DA0-ACFA9CA2E881}"/>
    <cellStyle name="20% - Énfasis3 2 11" xfId="12680" xr:uid="{048C2118-B06E-4CB1-A73D-843E34AC33F5}"/>
    <cellStyle name="20% - Énfasis3 2 12" xfId="16744" xr:uid="{FDA09983-6E3A-43E4-8E67-2D60A1796621}"/>
    <cellStyle name="20% - Énfasis3 2 13" xfId="18137" xr:uid="{DFF90A60-474A-4A8E-A5E6-F2E32E6117C1}"/>
    <cellStyle name="20% - Énfasis3 2 14" xfId="18253" xr:uid="{2ADA12AF-4F02-4145-BFDA-1C0AF69F7646}"/>
    <cellStyle name="20% - Énfasis3 2 15" xfId="17826" xr:uid="{C0979E2E-CC58-4EC7-9C19-7C40961F99CB}"/>
    <cellStyle name="20% - Énfasis3 2 16" xfId="18251" xr:uid="{485A7C41-90A7-4A1B-AB19-52D47C20BA8F}"/>
    <cellStyle name="20% - Énfasis3 2 17" xfId="18394" xr:uid="{CC74B1E5-C8D9-4042-94CF-D1B9FCBE98B3}"/>
    <cellStyle name="20% - Énfasis3 2 2" xfId="10670" xr:uid="{00000000-0005-0000-0000-000049000000}"/>
    <cellStyle name="20% - Énfasis3 2 2 2" xfId="12683" xr:uid="{9EA70856-477A-4D99-BA34-0C5408254D88}"/>
    <cellStyle name="20% - Énfasis3 2 2 3" xfId="12684" xr:uid="{C3AF2A3F-56C1-4E55-BAF2-6B6988405EEC}"/>
    <cellStyle name="20% - Énfasis3 2 2 4" xfId="12685" xr:uid="{266617DD-314F-45A9-A16E-FC19F03200F4}"/>
    <cellStyle name="20% - Énfasis3 2 2 5" xfId="12686" xr:uid="{FC3089AE-A730-4387-B3A1-2D354F2A28F0}"/>
    <cellStyle name="20% - Énfasis3 2 2 6" xfId="12682" xr:uid="{6E0DC598-9B34-4FDD-A428-7A142D9E7A8E}"/>
    <cellStyle name="20% - Énfasis3 2 2 6 2" xfId="21373" xr:uid="{5E4C4EA5-AFDB-43D7-921E-1F83052701B0}"/>
    <cellStyle name="20% - Énfasis3 2 2 7" xfId="16746" xr:uid="{12466D0E-522C-4A54-B29E-3238406132E9}"/>
    <cellStyle name="20% - Énfasis3 2 2 7 2" xfId="23006" xr:uid="{63ED991D-A6E4-419B-9A7C-25C341030034}"/>
    <cellStyle name="20% - Énfasis3 2 2 8" xfId="19762" xr:uid="{25ECE054-6F64-474E-9515-864697B51176}"/>
    <cellStyle name="20% - Énfasis3 2 2_1.2.b" xfId="15020" xr:uid="{B20DEC2E-990F-43F7-B551-296B38CB872C}"/>
    <cellStyle name="20% - Énfasis3 2 3" xfId="12687" xr:uid="{1C431663-2A47-4F0A-AB8C-9A8FC64A7AE1}"/>
    <cellStyle name="20% - Énfasis3 2 4" xfId="12688" xr:uid="{E92342DC-88CB-40FB-A0B6-9040F5C2EFC3}"/>
    <cellStyle name="20% - Énfasis3 2 5" xfId="12689" xr:uid="{A5BC5963-60E1-4FBE-9208-67A6EB106860}"/>
    <cellStyle name="20% - Énfasis3 2 6" xfId="12690" xr:uid="{526BA6DC-4E4C-4D90-9130-243463589BB1}"/>
    <cellStyle name="20% - Énfasis3 2 7" xfId="12691" xr:uid="{57D8CB3D-6712-4D87-A815-39ECFF2F40BC}"/>
    <cellStyle name="20% - Énfasis3 2 8" xfId="12692" xr:uid="{DA589E95-2B78-49BF-A595-94D622BCD7BA}"/>
    <cellStyle name="20% - Énfasis3 2 9" xfId="12693" xr:uid="{B9387B0D-BA1F-402C-8E5D-B200DEBED36B}"/>
    <cellStyle name="20% - Énfasis3 2 9 2" xfId="16750" xr:uid="{E165C27F-2349-495C-AE79-31672067F844}"/>
    <cellStyle name="20% - Énfasis3 2 9 2 2" xfId="23009" xr:uid="{0C2014F9-992F-4839-BB01-26ACD81528D7}"/>
    <cellStyle name="20% - Énfasis3 2 9 3" xfId="21374" xr:uid="{FBB1A5BF-A9DF-4964-9C74-2F5545F2819D}"/>
    <cellStyle name="20% - Énfasis3 2 9_1.2.b" xfId="15021" xr:uid="{6BA01B8E-6949-41A1-8929-9B261888F3AF}"/>
    <cellStyle name="20% - Énfasis3 2_1.2.b" xfId="15018" xr:uid="{FBC491C8-01EE-465E-8FFB-E369F3B01B5E}"/>
    <cellStyle name="20% - Énfasis3 20" xfId="12694" xr:uid="{FB71C246-6B06-4470-8CEB-41F9EA31CCEA}"/>
    <cellStyle name="20% - Énfasis3 20 2" xfId="16751" xr:uid="{3396EC15-E596-42B6-9495-03058D2C1745}"/>
    <cellStyle name="20% - Énfasis3 20 2 2" xfId="23010" xr:uid="{EF6B9CB3-8F9A-43F2-B67D-EC9973A7DB14}"/>
    <cellStyle name="20% - Énfasis3 20 3" xfId="21375" xr:uid="{8DB51ACA-19AB-418E-9610-26607C74989F}"/>
    <cellStyle name="20% - Énfasis3 20_1.2.b" xfId="15022" xr:uid="{A1FEBF52-9D5C-475E-8AF2-7FE0762A9AA2}"/>
    <cellStyle name="20% - Énfasis3 21" xfId="12695" xr:uid="{32C7E00F-F298-416B-B460-615976D0D318}"/>
    <cellStyle name="20% - Énfasis3 21 2" xfId="16752" xr:uid="{EDC34F6C-3A3D-4A1E-A22B-B1486C4FD6C0}"/>
    <cellStyle name="20% - Énfasis3 21 2 2" xfId="23011" xr:uid="{19AA011B-990B-40AB-923E-595102C7B3AB}"/>
    <cellStyle name="20% - Énfasis3 21 3" xfId="21376" xr:uid="{8E3025B8-2178-4FA2-B93B-857136CC4E07}"/>
    <cellStyle name="20% - Énfasis3 21_1.2.b" xfId="15023" xr:uid="{E11A1C55-7688-447A-8E9C-3D71A729C8A7}"/>
    <cellStyle name="20% - Énfasis3 22" xfId="12696" xr:uid="{F0D01E3E-DBA6-422F-BB55-F7E7AB865C44}"/>
    <cellStyle name="20% - Énfasis3 22 2" xfId="16753" xr:uid="{7AAA9760-F21D-482C-88EC-62348B2C2659}"/>
    <cellStyle name="20% - Énfasis3 22 2 2" xfId="23012" xr:uid="{1BD2DCF9-84D7-4D40-95B2-EEC328E6A421}"/>
    <cellStyle name="20% - Énfasis3 22 3" xfId="21377" xr:uid="{BEC08792-5E86-4719-9A09-498E9B6E303B}"/>
    <cellStyle name="20% - Énfasis3 22_1.2.b" xfId="15024" xr:uid="{F0E141FA-CC6E-465C-B36D-5C2FBA991BDA}"/>
    <cellStyle name="20% - Énfasis3 23" xfId="12697" xr:uid="{46E8601E-CFE5-4799-A45B-A96AFB8C4F33}"/>
    <cellStyle name="20% - Énfasis3 23 2" xfId="16754" xr:uid="{9B13673C-9025-4218-A5A8-D80686BB5882}"/>
    <cellStyle name="20% - Énfasis3 23 2 2" xfId="23013" xr:uid="{05F0AA96-B04B-4284-8BE8-5F3BC7A51BB0}"/>
    <cellStyle name="20% - Énfasis3 23 3" xfId="21378" xr:uid="{1E4F8709-7543-4E02-9A55-651714755B25}"/>
    <cellStyle name="20% - Énfasis3 23_1.2.b" xfId="15025" xr:uid="{BA2D0F63-BD09-4E06-9931-6DCB8701A195}"/>
    <cellStyle name="20% - Énfasis3 24" xfId="12698" xr:uid="{B7B1485C-1ACD-48A0-B09A-681B6E09141D}"/>
    <cellStyle name="20% - Énfasis3 24 2" xfId="16755" xr:uid="{28E3BE79-4D90-495A-982D-5D3A4DAD38DE}"/>
    <cellStyle name="20% - Énfasis3 24 2 2" xfId="23014" xr:uid="{024CCDB7-40A9-42A8-B384-C4C3A3E0EB5F}"/>
    <cellStyle name="20% - Énfasis3 24 3" xfId="21379" xr:uid="{3CCF9FA6-32B0-4700-B58D-A8A86637D588}"/>
    <cellStyle name="20% - Énfasis3 24_1.2.b" xfId="15026" xr:uid="{77DD86E4-1BF7-40C8-AFAE-A4169D12BCC1}"/>
    <cellStyle name="20% - Énfasis3 25" xfId="12699" xr:uid="{A7804111-4479-47C1-91C2-A5A66190AF85}"/>
    <cellStyle name="20% - Énfasis3 25 2" xfId="16756" xr:uid="{37F0D5AF-2508-4C47-B212-6EA86E49200F}"/>
    <cellStyle name="20% - Énfasis3 25 2 2" xfId="23015" xr:uid="{8803AAAE-6486-439D-B559-80DC48A4A5FC}"/>
    <cellStyle name="20% - Énfasis3 25 3" xfId="21380" xr:uid="{8FABC216-4754-4BE9-87C7-3A0CABB8685F}"/>
    <cellStyle name="20% - Énfasis3 25_1.2.b" xfId="15027" xr:uid="{BFDE65B7-BE97-481F-BEAE-4C61E8EB048F}"/>
    <cellStyle name="20% - Énfasis3 26" xfId="12700" xr:uid="{43AE81D9-19E3-40FA-B69A-1A368096390F}"/>
    <cellStyle name="20% - Énfasis3 26 2" xfId="16757" xr:uid="{BFF984CE-80F3-4216-B8B0-964A6659F740}"/>
    <cellStyle name="20% - Énfasis3 26 2 2" xfId="23016" xr:uid="{098AB5D6-9218-4788-BFE6-4346E1571011}"/>
    <cellStyle name="20% - Énfasis3 26 3" xfId="21381" xr:uid="{61AA6DFE-D848-425A-914A-4E75A5827963}"/>
    <cellStyle name="20% - Énfasis3 26_1.2.b" xfId="15028" xr:uid="{6D67328A-151D-4CEB-A050-EC7321D2A097}"/>
    <cellStyle name="20% - Énfasis3 27" xfId="12701" xr:uid="{C2995BC3-F1C2-46E1-AC88-9A97F7F847A6}"/>
    <cellStyle name="20% - Énfasis3 27 2" xfId="16758" xr:uid="{4CED3B7F-87E8-4AC9-BB5B-B43CEF1C73B8}"/>
    <cellStyle name="20% - Énfasis3 27 2 2" xfId="23017" xr:uid="{5286988D-F2DC-48C4-B872-516AB4AE698D}"/>
    <cellStyle name="20% - Énfasis3 27 3" xfId="21382" xr:uid="{0ECF8F53-2067-41F9-9947-8F34C302D80B}"/>
    <cellStyle name="20% - Énfasis3 27_1.2.b" xfId="15029" xr:uid="{56DB9F37-09DA-4F7C-AFFD-7CEABC0074C7}"/>
    <cellStyle name="20% - Énfasis3 28" xfId="12702" xr:uid="{5A7911F7-E078-4476-BA88-52F5093E8175}"/>
    <cellStyle name="20% - Énfasis3 28 2" xfId="16759" xr:uid="{191E4616-E607-4043-94A5-7834D11FC125}"/>
    <cellStyle name="20% - Énfasis3 28 2 2" xfId="23018" xr:uid="{8D96EDE0-9B67-4852-BDDF-1CFB8B91F8D6}"/>
    <cellStyle name="20% - Énfasis3 28 3" xfId="21383" xr:uid="{F701B7F0-2FAB-4484-A9AC-F73E2DEB49AB}"/>
    <cellStyle name="20% - Énfasis3 28_1.2.b" xfId="15030" xr:uid="{EDD42652-3548-46E7-9B94-C465AE8CDB02}"/>
    <cellStyle name="20% - Énfasis3 29" xfId="12703" xr:uid="{31BFBB81-C2EE-4E3E-B405-E14063B35BB1}"/>
    <cellStyle name="20% - Énfasis3 29 2" xfId="16760" xr:uid="{03DFEE99-4E5C-44AF-A028-4364509FD3F5}"/>
    <cellStyle name="20% - Énfasis3 29 2 2" xfId="23019" xr:uid="{39183CD1-E2C4-4EC7-8A89-D663BCAD1D02}"/>
    <cellStyle name="20% - Énfasis3 29 3" xfId="21384" xr:uid="{AC0AA657-AE14-4E99-B234-94C8D9BD825D}"/>
    <cellStyle name="20% - Énfasis3 29_1.2.b" xfId="15031" xr:uid="{575B2C40-05AB-4554-9AE1-05A8F6EDD2FB}"/>
    <cellStyle name="20% - Énfasis3 3" xfId="164" xr:uid="{00000000-0005-0000-0000-00004A000000}"/>
    <cellStyle name="20% - Énfasis3 3 10" xfId="18408" xr:uid="{B94BD1D0-06EF-49BD-8288-2102D2B23BFB}"/>
    <cellStyle name="20% - Énfasis3 3 2" xfId="10684" xr:uid="{00000000-0005-0000-0000-00004B000000}"/>
    <cellStyle name="20% - Énfasis3 3 2 2" xfId="12705" xr:uid="{3594CD83-5A7A-405C-9C31-54F66561B139}"/>
    <cellStyle name="20% - Énfasis3 3 2 2 2" xfId="21386" xr:uid="{0A62F977-B67D-4929-B0D0-4FF7688036EB}"/>
    <cellStyle name="20% - Énfasis3 3 2 3" xfId="16762" xr:uid="{A693AFD6-9C49-435F-963E-62D0C6379D53}"/>
    <cellStyle name="20% - Énfasis3 3 2 3 2" xfId="23021" xr:uid="{89CBC6F0-F93E-4915-9817-C18D8988B084}"/>
    <cellStyle name="20% - Énfasis3 3 2 4" xfId="19776" xr:uid="{22A8A560-9798-47F6-A245-C6C875BB1D10}"/>
    <cellStyle name="20% - Énfasis3 3 2_1.2.b" xfId="15033" xr:uid="{B1EBEAF1-532D-42A1-B592-CE6753611E11}"/>
    <cellStyle name="20% - Énfasis3 3 3" xfId="12706" xr:uid="{2A5C3284-C81F-4970-8714-D3DB6400B435}"/>
    <cellStyle name="20% - Énfasis3 3 4" xfId="12707" xr:uid="{D78540BF-A077-42E1-B077-CB5F1C74D96D}"/>
    <cellStyle name="20% - Énfasis3 3 5" xfId="12708" xr:uid="{03858751-7EB2-431A-A4C8-6358AB1A5D4A}"/>
    <cellStyle name="20% - Énfasis3 3 5 2" xfId="16763" xr:uid="{8BEF6932-2079-4036-AA76-C115A9F85915}"/>
    <cellStyle name="20% - Énfasis3 3 5 2 2" xfId="23022" xr:uid="{9A269D45-C7BF-4A97-89D6-5822510ACF07}"/>
    <cellStyle name="20% - Énfasis3 3 5 3" xfId="21387" xr:uid="{3CE136C2-6BB7-4654-9C4B-8F83B1E48AA2}"/>
    <cellStyle name="20% - Énfasis3 3 5_1.2.b" xfId="15034" xr:uid="{EBE0569A-D7B1-4283-8BE8-5494039A9985}"/>
    <cellStyle name="20% - Énfasis3 3 6" xfId="12709" xr:uid="{B558231F-DDAA-4E82-8E51-5EC665DCA716}"/>
    <cellStyle name="20% - Énfasis3 3 6 2" xfId="16764" xr:uid="{1552BAE2-3C43-4C7E-9EAB-15A3F4565AD1}"/>
    <cellStyle name="20% - Énfasis3 3 6 2 2" xfId="23023" xr:uid="{F8E58030-EBA5-4649-B2E9-295A483C12A3}"/>
    <cellStyle name="20% - Énfasis3 3 6 3" xfId="21388" xr:uid="{65198065-A5B0-4845-8B86-12BC0F5C206F}"/>
    <cellStyle name="20% - Énfasis3 3 6_1.2.b" xfId="15035" xr:uid="{4389E333-8814-4793-A060-083621B1C471}"/>
    <cellStyle name="20% - Énfasis3 3 7" xfId="12710" xr:uid="{D56E3A80-B563-4E93-BAFD-87E1CB420891}"/>
    <cellStyle name="20% - Énfasis3 3 7 2" xfId="16765" xr:uid="{E63A3D91-9EF9-4918-AF09-B58169A0808B}"/>
    <cellStyle name="20% - Énfasis3 3 7 2 2" xfId="23024" xr:uid="{57170AF7-8566-473E-BE4B-0557BB3BEE82}"/>
    <cellStyle name="20% - Énfasis3 3 7 3" xfId="21389" xr:uid="{D3D7E274-C54D-4A79-B918-1078FDB319DC}"/>
    <cellStyle name="20% - Énfasis3 3 7_1.2.b" xfId="15036" xr:uid="{21929B69-0870-4839-A317-B24C30D48388}"/>
    <cellStyle name="20% - Énfasis3 3 8" xfId="12704" xr:uid="{7950294E-68B8-42CB-B167-32179726A673}"/>
    <cellStyle name="20% - Énfasis3 3 8 2" xfId="21385" xr:uid="{48A287E5-1AC3-4C56-9CEC-EA65737F96F7}"/>
    <cellStyle name="20% - Énfasis3 3 9" xfId="16761" xr:uid="{CCC5BB4A-F807-4C91-9E3C-EF6A82A14418}"/>
    <cellStyle name="20% - Énfasis3 3 9 2" xfId="23020" xr:uid="{4E561D9E-7508-4E4C-99AE-6ADFA2544C83}"/>
    <cellStyle name="20% - Énfasis3 3_1.2.b" xfId="15032" xr:uid="{514A9229-6037-4888-B764-8C882A47CEAF}"/>
    <cellStyle name="20% - Énfasis3 30" xfId="12711" xr:uid="{355FCC87-AAA8-40FE-BC85-F36A24606529}"/>
    <cellStyle name="20% - Énfasis3 30 2" xfId="16766" xr:uid="{1D0878D4-1DD7-4FD4-9061-D76AAC1979DA}"/>
    <cellStyle name="20% - Énfasis3 30 2 2" xfId="23025" xr:uid="{A632F675-53BF-4C5F-9111-25C876F4E7D3}"/>
    <cellStyle name="20% - Énfasis3 30 3" xfId="21390" xr:uid="{1AA44360-E266-4694-9A0D-A49548083FA2}"/>
    <cellStyle name="20% - Énfasis3 30_1.2.b" xfId="15037" xr:uid="{D81C7EBC-4BA6-4D5E-93E2-A7FE4790860D}"/>
    <cellStyle name="20% - Énfasis3 31" xfId="12712" xr:uid="{B0539B1C-4D3B-4EAD-A87E-752CC6ADD668}"/>
    <cellStyle name="20% - Énfasis3 31 2" xfId="16767" xr:uid="{1758C7C8-08D7-40FB-B949-5843D65EA797}"/>
    <cellStyle name="20% - Énfasis3 31 2 2" xfId="23026" xr:uid="{4F8A1949-85DD-488A-A5A6-5483C827D0CD}"/>
    <cellStyle name="20% - Énfasis3 31 3" xfId="21391" xr:uid="{C61591BE-4DB7-45F8-AF33-51329E2BF46F}"/>
    <cellStyle name="20% - Énfasis3 31_1.2.b" xfId="15038" xr:uid="{95440FC7-225B-482A-AAD2-E7F6679BA905}"/>
    <cellStyle name="20% - Énfasis3 32" xfId="12713" xr:uid="{3F3A6FAD-F2B8-4F23-A967-779486AD70E9}"/>
    <cellStyle name="20% - Énfasis3 32 2" xfId="16768" xr:uid="{9E53950C-56C1-4B20-8936-290B1FFB0DD7}"/>
    <cellStyle name="20% - Énfasis3 32 2 2" xfId="23027" xr:uid="{5ECBFE43-CAB7-449C-BC34-79868D685BB0}"/>
    <cellStyle name="20% - Énfasis3 32 3" xfId="21392" xr:uid="{859D5DD4-3938-480B-ACBF-C282EAE71C68}"/>
    <cellStyle name="20% - Énfasis3 32_1.2.b" xfId="15039" xr:uid="{FF17A54C-46F8-48BE-9852-6F8396F51428}"/>
    <cellStyle name="20% - Énfasis3 33" xfId="12714" xr:uid="{07F8FF1E-1D0B-4E99-94F0-BCE4CBFD2C94}"/>
    <cellStyle name="20% - Énfasis3 33 2" xfId="16769" xr:uid="{E07E220D-6149-4736-9176-F28411BD442C}"/>
    <cellStyle name="20% - Énfasis3 33 2 2" xfId="23028" xr:uid="{B2077054-83B8-477C-AA9C-188F05CB2FB9}"/>
    <cellStyle name="20% - Énfasis3 33 3" xfId="21393" xr:uid="{C15C4731-BAC6-41A6-B08A-00C385A3ACAD}"/>
    <cellStyle name="20% - Énfasis3 33_1.2.b" xfId="15040" xr:uid="{AEA0C84A-2A92-409A-9B5E-6A9A0D9C0620}"/>
    <cellStyle name="20% - Énfasis3 34" xfId="12715" xr:uid="{66E6D928-C5F6-4B66-B075-55C0996C1EF7}"/>
    <cellStyle name="20% - Énfasis3 34 2" xfId="16770" xr:uid="{1AA24A6E-5C4C-4CB7-A200-357BF945117F}"/>
    <cellStyle name="20% - Énfasis3 34 2 2" xfId="23029" xr:uid="{0AF9FA9A-3FBB-4A79-BFA0-938F2EE46F4A}"/>
    <cellStyle name="20% - Énfasis3 34 3" xfId="21394" xr:uid="{C53EDB8A-27AE-4FB7-B9BE-15679454A83F}"/>
    <cellStyle name="20% - Énfasis3 34_1.2.b" xfId="15041" xr:uid="{81B29B78-E389-4A73-8EBA-AE35AA0E572A}"/>
    <cellStyle name="20% - Énfasis3 35" xfId="12716" xr:uid="{1721FCF1-398D-4773-98F7-25B0DCCFA07C}"/>
    <cellStyle name="20% - Énfasis3 35 2" xfId="16771" xr:uid="{75321D4B-59C8-4104-904F-628A8C2227AF}"/>
    <cellStyle name="20% - Énfasis3 35 2 2" xfId="23030" xr:uid="{489BF606-370B-49F4-B705-6E393A574945}"/>
    <cellStyle name="20% - Énfasis3 35 3" xfId="21395" xr:uid="{51B4D34D-B74E-445E-828A-CB7CF741F8E2}"/>
    <cellStyle name="20% - Énfasis3 35_1.2.b" xfId="15042" xr:uid="{947A4529-0751-4E94-965E-01B3251F57D9}"/>
    <cellStyle name="20% - Énfasis3 36" xfId="12717" xr:uid="{B0E20812-0172-46B7-B7FE-61192E79FB40}"/>
    <cellStyle name="20% - Énfasis3 36 2" xfId="16772" xr:uid="{D8C33EE9-ACBB-4764-BC3C-0A4285407F1E}"/>
    <cellStyle name="20% - Énfasis3 36 2 2" xfId="23031" xr:uid="{FB1B833D-96FA-48D7-9DA1-90B0BED2C2B7}"/>
    <cellStyle name="20% - Énfasis3 36 3" xfId="21396" xr:uid="{87C3438E-E632-4F42-8AB2-F204F8D19319}"/>
    <cellStyle name="20% - Énfasis3 36_1.2.b" xfId="15043" xr:uid="{49037327-2792-4FE8-8A8E-666F20ABE120}"/>
    <cellStyle name="20% - Énfasis3 37" xfId="12718" xr:uid="{D560F5D2-4CB4-446B-91AE-F90DCC608F5F}"/>
    <cellStyle name="20% - Énfasis3 37 2" xfId="16773" xr:uid="{2846471E-1814-4C45-A317-57330BA5D7BA}"/>
    <cellStyle name="20% - Énfasis3 37 2 2" xfId="23032" xr:uid="{562AB55C-B7C1-46F6-9F60-0959C701F47E}"/>
    <cellStyle name="20% - Énfasis3 37 3" xfId="21397" xr:uid="{8162954B-2E1C-4815-A9B8-AC7F3FEFF175}"/>
    <cellStyle name="20% - Énfasis3 37_1.2.b" xfId="15044" xr:uid="{2F3B5795-BCC2-4A07-A8B5-1967C34DB021}"/>
    <cellStyle name="20% - Énfasis3 38" xfId="12719" xr:uid="{36B96C86-5A8D-4B89-A420-3EC7814C8682}"/>
    <cellStyle name="20% - Énfasis3 38 2" xfId="16774" xr:uid="{CFD9A179-F6C1-4B1A-B61C-BEA214E8CF40}"/>
    <cellStyle name="20% - Énfasis3 38 2 2" xfId="23033" xr:uid="{234C1528-A7A5-4AA3-AC50-B427F309BC76}"/>
    <cellStyle name="20% - Énfasis3 38 3" xfId="21398" xr:uid="{BD5136C9-B88B-4863-AB75-AD70413B071A}"/>
    <cellStyle name="20% - Énfasis3 38_1.2.b" xfId="15045" xr:uid="{A26DF5F6-5488-461D-AAE4-25311A134CAC}"/>
    <cellStyle name="20% - Énfasis3 39" xfId="12720" xr:uid="{04526107-8C9D-4A20-8495-91E515BF9B9B}"/>
    <cellStyle name="20% - Énfasis3 39 2" xfId="16775" xr:uid="{61941664-E4C9-4D14-BBD1-801F92F24A82}"/>
    <cellStyle name="20% - Énfasis3 39 2 2" xfId="23034" xr:uid="{C5EC6EC8-CFFC-43B1-9717-023722D96C7C}"/>
    <cellStyle name="20% - Énfasis3 39 3" xfId="21399" xr:uid="{5E614677-E5FD-4E32-A3E7-D87B8FC9ED9D}"/>
    <cellStyle name="20% - Énfasis3 39_1.2.b" xfId="15046" xr:uid="{2930BACB-2996-4A44-B6A0-81505B7FEF09}"/>
    <cellStyle name="20% - Énfasis3 4" xfId="178" xr:uid="{00000000-0005-0000-0000-00004C000000}"/>
    <cellStyle name="20% - Énfasis3 4 2" xfId="10698" xr:uid="{00000000-0005-0000-0000-00004D000000}"/>
    <cellStyle name="20% - Énfasis3 4 2 2" xfId="12723" xr:uid="{590CFFA0-9064-403C-9301-109175C181F9}"/>
    <cellStyle name="20% - Énfasis3 4 2 2 2" xfId="16778" xr:uid="{F3CC87FC-D61D-4B6F-AA8F-3CB3C7EE9356}"/>
    <cellStyle name="20% - Énfasis3 4 2 2 2 2" xfId="23036" xr:uid="{D8B43E1D-3E7E-4A4D-B91D-59F81CDDF832}"/>
    <cellStyle name="20% - Énfasis3 4 2 2 3" xfId="21401" xr:uid="{1D271E76-1AFC-4E57-9149-FFD2B514EDF8}"/>
    <cellStyle name="20% - Énfasis3 4 2 2_1.2.b" xfId="15049" xr:uid="{AC44A39C-CC5D-426C-B977-BC596C9DD600}"/>
    <cellStyle name="20% - Énfasis3 4 2 3" xfId="12722" xr:uid="{26C69635-3557-4A79-AF8F-16BAD36549C6}"/>
    <cellStyle name="20% - Énfasis3 4 2 4" xfId="16777" xr:uid="{BB7DAAD1-650E-4BCB-9579-26DF0C0BD214}"/>
    <cellStyle name="20% - Énfasis3 4 2 5" xfId="17825" xr:uid="{CD10A4FF-0B9C-4767-B2FF-59293A29C297}"/>
    <cellStyle name="20% - Énfasis3 4 2 6" xfId="18280" xr:uid="{6FAEB532-EF69-48A6-ADA4-9959B2C42E85}"/>
    <cellStyle name="20% - Énfasis3 4 2 7" xfId="17811" xr:uid="{1309D1A8-16E9-4022-A243-F7A45B265465}"/>
    <cellStyle name="20% - Énfasis3 4 2 8" xfId="18271" xr:uid="{E4057091-7D13-4BAB-A07A-E06B453A0E02}"/>
    <cellStyle name="20% - Énfasis3 4 2 9" xfId="19790" xr:uid="{088C1FC1-B179-4922-A288-62EB7A743FE4}"/>
    <cellStyle name="20% - Énfasis3 4 2_1.2.b" xfId="15048" xr:uid="{DDE10839-7A55-486C-BAB0-172BC014C295}"/>
    <cellStyle name="20% - Énfasis3 4 3" xfId="12724" xr:uid="{065ECB20-B8E1-4069-B18C-669C813C202F}"/>
    <cellStyle name="20% - Énfasis3 4 3 2" xfId="16779" xr:uid="{47D7F814-7F2C-47A1-8A3E-9B2A750EE73C}"/>
    <cellStyle name="20% - Énfasis3 4 3 2 2" xfId="23037" xr:uid="{3A83E8EC-A0D6-42CB-A426-AB61A575E2D9}"/>
    <cellStyle name="20% - Énfasis3 4 3 3" xfId="21402" xr:uid="{DE6E66B1-56AE-4238-A8EE-723FA7E1E6C8}"/>
    <cellStyle name="20% - Énfasis3 4 3_1.2.b" xfId="15050" xr:uid="{FC447D01-801A-4907-9F51-922ED5491148}"/>
    <cellStyle name="20% - Énfasis3 4 4" xfId="12725" xr:uid="{E09C9F7D-0877-4FEF-898A-E8EED1B03DC7}"/>
    <cellStyle name="20% - Énfasis3 4 4 2" xfId="16780" xr:uid="{B0FABF75-603E-4030-9F24-4F3FF2E9BE16}"/>
    <cellStyle name="20% - Énfasis3 4 4 2 2" xfId="23038" xr:uid="{4EBA5A1C-F747-4F2A-8A16-9051D3066243}"/>
    <cellStyle name="20% - Énfasis3 4 4 3" xfId="21403" xr:uid="{7F55454B-7449-438D-8BD4-02841C05F03B}"/>
    <cellStyle name="20% - Énfasis3 4 4_1.2.b" xfId="15051" xr:uid="{166C317B-705D-49E7-8507-C0AFB8E916FE}"/>
    <cellStyle name="20% - Énfasis3 4 5" xfId="12726" xr:uid="{25659873-9EDB-4A76-9435-30A1CDE6B023}"/>
    <cellStyle name="20% - Énfasis3 4 5 2" xfId="16781" xr:uid="{369150D7-D9A9-4BB5-89ED-6B0BA0350604}"/>
    <cellStyle name="20% - Énfasis3 4 5 2 2" xfId="23039" xr:uid="{81DA913C-DAA7-4AAE-8379-2E3C58EEDD5D}"/>
    <cellStyle name="20% - Énfasis3 4 5 3" xfId="21404" xr:uid="{CB627D4C-1D27-44C6-AFC2-97A8CEED9046}"/>
    <cellStyle name="20% - Énfasis3 4 5_1.2.b" xfId="15052" xr:uid="{D280E581-71E0-4FBC-925E-B88B34264E21}"/>
    <cellStyle name="20% - Énfasis3 4 6" xfId="12727" xr:uid="{F3891C4B-7DB7-4D91-8146-FF80F0AF6B6D}"/>
    <cellStyle name="20% - Énfasis3 4 6 2" xfId="16782" xr:uid="{11F6EEEB-F534-4FF0-B038-871AF3DD54F1}"/>
    <cellStyle name="20% - Énfasis3 4 6 2 2" xfId="23040" xr:uid="{58EB5E17-2F76-4F5F-AC72-08987FA4A2BF}"/>
    <cellStyle name="20% - Énfasis3 4 6 3" xfId="21405" xr:uid="{B78BC94B-B8EA-43DE-84DE-56A1F918B01D}"/>
    <cellStyle name="20% - Énfasis3 4 6_1.2.b" xfId="15053" xr:uid="{47541185-85A8-4887-99BA-D009F259683A}"/>
    <cellStyle name="20% - Énfasis3 4 7" xfId="12721" xr:uid="{1976F6F8-7E82-4299-802B-A1C0D612D72E}"/>
    <cellStyle name="20% - Énfasis3 4 7 2" xfId="21400" xr:uid="{E3432041-D381-4831-8913-9739F50F02D3}"/>
    <cellStyle name="20% - Énfasis3 4 8" xfId="16776" xr:uid="{D8DF5754-A027-4C8F-B48A-64365E1985DC}"/>
    <cellStyle name="20% - Énfasis3 4 8 2" xfId="23035" xr:uid="{A75002A7-3AFA-483A-8539-F7919A38202E}"/>
    <cellStyle name="20% - Énfasis3 4 9" xfId="18422" xr:uid="{3D9D0E31-7706-49C4-A9ED-5FA7ADEC9C45}"/>
    <cellStyle name="20% - Énfasis3 4_1.2.b" xfId="15047" xr:uid="{647E0738-3AB7-4B28-9112-77CD63888E7B}"/>
    <cellStyle name="20% - Énfasis3 40" xfId="12728" xr:uid="{1E6E8731-4FD9-4DE2-BBDA-64661301EA38}"/>
    <cellStyle name="20% - Énfasis3 40 2" xfId="16783" xr:uid="{A82970A0-E1F2-414F-BB0E-ED0DB393394F}"/>
    <cellStyle name="20% - Énfasis3 40 2 2" xfId="23041" xr:uid="{DE3A6C6B-B8C5-46D4-B940-BAB9F2DBA017}"/>
    <cellStyle name="20% - Énfasis3 40 3" xfId="21406" xr:uid="{9D12C8E2-AE9A-43C9-9FAB-AEA200782F8D}"/>
    <cellStyle name="20% - Énfasis3 40_1.2.b" xfId="15054" xr:uid="{CF581E7E-8B03-4EC3-90EE-5EE0F8CB9048}"/>
    <cellStyle name="20% - Énfasis3 41" xfId="12729" xr:uid="{752E10FC-B0B3-457D-B8E2-2BEAA8809FDD}"/>
    <cellStyle name="20% - Énfasis3 41 2" xfId="16784" xr:uid="{D53AC0BB-8D51-4407-B670-6B35B76B5E66}"/>
    <cellStyle name="20% - Énfasis3 41 2 2" xfId="23042" xr:uid="{CDE6F270-5F4E-4191-B5D0-DC486C2A591A}"/>
    <cellStyle name="20% - Énfasis3 41 3" xfId="21407" xr:uid="{A04DD956-721D-40D6-A319-58DD6BD5452A}"/>
    <cellStyle name="20% - Énfasis3 41_1.2.b" xfId="15055" xr:uid="{2F0FB6D2-7BCA-4780-B7F8-B5E6D36F3A68}"/>
    <cellStyle name="20% - Énfasis3 42" xfId="12730" xr:uid="{6B91E645-09D3-4766-AFA5-D85E27FCFA3F}"/>
    <cellStyle name="20% - Énfasis3 42 2" xfId="16785" xr:uid="{831FD4B9-B714-4320-8288-5BA8DCCECE84}"/>
    <cellStyle name="20% - Énfasis3 42 2 2" xfId="23043" xr:uid="{542F20FB-B1D6-4612-BA61-1C8A4F2D1077}"/>
    <cellStyle name="20% - Énfasis3 42 3" xfId="21408" xr:uid="{9AABEF01-CF2D-40C8-9296-46D7F4A36EBA}"/>
    <cellStyle name="20% - Énfasis3 42_1.2.b" xfId="15056" xr:uid="{B65A79BC-2CBE-46D1-92B4-9E72ABAA3294}"/>
    <cellStyle name="20% - Énfasis3 43" xfId="12731" xr:uid="{5727BF10-CD0F-4666-B8FB-EA40D07A0405}"/>
    <cellStyle name="20% - Énfasis3 43 2" xfId="16786" xr:uid="{4658C0D9-6B6C-4319-A4B2-C99ABDE66BB3}"/>
    <cellStyle name="20% - Énfasis3 43 2 2" xfId="23044" xr:uid="{1943DC82-FB9B-4DC5-9463-671EEF8E4C60}"/>
    <cellStyle name="20% - Énfasis3 43 3" xfId="21409" xr:uid="{A96C2E5C-D003-4138-800D-A189ACE3DD6A}"/>
    <cellStyle name="20% - Énfasis3 43_1.2.b" xfId="15057" xr:uid="{11037461-8C28-483C-BC84-B6D3C82E807F}"/>
    <cellStyle name="20% - Énfasis3 44" xfId="12732" xr:uid="{B8B60812-078F-4B6B-80E6-088368D222C2}"/>
    <cellStyle name="20% - Énfasis3 44 2" xfId="16787" xr:uid="{C7A3D54E-826C-4A62-B44C-EB717904DDC5}"/>
    <cellStyle name="20% - Énfasis3 44 2 2" xfId="23045" xr:uid="{80CB1221-9E9E-468C-B23A-43F7FCBFE480}"/>
    <cellStyle name="20% - Énfasis3 44 3" xfId="21410" xr:uid="{493286C5-778C-4A98-A0BA-938E4613C235}"/>
    <cellStyle name="20% - Énfasis3 44_1.2.b" xfId="15058" xr:uid="{48BECE6D-A721-479F-9C55-5E8692711AC8}"/>
    <cellStyle name="20% - Énfasis3 45" xfId="12733" xr:uid="{4269854A-05F7-4C4C-8F3C-C40EF44321E6}"/>
    <cellStyle name="20% - Énfasis3 45 2" xfId="16788" xr:uid="{106857E5-FB02-40EA-A576-E2730872FDC8}"/>
    <cellStyle name="20% - Énfasis3 45 2 2" xfId="23046" xr:uid="{F674A507-7AFD-4921-BC54-6E304BDAEE80}"/>
    <cellStyle name="20% - Énfasis3 45 3" xfId="21411" xr:uid="{FD7C21A2-BCAB-4293-A566-7B1D8FF527D4}"/>
    <cellStyle name="20% - Énfasis3 45_1.2.b" xfId="15059" xr:uid="{7190C69C-2AC2-4FC1-BF9C-242B9A8383E4}"/>
    <cellStyle name="20% - Énfasis3 46" xfId="12734" xr:uid="{FC7CD93F-AC20-4A51-925B-6234C00BDA9C}"/>
    <cellStyle name="20% - Énfasis3 46 2" xfId="16789" xr:uid="{219A2EC2-C923-487B-8A37-200F3DD6CC14}"/>
    <cellStyle name="20% - Énfasis3 46 2 2" xfId="23047" xr:uid="{35A3ECBD-F1A4-4BD4-8DF3-14A2610227AD}"/>
    <cellStyle name="20% - Énfasis3 46 3" xfId="21412" xr:uid="{C256CB69-D54D-404C-87DA-BC9BE25661A6}"/>
    <cellStyle name="20% - Énfasis3 46_1.2.b" xfId="15060" xr:uid="{698DF1CA-C3FE-4AA0-A54C-5864F4BC87ED}"/>
    <cellStyle name="20% - Énfasis3 47" xfId="12735" xr:uid="{11E03D4F-B51E-469D-8638-2201ACFEE7CB}"/>
    <cellStyle name="20% - Énfasis3 47 2" xfId="16790" xr:uid="{97187940-92B0-4BFB-BE81-7276E808C1B1}"/>
    <cellStyle name="20% - Énfasis3 47 2 2" xfId="23048" xr:uid="{1348D6F1-43D4-4430-9D5D-F71CC84BEA1F}"/>
    <cellStyle name="20% - Énfasis3 47 3" xfId="21413" xr:uid="{7DBC027A-CDC9-4692-965C-A5D507EDAE0E}"/>
    <cellStyle name="20% - Énfasis3 47_1.2.b" xfId="15061" xr:uid="{76E98666-49D6-4794-B40B-D95F348EC396}"/>
    <cellStyle name="20% - Énfasis3 48" xfId="12736" xr:uid="{6C8A7095-7C86-427D-A865-915991B6CAB9}"/>
    <cellStyle name="20% - Énfasis3 48 2" xfId="16791" xr:uid="{3ABD5381-3C56-4733-B42D-3162798D6640}"/>
    <cellStyle name="20% - Énfasis3 48 2 2" xfId="23049" xr:uid="{163220DE-34F5-440B-AB7C-A6665155226D}"/>
    <cellStyle name="20% - Énfasis3 48 3" xfId="21414" xr:uid="{7F37CE9C-B141-493A-A6DF-759928FB8118}"/>
    <cellStyle name="20% - Énfasis3 48_1.2.b" xfId="15062" xr:uid="{DC8387B1-07CF-412F-B020-39CA6FCDFE63}"/>
    <cellStyle name="20% - Énfasis3 49" xfId="12737" xr:uid="{6CC96EDB-8539-4C31-BAC6-DCA49EA1CC7B}"/>
    <cellStyle name="20% - Énfasis3 49 2" xfId="16792" xr:uid="{CE7A46B9-7632-4741-94DE-97183D6F4D12}"/>
    <cellStyle name="20% - Énfasis3 49 2 2" xfId="23050" xr:uid="{181F8F18-38EC-439F-804B-9819C6FC947E}"/>
    <cellStyle name="20% - Énfasis3 49 3" xfId="21415" xr:uid="{721E31F8-A961-46F1-8245-0303E47F58CC}"/>
    <cellStyle name="20% - Énfasis3 49_1.2.b" xfId="15063" xr:uid="{ED995E7F-B59B-4ED6-B6DB-D3E1DCA47CBA}"/>
    <cellStyle name="20% - Énfasis3 5" xfId="193" xr:uid="{00000000-0005-0000-0000-00004E000000}"/>
    <cellStyle name="20% - Énfasis3 5 2" xfId="10713" xr:uid="{00000000-0005-0000-0000-00004F000000}"/>
    <cellStyle name="20% - Énfasis3 5 2 2" xfId="12739" xr:uid="{CA33E85B-3A5D-410E-812B-0D436021C0FD}"/>
    <cellStyle name="20% - Énfasis3 5 2 2 2" xfId="21417" xr:uid="{AF62224F-09F7-4EAF-8408-DD89F863321F}"/>
    <cellStyle name="20% - Énfasis3 5 2 3" xfId="16794" xr:uid="{C4FB15EC-AA34-4417-8945-D43D85C7FBEA}"/>
    <cellStyle name="20% - Énfasis3 5 2 3 2" xfId="23052" xr:uid="{19FB2F06-A2C0-42FE-B9C7-1BD42D91FE75}"/>
    <cellStyle name="20% - Énfasis3 5 2 4" xfId="19805" xr:uid="{25D87495-F323-469C-B6D0-6ACDF9412880}"/>
    <cellStyle name="20% - Énfasis3 5 2_1.2.b" xfId="15065" xr:uid="{EA818F65-BAB9-4B7A-BBB1-D621B1ABE6ED}"/>
    <cellStyle name="20% - Énfasis3 5 3" xfId="12740" xr:uid="{62FB87B9-D00F-4D2C-90ED-76157E12C579}"/>
    <cellStyle name="20% - Énfasis3 5 3 2" xfId="16795" xr:uid="{C1576471-F05F-488F-AB03-A003CE65A28C}"/>
    <cellStyle name="20% - Énfasis3 5 3 2 2" xfId="23053" xr:uid="{A6F44B55-B2AD-4DF6-9CB0-CD4614C078AD}"/>
    <cellStyle name="20% - Énfasis3 5 3 3" xfId="21418" xr:uid="{795375FD-FB8A-4622-9EAC-F91DC1C8A880}"/>
    <cellStyle name="20% - Énfasis3 5 3_1.2.b" xfId="15066" xr:uid="{9E3E0FD8-D970-48FA-BB63-FAC87B43AFF4}"/>
    <cellStyle name="20% - Énfasis3 5 4" xfId="12738" xr:uid="{E1511F4E-7C6C-4142-BDD7-873043C5C0C1}"/>
    <cellStyle name="20% - Énfasis3 5 4 2" xfId="21416" xr:uid="{5DB216A6-0236-4EFC-A135-0D81A58733D3}"/>
    <cellStyle name="20% - Énfasis3 5 5" xfId="16793" xr:uid="{2F853DB5-DC83-4030-B25E-B735E523CD69}"/>
    <cellStyle name="20% - Énfasis3 5 5 2" xfId="23051" xr:uid="{AD542BFD-5187-4991-8138-24FADAAABC35}"/>
    <cellStyle name="20% - Énfasis3 5 6" xfId="18437" xr:uid="{3930DEE1-A1AC-4285-9469-55682E6D1CE9}"/>
    <cellStyle name="20% - Énfasis3 5_1.2.b" xfId="15064" xr:uid="{4D427437-56EC-4014-A3AF-3DBC3F45A0FC}"/>
    <cellStyle name="20% - Énfasis3 50" xfId="12741" xr:uid="{4721C982-AA5C-4BDE-94D8-BD8077BABDFC}"/>
    <cellStyle name="20% - Énfasis3 50 2" xfId="16796" xr:uid="{DC72E797-30DC-4417-B912-D9C3169B5A29}"/>
    <cellStyle name="20% - Énfasis3 50 2 2" xfId="23054" xr:uid="{194401BF-4FE6-4093-B156-133C8BBE5CF2}"/>
    <cellStyle name="20% - Énfasis3 50 3" xfId="21419" xr:uid="{FB8C1AB2-E00E-4662-8346-068AC08DB0F4}"/>
    <cellStyle name="20% - Énfasis3 50_1.2.b" xfId="15067" xr:uid="{77C9E16D-A630-421F-9FBB-D01C145037C1}"/>
    <cellStyle name="20% - Énfasis3 51" xfId="12742" xr:uid="{A6476EC5-F7EC-46BA-AE72-87AFA5E28760}"/>
    <cellStyle name="20% - Énfasis3 51 2" xfId="16797" xr:uid="{5919D5C4-BDE0-4523-B86F-36FE40744301}"/>
    <cellStyle name="20% - Énfasis3 51 2 2" xfId="23055" xr:uid="{32A4F248-B9AD-46A9-AEF0-E644CE0B191A}"/>
    <cellStyle name="20% - Énfasis3 51 3" xfId="21420" xr:uid="{087C59BB-96A6-4CDD-91BF-FE60915DB9F7}"/>
    <cellStyle name="20% - Énfasis3 51_1.2.b" xfId="15068" xr:uid="{D02804FB-2D7D-457C-9B02-6B3D5426C30F}"/>
    <cellStyle name="20% - Énfasis3 52" xfId="12743" xr:uid="{7A042A8F-C2E7-4458-8606-23B15C4F436A}"/>
    <cellStyle name="20% - Énfasis3 52 2" xfId="16798" xr:uid="{C84CC783-9DDF-4018-AC89-5D539D321AB6}"/>
    <cellStyle name="20% - Énfasis3 52 2 2" xfId="23056" xr:uid="{54A52147-43BB-4529-BF8E-A817378B900C}"/>
    <cellStyle name="20% - Énfasis3 52 3" xfId="21421" xr:uid="{0EC8EE06-CDB3-4222-8F75-750AF0E714B3}"/>
    <cellStyle name="20% - Énfasis3 52_1.2.b" xfId="15069" xr:uid="{84F1A883-F66E-4DBA-84F6-A18661CFD139}"/>
    <cellStyle name="20% - Énfasis3 53" xfId="12744" xr:uid="{0EAA4E94-8ABC-4C92-B23C-2631BFD1238C}"/>
    <cellStyle name="20% - Énfasis3 53 2" xfId="16799" xr:uid="{8C9F0BB8-82E8-4A46-A34E-916D0E3F286E}"/>
    <cellStyle name="20% - Énfasis3 53 2 2" xfId="23057" xr:uid="{E8755165-44D0-42ED-AAD8-CDDECB189007}"/>
    <cellStyle name="20% - Énfasis3 53 3" xfId="21422" xr:uid="{D33CDB87-DC5D-4925-A82B-AD5CDE1AAB97}"/>
    <cellStyle name="20% - Énfasis3 53_1.2.b" xfId="15070" xr:uid="{F5F8C5C5-CEBB-43BB-A9DA-37DF4DDDAD31}"/>
    <cellStyle name="20% - Énfasis3 54" xfId="12745" xr:uid="{FD5E6E19-B5B4-492A-B473-7878780E3704}"/>
    <cellStyle name="20% - Énfasis3 54 2" xfId="16800" xr:uid="{1D039D5F-FF1F-4309-8E44-1EF674C451FA}"/>
    <cellStyle name="20% - Énfasis3 54 2 2" xfId="23058" xr:uid="{7B66CEC8-2CA1-45B1-A9B9-C677F36A3BA6}"/>
    <cellStyle name="20% - Énfasis3 54 3" xfId="21423" xr:uid="{E15A2E2B-CE42-49B5-ACF2-ECBB554C90DA}"/>
    <cellStyle name="20% - Énfasis3 54_1.2.b" xfId="15071" xr:uid="{D836471A-8AB6-4124-BCE1-2BCAB03D668D}"/>
    <cellStyle name="20% - Énfasis3 55" xfId="12746" xr:uid="{C3358787-FA63-4F0A-96B8-3E626E413404}"/>
    <cellStyle name="20% - Énfasis3 55 2" xfId="16801" xr:uid="{45D069D6-C7AE-4D2C-B232-D5FDF2BF0D41}"/>
    <cellStyle name="20% - Énfasis3 55 2 2" xfId="23059" xr:uid="{3723FEED-FE32-4497-92CD-9E51587CE84A}"/>
    <cellStyle name="20% - Énfasis3 55 3" xfId="21424" xr:uid="{EF2B4DA2-72AC-4A48-AF94-A2C198504052}"/>
    <cellStyle name="20% - Énfasis3 55_1.2.b" xfId="15072" xr:uid="{87CE3AFB-2A1A-4B5B-B05F-9F9C259AB2C9}"/>
    <cellStyle name="20% - Énfasis3 56" xfId="12747" xr:uid="{BF02522A-E353-442A-ACB3-8EF7F1287A50}"/>
    <cellStyle name="20% - Énfasis3 56 2" xfId="16802" xr:uid="{33E98FF8-95C3-45E7-AA98-56001C9FD22B}"/>
    <cellStyle name="20% - Énfasis3 56 2 2" xfId="23060" xr:uid="{F02593AA-B1D8-49E2-B2A9-17EF6C7E6541}"/>
    <cellStyle name="20% - Énfasis3 56 3" xfId="21425" xr:uid="{39764FB0-3F95-448C-BFCB-A3FFB93ACD0B}"/>
    <cellStyle name="20% - Énfasis3 56_1.2.b" xfId="15073" xr:uid="{5F4D8786-A40A-4FB9-9832-8D4870E39B5C}"/>
    <cellStyle name="20% - Énfasis3 57" xfId="12748" xr:uid="{B1A5788F-859E-458D-B358-48875D80A53D}"/>
    <cellStyle name="20% - Énfasis3 57 2" xfId="16803" xr:uid="{4A4FFBD5-525E-48CE-8E75-4D49F4F8CBED}"/>
    <cellStyle name="20% - Énfasis3 57 2 2" xfId="23061" xr:uid="{7DEE08AF-6463-49C6-8620-A1123722057A}"/>
    <cellStyle name="20% - Énfasis3 57 3" xfId="21426" xr:uid="{0F7716DF-1B73-479F-A12B-A8A3A4AEE804}"/>
    <cellStyle name="20% - Énfasis3 57_1.2.b" xfId="15074" xr:uid="{295EF943-7F5D-4728-8B00-D6CDC5DF95D9}"/>
    <cellStyle name="20% - Énfasis3 58" xfId="12749" xr:uid="{E2A3FADF-7584-4145-B07D-53B21880CE7A}"/>
    <cellStyle name="20% - Énfasis3 58 2" xfId="16804" xr:uid="{45640D2D-6A09-49A1-BB20-D793FC990F11}"/>
    <cellStyle name="20% - Énfasis3 58 2 2" xfId="23062" xr:uid="{CD76301B-00A8-4C2D-ABEC-22ADC6345032}"/>
    <cellStyle name="20% - Énfasis3 58 3" xfId="21427" xr:uid="{212C0D37-8B93-464C-B303-BC3484346F2F}"/>
    <cellStyle name="20% - Énfasis3 58_1.2.b" xfId="15075" xr:uid="{1A56952A-1BCB-4C97-A9F7-1D1BF42D3796}"/>
    <cellStyle name="20% - Énfasis3 59" xfId="12750" xr:uid="{B3D11617-4748-4D6D-BF29-265B7ED30BAC}"/>
    <cellStyle name="20% - Énfasis3 59 2" xfId="16805" xr:uid="{40B02093-3C58-40BB-936F-6F479D04E53E}"/>
    <cellStyle name="20% - Énfasis3 59 2 2" xfId="23063" xr:uid="{CCCC10EB-6E77-4C02-AB59-D447C1216C38}"/>
    <cellStyle name="20% - Énfasis3 59 3" xfId="21428" xr:uid="{C4112D65-A69F-4781-82B6-6CD988D5918F}"/>
    <cellStyle name="20% - Énfasis3 59_1.2.b" xfId="15076" xr:uid="{C536D52B-FCF5-4272-A95C-351A33D91BA6}"/>
    <cellStyle name="20% - Énfasis3 6" xfId="207" xr:uid="{00000000-0005-0000-0000-000050000000}"/>
    <cellStyle name="20% - Énfasis3 6 2" xfId="10727" xr:uid="{00000000-0005-0000-0000-000051000000}"/>
    <cellStyle name="20% - Énfasis3 6 2 2" xfId="12752" xr:uid="{06BA5D32-07D7-43F7-8471-0B940EAEDA8C}"/>
    <cellStyle name="20% - Énfasis3 6 2 2 2" xfId="21430" xr:uid="{C550A921-43A3-497D-B0C6-8B2C2FAF266B}"/>
    <cellStyle name="20% - Énfasis3 6 2 3" xfId="16807" xr:uid="{BACDEAC2-5EA5-4156-A03A-E560D106F0AF}"/>
    <cellStyle name="20% - Énfasis3 6 2 3 2" xfId="23065" xr:uid="{043118B8-F6CD-4B69-A9CC-8E2BA0B13886}"/>
    <cellStyle name="20% - Énfasis3 6 2 4" xfId="19819" xr:uid="{C4F5C599-96BA-46B2-9DEC-E7A3D43A30D2}"/>
    <cellStyle name="20% - Énfasis3 6 2_1.2.b" xfId="15078" xr:uid="{03E1B0CD-44A4-439C-9834-E50497585A89}"/>
    <cellStyle name="20% - Énfasis3 6 3" xfId="12751" xr:uid="{40400D31-D4D4-48A6-9A49-AA8FBAD5CD18}"/>
    <cellStyle name="20% - Énfasis3 6 3 2" xfId="21429" xr:uid="{F9DAB261-C409-4916-AFFB-C16575EF2447}"/>
    <cellStyle name="20% - Énfasis3 6 4" xfId="16806" xr:uid="{775220A8-9FC3-49D6-9624-96B37006E50A}"/>
    <cellStyle name="20% - Énfasis3 6 4 2" xfId="23064" xr:uid="{C76DBE25-73B7-4E0A-829B-D642CAFC220D}"/>
    <cellStyle name="20% - Énfasis3 6 5" xfId="18451" xr:uid="{1DF7F843-0A7F-42F9-9B42-C95BFA7BE033}"/>
    <cellStyle name="20% - Énfasis3 6_1.2.b" xfId="15077" xr:uid="{D66238D0-0F00-44EA-B33B-3E2844DE9BE4}"/>
    <cellStyle name="20% - Énfasis3 60" xfId="12753" xr:uid="{16FFD0A9-4C73-4850-93A8-8ED48EA7FDD6}"/>
    <cellStyle name="20% - Énfasis3 60 2" xfId="16808" xr:uid="{D79A0D5E-2D7E-4044-B134-6C84492D70F2}"/>
    <cellStyle name="20% - Énfasis3 60 2 2" xfId="23066" xr:uid="{3675032E-F19D-41E3-B6B9-AF006D32C430}"/>
    <cellStyle name="20% - Énfasis3 60 3" xfId="21431" xr:uid="{32A2D85F-08E6-4BF9-B924-F0556AAFF623}"/>
    <cellStyle name="20% - Énfasis3 60_1.2.b" xfId="15079" xr:uid="{2FCB5D88-DF93-484A-8286-3699DFA95966}"/>
    <cellStyle name="20% - Énfasis3 61" xfId="12754" xr:uid="{9A5D07FB-8926-49A3-BAAB-E2B93596AD9C}"/>
    <cellStyle name="20% - Énfasis3 61 2" xfId="16809" xr:uid="{74B83A6F-67F3-4178-AC53-8C5DCB7B0A8C}"/>
    <cellStyle name="20% - Énfasis3 61 2 2" xfId="23067" xr:uid="{389A9F15-C6A8-4378-BFB0-5FF5E75F7463}"/>
    <cellStyle name="20% - Énfasis3 61 3" xfId="21432" xr:uid="{E8B8AE5C-3493-4A27-AB52-58B9C442E1AD}"/>
    <cellStyle name="20% - Énfasis3 61_1.2.b" xfId="15080" xr:uid="{7E1C5540-C7A3-46B0-91C2-0E7242BFD0EC}"/>
    <cellStyle name="20% - Énfasis3 62" xfId="12755" xr:uid="{F822321A-E5D2-4F0E-8EDC-746AD8D4C011}"/>
    <cellStyle name="20% - Énfasis3 62 2" xfId="16810" xr:uid="{324E3E7F-0519-4820-B7FD-9D8A331C0E5F}"/>
    <cellStyle name="20% - Énfasis3 62 2 2" xfId="23068" xr:uid="{4485811D-5A15-4259-B942-A6F2EC85E230}"/>
    <cellStyle name="20% - Énfasis3 62 3" xfId="21433" xr:uid="{4B85F3BB-6865-4AC5-AAE3-10754967B888}"/>
    <cellStyle name="20% - Énfasis3 62_1.2.b" xfId="15081" xr:uid="{FAF21ECF-2CC5-4DF8-B772-4E75BB4A70D2}"/>
    <cellStyle name="20% - Énfasis3 63" xfId="12756" xr:uid="{8A71DF2E-0318-4901-978F-5B715397FE7C}"/>
    <cellStyle name="20% - Énfasis3 63 2" xfId="16811" xr:uid="{82EB396C-9B58-4CFA-8D83-4E58E3937AE2}"/>
    <cellStyle name="20% - Énfasis3 63 2 2" xfId="23069" xr:uid="{48493EC3-8978-40AE-8DEE-367B25A638CA}"/>
    <cellStyle name="20% - Énfasis3 63 3" xfId="21434" xr:uid="{4156D89B-E0ED-4955-AC90-01F5F8B6E617}"/>
    <cellStyle name="20% - Énfasis3 63_1.2.b" xfId="15082" xr:uid="{98C00D6B-BABD-49F3-A3B4-E8E0EF91405F}"/>
    <cellStyle name="20% - Énfasis3 64" xfId="12757" xr:uid="{0DC34D69-1520-4B57-B2B9-EAE69491A145}"/>
    <cellStyle name="20% - Énfasis3 64 2" xfId="16812" xr:uid="{03EBFD73-3CE8-4ABC-8CFD-6A2E84819B5C}"/>
    <cellStyle name="20% - Énfasis3 64 2 2" xfId="23070" xr:uid="{F2387113-57AF-44CC-AC0C-466C2455FA51}"/>
    <cellStyle name="20% - Énfasis3 64 3" xfId="21435" xr:uid="{35B6D0CE-2AF8-4172-A73F-3FFAA3AF9C38}"/>
    <cellStyle name="20% - Énfasis3 64_1.2.b" xfId="15083" xr:uid="{DBE11C07-385E-4DB7-93DF-C40514ED1DA6}"/>
    <cellStyle name="20% - Énfasis3 65" xfId="12758" xr:uid="{06F81BDE-B23B-4DBA-A66D-CE2F6BC389D0}"/>
    <cellStyle name="20% - Énfasis3 65 2" xfId="16813" xr:uid="{469B7C6C-CD16-4D76-9D8C-2F55316E6BCE}"/>
    <cellStyle name="20% - Énfasis3 65 2 2" xfId="23071" xr:uid="{B6D53837-FE38-4D6E-B5D9-E2D3BC8687C5}"/>
    <cellStyle name="20% - Énfasis3 65 3" xfId="21436" xr:uid="{3E12330E-D30C-46A9-8CB8-16A97E883F4E}"/>
    <cellStyle name="20% - Énfasis3 65_1.2.b" xfId="15084" xr:uid="{15CF2037-1C60-4326-B603-C8C4A1904BD2}"/>
    <cellStyle name="20% - Énfasis3 66" xfId="12759" xr:uid="{28903162-A5C5-4766-B896-0868D6E2639D}"/>
    <cellStyle name="20% - Énfasis3 66 2" xfId="16814" xr:uid="{FEA6E9CF-4E9A-4B36-9531-C82DE77F06C7}"/>
    <cellStyle name="20% - Énfasis3 66 2 2" xfId="23072" xr:uid="{BA85666B-4366-4C67-BCFC-4953BDF33B9D}"/>
    <cellStyle name="20% - Énfasis3 66 3" xfId="21437" xr:uid="{97501485-6880-465C-8E8B-A3A8E2CEE8AC}"/>
    <cellStyle name="20% - Énfasis3 66_1.2.b" xfId="15085" xr:uid="{E36A31A2-51E9-488E-873A-050297D18AB0}"/>
    <cellStyle name="20% - Énfasis3 67" xfId="12760" xr:uid="{0F55BCD2-C56F-4192-9385-AB389972B28F}"/>
    <cellStyle name="20% - Énfasis3 67 2" xfId="16815" xr:uid="{CB12E926-8933-482B-A3D1-3C42A75281F8}"/>
    <cellStyle name="20% - Énfasis3 67 2 2" xfId="23073" xr:uid="{499BD503-BAD4-45BD-9818-3509C9D81546}"/>
    <cellStyle name="20% - Énfasis3 67 3" xfId="21438" xr:uid="{1680B867-C525-4A0D-B4E6-9999FDFEA74F}"/>
    <cellStyle name="20% - Énfasis3 67_1.2.b" xfId="15086" xr:uid="{BC2830AA-E5F7-4D44-B3E8-698816D93C96}"/>
    <cellStyle name="20% - Énfasis3 68" xfId="12761" xr:uid="{00FBAD8F-EAD6-4669-85DF-13FD041C85B8}"/>
    <cellStyle name="20% - Énfasis3 68 2" xfId="16816" xr:uid="{7FF76011-A87D-444F-95B6-1602780BD944}"/>
    <cellStyle name="20% - Énfasis3 68 2 2" xfId="23074" xr:uid="{8C776D7C-C70D-4302-99CB-E5663065ECF7}"/>
    <cellStyle name="20% - Énfasis3 68 3" xfId="21439" xr:uid="{D8477ED2-F8F1-4A7C-A7E9-F4B1DCCFB2EE}"/>
    <cellStyle name="20% - Énfasis3 68_1.2.b" xfId="15087" xr:uid="{F6500480-5CFD-43EF-BB5A-55CA5750B010}"/>
    <cellStyle name="20% - Énfasis3 69" xfId="12762" xr:uid="{D3A6A3A2-11A9-4D73-98C3-54BEB220CAB5}"/>
    <cellStyle name="20% - Énfasis3 69 2" xfId="16817" xr:uid="{25AD2E07-AC82-490D-91A3-F6EDB7018E9B}"/>
    <cellStyle name="20% - Énfasis3 69 2 2" xfId="23075" xr:uid="{CA6925F0-24FE-4B08-8F12-F22CFE7BD47F}"/>
    <cellStyle name="20% - Énfasis3 69 3" xfId="21440" xr:uid="{65A3EEE7-A93F-4549-A6C3-2BFE156CE6C5}"/>
    <cellStyle name="20% - Énfasis3 69_1.2.b" xfId="15088" xr:uid="{140363E9-FE08-40EB-9721-79B33F6CE876}"/>
    <cellStyle name="20% - Énfasis3 7" xfId="9831" xr:uid="{00000000-0005-0000-0000-000052000000}"/>
    <cellStyle name="20% - Énfasis3 7 2" xfId="11617" xr:uid="{00000000-0005-0000-0000-000053000000}"/>
    <cellStyle name="20% - Énfasis3 7 2 2" xfId="12764" xr:uid="{F64232CE-923E-45E4-8D9F-5E0512879D5F}"/>
    <cellStyle name="20% - Énfasis3 7 2 2 2" xfId="21442" xr:uid="{825AF908-BC82-434D-84CD-38BB16096B76}"/>
    <cellStyle name="20% - Énfasis3 7 2 3" xfId="16819" xr:uid="{45CE86FB-C029-43E1-B1E3-1564BBFC938E}"/>
    <cellStyle name="20% - Énfasis3 7 2 3 2" xfId="23077" xr:uid="{B8A5C769-E80D-46BC-B1CA-236E9CDA3A91}"/>
    <cellStyle name="20% - Énfasis3 7 2 4" xfId="20386" xr:uid="{3BA9D8E3-11FC-468E-B0EE-2C6430970ED4}"/>
    <cellStyle name="20% - Énfasis3 7 2_1.2.b" xfId="15090" xr:uid="{A5BE343A-36B7-456A-8840-E1204BD4F42C}"/>
    <cellStyle name="20% - Énfasis3 7 3" xfId="12763" xr:uid="{65C20DB6-C094-4D54-9162-B2B992A73925}"/>
    <cellStyle name="20% - Énfasis3 7 3 2" xfId="21441" xr:uid="{B1D0E17D-F991-4F93-B431-86E5507F0E73}"/>
    <cellStyle name="20% - Énfasis3 7 4" xfId="16818" xr:uid="{F83AA525-7689-48F8-9800-427588ADA053}"/>
    <cellStyle name="20% - Énfasis3 7 4 2" xfId="23076" xr:uid="{47F8796D-AE90-4C66-B270-6B6BE206625A}"/>
    <cellStyle name="20% - Énfasis3 7 5" xfId="19018" xr:uid="{EA25B426-73DD-4F8A-A10D-B91879EE32B4}"/>
    <cellStyle name="20% - Énfasis3 7_1.2.b" xfId="15089" xr:uid="{0418AE3A-616E-4AA0-AB0E-9B36C987F5D6}"/>
    <cellStyle name="20% - Énfasis3 70" xfId="12765" xr:uid="{0E8C5902-0970-42D9-B6B0-7C3A9B4504B4}"/>
    <cellStyle name="20% - Énfasis3 70 2" xfId="16820" xr:uid="{0FAA1A4A-8184-4D94-930C-09A1BD9B70A2}"/>
    <cellStyle name="20% - Énfasis3 70 2 2" xfId="23078" xr:uid="{406614AC-759C-4ECD-9671-2796B7C04914}"/>
    <cellStyle name="20% - Énfasis3 70 3" xfId="21443" xr:uid="{02543F0B-29B6-4F2A-80A8-D05E234AC932}"/>
    <cellStyle name="20% - Énfasis3 70_1.2.b" xfId="15091" xr:uid="{3F8A4EDF-C674-4A8C-9C7D-2A3CAF438F03}"/>
    <cellStyle name="20% - Énfasis3 71" xfId="12766" xr:uid="{A026F47F-AAB7-45B7-8EF0-5EC6356A3018}"/>
    <cellStyle name="20% - Énfasis3 71 2" xfId="16821" xr:uid="{A7A5071C-A8CC-4438-A3FD-C9695FF6AE1F}"/>
    <cellStyle name="20% - Énfasis3 71 2 2" xfId="23079" xr:uid="{D17731F1-953C-4B46-8C80-27F5AEC2FD03}"/>
    <cellStyle name="20% - Énfasis3 71 3" xfId="21444" xr:uid="{4937FD90-E829-42D4-B5F7-51D3CB17D7B8}"/>
    <cellStyle name="20% - Énfasis3 71_1.2.b" xfId="15092" xr:uid="{EAF711E2-4631-427F-8C01-A8ECCD842FA3}"/>
    <cellStyle name="20% - Énfasis3 72" xfId="12767" xr:uid="{7797912D-AA5E-4D54-A45D-302A91356C0C}"/>
    <cellStyle name="20% - Énfasis3 72 2" xfId="16822" xr:uid="{4158356F-75CC-4A1A-A3EC-61DBE25C33BD}"/>
    <cellStyle name="20% - Énfasis3 72 2 2" xfId="23080" xr:uid="{EAE7A1B4-6EFD-47AE-90BC-2B7A7F47692A}"/>
    <cellStyle name="20% - Énfasis3 72 3" xfId="21445" xr:uid="{290D3906-DC26-4928-A539-E430AA5B15BF}"/>
    <cellStyle name="20% - Énfasis3 72_1.2.b" xfId="15093" xr:uid="{8E58ECF0-1369-4355-9E53-E3F8226D33B2}"/>
    <cellStyle name="20% - Énfasis3 73" xfId="12768" xr:uid="{85ACC6E5-52F3-4E6E-9602-5090E944979D}"/>
    <cellStyle name="20% - Énfasis3 73 2" xfId="16823" xr:uid="{DC354C11-F356-4B5A-88D1-8E844481D3EA}"/>
    <cellStyle name="20% - Énfasis3 73 2 2" xfId="23081" xr:uid="{A1963624-4466-46EC-8EE8-BBF85A13F0CA}"/>
    <cellStyle name="20% - Énfasis3 73 3" xfId="21446" xr:uid="{40B38905-FD9F-4391-BF5E-EBF8AF87ED6B}"/>
    <cellStyle name="20% - Énfasis3 73_1.2.b" xfId="15094" xr:uid="{5BAD1884-611E-41A3-A799-6635C4A420E8}"/>
    <cellStyle name="20% - Énfasis3 74" xfId="12769" xr:uid="{C7635B0F-1CE6-4B36-B2AB-6C2EC2A3B3A2}"/>
    <cellStyle name="20% - Énfasis3 74 2" xfId="16824" xr:uid="{8BF72C7D-7B9E-425D-B855-4E3B6E4996DC}"/>
    <cellStyle name="20% - Énfasis3 74 2 2" xfId="23082" xr:uid="{11292966-3948-4E8F-80F4-991F52CE7E0A}"/>
    <cellStyle name="20% - Énfasis3 74 3" xfId="21447" xr:uid="{E82F9273-6F43-4EB2-8635-2A6E69B918D8}"/>
    <cellStyle name="20% - Énfasis3 74_1.2.b" xfId="15095" xr:uid="{032D4D51-6BD3-4640-A9FC-7311DF823D7E}"/>
    <cellStyle name="20% - Énfasis3 75" xfId="12770" xr:uid="{5C17041E-9693-4035-A0EE-821A905F7E2F}"/>
    <cellStyle name="20% - Énfasis3 75 2" xfId="16825" xr:uid="{F8304F6E-86DF-4925-8B15-83E55C739B48}"/>
    <cellStyle name="20% - Énfasis3 75 2 2" xfId="23083" xr:uid="{B9F55E67-AD80-4953-9AF4-032EEBD0B7A4}"/>
    <cellStyle name="20% - Énfasis3 75 3" xfId="21448" xr:uid="{9977CBA2-8BB1-4CA7-BA00-D03A5FDE21F9}"/>
    <cellStyle name="20% - Énfasis3 75_1.2.b" xfId="15096" xr:uid="{F61081C6-3045-4C56-B0BB-021DB583D135}"/>
    <cellStyle name="20% - Énfasis3 76" xfId="12771" xr:uid="{F641C5E2-65CD-421C-BDCF-E22818B5606C}"/>
    <cellStyle name="20% - Énfasis3 76 2" xfId="16826" xr:uid="{B472C40E-8D11-4782-8FB4-401BCDCC3191}"/>
    <cellStyle name="20% - Énfasis3 76 2 2" xfId="23084" xr:uid="{51F30FA7-113F-4F93-8F80-285AFDF4417B}"/>
    <cellStyle name="20% - Énfasis3 76 3" xfId="21449" xr:uid="{A921DB1C-FA51-4BC3-BA9D-333FACF74647}"/>
    <cellStyle name="20% - Énfasis3 76_1.2.b" xfId="15097" xr:uid="{BB3ADC73-631F-4913-BF8F-56DC94684802}"/>
    <cellStyle name="20% - Énfasis3 77" xfId="12772" xr:uid="{AD9E62B9-EBE5-4B55-BB3E-62437F81A1CC}"/>
    <cellStyle name="20% - Énfasis3 77 2" xfId="16827" xr:uid="{CA3CB33B-611C-4EF0-A8B7-9088EA8EAB2F}"/>
    <cellStyle name="20% - Énfasis3 77 2 2" xfId="23085" xr:uid="{17A8690D-9442-4E02-922F-0A7A107E9D1E}"/>
    <cellStyle name="20% - Énfasis3 77 3" xfId="21450" xr:uid="{14E08A89-9E6F-49CF-84C4-4E4E161E5A39}"/>
    <cellStyle name="20% - Énfasis3 77_1.2.b" xfId="15098" xr:uid="{754CB6F8-F6E1-4909-8DE5-5917929D6649}"/>
    <cellStyle name="20% - Énfasis3 78" xfId="12773" xr:uid="{43AAC76D-E197-47B6-B14F-31EA14E390A2}"/>
    <cellStyle name="20% - Énfasis3 78 2" xfId="16828" xr:uid="{852BF0D4-7EF2-4044-91B3-B6BE7E34610A}"/>
    <cellStyle name="20% - Énfasis3 78 2 2" xfId="23086" xr:uid="{71A59116-3F73-44C8-96DD-3F67C9096BFA}"/>
    <cellStyle name="20% - Énfasis3 78 3" xfId="21451" xr:uid="{465067ED-4E15-4DD8-8A61-93EAB60B2604}"/>
    <cellStyle name="20% - Énfasis3 78_1.2.b" xfId="15099" xr:uid="{F291FBBD-248F-452C-AE94-AAE78DF5D055}"/>
    <cellStyle name="20% - Énfasis3 79" xfId="12774" xr:uid="{077B221E-E9D6-4FB1-BCE9-4108D302F0CB}"/>
    <cellStyle name="20% - Énfasis3 79 2" xfId="16829" xr:uid="{3E1B5F95-CA25-40D9-B4EA-95710373CA02}"/>
    <cellStyle name="20% - Énfasis3 79 2 2" xfId="23087" xr:uid="{0FDF2595-4221-41EF-95E2-1FD60859E887}"/>
    <cellStyle name="20% - Énfasis3 79 3" xfId="21452" xr:uid="{DA9766B7-F6B2-4820-BAC6-4EF7578BAD7F}"/>
    <cellStyle name="20% - Énfasis3 79_1.2.b" xfId="15100" xr:uid="{DFAAF94C-23A0-48F9-B1D6-509F9C46295C}"/>
    <cellStyle name="20% - Énfasis3 8" xfId="9850" xr:uid="{00000000-0005-0000-0000-000054000000}"/>
    <cellStyle name="20% - Énfasis3 8 2" xfId="11635" xr:uid="{00000000-0005-0000-0000-000055000000}"/>
    <cellStyle name="20% - Énfasis3 8 2 2" xfId="12776" xr:uid="{40E10EBD-1D1B-4781-B0E0-00C6B2CC4239}"/>
    <cellStyle name="20% - Énfasis3 8 2 2 2" xfId="21454" xr:uid="{0EA2CB32-0AEB-4A3D-BD64-0997EED68EC5}"/>
    <cellStyle name="20% - Énfasis3 8 2 3" xfId="16831" xr:uid="{59387178-0CA3-47F1-8524-CE211749A5EF}"/>
    <cellStyle name="20% - Énfasis3 8 2 3 2" xfId="23089" xr:uid="{E0F0DFB0-E23E-45B4-BDF8-729EFD150479}"/>
    <cellStyle name="20% - Énfasis3 8 2 4" xfId="20402" xr:uid="{9A6343DE-EC0C-4682-83FE-00D63E60EAFE}"/>
    <cellStyle name="20% - Énfasis3 8 2_1.2.b" xfId="15102" xr:uid="{8779C48A-0CDF-48C7-9DAC-3C7610424C00}"/>
    <cellStyle name="20% - Énfasis3 8 3" xfId="12775" xr:uid="{1E719CA9-A18F-4FFF-B2C4-7A33E3B3E2DA}"/>
    <cellStyle name="20% - Énfasis3 8 3 2" xfId="21453" xr:uid="{6109A54D-ACDF-4F01-A2FD-B7A5F976BE18}"/>
    <cellStyle name="20% - Énfasis3 8 4" xfId="16830" xr:uid="{2E8A2609-75C4-4689-B9F0-BC2F21C861F9}"/>
    <cellStyle name="20% - Énfasis3 8 4 2" xfId="23088" xr:uid="{52FFD3C1-DE2C-427B-8095-73DDA587B368}"/>
    <cellStyle name="20% - Énfasis3 8 5" xfId="19034" xr:uid="{6B45BD2F-497C-48D0-AA4A-569DD54248F2}"/>
    <cellStyle name="20% - Énfasis3 8_1.2.b" xfId="15101" xr:uid="{2F121C22-A627-45FE-A629-ACAD333D9A62}"/>
    <cellStyle name="20% - Énfasis3 80" xfId="12777" xr:uid="{FA583A4E-DD6F-4F09-8584-E62A877E8219}"/>
    <cellStyle name="20% - Énfasis3 80 2" xfId="16832" xr:uid="{7993D28B-FE15-409D-BF45-CD237EA5CADA}"/>
    <cellStyle name="20% - Énfasis3 80 2 2" xfId="23090" xr:uid="{FD5377C2-A32D-4888-8504-2A72A9BCD831}"/>
    <cellStyle name="20% - Énfasis3 80 3" xfId="21455" xr:uid="{D0EB1E08-651A-4066-AFB5-4FC3989543D9}"/>
    <cellStyle name="20% - Énfasis3 80_1.2.b" xfId="15103" xr:uid="{AD089682-640E-4486-9F00-3BBDEC063526}"/>
    <cellStyle name="20% - Énfasis3 81" xfId="12778" xr:uid="{A803F970-E889-40C0-BC1C-546EE6671739}"/>
    <cellStyle name="20% - Énfasis3 81 2" xfId="16833" xr:uid="{2243A950-AB5A-42ED-AF95-8DD41AAE57AB}"/>
    <cellStyle name="20% - Énfasis3 81 2 2" xfId="23091" xr:uid="{04B998E5-A1EC-4BD1-BCDB-59FCE8B05AFF}"/>
    <cellStyle name="20% - Énfasis3 81 3" xfId="21456" xr:uid="{70D2B8DE-02A2-485D-A585-2927DBE232B6}"/>
    <cellStyle name="20% - Énfasis3 81_1.2.b" xfId="15104" xr:uid="{526697A6-C675-452C-ADCB-115905349F1C}"/>
    <cellStyle name="20% - Énfasis3 82" xfId="12779" xr:uid="{6B96397D-8118-4F4A-839B-8DA0A323D55E}"/>
    <cellStyle name="20% - Énfasis3 82 2" xfId="16834" xr:uid="{67C28BC2-6D99-4C2D-9B7B-EB754A2854F1}"/>
    <cellStyle name="20% - Énfasis3 82 2 2" xfId="23092" xr:uid="{827493A2-11B7-42D6-B647-CCA19B8E8F5C}"/>
    <cellStyle name="20% - Énfasis3 82 3" xfId="21457" xr:uid="{8637B6E5-1EC0-4279-8422-6E72871E120F}"/>
    <cellStyle name="20% - Énfasis3 82_1.2.b" xfId="15105" xr:uid="{03907952-634F-4014-AA5D-A5AEF65731A4}"/>
    <cellStyle name="20% - Énfasis3 83" xfId="12780" xr:uid="{0FD9D724-06E7-44DF-B429-6B577B92089D}"/>
    <cellStyle name="20% - Énfasis3 83 2" xfId="16835" xr:uid="{06D97BE2-1DF2-45BC-B771-CFAF3F2EA51E}"/>
    <cellStyle name="20% - Énfasis3 83 2 2" xfId="23093" xr:uid="{2E953D1B-7D8B-49F2-98EF-F6843D8E6A8D}"/>
    <cellStyle name="20% - Énfasis3 83 3" xfId="21458" xr:uid="{309D94A0-1B53-4854-AB57-81C12E621C72}"/>
    <cellStyle name="20% - Énfasis3 83_1.2.b" xfId="15106" xr:uid="{889C7104-7686-454A-962E-EB01EC1CEBE2}"/>
    <cellStyle name="20% - Énfasis3 84" xfId="12781" xr:uid="{89163AAC-8D47-48E4-B885-BB7ABC207423}"/>
    <cellStyle name="20% - Énfasis3 84 2" xfId="16836" xr:uid="{107FCCBE-B116-4A0C-926D-EA0B8A63C629}"/>
    <cellStyle name="20% - Énfasis3 84 2 2" xfId="23094" xr:uid="{6478EE66-4DCB-4E4E-B939-7F68513E60BC}"/>
    <cellStyle name="20% - Énfasis3 84 3" xfId="21459" xr:uid="{BCD6742E-6755-4946-988F-742F505BB3C8}"/>
    <cellStyle name="20% - Énfasis3 84_1.2.b" xfId="15107" xr:uid="{6C0AEC27-7936-4009-8465-D39EF9C6BED6}"/>
    <cellStyle name="20% - Énfasis3 85" xfId="12782" xr:uid="{852797CA-43CF-42D0-B341-46F6FB219DEA}"/>
    <cellStyle name="20% - Énfasis3 85 2" xfId="16837" xr:uid="{5727C55F-6765-495E-8EA7-78B799044AE3}"/>
    <cellStyle name="20% - Énfasis3 85 2 2" xfId="23095" xr:uid="{B365B5A7-FF8C-446C-8F7A-6401935C5F5F}"/>
    <cellStyle name="20% - Énfasis3 85 3" xfId="21460" xr:uid="{7EDC841C-CD3B-4983-A441-B3FC9F5FC9AF}"/>
    <cellStyle name="20% - Énfasis3 85_1.2.b" xfId="15108" xr:uid="{AF3BFC85-A0D0-42C0-AB87-7BF82579F38A}"/>
    <cellStyle name="20% - Énfasis3 86" xfId="12783" xr:uid="{5DF51BC0-2DF2-43EA-BA5B-63FF7554E1C7}"/>
    <cellStyle name="20% - Énfasis3 86 2" xfId="16838" xr:uid="{9C7D2E38-2307-4FAB-BD17-F339124ABEB4}"/>
    <cellStyle name="20% - Énfasis3 86 2 2" xfId="23096" xr:uid="{FD2F0860-6816-4672-B955-2AD478A734E5}"/>
    <cellStyle name="20% - Énfasis3 86 3" xfId="21461" xr:uid="{8B4A7CA3-C175-4129-9095-4B4F4BBF9803}"/>
    <cellStyle name="20% - Énfasis3 86_1.2.b" xfId="15109" xr:uid="{CC7EB73F-16F9-4E1E-8A85-7E23BF72C14E}"/>
    <cellStyle name="20% - Énfasis3 87" xfId="12784" xr:uid="{E1FE0774-56B0-465B-905E-5D85615E604F}"/>
    <cellStyle name="20% - Énfasis3 87 2" xfId="16839" xr:uid="{B0E40F1B-952F-4A39-8868-D744E31B3170}"/>
    <cellStyle name="20% - Énfasis3 87 2 2" xfId="23097" xr:uid="{8DC62443-6FA5-4D7C-AD54-2ECDB16B8A51}"/>
    <cellStyle name="20% - Énfasis3 87 3" xfId="21462" xr:uid="{D20F5FAB-83F2-4043-BD8F-E236D5333385}"/>
    <cellStyle name="20% - Énfasis3 87_1.2.b" xfId="15110" xr:uid="{E99702C6-5D20-4737-ABD5-2B31790CA225}"/>
    <cellStyle name="20% - Énfasis3 88" xfId="12785" xr:uid="{D619980E-D574-44B9-B170-45BD4CC980C5}"/>
    <cellStyle name="20% - Énfasis3 88 2" xfId="16840" xr:uid="{B5D3F5A6-59E2-449D-A998-7C58534E0869}"/>
    <cellStyle name="20% - Énfasis3 88 2 2" xfId="23098" xr:uid="{E86A1839-8BAD-45DD-95AB-B1BB3BB94A89}"/>
    <cellStyle name="20% - Énfasis3 88 3" xfId="21463" xr:uid="{6AA83D19-4974-43C3-B978-342691071741}"/>
    <cellStyle name="20% - Énfasis3 88_1.2.b" xfId="15111" xr:uid="{B6570454-6AA0-4204-93E0-0726E9552440}"/>
    <cellStyle name="20% - Énfasis3 89" xfId="12786" xr:uid="{9AD04499-126D-49F4-B473-C54524DD2712}"/>
    <cellStyle name="20% - Énfasis3 89 2" xfId="16841" xr:uid="{4EA15FCD-3249-4AED-9893-ADA5FB03A818}"/>
    <cellStyle name="20% - Énfasis3 89 2 2" xfId="23099" xr:uid="{0F2E7696-826E-4AA3-9A5D-A01CF2BCA325}"/>
    <cellStyle name="20% - Énfasis3 89 3" xfId="21464" xr:uid="{3E77C708-1FC0-4A31-97E1-AE959475075B}"/>
    <cellStyle name="20% - Énfasis3 89_1.2.b" xfId="15112" xr:uid="{42E21436-5013-45EB-8FC7-F2EA1F77D15E}"/>
    <cellStyle name="20% - Énfasis3 9" xfId="9867" xr:uid="{00000000-0005-0000-0000-000056000000}"/>
    <cellStyle name="20% - Énfasis3 9 2" xfId="12788" xr:uid="{4B23B3E1-E7CD-4E9D-8FEC-07E61E206E67}"/>
    <cellStyle name="20% - Énfasis3 9 2 2" xfId="16843" xr:uid="{DF57CCD7-8C2E-4BE9-BF8B-61C9D5FC6C3E}"/>
    <cellStyle name="20% - Énfasis3 9 2 2 2" xfId="23101" xr:uid="{D2312DA5-42EF-456C-9B24-0E9647C049F5}"/>
    <cellStyle name="20% - Énfasis3 9 2 3" xfId="21466" xr:uid="{72D4C57E-CC39-48A7-BE4E-BC0957E5B0EB}"/>
    <cellStyle name="20% - Énfasis3 9 2_1.2.b" xfId="15114" xr:uid="{F95AC4D0-98A9-4054-AB1A-BBAF1F2F666F}"/>
    <cellStyle name="20% - Énfasis3 9 3" xfId="12787" xr:uid="{ABE0FCBD-49B8-4AE7-BFAC-0BE328829B1A}"/>
    <cellStyle name="20% - Énfasis3 9 3 2" xfId="21465" xr:uid="{089C56DE-A5AD-450C-A40F-E6645A920B19}"/>
    <cellStyle name="20% - Énfasis3 9 4" xfId="16842" xr:uid="{6D3ABC9C-A24A-41B6-A343-D01056BE3EE9}"/>
    <cellStyle name="20% - Énfasis3 9 4 2" xfId="23100" xr:uid="{0C24591C-C5CF-4ED4-962C-11FE53A24FC8}"/>
    <cellStyle name="20% - Énfasis3 9_1.2.b" xfId="15113" xr:uid="{B4FF2BB2-192A-4455-A356-9D8FEE53E744}"/>
    <cellStyle name="20% - Énfasis3 90" xfId="12789" xr:uid="{EC8B5717-F552-4A68-8FA6-3FBB57E13F6B}"/>
    <cellStyle name="20% - Énfasis3 90 2" xfId="16844" xr:uid="{D57F2507-FEF7-465D-8396-5E5F88CEFA47}"/>
    <cellStyle name="20% - Énfasis3 90 2 2" xfId="23102" xr:uid="{A342C8EC-5BF3-4518-828F-4ED76F823F16}"/>
    <cellStyle name="20% - Énfasis3 90 3" xfId="21467" xr:uid="{220CC8DC-23DD-421F-BF84-45E90CBEBC53}"/>
    <cellStyle name="20% - Énfasis3 90_1.2.b" xfId="15115" xr:uid="{C0666C1A-9F42-4938-8676-D0E3033764F0}"/>
    <cellStyle name="20% - Énfasis3 91" xfId="12790" xr:uid="{5B7B78EC-FE87-40A0-9B4C-FCED958D2DE3}"/>
    <cellStyle name="20% - Énfasis3 91 2" xfId="16845" xr:uid="{19171FD4-E094-42E1-BF6A-BBDCD5410BE3}"/>
    <cellStyle name="20% - Énfasis3 91 2 2" xfId="23103" xr:uid="{F806BD38-72C4-4A56-A1AA-4C892A007295}"/>
    <cellStyle name="20% - Énfasis3 91 3" xfId="21468" xr:uid="{4D182FE4-8BD3-48F6-BF66-C22672A86ECB}"/>
    <cellStyle name="20% - Énfasis3 91_1.2.b" xfId="15116" xr:uid="{674EEAFE-4538-4CD2-9E33-32B29D1786C0}"/>
    <cellStyle name="20% - Énfasis3 92" xfId="12791" xr:uid="{3434ECDC-20FC-4201-9472-0201831D1316}"/>
    <cellStyle name="20% - Énfasis3 92 2" xfId="16846" xr:uid="{14AFD005-092E-4130-AC37-5BE8A05A85F2}"/>
    <cellStyle name="20% - Énfasis3 92 2 2" xfId="23104" xr:uid="{B8956E7B-A03D-4782-BC93-32606E0064DB}"/>
    <cellStyle name="20% - Énfasis3 92 3" xfId="21469" xr:uid="{8F750675-B747-47B6-BE39-212C5FB9089F}"/>
    <cellStyle name="20% - Énfasis3 92_1.2.b" xfId="15117" xr:uid="{2D8FAA31-7009-4A3C-A390-8A473E311133}"/>
    <cellStyle name="20% - Énfasis3 93" xfId="12792" xr:uid="{2B590595-CFC0-441A-B79A-CA7B55F0151E}"/>
    <cellStyle name="20% - Énfasis3 93 2" xfId="16847" xr:uid="{D46ABF48-293C-461A-874B-B042DAFB72F9}"/>
    <cellStyle name="20% - Énfasis3 93 2 2" xfId="23105" xr:uid="{87C8C32D-5024-4C4A-9CB7-F897484607D1}"/>
    <cellStyle name="20% - Énfasis3 93 3" xfId="21470" xr:uid="{E4682141-7790-48E4-BEC8-2109E278EFEF}"/>
    <cellStyle name="20% - Énfasis3 93_1.2.b" xfId="15118" xr:uid="{8FA55DF7-5BF4-49D2-9817-BCBDD9383884}"/>
    <cellStyle name="20% - Énfasis3 94" xfId="12793" xr:uid="{05F98985-982B-43A8-98DC-AA0135DE8A23}"/>
    <cellStyle name="20% - Énfasis3 94 2" xfId="16848" xr:uid="{4B74CA7E-A9B8-453E-9B2D-968AD253DFE4}"/>
    <cellStyle name="20% - Énfasis3 94 2 2" xfId="23106" xr:uid="{9CB91F3F-DF7E-42DE-98D8-7589D8A94EB2}"/>
    <cellStyle name="20% - Énfasis3 94 3" xfId="21471" xr:uid="{8C40580B-B571-49D0-BF44-03ED2A7DE2FA}"/>
    <cellStyle name="20% - Énfasis3 94_1.2.b" xfId="15119" xr:uid="{FEB07D20-0AFB-44FF-837D-03FEA878568C}"/>
    <cellStyle name="20% - Énfasis3 95" xfId="12794" xr:uid="{DD706B6A-EABA-4DBC-8F01-54B36E9543A4}"/>
    <cellStyle name="20% - Énfasis3 95 2" xfId="16849" xr:uid="{3BF1F89C-5B4E-4D5F-9D92-21F9A1E82DE6}"/>
    <cellStyle name="20% - Énfasis3 95 2 2" xfId="23107" xr:uid="{AE93A750-59CD-4B0F-8385-416E396EECFC}"/>
    <cellStyle name="20% - Énfasis3 95 3" xfId="21472" xr:uid="{4340C7DA-65A1-4261-97E9-E319DDE156DA}"/>
    <cellStyle name="20% - Énfasis3 95_1.2.b" xfId="15120" xr:uid="{EB453EF7-CF83-4152-8978-022B4D25925A}"/>
    <cellStyle name="20% - Énfasis4 10" xfId="9922" xr:uid="{00000000-0005-0000-0000-000058000000}"/>
    <cellStyle name="20% - Énfasis4 10 2" xfId="11659" xr:uid="{00000000-0005-0000-0000-000059000000}"/>
    <cellStyle name="20% - Énfasis4 10 2 2" xfId="20425" xr:uid="{2D4B2AE6-9257-4BFB-BC28-95E1774E9E37}"/>
    <cellStyle name="20% - Énfasis4 10 3" xfId="12795" xr:uid="{CA5417D6-874A-41BD-8565-19B4E8D13F2C}"/>
    <cellStyle name="20% - Énfasis4 10 4" xfId="19062" xr:uid="{E1FC7C1C-4604-4DB2-97FB-4C8F32901675}"/>
    <cellStyle name="20% - Énfasis4 10_1.2.b" xfId="15121" xr:uid="{B99426C6-248C-4145-9DF4-69B12E8097E2}"/>
    <cellStyle name="20% - Énfasis4 11" xfId="10524" xr:uid="{00000000-0005-0000-0000-00005A000000}"/>
    <cellStyle name="20% - Énfasis4 11 2" xfId="12259" xr:uid="{00000000-0005-0000-0000-00005B000000}"/>
    <cellStyle name="20% - Énfasis4 11 2 2" xfId="21008" xr:uid="{C4CF05D6-A85F-494D-A8DE-784BC5A11CED}"/>
    <cellStyle name="20% - Énfasis4 11 3" xfId="12796" xr:uid="{8F0D7569-B8D7-465F-B25C-AD3823349A4A}"/>
    <cellStyle name="20% - Énfasis4 11 3 2" xfId="21473" xr:uid="{112A9102-623A-4046-B66D-DD86419596F6}"/>
    <cellStyle name="20% - Énfasis4 11 4" xfId="16850" xr:uid="{DEE6F87E-F62A-4CA7-9505-26F9562269CB}"/>
    <cellStyle name="20% - Énfasis4 11 4 2" xfId="23108" xr:uid="{884C2896-FB29-4966-99CF-CA75E989ABAC}"/>
    <cellStyle name="20% - Énfasis4 11 5" xfId="19645" xr:uid="{7033B182-2C12-4521-AA7F-BB4ECBF677AB}"/>
    <cellStyle name="20% - Énfasis4 11_1.2.b" xfId="15122" xr:uid="{E11789C7-7CE3-49DA-8006-DB886F0D2067}"/>
    <cellStyle name="20% - Énfasis4 12" xfId="10537" xr:uid="{00000000-0005-0000-0000-00005C000000}"/>
    <cellStyle name="20% - Énfasis4 12 2" xfId="12272" xr:uid="{00000000-0005-0000-0000-00005D000000}"/>
    <cellStyle name="20% - Énfasis4 12 2 2" xfId="21021" xr:uid="{37AE1915-F75B-405F-A941-2F82C329E8E8}"/>
    <cellStyle name="20% - Énfasis4 12 3" xfId="12797" xr:uid="{8A82DBB8-5DD8-4397-881D-719A75893CC8}"/>
    <cellStyle name="20% - Énfasis4 12 3 2" xfId="21474" xr:uid="{5CFFDBAF-BF55-471D-BE56-46437D473E3B}"/>
    <cellStyle name="20% - Énfasis4 12 4" xfId="16851" xr:uid="{11B067A9-640F-42D8-9EA1-816A10ACDD1E}"/>
    <cellStyle name="20% - Énfasis4 12 4 2" xfId="23109" xr:uid="{4ED69E0F-7514-4DCB-99AA-9C98C2819A0A}"/>
    <cellStyle name="20% - Énfasis4 12 5" xfId="19658" xr:uid="{E49F7233-C2C5-4318-AA7F-1916A5C4E93D}"/>
    <cellStyle name="20% - Énfasis4 12_1.2.b" xfId="15123" xr:uid="{0ED91C5B-2791-4149-9BB3-73867102FD33}"/>
    <cellStyle name="20% - Énfasis4 13" xfId="10584" xr:uid="{00000000-0005-0000-0000-00005E000000}"/>
    <cellStyle name="20% - Énfasis4 13 2" xfId="12317" xr:uid="{00000000-0005-0000-0000-00005F000000}"/>
    <cellStyle name="20% - Énfasis4 13 2 2" xfId="21063" xr:uid="{BDBFA52A-8474-4E12-A75F-F736C1ED8D57}"/>
    <cellStyle name="20% - Énfasis4 13 3" xfId="12798" xr:uid="{5E83385A-8CB2-4790-B004-3B2ACB7799E5}"/>
    <cellStyle name="20% - Énfasis4 13 3 2" xfId="21475" xr:uid="{AACF0C84-6473-453A-845A-FD52D4D1AA7E}"/>
    <cellStyle name="20% - Énfasis4 13 4" xfId="16852" xr:uid="{32DFE3B8-C24C-4DB7-B85A-BDD70EB39C1F}"/>
    <cellStyle name="20% - Énfasis4 13 4 2" xfId="23110" xr:uid="{C6C6E52D-85DE-461F-9C64-8797EE2917F3}"/>
    <cellStyle name="20% - Énfasis4 13 5" xfId="19700" xr:uid="{4D3DCCD4-5B70-4C18-B68C-28EBD34DDF2F}"/>
    <cellStyle name="20% - Énfasis4 13_1.2.b" xfId="15124" xr:uid="{1E701EE8-26DA-4E89-996A-C92CE47A81AF}"/>
    <cellStyle name="20% - Énfasis4 14" xfId="10604" xr:uid="{00000000-0005-0000-0000-000060000000}"/>
    <cellStyle name="20% - Énfasis4 14 2" xfId="12333" xr:uid="{00000000-0005-0000-0000-000061000000}"/>
    <cellStyle name="20% - Énfasis4 14 2 2" xfId="21079" xr:uid="{156161DD-24AA-4284-859E-B3606E564816}"/>
    <cellStyle name="20% - Énfasis4 14 3" xfId="12799" xr:uid="{349AE5AA-4F0E-4099-AB39-71402E5C2119}"/>
    <cellStyle name="20% - Énfasis4 14 3 2" xfId="21476" xr:uid="{DCEB4B38-0945-478C-9DF5-7CE9D203BD08}"/>
    <cellStyle name="20% - Énfasis4 14 4" xfId="16853" xr:uid="{FD388E5B-2E51-430A-8B55-3DCF813DFAAF}"/>
    <cellStyle name="20% - Énfasis4 14 4 2" xfId="23111" xr:uid="{D269BB4B-5A31-41C5-BC5F-92C42BCD3E32}"/>
    <cellStyle name="20% - Énfasis4 14 5" xfId="19716" xr:uid="{3DD8AF7C-6161-4967-BBA6-17EF915BCACB}"/>
    <cellStyle name="20% - Énfasis4 14_1.2.b" xfId="15125" xr:uid="{41BBDDE4-8863-4BB4-AA90-6306D4E6BC6D}"/>
    <cellStyle name="20% - Énfasis4 15" xfId="10625" xr:uid="{00000000-0005-0000-0000-000062000000}"/>
    <cellStyle name="20% - Énfasis4 15 2" xfId="12800" xr:uid="{1FC09AC1-F184-4E4C-9A11-1BF623C5BFEF}"/>
    <cellStyle name="20% - Énfasis4 15 2 2" xfId="21477" xr:uid="{D85BF84C-08DF-4E5E-9D22-0BD94EA84448}"/>
    <cellStyle name="20% - Énfasis4 15 3" xfId="16854" xr:uid="{C90A3BC8-7167-4DB9-8C1A-5A195A757F67}"/>
    <cellStyle name="20% - Énfasis4 15 3 2" xfId="23112" xr:uid="{B04E4087-D9F5-4255-B336-DE9E89348998}"/>
    <cellStyle name="20% - Énfasis4 15 4" xfId="19733" xr:uid="{D818AFC4-07D2-488B-9A4A-3D7E309487E6}"/>
    <cellStyle name="20% - Énfasis4 15_1.2.b" xfId="15126" xr:uid="{7739A908-7C1A-4742-A7CE-0E5708957961}"/>
    <cellStyle name="20% - Énfasis4 16" xfId="12366" xr:uid="{00000000-0005-0000-0000-000063000000}"/>
    <cellStyle name="20% - Énfasis4 16 2" xfId="12801" xr:uid="{E5CD4638-08AB-4598-B4FE-7D4C496BEF2F}"/>
    <cellStyle name="20% - Énfasis4 16 2 2" xfId="21478" xr:uid="{62B60F02-98DE-4BBA-B271-53EECCE60450}"/>
    <cellStyle name="20% - Énfasis4 16 3" xfId="16855" xr:uid="{D0B3D50C-5499-4C0A-AFF7-6883B2C7E7B5}"/>
    <cellStyle name="20% - Énfasis4 16 3 2" xfId="23113" xr:uid="{845A1185-B99A-47CE-9008-FA8B6BE1593D}"/>
    <cellStyle name="20% - Énfasis4 16 4" xfId="21109" xr:uid="{97156BB2-E10B-49A9-B9AA-74574DEEA907}"/>
    <cellStyle name="20% - Énfasis4 16_1.2.b" xfId="15127" xr:uid="{B80C6A16-C4E2-4E5D-A17E-26A13E62D6A3}"/>
    <cellStyle name="20% - Énfasis4 17" xfId="12381" xr:uid="{00000000-0005-0000-0000-000064000000}"/>
    <cellStyle name="20% - Énfasis4 17 2" xfId="12802" xr:uid="{E971EA27-38AF-4BB5-A9B5-28F3763F20C1}"/>
    <cellStyle name="20% - Énfasis4 17 2 2" xfId="21479" xr:uid="{161F3CBE-7975-48B0-B94C-6FE2CDDB9E47}"/>
    <cellStyle name="20% - Énfasis4 17 3" xfId="16856" xr:uid="{CD220579-ED63-41F0-9F20-0FA725AEF45B}"/>
    <cellStyle name="20% - Énfasis4 17 3 2" xfId="23114" xr:uid="{72743540-09BE-4F80-8DEF-CE382989A2CE}"/>
    <cellStyle name="20% - Énfasis4 17 4" xfId="21124" xr:uid="{263AE513-08A6-47D2-BEBD-AF479D35C22D}"/>
    <cellStyle name="20% - Énfasis4 17_1.2.b" xfId="15128" xr:uid="{ACF800B7-1623-4653-9753-BA9F6E246E9A}"/>
    <cellStyle name="20% - Énfasis4 18" xfId="12803" xr:uid="{85E00AE7-251C-48DD-89C6-0551B84F0753}"/>
    <cellStyle name="20% - Énfasis4 18 2" xfId="16857" xr:uid="{0C6C291A-2845-4311-BFBF-C134E89610E1}"/>
    <cellStyle name="20% - Énfasis4 18 2 2" xfId="23115" xr:uid="{785C11DC-27A7-44F9-9D7A-22F86FE1776B}"/>
    <cellStyle name="20% - Énfasis4 18 3" xfId="21480" xr:uid="{47C8ACD9-6FB1-4678-ABA1-2772E37A48B8}"/>
    <cellStyle name="20% - Énfasis4 18_1.2.b" xfId="15129" xr:uid="{717F1906-08B2-4551-818F-6424D5040591}"/>
    <cellStyle name="20% - Énfasis4 19" xfId="12804" xr:uid="{B1EA05D0-E57C-4EBE-8A3B-C90F37A3BFC1}"/>
    <cellStyle name="20% - Énfasis4 19 2" xfId="16858" xr:uid="{2FAB9EEA-DA50-4B1B-BE62-5446F0EA7574}"/>
    <cellStyle name="20% - Énfasis4 19 2 2" xfId="23116" xr:uid="{0AE7E8A8-EA66-4F7B-9676-0C577B870023}"/>
    <cellStyle name="20% - Énfasis4 19 3" xfId="21481" xr:uid="{6B2BD6DB-FCBD-4CFD-8752-FA8F599FAF6C}"/>
    <cellStyle name="20% - Énfasis4 19_1.2.b" xfId="15130" xr:uid="{167C9376-B392-45BF-810A-4485D026AB2F}"/>
    <cellStyle name="20% - Énfasis4 2" xfId="152" xr:uid="{00000000-0005-0000-0000-000065000000}"/>
    <cellStyle name="20% - Énfasis4 2 10" xfId="12806" xr:uid="{DCDBA9BD-0E56-4271-AEF5-263CC58B0B19}"/>
    <cellStyle name="20% - Énfasis4 2 10 2" xfId="16860" xr:uid="{82F41BCD-612C-4C17-AD7C-2210652747F3}"/>
    <cellStyle name="20% - Énfasis4 2 10 2 2" xfId="23117" xr:uid="{7F6B5E15-1394-4119-B9AD-3C5C347945FB}"/>
    <cellStyle name="20% - Énfasis4 2 10 3" xfId="21482" xr:uid="{AD6BB6E5-9DAA-4AFE-AA78-328FB3A8F57C}"/>
    <cellStyle name="20% - Énfasis4 2 10_1.2.b" xfId="15132" xr:uid="{1D3D9E7D-4AC8-4624-91F4-B725BECBB43A}"/>
    <cellStyle name="20% - Énfasis4 2 11" xfId="12805" xr:uid="{8C67D396-56C2-47BF-B772-110A0949CF1A}"/>
    <cellStyle name="20% - Énfasis4 2 12" xfId="16859" xr:uid="{FAC7F2CD-521C-475F-94EF-B312937A32AE}"/>
    <cellStyle name="20% - Énfasis4 2 13" xfId="17808" xr:uid="{D8103030-DD18-4466-89DA-5113B0487A2F}"/>
    <cellStyle name="20% - Énfasis4 2 14" xfId="18247" xr:uid="{17302D90-A0A4-414D-9391-D8E63BE1CA5C}"/>
    <cellStyle name="20% - Énfasis4 2 15" xfId="17807" xr:uid="{5EFF758E-4EC1-451A-8C99-48A23F5C5F08}"/>
    <cellStyle name="20% - Énfasis4 2 16" xfId="18246" xr:uid="{B5F6A0CF-633D-4C29-AC7F-1995722A56FB}"/>
    <cellStyle name="20% - Énfasis4 2 17" xfId="18396" xr:uid="{8CDF6B9D-C936-4975-8486-BC551780A7CF}"/>
    <cellStyle name="20% - Énfasis4 2 2" xfId="10672" xr:uid="{00000000-0005-0000-0000-000066000000}"/>
    <cellStyle name="20% - Énfasis4 2 2 2" xfId="12808" xr:uid="{FDFB4381-AEA6-476F-9A38-0152460B7739}"/>
    <cellStyle name="20% - Énfasis4 2 2 3" xfId="12809" xr:uid="{34F934B3-8F72-4FBB-8387-332E5E325D0A}"/>
    <cellStyle name="20% - Énfasis4 2 2 4" xfId="12810" xr:uid="{67B06D95-0489-40DA-8BE9-E024F472F829}"/>
    <cellStyle name="20% - Énfasis4 2 2 5" xfId="12811" xr:uid="{26749181-0970-4972-8AEA-7EF2A8F23317}"/>
    <cellStyle name="20% - Énfasis4 2 2 6" xfId="12807" xr:uid="{93265233-BF9E-469D-9F70-BCA8ECDA8239}"/>
    <cellStyle name="20% - Énfasis4 2 2 6 2" xfId="21483" xr:uid="{7D7BD072-93D0-454A-AB7A-5F46B950B0AB}"/>
    <cellStyle name="20% - Énfasis4 2 2 7" xfId="16861" xr:uid="{E600272D-744B-49F2-90FB-7DEBA3F4F617}"/>
    <cellStyle name="20% - Énfasis4 2 2 7 2" xfId="23118" xr:uid="{2F6F60E4-A087-4A18-A8C1-05A85ECBA3B8}"/>
    <cellStyle name="20% - Énfasis4 2 2 8" xfId="19764" xr:uid="{F8B3B681-50A3-44D5-8E97-B986903A9622}"/>
    <cellStyle name="20% - Énfasis4 2 2_1.2.b" xfId="15133" xr:uid="{A18BBAD7-A158-4C8A-B6BE-874BE0E3E07C}"/>
    <cellStyle name="20% - Énfasis4 2 3" xfId="12812" xr:uid="{F62DEF29-7745-445A-A1BB-01AEDEB211CA}"/>
    <cellStyle name="20% - Énfasis4 2 4" xfId="12813" xr:uid="{1A24EEA0-5854-4E91-A5F7-BA9F8CC27EF2}"/>
    <cellStyle name="20% - Énfasis4 2 5" xfId="12814" xr:uid="{6157B84B-F6A3-46E8-BBDB-2EB596F1761A}"/>
    <cellStyle name="20% - Énfasis4 2 6" xfId="12815" xr:uid="{FC3F4E5D-5C51-405C-B578-C80C862D6228}"/>
    <cellStyle name="20% - Énfasis4 2 7" xfId="12816" xr:uid="{EB102234-C2DE-4635-A519-470F0B396207}"/>
    <cellStyle name="20% - Énfasis4 2 8" xfId="12817" xr:uid="{1D9972CA-2882-4C6A-9643-CFD42DF87E89}"/>
    <cellStyle name="20% - Énfasis4 2 9" xfId="12818" xr:uid="{09D99F4A-4AF6-42B1-BE01-3C91C4DE751C}"/>
    <cellStyle name="20% - Énfasis4 2 9 2" xfId="16862" xr:uid="{F2CD9A9D-F73C-4AF3-8D80-09965894622B}"/>
    <cellStyle name="20% - Énfasis4 2 9 2 2" xfId="23119" xr:uid="{52A94090-3B68-493C-A69F-B5C10BDAA07C}"/>
    <cellStyle name="20% - Énfasis4 2 9 3" xfId="21484" xr:uid="{FE7DDC01-C080-4076-8CFC-01D447BE26F6}"/>
    <cellStyle name="20% - Énfasis4 2 9_1.2.b" xfId="15134" xr:uid="{00043F7B-FDFB-4CCD-AB13-FDB30FFEDA9F}"/>
    <cellStyle name="20% - Énfasis4 2_1.2.b" xfId="15131" xr:uid="{156B7EC0-6D0C-473F-8FDC-5D2D80038316}"/>
    <cellStyle name="20% - Énfasis4 20" xfId="12819" xr:uid="{E7D662A0-6669-4D4F-9051-73E44C903BE5}"/>
    <cellStyle name="20% - Énfasis4 20 2" xfId="16863" xr:uid="{5D00671C-16C9-49C0-B32B-2AACBC6070DB}"/>
    <cellStyle name="20% - Énfasis4 20 2 2" xfId="23120" xr:uid="{03B7304B-9800-4555-AE25-04FE421EED66}"/>
    <cellStyle name="20% - Énfasis4 20 3" xfId="21485" xr:uid="{95DE0274-1F83-4B69-9BC9-499CD0DF8906}"/>
    <cellStyle name="20% - Énfasis4 20_1.2.b" xfId="15135" xr:uid="{5CB4A6E1-5B23-4D87-A543-4761C3C48335}"/>
    <cellStyle name="20% - Énfasis4 21" xfId="12820" xr:uid="{D3B4AB34-FEF8-4608-98E9-DC42AF88ED26}"/>
    <cellStyle name="20% - Énfasis4 21 2" xfId="16864" xr:uid="{83FB5530-0F3E-4702-A8D1-FF590EA14506}"/>
    <cellStyle name="20% - Énfasis4 21 2 2" xfId="23121" xr:uid="{09781957-E38A-494C-AF85-51B2743C972E}"/>
    <cellStyle name="20% - Énfasis4 21 3" xfId="21486" xr:uid="{9D0C517C-B42D-4CA7-93C9-142B91ED11D3}"/>
    <cellStyle name="20% - Énfasis4 21_1.2.b" xfId="15136" xr:uid="{08C8DA55-7343-479B-B1E7-66E6B0FCAE45}"/>
    <cellStyle name="20% - Énfasis4 22" xfId="12821" xr:uid="{90F0AD8B-572E-4DE5-B6FD-465B903DBA64}"/>
    <cellStyle name="20% - Énfasis4 22 2" xfId="16865" xr:uid="{07B085A8-F9EB-4FF8-B19B-E0EEC9B068B5}"/>
    <cellStyle name="20% - Énfasis4 22 2 2" xfId="23122" xr:uid="{67AA7CAA-2C14-4607-9CB0-11C3D501435D}"/>
    <cellStyle name="20% - Énfasis4 22 3" xfId="21487" xr:uid="{EDE9F007-A092-4C1C-BC66-450D1B2C1EF6}"/>
    <cellStyle name="20% - Énfasis4 22_1.2.b" xfId="15137" xr:uid="{8F4E4937-F2F3-42F5-9788-902CFB83D84D}"/>
    <cellStyle name="20% - Énfasis4 23" xfId="12822" xr:uid="{51151983-5006-4D7E-9061-A14342AB3126}"/>
    <cellStyle name="20% - Énfasis4 23 2" xfId="16866" xr:uid="{AB6C97E5-C50E-4B0A-A9AE-BD95F342F2C0}"/>
    <cellStyle name="20% - Énfasis4 23 2 2" xfId="23123" xr:uid="{7255BB99-DCB5-4491-A8B9-D683096128BD}"/>
    <cellStyle name="20% - Énfasis4 23 3" xfId="21488" xr:uid="{4A5767CE-8F48-4769-9535-757658B05D6D}"/>
    <cellStyle name="20% - Énfasis4 23_1.2.b" xfId="15138" xr:uid="{F993463F-89C8-4EAA-BE09-17DB7C97EDFC}"/>
    <cellStyle name="20% - Énfasis4 24" xfId="12823" xr:uid="{B9310297-F225-45EE-BE6E-3C2D861F0464}"/>
    <cellStyle name="20% - Énfasis4 24 2" xfId="16867" xr:uid="{E589BAC4-0D59-4595-B68C-925008DEE23F}"/>
    <cellStyle name="20% - Énfasis4 24 2 2" xfId="23124" xr:uid="{8FC4DF77-312C-4059-BAD5-F813F819348F}"/>
    <cellStyle name="20% - Énfasis4 24 3" xfId="21489" xr:uid="{44B492E4-A949-44FB-AB2A-EA459801633A}"/>
    <cellStyle name="20% - Énfasis4 24_1.2.b" xfId="15139" xr:uid="{18AD408C-8DF2-426F-9DF1-5B13E9166AC7}"/>
    <cellStyle name="20% - Énfasis4 25" xfId="12824" xr:uid="{F02F71A8-2FE9-4703-9D02-590641C26712}"/>
    <cellStyle name="20% - Énfasis4 25 2" xfId="16868" xr:uid="{2C19BCB1-5C4A-49DB-B4CA-2024095371F0}"/>
    <cellStyle name="20% - Énfasis4 25 2 2" xfId="23125" xr:uid="{B7FB4120-539D-41EF-9E94-40D196302687}"/>
    <cellStyle name="20% - Énfasis4 25 3" xfId="21490" xr:uid="{4C6D5A4F-87BD-4496-86BA-5173B775A209}"/>
    <cellStyle name="20% - Énfasis4 25_1.2.b" xfId="15140" xr:uid="{761010BD-2A56-44AA-BE2A-736C9A58A06B}"/>
    <cellStyle name="20% - Énfasis4 26" xfId="12825" xr:uid="{988BCD1B-D77B-4E04-8ED8-4C83487A2E81}"/>
    <cellStyle name="20% - Énfasis4 26 2" xfId="16869" xr:uid="{1DC99BC6-678C-4ACF-9D3B-1679C6EF41EA}"/>
    <cellStyle name="20% - Énfasis4 26 2 2" xfId="23126" xr:uid="{A03B7C8F-661E-419C-ABFD-AFFC2890F1E4}"/>
    <cellStyle name="20% - Énfasis4 26 3" xfId="21491" xr:uid="{D65F3F9C-5B13-48B7-A877-1B3E1762E921}"/>
    <cellStyle name="20% - Énfasis4 26_1.2.b" xfId="15141" xr:uid="{B3628A7D-8BEB-4749-B127-890C1EE4A516}"/>
    <cellStyle name="20% - Énfasis4 27" xfId="12826" xr:uid="{1036C433-2255-4285-8C96-B7EE1443E36A}"/>
    <cellStyle name="20% - Énfasis4 27 2" xfId="16870" xr:uid="{10DC0723-38BC-4BD3-829D-8B1973C61725}"/>
    <cellStyle name="20% - Énfasis4 27 2 2" xfId="23127" xr:uid="{113E2472-72EB-41CE-911B-91F41412902A}"/>
    <cellStyle name="20% - Énfasis4 27 3" xfId="21492" xr:uid="{CBD9776F-55B6-4928-8529-AD2DDAEB66E6}"/>
    <cellStyle name="20% - Énfasis4 27_1.2.b" xfId="15142" xr:uid="{984184C8-3CA4-43B7-AF21-6A394F1E5627}"/>
    <cellStyle name="20% - Énfasis4 28" xfId="12827" xr:uid="{80EC5622-E969-4ABB-995F-060B249E506C}"/>
    <cellStyle name="20% - Énfasis4 28 2" xfId="16871" xr:uid="{327634A8-E540-402B-BBB7-2343BC1985C5}"/>
    <cellStyle name="20% - Énfasis4 28 2 2" xfId="23128" xr:uid="{5D69C75E-B24F-45C0-8A3E-2EDF688F99A8}"/>
    <cellStyle name="20% - Énfasis4 28 3" xfId="21493" xr:uid="{5F65B153-D873-411B-9A62-3582C0B0E42C}"/>
    <cellStyle name="20% - Énfasis4 28_1.2.b" xfId="15143" xr:uid="{26E6082A-BCF9-40FE-8AAA-D53B170E622E}"/>
    <cellStyle name="20% - Énfasis4 29" xfId="12828" xr:uid="{AD909AD4-3E9C-4106-81E6-8CF511688B47}"/>
    <cellStyle name="20% - Énfasis4 29 2" xfId="16872" xr:uid="{5ED564D4-F807-4483-8114-75EB1E3BA91D}"/>
    <cellStyle name="20% - Énfasis4 29 2 2" xfId="23129" xr:uid="{C52DE6AB-783B-4DBC-A834-1BB62D67910B}"/>
    <cellStyle name="20% - Énfasis4 29 3" xfId="21494" xr:uid="{94F6ACD5-1977-4166-B2E8-694814516038}"/>
    <cellStyle name="20% - Énfasis4 29_1.2.b" xfId="15144" xr:uid="{2E04759E-F7D3-4456-8CEC-C9BF8231F033}"/>
    <cellStyle name="20% - Énfasis4 3" xfId="166" xr:uid="{00000000-0005-0000-0000-000067000000}"/>
    <cellStyle name="20% - Énfasis4 3 10" xfId="18410" xr:uid="{40BF7504-DD03-4F5F-88EF-20FAC3A7B87A}"/>
    <cellStyle name="20% - Énfasis4 3 2" xfId="10686" xr:uid="{00000000-0005-0000-0000-000068000000}"/>
    <cellStyle name="20% - Énfasis4 3 2 2" xfId="12830" xr:uid="{8335EEF0-E3FF-499E-A923-AB3B6BB0BD28}"/>
    <cellStyle name="20% - Énfasis4 3 2 2 2" xfId="21496" xr:uid="{D99A4E67-29CB-4BDB-9684-4F4C4FE0F941}"/>
    <cellStyle name="20% - Énfasis4 3 2 3" xfId="16874" xr:uid="{BAE70FB9-8898-4B94-A862-386CEAED971F}"/>
    <cellStyle name="20% - Énfasis4 3 2 3 2" xfId="23131" xr:uid="{0DF49D2B-7F7B-496A-B859-5E822D2BA8EE}"/>
    <cellStyle name="20% - Énfasis4 3 2 4" xfId="19778" xr:uid="{9951D3A1-E42F-4329-B262-C0A089B13683}"/>
    <cellStyle name="20% - Énfasis4 3 2_1.2.b" xfId="15146" xr:uid="{DA0293E1-33C0-41AD-80C5-9987A1E56FE3}"/>
    <cellStyle name="20% - Énfasis4 3 3" xfId="12831" xr:uid="{32C6D9F8-2413-4871-A110-B3104FFC5AE6}"/>
    <cellStyle name="20% - Énfasis4 3 4" xfId="12832" xr:uid="{7A415420-4B85-4A7D-B56C-977D146EFEA0}"/>
    <cellStyle name="20% - Énfasis4 3 5" xfId="12833" xr:uid="{74895CF8-308B-4326-9280-7EA2D0F8BD31}"/>
    <cellStyle name="20% - Énfasis4 3 5 2" xfId="16875" xr:uid="{058A48C3-E96E-4A5A-A33C-FECA4356D7A0}"/>
    <cellStyle name="20% - Énfasis4 3 5 2 2" xfId="23132" xr:uid="{6A7DB334-16E3-47DD-8370-790B1E2D339E}"/>
    <cellStyle name="20% - Énfasis4 3 5 3" xfId="21497" xr:uid="{01A6AD16-1D8F-4D8D-88BA-F81470722A17}"/>
    <cellStyle name="20% - Énfasis4 3 5_1.2.b" xfId="15147" xr:uid="{16C31A8F-A61B-46F4-802E-E33A26650AA5}"/>
    <cellStyle name="20% - Énfasis4 3 6" xfId="12834" xr:uid="{BF0F5D81-E0EE-47A2-B9EA-A4472A205F00}"/>
    <cellStyle name="20% - Énfasis4 3 6 2" xfId="16876" xr:uid="{12801C80-E5DD-4602-B46E-FB4AFB1F5225}"/>
    <cellStyle name="20% - Énfasis4 3 6 2 2" xfId="23133" xr:uid="{AF8B8CC2-4650-4A99-AA01-D305681D8FA2}"/>
    <cellStyle name="20% - Énfasis4 3 6 3" xfId="21498" xr:uid="{F1F3EE06-5525-4B90-904C-36468D87F363}"/>
    <cellStyle name="20% - Énfasis4 3 6_1.2.b" xfId="15148" xr:uid="{D299542A-EB5D-44D7-A410-00C079B411E4}"/>
    <cellStyle name="20% - Énfasis4 3 7" xfId="12835" xr:uid="{010DF47B-AAB5-4DF5-846B-6654B799B5F2}"/>
    <cellStyle name="20% - Énfasis4 3 7 2" xfId="16877" xr:uid="{52C93688-F456-4BB0-ADFD-546DC07A524A}"/>
    <cellStyle name="20% - Énfasis4 3 7 2 2" xfId="23134" xr:uid="{5D65493A-3AAD-4D62-9A9A-1ECE8234C4D3}"/>
    <cellStyle name="20% - Énfasis4 3 7 3" xfId="21499" xr:uid="{A359DE0D-47A9-4DF3-A587-0362D61075AF}"/>
    <cellStyle name="20% - Énfasis4 3 7_1.2.b" xfId="15149" xr:uid="{8AB258D4-ED6E-4964-970D-096A6676A6B5}"/>
    <cellStyle name="20% - Énfasis4 3 8" xfId="12829" xr:uid="{F32F33B2-DA28-475D-8C6F-5FA523D91527}"/>
    <cellStyle name="20% - Énfasis4 3 8 2" xfId="21495" xr:uid="{B7C86742-371E-4D18-94FB-ACA9939FC64F}"/>
    <cellStyle name="20% - Énfasis4 3 9" xfId="16873" xr:uid="{143FE072-3F39-4D5C-A6CB-BA279516E38E}"/>
    <cellStyle name="20% - Énfasis4 3 9 2" xfId="23130" xr:uid="{41301550-D87C-417F-AD1A-D209CC3B409C}"/>
    <cellStyle name="20% - Énfasis4 3_1.2.b" xfId="15145" xr:uid="{2E9D09DF-B8D0-49E0-B40F-44B29225211B}"/>
    <cellStyle name="20% - Énfasis4 30" xfId="12836" xr:uid="{FD55156D-6833-4845-9CC3-9B33A17AE856}"/>
    <cellStyle name="20% - Énfasis4 30 2" xfId="16878" xr:uid="{BC03AD0F-ABAA-44DC-A083-08D448ACDC72}"/>
    <cellStyle name="20% - Énfasis4 30 2 2" xfId="23135" xr:uid="{49F10609-94B2-4138-9372-A55BE8165A78}"/>
    <cellStyle name="20% - Énfasis4 30 3" xfId="21500" xr:uid="{5DAA67D6-4578-41E6-975F-DF4EB0DE049A}"/>
    <cellStyle name="20% - Énfasis4 30_1.2.b" xfId="15150" xr:uid="{ADF94BF8-2FC9-450F-8B9A-AB892FEBADF7}"/>
    <cellStyle name="20% - Énfasis4 31" xfId="12837" xr:uid="{449583C1-061C-493C-AB6A-E04E981517B7}"/>
    <cellStyle name="20% - Énfasis4 31 2" xfId="16879" xr:uid="{06B1DE05-23F5-4A9A-9ED9-DD247E96D372}"/>
    <cellStyle name="20% - Énfasis4 31 2 2" xfId="23136" xr:uid="{7E36C45E-0C45-46FA-AE0B-8058CF9CE946}"/>
    <cellStyle name="20% - Énfasis4 31 3" xfId="21501" xr:uid="{CA64167A-C745-4E9E-80BF-16FD22279C58}"/>
    <cellStyle name="20% - Énfasis4 31_1.2.b" xfId="15151" xr:uid="{C8F89D7A-F06E-4D96-9A40-FE3A74DCE244}"/>
    <cellStyle name="20% - Énfasis4 32" xfId="12838" xr:uid="{88C89530-7E86-4AB9-A8F2-B31885DAE06E}"/>
    <cellStyle name="20% - Énfasis4 32 2" xfId="16880" xr:uid="{DDC50F64-5124-4766-B6E7-A1BEA15EA39D}"/>
    <cellStyle name="20% - Énfasis4 32 2 2" xfId="23137" xr:uid="{F1E4BD01-79CC-401D-A7E9-C9436F8CFBB3}"/>
    <cellStyle name="20% - Énfasis4 32 3" xfId="21502" xr:uid="{71FD65D1-0BFA-4B61-A806-163DAA78D489}"/>
    <cellStyle name="20% - Énfasis4 32_1.2.b" xfId="15152" xr:uid="{60FD07EC-5BD5-4ADB-91C1-415E68018CF3}"/>
    <cellStyle name="20% - Énfasis4 33" xfId="12839" xr:uid="{81B15965-18C4-4D17-9407-474EC133F549}"/>
    <cellStyle name="20% - Énfasis4 33 2" xfId="16881" xr:uid="{0179447F-90B1-4489-9646-719EB6105DD2}"/>
    <cellStyle name="20% - Énfasis4 33 2 2" xfId="23138" xr:uid="{F1981A7C-A073-4345-B05D-0E71350176BA}"/>
    <cellStyle name="20% - Énfasis4 33 3" xfId="21503" xr:uid="{27D19A9A-FE95-4B97-9600-00A7391D0693}"/>
    <cellStyle name="20% - Énfasis4 33_1.2.b" xfId="15153" xr:uid="{3FFF4389-1E83-4DB5-9FBA-598FF77CF213}"/>
    <cellStyle name="20% - Énfasis4 34" xfId="12840" xr:uid="{A39E73B7-66A0-4724-8767-5F31525BA831}"/>
    <cellStyle name="20% - Énfasis4 34 2" xfId="16882" xr:uid="{40604FC6-85F6-42A1-B476-8DB71E5A7088}"/>
    <cellStyle name="20% - Énfasis4 34 2 2" xfId="23139" xr:uid="{74368FB1-2050-4EA8-AA59-5B6F90CD5F21}"/>
    <cellStyle name="20% - Énfasis4 34 3" xfId="21504" xr:uid="{873664BB-1C21-4269-A78D-8D317D6CB62D}"/>
    <cellStyle name="20% - Énfasis4 34_1.2.b" xfId="15154" xr:uid="{8676E632-F4D3-4C80-825D-6D78841A4CE8}"/>
    <cellStyle name="20% - Énfasis4 35" xfId="12841" xr:uid="{07C58A6A-BF47-4287-B4D1-B70D882A7165}"/>
    <cellStyle name="20% - Énfasis4 35 2" xfId="16883" xr:uid="{1273379F-AF70-46B2-8143-15227EED365F}"/>
    <cellStyle name="20% - Énfasis4 35 2 2" xfId="23140" xr:uid="{E7D9C015-9DC0-4DE4-8462-E06EE90AD943}"/>
    <cellStyle name="20% - Énfasis4 35 3" xfId="21505" xr:uid="{45CCCFD4-50AB-446D-B1CD-CE3EB757D0D8}"/>
    <cellStyle name="20% - Énfasis4 35_1.2.b" xfId="15155" xr:uid="{4F6C5F5F-2054-4423-8AA3-73764C2F4C0B}"/>
    <cellStyle name="20% - Énfasis4 36" xfId="12842" xr:uid="{41CD1FB0-14E1-47A2-9EEA-B28E4D3E34CB}"/>
    <cellStyle name="20% - Énfasis4 36 2" xfId="16884" xr:uid="{5A989B46-0623-4625-957A-48E8416E9502}"/>
    <cellStyle name="20% - Énfasis4 36 2 2" xfId="23141" xr:uid="{BE0F4B29-58BE-4BCF-B7C6-54C5830AF6DE}"/>
    <cellStyle name="20% - Énfasis4 36 3" xfId="21506" xr:uid="{E9362CCB-F20B-4884-BCB9-C66D8DE5F596}"/>
    <cellStyle name="20% - Énfasis4 36_1.2.b" xfId="15156" xr:uid="{939FAAF9-591F-403E-9923-4BE21CC206D7}"/>
    <cellStyle name="20% - Énfasis4 37" xfId="12843" xr:uid="{E947030C-A60A-4F68-A275-0E25B286DD0B}"/>
    <cellStyle name="20% - Énfasis4 37 2" xfId="16885" xr:uid="{02151566-0BAE-4FEF-88F3-DB667919A8FB}"/>
    <cellStyle name="20% - Énfasis4 37 2 2" xfId="23142" xr:uid="{6760DCAA-043C-4625-B3D8-D49A712F7F71}"/>
    <cellStyle name="20% - Énfasis4 37 3" xfId="21507" xr:uid="{281801FB-DA3C-4263-8060-E01D45BD7C04}"/>
    <cellStyle name="20% - Énfasis4 37_1.2.b" xfId="15157" xr:uid="{EBC5C271-DFCA-41BC-AEFC-6EA3F4B4A966}"/>
    <cellStyle name="20% - Énfasis4 38" xfId="12844" xr:uid="{E015B8E1-6808-4B88-889C-CA7705E47805}"/>
    <cellStyle name="20% - Énfasis4 38 2" xfId="16886" xr:uid="{AED7436F-E02B-4F96-8D9D-D89F9B47DB7D}"/>
    <cellStyle name="20% - Énfasis4 38 2 2" xfId="23143" xr:uid="{8D723364-7204-4D01-8CAD-532B078C4340}"/>
    <cellStyle name="20% - Énfasis4 38 3" xfId="21508" xr:uid="{A5983D3B-3841-4767-8B3E-39CB82ABCE83}"/>
    <cellStyle name="20% - Énfasis4 38_1.2.b" xfId="15158" xr:uid="{35619C35-D6E0-4692-B889-D10DCB72227D}"/>
    <cellStyle name="20% - Énfasis4 39" xfId="12845" xr:uid="{83738E68-7025-4AA0-A344-064DFF7CFB67}"/>
    <cellStyle name="20% - Énfasis4 39 2" xfId="16887" xr:uid="{9C764E5F-654A-433F-9073-EC8462FD83B5}"/>
    <cellStyle name="20% - Énfasis4 39 2 2" xfId="23144" xr:uid="{B51B6AC3-6D8B-40E7-8E63-2632948EF041}"/>
    <cellStyle name="20% - Énfasis4 39 3" xfId="21509" xr:uid="{95746D95-486E-428D-9F31-547ADB9AE525}"/>
    <cellStyle name="20% - Énfasis4 39_1.2.b" xfId="15159" xr:uid="{AA16135A-6405-4086-9141-66431A6EA88E}"/>
    <cellStyle name="20% - Énfasis4 4" xfId="180" xr:uid="{00000000-0005-0000-0000-000069000000}"/>
    <cellStyle name="20% - Énfasis4 4 2" xfId="10700" xr:uid="{00000000-0005-0000-0000-00006A000000}"/>
    <cellStyle name="20% - Énfasis4 4 2 2" xfId="12848" xr:uid="{8ECBCB03-9A64-47E7-AB9F-AB9E5BA327A2}"/>
    <cellStyle name="20% - Énfasis4 4 2 2 2" xfId="16890" xr:uid="{58ECD701-5386-4682-865B-9D455CDBC2C8}"/>
    <cellStyle name="20% - Énfasis4 4 2 2 2 2" xfId="23146" xr:uid="{D0638DD3-360C-4E77-B8F0-8AFDA4C68EFC}"/>
    <cellStyle name="20% - Énfasis4 4 2 2 3" xfId="21511" xr:uid="{5A2B6877-3143-49FB-9276-D86B4267712C}"/>
    <cellStyle name="20% - Énfasis4 4 2 2_1.2.b" xfId="15162" xr:uid="{67E1DEED-7AF6-426D-B70A-5F621F02EA74}"/>
    <cellStyle name="20% - Énfasis4 4 2 3" xfId="12847" xr:uid="{086F8D1E-AB94-452A-BC54-DFB964066360}"/>
    <cellStyle name="20% - Énfasis4 4 2 4" xfId="16889" xr:uid="{EE049622-5481-45A7-8F2B-3A7CCADE8414}"/>
    <cellStyle name="20% - Énfasis4 4 2 5" xfId="17806" xr:uid="{AE7F81B1-7420-4344-A06F-C66F80E09F89}"/>
    <cellStyle name="20% - Énfasis4 4 2 6" xfId="18243" xr:uid="{696C1726-0BE8-485F-9380-966DE06745B9}"/>
    <cellStyle name="20% - Énfasis4 4 2 7" xfId="18284" xr:uid="{D31E7CD6-BF51-4855-BA7E-5B716D7DFF63}"/>
    <cellStyle name="20% - Énfasis4 4 2 8" xfId="18242" xr:uid="{112E0A4E-41F5-4ABC-872B-D588955CFBF2}"/>
    <cellStyle name="20% - Énfasis4 4 2 9" xfId="19792" xr:uid="{BB9C5386-C9FF-4537-89B9-B7E1BFDF1FA8}"/>
    <cellStyle name="20% - Énfasis4 4 2_1.2.b" xfId="15161" xr:uid="{A8F1B6D8-8C25-4372-87C3-DD3F47FBF2C9}"/>
    <cellStyle name="20% - Énfasis4 4 3" xfId="12849" xr:uid="{CBEB8185-A1A9-426E-ABC3-02885392EF8D}"/>
    <cellStyle name="20% - Énfasis4 4 3 2" xfId="16891" xr:uid="{CB468BCA-937C-4008-A224-5FFBBC80CAEE}"/>
    <cellStyle name="20% - Énfasis4 4 3 2 2" xfId="23147" xr:uid="{DAA872D7-599A-4862-BEC6-E19029A635B2}"/>
    <cellStyle name="20% - Énfasis4 4 3 3" xfId="21512" xr:uid="{56A6C058-D800-46EE-85D0-A22B63ED44C1}"/>
    <cellStyle name="20% - Énfasis4 4 3_1.2.b" xfId="15163" xr:uid="{E4E76770-E558-4A6B-800E-7714DE7551E6}"/>
    <cellStyle name="20% - Énfasis4 4 4" xfId="12850" xr:uid="{6C39A182-3A4B-45F8-8A2E-4208D968A8A0}"/>
    <cellStyle name="20% - Énfasis4 4 4 2" xfId="16892" xr:uid="{B7E3B9DF-0A77-4456-A7A7-A16402CB1050}"/>
    <cellStyle name="20% - Énfasis4 4 4 2 2" xfId="23148" xr:uid="{515983D3-FBC0-42E4-A94F-30B26C55C1A6}"/>
    <cellStyle name="20% - Énfasis4 4 4 3" xfId="21513" xr:uid="{2B70F89A-D768-4684-9927-CB651AF40B7C}"/>
    <cellStyle name="20% - Énfasis4 4 4_1.2.b" xfId="15164" xr:uid="{EFE7E960-47E6-445D-8BC8-DEA740C47E03}"/>
    <cellStyle name="20% - Énfasis4 4 5" xfId="12851" xr:uid="{BC5E9A1A-3500-412C-866F-EE698B09307D}"/>
    <cellStyle name="20% - Énfasis4 4 5 2" xfId="16893" xr:uid="{1E9C785E-D234-4AF6-BA4A-68B6EF4BB2BA}"/>
    <cellStyle name="20% - Énfasis4 4 5 2 2" xfId="23149" xr:uid="{EA76128A-8452-42DC-AE33-C7E666A7979F}"/>
    <cellStyle name="20% - Énfasis4 4 5 3" xfId="21514" xr:uid="{A52999D2-E934-40C4-95E6-E5C48E007D0A}"/>
    <cellStyle name="20% - Énfasis4 4 5_1.2.b" xfId="15165" xr:uid="{80890DFF-28DD-41F5-84D6-BB014CAB8335}"/>
    <cellStyle name="20% - Énfasis4 4 6" xfId="12852" xr:uid="{6DC81AAC-9F15-4413-BF3C-567CB5DC0F6F}"/>
    <cellStyle name="20% - Énfasis4 4 6 2" xfId="16894" xr:uid="{89D77409-65BF-46C8-AC44-76BEFF86874E}"/>
    <cellStyle name="20% - Énfasis4 4 6 2 2" xfId="23150" xr:uid="{95EEF376-67DC-4BA6-9F7D-5D2955A2F2A7}"/>
    <cellStyle name="20% - Énfasis4 4 6 3" xfId="21515" xr:uid="{70A05C9F-FF19-45C4-BC0A-45BA4A11596C}"/>
    <cellStyle name="20% - Énfasis4 4 6_1.2.b" xfId="15166" xr:uid="{4CC07F69-46A1-4D42-80AD-C925F8EF59C8}"/>
    <cellStyle name="20% - Énfasis4 4 7" xfId="12846" xr:uid="{A6F7C6CB-72AD-41BF-8016-69E6FC3B3B26}"/>
    <cellStyle name="20% - Énfasis4 4 7 2" xfId="21510" xr:uid="{E7CA4163-4CFB-4C10-A5C1-2BB5B7BF0345}"/>
    <cellStyle name="20% - Énfasis4 4 8" xfId="16888" xr:uid="{6FE50684-2539-46A4-8F9C-A183432A2FF8}"/>
    <cellStyle name="20% - Énfasis4 4 8 2" xfId="23145" xr:uid="{23328896-6166-41AF-AD96-3BAA013B8DF8}"/>
    <cellStyle name="20% - Énfasis4 4 9" xfId="18424" xr:uid="{CDFF9ED5-1B72-435C-90F8-9C076E1A80BA}"/>
    <cellStyle name="20% - Énfasis4 4_1.2.b" xfId="15160" xr:uid="{88D47218-CFD5-4159-9783-804222625CF9}"/>
    <cellStyle name="20% - Énfasis4 40" xfId="12853" xr:uid="{438ACF59-CA65-4950-A738-2F2C58692D84}"/>
    <cellStyle name="20% - Énfasis4 40 2" xfId="16895" xr:uid="{0771FFB9-0239-4137-9D55-021833D9BEEE}"/>
    <cellStyle name="20% - Énfasis4 40 2 2" xfId="23151" xr:uid="{B532B1E1-310F-46DD-9034-F0E8591A5B5F}"/>
    <cellStyle name="20% - Énfasis4 40 3" xfId="21516" xr:uid="{3BAD6DB8-4C65-4AFE-8CD2-8DC1C0E24CDF}"/>
    <cellStyle name="20% - Énfasis4 40_1.2.b" xfId="15167" xr:uid="{FE068934-9188-43F7-B6CA-3E5E56975240}"/>
    <cellStyle name="20% - Énfasis4 41" xfId="12854" xr:uid="{3C7E734D-7A82-4A72-815B-E9F0B4AC8E9D}"/>
    <cellStyle name="20% - Énfasis4 41 2" xfId="16896" xr:uid="{C720232F-C6A7-483E-ADBA-2B82AB543049}"/>
    <cellStyle name="20% - Énfasis4 41 2 2" xfId="23152" xr:uid="{AAB5A082-2429-4AC6-9A9B-2AF224605FCB}"/>
    <cellStyle name="20% - Énfasis4 41 3" xfId="21517" xr:uid="{AFE6BDBF-5BE8-4623-8CFB-CF783DB695BF}"/>
    <cellStyle name="20% - Énfasis4 41_1.2.b" xfId="15168" xr:uid="{26C86C09-50AC-4AF0-8AC0-7C35BA9A96CF}"/>
    <cellStyle name="20% - Énfasis4 42" xfId="12855" xr:uid="{070BFF65-2FEA-4C9D-9888-5CDE13A5A1D4}"/>
    <cellStyle name="20% - Énfasis4 42 2" xfId="16897" xr:uid="{7B1AD244-428D-4BE6-B58F-9C5D066AD66F}"/>
    <cellStyle name="20% - Énfasis4 42 2 2" xfId="23153" xr:uid="{8C496FC0-6BAF-4C11-B5EC-E0751295D2B5}"/>
    <cellStyle name="20% - Énfasis4 42 3" xfId="21518" xr:uid="{D7C367AA-AC45-4214-8AD0-654870C84994}"/>
    <cellStyle name="20% - Énfasis4 42_1.2.b" xfId="15169" xr:uid="{250AA576-B348-44A4-92FD-25528D091E06}"/>
    <cellStyle name="20% - Énfasis4 43" xfId="12856" xr:uid="{8AC9B810-4181-4C0E-BB15-1B9E0112809C}"/>
    <cellStyle name="20% - Énfasis4 43 2" xfId="16898" xr:uid="{9CF02E30-8B50-43D9-8CA5-FA8307CB09E6}"/>
    <cellStyle name="20% - Énfasis4 43 2 2" xfId="23154" xr:uid="{33E855B0-C7F3-4A10-B9A0-374EAE52CC0B}"/>
    <cellStyle name="20% - Énfasis4 43 3" xfId="21519" xr:uid="{3566914A-4B80-4623-BA20-3556F99A00C5}"/>
    <cellStyle name="20% - Énfasis4 43_1.2.b" xfId="15170" xr:uid="{7A1C3F03-1850-43B1-B894-E5F07997BC8B}"/>
    <cellStyle name="20% - Énfasis4 44" xfId="12857" xr:uid="{9295C51E-B7C6-42D1-92F7-2830A419D223}"/>
    <cellStyle name="20% - Énfasis4 44 2" xfId="16899" xr:uid="{6C1E107E-8414-4719-91FA-8D70FFD4611C}"/>
    <cellStyle name="20% - Énfasis4 44 2 2" xfId="23155" xr:uid="{D93E22C3-8819-4ED2-B3AB-2E926F655EFB}"/>
    <cellStyle name="20% - Énfasis4 44 3" xfId="21520" xr:uid="{F46EAAF4-BB37-4E47-9FD8-AE6FAD6E4F6D}"/>
    <cellStyle name="20% - Énfasis4 44_1.2.b" xfId="15171" xr:uid="{B0DD7030-B59B-4742-8DEF-D2113BDB8E9D}"/>
    <cellStyle name="20% - Énfasis4 45" xfId="12858" xr:uid="{C03CD2EE-93EA-4DFB-88DB-02C10F30795B}"/>
    <cellStyle name="20% - Énfasis4 45 2" xfId="16900" xr:uid="{EF4E23C3-F595-4E7E-9B58-B34D5605B158}"/>
    <cellStyle name="20% - Énfasis4 45 2 2" xfId="23156" xr:uid="{3ACA057C-B0A0-46E6-9AAA-FA7D04C82F06}"/>
    <cellStyle name="20% - Énfasis4 45 3" xfId="21521" xr:uid="{16F258CD-E19E-4509-B4E3-0D712595A446}"/>
    <cellStyle name="20% - Énfasis4 45_1.2.b" xfId="15172" xr:uid="{5AFEA4CE-EFA6-4DCA-8A28-F428CC3C7567}"/>
    <cellStyle name="20% - Énfasis4 46" xfId="12859" xr:uid="{C9C175A3-170E-4DC9-B2E3-E3EA211B6864}"/>
    <cellStyle name="20% - Énfasis4 46 2" xfId="16901" xr:uid="{534BD500-4290-49F1-B1CB-3A458B957F40}"/>
    <cellStyle name="20% - Énfasis4 46 2 2" xfId="23157" xr:uid="{E98F9306-1121-4573-B6BA-3254FD70F5F4}"/>
    <cellStyle name="20% - Énfasis4 46 3" xfId="21522" xr:uid="{3E661A8C-91A9-432D-841D-A8F94BE0BD2F}"/>
    <cellStyle name="20% - Énfasis4 46_1.2.b" xfId="15173" xr:uid="{7923A350-C9F2-4792-95F4-6AAAB2A03F60}"/>
    <cellStyle name="20% - Énfasis4 47" xfId="12860" xr:uid="{42E15400-C646-417E-A32A-5F4F65884203}"/>
    <cellStyle name="20% - Énfasis4 47 2" xfId="16902" xr:uid="{4F663116-B936-4178-8395-A71E5A104F8F}"/>
    <cellStyle name="20% - Énfasis4 47 2 2" xfId="23158" xr:uid="{29BE22DE-742C-40F0-83D3-477BC905CF1B}"/>
    <cellStyle name="20% - Énfasis4 47 3" xfId="21523" xr:uid="{1772E61E-A310-4E94-A68F-D06F0B4EEEA2}"/>
    <cellStyle name="20% - Énfasis4 47_1.2.b" xfId="15174" xr:uid="{CB4617FC-F096-4D4E-86F6-DB5D018AEC16}"/>
    <cellStyle name="20% - Énfasis4 48" xfId="12861" xr:uid="{159940FF-6D7C-4BC7-8A4B-8D430438C0F0}"/>
    <cellStyle name="20% - Énfasis4 48 2" xfId="16903" xr:uid="{DD164F0F-85CD-4BBC-A7EF-756F1FE84D2D}"/>
    <cellStyle name="20% - Énfasis4 48 2 2" xfId="23159" xr:uid="{F4762034-4191-4BFC-9F09-C503B32D0CE4}"/>
    <cellStyle name="20% - Énfasis4 48 3" xfId="21524" xr:uid="{7C2076C6-16B9-4A44-8185-E4AB82D91B35}"/>
    <cellStyle name="20% - Énfasis4 48_1.2.b" xfId="15175" xr:uid="{2082E349-56A7-4296-893E-3B384CD50CB8}"/>
    <cellStyle name="20% - Énfasis4 49" xfId="12862" xr:uid="{257CD702-D16E-4B1E-A66D-6141FF429E1A}"/>
    <cellStyle name="20% - Énfasis4 49 2" xfId="16904" xr:uid="{AC47399A-2873-4070-AD9D-E9E4E775C566}"/>
    <cellStyle name="20% - Énfasis4 49 2 2" xfId="23160" xr:uid="{74766815-C74C-4D37-92F1-67E43C6ABBEA}"/>
    <cellStyle name="20% - Énfasis4 49 3" xfId="21525" xr:uid="{943149AC-ED91-4493-95D3-D89DB721D51A}"/>
    <cellStyle name="20% - Énfasis4 49_1.2.b" xfId="15176" xr:uid="{0AA1BB40-92CF-4DE2-85E6-78D8D424C267}"/>
    <cellStyle name="20% - Énfasis4 5" xfId="195" xr:uid="{00000000-0005-0000-0000-00006B000000}"/>
    <cellStyle name="20% - Énfasis4 5 2" xfId="10715" xr:uid="{00000000-0005-0000-0000-00006C000000}"/>
    <cellStyle name="20% - Énfasis4 5 2 2" xfId="12864" xr:uid="{08D522E5-E5B9-4F1E-88DA-CD71FD8F0366}"/>
    <cellStyle name="20% - Énfasis4 5 2 2 2" xfId="21527" xr:uid="{20FB8EC9-915F-4EE5-BF5B-B274594BB510}"/>
    <cellStyle name="20% - Énfasis4 5 2 3" xfId="16906" xr:uid="{5B9E01A9-DBD3-488C-99BB-6B89A3B796A9}"/>
    <cellStyle name="20% - Énfasis4 5 2 3 2" xfId="23162" xr:uid="{92E5A13D-9C01-4112-BD58-4FD5554D0585}"/>
    <cellStyle name="20% - Énfasis4 5 2 4" xfId="19807" xr:uid="{10EAF054-2DD0-414A-8B32-05DD6A4C9450}"/>
    <cellStyle name="20% - Énfasis4 5 2_1.2.b" xfId="15178" xr:uid="{CCAE7B8E-AFA3-4DFC-9379-39D0DB06D5F4}"/>
    <cellStyle name="20% - Énfasis4 5 3" xfId="12865" xr:uid="{5457B1DF-E1F3-4405-A6DE-A2AB290B2844}"/>
    <cellStyle name="20% - Énfasis4 5 3 2" xfId="16907" xr:uid="{B328600F-4120-4B56-B8B3-C212092FB482}"/>
    <cellStyle name="20% - Énfasis4 5 3 2 2" xfId="23163" xr:uid="{42A1BBD3-2A63-4CC1-857B-98D512177FF2}"/>
    <cellStyle name="20% - Énfasis4 5 3 3" xfId="21528" xr:uid="{64D1F3FB-B256-4870-82DE-CCC02C4170B6}"/>
    <cellStyle name="20% - Énfasis4 5 3_1.2.b" xfId="15179" xr:uid="{DAE57875-2D7D-47A5-8BE0-588B57439C9F}"/>
    <cellStyle name="20% - Énfasis4 5 4" xfId="12863" xr:uid="{C164C544-AB1C-4C62-AA5A-4D21EFF200A2}"/>
    <cellStyle name="20% - Énfasis4 5 4 2" xfId="21526" xr:uid="{00D68E26-2F6A-446D-AB82-6E894AEB52F7}"/>
    <cellStyle name="20% - Énfasis4 5 5" xfId="16905" xr:uid="{37E5B249-8C11-4451-A004-A1368258E95C}"/>
    <cellStyle name="20% - Énfasis4 5 5 2" xfId="23161" xr:uid="{FC55F24E-7594-4878-952A-54A57F67EF39}"/>
    <cellStyle name="20% - Énfasis4 5 6" xfId="18439" xr:uid="{8174D595-C174-42AC-9449-ADD063C378BB}"/>
    <cellStyle name="20% - Énfasis4 5_1.2.b" xfId="15177" xr:uid="{A3F2260E-C5D7-41D0-B4F6-0C68763AD1A6}"/>
    <cellStyle name="20% - Énfasis4 50" xfId="12866" xr:uid="{D604DD19-21B8-463B-BAFC-D90AB474BC4F}"/>
    <cellStyle name="20% - Énfasis4 50 2" xfId="16908" xr:uid="{988CDAEC-293F-40BA-815D-1F9EA562BC67}"/>
    <cellStyle name="20% - Énfasis4 50 2 2" xfId="23164" xr:uid="{F13D3758-318D-481D-97D7-342B6F06E289}"/>
    <cellStyle name="20% - Énfasis4 50 3" xfId="21529" xr:uid="{CED4DCA0-19A3-47AA-BFC9-FD04F67379D5}"/>
    <cellStyle name="20% - Énfasis4 50_1.2.b" xfId="15180" xr:uid="{D01671C4-495F-4F54-A05F-807E534539CF}"/>
    <cellStyle name="20% - Énfasis4 51" xfId="12867" xr:uid="{B65F322F-23B7-473A-96D0-3BA15914B142}"/>
    <cellStyle name="20% - Énfasis4 51 2" xfId="16909" xr:uid="{3D023940-D0B4-418D-8581-800EE9D07775}"/>
    <cellStyle name="20% - Énfasis4 51 2 2" xfId="23165" xr:uid="{ECB68C3B-2E78-4337-B1CB-7A9E1B558CFE}"/>
    <cellStyle name="20% - Énfasis4 51 3" xfId="21530" xr:uid="{35EA0BE2-544F-4880-846E-1D8EF901B20A}"/>
    <cellStyle name="20% - Énfasis4 51_1.2.b" xfId="15181" xr:uid="{42145D6E-A2C6-4BD3-B232-2B02D68D8EB9}"/>
    <cellStyle name="20% - Énfasis4 52" xfId="12868" xr:uid="{F77F57CA-5512-4CE3-9CEB-4D7A6A2B5DAC}"/>
    <cellStyle name="20% - Énfasis4 52 2" xfId="16910" xr:uid="{06669565-BEA7-4316-9500-6A9F24DEE328}"/>
    <cellStyle name="20% - Énfasis4 52 2 2" xfId="23166" xr:uid="{C094433B-7790-4E99-98BD-94E06048C2B9}"/>
    <cellStyle name="20% - Énfasis4 52 3" xfId="21531" xr:uid="{E95F9D8F-CAF9-408C-A5B6-80E84C23CCAE}"/>
    <cellStyle name="20% - Énfasis4 52_1.2.b" xfId="15182" xr:uid="{571457FC-90FB-47C4-A464-6820BA2A81CD}"/>
    <cellStyle name="20% - Énfasis4 53" xfId="12869" xr:uid="{EFAC3985-B9A6-4BAC-BE34-25C493472D36}"/>
    <cellStyle name="20% - Énfasis4 53 2" xfId="16911" xr:uid="{2AE63B5B-149F-4AF6-829A-22F05DC1AC3F}"/>
    <cellStyle name="20% - Énfasis4 53 2 2" xfId="23167" xr:uid="{3CE63194-5E51-412C-9B96-BEBD8028CE60}"/>
    <cellStyle name="20% - Énfasis4 53 3" xfId="21532" xr:uid="{0E89FE59-6EC5-4019-825E-1D9E2D66F393}"/>
    <cellStyle name="20% - Énfasis4 53_1.2.b" xfId="15183" xr:uid="{9ECA3026-2D00-4729-A834-AA0AF6AFEF56}"/>
    <cellStyle name="20% - Énfasis4 54" xfId="12870" xr:uid="{4944D069-3889-41B9-B352-05D45D9E74F4}"/>
    <cellStyle name="20% - Énfasis4 54 2" xfId="16912" xr:uid="{EE6A4D51-AC69-4A4F-8EDA-D4C96B41D540}"/>
    <cellStyle name="20% - Énfasis4 54 2 2" xfId="23168" xr:uid="{03D3D2E0-857E-42CE-8CEA-5303D370E898}"/>
    <cellStyle name="20% - Énfasis4 54 3" xfId="21533" xr:uid="{05514401-BA9A-46C7-A6C5-890E5465EFCB}"/>
    <cellStyle name="20% - Énfasis4 54_1.2.b" xfId="15184" xr:uid="{CB93BC88-05D7-4474-B9B8-56AD88890F0F}"/>
    <cellStyle name="20% - Énfasis4 55" xfId="12871" xr:uid="{457AE534-CE24-42FF-887C-B1C17F3C90FD}"/>
    <cellStyle name="20% - Énfasis4 55 2" xfId="16913" xr:uid="{D8E1E8DD-0850-487D-8642-2B77EC240E8A}"/>
    <cellStyle name="20% - Énfasis4 55 2 2" xfId="23169" xr:uid="{1D3351A6-1EA3-4785-9961-655B37AA6EF7}"/>
    <cellStyle name="20% - Énfasis4 55 3" xfId="21534" xr:uid="{2C274BF9-095A-4C63-9335-9B4E1D7626C0}"/>
    <cellStyle name="20% - Énfasis4 55_1.2.b" xfId="15185" xr:uid="{E308149D-C88F-4056-B39C-6E6FCAD75E0C}"/>
    <cellStyle name="20% - Énfasis4 56" xfId="12872" xr:uid="{CD0378DF-A9C5-4163-830C-034CFB61402E}"/>
    <cellStyle name="20% - Énfasis4 56 2" xfId="16914" xr:uid="{B4C76B76-851F-4670-9D70-19B93F454F21}"/>
    <cellStyle name="20% - Énfasis4 56 2 2" xfId="23170" xr:uid="{31BE6903-B1B5-4E77-8CC6-BACD31E80581}"/>
    <cellStyle name="20% - Énfasis4 56 3" xfId="21535" xr:uid="{B6DF9BB7-2D73-45D5-B62C-204CEB48FDDA}"/>
    <cellStyle name="20% - Énfasis4 56_1.2.b" xfId="15186" xr:uid="{D10C770A-2E7B-4CC7-9D15-602D745036B6}"/>
    <cellStyle name="20% - Énfasis4 57" xfId="12873" xr:uid="{A5DE9194-6205-448B-BFAB-04625B5B9AA3}"/>
    <cellStyle name="20% - Énfasis4 57 2" xfId="16915" xr:uid="{75763314-43F9-40B6-A53A-3C1CAEAEC17F}"/>
    <cellStyle name="20% - Énfasis4 57 2 2" xfId="23171" xr:uid="{AA6665ED-2E9D-4B80-9637-761A49B0E69D}"/>
    <cellStyle name="20% - Énfasis4 57 3" xfId="21536" xr:uid="{5EFE644B-056F-446A-91FF-094FF7AA988B}"/>
    <cellStyle name="20% - Énfasis4 57_1.2.b" xfId="15187" xr:uid="{01750D67-534E-4044-AF02-11EB8E887005}"/>
    <cellStyle name="20% - Énfasis4 58" xfId="12874" xr:uid="{E3B7AE7D-ABE4-4D7F-8407-764C470C2E5C}"/>
    <cellStyle name="20% - Énfasis4 58 2" xfId="16916" xr:uid="{33471063-7FF7-4B3C-AB9B-008694190CEC}"/>
    <cellStyle name="20% - Énfasis4 58 2 2" xfId="23172" xr:uid="{D3F30B0F-24F4-4FAB-8419-99ADD6ACD6E9}"/>
    <cellStyle name="20% - Énfasis4 58 3" xfId="21537" xr:uid="{34A9F707-F87C-4D7A-AB80-F3E6917A10A2}"/>
    <cellStyle name="20% - Énfasis4 58_1.2.b" xfId="15188" xr:uid="{48A85021-6A66-490A-B5EA-785E1C891306}"/>
    <cellStyle name="20% - Énfasis4 59" xfId="12875" xr:uid="{1DFD8C1C-6315-4749-AD1B-183476ECF9ED}"/>
    <cellStyle name="20% - Énfasis4 59 2" xfId="16917" xr:uid="{36601A6A-957F-4FAE-B162-93C1CA4A1094}"/>
    <cellStyle name="20% - Énfasis4 59 2 2" xfId="23173" xr:uid="{E4BBB19C-6136-4A1A-BF68-320017902774}"/>
    <cellStyle name="20% - Énfasis4 59 3" xfId="21538" xr:uid="{6BA67089-3405-4F2C-8100-80223F726668}"/>
    <cellStyle name="20% - Énfasis4 59_1.2.b" xfId="15189" xr:uid="{F27EDC37-1B03-47E1-A1BC-8CF7C67A8707}"/>
    <cellStyle name="20% - Énfasis4 6" xfId="209" xr:uid="{00000000-0005-0000-0000-00006D000000}"/>
    <cellStyle name="20% - Énfasis4 6 2" xfId="10729" xr:uid="{00000000-0005-0000-0000-00006E000000}"/>
    <cellStyle name="20% - Énfasis4 6 2 2" xfId="12877" xr:uid="{73564FCF-F9ED-4454-A361-E6F661A6D2B5}"/>
    <cellStyle name="20% - Énfasis4 6 2 2 2" xfId="21540" xr:uid="{D2A6CCC7-309F-4E2E-A012-3C0EFE45D9CC}"/>
    <cellStyle name="20% - Énfasis4 6 2 3" xfId="16919" xr:uid="{0B0310D2-72AE-475B-88A3-0AF700B4E8EF}"/>
    <cellStyle name="20% - Énfasis4 6 2 3 2" xfId="23175" xr:uid="{1246F0E3-F069-4453-8ACE-00D2E97AF99A}"/>
    <cellStyle name="20% - Énfasis4 6 2 4" xfId="19821" xr:uid="{4B9AAA9C-A0E3-4B86-A97F-F181E13BB9F0}"/>
    <cellStyle name="20% - Énfasis4 6 2_1.2.b" xfId="15191" xr:uid="{E89EA8E1-4ED7-4E2D-AC59-694A4863A709}"/>
    <cellStyle name="20% - Énfasis4 6 3" xfId="12876" xr:uid="{5D7D14EB-8161-4769-83ED-F0632005B55F}"/>
    <cellStyle name="20% - Énfasis4 6 3 2" xfId="21539" xr:uid="{60970FC4-1725-4D19-BBB5-3FAA3CC27EB0}"/>
    <cellStyle name="20% - Énfasis4 6 4" xfId="16918" xr:uid="{778838D1-6918-4A3F-AB8F-0544E1447A5D}"/>
    <cellStyle name="20% - Énfasis4 6 4 2" xfId="23174" xr:uid="{C3326BDE-D2F5-4A17-8B53-AD2CD8B96586}"/>
    <cellStyle name="20% - Énfasis4 6 5" xfId="18453" xr:uid="{54BF39CE-7BAD-4B70-9BBF-186E053EE35A}"/>
    <cellStyle name="20% - Énfasis4 6_1.2.b" xfId="15190" xr:uid="{D7C5C17C-E2DD-4E10-8C12-5A157756744D}"/>
    <cellStyle name="20% - Énfasis4 60" xfId="12878" xr:uid="{5E38D51B-1070-4FBD-8A19-9D35F66E673A}"/>
    <cellStyle name="20% - Énfasis4 60 2" xfId="16920" xr:uid="{FFC2A6D9-CC6A-4AA4-B56C-78825192EB52}"/>
    <cellStyle name="20% - Énfasis4 60 2 2" xfId="23176" xr:uid="{6AD16CF8-C955-44FA-A1FD-16C0A3EC5DA1}"/>
    <cellStyle name="20% - Énfasis4 60 3" xfId="21541" xr:uid="{DD891E19-9298-4BCB-A797-45E42BD7268F}"/>
    <cellStyle name="20% - Énfasis4 60_1.2.b" xfId="15192" xr:uid="{6B5FDB11-F8AB-49FF-90C7-C65F22AA2788}"/>
    <cellStyle name="20% - Énfasis4 61" xfId="12879" xr:uid="{E0143BF5-BFB4-47AF-872A-8222765E15A0}"/>
    <cellStyle name="20% - Énfasis4 61 2" xfId="16921" xr:uid="{F919DA7A-1A8F-413B-B69A-DEEDBFEF75DE}"/>
    <cellStyle name="20% - Énfasis4 61 2 2" xfId="23177" xr:uid="{7569DE7C-0F0F-4A67-B936-5D62EC920D91}"/>
    <cellStyle name="20% - Énfasis4 61 3" xfId="21542" xr:uid="{85F8AB2A-F860-48E2-9CF5-AA969059AB93}"/>
    <cellStyle name="20% - Énfasis4 61_1.2.b" xfId="15193" xr:uid="{427002B0-7BA1-4E46-9AD1-508ECBB1B488}"/>
    <cellStyle name="20% - Énfasis4 62" xfId="12880" xr:uid="{B9EED439-6759-41A8-979D-DA271894635E}"/>
    <cellStyle name="20% - Énfasis4 62 2" xfId="16922" xr:uid="{C4808410-3F09-496F-8140-22B08BF781B7}"/>
    <cellStyle name="20% - Énfasis4 62 2 2" xfId="23178" xr:uid="{371CB2D9-CA0E-4ED4-BB63-62D7524BBD71}"/>
    <cellStyle name="20% - Énfasis4 62 3" xfId="21543" xr:uid="{6608FF33-3794-4A08-BED9-942C02882393}"/>
    <cellStyle name="20% - Énfasis4 62_1.2.b" xfId="15194" xr:uid="{A3D9782B-0C07-47EB-A376-7BDD768B04FB}"/>
    <cellStyle name="20% - Énfasis4 63" xfId="12881" xr:uid="{532252AD-61F0-4389-BC87-1AA181827530}"/>
    <cellStyle name="20% - Énfasis4 63 2" xfId="16923" xr:uid="{169D9829-9105-4D6E-A170-5405F0734F53}"/>
    <cellStyle name="20% - Énfasis4 63 2 2" xfId="23179" xr:uid="{BE5FB932-EAD1-4BAF-B9AB-131076E07FD3}"/>
    <cellStyle name="20% - Énfasis4 63 3" xfId="21544" xr:uid="{4057A64F-64E4-49DD-A658-604A0D7D299B}"/>
    <cellStyle name="20% - Énfasis4 63_1.2.b" xfId="15195" xr:uid="{FC98E036-5B9C-4A62-95B2-17F31C091C96}"/>
    <cellStyle name="20% - Énfasis4 64" xfId="12882" xr:uid="{FA1CACCB-D7C9-44BE-B404-B973DEACCBD3}"/>
    <cellStyle name="20% - Énfasis4 64 2" xfId="16924" xr:uid="{C36C2C58-FEA4-455C-8BE1-B7661C279FCE}"/>
    <cellStyle name="20% - Énfasis4 64 2 2" xfId="23180" xr:uid="{CF6D0F31-CB47-4EA5-896F-FDEA3434E94E}"/>
    <cellStyle name="20% - Énfasis4 64 3" xfId="21545" xr:uid="{C7BA3A23-9BE5-453C-8B75-990B05ED0C67}"/>
    <cellStyle name="20% - Énfasis4 64_1.2.b" xfId="15196" xr:uid="{48547C40-B89C-4F71-A551-8210198948D5}"/>
    <cellStyle name="20% - Énfasis4 65" xfId="12883" xr:uid="{0329DEE7-65DA-43E8-B258-C749C90FD876}"/>
    <cellStyle name="20% - Énfasis4 65 2" xfId="16925" xr:uid="{7E58D8FA-0D97-4E8D-AD00-EF341401CC28}"/>
    <cellStyle name="20% - Énfasis4 65 2 2" xfId="23181" xr:uid="{61E0EBCC-7AF2-4F73-B83B-ED0FF32C909C}"/>
    <cellStyle name="20% - Énfasis4 65 3" xfId="21546" xr:uid="{0DF029D1-D32D-40F0-8452-E71A6307F2B2}"/>
    <cellStyle name="20% - Énfasis4 65_1.2.b" xfId="15197" xr:uid="{64FB890A-3E24-4513-8AB0-3B8FB9358F83}"/>
    <cellStyle name="20% - Énfasis4 66" xfId="12884" xr:uid="{CF97EDBE-E9DF-47BF-93A4-776644E8CF23}"/>
    <cellStyle name="20% - Énfasis4 66 2" xfId="16926" xr:uid="{2919D4DB-F24D-454B-8796-DDEE5655F419}"/>
    <cellStyle name="20% - Énfasis4 66 2 2" xfId="23182" xr:uid="{8E44DD9C-68BB-4F70-BA1F-35A9839CBB4E}"/>
    <cellStyle name="20% - Énfasis4 66 3" xfId="21547" xr:uid="{547E5A9A-49F2-41C5-824C-4EECD4030058}"/>
    <cellStyle name="20% - Énfasis4 66_1.2.b" xfId="15198" xr:uid="{8137BE6C-122F-47FB-92A0-9683D7F71C3D}"/>
    <cellStyle name="20% - Énfasis4 67" xfId="12885" xr:uid="{452B7669-69E0-4E2E-9B0D-3B9D669CCC01}"/>
    <cellStyle name="20% - Énfasis4 67 2" xfId="16927" xr:uid="{486ABDB3-00C9-43FA-9ED2-AD2695172E2A}"/>
    <cellStyle name="20% - Énfasis4 67 2 2" xfId="23183" xr:uid="{DF9002F8-5B91-47ED-8632-9E92352E7F3F}"/>
    <cellStyle name="20% - Énfasis4 67 3" xfId="21548" xr:uid="{B1F213A6-4FB1-4D21-A084-BB49399D9088}"/>
    <cellStyle name="20% - Énfasis4 67_1.2.b" xfId="15199" xr:uid="{E469A203-B092-40C5-9F8F-E27EC2CFC243}"/>
    <cellStyle name="20% - Énfasis4 68" xfId="12886" xr:uid="{D18E4ED7-8C95-4FB8-BF4B-516B367F05E0}"/>
    <cellStyle name="20% - Énfasis4 68 2" xfId="16928" xr:uid="{BA0F92B8-F393-4FF6-8F20-885CDE9DEE23}"/>
    <cellStyle name="20% - Énfasis4 68 2 2" xfId="23184" xr:uid="{0B7C676F-24B6-430A-B56D-BD83A2BB2D23}"/>
    <cellStyle name="20% - Énfasis4 68 3" xfId="21549" xr:uid="{B093E99E-84F1-4F1A-B4DA-99D1431CCA6E}"/>
    <cellStyle name="20% - Énfasis4 68_1.2.b" xfId="15200" xr:uid="{886422A3-3E90-43CA-9F51-16A9189D2E66}"/>
    <cellStyle name="20% - Énfasis4 69" xfId="12887" xr:uid="{1B8F8DF2-E558-4426-A6EF-B3A180AB6085}"/>
    <cellStyle name="20% - Énfasis4 69 2" xfId="16929" xr:uid="{DBEE65FB-6E90-44F7-B5A8-369363830198}"/>
    <cellStyle name="20% - Énfasis4 69 2 2" xfId="23185" xr:uid="{6DBCEB61-6091-4D8A-99E8-8DCB52DA01BD}"/>
    <cellStyle name="20% - Énfasis4 69 3" xfId="21550" xr:uid="{AD5A6DC5-1E1D-4BB2-9CDD-9FCF635C7D44}"/>
    <cellStyle name="20% - Énfasis4 69_1.2.b" xfId="15201" xr:uid="{E0D923B0-DF89-40CD-8115-F8B886E58A7E}"/>
    <cellStyle name="20% - Énfasis4 7" xfId="9833" xr:uid="{00000000-0005-0000-0000-00006F000000}"/>
    <cellStyle name="20% - Énfasis4 7 2" xfId="11619" xr:uid="{00000000-0005-0000-0000-000070000000}"/>
    <cellStyle name="20% - Énfasis4 7 2 2" xfId="12889" xr:uid="{5CC73D91-7064-4356-ACA5-7267E9BDBF1F}"/>
    <cellStyle name="20% - Énfasis4 7 2 2 2" xfId="21552" xr:uid="{3BF28AC0-576A-4D69-85F2-9F45A5616E56}"/>
    <cellStyle name="20% - Énfasis4 7 2 3" xfId="16931" xr:uid="{29C4EA7A-D9FE-4195-9865-5E2C2CD85763}"/>
    <cellStyle name="20% - Énfasis4 7 2 3 2" xfId="23187" xr:uid="{6A73973D-4E37-4433-8E58-CC04C1F6D452}"/>
    <cellStyle name="20% - Énfasis4 7 2 4" xfId="20388" xr:uid="{25E561C0-BCD6-4118-A8BA-E1337276006D}"/>
    <cellStyle name="20% - Énfasis4 7 2_1.2.b" xfId="15203" xr:uid="{2324979E-78B4-4E1C-9332-E835FC014403}"/>
    <cellStyle name="20% - Énfasis4 7 3" xfId="12888" xr:uid="{6CC989C4-C920-4689-90B1-05D97C51940B}"/>
    <cellStyle name="20% - Énfasis4 7 3 2" xfId="21551" xr:uid="{9D244CA6-26D3-4599-A5B0-2F0E7EF12F11}"/>
    <cellStyle name="20% - Énfasis4 7 4" xfId="16930" xr:uid="{78E77F69-FFC5-4B9E-A2EC-2F35286A2E69}"/>
    <cellStyle name="20% - Énfasis4 7 4 2" xfId="23186" xr:uid="{114F440D-C092-4A14-AC80-77198FB94B60}"/>
    <cellStyle name="20% - Énfasis4 7 5" xfId="19020" xr:uid="{8871A79D-CDBF-4E2E-BA7A-4FB949D515F1}"/>
    <cellStyle name="20% - Énfasis4 7_1.2.b" xfId="15202" xr:uid="{C0B0EA78-5C42-48B3-B3BF-307D66F46519}"/>
    <cellStyle name="20% - Énfasis4 70" xfId="12890" xr:uid="{D6BB6462-756A-4692-B5EB-72F495B82EFE}"/>
    <cellStyle name="20% - Énfasis4 70 2" xfId="16932" xr:uid="{68FC0BCE-0D1B-4B60-B092-8CD941F72003}"/>
    <cellStyle name="20% - Énfasis4 70 2 2" xfId="23188" xr:uid="{8D20E936-EE32-47F8-B780-63766339F8BF}"/>
    <cellStyle name="20% - Énfasis4 70 3" xfId="21553" xr:uid="{F6ED67DE-B8D0-40F0-9E0A-8927FC86FCF0}"/>
    <cellStyle name="20% - Énfasis4 70_1.2.b" xfId="15204" xr:uid="{FCD73AB6-5336-4C2C-95CC-A0EBE11614BC}"/>
    <cellStyle name="20% - Énfasis4 71" xfId="12891" xr:uid="{C7CDD9CF-D241-41F0-AA47-E07F71DADB3D}"/>
    <cellStyle name="20% - Énfasis4 71 2" xfId="16933" xr:uid="{B2DC4A99-8620-459B-8245-6DAE55585E77}"/>
    <cellStyle name="20% - Énfasis4 71 2 2" xfId="23189" xr:uid="{BFBE1859-EBB1-4091-9FA1-D9C9787B7D06}"/>
    <cellStyle name="20% - Énfasis4 71 3" xfId="21554" xr:uid="{88818AE3-02FD-4EB5-B0F5-52DE0C6069F6}"/>
    <cellStyle name="20% - Énfasis4 71_1.2.b" xfId="15205" xr:uid="{7DCF9F32-7B5A-46F3-8D68-AD1223D295D2}"/>
    <cellStyle name="20% - Énfasis4 72" xfId="12892" xr:uid="{DAFA554D-AB05-4C46-AA6F-895AA7FAC339}"/>
    <cellStyle name="20% - Énfasis4 72 2" xfId="16934" xr:uid="{6828EED2-2441-40FA-BB2E-1408095DABA7}"/>
    <cellStyle name="20% - Énfasis4 72 2 2" xfId="23190" xr:uid="{0F9727B6-1830-4182-B651-A18415C9B735}"/>
    <cellStyle name="20% - Énfasis4 72 3" xfId="21555" xr:uid="{D5E79700-2523-4C95-A581-135CB19FD518}"/>
    <cellStyle name="20% - Énfasis4 72_1.2.b" xfId="15206" xr:uid="{67BC97B8-8698-4C41-AAFF-C037D88E1427}"/>
    <cellStyle name="20% - Énfasis4 73" xfId="12893" xr:uid="{BDCF0A4F-C59E-4D7F-8638-0C3F7E2AED04}"/>
    <cellStyle name="20% - Énfasis4 73 2" xfId="16935" xr:uid="{245349AE-92E3-4CDF-95B3-6C855328B88D}"/>
    <cellStyle name="20% - Énfasis4 73 2 2" xfId="23191" xr:uid="{57101B28-0096-489B-8126-EB8B3DA0154F}"/>
    <cellStyle name="20% - Énfasis4 73 3" xfId="21556" xr:uid="{8F404813-49FC-49A8-BA7C-1F135E11A35F}"/>
    <cellStyle name="20% - Énfasis4 73_1.2.b" xfId="15207" xr:uid="{9E2F20C1-D3BF-4E79-A1EA-D8F653C360FB}"/>
    <cellStyle name="20% - Énfasis4 74" xfId="12894" xr:uid="{6691B0A8-9E62-455E-A68E-CA41789F412E}"/>
    <cellStyle name="20% - Énfasis4 74 2" xfId="16936" xr:uid="{9E7BD82A-1ADB-4F71-8885-D80DE7876798}"/>
    <cellStyle name="20% - Énfasis4 74 2 2" xfId="23192" xr:uid="{C922227D-96D7-4325-87E4-BA27A8C5A2AF}"/>
    <cellStyle name="20% - Énfasis4 74 3" xfId="21557" xr:uid="{67B0DC4C-2841-4091-9D50-95D9D92A8035}"/>
    <cellStyle name="20% - Énfasis4 74_1.2.b" xfId="15208" xr:uid="{C4F57D1A-4CAA-419C-AF91-C30798C5C1C7}"/>
    <cellStyle name="20% - Énfasis4 75" xfId="12895" xr:uid="{83725BD7-504E-4128-9BD9-CA46271F3E3E}"/>
    <cellStyle name="20% - Énfasis4 75 2" xfId="16937" xr:uid="{293DB3CF-44D4-4A80-B654-6E4FBA2E7377}"/>
    <cellStyle name="20% - Énfasis4 75 2 2" xfId="23193" xr:uid="{79327415-32D4-4347-93D2-6883404924C3}"/>
    <cellStyle name="20% - Énfasis4 75 3" xfId="21558" xr:uid="{D5A8532E-9D3A-465A-9A9F-74D4375E7F7D}"/>
    <cellStyle name="20% - Énfasis4 75_1.2.b" xfId="15209" xr:uid="{22F3E4CA-97A0-4A62-892F-CDAA60AF1728}"/>
    <cellStyle name="20% - Énfasis4 76" xfId="12896" xr:uid="{D7404594-EC4C-4A9D-B3F2-94ED7FACB0C7}"/>
    <cellStyle name="20% - Énfasis4 76 2" xfId="16938" xr:uid="{35E0BB96-CBB6-4ED0-AA1E-17BAF7010FD4}"/>
    <cellStyle name="20% - Énfasis4 76 2 2" xfId="23194" xr:uid="{F03C7297-C852-472F-AAF2-C7CAC0530F4A}"/>
    <cellStyle name="20% - Énfasis4 76 3" xfId="21559" xr:uid="{FD529D5E-72FE-47CE-B7E4-6B49F62DF9B9}"/>
    <cellStyle name="20% - Énfasis4 76_1.2.b" xfId="15210" xr:uid="{99646A5D-5A6F-4B89-9D4B-7179723E04BA}"/>
    <cellStyle name="20% - Énfasis4 77" xfId="12897" xr:uid="{9F01EED5-1593-4087-8935-2B1B9CE09B28}"/>
    <cellStyle name="20% - Énfasis4 77 2" xfId="16939" xr:uid="{F4EC85FA-AE8D-466F-BAB5-97DAE6196C2E}"/>
    <cellStyle name="20% - Énfasis4 77 2 2" xfId="23195" xr:uid="{F639520B-69D7-45A4-A9B6-D9BAEDB08D56}"/>
    <cellStyle name="20% - Énfasis4 77 3" xfId="21560" xr:uid="{4A1E44CD-23C4-4A48-8E32-3F2921659E33}"/>
    <cellStyle name="20% - Énfasis4 77_1.2.b" xfId="15211" xr:uid="{E45952C2-8EA4-4335-862D-372DF46237C6}"/>
    <cellStyle name="20% - Énfasis4 78" xfId="12898" xr:uid="{C56A4039-C22E-4690-ADF6-739445147E71}"/>
    <cellStyle name="20% - Énfasis4 78 2" xfId="16940" xr:uid="{863030C3-5518-4710-AD22-EB5201EEA5BE}"/>
    <cellStyle name="20% - Énfasis4 78 2 2" xfId="23196" xr:uid="{D5C06D87-0D36-4684-AA3B-3462059CDA66}"/>
    <cellStyle name="20% - Énfasis4 78 3" xfId="21561" xr:uid="{E1F44272-5112-4C59-BF17-4E98325B5F4C}"/>
    <cellStyle name="20% - Énfasis4 78_1.2.b" xfId="15212" xr:uid="{8CC91598-A7E2-4C03-BFCF-6AD464DE8B3C}"/>
    <cellStyle name="20% - Énfasis4 79" xfId="12899" xr:uid="{B6A7FF6E-EF48-4FCE-9379-73BCFA5164C2}"/>
    <cellStyle name="20% - Énfasis4 79 2" xfId="16941" xr:uid="{E47D0FD8-C11F-476F-A583-84B7B596E758}"/>
    <cellStyle name="20% - Énfasis4 79 2 2" xfId="23197" xr:uid="{DD9B30C2-276C-46AA-A9AD-4AAFE3AE38BA}"/>
    <cellStyle name="20% - Énfasis4 79 3" xfId="21562" xr:uid="{A6791E03-CDB2-4E36-BE72-C4046C5007D0}"/>
    <cellStyle name="20% - Énfasis4 79_1.2.b" xfId="15213" xr:uid="{642B1117-253E-40EC-8A84-4BFB32BA3899}"/>
    <cellStyle name="20% - Énfasis4 8" xfId="9852" xr:uid="{00000000-0005-0000-0000-000071000000}"/>
    <cellStyle name="20% - Énfasis4 8 2" xfId="11637" xr:uid="{00000000-0005-0000-0000-000072000000}"/>
    <cellStyle name="20% - Énfasis4 8 2 2" xfId="12901" xr:uid="{0EE4236C-F8B9-4C74-8BA7-967F0A3D277F}"/>
    <cellStyle name="20% - Énfasis4 8 2 2 2" xfId="21564" xr:uid="{F90EF2F0-3C0A-4462-A3B6-C29521A9C08F}"/>
    <cellStyle name="20% - Énfasis4 8 2 3" xfId="16943" xr:uid="{6BFA1324-E290-412B-ADC9-24E6CA93165F}"/>
    <cellStyle name="20% - Énfasis4 8 2 3 2" xfId="23199" xr:uid="{3DF7A197-88FD-479A-92F7-595C1D3A8042}"/>
    <cellStyle name="20% - Énfasis4 8 2 4" xfId="20404" xr:uid="{412B05EF-F1C3-4AF4-AEB5-A7F3611D0531}"/>
    <cellStyle name="20% - Énfasis4 8 2_1.2.b" xfId="15215" xr:uid="{3566D37B-8BFC-4A46-89F9-A67358D25AD7}"/>
    <cellStyle name="20% - Énfasis4 8 3" xfId="12900" xr:uid="{D5D675C9-048E-42B7-AEF6-5F8B8261273C}"/>
    <cellStyle name="20% - Énfasis4 8 3 2" xfId="21563" xr:uid="{C05AB45B-D97E-4F2C-9526-A5FAB5E46687}"/>
    <cellStyle name="20% - Énfasis4 8 4" xfId="16942" xr:uid="{3AE52F45-3B52-49B8-A09A-85D58376F90F}"/>
    <cellStyle name="20% - Énfasis4 8 4 2" xfId="23198" xr:uid="{62A0377B-ACD8-41B7-8933-FF20A251A53E}"/>
    <cellStyle name="20% - Énfasis4 8 5" xfId="19036" xr:uid="{DCBED9BD-E64D-4126-9A98-681399141B4D}"/>
    <cellStyle name="20% - Énfasis4 8_1.2.b" xfId="15214" xr:uid="{6DE5CC48-CA6C-41A2-8D1D-3D7913FAB1D2}"/>
    <cellStyle name="20% - Énfasis4 80" xfId="12902" xr:uid="{AF1BD665-59DA-472F-A2EC-8151A9B55137}"/>
    <cellStyle name="20% - Énfasis4 80 2" xfId="16944" xr:uid="{6E042E5D-5450-43BF-B5FF-BAFA9E4B31C2}"/>
    <cellStyle name="20% - Énfasis4 80 2 2" xfId="23200" xr:uid="{427B997A-3FC1-4D1A-8EA9-4743C6931F9E}"/>
    <cellStyle name="20% - Énfasis4 80 3" xfId="21565" xr:uid="{B468201E-E701-4270-9BC7-5E390E4D04F9}"/>
    <cellStyle name="20% - Énfasis4 80_1.2.b" xfId="15216" xr:uid="{79427797-4226-446F-90E7-5F19DE8CFFF6}"/>
    <cellStyle name="20% - Énfasis4 81" xfId="12903" xr:uid="{7E4A6FF1-5820-4F86-8B08-FBE495149C41}"/>
    <cellStyle name="20% - Énfasis4 81 2" xfId="16945" xr:uid="{BD4CBF40-539E-45C2-B8E4-58D76831B868}"/>
    <cellStyle name="20% - Énfasis4 81 2 2" xfId="23201" xr:uid="{0D5189AB-B764-4F29-9BD7-4E8CE6129107}"/>
    <cellStyle name="20% - Énfasis4 81 3" xfId="21566" xr:uid="{743542A1-CAD7-420F-9218-C17F36E3055A}"/>
    <cellStyle name="20% - Énfasis4 81_1.2.b" xfId="15217" xr:uid="{96A3BFAB-7243-4D8B-AF06-B106368A7665}"/>
    <cellStyle name="20% - Énfasis4 82" xfId="12904" xr:uid="{4D31FA36-394C-4104-B605-9EAECA89D097}"/>
    <cellStyle name="20% - Énfasis4 82 2" xfId="16946" xr:uid="{653C11F4-2FD9-460A-A0B9-33796D77DEF0}"/>
    <cellStyle name="20% - Énfasis4 82 2 2" xfId="23202" xr:uid="{E61E8441-4B57-479C-A0C4-E10EF5DA126A}"/>
    <cellStyle name="20% - Énfasis4 82 3" xfId="21567" xr:uid="{DF249A93-5797-4BA8-BE5C-7E37799DE143}"/>
    <cellStyle name="20% - Énfasis4 82_1.2.b" xfId="15218" xr:uid="{F504A003-E934-4F6F-996D-997C595F6673}"/>
    <cellStyle name="20% - Énfasis4 83" xfId="12905" xr:uid="{8DDCE7D3-D986-443F-AC36-BDC17A485C66}"/>
    <cellStyle name="20% - Énfasis4 83 2" xfId="16947" xr:uid="{BA0DB9FE-D272-49DD-ACEB-88484109C027}"/>
    <cellStyle name="20% - Énfasis4 83 2 2" xfId="23203" xr:uid="{E44278C8-2F32-458D-B2C7-1DA78E513230}"/>
    <cellStyle name="20% - Énfasis4 83 3" xfId="21568" xr:uid="{6C861FCA-4506-4FCE-8C3E-4F692337738F}"/>
    <cellStyle name="20% - Énfasis4 83_1.2.b" xfId="15219" xr:uid="{CBBDBDE5-48D2-4D22-9838-73E3F75837C9}"/>
    <cellStyle name="20% - Énfasis4 84" xfId="12906" xr:uid="{32441276-1092-44C5-A6C9-2206F68DC6DE}"/>
    <cellStyle name="20% - Énfasis4 84 2" xfId="16948" xr:uid="{6A94546D-D3F9-4ACC-885F-22F05AF5B478}"/>
    <cellStyle name="20% - Énfasis4 84 2 2" xfId="23204" xr:uid="{028399F3-35F0-4B91-90A0-DECE0CF12743}"/>
    <cellStyle name="20% - Énfasis4 84 3" xfId="21569" xr:uid="{2F2A7D97-5691-4A21-92BF-2DE2C8EBD32D}"/>
    <cellStyle name="20% - Énfasis4 84_1.2.b" xfId="15220" xr:uid="{0D8F81DF-99A3-4623-9DF7-3579D06A4C86}"/>
    <cellStyle name="20% - Énfasis4 85" xfId="12907" xr:uid="{55B5CD7B-69AF-466E-A269-B886E79E11B0}"/>
    <cellStyle name="20% - Énfasis4 85 2" xfId="16949" xr:uid="{0D8D8998-3C36-4CB5-A0B9-26BAD45924EC}"/>
    <cellStyle name="20% - Énfasis4 85 2 2" xfId="23205" xr:uid="{B84E2180-19B3-47F1-9263-BA386FF33A06}"/>
    <cellStyle name="20% - Énfasis4 85 3" xfId="21570" xr:uid="{AA89846D-5AFE-4EF6-ADB8-6AD04C2509A9}"/>
    <cellStyle name="20% - Énfasis4 85_1.2.b" xfId="15221" xr:uid="{6A02FD96-BD05-45E7-91A3-DA4899E51258}"/>
    <cellStyle name="20% - Énfasis4 86" xfId="12908" xr:uid="{634E9CDD-0918-4D8D-951D-98302B6973DD}"/>
    <cellStyle name="20% - Énfasis4 86 2" xfId="16950" xr:uid="{DD416CC0-DE3B-454C-97B4-033FD68904A8}"/>
    <cellStyle name="20% - Énfasis4 86 2 2" xfId="23206" xr:uid="{0A681469-4024-432A-AD4B-DADBD818E3F6}"/>
    <cellStyle name="20% - Énfasis4 86 3" xfId="21571" xr:uid="{87AA0B6C-912B-45C7-86F4-5E53D99EDE41}"/>
    <cellStyle name="20% - Énfasis4 86_1.2.b" xfId="15222" xr:uid="{C2BDC27C-92A1-48ED-89A3-F8AB0C04954B}"/>
    <cellStyle name="20% - Énfasis4 87" xfId="12909" xr:uid="{DD669105-5C97-48F5-9446-D9FB88840FCA}"/>
    <cellStyle name="20% - Énfasis4 87 2" xfId="16951" xr:uid="{56998108-448E-4C52-B0FE-DEEBF48FA9BB}"/>
    <cellStyle name="20% - Énfasis4 87 2 2" xfId="23207" xr:uid="{2B3AA9F2-54FB-4BE2-914A-EA4FDC03E50B}"/>
    <cellStyle name="20% - Énfasis4 87 3" xfId="21572" xr:uid="{F95ADC4A-48A4-4B45-9680-DB53DF990C59}"/>
    <cellStyle name="20% - Énfasis4 87_1.2.b" xfId="15223" xr:uid="{E3C6D02F-9817-40A3-ABF7-2154555D1FDE}"/>
    <cellStyle name="20% - Énfasis4 88" xfId="12910" xr:uid="{D085872C-9BBB-4F05-89DB-99B0251CE790}"/>
    <cellStyle name="20% - Énfasis4 88 2" xfId="16952" xr:uid="{0C6C16DB-C389-424D-85DC-A547B7A32F60}"/>
    <cellStyle name="20% - Énfasis4 88 2 2" xfId="23208" xr:uid="{D1CA7037-1364-48B1-BA75-93C6BA24CDF6}"/>
    <cellStyle name="20% - Énfasis4 88 3" xfId="21573" xr:uid="{D9B92694-4186-47E5-87EA-861E9DDDC41F}"/>
    <cellStyle name="20% - Énfasis4 88_1.2.b" xfId="15224" xr:uid="{37E7DA61-96C7-40A3-9CEC-8A753021DA11}"/>
    <cellStyle name="20% - Énfasis4 89" xfId="12911" xr:uid="{98D158B6-F4E5-4B4C-BE42-4352DDE3A0AC}"/>
    <cellStyle name="20% - Énfasis4 89 2" xfId="16953" xr:uid="{471E181F-06D1-4CD8-AFE4-601CF262AD04}"/>
    <cellStyle name="20% - Énfasis4 89 2 2" xfId="23209" xr:uid="{DA03054C-6787-4F25-8547-3BF851FF20B9}"/>
    <cellStyle name="20% - Énfasis4 89 3" xfId="21574" xr:uid="{64489E04-DDBB-4B52-A7E7-5B7D6BA6BEA3}"/>
    <cellStyle name="20% - Énfasis4 89_1.2.b" xfId="15225" xr:uid="{44CA53F1-DFDE-4C3C-B97A-B8FCD85F3992}"/>
    <cellStyle name="20% - Énfasis4 9" xfId="9868" xr:uid="{00000000-0005-0000-0000-000073000000}"/>
    <cellStyle name="20% - Énfasis4 9 2" xfId="12913" xr:uid="{2DFBACE9-78E3-4FFE-81F1-512AE039F7CF}"/>
    <cellStyle name="20% - Énfasis4 9 2 2" xfId="16955" xr:uid="{6871A76E-3D76-4BD7-801D-F3FCC31F144A}"/>
    <cellStyle name="20% - Énfasis4 9 2 2 2" xfId="23211" xr:uid="{17E058BE-B39A-4A4E-989C-ECF333C15A45}"/>
    <cellStyle name="20% - Énfasis4 9 2 3" xfId="21576" xr:uid="{2DEC66B6-7076-4FB3-BE04-95F94E52DCB8}"/>
    <cellStyle name="20% - Énfasis4 9 2_1.2.b" xfId="15227" xr:uid="{89249463-27B2-4416-9717-F9CB6883019D}"/>
    <cellStyle name="20% - Énfasis4 9 3" xfId="12912" xr:uid="{50699541-418F-464E-A6A2-89F0101FAA2E}"/>
    <cellStyle name="20% - Énfasis4 9 3 2" xfId="21575" xr:uid="{70F21C6B-E3BA-454F-9A78-9D5B877C46D6}"/>
    <cellStyle name="20% - Énfasis4 9 4" xfId="16954" xr:uid="{983659D0-C75B-45C3-BA3E-31C93DA9C848}"/>
    <cellStyle name="20% - Énfasis4 9 4 2" xfId="23210" xr:uid="{A2BE74A0-893A-460F-858B-BB57ADA379EC}"/>
    <cellStyle name="20% - Énfasis4 9_1.2.b" xfId="15226" xr:uid="{2E21CDF4-BB96-4A05-846C-944B9A7A147A}"/>
    <cellStyle name="20% - Énfasis4 90" xfId="12914" xr:uid="{FCE57743-F4D0-4BB5-9BD7-56D960462C90}"/>
    <cellStyle name="20% - Énfasis4 90 2" xfId="16956" xr:uid="{3798B438-E569-4BF9-8ECE-484CB735CFCB}"/>
    <cellStyle name="20% - Énfasis4 90 2 2" xfId="23212" xr:uid="{CDC947ED-8681-4CCF-8CB4-0117764722FA}"/>
    <cellStyle name="20% - Énfasis4 90 3" xfId="21577" xr:uid="{AFAC6B58-8321-4327-B526-2BEFE2BD7AF1}"/>
    <cellStyle name="20% - Énfasis4 90_1.2.b" xfId="15228" xr:uid="{F89D4937-C17D-4E7A-B93A-E77849CF8EC6}"/>
    <cellStyle name="20% - Énfasis4 91" xfId="12915" xr:uid="{F9F5A62F-8956-4F38-8535-EE3D915282DC}"/>
    <cellStyle name="20% - Énfasis4 91 2" xfId="16957" xr:uid="{AC93B5DC-6062-4DFB-87B0-3928E0A3C9E3}"/>
    <cellStyle name="20% - Énfasis4 91 2 2" xfId="23213" xr:uid="{61E7A16A-0429-41BB-8657-342AF30DF098}"/>
    <cellStyle name="20% - Énfasis4 91 3" xfId="21578" xr:uid="{5703536D-B8D7-4AF4-B330-943394D9ABF2}"/>
    <cellStyle name="20% - Énfasis4 91_1.2.b" xfId="15229" xr:uid="{77C5B604-A4B4-4196-852E-0A8015A776A5}"/>
    <cellStyle name="20% - Énfasis4 92" xfId="12916" xr:uid="{C5F74A52-A0B9-46BC-94F1-5419861D0B3E}"/>
    <cellStyle name="20% - Énfasis4 92 2" xfId="16958" xr:uid="{FEDC65A2-0EF8-473B-889C-DB5FBDAFE0A4}"/>
    <cellStyle name="20% - Énfasis4 92 2 2" xfId="23214" xr:uid="{7FB7D677-52F1-4BB3-9E30-279F01B3D979}"/>
    <cellStyle name="20% - Énfasis4 92 3" xfId="21579" xr:uid="{E8D5D900-1620-4076-850E-A350998D905E}"/>
    <cellStyle name="20% - Énfasis4 92_1.2.b" xfId="15230" xr:uid="{8616791A-C6A1-4CB4-97ED-3D322C2E4568}"/>
    <cellStyle name="20% - Énfasis4 93" xfId="12917" xr:uid="{2C874E25-01ED-4A5D-822F-051581B91756}"/>
    <cellStyle name="20% - Énfasis4 93 2" xfId="16959" xr:uid="{8039E65B-1A1A-484F-A4B5-13340A295D5B}"/>
    <cellStyle name="20% - Énfasis4 93 2 2" xfId="23215" xr:uid="{99C6E6A3-559C-4AA3-8766-B9F6153C7DBA}"/>
    <cellStyle name="20% - Énfasis4 93 3" xfId="21580" xr:uid="{F1D8D777-3B99-49B8-BC19-A58632C7EAEC}"/>
    <cellStyle name="20% - Énfasis4 93_1.2.b" xfId="15231" xr:uid="{9A9489A6-1470-4EE8-BDE6-211BE5FD8CA4}"/>
    <cellStyle name="20% - Énfasis4 94" xfId="12918" xr:uid="{3874DC7D-CB1D-4A6C-860C-140A285EA6E2}"/>
    <cellStyle name="20% - Énfasis4 94 2" xfId="16960" xr:uid="{2DDD2063-6F68-4B4B-BDA5-8A8966C7F0E2}"/>
    <cellStyle name="20% - Énfasis4 94 2 2" xfId="23216" xr:uid="{F1A6396B-C323-49B6-B9F3-52148939D947}"/>
    <cellStyle name="20% - Énfasis4 94 3" xfId="21581" xr:uid="{13C6D5D4-5052-42A1-A477-81BD218FBEF0}"/>
    <cellStyle name="20% - Énfasis4 94_1.2.b" xfId="15232" xr:uid="{5B2C35C7-1E44-43B9-B455-02B7CF9BB1E5}"/>
    <cellStyle name="20% - Énfasis4 95" xfId="12919" xr:uid="{81BF9674-EAE0-4E5C-9652-3BB47A3A1A83}"/>
    <cellStyle name="20% - Énfasis4 95 2" xfId="16961" xr:uid="{6CF1FEFC-F69C-487E-A479-820AEFB8BED1}"/>
    <cellStyle name="20% - Énfasis4 95 2 2" xfId="23217" xr:uid="{AEE18906-CF57-4BBB-AB76-518A5ADAC1B6}"/>
    <cellStyle name="20% - Énfasis4 95 3" xfId="21582" xr:uid="{B29BB053-FD62-44A5-AB01-E3DE9C6459A3}"/>
    <cellStyle name="20% - Énfasis4 95_1.2.b" xfId="15233" xr:uid="{EEAC63C3-785D-494F-8B0E-F66198444F29}"/>
    <cellStyle name="20% - Énfasis5 10" xfId="9924" xr:uid="{00000000-0005-0000-0000-000075000000}"/>
    <cellStyle name="20% - Énfasis5 10 2" xfId="11661" xr:uid="{00000000-0005-0000-0000-000076000000}"/>
    <cellStyle name="20% - Énfasis5 10 2 2" xfId="20427" xr:uid="{96AAD824-179F-4C7B-9484-45312F6E28C3}"/>
    <cellStyle name="20% - Énfasis5 10 3" xfId="12920" xr:uid="{BAD1B1E0-FB90-4BAD-9A07-8EDD6DC1F383}"/>
    <cellStyle name="20% - Énfasis5 10 3 2" xfId="21583" xr:uid="{4ADD354C-B7C9-42A7-B767-251001980A32}"/>
    <cellStyle name="20% - Énfasis5 10 4" xfId="16962" xr:uid="{E4B81E8A-56F4-4AF0-89CB-CF9241612D56}"/>
    <cellStyle name="20% - Énfasis5 10 4 2" xfId="23218" xr:uid="{7DDBE06A-83B5-4658-BD21-10556E06632D}"/>
    <cellStyle name="20% - Énfasis5 10 5" xfId="19064" xr:uid="{4729A7FD-9BF2-4FE8-A9D7-95DAC8BF5479}"/>
    <cellStyle name="20% - Énfasis5 10_1.2.b" xfId="15234" xr:uid="{28323129-98E7-4DD3-B2DB-27A6E3BC770E}"/>
    <cellStyle name="20% - Énfasis5 11" xfId="9946" xr:uid="{00000000-0005-0000-0000-000077000000}"/>
    <cellStyle name="20% - Énfasis5 11 2" xfId="11682" xr:uid="{00000000-0005-0000-0000-000078000000}"/>
    <cellStyle name="20% - Énfasis5 11 2 2" xfId="20438" xr:uid="{8B955332-BD0F-4A4D-8E74-9273EEC30944}"/>
    <cellStyle name="20% - Énfasis5 11 3" xfId="12921" xr:uid="{3905D84D-B4C0-4D95-8E62-DAAB7873AD79}"/>
    <cellStyle name="20% - Énfasis5 11 3 2" xfId="21584" xr:uid="{456D6410-13D2-42D6-8760-42281B6A819D}"/>
    <cellStyle name="20% - Énfasis5 11 4" xfId="16963" xr:uid="{2C978DE9-7203-4C31-A8CA-1E58F2FF1F35}"/>
    <cellStyle name="20% - Énfasis5 11 4 2" xfId="23219" xr:uid="{82933829-FEF6-40EE-BBE1-B4ACB8E4D1BC}"/>
    <cellStyle name="20% - Énfasis5 11 5" xfId="19075" xr:uid="{0C6221E7-D744-483B-8BC1-C534A8381D61}"/>
    <cellStyle name="20% - Énfasis5 11_1.2.b" xfId="15235" xr:uid="{F641C7F8-2569-4CEC-B500-0EE8AFA2A270}"/>
    <cellStyle name="20% - Énfasis5 12" xfId="10539" xr:uid="{00000000-0005-0000-0000-000079000000}"/>
    <cellStyle name="20% - Énfasis5 12 2" xfId="12274" xr:uid="{00000000-0005-0000-0000-00007A000000}"/>
    <cellStyle name="20% - Énfasis5 12 2 2" xfId="21023" xr:uid="{8ED6B5C1-00D4-41DA-9B5D-AA2633B18390}"/>
    <cellStyle name="20% - Énfasis5 12 3" xfId="12922" xr:uid="{7600674D-778A-4C4C-A076-417E5B24E19F}"/>
    <cellStyle name="20% - Énfasis5 12 3 2" xfId="21585" xr:uid="{3509B2B0-16BC-46DF-8B09-1AA5653F2485}"/>
    <cellStyle name="20% - Énfasis5 12 4" xfId="16964" xr:uid="{2C8E427B-12B6-43A0-841E-95D5F7331521}"/>
    <cellStyle name="20% - Énfasis5 12 4 2" xfId="23220" xr:uid="{72763D8E-C1F8-4F52-B016-6F6617747DC5}"/>
    <cellStyle name="20% - Énfasis5 12 5" xfId="19660" xr:uid="{FB754C9F-C37A-4DA9-B39C-4CBE5F77E3EC}"/>
    <cellStyle name="20% - Énfasis5 12_1.2.b" xfId="15236" xr:uid="{90EE613A-0A86-4399-8F39-052945FEBBFC}"/>
    <cellStyle name="20% - Énfasis5 13" xfId="10586" xr:uid="{00000000-0005-0000-0000-00007B000000}"/>
    <cellStyle name="20% - Énfasis5 13 2" xfId="12319" xr:uid="{00000000-0005-0000-0000-00007C000000}"/>
    <cellStyle name="20% - Énfasis5 13 2 2" xfId="21065" xr:uid="{7E0839BB-1065-433B-932D-2B0BAA89BF94}"/>
    <cellStyle name="20% - Énfasis5 13 3" xfId="12923" xr:uid="{BFCD0FF5-ADA1-4183-8C91-43A96061DFEC}"/>
    <cellStyle name="20% - Énfasis5 13 3 2" xfId="21586" xr:uid="{F5128C76-2477-4BEF-9E16-FBE5A1EEB612}"/>
    <cellStyle name="20% - Énfasis5 13 4" xfId="16965" xr:uid="{5D69E51D-E0B6-4FA2-8AAA-907EE56B3D95}"/>
    <cellStyle name="20% - Énfasis5 13 4 2" xfId="23221" xr:uid="{B73A282B-4510-408A-B497-0D6270D6E7BD}"/>
    <cellStyle name="20% - Énfasis5 13 5" xfId="19702" xr:uid="{10B75C8A-68D1-4578-A4AB-0D0C3CEA4EBE}"/>
    <cellStyle name="20% - Énfasis5 13_1.2.b" xfId="15237" xr:uid="{FFA545AC-AFF8-4089-80A6-2B9E960FF760}"/>
    <cellStyle name="20% - Énfasis5 14" xfId="10606" xr:uid="{00000000-0005-0000-0000-00007D000000}"/>
    <cellStyle name="20% - Énfasis5 14 2" xfId="12335" xr:uid="{00000000-0005-0000-0000-00007E000000}"/>
    <cellStyle name="20% - Énfasis5 14 2 2" xfId="21081" xr:uid="{032D727A-A3F5-4525-AA6B-61A83FFB1A20}"/>
    <cellStyle name="20% - Énfasis5 14 3" xfId="12924" xr:uid="{97251767-84C2-4A29-9F28-BD62E3291799}"/>
    <cellStyle name="20% - Énfasis5 14 3 2" xfId="21587" xr:uid="{93D76D73-1D35-4872-81B6-6BAB497F55AD}"/>
    <cellStyle name="20% - Énfasis5 14 4" xfId="16966" xr:uid="{FA05C935-DE89-4D3A-83FE-39F0ECE03ADF}"/>
    <cellStyle name="20% - Énfasis5 14 4 2" xfId="23222" xr:uid="{8193EBD3-8E6B-4FA5-9157-26E7390428E8}"/>
    <cellStyle name="20% - Énfasis5 14 5" xfId="19718" xr:uid="{01A5712C-7CCD-4654-A29D-A2E010F7909F}"/>
    <cellStyle name="20% - Énfasis5 14_1.2.b" xfId="15238" xr:uid="{4A31B95D-3EED-4829-A640-701AC5FEEDA2}"/>
    <cellStyle name="20% - Énfasis5 15" xfId="10627" xr:uid="{00000000-0005-0000-0000-00007F000000}"/>
    <cellStyle name="20% - Énfasis5 15 2" xfId="12925" xr:uid="{60A4C2B8-1700-44BD-8561-3862F9B3AC51}"/>
    <cellStyle name="20% - Énfasis5 15 2 2" xfId="21588" xr:uid="{8ECB4CC9-5E25-41AB-BCBF-8741FAD7E5F2}"/>
    <cellStyle name="20% - Énfasis5 15 3" xfId="16967" xr:uid="{29A6B5D9-EE32-4FBD-9394-1F2DD6BC9615}"/>
    <cellStyle name="20% - Énfasis5 15 3 2" xfId="23223" xr:uid="{C6459C79-0751-4337-9986-4547120AF52A}"/>
    <cellStyle name="20% - Énfasis5 15 4" xfId="19735" xr:uid="{ECA927D5-10D7-45C4-B2A2-DF188CFB55EB}"/>
    <cellStyle name="20% - Énfasis5 15_1.2.b" xfId="15239" xr:uid="{0B7C3FA6-B068-4B5A-A11F-C73CFE4B3B05}"/>
    <cellStyle name="20% - Énfasis5 16" xfId="12368" xr:uid="{00000000-0005-0000-0000-000080000000}"/>
    <cellStyle name="20% - Énfasis5 16 2" xfId="12926" xr:uid="{F34CBAE4-44E6-43A5-86F4-382E1B0F0541}"/>
    <cellStyle name="20% - Énfasis5 16 2 2" xfId="21589" xr:uid="{F9D07932-9F9D-472D-9BA5-A0123A70614C}"/>
    <cellStyle name="20% - Énfasis5 16 3" xfId="16968" xr:uid="{5E709D76-F218-4BDE-9C20-8B0EDABECD4A}"/>
    <cellStyle name="20% - Énfasis5 16 3 2" xfId="23224" xr:uid="{0122BFD1-DEDC-4F84-BCC5-BBC7BBBF9EA9}"/>
    <cellStyle name="20% - Énfasis5 16 4" xfId="21111" xr:uid="{5977922F-E369-4448-A569-E71B1F145A2A}"/>
    <cellStyle name="20% - Énfasis5 16_1.2.b" xfId="15240" xr:uid="{9452FB9E-FA02-4730-A304-843BE6D4D55B}"/>
    <cellStyle name="20% - Énfasis5 17" xfId="12383" xr:uid="{00000000-0005-0000-0000-000081000000}"/>
    <cellStyle name="20% - Énfasis5 17 2" xfId="12927" xr:uid="{B87163A3-9ECE-4EAA-84EB-99FAC195BA43}"/>
    <cellStyle name="20% - Énfasis5 17 2 2" xfId="21590" xr:uid="{EAD6D25E-85C9-48BC-9795-3E3EF2C64BF9}"/>
    <cellStyle name="20% - Énfasis5 17 3" xfId="16969" xr:uid="{51314AD2-0D18-4FF3-8B74-6500009DE9C7}"/>
    <cellStyle name="20% - Énfasis5 17 3 2" xfId="23225" xr:uid="{46663E22-C9FD-449F-8211-0B123EA227EC}"/>
    <cellStyle name="20% - Énfasis5 17 4" xfId="21126" xr:uid="{F8621658-4863-4077-880F-B0E855E914FA}"/>
    <cellStyle name="20% - Énfasis5 17_1.2.b" xfId="15241" xr:uid="{A4A6659F-4333-4573-BFF9-4F5E6B0B5E59}"/>
    <cellStyle name="20% - Énfasis5 18" xfId="12928" xr:uid="{617BDFFE-1865-4195-B747-074B799C6703}"/>
    <cellStyle name="20% - Énfasis5 18 2" xfId="16970" xr:uid="{4607300C-5C95-420B-AE87-228D02C3741F}"/>
    <cellStyle name="20% - Énfasis5 18 2 2" xfId="23226" xr:uid="{B03C7098-0D96-4549-9AF5-93B2FE0CA25D}"/>
    <cellStyle name="20% - Énfasis5 18 3" xfId="21591" xr:uid="{118D8053-2A65-4740-9AA3-32897D7744B9}"/>
    <cellStyle name="20% - Énfasis5 18_1.2.b" xfId="15242" xr:uid="{A273505D-C7F9-41B2-82F3-CC4024F40E20}"/>
    <cellStyle name="20% - Énfasis5 19" xfId="12929" xr:uid="{475C0E3A-505A-4FE1-9BB9-C30686C141E5}"/>
    <cellStyle name="20% - Énfasis5 19 2" xfId="16971" xr:uid="{F425C948-F287-43C3-A9A4-E64308D69D9F}"/>
    <cellStyle name="20% - Énfasis5 19 2 2" xfId="23227" xr:uid="{8A43F764-E385-437B-A7E5-03CECEF9644F}"/>
    <cellStyle name="20% - Énfasis5 19 3" xfId="21592" xr:uid="{655893B2-C86D-4CFF-AEF4-0C25EE8C77DD}"/>
    <cellStyle name="20% - Énfasis5 19_1.2.b" xfId="15243" xr:uid="{8B6EFE61-B2FC-46BC-BE42-D42FD78372F7}"/>
    <cellStyle name="20% - Énfasis5 2" xfId="154" xr:uid="{00000000-0005-0000-0000-000082000000}"/>
    <cellStyle name="20% - Énfasis5 2 10" xfId="12931" xr:uid="{24901503-B0CF-4631-A66C-5221AB6B330D}"/>
    <cellStyle name="20% - Énfasis5 2 10 2" xfId="16973" xr:uid="{7CBB895D-C4B3-4E2F-A4D0-77F5E4282A18}"/>
    <cellStyle name="20% - Énfasis5 2 10 2 2" xfId="23228" xr:uid="{EE83D4E8-005A-4463-B1B4-09A70C0F46C5}"/>
    <cellStyle name="20% - Énfasis5 2 10 3" xfId="21593" xr:uid="{A073E092-5630-42BA-92A2-8840A138AB61}"/>
    <cellStyle name="20% - Énfasis5 2 10_1.2.b" xfId="15245" xr:uid="{426922E8-CF44-40BA-8C86-6B257C485F01}"/>
    <cellStyle name="20% - Énfasis5 2 11" xfId="12930" xr:uid="{0D0FC8D0-8CA0-43A6-BAB8-6DB6B41A9494}"/>
    <cellStyle name="20% - Énfasis5 2 12" xfId="16972" xr:uid="{C8802937-855B-456A-ABB2-01E49C8D8FE8}"/>
    <cellStyle name="20% - Énfasis5 2 13" xfId="17796" xr:uid="{816CAE8A-91C6-4060-A087-337AB77A9F17}"/>
    <cellStyle name="20% - Énfasis5 2 14" xfId="18230" xr:uid="{0661292C-7BB2-4C99-8DBE-CA3E67CC1BBC}"/>
    <cellStyle name="20% - Énfasis5 2 15" xfId="17793" xr:uid="{F5C30D6B-A77F-401F-B4E7-401435C385A5}"/>
    <cellStyle name="20% - Énfasis5 2 16" xfId="18228" xr:uid="{45758B20-860E-4A5A-B13A-252F7E252ABD}"/>
    <cellStyle name="20% - Énfasis5 2 17" xfId="18398" xr:uid="{3BB6DFE7-4A71-4514-8B04-623629B64B63}"/>
    <cellStyle name="20% - Énfasis5 2 2" xfId="10674" xr:uid="{00000000-0005-0000-0000-000083000000}"/>
    <cellStyle name="20% - Énfasis5 2 2 2" xfId="12933" xr:uid="{A09B3AE5-DBBC-4B32-9A0A-1D33BCBDF98A}"/>
    <cellStyle name="20% - Énfasis5 2 2 3" xfId="12934" xr:uid="{C4FCAC14-6562-4444-9AA9-CAB11F6A1F62}"/>
    <cellStyle name="20% - Énfasis5 2 2 4" xfId="12935" xr:uid="{C054FAA5-41D1-4694-A7F8-44FF538EED47}"/>
    <cellStyle name="20% - Énfasis5 2 2 5" xfId="12936" xr:uid="{42C95B61-6191-4BC0-B436-79E2F9B74130}"/>
    <cellStyle name="20% - Énfasis5 2 2 6" xfId="12932" xr:uid="{A238E752-05F7-47B1-8961-9FCEB5052BC4}"/>
    <cellStyle name="20% - Énfasis5 2 2 6 2" xfId="21594" xr:uid="{42A3B4BF-40EB-406C-807D-DE3034DA5288}"/>
    <cellStyle name="20% - Énfasis5 2 2 7" xfId="16974" xr:uid="{E7BCFDD2-13BD-4B60-81F5-8994F0002F74}"/>
    <cellStyle name="20% - Énfasis5 2 2 7 2" xfId="23229" xr:uid="{5C2B2174-3156-4B8B-A58E-73727569BFB0}"/>
    <cellStyle name="20% - Énfasis5 2 2 8" xfId="19766" xr:uid="{A076796B-BF42-4A2F-9D8F-B54E89B397FF}"/>
    <cellStyle name="20% - Énfasis5 2 2_1.2.b" xfId="15246" xr:uid="{874A4955-331E-4E32-B2FC-D8403D68FDCE}"/>
    <cellStyle name="20% - Énfasis5 2 3" xfId="12937" xr:uid="{FD57C5F8-4207-4ED6-A9FB-383E7D95A225}"/>
    <cellStyle name="20% - Énfasis5 2 4" xfId="12938" xr:uid="{E0BB8854-E558-4DC6-B19C-A2877CC5C068}"/>
    <cellStyle name="20% - Énfasis5 2 5" xfId="12939" xr:uid="{CCF4C257-E282-44C8-A15B-205CCEDD737F}"/>
    <cellStyle name="20% - Énfasis5 2 6" xfId="12940" xr:uid="{B40C64C3-1CAA-45B1-935F-9DA6FFEBB225}"/>
    <cellStyle name="20% - Énfasis5 2 7" xfId="12941" xr:uid="{C6D4978F-0D26-43DE-A345-B360AE318537}"/>
    <cellStyle name="20% - Énfasis5 2 8" xfId="12942" xr:uid="{2756FA8A-3150-4A1E-870B-D59597F6360E}"/>
    <cellStyle name="20% - Énfasis5 2 9" xfId="12943" xr:uid="{2037432F-3009-4DE1-B060-B7DDF7A572A5}"/>
    <cellStyle name="20% - Énfasis5 2 9 2" xfId="16975" xr:uid="{82590703-BD3B-43F3-8A60-89BFB05320D1}"/>
    <cellStyle name="20% - Énfasis5 2 9 2 2" xfId="23230" xr:uid="{ED827F7D-0492-4DB8-B746-172377F895BE}"/>
    <cellStyle name="20% - Énfasis5 2 9 3" xfId="21595" xr:uid="{2DFBF041-67C7-45A9-B8D5-0264516538D7}"/>
    <cellStyle name="20% - Énfasis5 2 9_1.2.b" xfId="15247" xr:uid="{0754C661-72FD-4218-AA57-B1726C2978D3}"/>
    <cellStyle name="20% - Énfasis5 2_1.2.b" xfId="15244" xr:uid="{1F752B89-04A5-4D2A-89A3-A141C68D2AEE}"/>
    <cellStyle name="20% - Énfasis5 20" xfId="12944" xr:uid="{654D0D34-A17A-4481-BCD2-6A2B4AF4F118}"/>
    <cellStyle name="20% - Énfasis5 20 2" xfId="16976" xr:uid="{789BF109-6173-4CAE-9AE4-3AEB83CD4AB3}"/>
    <cellStyle name="20% - Énfasis5 20 2 2" xfId="23231" xr:uid="{28D0A612-D01A-4371-8D17-59CC9FC6A864}"/>
    <cellStyle name="20% - Énfasis5 20 3" xfId="21596" xr:uid="{DEA462D6-4189-4048-8248-779136B1FB32}"/>
    <cellStyle name="20% - Énfasis5 20_1.2.b" xfId="15248" xr:uid="{03B172FA-51E3-42AF-BDE5-1C50B5F23F9A}"/>
    <cellStyle name="20% - Énfasis5 21" xfId="12945" xr:uid="{5A4457F6-681F-44D6-92CA-4551CABDB4B1}"/>
    <cellStyle name="20% - Énfasis5 21 2" xfId="16977" xr:uid="{04EA22DE-6B56-4FAF-A817-4291B8231E9B}"/>
    <cellStyle name="20% - Énfasis5 21 2 2" xfId="23232" xr:uid="{3F7E9A08-A4B6-4981-A3A4-9D610379D970}"/>
    <cellStyle name="20% - Énfasis5 21 3" xfId="21597" xr:uid="{C0253402-BBD0-40F4-839A-A08179041C1E}"/>
    <cellStyle name="20% - Énfasis5 21_1.2.b" xfId="15249" xr:uid="{E957E84F-C793-4E3C-A48D-23F610672187}"/>
    <cellStyle name="20% - Énfasis5 22" xfId="12946" xr:uid="{11A01147-97A4-422A-BDEA-5C455C4CD59F}"/>
    <cellStyle name="20% - Énfasis5 22 2" xfId="16978" xr:uid="{54CC43D2-BD8D-44F5-B058-E056BDEF87B8}"/>
    <cellStyle name="20% - Énfasis5 22 2 2" xfId="23233" xr:uid="{D975FD75-D4CA-46A2-AF63-2CF6D99B91FF}"/>
    <cellStyle name="20% - Énfasis5 22 3" xfId="21598" xr:uid="{B1A593E4-9CEA-498E-A8AA-A339497D05FF}"/>
    <cellStyle name="20% - Énfasis5 22_1.2.b" xfId="15250" xr:uid="{E5784DF2-20CA-4E87-9A91-055BF179789A}"/>
    <cellStyle name="20% - Énfasis5 23" xfId="12947" xr:uid="{100A2187-364D-42C4-AB64-E98568A19831}"/>
    <cellStyle name="20% - Énfasis5 23 2" xfId="16979" xr:uid="{EC208E1B-6DBD-4D3B-B328-4DDDE794BDE5}"/>
    <cellStyle name="20% - Énfasis5 23 2 2" xfId="23234" xr:uid="{42CCCFE0-B131-4B1C-841F-29C78185D68D}"/>
    <cellStyle name="20% - Énfasis5 23 3" xfId="21599" xr:uid="{336EE91B-6116-4FA9-BE9E-AEC7A46AAFEE}"/>
    <cellStyle name="20% - Énfasis5 23_1.2.b" xfId="15251" xr:uid="{AD853A9B-E25C-458E-86ED-D75D279103CA}"/>
    <cellStyle name="20% - Énfasis5 24" xfId="12948" xr:uid="{86419910-D2D3-4862-802B-B973249694F8}"/>
    <cellStyle name="20% - Énfasis5 24 2" xfId="16980" xr:uid="{D2769443-4F6E-4A02-A57D-8BD295B40762}"/>
    <cellStyle name="20% - Énfasis5 24 2 2" xfId="23235" xr:uid="{82D82A92-D807-4387-A5CE-7DB17B815A32}"/>
    <cellStyle name="20% - Énfasis5 24 3" xfId="21600" xr:uid="{8723DB12-7D28-4903-AEA6-07504C9B4399}"/>
    <cellStyle name="20% - Énfasis5 24_1.2.b" xfId="15252" xr:uid="{F6BD1E4F-3951-4C37-92D4-E09899B0F171}"/>
    <cellStyle name="20% - Énfasis5 25" xfId="12949" xr:uid="{D0747BEC-5FBD-440C-95D5-457DD76FF4DB}"/>
    <cellStyle name="20% - Énfasis5 25 2" xfId="16981" xr:uid="{C5822742-B2C0-4C22-9E9B-DBD3646AFF41}"/>
    <cellStyle name="20% - Énfasis5 25 2 2" xfId="23236" xr:uid="{8348267D-3327-42E6-BDF4-9D6120364392}"/>
    <cellStyle name="20% - Énfasis5 25 3" xfId="21601" xr:uid="{46B74349-C5F7-457D-90AF-577C2F13280C}"/>
    <cellStyle name="20% - Énfasis5 25_1.2.b" xfId="15253" xr:uid="{6D6B396B-83AF-482C-91A8-F4E4BAB29D46}"/>
    <cellStyle name="20% - Énfasis5 26" xfId="12950" xr:uid="{DEEFD8FE-6564-453B-925C-07B09D4692BE}"/>
    <cellStyle name="20% - Énfasis5 26 2" xfId="16982" xr:uid="{911B7F70-2934-4588-89DE-39342EAD4796}"/>
    <cellStyle name="20% - Énfasis5 26 2 2" xfId="23237" xr:uid="{F9E813BD-F93D-4565-853D-60365B820925}"/>
    <cellStyle name="20% - Énfasis5 26 3" xfId="21602" xr:uid="{8EC69841-4DA7-49C9-A97F-6FD2505ACE62}"/>
    <cellStyle name="20% - Énfasis5 26_1.2.b" xfId="15254" xr:uid="{A00A6429-AE7B-43A4-A54D-F11A15A9E0EE}"/>
    <cellStyle name="20% - Énfasis5 27" xfId="12951" xr:uid="{26235372-093B-4193-9541-795503ACF13B}"/>
    <cellStyle name="20% - Énfasis5 27 2" xfId="16983" xr:uid="{5918F3D2-4BE5-4F97-9F79-4DF3FDF415AC}"/>
    <cellStyle name="20% - Énfasis5 27 2 2" xfId="23238" xr:uid="{D1152FC3-6C6B-4259-B8EA-8236D3DD4211}"/>
    <cellStyle name="20% - Énfasis5 27 3" xfId="21603" xr:uid="{D62A87D5-C104-4F18-ABB1-F711624D7C16}"/>
    <cellStyle name="20% - Énfasis5 27_1.2.b" xfId="15255" xr:uid="{AB900A06-CDEB-468F-90A3-7F3C4A1BEF5E}"/>
    <cellStyle name="20% - Énfasis5 28" xfId="12952" xr:uid="{F2D34FEF-4774-4E1D-8970-ABEB8759D02A}"/>
    <cellStyle name="20% - Énfasis5 28 2" xfId="16984" xr:uid="{7FE9A7B4-4206-48E7-80FD-1BD318E2683E}"/>
    <cellStyle name="20% - Énfasis5 28 2 2" xfId="23239" xr:uid="{6D9F3DBB-7100-4323-BF8F-39B8ABEACF30}"/>
    <cellStyle name="20% - Énfasis5 28 3" xfId="21604" xr:uid="{914BDF2D-6F58-4938-B8C2-97A38D1A3377}"/>
    <cellStyle name="20% - Énfasis5 28_1.2.b" xfId="15256" xr:uid="{ADE6EE44-B1FF-4648-A3E0-8E07173CBCEE}"/>
    <cellStyle name="20% - Énfasis5 29" xfId="12953" xr:uid="{1E87716D-C15F-481E-A0B8-4C7D3D6AFDCE}"/>
    <cellStyle name="20% - Énfasis5 29 2" xfId="16985" xr:uid="{9637845C-7F94-425C-861C-0434B817A1B7}"/>
    <cellStyle name="20% - Énfasis5 29 2 2" xfId="23240" xr:uid="{E7D0893B-A353-472E-AAE3-E5D4EF0C4281}"/>
    <cellStyle name="20% - Énfasis5 29 3" xfId="21605" xr:uid="{CB19B453-00CB-433E-A2EC-630B66E3691F}"/>
    <cellStyle name="20% - Énfasis5 29_1.2.b" xfId="15257" xr:uid="{7F7CA2B4-5EC4-48B5-BC70-558423D4472E}"/>
    <cellStyle name="20% - Énfasis5 3" xfId="168" xr:uid="{00000000-0005-0000-0000-000084000000}"/>
    <cellStyle name="20% - Énfasis5 3 2" xfId="10688" xr:uid="{00000000-0005-0000-0000-000085000000}"/>
    <cellStyle name="20% - Énfasis5 3 2 2" xfId="12955" xr:uid="{8C5DFEA0-4137-4D80-848A-D44D72FE09C2}"/>
    <cellStyle name="20% - Énfasis5 3 2 2 2" xfId="21607" xr:uid="{637365FE-0EBF-49F5-A6BD-767A889BB22B}"/>
    <cellStyle name="20% - Énfasis5 3 2 3" xfId="16987" xr:uid="{56C41109-49D0-424C-878F-658AC5DB47CD}"/>
    <cellStyle name="20% - Énfasis5 3 2 3 2" xfId="23242" xr:uid="{D93B24CE-3941-46E4-BF70-D29F0D5EF3A4}"/>
    <cellStyle name="20% - Énfasis5 3 2 4" xfId="19780" xr:uid="{F1A09B6E-EFB3-4956-9D27-8DDC842C6FC5}"/>
    <cellStyle name="20% - Énfasis5 3 2_1.2.b" xfId="15259" xr:uid="{781ED6E0-9E11-4E12-B5FC-1E4FCB7F0B7F}"/>
    <cellStyle name="20% - Énfasis5 3 3" xfId="12956" xr:uid="{2C3D0D7A-196B-41CB-AC84-4B658A3AC889}"/>
    <cellStyle name="20% - Énfasis5 3 4" xfId="12954" xr:uid="{5B3C3798-506B-4DFF-9DA4-798A1DEECC3B}"/>
    <cellStyle name="20% - Énfasis5 3 4 2" xfId="21606" xr:uid="{594B616D-79E8-4F04-AF84-832FD0DDC1DF}"/>
    <cellStyle name="20% - Énfasis5 3 5" xfId="16986" xr:uid="{F0A268CF-90CC-4818-92D7-9940EE08525A}"/>
    <cellStyle name="20% - Énfasis5 3 5 2" xfId="23241" xr:uid="{CDE980F5-7945-486F-98F1-60EC7649C98E}"/>
    <cellStyle name="20% - Énfasis5 3 6" xfId="18412" xr:uid="{A990C098-F1DB-43F3-A7B1-444F35C6ABD6}"/>
    <cellStyle name="20% - Énfasis5 3_1.2.b" xfId="15258" xr:uid="{66E3B690-C5A2-4F10-8BD1-36EB293C5935}"/>
    <cellStyle name="20% - Énfasis5 30" xfId="12957" xr:uid="{04E46879-59C5-4551-B37D-FBA0FA8BD557}"/>
    <cellStyle name="20% - Énfasis5 30 2" xfId="16988" xr:uid="{14F45BD0-9492-4BE5-9D54-00C0E938BAAC}"/>
    <cellStyle name="20% - Énfasis5 30 2 2" xfId="23243" xr:uid="{FB6F840D-1B2C-4A4D-86E6-DC6BC4AF99B7}"/>
    <cellStyle name="20% - Énfasis5 30 3" xfId="21608" xr:uid="{D87136C7-7AC3-4CD3-B1B5-7355B0404014}"/>
    <cellStyle name="20% - Énfasis5 30_1.2.b" xfId="15260" xr:uid="{5D572F6A-A961-407D-88B3-2775DDB8FF65}"/>
    <cellStyle name="20% - Énfasis5 31" xfId="12958" xr:uid="{A6DCE07E-F25D-4B8A-BFE2-5E31DEB9EBDD}"/>
    <cellStyle name="20% - Énfasis5 31 2" xfId="16989" xr:uid="{8ED24620-FA8C-40AF-977E-D5F97DCCA05B}"/>
    <cellStyle name="20% - Énfasis5 31 2 2" xfId="23244" xr:uid="{6B4CAA1A-CEF7-43E8-9CA5-8749DD0684A3}"/>
    <cellStyle name="20% - Énfasis5 31 3" xfId="21609" xr:uid="{95B90812-F609-4438-BFA6-ADBA8F842CA9}"/>
    <cellStyle name="20% - Énfasis5 31_1.2.b" xfId="15261" xr:uid="{852868AC-B55A-42F1-AB0B-F45534BF01D2}"/>
    <cellStyle name="20% - Énfasis5 32" xfId="12959" xr:uid="{17E9D2E7-2D46-4980-BCC9-F88249FB7ADE}"/>
    <cellStyle name="20% - Énfasis5 32 2" xfId="16990" xr:uid="{B9CF0075-AC2A-42E5-B888-6A694308CE36}"/>
    <cellStyle name="20% - Énfasis5 32 2 2" xfId="23245" xr:uid="{919FB29C-5C33-4003-ACB7-CA0E142082ED}"/>
    <cellStyle name="20% - Énfasis5 32 3" xfId="21610" xr:uid="{7DE20B46-FA93-4C0F-89B8-FB254896FB72}"/>
    <cellStyle name="20% - Énfasis5 32_1.2.b" xfId="15262" xr:uid="{1F1CBE4E-0042-43B8-BBF4-06D6EDDFF364}"/>
    <cellStyle name="20% - Énfasis5 33" xfId="12960" xr:uid="{F68D78E4-2A38-462D-8603-BEFA3BA023A6}"/>
    <cellStyle name="20% - Énfasis5 33 2" xfId="16991" xr:uid="{C34C4821-C224-46A8-8959-CD2626555571}"/>
    <cellStyle name="20% - Énfasis5 33 2 2" xfId="23246" xr:uid="{41B943F3-E487-48F2-B08F-ABBE3BFEB6C5}"/>
    <cellStyle name="20% - Énfasis5 33 3" xfId="21611" xr:uid="{799558B3-E159-4B26-BBBC-02FFD1917576}"/>
    <cellStyle name="20% - Énfasis5 33_1.2.b" xfId="15263" xr:uid="{4A3EDF22-9BEF-4D81-A635-4599346ACEB4}"/>
    <cellStyle name="20% - Énfasis5 34" xfId="12961" xr:uid="{F410861A-D8D3-4F2B-B99A-8A099718B0E7}"/>
    <cellStyle name="20% - Énfasis5 34 2" xfId="16992" xr:uid="{3E70C3C4-BFC9-4B44-9ABF-27C13E670F6A}"/>
    <cellStyle name="20% - Énfasis5 34 2 2" xfId="23247" xr:uid="{196656AD-B54E-471F-9BB6-0C8E79F6A40D}"/>
    <cellStyle name="20% - Énfasis5 34 3" xfId="21612" xr:uid="{CC7DC0D6-AA15-415F-ADD2-628B9CFE0826}"/>
    <cellStyle name="20% - Énfasis5 34_1.2.b" xfId="15264" xr:uid="{8122D3C2-4D46-430F-8791-1FBC69A58089}"/>
    <cellStyle name="20% - Énfasis5 35" xfId="12962" xr:uid="{1025ABD5-B416-421B-92D3-25D04A483F20}"/>
    <cellStyle name="20% - Énfasis5 35 2" xfId="16993" xr:uid="{79D0D050-0721-4A90-AC76-92DB2F785917}"/>
    <cellStyle name="20% - Énfasis5 35 2 2" xfId="23248" xr:uid="{3AEB7358-1A49-48F3-AF33-93450747FAA2}"/>
    <cellStyle name="20% - Énfasis5 35 3" xfId="21613" xr:uid="{C654A4A4-E9A5-42E4-B894-34739606FA48}"/>
    <cellStyle name="20% - Énfasis5 35_1.2.b" xfId="15265" xr:uid="{FFD3D1D1-24C3-4F7D-AFDB-DDC948304564}"/>
    <cellStyle name="20% - Énfasis5 36" xfId="12963" xr:uid="{30C6EDFF-024A-49C3-943B-E1A2B4B18D13}"/>
    <cellStyle name="20% - Énfasis5 36 2" xfId="16994" xr:uid="{52666925-D647-4EAB-B54D-6F69CE9D114C}"/>
    <cellStyle name="20% - Énfasis5 36 2 2" xfId="23249" xr:uid="{CE428BBB-8E44-4CDE-B1A7-D1B9BC7D4CED}"/>
    <cellStyle name="20% - Énfasis5 36 3" xfId="21614" xr:uid="{BB99A855-85FE-4FC5-82E3-D6A5BF0E75AC}"/>
    <cellStyle name="20% - Énfasis5 36_1.2.b" xfId="15266" xr:uid="{C3392EC3-E36E-4C5B-8E6C-E7E87010FCE0}"/>
    <cellStyle name="20% - Énfasis5 37" xfId="12964" xr:uid="{FACAE860-8B7A-4FB1-A3BA-2FF28CA4786D}"/>
    <cellStyle name="20% - Énfasis5 37 2" xfId="16995" xr:uid="{51C9E16E-924C-41A7-A899-706A3C754C59}"/>
    <cellStyle name="20% - Énfasis5 37 2 2" xfId="23250" xr:uid="{3A115D94-AE4C-4B01-BE1F-4F7E5B2E3293}"/>
    <cellStyle name="20% - Énfasis5 37 3" xfId="21615" xr:uid="{A0AC930B-24A2-443E-B7A4-0B87D4A4E519}"/>
    <cellStyle name="20% - Énfasis5 37_1.2.b" xfId="15267" xr:uid="{A60FA2EE-7309-4C67-AAB6-5088690BB794}"/>
    <cellStyle name="20% - Énfasis5 38" xfId="12965" xr:uid="{253CDFCE-55BB-4587-9823-26497994BE13}"/>
    <cellStyle name="20% - Énfasis5 38 2" xfId="16996" xr:uid="{42BFE4A1-4E38-43FD-A080-D119731CEBFD}"/>
    <cellStyle name="20% - Énfasis5 38 2 2" xfId="23251" xr:uid="{D7B71F2E-D0F4-4AB8-9129-4059B4A6FEF5}"/>
    <cellStyle name="20% - Énfasis5 38 3" xfId="21616" xr:uid="{46BED89C-0BBC-4172-AC5A-9A729E30261E}"/>
    <cellStyle name="20% - Énfasis5 38_1.2.b" xfId="15268" xr:uid="{C4216297-829F-4476-AA4C-E5D58ED2F258}"/>
    <cellStyle name="20% - Énfasis5 39" xfId="12966" xr:uid="{30D7C91D-E25B-497E-9609-A8BABD00C50C}"/>
    <cellStyle name="20% - Énfasis5 39 2" xfId="16997" xr:uid="{72E1FF37-3789-4D62-B024-4EE374D1607F}"/>
    <cellStyle name="20% - Énfasis5 39 2 2" xfId="23252" xr:uid="{A8164A1B-3D67-4D62-9C34-A4D7287D84BB}"/>
    <cellStyle name="20% - Énfasis5 39 3" xfId="21617" xr:uid="{6BA05AD1-5CA2-41AF-A86B-51E318A4AD71}"/>
    <cellStyle name="20% - Énfasis5 39_1.2.b" xfId="15269" xr:uid="{0DD9F01D-E5E9-454A-876C-07D0738D2B49}"/>
    <cellStyle name="20% - Énfasis5 4" xfId="182" xr:uid="{00000000-0005-0000-0000-000086000000}"/>
    <cellStyle name="20% - Énfasis5 4 2" xfId="10702" xr:uid="{00000000-0005-0000-0000-000087000000}"/>
    <cellStyle name="20% - Énfasis5 4 2 2" xfId="12968" xr:uid="{D17F02AE-B82C-45D1-80B5-8E869462C5F3}"/>
    <cellStyle name="20% - Énfasis5 4 2 3" xfId="19794" xr:uid="{00469D8B-EB0A-46D5-8431-EC341753B7BA}"/>
    <cellStyle name="20% - Énfasis5 4 2_1.2.b" xfId="15271" xr:uid="{FC832529-279D-45B2-9ADA-0B4BA2B1052D}"/>
    <cellStyle name="20% - Énfasis5 4 3" xfId="12967" xr:uid="{AF365021-1120-43F6-B729-5297A0740847}"/>
    <cellStyle name="20% - Énfasis5 4 3 2" xfId="21618" xr:uid="{3FFC2DD4-BC4B-4F11-9346-ECA67705F1EA}"/>
    <cellStyle name="20% - Énfasis5 4 4" xfId="16998" xr:uid="{9EEC3DF8-488D-4CC6-B4C0-E8E7FD43FAAF}"/>
    <cellStyle name="20% - Énfasis5 4 4 2" xfId="23253" xr:uid="{D21794F8-694E-40C4-8804-4FCA4B0F16EB}"/>
    <cellStyle name="20% - Énfasis5 4 5" xfId="17787" xr:uid="{F024F95D-7AF0-4B33-A570-45E24470B143}"/>
    <cellStyle name="20% - Énfasis5 4 5 2" xfId="24025" xr:uid="{FE76DFCD-AF4F-49C0-80C8-60C296AA3378}"/>
    <cellStyle name="20% - Énfasis5 4 6" xfId="18221" xr:uid="{9BCC2E08-6C85-443D-9E24-3257C4D81255}"/>
    <cellStyle name="20% - Énfasis5 4 6 2" xfId="24396" xr:uid="{9792670E-CD23-4302-A09F-4D93D9E62930}"/>
    <cellStyle name="20% - Énfasis5 4 7" xfId="17786" xr:uid="{CB2C42CA-07C7-4772-BF20-33B0B5D74B4F}"/>
    <cellStyle name="20% - Énfasis5 4 7 2" xfId="24024" xr:uid="{12F167D0-1D95-405C-BC0B-AE99596C3C02}"/>
    <cellStyle name="20% - Énfasis5 4 8" xfId="18222" xr:uid="{84CE4189-E06F-4BC3-AD34-F8A4EAE49347}"/>
    <cellStyle name="20% - Énfasis5 4 8 2" xfId="24397" xr:uid="{DB2A5283-3E11-40EF-B0CB-85BB406B41A8}"/>
    <cellStyle name="20% - Énfasis5 4 9" xfId="18426" xr:uid="{C082C6D9-1002-4A63-9D82-517751E402E9}"/>
    <cellStyle name="20% - Énfasis5 4_1.2.b" xfId="15270" xr:uid="{339C556C-5565-432B-88F1-43AF55CB0C2F}"/>
    <cellStyle name="20% - Énfasis5 40" xfId="12969" xr:uid="{07A1A74F-721C-45C1-AEA7-325297960C48}"/>
    <cellStyle name="20% - Énfasis5 40 2" xfId="16999" xr:uid="{85425ECF-33A4-44D7-975C-01F556985E58}"/>
    <cellStyle name="20% - Énfasis5 40 2 2" xfId="23254" xr:uid="{CA4EFC92-7CCA-4899-A653-1363CBA66139}"/>
    <cellStyle name="20% - Énfasis5 40 3" xfId="21619" xr:uid="{29F7F510-3B73-49F7-94E2-98FEA8E11AB2}"/>
    <cellStyle name="20% - Énfasis5 40_1.2.b" xfId="15272" xr:uid="{B5046B5B-3632-4A26-8BE5-A2ACC4E04E19}"/>
    <cellStyle name="20% - Énfasis5 41" xfId="12970" xr:uid="{5503A224-18C6-4F86-A7AF-2FA9E408985D}"/>
    <cellStyle name="20% - Énfasis5 41 2" xfId="17000" xr:uid="{948FD682-0073-4D35-AE23-3D3C78F26E9A}"/>
    <cellStyle name="20% - Énfasis5 41 2 2" xfId="23255" xr:uid="{738F5821-9FB3-4552-83C2-B785333F40AB}"/>
    <cellStyle name="20% - Énfasis5 41 3" xfId="21620" xr:uid="{1E987710-8412-4676-974D-8E05666D471D}"/>
    <cellStyle name="20% - Énfasis5 41_1.2.b" xfId="15273" xr:uid="{A0428079-6EA6-45C9-9FC8-CFE962E6E707}"/>
    <cellStyle name="20% - Énfasis5 42" xfId="12971" xr:uid="{E60F45B7-0C76-4046-9505-64C6D60C3F55}"/>
    <cellStyle name="20% - Énfasis5 42 2" xfId="17001" xr:uid="{1AFA3C98-91C6-4713-8A00-E2A6559E33AC}"/>
    <cellStyle name="20% - Énfasis5 42 2 2" xfId="23256" xr:uid="{A3A05621-02C1-48B6-B3A6-ED2CDE55E2F2}"/>
    <cellStyle name="20% - Énfasis5 42 3" xfId="21621" xr:uid="{7E3A11BF-E2A6-40BE-9300-576E700907C7}"/>
    <cellStyle name="20% - Énfasis5 42_1.2.b" xfId="15274" xr:uid="{DEF5F3B5-F887-4990-90C4-0E6D59E013ED}"/>
    <cellStyle name="20% - Énfasis5 43" xfId="12972" xr:uid="{0D855ADF-927B-4910-82B9-FF8942038017}"/>
    <cellStyle name="20% - Énfasis5 43 2" xfId="17002" xr:uid="{54153BFD-3882-42D6-8846-30E4448CA1D1}"/>
    <cellStyle name="20% - Énfasis5 43 2 2" xfId="23257" xr:uid="{1E82B307-23E0-4F8F-8FCC-8DF719B45A04}"/>
    <cellStyle name="20% - Énfasis5 43 3" xfId="21622" xr:uid="{C84CA346-05E6-442B-A7C8-EDB2D24E9770}"/>
    <cellStyle name="20% - Énfasis5 43_1.2.b" xfId="15275" xr:uid="{8C7EBC38-D6C2-4E71-8E84-FF637EE4CA21}"/>
    <cellStyle name="20% - Énfasis5 44" xfId="12973" xr:uid="{B6C4F16F-1DB9-4DB5-B634-73B3B04A327F}"/>
    <cellStyle name="20% - Énfasis5 44 2" xfId="17003" xr:uid="{8BC8EE03-DEA4-4B9A-9201-DC3ABEE70546}"/>
    <cellStyle name="20% - Énfasis5 44 2 2" xfId="23258" xr:uid="{1E3DC55E-AE40-45C6-B2EE-C9BC2CC2B9CA}"/>
    <cellStyle name="20% - Énfasis5 44 3" xfId="21623" xr:uid="{867A4050-3697-41E6-8859-84F4014EE550}"/>
    <cellStyle name="20% - Énfasis5 44_1.2.b" xfId="15276" xr:uid="{94481F07-27FA-4302-82B2-F357C977B4CA}"/>
    <cellStyle name="20% - Énfasis5 45" xfId="12974" xr:uid="{0851F2DA-CEFB-4DA0-95F8-BF2F46B8DEBF}"/>
    <cellStyle name="20% - Énfasis5 45 2" xfId="17004" xr:uid="{7D9D674B-946C-4523-ABFE-6A0632985C6F}"/>
    <cellStyle name="20% - Énfasis5 45 2 2" xfId="23259" xr:uid="{1DBED6EB-57B9-45D9-B0F8-00B387638E51}"/>
    <cellStyle name="20% - Énfasis5 45 3" xfId="21624" xr:uid="{32B62A2F-4812-4182-B423-99D94E6D2A5B}"/>
    <cellStyle name="20% - Énfasis5 45_1.2.b" xfId="15277" xr:uid="{0123D323-1593-467B-9783-8967669BFF68}"/>
    <cellStyle name="20% - Énfasis5 46" xfId="12975" xr:uid="{A9EF8A5A-E4EA-43CF-8832-BFE1768D426E}"/>
    <cellStyle name="20% - Énfasis5 46 2" xfId="17005" xr:uid="{5703AA1D-ACC5-4E7C-9096-3BC5804CBC56}"/>
    <cellStyle name="20% - Énfasis5 46 2 2" xfId="23260" xr:uid="{B6DC9B94-A98D-4DB3-B796-828424543598}"/>
    <cellStyle name="20% - Énfasis5 46 3" xfId="21625" xr:uid="{882D1893-C718-49B7-9DDF-AA2E6127071B}"/>
    <cellStyle name="20% - Énfasis5 46_1.2.b" xfId="15278" xr:uid="{687FB488-10A2-4083-929F-CF9187E5A7DC}"/>
    <cellStyle name="20% - Énfasis5 47" xfId="12976" xr:uid="{2BAE7B09-9711-436F-BC24-E6C1B86F299E}"/>
    <cellStyle name="20% - Énfasis5 47 2" xfId="17006" xr:uid="{63FD04B5-AD99-42B5-BDE7-94CE122EC0D5}"/>
    <cellStyle name="20% - Énfasis5 47 2 2" xfId="23261" xr:uid="{71785735-C0C5-40E1-89A8-F281FCC0A5D2}"/>
    <cellStyle name="20% - Énfasis5 47 3" xfId="21626" xr:uid="{69143439-DF87-4EB0-AC8A-1800761766B3}"/>
    <cellStyle name="20% - Énfasis5 47_1.2.b" xfId="15279" xr:uid="{F6A1D5A6-D5B9-4734-BF95-CD9895AE368B}"/>
    <cellStyle name="20% - Énfasis5 48" xfId="12977" xr:uid="{E45C294E-8DC7-47DE-8592-126FBCFDEAC9}"/>
    <cellStyle name="20% - Énfasis5 48 2" xfId="17007" xr:uid="{22CDEA54-53F2-4F30-B4D0-327729D15045}"/>
    <cellStyle name="20% - Énfasis5 48 2 2" xfId="23262" xr:uid="{A9D0121E-FB58-4F99-AB97-C25C902A4657}"/>
    <cellStyle name="20% - Énfasis5 48 3" xfId="21627" xr:uid="{E258D7DA-69FB-4461-AE08-FCB50F89DE1C}"/>
    <cellStyle name="20% - Énfasis5 48_1.2.b" xfId="15280" xr:uid="{7B0C81DF-7791-4719-AEBA-68D04A69DCA5}"/>
    <cellStyle name="20% - Énfasis5 49" xfId="12978" xr:uid="{E5E8335C-AE6A-42DA-9CBC-CE75A90C059F}"/>
    <cellStyle name="20% - Énfasis5 49 2" xfId="17008" xr:uid="{E8FB9CD7-FAF2-460F-BA2D-9BBB156E8793}"/>
    <cellStyle name="20% - Énfasis5 49 2 2" xfId="23263" xr:uid="{312048C9-F969-43C3-AFA6-44A0BE00C659}"/>
    <cellStyle name="20% - Énfasis5 49 3" xfId="21628" xr:uid="{B8AD1E5D-6282-4061-818F-723472361473}"/>
    <cellStyle name="20% - Énfasis5 49_1.2.b" xfId="15281" xr:uid="{70E8CF04-B2C3-40C4-9009-2E9B1B1AB78C}"/>
    <cellStyle name="20% - Énfasis5 5" xfId="197" xr:uid="{00000000-0005-0000-0000-000088000000}"/>
    <cellStyle name="20% - Énfasis5 5 2" xfId="10717" xr:uid="{00000000-0005-0000-0000-000089000000}"/>
    <cellStyle name="20% - Énfasis5 5 2 2" xfId="19809" xr:uid="{5BA52858-5C53-4B31-86D3-BA63611CB710}"/>
    <cellStyle name="20% - Énfasis5 5 3" xfId="12979" xr:uid="{0AAD877B-F8AC-4DD8-BB04-03A4A6E39F80}"/>
    <cellStyle name="20% - Énfasis5 5 3 2" xfId="21629" xr:uid="{3EC6D639-F6BA-4343-BF93-F615C3F7910D}"/>
    <cellStyle name="20% - Énfasis5 5 4" xfId="17009" xr:uid="{A6A90EB1-A1D2-4BBA-BE86-BF331D7E30C3}"/>
    <cellStyle name="20% - Énfasis5 5 4 2" xfId="23264" xr:uid="{56C0F58E-87B1-4325-B2E9-E939B52348A4}"/>
    <cellStyle name="20% - Énfasis5 5 5" xfId="18441" xr:uid="{B46D7D61-24AF-49AB-9A07-B9D002CD97EB}"/>
    <cellStyle name="20% - Énfasis5 5_1.2.b" xfId="15282" xr:uid="{09860B11-6FF7-47A5-9C90-11A951E484D6}"/>
    <cellStyle name="20% - Énfasis5 50" xfId="12980" xr:uid="{A668B7E4-3A03-4F61-BB42-057A8022398F}"/>
    <cellStyle name="20% - Énfasis5 50 2" xfId="17010" xr:uid="{59767C09-AA3B-4870-8C83-014A9AD81D90}"/>
    <cellStyle name="20% - Énfasis5 50 2 2" xfId="23265" xr:uid="{79390C25-9040-4A78-94BB-EF2D205A4BBC}"/>
    <cellStyle name="20% - Énfasis5 50 3" xfId="21630" xr:uid="{545A00F6-0A8C-47A2-8028-DD6D18C9947E}"/>
    <cellStyle name="20% - Énfasis5 50_1.2.b" xfId="15283" xr:uid="{81D52730-2C3C-4612-B335-3B828875A0D0}"/>
    <cellStyle name="20% - Énfasis5 51" xfId="12981" xr:uid="{D4709A1F-85E4-4079-B159-D8F78435DC4C}"/>
    <cellStyle name="20% - Énfasis5 51 2" xfId="17011" xr:uid="{153EBA0C-ED45-4FBF-9F02-994CD084B0BF}"/>
    <cellStyle name="20% - Énfasis5 51 2 2" xfId="23266" xr:uid="{6D53D378-C1BA-4572-A7F1-47FFDD04335E}"/>
    <cellStyle name="20% - Énfasis5 51 3" xfId="21631" xr:uid="{499A7120-7822-48B0-BF88-B3CC87CCFD4E}"/>
    <cellStyle name="20% - Énfasis5 51_1.2.b" xfId="15284" xr:uid="{B6311655-A777-4D18-8AEF-1B3D52A68E2B}"/>
    <cellStyle name="20% - Énfasis5 52" xfId="12982" xr:uid="{ACD5DED8-D290-4E53-A748-B4177A65832F}"/>
    <cellStyle name="20% - Énfasis5 52 2" xfId="17012" xr:uid="{02C42048-B731-4964-AC26-25A1DF71A49A}"/>
    <cellStyle name="20% - Énfasis5 52 2 2" xfId="23267" xr:uid="{35A75288-7261-4083-985B-1CB3FF18AA14}"/>
    <cellStyle name="20% - Énfasis5 52 3" xfId="21632" xr:uid="{62C4EB6B-DB21-45EC-85AE-500534446D88}"/>
    <cellStyle name="20% - Énfasis5 52_1.2.b" xfId="15285" xr:uid="{8BE3410E-3C99-4415-81D2-BDD13F734F4D}"/>
    <cellStyle name="20% - Énfasis5 53" xfId="12983" xr:uid="{A9833F52-2D1F-4748-9BC3-DC0440F4BFD7}"/>
    <cellStyle name="20% - Énfasis5 53 2" xfId="17013" xr:uid="{09A15C63-95FA-41DE-93F1-5EF3A2EEE7BC}"/>
    <cellStyle name="20% - Énfasis5 53 2 2" xfId="23268" xr:uid="{3E3BE29E-D891-4D4E-B1E3-81304489658E}"/>
    <cellStyle name="20% - Énfasis5 53 3" xfId="21633" xr:uid="{042E49F7-BC1B-473A-BD53-248ACF7044BC}"/>
    <cellStyle name="20% - Énfasis5 53_1.2.b" xfId="15286" xr:uid="{C8771CD6-97B8-473C-9FB1-78E375A1D3AE}"/>
    <cellStyle name="20% - Énfasis5 54" xfId="12984" xr:uid="{87D516CA-B134-4EB1-BBCE-1948BB9A2A10}"/>
    <cellStyle name="20% - Énfasis5 54 2" xfId="17014" xr:uid="{DF968AB1-6880-4505-B250-9DF789499D5E}"/>
    <cellStyle name="20% - Énfasis5 54 2 2" xfId="23269" xr:uid="{CF66D0AF-90C3-4FC9-BEE2-AEA0E70315FA}"/>
    <cellStyle name="20% - Énfasis5 54 3" xfId="21634" xr:uid="{CF9359F0-C10A-4D64-A1C8-A1FD7F99CF7A}"/>
    <cellStyle name="20% - Énfasis5 54_1.2.b" xfId="15287" xr:uid="{1D69E6C3-CB82-4F85-BE6E-9CDF60EB45D9}"/>
    <cellStyle name="20% - Énfasis5 55" xfId="12985" xr:uid="{3FA8A201-7044-4FEA-B5D8-60347EADAB6A}"/>
    <cellStyle name="20% - Énfasis5 55 2" xfId="17015" xr:uid="{0EEBA632-E042-4D47-995B-0977B74A6381}"/>
    <cellStyle name="20% - Énfasis5 55 2 2" xfId="23270" xr:uid="{3D10CFE9-21E2-4D0E-AC44-C24886B849E4}"/>
    <cellStyle name="20% - Énfasis5 55 3" xfId="21635" xr:uid="{D4688527-2026-443A-9694-5A6E91D7B1F8}"/>
    <cellStyle name="20% - Énfasis5 55_1.2.b" xfId="15288" xr:uid="{13957D48-4B08-4BCD-8EA5-7A02B01C61A3}"/>
    <cellStyle name="20% - Énfasis5 56" xfId="12986" xr:uid="{1EAB73AC-C0CB-4BB2-ADDA-8C5179A7EDC8}"/>
    <cellStyle name="20% - Énfasis5 56 2" xfId="17016" xr:uid="{27E46541-E313-45FF-989C-5FFEE9189AF8}"/>
    <cellStyle name="20% - Énfasis5 56 2 2" xfId="23271" xr:uid="{FE078D26-6229-4479-AC5C-E1A6E398BF1B}"/>
    <cellStyle name="20% - Énfasis5 56 3" xfId="21636" xr:uid="{9E7C6C80-61D8-4BC1-A50B-40E476C3CD24}"/>
    <cellStyle name="20% - Énfasis5 56_1.2.b" xfId="15289" xr:uid="{3DE35A12-0FD4-485E-BA34-92CD8F444BF0}"/>
    <cellStyle name="20% - Énfasis5 57" xfId="12987" xr:uid="{4A940D5C-1974-4769-A209-B41BC1D28D0F}"/>
    <cellStyle name="20% - Énfasis5 57 2" xfId="17017" xr:uid="{D6E975DC-594C-4121-8B22-4477E2F2CC60}"/>
    <cellStyle name="20% - Énfasis5 57 2 2" xfId="23272" xr:uid="{4BB8D1DD-7172-43C3-BB22-FACC6FA64A05}"/>
    <cellStyle name="20% - Énfasis5 57 3" xfId="21637" xr:uid="{1A34B44B-9B30-46C6-AE67-6D1D088ED2D8}"/>
    <cellStyle name="20% - Énfasis5 57_1.2.b" xfId="15290" xr:uid="{B315F41B-CCEB-4B1A-9984-480F56C785C9}"/>
    <cellStyle name="20% - Énfasis5 58" xfId="12988" xr:uid="{B4EB20FA-2383-49E7-B1D9-E4D6C144680C}"/>
    <cellStyle name="20% - Énfasis5 58 2" xfId="17018" xr:uid="{909B7DDE-7E54-4448-8AA7-2207020EE166}"/>
    <cellStyle name="20% - Énfasis5 58 2 2" xfId="23273" xr:uid="{A6C20473-F04E-4FED-97DA-60390398CEE2}"/>
    <cellStyle name="20% - Énfasis5 58 3" xfId="21638" xr:uid="{E2745662-35AB-4EC6-8035-8205918ABE04}"/>
    <cellStyle name="20% - Énfasis5 58_1.2.b" xfId="15291" xr:uid="{8D313526-6DC4-4E02-9129-4237D799DA24}"/>
    <cellStyle name="20% - Énfasis5 59" xfId="12989" xr:uid="{43B7C907-A685-4725-826D-3935F8A2FFE6}"/>
    <cellStyle name="20% - Énfasis5 59 2" xfId="17019" xr:uid="{675D8F78-2F71-495E-B626-E1B5A85FE7B5}"/>
    <cellStyle name="20% - Énfasis5 59 2 2" xfId="23274" xr:uid="{7D0E6783-52F3-43DA-A7A5-40D9D33625CF}"/>
    <cellStyle name="20% - Énfasis5 59 3" xfId="21639" xr:uid="{7088A6ED-BF64-4406-90BB-076FF0C18DB0}"/>
    <cellStyle name="20% - Énfasis5 59_1.2.b" xfId="15292" xr:uid="{0260EF50-4671-4E96-A8B8-4E336B07AC29}"/>
    <cellStyle name="20% - Énfasis5 6" xfId="211" xr:uid="{00000000-0005-0000-0000-00008A000000}"/>
    <cellStyle name="20% - Énfasis5 6 2" xfId="10731" xr:uid="{00000000-0005-0000-0000-00008B000000}"/>
    <cellStyle name="20% - Énfasis5 6 2 2" xfId="19823" xr:uid="{EBB47E81-607A-4F5A-A182-857951B6FF16}"/>
    <cellStyle name="20% - Énfasis5 6 3" xfId="12990" xr:uid="{FAE1D9F7-9242-41F6-B9C8-AF32CD5F91E8}"/>
    <cellStyle name="20% - Énfasis5 6 3 2" xfId="21640" xr:uid="{169E8663-9894-409A-8A1A-8CB318D6951F}"/>
    <cellStyle name="20% - Énfasis5 6 4" xfId="17020" xr:uid="{E7A8A72F-A435-444A-B89F-81EDE9AB4E6C}"/>
    <cellStyle name="20% - Énfasis5 6 4 2" xfId="23275" xr:uid="{C116BA66-D6AF-4569-97B6-38182FECAE73}"/>
    <cellStyle name="20% - Énfasis5 6 5" xfId="18455" xr:uid="{8C2B7C67-934A-4380-825D-F3283C5CEF33}"/>
    <cellStyle name="20% - Énfasis5 6_1.2.b" xfId="15293" xr:uid="{89B2D185-3E48-4408-A168-724B3E7FA39E}"/>
    <cellStyle name="20% - Énfasis5 60" xfId="12991" xr:uid="{291669DD-A7E1-45C3-AC02-2A7E10EAA154}"/>
    <cellStyle name="20% - Énfasis5 60 2" xfId="17021" xr:uid="{FEE40030-935A-430D-8508-CF3279E34459}"/>
    <cellStyle name="20% - Énfasis5 60 2 2" xfId="23276" xr:uid="{5F1523DC-B724-48C1-AE05-DB654291CEED}"/>
    <cellStyle name="20% - Énfasis5 60 3" xfId="21641" xr:uid="{5B3A0405-687F-469D-8BE0-177089C5A953}"/>
    <cellStyle name="20% - Énfasis5 60_1.2.b" xfId="15294" xr:uid="{01DEE104-685B-42D4-BB16-536EFBA903B8}"/>
    <cellStyle name="20% - Énfasis5 61" xfId="12992" xr:uid="{4D78166B-A8DF-4371-9892-C86D711F30FF}"/>
    <cellStyle name="20% - Énfasis5 61 2" xfId="17022" xr:uid="{90F3B37A-4907-49F6-8D09-E8D6255CC4E4}"/>
    <cellStyle name="20% - Énfasis5 61 2 2" xfId="23277" xr:uid="{F19FA8A1-309F-4688-A849-8FD6CAC90AF2}"/>
    <cellStyle name="20% - Énfasis5 61 3" xfId="21642" xr:uid="{8D666005-7D1C-4D7E-881B-7795C68791C0}"/>
    <cellStyle name="20% - Énfasis5 61_1.2.b" xfId="15295" xr:uid="{5C1456DF-439A-448E-9961-69F64C0C60AC}"/>
    <cellStyle name="20% - Énfasis5 62" xfId="12993" xr:uid="{1C5E4870-653D-4D52-877B-B43D72973EAB}"/>
    <cellStyle name="20% - Énfasis5 62 2" xfId="17023" xr:uid="{D061956C-5D26-4056-B056-C14FE32A6FD7}"/>
    <cellStyle name="20% - Énfasis5 62 2 2" xfId="23278" xr:uid="{F95ABF0B-6F37-40F8-B2DD-6A8DDFF6EFC8}"/>
    <cellStyle name="20% - Énfasis5 62 3" xfId="21643" xr:uid="{2DD5663F-B399-40E0-AFDC-A819D2BA95FA}"/>
    <cellStyle name="20% - Énfasis5 62_1.2.b" xfId="15296" xr:uid="{063CF967-CF17-41B2-B1D0-4A2F0E4C27AA}"/>
    <cellStyle name="20% - Énfasis5 63" xfId="12994" xr:uid="{EEE6D983-B382-4D78-AEE6-884CDD11408E}"/>
    <cellStyle name="20% - Énfasis5 63 2" xfId="17024" xr:uid="{9A9C24E3-6A23-46D9-B95B-94F032C5DFF5}"/>
    <cellStyle name="20% - Énfasis5 63 2 2" xfId="23279" xr:uid="{71A8C97F-03B8-409D-8625-2811418D42D0}"/>
    <cellStyle name="20% - Énfasis5 63 3" xfId="21644" xr:uid="{BEA759A5-1D57-4D85-B1E3-260AC674CBFE}"/>
    <cellStyle name="20% - Énfasis5 63_1.2.b" xfId="15297" xr:uid="{0E2235E0-D5EC-44DC-9135-6CC0062DBC0D}"/>
    <cellStyle name="20% - Énfasis5 64" xfId="12995" xr:uid="{56ED3323-CBBC-47F4-B0E8-0642EE148ECD}"/>
    <cellStyle name="20% - Énfasis5 64 2" xfId="17025" xr:uid="{DF082623-1264-452F-93ED-D6A3F6C8943E}"/>
    <cellStyle name="20% - Énfasis5 64 2 2" xfId="23280" xr:uid="{A2610F84-EAA3-463D-B24B-181792394F74}"/>
    <cellStyle name="20% - Énfasis5 64 3" xfId="21645" xr:uid="{DED83090-5A01-4CAE-99C0-C43EB3267336}"/>
    <cellStyle name="20% - Énfasis5 64_1.2.b" xfId="15298" xr:uid="{A73CD611-5AC7-4086-B4A2-B5FB57860D40}"/>
    <cellStyle name="20% - Énfasis5 65" xfId="12996" xr:uid="{43D1CC6B-E168-4D59-98EE-45DD06F4865E}"/>
    <cellStyle name="20% - Énfasis5 65 2" xfId="17026" xr:uid="{CE4DF043-C9F0-4552-9DD1-56E6A22B871D}"/>
    <cellStyle name="20% - Énfasis5 65 2 2" xfId="23281" xr:uid="{55BFC21E-A484-4A54-9571-73D6FDFC8347}"/>
    <cellStyle name="20% - Énfasis5 65 3" xfId="21646" xr:uid="{9D117390-4235-49B1-A45D-2C0BA376C4F9}"/>
    <cellStyle name="20% - Énfasis5 65_1.2.b" xfId="15299" xr:uid="{87741035-B55D-49BC-87CC-D0C78A1DE793}"/>
    <cellStyle name="20% - Énfasis5 66" xfId="12997" xr:uid="{ED69FD53-856F-4635-9AC9-35D45147A51D}"/>
    <cellStyle name="20% - Énfasis5 66 2" xfId="17027" xr:uid="{1C828B9F-5A05-45C3-9EDB-4A9E5E36CDBD}"/>
    <cellStyle name="20% - Énfasis5 66 2 2" xfId="23282" xr:uid="{4F8CAF3C-52FC-4376-B9A8-E9D7BDD68618}"/>
    <cellStyle name="20% - Énfasis5 66 3" xfId="21647" xr:uid="{3E9D0195-7E3B-4611-B8BF-E23A94474321}"/>
    <cellStyle name="20% - Énfasis5 66_1.2.b" xfId="15300" xr:uid="{4C87155D-3E00-4DF1-BD39-BF391937F5F9}"/>
    <cellStyle name="20% - Énfasis5 67" xfId="12998" xr:uid="{13B17CBF-A3CE-4543-B221-DFA66470E956}"/>
    <cellStyle name="20% - Énfasis5 67 2" xfId="17028" xr:uid="{4ED416FF-F365-4785-B855-0B3E9D503C56}"/>
    <cellStyle name="20% - Énfasis5 67 2 2" xfId="23283" xr:uid="{4CD062D7-DEF0-4B87-BDE8-95AE7A31944E}"/>
    <cellStyle name="20% - Énfasis5 67 3" xfId="21648" xr:uid="{4E3A94BB-050E-4EC1-BFF0-915C4E02B861}"/>
    <cellStyle name="20% - Énfasis5 67_1.2.b" xfId="15301" xr:uid="{C25AAA14-F5DB-4489-BE4D-7264089D4FE7}"/>
    <cellStyle name="20% - Énfasis5 68" xfId="12999" xr:uid="{60E6C0FC-3476-4712-BCCC-5735EB49CDCA}"/>
    <cellStyle name="20% - Énfasis5 68 2" xfId="17029" xr:uid="{9962F226-C13F-41D1-B0D9-8EDD01D2B8CC}"/>
    <cellStyle name="20% - Énfasis5 68 2 2" xfId="23284" xr:uid="{458D9B6D-6DDD-4FE2-8DD0-41AC7E07F4E9}"/>
    <cellStyle name="20% - Énfasis5 68 3" xfId="21649" xr:uid="{B990B9B4-401B-4BE1-9C24-7CFA7E9B82E1}"/>
    <cellStyle name="20% - Énfasis5 68_1.2.b" xfId="15302" xr:uid="{59B514EB-9E50-45F8-AD33-B6D689CFA9DC}"/>
    <cellStyle name="20% - Énfasis5 69" xfId="13000" xr:uid="{CD02C97C-EFA3-4D21-9987-75F19CA53E86}"/>
    <cellStyle name="20% - Énfasis5 69 2" xfId="17030" xr:uid="{86ABFD41-7228-4FB4-84A4-90043AD78D04}"/>
    <cellStyle name="20% - Énfasis5 69 2 2" xfId="23285" xr:uid="{B96784E5-658F-475C-B392-5D9DA28E691C}"/>
    <cellStyle name="20% - Énfasis5 69 3" xfId="21650" xr:uid="{7E40572D-40A0-4698-9396-B5D2AEB7F46D}"/>
    <cellStyle name="20% - Énfasis5 69_1.2.b" xfId="15303" xr:uid="{9F84FB6F-AB6B-4503-B0E5-CC0F8C379603}"/>
    <cellStyle name="20% - Énfasis5 7" xfId="9835" xr:uid="{00000000-0005-0000-0000-00008C000000}"/>
    <cellStyle name="20% - Énfasis5 7 2" xfId="11621" xr:uid="{00000000-0005-0000-0000-00008D000000}"/>
    <cellStyle name="20% - Énfasis5 7 2 2" xfId="20390" xr:uid="{412C3D2F-A768-4166-B933-8FA40542240F}"/>
    <cellStyle name="20% - Énfasis5 7 3" xfId="13001" xr:uid="{10B2D115-764C-475F-82CE-73754675695C}"/>
    <cellStyle name="20% - Énfasis5 7 3 2" xfId="21651" xr:uid="{A63D8F3E-31BC-47E8-A07D-020AD545D872}"/>
    <cellStyle name="20% - Énfasis5 7 4" xfId="17031" xr:uid="{91BF4DAF-F75B-42BD-9DA7-9BDF1A30C5A6}"/>
    <cellStyle name="20% - Énfasis5 7 4 2" xfId="23286" xr:uid="{F301B844-3D85-4F88-8DDD-DED7FC447ECE}"/>
    <cellStyle name="20% - Énfasis5 7 5" xfId="19022" xr:uid="{C20FC45D-50F5-4252-A61E-C0DE390B3769}"/>
    <cellStyle name="20% - Énfasis5 7_1.2.b" xfId="15304" xr:uid="{EF0D12EE-C123-4140-BE8F-D1F609330140}"/>
    <cellStyle name="20% - Énfasis5 70" xfId="13002" xr:uid="{7D38F8CC-65AF-44AD-BE85-356C7DCCFBFC}"/>
    <cellStyle name="20% - Énfasis5 70 2" xfId="17032" xr:uid="{E329BEB4-48CF-4369-B4C1-0C63CD51E13B}"/>
    <cellStyle name="20% - Énfasis5 70 2 2" xfId="23287" xr:uid="{7A2077A3-2E05-4A1A-BAA0-10E80D48D912}"/>
    <cellStyle name="20% - Énfasis5 70 3" xfId="21652" xr:uid="{3CB2D1B6-32F9-4467-8421-966E05A50D33}"/>
    <cellStyle name="20% - Énfasis5 70_1.2.b" xfId="15305" xr:uid="{59DABCAC-806B-4EE6-98A7-4C99DBEE93E5}"/>
    <cellStyle name="20% - Énfasis5 71" xfId="13003" xr:uid="{6D077DCF-C08E-4EC3-8C85-331B2246672A}"/>
    <cellStyle name="20% - Énfasis5 71 2" xfId="17033" xr:uid="{AB14C2E8-24A4-4CFE-90F9-895E9F9CB025}"/>
    <cellStyle name="20% - Énfasis5 71 2 2" xfId="23288" xr:uid="{EE045FE2-25B7-4974-BAEB-0056E43C3E87}"/>
    <cellStyle name="20% - Énfasis5 71 3" xfId="21653" xr:uid="{28571054-C20F-41A3-A417-8A0037DA24BC}"/>
    <cellStyle name="20% - Énfasis5 71_1.2.b" xfId="15306" xr:uid="{1F112EFF-EC36-41FE-A3E9-F97910A6158D}"/>
    <cellStyle name="20% - Énfasis5 72" xfId="13004" xr:uid="{2E2C3DEA-2E93-4018-ABD8-06A6AC662BA0}"/>
    <cellStyle name="20% - Énfasis5 72 2" xfId="17034" xr:uid="{DFDF0FAD-81EC-4E0D-9E9B-F8278830DD92}"/>
    <cellStyle name="20% - Énfasis5 72 2 2" xfId="23289" xr:uid="{02BB3170-9F15-4890-A240-8B5926910A69}"/>
    <cellStyle name="20% - Énfasis5 72 3" xfId="21654" xr:uid="{BA68EDCE-15E4-4749-B734-6F55734A6290}"/>
    <cellStyle name="20% - Énfasis5 72_1.2.b" xfId="15307" xr:uid="{5C30C867-AD0A-48D2-B38D-436DEA822704}"/>
    <cellStyle name="20% - Énfasis5 73" xfId="13005" xr:uid="{F4ED2DE4-5DB0-45DF-8929-AA8894204B4C}"/>
    <cellStyle name="20% - Énfasis5 73 2" xfId="17035" xr:uid="{2F6D9C62-4BC1-47C1-953C-FE2E053567A6}"/>
    <cellStyle name="20% - Énfasis5 73 2 2" xfId="23290" xr:uid="{23E99FA3-6BEF-4DB3-8CBC-06ADA12FCA09}"/>
    <cellStyle name="20% - Énfasis5 73 3" xfId="21655" xr:uid="{BAA51BE2-5139-4954-9424-43392BA8BF64}"/>
    <cellStyle name="20% - Énfasis5 73_1.2.b" xfId="15308" xr:uid="{0115A28D-10CF-4F07-93B1-BB0937123A1F}"/>
    <cellStyle name="20% - Énfasis5 74" xfId="13006" xr:uid="{29793789-4034-4CA1-913A-12D5909CAD75}"/>
    <cellStyle name="20% - Énfasis5 74 2" xfId="17036" xr:uid="{B0CA5FC0-9D59-47A2-BC4B-EC96FF68732A}"/>
    <cellStyle name="20% - Énfasis5 74 2 2" xfId="23291" xr:uid="{839E4BD1-B74D-4D28-B4F4-FCF73D096249}"/>
    <cellStyle name="20% - Énfasis5 74 3" xfId="21656" xr:uid="{DDAD10B8-6E0F-472B-8573-B13C0FE9FEBD}"/>
    <cellStyle name="20% - Énfasis5 74_1.2.b" xfId="15309" xr:uid="{BE5E0782-E9C5-416F-91E7-7853F1ADAFED}"/>
    <cellStyle name="20% - Énfasis5 75" xfId="13007" xr:uid="{D58135C9-C3BE-4236-842B-83BE96FB75E3}"/>
    <cellStyle name="20% - Énfasis5 75 2" xfId="17037" xr:uid="{5B7A6466-7816-45BD-84C0-0121BE3E786D}"/>
    <cellStyle name="20% - Énfasis5 75 2 2" xfId="23292" xr:uid="{BF062B8E-CACE-488E-8C7A-42C94A68D9EC}"/>
    <cellStyle name="20% - Énfasis5 75 3" xfId="21657" xr:uid="{1A5534FA-EA67-4D8B-BB0D-0EAFD58BB992}"/>
    <cellStyle name="20% - Énfasis5 75_1.2.b" xfId="15310" xr:uid="{7CA04C5A-D246-4A2E-ADDA-9DFA1C93D60A}"/>
    <cellStyle name="20% - Énfasis5 76" xfId="13008" xr:uid="{C603055B-EBBB-488E-B710-185278E79956}"/>
    <cellStyle name="20% - Énfasis5 76 2" xfId="17038" xr:uid="{78077A0A-F5DF-4B5B-B3F7-F2E6C6B163A8}"/>
    <cellStyle name="20% - Énfasis5 76 2 2" xfId="23293" xr:uid="{BEF85FEE-0A45-476D-8B34-AF12C415A1F7}"/>
    <cellStyle name="20% - Énfasis5 76 3" xfId="21658" xr:uid="{B5E5563D-6FCA-470F-A1C1-C29E1B78E6BB}"/>
    <cellStyle name="20% - Énfasis5 76_1.2.b" xfId="15311" xr:uid="{B911572A-1B4C-4C14-91CC-D1673040C294}"/>
    <cellStyle name="20% - Énfasis5 77" xfId="13009" xr:uid="{4E90B946-5834-45D2-A10C-02528D05A8AC}"/>
    <cellStyle name="20% - Énfasis5 77 2" xfId="17039" xr:uid="{73130AC7-AD85-49C8-B76A-8EBCEE9FC317}"/>
    <cellStyle name="20% - Énfasis5 77 2 2" xfId="23294" xr:uid="{6C8EA5C6-D3ED-4E15-9A78-C25113043AC4}"/>
    <cellStyle name="20% - Énfasis5 77 3" xfId="21659" xr:uid="{4D112F9F-81C6-4733-ADDD-9074D344CD8A}"/>
    <cellStyle name="20% - Énfasis5 77_1.2.b" xfId="15312" xr:uid="{10DB0F5C-1382-48F3-ABDC-8EE2AD87BD3A}"/>
    <cellStyle name="20% - Énfasis5 78" xfId="13010" xr:uid="{A68DAE34-FA6D-477C-9750-D4315225DA0C}"/>
    <cellStyle name="20% - Énfasis5 78 2" xfId="17040" xr:uid="{6BFC59AE-DA0E-4DA1-9289-EE73DCE26FE1}"/>
    <cellStyle name="20% - Énfasis5 78 2 2" xfId="23295" xr:uid="{1DFC95A6-5A99-4251-A914-84F4DEC7B0A2}"/>
    <cellStyle name="20% - Énfasis5 78 3" xfId="21660" xr:uid="{3C5B7493-705E-4DBB-BEEC-6C87C81F184E}"/>
    <cellStyle name="20% - Énfasis5 78_1.2.b" xfId="15313" xr:uid="{118AF068-88E3-4E2E-88B6-039FCF39471E}"/>
    <cellStyle name="20% - Énfasis5 79" xfId="13011" xr:uid="{1FEBD7C3-3B77-4301-B2C2-6AF3BEFBB690}"/>
    <cellStyle name="20% - Énfasis5 79 2" xfId="17041" xr:uid="{5017BCBB-46AA-480D-B516-81E37F112102}"/>
    <cellStyle name="20% - Énfasis5 79 2 2" xfId="23296" xr:uid="{2C7EA732-490D-42CC-B5BB-564D4FF5BA21}"/>
    <cellStyle name="20% - Énfasis5 79 3" xfId="21661" xr:uid="{9636252D-237C-444B-A04E-C3B80789F91B}"/>
    <cellStyle name="20% - Énfasis5 79_1.2.b" xfId="15314" xr:uid="{0286210C-B00A-4FCB-8904-7A11E70B92BA}"/>
    <cellStyle name="20% - Énfasis5 8" xfId="9854" xr:uid="{00000000-0005-0000-0000-00008E000000}"/>
    <cellStyle name="20% - Énfasis5 8 2" xfId="11639" xr:uid="{00000000-0005-0000-0000-00008F000000}"/>
    <cellStyle name="20% - Énfasis5 8 2 2" xfId="20406" xr:uid="{547390C5-6BDB-4010-8635-39D4F38AFF3F}"/>
    <cellStyle name="20% - Énfasis5 8 3" xfId="13012" xr:uid="{1049A447-FB2C-42BF-BB04-37ED5622EAD6}"/>
    <cellStyle name="20% - Énfasis5 8 3 2" xfId="21662" xr:uid="{BD3DD537-E4C4-4E7C-B4FE-F5C35A52B038}"/>
    <cellStyle name="20% - Énfasis5 8 4" xfId="17042" xr:uid="{F9B8575B-FDEC-4E82-B713-90510722060D}"/>
    <cellStyle name="20% - Énfasis5 8 4 2" xfId="23297" xr:uid="{97E5EA4C-3AAE-4FBA-B8B6-9734B15EAEB6}"/>
    <cellStyle name="20% - Énfasis5 8 5" xfId="19038" xr:uid="{78CD2DA0-E7E4-4F7E-8ED1-F3C61DE2F81B}"/>
    <cellStyle name="20% - Énfasis5 8_1.2.b" xfId="15315" xr:uid="{F2743331-CBBD-4DF3-B220-57F1F4A5D416}"/>
    <cellStyle name="20% - Énfasis5 80" xfId="13013" xr:uid="{7D90950C-44FF-4FDE-95BC-96334D1D0949}"/>
    <cellStyle name="20% - Énfasis5 80 2" xfId="17043" xr:uid="{7EB6D03C-FDE8-4015-82D9-64C6F66F56F4}"/>
    <cellStyle name="20% - Énfasis5 80 2 2" xfId="23298" xr:uid="{2901BD15-C2AF-4988-AD70-57BCCB6111E4}"/>
    <cellStyle name="20% - Énfasis5 80 3" xfId="21663" xr:uid="{7D32BAA1-8266-40B9-81CE-FAB5B09D90ED}"/>
    <cellStyle name="20% - Énfasis5 80_1.2.b" xfId="15316" xr:uid="{40EAAEDE-D1C7-4F92-8515-274CE2905BCE}"/>
    <cellStyle name="20% - Énfasis5 81" xfId="13014" xr:uid="{30BF7240-DF12-4D77-8958-B798F34958D2}"/>
    <cellStyle name="20% - Énfasis5 81 2" xfId="17044" xr:uid="{02FBD1FC-CAFE-46FB-B775-BD73C8F76850}"/>
    <cellStyle name="20% - Énfasis5 81 2 2" xfId="23299" xr:uid="{1A3929B4-27D1-47E0-8175-A9649F1DEE93}"/>
    <cellStyle name="20% - Énfasis5 81 3" xfId="21664" xr:uid="{C8A8839A-CB62-4CE8-A1B4-6384AB512B07}"/>
    <cellStyle name="20% - Énfasis5 81_1.2.b" xfId="15317" xr:uid="{95BABB56-3C5C-467E-9C2F-7B0FF6A5F1E3}"/>
    <cellStyle name="20% - Énfasis5 82" xfId="13015" xr:uid="{39E411BE-86A8-4D99-AFC5-9F10C3545B00}"/>
    <cellStyle name="20% - Énfasis5 82 2" xfId="17045" xr:uid="{33400836-54CD-4ED6-98AE-0187A27409FD}"/>
    <cellStyle name="20% - Énfasis5 82 2 2" xfId="23300" xr:uid="{9D425EC3-91AB-49D9-A671-A0B3C8797F24}"/>
    <cellStyle name="20% - Énfasis5 82 3" xfId="21665" xr:uid="{97949DDA-2E20-44D1-A1F7-AB255A85009F}"/>
    <cellStyle name="20% - Énfasis5 82_1.2.b" xfId="15318" xr:uid="{A401A976-DC78-4D46-AAAC-9A807AA38A42}"/>
    <cellStyle name="20% - Énfasis5 83" xfId="13016" xr:uid="{96356714-6BA4-464C-970F-0CAEF4AF3D02}"/>
    <cellStyle name="20% - Énfasis5 83 2" xfId="17046" xr:uid="{6F258568-80F2-47D3-86CD-4C8964229BFA}"/>
    <cellStyle name="20% - Énfasis5 83 2 2" xfId="23301" xr:uid="{E93457A4-7EFE-4546-9B57-C91A9B5B3438}"/>
    <cellStyle name="20% - Énfasis5 83 3" xfId="21666" xr:uid="{99618C36-0357-4F9F-9609-BD1CAA0E2DA3}"/>
    <cellStyle name="20% - Énfasis5 83_1.2.b" xfId="15319" xr:uid="{30D7D2F4-361B-4C7A-B4CA-178FA5532FB4}"/>
    <cellStyle name="20% - Énfasis5 84" xfId="13017" xr:uid="{938F6348-F573-4240-9958-2C7E3C6EBAEB}"/>
    <cellStyle name="20% - Énfasis5 84 2" xfId="17047" xr:uid="{9DCA500A-6E89-4DE5-9B06-2E41B977C209}"/>
    <cellStyle name="20% - Énfasis5 84 2 2" xfId="23302" xr:uid="{B9B453E9-6297-455A-A54B-B559C2BEBEBD}"/>
    <cellStyle name="20% - Énfasis5 84 3" xfId="21667" xr:uid="{3E2B4C89-6C9E-44F3-8034-6F110FF7EB74}"/>
    <cellStyle name="20% - Énfasis5 84_1.2.b" xfId="15320" xr:uid="{30A6011D-A8C5-43F0-97D9-E254131F9D0B}"/>
    <cellStyle name="20% - Énfasis5 85" xfId="13018" xr:uid="{833BE632-ADA9-4A82-812C-0509B096865E}"/>
    <cellStyle name="20% - Énfasis5 85 2" xfId="17048" xr:uid="{8BFA5684-4ABF-4C70-A66B-B865DB21692A}"/>
    <cellStyle name="20% - Énfasis5 85 2 2" xfId="23303" xr:uid="{D44AE8ED-9543-4A6A-ACE9-D071A3AC5F34}"/>
    <cellStyle name="20% - Énfasis5 85 3" xfId="21668" xr:uid="{E30C7C09-FE84-458A-A066-739F46373095}"/>
    <cellStyle name="20% - Énfasis5 85_1.2.b" xfId="15321" xr:uid="{2555709B-C4DB-4A40-B483-D3EFFC3A0275}"/>
    <cellStyle name="20% - Énfasis5 86" xfId="13019" xr:uid="{05CA064C-2605-4E54-9495-5735EBAB246A}"/>
    <cellStyle name="20% - Énfasis5 86 2" xfId="17049" xr:uid="{C104ADB9-394C-4DE7-84A9-F69FC257B956}"/>
    <cellStyle name="20% - Énfasis5 86 2 2" xfId="23304" xr:uid="{2DACB192-8DD1-43B7-BA0F-0D44593E6C7D}"/>
    <cellStyle name="20% - Énfasis5 86 3" xfId="21669" xr:uid="{450BE464-8781-4828-81EC-A4E640F8B820}"/>
    <cellStyle name="20% - Énfasis5 86_1.2.b" xfId="15322" xr:uid="{390EFE69-CC10-41A9-8798-2ECED9735C54}"/>
    <cellStyle name="20% - Énfasis5 87" xfId="13020" xr:uid="{549A295E-8EFE-43C3-A889-E7E4D63AEB45}"/>
    <cellStyle name="20% - Énfasis5 87 2" xfId="17050" xr:uid="{E300B9A8-4437-43DB-939B-E3B6B4C68BA0}"/>
    <cellStyle name="20% - Énfasis5 87 2 2" xfId="23305" xr:uid="{C000ECB5-3318-40D8-AFA4-5B533C52CA00}"/>
    <cellStyle name="20% - Énfasis5 87 3" xfId="21670" xr:uid="{4F837D20-C02D-451E-87CD-CC92C2C457DB}"/>
    <cellStyle name="20% - Énfasis5 87_1.2.b" xfId="15323" xr:uid="{9A545EC2-0C5E-423E-B347-F03701A7497D}"/>
    <cellStyle name="20% - Énfasis5 88" xfId="13021" xr:uid="{5C9AB574-95C0-4F19-AE8D-6BF4037FE8D0}"/>
    <cellStyle name="20% - Énfasis5 88 2" xfId="17051" xr:uid="{56FB14F1-9486-431C-99F8-9D9C15E245D6}"/>
    <cellStyle name="20% - Énfasis5 88 2 2" xfId="23306" xr:uid="{47F11A8A-6230-4B93-BC42-29F308F990B0}"/>
    <cellStyle name="20% - Énfasis5 88 3" xfId="21671" xr:uid="{E17EAF0E-A8DA-4A78-9375-3CCEAF85554A}"/>
    <cellStyle name="20% - Énfasis5 88_1.2.b" xfId="15324" xr:uid="{F488A69C-2C97-47CD-96C3-9801EDB02404}"/>
    <cellStyle name="20% - Énfasis5 89" xfId="13022" xr:uid="{39162B3A-F23C-4EB4-95E9-C5DE1E5468EE}"/>
    <cellStyle name="20% - Énfasis5 89 2" xfId="17052" xr:uid="{50E5576A-D9F5-4DB4-935B-98FECF050CFB}"/>
    <cellStyle name="20% - Énfasis5 89 2 2" xfId="23307" xr:uid="{17153272-E907-422A-A05B-014277EFF08C}"/>
    <cellStyle name="20% - Énfasis5 89 3" xfId="21672" xr:uid="{83D8A166-BEC2-4E4F-A49E-3D547B0CFACD}"/>
    <cellStyle name="20% - Énfasis5 89_1.2.b" xfId="15325" xr:uid="{734A8F2C-C745-4A3E-9E95-61A9BE56530E}"/>
    <cellStyle name="20% - Énfasis5 9" xfId="9869" xr:uid="{00000000-0005-0000-0000-000090000000}"/>
    <cellStyle name="20% - Énfasis5 9 2" xfId="13023" xr:uid="{FB6BE35E-F344-420C-9CE6-3E4DB54B6602}"/>
    <cellStyle name="20% - Énfasis5 9 2 2" xfId="21673" xr:uid="{711B1E29-DBEC-4912-95C8-501D1B63E897}"/>
    <cellStyle name="20% - Énfasis5 9 3" xfId="17053" xr:uid="{A6328F47-096E-47AB-BA50-59343E045FE1}"/>
    <cellStyle name="20% - Énfasis5 9 3 2" xfId="23308" xr:uid="{F2624567-8298-44F7-9227-F28A84B340ED}"/>
    <cellStyle name="20% - Énfasis5 90" xfId="13024" xr:uid="{B1E2CB2F-51DD-4EFC-96C5-D602F951C3C8}"/>
    <cellStyle name="20% - Énfasis5 90 2" xfId="17054" xr:uid="{A260A717-2DBE-4FBB-8DEC-02C597E24B3D}"/>
    <cellStyle name="20% - Énfasis5 90 2 2" xfId="23309" xr:uid="{4A9AE34A-6D8C-412D-85AB-ACB64F0F75D7}"/>
    <cellStyle name="20% - Énfasis5 90 3" xfId="21674" xr:uid="{9B7BE9C7-8C30-47A6-9DED-B8DF05AC2B0E}"/>
    <cellStyle name="20% - Énfasis5 90_1.2.b" xfId="15326" xr:uid="{CE44FDF3-50FD-4AEF-8238-B08740731D87}"/>
    <cellStyle name="20% - Énfasis5 91" xfId="13025" xr:uid="{8C14880D-E3E9-4505-960A-748ECAE9665C}"/>
    <cellStyle name="20% - Énfasis5 91 2" xfId="17055" xr:uid="{70B4EE9B-7C87-4828-B396-AA554B187BFB}"/>
    <cellStyle name="20% - Énfasis5 91 2 2" xfId="23310" xr:uid="{5541B3C8-0B75-4321-B7F3-9E5DFAF78277}"/>
    <cellStyle name="20% - Énfasis5 91 3" xfId="21675" xr:uid="{E9E02C0F-1655-443D-AED0-69C7B50D47A5}"/>
    <cellStyle name="20% - Énfasis5 91_1.2.b" xfId="15327" xr:uid="{31FCE0AF-8137-49B6-9EBE-AB1513A226ED}"/>
    <cellStyle name="20% - Énfasis5 92" xfId="13026" xr:uid="{E0F02D15-0D8F-48D8-B6D3-5D0AB72B6B7E}"/>
    <cellStyle name="20% - Énfasis5 92 2" xfId="17056" xr:uid="{5E5ECCAD-4ECE-4BC1-B7EB-13F148BED979}"/>
    <cellStyle name="20% - Énfasis5 92 2 2" xfId="23311" xr:uid="{8BBC1C91-AEA9-4FC8-9448-82976A1E8156}"/>
    <cellStyle name="20% - Énfasis5 92 3" xfId="21676" xr:uid="{D1179FEB-5839-46A5-BCCA-572E8B01CBB3}"/>
    <cellStyle name="20% - Énfasis5 92_1.2.b" xfId="15328" xr:uid="{C0E945BF-5183-47D0-9412-461A8509EF75}"/>
    <cellStyle name="20% - Énfasis5 93" xfId="13027" xr:uid="{B64D8325-AB7E-4795-A879-4C816F80644A}"/>
    <cellStyle name="20% - Énfasis5 93 2" xfId="17057" xr:uid="{DABE959C-2D38-4279-93C7-7EFC4F096EBD}"/>
    <cellStyle name="20% - Énfasis5 93 2 2" xfId="23312" xr:uid="{CE528C71-87E6-4C7E-803F-A6E9C8ACCCC1}"/>
    <cellStyle name="20% - Énfasis5 93 3" xfId="21677" xr:uid="{CF69FF6C-6511-448C-9F85-DA463D29A22D}"/>
    <cellStyle name="20% - Énfasis5 93_1.2.b" xfId="15329" xr:uid="{64D89DEF-80CA-4C5A-B95D-5D106AADB839}"/>
    <cellStyle name="20% - Énfasis5 94" xfId="13028" xr:uid="{E53E4DED-F450-4135-B9F9-7DF1DF72AB43}"/>
    <cellStyle name="20% - Énfasis5 94 2" xfId="17058" xr:uid="{AA3E4E9D-9E9D-4EB2-8B40-C9AAAE8BA18D}"/>
    <cellStyle name="20% - Énfasis5 94 2 2" xfId="23313" xr:uid="{75617D5B-A0BC-4B32-829E-9174F5939846}"/>
    <cellStyle name="20% - Énfasis5 94 3" xfId="21678" xr:uid="{B5D4A2A4-7AE9-484C-8EAB-37DAE311DBD6}"/>
    <cellStyle name="20% - Énfasis5 94_1.2.b" xfId="15330" xr:uid="{645D15F5-6733-4CE8-BD6B-BBEFF8628A8E}"/>
    <cellStyle name="20% - Énfasis5 95" xfId="13029" xr:uid="{4313BF94-FD30-40F9-9569-0273ECA03261}"/>
    <cellStyle name="20% - Énfasis5 95 2" xfId="17059" xr:uid="{DAB8831C-AF2F-4DB8-AE7C-7A28C750A6EF}"/>
    <cellStyle name="20% - Énfasis5 95 2 2" xfId="23314" xr:uid="{09AB9B43-3D0D-4FF3-8D9C-09FD36FFFB31}"/>
    <cellStyle name="20% - Énfasis5 95 3" xfId="21679" xr:uid="{1D1A7AD1-686A-4412-B515-96CBBACA620B}"/>
    <cellStyle name="20% - Énfasis5 95_1.2.b" xfId="15331" xr:uid="{1C2D3A38-FA24-404C-9A09-AA5CCD91655B}"/>
    <cellStyle name="20% - Énfasis5 96" xfId="13030" xr:uid="{9BFC3F79-B95E-42AB-B8CE-61619EB1E2E3}"/>
    <cellStyle name="20% - Énfasis5 96 2" xfId="17060" xr:uid="{8F3E96D5-8F98-4A57-A02A-0A12F51E2FA9}"/>
    <cellStyle name="20% - Énfasis5 96 2 2" xfId="23315" xr:uid="{8E8D58E6-4AB6-4E3E-8BE2-788993D0C8B6}"/>
    <cellStyle name="20% - Énfasis5 96 3" xfId="21680" xr:uid="{1F355474-6B27-4179-8D03-94CBAB262357}"/>
    <cellStyle name="20% - Énfasis5 96_1.2.b" xfId="15332" xr:uid="{A43BC663-67B8-4A07-A62C-F2D3B6B1938B}"/>
    <cellStyle name="20% - Énfasis6 10" xfId="9926" xr:uid="{00000000-0005-0000-0000-000092000000}"/>
    <cellStyle name="20% - Énfasis6 10 2" xfId="11663" xr:uid="{00000000-0005-0000-0000-000093000000}"/>
    <cellStyle name="20% - Énfasis6 10 2 2" xfId="20429" xr:uid="{2997FC51-1F5F-4057-A106-8A91CE166189}"/>
    <cellStyle name="20% - Énfasis6 10 3" xfId="13031" xr:uid="{46C1E15A-4FCD-4755-8445-CB329E061A6D}"/>
    <cellStyle name="20% - Énfasis6 10 3 2" xfId="21681" xr:uid="{DEEF40A6-529C-4644-930B-636831C474E7}"/>
    <cellStyle name="20% - Énfasis6 10 4" xfId="17061" xr:uid="{3BABBE71-C28B-438B-840B-57A073331F48}"/>
    <cellStyle name="20% - Énfasis6 10 4 2" xfId="23316" xr:uid="{9D151D3A-1B3A-4590-B3BB-D4FA5382AF31}"/>
    <cellStyle name="20% - Énfasis6 10 5" xfId="19066" xr:uid="{4BA6E600-1E55-487A-AA8D-EB8F3354AB9A}"/>
    <cellStyle name="20% - Énfasis6 10_1.2.b" xfId="15333" xr:uid="{183C8796-1252-470B-8ED0-872AE475D50A}"/>
    <cellStyle name="20% - Énfasis6 11" xfId="10526" xr:uid="{00000000-0005-0000-0000-000094000000}"/>
    <cellStyle name="20% - Énfasis6 11 2" xfId="12261" xr:uid="{00000000-0005-0000-0000-000095000000}"/>
    <cellStyle name="20% - Énfasis6 11 2 2" xfId="21010" xr:uid="{06DA3193-D98C-41C2-9A73-DEB29332E44B}"/>
    <cellStyle name="20% - Énfasis6 11 3" xfId="13032" xr:uid="{7B892E59-F4E6-4315-9C9E-2550F0FF0F6E}"/>
    <cellStyle name="20% - Énfasis6 11 3 2" xfId="21682" xr:uid="{39EF6FBD-3B7C-427A-B814-0EC48AAEB8B4}"/>
    <cellStyle name="20% - Énfasis6 11 4" xfId="17062" xr:uid="{A90BBADC-7F3B-4DD0-AF26-407DBA7E254C}"/>
    <cellStyle name="20% - Énfasis6 11 4 2" xfId="23317" xr:uid="{4BD2D6B0-156D-4A96-934D-02A3A0310477}"/>
    <cellStyle name="20% - Énfasis6 11 5" xfId="19647" xr:uid="{7C2B2A55-2123-4C89-B15A-54DDA331A2AB}"/>
    <cellStyle name="20% - Énfasis6 11_1.2.b" xfId="15334" xr:uid="{EA48CA75-F551-46CA-A05C-B9ACAB6FAA16}"/>
    <cellStyle name="20% - Énfasis6 12" xfId="10541" xr:uid="{00000000-0005-0000-0000-000096000000}"/>
    <cellStyle name="20% - Énfasis6 12 2" xfId="12276" xr:uid="{00000000-0005-0000-0000-000097000000}"/>
    <cellStyle name="20% - Énfasis6 12 2 2" xfId="21025" xr:uid="{E2E738BE-2756-4A05-8B33-E7E01233806E}"/>
    <cellStyle name="20% - Énfasis6 12 3" xfId="13033" xr:uid="{C0950F78-EC36-4E48-9529-4EDBA1FC1F90}"/>
    <cellStyle name="20% - Énfasis6 12 3 2" xfId="21683" xr:uid="{E8681E8F-4DFA-40AB-A3A6-284DFDA10360}"/>
    <cellStyle name="20% - Énfasis6 12 4" xfId="17063" xr:uid="{F32B7EFC-E519-49C5-A414-1C65AA308B30}"/>
    <cellStyle name="20% - Énfasis6 12 4 2" xfId="23318" xr:uid="{C92D3BC9-96B5-46AA-93C3-1AEF3A9831A0}"/>
    <cellStyle name="20% - Énfasis6 12 5" xfId="19662" xr:uid="{FE457B3A-857E-478F-AE5D-3143E0839882}"/>
    <cellStyle name="20% - Énfasis6 12_1.2.b" xfId="15335" xr:uid="{99FDB0AC-55EA-43FD-8141-B94E8A671228}"/>
    <cellStyle name="20% - Énfasis6 13" xfId="10588" xr:uid="{00000000-0005-0000-0000-000098000000}"/>
    <cellStyle name="20% - Énfasis6 13 2" xfId="12321" xr:uid="{00000000-0005-0000-0000-000099000000}"/>
    <cellStyle name="20% - Énfasis6 13 2 2" xfId="21067" xr:uid="{957696A1-5D71-44D4-9942-62E2F0CC59A7}"/>
    <cellStyle name="20% - Énfasis6 13 3" xfId="13034" xr:uid="{8EF17C4B-E151-4FAA-9374-97DE4EF5891E}"/>
    <cellStyle name="20% - Énfasis6 13 3 2" xfId="21684" xr:uid="{754AAC46-2BF0-4C67-BF89-738412D2AED4}"/>
    <cellStyle name="20% - Énfasis6 13 4" xfId="17064" xr:uid="{E3BC2F82-D32F-4A3C-AA0D-A91CA40DCF3E}"/>
    <cellStyle name="20% - Énfasis6 13 4 2" xfId="23319" xr:uid="{80B893F4-4A30-4F07-A55E-298D4BD3CEAB}"/>
    <cellStyle name="20% - Énfasis6 13 5" xfId="19704" xr:uid="{EFBC6CFD-8581-4FFA-B16D-ED1797F51547}"/>
    <cellStyle name="20% - Énfasis6 13_1.2.b" xfId="15336" xr:uid="{B349004D-7794-41FE-A0C7-1EA089A14F3F}"/>
    <cellStyle name="20% - Énfasis6 14" xfId="10608" xr:uid="{00000000-0005-0000-0000-00009A000000}"/>
    <cellStyle name="20% - Énfasis6 14 2" xfId="12337" xr:uid="{00000000-0005-0000-0000-00009B000000}"/>
    <cellStyle name="20% - Énfasis6 14 2 2" xfId="21083" xr:uid="{C0AE1578-21BD-4C97-95A3-DE55C6DE67AE}"/>
    <cellStyle name="20% - Énfasis6 14 3" xfId="13035" xr:uid="{E9DD7D03-A87A-4900-986E-8AA6D2D9DF9B}"/>
    <cellStyle name="20% - Énfasis6 14 3 2" xfId="21685" xr:uid="{FD2DC0FB-748C-4E11-A11A-0D55E31FA579}"/>
    <cellStyle name="20% - Énfasis6 14 4" xfId="17065" xr:uid="{43A099C1-24A2-4A90-A85F-8ECC4FDC9BED}"/>
    <cellStyle name="20% - Énfasis6 14 4 2" xfId="23320" xr:uid="{043B8A9C-5983-4349-84CC-67F467D50337}"/>
    <cellStyle name="20% - Énfasis6 14 5" xfId="19720" xr:uid="{FE485B04-2FEE-4B8C-BCB4-E919D3BE7765}"/>
    <cellStyle name="20% - Énfasis6 14_1.2.b" xfId="15337" xr:uid="{BE8C6DC5-45DF-4445-83C6-76AFEFA12E87}"/>
    <cellStyle name="20% - Énfasis6 15" xfId="10629" xr:uid="{00000000-0005-0000-0000-00009C000000}"/>
    <cellStyle name="20% - Énfasis6 15 2" xfId="13036" xr:uid="{150F8B77-7AE5-4A74-A4B1-E2DFE0FB7D75}"/>
    <cellStyle name="20% - Énfasis6 15 2 2" xfId="21686" xr:uid="{738B057F-BDA3-4A37-B2CA-265231D1E3BC}"/>
    <cellStyle name="20% - Énfasis6 15 3" xfId="17066" xr:uid="{900C380E-2B3E-400D-8B5D-6871066736ED}"/>
    <cellStyle name="20% - Énfasis6 15 3 2" xfId="23321" xr:uid="{C4913C09-3D19-4696-B489-BA758DDF4CDC}"/>
    <cellStyle name="20% - Énfasis6 15 4" xfId="19737" xr:uid="{9645034B-A7C4-43E3-9559-604DD6E26342}"/>
    <cellStyle name="20% - Énfasis6 15_1.2.b" xfId="15338" xr:uid="{64A486F2-F838-4CD3-8758-601510E8657E}"/>
    <cellStyle name="20% - Énfasis6 16" xfId="12370" xr:uid="{00000000-0005-0000-0000-00009D000000}"/>
    <cellStyle name="20% - Énfasis6 16 2" xfId="13037" xr:uid="{A962015A-D112-4A9D-AEC4-9787164539A1}"/>
    <cellStyle name="20% - Énfasis6 16 2 2" xfId="21687" xr:uid="{01A5738B-8BCD-400C-A2DE-39AC4A7B10C5}"/>
    <cellStyle name="20% - Énfasis6 16 3" xfId="17067" xr:uid="{F4EDE696-3327-4081-A1E3-4ECAB3FDB6E1}"/>
    <cellStyle name="20% - Énfasis6 16 3 2" xfId="23322" xr:uid="{9EEDE77D-3887-4753-96C1-999BB19FB629}"/>
    <cellStyle name="20% - Énfasis6 16 4" xfId="21113" xr:uid="{658E22BA-CE77-44CE-A810-ACB82E2D8CE5}"/>
    <cellStyle name="20% - Énfasis6 16_1.2.b" xfId="15339" xr:uid="{818EC736-A066-4EEC-BD2C-3E49D9E08F8D}"/>
    <cellStyle name="20% - Énfasis6 17" xfId="12385" xr:uid="{00000000-0005-0000-0000-00009E000000}"/>
    <cellStyle name="20% - Énfasis6 17 2" xfId="13038" xr:uid="{136EC13F-4B02-4A13-B8EF-497A0EF8AE0C}"/>
    <cellStyle name="20% - Énfasis6 17 2 2" xfId="21688" xr:uid="{26B9EF1B-4FBF-4B37-B0E8-A13DC8538D6F}"/>
    <cellStyle name="20% - Énfasis6 17 3" xfId="17068" xr:uid="{479B9AEA-4FA2-44C3-B48C-022AFDE86A86}"/>
    <cellStyle name="20% - Énfasis6 17 3 2" xfId="23323" xr:uid="{6496D543-E089-4AE8-A2AB-8452F031EFB3}"/>
    <cellStyle name="20% - Énfasis6 17 4" xfId="21128" xr:uid="{EE66425F-7D97-4C06-AC42-A8082CB993BD}"/>
    <cellStyle name="20% - Énfasis6 17_1.2.b" xfId="15340" xr:uid="{3E344FB5-9EC2-46A4-A6B8-CEC769B1501F}"/>
    <cellStyle name="20% - Énfasis6 18" xfId="13039" xr:uid="{6889638D-80C5-4B78-8868-6357CD49855D}"/>
    <cellStyle name="20% - Énfasis6 18 2" xfId="17069" xr:uid="{DAB22BB8-E6A3-4EBA-8871-4E71D5B63897}"/>
    <cellStyle name="20% - Énfasis6 18 2 2" xfId="23324" xr:uid="{8352E983-5A10-44B0-9C41-AEFE20576636}"/>
    <cellStyle name="20% - Énfasis6 18 3" xfId="21689" xr:uid="{61DF08FB-4315-459C-A688-5AC2B5FEB577}"/>
    <cellStyle name="20% - Énfasis6 18_1.2.b" xfId="15341" xr:uid="{8F74B890-6C77-49C3-B914-D6E661FD7E95}"/>
    <cellStyle name="20% - Énfasis6 19" xfId="13040" xr:uid="{B178EA73-1D1B-49A1-B273-593DB8ACAE94}"/>
    <cellStyle name="20% - Énfasis6 19 2" xfId="17070" xr:uid="{4F136993-315B-43C6-88DF-FDBF411F688D}"/>
    <cellStyle name="20% - Énfasis6 19 2 2" xfId="23325" xr:uid="{F4642D0B-EC77-459F-8344-F6CB2766F939}"/>
    <cellStyle name="20% - Énfasis6 19 3" xfId="21690" xr:uid="{A864ACAD-FD6C-4711-B570-40DD4CA19C8A}"/>
    <cellStyle name="20% - Énfasis6 19_1.2.b" xfId="15342" xr:uid="{6838F46D-DCCA-4C28-AC38-4A362C9EC30C}"/>
    <cellStyle name="20% - Énfasis6 2" xfId="156" xr:uid="{00000000-0005-0000-0000-00009F000000}"/>
    <cellStyle name="20% - Énfasis6 2 10" xfId="13042" xr:uid="{26E192B4-1139-43C3-AC12-D3FACE5E69BE}"/>
    <cellStyle name="20% - Énfasis6 2 10 2" xfId="17072" xr:uid="{4B6778C3-0760-4302-9B93-057EF223DF4C}"/>
    <cellStyle name="20% - Énfasis6 2 10 2 2" xfId="23326" xr:uid="{1A547416-B494-44BB-A175-3E22C98EE0C3}"/>
    <cellStyle name="20% - Énfasis6 2 10 3" xfId="21691" xr:uid="{07E8A122-8906-4063-B1B2-0D5827A2469D}"/>
    <cellStyle name="20% - Énfasis6 2 10_1.2.b" xfId="15344" xr:uid="{7C4FCB9C-1595-46B9-A1F6-18A6C5131145}"/>
    <cellStyle name="20% - Énfasis6 2 11" xfId="13041" xr:uid="{01D90E4E-4A8D-4C2E-B3C5-91658ED5241D}"/>
    <cellStyle name="20% - Énfasis6 2 12" xfId="17071" xr:uid="{4306DFCE-EC9C-433A-9E79-2092170754C7}"/>
    <cellStyle name="20% - Énfasis6 2 13" xfId="17781" xr:uid="{FA069ADC-E1F4-4ECD-909D-63AABD70FBD5}"/>
    <cellStyle name="20% - Énfasis6 2 14" xfId="18218" xr:uid="{E3E582AB-8867-46FB-8014-C54B995D7569}"/>
    <cellStyle name="20% - Énfasis6 2 15" xfId="17782" xr:uid="{5EEBCFD9-9423-4C1D-AACB-EC2D5A674115}"/>
    <cellStyle name="20% - Énfasis6 2 16" xfId="18220" xr:uid="{1F5D372E-779A-452D-8BFE-325A43950611}"/>
    <cellStyle name="20% - Énfasis6 2 17" xfId="18400" xr:uid="{5926E4A6-432F-41ED-BF50-C1323529C1F1}"/>
    <cellStyle name="20% - Énfasis6 2 2" xfId="10676" xr:uid="{00000000-0005-0000-0000-0000A0000000}"/>
    <cellStyle name="20% - Énfasis6 2 2 2" xfId="13044" xr:uid="{D32DA38B-9750-4FB5-A193-5F02D8622463}"/>
    <cellStyle name="20% - Énfasis6 2 2 3" xfId="13045" xr:uid="{DF2D9BEA-321F-46A4-B0CF-AF5BB19F9978}"/>
    <cellStyle name="20% - Énfasis6 2 2 4" xfId="13046" xr:uid="{C8A6DABD-9B89-4659-81ED-78795D11D175}"/>
    <cellStyle name="20% - Énfasis6 2 2 5" xfId="13047" xr:uid="{7412A05B-E33F-4269-BBE8-A3B8FF01CE46}"/>
    <cellStyle name="20% - Énfasis6 2 2 6" xfId="13043" xr:uid="{D3D2AF14-A5CA-4C28-B38B-461A2006B914}"/>
    <cellStyle name="20% - Énfasis6 2 2 6 2" xfId="21692" xr:uid="{46A33E71-46D0-41B2-B744-0356117FB0C0}"/>
    <cellStyle name="20% - Énfasis6 2 2 7" xfId="17073" xr:uid="{4F38AD6A-93A7-4DED-9DB4-6506F6B219F0}"/>
    <cellStyle name="20% - Énfasis6 2 2 7 2" xfId="23327" xr:uid="{87091E4A-B407-4D6E-9351-08287F07CBA9}"/>
    <cellStyle name="20% - Énfasis6 2 2 8" xfId="19768" xr:uid="{5CD038F7-EEB7-4443-A027-CA713D97534D}"/>
    <cellStyle name="20% - Énfasis6 2 2_1.2.b" xfId="15345" xr:uid="{B9FDB65D-F331-4CB1-B175-62DA488F9DC0}"/>
    <cellStyle name="20% - Énfasis6 2 3" xfId="13048" xr:uid="{D3FCE88D-0E63-4815-93BD-F6127F2D0E65}"/>
    <cellStyle name="20% - Énfasis6 2 4" xfId="13049" xr:uid="{3E35CBCA-4BFF-4FCA-BBD2-F16E02E5B50D}"/>
    <cellStyle name="20% - Énfasis6 2 5" xfId="13050" xr:uid="{A3211F1A-047E-4B93-88C7-92BDD1F39F9A}"/>
    <cellStyle name="20% - Énfasis6 2 6" xfId="13051" xr:uid="{CF8E4A51-5CF8-4254-B1CF-83CDD0AA9CC5}"/>
    <cellStyle name="20% - Énfasis6 2 7" xfId="13052" xr:uid="{E506FF1C-90DA-45EF-A535-4706BEFE2028}"/>
    <cellStyle name="20% - Énfasis6 2 8" xfId="13053" xr:uid="{7D3342C0-FF8E-41CA-A3E8-C26E889E22E6}"/>
    <cellStyle name="20% - Énfasis6 2 9" xfId="13054" xr:uid="{54CFB02B-D26D-49A4-8236-676A6130306D}"/>
    <cellStyle name="20% - Énfasis6 2 9 2" xfId="17074" xr:uid="{9FF46D5C-44D4-40FA-A32B-10AA1E64C5C3}"/>
    <cellStyle name="20% - Énfasis6 2 9 2 2" xfId="23328" xr:uid="{1F92297E-5202-4153-9C19-E29CCD9DB1E6}"/>
    <cellStyle name="20% - Énfasis6 2 9 3" xfId="21693" xr:uid="{C9DD6584-D1A8-4B3F-A234-789DD2AC3FB0}"/>
    <cellStyle name="20% - Énfasis6 2 9_1.2.b" xfId="15346" xr:uid="{51EC2CD6-9CC2-40DE-94A0-0407D5DA09FF}"/>
    <cellStyle name="20% - Énfasis6 2_1.2.b" xfId="15343" xr:uid="{1E2B408C-3134-4D86-A844-A58A1818DFFA}"/>
    <cellStyle name="20% - Énfasis6 20" xfId="13055" xr:uid="{9DB8A797-44C8-4D2B-8EA8-9B445B6FE9AC}"/>
    <cellStyle name="20% - Énfasis6 20 2" xfId="17075" xr:uid="{6A932E7D-96F6-49AC-A689-97A6039AE3A4}"/>
    <cellStyle name="20% - Énfasis6 20 2 2" xfId="23329" xr:uid="{9A3F9B37-AF8D-44D7-869D-16C08767AE1A}"/>
    <cellStyle name="20% - Énfasis6 20 3" xfId="21694" xr:uid="{28FE715F-7B14-4547-890F-7FE99C5DED40}"/>
    <cellStyle name="20% - Énfasis6 20_1.2.b" xfId="15347" xr:uid="{39250B4A-2737-47D1-A8D9-031D1DFDF2A0}"/>
    <cellStyle name="20% - Énfasis6 21" xfId="13056" xr:uid="{EE1A0F6B-618C-476C-BB46-847241BBF6D7}"/>
    <cellStyle name="20% - Énfasis6 21 2" xfId="17076" xr:uid="{450A9AF5-CEFC-4E99-94CF-213A8E4A6DCA}"/>
    <cellStyle name="20% - Énfasis6 21 2 2" xfId="23330" xr:uid="{AD2606BA-1D5F-4BBC-ADB4-934FE6EA97D6}"/>
    <cellStyle name="20% - Énfasis6 21 3" xfId="21695" xr:uid="{FC91FEF1-78E2-40D9-8488-E3913B8209F2}"/>
    <cellStyle name="20% - Énfasis6 21_1.2.b" xfId="15348" xr:uid="{BB1C45EC-0578-47F2-8CAB-C0357523769E}"/>
    <cellStyle name="20% - Énfasis6 22" xfId="13057" xr:uid="{CA738D9F-58FC-45A3-A02A-9002C5E6045D}"/>
    <cellStyle name="20% - Énfasis6 22 2" xfId="17077" xr:uid="{CCB00DE3-AA5B-4FCC-8333-48C1258530A7}"/>
    <cellStyle name="20% - Énfasis6 22 2 2" xfId="23331" xr:uid="{11430B8C-0996-47D3-A3EA-6A57724B7654}"/>
    <cellStyle name="20% - Énfasis6 22 3" xfId="21696" xr:uid="{69EAD7EE-007E-40B6-9A29-568F354EF20E}"/>
    <cellStyle name="20% - Énfasis6 22_1.2.b" xfId="15349" xr:uid="{4ECDE3FC-184D-45A0-8796-45EE3B213C00}"/>
    <cellStyle name="20% - Énfasis6 23" xfId="13058" xr:uid="{527FA7BE-0608-4B36-ADBF-8C15B3E5AE4D}"/>
    <cellStyle name="20% - Énfasis6 23 2" xfId="17078" xr:uid="{FF684351-3F71-4967-AA22-FFF6AB0A47DA}"/>
    <cellStyle name="20% - Énfasis6 23 2 2" xfId="23332" xr:uid="{BF0952D7-0642-44B9-8D24-4BD197D3774E}"/>
    <cellStyle name="20% - Énfasis6 23 3" xfId="21697" xr:uid="{0A7910AB-5963-4840-BD5E-5788D5FF4D83}"/>
    <cellStyle name="20% - Énfasis6 23_1.2.b" xfId="15350" xr:uid="{302B95AD-D557-45D5-8511-EF03BCAC0322}"/>
    <cellStyle name="20% - Énfasis6 24" xfId="13059" xr:uid="{40CC0512-5F73-43CC-A92B-A413199E0795}"/>
    <cellStyle name="20% - Énfasis6 24 2" xfId="17079" xr:uid="{81F76ED5-424E-4AC8-B423-1F5713C810C0}"/>
    <cellStyle name="20% - Énfasis6 24 2 2" xfId="23333" xr:uid="{7117DFEA-4C2A-4871-B108-408383242DAB}"/>
    <cellStyle name="20% - Énfasis6 24 3" xfId="21698" xr:uid="{496A90EC-88EE-4934-A90A-576C956BF3EE}"/>
    <cellStyle name="20% - Énfasis6 24_1.2.b" xfId="15351" xr:uid="{D2656B62-61AE-4608-951C-AE3BA9DBDEA0}"/>
    <cellStyle name="20% - Énfasis6 25" xfId="13060" xr:uid="{84F54C67-2B97-4D4E-9BE3-47E8D295A979}"/>
    <cellStyle name="20% - Énfasis6 25 2" xfId="17080" xr:uid="{9FB64B42-4458-4E82-8E13-7D25753222EB}"/>
    <cellStyle name="20% - Énfasis6 25 2 2" xfId="23334" xr:uid="{7D786EB0-2766-44FB-B9E5-2930BFBD2E04}"/>
    <cellStyle name="20% - Énfasis6 25 3" xfId="21699" xr:uid="{D1396575-2991-4785-81EA-B425B801A01F}"/>
    <cellStyle name="20% - Énfasis6 25_1.2.b" xfId="15352" xr:uid="{5B7CDE9A-7945-4B3F-A000-1E166DBF2B2B}"/>
    <cellStyle name="20% - Énfasis6 26" xfId="13061" xr:uid="{EA047940-4EB7-4F1F-AA4C-98F92B52B73C}"/>
    <cellStyle name="20% - Énfasis6 26 2" xfId="17081" xr:uid="{15011BE4-2014-451E-9C34-17799F9DA06F}"/>
    <cellStyle name="20% - Énfasis6 26 2 2" xfId="23335" xr:uid="{45449966-CAAE-4F32-9B1D-EE67509AFF69}"/>
    <cellStyle name="20% - Énfasis6 26 3" xfId="21700" xr:uid="{A4E0AF3F-CE92-4910-A1EE-80497772CD0C}"/>
    <cellStyle name="20% - Énfasis6 26_1.2.b" xfId="15353" xr:uid="{50054DC6-F4BE-430D-9D68-1BDDD4611032}"/>
    <cellStyle name="20% - Énfasis6 27" xfId="13062" xr:uid="{7DE745A5-1D5B-46F5-BBC4-FC1564EBF6E9}"/>
    <cellStyle name="20% - Énfasis6 27 2" xfId="17082" xr:uid="{D362DE40-DB08-4EA1-A54D-B82BD934BCD9}"/>
    <cellStyle name="20% - Énfasis6 27 2 2" xfId="23336" xr:uid="{9B84DFA4-B113-4D64-9B92-D517A5739301}"/>
    <cellStyle name="20% - Énfasis6 27 3" xfId="21701" xr:uid="{AB364C09-270E-4CDB-AD73-57027DA3A339}"/>
    <cellStyle name="20% - Énfasis6 27_1.2.b" xfId="15354" xr:uid="{6E52F5B6-D38D-4D4B-89D0-CFE218804971}"/>
    <cellStyle name="20% - Énfasis6 28" xfId="13063" xr:uid="{07664506-16DC-4AC8-8525-6B5466132DBC}"/>
    <cellStyle name="20% - Énfasis6 28 2" xfId="17083" xr:uid="{89D2A36E-CEF4-4B3C-8AEA-28142DC31F62}"/>
    <cellStyle name="20% - Énfasis6 28 2 2" xfId="23337" xr:uid="{4ABAFF5E-AC7F-4252-87C4-9148448A3F8F}"/>
    <cellStyle name="20% - Énfasis6 28 3" xfId="21702" xr:uid="{D0296E03-9F0F-4A27-AA23-9C134A1AB089}"/>
    <cellStyle name="20% - Énfasis6 28_1.2.b" xfId="15355" xr:uid="{D318C8C1-F101-46CE-BFFC-38D7096962CC}"/>
    <cellStyle name="20% - Énfasis6 29" xfId="13064" xr:uid="{ACE8169A-D09A-414B-914D-FC0DD885A245}"/>
    <cellStyle name="20% - Énfasis6 29 2" xfId="17084" xr:uid="{9FA09EE5-AF74-4449-B26D-E66C03848319}"/>
    <cellStyle name="20% - Énfasis6 29 2 2" xfId="23338" xr:uid="{2EE8C939-3F1D-4F54-A14A-1D191AFA4D06}"/>
    <cellStyle name="20% - Énfasis6 29 3" xfId="21703" xr:uid="{CD87C06B-913A-42F1-8C91-68A1929644A0}"/>
    <cellStyle name="20% - Énfasis6 29_1.2.b" xfId="15356" xr:uid="{87107674-053C-4ADE-A7B5-9A04F0137225}"/>
    <cellStyle name="20% - Énfasis6 3" xfId="170" xr:uid="{00000000-0005-0000-0000-0000A1000000}"/>
    <cellStyle name="20% - Énfasis6 3 2" xfId="10690" xr:uid="{00000000-0005-0000-0000-0000A2000000}"/>
    <cellStyle name="20% - Énfasis6 3 2 2" xfId="13066" xr:uid="{C22EA201-DC03-41BE-9C57-B575C4B91CFD}"/>
    <cellStyle name="20% - Énfasis6 3 2 2 2" xfId="21705" xr:uid="{D276BCF4-8B6D-4278-8C4D-9C1B76F8C879}"/>
    <cellStyle name="20% - Énfasis6 3 2 3" xfId="17086" xr:uid="{609387DC-48C0-47EB-BCBE-4F766B49648A}"/>
    <cellStyle name="20% - Énfasis6 3 2 3 2" xfId="23340" xr:uid="{5837419D-EBEC-4651-A83A-4BB2E67BAA64}"/>
    <cellStyle name="20% - Énfasis6 3 2 4" xfId="19782" xr:uid="{7DB5BA9F-9EFB-496E-8593-B8DB0ECED490}"/>
    <cellStyle name="20% - Énfasis6 3 2_1.2.b" xfId="15358" xr:uid="{C6D10A86-513D-4DAD-9946-B0A58B43B5CF}"/>
    <cellStyle name="20% - Énfasis6 3 3" xfId="13067" xr:uid="{0ECAB772-EECE-4F9D-95CE-2190A958C0F0}"/>
    <cellStyle name="20% - Énfasis6 3 4" xfId="13068" xr:uid="{4EA85FFE-3C15-4B64-92D9-CF187A86D738}"/>
    <cellStyle name="20% - Énfasis6 3 5" xfId="13069" xr:uid="{4AB487FD-5C1D-40A3-BE9C-7E4C70C991BC}"/>
    <cellStyle name="20% - Énfasis6 3 6" xfId="13065" xr:uid="{FD380C3B-C7D7-4049-839D-1F1339F4AC13}"/>
    <cellStyle name="20% - Énfasis6 3 6 2" xfId="21704" xr:uid="{4813485C-4E6A-4E8B-8E11-E627ED37264E}"/>
    <cellStyle name="20% - Énfasis6 3 7" xfId="17085" xr:uid="{B72E60BB-71AE-474C-917C-A5C76D440E93}"/>
    <cellStyle name="20% - Énfasis6 3 7 2" xfId="23339" xr:uid="{12F74104-C42E-4520-8ABC-0C2D43BF78DF}"/>
    <cellStyle name="20% - Énfasis6 3 8" xfId="18414" xr:uid="{7114AEA5-5CE5-4DF9-AFED-520B6DF0D3C9}"/>
    <cellStyle name="20% - Énfasis6 3_1.2.b" xfId="15357" xr:uid="{699F0B0A-4145-455C-9AC2-22803F76FD5F}"/>
    <cellStyle name="20% - Énfasis6 30" xfId="13070" xr:uid="{6E91BBCF-0EB4-4972-879E-BBBABA70F30F}"/>
    <cellStyle name="20% - Énfasis6 30 2" xfId="17087" xr:uid="{1375D56B-2128-41CA-B744-E3D9C6FF900A}"/>
    <cellStyle name="20% - Énfasis6 30 2 2" xfId="23341" xr:uid="{D7ACFC65-8FCE-4BAF-9D18-C8237456EEAC}"/>
    <cellStyle name="20% - Énfasis6 30 3" xfId="21706" xr:uid="{6970D82F-DB16-4BF5-9EC1-C07265AD500C}"/>
    <cellStyle name="20% - Énfasis6 30_1.2.b" xfId="15359" xr:uid="{9955C1A2-AC1A-4F54-9EDC-757DAF2CA681}"/>
    <cellStyle name="20% - Énfasis6 31" xfId="13071" xr:uid="{22FD3C8F-F9F7-42A9-8CA5-50A154785200}"/>
    <cellStyle name="20% - Énfasis6 31 2" xfId="17088" xr:uid="{B1192886-B921-4B2C-B5D7-1659B839296F}"/>
    <cellStyle name="20% - Énfasis6 31 2 2" xfId="23342" xr:uid="{7E3E9437-4364-4C85-BA47-C70DE57459DE}"/>
    <cellStyle name="20% - Énfasis6 31 3" xfId="21707" xr:uid="{A5AFEC07-A7D4-44A0-9F84-BFCFDDCB3702}"/>
    <cellStyle name="20% - Énfasis6 31_1.2.b" xfId="15360" xr:uid="{D783DDD6-02B9-4875-921E-DA397A990C49}"/>
    <cellStyle name="20% - Énfasis6 32" xfId="13072" xr:uid="{FAC4A8E5-0C62-40A1-80C8-3F64B9DCDD1C}"/>
    <cellStyle name="20% - Énfasis6 32 2" xfId="17089" xr:uid="{9E8DB8FE-EC8D-41CE-9C45-44BBAC1BB4C9}"/>
    <cellStyle name="20% - Énfasis6 32 2 2" xfId="23343" xr:uid="{2033CE34-F181-4B21-A3CA-D35245947FE7}"/>
    <cellStyle name="20% - Énfasis6 32 3" xfId="21708" xr:uid="{4960B997-3AB4-4596-BD75-9D7A9898EA72}"/>
    <cellStyle name="20% - Énfasis6 32_1.2.b" xfId="15361" xr:uid="{C57F7B98-E1CE-49CA-9468-78B28267BCD4}"/>
    <cellStyle name="20% - Énfasis6 33" xfId="13073" xr:uid="{180A22B5-D4B5-4F39-940A-2DF8E1F7C4B0}"/>
    <cellStyle name="20% - Énfasis6 33 2" xfId="17090" xr:uid="{213C1CAF-E746-49EB-A428-30B517651D3D}"/>
    <cellStyle name="20% - Énfasis6 33 2 2" xfId="23344" xr:uid="{AF876FAB-C81C-4E3E-B195-8185792B2B78}"/>
    <cellStyle name="20% - Énfasis6 33 3" xfId="21709" xr:uid="{CE468748-6161-4A9E-A613-5FD5D014E7D1}"/>
    <cellStyle name="20% - Énfasis6 33_1.2.b" xfId="15362" xr:uid="{A08DCABD-81FD-47D2-B3E0-039AF3471C74}"/>
    <cellStyle name="20% - Énfasis6 34" xfId="13074" xr:uid="{70C61627-6649-4358-9BA2-E5A347E990BC}"/>
    <cellStyle name="20% - Énfasis6 34 2" xfId="17091" xr:uid="{A7058D0E-69D7-4DEA-B42D-02F3E7245E4B}"/>
    <cellStyle name="20% - Énfasis6 34 2 2" xfId="23345" xr:uid="{0807CF9A-2431-45F3-9213-DF1E48A21CFF}"/>
    <cellStyle name="20% - Énfasis6 34 3" xfId="21710" xr:uid="{D22F5F76-F571-4301-905B-EEB96155EB25}"/>
    <cellStyle name="20% - Énfasis6 34_1.2.b" xfId="15363" xr:uid="{04D3BED6-B293-4F9D-81E1-771B7AC06B86}"/>
    <cellStyle name="20% - Énfasis6 35" xfId="13075" xr:uid="{2DC3FE83-59F8-4ABE-9108-17427C547AC0}"/>
    <cellStyle name="20% - Énfasis6 35 2" xfId="17092" xr:uid="{21C3E367-D749-4DAA-9DFF-57526A0E71D0}"/>
    <cellStyle name="20% - Énfasis6 35 2 2" xfId="23346" xr:uid="{6BB3DB1D-5959-4AA4-B984-B0AE71DB25E4}"/>
    <cellStyle name="20% - Énfasis6 35 3" xfId="21711" xr:uid="{D8B15E45-987A-4C91-952F-D268B30641C9}"/>
    <cellStyle name="20% - Énfasis6 35_1.2.b" xfId="15364" xr:uid="{9C187AB9-7B38-4221-864E-F846783AF628}"/>
    <cellStyle name="20% - Énfasis6 36" xfId="13076" xr:uid="{73D8B2CF-144A-46EB-AAD2-B36159A97F58}"/>
    <cellStyle name="20% - Énfasis6 36 2" xfId="17093" xr:uid="{E80C1E1C-0D9A-4456-90D4-A595E6D80317}"/>
    <cellStyle name="20% - Énfasis6 36 2 2" xfId="23347" xr:uid="{D3CB24CA-27A9-418F-839B-1809B651525A}"/>
    <cellStyle name="20% - Énfasis6 36 3" xfId="21712" xr:uid="{F25601FF-84BE-4705-A04A-719F01CD10A5}"/>
    <cellStyle name="20% - Énfasis6 36_1.2.b" xfId="15365" xr:uid="{3DE05F2A-781A-46D7-9DDE-3952DC4022B1}"/>
    <cellStyle name="20% - Énfasis6 37" xfId="13077" xr:uid="{6EDCBE3A-5DA3-4CD5-A22F-3D587425479D}"/>
    <cellStyle name="20% - Énfasis6 37 2" xfId="17094" xr:uid="{227126E9-99C8-46A8-BC85-CBD493886406}"/>
    <cellStyle name="20% - Énfasis6 37 2 2" xfId="23348" xr:uid="{954016D6-50B4-41D6-87D6-18B41CB9ABA7}"/>
    <cellStyle name="20% - Énfasis6 37 3" xfId="21713" xr:uid="{5A285FCF-E671-47A3-AEA7-873DA517ADB3}"/>
    <cellStyle name="20% - Énfasis6 37_1.2.b" xfId="15366" xr:uid="{1C8BE595-95BF-496B-AEF2-59C6AB86ED51}"/>
    <cellStyle name="20% - Énfasis6 38" xfId="13078" xr:uid="{2629423D-ABF6-4EFC-BDFC-18534784BAE8}"/>
    <cellStyle name="20% - Énfasis6 38 2" xfId="17095" xr:uid="{BF3D6861-FAD0-479A-9755-3F7DCD0142F2}"/>
    <cellStyle name="20% - Énfasis6 38 2 2" xfId="23349" xr:uid="{4BA30F7F-EAB0-40D9-A4F1-85A03086EEFB}"/>
    <cellStyle name="20% - Énfasis6 38 3" xfId="21714" xr:uid="{82998DE1-B3AF-4BFB-A611-BA5F881405AA}"/>
    <cellStyle name="20% - Énfasis6 38_1.2.b" xfId="15367" xr:uid="{5B4D6964-92BF-4E9A-83FE-0F8B3ACAD804}"/>
    <cellStyle name="20% - Énfasis6 39" xfId="13079" xr:uid="{92D5EC49-CFFF-40AC-8872-0EF883FCB2BF}"/>
    <cellStyle name="20% - Énfasis6 39 2" xfId="17096" xr:uid="{76162566-5197-44DD-8F90-B5379FC61AAA}"/>
    <cellStyle name="20% - Énfasis6 39 2 2" xfId="23350" xr:uid="{B1423805-5BCC-4379-8863-B78C907AEF36}"/>
    <cellStyle name="20% - Énfasis6 39 3" xfId="21715" xr:uid="{54D1145D-4203-436E-A19C-06AEED85D908}"/>
    <cellStyle name="20% - Énfasis6 39_1.2.b" xfId="15368" xr:uid="{D84F7A23-514D-4AEC-9D54-11F47F3596A1}"/>
    <cellStyle name="20% - Énfasis6 4" xfId="184" xr:uid="{00000000-0005-0000-0000-0000A3000000}"/>
    <cellStyle name="20% - Énfasis6 4 2" xfId="10704" xr:uid="{00000000-0005-0000-0000-0000A4000000}"/>
    <cellStyle name="20% - Énfasis6 4 2 2" xfId="13081" xr:uid="{5326F04C-B7CE-40BC-AEDC-849037A7038B}"/>
    <cellStyle name="20% - Énfasis6 4 2 3" xfId="19796" xr:uid="{BF9EE9C0-F074-4834-A898-72AE80930F0F}"/>
    <cellStyle name="20% - Énfasis6 4 2_1.2.b" xfId="15370" xr:uid="{B30CDA8B-33FC-4D49-8B08-86F42D80D6A8}"/>
    <cellStyle name="20% - Énfasis6 4 3" xfId="13080" xr:uid="{83879F0B-5BE5-49B3-A72F-B13D21E4852C}"/>
    <cellStyle name="20% - Énfasis6 4 3 2" xfId="21716" xr:uid="{8AB9E053-9EC2-42BD-8D67-8E9A903BE2D8}"/>
    <cellStyle name="20% - Énfasis6 4 4" xfId="17097" xr:uid="{5CD618FA-4739-4208-8A4B-EFB2874070DD}"/>
    <cellStyle name="20% - Énfasis6 4 4 2" xfId="23351" xr:uid="{4230599A-8561-4196-8B7F-94B241AF3D15}"/>
    <cellStyle name="20% - Énfasis6 4 5" xfId="17777" xr:uid="{0FF1772D-77FC-40B5-B79C-44167CEAA043}"/>
    <cellStyle name="20% - Énfasis6 4 5 2" xfId="24018" xr:uid="{979ADD3A-CC8D-40BD-ADBA-1E907380D8AF}"/>
    <cellStyle name="20% - Énfasis6 4 6" xfId="18216" xr:uid="{0D0BFAAB-0118-48A9-91D4-75C32494293A}"/>
    <cellStyle name="20% - Énfasis6 4 6 2" xfId="24394" xr:uid="{EE034896-F2E7-424A-8D22-667E3E238EDD}"/>
    <cellStyle name="20% - Énfasis6 4 7" xfId="17779" xr:uid="{935CC57C-73FA-4C21-8EB5-951ADF2E2961}"/>
    <cellStyle name="20% - Énfasis6 4 7 2" xfId="24020" xr:uid="{43D3BD67-221C-4D0E-A8B7-5BB5B8A4A8E1}"/>
    <cellStyle name="20% - Énfasis6 4 8" xfId="18217" xr:uid="{023D28D3-4AED-4193-A910-37F7012FC2A7}"/>
    <cellStyle name="20% - Énfasis6 4 8 2" xfId="24395" xr:uid="{7590579B-77A7-4675-AF1A-A17D8730825D}"/>
    <cellStyle name="20% - Énfasis6 4 9" xfId="18428" xr:uid="{AC56CD3D-C78A-452B-9F6C-EE603F8F785E}"/>
    <cellStyle name="20% - Énfasis6 4_1.2.b" xfId="15369" xr:uid="{56033473-67F6-42B1-9D55-1C826D80E666}"/>
    <cellStyle name="20% - Énfasis6 40" xfId="13082" xr:uid="{2D71A80B-BBAC-4734-B094-13F51F440F93}"/>
    <cellStyle name="20% - Énfasis6 40 2" xfId="17098" xr:uid="{8FAA9C29-690B-4D49-84D9-D31512E9044D}"/>
    <cellStyle name="20% - Énfasis6 40 2 2" xfId="23352" xr:uid="{FBA6266B-7AE0-4174-88C9-0A284D65BFB6}"/>
    <cellStyle name="20% - Énfasis6 40 3" xfId="21717" xr:uid="{8EC0F71D-D299-4617-9E2A-96950347727A}"/>
    <cellStyle name="20% - Énfasis6 40_1.2.b" xfId="15371" xr:uid="{C2BBBBE5-BB9F-46DC-A795-CC3A20ED7A96}"/>
    <cellStyle name="20% - Énfasis6 41" xfId="13083" xr:uid="{05FAF120-843A-4136-BD6D-8A91736B5861}"/>
    <cellStyle name="20% - Énfasis6 41 2" xfId="17099" xr:uid="{1F9E8D37-895A-45D4-9D6E-5580DF7CAAB1}"/>
    <cellStyle name="20% - Énfasis6 41 2 2" xfId="23353" xr:uid="{CF86C28D-939C-4D3F-90E3-772A4B420BE0}"/>
    <cellStyle name="20% - Énfasis6 41 3" xfId="21718" xr:uid="{103C4767-8407-481B-BA6E-E401215FE674}"/>
    <cellStyle name="20% - Énfasis6 41_1.2.b" xfId="15372" xr:uid="{9D5A14EC-1D5B-4061-B933-6E78C8EC7A1A}"/>
    <cellStyle name="20% - Énfasis6 42" xfId="13084" xr:uid="{36983A0D-D697-4B0A-B664-3559E286BA60}"/>
    <cellStyle name="20% - Énfasis6 42 2" xfId="17100" xr:uid="{1499248E-AD88-4B6D-98E0-350A23442D0B}"/>
    <cellStyle name="20% - Énfasis6 42 2 2" xfId="23354" xr:uid="{B468AEFD-0E4D-445C-9BB2-888A5FECA5C0}"/>
    <cellStyle name="20% - Énfasis6 42 3" xfId="21719" xr:uid="{9F31D13E-2628-44C2-88D1-2D3ECE7BD1E9}"/>
    <cellStyle name="20% - Énfasis6 42_1.2.b" xfId="15373" xr:uid="{726B3683-C144-469A-98C9-269E6E500CAC}"/>
    <cellStyle name="20% - Énfasis6 43" xfId="13085" xr:uid="{DB54754F-65F8-483B-BF45-7AD2802CA81E}"/>
    <cellStyle name="20% - Énfasis6 43 2" xfId="17101" xr:uid="{526F7BFE-6D62-4AF0-9ECC-40431CCEAAA0}"/>
    <cellStyle name="20% - Énfasis6 43 2 2" xfId="23355" xr:uid="{39C66461-D660-4372-9D54-E42AF323A2EB}"/>
    <cellStyle name="20% - Énfasis6 43 3" xfId="21720" xr:uid="{6644D872-1D50-42E1-BFB1-AF9D87DB36B2}"/>
    <cellStyle name="20% - Énfasis6 43_1.2.b" xfId="15374" xr:uid="{0F495BCA-506F-4E22-8DD2-1545E6832295}"/>
    <cellStyle name="20% - Énfasis6 44" xfId="13086" xr:uid="{CA547426-9572-48AB-A2C3-F0A2B2D34F81}"/>
    <cellStyle name="20% - Énfasis6 44 2" xfId="17102" xr:uid="{7621E724-F200-422C-BF29-245A0D5158DB}"/>
    <cellStyle name="20% - Énfasis6 44 2 2" xfId="23356" xr:uid="{9BA2A254-D5B3-4065-AF19-84A9892437FA}"/>
    <cellStyle name="20% - Énfasis6 44 3" xfId="21721" xr:uid="{F686318D-33B8-4936-93CD-01D116728975}"/>
    <cellStyle name="20% - Énfasis6 44_1.2.b" xfId="15375" xr:uid="{85C383C2-224D-4213-95F1-4F133122AFE8}"/>
    <cellStyle name="20% - Énfasis6 45" xfId="13087" xr:uid="{473DD2ED-BEA0-43A9-9429-77C8B5919A74}"/>
    <cellStyle name="20% - Énfasis6 45 2" xfId="17103" xr:uid="{C5F1D4F0-B67E-40D8-94D6-AC95CC0F17E3}"/>
    <cellStyle name="20% - Énfasis6 45 2 2" xfId="23357" xr:uid="{DA2CFF01-5ACA-43BB-B821-BB596C972F23}"/>
    <cellStyle name="20% - Énfasis6 45 3" xfId="21722" xr:uid="{EAC43400-E910-40CB-8C88-C65B821623C0}"/>
    <cellStyle name="20% - Énfasis6 45_1.2.b" xfId="15376" xr:uid="{7CD51566-CD87-4D40-84A4-FEF3BE170C62}"/>
    <cellStyle name="20% - Énfasis6 46" xfId="13088" xr:uid="{6A0E86A9-E703-4409-85D2-EF8FBBF8CF1A}"/>
    <cellStyle name="20% - Énfasis6 46 2" xfId="17104" xr:uid="{A12B248E-27FF-46BD-98C9-430632C052C4}"/>
    <cellStyle name="20% - Énfasis6 46 2 2" xfId="23358" xr:uid="{94C1A003-289A-48AA-A114-C0341BC98F94}"/>
    <cellStyle name="20% - Énfasis6 46 3" xfId="21723" xr:uid="{A44D35B8-12A3-48CD-95AF-8B6FED8AC70F}"/>
    <cellStyle name="20% - Énfasis6 46_1.2.b" xfId="15377" xr:uid="{1FEF44E1-56B3-4CF5-8E26-8BA26BCF735C}"/>
    <cellStyle name="20% - Énfasis6 47" xfId="13089" xr:uid="{25E161CB-A0EF-497C-95E9-F6AD57596B6A}"/>
    <cellStyle name="20% - Énfasis6 47 2" xfId="17105" xr:uid="{41F0AB45-E15E-4374-83B3-8F8D5CF054B5}"/>
    <cellStyle name="20% - Énfasis6 47 2 2" xfId="23359" xr:uid="{78726790-1D35-45A9-90D5-20B1D8F47032}"/>
    <cellStyle name="20% - Énfasis6 47 3" xfId="21724" xr:uid="{BCC37A3D-1C24-4CB6-9E43-00695F75C723}"/>
    <cellStyle name="20% - Énfasis6 47_1.2.b" xfId="15378" xr:uid="{99B290C6-562F-4A93-BC9F-47C54FE7EBD1}"/>
    <cellStyle name="20% - Énfasis6 48" xfId="13090" xr:uid="{B5CD7405-6A56-471D-B5C2-DA22916DB71A}"/>
    <cellStyle name="20% - Énfasis6 48 2" xfId="17106" xr:uid="{F32749E5-C300-4DA7-8E31-20EDD63069BD}"/>
    <cellStyle name="20% - Énfasis6 48 2 2" xfId="23360" xr:uid="{0C09DBAD-2DA2-4CF4-A930-39ED27FC9CB9}"/>
    <cellStyle name="20% - Énfasis6 48 3" xfId="21725" xr:uid="{2A8F73FF-BB8F-4F14-ADEF-244D1679C1F0}"/>
    <cellStyle name="20% - Énfasis6 48_1.2.b" xfId="15379" xr:uid="{9D370EE5-6E8B-46FC-B70E-1B28AF683146}"/>
    <cellStyle name="20% - Énfasis6 49" xfId="13091" xr:uid="{2F8491A6-6C7B-49A2-BFD1-15A94F939D3F}"/>
    <cellStyle name="20% - Énfasis6 49 2" xfId="17107" xr:uid="{11DA586C-6777-4A15-AC3F-937C2C6BB364}"/>
    <cellStyle name="20% - Énfasis6 49 2 2" xfId="23361" xr:uid="{1AB3206D-F104-4E78-A272-1D97BCD9F998}"/>
    <cellStyle name="20% - Énfasis6 49 3" xfId="21726" xr:uid="{DBA3689C-BEDF-41F0-BEA1-A3EB92B30B8D}"/>
    <cellStyle name="20% - Énfasis6 49_1.2.b" xfId="15380" xr:uid="{8CF3D293-8722-479C-9B30-808EBE111706}"/>
    <cellStyle name="20% - Énfasis6 5" xfId="199" xr:uid="{00000000-0005-0000-0000-0000A5000000}"/>
    <cellStyle name="20% - Énfasis6 5 2" xfId="10719" xr:uid="{00000000-0005-0000-0000-0000A6000000}"/>
    <cellStyle name="20% - Énfasis6 5 2 2" xfId="19811" xr:uid="{F87EF148-8D64-4AA2-8B55-461976BD6A11}"/>
    <cellStyle name="20% - Énfasis6 5 3" xfId="13092" xr:uid="{94570253-9862-4D4F-A45D-002FD9FAF3D4}"/>
    <cellStyle name="20% - Énfasis6 5 3 2" xfId="21727" xr:uid="{B66F373B-9203-499C-92A5-835A09CA95B1}"/>
    <cellStyle name="20% - Énfasis6 5 4" xfId="17108" xr:uid="{9307E9AD-551F-4423-B9AB-3DEE309FBB1E}"/>
    <cellStyle name="20% - Énfasis6 5 4 2" xfId="23362" xr:uid="{6065DDE8-7C37-431F-91A8-13B4820FBD44}"/>
    <cellStyle name="20% - Énfasis6 5 5" xfId="18443" xr:uid="{B979D856-282B-4759-BCF0-52F509F1275F}"/>
    <cellStyle name="20% - Énfasis6 5_1.2.b" xfId="15381" xr:uid="{A6676E98-A39E-4B22-8246-FF78097BFAA4}"/>
    <cellStyle name="20% - Énfasis6 50" xfId="13093" xr:uid="{3DCAC4E4-5706-498B-BE67-0E13B2441B9E}"/>
    <cellStyle name="20% - Énfasis6 50 2" xfId="17109" xr:uid="{04B03948-155C-455D-B447-54B5EC0133FF}"/>
    <cellStyle name="20% - Énfasis6 50 2 2" xfId="23363" xr:uid="{83BA7EF6-C57B-46EE-B62A-082F53B8EFAB}"/>
    <cellStyle name="20% - Énfasis6 50 3" xfId="21728" xr:uid="{26184F62-6F74-4252-BFB5-1A4EBDC1C701}"/>
    <cellStyle name="20% - Énfasis6 50_1.2.b" xfId="15382" xr:uid="{E1ACBE12-3BA5-49E7-B8EF-56C95262D6A0}"/>
    <cellStyle name="20% - Énfasis6 51" xfId="13094" xr:uid="{1300E533-E13E-455B-AA1E-812993E7651D}"/>
    <cellStyle name="20% - Énfasis6 51 2" xfId="17110" xr:uid="{CE7B7117-FD46-4F1C-A14B-23FCC5359C54}"/>
    <cellStyle name="20% - Énfasis6 51 2 2" xfId="23364" xr:uid="{6FC6CCB4-6754-4A41-ACCB-92D7F27C42C0}"/>
    <cellStyle name="20% - Énfasis6 51 3" xfId="21729" xr:uid="{99CB8639-D5F4-4902-9B3D-816E2B948601}"/>
    <cellStyle name="20% - Énfasis6 51_1.2.b" xfId="15383" xr:uid="{110179CF-9AF8-4BC3-8B3C-BDCE39AC2856}"/>
    <cellStyle name="20% - Énfasis6 52" xfId="13095" xr:uid="{6718BCB4-0F73-4EFF-855D-94503F7F83E7}"/>
    <cellStyle name="20% - Énfasis6 52 2" xfId="17111" xr:uid="{C36978CE-CF0B-455E-87DB-EE1EC9732FE0}"/>
    <cellStyle name="20% - Énfasis6 52 2 2" xfId="23365" xr:uid="{046E170C-CEB2-46D5-B8B3-0AAC13B58221}"/>
    <cellStyle name="20% - Énfasis6 52 3" xfId="21730" xr:uid="{77B6F26F-C94E-413A-941E-3DBA6DD97795}"/>
    <cellStyle name="20% - Énfasis6 52_1.2.b" xfId="15384" xr:uid="{A9A569FE-0839-4ADB-A043-7137EFF16399}"/>
    <cellStyle name="20% - Énfasis6 53" xfId="13096" xr:uid="{E6840AC5-80A3-4B1D-A508-5F146413FEED}"/>
    <cellStyle name="20% - Énfasis6 53 2" xfId="17112" xr:uid="{2BDEDC88-FEAB-478F-8B87-CFFA987BDD2F}"/>
    <cellStyle name="20% - Énfasis6 53 2 2" xfId="23366" xr:uid="{8FC53EE0-4511-4778-9A45-F2DF0D18F2E1}"/>
    <cellStyle name="20% - Énfasis6 53 3" xfId="21731" xr:uid="{9C96BA18-83EB-459A-B8CE-769AE8088636}"/>
    <cellStyle name="20% - Énfasis6 53_1.2.b" xfId="15385" xr:uid="{E53E3C2A-40EB-402E-8C0F-45C865DB664B}"/>
    <cellStyle name="20% - Énfasis6 54" xfId="13097" xr:uid="{4F910500-ACB3-4BAA-9105-CBA6789B8584}"/>
    <cellStyle name="20% - Énfasis6 54 2" xfId="17113" xr:uid="{3F7F1AA3-887C-4DF9-AC1A-07EC5CE58931}"/>
    <cellStyle name="20% - Énfasis6 54 2 2" xfId="23367" xr:uid="{1C8326C9-EA7B-4560-A133-B35A35C6A585}"/>
    <cellStyle name="20% - Énfasis6 54 3" xfId="21732" xr:uid="{75E35A31-3AE5-44D4-92CD-78528CECFF7E}"/>
    <cellStyle name="20% - Énfasis6 54_1.2.b" xfId="15386" xr:uid="{F3BC2BC3-DCC5-4455-88A2-F1205EA17538}"/>
    <cellStyle name="20% - Énfasis6 55" xfId="13098" xr:uid="{C947852A-B8AD-48EE-ADAA-ECDA541E4A38}"/>
    <cellStyle name="20% - Énfasis6 55 2" xfId="17114" xr:uid="{FFE1089E-C852-48A8-98F1-C1CA5BC815A7}"/>
    <cellStyle name="20% - Énfasis6 55 2 2" xfId="23368" xr:uid="{95A702AB-79AB-484F-9C45-D3A75B9ACED8}"/>
    <cellStyle name="20% - Énfasis6 55 3" xfId="21733" xr:uid="{AFB05DE4-D6A4-4C1C-94B0-EFD587ADA0DC}"/>
    <cellStyle name="20% - Énfasis6 55_1.2.b" xfId="15387" xr:uid="{9B23D7B1-7448-434B-9858-843E0507C5E9}"/>
    <cellStyle name="20% - Énfasis6 56" xfId="13099" xr:uid="{21DD7785-35F8-412D-8B34-F004FEFFF8AA}"/>
    <cellStyle name="20% - Énfasis6 56 2" xfId="17115" xr:uid="{ADAF9632-5E3D-4195-889A-71730D318D20}"/>
    <cellStyle name="20% - Énfasis6 56 2 2" xfId="23369" xr:uid="{DD5D5DFD-FE1A-4E82-B50E-F8BFF22D0D35}"/>
    <cellStyle name="20% - Énfasis6 56 3" xfId="21734" xr:uid="{490CBB24-8225-468F-8B61-664A31FBA78E}"/>
    <cellStyle name="20% - Énfasis6 56_1.2.b" xfId="15388" xr:uid="{A0A7F495-EB7E-45E3-9D70-B64274AFF889}"/>
    <cellStyle name="20% - Énfasis6 57" xfId="13100" xr:uid="{6F84CF39-E7A6-498F-AE66-573494237EA6}"/>
    <cellStyle name="20% - Énfasis6 57 2" xfId="17116" xr:uid="{121CBC97-F6A4-4729-BCBC-D91E9D22B45E}"/>
    <cellStyle name="20% - Énfasis6 57 2 2" xfId="23370" xr:uid="{C80D8EF1-6EC8-41FD-B56D-31008BE905EF}"/>
    <cellStyle name="20% - Énfasis6 57 3" xfId="21735" xr:uid="{766418C4-C6AC-47F0-801C-C8F4D5D57F7F}"/>
    <cellStyle name="20% - Énfasis6 57_1.2.b" xfId="15389" xr:uid="{E904CE15-AF15-4C96-A084-898B3693D312}"/>
    <cellStyle name="20% - Énfasis6 58" xfId="13101" xr:uid="{00099F4D-C602-4A6C-A591-EE4A8FA2665A}"/>
    <cellStyle name="20% - Énfasis6 58 2" xfId="17117" xr:uid="{063A82E8-A86E-4510-B1E1-009A4423E6E3}"/>
    <cellStyle name="20% - Énfasis6 58 2 2" xfId="23371" xr:uid="{B729AA38-695D-4A99-87C8-EDD1668D2711}"/>
    <cellStyle name="20% - Énfasis6 58 3" xfId="21736" xr:uid="{0AE33092-1AD1-48C6-924E-7B32C9A4D292}"/>
    <cellStyle name="20% - Énfasis6 58_1.2.b" xfId="15390" xr:uid="{7D6ABA41-9C5B-4F96-B667-79FB99FAA8D7}"/>
    <cellStyle name="20% - Énfasis6 59" xfId="13102" xr:uid="{F78F569E-33EC-4D37-BEF1-2530B9D68818}"/>
    <cellStyle name="20% - Énfasis6 59 2" xfId="17118" xr:uid="{185FCA6A-70C4-4776-AF06-3AAF13F580A7}"/>
    <cellStyle name="20% - Énfasis6 59 2 2" xfId="23372" xr:uid="{0A6E75E9-665F-45E6-AFA5-742721814726}"/>
    <cellStyle name="20% - Énfasis6 59 3" xfId="21737" xr:uid="{9388ADB7-EF79-4935-9062-52409B975941}"/>
    <cellStyle name="20% - Énfasis6 59_1.2.b" xfId="15391" xr:uid="{8699DD51-A2A1-461A-98F1-6EC5E02D4598}"/>
    <cellStyle name="20% - Énfasis6 6" xfId="213" xr:uid="{00000000-0005-0000-0000-0000A7000000}"/>
    <cellStyle name="20% - Énfasis6 6 2" xfId="10733" xr:uid="{00000000-0005-0000-0000-0000A8000000}"/>
    <cellStyle name="20% - Énfasis6 6 2 2" xfId="19825" xr:uid="{ECDBC9E5-00E5-4C5D-A2A7-0C2216E319AB}"/>
    <cellStyle name="20% - Énfasis6 6 3" xfId="13103" xr:uid="{C49E8D7B-DA1C-4B56-BEE0-FCC1D3E03852}"/>
    <cellStyle name="20% - Énfasis6 6 3 2" xfId="21738" xr:uid="{F33FF62D-BAA9-4D3C-8A81-0122EAF5B471}"/>
    <cellStyle name="20% - Énfasis6 6 4" xfId="17119" xr:uid="{02298907-5DB1-44A7-AC31-12D85E14E6D9}"/>
    <cellStyle name="20% - Énfasis6 6 4 2" xfId="23373" xr:uid="{40C4B395-F219-40AF-A4EC-6BCC7FEFE570}"/>
    <cellStyle name="20% - Énfasis6 6 5" xfId="18457" xr:uid="{4C687D92-7486-41CE-94B3-0375CEA9BD42}"/>
    <cellStyle name="20% - Énfasis6 6_1.2.b" xfId="15392" xr:uid="{AF0594AC-AB97-4F51-AC2E-C80F37BA5415}"/>
    <cellStyle name="20% - Énfasis6 60" xfId="13104" xr:uid="{542815D6-F6ED-4A5F-9AC7-9A633B58C2DF}"/>
    <cellStyle name="20% - Énfasis6 60 2" xfId="17120" xr:uid="{4427562A-0CA7-46D9-91FC-AA2C155FBFD2}"/>
    <cellStyle name="20% - Énfasis6 60 2 2" xfId="23374" xr:uid="{F3E1B9C7-0F91-4F96-AC4C-80E0E7D8E160}"/>
    <cellStyle name="20% - Énfasis6 60 3" xfId="21739" xr:uid="{53F4BCCE-2AC6-473A-8320-1360402FC44E}"/>
    <cellStyle name="20% - Énfasis6 60_1.2.b" xfId="15393" xr:uid="{1ED12263-0E33-45C7-9DC1-275393F54D85}"/>
    <cellStyle name="20% - Énfasis6 61" xfId="13105" xr:uid="{779FD73E-A245-4965-9C82-CD21E239D686}"/>
    <cellStyle name="20% - Énfasis6 61 2" xfId="17121" xr:uid="{E77E549C-1F70-410B-AF65-AEA0B7631053}"/>
    <cellStyle name="20% - Énfasis6 61 2 2" xfId="23375" xr:uid="{57490943-EE19-4AFF-B23A-8A92EEEDE918}"/>
    <cellStyle name="20% - Énfasis6 61 3" xfId="21740" xr:uid="{AB5159D3-7550-4831-B9FF-A14A609F2B4D}"/>
    <cellStyle name="20% - Énfasis6 61_1.2.b" xfId="15394" xr:uid="{C87B826F-5736-4E67-9A3D-D24C6DF65AD9}"/>
    <cellStyle name="20% - Énfasis6 62" xfId="13106" xr:uid="{FD00F011-5D4B-4BBC-8687-65E4B33FC7B1}"/>
    <cellStyle name="20% - Énfasis6 62 2" xfId="17122" xr:uid="{D9FC27D0-C6C0-4D33-B32B-00C09743B0CE}"/>
    <cellStyle name="20% - Énfasis6 62 2 2" xfId="23376" xr:uid="{84BCA6CF-C2E5-4F00-BB6A-9C94926230C0}"/>
    <cellStyle name="20% - Énfasis6 62 3" xfId="21741" xr:uid="{EC8AE915-343E-4024-A584-6410531CE7FD}"/>
    <cellStyle name="20% - Énfasis6 62_1.2.b" xfId="15395" xr:uid="{EE0F9D44-DD9C-4D9C-B53E-EA25C1E4DAB9}"/>
    <cellStyle name="20% - Énfasis6 63" xfId="13107" xr:uid="{59D6381F-0EF5-44BD-BF9D-4C93CD22F9FB}"/>
    <cellStyle name="20% - Énfasis6 63 2" xfId="17123" xr:uid="{4C142EB8-B7AA-4E70-A611-B61B28C58B36}"/>
    <cellStyle name="20% - Énfasis6 63 2 2" xfId="23377" xr:uid="{C7F8D347-FA70-4552-8846-F9468B7C9A6B}"/>
    <cellStyle name="20% - Énfasis6 63 3" xfId="21742" xr:uid="{CE3D9E0A-6D9C-4048-A889-AB918C02E2BF}"/>
    <cellStyle name="20% - Énfasis6 63_1.2.b" xfId="15396" xr:uid="{1776C978-0DC9-467B-A763-B3822615B12A}"/>
    <cellStyle name="20% - Énfasis6 64" xfId="13108" xr:uid="{5C32773E-1A3D-4618-8ACB-C7497459EF8B}"/>
    <cellStyle name="20% - Énfasis6 64 2" xfId="17124" xr:uid="{FA7DE7A8-F814-4950-970D-916FEA174EAF}"/>
    <cellStyle name="20% - Énfasis6 64 2 2" xfId="23378" xr:uid="{FE9B509D-73DE-4FAB-B354-B8A34F6599D5}"/>
    <cellStyle name="20% - Énfasis6 64 3" xfId="21743" xr:uid="{690471AD-4F4E-459D-8F79-308BBEE16F3E}"/>
    <cellStyle name="20% - Énfasis6 64_1.2.b" xfId="15397" xr:uid="{7E7F7282-B79B-4F74-9A31-4C03AF4FD422}"/>
    <cellStyle name="20% - Énfasis6 65" xfId="13109" xr:uid="{39E4CB22-4A8D-4F93-95F5-BABE74959999}"/>
    <cellStyle name="20% - Énfasis6 65 2" xfId="17125" xr:uid="{5D927A44-7B14-4815-BC1E-591334A8DDBE}"/>
    <cellStyle name="20% - Énfasis6 65 2 2" xfId="23379" xr:uid="{EF6AE2AC-6ADE-4E14-AD94-579BC98DCEEB}"/>
    <cellStyle name="20% - Énfasis6 65 3" xfId="21744" xr:uid="{7D79B915-35BD-42E4-A80A-3C33F881894E}"/>
    <cellStyle name="20% - Énfasis6 65_1.2.b" xfId="15398" xr:uid="{3AADE528-CDA5-46B6-990B-6D7E57730769}"/>
    <cellStyle name="20% - Énfasis6 66" xfId="13110" xr:uid="{28EEB1F2-B0B8-4286-BD25-99AB733AC52A}"/>
    <cellStyle name="20% - Énfasis6 66 2" xfId="17126" xr:uid="{0FF5D15B-A741-4E9E-B5D7-F1EF2817BE79}"/>
    <cellStyle name="20% - Énfasis6 66 2 2" xfId="23380" xr:uid="{E488E3FB-85C9-4C8F-9EED-B6C472B21E6F}"/>
    <cellStyle name="20% - Énfasis6 66 3" xfId="21745" xr:uid="{63DD6D4D-076B-4756-BF4F-4EF69D0FB296}"/>
    <cellStyle name="20% - Énfasis6 66_1.2.b" xfId="15399" xr:uid="{8F18520C-8A30-4A6C-8CF4-1E6433C654D0}"/>
    <cellStyle name="20% - Énfasis6 67" xfId="13111" xr:uid="{DC0CDF3C-547A-441F-AF3E-1EDC3CE4CDAB}"/>
    <cellStyle name="20% - Énfasis6 67 2" xfId="17127" xr:uid="{2691E7FC-FF7F-45EA-B780-43EC4DA95F7B}"/>
    <cellStyle name="20% - Énfasis6 67 2 2" xfId="23381" xr:uid="{D84AEF7A-A0BD-48BA-8165-A7A30A1BB0CA}"/>
    <cellStyle name="20% - Énfasis6 67 3" xfId="21746" xr:uid="{8A979E03-F12C-4216-8A32-F2CD10FA8969}"/>
    <cellStyle name="20% - Énfasis6 67_1.2.b" xfId="15400" xr:uid="{60B81A8C-5624-49F7-BA1E-1CA68AEF63EA}"/>
    <cellStyle name="20% - Énfasis6 68" xfId="13112" xr:uid="{DB11147B-B453-4AFF-8D6A-74C3896ED6C3}"/>
    <cellStyle name="20% - Énfasis6 68 2" xfId="17128" xr:uid="{A170010A-6BF2-4B88-9D48-9C126BFBA554}"/>
    <cellStyle name="20% - Énfasis6 68 2 2" xfId="23382" xr:uid="{9527A290-DE44-44F0-A9D5-5BC224B33E71}"/>
    <cellStyle name="20% - Énfasis6 68 3" xfId="21747" xr:uid="{11846143-CA3E-45F6-AD44-CCB4393489DC}"/>
    <cellStyle name="20% - Énfasis6 68_1.2.b" xfId="15401" xr:uid="{BCD34E8D-3FE4-43F6-8D08-DD71BD493F78}"/>
    <cellStyle name="20% - Énfasis6 69" xfId="13113" xr:uid="{C4226C28-B0BB-468E-A716-AB0DBCF95997}"/>
    <cellStyle name="20% - Énfasis6 69 2" xfId="17129" xr:uid="{188FC8FB-8C14-4F1C-8ECF-76E28F8E6FC7}"/>
    <cellStyle name="20% - Énfasis6 69 2 2" xfId="23383" xr:uid="{5A4FE45B-BC05-4BF4-9280-0228562516E2}"/>
    <cellStyle name="20% - Énfasis6 69 3" xfId="21748" xr:uid="{8B31A4A6-B996-441A-AEF1-546FE3FAB13C}"/>
    <cellStyle name="20% - Énfasis6 69_1.2.b" xfId="15402" xr:uid="{2A7ECAF9-08FF-4958-B90D-640B7E5E6DF4}"/>
    <cellStyle name="20% - Énfasis6 7" xfId="9837" xr:uid="{00000000-0005-0000-0000-0000A9000000}"/>
    <cellStyle name="20% - Énfasis6 7 2" xfId="11623" xr:uid="{00000000-0005-0000-0000-0000AA000000}"/>
    <cellStyle name="20% - Énfasis6 7 2 2" xfId="20392" xr:uid="{D32ED3AD-95B6-4A68-BBE0-CB0CDF687E8A}"/>
    <cellStyle name="20% - Énfasis6 7 3" xfId="13114" xr:uid="{D8958FFD-019D-41CF-9C9A-4394D3728EA0}"/>
    <cellStyle name="20% - Énfasis6 7 3 2" xfId="21749" xr:uid="{947B8A55-2A81-480E-B43E-7BC7A26E9FA6}"/>
    <cellStyle name="20% - Énfasis6 7 4" xfId="17130" xr:uid="{64A3BD51-300E-4005-9CE6-8CD5090FAB61}"/>
    <cellStyle name="20% - Énfasis6 7 4 2" xfId="23384" xr:uid="{F85CD83A-6D45-47B3-988F-DCF8B06BDFA6}"/>
    <cellStyle name="20% - Énfasis6 7 5" xfId="19024" xr:uid="{221FA622-8DBB-4286-B9F5-08B7C16994D8}"/>
    <cellStyle name="20% - Énfasis6 7_1.2.b" xfId="15403" xr:uid="{3380E1CC-FB28-4D57-A26F-E1B7AF363D5F}"/>
    <cellStyle name="20% - Énfasis6 70" xfId="13115" xr:uid="{F8D8046F-0BC6-4BE3-A93C-ECD887CEA40C}"/>
    <cellStyle name="20% - Énfasis6 70 2" xfId="17131" xr:uid="{E2269D75-B9B3-41DE-A497-81418E21CDD0}"/>
    <cellStyle name="20% - Énfasis6 70 2 2" xfId="23385" xr:uid="{CB888FCF-5E76-4B7D-9D8A-EE69DF2C3B70}"/>
    <cellStyle name="20% - Énfasis6 70 3" xfId="21750" xr:uid="{FDE5A515-6350-4AFC-B26F-CCB61C482CD9}"/>
    <cellStyle name="20% - Énfasis6 70_1.2.b" xfId="15404" xr:uid="{53CDCC37-0F4B-4B9E-AE4E-CF3FD46D0D25}"/>
    <cellStyle name="20% - Énfasis6 71" xfId="13116" xr:uid="{71EE2B15-8F6F-475F-9240-2C8454C49101}"/>
    <cellStyle name="20% - Énfasis6 71 2" xfId="17132" xr:uid="{74C59E46-E90B-4BEF-8CBD-CB220B148B9A}"/>
    <cellStyle name="20% - Énfasis6 71 2 2" xfId="23386" xr:uid="{456C716B-8DDE-4031-9704-F5DC058EC4A6}"/>
    <cellStyle name="20% - Énfasis6 71 3" xfId="21751" xr:uid="{4ABDBF2A-3F32-40A4-A74F-538B3DC3D333}"/>
    <cellStyle name="20% - Énfasis6 71_1.2.b" xfId="15405" xr:uid="{C3E1DEB3-79C6-4533-83AF-48E085458FA5}"/>
    <cellStyle name="20% - Énfasis6 72" xfId="13117" xr:uid="{23D70130-D979-4A55-946E-53D759BCFD0F}"/>
    <cellStyle name="20% - Énfasis6 72 2" xfId="17133" xr:uid="{41EE7194-5144-4E00-A7C3-6A74C44EA68A}"/>
    <cellStyle name="20% - Énfasis6 72 2 2" xfId="23387" xr:uid="{1500C65B-F4A3-43F9-98CA-62C7BBB76EBF}"/>
    <cellStyle name="20% - Énfasis6 72 3" xfId="21752" xr:uid="{DC83E0E9-8AE5-4765-9747-68352CAB5250}"/>
    <cellStyle name="20% - Énfasis6 72_1.2.b" xfId="15406" xr:uid="{E29FC573-D1D3-43B0-AC26-4BDC555DC810}"/>
    <cellStyle name="20% - Énfasis6 73" xfId="13118" xr:uid="{AFF7DFF7-31E4-4185-BD9D-EFA68094AEB9}"/>
    <cellStyle name="20% - Énfasis6 73 2" xfId="17134" xr:uid="{C03ECF4B-3850-44AF-A7F4-A603E3549541}"/>
    <cellStyle name="20% - Énfasis6 73 2 2" xfId="23388" xr:uid="{4E4131D9-583E-4E31-B60F-3F0EFDCAFABB}"/>
    <cellStyle name="20% - Énfasis6 73 3" xfId="21753" xr:uid="{A804EAA6-4C1F-48DD-8A77-2AA3DDCCB82E}"/>
    <cellStyle name="20% - Énfasis6 73_1.2.b" xfId="15407" xr:uid="{D0429771-6925-4CEB-922A-CDDBA6B5BAEE}"/>
    <cellStyle name="20% - Énfasis6 74" xfId="13119" xr:uid="{8DF2E70F-250C-47D1-B157-B437E7D1BBF5}"/>
    <cellStyle name="20% - Énfasis6 74 2" xfId="17135" xr:uid="{B2D463D8-FE15-464A-8CBB-AFE6BC955C8A}"/>
    <cellStyle name="20% - Énfasis6 74 2 2" xfId="23389" xr:uid="{197B81E5-D14E-46C9-BA93-51BDF2FE29B6}"/>
    <cellStyle name="20% - Énfasis6 74 3" xfId="21754" xr:uid="{E4271D6F-8A64-4DDF-A0C1-93690518B371}"/>
    <cellStyle name="20% - Énfasis6 74_1.2.b" xfId="15408" xr:uid="{51D0793F-2730-454A-BB34-FE3CFC681521}"/>
    <cellStyle name="20% - Énfasis6 75" xfId="13120" xr:uid="{FE175694-9835-428A-ABA4-9D47EE862C58}"/>
    <cellStyle name="20% - Énfasis6 75 2" xfId="17136" xr:uid="{0ADB47DB-6E74-4F44-A403-06E3A0F81205}"/>
    <cellStyle name="20% - Énfasis6 75 2 2" xfId="23390" xr:uid="{C338DE7C-9A11-45FD-8752-F64F8C3312A2}"/>
    <cellStyle name="20% - Énfasis6 75 3" xfId="21755" xr:uid="{228ADC5B-B16B-4CB4-8776-E1C9F8883830}"/>
    <cellStyle name="20% - Énfasis6 75_1.2.b" xfId="15409" xr:uid="{5DEDF6BD-0F29-4DF7-A262-4B8241D105EA}"/>
    <cellStyle name="20% - Énfasis6 76" xfId="13121" xr:uid="{D2B71989-EE6F-4852-ADDF-9E80F8803E2F}"/>
    <cellStyle name="20% - Énfasis6 76 2" xfId="17137" xr:uid="{AC2078C8-08F3-4C9F-9E63-8485AF0D6746}"/>
    <cellStyle name="20% - Énfasis6 76 2 2" xfId="23391" xr:uid="{CCBA7591-E2AD-4AC2-BDCF-360A4EA64EC2}"/>
    <cellStyle name="20% - Énfasis6 76 3" xfId="21756" xr:uid="{BFD26E01-9A99-4273-A012-C218C58E5725}"/>
    <cellStyle name="20% - Énfasis6 76_1.2.b" xfId="15410" xr:uid="{83F25782-C7A6-47A6-ACFE-908D373F1BD5}"/>
    <cellStyle name="20% - Énfasis6 77" xfId="13122" xr:uid="{8B9ECCB6-094A-45E6-93A9-09C4A40459D5}"/>
    <cellStyle name="20% - Énfasis6 77 2" xfId="17138" xr:uid="{3247149F-5233-480D-9636-B3DEBF217A8A}"/>
    <cellStyle name="20% - Énfasis6 77 2 2" xfId="23392" xr:uid="{0D547C2E-F7E9-4E7B-8D44-D7375837A8A5}"/>
    <cellStyle name="20% - Énfasis6 77 3" xfId="21757" xr:uid="{7E0BFF2E-A9D3-4FFE-9F02-6A3AACB8F22C}"/>
    <cellStyle name="20% - Énfasis6 77_1.2.b" xfId="15411" xr:uid="{97C53C51-796F-4091-80E6-97F8DDF3FBD4}"/>
    <cellStyle name="20% - Énfasis6 78" xfId="13123" xr:uid="{B16D92C8-97C0-4E79-8821-077A99B6D856}"/>
    <cellStyle name="20% - Énfasis6 78 2" xfId="17139" xr:uid="{54B1ECC5-7712-4DEE-866D-2D985BDE1D19}"/>
    <cellStyle name="20% - Énfasis6 78 2 2" xfId="23393" xr:uid="{F7939B2C-EFF3-4C4C-A21B-2B7FC709BBEA}"/>
    <cellStyle name="20% - Énfasis6 78 3" xfId="21758" xr:uid="{48B19063-9AE5-49A5-A6F8-E8A8FA74AB97}"/>
    <cellStyle name="20% - Énfasis6 78_1.2.b" xfId="15412" xr:uid="{CD497AC1-0724-468C-95B7-B76D65442146}"/>
    <cellStyle name="20% - Énfasis6 79" xfId="13124" xr:uid="{1E855366-16CE-47A0-907C-EB67DC1B3095}"/>
    <cellStyle name="20% - Énfasis6 79 2" xfId="17140" xr:uid="{8F55FFF3-8AAC-4E28-9A98-44DA349ACE81}"/>
    <cellStyle name="20% - Énfasis6 79 2 2" xfId="23394" xr:uid="{E579A7EE-7A08-4D6F-A010-DC816E43C6EE}"/>
    <cellStyle name="20% - Énfasis6 79 3" xfId="21759" xr:uid="{CAC60E3A-3852-4464-9F07-B6C1B60D890A}"/>
    <cellStyle name="20% - Énfasis6 79_1.2.b" xfId="15413" xr:uid="{9FAF8472-C668-4CDF-8159-2F4C44198495}"/>
    <cellStyle name="20% - Énfasis6 8" xfId="9856" xr:uid="{00000000-0005-0000-0000-0000AB000000}"/>
    <cellStyle name="20% - Énfasis6 8 2" xfId="11641" xr:uid="{00000000-0005-0000-0000-0000AC000000}"/>
    <cellStyle name="20% - Énfasis6 8 2 2" xfId="20408" xr:uid="{6D7D1AEA-3206-46C0-9E4E-98D2DEEC9DAB}"/>
    <cellStyle name="20% - Énfasis6 8 3" xfId="13125" xr:uid="{CAF90FB7-6AE3-40AA-81FE-2E64BEEFC8B4}"/>
    <cellStyle name="20% - Énfasis6 8 3 2" xfId="21760" xr:uid="{685F96A1-CF27-479E-940B-9072F2138507}"/>
    <cellStyle name="20% - Énfasis6 8 4" xfId="17141" xr:uid="{DF62E22C-E12C-45A6-9109-B7D5880E35E9}"/>
    <cellStyle name="20% - Énfasis6 8 4 2" xfId="23395" xr:uid="{F1581C16-1EAE-4E3D-A384-56DA3A1031C2}"/>
    <cellStyle name="20% - Énfasis6 8 5" xfId="19040" xr:uid="{E4608833-6819-45C8-8813-60B82C7B7BAF}"/>
    <cellStyle name="20% - Énfasis6 8_1.2.b" xfId="15414" xr:uid="{DF7E0E31-4039-4794-A8C2-8B2A9859FD38}"/>
    <cellStyle name="20% - Énfasis6 80" xfId="13126" xr:uid="{66BCA5E7-CE94-48D7-A8C8-7566635DE348}"/>
    <cellStyle name="20% - Énfasis6 80 2" xfId="17142" xr:uid="{DA6C7B49-469B-4436-BE6D-DEA51452AD63}"/>
    <cellStyle name="20% - Énfasis6 80 2 2" xfId="23396" xr:uid="{2FB3AFE8-F6EA-42F1-9F63-C3A291D24A71}"/>
    <cellStyle name="20% - Énfasis6 80 3" xfId="21761" xr:uid="{9244DAD1-C853-44A2-911F-D3C1B3C3B115}"/>
    <cellStyle name="20% - Énfasis6 80_1.2.b" xfId="15415" xr:uid="{BBAF465E-3316-433F-B225-9F5B7BE4BF37}"/>
    <cellStyle name="20% - Énfasis6 81" xfId="13127" xr:uid="{BE0A092A-3742-4ADB-9328-F344B0C2F540}"/>
    <cellStyle name="20% - Énfasis6 81 2" xfId="17143" xr:uid="{0B717CD6-E752-435B-8184-0BAEEB8BB55D}"/>
    <cellStyle name="20% - Énfasis6 81 2 2" xfId="23397" xr:uid="{F00FACA8-A2C1-494A-9A5D-17A5C4B62A0B}"/>
    <cellStyle name="20% - Énfasis6 81 3" xfId="21762" xr:uid="{449F43F6-7DE0-412C-A400-2F53C2B6DCF5}"/>
    <cellStyle name="20% - Énfasis6 81_1.2.b" xfId="15416" xr:uid="{343027E7-2CEB-4A34-8F08-629B1A4BFBB4}"/>
    <cellStyle name="20% - Énfasis6 82" xfId="13128" xr:uid="{30129D6C-4D5F-404A-9ED9-B14FF23027B4}"/>
    <cellStyle name="20% - Énfasis6 82 2" xfId="17144" xr:uid="{CF328596-8741-4B2F-A8D7-52607F9BA6C3}"/>
    <cellStyle name="20% - Énfasis6 82 2 2" xfId="23398" xr:uid="{65AED205-ADB3-4FD2-8CE5-9B8678FF1F9B}"/>
    <cellStyle name="20% - Énfasis6 82 3" xfId="21763" xr:uid="{65DBB6C6-CA4F-4CAF-B538-E92726F5056A}"/>
    <cellStyle name="20% - Énfasis6 82_1.2.b" xfId="15417" xr:uid="{5F75A95A-5E48-476A-9B7F-C8F451F152D7}"/>
    <cellStyle name="20% - Énfasis6 83" xfId="13129" xr:uid="{2405F2FB-F5CA-421B-875B-962E36F16DFB}"/>
    <cellStyle name="20% - Énfasis6 83 2" xfId="17145" xr:uid="{C82604A1-FC19-4B21-955C-49C556C01BCA}"/>
    <cellStyle name="20% - Énfasis6 83 2 2" xfId="23399" xr:uid="{97D69D99-8D50-4885-968F-D7C9DE2A6DBD}"/>
    <cellStyle name="20% - Énfasis6 83 3" xfId="21764" xr:uid="{9D9317D6-C020-487E-B6AE-F973C261F3C6}"/>
    <cellStyle name="20% - Énfasis6 83_1.2.b" xfId="15418" xr:uid="{312794C5-C269-45D9-AEF5-E2426C69E9AB}"/>
    <cellStyle name="20% - Énfasis6 84" xfId="13130" xr:uid="{861DC23F-F8A6-4DB9-8880-2E24D6FF092D}"/>
    <cellStyle name="20% - Énfasis6 84 2" xfId="17146" xr:uid="{AFED7AFD-A164-484C-89E5-92C5D26E7C0E}"/>
    <cellStyle name="20% - Énfasis6 84 2 2" xfId="23400" xr:uid="{2EB3828F-7FB2-4EF6-A2AB-1B813C324AF9}"/>
    <cellStyle name="20% - Énfasis6 84 3" xfId="21765" xr:uid="{A4706739-73C8-4556-B7C7-7DA52B75062B}"/>
    <cellStyle name="20% - Énfasis6 84_1.2.b" xfId="15419" xr:uid="{6A1F7164-C627-4650-80A8-8FD780762C17}"/>
    <cellStyle name="20% - Énfasis6 85" xfId="13131" xr:uid="{CD0797B2-80C5-4E5F-8B3E-36E97C9E797B}"/>
    <cellStyle name="20% - Énfasis6 85 2" xfId="17147" xr:uid="{DBAB21CE-2485-4BBE-A7F5-B9BD9F6A608B}"/>
    <cellStyle name="20% - Énfasis6 85 2 2" xfId="23401" xr:uid="{FBE3B488-1E91-46FF-955C-339770437B19}"/>
    <cellStyle name="20% - Énfasis6 85 3" xfId="21766" xr:uid="{17CDAB75-3DAB-467D-B0EB-2B1AEDFA2CD3}"/>
    <cellStyle name="20% - Énfasis6 85_1.2.b" xfId="15420" xr:uid="{9BBB4E01-58B3-49EF-AA76-BD97ABAD4542}"/>
    <cellStyle name="20% - Énfasis6 86" xfId="13132" xr:uid="{07AE94D2-3E5D-4FC1-AC56-2A9E14A0D12F}"/>
    <cellStyle name="20% - Énfasis6 86 2" xfId="17148" xr:uid="{B548D095-D42F-4AD6-B6FD-4F0CB94A476D}"/>
    <cellStyle name="20% - Énfasis6 86 2 2" xfId="23402" xr:uid="{61C14EC1-48DA-44BA-8296-28F6DE6F37AE}"/>
    <cellStyle name="20% - Énfasis6 86 3" xfId="21767" xr:uid="{CF5D55EA-DEFD-4CC6-89C2-E6C6D6E087EC}"/>
    <cellStyle name="20% - Énfasis6 86_1.2.b" xfId="15421" xr:uid="{57618827-E5AB-4B8B-BCD6-9B815D9EC27E}"/>
    <cellStyle name="20% - Énfasis6 87" xfId="13133" xr:uid="{5B0E92D8-B132-4FD9-9E14-E3CC4BF150F3}"/>
    <cellStyle name="20% - Énfasis6 87 2" xfId="17149" xr:uid="{00624E35-EF57-443F-9ACB-C9959590F7AC}"/>
    <cellStyle name="20% - Énfasis6 87 2 2" xfId="23403" xr:uid="{6F11B264-8955-41F7-984C-4C4FDECF267A}"/>
    <cellStyle name="20% - Énfasis6 87 3" xfId="21768" xr:uid="{8BDB2F10-84B4-4647-BF51-2D67C53C83D2}"/>
    <cellStyle name="20% - Énfasis6 87_1.2.b" xfId="15422" xr:uid="{B5CFA971-475A-468D-B077-E8D926BEAFB2}"/>
    <cellStyle name="20% - Énfasis6 88" xfId="13134" xr:uid="{F282D00C-22FF-465E-BEF8-65BBF707B5BC}"/>
    <cellStyle name="20% - Énfasis6 88 2" xfId="17150" xr:uid="{893E4B79-4411-44CE-89D2-AAFED4850B34}"/>
    <cellStyle name="20% - Énfasis6 88 2 2" xfId="23404" xr:uid="{0CF2085B-23D0-4C1B-A0A5-3FC49F6D503E}"/>
    <cellStyle name="20% - Énfasis6 88 3" xfId="21769" xr:uid="{C1F1A45B-27BD-4DC5-A97A-C263ABC1D9FD}"/>
    <cellStyle name="20% - Énfasis6 88_1.2.b" xfId="15423" xr:uid="{1107A53C-60A4-4882-B2B7-C5429382E392}"/>
    <cellStyle name="20% - Énfasis6 89" xfId="13135" xr:uid="{7972099B-B18A-48CC-972D-B28A7DA02C7E}"/>
    <cellStyle name="20% - Énfasis6 89 2" xfId="17151" xr:uid="{51584409-DA51-4F5E-86CE-4095320B01BD}"/>
    <cellStyle name="20% - Énfasis6 89 2 2" xfId="23405" xr:uid="{769D2567-4C0D-478D-A72C-C3E5A11E77AD}"/>
    <cellStyle name="20% - Énfasis6 89 3" xfId="21770" xr:uid="{36DDA0CD-9FAA-4971-B88B-A68244929D90}"/>
    <cellStyle name="20% - Énfasis6 89_1.2.b" xfId="15424" xr:uid="{FE0E3994-5EC8-4479-A604-4A2A38EB20D9}"/>
    <cellStyle name="20% - Énfasis6 9" xfId="9870" xr:uid="{00000000-0005-0000-0000-0000AD000000}"/>
    <cellStyle name="20% - Énfasis6 9 2" xfId="13136" xr:uid="{3D55D80C-6795-41DB-B932-C88D254F91CE}"/>
    <cellStyle name="20% - Énfasis6 9 2 2" xfId="21771" xr:uid="{78EE8F43-1FDC-45FE-B9DE-955990FF666A}"/>
    <cellStyle name="20% - Énfasis6 9 3" xfId="17152" xr:uid="{C8FBEC7E-D2EE-4A12-8DE7-88194AB1CC22}"/>
    <cellStyle name="20% - Énfasis6 9 3 2" xfId="23406" xr:uid="{3B2A2DA8-2F1A-41F2-8071-360359DF22B4}"/>
    <cellStyle name="20% - Énfasis6 9_1.2.b" xfId="15425" xr:uid="{167D041F-72EC-4669-BD0F-4D5582E7B3AF}"/>
    <cellStyle name="20% - Énfasis6 90" xfId="13137" xr:uid="{75101567-9861-49DC-922C-EB0F3774C786}"/>
    <cellStyle name="20% - Énfasis6 90 2" xfId="17153" xr:uid="{29534041-C9DD-461F-887A-B6676A9DBCA8}"/>
    <cellStyle name="20% - Énfasis6 90 2 2" xfId="23407" xr:uid="{785E0E83-9E34-4824-B015-0EB70A7F3794}"/>
    <cellStyle name="20% - Énfasis6 90 3" xfId="21772" xr:uid="{4412D5FC-2C37-4628-B001-507BEF296246}"/>
    <cellStyle name="20% - Énfasis6 90_1.2.b" xfId="15426" xr:uid="{2826569E-88AE-48FC-9921-DEEAD0EC470C}"/>
    <cellStyle name="20% - Énfasis6 91" xfId="13138" xr:uid="{3C155BCF-7263-4DD7-AE1B-1E1EAB76D639}"/>
    <cellStyle name="20% - Énfasis6 91 2" xfId="17154" xr:uid="{75417CBC-4682-4E1E-8E21-9DDE248CCE00}"/>
    <cellStyle name="20% - Énfasis6 91 2 2" xfId="23408" xr:uid="{DF31549B-0953-45A6-91FB-3040B99851CE}"/>
    <cellStyle name="20% - Énfasis6 91 3" xfId="21773" xr:uid="{D170385F-B931-4B4F-8004-3057306F6527}"/>
    <cellStyle name="20% - Énfasis6 91_1.2.b" xfId="15427" xr:uid="{13F91F4C-8E67-4A1C-AE90-E3CDEDB4E0FD}"/>
    <cellStyle name="20% - Énfasis6 92" xfId="13139" xr:uid="{8D0F5226-D44F-4836-AF6D-612D5AC169DE}"/>
    <cellStyle name="20% - Énfasis6 92 2" xfId="17155" xr:uid="{931D0D53-FEB2-4BD5-8F73-B8ED4C4EE0FB}"/>
    <cellStyle name="20% - Énfasis6 92 2 2" xfId="23409" xr:uid="{53E49660-5FB4-4B7C-AC0E-3236A5D1BC6B}"/>
    <cellStyle name="20% - Énfasis6 92 3" xfId="21774" xr:uid="{85A26B6C-F4FE-49C5-89CA-1D73EDCDF922}"/>
    <cellStyle name="20% - Énfasis6 92_1.2.b" xfId="15428" xr:uid="{E6727662-40DD-4FDA-9BFD-A40BD5D44866}"/>
    <cellStyle name="20% - Énfasis6 93" xfId="13140" xr:uid="{6817211A-F563-4708-A57F-AA5A891BE9EC}"/>
    <cellStyle name="20% - Énfasis6 93 2" xfId="17156" xr:uid="{4657AE32-4D73-4829-8FAA-D7DF89DA950C}"/>
    <cellStyle name="20% - Énfasis6 93 2 2" xfId="23410" xr:uid="{C66812F9-336F-47AD-8809-7DFC58029BC6}"/>
    <cellStyle name="20% - Énfasis6 93 3" xfId="21775" xr:uid="{2360FD85-7E5B-4FC5-A9D3-C27C457D055C}"/>
    <cellStyle name="20% - Énfasis6 93_1.2.b" xfId="15429" xr:uid="{1A7465CE-8776-4BC6-A71E-5CFB77D96970}"/>
    <cellStyle name="20% - Énfasis6 94" xfId="13141" xr:uid="{19209A4C-08CF-401D-ADAA-32F7C2E65454}"/>
    <cellStyle name="20% - Énfasis6 94 2" xfId="17157" xr:uid="{0B0C9818-5759-4293-B166-966346B57885}"/>
    <cellStyle name="20% - Énfasis6 94 2 2" xfId="23411" xr:uid="{41505D09-D9BC-4EF5-A9C4-DC5FE89D4C3F}"/>
    <cellStyle name="20% - Énfasis6 94 3" xfId="21776" xr:uid="{44FC3EBA-EFC6-40EE-BC49-4096CD10D8EE}"/>
    <cellStyle name="20% - Énfasis6 94_1.2.b" xfId="15430" xr:uid="{04FDAF7B-DC7B-46CD-BA30-650AAC4005B9}"/>
    <cellStyle name="20% - Énfasis6 95" xfId="13142" xr:uid="{E7E56A07-F1C5-485C-AE97-8B39CB8A596F}"/>
    <cellStyle name="20% - Énfasis6 95 2" xfId="17158" xr:uid="{2ED337A6-B83F-429C-83F3-66A7743BF405}"/>
    <cellStyle name="20% - Énfasis6 95 2 2" xfId="23412" xr:uid="{931DAA1E-1710-437B-B68F-BFEB1CEC2325}"/>
    <cellStyle name="20% - Énfasis6 95 3" xfId="21777" xr:uid="{2FB077F4-8BB5-47F6-B9AA-22E3643DC2CF}"/>
    <cellStyle name="20% - Énfasis6 95_1.2.b" xfId="15431" xr:uid="{0D705B7B-7283-4400-B6B2-631565FB2C85}"/>
    <cellStyle name="20% - Énfasis6 96" xfId="13143" xr:uid="{32148E02-7EC6-4F56-953F-6A0BF25EFF20}"/>
    <cellStyle name="20% - Énfasis6 96 2" xfId="17159" xr:uid="{CAFC22C6-9E4B-4C86-9A84-A8BA72AF61D6}"/>
    <cellStyle name="20% - Énfasis6 96 2 2" xfId="23413" xr:uid="{7E98E912-E7DF-4518-B393-1DD0C9009878}"/>
    <cellStyle name="20% - Énfasis6 96 3" xfId="21778" xr:uid="{EA8ECF79-577F-4932-9C1C-F09268104C9E}"/>
    <cellStyle name="20% - Énfasis6 96_1.2.b" xfId="15432" xr:uid="{E5C73AD1-2ACA-4B74-B9BC-12DC34A45ED8}"/>
    <cellStyle name="40% - Accent1" xfId="40" xr:uid="{5F1E1600-CA74-4780-BA6A-663CD27158E9}"/>
    <cellStyle name="40% - Accent1 2" xfId="13144" xr:uid="{8A49910D-55D8-4AE7-A127-764F4B4A0811}"/>
    <cellStyle name="40% - Accent1 3" xfId="13145" xr:uid="{5A80DE59-B76C-4911-8AA3-F3307B911F06}"/>
    <cellStyle name="40% - Accent1 4" xfId="18311" xr:uid="{5FC73A60-43B3-4394-B94D-3DE33742110A}"/>
    <cellStyle name="40% - Accent1 4 2" xfId="24439" xr:uid="{8BAD8242-5AA8-4BDD-92F3-8ECCFDCD33C0}"/>
    <cellStyle name="40% - Accent1 5" xfId="18338" xr:uid="{DDC1FA4E-8EE0-495F-AC75-E5D4A9452453}"/>
    <cellStyle name="40% - Accent1 5 2" xfId="24461" xr:uid="{74B7A56B-59FD-42BA-A7CB-F7BE1F4C536B}"/>
    <cellStyle name="40% - Accent1 6" xfId="18361" xr:uid="{95726FAA-B3FA-40F0-9030-E82C2876C505}"/>
    <cellStyle name="40% - Accent2" xfId="44" xr:uid="{D0E9226F-9395-443A-990F-6DFCA79BF3B4}"/>
    <cellStyle name="40% - Accent2 2" xfId="13146" xr:uid="{8CBE3B69-2FB5-4040-AEEB-CAE7C7CFF6E5}"/>
    <cellStyle name="40% - Accent2 3" xfId="13147" xr:uid="{8BE0D69F-6356-45DF-AACC-DEE01DD9E8D6}"/>
    <cellStyle name="40% - Accent2 4" xfId="18315" xr:uid="{19A2E81F-911D-4648-A57D-0C1209FB0C2B}"/>
    <cellStyle name="40% - Accent2 4 2" xfId="24442" xr:uid="{FC575A7C-8792-4C7E-B5E2-C79E4A3757CE}"/>
    <cellStyle name="40% - Accent2 5" xfId="18341" xr:uid="{AF541A50-3EDA-4FDF-85FC-90E0DE337069}"/>
    <cellStyle name="40% - Accent2 5 2" xfId="24464" xr:uid="{BECDF796-4213-44E4-B530-E45AC1C1D8CB}"/>
    <cellStyle name="40% - Accent2 6" xfId="18363" xr:uid="{5ACECF9D-7A80-4F68-A249-5F4140C87387}"/>
    <cellStyle name="40% - Accent3" xfId="48" xr:uid="{18B67094-4F12-472E-87BC-31AF69672BD9}"/>
    <cellStyle name="40% - Accent3 2" xfId="13148" xr:uid="{BD13201D-53BC-4DAD-95E9-CCE29C81B1E0}"/>
    <cellStyle name="40% - Accent3 3" xfId="13149" xr:uid="{25557C19-C67C-4D09-9308-BD5DD6FDEEE2}"/>
    <cellStyle name="40% - Accent3 4" xfId="18319" xr:uid="{10CF2D79-0342-47FC-8CA6-52F14DDE7ABF}"/>
    <cellStyle name="40% - Accent3 4 2" xfId="24445" xr:uid="{92931B52-576E-4BA7-B0B0-073A422FEE7D}"/>
    <cellStyle name="40% - Accent3 5" xfId="18344" xr:uid="{6BAD3F4E-9190-42D7-A221-E5462C6C85AE}"/>
    <cellStyle name="40% - Accent3 5 2" xfId="24467" xr:uid="{25D954E0-140F-4088-A544-BB1FF89291E8}"/>
    <cellStyle name="40% - Accent3 6" xfId="18365" xr:uid="{4876AC5B-3DD4-4E0A-BA31-3608F4355904}"/>
    <cellStyle name="40% - Accent4" xfId="52" xr:uid="{E9231B2A-27FC-4652-BA7E-130A70BAC5DC}"/>
    <cellStyle name="40% - Accent4 2" xfId="13150" xr:uid="{4C9ECDA5-25A8-43E5-9A86-F9EB12121F95}"/>
    <cellStyle name="40% - Accent4 3" xfId="13151" xr:uid="{069BD945-E8BF-43EA-9FD7-DFA6428C783D}"/>
    <cellStyle name="40% - Accent4 4" xfId="18323" xr:uid="{CBEDCE12-F2C5-405B-A699-98962F213090}"/>
    <cellStyle name="40% - Accent4 4 2" xfId="24448" xr:uid="{2A6E2B7A-CA15-464E-A9FE-AC5BA31BCC6B}"/>
    <cellStyle name="40% - Accent4 5" xfId="18347" xr:uid="{2D591C22-8A58-406D-A8DD-4FE51CC5B0A5}"/>
    <cellStyle name="40% - Accent4 5 2" xfId="24470" xr:uid="{7D322B60-26B9-4A3E-8ACE-CB40F5BC5661}"/>
    <cellStyle name="40% - Accent4 6" xfId="18367" xr:uid="{0079F31B-F616-4A6D-9514-0AD7C1B467C6}"/>
    <cellStyle name="40% - Accent5" xfId="56" xr:uid="{829C79C1-82CD-47D9-9D9A-27ACB35F8E68}"/>
    <cellStyle name="40% - Accent5 2" xfId="13152" xr:uid="{F594EC80-9B1F-41D0-94B3-68BE6834C611}"/>
    <cellStyle name="40% - Accent5 3" xfId="13153" xr:uid="{0A1E4CB4-FB23-4DDB-A5AA-22F0D0E17314}"/>
    <cellStyle name="40% - Accent5 4" xfId="18327" xr:uid="{929C2806-CFB4-4B68-ABE0-664BFFC6FAB7}"/>
    <cellStyle name="40% - Accent5 4 2" xfId="24451" xr:uid="{BFE67CFE-0EDD-4B97-8E14-68B760E710E0}"/>
    <cellStyle name="40% - Accent5 5" xfId="18351" xr:uid="{7C8B8E64-70D6-417B-A155-C15D354F0DA4}"/>
    <cellStyle name="40% - Accent5 5 2" xfId="24474" xr:uid="{A3CCC515-B0F1-4A82-9305-79AF8565D734}"/>
    <cellStyle name="40% - Accent5 6" xfId="18369" xr:uid="{FCB2716E-B835-4EA4-929A-521AEE094DDF}"/>
    <cellStyle name="40% - Accent6" xfId="60" xr:uid="{CE437085-EB22-49CD-8EF7-CBF0477551A6}"/>
    <cellStyle name="40% - Accent6 2" xfId="13154" xr:uid="{4402B628-F09C-43EF-9F68-A74D51B04D1B}"/>
    <cellStyle name="40% - Accent6 3" xfId="13155" xr:uid="{BB33559B-178D-4FAC-855D-B038276904BB}"/>
    <cellStyle name="40% - Accent6 4" xfId="18331" xr:uid="{0FFF155A-B4F3-4B1F-B8F5-9DB870E6490B}"/>
    <cellStyle name="40% - Accent6 4 2" xfId="24454" xr:uid="{A5C96544-6CB0-433D-83A9-D42BC0A80898}"/>
    <cellStyle name="40% - Accent6 5" xfId="18354" xr:uid="{D185BAE7-A6BD-4622-AAEC-A5410B6802AF}"/>
    <cellStyle name="40% - Accent6 5 2" xfId="24477" xr:uid="{B32229BC-BCB4-4EE8-B119-B76DC23C46D9}"/>
    <cellStyle name="40% - Accent6 6" xfId="18371" xr:uid="{49CD00C8-6299-466C-A75C-2ED6EA9AB0DF}"/>
    <cellStyle name="40% - Énfasis1 10" xfId="9917" xr:uid="{00000000-0005-0000-0000-0000AF000000}"/>
    <cellStyle name="40% - Énfasis1 10 2" xfId="11654" xr:uid="{00000000-0005-0000-0000-0000B0000000}"/>
    <cellStyle name="40% - Énfasis1 10 2 2" xfId="20420" xr:uid="{07C3A6CD-1BFF-464D-81F9-5BA54E8F1589}"/>
    <cellStyle name="40% - Énfasis1 10 3" xfId="13156" xr:uid="{4A8FB4BF-2A8B-4342-B8EB-B5F0C3C6FA43}"/>
    <cellStyle name="40% - Énfasis1 10 3 2" xfId="21779" xr:uid="{4C26CA4F-758B-4C53-B137-8748D3DD6EB5}"/>
    <cellStyle name="40% - Énfasis1 10 4" xfId="17161" xr:uid="{E4F764B0-8C00-40F2-9155-188B67719195}"/>
    <cellStyle name="40% - Énfasis1 10 4 2" xfId="23415" xr:uid="{4A260DAD-6635-4F99-9B31-8B4031F66265}"/>
    <cellStyle name="40% - Énfasis1 10 5" xfId="19057" xr:uid="{84FBB93E-C89C-4DD5-BFFF-CD64F325879F}"/>
    <cellStyle name="40% - Énfasis1 10_1.2.b" xfId="15433" xr:uid="{AC23CF80-3362-4A2F-A113-7C9471823488}"/>
    <cellStyle name="40% - Énfasis1 11" xfId="10186" xr:uid="{00000000-0005-0000-0000-0000B1000000}"/>
    <cellStyle name="40% - Énfasis1 11 2" xfId="11922" xr:uid="{00000000-0005-0000-0000-0000B2000000}"/>
    <cellStyle name="40% - Énfasis1 11 2 2" xfId="20676" xr:uid="{50233D1A-6E85-4CE9-8E6A-646B246BD700}"/>
    <cellStyle name="40% - Énfasis1 11 3" xfId="13157" xr:uid="{FB8AB61E-D032-4CEF-8076-1CFACA20E68F}"/>
    <cellStyle name="40% - Énfasis1 11 3 2" xfId="21780" xr:uid="{12372B29-BAE7-4901-BDFB-88C002E28A5E}"/>
    <cellStyle name="40% - Énfasis1 11 4" xfId="17162" xr:uid="{BD4AC167-E32C-4BD9-93B1-17114CA5C5C7}"/>
    <cellStyle name="40% - Énfasis1 11 4 2" xfId="23416" xr:uid="{738AB0DD-73BA-48A5-AA51-DBED719D3BCD}"/>
    <cellStyle name="40% - Énfasis1 11 5" xfId="19313" xr:uid="{D7A0414D-28BD-40FD-825F-0D57AB5A6048}"/>
    <cellStyle name="40% - Énfasis1 11_1.2.b" xfId="15434" xr:uid="{21F96969-9B7C-4664-9D7C-B9486C9ECAB8}"/>
    <cellStyle name="40% - Énfasis1 12" xfId="10532" xr:uid="{00000000-0005-0000-0000-0000B3000000}"/>
    <cellStyle name="40% - Énfasis1 12 2" xfId="12267" xr:uid="{00000000-0005-0000-0000-0000B4000000}"/>
    <cellStyle name="40% - Énfasis1 12 2 2" xfId="21016" xr:uid="{A375BB89-1740-460D-A628-1509CDBFDBB1}"/>
    <cellStyle name="40% - Énfasis1 12 3" xfId="13158" xr:uid="{0D491501-1659-45C2-8C97-9E841DC153BA}"/>
    <cellStyle name="40% - Énfasis1 12 3 2" xfId="21781" xr:uid="{DEDCD210-82E9-4E40-98B2-479051526EAF}"/>
    <cellStyle name="40% - Énfasis1 12 4" xfId="17163" xr:uid="{8D0D1631-A77F-4771-832A-5E9A8153D0AD}"/>
    <cellStyle name="40% - Énfasis1 12 4 2" xfId="23417" xr:uid="{0DBEBB1F-A064-4680-9703-477E445968A2}"/>
    <cellStyle name="40% - Énfasis1 12 5" xfId="19653" xr:uid="{BE2ED927-55F8-4591-8327-F9DC722ADD9F}"/>
    <cellStyle name="40% - Énfasis1 12_1.2.b" xfId="15435" xr:uid="{938A6F17-4EB2-4329-9115-6BC72A0CFCF4}"/>
    <cellStyle name="40% - Énfasis1 13" xfId="10579" xr:uid="{00000000-0005-0000-0000-0000B5000000}"/>
    <cellStyle name="40% - Énfasis1 13 2" xfId="12312" xr:uid="{00000000-0005-0000-0000-0000B6000000}"/>
    <cellStyle name="40% - Énfasis1 13 2 2" xfId="21058" xr:uid="{E8AB4A49-3E4A-46FA-BA3B-0BA72DCCBEDE}"/>
    <cellStyle name="40% - Énfasis1 13 3" xfId="13159" xr:uid="{003501BC-F386-4B9A-B445-1322C18E1E9A}"/>
    <cellStyle name="40% - Énfasis1 13 3 2" xfId="21782" xr:uid="{E27A03A8-9775-4750-BE48-118B75E24599}"/>
    <cellStyle name="40% - Énfasis1 13 4" xfId="17164" xr:uid="{1115CC1A-6B98-4BA7-BE99-92EA996BF979}"/>
    <cellStyle name="40% - Énfasis1 13 4 2" xfId="23418" xr:uid="{BD5AACAB-A472-410A-846D-785ACE763884}"/>
    <cellStyle name="40% - Énfasis1 13 5" xfId="19695" xr:uid="{5F6710EE-3EB8-4154-BC66-D91134EA6449}"/>
    <cellStyle name="40% - Énfasis1 13_1.2.b" xfId="15436" xr:uid="{983F88D7-6D15-4DBC-B5AE-4879DD22D86B}"/>
    <cellStyle name="40% - Énfasis1 14" xfId="10599" xr:uid="{00000000-0005-0000-0000-0000B7000000}"/>
    <cellStyle name="40% - Énfasis1 14 2" xfId="12328" xr:uid="{00000000-0005-0000-0000-0000B8000000}"/>
    <cellStyle name="40% - Énfasis1 14 2 2" xfId="21074" xr:uid="{49208D4C-C080-486C-9BCE-781FE6FE23EA}"/>
    <cellStyle name="40% - Énfasis1 14 3" xfId="13160" xr:uid="{9096B343-44AF-4514-AEA3-3717D24CE5F9}"/>
    <cellStyle name="40% - Énfasis1 14 3 2" xfId="21783" xr:uid="{EE93FB61-CAAE-4A3D-826A-83F2B6B3E4B8}"/>
    <cellStyle name="40% - Énfasis1 14 4" xfId="17165" xr:uid="{F63E4283-B918-45CF-8ACF-80FF3B339DAE}"/>
    <cellStyle name="40% - Énfasis1 14 4 2" xfId="23419" xr:uid="{03A0F0BF-CFB9-497D-8B32-039A02D28AF7}"/>
    <cellStyle name="40% - Énfasis1 14 5" xfId="19711" xr:uid="{4FE324E0-B4A3-4193-9C62-4330EFDAE2BE}"/>
    <cellStyle name="40% - Énfasis1 14_1.2.b" xfId="15437" xr:uid="{3A950D24-71BD-48A8-8C7A-1C140B1A5341}"/>
    <cellStyle name="40% - Énfasis1 15" xfId="10620" xr:uid="{00000000-0005-0000-0000-0000B9000000}"/>
    <cellStyle name="40% - Énfasis1 15 2" xfId="13161" xr:uid="{3F0A52F0-5EE3-4DDB-8030-0D5A401A333A}"/>
    <cellStyle name="40% - Énfasis1 15 2 2" xfId="21784" xr:uid="{D6C31C2D-E28E-44FF-BE55-D67B890FA92F}"/>
    <cellStyle name="40% - Énfasis1 15 3" xfId="17166" xr:uid="{406C3AD0-1D3D-430E-9605-B8C0284160A0}"/>
    <cellStyle name="40% - Énfasis1 15 3 2" xfId="23420" xr:uid="{C43D5FBB-00B5-46A4-B96E-F6F54275ED6F}"/>
    <cellStyle name="40% - Énfasis1 15 4" xfId="19728" xr:uid="{5F4AAB92-E07A-469A-8A4E-16B5D4A44FFC}"/>
    <cellStyle name="40% - Énfasis1 15_1.2.b" xfId="15438" xr:uid="{3E3250CC-F74A-49F1-9D01-F6DB9074EC4F}"/>
    <cellStyle name="40% - Énfasis1 16" xfId="12361" xr:uid="{00000000-0005-0000-0000-0000BA000000}"/>
    <cellStyle name="40% - Énfasis1 16 2" xfId="13162" xr:uid="{F2ED4B02-B76A-48AD-B324-D67466DF9B28}"/>
    <cellStyle name="40% - Énfasis1 16 2 2" xfId="21785" xr:uid="{0E4799A8-6FDC-4C5B-81BF-2F7960D377FC}"/>
    <cellStyle name="40% - Énfasis1 16 3" xfId="17167" xr:uid="{CA2C43E8-4CDE-4311-B753-1C150A26E42A}"/>
    <cellStyle name="40% - Énfasis1 16 3 2" xfId="23421" xr:uid="{4BFB52AA-03C5-45A1-B8CF-A0E86F065E3D}"/>
    <cellStyle name="40% - Énfasis1 16 4" xfId="21104" xr:uid="{3704D197-FF87-456D-A1B1-9262002C18A2}"/>
    <cellStyle name="40% - Énfasis1 16_1.2.b" xfId="15439" xr:uid="{F14C4607-4CF6-41E4-9CA9-4B089EB11D24}"/>
    <cellStyle name="40% - Énfasis1 17" xfId="12376" xr:uid="{00000000-0005-0000-0000-0000BB000000}"/>
    <cellStyle name="40% - Énfasis1 17 2" xfId="13163" xr:uid="{F9C05271-EF95-4846-BB01-3C5E8D3D0C31}"/>
    <cellStyle name="40% - Énfasis1 17 2 2" xfId="21786" xr:uid="{69E8A414-5875-460D-8FF0-8DEE4505E0CF}"/>
    <cellStyle name="40% - Énfasis1 17 3" xfId="17168" xr:uid="{838DA37F-52F9-4E69-9895-78207D47F4F3}"/>
    <cellStyle name="40% - Énfasis1 17 3 2" xfId="23422" xr:uid="{DE544E06-C48B-4005-8B19-128B1D56FBED}"/>
    <cellStyle name="40% - Énfasis1 17 4" xfId="21119" xr:uid="{70A54C85-F798-45BC-B710-1457BE00D192}"/>
    <cellStyle name="40% - Énfasis1 17_1.2.b" xfId="15440" xr:uid="{D139E93F-55F5-49E5-9DE1-C9370EF79E49}"/>
    <cellStyle name="40% - Énfasis1 18" xfId="13164" xr:uid="{8AC40D81-8CB2-49BF-9F23-1982048AD077}"/>
    <cellStyle name="40% - Énfasis1 18 2" xfId="17169" xr:uid="{F2050864-6648-4934-A0A9-72410CD5DEDB}"/>
    <cellStyle name="40% - Énfasis1 18 2 2" xfId="23423" xr:uid="{411CDE5B-DF9D-4712-B791-69B2E33CEE8F}"/>
    <cellStyle name="40% - Énfasis1 18 3" xfId="21787" xr:uid="{9F02F191-CEDC-443E-97F5-FC4C4A0C0CF2}"/>
    <cellStyle name="40% - Énfasis1 18_1.2.b" xfId="15441" xr:uid="{64BB0AAD-E797-4BAA-B315-B96CE6C56AD6}"/>
    <cellStyle name="40% - Énfasis1 19" xfId="13165" xr:uid="{150150C2-BA1D-47F7-82C7-650ED42275E4}"/>
    <cellStyle name="40% - Énfasis1 19 2" xfId="17170" xr:uid="{8140AEEF-E273-4B3F-9DE8-7EC1F2FE1772}"/>
    <cellStyle name="40% - Énfasis1 19 2 2" xfId="23424" xr:uid="{D7E7A120-08F7-496B-980E-D1504AB57551}"/>
    <cellStyle name="40% - Énfasis1 19 3" xfId="21788" xr:uid="{7766D58C-D71D-447E-AE80-ACAFD11CC424}"/>
    <cellStyle name="40% - Énfasis1 19_1.2.b" xfId="15442" xr:uid="{56AD2B06-5960-4AD6-83E1-6361AB9FD1ED}"/>
    <cellStyle name="40% - Énfasis1 2" xfId="147" xr:uid="{00000000-0005-0000-0000-0000BC000000}"/>
    <cellStyle name="40% - Énfasis1 2 10" xfId="13167" xr:uid="{F9D280A5-6FFE-4B6C-94D2-6209A2C74715}"/>
    <cellStyle name="40% - Énfasis1 2 10 2" xfId="17172" xr:uid="{2F297D1E-9971-457E-B406-792689AAA4D5}"/>
    <cellStyle name="40% - Énfasis1 2 10 2 2" xfId="23425" xr:uid="{8B0C8E10-6C92-4C80-BADE-DA96058F062B}"/>
    <cellStyle name="40% - Énfasis1 2 10 3" xfId="21789" xr:uid="{639FD6D1-E9F4-40E9-B5F9-7E914C523506}"/>
    <cellStyle name="40% - Énfasis1 2 10_1.2.b" xfId="15444" xr:uid="{E101C1B1-5912-4D4E-892F-4C29789B4194}"/>
    <cellStyle name="40% - Énfasis1 2 11" xfId="13166" xr:uid="{3028B91B-4491-4CD6-9D73-FFBC115F443E}"/>
    <cellStyle name="40% - Énfasis1 2 12" xfId="17171" xr:uid="{EA43E26B-E582-448D-9528-65EC807A9099}"/>
    <cellStyle name="40% - Énfasis1 2 13" xfId="17376" xr:uid="{EF3DDB7A-6742-4B14-99C0-CAB49D25ECBE}"/>
    <cellStyle name="40% - Énfasis1 2 14" xfId="18214" xr:uid="{6A56EB32-4D7B-4DDD-B5DD-593BAE250CBF}"/>
    <cellStyle name="40% - Énfasis1 2 15" xfId="17490" xr:uid="{FE28A2A9-1641-4527-A0FC-C165C5D0A236}"/>
    <cellStyle name="40% - Énfasis1 2 16" xfId="18215" xr:uid="{7F0E7575-0287-4A8F-8BDB-BC9A74603EFB}"/>
    <cellStyle name="40% - Énfasis1 2 17" xfId="18391" xr:uid="{1D89F349-3F98-402B-B502-A645096A892F}"/>
    <cellStyle name="40% - Énfasis1 2 2" xfId="10667" xr:uid="{00000000-0005-0000-0000-0000BD000000}"/>
    <cellStyle name="40% - Énfasis1 2 2 2" xfId="13169" xr:uid="{93BCE8EC-132E-4C9F-A265-7F7181B468EF}"/>
    <cellStyle name="40% - Énfasis1 2 2 3" xfId="13170" xr:uid="{F0D41359-891E-4CCD-88A3-5BBD2F76C814}"/>
    <cellStyle name="40% - Énfasis1 2 2 4" xfId="13171" xr:uid="{84BC6E4A-C536-4A5F-A567-9BBE59F58C9B}"/>
    <cellStyle name="40% - Énfasis1 2 2 5" xfId="13172" xr:uid="{082121B1-0216-4DD8-A246-4893EAB0BF35}"/>
    <cellStyle name="40% - Énfasis1 2 2 6" xfId="13168" xr:uid="{E3AD2B3E-3364-4B6E-8F20-8F8476A3CC1D}"/>
    <cellStyle name="40% - Énfasis1 2 2 6 2" xfId="21790" xr:uid="{C97DCD29-BAB8-488E-88DA-4C08628C2037}"/>
    <cellStyle name="40% - Énfasis1 2 2 7" xfId="17173" xr:uid="{8EEE55A7-FC2D-4F93-8B1D-0E777BAF5712}"/>
    <cellStyle name="40% - Énfasis1 2 2 7 2" xfId="23426" xr:uid="{668B0169-335A-42A0-99E2-7B922F31E0EB}"/>
    <cellStyle name="40% - Énfasis1 2 2 8" xfId="19759" xr:uid="{939A0123-F971-4215-A8CE-A4CEFB2EF7D4}"/>
    <cellStyle name="40% - Énfasis1 2 2_1.2.b" xfId="15445" xr:uid="{E9D29045-87FA-46A3-A2AB-EE978914203C}"/>
    <cellStyle name="40% - Énfasis1 2 3" xfId="13173" xr:uid="{D6FDF3E6-9372-4AF2-AF3B-FA517559AF18}"/>
    <cellStyle name="40% - Énfasis1 2 4" xfId="13174" xr:uid="{4522EBBB-A385-4A92-8724-91F70CEC838C}"/>
    <cellStyle name="40% - Énfasis1 2 5" xfId="13175" xr:uid="{D6217DAD-9F34-4120-A403-41474FA6090E}"/>
    <cellStyle name="40% - Énfasis1 2 6" xfId="13176" xr:uid="{73B02EF9-D295-4DB7-90EA-7A436E2E25C7}"/>
    <cellStyle name="40% - Énfasis1 2 7" xfId="13177" xr:uid="{6545361C-50CA-4A1F-AF09-9372F20F6A7A}"/>
    <cellStyle name="40% - Énfasis1 2 8" xfId="13178" xr:uid="{40D52F03-8E3E-4677-ABE9-B88DD444557F}"/>
    <cellStyle name="40% - Énfasis1 2 9" xfId="13179" xr:uid="{E7C3F884-6659-4E3B-A3C8-29C7627D7CC3}"/>
    <cellStyle name="40% - Énfasis1 2 9 2" xfId="17175" xr:uid="{5A2847C6-DB0E-410C-9EC5-1D72FBB22F8F}"/>
    <cellStyle name="40% - Énfasis1 2 9 2 2" xfId="23428" xr:uid="{5582DC75-A928-41B3-B48F-3E81759F9DD2}"/>
    <cellStyle name="40% - Énfasis1 2 9 3" xfId="21791" xr:uid="{373D784C-F7AB-4151-8513-954ED8B141CC}"/>
    <cellStyle name="40% - Énfasis1 2 9_1.2.b" xfId="15446" xr:uid="{2C383A2B-B4AD-468B-B5DE-86403D40C6A5}"/>
    <cellStyle name="40% - Énfasis1 2_1.2.b" xfId="15443" xr:uid="{30FC9CF4-C9D8-4303-8A74-EDA830EF8582}"/>
    <cellStyle name="40% - Énfasis1 20" xfId="13180" xr:uid="{ECBD13E5-7A78-4535-9433-6F21D066D8F5}"/>
    <cellStyle name="40% - Énfasis1 20 2" xfId="17176" xr:uid="{055790ED-140B-4338-A9AB-6A3FF3D63F61}"/>
    <cellStyle name="40% - Énfasis1 20 2 2" xfId="23429" xr:uid="{1F415151-427B-4284-9330-D1A8D3E82E32}"/>
    <cellStyle name="40% - Énfasis1 20 3" xfId="21792" xr:uid="{C27E7E09-1ADB-4AC8-83EB-4B3FADC2111E}"/>
    <cellStyle name="40% - Énfasis1 20_1.2.b" xfId="15447" xr:uid="{30437D90-931E-4481-B06F-855F0400E1B3}"/>
    <cellStyle name="40% - Énfasis1 21" xfId="13181" xr:uid="{D4F183EA-C9D8-430B-9228-9E28139B7F5C}"/>
    <cellStyle name="40% - Énfasis1 21 2" xfId="17177" xr:uid="{52DC0C86-8EC3-4AFA-86A7-883131FC2DF6}"/>
    <cellStyle name="40% - Énfasis1 21 2 2" xfId="23430" xr:uid="{FCB512E9-FCBA-4B95-AF8A-5FF68A1D36AB}"/>
    <cellStyle name="40% - Énfasis1 21 3" xfId="21793" xr:uid="{71E84D8E-88C6-47EE-BCE4-452CEF3014A9}"/>
    <cellStyle name="40% - Énfasis1 21_1.2.b" xfId="15448" xr:uid="{74BFAEC4-2FAF-4DFD-8B59-2FC283841F94}"/>
    <cellStyle name="40% - Énfasis1 22" xfId="13182" xr:uid="{4D53139B-D724-4415-96DF-7E7B9DD56F4D}"/>
    <cellStyle name="40% - Énfasis1 22 2" xfId="17178" xr:uid="{6A7E8903-22BF-4407-BF07-BCEA50790B26}"/>
    <cellStyle name="40% - Énfasis1 22 2 2" xfId="23431" xr:uid="{B0E34B62-C1EF-4AE0-9C9A-82E9E586DDDF}"/>
    <cellStyle name="40% - Énfasis1 22 3" xfId="21794" xr:uid="{4F22265C-3655-47E3-8345-E89C7CDC97B3}"/>
    <cellStyle name="40% - Énfasis1 22_1.2.b" xfId="15449" xr:uid="{1D9FADC4-212A-44E8-BCDF-5F98D409D314}"/>
    <cellStyle name="40% - Énfasis1 23" xfId="13183" xr:uid="{A1482F67-C5D1-4E28-AA14-F82FE9C7D916}"/>
    <cellStyle name="40% - Énfasis1 23 2" xfId="17179" xr:uid="{80F7A51D-C353-4407-8101-D0170E65C26E}"/>
    <cellStyle name="40% - Énfasis1 23 2 2" xfId="23432" xr:uid="{34E45480-21CA-47C3-8763-217416687216}"/>
    <cellStyle name="40% - Énfasis1 23 3" xfId="21795" xr:uid="{A8BBEF0A-A8C7-4167-A658-D81A1D142DA3}"/>
    <cellStyle name="40% - Énfasis1 23_1.2.b" xfId="15450" xr:uid="{902A9559-8561-4950-AC81-4432CBA6B267}"/>
    <cellStyle name="40% - Énfasis1 24" xfId="13184" xr:uid="{676B8545-5DEB-495F-A606-34454EED88BB}"/>
    <cellStyle name="40% - Énfasis1 24 2" xfId="17180" xr:uid="{742DE450-18DF-4B54-BFA1-07BADCD822A6}"/>
    <cellStyle name="40% - Énfasis1 24 2 2" xfId="23433" xr:uid="{E5728ECA-3773-4B5A-B610-2F9AB961D017}"/>
    <cellStyle name="40% - Énfasis1 24 3" xfId="21796" xr:uid="{11117AC3-7DA4-4C3A-8698-181BB1084C08}"/>
    <cellStyle name="40% - Énfasis1 24_1.2.b" xfId="15451" xr:uid="{0024A334-A4CE-4C23-98C5-58CC45DE69C5}"/>
    <cellStyle name="40% - Énfasis1 25" xfId="13185" xr:uid="{3C7B3631-135F-432E-82B9-0A2105A8D455}"/>
    <cellStyle name="40% - Énfasis1 25 2" xfId="17181" xr:uid="{D739E1A7-BE8C-4014-9BB1-B3C061A618CD}"/>
    <cellStyle name="40% - Énfasis1 25 2 2" xfId="23434" xr:uid="{5651F906-4D63-4825-9255-2FFA554CB6DD}"/>
    <cellStyle name="40% - Énfasis1 25 3" xfId="21797" xr:uid="{896C7CC3-0B72-4BB6-B586-5D494019FBB6}"/>
    <cellStyle name="40% - Énfasis1 25_1.2.b" xfId="15452" xr:uid="{FC5541B0-5F7D-498B-B225-CD05644B293C}"/>
    <cellStyle name="40% - Énfasis1 26" xfId="13186" xr:uid="{3E47C433-2725-46BF-AB2E-D38003F4F155}"/>
    <cellStyle name="40% - Énfasis1 26 2" xfId="17182" xr:uid="{D5F5460A-686B-4C02-A04A-8AA03280B45C}"/>
    <cellStyle name="40% - Énfasis1 26 2 2" xfId="23435" xr:uid="{AC7F5428-D3E5-444A-BFF7-35576F750E55}"/>
    <cellStyle name="40% - Énfasis1 26 3" xfId="21798" xr:uid="{770D1090-7078-487A-87FB-ED9961A05B28}"/>
    <cellStyle name="40% - Énfasis1 26_1.2.b" xfId="15453" xr:uid="{4ACCCD42-B0E4-4BB6-B956-CC4BC2551B57}"/>
    <cellStyle name="40% - Énfasis1 27" xfId="13187" xr:uid="{3471E70C-4373-4D15-B988-B763C1825F6B}"/>
    <cellStyle name="40% - Énfasis1 27 2" xfId="17183" xr:uid="{E0AC30DE-F1A1-4175-910B-860D30DE14E3}"/>
    <cellStyle name="40% - Énfasis1 27 2 2" xfId="23436" xr:uid="{A1FB3391-AC40-407A-9F0A-32CDC20196D9}"/>
    <cellStyle name="40% - Énfasis1 27 3" xfId="21799" xr:uid="{F010A227-F8F7-44F4-9BF1-52950CD1778D}"/>
    <cellStyle name="40% - Énfasis1 27_1.2.b" xfId="15454" xr:uid="{89AE01B0-23FA-4191-A132-5FB316BB8727}"/>
    <cellStyle name="40% - Énfasis1 28" xfId="13188" xr:uid="{A204BD24-80C6-4EF9-8EE5-5425EA5FA4FB}"/>
    <cellStyle name="40% - Énfasis1 28 2" xfId="17184" xr:uid="{0BF503B8-BDD0-4AC2-AB29-B6FBFC93D090}"/>
    <cellStyle name="40% - Énfasis1 28 2 2" xfId="23437" xr:uid="{610009E0-F22B-4E57-95C3-BA121C04539F}"/>
    <cellStyle name="40% - Énfasis1 28 3" xfId="21800" xr:uid="{50FF6A88-32B3-4F9F-ACBF-DC555FDD9908}"/>
    <cellStyle name="40% - Énfasis1 28_1.2.b" xfId="15455" xr:uid="{D19F8445-82E1-45C7-B15A-CBCB8A917236}"/>
    <cellStyle name="40% - Énfasis1 29" xfId="13189" xr:uid="{D3D82A04-5738-4E19-9BDB-6201A11A6EA3}"/>
    <cellStyle name="40% - Énfasis1 29 2" xfId="17185" xr:uid="{C58A2D32-7992-4DE9-9F1F-9C060711E53C}"/>
    <cellStyle name="40% - Énfasis1 29 2 2" xfId="23438" xr:uid="{84C35EA1-41B2-4AF0-998C-3461660123A9}"/>
    <cellStyle name="40% - Énfasis1 29 3" xfId="21801" xr:uid="{90078F7B-A273-452F-B505-2BC7ABE1CADB}"/>
    <cellStyle name="40% - Énfasis1 29_1.2.b" xfId="15456" xr:uid="{471BFD25-3B5E-41E0-839B-55171D0C08F2}"/>
    <cellStyle name="40% - Énfasis1 3" xfId="161" xr:uid="{00000000-0005-0000-0000-0000BE000000}"/>
    <cellStyle name="40% - Énfasis1 3 2" xfId="10681" xr:uid="{00000000-0005-0000-0000-0000BF000000}"/>
    <cellStyle name="40% - Énfasis1 3 2 2" xfId="13191" xr:uid="{250746E8-A502-44D3-8646-6AE899B964C5}"/>
    <cellStyle name="40% - Énfasis1 3 2 2 2" xfId="21803" xr:uid="{FB6F01B7-4FAF-46C1-A051-283BCB8F807C}"/>
    <cellStyle name="40% - Énfasis1 3 2 3" xfId="17187" xr:uid="{C0FDD0DD-4E09-41F1-8341-33EB93E339A4}"/>
    <cellStyle name="40% - Énfasis1 3 2 3 2" xfId="23440" xr:uid="{56508F45-88ED-45C1-9374-B2B92E498EBE}"/>
    <cellStyle name="40% - Énfasis1 3 2 4" xfId="19773" xr:uid="{89270C09-7100-47A8-959D-0549480181F6}"/>
    <cellStyle name="40% - Énfasis1 3 2_1.2.b" xfId="15458" xr:uid="{7EBF79FB-B0AD-49F4-A908-5082F4091586}"/>
    <cellStyle name="40% - Énfasis1 3 3" xfId="13192" xr:uid="{8B83226F-4B1C-4A3E-8F85-638C3E3030EC}"/>
    <cellStyle name="40% - Énfasis1 3 4" xfId="13190" xr:uid="{DBA0FF16-559F-4F60-8DE9-024CBCC38E9A}"/>
    <cellStyle name="40% - Énfasis1 3 4 2" xfId="21802" xr:uid="{E4F44F32-85FE-4AC3-A1A5-8C541ED66656}"/>
    <cellStyle name="40% - Énfasis1 3 5" xfId="17186" xr:uid="{68B1DA95-7418-41D1-A5BE-91E755DC595E}"/>
    <cellStyle name="40% - Énfasis1 3 5 2" xfId="23439" xr:uid="{0EAE1089-F657-4789-A527-0B4037B8B039}"/>
    <cellStyle name="40% - Énfasis1 3 6" xfId="18405" xr:uid="{DE703711-1403-45D9-AD7D-553BB909225C}"/>
    <cellStyle name="40% - Énfasis1 3_1.2.b" xfId="15457" xr:uid="{0CB6D765-B7B2-4689-A25B-9980C7E82F9F}"/>
    <cellStyle name="40% - Énfasis1 30" xfId="13193" xr:uid="{6EE795B4-DB25-4165-8253-C65BCA53398C}"/>
    <cellStyle name="40% - Énfasis1 30 2" xfId="17188" xr:uid="{1DC17D21-C830-431F-BC86-263ED1290DAB}"/>
    <cellStyle name="40% - Énfasis1 30 2 2" xfId="23441" xr:uid="{005F17C1-2B89-448D-8580-392476C4902D}"/>
    <cellStyle name="40% - Énfasis1 30 3" xfId="21804" xr:uid="{87841751-71E9-4913-B414-0680BEAD1879}"/>
    <cellStyle name="40% - Énfasis1 30_1.2.b" xfId="15459" xr:uid="{8D8F9750-4D5F-4C03-8DC2-05397BB87FE3}"/>
    <cellStyle name="40% - Énfasis1 31" xfId="13194" xr:uid="{E9ACC01F-CB0C-43B7-B168-28BF01FE48C1}"/>
    <cellStyle name="40% - Énfasis1 31 2" xfId="17189" xr:uid="{BDC7EA5D-671B-4ADA-B314-38A071362B2B}"/>
    <cellStyle name="40% - Énfasis1 31 2 2" xfId="23442" xr:uid="{DF04B58F-AEBA-4FA6-8773-D79334841187}"/>
    <cellStyle name="40% - Énfasis1 31 3" xfId="21805" xr:uid="{1D80EBD8-713B-481C-AE03-2B3E0837CACF}"/>
    <cellStyle name="40% - Énfasis1 31_1.2.b" xfId="15460" xr:uid="{3D20CD63-D568-42AE-8FDB-F6F3E3243C58}"/>
    <cellStyle name="40% - Énfasis1 32" xfId="13195" xr:uid="{5685BE60-F68C-40D4-A80B-A16F257DE7C0}"/>
    <cellStyle name="40% - Énfasis1 32 2" xfId="17190" xr:uid="{E47F4F2B-7838-4E70-AA4A-B8B3ABBE58A8}"/>
    <cellStyle name="40% - Énfasis1 32 2 2" xfId="23443" xr:uid="{B25E153C-A3C9-4623-A5FA-642D1512E89E}"/>
    <cellStyle name="40% - Énfasis1 32 3" xfId="21806" xr:uid="{202BCBD6-394C-4A98-B25D-7BBF325EEED0}"/>
    <cellStyle name="40% - Énfasis1 32_1.2.b" xfId="15461" xr:uid="{83E84A79-16D5-431E-9B65-FF754D1ECEAC}"/>
    <cellStyle name="40% - Énfasis1 33" xfId="13196" xr:uid="{4460B2E5-16FC-412E-91DD-D81DF6966040}"/>
    <cellStyle name="40% - Énfasis1 33 2" xfId="17191" xr:uid="{39E4BD9F-3B4B-4D92-8483-D9D53A611083}"/>
    <cellStyle name="40% - Énfasis1 33 2 2" xfId="23444" xr:uid="{6242609D-C053-470B-BE8B-8884F4B58B8B}"/>
    <cellStyle name="40% - Énfasis1 33 3" xfId="21807" xr:uid="{4B7D0C5B-CCB9-4E6F-8879-8D85A526787C}"/>
    <cellStyle name="40% - Énfasis1 33_1.2.b" xfId="15462" xr:uid="{CADBDE2E-944C-4B37-B836-945422A64D33}"/>
    <cellStyle name="40% - Énfasis1 34" xfId="13197" xr:uid="{7F72298D-6557-46BE-AB23-520295C9AEFF}"/>
    <cellStyle name="40% - Énfasis1 34 2" xfId="17192" xr:uid="{5D1F5FAA-0C38-4F0F-9955-639C4AC072EA}"/>
    <cellStyle name="40% - Énfasis1 34 2 2" xfId="23445" xr:uid="{247EA5D4-469D-45BC-98EC-FC035DF70908}"/>
    <cellStyle name="40% - Énfasis1 34 3" xfId="21808" xr:uid="{C79B63DA-A077-4F04-BCB8-69D1AAC5D4BC}"/>
    <cellStyle name="40% - Énfasis1 34_1.2.b" xfId="15463" xr:uid="{CC52E55A-030F-4D86-A22B-98A08AD7FEE1}"/>
    <cellStyle name="40% - Énfasis1 35" xfId="13198" xr:uid="{AFBD7D6F-634D-491E-A43C-4D319D722CCC}"/>
    <cellStyle name="40% - Énfasis1 35 2" xfId="17193" xr:uid="{ACAE52C4-347B-42E4-BA0D-55077A3C8272}"/>
    <cellStyle name="40% - Énfasis1 35 2 2" xfId="23446" xr:uid="{3DEBE6B0-765B-4761-A961-AABC1A373CB3}"/>
    <cellStyle name="40% - Énfasis1 35 3" xfId="21809" xr:uid="{BD755D4D-49F7-4824-A1FF-88114E7B294D}"/>
    <cellStyle name="40% - Énfasis1 35_1.2.b" xfId="15464" xr:uid="{A6432065-FC30-4FFB-8699-C00130FF2B14}"/>
    <cellStyle name="40% - Énfasis1 36" xfId="13199" xr:uid="{C6D22A75-D5BD-433F-80E7-2F31C16032E0}"/>
    <cellStyle name="40% - Énfasis1 36 2" xfId="17194" xr:uid="{1D5D7379-1F7B-4573-B9A0-74DE2099BB76}"/>
    <cellStyle name="40% - Énfasis1 36 2 2" xfId="23447" xr:uid="{4BCA36AE-E164-4708-B44C-59BA34ECFB99}"/>
    <cellStyle name="40% - Énfasis1 36 3" xfId="21810" xr:uid="{FC8910DA-DE69-48F4-816A-A4A64DA342BD}"/>
    <cellStyle name="40% - Énfasis1 36_1.2.b" xfId="15465" xr:uid="{48BE03A8-F9AB-4177-8911-828DCB367284}"/>
    <cellStyle name="40% - Énfasis1 37" xfId="13200" xr:uid="{24767670-F24D-49E2-94CC-13C52EAD43F8}"/>
    <cellStyle name="40% - Énfasis1 37 2" xfId="17195" xr:uid="{14A7CA2E-9810-4EB9-8301-36C04DF504BB}"/>
    <cellStyle name="40% - Énfasis1 37 2 2" xfId="23448" xr:uid="{CEC956B7-DFBA-49CB-AAE8-4163854B802B}"/>
    <cellStyle name="40% - Énfasis1 37 3" xfId="21811" xr:uid="{84A1E166-58D4-4DF8-8B73-229DDA32BBB2}"/>
    <cellStyle name="40% - Énfasis1 37_1.2.b" xfId="15466" xr:uid="{9E22EC53-07E0-4BED-BCB9-0672A0487923}"/>
    <cellStyle name="40% - Énfasis1 38" xfId="13201" xr:uid="{260DEF13-D741-4F3B-ADC0-C10AEEC90BE0}"/>
    <cellStyle name="40% - Énfasis1 38 2" xfId="17196" xr:uid="{B219D3D4-8CC5-4E50-AEEF-E795D15003C8}"/>
    <cellStyle name="40% - Énfasis1 38 2 2" xfId="23449" xr:uid="{8C4418E3-A941-483C-890E-DEB458DD0AE0}"/>
    <cellStyle name="40% - Énfasis1 38 3" xfId="21812" xr:uid="{079D99C5-230E-4296-9112-DDFACDACF164}"/>
    <cellStyle name="40% - Énfasis1 38_1.2.b" xfId="15467" xr:uid="{1BD71DDF-9B03-4008-8B40-2E39D815EB6F}"/>
    <cellStyle name="40% - Énfasis1 39" xfId="13202" xr:uid="{AA302473-60A9-45AE-B460-385ABB4470FC}"/>
    <cellStyle name="40% - Énfasis1 39 2" xfId="17197" xr:uid="{34ED49B7-DE45-42BA-8DEA-B663852C894A}"/>
    <cellStyle name="40% - Énfasis1 39 2 2" xfId="23450" xr:uid="{50AF87BB-A50E-4480-AF21-66D2F9882846}"/>
    <cellStyle name="40% - Énfasis1 39 3" xfId="21813" xr:uid="{5C7EF13C-4F22-4D1E-B30B-A50D3842DD85}"/>
    <cellStyle name="40% - Énfasis1 39_1.2.b" xfId="15468" xr:uid="{277D5F57-7CA9-40D8-88EE-DE5E28E4BCCE}"/>
    <cellStyle name="40% - Énfasis1 4" xfId="175" xr:uid="{00000000-0005-0000-0000-0000C0000000}"/>
    <cellStyle name="40% - Énfasis1 4 2" xfId="10695" xr:uid="{00000000-0005-0000-0000-0000C1000000}"/>
    <cellStyle name="40% - Énfasis1 4 2 2" xfId="13204" xr:uid="{DB5829DD-B1F4-40E4-B029-4A379A76BC23}"/>
    <cellStyle name="40% - Énfasis1 4 2 3" xfId="19787" xr:uid="{B2C6B5C2-CEBC-416F-844A-630ABE6360C1}"/>
    <cellStyle name="40% - Énfasis1 4 2_1.2.b" xfId="15470" xr:uid="{008DC890-7805-48EC-8460-B4D30A6CF3CD}"/>
    <cellStyle name="40% - Énfasis1 4 3" xfId="13203" xr:uid="{6DB7EE12-5959-45DC-A6B5-1004388D36BC}"/>
    <cellStyle name="40% - Énfasis1 4 3 2" xfId="21814" xr:uid="{851B41C1-F07D-4C06-BC82-3BE11EBA9EC0}"/>
    <cellStyle name="40% - Énfasis1 4 4" xfId="17198" xr:uid="{D5CE1AB1-8D59-463E-B8BA-F81D9C7B83D6}"/>
    <cellStyle name="40% - Énfasis1 4 4 2" xfId="23451" xr:uid="{5C899C5D-5B64-4A2E-A2D3-2B87B4D54650}"/>
    <cellStyle name="40% - Énfasis1 4 5" xfId="17160" xr:uid="{BE51A7F2-7E4C-488C-9DEA-95A160F29FBE}"/>
    <cellStyle name="40% - Énfasis1 4 5 2" xfId="23414" xr:uid="{2F0558A3-E955-4780-9EED-4B921C88D56E}"/>
    <cellStyle name="40% - Énfasis1 4 6" xfId="18208" xr:uid="{EC6C2A8D-EEC0-4AAE-9949-12AB031392CF}"/>
    <cellStyle name="40% - Énfasis1 4 6 2" xfId="24392" xr:uid="{294123D4-2F70-4D7F-9C01-48E2424F3AC1}"/>
    <cellStyle name="40% - Énfasis1 4 7" xfId="17174" xr:uid="{69292D68-3763-4C4D-8B62-98A6CB2CEB76}"/>
    <cellStyle name="40% - Énfasis1 4 7 2" xfId="23427" xr:uid="{D7CBFD05-8BAF-400C-93F6-DE6A9F2FF245}"/>
    <cellStyle name="40% - Énfasis1 4 8" xfId="18213" xr:uid="{B756CC12-1A3C-4109-8F34-4468D5933018}"/>
    <cellStyle name="40% - Énfasis1 4 8 2" xfId="24393" xr:uid="{B0833BC8-8D04-46B3-BB83-7447D75985A4}"/>
    <cellStyle name="40% - Énfasis1 4 9" xfId="18419" xr:uid="{4979BF0C-0EFC-41FC-BEAA-F1BDE26393E3}"/>
    <cellStyle name="40% - Énfasis1 4_1.2.b" xfId="15469" xr:uid="{63EFB181-1D8C-4056-81A0-3F9105469799}"/>
    <cellStyle name="40% - Énfasis1 40" xfId="13205" xr:uid="{9C909B52-86C4-4E99-A40B-C63275CC1656}"/>
    <cellStyle name="40% - Énfasis1 40 2" xfId="17199" xr:uid="{8216871B-5522-48A8-916D-C8A1607369CB}"/>
    <cellStyle name="40% - Énfasis1 40 2 2" xfId="23452" xr:uid="{0A983D0A-4CD4-4480-AE9F-85A24DC51E9D}"/>
    <cellStyle name="40% - Énfasis1 40 3" xfId="21815" xr:uid="{3F5E60F6-86CD-40D7-8902-D9E88491CE91}"/>
    <cellStyle name="40% - Énfasis1 40_1.2.b" xfId="15471" xr:uid="{58C9C982-CE65-4902-8923-B64F16C27CF5}"/>
    <cellStyle name="40% - Énfasis1 41" xfId="13206" xr:uid="{55D2BD3F-5C3A-401A-A1BC-23E3634B825F}"/>
    <cellStyle name="40% - Énfasis1 41 2" xfId="17200" xr:uid="{2F2197D0-FE13-4A30-BBBD-D5B370B640D4}"/>
    <cellStyle name="40% - Énfasis1 41 2 2" xfId="23453" xr:uid="{1D2E5799-BBE6-4104-B5FA-A327F028B220}"/>
    <cellStyle name="40% - Énfasis1 41 3" xfId="21816" xr:uid="{7749DEA8-C3DA-4688-8118-08D208C39370}"/>
    <cellStyle name="40% - Énfasis1 41_1.2.b" xfId="15472" xr:uid="{ABE825E6-E3B4-48B4-86A3-5C1EC87F5B14}"/>
    <cellStyle name="40% - Énfasis1 42" xfId="13207" xr:uid="{FE3DF684-EF83-4FEC-B292-C6ABB30A6D50}"/>
    <cellStyle name="40% - Énfasis1 42 2" xfId="17201" xr:uid="{33B7779A-2A03-42D6-A87D-473EF1561428}"/>
    <cellStyle name="40% - Énfasis1 42 2 2" xfId="23454" xr:uid="{5D9D1027-B6F6-483D-9BE2-7F09ACAC3DE3}"/>
    <cellStyle name="40% - Énfasis1 42 3" xfId="21817" xr:uid="{CE560C2B-C989-46FF-8C8B-F5C0DC96A453}"/>
    <cellStyle name="40% - Énfasis1 42_1.2.b" xfId="15473" xr:uid="{A37AC41B-FC89-4558-BBC4-2ABDF9A22AD1}"/>
    <cellStyle name="40% - Énfasis1 43" xfId="13208" xr:uid="{09F3C2D6-6132-4E92-B5AC-D7643957E42F}"/>
    <cellStyle name="40% - Énfasis1 43 2" xfId="17202" xr:uid="{B86AAA95-401A-479F-82D5-94738810A184}"/>
    <cellStyle name="40% - Énfasis1 43 2 2" xfId="23455" xr:uid="{AE930C64-395D-4E05-81C6-9598086BD63A}"/>
    <cellStyle name="40% - Énfasis1 43 3" xfId="21818" xr:uid="{60F105C0-5396-46E0-ACBE-0BFA2D0EFE31}"/>
    <cellStyle name="40% - Énfasis1 43_1.2.b" xfId="15474" xr:uid="{264CB480-6E9E-4A77-893D-58F496B9EA0C}"/>
    <cellStyle name="40% - Énfasis1 44" xfId="13209" xr:uid="{EB1DFEE5-C1C4-4225-A1AE-21BAEDF2F14B}"/>
    <cellStyle name="40% - Énfasis1 44 2" xfId="17203" xr:uid="{B260B0FC-5590-4F5A-AB10-DD246F4787AD}"/>
    <cellStyle name="40% - Énfasis1 44 2 2" xfId="23456" xr:uid="{C34D8E1A-2D83-4103-A622-DEA705F1474F}"/>
    <cellStyle name="40% - Énfasis1 44 3" xfId="21819" xr:uid="{5DECB369-5843-4B50-A5E1-A481360E78FE}"/>
    <cellStyle name="40% - Énfasis1 44_1.2.b" xfId="15475" xr:uid="{AD9775DB-66A2-4544-8783-36C64794CF78}"/>
    <cellStyle name="40% - Énfasis1 45" xfId="13210" xr:uid="{95F6D215-F350-4119-846C-ADF89573F874}"/>
    <cellStyle name="40% - Énfasis1 45 2" xfId="17204" xr:uid="{302D72C5-E9D6-40C2-9539-E744BCD712C8}"/>
    <cellStyle name="40% - Énfasis1 45 2 2" xfId="23457" xr:uid="{38E3655D-7DA9-415E-BA6F-824F7F4EBA51}"/>
    <cellStyle name="40% - Énfasis1 45 3" xfId="21820" xr:uid="{CD7E1273-A528-4EC0-88AC-55A0CFC9D6B4}"/>
    <cellStyle name="40% - Énfasis1 45_1.2.b" xfId="15476" xr:uid="{B2AB5E7F-70F1-4370-B9F9-ADDC25DFDBFF}"/>
    <cellStyle name="40% - Énfasis1 46" xfId="13211" xr:uid="{0893C817-9F7D-4FB7-826E-B28DFC5BA206}"/>
    <cellStyle name="40% - Énfasis1 46 2" xfId="17205" xr:uid="{B58A68F0-7B7B-4720-A1B7-8FA47FED3E4F}"/>
    <cellStyle name="40% - Énfasis1 46 2 2" xfId="23458" xr:uid="{EA2CEB87-82AB-4344-8DB2-A0C3D5A58916}"/>
    <cellStyle name="40% - Énfasis1 46 3" xfId="21821" xr:uid="{AB5EF48A-0A70-49F5-9879-7F31B81EA499}"/>
    <cellStyle name="40% - Énfasis1 46_1.2.b" xfId="15477" xr:uid="{D4B916DF-4334-4FAE-BE19-E44727EFC003}"/>
    <cellStyle name="40% - Énfasis1 47" xfId="13212" xr:uid="{3FB0A001-674D-4479-B5C4-BCE08F001910}"/>
    <cellStyle name="40% - Énfasis1 47 2" xfId="17206" xr:uid="{46CD0812-1592-4692-8D4E-B455A8E0FA7E}"/>
    <cellStyle name="40% - Énfasis1 47 2 2" xfId="23459" xr:uid="{4F4DB4EC-CDF1-485F-85FB-891E6E5195E8}"/>
    <cellStyle name="40% - Énfasis1 47 3" xfId="21822" xr:uid="{D6E05291-5C83-4D9F-8672-BF9175A90C2E}"/>
    <cellStyle name="40% - Énfasis1 47_1.2.b" xfId="15478" xr:uid="{22844D11-DFCE-4396-81B5-334FC0F02C93}"/>
    <cellStyle name="40% - Énfasis1 48" xfId="13213" xr:uid="{1C5643F6-45D1-486A-B6DE-688F1DD4C623}"/>
    <cellStyle name="40% - Énfasis1 48 2" xfId="17207" xr:uid="{D8118DAB-6763-4C8E-A929-A84348C9202D}"/>
    <cellStyle name="40% - Énfasis1 48 2 2" xfId="23460" xr:uid="{F22B089D-024B-4E45-ADC7-07CF8BAA28CB}"/>
    <cellStyle name="40% - Énfasis1 48 3" xfId="21823" xr:uid="{F259F342-0C3F-4997-A859-3ACC9754D677}"/>
    <cellStyle name="40% - Énfasis1 48_1.2.b" xfId="15479" xr:uid="{3ECDE5A3-0C50-4B96-8664-67F5EEC7221F}"/>
    <cellStyle name="40% - Énfasis1 49" xfId="13214" xr:uid="{C16E3C18-A4CF-4B33-8306-58400B753829}"/>
    <cellStyle name="40% - Énfasis1 49 2" xfId="17208" xr:uid="{A0AC3015-B1CE-4746-863A-7824A5428C27}"/>
    <cellStyle name="40% - Énfasis1 49 2 2" xfId="23461" xr:uid="{AD92DB49-1390-479A-87D6-EFB016272902}"/>
    <cellStyle name="40% - Énfasis1 49 3" xfId="21824" xr:uid="{22E79B04-021D-4391-ACD0-30FA7AED669F}"/>
    <cellStyle name="40% - Énfasis1 49_1.2.b" xfId="15480" xr:uid="{680FCC91-5418-4590-81A3-689317B83A0F}"/>
    <cellStyle name="40% - Énfasis1 5" xfId="190" xr:uid="{00000000-0005-0000-0000-0000C2000000}"/>
    <cellStyle name="40% - Énfasis1 5 2" xfId="10710" xr:uid="{00000000-0005-0000-0000-0000C3000000}"/>
    <cellStyle name="40% - Énfasis1 5 2 2" xfId="19802" xr:uid="{FC20E490-F4DD-465B-B13A-8C02378206CD}"/>
    <cellStyle name="40% - Énfasis1 5 3" xfId="13215" xr:uid="{74ABA1D7-5166-4ADE-8FE4-33E718F857D2}"/>
    <cellStyle name="40% - Énfasis1 5 3 2" xfId="21825" xr:uid="{A791B2D4-B80A-40BF-8C1D-B32DFED77AF8}"/>
    <cellStyle name="40% - Énfasis1 5 4" xfId="17209" xr:uid="{57880C0C-AB3B-48B6-B091-3D96AA289FAF}"/>
    <cellStyle name="40% - Énfasis1 5 4 2" xfId="23462" xr:uid="{A34A8B9F-CB73-40B6-B85D-584E4E022378}"/>
    <cellStyle name="40% - Énfasis1 5 5" xfId="18434" xr:uid="{17F2E37E-2490-4798-99C5-88BB7B57DA8B}"/>
    <cellStyle name="40% - Énfasis1 5_1.2.b" xfId="15481" xr:uid="{7B7AD8CD-9D87-4726-AF85-DCF9E0C0885E}"/>
    <cellStyle name="40% - Énfasis1 50" xfId="13216" xr:uid="{3927451A-151C-4C00-B783-D819E6889C24}"/>
    <cellStyle name="40% - Énfasis1 50 2" xfId="17210" xr:uid="{16BC1FD0-478B-4105-BDAA-DB19C4A94846}"/>
    <cellStyle name="40% - Énfasis1 50 2 2" xfId="23463" xr:uid="{F164DF6E-DD0E-4333-973E-FD35F6653E9A}"/>
    <cellStyle name="40% - Énfasis1 50 3" xfId="21826" xr:uid="{D4BCECF8-8582-4F7F-B70A-AE7B211A9CEB}"/>
    <cellStyle name="40% - Énfasis1 50_1.2.b" xfId="15482" xr:uid="{38112C11-B641-4E71-9254-2264F83BE2B8}"/>
    <cellStyle name="40% - Énfasis1 51" xfId="13217" xr:uid="{166F7EB6-A49A-4DDF-8506-03FE23A2FB37}"/>
    <cellStyle name="40% - Énfasis1 51 2" xfId="17211" xr:uid="{937C2867-C31A-4B72-AD72-1B5BA88677C0}"/>
    <cellStyle name="40% - Énfasis1 51 2 2" xfId="23464" xr:uid="{E2815BBD-2C3F-4253-B2BA-BACCD06B35E6}"/>
    <cellStyle name="40% - Énfasis1 51 3" xfId="21827" xr:uid="{CE057B87-1E45-4E8E-BF54-9F1FB356C824}"/>
    <cellStyle name="40% - Énfasis1 51_1.2.b" xfId="15483" xr:uid="{02792E62-1188-4ACB-8FE9-84FA21D24C73}"/>
    <cellStyle name="40% - Énfasis1 52" xfId="13218" xr:uid="{F7F96292-711B-45BA-94FE-0BC1A7C4688F}"/>
    <cellStyle name="40% - Énfasis1 52 2" xfId="17212" xr:uid="{1797B863-139B-486A-A622-2535A29431ED}"/>
    <cellStyle name="40% - Énfasis1 52 2 2" xfId="23465" xr:uid="{06D1FF79-25A4-44A1-8B3E-5B5F98FC53CE}"/>
    <cellStyle name="40% - Énfasis1 52 3" xfId="21828" xr:uid="{13F3E017-5648-45A5-ACA0-FE5A413DBF8F}"/>
    <cellStyle name="40% - Énfasis1 52_1.2.b" xfId="15484" xr:uid="{2228BDD9-267B-431A-89E5-2ED3F2354F57}"/>
    <cellStyle name="40% - Énfasis1 53" xfId="13219" xr:uid="{55EFE4DE-955D-4D65-9FFE-FF4DEB04147E}"/>
    <cellStyle name="40% - Énfasis1 53 2" xfId="17213" xr:uid="{C90E500B-C5C5-4996-A005-051341A83AA9}"/>
    <cellStyle name="40% - Énfasis1 53 2 2" xfId="23466" xr:uid="{492BA34D-5523-4C2F-837C-D4C4BF7D1498}"/>
    <cellStyle name="40% - Énfasis1 53 3" xfId="21829" xr:uid="{48218546-3A9A-43E1-A44A-50F20D8588FD}"/>
    <cellStyle name="40% - Énfasis1 53_1.2.b" xfId="15485" xr:uid="{63E86480-EC4C-40BC-B7EB-2820EB4620E0}"/>
    <cellStyle name="40% - Énfasis1 54" xfId="13220" xr:uid="{AEFF8FC2-BF01-4A8F-BEC0-92295C87E423}"/>
    <cellStyle name="40% - Énfasis1 54 2" xfId="17214" xr:uid="{43875544-6DF3-45D7-B19C-86005AB7BFAE}"/>
    <cellStyle name="40% - Énfasis1 54 2 2" xfId="23467" xr:uid="{C27BA745-852D-4F11-9C48-4FE175EBFB53}"/>
    <cellStyle name="40% - Énfasis1 54 3" xfId="21830" xr:uid="{0DED2192-66EA-4533-A9BA-CA0FECCEED03}"/>
    <cellStyle name="40% - Énfasis1 54_1.2.b" xfId="15486" xr:uid="{80BE31CA-6908-491B-8DC9-50231714E712}"/>
    <cellStyle name="40% - Énfasis1 55" xfId="13221" xr:uid="{6D453AD8-9162-4FFF-A66A-ACD95D841CA6}"/>
    <cellStyle name="40% - Énfasis1 55 2" xfId="17215" xr:uid="{07929BFE-8603-46E9-B4ED-9EA3FCE2F795}"/>
    <cellStyle name="40% - Énfasis1 55 2 2" xfId="23468" xr:uid="{647F3F64-31A0-45DF-9DED-650DCFF4A706}"/>
    <cellStyle name="40% - Énfasis1 55 3" xfId="21831" xr:uid="{DD865CBE-5FBD-4023-8DE6-46FAC565B692}"/>
    <cellStyle name="40% - Énfasis1 55_1.2.b" xfId="15487" xr:uid="{0AB98067-8A4D-4F46-8B75-88023836622B}"/>
    <cellStyle name="40% - Énfasis1 56" xfId="13222" xr:uid="{2718158A-A456-4C9D-834D-E69737B085CC}"/>
    <cellStyle name="40% - Énfasis1 56 2" xfId="17216" xr:uid="{DF60C552-A8E2-4033-8177-E2757D91D507}"/>
    <cellStyle name="40% - Énfasis1 56 2 2" xfId="23469" xr:uid="{35240DAD-609B-4AA9-8C34-4C52E1A814B8}"/>
    <cellStyle name="40% - Énfasis1 56 3" xfId="21832" xr:uid="{229EADD7-94BD-4341-9948-BBF0B46A625F}"/>
    <cellStyle name="40% - Énfasis1 56_1.2.b" xfId="15488" xr:uid="{AE36970F-4615-4EC0-B7E6-6D72F5948D5C}"/>
    <cellStyle name="40% - Énfasis1 57" xfId="13223" xr:uid="{7C760757-82D8-4E48-84D4-C2E1C2B9591E}"/>
    <cellStyle name="40% - Énfasis1 57 2" xfId="17217" xr:uid="{9BD8FEC6-5FBB-479F-94D0-AC93D3B96FAB}"/>
    <cellStyle name="40% - Énfasis1 57 2 2" xfId="23470" xr:uid="{1602EE02-D5A7-4305-9571-FC87D8857B94}"/>
    <cellStyle name="40% - Énfasis1 57 3" xfId="21833" xr:uid="{EF50ED99-2E99-4FDC-8E84-DB58E5D78C58}"/>
    <cellStyle name="40% - Énfasis1 57_1.2.b" xfId="15489" xr:uid="{2E92C68C-EF10-4316-A3F9-3C34FF70EEE1}"/>
    <cellStyle name="40% - Énfasis1 58" xfId="13224" xr:uid="{1D40B0A0-FF06-4FFD-8EE3-61ED1CE56224}"/>
    <cellStyle name="40% - Énfasis1 58 2" xfId="17218" xr:uid="{7B133DDD-2AE2-4C4E-A814-13CA55C635AD}"/>
    <cellStyle name="40% - Énfasis1 58 2 2" xfId="23471" xr:uid="{7F1E9454-F9AD-495F-A799-CB2471F852EF}"/>
    <cellStyle name="40% - Énfasis1 58 3" xfId="21834" xr:uid="{EF798E43-58E6-4067-8D98-7F733E1E518E}"/>
    <cellStyle name="40% - Énfasis1 58_1.2.b" xfId="15490" xr:uid="{7A6ECD17-67B1-4431-96C0-97FF911BAA55}"/>
    <cellStyle name="40% - Énfasis1 59" xfId="13225" xr:uid="{F7707465-CFA8-49C8-9900-62C76D25033D}"/>
    <cellStyle name="40% - Énfasis1 59 2" xfId="17219" xr:uid="{63F061E4-AA08-4EF9-85B6-4F5EA4C1AE2E}"/>
    <cellStyle name="40% - Énfasis1 59 2 2" xfId="23472" xr:uid="{6F401EBD-C83F-4CA6-8C44-57023B4F07CB}"/>
    <cellStyle name="40% - Énfasis1 59 3" xfId="21835" xr:uid="{762A58D2-CF20-46D5-A7ED-630EB7A22BA8}"/>
    <cellStyle name="40% - Énfasis1 59_1.2.b" xfId="15491" xr:uid="{BEE5B956-34A0-425E-8B72-B832AE645B5B}"/>
    <cellStyle name="40% - Énfasis1 6" xfId="204" xr:uid="{00000000-0005-0000-0000-0000C4000000}"/>
    <cellStyle name="40% - Énfasis1 6 2" xfId="10724" xr:uid="{00000000-0005-0000-0000-0000C5000000}"/>
    <cellStyle name="40% - Énfasis1 6 2 2" xfId="19816" xr:uid="{1EF06FE1-B910-42B8-893A-D7A491AD4894}"/>
    <cellStyle name="40% - Énfasis1 6 3" xfId="13226" xr:uid="{FFFAD154-3559-44CD-8869-A5346CF28389}"/>
    <cellStyle name="40% - Énfasis1 6 3 2" xfId="21836" xr:uid="{05FFEE9B-D48D-49CA-B454-0FAE1A281E51}"/>
    <cellStyle name="40% - Énfasis1 6 4" xfId="17220" xr:uid="{C0057B57-862F-4568-AB55-54A3E44E60E5}"/>
    <cellStyle name="40% - Énfasis1 6 4 2" xfId="23473" xr:uid="{4532EA12-73EA-4EA5-89F2-04291FAC2123}"/>
    <cellStyle name="40% - Énfasis1 6 5" xfId="18448" xr:uid="{4DB814F4-0DE0-438C-AA9B-2DC0FC95FC89}"/>
    <cellStyle name="40% - Énfasis1 6_1.2.b" xfId="15492" xr:uid="{635B5794-8F88-49DA-AEAA-425B794B796A}"/>
    <cellStyle name="40% - Énfasis1 60" xfId="13227" xr:uid="{60B541A4-9058-4834-93D7-65A9B7596B59}"/>
    <cellStyle name="40% - Énfasis1 60 2" xfId="17221" xr:uid="{26A2E231-1EF7-42D7-9DBB-5108672E7318}"/>
    <cellStyle name="40% - Énfasis1 60 2 2" xfId="23474" xr:uid="{17DB413E-B861-4A65-B9F2-7E6D73D6C6E4}"/>
    <cellStyle name="40% - Énfasis1 60 3" xfId="21837" xr:uid="{051EDAB5-CE6B-400F-8E4C-09F0DFCFBFFE}"/>
    <cellStyle name="40% - Énfasis1 60_1.2.b" xfId="15493" xr:uid="{93489DE9-70FE-4C55-9BD0-9E7389EB15C2}"/>
    <cellStyle name="40% - Énfasis1 61" xfId="13228" xr:uid="{40DE6079-AE3A-41A1-897A-A1CE921E5D5F}"/>
    <cellStyle name="40% - Énfasis1 61 2" xfId="17222" xr:uid="{9BC19086-FF1C-410D-A2D9-C9081632EDCE}"/>
    <cellStyle name="40% - Énfasis1 61 2 2" xfId="23475" xr:uid="{4C656F58-D062-4D62-9948-CD4F716370C8}"/>
    <cellStyle name="40% - Énfasis1 61 3" xfId="21838" xr:uid="{9A6AFF11-32C8-4615-92CD-08FB7BA2E929}"/>
    <cellStyle name="40% - Énfasis1 61_1.2.b" xfId="15494" xr:uid="{46708F22-4BCA-46A9-9960-3EBEBBB1FFC8}"/>
    <cellStyle name="40% - Énfasis1 62" xfId="13229" xr:uid="{26D520E7-0998-48EA-A26F-BEDE818BE031}"/>
    <cellStyle name="40% - Énfasis1 62 2" xfId="17223" xr:uid="{E6FCEC46-DF04-4038-A00D-63096345E57E}"/>
    <cellStyle name="40% - Énfasis1 62 2 2" xfId="23476" xr:uid="{28FFBB0D-8610-4829-9AE8-F035AA3033D8}"/>
    <cellStyle name="40% - Énfasis1 62 3" xfId="21839" xr:uid="{34D9812C-163F-4AD3-B068-65B2B33573AD}"/>
    <cellStyle name="40% - Énfasis1 62_1.2.b" xfId="15495" xr:uid="{FD969192-A0E1-44B2-BCC3-1DBE168984F2}"/>
    <cellStyle name="40% - Énfasis1 63" xfId="13230" xr:uid="{7DEE679D-1F86-41D8-B1C5-C8A19E1D4155}"/>
    <cellStyle name="40% - Énfasis1 63 2" xfId="17224" xr:uid="{68E262F6-93FE-4FCC-A594-CAC78E1A3C88}"/>
    <cellStyle name="40% - Énfasis1 63 2 2" xfId="23477" xr:uid="{8E08FFC6-CE09-47CB-87AA-D161ED1A1A6C}"/>
    <cellStyle name="40% - Énfasis1 63 3" xfId="21840" xr:uid="{53FA0344-269D-44CC-B515-D0DBD13F6F64}"/>
    <cellStyle name="40% - Énfasis1 63_1.2.b" xfId="15496" xr:uid="{50220FF4-0D8D-4961-9A7F-42F203924290}"/>
    <cellStyle name="40% - Énfasis1 64" xfId="13231" xr:uid="{032483EB-1E55-4F42-9C90-0F1517709233}"/>
    <cellStyle name="40% - Énfasis1 64 2" xfId="17225" xr:uid="{E6B37C69-771F-4DB1-8776-813AEF68C578}"/>
    <cellStyle name="40% - Énfasis1 64 2 2" xfId="23478" xr:uid="{AC926817-883C-42C0-AB33-33FA1DD438B8}"/>
    <cellStyle name="40% - Énfasis1 64 3" xfId="21841" xr:uid="{6AC7EA11-26DB-486B-ADE0-4959198DCED3}"/>
    <cellStyle name="40% - Énfasis1 64_1.2.b" xfId="15497" xr:uid="{48691B2E-7412-4E8C-AFA9-A3944AF81910}"/>
    <cellStyle name="40% - Énfasis1 65" xfId="13232" xr:uid="{C9DAEB96-2D90-4A27-9EB8-7524BEB96982}"/>
    <cellStyle name="40% - Énfasis1 65 2" xfId="17226" xr:uid="{88779CB5-D398-49E1-96F0-D69F7135775A}"/>
    <cellStyle name="40% - Énfasis1 65 2 2" xfId="23479" xr:uid="{632E469B-A65F-4C6B-8BB4-EB604C1D675B}"/>
    <cellStyle name="40% - Énfasis1 65 3" xfId="21842" xr:uid="{07C5986C-09F8-4BA9-BA70-8C9DE430F28C}"/>
    <cellStyle name="40% - Énfasis1 65_1.2.b" xfId="15498" xr:uid="{6667BE29-ABA0-4D4E-BBDF-B4D3DA707796}"/>
    <cellStyle name="40% - Énfasis1 66" xfId="13233" xr:uid="{B01BCA75-242F-448A-AE8C-9F0CDB79176E}"/>
    <cellStyle name="40% - Énfasis1 66 2" xfId="17227" xr:uid="{A721550E-3B87-47EC-BB36-4CA403EC44D4}"/>
    <cellStyle name="40% - Énfasis1 66 2 2" xfId="23480" xr:uid="{A523221B-AD32-4D27-B1DF-09B473A99080}"/>
    <cellStyle name="40% - Énfasis1 66 3" xfId="21843" xr:uid="{778B3D9F-A66F-46B1-96AA-B7CA565FADEC}"/>
    <cellStyle name="40% - Énfasis1 66_1.2.b" xfId="15499" xr:uid="{15A646BF-7A1D-4165-8057-185EBE87C923}"/>
    <cellStyle name="40% - Énfasis1 67" xfId="13234" xr:uid="{DDEBA366-14F2-4687-A418-F87B6B29E611}"/>
    <cellStyle name="40% - Énfasis1 67 2" xfId="17228" xr:uid="{FDD74E32-6707-44C1-95FB-C4B5F9308E87}"/>
    <cellStyle name="40% - Énfasis1 67 2 2" xfId="23481" xr:uid="{9E2A3D82-5AFB-4F84-B575-BE2335BC67F1}"/>
    <cellStyle name="40% - Énfasis1 67 3" xfId="21844" xr:uid="{85AC13B6-F77F-487B-B3AE-BA3D541A2210}"/>
    <cellStyle name="40% - Énfasis1 67_1.2.b" xfId="15500" xr:uid="{6C86FBDC-AB48-4214-B93B-389E8A856C72}"/>
    <cellStyle name="40% - Énfasis1 68" xfId="13235" xr:uid="{09EC16AC-5FAD-4933-9750-90B4883E8AA7}"/>
    <cellStyle name="40% - Énfasis1 68 2" xfId="17229" xr:uid="{7969451C-BDFE-4E66-86C9-9B6AA9593A00}"/>
    <cellStyle name="40% - Énfasis1 68 2 2" xfId="23482" xr:uid="{80BE8F9A-77E5-4B30-B260-A3D36C54B9FC}"/>
    <cellStyle name="40% - Énfasis1 68 3" xfId="21845" xr:uid="{260185C1-6E3F-41E4-A0AA-56012AD83B35}"/>
    <cellStyle name="40% - Énfasis1 68_1.2.b" xfId="15501" xr:uid="{6CAB5037-DF20-47AA-BE47-A21FF50675F9}"/>
    <cellStyle name="40% - Énfasis1 69" xfId="13236" xr:uid="{D1C51EE7-F611-4524-B3C1-64F5E461FDB9}"/>
    <cellStyle name="40% - Énfasis1 69 2" xfId="17230" xr:uid="{DFEA2E36-5BE8-45FB-BF3D-F74E3BA13946}"/>
    <cellStyle name="40% - Énfasis1 69 2 2" xfId="23483" xr:uid="{5FD1C58A-F3E9-4958-8550-C13E3C0DDE06}"/>
    <cellStyle name="40% - Énfasis1 69 3" xfId="21846" xr:uid="{65A21413-EF0E-46F6-B617-86E2507ACC97}"/>
    <cellStyle name="40% - Énfasis1 69_1.2.b" xfId="15502" xr:uid="{0757B165-0F49-4917-8372-7AA0B169970A}"/>
    <cellStyle name="40% - Énfasis1 7" xfId="9828" xr:uid="{00000000-0005-0000-0000-0000C6000000}"/>
    <cellStyle name="40% - Énfasis1 7 2" xfId="11614" xr:uid="{00000000-0005-0000-0000-0000C7000000}"/>
    <cellStyle name="40% - Énfasis1 7 2 2" xfId="20383" xr:uid="{C43096FC-E77F-44BD-AA4F-5656112C8CF1}"/>
    <cellStyle name="40% - Énfasis1 7 3" xfId="13237" xr:uid="{19F9B20F-110C-4F89-A7AE-F97EC0C66590}"/>
    <cellStyle name="40% - Énfasis1 7 3 2" xfId="21847" xr:uid="{C435FDD6-083F-4D2B-948E-3586CABEC0C3}"/>
    <cellStyle name="40% - Énfasis1 7 4" xfId="17231" xr:uid="{5484DA60-9D76-4FC4-8D0D-57A818D9E550}"/>
    <cellStyle name="40% - Énfasis1 7 4 2" xfId="23484" xr:uid="{2A4A5DFD-4E8D-4C6D-BDA5-87A657899484}"/>
    <cellStyle name="40% - Énfasis1 7 5" xfId="19015" xr:uid="{7B1A0C58-7C3D-490C-956F-CA44A29E5FB3}"/>
    <cellStyle name="40% - Énfasis1 7_1.2.b" xfId="15503" xr:uid="{6348D5B8-0914-4C3C-96E8-C23C44BCDFFF}"/>
    <cellStyle name="40% - Énfasis1 70" xfId="13238" xr:uid="{08D4CE89-BA3A-422F-B293-5A493486F206}"/>
    <cellStyle name="40% - Énfasis1 70 2" xfId="17232" xr:uid="{F31943B3-5378-4F2E-8271-23DC452AAEE3}"/>
    <cellStyle name="40% - Énfasis1 70 2 2" xfId="23485" xr:uid="{9FD92D63-81F0-4802-9C78-056327263029}"/>
    <cellStyle name="40% - Énfasis1 70 3" xfId="21848" xr:uid="{08FFDBC8-E84F-4425-ACE0-8207A61691FD}"/>
    <cellStyle name="40% - Énfasis1 70_1.2.b" xfId="15504" xr:uid="{807425FB-02AC-44A5-B066-D4927D343CAF}"/>
    <cellStyle name="40% - Énfasis1 71" xfId="13239" xr:uid="{2540EA05-0803-4E19-9EF2-2EFB611D7939}"/>
    <cellStyle name="40% - Énfasis1 71 2" xfId="17233" xr:uid="{82613642-F861-4F80-ADF0-689D35769947}"/>
    <cellStyle name="40% - Énfasis1 71 2 2" xfId="23486" xr:uid="{1B2A675D-9780-4603-B87C-7543B2A7350C}"/>
    <cellStyle name="40% - Énfasis1 71 3" xfId="21849" xr:uid="{7BBC667D-B489-4725-9908-D09E3BEAC7D8}"/>
    <cellStyle name="40% - Énfasis1 71_1.2.b" xfId="15505" xr:uid="{C563397B-2F0B-45D1-85FC-C464283A55DC}"/>
    <cellStyle name="40% - Énfasis1 72" xfId="13240" xr:uid="{A851904D-F59A-4745-84F4-70E0DC27DE46}"/>
    <cellStyle name="40% - Énfasis1 72 2" xfId="17234" xr:uid="{E9315C2D-067A-4794-9259-C32F753F8862}"/>
    <cellStyle name="40% - Énfasis1 72 2 2" xfId="23487" xr:uid="{88810E0D-BC3D-40F3-9D65-9376A5A220B9}"/>
    <cellStyle name="40% - Énfasis1 72 3" xfId="21850" xr:uid="{F896D155-C7EA-4626-8D14-A5B08F5B7AF6}"/>
    <cellStyle name="40% - Énfasis1 72_1.2.b" xfId="15506" xr:uid="{8B0B2E75-5B81-4ACB-AC80-BC6C5E882CDC}"/>
    <cellStyle name="40% - Énfasis1 73" xfId="13241" xr:uid="{A8867631-184A-4641-9C5A-4A55112ED12C}"/>
    <cellStyle name="40% - Énfasis1 73 2" xfId="17235" xr:uid="{E5391EEA-5164-42A3-B006-8F7424A24DD7}"/>
    <cellStyle name="40% - Énfasis1 73 2 2" xfId="23488" xr:uid="{3EE1ED7A-C0A7-4493-ACA1-3F9C7409F3CC}"/>
    <cellStyle name="40% - Énfasis1 73 3" xfId="21851" xr:uid="{30A255FD-6F5E-4B24-A5F0-B19E4AFB025F}"/>
    <cellStyle name="40% - Énfasis1 73_1.2.b" xfId="15507" xr:uid="{D5CD6EFB-9EE7-4564-8E03-5A4D9A14B93B}"/>
    <cellStyle name="40% - Énfasis1 74" xfId="13242" xr:uid="{D09B6D43-5319-4A69-91A7-AE41A8A621A2}"/>
    <cellStyle name="40% - Énfasis1 74 2" xfId="17236" xr:uid="{2562C02D-CB98-4541-A2C3-3BADFCC691A5}"/>
    <cellStyle name="40% - Énfasis1 74 2 2" xfId="23489" xr:uid="{0CAD9FAD-6DEF-47C8-B20B-1D8DA801CF03}"/>
    <cellStyle name="40% - Énfasis1 74 3" xfId="21852" xr:uid="{C1E6DE80-C452-432B-B5A7-FA5E0A8559F2}"/>
    <cellStyle name="40% - Énfasis1 74_1.2.b" xfId="15508" xr:uid="{4D38BDC1-A38F-420D-8DAF-EF644C54818E}"/>
    <cellStyle name="40% - Énfasis1 75" xfId="13243" xr:uid="{BBA5D6B2-F68A-4E74-AE97-8AA3A8B3B573}"/>
    <cellStyle name="40% - Énfasis1 75 2" xfId="17237" xr:uid="{651AD697-AF4F-45BC-A2BF-967E797F33CB}"/>
    <cellStyle name="40% - Énfasis1 75 2 2" xfId="23490" xr:uid="{56C54373-38F7-4357-BE1E-E1507E066198}"/>
    <cellStyle name="40% - Énfasis1 75 3" xfId="21853" xr:uid="{EC69126A-75D7-4728-BD55-5FCD03037ADF}"/>
    <cellStyle name="40% - Énfasis1 75_1.2.b" xfId="15509" xr:uid="{23ED1ECB-8A40-41B9-AEAB-010085A9D16F}"/>
    <cellStyle name="40% - Énfasis1 76" xfId="13244" xr:uid="{A23CC54C-0A6E-436E-AA6E-5FB7E78FF930}"/>
    <cellStyle name="40% - Énfasis1 76 2" xfId="17238" xr:uid="{AE7937AE-E82C-4E82-8D0F-B3E2B71DD84E}"/>
    <cellStyle name="40% - Énfasis1 76 2 2" xfId="23491" xr:uid="{619D3A87-0BCA-4987-932B-ACC09D21EE2A}"/>
    <cellStyle name="40% - Énfasis1 76 3" xfId="21854" xr:uid="{2230102B-C162-4AA6-80A9-1BCEB74B396D}"/>
    <cellStyle name="40% - Énfasis1 76_1.2.b" xfId="15510" xr:uid="{5E354092-B014-4E90-9E9A-E4898602F211}"/>
    <cellStyle name="40% - Énfasis1 77" xfId="13245" xr:uid="{5C085EF5-826A-41A6-B394-80F768774CF7}"/>
    <cellStyle name="40% - Énfasis1 77 2" xfId="17239" xr:uid="{51A7F838-705E-4043-A606-29AB50FD7F41}"/>
    <cellStyle name="40% - Énfasis1 77 2 2" xfId="23492" xr:uid="{33727A29-F3F0-4DA8-B916-5F9590B8E756}"/>
    <cellStyle name="40% - Énfasis1 77 3" xfId="21855" xr:uid="{4F0DCC8F-6372-417D-AB53-44F13F249BB6}"/>
    <cellStyle name="40% - Énfasis1 77_1.2.b" xfId="15511" xr:uid="{E37C3F71-008F-4806-BF14-3425641F2CE5}"/>
    <cellStyle name="40% - Énfasis1 78" xfId="13246" xr:uid="{DF565A1E-B2C4-4F5C-AC15-E2B0D47BEA7F}"/>
    <cellStyle name="40% - Énfasis1 78 2" xfId="17240" xr:uid="{E656877C-1E05-47B6-A8CE-C0CD75DDEAD5}"/>
    <cellStyle name="40% - Énfasis1 78 2 2" xfId="23493" xr:uid="{5F9E0637-6DB2-420F-BDA6-D8F46488A0BA}"/>
    <cellStyle name="40% - Énfasis1 78 3" xfId="21856" xr:uid="{80C7D8F6-361A-4D21-A41F-B62D59964D83}"/>
    <cellStyle name="40% - Énfasis1 78_1.2.b" xfId="15512" xr:uid="{9DBE1CE3-3694-49FB-8B80-33B3C876DC61}"/>
    <cellStyle name="40% - Énfasis1 79" xfId="13247" xr:uid="{1517E9B3-D1CB-40FE-AB8F-C740DFDE83BB}"/>
    <cellStyle name="40% - Énfasis1 79 2" xfId="17241" xr:uid="{33DB5398-5873-43F1-A156-52767E52C7D3}"/>
    <cellStyle name="40% - Énfasis1 79 2 2" xfId="23494" xr:uid="{71AB0DCB-132E-4610-AFE5-BC879F52E4B6}"/>
    <cellStyle name="40% - Énfasis1 79 3" xfId="21857" xr:uid="{E84360C8-1838-4F99-BF69-0A7AA51B4A85}"/>
    <cellStyle name="40% - Énfasis1 79_1.2.b" xfId="15513" xr:uid="{C23DD919-035E-4704-BF96-BB75713960FB}"/>
    <cellStyle name="40% - Énfasis1 8" xfId="9847" xr:uid="{00000000-0005-0000-0000-0000C8000000}"/>
    <cellStyle name="40% - Énfasis1 8 2" xfId="11632" xr:uid="{00000000-0005-0000-0000-0000C9000000}"/>
    <cellStyle name="40% - Énfasis1 8 2 2" xfId="20399" xr:uid="{D822C9F8-95A6-4626-B283-3CDD89E9032E}"/>
    <cellStyle name="40% - Énfasis1 8 3" xfId="13248" xr:uid="{A9BCAB65-C255-49B9-A361-748EB8192D4E}"/>
    <cellStyle name="40% - Énfasis1 8 3 2" xfId="21858" xr:uid="{4857F572-210C-4F9D-97B6-190964C9B47E}"/>
    <cellStyle name="40% - Énfasis1 8 4" xfId="17242" xr:uid="{5238E30F-5190-4699-A6C9-EC68149369AC}"/>
    <cellStyle name="40% - Énfasis1 8 4 2" xfId="23495" xr:uid="{649A916C-66C5-4498-BFCE-EF55DA68DEE3}"/>
    <cellStyle name="40% - Énfasis1 8 5" xfId="19031" xr:uid="{63A7593F-0D92-44E8-B373-1E4028EFB119}"/>
    <cellStyle name="40% - Énfasis1 8_1.2.b" xfId="15514" xr:uid="{6C1B0FEA-A627-439A-A706-303A0D0E2A60}"/>
    <cellStyle name="40% - Énfasis1 80" xfId="13249" xr:uid="{2C355BAA-E411-49D6-BA19-6F8EAAD2E16C}"/>
    <cellStyle name="40% - Énfasis1 80 2" xfId="17243" xr:uid="{74872A6A-D13C-4711-993C-B73AECE7F2B5}"/>
    <cellStyle name="40% - Énfasis1 80 2 2" xfId="23496" xr:uid="{D1CFFB9B-533C-4FC9-AE59-DBBF7DAD980B}"/>
    <cellStyle name="40% - Énfasis1 80 3" xfId="21859" xr:uid="{AEDC72D2-798D-4AFC-B7E6-DD704059C0F2}"/>
    <cellStyle name="40% - Énfasis1 80_1.2.b" xfId="15515" xr:uid="{92AF059C-2E08-4A7C-8D1A-BF8592E77CB2}"/>
    <cellStyle name="40% - Énfasis1 81" xfId="13250" xr:uid="{373AA07A-800C-4E54-923A-5550E23CDC01}"/>
    <cellStyle name="40% - Énfasis1 81 2" xfId="17244" xr:uid="{4E20DFB2-EB4F-436A-99FC-FD6E6021AD67}"/>
    <cellStyle name="40% - Énfasis1 81 2 2" xfId="23497" xr:uid="{87E4025B-1A1F-4C65-B563-35B8ED83EEA8}"/>
    <cellStyle name="40% - Énfasis1 81 3" xfId="21860" xr:uid="{C27D9F95-6BEF-4AC3-9DEA-A63840207278}"/>
    <cellStyle name="40% - Énfasis1 81_1.2.b" xfId="15516" xr:uid="{0F85EAB6-E5F6-43C1-8A37-F88E972BE991}"/>
    <cellStyle name="40% - Énfasis1 82" xfId="13251" xr:uid="{6EED40A7-E0B2-409B-A8AD-AA488D96E679}"/>
    <cellStyle name="40% - Énfasis1 82 2" xfId="17245" xr:uid="{199759BE-39E3-4F33-803A-B1665BA04979}"/>
    <cellStyle name="40% - Énfasis1 82 2 2" xfId="23498" xr:uid="{061CA39A-355E-439D-B11E-95E5066949F1}"/>
    <cellStyle name="40% - Énfasis1 82 3" xfId="21861" xr:uid="{9A27D704-92FC-47B0-B794-11030B6FA4F2}"/>
    <cellStyle name="40% - Énfasis1 82_1.2.b" xfId="15517" xr:uid="{66493F14-3726-4EB2-A7C6-ABA504B8B53E}"/>
    <cellStyle name="40% - Énfasis1 83" xfId="13252" xr:uid="{A2C643C9-9906-4D21-B623-CC9458EA9014}"/>
    <cellStyle name="40% - Énfasis1 83 2" xfId="17246" xr:uid="{71DF78CA-4A9F-48EC-82F7-882426601BA5}"/>
    <cellStyle name="40% - Énfasis1 83 2 2" xfId="23499" xr:uid="{F7E31C0D-5D46-4A81-B60A-B6D85F51BE64}"/>
    <cellStyle name="40% - Énfasis1 83 3" xfId="21862" xr:uid="{4E58F4D9-3C4B-4C43-938E-192AA8A9BE05}"/>
    <cellStyle name="40% - Énfasis1 83_1.2.b" xfId="15518" xr:uid="{1152E6EB-A279-4DBC-A822-10EF0720FA5B}"/>
    <cellStyle name="40% - Énfasis1 84" xfId="13253" xr:uid="{19CA64CA-E040-4213-87C0-39FFE1204E93}"/>
    <cellStyle name="40% - Énfasis1 84 2" xfId="17247" xr:uid="{E12212B4-949C-4E97-8968-9F5EAD6CA4F2}"/>
    <cellStyle name="40% - Énfasis1 84 2 2" xfId="23500" xr:uid="{098A3633-7F42-40EB-ADDD-8290DA3E586A}"/>
    <cellStyle name="40% - Énfasis1 84 3" xfId="21863" xr:uid="{D508FF8E-BDCD-4F06-BE41-456774278A86}"/>
    <cellStyle name="40% - Énfasis1 84_1.2.b" xfId="15519" xr:uid="{77EB5B83-B161-48FE-A25D-B78023BBE731}"/>
    <cellStyle name="40% - Énfasis1 85" xfId="13254" xr:uid="{DE853CB6-E249-4850-BD83-8A9D5DD7BF03}"/>
    <cellStyle name="40% - Énfasis1 85 2" xfId="17248" xr:uid="{E89874EE-D974-4ABC-8C52-01BAEFE51D83}"/>
    <cellStyle name="40% - Énfasis1 85 2 2" xfId="23501" xr:uid="{A943A607-7984-4B61-B2DF-A4E56AB6F4BE}"/>
    <cellStyle name="40% - Énfasis1 85 3" xfId="21864" xr:uid="{400A5CA1-2110-4423-9FBC-ED54D33167A7}"/>
    <cellStyle name="40% - Énfasis1 85_1.2.b" xfId="15520" xr:uid="{4C4899C7-E257-4DCC-A851-6E8D58DAD1A1}"/>
    <cellStyle name="40% - Énfasis1 86" xfId="13255" xr:uid="{FF167E39-6A4A-4543-AE0C-E60EED4B0EE0}"/>
    <cellStyle name="40% - Énfasis1 86 2" xfId="17249" xr:uid="{4A911960-0E0A-428E-A4E4-55FFF194360F}"/>
    <cellStyle name="40% - Énfasis1 86 2 2" xfId="23502" xr:uid="{5304F609-9C6A-444F-A3AF-DF6E6A7CAA94}"/>
    <cellStyle name="40% - Énfasis1 86 3" xfId="21865" xr:uid="{4CBF95AD-4322-449F-81F6-F6DDABEDEDED}"/>
    <cellStyle name="40% - Énfasis1 86_1.2.b" xfId="15521" xr:uid="{1536E6C7-0C32-43F9-B89C-9BF113DC0BC2}"/>
    <cellStyle name="40% - Énfasis1 87" xfId="13256" xr:uid="{16375521-DE94-4C39-A10C-8974CAA943EF}"/>
    <cellStyle name="40% - Énfasis1 87 2" xfId="17250" xr:uid="{15A76E18-7891-4E08-8C82-855B4C168154}"/>
    <cellStyle name="40% - Énfasis1 87 2 2" xfId="23503" xr:uid="{51F5B732-D5EE-439B-84A6-BBA9DAD47584}"/>
    <cellStyle name="40% - Énfasis1 87 3" xfId="21866" xr:uid="{040D12EE-26DA-4B6A-B4E0-C250749DE257}"/>
    <cellStyle name="40% - Énfasis1 87_1.2.b" xfId="15522" xr:uid="{A291C3CD-9569-4EAE-BE06-1D3D52D9BA1B}"/>
    <cellStyle name="40% - Énfasis1 88" xfId="13257" xr:uid="{CCA38367-629B-49BD-8CEF-270F1C9C9B74}"/>
    <cellStyle name="40% - Énfasis1 88 2" xfId="17251" xr:uid="{827F0116-9281-4D3D-AB77-F8C1B061B366}"/>
    <cellStyle name="40% - Énfasis1 88 2 2" xfId="23504" xr:uid="{E3DE9218-F0FF-4B4C-BF13-EC9F4754D158}"/>
    <cellStyle name="40% - Énfasis1 88 3" xfId="21867" xr:uid="{A1748602-A1DB-4979-A76D-BA81A3684CF0}"/>
    <cellStyle name="40% - Énfasis1 88_1.2.b" xfId="15523" xr:uid="{E3452338-591B-4BAB-B682-D899627419AA}"/>
    <cellStyle name="40% - Énfasis1 89" xfId="13258" xr:uid="{3E1E8C23-7BBC-4099-BE94-662B60BEC6A8}"/>
    <cellStyle name="40% - Énfasis1 89 2" xfId="17252" xr:uid="{F6820E10-B0D3-4ACE-B017-AE179B021F53}"/>
    <cellStyle name="40% - Énfasis1 89 2 2" xfId="23505" xr:uid="{92F92D3D-FA4E-485E-9552-6E276B90E83A}"/>
    <cellStyle name="40% - Énfasis1 89 3" xfId="21868" xr:uid="{5488D8B6-8219-452F-987E-C80D74687F14}"/>
    <cellStyle name="40% - Énfasis1 89_1.2.b" xfId="15524" xr:uid="{6C45FE22-EA2B-4A4E-97BD-4D2472F9B503}"/>
    <cellStyle name="40% - Énfasis1 9" xfId="9871" xr:uid="{00000000-0005-0000-0000-0000CA000000}"/>
    <cellStyle name="40% - Énfasis1 9 2" xfId="13259" xr:uid="{576381C8-2AB6-4786-9F64-9A82101FA02F}"/>
    <cellStyle name="40% - Énfasis1 9 2 2" xfId="21869" xr:uid="{7ACCCC2F-2E6E-4825-9208-9B68D419571E}"/>
    <cellStyle name="40% - Énfasis1 9 3" xfId="17253" xr:uid="{69C90641-348A-4B1F-B0E5-A79F1CE07626}"/>
    <cellStyle name="40% - Énfasis1 9 3 2" xfId="23506" xr:uid="{2F1DBCDB-EE7A-408E-9945-FB25FAD6C53F}"/>
    <cellStyle name="40% - Énfasis1 90" xfId="13260" xr:uid="{AF99499C-ACEB-4DB1-BC13-5C93E5513C0C}"/>
    <cellStyle name="40% - Énfasis1 90 2" xfId="17254" xr:uid="{FD4129E5-1F07-494F-BB6B-90B92C82A8CB}"/>
    <cellStyle name="40% - Énfasis1 90 2 2" xfId="23507" xr:uid="{B88C388A-6BD1-4E86-88F7-81F46FD6FBAB}"/>
    <cellStyle name="40% - Énfasis1 90 3" xfId="21870" xr:uid="{F9961353-F555-4A01-8657-856B8A8667B5}"/>
    <cellStyle name="40% - Énfasis1 90_1.2.b" xfId="15525" xr:uid="{90ED436C-79A8-4729-9E34-9486F1DBBCB1}"/>
    <cellStyle name="40% - Énfasis1 91" xfId="13261" xr:uid="{953AD8E6-BAD3-4CE8-A884-2E1B4B874ABC}"/>
    <cellStyle name="40% - Énfasis1 91 2" xfId="17255" xr:uid="{5320C238-E2A9-4248-BE0F-B23941CCB62C}"/>
    <cellStyle name="40% - Énfasis1 91 2 2" xfId="23508" xr:uid="{550CC541-DB20-4457-B548-77D847F3F436}"/>
    <cellStyle name="40% - Énfasis1 91 3" xfId="21871" xr:uid="{63EFF876-38ED-4CE8-A4D9-C1AA20066BA4}"/>
    <cellStyle name="40% - Énfasis1 91_1.2.b" xfId="15526" xr:uid="{9C395A97-490B-45E5-902F-0046CE9B307B}"/>
    <cellStyle name="40% - Énfasis1 92" xfId="13262" xr:uid="{07039C13-658B-454A-8FCB-8CF82208A6CC}"/>
    <cellStyle name="40% - Énfasis1 92 2" xfId="17256" xr:uid="{20071209-1785-4B95-B2C4-2376AEA9BB46}"/>
    <cellStyle name="40% - Énfasis1 92 2 2" xfId="23509" xr:uid="{E34CC233-6340-41FC-AB55-B799D5D312CD}"/>
    <cellStyle name="40% - Énfasis1 92 3" xfId="21872" xr:uid="{E00893A1-0327-4ADE-89EE-BB77CA79313D}"/>
    <cellStyle name="40% - Énfasis1 92_1.2.b" xfId="15527" xr:uid="{0FA243E0-89C3-467B-BD6E-73AE772EACAF}"/>
    <cellStyle name="40% - Énfasis1 93" xfId="13263" xr:uid="{E6C0A0D7-28F7-4F95-9F01-8BC74E314D3A}"/>
    <cellStyle name="40% - Énfasis1 93 2" xfId="17257" xr:uid="{6697CB59-081B-43FC-B0A1-428233386427}"/>
    <cellStyle name="40% - Énfasis1 93 2 2" xfId="23510" xr:uid="{E415C20C-D0DA-4338-9B6E-3A527CB94C04}"/>
    <cellStyle name="40% - Énfasis1 93 3" xfId="21873" xr:uid="{16E268DF-10EF-4794-8748-A7E31A578A10}"/>
    <cellStyle name="40% - Énfasis1 93_1.2.b" xfId="15528" xr:uid="{D79DB67C-4D0D-4F41-B941-A942F350A321}"/>
    <cellStyle name="40% - Énfasis1 94" xfId="13264" xr:uid="{DA8821EF-1950-4C7E-A076-2D590D03ABE3}"/>
    <cellStyle name="40% - Énfasis1 94 2" xfId="17258" xr:uid="{A3452D5B-7187-44FD-94F5-29D0301641F8}"/>
    <cellStyle name="40% - Énfasis1 94 2 2" xfId="23511" xr:uid="{E9A6E722-D70F-46FC-8319-6E747CDB2C99}"/>
    <cellStyle name="40% - Énfasis1 94 3" xfId="21874" xr:uid="{5F449B70-6E3B-4CCD-92E7-2714B2735720}"/>
    <cellStyle name="40% - Énfasis1 94_1.2.b" xfId="15529" xr:uid="{1EB88BF8-AC91-4AA8-8D31-2DDBCA717690}"/>
    <cellStyle name="40% - Énfasis1 95" xfId="13265" xr:uid="{F7ABB7FF-8F65-4F6D-A38E-42AB7073DD9C}"/>
    <cellStyle name="40% - Énfasis1 95 2" xfId="17259" xr:uid="{21F2DF71-7DAC-44A0-853D-55E365C6F446}"/>
    <cellStyle name="40% - Énfasis1 95 2 2" xfId="23512" xr:uid="{CD590205-EBA3-441B-9239-A9E86E9DB145}"/>
    <cellStyle name="40% - Énfasis1 95 3" xfId="21875" xr:uid="{782C93FD-96C1-4A76-A515-12C05691488E}"/>
    <cellStyle name="40% - Énfasis1 95_1.2.b" xfId="15530" xr:uid="{7B784C26-3C2A-40E6-8C64-E8BA9477B973}"/>
    <cellStyle name="40% - Énfasis1 96" xfId="13266" xr:uid="{F7C6299E-ADA7-4E03-B295-42D4183EE2D3}"/>
    <cellStyle name="40% - Énfasis1 96 2" xfId="17260" xr:uid="{48BE3AA2-43CC-4204-AF6D-0F0A8AC31321}"/>
    <cellStyle name="40% - Énfasis1 96 2 2" xfId="23513" xr:uid="{553DDBE1-CF09-452C-B791-BE597F8280D4}"/>
    <cellStyle name="40% - Énfasis1 96 3" xfId="21876" xr:uid="{E912EC06-FDD8-492D-8ED0-DD2ABA65C3F7}"/>
    <cellStyle name="40% - Énfasis1 96_1.2.b" xfId="15531" xr:uid="{763FA8EE-87B8-4D3A-8DFC-9F1D6C886DEF}"/>
    <cellStyle name="40% - Énfasis2 10" xfId="9919" xr:uid="{00000000-0005-0000-0000-0000CC000000}"/>
    <cellStyle name="40% - Énfasis2 10 2" xfId="11656" xr:uid="{00000000-0005-0000-0000-0000CD000000}"/>
    <cellStyle name="40% - Énfasis2 10 2 2" xfId="20422" xr:uid="{9F42D33B-2CAD-4D34-A151-1B913EFE7C34}"/>
    <cellStyle name="40% - Énfasis2 10 3" xfId="13267" xr:uid="{201CD6EC-C940-494B-B1A3-82C2721AB05D}"/>
    <cellStyle name="40% - Énfasis2 10 3 2" xfId="21877" xr:uid="{E438C76D-8B97-47FF-A7E6-268242D028AB}"/>
    <cellStyle name="40% - Énfasis2 10 4" xfId="17261" xr:uid="{47D42E9F-FC68-434F-A355-000BF837196D}"/>
    <cellStyle name="40% - Énfasis2 10 4 2" xfId="23514" xr:uid="{C0A0A6AA-AB5F-4DBC-BC8A-5262B62EFC4D}"/>
    <cellStyle name="40% - Énfasis2 10 5" xfId="19059" xr:uid="{03AD4894-6B8B-49B9-A875-B2E9357EA930}"/>
    <cellStyle name="40% - Énfasis2 10_1.2.b" xfId="15532" xr:uid="{AFDB6281-0081-487E-B581-00FDE67BFFCE}"/>
    <cellStyle name="40% - Énfasis2 11" xfId="9949" xr:uid="{00000000-0005-0000-0000-0000CE000000}"/>
    <cellStyle name="40% - Énfasis2 11 2" xfId="11685" xr:uid="{00000000-0005-0000-0000-0000CF000000}"/>
    <cellStyle name="40% - Énfasis2 11 2 2" xfId="20441" xr:uid="{195D3CA4-76F0-4AAE-BFF3-BE732BB7A079}"/>
    <cellStyle name="40% - Énfasis2 11 3" xfId="13268" xr:uid="{9C98E01C-E73F-4A63-B5B9-2545BEE1395C}"/>
    <cellStyle name="40% - Énfasis2 11 3 2" xfId="21878" xr:uid="{561BC72A-0D75-4595-A531-091E260119AD}"/>
    <cellStyle name="40% - Énfasis2 11 4" xfId="17262" xr:uid="{5A3FC03B-1FCB-4D96-AA8D-40A7E3CACAC4}"/>
    <cellStyle name="40% - Énfasis2 11 4 2" xfId="23515" xr:uid="{BE2B7434-5A2E-49C1-B3B4-A46114156035}"/>
    <cellStyle name="40% - Énfasis2 11 5" xfId="19078" xr:uid="{6906ACAC-8ECC-408B-880E-EF9AA9EAC678}"/>
    <cellStyle name="40% - Énfasis2 11_1.2.b" xfId="15533" xr:uid="{C3E00ED0-4F9F-4898-A910-47AA91051247}"/>
    <cellStyle name="40% - Énfasis2 12" xfId="10534" xr:uid="{00000000-0005-0000-0000-0000D0000000}"/>
    <cellStyle name="40% - Énfasis2 12 2" xfId="12269" xr:uid="{00000000-0005-0000-0000-0000D1000000}"/>
    <cellStyle name="40% - Énfasis2 12 2 2" xfId="21018" xr:uid="{EB07D470-D369-4D00-BADB-F52B114BD535}"/>
    <cellStyle name="40% - Énfasis2 12 3" xfId="13269" xr:uid="{50515E25-F0B2-44D6-B0D4-8C6BEFC3784A}"/>
    <cellStyle name="40% - Énfasis2 12 3 2" xfId="21879" xr:uid="{C02A8185-F867-4AA2-B55A-22D1D89C1B86}"/>
    <cellStyle name="40% - Énfasis2 12 4" xfId="17263" xr:uid="{972FBABA-A57E-4D35-92C3-B884D8A1BABC}"/>
    <cellStyle name="40% - Énfasis2 12 4 2" xfId="23516" xr:uid="{1627D9AD-41D7-4ECE-AD2C-02DD2BDE2A09}"/>
    <cellStyle name="40% - Énfasis2 12 5" xfId="19655" xr:uid="{14CBFE83-379A-4769-8DCE-411CE44A651D}"/>
    <cellStyle name="40% - Énfasis2 12_1.2.b" xfId="15534" xr:uid="{96361F80-A897-47EB-9807-DC465FFBA91A}"/>
    <cellStyle name="40% - Énfasis2 13" xfId="10581" xr:uid="{00000000-0005-0000-0000-0000D2000000}"/>
    <cellStyle name="40% - Énfasis2 13 2" xfId="12314" xr:uid="{00000000-0005-0000-0000-0000D3000000}"/>
    <cellStyle name="40% - Énfasis2 13 2 2" xfId="21060" xr:uid="{CC960766-F6DE-4FA5-B9C6-1DB634CB67C2}"/>
    <cellStyle name="40% - Énfasis2 13 3" xfId="13270" xr:uid="{D18022AD-7D8D-4C2A-8515-E1A43136AED6}"/>
    <cellStyle name="40% - Énfasis2 13 3 2" xfId="21880" xr:uid="{53C07603-13F3-4DE2-840D-2A16431A6EF7}"/>
    <cellStyle name="40% - Énfasis2 13 4" xfId="17264" xr:uid="{FF4F17C5-6A89-4476-8D46-7804374B6EE8}"/>
    <cellStyle name="40% - Énfasis2 13 4 2" xfId="23517" xr:uid="{E7F91C81-31D8-4EC4-B65F-5F13BAFC46E0}"/>
    <cellStyle name="40% - Énfasis2 13 5" xfId="19697" xr:uid="{9C79878D-9DBA-42F8-988C-E2785D89A777}"/>
    <cellStyle name="40% - Énfasis2 13_1.2.b" xfId="15535" xr:uid="{ADC145DE-DE2C-4124-9EE1-AD294FF10B4F}"/>
    <cellStyle name="40% - Énfasis2 14" xfId="10601" xr:uid="{00000000-0005-0000-0000-0000D4000000}"/>
    <cellStyle name="40% - Énfasis2 14 2" xfId="12330" xr:uid="{00000000-0005-0000-0000-0000D5000000}"/>
    <cellStyle name="40% - Énfasis2 14 2 2" xfId="21076" xr:uid="{A370CBD1-0196-4E10-B0F8-60CD6E68718C}"/>
    <cellStyle name="40% - Énfasis2 14 3" xfId="13271" xr:uid="{057B22AB-16D1-4BB5-9D94-1640B52A2C85}"/>
    <cellStyle name="40% - Énfasis2 14 3 2" xfId="21881" xr:uid="{2D7B5122-B4FD-4348-8748-86389CA87D4C}"/>
    <cellStyle name="40% - Énfasis2 14 4" xfId="17265" xr:uid="{395D355E-EB65-40D3-9183-2F746C263D9E}"/>
    <cellStyle name="40% - Énfasis2 14 4 2" xfId="23518" xr:uid="{8998BAC3-9169-4389-BD02-62C56FBF9380}"/>
    <cellStyle name="40% - Énfasis2 14 5" xfId="19713" xr:uid="{2A29D498-6BCF-4AD5-966A-F4E25EC42C0B}"/>
    <cellStyle name="40% - Énfasis2 14_1.2.b" xfId="15536" xr:uid="{BC369909-D340-4D6C-ADCE-FF1FF2F70AFF}"/>
    <cellStyle name="40% - Énfasis2 15" xfId="10622" xr:uid="{00000000-0005-0000-0000-0000D6000000}"/>
    <cellStyle name="40% - Énfasis2 15 2" xfId="13272" xr:uid="{A928F660-2FD4-437E-9012-B0BF2CF4FFC9}"/>
    <cellStyle name="40% - Énfasis2 15 2 2" xfId="21882" xr:uid="{C3B70C7C-8E59-4F7B-90F7-0442DE76325A}"/>
    <cellStyle name="40% - Énfasis2 15 3" xfId="17266" xr:uid="{99A4CDED-D339-4664-B126-87851479FE36}"/>
    <cellStyle name="40% - Énfasis2 15 3 2" xfId="23519" xr:uid="{40C5701D-1C58-457D-A88C-9B20076DBCB2}"/>
    <cellStyle name="40% - Énfasis2 15 4" xfId="19730" xr:uid="{6A68B5AA-426C-4E35-A17B-897D0897413E}"/>
    <cellStyle name="40% - Énfasis2 15_1.2.b" xfId="15537" xr:uid="{DA29ED17-3501-4137-8AD3-9FA4315442DD}"/>
    <cellStyle name="40% - Énfasis2 16" xfId="12363" xr:uid="{00000000-0005-0000-0000-0000D7000000}"/>
    <cellStyle name="40% - Énfasis2 16 2" xfId="13273" xr:uid="{ED874757-9067-449E-B0F4-0DED8C0BF4A7}"/>
    <cellStyle name="40% - Énfasis2 16 2 2" xfId="21883" xr:uid="{A26F1DBA-7602-464E-8E51-40325841233D}"/>
    <cellStyle name="40% - Énfasis2 16 3" xfId="17267" xr:uid="{882AD6F7-F0B7-4856-822F-43B8B09691A5}"/>
    <cellStyle name="40% - Énfasis2 16 3 2" xfId="23520" xr:uid="{00F28690-568D-457F-B0CF-2346624A59D2}"/>
    <cellStyle name="40% - Énfasis2 16 4" xfId="21106" xr:uid="{C012904A-D962-45FA-A808-AE4702E8569E}"/>
    <cellStyle name="40% - Énfasis2 16_1.2.b" xfId="15538" xr:uid="{8E11973C-0F57-40C9-9C16-B27C18572D40}"/>
    <cellStyle name="40% - Énfasis2 17" xfId="12378" xr:uid="{00000000-0005-0000-0000-0000D8000000}"/>
    <cellStyle name="40% - Énfasis2 17 2" xfId="13274" xr:uid="{4469125D-A7A4-4D75-8C9C-206E60932081}"/>
    <cellStyle name="40% - Énfasis2 17 2 2" xfId="21884" xr:uid="{F24FD70E-5896-4DA5-AC6F-27DD22DBFC32}"/>
    <cellStyle name="40% - Énfasis2 17 3" xfId="17268" xr:uid="{996268A6-1553-45DC-AF4D-03DFA574C26A}"/>
    <cellStyle name="40% - Énfasis2 17 3 2" xfId="23521" xr:uid="{ACE2E601-22B7-4651-A7E0-C9575B7575F7}"/>
    <cellStyle name="40% - Énfasis2 17 4" xfId="21121" xr:uid="{7B3F4FA7-6BA3-43F1-86D5-5F424F1A3FA5}"/>
    <cellStyle name="40% - Énfasis2 17_1.2.b" xfId="15539" xr:uid="{C597BE77-8717-4525-86F1-C2018FEB9393}"/>
    <cellStyle name="40% - Énfasis2 18" xfId="13275" xr:uid="{84BDB3AA-095B-4651-8E32-A4F6DB5F5EC0}"/>
    <cellStyle name="40% - Énfasis2 18 2" xfId="17269" xr:uid="{FAF294E5-E8E6-4C76-830F-79291C0EC192}"/>
    <cellStyle name="40% - Énfasis2 18 2 2" xfId="23522" xr:uid="{1EAB5DD5-9E0C-460F-8FC8-A6A1DCDDCA34}"/>
    <cellStyle name="40% - Énfasis2 18 3" xfId="21885" xr:uid="{85C54E63-CAAD-47DE-8041-A7C2C7872486}"/>
    <cellStyle name="40% - Énfasis2 18_1.2.b" xfId="15540" xr:uid="{2B0A4CE4-3CE0-4656-8D69-DF1632883A47}"/>
    <cellStyle name="40% - Énfasis2 19" xfId="13276" xr:uid="{72F1FAF6-B9E5-4537-BEAA-A38811ADA0A6}"/>
    <cellStyle name="40% - Énfasis2 19 2" xfId="17270" xr:uid="{D18ED2DC-C7FA-44EE-A8C9-03CA8CE56916}"/>
    <cellStyle name="40% - Énfasis2 19 2 2" xfId="23523" xr:uid="{8D4B822F-100E-4D64-B711-8E80852B0E12}"/>
    <cellStyle name="40% - Énfasis2 19 3" xfId="21886" xr:uid="{7ABC76A9-4470-4ABD-9253-89D897B4303D}"/>
    <cellStyle name="40% - Énfasis2 19_1.2.b" xfId="15541" xr:uid="{0CEF8782-BCF0-46C7-AF1E-F42439C0A9E3}"/>
    <cellStyle name="40% - Énfasis2 2" xfId="149" xr:uid="{00000000-0005-0000-0000-0000D9000000}"/>
    <cellStyle name="40% - Énfasis2 2 10" xfId="13278" xr:uid="{CD4C3E94-1B1E-4984-AA16-FD620DA57A83}"/>
    <cellStyle name="40% - Énfasis2 2 10 2" xfId="17272" xr:uid="{1F73985F-C060-48A7-A44A-CF909048619E}"/>
    <cellStyle name="40% - Énfasis2 2 10 2 2" xfId="23524" xr:uid="{95F86217-012D-4BEF-8FAF-7827E117BC27}"/>
    <cellStyle name="40% - Énfasis2 2 10 3" xfId="21887" xr:uid="{33778916-2A2B-4219-BA3F-E119CCD7267F}"/>
    <cellStyle name="40% - Énfasis2 2 10_1.2.b" xfId="15543" xr:uid="{906D881C-6A39-4C0E-85AA-1C75CE1A6A27}"/>
    <cellStyle name="40% - Énfasis2 2 11" xfId="13277" xr:uid="{A93D53A3-8CB7-4C62-BFA9-65D6C685A13C}"/>
    <cellStyle name="40% - Énfasis2 2 12" xfId="17271" xr:uid="{832F2FB1-9BC5-4ED6-BDF5-B4B7AEFE2484}"/>
    <cellStyle name="40% - Énfasis2 2 13" xfId="16634" xr:uid="{9E231348-5928-4DBB-9C00-013BA9A3A46E}"/>
    <cellStyle name="40% - Énfasis2 2 14" xfId="18205" xr:uid="{C2B02F3E-A735-415A-ABFB-6D6D94B547B5}"/>
    <cellStyle name="40% - Énfasis2 2 15" xfId="16748" xr:uid="{0A05B867-8E18-4D5F-AF80-8B33E1870805}"/>
    <cellStyle name="40% - Énfasis2 2 16" xfId="18207" xr:uid="{5153547B-95AB-4F2C-A5B3-2DC585923413}"/>
    <cellStyle name="40% - Énfasis2 2 17" xfId="18393" xr:uid="{2FE2A8CA-CD7D-4C46-A881-7EA0162BE305}"/>
    <cellStyle name="40% - Énfasis2 2 2" xfId="10669" xr:uid="{00000000-0005-0000-0000-0000DA000000}"/>
    <cellStyle name="40% - Énfasis2 2 2 2" xfId="13280" xr:uid="{48AB7C36-E49A-4BF0-8AC6-95969CA425AB}"/>
    <cellStyle name="40% - Énfasis2 2 2 3" xfId="13281" xr:uid="{C221D2C3-96F2-4666-80B2-7FDAD6A60263}"/>
    <cellStyle name="40% - Énfasis2 2 2 4" xfId="13282" xr:uid="{114F1DFC-956C-4413-9A7A-F6BF570889D2}"/>
    <cellStyle name="40% - Énfasis2 2 2 5" xfId="13283" xr:uid="{8D8363D0-41B0-4FCB-AC09-99FA781AEE3C}"/>
    <cellStyle name="40% - Énfasis2 2 2 6" xfId="13279" xr:uid="{C01BD5F5-D05B-4737-815A-744B8733387E}"/>
    <cellStyle name="40% - Énfasis2 2 2 6 2" xfId="21888" xr:uid="{1148DC59-527C-4239-A5BD-8ABD8C88E309}"/>
    <cellStyle name="40% - Énfasis2 2 2 7" xfId="17273" xr:uid="{A9F8B559-D45C-4629-B266-CDE66D508642}"/>
    <cellStyle name="40% - Énfasis2 2 2 7 2" xfId="23525" xr:uid="{49C25CCD-1BED-4DA1-B8E0-7756E781348A}"/>
    <cellStyle name="40% - Énfasis2 2 2 8" xfId="19761" xr:uid="{2249C939-07D4-424A-9CB8-8448F577D64A}"/>
    <cellStyle name="40% - Énfasis2 2 2_1.2.b" xfId="15544" xr:uid="{4A788C52-DACA-49FA-8A3C-2BAB9B12F00D}"/>
    <cellStyle name="40% - Énfasis2 2 3" xfId="13284" xr:uid="{FD5FE55E-3B26-4E51-B441-DA2683DB6E10}"/>
    <cellStyle name="40% - Énfasis2 2 4" xfId="13285" xr:uid="{A12603DE-502E-4CDA-B968-4191B139FC41}"/>
    <cellStyle name="40% - Énfasis2 2 5" xfId="13286" xr:uid="{A1E3C0B5-98EF-4CCF-B8E5-769E4FA32D7D}"/>
    <cellStyle name="40% - Énfasis2 2 6" xfId="13287" xr:uid="{1A051963-1F28-4539-8288-0BAE82630F02}"/>
    <cellStyle name="40% - Énfasis2 2 7" xfId="13288" xr:uid="{8F97D0F8-C2AF-4735-BE3D-73C69C783365}"/>
    <cellStyle name="40% - Énfasis2 2 8" xfId="13289" xr:uid="{73B62B7C-2092-4C79-A933-8A94656AF7A9}"/>
    <cellStyle name="40% - Énfasis2 2 9" xfId="13290" xr:uid="{8D82776F-0A53-4232-BB9E-F811D6514BFD}"/>
    <cellStyle name="40% - Énfasis2 2 9 2" xfId="17278" xr:uid="{FFE67EE6-3E8C-4435-9E90-0C7773E84742}"/>
    <cellStyle name="40% - Énfasis2 2 9 2 2" xfId="23526" xr:uid="{B649EC86-53CC-4492-B8A8-4103ACF2B83E}"/>
    <cellStyle name="40% - Énfasis2 2 9 3" xfId="21889" xr:uid="{FE804287-5436-47C3-BC2A-4CD2562C2C08}"/>
    <cellStyle name="40% - Énfasis2 2 9_1.2.b" xfId="15545" xr:uid="{DD3C4FCC-3597-4532-8E6A-4924E16A6698}"/>
    <cellStyle name="40% - Énfasis2 2_1.2.b" xfId="15542" xr:uid="{4BFBA9D1-B56F-4426-8577-D66EA63E43F1}"/>
    <cellStyle name="40% - Énfasis2 20" xfId="13291" xr:uid="{812C7E15-8E50-4EA1-ADA2-4D5A0BEDFD8A}"/>
    <cellStyle name="40% - Énfasis2 20 2" xfId="17279" xr:uid="{8233CB59-64E1-4441-89E3-68EAA498A73D}"/>
    <cellStyle name="40% - Énfasis2 20 2 2" xfId="23527" xr:uid="{11079E79-F137-49B7-A60D-93B092BF26DD}"/>
    <cellStyle name="40% - Énfasis2 20 3" xfId="21890" xr:uid="{D09F641B-D068-43EC-90C6-3F5BFB012B83}"/>
    <cellStyle name="40% - Énfasis2 20_1.2.b" xfId="15546" xr:uid="{EC163D37-1705-4796-A152-33CAAD36A699}"/>
    <cellStyle name="40% - Énfasis2 21" xfId="13292" xr:uid="{B7CC23D8-FEDF-471D-9C3B-17B5C902C102}"/>
    <cellStyle name="40% - Énfasis2 21 2" xfId="17280" xr:uid="{7CCCBD8B-6D08-45F1-AAD1-84C97E7F3C36}"/>
    <cellStyle name="40% - Énfasis2 21 2 2" xfId="23528" xr:uid="{AD146EFA-4637-473D-A9B8-EA80F1137011}"/>
    <cellStyle name="40% - Énfasis2 21 3" xfId="21891" xr:uid="{93167919-2DDE-4E2E-A309-B92B9325AB1A}"/>
    <cellStyle name="40% - Énfasis2 21_1.2.b" xfId="15547" xr:uid="{55B4EE3A-395C-4CBD-8C95-AFE5B7C23298}"/>
    <cellStyle name="40% - Énfasis2 22" xfId="13293" xr:uid="{9E07C05B-9975-4CFF-82DC-FBBE2ED3AE01}"/>
    <cellStyle name="40% - Énfasis2 22 2" xfId="17281" xr:uid="{937BD8F3-6C90-4155-8BE2-AD235DBBA765}"/>
    <cellStyle name="40% - Énfasis2 22 2 2" xfId="23529" xr:uid="{9CBB9755-C12E-447C-900E-E6CF1E5B7EBF}"/>
    <cellStyle name="40% - Énfasis2 22 3" xfId="21892" xr:uid="{2C931CCB-D766-4D77-8CDD-004775458157}"/>
    <cellStyle name="40% - Énfasis2 22_1.2.b" xfId="15548" xr:uid="{548F55B8-92AE-4175-8AF7-4813F191DDA5}"/>
    <cellStyle name="40% - Énfasis2 23" xfId="13294" xr:uid="{85D84452-A68D-4E34-A49A-87E08284197D}"/>
    <cellStyle name="40% - Énfasis2 23 2" xfId="17282" xr:uid="{F1C50348-5DFD-4D78-B17F-8958A315FECB}"/>
    <cellStyle name="40% - Énfasis2 23 2 2" xfId="23530" xr:uid="{30C03276-B204-4E52-8BFE-52895FCB5640}"/>
    <cellStyle name="40% - Énfasis2 23 3" xfId="21893" xr:uid="{9E63F1CB-F5A2-43B2-8B0D-68C10EF0E3F8}"/>
    <cellStyle name="40% - Énfasis2 23_1.2.b" xfId="15549" xr:uid="{02B0A358-BF22-4276-ADEB-B4D7BDC1B259}"/>
    <cellStyle name="40% - Énfasis2 24" xfId="13295" xr:uid="{B7D467C3-84F6-4971-9A5D-DD770F0C154F}"/>
    <cellStyle name="40% - Énfasis2 24 2" xfId="17283" xr:uid="{163AD813-975C-4FA1-8732-1024D9387EA5}"/>
    <cellStyle name="40% - Énfasis2 24 2 2" xfId="23531" xr:uid="{9E0D3F6F-9588-4FB9-8C7C-E3BDDDA93A0B}"/>
    <cellStyle name="40% - Énfasis2 24 3" xfId="21894" xr:uid="{70796A57-5AFA-4659-8444-10139F74E934}"/>
    <cellStyle name="40% - Énfasis2 24_1.2.b" xfId="15550" xr:uid="{BC5FD8AC-631E-4053-8355-AA55CD6D95B8}"/>
    <cellStyle name="40% - Énfasis2 25" xfId="13296" xr:uid="{F73CB6B5-DECA-443B-8316-1862B0CFF4B0}"/>
    <cellStyle name="40% - Énfasis2 25 2" xfId="17284" xr:uid="{CC00834C-1B72-4155-B03D-12425F2E0CFD}"/>
    <cellStyle name="40% - Énfasis2 25 2 2" xfId="23532" xr:uid="{6C906478-F748-4217-B685-CB407EBB50D2}"/>
    <cellStyle name="40% - Énfasis2 25 3" xfId="21895" xr:uid="{A6FD69F5-F880-4F30-A5A4-869C3AC2016B}"/>
    <cellStyle name="40% - Énfasis2 25_1.2.b" xfId="15551" xr:uid="{50BE249A-6819-45E4-BB43-AD4DE0067C70}"/>
    <cellStyle name="40% - Énfasis2 26" xfId="13297" xr:uid="{E05EF030-52DE-472E-BF48-65E41257CECC}"/>
    <cellStyle name="40% - Énfasis2 26 2" xfId="17285" xr:uid="{269B1C94-5E4C-400D-8F49-D85FF8EB9384}"/>
    <cellStyle name="40% - Énfasis2 26 2 2" xfId="23533" xr:uid="{A6313E6B-B932-419B-8201-F9EF4DF23EAA}"/>
    <cellStyle name="40% - Énfasis2 26 3" xfId="21896" xr:uid="{93BCDD47-C42A-40AE-BDD9-466D7F026B38}"/>
    <cellStyle name="40% - Énfasis2 26_1.2.b" xfId="15552" xr:uid="{FCB7487E-DD2C-497B-B2FA-23911A82BFAB}"/>
    <cellStyle name="40% - Énfasis2 27" xfId="13298" xr:uid="{354E300C-A2B4-4A30-BB59-8617B73086F2}"/>
    <cellStyle name="40% - Énfasis2 27 2" xfId="17286" xr:uid="{830C45D4-6461-4D29-90AE-D0746B195F1C}"/>
    <cellStyle name="40% - Énfasis2 27 2 2" xfId="23534" xr:uid="{BA77664F-5912-4922-8535-54C3250BCF33}"/>
    <cellStyle name="40% - Énfasis2 27 3" xfId="21897" xr:uid="{BCBB45B3-2199-4322-B4C3-54DA88CF0E60}"/>
    <cellStyle name="40% - Énfasis2 27_1.2.b" xfId="15553" xr:uid="{CC66A763-8AB3-4044-BAFC-399C27B4BCDB}"/>
    <cellStyle name="40% - Énfasis2 28" xfId="13299" xr:uid="{DAD1261A-3750-4D85-8CCF-528618EC6FE9}"/>
    <cellStyle name="40% - Énfasis2 28 2" xfId="17287" xr:uid="{C5177EEC-F7DA-4B5D-9445-2CD76613F841}"/>
    <cellStyle name="40% - Énfasis2 28 2 2" xfId="23535" xr:uid="{44BB4DB2-BA94-4920-87EF-23422733E147}"/>
    <cellStyle name="40% - Énfasis2 28 3" xfId="21898" xr:uid="{59B572EA-4F6E-4732-AE1D-DD52E4231B81}"/>
    <cellStyle name="40% - Énfasis2 28_1.2.b" xfId="15554" xr:uid="{D4DC6BC2-ED7B-4ACE-BAB7-46E3DE32D94F}"/>
    <cellStyle name="40% - Énfasis2 29" xfId="13300" xr:uid="{19DD4331-5912-4959-AE15-9BC3A165222F}"/>
    <cellStyle name="40% - Énfasis2 29 2" xfId="17288" xr:uid="{5393015A-515A-458A-9B9A-00D7DD493DBB}"/>
    <cellStyle name="40% - Énfasis2 29 2 2" xfId="23536" xr:uid="{0CF35B6D-4526-427A-BCEA-B8BD15DD0CD2}"/>
    <cellStyle name="40% - Énfasis2 29 3" xfId="21899" xr:uid="{9B68F2A6-ABF9-4C21-8964-0797CE86F03A}"/>
    <cellStyle name="40% - Énfasis2 29_1.2.b" xfId="15555" xr:uid="{874327BE-5635-4B01-BCFE-4B5792D29760}"/>
    <cellStyle name="40% - Énfasis2 3" xfId="163" xr:uid="{00000000-0005-0000-0000-0000DB000000}"/>
    <cellStyle name="40% - Énfasis2 3 2" xfId="10683" xr:uid="{00000000-0005-0000-0000-0000DC000000}"/>
    <cellStyle name="40% - Énfasis2 3 2 2" xfId="13302" xr:uid="{64A69C35-4111-47A6-81C6-69BBFCE62D5D}"/>
    <cellStyle name="40% - Énfasis2 3 2 2 2" xfId="21901" xr:uid="{900157B1-1CB9-4E62-AF37-8994CD38525A}"/>
    <cellStyle name="40% - Énfasis2 3 2 3" xfId="17290" xr:uid="{963AFE2F-385C-4DFC-BF04-629109E7E934}"/>
    <cellStyle name="40% - Énfasis2 3 2 3 2" xfId="23538" xr:uid="{EB7A267D-8C95-46BD-B237-F23C4BBC099A}"/>
    <cellStyle name="40% - Énfasis2 3 2 4" xfId="19775" xr:uid="{BE322CF3-2674-44F5-9E1D-80982F944282}"/>
    <cellStyle name="40% - Énfasis2 3 2_1.2.b" xfId="15557" xr:uid="{8E072306-8A63-4AF7-A8E3-2115872991FB}"/>
    <cellStyle name="40% - Énfasis2 3 3" xfId="13303" xr:uid="{6B8D20DA-404C-4CCF-A5B0-A6DAD6DD18E8}"/>
    <cellStyle name="40% - Énfasis2 3 4" xfId="13301" xr:uid="{D638F2DF-2012-4C30-9844-1DB770CA8582}"/>
    <cellStyle name="40% - Énfasis2 3 4 2" xfId="21900" xr:uid="{62BDCF49-2670-4843-A71C-1D68291BC4C2}"/>
    <cellStyle name="40% - Énfasis2 3 5" xfId="17289" xr:uid="{87013C78-2B4C-4513-9EC9-AE6F51F8340B}"/>
    <cellStyle name="40% - Énfasis2 3 5 2" xfId="23537" xr:uid="{0115D50F-0FF0-442F-B4F4-4242F73F4FF5}"/>
    <cellStyle name="40% - Énfasis2 3 6" xfId="18407" xr:uid="{2CD9DF9D-68AC-4569-893B-AF89742F579B}"/>
    <cellStyle name="40% - Énfasis2 3_1.2.b" xfId="15556" xr:uid="{41D901E5-3D45-42AD-8C47-0263440D777F}"/>
    <cellStyle name="40% - Énfasis2 30" xfId="13304" xr:uid="{6C79F409-B8B9-47C8-9065-32ECF97DD486}"/>
    <cellStyle name="40% - Énfasis2 30 2" xfId="17291" xr:uid="{1225097A-2A51-485B-A53A-1A75FC5E2B84}"/>
    <cellStyle name="40% - Énfasis2 30 2 2" xfId="23539" xr:uid="{5149C1F4-ADFA-4945-927C-7E094B361E5E}"/>
    <cellStyle name="40% - Énfasis2 30 3" xfId="21902" xr:uid="{746810F0-33D5-4667-9EF8-9983B0AD50BA}"/>
    <cellStyle name="40% - Énfasis2 30_1.2.b" xfId="15558" xr:uid="{410A3B58-6F0A-4E1C-9F0A-70A09E71071C}"/>
    <cellStyle name="40% - Énfasis2 31" xfId="13305" xr:uid="{6AD39C7A-CE39-4221-8392-96888DFBF46D}"/>
    <cellStyle name="40% - Énfasis2 31 2" xfId="17292" xr:uid="{B0138C5D-04F2-4847-8C9B-12761E4431D0}"/>
    <cellStyle name="40% - Énfasis2 31 2 2" xfId="23540" xr:uid="{65F0A479-6300-465A-AEE7-DCCD0E2EDBB4}"/>
    <cellStyle name="40% - Énfasis2 31 3" xfId="21903" xr:uid="{CCA2C763-2B94-471A-9162-85183A33731C}"/>
    <cellStyle name="40% - Énfasis2 31_1.2.b" xfId="15559" xr:uid="{12519ECD-ABF9-4E32-8849-F40E99402025}"/>
    <cellStyle name="40% - Énfasis2 32" xfId="13306" xr:uid="{9FF5CCF9-3662-4518-A614-74E026C45682}"/>
    <cellStyle name="40% - Énfasis2 32 2" xfId="17293" xr:uid="{94A05EC0-D792-4BAC-8180-3892E656A367}"/>
    <cellStyle name="40% - Énfasis2 32 2 2" xfId="23541" xr:uid="{06F89C25-6A90-482D-9901-F5578EB149D3}"/>
    <cellStyle name="40% - Énfasis2 32 3" xfId="21904" xr:uid="{EE59C946-A377-4F23-BD33-8A5650C33D24}"/>
    <cellStyle name="40% - Énfasis2 32_1.2.b" xfId="15560" xr:uid="{2C82AE42-CDF7-4D41-AC2B-C335D66E999D}"/>
    <cellStyle name="40% - Énfasis2 33" xfId="13307" xr:uid="{1785FECF-9612-4EC2-86FB-2842868BC1C5}"/>
    <cellStyle name="40% - Énfasis2 33 2" xfId="17294" xr:uid="{F703DCA5-0A60-47F7-90A3-A736E8569399}"/>
    <cellStyle name="40% - Énfasis2 33 2 2" xfId="23542" xr:uid="{C96E0563-20B2-43C5-BCBC-7562607352A1}"/>
    <cellStyle name="40% - Énfasis2 33 3" xfId="21905" xr:uid="{2A918534-B3A4-4666-9087-9BFF889832C2}"/>
    <cellStyle name="40% - Énfasis2 33_1.2.b" xfId="15561" xr:uid="{04C238D6-F1B8-4A7A-8BD7-4D51CA78F005}"/>
    <cellStyle name="40% - Énfasis2 34" xfId="13308" xr:uid="{C832796B-04F6-4F53-A999-1E6C2CFACDC3}"/>
    <cellStyle name="40% - Énfasis2 34 2" xfId="17295" xr:uid="{D9A49ACD-EE28-40D9-8CDD-ED8E2EAC8E8E}"/>
    <cellStyle name="40% - Énfasis2 34 2 2" xfId="23543" xr:uid="{1DF1113E-EE5A-4A09-A718-E6A1C97477B5}"/>
    <cellStyle name="40% - Énfasis2 34 3" xfId="21906" xr:uid="{A79CF861-D7BB-44D2-960A-B49631883DA5}"/>
    <cellStyle name="40% - Énfasis2 34_1.2.b" xfId="15562" xr:uid="{E54510F5-22EF-4D3A-A5AE-6CD677006F95}"/>
    <cellStyle name="40% - Énfasis2 35" xfId="13309" xr:uid="{D45267D1-5B39-4C6A-BDE5-A89C146C2580}"/>
    <cellStyle name="40% - Énfasis2 35 2" xfId="17296" xr:uid="{139C28DE-ACF2-40DF-BCB5-84867E572119}"/>
    <cellStyle name="40% - Énfasis2 35 2 2" xfId="23544" xr:uid="{30688AC3-A8B3-4C2E-85A3-F4C6841537E0}"/>
    <cellStyle name="40% - Énfasis2 35 3" xfId="21907" xr:uid="{11AC6A5C-FA38-4122-AFC0-8B4B3483200C}"/>
    <cellStyle name="40% - Énfasis2 35_1.2.b" xfId="15563" xr:uid="{3CE2DA29-8F9B-4023-B13F-0CAEDE83109E}"/>
    <cellStyle name="40% - Énfasis2 36" xfId="13310" xr:uid="{27D10C8B-47FA-4F00-A44C-94D0461221E2}"/>
    <cellStyle name="40% - Énfasis2 36 2" xfId="17297" xr:uid="{06D8DA57-8AB7-4859-A53D-DBC4873DC01F}"/>
    <cellStyle name="40% - Énfasis2 36 2 2" xfId="23545" xr:uid="{780A8136-749F-4E09-8233-D4E80D24CFE7}"/>
    <cellStyle name="40% - Énfasis2 36 3" xfId="21908" xr:uid="{7C61213D-6E77-4E42-939B-D4F0B745AD0F}"/>
    <cellStyle name="40% - Énfasis2 36_1.2.b" xfId="15564" xr:uid="{A6677405-FD2C-40B5-9B98-66B1467B56C5}"/>
    <cellStyle name="40% - Énfasis2 37" xfId="13311" xr:uid="{DB9A690F-7F50-4471-B1CB-8B86A4E72D55}"/>
    <cellStyle name="40% - Énfasis2 37 2" xfId="17298" xr:uid="{56D181EC-A487-4915-A2F0-C4B9FD012734}"/>
    <cellStyle name="40% - Énfasis2 37 2 2" xfId="23546" xr:uid="{AF8C91BC-ACB0-4DDB-91CD-FBABACD9BAE2}"/>
    <cellStyle name="40% - Énfasis2 37 3" xfId="21909" xr:uid="{703CCA9D-A7CE-4F61-908F-60A269B29493}"/>
    <cellStyle name="40% - Énfasis2 37_1.2.b" xfId="15565" xr:uid="{7B74527A-8531-409C-A9D4-E12E32EEF68A}"/>
    <cellStyle name="40% - Énfasis2 38" xfId="13312" xr:uid="{C474891C-AFCB-4AA5-BB3F-1E3F1A6FE159}"/>
    <cellStyle name="40% - Énfasis2 38 2" xfId="17299" xr:uid="{C9908426-5983-4027-AC37-75037C2E7143}"/>
    <cellStyle name="40% - Énfasis2 38 2 2" xfId="23547" xr:uid="{9BD0B959-A5B4-45E9-B683-B0A99863B722}"/>
    <cellStyle name="40% - Énfasis2 38 3" xfId="21910" xr:uid="{B44BAEC7-53CA-44CB-8E4F-AF03C6AA37B8}"/>
    <cellStyle name="40% - Énfasis2 38_1.2.b" xfId="15566" xr:uid="{FF051889-0025-4F34-B640-319CF61F0558}"/>
    <cellStyle name="40% - Énfasis2 39" xfId="13313" xr:uid="{BEE2AE14-21FB-4956-90BF-0AD92654EBBB}"/>
    <cellStyle name="40% - Énfasis2 39 2" xfId="17300" xr:uid="{5AC34870-A6D1-4001-86B8-2371D4ED84D6}"/>
    <cellStyle name="40% - Énfasis2 39 2 2" xfId="23548" xr:uid="{69B97307-2449-4BA0-A71B-29242D8065C3}"/>
    <cellStyle name="40% - Énfasis2 39 3" xfId="21911" xr:uid="{66B5925E-1A19-4FBE-81D7-88C716D7CC01}"/>
    <cellStyle name="40% - Énfasis2 39_1.2.b" xfId="15567" xr:uid="{34A1624C-C68E-4D48-A8C9-6A8F23D85174}"/>
    <cellStyle name="40% - Énfasis2 4" xfId="177" xr:uid="{00000000-0005-0000-0000-0000DD000000}"/>
    <cellStyle name="40% - Énfasis2 4 2" xfId="10697" xr:uid="{00000000-0005-0000-0000-0000DE000000}"/>
    <cellStyle name="40% - Énfasis2 4 2 2" xfId="13315" xr:uid="{30F9FA2C-E333-4099-927C-457B57782D1C}"/>
    <cellStyle name="40% - Énfasis2 4 2 3" xfId="19789" xr:uid="{08EE7C6F-1073-4ED3-B793-50C9CCA25CE2}"/>
    <cellStyle name="40% - Énfasis2 4 2_1.2.b" xfId="15569" xr:uid="{08CBC7F5-A9CA-4C2F-8B17-6A71C6A085AD}"/>
    <cellStyle name="40% - Énfasis2 4 3" xfId="13314" xr:uid="{DADBCB49-28B3-4150-A4F7-EA25F2683E93}"/>
    <cellStyle name="40% - Énfasis2 4 3 2" xfId="21912" xr:uid="{F7B694A6-4D09-4529-9ACF-D8B969745786}"/>
    <cellStyle name="40% - Énfasis2 4 4" xfId="17301" xr:uid="{E3B9CAF7-0907-4BE0-9212-C032FB78BC0F}"/>
    <cellStyle name="40% - Énfasis2 4 4 2" xfId="23549" xr:uid="{E6BBAE0C-4BB5-4395-BA2D-8F1F36021E73}"/>
    <cellStyle name="40% - Énfasis2 4 5" xfId="18153" xr:uid="{E3FE85A7-E8FA-4014-9C48-2D377D97D810}"/>
    <cellStyle name="40% - Énfasis2 4 5 2" xfId="24359" xr:uid="{E7110DF0-F87D-492A-ACAC-EB1B91FE57FB}"/>
    <cellStyle name="40% - Énfasis2 4 6" xfId="18199" xr:uid="{27C6AC89-22F9-4F04-9222-DD62B15E715E}"/>
    <cellStyle name="40% - Énfasis2 4 6 2" xfId="24385" xr:uid="{47C74E97-45DE-444E-B352-A5B007F7E5F9}"/>
    <cellStyle name="40% - Énfasis2 4 7" xfId="16507" xr:uid="{CEA6326F-771C-4218-9B1E-6CAFEB7FF315}"/>
    <cellStyle name="40% - Énfasis2 4 7 2" xfId="22773" xr:uid="{62BCFA2D-750E-43AF-9A68-7DD52C4E9AA6}"/>
    <cellStyle name="40% - Énfasis2 4 8" xfId="18203" xr:uid="{84140789-ACD6-48EF-8CDA-DEA7B02CC2B5}"/>
    <cellStyle name="40% - Énfasis2 4 8 2" xfId="24389" xr:uid="{A687E72A-6F81-4F17-8A74-A187C3D5F0F5}"/>
    <cellStyle name="40% - Énfasis2 4 9" xfId="18421" xr:uid="{FFE928A1-39A1-4679-BF5E-3083DABFA9B9}"/>
    <cellStyle name="40% - Énfasis2 4_1.2.b" xfId="15568" xr:uid="{268586E7-6E3C-46A5-A720-0678118AB852}"/>
    <cellStyle name="40% - Énfasis2 40" xfId="13316" xr:uid="{9C1CF528-E427-42FA-915C-A2FD7770729C}"/>
    <cellStyle name="40% - Énfasis2 40 2" xfId="17302" xr:uid="{BCA9B35F-D3E8-492E-92A1-4EE99A3CB8EF}"/>
    <cellStyle name="40% - Énfasis2 40 2 2" xfId="23550" xr:uid="{9B46DDDD-2F64-40A9-AECE-28C493516073}"/>
    <cellStyle name="40% - Énfasis2 40 3" xfId="21913" xr:uid="{27140D21-2638-453F-9C41-FB378E5A6CB9}"/>
    <cellStyle name="40% - Énfasis2 40_1.2.b" xfId="15570" xr:uid="{50E35ACD-7337-40DC-A56A-7566A849C8A1}"/>
    <cellStyle name="40% - Énfasis2 41" xfId="13317" xr:uid="{D60A5257-59BE-4DC9-AC53-9FD84ED90307}"/>
    <cellStyle name="40% - Énfasis2 41 2" xfId="17303" xr:uid="{F5B2B609-5689-443F-8180-62807A4B8805}"/>
    <cellStyle name="40% - Énfasis2 41 2 2" xfId="23551" xr:uid="{A33F8C5F-EE2D-47C9-9DB9-410C98068D59}"/>
    <cellStyle name="40% - Énfasis2 41 3" xfId="21914" xr:uid="{9F3FF9B0-3E99-413D-9DF2-AB91F6078827}"/>
    <cellStyle name="40% - Énfasis2 41_1.2.b" xfId="15571" xr:uid="{630F3F10-D65A-45D2-B901-3DA87A09B53E}"/>
    <cellStyle name="40% - Énfasis2 42" xfId="13318" xr:uid="{3138B50C-F756-4523-8235-728EF6C934B8}"/>
    <cellStyle name="40% - Énfasis2 42 2" xfId="17304" xr:uid="{E369CF8F-76A8-453E-8CCF-BD3B77A644EB}"/>
    <cellStyle name="40% - Énfasis2 42 2 2" xfId="23552" xr:uid="{A9C1C56B-1B5B-4F6D-B397-E9CC32608926}"/>
    <cellStyle name="40% - Énfasis2 42 3" xfId="21915" xr:uid="{67415CA1-E215-4970-8587-389E5ACD9929}"/>
    <cellStyle name="40% - Énfasis2 42_1.2.b" xfId="15572" xr:uid="{7CE2F550-257B-4556-831B-5E61F9F04CEB}"/>
    <cellStyle name="40% - Énfasis2 43" xfId="13319" xr:uid="{6A0CA30B-04D5-4AC3-9FD7-5BEBCD5F7E05}"/>
    <cellStyle name="40% - Énfasis2 43 2" xfId="17305" xr:uid="{B14D7B19-726E-4E07-B6F1-7D86DE5B1FF4}"/>
    <cellStyle name="40% - Énfasis2 43 2 2" xfId="23553" xr:uid="{A601618D-28B8-4C20-823E-6F74BC43735C}"/>
    <cellStyle name="40% - Énfasis2 43 3" xfId="21916" xr:uid="{E7637157-1CB5-4810-911E-6EC3AA9748DE}"/>
    <cellStyle name="40% - Énfasis2 43_1.2.b" xfId="15573" xr:uid="{8D98E91D-1FDE-42F7-8403-9D62E1DA4156}"/>
    <cellStyle name="40% - Énfasis2 44" xfId="13320" xr:uid="{2C6A5D5D-702C-4DEC-823F-1815969C53A9}"/>
    <cellStyle name="40% - Énfasis2 44 2" xfId="17306" xr:uid="{CAB5EE62-33C1-4673-858A-953851525EEB}"/>
    <cellStyle name="40% - Énfasis2 44 2 2" xfId="23554" xr:uid="{8C31FC5E-8595-48A9-B41F-186B58218F04}"/>
    <cellStyle name="40% - Énfasis2 44 3" xfId="21917" xr:uid="{872B3FAF-2F74-497D-B2E2-2FD857FA8792}"/>
    <cellStyle name="40% - Énfasis2 44_1.2.b" xfId="15574" xr:uid="{4D80FD0F-159E-4183-9D37-B6C98984C3D7}"/>
    <cellStyle name="40% - Énfasis2 45" xfId="13321" xr:uid="{FC9C12BC-F9A0-40E0-85F4-7F942DEF8122}"/>
    <cellStyle name="40% - Énfasis2 45 2" xfId="17307" xr:uid="{BE39F142-6C3F-4B4C-940C-0B4F4FA7BA47}"/>
    <cellStyle name="40% - Énfasis2 45 2 2" xfId="23555" xr:uid="{9E4EEFB6-4F6D-4F8A-81C5-AE42E9563DED}"/>
    <cellStyle name="40% - Énfasis2 45 3" xfId="21918" xr:uid="{F9561613-C8CE-4F60-89D9-2B9AF8458CA5}"/>
    <cellStyle name="40% - Énfasis2 45_1.2.b" xfId="15575" xr:uid="{A46A87EB-7F15-4A18-BAD3-70C4E7BA4E4D}"/>
    <cellStyle name="40% - Énfasis2 46" xfId="13322" xr:uid="{852ACC7E-3022-4DFE-8A01-CCE2FAC3848A}"/>
    <cellStyle name="40% - Énfasis2 46 2" xfId="17308" xr:uid="{24636087-074F-4AFB-960F-438BE0F8FB0B}"/>
    <cellStyle name="40% - Énfasis2 46 2 2" xfId="23556" xr:uid="{1ADAAA1A-8167-4ED8-BF5A-CAB917D06F80}"/>
    <cellStyle name="40% - Énfasis2 46 3" xfId="21919" xr:uid="{ADD18CAE-0D0F-4562-9A47-6A49FD02A463}"/>
    <cellStyle name="40% - Énfasis2 46_1.2.b" xfId="15576" xr:uid="{33EE9CF2-1010-4AC8-A5A1-D090DBB0149C}"/>
    <cellStyle name="40% - Énfasis2 47" xfId="13323" xr:uid="{40190501-2565-4633-ADDB-56FA4961C404}"/>
    <cellStyle name="40% - Énfasis2 47 2" xfId="17309" xr:uid="{E5B59FAD-35C8-4F5A-A662-49E8AD6B8CD4}"/>
    <cellStyle name="40% - Énfasis2 47 2 2" xfId="23557" xr:uid="{B0392D26-4216-4A9F-8A35-72D5A1B18EFD}"/>
    <cellStyle name="40% - Énfasis2 47 3" xfId="21920" xr:uid="{7E1ED684-55F6-46FD-9BE7-F80447D9C8F4}"/>
    <cellStyle name="40% - Énfasis2 47_1.2.b" xfId="15577" xr:uid="{B26B2BC8-6166-44F1-892F-88CB630A166B}"/>
    <cellStyle name="40% - Énfasis2 48" xfId="13324" xr:uid="{41E17E5D-F1B8-43A2-AF1B-5D2E3707A4C5}"/>
    <cellStyle name="40% - Énfasis2 48 2" xfId="17310" xr:uid="{5DF0F39F-05E8-4391-99AE-F16A74A718CA}"/>
    <cellStyle name="40% - Énfasis2 48 2 2" xfId="23558" xr:uid="{1A8B34DE-818B-47C8-A94A-61AC25325EC7}"/>
    <cellStyle name="40% - Énfasis2 48 3" xfId="21921" xr:uid="{E6BD0C78-42C2-45EC-98A6-E07FC03E64F0}"/>
    <cellStyle name="40% - Énfasis2 48_1.2.b" xfId="15578" xr:uid="{F268926C-B26F-4273-8433-57FC0C5D3783}"/>
    <cellStyle name="40% - Énfasis2 49" xfId="13325" xr:uid="{BFAB2C59-8FD1-476A-B88C-B5834F7186F7}"/>
    <cellStyle name="40% - Énfasis2 49 2" xfId="17311" xr:uid="{4B907A06-F378-4EB5-B7FA-7338C6763FAD}"/>
    <cellStyle name="40% - Énfasis2 49 2 2" xfId="23559" xr:uid="{6726DE5E-3AD0-4A2C-B6EA-9C0F3B004B1B}"/>
    <cellStyle name="40% - Énfasis2 49 3" xfId="21922" xr:uid="{EB775393-A30A-4A3B-8B0A-9ABE7D0F9A3E}"/>
    <cellStyle name="40% - Énfasis2 49_1.2.b" xfId="15579" xr:uid="{34DB182F-1C6D-45E2-93ED-F2D357557ADA}"/>
    <cellStyle name="40% - Énfasis2 5" xfId="192" xr:uid="{00000000-0005-0000-0000-0000DF000000}"/>
    <cellStyle name="40% - Énfasis2 5 2" xfId="10712" xr:uid="{00000000-0005-0000-0000-0000E0000000}"/>
    <cellStyle name="40% - Énfasis2 5 2 2" xfId="19804" xr:uid="{D6AE58A1-B083-4610-BB99-FDFC9CC9D717}"/>
    <cellStyle name="40% - Énfasis2 5 3" xfId="13326" xr:uid="{B75C5DE1-70CC-4257-B3D2-6B28C8E2296E}"/>
    <cellStyle name="40% - Énfasis2 5 3 2" xfId="21923" xr:uid="{8C4D0B39-E42C-4AB6-B8E2-31BFD3959D2B}"/>
    <cellStyle name="40% - Énfasis2 5 4" xfId="17312" xr:uid="{0BD2D483-A6D9-4074-86C8-56D3C8522560}"/>
    <cellStyle name="40% - Énfasis2 5 4 2" xfId="23560" xr:uid="{50013225-1402-43D1-A387-BF8C6730E191}"/>
    <cellStyle name="40% - Énfasis2 5 5" xfId="18436" xr:uid="{27669F27-D606-47B7-9CD5-18A5E1B0F327}"/>
    <cellStyle name="40% - Énfasis2 5_1.2.b" xfId="15580" xr:uid="{46ED58F1-6917-4668-86F5-4267AA09CEF7}"/>
    <cellStyle name="40% - Énfasis2 50" xfId="13327" xr:uid="{7AF2190A-B737-40EB-ABA8-60FBE141C837}"/>
    <cellStyle name="40% - Énfasis2 50 2" xfId="17313" xr:uid="{7538F184-8B25-4B72-8292-354D09FBFC99}"/>
    <cellStyle name="40% - Énfasis2 50 2 2" xfId="23561" xr:uid="{D5957203-A9B2-43AE-ACF2-4FD4C15658C6}"/>
    <cellStyle name="40% - Énfasis2 50 3" xfId="21924" xr:uid="{9472F377-9F93-4E76-A30B-CD51AC935377}"/>
    <cellStyle name="40% - Énfasis2 50_1.2.b" xfId="15581" xr:uid="{EFF67F90-0381-40FE-85DD-30850904FCB8}"/>
    <cellStyle name="40% - Énfasis2 51" xfId="13328" xr:uid="{2A097462-8B19-4E5C-AA15-A3D2506988B6}"/>
    <cellStyle name="40% - Énfasis2 51 2" xfId="17314" xr:uid="{549BB046-4614-4D65-A7B3-0D1A6DD14C2E}"/>
    <cellStyle name="40% - Énfasis2 51 2 2" xfId="23562" xr:uid="{13330844-7D8A-4E2C-8AD5-B120630D0BB4}"/>
    <cellStyle name="40% - Énfasis2 51 3" xfId="21925" xr:uid="{35182D9E-E451-45C9-9DA2-875DE7A62B9F}"/>
    <cellStyle name="40% - Énfasis2 51_1.2.b" xfId="15582" xr:uid="{FB268091-4AAB-46CD-B671-A3EB40EBE023}"/>
    <cellStyle name="40% - Énfasis2 52" xfId="13329" xr:uid="{BCF94107-60A2-4CD9-B8D7-6008C9240B43}"/>
    <cellStyle name="40% - Énfasis2 52 2" xfId="17315" xr:uid="{F12750CE-B039-4A44-BC99-136FF02D4EDA}"/>
    <cellStyle name="40% - Énfasis2 52 2 2" xfId="23563" xr:uid="{93C536B4-3E85-40DD-8B62-A5C3B394C7C6}"/>
    <cellStyle name="40% - Énfasis2 52 3" xfId="21926" xr:uid="{8C87C210-A650-455B-BB6C-3F62C0C5CC99}"/>
    <cellStyle name="40% - Énfasis2 52_1.2.b" xfId="15583" xr:uid="{38EA5877-F9E7-40A6-8E4B-A7F86FE8ACD0}"/>
    <cellStyle name="40% - Énfasis2 53" xfId="13330" xr:uid="{5E4CB1B0-6211-4EA5-B5D4-ADF8F787218A}"/>
    <cellStyle name="40% - Énfasis2 53 2" xfId="17316" xr:uid="{0A62CE45-202A-4CEA-AC17-87058B7C7F44}"/>
    <cellStyle name="40% - Énfasis2 53 2 2" xfId="23564" xr:uid="{1D080E81-7674-4241-86A4-E054D71E24CB}"/>
    <cellStyle name="40% - Énfasis2 53 3" xfId="21927" xr:uid="{4938E814-857A-4149-B02F-E8E725681B1E}"/>
    <cellStyle name="40% - Énfasis2 53_1.2.b" xfId="15584" xr:uid="{9E4A890E-DED2-432C-961D-251D3EE73771}"/>
    <cellStyle name="40% - Énfasis2 54" xfId="13331" xr:uid="{D4288DB3-C246-4999-AA6F-A2150B343C7D}"/>
    <cellStyle name="40% - Énfasis2 54 2" xfId="17317" xr:uid="{E53D3451-A1AE-4E7A-B9D4-6D4DB3FE028A}"/>
    <cellStyle name="40% - Énfasis2 54 2 2" xfId="23565" xr:uid="{903FB59F-C144-4060-84F8-203BCE16BC73}"/>
    <cellStyle name="40% - Énfasis2 54 3" xfId="21928" xr:uid="{B793218D-169A-4534-9EA8-13FC77053FFD}"/>
    <cellStyle name="40% - Énfasis2 54_1.2.b" xfId="15585" xr:uid="{66166461-E255-43F2-8458-73399E084EF8}"/>
    <cellStyle name="40% - Énfasis2 55" xfId="13332" xr:uid="{A7AF668A-EB72-431F-9DB8-E67AF8120277}"/>
    <cellStyle name="40% - Énfasis2 55 2" xfId="17318" xr:uid="{6CA1E7AC-CE68-4855-B890-A3AA2A3A76C1}"/>
    <cellStyle name="40% - Énfasis2 55 2 2" xfId="23566" xr:uid="{44B41FBF-97E4-4E50-82B8-4C6AF8344B03}"/>
    <cellStyle name="40% - Énfasis2 55 3" xfId="21929" xr:uid="{B2F895E1-D8CA-4392-A649-C3874B3104B9}"/>
    <cellStyle name="40% - Énfasis2 55_1.2.b" xfId="15586" xr:uid="{6C868C4D-523D-4DEE-B97A-14B741A77D54}"/>
    <cellStyle name="40% - Énfasis2 56" xfId="13333" xr:uid="{CD0C66F2-F488-4FD5-9F2A-B0A53ED28227}"/>
    <cellStyle name="40% - Énfasis2 56 2" xfId="17319" xr:uid="{A6F31375-A016-4B9E-B2BD-10F43B66D73B}"/>
    <cellStyle name="40% - Énfasis2 56 2 2" xfId="23567" xr:uid="{F8D10235-AB7B-4322-BF35-473D98D0EB03}"/>
    <cellStyle name="40% - Énfasis2 56 3" xfId="21930" xr:uid="{F9C98D53-8403-4F3D-A05B-3805CE7DE3D3}"/>
    <cellStyle name="40% - Énfasis2 56_1.2.b" xfId="15587" xr:uid="{663242BE-D652-4F84-83D2-8AB43D158086}"/>
    <cellStyle name="40% - Énfasis2 57" xfId="13334" xr:uid="{F04CE570-1550-4605-8E73-E91879BA6D7B}"/>
    <cellStyle name="40% - Énfasis2 57 2" xfId="17320" xr:uid="{7C78F107-BBA7-41BA-B251-2AD804232282}"/>
    <cellStyle name="40% - Énfasis2 57 2 2" xfId="23568" xr:uid="{B8C6759B-C5B5-4719-B78D-B97A95201AF5}"/>
    <cellStyle name="40% - Énfasis2 57 3" xfId="21931" xr:uid="{4CA93F73-246C-4E2A-8A3F-6F08999E8919}"/>
    <cellStyle name="40% - Énfasis2 57_1.2.b" xfId="15588" xr:uid="{44620A0A-EF20-485C-85ED-96FF900EA196}"/>
    <cellStyle name="40% - Énfasis2 58" xfId="13335" xr:uid="{01374CFB-2074-40AB-AD47-F72D9C5CA863}"/>
    <cellStyle name="40% - Énfasis2 58 2" xfId="17321" xr:uid="{922167F1-9ACE-436A-8EB9-B66378E0CC78}"/>
    <cellStyle name="40% - Énfasis2 58 2 2" xfId="23569" xr:uid="{A9153A66-0F26-4FCF-8B97-4AE6B3FC9147}"/>
    <cellStyle name="40% - Énfasis2 58 3" xfId="21932" xr:uid="{2A618247-9423-45F5-A598-AF29FC6105DD}"/>
    <cellStyle name="40% - Énfasis2 58_1.2.b" xfId="15589" xr:uid="{C244CCE6-0180-4E35-9FF4-52379FAD85B6}"/>
    <cellStyle name="40% - Énfasis2 59" xfId="13336" xr:uid="{C9BD8D34-E9D1-4691-A956-AD0C5FC32E94}"/>
    <cellStyle name="40% - Énfasis2 59 2" xfId="17322" xr:uid="{DCD16FAF-5CD8-40FE-A472-9C9E5B516AB4}"/>
    <cellStyle name="40% - Énfasis2 59 2 2" xfId="23570" xr:uid="{9E488FA8-B8E0-4E56-BA9D-234ACEC767C8}"/>
    <cellStyle name="40% - Énfasis2 59 3" xfId="21933" xr:uid="{5C6C801A-24C2-4C71-B0D8-8FEDF745DD01}"/>
    <cellStyle name="40% - Énfasis2 59_1.2.b" xfId="15590" xr:uid="{77FD5E06-AA46-4A3B-8956-DAC6165D8034}"/>
    <cellStyle name="40% - Énfasis2 6" xfId="206" xr:uid="{00000000-0005-0000-0000-0000E1000000}"/>
    <cellStyle name="40% - Énfasis2 6 2" xfId="10726" xr:uid="{00000000-0005-0000-0000-0000E2000000}"/>
    <cellStyle name="40% - Énfasis2 6 2 2" xfId="19818" xr:uid="{BFD9DED8-9FFC-46A7-9387-C763A1E6EEB2}"/>
    <cellStyle name="40% - Énfasis2 6 3" xfId="13337" xr:uid="{752B91C6-69B4-4C41-9F9D-956DB2A382AD}"/>
    <cellStyle name="40% - Énfasis2 6 3 2" xfId="21934" xr:uid="{FB0CB8D6-44FA-49AA-BF87-2998CD6FFF2A}"/>
    <cellStyle name="40% - Énfasis2 6 4" xfId="17323" xr:uid="{9A8C80A6-2D08-409A-9D4D-435BCFC756FA}"/>
    <cellStyle name="40% - Énfasis2 6 4 2" xfId="23571" xr:uid="{1FAF5779-B729-4A1C-B2AA-D87632613D7A}"/>
    <cellStyle name="40% - Énfasis2 6 5" xfId="18450" xr:uid="{8D815540-AC1F-419E-8DB0-3A679337C1F4}"/>
    <cellStyle name="40% - Énfasis2 6_1.2.b" xfId="15591" xr:uid="{178022F6-0D04-4AB9-814D-589EA701A22E}"/>
    <cellStyle name="40% - Énfasis2 60" xfId="13338" xr:uid="{6E616A64-DDD8-45E5-BB36-75F68EC46259}"/>
    <cellStyle name="40% - Énfasis2 60 2" xfId="17324" xr:uid="{570F3CD1-4CFB-4B9F-BB32-9BC7480F4338}"/>
    <cellStyle name="40% - Énfasis2 60 2 2" xfId="23572" xr:uid="{84B88581-0BFC-413D-B687-93958C20B792}"/>
    <cellStyle name="40% - Énfasis2 60 3" xfId="21935" xr:uid="{313B0846-55E6-476F-9D04-6A2B2099F3ED}"/>
    <cellStyle name="40% - Énfasis2 60_1.2.b" xfId="15592" xr:uid="{D691D184-C9A8-4CEC-97F5-771B70932CB2}"/>
    <cellStyle name="40% - Énfasis2 61" xfId="13339" xr:uid="{CA09C3E8-8C51-4892-8BF9-1B720838A43B}"/>
    <cellStyle name="40% - Énfasis2 61 2" xfId="17325" xr:uid="{D79A0DAB-1E4A-479F-AB31-EB55CEEEA1B6}"/>
    <cellStyle name="40% - Énfasis2 61 2 2" xfId="23573" xr:uid="{67B01D0B-9811-4D38-AD5B-99DB4C0A76FB}"/>
    <cellStyle name="40% - Énfasis2 61 3" xfId="21936" xr:uid="{57A5A822-8264-422C-93F9-CD4DD2C42FF3}"/>
    <cellStyle name="40% - Énfasis2 61_1.2.b" xfId="15593" xr:uid="{6382214F-BEC5-41C7-93FA-219C0AC2A623}"/>
    <cellStyle name="40% - Énfasis2 62" xfId="13340" xr:uid="{3EFCD17E-D8A0-4921-9D1F-EE52F51206C6}"/>
    <cellStyle name="40% - Énfasis2 62 2" xfId="17326" xr:uid="{569388AD-9376-419B-87B6-B9FB897D2E03}"/>
    <cellStyle name="40% - Énfasis2 62 2 2" xfId="23574" xr:uid="{3F49D716-E4F1-4563-A535-74C6AF54FED1}"/>
    <cellStyle name="40% - Énfasis2 62 3" xfId="21937" xr:uid="{7FA2F01E-91FD-457C-895B-495B2525C9E7}"/>
    <cellStyle name="40% - Énfasis2 62_1.2.b" xfId="15594" xr:uid="{B9F846F9-9B8E-4EE2-B033-51C26D6BB929}"/>
    <cellStyle name="40% - Énfasis2 63" xfId="13341" xr:uid="{3A9B84DD-6837-4183-A536-9D1ECCAA5F0C}"/>
    <cellStyle name="40% - Énfasis2 63 2" xfId="17327" xr:uid="{E9A90B21-2145-4755-8F4A-D9F19DF77DBD}"/>
    <cellStyle name="40% - Énfasis2 63 2 2" xfId="23575" xr:uid="{753A1011-50E3-42F6-91F5-6E6788B27548}"/>
    <cellStyle name="40% - Énfasis2 63 3" xfId="21938" xr:uid="{00F792B7-5FAF-4EAD-AAFC-1E0C2177243B}"/>
    <cellStyle name="40% - Énfasis2 63_1.2.b" xfId="15595" xr:uid="{3C91B7E4-7900-434B-935B-A37E8B786C18}"/>
    <cellStyle name="40% - Énfasis2 64" xfId="13342" xr:uid="{BFEAD3FE-51EF-467C-B2A9-98B0921A1E40}"/>
    <cellStyle name="40% - Énfasis2 64 2" xfId="17328" xr:uid="{3A77026D-F46A-4650-B761-830CBD743855}"/>
    <cellStyle name="40% - Énfasis2 64 2 2" xfId="23576" xr:uid="{D159EFDC-79F8-4E3D-87F2-1D1C3A0EAB37}"/>
    <cellStyle name="40% - Énfasis2 64 3" xfId="21939" xr:uid="{5C53A9CE-D022-4733-9FF7-38CF2FD4EB88}"/>
    <cellStyle name="40% - Énfasis2 64_1.2.b" xfId="15596" xr:uid="{CD43A18B-EE7C-45DA-B096-0532FF8CDDBF}"/>
    <cellStyle name="40% - Énfasis2 65" xfId="13343" xr:uid="{67F3BDDE-460F-49A6-8568-6C4A0D646A5C}"/>
    <cellStyle name="40% - Énfasis2 65 2" xfId="17329" xr:uid="{8AE0ECD6-38B6-4788-BA55-1054F4EC5B1A}"/>
    <cellStyle name="40% - Énfasis2 65 2 2" xfId="23577" xr:uid="{ABA68E5C-2C94-43E1-8183-140B8BB1E2BA}"/>
    <cellStyle name="40% - Énfasis2 65 3" xfId="21940" xr:uid="{4728AA55-E2B3-484C-8951-76A69F76341D}"/>
    <cellStyle name="40% - Énfasis2 65_1.2.b" xfId="15597" xr:uid="{1D8BB3E5-6041-4986-B623-D0056ADE933A}"/>
    <cellStyle name="40% - Énfasis2 66" xfId="13344" xr:uid="{7BD950AA-5D0A-4EAA-902A-CB5922B0594E}"/>
    <cellStyle name="40% - Énfasis2 66 2" xfId="17330" xr:uid="{97AAD0BC-325E-4BFA-9D28-E57D484CFF8A}"/>
    <cellStyle name="40% - Énfasis2 66 2 2" xfId="23578" xr:uid="{2B0DB9C9-D15A-416E-81F8-80CFCF47DA9C}"/>
    <cellStyle name="40% - Énfasis2 66 3" xfId="21941" xr:uid="{B1BC708C-48B1-4230-BDCC-DD1DAF69C25C}"/>
    <cellStyle name="40% - Énfasis2 66_1.2.b" xfId="15598" xr:uid="{F02080D9-B7CF-4F1B-B885-AA214C7A3D42}"/>
    <cellStyle name="40% - Énfasis2 67" xfId="13345" xr:uid="{7E9D6DCB-82C9-41FF-90B1-B54CFABC0F92}"/>
    <cellStyle name="40% - Énfasis2 67 2" xfId="17331" xr:uid="{0D1B6DAB-04E1-4832-B545-68479520F997}"/>
    <cellStyle name="40% - Énfasis2 67 2 2" xfId="23579" xr:uid="{0FDBBC74-A3FC-4659-A182-F7B9876F8FE8}"/>
    <cellStyle name="40% - Énfasis2 67 3" xfId="21942" xr:uid="{4C6E24E9-F2EC-4E66-822B-E8797B8A2A4A}"/>
    <cellStyle name="40% - Énfasis2 67_1.2.b" xfId="15599" xr:uid="{1B859A09-AB69-43B3-BA7F-C0FF4BD2CEB0}"/>
    <cellStyle name="40% - Énfasis2 68" xfId="13346" xr:uid="{42902FB6-52FA-4D94-85EE-0DB0D990A873}"/>
    <cellStyle name="40% - Énfasis2 68 2" xfId="17332" xr:uid="{FC1DB33A-DA45-41C7-92EB-B7C4E730D788}"/>
    <cellStyle name="40% - Énfasis2 68 2 2" xfId="23580" xr:uid="{560D0315-D638-4DE7-9D5C-414A1763BA7D}"/>
    <cellStyle name="40% - Énfasis2 68 3" xfId="21943" xr:uid="{4109C080-09EB-4A8E-8509-9356740977F4}"/>
    <cellStyle name="40% - Énfasis2 68_1.2.b" xfId="15600" xr:uid="{3F872079-68B6-4848-8520-71E1FCB26BEE}"/>
    <cellStyle name="40% - Énfasis2 69" xfId="13347" xr:uid="{9149F823-DB65-486D-B99F-0FCE20F6FC44}"/>
    <cellStyle name="40% - Énfasis2 69 2" xfId="17333" xr:uid="{FC458114-A7E6-4048-A736-6D9B0C696057}"/>
    <cellStyle name="40% - Énfasis2 69 2 2" xfId="23581" xr:uid="{53F9105B-D4A8-4967-9BB8-A7FE4FB168E7}"/>
    <cellStyle name="40% - Énfasis2 69 3" xfId="21944" xr:uid="{449BD0EF-0350-46A8-B297-CD00B245F057}"/>
    <cellStyle name="40% - Énfasis2 69_1.2.b" xfId="15601" xr:uid="{3541C0C8-A563-45B0-B08D-438B5112356C}"/>
    <cellStyle name="40% - Énfasis2 7" xfId="9830" xr:uid="{00000000-0005-0000-0000-0000E3000000}"/>
    <cellStyle name="40% - Énfasis2 7 2" xfId="11616" xr:uid="{00000000-0005-0000-0000-0000E4000000}"/>
    <cellStyle name="40% - Énfasis2 7 2 2" xfId="20385" xr:uid="{4154FF98-7241-4A0E-AFB7-C9317518F18C}"/>
    <cellStyle name="40% - Énfasis2 7 3" xfId="13348" xr:uid="{F7C10DE7-543C-450C-8465-57121212A1EE}"/>
    <cellStyle name="40% - Énfasis2 7 3 2" xfId="21945" xr:uid="{38F66510-A22E-4E28-B639-2E34F11932D3}"/>
    <cellStyle name="40% - Énfasis2 7 4" xfId="17334" xr:uid="{93EB1CF1-7BA4-4E2A-B068-0CB40F627454}"/>
    <cellStyle name="40% - Énfasis2 7 4 2" xfId="23582" xr:uid="{3A1F6ECF-C234-42C2-A499-51E47A1BC166}"/>
    <cellStyle name="40% - Énfasis2 7 5" xfId="19017" xr:uid="{FC67BDEA-8723-41D8-823B-43C703FB796A}"/>
    <cellStyle name="40% - Énfasis2 7_1.2.b" xfId="15602" xr:uid="{BA375CBD-232F-4717-A2A9-218ECD5D3A42}"/>
    <cellStyle name="40% - Énfasis2 70" xfId="13349" xr:uid="{00643421-0036-4ED4-9B66-DF431AB0474C}"/>
    <cellStyle name="40% - Énfasis2 70 2" xfId="17335" xr:uid="{FF4DB01F-40AA-433A-827C-478FB9DB45C0}"/>
    <cellStyle name="40% - Énfasis2 70 2 2" xfId="23583" xr:uid="{2A73A3D1-BC00-4108-A5FF-8AD14F97995C}"/>
    <cellStyle name="40% - Énfasis2 70 3" xfId="21946" xr:uid="{08FBFBC7-6F65-44D7-8B09-8539DCEC0AB5}"/>
    <cellStyle name="40% - Énfasis2 70_1.2.b" xfId="15603" xr:uid="{46F971FE-3613-4F20-A6E1-84685F0EFF6B}"/>
    <cellStyle name="40% - Énfasis2 71" xfId="13350" xr:uid="{D84C05ED-407C-40A6-A795-5AC0FFE91807}"/>
    <cellStyle name="40% - Énfasis2 71 2" xfId="17336" xr:uid="{06A4E549-2E4B-432E-B255-830C3C6A0753}"/>
    <cellStyle name="40% - Énfasis2 71 2 2" xfId="23584" xr:uid="{44E325A6-A6DD-4C1B-8B02-E952BDEB5CFF}"/>
    <cellStyle name="40% - Énfasis2 71 3" xfId="21947" xr:uid="{B5C30684-C944-4200-B5A1-370CB8233E6B}"/>
    <cellStyle name="40% - Énfasis2 71_1.2.b" xfId="15604" xr:uid="{C694E0F2-3967-4699-A2DE-E6D4B56859FF}"/>
    <cellStyle name="40% - Énfasis2 72" xfId="13351" xr:uid="{B1DCB9DB-AF2A-4D2D-A079-E379E928A013}"/>
    <cellStyle name="40% - Énfasis2 72 2" xfId="17337" xr:uid="{76E32627-0D2F-4723-BCB4-CB4E37C2A3CF}"/>
    <cellStyle name="40% - Énfasis2 72 2 2" xfId="23585" xr:uid="{7CAC9476-0C77-433B-A1C5-D964970BFDC8}"/>
    <cellStyle name="40% - Énfasis2 72 3" xfId="21948" xr:uid="{103239D3-9BDE-40BC-86A5-94499192C827}"/>
    <cellStyle name="40% - Énfasis2 72_1.2.b" xfId="15605" xr:uid="{69B72999-CC35-4330-A814-5A782588B269}"/>
    <cellStyle name="40% - Énfasis2 73" xfId="13352" xr:uid="{27FB1C3C-5D59-474B-93E7-A26890A62173}"/>
    <cellStyle name="40% - Énfasis2 73 2" xfId="17338" xr:uid="{1117F871-F352-4AD1-A947-6C469296356C}"/>
    <cellStyle name="40% - Énfasis2 73 2 2" xfId="23586" xr:uid="{BD84CF92-8481-4928-A34A-8E6A7A0D3404}"/>
    <cellStyle name="40% - Énfasis2 73 3" xfId="21949" xr:uid="{9311D3DE-C2F8-46AB-A827-B31F02B46AE5}"/>
    <cellStyle name="40% - Énfasis2 73_1.2.b" xfId="15606" xr:uid="{75C3619E-527A-489B-9905-72DC03089D83}"/>
    <cellStyle name="40% - Énfasis2 74" xfId="13353" xr:uid="{76840621-C63C-472B-B947-EB79586522C6}"/>
    <cellStyle name="40% - Énfasis2 74 2" xfId="17339" xr:uid="{8BD9C6E3-A909-42D3-BCEF-542FB871A314}"/>
    <cellStyle name="40% - Énfasis2 74 2 2" xfId="23587" xr:uid="{DD433F01-30DB-4B75-B85A-B7083F376DDB}"/>
    <cellStyle name="40% - Énfasis2 74 3" xfId="21950" xr:uid="{1741B65A-1552-492D-9A33-3D836BC9133E}"/>
    <cellStyle name="40% - Énfasis2 74_1.2.b" xfId="15607" xr:uid="{E5607723-6E9F-4DEE-B688-B9094528DE76}"/>
    <cellStyle name="40% - Énfasis2 75" xfId="13354" xr:uid="{391FA76D-5A1F-450A-8509-6EBF0C674A58}"/>
    <cellStyle name="40% - Énfasis2 75 2" xfId="17340" xr:uid="{0D80AEC6-6F62-4605-91C6-053015029828}"/>
    <cellStyle name="40% - Énfasis2 75 2 2" xfId="23588" xr:uid="{CBFDF9B8-D025-4D33-9E6C-40E80F85D054}"/>
    <cellStyle name="40% - Énfasis2 75 3" xfId="21951" xr:uid="{A1D15A90-1521-4DC0-BCF0-0A0CB69470F9}"/>
    <cellStyle name="40% - Énfasis2 75_1.2.b" xfId="15608" xr:uid="{E892F39A-9F03-47B7-8D28-EAE01981BB6A}"/>
    <cellStyle name="40% - Énfasis2 76" xfId="13355" xr:uid="{713D5F6F-F410-4DCE-B2DA-F3BDD8BE0934}"/>
    <cellStyle name="40% - Énfasis2 76 2" xfId="17341" xr:uid="{A70288F9-AA7A-492B-9AD2-C72CD7172281}"/>
    <cellStyle name="40% - Énfasis2 76 2 2" xfId="23589" xr:uid="{E2807F42-2D35-4471-9C0D-ED7CA7CE2527}"/>
    <cellStyle name="40% - Énfasis2 76 3" xfId="21952" xr:uid="{EB6211B8-C009-42BD-896B-D836900B330E}"/>
    <cellStyle name="40% - Énfasis2 76_1.2.b" xfId="15609" xr:uid="{5A28ACA6-781F-4D24-8C1E-27632E67E4E5}"/>
    <cellStyle name="40% - Énfasis2 77" xfId="13356" xr:uid="{5E3279F7-4069-4D8B-A8A3-6AB548CD3126}"/>
    <cellStyle name="40% - Énfasis2 77 2" xfId="17342" xr:uid="{67E8DC8F-F858-413C-BEB5-4D6CC6C90C8A}"/>
    <cellStyle name="40% - Énfasis2 77 2 2" xfId="23590" xr:uid="{772C969E-4C15-4395-93C9-C5F90FDCA4A9}"/>
    <cellStyle name="40% - Énfasis2 77 3" xfId="21953" xr:uid="{7642738B-378D-4310-B996-77FBBD03F9A7}"/>
    <cellStyle name="40% - Énfasis2 77_1.2.b" xfId="15610" xr:uid="{E116A949-622F-4966-8B38-A97EA18825CB}"/>
    <cellStyle name="40% - Énfasis2 78" xfId="13357" xr:uid="{653C0B26-E03F-4166-BA2B-2903C01ECF20}"/>
    <cellStyle name="40% - Énfasis2 78 2" xfId="17343" xr:uid="{127D7519-B6EC-4F19-B1E6-A4637C8996FA}"/>
    <cellStyle name="40% - Énfasis2 78 2 2" xfId="23591" xr:uid="{B7534483-1243-4C24-B17C-0D25D9FBC147}"/>
    <cellStyle name="40% - Énfasis2 78 3" xfId="21954" xr:uid="{25908976-BA85-4F91-816B-6D0DB11EB69C}"/>
    <cellStyle name="40% - Énfasis2 78_1.2.b" xfId="15611" xr:uid="{3D691D1F-964E-40B3-A503-C76AADF60E02}"/>
    <cellStyle name="40% - Énfasis2 79" xfId="13358" xr:uid="{A88C9129-7E85-4CCE-B098-FA480C4F408B}"/>
    <cellStyle name="40% - Énfasis2 79 2" xfId="17344" xr:uid="{D7C7E069-36F1-40B7-B43A-1C1EE0BB3D89}"/>
    <cellStyle name="40% - Énfasis2 79 2 2" xfId="23592" xr:uid="{36F03894-6A86-4439-A230-24DF59174EA0}"/>
    <cellStyle name="40% - Énfasis2 79 3" xfId="21955" xr:uid="{0FB59F51-FA57-4CC2-A86D-27F26C575CB3}"/>
    <cellStyle name="40% - Énfasis2 79_1.2.b" xfId="15612" xr:uid="{F5E1858F-9E2D-4BB4-8CDF-0DFEA468070F}"/>
    <cellStyle name="40% - Énfasis2 8" xfId="9849" xr:uid="{00000000-0005-0000-0000-0000E5000000}"/>
    <cellStyle name="40% - Énfasis2 8 2" xfId="11634" xr:uid="{00000000-0005-0000-0000-0000E6000000}"/>
    <cellStyle name="40% - Énfasis2 8 2 2" xfId="20401" xr:uid="{49D1863F-6EB1-441D-AA6F-FB54E4AA1F20}"/>
    <cellStyle name="40% - Énfasis2 8 3" xfId="13359" xr:uid="{4CD47393-56A4-438C-9A5C-D2E8C11510FB}"/>
    <cellStyle name="40% - Énfasis2 8 3 2" xfId="21956" xr:uid="{F785AF9E-7FC1-46B5-BF91-81A449F7B9F9}"/>
    <cellStyle name="40% - Énfasis2 8 4" xfId="17345" xr:uid="{C2C0F2BC-B00E-408D-A482-EF2F55EC488C}"/>
    <cellStyle name="40% - Énfasis2 8 4 2" xfId="23593" xr:uid="{D1AA25A4-6ED3-4E0D-83B0-3F62D17739FB}"/>
    <cellStyle name="40% - Énfasis2 8 5" xfId="19033" xr:uid="{FD064B01-0623-4C4F-9F05-97534922D924}"/>
    <cellStyle name="40% - Énfasis2 8_1.2.b" xfId="15613" xr:uid="{544D943F-E167-4A7F-926B-4B05C21ED9D6}"/>
    <cellStyle name="40% - Énfasis2 80" xfId="13360" xr:uid="{941522D2-0898-40A5-B51C-4BD1EAF886D8}"/>
    <cellStyle name="40% - Énfasis2 80 2" xfId="17346" xr:uid="{362792E9-93E8-4EF0-88D5-9E62BE07452E}"/>
    <cellStyle name="40% - Énfasis2 80 2 2" xfId="23594" xr:uid="{0746CE4B-9D19-4BC1-8467-6FDFF979BE54}"/>
    <cellStyle name="40% - Énfasis2 80 3" xfId="21957" xr:uid="{700AE487-A5B5-44B9-9711-80524D969BDD}"/>
    <cellStyle name="40% - Énfasis2 80_1.2.b" xfId="15614" xr:uid="{DC4FBBBA-3BB9-4D84-9E60-36E2F5E001E8}"/>
    <cellStyle name="40% - Énfasis2 81" xfId="13361" xr:uid="{885B7022-8E28-4D39-9E2A-581686CC423C}"/>
    <cellStyle name="40% - Énfasis2 81 2" xfId="17347" xr:uid="{9DEA129B-C144-4A52-960C-680B58E0526B}"/>
    <cellStyle name="40% - Énfasis2 81 2 2" xfId="23595" xr:uid="{7FCA8282-9777-4952-86DB-3B1C5DFAA1A1}"/>
    <cellStyle name="40% - Énfasis2 81 3" xfId="21958" xr:uid="{BCBD3A97-7792-4AE4-B210-588AA9FF5F25}"/>
    <cellStyle name="40% - Énfasis2 81_1.2.b" xfId="15615" xr:uid="{E4869078-69A5-43F1-8B5C-4D318553E61A}"/>
    <cellStyle name="40% - Énfasis2 82" xfId="13362" xr:uid="{043604BE-36A2-43B9-B274-8E59649A9568}"/>
    <cellStyle name="40% - Énfasis2 82 2" xfId="17348" xr:uid="{20EF3473-630A-45E0-BD53-58FD03D89770}"/>
    <cellStyle name="40% - Énfasis2 82 2 2" xfId="23596" xr:uid="{28273477-94AE-4E73-B42F-4BE8431BF93A}"/>
    <cellStyle name="40% - Énfasis2 82 3" xfId="21959" xr:uid="{312EB17D-C41B-45FC-83FD-C26BD160AC3C}"/>
    <cellStyle name="40% - Énfasis2 82_1.2.b" xfId="15616" xr:uid="{8AC06AF3-670B-499D-900C-7CD78BCC4B54}"/>
    <cellStyle name="40% - Énfasis2 83" xfId="13363" xr:uid="{9EF8A25B-9BC8-416C-ADD0-A8E5337884B2}"/>
    <cellStyle name="40% - Énfasis2 83 2" xfId="17349" xr:uid="{E2058507-9812-4661-B58D-FABCF0A26570}"/>
    <cellStyle name="40% - Énfasis2 83 2 2" xfId="23597" xr:uid="{3412E092-892F-432B-8DF6-B3E7D812F4F6}"/>
    <cellStyle name="40% - Énfasis2 83 3" xfId="21960" xr:uid="{E7330980-9F8D-4B73-8CAC-D5F2C56610A8}"/>
    <cellStyle name="40% - Énfasis2 83_1.2.b" xfId="15617" xr:uid="{BFD83F6C-0C83-4038-94E0-025AFD923B51}"/>
    <cellStyle name="40% - Énfasis2 84" xfId="13364" xr:uid="{45C2457B-FF1C-4803-8D6C-62021341343B}"/>
    <cellStyle name="40% - Énfasis2 84 2" xfId="17350" xr:uid="{80A6FBBB-CAD4-4D47-AE9E-909EFCEABDDE}"/>
    <cellStyle name="40% - Énfasis2 84 2 2" xfId="23598" xr:uid="{1F633631-D1A5-4B87-9668-071D9EBACEFB}"/>
    <cellStyle name="40% - Énfasis2 84 3" xfId="21961" xr:uid="{5A14FE13-65F8-4D76-9774-BC70FA01F159}"/>
    <cellStyle name="40% - Énfasis2 84_1.2.b" xfId="15618" xr:uid="{9DCECF71-4D46-4228-94DB-90DC83DF3EDB}"/>
    <cellStyle name="40% - Énfasis2 85" xfId="13365" xr:uid="{CCFF593D-AAB1-41D2-A5BD-582EA2E2FE66}"/>
    <cellStyle name="40% - Énfasis2 85 2" xfId="17351" xr:uid="{173BF558-21EA-4B99-BBEA-C99FB8193B27}"/>
    <cellStyle name="40% - Énfasis2 85 2 2" xfId="23599" xr:uid="{CEF11913-080F-427E-8243-CFE3BF928E65}"/>
    <cellStyle name="40% - Énfasis2 85 3" xfId="21962" xr:uid="{7386E842-F6B2-4563-B184-4E67CE263313}"/>
    <cellStyle name="40% - Énfasis2 85_1.2.b" xfId="15619" xr:uid="{9C3D536A-525D-40B2-845A-B6B71F5CA4E2}"/>
    <cellStyle name="40% - Énfasis2 86" xfId="13366" xr:uid="{47A1548A-95EB-4706-91F6-5A04261169B7}"/>
    <cellStyle name="40% - Énfasis2 86 2" xfId="17352" xr:uid="{EBDEDF78-43FE-4862-B33A-36AB56C2E52F}"/>
    <cellStyle name="40% - Énfasis2 86 2 2" xfId="23600" xr:uid="{04101296-C703-43CC-9C0C-6F9A70DD73BA}"/>
    <cellStyle name="40% - Énfasis2 86 3" xfId="21963" xr:uid="{AAFDFAFA-E984-4139-8BAD-CFA7C9C4390E}"/>
    <cellStyle name="40% - Énfasis2 86_1.2.b" xfId="15620" xr:uid="{E0EFFEC4-0E15-48F2-8E4A-33081B10655C}"/>
    <cellStyle name="40% - Énfasis2 87" xfId="13367" xr:uid="{18818A18-28EB-4641-B40D-72EA066052A1}"/>
    <cellStyle name="40% - Énfasis2 87 2" xfId="17353" xr:uid="{CF2DBD0C-AC2E-41EC-B171-3763CEE9C52F}"/>
    <cellStyle name="40% - Énfasis2 87 2 2" xfId="23601" xr:uid="{793CBF6B-F0A0-434D-A235-8739BCF7A89C}"/>
    <cellStyle name="40% - Énfasis2 87 3" xfId="21964" xr:uid="{D33151F7-3A5D-4B82-9856-1A0032D06348}"/>
    <cellStyle name="40% - Énfasis2 87_1.2.b" xfId="15621" xr:uid="{0A6CC843-8A9F-4E91-8051-92599AC2977D}"/>
    <cellStyle name="40% - Énfasis2 88" xfId="13368" xr:uid="{E7A15D92-BE9C-4678-8C76-D4D6838CEAA5}"/>
    <cellStyle name="40% - Énfasis2 88 2" xfId="17354" xr:uid="{6171F5F0-B412-4DF7-A42C-85543558F74A}"/>
    <cellStyle name="40% - Énfasis2 88 2 2" xfId="23602" xr:uid="{2EB01935-FAAA-4ACE-BBBA-34F31CA4BA89}"/>
    <cellStyle name="40% - Énfasis2 88 3" xfId="21965" xr:uid="{94B790F3-F707-4FD6-9E71-384153C5B440}"/>
    <cellStyle name="40% - Énfasis2 88_1.2.b" xfId="15622" xr:uid="{CA80F5AE-975E-4152-95EA-01C8C68E3EE8}"/>
    <cellStyle name="40% - Énfasis2 89" xfId="13369" xr:uid="{D7F297D3-01BC-4252-BF06-8B3B4C5F4ABE}"/>
    <cellStyle name="40% - Énfasis2 89 2" xfId="17355" xr:uid="{0683FD85-743D-4867-9C07-54B62CBC2163}"/>
    <cellStyle name="40% - Énfasis2 89 2 2" xfId="23603" xr:uid="{EEBC3CFD-E8B5-4699-908C-10C7D61D33CB}"/>
    <cellStyle name="40% - Énfasis2 89 3" xfId="21966" xr:uid="{E5CC4345-7AA4-420B-A000-9EDAFE66CF20}"/>
    <cellStyle name="40% - Énfasis2 89_1.2.b" xfId="15623" xr:uid="{78FD5500-D5F9-4A92-A0C9-67A00234910B}"/>
    <cellStyle name="40% - Énfasis2 9" xfId="9872" xr:uid="{00000000-0005-0000-0000-0000E7000000}"/>
    <cellStyle name="40% - Énfasis2 9 2" xfId="13370" xr:uid="{E2AB18A5-D7F8-40D2-AD15-2FEBE3E39F7C}"/>
    <cellStyle name="40% - Énfasis2 9 2 2" xfId="21967" xr:uid="{E54C572A-D042-4E43-A796-0BD315546259}"/>
    <cellStyle name="40% - Énfasis2 9 3" xfId="17356" xr:uid="{119A81D0-19F4-4765-B674-8823033E78F0}"/>
    <cellStyle name="40% - Énfasis2 9 3 2" xfId="23604" xr:uid="{63073CB9-1C4C-4B5C-8A20-EDEC121BDF23}"/>
    <cellStyle name="40% - Énfasis2 9_1.2.b" xfId="15624" xr:uid="{8B11B707-FF39-43B3-979D-CF64F3B20258}"/>
    <cellStyle name="40% - Énfasis2 90" xfId="13371" xr:uid="{927C7BDA-1AF3-4045-B9D1-1B59E1657312}"/>
    <cellStyle name="40% - Énfasis2 90 2" xfId="17357" xr:uid="{8854C884-C5AC-48D7-9470-F4409D6C0625}"/>
    <cellStyle name="40% - Énfasis2 90 2 2" xfId="23605" xr:uid="{6F2AE833-EAB6-4283-9969-917BA89CA98A}"/>
    <cellStyle name="40% - Énfasis2 90 3" xfId="21968" xr:uid="{DA79695E-4234-4B3C-BFD3-A03D55A9F258}"/>
    <cellStyle name="40% - Énfasis2 90_1.2.b" xfId="15625" xr:uid="{EE899389-DA02-41D9-97E8-D1AF3D53ADB4}"/>
    <cellStyle name="40% - Énfasis2 91" xfId="13372" xr:uid="{9FBFD844-A7FB-4197-A8F0-09C24B9454F2}"/>
    <cellStyle name="40% - Énfasis2 91 2" xfId="17358" xr:uid="{709E634E-28DA-4321-A632-9B3AA28B0038}"/>
    <cellStyle name="40% - Énfasis2 91 2 2" xfId="23606" xr:uid="{F7C47EC9-F483-447A-921F-5CD08BC11B01}"/>
    <cellStyle name="40% - Énfasis2 91 3" xfId="21969" xr:uid="{C307DDF0-A9FD-459C-937B-8F5281B8BB7A}"/>
    <cellStyle name="40% - Énfasis2 91_1.2.b" xfId="15626" xr:uid="{C426B8F0-C2BA-4194-8884-F398F6BB1209}"/>
    <cellStyle name="40% - Énfasis2 92" xfId="13373" xr:uid="{AA785051-A752-4424-81E6-ED04586F4B0B}"/>
    <cellStyle name="40% - Énfasis2 92 2" xfId="17359" xr:uid="{BB54DDA0-2DDA-4B38-A9E4-55A8AA6B59F8}"/>
    <cellStyle name="40% - Énfasis2 92 2 2" xfId="23607" xr:uid="{A4C8E798-B148-4474-8E69-5D7B453D5D2D}"/>
    <cellStyle name="40% - Énfasis2 92 3" xfId="21970" xr:uid="{3815096C-B93D-44C4-9151-80A0A2BC1C41}"/>
    <cellStyle name="40% - Énfasis2 92_1.2.b" xfId="15627" xr:uid="{23A46BFD-EA9F-4F30-995A-A645EF516D46}"/>
    <cellStyle name="40% - Énfasis2 93" xfId="13374" xr:uid="{4CA83331-2A2D-49EB-8777-526882DC5656}"/>
    <cellStyle name="40% - Énfasis2 93 2" xfId="17360" xr:uid="{82565FA6-01DA-4A24-8759-FD26363DB96E}"/>
    <cellStyle name="40% - Énfasis2 93 2 2" xfId="23608" xr:uid="{BE4EA999-6841-4251-BB0E-7DF9BCF9FB8D}"/>
    <cellStyle name="40% - Énfasis2 93 3" xfId="21971" xr:uid="{56EAAD58-FC3A-4A5D-BCAF-ECF2302A0A8D}"/>
    <cellStyle name="40% - Énfasis2 93_1.2.b" xfId="15628" xr:uid="{E106B9BE-DE48-48D4-ADAF-91626F493B0C}"/>
    <cellStyle name="40% - Énfasis2 94" xfId="13375" xr:uid="{F9BAF089-6A5A-4638-AB80-EACF63EA3157}"/>
    <cellStyle name="40% - Énfasis2 94 2" xfId="17361" xr:uid="{529B0A86-81DD-4CF0-87DE-1E95EABFA721}"/>
    <cellStyle name="40% - Énfasis2 94 2 2" xfId="23609" xr:uid="{90D4D0F0-6203-4C30-88B1-BF541C59C651}"/>
    <cellStyle name="40% - Énfasis2 94 3" xfId="21972" xr:uid="{7E6F7C2F-5B9A-4701-8A85-9CCC19660FB5}"/>
    <cellStyle name="40% - Énfasis2 94_1.2.b" xfId="15629" xr:uid="{F10C81B2-4071-428E-83FD-7598DCB6ACE5}"/>
    <cellStyle name="40% - Énfasis2 95" xfId="13376" xr:uid="{FCACA72D-BF3F-4CB8-961B-2277E07B1E93}"/>
    <cellStyle name="40% - Énfasis2 95 2" xfId="17362" xr:uid="{58A8C9E5-CC6E-4344-9B52-45AF6BE66F33}"/>
    <cellStyle name="40% - Énfasis2 95 2 2" xfId="23610" xr:uid="{4408FD8A-90F8-4020-8555-B3EA5562DD32}"/>
    <cellStyle name="40% - Énfasis2 95 3" xfId="21973" xr:uid="{02F85FA5-BB87-40EA-8702-BFFF93BFD1BC}"/>
    <cellStyle name="40% - Énfasis2 95_1.2.b" xfId="15630" xr:uid="{F511A288-4406-4147-BDF6-AF6DC4F3FAE9}"/>
    <cellStyle name="40% - Énfasis2 96" xfId="13377" xr:uid="{A24288B8-218B-4184-8223-98C2A01943EF}"/>
    <cellStyle name="40% - Énfasis2 96 2" xfId="17363" xr:uid="{073DA3A6-FF73-4359-B0CE-FCB1A2223700}"/>
    <cellStyle name="40% - Énfasis2 96 2 2" xfId="23611" xr:uid="{98A1359A-DC62-42F2-BF8B-195960A9D096}"/>
    <cellStyle name="40% - Énfasis2 96 3" xfId="21974" xr:uid="{542430AF-7183-4629-8FAA-A7922BAD3957}"/>
    <cellStyle name="40% - Énfasis2 96_1.2.b" xfId="15631" xr:uid="{4827F71B-8A6C-4559-A60E-F658B8194E26}"/>
    <cellStyle name="40% - Énfasis3 10" xfId="9921" xr:uid="{00000000-0005-0000-0000-0000E9000000}"/>
    <cellStyle name="40% - Énfasis3 10 2" xfId="11658" xr:uid="{00000000-0005-0000-0000-0000EA000000}"/>
    <cellStyle name="40% - Énfasis3 10 2 2" xfId="20424" xr:uid="{821AE2CE-D5EA-462A-9648-4B0C5CDE1F9E}"/>
    <cellStyle name="40% - Énfasis3 10 3" xfId="13378" xr:uid="{971D8EC7-02C0-4F7B-B54E-B621D5830DCE}"/>
    <cellStyle name="40% - Énfasis3 10 4" xfId="19061" xr:uid="{F02EA29A-5C18-46E9-8D1C-F946916CC8FA}"/>
    <cellStyle name="40% - Énfasis3 10_1.2.b" xfId="15632" xr:uid="{B3060C35-5E24-412C-AADA-58777F36FB18}"/>
    <cellStyle name="40% - Énfasis3 11" xfId="9945" xr:uid="{00000000-0005-0000-0000-0000EB000000}"/>
    <cellStyle name="40% - Énfasis3 11 2" xfId="11681" xr:uid="{00000000-0005-0000-0000-0000EC000000}"/>
    <cellStyle name="40% - Énfasis3 11 2 2" xfId="20437" xr:uid="{BBC67F92-5321-4AC2-9253-2C69DA97997A}"/>
    <cellStyle name="40% - Énfasis3 11 3" xfId="13379" xr:uid="{46A09CB8-E4A4-4E58-A89C-81FE02957E58}"/>
    <cellStyle name="40% - Énfasis3 11 3 2" xfId="21975" xr:uid="{A6F17939-06D6-4960-9DC3-150F8490A405}"/>
    <cellStyle name="40% - Énfasis3 11 4" xfId="17364" xr:uid="{A35D4461-0984-4A2F-BA9E-534C8FA90CF1}"/>
    <cellStyle name="40% - Énfasis3 11 4 2" xfId="23612" xr:uid="{E53DA95F-B76D-4A49-86C9-32BE4257A9AE}"/>
    <cellStyle name="40% - Énfasis3 11 5" xfId="19074" xr:uid="{48A52400-6C87-4D69-84E3-80D1C4944FD4}"/>
    <cellStyle name="40% - Énfasis3 11_1.2.b" xfId="15633" xr:uid="{6469537D-69F7-4F37-92EC-58AFDE35DBC9}"/>
    <cellStyle name="40% - Énfasis3 12" xfId="10536" xr:uid="{00000000-0005-0000-0000-0000ED000000}"/>
    <cellStyle name="40% - Énfasis3 12 2" xfId="12271" xr:uid="{00000000-0005-0000-0000-0000EE000000}"/>
    <cellStyle name="40% - Énfasis3 12 2 2" xfId="21020" xr:uid="{5A5FD3A2-9D6D-469D-BF80-7A7200D084C9}"/>
    <cellStyle name="40% - Énfasis3 12 3" xfId="13380" xr:uid="{416E19E4-1DDB-4521-A3C5-126684CA0641}"/>
    <cellStyle name="40% - Énfasis3 12 3 2" xfId="21976" xr:uid="{332AABFC-3888-4E3E-ABBD-F91D8E71350A}"/>
    <cellStyle name="40% - Énfasis3 12 4" xfId="17365" xr:uid="{6D433764-56FF-40B5-846E-77EF86B6DE8D}"/>
    <cellStyle name="40% - Énfasis3 12 4 2" xfId="23613" xr:uid="{FB57FDDC-25EB-41DD-B7D9-D282345D33C8}"/>
    <cellStyle name="40% - Énfasis3 12 5" xfId="19657" xr:uid="{1F5D00B7-B809-496B-AEFF-B8E1A9C8F562}"/>
    <cellStyle name="40% - Énfasis3 12_1.2.b" xfId="15634" xr:uid="{81A378EF-C0AF-4043-87B3-5C0BBF6CBAD5}"/>
    <cellStyle name="40% - Énfasis3 13" xfId="10583" xr:uid="{00000000-0005-0000-0000-0000EF000000}"/>
    <cellStyle name="40% - Énfasis3 13 2" xfId="12316" xr:uid="{00000000-0005-0000-0000-0000F0000000}"/>
    <cellStyle name="40% - Énfasis3 13 2 2" xfId="21062" xr:uid="{B1F49C39-E526-41CC-B6DC-5A792D797568}"/>
    <cellStyle name="40% - Énfasis3 13 3" xfId="13381" xr:uid="{CABA0B5C-FE6A-4B0F-8DBD-9AB13269F24E}"/>
    <cellStyle name="40% - Énfasis3 13 3 2" xfId="21977" xr:uid="{789690BE-E940-480E-9323-D5511244282A}"/>
    <cellStyle name="40% - Énfasis3 13 4" xfId="17366" xr:uid="{D981F1F9-33B6-499E-A5D7-E930E1E56C58}"/>
    <cellStyle name="40% - Énfasis3 13 4 2" xfId="23614" xr:uid="{E2F0E46E-D328-48AC-A12B-624F89B6767B}"/>
    <cellStyle name="40% - Énfasis3 13 5" xfId="19699" xr:uid="{7EF5AFB9-C7D8-4BB2-9018-85304B3D3285}"/>
    <cellStyle name="40% - Énfasis3 13_1.2.b" xfId="15635" xr:uid="{8B0761DE-1ACC-4AA4-983F-5A31F72A6A75}"/>
    <cellStyle name="40% - Énfasis3 14" xfId="10603" xr:uid="{00000000-0005-0000-0000-0000F1000000}"/>
    <cellStyle name="40% - Énfasis3 14 2" xfId="12332" xr:uid="{00000000-0005-0000-0000-0000F2000000}"/>
    <cellStyle name="40% - Énfasis3 14 2 2" xfId="21078" xr:uid="{3AF0B43B-89A3-4A43-9A77-0A7DA9605FD7}"/>
    <cellStyle name="40% - Énfasis3 14 3" xfId="13382" xr:uid="{F4B5128C-8F14-4B5B-B3E4-235A0A7CA865}"/>
    <cellStyle name="40% - Énfasis3 14 3 2" xfId="21978" xr:uid="{15A515D8-E02A-4C99-9454-634DDEFBF770}"/>
    <cellStyle name="40% - Énfasis3 14 4" xfId="17367" xr:uid="{80CBF41C-0CAE-4934-8393-6B04DD45C1E9}"/>
    <cellStyle name="40% - Énfasis3 14 4 2" xfId="23615" xr:uid="{71EE50EE-B387-42AD-B083-11AEBB1FC2F3}"/>
    <cellStyle name="40% - Énfasis3 14 5" xfId="19715" xr:uid="{BD3CBA02-5BE3-4CED-BC03-AE5953844739}"/>
    <cellStyle name="40% - Énfasis3 14_1.2.b" xfId="15636" xr:uid="{97E111D0-D6AD-460C-8B93-187E1198C982}"/>
    <cellStyle name="40% - Énfasis3 15" xfId="10624" xr:uid="{00000000-0005-0000-0000-0000F3000000}"/>
    <cellStyle name="40% - Énfasis3 15 2" xfId="13383" xr:uid="{87F89392-7B26-4AB4-842B-7367D16C19D0}"/>
    <cellStyle name="40% - Énfasis3 15 2 2" xfId="21979" xr:uid="{B5CA4CE1-6526-431F-9EE1-7689F972CACF}"/>
    <cellStyle name="40% - Énfasis3 15 3" xfId="17368" xr:uid="{5091E868-B311-4BED-BD64-2EC8DEA38875}"/>
    <cellStyle name="40% - Énfasis3 15 3 2" xfId="23616" xr:uid="{774DFD86-8D93-4441-8055-BDB5799D5B87}"/>
    <cellStyle name="40% - Énfasis3 15 4" xfId="19732" xr:uid="{8F9C31D0-6D1F-4ACF-8CDF-5F3205A44E06}"/>
    <cellStyle name="40% - Énfasis3 15_1.2.b" xfId="15637" xr:uid="{A1817A6B-01F4-4003-878B-9A7FBFAF0601}"/>
    <cellStyle name="40% - Énfasis3 16" xfId="12365" xr:uid="{00000000-0005-0000-0000-0000F4000000}"/>
    <cellStyle name="40% - Énfasis3 16 2" xfId="13384" xr:uid="{980FC845-2B6E-44DA-91A1-05705DA3163C}"/>
    <cellStyle name="40% - Énfasis3 16 2 2" xfId="21980" xr:uid="{61690F99-20B5-4F23-81F5-90F0A2661C84}"/>
    <cellStyle name="40% - Énfasis3 16 3" xfId="17369" xr:uid="{3E375BC5-9AF1-4576-A253-3C4A1F8F5B0E}"/>
    <cellStyle name="40% - Énfasis3 16 3 2" xfId="23617" xr:uid="{69CFC944-3299-4F84-9780-E624F747B554}"/>
    <cellStyle name="40% - Énfasis3 16 4" xfId="21108" xr:uid="{8BAB1655-3C8B-40D4-9B4E-F005CAB0024E}"/>
    <cellStyle name="40% - Énfasis3 16_1.2.b" xfId="15638" xr:uid="{63C2F3FA-A9CA-41F1-9518-D3902E401C1D}"/>
    <cellStyle name="40% - Énfasis3 17" xfId="12380" xr:uid="{00000000-0005-0000-0000-0000F5000000}"/>
    <cellStyle name="40% - Énfasis3 17 2" xfId="13385" xr:uid="{2DE8E594-C31F-48CB-BA1A-94FD3D1CE72D}"/>
    <cellStyle name="40% - Énfasis3 17 2 2" xfId="21981" xr:uid="{9AB1AA37-8736-4FA3-9AB3-FEA7E13CD624}"/>
    <cellStyle name="40% - Énfasis3 17 3" xfId="17370" xr:uid="{1CF09087-2EBA-45A5-8E07-61FEFB3D5568}"/>
    <cellStyle name="40% - Énfasis3 17 3 2" xfId="23618" xr:uid="{40C58E23-B164-4CC9-9777-0B47957AC1A0}"/>
    <cellStyle name="40% - Énfasis3 17 4" xfId="21123" xr:uid="{19888F0D-D8DA-4D4B-B182-14D32EB06DB6}"/>
    <cellStyle name="40% - Énfasis3 17_1.2.b" xfId="15639" xr:uid="{82138D27-1331-4529-ABB5-6308CBE1ED02}"/>
    <cellStyle name="40% - Énfasis3 18" xfId="13386" xr:uid="{37C983D4-C38E-4999-959A-657904CAB53C}"/>
    <cellStyle name="40% - Énfasis3 18 2" xfId="17371" xr:uid="{D90426A8-D629-4B92-B1A4-06954948FBBF}"/>
    <cellStyle name="40% - Énfasis3 18 2 2" xfId="23619" xr:uid="{929836CC-ADE1-46A6-AA91-5A7146BBA282}"/>
    <cellStyle name="40% - Énfasis3 18 3" xfId="21982" xr:uid="{427522DE-963C-431E-9A79-8BA90C82B0E9}"/>
    <cellStyle name="40% - Énfasis3 18_1.2.b" xfId="15640" xr:uid="{2D2FE5E0-BA74-45A4-BF69-DA18E0F937D3}"/>
    <cellStyle name="40% - Énfasis3 19" xfId="13387" xr:uid="{425CF33D-80C6-48B2-B807-7BB634CE0F9E}"/>
    <cellStyle name="40% - Énfasis3 19 2" xfId="17372" xr:uid="{42F24300-99A2-40DA-90A9-D090383470F2}"/>
    <cellStyle name="40% - Énfasis3 19 2 2" xfId="23620" xr:uid="{2C11C7B7-1BDC-48CC-BD3D-7653159D8478}"/>
    <cellStyle name="40% - Énfasis3 19 3" xfId="21983" xr:uid="{ECC14C21-6F0A-4A39-9BD4-C2A74C7F06B4}"/>
    <cellStyle name="40% - Énfasis3 19_1.2.b" xfId="15641" xr:uid="{737A16C0-275E-4B83-B05D-F826ACFB2C9B}"/>
    <cellStyle name="40% - Énfasis3 2" xfId="151" xr:uid="{00000000-0005-0000-0000-0000F6000000}"/>
    <cellStyle name="40% - Énfasis3 2 10" xfId="13389" xr:uid="{9518C17C-E938-417B-8C49-7DE4D1766612}"/>
    <cellStyle name="40% - Énfasis3 2 10 2" xfId="17374" xr:uid="{B689F87F-B66B-4D1F-9542-E9AF9AA99075}"/>
    <cellStyle name="40% - Énfasis3 2 10 2 2" xfId="23621" xr:uid="{71245441-8EDC-4451-8CED-4EB6C793C8C8}"/>
    <cellStyle name="40% - Énfasis3 2 10 3" xfId="21984" xr:uid="{06EF20B4-023D-4C64-9C43-29EF268F2776}"/>
    <cellStyle name="40% - Énfasis3 2 10_1.2.b" xfId="15643" xr:uid="{8ACCE6CD-A3EA-4BD9-8F4C-12B15ACF0425}"/>
    <cellStyle name="40% - Énfasis3 2 11" xfId="13388" xr:uid="{159637F5-06CE-4D0A-985D-135DC5927F58}"/>
    <cellStyle name="40% - Énfasis3 2 12" xfId="17373" xr:uid="{4E5615FE-B454-4179-8ACC-15420F5F3C2C}"/>
    <cellStyle name="40% - Énfasis3 2 13" xfId="18161" xr:uid="{AD3C068E-EF38-41A7-9337-18DED91C5825}"/>
    <cellStyle name="40% - Énfasis3 2 14" xfId="18190" xr:uid="{F96E4D46-E92A-4CF5-A39B-84ADD44B2DB7}"/>
    <cellStyle name="40% - Énfasis3 2 15" xfId="18159" xr:uid="{638180CA-7819-42EB-A4DB-F1FFBBD5FDAC}"/>
    <cellStyle name="40% - Énfasis3 2 16" xfId="18194" xr:uid="{807AE3A7-8F3C-4A5F-8AD1-B799DB02B166}"/>
    <cellStyle name="40% - Énfasis3 2 17" xfId="18395" xr:uid="{8F2E3362-7940-4937-B9EE-F97EC60F7A5E}"/>
    <cellStyle name="40% - Énfasis3 2 2" xfId="10671" xr:uid="{00000000-0005-0000-0000-0000F7000000}"/>
    <cellStyle name="40% - Énfasis3 2 2 2" xfId="13391" xr:uid="{DE003AB0-5BA7-47E9-A87A-5D2275A65BBF}"/>
    <cellStyle name="40% - Énfasis3 2 2 3" xfId="13392" xr:uid="{16342B8C-3801-4F01-B775-C715DA757DC5}"/>
    <cellStyle name="40% - Énfasis3 2 2 4" xfId="13393" xr:uid="{B830627D-9D08-4A42-BA22-FB111EE3F07B}"/>
    <cellStyle name="40% - Énfasis3 2 2 5" xfId="13394" xr:uid="{248BB905-BCF1-4DDC-9503-76845C27727A}"/>
    <cellStyle name="40% - Énfasis3 2 2 6" xfId="13390" xr:uid="{AD48EB63-6B5E-4CB1-A3AD-E22EB0C6392A}"/>
    <cellStyle name="40% - Énfasis3 2 2 6 2" xfId="21985" xr:uid="{1D239B86-43EA-437C-9BE6-6F644A4E7B91}"/>
    <cellStyle name="40% - Énfasis3 2 2 7" xfId="17375" xr:uid="{E280F58B-5810-4A33-B204-0979F2F39DCB}"/>
    <cellStyle name="40% - Énfasis3 2 2 7 2" xfId="23622" xr:uid="{6876F1AD-A883-44E6-AE8A-DFB0C1590605}"/>
    <cellStyle name="40% - Énfasis3 2 2 8" xfId="19763" xr:uid="{E5AA5BEC-D56D-4B2F-B5D5-9179640CCB00}"/>
    <cellStyle name="40% - Énfasis3 2 2_1.2.b" xfId="15644" xr:uid="{D4AFA554-E16E-4B54-A4F0-0A784AA49534}"/>
    <cellStyle name="40% - Énfasis3 2 3" xfId="13395" xr:uid="{A62CC381-C804-496E-B8AA-6FE98261FBC7}"/>
    <cellStyle name="40% - Énfasis3 2 4" xfId="13396" xr:uid="{4BF51322-0CF4-4641-AD73-88B711D7CA66}"/>
    <cellStyle name="40% - Énfasis3 2 5" xfId="13397" xr:uid="{43385846-CD75-426F-86EB-2D3E9FD3B3BD}"/>
    <cellStyle name="40% - Énfasis3 2 6" xfId="13398" xr:uid="{C2818496-9154-466A-8F8C-8EDD36800C7D}"/>
    <cellStyle name="40% - Énfasis3 2 7" xfId="13399" xr:uid="{9EA2B662-93CA-4C47-A2D3-D24E8B93554E}"/>
    <cellStyle name="40% - Énfasis3 2 8" xfId="13400" xr:uid="{433D54FA-5392-46D4-8B7B-8D5A704E9273}"/>
    <cellStyle name="40% - Énfasis3 2 9" xfId="13401" xr:uid="{ADCE79F4-F6F6-4B33-811F-3FA526CE0CC5}"/>
    <cellStyle name="40% - Énfasis3 2 9 2" xfId="17377" xr:uid="{FA2F84BD-0081-4D21-9DEA-C79BA25DE34C}"/>
    <cellStyle name="40% - Énfasis3 2 9 2 2" xfId="23623" xr:uid="{FC1607E3-3F50-4F29-9CD3-D9B5A91C5AC3}"/>
    <cellStyle name="40% - Énfasis3 2 9 3" xfId="21986" xr:uid="{264F63AB-87F2-4A21-84CF-DB4D8773C9E2}"/>
    <cellStyle name="40% - Énfasis3 2 9_1.2.b" xfId="15645" xr:uid="{DF40C520-E26D-4397-AD34-36C9CB1A5942}"/>
    <cellStyle name="40% - Énfasis3 2_1.2.b" xfId="15642" xr:uid="{98236B15-AFEE-4B32-80A6-F398276EFEB5}"/>
    <cellStyle name="40% - Énfasis3 20" xfId="13402" xr:uid="{21333C3C-BA06-46FC-8D86-E199B017AD11}"/>
    <cellStyle name="40% - Énfasis3 20 2" xfId="17378" xr:uid="{960DA07E-15A3-48E2-A712-247D6F490839}"/>
    <cellStyle name="40% - Énfasis3 20 2 2" xfId="23624" xr:uid="{3D49D86F-E7AE-4072-810D-A5811A50FC4D}"/>
    <cellStyle name="40% - Énfasis3 20 3" xfId="21987" xr:uid="{119BA44A-28BA-4DDA-8819-ACAD3BADB83D}"/>
    <cellStyle name="40% - Énfasis3 20_1.2.b" xfId="15646" xr:uid="{75A7D69C-4640-4295-8B6F-78C4ECE423A3}"/>
    <cellStyle name="40% - Énfasis3 21" xfId="13403" xr:uid="{01DA6294-2E75-42A8-B103-42A65EDEBD72}"/>
    <cellStyle name="40% - Énfasis3 21 2" xfId="17379" xr:uid="{6DC1FB7C-C04A-43CF-B5D8-19D15BA6EDD6}"/>
    <cellStyle name="40% - Énfasis3 21 2 2" xfId="23625" xr:uid="{828FDD0C-1D6D-4044-AAA7-D829191401D8}"/>
    <cellStyle name="40% - Énfasis3 21 3" xfId="21988" xr:uid="{FD442E6B-5761-4F63-9F70-96A3B57220A9}"/>
    <cellStyle name="40% - Énfasis3 21_1.2.b" xfId="15647" xr:uid="{F130950F-AF5F-457E-A67C-4E045EBC8F7F}"/>
    <cellStyle name="40% - Énfasis3 22" xfId="13404" xr:uid="{4F284AAB-4AA5-4958-8DA2-832470698AAA}"/>
    <cellStyle name="40% - Énfasis3 22 2" xfId="17380" xr:uid="{E01E0D05-5441-41AB-8470-AB0A89E0850F}"/>
    <cellStyle name="40% - Énfasis3 22 2 2" xfId="23626" xr:uid="{E004D108-6EAC-4192-A21B-D487CBA04F99}"/>
    <cellStyle name="40% - Énfasis3 22 3" xfId="21989" xr:uid="{7F8C66D4-31B6-4ABF-A862-A2EFFF43FF3C}"/>
    <cellStyle name="40% - Énfasis3 22_1.2.b" xfId="15648" xr:uid="{C15A6EF6-A3F5-4703-835E-ABEE8DB33859}"/>
    <cellStyle name="40% - Énfasis3 23" xfId="13405" xr:uid="{BC280400-7245-4D32-9841-0569AA44C298}"/>
    <cellStyle name="40% - Énfasis3 23 2" xfId="17381" xr:uid="{EFC8849A-AB57-4990-88A2-881E66F1B876}"/>
    <cellStyle name="40% - Énfasis3 23 2 2" xfId="23627" xr:uid="{AAC70DBB-68B8-4561-91C3-C5D3ACDC49CE}"/>
    <cellStyle name="40% - Énfasis3 23 3" xfId="21990" xr:uid="{60930EF3-56EC-4B9A-8013-5326358640AD}"/>
    <cellStyle name="40% - Énfasis3 23_1.2.b" xfId="15649" xr:uid="{4363E999-1A9D-4BAA-A983-388F81E82142}"/>
    <cellStyle name="40% - Énfasis3 24" xfId="13406" xr:uid="{FF905344-AFE2-4E51-A911-B6162B267100}"/>
    <cellStyle name="40% - Énfasis3 24 2" xfId="17382" xr:uid="{72F9F394-2AA4-49DD-8DB5-E747F979381C}"/>
    <cellStyle name="40% - Énfasis3 24 2 2" xfId="23628" xr:uid="{221BB9B6-E398-463B-B255-BBE86723C70E}"/>
    <cellStyle name="40% - Énfasis3 24 3" xfId="21991" xr:uid="{E22C0E76-36DB-4DFE-B043-860661C1DFA3}"/>
    <cellStyle name="40% - Énfasis3 24_1.2.b" xfId="15650" xr:uid="{8738B080-63D5-46DC-BB95-F6FA6B9B6DCA}"/>
    <cellStyle name="40% - Énfasis3 25" xfId="13407" xr:uid="{DA641566-55AE-41DE-85E9-894BD079CD41}"/>
    <cellStyle name="40% - Énfasis3 25 2" xfId="17383" xr:uid="{F6422B99-2D90-4570-B7F8-FD22635B1017}"/>
    <cellStyle name="40% - Énfasis3 25 2 2" xfId="23629" xr:uid="{ABBDC6C5-BBA4-4CC5-96A5-44FB1C535DAB}"/>
    <cellStyle name="40% - Énfasis3 25 3" xfId="21992" xr:uid="{1BAA14EC-753D-48FC-AFF2-35EDFC96A3A5}"/>
    <cellStyle name="40% - Énfasis3 25_1.2.b" xfId="15651" xr:uid="{DD2D567E-D246-420D-8EFD-B25284C5D030}"/>
    <cellStyle name="40% - Énfasis3 26" xfId="13408" xr:uid="{431E8243-60C9-43D8-807B-30AA31629DCF}"/>
    <cellStyle name="40% - Énfasis3 26 2" xfId="17384" xr:uid="{09D886C5-C3DB-4FF9-822F-E91F084535C6}"/>
    <cellStyle name="40% - Énfasis3 26 2 2" xfId="23630" xr:uid="{0A8D3B8C-63F7-410C-AC33-EA85B2F06C13}"/>
    <cellStyle name="40% - Énfasis3 26 3" xfId="21993" xr:uid="{3EE89B38-7DAA-4330-8FEE-A129821C9BAF}"/>
    <cellStyle name="40% - Énfasis3 26_1.2.b" xfId="15652" xr:uid="{71CC825A-86DD-4AC1-A715-D2DC8DDABC1D}"/>
    <cellStyle name="40% - Énfasis3 27" xfId="13409" xr:uid="{5C3D07A6-F961-4BF8-8F59-F10AD1417DD5}"/>
    <cellStyle name="40% - Énfasis3 27 2" xfId="17385" xr:uid="{4E9FD93C-1649-474F-B5C5-987EA4D2841A}"/>
    <cellStyle name="40% - Énfasis3 27 2 2" xfId="23631" xr:uid="{00871AE3-ECFC-4C3D-A1BA-4B1619B1679B}"/>
    <cellStyle name="40% - Énfasis3 27 3" xfId="21994" xr:uid="{6F303437-BFF2-4C53-9E55-2A81C3396971}"/>
    <cellStyle name="40% - Énfasis3 27_1.2.b" xfId="15653" xr:uid="{245B0EF7-14EA-4EAE-965D-9CC6A0EF7451}"/>
    <cellStyle name="40% - Énfasis3 28" xfId="13410" xr:uid="{1DEC6A26-D355-463F-92CB-4E9843EC7485}"/>
    <cellStyle name="40% - Énfasis3 28 2" xfId="17386" xr:uid="{58CADEDE-59E4-48B3-81EF-CAC68E696C63}"/>
    <cellStyle name="40% - Énfasis3 28 2 2" xfId="23632" xr:uid="{1E482015-3AB5-4FE0-AF13-D294019979EE}"/>
    <cellStyle name="40% - Énfasis3 28 3" xfId="21995" xr:uid="{47938D91-04B3-4548-A2E7-8FE32B92F39A}"/>
    <cellStyle name="40% - Énfasis3 28_1.2.b" xfId="15654" xr:uid="{903D52E9-4261-402C-9C10-EBC509FEC3C4}"/>
    <cellStyle name="40% - Énfasis3 29" xfId="13411" xr:uid="{4C42F839-D1E3-4770-9CC7-9710D4020F77}"/>
    <cellStyle name="40% - Énfasis3 29 2" xfId="17387" xr:uid="{D17B2D30-B62A-4DA5-81DE-E1D8F5F9CAE3}"/>
    <cellStyle name="40% - Énfasis3 29 2 2" xfId="23633" xr:uid="{A9DF2C44-E097-4775-92E5-0FAFF946FE98}"/>
    <cellStyle name="40% - Énfasis3 29 3" xfId="21996" xr:uid="{6FB31B05-6C2A-45F3-8521-6E7A7AD0B915}"/>
    <cellStyle name="40% - Énfasis3 29_1.2.b" xfId="15655" xr:uid="{095D5033-F367-47F9-8CFF-63983A05803B}"/>
    <cellStyle name="40% - Énfasis3 3" xfId="165" xr:uid="{00000000-0005-0000-0000-0000F8000000}"/>
    <cellStyle name="40% - Énfasis3 3 10" xfId="18409" xr:uid="{1EA5AA7E-7569-4506-96AF-EB153C4ACD1F}"/>
    <cellStyle name="40% - Énfasis3 3 2" xfId="10685" xr:uid="{00000000-0005-0000-0000-0000F9000000}"/>
    <cellStyle name="40% - Énfasis3 3 2 2" xfId="13413" xr:uid="{1D3409C8-837F-43E0-AD56-704AAF878D15}"/>
    <cellStyle name="40% - Énfasis3 3 2 2 2" xfId="21998" xr:uid="{21277969-5650-4C21-999C-7F9B18894801}"/>
    <cellStyle name="40% - Énfasis3 3 2 3" xfId="17389" xr:uid="{8A7A95B2-1688-4F24-9531-6F5A3D0D068F}"/>
    <cellStyle name="40% - Énfasis3 3 2 3 2" xfId="23635" xr:uid="{CA2228C3-19A5-4137-87E2-F5618BE4530D}"/>
    <cellStyle name="40% - Énfasis3 3 2 4" xfId="19777" xr:uid="{58464FAF-83D2-4F17-B61C-BE7AC7A0A3C1}"/>
    <cellStyle name="40% - Énfasis3 3 2_1.2.b" xfId="15657" xr:uid="{9084BFBF-F004-4D6B-A80B-4B568F05F54E}"/>
    <cellStyle name="40% - Énfasis3 3 3" xfId="13414" xr:uid="{0712C100-7774-4057-960D-2A94A3C596DB}"/>
    <cellStyle name="40% - Énfasis3 3 4" xfId="13415" xr:uid="{4A34CC78-C844-492F-A26E-3978BC9BC993}"/>
    <cellStyle name="40% - Énfasis3 3 5" xfId="13416" xr:uid="{612F4825-6810-483F-8D06-2DC0321A1BE4}"/>
    <cellStyle name="40% - Énfasis3 3 5 2" xfId="17390" xr:uid="{54A14A50-42F0-43CB-81B9-EE3F732BC8C0}"/>
    <cellStyle name="40% - Énfasis3 3 5 2 2" xfId="23636" xr:uid="{9F30B8CD-38C8-41DD-A77C-CDBC10D2C65C}"/>
    <cellStyle name="40% - Énfasis3 3 5 3" xfId="21999" xr:uid="{A93DAD0B-69C7-43B3-8187-49C27EDDA95D}"/>
    <cellStyle name="40% - Énfasis3 3 5_1.2.b" xfId="15658" xr:uid="{FB0971FB-7E35-4959-91F8-A780C83EED0A}"/>
    <cellStyle name="40% - Énfasis3 3 6" xfId="13417" xr:uid="{8DA53B7D-B5FB-4ADE-AEA7-1342C253BBA3}"/>
    <cellStyle name="40% - Énfasis3 3 6 2" xfId="17391" xr:uid="{AD104E55-666E-44EC-87ED-3F397D80836E}"/>
    <cellStyle name="40% - Énfasis3 3 6 2 2" xfId="23637" xr:uid="{4F435E3B-6568-46A1-99CF-2178FBBF26A7}"/>
    <cellStyle name="40% - Énfasis3 3 6 3" xfId="22000" xr:uid="{D962E8FB-05FF-45E3-9E85-BB2A81151091}"/>
    <cellStyle name="40% - Énfasis3 3 6_1.2.b" xfId="15659" xr:uid="{0401D0BF-CF85-4CE9-908A-0510FCAFDC2B}"/>
    <cellStyle name="40% - Énfasis3 3 7" xfId="13418" xr:uid="{A1D035C7-15D3-4D54-AAB2-486320A2A4FE}"/>
    <cellStyle name="40% - Énfasis3 3 7 2" xfId="17392" xr:uid="{5FE352DC-F71F-46B0-8B80-7DB85595AF40}"/>
    <cellStyle name="40% - Énfasis3 3 7 2 2" xfId="23638" xr:uid="{916CED36-880A-449C-AFEF-ADEB767B57C1}"/>
    <cellStyle name="40% - Énfasis3 3 7 3" xfId="22001" xr:uid="{67490A18-F2A6-43E9-8E4F-C1A7AED64A56}"/>
    <cellStyle name="40% - Énfasis3 3 7_1.2.b" xfId="15660" xr:uid="{3789CDB6-86B3-4169-A4D8-38F9FEF5B0C3}"/>
    <cellStyle name="40% - Énfasis3 3 8" xfId="13412" xr:uid="{3CB2C45D-4715-45BE-A860-B133FD96952A}"/>
    <cellStyle name="40% - Énfasis3 3 8 2" xfId="21997" xr:uid="{090DF5FB-3E01-4BB4-B6E3-2DC8160DFC3E}"/>
    <cellStyle name="40% - Énfasis3 3 9" xfId="17388" xr:uid="{ACACEEAC-4408-4CE6-9635-848454E7FFA4}"/>
    <cellStyle name="40% - Énfasis3 3 9 2" xfId="23634" xr:uid="{A365067E-A283-4431-9D09-3DA0E0C362D7}"/>
    <cellStyle name="40% - Énfasis3 3_1.2.b" xfId="15656" xr:uid="{69B20825-A342-4B8C-97DB-A311223D9C0A}"/>
    <cellStyle name="40% - Énfasis3 30" xfId="13419" xr:uid="{89E3FAF2-292A-457B-8171-0C702EE1291C}"/>
    <cellStyle name="40% - Énfasis3 30 2" xfId="17393" xr:uid="{903E7446-8890-4492-8A27-35A84D8E20EC}"/>
    <cellStyle name="40% - Énfasis3 30 2 2" xfId="23639" xr:uid="{60526080-2686-42C2-940B-444195CE2E7C}"/>
    <cellStyle name="40% - Énfasis3 30 3" xfId="22002" xr:uid="{76CB1471-A6BF-4029-AE15-19E45E190A04}"/>
    <cellStyle name="40% - Énfasis3 30_1.2.b" xfId="15661" xr:uid="{1E1323C6-ABBD-44AD-A949-A5FC2AC6C7D1}"/>
    <cellStyle name="40% - Énfasis3 31" xfId="13420" xr:uid="{8ED5A3BD-AC91-47B6-AE27-28E2655B0341}"/>
    <cellStyle name="40% - Énfasis3 31 2" xfId="17394" xr:uid="{243F586D-8287-4256-8452-238457DEE60F}"/>
    <cellStyle name="40% - Énfasis3 31 2 2" xfId="23640" xr:uid="{C1F5D2FF-15F6-468A-9CFE-53296020128A}"/>
    <cellStyle name="40% - Énfasis3 31 3" xfId="22003" xr:uid="{60F3C4D4-0683-4FA8-880D-894F8C382AA0}"/>
    <cellStyle name="40% - Énfasis3 31_1.2.b" xfId="15662" xr:uid="{F32284E8-E702-4CAC-8A31-0FED85BE8E46}"/>
    <cellStyle name="40% - Énfasis3 32" xfId="13421" xr:uid="{764FB42F-5A3B-4D67-A746-967D59E49717}"/>
    <cellStyle name="40% - Énfasis3 32 2" xfId="17395" xr:uid="{EB4CDCA8-E128-40C3-9A4B-09EB401E938B}"/>
    <cellStyle name="40% - Énfasis3 32 2 2" xfId="23641" xr:uid="{8023D3C8-4524-43F3-B0F1-53A222EB0D8A}"/>
    <cellStyle name="40% - Énfasis3 32 3" xfId="22004" xr:uid="{111D7444-D18A-4EFE-BB3B-592B576F8892}"/>
    <cellStyle name="40% - Énfasis3 32_1.2.b" xfId="15663" xr:uid="{030C7DB3-A0BF-4772-9E9F-A908827B22A3}"/>
    <cellStyle name="40% - Énfasis3 33" xfId="13422" xr:uid="{F515FADE-46E4-4850-9391-8373D79BACCB}"/>
    <cellStyle name="40% - Énfasis3 33 2" xfId="17396" xr:uid="{FE9BCEDF-345C-4BF4-AB9E-BD5E3A8FA689}"/>
    <cellStyle name="40% - Énfasis3 33 2 2" xfId="23642" xr:uid="{8DD48A31-AD15-41AE-A6B4-9B1D65548096}"/>
    <cellStyle name="40% - Énfasis3 33 3" xfId="22005" xr:uid="{AEFE120D-60F6-4417-A2A1-11791BC7AC0E}"/>
    <cellStyle name="40% - Énfasis3 33_1.2.b" xfId="15664" xr:uid="{4DB5C303-50C1-434E-9F76-EFC6E4BFFB84}"/>
    <cellStyle name="40% - Énfasis3 34" xfId="13423" xr:uid="{F2A3808C-7D90-42C8-B875-C6F20CF844B2}"/>
    <cellStyle name="40% - Énfasis3 34 2" xfId="17397" xr:uid="{E7D81244-780E-4D56-8000-3CA21C7182BF}"/>
    <cellStyle name="40% - Énfasis3 34 2 2" xfId="23643" xr:uid="{1232846D-2FA9-4645-9B1F-268BFAF6488A}"/>
    <cellStyle name="40% - Énfasis3 34 3" xfId="22006" xr:uid="{D11039F2-A247-4E24-AC9C-2DA02C4812D7}"/>
    <cellStyle name="40% - Énfasis3 34_1.2.b" xfId="15665" xr:uid="{ECCD8D6E-1404-4197-8589-8F19ACE45B8C}"/>
    <cellStyle name="40% - Énfasis3 35" xfId="13424" xr:uid="{227A005D-1496-49D6-83A6-7AD025AD4396}"/>
    <cellStyle name="40% - Énfasis3 35 2" xfId="17398" xr:uid="{E757C83C-DA53-430B-8FB7-0267C188C4F3}"/>
    <cellStyle name="40% - Énfasis3 35 2 2" xfId="23644" xr:uid="{D91E25E0-9D89-47A4-8323-C11716434A9A}"/>
    <cellStyle name="40% - Énfasis3 35 3" xfId="22007" xr:uid="{74A7F2C7-26E5-42E8-967B-2D09922578D3}"/>
    <cellStyle name="40% - Énfasis3 35_1.2.b" xfId="15666" xr:uid="{E7024E09-F49F-4D32-B553-4AD31E7ECB51}"/>
    <cellStyle name="40% - Énfasis3 36" xfId="13425" xr:uid="{EB727C55-FC0B-4BB1-A8D9-95C4DC1C92A9}"/>
    <cellStyle name="40% - Énfasis3 36 2" xfId="17399" xr:uid="{228FC188-F3E3-422B-BFE4-D968C3835599}"/>
    <cellStyle name="40% - Énfasis3 36 2 2" xfId="23645" xr:uid="{14EB0F22-4F8A-4C82-A56F-994683774916}"/>
    <cellStyle name="40% - Énfasis3 36 3" xfId="22008" xr:uid="{60431ABE-A255-4634-88D7-2EA11DF81232}"/>
    <cellStyle name="40% - Énfasis3 36_1.2.b" xfId="15667" xr:uid="{D6B079E0-8706-4AFA-901C-B52E6A06316A}"/>
    <cellStyle name="40% - Énfasis3 37" xfId="13426" xr:uid="{089430C2-1886-437E-BF01-2D38F9A11949}"/>
    <cellStyle name="40% - Énfasis3 37 2" xfId="17400" xr:uid="{B225A138-9AD9-4A73-8AD2-163BA4BBC57E}"/>
    <cellStyle name="40% - Énfasis3 37 2 2" xfId="23646" xr:uid="{CBCFF448-C00D-4969-874B-B06D7819098F}"/>
    <cellStyle name="40% - Énfasis3 37 3" xfId="22009" xr:uid="{52168216-1289-473D-A88A-4FA084B72175}"/>
    <cellStyle name="40% - Énfasis3 37_1.2.b" xfId="15668" xr:uid="{633EF987-A780-4DFD-A790-AC060D541594}"/>
    <cellStyle name="40% - Énfasis3 38" xfId="13427" xr:uid="{9034D5FB-308E-4960-B844-2869F138DBBA}"/>
    <cellStyle name="40% - Énfasis3 38 2" xfId="17401" xr:uid="{71DBECF4-E3A6-4F5F-83A3-7044C123A6F7}"/>
    <cellStyle name="40% - Énfasis3 38 2 2" xfId="23647" xr:uid="{F0B44919-FBCE-4A9A-BAE1-11D63963B355}"/>
    <cellStyle name="40% - Énfasis3 38 3" xfId="22010" xr:uid="{29FE663D-B73C-4B32-8F9C-3A954F043CE3}"/>
    <cellStyle name="40% - Énfasis3 38_1.2.b" xfId="15669" xr:uid="{CC7B852E-61D9-48EA-A685-946A511AE2BE}"/>
    <cellStyle name="40% - Énfasis3 39" xfId="13428" xr:uid="{33F767A9-F033-476F-8536-7E94650131F2}"/>
    <cellStyle name="40% - Énfasis3 39 2" xfId="17402" xr:uid="{A6EC46F4-7EEF-4375-8ED0-19E20B24ADA6}"/>
    <cellStyle name="40% - Énfasis3 39 2 2" xfId="23648" xr:uid="{40A4D9A4-AD3E-4AC6-803E-9ABEEC0D5727}"/>
    <cellStyle name="40% - Énfasis3 39 3" xfId="22011" xr:uid="{97E36707-B94E-4DC3-B13F-9AAC75C98CA7}"/>
    <cellStyle name="40% - Énfasis3 39_1.2.b" xfId="15670" xr:uid="{5315B0EF-0B75-4769-81D1-E6552D2E1549}"/>
    <cellStyle name="40% - Énfasis3 4" xfId="179" xr:uid="{00000000-0005-0000-0000-0000FA000000}"/>
    <cellStyle name="40% - Énfasis3 4 2" xfId="10699" xr:uid="{00000000-0005-0000-0000-0000FB000000}"/>
    <cellStyle name="40% - Énfasis3 4 2 2" xfId="13431" xr:uid="{102B91E8-6ED1-45BF-812D-C41D572CA388}"/>
    <cellStyle name="40% - Énfasis3 4 2 2 2" xfId="17405" xr:uid="{EB34160F-908F-4445-9D25-6C97051BFB0E}"/>
    <cellStyle name="40% - Énfasis3 4 2 2 2 2" xfId="23650" xr:uid="{5BFEB2D7-73AB-471B-889D-D2CEE9F0C186}"/>
    <cellStyle name="40% - Énfasis3 4 2 2 3" xfId="22013" xr:uid="{B33D7E0C-62D8-40A2-ABB8-978CCCDDC825}"/>
    <cellStyle name="40% - Énfasis3 4 2 2_1.2.b" xfId="15673" xr:uid="{86E89CEE-7F92-4CF9-B1DA-0B6B1890A9FE}"/>
    <cellStyle name="40% - Énfasis3 4 2 3" xfId="13430" xr:uid="{524CB1C3-37AB-4F68-A489-AFAF56A2569F}"/>
    <cellStyle name="40% - Énfasis3 4 2 4" xfId="17404" xr:uid="{B900E81C-107A-4B59-B08A-B03C510AECA9}"/>
    <cellStyle name="40% - Énfasis3 4 2 5" xfId="18163" xr:uid="{3611F94A-6007-4387-9A2A-E5FA43E30EAB}"/>
    <cellStyle name="40% - Énfasis3 4 2 6" xfId="18188" xr:uid="{30F6B815-DBAE-42BC-8073-49832069B003}"/>
    <cellStyle name="40% - Énfasis3 4 2 7" xfId="18162" xr:uid="{3331AAC8-7035-448E-91FF-06BD60B1DF00}"/>
    <cellStyle name="40% - Énfasis3 4 2 8" xfId="18189" xr:uid="{8857BB17-7037-4E95-B3FA-1CE83A9EF9F5}"/>
    <cellStyle name="40% - Énfasis3 4 2 9" xfId="19791" xr:uid="{6393D463-155F-45D0-9ED1-C2FE3D634ABC}"/>
    <cellStyle name="40% - Énfasis3 4 2_1.2.b" xfId="15672" xr:uid="{548BD082-B06E-471B-BA2E-9A9367E0EA52}"/>
    <cellStyle name="40% - Énfasis3 4 3" xfId="13432" xr:uid="{0D74A442-A223-4A00-9FE0-21C5DE75C381}"/>
    <cellStyle name="40% - Énfasis3 4 3 2" xfId="17406" xr:uid="{4209A792-6BF1-40D4-8608-E3041A4F6DF4}"/>
    <cellStyle name="40% - Énfasis3 4 3 2 2" xfId="23651" xr:uid="{7925B7AA-ECDF-4858-9F9E-B3123BCE802B}"/>
    <cellStyle name="40% - Énfasis3 4 3 3" xfId="22014" xr:uid="{7330DA20-2E52-4E90-B1DE-5A48DEF707AA}"/>
    <cellStyle name="40% - Énfasis3 4 3_1.2.b" xfId="15674" xr:uid="{FA7CC122-1D6A-47A5-9069-687AA61A08D8}"/>
    <cellStyle name="40% - Énfasis3 4 4" xfId="13433" xr:uid="{CF9E4322-5CD6-46BE-9FE4-D27E78B4EF41}"/>
    <cellStyle name="40% - Énfasis3 4 4 2" xfId="17407" xr:uid="{56C69154-4DA3-4957-9C93-5BC5C4499DE6}"/>
    <cellStyle name="40% - Énfasis3 4 4 2 2" xfId="23652" xr:uid="{10B5FD45-0D01-4340-A19E-71FE2079A1CD}"/>
    <cellStyle name="40% - Énfasis3 4 4 3" xfId="22015" xr:uid="{94FB6D20-9A6C-407B-8E1D-4F9C2C273F94}"/>
    <cellStyle name="40% - Énfasis3 4 4_1.2.b" xfId="15675" xr:uid="{239B3506-6BE4-4E5F-B038-F7D33E22F66C}"/>
    <cellStyle name="40% - Énfasis3 4 5" xfId="13434" xr:uid="{24E9835B-B2A6-4DE2-BF6F-D5FD51EC2F45}"/>
    <cellStyle name="40% - Énfasis3 4 5 2" xfId="17408" xr:uid="{E63CA18D-9C6E-4D7F-8264-80F80E1BBB72}"/>
    <cellStyle name="40% - Énfasis3 4 5 2 2" xfId="23653" xr:uid="{C05B7162-2130-47E0-AC3E-B1387DCE8942}"/>
    <cellStyle name="40% - Énfasis3 4 5 3" xfId="22016" xr:uid="{D9021283-9A72-481B-AE06-E7606FCAB3F8}"/>
    <cellStyle name="40% - Énfasis3 4 5_1.2.b" xfId="15676" xr:uid="{4C3AC763-8558-4B7D-8533-B8C852ED7B9E}"/>
    <cellStyle name="40% - Énfasis3 4 6" xfId="13435" xr:uid="{FB3CBCE6-4313-4011-9A90-C466B26E2EF1}"/>
    <cellStyle name="40% - Énfasis3 4 6 2" xfId="17409" xr:uid="{1ECB9D11-B2A6-492E-A21E-90185BE07B7C}"/>
    <cellStyle name="40% - Énfasis3 4 6 2 2" xfId="23654" xr:uid="{D433D27D-869E-4859-AEE5-50293466D56C}"/>
    <cellStyle name="40% - Énfasis3 4 6 3" xfId="22017" xr:uid="{6B576B92-F810-40B3-8804-A5EEE14EF7B1}"/>
    <cellStyle name="40% - Énfasis3 4 6_1.2.b" xfId="15677" xr:uid="{A89BC3EF-0B50-4753-9440-F864D607DCFA}"/>
    <cellStyle name="40% - Énfasis3 4 7" xfId="13429" xr:uid="{46126CD9-7E95-446B-9EDE-4414ED947B3C}"/>
    <cellStyle name="40% - Énfasis3 4 7 2" xfId="22012" xr:uid="{764EC7E1-968A-42BB-A2FC-CC2450D97055}"/>
    <cellStyle name="40% - Énfasis3 4 8" xfId="17403" xr:uid="{50143E64-30AA-4CEF-9983-F04CC7547880}"/>
    <cellStyle name="40% - Énfasis3 4 8 2" xfId="23649" xr:uid="{977A9353-6235-44E9-A79E-B088B682E037}"/>
    <cellStyle name="40% - Énfasis3 4 9" xfId="18423" xr:uid="{154A1980-2804-4F53-82CD-F14B067C47C9}"/>
    <cellStyle name="40% - Énfasis3 4_1.2.b" xfId="15671" xr:uid="{58B9F822-E2D5-41A2-9DA3-3B938274A2DD}"/>
    <cellStyle name="40% - Énfasis3 40" xfId="13436" xr:uid="{B3B4947A-5F2A-4868-A4E1-5BA32D20D75B}"/>
    <cellStyle name="40% - Énfasis3 40 2" xfId="17410" xr:uid="{03AE311F-BB05-4534-817F-7F5017B499A8}"/>
    <cellStyle name="40% - Énfasis3 40 2 2" xfId="23655" xr:uid="{0B5CA595-CE7A-4B37-820F-61D800FB001F}"/>
    <cellStyle name="40% - Énfasis3 40 3" xfId="22018" xr:uid="{490DFF0F-5776-4E3D-9933-475CF127D8E4}"/>
    <cellStyle name="40% - Énfasis3 40_1.2.b" xfId="15678" xr:uid="{857483A2-F420-4D2E-9111-F3C1C25B847A}"/>
    <cellStyle name="40% - Énfasis3 41" xfId="13437" xr:uid="{D04A5FE1-F1A9-407F-A3CB-B562FC0FD970}"/>
    <cellStyle name="40% - Énfasis3 41 2" xfId="17411" xr:uid="{37470E60-7F7F-4E2B-BEF6-DB227FA1C08E}"/>
    <cellStyle name="40% - Énfasis3 41 2 2" xfId="23656" xr:uid="{020C3DED-8073-46B0-9452-E870BAE10678}"/>
    <cellStyle name="40% - Énfasis3 41 3" xfId="22019" xr:uid="{E8C81EA7-5784-4A20-8F5E-C2CF0AE3FE43}"/>
    <cellStyle name="40% - Énfasis3 41_1.2.b" xfId="15679" xr:uid="{A3ACEB04-A3DC-495F-A19A-636B9D9D7F95}"/>
    <cellStyle name="40% - Énfasis3 42" xfId="13438" xr:uid="{731525D9-B27E-4548-809B-6C7F303BB7A9}"/>
    <cellStyle name="40% - Énfasis3 42 2" xfId="17412" xr:uid="{66C5107F-59C0-4EE3-9E70-C37AC56FA56A}"/>
    <cellStyle name="40% - Énfasis3 42 2 2" xfId="23657" xr:uid="{50D7D9C6-5E08-4F14-A191-09FE56FDBB75}"/>
    <cellStyle name="40% - Énfasis3 42 3" xfId="22020" xr:uid="{B6E058F7-6B20-4212-9DDA-07BB503DC18E}"/>
    <cellStyle name="40% - Énfasis3 42_1.2.b" xfId="15680" xr:uid="{48272C99-84B5-4027-A9D9-3D49622FD4A4}"/>
    <cellStyle name="40% - Énfasis3 43" xfId="13439" xr:uid="{1C74B5F3-DF03-4F47-8569-BB8EA01A5297}"/>
    <cellStyle name="40% - Énfasis3 43 2" xfId="17413" xr:uid="{6FB382F0-6AFD-4A2C-9F44-C7117596887D}"/>
    <cellStyle name="40% - Énfasis3 43 2 2" xfId="23658" xr:uid="{72987F90-31E3-4A16-93E7-C9BEBEC4DFF4}"/>
    <cellStyle name="40% - Énfasis3 43 3" xfId="22021" xr:uid="{1DA6C930-1C4E-423E-A816-DEA9545D7416}"/>
    <cellStyle name="40% - Énfasis3 43_1.2.b" xfId="15681" xr:uid="{81F0D7CD-93C5-4DC4-AA76-3175F17B5175}"/>
    <cellStyle name="40% - Énfasis3 44" xfId="13440" xr:uid="{DB6DA9B2-00A9-49C1-9907-6201EBF38F2B}"/>
    <cellStyle name="40% - Énfasis3 44 2" xfId="17414" xr:uid="{8E8EF0A9-62B5-4C9E-9F0D-7414F2482796}"/>
    <cellStyle name="40% - Énfasis3 44 2 2" xfId="23659" xr:uid="{016E400D-089D-4338-AC5B-1EA3C0474F1E}"/>
    <cellStyle name="40% - Énfasis3 44 3" xfId="22022" xr:uid="{467ACCB4-E321-4669-A07F-DEE0E48B2244}"/>
    <cellStyle name="40% - Énfasis3 44_1.2.b" xfId="15682" xr:uid="{7EAF218E-14EC-4D43-91D7-2249E02DF375}"/>
    <cellStyle name="40% - Énfasis3 45" xfId="13441" xr:uid="{166F36D3-D4F2-4B27-A6E2-73EF8D2283C2}"/>
    <cellStyle name="40% - Énfasis3 45 2" xfId="17415" xr:uid="{72FBC927-8728-4781-B2AE-3B30644B4074}"/>
    <cellStyle name="40% - Énfasis3 45 2 2" xfId="23660" xr:uid="{421B6C4A-2B13-43AE-AA5D-2147E65703EF}"/>
    <cellStyle name="40% - Énfasis3 45 3" xfId="22023" xr:uid="{BED217E4-ABF2-44C4-8DF0-42638C3D9116}"/>
    <cellStyle name="40% - Énfasis3 45_1.2.b" xfId="15683" xr:uid="{2E5CAF63-43AB-4ADD-B809-962D038348A2}"/>
    <cellStyle name="40% - Énfasis3 46" xfId="13442" xr:uid="{11BD1779-3B50-4EE7-BBCF-B2D617D62ABF}"/>
    <cellStyle name="40% - Énfasis3 46 2" xfId="17416" xr:uid="{7C63BCA0-61A0-4168-9A39-35BE70AE65DA}"/>
    <cellStyle name="40% - Énfasis3 46 2 2" xfId="23661" xr:uid="{1E4FDED5-9E0B-469A-920E-19D1543A45AE}"/>
    <cellStyle name="40% - Énfasis3 46 3" xfId="22024" xr:uid="{F0B123CE-A6DC-4F6C-A0BC-11EBCB347F78}"/>
    <cellStyle name="40% - Énfasis3 46_1.2.b" xfId="15684" xr:uid="{E3B2DF16-23A1-4565-AD78-644E6F7D5AF2}"/>
    <cellStyle name="40% - Énfasis3 47" xfId="13443" xr:uid="{9BCA9520-1D96-4D83-BF36-D6344B5FFF9A}"/>
    <cellStyle name="40% - Énfasis3 47 2" xfId="17417" xr:uid="{064E2281-1E38-402C-8B30-A8D671F477C6}"/>
    <cellStyle name="40% - Énfasis3 47 2 2" xfId="23662" xr:uid="{F428811B-B730-4A3C-BFBD-2FE3045EAA4D}"/>
    <cellStyle name="40% - Énfasis3 47 3" xfId="22025" xr:uid="{9CDC6A54-32A0-44C9-ABBB-50BC452E6AA8}"/>
    <cellStyle name="40% - Énfasis3 47_1.2.b" xfId="15685" xr:uid="{8D463845-B1B3-4660-8A32-F57CB2D4F7FB}"/>
    <cellStyle name="40% - Énfasis3 48" xfId="13444" xr:uid="{2AB8C6D2-5C06-4CD3-8536-CC7BFC1AA8D9}"/>
    <cellStyle name="40% - Énfasis3 48 2" xfId="17418" xr:uid="{6AE08F2A-4A58-4D08-8967-24D25E3C8B71}"/>
    <cellStyle name="40% - Énfasis3 48 2 2" xfId="23663" xr:uid="{7BE3B428-A05E-4C2F-B56E-13F6ADB792FF}"/>
    <cellStyle name="40% - Énfasis3 48 3" xfId="22026" xr:uid="{934C57C3-85DA-4808-9B25-30B9322A0EE5}"/>
    <cellStyle name="40% - Énfasis3 48_1.2.b" xfId="15686" xr:uid="{5B5C53D5-B133-40A5-AE1E-F70C93372124}"/>
    <cellStyle name="40% - Énfasis3 49" xfId="13445" xr:uid="{8BB0A3D2-D152-498F-9237-BDFEA77AA19F}"/>
    <cellStyle name="40% - Énfasis3 49 2" xfId="17419" xr:uid="{CBA82CA6-8D1C-44EE-BCEF-F4D67558E55C}"/>
    <cellStyle name="40% - Énfasis3 49 2 2" xfId="23664" xr:uid="{5F6E6760-0545-4351-8D7D-99BAEF6953D5}"/>
    <cellStyle name="40% - Énfasis3 49 3" xfId="22027" xr:uid="{D4869845-EF7F-440B-A946-69FBDB3F4D67}"/>
    <cellStyle name="40% - Énfasis3 49_1.2.b" xfId="15687" xr:uid="{E98BA128-3232-45AC-805A-DFE762038DE4}"/>
    <cellStyle name="40% - Énfasis3 5" xfId="194" xr:uid="{00000000-0005-0000-0000-0000FC000000}"/>
    <cellStyle name="40% - Énfasis3 5 2" xfId="10714" xr:uid="{00000000-0005-0000-0000-0000FD000000}"/>
    <cellStyle name="40% - Énfasis3 5 2 2" xfId="13447" xr:uid="{104D3A13-CCAF-4C00-A58D-28011A5E12E2}"/>
    <cellStyle name="40% - Énfasis3 5 2 2 2" xfId="22029" xr:uid="{0EF36E64-6725-4D76-A20F-95693F1C449D}"/>
    <cellStyle name="40% - Énfasis3 5 2 3" xfId="17421" xr:uid="{6ED81AC1-9A6D-414E-A852-C6FA375DD4E6}"/>
    <cellStyle name="40% - Énfasis3 5 2 3 2" xfId="23666" xr:uid="{968C635F-D42A-4CC2-ABC2-7217B5CE2C9A}"/>
    <cellStyle name="40% - Énfasis3 5 2 4" xfId="19806" xr:uid="{FB465800-20C9-42A9-A0A2-7138594D6512}"/>
    <cellStyle name="40% - Énfasis3 5 2_1.2.b" xfId="15689" xr:uid="{C5726134-BA50-42E5-806F-FE711A042179}"/>
    <cellStyle name="40% - Énfasis3 5 3" xfId="13448" xr:uid="{108077A0-529E-4DEC-9335-0DAC381F2750}"/>
    <cellStyle name="40% - Énfasis3 5 3 2" xfId="17422" xr:uid="{89F47FCC-A7F5-4DE7-B612-6F3789C3421A}"/>
    <cellStyle name="40% - Énfasis3 5 3 2 2" xfId="23667" xr:uid="{363D22F6-D450-47DC-95E8-6E0E51E03366}"/>
    <cellStyle name="40% - Énfasis3 5 3 3" xfId="22030" xr:uid="{2614AFE2-8105-429B-AF14-49839580E2A8}"/>
    <cellStyle name="40% - Énfasis3 5 3_1.2.b" xfId="15690" xr:uid="{148605EC-181F-45CF-A98D-D5120F385349}"/>
    <cellStyle name="40% - Énfasis3 5 4" xfId="13446" xr:uid="{92128E4B-06CD-414D-9642-B7806756FE4D}"/>
    <cellStyle name="40% - Énfasis3 5 4 2" xfId="22028" xr:uid="{F915AF3A-8A18-4F60-B403-BB5759228176}"/>
    <cellStyle name="40% - Énfasis3 5 5" xfId="17420" xr:uid="{FD5391B3-A21A-4CA2-845B-5DB4DC765BF8}"/>
    <cellStyle name="40% - Énfasis3 5 5 2" xfId="23665" xr:uid="{15F2FBCD-A7FD-4473-8445-2B55C9F8FD2B}"/>
    <cellStyle name="40% - Énfasis3 5 6" xfId="18438" xr:uid="{526F4770-BD09-4284-AA58-76B57E58F2D8}"/>
    <cellStyle name="40% - Énfasis3 5_1.2.b" xfId="15688" xr:uid="{58C3B897-F3A9-49F8-85FB-5C03F7FEFD03}"/>
    <cellStyle name="40% - Énfasis3 50" xfId="13449" xr:uid="{4A87D0AF-32EF-46AF-A02C-702447BB153F}"/>
    <cellStyle name="40% - Énfasis3 50 2" xfId="17423" xr:uid="{AC5B9F64-94B0-492E-B9EA-612856195C57}"/>
    <cellStyle name="40% - Énfasis3 50 2 2" xfId="23668" xr:uid="{F9693E4D-0A41-49EE-A3FC-4C9CA7D39BBB}"/>
    <cellStyle name="40% - Énfasis3 50 3" xfId="22031" xr:uid="{5C5F787A-2356-4AD4-9BC3-873341384254}"/>
    <cellStyle name="40% - Énfasis3 50_1.2.b" xfId="15691" xr:uid="{9259F288-3D03-4A34-8B82-93584EAE3858}"/>
    <cellStyle name="40% - Énfasis3 51" xfId="13450" xr:uid="{86A69111-DFD9-4D3A-9A99-043A911CD444}"/>
    <cellStyle name="40% - Énfasis3 51 2" xfId="17424" xr:uid="{8BC2F31F-A76C-4592-BE7C-857EE3DFBC1B}"/>
    <cellStyle name="40% - Énfasis3 51 2 2" xfId="23669" xr:uid="{0F2EAC2F-4F10-4479-975E-45A500584286}"/>
    <cellStyle name="40% - Énfasis3 51 3" xfId="22032" xr:uid="{C10B736D-057D-4E3D-9893-C06D7585B1B7}"/>
    <cellStyle name="40% - Énfasis3 51_1.2.b" xfId="15692" xr:uid="{37F1CA76-C294-432D-A925-328398078C6E}"/>
    <cellStyle name="40% - Énfasis3 52" xfId="13451" xr:uid="{201098FB-8109-42E0-AC51-60DC36D4E813}"/>
    <cellStyle name="40% - Énfasis3 52 2" xfId="17425" xr:uid="{F522043E-9953-4136-9C0B-09FBC23FAA9D}"/>
    <cellStyle name="40% - Énfasis3 52 2 2" xfId="23670" xr:uid="{5917268E-E938-4B57-BF28-5DECF7805718}"/>
    <cellStyle name="40% - Énfasis3 52 3" xfId="22033" xr:uid="{388FB012-033D-4D4A-8B0F-5F9D5215DA13}"/>
    <cellStyle name="40% - Énfasis3 52_1.2.b" xfId="15693" xr:uid="{A8138EA7-D13F-4DE3-9A81-FF0656A3D737}"/>
    <cellStyle name="40% - Énfasis3 53" xfId="13452" xr:uid="{37E98997-FF06-4FA9-A5C4-5F3EA6D2B692}"/>
    <cellStyle name="40% - Énfasis3 53 2" xfId="17426" xr:uid="{C2B36035-5D36-46F6-8790-13338E6DF245}"/>
    <cellStyle name="40% - Énfasis3 53 2 2" xfId="23671" xr:uid="{5E16CBFA-4DC8-4452-A936-EE00F22E6517}"/>
    <cellStyle name="40% - Énfasis3 53 3" xfId="22034" xr:uid="{0AFDEFA7-8E53-45C6-AECE-9300A6C27A43}"/>
    <cellStyle name="40% - Énfasis3 53_1.2.b" xfId="15694" xr:uid="{78649820-6FEC-4742-A9B4-E28A341D5CD2}"/>
    <cellStyle name="40% - Énfasis3 54" xfId="13453" xr:uid="{C75F8197-262F-442D-B723-9FBE627DC040}"/>
    <cellStyle name="40% - Énfasis3 54 2" xfId="17427" xr:uid="{A2575FD6-70E6-42AA-8B87-A0A6D8074EC6}"/>
    <cellStyle name="40% - Énfasis3 54 2 2" xfId="23672" xr:uid="{50C75142-C6E7-43E0-8648-3AD4D0BE62C8}"/>
    <cellStyle name="40% - Énfasis3 54 3" xfId="22035" xr:uid="{DF6B1320-A1CC-41DD-92AC-BF1AA7C25E9F}"/>
    <cellStyle name="40% - Énfasis3 54_1.2.b" xfId="15695" xr:uid="{E517A94F-B847-4F0F-94C9-84ED2B92C14A}"/>
    <cellStyle name="40% - Énfasis3 55" xfId="13454" xr:uid="{D21F7DD2-A0F3-40FB-AC8A-09E221E6986F}"/>
    <cellStyle name="40% - Énfasis3 55 2" xfId="17428" xr:uid="{E6EC0264-1A67-498C-8036-02EBC2382F84}"/>
    <cellStyle name="40% - Énfasis3 55 2 2" xfId="23673" xr:uid="{C9708744-F426-4EA3-B058-0FE9FD97BB90}"/>
    <cellStyle name="40% - Énfasis3 55 3" xfId="22036" xr:uid="{B24BA090-7BA1-461C-9AB7-E8F3A353390B}"/>
    <cellStyle name="40% - Énfasis3 55_1.2.b" xfId="15696" xr:uid="{177D3551-5BBF-4F33-8636-5E8E5346E2A4}"/>
    <cellStyle name="40% - Énfasis3 56" xfId="13455" xr:uid="{DAA43074-9962-4632-9BBE-91DD4C6ECC45}"/>
    <cellStyle name="40% - Énfasis3 56 2" xfId="17429" xr:uid="{2FD868F8-6446-4D3A-BE39-D96B56192011}"/>
    <cellStyle name="40% - Énfasis3 56 2 2" xfId="23674" xr:uid="{59580157-057C-439E-8596-7FDF7C3E9959}"/>
    <cellStyle name="40% - Énfasis3 56 3" xfId="22037" xr:uid="{41A885A9-2123-43AE-8CDA-90B61A650D98}"/>
    <cellStyle name="40% - Énfasis3 56_1.2.b" xfId="15697" xr:uid="{823DD2FD-9B7C-441D-B368-5F0922FCDE34}"/>
    <cellStyle name="40% - Énfasis3 57" xfId="13456" xr:uid="{F5D649F4-C51E-456E-B368-A117533A4356}"/>
    <cellStyle name="40% - Énfasis3 57 2" xfId="17430" xr:uid="{2D47707A-2AE9-4989-914F-1B6C64E8FEED}"/>
    <cellStyle name="40% - Énfasis3 57 2 2" xfId="23675" xr:uid="{DF444318-8EAF-47FF-B1B5-D44BEA99E48C}"/>
    <cellStyle name="40% - Énfasis3 57 3" xfId="22038" xr:uid="{427482E6-E9BB-448A-B777-1B583D364CE4}"/>
    <cellStyle name="40% - Énfasis3 57_1.2.b" xfId="15698" xr:uid="{7AA3730E-81A3-4583-B99C-DD51F8D612E5}"/>
    <cellStyle name="40% - Énfasis3 58" xfId="13457" xr:uid="{1806356E-7712-4181-A2B5-70955C5D6921}"/>
    <cellStyle name="40% - Énfasis3 58 2" xfId="17431" xr:uid="{38DE876E-5C1F-4810-B85C-20DA4FB1129B}"/>
    <cellStyle name="40% - Énfasis3 58 2 2" xfId="23676" xr:uid="{983A3836-5529-4EEC-AF8A-A2E34EEFD643}"/>
    <cellStyle name="40% - Énfasis3 58 3" xfId="22039" xr:uid="{41339622-B92C-4559-A007-3294A514EB59}"/>
    <cellStyle name="40% - Énfasis3 58_1.2.b" xfId="15699" xr:uid="{F06CC285-703D-455F-B6C1-CE663E9E7101}"/>
    <cellStyle name="40% - Énfasis3 59" xfId="13458" xr:uid="{43D62530-937A-40F8-B3A3-050412F90AD8}"/>
    <cellStyle name="40% - Énfasis3 59 2" xfId="17432" xr:uid="{79B1A9A4-5D8B-461D-9A08-888B0CA3661D}"/>
    <cellStyle name="40% - Énfasis3 59 2 2" xfId="23677" xr:uid="{0F27F6E9-F2CE-4E98-AAB4-4DB4CB3F547B}"/>
    <cellStyle name="40% - Énfasis3 59 3" xfId="22040" xr:uid="{9430AE7B-79B4-4F35-95CC-5C2E118CCB75}"/>
    <cellStyle name="40% - Énfasis3 59_1.2.b" xfId="15700" xr:uid="{A3966C77-DD06-4B68-BFA9-DAF5ECAE34FD}"/>
    <cellStyle name="40% - Énfasis3 6" xfId="208" xr:uid="{00000000-0005-0000-0000-0000FE000000}"/>
    <cellStyle name="40% - Énfasis3 6 2" xfId="10728" xr:uid="{00000000-0005-0000-0000-0000FF000000}"/>
    <cellStyle name="40% - Énfasis3 6 2 2" xfId="13460" xr:uid="{2606700E-6A1F-4B28-8088-00929471C18F}"/>
    <cellStyle name="40% - Énfasis3 6 2 2 2" xfId="22042" xr:uid="{7B2D5474-FBAB-4EEF-9295-9938DE6EE723}"/>
    <cellStyle name="40% - Énfasis3 6 2 3" xfId="17434" xr:uid="{C5CBFCC2-3B13-43F6-B7E2-BE05AC8FCB0D}"/>
    <cellStyle name="40% - Énfasis3 6 2 3 2" xfId="23679" xr:uid="{EE48FDBD-0882-4520-88EC-73EF1B4545F1}"/>
    <cellStyle name="40% - Énfasis3 6 2 4" xfId="19820" xr:uid="{51246A78-7468-4CD6-B0B2-53B60EBF7751}"/>
    <cellStyle name="40% - Énfasis3 6 2_1.2.b" xfId="15702" xr:uid="{8E835337-1936-4DD1-B7E8-AC16CF0A90C4}"/>
    <cellStyle name="40% - Énfasis3 6 3" xfId="13459" xr:uid="{F602638A-8C1B-4FC4-AE90-772BBF506C32}"/>
    <cellStyle name="40% - Énfasis3 6 3 2" xfId="22041" xr:uid="{BD31EF7B-C9BE-453E-8C63-6C047CBCF299}"/>
    <cellStyle name="40% - Énfasis3 6 4" xfId="17433" xr:uid="{7ADBE75E-DD9D-449F-BB35-62C8D2FB706E}"/>
    <cellStyle name="40% - Énfasis3 6 4 2" xfId="23678" xr:uid="{AABA67AF-A63C-4CEE-8BEA-D8A3E0EE88D1}"/>
    <cellStyle name="40% - Énfasis3 6 5" xfId="18452" xr:uid="{0BA5AAEF-5751-4920-A8FA-025A98367268}"/>
    <cellStyle name="40% - Énfasis3 6_1.2.b" xfId="15701" xr:uid="{BBDB3294-DC50-4171-BB41-171CE5C6F41B}"/>
    <cellStyle name="40% - Énfasis3 60" xfId="13461" xr:uid="{9E72E0FB-0B9E-4E87-96D6-3719BEA214F8}"/>
    <cellStyle name="40% - Énfasis3 60 2" xfId="17435" xr:uid="{C3C9E6D9-5712-4585-8976-6C3E25ED4B0E}"/>
    <cellStyle name="40% - Énfasis3 60 2 2" xfId="23680" xr:uid="{C017604E-7647-4A76-BAE1-08D481BB568B}"/>
    <cellStyle name="40% - Énfasis3 60 3" xfId="22043" xr:uid="{76CF3C90-EDA9-409E-B848-C6245233023E}"/>
    <cellStyle name="40% - Énfasis3 60_1.2.b" xfId="15703" xr:uid="{39D527CB-4060-4CEA-A187-B3A750E0FEFF}"/>
    <cellStyle name="40% - Énfasis3 61" xfId="13462" xr:uid="{477571DE-3957-4744-93BF-8D19AAEC6D84}"/>
    <cellStyle name="40% - Énfasis3 61 2" xfId="17436" xr:uid="{A24FBACB-E1AF-413A-A404-85DFF3DC7665}"/>
    <cellStyle name="40% - Énfasis3 61 2 2" xfId="23681" xr:uid="{107284B3-9CE8-4806-8251-DFED81B1539A}"/>
    <cellStyle name="40% - Énfasis3 61 3" xfId="22044" xr:uid="{04F0E1E4-F7E9-4C88-9939-668C00110C2D}"/>
    <cellStyle name="40% - Énfasis3 61_1.2.b" xfId="15704" xr:uid="{039C8FC7-B5DD-44A3-9AC4-D077076E3EE5}"/>
    <cellStyle name="40% - Énfasis3 62" xfId="13463" xr:uid="{05A8A31C-557D-464A-9FEC-C2560E516C09}"/>
    <cellStyle name="40% - Énfasis3 62 2" xfId="17437" xr:uid="{3945E97A-0FBC-4572-BAF2-DB1398743463}"/>
    <cellStyle name="40% - Énfasis3 62 2 2" xfId="23682" xr:uid="{1AB251A7-57DB-4398-BF5D-C0D1CE7268BA}"/>
    <cellStyle name="40% - Énfasis3 62 3" xfId="22045" xr:uid="{1300EB82-F375-48E0-A49E-586F41BE6EBD}"/>
    <cellStyle name="40% - Énfasis3 62_1.2.b" xfId="15705" xr:uid="{7CAE96FA-4E28-4BF1-9158-453255DF4E6E}"/>
    <cellStyle name="40% - Énfasis3 63" xfId="13464" xr:uid="{B3FDE7B5-D5AE-4C8D-AD97-A135FD2CDE05}"/>
    <cellStyle name="40% - Énfasis3 63 2" xfId="17438" xr:uid="{04248DC1-6446-49E9-835F-82EA30D2CD47}"/>
    <cellStyle name="40% - Énfasis3 63 2 2" xfId="23683" xr:uid="{B06562DE-0D91-48AC-BF9B-681FC9B5D5B6}"/>
    <cellStyle name="40% - Énfasis3 63 3" xfId="22046" xr:uid="{EE4103D3-110C-46E5-8E48-32E1D6DE0EB9}"/>
    <cellStyle name="40% - Énfasis3 63_1.2.b" xfId="15706" xr:uid="{C3E2E67A-97DC-40E3-92BD-75FFA3E4F1F7}"/>
    <cellStyle name="40% - Énfasis3 64" xfId="13465" xr:uid="{2FAE0120-FA8B-4376-BFFC-AA8A2BA70854}"/>
    <cellStyle name="40% - Énfasis3 64 2" xfId="17439" xr:uid="{963F319E-E152-4A08-877E-1A6AB2DC4097}"/>
    <cellStyle name="40% - Énfasis3 64 2 2" xfId="23684" xr:uid="{1F947E6A-0047-451A-8CA2-D71E446D4375}"/>
    <cellStyle name="40% - Énfasis3 64 3" xfId="22047" xr:uid="{9F686527-124A-478C-B0A2-3598BB541A59}"/>
    <cellStyle name="40% - Énfasis3 64_1.2.b" xfId="15707" xr:uid="{2BFFD00D-11E0-4286-9B3E-4ADA22D1AC22}"/>
    <cellStyle name="40% - Énfasis3 65" xfId="13466" xr:uid="{F4545120-49B3-40C2-983E-61F103137254}"/>
    <cellStyle name="40% - Énfasis3 65 2" xfId="17440" xr:uid="{0ECECD44-EBEA-478D-A453-96D2897E4FF4}"/>
    <cellStyle name="40% - Énfasis3 65 2 2" xfId="23685" xr:uid="{2814E656-4781-4436-B766-116720503C22}"/>
    <cellStyle name="40% - Énfasis3 65 3" xfId="22048" xr:uid="{A0D50673-45C4-42F6-8FE5-116D56AE0004}"/>
    <cellStyle name="40% - Énfasis3 65_1.2.b" xfId="15708" xr:uid="{AE075B07-96FA-406A-A57C-4052AE201BCD}"/>
    <cellStyle name="40% - Énfasis3 66" xfId="13467" xr:uid="{8C4417DA-232E-4522-8C47-B261B321D61D}"/>
    <cellStyle name="40% - Énfasis3 66 2" xfId="17441" xr:uid="{0A6145E6-33A8-4ABD-BF3C-6727B8972601}"/>
    <cellStyle name="40% - Énfasis3 66 2 2" xfId="23686" xr:uid="{B3264CC0-606A-472E-8C3E-79B95806C6F9}"/>
    <cellStyle name="40% - Énfasis3 66 3" xfId="22049" xr:uid="{3A64C715-3904-45EE-8F31-FE2016E83F68}"/>
    <cellStyle name="40% - Énfasis3 66_1.2.b" xfId="15709" xr:uid="{0BE9DD00-2E95-4C94-B524-8DC8CA6F6976}"/>
    <cellStyle name="40% - Énfasis3 67" xfId="13468" xr:uid="{F0E19EDE-CBF6-4E70-A2B6-7FB6F8BDB48A}"/>
    <cellStyle name="40% - Énfasis3 67 2" xfId="17442" xr:uid="{53BA5B54-34F6-434C-9F9E-552636447668}"/>
    <cellStyle name="40% - Énfasis3 67 2 2" xfId="23687" xr:uid="{C83C4BE4-AA9D-4E8D-A821-F1D5C9E4C611}"/>
    <cellStyle name="40% - Énfasis3 67 3" xfId="22050" xr:uid="{1F0D34EF-59FC-4D6E-94DE-DD84CF69B459}"/>
    <cellStyle name="40% - Énfasis3 67_1.2.b" xfId="15710" xr:uid="{2096F723-45D5-43F3-987A-5563B6B30288}"/>
    <cellStyle name="40% - Énfasis3 68" xfId="13469" xr:uid="{8CFF3CFE-D4D7-494C-AE97-F509D548394C}"/>
    <cellStyle name="40% - Énfasis3 68 2" xfId="17443" xr:uid="{A2151CF7-420E-4DB9-836F-FF0925E0F2D1}"/>
    <cellStyle name="40% - Énfasis3 68 2 2" xfId="23688" xr:uid="{FE3CB2B7-F42E-438E-A2C3-3B5EF921E751}"/>
    <cellStyle name="40% - Énfasis3 68 3" xfId="22051" xr:uid="{B71DAE75-382B-4030-8649-BE22AAB2153E}"/>
    <cellStyle name="40% - Énfasis3 68_1.2.b" xfId="15711" xr:uid="{FB7E9E1E-4473-4815-B286-4DCD03CACA40}"/>
    <cellStyle name="40% - Énfasis3 69" xfId="13470" xr:uid="{A50D3699-E94A-439A-9391-01BFC95428AB}"/>
    <cellStyle name="40% - Énfasis3 69 2" xfId="17444" xr:uid="{67C1CFA7-B2FF-4D48-98C1-44F0A9566BD6}"/>
    <cellStyle name="40% - Énfasis3 69 2 2" xfId="23689" xr:uid="{475BB7DE-BB9F-4D2E-902C-F413EDEDD1EA}"/>
    <cellStyle name="40% - Énfasis3 69 3" xfId="22052" xr:uid="{AF56244B-EEB5-4739-B3D9-8706014650CC}"/>
    <cellStyle name="40% - Énfasis3 69_1.2.b" xfId="15712" xr:uid="{A6191BEF-F9D6-4F38-9DAC-70B65CDC6E7C}"/>
    <cellStyle name="40% - Énfasis3 7" xfId="9832" xr:uid="{00000000-0005-0000-0000-000000010000}"/>
    <cellStyle name="40% - Énfasis3 7 2" xfId="11618" xr:uid="{00000000-0005-0000-0000-000001010000}"/>
    <cellStyle name="40% - Énfasis3 7 2 2" xfId="13472" xr:uid="{0ED9061E-AA47-4BE4-AE88-1850BBE40D23}"/>
    <cellStyle name="40% - Énfasis3 7 2 2 2" xfId="22054" xr:uid="{D7759BA7-09F3-4D16-A589-11FE84CC51EF}"/>
    <cellStyle name="40% - Énfasis3 7 2 3" xfId="17446" xr:uid="{B27FA2DC-25D7-4D99-9F6F-F03C51EF398B}"/>
    <cellStyle name="40% - Énfasis3 7 2 3 2" xfId="23691" xr:uid="{FA55BE79-2CFD-4829-96A5-A151309D0729}"/>
    <cellStyle name="40% - Énfasis3 7 2 4" xfId="20387" xr:uid="{311ECA3F-9E46-494A-A0C9-D84C0CE90DD7}"/>
    <cellStyle name="40% - Énfasis3 7 2_1.2.b" xfId="15714" xr:uid="{68AAC3EB-B35B-463F-A93F-6E3CBDE461F2}"/>
    <cellStyle name="40% - Énfasis3 7 3" xfId="13471" xr:uid="{3B54DF5F-574C-4351-A7ED-0F3657DA238A}"/>
    <cellStyle name="40% - Énfasis3 7 3 2" xfId="22053" xr:uid="{6D44CA95-2C6D-4939-B7B0-667B545C2BFC}"/>
    <cellStyle name="40% - Énfasis3 7 4" xfId="17445" xr:uid="{A3BFB808-814F-499D-94BD-C487BB1EB1A8}"/>
    <cellStyle name="40% - Énfasis3 7 4 2" xfId="23690" xr:uid="{38E53091-2F31-4EDA-B138-62C25768D7D7}"/>
    <cellStyle name="40% - Énfasis3 7 5" xfId="19019" xr:uid="{201C4899-236F-4B2E-9ADC-CB635F2EEC5D}"/>
    <cellStyle name="40% - Énfasis3 7_1.2.b" xfId="15713" xr:uid="{04DA5B37-B357-46D2-97FE-F43E7C3082CF}"/>
    <cellStyle name="40% - Énfasis3 70" xfId="13473" xr:uid="{A9A449FD-0B72-48FE-B898-8BF54F6B452C}"/>
    <cellStyle name="40% - Énfasis3 70 2" xfId="17447" xr:uid="{9EC97594-EC83-4BEC-BA8D-9E2B01A1A273}"/>
    <cellStyle name="40% - Énfasis3 70 2 2" xfId="23692" xr:uid="{9BA826E7-47E1-4898-8A6B-849FEDBE62FF}"/>
    <cellStyle name="40% - Énfasis3 70 3" xfId="22055" xr:uid="{B139B660-1E2C-4C0A-AFF7-335ADE2B3D36}"/>
    <cellStyle name="40% - Énfasis3 70_1.2.b" xfId="15715" xr:uid="{DD996158-AB09-4DF8-A5AC-C5901954B648}"/>
    <cellStyle name="40% - Énfasis3 71" xfId="13474" xr:uid="{CAABC585-F16E-4B2F-A486-29D4E85AD060}"/>
    <cellStyle name="40% - Énfasis3 71 2" xfId="17448" xr:uid="{681E8BB6-A314-441B-A5C7-C299D6DB26F0}"/>
    <cellStyle name="40% - Énfasis3 71 2 2" xfId="23693" xr:uid="{FD2598DF-E8E7-43C4-B6E7-BC47E13E38D6}"/>
    <cellStyle name="40% - Énfasis3 71 3" xfId="22056" xr:uid="{1D6E0825-6BCD-4376-BA37-539ED96B19A4}"/>
    <cellStyle name="40% - Énfasis3 71_1.2.b" xfId="15716" xr:uid="{CF60167F-3BBF-4293-A48E-9390E999018D}"/>
    <cellStyle name="40% - Énfasis3 72" xfId="13475" xr:uid="{668FA4F5-6A7E-44A1-B00D-C1BFC19816B7}"/>
    <cellStyle name="40% - Énfasis3 72 2" xfId="17449" xr:uid="{D83CFAF7-5FCD-4445-B8D0-D208D59AD6A8}"/>
    <cellStyle name="40% - Énfasis3 72 2 2" xfId="23694" xr:uid="{4DD2253B-9293-4FC9-8971-64F11E592025}"/>
    <cellStyle name="40% - Énfasis3 72 3" xfId="22057" xr:uid="{D436D3E7-A9D5-4808-9776-78788C118757}"/>
    <cellStyle name="40% - Énfasis3 72_1.2.b" xfId="15717" xr:uid="{14DAFC4D-70D9-4E44-A944-21A363DF5243}"/>
    <cellStyle name="40% - Énfasis3 73" xfId="13476" xr:uid="{A792182B-859E-48CD-864B-F8459CF1647A}"/>
    <cellStyle name="40% - Énfasis3 73 2" xfId="17450" xr:uid="{3AD9E41F-61CE-454A-B9B6-91A603AD64E5}"/>
    <cellStyle name="40% - Énfasis3 73 2 2" xfId="23695" xr:uid="{29A5BEC9-C928-4E36-948E-D0E7C0E3E213}"/>
    <cellStyle name="40% - Énfasis3 73 3" xfId="22058" xr:uid="{F686936B-383F-4C41-83D7-74979ADA8479}"/>
    <cellStyle name="40% - Énfasis3 73_1.2.b" xfId="15718" xr:uid="{1693DA2F-4ABD-4D8C-88DE-1E389CA0B328}"/>
    <cellStyle name="40% - Énfasis3 74" xfId="13477" xr:uid="{D12A5C09-924B-49AB-AEEF-98B4F2629766}"/>
    <cellStyle name="40% - Énfasis3 74 2" xfId="17451" xr:uid="{0977129C-BA91-4F09-8E3E-9CA94526EBEE}"/>
    <cellStyle name="40% - Énfasis3 74 2 2" xfId="23696" xr:uid="{03E137E0-B48F-4C4E-92A4-844F08FFAC6F}"/>
    <cellStyle name="40% - Énfasis3 74 3" xfId="22059" xr:uid="{602265BF-05A3-41E8-8BB3-45F3820E606F}"/>
    <cellStyle name="40% - Énfasis3 74_1.2.b" xfId="15719" xr:uid="{34F488B4-0A90-4B85-A90C-F347D72CF519}"/>
    <cellStyle name="40% - Énfasis3 75" xfId="13478" xr:uid="{EF36E301-DE6E-4B67-A542-3719DCCF38F7}"/>
    <cellStyle name="40% - Énfasis3 75 2" xfId="17452" xr:uid="{6E5894D5-8A29-4D4C-A1D7-B6F361883D1E}"/>
    <cellStyle name="40% - Énfasis3 75 2 2" xfId="23697" xr:uid="{CA40C485-6466-4BE9-8B10-3ABEA3FCA9F5}"/>
    <cellStyle name="40% - Énfasis3 75 3" xfId="22060" xr:uid="{FF0B693B-9F33-4E2C-AEA8-F2D94481EB22}"/>
    <cellStyle name="40% - Énfasis3 75_1.2.b" xfId="15720" xr:uid="{9F13C717-9567-446B-B971-4D283CB92DDB}"/>
    <cellStyle name="40% - Énfasis3 76" xfId="13479" xr:uid="{7E65D7FF-2CC4-45CE-B73A-87CD7B4831BC}"/>
    <cellStyle name="40% - Énfasis3 76 2" xfId="17453" xr:uid="{859E5018-7DAD-4F9A-8556-DCEF4702DF8C}"/>
    <cellStyle name="40% - Énfasis3 76 2 2" xfId="23698" xr:uid="{EC31D0BE-8FD4-4EB7-AAA1-9BF9109B1D5F}"/>
    <cellStyle name="40% - Énfasis3 76 3" xfId="22061" xr:uid="{2F632D1C-EAB7-420D-97BA-3EEEABD544EA}"/>
    <cellStyle name="40% - Énfasis3 76_1.2.b" xfId="15721" xr:uid="{F1951A29-A20D-42F5-9B63-01539B4F63C3}"/>
    <cellStyle name="40% - Énfasis3 77" xfId="13480" xr:uid="{558DF391-9AE0-451A-8827-64B24CDB313E}"/>
    <cellStyle name="40% - Énfasis3 77 2" xfId="17454" xr:uid="{3CED8D55-2062-4811-84EE-7618AEC8709E}"/>
    <cellStyle name="40% - Énfasis3 77 2 2" xfId="23699" xr:uid="{433B5990-69AD-4C54-8A59-FC17D23309C4}"/>
    <cellStyle name="40% - Énfasis3 77 3" xfId="22062" xr:uid="{98B3AD34-7CB9-4457-982B-50B56079B2A2}"/>
    <cellStyle name="40% - Énfasis3 77_1.2.b" xfId="15722" xr:uid="{DCB36DA4-D277-41AC-B927-73678C3338F6}"/>
    <cellStyle name="40% - Énfasis3 78" xfId="13481" xr:uid="{BF122DD1-B8E2-4B7E-A8D5-F9FE63F4F2A7}"/>
    <cellStyle name="40% - Énfasis3 78 2" xfId="17455" xr:uid="{45C4B39F-2C03-4578-983D-9CBB0E04AB99}"/>
    <cellStyle name="40% - Énfasis3 78 2 2" xfId="23700" xr:uid="{E80A5A00-04E7-42D1-80D6-5F6CBBCC98C4}"/>
    <cellStyle name="40% - Énfasis3 78 3" xfId="22063" xr:uid="{C69E6CA9-74DE-4132-A4E4-D2A4AC87C22D}"/>
    <cellStyle name="40% - Énfasis3 78_1.2.b" xfId="15723" xr:uid="{3FDAD0F9-50B1-4945-B7DB-E94DA443DA10}"/>
    <cellStyle name="40% - Énfasis3 79" xfId="13482" xr:uid="{11BFA29F-75B0-4708-B30A-872253727978}"/>
    <cellStyle name="40% - Énfasis3 79 2" xfId="17456" xr:uid="{566D4CDE-397F-4A8F-A862-2382CD475FF4}"/>
    <cellStyle name="40% - Énfasis3 79 2 2" xfId="23701" xr:uid="{C6766BCA-2556-45EF-ACD0-16A00F31E0B6}"/>
    <cellStyle name="40% - Énfasis3 79 3" xfId="22064" xr:uid="{AE2DF4AE-87EA-470C-B3E0-4730C4375020}"/>
    <cellStyle name="40% - Énfasis3 79_1.2.b" xfId="15724" xr:uid="{4D73B136-8DC8-49FD-9E83-BB4D9855E096}"/>
    <cellStyle name="40% - Énfasis3 8" xfId="9851" xr:uid="{00000000-0005-0000-0000-000002010000}"/>
    <cellStyle name="40% - Énfasis3 8 2" xfId="11636" xr:uid="{00000000-0005-0000-0000-000003010000}"/>
    <cellStyle name="40% - Énfasis3 8 2 2" xfId="13484" xr:uid="{18E3E11C-45D2-46F7-A716-3AC20E9162B4}"/>
    <cellStyle name="40% - Énfasis3 8 2 2 2" xfId="22066" xr:uid="{1ABD5ACD-13E2-48D7-BDC1-57438700E280}"/>
    <cellStyle name="40% - Énfasis3 8 2 3" xfId="17458" xr:uid="{0F015F58-8B15-47C1-A11F-374DF363A853}"/>
    <cellStyle name="40% - Énfasis3 8 2 3 2" xfId="23703" xr:uid="{EDA68CF3-453A-46DE-8652-3E56DB1E1D14}"/>
    <cellStyle name="40% - Énfasis3 8 2 4" xfId="20403" xr:uid="{7976036A-3C95-4B07-899A-7A52FFA56E2B}"/>
    <cellStyle name="40% - Énfasis3 8 2_1.2.b" xfId="15726" xr:uid="{6785E027-77E4-44DA-A14C-E96E64711E51}"/>
    <cellStyle name="40% - Énfasis3 8 3" xfId="13483" xr:uid="{5BE95CD3-AACE-4D20-A83A-98070DEA5EB3}"/>
    <cellStyle name="40% - Énfasis3 8 3 2" xfId="22065" xr:uid="{08EF5F48-B02E-42BC-9A55-23AB169A047B}"/>
    <cellStyle name="40% - Énfasis3 8 4" xfId="17457" xr:uid="{86D163E9-6377-4CD2-88DF-7F5491238206}"/>
    <cellStyle name="40% - Énfasis3 8 4 2" xfId="23702" xr:uid="{B0EF7306-27E2-4F96-95D1-0FC25D1E31CB}"/>
    <cellStyle name="40% - Énfasis3 8 5" xfId="19035" xr:uid="{EA01C795-4364-4644-8E45-B35BA77ABE7E}"/>
    <cellStyle name="40% - Énfasis3 8_1.2.b" xfId="15725" xr:uid="{B2CDAD1A-BA05-4D02-B1BF-78CEF7E3AD94}"/>
    <cellStyle name="40% - Énfasis3 80" xfId="13485" xr:uid="{9CBD6531-6563-43CD-A9E1-4FDF0C51CA8C}"/>
    <cellStyle name="40% - Énfasis3 80 2" xfId="17459" xr:uid="{18950F25-E8EB-4687-A8D6-416A2B885696}"/>
    <cellStyle name="40% - Énfasis3 80 2 2" xfId="23704" xr:uid="{B85D5E00-3E5C-4BE2-BA68-FADF8E6488DC}"/>
    <cellStyle name="40% - Énfasis3 80 3" xfId="22067" xr:uid="{09046642-2B98-4764-BE59-35151968D8CD}"/>
    <cellStyle name="40% - Énfasis3 80_1.2.b" xfId="15727" xr:uid="{790DDF1B-FA94-4123-9C85-56BBFA620BEE}"/>
    <cellStyle name="40% - Énfasis3 81" xfId="13486" xr:uid="{41115518-0B0D-4BAB-8408-E51AED054FCC}"/>
    <cellStyle name="40% - Énfasis3 81 2" xfId="17460" xr:uid="{AC1CF4E2-CA80-4E53-B14C-5FDA837B82A6}"/>
    <cellStyle name="40% - Énfasis3 81 2 2" xfId="23705" xr:uid="{1A8247F1-96B7-4E05-9F29-D622DF3CAE48}"/>
    <cellStyle name="40% - Énfasis3 81 3" xfId="22068" xr:uid="{8255691F-DADB-40AB-A750-C352657985F5}"/>
    <cellStyle name="40% - Énfasis3 81_1.2.b" xfId="15728" xr:uid="{DB072E35-0CD3-4C7D-BE50-0A159A37D144}"/>
    <cellStyle name="40% - Énfasis3 82" xfId="13487" xr:uid="{82CD79BE-567D-49C9-9680-C0190DA02931}"/>
    <cellStyle name="40% - Énfasis3 82 2" xfId="17461" xr:uid="{E9C6B000-85A9-4976-9DBF-D1E99150E050}"/>
    <cellStyle name="40% - Énfasis3 82 2 2" xfId="23706" xr:uid="{18A67704-3CA5-449E-9B11-99F123643065}"/>
    <cellStyle name="40% - Énfasis3 82 3" xfId="22069" xr:uid="{DD309666-0970-4870-8C53-B87D49CBDB20}"/>
    <cellStyle name="40% - Énfasis3 82_1.2.b" xfId="15729" xr:uid="{C866DFC7-04BF-47CA-96F9-2B8BE5BD6788}"/>
    <cellStyle name="40% - Énfasis3 83" xfId="13488" xr:uid="{FD6F998C-CAA4-48A7-B486-E8F3613030FE}"/>
    <cellStyle name="40% - Énfasis3 83 2" xfId="17462" xr:uid="{711814CD-954B-4DED-BE7F-4BB12BB22ABA}"/>
    <cellStyle name="40% - Énfasis3 83 2 2" xfId="23707" xr:uid="{EF65A071-8531-4595-9488-86D1D58D4EAD}"/>
    <cellStyle name="40% - Énfasis3 83 3" xfId="22070" xr:uid="{91CD4963-F397-4B2B-8E60-7A13C11AAA81}"/>
    <cellStyle name="40% - Énfasis3 83_1.2.b" xfId="15730" xr:uid="{2EE48FB2-6962-429A-B097-C63B5AED87C3}"/>
    <cellStyle name="40% - Énfasis3 84" xfId="13489" xr:uid="{F78632A1-7E8A-45DA-887A-07A795A0BAD6}"/>
    <cellStyle name="40% - Énfasis3 84 2" xfId="17463" xr:uid="{F6BC6BB4-88B1-4949-98D2-AB3A00FE32AF}"/>
    <cellStyle name="40% - Énfasis3 84 2 2" xfId="23708" xr:uid="{DC4EB1A7-C109-4900-BE25-0E79ED6A55CB}"/>
    <cellStyle name="40% - Énfasis3 84 3" xfId="22071" xr:uid="{91145CA9-FDC3-461B-A19C-073116345EF4}"/>
    <cellStyle name="40% - Énfasis3 84_1.2.b" xfId="15731" xr:uid="{646734B8-FDB6-4632-A956-5950AE769173}"/>
    <cellStyle name="40% - Énfasis3 85" xfId="13490" xr:uid="{3B89B3F6-5E2C-46BC-87A5-7B9F8FA9B8D8}"/>
    <cellStyle name="40% - Énfasis3 85 2" xfId="17464" xr:uid="{8D0F4C4F-7973-4B7D-997C-941623D9219D}"/>
    <cellStyle name="40% - Énfasis3 85 2 2" xfId="23709" xr:uid="{238E038A-E9DB-45AC-9749-E1725B105C32}"/>
    <cellStyle name="40% - Énfasis3 85 3" xfId="22072" xr:uid="{00C68769-22A6-4226-90EE-30EAFBBE13F2}"/>
    <cellStyle name="40% - Énfasis3 85_1.2.b" xfId="15732" xr:uid="{C964099D-E9F9-4E4B-A3C9-32D6799FFFC0}"/>
    <cellStyle name="40% - Énfasis3 86" xfId="13491" xr:uid="{3F94391F-C1DD-4AB2-B1D6-310E159CE2FE}"/>
    <cellStyle name="40% - Énfasis3 86 2" xfId="17465" xr:uid="{A6DB7A45-6693-43B6-94A0-F2E7EE19E589}"/>
    <cellStyle name="40% - Énfasis3 86 2 2" xfId="23710" xr:uid="{5D483681-1A1B-4EDC-A975-7E8E509099FA}"/>
    <cellStyle name="40% - Énfasis3 86 3" xfId="22073" xr:uid="{AA6C51EF-D9C5-45EC-AC57-FBE5B05D228A}"/>
    <cellStyle name="40% - Énfasis3 86_1.2.b" xfId="15733" xr:uid="{531C7366-3901-4D67-9A62-6C2868C9FB05}"/>
    <cellStyle name="40% - Énfasis3 87" xfId="13492" xr:uid="{0548A4A5-5BC2-4E41-8D22-1BC70EEDCC40}"/>
    <cellStyle name="40% - Énfasis3 87 2" xfId="17466" xr:uid="{344E6E19-8936-4D3E-83D4-3142156AE0D9}"/>
    <cellStyle name="40% - Énfasis3 87 2 2" xfId="23711" xr:uid="{6C0AB9AA-7BA7-420F-83B1-471BF56053C6}"/>
    <cellStyle name="40% - Énfasis3 87 3" xfId="22074" xr:uid="{6ADB7B5E-A800-4182-BD27-31562F89E635}"/>
    <cellStyle name="40% - Énfasis3 87_1.2.b" xfId="15734" xr:uid="{A91E7B1C-3F9D-4173-93F1-5DBD3088C16B}"/>
    <cellStyle name="40% - Énfasis3 88" xfId="13493" xr:uid="{77C6D5DF-5867-4810-96F9-36B601EE5FF2}"/>
    <cellStyle name="40% - Énfasis3 88 2" xfId="17467" xr:uid="{FE2B77D5-E6B9-41EC-93E7-9B3CE40F3AB8}"/>
    <cellStyle name="40% - Énfasis3 88 2 2" xfId="23712" xr:uid="{59BEFCDD-7A1A-4A8B-96E7-0828BE019FAC}"/>
    <cellStyle name="40% - Énfasis3 88 3" xfId="22075" xr:uid="{AC26FA25-58C4-4419-8116-172A5739F8B8}"/>
    <cellStyle name="40% - Énfasis3 88_1.2.b" xfId="15735" xr:uid="{1217C23B-F703-48F8-85C5-E3EE7855183D}"/>
    <cellStyle name="40% - Énfasis3 89" xfId="13494" xr:uid="{0131AFFD-BDFE-49D1-BAFE-C1E68A02C977}"/>
    <cellStyle name="40% - Énfasis3 89 2" xfId="17468" xr:uid="{36952C95-DBB2-4C1F-A28F-65E8C5AC9F62}"/>
    <cellStyle name="40% - Énfasis3 89 2 2" xfId="23713" xr:uid="{4F54873A-648B-4BBF-818A-A23FC2B44AB3}"/>
    <cellStyle name="40% - Énfasis3 89 3" xfId="22076" xr:uid="{CB3F1254-6F0B-4791-9D24-B0BDB687B656}"/>
    <cellStyle name="40% - Énfasis3 89_1.2.b" xfId="15736" xr:uid="{AEF858C3-A418-44EB-B9B0-6E2B6EA2386B}"/>
    <cellStyle name="40% - Énfasis3 9" xfId="9873" xr:uid="{00000000-0005-0000-0000-000004010000}"/>
    <cellStyle name="40% - Énfasis3 9 2" xfId="13496" xr:uid="{CB02D26C-1C43-484B-9BE0-1B76E7E84B3D}"/>
    <cellStyle name="40% - Énfasis3 9 2 2" xfId="17470" xr:uid="{9B792AEA-DE14-4821-847A-F7D3551C383D}"/>
    <cellStyle name="40% - Énfasis3 9 2 2 2" xfId="23715" xr:uid="{0881595B-9310-43DD-95CF-3AABC4D5C7BD}"/>
    <cellStyle name="40% - Énfasis3 9 2 3" xfId="22078" xr:uid="{FB7156ED-C97E-4FF1-B6B3-C75708B92333}"/>
    <cellStyle name="40% - Énfasis3 9 2_1.2.b" xfId="15738" xr:uid="{77197E46-33BB-4DFB-A00A-B9B3B656B132}"/>
    <cellStyle name="40% - Énfasis3 9 3" xfId="13495" xr:uid="{C2911833-F2C5-4881-800D-3286C163058F}"/>
    <cellStyle name="40% - Énfasis3 9 3 2" xfId="22077" xr:uid="{B6E5F0D6-8AFC-4B24-909A-768629E4BE2D}"/>
    <cellStyle name="40% - Énfasis3 9 4" xfId="17469" xr:uid="{12942CD7-4120-4F06-BB4E-1E0CF212478E}"/>
    <cellStyle name="40% - Énfasis3 9 4 2" xfId="23714" xr:uid="{8E8E23EC-3B0F-42CE-BA86-BA5CD595C619}"/>
    <cellStyle name="40% - Énfasis3 9_1.2.b" xfId="15737" xr:uid="{317F91E3-DC53-4962-B3D9-D79DB6F47DA8}"/>
    <cellStyle name="40% - Énfasis3 90" xfId="13497" xr:uid="{2A4FCCFE-890C-4E52-9B27-9B0195165C34}"/>
    <cellStyle name="40% - Énfasis3 90 2" xfId="17471" xr:uid="{6E8BCA97-9A9E-4B60-86A7-6B26F2CE23EB}"/>
    <cellStyle name="40% - Énfasis3 90 2 2" xfId="23716" xr:uid="{591C665A-3F55-4B81-96DE-4AA7239C20CB}"/>
    <cellStyle name="40% - Énfasis3 90 3" xfId="22079" xr:uid="{CAD3DB6B-2B80-4BC1-B711-60ED63D664E5}"/>
    <cellStyle name="40% - Énfasis3 90_1.2.b" xfId="15739" xr:uid="{59737910-1057-4EE4-9EB8-FB627EF6DF4A}"/>
    <cellStyle name="40% - Énfasis3 91" xfId="13498" xr:uid="{B46218AE-6D7D-41D4-BA2A-B5B2EE6EA8E6}"/>
    <cellStyle name="40% - Énfasis3 91 2" xfId="17472" xr:uid="{204D6265-7C81-4A03-9829-CF52A5301629}"/>
    <cellStyle name="40% - Énfasis3 91 2 2" xfId="23717" xr:uid="{B3FDFBD0-53D8-47E4-A1CB-913265676417}"/>
    <cellStyle name="40% - Énfasis3 91 3" xfId="22080" xr:uid="{FE91BF19-EDB2-4DB1-A8B0-E098141D2798}"/>
    <cellStyle name="40% - Énfasis3 91_1.2.b" xfId="15740" xr:uid="{B0C3B9E7-F7B9-4ECC-9EF3-33DF5BF92A71}"/>
    <cellStyle name="40% - Énfasis3 92" xfId="13499" xr:uid="{32BFBD58-9E1A-402C-B2F8-9A693A04B9F5}"/>
    <cellStyle name="40% - Énfasis3 92 2" xfId="17473" xr:uid="{6E9B36CB-23FC-43E1-8795-4BFE0792C0BA}"/>
    <cellStyle name="40% - Énfasis3 92 2 2" xfId="23718" xr:uid="{C5E46D30-6D81-4995-9576-26DC499F6C38}"/>
    <cellStyle name="40% - Énfasis3 92 3" xfId="22081" xr:uid="{55B8EFEF-25CF-4EE9-B0D2-A9005E64A7EB}"/>
    <cellStyle name="40% - Énfasis3 92_1.2.b" xfId="15741" xr:uid="{9D1D4FB1-0D4F-490E-A396-0AD0A1653EF0}"/>
    <cellStyle name="40% - Énfasis3 93" xfId="13500" xr:uid="{E8DB8497-37A3-4778-8150-10F467B0B78C}"/>
    <cellStyle name="40% - Énfasis3 93 2" xfId="17474" xr:uid="{7BE672DB-71F4-496D-922E-0AFD7B385F79}"/>
    <cellStyle name="40% - Énfasis3 93 2 2" xfId="23719" xr:uid="{DC337157-9575-40E9-BAAC-F8F1988EF7D5}"/>
    <cellStyle name="40% - Énfasis3 93 3" xfId="22082" xr:uid="{39E6D1DC-D612-4C57-A666-0638A7B18C38}"/>
    <cellStyle name="40% - Énfasis3 93_1.2.b" xfId="15742" xr:uid="{7C6251AD-DF2D-47AD-9FBD-F6A1D3386135}"/>
    <cellStyle name="40% - Énfasis3 94" xfId="13501" xr:uid="{3B86FAAF-A899-4AD3-85E5-A09247854C0F}"/>
    <cellStyle name="40% - Énfasis3 94 2" xfId="17475" xr:uid="{AE6E727A-EF6B-438D-92A1-9E5DC065DE9B}"/>
    <cellStyle name="40% - Énfasis3 94 2 2" xfId="23720" xr:uid="{47F73235-183B-470C-BC02-340B2B900331}"/>
    <cellStyle name="40% - Énfasis3 94 3" xfId="22083" xr:uid="{06E44A75-21D7-4014-9F50-499F69FAF5E9}"/>
    <cellStyle name="40% - Énfasis3 94_1.2.b" xfId="15743" xr:uid="{5DFEA653-BFF2-403D-B6D0-4188386C8800}"/>
    <cellStyle name="40% - Énfasis3 95" xfId="13502" xr:uid="{51082003-E363-4EAB-9C7B-2CFFEA6E457D}"/>
    <cellStyle name="40% - Énfasis3 95 2" xfId="17476" xr:uid="{C7846F95-C75C-4ABD-A48D-E1542638BCE9}"/>
    <cellStyle name="40% - Énfasis3 95 2 2" xfId="23721" xr:uid="{208E5803-3A7E-4E2A-9148-7F8D6E6CA29B}"/>
    <cellStyle name="40% - Énfasis3 95 3" xfId="22084" xr:uid="{963C1FA4-D977-4FEE-B41A-FCB1A8F5C969}"/>
    <cellStyle name="40% - Énfasis3 95_1.2.b" xfId="15744" xr:uid="{F8F2A147-A421-4A36-8125-4BC1DACDAC52}"/>
    <cellStyle name="40% - Énfasis4 10" xfId="9923" xr:uid="{00000000-0005-0000-0000-000006010000}"/>
    <cellStyle name="40% - Énfasis4 10 2" xfId="11660" xr:uid="{00000000-0005-0000-0000-000007010000}"/>
    <cellStyle name="40% - Énfasis4 10 2 2" xfId="20426" xr:uid="{EA47EFFC-67AB-44F9-A93E-6EC2A694AB27}"/>
    <cellStyle name="40% - Énfasis4 10 3" xfId="13503" xr:uid="{FAC8BB77-A716-47FC-AB25-E4E97140B0C2}"/>
    <cellStyle name="40% - Énfasis4 10 3 2" xfId="22085" xr:uid="{C11310B2-8B5F-4338-8FCD-7BED898691ED}"/>
    <cellStyle name="40% - Énfasis4 10 4" xfId="17477" xr:uid="{BC545726-50F3-4A37-8B08-D891568E046A}"/>
    <cellStyle name="40% - Énfasis4 10 4 2" xfId="23722" xr:uid="{3B5A32FC-08A6-4153-AE0A-EB2A62859947}"/>
    <cellStyle name="40% - Énfasis4 10 5" xfId="19063" xr:uid="{13C22AFD-35C8-4A82-8312-1654B1796865}"/>
    <cellStyle name="40% - Énfasis4 10_1.2.b" xfId="15745" xr:uid="{90FB62C0-9DEC-46B2-99D7-E060E73829F0}"/>
    <cellStyle name="40% - Énfasis4 11" xfId="10525" xr:uid="{00000000-0005-0000-0000-000008010000}"/>
    <cellStyle name="40% - Énfasis4 11 2" xfId="12260" xr:uid="{00000000-0005-0000-0000-000009010000}"/>
    <cellStyle name="40% - Énfasis4 11 2 2" xfId="21009" xr:uid="{2F508663-5F88-4966-BD3A-A91FBCE08422}"/>
    <cellStyle name="40% - Énfasis4 11 3" xfId="13504" xr:uid="{6E68FE77-D57A-4210-AD45-36D75FFDA0F4}"/>
    <cellStyle name="40% - Énfasis4 11 3 2" xfId="22086" xr:uid="{5F2133FD-E688-4D4B-9CB7-F27A1C21F853}"/>
    <cellStyle name="40% - Énfasis4 11 4" xfId="17478" xr:uid="{547FAAC6-79DB-477B-A0A2-5C5344E8828A}"/>
    <cellStyle name="40% - Énfasis4 11 4 2" xfId="23723" xr:uid="{B3FCCA76-9121-4580-9144-D83201E58492}"/>
    <cellStyle name="40% - Énfasis4 11 5" xfId="19646" xr:uid="{C9AFE5B8-7ECB-4054-8283-FAC9164C3F8E}"/>
    <cellStyle name="40% - Énfasis4 11_1.2.b" xfId="15746" xr:uid="{62A8226F-AFAE-40C9-A71B-496A8BFF0000}"/>
    <cellStyle name="40% - Énfasis4 12" xfId="10538" xr:uid="{00000000-0005-0000-0000-00000A010000}"/>
    <cellStyle name="40% - Énfasis4 12 2" xfId="12273" xr:uid="{00000000-0005-0000-0000-00000B010000}"/>
    <cellStyle name="40% - Énfasis4 12 2 2" xfId="21022" xr:uid="{738B4220-7A67-4696-A9AD-62FEB01949AC}"/>
    <cellStyle name="40% - Énfasis4 12 3" xfId="13505" xr:uid="{C031296C-389E-4982-8CE8-D3A99EF6CD70}"/>
    <cellStyle name="40% - Énfasis4 12 3 2" xfId="22087" xr:uid="{81C345EE-D4C2-4D0C-928A-9DA8B6A1CD89}"/>
    <cellStyle name="40% - Énfasis4 12 4" xfId="17479" xr:uid="{72278C6C-5EE9-4FD1-9CA5-8860ED6FD26D}"/>
    <cellStyle name="40% - Énfasis4 12 4 2" xfId="23724" xr:uid="{50B1CA9C-0253-4E0B-91BB-9F24D040968B}"/>
    <cellStyle name="40% - Énfasis4 12 5" xfId="19659" xr:uid="{F9F5C839-3548-4A58-9973-144E31A0D146}"/>
    <cellStyle name="40% - Énfasis4 12_1.2.b" xfId="15747" xr:uid="{366B8D11-3B7E-49C7-A929-7A59FA10A5B9}"/>
    <cellStyle name="40% - Énfasis4 13" xfId="10585" xr:uid="{00000000-0005-0000-0000-00000C010000}"/>
    <cellStyle name="40% - Énfasis4 13 2" xfId="12318" xr:uid="{00000000-0005-0000-0000-00000D010000}"/>
    <cellStyle name="40% - Énfasis4 13 2 2" xfId="21064" xr:uid="{C632D490-963F-4D38-8679-EBD7EA2AC729}"/>
    <cellStyle name="40% - Énfasis4 13 3" xfId="13506" xr:uid="{F1B8B59F-0C21-4ACD-8AE7-F398DB4B70D2}"/>
    <cellStyle name="40% - Énfasis4 13 3 2" xfId="22088" xr:uid="{830DABB0-B7AA-494A-9F18-E7A70C38C180}"/>
    <cellStyle name="40% - Énfasis4 13 4" xfId="17480" xr:uid="{EFFBF4AD-3357-4734-8C1B-DD97FAE5006D}"/>
    <cellStyle name="40% - Énfasis4 13 4 2" xfId="23725" xr:uid="{739B37D8-671A-4CA8-A845-1DB049989732}"/>
    <cellStyle name="40% - Énfasis4 13 5" xfId="19701" xr:uid="{0A64EC1C-5135-43DD-9B4A-F787279F3C92}"/>
    <cellStyle name="40% - Énfasis4 13_1.2.b" xfId="15748" xr:uid="{9CB041BE-9E57-465D-BC7C-FD46C7DF32D2}"/>
    <cellStyle name="40% - Énfasis4 14" xfId="10605" xr:uid="{00000000-0005-0000-0000-00000E010000}"/>
    <cellStyle name="40% - Énfasis4 14 2" xfId="12334" xr:uid="{00000000-0005-0000-0000-00000F010000}"/>
    <cellStyle name="40% - Énfasis4 14 2 2" xfId="21080" xr:uid="{77A08FE3-A068-43DF-AB2A-1253BDFF4DCC}"/>
    <cellStyle name="40% - Énfasis4 14 3" xfId="13507" xr:uid="{CE4B2C2E-4D77-4C30-9FD7-8B1034A2A67A}"/>
    <cellStyle name="40% - Énfasis4 14 3 2" xfId="22089" xr:uid="{E5EBA010-0340-4D04-84FE-CBCBE493813E}"/>
    <cellStyle name="40% - Énfasis4 14 4" xfId="17481" xr:uid="{EB5A72BD-9E8F-49EC-8AB3-965C3270D668}"/>
    <cellStyle name="40% - Énfasis4 14 4 2" xfId="23726" xr:uid="{3E8A1BCB-E277-4AED-8578-9A1BEAB532AE}"/>
    <cellStyle name="40% - Énfasis4 14 5" xfId="19717" xr:uid="{2360F53B-67A1-4F00-AC7C-2385182C23F4}"/>
    <cellStyle name="40% - Énfasis4 14_1.2.b" xfId="15749" xr:uid="{B5567C8B-BFB8-49D6-A66E-DDAE3EAB7CC1}"/>
    <cellStyle name="40% - Énfasis4 15" xfId="10626" xr:uid="{00000000-0005-0000-0000-000010010000}"/>
    <cellStyle name="40% - Énfasis4 15 2" xfId="13508" xr:uid="{409A62B5-9A45-495B-920C-A6E798A6F6A1}"/>
    <cellStyle name="40% - Énfasis4 15 2 2" xfId="22090" xr:uid="{7271A34F-0D06-45C9-B08A-77007CA932B9}"/>
    <cellStyle name="40% - Énfasis4 15 3" xfId="17482" xr:uid="{EDEF4D48-AB84-430E-935D-ABCBFDBE7E5D}"/>
    <cellStyle name="40% - Énfasis4 15 3 2" xfId="23727" xr:uid="{CBE201EC-5DE5-4291-8515-F3CCBD70FF47}"/>
    <cellStyle name="40% - Énfasis4 15 4" xfId="19734" xr:uid="{15AEC1C1-EF3F-485A-BBD0-59131E693870}"/>
    <cellStyle name="40% - Énfasis4 15_1.2.b" xfId="15750" xr:uid="{1B6E0EFF-492C-4D3A-BC16-BA30CBD17B50}"/>
    <cellStyle name="40% - Énfasis4 16" xfId="12367" xr:uid="{00000000-0005-0000-0000-000011010000}"/>
    <cellStyle name="40% - Énfasis4 16 2" xfId="13509" xr:uid="{82D76322-C015-41B2-9552-81DB8A30F735}"/>
    <cellStyle name="40% - Énfasis4 16 2 2" xfId="22091" xr:uid="{0D410080-892B-4A51-89E6-5E605A11C66C}"/>
    <cellStyle name="40% - Énfasis4 16 3" xfId="17483" xr:uid="{D943B4F2-E9B7-4E18-9FE6-52400E3ADAD1}"/>
    <cellStyle name="40% - Énfasis4 16 3 2" xfId="23728" xr:uid="{FEE7AD26-9198-45CF-8075-285F24E3D825}"/>
    <cellStyle name="40% - Énfasis4 16 4" xfId="21110" xr:uid="{E38913D8-7F43-4A7B-8628-7430E036A3E3}"/>
    <cellStyle name="40% - Énfasis4 16_1.2.b" xfId="15751" xr:uid="{A160C6F4-1FDA-476E-9C3E-DA7EEF78AC33}"/>
    <cellStyle name="40% - Énfasis4 17" xfId="12382" xr:uid="{00000000-0005-0000-0000-000012010000}"/>
    <cellStyle name="40% - Énfasis4 17 2" xfId="13510" xr:uid="{A5A6AC28-FF33-4046-9CE6-F435B97F8B38}"/>
    <cellStyle name="40% - Énfasis4 17 2 2" xfId="22092" xr:uid="{F5CEBEA5-EE3C-4F57-8295-7F4C6EC5CAA7}"/>
    <cellStyle name="40% - Énfasis4 17 3" xfId="17484" xr:uid="{D21B064D-B0A5-47FF-83C5-353AA400A6CD}"/>
    <cellStyle name="40% - Énfasis4 17 3 2" xfId="23729" xr:uid="{23B08DD9-E550-4F9F-8545-3878D56EEA86}"/>
    <cellStyle name="40% - Énfasis4 17 4" xfId="21125" xr:uid="{B9AFFE38-0D5E-4DB9-8B4E-4F34D4451492}"/>
    <cellStyle name="40% - Énfasis4 17_1.2.b" xfId="15752" xr:uid="{686CA169-BF07-4BFF-8F1F-EFCB042446B8}"/>
    <cellStyle name="40% - Énfasis4 18" xfId="13511" xr:uid="{9970C10A-328E-40C0-A637-FA55EFC96820}"/>
    <cellStyle name="40% - Énfasis4 18 2" xfId="17485" xr:uid="{D594C3DE-ED53-44BA-8EAD-82E008B2EC26}"/>
    <cellStyle name="40% - Énfasis4 18 2 2" xfId="23730" xr:uid="{1C2BD586-17FB-4368-B999-B77F8DEC0918}"/>
    <cellStyle name="40% - Énfasis4 18 3" xfId="22093" xr:uid="{5E1019CB-A9BF-4093-968F-D8F352701013}"/>
    <cellStyle name="40% - Énfasis4 18_1.2.b" xfId="15753" xr:uid="{35BFDBF8-60C9-4AA2-87AF-F826C09B1957}"/>
    <cellStyle name="40% - Énfasis4 19" xfId="13512" xr:uid="{F9C02E77-BCA9-4C56-B266-56FD3ACBFF9E}"/>
    <cellStyle name="40% - Énfasis4 19 2" xfId="17486" xr:uid="{6A9074A1-F584-4187-8106-834BB1E93D01}"/>
    <cellStyle name="40% - Énfasis4 19 2 2" xfId="23731" xr:uid="{3E39F0DB-7798-4ED3-929F-AD647A7D040D}"/>
    <cellStyle name="40% - Énfasis4 19 3" xfId="22094" xr:uid="{443B48E1-7952-4D6F-BCB8-3A79F12F3C34}"/>
    <cellStyle name="40% - Énfasis4 19_1.2.b" xfId="15754" xr:uid="{65926C6E-60EB-463C-9B74-FF65EE36DD8F}"/>
    <cellStyle name="40% - Énfasis4 2" xfId="153" xr:uid="{00000000-0005-0000-0000-000013010000}"/>
    <cellStyle name="40% - Énfasis4 2 10" xfId="13514" xr:uid="{50E5500A-D926-42DC-87E8-76AFDD29A7B1}"/>
    <cellStyle name="40% - Énfasis4 2 10 2" xfId="17488" xr:uid="{81BA6C27-7386-4EC6-B493-E77208FABF92}"/>
    <cellStyle name="40% - Énfasis4 2 10 2 2" xfId="23732" xr:uid="{ED49EAA4-6029-4489-894C-5CB7A6C1814E}"/>
    <cellStyle name="40% - Énfasis4 2 10 3" xfId="22095" xr:uid="{7D7D3FE7-7886-46FC-920C-8392B16A1C33}"/>
    <cellStyle name="40% - Énfasis4 2 10_1.2.b" xfId="15756" xr:uid="{0F5192F4-71E5-4388-841D-0A88A464050F}"/>
    <cellStyle name="40% - Énfasis4 2 11" xfId="13513" xr:uid="{0D48CB5D-BD17-416C-8301-C6FE807A82AB}"/>
    <cellStyle name="40% - Énfasis4 2 12" xfId="17487" xr:uid="{14FF8AAD-0AD2-4B0C-B500-0A75BE001AD1}"/>
    <cellStyle name="40% - Énfasis4 2 13" xfId="18168" xr:uid="{97B155CB-F477-461A-9402-89B04CAAAA14}"/>
    <cellStyle name="40% - Énfasis4 2 14" xfId="18182" xr:uid="{554F1FAA-FBC9-42D6-AF4C-77AF00393DF3}"/>
    <cellStyle name="40% - Énfasis4 2 15" xfId="18167" xr:uid="{B6F5F11B-722A-4EEB-BC28-B31F720F32FE}"/>
    <cellStyle name="40% - Énfasis4 2 16" xfId="18185" xr:uid="{1A008E36-A1D4-4D9B-84B3-0C06B842F464}"/>
    <cellStyle name="40% - Énfasis4 2 17" xfId="18397" xr:uid="{EDF6D308-45F9-4D9A-A03C-338F030F16B0}"/>
    <cellStyle name="40% - Énfasis4 2 2" xfId="10673" xr:uid="{00000000-0005-0000-0000-000014010000}"/>
    <cellStyle name="40% - Énfasis4 2 2 2" xfId="13516" xr:uid="{4EB890A6-23E8-468C-BCC7-7F69E31A6F64}"/>
    <cellStyle name="40% - Énfasis4 2 2 3" xfId="13517" xr:uid="{EA9FA343-5EFD-4A4C-BBA3-DCE64C0BA7E4}"/>
    <cellStyle name="40% - Énfasis4 2 2 4" xfId="13518" xr:uid="{7190F379-B2ED-461A-AAC0-D3B6B36D0DAC}"/>
    <cellStyle name="40% - Énfasis4 2 2 5" xfId="13519" xr:uid="{1463C6BA-C120-4370-B8EF-169DA00A49C5}"/>
    <cellStyle name="40% - Énfasis4 2 2 6" xfId="13515" xr:uid="{64EEB7C3-5C7F-4412-A986-87044059E44D}"/>
    <cellStyle name="40% - Énfasis4 2 2 6 2" xfId="22096" xr:uid="{F79EAB64-BA1E-4FB1-B63F-618566339401}"/>
    <cellStyle name="40% - Énfasis4 2 2 7" xfId="17489" xr:uid="{B1403A45-1EE4-44D7-9776-CF5F0F25E46D}"/>
    <cellStyle name="40% - Énfasis4 2 2 7 2" xfId="23733" xr:uid="{54624D71-9C99-4280-A2E3-94A5AA5C1411}"/>
    <cellStyle name="40% - Énfasis4 2 2 8" xfId="19765" xr:uid="{D40E3D73-608D-4A6D-BBE9-F447B5CCF96A}"/>
    <cellStyle name="40% - Énfasis4 2 2_1.2.b" xfId="15757" xr:uid="{9C695F04-ADA5-475E-9B17-3D93919E0FF1}"/>
    <cellStyle name="40% - Énfasis4 2 3" xfId="13520" xr:uid="{8AC350F8-D15B-4B8D-B733-B5296EE52FA5}"/>
    <cellStyle name="40% - Énfasis4 2 4" xfId="13521" xr:uid="{0B2F8C19-6A87-4128-8A94-9F40F8A958B9}"/>
    <cellStyle name="40% - Énfasis4 2 5" xfId="13522" xr:uid="{F1C5242A-93E5-44A9-AE1C-39800B95E987}"/>
    <cellStyle name="40% - Énfasis4 2 6" xfId="13523" xr:uid="{354BFC02-78BE-4997-A50C-49234407FC2E}"/>
    <cellStyle name="40% - Énfasis4 2 7" xfId="13524" xr:uid="{EB162D56-32CC-43FA-A090-EC49FA8F2B38}"/>
    <cellStyle name="40% - Énfasis4 2 8" xfId="13525" xr:uid="{A8673A88-8290-4A13-AF4F-933558230F53}"/>
    <cellStyle name="40% - Énfasis4 2 9" xfId="13526" xr:uid="{DB001BF6-C28E-47EB-9FE7-581CC02766C3}"/>
    <cellStyle name="40% - Énfasis4 2 9 2" xfId="17491" xr:uid="{5B57D04C-8B9E-4A5E-AE1B-126AF5CA5676}"/>
    <cellStyle name="40% - Énfasis4 2 9 2 2" xfId="23734" xr:uid="{3C255BC7-19AE-446E-BBEF-5303E27E96EC}"/>
    <cellStyle name="40% - Énfasis4 2 9 3" xfId="22097" xr:uid="{D17BCCF7-A75A-4025-AF4B-449C0E858C9D}"/>
    <cellStyle name="40% - Énfasis4 2 9_1.2.b" xfId="15758" xr:uid="{0110DD66-DF91-49F0-ACA2-795E136006C9}"/>
    <cellStyle name="40% - Énfasis4 2_1.2.b" xfId="15755" xr:uid="{0CAAE55B-E335-48F3-A0E7-2ECAF080F1BC}"/>
    <cellStyle name="40% - Énfasis4 20" xfId="13527" xr:uid="{AE23D71D-54FB-421C-A465-531BF34009AB}"/>
    <cellStyle name="40% - Énfasis4 20 2" xfId="17492" xr:uid="{B72FF1A6-BB91-47B4-BA88-2FD7184FC78F}"/>
    <cellStyle name="40% - Énfasis4 20 2 2" xfId="23735" xr:uid="{E573B36F-13E9-478F-AF68-DB0B7607024E}"/>
    <cellStyle name="40% - Énfasis4 20 3" xfId="22098" xr:uid="{73D93BF3-7A5F-4414-9D85-77A0D091CEA9}"/>
    <cellStyle name="40% - Énfasis4 20_1.2.b" xfId="15759" xr:uid="{1433176C-A0F0-4E9F-B9DE-F7FD9C23F57A}"/>
    <cellStyle name="40% - Énfasis4 21" xfId="13528" xr:uid="{653AE31C-0686-40AC-9AF7-EE0300C1C856}"/>
    <cellStyle name="40% - Énfasis4 21 2" xfId="17493" xr:uid="{58C678A3-BB55-4D39-9A39-4487351F9BEB}"/>
    <cellStyle name="40% - Énfasis4 21 2 2" xfId="23736" xr:uid="{3C0B23A2-BACD-4AF1-9CC6-5B4F8E4E4278}"/>
    <cellStyle name="40% - Énfasis4 21 3" xfId="22099" xr:uid="{864AF43A-1315-4878-9C4C-9FB5F94EF0A3}"/>
    <cellStyle name="40% - Énfasis4 21_1.2.b" xfId="15760" xr:uid="{30F5824D-1DE0-4F63-ADCD-B77A75B0EB29}"/>
    <cellStyle name="40% - Énfasis4 22" xfId="13529" xr:uid="{043DD913-E8B0-4213-9A07-679629AA0C0C}"/>
    <cellStyle name="40% - Énfasis4 22 2" xfId="17494" xr:uid="{BFA3D507-4310-4B57-8AD9-716F33F4BF20}"/>
    <cellStyle name="40% - Énfasis4 22 2 2" xfId="23737" xr:uid="{BE19CA64-A634-4942-BB91-20A64D02C56B}"/>
    <cellStyle name="40% - Énfasis4 22 3" xfId="22100" xr:uid="{391011A9-7FEC-49DB-8AED-8176142F2F82}"/>
    <cellStyle name="40% - Énfasis4 22_1.2.b" xfId="15761" xr:uid="{01BC22B3-BCBD-4DD5-89AD-27713A778031}"/>
    <cellStyle name="40% - Énfasis4 23" xfId="13530" xr:uid="{96A3BA91-9B37-4DC3-A5F9-646F78F375EA}"/>
    <cellStyle name="40% - Énfasis4 23 2" xfId="17495" xr:uid="{959483E6-8D7D-49F6-95E8-068A4C0107C0}"/>
    <cellStyle name="40% - Énfasis4 23 2 2" xfId="23738" xr:uid="{C4CE0E43-2FCE-46F9-B51C-2C8EF6ED4360}"/>
    <cellStyle name="40% - Énfasis4 23 3" xfId="22101" xr:uid="{7C592545-4F53-4BF0-BEF7-4E7FCC5ECA2B}"/>
    <cellStyle name="40% - Énfasis4 23_1.2.b" xfId="15762" xr:uid="{2E95FF1B-D376-48BD-A1A0-1ECBF2D9AA4A}"/>
    <cellStyle name="40% - Énfasis4 24" xfId="13531" xr:uid="{11936E0E-3805-47EC-A32C-EAFD1B9934FD}"/>
    <cellStyle name="40% - Énfasis4 24 2" xfId="17496" xr:uid="{67ECD961-3162-4618-8469-598BB530A7C3}"/>
    <cellStyle name="40% - Énfasis4 24 2 2" xfId="23739" xr:uid="{3B74BE45-4A8E-45EA-A5F3-4AB3B9CF0273}"/>
    <cellStyle name="40% - Énfasis4 24 3" xfId="22102" xr:uid="{4CCF5886-CD97-423A-8910-2D666A3CF533}"/>
    <cellStyle name="40% - Énfasis4 24_1.2.b" xfId="15763" xr:uid="{EFDA8C17-B10E-41D8-8B56-F5F8F41B4EB6}"/>
    <cellStyle name="40% - Énfasis4 25" xfId="13532" xr:uid="{70BEDED1-0DE8-4B8D-A96A-6C4C8B828FAB}"/>
    <cellStyle name="40% - Énfasis4 25 2" xfId="17497" xr:uid="{7427867C-3DF1-4C51-BE27-7C0B800F3AF2}"/>
    <cellStyle name="40% - Énfasis4 25 2 2" xfId="23740" xr:uid="{0A04F2D4-508B-41D6-BCEB-4DA528C96FDD}"/>
    <cellStyle name="40% - Énfasis4 25 3" xfId="22103" xr:uid="{499F342F-2892-47FE-9A76-BD727B2A34EA}"/>
    <cellStyle name="40% - Énfasis4 25_1.2.b" xfId="15764" xr:uid="{E25A5FE6-26A8-4E07-B814-CA8D2F1F5C3D}"/>
    <cellStyle name="40% - Énfasis4 26" xfId="13533" xr:uid="{06E865E8-7141-47DD-B821-C505FB713FE1}"/>
    <cellStyle name="40% - Énfasis4 26 2" xfId="17498" xr:uid="{9D4162D2-6713-40A5-998F-31D87E1C4202}"/>
    <cellStyle name="40% - Énfasis4 26 2 2" xfId="23741" xr:uid="{665BA1C6-0DE3-4A57-B73B-FEE0A8E60969}"/>
    <cellStyle name="40% - Énfasis4 26 3" xfId="22104" xr:uid="{0C56E540-934A-47E8-83CF-BDFCEAA8A94C}"/>
    <cellStyle name="40% - Énfasis4 26_1.2.b" xfId="15765" xr:uid="{91998AF5-55E7-49C2-8FD2-23E8D4A346B1}"/>
    <cellStyle name="40% - Énfasis4 27" xfId="13534" xr:uid="{701CF862-8D65-42E8-AEA6-CC3CE106DE0E}"/>
    <cellStyle name="40% - Énfasis4 27 2" xfId="17499" xr:uid="{57142E25-50D7-4998-9AFC-F0BFE0CEA423}"/>
    <cellStyle name="40% - Énfasis4 27 2 2" xfId="23742" xr:uid="{2483DEA1-6823-4F86-97D1-6FDB4A190EBE}"/>
    <cellStyle name="40% - Énfasis4 27 3" xfId="22105" xr:uid="{51B4204F-3F21-497E-AE24-E3F034472B18}"/>
    <cellStyle name="40% - Énfasis4 27_1.2.b" xfId="15766" xr:uid="{DF10EFF4-8A16-4572-ACB1-211E039770E6}"/>
    <cellStyle name="40% - Énfasis4 28" xfId="13535" xr:uid="{93014305-6CCE-429F-9213-A84723931D51}"/>
    <cellStyle name="40% - Énfasis4 28 2" xfId="17500" xr:uid="{260FD596-49C0-450D-8C35-2FCF65BA97B4}"/>
    <cellStyle name="40% - Énfasis4 28 2 2" xfId="23743" xr:uid="{FC46E2C1-C12D-4B73-9760-0B6380E030D4}"/>
    <cellStyle name="40% - Énfasis4 28 3" xfId="22106" xr:uid="{E4781DC7-6A19-4F8E-B197-DF4A98C33027}"/>
    <cellStyle name="40% - Énfasis4 28_1.2.b" xfId="15767" xr:uid="{97BEF62F-1288-4704-ABB0-023846AC6C1C}"/>
    <cellStyle name="40% - Énfasis4 29" xfId="13536" xr:uid="{223DBE7F-35B3-459D-94B4-04031CDE9139}"/>
    <cellStyle name="40% - Énfasis4 29 2" xfId="17501" xr:uid="{A27920ED-D2D0-475C-BD10-3D60D7213F16}"/>
    <cellStyle name="40% - Énfasis4 29 2 2" xfId="23744" xr:uid="{3EA82792-619D-4495-BCDF-E553018286E7}"/>
    <cellStyle name="40% - Énfasis4 29 3" xfId="22107" xr:uid="{9E495F7E-C414-401F-B376-2B89ECD49EE7}"/>
    <cellStyle name="40% - Énfasis4 29_1.2.b" xfId="15768" xr:uid="{F70E184B-975B-416C-A5EC-3DF0CA422BB6}"/>
    <cellStyle name="40% - Énfasis4 3" xfId="167" xr:uid="{00000000-0005-0000-0000-000015010000}"/>
    <cellStyle name="40% - Énfasis4 3 2" xfId="10687" xr:uid="{00000000-0005-0000-0000-000016010000}"/>
    <cellStyle name="40% - Énfasis4 3 2 2" xfId="13538" xr:uid="{80312FA5-6B02-40AB-8206-B179206660E6}"/>
    <cellStyle name="40% - Énfasis4 3 2 2 2" xfId="22109" xr:uid="{5CB574F4-B125-4C22-817A-A32874E7CC86}"/>
    <cellStyle name="40% - Énfasis4 3 2 3" xfId="17503" xr:uid="{757A10DF-EEA8-48E6-B0DD-9581B86B1536}"/>
    <cellStyle name="40% - Énfasis4 3 2 3 2" xfId="23746" xr:uid="{ABA15531-9DBA-48CC-91F6-5D3E63090CD3}"/>
    <cellStyle name="40% - Énfasis4 3 2 4" xfId="19779" xr:uid="{728AED37-7356-4373-B64D-309EE498E35D}"/>
    <cellStyle name="40% - Énfasis4 3 2_1.2.b" xfId="15770" xr:uid="{B0A10FD3-FB8A-43A4-B5DA-D1E2FC1BB760}"/>
    <cellStyle name="40% - Énfasis4 3 3" xfId="13539" xr:uid="{0DCCA6ED-C352-417E-A45F-2D68A27CECB7}"/>
    <cellStyle name="40% - Énfasis4 3 4" xfId="13537" xr:uid="{61EE2B5F-26EB-426B-98E5-4BAC21E09459}"/>
    <cellStyle name="40% - Énfasis4 3 4 2" xfId="22108" xr:uid="{6272058F-A836-4DB5-9219-BC6DE3A6BDE5}"/>
    <cellStyle name="40% - Énfasis4 3 5" xfId="17502" xr:uid="{AF858854-D237-4091-90C3-2A2ED7066037}"/>
    <cellStyle name="40% - Énfasis4 3 5 2" xfId="23745" xr:uid="{B42D121C-34E3-4883-9CB9-934B1C74DAE3}"/>
    <cellStyle name="40% - Énfasis4 3 6" xfId="18411" xr:uid="{D5F7ACE1-62E0-4171-AA77-C50A3570FBEC}"/>
    <cellStyle name="40% - Énfasis4 3_1.2.b" xfId="15769" xr:uid="{0854FDC3-4DC9-46D4-BE95-7E3F6588C86C}"/>
    <cellStyle name="40% - Énfasis4 30" xfId="13540" xr:uid="{43E9130A-0805-40BC-8C70-AF7C236A5E3E}"/>
    <cellStyle name="40% - Énfasis4 30 2" xfId="17504" xr:uid="{B0B3BF14-07E3-4354-B4C0-9CB7A695891F}"/>
    <cellStyle name="40% - Énfasis4 30 2 2" xfId="23747" xr:uid="{8BA33CA0-5679-47EE-9BAA-758BDE13B363}"/>
    <cellStyle name="40% - Énfasis4 30 3" xfId="22110" xr:uid="{DADC0415-E42F-462A-BCED-CC3A705C2F4B}"/>
    <cellStyle name="40% - Énfasis4 30_1.2.b" xfId="15771" xr:uid="{156DD58A-7309-447E-BC82-FEB082D45EBA}"/>
    <cellStyle name="40% - Énfasis4 31" xfId="13541" xr:uid="{A8AAAB7A-A271-47FD-89AC-0EA8B6F19B02}"/>
    <cellStyle name="40% - Énfasis4 31 2" xfId="17505" xr:uid="{90130C8C-2EBC-46B6-B404-8F76D587E6D8}"/>
    <cellStyle name="40% - Énfasis4 31 2 2" xfId="23748" xr:uid="{7673645C-B94F-41BB-930B-8FA22F0DAD1E}"/>
    <cellStyle name="40% - Énfasis4 31 3" xfId="22111" xr:uid="{FF9855E5-39DD-44EE-8CAD-E68735C18DEF}"/>
    <cellStyle name="40% - Énfasis4 31_1.2.b" xfId="15772" xr:uid="{3DCC1CBB-DF96-4BF2-B527-6567692B174A}"/>
    <cellStyle name="40% - Énfasis4 32" xfId="13542" xr:uid="{F2718665-E604-4D94-9F1E-0B848182CD44}"/>
    <cellStyle name="40% - Énfasis4 32 2" xfId="17506" xr:uid="{5207B4F5-EB9B-447D-B9BA-DBFE286928E5}"/>
    <cellStyle name="40% - Énfasis4 32 2 2" xfId="23749" xr:uid="{C9E7C400-7B6D-4392-9A6E-0CDDA4656DD2}"/>
    <cellStyle name="40% - Énfasis4 32 3" xfId="22112" xr:uid="{C452C93B-AAA8-456E-9F24-ECA48AA43A05}"/>
    <cellStyle name="40% - Énfasis4 32_1.2.b" xfId="15773" xr:uid="{72E5C55C-F203-414F-AD03-996292D15E4D}"/>
    <cellStyle name="40% - Énfasis4 33" xfId="13543" xr:uid="{2B17E376-C1C1-46B9-9AA5-2C69EF8E7750}"/>
    <cellStyle name="40% - Énfasis4 33 2" xfId="17507" xr:uid="{858B32BE-F4FC-49C9-9A1B-DB122BFCC9B0}"/>
    <cellStyle name="40% - Énfasis4 33 2 2" xfId="23750" xr:uid="{47A657E6-A4FF-47C1-BFA5-552DD849155D}"/>
    <cellStyle name="40% - Énfasis4 33 3" xfId="22113" xr:uid="{C07D92EA-4CF0-45EB-AC4B-C22044D800F0}"/>
    <cellStyle name="40% - Énfasis4 33_1.2.b" xfId="15774" xr:uid="{F00BD8C6-6097-4D26-9B3A-0A901CC9A443}"/>
    <cellStyle name="40% - Énfasis4 34" xfId="13544" xr:uid="{B41592C4-7F4F-4CF3-83C1-669F4E85AD6E}"/>
    <cellStyle name="40% - Énfasis4 34 2" xfId="17508" xr:uid="{93E38B69-1FF0-4377-9333-2AEAFF354035}"/>
    <cellStyle name="40% - Énfasis4 34 2 2" xfId="23751" xr:uid="{5742A919-78C9-434C-B9E8-BC1F7EBD5809}"/>
    <cellStyle name="40% - Énfasis4 34 3" xfId="22114" xr:uid="{9F927A69-46B4-46AA-A61E-ED2D21376257}"/>
    <cellStyle name="40% - Énfasis4 34_1.2.b" xfId="15775" xr:uid="{62E4F2CF-66F4-4BAC-A93E-DDAE7312D5D0}"/>
    <cellStyle name="40% - Énfasis4 35" xfId="13545" xr:uid="{E7833FB4-D5E4-437C-95D9-A33AB453A10D}"/>
    <cellStyle name="40% - Énfasis4 35 2" xfId="17509" xr:uid="{2D407D1C-0884-4715-B977-465A781AE75B}"/>
    <cellStyle name="40% - Énfasis4 35 2 2" xfId="23752" xr:uid="{E8BFED51-CC02-4EBB-8062-AA9E6277EB06}"/>
    <cellStyle name="40% - Énfasis4 35 3" xfId="22115" xr:uid="{E7D58E01-42CE-4E66-80D2-D5F5BAF2A8D6}"/>
    <cellStyle name="40% - Énfasis4 35_1.2.b" xfId="15776" xr:uid="{7446AED8-527E-4354-83B6-EEE32F01C14D}"/>
    <cellStyle name="40% - Énfasis4 36" xfId="13546" xr:uid="{328399A1-20DF-461D-BE4F-9296C3B1F232}"/>
    <cellStyle name="40% - Énfasis4 36 2" xfId="17510" xr:uid="{5414DB51-E05B-4316-AA23-FFB3C44133D7}"/>
    <cellStyle name="40% - Énfasis4 36 2 2" xfId="23753" xr:uid="{1FBA2540-E712-41EF-9C4C-E2911F8B1967}"/>
    <cellStyle name="40% - Énfasis4 36 3" xfId="22116" xr:uid="{CBC0641E-FDD5-4208-8D9C-F00EE810F036}"/>
    <cellStyle name="40% - Énfasis4 36_1.2.b" xfId="15777" xr:uid="{B86F9253-ED52-4834-B0D7-A1C581FD6009}"/>
    <cellStyle name="40% - Énfasis4 37" xfId="13547" xr:uid="{A61B93F0-7801-43F6-B7C9-FD4DBC40041C}"/>
    <cellStyle name="40% - Énfasis4 37 2" xfId="17511" xr:uid="{C7CCC95D-972E-4B27-AAFE-E758F3DCF7C2}"/>
    <cellStyle name="40% - Énfasis4 37 2 2" xfId="23754" xr:uid="{45774CBB-A57D-4482-A06F-62C8FFD68D04}"/>
    <cellStyle name="40% - Énfasis4 37 3" xfId="22117" xr:uid="{F6D8A133-DCD7-43DA-998C-5C311EC02F72}"/>
    <cellStyle name="40% - Énfasis4 37_1.2.b" xfId="15778" xr:uid="{00633239-18E0-4F9E-AFD3-DFFE52DA4AEB}"/>
    <cellStyle name="40% - Énfasis4 38" xfId="13548" xr:uid="{049BA81C-3F9A-4370-916C-C5F534A9B267}"/>
    <cellStyle name="40% - Énfasis4 38 2" xfId="17512" xr:uid="{72CFDAC1-F502-4CD9-8EB5-37044D44C132}"/>
    <cellStyle name="40% - Énfasis4 38 2 2" xfId="23755" xr:uid="{2A579005-55CF-4CB8-9FE3-FE6D69D1B98E}"/>
    <cellStyle name="40% - Énfasis4 38 3" xfId="22118" xr:uid="{0ADA5F31-F4E6-41A0-A839-22CB122CD032}"/>
    <cellStyle name="40% - Énfasis4 38_1.2.b" xfId="15779" xr:uid="{E468B636-7132-43E6-9B8A-E254AFB1FC44}"/>
    <cellStyle name="40% - Énfasis4 39" xfId="13549" xr:uid="{8AA706EF-5E85-4DEE-8DC7-8364A8904BF5}"/>
    <cellStyle name="40% - Énfasis4 39 2" xfId="17513" xr:uid="{D51DD2E7-719D-4037-B2F0-97DE6C6100C3}"/>
    <cellStyle name="40% - Énfasis4 39 2 2" xfId="23756" xr:uid="{3FCCF733-C93A-41B7-A642-4403839F43B4}"/>
    <cellStyle name="40% - Énfasis4 39 3" xfId="22119" xr:uid="{6D3C7312-73E8-4EB5-BE42-3B48BA47544A}"/>
    <cellStyle name="40% - Énfasis4 39_1.2.b" xfId="15780" xr:uid="{3EE365FB-3672-46C8-8D63-4FBF78B6C1F6}"/>
    <cellStyle name="40% - Énfasis4 4" xfId="181" xr:uid="{00000000-0005-0000-0000-000017010000}"/>
    <cellStyle name="40% - Énfasis4 4 2" xfId="10701" xr:uid="{00000000-0005-0000-0000-000018010000}"/>
    <cellStyle name="40% - Énfasis4 4 2 2" xfId="13551" xr:uid="{875CBD84-7FE7-4CCE-B28F-C1055CBAC578}"/>
    <cellStyle name="40% - Énfasis4 4 2 3" xfId="19793" xr:uid="{64863630-A760-4016-867C-1C674AF897F9}"/>
    <cellStyle name="40% - Énfasis4 4 2_1.2.b" xfId="15782" xr:uid="{77266066-9055-408F-8622-D2CAFA6B79BD}"/>
    <cellStyle name="40% - Énfasis4 4 3" xfId="13550" xr:uid="{13B1F956-5B30-4EED-9CEA-1C0F02264320}"/>
    <cellStyle name="40% - Énfasis4 4 3 2" xfId="22120" xr:uid="{0D256EF6-1F05-4F75-9872-E8F39FBA1FAB}"/>
    <cellStyle name="40% - Énfasis4 4 4" xfId="17514" xr:uid="{C68AF539-03B7-499E-89EC-DA9086519577}"/>
    <cellStyle name="40% - Énfasis4 4 4 2" xfId="23757" xr:uid="{821B060B-A923-403D-A5AC-F71AAB1FB88A}"/>
    <cellStyle name="40% - Énfasis4 4 5" xfId="18171" xr:uid="{978C94BD-8B41-43E1-B351-B417F3298865}"/>
    <cellStyle name="40% - Énfasis4 4 5 2" xfId="24369" xr:uid="{F02D2F71-52DA-4B4F-96BC-0981C156AB38}"/>
    <cellStyle name="40% - Énfasis4 4 6" xfId="18180" xr:uid="{5F6ACDC3-CA29-4F11-85C5-718D3DCD724F}"/>
    <cellStyle name="40% - Énfasis4 4 6 2" xfId="24374" xr:uid="{29C86D56-6A22-4DB3-9305-0758E2A0957C}"/>
    <cellStyle name="40% - Énfasis4 4 7" xfId="18170" xr:uid="{E3F55042-9CFE-4223-A901-694732A341A8}"/>
    <cellStyle name="40% - Énfasis4 4 7 2" xfId="24368" xr:uid="{78211128-DD32-466B-A436-2170F97A8ACE}"/>
    <cellStyle name="40% - Énfasis4 4 8" xfId="18181" xr:uid="{97C792CF-7EFB-46FE-8B11-B3A8568F4DB6}"/>
    <cellStyle name="40% - Énfasis4 4 8 2" xfId="24375" xr:uid="{E3FAF2B4-FD63-4CB0-A573-9323DE2047A0}"/>
    <cellStyle name="40% - Énfasis4 4 9" xfId="18425" xr:uid="{EE953442-A06C-49CD-ABAF-155BE86DC898}"/>
    <cellStyle name="40% - Énfasis4 4_1.2.b" xfId="15781" xr:uid="{6BAB56F7-595F-4774-A38E-610FCF1B81D9}"/>
    <cellStyle name="40% - Énfasis4 40" xfId="13552" xr:uid="{1108FA6F-DFEB-4BBD-AA31-08B876DA9600}"/>
    <cellStyle name="40% - Énfasis4 40 2" xfId="17515" xr:uid="{D1898F0B-D690-4B65-9EE2-AF3F8DE14D6D}"/>
    <cellStyle name="40% - Énfasis4 40 2 2" xfId="23758" xr:uid="{BFBAA09D-D982-489A-A403-EAB11E472E34}"/>
    <cellStyle name="40% - Énfasis4 40 3" xfId="22121" xr:uid="{FCB9121B-CB8A-4CE6-8ADC-78699AF91ABF}"/>
    <cellStyle name="40% - Énfasis4 40_1.2.b" xfId="15783" xr:uid="{2BF2924C-592B-44DF-904A-8178A57CCDE5}"/>
    <cellStyle name="40% - Énfasis4 41" xfId="13553" xr:uid="{456E3478-D6C9-417D-BAB2-B7ADE72D9902}"/>
    <cellStyle name="40% - Énfasis4 41 2" xfId="17516" xr:uid="{C38B333F-C309-440A-8DAE-4BB3FFCAE317}"/>
    <cellStyle name="40% - Énfasis4 41 2 2" xfId="23759" xr:uid="{C64CECB7-6DE1-4D78-B935-D6E6A154B5A7}"/>
    <cellStyle name="40% - Énfasis4 41 3" xfId="22122" xr:uid="{4F94057D-A2DF-4FF3-909D-BE49472E4E7F}"/>
    <cellStyle name="40% - Énfasis4 41_1.2.b" xfId="15784" xr:uid="{3068A471-0ED1-4469-9470-7D1078538F03}"/>
    <cellStyle name="40% - Énfasis4 42" xfId="13554" xr:uid="{BF64F91F-CE7B-4BA5-B698-7B0D73F843C7}"/>
    <cellStyle name="40% - Énfasis4 42 2" xfId="17517" xr:uid="{556F30D0-95B7-426A-80A3-97AC4512A860}"/>
    <cellStyle name="40% - Énfasis4 42 2 2" xfId="23760" xr:uid="{446F3D0B-1E50-4CF3-9BB9-27C062026252}"/>
    <cellStyle name="40% - Énfasis4 42 3" xfId="22123" xr:uid="{A9A3C8B4-5C7E-47D9-AD51-93B6E2DABE1E}"/>
    <cellStyle name="40% - Énfasis4 42_1.2.b" xfId="15785" xr:uid="{9C96497A-0A5F-4B45-B227-FA888FA8384A}"/>
    <cellStyle name="40% - Énfasis4 43" xfId="13555" xr:uid="{C5FDAFAB-6777-43E3-B4D8-B1F99DFF72CD}"/>
    <cellStyle name="40% - Énfasis4 43 2" xfId="17518" xr:uid="{A9E7515F-59FF-4166-9F34-68802B42846E}"/>
    <cellStyle name="40% - Énfasis4 43 2 2" xfId="23761" xr:uid="{EF51EE67-3ED9-4A17-832A-5DD70F9E07BE}"/>
    <cellStyle name="40% - Énfasis4 43 3" xfId="22124" xr:uid="{D889E76E-1443-405E-ABFC-0C48E04C0DC9}"/>
    <cellStyle name="40% - Énfasis4 43_1.2.b" xfId="15786" xr:uid="{0602636F-E00E-4028-AE74-2458F079E796}"/>
    <cellStyle name="40% - Énfasis4 44" xfId="13556" xr:uid="{06625A91-6E47-4D84-91F8-7A556C473193}"/>
    <cellStyle name="40% - Énfasis4 44 2" xfId="17519" xr:uid="{6E4284FE-F54F-40EE-A5AE-E69B0D6F365D}"/>
    <cellStyle name="40% - Énfasis4 44 2 2" xfId="23762" xr:uid="{30AEBA32-1F30-4D11-8D3E-DE7305A0D6D0}"/>
    <cellStyle name="40% - Énfasis4 44 3" xfId="22125" xr:uid="{A912701E-BE78-42DA-95AF-0428DDBC6948}"/>
    <cellStyle name="40% - Énfasis4 44_1.2.b" xfId="15787" xr:uid="{E99F039C-D684-4834-8956-F1F423A2CCF7}"/>
    <cellStyle name="40% - Énfasis4 45" xfId="13557" xr:uid="{5DCC23CA-6682-4C5B-9CEF-F0E8DCDFE748}"/>
    <cellStyle name="40% - Énfasis4 45 2" xfId="17520" xr:uid="{D13F1350-2B69-42F8-A0CA-0DB5279A01D7}"/>
    <cellStyle name="40% - Énfasis4 45 2 2" xfId="23763" xr:uid="{DB43A8E2-8CD4-4068-95E6-2A392233B499}"/>
    <cellStyle name="40% - Énfasis4 45 3" xfId="22126" xr:uid="{1B38338C-2695-4AAA-8437-34CF4169DCCD}"/>
    <cellStyle name="40% - Énfasis4 45_1.2.b" xfId="15788" xr:uid="{6E2A8C43-AD66-4A16-8A0E-5DA848CBFB1E}"/>
    <cellStyle name="40% - Énfasis4 46" xfId="13558" xr:uid="{CEE59321-663B-4551-8041-51FCFA8F85F4}"/>
    <cellStyle name="40% - Énfasis4 46 2" xfId="17521" xr:uid="{496917C6-F1CC-439C-9647-864B409D3833}"/>
    <cellStyle name="40% - Énfasis4 46 2 2" xfId="23764" xr:uid="{0403392D-B3BF-4B64-958A-744494340973}"/>
    <cellStyle name="40% - Énfasis4 46 3" xfId="22127" xr:uid="{DF18907E-DA43-4342-9952-959E968D3671}"/>
    <cellStyle name="40% - Énfasis4 46_1.2.b" xfId="15789" xr:uid="{A2C5ADF0-06A7-4C5C-AD6E-CD74826EB24F}"/>
    <cellStyle name="40% - Énfasis4 47" xfId="13559" xr:uid="{EAB32EB8-CD40-484A-9825-F4B6B88F492B}"/>
    <cellStyle name="40% - Énfasis4 47 2" xfId="17522" xr:uid="{E9B6F0AB-3527-48AB-A6B3-5BCBF97E01F5}"/>
    <cellStyle name="40% - Énfasis4 47 2 2" xfId="23765" xr:uid="{EBFCEF7D-CC1A-445D-820A-8C0241C0AF05}"/>
    <cellStyle name="40% - Énfasis4 47 3" xfId="22128" xr:uid="{F3B2F56F-733B-463A-9BEB-2E611AD27746}"/>
    <cellStyle name="40% - Énfasis4 47_1.2.b" xfId="15790" xr:uid="{05C1DFA1-9976-4A78-8407-0BE0371DF09A}"/>
    <cellStyle name="40% - Énfasis4 48" xfId="13560" xr:uid="{76F62541-D029-436E-97F8-9828DCB146AF}"/>
    <cellStyle name="40% - Énfasis4 48 2" xfId="17523" xr:uid="{A5C33F80-6ED0-439B-8665-B998515C6FB2}"/>
    <cellStyle name="40% - Énfasis4 48 2 2" xfId="23766" xr:uid="{6C421FC9-87DF-4353-B8C2-C2E76130D69D}"/>
    <cellStyle name="40% - Énfasis4 48 3" xfId="22129" xr:uid="{A41C3110-A2F0-4EC7-A6C1-3679A05C68F0}"/>
    <cellStyle name="40% - Énfasis4 48_1.2.b" xfId="15791" xr:uid="{94F7612D-A14E-45D0-B0AD-51A1F8842B5C}"/>
    <cellStyle name="40% - Énfasis4 49" xfId="13561" xr:uid="{5FA0677C-693C-4656-9F5C-E877300EAF3F}"/>
    <cellStyle name="40% - Énfasis4 49 2" xfId="17524" xr:uid="{95421B49-69F8-4796-88FC-C1D9424D6390}"/>
    <cellStyle name="40% - Énfasis4 49 2 2" xfId="23767" xr:uid="{63E24BD7-1C4A-4E66-91F0-9149BB2992B0}"/>
    <cellStyle name="40% - Énfasis4 49 3" xfId="22130" xr:uid="{3A3BED22-C843-4654-B48A-868E91293316}"/>
    <cellStyle name="40% - Énfasis4 49_1.2.b" xfId="15792" xr:uid="{5412729A-F891-4E02-B5C0-A8BE8A87802B}"/>
    <cellStyle name="40% - Énfasis4 5" xfId="196" xr:uid="{00000000-0005-0000-0000-000019010000}"/>
    <cellStyle name="40% - Énfasis4 5 2" xfId="10716" xr:uid="{00000000-0005-0000-0000-00001A010000}"/>
    <cellStyle name="40% - Énfasis4 5 2 2" xfId="19808" xr:uid="{3DAB60E8-74B4-4E6B-B9D8-70C10743C475}"/>
    <cellStyle name="40% - Énfasis4 5 3" xfId="13562" xr:uid="{475A3FDC-D9BB-440F-ACCC-8887C1F3E90E}"/>
    <cellStyle name="40% - Énfasis4 5 3 2" xfId="22131" xr:uid="{4F2267EF-E6F9-4410-AF88-6913A6A42515}"/>
    <cellStyle name="40% - Énfasis4 5 4" xfId="17525" xr:uid="{BF178544-C826-459E-97B8-689A32C9CA9F}"/>
    <cellStyle name="40% - Énfasis4 5 4 2" xfId="23768" xr:uid="{1FE05C25-F1CD-4FBC-AD6B-418E961FE438}"/>
    <cellStyle name="40% - Énfasis4 5 5" xfId="18440" xr:uid="{5D0E170C-B7DC-431C-B410-4090369F08C6}"/>
    <cellStyle name="40% - Énfasis4 5_1.2.b" xfId="15793" xr:uid="{68DEC187-63D7-439B-9E32-1FDB8E4B08FA}"/>
    <cellStyle name="40% - Énfasis4 50" xfId="13563" xr:uid="{59A31BA2-9754-4BD4-8429-EDE8ED6B5339}"/>
    <cellStyle name="40% - Énfasis4 50 2" xfId="17526" xr:uid="{E53F497E-FD2B-4C8C-9577-2DC5AC54FDE7}"/>
    <cellStyle name="40% - Énfasis4 50 2 2" xfId="23769" xr:uid="{0D825ABC-A728-4A50-931F-F035DB45AB39}"/>
    <cellStyle name="40% - Énfasis4 50 3" xfId="22132" xr:uid="{5CED13B1-FB56-4421-A42D-B88D04AEBBD4}"/>
    <cellStyle name="40% - Énfasis4 50_1.2.b" xfId="15794" xr:uid="{A52DA9C5-47D2-476A-A290-B1DED895DD4F}"/>
    <cellStyle name="40% - Énfasis4 51" xfId="13564" xr:uid="{0EE3FB7A-884D-42A4-AA57-AED96E35BFD7}"/>
    <cellStyle name="40% - Énfasis4 51 2" xfId="17527" xr:uid="{FAE708D5-F2A7-4BCD-9CFD-63DDA3C315E7}"/>
    <cellStyle name="40% - Énfasis4 51 2 2" xfId="23770" xr:uid="{040477D1-4731-497E-B868-A7C64B4179CB}"/>
    <cellStyle name="40% - Énfasis4 51 3" xfId="22133" xr:uid="{802C3B33-9332-45B7-B458-FF30BB72AE0C}"/>
    <cellStyle name="40% - Énfasis4 51_1.2.b" xfId="15795" xr:uid="{56A5B40A-409A-44E9-9B1E-636DF77369E9}"/>
    <cellStyle name="40% - Énfasis4 52" xfId="13565" xr:uid="{32143B6F-3C8C-41F9-909A-C62BED82781D}"/>
    <cellStyle name="40% - Énfasis4 52 2" xfId="17528" xr:uid="{6F600AAE-FF06-4812-9648-483093202BDF}"/>
    <cellStyle name="40% - Énfasis4 52 2 2" xfId="23771" xr:uid="{6822DF02-C732-4102-BA3E-2537A96563E2}"/>
    <cellStyle name="40% - Énfasis4 52 3" xfId="22134" xr:uid="{5CFCB88F-F176-44E4-9111-0028B9998451}"/>
    <cellStyle name="40% - Énfasis4 52_1.2.b" xfId="15796" xr:uid="{5A362D1F-F70A-492A-90E1-6B10F40D9AF9}"/>
    <cellStyle name="40% - Énfasis4 53" xfId="13566" xr:uid="{AD60CAF9-6CCA-4365-879A-2EE59E3BE22E}"/>
    <cellStyle name="40% - Énfasis4 53 2" xfId="17529" xr:uid="{6B35EB0A-D890-4BB2-BC75-C0C03D90BC79}"/>
    <cellStyle name="40% - Énfasis4 53 2 2" xfId="23772" xr:uid="{276D51D9-9E75-4C64-9124-7738BB483829}"/>
    <cellStyle name="40% - Énfasis4 53 3" xfId="22135" xr:uid="{F1759472-F8E1-453E-8C47-E63D91B910DD}"/>
    <cellStyle name="40% - Énfasis4 53_1.2.b" xfId="15797" xr:uid="{8815885F-EE7F-4883-976B-084B85A46156}"/>
    <cellStyle name="40% - Énfasis4 54" xfId="13567" xr:uid="{CDFA8651-E44F-4BF6-84A6-9578B5D96C74}"/>
    <cellStyle name="40% - Énfasis4 54 2" xfId="17530" xr:uid="{CB84982C-69D8-4010-8A87-EF8AC77A8156}"/>
    <cellStyle name="40% - Énfasis4 54 2 2" xfId="23773" xr:uid="{0640987E-2728-44E8-AD3F-8AA0E3743C97}"/>
    <cellStyle name="40% - Énfasis4 54 3" xfId="22136" xr:uid="{08B1EB71-B034-4BDD-899A-72582BDAD565}"/>
    <cellStyle name="40% - Énfasis4 54_1.2.b" xfId="15798" xr:uid="{C0349D5A-FF54-4A61-B9D7-CD52DD0CADDE}"/>
    <cellStyle name="40% - Énfasis4 55" xfId="13568" xr:uid="{2A4A7555-17A0-4B2A-A0EB-D5A85D3E532B}"/>
    <cellStyle name="40% - Énfasis4 55 2" xfId="17531" xr:uid="{0BA6C644-06FD-4260-8773-4B3D06434E9B}"/>
    <cellStyle name="40% - Énfasis4 55 2 2" xfId="23774" xr:uid="{90116D3B-4FBC-4528-B0B6-76A4AC3AFD7B}"/>
    <cellStyle name="40% - Énfasis4 55 3" xfId="22137" xr:uid="{7ADEF558-EDDA-4D36-9045-2B6962B5B2BF}"/>
    <cellStyle name="40% - Énfasis4 55_1.2.b" xfId="15799" xr:uid="{7060D302-F24C-484C-8A15-023F28F6C07C}"/>
    <cellStyle name="40% - Énfasis4 56" xfId="13569" xr:uid="{3354EE73-CC68-4770-A6D6-A3DA1F8C3747}"/>
    <cellStyle name="40% - Énfasis4 56 2" xfId="17532" xr:uid="{F51C3C83-1828-4768-A953-83D8C4449919}"/>
    <cellStyle name="40% - Énfasis4 56 2 2" xfId="23775" xr:uid="{484437D5-40AF-4B89-94D7-A70489049E30}"/>
    <cellStyle name="40% - Énfasis4 56 3" xfId="22138" xr:uid="{0378D3ED-1D3F-4274-A2CD-5BF3DBEB328D}"/>
    <cellStyle name="40% - Énfasis4 56_1.2.b" xfId="15800" xr:uid="{DAFA7A5D-8E0C-42DB-AA72-9F46D1C27893}"/>
    <cellStyle name="40% - Énfasis4 57" xfId="13570" xr:uid="{EDA94175-0B51-4358-8BC4-887C4FA81310}"/>
    <cellStyle name="40% - Énfasis4 57 2" xfId="17533" xr:uid="{6A86406D-DEA4-4A8C-9333-6A8FB00B1323}"/>
    <cellStyle name="40% - Énfasis4 57 2 2" xfId="23776" xr:uid="{541908DC-F6F1-4467-8041-46F00DF66F26}"/>
    <cellStyle name="40% - Énfasis4 57 3" xfId="22139" xr:uid="{6F151D01-F35A-46C9-AC88-9B271E5F90C3}"/>
    <cellStyle name="40% - Énfasis4 57_1.2.b" xfId="15801" xr:uid="{1F00BA2D-BCEE-4167-9EF2-125F947F69A4}"/>
    <cellStyle name="40% - Énfasis4 58" xfId="13571" xr:uid="{F62107E5-8DB4-4570-A079-50AE56EE20DF}"/>
    <cellStyle name="40% - Énfasis4 58 2" xfId="17534" xr:uid="{EC707ECE-B9CE-41D1-95BF-1D7B72E9E22B}"/>
    <cellStyle name="40% - Énfasis4 58 2 2" xfId="23777" xr:uid="{21A2BBC5-1C67-4EFB-9732-B9BE4EB8629A}"/>
    <cellStyle name="40% - Énfasis4 58 3" xfId="22140" xr:uid="{C4AE62B0-C451-4C26-86C3-D7BC1E5F88E3}"/>
    <cellStyle name="40% - Énfasis4 58_1.2.b" xfId="15802" xr:uid="{AE602192-B9A2-4D97-AE17-3E05EE22C8D3}"/>
    <cellStyle name="40% - Énfasis4 59" xfId="13572" xr:uid="{78A6FC1E-4BDD-4382-AB2B-ACFF3A6D7E8F}"/>
    <cellStyle name="40% - Énfasis4 59 2" xfId="17535" xr:uid="{DDC27655-719A-4702-A2D4-2A70F80E6D7A}"/>
    <cellStyle name="40% - Énfasis4 59 2 2" xfId="23778" xr:uid="{483D66F7-4A58-426F-9904-576527D17D1D}"/>
    <cellStyle name="40% - Énfasis4 59 3" xfId="22141" xr:uid="{85F7C9A4-E72D-42B6-9D99-692DBD74BEB2}"/>
    <cellStyle name="40% - Énfasis4 59_1.2.b" xfId="15803" xr:uid="{45D7746F-9095-42B7-A69A-341E2A87DFBD}"/>
    <cellStyle name="40% - Énfasis4 6" xfId="210" xr:uid="{00000000-0005-0000-0000-00001B010000}"/>
    <cellStyle name="40% - Énfasis4 6 2" xfId="10730" xr:uid="{00000000-0005-0000-0000-00001C010000}"/>
    <cellStyle name="40% - Énfasis4 6 2 2" xfId="19822" xr:uid="{1163DD84-26FA-4184-B1B5-4D39F050D867}"/>
    <cellStyle name="40% - Énfasis4 6 3" xfId="13573" xr:uid="{2AC969A2-FB7B-4D12-BB98-AB4AC7169395}"/>
    <cellStyle name="40% - Énfasis4 6 3 2" xfId="22142" xr:uid="{8DCC641F-06C8-4AFB-8478-926D9A5712CD}"/>
    <cellStyle name="40% - Énfasis4 6 4" xfId="17536" xr:uid="{4979B90F-52B9-4D0A-BAC5-E256269F7E0C}"/>
    <cellStyle name="40% - Énfasis4 6 4 2" xfId="23779" xr:uid="{F213CCA4-6791-4C9B-9332-25E45180CC10}"/>
    <cellStyle name="40% - Énfasis4 6 5" xfId="18454" xr:uid="{291DC638-8839-4641-82EF-3B1D1E22ABA6}"/>
    <cellStyle name="40% - Énfasis4 6_1.2.b" xfId="15804" xr:uid="{D67BE1C6-CF45-445B-ADF9-250F4C9909A1}"/>
    <cellStyle name="40% - Énfasis4 60" xfId="13574" xr:uid="{A9B1BFCE-2EE6-48A8-BB6D-63E307D88DD1}"/>
    <cellStyle name="40% - Énfasis4 60 2" xfId="17537" xr:uid="{C8809141-FBE4-4C94-8424-81EFE4B41A79}"/>
    <cellStyle name="40% - Énfasis4 60 2 2" xfId="23780" xr:uid="{B14FB2D8-3BE9-48E5-858D-AC9A49C90B3C}"/>
    <cellStyle name="40% - Énfasis4 60 3" xfId="22143" xr:uid="{CFF3031B-C312-4C5A-8A6E-52130FBB5AEB}"/>
    <cellStyle name="40% - Énfasis4 60_1.2.b" xfId="15805" xr:uid="{1AA8FD9E-9E01-4A23-847F-2609C8EF45F6}"/>
    <cellStyle name="40% - Énfasis4 61" xfId="13575" xr:uid="{DEBD722C-FDC9-4BBC-A33E-0FE8A45115C4}"/>
    <cellStyle name="40% - Énfasis4 61 2" xfId="17538" xr:uid="{D9EA5F3A-757A-4B63-A4F1-B82EB5A3116F}"/>
    <cellStyle name="40% - Énfasis4 61 2 2" xfId="23781" xr:uid="{1B023979-52BF-40DC-BC43-BD37AE9CD4B3}"/>
    <cellStyle name="40% - Énfasis4 61 3" xfId="22144" xr:uid="{352BE3AB-58E9-434B-8A56-FA67827DBB61}"/>
    <cellStyle name="40% - Énfasis4 61_1.2.b" xfId="15806" xr:uid="{AB12680D-A847-4910-8180-740016FE26FD}"/>
    <cellStyle name="40% - Énfasis4 62" xfId="13576" xr:uid="{82D3ACC4-B49B-45CC-A864-1F94E3536272}"/>
    <cellStyle name="40% - Énfasis4 62 2" xfId="17539" xr:uid="{325CEB5C-7E74-4FBB-B4AA-C2CEE1A9B954}"/>
    <cellStyle name="40% - Énfasis4 62 2 2" xfId="23782" xr:uid="{135719B9-8467-48A4-ACEA-8E6BB1F8B316}"/>
    <cellStyle name="40% - Énfasis4 62 3" xfId="22145" xr:uid="{56FCB279-CC59-4999-86D5-3425889265C5}"/>
    <cellStyle name="40% - Énfasis4 62_1.2.b" xfId="15807" xr:uid="{E5329861-CA57-4CB6-B5F8-3599BFCE91C8}"/>
    <cellStyle name="40% - Énfasis4 63" xfId="13577" xr:uid="{4DDF9879-615F-489E-A9EA-F92A96CED483}"/>
    <cellStyle name="40% - Énfasis4 63 2" xfId="17540" xr:uid="{EAB285CC-FA02-48A4-8316-9AAF3C4DC42F}"/>
    <cellStyle name="40% - Énfasis4 63 2 2" xfId="23783" xr:uid="{C69AFA27-687F-4A50-98A1-6B68287AD466}"/>
    <cellStyle name="40% - Énfasis4 63 3" xfId="22146" xr:uid="{DB00602D-9E52-4531-9590-0A1EA086A87C}"/>
    <cellStyle name="40% - Énfasis4 63_1.2.b" xfId="15808" xr:uid="{57802C7E-1325-47B6-8D93-7C650D6FAF62}"/>
    <cellStyle name="40% - Énfasis4 64" xfId="13578" xr:uid="{343E0483-9913-4E01-A90C-3EB4907E846A}"/>
    <cellStyle name="40% - Énfasis4 64 2" xfId="17541" xr:uid="{071BCFD5-628C-44E4-822D-16D01677575D}"/>
    <cellStyle name="40% - Énfasis4 64 2 2" xfId="23784" xr:uid="{58D815DD-7BB2-4831-82F5-128D4D8D40DD}"/>
    <cellStyle name="40% - Énfasis4 64 3" xfId="22147" xr:uid="{E0395C05-F603-4BD6-953E-EB19806DB706}"/>
    <cellStyle name="40% - Énfasis4 64_1.2.b" xfId="15809" xr:uid="{1DC04D54-2787-4AD0-86B4-8A7EC25F633E}"/>
    <cellStyle name="40% - Énfasis4 65" xfId="13579" xr:uid="{47DBBEC7-6EEC-46E8-B047-9ABF1C8B36D4}"/>
    <cellStyle name="40% - Énfasis4 65 2" xfId="17542" xr:uid="{049BFB35-5880-4AFF-90AF-235521E56DC6}"/>
    <cellStyle name="40% - Énfasis4 65 2 2" xfId="23785" xr:uid="{5AEC967B-160A-46C7-A2D6-E65251777BB2}"/>
    <cellStyle name="40% - Énfasis4 65 3" xfId="22148" xr:uid="{0A6F96D6-E349-4420-9844-76A91C004F48}"/>
    <cellStyle name="40% - Énfasis4 65_1.2.b" xfId="15810" xr:uid="{7839E0C8-76A9-4D98-AEAD-6BA9CF9F1995}"/>
    <cellStyle name="40% - Énfasis4 66" xfId="13580" xr:uid="{46AD371C-1724-44EC-BA22-C504D822333B}"/>
    <cellStyle name="40% - Énfasis4 66 2" xfId="17543" xr:uid="{34A23CD5-E36A-4ED8-95CD-65310B158108}"/>
    <cellStyle name="40% - Énfasis4 66 2 2" xfId="23786" xr:uid="{F0B004F1-299B-460A-9337-1C48E778FD53}"/>
    <cellStyle name="40% - Énfasis4 66 3" xfId="22149" xr:uid="{0670C5FA-E903-44EC-9D4B-F013D37D6B3B}"/>
    <cellStyle name="40% - Énfasis4 66_1.2.b" xfId="15811" xr:uid="{FAFF1B6A-1EC5-48D9-848A-9C283E841F69}"/>
    <cellStyle name="40% - Énfasis4 67" xfId="13581" xr:uid="{94C86BAA-E690-4C03-80CD-89828F11A569}"/>
    <cellStyle name="40% - Énfasis4 67 2" xfId="17544" xr:uid="{B32D7A34-7D43-4847-9F0D-5486414FA3A6}"/>
    <cellStyle name="40% - Énfasis4 67 2 2" xfId="23787" xr:uid="{C8C799D9-8526-42C7-AEDA-61F0FBD5F249}"/>
    <cellStyle name="40% - Énfasis4 67 3" xfId="22150" xr:uid="{5A5D28FE-63F7-4E68-825C-C1B9B80685DD}"/>
    <cellStyle name="40% - Énfasis4 67_1.2.b" xfId="15812" xr:uid="{FC80F68F-BC85-4DEE-9E04-92128B7AAA43}"/>
    <cellStyle name="40% - Énfasis4 68" xfId="13582" xr:uid="{B70CDC5A-A9E5-4651-9352-5C6AC21BBBAA}"/>
    <cellStyle name="40% - Énfasis4 68 2" xfId="17545" xr:uid="{EBA523C2-2C49-4645-B1EC-960020A718A8}"/>
    <cellStyle name="40% - Énfasis4 68 2 2" xfId="23788" xr:uid="{741E3535-3461-4E36-90CE-E590817415B8}"/>
    <cellStyle name="40% - Énfasis4 68 3" xfId="22151" xr:uid="{0E436F9F-474E-4CF7-857E-257E2BFD5DF9}"/>
    <cellStyle name="40% - Énfasis4 68_1.2.b" xfId="15813" xr:uid="{06FA6119-0E74-4030-8C93-D07A1C19E3F0}"/>
    <cellStyle name="40% - Énfasis4 69" xfId="13583" xr:uid="{20E92134-EEAE-46B7-9168-5DD28761E3BE}"/>
    <cellStyle name="40% - Énfasis4 69 2" xfId="17546" xr:uid="{CB0CD9C8-391D-4451-BE4C-AC44437A48C0}"/>
    <cellStyle name="40% - Énfasis4 69 2 2" xfId="23789" xr:uid="{AAD5404A-1026-4C3B-BC71-3AC8C2E0E37B}"/>
    <cellStyle name="40% - Énfasis4 69 3" xfId="22152" xr:uid="{E0A0733D-3AAF-4D6A-9722-F3ACE713B900}"/>
    <cellStyle name="40% - Énfasis4 69_1.2.b" xfId="15814" xr:uid="{6338E348-E755-4BF7-BB67-5F6329DF415D}"/>
    <cellStyle name="40% - Énfasis4 7" xfId="9834" xr:uid="{00000000-0005-0000-0000-00001D010000}"/>
    <cellStyle name="40% - Énfasis4 7 2" xfId="11620" xr:uid="{00000000-0005-0000-0000-00001E010000}"/>
    <cellStyle name="40% - Énfasis4 7 2 2" xfId="20389" xr:uid="{D9FF3327-D17D-47B3-AD66-3622E4A295AC}"/>
    <cellStyle name="40% - Énfasis4 7 3" xfId="13584" xr:uid="{95A66A78-DE40-44E2-BECE-66054C4C536E}"/>
    <cellStyle name="40% - Énfasis4 7 3 2" xfId="22153" xr:uid="{5B47073C-3443-4B54-9E13-B7CF9074B5B0}"/>
    <cellStyle name="40% - Énfasis4 7 4" xfId="17547" xr:uid="{4144A0DA-F264-4E19-A978-BC40959F6E1C}"/>
    <cellStyle name="40% - Énfasis4 7 4 2" xfId="23790" xr:uid="{545E230F-3AE5-49D2-A298-BB4C33967ACA}"/>
    <cellStyle name="40% - Énfasis4 7 5" xfId="19021" xr:uid="{EE07ED64-7986-492C-B897-FAE89008C1B6}"/>
    <cellStyle name="40% - Énfasis4 7_1.2.b" xfId="15815" xr:uid="{A744DEB0-7BD9-4AC4-A2F8-83A787F83E0B}"/>
    <cellStyle name="40% - Énfasis4 70" xfId="13585" xr:uid="{F1F0B1B5-36D8-46D2-93BD-E733F8CBC07E}"/>
    <cellStyle name="40% - Énfasis4 70 2" xfId="17548" xr:uid="{3E8C7809-639E-495C-AB13-37664FF7C39A}"/>
    <cellStyle name="40% - Énfasis4 70 2 2" xfId="23791" xr:uid="{147D7F0C-D8B5-4DBB-AD0C-E7C673CC103B}"/>
    <cellStyle name="40% - Énfasis4 70 3" xfId="22154" xr:uid="{5B62B9F1-9758-4505-9144-9F79365FC489}"/>
    <cellStyle name="40% - Énfasis4 70_1.2.b" xfId="15816" xr:uid="{7E0CAE0A-8691-407D-BF12-295939C9E736}"/>
    <cellStyle name="40% - Énfasis4 71" xfId="13586" xr:uid="{AA8FED46-6EAA-4279-8CD4-B4FB8CB51A6E}"/>
    <cellStyle name="40% - Énfasis4 71 2" xfId="17549" xr:uid="{92CB4B6E-BD86-4FC6-8A4E-5CAEA52F68F7}"/>
    <cellStyle name="40% - Énfasis4 71 2 2" xfId="23792" xr:uid="{983FA011-0579-4AC8-996D-E4470426EE6D}"/>
    <cellStyle name="40% - Énfasis4 71 3" xfId="22155" xr:uid="{665E361F-283D-4F19-B28C-2D0A9D5650D9}"/>
    <cellStyle name="40% - Énfasis4 71_1.2.b" xfId="15817" xr:uid="{5256C793-B371-4D81-8946-B2F200941908}"/>
    <cellStyle name="40% - Énfasis4 72" xfId="13587" xr:uid="{3A1A3482-2FD1-4AC0-A487-D21A5EFC138F}"/>
    <cellStyle name="40% - Énfasis4 72 2" xfId="17550" xr:uid="{82C41BC2-F7F6-4870-B49E-4469E38B3050}"/>
    <cellStyle name="40% - Énfasis4 72 2 2" xfId="23793" xr:uid="{6B761145-E977-4CE9-92C1-5459F6EDB883}"/>
    <cellStyle name="40% - Énfasis4 72 3" xfId="22156" xr:uid="{6B046280-0726-400A-91BC-6B24B1503F0D}"/>
    <cellStyle name="40% - Énfasis4 72_1.2.b" xfId="15818" xr:uid="{DAE1ABD7-8B90-4A58-B5A1-F360E38AD10F}"/>
    <cellStyle name="40% - Énfasis4 73" xfId="13588" xr:uid="{7A8BB8FD-A5FD-4BCB-93AA-5392E158C764}"/>
    <cellStyle name="40% - Énfasis4 73 2" xfId="17551" xr:uid="{C53191DA-CCD4-49AE-8E0D-659A51F137D6}"/>
    <cellStyle name="40% - Énfasis4 73 2 2" xfId="23794" xr:uid="{2DC04EAB-766B-48C9-AE1D-510D6C677B1F}"/>
    <cellStyle name="40% - Énfasis4 73 3" xfId="22157" xr:uid="{5DFEB347-0D5B-46D1-AF37-162E81C85FB4}"/>
    <cellStyle name="40% - Énfasis4 73_1.2.b" xfId="15819" xr:uid="{D37B48EF-0325-4243-BE6D-861F71379D71}"/>
    <cellStyle name="40% - Énfasis4 74" xfId="13589" xr:uid="{7B072E7C-0465-4B62-9F5E-A0294AB216DB}"/>
    <cellStyle name="40% - Énfasis4 74 2" xfId="17552" xr:uid="{1F019A52-077D-4B69-8A21-05ABCEAE6EC8}"/>
    <cellStyle name="40% - Énfasis4 74 2 2" xfId="23795" xr:uid="{00FB3660-26BC-4163-B328-BBD28668C2F7}"/>
    <cellStyle name="40% - Énfasis4 74 3" xfId="22158" xr:uid="{1B3B892C-6B1A-46DF-BC0A-98FFABA27B60}"/>
    <cellStyle name="40% - Énfasis4 74_1.2.b" xfId="15820" xr:uid="{3A6F2937-D17D-4F76-B4C5-12C1CBA3850B}"/>
    <cellStyle name="40% - Énfasis4 75" xfId="13590" xr:uid="{70191E52-2EE7-48D4-BE55-10A2F04A6DD0}"/>
    <cellStyle name="40% - Énfasis4 75 2" xfId="17553" xr:uid="{AA4C32A9-F0C1-45C4-89AF-67D889C0DBF7}"/>
    <cellStyle name="40% - Énfasis4 75 2 2" xfId="23796" xr:uid="{A46FDC36-8EE3-48C6-BC0D-A8131B0DBC4F}"/>
    <cellStyle name="40% - Énfasis4 75 3" xfId="22159" xr:uid="{8A7A1577-A9EE-4FA9-8271-1448FBCC6780}"/>
    <cellStyle name="40% - Énfasis4 75_1.2.b" xfId="15821" xr:uid="{0810AF7F-DA88-4F3C-9E53-85D44DCBFA27}"/>
    <cellStyle name="40% - Énfasis4 76" xfId="13591" xr:uid="{6061F7ED-C608-495E-876A-45F29263F57A}"/>
    <cellStyle name="40% - Énfasis4 76 2" xfId="17554" xr:uid="{3CCC95F3-11F9-4E24-8FA7-6A00E5840A54}"/>
    <cellStyle name="40% - Énfasis4 76 2 2" xfId="23797" xr:uid="{9C8E58A5-9869-4D15-ACD1-FD61C49E102D}"/>
    <cellStyle name="40% - Énfasis4 76 3" xfId="22160" xr:uid="{DCC910B6-211E-4C87-9740-B7374545B2ED}"/>
    <cellStyle name="40% - Énfasis4 76_1.2.b" xfId="15822" xr:uid="{E73338A9-1839-4E02-85CA-082D400A5CAD}"/>
    <cellStyle name="40% - Énfasis4 77" xfId="13592" xr:uid="{79691C66-F002-44B1-80B1-96C03E67EE02}"/>
    <cellStyle name="40% - Énfasis4 77 2" xfId="17555" xr:uid="{8210B495-8409-436B-BBD3-576314270C1F}"/>
    <cellStyle name="40% - Énfasis4 77 2 2" xfId="23798" xr:uid="{20D7EFC5-5E12-4186-AC24-066F70882569}"/>
    <cellStyle name="40% - Énfasis4 77 3" xfId="22161" xr:uid="{58705E75-3522-4B28-861B-A735F8743571}"/>
    <cellStyle name="40% - Énfasis4 77_1.2.b" xfId="15823" xr:uid="{EC9FF33C-B4DC-474F-906D-2E7EFCF6AA73}"/>
    <cellStyle name="40% - Énfasis4 78" xfId="13593" xr:uid="{3C74ACFA-B441-4D06-B987-DAAF20A6C9C8}"/>
    <cellStyle name="40% - Énfasis4 78 2" xfId="17556" xr:uid="{04A8C6B1-E434-41D5-BD3E-BBC76B80E238}"/>
    <cellStyle name="40% - Énfasis4 78 2 2" xfId="23799" xr:uid="{33C35C6F-7589-4537-B311-82FC07751789}"/>
    <cellStyle name="40% - Énfasis4 78 3" xfId="22162" xr:uid="{126CC89C-290B-44BB-B443-8C3C521A1A76}"/>
    <cellStyle name="40% - Énfasis4 78_1.2.b" xfId="15824" xr:uid="{33D73E24-1A59-43EB-8592-598FACA48A70}"/>
    <cellStyle name="40% - Énfasis4 79" xfId="13594" xr:uid="{7C0D34F6-E71B-46F7-818C-42015E6B85B8}"/>
    <cellStyle name="40% - Énfasis4 79 2" xfId="17557" xr:uid="{B78A6D19-41E9-4B8D-A2A9-AD44EE2C82FF}"/>
    <cellStyle name="40% - Énfasis4 79 2 2" xfId="23800" xr:uid="{E12A2C8F-0C6A-4E81-A83F-A19011854F2C}"/>
    <cellStyle name="40% - Énfasis4 79 3" xfId="22163" xr:uid="{8B6AA6B3-D2CD-48FD-99C6-274512FFAA8C}"/>
    <cellStyle name="40% - Énfasis4 79_1.2.b" xfId="15825" xr:uid="{1D14D73A-BB09-4935-918C-341106349B95}"/>
    <cellStyle name="40% - Énfasis4 8" xfId="9853" xr:uid="{00000000-0005-0000-0000-00001F010000}"/>
    <cellStyle name="40% - Énfasis4 8 2" xfId="11638" xr:uid="{00000000-0005-0000-0000-000020010000}"/>
    <cellStyle name="40% - Énfasis4 8 2 2" xfId="20405" xr:uid="{55168543-5D71-42F4-A5F8-5DE83872B4BF}"/>
    <cellStyle name="40% - Énfasis4 8 3" xfId="13595" xr:uid="{4F3DDBBD-3136-4DA7-800B-4DD47516D877}"/>
    <cellStyle name="40% - Énfasis4 8 3 2" xfId="22164" xr:uid="{5089B9DA-17D2-4D25-ADFA-60352EC1D1E5}"/>
    <cellStyle name="40% - Énfasis4 8 4" xfId="17558" xr:uid="{456AFD87-81C0-4F45-A249-37177E098E33}"/>
    <cellStyle name="40% - Énfasis4 8 4 2" xfId="23801" xr:uid="{D367CBE8-DE96-4BE5-96F7-FB1D2B044F06}"/>
    <cellStyle name="40% - Énfasis4 8 5" xfId="19037" xr:uid="{6F4F1259-BC1B-47B9-957C-A172FF75B53E}"/>
    <cellStyle name="40% - Énfasis4 8_1.2.b" xfId="15826" xr:uid="{49C3CDAE-A17E-46D0-BBCD-308E345411C4}"/>
    <cellStyle name="40% - Énfasis4 80" xfId="13596" xr:uid="{10A9ACD7-BB09-449A-9A0A-F506B71F12E3}"/>
    <cellStyle name="40% - Énfasis4 80 2" xfId="17559" xr:uid="{98F8C095-BE06-4E3F-92A7-79B0119C7BE5}"/>
    <cellStyle name="40% - Énfasis4 80 2 2" xfId="23802" xr:uid="{BDF74748-2319-4611-9023-2F68C246E448}"/>
    <cellStyle name="40% - Énfasis4 80 3" xfId="22165" xr:uid="{C16E3184-6099-42C8-AE4C-11DF4964BD77}"/>
    <cellStyle name="40% - Énfasis4 80_1.2.b" xfId="15827" xr:uid="{79D481D1-62DA-4487-98FC-2EE15F30151E}"/>
    <cellStyle name="40% - Énfasis4 81" xfId="13597" xr:uid="{3D036C98-3A09-4B7B-AA54-76D0F8764565}"/>
    <cellStyle name="40% - Énfasis4 81 2" xfId="17560" xr:uid="{3A88C4A0-B150-40CE-8D71-97C484A2254F}"/>
    <cellStyle name="40% - Énfasis4 81 2 2" xfId="23803" xr:uid="{BF3716E0-9055-42B0-AC1E-3221AAA891D2}"/>
    <cellStyle name="40% - Énfasis4 81 3" xfId="22166" xr:uid="{CA28A9CB-B988-46D6-97BE-6CAAC72E17B4}"/>
    <cellStyle name="40% - Énfasis4 81_1.2.b" xfId="15828" xr:uid="{B677B792-8C45-4FF1-A99D-342D72CF32E6}"/>
    <cellStyle name="40% - Énfasis4 82" xfId="13598" xr:uid="{68E8BB49-A10D-4464-91D8-4FA4CD9E0C5E}"/>
    <cellStyle name="40% - Énfasis4 82 2" xfId="17561" xr:uid="{F6DD13DF-C224-42CF-902A-CB077D5B46BB}"/>
    <cellStyle name="40% - Énfasis4 82 2 2" xfId="23804" xr:uid="{739EDB41-5C78-4C2B-A931-27B4C291132B}"/>
    <cellStyle name="40% - Énfasis4 82 3" xfId="22167" xr:uid="{5512856F-AF33-457C-A0F6-80AAE527BB81}"/>
    <cellStyle name="40% - Énfasis4 82_1.2.b" xfId="15829" xr:uid="{D749FBB8-27FB-42EF-82D5-8B6DC78A3E07}"/>
    <cellStyle name="40% - Énfasis4 83" xfId="13599" xr:uid="{BEACE934-5E89-4417-A135-A464BD8616F8}"/>
    <cellStyle name="40% - Énfasis4 83 2" xfId="17562" xr:uid="{60B682C6-FA89-49AE-8A5C-AAA161DB52EF}"/>
    <cellStyle name="40% - Énfasis4 83 2 2" xfId="23805" xr:uid="{451C4083-3053-46D8-8A7D-35F067785656}"/>
    <cellStyle name="40% - Énfasis4 83 3" xfId="22168" xr:uid="{7836BCAF-7095-4856-A7D8-EFA7A068FF37}"/>
    <cellStyle name="40% - Énfasis4 83_1.2.b" xfId="15830" xr:uid="{3EA09954-AD8E-49CE-8234-EEAF0DE0949F}"/>
    <cellStyle name="40% - Énfasis4 84" xfId="13600" xr:uid="{75A67F60-CD6B-4269-AB97-E71F1EA8AF27}"/>
    <cellStyle name="40% - Énfasis4 84 2" xfId="17563" xr:uid="{727272C0-A197-4FF6-9D5D-C7C04BA985CA}"/>
    <cellStyle name="40% - Énfasis4 84 2 2" xfId="23806" xr:uid="{C974ED42-549E-4DC8-BB12-214BF15C6912}"/>
    <cellStyle name="40% - Énfasis4 84 3" xfId="22169" xr:uid="{1E58E029-7C65-4387-8B08-2BAEEC849A86}"/>
    <cellStyle name="40% - Énfasis4 84_1.2.b" xfId="15831" xr:uid="{9DE3AF39-C4BD-4187-998F-917AA96BBEAE}"/>
    <cellStyle name="40% - Énfasis4 85" xfId="13601" xr:uid="{25C31591-B5AD-4DCF-88C8-CBA8BD0B7DEB}"/>
    <cellStyle name="40% - Énfasis4 85 2" xfId="17564" xr:uid="{074AD8E5-C1D7-4BF0-B525-8E58C1747456}"/>
    <cellStyle name="40% - Énfasis4 85 2 2" xfId="23807" xr:uid="{C7A8A418-5C9A-4DBF-A109-2B1DE96FF782}"/>
    <cellStyle name="40% - Énfasis4 85 3" xfId="22170" xr:uid="{FAAC0998-3BE7-4791-9BF2-B63D5D060649}"/>
    <cellStyle name="40% - Énfasis4 85_1.2.b" xfId="15832" xr:uid="{46FBBE03-684D-40CD-BEDB-835C4BDEDC8F}"/>
    <cellStyle name="40% - Énfasis4 86" xfId="13602" xr:uid="{266574C3-6270-4EBC-807F-7A5E286F3F0E}"/>
    <cellStyle name="40% - Énfasis4 86 2" xfId="17565" xr:uid="{D9A96F07-0CAB-4480-8444-4B40F74671B6}"/>
    <cellStyle name="40% - Énfasis4 86 2 2" xfId="23808" xr:uid="{E4EA69B9-CA3D-47A0-B943-649EC1A39801}"/>
    <cellStyle name="40% - Énfasis4 86 3" xfId="22171" xr:uid="{8E34A25F-E9F7-4CDA-BAD5-F245D0706D98}"/>
    <cellStyle name="40% - Énfasis4 86_1.2.b" xfId="15833" xr:uid="{0D006F6F-CD36-4D90-8FF5-9A1DAB188CCF}"/>
    <cellStyle name="40% - Énfasis4 87" xfId="13603" xr:uid="{9E202C39-1A59-4EEE-9877-287CF2FC8C8D}"/>
    <cellStyle name="40% - Énfasis4 87 2" xfId="17566" xr:uid="{9790315E-01D1-463F-B376-40319D1649C0}"/>
    <cellStyle name="40% - Énfasis4 87 2 2" xfId="23809" xr:uid="{15478E24-74AE-478D-A3FE-C883BFE7225B}"/>
    <cellStyle name="40% - Énfasis4 87 3" xfId="22172" xr:uid="{D6CF8BF1-51D7-46A7-BC6E-B5D0FA78C7B7}"/>
    <cellStyle name="40% - Énfasis4 87_1.2.b" xfId="15834" xr:uid="{29691D6A-75B8-4C3A-863A-941D4104DDAC}"/>
    <cellStyle name="40% - Énfasis4 88" xfId="13604" xr:uid="{27040D5B-F3C4-4AD3-BA65-DF2252F13BCF}"/>
    <cellStyle name="40% - Énfasis4 88 2" xfId="17567" xr:uid="{D3B300F9-698E-4BBC-808D-E083FBB1FA5B}"/>
    <cellStyle name="40% - Énfasis4 88 2 2" xfId="23810" xr:uid="{5EFF40B4-4CE3-4533-80A6-1FCA41329CA9}"/>
    <cellStyle name="40% - Énfasis4 88 3" xfId="22173" xr:uid="{93482E72-B30B-41AE-98E0-3CE9EBED219F}"/>
    <cellStyle name="40% - Énfasis4 88_1.2.b" xfId="15835" xr:uid="{797DDDA2-E999-4FFA-B557-7F9365B2FBE5}"/>
    <cellStyle name="40% - Énfasis4 89" xfId="13605" xr:uid="{E5605C74-5418-49BC-9CEB-80825B22CCE2}"/>
    <cellStyle name="40% - Énfasis4 89 2" xfId="17568" xr:uid="{AC61D9F0-61F6-4B08-88A6-8AA65056DE17}"/>
    <cellStyle name="40% - Énfasis4 89 2 2" xfId="23811" xr:uid="{34DD2ED3-E6F4-450D-A2C3-5A894B90C838}"/>
    <cellStyle name="40% - Énfasis4 89 3" xfId="22174" xr:uid="{C5CD4EC0-038E-4C65-B520-FF3E6C90ECD9}"/>
    <cellStyle name="40% - Énfasis4 89_1.2.b" xfId="15836" xr:uid="{8F84C56A-5E1F-4222-9E7D-F5E0FB134430}"/>
    <cellStyle name="40% - Énfasis4 9" xfId="9874" xr:uid="{00000000-0005-0000-0000-000021010000}"/>
    <cellStyle name="40% - Énfasis4 9 2" xfId="13606" xr:uid="{179F47F7-9552-4195-8909-77A03209EFFB}"/>
    <cellStyle name="40% - Énfasis4 9 2 2" xfId="22175" xr:uid="{FCAB68AF-5063-4D9B-A174-5038E2CC6DE7}"/>
    <cellStyle name="40% - Énfasis4 9 3" xfId="17569" xr:uid="{6376CBB4-1597-485B-AA89-592070A0D4A4}"/>
    <cellStyle name="40% - Énfasis4 9 3 2" xfId="23812" xr:uid="{E50624FE-A300-43DA-9317-FCFE2FD55205}"/>
    <cellStyle name="40% - Énfasis4 9_1.2.b" xfId="15837" xr:uid="{F1B132E0-E472-448E-B1DF-E40E07E0BF67}"/>
    <cellStyle name="40% - Énfasis4 90" xfId="13607" xr:uid="{0B7D8723-EDE7-4DF6-8DEB-3AD5AD6E33C7}"/>
    <cellStyle name="40% - Énfasis4 90 2" xfId="17570" xr:uid="{42504938-B0FA-4C9E-A9EC-8C8A51C6BF06}"/>
    <cellStyle name="40% - Énfasis4 90 2 2" xfId="23813" xr:uid="{0B8B26B7-8CD6-4BA7-B6F2-D443AEB9068B}"/>
    <cellStyle name="40% - Énfasis4 90 3" xfId="22176" xr:uid="{7ABC3899-C6AE-4A16-BE17-F44E4CCA38DD}"/>
    <cellStyle name="40% - Énfasis4 90_1.2.b" xfId="15838" xr:uid="{863953B8-333D-459B-85DE-E6FE41E005A3}"/>
    <cellStyle name="40% - Énfasis4 91" xfId="13608" xr:uid="{1B94D644-28B5-446C-87D5-863F40A7CA96}"/>
    <cellStyle name="40% - Énfasis4 91 2" xfId="17571" xr:uid="{F88F2F97-3A5D-433C-9879-98A38775BD8B}"/>
    <cellStyle name="40% - Énfasis4 91 2 2" xfId="23814" xr:uid="{2EC0FF8C-D6D4-4FA2-AF06-D8569111A3DB}"/>
    <cellStyle name="40% - Énfasis4 91 3" xfId="22177" xr:uid="{AB2C76C8-574C-4990-AEF9-1FA8749477CE}"/>
    <cellStyle name="40% - Énfasis4 91_1.2.b" xfId="15839" xr:uid="{874156A3-A178-4030-BA9C-119624EE42AA}"/>
    <cellStyle name="40% - Énfasis4 92" xfId="13609" xr:uid="{F15D817C-D9F8-4290-8DAA-DAF95284BB07}"/>
    <cellStyle name="40% - Énfasis4 92 2" xfId="17572" xr:uid="{BBCDAAA7-D015-4387-9CEA-ACD5A1C81E7A}"/>
    <cellStyle name="40% - Énfasis4 92 2 2" xfId="23815" xr:uid="{28AE8279-8762-4BD8-9CB9-CAED023804C8}"/>
    <cellStyle name="40% - Énfasis4 92 3" xfId="22178" xr:uid="{EBC82A67-31FB-4E6E-A275-B60DD90E3BDB}"/>
    <cellStyle name="40% - Énfasis4 92_1.2.b" xfId="15840" xr:uid="{59E17B5A-DD91-4CE0-8102-7AF8F8844556}"/>
    <cellStyle name="40% - Énfasis4 93" xfId="13610" xr:uid="{00EAD07F-E1E4-4391-B462-AB17277D425D}"/>
    <cellStyle name="40% - Énfasis4 93 2" xfId="17573" xr:uid="{3846BA73-D24E-4F78-88F6-55BA0AF8CEB6}"/>
    <cellStyle name="40% - Énfasis4 93 2 2" xfId="23816" xr:uid="{E8989892-0AC6-4714-95E5-98AC2815D2D5}"/>
    <cellStyle name="40% - Énfasis4 93 3" xfId="22179" xr:uid="{46F2650E-225A-41C9-B89D-4FD900DE74F8}"/>
    <cellStyle name="40% - Énfasis4 93_1.2.b" xfId="15841" xr:uid="{EAC69FDB-5565-4588-8A33-BECD6C5C5719}"/>
    <cellStyle name="40% - Énfasis4 94" xfId="13611" xr:uid="{F5C7AD4E-8C38-4385-9962-E678EA3AD780}"/>
    <cellStyle name="40% - Énfasis4 94 2" xfId="17574" xr:uid="{B2EE8E17-6747-4107-8449-3039599F2549}"/>
    <cellStyle name="40% - Énfasis4 94 2 2" xfId="23817" xr:uid="{2EE5E055-7964-42E4-8778-47D85B3577D7}"/>
    <cellStyle name="40% - Énfasis4 94 3" xfId="22180" xr:uid="{8F0D55E3-2C4D-4824-B83A-243D7864B515}"/>
    <cellStyle name="40% - Énfasis4 94_1.2.b" xfId="15842" xr:uid="{42578645-838D-4BC4-91FB-69CAE133BEE0}"/>
    <cellStyle name="40% - Énfasis4 95" xfId="13612" xr:uid="{57A90E80-54E7-4EC7-A199-C69D40AAA269}"/>
    <cellStyle name="40% - Énfasis4 95 2" xfId="17575" xr:uid="{C6E1AE01-6FC3-4239-B810-270DF072574F}"/>
    <cellStyle name="40% - Énfasis4 95 2 2" xfId="23818" xr:uid="{602D1973-53FE-4D95-B9D8-580EA1610BFC}"/>
    <cellStyle name="40% - Énfasis4 95 3" xfId="22181" xr:uid="{6C5D8712-C817-4E8E-A621-02939FA81633}"/>
    <cellStyle name="40% - Énfasis4 95_1.2.b" xfId="15843" xr:uid="{E3332C4A-C243-4591-83B8-C963AA7C4CB9}"/>
    <cellStyle name="40% - Énfasis4 96" xfId="13613" xr:uid="{8DA4633C-8351-42EB-A0C5-E076682938A5}"/>
    <cellStyle name="40% - Énfasis4 96 2" xfId="17576" xr:uid="{CFC538CC-1067-4142-B446-0460C09D2848}"/>
    <cellStyle name="40% - Énfasis4 96 2 2" xfId="23819" xr:uid="{1B1750D4-3367-4CE1-B466-52F510F8A04A}"/>
    <cellStyle name="40% - Énfasis4 96 3" xfId="22182" xr:uid="{5995F3D7-03A7-4685-846B-9C8A8351154A}"/>
    <cellStyle name="40% - Énfasis4 96_1.2.b" xfId="15844" xr:uid="{DC28F762-25A7-4958-B681-CF924BA2A84F}"/>
    <cellStyle name="40% - Énfasis5 10" xfId="9925" xr:uid="{00000000-0005-0000-0000-000023010000}"/>
    <cellStyle name="40% - Énfasis5 10 2" xfId="11662" xr:uid="{00000000-0005-0000-0000-000024010000}"/>
    <cellStyle name="40% - Énfasis5 10 2 2" xfId="20428" xr:uid="{6E3DA0F6-7DED-4640-84DF-3F41531DD650}"/>
    <cellStyle name="40% - Énfasis5 10 3" xfId="13614" xr:uid="{FD15F5D8-E92C-4EF7-852D-BA39275597EA}"/>
    <cellStyle name="40% - Énfasis5 10 3 2" xfId="22183" xr:uid="{4F7ADC9D-8F67-4E41-B78C-29976B284936}"/>
    <cellStyle name="40% - Énfasis5 10 4" xfId="17577" xr:uid="{6ED1E30E-35AB-451E-9EE0-830DDF20C301}"/>
    <cellStyle name="40% - Énfasis5 10 4 2" xfId="23820" xr:uid="{D778D3DC-D3F0-4F34-9822-47AF7B83D30E}"/>
    <cellStyle name="40% - Énfasis5 10 5" xfId="19065" xr:uid="{AFB3F7FE-DE77-4F83-A5AA-5418226BD169}"/>
    <cellStyle name="40% - Énfasis5 10_1.2.b" xfId="15845" xr:uid="{0E02C873-A235-4BD6-A9E1-3AA37D5D8FBF}"/>
    <cellStyle name="40% - Énfasis5 11" xfId="10246" xr:uid="{00000000-0005-0000-0000-000025010000}"/>
    <cellStyle name="40% - Énfasis5 11 2" xfId="11981" xr:uid="{00000000-0005-0000-0000-000026010000}"/>
    <cellStyle name="40% - Énfasis5 11 2 2" xfId="20730" xr:uid="{E2F3BAC9-B3C6-4DC5-875E-F3DBF767FF4B}"/>
    <cellStyle name="40% - Énfasis5 11 3" xfId="13615" xr:uid="{B7ED569C-BD76-4E7E-9DFA-4B02D573EECF}"/>
    <cellStyle name="40% - Énfasis5 11 3 2" xfId="22184" xr:uid="{48C5CCFA-A8C5-4026-B02E-3E3290646728}"/>
    <cellStyle name="40% - Énfasis5 11 4" xfId="17578" xr:uid="{A3E1362F-8061-4E90-A693-154166562C67}"/>
    <cellStyle name="40% - Énfasis5 11 4 2" xfId="23821" xr:uid="{5D101E0B-1B76-48C2-B88A-54A1A6C0A2FB}"/>
    <cellStyle name="40% - Énfasis5 11 5" xfId="19367" xr:uid="{E8C3DFD5-97ED-4ADE-9329-449E18AB74F4}"/>
    <cellStyle name="40% - Énfasis5 11_1.2.b" xfId="15846" xr:uid="{17C89597-1862-4626-8A69-C963FB2B02C9}"/>
    <cellStyle name="40% - Énfasis5 12" xfId="10540" xr:uid="{00000000-0005-0000-0000-000027010000}"/>
    <cellStyle name="40% - Énfasis5 12 2" xfId="12275" xr:uid="{00000000-0005-0000-0000-000028010000}"/>
    <cellStyle name="40% - Énfasis5 12 2 2" xfId="21024" xr:uid="{9E9FF4D6-098C-4907-ACCA-F79D06B52B1B}"/>
    <cellStyle name="40% - Énfasis5 12 3" xfId="13616" xr:uid="{0D2B7AC6-2B42-4E23-BF56-AD963280C760}"/>
    <cellStyle name="40% - Énfasis5 12 3 2" xfId="22185" xr:uid="{A67A8DCF-511F-493E-9C3C-8562B7D73574}"/>
    <cellStyle name="40% - Énfasis5 12 4" xfId="17579" xr:uid="{19E07443-5FA7-44A0-BC81-3BBE86E51F85}"/>
    <cellStyle name="40% - Énfasis5 12 4 2" xfId="23822" xr:uid="{A38BFF3A-9C07-496C-9904-DA0B8F2B05C0}"/>
    <cellStyle name="40% - Énfasis5 12 5" xfId="19661" xr:uid="{2DCCE12E-338D-449E-99FE-1DCEE7A9B2C3}"/>
    <cellStyle name="40% - Énfasis5 12_1.2.b" xfId="15847" xr:uid="{080F2F15-1263-437F-B342-A847403CC744}"/>
    <cellStyle name="40% - Énfasis5 13" xfId="10587" xr:uid="{00000000-0005-0000-0000-000029010000}"/>
    <cellStyle name="40% - Énfasis5 13 2" xfId="12320" xr:uid="{00000000-0005-0000-0000-00002A010000}"/>
    <cellStyle name="40% - Énfasis5 13 2 2" xfId="21066" xr:uid="{F5FE08DE-0578-4778-9B2E-A5F199ED016F}"/>
    <cellStyle name="40% - Énfasis5 13 3" xfId="13617" xr:uid="{2019462F-6FE9-4E1D-94B1-4FA9E9F58BF4}"/>
    <cellStyle name="40% - Énfasis5 13 3 2" xfId="22186" xr:uid="{8C0E73B4-F22E-4384-98D6-C439ACEE3938}"/>
    <cellStyle name="40% - Énfasis5 13 4" xfId="17580" xr:uid="{FB483ECE-650E-4AE4-AC5E-0143031C2068}"/>
    <cellStyle name="40% - Énfasis5 13 4 2" xfId="23823" xr:uid="{16205799-E984-4ABF-9029-92591193003F}"/>
    <cellStyle name="40% - Énfasis5 13 5" xfId="19703" xr:uid="{363C2113-DD3B-468B-B85F-A8C01083ED1C}"/>
    <cellStyle name="40% - Énfasis5 13_1.2.b" xfId="15848" xr:uid="{D49BFEFE-FD4F-49E8-B334-8D0B388D65D6}"/>
    <cellStyle name="40% - Énfasis5 14" xfId="10607" xr:uid="{00000000-0005-0000-0000-00002B010000}"/>
    <cellStyle name="40% - Énfasis5 14 2" xfId="12336" xr:uid="{00000000-0005-0000-0000-00002C010000}"/>
    <cellStyle name="40% - Énfasis5 14 2 2" xfId="21082" xr:uid="{D001041C-C957-49B1-8103-9BE6B0E65470}"/>
    <cellStyle name="40% - Énfasis5 14 3" xfId="13618" xr:uid="{C1C013F2-80CE-43DB-9098-00796B94D0E4}"/>
    <cellStyle name="40% - Énfasis5 14 3 2" xfId="22187" xr:uid="{E25FA610-D80C-4270-99E5-8C9F315C48D2}"/>
    <cellStyle name="40% - Énfasis5 14 4" xfId="17581" xr:uid="{37D6C8C2-F1E4-4E9D-A96C-73320AB677D5}"/>
    <cellStyle name="40% - Énfasis5 14 4 2" xfId="23824" xr:uid="{F9E8FFCC-B372-4794-AB7D-C69B17A3F2A0}"/>
    <cellStyle name="40% - Énfasis5 14 5" xfId="19719" xr:uid="{F84DF5D0-D3F4-47EC-A874-9CEE8F053927}"/>
    <cellStyle name="40% - Énfasis5 14_1.2.b" xfId="15849" xr:uid="{9E32FD3D-98B9-4ACC-A675-C66D1AD26F8B}"/>
    <cellStyle name="40% - Énfasis5 15" xfId="10628" xr:uid="{00000000-0005-0000-0000-00002D010000}"/>
    <cellStyle name="40% - Énfasis5 15 2" xfId="13619" xr:uid="{6E3F25A9-F579-4025-A8FD-DDF487C04674}"/>
    <cellStyle name="40% - Énfasis5 15 2 2" xfId="22188" xr:uid="{356D1104-0BE6-4075-9688-235A8E986D7F}"/>
    <cellStyle name="40% - Énfasis5 15 3" xfId="17582" xr:uid="{A78429A9-3E3C-42DF-9CF2-AD5FBC096463}"/>
    <cellStyle name="40% - Énfasis5 15 3 2" xfId="23825" xr:uid="{0AE71FCD-47BE-49E8-AC5A-73CB17A4B169}"/>
    <cellStyle name="40% - Énfasis5 15 4" xfId="19736" xr:uid="{936E5DC0-81D1-4D7F-BA4E-24C40EC8AB4D}"/>
    <cellStyle name="40% - Énfasis5 15_1.2.b" xfId="15850" xr:uid="{713AE0C5-73FA-4475-96ED-F874449F8F47}"/>
    <cellStyle name="40% - Énfasis5 16" xfId="12369" xr:uid="{00000000-0005-0000-0000-00002E010000}"/>
    <cellStyle name="40% - Énfasis5 16 2" xfId="13620" xr:uid="{25D926CA-0933-47E5-BB5E-A294F45F2727}"/>
    <cellStyle name="40% - Énfasis5 16 2 2" xfId="22189" xr:uid="{B26057C3-A778-4CF1-AB17-D63A2BE77C94}"/>
    <cellStyle name="40% - Énfasis5 16 3" xfId="17583" xr:uid="{0215103E-E6BA-4430-A82E-67DC3D9F4AD6}"/>
    <cellStyle name="40% - Énfasis5 16 3 2" xfId="23826" xr:uid="{1BF5BE67-9775-4EAF-980E-1ABA5983EAC4}"/>
    <cellStyle name="40% - Énfasis5 16 4" xfId="21112" xr:uid="{6FE5D2A9-284C-403D-AB23-9B9E382A6B98}"/>
    <cellStyle name="40% - Énfasis5 16_1.2.b" xfId="15851" xr:uid="{7F2E4FDB-E493-4EBF-A64D-D152E62C9894}"/>
    <cellStyle name="40% - Énfasis5 17" xfId="12384" xr:uid="{00000000-0005-0000-0000-00002F010000}"/>
    <cellStyle name="40% - Énfasis5 17 2" xfId="13621" xr:uid="{24953D1A-C6CF-420A-9081-D8774876232D}"/>
    <cellStyle name="40% - Énfasis5 17 2 2" xfId="22190" xr:uid="{AF61130E-72FD-4763-A3B1-C3FE7B9F0AFC}"/>
    <cellStyle name="40% - Énfasis5 17 3" xfId="17584" xr:uid="{06788B6D-9E1D-480B-97BD-5294F7AA31CB}"/>
    <cellStyle name="40% - Énfasis5 17 3 2" xfId="23827" xr:uid="{45372EAC-72F6-4369-B1FC-7E5C15CC437F}"/>
    <cellStyle name="40% - Énfasis5 17 4" xfId="21127" xr:uid="{AC425801-C614-438F-BC97-2039C0FC1F23}"/>
    <cellStyle name="40% - Énfasis5 17_1.2.b" xfId="15852" xr:uid="{A872C6BA-B4A1-4826-96B0-826C1BC05FB5}"/>
    <cellStyle name="40% - Énfasis5 18" xfId="13622" xr:uid="{E75E42C5-1DB2-49CB-82EC-DA53F42F2E21}"/>
    <cellStyle name="40% - Énfasis5 18 2" xfId="17585" xr:uid="{2D0BE8E8-5D09-44FA-BF54-8F2C8F794D48}"/>
    <cellStyle name="40% - Énfasis5 18 2 2" xfId="23828" xr:uid="{53F8FB67-FAAC-44A7-A9DD-975DE042B336}"/>
    <cellStyle name="40% - Énfasis5 18 3" xfId="22191" xr:uid="{DAE71EF1-B716-41DC-95AC-8E8453830E05}"/>
    <cellStyle name="40% - Énfasis5 18_1.2.b" xfId="15853" xr:uid="{1E2059A2-3CA8-46A3-AFB6-BCE8C7EEAE33}"/>
    <cellStyle name="40% - Énfasis5 19" xfId="13623" xr:uid="{AF2832BB-3968-4CC1-8633-6FBC1679C04F}"/>
    <cellStyle name="40% - Énfasis5 19 2" xfId="17586" xr:uid="{88880F3B-FFE6-4328-92AA-BA2F631472EA}"/>
    <cellStyle name="40% - Énfasis5 19 2 2" xfId="23829" xr:uid="{18876F5B-1952-4F49-B274-44CF678AD4BC}"/>
    <cellStyle name="40% - Énfasis5 19 3" xfId="22192" xr:uid="{414795B0-F60D-4532-A043-BADC2782007D}"/>
    <cellStyle name="40% - Énfasis5 19_1.2.b" xfId="15854" xr:uid="{F2682615-4CFE-46C0-825E-86B43A38AC56}"/>
    <cellStyle name="40% - Énfasis5 2" xfId="155" xr:uid="{00000000-0005-0000-0000-000030010000}"/>
    <cellStyle name="40% - Énfasis5 2 10" xfId="13625" xr:uid="{44C568ED-FD27-4BD8-80B2-47597FAE8478}"/>
    <cellStyle name="40% - Énfasis5 2 10 2" xfId="17588" xr:uid="{D8D72D97-86BB-4C9F-8A3F-85FA91A57281}"/>
    <cellStyle name="40% - Énfasis5 2 10 2 2" xfId="23830" xr:uid="{D02C64EF-86AB-4F56-B365-F3FF19248699}"/>
    <cellStyle name="40% - Énfasis5 2 10 3" xfId="22193" xr:uid="{B8CDA4F9-70C4-4D30-BD3C-02B032C46385}"/>
    <cellStyle name="40% - Énfasis5 2 10_1.2.b" xfId="15856" xr:uid="{52410723-1521-47EA-BE8C-D1406605B877}"/>
    <cellStyle name="40% - Énfasis5 2 11" xfId="13624" xr:uid="{6F0D4B11-50E6-47B9-8217-DEF8DB30561D}"/>
    <cellStyle name="40% - Énfasis5 2 12" xfId="17587" xr:uid="{ABB09BD4-7F16-49AF-8991-1487353BADC4}"/>
    <cellStyle name="40% - Énfasis5 2 13" xfId="18175" xr:uid="{52B7EA24-50AA-48BC-860F-10F7870521C9}"/>
    <cellStyle name="40% - Énfasis5 2 14" xfId="18174" xr:uid="{54A26C4E-CD63-478E-B7C3-C7EE4BE9E957}"/>
    <cellStyle name="40% - Énfasis5 2 15" xfId="18176" xr:uid="{82FCF511-7DA6-46CA-8425-246891660586}"/>
    <cellStyle name="40% - Énfasis5 2 16" xfId="18177" xr:uid="{45140CD1-1671-4DEE-9713-CFD6E6A6EEAD}"/>
    <cellStyle name="40% - Énfasis5 2 17" xfId="18399" xr:uid="{D708FCAA-0F52-4FE4-A0C0-64E39B936145}"/>
    <cellStyle name="40% - Énfasis5 2 2" xfId="10675" xr:uid="{00000000-0005-0000-0000-000031010000}"/>
    <cellStyle name="40% - Énfasis5 2 2 2" xfId="13627" xr:uid="{338D66C9-8A9C-458E-A79F-CC6B108221C9}"/>
    <cellStyle name="40% - Énfasis5 2 2 3" xfId="13628" xr:uid="{12E76505-2886-4A8C-AC26-342CD3C79E31}"/>
    <cellStyle name="40% - Énfasis5 2 2 4" xfId="13629" xr:uid="{292657F8-326C-494B-A159-791CFF74D039}"/>
    <cellStyle name="40% - Énfasis5 2 2 5" xfId="13630" xr:uid="{DB64A366-F616-43EB-B2D2-23AB5B5B97C1}"/>
    <cellStyle name="40% - Énfasis5 2 2 6" xfId="13626" xr:uid="{221F3997-FB2E-400E-9320-D8023A5E1C1E}"/>
    <cellStyle name="40% - Énfasis5 2 2 6 2" xfId="22194" xr:uid="{0C162AC7-B092-425B-86D7-623DF974DE56}"/>
    <cellStyle name="40% - Énfasis5 2 2 7" xfId="17589" xr:uid="{17E4210B-18D7-4629-8E36-FF70D736AFD7}"/>
    <cellStyle name="40% - Énfasis5 2 2 7 2" xfId="23831" xr:uid="{ED2DCFDD-7711-4760-B0ED-CBF555866414}"/>
    <cellStyle name="40% - Énfasis5 2 2 8" xfId="19767" xr:uid="{B50BB773-7E63-4714-896C-91BFD9EA044D}"/>
    <cellStyle name="40% - Énfasis5 2 2_1.2.b" xfId="15857" xr:uid="{47762586-99FA-4337-A0C9-B6EF80E086B6}"/>
    <cellStyle name="40% - Énfasis5 2 3" xfId="13631" xr:uid="{DAC049DB-4D9F-4B0B-AD54-E43203FBEE98}"/>
    <cellStyle name="40% - Énfasis5 2 4" xfId="13632" xr:uid="{3CCEAD3A-D278-4780-B0ED-109BF8377748}"/>
    <cellStyle name="40% - Énfasis5 2 5" xfId="13633" xr:uid="{F2A4AF5E-C243-46B1-8017-312974156915}"/>
    <cellStyle name="40% - Énfasis5 2 6" xfId="13634" xr:uid="{DAA887EA-0225-4D07-973F-9AFEBAD7C0EF}"/>
    <cellStyle name="40% - Énfasis5 2 7" xfId="13635" xr:uid="{AF9347BB-CED3-428B-AFEB-D17CEC0CF8BB}"/>
    <cellStyle name="40% - Énfasis5 2 8" xfId="13636" xr:uid="{06DE6924-AF32-4C3B-B81B-EECA13253968}"/>
    <cellStyle name="40% - Énfasis5 2 9" xfId="13637" xr:uid="{93409A3E-1A5A-4C65-A4D8-01D52FC50A46}"/>
    <cellStyle name="40% - Énfasis5 2 9 2" xfId="17590" xr:uid="{EA86E25C-782A-46DD-A97C-F773C320C490}"/>
    <cellStyle name="40% - Énfasis5 2 9 2 2" xfId="23832" xr:uid="{858F254B-C6AB-491C-8426-CF3FECC96868}"/>
    <cellStyle name="40% - Énfasis5 2 9 3" xfId="22195" xr:uid="{8828244E-1E27-460D-B6CB-CC3E63A5BA80}"/>
    <cellStyle name="40% - Énfasis5 2 9_1.2.b" xfId="15858" xr:uid="{78808DEF-A2EC-453C-B863-CA3FE605F6F0}"/>
    <cellStyle name="40% - Énfasis5 2_1.2.b" xfId="15855" xr:uid="{C1A47C2E-DA40-4265-974F-AFF7D3FC73A2}"/>
    <cellStyle name="40% - Énfasis5 20" xfId="13638" xr:uid="{540E28D9-8C1F-4A29-AA82-58F501B2EDBD}"/>
    <cellStyle name="40% - Énfasis5 20 2" xfId="17591" xr:uid="{27BC4C22-3339-420F-B97C-C083FFD5CCE5}"/>
    <cellStyle name="40% - Énfasis5 20 2 2" xfId="23833" xr:uid="{C4A0A40D-EC9F-496E-9E41-FD31762F1AA6}"/>
    <cellStyle name="40% - Énfasis5 20 3" xfId="22196" xr:uid="{1216EA60-6678-4E43-89B6-D6CEB0E9EBFE}"/>
    <cellStyle name="40% - Énfasis5 20_1.2.b" xfId="15859" xr:uid="{05E66FBB-8545-41A8-BBE8-DCF1B7C5F6BF}"/>
    <cellStyle name="40% - Énfasis5 21" xfId="13639" xr:uid="{C54D5ED9-724F-4DAC-ABF0-CBB2A9EDE845}"/>
    <cellStyle name="40% - Énfasis5 21 2" xfId="17592" xr:uid="{76838CD5-111A-4E20-AFCF-D47FEE87A214}"/>
    <cellStyle name="40% - Énfasis5 21 2 2" xfId="23834" xr:uid="{C0832AA6-8AA7-4837-9ADF-3883EE537BD5}"/>
    <cellStyle name="40% - Énfasis5 21 3" xfId="22197" xr:uid="{2F87448F-7291-4A2F-A972-09F090F8C7F9}"/>
    <cellStyle name="40% - Énfasis5 21_1.2.b" xfId="15860" xr:uid="{74CF540C-0DFC-456A-8641-F9A9D4146EA0}"/>
    <cellStyle name="40% - Énfasis5 22" xfId="13640" xr:uid="{0311EEA9-03C0-4225-A1CD-73DB319936D3}"/>
    <cellStyle name="40% - Énfasis5 22 2" xfId="17593" xr:uid="{1B37F043-E41F-4AEB-823B-4100C512CDC3}"/>
    <cellStyle name="40% - Énfasis5 22 2 2" xfId="23835" xr:uid="{10174EB7-79BF-414D-A61F-544EF2AE573C}"/>
    <cellStyle name="40% - Énfasis5 22 3" xfId="22198" xr:uid="{B7236744-7ED0-4BAC-AC6B-160EEFB77EF5}"/>
    <cellStyle name="40% - Énfasis5 22_1.2.b" xfId="15861" xr:uid="{72ECC663-3C09-4B0A-9E8E-07809352983C}"/>
    <cellStyle name="40% - Énfasis5 23" xfId="13641" xr:uid="{16E9C710-1C68-4BCB-A46D-CBF5D47D9348}"/>
    <cellStyle name="40% - Énfasis5 23 2" xfId="17594" xr:uid="{8ACE80B8-FEAD-4C29-9C46-375788A319BA}"/>
    <cellStyle name="40% - Énfasis5 23 2 2" xfId="23836" xr:uid="{A73F3824-9C15-4155-A5ED-0B72A20759D8}"/>
    <cellStyle name="40% - Énfasis5 23 3" xfId="22199" xr:uid="{103F2DDF-A405-4C68-8CB0-6348A1D50D69}"/>
    <cellStyle name="40% - Énfasis5 23_1.2.b" xfId="15862" xr:uid="{6599E37C-143C-4EF5-B8EC-852195140C3F}"/>
    <cellStyle name="40% - Énfasis5 24" xfId="13642" xr:uid="{177794E6-ECA5-4CDE-920D-D6CC11D5780C}"/>
    <cellStyle name="40% - Énfasis5 24 2" xfId="17595" xr:uid="{B61A9FD2-1237-4CE5-9B0D-890C2E369EBB}"/>
    <cellStyle name="40% - Énfasis5 24 2 2" xfId="23837" xr:uid="{4C2E8220-55DF-4E4C-803C-6B3C3142F735}"/>
    <cellStyle name="40% - Énfasis5 24 3" xfId="22200" xr:uid="{B3EEFD9E-6F87-43AD-B67D-34D1FCD62074}"/>
    <cellStyle name="40% - Énfasis5 24_1.2.b" xfId="15863" xr:uid="{E9EFAB85-0737-45A5-B418-6D2633F6E35D}"/>
    <cellStyle name="40% - Énfasis5 25" xfId="13643" xr:uid="{471DD817-E687-44CA-982A-4C62C9868E09}"/>
    <cellStyle name="40% - Énfasis5 25 2" xfId="17596" xr:uid="{9B234F19-A6C6-43BF-A809-B9E4EDACA484}"/>
    <cellStyle name="40% - Énfasis5 25 2 2" xfId="23838" xr:uid="{C6C04A0C-9932-419F-B4C6-E6DEDFA76FF0}"/>
    <cellStyle name="40% - Énfasis5 25 3" xfId="22201" xr:uid="{12CFB1EC-CDF0-45B3-8001-037B5683DF1D}"/>
    <cellStyle name="40% - Énfasis5 25_1.2.b" xfId="15864" xr:uid="{61913A5F-D1E9-45E2-9011-9E98BD6EB023}"/>
    <cellStyle name="40% - Énfasis5 26" xfId="13644" xr:uid="{6FBB42BB-A01B-487B-AE3B-281889EA5E07}"/>
    <cellStyle name="40% - Énfasis5 26 2" xfId="17597" xr:uid="{D282E030-F4F4-42AF-AB79-30A70AC4347A}"/>
    <cellStyle name="40% - Énfasis5 26 2 2" xfId="23839" xr:uid="{683CA5B8-107E-4BFB-A4C7-9D22A6EE3025}"/>
    <cellStyle name="40% - Énfasis5 26 3" xfId="22202" xr:uid="{A0186015-BDCC-47AA-89D6-4F7FD743CCF2}"/>
    <cellStyle name="40% - Énfasis5 26_1.2.b" xfId="15865" xr:uid="{EF190F56-00B7-42F9-A4A6-F8500E067345}"/>
    <cellStyle name="40% - Énfasis5 27" xfId="13645" xr:uid="{18571C96-9FDB-40F8-810E-45CA370FCB86}"/>
    <cellStyle name="40% - Énfasis5 27 2" xfId="17598" xr:uid="{22247618-C785-46CC-9A2E-390734741008}"/>
    <cellStyle name="40% - Énfasis5 27 2 2" xfId="23840" xr:uid="{1FC99B99-461F-402E-8AC2-05ECE46C7908}"/>
    <cellStyle name="40% - Énfasis5 27 3" xfId="22203" xr:uid="{35E8E777-F549-4534-84CB-46345C4E9BB5}"/>
    <cellStyle name="40% - Énfasis5 27_1.2.b" xfId="15866" xr:uid="{86575FD2-30CA-435B-BCAE-E2B33F0471A2}"/>
    <cellStyle name="40% - Énfasis5 28" xfId="13646" xr:uid="{232CC7BB-9C7D-45F6-8342-A58661B896A1}"/>
    <cellStyle name="40% - Énfasis5 28 2" xfId="17599" xr:uid="{510EAD64-3203-4E17-BE8F-FF97E40BC620}"/>
    <cellStyle name="40% - Énfasis5 28 2 2" xfId="23841" xr:uid="{32A9DEE4-1FAD-4749-BD34-4DE49AC8DC39}"/>
    <cellStyle name="40% - Énfasis5 28 3" xfId="22204" xr:uid="{007FF65A-F501-4407-AF8A-386431B6F44A}"/>
    <cellStyle name="40% - Énfasis5 28_1.2.b" xfId="15867" xr:uid="{972CAF7E-A544-4B29-B729-DE0135D3A321}"/>
    <cellStyle name="40% - Énfasis5 29" xfId="13647" xr:uid="{9DC29E82-D182-4974-8577-6646C95D9C52}"/>
    <cellStyle name="40% - Énfasis5 29 2" xfId="17600" xr:uid="{AD354214-8E0D-40AC-B3FD-D10DBB7BADAF}"/>
    <cellStyle name="40% - Énfasis5 29 2 2" xfId="23842" xr:uid="{C0E95906-38C5-416E-831D-C7880072869A}"/>
    <cellStyle name="40% - Énfasis5 29 3" xfId="22205" xr:uid="{D14A9B14-3382-4B08-AA08-B51452E98F65}"/>
    <cellStyle name="40% - Énfasis5 29_1.2.b" xfId="15868" xr:uid="{EA43521D-83B6-4444-AEEB-5415FE08ED7E}"/>
    <cellStyle name="40% - Énfasis5 3" xfId="169" xr:uid="{00000000-0005-0000-0000-000032010000}"/>
    <cellStyle name="40% - Énfasis5 3 2" xfId="10689" xr:uid="{00000000-0005-0000-0000-000033010000}"/>
    <cellStyle name="40% - Énfasis5 3 2 2" xfId="13649" xr:uid="{E08EBE51-6A24-4FAC-A4DD-CFDECB151F5E}"/>
    <cellStyle name="40% - Énfasis5 3 2 2 2" xfId="22207" xr:uid="{EAEBD146-2571-4490-BD66-DA2AD10C7A4A}"/>
    <cellStyle name="40% - Énfasis5 3 2 3" xfId="17602" xr:uid="{73ABA8CE-F4EE-45B3-8A15-CEE12848501A}"/>
    <cellStyle name="40% - Énfasis5 3 2 3 2" xfId="23844" xr:uid="{01E5CA61-37A4-4290-A447-16643301D2F7}"/>
    <cellStyle name="40% - Énfasis5 3 2 4" xfId="19781" xr:uid="{3AE87EBF-48E1-4A27-A04B-D85D73A6B1DC}"/>
    <cellStyle name="40% - Énfasis5 3 2_1.2.b" xfId="15870" xr:uid="{6231F7F1-ECFA-4006-8A85-ABD91D981DC3}"/>
    <cellStyle name="40% - Énfasis5 3 3" xfId="13650" xr:uid="{3F45555F-6D4A-4385-9245-9AAA155C7085}"/>
    <cellStyle name="40% - Énfasis5 3 4" xfId="13648" xr:uid="{E93F460E-F7CD-4DA0-90FB-D58C46B943EA}"/>
    <cellStyle name="40% - Énfasis5 3 4 2" xfId="22206" xr:uid="{C136413D-8ED8-443C-9F9D-E8D33B7FE591}"/>
    <cellStyle name="40% - Énfasis5 3 5" xfId="17601" xr:uid="{07CF3CD6-E0A3-4207-AB59-AAE0B7A3FAD6}"/>
    <cellStyle name="40% - Énfasis5 3 5 2" xfId="23843" xr:uid="{57B6EBB5-7364-4437-80CC-F889AE122D4F}"/>
    <cellStyle name="40% - Énfasis5 3 6" xfId="18413" xr:uid="{23B0A400-3128-4B02-BF31-0D6698AC0AC8}"/>
    <cellStyle name="40% - Énfasis5 3_1.2.b" xfId="15869" xr:uid="{38960B52-B83F-4169-844D-5B56860664C7}"/>
    <cellStyle name="40% - Énfasis5 30" xfId="13651" xr:uid="{A78754E9-553C-422B-A679-970CE42E2C19}"/>
    <cellStyle name="40% - Énfasis5 30 2" xfId="17603" xr:uid="{5780A318-E193-49CF-8EF9-529BA84362D3}"/>
    <cellStyle name="40% - Énfasis5 30 2 2" xfId="23845" xr:uid="{041FBD89-91F8-40A5-BA0F-A672EFFF1A6F}"/>
    <cellStyle name="40% - Énfasis5 30 3" xfId="22208" xr:uid="{6E9DDC4F-A928-44B8-9305-31AE305C0B00}"/>
    <cellStyle name="40% - Énfasis5 30_1.2.b" xfId="15871" xr:uid="{377DC363-15AD-407D-88F7-063FFC2ED334}"/>
    <cellStyle name="40% - Énfasis5 31" xfId="13652" xr:uid="{ECB47733-0C46-4BB4-844F-F4F5B39A15F9}"/>
    <cellStyle name="40% - Énfasis5 31 2" xfId="17604" xr:uid="{59E8A243-590C-480A-9DDE-D0F40242DE02}"/>
    <cellStyle name="40% - Énfasis5 31 2 2" xfId="23846" xr:uid="{76ABDC93-B16B-4B06-A772-6FD06213782C}"/>
    <cellStyle name="40% - Énfasis5 31 3" xfId="22209" xr:uid="{43CBFDDC-498D-4362-8B16-E0D65F0F67FE}"/>
    <cellStyle name="40% - Énfasis5 31_1.2.b" xfId="15872" xr:uid="{317D6989-A208-407E-A80B-B173DFA840AD}"/>
    <cellStyle name="40% - Énfasis5 32" xfId="13653" xr:uid="{4FC44EC7-0F95-47F5-8D33-5E976BE87D6D}"/>
    <cellStyle name="40% - Énfasis5 32 2" xfId="17605" xr:uid="{5ABAD9B8-C065-4D8C-A5B4-2EC9A1BC4355}"/>
    <cellStyle name="40% - Énfasis5 32 2 2" xfId="23847" xr:uid="{683139D9-E18E-48ED-909F-71970A545DB9}"/>
    <cellStyle name="40% - Énfasis5 32 3" xfId="22210" xr:uid="{8AAFFE7E-57BF-458C-AB54-7A134071593D}"/>
    <cellStyle name="40% - Énfasis5 32_1.2.b" xfId="15873" xr:uid="{BB592C46-5F90-44DF-B8D6-04CCC2EF8625}"/>
    <cellStyle name="40% - Énfasis5 33" xfId="13654" xr:uid="{0197947D-B340-483B-AF1A-D5C16CBB360D}"/>
    <cellStyle name="40% - Énfasis5 33 2" xfId="17606" xr:uid="{F4CF01B6-A67F-4602-8B7A-ED901BA7F3FD}"/>
    <cellStyle name="40% - Énfasis5 33 2 2" xfId="23848" xr:uid="{2CEBB138-3DA7-403A-81B4-EDF49CE2E47B}"/>
    <cellStyle name="40% - Énfasis5 33 3" xfId="22211" xr:uid="{63BBC810-270F-4944-9EA0-9CB1E3104330}"/>
    <cellStyle name="40% - Énfasis5 33_1.2.b" xfId="15874" xr:uid="{E7DB9070-413D-4716-938A-F6E1481DEB3F}"/>
    <cellStyle name="40% - Énfasis5 34" xfId="13655" xr:uid="{28A44224-041E-4AB4-AFE4-4BC31C26A7D4}"/>
    <cellStyle name="40% - Énfasis5 34 2" xfId="17607" xr:uid="{A7CF59E2-1D5F-477A-983A-D4E343BA55D5}"/>
    <cellStyle name="40% - Énfasis5 34 2 2" xfId="23849" xr:uid="{7CE290A9-6BBB-4C16-9363-3B26BCEA496E}"/>
    <cellStyle name="40% - Énfasis5 34 3" xfId="22212" xr:uid="{8707E233-61DE-426C-85E8-D4D775001DF6}"/>
    <cellStyle name="40% - Énfasis5 34_1.2.b" xfId="15875" xr:uid="{37524203-881C-4A46-B2DF-91214B5B6970}"/>
    <cellStyle name="40% - Énfasis5 35" xfId="13656" xr:uid="{C5EAE0B9-9EB7-4FDB-AEFC-FC3777574ECF}"/>
    <cellStyle name="40% - Énfasis5 35 2" xfId="17608" xr:uid="{E7409C19-20AB-479A-8FAD-ECF650B71909}"/>
    <cellStyle name="40% - Énfasis5 35 2 2" xfId="23850" xr:uid="{1A41E23B-A3F9-4A33-B264-911ACEECCAD8}"/>
    <cellStyle name="40% - Énfasis5 35 3" xfId="22213" xr:uid="{D5A87C1D-BA57-42B3-BD47-4F012B94A856}"/>
    <cellStyle name="40% - Énfasis5 35_1.2.b" xfId="15876" xr:uid="{81844FFD-E3C8-4CDC-94CE-816C4745D828}"/>
    <cellStyle name="40% - Énfasis5 36" xfId="13657" xr:uid="{1BB06EBF-770A-40C6-932E-2CD4917A2734}"/>
    <cellStyle name="40% - Énfasis5 36 2" xfId="17609" xr:uid="{1A1C3569-B755-45FB-B1F2-F2237373B7BD}"/>
    <cellStyle name="40% - Énfasis5 36 2 2" xfId="23851" xr:uid="{07C444CF-E3FC-4526-BB6D-15E48F6746B4}"/>
    <cellStyle name="40% - Énfasis5 36 3" xfId="22214" xr:uid="{9DA3F6AF-DD8D-4887-A176-752F065ED7EC}"/>
    <cellStyle name="40% - Énfasis5 36_1.2.b" xfId="15877" xr:uid="{597FD1A3-6D1D-42ED-BDB8-43EAC94D4754}"/>
    <cellStyle name="40% - Énfasis5 37" xfId="13658" xr:uid="{033A48A2-1B4D-4B62-973C-9A466154057B}"/>
    <cellStyle name="40% - Énfasis5 37 2" xfId="17610" xr:uid="{65689587-1FF6-4693-8D09-76A95BC10AD8}"/>
    <cellStyle name="40% - Énfasis5 37 2 2" xfId="23852" xr:uid="{89C3F9E7-6814-49C2-831C-A5E7FD391E4A}"/>
    <cellStyle name="40% - Énfasis5 37 3" xfId="22215" xr:uid="{4E22164D-415A-4B6F-922B-2884BE3D5814}"/>
    <cellStyle name="40% - Énfasis5 37_1.2.b" xfId="15878" xr:uid="{8C8EC55C-3979-4B69-BF24-BACD204FBD3B}"/>
    <cellStyle name="40% - Énfasis5 38" xfId="13659" xr:uid="{346B6205-1619-46C6-A9E2-3916B9578681}"/>
    <cellStyle name="40% - Énfasis5 38 2" xfId="17611" xr:uid="{E4B933A9-087E-4BB5-835B-AEE53B4B9838}"/>
    <cellStyle name="40% - Énfasis5 38 2 2" xfId="23853" xr:uid="{39CBDE0D-66E3-442C-9F35-152FBEEA6C34}"/>
    <cellStyle name="40% - Énfasis5 38 3" xfId="22216" xr:uid="{FD5F29BF-DEB6-48B3-8192-764E2ECB936B}"/>
    <cellStyle name="40% - Énfasis5 38_1.2.b" xfId="15879" xr:uid="{B7D72202-A3F5-46EC-A39E-B63CF22DAA15}"/>
    <cellStyle name="40% - Énfasis5 39" xfId="13660" xr:uid="{F8B4EEBC-495E-4DAC-AF39-CA7457F479BB}"/>
    <cellStyle name="40% - Énfasis5 39 2" xfId="17612" xr:uid="{13358FBB-BD70-4336-93C3-A1860429EC9B}"/>
    <cellStyle name="40% - Énfasis5 39 2 2" xfId="23854" xr:uid="{4D742DEF-D398-4372-8BF8-E1B97432AE66}"/>
    <cellStyle name="40% - Énfasis5 39 3" xfId="22217" xr:uid="{BEAA7EE7-3F57-45CF-87BF-7A23857A79C0}"/>
    <cellStyle name="40% - Énfasis5 39_1.2.b" xfId="15880" xr:uid="{B334728C-0210-4453-B37C-89D08F38DEAC}"/>
    <cellStyle name="40% - Énfasis5 4" xfId="183" xr:uid="{00000000-0005-0000-0000-000034010000}"/>
    <cellStyle name="40% - Énfasis5 4 2" xfId="10703" xr:uid="{00000000-0005-0000-0000-000035010000}"/>
    <cellStyle name="40% - Énfasis5 4 2 2" xfId="13662" xr:uid="{CE03CEDE-AE90-4F14-A472-27FF33ACD7EB}"/>
    <cellStyle name="40% - Énfasis5 4 2 3" xfId="19795" xr:uid="{0A2141B7-370C-4DB1-9E86-98428A1917A2}"/>
    <cellStyle name="40% - Énfasis5 4 2_1.2.b" xfId="15882" xr:uid="{BFD3077F-D870-4972-A525-F1B2EB751021}"/>
    <cellStyle name="40% - Énfasis5 4 3" xfId="13661" xr:uid="{F0E06CD4-7FD8-4C3B-BCBE-1B2DAB84C495}"/>
    <cellStyle name="40% - Énfasis5 4 3 2" xfId="22218" xr:uid="{5EC1243E-5DB6-417D-B8D9-F3A4478636D7}"/>
    <cellStyle name="40% - Énfasis5 4 4" xfId="17613" xr:uid="{72ADB37E-3B4E-4EBD-B645-339A4D2C1A60}"/>
    <cellStyle name="40% - Énfasis5 4 4 2" xfId="23855" xr:uid="{B10C6B1E-F5A6-4FD1-A6F0-1D39BC0DC5DA}"/>
    <cellStyle name="40% - Énfasis5 4 5" xfId="18178" xr:uid="{9EEDD78D-3A85-400D-94EA-2B2AD6D5EB58}"/>
    <cellStyle name="40% - Énfasis5 4 5 2" xfId="24372" xr:uid="{DE896DFF-8D72-4B9C-B36B-E0FF05120EAD}"/>
    <cellStyle name="40% - Énfasis5 4 6" xfId="18172" xr:uid="{EB50E436-D75A-42AD-B470-CECBD2F679C0}"/>
    <cellStyle name="40% - Énfasis5 4 6 2" xfId="24370" xr:uid="{5BF7D9A9-C855-4A69-9732-0DCAA2015613}"/>
    <cellStyle name="40% - Énfasis5 4 7" xfId="18179" xr:uid="{CDDC817F-5990-455F-AE9B-7AD44D01C420}"/>
    <cellStyle name="40% - Énfasis5 4 7 2" xfId="24373" xr:uid="{6D2EC0B2-6DCD-4966-9C8B-6BEE590BADB7}"/>
    <cellStyle name="40% - Énfasis5 4 8" xfId="18173" xr:uid="{206AC14D-A3E3-4CF2-9151-847C5013B0C6}"/>
    <cellStyle name="40% - Énfasis5 4 8 2" xfId="24371" xr:uid="{413D1527-4C6E-4414-95F4-0A570675EF2B}"/>
    <cellStyle name="40% - Énfasis5 4 9" xfId="18427" xr:uid="{5DAA8E18-1AC3-4C42-A4BA-6CD25560764E}"/>
    <cellStyle name="40% - Énfasis5 4_1.2.b" xfId="15881" xr:uid="{B0871A4D-CEDB-4734-8B21-2E060AD635B4}"/>
    <cellStyle name="40% - Énfasis5 40" xfId="13663" xr:uid="{7200439C-A615-409B-B42D-40C5DEB01157}"/>
    <cellStyle name="40% - Énfasis5 40 2" xfId="17614" xr:uid="{9C2276F3-C7E2-4CA5-944E-1E7913689031}"/>
    <cellStyle name="40% - Énfasis5 40 2 2" xfId="23856" xr:uid="{8D790797-2073-4D6B-886E-26416ED530F4}"/>
    <cellStyle name="40% - Énfasis5 40 3" xfId="22219" xr:uid="{7851C2E0-B1D6-43CF-88D6-6D7E100F4CBF}"/>
    <cellStyle name="40% - Énfasis5 40_1.2.b" xfId="15883" xr:uid="{86ACC729-236C-446F-85D5-CCCDDFB39657}"/>
    <cellStyle name="40% - Énfasis5 41" xfId="13664" xr:uid="{59BDCF2C-32B0-4FF9-9231-807742CAC7B6}"/>
    <cellStyle name="40% - Énfasis5 41 2" xfId="17615" xr:uid="{DB411249-1344-4401-8CA9-1D006B781CC8}"/>
    <cellStyle name="40% - Énfasis5 41 2 2" xfId="23857" xr:uid="{E69D68AB-151E-4D3B-B6F3-E7E47E727FA6}"/>
    <cellStyle name="40% - Énfasis5 41 3" xfId="22220" xr:uid="{B196404D-B15E-43FA-A3E7-7DF805D8CB06}"/>
    <cellStyle name="40% - Énfasis5 41_1.2.b" xfId="15884" xr:uid="{205F1A82-2BB1-4495-BBEF-503F787FAD0B}"/>
    <cellStyle name="40% - Énfasis5 42" xfId="13665" xr:uid="{C459825F-7E4A-4C13-9C5F-B5560996508C}"/>
    <cellStyle name="40% - Énfasis5 42 2" xfId="17616" xr:uid="{83F0262A-4D9C-4F08-97FE-0E2197998FFB}"/>
    <cellStyle name="40% - Énfasis5 42 2 2" xfId="23858" xr:uid="{3C90C2CE-3EC3-4DE0-BF99-D00D93DAB28F}"/>
    <cellStyle name="40% - Énfasis5 42 3" xfId="22221" xr:uid="{90F26B51-45CA-44B8-8A4F-AE2324020243}"/>
    <cellStyle name="40% - Énfasis5 42_1.2.b" xfId="15885" xr:uid="{11220367-5241-457E-A1EE-5CD0A0B7A2E4}"/>
    <cellStyle name="40% - Énfasis5 43" xfId="13666" xr:uid="{6C8FA2DB-25E1-49C0-9348-B5488CE83179}"/>
    <cellStyle name="40% - Énfasis5 43 2" xfId="17617" xr:uid="{911A7B6E-2C93-409D-9E43-8C8FBABCF845}"/>
    <cellStyle name="40% - Énfasis5 43 2 2" xfId="23859" xr:uid="{6AAB80F1-DFBE-4212-9422-E1376EA9D606}"/>
    <cellStyle name="40% - Énfasis5 43 3" xfId="22222" xr:uid="{BAF9D11B-AAE1-4932-B1D5-41C490699976}"/>
    <cellStyle name="40% - Énfasis5 43_1.2.b" xfId="15886" xr:uid="{EC032EFF-05E5-455F-9005-2EAE87A4DBA2}"/>
    <cellStyle name="40% - Énfasis5 44" xfId="13667" xr:uid="{4E6471FB-49DD-4A68-81DB-89957C9B7474}"/>
    <cellStyle name="40% - Énfasis5 44 2" xfId="17618" xr:uid="{435396D7-BB1A-4FD5-A068-471E305DBDC4}"/>
    <cellStyle name="40% - Énfasis5 44 2 2" xfId="23860" xr:uid="{BA4E2672-E1EE-4E0E-8448-21A6E39CDC29}"/>
    <cellStyle name="40% - Énfasis5 44 3" xfId="22223" xr:uid="{5FCA5525-1FA4-4EDA-ACD9-B2E4743BB14F}"/>
    <cellStyle name="40% - Énfasis5 44_1.2.b" xfId="15887" xr:uid="{AC440736-5164-4105-B9C2-22B0969F91EA}"/>
    <cellStyle name="40% - Énfasis5 45" xfId="13668" xr:uid="{BC179597-98A8-4277-8E97-D83962BDDB7D}"/>
    <cellStyle name="40% - Énfasis5 45 2" xfId="17619" xr:uid="{ABC218C3-89BA-4D27-8512-4999A6BEC3DC}"/>
    <cellStyle name="40% - Énfasis5 45 2 2" xfId="23861" xr:uid="{B3810AF7-3DD4-492C-9FC2-6404BD119679}"/>
    <cellStyle name="40% - Énfasis5 45 3" xfId="22224" xr:uid="{D7662319-8E5D-4545-811A-FDFCF6CEFC74}"/>
    <cellStyle name="40% - Énfasis5 45_1.2.b" xfId="15888" xr:uid="{5914DE7A-650D-4E41-9113-E70B57827299}"/>
    <cellStyle name="40% - Énfasis5 46" xfId="13669" xr:uid="{C6DA1392-357B-4F4C-917E-52C8D507743C}"/>
    <cellStyle name="40% - Énfasis5 46 2" xfId="17620" xr:uid="{97D03A7F-051A-45F5-9E22-C73C8921DE80}"/>
    <cellStyle name="40% - Énfasis5 46 2 2" xfId="23862" xr:uid="{E9C4A1A3-4CE1-411F-88C4-2973C9A67FE1}"/>
    <cellStyle name="40% - Énfasis5 46 3" xfId="22225" xr:uid="{F38440E4-FAAB-41C6-B824-626DC568088E}"/>
    <cellStyle name="40% - Énfasis5 46_1.2.b" xfId="15889" xr:uid="{E567B20C-8355-49A5-8368-0EDF33657F17}"/>
    <cellStyle name="40% - Énfasis5 47" xfId="13670" xr:uid="{9C38DA0F-1D77-44B1-A363-7FAC499D1ED6}"/>
    <cellStyle name="40% - Énfasis5 47 2" xfId="17621" xr:uid="{30EF15B6-BF28-403B-8FDC-8776363B0E15}"/>
    <cellStyle name="40% - Énfasis5 47 2 2" xfId="23863" xr:uid="{C0BB1B13-283D-452F-A22F-F1B7E5C86175}"/>
    <cellStyle name="40% - Énfasis5 47 3" xfId="22226" xr:uid="{9A3C5F1D-C9A6-436E-84C7-59356C6F06BE}"/>
    <cellStyle name="40% - Énfasis5 47_1.2.b" xfId="15890" xr:uid="{B63D793F-3E75-4612-AA68-6FC49FFEB1DF}"/>
    <cellStyle name="40% - Énfasis5 48" xfId="13671" xr:uid="{1FAB829F-0780-4700-8FDD-F17BD704954D}"/>
    <cellStyle name="40% - Énfasis5 48 2" xfId="17622" xr:uid="{0402FC40-C635-4C05-B164-5D95C686C5EA}"/>
    <cellStyle name="40% - Énfasis5 48 2 2" xfId="23864" xr:uid="{69265377-D502-4D3A-8081-015F5DB1906F}"/>
    <cellStyle name="40% - Énfasis5 48 3" xfId="22227" xr:uid="{E0FF522C-2BFF-442B-AAE5-6134A18D40FC}"/>
    <cellStyle name="40% - Énfasis5 48_1.2.b" xfId="15891" xr:uid="{6F688136-C904-4FD1-9E29-F91A886344F4}"/>
    <cellStyle name="40% - Énfasis5 49" xfId="13672" xr:uid="{5E03E0E7-D794-4B93-BD30-39B8FBAF208F}"/>
    <cellStyle name="40% - Énfasis5 49 2" xfId="17623" xr:uid="{292E3646-FF0A-4D1C-AFB5-44564A7984AE}"/>
    <cellStyle name="40% - Énfasis5 49 2 2" xfId="23865" xr:uid="{AAD69584-312C-40A9-A85D-0A1FE850F341}"/>
    <cellStyle name="40% - Énfasis5 49 3" xfId="22228" xr:uid="{60F0AB48-4DB0-4476-9937-E7E221D2AE6A}"/>
    <cellStyle name="40% - Énfasis5 49_1.2.b" xfId="15892" xr:uid="{D55E5E42-A851-4415-953E-4B976D198871}"/>
    <cellStyle name="40% - Énfasis5 5" xfId="198" xr:uid="{00000000-0005-0000-0000-000036010000}"/>
    <cellStyle name="40% - Énfasis5 5 2" xfId="10718" xr:uid="{00000000-0005-0000-0000-000037010000}"/>
    <cellStyle name="40% - Énfasis5 5 2 2" xfId="19810" xr:uid="{B471FE81-DEE9-4C37-81A9-874AB75440F1}"/>
    <cellStyle name="40% - Énfasis5 5 3" xfId="13673" xr:uid="{E942E597-0987-42FE-93E6-AD958A1E85CD}"/>
    <cellStyle name="40% - Énfasis5 5 3 2" xfId="22229" xr:uid="{52AD8E52-375B-4F99-B994-E292C3CE310A}"/>
    <cellStyle name="40% - Énfasis5 5 4" xfId="17624" xr:uid="{6347A7CC-E4C6-4507-B39D-26B013E4CFD0}"/>
    <cellStyle name="40% - Énfasis5 5 4 2" xfId="23866" xr:uid="{8DBC1A74-8A15-4C5C-B27D-66E2903367EF}"/>
    <cellStyle name="40% - Énfasis5 5 5" xfId="18442" xr:uid="{DDB85C06-38C8-421C-B764-1670964B89E9}"/>
    <cellStyle name="40% - Énfasis5 5_1.2.b" xfId="15893" xr:uid="{D4A3117E-C460-4339-9AD9-717DDC785DF4}"/>
    <cellStyle name="40% - Énfasis5 50" xfId="13674" xr:uid="{BA3A7163-1DDB-4C1F-B744-86BA151942B1}"/>
    <cellStyle name="40% - Énfasis5 50 2" xfId="17625" xr:uid="{E0AB482B-5187-48F1-AE83-37180E935F28}"/>
    <cellStyle name="40% - Énfasis5 50 2 2" xfId="23867" xr:uid="{159ED0C2-5625-4910-AFE5-AB54D6674C20}"/>
    <cellStyle name="40% - Énfasis5 50 3" xfId="22230" xr:uid="{7440688D-C4AD-4B8F-91EB-D2109FD53E5D}"/>
    <cellStyle name="40% - Énfasis5 50_1.2.b" xfId="15894" xr:uid="{C935E54A-70FC-4E66-8097-0989DC43018A}"/>
    <cellStyle name="40% - Énfasis5 51" xfId="13675" xr:uid="{D1E5C6EF-4F7E-49FA-9C41-042EEBFBCDDD}"/>
    <cellStyle name="40% - Énfasis5 51 2" xfId="17626" xr:uid="{8A43BB8A-163E-4FC8-8F5D-00037D6695AA}"/>
    <cellStyle name="40% - Énfasis5 51 2 2" xfId="23868" xr:uid="{4A15A237-12E8-4C5A-AB8C-8735316E820A}"/>
    <cellStyle name="40% - Énfasis5 51 3" xfId="22231" xr:uid="{1CAFF588-E025-4754-BD92-5CAC9FF7EA25}"/>
    <cellStyle name="40% - Énfasis5 51_1.2.b" xfId="15895" xr:uid="{01E8EC33-2E9A-448B-BA0C-F900849481D5}"/>
    <cellStyle name="40% - Énfasis5 52" xfId="13676" xr:uid="{AA2E37B2-F353-4455-B02A-D3E8CBF1CE4E}"/>
    <cellStyle name="40% - Énfasis5 52 2" xfId="17627" xr:uid="{B826B3B6-F1A3-40A7-B96F-33A1BD26666E}"/>
    <cellStyle name="40% - Énfasis5 52 2 2" xfId="23869" xr:uid="{98437264-F4C4-40B8-B655-1142DA01AC41}"/>
    <cellStyle name="40% - Énfasis5 52 3" xfId="22232" xr:uid="{73235C22-C266-47E8-84D9-B0F9D5045F98}"/>
    <cellStyle name="40% - Énfasis5 52_1.2.b" xfId="15896" xr:uid="{AA813CBB-02F9-432A-ABCD-AAF4240C455E}"/>
    <cellStyle name="40% - Énfasis5 53" xfId="13677" xr:uid="{3A2A7484-CC94-42CF-9C5D-80FFA00B6087}"/>
    <cellStyle name="40% - Énfasis5 53 2" xfId="17628" xr:uid="{EBCC6EBD-996A-4627-B65F-B3A2C95382A6}"/>
    <cellStyle name="40% - Énfasis5 53 2 2" xfId="23870" xr:uid="{4C8C44BB-794A-462F-B467-1EE9BB202AE3}"/>
    <cellStyle name="40% - Énfasis5 53 3" xfId="22233" xr:uid="{24F0A748-9ACE-48A4-99CA-4DF69B872158}"/>
    <cellStyle name="40% - Énfasis5 53_1.2.b" xfId="15897" xr:uid="{6EB16B67-342C-4CCC-B303-572F6325B1C1}"/>
    <cellStyle name="40% - Énfasis5 54" xfId="13678" xr:uid="{354B577A-0A61-4933-AAC6-53FFF6B37647}"/>
    <cellStyle name="40% - Énfasis5 54 2" xfId="17629" xr:uid="{4166F1F3-B360-4F31-8A03-BF2D18FF9AC6}"/>
    <cellStyle name="40% - Énfasis5 54 2 2" xfId="23871" xr:uid="{7DDF8C35-31EE-4EFE-A90F-756D782E54EF}"/>
    <cellStyle name="40% - Énfasis5 54 3" xfId="22234" xr:uid="{B67AECC4-50DE-4246-BC66-9874E7DCDAC1}"/>
    <cellStyle name="40% - Énfasis5 54_1.2.b" xfId="15898" xr:uid="{6902D939-DD9C-4A03-A58C-FFA57576324B}"/>
    <cellStyle name="40% - Énfasis5 55" xfId="13679" xr:uid="{2AECCF27-2759-41C6-BF6A-CEC235FA8D5D}"/>
    <cellStyle name="40% - Énfasis5 55 2" xfId="17630" xr:uid="{DB072914-7D29-43D0-B18F-71D6EFF943EB}"/>
    <cellStyle name="40% - Énfasis5 55 2 2" xfId="23872" xr:uid="{9E491F8C-9021-4AE7-B8AA-ED88EE3AAA0A}"/>
    <cellStyle name="40% - Énfasis5 55 3" xfId="22235" xr:uid="{6CF4CB8C-307A-43FA-B762-308B3BA2533A}"/>
    <cellStyle name="40% - Énfasis5 55_1.2.b" xfId="15899" xr:uid="{6C5FA4A8-1EF8-4824-8D15-4B0E824EA158}"/>
    <cellStyle name="40% - Énfasis5 56" xfId="13680" xr:uid="{E1B3DFE3-0528-4ADA-AE75-4654CC647CCD}"/>
    <cellStyle name="40% - Énfasis5 56 2" xfId="17631" xr:uid="{B0B05916-18E2-491F-AB1C-0F20CCB0D7D5}"/>
    <cellStyle name="40% - Énfasis5 56 2 2" xfId="23873" xr:uid="{6D5EC6E6-3125-46B8-A303-A48254A0149C}"/>
    <cellStyle name="40% - Énfasis5 56 3" xfId="22236" xr:uid="{910CF519-B5C9-49C3-8A40-DB941221BA2D}"/>
    <cellStyle name="40% - Énfasis5 56_1.2.b" xfId="15900" xr:uid="{35C98D91-5F2B-426E-A4E4-DB9D95E401B2}"/>
    <cellStyle name="40% - Énfasis5 57" xfId="13681" xr:uid="{57A4E3D2-7DD8-40BC-83E9-1A67EBBEF417}"/>
    <cellStyle name="40% - Énfasis5 57 2" xfId="17632" xr:uid="{9B9FEB2C-73DB-4351-A0DB-DB4A6B2E845B}"/>
    <cellStyle name="40% - Énfasis5 57 2 2" xfId="23874" xr:uid="{BB4C8B35-7789-49C7-B212-D9CE5AB66572}"/>
    <cellStyle name="40% - Énfasis5 57 3" xfId="22237" xr:uid="{99DA0BC9-D615-43AA-AA64-8F32BA1EA7DB}"/>
    <cellStyle name="40% - Énfasis5 57_1.2.b" xfId="15901" xr:uid="{36BA103B-FB74-428A-9711-F43F1ADF8753}"/>
    <cellStyle name="40% - Énfasis5 58" xfId="13682" xr:uid="{7ECCADD3-2A48-4B9C-B2BE-CE2CBA1E7192}"/>
    <cellStyle name="40% - Énfasis5 58 2" xfId="17633" xr:uid="{E77AAFB8-545E-4B17-9718-87AD01CFEEA7}"/>
    <cellStyle name="40% - Énfasis5 58 2 2" xfId="23875" xr:uid="{47FFBC76-0ECD-4C29-8693-D5391FB6842E}"/>
    <cellStyle name="40% - Énfasis5 58 3" xfId="22238" xr:uid="{E583499F-9737-4A65-BCBB-C693BF11CFDC}"/>
    <cellStyle name="40% - Énfasis5 58_1.2.b" xfId="15902" xr:uid="{EE1318F4-D0F9-4AE7-B5AB-72EB60547699}"/>
    <cellStyle name="40% - Énfasis5 59" xfId="13683" xr:uid="{7608C0C1-999B-40C3-AA98-A59C71F89243}"/>
    <cellStyle name="40% - Énfasis5 59 2" xfId="17634" xr:uid="{FF91CD0B-44D9-4B51-83B2-66156B005FB5}"/>
    <cellStyle name="40% - Énfasis5 59 2 2" xfId="23876" xr:uid="{843CF4F9-6A78-469F-8539-7979298434D0}"/>
    <cellStyle name="40% - Énfasis5 59 3" xfId="22239" xr:uid="{0E0283B9-78E7-4A00-9DBD-5F1CC9E55544}"/>
    <cellStyle name="40% - Énfasis5 59_1.2.b" xfId="15903" xr:uid="{0A86035B-A408-40B7-9AE3-83AD9DBADF6A}"/>
    <cellStyle name="40% - Énfasis5 6" xfId="212" xr:uid="{00000000-0005-0000-0000-000038010000}"/>
    <cellStyle name="40% - Énfasis5 6 2" xfId="10732" xr:uid="{00000000-0005-0000-0000-000039010000}"/>
    <cellStyle name="40% - Énfasis5 6 2 2" xfId="19824" xr:uid="{71884C50-7823-4D02-B2DD-7CE3C5179452}"/>
    <cellStyle name="40% - Énfasis5 6 3" xfId="13684" xr:uid="{91EC2B5A-EF42-4CCA-8A41-DE03A6C8375D}"/>
    <cellStyle name="40% - Énfasis5 6 3 2" xfId="22240" xr:uid="{5EFA919D-3736-45F4-AEDD-EE14050DE3D2}"/>
    <cellStyle name="40% - Énfasis5 6 4" xfId="17635" xr:uid="{BC8DC566-2304-4304-AA58-B8A6F1AD1F5A}"/>
    <cellStyle name="40% - Énfasis5 6 4 2" xfId="23877" xr:uid="{4140A4CD-1F5E-446E-A29B-BC33B55CC898}"/>
    <cellStyle name="40% - Énfasis5 6 5" xfId="18456" xr:uid="{D2B6772B-80FE-418F-B575-09E24E5E3DBE}"/>
    <cellStyle name="40% - Énfasis5 6_1.2.b" xfId="15904" xr:uid="{33033EC5-924C-42B3-8E4F-D06170C391FB}"/>
    <cellStyle name="40% - Énfasis5 60" xfId="13685" xr:uid="{BE7AC1E2-A117-43E3-B038-DE7FA0C4E27C}"/>
    <cellStyle name="40% - Énfasis5 60 2" xfId="17636" xr:uid="{760CA2AE-A100-4E98-8BA1-1711F937CB5E}"/>
    <cellStyle name="40% - Énfasis5 60 2 2" xfId="23878" xr:uid="{645F852A-305B-4CBD-866D-12AB614EE6E4}"/>
    <cellStyle name="40% - Énfasis5 60 3" xfId="22241" xr:uid="{DA0B7F70-D963-4850-873D-9C196FF9D478}"/>
    <cellStyle name="40% - Énfasis5 60_1.2.b" xfId="15905" xr:uid="{4DAC6AE3-36CC-400C-81BF-59B4FF52A74E}"/>
    <cellStyle name="40% - Énfasis5 61" xfId="13686" xr:uid="{3F4E4F6B-9A97-42FB-9C36-9EF74B2953E4}"/>
    <cellStyle name="40% - Énfasis5 61 2" xfId="17637" xr:uid="{7CB0EB82-DB00-42C3-9038-1BB2C7D6B1EF}"/>
    <cellStyle name="40% - Énfasis5 61 2 2" xfId="23879" xr:uid="{617F3D61-67F7-461A-ABB9-5E1840650B85}"/>
    <cellStyle name="40% - Énfasis5 61 3" xfId="22242" xr:uid="{948E8111-9456-4CC9-8D72-D0AC35C5BAAC}"/>
    <cellStyle name="40% - Énfasis5 61_1.2.b" xfId="15906" xr:uid="{B556370F-18C0-4EEA-ACC7-9BB819CF02A1}"/>
    <cellStyle name="40% - Énfasis5 62" xfId="13687" xr:uid="{BFD54177-8250-4742-8959-64BD9C6CE734}"/>
    <cellStyle name="40% - Énfasis5 62 2" xfId="17638" xr:uid="{0CC1B287-DBCC-425A-9A4E-925CFD2BF5F9}"/>
    <cellStyle name="40% - Énfasis5 62 2 2" xfId="23880" xr:uid="{DA5155E1-3AE3-43C6-9147-4F6D0A030E25}"/>
    <cellStyle name="40% - Énfasis5 62 3" xfId="22243" xr:uid="{58173844-23D8-4A31-A03F-AEFB0E0B8949}"/>
    <cellStyle name="40% - Énfasis5 62_1.2.b" xfId="15907" xr:uid="{A7400E97-429D-4E43-970C-B7166F5B2084}"/>
    <cellStyle name="40% - Énfasis5 63" xfId="13688" xr:uid="{D24DA325-EED8-4FDE-9298-57C6F5C4302F}"/>
    <cellStyle name="40% - Énfasis5 63 2" xfId="17639" xr:uid="{73BC981F-2365-4702-B9F3-3EA5EBCADBDF}"/>
    <cellStyle name="40% - Énfasis5 63 2 2" xfId="23881" xr:uid="{001311BD-CB53-4B1A-8A3A-B9BE05C46D67}"/>
    <cellStyle name="40% - Énfasis5 63 3" xfId="22244" xr:uid="{A68873C6-2589-4DB1-AA30-43799153A19B}"/>
    <cellStyle name="40% - Énfasis5 63_1.2.b" xfId="15908" xr:uid="{604F5433-6C21-473F-BB5E-89EBF4F8D4C6}"/>
    <cellStyle name="40% - Énfasis5 64" xfId="13689" xr:uid="{721C7D0C-DFC6-445E-9DAE-1C634A34A7E5}"/>
    <cellStyle name="40% - Énfasis5 64 2" xfId="17640" xr:uid="{4958166E-4B37-46F7-B82D-77819A242C02}"/>
    <cellStyle name="40% - Énfasis5 64 2 2" xfId="23882" xr:uid="{15F188FF-0F95-425E-8F86-B9C756E5F73E}"/>
    <cellStyle name="40% - Énfasis5 64 3" xfId="22245" xr:uid="{DCF1867F-F8C6-4C2A-8DEE-A822DF5650AE}"/>
    <cellStyle name="40% - Énfasis5 64_1.2.b" xfId="15909" xr:uid="{E55C2D96-5599-4B07-92B0-9E4C0E271BE7}"/>
    <cellStyle name="40% - Énfasis5 65" xfId="13690" xr:uid="{CB677AD5-3BFC-46C0-96A1-C70FADC810E5}"/>
    <cellStyle name="40% - Énfasis5 65 2" xfId="17641" xr:uid="{58C89CF2-D5D5-470B-8BA2-7941A66F3622}"/>
    <cellStyle name="40% - Énfasis5 65 2 2" xfId="23883" xr:uid="{7A0BB011-FF10-45B8-9CED-188DB5B1705F}"/>
    <cellStyle name="40% - Énfasis5 65 3" xfId="22246" xr:uid="{F9DA6501-8744-494D-B466-A41DE0D52BDD}"/>
    <cellStyle name="40% - Énfasis5 65_1.2.b" xfId="15910" xr:uid="{077735BF-1B12-4AB4-9B3D-C48679A7C630}"/>
    <cellStyle name="40% - Énfasis5 66" xfId="13691" xr:uid="{D69A5A54-2C85-455B-AB71-9160E2251345}"/>
    <cellStyle name="40% - Énfasis5 66 2" xfId="17642" xr:uid="{73C23984-DBC2-4292-9C10-A0609724F3BC}"/>
    <cellStyle name="40% - Énfasis5 66 2 2" xfId="23884" xr:uid="{D86B1E6C-72FC-4A4B-9A4A-4F4E1512F35E}"/>
    <cellStyle name="40% - Énfasis5 66 3" xfId="22247" xr:uid="{D9EF401C-8DD6-44C7-80D5-C36B6AC34D58}"/>
    <cellStyle name="40% - Énfasis5 66_1.2.b" xfId="15911" xr:uid="{FD95C680-C09D-4F26-95F7-D99D29ECB6E9}"/>
    <cellStyle name="40% - Énfasis5 67" xfId="13692" xr:uid="{CB1690EF-FEE5-48CC-8867-0BD57A60CF12}"/>
    <cellStyle name="40% - Énfasis5 67 2" xfId="17643" xr:uid="{881CA5D6-0D2A-41C8-BDA9-DB6B91381C80}"/>
    <cellStyle name="40% - Énfasis5 67 2 2" xfId="23885" xr:uid="{A153A6B4-B15B-4D54-8D04-4A63464F937F}"/>
    <cellStyle name="40% - Énfasis5 67 3" xfId="22248" xr:uid="{2271FDED-F1A1-4876-ADAF-8404C934E8E5}"/>
    <cellStyle name="40% - Énfasis5 67_1.2.b" xfId="15912" xr:uid="{E5EF172E-68D5-44C7-9E05-88D301848158}"/>
    <cellStyle name="40% - Énfasis5 68" xfId="13693" xr:uid="{EE5C5B7D-9DDC-4980-805C-9972D5A48F2F}"/>
    <cellStyle name="40% - Énfasis5 68 2" xfId="17644" xr:uid="{E3C7E83C-CBE7-44C1-87A3-6099A88E27B5}"/>
    <cellStyle name="40% - Énfasis5 68 2 2" xfId="23886" xr:uid="{38BE9BF2-5B7A-46D0-AB9A-6ED118E38D85}"/>
    <cellStyle name="40% - Énfasis5 68 3" xfId="22249" xr:uid="{83B8AC71-7312-4EF9-8D0D-81078D7F0E08}"/>
    <cellStyle name="40% - Énfasis5 68_1.2.b" xfId="15913" xr:uid="{49A43C90-982D-448E-945F-D4BFA4FEEE96}"/>
    <cellStyle name="40% - Énfasis5 69" xfId="13694" xr:uid="{9CE38F14-7D25-4FE7-842D-37BB3FC6C8DD}"/>
    <cellStyle name="40% - Énfasis5 69 2" xfId="17645" xr:uid="{9F3F7D9E-A19D-411B-950A-487DEEE19A21}"/>
    <cellStyle name="40% - Énfasis5 69 2 2" xfId="23887" xr:uid="{F8BDA283-B254-4454-B06F-76D6E30A8FD0}"/>
    <cellStyle name="40% - Énfasis5 69 3" xfId="22250" xr:uid="{16187C4A-F024-4994-8558-230490BCEA19}"/>
    <cellStyle name="40% - Énfasis5 69_1.2.b" xfId="15914" xr:uid="{422EC98E-22CA-410D-B3E5-7E6D128BCBDD}"/>
    <cellStyle name="40% - Énfasis5 7" xfId="9836" xr:uid="{00000000-0005-0000-0000-00003A010000}"/>
    <cellStyle name="40% - Énfasis5 7 2" xfId="11622" xr:uid="{00000000-0005-0000-0000-00003B010000}"/>
    <cellStyle name="40% - Énfasis5 7 2 2" xfId="20391" xr:uid="{AD40156C-6C13-4761-BC64-D7CDA7E32726}"/>
    <cellStyle name="40% - Énfasis5 7 3" xfId="13695" xr:uid="{E98CF241-6C13-41E6-9797-A58A7589D735}"/>
    <cellStyle name="40% - Énfasis5 7 3 2" xfId="22251" xr:uid="{189CFDC1-8523-4A5F-A96A-7B006483C641}"/>
    <cellStyle name="40% - Énfasis5 7 4" xfId="17646" xr:uid="{BD933830-51F1-4C18-B0C6-6A386FC92E60}"/>
    <cellStyle name="40% - Énfasis5 7 4 2" xfId="23888" xr:uid="{2E9348D0-8D8D-4BBF-9EF1-241F7CB5EFF3}"/>
    <cellStyle name="40% - Énfasis5 7 5" xfId="19023" xr:uid="{2614BFD5-1153-44FE-87D6-8E69D01F92AE}"/>
    <cellStyle name="40% - Énfasis5 7_1.2.b" xfId="15915" xr:uid="{1868A1EC-46E0-4BFC-A0B2-CC8D6E63A361}"/>
    <cellStyle name="40% - Énfasis5 70" xfId="13696" xr:uid="{CF73274D-6A13-4B4B-A3C5-EAF1731859D1}"/>
    <cellStyle name="40% - Énfasis5 70 2" xfId="17647" xr:uid="{507788D8-867E-49DA-8E62-350CDFA83D20}"/>
    <cellStyle name="40% - Énfasis5 70 2 2" xfId="23889" xr:uid="{416B21F0-9FEB-4639-B817-023A692842FE}"/>
    <cellStyle name="40% - Énfasis5 70 3" xfId="22252" xr:uid="{F78D6EA2-02DC-4780-83AE-17B3B632C7FB}"/>
    <cellStyle name="40% - Énfasis5 70_1.2.b" xfId="15916" xr:uid="{A6326CCD-9566-4357-A491-9AB1724351DB}"/>
    <cellStyle name="40% - Énfasis5 71" xfId="13697" xr:uid="{774507FB-7D50-4341-B96B-53D3E83A871A}"/>
    <cellStyle name="40% - Énfasis5 71 2" xfId="17648" xr:uid="{7F1E5F94-EAF3-4B7D-AA1F-9AAE5AF12ADB}"/>
    <cellStyle name="40% - Énfasis5 71 2 2" xfId="23890" xr:uid="{0931C876-06D1-46AB-9524-5CC787DF4FF6}"/>
    <cellStyle name="40% - Énfasis5 71 3" xfId="22253" xr:uid="{A749B850-CC49-4C80-9601-81EE7C8C7581}"/>
    <cellStyle name="40% - Énfasis5 71_1.2.b" xfId="15917" xr:uid="{ECEFC73C-436A-4F58-AC6C-70A437807B62}"/>
    <cellStyle name="40% - Énfasis5 72" xfId="13698" xr:uid="{6EDE72D8-C9AC-4FFC-9095-D72480BDFAE3}"/>
    <cellStyle name="40% - Énfasis5 72 2" xfId="17649" xr:uid="{DFB841F5-E97F-46AF-B1EE-E15F9DD47B39}"/>
    <cellStyle name="40% - Énfasis5 72 2 2" xfId="23891" xr:uid="{12B84279-426D-4658-8999-68F1D21A7033}"/>
    <cellStyle name="40% - Énfasis5 72 3" xfId="22254" xr:uid="{00940E5D-68E0-472C-B3CB-C8445030FD83}"/>
    <cellStyle name="40% - Énfasis5 72_1.2.b" xfId="15918" xr:uid="{B90F446A-E017-4B3C-AE68-80A8E94EE747}"/>
    <cellStyle name="40% - Énfasis5 73" xfId="13699" xr:uid="{CB493D1C-33D5-4353-B0AE-0968F5E1FA27}"/>
    <cellStyle name="40% - Énfasis5 73 2" xfId="17650" xr:uid="{7DACF430-9EB2-49F6-8FF1-9831CE14A827}"/>
    <cellStyle name="40% - Énfasis5 73 2 2" xfId="23892" xr:uid="{F464E46B-0416-4951-801B-4CD98C42C53A}"/>
    <cellStyle name="40% - Énfasis5 73 3" xfId="22255" xr:uid="{D5D0C129-60F3-4310-836A-24285E927412}"/>
    <cellStyle name="40% - Énfasis5 73_1.2.b" xfId="15919" xr:uid="{4DD4D470-2AAB-4E36-9E4A-FB5E59C7BBC3}"/>
    <cellStyle name="40% - Énfasis5 74" xfId="13700" xr:uid="{B4BE6554-9740-4B77-A3DD-9546547DE19F}"/>
    <cellStyle name="40% - Énfasis5 74 2" xfId="17651" xr:uid="{18ECF314-60C6-41DA-BFAC-B2A96B051417}"/>
    <cellStyle name="40% - Énfasis5 74 2 2" xfId="23893" xr:uid="{86406B16-AC5B-487A-9BCA-89FD575541BC}"/>
    <cellStyle name="40% - Énfasis5 74 3" xfId="22256" xr:uid="{4A6ABDF5-97B9-4A4B-93E7-151FD7E050FA}"/>
    <cellStyle name="40% - Énfasis5 74_1.2.b" xfId="15920" xr:uid="{37EF0192-93EB-4B01-8C4A-1B68DC785E3C}"/>
    <cellStyle name="40% - Énfasis5 75" xfId="13701" xr:uid="{276B2F54-BCCA-42B3-83B0-0587ABB10114}"/>
    <cellStyle name="40% - Énfasis5 75 2" xfId="17652" xr:uid="{CFA5D77A-BF41-4890-9653-16ACCFE56202}"/>
    <cellStyle name="40% - Énfasis5 75 2 2" xfId="23894" xr:uid="{15DAB092-561E-4716-B45D-C7F96AFDC071}"/>
    <cellStyle name="40% - Énfasis5 75 3" xfId="22257" xr:uid="{EA7BA0D4-3043-4431-902C-20C3D561C481}"/>
    <cellStyle name="40% - Énfasis5 75_1.2.b" xfId="15921" xr:uid="{98B53E08-0FD8-4A23-A451-52D0CA4ED8C1}"/>
    <cellStyle name="40% - Énfasis5 76" xfId="13702" xr:uid="{BD5579BB-DE52-44D2-9ADC-7D468603F418}"/>
    <cellStyle name="40% - Énfasis5 76 2" xfId="17653" xr:uid="{DFC34BD8-821B-499F-A2B6-CF1B6C18FFD9}"/>
    <cellStyle name="40% - Énfasis5 76 2 2" xfId="23895" xr:uid="{65456B8C-678E-44B9-AA71-E3E6393ECACC}"/>
    <cellStyle name="40% - Énfasis5 76 3" xfId="22258" xr:uid="{868C2A74-F6E6-49BF-A142-146A4F248B66}"/>
    <cellStyle name="40% - Énfasis5 76_1.2.b" xfId="15922" xr:uid="{0AC5707B-AE80-4ACA-B099-9D7629A26B65}"/>
    <cellStyle name="40% - Énfasis5 77" xfId="13703" xr:uid="{0619A0F6-C317-498B-B64A-194F2ED8F06E}"/>
    <cellStyle name="40% - Énfasis5 77 2" xfId="17654" xr:uid="{A243C434-208F-4679-A8D5-1EBEC6B280C9}"/>
    <cellStyle name="40% - Énfasis5 77 2 2" xfId="23896" xr:uid="{D440044B-6A9B-49CA-888E-352789D77EDD}"/>
    <cellStyle name="40% - Énfasis5 77 3" xfId="22259" xr:uid="{0ADD028A-50AC-4427-9807-F82DAEE3A4BC}"/>
    <cellStyle name="40% - Énfasis5 77_1.2.b" xfId="15923" xr:uid="{A0EF2BA6-9E6A-4ABA-A8A2-50D5DC28C09B}"/>
    <cellStyle name="40% - Énfasis5 78" xfId="13704" xr:uid="{234F4B65-DA54-48FB-BE90-A26C5A789B97}"/>
    <cellStyle name="40% - Énfasis5 78 2" xfId="17655" xr:uid="{100A20F8-8060-4D93-A5C6-D399E30AB883}"/>
    <cellStyle name="40% - Énfasis5 78 2 2" xfId="23897" xr:uid="{41984213-59C8-4D1D-9F8E-46D6AB61E1B8}"/>
    <cellStyle name="40% - Énfasis5 78 3" xfId="22260" xr:uid="{4D157120-F432-483D-B283-3C85A9B6774E}"/>
    <cellStyle name="40% - Énfasis5 78_1.2.b" xfId="15924" xr:uid="{627B12B1-401F-41BD-BC07-61EF6EA46D0E}"/>
    <cellStyle name="40% - Énfasis5 79" xfId="13705" xr:uid="{985B23D0-4951-4C7F-9162-E5E555E27F63}"/>
    <cellStyle name="40% - Énfasis5 79 2" xfId="17656" xr:uid="{521075E7-A8A2-46AF-9E69-B8104DE77472}"/>
    <cellStyle name="40% - Énfasis5 79 2 2" xfId="23898" xr:uid="{CB9F7034-C05E-4B48-AE13-BEE83F4380E9}"/>
    <cellStyle name="40% - Énfasis5 79 3" xfId="22261" xr:uid="{A1B98CB5-2C5C-4321-8C7D-008CD6F8DDE4}"/>
    <cellStyle name="40% - Énfasis5 79_1.2.b" xfId="15925" xr:uid="{36174F15-6937-42B4-944D-485B29293F39}"/>
    <cellStyle name="40% - Énfasis5 8" xfId="9855" xr:uid="{00000000-0005-0000-0000-00003C010000}"/>
    <cellStyle name="40% - Énfasis5 8 2" xfId="11640" xr:uid="{00000000-0005-0000-0000-00003D010000}"/>
    <cellStyle name="40% - Énfasis5 8 2 2" xfId="20407" xr:uid="{8FC191DF-422D-4C3F-A718-61E55934A309}"/>
    <cellStyle name="40% - Énfasis5 8 3" xfId="13706" xr:uid="{68744C3D-AFC9-4D5C-B5FF-0B561A6213D3}"/>
    <cellStyle name="40% - Énfasis5 8 3 2" xfId="22262" xr:uid="{584F1579-186B-4EA0-996B-29DBFF1543E9}"/>
    <cellStyle name="40% - Énfasis5 8 4" xfId="17657" xr:uid="{1B84D585-59D0-487A-9B01-EC3040D4B73B}"/>
    <cellStyle name="40% - Énfasis5 8 4 2" xfId="23899" xr:uid="{5C1DFC08-BBAC-4F23-A72E-025FC0FCC0CE}"/>
    <cellStyle name="40% - Énfasis5 8 5" xfId="19039" xr:uid="{1D106D10-BA40-476F-9D2F-35B9B91A3991}"/>
    <cellStyle name="40% - Énfasis5 8_1.2.b" xfId="15926" xr:uid="{679001C7-C482-43F9-B1ED-BBE18B830C5D}"/>
    <cellStyle name="40% - Énfasis5 80" xfId="13707" xr:uid="{DCBDF751-3B3A-440B-AA0A-39F310238950}"/>
    <cellStyle name="40% - Énfasis5 80 2" xfId="17658" xr:uid="{E3A53D76-25DE-406C-8761-7C76DDB2FE83}"/>
    <cellStyle name="40% - Énfasis5 80 2 2" xfId="23900" xr:uid="{1187B4B7-B735-4CEF-902B-C952B07E5605}"/>
    <cellStyle name="40% - Énfasis5 80 3" xfId="22263" xr:uid="{07E43B49-B980-47CC-B9BA-2E01C87782AB}"/>
    <cellStyle name="40% - Énfasis5 80_1.2.b" xfId="15927" xr:uid="{A23A8A77-3927-4817-91E4-663D11E26122}"/>
    <cellStyle name="40% - Énfasis5 81" xfId="13708" xr:uid="{0A2B4E09-7966-440A-8DB7-624D6112F830}"/>
    <cellStyle name="40% - Énfasis5 81 2" xfId="17659" xr:uid="{DD2DDCCB-42FC-4FC1-B8B2-88B012DCD1E5}"/>
    <cellStyle name="40% - Énfasis5 81 2 2" xfId="23901" xr:uid="{EE166CD6-D44D-4069-8B3B-838E2730CB3D}"/>
    <cellStyle name="40% - Énfasis5 81 3" xfId="22264" xr:uid="{A14B9341-F009-4DA9-80C5-4A5DBB117D79}"/>
    <cellStyle name="40% - Énfasis5 81_1.2.b" xfId="15928" xr:uid="{DCB12871-3625-4630-94A3-2734F6A5F156}"/>
    <cellStyle name="40% - Énfasis5 82" xfId="13709" xr:uid="{6828A923-AC19-4258-9535-5A22997686E8}"/>
    <cellStyle name="40% - Énfasis5 82 2" xfId="17660" xr:uid="{ABB4E226-6C18-4483-BF3F-F82B3C0F5781}"/>
    <cellStyle name="40% - Énfasis5 82 2 2" xfId="23902" xr:uid="{E99870A6-BF34-4225-879F-F66CFB9AF596}"/>
    <cellStyle name="40% - Énfasis5 82 3" xfId="22265" xr:uid="{2DE95BCD-F639-4C95-A221-B3237372B3A9}"/>
    <cellStyle name="40% - Énfasis5 82_1.2.b" xfId="15929" xr:uid="{38D75E99-0D81-4883-9D54-8B88871787CF}"/>
    <cellStyle name="40% - Énfasis5 83" xfId="13710" xr:uid="{55D8A4C0-B7D0-4E30-8362-3313D6D66C51}"/>
    <cellStyle name="40% - Énfasis5 83 2" xfId="17661" xr:uid="{7BB87670-C5C5-479C-8EC5-026828CB3873}"/>
    <cellStyle name="40% - Énfasis5 83 2 2" xfId="23903" xr:uid="{1AD67120-6222-403C-9D5C-64584EB9F613}"/>
    <cellStyle name="40% - Énfasis5 83 3" xfId="22266" xr:uid="{B61D9F40-78CC-41FB-8ECD-2496821CA84D}"/>
    <cellStyle name="40% - Énfasis5 83_1.2.b" xfId="15930" xr:uid="{7D5303A0-1500-4BD2-AFB8-397F8C8494BE}"/>
    <cellStyle name="40% - Énfasis5 84" xfId="13711" xr:uid="{D5ADE73D-DC13-4447-A6F7-00472FB5C6C1}"/>
    <cellStyle name="40% - Énfasis5 84 2" xfId="17662" xr:uid="{188EE70D-1984-4ED1-AAAC-4FC47BAE0355}"/>
    <cellStyle name="40% - Énfasis5 84 2 2" xfId="23904" xr:uid="{FBBE0579-4EAF-4048-B0BF-AB60AFA32C80}"/>
    <cellStyle name="40% - Énfasis5 84 3" xfId="22267" xr:uid="{4B7BB5FB-64CE-406F-9B3D-675415129095}"/>
    <cellStyle name="40% - Énfasis5 84_1.2.b" xfId="15931" xr:uid="{ABFCE9D9-87B5-4E67-AD85-9BB97A050E5C}"/>
    <cellStyle name="40% - Énfasis5 85" xfId="13712" xr:uid="{57AE8EB1-8C41-4555-853C-1F8DABF9BE65}"/>
    <cellStyle name="40% - Énfasis5 85 2" xfId="17663" xr:uid="{EA1F41BE-2CF4-4233-A3C8-AC4B62AD337E}"/>
    <cellStyle name="40% - Énfasis5 85 2 2" xfId="23905" xr:uid="{F8EE7EBC-026F-439A-9DD8-A850C733E3D5}"/>
    <cellStyle name="40% - Énfasis5 85 3" xfId="22268" xr:uid="{1B19C70D-84C9-43F5-B0F3-C74F72B33FA7}"/>
    <cellStyle name="40% - Énfasis5 85_1.2.b" xfId="15932" xr:uid="{7E0AB540-B3F3-467D-AC73-D0DF2679F3A7}"/>
    <cellStyle name="40% - Énfasis5 86" xfId="13713" xr:uid="{083AF828-3AE0-4AED-9015-DA7286F47896}"/>
    <cellStyle name="40% - Énfasis5 86 2" xfId="17664" xr:uid="{2F552EC2-ED41-47A0-975C-4BC975F44233}"/>
    <cellStyle name="40% - Énfasis5 86 2 2" xfId="23906" xr:uid="{7347ACF5-4E6A-4E78-B875-EA4636AE8740}"/>
    <cellStyle name="40% - Énfasis5 86 3" xfId="22269" xr:uid="{D39561B2-F8C9-4A51-BC79-9AC992C7FD89}"/>
    <cellStyle name="40% - Énfasis5 86_1.2.b" xfId="15933" xr:uid="{058FF80E-64F4-4D55-878E-232ABF72516C}"/>
    <cellStyle name="40% - Énfasis5 87" xfId="13714" xr:uid="{175C5B8E-FDDC-4FE6-B0F8-4366E443D683}"/>
    <cellStyle name="40% - Énfasis5 87 2" xfId="17665" xr:uid="{C85EB99D-4210-4C4B-907F-422CA0A3AAD1}"/>
    <cellStyle name="40% - Énfasis5 87 2 2" xfId="23907" xr:uid="{DC452645-BB6F-44C8-8EDF-5BFA54945B27}"/>
    <cellStyle name="40% - Énfasis5 87 3" xfId="22270" xr:uid="{95B737B1-1D81-49CF-AE75-BA8E68482B83}"/>
    <cellStyle name="40% - Énfasis5 87_1.2.b" xfId="15934" xr:uid="{21B22DA7-80ED-4784-9B5E-64612B80C3BC}"/>
    <cellStyle name="40% - Énfasis5 88" xfId="13715" xr:uid="{F95FD4BA-D44B-4762-B155-844177DEA5D2}"/>
    <cellStyle name="40% - Énfasis5 88 2" xfId="17666" xr:uid="{204C902F-88BE-462C-830A-735AEE59410B}"/>
    <cellStyle name="40% - Énfasis5 88 2 2" xfId="23908" xr:uid="{98175EDF-D409-4225-9E5F-3BDAD8213D0C}"/>
    <cellStyle name="40% - Énfasis5 88 3" xfId="22271" xr:uid="{9F002CE1-188C-41A5-B2D4-444D3AE8BE05}"/>
    <cellStyle name="40% - Énfasis5 88_1.2.b" xfId="15935" xr:uid="{315FD220-A694-4003-9B66-D4541B9BA4C1}"/>
    <cellStyle name="40% - Énfasis5 89" xfId="13716" xr:uid="{FDBBB389-63B5-45E8-AB3D-6CB02920AC84}"/>
    <cellStyle name="40% - Énfasis5 89 2" xfId="17667" xr:uid="{33D24FEC-5E5E-44F8-9F2F-34A0F92CC16F}"/>
    <cellStyle name="40% - Énfasis5 89 2 2" xfId="23909" xr:uid="{153376C2-06B4-44CB-85AF-2D3F77E8B7C1}"/>
    <cellStyle name="40% - Énfasis5 89 3" xfId="22272" xr:uid="{4A0F1758-B7FC-49F9-A8DF-50983FB43FE7}"/>
    <cellStyle name="40% - Énfasis5 89_1.2.b" xfId="15936" xr:uid="{E6528690-E2B9-4996-A672-F1E114AE2340}"/>
    <cellStyle name="40% - Énfasis5 9" xfId="9875" xr:uid="{00000000-0005-0000-0000-00003E010000}"/>
    <cellStyle name="40% - Énfasis5 9 2" xfId="13717" xr:uid="{D74C5CB9-2FF2-45A4-B5EA-724AE4E603B8}"/>
    <cellStyle name="40% - Énfasis5 9 2 2" xfId="22273" xr:uid="{D204D473-E168-4ED6-A97B-93DFF27AE4CF}"/>
    <cellStyle name="40% - Énfasis5 9 3" xfId="17668" xr:uid="{F7C531CC-2811-4BBB-B0C4-A0BEF26DCED7}"/>
    <cellStyle name="40% - Énfasis5 9 3 2" xfId="23910" xr:uid="{5D67A13C-2EC8-4EC9-AE75-16F27BD03198}"/>
    <cellStyle name="40% - Énfasis5 90" xfId="13718" xr:uid="{99CC7CB8-DEE2-4F9E-A8D4-B30CAC14D7A3}"/>
    <cellStyle name="40% - Énfasis5 90 2" xfId="17669" xr:uid="{61CD952E-E1E7-44C0-99F1-1D835DDF4E05}"/>
    <cellStyle name="40% - Énfasis5 90 2 2" xfId="23911" xr:uid="{595E99EB-5FB1-455B-9B9B-EE41268A6197}"/>
    <cellStyle name="40% - Énfasis5 90 3" xfId="22274" xr:uid="{BEE4FF70-4E72-4519-8264-F754A2FA2489}"/>
    <cellStyle name="40% - Énfasis5 90_1.2.b" xfId="15937" xr:uid="{D97AA82A-1991-4D2E-BC0C-633E06995B03}"/>
    <cellStyle name="40% - Énfasis5 91" xfId="13719" xr:uid="{29C12852-A24B-423A-8F8F-94DD1BF053A3}"/>
    <cellStyle name="40% - Énfasis5 91 2" xfId="17670" xr:uid="{C9474CC3-9633-43DA-904C-96A5B08419BF}"/>
    <cellStyle name="40% - Énfasis5 91 2 2" xfId="23912" xr:uid="{D796EA67-A2C0-430A-818B-BC7CFE8B9F42}"/>
    <cellStyle name="40% - Énfasis5 91 3" xfId="22275" xr:uid="{9DF9EA65-4432-4861-A0ED-C176941CB03D}"/>
    <cellStyle name="40% - Énfasis5 91_1.2.b" xfId="15938" xr:uid="{CEB96C0C-9067-4C60-94EE-62AB9CE227EE}"/>
    <cellStyle name="40% - Énfasis5 92" xfId="13720" xr:uid="{425D20E9-54FF-435B-B433-6C68E91F709B}"/>
    <cellStyle name="40% - Énfasis5 92 2" xfId="17671" xr:uid="{8D8828D2-5A41-4A9B-969F-38E42AC7149A}"/>
    <cellStyle name="40% - Énfasis5 92 2 2" xfId="23913" xr:uid="{295B4F1E-CFC2-4AF1-B49B-BB60DAAE4BCC}"/>
    <cellStyle name="40% - Énfasis5 92 3" xfId="22276" xr:uid="{5BC1B688-73AA-4574-8721-1B95F35DC70F}"/>
    <cellStyle name="40% - Énfasis5 92_1.2.b" xfId="15939" xr:uid="{ABFD4FC5-45A0-42EA-BECA-61CDA622ED5A}"/>
    <cellStyle name="40% - Énfasis5 93" xfId="13721" xr:uid="{63C4672A-CE72-41B4-8534-606AE4AF1899}"/>
    <cellStyle name="40% - Énfasis5 93 2" xfId="17672" xr:uid="{A60448B4-75D5-48B4-8CCC-72C35A16F6C0}"/>
    <cellStyle name="40% - Énfasis5 93 2 2" xfId="23914" xr:uid="{01E0FA32-B9D5-4934-B7E7-917048CA2126}"/>
    <cellStyle name="40% - Énfasis5 93 3" xfId="22277" xr:uid="{42CE154D-90BF-47D1-8C5F-5650B8D809AB}"/>
    <cellStyle name="40% - Énfasis5 93_1.2.b" xfId="15940" xr:uid="{2A747E36-31EE-4FCD-937B-01310A52B404}"/>
    <cellStyle name="40% - Énfasis5 94" xfId="13722" xr:uid="{67BC2953-1C23-4E62-B12C-157D3A403220}"/>
    <cellStyle name="40% - Énfasis5 94 2" xfId="17673" xr:uid="{F84FE544-2EE6-4D3D-88FC-4EA5217A31F3}"/>
    <cellStyle name="40% - Énfasis5 94 2 2" xfId="23915" xr:uid="{08104ED5-066D-4114-AB04-3939A4E81737}"/>
    <cellStyle name="40% - Énfasis5 94 3" xfId="22278" xr:uid="{3CF52588-1307-4420-B412-B88B7D1D728A}"/>
    <cellStyle name="40% - Énfasis5 94_1.2.b" xfId="15941" xr:uid="{A2810BE6-A493-4EDC-86CB-B6CC4E394429}"/>
    <cellStyle name="40% - Énfasis5 95" xfId="13723" xr:uid="{96281437-67FE-4C9E-9D06-FEA82A28C468}"/>
    <cellStyle name="40% - Énfasis5 95 2" xfId="17674" xr:uid="{921E4067-31EC-43D5-8A4C-2FB6C13C1E6C}"/>
    <cellStyle name="40% - Énfasis5 95 2 2" xfId="23916" xr:uid="{EB0A4E0A-4B84-48C6-B951-2E2A70B9C76C}"/>
    <cellStyle name="40% - Énfasis5 95 3" xfId="22279" xr:uid="{89C66A42-5FD6-48CF-B429-C3304523FCEE}"/>
    <cellStyle name="40% - Énfasis5 95_1.2.b" xfId="15942" xr:uid="{49BD513A-10E2-49F9-A4C7-0521B7D5BCC8}"/>
    <cellStyle name="40% - Énfasis5 96" xfId="13724" xr:uid="{408BBC81-F762-41CB-B386-6141720DC5EF}"/>
    <cellStyle name="40% - Énfasis5 96 2" xfId="17675" xr:uid="{FAD05FA3-16D4-49E5-8148-893C48036865}"/>
    <cellStyle name="40% - Énfasis5 96 2 2" xfId="23917" xr:uid="{6EA061EE-ABBE-4168-A5B2-C4D320C4925F}"/>
    <cellStyle name="40% - Énfasis5 96 3" xfId="22280" xr:uid="{33FE26D1-E54F-48E0-B955-BF60ED5043D1}"/>
    <cellStyle name="40% - Énfasis5 96_1.2.b" xfId="15943" xr:uid="{DE058A98-6A78-4486-8499-C07E8B19E5D1}"/>
    <cellStyle name="40% - Énfasis6 10" xfId="9927" xr:uid="{00000000-0005-0000-0000-000040010000}"/>
    <cellStyle name="40% - Énfasis6 10 2" xfId="11664" xr:uid="{00000000-0005-0000-0000-000041010000}"/>
    <cellStyle name="40% - Énfasis6 10 2 2" xfId="20430" xr:uid="{85907C4A-583B-46C2-8EFB-B4EBCFF0D1A2}"/>
    <cellStyle name="40% - Énfasis6 10 3" xfId="13725" xr:uid="{3570A2D9-0851-4B8E-A480-39BDDC43BA5E}"/>
    <cellStyle name="40% - Énfasis6 10 3 2" xfId="22281" xr:uid="{9B80837F-39A7-4505-8848-2AEB25DBC281}"/>
    <cellStyle name="40% - Énfasis6 10 4" xfId="17676" xr:uid="{FF15F575-C90A-40DE-9C4D-BDD87A87272B}"/>
    <cellStyle name="40% - Énfasis6 10 4 2" xfId="23918" xr:uid="{129CE181-55D4-4F6B-8FE8-BAC9410E8CEC}"/>
    <cellStyle name="40% - Énfasis6 10 5" xfId="19067" xr:uid="{9044274B-AE46-40E2-A517-224FDC6BC4BC}"/>
    <cellStyle name="40% - Énfasis6 10_1.2.b" xfId="15944" xr:uid="{4C124BE0-159A-4803-8CDC-ECEACD60874E}"/>
    <cellStyle name="40% - Énfasis6 11" xfId="10527" xr:uid="{00000000-0005-0000-0000-000042010000}"/>
    <cellStyle name="40% - Énfasis6 11 2" xfId="12262" xr:uid="{00000000-0005-0000-0000-000043010000}"/>
    <cellStyle name="40% - Énfasis6 11 2 2" xfId="21011" xr:uid="{6E86B71F-7B43-4394-9D40-49B0EDC0C7BF}"/>
    <cellStyle name="40% - Énfasis6 11 3" xfId="13726" xr:uid="{D61EC75F-CDFB-4DD4-9F1F-D5B490E345E2}"/>
    <cellStyle name="40% - Énfasis6 11 3 2" xfId="22282" xr:uid="{35A33F82-C0DB-4B57-B1C1-44CDC65B5D2E}"/>
    <cellStyle name="40% - Énfasis6 11 4" xfId="17677" xr:uid="{1AC335AF-68E9-4F15-A0A0-C4E1A42E0CB0}"/>
    <cellStyle name="40% - Énfasis6 11 4 2" xfId="23919" xr:uid="{E314F42A-2A1C-4ED9-9340-65FFD0F774FC}"/>
    <cellStyle name="40% - Énfasis6 11 5" xfId="19648" xr:uid="{85032BC8-4F59-4729-A208-AAAA9D961482}"/>
    <cellStyle name="40% - Énfasis6 11_1.2.b" xfId="15945" xr:uid="{381F93F9-A33E-4DE4-8DAA-7EA21967B3BA}"/>
    <cellStyle name="40% - Énfasis6 12" xfId="10542" xr:uid="{00000000-0005-0000-0000-000044010000}"/>
    <cellStyle name="40% - Énfasis6 12 2" xfId="12277" xr:uid="{00000000-0005-0000-0000-000045010000}"/>
    <cellStyle name="40% - Énfasis6 12 2 2" xfId="21026" xr:uid="{2CD221B2-C3C1-4D6A-9304-737F2BEE6AD0}"/>
    <cellStyle name="40% - Énfasis6 12 3" xfId="13727" xr:uid="{AB3595C2-20E6-4ED9-B88D-01FA6CB853C1}"/>
    <cellStyle name="40% - Énfasis6 12 3 2" xfId="22283" xr:uid="{8542AB6E-0BAD-494B-9E13-F3AB87E90B76}"/>
    <cellStyle name="40% - Énfasis6 12 4" xfId="17678" xr:uid="{576995AA-EF78-429B-B065-992EB900D89D}"/>
    <cellStyle name="40% - Énfasis6 12 4 2" xfId="23920" xr:uid="{4C2D4BC1-0FA5-4FB4-A191-CE3755277184}"/>
    <cellStyle name="40% - Énfasis6 12 5" xfId="19663" xr:uid="{0053FD62-89AC-46FC-8C13-930D77104707}"/>
    <cellStyle name="40% - Énfasis6 12_1.2.b" xfId="15946" xr:uid="{BF259D5F-C352-4E0B-A6EF-FC001251F053}"/>
    <cellStyle name="40% - Énfasis6 13" xfId="10589" xr:uid="{00000000-0005-0000-0000-000046010000}"/>
    <cellStyle name="40% - Énfasis6 13 2" xfId="12322" xr:uid="{00000000-0005-0000-0000-000047010000}"/>
    <cellStyle name="40% - Énfasis6 13 2 2" xfId="21068" xr:uid="{542D3812-1491-4768-88E8-8A97C4F27151}"/>
    <cellStyle name="40% - Énfasis6 13 3" xfId="13728" xr:uid="{D1EB3981-3A85-4DDD-BF82-02DFB9397BB9}"/>
    <cellStyle name="40% - Énfasis6 13 3 2" xfId="22284" xr:uid="{2AD7F96C-5491-4CA3-839E-0B43D29052D1}"/>
    <cellStyle name="40% - Énfasis6 13 4" xfId="17679" xr:uid="{99D2256B-A219-4739-8474-1F1D201A5BDE}"/>
    <cellStyle name="40% - Énfasis6 13 4 2" xfId="23921" xr:uid="{F9ECA8EA-0D82-47B3-BD04-9669870F28EA}"/>
    <cellStyle name="40% - Énfasis6 13 5" xfId="19705" xr:uid="{C0CBF0A9-0284-4035-8A9D-34A2D245C9CD}"/>
    <cellStyle name="40% - Énfasis6 13_1.2.b" xfId="15947" xr:uid="{72F162B9-1760-410D-A549-36B4C125B3FE}"/>
    <cellStyle name="40% - Énfasis6 14" xfId="10609" xr:uid="{00000000-0005-0000-0000-000048010000}"/>
    <cellStyle name="40% - Énfasis6 14 2" xfId="12338" xr:uid="{00000000-0005-0000-0000-000049010000}"/>
    <cellStyle name="40% - Énfasis6 14 2 2" xfId="21084" xr:uid="{6BC6D924-DACF-4628-B2F4-EACF16783165}"/>
    <cellStyle name="40% - Énfasis6 14 3" xfId="13729" xr:uid="{F3ACF4AF-9930-4D6E-B43B-C063862D32D4}"/>
    <cellStyle name="40% - Énfasis6 14 3 2" xfId="22285" xr:uid="{82A3E8E9-B884-4310-81EF-157DA399C758}"/>
    <cellStyle name="40% - Énfasis6 14 4" xfId="17680" xr:uid="{E572B39A-0DFF-443B-B6D9-2FE8A726A8E6}"/>
    <cellStyle name="40% - Énfasis6 14 4 2" xfId="23922" xr:uid="{DD323629-DF61-4664-9F86-CC47626E6406}"/>
    <cellStyle name="40% - Énfasis6 14 5" xfId="19721" xr:uid="{1A242F59-568A-43F4-AC37-47C97B0275FD}"/>
    <cellStyle name="40% - Énfasis6 14_1.2.b" xfId="15948" xr:uid="{673CFDCF-7B34-42DB-8C96-BF5E7CEDEE3E}"/>
    <cellStyle name="40% - Énfasis6 15" xfId="10630" xr:uid="{00000000-0005-0000-0000-00004A010000}"/>
    <cellStyle name="40% - Énfasis6 15 2" xfId="13730" xr:uid="{8730BEF0-595C-4DF0-9B4B-4751CEB8A052}"/>
    <cellStyle name="40% - Énfasis6 15 2 2" xfId="22286" xr:uid="{E72E6B20-0373-404E-9C77-5CB5556CAB19}"/>
    <cellStyle name="40% - Énfasis6 15 3" xfId="17681" xr:uid="{A479B6C2-D3BA-4A1B-B061-FA3D7DC590B5}"/>
    <cellStyle name="40% - Énfasis6 15 3 2" xfId="23923" xr:uid="{459A3820-CF8D-4CCD-B85F-9272D19F11C9}"/>
    <cellStyle name="40% - Énfasis6 15 4" xfId="19738" xr:uid="{43BDA0C5-E6DD-4D76-84B1-607CD11EF339}"/>
    <cellStyle name="40% - Énfasis6 15_1.2.b" xfId="15949" xr:uid="{379CD7EE-5957-4861-BF02-94BD1CC1336E}"/>
    <cellStyle name="40% - Énfasis6 16" xfId="12371" xr:uid="{00000000-0005-0000-0000-00004B010000}"/>
    <cellStyle name="40% - Énfasis6 16 2" xfId="13731" xr:uid="{894787FB-8ADC-454A-A2EF-EA33742B4F18}"/>
    <cellStyle name="40% - Énfasis6 16 2 2" xfId="22287" xr:uid="{7ADBA7CB-F8B0-490F-BC21-4485F051A28A}"/>
    <cellStyle name="40% - Énfasis6 16 3" xfId="17682" xr:uid="{0EA62194-A607-4B7E-959D-8A5CA40B3318}"/>
    <cellStyle name="40% - Énfasis6 16 3 2" xfId="23924" xr:uid="{0DE29AD2-0824-4FD8-A06B-686940B10118}"/>
    <cellStyle name="40% - Énfasis6 16 4" xfId="21114" xr:uid="{6ABBB73C-97A8-4D2E-80DB-7E56CA4F316B}"/>
    <cellStyle name="40% - Énfasis6 16_1.2.b" xfId="15950" xr:uid="{25292230-5B43-4E97-8E17-C4D65FE6C668}"/>
    <cellStyle name="40% - Énfasis6 17" xfId="12386" xr:uid="{00000000-0005-0000-0000-00004C010000}"/>
    <cellStyle name="40% - Énfasis6 17 2" xfId="13732" xr:uid="{A32A66F7-233D-4895-949D-3156EF910875}"/>
    <cellStyle name="40% - Énfasis6 17 2 2" xfId="22288" xr:uid="{AB75891E-BBB2-4182-A271-C5C2F7BD0F33}"/>
    <cellStyle name="40% - Énfasis6 17 3" xfId="17683" xr:uid="{A64F84C6-46AB-4D61-86BA-8D4FAF2F7E4D}"/>
    <cellStyle name="40% - Énfasis6 17 3 2" xfId="23925" xr:uid="{23A7BDEF-FACC-48EE-99BD-A6A31E64DF01}"/>
    <cellStyle name="40% - Énfasis6 17 4" xfId="21129" xr:uid="{57874CE7-3BB0-4456-9CBC-B46387DBEF4B}"/>
    <cellStyle name="40% - Énfasis6 17_1.2.b" xfId="15951" xr:uid="{D20FD8BB-DC6F-4204-9E72-5F323FF901C9}"/>
    <cellStyle name="40% - Énfasis6 18" xfId="13733" xr:uid="{E140D75E-634B-41A9-B933-0CE8EA3EF837}"/>
    <cellStyle name="40% - Énfasis6 18 2" xfId="17684" xr:uid="{68B41574-8DB1-45FC-B9FF-459262359AFE}"/>
    <cellStyle name="40% - Énfasis6 18 2 2" xfId="23926" xr:uid="{412F26AA-89EB-4E2E-919C-35F4DF6DA45A}"/>
    <cellStyle name="40% - Énfasis6 18 3" xfId="22289" xr:uid="{EC5F5F4A-6F6E-4098-B500-58B6254B73A6}"/>
    <cellStyle name="40% - Énfasis6 18_1.2.b" xfId="15952" xr:uid="{2B4003F8-1BEA-4EEF-A9D0-FE6E96E8E0DD}"/>
    <cellStyle name="40% - Énfasis6 19" xfId="13734" xr:uid="{54449E45-6B12-4977-B312-3BD7F307C5A1}"/>
    <cellStyle name="40% - Énfasis6 19 2" xfId="17685" xr:uid="{A2192B4F-5BB8-4DFA-8D6F-C187A074CBD8}"/>
    <cellStyle name="40% - Énfasis6 19 2 2" xfId="23927" xr:uid="{A262FC6F-7144-4932-8FFB-F998CFE0095C}"/>
    <cellStyle name="40% - Énfasis6 19 3" xfId="22290" xr:uid="{7DC6B8F8-FE9E-4608-93DB-0B653B09DE31}"/>
    <cellStyle name="40% - Énfasis6 19_1.2.b" xfId="15953" xr:uid="{668D8C02-5D30-4899-A26F-7CBDFF5B8920}"/>
    <cellStyle name="40% - Énfasis6 2" xfId="157" xr:uid="{00000000-0005-0000-0000-00004D010000}"/>
    <cellStyle name="40% - Énfasis6 2 10" xfId="13736" xr:uid="{08F33C7B-302A-4249-B922-E7ED51633427}"/>
    <cellStyle name="40% - Énfasis6 2 10 2" xfId="17687" xr:uid="{33D480B7-83A3-44E3-884A-5BA7965314D1}"/>
    <cellStyle name="40% - Énfasis6 2 10 2 2" xfId="23928" xr:uid="{12B659CC-7F8E-4619-A8C8-A98F7C1C4F2C}"/>
    <cellStyle name="40% - Énfasis6 2 10 3" xfId="22291" xr:uid="{91ECFA03-6DFB-4EF5-99CB-4C7F3A7CFB24}"/>
    <cellStyle name="40% - Énfasis6 2 10_1.2.b" xfId="15955" xr:uid="{C614A6EC-17A7-4347-B1D8-D97E76110028}"/>
    <cellStyle name="40% - Énfasis6 2 11" xfId="13735" xr:uid="{3FBC9472-5DCB-4609-91F2-49660A815189}"/>
    <cellStyle name="40% - Énfasis6 2 12" xfId="17686" xr:uid="{A4E44B5F-7C9C-467A-A3FF-A06542E7C11F}"/>
    <cellStyle name="40% - Énfasis6 2 13" xfId="18183" xr:uid="{F9F94DA6-3EE8-4269-917D-F43E2EE26EFF}"/>
    <cellStyle name="40% - Énfasis6 2 14" xfId="18166" xr:uid="{22AB3630-7783-4257-876C-DDE5DEE9ECAD}"/>
    <cellStyle name="40% - Énfasis6 2 15" xfId="18184" xr:uid="{C56FB165-34B3-42C1-AC8E-E0D05718A7C3}"/>
    <cellStyle name="40% - Énfasis6 2 16" xfId="18169" xr:uid="{1E7E095B-EFD5-40CE-B9A3-0C3EF8EE6990}"/>
    <cellStyle name="40% - Énfasis6 2 17" xfId="18401" xr:uid="{D7CAAF7D-472E-4205-9BE3-D0072C3AAA15}"/>
    <cellStyle name="40% - Énfasis6 2 2" xfId="10677" xr:uid="{00000000-0005-0000-0000-00004E010000}"/>
    <cellStyle name="40% - Énfasis6 2 2 2" xfId="13738" xr:uid="{CB5C37A7-F0C3-4984-BA8E-5D4B6AD7A275}"/>
    <cellStyle name="40% - Énfasis6 2 2 3" xfId="13739" xr:uid="{11B0239E-DC33-422B-A89D-3EB94DCC55D2}"/>
    <cellStyle name="40% - Énfasis6 2 2 4" xfId="13740" xr:uid="{D1C30AE7-5219-4453-AB20-A26075BFFCF4}"/>
    <cellStyle name="40% - Énfasis6 2 2 5" xfId="13741" xr:uid="{37583546-D1B8-48B5-BDCB-088158EE64C1}"/>
    <cellStyle name="40% - Énfasis6 2 2 6" xfId="13737" xr:uid="{81102EF5-50D0-4768-B3A9-2CDEC458EF7C}"/>
    <cellStyle name="40% - Énfasis6 2 2 6 2" xfId="22292" xr:uid="{473E614C-3D7A-4D20-A2EB-78876F6DE798}"/>
    <cellStyle name="40% - Énfasis6 2 2 7" xfId="17688" xr:uid="{5F11ED46-8E01-4D25-B2F0-F750F488C1DF}"/>
    <cellStyle name="40% - Énfasis6 2 2 7 2" xfId="23929" xr:uid="{AD4C06C8-37AA-4AAF-B7E6-E4E3D744DC2B}"/>
    <cellStyle name="40% - Énfasis6 2 2 8" xfId="19769" xr:uid="{7BCB27A2-663A-4035-BCC2-F99A83902C5E}"/>
    <cellStyle name="40% - Énfasis6 2 2_1.2.b" xfId="15956" xr:uid="{5C2E85D0-C9D7-4DE7-B9F9-283836652CD2}"/>
    <cellStyle name="40% - Énfasis6 2 3" xfId="13742" xr:uid="{D1505511-192C-44A0-9141-0F38B5DAEEF3}"/>
    <cellStyle name="40% - Énfasis6 2 4" xfId="13743" xr:uid="{7AA7D5B0-F278-43A3-BE16-D5C7EC00E225}"/>
    <cellStyle name="40% - Énfasis6 2 5" xfId="13744" xr:uid="{6629603A-6F74-4225-8F44-3035172DD6BF}"/>
    <cellStyle name="40% - Énfasis6 2 6" xfId="13745" xr:uid="{6656E9FB-9ECF-47F6-BB23-78EFC7B6DB69}"/>
    <cellStyle name="40% - Énfasis6 2 7" xfId="13746" xr:uid="{42E9168D-D76C-4EA5-BECC-E146C9C2CF6C}"/>
    <cellStyle name="40% - Énfasis6 2 8" xfId="13747" xr:uid="{D5B149E3-DA7A-43A2-8794-36153593E78F}"/>
    <cellStyle name="40% - Énfasis6 2 9" xfId="13748" xr:uid="{22B2E6D8-DF91-44DE-A953-97D1A09AF489}"/>
    <cellStyle name="40% - Énfasis6 2 9 2" xfId="17689" xr:uid="{74B31406-3318-48AB-8F09-DDC7A6AD5C09}"/>
    <cellStyle name="40% - Énfasis6 2 9 2 2" xfId="23930" xr:uid="{791AAFCF-D041-46F1-ACA3-CC680B2F7D7B}"/>
    <cellStyle name="40% - Énfasis6 2 9 3" xfId="22293" xr:uid="{D3DD6188-9209-484E-8DF2-1226F4E30D8E}"/>
    <cellStyle name="40% - Énfasis6 2 9_1.2.b" xfId="15957" xr:uid="{FF9573E3-8F43-4660-BEED-170A31E3D8AC}"/>
    <cellStyle name="40% - Énfasis6 2_1.2.b" xfId="15954" xr:uid="{66783984-CEB8-473A-BE48-DFB9F2E5FE07}"/>
    <cellStyle name="40% - Énfasis6 20" xfId="13749" xr:uid="{25801DD4-CEA1-4A59-944C-B0E2E3FB904E}"/>
    <cellStyle name="40% - Énfasis6 20 2" xfId="17690" xr:uid="{1727E2EB-6B00-4812-9759-CAAE0DA475C5}"/>
    <cellStyle name="40% - Énfasis6 20 2 2" xfId="23931" xr:uid="{6BC6B361-DECC-4624-A750-45259E0C8E58}"/>
    <cellStyle name="40% - Énfasis6 20 3" xfId="22294" xr:uid="{EF2A137C-AB91-4401-8A8A-08A3ABFEA2C8}"/>
    <cellStyle name="40% - Énfasis6 20_1.2.b" xfId="15958" xr:uid="{572E8DF7-94C0-4208-8A02-781156CF4F37}"/>
    <cellStyle name="40% - Énfasis6 21" xfId="13750" xr:uid="{FB15DD00-D4AF-415C-A1F3-896AF845E57C}"/>
    <cellStyle name="40% - Énfasis6 21 2" xfId="17691" xr:uid="{BF314439-6100-4A7F-8113-BEA60978EFA9}"/>
    <cellStyle name="40% - Énfasis6 21 2 2" xfId="23932" xr:uid="{AC10322B-2C12-4EBD-94D8-08A5D7E90298}"/>
    <cellStyle name="40% - Énfasis6 21 3" xfId="22295" xr:uid="{6E93D43C-DF57-42D4-B13E-B31956D46C12}"/>
    <cellStyle name="40% - Énfasis6 21_1.2.b" xfId="15959" xr:uid="{FAA8EEDF-124A-400E-8236-1C964E138E28}"/>
    <cellStyle name="40% - Énfasis6 22" xfId="13751" xr:uid="{45195E9E-A7DB-410E-BA9B-55F66B9502B7}"/>
    <cellStyle name="40% - Énfasis6 22 2" xfId="17692" xr:uid="{A057D648-6702-4E3B-8B15-53CCEA2FDDB3}"/>
    <cellStyle name="40% - Énfasis6 22 2 2" xfId="23933" xr:uid="{7759C029-A549-4F08-B851-D597B32CD651}"/>
    <cellStyle name="40% - Énfasis6 22 3" xfId="22296" xr:uid="{747CE538-5D18-4E0E-90FE-C24D94EC121E}"/>
    <cellStyle name="40% - Énfasis6 22_1.2.b" xfId="15960" xr:uid="{A2495FE8-78ED-431E-AE6B-3F10FC6F3BD2}"/>
    <cellStyle name="40% - Énfasis6 23" xfId="13752" xr:uid="{E9D08857-7C0F-4B84-8FAF-B0788EAF6556}"/>
    <cellStyle name="40% - Énfasis6 23 2" xfId="17693" xr:uid="{200EA798-285B-4C0B-9E6D-1749AAF6B1DC}"/>
    <cellStyle name="40% - Énfasis6 23 2 2" xfId="23934" xr:uid="{274AAA61-94C8-4FB2-A85B-CB70053B25B5}"/>
    <cellStyle name="40% - Énfasis6 23 3" xfId="22297" xr:uid="{A93A532E-8E2F-4936-A257-66CB22921D8A}"/>
    <cellStyle name="40% - Énfasis6 23_1.2.b" xfId="15961" xr:uid="{19B45214-5534-4F31-A022-CB73988C4EAD}"/>
    <cellStyle name="40% - Énfasis6 24" xfId="13753" xr:uid="{D106AB9C-48F6-423D-9A43-3CF323BF57CD}"/>
    <cellStyle name="40% - Énfasis6 24 2" xfId="17694" xr:uid="{6462F48E-BFA3-410A-B565-CF2C0D820514}"/>
    <cellStyle name="40% - Énfasis6 24 2 2" xfId="23935" xr:uid="{753A08D6-926A-467D-9BB4-0ABE65CEB6B7}"/>
    <cellStyle name="40% - Énfasis6 24 3" xfId="22298" xr:uid="{4B308EED-CDFC-40C3-AD13-D054B57574C8}"/>
    <cellStyle name="40% - Énfasis6 24_1.2.b" xfId="15962" xr:uid="{E00609B4-5CD3-49A6-A312-802A665B8100}"/>
    <cellStyle name="40% - Énfasis6 25" xfId="13754" xr:uid="{F64CAF3C-C13C-4BF0-8936-1712EEB2AD08}"/>
    <cellStyle name="40% - Énfasis6 25 2" xfId="17695" xr:uid="{71B079BE-BA5B-403D-BA2C-6E756A3A1571}"/>
    <cellStyle name="40% - Énfasis6 25 2 2" xfId="23936" xr:uid="{1E467FCD-4BC0-41F5-B167-A1E93EE35B11}"/>
    <cellStyle name="40% - Énfasis6 25 3" xfId="22299" xr:uid="{4BDCE736-1B3D-4FD1-B93E-89E3DBEFD68A}"/>
    <cellStyle name="40% - Énfasis6 25_1.2.b" xfId="15963" xr:uid="{51451A17-7466-4E5D-82CC-9C2730EAF100}"/>
    <cellStyle name="40% - Énfasis6 26" xfId="13755" xr:uid="{BB838E98-5AE8-4143-B707-39C4E342CF19}"/>
    <cellStyle name="40% - Énfasis6 26 2" xfId="17696" xr:uid="{D0750F68-875A-4B97-A29C-0ECDD0CEFB3D}"/>
    <cellStyle name="40% - Énfasis6 26 2 2" xfId="23937" xr:uid="{8E78F706-B2DF-4AC7-9BC9-3F2A71676228}"/>
    <cellStyle name="40% - Énfasis6 26 3" xfId="22300" xr:uid="{97EA50EB-3181-407F-8509-132CB6234A5C}"/>
    <cellStyle name="40% - Énfasis6 26_1.2.b" xfId="15964" xr:uid="{2AD04894-9364-4C48-8DF6-7F5EC9CAEEB6}"/>
    <cellStyle name="40% - Énfasis6 27" xfId="13756" xr:uid="{E1C25DFC-D7F2-4887-8E57-F309A56B85DA}"/>
    <cellStyle name="40% - Énfasis6 27 2" xfId="17697" xr:uid="{0A72BFF8-D2F4-4382-AEAE-9527DBFAA2E0}"/>
    <cellStyle name="40% - Énfasis6 27 2 2" xfId="23938" xr:uid="{AC291DE9-7905-4033-8122-B8EDBDD58DDF}"/>
    <cellStyle name="40% - Énfasis6 27 3" xfId="22301" xr:uid="{363ED0D2-936B-42A0-A05F-91956B8FF3C9}"/>
    <cellStyle name="40% - Énfasis6 27_1.2.b" xfId="15965" xr:uid="{04406E1D-AEE7-4779-B50D-69E93B05751D}"/>
    <cellStyle name="40% - Énfasis6 28" xfId="13757" xr:uid="{385B66B3-7BF0-4645-AA08-37435D34245E}"/>
    <cellStyle name="40% - Énfasis6 28 2" xfId="17698" xr:uid="{1D937165-375B-4E1D-B8D9-D6170976FA97}"/>
    <cellStyle name="40% - Énfasis6 28 2 2" xfId="23939" xr:uid="{53273182-9B57-4999-B343-C26811C2C73A}"/>
    <cellStyle name="40% - Énfasis6 28 3" xfId="22302" xr:uid="{D323844C-01F4-42F0-82CD-B39A9D3256E0}"/>
    <cellStyle name="40% - Énfasis6 28_1.2.b" xfId="15966" xr:uid="{659EBA90-1B6F-47B4-8AEB-EAC857869A99}"/>
    <cellStyle name="40% - Énfasis6 29" xfId="13758" xr:uid="{DDD7A5CE-B349-4C60-BF36-2C9451524454}"/>
    <cellStyle name="40% - Énfasis6 29 2" xfId="17699" xr:uid="{2227D1E8-25A7-4556-844A-AC87AF54067A}"/>
    <cellStyle name="40% - Énfasis6 29 2 2" xfId="23940" xr:uid="{68B77B9F-4ABA-40B5-9A69-09B2DD815C28}"/>
    <cellStyle name="40% - Énfasis6 29 3" xfId="22303" xr:uid="{CDA367ED-C471-47F7-A663-78BB5DE3549E}"/>
    <cellStyle name="40% - Énfasis6 29_1.2.b" xfId="15967" xr:uid="{F0B96657-3E1D-4406-8269-1D99294BFB55}"/>
    <cellStyle name="40% - Énfasis6 3" xfId="171" xr:uid="{00000000-0005-0000-0000-00004F010000}"/>
    <cellStyle name="40% - Énfasis6 3 2" xfId="10691" xr:uid="{00000000-0005-0000-0000-000050010000}"/>
    <cellStyle name="40% - Énfasis6 3 2 2" xfId="13760" xr:uid="{1877A659-3ED4-4B54-A18A-FE0CAD7F4EB1}"/>
    <cellStyle name="40% - Énfasis6 3 2 2 2" xfId="22305" xr:uid="{092C9317-6854-439D-95AE-5C829F109A0A}"/>
    <cellStyle name="40% - Énfasis6 3 2 3" xfId="17701" xr:uid="{0074D867-64A2-49EE-8694-8ACEB5B41BD4}"/>
    <cellStyle name="40% - Énfasis6 3 2 3 2" xfId="23942" xr:uid="{38D81B51-C39E-4FC7-BD6E-9FB7EE76D2FA}"/>
    <cellStyle name="40% - Énfasis6 3 2 4" xfId="19783" xr:uid="{6C31523C-AD9B-4A19-AE95-486122C8ADF8}"/>
    <cellStyle name="40% - Énfasis6 3 2_1.2.b" xfId="15969" xr:uid="{8A440E8E-2A1D-4A20-BE54-7522AF9A3953}"/>
    <cellStyle name="40% - Énfasis6 3 3" xfId="13761" xr:uid="{6C2494C5-BE13-448C-8A4B-4413DD3ECD2C}"/>
    <cellStyle name="40% - Énfasis6 3 4" xfId="13759" xr:uid="{4375F7A7-7876-4E45-B563-1ABEAC93B222}"/>
    <cellStyle name="40% - Énfasis6 3 4 2" xfId="22304" xr:uid="{9252275A-3BCD-4B5A-87AE-1071D03837B0}"/>
    <cellStyle name="40% - Énfasis6 3 5" xfId="17700" xr:uid="{A8B6F5F0-CCCC-4F32-BCD1-F90ABE19E6AB}"/>
    <cellStyle name="40% - Énfasis6 3 5 2" xfId="23941" xr:uid="{9E0E9AFF-5D59-4812-9ECD-B40622C41149}"/>
    <cellStyle name="40% - Énfasis6 3 6" xfId="18415" xr:uid="{6B5FBB8D-45AE-47ED-9DE3-61501D1BF527}"/>
    <cellStyle name="40% - Énfasis6 3_1.2.b" xfId="15968" xr:uid="{91A27CCD-42BB-4C3F-855F-7EB5BE94FA71}"/>
    <cellStyle name="40% - Énfasis6 30" xfId="13762" xr:uid="{1A3BA315-BE37-4212-BA7D-D93BD34D2EFA}"/>
    <cellStyle name="40% - Énfasis6 30 2" xfId="17702" xr:uid="{5CB89DDA-215E-47BF-AF16-11D0EBC6DD09}"/>
    <cellStyle name="40% - Énfasis6 30 2 2" xfId="23943" xr:uid="{B43C68A7-4DF3-48FD-A4C1-6EE022198918}"/>
    <cellStyle name="40% - Énfasis6 30 3" xfId="22306" xr:uid="{4C789516-96BE-484A-98E1-9077344555DC}"/>
    <cellStyle name="40% - Énfasis6 30_1.2.b" xfId="15970" xr:uid="{179DE0B4-5B62-416B-89A9-5F37CE139BE7}"/>
    <cellStyle name="40% - Énfasis6 31" xfId="13763" xr:uid="{E3B8490C-4E61-42E5-9A0F-102F0C78EA76}"/>
    <cellStyle name="40% - Énfasis6 31 2" xfId="17703" xr:uid="{0E6F18D7-1107-4C16-B491-94D97072F4C0}"/>
    <cellStyle name="40% - Énfasis6 31 2 2" xfId="23944" xr:uid="{7E079534-08C3-4D56-8862-D7D1ABC194EE}"/>
    <cellStyle name="40% - Énfasis6 31 3" xfId="22307" xr:uid="{A8780F25-2CC6-4A53-912A-3B38D1A2C5B3}"/>
    <cellStyle name="40% - Énfasis6 31_1.2.b" xfId="15971" xr:uid="{0BF04E6B-B670-4126-A64A-77BDD683E54A}"/>
    <cellStyle name="40% - Énfasis6 32" xfId="13764" xr:uid="{2B807FC0-C59F-49AE-84BD-620A7E3A8CA8}"/>
    <cellStyle name="40% - Énfasis6 32 2" xfId="17704" xr:uid="{9822A4AC-0921-4961-906C-2F4D1E038F3D}"/>
    <cellStyle name="40% - Énfasis6 32 2 2" xfId="23945" xr:uid="{EA42D1CB-CA59-49CC-ACB7-C6DD203E60F2}"/>
    <cellStyle name="40% - Énfasis6 32 3" xfId="22308" xr:uid="{4D939C88-6EB6-4C98-A092-1E7945389C85}"/>
    <cellStyle name="40% - Énfasis6 32_1.2.b" xfId="15972" xr:uid="{02C14C66-FD89-41CA-BDAD-639B3EE44FF3}"/>
    <cellStyle name="40% - Énfasis6 33" xfId="13765" xr:uid="{0CF24031-8FCD-4B80-84CC-7399A4F1729B}"/>
    <cellStyle name="40% - Énfasis6 33 2" xfId="17705" xr:uid="{F37640DE-BB76-44C4-88B8-B085C3A61763}"/>
    <cellStyle name="40% - Énfasis6 33 2 2" xfId="23946" xr:uid="{1DA2E382-5F39-4C4E-829E-1AD3F0A7A88D}"/>
    <cellStyle name="40% - Énfasis6 33 3" xfId="22309" xr:uid="{51453B73-9CA2-42E4-8EF2-8A9C9388F3BE}"/>
    <cellStyle name="40% - Énfasis6 33_1.2.b" xfId="15973" xr:uid="{9D202CDF-7E06-4530-9B9C-4DFF22F1BD24}"/>
    <cellStyle name="40% - Énfasis6 34" xfId="13766" xr:uid="{AED9E213-2E52-4609-BE20-ACABB9927B80}"/>
    <cellStyle name="40% - Énfasis6 34 2" xfId="17706" xr:uid="{BCCD17E8-6D42-4536-8005-BE6B194155CC}"/>
    <cellStyle name="40% - Énfasis6 34 2 2" xfId="23947" xr:uid="{7FA1C9E2-9238-4161-84DE-B51A35934768}"/>
    <cellStyle name="40% - Énfasis6 34 3" xfId="22310" xr:uid="{7F224C7A-DDED-44F0-B00B-00AF2A171900}"/>
    <cellStyle name="40% - Énfasis6 34_1.2.b" xfId="15974" xr:uid="{AE0D6A1C-8F1C-4869-BDEC-60E7D76D77FE}"/>
    <cellStyle name="40% - Énfasis6 35" xfId="13767" xr:uid="{F897931B-AF22-4E5E-88A4-8DE90F5D4815}"/>
    <cellStyle name="40% - Énfasis6 35 2" xfId="17707" xr:uid="{05665329-BB8B-4BE2-9565-078978A1365C}"/>
    <cellStyle name="40% - Énfasis6 35 2 2" xfId="23948" xr:uid="{B2DB288E-CC22-497B-8FEB-09D4856B5ABE}"/>
    <cellStyle name="40% - Énfasis6 35 3" xfId="22311" xr:uid="{66503429-9EAD-4AED-9F8A-154D1546484B}"/>
    <cellStyle name="40% - Énfasis6 35_1.2.b" xfId="15975" xr:uid="{50F93B46-3D67-461D-AF7A-F97211EC355A}"/>
    <cellStyle name="40% - Énfasis6 36" xfId="13768" xr:uid="{C6655AD7-B5AA-4786-BDB1-59FDBF7FF9E2}"/>
    <cellStyle name="40% - Énfasis6 36 2" xfId="17708" xr:uid="{95E885EB-019E-4964-9477-9A373E2EF142}"/>
    <cellStyle name="40% - Énfasis6 36 2 2" xfId="23949" xr:uid="{CC00F59B-A73D-4F3B-9F81-4740E6CFAC67}"/>
    <cellStyle name="40% - Énfasis6 36 3" xfId="22312" xr:uid="{44CAF5E8-3904-4700-A847-7FD041204F0A}"/>
    <cellStyle name="40% - Énfasis6 36_1.2.b" xfId="15976" xr:uid="{313EAD58-4F0C-4731-874C-314F4CC0D0CA}"/>
    <cellStyle name="40% - Énfasis6 37" xfId="13769" xr:uid="{6EB128E7-C982-45CA-B51E-03E8C7AE2796}"/>
    <cellStyle name="40% - Énfasis6 37 2" xfId="17709" xr:uid="{2742C1A3-D162-4EEC-922C-548B98960FAE}"/>
    <cellStyle name="40% - Énfasis6 37 2 2" xfId="23950" xr:uid="{03D7D92C-74A7-4097-BEC6-E13EF2EEE29C}"/>
    <cellStyle name="40% - Énfasis6 37 3" xfId="22313" xr:uid="{3166C44E-CAED-4535-B8CB-0631EA4D1D01}"/>
    <cellStyle name="40% - Énfasis6 37_1.2.b" xfId="15977" xr:uid="{320002BA-A637-49E3-8980-E5B31D795FA1}"/>
    <cellStyle name="40% - Énfasis6 38" xfId="13770" xr:uid="{B0E27478-F041-4808-BE0B-3553EA53E3DA}"/>
    <cellStyle name="40% - Énfasis6 38 2" xfId="17710" xr:uid="{054DB4A9-8C18-4EB3-878A-3A855F57CF71}"/>
    <cellStyle name="40% - Énfasis6 38 2 2" xfId="23951" xr:uid="{DFD382D7-50A9-422D-81A2-D3697E6FD36C}"/>
    <cellStyle name="40% - Énfasis6 38 3" xfId="22314" xr:uid="{8CB4B896-5B42-4E1C-91EA-7FD41FAF0AB8}"/>
    <cellStyle name="40% - Énfasis6 38_1.2.b" xfId="15978" xr:uid="{0F131D8F-1229-4DB5-A4F5-0E46E5B42B00}"/>
    <cellStyle name="40% - Énfasis6 39" xfId="13771" xr:uid="{F61B2C0F-4B47-458C-BFB5-C755C1F461AF}"/>
    <cellStyle name="40% - Énfasis6 39 2" xfId="17711" xr:uid="{E8E236AF-D8F8-41A6-9507-311D30AA996C}"/>
    <cellStyle name="40% - Énfasis6 39 2 2" xfId="23952" xr:uid="{8D72042F-2420-44BC-9B4B-7BF179E18271}"/>
    <cellStyle name="40% - Énfasis6 39 3" xfId="22315" xr:uid="{854F2F07-F8C2-4D60-9C78-B299D3B04EFF}"/>
    <cellStyle name="40% - Énfasis6 39_1.2.b" xfId="15979" xr:uid="{7153A870-7BFC-4DCA-9A02-F4C904B9856B}"/>
    <cellStyle name="40% - Énfasis6 4" xfId="185" xr:uid="{00000000-0005-0000-0000-000051010000}"/>
    <cellStyle name="40% - Énfasis6 4 2" xfId="10705" xr:uid="{00000000-0005-0000-0000-000052010000}"/>
    <cellStyle name="40% - Énfasis6 4 2 2" xfId="13773" xr:uid="{2433825E-7AB1-49C4-8EAA-B21B72C5A304}"/>
    <cellStyle name="40% - Énfasis6 4 2 3" xfId="19797" xr:uid="{1FA8279F-5819-4B21-BFEB-E01900092E63}"/>
    <cellStyle name="40% - Énfasis6 4 2_1.2.b" xfId="15981" xr:uid="{20C42004-FFFD-47B6-B096-25D6E0A18B96}"/>
    <cellStyle name="40% - Énfasis6 4 3" xfId="13772" xr:uid="{CF7FDCB6-EFB7-43FB-ACF2-02A7FDB25BE6}"/>
    <cellStyle name="40% - Énfasis6 4 3 2" xfId="22316" xr:uid="{FEE4EAA7-61B8-42D2-AE7C-0AEF7B3B95F3}"/>
    <cellStyle name="40% - Énfasis6 4 4" xfId="17712" xr:uid="{9E5EE22E-6B20-4748-A31F-9EBC0DCDA54A}"/>
    <cellStyle name="40% - Énfasis6 4 4 2" xfId="23953" xr:uid="{99413917-2C32-4174-B9E2-133A94A0EC34}"/>
    <cellStyle name="40% - Énfasis6 4 5" xfId="18186" xr:uid="{4B462A82-6F3C-4DE2-9B81-82FA10989A40}"/>
    <cellStyle name="40% - Énfasis6 4 5 2" xfId="24376" xr:uid="{4CAE8A93-5B01-4341-A7B0-39ED432CC75F}"/>
    <cellStyle name="40% - Énfasis6 4 6" xfId="18164" xr:uid="{F6A944C9-7DC8-4AC7-8882-4D363EC0C6AF}"/>
    <cellStyle name="40% - Énfasis6 4 6 2" xfId="24366" xr:uid="{66DFD809-28F9-4179-93F5-D8E7E50031C0}"/>
    <cellStyle name="40% - Énfasis6 4 7" xfId="18187" xr:uid="{AD1A4EF0-1788-4427-9862-E6F40975F0CB}"/>
    <cellStyle name="40% - Énfasis6 4 7 2" xfId="24377" xr:uid="{14191874-E3C9-4EBA-9D58-62B544FB80CA}"/>
    <cellStyle name="40% - Énfasis6 4 8" xfId="18165" xr:uid="{A9AAFCDB-66E4-4424-A444-158944D5F68E}"/>
    <cellStyle name="40% - Énfasis6 4 8 2" xfId="24367" xr:uid="{59A822FA-F949-4C6F-84BB-9D4FABBE5765}"/>
    <cellStyle name="40% - Énfasis6 4 9" xfId="18429" xr:uid="{3ACCAF2F-75E8-4E55-9A58-612D07E1A379}"/>
    <cellStyle name="40% - Énfasis6 4_1.2.b" xfId="15980" xr:uid="{376001E8-C88B-4AB5-B7F9-D79B77062DFE}"/>
    <cellStyle name="40% - Énfasis6 40" xfId="13774" xr:uid="{87BD2181-7671-450E-95E1-103DBD33A70C}"/>
    <cellStyle name="40% - Énfasis6 40 2" xfId="17713" xr:uid="{50DAE123-6D5A-462D-B0E9-C92C96F7A40F}"/>
    <cellStyle name="40% - Énfasis6 40 2 2" xfId="23954" xr:uid="{0B0641A0-C81C-42B2-A848-DBD179107FFB}"/>
    <cellStyle name="40% - Énfasis6 40 3" xfId="22317" xr:uid="{6BE0B17B-AA38-4D5D-A687-E8332C768000}"/>
    <cellStyle name="40% - Énfasis6 40_1.2.b" xfId="15982" xr:uid="{C1498D6D-6918-4F28-AA7A-D600C5FF5A34}"/>
    <cellStyle name="40% - Énfasis6 41" xfId="13775" xr:uid="{53C0260B-6DAF-409D-B6BA-70CA9238F254}"/>
    <cellStyle name="40% - Énfasis6 41 2" xfId="17714" xr:uid="{C4A896A4-0821-4A43-BB0E-D142E305E316}"/>
    <cellStyle name="40% - Énfasis6 41 2 2" xfId="23955" xr:uid="{500D9BA2-17F5-4F28-B12F-14633F89331E}"/>
    <cellStyle name="40% - Énfasis6 41 3" xfId="22318" xr:uid="{E567BCC9-3765-4C7D-A9C9-AA221D0BA23E}"/>
    <cellStyle name="40% - Énfasis6 41_1.2.b" xfId="15983" xr:uid="{1ED7BCF2-06D8-48DD-9324-96F83DD86E1D}"/>
    <cellStyle name="40% - Énfasis6 42" xfId="13776" xr:uid="{548C2B1B-95F0-4AED-850D-FCA506AE3055}"/>
    <cellStyle name="40% - Énfasis6 42 2" xfId="17715" xr:uid="{FC894766-77FF-4D92-BE48-FA9D18777D2E}"/>
    <cellStyle name="40% - Énfasis6 42 2 2" xfId="23956" xr:uid="{38768FC5-7357-4424-A78B-BD7FB3E64262}"/>
    <cellStyle name="40% - Énfasis6 42 3" xfId="22319" xr:uid="{E0342D27-1040-4905-BEC3-B3C6A74B8F53}"/>
    <cellStyle name="40% - Énfasis6 42_1.2.b" xfId="15984" xr:uid="{2E946296-2A57-4790-9372-1B1993DC4EDD}"/>
    <cellStyle name="40% - Énfasis6 43" xfId="13777" xr:uid="{E58DE467-76CC-4BF1-B2CE-07204EAD3769}"/>
    <cellStyle name="40% - Énfasis6 43 2" xfId="17716" xr:uid="{92DDF873-585E-4FA3-9728-DB12B0AD2DCF}"/>
    <cellStyle name="40% - Énfasis6 43 2 2" xfId="23957" xr:uid="{79B96934-DB68-4C36-B609-E5874EA297C5}"/>
    <cellStyle name="40% - Énfasis6 43 3" xfId="22320" xr:uid="{DD7C6FC5-AB85-436C-A761-7C9CFC6CFFA2}"/>
    <cellStyle name="40% - Énfasis6 43_1.2.b" xfId="15985" xr:uid="{144FADF5-DDF6-450D-84D9-AC422A9FC3F6}"/>
    <cellStyle name="40% - Énfasis6 44" xfId="13778" xr:uid="{2117C541-6DE2-478F-B014-A0E7D77EA2B7}"/>
    <cellStyle name="40% - Énfasis6 44 2" xfId="17717" xr:uid="{62AC3B9C-412D-448B-8E35-C884163C644B}"/>
    <cellStyle name="40% - Énfasis6 44 2 2" xfId="23958" xr:uid="{9C9F74E5-C5EC-4CAF-A031-0F69C82D49A4}"/>
    <cellStyle name="40% - Énfasis6 44 3" xfId="22321" xr:uid="{E6ED4CB4-4288-4F2A-9018-143485BA0C53}"/>
    <cellStyle name="40% - Énfasis6 44_1.2.b" xfId="15986" xr:uid="{F90163E1-30A4-47E6-B1D9-259B2BB5669D}"/>
    <cellStyle name="40% - Énfasis6 45" xfId="13779" xr:uid="{B9234BAE-E00E-4887-BB3F-BE78913E3E04}"/>
    <cellStyle name="40% - Énfasis6 45 2" xfId="17718" xr:uid="{BAA2ADEC-5D43-4F33-85EE-8247E18EB3EA}"/>
    <cellStyle name="40% - Énfasis6 45 2 2" xfId="23959" xr:uid="{E09E0C38-6379-4902-95EF-F459C275E5B2}"/>
    <cellStyle name="40% - Énfasis6 45 3" xfId="22322" xr:uid="{59F65535-BE7B-48D2-BA4D-C0414A9AE9EA}"/>
    <cellStyle name="40% - Énfasis6 45_1.2.b" xfId="15987" xr:uid="{97ECB515-6574-48B8-9F63-64209CEEDC11}"/>
    <cellStyle name="40% - Énfasis6 46" xfId="13780" xr:uid="{46E99934-76BB-4182-B38A-CE737AA0E313}"/>
    <cellStyle name="40% - Énfasis6 46 2" xfId="17719" xr:uid="{EE4DDEA2-0BC0-4156-B392-33884FBF6696}"/>
    <cellStyle name="40% - Énfasis6 46 2 2" xfId="23960" xr:uid="{E57548C7-2DC1-4940-8469-0A5BAEE685C4}"/>
    <cellStyle name="40% - Énfasis6 46 3" xfId="22323" xr:uid="{33E2C8B2-1892-4AD4-8F45-CD7899397255}"/>
    <cellStyle name="40% - Énfasis6 46_1.2.b" xfId="15988" xr:uid="{69F61857-2E5F-4D38-AAED-AD8703B30627}"/>
    <cellStyle name="40% - Énfasis6 47" xfId="13781" xr:uid="{0587ACF7-0A0E-4C23-ADF3-9E61812A2200}"/>
    <cellStyle name="40% - Énfasis6 47 2" xfId="17720" xr:uid="{4F9EACAB-20FD-4B44-AEC0-25C8FD844776}"/>
    <cellStyle name="40% - Énfasis6 47 2 2" xfId="23961" xr:uid="{01087AB2-1EB5-436D-B401-839F5143058A}"/>
    <cellStyle name="40% - Énfasis6 47 3" xfId="22324" xr:uid="{8CF48A59-F928-4890-8C9B-580020DF6B2C}"/>
    <cellStyle name="40% - Énfasis6 47_1.2.b" xfId="15989" xr:uid="{5D3EDFE2-41F7-43C8-85C3-CD2305AD5725}"/>
    <cellStyle name="40% - Énfasis6 48" xfId="13782" xr:uid="{5B78BC31-DC98-4C4A-AC81-B2829585DCEA}"/>
    <cellStyle name="40% - Énfasis6 48 2" xfId="17721" xr:uid="{A4242FEA-2065-47E9-88A7-52996243AB3F}"/>
    <cellStyle name="40% - Énfasis6 48 2 2" xfId="23962" xr:uid="{6EF951E5-538E-4B3E-A87C-F71D6D8947CD}"/>
    <cellStyle name="40% - Énfasis6 48 3" xfId="22325" xr:uid="{5733ED56-494E-4275-966B-E69C4C9D1B21}"/>
    <cellStyle name="40% - Énfasis6 48_1.2.b" xfId="15990" xr:uid="{B5335BF6-31A1-46F6-AB72-F1566BFC03CD}"/>
    <cellStyle name="40% - Énfasis6 49" xfId="13783" xr:uid="{8E9198FB-EC3D-49B8-ADE3-81E05334F482}"/>
    <cellStyle name="40% - Énfasis6 49 2" xfId="17722" xr:uid="{18914317-1181-4BBB-9511-91DC2F344341}"/>
    <cellStyle name="40% - Énfasis6 49 2 2" xfId="23963" xr:uid="{14F26CC5-3AEB-446C-A280-EF6D555E97B4}"/>
    <cellStyle name="40% - Énfasis6 49 3" xfId="22326" xr:uid="{282CA657-5080-477D-BC2A-9CC7C3F15A8E}"/>
    <cellStyle name="40% - Énfasis6 49_1.2.b" xfId="15991" xr:uid="{781FA713-4469-49FE-A59B-ED888B3DE51A}"/>
    <cellStyle name="40% - Énfasis6 5" xfId="200" xr:uid="{00000000-0005-0000-0000-000053010000}"/>
    <cellStyle name="40% - Énfasis6 5 2" xfId="10720" xr:uid="{00000000-0005-0000-0000-000054010000}"/>
    <cellStyle name="40% - Énfasis6 5 2 2" xfId="19812" xr:uid="{979B8FA8-8F22-498E-A30C-68BCF74BEBD1}"/>
    <cellStyle name="40% - Énfasis6 5 3" xfId="13784" xr:uid="{56E4650B-A0C6-49A1-B699-0230406745A6}"/>
    <cellStyle name="40% - Énfasis6 5 3 2" xfId="22327" xr:uid="{9D24813C-0DA2-41E3-8C62-3AE9555D1812}"/>
    <cellStyle name="40% - Énfasis6 5 4" xfId="17723" xr:uid="{A5C6A9DF-2801-479C-A41C-76F322292C9B}"/>
    <cellStyle name="40% - Énfasis6 5 4 2" xfId="23964" xr:uid="{B85FF9F1-18DB-4151-9C46-221C614B2D90}"/>
    <cellStyle name="40% - Énfasis6 5 5" xfId="18444" xr:uid="{B3774BD5-22D6-4F2E-9F06-E40A88DC7409}"/>
    <cellStyle name="40% - Énfasis6 5_1.2.b" xfId="15992" xr:uid="{D4109349-CE51-45E5-BA85-D29223023F10}"/>
    <cellStyle name="40% - Énfasis6 50" xfId="13785" xr:uid="{6C317FB9-998D-4170-8AF5-03BF7C00A20F}"/>
    <cellStyle name="40% - Énfasis6 50 2" xfId="17724" xr:uid="{1E5C8CA6-7E91-4A63-93E1-D47CB740C2EE}"/>
    <cellStyle name="40% - Énfasis6 50 2 2" xfId="23965" xr:uid="{1C12B3A2-6787-498F-BF76-0ECE7E6785AF}"/>
    <cellStyle name="40% - Énfasis6 50 3" xfId="22328" xr:uid="{5DD78E9C-E38B-4138-AE75-45D3234F8336}"/>
    <cellStyle name="40% - Énfasis6 50_1.2.b" xfId="15993" xr:uid="{DD40E19E-2E09-41FB-AC79-09AFF5A472A7}"/>
    <cellStyle name="40% - Énfasis6 51" xfId="13786" xr:uid="{315A4B2A-CDE4-40D6-B9C4-09BB2CDA1746}"/>
    <cellStyle name="40% - Énfasis6 51 2" xfId="17725" xr:uid="{87F2240A-50DD-49D0-BB03-6758E0D9B9F0}"/>
    <cellStyle name="40% - Énfasis6 51 2 2" xfId="23966" xr:uid="{B6645FCE-7C5B-4824-80A9-DA84CD956874}"/>
    <cellStyle name="40% - Énfasis6 51 3" xfId="22329" xr:uid="{0C1B1772-DB42-4BE9-BDCC-416C05D274E2}"/>
    <cellStyle name="40% - Énfasis6 51_1.2.b" xfId="15994" xr:uid="{C5777691-5DDB-4593-A592-04AA51699197}"/>
    <cellStyle name="40% - Énfasis6 52" xfId="13787" xr:uid="{BD655C4C-DF65-4297-8106-69B82DAF8A51}"/>
    <cellStyle name="40% - Énfasis6 52 2" xfId="17726" xr:uid="{097044DF-0CAF-4A62-A534-149B9AB0A66F}"/>
    <cellStyle name="40% - Énfasis6 52 2 2" xfId="23967" xr:uid="{27DC34AB-253B-45E7-A6CF-403038A43C0F}"/>
    <cellStyle name="40% - Énfasis6 52 3" xfId="22330" xr:uid="{3B476522-0CF5-4782-89C2-7AFFD8F5CD79}"/>
    <cellStyle name="40% - Énfasis6 52_1.2.b" xfId="15995" xr:uid="{CF242E68-9248-46C3-8625-9421E8185759}"/>
    <cellStyle name="40% - Énfasis6 53" xfId="13788" xr:uid="{95AB047C-AE43-4D3D-873C-0B5AFD29EF77}"/>
    <cellStyle name="40% - Énfasis6 53 2" xfId="17727" xr:uid="{2D7FF7E5-C686-4895-A7E6-B9B331BA701A}"/>
    <cellStyle name="40% - Énfasis6 53 2 2" xfId="23968" xr:uid="{37B77ADC-553C-4695-84F9-FE2F9E02B273}"/>
    <cellStyle name="40% - Énfasis6 53 3" xfId="22331" xr:uid="{34A4D553-4467-4E8D-9543-4C28E15825F8}"/>
    <cellStyle name="40% - Énfasis6 53_1.2.b" xfId="15996" xr:uid="{02333A92-7E69-4E8E-BFBA-D19756E3DAA7}"/>
    <cellStyle name="40% - Énfasis6 54" xfId="13789" xr:uid="{569E6CF8-93A0-44D3-AC73-B413C9890827}"/>
    <cellStyle name="40% - Énfasis6 54 2" xfId="17728" xr:uid="{0139169D-0258-4F1D-A689-451E788AA4AF}"/>
    <cellStyle name="40% - Énfasis6 54 2 2" xfId="23969" xr:uid="{AE4A5747-8368-471B-B648-CC5FBD6E9796}"/>
    <cellStyle name="40% - Énfasis6 54 3" xfId="22332" xr:uid="{E9016D77-061B-462A-B483-5DCC0C60DB60}"/>
    <cellStyle name="40% - Énfasis6 54_1.2.b" xfId="15997" xr:uid="{B52C19CE-B3ED-438A-86AE-926554F94D09}"/>
    <cellStyle name="40% - Énfasis6 55" xfId="13790" xr:uid="{FE2EA5ED-83EE-4F89-A065-AB67A27A1970}"/>
    <cellStyle name="40% - Énfasis6 55 2" xfId="17729" xr:uid="{D8F57B03-A474-4A6B-9F1F-EF66B38A88C7}"/>
    <cellStyle name="40% - Énfasis6 55 2 2" xfId="23970" xr:uid="{1801FA14-2DDB-4260-844F-208E38C76B0B}"/>
    <cellStyle name="40% - Énfasis6 55 3" xfId="22333" xr:uid="{05DEF7BD-20A8-4C91-9248-B1634E18E341}"/>
    <cellStyle name="40% - Énfasis6 55_1.2.b" xfId="15998" xr:uid="{A59B492E-FF94-4BA4-99B8-53CEF64FBD04}"/>
    <cellStyle name="40% - Énfasis6 56" xfId="13791" xr:uid="{9350B260-E711-4BD9-85A7-DEF491BA6C11}"/>
    <cellStyle name="40% - Énfasis6 56 2" xfId="17730" xr:uid="{34973512-01A1-486E-9AF7-B2A239BFD216}"/>
    <cellStyle name="40% - Énfasis6 56 2 2" xfId="23971" xr:uid="{692E51C5-F834-4E35-A913-103B552F13A9}"/>
    <cellStyle name="40% - Énfasis6 56 3" xfId="22334" xr:uid="{CA7CEF95-AE2D-401F-A770-D793521FA792}"/>
    <cellStyle name="40% - Énfasis6 56_1.2.b" xfId="15999" xr:uid="{86C22186-EBDC-4EE2-A400-792CD5653454}"/>
    <cellStyle name="40% - Énfasis6 57" xfId="13792" xr:uid="{ECD5BC99-5BEB-47FB-B835-28CA7D75AAB2}"/>
    <cellStyle name="40% - Énfasis6 57 2" xfId="17731" xr:uid="{C1B8A88C-5139-4DDA-9210-4E4D20F0FF44}"/>
    <cellStyle name="40% - Énfasis6 57 2 2" xfId="23972" xr:uid="{DA386F9F-EA01-4216-AB4F-67BA0AD7A129}"/>
    <cellStyle name="40% - Énfasis6 57 3" xfId="22335" xr:uid="{F8864AC8-5529-4C31-A38E-49B40175F956}"/>
    <cellStyle name="40% - Énfasis6 57_1.2.b" xfId="16000" xr:uid="{98306B9B-E26C-4C17-B54C-4448401215EF}"/>
    <cellStyle name="40% - Énfasis6 58" xfId="13793" xr:uid="{9497749B-BA16-46B9-BAC4-BBEFBCCF79C0}"/>
    <cellStyle name="40% - Énfasis6 58 2" xfId="17732" xr:uid="{6AC17213-7141-4210-967C-BC0121EC73DA}"/>
    <cellStyle name="40% - Énfasis6 58 2 2" xfId="23973" xr:uid="{68422333-1C69-4452-81A6-730391CB5449}"/>
    <cellStyle name="40% - Énfasis6 58 3" xfId="22336" xr:uid="{B0B69FE2-E603-470E-B655-E06E2646DFEF}"/>
    <cellStyle name="40% - Énfasis6 58_1.2.b" xfId="16001" xr:uid="{6976BFBC-8F39-4A9D-9269-E29DF1035666}"/>
    <cellStyle name="40% - Énfasis6 59" xfId="13794" xr:uid="{3A5A95AB-124B-4D70-8851-43CCA5F2A2DC}"/>
    <cellStyle name="40% - Énfasis6 59 2" xfId="17733" xr:uid="{809A7859-4058-4325-9769-A1675A988D83}"/>
    <cellStyle name="40% - Énfasis6 59 2 2" xfId="23974" xr:uid="{4AFEBA3F-EFEC-42AA-A6ED-4226827DC436}"/>
    <cellStyle name="40% - Énfasis6 59 3" xfId="22337" xr:uid="{99A1BFBC-6BAE-499E-8445-CFB9CB9FFE29}"/>
    <cellStyle name="40% - Énfasis6 59_1.2.b" xfId="16002" xr:uid="{76C151E8-F926-4FF2-B883-7C730E475460}"/>
    <cellStyle name="40% - Énfasis6 6" xfId="214" xr:uid="{00000000-0005-0000-0000-000055010000}"/>
    <cellStyle name="40% - Énfasis6 6 2" xfId="10734" xr:uid="{00000000-0005-0000-0000-000056010000}"/>
    <cellStyle name="40% - Énfasis6 6 2 2" xfId="19826" xr:uid="{819B1E0F-FCA5-45FC-9C7B-E80C6E3964EE}"/>
    <cellStyle name="40% - Énfasis6 6 3" xfId="13795" xr:uid="{1765F305-CADD-4C92-8B6E-B80DB9C93195}"/>
    <cellStyle name="40% - Énfasis6 6 3 2" xfId="22338" xr:uid="{95AB24E7-E0E3-45C1-9D91-00EE12CA9F01}"/>
    <cellStyle name="40% - Énfasis6 6 4" xfId="17734" xr:uid="{9552EBEC-C143-4070-A704-386EB870CE84}"/>
    <cellStyle name="40% - Énfasis6 6 4 2" xfId="23975" xr:uid="{EE1FB509-19E9-4E1A-B4EA-5F0D83B53944}"/>
    <cellStyle name="40% - Énfasis6 6 5" xfId="18458" xr:uid="{023C1FFA-1E37-45C3-8560-5AF90CE9667A}"/>
    <cellStyle name="40% - Énfasis6 6_1.2.b" xfId="16003" xr:uid="{06345F90-FB18-44EF-8A06-5912341C735E}"/>
    <cellStyle name="40% - Énfasis6 60" xfId="13796" xr:uid="{3E388A59-9ABB-4683-A3E3-9926B9445050}"/>
    <cellStyle name="40% - Énfasis6 60 2" xfId="17735" xr:uid="{1EBD0CA6-56B7-4646-8442-8D780026798D}"/>
    <cellStyle name="40% - Énfasis6 60 2 2" xfId="23976" xr:uid="{CA120149-581A-4EA8-B941-39E2E5490D0E}"/>
    <cellStyle name="40% - Énfasis6 60 3" xfId="22339" xr:uid="{C333ADA7-60D6-40F2-A578-2920657A0A7C}"/>
    <cellStyle name="40% - Énfasis6 60_1.2.b" xfId="16004" xr:uid="{BA91CB37-310A-40C4-A4D6-1A5FE2F6CDDB}"/>
    <cellStyle name="40% - Énfasis6 61" xfId="13797" xr:uid="{4F57CFFA-1A47-45A1-935C-C43D232EC7B5}"/>
    <cellStyle name="40% - Énfasis6 61 2" xfId="17736" xr:uid="{448AAF2C-461B-467F-A4C9-E6C2E2F63703}"/>
    <cellStyle name="40% - Énfasis6 61 2 2" xfId="23977" xr:uid="{A28FCEAF-C230-4F97-8ECF-B6D7C76BCFF9}"/>
    <cellStyle name="40% - Énfasis6 61 3" xfId="22340" xr:uid="{F445D8C2-2D0B-49C5-8651-07BD1438C032}"/>
    <cellStyle name="40% - Énfasis6 61_1.2.b" xfId="16005" xr:uid="{75CAE6BD-D3BC-44ED-AA23-2F539CE9FD26}"/>
    <cellStyle name="40% - Énfasis6 62" xfId="13798" xr:uid="{8B692A01-278E-4C8E-916E-98A16DC7EB15}"/>
    <cellStyle name="40% - Énfasis6 62 2" xfId="17737" xr:uid="{3EF6B53D-0763-4D99-BC3C-E71477B5645C}"/>
    <cellStyle name="40% - Énfasis6 62 2 2" xfId="23978" xr:uid="{FF3D20CF-538A-49D7-8BCB-CEE6E6C199B1}"/>
    <cellStyle name="40% - Énfasis6 62 3" xfId="22341" xr:uid="{9153FADC-BDA3-48E2-9D9F-B10FE55C0E9D}"/>
    <cellStyle name="40% - Énfasis6 62_1.2.b" xfId="16006" xr:uid="{BF2D3EE0-B8D1-44BF-8981-C45CCD95C164}"/>
    <cellStyle name="40% - Énfasis6 63" xfId="13799" xr:uid="{3355EB20-CA29-44A0-A9D6-2902EB611664}"/>
    <cellStyle name="40% - Énfasis6 63 2" xfId="17738" xr:uid="{366D1C91-F31B-4169-855C-B8134D73FE5B}"/>
    <cellStyle name="40% - Énfasis6 63 2 2" xfId="23979" xr:uid="{726F5EA6-2428-4512-B257-DCADF8B2E20E}"/>
    <cellStyle name="40% - Énfasis6 63 3" xfId="22342" xr:uid="{7FC3DF32-361B-45D4-B386-73DE4F88800D}"/>
    <cellStyle name="40% - Énfasis6 63_1.2.b" xfId="16007" xr:uid="{9B127018-D866-481D-BDD8-30711CC922E9}"/>
    <cellStyle name="40% - Énfasis6 64" xfId="13800" xr:uid="{28C15956-1510-46A3-A83E-58E9863DC1B8}"/>
    <cellStyle name="40% - Énfasis6 64 2" xfId="17739" xr:uid="{31066DFC-BE67-4FAC-B11F-B9BC0575AB39}"/>
    <cellStyle name="40% - Énfasis6 64 2 2" xfId="23980" xr:uid="{DAC0A894-9C37-42E0-9451-6D5BFA28E600}"/>
    <cellStyle name="40% - Énfasis6 64 3" xfId="22343" xr:uid="{6A10ED8E-8E9C-4EDC-BDB5-4C373AD8AFC3}"/>
    <cellStyle name="40% - Énfasis6 64_1.2.b" xfId="16008" xr:uid="{417A858A-0292-4665-BA06-6BB1E6A8B2F7}"/>
    <cellStyle name="40% - Énfasis6 65" xfId="13801" xr:uid="{E6010AE6-3D8D-432E-A735-A4FB83ECCDD3}"/>
    <cellStyle name="40% - Énfasis6 65 2" xfId="17740" xr:uid="{5A57AE64-08BD-4367-8B81-E512634CC3AD}"/>
    <cellStyle name="40% - Énfasis6 65 2 2" xfId="23981" xr:uid="{C5AE4A52-B973-4DCA-9C91-0E5AF0837FDD}"/>
    <cellStyle name="40% - Énfasis6 65 3" xfId="22344" xr:uid="{F67CF1F6-DF44-4BCD-AD7C-5C39872C3B8B}"/>
    <cellStyle name="40% - Énfasis6 65_1.2.b" xfId="16009" xr:uid="{2F721A99-979D-4D82-9FF7-1A58AF1B0F53}"/>
    <cellStyle name="40% - Énfasis6 66" xfId="13802" xr:uid="{571B902E-861B-4680-B6DD-E981B3219D0C}"/>
    <cellStyle name="40% - Énfasis6 66 2" xfId="17741" xr:uid="{D2F14707-0FCE-4CFF-9965-6700AD3875E7}"/>
    <cellStyle name="40% - Énfasis6 66 2 2" xfId="23982" xr:uid="{0A0803A0-37BC-408F-A561-EA3C6A59670C}"/>
    <cellStyle name="40% - Énfasis6 66 3" xfId="22345" xr:uid="{13F7F7AC-3276-40FD-B159-D9AC3DC130B5}"/>
    <cellStyle name="40% - Énfasis6 66_1.2.b" xfId="16010" xr:uid="{07A2B35C-3DC8-48AB-96A3-8A0A0B3D94F3}"/>
    <cellStyle name="40% - Énfasis6 67" xfId="13803" xr:uid="{383F49F2-9224-46C9-B708-B0CBA1D94382}"/>
    <cellStyle name="40% - Énfasis6 67 2" xfId="17742" xr:uid="{97405802-8E2C-4E20-B3D9-83AB9CBDF6A8}"/>
    <cellStyle name="40% - Énfasis6 67 2 2" xfId="23983" xr:uid="{01F614D3-F097-42A0-9706-B417692EA441}"/>
    <cellStyle name="40% - Énfasis6 67 3" xfId="22346" xr:uid="{7864C1F7-7105-4407-9FB1-6DF1307B5F45}"/>
    <cellStyle name="40% - Énfasis6 67_1.2.b" xfId="16011" xr:uid="{2049CA2A-1098-44C1-B1F3-2A0E9E010B0E}"/>
    <cellStyle name="40% - Énfasis6 68" xfId="13804" xr:uid="{2797174B-0D15-4777-AB1F-F91E0B56FC2A}"/>
    <cellStyle name="40% - Énfasis6 68 2" xfId="17743" xr:uid="{F3AD077E-B069-415E-8A71-9E774E41CF6B}"/>
    <cellStyle name="40% - Énfasis6 68 2 2" xfId="23984" xr:uid="{9E274CE6-558B-4866-A638-1174E16DD508}"/>
    <cellStyle name="40% - Énfasis6 68 3" xfId="22347" xr:uid="{7CBD684E-20DA-4E3C-9A61-061A309DAB9F}"/>
    <cellStyle name="40% - Énfasis6 68_1.2.b" xfId="16012" xr:uid="{ACA1E65F-DAE1-4225-B4E1-BE94D22AC4C8}"/>
    <cellStyle name="40% - Énfasis6 69" xfId="13805" xr:uid="{04B37568-7668-4055-A3E0-A0F8324171F3}"/>
    <cellStyle name="40% - Énfasis6 69 2" xfId="17744" xr:uid="{CCFEDDDF-1B9D-464D-80E2-47B0196DF055}"/>
    <cellStyle name="40% - Énfasis6 69 2 2" xfId="23985" xr:uid="{3EE3B445-3FCE-4768-BB79-4843C094F21F}"/>
    <cellStyle name="40% - Énfasis6 69 3" xfId="22348" xr:uid="{6C63DE1A-7810-4E92-8273-9C7AD75DFD8B}"/>
    <cellStyle name="40% - Énfasis6 69_1.2.b" xfId="16013" xr:uid="{A07F2129-7419-482F-9767-EDAEDAB270B5}"/>
    <cellStyle name="40% - Énfasis6 7" xfId="9838" xr:uid="{00000000-0005-0000-0000-000057010000}"/>
    <cellStyle name="40% - Énfasis6 7 2" xfId="11624" xr:uid="{00000000-0005-0000-0000-000058010000}"/>
    <cellStyle name="40% - Énfasis6 7 2 2" xfId="20393" xr:uid="{46436E96-5C9A-4A62-B846-BD9FDC1427EF}"/>
    <cellStyle name="40% - Énfasis6 7 3" xfId="13806" xr:uid="{AF9C55CB-4C51-4B23-B7F4-89FC1C5BDAB1}"/>
    <cellStyle name="40% - Énfasis6 7 3 2" xfId="22349" xr:uid="{EC62EEFE-E30D-4E7D-9E6E-9217C7362160}"/>
    <cellStyle name="40% - Énfasis6 7 4" xfId="17745" xr:uid="{7A2C5551-016F-4F53-B037-8CB707DE30FC}"/>
    <cellStyle name="40% - Énfasis6 7 4 2" xfId="23986" xr:uid="{0958E6CA-92EC-4353-837A-CD2829970745}"/>
    <cellStyle name="40% - Énfasis6 7 5" xfId="19025" xr:uid="{A010C914-9A71-46AC-A740-DD0E30B8221A}"/>
    <cellStyle name="40% - Énfasis6 7_1.2.b" xfId="16014" xr:uid="{0DFD5085-0A49-430C-9501-F84194E2276B}"/>
    <cellStyle name="40% - Énfasis6 70" xfId="13807" xr:uid="{A9308B8E-A221-405B-8B10-29F6EE8BC3E1}"/>
    <cellStyle name="40% - Énfasis6 70 2" xfId="17746" xr:uid="{CBE3A9B7-4051-4E39-8EBD-2EB89CB579BB}"/>
    <cellStyle name="40% - Énfasis6 70 2 2" xfId="23987" xr:uid="{982BAB55-B239-42A2-B2E1-25128F16BD60}"/>
    <cellStyle name="40% - Énfasis6 70 3" xfId="22350" xr:uid="{A72F5D69-A15B-43F8-9CA0-8126C618FE4A}"/>
    <cellStyle name="40% - Énfasis6 70_1.2.b" xfId="16015" xr:uid="{6858FC0D-7C9B-41FE-9E06-8BF9147CDA02}"/>
    <cellStyle name="40% - Énfasis6 71" xfId="13808" xr:uid="{901BDA14-FA51-406A-BF11-FCCAEE6F3D15}"/>
    <cellStyle name="40% - Énfasis6 71 2" xfId="17747" xr:uid="{367AA472-F09A-4BC3-9E8D-E162C401D0A6}"/>
    <cellStyle name="40% - Énfasis6 71 2 2" xfId="23988" xr:uid="{9409E98F-4631-45DD-AA0D-F56871E1A102}"/>
    <cellStyle name="40% - Énfasis6 71 3" xfId="22351" xr:uid="{8BAD6626-996E-451F-B95A-34799A0351BA}"/>
    <cellStyle name="40% - Énfasis6 71_1.2.b" xfId="16016" xr:uid="{15474DA3-5BD3-4FCA-A027-3F28BA141CA4}"/>
    <cellStyle name="40% - Énfasis6 72" xfId="13809" xr:uid="{E24FBAE8-D8B5-4153-9426-83DC3F4254CD}"/>
    <cellStyle name="40% - Énfasis6 72 2" xfId="17748" xr:uid="{083EED48-5BBF-41DE-A2B2-3B5E8918FBF1}"/>
    <cellStyle name="40% - Énfasis6 72 2 2" xfId="23989" xr:uid="{54FF3EA9-F2B4-479E-8AA4-2F09612FFCB2}"/>
    <cellStyle name="40% - Énfasis6 72 3" xfId="22352" xr:uid="{C37C27D4-5973-4531-9655-F25D5BD67363}"/>
    <cellStyle name="40% - Énfasis6 72_1.2.b" xfId="16017" xr:uid="{BD9C64AA-4269-4B45-BCBE-B01841D9D34B}"/>
    <cellStyle name="40% - Énfasis6 73" xfId="13810" xr:uid="{3242C71D-8C1C-4560-838B-25C27183C8FE}"/>
    <cellStyle name="40% - Énfasis6 73 2" xfId="17749" xr:uid="{0A80451E-0EBF-45C1-B0A1-F0396FD046DC}"/>
    <cellStyle name="40% - Énfasis6 73 2 2" xfId="23990" xr:uid="{12F01689-11CD-4CEB-A8C2-A8CA32AEB4FA}"/>
    <cellStyle name="40% - Énfasis6 73 3" xfId="22353" xr:uid="{7E250B85-84E3-4EA3-A8E9-9AD19D1A294B}"/>
    <cellStyle name="40% - Énfasis6 73_1.2.b" xfId="16018" xr:uid="{4378C6A5-B6C9-4416-8B49-E5970CB4C6F6}"/>
    <cellStyle name="40% - Énfasis6 74" xfId="13811" xr:uid="{208280B5-453A-4C1B-AAB2-6FFBFAD549A6}"/>
    <cellStyle name="40% - Énfasis6 74 2" xfId="17750" xr:uid="{A1729D2C-9A66-4C92-93C5-F0C3DC0EE6BF}"/>
    <cellStyle name="40% - Énfasis6 74 2 2" xfId="23991" xr:uid="{B0E6315C-471E-4708-8425-A316832306B2}"/>
    <cellStyle name="40% - Énfasis6 74 3" xfId="22354" xr:uid="{1B97E2DD-52F9-4762-BD78-779D46AFB2F8}"/>
    <cellStyle name="40% - Énfasis6 74_1.2.b" xfId="16019" xr:uid="{39670288-BAE8-41B8-8FCE-3A5E6B78A4DA}"/>
    <cellStyle name="40% - Énfasis6 75" xfId="13812" xr:uid="{E8403739-6DAA-4494-B235-7AE783889BA5}"/>
    <cellStyle name="40% - Énfasis6 75 2" xfId="17751" xr:uid="{C588577F-B1E2-42FB-A2E5-C44BA4DDA2F0}"/>
    <cellStyle name="40% - Énfasis6 75 2 2" xfId="23992" xr:uid="{9E7536FF-D9D1-4E7B-8F0D-E19BA1134624}"/>
    <cellStyle name="40% - Énfasis6 75 3" xfId="22355" xr:uid="{097A19EB-9965-48C8-870F-F46CD4A97160}"/>
    <cellStyle name="40% - Énfasis6 75_1.2.b" xfId="16020" xr:uid="{9604F990-8170-4547-B2AA-FA7C23A59FFB}"/>
    <cellStyle name="40% - Énfasis6 76" xfId="13813" xr:uid="{7FEDD5F6-5346-4392-AFEB-4600DB83A41A}"/>
    <cellStyle name="40% - Énfasis6 76 2" xfId="17752" xr:uid="{9F5175D1-030E-4234-A03E-DD26EB93220F}"/>
    <cellStyle name="40% - Énfasis6 76 2 2" xfId="23993" xr:uid="{FB87EDC9-07D1-4DAF-9DE5-7699B7E16DBA}"/>
    <cellStyle name="40% - Énfasis6 76 3" xfId="22356" xr:uid="{55D3DBCE-5FDF-442B-9EFE-041D05D2874E}"/>
    <cellStyle name="40% - Énfasis6 76_1.2.b" xfId="16021" xr:uid="{CBBB1AE4-653D-4D98-82C0-2F1C2208778C}"/>
    <cellStyle name="40% - Énfasis6 77" xfId="13814" xr:uid="{CD2BC3BD-45A8-47A8-9597-2335BDA4774C}"/>
    <cellStyle name="40% - Énfasis6 77 2" xfId="17753" xr:uid="{A2AF0FF0-0FA8-4AFC-BBEE-3DBDBA23DC56}"/>
    <cellStyle name="40% - Énfasis6 77 2 2" xfId="23994" xr:uid="{85898739-F1A2-4CAF-9168-5703C4DA8ED7}"/>
    <cellStyle name="40% - Énfasis6 77 3" xfId="22357" xr:uid="{E58F8B41-268F-4225-ACF2-02F0FBEBD8E5}"/>
    <cellStyle name="40% - Énfasis6 77_1.2.b" xfId="16022" xr:uid="{B8F10A63-CF09-4B45-8223-C66F1D9C57AB}"/>
    <cellStyle name="40% - Énfasis6 78" xfId="13815" xr:uid="{40AD6584-5CCC-46AB-88E7-4BDE5A7F5C4E}"/>
    <cellStyle name="40% - Énfasis6 78 2" xfId="17754" xr:uid="{AE09E641-7552-4977-A188-6514C043CDB8}"/>
    <cellStyle name="40% - Énfasis6 78 2 2" xfId="23995" xr:uid="{D5DD17E0-1C40-4348-B02E-C47BEB92D45B}"/>
    <cellStyle name="40% - Énfasis6 78 3" xfId="22358" xr:uid="{A194AAF2-8445-4416-9ED0-3BB9C8DB4F12}"/>
    <cellStyle name="40% - Énfasis6 78_1.2.b" xfId="16023" xr:uid="{54036044-E44F-449D-B197-AC3F74EEFE5C}"/>
    <cellStyle name="40% - Énfasis6 79" xfId="13816" xr:uid="{98D9B6D0-1DA3-4CF5-919E-BF3D2CB429EF}"/>
    <cellStyle name="40% - Énfasis6 79 2" xfId="17755" xr:uid="{22D8C580-EF86-4E9B-8D8A-B87B5A75D312}"/>
    <cellStyle name="40% - Énfasis6 79 2 2" xfId="23996" xr:uid="{E4A7D442-7F1E-4E0A-9B87-CE54108264CB}"/>
    <cellStyle name="40% - Énfasis6 79 3" xfId="22359" xr:uid="{21150EDD-DF7A-47C9-8BD3-5BD8805FEF80}"/>
    <cellStyle name="40% - Énfasis6 79_1.2.b" xfId="16024" xr:uid="{279B90DD-5CBE-4538-87E0-94056E31A44B}"/>
    <cellStyle name="40% - Énfasis6 8" xfId="9857" xr:uid="{00000000-0005-0000-0000-000059010000}"/>
    <cellStyle name="40% - Énfasis6 8 2" xfId="11642" xr:uid="{00000000-0005-0000-0000-00005A010000}"/>
    <cellStyle name="40% - Énfasis6 8 2 2" xfId="20409" xr:uid="{53D46491-2C39-48E0-BC06-81F49CA0549C}"/>
    <cellStyle name="40% - Énfasis6 8 3" xfId="13817" xr:uid="{F8158DCF-0D26-4F3D-AF8C-086C5FA8EDEE}"/>
    <cellStyle name="40% - Énfasis6 8 3 2" xfId="22360" xr:uid="{E7AC724E-608E-4618-BC14-E24B84D95E23}"/>
    <cellStyle name="40% - Énfasis6 8 4" xfId="17756" xr:uid="{4CE13114-E5C0-4496-8E67-78FF6FA236F8}"/>
    <cellStyle name="40% - Énfasis6 8 4 2" xfId="23997" xr:uid="{D15E78F2-9297-4C8C-8916-C76BA35C2C10}"/>
    <cellStyle name="40% - Énfasis6 8 5" xfId="19041" xr:uid="{D6CF58F6-DDF5-498F-BFCC-A4A91553A69D}"/>
    <cellStyle name="40% - Énfasis6 8_1.2.b" xfId="16025" xr:uid="{3D4A0B47-9C8F-482B-97B7-0514614EE98C}"/>
    <cellStyle name="40% - Énfasis6 80" xfId="13818" xr:uid="{55A4579F-CA4D-438C-A91A-E29690A8D808}"/>
    <cellStyle name="40% - Énfasis6 80 2" xfId="17757" xr:uid="{4808ADA5-B279-4F3E-8289-4A164898E346}"/>
    <cellStyle name="40% - Énfasis6 80 2 2" xfId="23998" xr:uid="{2D63FE1C-A52C-4B91-91E1-A8ABBCD5C8FF}"/>
    <cellStyle name="40% - Énfasis6 80 3" xfId="22361" xr:uid="{CE2FBA1A-E95E-415F-A3A4-B3FDF69D15AC}"/>
    <cellStyle name="40% - Énfasis6 80_1.2.b" xfId="16026" xr:uid="{0A75C448-8580-497A-9598-9932F283DEFD}"/>
    <cellStyle name="40% - Énfasis6 81" xfId="13819" xr:uid="{8199E7F7-3E30-440B-8E1E-3ADE4383FA38}"/>
    <cellStyle name="40% - Énfasis6 81 2" xfId="17758" xr:uid="{F3641778-0A52-476F-8BA2-8A259CBA8E74}"/>
    <cellStyle name="40% - Énfasis6 81 2 2" xfId="23999" xr:uid="{92DE2614-AA59-4464-8DA0-2EA96A168E01}"/>
    <cellStyle name="40% - Énfasis6 81 3" xfId="22362" xr:uid="{A8AD3EA5-E8E5-43CF-8ADA-215741A8B3E3}"/>
    <cellStyle name="40% - Énfasis6 81_1.2.b" xfId="16027" xr:uid="{F2B38751-C9C6-45E5-BB7C-C362B7AE5A37}"/>
    <cellStyle name="40% - Énfasis6 82" xfId="13820" xr:uid="{210FF6A4-F221-4907-B456-E6D07012B108}"/>
    <cellStyle name="40% - Énfasis6 82 2" xfId="17759" xr:uid="{EAFBD9BB-7DE8-4C0A-BFB4-2A7FC3872707}"/>
    <cellStyle name="40% - Énfasis6 82 2 2" xfId="24000" xr:uid="{5059F570-6BA7-4006-90ED-E3ACA051EEF1}"/>
    <cellStyle name="40% - Énfasis6 82 3" xfId="22363" xr:uid="{15D17A4D-79BA-4BBE-BDE9-61F95A15CCA4}"/>
    <cellStyle name="40% - Énfasis6 82_1.2.b" xfId="16028" xr:uid="{CD82E77E-198B-4986-93C6-A5C76604CEA2}"/>
    <cellStyle name="40% - Énfasis6 83" xfId="13821" xr:uid="{7B02C5FF-55F2-46E3-B47A-C649273DA52D}"/>
    <cellStyle name="40% - Énfasis6 83 2" xfId="17760" xr:uid="{CF37D575-A0A8-4F7B-B0F8-554152DA1BB3}"/>
    <cellStyle name="40% - Énfasis6 83 2 2" xfId="24001" xr:uid="{677C7068-5980-4BB6-8DA4-D1FAFBFCD6F7}"/>
    <cellStyle name="40% - Énfasis6 83 3" xfId="22364" xr:uid="{7AA15CD4-7AF9-4771-8658-78A9EB0D8266}"/>
    <cellStyle name="40% - Énfasis6 83_1.2.b" xfId="16029" xr:uid="{CD3BCE1B-5613-4124-97AD-9C212FA17B56}"/>
    <cellStyle name="40% - Énfasis6 84" xfId="13822" xr:uid="{6F8CA7D7-EC18-4687-A838-DB7FFB451815}"/>
    <cellStyle name="40% - Énfasis6 84 2" xfId="17761" xr:uid="{92D55AFD-B734-4357-A319-1FF0CF76E454}"/>
    <cellStyle name="40% - Énfasis6 84 2 2" xfId="24002" xr:uid="{8890FF68-607B-4F49-B2B0-9D63BCE7EE8B}"/>
    <cellStyle name="40% - Énfasis6 84 3" xfId="22365" xr:uid="{3484B941-B1D1-4393-AA81-04F9A3E58741}"/>
    <cellStyle name="40% - Énfasis6 84_1.2.b" xfId="16030" xr:uid="{B01C77F2-E9D2-46C2-BBA3-1B95D47AE25B}"/>
    <cellStyle name="40% - Énfasis6 85" xfId="13823" xr:uid="{519BE526-121B-4634-A2BD-25AC174712A1}"/>
    <cellStyle name="40% - Énfasis6 85 2" xfId="17762" xr:uid="{63375DCE-820A-46D4-8462-89DE2DA7B2E6}"/>
    <cellStyle name="40% - Énfasis6 85 2 2" xfId="24003" xr:uid="{C202FCDB-4433-4174-87F7-BA662D2B210D}"/>
    <cellStyle name="40% - Énfasis6 85 3" xfId="22366" xr:uid="{A545CC3E-74D9-4FC3-A5CE-83FA3FD5BEC5}"/>
    <cellStyle name="40% - Énfasis6 85_1.2.b" xfId="16031" xr:uid="{8DB1EC4D-258C-4D29-B1F6-8643AD64B116}"/>
    <cellStyle name="40% - Énfasis6 86" xfId="13824" xr:uid="{70952CD0-B86A-404C-9A99-7FB185A21B6B}"/>
    <cellStyle name="40% - Énfasis6 86 2" xfId="17763" xr:uid="{58A408D9-AA52-43FB-B816-28D94F4548C3}"/>
    <cellStyle name="40% - Énfasis6 86 2 2" xfId="24004" xr:uid="{1C815EC3-56CC-4AC1-BD62-023337AAFC79}"/>
    <cellStyle name="40% - Énfasis6 86 3" xfId="22367" xr:uid="{54A4E29D-57A2-45A6-A3C6-024E2A226C70}"/>
    <cellStyle name="40% - Énfasis6 86_1.2.b" xfId="16032" xr:uid="{E473F093-9E9A-4CBD-94C5-1D81F0E2A54E}"/>
    <cellStyle name="40% - Énfasis6 87" xfId="13825" xr:uid="{A4473E34-D8E3-415D-92B0-24BF9E694B16}"/>
    <cellStyle name="40% - Énfasis6 87 2" xfId="17764" xr:uid="{DCD788BA-0407-4D1F-BB55-D795B2A0EC47}"/>
    <cellStyle name="40% - Énfasis6 87 2 2" xfId="24005" xr:uid="{7A9D4207-4FA4-4629-885D-30CA9BAA7AA9}"/>
    <cellStyle name="40% - Énfasis6 87 3" xfId="22368" xr:uid="{A7509F77-04B4-4233-8620-388931D471EC}"/>
    <cellStyle name="40% - Énfasis6 87_1.2.b" xfId="16033" xr:uid="{97BA7105-C89C-4BD7-811C-65B3AF993B9E}"/>
    <cellStyle name="40% - Énfasis6 88" xfId="13826" xr:uid="{29DE92CC-5197-4D45-8B77-A1E20BD9A063}"/>
    <cellStyle name="40% - Énfasis6 88 2" xfId="17765" xr:uid="{EA2C2A49-55EB-421F-9411-24A7AB2935B2}"/>
    <cellStyle name="40% - Énfasis6 88 2 2" xfId="24006" xr:uid="{F2AB4222-7E81-4FF2-A488-B254C9128BA2}"/>
    <cellStyle name="40% - Énfasis6 88 3" xfId="22369" xr:uid="{294F0439-1871-418F-A6FE-84D674D165F0}"/>
    <cellStyle name="40% - Énfasis6 88_1.2.b" xfId="16034" xr:uid="{3B575243-0D5D-415E-AF4B-573A3669FC91}"/>
    <cellStyle name="40% - Énfasis6 89" xfId="13827" xr:uid="{1B83E0EB-EC79-4E70-B975-DA19F9B98FF2}"/>
    <cellStyle name="40% - Énfasis6 89 2" xfId="17766" xr:uid="{BEFA788D-4E13-4D1C-9ADA-11BBE8423B81}"/>
    <cellStyle name="40% - Énfasis6 89 2 2" xfId="24007" xr:uid="{BE9849D2-996D-4B98-B9D0-61B0F63FACE3}"/>
    <cellStyle name="40% - Énfasis6 89 3" xfId="22370" xr:uid="{4B9E0CE2-C237-4287-84AE-1E4AB7A94656}"/>
    <cellStyle name="40% - Énfasis6 89_1.2.b" xfId="16035" xr:uid="{61E08426-CE5F-4312-B707-19C36863CE78}"/>
    <cellStyle name="40% - Énfasis6 9" xfId="9876" xr:uid="{00000000-0005-0000-0000-00005B010000}"/>
    <cellStyle name="40% - Énfasis6 9 2" xfId="13828" xr:uid="{784B19B9-5842-4C21-8257-C1776C2AF32A}"/>
    <cellStyle name="40% - Énfasis6 9 2 2" xfId="22371" xr:uid="{D5F2A49F-4271-436F-BAD4-B6987BE40418}"/>
    <cellStyle name="40% - Énfasis6 9 3" xfId="17767" xr:uid="{FA13BABC-B472-4B10-8AF7-0AC9A25C5E58}"/>
    <cellStyle name="40% - Énfasis6 9 3 2" xfId="24008" xr:uid="{1B89D9D2-FE9F-4BC1-9751-A8B625DA53E1}"/>
    <cellStyle name="40% - Énfasis6 9_1.2.b" xfId="16036" xr:uid="{64BB4852-7580-42A3-BD08-B0AE778A533E}"/>
    <cellStyle name="40% - Énfasis6 90" xfId="13829" xr:uid="{4A7B722D-FFA9-4BF4-AB3D-D023C887FD78}"/>
    <cellStyle name="40% - Énfasis6 90 2" xfId="17768" xr:uid="{B5E426E0-9F6E-4CEB-9C7E-CFA71C27EDDC}"/>
    <cellStyle name="40% - Énfasis6 90 2 2" xfId="24009" xr:uid="{43DF21F7-D6AB-41A8-A429-204DCB782074}"/>
    <cellStyle name="40% - Énfasis6 90 3" xfId="22372" xr:uid="{4BA728C1-FF9F-4C58-B0BA-394743CA142B}"/>
    <cellStyle name="40% - Énfasis6 90_1.2.b" xfId="16037" xr:uid="{0B91829B-5133-4F92-A61C-2AA8622031FC}"/>
    <cellStyle name="40% - Énfasis6 91" xfId="13830" xr:uid="{FA8ACD4E-2394-4AAC-9152-91176D9951A3}"/>
    <cellStyle name="40% - Énfasis6 91 2" xfId="17769" xr:uid="{F1E43245-A955-4EB3-A112-5CF6A6CCCB55}"/>
    <cellStyle name="40% - Énfasis6 91 2 2" xfId="24010" xr:uid="{F91ABDFD-6869-4CD5-B212-C744296DD2AA}"/>
    <cellStyle name="40% - Énfasis6 91 3" xfId="22373" xr:uid="{03E77631-014C-4FED-8FD6-DBEF0A9CFD81}"/>
    <cellStyle name="40% - Énfasis6 91_1.2.b" xfId="16038" xr:uid="{89F63801-1069-4315-9955-DEC79547551C}"/>
    <cellStyle name="40% - Énfasis6 92" xfId="13831" xr:uid="{A740963A-A660-4F18-A2C0-1CEE8E394285}"/>
    <cellStyle name="40% - Énfasis6 92 2" xfId="17770" xr:uid="{D2C22DEF-DF1F-466F-9350-C66E6AFE5F33}"/>
    <cellStyle name="40% - Énfasis6 92 2 2" xfId="24011" xr:uid="{2F30A191-96E7-4AFF-BD27-D91DDAC2FC69}"/>
    <cellStyle name="40% - Énfasis6 92 3" xfId="22374" xr:uid="{6954F3AB-1D50-4C52-A237-BE7177086CF0}"/>
    <cellStyle name="40% - Énfasis6 92_1.2.b" xfId="16039" xr:uid="{41CCE05D-6205-472D-847D-C01D1C09A455}"/>
    <cellStyle name="40% - Énfasis6 93" xfId="13832" xr:uid="{C9505A07-AA51-44C2-BB37-0FADE508FBFE}"/>
    <cellStyle name="40% - Énfasis6 93 2" xfId="17771" xr:uid="{A6344069-DC8F-4CB1-BCAC-EA7E4EEB1AE0}"/>
    <cellStyle name="40% - Énfasis6 93 2 2" xfId="24012" xr:uid="{5AC17FC5-E08C-47A4-A757-56B4017FAEF4}"/>
    <cellStyle name="40% - Énfasis6 93 3" xfId="22375" xr:uid="{4698C5A4-018F-4AA5-9E08-ADAB6D40457C}"/>
    <cellStyle name="40% - Énfasis6 93_1.2.b" xfId="16040" xr:uid="{FA9D0012-1F90-4D0C-8B3C-0F4EE6310F17}"/>
    <cellStyle name="40% - Énfasis6 94" xfId="13833" xr:uid="{4AFE5998-E078-462A-98CB-40664F0BD744}"/>
    <cellStyle name="40% - Énfasis6 94 2" xfId="17772" xr:uid="{521CEB66-A9B5-4891-9F82-0013C5423A99}"/>
    <cellStyle name="40% - Énfasis6 94 2 2" xfId="24013" xr:uid="{8CC450DD-668A-4CE3-B7E1-94BE5AE1D036}"/>
    <cellStyle name="40% - Énfasis6 94 3" xfId="22376" xr:uid="{2F13838E-5065-4C78-BED4-8D08A6EEE417}"/>
    <cellStyle name="40% - Énfasis6 94_1.2.b" xfId="16041" xr:uid="{E287F228-A543-4AC0-89F5-66C15C81B6F1}"/>
    <cellStyle name="40% - Énfasis6 95" xfId="13834" xr:uid="{D74FC1F8-4FB1-406B-857A-6175B269DAF1}"/>
    <cellStyle name="40% - Énfasis6 95 2" xfId="17773" xr:uid="{57A14D2B-5C3C-45BD-80CC-1A0AE2EAD692}"/>
    <cellStyle name="40% - Énfasis6 95 2 2" xfId="24014" xr:uid="{8444C34A-667A-4451-B30A-20B9F3B33C6B}"/>
    <cellStyle name="40% - Énfasis6 95 3" xfId="22377" xr:uid="{84B48123-E636-4803-BBDB-6029C618A8F8}"/>
    <cellStyle name="40% - Énfasis6 95_1.2.b" xfId="16042" xr:uid="{7BB7D3EF-E958-4951-8752-3F906B7F497D}"/>
    <cellStyle name="40% - Énfasis6 96" xfId="13835" xr:uid="{E1D7A8E2-8E04-4ED2-9E30-52BA73BEBAE6}"/>
    <cellStyle name="40% - Énfasis6 96 2" xfId="17774" xr:uid="{8FAD0843-DFA4-42D4-90C6-2502D9E89808}"/>
    <cellStyle name="40% - Énfasis6 96 2 2" xfId="24015" xr:uid="{072AC14F-21CB-4437-8DF2-C2347FEAE1DF}"/>
    <cellStyle name="40% - Énfasis6 96 3" xfId="22378" xr:uid="{0F0A7D7A-2835-42A7-A39F-D28CC138A10B}"/>
    <cellStyle name="40% - Énfasis6 96_1.2.b" xfId="16043" xr:uid="{C3DE3137-2FC5-4E59-8AE8-754F2B59CFBD}"/>
    <cellStyle name="60% - Accent1" xfId="41" xr:uid="{23FD7807-D3D0-4E6C-AB3D-D6035AA45B03}"/>
    <cellStyle name="60% - Accent1 2" xfId="18312" xr:uid="{DAFECB28-B6A2-4E7D-A6FC-57EC75B36413}"/>
    <cellStyle name="60% - Accent1 2 2" xfId="24440" xr:uid="{E83BEAE5-9CFF-46A1-87DA-7A12F9D0C138}"/>
    <cellStyle name="60% - Accent1 3" xfId="18339" xr:uid="{FFEC3501-EA1B-40F5-A7C6-370AA7AA95F6}"/>
    <cellStyle name="60% - Accent1 3 2" xfId="24462" xr:uid="{7B9EBA8D-697B-43DF-8F43-7499E173C75F}"/>
    <cellStyle name="60% - Accent2" xfId="45" xr:uid="{93EC51E8-4F48-4411-B1D9-D07EF95D6124}"/>
    <cellStyle name="60% - Accent2 2" xfId="18316" xr:uid="{7D0661B0-5CDB-4BB6-B693-970545B681E8}"/>
    <cellStyle name="60% - Accent2 2 2" xfId="24443" xr:uid="{805BBFB9-C122-460C-82E1-42AABC675B5C}"/>
    <cellStyle name="60% - Accent2 3" xfId="18342" xr:uid="{C34B8369-8287-4D7F-8358-A228F4442297}"/>
    <cellStyle name="60% - Accent2 3 2" xfId="24465" xr:uid="{389A09F4-F024-4AFF-B71B-F27B2A75B4A0}"/>
    <cellStyle name="60% - Accent3" xfId="49" xr:uid="{DC3391A3-FDA3-4EC5-822A-5C80F65D8817}"/>
    <cellStyle name="60% - Accent3 2" xfId="18320" xr:uid="{8941B79D-8CCD-4E6B-97F0-5DF4B1B6EFA6}"/>
    <cellStyle name="60% - Accent3 2 2" xfId="24446" xr:uid="{679C8A1A-70C1-4CFC-A0AF-96A773B6E009}"/>
    <cellStyle name="60% - Accent3 3" xfId="18345" xr:uid="{D0567484-EB6D-43BC-969D-533AFD622E01}"/>
    <cellStyle name="60% - Accent3 3 2" xfId="24468" xr:uid="{4F1B76B4-A6BE-4E73-8B2B-01CD77CE8C1C}"/>
    <cellStyle name="60% - Accent4" xfId="53" xr:uid="{5C7F3D00-A700-40A8-A9C3-D202CE6BE51D}"/>
    <cellStyle name="60% - Accent4 2" xfId="18324" xr:uid="{06409C1B-E87B-4A24-AE48-B45DB2ADCC49}"/>
    <cellStyle name="60% - Accent4 2 2" xfId="24449" xr:uid="{805F5303-05A3-4715-B63C-91844C9A072C}"/>
    <cellStyle name="60% - Accent4 3" xfId="18348" xr:uid="{F1B1070C-031E-4190-8ACC-BCF69A5872B5}"/>
    <cellStyle name="60% - Accent4 3 2" xfId="24471" xr:uid="{9536642A-6E6E-428A-9B5F-F2DF5132F848}"/>
    <cellStyle name="60% - Accent5" xfId="57" xr:uid="{2679593B-A18B-41BF-9877-6745CCFC705E}"/>
    <cellStyle name="60% - Accent5 2" xfId="18328" xr:uid="{D8964DD5-06F3-44E0-9E20-FFE8AEF636D3}"/>
    <cellStyle name="60% - Accent5 2 2" xfId="24452" xr:uid="{C3724AA9-137B-4EA1-BF97-A1A90E5A2127}"/>
    <cellStyle name="60% - Accent5 3" xfId="18352" xr:uid="{0B5D258E-B7F1-4F83-B0EF-7B4463428150}"/>
    <cellStyle name="60% - Accent5 3 2" xfId="24475" xr:uid="{17C9D0F5-9BE5-48CD-BED8-8980676899FB}"/>
    <cellStyle name="60% - Accent6" xfId="61" xr:uid="{9A329A58-99C7-449D-A50E-814010C7559C}"/>
    <cellStyle name="60% - Accent6 2" xfId="18332" xr:uid="{22FC8503-404C-408D-B6DC-EDA6D81DEB56}"/>
    <cellStyle name="60% - Accent6 2 2" xfId="24455" xr:uid="{296C1ADA-8431-410E-9535-6037C64918A8}"/>
    <cellStyle name="60% - Accent6 3" xfId="18355" xr:uid="{A9F1260B-CB49-41A8-98C4-A36F7BC99DB9}"/>
    <cellStyle name="60% - Accent6 3 2" xfId="24478" xr:uid="{F0EA3E59-AB33-41A6-B083-9C5537999485}"/>
    <cellStyle name="60% - Énfasis1 2" xfId="9877" xr:uid="{00000000-0005-0000-0000-00005D010000}"/>
    <cellStyle name="60% - Énfasis1 2 2" xfId="13836" xr:uid="{F3C0EE71-286C-41AE-84D1-1AB377205023}"/>
    <cellStyle name="60% - Énfasis1 2 2 2" xfId="13837" xr:uid="{1B6E6C68-C41B-41C6-B09C-50D628BBCEEE}"/>
    <cellStyle name="60% - Énfasis1 2 2 3" xfId="13838" xr:uid="{9017044F-F3BA-4B14-9931-88F1956320FB}"/>
    <cellStyle name="60% - Énfasis1 2 2 4" xfId="13839" xr:uid="{D9421696-99A4-47FA-98FD-299BB2AE90B6}"/>
    <cellStyle name="60% - Énfasis1 2 3" xfId="13840" xr:uid="{A645C82E-5949-4213-8AD8-933CC7B6ABF5}"/>
    <cellStyle name="60% - Énfasis1 2 4" xfId="13841" xr:uid="{004293A6-A2C7-4F68-BEE5-E3BE5E15CF31}"/>
    <cellStyle name="60% - Énfasis1 2 5" xfId="13842" xr:uid="{CEF3D93D-34EF-478A-94AE-4D02904E3849}"/>
    <cellStyle name="60% - Énfasis1 2 6" xfId="13843" xr:uid="{1C26D88B-8F44-4F16-A6EB-E8FA6ECB6B21}"/>
    <cellStyle name="60% - Énfasis1 2 7" xfId="13844" xr:uid="{245699FA-20E3-4226-B59C-C0C7499E2928}"/>
    <cellStyle name="60% - Énfasis1 2 8" xfId="13845" xr:uid="{09B87397-8323-4F5D-8682-F57BDFD13BB0}"/>
    <cellStyle name="60% - Énfasis1 3" xfId="10637" xr:uid="{00000000-0005-0000-0000-00005E010000}"/>
    <cellStyle name="60% - Énfasis1 3 2" xfId="13846" xr:uid="{D99344D8-DF5D-4016-AE6E-315E32A8BD8B}"/>
    <cellStyle name="60% - Énfasis1 3 3" xfId="13847" xr:uid="{A8F16188-8E01-41B3-91E9-BA94831281AD}"/>
    <cellStyle name="60% - Énfasis1 3_1.2.b" xfId="16044" xr:uid="{2CFE726E-6906-4816-839F-8F2494BBA8ED}"/>
    <cellStyle name="60% - Énfasis1 4" xfId="13848" xr:uid="{CFC2D90F-BC22-4678-80FA-1C0F3341A56A}"/>
    <cellStyle name="60% - Énfasis1 4 2" xfId="13849" xr:uid="{047A925D-041F-4C16-8247-3D65AC685532}"/>
    <cellStyle name="60% - Énfasis1 4 3" xfId="17775" xr:uid="{DE196A4A-ABDB-4FB8-BD1F-82B170090F1B}"/>
    <cellStyle name="60% - Énfasis1 4 3 2" xfId="24016" xr:uid="{CE515E17-B4D2-411B-9EFD-88FDF052C247}"/>
    <cellStyle name="60% - Énfasis1 4 4" xfId="18191" xr:uid="{9D8B5B30-2849-4F8F-B288-AC19171EEE02}"/>
    <cellStyle name="60% - Énfasis1 4 4 2" xfId="24378" xr:uid="{B28C4A10-FC9F-430B-A683-B03FC2341378}"/>
    <cellStyle name="60% - Énfasis1 4 5" xfId="18158" xr:uid="{5F81A026-5232-4757-9519-B0B920B89124}"/>
    <cellStyle name="60% - Énfasis1 4 5 2" xfId="24364" xr:uid="{994B9344-8CD9-4216-8A21-3BDD80FB7B48}"/>
    <cellStyle name="60% - Énfasis1 4 6" xfId="18192" xr:uid="{9435BEA1-04BC-4526-B10F-373D5907E8DC}"/>
    <cellStyle name="60% - Énfasis1 4 6 2" xfId="24379" xr:uid="{8E50B76C-2AFB-41DB-94B0-EED8CE462EEA}"/>
    <cellStyle name="60% - Énfasis1 4 7" xfId="18160" xr:uid="{89C67B5C-6C72-410D-9168-A8BD9663B46B}"/>
    <cellStyle name="60% - Énfasis1 4 7 2" xfId="24365" xr:uid="{0E5FD15A-B204-4191-9B5A-A00F3EF4A0B6}"/>
    <cellStyle name="60% - Énfasis1 4 8" xfId="22379" xr:uid="{BBA84346-B011-400B-AEC1-6EE5EAACB93C}"/>
    <cellStyle name="60% - Énfasis1 4_1.2.b" xfId="16045" xr:uid="{CF2AB810-AAFF-482F-904F-51D9BB8B2B34}"/>
    <cellStyle name="60% - Énfasis1 5" xfId="13850" xr:uid="{DB556841-F019-417E-8240-1B19CA1667B8}"/>
    <cellStyle name="60% - Énfasis1 6" xfId="13851" xr:uid="{D3520BF0-23FB-47A8-B97E-3D566EFA6DF3}"/>
    <cellStyle name="60% - Énfasis2 2" xfId="9878" xr:uid="{00000000-0005-0000-0000-000060010000}"/>
    <cellStyle name="60% - Énfasis2 2 2" xfId="13852" xr:uid="{9CC362FD-53E6-46F2-AF45-1487525E9A20}"/>
    <cellStyle name="60% - Énfasis2 2 2 2" xfId="13853" xr:uid="{6E377575-449F-4F7A-9822-CB28A2EEB738}"/>
    <cellStyle name="60% - Énfasis2 2 2 3" xfId="13854" xr:uid="{FF05C1D3-C40C-495A-B03C-F64A165C5905}"/>
    <cellStyle name="60% - Énfasis2 2 2 4" xfId="13855" xr:uid="{59953E16-D13B-4902-9044-0479BF133821}"/>
    <cellStyle name="60% - Énfasis2 2 3" xfId="13856" xr:uid="{729A5034-578F-4AE7-A845-6977AB17440C}"/>
    <cellStyle name="60% - Énfasis2 2 4" xfId="13857" xr:uid="{98A333FF-AC16-4870-BE81-C1A2C0891DDA}"/>
    <cellStyle name="60% - Énfasis2 2 5" xfId="13858" xr:uid="{FF663058-0DF8-4455-B1F9-91524333E5AB}"/>
    <cellStyle name="60% - Énfasis2 2 6" xfId="13859" xr:uid="{DB3AC5E2-BABF-4661-81C5-EC2D3949EEC5}"/>
    <cellStyle name="60% - Énfasis2 2 7" xfId="13860" xr:uid="{78B54320-30D5-4D3D-9AF8-84F1CEC523C6}"/>
    <cellStyle name="60% - Énfasis2 2 8" xfId="13861" xr:uid="{5A6700E1-315E-433B-A49C-C4455DE3C2C1}"/>
    <cellStyle name="60% - Énfasis2 3" xfId="10638" xr:uid="{00000000-0005-0000-0000-000061010000}"/>
    <cellStyle name="60% - Énfasis2 3 2" xfId="13862" xr:uid="{2A9DA750-29F0-4410-9EE3-9B8931874B4C}"/>
    <cellStyle name="60% - Énfasis2 3 3" xfId="13863" xr:uid="{B45E21B1-609D-4C02-8809-60F1CF44A2E3}"/>
    <cellStyle name="60% - Énfasis2 3_1.2.b" xfId="16046" xr:uid="{03F8CD97-FCA7-4C0D-AAD7-A9EFB23824F0}"/>
    <cellStyle name="60% - Énfasis2 4" xfId="13864" xr:uid="{222ED6DB-1F9D-4FAB-9855-E5C610BF96D9}"/>
    <cellStyle name="60% - Énfasis2 4 2" xfId="13865" xr:uid="{BF3B51F9-3D85-4186-9498-1E42C508F260}"/>
    <cellStyle name="60% - Énfasis2 4 3" xfId="17776" xr:uid="{5CC7611D-C98A-4A5F-BB80-9F1F67C91F3C}"/>
    <cellStyle name="60% - Énfasis2 4 3 2" xfId="24017" xr:uid="{36F33553-22E0-4CEB-875F-F2E6E0F6F8B4}"/>
    <cellStyle name="60% - Énfasis2 4 4" xfId="18193" xr:uid="{3FEDFB30-A7F5-488E-B306-055C5B22B91F}"/>
    <cellStyle name="60% - Énfasis2 4 4 2" xfId="24380" xr:uid="{5FBE20C7-B844-4790-8DA4-C3D82E5AAFEB}"/>
    <cellStyle name="60% - Énfasis2 4 5" xfId="18156" xr:uid="{0A333110-4EE8-428A-8703-6BBD6E7D0D63}"/>
    <cellStyle name="60% - Énfasis2 4 5 2" xfId="24362" xr:uid="{75EA484D-2581-4496-9B3E-2C40A786E230}"/>
    <cellStyle name="60% - Énfasis2 4 6" xfId="18195" xr:uid="{F66DFAA1-CAC8-44C4-8996-8B063C338645}"/>
    <cellStyle name="60% - Énfasis2 4 6 2" xfId="24381" xr:uid="{7E3D0BBB-F720-48E8-91FD-8F4996E6086F}"/>
    <cellStyle name="60% - Énfasis2 4 7" xfId="18157" xr:uid="{49659003-94CA-4D86-8437-73BD4DAB619A}"/>
    <cellStyle name="60% - Énfasis2 4 7 2" xfId="24363" xr:uid="{76F713B6-7F77-4607-B9FA-DEF36BE2E8E3}"/>
    <cellStyle name="60% - Énfasis2 4 8" xfId="22380" xr:uid="{E79710A0-6113-4429-A7C0-48618089307B}"/>
    <cellStyle name="60% - Énfasis2 4_1.2.b" xfId="16047" xr:uid="{63C35463-B999-49F3-A914-D393B9CCCC20}"/>
    <cellStyle name="60% - Énfasis2 5" xfId="13866" xr:uid="{7FC7B505-58DD-47AF-861A-D3B9C96A6456}"/>
    <cellStyle name="60% - Énfasis2 6" xfId="13867" xr:uid="{6AFF3B8C-C06F-4150-81DF-E13CE629E938}"/>
    <cellStyle name="60% - Énfasis3 10" xfId="13868" xr:uid="{13A82A54-627D-4B06-A127-978637BE0969}"/>
    <cellStyle name="60% - Énfasis3 2" xfId="9879" xr:uid="{00000000-0005-0000-0000-000063010000}"/>
    <cellStyle name="60% - Énfasis3 2 2" xfId="13869" xr:uid="{F5E9E46B-CAD1-4B40-B8D0-94EC0AEB2286}"/>
    <cellStyle name="60% - Énfasis3 2 2 2" xfId="13870" xr:uid="{2C74DD3D-2707-41F5-895D-55E7DB8500A8}"/>
    <cellStyle name="60% - Énfasis3 2 2 3" xfId="13871" xr:uid="{8D4EADC6-F1F1-4718-876A-A159B942FF44}"/>
    <cellStyle name="60% - Énfasis3 2 2 4" xfId="13872" xr:uid="{C413C0CB-2591-4434-AFF9-9AEF90318676}"/>
    <cellStyle name="60% - Énfasis3 2 2 5" xfId="13873" xr:uid="{0F2935E6-B60C-4438-8F9F-CF2925E81117}"/>
    <cellStyle name="60% - Énfasis3 2 2_1.2.b" xfId="16048" xr:uid="{658EE476-D40B-4555-868C-6172D744D7FC}"/>
    <cellStyle name="60% - Énfasis3 2 3" xfId="13874" xr:uid="{2B843F49-7AFF-46E6-8F06-6164A2C13241}"/>
    <cellStyle name="60% - Énfasis3 2 4" xfId="13875" xr:uid="{53009352-033F-42DC-9508-E253F1CAFD09}"/>
    <cellStyle name="60% - Énfasis3 2 5" xfId="13876" xr:uid="{B54AEBFE-FA07-4CC4-97BD-3D249CEB8E47}"/>
    <cellStyle name="60% - Énfasis3 2 6" xfId="13877" xr:uid="{7A754C0B-CB5B-49DF-B603-0E68E0C00F8D}"/>
    <cellStyle name="60% - Énfasis3 2 7" xfId="13878" xr:uid="{498937E5-3BB8-479C-93CC-89F0C609C85A}"/>
    <cellStyle name="60% - Énfasis3 2 8" xfId="13879" xr:uid="{BEA0CB87-E5B1-4D06-B3D9-DF943BFD3A4D}"/>
    <cellStyle name="60% - Énfasis3 3" xfId="10639" xr:uid="{00000000-0005-0000-0000-000064010000}"/>
    <cellStyle name="60% - Énfasis3 3 2" xfId="13880" xr:uid="{FBDB88BE-96A6-41FE-B6C5-508F173E3ECB}"/>
    <cellStyle name="60% - Énfasis3 3 3" xfId="13881" xr:uid="{431C30F6-14D2-45C1-A7FD-1D3ED265CA16}"/>
    <cellStyle name="60% - Énfasis3 3_1.2.b" xfId="16049" xr:uid="{D1D91477-8F1D-42FC-8D93-AE70DC8BD4F9}"/>
    <cellStyle name="60% - Énfasis3 4" xfId="13882" xr:uid="{2B98885B-9178-47EA-AAE2-E66D514AB983}"/>
    <cellStyle name="60% - Énfasis3 4 2" xfId="13883" xr:uid="{726F7CFE-DCE2-4029-81F3-7BE87FD4D89D}"/>
    <cellStyle name="60% - Énfasis3 4 2 2" xfId="13884" xr:uid="{26E5ED89-E69E-4180-9D30-6D4CF69686E5}"/>
    <cellStyle name="60% - Énfasis3 4 2_1.2.b" xfId="16051" xr:uid="{D4BF0C43-1045-4D25-AB21-D256BE1C51B0}"/>
    <cellStyle name="60% - Énfasis3 4 3" xfId="13885" xr:uid="{C3F02004-92F0-4B9D-8595-753D0A6FE548}"/>
    <cellStyle name="60% - Énfasis3 4_1.2.b" xfId="16050" xr:uid="{9B6454B6-1BDD-40E8-9C7F-D350E14F1116}"/>
    <cellStyle name="60% - Énfasis3 5" xfId="13886" xr:uid="{4F9921A9-CF60-4D58-B526-BF18B0B6A7D1}"/>
    <cellStyle name="60% - Énfasis3 6" xfId="13887" xr:uid="{A5AF5845-6271-4838-8949-D6AE505D62B4}"/>
    <cellStyle name="60% - Énfasis3 6 2" xfId="13888" xr:uid="{BA1C2F19-7776-4B6D-A66B-EEA0D097EEE3}"/>
    <cellStyle name="60% - Énfasis3 6 3" xfId="17778" xr:uid="{4C6F17C6-6374-4D71-89BE-16804D08985A}"/>
    <cellStyle name="60% - Énfasis3 6 3 2" xfId="24019" xr:uid="{C3D666CA-90BE-45A8-8450-E1E458C1B9C1}"/>
    <cellStyle name="60% - Énfasis3 6 4" xfId="18196" xr:uid="{91299096-9136-46E9-B454-7CA6E84ECB3A}"/>
    <cellStyle name="60% - Énfasis3 6 4 2" xfId="24382" xr:uid="{64901782-5174-4869-9DA4-EF31462CA7BD}"/>
    <cellStyle name="60% - Énfasis3 6 5" xfId="18154" xr:uid="{37ED11E5-0B48-40C8-9082-B250C871E569}"/>
    <cellStyle name="60% - Énfasis3 6 5 2" xfId="24360" xr:uid="{3B6358C3-C0E7-47E3-B49F-263F3D773833}"/>
    <cellStyle name="60% - Énfasis3 6 6" xfId="18197" xr:uid="{5A7365E3-0FA8-4499-8090-2B5BFB10B1F9}"/>
    <cellStyle name="60% - Énfasis3 6 6 2" xfId="24383" xr:uid="{8C76AA56-E5DB-4086-BFA3-D6791AAAE2F5}"/>
    <cellStyle name="60% - Énfasis3 6 7" xfId="18155" xr:uid="{CE9B96DA-C09E-435A-A60B-2FDAB425F7AE}"/>
    <cellStyle name="60% - Énfasis3 6 7 2" xfId="24361" xr:uid="{94590DCA-DAB0-4454-BA54-A73019CEE51D}"/>
    <cellStyle name="60% - Énfasis3 6 8" xfId="22381" xr:uid="{E5886FB1-DC72-49EA-A4F2-DE4044B4B524}"/>
    <cellStyle name="60% - Énfasis3 6_1.2.b" xfId="16052" xr:uid="{8120BE57-164F-40A5-A60E-45388E06D870}"/>
    <cellStyle name="60% - Énfasis3 7" xfId="13889" xr:uid="{1293EAFD-E62B-466B-82C6-8A9AB92BF645}"/>
    <cellStyle name="60% - Énfasis3 8" xfId="13890" xr:uid="{86E03DFC-4FB4-4BDB-9395-45883AE7BA8E}"/>
    <cellStyle name="60% - Énfasis3 9" xfId="13891" xr:uid="{2166BEEB-73AF-430E-A389-E9B0E4FE4B44}"/>
    <cellStyle name="60% - Énfasis4 10" xfId="13892" xr:uid="{6B941456-3E00-4211-8B83-A089FF48BCC0}"/>
    <cellStyle name="60% - Énfasis4 2" xfId="9880" xr:uid="{00000000-0005-0000-0000-000066010000}"/>
    <cellStyle name="60% - Énfasis4 2 2" xfId="13893" xr:uid="{B8B23E2D-6DDC-4A72-B549-5256281BB187}"/>
    <cellStyle name="60% - Énfasis4 2 2 2" xfId="13894" xr:uid="{6A5BC623-A38A-4CB6-92D1-07DE3154DBA4}"/>
    <cellStyle name="60% - Énfasis4 2 2 3" xfId="13895" xr:uid="{CEA5C397-5DED-465F-ABBE-C6944C96FC8D}"/>
    <cellStyle name="60% - Énfasis4 2 2 4" xfId="13896" xr:uid="{A226CDC5-AE48-4D50-BBF9-FFC534FF37BD}"/>
    <cellStyle name="60% - Énfasis4 2 2 5" xfId="13897" xr:uid="{6793815B-5C56-44F4-B729-14D3B025A86A}"/>
    <cellStyle name="60% - Énfasis4 2 2_1.2.b" xfId="16053" xr:uid="{A4D4BB4C-1CA5-44C1-9EBF-3F1432DEA4CC}"/>
    <cellStyle name="60% - Énfasis4 2 3" xfId="13898" xr:uid="{0F107D6D-AA9A-4749-823B-4109AD39769B}"/>
    <cellStyle name="60% - Énfasis4 2 4" xfId="13899" xr:uid="{4FEF9F9B-C920-484E-85C5-87AFF00CF901}"/>
    <cellStyle name="60% - Énfasis4 2 5" xfId="13900" xr:uid="{EE799C67-96DF-4AAF-907C-3924539E08C1}"/>
    <cellStyle name="60% - Énfasis4 2 6" xfId="13901" xr:uid="{D8130E8B-4514-4D6F-A5CB-289C1B4C500C}"/>
    <cellStyle name="60% - Énfasis4 2 7" xfId="13902" xr:uid="{02D5AB2A-E035-4787-8819-C76EDFAEEFB6}"/>
    <cellStyle name="60% - Énfasis4 2 8" xfId="13903" xr:uid="{796DF018-BD24-4B49-82E1-9A1012C07D8A}"/>
    <cellStyle name="60% - Énfasis4 3" xfId="10640" xr:uid="{00000000-0005-0000-0000-000067010000}"/>
    <cellStyle name="60% - Énfasis4 3 2" xfId="13904" xr:uid="{77B9EC3E-268F-42CC-9013-E2459BE6767A}"/>
    <cellStyle name="60% - Énfasis4 3 3" xfId="13905" xr:uid="{6FF92267-CCF2-41E6-A624-599F20D747C4}"/>
    <cellStyle name="60% - Énfasis4 3_1.2.b" xfId="16054" xr:uid="{010220ED-40C7-445A-8478-A076A779ED2B}"/>
    <cellStyle name="60% - Énfasis4 4" xfId="13906" xr:uid="{3DC55A06-A6C9-45E2-8A09-972999C7EE15}"/>
    <cellStyle name="60% - Énfasis4 4 2" xfId="13907" xr:uid="{BA42DD6C-BF0C-4047-8B94-807FA660511F}"/>
    <cellStyle name="60% - Énfasis4 4 2 2" xfId="13908" xr:uid="{D1711DBF-A104-4257-B622-A051E66F9335}"/>
    <cellStyle name="60% - Énfasis4 4 2_1.2.b" xfId="16056" xr:uid="{1A7619AD-0BD8-4874-9EF8-4B3EF9E7DE37}"/>
    <cellStyle name="60% - Énfasis4 4 3" xfId="13909" xr:uid="{2CD05F55-127D-4B46-9B23-347B9080A319}"/>
    <cellStyle name="60% - Énfasis4 4_1.2.b" xfId="16055" xr:uid="{6E66B19C-4508-4245-A155-217ECFBCEA41}"/>
    <cellStyle name="60% - Énfasis4 5" xfId="13910" xr:uid="{83BF781A-98B0-47A1-80A2-57A374C26316}"/>
    <cellStyle name="60% - Énfasis4 6" xfId="13911" xr:uid="{F97412A4-1F09-4FE3-820C-8AC39C1538D9}"/>
    <cellStyle name="60% - Énfasis4 6 2" xfId="13912" xr:uid="{B8D13BB7-F26D-4BE2-B817-BA16CBA19DBC}"/>
    <cellStyle name="60% - Énfasis4 6 3" xfId="17780" xr:uid="{3845467E-E823-4B73-897F-12FDF19FC318}"/>
    <cellStyle name="60% - Énfasis4 6 3 2" xfId="24021" xr:uid="{041E2ACC-5C0F-4F03-B9D8-96F31863802B}"/>
    <cellStyle name="60% - Énfasis4 6 4" xfId="18198" xr:uid="{EB0BBC0A-D538-4929-9E86-A03B2A6C6D51}"/>
    <cellStyle name="60% - Énfasis4 6 4 2" xfId="24384" xr:uid="{7EDE05F6-BCDA-49C1-9193-DBEEE070CB87}"/>
    <cellStyle name="60% - Énfasis4 6 5" xfId="16506" xr:uid="{35A8DBDD-17E3-4524-BEB3-211804664C8F}"/>
    <cellStyle name="60% - Énfasis4 6 5 2" xfId="22772" xr:uid="{596821FF-50F1-43B6-AD0A-D72C5101D51E}"/>
    <cellStyle name="60% - Énfasis4 6 6" xfId="18200" xr:uid="{B12C866E-C180-4D8B-8AC9-86445D4E6F96}"/>
    <cellStyle name="60% - Énfasis4 6 6 2" xfId="24386" xr:uid="{965DE375-1716-4BF4-93E2-6416FE8F454F}"/>
    <cellStyle name="60% - Énfasis4 6 7" xfId="18152" xr:uid="{738A606A-4384-4C6C-939E-F01B7A960D27}"/>
    <cellStyle name="60% - Énfasis4 6 7 2" xfId="24358" xr:uid="{1D8E1151-D82A-42C6-9A97-1371A64AB0EA}"/>
    <cellStyle name="60% - Énfasis4 6 8" xfId="22382" xr:uid="{FCD4DEEE-C36F-4261-9345-E3B16BF3C65C}"/>
    <cellStyle name="60% - Énfasis4 6_1.2.b" xfId="16057" xr:uid="{0898EA02-C88E-4E29-9D3F-63C3830B6C86}"/>
    <cellStyle name="60% - Énfasis4 7" xfId="13913" xr:uid="{BD0BF49D-E855-474D-A784-BD317A1D26ED}"/>
    <cellStyle name="60% - Énfasis4 8" xfId="13914" xr:uid="{7D9075C0-2A28-4197-9C7D-97F6613AB246}"/>
    <cellStyle name="60% - Énfasis4 9" xfId="13915" xr:uid="{52763D94-B739-407F-9172-45F04ADBDA51}"/>
    <cellStyle name="60% - Énfasis5 2" xfId="9881" xr:uid="{00000000-0005-0000-0000-000069010000}"/>
    <cellStyle name="60% - Énfasis5 2 2" xfId="13916" xr:uid="{04DCE050-7EA8-44C7-B6DF-44276E7608F1}"/>
    <cellStyle name="60% - Énfasis5 2 2 2" xfId="13917" xr:uid="{D0C4D547-F16D-4CF8-890A-2B77E11468CD}"/>
    <cellStyle name="60% - Énfasis5 2 2 3" xfId="13918" xr:uid="{3F776FD7-456F-40E6-AE86-032EDCDEDDC2}"/>
    <cellStyle name="60% - Énfasis5 2 2 4" xfId="13919" xr:uid="{300D5954-7573-4F4C-B45B-8AA100E690DE}"/>
    <cellStyle name="60% - Énfasis5 2 3" xfId="13920" xr:uid="{5A380FC4-4E67-40C9-A928-3CD5A7607DCD}"/>
    <cellStyle name="60% - Énfasis5 2 4" xfId="13921" xr:uid="{9E6179DB-D43C-4534-8345-0DDE30D0302A}"/>
    <cellStyle name="60% - Énfasis5 2 5" xfId="13922" xr:uid="{C3619B4F-DAD1-4D96-AF6A-AC08C78D07B5}"/>
    <cellStyle name="60% - Énfasis5 2 6" xfId="13923" xr:uid="{C338B967-739F-4E2F-9FAA-688747F47A7D}"/>
    <cellStyle name="60% - Énfasis5 2 7" xfId="13924" xr:uid="{FE517AA0-D6AC-4936-910E-2B41A540FF21}"/>
    <cellStyle name="60% - Énfasis5 2 8" xfId="13925" xr:uid="{E135AB9F-6F5A-451F-9C6E-2BE4D518DD61}"/>
    <cellStyle name="60% - Énfasis5 3" xfId="10641" xr:uid="{00000000-0005-0000-0000-00006A010000}"/>
    <cellStyle name="60% - Énfasis5 3 2" xfId="13926" xr:uid="{617D1571-979F-4303-BB6A-0B4488D6EFB4}"/>
    <cellStyle name="60% - Énfasis5 3 3" xfId="13927" xr:uid="{647DBB96-1F2A-4E9E-AF36-CA0F7C117B48}"/>
    <cellStyle name="60% - Énfasis5 3_1.2.b" xfId="16058" xr:uid="{E303143E-0650-4BE9-9319-EE172E7A9152}"/>
    <cellStyle name="60% - Énfasis5 4" xfId="13928" xr:uid="{2AC608F5-CDF6-44B7-B1BA-9085A20A4954}"/>
    <cellStyle name="60% - Énfasis5 4 2" xfId="13929" xr:uid="{33011BD8-425C-462B-89B1-0EB292950906}"/>
    <cellStyle name="60% - Énfasis5 4 3" xfId="17783" xr:uid="{EE8AD605-E342-410A-B7E1-3F8198D9C716}"/>
    <cellStyle name="60% - Énfasis5 4 3 2" xfId="24022" xr:uid="{7D394619-EE12-4A15-80A7-76C7B61D4CFA}"/>
    <cellStyle name="60% - Énfasis5 4 4" xfId="18201" xr:uid="{5B793DFB-743D-4B14-AEFD-7A9B8A4ECD98}"/>
    <cellStyle name="60% - Énfasis5 4 4 2" xfId="24387" xr:uid="{D5A2C9E7-3305-40EE-9FC6-18C4BED71DDB}"/>
    <cellStyle name="60% - Énfasis5 4 5" xfId="16521" xr:uid="{3F6D0EF5-DD22-4A54-84EB-0E5DB38E2B6D}"/>
    <cellStyle name="60% - Énfasis5 4 5 2" xfId="22786" xr:uid="{51EB7174-A7C8-4FE4-8083-3BEABA5A2B33}"/>
    <cellStyle name="60% - Énfasis5 4 6" xfId="18202" xr:uid="{A2BCDFB8-3166-4DA3-8EEB-50D80E187489}"/>
    <cellStyle name="60% - Énfasis5 4 6 2" xfId="24388" xr:uid="{02812A09-1AEC-42B6-B21E-FBCD04D91E26}"/>
    <cellStyle name="60% - Énfasis5 4 7" xfId="16508" xr:uid="{85FECD6B-1512-4704-AB2E-AC0A49E66F51}"/>
    <cellStyle name="60% - Énfasis5 4 7 2" xfId="22774" xr:uid="{A503D807-4456-4F1D-8A10-F81EB78A45F8}"/>
    <cellStyle name="60% - Énfasis5 4 8" xfId="22383" xr:uid="{A1FEF4D9-37F2-4ECC-AAC9-27EECABCE9D5}"/>
    <cellStyle name="60% - Énfasis5 4_1.2.b" xfId="16059" xr:uid="{52F73E18-986E-485B-B751-D1BAB0F6D82E}"/>
    <cellStyle name="60% - Énfasis5 5" xfId="13930" xr:uid="{EE6E736B-8495-4AE4-A47C-2B0E3002D61C}"/>
    <cellStyle name="60% - Énfasis5 6" xfId="13931" xr:uid="{C131BBA1-48FB-47EC-8545-DB2946C59CD6}"/>
    <cellStyle name="60% - Énfasis6 10" xfId="13932" xr:uid="{8FBB5FA7-B2B8-427F-8DDA-7342153E3E1C}"/>
    <cellStyle name="60% - Énfasis6 2" xfId="9882" xr:uid="{00000000-0005-0000-0000-00006C010000}"/>
    <cellStyle name="60% - Énfasis6 2 2" xfId="13933" xr:uid="{4AF7437F-C1E4-4313-9C3F-33500221D087}"/>
    <cellStyle name="60% - Énfasis6 2 2 2" xfId="13934" xr:uid="{7046F7BB-7981-4E22-B204-86BA7B5A59D5}"/>
    <cellStyle name="60% - Énfasis6 2 2 3" xfId="13935" xr:uid="{2EA7ECE1-D2B4-4EFE-BC96-CEEBF90CF95C}"/>
    <cellStyle name="60% - Énfasis6 2 2 4" xfId="13936" xr:uid="{DB8C46D9-9518-4B24-AB57-94A3B0B34566}"/>
    <cellStyle name="60% - Énfasis6 2 2 5" xfId="13937" xr:uid="{8275DF50-3BA0-4288-BE24-F3EC40615DEC}"/>
    <cellStyle name="60% - Énfasis6 2 2_1.2.b" xfId="16060" xr:uid="{AC04FE53-0F89-4C83-BE89-D493B65B0282}"/>
    <cellStyle name="60% - Énfasis6 2 3" xfId="13938" xr:uid="{9775AF9B-AB06-4B75-9A12-AEF9C4E1E9B5}"/>
    <cellStyle name="60% - Énfasis6 2 4" xfId="13939" xr:uid="{3DAA6AB4-8EC3-4A64-ADC3-2E5ED0D86C8A}"/>
    <cellStyle name="60% - Énfasis6 2 5" xfId="13940" xr:uid="{95BFBA89-AA02-4B21-929A-6ECB02630A81}"/>
    <cellStyle name="60% - Énfasis6 2 6" xfId="13941" xr:uid="{DB7CB675-1359-4183-90FE-FCAEE9C2169C}"/>
    <cellStyle name="60% - Énfasis6 2 7" xfId="13942" xr:uid="{D81777BD-AC7E-4096-9318-3735B8616998}"/>
    <cellStyle name="60% - Énfasis6 2 8" xfId="13943" xr:uid="{2A8E1C32-CA08-4F2E-94F5-1ED7C875DDB8}"/>
    <cellStyle name="60% - Énfasis6 3" xfId="10642" xr:uid="{00000000-0005-0000-0000-00006D010000}"/>
    <cellStyle name="60% - Énfasis6 3 2" xfId="13944" xr:uid="{1C2BC8CD-459A-4B08-8292-ED49866A8FC8}"/>
    <cellStyle name="60% - Énfasis6 3 3" xfId="13945" xr:uid="{6CA7A2BE-E8F4-462E-852F-8A639244F253}"/>
    <cellStyle name="60% - Énfasis6 3_1.2.b" xfId="16061" xr:uid="{BEB4C475-E6B0-4969-96BC-5E1478C84CCF}"/>
    <cellStyle name="60% - Énfasis6 4" xfId="13946" xr:uid="{E5557043-13F5-4B7C-BF88-E5BEAABF8D44}"/>
    <cellStyle name="60% - Énfasis6 4 2" xfId="13947" xr:uid="{2E50DD9F-06F6-4A0B-81AE-207DAC016689}"/>
    <cellStyle name="60% - Énfasis6 4 2 2" xfId="13948" xr:uid="{86AA7C57-57AE-4ADD-8528-A681F6F8FEBA}"/>
    <cellStyle name="60% - Énfasis6 4 2_1.2.b" xfId="16063" xr:uid="{A0267A06-6DD0-47B7-955A-6617CDCE106C}"/>
    <cellStyle name="60% - Énfasis6 4 3" xfId="13949" xr:uid="{121AB7CA-14CE-4093-93A4-4F862725F9AD}"/>
    <cellStyle name="60% - Énfasis6 4_1.2.b" xfId="16062" xr:uid="{603108F8-EBA4-4199-897B-F2FDB051BDD4}"/>
    <cellStyle name="60% - Énfasis6 5" xfId="13950" xr:uid="{77A2E878-E1B5-43B7-92AE-E1341E609EDD}"/>
    <cellStyle name="60% - Énfasis6 6" xfId="13951" xr:uid="{005F4725-4027-49D9-BD13-B6A5AC7B268D}"/>
    <cellStyle name="60% - Énfasis6 6 2" xfId="13952" xr:uid="{302BCA2A-A202-4B46-A0CB-EC26E6617F19}"/>
    <cellStyle name="60% - Énfasis6 6 3" xfId="17785" xr:uid="{C0BF7895-96BA-45D1-9C0A-98F3722CC7FA}"/>
    <cellStyle name="60% - Énfasis6 6 3 2" xfId="24023" xr:uid="{A5D8B120-1D67-4230-BDE0-142796ED4475}"/>
    <cellStyle name="60% - Énfasis6 6 4" xfId="18204" xr:uid="{B08AE001-ABF3-48D0-826F-B881E6ECA13C}"/>
    <cellStyle name="60% - Énfasis6 6 4 2" xfId="24390" xr:uid="{66E12F97-8ACA-4270-B063-25BD008EE99A}"/>
    <cellStyle name="60% - Énfasis6 6 5" xfId="16747" xr:uid="{0AA7AD4D-BC02-47C3-B104-5770E834934A}"/>
    <cellStyle name="60% - Énfasis6 6 5 2" xfId="23007" xr:uid="{03956553-3026-4963-A10D-9188E8D45F22}"/>
    <cellStyle name="60% - Énfasis6 6 6" xfId="18206" xr:uid="{696D7904-1A97-4E16-84A1-F71141E48639}"/>
    <cellStyle name="60% - Énfasis6 6 6 2" xfId="24391" xr:uid="{4D1ED712-899F-48C4-9550-E01E50C4F2BB}"/>
    <cellStyle name="60% - Énfasis6 6 7" xfId="16749" xr:uid="{21A32F5D-BB7E-4CDC-972D-E3DF7C09550A}"/>
    <cellStyle name="60% - Énfasis6 6 7 2" xfId="23008" xr:uid="{DFD00EF0-3AFA-4C25-B3AF-9833144BF25D}"/>
    <cellStyle name="60% - Énfasis6 6 8" xfId="22384" xr:uid="{95DCAA49-3B85-4E4A-8D74-EC35BE6F5085}"/>
    <cellStyle name="60% - Énfasis6 6_1.2.b" xfId="16064" xr:uid="{0E8CD0E7-416C-4484-B102-48658F9974CB}"/>
    <cellStyle name="60% - Énfasis6 7" xfId="13953" xr:uid="{C7E028E9-52FE-413C-B3F0-D3127AE61318}"/>
    <cellStyle name="60% - Énfasis6 8" xfId="13954" xr:uid="{2FBE8B2A-A35B-43C7-9609-4D31590249C5}"/>
    <cellStyle name="60% - Énfasis6 9" xfId="13955" xr:uid="{D54AF1D1-5612-4E18-998B-7BB3A007114F}"/>
    <cellStyle name="AAAAAA" xfId="14781" xr:uid="{64F7EBD3-0EDB-4119-986C-C534ACC670EB}"/>
    <cellStyle name="Accent1" xfId="38" xr:uid="{9420B75F-BACF-4BA3-845C-4DD032B4E90B}"/>
    <cellStyle name="Accent1 2" xfId="18309" xr:uid="{A893F9C1-F1E1-4DAA-9BB6-AD5286FC32AE}"/>
    <cellStyle name="Accent2" xfId="42" xr:uid="{231C9AFB-2410-40A3-8B47-D3C0BAAD9365}"/>
    <cellStyle name="Accent2 2" xfId="18313" xr:uid="{5BFF293F-48D6-47D2-918B-D36AA82A068E}"/>
    <cellStyle name="Accent3" xfId="46" xr:uid="{2217B51E-B3A2-4D43-B426-EC9998DC5351}"/>
    <cellStyle name="Accent3 2" xfId="18317" xr:uid="{CE78CD0A-0D95-407A-A828-2CBF95B7FDB1}"/>
    <cellStyle name="Accent4" xfId="50" xr:uid="{70E1D1E4-3AAD-4FB7-8CAB-0BCC4D89879F}"/>
    <cellStyle name="Accent4 2" xfId="18321" xr:uid="{507EC367-BB92-4CB9-98E7-DA17A3A5499E}"/>
    <cellStyle name="Accent5" xfId="54" xr:uid="{211D38CA-39D9-4A7C-93D8-E56A37FD4424}"/>
    <cellStyle name="Accent5 2" xfId="18325" xr:uid="{981AAFE0-897B-4D55-86A4-01165CA7C4D1}"/>
    <cellStyle name="Accent6" xfId="58" xr:uid="{6E55D11D-458C-46D3-A2EB-8D8F1836532F}"/>
    <cellStyle name="Accent6 2" xfId="18329" xr:uid="{91FB5F36-4661-47F0-AE17-276CC0392AF3}"/>
    <cellStyle name="ANCLAS,REZONES Y SUS PARTES,DE FUNDICION,DE HIERRO O DE ACERO" xfId="129" xr:uid="{00000000-0005-0000-0000-00006E010000}"/>
    <cellStyle name="ANCLAS,REZONES Y SUS PARTES,DE FUNDICION,DE HIERRO O DE ACERO 2" xfId="13956" xr:uid="{A8475367-B6D0-4D76-98F5-1533242D377B}"/>
    <cellStyle name="ANCLAS,REZONES Y SUS PARTES,DE FUNDICION,DE HIERRO O DE ACERO 2 2" xfId="14697" xr:uid="{1700FF68-9062-417C-9D5C-EF0DB1E44410}"/>
    <cellStyle name="ANCLAS,REZONES Y SUS PARTES,DE FUNDICION,DE HIERRO O DE ACERO 3" xfId="14696" xr:uid="{F62C6295-E62C-4EC1-B87E-97EFF50D352A}"/>
    <cellStyle name="Bad" xfId="33" xr:uid="{F25AD35C-F6F8-4D9D-A7E8-8E8FA64DB340}"/>
    <cellStyle name="Bad 2" xfId="18299" xr:uid="{5A2FB8D7-1250-4BE4-B7A8-A64C2F0EC2B8}"/>
    <cellStyle name="Buena 2" xfId="13957" xr:uid="{071F3F7E-919F-4475-8033-176799F802D1}"/>
    <cellStyle name="Buena 2 2" xfId="13958" xr:uid="{C9B357DA-DD45-48D4-BC70-18333AD2A002}"/>
    <cellStyle name="Buena 2 2 2" xfId="13959" xr:uid="{A9A678DC-5C2D-48F9-93C0-F3D97143856D}"/>
    <cellStyle name="Buena 2 2 3" xfId="13960" xr:uid="{CBAD56BB-06D1-40A0-9469-A75256406F24}"/>
    <cellStyle name="Buena 2 2 4" xfId="13961" xr:uid="{7D82F660-CA8B-4216-A7FA-6B9173DA7BF0}"/>
    <cellStyle name="Buena 2 3" xfId="13962" xr:uid="{DA6A8D50-68D8-4B50-99B7-168B565AD19C}"/>
    <cellStyle name="Buena 2 4" xfId="13963" xr:uid="{E6E95E16-6942-4517-9042-9C6FFEAF3224}"/>
    <cellStyle name="Buena 2 5" xfId="13964" xr:uid="{D312777F-929B-4C57-8E40-5E48139F1083}"/>
    <cellStyle name="Buena 2 6" xfId="13965" xr:uid="{C280DDCA-EBFE-47D5-8BE9-E5F4B9D8731A}"/>
    <cellStyle name="Buena 2 7" xfId="13966" xr:uid="{FF9DFF84-8860-4C16-BFFA-97D504001017}"/>
    <cellStyle name="Buena 2 8" xfId="13967" xr:uid="{4DA0152C-B28E-4EF2-AFE8-9A44DA3264E4}"/>
    <cellStyle name="Buena 3" xfId="13968" xr:uid="{22ADF950-90B5-40FE-B9E6-EFD4C68B1272}"/>
    <cellStyle name="Buena 3 2" xfId="13969" xr:uid="{FD5C8465-EBA6-4E91-9946-94622B41DC72}"/>
    <cellStyle name="Buena 4" xfId="13970" xr:uid="{7883191B-B149-41E7-9A4B-BB1464B654AC}"/>
    <cellStyle name="Buena 5" xfId="13971" xr:uid="{71778877-94BE-4450-A2D8-CD28E9C9DB86}"/>
    <cellStyle name="Buena 6" xfId="13972" xr:uid="{BA79D30F-C92D-4408-B910-445350309617}"/>
    <cellStyle name="Bueno" xfId="14161" builtinId="26" customBuiltin="1"/>
    <cellStyle name="Bueno 2" xfId="13973" xr:uid="{7299F16A-AE12-4351-9D88-9C7FD05957BB}"/>
    <cellStyle name="Bueno 3" xfId="14698" xr:uid="{D3AD6D2E-EDC3-4B5A-AEE1-537FD182D8C0}"/>
    <cellStyle name="Cabecera 1" xfId="216" xr:uid="{00000000-0005-0000-0000-000070010000}"/>
    <cellStyle name="Cabecera 2" xfId="217" xr:uid="{00000000-0005-0000-0000-000071010000}"/>
    <cellStyle name="calculado" xfId="18356" xr:uid="{17AD620C-E07C-417C-9A77-7B0B64FF7E68}"/>
    <cellStyle name="Calculation" xfId="36" xr:uid="{3067DEED-1400-4386-AD90-DCD71FACD7B6}"/>
    <cellStyle name="Calculation 2" xfId="18303" xr:uid="{531BF0FC-6359-44B7-92D7-535896DA3D81}"/>
    <cellStyle name="Cálculo 2" xfId="9883" xr:uid="{00000000-0005-0000-0000-000073010000}"/>
    <cellStyle name="Cálculo 2 10" xfId="19048" xr:uid="{5E0B7BED-4CB9-4B99-A1BD-0B297AD031D4}"/>
    <cellStyle name="Cálculo 2 2" xfId="12348" xr:uid="{00000000-0005-0000-0000-000074010000}"/>
    <cellStyle name="Cálculo 2 2 2" xfId="13976" xr:uid="{FD85A110-58AF-4CBE-9CB5-0E95F044AB41}"/>
    <cellStyle name="Cálculo 2 2 2 2" xfId="22387" xr:uid="{D487155A-C6F5-4FBA-ABC5-2087FCD70F15}"/>
    <cellStyle name="Cálculo 2 2 3" xfId="13977" xr:uid="{BE0349C6-B886-474C-A560-51B6CDB3BDA3}"/>
    <cellStyle name="Cálculo 2 2 3 2" xfId="22388" xr:uid="{3A1271A0-6797-48C3-8081-56B6CCE3C399}"/>
    <cellStyle name="Cálculo 2 2 4" xfId="13978" xr:uid="{1134A614-163F-455F-AC1F-0A9BA6A14692}"/>
    <cellStyle name="Cálculo 2 2 4 2" xfId="22389" xr:uid="{763F428E-01F0-4855-BD50-345D6B357386}"/>
    <cellStyle name="Cálculo 2 2 5" xfId="13975" xr:uid="{584C5831-EFB4-40D5-9E93-48B059686D0E}"/>
    <cellStyle name="Cálculo 2 2 5 2" xfId="22386" xr:uid="{8E5D41EB-40A6-4668-BEBB-28B3D3E3BEA3}"/>
    <cellStyle name="Cálculo 2 2 6" xfId="21093" xr:uid="{24B5EA0E-C710-4288-A3E5-4D90173A226A}"/>
    <cellStyle name="Cálculo 2 2_1.2.b" xfId="16066" xr:uid="{108108D5-ACFA-43E4-A34C-BF1F01E5A719}"/>
    <cellStyle name="Cálculo 2 3" xfId="12344" xr:uid="{00000000-0005-0000-0000-000075010000}"/>
    <cellStyle name="Cálculo 2 3 2" xfId="13979" xr:uid="{197C8CA5-32D8-4D85-8964-E3B01CB234B3}"/>
    <cellStyle name="Cálculo 2 3 2 2" xfId="22390" xr:uid="{E878FBE2-2B56-4950-B663-7F94F3C86B0E}"/>
    <cellStyle name="Cálculo 2 3 3" xfId="21089" xr:uid="{7F2FA196-F2BC-4CA4-8749-1D1A4B28D34E}"/>
    <cellStyle name="Cálculo 2 3_1.2.b" xfId="16067" xr:uid="{34E3CF40-F086-46DF-8515-7573320CF636}"/>
    <cellStyle name="Cálculo 2 4" xfId="13980" xr:uid="{2404B6A3-3AB2-4BFD-A703-2FDA5AC74A1F}"/>
    <cellStyle name="Cálculo 2 4 2" xfId="22391" xr:uid="{8FF1EC28-36D9-44B2-A032-A57FC3CA3560}"/>
    <cellStyle name="Cálculo 2 5" xfId="13981" xr:uid="{2FB29435-0551-47EF-85D6-9DF982BDD3EA}"/>
    <cellStyle name="Cálculo 2 5 2" xfId="22392" xr:uid="{E80D56D1-7CF9-4212-97E3-B51C109322E1}"/>
    <cellStyle name="Cálculo 2 6" xfId="13982" xr:uid="{8A7778B0-96A7-4A1E-BDD2-B9A7BFC65384}"/>
    <cellStyle name="Cálculo 2 6 2" xfId="22393" xr:uid="{00A23C3A-979A-4063-A058-40AE9C44C79F}"/>
    <cellStyle name="Cálculo 2 7" xfId="13983" xr:uid="{7ADA5D46-81A0-42C5-9464-14F043CBA01E}"/>
    <cellStyle name="Cálculo 2 7 2" xfId="22394" xr:uid="{5CA1D2D4-2363-4283-AF46-5B5CB3C36BA1}"/>
    <cellStyle name="Cálculo 2 8" xfId="13984" xr:uid="{8B4CA469-CD6A-4D17-AC7D-E3F65528EABF}"/>
    <cellStyle name="Cálculo 2 8 2" xfId="22395" xr:uid="{EAEBA466-5B2C-4E47-B266-B158841321D7}"/>
    <cellStyle name="Cálculo 2 9" xfId="13974" xr:uid="{E1757109-C9B4-49CC-993D-78CA8D12E5AD}"/>
    <cellStyle name="Cálculo 2 9 2" xfId="22385" xr:uid="{73B81D11-329E-43AC-B1D4-9491EB76EAD2}"/>
    <cellStyle name="Cálculo 2_1.2.b" xfId="16065" xr:uid="{091A406F-C7AB-4515-9D6B-0F5990A4CD09}"/>
    <cellStyle name="Cálculo 3" xfId="13985" xr:uid="{F9C168FF-E544-4833-B4CE-564129D4636C}"/>
    <cellStyle name="Cálculo 3 2" xfId="13986" xr:uid="{1B94853C-5603-4CEF-8038-C20065ABA30B}"/>
    <cellStyle name="Cálculo 3 3" xfId="13987" xr:uid="{E793E10B-0C4E-4F31-852A-46DCE5AB7DD8}"/>
    <cellStyle name="Cálculo 3 3 2" xfId="22396" xr:uid="{7B030400-4B1F-472A-88DD-3A8B8CD4F1EF}"/>
    <cellStyle name="Cálculo 3_1.2.b" xfId="16068" xr:uid="{5BB519E4-6F95-42A6-980B-77C994FA3427}"/>
    <cellStyle name="Cálculo 4" xfId="13988" xr:uid="{12ACEF80-B3F6-4B6B-90DC-9531714ABB42}"/>
    <cellStyle name="Cálculo 5" xfId="13989" xr:uid="{68356E34-50F8-45A5-92A5-E563E6AA42B2}"/>
    <cellStyle name="Cálculo 6" xfId="13990" xr:uid="{8F753888-83B1-4047-9923-B87ED1300F59}"/>
    <cellStyle name="Cambiar to&amp;do" xfId="10592" xr:uid="{00000000-0005-0000-0000-000076010000}"/>
    <cellStyle name="Celda de comprobación" xfId="14023" builtinId="23" customBuiltin="1"/>
    <cellStyle name="Celda de comprobación 2" xfId="9884" xr:uid="{00000000-0005-0000-0000-000078010000}"/>
    <cellStyle name="Celda de comprobación 2 2" xfId="13991" xr:uid="{1828DB41-3C0F-400F-9536-98D3654C439A}"/>
    <cellStyle name="Celda de comprobación 2 2 2" xfId="13992" xr:uid="{695B359F-2F5D-4CBC-9AE0-F13315D634DE}"/>
    <cellStyle name="Celda de comprobación 2 2 3" xfId="13993" xr:uid="{0F17D636-D327-4EE5-B6EC-A0E26CDD9149}"/>
    <cellStyle name="Celda de comprobación 2 2 4" xfId="13994" xr:uid="{2C734115-8BD8-4F4B-818A-498DA21AAE63}"/>
    <cellStyle name="Celda de comprobación 2 3" xfId="13995" xr:uid="{59137A98-384F-4F0A-91FE-BE83E8073E09}"/>
    <cellStyle name="Celda de comprobación 2 4" xfId="13996" xr:uid="{26C3646B-7BC9-4213-867D-2A9CAB2DB603}"/>
    <cellStyle name="Celda de comprobación 2 5" xfId="13997" xr:uid="{B45FB4DA-8352-485A-BAAE-F97039E3F12F}"/>
    <cellStyle name="Celda de comprobación 2 6" xfId="13998" xr:uid="{104F6E7B-ABE3-499A-871A-D76A4A0E41D1}"/>
    <cellStyle name="Celda de comprobación 2 7" xfId="13999" xr:uid="{2BAEB6ED-0E3B-458E-8C6E-165AFE09F12C}"/>
    <cellStyle name="Celda de comprobación 2 8" xfId="14000" xr:uid="{A37043F3-0C7E-4FA0-8611-EA9E3EB2D5F0}"/>
    <cellStyle name="Celda de comprobación 3" xfId="14001" xr:uid="{E320EC86-52BF-44A7-9347-A81F85C2049A}"/>
    <cellStyle name="Celda de comprobación 3 2" xfId="14002" xr:uid="{A7535957-881F-4F42-8654-0E1459120C1E}"/>
    <cellStyle name="Celda de comprobación 3 3" xfId="14003" xr:uid="{547BDCFB-C2CA-4BB6-B0AD-CDB1D4ADCC9E}"/>
    <cellStyle name="Celda de comprobación 3_1.2.b" xfId="16069" xr:uid="{072DB579-8D99-4271-AB8D-4623DE39FF98}"/>
    <cellStyle name="Celda de comprobación 4" xfId="14004" xr:uid="{839A5B29-CDDE-47A1-B33B-7A5A800C7B28}"/>
    <cellStyle name="Celda de comprobación 5" xfId="14005" xr:uid="{29C0C3B9-B0EC-4D6D-89B0-51C507C11739}"/>
    <cellStyle name="Celda de comprobación 6" xfId="14006" xr:uid="{B8294B87-D2C0-49E9-93AE-43A4F814460B}"/>
    <cellStyle name="Celda vinculada" xfId="14186" builtinId="24" customBuiltin="1"/>
    <cellStyle name="Celda vinculada 2" xfId="9885" xr:uid="{00000000-0005-0000-0000-00007A010000}"/>
    <cellStyle name="Celda vinculada 2 2" xfId="14007" xr:uid="{2842FA12-13C9-437A-8CE2-522790FA8EBF}"/>
    <cellStyle name="Celda vinculada 2 2 2" xfId="14008" xr:uid="{4197B8F7-878F-4BFC-BFC7-3CCA399FFA1B}"/>
    <cellStyle name="Celda vinculada 2 2 3" xfId="14009" xr:uid="{F625A15E-211D-4AD9-823D-DBB97E1AB6F8}"/>
    <cellStyle name="Celda vinculada 2 2 4" xfId="14010" xr:uid="{62B86FAC-8133-4B1A-880E-569CA1CC76BB}"/>
    <cellStyle name="Celda vinculada 2 3" xfId="14011" xr:uid="{242FB5ED-D58B-4EEF-ABBC-5A163BB5C8AC}"/>
    <cellStyle name="Celda vinculada 2 4" xfId="14012" xr:uid="{F9A989AA-F258-432A-BB54-6EE077E754ED}"/>
    <cellStyle name="Celda vinculada 2 5" xfId="14013" xr:uid="{8AF6656D-A1D3-4786-B357-B2E469CECC45}"/>
    <cellStyle name="Celda vinculada 2 6" xfId="14014" xr:uid="{FE71B868-107C-4B7D-85AA-742820FF1624}"/>
    <cellStyle name="Celda vinculada 2 7" xfId="14015" xr:uid="{EF089691-ACD6-4CDE-9A96-719CD006D933}"/>
    <cellStyle name="Celda vinculada 2 8" xfId="14016" xr:uid="{2BAAA425-B9E5-4381-83DB-AB50C0867D23}"/>
    <cellStyle name="Celda vinculada 3" xfId="14017" xr:uid="{C76AE075-308A-4C41-8A12-E7F0444CD992}"/>
    <cellStyle name="Celda vinculada 3 2" xfId="14018" xr:uid="{1C893792-322E-4F05-883B-86215DFF0B5C}"/>
    <cellStyle name="Celda vinculada 3 3" xfId="14019" xr:uid="{CC107180-214B-4DEC-ADEE-FA29CB683EF1}"/>
    <cellStyle name="Celda vinculada 3_1.2.b" xfId="16070" xr:uid="{8BD5337F-0F0F-41BF-B3CB-7D01918C4AFD}"/>
    <cellStyle name="Celda vinculada 4" xfId="14020" xr:uid="{6B351709-2081-4EC3-95DD-08C91B870A2B}"/>
    <cellStyle name="Celda vinculada 5" xfId="14021" xr:uid="{D37D1264-31A0-42A6-9C15-BFC2519C5843}"/>
    <cellStyle name="Celda vinculada 6" xfId="14022" xr:uid="{473E533B-AB57-47C6-BCCB-7BD72C61F552}"/>
    <cellStyle name="Check Cell 2" xfId="18305" xr:uid="{46BAEF76-9E8A-4A85-91FB-B3D9862D3BCF}"/>
    <cellStyle name="Comienzo de Serie" xfId="14782" xr:uid="{CA16B16C-1557-4089-BA9E-B714AAAD3E74}"/>
    <cellStyle name="Comma" xfId="24490" xr:uid="{00000000-0005-0000-0000-00007B010000}"/>
    <cellStyle name="Comma [0]" xfId="1" xr:uid="{00000000-0005-0000-0000-00007C010000}"/>
    <cellStyle name="Comma [0] 2" xfId="14025" xr:uid="{738E4D5B-B6B8-4BAB-859A-E96A6B2FD4B8}"/>
    <cellStyle name="Comma [0]_1.2.b" xfId="16072" xr:uid="{2C647252-6B83-4D59-8204-3F9ACBDCF7A6}"/>
    <cellStyle name="Comma 10" xfId="17275" xr:uid="{779D25C0-65D0-478B-9D2C-D20D9E7CBA63}"/>
    <cellStyle name="Comma 11" xfId="21141" xr:uid="{5BC00FA8-313F-4DBE-ADCC-A84527E550FB}"/>
    <cellStyle name="Comma 12" xfId="24492" xr:uid="{D8C3B3FA-1313-40DD-822A-11F580A20548}"/>
    <cellStyle name="Comma 13" xfId="24494" xr:uid="{9BA32953-5D14-452C-9089-2509376D8F39}"/>
    <cellStyle name="Comma 2" xfId="14024" xr:uid="{2358EAA7-403A-4F13-8A92-A20147356D16}"/>
    <cellStyle name="Comma 3" xfId="14778" xr:uid="{0DC575F9-8BB7-4445-85D0-416D69AD51BC}"/>
    <cellStyle name="Comma 4" xfId="14776" xr:uid="{ACF99253-38F8-44FB-A5D1-EB68F855AE50}"/>
    <cellStyle name="Comma 5" xfId="14777" xr:uid="{0170A2CB-7D1F-4EF7-AD94-57CB2FFE47FC}"/>
    <cellStyle name="Comma 6" xfId="17800" xr:uid="{0F58C186-EE51-4638-94BE-62296A56F642}"/>
    <cellStyle name="Comma 7" xfId="18209" xr:uid="{6455BC8D-47EA-4106-B5CE-ED1B71E34ECB}"/>
    <cellStyle name="Comma 8" xfId="17274" xr:uid="{A3764DA5-7E3E-433B-AC8C-4B0A47619ED9}"/>
    <cellStyle name="Comma 9" xfId="18211" xr:uid="{3DC6C827-6CB7-4D13-97C7-3CB2589E0ADC}"/>
    <cellStyle name="Comma_1.2.b" xfId="16071" xr:uid="{7493AC3F-9091-4AB1-AD77-FCD81F8C6690}"/>
    <cellStyle name="Currency" xfId="2" xr:uid="{00000000-0005-0000-0000-00007E010000}"/>
    <cellStyle name="Currency [0]" xfId="3" xr:uid="{00000000-0005-0000-0000-00007F010000}"/>
    <cellStyle name="Currency [0] 2" xfId="14027" xr:uid="{C97D8D83-B6FE-432D-9C5E-A439B998D5DB}"/>
    <cellStyle name="Currency [0]_1.2.b" xfId="16074" xr:uid="{EF6EEDA6-EBA1-46AD-88B8-FAFEDBA96DDB}"/>
    <cellStyle name="Currency 10" xfId="17277" xr:uid="{AD8D8409-5D6F-4003-9E44-8829BD572602}"/>
    <cellStyle name="Currency 2" xfId="14026" xr:uid="{3AF75AC7-0493-4085-AEC0-62A41AF43FAB}"/>
    <cellStyle name="Currency 3" xfId="14780" xr:uid="{CBA1E459-5DCC-47F7-9AB9-2B7FDA53E487}"/>
    <cellStyle name="Currency 4" xfId="14775" xr:uid="{AA432A33-E63D-45B2-AA00-A9895823188F}"/>
    <cellStyle name="Currency 5" xfId="14779" xr:uid="{79225EF0-0447-40D1-9379-A2A35C1805D9}"/>
    <cellStyle name="Currency 6" xfId="17801" xr:uid="{542F5795-CDE8-4916-A569-21A9C4E74539}"/>
    <cellStyle name="Currency 7" xfId="18210" xr:uid="{ACA33507-4905-4A76-B246-3DD2D01D61D0}"/>
    <cellStyle name="Currency 8" xfId="17276" xr:uid="{16646F44-C8B6-4A0E-B0A2-28B81C5541B4}"/>
    <cellStyle name="Currency 9" xfId="18212" xr:uid="{CF00F2C3-D51C-4CBF-9F4B-24544E5DEFAE}"/>
    <cellStyle name="Currency_1.2.b" xfId="16073" xr:uid="{BA8DF000-F820-4ED4-A074-261A06FFE0C1}"/>
    <cellStyle name="Date" xfId="4" xr:uid="{00000000-0005-0000-0000-000081010000}"/>
    <cellStyle name="Date 2" xfId="14028" xr:uid="{75C7D95D-4299-4BEE-939D-81F7FAAE0275}"/>
    <cellStyle name="Date_1.2.b" xfId="16075" xr:uid="{A025158A-D840-4445-B1D4-CC6917031BAB}"/>
    <cellStyle name="Dia" xfId="65" xr:uid="{00000000-0005-0000-0000-000082010000}"/>
    <cellStyle name="Dia 2" xfId="76" xr:uid="{00000000-0005-0000-0000-000083010000}"/>
    <cellStyle name="Encabez1" xfId="66" xr:uid="{00000000-0005-0000-0000-000084010000}"/>
    <cellStyle name="Encabez1 2" xfId="77" xr:uid="{00000000-0005-0000-0000-000085010000}"/>
    <cellStyle name="Encabez1 3" xfId="14029" xr:uid="{74BDA19B-20CB-4788-981D-CC2FB07FCA0C}"/>
    <cellStyle name="Encabez1_1.2.b" xfId="16076" xr:uid="{019ACB7F-0B81-4CA9-97E4-505ED97A7DE6}"/>
    <cellStyle name="Encabez2" xfId="67" xr:uid="{00000000-0005-0000-0000-000086010000}"/>
    <cellStyle name="Encabez2 2" xfId="78" xr:uid="{00000000-0005-0000-0000-000087010000}"/>
    <cellStyle name="Encabez2 3" xfId="14030" xr:uid="{30EE3FD2-B51C-459D-9F93-97667898F6C0}"/>
    <cellStyle name="Encabez2_1.2.b" xfId="16077" xr:uid="{DEDAAC60-A1A7-4764-9547-AA03131EABB4}"/>
    <cellStyle name="Encabezado 1" xfId="14162" builtinId="16" customBuiltin="1"/>
    <cellStyle name="Encabezado 1 2" xfId="9886" xr:uid="{00000000-0005-0000-0000-000089010000}"/>
    <cellStyle name="Encabezado 1 2 2" xfId="14031" xr:uid="{C46DD5B1-B68A-4268-AD24-5925FCA244AE}"/>
    <cellStyle name="Encabezado 1 2_1.2.b" xfId="16078" xr:uid="{F025FE56-10D0-4EBC-88DE-715CD19145B9}"/>
    <cellStyle name="Encabezado 1 3" xfId="14708" xr:uid="{35004068-FFE7-48C5-879C-06B1F4ACD2A7}"/>
    <cellStyle name="Encabezado 4" xfId="14163" builtinId="19" customBuiltin="1"/>
    <cellStyle name="Encabezado 4 2" xfId="9887" xr:uid="{00000000-0005-0000-0000-00008B010000}"/>
    <cellStyle name="Encabezado 4 2 2" xfId="14032" xr:uid="{650D93D6-C054-45D4-8F07-67996007775C}"/>
    <cellStyle name="Encabezado 4 2 3" xfId="14033" xr:uid="{E787562E-203F-48A0-8616-43C534E495D6}"/>
    <cellStyle name="Encabezado 4 2 4" xfId="14034" xr:uid="{BCC62B80-48AE-4DA2-B383-65B1FC4817FF}"/>
    <cellStyle name="Encabezado 4 3" xfId="14035" xr:uid="{5C095029-5924-4DE8-92A3-BA12CE53F27D}"/>
    <cellStyle name="Encabezado 4 3 2" xfId="14036" xr:uid="{4698E8D4-EB24-490B-AF93-84A0BA8A2B30}"/>
    <cellStyle name="Encabezado 4 3 3" xfId="14037" xr:uid="{68D3BBEA-94FF-4BF0-B30B-127FB11168C1}"/>
    <cellStyle name="Encabezado 4 3_1.2.b" xfId="16079" xr:uid="{91C92604-B172-4A57-8ED4-841D6B94E085}"/>
    <cellStyle name="Encabezado 4 4" xfId="14038" xr:uid="{7639FA8E-9D76-4253-AAC4-AB20B157ABE0}"/>
    <cellStyle name="Encabezado 4 5" xfId="14039" xr:uid="{6B6FD6E1-2520-4F5F-9FB7-42AFD1D6260B}"/>
    <cellStyle name="Encabezado 4 6" xfId="14040" xr:uid="{E1126E9B-7C2B-4FD3-A660-FE7276018EDE}"/>
    <cellStyle name="Énfasis1 2" xfId="9888" xr:uid="{00000000-0005-0000-0000-00008D010000}"/>
    <cellStyle name="Énfasis1 2 2" xfId="14041" xr:uid="{D36382A2-87A7-420D-9FC6-2E523720DB44}"/>
    <cellStyle name="Énfasis1 2 2 2" xfId="14042" xr:uid="{1580509C-6001-4BFD-80AF-5FFB46C10F81}"/>
    <cellStyle name="Énfasis1 2 2 3" xfId="14043" xr:uid="{ABC98A69-F71E-44D9-9205-BA5510705AEC}"/>
    <cellStyle name="Énfasis1 2 2 4" xfId="14044" xr:uid="{FF3981D5-1BC6-4935-82C0-771B1B2141A9}"/>
    <cellStyle name="Énfasis1 2 3" xfId="14045" xr:uid="{B440509C-8189-4554-B135-23F31B5DCC9E}"/>
    <cellStyle name="Énfasis1 2 4" xfId="14046" xr:uid="{C6D6925A-3AA3-45D1-A4DD-7938D5E4C8E1}"/>
    <cellStyle name="Énfasis1 2 5" xfId="14047" xr:uid="{8EFA75A5-CEEA-4F0C-AA0B-FCB3FCF4A758}"/>
    <cellStyle name="Énfasis1 2 6" xfId="14048" xr:uid="{625F5CE6-EC8A-402E-A16A-8A16E00D2EC4}"/>
    <cellStyle name="Énfasis1 2 7" xfId="14049" xr:uid="{9362B056-A067-4BF3-A899-16771B961DEF}"/>
    <cellStyle name="Énfasis1 2 8" xfId="14050" xr:uid="{B0F6C6C2-0102-4A6D-91FE-13545AF9463F}"/>
    <cellStyle name="Énfasis1 3" xfId="14051" xr:uid="{33E4B92C-42A2-4C17-804C-317C5BEE2C74}"/>
    <cellStyle name="Énfasis1 3 2" xfId="14052" xr:uid="{5CA57088-957F-4C67-A413-4844F23488FC}"/>
    <cellStyle name="Énfasis1 3 3" xfId="14053" xr:uid="{BC7777CD-5D74-42EF-88D2-2614F85CF3F1}"/>
    <cellStyle name="Énfasis1 3_1.2.b" xfId="16080" xr:uid="{56D2A7E7-5C26-485F-B1F8-DF414AAD2983}"/>
    <cellStyle name="Énfasis1 4" xfId="14054" xr:uid="{BA116F2F-F7D4-4A1A-A9C8-12B2596FBF9B}"/>
    <cellStyle name="Énfasis1 5" xfId="14055" xr:uid="{6D3DF6BF-B263-4108-AB94-7CD47B5AEC40}"/>
    <cellStyle name="Énfasis1 6" xfId="14056" xr:uid="{23D8C140-4D46-4D80-ACD6-82BF2E21A1BF}"/>
    <cellStyle name="Énfasis2 2" xfId="9889" xr:uid="{00000000-0005-0000-0000-00008F010000}"/>
    <cellStyle name="Énfasis2 2 2" xfId="14057" xr:uid="{63082F3F-9683-4C81-ACCD-2A8039361381}"/>
    <cellStyle name="Énfasis2 2 2 2" xfId="14058" xr:uid="{8AB865F7-919D-4DF4-AB7D-E3267E157F74}"/>
    <cellStyle name="Énfasis2 2 2 3" xfId="14059" xr:uid="{41F12D0D-552C-4777-924D-E20FAE869DA1}"/>
    <cellStyle name="Énfasis2 2 2 4" xfId="14060" xr:uid="{AF61E8FA-8ED7-4686-9479-69C672921284}"/>
    <cellStyle name="Énfasis2 2 3" xfId="14061" xr:uid="{7CEE063B-6022-49D2-A9FE-7D1D6D3E2E5C}"/>
    <cellStyle name="Énfasis2 2 4" xfId="14062" xr:uid="{8D290D66-100B-41B8-BC11-085429D1BA42}"/>
    <cellStyle name="Énfasis2 2 5" xfId="14063" xr:uid="{E7690AD7-0EF1-4720-8550-11290E6CFFDB}"/>
    <cellStyle name="Énfasis2 2 6" xfId="14064" xr:uid="{D2309BE4-63EE-4A6C-932A-2CC3927E63FA}"/>
    <cellStyle name="Énfasis2 2 7" xfId="14065" xr:uid="{F4335F40-039E-47A7-BC18-8D29828C9785}"/>
    <cellStyle name="Énfasis2 2 8" xfId="14066" xr:uid="{157366E4-D9ED-409D-86FA-77EAB412D23D}"/>
    <cellStyle name="Énfasis2 3" xfId="14067" xr:uid="{131A336B-506A-46CB-A9B1-7B8346D2D374}"/>
    <cellStyle name="Énfasis2 3 2" xfId="14068" xr:uid="{850B9ECD-08F1-4150-9D15-7756448E58BE}"/>
    <cellStyle name="Énfasis2 3 3" xfId="14069" xr:uid="{2C3B6C05-9ED0-450C-8F42-213D5F80BB24}"/>
    <cellStyle name="Énfasis2 3_1.2.b" xfId="16081" xr:uid="{F8D46271-290E-4E52-9514-2EAA902BDEF7}"/>
    <cellStyle name="Énfasis2 4" xfId="14070" xr:uid="{1DEA74A3-A56F-4892-9934-B598D2B879E9}"/>
    <cellStyle name="Énfasis2 5" xfId="14071" xr:uid="{C13F44DA-072E-40C0-81EB-FC3E4B18B499}"/>
    <cellStyle name="Énfasis2 6" xfId="14072" xr:uid="{81B77A47-F3DE-4399-B6AE-B09478374B35}"/>
    <cellStyle name="Énfasis3 2" xfId="9890" xr:uid="{00000000-0005-0000-0000-000091010000}"/>
    <cellStyle name="Énfasis3 2 2" xfId="14073" xr:uid="{13F4B151-84C0-4CDE-8CBC-1B56956B4160}"/>
    <cellStyle name="Énfasis3 2 2 2" xfId="14074" xr:uid="{C1590209-8988-4D53-A0BB-9D0FC626EBE6}"/>
    <cellStyle name="Énfasis3 2 2 3" xfId="14075" xr:uid="{CEC6AC3B-C3E2-4D61-A462-8517BA4EC1E4}"/>
    <cellStyle name="Énfasis3 2 2 4" xfId="14076" xr:uid="{C76D067A-A559-419A-AE62-D0B4FA0D8F69}"/>
    <cellStyle name="Énfasis3 2 3" xfId="14077" xr:uid="{FB4F1361-2FC9-41C3-9E69-20B04397F7A9}"/>
    <cellStyle name="Énfasis3 2 4" xfId="14078" xr:uid="{E0884195-EB7A-4E2E-A1D2-761C4C48B5EB}"/>
    <cellStyle name="Énfasis3 2 5" xfId="14079" xr:uid="{C2A1B885-62F3-4C6C-A03E-6FF3B7756163}"/>
    <cellStyle name="Énfasis3 2 6" xfId="14080" xr:uid="{F889B194-0250-4845-9E50-C7F27C132D47}"/>
    <cellStyle name="Énfasis3 2 7" xfId="14081" xr:uid="{0A70E832-65A9-468A-914A-D5577D416DDF}"/>
    <cellStyle name="Énfasis3 2 8" xfId="14082" xr:uid="{B7ADF038-C0BE-4A5E-A899-B8F5A2A1C4DF}"/>
    <cellStyle name="Énfasis3 3" xfId="14083" xr:uid="{5C3FF8DE-00BD-460B-855D-38E2925F6EAE}"/>
    <cellStyle name="Énfasis3 3 2" xfId="14084" xr:uid="{D2132364-2A7B-4802-8418-A6B5F71BF177}"/>
    <cellStyle name="Énfasis3 3 3" xfId="14085" xr:uid="{DB057FA0-0674-462F-B627-6D34FFA3A709}"/>
    <cellStyle name="Énfasis3 3_1.2.b" xfId="16082" xr:uid="{E5E5A6D8-4EE0-4FCF-AC9C-CE54B477DAF9}"/>
    <cellStyle name="Énfasis3 4" xfId="14086" xr:uid="{813F3DE1-0AB4-49B3-8CF8-F20151B7C368}"/>
    <cellStyle name="Énfasis3 5" xfId="14087" xr:uid="{B235F75D-6DF5-4E8B-9EF0-62DDC91F5505}"/>
    <cellStyle name="Énfasis3 6" xfId="14088" xr:uid="{007F01DA-421A-4224-B6E9-68B5BEC8760C}"/>
    <cellStyle name="Énfasis4 2" xfId="9891" xr:uid="{00000000-0005-0000-0000-000093010000}"/>
    <cellStyle name="Énfasis4 2 2" xfId="14089" xr:uid="{02670BD7-6430-4577-AC5D-C069B34391A2}"/>
    <cellStyle name="Énfasis4 2 2 2" xfId="14090" xr:uid="{713F8B44-E503-47FB-B43D-D8F5F866718D}"/>
    <cellStyle name="Énfasis4 2 2 3" xfId="14091" xr:uid="{77061B94-61E3-4FA5-A2A3-F024FB1425A7}"/>
    <cellStyle name="Énfasis4 2 2 4" xfId="14092" xr:uid="{CECB3616-D784-42BC-BF0F-1FD837C6CC2D}"/>
    <cellStyle name="Énfasis4 2 3" xfId="14093" xr:uid="{39BF7543-FA86-4831-A76C-A62D6FD5994E}"/>
    <cellStyle name="Énfasis4 2 4" xfId="14094" xr:uid="{DB080D67-3DAE-44A6-8BD2-5D4A6BBDAD6A}"/>
    <cellStyle name="Énfasis4 2 5" xfId="14095" xr:uid="{AB9600C8-2528-4C2A-8C0F-1FCBB12756FD}"/>
    <cellStyle name="Énfasis4 2 6" xfId="14096" xr:uid="{B2DF9D82-9F1B-4EAF-94C7-52E938437E7E}"/>
    <cellStyle name="Énfasis4 2 7" xfId="14097" xr:uid="{C75BF8FC-ECF0-43C2-A57C-9028797553DC}"/>
    <cellStyle name="Énfasis4 2 8" xfId="14098" xr:uid="{E71FC1E9-6446-45AD-AB66-0B82FA6ED29B}"/>
    <cellStyle name="Énfasis4 3" xfId="14099" xr:uid="{0E9CDA68-15AA-4703-9FAD-752B535D14FA}"/>
    <cellStyle name="Énfasis4 3 2" xfId="14100" xr:uid="{65EBABF3-5968-474F-8DD6-EB272A88C4E0}"/>
    <cellStyle name="Énfasis4 3 3" xfId="14101" xr:uid="{F0FBB623-748F-438A-86BE-C3539AF05B63}"/>
    <cellStyle name="Énfasis4 3_1.2.b" xfId="16083" xr:uid="{E1859E60-B419-4AA7-A9D0-D068BA7478E9}"/>
    <cellStyle name="Énfasis4 4" xfId="14102" xr:uid="{5E21B415-B910-4E6B-B8C8-BE6C0B263B77}"/>
    <cellStyle name="Énfasis4 5" xfId="14103" xr:uid="{3527FFF7-FAA8-448C-A0F7-99B53D3F5917}"/>
    <cellStyle name="Énfasis4 6" xfId="14104" xr:uid="{A570F083-2F5D-43DA-97F7-441D416E67C8}"/>
    <cellStyle name="Énfasis5 2" xfId="9892" xr:uid="{00000000-0005-0000-0000-000095010000}"/>
    <cellStyle name="Énfasis5 2 2" xfId="14105" xr:uid="{15714558-A0F4-44E9-9ED4-D2DC48EDF2E3}"/>
    <cellStyle name="Énfasis5 2 2 2" xfId="14106" xr:uid="{7188CEBD-A314-4120-AEE4-379BB32A377B}"/>
    <cellStyle name="Énfasis5 2 2 3" xfId="14107" xr:uid="{21D73453-BFF0-44C1-9F59-ABC662944E80}"/>
    <cellStyle name="Énfasis5 2 2 4" xfId="14108" xr:uid="{AF501080-C60B-4088-AFEE-4B2F0CCE62CF}"/>
    <cellStyle name="Énfasis5 2 3" xfId="14109" xr:uid="{C2D03DB2-A92E-4016-9714-C321FF168054}"/>
    <cellStyle name="Énfasis5 2 4" xfId="14110" xr:uid="{B3B6F676-BA57-41DD-B62C-227082442B54}"/>
    <cellStyle name="Énfasis5 2 5" xfId="14111" xr:uid="{788D039F-8092-4BD6-A15E-A1F105EF38AE}"/>
    <cellStyle name="Énfasis5 2 6" xfId="14112" xr:uid="{F0D6FA55-F68E-485D-9CE0-FB286FCEBC6E}"/>
    <cellStyle name="Énfasis5 2 7" xfId="14113" xr:uid="{A715AB22-361E-4483-92D1-A0B4CF94F27F}"/>
    <cellStyle name="Énfasis5 2 8" xfId="14114" xr:uid="{7F895D4F-CBAE-4FEF-B5D5-58EDA8A05C37}"/>
    <cellStyle name="Énfasis5 3" xfId="14115" xr:uid="{54DE67BA-A552-428D-BFF6-82D8805B0CC4}"/>
    <cellStyle name="Énfasis5 3 2" xfId="14116" xr:uid="{04CDCF41-02C3-46F3-9AFF-F810E6DD26B8}"/>
    <cellStyle name="Énfasis5 3 3" xfId="14117" xr:uid="{F511F7FD-477D-42B1-A6E6-E211DD4058B3}"/>
    <cellStyle name="Énfasis5 3_1.2.b" xfId="16084" xr:uid="{15874BC3-E30E-4CC9-8BD0-FE1A25BA762C}"/>
    <cellStyle name="Énfasis5 4" xfId="14118" xr:uid="{2B084B48-E656-40DF-B68E-1790A7FE86DD}"/>
    <cellStyle name="Énfasis5 5" xfId="14119" xr:uid="{01E64C3F-BF8F-41D4-920E-1F5522AEAAB4}"/>
    <cellStyle name="Énfasis5 6" xfId="14120" xr:uid="{0DE308EC-EF22-454D-A983-F6528C71F66D}"/>
    <cellStyle name="Énfasis6 2" xfId="9893" xr:uid="{00000000-0005-0000-0000-000097010000}"/>
    <cellStyle name="Énfasis6 2 2" xfId="14121" xr:uid="{7094C044-0D24-42E9-9CAF-3323995C37BE}"/>
    <cellStyle name="Énfasis6 2 2 2" xfId="14122" xr:uid="{62305B36-5DF9-4777-89A2-7D5291B49C99}"/>
    <cellStyle name="Énfasis6 2 2 3" xfId="14123" xr:uid="{15AB306A-FCA4-4200-86D6-925856FF6FAB}"/>
    <cellStyle name="Énfasis6 2 2 4" xfId="14124" xr:uid="{D11AC7F5-068A-46FA-926C-46B79C304543}"/>
    <cellStyle name="Énfasis6 2 3" xfId="14125" xr:uid="{0F2207AD-4CDA-48EE-94BA-41D15CE83220}"/>
    <cellStyle name="Énfasis6 2 4" xfId="14126" xr:uid="{491E7A72-84BE-4295-A89B-5804A25474C0}"/>
    <cellStyle name="Énfasis6 2 5" xfId="14127" xr:uid="{80752F6C-7956-4E7B-9866-DBE2AD0C00CC}"/>
    <cellStyle name="Énfasis6 2 6" xfId="14128" xr:uid="{F1512B1A-B106-4E3C-A98B-10F985BD6D59}"/>
    <cellStyle name="Énfasis6 2 7" xfId="14129" xr:uid="{F9DD2F91-D1D6-4CEC-AF7A-7DFC8E915EC3}"/>
    <cellStyle name="Énfasis6 2 8" xfId="14130" xr:uid="{5AD61C09-79A9-4921-8AFD-3627CEC9FCA8}"/>
    <cellStyle name="Énfasis6 3" xfId="14131" xr:uid="{A8DCFF06-8578-48EA-BA38-7DE9240BC7B6}"/>
    <cellStyle name="Énfasis6 3 2" xfId="14132" xr:uid="{69A540C6-FDE5-4830-A399-D42D498308D3}"/>
    <cellStyle name="Énfasis6 3 3" xfId="14133" xr:uid="{CE025075-72F0-4B89-93C2-7ADBCB4D3F3A}"/>
    <cellStyle name="Énfasis6 3_1.2.b" xfId="16085" xr:uid="{8450912A-D0DC-4BC2-B098-BA26692BBA76}"/>
    <cellStyle name="Énfasis6 4" xfId="14134" xr:uid="{CE04A956-78C9-432B-80D1-E21EDFDCEDF6}"/>
    <cellStyle name="Énfasis6 5" xfId="14135" xr:uid="{1BB6837C-5747-4A9E-8DFA-75462B8DDB87}"/>
    <cellStyle name="Énfasis6 6" xfId="14136" xr:uid="{AD58B7B9-AAC3-4B97-8F53-01E2D4BEAC50}"/>
    <cellStyle name="Entrada" xfId="14185" builtinId="20" customBuiltin="1"/>
    <cellStyle name="Entrada 2" xfId="9894" xr:uid="{00000000-0005-0000-0000-000099010000}"/>
    <cellStyle name="Entrada 2 10" xfId="19049" xr:uid="{8C63A1A2-0F4B-48B8-A131-96A9E3E689BD}"/>
    <cellStyle name="Entrada 2 2" xfId="12349" xr:uid="{00000000-0005-0000-0000-00009A010000}"/>
    <cellStyle name="Entrada 2 2 2" xfId="14139" xr:uid="{978F697C-A4E9-47C9-8EEE-C685E094494B}"/>
    <cellStyle name="Entrada 2 2 2 2" xfId="22399" xr:uid="{853EFB60-5012-4D3F-80A4-DE260B727449}"/>
    <cellStyle name="Entrada 2 2 3" xfId="14140" xr:uid="{3D353E18-A148-4021-915A-867EDC795AB0}"/>
    <cellStyle name="Entrada 2 2 3 2" xfId="22400" xr:uid="{19E86BDD-E819-468B-8BC7-32B250370D03}"/>
    <cellStyle name="Entrada 2 2 4" xfId="14141" xr:uid="{9F84D095-F644-4FF3-87F4-759819AF2109}"/>
    <cellStyle name="Entrada 2 2 4 2" xfId="22401" xr:uid="{5CF0228D-6551-4141-B0F9-6318AAA42FD4}"/>
    <cellStyle name="Entrada 2 2 5" xfId="14138" xr:uid="{0E6B3A73-5C20-43F4-8A1C-2F8F45650F9B}"/>
    <cellStyle name="Entrada 2 2 5 2" xfId="22398" xr:uid="{53C7BE2C-02DA-4936-A03F-786B1CEACEBA}"/>
    <cellStyle name="Entrada 2 2 6" xfId="21094" xr:uid="{B1FD86A8-17C0-490D-960C-BB13C1929B55}"/>
    <cellStyle name="Entrada 2 2_1.2.b" xfId="16087" xr:uid="{1914034D-716E-4408-816B-2A7A1CA52F80}"/>
    <cellStyle name="Entrada 2 3" xfId="12345" xr:uid="{00000000-0005-0000-0000-00009B010000}"/>
    <cellStyle name="Entrada 2 3 2" xfId="14142" xr:uid="{4A08F415-A38F-4F46-A76C-B0115E7DE3F3}"/>
    <cellStyle name="Entrada 2 3 2 2" xfId="22402" xr:uid="{898CF166-CC8D-4F48-9F1A-DAE6AC733E52}"/>
    <cellStyle name="Entrada 2 3 3" xfId="21090" xr:uid="{985C1E8D-7A19-4BCF-9A4C-D1ECE7220B2A}"/>
    <cellStyle name="Entrada 2 3_1.2.b" xfId="16088" xr:uid="{B1B6EA83-081B-4C41-AA26-970C87B0B699}"/>
    <cellStyle name="Entrada 2 4" xfId="14143" xr:uid="{65C925C1-E467-43A2-A92B-8DA331FA9C62}"/>
    <cellStyle name="Entrada 2 4 2" xfId="22403" xr:uid="{89706597-F70D-4586-8EE4-06B5844EB2A4}"/>
    <cellStyle name="Entrada 2 5" xfId="14144" xr:uid="{0B38037F-2123-4CBE-9116-279F66E0E44D}"/>
    <cellStyle name="Entrada 2 5 2" xfId="22404" xr:uid="{90DD98C6-AC24-4A0F-873B-BF4E41F87FB7}"/>
    <cellStyle name="Entrada 2 6" xfId="14145" xr:uid="{EDCE40FA-422E-4A7D-9F4C-BB900709E899}"/>
    <cellStyle name="Entrada 2 6 2" xfId="22405" xr:uid="{9DE88403-80F0-45A0-8E43-46906C9272AC}"/>
    <cellStyle name="Entrada 2 7" xfId="14146" xr:uid="{98B2929E-1502-4D7D-88FA-A85D0B267A21}"/>
    <cellStyle name="Entrada 2 7 2" xfId="22406" xr:uid="{38E5DD0B-0D7F-47A8-854C-7757ABA25390}"/>
    <cellStyle name="Entrada 2 8" xfId="14147" xr:uid="{C8E984C5-5EDF-4AA8-BBB9-0A7481808713}"/>
    <cellStyle name="Entrada 2 8 2" xfId="22407" xr:uid="{1E496914-6244-42F3-8F2C-726BD954B55A}"/>
    <cellStyle name="Entrada 2 9" xfId="14137" xr:uid="{168E12C8-5C29-4C53-8900-4898BD3A479C}"/>
    <cellStyle name="Entrada 2 9 2" xfId="22397" xr:uid="{57459707-75D4-442C-B54D-45797B07D998}"/>
    <cellStyle name="Entrada 2_1.2.b" xfId="16086" xr:uid="{56C9F3F1-D4A8-4F2A-ADA4-4A9549C86909}"/>
    <cellStyle name="Entrada 3" xfId="14148" xr:uid="{7CC2F35F-AC18-4530-ACD7-BB39D37A9C0C}"/>
    <cellStyle name="Entrada 3 2" xfId="14149" xr:uid="{1B19D617-2F58-4D66-9B2F-73E3F84E7BF9}"/>
    <cellStyle name="Entrada 3 3" xfId="14150" xr:uid="{94019C0D-91D3-46C3-A2BF-10D21565422F}"/>
    <cellStyle name="Entrada 3 3 2" xfId="22408" xr:uid="{EC686A89-6D68-4E9B-AC23-B3A2F6C03124}"/>
    <cellStyle name="Entrada 3 4" xfId="14151" xr:uid="{1655ECE2-462A-4B86-9CC2-F6ED97D7C809}"/>
    <cellStyle name="Entrada 3 4 2" xfId="22409" xr:uid="{448717BD-C623-4552-A29C-25E0B30738B7}"/>
    <cellStyle name="Entrada 3 5" xfId="14152" xr:uid="{AD12DD50-9EF5-4631-B38F-4CEFA764E66A}"/>
    <cellStyle name="Entrada 3 5 2" xfId="22410" xr:uid="{15527BE4-9496-4C6A-9288-1B4528016388}"/>
    <cellStyle name="Entrada 3_1.2.b" xfId="16089" xr:uid="{7E497C19-8476-4D5B-BB5B-FC7FC7A60D4E}"/>
    <cellStyle name="Entrada 4" xfId="14153" xr:uid="{4EABAC39-8907-458A-A351-2712B8245FC3}"/>
    <cellStyle name="Entrada 5" xfId="14154" xr:uid="{C1C5932F-4641-44E7-9B87-5DC092F73291}"/>
    <cellStyle name="Entrada 6" xfId="14155" xr:uid="{7BF1B6FC-98E2-4C58-B665-054B2548C3AE}"/>
    <cellStyle name="Entrada 7" xfId="22411" xr:uid="{E388A9ED-84E7-4A24-BF00-4F8FC4B7EB42}"/>
    <cellStyle name="Euro" xfId="5" xr:uid="{00000000-0005-0000-0000-00009C010000}"/>
    <cellStyle name="Euro 10" xfId="218" xr:uid="{00000000-0005-0000-0000-00009D010000}"/>
    <cellStyle name="Euro 10 10" xfId="219" xr:uid="{00000000-0005-0000-0000-00009E010000}"/>
    <cellStyle name="Euro 10 10 2" xfId="4360" xr:uid="{00000000-0005-0000-0000-00009F010000}"/>
    <cellStyle name="Euro 10 11" xfId="220" xr:uid="{00000000-0005-0000-0000-0000A0010000}"/>
    <cellStyle name="Euro 10 11 2" xfId="4361" xr:uid="{00000000-0005-0000-0000-0000A1010000}"/>
    <cellStyle name="Euro 10 12" xfId="221" xr:uid="{00000000-0005-0000-0000-0000A2010000}"/>
    <cellStyle name="Euro 10 12 2" xfId="4362" xr:uid="{00000000-0005-0000-0000-0000A3010000}"/>
    <cellStyle name="Euro 10 13" xfId="222" xr:uid="{00000000-0005-0000-0000-0000A4010000}"/>
    <cellStyle name="Euro 10 13 2" xfId="4363" xr:uid="{00000000-0005-0000-0000-0000A5010000}"/>
    <cellStyle name="Euro 10 14" xfId="223" xr:uid="{00000000-0005-0000-0000-0000A6010000}"/>
    <cellStyle name="Euro 10 14 2" xfId="4364" xr:uid="{00000000-0005-0000-0000-0000A7010000}"/>
    <cellStyle name="Euro 10 15" xfId="224" xr:uid="{00000000-0005-0000-0000-0000A8010000}"/>
    <cellStyle name="Euro 10 15 2" xfId="4365" xr:uid="{00000000-0005-0000-0000-0000A9010000}"/>
    <cellStyle name="Euro 10 16" xfId="225" xr:uid="{00000000-0005-0000-0000-0000AA010000}"/>
    <cellStyle name="Euro 10 16 2" xfId="4366" xr:uid="{00000000-0005-0000-0000-0000AB010000}"/>
    <cellStyle name="Euro 10 17" xfId="226" xr:uid="{00000000-0005-0000-0000-0000AC010000}"/>
    <cellStyle name="Euro 10 17 2" xfId="4367" xr:uid="{00000000-0005-0000-0000-0000AD010000}"/>
    <cellStyle name="Euro 10 18" xfId="227" xr:uid="{00000000-0005-0000-0000-0000AE010000}"/>
    <cellStyle name="Euro 10 18 2" xfId="4368" xr:uid="{00000000-0005-0000-0000-0000AF010000}"/>
    <cellStyle name="Euro 10 19" xfId="228" xr:uid="{00000000-0005-0000-0000-0000B0010000}"/>
    <cellStyle name="Euro 10 19 2" xfId="4369" xr:uid="{00000000-0005-0000-0000-0000B1010000}"/>
    <cellStyle name="Euro 10 2" xfId="229" xr:uid="{00000000-0005-0000-0000-0000B2010000}"/>
    <cellStyle name="Euro 10 2 2" xfId="4370" xr:uid="{00000000-0005-0000-0000-0000B3010000}"/>
    <cellStyle name="Euro 10 20" xfId="230" xr:uid="{00000000-0005-0000-0000-0000B4010000}"/>
    <cellStyle name="Euro 10 20 2" xfId="4371" xr:uid="{00000000-0005-0000-0000-0000B5010000}"/>
    <cellStyle name="Euro 10 21" xfId="231" xr:uid="{00000000-0005-0000-0000-0000B6010000}"/>
    <cellStyle name="Euro 10 21 2" xfId="4372" xr:uid="{00000000-0005-0000-0000-0000B7010000}"/>
    <cellStyle name="Euro 10 22" xfId="232" xr:uid="{00000000-0005-0000-0000-0000B8010000}"/>
    <cellStyle name="Euro 10 22 2" xfId="4373" xr:uid="{00000000-0005-0000-0000-0000B9010000}"/>
    <cellStyle name="Euro 10 23" xfId="233" xr:uid="{00000000-0005-0000-0000-0000BA010000}"/>
    <cellStyle name="Euro 10 23 2" xfId="4374" xr:uid="{00000000-0005-0000-0000-0000BB010000}"/>
    <cellStyle name="Euro 10 24" xfId="234" xr:uid="{00000000-0005-0000-0000-0000BC010000}"/>
    <cellStyle name="Euro 10 24 2" xfId="4375" xr:uid="{00000000-0005-0000-0000-0000BD010000}"/>
    <cellStyle name="Euro 10 25" xfId="235" xr:uid="{00000000-0005-0000-0000-0000BE010000}"/>
    <cellStyle name="Euro 10 25 2" xfId="4376" xr:uid="{00000000-0005-0000-0000-0000BF010000}"/>
    <cellStyle name="Euro 10 26" xfId="236" xr:uid="{00000000-0005-0000-0000-0000C0010000}"/>
    <cellStyle name="Euro 10 26 2" xfId="4377" xr:uid="{00000000-0005-0000-0000-0000C1010000}"/>
    <cellStyle name="Euro 10 27" xfId="237" xr:uid="{00000000-0005-0000-0000-0000C2010000}"/>
    <cellStyle name="Euro 10 27 2" xfId="4378" xr:uid="{00000000-0005-0000-0000-0000C3010000}"/>
    <cellStyle name="Euro 10 28" xfId="238" xr:uid="{00000000-0005-0000-0000-0000C4010000}"/>
    <cellStyle name="Euro 10 28 2" xfId="4379" xr:uid="{00000000-0005-0000-0000-0000C5010000}"/>
    <cellStyle name="Euro 10 29" xfId="4380" xr:uid="{00000000-0005-0000-0000-0000C6010000}"/>
    <cellStyle name="Euro 10 3" xfId="239" xr:uid="{00000000-0005-0000-0000-0000C7010000}"/>
    <cellStyle name="Euro 10 3 2" xfId="4381" xr:uid="{00000000-0005-0000-0000-0000C8010000}"/>
    <cellStyle name="Euro 10 4" xfId="240" xr:uid="{00000000-0005-0000-0000-0000C9010000}"/>
    <cellStyle name="Euro 10 4 2" xfId="4382" xr:uid="{00000000-0005-0000-0000-0000CA010000}"/>
    <cellStyle name="Euro 10 5" xfId="241" xr:uid="{00000000-0005-0000-0000-0000CB010000}"/>
    <cellStyle name="Euro 10 5 2" xfId="4383" xr:uid="{00000000-0005-0000-0000-0000CC010000}"/>
    <cellStyle name="Euro 10 6" xfId="242" xr:uid="{00000000-0005-0000-0000-0000CD010000}"/>
    <cellStyle name="Euro 10 6 2" xfId="4384" xr:uid="{00000000-0005-0000-0000-0000CE010000}"/>
    <cellStyle name="Euro 10 7" xfId="243" xr:uid="{00000000-0005-0000-0000-0000CF010000}"/>
    <cellStyle name="Euro 10 7 2" xfId="4385" xr:uid="{00000000-0005-0000-0000-0000D0010000}"/>
    <cellStyle name="Euro 10 8" xfId="244" xr:uid="{00000000-0005-0000-0000-0000D1010000}"/>
    <cellStyle name="Euro 10 8 2" xfId="4386" xr:uid="{00000000-0005-0000-0000-0000D2010000}"/>
    <cellStyle name="Euro 10 9" xfId="245" xr:uid="{00000000-0005-0000-0000-0000D3010000}"/>
    <cellStyle name="Euro 10 9 2" xfId="4387" xr:uid="{00000000-0005-0000-0000-0000D4010000}"/>
    <cellStyle name="Euro 11" xfId="246" xr:uid="{00000000-0005-0000-0000-0000D5010000}"/>
    <cellStyle name="Euro 11 10" xfId="247" xr:uid="{00000000-0005-0000-0000-0000D6010000}"/>
    <cellStyle name="Euro 11 10 2" xfId="4388" xr:uid="{00000000-0005-0000-0000-0000D7010000}"/>
    <cellStyle name="Euro 11 11" xfId="248" xr:uid="{00000000-0005-0000-0000-0000D8010000}"/>
    <cellStyle name="Euro 11 11 2" xfId="4389" xr:uid="{00000000-0005-0000-0000-0000D9010000}"/>
    <cellStyle name="Euro 11 12" xfId="249" xr:uid="{00000000-0005-0000-0000-0000DA010000}"/>
    <cellStyle name="Euro 11 12 2" xfId="4390" xr:uid="{00000000-0005-0000-0000-0000DB010000}"/>
    <cellStyle name="Euro 11 13" xfId="250" xr:uid="{00000000-0005-0000-0000-0000DC010000}"/>
    <cellStyle name="Euro 11 13 2" xfId="4391" xr:uid="{00000000-0005-0000-0000-0000DD010000}"/>
    <cellStyle name="Euro 11 14" xfId="251" xr:uid="{00000000-0005-0000-0000-0000DE010000}"/>
    <cellStyle name="Euro 11 14 2" xfId="4392" xr:uid="{00000000-0005-0000-0000-0000DF010000}"/>
    <cellStyle name="Euro 11 15" xfId="252" xr:uid="{00000000-0005-0000-0000-0000E0010000}"/>
    <cellStyle name="Euro 11 15 2" xfId="4393" xr:uid="{00000000-0005-0000-0000-0000E1010000}"/>
    <cellStyle name="Euro 11 16" xfId="253" xr:uid="{00000000-0005-0000-0000-0000E2010000}"/>
    <cellStyle name="Euro 11 16 2" xfId="4394" xr:uid="{00000000-0005-0000-0000-0000E3010000}"/>
    <cellStyle name="Euro 11 17" xfId="254" xr:uid="{00000000-0005-0000-0000-0000E4010000}"/>
    <cellStyle name="Euro 11 17 2" xfId="4395" xr:uid="{00000000-0005-0000-0000-0000E5010000}"/>
    <cellStyle name="Euro 11 18" xfId="255" xr:uid="{00000000-0005-0000-0000-0000E6010000}"/>
    <cellStyle name="Euro 11 18 2" xfId="4396" xr:uid="{00000000-0005-0000-0000-0000E7010000}"/>
    <cellStyle name="Euro 11 19" xfId="256" xr:uid="{00000000-0005-0000-0000-0000E8010000}"/>
    <cellStyle name="Euro 11 19 2" xfId="4397" xr:uid="{00000000-0005-0000-0000-0000E9010000}"/>
    <cellStyle name="Euro 11 2" xfId="257" xr:uid="{00000000-0005-0000-0000-0000EA010000}"/>
    <cellStyle name="Euro 11 2 2" xfId="4398" xr:uid="{00000000-0005-0000-0000-0000EB010000}"/>
    <cellStyle name="Euro 11 20" xfId="258" xr:uid="{00000000-0005-0000-0000-0000EC010000}"/>
    <cellStyle name="Euro 11 20 2" xfId="4399" xr:uid="{00000000-0005-0000-0000-0000ED010000}"/>
    <cellStyle name="Euro 11 21" xfId="259" xr:uid="{00000000-0005-0000-0000-0000EE010000}"/>
    <cellStyle name="Euro 11 21 2" xfId="4400" xr:uid="{00000000-0005-0000-0000-0000EF010000}"/>
    <cellStyle name="Euro 11 22" xfId="260" xr:uid="{00000000-0005-0000-0000-0000F0010000}"/>
    <cellStyle name="Euro 11 22 2" xfId="4401" xr:uid="{00000000-0005-0000-0000-0000F1010000}"/>
    <cellStyle name="Euro 11 23" xfId="261" xr:uid="{00000000-0005-0000-0000-0000F2010000}"/>
    <cellStyle name="Euro 11 23 2" xfId="4402" xr:uid="{00000000-0005-0000-0000-0000F3010000}"/>
    <cellStyle name="Euro 11 24" xfId="262" xr:uid="{00000000-0005-0000-0000-0000F4010000}"/>
    <cellStyle name="Euro 11 24 2" xfId="4403" xr:uid="{00000000-0005-0000-0000-0000F5010000}"/>
    <cellStyle name="Euro 11 25" xfId="263" xr:uid="{00000000-0005-0000-0000-0000F6010000}"/>
    <cellStyle name="Euro 11 25 2" xfId="4404" xr:uid="{00000000-0005-0000-0000-0000F7010000}"/>
    <cellStyle name="Euro 11 26" xfId="264" xr:uid="{00000000-0005-0000-0000-0000F8010000}"/>
    <cellStyle name="Euro 11 26 2" xfId="4405" xr:uid="{00000000-0005-0000-0000-0000F9010000}"/>
    <cellStyle name="Euro 11 27" xfId="265" xr:uid="{00000000-0005-0000-0000-0000FA010000}"/>
    <cellStyle name="Euro 11 27 2" xfId="4406" xr:uid="{00000000-0005-0000-0000-0000FB010000}"/>
    <cellStyle name="Euro 11 28" xfId="266" xr:uid="{00000000-0005-0000-0000-0000FC010000}"/>
    <cellStyle name="Euro 11 28 2" xfId="4407" xr:uid="{00000000-0005-0000-0000-0000FD010000}"/>
    <cellStyle name="Euro 11 29" xfId="4408" xr:uid="{00000000-0005-0000-0000-0000FE010000}"/>
    <cellStyle name="Euro 11 3" xfId="267" xr:uid="{00000000-0005-0000-0000-0000FF010000}"/>
    <cellStyle name="Euro 11 3 2" xfId="4409" xr:uid="{00000000-0005-0000-0000-000000020000}"/>
    <cellStyle name="Euro 11 4" xfId="268" xr:uid="{00000000-0005-0000-0000-000001020000}"/>
    <cellStyle name="Euro 11 4 2" xfId="4410" xr:uid="{00000000-0005-0000-0000-000002020000}"/>
    <cellStyle name="Euro 11 5" xfId="269" xr:uid="{00000000-0005-0000-0000-000003020000}"/>
    <cellStyle name="Euro 11 5 2" xfId="4411" xr:uid="{00000000-0005-0000-0000-000004020000}"/>
    <cellStyle name="Euro 11 6" xfId="270" xr:uid="{00000000-0005-0000-0000-000005020000}"/>
    <cellStyle name="Euro 11 6 2" xfId="4412" xr:uid="{00000000-0005-0000-0000-000006020000}"/>
    <cellStyle name="Euro 11 7" xfId="271" xr:uid="{00000000-0005-0000-0000-000007020000}"/>
    <cellStyle name="Euro 11 7 2" xfId="4413" xr:uid="{00000000-0005-0000-0000-000008020000}"/>
    <cellStyle name="Euro 11 8" xfId="272" xr:uid="{00000000-0005-0000-0000-000009020000}"/>
    <cellStyle name="Euro 11 8 2" xfId="4414" xr:uid="{00000000-0005-0000-0000-00000A020000}"/>
    <cellStyle name="Euro 11 9" xfId="273" xr:uid="{00000000-0005-0000-0000-00000B020000}"/>
    <cellStyle name="Euro 11 9 2" xfId="4415" xr:uid="{00000000-0005-0000-0000-00000C020000}"/>
    <cellStyle name="Euro 12" xfId="274" xr:uid="{00000000-0005-0000-0000-00000D020000}"/>
    <cellStyle name="Euro 12 10" xfId="275" xr:uid="{00000000-0005-0000-0000-00000E020000}"/>
    <cellStyle name="Euro 12 10 2" xfId="4416" xr:uid="{00000000-0005-0000-0000-00000F020000}"/>
    <cellStyle name="Euro 12 11" xfId="276" xr:uid="{00000000-0005-0000-0000-000010020000}"/>
    <cellStyle name="Euro 12 11 2" xfId="4417" xr:uid="{00000000-0005-0000-0000-000011020000}"/>
    <cellStyle name="Euro 12 12" xfId="277" xr:uid="{00000000-0005-0000-0000-000012020000}"/>
    <cellStyle name="Euro 12 12 2" xfId="4418" xr:uid="{00000000-0005-0000-0000-000013020000}"/>
    <cellStyle name="Euro 12 13" xfId="278" xr:uid="{00000000-0005-0000-0000-000014020000}"/>
    <cellStyle name="Euro 12 13 2" xfId="4419" xr:uid="{00000000-0005-0000-0000-000015020000}"/>
    <cellStyle name="Euro 12 14" xfId="279" xr:uid="{00000000-0005-0000-0000-000016020000}"/>
    <cellStyle name="Euro 12 14 2" xfId="4420" xr:uid="{00000000-0005-0000-0000-000017020000}"/>
    <cellStyle name="Euro 12 15" xfId="280" xr:uid="{00000000-0005-0000-0000-000018020000}"/>
    <cellStyle name="Euro 12 15 2" xfId="4421" xr:uid="{00000000-0005-0000-0000-000019020000}"/>
    <cellStyle name="Euro 12 16" xfId="281" xr:uid="{00000000-0005-0000-0000-00001A020000}"/>
    <cellStyle name="Euro 12 16 2" xfId="4422" xr:uid="{00000000-0005-0000-0000-00001B020000}"/>
    <cellStyle name="Euro 12 17" xfId="282" xr:uid="{00000000-0005-0000-0000-00001C020000}"/>
    <cellStyle name="Euro 12 17 2" xfId="4423" xr:uid="{00000000-0005-0000-0000-00001D020000}"/>
    <cellStyle name="Euro 12 18" xfId="283" xr:uid="{00000000-0005-0000-0000-00001E020000}"/>
    <cellStyle name="Euro 12 18 2" xfId="4424" xr:uid="{00000000-0005-0000-0000-00001F020000}"/>
    <cellStyle name="Euro 12 19" xfId="284" xr:uid="{00000000-0005-0000-0000-000020020000}"/>
    <cellStyle name="Euro 12 19 2" xfId="4425" xr:uid="{00000000-0005-0000-0000-000021020000}"/>
    <cellStyle name="Euro 12 2" xfId="285" xr:uid="{00000000-0005-0000-0000-000022020000}"/>
    <cellStyle name="Euro 12 2 2" xfId="4426" xr:uid="{00000000-0005-0000-0000-000023020000}"/>
    <cellStyle name="Euro 12 20" xfId="286" xr:uid="{00000000-0005-0000-0000-000024020000}"/>
    <cellStyle name="Euro 12 20 2" xfId="4427" xr:uid="{00000000-0005-0000-0000-000025020000}"/>
    <cellStyle name="Euro 12 21" xfId="287" xr:uid="{00000000-0005-0000-0000-000026020000}"/>
    <cellStyle name="Euro 12 21 2" xfId="4428" xr:uid="{00000000-0005-0000-0000-000027020000}"/>
    <cellStyle name="Euro 12 22" xfId="288" xr:uid="{00000000-0005-0000-0000-000028020000}"/>
    <cellStyle name="Euro 12 22 2" xfId="4429" xr:uid="{00000000-0005-0000-0000-000029020000}"/>
    <cellStyle name="Euro 12 23" xfId="289" xr:uid="{00000000-0005-0000-0000-00002A020000}"/>
    <cellStyle name="Euro 12 23 2" xfId="4430" xr:uid="{00000000-0005-0000-0000-00002B020000}"/>
    <cellStyle name="Euro 12 24" xfId="290" xr:uid="{00000000-0005-0000-0000-00002C020000}"/>
    <cellStyle name="Euro 12 24 2" xfId="4431" xr:uid="{00000000-0005-0000-0000-00002D020000}"/>
    <cellStyle name="Euro 12 25" xfId="291" xr:uid="{00000000-0005-0000-0000-00002E020000}"/>
    <cellStyle name="Euro 12 25 2" xfId="4432" xr:uid="{00000000-0005-0000-0000-00002F020000}"/>
    <cellStyle name="Euro 12 26" xfId="292" xr:uid="{00000000-0005-0000-0000-000030020000}"/>
    <cellStyle name="Euro 12 26 2" xfId="4433" xr:uid="{00000000-0005-0000-0000-000031020000}"/>
    <cellStyle name="Euro 12 27" xfId="293" xr:uid="{00000000-0005-0000-0000-000032020000}"/>
    <cellStyle name="Euro 12 27 2" xfId="4434" xr:uid="{00000000-0005-0000-0000-000033020000}"/>
    <cellStyle name="Euro 12 28" xfId="294" xr:uid="{00000000-0005-0000-0000-000034020000}"/>
    <cellStyle name="Euro 12 28 2" xfId="4435" xr:uid="{00000000-0005-0000-0000-000035020000}"/>
    <cellStyle name="Euro 12 29" xfId="4436" xr:uid="{00000000-0005-0000-0000-000036020000}"/>
    <cellStyle name="Euro 12 3" xfId="295" xr:uid="{00000000-0005-0000-0000-000037020000}"/>
    <cellStyle name="Euro 12 3 2" xfId="4437" xr:uid="{00000000-0005-0000-0000-000038020000}"/>
    <cellStyle name="Euro 12 4" xfId="296" xr:uid="{00000000-0005-0000-0000-000039020000}"/>
    <cellStyle name="Euro 12 4 2" xfId="4438" xr:uid="{00000000-0005-0000-0000-00003A020000}"/>
    <cellStyle name="Euro 12 5" xfId="297" xr:uid="{00000000-0005-0000-0000-00003B020000}"/>
    <cellStyle name="Euro 12 5 2" xfId="4439" xr:uid="{00000000-0005-0000-0000-00003C020000}"/>
    <cellStyle name="Euro 12 6" xfId="298" xr:uid="{00000000-0005-0000-0000-00003D020000}"/>
    <cellStyle name="Euro 12 6 2" xfId="4440" xr:uid="{00000000-0005-0000-0000-00003E020000}"/>
    <cellStyle name="Euro 12 7" xfId="299" xr:uid="{00000000-0005-0000-0000-00003F020000}"/>
    <cellStyle name="Euro 12 7 2" xfId="4441" xr:uid="{00000000-0005-0000-0000-000040020000}"/>
    <cellStyle name="Euro 12 8" xfId="300" xr:uid="{00000000-0005-0000-0000-000041020000}"/>
    <cellStyle name="Euro 12 8 2" xfId="4442" xr:uid="{00000000-0005-0000-0000-000042020000}"/>
    <cellStyle name="Euro 12 9" xfId="301" xr:uid="{00000000-0005-0000-0000-000043020000}"/>
    <cellStyle name="Euro 12 9 2" xfId="4443" xr:uid="{00000000-0005-0000-0000-000044020000}"/>
    <cellStyle name="Euro 13" xfId="302" xr:uid="{00000000-0005-0000-0000-000045020000}"/>
    <cellStyle name="Euro 13 10" xfId="303" xr:uid="{00000000-0005-0000-0000-000046020000}"/>
    <cellStyle name="Euro 13 10 2" xfId="4444" xr:uid="{00000000-0005-0000-0000-000047020000}"/>
    <cellStyle name="Euro 13 11" xfId="304" xr:uid="{00000000-0005-0000-0000-000048020000}"/>
    <cellStyle name="Euro 13 11 2" xfId="4445" xr:uid="{00000000-0005-0000-0000-000049020000}"/>
    <cellStyle name="Euro 13 12" xfId="305" xr:uid="{00000000-0005-0000-0000-00004A020000}"/>
    <cellStyle name="Euro 13 12 2" xfId="4446" xr:uid="{00000000-0005-0000-0000-00004B020000}"/>
    <cellStyle name="Euro 13 13" xfId="306" xr:uid="{00000000-0005-0000-0000-00004C020000}"/>
    <cellStyle name="Euro 13 13 2" xfId="4447" xr:uid="{00000000-0005-0000-0000-00004D020000}"/>
    <cellStyle name="Euro 13 14" xfId="307" xr:uid="{00000000-0005-0000-0000-00004E020000}"/>
    <cellStyle name="Euro 13 14 2" xfId="4448" xr:uid="{00000000-0005-0000-0000-00004F020000}"/>
    <cellStyle name="Euro 13 15" xfId="308" xr:uid="{00000000-0005-0000-0000-000050020000}"/>
    <cellStyle name="Euro 13 15 2" xfId="4449" xr:uid="{00000000-0005-0000-0000-000051020000}"/>
    <cellStyle name="Euro 13 16" xfId="309" xr:uid="{00000000-0005-0000-0000-000052020000}"/>
    <cellStyle name="Euro 13 16 2" xfId="4450" xr:uid="{00000000-0005-0000-0000-000053020000}"/>
    <cellStyle name="Euro 13 17" xfId="310" xr:uid="{00000000-0005-0000-0000-000054020000}"/>
    <cellStyle name="Euro 13 17 2" xfId="4451" xr:uid="{00000000-0005-0000-0000-000055020000}"/>
    <cellStyle name="Euro 13 18" xfId="311" xr:uid="{00000000-0005-0000-0000-000056020000}"/>
    <cellStyle name="Euro 13 18 2" xfId="4452" xr:uid="{00000000-0005-0000-0000-000057020000}"/>
    <cellStyle name="Euro 13 19" xfId="312" xr:uid="{00000000-0005-0000-0000-000058020000}"/>
    <cellStyle name="Euro 13 19 2" xfId="4453" xr:uid="{00000000-0005-0000-0000-000059020000}"/>
    <cellStyle name="Euro 13 2" xfId="313" xr:uid="{00000000-0005-0000-0000-00005A020000}"/>
    <cellStyle name="Euro 13 2 2" xfId="4454" xr:uid="{00000000-0005-0000-0000-00005B020000}"/>
    <cellStyle name="Euro 13 20" xfId="314" xr:uid="{00000000-0005-0000-0000-00005C020000}"/>
    <cellStyle name="Euro 13 20 2" xfId="4455" xr:uid="{00000000-0005-0000-0000-00005D020000}"/>
    <cellStyle name="Euro 13 21" xfId="315" xr:uid="{00000000-0005-0000-0000-00005E020000}"/>
    <cellStyle name="Euro 13 21 2" xfId="4456" xr:uid="{00000000-0005-0000-0000-00005F020000}"/>
    <cellStyle name="Euro 13 22" xfId="316" xr:uid="{00000000-0005-0000-0000-000060020000}"/>
    <cellStyle name="Euro 13 22 2" xfId="4457" xr:uid="{00000000-0005-0000-0000-000061020000}"/>
    <cellStyle name="Euro 13 23" xfId="317" xr:uid="{00000000-0005-0000-0000-000062020000}"/>
    <cellStyle name="Euro 13 23 2" xfId="4458" xr:uid="{00000000-0005-0000-0000-000063020000}"/>
    <cellStyle name="Euro 13 24" xfId="318" xr:uid="{00000000-0005-0000-0000-000064020000}"/>
    <cellStyle name="Euro 13 24 2" xfId="4459" xr:uid="{00000000-0005-0000-0000-000065020000}"/>
    <cellStyle name="Euro 13 25" xfId="319" xr:uid="{00000000-0005-0000-0000-000066020000}"/>
    <cellStyle name="Euro 13 25 2" xfId="4460" xr:uid="{00000000-0005-0000-0000-000067020000}"/>
    <cellStyle name="Euro 13 26" xfId="320" xr:uid="{00000000-0005-0000-0000-000068020000}"/>
    <cellStyle name="Euro 13 26 2" xfId="4461" xr:uid="{00000000-0005-0000-0000-000069020000}"/>
    <cellStyle name="Euro 13 27" xfId="321" xr:uid="{00000000-0005-0000-0000-00006A020000}"/>
    <cellStyle name="Euro 13 27 2" xfId="4462" xr:uid="{00000000-0005-0000-0000-00006B020000}"/>
    <cellStyle name="Euro 13 28" xfId="322" xr:uid="{00000000-0005-0000-0000-00006C020000}"/>
    <cellStyle name="Euro 13 28 2" xfId="4463" xr:uid="{00000000-0005-0000-0000-00006D020000}"/>
    <cellStyle name="Euro 13 29" xfId="4464" xr:uid="{00000000-0005-0000-0000-00006E020000}"/>
    <cellStyle name="Euro 13 3" xfId="323" xr:uid="{00000000-0005-0000-0000-00006F020000}"/>
    <cellStyle name="Euro 13 3 2" xfId="4465" xr:uid="{00000000-0005-0000-0000-000070020000}"/>
    <cellStyle name="Euro 13 4" xfId="324" xr:uid="{00000000-0005-0000-0000-000071020000}"/>
    <cellStyle name="Euro 13 4 2" xfId="4466" xr:uid="{00000000-0005-0000-0000-000072020000}"/>
    <cellStyle name="Euro 13 5" xfId="325" xr:uid="{00000000-0005-0000-0000-000073020000}"/>
    <cellStyle name="Euro 13 5 2" xfId="4467" xr:uid="{00000000-0005-0000-0000-000074020000}"/>
    <cellStyle name="Euro 13 6" xfId="326" xr:uid="{00000000-0005-0000-0000-000075020000}"/>
    <cellStyle name="Euro 13 6 2" xfId="4468" xr:uid="{00000000-0005-0000-0000-000076020000}"/>
    <cellStyle name="Euro 13 7" xfId="327" xr:uid="{00000000-0005-0000-0000-000077020000}"/>
    <cellStyle name="Euro 13 7 2" xfId="4469" xr:uid="{00000000-0005-0000-0000-000078020000}"/>
    <cellStyle name="Euro 13 8" xfId="328" xr:uid="{00000000-0005-0000-0000-000079020000}"/>
    <cellStyle name="Euro 13 8 2" xfId="4470" xr:uid="{00000000-0005-0000-0000-00007A020000}"/>
    <cellStyle name="Euro 13 9" xfId="329" xr:uid="{00000000-0005-0000-0000-00007B020000}"/>
    <cellStyle name="Euro 13 9 2" xfId="4471" xr:uid="{00000000-0005-0000-0000-00007C020000}"/>
    <cellStyle name="Euro 14" xfId="330" xr:uid="{00000000-0005-0000-0000-00007D020000}"/>
    <cellStyle name="Euro 14 10" xfId="331" xr:uid="{00000000-0005-0000-0000-00007E020000}"/>
    <cellStyle name="Euro 14 10 2" xfId="4472" xr:uid="{00000000-0005-0000-0000-00007F020000}"/>
    <cellStyle name="Euro 14 11" xfId="332" xr:uid="{00000000-0005-0000-0000-000080020000}"/>
    <cellStyle name="Euro 14 11 2" xfId="4473" xr:uid="{00000000-0005-0000-0000-000081020000}"/>
    <cellStyle name="Euro 14 12" xfId="333" xr:uid="{00000000-0005-0000-0000-000082020000}"/>
    <cellStyle name="Euro 14 12 2" xfId="4474" xr:uid="{00000000-0005-0000-0000-000083020000}"/>
    <cellStyle name="Euro 14 13" xfId="334" xr:uid="{00000000-0005-0000-0000-000084020000}"/>
    <cellStyle name="Euro 14 13 2" xfId="4475" xr:uid="{00000000-0005-0000-0000-000085020000}"/>
    <cellStyle name="Euro 14 14" xfId="335" xr:uid="{00000000-0005-0000-0000-000086020000}"/>
    <cellStyle name="Euro 14 14 2" xfId="4476" xr:uid="{00000000-0005-0000-0000-000087020000}"/>
    <cellStyle name="Euro 14 15" xfId="336" xr:uid="{00000000-0005-0000-0000-000088020000}"/>
    <cellStyle name="Euro 14 15 2" xfId="4477" xr:uid="{00000000-0005-0000-0000-000089020000}"/>
    <cellStyle name="Euro 14 16" xfId="337" xr:uid="{00000000-0005-0000-0000-00008A020000}"/>
    <cellStyle name="Euro 14 16 2" xfId="4478" xr:uid="{00000000-0005-0000-0000-00008B020000}"/>
    <cellStyle name="Euro 14 17" xfId="338" xr:uid="{00000000-0005-0000-0000-00008C020000}"/>
    <cellStyle name="Euro 14 17 2" xfId="4479" xr:uid="{00000000-0005-0000-0000-00008D020000}"/>
    <cellStyle name="Euro 14 18" xfId="339" xr:uid="{00000000-0005-0000-0000-00008E020000}"/>
    <cellStyle name="Euro 14 18 2" xfId="4480" xr:uid="{00000000-0005-0000-0000-00008F020000}"/>
    <cellStyle name="Euro 14 19" xfId="340" xr:uid="{00000000-0005-0000-0000-000090020000}"/>
    <cellStyle name="Euro 14 19 2" xfId="4481" xr:uid="{00000000-0005-0000-0000-000091020000}"/>
    <cellStyle name="Euro 14 2" xfId="341" xr:uid="{00000000-0005-0000-0000-000092020000}"/>
    <cellStyle name="Euro 14 2 2" xfId="4482" xr:uid="{00000000-0005-0000-0000-000093020000}"/>
    <cellStyle name="Euro 14 20" xfId="342" xr:uid="{00000000-0005-0000-0000-000094020000}"/>
    <cellStyle name="Euro 14 20 2" xfId="4483" xr:uid="{00000000-0005-0000-0000-000095020000}"/>
    <cellStyle name="Euro 14 21" xfId="343" xr:uid="{00000000-0005-0000-0000-000096020000}"/>
    <cellStyle name="Euro 14 21 2" xfId="4484" xr:uid="{00000000-0005-0000-0000-000097020000}"/>
    <cellStyle name="Euro 14 22" xfId="344" xr:uid="{00000000-0005-0000-0000-000098020000}"/>
    <cellStyle name="Euro 14 22 2" xfId="4485" xr:uid="{00000000-0005-0000-0000-000099020000}"/>
    <cellStyle name="Euro 14 23" xfId="345" xr:uid="{00000000-0005-0000-0000-00009A020000}"/>
    <cellStyle name="Euro 14 23 2" xfId="4486" xr:uid="{00000000-0005-0000-0000-00009B020000}"/>
    <cellStyle name="Euro 14 24" xfId="346" xr:uid="{00000000-0005-0000-0000-00009C020000}"/>
    <cellStyle name="Euro 14 24 2" xfId="4487" xr:uid="{00000000-0005-0000-0000-00009D020000}"/>
    <cellStyle name="Euro 14 25" xfId="347" xr:uid="{00000000-0005-0000-0000-00009E020000}"/>
    <cellStyle name="Euro 14 25 2" xfId="4488" xr:uid="{00000000-0005-0000-0000-00009F020000}"/>
    <cellStyle name="Euro 14 26" xfId="348" xr:uid="{00000000-0005-0000-0000-0000A0020000}"/>
    <cellStyle name="Euro 14 26 2" xfId="4489" xr:uid="{00000000-0005-0000-0000-0000A1020000}"/>
    <cellStyle name="Euro 14 27" xfId="349" xr:uid="{00000000-0005-0000-0000-0000A2020000}"/>
    <cellStyle name="Euro 14 27 2" xfId="4490" xr:uid="{00000000-0005-0000-0000-0000A3020000}"/>
    <cellStyle name="Euro 14 28" xfId="350" xr:uid="{00000000-0005-0000-0000-0000A4020000}"/>
    <cellStyle name="Euro 14 28 2" xfId="4491" xr:uid="{00000000-0005-0000-0000-0000A5020000}"/>
    <cellStyle name="Euro 14 29" xfId="4492" xr:uid="{00000000-0005-0000-0000-0000A6020000}"/>
    <cellStyle name="Euro 14 3" xfId="351" xr:uid="{00000000-0005-0000-0000-0000A7020000}"/>
    <cellStyle name="Euro 14 3 2" xfId="4493" xr:uid="{00000000-0005-0000-0000-0000A8020000}"/>
    <cellStyle name="Euro 14 4" xfId="352" xr:uid="{00000000-0005-0000-0000-0000A9020000}"/>
    <cellStyle name="Euro 14 4 2" xfId="4494" xr:uid="{00000000-0005-0000-0000-0000AA020000}"/>
    <cellStyle name="Euro 14 5" xfId="353" xr:uid="{00000000-0005-0000-0000-0000AB020000}"/>
    <cellStyle name="Euro 14 5 2" xfId="4495" xr:uid="{00000000-0005-0000-0000-0000AC020000}"/>
    <cellStyle name="Euro 14 6" xfId="354" xr:uid="{00000000-0005-0000-0000-0000AD020000}"/>
    <cellStyle name="Euro 14 6 2" xfId="4496" xr:uid="{00000000-0005-0000-0000-0000AE020000}"/>
    <cellStyle name="Euro 14 7" xfId="355" xr:uid="{00000000-0005-0000-0000-0000AF020000}"/>
    <cellStyle name="Euro 14 7 2" xfId="4497" xr:uid="{00000000-0005-0000-0000-0000B0020000}"/>
    <cellStyle name="Euro 14 8" xfId="356" xr:uid="{00000000-0005-0000-0000-0000B1020000}"/>
    <cellStyle name="Euro 14 8 2" xfId="4498" xr:uid="{00000000-0005-0000-0000-0000B2020000}"/>
    <cellStyle name="Euro 14 9" xfId="357" xr:uid="{00000000-0005-0000-0000-0000B3020000}"/>
    <cellStyle name="Euro 14 9 2" xfId="4499" xr:uid="{00000000-0005-0000-0000-0000B4020000}"/>
    <cellStyle name="Euro 15" xfId="358" xr:uid="{00000000-0005-0000-0000-0000B5020000}"/>
    <cellStyle name="Euro 15 10" xfId="359" xr:uid="{00000000-0005-0000-0000-0000B6020000}"/>
    <cellStyle name="Euro 15 10 2" xfId="4500" xr:uid="{00000000-0005-0000-0000-0000B7020000}"/>
    <cellStyle name="Euro 15 11" xfId="360" xr:uid="{00000000-0005-0000-0000-0000B8020000}"/>
    <cellStyle name="Euro 15 11 2" xfId="4501" xr:uid="{00000000-0005-0000-0000-0000B9020000}"/>
    <cellStyle name="Euro 15 12" xfId="361" xr:uid="{00000000-0005-0000-0000-0000BA020000}"/>
    <cellStyle name="Euro 15 12 2" xfId="4502" xr:uid="{00000000-0005-0000-0000-0000BB020000}"/>
    <cellStyle name="Euro 15 13" xfId="362" xr:uid="{00000000-0005-0000-0000-0000BC020000}"/>
    <cellStyle name="Euro 15 13 2" xfId="4503" xr:uid="{00000000-0005-0000-0000-0000BD020000}"/>
    <cellStyle name="Euro 15 14" xfId="363" xr:uid="{00000000-0005-0000-0000-0000BE020000}"/>
    <cellStyle name="Euro 15 14 2" xfId="4504" xr:uid="{00000000-0005-0000-0000-0000BF020000}"/>
    <cellStyle name="Euro 15 15" xfId="364" xr:uid="{00000000-0005-0000-0000-0000C0020000}"/>
    <cellStyle name="Euro 15 15 2" xfId="4505" xr:uid="{00000000-0005-0000-0000-0000C1020000}"/>
    <cellStyle name="Euro 15 16" xfId="365" xr:uid="{00000000-0005-0000-0000-0000C2020000}"/>
    <cellStyle name="Euro 15 16 2" xfId="4506" xr:uid="{00000000-0005-0000-0000-0000C3020000}"/>
    <cellStyle name="Euro 15 17" xfId="366" xr:uid="{00000000-0005-0000-0000-0000C4020000}"/>
    <cellStyle name="Euro 15 17 2" xfId="4507" xr:uid="{00000000-0005-0000-0000-0000C5020000}"/>
    <cellStyle name="Euro 15 18" xfId="367" xr:uid="{00000000-0005-0000-0000-0000C6020000}"/>
    <cellStyle name="Euro 15 18 2" xfId="4508" xr:uid="{00000000-0005-0000-0000-0000C7020000}"/>
    <cellStyle name="Euro 15 19" xfId="368" xr:uid="{00000000-0005-0000-0000-0000C8020000}"/>
    <cellStyle name="Euro 15 19 2" xfId="4509" xr:uid="{00000000-0005-0000-0000-0000C9020000}"/>
    <cellStyle name="Euro 15 2" xfId="369" xr:uid="{00000000-0005-0000-0000-0000CA020000}"/>
    <cellStyle name="Euro 15 2 2" xfId="4510" xr:uid="{00000000-0005-0000-0000-0000CB020000}"/>
    <cellStyle name="Euro 15 20" xfId="370" xr:uid="{00000000-0005-0000-0000-0000CC020000}"/>
    <cellStyle name="Euro 15 20 2" xfId="4511" xr:uid="{00000000-0005-0000-0000-0000CD020000}"/>
    <cellStyle name="Euro 15 21" xfId="371" xr:uid="{00000000-0005-0000-0000-0000CE020000}"/>
    <cellStyle name="Euro 15 21 2" xfId="4512" xr:uid="{00000000-0005-0000-0000-0000CF020000}"/>
    <cellStyle name="Euro 15 22" xfId="372" xr:uid="{00000000-0005-0000-0000-0000D0020000}"/>
    <cellStyle name="Euro 15 22 2" xfId="4513" xr:uid="{00000000-0005-0000-0000-0000D1020000}"/>
    <cellStyle name="Euro 15 23" xfId="373" xr:uid="{00000000-0005-0000-0000-0000D2020000}"/>
    <cellStyle name="Euro 15 23 2" xfId="4514" xr:uid="{00000000-0005-0000-0000-0000D3020000}"/>
    <cellStyle name="Euro 15 24" xfId="374" xr:uid="{00000000-0005-0000-0000-0000D4020000}"/>
    <cellStyle name="Euro 15 24 2" xfId="4515" xr:uid="{00000000-0005-0000-0000-0000D5020000}"/>
    <cellStyle name="Euro 15 25" xfId="375" xr:uid="{00000000-0005-0000-0000-0000D6020000}"/>
    <cellStyle name="Euro 15 25 2" xfId="4516" xr:uid="{00000000-0005-0000-0000-0000D7020000}"/>
    <cellStyle name="Euro 15 26" xfId="376" xr:uid="{00000000-0005-0000-0000-0000D8020000}"/>
    <cellStyle name="Euro 15 26 2" xfId="4517" xr:uid="{00000000-0005-0000-0000-0000D9020000}"/>
    <cellStyle name="Euro 15 27" xfId="377" xr:uid="{00000000-0005-0000-0000-0000DA020000}"/>
    <cellStyle name="Euro 15 27 2" xfId="4518" xr:uid="{00000000-0005-0000-0000-0000DB020000}"/>
    <cellStyle name="Euro 15 28" xfId="378" xr:uid="{00000000-0005-0000-0000-0000DC020000}"/>
    <cellStyle name="Euro 15 28 2" xfId="4519" xr:uid="{00000000-0005-0000-0000-0000DD020000}"/>
    <cellStyle name="Euro 15 29" xfId="4520" xr:uid="{00000000-0005-0000-0000-0000DE020000}"/>
    <cellStyle name="Euro 15 3" xfId="379" xr:uid="{00000000-0005-0000-0000-0000DF020000}"/>
    <cellStyle name="Euro 15 3 2" xfId="4521" xr:uid="{00000000-0005-0000-0000-0000E0020000}"/>
    <cellStyle name="Euro 15 4" xfId="380" xr:uid="{00000000-0005-0000-0000-0000E1020000}"/>
    <cellStyle name="Euro 15 4 2" xfId="4522" xr:uid="{00000000-0005-0000-0000-0000E2020000}"/>
    <cellStyle name="Euro 15 5" xfId="381" xr:uid="{00000000-0005-0000-0000-0000E3020000}"/>
    <cellStyle name="Euro 15 5 2" xfId="4523" xr:uid="{00000000-0005-0000-0000-0000E4020000}"/>
    <cellStyle name="Euro 15 6" xfId="382" xr:uid="{00000000-0005-0000-0000-0000E5020000}"/>
    <cellStyle name="Euro 15 6 2" xfId="4524" xr:uid="{00000000-0005-0000-0000-0000E6020000}"/>
    <cellStyle name="Euro 15 7" xfId="383" xr:uid="{00000000-0005-0000-0000-0000E7020000}"/>
    <cellStyle name="Euro 15 7 2" xfId="4525" xr:uid="{00000000-0005-0000-0000-0000E8020000}"/>
    <cellStyle name="Euro 15 8" xfId="384" xr:uid="{00000000-0005-0000-0000-0000E9020000}"/>
    <cellStyle name="Euro 15 8 2" xfId="4526" xr:uid="{00000000-0005-0000-0000-0000EA020000}"/>
    <cellStyle name="Euro 15 9" xfId="385" xr:uid="{00000000-0005-0000-0000-0000EB020000}"/>
    <cellStyle name="Euro 15 9 2" xfId="4527" xr:uid="{00000000-0005-0000-0000-0000EC020000}"/>
    <cellStyle name="Euro 16" xfId="386" xr:uid="{00000000-0005-0000-0000-0000ED020000}"/>
    <cellStyle name="Euro 16 10" xfId="387" xr:uid="{00000000-0005-0000-0000-0000EE020000}"/>
    <cellStyle name="Euro 16 10 2" xfId="4528" xr:uid="{00000000-0005-0000-0000-0000EF020000}"/>
    <cellStyle name="Euro 16 11" xfId="388" xr:uid="{00000000-0005-0000-0000-0000F0020000}"/>
    <cellStyle name="Euro 16 11 2" xfId="4529" xr:uid="{00000000-0005-0000-0000-0000F1020000}"/>
    <cellStyle name="Euro 16 12" xfId="389" xr:uid="{00000000-0005-0000-0000-0000F2020000}"/>
    <cellStyle name="Euro 16 12 2" xfId="4530" xr:uid="{00000000-0005-0000-0000-0000F3020000}"/>
    <cellStyle name="Euro 16 13" xfId="390" xr:uid="{00000000-0005-0000-0000-0000F4020000}"/>
    <cellStyle name="Euro 16 13 2" xfId="4531" xr:uid="{00000000-0005-0000-0000-0000F5020000}"/>
    <cellStyle name="Euro 16 14" xfId="391" xr:uid="{00000000-0005-0000-0000-0000F6020000}"/>
    <cellStyle name="Euro 16 14 2" xfId="4532" xr:uid="{00000000-0005-0000-0000-0000F7020000}"/>
    <cellStyle name="Euro 16 15" xfId="392" xr:uid="{00000000-0005-0000-0000-0000F8020000}"/>
    <cellStyle name="Euro 16 15 2" xfId="4533" xr:uid="{00000000-0005-0000-0000-0000F9020000}"/>
    <cellStyle name="Euro 16 16" xfId="393" xr:uid="{00000000-0005-0000-0000-0000FA020000}"/>
    <cellStyle name="Euro 16 16 2" xfId="4534" xr:uid="{00000000-0005-0000-0000-0000FB020000}"/>
    <cellStyle name="Euro 16 17" xfId="394" xr:uid="{00000000-0005-0000-0000-0000FC020000}"/>
    <cellStyle name="Euro 16 17 2" xfId="4535" xr:uid="{00000000-0005-0000-0000-0000FD020000}"/>
    <cellStyle name="Euro 16 18" xfId="395" xr:uid="{00000000-0005-0000-0000-0000FE020000}"/>
    <cellStyle name="Euro 16 18 2" xfId="4536" xr:uid="{00000000-0005-0000-0000-0000FF020000}"/>
    <cellStyle name="Euro 16 19" xfId="396" xr:uid="{00000000-0005-0000-0000-000000030000}"/>
    <cellStyle name="Euro 16 19 2" xfId="4537" xr:uid="{00000000-0005-0000-0000-000001030000}"/>
    <cellStyle name="Euro 16 2" xfId="397" xr:uid="{00000000-0005-0000-0000-000002030000}"/>
    <cellStyle name="Euro 16 2 2" xfId="4538" xr:uid="{00000000-0005-0000-0000-000003030000}"/>
    <cellStyle name="Euro 16 20" xfId="398" xr:uid="{00000000-0005-0000-0000-000004030000}"/>
    <cellStyle name="Euro 16 20 2" xfId="4539" xr:uid="{00000000-0005-0000-0000-000005030000}"/>
    <cellStyle name="Euro 16 21" xfId="399" xr:uid="{00000000-0005-0000-0000-000006030000}"/>
    <cellStyle name="Euro 16 21 2" xfId="4540" xr:uid="{00000000-0005-0000-0000-000007030000}"/>
    <cellStyle name="Euro 16 22" xfId="400" xr:uid="{00000000-0005-0000-0000-000008030000}"/>
    <cellStyle name="Euro 16 22 2" xfId="4541" xr:uid="{00000000-0005-0000-0000-000009030000}"/>
    <cellStyle name="Euro 16 23" xfId="401" xr:uid="{00000000-0005-0000-0000-00000A030000}"/>
    <cellStyle name="Euro 16 23 2" xfId="4542" xr:uid="{00000000-0005-0000-0000-00000B030000}"/>
    <cellStyle name="Euro 16 24" xfId="402" xr:uid="{00000000-0005-0000-0000-00000C030000}"/>
    <cellStyle name="Euro 16 24 2" xfId="4543" xr:uid="{00000000-0005-0000-0000-00000D030000}"/>
    <cellStyle name="Euro 16 25" xfId="403" xr:uid="{00000000-0005-0000-0000-00000E030000}"/>
    <cellStyle name="Euro 16 25 2" xfId="4544" xr:uid="{00000000-0005-0000-0000-00000F030000}"/>
    <cellStyle name="Euro 16 26" xfId="404" xr:uid="{00000000-0005-0000-0000-000010030000}"/>
    <cellStyle name="Euro 16 26 2" xfId="4545" xr:uid="{00000000-0005-0000-0000-000011030000}"/>
    <cellStyle name="Euro 16 27" xfId="405" xr:uid="{00000000-0005-0000-0000-000012030000}"/>
    <cellStyle name="Euro 16 27 2" xfId="4546" xr:uid="{00000000-0005-0000-0000-000013030000}"/>
    <cellStyle name="Euro 16 28" xfId="406" xr:uid="{00000000-0005-0000-0000-000014030000}"/>
    <cellStyle name="Euro 16 28 2" xfId="4547" xr:uid="{00000000-0005-0000-0000-000015030000}"/>
    <cellStyle name="Euro 16 29" xfId="4548" xr:uid="{00000000-0005-0000-0000-000016030000}"/>
    <cellStyle name="Euro 16 3" xfId="407" xr:uid="{00000000-0005-0000-0000-000017030000}"/>
    <cellStyle name="Euro 16 3 2" xfId="4549" xr:uid="{00000000-0005-0000-0000-000018030000}"/>
    <cellStyle name="Euro 16 4" xfId="408" xr:uid="{00000000-0005-0000-0000-000019030000}"/>
    <cellStyle name="Euro 16 4 2" xfId="4550" xr:uid="{00000000-0005-0000-0000-00001A030000}"/>
    <cellStyle name="Euro 16 5" xfId="409" xr:uid="{00000000-0005-0000-0000-00001B030000}"/>
    <cellStyle name="Euro 16 5 2" xfId="4551" xr:uid="{00000000-0005-0000-0000-00001C030000}"/>
    <cellStyle name="Euro 16 6" xfId="410" xr:uid="{00000000-0005-0000-0000-00001D030000}"/>
    <cellStyle name="Euro 16 6 2" xfId="4552" xr:uid="{00000000-0005-0000-0000-00001E030000}"/>
    <cellStyle name="Euro 16 7" xfId="411" xr:uid="{00000000-0005-0000-0000-00001F030000}"/>
    <cellStyle name="Euro 16 7 2" xfId="4553" xr:uid="{00000000-0005-0000-0000-000020030000}"/>
    <cellStyle name="Euro 16 8" xfId="412" xr:uid="{00000000-0005-0000-0000-000021030000}"/>
    <cellStyle name="Euro 16 8 2" xfId="4554" xr:uid="{00000000-0005-0000-0000-000022030000}"/>
    <cellStyle name="Euro 16 9" xfId="413" xr:uid="{00000000-0005-0000-0000-000023030000}"/>
    <cellStyle name="Euro 16 9 2" xfId="4555" xr:uid="{00000000-0005-0000-0000-000024030000}"/>
    <cellStyle name="Euro 17" xfId="414" xr:uid="{00000000-0005-0000-0000-000025030000}"/>
    <cellStyle name="Euro 17 10" xfId="415" xr:uid="{00000000-0005-0000-0000-000026030000}"/>
    <cellStyle name="Euro 17 10 2" xfId="4556" xr:uid="{00000000-0005-0000-0000-000027030000}"/>
    <cellStyle name="Euro 17 11" xfId="416" xr:uid="{00000000-0005-0000-0000-000028030000}"/>
    <cellStyle name="Euro 17 11 2" xfId="4557" xr:uid="{00000000-0005-0000-0000-000029030000}"/>
    <cellStyle name="Euro 17 12" xfId="417" xr:uid="{00000000-0005-0000-0000-00002A030000}"/>
    <cellStyle name="Euro 17 12 2" xfId="4558" xr:uid="{00000000-0005-0000-0000-00002B030000}"/>
    <cellStyle name="Euro 17 13" xfId="418" xr:uid="{00000000-0005-0000-0000-00002C030000}"/>
    <cellStyle name="Euro 17 13 2" xfId="4559" xr:uid="{00000000-0005-0000-0000-00002D030000}"/>
    <cellStyle name="Euro 17 14" xfId="419" xr:uid="{00000000-0005-0000-0000-00002E030000}"/>
    <cellStyle name="Euro 17 14 2" xfId="4560" xr:uid="{00000000-0005-0000-0000-00002F030000}"/>
    <cellStyle name="Euro 17 15" xfId="420" xr:uid="{00000000-0005-0000-0000-000030030000}"/>
    <cellStyle name="Euro 17 15 2" xfId="4561" xr:uid="{00000000-0005-0000-0000-000031030000}"/>
    <cellStyle name="Euro 17 16" xfId="421" xr:uid="{00000000-0005-0000-0000-000032030000}"/>
    <cellStyle name="Euro 17 16 2" xfId="4562" xr:uid="{00000000-0005-0000-0000-000033030000}"/>
    <cellStyle name="Euro 17 17" xfId="422" xr:uid="{00000000-0005-0000-0000-000034030000}"/>
    <cellStyle name="Euro 17 17 2" xfId="4563" xr:uid="{00000000-0005-0000-0000-000035030000}"/>
    <cellStyle name="Euro 17 18" xfId="423" xr:uid="{00000000-0005-0000-0000-000036030000}"/>
    <cellStyle name="Euro 17 18 2" xfId="4564" xr:uid="{00000000-0005-0000-0000-000037030000}"/>
    <cellStyle name="Euro 17 19" xfId="424" xr:uid="{00000000-0005-0000-0000-000038030000}"/>
    <cellStyle name="Euro 17 19 2" xfId="4565" xr:uid="{00000000-0005-0000-0000-000039030000}"/>
    <cellStyle name="Euro 17 2" xfId="425" xr:uid="{00000000-0005-0000-0000-00003A030000}"/>
    <cellStyle name="Euro 17 2 2" xfId="4566" xr:uid="{00000000-0005-0000-0000-00003B030000}"/>
    <cellStyle name="Euro 17 20" xfId="426" xr:uid="{00000000-0005-0000-0000-00003C030000}"/>
    <cellStyle name="Euro 17 20 2" xfId="4567" xr:uid="{00000000-0005-0000-0000-00003D030000}"/>
    <cellStyle name="Euro 17 21" xfId="427" xr:uid="{00000000-0005-0000-0000-00003E030000}"/>
    <cellStyle name="Euro 17 21 2" xfId="4568" xr:uid="{00000000-0005-0000-0000-00003F030000}"/>
    <cellStyle name="Euro 17 22" xfId="428" xr:uid="{00000000-0005-0000-0000-000040030000}"/>
    <cellStyle name="Euro 17 22 2" xfId="4569" xr:uid="{00000000-0005-0000-0000-000041030000}"/>
    <cellStyle name="Euro 17 23" xfId="429" xr:uid="{00000000-0005-0000-0000-000042030000}"/>
    <cellStyle name="Euro 17 23 2" xfId="4570" xr:uid="{00000000-0005-0000-0000-000043030000}"/>
    <cellStyle name="Euro 17 24" xfId="430" xr:uid="{00000000-0005-0000-0000-000044030000}"/>
    <cellStyle name="Euro 17 24 2" xfId="4571" xr:uid="{00000000-0005-0000-0000-000045030000}"/>
    <cellStyle name="Euro 17 25" xfId="431" xr:uid="{00000000-0005-0000-0000-000046030000}"/>
    <cellStyle name="Euro 17 25 2" xfId="4572" xr:uid="{00000000-0005-0000-0000-000047030000}"/>
    <cellStyle name="Euro 17 26" xfId="432" xr:uid="{00000000-0005-0000-0000-000048030000}"/>
    <cellStyle name="Euro 17 26 2" xfId="4573" xr:uid="{00000000-0005-0000-0000-000049030000}"/>
    <cellStyle name="Euro 17 27" xfId="433" xr:uid="{00000000-0005-0000-0000-00004A030000}"/>
    <cellStyle name="Euro 17 27 2" xfId="4574" xr:uid="{00000000-0005-0000-0000-00004B030000}"/>
    <cellStyle name="Euro 17 28" xfId="434" xr:uid="{00000000-0005-0000-0000-00004C030000}"/>
    <cellStyle name="Euro 17 28 2" xfId="4575" xr:uid="{00000000-0005-0000-0000-00004D030000}"/>
    <cellStyle name="Euro 17 29" xfId="4576" xr:uid="{00000000-0005-0000-0000-00004E030000}"/>
    <cellStyle name="Euro 17 3" xfId="435" xr:uid="{00000000-0005-0000-0000-00004F030000}"/>
    <cellStyle name="Euro 17 3 2" xfId="4577" xr:uid="{00000000-0005-0000-0000-000050030000}"/>
    <cellStyle name="Euro 17 4" xfId="436" xr:uid="{00000000-0005-0000-0000-000051030000}"/>
    <cellStyle name="Euro 17 4 2" xfId="4578" xr:uid="{00000000-0005-0000-0000-000052030000}"/>
    <cellStyle name="Euro 17 5" xfId="437" xr:uid="{00000000-0005-0000-0000-000053030000}"/>
    <cellStyle name="Euro 17 5 2" xfId="4579" xr:uid="{00000000-0005-0000-0000-000054030000}"/>
    <cellStyle name="Euro 17 6" xfId="438" xr:uid="{00000000-0005-0000-0000-000055030000}"/>
    <cellStyle name="Euro 17 6 2" xfId="4580" xr:uid="{00000000-0005-0000-0000-000056030000}"/>
    <cellStyle name="Euro 17 7" xfId="439" xr:uid="{00000000-0005-0000-0000-000057030000}"/>
    <cellStyle name="Euro 17 7 2" xfId="4581" xr:uid="{00000000-0005-0000-0000-000058030000}"/>
    <cellStyle name="Euro 17 8" xfId="440" xr:uid="{00000000-0005-0000-0000-000059030000}"/>
    <cellStyle name="Euro 17 8 2" xfId="4582" xr:uid="{00000000-0005-0000-0000-00005A030000}"/>
    <cellStyle name="Euro 17 9" xfId="441" xr:uid="{00000000-0005-0000-0000-00005B030000}"/>
    <cellStyle name="Euro 17 9 2" xfId="4583" xr:uid="{00000000-0005-0000-0000-00005C030000}"/>
    <cellStyle name="Euro 18" xfId="442" xr:uid="{00000000-0005-0000-0000-00005D030000}"/>
    <cellStyle name="Euro 18 10" xfId="443" xr:uid="{00000000-0005-0000-0000-00005E030000}"/>
    <cellStyle name="Euro 18 10 2" xfId="4584" xr:uid="{00000000-0005-0000-0000-00005F030000}"/>
    <cellStyle name="Euro 18 11" xfId="444" xr:uid="{00000000-0005-0000-0000-000060030000}"/>
    <cellStyle name="Euro 18 11 2" xfId="4585" xr:uid="{00000000-0005-0000-0000-000061030000}"/>
    <cellStyle name="Euro 18 12" xfId="445" xr:uid="{00000000-0005-0000-0000-000062030000}"/>
    <cellStyle name="Euro 18 12 2" xfId="4586" xr:uid="{00000000-0005-0000-0000-000063030000}"/>
    <cellStyle name="Euro 18 13" xfId="446" xr:uid="{00000000-0005-0000-0000-000064030000}"/>
    <cellStyle name="Euro 18 13 2" xfId="4587" xr:uid="{00000000-0005-0000-0000-000065030000}"/>
    <cellStyle name="Euro 18 14" xfId="447" xr:uid="{00000000-0005-0000-0000-000066030000}"/>
    <cellStyle name="Euro 18 14 2" xfId="4588" xr:uid="{00000000-0005-0000-0000-000067030000}"/>
    <cellStyle name="Euro 18 15" xfId="448" xr:uid="{00000000-0005-0000-0000-000068030000}"/>
    <cellStyle name="Euro 18 15 2" xfId="4589" xr:uid="{00000000-0005-0000-0000-000069030000}"/>
    <cellStyle name="Euro 18 16" xfId="449" xr:uid="{00000000-0005-0000-0000-00006A030000}"/>
    <cellStyle name="Euro 18 16 2" xfId="4590" xr:uid="{00000000-0005-0000-0000-00006B030000}"/>
    <cellStyle name="Euro 18 17" xfId="450" xr:uid="{00000000-0005-0000-0000-00006C030000}"/>
    <cellStyle name="Euro 18 17 2" xfId="4591" xr:uid="{00000000-0005-0000-0000-00006D030000}"/>
    <cellStyle name="Euro 18 18" xfId="451" xr:uid="{00000000-0005-0000-0000-00006E030000}"/>
    <cellStyle name="Euro 18 18 2" xfId="4592" xr:uid="{00000000-0005-0000-0000-00006F030000}"/>
    <cellStyle name="Euro 18 19" xfId="452" xr:uid="{00000000-0005-0000-0000-000070030000}"/>
    <cellStyle name="Euro 18 19 2" xfId="4593" xr:uid="{00000000-0005-0000-0000-000071030000}"/>
    <cellStyle name="Euro 18 2" xfId="453" xr:uid="{00000000-0005-0000-0000-000072030000}"/>
    <cellStyle name="Euro 18 2 2" xfId="4594" xr:uid="{00000000-0005-0000-0000-000073030000}"/>
    <cellStyle name="Euro 18 20" xfId="454" xr:uid="{00000000-0005-0000-0000-000074030000}"/>
    <cellStyle name="Euro 18 20 2" xfId="4595" xr:uid="{00000000-0005-0000-0000-000075030000}"/>
    <cellStyle name="Euro 18 21" xfId="455" xr:uid="{00000000-0005-0000-0000-000076030000}"/>
    <cellStyle name="Euro 18 21 2" xfId="4596" xr:uid="{00000000-0005-0000-0000-000077030000}"/>
    <cellStyle name="Euro 18 22" xfId="456" xr:uid="{00000000-0005-0000-0000-000078030000}"/>
    <cellStyle name="Euro 18 22 2" xfId="4597" xr:uid="{00000000-0005-0000-0000-000079030000}"/>
    <cellStyle name="Euro 18 23" xfId="457" xr:uid="{00000000-0005-0000-0000-00007A030000}"/>
    <cellStyle name="Euro 18 23 2" xfId="4598" xr:uid="{00000000-0005-0000-0000-00007B030000}"/>
    <cellStyle name="Euro 18 24" xfId="458" xr:uid="{00000000-0005-0000-0000-00007C030000}"/>
    <cellStyle name="Euro 18 24 2" xfId="4599" xr:uid="{00000000-0005-0000-0000-00007D030000}"/>
    <cellStyle name="Euro 18 25" xfId="459" xr:uid="{00000000-0005-0000-0000-00007E030000}"/>
    <cellStyle name="Euro 18 25 2" xfId="4600" xr:uid="{00000000-0005-0000-0000-00007F030000}"/>
    <cellStyle name="Euro 18 26" xfId="460" xr:uid="{00000000-0005-0000-0000-000080030000}"/>
    <cellStyle name="Euro 18 26 2" xfId="4601" xr:uid="{00000000-0005-0000-0000-000081030000}"/>
    <cellStyle name="Euro 18 27" xfId="461" xr:uid="{00000000-0005-0000-0000-000082030000}"/>
    <cellStyle name="Euro 18 27 2" xfId="4602" xr:uid="{00000000-0005-0000-0000-000083030000}"/>
    <cellStyle name="Euro 18 28" xfId="462" xr:uid="{00000000-0005-0000-0000-000084030000}"/>
    <cellStyle name="Euro 18 28 2" xfId="4603" xr:uid="{00000000-0005-0000-0000-000085030000}"/>
    <cellStyle name="Euro 18 29" xfId="4604" xr:uid="{00000000-0005-0000-0000-000086030000}"/>
    <cellStyle name="Euro 18 3" xfId="463" xr:uid="{00000000-0005-0000-0000-000087030000}"/>
    <cellStyle name="Euro 18 3 2" xfId="4605" xr:uid="{00000000-0005-0000-0000-000088030000}"/>
    <cellStyle name="Euro 18 4" xfId="464" xr:uid="{00000000-0005-0000-0000-000089030000}"/>
    <cellStyle name="Euro 18 4 2" xfId="4606" xr:uid="{00000000-0005-0000-0000-00008A030000}"/>
    <cellStyle name="Euro 18 5" xfId="465" xr:uid="{00000000-0005-0000-0000-00008B030000}"/>
    <cellStyle name="Euro 18 5 2" xfId="4607" xr:uid="{00000000-0005-0000-0000-00008C030000}"/>
    <cellStyle name="Euro 18 6" xfId="466" xr:uid="{00000000-0005-0000-0000-00008D030000}"/>
    <cellStyle name="Euro 18 6 2" xfId="4608" xr:uid="{00000000-0005-0000-0000-00008E030000}"/>
    <cellStyle name="Euro 18 7" xfId="467" xr:uid="{00000000-0005-0000-0000-00008F030000}"/>
    <cellStyle name="Euro 18 7 2" xfId="4609" xr:uid="{00000000-0005-0000-0000-000090030000}"/>
    <cellStyle name="Euro 18 8" xfId="468" xr:uid="{00000000-0005-0000-0000-000091030000}"/>
    <cellStyle name="Euro 18 8 2" xfId="4610" xr:uid="{00000000-0005-0000-0000-000092030000}"/>
    <cellStyle name="Euro 18 9" xfId="469" xr:uid="{00000000-0005-0000-0000-000093030000}"/>
    <cellStyle name="Euro 18 9 2" xfId="4611" xr:uid="{00000000-0005-0000-0000-000094030000}"/>
    <cellStyle name="Euro 19" xfId="470" xr:uid="{00000000-0005-0000-0000-000095030000}"/>
    <cellStyle name="Euro 19 10" xfId="471" xr:uid="{00000000-0005-0000-0000-000096030000}"/>
    <cellStyle name="Euro 19 10 2" xfId="4612" xr:uid="{00000000-0005-0000-0000-000097030000}"/>
    <cellStyle name="Euro 19 11" xfId="472" xr:uid="{00000000-0005-0000-0000-000098030000}"/>
    <cellStyle name="Euro 19 11 2" xfId="4613" xr:uid="{00000000-0005-0000-0000-000099030000}"/>
    <cellStyle name="Euro 19 12" xfId="473" xr:uid="{00000000-0005-0000-0000-00009A030000}"/>
    <cellStyle name="Euro 19 12 2" xfId="4614" xr:uid="{00000000-0005-0000-0000-00009B030000}"/>
    <cellStyle name="Euro 19 13" xfId="474" xr:uid="{00000000-0005-0000-0000-00009C030000}"/>
    <cellStyle name="Euro 19 13 2" xfId="4615" xr:uid="{00000000-0005-0000-0000-00009D030000}"/>
    <cellStyle name="Euro 19 14" xfId="475" xr:uid="{00000000-0005-0000-0000-00009E030000}"/>
    <cellStyle name="Euro 19 14 2" xfId="4616" xr:uid="{00000000-0005-0000-0000-00009F030000}"/>
    <cellStyle name="Euro 19 15" xfId="476" xr:uid="{00000000-0005-0000-0000-0000A0030000}"/>
    <cellStyle name="Euro 19 15 2" xfId="4617" xr:uid="{00000000-0005-0000-0000-0000A1030000}"/>
    <cellStyle name="Euro 19 16" xfId="477" xr:uid="{00000000-0005-0000-0000-0000A2030000}"/>
    <cellStyle name="Euro 19 16 2" xfId="4618" xr:uid="{00000000-0005-0000-0000-0000A3030000}"/>
    <cellStyle name="Euro 19 17" xfId="478" xr:uid="{00000000-0005-0000-0000-0000A4030000}"/>
    <cellStyle name="Euro 19 17 2" xfId="4619" xr:uid="{00000000-0005-0000-0000-0000A5030000}"/>
    <cellStyle name="Euro 19 18" xfId="479" xr:uid="{00000000-0005-0000-0000-0000A6030000}"/>
    <cellStyle name="Euro 19 18 2" xfId="4620" xr:uid="{00000000-0005-0000-0000-0000A7030000}"/>
    <cellStyle name="Euro 19 19" xfId="480" xr:uid="{00000000-0005-0000-0000-0000A8030000}"/>
    <cellStyle name="Euro 19 19 2" xfId="4621" xr:uid="{00000000-0005-0000-0000-0000A9030000}"/>
    <cellStyle name="Euro 19 2" xfId="481" xr:uid="{00000000-0005-0000-0000-0000AA030000}"/>
    <cellStyle name="Euro 19 2 2" xfId="4622" xr:uid="{00000000-0005-0000-0000-0000AB030000}"/>
    <cellStyle name="Euro 19 20" xfId="482" xr:uid="{00000000-0005-0000-0000-0000AC030000}"/>
    <cellStyle name="Euro 19 20 2" xfId="4623" xr:uid="{00000000-0005-0000-0000-0000AD030000}"/>
    <cellStyle name="Euro 19 21" xfId="483" xr:uid="{00000000-0005-0000-0000-0000AE030000}"/>
    <cellStyle name="Euro 19 21 2" xfId="4624" xr:uid="{00000000-0005-0000-0000-0000AF030000}"/>
    <cellStyle name="Euro 19 22" xfId="484" xr:uid="{00000000-0005-0000-0000-0000B0030000}"/>
    <cellStyle name="Euro 19 22 2" xfId="4625" xr:uid="{00000000-0005-0000-0000-0000B1030000}"/>
    <cellStyle name="Euro 19 23" xfId="485" xr:uid="{00000000-0005-0000-0000-0000B2030000}"/>
    <cellStyle name="Euro 19 23 2" xfId="4626" xr:uid="{00000000-0005-0000-0000-0000B3030000}"/>
    <cellStyle name="Euro 19 24" xfId="486" xr:uid="{00000000-0005-0000-0000-0000B4030000}"/>
    <cellStyle name="Euro 19 24 2" xfId="4627" xr:uid="{00000000-0005-0000-0000-0000B5030000}"/>
    <cellStyle name="Euro 19 25" xfId="487" xr:uid="{00000000-0005-0000-0000-0000B6030000}"/>
    <cellStyle name="Euro 19 25 2" xfId="4628" xr:uid="{00000000-0005-0000-0000-0000B7030000}"/>
    <cellStyle name="Euro 19 26" xfId="488" xr:uid="{00000000-0005-0000-0000-0000B8030000}"/>
    <cellStyle name="Euro 19 26 2" xfId="4629" xr:uid="{00000000-0005-0000-0000-0000B9030000}"/>
    <cellStyle name="Euro 19 27" xfId="489" xr:uid="{00000000-0005-0000-0000-0000BA030000}"/>
    <cellStyle name="Euro 19 27 2" xfId="4630" xr:uid="{00000000-0005-0000-0000-0000BB030000}"/>
    <cellStyle name="Euro 19 28" xfId="490" xr:uid="{00000000-0005-0000-0000-0000BC030000}"/>
    <cellStyle name="Euro 19 28 2" xfId="4631" xr:uid="{00000000-0005-0000-0000-0000BD030000}"/>
    <cellStyle name="Euro 19 29" xfId="4632" xr:uid="{00000000-0005-0000-0000-0000BE030000}"/>
    <cellStyle name="Euro 19 3" xfId="491" xr:uid="{00000000-0005-0000-0000-0000BF030000}"/>
    <cellStyle name="Euro 19 3 2" xfId="4633" xr:uid="{00000000-0005-0000-0000-0000C0030000}"/>
    <cellStyle name="Euro 19 4" xfId="492" xr:uid="{00000000-0005-0000-0000-0000C1030000}"/>
    <cellStyle name="Euro 19 4 2" xfId="4634" xr:uid="{00000000-0005-0000-0000-0000C2030000}"/>
    <cellStyle name="Euro 19 5" xfId="493" xr:uid="{00000000-0005-0000-0000-0000C3030000}"/>
    <cellStyle name="Euro 19 5 2" xfId="4635" xr:uid="{00000000-0005-0000-0000-0000C4030000}"/>
    <cellStyle name="Euro 19 6" xfId="494" xr:uid="{00000000-0005-0000-0000-0000C5030000}"/>
    <cellStyle name="Euro 19 6 2" xfId="4636" xr:uid="{00000000-0005-0000-0000-0000C6030000}"/>
    <cellStyle name="Euro 19 7" xfId="495" xr:uid="{00000000-0005-0000-0000-0000C7030000}"/>
    <cellStyle name="Euro 19 7 2" xfId="4637" xr:uid="{00000000-0005-0000-0000-0000C8030000}"/>
    <cellStyle name="Euro 19 8" xfId="496" xr:uid="{00000000-0005-0000-0000-0000C9030000}"/>
    <cellStyle name="Euro 19 8 2" xfId="4638" xr:uid="{00000000-0005-0000-0000-0000CA030000}"/>
    <cellStyle name="Euro 19 9" xfId="497" xr:uid="{00000000-0005-0000-0000-0000CB030000}"/>
    <cellStyle name="Euro 19 9 2" xfId="4639" xr:uid="{00000000-0005-0000-0000-0000CC030000}"/>
    <cellStyle name="Euro 2" xfId="18" xr:uid="{00000000-0005-0000-0000-0000CD030000}"/>
    <cellStyle name="Euro 2 10" xfId="499" xr:uid="{00000000-0005-0000-0000-0000CE030000}"/>
    <cellStyle name="Euro 2 10 2" xfId="4640" xr:uid="{00000000-0005-0000-0000-0000CF030000}"/>
    <cellStyle name="Euro 2 11" xfId="500" xr:uid="{00000000-0005-0000-0000-0000D0030000}"/>
    <cellStyle name="Euro 2 11 2" xfId="4641" xr:uid="{00000000-0005-0000-0000-0000D1030000}"/>
    <cellStyle name="Euro 2 12" xfId="501" xr:uid="{00000000-0005-0000-0000-0000D2030000}"/>
    <cellStyle name="Euro 2 12 2" xfId="4642" xr:uid="{00000000-0005-0000-0000-0000D3030000}"/>
    <cellStyle name="Euro 2 13" xfId="502" xr:uid="{00000000-0005-0000-0000-0000D4030000}"/>
    <cellStyle name="Euro 2 13 2" xfId="4643" xr:uid="{00000000-0005-0000-0000-0000D5030000}"/>
    <cellStyle name="Euro 2 14" xfId="503" xr:uid="{00000000-0005-0000-0000-0000D6030000}"/>
    <cellStyle name="Euro 2 14 2" xfId="4644" xr:uid="{00000000-0005-0000-0000-0000D7030000}"/>
    <cellStyle name="Euro 2 15" xfId="504" xr:uid="{00000000-0005-0000-0000-0000D8030000}"/>
    <cellStyle name="Euro 2 15 2" xfId="4645" xr:uid="{00000000-0005-0000-0000-0000D9030000}"/>
    <cellStyle name="Euro 2 16" xfId="505" xr:uid="{00000000-0005-0000-0000-0000DA030000}"/>
    <cellStyle name="Euro 2 16 2" xfId="4646" xr:uid="{00000000-0005-0000-0000-0000DB030000}"/>
    <cellStyle name="Euro 2 17" xfId="506" xr:uid="{00000000-0005-0000-0000-0000DC030000}"/>
    <cellStyle name="Euro 2 17 2" xfId="4647" xr:uid="{00000000-0005-0000-0000-0000DD030000}"/>
    <cellStyle name="Euro 2 18" xfId="507" xr:uid="{00000000-0005-0000-0000-0000DE030000}"/>
    <cellStyle name="Euro 2 18 2" xfId="4648" xr:uid="{00000000-0005-0000-0000-0000DF030000}"/>
    <cellStyle name="Euro 2 19" xfId="508" xr:uid="{00000000-0005-0000-0000-0000E0030000}"/>
    <cellStyle name="Euro 2 19 2" xfId="4649" xr:uid="{00000000-0005-0000-0000-0000E1030000}"/>
    <cellStyle name="Euro 2 2" xfId="509" xr:uid="{00000000-0005-0000-0000-0000E2030000}"/>
    <cellStyle name="Euro 2 2 2" xfId="4131" xr:uid="{00000000-0005-0000-0000-0000E3030000}"/>
    <cellStyle name="Euro 2 2 2 2" xfId="14712" xr:uid="{26F80287-D687-4722-9B99-8FD882681F3C}"/>
    <cellStyle name="Euro 2 2 2_1.2.b" xfId="16092" xr:uid="{BB4FAFE2-A57E-410C-A938-7338F5068861}"/>
    <cellStyle name="Euro 2 2 3" xfId="14156" xr:uid="{9AEA883B-842A-4E3F-AD69-754C94777085}"/>
    <cellStyle name="Euro 2 2_1.2.b" xfId="16091" xr:uid="{B4E72FF8-A95B-4128-89BE-4971527709BA}"/>
    <cellStyle name="Euro 2 20" xfId="510" xr:uid="{00000000-0005-0000-0000-0000E4030000}"/>
    <cellStyle name="Euro 2 20 2" xfId="4650" xr:uid="{00000000-0005-0000-0000-0000E5030000}"/>
    <cellStyle name="Euro 2 21" xfId="511" xr:uid="{00000000-0005-0000-0000-0000E6030000}"/>
    <cellStyle name="Euro 2 21 2" xfId="4651" xr:uid="{00000000-0005-0000-0000-0000E7030000}"/>
    <cellStyle name="Euro 2 22" xfId="512" xr:uid="{00000000-0005-0000-0000-0000E8030000}"/>
    <cellStyle name="Euro 2 22 2" xfId="4652" xr:uid="{00000000-0005-0000-0000-0000E9030000}"/>
    <cellStyle name="Euro 2 23" xfId="513" xr:uid="{00000000-0005-0000-0000-0000EA030000}"/>
    <cellStyle name="Euro 2 23 2" xfId="4653" xr:uid="{00000000-0005-0000-0000-0000EB030000}"/>
    <cellStyle name="Euro 2 24" xfId="514" xr:uid="{00000000-0005-0000-0000-0000EC030000}"/>
    <cellStyle name="Euro 2 24 2" xfId="4654" xr:uid="{00000000-0005-0000-0000-0000ED030000}"/>
    <cellStyle name="Euro 2 25" xfId="515" xr:uid="{00000000-0005-0000-0000-0000EE030000}"/>
    <cellStyle name="Euro 2 25 2" xfId="4655" xr:uid="{00000000-0005-0000-0000-0000EF030000}"/>
    <cellStyle name="Euro 2 26" xfId="516" xr:uid="{00000000-0005-0000-0000-0000F0030000}"/>
    <cellStyle name="Euro 2 26 2" xfId="4656" xr:uid="{00000000-0005-0000-0000-0000F1030000}"/>
    <cellStyle name="Euro 2 27" xfId="517" xr:uid="{00000000-0005-0000-0000-0000F2030000}"/>
    <cellStyle name="Euro 2 27 2" xfId="4657" xr:uid="{00000000-0005-0000-0000-0000F3030000}"/>
    <cellStyle name="Euro 2 28" xfId="518" xr:uid="{00000000-0005-0000-0000-0000F4030000}"/>
    <cellStyle name="Euro 2 28 2" xfId="4658" xr:uid="{00000000-0005-0000-0000-0000F5030000}"/>
    <cellStyle name="Euro 2 29" xfId="4057" xr:uid="{00000000-0005-0000-0000-0000F6030000}"/>
    <cellStyle name="Euro 2 3" xfId="519" xr:uid="{00000000-0005-0000-0000-0000F7030000}"/>
    <cellStyle name="Euro 2 3 2" xfId="4091" xr:uid="{00000000-0005-0000-0000-0000F8030000}"/>
    <cellStyle name="Euro 2 3_1.2.b" xfId="16093" xr:uid="{94B722D7-6824-4A85-8CE0-2E0F5F953655}"/>
    <cellStyle name="Euro 2 30" xfId="498" xr:uid="{00000000-0005-0000-0000-0000F9030000}"/>
    <cellStyle name="Euro 2 4" xfId="520" xr:uid="{00000000-0005-0000-0000-0000FA030000}"/>
    <cellStyle name="Euro 2 4 2" xfId="4659" xr:uid="{00000000-0005-0000-0000-0000FB030000}"/>
    <cellStyle name="Euro 2 5" xfId="521" xr:uid="{00000000-0005-0000-0000-0000FC030000}"/>
    <cellStyle name="Euro 2 5 2" xfId="4660" xr:uid="{00000000-0005-0000-0000-0000FD030000}"/>
    <cellStyle name="Euro 2 6" xfId="522" xr:uid="{00000000-0005-0000-0000-0000FE030000}"/>
    <cellStyle name="Euro 2 6 2" xfId="4661" xr:uid="{00000000-0005-0000-0000-0000FF030000}"/>
    <cellStyle name="Euro 2 7" xfId="523" xr:uid="{00000000-0005-0000-0000-000000040000}"/>
    <cellStyle name="Euro 2 7 2" xfId="4662" xr:uid="{00000000-0005-0000-0000-000001040000}"/>
    <cellStyle name="Euro 2 8" xfId="524" xr:uid="{00000000-0005-0000-0000-000002040000}"/>
    <cellStyle name="Euro 2 8 2" xfId="4663" xr:uid="{00000000-0005-0000-0000-000003040000}"/>
    <cellStyle name="Euro 2 9" xfId="525" xr:uid="{00000000-0005-0000-0000-000004040000}"/>
    <cellStyle name="Euro 2 9 2" xfId="4664" xr:uid="{00000000-0005-0000-0000-000005040000}"/>
    <cellStyle name="Euro 2_1.2.b" xfId="16090" xr:uid="{F73E751C-F05B-461D-AC52-0AAC7B9FD409}"/>
    <cellStyle name="Euro 20" xfId="526" xr:uid="{00000000-0005-0000-0000-000006040000}"/>
    <cellStyle name="Euro 20 10" xfId="527" xr:uid="{00000000-0005-0000-0000-000007040000}"/>
    <cellStyle name="Euro 20 10 2" xfId="4665" xr:uid="{00000000-0005-0000-0000-000008040000}"/>
    <cellStyle name="Euro 20 11" xfId="528" xr:uid="{00000000-0005-0000-0000-000009040000}"/>
    <cellStyle name="Euro 20 11 2" xfId="4666" xr:uid="{00000000-0005-0000-0000-00000A040000}"/>
    <cellStyle name="Euro 20 12" xfId="529" xr:uid="{00000000-0005-0000-0000-00000B040000}"/>
    <cellStyle name="Euro 20 12 2" xfId="4667" xr:uid="{00000000-0005-0000-0000-00000C040000}"/>
    <cellStyle name="Euro 20 13" xfId="530" xr:uid="{00000000-0005-0000-0000-00000D040000}"/>
    <cellStyle name="Euro 20 13 2" xfId="4668" xr:uid="{00000000-0005-0000-0000-00000E040000}"/>
    <cellStyle name="Euro 20 14" xfId="531" xr:uid="{00000000-0005-0000-0000-00000F040000}"/>
    <cellStyle name="Euro 20 14 2" xfId="4669" xr:uid="{00000000-0005-0000-0000-000010040000}"/>
    <cellStyle name="Euro 20 15" xfId="532" xr:uid="{00000000-0005-0000-0000-000011040000}"/>
    <cellStyle name="Euro 20 15 2" xfId="4670" xr:uid="{00000000-0005-0000-0000-000012040000}"/>
    <cellStyle name="Euro 20 16" xfId="533" xr:uid="{00000000-0005-0000-0000-000013040000}"/>
    <cellStyle name="Euro 20 16 2" xfId="4671" xr:uid="{00000000-0005-0000-0000-000014040000}"/>
    <cellStyle name="Euro 20 17" xfId="534" xr:uid="{00000000-0005-0000-0000-000015040000}"/>
    <cellStyle name="Euro 20 17 2" xfId="4672" xr:uid="{00000000-0005-0000-0000-000016040000}"/>
    <cellStyle name="Euro 20 18" xfId="535" xr:uid="{00000000-0005-0000-0000-000017040000}"/>
    <cellStyle name="Euro 20 18 2" xfId="4673" xr:uid="{00000000-0005-0000-0000-000018040000}"/>
    <cellStyle name="Euro 20 19" xfId="536" xr:uid="{00000000-0005-0000-0000-000019040000}"/>
    <cellStyle name="Euro 20 19 2" xfId="4674" xr:uid="{00000000-0005-0000-0000-00001A040000}"/>
    <cellStyle name="Euro 20 2" xfId="537" xr:uid="{00000000-0005-0000-0000-00001B040000}"/>
    <cellStyle name="Euro 20 2 2" xfId="4675" xr:uid="{00000000-0005-0000-0000-00001C040000}"/>
    <cellStyle name="Euro 20 20" xfId="538" xr:uid="{00000000-0005-0000-0000-00001D040000}"/>
    <cellStyle name="Euro 20 20 2" xfId="4676" xr:uid="{00000000-0005-0000-0000-00001E040000}"/>
    <cellStyle name="Euro 20 21" xfId="539" xr:uid="{00000000-0005-0000-0000-00001F040000}"/>
    <cellStyle name="Euro 20 21 2" xfId="4677" xr:uid="{00000000-0005-0000-0000-000020040000}"/>
    <cellStyle name="Euro 20 22" xfId="540" xr:uid="{00000000-0005-0000-0000-000021040000}"/>
    <cellStyle name="Euro 20 22 2" xfId="4678" xr:uid="{00000000-0005-0000-0000-000022040000}"/>
    <cellStyle name="Euro 20 23" xfId="541" xr:uid="{00000000-0005-0000-0000-000023040000}"/>
    <cellStyle name="Euro 20 23 2" xfId="4679" xr:uid="{00000000-0005-0000-0000-000024040000}"/>
    <cellStyle name="Euro 20 24" xfId="542" xr:uid="{00000000-0005-0000-0000-000025040000}"/>
    <cellStyle name="Euro 20 24 2" xfId="4680" xr:uid="{00000000-0005-0000-0000-000026040000}"/>
    <cellStyle name="Euro 20 25" xfId="543" xr:uid="{00000000-0005-0000-0000-000027040000}"/>
    <cellStyle name="Euro 20 25 2" xfId="4681" xr:uid="{00000000-0005-0000-0000-000028040000}"/>
    <cellStyle name="Euro 20 26" xfId="544" xr:uid="{00000000-0005-0000-0000-000029040000}"/>
    <cellStyle name="Euro 20 26 2" xfId="4682" xr:uid="{00000000-0005-0000-0000-00002A040000}"/>
    <cellStyle name="Euro 20 27" xfId="545" xr:uid="{00000000-0005-0000-0000-00002B040000}"/>
    <cellStyle name="Euro 20 27 2" xfId="4683" xr:uid="{00000000-0005-0000-0000-00002C040000}"/>
    <cellStyle name="Euro 20 28" xfId="546" xr:uid="{00000000-0005-0000-0000-00002D040000}"/>
    <cellStyle name="Euro 20 28 2" xfId="4684" xr:uid="{00000000-0005-0000-0000-00002E040000}"/>
    <cellStyle name="Euro 20 29" xfId="4685" xr:uid="{00000000-0005-0000-0000-00002F040000}"/>
    <cellStyle name="Euro 20 3" xfId="547" xr:uid="{00000000-0005-0000-0000-000030040000}"/>
    <cellStyle name="Euro 20 3 2" xfId="4686" xr:uid="{00000000-0005-0000-0000-000031040000}"/>
    <cellStyle name="Euro 20 4" xfId="548" xr:uid="{00000000-0005-0000-0000-000032040000}"/>
    <cellStyle name="Euro 20 4 2" xfId="4687" xr:uid="{00000000-0005-0000-0000-000033040000}"/>
    <cellStyle name="Euro 20 5" xfId="549" xr:uid="{00000000-0005-0000-0000-000034040000}"/>
    <cellStyle name="Euro 20 5 2" xfId="4688" xr:uid="{00000000-0005-0000-0000-000035040000}"/>
    <cellStyle name="Euro 20 6" xfId="550" xr:uid="{00000000-0005-0000-0000-000036040000}"/>
    <cellStyle name="Euro 20 6 2" xfId="4689" xr:uid="{00000000-0005-0000-0000-000037040000}"/>
    <cellStyle name="Euro 20 7" xfId="551" xr:uid="{00000000-0005-0000-0000-000038040000}"/>
    <cellStyle name="Euro 20 7 2" xfId="4690" xr:uid="{00000000-0005-0000-0000-000039040000}"/>
    <cellStyle name="Euro 20 8" xfId="552" xr:uid="{00000000-0005-0000-0000-00003A040000}"/>
    <cellStyle name="Euro 20 8 2" xfId="4691" xr:uid="{00000000-0005-0000-0000-00003B040000}"/>
    <cellStyle name="Euro 20 9" xfId="553" xr:uid="{00000000-0005-0000-0000-00003C040000}"/>
    <cellStyle name="Euro 20 9 2" xfId="4692" xr:uid="{00000000-0005-0000-0000-00003D040000}"/>
    <cellStyle name="Euro 21" xfId="554" xr:uid="{00000000-0005-0000-0000-00003E040000}"/>
    <cellStyle name="Euro 21 10" xfId="555" xr:uid="{00000000-0005-0000-0000-00003F040000}"/>
    <cellStyle name="Euro 21 10 2" xfId="4693" xr:uid="{00000000-0005-0000-0000-000040040000}"/>
    <cellStyle name="Euro 21 11" xfId="556" xr:uid="{00000000-0005-0000-0000-000041040000}"/>
    <cellStyle name="Euro 21 11 2" xfId="4694" xr:uid="{00000000-0005-0000-0000-000042040000}"/>
    <cellStyle name="Euro 21 12" xfId="557" xr:uid="{00000000-0005-0000-0000-000043040000}"/>
    <cellStyle name="Euro 21 12 2" xfId="4695" xr:uid="{00000000-0005-0000-0000-000044040000}"/>
    <cellStyle name="Euro 21 13" xfId="558" xr:uid="{00000000-0005-0000-0000-000045040000}"/>
    <cellStyle name="Euro 21 13 2" xfId="4696" xr:uid="{00000000-0005-0000-0000-000046040000}"/>
    <cellStyle name="Euro 21 14" xfId="559" xr:uid="{00000000-0005-0000-0000-000047040000}"/>
    <cellStyle name="Euro 21 14 2" xfId="4697" xr:uid="{00000000-0005-0000-0000-000048040000}"/>
    <cellStyle name="Euro 21 15" xfId="560" xr:uid="{00000000-0005-0000-0000-000049040000}"/>
    <cellStyle name="Euro 21 15 2" xfId="4698" xr:uid="{00000000-0005-0000-0000-00004A040000}"/>
    <cellStyle name="Euro 21 16" xfId="561" xr:uid="{00000000-0005-0000-0000-00004B040000}"/>
    <cellStyle name="Euro 21 16 2" xfId="4699" xr:uid="{00000000-0005-0000-0000-00004C040000}"/>
    <cellStyle name="Euro 21 17" xfId="562" xr:uid="{00000000-0005-0000-0000-00004D040000}"/>
    <cellStyle name="Euro 21 17 2" xfId="4700" xr:uid="{00000000-0005-0000-0000-00004E040000}"/>
    <cellStyle name="Euro 21 18" xfId="563" xr:uid="{00000000-0005-0000-0000-00004F040000}"/>
    <cellStyle name="Euro 21 18 2" xfId="4701" xr:uid="{00000000-0005-0000-0000-000050040000}"/>
    <cellStyle name="Euro 21 19" xfId="564" xr:uid="{00000000-0005-0000-0000-000051040000}"/>
    <cellStyle name="Euro 21 19 2" xfId="4702" xr:uid="{00000000-0005-0000-0000-000052040000}"/>
    <cellStyle name="Euro 21 2" xfId="565" xr:uid="{00000000-0005-0000-0000-000053040000}"/>
    <cellStyle name="Euro 21 2 2" xfId="4703" xr:uid="{00000000-0005-0000-0000-000054040000}"/>
    <cellStyle name="Euro 21 20" xfId="566" xr:uid="{00000000-0005-0000-0000-000055040000}"/>
    <cellStyle name="Euro 21 20 2" xfId="4704" xr:uid="{00000000-0005-0000-0000-000056040000}"/>
    <cellStyle name="Euro 21 21" xfId="567" xr:uid="{00000000-0005-0000-0000-000057040000}"/>
    <cellStyle name="Euro 21 21 2" xfId="4705" xr:uid="{00000000-0005-0000-0000-000058040000}"/>
    <cellStyle name="Euro 21 22" xfId="568" xr:uid="{00000000-0005-0000-0000-000059040000}"/>
    <cellStyle name="Euro 21 22 2" xfId="4706" xr:uid="{00000000-0005-0000-0000-00005A040000}"/>
    <cellStyle name="Euro 21 23" xfId="569" xr:uid="{00000000-0005-0000-0000-00005B040000}"/>
    <cellStyle name="Euro 21 23 2" xfId="4707" xr:uid="{00000000-0005-0000-0000-00005C040000}"/>
    <cellStyle name="Euro 21 24" xfId="570" xr:uid="{00000000-0005-0000-0000-00005D040000}"/>
    <cellStyle name="Euro 21 24 2" xfId="4708" xr:uid="{00000000-0005-0000-0000-00005E040000}"/>
    <cellStyle name="Euro 21 25" xfId="571" xr:uid="{00000000-0005-0000-0000-00005F040000}"/>
    <cellStyle name="Euro 21 25 2" xfId="4709" xr:uid="{00000000-0005-0000-0000-000060040000}"/>
    <cellStyle name="Euro 21 26" xfId="572" xr:uid="{00000000-0005-0000-0000-000061040000}"/>
    <cellStyle name="Euro 21 26 2" xfId="4710" xr:uid="{00000000-0005-0000-0000-000062040000}"/>
    <cellStyle name="Euro 21 27" xfId="573" xr:uid="{00000000-0005-0000-0000-000063040000}"/>
    <cellStyle name="Euro 21 27 2" xfId="4711" xr:uid="{00000000-0005-0000-0000-000064040000}"/>
    <cellStyle name="Euro 21 28" xfId="574" xr:uid="{00000000-0005-0000-0000-000065040000}"/>
    <cellStyle name="Euro 21 28 2" xfId="4712" xr:uid="{00000000-0005-0000-0000-000066040000}"/>
    <cellStyle name="Euro 21 29" xfId="4713" xr:uid="{00000000-0005-0000-0000-000067040000}"/>
    <cellStyle name="Euro 21 3" xfId="575" xr:uid="{00000000-0005-0000-0000-000068040000}"/>
    <cellStyle name="Euro 21 3 2" xfId="4714" xr:uid="{00000000-0005-0000-0000-000069040000}"/>
    <cellStyle name="Euro 21 4" xfId="576" xr:uid="{00000000-0005-0000-0000-00006A040000}"/>
    <cellStyle name="Euro 21 4 2" xfId="4715" xr:uid="{00000000-0005-0000-0000-00006B040000}"/>
    <cellStyle name="Euro 21 5" xfId="577" xr:uid="{00000000-0005-0000-0000-00006C040000}"/>
    <cellStyle name="Euro 21 5 2" xfId="4716" xr:uid="{00000000-0005-0000-0000-00006D040000}"/>
    <cellStyle name="Euro 21 6" xfId="578" xr:uid="{00000000-0005-0000-0000-00006E040000}"/>
    <cellStyle name="Euro 21 6 2" xfId="4717" xr:uid="{00000000-0005-0000-0000-00006F040000}"/>
    <cellStyle name="Euro 21 7" xfId="579" xr:uid="{00000000-0005-0000-0000-000070040000}"/>
    <cellStyle name="Euro 21 7 2" xfId="4718" xr:uid="{00000000-0005-0000-0000-000071040000}"/>
    <cellStyle name="Euro 21 8" xfId="580" xr:uid="{00000000-0005-0000-0000-000072040000}"/>
    <cellStyle name="Euro 21 8 2" xfId="4719" xr:uid="{00000000-0005-0000-0000-000073040000}"/>
    <cellStyle name="Euro 21 9" xfId="581" xr:uid="{00000000-0005-0000-0000-000074040000}"/>
    <cellStyle name="Euro 21 9 2" xfId="4720" xr:uid="{00000000-0005-0000-0000-000075040000}"/>
    <cellStyle name="Euro 22" xfId="582" xr:uid="{00000000-0005-0000-0000-000076040000}"/>
    <cellStyle name="Euro 22 10" xfId="583" xr:uid="{00000000-0005-0000-0000-000077040000}"/>
    <cellStyle name="Euro 22 10 2" xfId="4721" xr:uid="{00000000-0005-0000-0000-000078040000}"/>
    <cellStyle name="Euro 22 11" xfId="584" xr:uid="{00000000-0005-0000-0000-000079040000}"/>
    <cellStyle name="Euro 22 11 2" xfId="4722" xr:uid="{00000000-0005-0000-0000-00007A040000}"/>
    <cellStyle name="Euro 22 12" xfId="585" xr:uid="{00000000-0005-0000-0000-00007B040000}"/>
    <cellStyle name="Euro 22 12 2" xfId="4723" xr:uid="{00000000-0005-0000-0000-00007C040000}"/>
    <cellStyle name="Euro 22 13" xfId="586" xr:uid="{00000000-0005-0000-0000-00007D040000}"/>
    <cellStyle name="Euro 22 13 2" xfId="4724" xr:uid="{00000000-0005-0000-0000-00007E040000}"/>
    <cellStyle name="Euro 22 14" xfId="587" xr:uid="{00000000-0005-0000-0000-00007F040000}"/>
    <cellStyle name="Euro 22 14 2" xfId="4725" xr:uid="{00000000-0005-0000-0000-000080040000}"/>
    <cellStyle name="Euro 22 15" xfId="588" xr:uid="{00000000-0005-0000-0000-000081040000}"/>
    <cellStyle name="Euro 22 15 2" xfId="4726" xr:uid="{00000000-0005-0000-0000-000082040000}"/>
    <cellStyle name="Euro 22 16" xfId="589" xr:uid="{00000000-0005-0000-0000-000083040000}"/>
    <cellStyle name="Euro 22 16 2" xfId="4727" xr:uid="{00000000-0005-0000-0000-000084040000}"/>
    <cellStyle name="Euro 22 17" xfId="590" xr:uid="{00000000-0005-0000-0000-000085040000}"/>
    <cellStyle name="Euro 22 17 2" xfId="4728" xr:uid="{00000000-0005-0000-0000-000086040000}"/>
    <cellStyle name="Euro 22 18" xfId="591" xr:uid="{00000000-0005-0000-0000-000087040000}"/>
    <cellStyle name="Euro 22 18 2" xfId="4729" xr:uid="{00000000-0005-0000-0000-000088040000}"/>
    <cellStyle name="Euro 22 19" xfId="592" xr:uid="{00000000-0005-0000-0000-000089040000}"/>
    <cellStyle name="Euro 22 19 2" xfId="4730" xr:uid="{00000000-0005-0000-0000-00008A040000}"/>
    <cellStyle name="Euro 22 2" xfId="593" xr:uid="{00000000-0005-0000-0000-00008B040000}"/>
    <cellStyle name="Euro 22 2 2" xfId="4731" xr:uid="{00000000-0005-0000-0000-00008C040000}"/>
    <cellStyle name="Euro 22 20" xfId="594" xr:uid="{00000000-0005-0000-0000-00008D040000}"/>
    <cellStyle name="Euro 22 20 2" xfId="4732" xr:uid="{00000000-0005-0000-0000-00008E040000}"/>
    <cellStyle name="Euro 22 21" xfId="595" xr:uid="{00000000-0005-0000-0000-00008F040000}"/>
    <cellStyle name="Euro 22 21 2" xfId="4733" xr:uid="{00000000-0005-0000-0000-000090040000}"/>
    <cellStyle name="Euro 22 22" xfId="596" xr:uid="{00000000-0005-0000-0000-000091040000}"/>
    <cellStyle name="Euro 22 22 2" xfId="4734" xr:uid="{00000000-0005-0000-0000-000092040000}"/>
    <cellStyle name="Euro 22 23" xfId="597" xr:uid="{00000000-0005-0000-0000-000093040000}"/>
    <cellStyle name="Euro 22 23 2" xfId="4735" xr:uid="{00000000-0005-0000-0000-000094040000}"/>
    <cellStyle name="Euro 22 24" xfId="598" xr:uid="{00000000-0005-0000-0000-000095040000}"/>
    <cellStyle name="Euro 22 24 2" xfId="4736" xr:uid="{00000000-0005-0000-0000-000096040000}"/>
    <cellStyle name="Euro 22 25" xfId="599" xr:uid="{00000000-0005-0000-0000-000097040000}"/>
    <cellStyle name="Euro 22 25 2" xfId="4737" xr:uid="{00000000-0005-0000-0000-000098040000}"/>
    <cellStyle name="Euro 22 26" xfId="600" xr:uid="{00000000-0005-0000-0000-000099040000}"/>
    <cellStyle name="Euro 22 26 2" xfId="4738" xr:uid="{00000000-0005-0000-0000-00009A040000}"/>
    <cellStyle name="Euro 22 27" xfId="601" xr:uid="{00000000-0005-0000-0000-00009B040000}"/>
    <cellStyle name="Euro 22 27 2" xfId="4739" xr:uid="{00000000-0005-0000-0000-00009C040000}"/>
    <cellStyle name="Euro 22 28" xfId="602" xr:uid="{00000000-0005-0000-0000-00009D040000}"/>
    <cellStyle name="Euro 22 28 2" xfId="4740" xr:uid="{00000000-0005-0000-0000-00009E040000}"/>
    <cellStyle name="Euro 22 29" xfId="4741" xr:uid="{00000000-0005-0000-0000-00009F040000}"/>
    <cellStyle name="Euro 22 3" xfId="603" xr:uid="{00000000-0005-0000-0000-0000A0040000}"/>
    <cellStyle name="Euro 22 3 2" xfId="4742" xr:uid="{00000000-0005-0000-0000-0000A1040000}"/>
    <cellStyle name="Euro 22 4" xfId="604" xr:uid="{00000000-0005-0000-0000-0000A2040000}"/>
    <cellStyle name="Euro 22 4 2" xfId="4743" xr:uid="{00000000-0005-0000-0000-0000A3040000}"/>
    <cellStyle name="Euro 22 5" xfId="605" xr:uid="{00000000-0005-0000-0000-0000A4040000}"/>
    <cellStyle name="Euro 22 5 2" xfId="4744" xr:uid="{00000000-0005-0000-0000-0000A5040000}"/>
    <cellStyle name="Euro 22 6" xfId="606" xr:uid="{00000000-0005-0000-0000-0000A6040000}"/>
    <cellStyle name="Euro 22 6 2" xfId="4745" xr:uid="{00000000-0005-0000-0000-0000A7040000}"/>
    <cellStyle name="Euro 22 7" xfId="607" xr:uid="{00000000-0005-0000-0000-0000A8040000}"/>
    <cellStyle name="Euro 22 7 2" xfId="4746" xr:uid="{00000000-0005-0000-0000-0000A9040000}"/>
    <cellStyle name="Euro 22 8" xfId="608" xr:uid="{00000000-0005-0000-0000-0000AA040000}"/>
    <cellStyle name="Euro 22 8 2" xfId="4747" xr:uid="{00000000-0005-0000-0000-0000AB040000}"/>
    <cellStyle name="Euro 22 9" xfId="609" xr:uid="{00000000-0005-0000-0000-0000AC040000}"/>
    <cellStyle name="Euro 22 9 2" xfId="4748" xr:uid="{00000000-0005-0000-0000-0000AD040000}"/>
    <cellStyle name="Euro 23" xfId="610" xr:uid="{00000000-0005-0000-0000-0000AE040000}"/>
    <cellStyle name="Euro 23 10" xfId="611" xr:uid="{00000000-0005-0000-0000-0000AF040000}"/>
    <cellStyle name="Euro 23 10 2" xfId="4749" xr:uid="{00000000-0005-0000-0000-0000B0040000}"/>
    <cellStyle name="Euro 23 11" xfId="612" xr:uid="{00000000-0005-0000-0000-0000B1040000}"/>
    <cellStyle name="Euro 23 11 2" xfId="4750" xr:uid="{00000000-0005-0000-0000-0000B2040000}"/>
    <cellStyle name="Euro 23 12" xfId="613" xr:uid="{00000000-0005-0000-0000-0000B3040000}"/>
    <cellStyle name="Euro 23 12 2" xfId="4751" xr:uid="{00000000-0005-0000-0000-0000B4040000}"/>
    <cellStyle name="Euro 23 13" xfId="614" xr:uid="{00000000-0005-0000-0000-0000B5040000}"/>
    <cellStyle name="Euro 23 13 2" xfId="4752" xr:uid="{00000000-0005-0000-0000-0000B6040000}"/>
    <cellStyle name="Euro 23 14" xfId="615" xr:uid="{00000000-0005-0000-0000-0000B7040000}"/>
    <cellStyle name="Euro 23 14 2" xfId="4753" xr:uid="{00000000-0005-0000-0000-0000B8040000}"/>
    <cellStyle name="Euro 23 15" xfId="616" xr:uid="{00000000-0005-0000-0000-0000B9040000}"/>
    <cellStyle name="Euro 23 15 2" xfId="4754" xr:uid="{00000000-0005-0000-0000-0000BA040000}"/>
    <cellStyle name="Euro 23 16" xfId="617" xr:uid="{00000000-0005-0000-0000-0000BB040000}"/>
    <cellStyle name="Euro 23 16 2" xfId="4755" xr:uid="{00000000-0005-0000-0000-0000BC040000}"/>
    <cellStyle name="Euro 23 17" xfId="618" xr:uid="{00000000-0005-0000-0000-0000BD040000}"/>
    <cellStyle name="Euro 23 17 2" xfId="4756" xr:uid="{00000000-0005-0000-0000-0000BE040000}"/>
    <cellStyle name="Euro 23 18" xfId="619" xr:uid="{00000000-0005-0000-0000-0000BF040000}"/>
    <cellStyle name="Euro 23 18 2" xfId="4757" xr:uid="{00000000-0005-0000-0000-0000C0040000}"/>
    <cellStyle name="Euro 23 19" xfId="620" xr:uid="{00000000-0005-0000-0000-0000C1040000}"/>
    <cellStyle name="Euro 23 19 2" xfId="4758" xr:uid="{00000000-0005-0000-0000-0000C2040000}"/>
    <cellStyle name="Euro 23 2" xfId="621" xr:uid="{00000000-0005-0000-0000-0000C3040000}"/>
    <cellStyle name="Euro 23 2 2" xfId="4759" xr:uid="{00000000-0005-0000-0000-0000C4040000}"/>
    <cellStyle name="Euro 23 20" xfId="622" xr:uid="{00000000-0005-0000-0000-0000C5040000}"/>
    <cellStyle name="Euro 23 20 2" xfId="4760" xr:uid="{00000000-0005-0000-0000-0000C6040000}"/>
    <cellStyle name="Euro 23 21" xfId="623" xr:uid="{00000000-0005-0000-0000-0000C7040000}"/>
    <cellStyle name="Euro 23 21 2" xfId="4761" xr:uid="{00000000-0005-0000-0000-0000C8040000}"/>
    <cellStyle name="Euro 23 22" xfId="624" xr:uid="{00000000-0005-0000-0000-0000C9040000}"/>
    <cellStyle name="Euro 23 22 2" xfId="4762" xr:uid="{00000000-0005-0000-0000-0000CA040000}"/>
    <cellStyle name="Euro 23 23" xfId="625" xr:uid="{00000000-0005-0000-0000-0000CB040000}"/>
    <cellStyle name="Euro 23 23 2" xfId="4763" xr:uid="{00000000-0005-0000-0000-0000CC040000}"/>
    <cellStyle name="Euro 23 24" xfId="626" xr:uid="{00000000-0005-0000-0000-0000CD040000}"/>
    <cellStyle name="Euro 23 24 2" xfId="4764" xr:uid="{00000000-0005-0000-0000-0000CE040000}"/>
    <cellStyle name="Euro 23 25" xfId="627" xr:uid="{00000000-0005-0000-0000-0000CF040000}"/>
    <cellStyle name="Euro 23 25 2" xfId="4765" xr:uid="{00000000-0005-0000-0000-0000D0040000}"/>
    <cellStyle name="Euro 23 26" xfId="628" xr:uid="{00000000-0005-0000-0000-0000D1040000}"/>
    <cellStyle name="Euro 23 26 2" xfId="4766" xr:uid="{00000000-0005-0000-0000-0000D2040000}"/>
    <cellStyle name="Euro 23 27" xfId="629" xr:uid="{00000000-0005-0000-0000-0000D3040000}"/>
    <cellStyle name="Euro 23 27 2" xfId="4767" xr:uid="{00000000-0005-0000-0000-0000D4040000}"/>
    <cellStyle name="Euro 23 28" xfId="630" xr:uid="{00000000-0005-0000-0000-0000D5040000}"/>
    <cellStyle name="Euro 23 28 2" xfId="4768" xr:uid="{00000000-0005-0000-0000-0000D6040000}"/>
    <cellStyle name="Euro 23 29" xfId="4769" xr:uid="{00000000-0005-0000-0000-0000D7040000}"/>
    <cellStyle name="Euro 23 3" xfId="631" xr:uid="{00000000-0005-0000-0000-0000D8040000}"/>
    <cellStyle name="Euro 23 3 2" xfId="4770" xr:uid="{00000000-0005-0000-0000-0000D9040000}"/>
    <cellStyle name="Euro 23 4" xfId="632" xr:uid="{00000000-0005-0000-0000-0000DA040000}"/>
    <cellStyle name="Euro 23 4 2" xfId="4771" xr:uid="{00000000-0005-0000-0000-0000DB040000}"/>
    <cellStyle name="Euro 23 5" xfId="633" xr:uid="{00000000-0005-0000-0000-0000DC040000}"/>
    <cellStyle name="Euro 23 5 2" xfId="4772" xr:uid="{00000000-0005-0000-0000-0000DD040000}"/>
    <cellStyle name="Euro 23 6" xfId="634" xr:uid="{00000000-0005-0000-0000-0000DE040000}"/>
    <cellStyle name="Euro 23 6 2" xfId="4773" xr:uid="{00000000-0005-0000-0000-0000DF040000}"/>
    <cellStyle name="Euro 23 7" xfId="635" xr:uid="{00000000-0005-0000-0000-0000E0040000}"/>
    <cellStyle name="Euro 23 7 2" xfId="4774" xr:uid="{00000000-0005-0000-0000-0000E1040000}"/>
    <cellStyle name="Euro 23 8" xfId="636" xr:uid="{00000000-0005-0000-0000-0000E2040000}"/>
    <cellStyle name="Euro 23 8 2" xfId="4775" xr:uid="{00000000-0005-0000-0000-0000E3040000}"/>
    <cellStyle name="Euro 23 9" xfId="637" xr:uid="{00000000-0005-0000-0000-0000E4040000}"/>
    <cellStyle name="Euro 23 9 2" xfId="4776" xr:uid="{00000000-0005-0000-0000-0000E5040000}"/>
    <cellStyle name="Euro 24" xfId="638" xr:uid="{00000000-0005-0000-0000-0000E6040000}"/>
    <cellStyle name="Euro 24 10" xfId="639" xr:uid="{00000000-0005-0000-0000-0000E7040000}"/>
    <cellStyle name="Euro 24 10 2" xfId="4777" xr:uid="{00000000-0005-0000-0000-0000E8040000}"/>
    <cellStyle name="Euro 24 11" xfId="640" xr:uid="{00000000-0005-0000-0000-0000E9040000}"/>
    <cellStyle name="Euro 24 11 2" xfId="4778" xr:uid="{00000000-0005-0000-0000-0000EA040000}"/>
    <cellStyle name="Euro 24 12" xfId="641" xr:uid="{00000000-0005-0000-0000-0000EB040000}"/>
    <cellStyle name="Euro 24 12 2" xfId="4779" xr:uid="{00000000-0005-0000-0000-0000EC040000}"/>
    <cellStyle name="Euro 24 13" xfId="642" xr:uid="{00000000-0005-0000-0000-0000ED040000}"/>
    <cellStyle name="Euro 24 13 2" xfId="4780" xr:uid="{00000000-0005-0000-0000-0000EE040000}"/>
    <cellStyle name="Euro 24 14" xfId="643" xr:uid="{00000000-0005-0000-0000-0000EF040000}"/>
    <cellStyle name="Euro 24 14 2" xfId="4781" xr:uid="{00000000-0005-0000-0000-0000F0040000}"/>
    <cellStyle name="Euro 24 15" xfId="644" xr:uid="{00000000-0005-0000-0000-0000F1040000}"/>
    <cellStyle name="Euro 24 15 2" xfId="4782" xr:uid="{00000000-0005-0000-0000-0000F2040000}"/>
    <cellStyle name="Euro 24 16" xfId="645" xr:uid="{00000000-0005-0000-0000-0000F3040000}"/>
    <cellStyle name="Euro 24 16 2" xfId="4783" xr:uid="{00000000-0005-0000-0000-0000F4040000}"/>
    <cellStyle name="Euro 24 17" xfId="646" xr:uid="{00000000-0005-0000-0000-0000F5040000}"/>
    <cellStyle name="Euro 24 17 2" xfId="4784" xr:uid="{00000000-0005-0000-0000-0000F6040000}"/>
    <cellStyle name="Euro 24 18" xfId="647" xr:uid="{00000000-0005-0000-0000-0000F7040000}"/>
    <cellStyle name="Euro 24 18 2" xfId="4785" xr:uid="{00000000-0005-0000-0000-0000F8040000}"/>
    <cellStyle name="Euro 24 19" xfId="648" xr:uid="{00000000-0005-0000-0000-0000F9040000}"/>
    <cellStyle name="Euro 24 19 2" xfId="4786" xr:uid="{00000000-0005-0000-0000-0000FA040000}"/>
    <cellStyle name="Euro 24 2" xfId="649" xr:uid="{00000000-0005-0000-0000-0000FB040000}"/>
    <cellStyle name="Euro 24 2 2" xfId="4787" xr:uid="{00000000-0005-0000-0000-0000FC040000}"/>
    <cellStyle name="Euro 24 20" xfId="650" xr:uid="{00000000-0005-0000-0000-0000FD040000}"/>
    <cellStyle name="Euro 24 20 2" xfId="4788" xr:uid="{00000000-0005-0000-0000-0000FE040000}"/>
    <cellStyle name="Euro 24 21" xfId="651" xr:uid="{00000000-0005-0000-0000-0000FF040000}"/>
    <cellStyle name="Euro 24 21 2" xfId="4789" xr:uid="{00000000-0005-0000-0000-000000050000}"/>
    <cellStyle name="Euro 24 22" xfId="652" xr:uid="{00000000-0005-0000-0000-000001050000}"/>
    <cellStyle name="Euro 24 22 2" xfId="4790" xr:uid="{00000000-0005-0000-0000-000002050000}"/>
    <cellStyle name="Euro 24 23" xfId="653" xr:uid="{00000000-0005-0000-0000-000003050000}"/>
    <cellStyle name="Euro 24 23 2" xfId="4791" xr:uid="{00000000-0005-0000-0000-000004050000}"/>
    <cellStyle name="Euro 24 24" xfId="654" xr:uid="{00000000-0005-0000-0000-000005050000}"/>
    <cellStyle name="Euro 24 24 2" xfId="4792" xr:uid="{00000000-0005-0000-0000-000006050000}"/>
    <cellStyle name="Euro 24 25" xfId="655" xr:uid="{00000000-0005-0000-0000-000007050000}"/>
    <cellStyle name="Euro 24 25 2" xfId="4793" xr:uid="{00000000-0005-0000-0000-000008050000}"/>
    <cellStyle name="Euro 24 26" xfId="656" xr:uid="{00000000-0005-0000-0000-000009050000}"/>
    <cellStyle name="Euro 24 26 2" xfId="4794" xr:uid="{00000000-0005-0000-0000-00000A050000}"/>
    <cellStyle name="Euro 24 27" xfId="657" xr:uid="{00000000-0005-0000-0000-00000B050000}"/>
    <cellStyle name="Euro 24 27 2" xfId="4795" xr:uid="{00000000-0005-0000-0000-00000C050000}"/>
    <cellStyle name="Euro 24 28" xfId="658" xr:uid="{00000000-0005-0000-0000-00000D050000}"/>
    <cellStyle name="Euro 24 28 2" xfId="4796" xr:uid="{00000000-0005-0000-0000-00000E050000}"/>
    <cellStyle name="Euro 24 29" xfId="4797" xr:uid="{00000000-0005-0000-0000-00000F050000}"/>
    <cellStyle name="Euro 24 3" xfId="659" xr:uid="{00000000-0005-0000-0000-000010050000}"/>
    <cellStyle name="Euro 24 3 2" xfId="4798" xr:uid="{00000000-0005-0000-0000-000011050000}"/>
    <cellStyle name="Euro 24 4" xfId="660" xr:uid="{00000000-0005-0000-0000-000012050000}"/>
    <cellStyle name="Euro 24 4 2" xfId="4799" xr:uid="{00000000-0005-0000-0000-000013050000}"/>
    <cellStyle name="Euro 24 5" xfId="661" xr:uid="{00000000-0005-0000-0000-000014050000}"/>
    <cellStyle name="Euro 24 5 2" xfId="4800" xr:uid="{00000000-0005-0000-0000-000015050000}"/>
    <cellStyle name="Euro 24 6" xfId="662" xr:uid="{00000000-0005-0000-0000-000016050000}"/>
    <cellStyle name="Euro 24 6 2" xfId="4801" xr:uid="{00000000-0005-0000-0000-000017050000}"/>
    <cellStyle name="Euro 24 7" xfId="663" xr:uid="{00000000-0005-0000-0000-000018050000}"/>
    <cellStyle name="Euro 24 7 2" xfId="4802" xr:uid="{00000000-0005-0000-0000-000019050000}"/>
    <cellStyle name="Euro 24 8" xfId="664" xr:uid="{00000000-0005-0000-0000-00001A050000}"/>
    <cellStyle name="Euro 24 8 2" xfId="4803" xr:uid="{00000000-0005-0000-0000-00001B050000}"/>
    <cellStyle name="Euro 24 9" xfId="665" xr:uid="{00000000-0005-0000-0000-00001C050000}"/>
    <cellStyle name="Euro 24 9 2" xfId="4804" xr:uid="{00000000-0005-0000-0000-00001D050000}"/>
    <cellStyle name="Euro 25" xfId="666" xr:uid="{00000000-0005-0000-0000-00001E050000}"/>
    <cellStyle name="Euro 25 10" xfId="667" xr:uid="{00000000-0005-0000-0000-00001F050000}"/>
    <cellStyle name="Euro 25 10 2" xfId="4805" xr:uid="{00000000-0005-0000-0000-000020050000}"/>
    <cellStyle name="Euro 25 11" xfId="668" xr:uid="{00000000-0005-0000-0000-000021050000}"/>
    <cellStyle name="Euro 25 11 2" xfId="4806" xr:uid="{00000000-0005-0000-0000-000022050000}"/>
    <cellStyle name="Euro 25 12" xfId="669" xr:uid="{00000000-0005-0000-0000-000023050000}"/>
    <cellStyle name="Euro 25 12 2" xfId="4807" xr:uid="{00000000-0005-0000-0000-000024050000}"/>
    <cellStyle name="Euro 25 13" xfId="670" xr:uid="{00000000-0005-0000-0000-000025050000}"/>
    <cellStyle name="Euro 25 13 2" xfId="4808" xr:uid="{00000000-0005-0000-0000-000026050000}"/>
    <cellStyle name="Euro 25 14" xfId="671" xr:uid="{00000000-0005-0000-0000-000027050000}"/>
    <cellStyle name="Euro 25 14 2" xfId="4809" xr:uid="{00000000-0005-0000-0000-000028050000}"/>
    <cellStyle name="Euro 25 15" xfId="672" xr:uid="{00000000-0005-0000-0000-000029050000}"/>
    <cellStyle name="Euro 25 15 2" xfId="4810" xr:uid="{00000000-0005-0000-0000-00002A050000}"/>
    <cellStyle name="Euro 25 16" xfId="673" xr:uid="{00000000-0005-0000-0000-00002B050000}"/>
    <cellStyle name="Euro 25 16 2" xfId="4811" xr:uid="{00000000-0005-0000-0000-00002C050000}"/>
    <cellStyle name="Euro 25 17" xfId="674" xr:uid="{00000000-0005-0000-0000-00002D050000}"/>
    <cellStyle name="Euro 25 17 2" xfId="4812" xr:uid="{00000000-0005-0000-0000-00002E050000}"/>
    <cellStyle name="Euro 25 18" xfId="675" xr:uid="{00000000-0005-0000-0000-00002F050000}"/>
    <cellStyle name="Euro 25 18 2" xfId="4813" xr:uid="{00000000-0005-0000-0000-000030050000}"/>
    <cellStyle name="Euro 25 19" xfId="676" xr:uid="{00000000-0005-0000-0000-000031050000}"/>
    <cellStyle name="Euro 25 19 2" xfId="4814" xr:uid="{00000000-0005-0000-0000-000032050000}"/>
    <cellStyle name="Euro 25 2" xfId="677" xr:uid="{00000000-0005-0000-0000-000033050000}"/>
    <cellStyle name="Euro 25 2 2" xfId="4815" xr:uid="{00000000-0005-0000-0000-000034050000}"/>
    <cellStyle name="Euro 25 20" xfId="678" xr:uid="{00000000-0005-0000-0000-000035050000}"/>
    <cellStyle name="Euro 25 20 2" xfId="4816" xr:uid="{00000000-0005-0000-0000-000036050000}"/>
    <cellStyle name="Euro 25 21" xfId="679" xr:uid="{00000000-0005-0000-0000-000037050000}"/>
    <cellStyle name="Euro 25 21 2" xfId="4817" xr:uid="{00000000-0005-0000-0000-000038050000}"/>
    <cellStyle name="Euro 25 22" xfId="680" xr:uid="{00000000-0005-0000-0000-000039050000}"/>
    <cellStyle name="Euro 25 22 2" xfId="4818" xr:uid="{00000000-0005-0000-0000-00003A050000}"/>
    <cellStyle name="Euro 25 23" xfId="681" xr:uid="{00000000-0005-0000-0000-00003B050000}"/>
    <cellStyle name="Euro 25 23 2" xfId="4819" xr:uid="{00000000-0005-0000-0000-00003C050000}"/>
    <cellStyle name="Euro 25 24" xfId="682" xr:uid="{00000000-0005-0000-0000-00003D050000}"/>
    <cellStyle name="Euro 25 24 2" xfId="4820" xr:uid="{00000000-0005-0000-0000-00003E050000}"/>
    <cellStyle name="Euro 25 25" xfId="683" xr:uid="{00000000-0005-0000-0000-00003F050000}"/>
    <cellStyle name="Euro 25 25 2" xfId="4821" xr:uid="{00000000-0005-0000-0000-000040050000}"/>
    <cellStyle name="Euro 25 26" xfId="684" xr:uid="{00000000-0005-0000-0000-000041050000}"/>
    <cellStyle name="Euro 25 26 2" xfId="4822" xr:uid="{00000000-0005-0000-0000-000042050000}"/>
    <cellStyle name="Euro 25 27" xfId="685" xr:uid="{00000000-0005-0000-0000-000043050000}"/>
    <cellStyle name="Euro 25 27 2" xfId="4823" xr:uid="{00000000-0005-0000-0000-000044050000}"/>
    <cellStyle name="Euro 25 28" xfId="686" xr:uid="{00000000-0005-0000-0000-000045050000}"/>
    <cellStyle name="Euro 25 28 2" xfId="4824" xr:uid="{00000000-0005-0000-0000-000046050000}"/>
    <cellStyle name="Euro 25 29" xfId="4825" xr:uid="{00000000-0005-0000-0000-000047050000}"/>
    <cellStyle name="Euro 25 3" xfId="687" xr:uid="{00000000-0005-0000-0000-000048050000}"/>
    <cellStyle name="Euro 25 3 2" xfId="4826" xr:uid="{00000000-0005-0000-0000-000049050000}"/>
    <cellStyle name="Euro 25 4" xfId="688" xr:uid="{00000000-0005-0000-0000-00004A050000}"/>
    <cellStyle name="Euro 25 4 2" xfId="4827" xr:uid="{00000000-0005-0000-0000-00004B050000}"/>
    <cellStyle name="Euro 25 5" xfId="689" xr:uid="{00000000-0005-0000-0000-00004C050000}"/>
    <cellStyle name="Euro 25 5 2" xfId="4828" xr:uid="{00000000-0005-0000-0000-00004D050000}"/>
    <cellStyle name="Euro 25 6" xfId="690" xr:uid="{00000000-0005-0000-0000-00004E050000}"/>
    <cellStyle name="Euro 25 6 2" xfId="4829" xr:uid="{00000000-0005-0000-0000-00004F050000}"/>
    <cellStyle name="Euro 25 7" xfId="691" xr:uid="{00000000-0005-0000-0000-000050050000}"/>
    <cellStyle name="Euro 25 7 2" xfId="4830" xr:uid="{00000000-0005-0000-0000-000051050000}"/>
    <cellStyle name="Euro 25 8" xfId="692" xr:uid="{00000000-0005-0000-0000-000052050000}"/>
    <cellStyle name="Euro 25 8 2" xfId="4831" xr:uid="{00000000-0005-0000-0000-000053050000}"/>
    <cellStyle name="Euro 25 9" xfId="693" xr:uid="{00000000-0005-0000-0000-000054050000}"/>
    <cellStyle name="Euro 25 9 2" xfId="4832" xr:uid="{00000000-0005-0000-0000-000055050000}"/>
    <cellStyle name="Euro 26" xfId="694" xr:uid="{00000000-0005-0000-0000-000056050000}"/>
    <cellStyle name="Euro 26 10" xfId="695" xr:uid="{00000000-0005-0000-0000-000057050000}"/>
    <cellStyle name="Euro 26 10 2" xfId="4833" xr:uid="{00000000-0005-0000-0000-000058050000}"/>
    <cellStyle name="Euro 26 11" xfId="696" xr:uid="{00000000-0005-0000-0000-000059050000}"/>
    <cellStyle name="Euro 26 11 2" xfId="4834" xr:uid="{00000000-0005-0000-0000-00005A050000}"/>
    <cellStyle name="Euro 26 12" xfId="697" xr:uid="{00000000-0005-0000-0000-00005B050000}"/>
    <cellStyle name="Euro 26 12 2" xfId="4835" xr:uid="{00000000-0005-0000-0000-00005C050000}"/>
    <cellStyle name="Euro 26 13" xfId="698" xr:uid="{00000000-0005-0000-0000-00005D050000}"/>
    <cellStyle name="Euro 26 13 2" xfId="4836" xr:uid="{00000000-0005-0000-0000-00005E050000}"/>
    <cellStyle name="Euro 26 14" xfId="699" xr:uid="{00000000-0005-0000-0000-00005F050000}"/>
    <cellStyle name="Euro 26 14 2" xfId="4837" xr:uid="{00000000-0005-0000-0000-000060050000}"/>
    <cellStyle name="Euro 26 15" xfId="700" xr:uid="{00000000-0005-0000-0000-000061050000}"/>
    <cellStyle name="Euro 26 15 2" xfId="4838" xr:uid="{00000000-0005-0000-0000-000062050000}"/>
    <cellStyle name="Euro 26 16" xfId="701" xr:uid="{00000000-0005-0000-0000-000063050000}"/>
    <cellStyle name="Euro 26 16 2" xfId="4839" xr:uid="{00000000-0005-0000-0000-000064050000}"/>
    <cellStyle name="Euro 26 17" xfId="702" xr:uid="{00000000-0005-0000-0000-000065050000}"/>
    <cellStyle name="Euro 26 17 2" xfId="4840" xr:uid="{00000000-0005-0000-0000-000066050000}"/>
    <cellStyle name="Euro 26 18" xfId="703" xr:uid="{00000000-0005-0000-0000-000067050000}"/>
    <cellStyle name="Euro 26 18 2" xfId="4841" xr:uid="{00000000-0005-0000-0000-000068050000}"/>
    <cellStyle name="Euro 26 19" xfId="704" xr:uid="{00000000-0005-0000-0000-000069050000}"/>
    <cellStyle name="Euro 26 19 2" xfId="4842" xr:uid="{00000000-0005-0000-0000-00006A050000}"/>
    <cellStyle name="Euro 26 2" xfId="705" xr:uid="{00000000-0005-0000-0000-00006B050000}"/>
    <cellStyle name="Euro 26 2 2" xfId="4843" xr:uid="{00000000-0005-0000-0000-00006C050000}"/>
    <cellStyle name="Euro 26 20" xfId="706" xr:uid="{00000000-0005-0000-0000-00006D050000}"/>
    <cellStyle name="Euro 26 20 2" xfId="4844" xr:uid="{00000000-0005-0000-0000-00006E050000}"/>
    <cellStyle name="Euro 26 21" xfId="707" xr:uid="{00000000-0005-0000-0000-00006F050000}"/>
    <cellStyle name="Euro 26 21 2" xfId="4845" xr:uid="{00000000-0005-0000-0000-000070050000}"/>
    <cellStyle name="Euro 26 22" xfId="708" xr:uid="{00000000-0005-0000-0000-000071050000}"/>
    <cellStyle name="Euro 26 22 2" xfId="4846" xr:uid="{00000000-0005-0000-0000-000072050000}"/>
    <cellStyle name="Euro 26 23" xfId="709" xr:uid="{00000000-0005-0000-0000-000073050000}"/>
    <cellStyle name="Euro 26 23 2" xfId="4847" xr:uid="{00000000-0005-0000-0000-000074050000}"/>
    <cellStyle name="Euro 26 24" xfId="710" xr:uid="{00000000-0005-0000-0000-000075050000}"/>
    <cellStyle name="Euro 26 24 2" xfId="4848" xr:uid="{00000000-0005-0000-0000-000076050000}"/>
    <cellStyle name="Euro 26 25" xfId="711" xr:uid="{00000000-0005-0000-0000-000077050000}"/>
    <cellStyle name="Euro 26 25 2" xfId="4849" xr:uid="{00000000-0005-0000-0000-000078050000}"/>
    <cellStyle name="Euro 26 26" xfId="712" xr:uid="{00000000-0005-0000-0000-000079050000}"/>
    <cellStyle name="Euro 26 26 2" xfId="4850" xr:uid="{00000000-0005-0000-0000-00007A050000}"/>
    <cellStyle name="Euro 26 27" xfId="713" xr:uid="{00000000-0005-0000-0000-00007B050000}"/>
    <cellStyle name="Euro 26 27 2" xfId="4851" xr:uid="{00000000-0005-0000-0000-00007C050000}"/>
    <cellStyle name="Euro 26 28" xfId="714" xr:uid="{00000000-0005-0000-0000-00007D050000}"/>
    <cellStyle name="Euro 26 28 2" xfId="4852" xr:uid="{00000000-0005-0000-0000-00007E050000}"/>
    <cellStyle name="Euro 26 29" xfId="4853" xr:uid="{00000000-0005-0000-0000-00007F050000}"/>
    <cellStyle name="Euro 26 3" xfId="715" xr:uid="{00000000-0005-0000-0000-000080050000}"/>
    <cellStyle name="Euro 26 3 2" xfId="4854" xr:uid="{00000000-0005-0000-0000-000081050000}"/>
    <cellStyle name="Euro 26 4" xfId="716" xr:uid="{00000000-0005-0000-0000-000082050000}"/>
    <cellStyle name="Euro 26 4 2" xfId="4855" xr:uid="{00000000-0005-0000-0000-000083050000}"/>
    <cellStyle name="Euro 26 5" xfId="717" xr:uid="{00000000-0005-0000-0000-000084050000}"/>
    <cellStyle name="Euro 26 5 2" xfId="4856" xr:uid="{00000000-0005-0000-0000-000085050000}"/>
    <cellStyle name="Euro 26 6" xfId="718" xr:uid="{00000000-0005-0000-0000-000086050000}"/>
    <cellStyle name="Euro 26 6 2" xfId="4857" xr:uid="{00000000-0005-0000-0000-000087050000}"/>
    <cellStyle name="Euro 26 7" xfId="719" xr:uid="{00000000-0005-0000-0000-000088050000}"/>
    <cellStyle name="Euro 26 7 2" xfId="4858" xr:uid="{00000000-0005-0000-0000-000089050000}"/>
    <cellStyle name="Euro 26 8" xfId="720" xr:uid="{00000000-0005-0000-0000-00008A050000}"/>
    <cellStyle name="Euro 26 8 2" xfId="4859" xr:uid="{00000000-0005-0000-0000-00008B050000}"/>
    <cellStyle name="Euro 26 9" xfId="721" xr:uid="{00000000-0005-0000-0000-00008C050000}"/>
    <cellStyle name="Euro 26 9 2" xfId="4860" xr:uid="{00000000-0005-0000-0000-00008D050000}"/>
    <cellStyle name="Euro 27" xfId="722" xr:uid="{00000000-0005-0000-0000-00008E050000}"/>
    <cellStyle name="Euro 27 10" xfId="723" xr:uid="{00000000-0005-0000-0000-00008F050000}"/>
    <cellStyle name="Euro 27 10 2" xfId="4861" xr:uid="{00000000-0005-0000-0000-000090050000}"/>
    <cellStyle name="Euro 27 11" xfId="724" xr:uid="{00000000-0005-0000-0000-000091050000}"/>
    <cellStyle name="Euro 27 11 2" xfId="4862" xr:uid="{00000000-0005-0000-0000-000092050000}"/>
    <cellStyle name="Euro 27 12" xfId="725" xr:uid="{00000000-0005-0000-0000-000093050000}"/>
    <cellStyle name="Euro 27 12 2" xfId="4863" xr:uid="{00000000-0005-0000-0000-000094050000}"/>
    <cellStyle name="Euro 27 13" xfId="726" xr:uid="{00000000-0005-0000-0000-000095050000}"/>
    <cellStyle name="Euro 27 13 2" xfId="4864" xr:uid="{00000000-0005-0000-0000-000096050000}"/>
    <cellStyle name="Euro 27 14" xfId="727" xr:uid="{00000000-0005-0000-0000-000097050000}"/>
    <cellStyle name="Euro 27 14 2" xfId="4865" xr:uid="{00000000-0005-0000-0000-000098050000}"/>
    <cellStyle name="Euro 27 15" xfId="728" xr:uid="{00000000-0005-0000-0000-000099050000}"/>
    <cellStyle name="Euro 27 15 2" xfId="4866" xr:uid="{00000000-0005-0000-0000-00009A050000}"/>
    <cellStyle name="Euro 27 16" xfId="729" xr:uid="{00000000-0005-0000-0000-00009B050000}"/>
    <cellStyle name="Euro 27 16 2" xfId="4867" xr:uid="{00000000-0005-0000-0000-00009C050000}"/>
    <cellStyle name="Euro 27 17" xfId="730" xr:uid="{00000000-0005-0000-0000-00009D050000}"/>
    <cellStyle name="Euro 27 17 2" xfId="4868" xr:uid="{00000000-0005-0000-0000-00009E050000}"/>
    <cellStyle name="Euro 27 18" xfId="731" xr:uid="{00000000-0005-0000-0000-00009F050000}"/>
    <cellStyle name="Euro 27 18 2" xfId="4869" xr:uid="{00000000-0005-0000-0000-0000A0050000}"/>
    <cellStyle name="Euro 27 19" xfId="732" xr:uid="{00000000-0005-0000-0000-0000A1050000}"/>
    <cellStyle name="Euro 27 19 2" xfId="4870" xr:uid="{00000000-0005-0000-0000-0000A2050000}"/>
    <cellStyle name="Euro 27 2" xfId="733" xr:uid="{00000000-0005-0000-0000-0000A3050000}"/>
    <cellStyle name="Euro 27 2 2" xfId="4871" xr:uid="{00000000-0005-0000-0000-0000A4050000}"/>
    <cellStyle name="Euro 27 20" xfId="734" xr:uid="{00000000-0005-0000-0000-0000A5050000}"/>
    <cellStyle name="Euro 27 20 2" xfId="4872" xr:uid="{00000000-0005-0000-0000-0000A6050000}"/>
    <cellStyle name="Euro 27 21" xfId="735" xr:uid="{00000000-0005-0000-0000-0000A7050000}"/>
    <cellStyle name="Euro 27 21 2" xfId="4873" xr:uid="{00000000-0005-0000-0000-0000A8050000}"/>
    <cellStyle name="Euro 27 22" xfId="736" xr:uid="{00000000-0005-0000-0000-0000A9050000}"/>
    <cellStyle name="Euro 27 22 2" xfId="4874" xr:uid="{00000000-0005-0000-0000-0000AA050000}"/>
    <cellStyle name="Euro 27 23" xfId="737" xr:uid="{00000000-0005-0000-0000-0000AB050000}"/>
    <cellStyle name="Euro 27 23 2" xfId="4875" xr:uid="{00000000-0005-0000-0000-0000AC050000}"/>
    <cellStyle name="Euro 27 24" xfId="738" xr:uid="{00000000-0005-0000-0000-0000AD050000}"/>
    <cellStyle name="Euro 27 24 2" xfId="4876" xr:uid="{00000000-0005-0000-0000-0000AE050000}"/>
    <cellStyle name="Euro 27 25" xfId="739" xr:uid="{00000000-0005-0000-0000-0000AF050000}"/>
    <cellStyle name="Euro 27 25 2" xfId="4877" xr:uid="{00000000-0005-0000-0000-0000B0050000}"/>
    <cellStyle name="Euro 27 26" xfId="740" xr:uid="{00000000-0005-0000-0000-0000B1050000}"/>
    <cellStyle name="Euro 27 26 2" xfId="4878" xr:uid="{00000000-0005-0000-0000-0000B2050000}"/>
    <cellStyle name="Euro 27 27" xfId="741" xr:uid="{00000000-0005-0000-0000-0000B3050000}"/>
    <cellStyle name="Euro 27 27 2" xfId="4879" xr:uid="{00000000-0005-0000-0000-0000B4050000}"/>
    <cellStyle name="Euro 27 28" xfId="742" xr:uid="{00000000-0005-0000-0000-0000B5050000}"/>
    <cellStyle name="Euro 27 28 2" xfId="4880" xr:uid="{00000000-0005-0000-0000-0000B6050000}"/>
    <cellStyle name="Euro 27 29" xfId="4881" xr:uid="{00000000-0005-0000-0000-0000B7050000}"/>
    <cellStyle name="Euro 27 3" xfId="743" xr:uid="{00000000-0005-0000-0000-0000B8050000}"/>
    <cellStyle name="Euro 27 3 2" xfId="4882" xr:uid="{00000000-0005-0000-0000-0000B9050000}"/>
    <cellStyle name="Euro 27 4" xfId="744" xr:uid="{00000000-0005-0000-0000-0000BA050000}"/>
    <cellStyle name="Euro 27 4 2" xfId="4883" xr:uid="{00000000-0005-0000-0000-0000BB050000}"/>
    <cellStyle name="Euro 27 5" xfId="745" xr:uid="{00000000-0005-0000-0000-0000BC050000}"/>
    <cellStyle name="Euro 27 5 2" xfId="4884" xr:uid="{00000000-0005-0000-0000-0000BD050000}"/>
    <cellStyle name="Euro 27 6" xfId="746" xr:uid="{00000000-0005-0000-0000-0000BE050000}"/>
    <cellStyle name="Euro 27 6 2" xfId="4885" xr:uid="{00000000-0005-0000-0000-0000BF050000}"/>
    <cellStyle name="Euro 27 7" xfId="747" xr:uid="{00000000-0005-0000-0000-0000C0050000}"/>
    <cellStyle name="Euro 27 7 2" xfId="4886" xr:uid="{00000000-0005-0000-0000-0000C1050000}"/>
    <cellStyle name="Euro 27 8" xfId="748" xr:uid="{00000000-0005-0000-0000-0000C2050000}"/>
    <cellStyle name="Euro 27 8 2" xfId="4887" xr:uid="{00000000-0005-0000-0000-0000C3050000}"/>
    <cellStyle name="Euro 27 9" xfId="749" xr:uid="{00000000-0005-0000-0000-0000C4050000}"/>
    <cellStyle name="Euro 27 9 2" xfId="4888" xr:uid="{00000000-0005-0000-0000-0000C5050000}"/>
    <cellStyle name="Euro 28" xfId="750" xr:uid="{00000000-0005-0000-0000-0000C6050000}"/>
    <cellStyle name="Euro 28 10" xfId="751" xr:uid="{00000000-0005-0000-0000-0000C7050000}"/>
    <cellStyle name="Euro 28 10 2" xfId="4889" xr:uid="{00000000-0005-0000-0000-0000C8050000}"/>
    <cellStyle name="Euro 28 11" xfId="752" xr:uid="{00000000-0005-0000-0000-0000C9050000}"/>
    <cellStyle name="Euro 28 11 2" xfId="4890" xr:uid="{00000000-0005-0000-0000-0000CA050000}"/>
    <cellStyle name="Euro 28 12" xfId="753" xr:uid="{00000000-0005-0000-0000-0000CB050000}"/>
    <cellStyle name="Euro 28 12 2" xfId="4891" xr:uid="{00000000-0005-0000-0000-0000CC050000}"/>
    <cellStyle name="Euro 28 13" xfId="754" xr:uid="{00000000-0005-0000-0000-0000CD050000}"/>
    <cellStyle name="Euro 28 13 2" xfId="4892" xr:uid="{00000000-0005-0000-0000-0000CE050000}"/>
    <cellStyle name="Euro 28 14" xfId="755" xr:uid="{00000000-0005-0000-0000-0000CF050000}"/>
    <cellStyle name="Euro 28 14 2" xfId="4893" xr:uid="{00000000-0005-0000-0000-0000D0050000}"/>
    <cellStyle name="Euro 28 15" xfId="756" xr:uid="{00000000-0005-0000-0000-0000D1050000}"/>
    <cellStyle name="Euro 28 15 2" xfId="4894" xr:uid="{00000000-0005-0000-0000-0000D2050000}"/>
    <cellStyle name="Euro 28 16" xfId="757" xr:uid="{00000000-0005-0000-0000-0000D3050000}"/>
    <cellStyle name="Euro 28 16 2" xfId="4895" xr:uid="{00000000-0005-0000-0000-0000D4050000}"/>
    <cellStyle name="Euro 28 17" xfId="758" xr:uid="{00000000-0005-0000-0000-0000D5050000}"/>
    <cellStyle name="Euro 28 17 2" xfId="4896" xr:uid="{00000000-0005-0000-0000-0000D6050000}"/>
    <cellStyle name="Euro 28 18" xfId="759" xr:uid="{00000000-0005-0000-0000-0000D7050000}"/>
    <cellStyle name="Euro 28 18 2" xfId="4897" xr:uid="{00000000-0005-0000-0000-0000D8050000}"/>
    <cellStyle name="Euro 28 19" xfId="760" xr:uid="{00000000-0005-0000-0000-0000D9050000}"/>
    <cellStyle name="Euro 28 19 2" xfId="4898" xr:uid="{00000000-0005-0000-0000-0000DA050000}"/>
    <cellStyle name="Euro 28 2" xfId="761" xr:uid="{00000000-0005-0000-0000-0000DB050000}"/>
    <cellStyle name="Euro 28 2 2" xfId="4899" xr:uid="{00000000-0005-0000-0000-0000DC050000}"/>
    <cellStyle name="Euro 28 20" xfId="762" xr:uid="{00000000-0005-0000-0000-0000DD050000}"/>
    <cellStyle name="Euro 28 20 2" xfId="4900" xr:uid="{00000000-0005-0000-0000-0000DE050000}"/>
    <cellStyle name="Euro 28 21" xfId="763" xr:uid="{00000000-0005-0000-0000-0000DF050000}"/>
    <cellStyle name="Euro 28 21 2" xfId="4901" xr:uid="{00000000-0005-0000-0000-0000E0050000}"/>
    <cellStyle name="Euro 28 22" xfId="764" xr:uid="{00000000-0005-0000-0000-0000E1050000}"/>
    <cellStyle name="Euro 28 22 2" xfId="4902" xr:uid="{00000000-0005-0000-0000-0000E2050000}"/>
    <cellStyle name="Euro 28 23" xfId="765" xr:uid="{00000000-0005-0000-0000-0000E3050000}"/>
    <cellStyle name="Euro 28 23 2" xfId="4903" xr:uid="{00000000-0005-0000-0000-0000E4050000}"/>
    <cellStyle name="Euro 28 24" xfId="766" xr:uid="{00000000-0005-0000-0000-0000E5050000}"/>
    <cellStyle name="Euro 28 24 2" xfId="4904" xr:uid="{00000000-0005-0000-0000-0000E6050000}"/>
    <cellStyle name="Euro 28 25" xfId="767" xr:uid="{00000000-0005-0000-0000-0000E7050000}"/>
    <cellStyle name="Euro 28 25 2" xfId="4905" xr:uid="{00000000-0005-0000-0000-0000E8050000}"/>
    <cellStyle name="Euro 28 26" xfId="768" xr:uid="{00000000-0005-0000-0000-0000E9050000}"/>
    <cellStyle name="Euro 28 26 2" xfId="4906" xr:uid="{00000000-0005-0000-0000-0000EA050000}"/>
    <cellStyle name="Euro 28 27" xfId="769" xr:uid="{00000000-0005-0000-0000-0000EB050000}"/>
    <cellStyle name="Euro 28 27 2" xfId="4907" xr:uid="{00000000-0005-0000-0000-0000EC050000}"/>
    <cellStyle name="Euro 28 28" xfId="770" xr:uid="{00000000-0005-0000-0000-0000ED050000}"/>
    <cellStyle name="Euro 28 28 2" xfId="4908" xr:uid="{00000000-0005-0000-0000-0000EE050000}"/>
    <cellStyle name="Euro 28 29" xfId="4909" xr:uid="{00000000-0005-0000-0000-0000EF050000}"/>
    <cellStyle name="Euro 28 3" xfId="771" xr:uid="{00000000-0005-0000-0000-0000F0050000}"/>
    <cellStyle name="Euro 28 3 2" xfId="4910" xr:uid="{00000000-0005-0000-0000-0000F1050000}"/>
    <cellStyle name="Euro 28 4" xfId="772" xr:uid="{00000000-0005-0000-0000-0000F2050000}"/>
    <cellStyle name="Euro 28 4 2" xfId="4911" xr:uid="{00000000-0005-0000-0000-0000F3050000}"/>
    <cellStyle name="Euro 28 5" xfId="773" xr:uid="{00000000-0005-0000-0000-0000F4050000}"/>
    <cellStyle name="Euro 28 5 2" xfId="4912" xr:uid="{00000000-0005-0000-0000-0000F5050000}"/>
    <cellStyle name="Euro 28 6" xfId="774" xr:uid="{00000000-0005-0000-0000-0000F6050000}"/>
    <cellStyle name="Euro 28 6 2" xfId="4913" xr:uid="{00000000-0005-0000-0000-0000F7050000}"/>
    <cellStyle name="Euro 28 7" xfId="775" xr:uid="{00000000-0005-0000-0000-0000F8050000}"/>
    <cellStyle name="Euro 28 7 2" xfId="4914" xr:uid="{00000000-0005-0000-0000-0000F9050000}"/>
    <cellStyle name="Euro 28 8" xfId="776" xr:uid="{00000000-0005-0000-0000-0000FA050000}"/>
    <cellStyle name="Euro 28 8 2" xfId="4915" xr:uid="{00000000-0005-0000-0000-0000FB050000}"/>
    <cellStyle name="Euro 28 9" xfId="777" xr:uid="{00000000-0005-0000-0000-0000FC050000}"/>
    <cellStyle name="Euro 28 9 2" xfId="4916" xr:uid="{00000000-0005-0000-0000-0000FD050000}"/>
    <cellStyle name="Euro 29" xfId="778" xr:uid="{00000000-0005-0000-0000-0000FE050000}"/>
    <cellStyle name="Euro 29 10" xfId="779" xr:uid="{00000000-0005-0000-0000-0000FF050000}"/>
    <cellStyle name="Euro 29 10 2" xfId="4917" xr:uid="{00000000-0005-0000-0000-000000060000}"/>
    <cellStyle name="Euro 29 11" xfId="780" xr:uid="{00000000-0005-0000-0000-000001060000}"/>
    <cellStyle name="Euro 29 11 2" xfId="4918" xr:uid="{00000000-0005-0000-0000-000002060000}"/>
    <cellStyle name="Euro 29 12" xfId="781" xr:uid="{00000000-0005-0000-0000-000003060000}"/>
    <cellStyle name="Euro 29 12 2" xfId="4919" xr:uid="{00000000-0005-0000-0000-000004060000}"/>
    <cellStyle name="Euro 29 13" xfId="782" xr:uid="{00000000-0005-0000-0000-000005060000}"/>
    <cellStyle name="Euro 29 13 2" xfId="4920" xr:uid="{00000000-0005-0000-0000-000006060000}"/>
    <cellStyle name="Euro 29 14" xfId="783" xr:uid="{00000000-0005-0000-0000-000007060000}"/>
    <cellStyle name="Euro 29 14 2" xfId="4921" xr:uid="{00000000-0005-0000-0000-000008060000}"/>
    <cellStyle name="Euro 29 15" xfId="784" xr:uid="{00000000-0005-0000-0000-000009060000}"/>
    <cellStyle name="Euro 29 15 2" xfId="4922" xr:uid="{00000000-0005-0000-0000-00000A060000}"/>
    <cellStyle name="Euro 29 16" xfId="785" xr:uid="{00000000-0005-0000-0000-00000B060000}"/>
    <cellStyle name="Euro 29 16 2" xfId="4923" xr:uid="{00000000-0005-0000-0000-00000C060000}"/>
    <cellStyle name="Euro 29 17" xfId="786" xr:uid="{00000000-0005-0000-0000-00000D060000}"/>
    <cellStyle name="Euro 29 17 2" xfId="4924" xr:uid="{00000000-0005-0000-0000-00000E060000}"/>
    <cellStyle name="Euro 29 18" xfId="787" xr:uid="{00000000-0005-0000-0000-00000F060000}"/>
    <cellStyle name="Euro 29 18 2" xfId="4925" xr:uid="{00000000-0005-0000-0000-000010060000}"/>
    <cellStyle name="Euro 29 19" xfId="788" xr:uid="{00000000-0005-0000-0000-000011060000}"/>
    <cellStyle name="Euro 29 19 2" xfId="4926" xr:uid="{00000000-0005-0000-0000-000012060000}"/>
    <cellStyle name="Euro 29 2" xfId="789" xr:uid="{00000000-0005-0000-0000-000013060000}"/>
    <cellStyle name="Euro 29 2 2" xfId="4927" xr:uid="{00000000-0005-0000-0000-000014060000}"/>
    <cellStyle name="Euro 29 20" xfId="790" xr:uid="{00000000-0005-0000-0000-000015060000}"/>
    <cellStyle name="Euro 29 20 2" xfId="4928" xr:uid="{00000000-0005-0000-0000-000016060000}"/>
    <cellStyle name="Euro 29 21" xfId="791" xr:uid="{00000000-0005-0000-0000-000017060000}"/>
    <cellStyle name="Euro 29 21 2" xfId="4929" xr:uid="{00000000-0005-0000-0000-000018060000}"/>
    <cellStyle name="Euro 29 22" xfId="792" xr:uid="{00000000-0005-0000-0000-000019060000}"/>
    <cellStyle name="Euro 29 22 2" xfId="4930" xr:uid="{00000000-0005-0000-0000-00001A060000}"/>
    <cellStyle name="Euro 29 23" xfId="793" xr:uid="{00000000-0005-0000-0000-00001B060000}"/>
    <cellStyle name="Euro 29 23 2" xfId="4931" xr:uid="{00000000-0005-0000-0000-00001C060000}"/>
    <cellStyle name="Euro 29 24" xfId="794" xr:uid="{00000000-0005-0000-0000-00001D060000}"/>
    <cellStyle name="Euro 29 24 2" xfId="4932" xr:uid="{00000000-0005-0000-0000-00001E060000}"/>
    <cellStyle name="Euro 29 25" xfId="795" xr:uid="{00000000-0005-0000-0000-00001F060000}"/>
    <cellStyle name="Euro 29 25 2" xfId="4933" xr:uid="{00000000-0005-0000-0000-000020060000}"/>
    <cellStyle name="Euro 29 26" xfId="796" xr:uid="{00000000-0005-0000-0000-000021060000}"/>
    <cellStyle name="Euro 29 26 2" xfId="4934" xr:uid="{00000000-0005-0000-0000-000022060000}"/>
    <cellStyle name="Euro 29 27" xfId="797" xr:uid="{00000000-0005-0000-0000-000023060000}"/>
    <cellStyle name="Euro 29 27 2" xfId="4935" xr:uid="{00000000-0005-0000-0000-000024060000}"/>
    <cellStyle name="Euro 29 28" xfId="798" xr:uid="{00000000-0005-0000-0000-000025060000}"/>
    <cellStyle name="Euro 29 28 2" xfId="4936" xr:uid="{00000000-0005-0000-0000-000026060000}"/>
    <cellStyle name="Euro 29 29" xfId="4937" xr:uid="{00000000-0005-0000-0000-000027060000}"/>
    <cellStyle name="Euro 29 3" xfId="799" xr:uid="{00000000-0005-0000-0000-000028060000}"/>
    <cellStyle name="Euro 29 3 2" xfId="4938" xr:uid="{00000000-0005-0000-0000-000029060000}"/>
    <cellStyle name="Euro 29 4" xfId="800" xr:uid="{00000000-0005-0000-0000-00002A060000}"/>
    <cellStyle name="Euro 29 4 2" xfId="4939" xr:uid="{00000000-0005-0000-0000-00002B060000}"/>
    <cellStyle name="Euro 29 5" xfId="801" xr:uid="{00000000-0005-0000-0000-00002C060000}"/>
    <cellStyle name="Euro 29 5 2" xfId="4940" xr:uid="{00000000-0005-0000-0000-00002D060000}"/>
    <cellStyle name="Euro 29 6" xfId="802" xr:uid="{00000000-0005-0000-0000-00002E060000}"/>
    <cellStyle name="Euro 29 6 2" xfId="4941" xr:uid="{00000000-0005-0000-0000-00002F060000}"/>
    <cellStyle name="Euro 29 7" xfId="803" xr:uid="{00000000-0005-0000-0000-000030060000}"/>
    <cellStyle name="Euro 29 7 2" xfId="4942" xr:uid="{00000000-0005-0000-0000-000031060000}"/>
    <cellStyle name="Euro 29 8" xfId="804" xr:uid="{00000000-0005-0000-0000-000032060000}"/>
    <cellStyle name="Euro 29 8 2" xfId="4943" xr:uid="{00000000-0005-0000-0000-000033060000}"/>
    <cellStyle name="Euro 29 9" xfId="805" xr:uid="{00000000-0005-0000-0000-000034060000}"/>
    <cellStyle name="Euro 29 9 2" xfId="4944" xr:uid="{00000000-0005-0000-0000-000035060000}"/>
    <cellStyle name="Euro 3" xfId="128" xr:uid="{00000000-0005-0000-0000-000036060000}"/>
    <cellStyle name="Euro 3 10" xfId="807" xr:uid="{00000000-0005-0000-0000-000037060000}"/>
    <cellStyle name="Euro 3 10 2" xfId="4945" xr:uid="{00000000-0005-0000-0000-000038060000}"/>
    <cellStyle name="Euro 3 11" xfId="808" xr:uid="{00000000-0005-0000-0000-000039060000}"/>
    <cellStyle name="Euro 3 11 2" xfId="4946" xr:uid="{00000000-0005-0000-0000-00003A060000}"/>
    <cellStyle name="Euro 3 12" xfId="809" xr:uid="{00000000-0005-0000-0000-00003B060000}"/>
    <cellStyle name="Euro 3 12 2" xfId="4947" xr:uid="{00000000-0005-0000-0000-00003C060000}"/>
    <cellStyle name="Euro 3 13" xfId="810" xr:uid="{00000000-0005-0000-0000-00003D060000}"/>
    <cellStyle name="Euro 3 13 2" xfId="4948" xr:uid="{00000000-0005-0000-0000-00003E060000}"/>
    <cellStyle name="Euro 3 14" xfId="811" xr:uid="{00000000-0005-0000-0000-00003F060000}"/>
    <cellStyle name="Euro 3 14 2" xfId="4949" xr:uid="{00000000-0005-0000-0000-000040060000}"/>
    <cellStyle name="Euro 3 15" xfId="812" xr:uid="{00000000-0005-0000-0000-000041060000}"/>
    <cellStyle name="Euro 3 15 2" xfId="4950" xr:uid="{00000000-0005-0000-0000-000042060000}"/>
    <cellStyle name="Euro 3 16" xfId="813" xr:uid="{00000000-0005-0000-0000-000043060000}"/>
    <cellStyle name="Euro 3 16 2" xfId="4951" xr:uid="{00000000-0005-0000-0000-000044060000}"/>
    <cellStyle name="Euro 3 17" xfId="814" xr:uid="{00000000-0005-0000-0000-000045060000}"/>
    <cellStyle name="Euro 3 17 2" xfId="4952" xr:uid="{00000000-0005-0000-0000-000046060000}"/>
    <cellStyle name="Euro 3 18" xfId="815" xr:uid="{00000000-0005-0000-0000-000047060000}"/>
    <cellStyle name="Euro 3 18 2" xfId="4953" xr:uid="{00000000-0005-0000-0000-000048060000}"/>
    <cellStyle name="Euro 3 19" xfId="816" xr:uid="{00000000-0005-0000-0000-000049060000}"/>
    <cellStyle name="Euro 3 19 2" xfId="4954" xr:uid="{00000000-0005-0000-0000-00004A060000}"/>
    <cellStyle name="Euro 3 2" xfId="817" xr:uid="{00000000-0005-0000-0000-00004B060000}"/>
    <cellStyle name="Euro 3 2 2" xfId="4132" xr:uid="{00000000-0005-0000-0000-00004C060000}"/>
    <cellStyle name="Euro 3 20" xfId="818" xr:uid="{00000000-0005-0000-0000-00004D060000}"/>
    <cellStyle name="Euro 3 20 2" xfId="4955" xr:uid="{00000000-0005-0000-0000-00004E060000}"/>
    <cellStyle name="Euro 3 21" xfId="819" xr:uid="{00000000-0005-0000-0000-00004F060000}"/>
    <cellStyle name="Euro 3 21 2" xfId="4956" xr:uid="{00000000-0005-0000-0000-000050060000}"/>
    <cellStyle name="Euro 3 22" xfId="820" xr:uid="{00000000-0005-0000-0000-000051060000}"/>
    <cellStyle name="Euro 3 22 2" xfId="4957" xr:uid="{00000000-0005-0000-0000-000052060000}"/>
    <cellStyle name="Euro 3 23" xfId="821" xr:uid="{00000000-0005-0000-0000-000053060000}"/>
    <cellStyle name="Euro 3 23 2" xfId="4958" xr:uid="{00000000-0005-0000-0000-000054060000}"/>
    <cellStyle name="Euro 3 24" xfId="822" xr:uid="{00000000-0005-0000-0000-000055060000}"/>
    <cellStyle name="Euro 3 24 2" xfId="4959" xr:uid="{00000000-0005-0000-0000-000056060000}"/>
    <cellStyle name="Euro 3 25" xfId="823" xr:uid="{00000000-0005-0000-0000-000057060000}"/>
    <cellStyle name="Euro 3 25 2" xfId="4960" xr:uid="{00000000-0005-0000-0000-000058060000}"/>
    <cellStyle name="Euro 3 26" xfId="824" xr:uid="{00000000-0005-0000-0000-000059060000}"/>
    <cellStyle name="Euro 3 26 2" xfId="4961" xr:uid="{00000000-0005-0000-0000-00005A060000}"/>
    <cellStyle name="Euro 3 27" xfId="825" xr:uid="{00000000-0005-0000-0000-00005B060000}"/>
    <cellStyle name="Euro 3 27 2" xfId="4962" xr:uid="{00000000-0005-0000-0000-00005C060000}"/>
    <cellStyle name="Euro 3 28" xfId="826" xr:uid="{00000000-0005-0000-0000-00005D060000}"/>
    <cellStyle name="Euro 3 28 2" xfId="4963" xr:uid="{00000000-0005-0000-0000-00005E060000}"/>
    <cellStyle name="Euro 3 29" xfId="4058" xr:uid="{00000000-0005-0000-0000-00005F060000}"/>
    <cellStyle name="Euro 3 3" xfId="827" xr:uid="{00000000-0005-0000-0000-000060060000}"/>
    <cellStyle name="Euro 3 3 2" xfId="4092" xr:uid="{00000000-0005-0000-0000-000061060000}"/>
    <cellStyle name="Euro 3 30" xfId="806" xr:uid="{00000000-0005-0000-0000-000062060000}"/>
    <cellStyle name="Euro 3 31" xfId="14157" xr:uid="{A2FB610E-04D5-483F-8262-A1159DE22B22}"/>
    <cellStyle name="Euro 3 4" xfId="828" xr:uid="{00000000-0005-0000-0000-000063060000}"/>
    <cellStyle name="Euro 3 4 2" xfId="4964" xr:uid="{00000000-0005-0000-0000-000064060000}"/>
    <cellStyle name="Euro 3 5" xfId="829" xr:uid="{00000000-0005-0000-0000-000065060000}"/>
    <cellStyle name="Euro 3 5 2" xfId="4965" xr:uid="{00000000-0005-0000-0000-000066060000}"/>
    <cellStyle name="Euro 3 6" xfId="830" xr:uid="{00000000-0005-0000-0000-000067060000}"/>
    <cellStyle name="Euro 3 6 2" xfId="4966" xr:uid="{00000000-0005-0000-0000-000068060000}"/>
    <cellStyle name="Euro 3 7" xfId="831" xr:uid="{00000000-0005-0000-0000-000069060000}"/>
    <cellStyle name="Euro 3 7 2" xfId="4967" xr:uid="{00000000-0005-0000-0000-00006A060000}"/>
    <cellStyle name="Euro 3 8" xfId="832" xr:uid="{00000000-0005-0000-0000-00006B060000}"/>
    <cellStyle name="Euro 3 8 2" xfId="4968" xr:uid="{00000000-0005-0000-0000-00006C060000}"/>
    <cellStyle name="Euro 3 9" xfId="833" xr:uid="{00000000-0005-0000-0000-00006D060000}"/>
    <cellStyle name="Euro 3 9 2" xfId="4969" xr:uid="{00000000-0005-0000-0000-00006E060000}"/>
    <cellStyle name="Euro 3_1.2.b" xfId="16094" xr:uid="{C1DD9251-969A-48E1-B2EB-7E215D2244AA}"/>
    <cellStyle name="Euro 30" xfId="12355" xr:uid="{00000000-0005-0000-0000-00006F060000}"/>
    <cellStyle name="Euro 30 2" xfId="21099" xr:uid="{88645F03-1246-4733-B417-F546DBA11D5B}"/>
    <cellStyle name="Euro 31" xfId="12372" xr:uid="{00000000-0005-0000-0000-000070060000}"/>
    <cellStyle name="Euro 31 2" xfId="21115" xr:uid="{F9D8CF42-9110-47EE-BCEA-FC045807DE32}"/>
    <cellStyle name="Euro 32" xfId="24479" xr:uid="{D379878F-AE44-4BAB-BA27-57BF799095FB}"/>
    <cellStyle name="Euro 33" xfId="24480" xr:uid="{A3C06B63-01ED-47F7-A69D-ED9921197CB6}"/>
    <cellStyle name="Euro 34" xfId="24484" xr:uid="{0ADCC1B0-C868-4354-BA84-440F0E412BF0}"/>
    <cellStyle name="Euro 4" xfId="834" xr:uid="{00000000-0005-0000-0000-000071060000}"/>
    <cellStyle name="Euro 4 10" xfId="835" xr:uid="{00000000-0005-0000-0000-000072060000}"/>
    <cellStyle name="Euro 4 10 2" xfId="4970" xr:uid="{00000000-0005-0000-0000-000073060000}"/>
    <cellStyle name="Euro 4 11" xfId="836" xr:uid="{00000000-0005-0000-0000-000074060000}"/>
    <cellStyle name="Euro 4 11 2" xfId="4971" xr:uid="{00000000-0005-0000-0000-000075060000}"/>
    <cellStyle name="Euro 4 12" xfId="837" xr:uid="{00000000-0005-0000-0000-000076060000}"/>
    <cellStyle name="Euro 4 12 2" xfId="4972" xr:uid="{00000000-0005-0000-0000-000077060000}"/>
    <cellStyle name="Euro 4 13" xfId="838" xr:uid="{00000000-0005-0000-0000-000078060000}"/>
    <cellStyle name="Euro 4 13 2" xfId="4973" xr:uid="{00000000-0005-0000-0000-000079060000}"/>
    <cellStyle name="Euro 4 14" xfId="839" xr:uid="{00000000-0005-0000-0000-00007A060000}"/>
    <cellStyle name="Euro 4 14 2" xfId="4974" xr:uid="{00000000-0005-0000-0000-00007B060000}"/>
    <cellStyle name="Euro 4 15" xfId="840" xr:uid="{00000000-0005-0000-0000-00007C060000}"/>
    <cellStyle name="Euro 4 15 2" xfId="4975" xr:uid="{00000000-0005-0000-0000-00007D060000}"/>
    <cellStyle name="Euro 4 16" xfId="841" xr:uid="{00000000-0005-0000-0000-00007E060000}"/>
    <cellStyle name="Euro 4 16 2" xfId="4976" xr:uid="{00000000-0005-0000-0000-00007F060000}"/>
    <cellStyle name="Euro 4 17" xfId="842" xr:uid="{00000000-0005-0000-0000-000080060000}"/>
    <cellStyle name="Euro 4 17 2" xfId="4977" xr:uid="{00000000-0005-0000-0000-000081060000}"/>
    <cellStyle name="Euro 4 18" xfId="843" xr:uid="{00000000-0005-0000-0000-000082060000}"/>
    <cellStyle name="Euro 4 18 2" xfId="4978" xr:uid="{00000000-0005-0000-0000-000083060000}"/>
    <cellStyle name="Euro 4 19" xfId="844" xr:uid="{00000000-0005-0000-0000-000084060000}"/>
    <cellStyle name="Euro 4 19 2" xfId="4979" xr:uid="{00000000-0005-0000-0000-000085060000}"/>
    <cellStyle name="Euro 4 2" xfId="845" xr:uid="{00000000-0005-0000-0000-000086060000}"/>
    <cellStyle name="Euro 4 2 2" xfId="4141" xr:uid="{00000000-0005-0000-0000-000087060000}"/>
    <cellStyle name="Euro 4 20" xfId="846" xr:uid="{00000000-0005-0000-0000-000088060000}"/>
    <cellStyle name="Euro 4 20 2" xfId="4980" xr:uid="{00000000-0005-0000-0000-000089060000}"/>
    <cellStyle name="Euro 4 21" xfId="847" xr:uid="{00000000-0005-0000-0000-00008A060000}"/>
    <cellStyle name="Euro 4 21 2" xfId="4981" xr:uid="{00000000-0005-0000-0000-00008B060000}"/>
    <cellStyle name="Euro 4 22" xfId="848" xr:uid="{00000000-0005-0000-0000-00008C060000}"/>
    <cellStyle name="Euro 4 22 2" xfId="4982" xr:uid="{00000000-0005-0000-0000-00008D060000}"/>
    <cellStyle name="Euro 4 23" xfId="849" xr:uid="{00000000-0005-0000-0000-00008E060000}"/>
    <cellStyle name="Euro 4 23 2" xfId="4983" xr:uid="{00000000-0005-0000-0000-00008F060000}"/>
    <cellStyle name="Euro 4 24" xfId="850" xr:uid="{00000000-0005-0000-0000-000090060000}"/>
    <cellStyle name="Euro 4 24 2" xfId="4984" xr:uid="{00000000-0005-0000-0000-000091060000}"/>
    <cellStyle name="Euro 4 25" xfId="851" xr:uid="{00000000-0005-0000-0000-000092060000}"/>
    <cellStyle name="Euro 4 25 2" xfId="4985" xr:uid="{00000000-0005-0000-0000-000093060000}"/>
    <cellStyle name="Euro 4 26" xfId="852" xr:uid="{00000000-0005-0000-0000-000094060000}"/>
    <cellStyle name="Euro 4 26 2" xfId="4986" xr:uid="{00000000-0005-0000-0000-000095060000}"/>
    <cellStyle name="Euro 4 27" xfId="853" xr:uid="{00000000-0005-0000-0000-000096060000}"/>
    <cellStyle name="Euro 4 27 2" xfId="4987" xr:uid="{00000000-0005-0000-0000-000097060000}"/>
    <cellStyle name="Euro 4 28" xfId="854" xr:uid="{00000000-0005-0000-0000-000098060000}"/>
    <cellStyle name="Euro 4 28 2" xfId="4988" xr:uid="{00000000-0005-0000-0000-000099060000}"/>
    <cellStyle name="Euro 4 29" xfId="4068" xr:uid="{00000000-0005-0000-0000-00009A060000}"/>
    <cellStyle name="Euro 4 3" xfId="855" xr:uid="{00000000-0005-0000-0000-00009B060000}"/>
    <cellStyle name="Euro 4 3 2" xfId="4101" xr:uid="{00000000-0005-0000-0000-00009C060000}"/>
    <cellStyle name="Euro 4 30" xfId="14158" xr:uid="{8766410C-CAB1-43EF-9EEF-663E8BDC694E}"/>
    <cellStyle name="Euro 4 4" xfId="856" xr:uid="{00000000-0005-0000-0000-00009D060000}"/>
    <cellStyle name="Euro 4 4 2" xfId="4989" xr:uid="{00000000-0005-0000-0000-00009E060000}"/>
    <cellStyle name="Euro 4 5" xfId="857" xr:uid="{00000000-0005-0000-0000-00009F060000}"/>
    <cellStyle name="Euro 4 5 2" xfId="4990" xr:uid="{00000000-0005-0000-0000-0000A0060000}"/>
    <cellStyle name="Euro 4 6" xfId="858" xr:uid="{00000000-0005-0000-0000-0000A1060000}"/>
    <cellStyle name="Euro 4 6 2" xfId="4991" xr:uid="{00000000-0005-0000-0000-0000A2060000}"/>
    <cellStyle name="Euro 4 7" xfId="859" xr:uid="{00000000-0005-0000-0000-0000A3060000}"/>
    <cellStyle name="Euro 4 7 2" xfId="4992" xr:uid="{00000000-0005-0000-0000-0000A4060000}"/>
    <cellStyle name="Euro 4 8" xfId="860" xr:uid="{00000000-0005-0000-0000-0000A5060000}"/>
    <cellStyle name="Euro 4 8 2" xfId="4993" xr:uid="{00000000-0005-0000-0000-0000A6060000}"/>
    <cellStyle name="Euro 4 9" xfId="861" xr:uid="{00000000-0005-0000-0000-0000A7060000}"/>
    <cellStyle name="Euro 4 9 2" xfId="4994" xr:uid="{00000000-0005-0000-0000-0000A8060000}"/>
    <cellStyle name="Euro 4_1.2.b" xfId="16095" xr:uid="{48A48013-023D-4E04-BAAC-6FAAD52184C9}"/>
    <cellStyle name="Euro 5" xfId="862" xr:uid="{00000000-0005-0000-0000-0000A9060000}"/>
    <cellStyle name="Euro 5 10" xfId="863" xr:uid="{00000000-0005-0000-0000-0000AA060000}"/>
    <cellStyle name="Euro 5 10 2" xfId="4995" xr:uid="{00000000-0005-0000-0000-0000AB060000}"/>
    <cellStyle name="Euro 5 11" xfId="864" xr:uid="{00000000-0005-0000-0000-0000AC060000}"/>
    <cellStyle name="Euro 5 11 2" xfId="4996" xr:uid="{00000000-0005-0000-0000-0000AD060000}"/>
    <cellStyle name="Euro 5 12" xfId="865" xr:uid="{00000000-0005-0000-0000-0000AE060000}"/>
    <cellStyle name="Euro 5 12 2" xfId="4997" xr:uid="{00000000-0005-0000-0000-0000AF060000}"/>
    <cellStyle name="Euro 5 13" xfId="866" xr:uid="{00000000-0005-0000-0000-0000B0060000}"/>
    <cellStyle name="Euro 5 13 2" xfId="4998" xr:uid="{00000000-0005-0000-0000-0000B1060000}"/>
    <cellStyle name="Euro 5 14" xfId="867" xr:uid="{00000000-0005-0000-0000-0000B2060000}"/>
    <cellStyle name="Euro 5 14 2" xfId="4999" xr:uid="{00000000-0005-0000-0000-0000B3060000}"/>
    <cellStyle name="Euro 5 15" xfId="868" xr:uid="{00000000-0005-0000-0000-0000B4060000}"/>
    <cellStyle name="Euro 5 15 2" xfId="5000" xr:uid="{00000000-0005-0000-0000-0000B5060000}"/>
    <cellStyle name="Euro 5 16" xfId="869" xr:uid="{00000000-0005-0000-0000-0000B6060000}"/>
    <cellStyle name="Euro 5 16 2" xfId="5001" xr:uid="{00000000-0005-0000-0000-0000B7060000}"/>
    <cellStyle name="Euro 5 17" xfId="870" xr:uid="{00000000-0005-0000-0000-0000B8060000}"/>
    <cellStyle name="Euro 5 17 2" xfId="5002" xr:uid="{00000000-0005-0000-0000-0000B9060000}"/>
    <cellStyle name="Euro 5 18" xfId="871" xr:uid="{00000000-0005-0000-0000-0000BA060000}"/>
    <cellStyle name="Euro 5 18 2" xfId="5003" xr:uid="{00000000-0005-0000-0000-0000BB060000}"/>
    <cellStyle name="Euro 5 19" xfId="872" xr:uid="{00000000-0005-0000-0000-0000BC060000}"/>
    <cellStyle name="Euro 5 19 2" xfId="5004" xr:uid="{00000000-0005-0000-0000-0000BD060000}"/>
    <cellStyle name="Euro 5 2" xfId="873" xr:uid="{00000000-0005-0000-0000-0000BE060000}"/>
    <cellStyle name="Euro 5 2 2" xfId="4144" xr:uid="{00000000-0005-0000-0000-0000BF060000}"/>
    <cellStyle name="Euro 5 20" xfId="874" xr:uid="{00000000-0005-0000-0000-0000C0060000}"/>
    <cellStyle name="Euro 5 20 2" xfId="5005" xr:uid="{00000000-0005-0000-0000-0000C1060000}"/>
    <cellStyle name="Euro 5 21" xfId="875" xr:uid="{00000000-0005-0000-0000-0000C2060000}"/>
    <cellStyle name="Euro 5 21 2" xfId="5006" xr:uid="{00000000-0005-0000-0000-0000C3060000}"/>
    <cellStyle name="Euro 5 22" xfId="876" xr:uid="{00000000-0005-0000-0000-0000C4060000}"/>
    <cellStyle name="Euro 5 22 2" xfId="5007" xr:uid="{00000000-0005-0000-0000-0000C5060000}"/>
    <cellStyle name="Euro 5 23" xfId="877" xr:uid="{00000000-0005-0000-0000-0000C6060000}"/>
    <cellStyle name="Euro 5 23 2" xfId="5008" xr:uid="{00000000-0005-0000-0000-0000C7060000}"/>
    <cellStyle name="Euro 5 24" xfId="878" xr:uid="{00000000-0005-0000-0000-0000C8060000}"/>
    <cellStyle name="Euro 5 24 2" xfId="5009" xr:uid="{00000000-0005-0000-0000-0000C9060000}"/>
    <cellStyle name="Euro 5 25" xfId="879" xr:uid="{00000000-0005-0000-0000-0000CA060000}"/>
    <cellStyle name="Euro 5 25 2" xfId="5010" xr:uid="{00000000-0005-0000-0000-0000CB060000}"/>
    <cellStyle name="Euro 5 26" xfId="880" xr:uid="{00000000-0005-0000-0000-0000CC060000}"/>
    <cellStyle name="Euro 5 26 2" xfId="5011" xr:uid="{00000000-0005-0000-0000-0000CD060000}"/>
    <cellStyle name="Euro 5 27" xfId="881" xr:uid="{00000000-0005-0000-0000-0000CE060000}"/>
    <cellStyle name="Euro 5 27 2" xfId="5012" xr:uid="{00000000-0005-0000-0000-0000CF060000}"/>
    <cellStyle name="Euro 5 28" xfId="882" xr:uid="{00000000-0005-0000-0000-0000D0060000}"/>
    <cellStyle name="Euro 5 28 2" xfId="5013" xr:uid="{00000000-0005-0000-0000-0000D1060000}"/>
    <cellStyle name="Euro 5 29" xfId="4071" xr:uid="{00000000-0005-0000-0000-0000D2060000}"/>
    <cellStyle name="Euro 5 3" xfId="883" xr:uid="{00000000-0005-0000-0000-0000D3060000}"/>
    <cellStyle name="Euro 5 3 2" xfId="4104" xr:uid="{00000000-0005-0000-0000-0000D4060000}"/>
    <cellStyle name="Euro 5 4" xfId="884" xr:uid="{00000000-0005-0000-0000-0000D5060000}"/>
    <cellStyle name="Euro 5 4 2" xfId="5014" xr:uid="{00000000-0005-0000-0000-0000D6060000}"/>
    <cellStyle name="Euro 5 5" xfId="885" xr:uid="{00000000-0005-0000-0000-0000D7060000}"/>
    <cellStyle name="Euro 5 5 2" xfId="5015" xr:uid="{00000000-0005-0000-0000-0000D8060000}"/>
    <cellStyle name="Euro 5 6" xfId="886" xr:uid="{00000000-0005-0000-0000-0000D9060000}"/>
    <cellStyle name="Euro 5 6 2" xfId="5016" xr:uid="{00000000-0005-0000-0000-0000DA060000}"/>
    <cellStyle name="Euro 5 7" xfId="887" xr:uid="{00000000-0005-0000-0000-0000DB060000}"/>
    <cellStyle name="Euro 5 7 2" xfId="5017" xr:uid="{00000000-0005-0000-0000-0000DC060000}"/>
    <cellStyle name="Euro 5 8" xfId="888" xr:uid="{00000000-0005-0000-0000-0000DD060000}"/>
    <cellStyle name="Euro 5 8 2" xfId="5018" xr:uid="{00000000-0005-0000-0000-0000DE060000}"/>
    <cellStyle name="Euro 5 9" xfId="889" xr:uid="{00000000-0005-0000-0000-0000DF060000}"/>
    <cellStyle name="Euro 5 9 2" xfId="5019" xr:uid="{00000000-0005-0000-0000-0000E0060000}"/>
    <cellStyle name="Euro 5_1.2.b" xfId="16096" xr:uid="{6C9B6B1F-0362-42B7-BBBE-8DAE9E3BE3A6}"/>
    <cellStyle name="Euro 6" xfId="890" xr:uid="{00000000-0005-0000-0000-0000E1060000}"/>
    <cellStyle name="Euro 6 10" xfId="891" xr:uid="{00000000-0005-0000-0000-0000E2060000}"/>
    <cellStyle name="Euro 6 10 2" xfId="5020" xr:uid="{00000000-0005-0000-0000-0000E3060000}"/>
    <cellStyle name="Euro 6 11" xfId="892" xr:uid="{00000000-0005-0000-0000-0000E4060000}"/>
    <cellStyle name="Euro 6 11 2" xfId="5021" xr:uid="{00000000-0005-0000-0000-0000E5060000}"/>
    <cellStyle name="Euro 6 12" xfId="893" xr:uid="{00000000-0005-0000-0000-0000E6060000}"/>
    <cellStyle name="Euro 6 12 2" xfId="5022" xr:uid="{00000000-0005-0000-0000-0000E7060000}"/>
    <cellStyle name="Euro 6 13" xfId="894" xr:uid="{00000000-0005-0000-0000-0000E8060000}"/>
    <cellStyle name="Euro 6 13 2" xfId="5023" xr:uid="{00000000-0005-0000-0000-0000E9060000}"/>
    <cellStyle name="Euro 6 14" xfId="895" xr:uid="{00000000-0005-0000-0000-0000EA060000}"/>
    <cellStyle name="Euro 6 14 2" xfId="5024" xr:uid="{00000000-0005-0000-0000-0000EB060000}"/>
    <cellStyle name="Euro 6 15" xfId="896" xr:uid="{00000000-0005-0000-0000-0000EC060000}"/>
    <cellStyle name="Euro 6 15 2" xfId="5025" xr:uid="{00000000-0005-0000-0000-0000ED060000}"/>
    <cellStyle name="Euro 6 16" xfId="897" xr:uid="{00000000-0005-0000-0000-0000EE060000}"/>
    <cellStyle name="Euro 6 16 2" xfId="5026" xr:uid="{00000000-0005-0000-0000-0000EF060000}"/>
    <cellStyle name="Euro 6 17" xfId="898" xr:uid="{00000000-0005-0000-0000-0000F0060000}"/>
    <cellStyle name="Euro 6 17 2" xfId="5027" xr:uid="{00000000-0005-0000-0000-0000F1060000}"/>
    <cellStyle name="Euro 6 18" xfId="899" xr:uid="{00000000-0005-0000-0000-0000F2060000}"/>
    <cellStyle name="Euro 6 18 2" xfId="5028" xr:uid="{00000000-0005-0000-0000-0000F3060000}"/>
    <cellStyle name="Euro 6 19" xfId="900" xr:uid="{00000000-0005-0000-0000-0000F4060000}"/>
    <cellStyle name="Euro 6 19 2" xfId="5029" xr:uid="{00000000-0005-0000-0000-0000F5060000}"/>
    <cellStyle name="Euro 6 2" xfId="901" xr:uid="{00000000-0005-0000-0000-0000F6060000}"/>
    <cellStyle name="Euro 6 2 2" xfId="4140" xr:uid="{00000000-0005-0000-0000-0000F7060000}"/>
    <cellStyle name="Euro 6 20" xfId="902" xr:uid="{00000000-0005-0000-0000-0000F8060000}"/>
    <cellStyle name="Euro 6 20 2" xfId="5030" xr:uid="{00000000-0005-0000-0000-0000F9060000}"/>
    <cellStyle name="Euro 6 21" xfId="903" xr:uid="{00000000-0005-0000-0000-0000FA060000}"/>
    <cellStyle name="Euro 6 21 2" xfId="5031" xr:uid="{00000000-0005-0000-0000-0000FB060000}"/>
    <cellStyle name="Euro 6 22" xfId="904" xr:uid="{00000000-0005-0000-0000-0000FC060000}"/>
    <cellStyle name="Euro 6 22 2" xfId="5032" xr:uid="{00000000-0005-0000-0000-0000FD060000}"/>
    <cellStyle name="Euro 6 23" xfId="905" xr:uid="{00000000-0005-0000-0000-0000FE060000}"/>
    <cellStyle name="Euro 6 23 2" xfId="5033" xr:uid="{00000000-0005-0000-0000-0000FF060000}"/>
    <cellStyle name="Euro 6 24" xfId="906" xr:uid="{00000000-0005-0000-0000-000000070000}"/>
    <cellStyle name="Euro 6 24 2" xfId="5034" xr:uid="{00000000-0005-0000-0000-000001070000}"/>
    <cellStyle name="Euro 6 25" xfId="907" xr:uid="{00000000-0005-0000-0000-000002070000}"/>
    <cellStyle name="Euro 6 25 2" xfId="5035" xr:uid="{00000000-0005-0000-0000-000003070000}"/>
    <cellStyle name="Euro 6 26" xfId="908" xr:uid="{00000000-0005-0000-0000-000004070000}"/>
    <cellStyle name="Euro 6 26 2" xfId="5036" xr:uid="{00000000-0005-0000-0000-000005070000}"/>
    <cellStyle name="Euro 6 27" xfId="909" xr:uid="{00000000-0005-0000-0000-000006070000}"/>
    <cellStyle name="Euro 6 27 2" xfId="5037" xr:uid="{00000000-0005-0000-0000-000007070000}"/>
    <cellStyle name="Euro 6 28" xfId="910" xr:uid="{00000000-0005-0000-0000-000008070000}"/>
    <cellStyle name="Euro 6 28 2" xfId="5038" xr:uid="{00000000-0005-0000-0000-000009070000}"/>
    <cellStyle name="Euro 6 29" xfId="4067" xr:uid="{00000000-0005-0000-0000-00000A070000}"/>
    <cellStyle name="Euro 6 3" xfId="911" xr:uid="{00000000-0005-0000-0000-00000B070000}"/>
    <cellStyle name="Euro 6 3 2" xfId="4100" xr:uid="{00000000-0005-0000-0000-00000C070000}"/>
    <cellStyle name="Euro 6 4" xfId="912" xr:uid="{00000000-0005-0000-0000-00000D070000}"/>
    <cellStyle name="Euro 6 4 2" xfId="5039" xr:uid="{00000000-0005-0000-0000-00000E070000}"/>
    <cellStyle name="Euro 6 5" xfId="913" xr:uid="{00000000-0005-0000-0000-00000F070000}"/>
    <cellStyle name="Euro 6 5 2" xfId="5040" xr:uid="{00000000-0005-0000-0000-000010070000}"/>
    <cellStyle name="Euro 6 6" xfId="914" xr:uid="{00000000-0005-0000-0000-000011070000}"/>
    <cellStyle name="Euro 6 6 2" xfId="5041" xr:uid="{00000000-0005-0000-0000-000012070000}"/>
    <cellStyle name="Euro 6 7" xfId="915" xr:uid="{00000000-0005-0000-0000-000013070000}"/>
    <cellStyle name="Euro 6 7 2" xfId="5042" xr:uid="{00000000-0005-0000-0000-000014070000}"/>
    <cellStyle name="Euro 6 8" xfId="916" xr:uid="{00000000-0005-0000-0000-000015070000}"/>
    <cellStyle name="Euro 6 8 2" xfId="5043" xr:uid="{00000000-0005-0000-0000-000016070000}"/>
    <cellStyle name="Euro 6 9" xfId="917" xr:uid="{00000000-0005-0000-0000-000017070000}"/>
    <cellStyle name="Euro 6 9 2" xfId="5044" xr:uid="{00000000-0005-0000-0000-000018070000}"/>
    <cellStyle name="Euro 7" xfId="918" xr:uid="{00000000-0005-0000-0000-000019070000}"/>
    <cellStyle name="Euro 7 10" xfId="919" xr:uid="{00000000-0005-0000-0000-00001A070000}"/>
    <cellStyle name="Euro 7 10 2" xfId="5045" xr:uid="{00000000-0005-0000-0000-00001B070000}"/>
    <cellStyle name="Euro 7 11" xfId="920" xr:uid="{00000000-0005-0000-0000-00001C070000}"/>
    <cellStyle name="Euro 7 11 2" xfId="5046" xr:uid="{00000000-0005-0000-0000-00001D070000}"/>
    <cellStyle name="Euro 7 12" xfId="921" xr:uid="{00000000-0005-0000-0000-00001E070000}"/>
    <cellStyle name="Euro 7 12 2" xfId="5047" xr:uid="{00000000-0005-0000-0000-00001F070000}"/>
    <cellStyle name="Euro 7 13" xfId="922" xr:uid="{00000000-0005-0000-0000-000020070000}"/>
    <cellStyle name="Euro 7 13 2" xfId="5048" xr:uid="{00000000-0005-0000-0000-000021070000}"/>
    <cellStyle name="Euro 7 14" xfId="923" xr:uid="{00000000-0005-0000-0000-000022070000}"/>
    <cellStyle name="Euro 7 14 2" xfId="5049" xr:uid="{00000000-0005-0000-0000-000023070000}"/>
    <cellStyle name="Euro 7 15" xfId="924" xr:uid="{00000000-0005-0000-0000-000024070000}"/>
    <cellStyle name="Euro 7 15 2" xfId="5050" xr:uid="{00000000-0005-0000-0000-000025070000}"/>
    <cellStyle name="Euro 7 16" xfId="925" xr:uid="{00000000-0005-0000-0000-000026070000}"/>
    <cellStyle name="Euro 7 16 2" xfId="5051" xr:uid="{00000000-0005-0000-0000-000027070000}"/>
    <cellStyle name="Euro 7 17" xfId="926" xr:uid="{00000000-0005-0000-0000-000028070000}"/>
    <cellStyle name="Euro 7 17 2" xfId="5052" xr:uid="{00000000-0005-0000-0000-000029070000}"/>
    <cellStyle name="Euro 7 18" xfId="927" xr:uid="{00000000-0005-0000-0000-00002A070000}"/>
    <cellStyle name="Euro 7 18 2" xfId="5053" xr:uid="{00000000-0005-0000-0000-00002B070000}"/>
    <cellStyle name="Euro 7 19" xfId="928" xr:uid="{00000000-0005-0000-0000-00002C070000}"/>
    <cellStyle name="Euro 7 19 2" xfId="5054" xr:uid="{00000000-0005-0000-0000-00002D070000}"/>
    <cellStyle name="Euro 7 2" xfId="929" xr:uid="{00000000-0005-0000-0000-00002E070000}"/>
    <cellStyle name="Euro 7 2 2" xfId="4142" xr:uid="{00000000-0005-0000-0000-00002F070000}"/>
    <cellStyle name="Euro 7 20" xfId="930" xr:uid="{00000000-0005-0000-0000-000030070000}"/>
    <cellStyle name="Euro 7 20 2" xfId="5055" xr:uid="{00000000-0005-0000-0000-000031070000}"/>
    <cellStyle name="Euro 7 21" xfId="931" xr:uid="{00000000-0005-0000-0000-000032070000}"/>
    <cellStyle name="Euro 7 21 2" xfId="5056" xr:uid="{00000000-0005-0000-0000-000033070000}"/>
    <cellStyle name="Euro 7 22" xfId="932" xr:uid="{00000000-0005-0000-0000-000034070000}"/>
    <cellStyle name="Euro 7 22 2" xfId="5057" xr:uid="{00000000-0005-0000-0000-000035070000}"/>
    <cellStyle name="Euro 7 23" xfId="933" xr:uid="{00000000-0005-0000-0000-000036070000}"/>
    <cellStyle name="Euro 7 23 2" xfId="5058" xr:uid="{00000000-0005-0000-0000-000037070000}"/>
    <cellStyle name="Euro 7 24" xfId="934" xr:uid="{00000000-0005-0000-0000-000038070000}"/>
    <cellStyle name="Euro 7 24 2" xfId="5059" xr:uid="{00000000-0005-0000-0000-000039070000}"/>
    <cellStyle name="Euro 7 25" xfId="935" xr:uid="{00000000-0005-0000-0000-00003A070000}"/>
    <cellStyle name="Euro 7 25 2" xfId="5060" xr:uid="{00000000-0005-0000-0000-00003B070000}"/>
    <cellStyle name="Euro 7 26" xfId="936" xr:uid="{00000000-0005-0000-0000-00003C070000}"/>
    <cellStyle name="Euro 7 26 2" xfId="5061" xr:uid="{00000000-0005-0000-0000-00003D070000}"/>
    <cellStyle name="Euro 7 27" xfId="937" xr:uid="{00000000-0005-0000-0000-00003E070000}"/>
    <cellStyle name="Euro 7 27 2" xfId="5062" xr:uid="{00000000-0005-0000-0000-00003F070000}"/>
    <cellStyle name="Euro 7 28" xfId="938" xr:uid="{00000000-0005-0000-0000-000040070000}"/>
    <cellStyle name="Euro 7 28 2" xfId="5063" xr:uid="{00000000-0005-0000-0000-000041070000}"/>
    <cellStyle name="Euro 7 29" xfId="4069" xr:uid="{00000000-0005-0000-0000-000042070000}"/>
    <cellStyle name="Euro 7 3" xfId="939" xr:uid="{00000000-0005-0000-0000-000043070000}"/>
    <cellStyle name="Euro 7 3 2" xfId="4102" xr:uid="{00000000-0005-0000-0000-000044070000}"/>
    <cellStyle name="Euro 7 4" xfId="940" xr:uid="{00000000-0005-0000-0000-000045070000}"/>
    <cellStyle name="Euro 7 4 2" xfId="5064" xr:uid="{00000000-0005-0000-0000-000046070000}"/>
    <cellStyle name="Euro 7 5" xfId="941" xr:uid="{00000000-0005-0000-0000-000047070000}"/>
    <cellStyle name="Euro 7 5 2" xfId="5065" xr:uid="{00000000-0005-0000-0000-000048070000}"/>
    <cellStyle name="Euro 7 6" xfId="942" xr:uid="{00000000-0005-0000-0000-000049070000}"/>
    <cellStyle name="Euro 7 6 2" xfId="5066" xr:uid="{00000000-0005-0000-0000-00004A070000}"/>
    <cellStyle name="Euro 7 7" xfId="943" xr:uid="{00000000-0005-0000-0000-00004B070000}"/>
    <cellStyle name="Euro 7 7 2" xfId="5067" xr:uid="{00000000-0005-0000-0000-00004C070000}"/>
    <cellStyle name="Euro 7 8" xfId="944" xr:uid="{00000000-0005-0000-0000-00004D070000}"/>
    <cellStyle name="Euro 7 8 2" xfId="5068" xr:uid="{00000000-0005-0000-0000-00004E070000}"/>
    <cellStyle name="Euro 7 9" xfId="945" xr:uid="{00000000-0005-0000-0000-00004F070000}"/>
    <cellStyle name="Euro 7 9 2" xfId="5069" xr:uid="{00000000-0005-0000-0000-000050070000}"/>
    <cellStyle name="Euro 8" xfId="946" xr:uid="{00000000-0005-0000-0000-000051070000}"/>
    <cellStyle name="Euro 8 10" xfId="947" xr:uid="{00000000-0005-0000-0000-000052070000}"/>
    <cellStyle name="Euro 8 10 2" xfId="5070" xr:uid="{00000000-0005-0000-0000-000053070000}"/>
    <cellStyle name="Euro 8 11" xfId="948" xr:uid="{00000000-0005-0000-0000-000054070000}"/>
    <cellStyle name="Euro 8 11 2" xfId="5071" xr:uid="{00000000-0005-0000-0000-000055070000}"/>
    <cellStyle name="Euro 8 12" xfId="949" xr:uid="{00000000-0005-0000-0000-000056070000}"/>
    <cellStyle name="Euro 8 12 2" xfId="5072" xr:uid="{00000000-0005-0000-0000-000057070000}"/>
    <cellStyle name="Euro 8 13" xfId="950" xr:uid="{00000000-0005-0000-0000-000058070000}"/>
    <cellStyle name="Euro 8 13 2" xfId="5073" xr:uid="{00000000-0005-0000-0000-000059070000}"/>
    <cellStyle name="Euro 8 14" xfId="951" xr:uid="{00000000-0005-0000-0000-00005A070000}"/>
    <cellStyle name="Euro 8 14 2" xfId="5074" xr:uid="{00000000-0005-0000-0000-00005B070000}"/>
    <cellStyle name="Euro 8 15" xfId="952" xr:uid="{00000000-0005-0000-0000-00005C070000}"/>
    <cellStyle name="Euro 8 15 2" xfId="5075" xr:uid="{00000000-0005-0000-0000-00005D070000}"/>
    <cellStyle name="Euro 8 16" xfId="953" xr:uid="{00000000-0005-0000-0000-00005E070000}"/>
    <cellStyle name="Euro 8 16 2" xfId="5076" xr:uid="{00000000-0005-0000-0000-00005F070000}"/>
    <cellStyle name="Euro 8 17" xfId="954" xr:uid="{00000000-0005-0000-0000-000060070000}"/>
    <cellStyle name="Euro 8 17 2" xfId="5077" xr:uid="{00000000-0005-0000-0000-000061070000}"/>
    <cellStyle name="Euro 8 18" xfId="955" xr:uid="{00000000-0005-0000-0000-000062070000}"/>
    <cellStyle name="Euro 8 18 2" xfId="5078" xr:uid="{00000000-0005-0000-0000-000063070000}"/>
    <cellStyle name="Euro 8 19" xfId="956" xr:uid="{00000000-0005-0000-0000-000064070000}"/>
    <cellStyle name="Euro 8 19 2" xfId="5079" xr:uid="{00000000-0005-0000-0000-000065070000}"/>
    <cellStyle name="Euro 8 2" xfId="957" xr:uid="{00000000-0005-0000-0000-000066070000}"/>
    <cellStyle name="Euro 8 2 2" xfId="4151" xr:uid="{00000000-0005-0000-0000-000067070000}"/>
    <cellStyle name="Euro 8 20" xfId="958" xr:uid="{00000000-0005-0000-0000-000068070000}"/>
    <cellStyle name="Euro 8 20 2" xfId="5080" xr:uid="{00000000-0005-0000-0000-000069070000}"/>
    <cellStyle name="Euro 8 21" xfId="959" xr:uid="{00000000-0005-0000-0000-00006A070000}"/>
    <cellStyle name="Euro 8 21 2" xfId="5081" xr:uid="{00000000-0005-0000-0000-00006B070000}"/>
    <cellStyle name="Euro 8 22" xfId="960" xr:uid="{00000000-0005-0000-0000-00006C070000}"/>
    <cellStyle name="Euro 8 22 2" xfId="5082" xr:uid="{00000000-0005-0000-0000-00006D070000}"/>
    <cellStyle name="Euro 8 23" xfId="961" xr:uid="{00000000-0005-0000-0000-00006E070000}"/>
    <cellStyle name="Euro 8 23 2" xfId="5083" xr:uid="{00000000-0005-0000-0000-00006F070000}"/>
    <cellStyle name="Euro 8 24" xfId="962" xr:uid="{00000000-0005-0000-0000-000070070000}"/>
    <cellStyle name="Euro 8 24 2" xfId="5084" xr:uid="{00000000-0005-0000-0000-000071070000}"/>
    <cellStyle name="Euro 8 25" xfId="963" xr:uid="{00000000-0005-0000-0000-000072070000}"/>
    <cellStyle name="Euro 8 25 2" xfId="5085" xr:uid="{00000000-0005-0000-0000-000073070000}"/>
    <cellStyle name="Euro 8 26" xfId="964" xr:uid="{00000000-0005-0000-0000-000074070000}"/>
    <cellStyle name="Euro 8 26 2" xfId="5086" xr:uid="{00000000-0005-0000-0000-000075070000}"/>
    <cellStyle name="Euro 8 27" xfId="965" xr:uid="{00000000-0005-0000-0000-000076070000}"/>
    <cellStyle name="Euro 8 27 2" xfId="5087" xr:uid="{00000000-0005-0000-0000-000077070000}"/>
    <cellStyle name="Euro 8 28" xfId="966" xr:uid="{00000000-0005-0000-0000-000078070000}"/>
    <cellStyle name="Euro 8 28 2" xfId="5088" xr:uid="{00000000-0005-0000-0000-000079070000}"/>
    <cellStyle name="Euro 8 29" xfId="4078" xr:uid="{00000000-0005-0000-0000-00007A070000}"/>
    <cellStyle name="Euro 8 3" xfId="967" xr:uid="{00000000-0005-0000-0000-00007B070000}"/>
    <cellStyle name="Euro 8 3 2" xfId="4111" xr:uid="{00000000-0005-0000-0000-00007C070000}"/>
    <cellStyle name="Euro 8 4" xfId="968" xr:uid="{00000000-0005-0000-0000-00007D070000}"/>
    <cellStyle name="Euro 8 4 2" xfId="5089" xr:uid="{00000000-0005-0000-0000-00007E070000}"/>
    <cellStyle name="Euro 8 5" xfId="969" xr:uid="{00000000-0005-0000-0000-00007F070000}"/>
    <cellStyle name="Euro 8 5 2" xfId="5090" xr:uid="{00000000-0005-0000-0000-000080070000}"/>
    <cellStyle name="Euro 8 6" xfId="970" xr:uid="{00000000-0005-0000-0000-000081070000}"/>
    <cellStyle name="Euro 8 6 2" xfId="5091" xr:uid="{00000000-0005-0000-0000-000082070000}"/>
    <cellStyle name="Euro 8 7" xfId="971" xr:uid="{00000000-0005-0000-0000-000083070000}"/>
    <cellStyle name="Euro 8 7 2" xfId="5092" xr:uid="{00000000-0005-0000-0000-000084070000}"/>
    <cellStyle name="Euro 8 8" xfId="972" xr:uid="{00000000-0005-0000-0000-000085070000}"/>
    <cellStyle name="Euro 8 8 2" xfId="5093" xr:uid="{00000000-0005-0000-0000-000086070000}"/>
    <cellStyle name="Euro 8 9" xfId="973" xr:uid="{00000000-0005-0000-0000-000087070000}"/>
    <cellStyle name="Euro 8 9 2" xfId="5094" xr:uid="{00000000-0005-0000-0000-000088070000}"/>
    <cellStyle name="Euro 9" xfId="974" xr:uid="{00000000-0005-0000-0000-000089070000}"/>
    <cellStyle name="Euro 9 10" xfId="975" xr:uid="{00000000-0005-0000-0000-00008A070000}"/>
    <cellStyle name="Euro 9 10 2" xfId="5095" xr:uid="{00000000-0005-0000-0000-00008B070000}"/>
    <cellStyle name="Euro 9 11" xfId="976" xr:uid="{00000000-0005-0000-0000-00008C070000}"/>
    <cellStyle name="Euro 9 11 2" xfId="5096" xr:uid="{00000000-0005-0000-0000-00008D070000}"/>
    <cellStyle name="Euro 9 12" xfId="977" xr:uid="{00000000-0005-0000-0000-00008E070000}"/>
    <cellStyle name="Euro 9 12 2" xfId="5097" xr:uid="{00000000-0005-0000-0000-00008F070000}"/>
    <cellStyle name="Euro 9 13" xfId="978" xr:uid="{00000000-0005-0000-0000-000090070000}"/>
    <cellStyle name="Euro 9 13 2" xfId="5098" xr:uid="{00000000-0005-0000-0000-000091070000}"/>
    <cellStyle name="Euro 9 14" xfId="979" xr:uid="{00000000-0005-0000-0000-000092070000}"/>
    <cellStyle name="Euro 9 14 2" xfId="5099" xr:uid="{00000000-0005-0000-0000-000093070000}"/>
    <cellStyle name="Euro 9 15" xfId="980" xr:uid="{00000000-0005-0000-0000-000094070000}"/>
    <cellStyle name="Euro 9 15 2" xfId="5100" xr:uid="{00000000-0005-0000-0000-000095070000}"/>
    <cellStyle name="Euro 9 16" xfId="981" xr:uid="{00000000-0005-0000-0000-000096070000}"/>
    <cellStyle name="Euro 9 16 2" xfId="5101" xr:uid="{00000000-0005-0000-0000-000097070000}"/>
    <cellStyle name="Euro 9 17" xfId="982" xr:uid="{00000000-0005-0000-0000-000098070000}"/>
    <cellStyle name="Euro 9 17 2" xfId="5102" xr:uid="{00000000-0005-0000-0000-000099070000}"/>
    <cellStyle name="Euro 9 18" xfId="983" xr:uid="{00000000-0005-0000-0000-00009A070000}"/>
    <cellStyle name="Euro 9 18 2" xfId="5103" xr:uid="{00000000-0005-0000-0000-00009B070000}"/>
    <cellStyle name="Euro 9 19" xfId="984" xr:uid="{00000000-0005-0000-0000-00009C070000}"/>
    <cellStyle name="Euro 9 19 2" xfId="5104" xr:uid="{00000000-0005-0000-0000-00009D070000}"/>
    <cellStyle name="Euro 9 2" xfId="985" xr:uid="{00000000-0005-0000-0000-00009E070000}"/>
    <cellStyle name="Euro 9 2 2" xfId="4143" xr:uid="{00000000-0005-0000-0000-00009F070000}"/>
    <cellStyle name="Euro 9 20" xfId="986" xr:uid="{00000000-0005-0000-0000-0000A0070000}"/>
    <cellStyle name="Euro 9 20 2" xfId="5105" xr:uid="{00000000-0005-0000-0000-0000A1070000}"/>
    <cellStyle name="Euro 9 21" xfId="987" xr:uid="{00000000-0005-0000-0000-0000A2070000}"/>
    <cellStyle name="Euro 9 21 2" xfId="5106" xr:uid="{00000000-0005-0000-0000-0000A3070000}"/>
    <cellStyle name="Euro 9 22" xfId="988" xr:uid="{00000000-0005-0000-0000-0000A4070000}"/>
    <cellStyle name="Euro 9 22 2" xfId="5107" xr:uid="{00000000-0005-0000-0000-0000A5070000}"/>
    <cellStyle name="Euro 9 23" xfId="989" xr:uid="{00000000-0005-0000-0000-0000A6070000}"/>
    <cellStyle name="Euro 9 23 2" xfId="5108" xr:uid="{00000000-0005-0000-0000-0000A7070000}"/>
    <cellStyle name="Euro 9 24" xfId="990" xr:uid="{00000000-0005-0000-0000-0000A8070000}"/>
    <cellStyle name="Euro 9 24 2" xfId="5109" xr:uid="{00000000-0005-0000-0000-0000A9070000}"/>
    <cellStyle name="Euro 9 25" xfId="991" xr:uid="{00000000-0005-0000-0000-0000AA070000}"/>
    <cellStyle name="Euro 9 25 2" xfId="5110" xr:uid="{00000000-0005-0000-0000-0000AB070000}"/>
    <cellStyle name="Euro 9 26" xfId="992" xr:uid="{00000000-0005-0000-0000-0000AC070000}"/>
    <cellStyle name="Euro 9 26 2" xfId="5111" xr:uid="{00000000-0005-0000-0000-0000AD070000}"/>
    <cellStyle name="Euro 9 27" xfId="993" xr:uid="{00000000-0005-0000-0000-0000AE070000}"/>
    <cellStyle name="Euro 9 27 2" xfId="5112" xr:uid="{00000000-0005-0000-0000-0000AF070000}"/>
    <cellStyle name="Euro 9 28" xfId="994" xr:uid="{00000000-0005-0000-0000-0000B0070000}"/>
    <cellStyle name="Euro 9 28 2" xfId="5113" xr:uid="{00000000-0005-0000-0000-0000B1070000}"/>
    <cellStyle name="Euro 9 29" xfId="4070" xr:uid="{00000000-0005-0000-0000-0000B2070000}"/>
    <cellStyle name="Euro 9 3" xfId="995" xr:uid="{00000000-0005-0000-0000-0000B3070000}"/>
    <cellStyle name="Euro 9 3 2" xfId="4103" xr:uid="{00000000-0005-0000-0000-0000B4070000}"/>
    <cellStyle name="Euro 9 4" xfId="996" xr:uid="{00000000-0005-0000-0000-0000B5070000}"/>
    <cellStyle name="Euro 9 4 2" xfId="5114" xr:uid="{00000000-0005-0000-0000-0000B6070000}"/>
    <cellStyle name="Euro 9 5" xfId="997" xr:uid="{00000000-0005-0000-0000-0000B7070000}"/>
    <cellStyle name="Euro 9 5 2" xfId="5115" xr:uid="{00000000-0005-0000-0000-0000B8070000}"/>
    <cellStyle name="Euro 9 6" xfId="998" xr:uid="{00000000-0005-0000-0000-0000B9070000}"/>
    <cellStyle name="Euro 9 6 2" xfId="5116" xr:uid="{00000000-0005-0000-0000-0000BA070000}"/>
    <cellStyle name="Euro 9 7" xfId="999" xr:uid="{00000000-0005-0000-0000-0000BB070000}"/>
    <cellStyle name="Euro 9 7 2" xfId="5117" xr:uid="{00000000-0005-0000-0000-0000BC070000}"/>
    <cellStyle name="Euro 9 8" xfId="1000" xr:uid="{00000000-0005-0000-0000-0000BD070000}"/>
    <cellStyle name="Euro 9 8 2" xfId="5118" xr:uid="{00000000-0005-0000-0000-0000BE070000}"/>
    <cellStyle name="Euro 9 9" xfId="1001" xr:uid="{00000000-0005-0000-0000-0000BF070000}"/>
    <cellStyle name="Euro 9 9 2" xfId="5119" xr:uid="{00000000-0005-0000-0000-0000C0070000}"/>
    <cellStyle name="Excel.Chart" xfId="132" xr:uid="{00000000-0005-0000-0000-0000C1070000}"/>
    <cellStyle name="Explanatory Text" xfId="37" xr:uid="{23DCB67C-F97F-405C-AC4A-39AD05C74C42}"/>
    <cellStyle name="Explanatory Text 2" xfId="18308" xr:uid="{E8996513-3D2A-4227-A253-B4373A8571EB}"/>
    <cellStyle name="F2" xfId="19" xr:uid="{00000000-0005-0000-0000-0000C2070000}"/>
    <cellStyle name="F2 2" xfId="79" xr:uid="{00000000-0005-0000-0000-0000C3070000}"/>
    <cellStyle name="F2 3" xfId="137" xr:uid="{00000000-0005-0000-0000-0000C4070000}"/>
    <cellStyle name="F3" xfId="20" xr:uid="{00000000-0005-0000-0000-0000C5070000}"/>
    <cellStyle name="F3 2" xfId="80" xr:uid="{00000000-0005-0000-0000-0000C6070000}"/>
    <cellStyle name="F3 3" xfId="138" xr:uid="{00000000-0005-0000-0000-0000C7070000}"/>
    <cellStyle name="F4" xfId="21" xr:uid="{00000000-0005-0000-0000-0000C8070000}"/>
    <cellStyle name="F4 2" xfId="81" xr:uid="{00000000-0005-0000-0000-0000C9070000}"/>
    <cellStyle name="F4 3" xfId="139" xr:uid="{00000000-0005-0000-0000-0000CA070000}"/>
    <cellStyle name="F5" xfId="22" xr:uid="{00000000-0005-0000-0000-0000CB070000}"/>
    <cellStyle name="F5 2" xfId="82" xr:uid="{00000000-0005-0000-0000-0000CC070000}"/>
    <cellStyle name="F5 3" xfId="140" xr:uid="{00000000-0005-0000-0000-0000CD070000}"/>
    <cellStyle name="F6" xfId="23" xr:uid="{00000000-0005-0000-0000-0000CE070000}"/>
    <cellStyle name="F6 2" xfId="83" xr:uid="{00000000-0005-0000-0000-0000CF070000}"/>
    <cellStyle name="F6 3" xfId="141" xr:uid="{00000000-0005-0000-0000-0000D0070000}"/>
    <cellStyle name="F7" xfId="24" xr:uid="{00000000-0005-0000-0000-0000D1070000}"/>
    <cellStyle name="F7 2" xfId="84" xr:uid="{00000000-0005-0000-0000-0000D2070000}"/>
    <cellStyle name="F7 3" xfId="142" xr:uid="{00000000-0005-0000-0000-0000D3070000}"/>
    <cellStyle name="F8" xfId="25" xr:uid="{00000000-0005-0000-0000-0000D4070000}"/>
    <cellStyle name="F8 2" xfId="85" xr:uid="{00000000-0005-0000-0000-0000D5070000}"/>
    <cellStyle name="F8 3" xfId="143" xr:uid="{00000000-0005-0000-0000-0000D6070000}"/>
    <cellStyle name="Fecha" xfId="1002" xr:uid="{00000000-0005-0000-0000-0000D7070000}"/>
    <cellStyle name="Fijo" xfId="68" xr:uid="{00000000-0005-0000-0000-0000D8070000}"/>
    <cellStyle name="Fijo 2" xfId="86" xr:uid="{00000000-0005-0000-0000-0000D9070000}"/>
    <cellStyle name="Fijo 3" xfId="1003" xr:uid="{00000000-0005-0000-0000-0000DA070000}"/>
    <cellStyle name="Fijo_1.2.b" xfId="16097" xr:uid="{55996E44-6558-4268-B609-DADBDEFA1401}"/>
    <cellStyle name="Financiero" xfId="69" xr:uid="{00000000-0005-0000-0000-0000DB070000}"/>
    <cellStyle name="Financiero 2" xfId="87" xr:uid="{00000000-0005-0000-0000-0000DC070000}"/>
    <cellStyle name="Financiero 3" xfId="14159" xr:uid="{02A84F02-7F72-45A8-917C-1F84D5E42C75}"/>
    <cellStyle name="Financiero_1.2.b" xfId="16098" xr:uid="{561A2ECB-E231-46D0-8B0B-947ED83E8EF5}"/>
    <cellStyle name="Fixed" xfId="6" xr:uid="{00000000-0005-0000-0000-0000DD070000}"/>
    <cellStyle name="Fixed 2" xfId="14160" xr:uid="{BD8876B2-B401-4450-A758-03B5990F6009}"/>
    <cellStyle name="Fixed_1.2.b" xfId="16099" xr:uid="{782E8FAC-1952-4422-97E0-CE1987AC5683}"/>
    <cellStyle name="Good 2" xfId="18298" xr:uid="{C7F585CC-A89F-4BA3-90DC-3FAEEC5E4DEC}"/>
    <cellStyle name="Heading 1 2" xfId="18294" xr:uid="{F4AAE628-4601-442E-8B6E-F444DAC4B0BE}"/>
    <cellStyle name="Heading 2" xfId="31" xr:uid="{F0579CA2-B974-47DC-BEE2-64F980B542F0}"/>
    <cellStyle name="Heading 2 2" xfId="18295" xr:uid="{6493ACDC-EE49-4A4D-882C-14C0796E3C48}"/>
    <cellStyle name="Heading 3" xfId="32" xr:uid="{65141ACB-E1ED-4BA5-BF9D-D8ED6B4A8915}"/>
    <cellStyle name="Heading 3 2" xfId="18296" xr:uid="{A8AF297B-EB8D-40D3-B50A-19F83E6CAD1D}"/>
    <cellStyle name="Heading 4 2" xfId="18297" xr:uid="{5F612B40-0370-4DC7-8179-6F7859AECE6D}"/>
    <cellStyle name="Heading1" xfId="7" xr:uid="{00000000-0005-0000-0000-0000DE070000}"/>
    <cellStyle name="Heading1 2" xfId="14164" xr:uid="{27F5757D-151A-400F-82EB-B9CCDFB80F3F}"/>
    <cellStyle name="Heading1_1.2.b" xfId="16100" xr:uid="{DD2A0CD6-6206-4157-AD91-B7CB4D7923B1}"/>
    <cellStyle name="Heading2" xfId="8" xr:uid="{00000000-0005-0000-0000-0000DF070000}"/>
    <cellStyle name="Heading2 2" xfId="14165" xr:uid="{00B15700-B220-4DA7-9C5D-FA2C3E35455C}"/>
    <cellStyle name="Heading2_1.2.b" xfId="16101" xr:uid="{005669AD-0DA7-4592-AE3E-F765FAE37463}"/>
    <cellStyle name="Hipervínculo" xfId="9" builtinId="8"/>
    <cellStyle name="Hipervínculo 10" xfId="18122" xr:uid="{E19D2439-9000-4ED8-8A51-B4158404812B}"/>
    <cellStyle name="Hipervínculo 2" xfId="88" xr:uid="{00000000-0005-0000-0000-0000E1070000}"/>
    <cellStyle name="Hipervínculo 2 2" xfId="4122" xr:uid="{00000000-0005-0000-0000-0000E2070000}"/>
    <cellStyle name="Hipervínculo 2 2 2" xfId="14167" xr:uid="{E84BCC86-D45D-4AEA-9C56-F199E9B44771}"/>
    <cellStyle name="Hipervínculo 2 2_1.2.b" xfId="16103" xr:uid="{B74B6CA1-3EB6-494A-97AF-BDCF113F581D}"/>
    <cellStyle name="Hipervínculo 2 3" xfId="1004" xr:uid="{00000000-0005-0000-0000-0000E3070000}"/>
    <cellStyle name="Hipervínculo 2 3 2" xfId="14168" xr:uid="{449420CD-C20C-4F52-99B8-96D69159EE5A}"/>
    <cellStyle name="Hipervínculo 2 3_1.2.b" xfId="16104" xr:uid="{032CDB33-9774-49FE-A1BE-67D255FBF11B}"/>
    <cellStyle name="Hipervínculo 2 4" xfId="9895" xr:uid="{00000000-0005-0000-0000-0000E4070000}"/>
    <cellStyle name="Hipervínculo 2 5" xfId="12395" xr:uid="{00000000-0005-0000-0000-0000E5070000}"/>
    <cellStyle name="Hipervínculo 2 6" xfId="14166" xr:uid="{1621F6D7-2006-454B-8FFA-8A6190DD33A6}"/>
    <cellStyle name="Hipervínculo 2_1.2.b" xfId="16102" xr:uid="{3693B515-E5B6-4E35-8A1B-1F97FF23DA99}"/>
    <cellStyle name="Hipervínculo 3" xfId="9863" xr:uid="{00000000-0005-0000-0000-0000E6070000}"/>
    <cellStyle name="Hipervínculo 4" xfId="10593" xr:uid="{00000000-0005-0000-0000-0000E7070000}"/>
    <cellStyle name="Hipervínculo 5" xfId="10613" xr:uid="{00000000-0005-0000-0000-0000E8070000}"/>
    <cellStyle name="Hipervínculo 6" xfId="12388" xr:uid="{00000000-0005-0000-0000-0000E9070000}"/>
    <cellStyle name="Hipervínculo 7" xfId="12392" xr:uid="{00000000-0005-0000-0000-0000EA070000}"/>
    <cellStyle name="Hipervínculo 8" xfId="12394" xr:uid="{00000000-0005-0000-0000-0000EB070000}"/>
    <cellStyle name="Hipervínculo 9" xfId="16504" xr:uid="{8BA7B68F-462D-4F73-9307-597EBA028ED2}"/>
    <cellStyle name="Hyperlink 2" xfId="9896" xr:uid="{00000000-0005-0000-0000-0000EC070000}"/>
    <cellStyle name="Incorrecto 2" xfId="9897" xr:uid="{00000000-0005-0000-0000-0000EE070000}"/>
    <cellStyle name="Incorrecto 2 2" xfId="14169" xr:uid="{F00D02CD-D371-4229-BAF2-C9380EF9888A}"/>
    <cellStyle name="Incorrecto 2 2 2" xfId="14170" xr:uid="{95BE145D-EA86-4A22-BB78-06DE9BBAD795}"/>
    <cellStyle name="Incorrecto 2 2 3" xfId="14171" xr:uid="{319BB09E-54C6-40FF-8E9A-CE8200F37FA9}"/>
    <cellStyle name="Incorrecto 2 2 4" xfId="14172" xr:uid="{519D3BC3-2AF3-4CE9-B271-A143248262AA}"/>
    <cellStyle name="Incorrecto 2 3" xfId="14173" xr:uid="{FD696803-4DEE-443F-8F26-15A6FF707A6D}"/>
    <cellStyle name="Incorrecto 2 4" xfId="14174" xr:uid="{3A434E81-2C51-44AD-996F-25C2C8479541}"/>
    <cellStyle name="Incorrecto 2 5" xfId="14175" xr:uid="{4F83D769-8601-4A34-A0AA-4E2824A48394}"/>
    <cellStyle name="Incorrecto 2 6" xfId="14176" xr:uid="{57372A8F-B7B6-4B09-A767-E3F0253BBB48}"/>
    <cellStyle name="Incorrecto 2 7" xfId="14177" xr:uid="{1A94B9D5-F995-4FCF-A999-F0D709027717}"/>
    <cellStyle name="Incorrecto 2 8" xfId="14178" xr:uid="{EC4B01A5-8D7D-4485-85B7-9A54254976A4}"/>
    <cellStyle name="Incorrecto 3" xfId="14179" xr:uid="{43DBEE68-178E-49AE-BC2B-3F7A67A7518D}"/>
    <cellStyle name="Incorrecto 3 2" xfId="14180" xr:uid="{11D3C3AF-6C29-4D06-B324-A968C5E52A66}"/>
    <cellStyle name="Incorrecto 3 3" xfId="14181" xr:uid="{EEA98EE9-414D-4D1A-88CC-C3571460A17E}"/>
    <cellStyle name="Incorrecto 3_1.2.b" xfId="16105" xr:uid="{0F3C250D-88AB-49AD-95D9-B58A4BB2DF5B}"/>
    <cellStyle name="Incorrecto 4" xfId="14182" xr:uid="{FCE55D07-3A09-4F39-931E-3DF5ACEFD9EA}"/>
    <cellStyle name="Incorrecto 5" xfId="14183" xr:uid="{CB55949D-63C8-4825-BE11-107D5DBC1110}"/>
    <cellStyle name="Incorrecto 6" xfId="14184" xr:uid="{9FC08B4C-0726-4D8A-892F-24A03CDEC3FA}"/>
    <cellStyle name="Input 2" xfId="18301" xr:uid="{BA60E42C-B3E2-4007-A2D8-29EB62C22A87}"/>
    <cellStyle name="Linked Cell 2" xfId="18304" xr:uid="{E548B148-CA21-4F38-8B61-64A00D02C4D4}"/>
    <cellStyle name="lllllllllllllllllllllll" xfId="18357" xr:uid="{38CDC0A3-DB83-4444-A68C-8A48B7BD3D05}"/>
    <cellStyle name="Millares 10" xfId="1005" xr:uid="{00000000-0005-0000-0000-0000F0070000}"/>
    <cellStyle name="Millares 10 2" xfId="4169" xr:uid="{00000000-0005-0000-0000-0000F1070000}"/>
    <cellStyle name="Millares 10 2 2" xfId="10982" xr:uid="{00000000-0005-0000-0000-0000F2070000}"/>
    <cellStyle name="Millares 10 3" xfId="10736" xr:uid="{00000000-0005-0000-0000-0000F3070000}"/>
    <cellStyle name="Millares 11" xfId="1006" xr:uid="{00000000-0005-0000-0000-0000F4070000}"/>
    <cellStyle name="Millares 11 2" xfId="4287" xr:uid="{00000000-0005-0000-0000-0000F5070000}"/>
    <cellStyle name="Millares 11 2 2" xfId="11096" xr:uid="{00000000-0005-0000-0000-0000F6070000}"/>
    <cellStyle name="Millares 12" xfId="1007" xr:uid="{00000000-0005-0000-0000-0000F7070000}"/>
    <cellStyle name="Millares 12 2" xfId="4286" xr:uid="{00000000-0005-0000-0000-0000F8070000}"/>
    <cellStyle name="Millares 12 2 2" xfId="11095" xr:uid="{00000000-0005-0000-0000-0000F9070000}"/>
    <cellStyle name="Millares 13" xfId="1008" xr:uid="{00000000-0005-0000-0000-0000FA070000}"/>
    <cellStyle name="Millares 13 2" xfId="4288" xr:uid="{00000000-0005-0000-0000-0000FB070000}"/>
    <cellStyle name="Millares 13 2 2" xfId="11097" xr:uid="{00000000-0005-0000-0000-0000FC070000}"/>
    <cellStyle name="Millares 14" xfId="1009" xr:uid="{00000000-0005-0000-0000-0000FD070000}"/>
    <cellStyle name="Millares 14 2" xfId="4304" xr:uid="{00000000-0005-0000-0000-0000FE070000}"/>
    <cellStyle name="Millares 14 2 2" xfId="11113" xr:uid="{00000000-0005-0000-0000-0000FF070000}"/>
    <cellStyle name="Millares 15" xfId="1010" xr:uid="{00000000-0005-0000-0000-000000080000}"/>
    <cellStyle name="Millares 15 2" xfId="4302" xr:uid="{00000000-0005-0000-0000-000001080000}"/>
    <cellStyle name="Millares 15 2 2" xfId="11111" xr:uid="{00000000-0005-0000-0000-000002080000}"/>
    <cellStyle name="Millares 15 3" xfId="9935" xr:uid="{00000000-0005-0000-0000-000003080000}"/>
    <cellStyle name="Millares 15 3 2" xfId="11671" xr:uid="{00000000-0005-0000-0000-000004080000}"/>
    <cellStyle name="Millares 15 4" xfId="10737" xr:uid="{00000000-0005-0000-0000-000005080000}"/>
    <cellStyle name="Millares 16" xfId="1011" xr:uid="{00000000-0005-0000-0000-000006080000}"/>
    <cellStyle name="Millares 16 2" xfId="4300" xr:uid="{00000000-0005-0000-0000-000007080000}"/>
    <cellStyle name="Millares 16 2 2" xfId="11109" xr:uid="{00000000-0005-0000-0000-000008080000}"/>
    <cellStyle name="Millares 16 3" xfId="9936" xr:uid="{00000000-0005-0000-0000-000009080000}"/>
    <cellStyle name="Millares 16 3 2" xfId="11672" xr:uid="{00000000-0005-0000-0000-00000A080000}"/>
    <cellStyle name="Millares 16 4" xfId="10738" xr:uid="{00000000-0005-0000-0000-00000B080000}"/>
    <cellStyle name="Millares 17" xfId="1012" xr:uid="{00000000-0005-0000-0000-00000C080000}"/>
    <cellStyle name="Millares 17 2" xfId="4305" xr:uid="{00000000-0005-0000-0000-00000D080000}"/>
    <cellStyle name="Millares 17 2 2" xfId="11114" xr:uid="{00000000-0005-0000-0000-00000E080000}"/>
    <cellStyle name="Millares 17 3" xfId="9937" xr:uid="{00000000-0005-0000-0000-00000F080000}"/>
    <cellStyle name="Millares 17 3 2" xfId="11673" xr:uid="{00000000-0005-0000-0000-000010080000}"/>
    <cellStyle name="Millares 17 4" xfId="10739" xr:uid="{00000000-0005-0000-0000-000011080000}"/>
    <cellStyle name="Millares 18" xfId="4306" xr:uid="{00000000-0005-0000-0000-000012080000}"/>
    <cellStyle name="Millares 18 2" xfId="11115" xr:uid="{00000000-0005-0000-0000-000013080000}"/>
    <cellStyle name="Millares 19" xfId="4309" xr:uid="{00000000-0005-0000-0000-000014080000}"/>
    <cellStyle name="Millares 19 2" xfId="11117" xr:uid="{00000000-0005-0000-0000-000015080000}"/>
    <cellStyle name="Millares 2" xfId="26" xr:uid="{00000000-0005-0000-0000-000016080000}"/>
    <cellStyle name="Millares 2 10" xfId="1014" xr:uid="{00000000-0005-0000-0000-000017080000}"/>
    <cellStyle name="Millares 2 10 2" xfId="7584" xr:uid="{00000000-0005-0000-0000-000018080000}"/>
    <cellStyle name="Millares 2 10 2 2" xfId="11251" xr:uid="{00000000-0005-0000-0000-000019080000}"/>
    <cellStyle name="Millares 2 10 3" xfId="10741" xr:uid="{00000000-0005-0000-0000-00001A080000}"/>
    <cellStyle name="Millares 2 100" xfId="18282" xr:uid="{9A9BEC50-79FB-4D65-B125-246C05AD1368}"/>
    <cellStyle name="Millares 2 101" xfId="18358" xr:uid="{F9413DDE-566D-4F15-9A53-B2D922570752}"/>
    <cellStyle name="Millares 2 11" xfId="1015" xr:uid="{00000000-0005-0000-0000-00001B080000}"/>
    <cellStyle name="Millares 2 11 2" xfId="7585" xr:uid="{00000000-0005-0000-0000-00001C080000}"/>
    <cellStyle name="Millares 2 11 2 2" xfId="11252" xr:uid="{00000000-0005-0000-0000-00001D080000}"/>
    <cellStyle name="Millares 2 11 3" xfId="10742" xr:uid="{00000000-0005-0000-0000-00001E080000}"/>
    <cellStyle name="Millares 2 12" xfId="1016" xr:uid="{00000000-0005-0000-0000-00001F080000}"/>
    <cellStyle name="Millares 2 12 2" xfId="7586" xr:uid="{00000000-0005-0000-0000-000020080000}"/>
    <cellStyle name="Millares 2 12 2 2" xfId="11253" xr:uid="{00000000-0005-0000-0000-000021080000}"/>
    <cellStyle name="Millares 2 12 3" xfId="10743" xr:uid="{00000000-0005-0000-0000-000022080000}"/>
    <cellStyle name="Millares 2 13" xfId="1017" xr:uid="{00000000-0005-0000-0000-000023080000}"/>
    <cellStyle name="Millares 2 13 2" xfId="7587" xr:uid="{00000000-0005-0000-0000-000024080000}"/>
    <cellStyle name="Millares 2 13 2 2" xfId="11254" xr:uid="{00000000-0005-0000-0000-000025080000}"/>
    <cellStyle name="Millares 2 13 3" xfId="10744" xr:uid="{00000000-0005-0000-0000-000026080000}"/>
    <cellStyle name="Millares 2 14" xfId="1018" xr:uid="{00000000-0005-0000-0000-000027080000}"/>
    <cellStyle name="Millares 2 14 2" xfId="7588" xr:uid="{00000000-0005-0000-0000-000028080000}"/>
    <cellStyle name="Millares 2 14 2 2" xfId="11255" xr:uid="{00000000-0005-0000-0000-000029080000}"/>
    <cellStyle name="Millares 2 14 3" xfId="10745" xr:uid="{00000000-0005-0000-0000-00002A080000}"/>
    <cellStyle name="Millares 2 15" xfId="1019" xr:uid="{00000000-0005-0000-0000-00002B080000}"/>
    <cellStyle name="Millares 2 15 2" xfId="7589" xr:uid="{00000000-0005-0000-0000-00002C080000}"/>
    <cellStyle name="Millares 2 15 2 2" xfId="11256" xr:uid="{00000000-0005-0000-0000-00002D080000}"/>
    <cellStyle name="Millares 2 15 3" xfId="10746" xr:uid="{00000000-0005-0000-0000-00002E080000}"/>
    <cellStyle name="Millares 2 16" xfId="1020" xr:uid="{00000000-0005-0000-0000-00002F080000}"/>
    <cellStyle name="Millares 2 16 2" xfId="7590" xr:uid="{00000000-0005-0000-0000-000030080000}"/>
    <cellStyle name="Millares 2 16 2 2" xfId="11257" xr:uid="{00000000-0005-0000-0000-000031080000}"/>
    <cellStyle name="Millares 2 16 3" xfId="10747" xr:uid="{00000000-0005-0000-0000-000032080000}"/>
    <cellStyle name="Millares 2 17" xfId="1021" xr:uid="{00000000-0005-0000-0000-000033080000}"/>
    <cellStyle name="Millares 2 17 2" xfId="7591" xr:uid="{00000000-0005-0000-0000-000034080000}"/>
    <cellStyle name="Millares 2 17 2 2" xfId="11258" xr:uid="{00000000-0005-0000-0000-000035080000}"/>
    <cellStyle name="Millares 2 17 3" xfId="10748" xr:uid="{00000000-0005-0000-0000-000036080000}"/>
    <cellStyle name="Millares 2 18" xfId="1022" xr:uid="{00000000-0005-0000-0000-000037080000}"/>
    <cellStyle name="Millares 2 18 2" xfId="7592" xr:uid="{00000000-0005-0000-0000-000038080000}"/>
    <cellStyle name="Millares 2 18 2 2" xfId="11259" xr:uid="{00000000-0005-0000-0000-000039080000}"/>
    <cellStyle name="Millares 2 18 3" xfId="10749" xr:uid="{00000000-0005-0000-0000-00003A080000}"/>
    <cellStyle name="Millares 2 19" xfId="1023" xr:uid="{00000000-0005-0000-0000-00003B080000}"/>
    <cellStyle name="Millares 2 19 2" xfId="7593" xr:uid="{00000000-0005-0000-0000-00003C080000}"/>
    <cellStyle name="Millares 2 19 2 2" xfId="11260" xr:uid="{00000000-0005-0000-0000-00003D080000}"/>
    <cellStyle name="Millares 2 19 3" xfId="10750" xr:uid="{00000000-0005-0000-0000-00003E080000}"/>
    <cellStyle name="Millares 2 2" xfId="89" xr:uid="{00000000-0005-0000-0000-00003F080000}"/>
    <cellStyle name="Millares 2 2 10" xfId="1025" xr:uid="{00000000-0005-0000-0000-000040080000}"/>
    <cellStyle name="Millares 2 2 10 2" xfId="5120" xr:uid="{00000000-0005-0000-0000-000041080000}"/>
    <cellStyle name="Millares 2 2 10 2 2" xfId="11164" xr:uid="{00000000-0005-0000-0000-000042080000}"/>
    <cellStyle name="Millares 2 2 10 3" xfId="7594" xr:uid="{00000000-0005-0000-0000-000043080000}"/>
    <cellStyle name="Millares 2 2 10 3 2" xfId="11261" xr:uid="{00000000-0005-0000-0000-000044080000}"/>
    <cellStyle name="Millares 2 2 10 4" xfId="10752" xr:uid="{00000000-0005-0000-0000-000045080000}"/>
    <cellStyle name="Millares 2 2 11" xfId="1026" xr:uid="{00000000-0005-0000-0000-000046080000}"/>
    <cellStyle name="Millares 2 2 11 2" xfId="5121" xr:uid="{00000000-0005-0000-0000-000047080000}"/>
    <cellStyle name="Millares 2 2 11 2 2" xfId="11165" xr:uid="{00000000-0005-0000-0000-000048080000}"/>
    <cellStyle name="Millares 2 2 11 3" xfId="7595" xr:uid="{00000000-0005-0000-0000-000049080000}"/>
    <cellStyle name="Millares 2 2 11 3 2" xfId="11262" xr:uid="{00000000-0005-0000-0000-00004A080000}"/>
    <cellStyle name="Millares 2 2 11 4" xfId="10753" xr:uid="{00000000-0005-0000-0000-00004B080000}"/>
    <cellStyle name="Millares 2 2 12" xfId="1027" xr:uid="{00000000-0005-0000-0000-00004C080000}"/>
    <cellStyle name="Millares 2 2 12 2" xfId="5122" xr:uid="{00000000-0005-0000-0000-00004D080000}"/>
    <cellStyle name="Millares 2 2 12 2 2" xfId="11166" xr:uid="{00000000-0005-0000-0000-00004E080000}"/>
    <cellStyle name="Millares 2 2 12 3" xfId="7596" xr:uid="{00000000-0005-0000-0000-00004F080000}"/>
    <cellStyle name="Millares 2 2 12 3 2" xfId="11263" xr:uid="{00000000-0005-0000-0000-000050080000}"/>
    <cellStyle name="Millares 2 2 12 4" xfId="10754" xr:uid="{00000000-0005-0000-0000-000051080000}"/>
    <cellStyle name="Millares 2 2 13" xfId="1028" xr:uid="{00000000-0005-0000-0000-000052080000}"/>
    <cellStyle name="Millares 2 2 13 2" xfId="5123" xr:uid="{00000000-0005-0000-0000-000053080000}"/>
    <cellStyle name="Millares 2 2 13 2 2" xfId="11167" xr:uid="{00000000-0005-0000-0000-000054080000}"/>
    <cellStyle name="Millares 2 2 13 3" xfId="7597" xr:uid="{00000000-0005-0000-0000-000055080000}"/>
    <cellStyle name="Millares 2 2 13 3 2" xfId="11264" xr:uid="{00000000-0005-0000-0000-000056080000}"/>
    <cellStyle name="Millares 2 2 13 4" xfId="10755" xr:uid="{00000000-0005-0000-0000-000057080000}"/>
    <cellStyle name="Millares 2 2 14" xfId="1029" xr:uid="{00000000-0005-0000-0000-000058080000}"/>
    <cellStyle name="Millares 2 2 14 2" xfId="5124" xr:uid="{00000000-0005-0000-0000-000059080000}"/>
    <cellStyle name="Millares 2 2 14 2 2" xfId="11168" xr:uid="{00000000-0005-0000-0000-00005A080000}"/>
    <cellStyle name="Millares 2 2 14 3" xfId="7598" xr:uid="{00000000-0005-0000-0000-00005B080000}"/>
    <cellStyle name="Millares 2 2 14 3 2" xfId="11265" xr:uid="{00000000-0005-0000-0000-00005C080000}"/>
    <cellStyle name="Millares 2 2 14 4" xfId="10756" xr:uid="{00000000-0005-0000-0000-00005D080000}"/>
    <cellStyle name="Millares 2 2 15" xfId="1030" xr:uid="{00000000-0005-0000-0000-00005E080000}"/>
    <cellStyle name="Millares 2 2 15 2" xfId="5125" xr:uid="{00000000-0005-0000-0000-00005F080000}"/>
    <cellStyle name="Millares 2 2 15 2 2" xfId="11169" xr:uid="{00000000-0005-0000-0000-000060080000}"/>
    <cellStyle name="Millares 2 2 15 3" xfId="7599" xr:uid="{00000000-0005-0000-0000-000061080000}"/>
    <cellStyle name="Millares 2 2 15 3 2" xfId="11266" xr:uid="{00000000-0005-0000-0000-000062080000}"/>
    <cellStyle name="Millares 2 2 15 4" xfId="10757" xr:uid="{00000000-0005-0000-0000-000063080000}"/>
    <cellStyle name="Millares 2 2 16" xfId="1031" xr:uid="{00000000-0005-0000-0000-000064080000}"/>
    <cellStyle name="Millares 2 2 16 2" xfId="5126" xr:uid="{00000000-0005-0000-0000-000065080000}"/>
    <cellStyle name="Millares 2 2 16 2 2" xfId="11170" xr:uid="{00000000-0005-0000-0000-000066080000}"/>
    <cellStyle name="Millares 2 2 16 3" xfId="7600" xr:uid="{00000000-0005-0000-0000-000067080000}"/>
    <cellStyle name="Millares 2 2 16 3 2" xfId="11267" xr:uid="{00000000-0005-0000-0000-000068080000}"/>
    <cellStyle name="Millares 2 2 16 4" xfId="10758" xr:uid="{00000000-0005-0000-0000-000069080000}"/>
    <cellStyle name="Millares 2 2 17" xfId="1032" xr:uid="{00000000-0005-0000-0000-00006A080000}"/>
    <cellStyle name="Millares 2 2 17 2" xfId="5127" xr:uid="{00000000-0005-0000-0000-00006B080000}"/>
    <cellStyle name="Millares 2 2 17 2 2" xfId="11171" xr:uid="{00000000-0005-0000-0000-00006C080000}"/>
    <cellStyle name="Millares 2 2 17 3" xfId="7601" xr:uid="{00000000-0005-0000-0000-00006D080000}"/>
    <cellStyle name="Millares 2 2 17 3 2" xfId="11268" xr:uid="{00000000-0005-0000-0000-00006E080000}"/>
    <cellStyle name="Millares 2 2 17 4" xfId="10759" xr:uid="{00000000-0005-0000-0000-00006F080000}"/>
    <cellStyle name="Millares 2 2 18" xfId="1033" xr:uid="{00000000-0005-0000-0000-000070080000}"/>
    <cellStyle name="Millares 2 2 18 2" xfId="5128" xr:uid="{00000000-0005-0000-0000-000071080000}"/>
    <cellStyle name="Millares 2 2 18 2 2" xfId="11172" xr:uid="{00000000-0005-0000-0000-000072080000}"/>
    <cellStyle name="Millares 2 2 18 3" xfId="7602" xr:uid="{00000000-0005-0000-0000-000073080000}"/>
    <cellStyle name="Millares 2 2 18 3 2" xfId="11269" xr:uid="{00000000-0005-0000-0000-000074080000}"/>
    <cellStyle name="Millares 2 2 18 4" xfId="10760" xr:uid="{00000000-0005-0000-0000-000075080000}"/>
    <cellStyle name="Millares 2 2 19" xfId="1034" xr:uid="{00000000-0005-0000-0000-000076080000}"/>
    <cellStyle name="Millares 2 2 19 2" xfId="5129" xr:uid="{00000000-0005-0000-0000-000077080000}"/>
    <cellStyle name="Millares 2 2 19 2 2" xfId="11173" xr:uid="{00000000-0005-0000-0000-000078080000}"/>
    <cellStyle name="Millares 2 2 19 3" xfId="7603" xr:uid="{00000000-0005-0000-0000-000079080000}"/>
    <cellStyle name="Millares 2 2 19 3 2" xfId="11270" xr:uid="{00000000-0005-0000-0000-00007A080000}"/>
    <cellStyle name="Millares 2 2 19 4" xfId="10761" xr:uid="{00000000-0005-0000-0000-00007B080000}"/>
    <cellStyle name="Millares 2 2 2" xfId="1035" xr:uid="{00000000-0005-0000-0000-00007C080000}"/>
    <cellStyle name="Millares 2 2 2 2" xfId="4133" xr:uid="{00000000-0005-0000-0000-00007D080000}"/>
    <cellStyle name="Millares 2 2 2 2 2" xfId="4261" xr:uid="{00000000-0005-0000-0000-00007E080000}"/>
    <cellStyle name="Millares 2 2 2 2 2 2" xfId="9696" xr:uid="{00000000-0005-0000-0000-00007F080000}"/>
    <cellStyle name="Millares 2 2 2 2 2 2 2" xfId="10397" xr:uid="{00000000-0005-0000-0000-000080080000}"/>
    <cellStyle name="Millares 2 2 2 2 2 2 2 2" xfId="12132" xr:uid="{00000000-0005-0000-0000-000081080000}"/>
    <cellStyle name="Millares 2 2 2 2 2 2 2 2 2" xfId="20881" xr:uid="{EFC2B837-E20C-42F3-BB93-D74F4A0D7A0F}"/>
    <cellStyle name="Millares 2 2 2 2 2 2 2 3" xfId="19518" xr:uid="{91A4CD8E-ECF0-4650-8BF1-819DAE2402CA}"/>
    <cellStyle name="Millares 2 2 2 2 2 2 3" xfId="11485" xr:uid="{00000000-0005-0000-0000-000082080000}"/>
    <cellStyle name="Millares 2 2 2 2 2 2 3 2" xfId="20254" xr:uid="{55A29E56-1E31-467D-9798-E00039397B00}"/>
    <cellStyle name="Millares 2 2 2 2 2 2 4" xfId="18886" xr:uid="{CE1EBEBC-CFA7-4B90-9845-BA680FF4E892}"/>
    <cellStyle name="Millares 2 2 2 2 2 3" xfId="10100" xr:uid="{00000000-0005-0000-0000-000083080000}"/>
    <cellStyle name="Millares 2 2 2 2 2 3 2" xfId="11836" xr:uid="{00000000-0005-0000-0000-000084080000}"/>
    <cellStyle name="Millares 2 2 2 2 2 3 2 2" xfId="20592" xr:uid="{395AB7CA-BBC0-46AD-946F-C4F518EF3DBB}"/>
    <cellStyle name="Millares 2 2 2 2 2 3 3" xfId="19229" xr:uid="{B9D376F5-993E-47AD-9CA6-71E2F4BB3AE4}"/>
    <cellStyle name="Millares 2 2 2 2 2 4" xfId="11072" xr:uid="{00000000-0005-0000-0000-000085080000}"/>
    <cellStyle name="Millares 2 2 2 2 2 4 2" xfId="19977" xr:uid="{42D518F4-7044-4AE9-8BD3-7B6919AD09B5}"/>
    <cellStyle name="Millares 2 2 2 2 2 5" xfId="14766" xr:uid="{AC76128E-BCB4-4224-8937-027D4C0A3359}"/>
    <cellStyle name="Millares 2 2 2 2 2 5 2" xfId="22762" xr:uid="{FE07771C-5723-4729-B64B-4F3B284FEF51}"/>
    <cellStyle name="Millares 2 2 2 2 2 6" xfId="18143" xr:uid="{D56D2B89-6892-4E31-86CF-8FAE84A3F456}"/>
    <cellStyle name="Millares 2 2 2 2 2 6 2" xfId="24349" xr:uid="{085E4D21-E621-426A-A893-744A8821D873}"/>
    <cellStyle name="Millares 2 2 2 2 2 7" xfId="18609" xr:uid="{C62644A9-427E-453F-A6D8-BDDE0904FC1F}"/>
    <cellStyle name="Millares 2 2 2 2 2_1.2.b" xfId="16109" xr:uid="{90813908-93D6-4450-8DE0-681E7EDDBC13}"/>
    <cellStyle name="Millares 2 2 2 2 3" xfId="9593" xr:uid="{00000000-0005-0000-0000-000086080000}"/>
    <cellStyle name="Millares 2 2 2 2 3 2" xfId="10295" xr:uid="{00000000-0005-0000-0000-000087080000}"/>
    <cellStyle name="Millares 2 2 2 2 3 2 2" xfId="12030" xr:uid="{00000000-0005-0000-0000-000088080000}"/>
    <cellStyle name="Millares 2 2 2 2 3 2 2 2" xfId="20779" xr:uid="{7AD7AEA9-A529-4E8E-8101-5386ECEB8960}"/>
    <cellStyle name="Millares 2 2 2 2 3 2 3" xfId="19416" xr:uid="{65296791-8A87-43FB-9633-405297F217C1}"/>
    <cellStyle name="Millares 2 2 2 2 3 3" xfId="11383" xr:uid="{00000000-0005-0000-0000-000089080000}"/>
    <cellStyle name="Millares 2 2 2 2 3 3 2" xfId="20152" xr:uid="{F9C36036-8533-4A4F-8AE5-D10309B0D82C}"/>
    <cellStyle name="Millares 2 2 2 2 3 4" xfId="18784" xr:uid="{BC1E4E5B-3198-4316-AD87-01BC646189EE}"/>
    <cellStyle name="Millares 2 2 2 2 4" xfId="9998" xr:uid="{00000000-0005-0000-0000-00008A080000}"/>
    <cellStyle name="Millares 2 2 2 2 4 2" xfId="11734" xr:uid="{00000000-0005-0000-0000-00008B080000}"/>
    <cellStyle name="Millares 2 2 2 2 4 2 2" xfId="20490" xr:uid="{563FD473-4DDC-4B05-8FFA-F0B0BC81597E}"/>
    <cellStyle name="Millares 2 2 2 2 4 3" xfId="19127" xr:uid="{1B1C86F8-B33C-49EC-B133-F078679A458B}"/>
    <cellStyle name="Millares 2 2 2 2 5" xfId="10960" xr:uid="{00000000-0005-0000-0000-00008C080000}"/>
    <cellStyle name="Millares 2 2 2 2 5 2" xfId="19875" xr:uid="{99696FBC-329D-43CD-9E10-AF9A8944FE5B}"/>
    <cellStyle name="Millares 2 2 2 2 6" xfId="14715" xr:uid="{B25119F8-FF7E-494C-A56B-000A0CB75ADA}"/>
    <cellStyle name="Millares 2 2 2 2 6 2" xfId="22743" xr:uid="{7A4A3468-C691-40D2-A6D8-18440666C260}"/>
    <cellStyle name="Millares 2 2 2 2 7" xfId="18129" xr:uid="{F16437BF-6C57-4C6A-A313-A2C95527CFE5}"/>
    <cellStyle name="Millares 2 2 2 2 7 2" xfId="24337" xr:uid="{C338171B-5244-4C5A-8086-612A8263073C}"/>
    <cellStyle name="Millares 2 2 2 2 8" xfId="18507" xr:uid="{02EACE68-BCDF-48A9-A430-3120E17A5DCB}"/>
    <cellStyle name="Millares 2 2 2 2_1.2.b" xfId="16108" xr:uid="{FEAC433E-B114-4690-9164-65B57C3D422B}"/>
    <cellStyle name="Millares 2 2 2 3" xfId="4210" xr:uid="{00000000-0005-0000-0000-00008D080000}"/>
    <cellStyle name="Millares 2 2 2 3 2" xfId="9645" xr:uid="{00000000-0005-0000-0000-00008E080000}"/>
    <cellStyle name="Millares 2 2 2 3 2 2" xfId="10346" xr:uid="{00000000-0005-0000-0000-00008F080000}"/>
    <cellStyle name="Millares 2 2 2 3 2 2 2" xfId="12081" xr:uid="{00000000-0005-0000-0000-000090080000}"/>
    <cellStyle name="Millares 2 2 2 3 2 2 2 2" xfId="20830" xr:uid="{883B983F-E816-4B01-8DD2-F1654CD9363D}"/>
    <cellStyle name="Millares 2 2 2 3 2 2 3" xfId="19467" xr:uid="{768D3D4C-CC63-4E85-91AF-6B71A435E1A6}"/>
    <cellStyle name="Millares 2 2 2 3 2 3" xfId="11434" xr:uid="{00000000-0005-0000-0000-000091080000}"/>
    <cellStyle name="Millares 2 2 2 3 2 3 2" xfId="20203" xr:uid="{59623AF0-A65C-461E-93C6-DA6BB8DAEACD}"/>
    <cellStyle name="Millares 2 2 2 3 2 4" xfId="18835" xr:uid="{6ACF3FC5-0F3C-4B23-A98A-CAD19F732C53}"/>
    <cellStyle name="Millares 2 2 2 3 3" xfId="10049" xr:uid="{00000000-0005-0000-0000-000092080000}"/>
    <cellStyle name="Millares 2 2 2 3 3 2" xfId="11785" xr:uid="{00000000-0005-0000-0000-000093080000}"/>
    <cellStyle name="Millares 2 2 2 3 3 2 2" xfId="20541" xr:uid="{D6485CD3-6326-4E06-9564-7D938B9E3E82}"/>
    <cellStyle name="Millares 2 2 2 3 3 3" xfId="19178" xr:uid="{AAD2A128-D92B-4F5E-8E36-268B8B26E19F}"/>
    <cellStyle name="Millares 2 2 2 3 4" xfId="11021" xr:uid="{00000000-0005-0000-0000-000094080000}"/>
    <cellStyle name="Millares 2 2 2 3 4 2" xfId="19926" xr:uid="{5DD5D5A6-D5E4-4CDA-AEEF-7E9E37B45DE1}"/>
    <cellStyle name="Millares 2 2 2 3 5" xfId="18558" xr:uid="{F01D3BBF-BDD5-4150-AE86-BBC44C17A5B2}"/>
    <cellStyle name="Millares 2 2 2 4" xfId="4314" xr:uid="{00000000-0005-0000-0000-000095080000}"/>
    <cellStyle name="Millares 2 2 2 4 2" xfId="9730" xr:uid="{00000000-0005-0000-0000-000096080000}"/>
    <cellStyle name="Millares 2 2 2 4 2 2" xfId="10429" xr:uid="{00000000-0005-0000-0000-000097080000}"/>
    <cellStyle name="Millares 2 2 2 4 2 2 2" xfId="12164" xr:uid="{00000000-0005-0000-0000-000098080000}"/>
    <cellStyle name="Millares 2 2 2 4 2 2 2 2" xfId="20913" xr:uid="{7596D040-7029-430F-8FFB-5A3ADD88D39D}"/>
    <cellStyle name="Millares 2 2 2 4 2 2 3" xfId="19550" xr:uid="{8849C43C-8D58-421B-9455-EE88D32BF6C5}"/>
    <cellStyle name="Millares 2 2 2 4 2 3" xfId="11517" xr:uid="{00000000-0005-0000-0000-000099080000}"/>
    <cellStyle name="Millares 2 2 2 4 2 3 2" xfId="20286" xr:uid="{B0B2FF35-0B64-4095-80B3-66B110FD4ECE}"/>
    <cellStyle name="Millares 2 2 2 4 2 4" xfId="18918" xr:uid="{7EC63147-3C21-4992-A4EF-32200DF1B75F}"/>
    <cellStyle name="Millares 2 2 2 4 3" xfId="10132" xr:uid="{00000000-0005-0000-0000-00009A080000}"/>
    <cellStyle name="Millares 2 2 2 4 3 2" xfId="11868" xr:uid="{00000000-0005-0000-0000-00009B080000}"/>
    <cellStyle name="Millares 2 2 2 4 3 2 2" xfId="20624" xr:uid="{45759FBF-CDA7-477C-A693-494CC89C6F3D}"/>
    <cellStyle name="Millares 2 2 2 4 3 3" xfId="19261" xr:uid="{DA994C18-D94B-45BA-9206-B3550D55FB18}"/>
    <cellStyle name="Millares 2 2 2 4 4" xfId="11121" xr:uid="{00000000-0005-0000-0000-00009C080000}"/>
    <cellStyle name="Millares 2 2 2 4 4 2" xfId="20009" xr:uid="{3D7B89E9-5BA8-488B-B908-7EE0CA8E8D59}"/>
    <cellStyle name="Millares 2 2 2 4 5" xfId="18641" xr:uid="{5E531402-649C-48B7-B99C-DA51AB391ED1}"/>
    <cellStyle name="Millares 2 2 2 5" xfId="7604" xr:uid="{00000000-0005-0000-0000-00009D080000}"/>
    <cellStyle name="Millares 2 2 2 5 2" xfId="11271" xr:uid="{00000000-0005-0000-0000-00009E080000}"/>
    <cellStyle name="Millares 2 2 2 6" xfId="10762" xr:uid="{00000000-0005-0000-0000-00009F080000}"/>
    <cellStyle name="Millares 2 2 2 7" xfId="14188" xr:uid="{7BCB8A6D-CCA0-4275-9558-108ED0E002A7}"/>
    <cellStyle name="Millares 2 2 2 7 2" xfId="22412" xr:uid="{D754221E-2E3D-4C01-83C9-89C4CD3FE642}"/>
    <cellStyle name="Millares 2 2 2 8" xfId="17813" xr:uid="{BE9A91FD-542E-4962-975F-BA11CFC32471}"/>
    <cellStyle name="Millares 2 2 2 8 2" xfId="24041" xr:uid="{BAA2904A-971E-43B7-BBCC-3B858352F561}"/>
    <cellStyle name="Millares 2 2 2_1.2.b" xfId="16107" xr:uid="{EBF2E9A8-17EA-4BBE-96CA-E8269644885B}"/>
    <cellStyle name="Millares 2 2 20" xfId="1036" xr:uid="{00000000-0005-0000-0000-0000A0080000}"/>
    <cellStyle name="Millares 2 2 20 2" xfId="5130" xr:uid="{00000000-0005-0000-0000-0000A1080000}"/>
    <cellStyle name="Millares 2 2 20 2 2" xfId="11174" xr:uid="{00000000-0005-0000-0000-0000A2080000}"/>
    <cellStyle name="Millares 2 2 20 3" xfId="7605" xr:uid="{00000000-0005-0000-0000-0000A3080000}"/>
    <cellStyle name="Millares 2 2 20 3 2" xfId="11272" xr:uid="{00000000-0005-0000-0000-0000A4080000}"/>
    <cellStyle name="Millares 2 2 20 4" xfId="10763" xr:uid="{00000000-0005-0000-0000-0000A5080000}"/>
    <cellStyle name="Millares 2 2 21" xfId="1037" xr:uid="{00000000-0005-0000-0000-0000A6080000}"/>
    <cellStyle name="Millares 2 2 21 2" xfId="5131" xr:uid="{00000000-0005-0000-0000-0000A7080000}"/>
    <cellStyle name="Millares 2 2 21 2 2" xfId="11175" xr:uid="{00000000-0005-0000-0000-0000A8080000}"/>
    <cellStyle name="Millares 2 2 21 3" xfId="7606" xr:uid="{00000000-0005-0000-0000-0000A9080000}"/>
    <cellStyle name="Millares 2 2 21 3 2" xfId="11273" xr:uid="{00000000-0005-0000-0000-0000AA080000}"/>
    <cellStyle name="Millares 2 2 21 4" xfId="10764" xr:uid="{00000000-0005-0000-0000-0000AB080000}"/>
    <cellStyle name="Millares 2 2 22" xfId="1038" xr:uid="{00000000-0005-0000-0000-0000AC080000}"/>
    <cellStyle name="Millares 2 2 22 2" xfId="5132" xr:uid="{00000000-0005-0000-0000-0000AD080000}"/>
    <cellStyle name="Millares 2 2 22 2 2" xfId="11176" xr:uid="{00000000-0005-0000-0000-0000AE080000}"/>
    <cellStyle name="Millares 2 2 22 3" xfId="7607" xr:uid="{00000000-0005-0000-0000-0000AF080000}"/>
    <cellStyle name="Millares 2 2 22 3 2" xfId="11274" xr:uid="{00000000-0005-0000-0000-0000B0080000}"/>
    <cellStyle name="Millares 2 2 22 4" xfId="10765" xr:uid="{00000000-0005-0000-0000-0000B1080000}"/>
    <cellStyle name="Millares 2 2 23" xfId="1039" xr:uid="{00000000-0005-0000-0000-0000B2080000}"/>
    <cellStyle name="Millares 2 2 23 2" xfId="5133" xr:uid="{00000000-0005-0000-0000-0000B3080000}"/>
    <cellStyle name="Millares 2 2 23 2 2" xfId="11177" xr:uid="{00000000-0005-0000-0000-0000B4080000}"/>
    <cellStyle name="Millares 2 2 23 3" xfId="7608" xr:uid="{00000000-0005-0000-0000-0000B5080000}"/>
    <cellStyle name="Millares 2 2 23 3 2" xfId="11275" xr:uid="{00000000-0005-0000-0000-0000B6080000}"/>
    <cellStyle name="Millares 2 2 23 4" xfId="10766" xr:uid="{00000000-0005-0000-0000-0000B7080000}"/>
    <cellStyle name="Millares 2 2 24" xfId="1040" xr:uid="{00000000-0005-0000-0000-0000B8080000}"/>
    <cellStyle name="Millares 2 2 24 2" xfId="5134" xr:uid="{00000000-0005-0000-0000-0000B9080000}"/>
    <cellStyle name="Millares 2 2 24 2 2" xfId="11178" xr:uid="{00000000-0005-0000-0000-0000BA080000}"/>
    <cellStyle name="Millares 2 2 24 3" xfId="7609" xr:uid="{00000000-0005-0000-0000-0000BB080000}"/>
    <cellStyle name="Millares 2 2 24 3 2" xfId="11276" xr:uid="{00000000-0005-0000-0000-0000BC080000}"/>
    <cellStyle name="Millares 2 2 24 4" xfId="10767" xr:uid="{00000000-0005-0000-0000-0000BD080000}"/>
    <cellStyle name="Millares 2 2 25" xfId="1041" xr:uid="{00000000-0005-0000-0000-0000BE080000}"/>
    <cellStyle name="Millares 2 2 25 2" xfId="5135" xr:uid="{00000000-0005-0000-0000-0000BF080000}"/>
    <cellStyle name="Millares 2 2 25 2 2" xfId="11179" xr:uid="{00000000-0005-0000-0000-0000C0080000}"/>
    <cellStyle name="Millares 2 2 25 3" xfId="7610" xr:uid="{00000000-0005-0000-0000-0000C1080000}"/>
    <cellStyle name="Millares 2 2 25 3 2" xfId="11277" xr:uid="{00000000-0005-0000-0000-0000C2080000}"/>
    <cellStyle name="Millares 2 2 25 4" xfId="10768" xr:uid="{00000000-0005-0000-0000-0000C3080000}"/>
    <cellStyle name="Millares 2 2 26" xfId="1042" xr:uid="{00000000-0005-0000-0000-0000C4080000}"/>
    <cellStyle name="Millares 2 2 26 2" xfId="5136" xr:uid="{00000000-0005-0000-0000-0000C5080000}"/>
    <cellStyle name="Millares 2 2 26 2 2" xfId="11180" xr:uid="{00000000-0005-0000-0000-0000C6080000}"/>
    <cellStyle name="Millares 2 2 26 3" xfId="7611" xr:uid="{00000000-0005-0000-0000-0000C7080000}"/>
    <cellStyle name="Millares 2 2 26 3 2" xfId="11278" xr:uid="{00000000-0005-0000-0000-0000C8080000}"/>
    <cellStyle name="Millares 2 2 26 4" xfId="10769" xr:uid="{00000000-0005-0000-0000-0000C9080000}"/>
    <cellStyle name="Millares 2 2 27" xfId="1043" xr:uid="{00000000-0005-0000-0000-0000CA080000}"/>
    <cellStyle name="Millares 2 2 27 2" xfId="5137" xr:uid="{00000000-0005-0000-0000-0000CB080000}"/>
    <cellStyle name="Millares 2 2 27 2 2" xfId="11181" xr:uid="{00000000-0005-0000-0000-0000CC080000}"/>
    <cellStyle name="Millares 2 2 27 3" xfId="7612" xr:uid="{00000000-0005-0000-0000-0000CD080000}"/>
    <cellStyle name="Millares 2 2 27 3 2" xfId="11279" xr:uid="{00000000-0005-0000-0000-0000CE080000}"/>
    <cellStyle name="Millares 2 2 27 4" xfId="10770" xr:uid="{00000000-0005-0000-0000-0000CF080000}"/>
    <cellStyle name="Millares 2 2 28" xfId="1044" xr:uid="{00000000-0005-0000-0000-0000D0080000}"/>
    <cellStyle name="Millares 2 2 28 2" xfId="5138" xr:uid="{00000000-0005-0000-0000-0000D1080000}"/>
    <cellStyle name="Millares 2 2 28 2 2" xfId="11182" xr:uid="{00000000-0005-0000-0000-0000D2080000}"/>
    <cellStyle name="Millares 2 2 28 3" xfId="7613" xr:uid="{00000000-0005-0000-0000-0000D3080000}"/>
    <cellStyle name="Millares 2 2 28 3 2" xfId="11280" xr:uid="{00000000-0005-0000-0000-0000D4080000}"/>
    <cellStyle name="Millares 2 2 28 4" xfId="10771" xr:uid="{00000000-0005-0000-0000-0000D5080000}"/>
    <cellStyle name="Millares 2 2 29" xfId="1045" xr:uid="{00000000-0005-0000-0000-0000D6080000}"/>
    <cellStyle name="Millares 2 2 29 2" xfId="5139" xr:uid="{00000000-0005-0000-0000-0000D7080000}"/>
    <cellStyle name="Millares 2 2 29 2 2" xfId="11183" xr:uid="{00000000-0005-0000-0000-0000D8080000}"/>
    <cellStyle name="Millares 2 2 29 3" xfId="7614" xr:uid="{00000000-0005-0000-0000-0000D9080000}"/>
    <cellStyle name="Millares 2 2 29 3 2" xfId="11281" xr:uid="{00000000-0005-0000-0000-0000DA080000}"/>
    <cellStyle name="Millares 2 2 29 4" xfId="10772" xr:uid="{00000000-0005-0000-0000-0000DB080000}"/>
    <cellStyle name="Millares 2 2 3" xfId="1046" xr:uid="{00000000-0005-0000-0000-0000DC080000}"/>
    <cellStyle name="Millares 2 2 3 2" xfId="4093" xr:uid="{00000000-0005-0000-0000-0000DD080000}"/>
    <cellStyle name="Millares 2 2 3 2 2" xfId="4243" xr:uid="{00000000-0005-0000-0000-0000DE080000}"/>
    <cellStyle name="Millares 2 2 3 2 2 2" xfId="9678" xr:uid="{00000000-0005-0000-0000-0000DF080000}"/>
    <cellStyle name="Millares 2 2 3 2 2 2 2" xfId="10379" xr:uid="{00000000-0005-0000-0000-0000E0080000}"/>
    <cellStyle name="Millares 2 2 3 2 2 2 2 2" xfId="12114" xr:uid="{00000000-0005-0000-0000-0000E1080000}"/>
    <cellStyle name="Millares 2 2 3 2 2 2 2 2 2" xfId="20863" xr:uid="{DE74F253-1C92-4C58-9102-1371C652C8E3}"/>
    <cellStyle name="Millares 2 2 3 2 2 2 2 3" xfId="19500" xr:uid="{F0C08587-145E-4134-AFD1-89ABE4C4A16F}"/>
    <cellStyle name="Millares 2 2 3 2 2 2 3" xfId="11467" xr:uid="{00000000-0005-0000-0000-0000E2080000}"/>
    <cellStyle name="Millares 2 2 3 2 2 2 3 2" xfId="20236" xr:uid="{B091CA88-E409-47F4-8157-EFE9925624DD}"/>
    <cellStyle name="Millares 2 2 3 2 2 2 4" xfId="18868" xr:uid="{854E8EC5-09C4-471A-B532-B41AC465E5EC}"/>
    <cellStyle name="Millares 2 2 3 2 2 3" xfId="10082" xr:uid="{00000000-0005-0000-0000-0000E3080000}"/>
    <cellStyle name="Millares 2 2 3 2 2 3 2" xfId="11818" xr:uid="{00000000-0005-0000-0000-0000E4080000}"/>
    <cellStyle name="Millares 2 2 3 2 2 3 2 2" xfId="20574" xr:uid="{F684B09B-598E-4AE7-9193-61092EEBB6CC}"/>
    <cellStyle name="Millares 2 2 3 2 2 3 3" xfId="19211" xr:uid="{AE01E541-5499-4965-817D-B6966C4D3CA7}"/>
    <cellStyle name="Millares 2 2 3 2 2 4" xfId="11054" xr:uid="{00000000-0005-0000-0000-0000E5080000}"/>
    <cellStyle name="Millares 2 2 3 2 2 4 2" xfId="19959" xr:uid="{DF27ACE6-3650-4F18-82F6-4F1381CDD628}"/>
    <cellStyle name="Millares 2 2 3 2 2 5" xfId="14767" xr:uid="{A9B8E8EA-D90C-4840-AAD2-8D080262CE84}"/>
    <cellStyle name="Millares 2 2 3 2 2 5 2" xfId="22763" xr:uid="{94F55D64-75AE-4B75-AED2-C80179D7A34F}"/>
    <cellStyle name="Millares 2 2 3 2 2 6" xfId="18144" xr:uid="{7488D399-8178-4D30-A5C5-DF54945F3B64}"/>
    <cellStyle name="Millares 2 2 3 2 2 6 2" xfId="24350" xr:uid="{DBD61D4B-9924-4D9D-BF59-8CB12CDE2031}"/>
    <cellStyle name="Millares 2 2 3 2 2 7" xfId="18591" xr:uid="{262D77DE-0312-49D7-B6E9-55C171242615}"/>
    <cellStyle name="Millares 2 2 3 2 2_1.2.b" xfId="16112" xr:uid="{A68A8DBF-3F98-438B-B1F3-B756B2CC5DB6}"/>
    <cellStyle name="Millares 2 2 3 2 3" xfId="9574" xr:uid="{00000000-0005-0000-0000-0000E6080000}"/>
    <cellStyle name="Millares 2 2 3 2 3 2" xfId="10277" xr:uid="{00000000-0005-0000-0000-0000E7080000}"/>
    <cellStyle name="Millares 2 2 3 2 3 2 2" xfId="12012" xr:uid="{00000000-0005-0000-0000-0000E8080000}"/>
    <cellStyle name="Millares 2 2 3 2 3 2 2 2" xfId="20761" xr:uid="{A019C2EA-E248-41B4-800A-EE57B71CEED3}"/>
    <cellStyle name="Millares 2 2 3 2 3 2 3" xfId="19398" xr:uid="{6CABA2DF-9BF7-468C-93C1-02B84D1C5B1D}"/>
    <cellStyle name="Millares 2 2 3 2 3 3" xfId="11365" xr:uid="{00000000-0005-0000-0000-0000E9080000}"/>
    <cellStyle name="Millares 2 2 3 2 3 3 2" xfId="20134" xr:uid="{AFD97CDB-C9E0-43E2-B00F-C06BD8A45914}"/>
    <cellStyle name="Millares 2 2 3 2 3 4" xfId="18766" xr:uid="{DCCDB13D-22FB-472D-B1CC-DAA1E687CD21}"/>
    <cellStyle name="Millares 2 2 3 2 4" xfId="9980" xr:uid="{00000000-0005-0000-0000-0000EA080000}"/>
    <cellStyle name="Millares 2 2 3 2 4 2" xfId="11716" xr:uid="{00000000-0005-0000-0000-0000EB080000}"/>
    <cellStyle name="Millares 2 2 3 2 4 2 2" xfId="20472" xr:uid="{9816D33E-2D48-4758-A1F5-89EB38A7B2DA}"/>
    <cellStyle name="Millares 2 2 3 2 4 3" xfId="19109" xr:uid="{12551DB2-0F40-40B0-A8FD-3937BC7DE7FE}"/>
    <cellStyle name="Millares 2 2 3 2 5" xfId="10939" xr:uid="{00000000-0005-0000-0000-0000EC080000}"/>
    <cellStyle name="Millares 2 2 3 2 5 2" xfId="19857" xr:uid="{89BA4B77-8C8A-4636-9BDC-64E3AC282AFE}"/>
    <cellStyle name="Millares 2 2 3 2 6" xfId="14716" xr:uid="{A4B1A9D4-0884-48BF-96FB-A2CED4522C3B}"/>
    <cellStyle name="Millares 2 2 3 2 6 2" xfId="22744" xr:uid="{87B685F2-2441-4E3A-955D-2C408F2FED11}"/>
    <cellStyle name="Millares 2 2 3 2 7" xfId="18130" xr:uid="{48EA3E8F-F5D4-464B-8F7B-56724A6640B3}"/>
    <cellStyle name="Millares 2 2 3 2 7 2" xfId="24338" xr:uid="{A841C23D-881C-4E70-8408-A9E74463089D}"/>
    <cellStyle name="Millares 2 2 3 2 8" xfId="18489" xr:uid="{B42B9E2A-8955-4FC1-A17E-4431518E8771}"/>
    <cellStyle name="Millares 2 2 3 2_1.2.b" xfId="16111" xr:uid="{13318212-C315-4B36-8F1C-9ABDACE779B7}"/>
    <cellStyle name="Millares 2 2 3 3" xfId="4192" xr:uid="{00000000-0005-0000-0000-0000ED080000}"/>
    <cellStyle name="Millares 2 2 3 3 2" xfId="9627" xr:uid="{00000000-0005-0000-0000-0000EE080000}"/>
    <cellStyle name="Millares 2 2 3 3 2 2" xfId="10328" xr:uid="{00000000-0005-0000-0000-0000EF080000}"/>
    <cellStyle name="Millares 2 2 3 3 2 2 2" xfId="12063" xr:uid="{00000000-0005-0000-0000-0000F0080000}"/>
    <cellStyle name="Millares 2 2 3 3 2 2 2 2" xfId="20812" xr:uid="{F46A6B35-C36C-4358-A9F2-750FAEDC8857}"/>
    <cellStyle name="Millares 2 2 3 3 2 2 3" xfId="19449" xr:uid="{E9473B72-51E4-4A90-8034-3A5389F760CD}"/>
    <cellStyle name="Millares 2 2 3 3 2 3" xfId="11416" xr:uid="{00000000-0005-0000-0000-0000F1080000}"/>
    <cellStyle name="Millares 2 2 3 3 2 3 2" xfId="20185" xr:uid="{6AB6245D-67F1-4753-BF9C-5C4842CB2418}"/>
    <cellStyle name="Millares 2 2 3 3 2 4" xfId="18817" xr:uid="{E3D9D139-8413-4AE0-A974-4D890B8B0FD8}"/>
    <cellStyle name="Millares 2 2 3 3 3" xfId="10031" xr:uid="{00000000-0005-0000-0000-0000F2080000}"/>
    <cellStyle name="Millares 2 2 3 3 3 2" xfId="11767" xr:uid="{00000000-0005-0000-0000-0000F3080000}"/>
    <cellStyle name="Millares 2 2 3 3 3 2 2" xfId="20523" xr:uid="{5F8740D6-6D98-4610-B28F-431A163203BC}"/>
    <cellStyle name="Millares 2 2 3 3 3 3" xfId="19160" xr:uid="{A72E9543-73DF-4D2A-AF2F-1C73F8DD6AFF}"/>
    <cellStyle name="Millares 2 2 3 3 4" xfId="11003" xr:uid="{00000000-0005-0000-0000-0000F4080000}"/>
    <cellStyle name="Millares 2 2 3 3 4 2" xfId="19908" xr:uid="{10878A1B-1AC0-492D-B713-F436DDDBA1FC}"/>
    <cellStyle name="Millares 2 2 3 3 5" xfId="18540" xr:uid="{9A092E24-A058-4695-A6D1-CAE81655B4B3}"/>
    <cellStyle name="Millares 2 2 3 4" xfId="4331" xr:uid="{00000000-0005-0000-0000-0000F5080000}"/>
    <cellStyle name="Millares 2 2 3 4 2" xfId="9742" xr:uid="{00000000-0005-0000-0000-0000F6080000}"/>
    <cellStyle name="Millares 2 2 3 4 2 2" xfId="10440" xr:uid="{00000000-0005-0000-0000-0000F7080000}"/>
    <cellStyle name="Millares 2 2 3 4 2 2 2" xfId="12175" xr:uid="{00000000-0005-0000-0000-0000F8080000}"/>
    <cellStyle name="Millares 2 2 3 4 2 2 2 2" xfId="20924" xr:uid="{8399E397-4572-4A30-AF08-03EDBBF6D1FE}"/>
    <cellStyle name="Millares 2 2 3 4 2 2 3" xfId="19561" xr:uid="{8B367722-51C4-410F-94A2-0BC54A2B3C21}"/>
    <cellStyle name="Millares 2 2 3 4 2 3" xfId="11528" xr:uid="{00000000-0005-0000-0000-0000F9080000}"/>
    <cellStyle name="Millares 2 2 3 4 2 3 2" xfId="20297" xr:uid="{62DE4D75-E132-42A4-83C8-39F10220F3A9}"/>
    <cellStyle name="Millares 2 2 3 4 2 4" xfId="18929" xr:uid="{C0C8B3A9-04FA-4DFC-8884-6CBCFFA58E21}"/>
    <cellStyle name="Millares 2 2 3 4 3" xfId="10143" xr:uid="{00000000-0005-0000-0000-0000FA080000}"/>
    <cellStyle name="Millares 2 2 3 4 3 2" xfId="11879" xr:uid="{00000000-0005-0000-0000-0000FB080000}"/>
    <cellStyle name="Millares 2 2 3 4 3 2 2" xfId="20635" xr:uid="{75641CC1-60F2-450B-BB74-6762CCECE49A}"/>
    <cellStyle name="Millares 2 2 3 4 3 3" xfId="19272" xr:uid="{897AD682-2BBA-4B94-9C3F-AC2747B3C7A8}"/>
    <cellStyle name="Millares 2 2 3 4 4" xfId="11136" xr:uid="{00000000-0005-0000-0000-0000FC080000}"/>
    <cellStyle name="Millares 2 2 3 4 4 2" xfId="20020" xr:uid="{19CFC2EA-7CF7-4369-AA93-FA7B507BCDCF}"/>
    <cellStyle name="Millares 2 2 3 4 5" xfId="18652" xr:uid="{D17A060A-B566-49DB-8CCF-D6DFB2B88AC8}"/>
    <cellStyle name="Millares 2 2 3 5" xfId="7615" xr:uid="{00000000-0005-0000-0000-0000FD080000}"/>
    <cellStyle name="Millares 2 2 3 5 2" xfId="11282" xr:uid="{00000000-0005-0000-0000-0000FE080000}"/>
    <cellStyle name="Millares 2 2 3 6" xfId="10773" xr:uid="{00000000-0005-0000-0000-0000FF080000}"/>
    <cellStyle name="Millares 2 2 3 7" xfId="14189" xr:uid="{E7E78196-8D4E-4B1D-9D16-A1790D48B6E2}"/>
    <cellStyle name="Millares 2 2 3 7 2" xfId="22413" xr:uid="{F355FA3A-DC24-4C97-AFD8-E1308280EAD4}"/>
    <cellStyle name="Millares 2 2 3 8" xfId="17814" xr:uid="{68918779-F8F0-4645-9C2E-030C8D006D4E}"/>
    <cellStyle name="Millares 2 2 3 8 2" xfId="24042" xr:uid="{457BD6B9-7D10-4456-8C5A-4EE803EAB725}"/>
    <cellStyle name="Millares 2 2 3_1.2.b" xfId="16110" xr:uid="{41F5DFEF-FFC7-4D80-B9AE-B9512C6094BD}"/>
    <cellStyle name="Millares 2 2 30" xfId="1047" xr:uid="{00000000-0005-0000-0000-000000090000}"/>
    <cellStyle name="Millares 2 2 30 2" xfId="7616" xr:uid="{00000000-0005-0000-0000-000001090000}"/>
    <cellStyle name="Millares 2 2 30 2 2" xfId="11283" xr:uid="{00000000-0005-0000-0000-000002090000}"/>
    <cellStyle name="Millares 2 2 30 3" xfId="10774" xr:uid="{00000000-0005-0000-0000-000003090000}"/>
    <cellStyle name="Millares 2 2 31" xfId="1048" xr:uid="{00000000-0005-0000-0000-000004090000}"/>
    <cellStyle name="Millares 2 2 31 2" xfId="7617" xr:uid="{00000000-0005-0000-0000-000005090000}"/>
    <cellStyle name="Millares 2 2 31 2 2" xfId="11284" xr:uid="{00000000-0005-0000-0000-000006090000}"/>
    <cellStyle name="Millares 2 2 31 3" xfId="10775" xr:uid="{00000000-0005-0000-0000-000007090000}"/>
    <cellStyle name="Millares 2 2 32" xfId="1049" xr:uid="{00000000-0005-0000-0000-000008090000}"/>
    <cellStyle name="Millares 2 2 32 2" xfId="7618" xr:uid="{00000000-0005-0000-0000-000009090000}"/>
    <cellStyle name="Millares 2 2 32 2 2" xfId="11285" xr:uid="{00000000-0005-0000-0000-00000A090000}"/>
    <cellStyle name="Millares 2 2 32 3" xfId="10776" xr:uid="{00000000-0005-0000-0000-00000B090000}"/>
    <cellStyle name="Millares 2 2 33" xfId="1050" xr:uid="{00000000-0005-0000-0000-00000C090000}"/>
    <cellStyle name="Millares 2 2 33 2" xfId="7619" xr:uid="{00000000-0005-0000-0000-00000D090000}"/>
    <cellStyle name="Millares 2 2 33 2 2" xfId="11286" xr:uid="{00000000-0005-0000-0000-00000E090000}"/>
    <cellStyle name="Millares 2 2 33 3" xfId="10777" xr:uid="{00000000-0005-0000-0000-00000F090000}"/>
    <cellStyle name="Millares 2 2 34" xfId="1051" xr:uid="{00000000-0005-0000-0000-000010090000}"/>
    <cellStyle name="Millares 2 2 34 2" xfId="7620" xr:uid="{00000000-0005-0000-0000-000011090000}"/>
    <cellStyle name="Millares 2 2 34 2 2" xfId="11287" xr:uid="{00000000-0005-0000-0000-000012090000}"/>
    <cellStyle name="Millares 2 2 34 3" xfId="10778" xr:uid="{00000000-0005-0000-0000-000013090000}"/>
    <cellStyle name="Millares 2 2 35" xfId="1052" xr:uid="{00000000-0005-0000-0000-000014090000}"/>
    <cellStyle name="Millares 2 2 35 2" xfId="7621" xr:uid="{00000000-0005-0000-0000-000015090000}"/>
    <cellStyle name="Millares 2 2 35 2 2" xfId="11288" xr:uid="{00000000-0005-0000-0000-000016090000}"/>
    <cellStyle name="Millares 2 2 35 3" xfId="10779" xr:uid="{00000000-0005-0000-0000-000017090000}"/>
    <cellStyle name="Millares 2 2 36" xfId="4059" xr:uid="{00000000-0005-0000-0000-000018090000}"/>
    <cellStyle name="Millares 2 2 36 2" xfId="9558" xr:uid="{00000000-0005-0000-0000-000019090000}"/>
    <cellStyle name="Millares 2 2 36 2 2" xfId="10261" xr:uid="{00000000-0005-0000-0000-00001A090000}"/>
    <cellStyle name="Millares 2 2 36 2 2 2" xfId="11996" xr:uid="{00000000-0005-0000-0000-00001B090000}"/>
    <cellStyle name="Millares 2 2 36 2 2 2 2" xfId="20745" xr:uid="{94A3D821-7033-498A-B392-1BC71CD0380B}"/>
    <cellStyle name="Millares 2 2 36 2 2 3" xfId="19382" xr:uid="{B724723C-195D-4177-BBCF-FEB99FC27C5A}"/>
    <cellStyle name="Millares 2 2 36 2 3" xfId="11349" xr:uid="{00000000-0005-0000-0000-00001C090000}"/>
    <cellStyle name="Millares 2 2 36 2 3 2" xfId="20118" xr:uid="{1C452617-AB0B-47C0-8C2D-7045F5FE3BA6}"/>
    <cellStyle name="Millares 2 2 36 2 4" xfId="18750" xr:uid="{0861C87B-5F63-44FF-A373-581453BB34B0}"/>
    <cellStyle name="Millares 2 2 36 3" xfId="9964" xr:uid="{00000000-0005-0000-0000-00001D090000}"/>
    <cellStyle name="Millares 2 2 36 3 2" xfId="11700" xr:uid="{00000000-0005-0000-0000-00001E090000}"/>
    <cellStyle name="Millares 2 2 36 3 2 2" xfId="20456" xr:uid="{D7DF0E5F-B50C-40D6-8BCA-08AA4B4DDE9B}"/>
    <cellStyle name="Millares 2 2 36 3 3" xfId="19093" xr:uid="{761BA81C-D154-490B-85BF-547713E6D249}"/>
    <cellStyle name="Millares 2 2 36 4" xfId="10922" xr:uid="{00000000-0005-0000-0000-00001F090000}"/>
    <cellStyle name="Millares 2 2 36 4 2" xfId="19841" xr:uid="{84607B12-6534-4553-8A42-5AD14054A795}"/>
    <cellStyle name="Millares 2 2 36 5" xfId="18473" xr:uid="{91F4DC6C-3584-408C-8044-4AA29A62DDBF}"/>
    <cellStyle name="Millares 2 2 37" xfId="4176" xr:uid="{00000000-0005-0000-0000-000020090000}"/>
    <cellStyle name="Millares 2 2 37 2" xfId="9611" xr:uid="{00000000-0005-0000-0000-000021090000}"/>
    <cellStyle name="Millares 2 2 37 2 2" xfId="10312" xr:uid="{00000000-0005-0000-0000-000022090000}"/>
    <cellStyle name="Millares 2 2 37 2 2 2" xfId="12047" xr:uid="{00000000-0005-0000-0000-000023090000}"/>
    <cellStyle name="Millares 2 2 37 2 2 2 2" xfId="20796" xr:uid="{41330C2C-DAEE-4E05-B98B-7B0C8C5D1994}"/>
    <cellStyle name="Millares 2 2 37 2 2 3" xfId="19433" xr:uid="{D51C2B32-B0ED-4D26-938A-6A3FCD4A0F2D}"/>
    <cellStyle name="Millares 2 2 37 2 3" xfId="11400" xr:uid="{00000000-0005-0000-0000-000024090000}"/>
    <cellStyle name="Millares 2 2 37 2 3 2" xfId="20169" xr:uid="{85001385-DDD7-45A2-8797-EB2314C50216}"/>
    <cellStyle name="Millares 2 2 37 2 4" xfId="18801" xr:uid="{D620F66A-ECFC-40B7-833C-469C80772835}"/>
    <cellStyle name="Millares 2 2 37 3" xfId="10015" xr:uid="{00000000-0005-0000-0000-000025090000}"/>
    <cellStyle name="Millares 2 2 37 3 2" xfId="11751" xr:uid="{00000000-0005-0000-0000-000026090000}"/>
    <cellStyle name="Millares 2 2 37 3 2 2" xfId="20507" xr:uid="{AEBFFAC2-2889-4FD0-AF9A-0659CA32284F}"/>
    <cellStyle name="Millares 2 2 37 3 3" xfId="19144" xr:uid="{35C30A3F-F240-45EF-9B6E-0EA204B86284}"/>
    <cellStyle name="Millares 2 2 37 4" xfId="10987" xr:uid="{00000000-0005-0000-0000-000027090000}"/>
    <cellStyle name="Millares 2 2 37 4 2" xfId="19892" xr:uid="{9F3ACBCE-CB9A-4E1A-AA73-5CE10B9EA14E}"/>
    <cellStyle name="Millares 2 2 37 5" xfId="18524" xr:uid="{55582DA3-771B-4146-9933-9DFF1E972BDA}"/>
    <cellStyle name="Millares 2 2 38" xfId="4279" xr:uid="{00000000-0005-0000-0000-000028090000}"/>
    <cellStyle name="Millares 2 2 38 2" xfId="9712" xr:uid="{00000000-0005-0000-0000-000029090000}"/>
    <cellStyle name="Millares 2 2 38 2 2" xfId="10412" xr:uid="{00000000-0005-0000-0000-00002A090000}"/>
    <cellStyle name="Millares 2 2 38 2 2 2" xfId="12147" xr:uid="{00000000-0005-0000-0000-00002B090000}"/>
    <cellStyle name="Millares 2 2 38 2 2 2 2" xfId="20896" xr:uid="{1376BA85-A93E-4841-B7E4-1BF925AA9581}"/>
    <cellStyle name="Millares 2 2 38 2 2 3" xfId="19533" xr:uid="{A286BFA7-B8FB-45B0-BF4F-05FF39340158}"/>
    <cellStyle name="Millares 2 2 38 2 3" xfId="11500" xr:uid="{00000000-0005-0000-0000-00002C090000}"/>
    <cellStyle name="Millares 2 2 38 2 3 2" xfId="20269" xr:uid="{BC013E45-B243-4E6D-94F8-4E8054E9C562}"/>
    <cellStyle name="Millares 2 2 38 2 4" xfId="18901" xr:uid="{1E58B33B-F5DE-4CC4-A649-10FC9CA2EFE3}"/>
    <cellStyle name="Millares 2 2 38 3" xfId="10115" xr:uid="{00000000-0005-0000-0000-00002D090000}"/>
    <cellStyle name="Millares 2 2 38 3 2" xfId="11851" xr:uid="{00000000-0005-0000-0000-00002E090000}"/>
    <cellStyle name="Millares 2 2 38 3 2 2" xfId="20607" xr:uid="{DCDFD53A-28B0-4168-B98C-B7F94DFA9B64}"/>
    <cellStyle name="Millares 2 2 38 3 3" xfId="19244" xr:uid="{77A8AC56-D710-47A9-BE28-D37FB0B6AB6B}"/>
    <cellStyle name="Millares 2 2 38 4" xfId="11089" xr:uid="{00000000-0005-0000-0000-00002F090000}"/>
    <cellStyle name="Millares 2 2 38 4 2" xfId="19992" xr:uid="{434E6560-1EBE-4745-9772-A5B739996782}"/>
    <cellStyle name="Millares 2 2 38 5" xfId="18624" xr:uid="{A1666ED1-8F62-4B1E-8517-C489D9E2AB69}"/>
    <cellStyle name="Millares 2 2 39" xfId="4290" xr:uid="{00000000-0005-0000-0000-000030090000}"/>
    <cellStyle name="Millares 2 2 39 2" xfId="9716" xr:uid="{00000000-0005-0000-0000-000031090000}"/>
    <cellStyle name="Millares 2 2 39 2 2" xfId="10416" xr:uid="{00000000-0005-0000-0000-000032090000}"/>
    <cellStyle name="Millares 2 2 39 2 2 2" xfId="12151" xr:uid="{00000000-0005-0000-0000-000033090000}"/>
    <cellStyle name="Millares 2 2 39 2 2 2 2" xfId="20900" xr:uid="{BC0C48C2-7A1E-4F4F-91BE-BB9C20F6C002}"/>
    <cellStyle name="Millares 2 2 39 2 2 3" xfId="19537" xr:uid="{CC2D3126-CBC6-428D-9416-4338C45A8765}"/>
    <cellStyle name="Millares 2 2 39 2 3" xfId="11504" xr:uid="{00000000-0005-0000-0000-000034090000}"/>
    <cellStyle name="Millares 2 2 39 2 3 2" xfId="20273" xr:uid="{4573ADBC-47AB-4FBE-A6D3-D2982C5DE738}"/>
    <cellStyle name="Millares 2 2 39 2 4" xfId="18905" xr:uid="{265C16B5-5017-4D1B-BCD5-7C6FED52FD42}"/>
    <cellStyle name="Millares 2 2 39 3" xfId="10119" xr:uid="{00000000-0005-0000-0000-000035090000}"/>
    <cellStyle name="Millares 2 2 39 3 2" xfId="11855" xr:uid="{00000000-0005-0000-0000-000036090000}"/>
    <cellStyle name="Millares 2 2 39 3 2 2" xfId="20611" xr:uid="{B5077ADC-E57A-452A-91C2-716795906F32}"/>
    <cellStyle name="Millares 2 2 39 3 3" xfId="19248" xr:uid="{94193F8C-4B07-48D1-AFC8-952C8E1A2238}"/>
    <cellStyle name="Millares 2 2 39 4" xfId="11099" xr:uid="{00000000-0005-0000-0000-000037090000}"/>
    <cellStyle name="Millares 2 2 39 4 2" xfId="19996" xr:uid="{2DF4D28A-2CD5-4951-A781-803D9EB76048}"/>
    <cellStyle name="Millares 2 2 39 5" xfId="18628" xr:uid="{85C9B74B-8038-4C92-B5A8-91F3D20A4DA0}"/>
    <cellStyle name="Millares 2 2 4" xfId="1053" xr:uid="{00000000-0005-0000-0000-000038090000}"/>
    <cellStyle name="Millares 2 2 4 2" xfId="4227" xr:uid="{00000000-0005-0000-0000-000039090000}"/>
    <cellStyle name="Millares 2 2 4 2 2" xfId="9662" xr:uid="{00000000-0005-0000-0000-00003A090000}"/>
    <cellStyle name="Millares 2 2 4 2 2 2" xfId="10363" xr:uid="{00000000-0005-0000-0000-00003B090000}"/>
    <cellStyle name="Millares 2 2 4 2 2 2 2" xfId="12098" xr:uid="{00000000-0005-0000-0000-00003C090000}"/>
    <cellStyle name="Millares 2 2 4 2 2 2 2 2" xfId="20847" xr:uid="{D8710BFB-D7CF-43B6-AFBA-6EAAA39F9A2F}"/>
    <cellStyle name="Millares 2 2 4 2 2 2 3" xfId="19484" xr:uid="{93ED0DF8-74B7-4DE2-8060-60C151F05489}"/>
    <cellStyle name="Millares 2 2 4 2 2 3" xfId="11451" xr:uid="{00000000-0005-0000-0000-00003D090000}"/>
    <cellStyle name="Millares 2 2 4 2 2 3 2" xfId="20220" xr:uid="{1EF45795-2343-4FCE-A131-4EA0DBAEF309}"/>
    <cellStyle name="Millares 2 2 4 2 2 4" xfId="14765" xr:uid="{63D90B87-1A8E-4815-B204-728439D35860}"/>
    <cellStyle name="Millares 2 2 4 2 2 4 2" xfId="22761" xr:uid="{052C598C-A8DA-4E51-8F11-66AEFDEA0132}"/>
    <cellStyle name="Millares 2 2 4 2 2 5" xfId="18142" xr:uid="{5D882F92-702A-4B53-8CEE-26080DF92FA5}"/>
    <cellStyle name="Millares 2 2 4 2 2 5 2" xfId="24348" xr:uid="{66DBB44A-42D0-448E-A1C4-8854C4B4BD1E}"/>
    <cellStyle name="Millares 2 2 4 2 2 6" xfId="18852" xr:uid="{CCA28D9B-D321-4262-BFA4-13B4A18EA9CE}"/>
    <cellStyle name="Millares 2 2 4 2 2_1.2.b" xfId="16115" xr:uid="{A1DD47C9-CE78-49B8-A894-CF68C3F08F3C}"/>
    <cellStyle name="Millares 2 2 4 2 3" xfId="10066" xr:uid="{00000000-0005-0000-0000-00003E090000}"/>
    <cellStyle name="Millares 2 2 4 2 3 2" xfId="11802" xr:uid="{00000000-0005-0000-0000-00003F090000}"/>
    <cellStyle name="Millares 2 2 4 2 3 2 2" xfId="20558" xr:uid="{D7B64DF7-6F9B-4D5D-A962-9D5E85A51D99}"/>
    <cellStyle name="Millares 2 2 4 2 3 3" xfId="19195" xr:uid="{C654B4CE-2D53-4E01-BB8D-699FCB7E38A2}"/>
    <cellStyle name="Millares 2 2 4 2 4" xfId="11038" xr:uid="{00000000-0005-0000-0000-000040090000}"/>
    <cellStyle name="Millares 2 2 4 2 4 2" xfId="19943" xr:uid="{0DFD4E17-F009-4AAA-9A8B-9D3152F3DF1C}"/>
    <cellStyle name="Millares 2 2 4 2 5" xfId="14714" xr:uid="{FC7E92AE-4DA3-4F58-9950-01D35BB0AEF4}"/>
    <cellStyle name="Millares 2 2 4 2 5 2" xfId="22742" xr:uid="{FA14096E-268C-4CA6-9CB1-A41555E149B7}"/>
    <cellStyle name="Millares 2 2 4 2 6" xfId="18128" xr:uid="{B5102B0B-DC1A-4BA1-887E-35A37B31BFA3}"/>
    <cellStyle name="Millares 2 2 4 2 6 2" xfId="24336" xr:uid="{846DF0BA-0A6F-4A4E-855E-D5247B882BC1}"/>
    <cellStyle name="Millares 2 2 4 2 7" xfId="18575" xr:uid="{CBF3F6F0-928D-4C9F-9FA2-FFF9EDFF6584}"/>
    <cellStyle name="Millares 2 2 4 2_1.2.b" xfId="16114" xr:uid="{B48968BD-58D1-4E2F-B2F7-06B0FC0C89E1}"/>
    <cellStyle name="Millares 2 2 4 3" xfId="7622" xr:uid="{00000000-0005-0000-0000-000041090000}"/>
    <cellStyle name="Millares 2 2 4 3 2" xfId="11289" xr:uid="{00000000-0005-0000-0000-000042090000}"/>
    <cellStyle name="Millares 2 2 4 4" xfId="10780" xr:uid="{00000000-0005-0000-0000-000043090000}"/>
    <cellStyle name="Millares 2 2 4 5" xfId="14190" xr:uid="{5E23F7BB-0677-457F-98E0-4C4DD206ACD9}"/>
    <cellStyle name="Millares 2 2 4 5 2" xfId="22414" xr:uid="{56469E09-A98B-4C13-A774-3F995D3CE098}"/>
    <cellStyle name="Millares 2 2 4 6" xfId="17815" xr:uid="{E9544FD7-A6D7-47E8-8577-A3435D99F3DD}"/>
    <cellStyle name="Millares 2 2 4 6 2" xfId="24043" xr:uid="{BE21533F-1C7D-4B3D-8AD9-B8E9D284FAE8}"/>
    <cellStyle name="Millares 2 2 4_1.2.b" xfId="16113" xr:uid="{8D290469-9549-4A60-AA83-86CFBD607E70}"/>
    <cellStyle name="Millares 2 2 40" xfId="4296" xr:uid="{00000000-0005-0000-0000-000044090000}"/>
    <cellStyle name="Millares 2 2 40 2" xfId="9722" xr:uid="{00000000-0005-0000-0000-000045090000}"/>
    <cellStyle name="Millares 2 2 40 2 2" xfId="10422" xr:uid="{00000000-0005-0000-0000-000046090000}"/>
    <cellStyle name="Millares 2 2 40 2 2 2" xfId="12157" xr:uid="{00000000-0005-0000-0000-000047090000}"/>
    <cellStyle name="Millares 2 2 40 2 2 2 2" xfId="20906" xr:uid="{0EF528EB-9050-455C-96E0-E43D3BD21D7C}"/>
    <cellStyle name="Millares 2 2 40 2 2 3" xfId="19543" xr:uid="{0EC722C1-671C-4458-960D-6BA2F12ACAFE}"/>
    <cellStyle name="Millares 2 2 40 2 3" xfId="11510" xr:uid="{00000000-0005-0000-0000-000048090000}"/>
    <cellStyle name="Millares 2 2 40 2 3 2" xfId="20279" xr:uid="{961C2C5A-2EC4-43C6-A4CE-6FF8DD517D0D}"/>
    <cellStyle name="Millares 2 2 40 2 4" xfId="18911" xr:uid="{C41C9E6E-C5C9-45D4-A79D-69AE98738AFA}"/>
    <cellStyle name="Millares 2 2 40 3" xfId="10125" xr:uid="{00000000-0005-0000-0000-000049090000}"/>
    <cellStyle name="Millares 2 2 40 3 2" xfId="11861" xr:uid="{00000000-0005-0000-0000-00004A090000}"/>
    <cellStyle name="Millares 2 2 40 3 2 2" xfId="20617" xr:uid="{396D792E-5FEA-41AF-8CB0-7550ED9A8F71}"/>
    <cellStyle name="Millares 2 2 40 3 3" xfId="19254" xr:uid="{342459E6-CF66-4F6C-A2F4-374FA8AE6101}"/>
    <cellStyle name="Millares 2 2 40 4" xfId="11105" xr:uid="{00000000-0005-0000-0000-00004B090000}"/>
    <cellStyle name="Millares 2 2 40 4 2" xfId="20002" xr:uid="{F2132DD7-AF7B-4257-9EE1-3EAF87135FCF}"/>
    <cellStyle name="Millares 2 2 40 5" xfId="18634" xr:uid="{785F8C5F-8E0E-4DAD-B512-313C5113CDD1}"/>
    <cellStyle name="Millares 2 2 41" xfId="4354" xr:uid="{00000000-0005-0000-0000-00004C090000}"/>
    <cellStyle name="Millares 2 2 41 2" xfId="9762" xr:uid="{00000000-0005-0000-0000-00004D090000}"/>
    <cellStyle name="Millares 2 2 41 2 2" xfId="10460" xr:uid="{00000000-0005-0000-0000-00004E090000}"/>
    <cellStyle name="Millares 2 2 41 2 2 2" xfId="12195" xr:uid="{00000000-0005-0000-0000-00004F090000}"/>
    <cellStyle name="Millares 2 2 41 2 2 2 2" xfId="20944" xr:uid="{A9C9C810-AD81-46F9-ABC1-273CC0F737DC}"/>
    <cellStyle name="Millares 2 2 41 2 2 3" xfId="19581" xr:uid="{720889D8-F634-4294-89AF-695719F14A37}"/>
    <cellStyle name="Millares 2 2 41 2 3" xfId="11548" xr:uid="{00000000-0005-0000-0000-000050090000}"/>
    <cellStyle name="Millares 2 2 41 2 3 2" xfId="20317" xr:uid="{A39396B9-3363-4B0F-AAB2-C318F0ED66F3}"/>
    <cellStyle name="Millares 2 2 41 2 4" xfId="18949" xr:uid="{D0AB5769-BC40-41A5-B3F7-E3E0B0811C10}"/>
    <cellStyle name="Millares 2 2 41 3" xfId="10165" xr:uid="{00000000-0005-0000-0000-000051090000}"/>
    <cellStyle name="Millares 2 2 41 3 2" xfId="11901" xr:uid="{00000000-0005-0000-0000-000052090000}"/>
    <cellStyle name="Millares 2 2 41 3 2 2" xfId="20655" xr:uid="{2512F809-0BA3-4E59-82C5-7DF4E6D4642C}"/>
    <cellStyle name="Millares 2 2 41 3 3" xfId="19292" xr:uid="{E9FD5892-F383-4BCE-8929-F63BB0E0AFA8}"/>
    <cellStyle name="Millares 2 2 41 4" xfId="11158" xr:uid="{00000000-0005-0000-0000-000053090000}"/>
    <cellStyle name="Millares 2 2 41 4 2" xfId="20040" xr:uid="{7BB71879-A259-4A59-BC88-E95331BF0E45}"/>
    <cellStyle name="Millares 2 2 41 5" xfId="18672" xr:uid="{F9C7EBBC-C14F-4C87-8E9F-C0923503E4DB}"/>
    <cellStyle name="Millares 2 2 42" xfId="1024" xr:uid="{00000000-0005-0000-0000-000054090000}"/>
    <cellStyle name="Millares 2 2 42 2" xfId="10751" xr:uid="{00000000-0005-0000-0000-000055090000}"/>
    <cellStyle name="Millares 2 2 43" xfId="10647" xr:uid="{00000000-0005-0000-0000-000056090000}"/>
    <cellStyle name="Millares 2 2 5" xfId="1054" xr:uid="{00000000-0005-0000-0000-000057090000}"/>
    <cellStyle name="Millares 2 2 5 2" xfId="5140" xr:uid="{00000000-0005-0000-0000-000058090000}"/>
    <cellStyle name="Millares 2 2 5 2 2" xfId="11184" xr:uid="{00000000-0005-0000-0000-000059090000}"/>
    <cellStyle name="Millares 2 2 5 3" xfId="7623" xr:uid="{00000000-0005-0000-0000-00005A090000}"/>
    <cellStyle name="Millares 2 2 5 3 2" xfId="11290" xr:uid="{00000000-0005-0000-0000-00005B090000}"/>
    <cellStyle name="Millares 2 2 5 4" xfId="10781" xr:uid="{00000000-0005-0000-0000-00005C090000}"/>
    <cellStyle name="Millares 2 2 6" xfId="1055" xr:uid="{00000000-0005-0000-0000-00005D090000}"/>
    <cellStyle name="Millares 2 2 6 2" xfId="5141" xr:uid="{00000000-0005-0000-0000-00005E090000}"/>
    <cellStyle name="Millares 2 2 6 2 2" xfId="11185" xr:uid="{00000000-0005-0000-0000-00005F090000}"/>
    <cellStyle name="Millares 2 2 6 3" xfId="7624" xr:uid="{00000000-0005-0000-0000-000060090000}"/>
    <cellStyle name="Millares 2 2 6 3 2" xfId="11291" xr:uid="{00000000-0005-0000-0000-000061090000}"/>
    <cellStyle name="Millares 2 2 6 4" xfId="10782" xr:uid="{00000000-0005-0000-0000-000062090000}"/>
    <cellStyle name="Millares 2 2 7" xfId="1056" xr:uid="{00000000-0005-0000-0000-000063090000}"/>
    <cellStyle name="Millares 2 2 7 2" xfId="5142" xr:uid="{00000000-0005-0000-0000-000064090000}"/>
    <cellStyle name="Millares 2 2 7 2 2" xfId="11186" xr:uid="{00000000-0005-0000-0000-000065090000}"/>
    <cellStyle name="Millares 2 2 7 3" xfId="7625" xr:uid="{00000000-0005-0000-0000-000066090000}"/>
    <cellStyle name="Millares 2 2 7 3 2" xfId="11292" xr:uid="{00000000-0005-0000-0000-000067090000}"/>
    <cellStyle name="Millares 2 2 7 4" xfId="10783" xr:uid="{00000000-0005-0000-0000-000068090000}"/>
    <cellStyle name="Millares 2 2 8" xfId="1057" xr:uid="{00000000-0005-0000-0000-000069090000}"/>
    <cellStyle name="Millares 2 2 8 2" xfId="5143" xr:uid="{00000000-0005-0000-0000-00006A090000}"/>
    <cellStyle name="Millares 2 2 8 2 2" xfId="11187" xr:uid="{00000000-0005-0000-0000-00006B090000}"/>
    <cellStyle name="Millares 2 2 8 3" xfId="7626" xr:uid="{00000000-0005-0000-0000-00006C090000}"/>
    <cellStyle name="Millares 2 2 8 3 2" xfId="11293" xr:uid="{00000000-0005-0000-0000-00006D090000}"/>
    <cellStyle name="Millares 2 2 8 4" xfId="10784" xr:uid="{00000000-0005-0000-0000-00006E090000}"/>
    <cellStyle name="Millares 2 2 9" xfId="1058" xr:uid="{00000000-0005-0000-0000-00006F090000}"/>
    <cellStyle name="Millares 2 2 9 2" xfId="5144" xr:uid="{00000000-0005-0000-0000-000070090000}"/>
    <cellStyle name="Millares 2 2 9 2 2" xfId="11188" xr:uid="{00000000-0005-0000-0000-000071090000}"/>
    <cellStyle name="Millares 2 2 9 3" xfId="7627" xr:uid="{00000000-0005-0000-0000-000072090000}"/>
    <cellStyle name="Millares 2 2 9 3 2" xfId="11294" xr:uid="{00000000-0005-0000-0000-000073090000}"/>
    <cellStyle name="Millares 2 2 9 4" xfId="10785" xr:uid="{00000000-0005-0000-0000-000074090000}"/>
    <cellStyle name="Millares 2 20" xfId="1059" xr:uid="{00000000-0005-0000-0000-000075090000}"/>
    <cellStyle name="Millares 2 20 2" xfId="7628" xr:uid="{00000000-0005-0000-0000-000076090000}"/>
    <cellStyle name="Millares 2 20 2 2" xfId="11295" xr:uid="{00000000-0005-0000-0000-000077090000}"/>
    <cellStyle name="Millares 2 20 3" xfId="10786" xr:uid="{00000000-0005-0000-0000-000078090000}"/>
    <cellStyle name="Millares 2 21" xfId="1060" xr:uid="{00000000-0005-0000-0000-000079090000}"/>
    <cellStyle name="Millares 2 21 2" xfId="7629" xr:uid="{00000000-0005-0000-0000-00007A090000}"/>
    <cellStyle name="Millares 2 21 2 2" xfId="11296" xr:uid="{00000000-0005-0000-0000-00007B090000}"/>
    <cellStyle name="Millares 2 21 3" xfId="10787" xr:uid="{00000000-0005-0000-0000-00007C090000}"/>
    <cellStyle name="Millares 2 22" xfId="1061" xr:uid="{00000000-0005-0000-0000-00007D090000}"/>
    <cellStyle name="Millares 2 22 2" xfId="7630" xr:uid="{00000000-0005-0000-0000-00007E090000}"/>
    <cellStyle name="Millares 2 22 2 2" xfId="11297" xr:uid="{00000000-0005-0000-0000-00007F090000}"/>
    <cellStyle name="Millares 2 22 3" xfId="10788" xr:uid="{00000000-0005-0000-0000-000080090000}"/>
    <cellStyle name="Millares 2 23" xfId="1062" xr:uid="{00000000-0005-0000-0000-000081090000}"/>
    <cellStyle name="Millares 2 23 2" xfId="7631" xr:uid="{00000000-0005-0000-0000-000082090000}"/>
    <cellStyle name="Millares 2 23 2 2" xfId="11298" xr:uid="{00000000-0005-0000-0000-000083090000}"/>
    <cellStyle name="Millares 2 23 3" xfId="10789" xr:uid="{00000000-0005-0000-0000-000084090000}"/>
    <cellStyle name="Millares 2 24" xfId="1063" xr:uid="{00000000-0005-0000-0000-000085090000}"/>
    <cellStyle name="Millares 2 24 2" xfId="7632" xr:uid="{00000000-0005-0000-0000-000086090000}"/>
    <cellStyle name="Millares 2 24 2 2" xfId="11299" xr:uid="{00000000-0005-0000-0000-000087090000}"/>
    <cellStyle name="Millares 2 24 3" xfId="10790" xr:uid="{00000000-0005-0000-0000-000088090000}"/>
    <cellStyle name="Millares 2 25" xfId="1064" xr:uid="{00000000-0005-0000-0000-000089090000}"/>
    <cellStyle name="Millares 2 25 2" xfId="7633" xr:uid="{00000000-0005-0000-0000-00008A090000}"/>
    <cellStyle name="Millares 2 25 2 2" xfId="11300" xr:uid="{00000000-0005-0000-0000-00008B090000}"/>
    <cellStyle name="Millares 2 25 3" xfId="10791" xr:uid="{00000000-0005-0000-0000-00008C090000}"/>
    <cellStyle name="Millares 2 26" xfId="1065" xr:uid="{00000000-0005-0000-0000-00008D090000}"/>
    <cellStyle name="Millares 2 26 2" xfId="7634" xr:uid="{00000000-0005-0000-0000-00008E090000}"/>
    <cellStyle name="Millares 2 26 2 2" xfId="11301" xr:uid="{00000000-0005-0000-0000-00008F090000}"/>
    <cellStyle name="Millares 2 26 3" xfId="10792" xr:uid="{00000000-0005-0000-0000-000090090000}"/>
    <cellStyle name="Millares 2 27" xfId="1066" xr:uid="{00000000-0005-0000-0000-000091090000}"/>
    <cellStyle name="Millares 2 27 2" xfId="7635" xr:uid="{00000000-0005-0000-0000-000092090000}"/>
    <cellStyle name="Millares 2 27 2 2" xfId="11302" xr:uid="{00000000-0005-0000-0000-000093090000}"/>
    <cellStyle name="Millares 2 27 3" xfId="10793" xr:uid="{00000000-0005-0000-0000-000094090000}"/>
    <cellStyle name="Millares 2 28" xfId="1067" xr:uid="{00000000-0005-0000-0000-000095090000}"/>
    <cellStyle name="Millares 2 28 2" xfId="7636" xr:uid="{00000000-0005-0000-0000-000096090000}"/>
    <cellStyle name="Millares 2 28 2 2" xfId="11303" xr:uid="{00000000-0005-0000-0000-000097090000}"/>
    <cellStyle name="Millares 2 28 3" xfId="10794" xr:uid="{00000000-0005-0000-0000-000098090000}"/>
    <cellStyle name="Millares 2 29" xfId="1068" xr:uid="{00000000-0005-0000-0000-000099090000}"/>
    <cellStyle name="Millares 2 29 2" xfId="7637" xr:uid="{00000000-0005-0000-0000-00009A090000}"/>
    <cellStyle name="Millares 2 29 2 2" xfId="11304" xr:uid="{00000000-0005-0000-0000-00009B090000}"/>
    <cellStyle name="Millares 2 29 3" xfId="10795" xr:uid="{00000000-0005-0000-0000-00009C090000}"/>
    <cellStyle name="Millares 2 3" xfId="134" xr:uid="{00000000-0005-0000-0000-00009D090000}"/>
    <cellStyle name="Millares 2 3 10" xfId="4207" xr:uid="{00000000-0005-0000-0000-00009E090000}"/>
    <cellStyle name="Millares 2 3 10 2" xfId="9642" xr:uid="{00000000-0005-0000-0000-00009F090000}"/>
    <cellStyle name="Millares 2 3 10 2 2" xfId="10343" xr:uid="{00000000-0005-0000-0000-0000A0090000}"/>
    <cellStyle name="Millares 2 3 10 2 2 2" xfId="12078" xr:uid="{00000000-0005-0000-0000-0000A1090000}"/>
    <cellStyle name="Millares 2 3 10 2 2 2 2" xfId="20827" xr:uid="{10FD7403-3889-4421-A70C-9C9029EE129E}"/>
    <cellStyle name="Millares 2 3 10 2 2 3" xfId="19464" xr:uid="{3E4AFD50-998A-45AD-9E2B-EA99ACE5ED9F}"/>
    <cellStyle name="Millares 2 3 10 2 3" xfId="11431" xr:uid="{00000000-0005-0000-0000-0000A2090000}"/>
    <cellStyle name="Millares 2 3 10 2 3 2" xfId="20200" xr:uid="{ABB1F14C-8D03-47D0-BFCE-FA094FAF7A12}"/>
    <cellStyle name="Millares 2 3 10 2 4" xfId="18832" xr:uid="{377A7CB7-D344-4DE6-BC53-655E9403ECD0}"/>
    <cellStyle name="Millares 2 3 10 3" xfId="10046" xr:uid="{00000000-0005-0000-0000-0000A3090000}"/>
    <cellStyle name="Millares 2 3 10 3 2" xfId="11782" xr:uid="{00000000-0005-0000-0000-0000A4090000}"/>
    <cellStyle name="Millares 2 3 10 3 2 2" xfId="20538" xr:uid="{502B280E-7622-440B-8743-B385F078B6DD}"/>
    <cellStyle name="Millares 2 3 10 3 3" xfId="19175" xr:uid="{48617BEB-D4AF-4AA8-856C-255C256192CA}"/>
    <cellStyle name="Millares 2 3 10 4" xfId="11018" xr:uid="{00000000-0005-0000-0000-0000A5090000}"/>
    <cellStyle name="Millares 2 3 10 4 2" xfId="19923" xr:uid="{947EDE25-6459-4AD5-81BC-FFEA3C0664CB}"/>
    <cellStyle name="Millares 2 3 10 5" xfId="18555" xr:uid="{3A7B9C75-169D-436B-97D1-5528A211DBFC}"/>
    <cellStyle name="Millares 2 3 11" xfId="4313" xr:uid="{00000000-0005-0000-0000-0000A6090000}"/>
    <cellStyle name="Millares 2 3 11 2" xfId="11120" xr:uid="{00000000-0005-0000-0000-0000A7090000}"/>
    <cellStyle name="Millares 2 3 12" xfId="10662" xr:uid="{00000000-0005-0000-0000-0000A8090000}"/>
    <cellStyle name="Millares 2 3 13" xfId="14191" xr:uid="{64DD769F-385B-4EDC-87CF-327686499426}"/>
    <cellStyle name="Millares 2 3 13 2" xfId="22415" xr:uid="{9B743A89-51A9-453D-9FE8-3506EF45A75D}"/>
    <cellStyle name="Millares 2 3 14" xfId="17816" xr:uid="{32E64D02-A1AD-436A-AF0C-B33ADCF9615A}"/>
    <cellStyle name="Millares 2 3 14 2" xfId="24044" xr:uid="{3D0E2D48-D38D-4222-8C27-662D74B6415A}"/>
    <cellStyle name="Millares 2 3 2" xfId="1069" xr:uid="{00000000-0005-0000-0000-0000A9090000}"/>
    <cellStyle name="Millares 2 3 2 2" xfId="4258" xr:uid="{00000000-0005-0000-0000-0000AA090000}"/>
    <cellStyle name="Millares 2 3 2 2 2" xfId="9693" xr:uid="{00000000-0005-0000-0000-0000AB090000}"/>
    <cellStyle name="Millares 2 3 2 2 2 2" xfId="10394" xr:uid="{00000000-0005-0000-0000-0000AC090000}"/>
    <cellStyle name="Millares 2 3 2 2 2 2 2" xfId="12129" xr:uid="{00000000-0005-0000-0000-0000AD090000}"/>
    <cellStyle name="Millares 2 3 2 2 2 2 2 2" xfId="20878" xr:uid="{E790FEF9-725F-4659-B134-D68D8FC16B64}"/>
    <cellStyle name="Millares 2 3 2 2 2 2 3" xfId="19515" xr:uid="{04B2EF46-4F8F-4F35-970E-DDF121143E19}"/>
    <cellStyle name="Millares 2 3 2 2 2 3" xfId="11482" xr:uid="{00000000-0005-0000-0000-0000AE090000}"/>
    <cellStyle name="Millares 2 3 2 2 2 3 2" xfId="20251" xr:uid="{41387016-CB0D-4D74-876E-E8E5AE20D46C}"/>
    <cellStyle name="Millares 2 3 2 2 2 4" xfId="14769" xr:uid="{3A2BF37F-271D-4456-BCEC-AE64695DCC5F}"/>
    <cellStyle name="Millares 2 3 2 2 2 4 2" xfId="22765" xr:uid="{2B5C671F-26C5-41F3-BBE9-0685C68F44FE}"/>
    <cellStyle name="Millares 2 3 2 2 2 5" xfId="18146" xr:uid="{9282B637-2CC5-43DF-BBC3-40BF15E71118}"/>
    <cellStyle name="Millares 2 3 2 2 2 5 2" xfId="24352" xr:uid="{6B30BBCA-D085-4E76-B627-6F228BBE2AED}"/>
    <cellStyle name="Millares 2 3 2 2 2 6" xfId="18883" xr:uid="{68C69AB5-3181-49CF-88BE-F693CA7354F1}"/>
    <cellStyle name="Millares 2 3 2 2 2_1.2.b" xfId="16119" xr:uid="{2F080C97-458F-407B-9532-A38C53D5F645}"/>
    <cellStyle name="Millares 2 3 2 2 3" xfId="10097" xr:uid="{00000000-0005-0000-0000-0000AF090000}"/>
    <cellStyle name="Millares 2 3 2 2 3 2" xfId="11833" xr:uid="{00000000-0005-0000-0000-0000B0090000}"/>
    <cellStyle name="Millares 2 3 2 2 3 2 2" xfId="20589" xr:uid="{7388ACBC-27C2-44F9-A421-18CFE91A234F}"/>
    <cellStyle name="Millares 2 3 2 2 3 3" xfId="19226" xr:uid="{1E51C826-F15C-4E3A-A3F9-8ABDA0B21CB2}"/>
    <cellStyle name="Millares 2 3 2 2 4" xfId="11069" xr:uid="{00000000-0005-0000-0000-0000B1090000}"/>
    <cellStyle name="Millares 2 3 2 2 4 2" xfId="19974" xr:uid="{854AEAF9-4ACF-448C-BE5D-D3B5ED55D660}"/>
    <cellStyle name="Millares 2 3 2 2 5" xfId="14718" xr:uid="{F2CA8046-EFF7-4140-A2F1-FA4E259FB643}"/>
    <cellStyle name="Millares 2 3 2 2 5 2" xfId="22746" xr:uid="{50DF0B45-91EF-4249-920A-4CDA688FD160}"/>
    <cellStyle name="Millares 2 3 2 2 6" xfId="18132" xr:uid="{CF2D9B27-90EE-40A8-B4D9-60508C3C48F5}"/>
    <cellStyle name="Millares 2 3 2 2 6 2" xfId="24340" xr:uid="{46487000-EC84-45E7-BCE5-6AB4FC0FE130}"/>
    <cellStyle name="Millares 2 3 2 2 7" xfId="18606" xr:uid="{B2392E00-974B-4F77-9129-397E6CE68E6F}"/>
    <cellStyle name="Millares 2 3 2 2_1.2.b" xfId="16118" xr:uid="{FFCA2CF1-DA59-4CDB-93AB-9906D3E44F2F}"/>
    <cellStyle name="Millares 2 3 2 3" xfId="7638" xr:uid="{00000000-0005-0000-0000-0000B2090000}"/>
    <cellStyle name="Millares 2 3 2 4" xfId="14192" xr:uid="{D0C7F4E9-0141-4508-A0C6-7E84DA599321}"/>
    <cellStyle name="Millares 2 3 2 4 2" xfId="22416" xr:uid="{08C108B0-E926-4D97-8A3D-5A6C499D1F8B}"/>
    <cellStyle name="Millares 2 3 2 5" xfId="17817" xr:uid="{72D2313B-CE8B-4043-ACAA-BE516191D7F7}"/>
    <cellStyle name="Millares 2 3 2 5 2" xfId="24045" xr:uid="{830C8F23-2DF5-4352-9EFB-3518B59B65B2}"/>
    <cellStyle name="Millares 2 3 2_1.2.b" xfId="16117" xr:uid="{D88965C5-839B-455B-BA48-38007A7881EE}"/>
    <cellStyle name="Millares 2 3 3" xfId="1070" xr:uid="{00000000-0005-0000-0000-0000B3090000}"/>
    <cellStyle name="Millares 2 3 3 2" xfId="7639" xr:uid="{00000000-0005-0000-0000-0000B4090000}"/>
    <cellStyle name="Millares 2 3 3 2 2" xfId="14770" xr:uid="{9F947090-448B-4D5C-9EFC-2EDACA7C2695}"/>
    <cellStyle name="Millares 2 3 3 2 2 2" xfId="18147" xr:uid="{35946ABC-18A6-4506-B27E-CACEE7DB314C}"/>
    <cellStyle name="Millares 2 3 3 2 2 2 2" xfId="24353" xr:uid="{11A899D5-5C3F-4A78-8E83-92F943A678D8}"/>
    <cellStyle name="Millares 2 3 3 2 2 3" xfId="22766" xr:uid="{CACA14C0-E0D0-4679-BB7B-C3FC339692DE}"/>
    <cellStyle name="Millares 2 3 3 2 3" xfId="14719" xr:uid="{34576A2C-EEE9-48D9-8375-9935F20490C6}"/>
    <cellStyle name="Millares 2 3 3 2 3 2" xfId="22747" xr:uid="{3DDBD776-AC63-4D51-8216-6FBDAE6AC82B}"/>
    <cellStyle name="Millares 2 3 3 2 4" xfId="18133" xr:uid="{16065728-FD09-4905-84CC-AB5307D111FF}"/>
    <cellStyle name="Millares 2 3 3 2 4 2" xfId="24341" xr:uid="{32A19EF5-5868-4920-A22C-C2C8A4329C2D}"/>
    <cellStyle name="Millares 2 3 3 2_1.2.b" xfId="16121" xr:uid="{7D765FF2-C649-4B6B-9F3E-7B1D4CB9FD64}"/>
    <cellStyle name="Millares 2 3 3 3" xfId="14193" xr:uid="{4844E56D-E3DA-41FF-964D-FBC7199DF901}"/>
    <cellStyle name="Millares 2 3 3 3 2" xfId="22417" xr:uid="{6B6B7FE4-87BE-4C5E-846B-DE34127DB6C5}"/>
    <cellStyle name="Millares 2 3 3 4" xfId="17818" xr:uid="{294B4888-06D6-4E53-9CFE-0E4B2A15B1B9}"/>
    <cellStyle name="Millares 2 3 3 4 2" xfId="24046" xr:uid="{529F2D85-FE30-4F69-A514-526683A595DC}"/>
    <cellStyle name="Millares 2 3 3_1.2.b" xfId="16120" xr:uid="{7D53C6B3-EAEF-44BE-85B0-67874FB0328E}"/>
    <cellStyle name="Millares 2 3 4" xfId="1071" xr:uid="{00000000-0005-0000-0000-0000B5090000}"/>
    <cellStyle name="Millares 2 3 4 2" xfId="7640" xr:uid="{00000000-0005-0000-0000-0000B6090000}"/>
    <cellStyle name="Millares 2 3 4 2 2" xfId="14768" xr:uid="{0B4FEABF-A65A-4BE4-B93F-78F39952AB13}"/>
    <cellStyle name="Millares 2 3 4 2 2 2" xfId="22764" xr:uid="{A6C57AFB-1762-4C7A-A5B3-C7F32EDDD1A3}"/>
    <cellStyle name="Millares 2 3 4 2 3" xfId="18145" xr:uid="{CE038CC9-12CA-486B-8CA8-D4287717F11F}"/>
    <cellStyle name="Millares 2 3 4 2 3 2" xfId="24351" xr:uid="{01832E12-83E4-4828-A2C4-802F839875A3}"/>
    <cellStyle name="Millares 2 3 4 2_1.2.b" xfId="16123" xr:uid="{5069ED50-DC17-4467-B5D9-F0D44B1C6039}"/>
    <cellStyle name="Millares 2 3 4 3" xfId="14717" xr:uid="{6472EB86-F274-4BD0-B583-F733B39183F5}"/>
    <cellStyle name="Millares 2 3 4 3 2" xfId="22745" xr:uid="{C75E8833-D9AA-4CAF-8122-5E28CDE0DC09}"/>
    <cellStyle name="Millares 2 3 4 4" xfId="18131" xr:uid="{992E81C9-4385-4674-B1E8-BA3DAB83A9B7}"/>
    <cellStyle name="Millares 2 3 4 4 2" xfId="24339" xr:uid="{0EF49FEF-2ADE-4EF2-81E9-3CEFF3621E51}"/>
    <cellStyle name="Millares 2 3 4_1.2.b" xfId="16122" xr:uid="{8BC57BB3-8A35-449A-8AF8-28EDC4BD1E21}"/>
    <cellStyle name="Millares 2 3 5" xfId="1072" xr:uid="{00000000-0005-0000-0000-0000B7090000}"/>
    <cellStyle name="Millares 2 3 5 2" xfId="7641" xr:uid="{00000000-0005-0000-0000-0000B8090000}"/>
    <cellStyle name="Millares 2 3 6" xfId="1073" xr:uid="{00000000-0005-0000-0000-0000B9090000}"/>
    <cellStyle name="Millares 2 3 6 2" xfId="7642" xr:uid="{00000000-0005-0000-0000-0000BA090000}"/>
    <cellStyle name="Millares 2 3 7" xfId="1074" xr:uid="{00000000-0005-0000-0000-0000BB090000}"/>
    <cellStyle name="Millares 2 3 7 2" xfId="7643" xr:uid="{00000000-0005-0000-0000-0000BC090000}"/>
    <cellStyle name="Millares 2 3 8" xfId="1075" xr:uid="{00000000-0005-0000-0000-0000BD090000}"/>
    <cellStyle name="Millares 2 3 8 2" xfId="7644" xr:uid="{00000000-0005-0000-0000-0000BE090000}"/>
    <cellStyle name="Millares 2 3 9" xfId="4124" xr:uid="{00000000-0005-0000-0000-0000BF090000}"/>
    <cellStyle name="Millares 2 3 9 2" xfId="9590" xr:uid="{00000000-0005-0000-0000-0000C0090000}"/>
    <cellStyle name="Millares 2 3 9 2 2" xfId="10292" xr:uid="{00000000-0005-0000-0000-0000C1090000}"/>
    <cellStyle name="Millares 2 3 9 2 2 2" xfId="12027" xr:uid="{00000000-0005-0000-0000-0000C2090000}"/>
    <cellStyle name="Millares 2 3 9 2 2 2 2" xfId="20776" xr:uid="{AD31DE50-0E86-4FFB-9FC8-B3142A04CF8F}"/>
    <cellStyle name="Millares 2 3 9 2 2 3" xfId="19413" xr:uid="{5F004154-1323-45D3-9ECC-058EF37B10B9}"/>
    <cellStyle name="Millares 2 3 9 2 3" xfId="11380" xr:uid="{00000000-0005-0000-0000-0000C3090000}"/>
    <cellStyle name="Millares 2 3 9 2 3 2" xfId="20149" xr:uid="{C61D9BD3-D9A1-4BC1-A4D8-7F7F702D07B6}"/>
    <cellStyle name="Millares 2 3 9 2 4" xfId="18781" xr:uid="{C9C0405C-30F9-4972-9885-E581FCC95AA7}"/>
    <cellStyle name="Millares 2 3 9 3" xfId="9995" xr:uid="{00000000-0005-0000-0000-0000C4090000}"/>
    <cellStyle name="Millares 2 3 9 3 2" xfId="11731" xr:uid="{00000000-0005-0000-0000-0000C5090000}"/>
    <cellStyle name="Millares 2 3 9 3 2 2" xfId="20487" xr:uid="{940B7D5F-2179-44CF-8897-1EDE0DC3BD5D}"/>
    <cellStyle name="Millares 2 3 9 3 3" xfId="19124" xr:uid="{77A26B80-219A-4497-892F-DEFF7E43D8B9}"/>
    <cellStyle name="Millares 2 3 9 4" xfId="10956" xr:uid="{00000000-0005-0000-0000-0000C6090000}"/>
    <cellStyle name="Millares 2 3 9 4 2" xfId="19872" xr:uid="{C9F4B7E3-B7BE-4655-8AAA-2174CDDF55B7}"/>
    <cellStyle name="Millares 2 3 9 5" xfId="18504" xr:uid="{8694B31D-B35A-420F-AFD4-41620047D3A2}"/>
    <cellStyle name="Millares 2 3_1.2.b" xfId="16116" xr:uid="{1DB5D817-BA18-403F-B3A7-C51331EF2A89}"/>
    <cellStyle name="Millares 2 30" xfId="1076" xr:uid="{00000000-0005-0000-0000-0000C7090000}"/>
    <cellStyle name="Millares 2 30 2" xfId="7645" xr:uid="{00000000-0005-0000-0000-0000C8090000}"/>
    <cellStyle name="Millares 2 30 2 2" xfId="11305" xr:uid="{00000000-0005-0000-0000-0000C9090000}"/>
    <cellStyle name="Millares 2 30 3" xfId="10796" xr:uid="{00000000-0005-0000-0000-0000CA090000}"/>
    <cellStyle name="Millares 2 31" xfId="1077" xr:uid="{00000000-0005-0000-0000-0000CB090000}"/>
    <cellStyle name="Millares 2 31 2" xfId="7646" xr:uid="{00000000-0005-0000-0000-0000CC090000}"/>
    <cellStyle name="Millares 2 31 2 2" xfId="11306" xr:uid="{00000000-0005-0000-0000-0000CD090000}"/>
    <cellStyle name="Millares 2 31 3" xfId="10797" xr:uid="{00000000-0005-0000-0000-0000CE090000}"/>
    <cellStyle name="Millares 2 32" xfId="1078" xr:uid="{00000000-0005-0000-0000-0000CF090000}"/>
    <cellStyle name="Millares 2 32 2" xfId="10798" xr:uid="{00000000-0005-0000-0000-0000D0090000}"/>
    <cellStyle name="Millares 2 33" xfId="1079" xr:uid="{00000000-0005-0000-0000-0000D1090000}"/>
    <cellStyle name="Millares 2 33 2" xfId="10799" xr:uid="{00000000-0005-0000-0000-0000D2090000}"/>
    <cellStyle name="Millares 2 34" xfId="1080" xr:uid="{00000000-0005-0000-0000-0000D3090000}"/>
    <cellStyle name="Millares 2 34 2" xfId="10800" xr:uid="{00000000-0005-0000-0000-0000D4090000}"/>
    <cellStyle name="Millares 2 35" xfId="1081" xr:uid="{00000000-0005-0000-0000-0000D5090000}"/>
    <cellStyle name="Millares 2 35 2" xfId="10801" xr:uid="{00000000-0005-0000-0000-0000D6090000}"/>
    <cellStyle name="Millares 2 36" xfId="1082" xr:uid="{00000000-0005-0000-0000-0000D7090000}"/>
    <cellStyle name="Millares 2 36 2" xfId="10802" xr:uid="{00000000-0005-0000-0000-0000D8090000}"/>
    <cellStyle name="Millares 2 37" xfId="1083" xr:uid="{00000000-0005-0000-0000-0000D9090000}"/>
    <cellStyle name="Millares 2 37 2" xfId="10803" xr:uid="{00000000-0005-0000-0000-0000DA090000}"/>
    <cellStyle name="Millares 2 38" xfId="1084" xr:uid="{00000000-0005-0000-0000-0000DB090000}"/>
    <cellStyle name="Millares 2 38 2" xfId="10804" xr:uid="{00000000-0005-0000-0000-0000DC090000}"/>
    <cellStyle name="Millares 2 39" xfId="1085" xr:uid="{00000000-0005-0000-0000-0000DD090000}"/>
    <cellStyle name="Millares 2 39 2" xfId="10805" xr:uid="{00000000-0005-0000-0000-0000DE090000}"/>
    <cellStyle name="Millares 2 4" xfId="1086" xr:uid="{00000000-0005-0000-0000-0000DF090000}"/>
    <cellStyle name="Millares 2 4 10" xfId="4189" xr:uid="{00000000-0005-0000-0000-0000E0090000}"/>
    <cellStyle name="Millares 2 4 10 2" xfId="9624" xr:uid="{00000000-0005-0000-0000-0000E1090000}"/>
    <cellStyle name="Millares 2 4 10 2 2" xfId="10325" xr:uid="{00000000-0005-0000-0000-0000E2090000}"/>
    <cellStyle name="Millares 2 4 10 2 2 2" xfId="12060" xr:uid="{00000000-0005-0000-0000-0000E3090000}"/>
    <cellStyle name="Millares 2 4 10 2 2 2 2" xfId="20809" xr:uid="{729BC876-BA66-4358-9AAA-2D6B808A001F}"/>
    <cellStyle name="Millares 2 4 10 2 2 3" xfId="19446" xr:uid="{89AA1B27-B749-4D26-BA06-18ECF66D1FB8}"/>
    <cellStyle name="Millares 2 4 10 2 3" xfId="11413" xr:uid="{00000000-0005-0000-0000-0000E4090000}"/>
    <cellStyle name="Millares 2 4 10 2 3 2" xfId="20182" xr:uid="{6F1E9862-D6C1-4EF9-9F74-15CC5A89B5C5}"/>
    <cellStyle name="Millares 2 4 10 2 4" xfId="18814" xr:uid="{B07409BC-BC04-4A6B-84BD-74152264CC3F}"/>
    <cellStyle name="Millares 2 4 10 3" xfId="10028" xr:uid="{00000000-0005-0000-0000-0000E5090000}"/>
    <cellStyle name="Millares 2 4 10 3 2" xfId="11764" xr:uid="{00000000-0005-0000-0000-0000E6090000}"/>
    <cellStyle name="Millares 2 4 10 3 2 2" xfId="20520" xr:uid="{3643F063-C3E9-48EB-9DC6-8CA84155A988}"/>
    <cellStyle name="Millares 2 4 10 3 3" xfId="19157" xr:uid="{8C3FF8E0-B37C-47F0-8034-EB550A63BC62}"/>
    <cellStyle name="Millares 2 4 10 4" xfId="11000" xr:uid="{00000000-0005-0000-0000-0000E7090000}"/>
    <cellStyle name="Millares 2 4 10 4 2" xfId="19905" xr:uid="{C5E630C9-F980-4393-8F99-5945AE913DDB}"/>
    <cellStyle name="Millares 2 4 10 5" xfId="18537" xr:uid="{DB31A8A2-0F6D-4894-BA91-742B46747D5D}"/>
    <cellStyle name="Millares 2 4 11" xfId="7647" xr:uid="{00000000-0005-0000-0000-0000E8090000}"/>
    <cellStyle name="Millares 2 4 11 2" xfId="11307" xr:uid="{00000000-0005-0000-0000-0000E9090000}"/>
    <cellStyle name="Millares 2 4 12" xfId="10806" xr:uid="{00000000-0005-0000-0000-0000EA090000}"/>
    <cellStyle name="Millares 2 4 13" xfId="14194" xr:uid="{1309F3E8-FA28-4D38-806C-99F792E05A1C}"/>
    <cellStyle name="Millares 2 4 13 2" xfId="22418" xr:uid="{DDDC7686-3FEE-4C33-B3C9-F6D291634CFC}"/>
    <cellStyle name="Millares 2 4 14" xfId="17819" xr:uid="{8B733511-AB29-4A75-BE45-F4258D13AE7A}"/>
    <cellStyle name="Millares 2 4 14 2" xfId="24047" xr:uid="{773BAD24-01D2-4BA2-AA52-874013220F91}"/>
    <cellStyle name="Millares 2 4 2" xfId="1087" xr:uid="{00000000-0005-0000-0000-0000EB090000}"/>
    <cellStyle name="Millares 2 4 2 2" xfId="4240" xr:uid="{00000000-0005-0000-0000-0000EC090000}"/>
    <cellStyle name="Millares 2 4 2 2 2" xfId="9675" xr:uid="{00000000-0005-0000-0000-0000ED090000}"/>
    <cellStyle name="Millares 2 4 2 2 2 2" xfId="10376" xr:uid="{00000000-0005-0000-0000-0000EE090000}"/>
    <cellStyle name="Millares 2 4 2 2 2 2 2" xfId="12111" xr:uid="{00000000-0005-0000-0000-0000EF090000}"/>
    <cellStyle name="Millares 2 4 2 2 2 2 2 2" xfId="20860" xr:uid="{CD4837EB-8BD7-4343-929B-7D77023D248F}"/>
    <cellStyle name="Millares 2 4 2 2 2 2 3" xfId="19497" xr:uid="{DFE61401-A60B-4D31-BA8B-7506BA2D671E}"/>
    <cellStyle name="Millares 2 4 2 2 2 3" xfId="11464" xr:uid="{00000000-0005-0000-0000-0000F0090000}"/>
    <cellStyle name="Millares 2 4 2 2 2 3 2" xfId="20233" xr:uid="{80ADDF2E-E5CA-4821-8A73-8C938AB3439C}"/>
    <cellStyle name="Millares 2 4 2 2 2 4" xfId="18865" xr:uid="{E430DAC1-62D5-4BB2-8C24-1F109825894A}"/>
    <cellStyle name="Millares 2 4 2 2 3" xfId="10079" xr:uid="{00000000-0005-0000-0000-0000F1090000}"/>
    <cellStyle name="Millares 2 4 2 2 3 2" xfId="11815" xr:uid="{00000000-0005-0000-0000-0000F2090000}"/>
    <cellStyle name="Millares 2 4 2 2 3 2 2" xfId="20571" xr:uid="{7D6AF37D-EBB2-4645-96D9-8D31AE434EFB}"/>
    <cellStyle name="Millares 2 4 2 2 3 3" xfId="19208" xr:uid="{AAD8D8B5-8D9D-40EA-A83C-36EE3A3DB147}"/>
    <cellStyle name="Millares 2 4 2 2 4" xfId="11051" xr:uid="{00000000-0005-0000-0000-0000F3090000}"/>
    <cellStyle name="Millares 2 4 2 2 4 2" xfId="19956" xr:uid="{2E1FBADF-4BFC-41AB-BD11-85B6B9EF6EBC}"/>
    <cellStyle name="Millares 2 4 2 2 5" xfId="14771" xr:uid="{063599CA-47E9-420C-ACCA-E55EE1D9565E}"/>
    <cellStyle name="Millares 2 4 2 2 5 2" xfId="22767" xr:uid="{AB0D0E83-1A70-4F7D-8F23-EE6F86343CE6}"/>
    <cellStyle name="Millares 2 4 2 2 6" xfId="18148" xr:uid="{7AFB08E6-DAC5-495F-AA49-5835D89E762C}"/>
    <cellStyle name="Millares 2 4 2 2 6 2" xfId="24354" xr:uid="{AF3CFF3A-5681-4099-97F4-CA5BA4C1BC86}"/>
    <cellStyle name="Millares 2 4 2 2 7" xfId="18588" xr:uid="{26749F46-E29E-4C2F-B8FF-9DD57ACB6A17}"/>
    <cellStyle name="Millares 2 4 2 2_1.2.b" xfId="16126" xr:uid="{3EE1F79C-445A-410D-B222-CE8BBD5A8D8F}"/>
    <cellStyle name="Millares 2 4 2 3" xfId="14720" xr:uid="{426D9546-760F-432A-9E92-5C38E86F5254}"/>
    <cellStyle name="Millares 2 4 2 3 2" xfId="22748" xr:uid="{D03CEFF8-69A6-4E29-9DAC-45E00989E3F2}"/>
    <cellStyle name="Millares 2 4 2 4" xfId="18134" xr:uid="{6C32C373-EC8B-4BF3-82AC-8A91842D911B}"/>
    <cellStyle name="Millares 2 4 2 4 2" xfId="24342" xr:uid="{2216F4E7-BC7B-4E0B-990E-9DB0329379DA}"/>
    <cellStyle name="Millares 2 4 2_1.2.b" xfId="16125" xr:uid="{33C6FE65-B0A1-4D73-BB64-9450885D9D05}"/>
    <cellStyle name="Millares 2 4 3" xfId="1088" xr:uid="{00000000-0005-0000-0000-0000F4090000}"/>
    <cellStyle name="Millares 2 4 4" xfId="1089" xr:uid="{00000000-0005-0000-0000-0000F5090000}"/>
    <cellStyle name="Millares 2 4 5" xfId="1090" xr:uid="{00000000-0005-0000-0000-0000F6090000}"/>
    <cellStyle name="Millares 2 4 6" xfId="1091" xr:uid="{00000000-0005-0000-0000-0000F7090000}"/>
    <cellStyle name="Millares 2 4 7" xfId="1092" xr:uid="{00000000-0005-0000-0000-0000F8090000}"/>
    <cellStyle name="Millares 2 4 8" xfId="1093" xr:uid="{00000000-0005-0000-0000-0000F9090000}"/>
    <cellStyle name="Millares 2 4 9" xfId="4087" xr:uid="{00000000-0005-0000-0000-0000FA090000}"/>
    <cellStyle name="Millares 2 4 9 2" xfId="9571" xr:uid="{00000000-0005-0000-0000-0000FB090000}"/>
    <cellStyle name="Millares 2 4 9 2 2" xfId="10274" xr:uid="{00000000-0005-0000-0000-0000FC090000}"/>
    <cellStyle name="Millares 2 4 9 2 2 2" xfId="12009" xr:uid="{00000000-0005-0000-0000-0000FD090000}"/>
    <cellStyle name="Millares 2 4 9 2 2 2 2" xfId="20758" xr:uid="{F60BE2C1-80E4-441B-A7F0-3AA8DEC7DDD5}"/>
    <cellStyle name="Millares 2 4 9 2 2 3" xfId="19395" xr:uid="{0333DAB0-BFF8-4538-936A-C76D0022EAF6}"/>
    <cellStyle name="Millares 2 4 9 2 3" xfId="11362" xr:uid="{00000000-0005-0000-0000-0000FE090000}"/>
    <cellStyle name="Millares 2 4 9 2 3 2" xfId="20131" xr:uid="{28E5C5D1-9BAD-4FDB-8608-EC71EB18276B}"/>
    <cellStyle name="Millares 2 4 9 2 4" xfId="18763" xr:uid="{CAD24B15-0C06-4CC8-9437-DC391F94F7F7}"/>
    <cellStyle name="Millares 2 4 9 3" xfId="9977" xr:uid="{00000000-0005-0000-0000-0000FF090000}"/>
    <cellStyle name="Millares 2 4 9 3 2" xfId="11713" xr:uid="{00000000-0005-0000-0000-0000000A0000}"/>
    <cellStyle name="Millares 2 4 9 3 2 2" xfId="20469" xr:uid="{596578AB-7C8C-471E-87F0-E92046B5ECB6}"/>
    <cellStyle name="Millares 2 4 9 3 3" xfId="19106" xr:uid="{ECC43DEF-5EE5-4991-9883-96B498CBDD50}"/>
    <cellStyle name="Millares 2 4 9 4" xfId="10936" xr:uid="{00000000-0005-0000-0000-0000010A0000}"/>
    <cellStyle name="Millares 2 4 9 4 2" xfId="19854" xr:uid="{0392F7E6-F47B-415B-B1A6-F9E52C1C6F0F}"/>
    <cellStyle name="Millares 2 4 9 5" xfId="18486" xr:uid="{B6AF4C22-C0E5-46F0-941F-FCA93E4962AD}"/>
    <cellStyle name="Millares 2 4_1.2.b" xfId="16124" xr:uid="{2ED23880-E9DF-4D23-91A7-F8FE58881D91}"/>
    <cellStyle name="Millares 2 40" xfId="1094" xr:uid="{00000000-0005-0000-0000-0000020A0000}"/>
    <cellStyle name="Millares 2 40 2" xfId="10807" xr:uid="{00000000-0005-0000-0000-0000030A0000}"/>
    <cellStyle name="Millares 2 41" xfId="1095" xr:uid="{00000000-0005-0000-0000-0000040A0000}"/>
    <cellStyle name="Millares 2 41 2" xfId="10808" xr:uid="{00000000-0005-0000-0000-0000050A0000}"/>
    <cellStyle name="Millares 2 42" xfId="1096" xr:uid="{00000000-0005-0000-0000-0000060A0000}"/>
    <cellStyle name="Millares 2 42 2" xfId="10809" xr:uid="{00000000-0005-0000-0000-0000070A0000}"/>
    <cellStyle name="Millares 2 43" xfId="1097" xr:uid="{00000000-0005-0000-0000-0000080A0000}"/>
    <cellStyle name="Millares 2 43 2" xfId="10810" xr:uid="{00000000-0005-0000-0000-0000090A0000}"/>
    <cellStyle name="Millares 2 44" xfId="1098" xr:uid="{00000000-0005-0000-0000-00000A0A0000}"/>
    <cellStyle name="Millares 2 44 2" xfId="10811" xr:uid="{00000000-0005-0000-0000-00000B0A0000}"/>
    <cellStyle name="Millares 2 45" xfId="1099" xr:uid="{00000000-0005-0000-0000-00000C0A0000}"/>
    <cellStyle name="Millares 2 45 2" xfId="10812" xr:uid="{00000000-0005-0000-0000-00000D0A0000}"/>
    <cellStyle name="Millares 2 46" xfId="1100" xr:uid="{00000000-0005-0000-0000-00000E0A0000}"/>
    <cellStyle name="Millares 2 46 2" xfId="10813" xr:uid="{00000000-0005-0000-0000-00000F0A0000}"/>
    <cellStyle name="Millares 2 47" xfId="1101" xr:uid="{00000000-0005-0000-0000-0000100A0000}"/>
    <cellStyle name="Millares 2 47 2" xfId="10814" xr:uid="{00000000-0005-0000-0000-0000110A0000}"/>
    <cellStyle name="Millares 2 48" xfId="1102" xr:uid="{00000000-0005-0000-0000-0000120A0000}"/>
    <cellStyle name="Millares 2 48 2" xfId="10815" xr:uid="{00000000-0005-0000-0000-0000130A0000}"/>
    <cellStyle name="Millares 2 49" xfId="1103" xr:uid="{00000000-0005-0000-0000-0000140A0000}"/>
    <cellStyle name="Millares 2 49 2" xfId="10816" xr:uid="{00000000-0005-0000-0000-0000150A0000}"/>
    <cellStyle name="Millares 2 5" xfId="1104" xr:uid="{00000000-0005-0000-0000-0000160A0000}"/>
    <cellStyle name="Millares 2 5 2" xfId="4224" xr:uid="{00000000-0005-0000-0000-0000170A0000}"/>
    <cellStyle name="Millares 2 5 2 2" xfId="9659" xr:uid="{00000000-0005-0000-0000-0000180A0000}"/>
    <cellStyle name="Millares 2 5 2 2 2" xfId="10360" xr:uid="{00000000-0005-0000-0000-0000190A0000}"/>
    <cellStyle name="Millares 2 5 2 2 2 2" xfId="12095" xr:uid="{00000000-0005-0000-0000-00001A0A0000}"/>
    <cellStyle name="Millares 2 5 2 2 2 2 2" xfId="20844" xr:uid="{044EB5F8-DE49-4CB5-A252-201CCE5CB3AD}"/>
    <cellStyle name="Millares 2 5 2 2 2 3" xfId="19481" xr:uid="{16551A0F-F6E2-46B7-A0CA-74D1F33B34D5}"/>
    <cellStyle name="Millares 2 5 2 2 3" xfId="11448" xr:uid="{00000000-0005-0000-0000-00001B0A0000}"/>
    <cellStyle name="Millares 2 5 2 2 3 2" xfId="20217" xr:uid="{06247E1D-DA0B-4E72-9C35-642010965E13}"/>
    <cellStyle name="Millares 2 5 2 2 4" xfId="14772" xr:uid="{5151A948-ADC7-4C3A-9397-B670E19C984C}"/>
    <cellStyle name="Millares 2 5 2 2 4 2" xfId="22768" xr:uid="{BCD49111-001B-45EF-B1A2-C41D212BD293}"/>
    <cellStyle name="Millares 2 5 2 2 5" xfId="18149" xr:uid="{4FA5B9CB-A1BD-4BD9-8783-B7A54D16B188}"/>
    <cellStyle name="Millares 2 5 2 2 5 2" xfId="24355" xr:uid="{78E6E44A-B217-4803-83B9-A42A83F0B6B2}"/>
    <cellStyle name="Millares 2 5 2 2 6" xfId="18849" xr:uid="{A127597E-871F-440E-A0A6-DB2551B1E00A}"/>
    <cellStyle name="Millares 2 5 2 2_1.2.b" xfId="16129" xr:uid="{F2249499-5285-4621-B6E2-D189EDAA7075}"/>
    <cellStyle name="Millares 2 5 2 3" xfId="10063" xr:uid="{00000000-0005-0000-0000-00001C0A0000}"/>
    <cellStyle name="Millares 2 5 2 3 2" xfId="11799" xr:uid="{00000000-0005-0000-0000-00001D0A0000}"/>
    <cellStyle name="Millares 2 5 2 3 2 2" xfId="20555" xr:uid="{15854913-1D14-4949-8E64-9F68EFA2A4BA}"/>
    <cellStyle name="Millares 2 5 2 3 3" xfId="19192" xr:uid="{6CD099B0-BC82-4F1E-82D5-D4B47A58692D}"/>
    <cellStyle name="Millares 2 5 2 4" xfId="11035" xr:uid="{00000000-0005-0000-0000-00001E0A0000}"/>
    <cellStyle name="Millares 2 5 2 4 2" xfId="19940" xr:uid="{757C4F79-490A-4836-977B-6043AB04E996}"/>
    <cellStyle name="Millares 2 5 2 5" xfId="14721" xr:uid="{C689BAEE-9D33-4F3A-A85E-EB8AB986BB58}"/>
    <cellStyle name="Millares 2 5 2 5 2" xfId="22749" xr:uid="{F051871D-2D09-4A2F-88D1-5477E4EA77FF}"/>
    <cellStyle name="Millares 2 5 2 6" xfId="18135" xr:uid="{997A4EC1-A438-4545-B512-63220078FEFB}"/>
    <cellStyle name="Millares 2 5 2 6 2" xfId="24343" xr:uid="{32D8C32B-D02D-493D-8613-452D38312F64}"/>
    <cellStyle name="Millares 2 5 2 7" xfId="18572" xr:uid="{B112380B-7A67-417C-9D6C-986C4B0A475D}"/>
    <cellStyle name="Millares 2 5 2_1.2.b" xfId="16128" xr:uid="{871887F6-8E18-4CF1-90E7-ACC4D1EF80B4}"/>
    <cellStyle name="Millares 2 5 3" xfId="7648" xr:uid="{00000000-0005-0000-0000-00001F0A0000}"/>
    <cellStyle name="Millares 2 5 3 2" xfId="11308" xr:uid="{00000000-0005-0000-0000-0000200A0000}"/>
    <cellStyle name="Millares 2 5 4" xfId="10817" xr:uid="{00000000-0005-0000-0000-0000210A0000}"/>
    <cellStyle name="Millares 2 5 5" xfId="14195" xr:uid="{794414BC-C500-41D8-8DB8-089BD7A38C6F}"/>
    <cellStyle name="Millares 2 5 5 2" xfId="22419" xr:uid="{A44CCF8C-7457-41DA-8CA2-5B984502F3D2}"/>
    <cellStyle name="Millares 2 5 6" xfId="17820" xr:uid="{CDF79806-B98F-48F3-A96E-77A4E8DE8063}"/>
    <cellStyle name="Millares 2 5 6 2" xfId="24048" xr:uid="{40E75A7E-10E8-414A-8541-8D681E9D77EB}"/>
    <cellStyle name="Millares 2 5_1.2.b" xfId="16127" xr:uid="{C2A6347E-4C6B-4A61-B39A-5828945652E2}"/>
    <cellStyle name="Millares 2 50" xfId="1105" xr:uid="{00000000-0005-0000-0000-0000220A0000}"/>
    <cellStyle name="Millares 2 50 2" xfId="10818" xr:uid="{00000000-0005-0000-0000-0000230A0000}"/>
    <cellStyle name="Millares 2 51" xfId="1106" xr:uid="{00000000-0005-0000-0000-0000240A0000}"/>
    <cellStyle name="Millares 2 51 2" xfId="10819" xr:uid="{00000000-0005-0000-0000-0000250A0000}"/>
    <cellStyle name="Millares 2 52" xfId="1107" xr:uid="{00000000-0005-0000-0000-0000260A0000}"/>
    <cellStyle name="Millares 2 52 2" xfId="10820" xr:uid="{00000000-0005-0000-0000-0000270A0000}"/>
    <cellStyle name="Millares 2 53" xfId="1108" xr:uid="{00000000-0005-0000-0000-0000280A0000}"/>
    <cellStyle name="Millares 2 53 2" xfId="10821" xr:uid="{00000000-0005-0000-0000-0000290A0000}"/>
    <cellStyle name="Millares 2 54" xfId="1109" xr:uid="{00000000-0005-0000-0000-00002A0A0000}"/>
    <cellStyle name="Millares 2 54 2" xfId="10822" xr:uid="{00000000-0005-0000-0000-00002B0A0000}"/>
    <cellStyle name="Millares 2 55" xfId="1110" xr:uid="{00000000-0005-0000-0000-00002C0A0000}"/>
    <cellStyle name="Millares 2 55 2" xfId="10823" xr:uid="{00000000-0005-0000-0000-00002D0A0000}"/>
    <cellStyle name="Millares 2 56" xfId="1111" xr:uid="{00000000-0005-0000-0000-00002E0A0000}"/>
    <cellStyle name="Millares 2 56 2" xfId="10824" xr:uid="{00000000-0005-0000-0000-00002F0A0000}"/>
    <cellStyle name="Millares 2 57" xfId="1112" xr:uid="{00000000-0005-0000-0000-0000300A0000}"/>
    <cellStyle name="Millares 2 57 2" xfId="10825" xr:uid="{00000000-0005-0000-0000-0000310A0000}"/>
    <cellStyle name="Millares 2 58" xfId="1113" xr:uid="{00000000-0005-0000-0000-0000320A0000}"/>
    <cellStyle name="Millares 2 58 2" xfId="10826" xr:uid="{00000000-0005-0000-0000-0000330A0000}"/>
    <cellStyle name="Millares 2 59" xfId="1114" xr:uid="{00000000-0005-0000-0000-0000340A0000}"/>
    <cellStyle name="Millares 2 59 2" xfId="10827" xr:uid="{00000000-0005-0000-0000-0000350A0000}"/>
    <cellStyle name="Millares 2 6" xfId="1115" xr:uid="{00000000-0005-0000-0000-0000360A0000}"/>
    <cellStyle name="Millares 2 6 2" xfId="4274" xr:uid="{00000000-0005-0000-0000-0000370A0000}"/>
    <cellStyle name="Millares 2 6 2 2" xfId="11085" xr:uid="{00000000-0005-0000-0000-0000380A0000}"/>
    <cellStyle name="Millares 2 6 2 2 2" xfId="14764" xr:uid="{6A2BC26D-445C-4FE7-822D-BAAAFEA0ACD7}"/>
    <cellStyle name="Millares 2 6 2 2 2 2" xfId="22760" xr:uid="{CAB4166B-4D80-4633-BE40-17A2F74C129C}"/>
    <cellStyle name="Millares 2 6 2 2 3" xfId="18141" xr:uid="{F36BE072-12FF-40DB-B9AF-D961E1E17B76}"/>
    <cellStyle name="Millares 2 6 2 2 3 2" xfId="24347" xr:uid="{663EDD66-FF5C-4B70-AE66-AC111B5C82DD}"/>
    <cellStyle name="Millares 2 6 2 2_1.2.b" xfId="16132" xr:uid="{A744C019-5DBC-4528-AA18-4F772FB7A48F}"/>
    <cellStyle name="Millares 2 6 2 3" xfId="14713" xr:uid="{781D76A1-AD66-41D8-90D7-415281B706F1}"/>
    <cellStyle name="Millares 2 6 2 3 2" xfId="22741" xr:uid="{147B253F-72B8-42DD-94E7-7169180A6961}"/>
    <cellStyle name="Millares 2 6 2 4" xfId="18127" xr:uid="{576C6074-67C6-4AE1-B895-171FCA01C847}"/>
    <cellStyle name="Millares 2 6 2 4 2" xfId="24335" xr:uid="{4906CA5E-A93B-4936-8600-918DC8864B75}"/>
    <cellStyle name="Millares 2 6 2_1.2.b" xfId="16131" xr:uid="{448B98C4-B01C-4235-824A-AA1E46887058}"/>
    <cellStyle name="Millares 2 6 3" xfId="10828" xr:uid="{00000000-0005-0000-0000-0000390A0000}"/>
    <cellStyle name="Millares 2 6 4" xfId="14196" xr:uid="{0E0D25C6-CFFB-480D-92B2-6AC0A646A4E6}"/>
    <cellStyle name="Millares 2 6 4 2" xfId="22420" xr:uid="{05AE501C-9648-42BD-AD8D-4E4FB5310231}"/>
    <cellStyle name="Millares 2 6 5" xfId="17821" xr:uid="{38004B72-E867-4516-A345-E1DFF487EA4E}"/>
    <cellStyle name="Millares 2 6 5 2" xfId="24049" xr:uid="{2026B0C8-ED61-41BB-9E93-8BD203A0E4EC}"/>
    <cellStyle name="Millares 2 6_1.2.b" xfId="16130" xr:uid="{21FA826B-113B-4253-AC5C-4E3419BE07C9}"/>
    <cellStyle name="Millares 2 60" xfId="1116" xr:uid="{00000000-0005-0000-0000-00003A0A0000}"/>
    <cellStyle name="Millares 2 60 2" xfId="10829" xr:uid="{00000000-0005-0000-0000-00003B0A0000}"/>
    <cellStyle name="Millares 2 61" xfId="1117" xr:uid="{00000000-0005-0000-0000-00003C0A0000}"/>
    <cellStyle name="Millares 2 61 2" xfId="10830" xr:uid="{00000000-0005-0000-0000-00003D0A0000}"/>
    <cellStyle name="Millares 2 62" xfId="1118" xr:uid="{00000000-0005-0000-0000-00003E0A0000}"/>
    <cellStyle name="Millares 2 62 2" xfId="10831" xr:uid="{00000000-0005-0000-0000-00003F0A0000}"/>
    <cellStyle name="Millares 2 63" xfId="1119" xr:uid="{00000000-0005-0000-0000-0000400A0000}"/>
    <cellStyle name="Millares 2 63 2" xfId="10832" xr:uid="{00000000-0005-0000-0000-0000410A0000}"/>
    <cellStyle name="Millares 2 64" xfId="1120" xr:uid="{00000000-0005-0000-0000-0000420A0000}"/>
    <cellStyle name="Millares 2 64 2" xfId="10833" xr:uid="{00000000-0005-0000-0000-0000430A0000}"/>
    <cellStyle name="Millares 2 65" xfId="1121" xr:uid="{00000000-0005-0000-0000-0000440A0000}"/>
    <cellStyle name="Millares 2 65 2" xfId="10834" xr:uid="{00000000-0005-0000-0000-0000450A0000}"/>
    <cellStyle name="Millares 2 66" xfId="1122" xr:uid="{00000000-0005-0000-0000-0000460A0000}"/>
    <cellStyle name="Millares 2 66 2" xfId="10835" xr:uid="{00000000-0005-0000-0000-0000470A0000}"/>
    <cellStyle name="Millares 2 67" xfId="1123" xr:uid="{00000000-0005-0000-0000-0000480A0000}"/>
    <cellStyle name="Millares 2 67 2" xfId="10836" xr:uid="{00000000-0005-0000-0000-0000490A0000}"/>
    <cellStyle name="Millares 2 68" xfId="1124" xr:uid="{00000000-0005-0000-0000-00004A0A0000}"/>
    <cellStyle name="Millares 2 68 2" xfId="10837" xr:uid="{00000000-0005-0000-0000-00004B0A0000}"/>
    <cellStyle name="Millares 2 69" xfId="1125" xr:uid="{00000000-0005-0000-0000-00004C0A0000}"/>
    <cellStyle name="Millares 2 69 2" xfId="10838" xr:uid="{00000000-0005-0000-0000-00004D0A0000}"/>
    <cellStyle name="Millares 2 7" xfId="1126" xr:uid="{00000000-0005-0000-0000-00004E0A0000}"/>
    <cellStyle name="Millares 2 7 2" xfId="7649" xr:uid="{00000000-0005-0000-0000-00004F0A0000}"/>
    <cellStyle name="Millares 2 7 2 2" xfId="11309" xr:uid="{00000000-0005-0000-0000-0000500A0000}"/>
    <cellStyle name="Millares 2 7 3" xfId="10839" xr:uid="{00000000-0005-0000-0000-0000510A0000}"/>
    <cellStyle name="Millares 2 7 4" xfId="14700" xr:uid="{C96A584F-54C1-4E93-B50E-BD702E89538A}"/>
    <cellStyle name="Millares 2 7_1.2.b" xfId="16133" xr:uid="{248C6AF9-C3A1-447B-B11D-6A25F97114FC}"/>
    <cellStyle name="Millares 2 70" xfId="1127" xr:uid="{00000000-0005-0000-0000-0000520A0000}"/>
    <cellStyle name="Millares 2 70 2" xfId="10840" xr:uid="{00000000-0005-0000-0000-0000530A0000}"/>
    <cellStyle name="Millares 2 71" xfId="1128" xr:uid="{00000000-0005-0000-0000-0000540A0000}"/>
    <cellStyle name="Millares 2 71 2" xfId="10841" xr:uid="{00000000-0005-0000-0000-0000550A0000}"/>
    <cellStyle name="Millares 2 72" xfId="1129" xr:uid="{00000000-0005-0000-0000-0000560A0000}"/>
    <cellStyle name="Millares 2 72 2" xfId="10842" xr:uid="{00000000-0005-0000-0000-0000570A0000}"/>
    <cellStyle name="Millares 2 73" xfId="1130" xr:uid="{00000000-0005-0000-0000-0000580A0000}"/>
    <cellStyle name="Millares 2 73 2" xfId="10843" xr:uid="{00000000-0005-0000-0000-0000590A0000}"/>
    <cellStyle name="Millares 2 74" xfId="1131" xr:uid="{00000000-0005-0000-0000-00005A0A0000}"/>
    <cellStyle name="Millares 2 74 2" xfId="10844" xr:uid="{00000000-0005-0000-0000-00005B0A0000}"/>
    <cellStyle name="Millares 2 75" xfId="1132" xr:uid="{00000000-0005-0000-0000-00005C0A0000}"/>
    <cellStyle name="Millares 2 75 2" xfId="10845" xr:uid="{00000000-0005-0000-0000-00005D0A0000}"/>
    <cellStyle name="Millares 2 76" xfId="1133" xr:uid="{00000000-0005-0000-0000-00005E0A0000}"/>
    <cellStyle name="Millares 2 76 2" xfId="10846" xr:uid="{00000000-0005-0000-0000-00005F0A0000}"/>
    <cellStyle name="Millares 2 77" xfId="1134" xr:uid="{00000000-0005-0000-0000-0000600A0000}"/>
    <cellStyle name="Millares 2 77 2" xfId="10847" xr:uid="{00000000-0005-0000-0000-0000610A0000}"/>
    <cellStyle name="Millares 2 78" xfId="1135" xr:uid="{00000000-0005-0000-0000-0000620A0000}"/>
    <cellStyle name="Millares 2 78 2" xfId="10848" xr:uid="{00000000-0005-0000-0000-0000630A0000}"/>
    <cellStyle name="Millares 2 79" xfId="1136" xr:uid="{00000000-0005-0000-0000-0000640A0000}"/>
    <cellStyle name="Millares 2 79 2" xfId="10849" xr:uid="{00000000-0005-0000-0000-0000650A0000}"/>
    <cellStyle name="Millares 2 8" xfId="1137" xr:uid="{00000000-0005-0000-0000-0000660A0000}"/>
    <cellStyle name="Millares 2 8 2" xfId="7650" xr:uid="{00000000-0005-0000-0000-0000670A0000}"/>
    <cellStyle name="Millares 2 8 2 2" xfId="11310" xr:uid="{00000000-0005-0000-0000-0000680A0000}"/>
    <cellStyle name="Millares 2 8 3" xfId="10850" xr:uid="{00000000-0005-0000-0000-0000690A0000}"/>
    <cellStyle name="Millares 2 80" xfId="1138" xr:uid="{00000000-0005-0000-0000-00006A0A0000}"/>
    <cellStyle name="Millares 2 80 2" xfId="10851" xr:uid="{00000000-0005-0000-0000-00006B0A0000}"/>
    <cellStyle name="Millares 2 81" xfId="1139" xr:uid="{00000000-0005-0000-0000-00006C0A0000}"/>
    <cellStyle name="Millares 2 81 2" xfId="10852" xr:uid="{00000000-0005-0000-0000-00006D0A0000}"/>
    <cellStyle name="Millares 2 82" xfId="1140" xr:uid="{00000000-0005-0000-0000-00006E0A0000}"/>
    <cellStyle name="Millares 2 82 2" xfId="10853" xr:uid="{00000000-0005-0000-0000-00006F0A0000}"/>
    <cellStyle name="Millares 2 83" xfId="1141" xr:uid="{00000000-0005-0000-0000-0000700A0000}"/>
    <cellStyle name="Millares 2 83 2" xfId="10854" xr:uid="{00000000-0005-0000-0000-0000710A0000}"/>
    <cellStyle name="Millares 2 84" xfId="4051" xr:uid="{00000000-0005-0000-0000-0000720A0000}"/>
    <cellStyle name="Millares 2 84 2" xfId="9555" xr:uid="{00000000-0005-0000-0000-0000730A0000}"/>
    <cellStyle name="Millares 2 84 2 2" xfId="10258" xr:uid="{00000000-0005-0000-0000-0000740A0000}"/>
    <cellStyle name="Millares 2 84 2 2 2" xfId="11993" xr:uid="{00000000-0005-0000-0000-0000750A0000}"/>
    <cellStyle name="Millares 2 84 2 2 2 2" xfId="20742" xr:uid="{DF888D18-56FD-4163-98FA-DD10AAFFCF5E}"/>
    <cellStyle name="Millares 2 84 2 2 3" xfId="19379" xr:uid="{357C2418-3CF6-4F41-A531-11BF27C5B878}"/>
    <cellStyle name="Millares 2 84 2 3" xfId="11346" xr:uid="{00000000-0005-0000-0000-0000760A0000}"/>
    <cellStyle name="Millares 2 84 2 3 2" xfId="20115" xr:uid="{5CC84B05-A2F2-4F7A-AB9B-63B80FF1986D}"/>
    <cellStyle name="Millares 2 84 2 4" xfId="18747" xr:uid="{21DE67C7-09AF-4ED3-ADDA-5DF954D00B9E}"/>
    <cellStyle name="Millares 2 84 3" xfId="9961" xr:uid="{00000000-0005-0000-0000-0000770A0000}"/>
    <cellStyle name="Millares 2 84 3 2" xfId="11697" xr:uid="{00000000-0005-0000-0000-0000780A0000}"/>
    <cellStyle name="Millares 2 84 3 2 2" xfId="20453" xr:uid="{3A618E4D-FF8D-4D41-B4C1-E9E6278B084A}"/>
    <cellStyle name="Millares 2 84 3 3" xfId="19090" xr:uid="{E77328D3-10E6-4EDD-BC35-1A62144341AB}"/>
    <cellStyle name="Millares 2 84 4" xfId="10918" xr:uid="{00000000-0005-0000-0000-0000790A0000}"/>
    <cellStyle name="Millares 2 84 4 2" xfId="19838" xr:uid="{5CAB4BA8-97F3-4D3B-9EAE-79C0B487806A}"/>
    <cellStyle name="Millares 2 84 5" xfId="18470" xr:uid="{40457BA7-22D6-402D-A6F0-F5205272E137}"/>
    <cellStyle name="Millares 2 85" xfId="4170" xr:uid="{00000000-0005-0000-0000-00007A0A0000}"/>
    <cellStyle name="Millares 2 85 2" xfId="9608" xr:uid="{00000000-0005-0000-0000-00007B0A0000}"/>
    <cellStyle name="Millares 2 85 2 2" xfId="10309" xr:uid="{00000000-0005-0000-0000-00007C0A0000}"/>
    <cellStyle name="Millares 2 85 2 2 2" xfId="12044" xr:uid="{00000000-0005-0000-0000-00007D0A0000}"/>
    <cellStyle name="Millares 2 85 2 2 2 2" xfId="20793" xr:uid="{6A5F936F-6136-42C1-B008-225194A3CF64}"/>
    <cellStyle name="Millares 2 85 2 2 3" xfId="19430" xr:uid="{EDE85592-E604-478A-9214-C698E3FCF92C}"/>
    <cellStyle name="Millares 2 85 2 3" xfId="11397" xr:uid="{00000000-0005-0000-0000-00007E0A0000}"/>
    <cellStyle name="Millares 2 85 2 3 2" xfId="20166" xr:uid="{52ACA195-A0BB-4D12-A572-F1E90DF31851}"/>
    <cellStyle name="Millares 2 85 2 4" xfId="18798" xr:uid="{82EBC925-E0B3-4DCC-8A13-CDF0015DE8B3}"/>
    <cellStyle name="Millares 2 85 3" xfId="10012" xr:uid="{00000000-0005-0000-0000-00007F0A0000}"/>
    <cellStyle name="Millares 2 85 3 2" xfId="11748" xr:uid="{00000000-0005-0000-0000-0000800A0000}"/>
    <cellStyle name="Millares 2 85 3 2 2" xfId="20504" xr:uid="{B4C4287F-F8D1-46AD-A16D-0DA612505612}"/>
    <cellStyle name="Millares 2 85 3 3" xfId="19141" xr:uid="{DB9CACEE-0D9E-4B54-A59A-4BCBF6F3D563}"/>
    <cellStyle name="Millares 2 85 4" xfId="10983" xr:uid="{00000000-0005-0000-0000-0000810A0000}"/>
    <cellStyle name="Millares 2 85 4 2" xfId="19889" xr:uid="{39E626C1-A905-4C51-ACA5-A7FE4828E433}"/>
    <cellStyle name="Millares 2 85 5" xfId="18521" xr:uid="{E3C22762-8E36-4175-B921-DBE047CC6109}"/>
    <cellStyle name="Millares 2 86" xfId="1013" xr:uid="{00000000-0005-0000-0000-0000820A0000}"/>
    <cellStyle name="Millares 2 86 2" xfId="10740" xr:uid="{00000000-0005-0000-0000-0000830A0000}"/>
    <cellStyle name="Millares 2 87" xfId="9898" xr:uid="{00000000-0005-0000-0000-0000840A0000}"/>
    <cellStyle name="Millares 2 88" xfId="10187" xr:uid="{00000000-0005-0000-0000-0000850A0000}"/>
    <cellStyle name="Millares 2 88 2" xfId="11923" xr:uid="{00000000-0005-0000-0000-0000860A0000}"/>
    <cellStyle name="Millares 2 89" xfId="10547" xr:uid="{00000000-0005-0000-0000-0000870A0000}"/>
    <cellStyle name="Millares 2 89 2" xfId="12282" xr:uid="{00000000-0005-0000-0000-0000880A0000}"/>
    <cellStyle name="Millares 2 9" xfId="1142" xr:uid="{00000000-0005-0000-0000-0000890A0000}"/>
    <cellStyle name="Millares 2 9 2" xfId="7651" xr:uid="{00000000-0005-0000-0000-00008A0A0000}"/>
    <cellStyle name="Millares 2 9 2 2" xfId="11311" xr:uid="{00000000-0005-0000-0000-00008B0A0000}"/>
    <cellStyle name="Millares 2 9 3" xfId="10855" xr:uid="{00000000-0005-0000-0000-00008C0A0000}"/>
    <cellStyle name="Millares 2 90" xfId="10614" xr:uid="{00000000-0005-0000-0000-00008D0A0000}"/>
    <cellStyle name="Millares 2 90 2" xfId="12341" xr:uid="{00000000-0005-0000-0000-00008E0A0000}"/>
    <cellStyle name="Millares 2 91" xfId="10634" xr:uid="{00000000-0005-0000-0000-00008F0A0000}"/>
    <cellStyle name="Millares 2 91 2" xfId="19740" xr:uid="{7AA2CA9B-624C-42F6-A61C-F893B50FCBDD}"/>
    <cellStyle name="Millares 2 92" xfId="12354" xr:uid="{00000000-0005-0000-0000-0000900A0000}"/>
    <cellStyle name="Millares 2 93" xfId="12357" xr:uid="{00000000-0005-0000-0000-0000910A0000}"/>
    <cellStyle name="Millares 2 94" xfId="12390" xr:uid="{00000000-0005-0000-0000-0000920A0000}"/>
    <cellStyle name="Millares 2 95" xfId="12404" xr:uid="{F77C5CBF-8875-4FAA-AEBD-791E1B9AA686}"/>
    <cellStyle name="Millares 2 95 2" xfId="21140" xr:uid="{AAB6E378-ED7A-47DF-A885-AA4B7751EA0A}"/>
    <cellStyle name="Millares 2 96" xfId="14187" xr:uid="{296AF3FE-BAC5-40FD-B76D-B608CA806863}"/>
    <cellStyle name="Millares 2 97" xfId="17812" xr:uid="{6A034454-E0EE-4872-9209-274463E99F24}"/>
    <cellStyle name="Millares 2 98" xfId="18219" xr:uid="{E94D41AA-6893-48DB-848B-32611835B330}"/>
    <cellStyle name="Millares 2 99" xfId="17784" xr:uid="{2989F337-EC74-4D91-B6C0-308819662D56}"/>
    <cellStyle name="Millares 2_1.2.b" xfId="16106" xr:uid="{DB7E72BC-8E62-4953-9063-C0C5CD94AB48}"/>
    <cellStyle name="Millares 20" xfId="4308" xr:uid="{00000000-0005-0000-0000-0000930A0000}"/>
    <cellStyle name="Millares 20 2" xfId="11116" xr:uid="{00000000-0005-0000-0000-0000940A0000}"/>
    <cellStyle name="Millares 21" xfId="4317" xr:uid="{00000000-0005-0000-0000-0000950A0000}"/>
    <cellStyle name="Millares 21 2" xfId="11124" xr:uid="{00000000-0005-0000-0000-0000960A0000}"/>
    <cellStyle name="Millares 22" xfId="4318" xr:uid="{00000000-0005-0000-0000-0000970A0000}"/>
    <cellStyle name="Millares 22 2" xfId="11125" xr:uid="{00000000-0005-0000-0000-0000980A0000}"/>
    <cellStyle name="Millares 23" xfId="4301" xr:uid="{00000000-0005-0000-0000-0000990A0000}"/>
    <cellStyle name="Millares 23 2" xfId="11110" xr:uid="{00000000-0005-0000-0000-00009A0A0000}"/>
    <cellStyle name="Millares 24" xfId="4327" xr:uid="{00000000-0005-0000-0000-00009B0A0000}"/>
    <cellStyle name="Millares 24 2" xfId="11133" xr:uid="{00000000-0005-0000-0000-00009C0A0000}"/>
    <cellStyle name="Millares 25" xfId="4326" xr:uid="{00000000-0005-0000-0000-00009D0A0000}"/>
    <cellStyle name="Millares 25 2" xfId="11132" xr:uid="{00000000-0005-0000-0000-00009E0A0000}"/>
    <cellStyle name="Millares 26" xfId="7583" xr:uid="{00000000-0005-0000-0000-00009F0A0000}"/>
    <cellStyle name="Millares 26 2" xfId="11250" xr:uid="{00000000-0005-0000-0000-0000A00A0000}"/>
    <cellStyle name="Millares 27" xfId="9839" xr:uid="{00000000-0005-0000-0000-0000A10A0000}"/>
    <cellStyle name="Millares 27 2" xfId="11625" xr:uid="{00000000-0005-0000-0000-0000A20A0000}"/>
    <cellStyle name="Millares 28" xfId="9841" xr:uid="{00000000-0005-0000-0000-0000A30A0000}"/>
    <cellStyle name="Millares 29" xfId="9859" xr:uid="{00000000-0005-0000-0000-0000A40A0000}"/>
    <cellStyle name="Millares 29 2" xfId="11644" xr:uid="{00000000-0005-0000-0000-0000A50A0000}"/>
    <cellStyle name="Millares 29 2 2" xfId="20411" xr:uid="{C1E935B4-9FA3-4952-A086-04B2610EB92B}"/>
    <cellStyle name="Millares 29 3" xfId="19043" xr:uid="{4A287C53-5E4C-4078-BEB8-5A0F043D5481}"/>
    <cellStyle name="Millares 29 4" xfId="24489" xr:uid="{66338DF5-60EA-4E5F-9452-123F7E14C760}"/>
    <cellStyle name="Millares 3" xfId="28" xr:uid="{00000000-0005-0000-0000-0000A60A0000}"/>
    <cellStyle name="Millares 3 10" xfId="1144" xr:uid="{00000000-0005-0000-0000-0000A70A0000}"/>
    <cellStyle name="Millares 3 11" xfId="1145" xr:uid="{00000000-0005-0000-0000-0000A80A0000}"/>
    <cellStyle name="Millares 3 12" xfId="1146" xr:uid="{00000000-0005-0000-0000-0000A90A0000}"/>
    <cellStyle name="Millares 3 12 2" xfId="7653" xr:uid="{00000000-0005-0000-0000-0000AA0A0000}"/>
    <cellStyle name="Millares 3 12 2 2" xfId="11313" xr:uid="{00000000-0005-0000-0000-0000AB0A0000}"/>
    <cellStyle name="Millares 3 12 3" xfId="10857" xr:uid="{00000000-0005-0000-0000-0000AC0A0000}"/>
    <cellStyle name="Millares 3 13" xfId="1147" xr:uid="{00000000-0005-0000-0000-0000AD0A0000}"/>
    <cellStyle name="Millares 3 13 2" xfId="7654" xr:uid="{00000000-0005-0000-0000-0000AE0A0000}"/>
    <cellStyle name="Millares 3 13 2 2" xfId="11314" xr:uid="{00000000-0005-0000-0000-0000AF0A0000}"/>
    <cellStyle name="Millares 3 13 3" xfId="10858" xr:uid="{00000000-0005-0000-0000-0000B00A0000}"/>
    <cellStyle name="Millares 3 14" xfId="1148" xr:uid="{00000000-0005-0000-0000-0000B10A0000}"/>
    <cellStyle name="Millares 3 14 2" xfId="7655" xr:uid="{00000000-0005-0000-0000-0000B20A0000}"/>
    <cellStyle name="Millares 3 14 2 2" xfId="11315" xr:uid="{00000000-0005-0000-0000-0000B30A0000}"/>
    <cellStyle name="Millares 3 14 3" xfId="10859" xr:uid="{00000000-0005-0000-0000-0000B40A0000}"/>
    <cellStyle name="Millares 3 15" xfId="1149" xr:uid="{00000000-0005-0000-0000-0000B50A0000}"/>
    <cellStyle name="Millares 3 15 2" xfId="7656" xr:uid="{00000000-0005-0000-0000-0000B60A0000}"/>
    <cellStyle name="Millares 3 15 2 2" xfId="11316" xr:uid="{00000000-0005-0000-0000-0000B70A0000}"/>
    <cellStyle name="Millares 3 15 3" xfId="10860" xr:uid="{00000000-0005-0000-0000-0000B80A0000}"/>
    <cellStyle name="Millares 3 16" xfId="1150" xr:uid="{00000000-0005-0000-0000-0000B90A0000}"/>
    <cellStyle name="Millares 3 16 2" xfId="7657" xr:uid="{00000000-0005-0000-0000-0000BA0A0000}"/>
    <cellStyle name="Millares 3 16 2 2" xfId="11317" xr:uid="{00000000-0005-0000-0000-0000BB0A0000}"/>
    <cellStyle name="Millares 3 16 3" xfId="10861" xr:uid="{00000000-0005-0000-0000-0000BC0A0000}"/>
    <cellStyle name="Millares 3 17" xfId="1151" xr:uid="{00000000-0005-0000-0000-0000BD0A0000}"/>
    <cellStyle name="Millares 3 17 2" xfId="7658" xr:uid="{00000000-0005-0000-0000-0000BE0A0000}"/>
    <cellStyle name="Millares 3 17 2 2" xfId="11318" xr:uid="{00000000-0005-0000-0000-0000BF0A0000}"/>
    <cellStyle name="Millares 3 17 3" xfId="10862" xr:uid="{00000000-0005-0000-0000-0000C00A0000}"/>
    <cellStyle name="Millares 3 18" xfId="1152" xr:uid="{00000000-0005-0000-0000-0000C10A0000}"/>
    <cellStyle name="Millares 3 18 2" xfId="7659" xr:uid="{00000000-0005-0000-0000-0000C20A0000}"/>
    <cellStyle name="Millares 3 18 2 2" xfId="11319" xr:uid="{00000000-0005-0000-0000-0000C30A0000}"/>
    <cellStyle name="Millares 3 18 3" xfId="10863" xr:uid="{00000000-0005-0000-0000-0000C40A0000}"/>
    <cellStyle name="Millares 3 19" xfId="1153" xr:uid="{00000000-0005-0000-0000-0000C50A0000}"/>
    <cellStyle name="Millares 3 19 2" xfId="7660" xr:uid="{00000000-0005-0000-0000-0000C60A0000}"/>
    <cellStyle name="Millares 3 19 2 2" xfId="11320" xr:uid="{00000000-0005-0000-0000-0000C70A0000}"/>
    <cellStyle name="Millares 3 19 3" xfId="10864" xr:uid="{00000000-0005-0000-0000-0000C80A0000}"/>
    <cellStyle name="Millares 3 2" xfId="90" xr:uid="{00000000-0005-0000-0000-0000C90A0000}"/>
    <cellStyle name="Millares 3 2 10" xfId="4221" xr:uid="{00000000-0005-0000-0000-0000CA0A0000}"/>
    <cellStyle name="Millares 3 2 10 2" xfId="9656" xr:uid="{00000000-0005-0000-0000-0000CB0A0000}"/>
    <cellStyle name="Millares 3 2 10 2 2" xfId="10357" xr:uid="{00000000-0005-0000-0000-0000CC0A0000}"/>
    <cellStyle name="Millares 3 2 10 2 2 2" xfId="12092" xr:uid="{00000000-0005-0000-0000-0000CD0A0000}"/>
    <cellStyle name="Millares 3 2 10 2 2 2 2" xfId="20841" xr:uid="{E80D052A-DB17-4BA9-A4BE-C1DCA13D169D}"/>
    <cellStyle name="Millares 3 2 10 2 2 3" xfId="19478" xr:uid="{8D02D345-B890-43BC-9E2D-F26B0407C2FD}"/>
    <cellStyle name="Millares 3 2 10 2 3" xfId="11445" xr:uid="{00000000-0005-0000-0000-0000CE0A0000}"/>
    <cellStyle name="Millares 3 2 10 2 3 2" xfId="20214" xr:uid="{CE1AB6A9-7D76-4C83-859F-2BFB9864441B}"/>
    <cellStyle name="Millares 3 2 10 2 4" xfId="18846" xr:uid="{DB84103D-9EC9-4E8F-8227-A02696874948}"/>
    <cellStyle name="Millares 3 2 10 3" xfId="10060" xr:uid="{00000000-0005-0000-0000-0000CF0A0000}"/>
    <cellStyle name="Millares 3 2 10 3 2" xfId="11796" xr:uid="{00000000-0005-0000-0000-0000D00A0000}"/>
    <cellStyle name="Millares 3 2 10 3 2 2" xfId="20552" xr:uid="{54EFF322-44CB-4600-A228-8640CF2F2786}"/>
    <cellStyle name="Millares 3 2 10 3 3" xfId="19189" xr:uid="{67C15183-4A82-45DB-8626-3264983A3A28}"/>
    <cellStyle name="Millares 3 2 10 4" xfId="11032" xr:uid="{00000000-0005-0000-0000-0000D10A0000}"/>
    <cellStyle name="Millares 3 2 10 4 2" xfId="19937" xr:uid="{3BD88F90-A48A-493C-848A-B3C4CAB9ABE7}"/>
    <cellStyle name="Millares 3 2 10 5" xfId="18569" xr:uid="{8D049A28-6A1A-4675-A0EA-8E75B76619B6}"/>
    <cellStyle name="Millares 3 2 11" xfId="7661" xr:uid="{00000000-0005-0000-0000-0000D20A0000}"/>
    <cellStyle name="Millares 3 2 11 2" xfId="11321" xr:uid="{00000000-0005-0000-0000-0000D30A0000}"/>
    <cellStyle name="Millares 3 2 12" xfId="1154" xr:uid="{00000000-0005-0000-0000-0000D40A0000}"/>
    <cellStyle name="Millares 3 2 12 2" xfId="10865" xr:uid="{00000000-0005-0000-0000-0000D50A0000}"/>
    <cellStyle name="Millares 3 2 2" xfId="1155" xr:uid="{00000000-0005-0000-0000-0000D60A0000}"/>
    <cellStyle name="Millares 3 2 2 2" xfId="4272" xr:uid="{00000000-0005-0000-0000-0000D70A0000}"/>
    <cellStyle name="Millares 3 2 2 2 2" xfId="9707" xr:uid="{00000000-0005-0000-0000-0000D80A0000}"/>
    <cellStyle name="Millares 3 2 2 2 2 2" xfId="10408" xr:uid="{00000000-0005-0000-0000-0000D90A0000}"/>
    <cellStyle name="Millares 3 2 2 2 2 2 2" xfId="12143" xr:uid="{00000000-0005-0000-0000-0000DA0A0000}"/>
    <cellStyle name="Millares 3 2 2 2 2 2 2 2" xfId="20892" xr:uid="{AF285B80-A5C5-4312-9FD4-F7665C132BB5}"/>
    <cellStyle name="Millares 3 2 2 2 2 2 3" xfId="19529" xr:uid="{DAFC4EFA-218D-40A0-B6FD-FEAB2FDD0A9F}"/>
    <cellStyle name="Millares 3 2 2 2 2 3" xfId="11496" xr:uid="{00000000-0005-0000-0000-0000DB0A0000}"/>
    <cellStyle name="Millares 3 2 2 2 2 3 2" xfId="20265" xr:uid="{F6AED826-7255-4210-85CF-2F567AE65818}"/>
    <cellStyle name="Millares 3 2 2 2 2 4" xfId="18897" xr:uid="{61C38310-EA39-4F4B-9355-57BF33001CFB}"/>
    <cellStyle name="Millares 3 2 2 2 3" xfId="10111" xr:uid="{00000000-0005-0000-0000-0000DC0A0000}"/>
    <cellStyle name="Millares 3 2 2 2 3 2" xfId="11847" xr:uid="{00000000-0005-0000-0000-0000DD0A0000}"/>
    <cellStyle name="Millares 3 2 2 2 3 2 2" xfId="20603" xr:uid="{E6783AA0-6E20-4ED7-8455-35E065332404}"/>
    <cellStyle name="Millares 3 2 2 2 3 3" xfId="19240" xr:uid="{7A940034-CCD7-43C0-BF1C-F4269C487D19}"/>
    <cellStyle name="Millares 3 2 2 2 4" xfId="11083" xr:uid="{00000000-0005-0000-0000-0000DE0A0000}"/>
    <cellStyle name="Millares 3 2 2 2 4 2" xfId="19988" xr:uid="{92650547-A99D-4258-85BE-E4A490C0B244}"/>
    <cellStyle name="Millares 3 2 2 2 5" xfId="18620" xr:uid="{724B7C3E-96D3-43F3-9DED-11594CC3672A}"/>
    <cellStyle name="Millares 3 2 3" xfId="1156" xr:uid="{00000000-0005-0000-0000-0000DF0A0000}"/>
    <cellStyle name="Millares 3 2 4" xfId="1157" xr:uid="{00000000-0005-0000-0000-0000E00A0000}"/>
    <cellStyle name="Millares 3 2 5" xfId="1158" xr:uid="{00000000-0005-0000-0000-0000E10A0000}"/>
    <cellStyle name="Millares 3 2 6" xfId="1159" xr:uid="{00000000-0005-0000-0000-0000E20A0000}"/>
    <cellStyle name="Millares 3 2 7" xfId="1160" xr:uid="{00000000-0005-0000-0000-0000E30A0000}"/>
    <cellStyle name="Millares 3 2 8" xfId="1161" xr:uid="{00000000-0005-0000-0000-0000E40A0000}"/>
    <cellStyle name="Millares 3 2 9" xfId="4158" xr:uid="{00000000-0005-0000-0000-0000E50A0000}"/>
    <cellStyle name="Millares 3 2 9 2" xfId="9604" xr:uid="{00000000-0005-0000-0000-0000E60A0000}"/>
    <cellStyle name="Millares 3 2 9 2 2" xfId="10306" xr:uid="{00000000-0005-0000-0000-0000E70A0000}"/>
    <cellStyle name="Millares 3 2 9 2 2 2" xfId="12041" xr:uid="{00000000-0005-0000-0000-0000E80A0000}"/>
    <cellStyle name="Millares 3 2 9 2 2 2 2" xfId="20790" xr:uid="{F83CC35C-CBBC-4613-8820-03B0260E6660}"/>
    <cellStyle name="Millares 3 2 9 2 2 3" xfId="19427" xr:uid="{A015EF82-C77E-4EB4-840F-B40124E8FD4B}"/>
    <cellStyle name="Millares 3 2 9 2 3" xfId="11394" xr:uid="{00000000-0005-0000-0000-0000E90A0000}"/>
    <cellStyle name="Millares 3 2 9 2 3 2" xfId="20163" xr:uid="{4405025A-8220-4748-80C2-41600EA175D0}"/>
    <cellStyle name="Millares 3 2 9 2 4" xfId="18795" xr:uid="{7D8691B6-FE67-419B-9EC9-9B5D72EC185E}"/>
    <cellStyle name="Millares 3 2 9 3" xfId="10009" xr:uid="{00000000-0005-0000-0000-0000EA0A0000}"/>
    <cellStyle name="Millares 3 2 9 3 2" xfId="11745" xr:uid="{00000000-0005-0000-0000-0000EB0A0000}"/>
    <cellStyle name="Millares 3 2 9 3 2 2" xfId="20501" xr:uid="{4C9E1C61-B566-4E9A-868C-9382AEEB09A3}"/>
    <cellStyle name="Millares 3 2 9 3 3" xfId="19138" xr:uid="{30971371-2AD3-4C2E-92F8-18222398BA4A}"/>
    <cellStyle name="Millares 3 2 9 4" xfId="10972" xr:uid="{00000000-0005-0000-0000-0000EC0A0000}"/>
    <cellStyle name="Millares 3 2 9 4 2" xfId="19886" xr:uid="{2F83475A-1A5E-463F-9277-351A4EC70789}"/>
    <cellStyle name="Millares 3 2 9 5" xfId="18518" xr:uid="{1D56D212-A0E8-4DFD-927E-FC522CECF561}"/>
    <cellStyle name="Millares 3 2_1.2.b" xfId="16134" xr:uid="{87AAF37F-A613-4F8F-A270-0E8BB06E3A7F}"/>
    <cellStyle name="Millares 3 20" xfId="1162" xr:uid="{00000000-0005-0000-0000-0000ED0A0000}"/>
    <cellStyle name="Millares 3 20 2" xfId="7662" xr:uid="{00000000-0005-0000-0000-0000EE0A0000}"/>
    <cellStyle name="Millares 3 20 2 2" xfId="11322" xr:uid="{00000000-0005-0000-0000-0000EF0A0000}"/>
    <cellStyle name="Millares 3 20 3" xfId="10866" xr:uid="{00000000-0005-0000-0000-0000F00A0000}"/>
    <cellStyle name="Millares 3 21" xfId="1163" xr:uid="{00000000-0005-0000-0000-0000F10A0000}"/>
    <cellStyle name="Millares 3 21 2" xfId="7663" xr:uid="{00000000-0005-0000-0000-0000F20A0000}"/>
    <cellStyle name="Millares 3 21 2 2" xfId="11323" xr:uid="{00000000-0005-0000-0000-0000F30A0000}"/>
    <cellStyle name="Millares 3 21 3" xfId="10867" xr:uid="{00000000-0005-0000-0000-0000F40A0000}"/>
    <cellStyle name="Millares 3 22" xfId="1164" xr:uid="{00000000-0005-0000-0000-0000F50A0000}"/>
    <cellStyle name="Millares 3 22 2" xfId="7664" xr:uid="{00000000-0005-0000-0000-0000F60A0000}"/>
    <cellStyle name="Millares 3 22 2 2" xfId="11324" xr:uid="{00000000-0005-0000-0000-0000F70A0000}"/>
    <cellStyle name="Millares 3 22 3" xfId="10868" xr:uid="{00000000-0005-0000-0000-0000F80A0000}"/>
    <cellStyle name="Millares 3 23" xfId="1165" xr:uid="{00000000-0005-0000-0000-0000F90A0000}"/>
    <cellStyle name="Millares 3 23 2" xfId="7665" xr:uid="{00000000-0005-0000-0000-0000FA0A0000}"/>
    <cellStyle name="Millares 3 23 2 2" xfId="11325" xr:uid="{00000000-0005-0000-0000-0000FB0A0000}"/>
    <cellStyle name="Millares 3 23 3" xfId="10869" xr:uid="{00000000-0005-0000-0000-0000FC0A0000}"/>
    <cellStyle name="Millares 3 24" xfId="1166" xr:uid="{00000000-0005-0000-0000-0000FD0A0000}"/>
    <cellStyle name="Millares 3 24 2" xfId="7666" xr:uid="{00000000-0005-0000-0000-0000FE0A0000}"/>
    <cellStyle name="Millares 3 24 2 2" xfId="11326" xr:uid="{00000000-0005-0000-0000-0000FF0A0000}"/>
    <cellStyle name="Millares 3 24 3" xfId="10870" xr:uid="{00000000-0005-0000-0000-0000000B0000}"/>
    <cellStyle name="Millares 3 25" xfId="1167" xr:uid="{00000000-0005-0000-0000-0000010B0000}"/>
    <cellStyle name="Millares 3 25 2" xfId="7667" xr:uid="{00000000-0005-0000-0000-0000020B0000}"/>
    <cellStyle name="Millares 3 25 2 2" xfId="11327" xr:uid="{00000000-0005-0000-0000-0000030B0000}"/>
    <cellStyle name="Millares 3 25 3" xfId="10871" xr:uid="{00000000-0005-0000-0000-0000040B0000}"/>
    <cellStyle name="Millares 3 26" xfId="1168" xr:uid="{00000000-0005-0000-0000-0000050B0000}"/>
    <cellStyle name="Millares 3 26 2" xfId="7668" xr:uid="{00000000-0005-0000-0000-0000060B0000}"/>
    <cellStyle name="Millares 3 26 2 2" xfId="11328" xr:uid="{00000000-0005-0000-0000-0000070B0000}"/>
    <cellStyle name="Millares 3 26 3" xfId="10872" xr:uid="{00000000-0005-0000-0000-0000080B0000}"/>
    <cellStyle name="Millares 3 27" xfId="1169" xr:uid="{00000000-0005-0000-0000-0000090B0000}"/>
    <cellStyle name="Millares 3 27 2" xfId="7669" xr:uid="{00000000-0005-0000-0000-00000A0B0000}"/>
    <cellStyle name="Millares 3 27 2 2" xfId="11329" xr:uid="{00000000-0005-0000-0000-00000B0B0000}"/>
    <cellStyle name="Millares 3 27 3" xfId="10873" xr:uid="{00000000-0005-0000-0000-00000C0B0000}"/>
    <cellStyle name="Millares 3 28" xfId="1170" xr:uid="{00000000-0005-0000-0000-00000D0B0000}"/>
    <cellStyle name="Millares 3 28 2" xfId="7670" xr:uid="{00000000-0005-0000-0000-00000E0B0000}"/>
    <cellStyle name="Millares 3 28 2 2" xfId="11330" xr:uid="{00000000-0005-0000-0000-00000F0B0000}"/>
    <cellStyle name="Millares 3 28 3" xfId="10874" xr:uid="{00000000-0005-0000-0000-0000100B0000}"/>
    <cellStyle name="Millares 3 29" xfId="1171" xr:uid="{00000000-0005-0000-0000-0000110B0000}"/>
    <cellStyle name="Millares 3 29 2" xfId="7671" xr:uid="{00000000-0005-0000-0000-0000120B0000}"/>
    <cellStyle name="Millares 3 29 2 2" xfId="11331" xr:uid="{00000000-0005-0000-0000-0000130B0000}"/>
    <cellStyle name="Millares 3 29 3" xfId="10875" xr:uid="{00000000-0005-0000-0000-0000140B0000}"/>
    <cellStyle name="Millares 3 3" xfId="1172" xr:uid="{00000000-0005-0000-0000-0000150B0000}"/>
    <cellStyle name="Millares 3 3 2" xfId="4118" xr:uid="{00000000-0005-0000-0000-0000160B0000}"/>
    <cellStyle name="Millares 3 3 2 2" xfId="4254" xr:uid="{00000000-0005-0000-0000-0000170B0000}"/>
    <cellStyle name="Millares 3 3 2 2 2" xfId="9689" xr:uid="{00000000-0005-0000-0000-0000180B0000}"/>
    <cellStyle name="Millares 3 3 2 2 2 2" xfId="10390" xr:uid="{00000000-0005-0000-0000-0000190B0000}"/>
    <cellStyle name="Millares 3 3 2 2 2 2 2" xfId="12125" xr:uid="{00000000-0005-0000-0000-00001A0B0000}"/>
    <cellStyle name="Millares 3 3 2 2 2 2 2 2" xfId="20874" xr:uid="{3FC2F76A-CAA8-4742-AE3B-F47FBFB1D6FF}"/>
    <cellStyle name="Millares 3 3 2 2 2 2 3" xfId="19511" xr:uid="{FF331EA1-4986-4754-B5C2-721F6E8E50DB}"/>
    <cellStyle name="Millares 3 3 2 2 2 3" xfId="11478" xr:uid="{00000000-0005-0000-0000-00001B0B0000}"/>
    <cellStyle name="Millares 3 3 2 2 2 3 2" xfId="20247" xr:uid="{E0D5ADAD-5A27-4A4C-8B15-F4A9D1C58A6E}"/>
    <cellStyle name="Millares 3 3 2 2 2 4" xfId="18879" xr:uid="{BBA0F6A0-F930-4A25-B526-326D59A21B39}"/>
    <cellStyle name="Millares 3 3 2 2 3" xfId="10093" xr:uid="{00000000-0005-0000-0000-00001C0B0000}"/>
    <cellStyle name="Millares 3 3 2 2 3 2" xfId="11829" xr:uid="{00000000-0005-0000-0000-00001D0B0000}"/>
    <cellStyle name="Millares 3 3 2 2 3 2 2" xfId="20585" xr:uid="{0EFAA1CA-1628-47F3-9755-E93AE6C1826B}"/>
    <cellStyle name="Millares 3 3 2 2 3 3" xfId="19222" xr:uid="{A09B8055-D558-4CC1-9FCC-7AE79C6FB3CA}"/>
    <cellStyle name="Millares 3 3 2 2 4" xfId="11065" xr:uid="{00000000-0005-0000-0000-00001E0B0000}"/>
    <cellStyle name="Millares 3 3 2 2 4 2" xfId="19970" xr:uid="{C43C35BF-F766-4D3D-8875-0E016240B686}"/>
    <cellStyle name="Millares 3 3 2 2 5" xfId="18602" xr:uid="{DAB60FB0-DA5B-4E5B-B31A-518FDD4A37E6}"/>
    <cellStyle name="Millares 3 3 2 3" xfId="9585" xr:uid="{00000000-0005-0000-0000-00001F0B0000}"/>
    <cellStyle name="Millares 3 3 2 3 2" xfId="10288" xr:uid="{00000000-0005-0000-0000-0000200B0000}"/>
    <cellStyle name="Millares 3 3 2 3 2 2" xfId="12023" xr:uid="{00000000-0005-0000-0000-0000210B0000}"/>
    <cellStyle name="Millares 3 3 2 3 2 2 2" xfId="20772" xr:uid="{CCF92F55-1896-4D81-992C-6E7E90E50FBB}"/>
    <cellStyle name="Millares 3 3 2 3 2 3" xfId="19409" xr:uid="{E86AF0DF-D00A-438C-80BA-0A7A72A3E006}"/>
    <cellStyle name="Millares 3 3 2 3 3" xfId="11376" xr:uid="{00000000-0005-0000-0000-0000220B0000}"/>
    <cellStyle name="Millares 3 3 2 3 3 2" xfId="20145" xr:uid="{17CBD5B0-EF2F-4E67-9C45-06E5D397AE6F}"/>
    <cellStyle name="Millares 3 3 2 3 4" xfId="18777" xr:uid="{8DCB3B60-BF35-40F2-8BBD-201D032A260F}"/>
    <cellStyle name="Millares 3 3 2 4" xfId="9991" xr:uid="{00000000-0005-0000-0000-0000230B0000}"/>
    <cellStyle name="Millares 3 3 2 4 2" xfId="11727" xr:uid="{00000000-0005-0000-0000-0000240B0000}"/>
    <cellStyle name="Millares 3 3 2 4 2 2" xfId="20483" xr:uid="{821B4BC6-EB1E-4E79-8906-26AFC8A75FCE}"/>
    <cellStyle name="Millares 3 3 2 4 3" xfId="19120" xr:uid="{C1A9A0E5-9CA1-4C9E-83EE-095239177037}"/>
    <cellStyle name="Millares 3 3 2 5" xfId="10951" xr:uid="{00000000-0005-0000-0000-0000250B0000}"/>
    <cellStyle name="Millares 3 3 2 5 2" xfId="19868" xr:uid="{59BF3F51-54D3-4139-A6C1-4BAB47AFE0E9}"/>
    <cellStyle name="Millares 3 3 2 6" xfId="18500" xr:uid="{4CD4DE76-E777-472C-96EF-B84C73F2F4CA}"/>
    <cellStyle name="Millares 3 3 3" xfId="4203" xr:uid="{00000000-0005-0000-0000-0000260B0000}"/>
    <cellStyle name="Millares 3 3 3 2" xfId="9638" xr:uid="{00000000-0005-0000-0000-0000270B0000}"/>
    <cellStyle name="Millares 3 3 3 2 2" xfId="10339" xr:uid="{00000000-0005-0000-0000-0000280B0000}"/>
    <cellStyle name="Millares 3 3 3 2 2 2" xfId="12074" xr:uid="{00000000-0005-0000-0000-0000290B0000}"/>
    <cellStyle name="Millares 3 3 3 2 2 2 2" xfId="20823" xr:uid="{39D2F83F-D49C-4EDC-88B0-9CB8C7F0508A}"/>
    <cellStyle name="Millares 3 3 3 2 2 3" xfId="19460" xr:uid="{C88DE7EE-93FC-44E8-A551-B485DDB4A8E4}"/>
    <cellStyle name="Millares 3 3 3 2 3" xfId="11427" xr:uid="{00000000-0005-0000-0000-00002A0B0000}"/>
    <cellStyle name="Millares 3 3 3 2 3 2" xfId="20196" xr:uid="{C998C752-6E8D-4F1A-AA5F-9483E8B7B93C}"/>
    <cellStyle name="Millares 3 3 3 2 4" xfId="18828" xr:uid="{9A1E39D6-7283-4B7B-975D-E0B6F3652508}"/>
    <cellStyle name="Millares 3 3 3 3" xfId="10042" xr:uid="{00000000-0005-0000-0000-00002B0B0000}"/>
    <cellStyle name="Millares 3 3 3 3 2" xfId="11778" xr:uid="{00000000-0005-0000-0000-00002C0B0000}"/>
    <cellStyle name="Millares 3 3 3 3 2 2" xfId="20534" xr:uid="{5835A01B-5D3D-4238-B68C-9147E122B362}"/>
    <cellStyle name="Millares 3 3 3 3 3" xfId="19171" xr:uid="{00A5C24F-0B3A-46A1-8CF5-98EFA4B3AB6B}"/>
    <cellStyle name="Millares 3 3 3 4" xfId="11014" xr:uid="{00000000-0005-0000-0000-00002D0B0000}"/>
    <cellStyle name="Millares 3 3 3 4 2" xfId="19919" xr:uid="{3827A473-7D54-4E95-8CE5-DE6C96C809BA}"/>
    <cellStyle name="Millares 3 3 3 5" xfId="18551" xr:uid="{C0B51B62-3F82-44CF-AD03-72CD7D87D314}"/>
    <cellStyle name="Millares 3 3 4" xfId="7672" xr:uid="{00000000-0005-0000-0000-00002E0B0000}"/>
    <cellStyle name="Millares 3 3 4 2" xfId="11332" xr:uid="{00000000-0005-0000-0000-00002F0B0000}"/>
    <cellStyle name="Millares 3 3 5" xfId="10876" xr:uid="{00000000-0005-0000-0000-0000300B0000}"/>
    <cellStyle name="Millares 3 30" xfId="1173" xr:uid="{00000000-0005-0000-0000-0000310B0000}"/>
    <cellStyle name="Millares 3 30 2" xfId="7673" xr:uid="{00000000-0005-0000-0000-0000320B0000}"/>
    <cellStyle name="Millares 3 30 2 2" xfId="11333" xr:uid="{00000000-0005-0000-0000-0000330B0000}"/>
    <cellStyle name="Millares 3 30 3" xfId="10877" xr:uid="{00000000-0005-0000-0000-0000340B0000}"/>
    <cellStyle name="Millares 3 31" xfId="4085" xr:uid="{00000000-0005-0000-0000-0000350B0000}"/>
    <cellStyle name="Millares 3 31 2" xfId="9569" xr:uid="{00000000-0005-0000-0000-0000360B0000}"/>
    <cellStyle name="Millares 3 31 2 2" xfId="10272" xr:uid="{00000000-0005-0000-0000-0000370B0000}"/>
    <cellStyle name="Millares 3 31 2 2 2" xfId="12007" xr:uid="{00000000-0005-0000-0000-0000380B0000}"/>
    <cellStyle name="Millares 3 31 2 2 2 2" xfId="20756" xr:uid="{146E70B9-8E75-4A90-8B4D-C94706F238F0}"/>
    <cellStyle name="Millares 3 31 2 2 3" xfId="19393" xr:uid="{E2899431-59A2-443B-9F3F-BE550B3C0D00}"/>
    <cellStyle name="Millares 3 31 2 3" xfId="11360" xr:uid="{00000000-0005-0000-0000-0000390B0000}"/>
    <cellStyle name="Millares 3 31 2 3 2" xfId="20129" xr:uid="{F36A0DF0-448C-4295-853C-6E5F1639D18C}"/>
    <cellStyle name="Millares 3 31 2 4" xfId="18761" xr:uid="{150C4572-E1EF-42AA-92AE-001C0B3456D7}"/>
    <cellStyle name="Millares 3 31 3" xfId="9975" xr:uid="{00000000-0005-0000-0000-00003A0B0000}"/>
    <cellStyle name="Millares 3 31 3 2" xfId="11711" xr:uid="{00000000-0005-0000-0000-00003B0B0000}"/>
    <cellStyle name="Millares 3 31 3 2 2" xfId="20467" xr:uid="{2ACDCBA5-78D9-4AC8-8BFF-47F268DD5ECB}"/>
    <cellStyle name="Millares 3 31 3 3" xfId="19104" xr:uid="{E42A660F-8A45-4233-A33D-4BB9A10A1CF8}"/>
    <cellStyle name="Millares 3 31 4" xfId="10934" xr:uid="{00000000-0005-0000-0000-00003C0B0000}"/>
    <cellStyle name="Millares 3 31 4 2" xfId="19852" xr:uid="{F4EE7050-31A9-4A49-AB17-AA24BC587A67}"/>
    <cellStyle name="Millares 3 31 5" xfId="18484" xr:uid="{F066F416-35E8-4B84-AD40-051A64E09E1E}"/>
    <cellStyle name="Millares 3 32" xfId="4187" xr:uid="{00000000-0005-0000-0000-00003D0B0000}"/>
    <cellStyle name="Millares 3 32 2" xfId="9622" xr:uid="{00000000-0005-0000-0000-00003E0B0000}"/>
    <cellStyle name="Millares 3 32 2 2" xfId="10323" xr:uid="{00000000-0005-0000-0000-00003F0B0000}"/>
    <cellStyle name="Millares 3 32 2 2 2" xfId="12058" xr:uid="{00000000-0005-0000-0000-0000400B0000}"/>
    <cellStyle name="Millares 3 32 2 2 2 2" xfId="20807" xr:uid="{27C3E78F-8FD1-482C-99D7-3CC9EE1835D5}"/>
    <cellStyle name="Millares 3 32 2 2 3" xfId="19444" xr:uid="{13800820-8F81-4DA4-A7DE-2EB4A0EAA230}"/>
    <cellStyle name="Millares 3 32 2 3" xfId="11411" xr:uid="{00000000-0005-0000-0000-0000410B0000}"/>
    <cellStyle name="Millares 3 32 2 3 2" xfId="20180" xr:uid="{78B408D1-8622-44DA-8D4D-109A1E807146}"/>
    <cellStyle name="Millares 3 32 2 4" xfId="18812" xr:uid="{9798EEFE-0E72-4FEF-B566-7EF20F36B5A6}"/>
    <cellStyle name="Millares 3 32 3" xfId="10026" xr:uid="{00000000-0005-0000-0000-0000420B0000}"/>
    <cellStyle name="Millares 3 32 3 2" xfId="11762" xr:uid="{00000000-0005-0000-0000-0000430B0000}"/>
    <cellStyle name="Millares 3 32 3 2 2" xfId="20518" xr:uid="{CF9C1CDE-BCDE-4034-9370-A0D560A85648}"/>
    <cellStyle name="Millares 3 32 3 3" xfId="19155" xr:uid="{69D3A834-9ED6-4563-AB26-60088FB04120}"/>
    <cellStyle name="Millares 3 32 4" xfId="10998" xr:uid="{00000000-0005-0000-0000-0000440B0000}"/>
    <cellStyle name="Millares 3 32 4 2" xfId="19903" xr:uid="{86D3312F-A10A-4267-B227-E3D3197CAB47}"/>
    <cellStyle name="Millares 3 32 5" xfId="18535" xr:uid="{7A4E1084-E471-4A41-B4CC-12FC4A9C8243}"/>
    <cellStyle name="Millares 3 33" xfId="4278" xr:uid="{00000000-0005-0000-0000-0000450B0000}"/>
    <cellStyle name="Millares 3 33 2" xfId="11088" xr:uid="{00000000-0005-0000-0000-0000460B0000}"/>
    <cellStyle name="Millares 3 34" xfId="7652" xr:uid="{00000000-0005-0000-0000-0000470B0000}"/>
    <cellStyle name="Millares 3 34 2" xfId="10241" xr:uid="{00000000-0005-0000-0000-0000480B0000}"/>
    <cellStyle name="Millares 3 34 2 2" xfId="11976" xr:uid="{00000000-0005-0000-0000-0000490B0000}"/>
    <cellStyle name="Millares 3 34 3" xfId="11312" xr:uid="{00000000-0005-0000-0000-00004A0B0000}"/>
    <cellStyle name="Millares 3 35" xfId="1143" xr:uid="{00000000-0005-0000-0000-00004B0B0000}"/>
    <cellStyle name="Millares 3 35 2" xfId="10856" xr:uid="{00000000-0005-0000-0000-00004C0B0000}"/>
    <cellStyle name="Millares 3 36" xfId="9899" xr:uid="{00000000-0005-0000-0000-00004D0B0000}"/>
    <cellStyle name="Millares 3 36 2" xfId="11649" xr:uid="{00000000-0005-0000-0000-00004E0B0000}"/>
    <cellStyle name="Millares 3 37" xfId="9939" xr:uid="{00000000-0005-0000-0000-00004F0B0000}"/>
    <cellStyle name="Millares 3 37 2" xfId="11675" xr:uid="{00000000-0005-0000-0000-0000500B0000}"/>
    <cellStyle name="Millares 3 38" xfId="10635" xr:uid="{00000000-0005-0000-0000-0000510B0000}"/>
    <cellStyle name="Millares 3 38 2" xfId="19741" xr:uid="{07D9C8B5-E9B5-43FD-AC94-ED9054500691}"/>
    <cellStyle name="Millares 3 39" xfId="18359" xr:uid="{894A2CFF-28D8-4B28-8AF3-4B2CC0DD84E5}"/>
    <cellStyle name="Millares 3 4" xfId="1174" xr:uid="{00000000-0005-0000-0000-0000520B0000}"/>
    <cellStyle name="Millares 3 4 2" xfId="4238" xr:uid="{00000000-0005-0000-0000-0000530B0000}"/>
    <cellStyle name="Millares 3 4 2 2" xfId="9673" xr:uid="{00000000-0005-0000-0000-0000540B0000}"/>
    <cellStyle name="Millares 3 4 2 2 2" xfId="10374" xr:uid="{00000000-0005-0000-0000-0000550B0000}"/>
    <cellStyle name="Millares 3 4 2 2 2 2" xfId="12109" xr:uid="{00000000-0005-0000-0000-0000560B0000}"/>
    <cellStyle name="Millares 3 4 2 2 2 2 2" xfId="20858" xr:uid="{3E14013D-BC0A-4E0F-9B10-9580E482EE5C}"/>
    <cellStyle name="Millares 3 4 2 2 2 3" xfId="19495" xr:uid="{A751D1E6-51BD-45AF-9A29-C76D00AE4057}"/>
    <cellStyle name="Millares 3 4 2 2 3" xfId="11462" xr:uid="{00000000-0005-0000-0000-0000570B0000}"/>
    <cellStyle name="Millares 3 4 2 2 3 2" xfId="20231" xr:uid="{AAEFDE14-7D8D-4244-BD5D-6DEF222C56F0}"/>
    <cellStyle name="Millares 3 4 2 2 4" xfId="18863" xr:uid="{B86B6D41-8FCA-46C0-926F-F98E81AFB37E}"/>
    <cellStyle name="Millares 3 4 2 3" xfId="10077" xr:uid="{00000000-0005-0000-0000-0000580B0000}"/>
    <cellStyle name="Millares 3 4 2 3 2" xfId="11813" xr:uid="{00000000-0005-0000-0000-0000590B0000}"/>
    <cellStyle name="Millares 3 4 2 3 2 2" xfId="20569" xr:uid="{B943905B-F215-4A39-82CA-84D7A529620D}"/>
    <cellStyle name="Millares 3 4 2 3 3" xfId="19206" xr:uid="{630AB558-A6C0-41A0-95EA-DC157870BBD9}"/>
    <cellStyle name="Millares 3 4 2 4" xfId="11049" xr:uid="{00000000-0005-0000-0000-00005A0B0000}"/>
    <cellStyle name="Millares 3 4 2 4 2" xfId="19954" xr:uid="{A6169BAC-82AC-4A4E-A424-C0958427B740}"/>
    <cellStyle name="Millares 3 4 2 5" xfId="18586" xr:uid="{643AFE34-7F6C-4C95-A5BD-343A1BD7D7D3}"/>
    <cellStyle name="Millares 3 4 3" xfId="7674" xr:uid="{00000000-0005-0000-0000-00005B0B0000}"/>
    <cellStyle name="Millares 3 4 3 2" xfId="11334" xr:uid="{00000000-0005-0000-0000-00005C0B0000}"/>
    <cellStyle name="Millares 3 4 4" xfId="10878" xr:uid="{00000000-0005-0000-0000-00005D0B0000}"/>
    <cellStyle name="Millares 3 5" xfId="1175" xr:uid="{00000000-0005-0000-0000-00005E0B0000}"/>
    <cellStyle name="Millares 3 6" xfId="1176" xr:uid="{00000000-0005-0000-0000-00005F0B0000}"/>
    <cellStyle name="Millares 3 7" xfId="1177" xr:uid="{00000000-0005-0000-0000-0000600B0000}"/>
    <cellStyle name="Millares 3 8" xfId="1178" xr:uid="{00000000-0005-0000-0000-0000610B0000}"/>
    <cellStyle name="Millares 3 9" xfId="1179" xr:uid="{00000000-0005-0000-0000-0000620B0000}"/>
    <cellStyle name="Millares 30" xfId="10558" xr:uid="{00000000-0005-0000-0000-0000630B0000}"/>
    <cellStyle name="Millares 30 2" xfId="12293" xr:uid="{00000000-0005-0000-0000-0000640B0000}"/>
    <cellStyle name="Millares 31" xfId="11667" xr:uid="{00000000-0005-0000-0000-0000650B0000}"/>
    <cellStyle name="Millares 32" xfId="12387" xr:uid="{00000000-0005-0000-0000-0000660B0000}"/>
    <cellStyle name="Millares 33" xfId="12396" xr:uid="{00000000-0005-0000-0000-0000670B0000}"/>
    <cellStyle name="Millares 33 2" xfId="21133" xr:uid="{8F2C7426-E382-4CF4-A4CD-6167F82D76B6}"/>
    <cellStyle name="Millares 4" xfId="74" xr:uid="{00000000-0005-0000-0000-0000680B0000}"/>
    <cellStyle name="Millares 4 10" xfId="4346" xr:uid="{00000000-0005-0000-0000-0000690B0000}"/>
    <cellStyle name="Millares 4 10 2" xfId="10157" xr:uid="{00000000-0005-0000-0000-00006A0B0000}"/>
    <cellStyle name="Millares 4 10 2 2" xfId="11893" xr:uid="{00000000-0005-0000-0000-00006B0B0000}"/>
    <cellStyle name="Millares 4 10 3" xfId="11150" xr:uid="{00000000-0005-0000-0000-00006C0B0000}"/>
    <cellStyle name="Millares 4 11" xfId="1180" xr:uid="{00000000-0005-0000-0000-00006D0B0000}"/>
    <cellStyle name="Millares 4 11 2" xfId="10879" xr:uid="{00000000-0005-0000-0000-00006E0B0000}"/>
    <cellStyle name="Millares 4 12" xfId="9940" xr:uid="{00000000-0005-0000-0000-00006F0B0000}"/>
    <cellStyle name="Millares 4 12 2" xfId="11676" xr:uid="{00000000-0005-0000-0000-0000700B0000}"/>
    <cellStyle name="Millares 4 13" xfId="10646" xr:uid="{00000000-0005-0000-0000-0000710B0000}"/>
    <cellStyle name="Millares 4 14" xfId="14699" xr:uid="{7B3263CB-404E-438E-91D9-BE2FB008B30C}"/>
    <cellStyle name="Millares 4 2" xfId="91" xr:uid="{00000000-0005-0000-0000-0000720B0000}"/>
    <cellStyle name="Millares 4 2 2" xfId="1181" xr:uid="{00000000-0005-0000-0000-0000730B0000}"/>
    <cellStyle name="Millares 4 2 2 2" xfId="10880" xr:uid="{00000000-0005-0000-0000-0000740B0000}"/>
    <cellStyle name="Millares 4 2 3" xfId="10648" xr:uid="{00000000-0005-0000-0000-0000750B0000}"/>
    <cellStyle name="Millares 4 2 3 2" xfId="19745" xr:uid="{CDF7B1DC-70C1-4FFA-8A49-231FCFACBF0D}"/>
    <cellStyle name="Millares 4 2 4" xfId="18375" xr:uid="{1B57E393-C2D2-4E59-AB22-235E04537349}"/>
    <cellStyle name="Millares 4 3" xfId="1182" xr:uid="{00000000-0005-0000-0000-0000760B0000}"/>
    <cellStyle name="Millares 4 3 2" xfId="10881" xr:uid="{00000000-0005-0000-0000-0000770B0000}"/>
    <cellStyle name="Millares 4 4" xfId="1183" xr:uid="{00000000-0005-0000-0000-0000780B0000}"/>
    <cellStyle name="Millares 4 4 2" xfId="10882" xr:uid="{00000000-0005-0000-0000-0000790B0000}"/>
    <cellStyle name="Millares 4 5" xfId="1184" xr:uid="{00000000-0005-0000-0000-00007A0B0000}"/>
    <cellStyle name="Millares 4 5 2" xfId="10883" xr:uid="{00000000-0005-0000-0000-00007B0B0000}"/>
    <cellStyle name="Millares 4 6" xfId="1185" xr:uid="{00000000-0005-0000-0000-00007C0B0000}"/>
    <cellStyle name="Millares 4 6 2" xfId="10884" xr:uid="{00000000-0005-0000-0000-00007D0B0000}"/>
    <cellStyle name="Millares 4 7" xfId="1186" xr:uid="{00000000-0005-0000-0000-00007E0B0000}"/>
    <cellStyle name="Millares 4 7 2" xfId="10885" xr:uid="{00000000-0005-0000-0000-00007F0B0000}"/>
    <cellStyle name="Millares 4 8" xfId="1187" xr:uid="{00000000-0005-0000-0000-0000800B0000}"/>
    <cellStyle name="Millares 4 8 2" xfId="10886" xr:uid="{00000000-0005-0000-0000-0000810B0000}"/>
    <cellStyle name="Millares 4 9" xfId="4123" xr:uid="{00000000-0005-0000-0000-0000820B0000}"/>
    <cellStyle name="Millares 4 9 2" xfId="10955" xr:uid="{00000000-0005-0000-0000-0000830B0000}"/>
    <cellStyle name="Millares 4_1.2.b" xfId="16135" xr:uid="{2F9EB0A4-2A4C-4669-AC9D-4B09D06AC5C7}"/>
    <cellStyle name="Millares 5" xfId="92" xr:uid="{00000000-0005-0000-0000-0000840B0000}"/>
    <cellStyle name="Millares 5 10" xfId="7675" xr:uid="{00000000-0005-0000-0000-0000850B0000}"/>
    <cellStyle name="Millares 5 10 2" xfId="10242" xr:uid="{00000000-0005-0000-0000-0000860B0000}"/>
    <cellStyle name="Millares 5 10 2 2" xfId="11977" xr:uid="{00000000-0005-0000-0000-0000870B0000}"/>
    <cellStyle name="Millares 5 10 3" xfId="11335" xr:uid="{00000000-0005-0000-0000-0000880B0000}"/>
    <cellStyle name="Millares 5 11" xfId="1188" xr:uid="{00000000-0005-0000-0000-0000890B0000}"/>
    <cellStyle name="Millares 5 11 2" xfId="10887" xr:uid="{00000000-0005-0000-0000-00008A0B0000}"/>
    <cellStyle name="Millares 5 12" xfId="9941" xr:uid="{00000000-0005-0000-0000-00008B0B0000}"/>
    <cellStyle name="Millares 5 12 2" xfId="11677" xr:uid="{00000000-0005-0000-0000-00008C0B0000}"/>
    <cellStyle name="Millares 5 13" xfId="10549" xr:uid="{00000000-0005-0000-0000-00008D0B0000}"/>
    <cellStyle name="Millares 5 13 2" xfId="12284" xr:uid="{00000000-0005-0000-0000-00008E0B0000}"/>
    <cellStyle name="Millares 5 14" xfId="18376" xr:uid="{B99E5AE1-D8B2-4F72-A027-775936F0C9AD}"/>
    <cellStyle name="Millares 5 2" xfId="1189" xr:uid="{00000000-0005-0000-0000-00008F0B0000}"/>
    <cellStyle name="Millares 5 2 2" xfId="10888" xr:uid="{00000000-0005-0000-0000-0000900B0000}"/>
    <cellStyle name="Millares 5 2 3" xfId="14710" xr:uid="{8A8077C7-1B62-4DA6-A2A3-ADBB1D327D63}"/>
    <cellStyle name="Millares 5 3" xfId="1190" xr:uid="{00000000-0005-0000-0000-0000910B0000}"/>
    <cellStyle name="Millares 5 3 2" xfId="10889" xr:uid="{00000000-0005-0000-0000-0000920B0000}"/>
    <cellStyle name="Millares 5 4" xfId="1191" xr:uid="{00000000-0005-0000-0000-0000930B0000}"/>
    <cellStyle name="Millares 5 4 2" xfId="10890" xr:uid="{00000000-0005-0000-0000-0000940B0000}"/>
    <cellStyle name="Millares 5 5" xfId="1192" xr:uid="{00000000-0005-0000-0000-0000950B0000}"/>
    <cellStyle name="Millares 5 5 2" xfId="10891" xr:uid="{00000000-0005-0000-0000-0000960B0000}"/>
    <cellStyle name="Millares 5 6" xfId="1193" xr:uid="{00000000-0005-0000-0000-0000970B0000}"/>
    <cellStyle name="Millares 5 6 2" xfId="10892" xr:uid="{00000000-0005-0000-0000-0000980B0000}"/>
    <cellStyle name="Millares 5 7" xfId="1194" xr:uid="{00000000-0005-0000-0000-0000990B0000}"/>
    <cellStyle name="Millares 5 7 2" xfId="10893" xr:uid="{00000000-0005-0000-0000-00009A0B0000}"/>
    <cellStyle name="Millares 5 8" xfId="1195" xr:uid="{00000000-0005-0000-0000-00009B0B0000}"/>
    <cellStyle name="Millares 5 8 2" xfId="10894" xr:uid="{00000000-0005-0000-0000-00009C0B0000}"/>
    <cellStyle name="Millares 5 9" xfId="4160" xr:uid="{00000000-0005-0000-0000-00009D0B0000}"/>
    <cellStyle name="Millares 5 9 2" xfId="10974" xr:uid="{00000000-0005-0000-0000-00009E0B0000}"/>
    <cellStyle name="Millares 5_1.2.b" xfId="16136" xr:uid="{0DB5B2B3-AE57-4C74-8C3F-68B98FAF51B8}"/>
    <cellStyle name="Millares 6" xfId="123" xr:uid="{00000000-0005-0000-0000-00009F0B0000}"/>
    <cellStyle name="Millares 6 10" xfId="7566" xr:uid="{00000000-0005-0000-0000-0000A00B0000}"/>
    <cellStyle name="Millares 6 10 2" xfId="10224" xr:uid="{00000000-0005-0000-0000-0000A10B0000}"/>
    <cellStyle name="Millares 6 10 2 2" xfId="11960" xr:uid="{00000000-0005-0000-0000-0000A20B0000}"/>
    <cellStyle name="Millares 6 10 3" xfId="11234" xr:uid="{00000000-0005-0000-0000-0000A30B0000}"/>
    <cellStyle name="Millares 6 11" xfId="1196" xr:uid="{00000000-0005-0000-0000-0000A40B0000}"/>
    <cellStyle name="Millares 6 11 2" xfId="10895" xr:uid="{00000000-0005-0000-0000-0000A50B0000}"/>
    <cellStyle name="Millares 6 12" xfId="9942" xr:uid="{00000000-0005-0000-0000-0000A60B0000}"/>
    <cellStyle name="Millares 6 12 2" xfId="11678" xr:uid="{00000000-0005-0000-0000-0000A70B0000}"/>
    <cellStyle name="Millares 6 13" xfId="9948" xr:uid="{00000000-0005-0000-0000-0000A80B0000}"/>
    <cellStyle name="Millares 6 13 2" xfId="11684" xr:uid="{00000000-0005-0000-0000-0000A90B0000}"/>
    <cellStyle name="Millares 6 13 2 2" xfId="20440" xr:uid="{EBD32636-6DA4-4780-81A7-8D5C4052DDD1}"/>
    <cellStyle name="Millares 6 13 3" xfId="19077" xr:uid="{5BF377D7-CB2F-4045-B7BE-0CAA526100BB}"/>
    <cellStyle name="Millares 6 14" xfId="10557" xr:uid="{00000000-0005-0000-0000-0000AA0B0000}"/>
    <cellStyle name="Millares 6 14 2" xfId="12292" xr:uid="{00000000-0005-0000-0000-0000AB0B0000}"/>
    <cellStyle name="Millares 6 14 2 2" xfId="21039" xr:uid="{6CBC6FD0-B51D-4AD7-86D5-85E95C9075D6}"/>
    <cellStyle name="Millares 6 14 3" xfId="19676" xr:uid="{F737B95B-20AC-4455-9C01-CDC5E7EE4161}"/>
    <cellStyle name="Millares 6 15" xfId="10659" xr:uid="{00000000-0005-0000-0000-0000AC0B0000}"/>
    <cellStyle name="Millares 6 15 2" xfId="19753" xr:uid="{ED9FEAC7-ACE4-4BBB-90E6-C8AE7C6A5B44}"/>
    <cellStyle name="Millares 6 16" xfId="14197" xr:uid="{EFAF0D5A-BB46-4004-A90E-B6B06264B7C8}"/>
    <cellStyle name="Millares 6 16 2" xfId="22421" xr:uid="{B8C0EBEE-FE89-4DD0-82C9-ECA5083A1D73}"/>
    <cellStyle name="Millares 6 17" xfId="17822" xr:uid="{564958B4-AF5E-4180-93F5-B3997BE7F7A2}"/>
    <cellStyle name="Millares 6 17 2" xfId="24050" xr:uid="{97B600CF-1A1C-42C1-8C9A-519BAC205215}"/>
    <cellStyle name="Millares 6 18" xfId="18384" xr:uid="{5730C47C-34BC-4BFE-8F93-0284DDBB1FD4}"/>
    <cellStyle name="Millares 6 2" xfId="1197" xr:uid="{00000000-0005-0000-0000-0000AD0B0000}"/>
    <cellStyle name="Millares 6 2 2" xfId="10528" xr:uid="{00000000-0005-0000-0000-0000AE0B0000}"/>
    <cellStyle name="Millares 6 2 2 2" xfId="12263" xr:uid="{00000000-0005-0000-0000-0000AF0B0000}"/>
    <cellStyle name="Millares 6 2 2 2 2" xfId="21012" xr:uid="{9DAEB0BB-9B1B-4539-B614-8833B08718C6}"/>
    <cellStyle name="Millares 6 2 2 3" xfId="19649" xr:uid="{19E6D1A9-C386-4F6A-A949-569E2AECCBAE}"/>
    <cellStyle name="Millares 6 2 3" xfId="10570" xr:uid="{00000000-0005-0000-0000-0000B00B0000}"/>
    <cellStyle name="Millares 6 2 3 2" xfId="12305" xr:uid="{00000000-0005-0000-0000-0000B10B0000}"/>
    <cellStyle name="Millares 6 2 3 2 2" xfId="21051" xr:uid="{5E73D64F-435E-4F5F-9347-128245DD4E37}"/>
    <cellStyle name="Millares 6 2 3 3" xfId="19688" xr:uid="{229E92DE-0A79-47B9-8568-E8B3E26B63CE}"/>
    <cellStyle name="Millares 6 2 4" xfId="14198" xr:uid="{EA46ED4B-FBDC-4CB3-9654-1FB2B6E19EF7}"/>
    <cellStyle name="Millares 6 2 4 2" xfId="22422" xr:uid="{7338BF7D-798E-43A7-8C45-69859AF20A62}"/>
    <cellStyle name="Millares 6 2 5" xfId="17823" xr:uid="{C2DEE5E4-645C-41F1-A591-CDB623FE54B9}"/>
    <cellStyle name="Millares 6 2 5 2" xfId="24051" xr:uid="{217997BD-9FD1-4041-8891-CC7C80CBEEB3}"/>
    <cellStyle name="Millares 6 2_1.2.b" xfId="16137" xr:uid="{E861B5EB-C751-44F5-BF9F-A5A9AA7231F9}"/>
    <cellStyle name="Millares 6 3" xfId="1198" xr:uid="{00000000-0005-0000-0000-0000B20B0000}"/>
    <cellStyle name="Millares 6 3 2" xfId="14722" xr:uid="{5120192C-3A41-4F9E-B40D-9FE4BE18EBF3}"/>
    <cellStyle name="Millares 6 3 2 2" xfId="14773" xr:uid="{834485E2-8527-49D3-9F92-F5635C2F5BD9}"/>
    <cellStyle name="Millares 6 3 2 2 2" xfId="18150" xr:uid="{19E74316-2772-41B4-A2E7-965DCE9FD901}"/>
    <cellStyle name="Millares 6 3 2 2 2 2" xfId="24356" xr:uid="{6F201513-DEF7-4618-A8E8-15021DE3D3E1}"/>
    <cellStyle name="Millares 6 3 2 2 3" xfId="22769" xr:uid="{B4F4C2BE-6DE3-4643-936B-272B33629F02}"/>
    <cellStyle name="Millares 6 3 2 3" xfId="18136" xr:uid="{DFC45118-29D9-4FDA-974F-0F3D7FD68290}"/>
    <cellStyle name="Millares 6 3 2 3 2" xfId="24344" xr:uid="{E0F1468F-1277-4BB0-AD3F-6DD412C6D45F}"/>
    <cellStyle name="Millares 6 3 2 4" xfId="22750" xr:uid="{C5D482AC-8B20-40B5-9B8E-B48E7C3744DA}"/>
    <cellStyle name="Millares 6 3 3" xfId="14199" xr:uid="{E576EA87-CB18-4BC4-854C-858CF0E790A9}"/>
    <cellStyle name="Millares 6 3 3 2" xfId="22423" xr:uid="{0B85620A-CDC2-4772-BC4A-8297CAEFBC24}"/>
    <cellStyle name="Millares 6 3 4" xfId="17824" xr:uid="{08C2A96E-D9A7-4BD0-AA57-3D33D8499329}"/>
    <cellStyle name="Millares 6 3 4 2" xfId="24052" xr:uid="{CDDADA84-40C4-4355-BD8C-58314DCDE575}"/>
    <cellStyle name="Millares 6 3_1.2.b" xfId="16138" xr:uid="{79297D2C-9F3F-462F-AA2A-0D9DDB61D010}"/>
    <cellStyle name="Millares 6 4" xfId="1199" xr:uid="{00000000-0005-0000-0000-0000B30B0000}"/>
    <cellStyle name="Millares 6 5" xfId="1200" xr:uid="{00000000-0005-0000-0000-0000B40B0000}"/>
    <cellStyle name="Millares 6 6" xfId="1201" xr:uid="{00000000-0005-0000-0000-0000B50B0000}"/>
    <cellStyle name="Millares 6 7" xfId="1202" xr:uid="{00000000-0005-0000-0000-0000B60B0000}"/>
    <cellStyle name="Millares 6 8" xfId="1203" xr:uid="{00000000-0005-0000-0000-0000B70B0000}"/>
    <cellStyle name="Millares 6 9" xfId="4164" xr:uid="{00000000-0005-0000-0000-0000B80B0000}"/>
    <cellStyle name="Millares 6 9 2" xfId="10978" xr:uid="{00000000-0005-0000-0000-0000B90B0000}"/>
    <cellStyle name="Millares 7" xfId="125" xr:uid="{00000000-0005-0000-0000-0000BA0B0000}"/>
    <cellStyle name="Millares 7 10" xfId="7567" xr:uid="{00000000-0005-0000-0000-0000BB0B0000}"/>
    <cellStyle name="Millares 7 10 2" xfId="10225" xr:uid="{00000000-0005-0000-0000-0000BC0B0000}"/>
    <cellStyle name="Millares 7 10 2 2" xfId="11961" xr:uid="{00000000-0005-0000-0000-0000BD0B0000}"/>
    <cellStyle name="Millares 7 10 3" xfId="11235" xr:uid="{00000000-0005-0000-0000-0000BE0B0000}"/>
    <cellStyle name="Millares 7 11" xfId="1204" xr:uid="{00000000-0005-0000-0000-0000BF0B0000}"/>
    <cellStyle name="Millares 7 11 2" xfId="10896" xr:uid="{00000000-0005-0000-0000-0000C00B0000}"/>
    <cellStyle name="Millares 7 12" xfId="9943" xr:uid="{00000000-0005-0000-0000-0000C10B0000}"/>
    <cellStyle name="Millares 7 12 2" xfId="11679" xr:uid="{00000000-0005-0000-0000-0000C20B0000}"/>
    <cellStyle name="Millares 7 13" xfId="10660" xr:uid="{00000000-0005-0000-0000-0000C30B0000}"/>
    <cellStyle name="Millares 7 13 2" xfId="19754" xr:uid="{42FCDE70-356E-45EE-9468-46D4021BA7B1}"/>
    <cellStyle name="Millares 7 14" xfId="18385" xr:uid="{30C770AE-9DD8-4DB0-9DF6-F85066959642}"/>
    <cellStyle name="Millares 7 2" xfId="1205" xr:uid="{00000000-0005-0000-0000-0000C40B0000}"/>
    <cellStyle name="Millares 7 3" xfId="1206" xr:uid="{00000000-0005-0000-0000-0000C50B0000}"/>
    <cellStyle name="Millares 7 4" xfId="1207" xr:uid="{00000000-0005-0000-0000-0000C60B0000}"/>
    <cellStyle name="Millares 7 5" xfId="1208" xr:uid="{00000000-0005-0000-0000-0000C70B0000}"/>
    <cellStyle name="Millares 7 6" xfId="1209" xr:uid="{00000000-0005-0000-0000-0000C80B0000}"/>
    <cellStyle name="Millares 7 7" xfId="1210" xr:uid="{00000000-0005-0000-0000-0000C90B0000}"/>
    <cellStyle name="Millares 7 8" xfId="1211" xr:uid="{00000000-0005-0000-0000-0000CA0B0000}"/>
    <cellStyle name="Millares 7 9" xfId="4162" xr:uid="{00000000-0005-0000-0000-0000CB0B0000}"/>
    <cellStyle name="Millares 7 9 2" xfId="10976" xr:uid="{00000000-0005-0000-0000-0000CC0B0000}"/>
    <cellStyle name="Millares 8" xfId="187" xr:uid="{00000000-0005-0000-0000-0000CD0B0000}"/>
    <cellStyle name="Millares 8 10" xfId="4348" xr:uid="{00000000-0005-0000-0000-0000CE0B0000}"/>
    <cellStyle name="Millares 8 10 2" xfId="10159" xr:uid="{00000000-0005-0000-0000-0000CF0B0000}"/>
    <cellStyle name="Millares 8 10 2 2" xfId="11895" xr:uid="{00000000-0005-0000-0000-0000D00B0000}"/>
    <cellStyle name="Millares 8 10 3" xfId="11152" xr:uid="{00000000-0005-0000-0000-0000D10B0000}"/>
    <cellStyle name="Millares 8 11" xfId="1212" xr:uid="{00000000-0005-0000-0000-0000D20B0000}"/>
    <cellStyle name="Millares 8 11 2" xfId="10897" xr:uid="{00000000-0005-0000-0000-0000D30B0000}"/>
    <cellStyle name="Millares 8 12" xfId="9944" xr:uid="{00000000-0005-0000-0000-0000D40B0000}"/>
    <cellStyle name="Millares 8 12 2" xfId="11680" xr:uid="{00000000-0005-0000-0000-0000D50B0000}"/>
    <cellStyle name="Millares 8 13" xfId="10707" xr:uid="{00000000-0005-0000-0000-0000D60B0000}"/>
    <cellStyle name="Millares 8 13 2" xfId="19799" xr:uid="{8378E53C-F445-453D-A34D-2F5FFE69C4B4}"/>
    <cellStyle name="Millares 8 14" xfId="18431" xr:uid="{BB7A0D68-398F-4C00-BD80-D72E96F2958E}"/>
    <cellStyle name="Millares 8 2" xfId="1213" xr:uid="{00000000-0005-0000-0000-0000D70B0000}"/>
    <cellStyle name="Millares 8 3" xfId="1214" xr:uid="{00000000-0005-0000-0000-0000D80B0000}"/>
    <cellStyle name="Millares 8 4" xfId="1215" xr:uid="{00000000-0005-0000-0000-0000D90B0000}"/>
    <cellStyle name="Millares 8 5" xfId="1216" xr:uid="{00000000-0005-0000-0000-0000DA0B0000}"/>
    <cellStyle name="Millares 8 6" xfId="1217" xr:uid="{00000000-0005-0000-0000-0000DB0B0000}"/>
    <cellStyle name="Millares 8 7" xfId="1218" xr:uid="{00000000-0005-0000-0000-0000DC0B0000}"/>
    <cellStyle name="Millares 8 8" xfId="1219" xr:uid="{00000000-0005-0000-0000-0000DD0B0000}"/>
    <cellStyle name="Millares 8 9" xfId="4166" xr:uid="{00000000-0005-0000-0000-0000DE0B0000}"/>
    <cellStyle name="Millares 8 9 2" xfId="10980" xr:uid="{00000000-0005-0000-0000-0000DF0B0000}"/>
    <cellStyle name="Millares 9" xfId="1220" xr:uid="{00000000-0005-0000-0000-0000E00B0000}"/>
    <cellStyle name="Millares 9 10" xfId="10898" xr:uid="{00000000-0005-0000-0000-0000E10B0000}"/>
    <cellStyle name="Millares 9 2" xfId="1221" xr:uid="{00000000-0005-0000-0000-0000E20B0000}"/>
    <cellStyle name="Millares 9 2 2" xfId="10899" xr:uid="{00000000-0005-0000-0000-0000E30B0000}"/>
    <cellStyle name="Millares 9 3" xfId="1222" xr:uid="{00000000-0005-0000-0000-0000E40B0000}"/>
    <cellStyle name="Millares 9 3 2" xfId="10900" xr:uid="{00000000-0005-0000-0000-0000E50B0000}"/>
    <cellStyle name="Millares 9 4" xfId="1223" xr:uid="{00000000-0005-0000-0000-0000E60B0000}"/>
    <cellStyle name="Millares 9 4 2" xfId="10901" xr:uid="{00000000-0005-0000-0000-0000E70B0000}"/>
    <cellStyle name="Millares 9 5" xfId="1224" xr:uid="{00000000-0005-0000-0000-0000E80B0000}"/>
    <cellStyle name="Millares 9 5 2" xfId="10902" xr:uid="{00000000-0005-0000-0000-0000E90B0000}"/>
    <cellStyle name="Millares 9 6" xfId="1225" xr:uid="{00000000-0005-0000-0000-0000EA0B0000}"/>
    <cellStyle name="Millares 9 6 2" xfId="10903" xr:uid="{00000000-0005-0000-0000-0000EB0B0000}"/>
    <cellStyle name="Millares 9 7" xfId="1226" xr:uid="{00000000-0005-0000-0000-0000EC0B0000}"/>
    <cellStyle name="Millares 9 7 2" xfId="10904" xr:uid="{00000000-0005-0000-0000-0000ED0B0000}"/>
    <cellStyle name="Millares 9 8" xfId="1227" xr:uid="{00000000-0005-0000-0000-0000EE0B0000}"/>
    <cellStyle name="Millares 9 8 2" xfId="10905" xr:uid="{00000000-0005-0000-0000-0000EF0B0000}"/>
    <cellStyle name="Millares 9 9" xfId="4050" xr:uid="{00000000-0005-0000-0000-0000F00B0000}"/>
    <cellStyle name="Millares 9 9 2" xfId="10917" xr:uid="{00000000-0005-0000-0000-0000F10B0000}"/>
    <cellStyle name="Moneda 10" xfId="4284" xr:uid="{00000000-0005-0000-0000-0000F20B0000}"/>
    <cellStyle name="Moneda 10 2" xfId="11093" xr:uid="{00000000-0005-0000-0000-0000F30B0000}"/>
    <cellStyle name="Moneda 11" xfId="4283" xr:uid="{00000000-0005-0000-0000-0000F40B0000}"/>
    <cellStyle name="Moneda 11 2" xfId="11092" xr:uid="{00000000-0005-0000-0000-0000F50B0000}"/>
    <cellStyle name="Moneda 12" xfId="4285" xr:uid="{00000000-0005-0000-0000-0000F60B0000}"/>
    <cellStyle name="Moneda 12 2" xfId="11094" xr:uid="{00000000-0005-0000-0000-0000F70B0000}"/>
    <cellStyle name="Moneda 2" xfId="93" xr:uid="{00000000-0005-0000-0000-0000F80B0000}"/>
    <cellStyle name="Moneda 2 10" xfId="1228" xr:uid="{00000000-0005-0000-0000-0000F90B0000}"/>
    <cellStyle name="Moneda 2 10 2" xfId="10906" xr:uid="{00000000-0005-0000-0000-0000FA0B0000}"/>
    <cellStyle name="Moneda 2 11" xfId="10649" xr:uid="{00000000-0005-0000-0000-0000FB0B0000}"/>
    <cellStyle name="Moneda 2 2" xfId="94" xr:uid="{00000000-0005-0000-0000-0000FC0B0000}"/>
    <cellStyle name="Moneda 2 2 2" xfId="4134" xr:uid="{00000000-0005-0000-0000-0000FD0B0000}"/>
    <cellStyle name="Moneda 2 2 2 2" xfId="10961" xr:uid="{00000000-0005-0000-0000-0000FE0B0000}"/>
    <cellStyle name="Moneda 2 2 3" xfId="1229" xr:uid="{00000000-0005-0000-0000-0000FF0B0000}"/>
    <cellStyle name="Moneda 2 2 4" xfId="10650" xr:uid="{00000000-0005-0000-0000-0000000C0000}"/>
    <cellStyle name="Moneda 2 3" xfId="1230" xr:uid="{00000000-0005-0000-0000-0000010C0000}"/>
    <cellStyle name="Moneda 2 3 2" xfId="4094" xr:uid="{00000000-0005-0000-0000-0000020C0000}"/>
    <cellStyle name="Moneda 2 3 2 2" xfId="10940" xr:uid="{00000000-0005-0000-0000-0000030C0000}"/>
    <cellStyle name="Moneda 2 4" xfId="1231" xr:uid="{00000000-0005-0000-0000-0000040C0000}"/>
    <cellStyle name="Moneda 2 5" xfId="1232" xr:uid="{00000000-0005-0000-0000-0000050C0000}"/>
    <cellStyle name="Moneda 2 6" xfId="1233" xr:uid="{00000000-0005-0000-0000-0000060C0000}"/>
    <cellStyle name="Moneda 2 7" xfId="1234" xr:uid="{00000000-0005-0000-0000-0000070C0000}"/>
    <cellStyle name="Moneda 2 8" xfId="1235" xr:uid="{00000000-0005-0000-0000-0000080C0000}"/>
    <cellStyle name="Moneda 2 9" xfId="4060" xr:uid="{00000000-0005-0000-0000-0000090C0000}"/>
    <cellStyle name="Moneda 2 9 2" xfId="10923" xr:uid="{00000000-0005-0000-0000-00000A0C0000}"/>
    <cellStyle name="Moneda 3" xfId="95" xr:uid="{00000000-0005-0000-0000-00000B0C0000}"/>
    <cellStyle name="Moneda 3 2" xfId="4125" xr:uid="{00000000-0005-0000-0000-00000C0C0000}"/>
    <cellStyle name="Moneda 3 2 2" xfId="10957" xr:uid="{00000000-0005-0000-0000-00000D0C0000}"/>
    <cellStyle name="Moneda 3 3" xfId="4039" xr:uid="{00000000-0005-0000-0000-00000E0C0000}"/>
    <cellStyle name="Moneda 3 4" xfId="10651" xr:uid="{00000000-0005-0000-0000-00000F0C0000}"/>
    <cellStyle name="Moneda 3 4 2" xfId="19746" xr:uid="{4886C28C-2A2F-4F84-B26A-68F810C01594}"/>
    <cellStyle name="Moneda 3 5" xfId="18377" xr:uid="{B9BE86FC-3133-4939-ABD9-6D900591362E}"/>
    <cellStyle name="Moneda 4" xfId="96" xr:uid="{00000000-0005-0000-0000-0000100C0000}"/>
    <cellStyle name="Moneda 4 2" xfId="10652" xr:uid="{00000000-0005-0000-0000-0000110C0000}"/>
    <cellStyle name="Moneda 5" xfId="4163" xr:uid="{00000000-0005-0000-0000-0000120C0000}"/>
    <cellStyle name="Moneda 5 2" xfId="10977" xr:uid="{00000000-0005-0000-0000-0000130C0000}"/>
    <cellStyle name="Moneda 6" xfId="4161" xr:uid="{00000000-0005-0000-0000-0000140C0000}"/>
    <cellStyle name="Moneda 6 2" xfId="10975" xr:uid="{00000000-0005-0000-0000-0000150C0000}"/>
    <cellStyle name="Moneda 7" xfId="4165" xr:uid="{00000000-0005-0000-0000-0000160C0000}"/>
    <cellStyle name="Moneda 7 2" xfId="10979" xr:uid="{00000000-0005-0000-0000-0000170C0000}"/>
    <cellStyle name="Moneda 8" xfId="4052" xr:uid="{00000000-0005-0000-0000-0000180C0000}"/>
    <cellStyle name="Moneda 8 2" xfId="10919" xr:uid="{00000000-0005-0000-0000-0000190C0000}"/>
    <cellStyle name="Moneda 9" xfId="4171" xr:uid="{00000000-0005-0000-0000-00001A0C0000}"/>
    <cellStyle name="Moneda 9 2" xfId="10984" xr:uid="{00000000-0005-0000-0000-00001B0C0000}"/>
    <cellStyle name="Monetario" xfId="70" xr:uid="{00000000-0005-0000-0000-00001C0C0000}"/>
    <cellStyle name="Monetario 2" xfId="97" xr:uid="{00000000-0005-0000-0000-00001D0C0000}"/>
    <cellStyle name="Monetario 3" xfId="1236" xr:uid="{00000000-0005-0000-0000-00001E0C0000}"/>
    <cellStyle name="Monetario_1.2.b" xfId="16139" xr:uid="{109800D2-0BCB-4BA5-87A7-7015FF6208EA}"/>
    <cellStyle name="Monetario0" xfId="1237" xr:uid="{00000000-0005-0000-0000-00001F0C0000}"/>
    <cellStyle name="Neutral" xfId="34" builtinId="28" customBuiltin="1"/>
    <cellStyle name="Neutral 10" xfId="14200" xr:uid="{B03EE880-2C9B-4E5B-A690-CFA7E78359B1}"/>
    <cellStyle name="Neutral 11" xfId="18300" xr:uid="{8E42022F-CB5A-432A-8AF2-8234E7854FB6}"/>
    <cellStyle name="Neutral 2" xfId="9900" xr:uid="{00000000-0005-0000-0000-0000210C0000}"/>
    <cellStyle name="Neutral 2 2" xfId="14201" xr:uid="{4B3C6550-BEB0-4CF9-88E3-EA5718A25539}"/>
    <cellStyle name="Neutral 2 2 2" xfId="14202" xr:uid="{68300533-BA5D-4027-A5F3-D5BD222C4280}"/>
    <cellStyle name="Neutral 2 2 3" xfId="14203" xr:uid="{8E6BAC66-196D-49DF-845F-587F9560200E}"/>
    <cellStyle name="Neutral 2 2 4" xfId="14204" xr:uid="{CB776723-EF3D-4C0A-8330-C200FB3844DC}"/>
    <cellStyle name="Neutral 2 3" xfId="14205" xr:uid="{4CDB554A-F29F-43B4-B687-23C2847899F0}"/>
    <cellStyle name="Neutral 2 4" xfId="14206" xr:uid="{97917B19-DE08-4DE0-AC17-CCD2D7ABE1B1}"/>
    <cellStyle name="Neutral 2 5" xfId="14207" xr:uid="{FFC6FFE7-2D4D-4A3F-BEC9-7C854F6C7514}"/>
    <cellStyle name="Neutral 3" xfId="10636" xr:uid="{00000000-0005-0000-0000-0000220C0000}"/>
    <cellStyle name="Neutral 3 2" xfId="14208" xr:uid="{8028C74D-B012-4434-B761-03D9D51D312F}"/>
    <cellStyle name="Neutral 3 3" xfId="14209" xr:uid="{D0C0AED6-E11C-463E-9989-B8D6945CC609}"/>
    <cellStyle name="Neutral 3_1.2.b" xfId="16140" xr:uid="{34832DE1-9907-4CB4-930F-274EF26BE759}"/>
    <cellStyle name="Neutral 4" xfId="14210" xr:uid="{5FF6AAA7-D3D3-4F5C-AE70-E25036296E46}"/>
    <cellStyle name="Neutral 4 2" xfId="14211" xr:uid="{AAFC6BBB-2A99-494E-9E74-342533524D51}"/>
    <cellStyle name="Neutral 4_1.2.b" xfId="16141" xr:uid="{9F2AE48A-E0EC-4B65-803F-C4E27DF72755}"/>
    <cellStyle name="Neutral 5" xfId="14212" xr:uid="{35C5CD00-40B0-48DE-9DDF-A556BE81246F}"/>
    <cellStyle name="Neutral 6" xfId="14213" xr:uid="{B6B12E59-1AE0-4A3F-A29E-CD1142FB157A}"/>
    <cellStyle name="Neutral 7" xfId="14214" xr:uid="{A1B0E66B-0BCB-46D5-B867-22F58D6ED12F}"/>
    <cellStyle name="Neutral 7 2" xfId="14215" xr:uid="{8CFEAABA-6182-489F-BBB0-97A020BBEF36}"/>
    <cellStyle name="Neutral 7 3" xfId="14216" xr:uid="{0E3C9F3C-077D-4208-9EBC-3085AE74EF3F}"/>
    <cellStyle name="Neutral 7_1.2.b" xfId="16142" xr:uid="{E879D753-15D1-4C76-8CE3-EE565FC22036}"/>
    <cellStyle name="Neutral 8" xfId="14217" xr:uid="{635133B5-55D6-4203-870C-2445C95DBD37}"/>
    <cellStyle name="Neutral 8 2" xfId="14218" xr:uid="{F6696253-3ADB-4ADB-9EB9-A917633613B8}"/>
    <cellStyle name="Neutral 8 3" xfId="14219" xr:uid="{EB498456-F6BF-43C6-BAA4-93B095ED84D6}"/>
    <cellStyle name="Neutral 8_1.2.b" xfId="16143" xr:uid="{DFEC2F54-6B82-4D17-B441-02DFCAED385F}"/>
    <cellStyle name="Neutral 9" xfId="14220" xr:uid="{105EAA78-5CC7-49BE-86F8-AB8451D5F015}"/>
    <cellStyle name="Neutral 9 2" xfId="14221" xr:uid="{5FBB2888-D7E5-4CB8-B46E-80F5CD185FD5}"/>
    <cellStyle name="Neutral 9 3" xfId="14222" xr:uid="{2AA496C5-C8C8-471C-BAB5-716F0766164D}"/>
    <cellStyle name="Neutral 9_1.2.b" xfId="16144" xr:uid="{A10B5710-5CBE-40A0-B97F-2C4CCC428680}"/>
    <cellStyle name="Normal" xfId="0" builtinId="0"/>
    <cellStyle name="Normal 10" xfId="122" xr:uid="{00000000-0005-0000-0000-0000240C0000}"/>
    <cellStyle name="Normal 10 2" xfId="126" xr:uid="{00000000-0005-0000-0000-0000250C0000}"/>
    <cellStyle name="Normal 10 2 2" xfId="7564" xr:uid="{00000000-0005-0000-0000-0000260C0000}"/>
    <cellStyle name="Normal 10 3" xfId="14701" xr:uid="{A422FEC4-5A1D-40E9-B532-27E3158BC794}"/>
    <cellStyle name="Normal 10_1.2.b" xfId="16145" xr:uid="{013B1BBD-53D6-43A4-A0B4-3CB1605CC20C}"/>
    <cellStyle name="Normal 100" xfId="18114" xr:uid="{EF722EFB-C249-4650-9F9C-AC3B14FE50CA}"/>
    <cellStyle name="Normal 100 2" xfId="24328" xr:uid="{8983D504-C148-42F4-BB34-C4E48B2870D8}"/>
    <cellStyle name="Normal 101" xfId="18269" xr:uid="{0CD7C62C-C674-43A7-A25F-DB0D67D12A44}"/>
    <cellStyle name="Normal 101 2" xfId="24425" xr:uid="{D83A47E6-56DB-48D4-A354-3E721C000C88}"/>
    <cellStyle name="Normal 102" xfId="18285" xr:uid="{C6F07630-9F44-4F20-A1C1-5C36559217B7}"/>
    <cellStyle name="Normal 102 2" xfId="24432" xr:uid="{B0117BBE-C522-4EDB-92F7-87826D5375DE}"/>
    <cellStyle name="Normal 103" xfId="18289" xr:uid="{6969157C-99AE-4412-9616-7092BD46B58E}"/>
    <cellStyle name="Normal 103 2" xfId="24434" xr:uid="{3B19677C-A193-4C26-844E-E3DA415168C9}"/>
    <cellStyle name="Normal 104" xfId="18290" xr:uid="{C73DF543-3F99-4923-BB99-6CD278E34BD9}"/>
    <cellStyle name="Normal 104 2" xfId="24435" xr:uid="{A56C7FB3-C433-416D-AEFA-21858C802539}"/>
    <cellStyle name="Normal 105" xfId="18292" xr:uid="{6E10D005-D653-49AD-84B6-1B25DC8FD1B9}"/>
    <cellStyle name="Normal 105 2" xfId="24436" xr:uid="{701BDA72-81F2-4707-8442-073B3FBF5B14}"/>
    <cellStyle name="Normal 106" xfId="18333" xr:uid="{A5A1D518-5A97-449C-B395-14F3673AB05F}"/>
    <cellStyle name="Normal 106 2" xfId="24456" xr:uid="{1EE97237-7B28-4BFA-AB5B-475CFCA620AA}"/>
    <cellStyle name="Normal 107" xfId="18334" xr:uid="{FC4037FA-DD3F-44EF-9DF0-B1A4AB7DA0A2}"/>
    <cellStyle name="Normal 107 2" xfId="24457" xr:uid="{8190B32F-F1BB-481A-AF1C-C848FB4D21CC}"/>
    <cellStyle name="Normal 108" xfId="18335" xr:uid="{4A9FD7AC-3A3F-47E8-ABF3-1A3C0BAF7CBC}"/>
    <cellStyle name="Normal 108 2" xfId="24458" xr:uid="{C091ACE1-51C0-4066-A173-83755058DC51}"/>
    <cellStyle name="Normal 109" xfId="18349" xr:uid="{9420787A-3783-4A39-91DB-7C8283E5B4E6}"/>
    <cellStyle name="Normal 109 2" xfId="24472" xr:uid="{F83FF1A8-1AE6-43BF-9FA6-F62C495D5BBC}"/>
    <cellStyle name="Normal 11" xfId="124" xr:uid="{00000000-0005-0000-0000-0000270C0000}"/>
    <cellStyle name="Normal 11 10" xfId="18223" xr:uid="{3E49DEC9-7BDA-47DF-872A-2782436CA9D2}"/>
    <cellStyle name="Normal 11 2" xfId="4350" xr:uid="{00000000-0005-0000-0000-0000280C0000}"/>
    <cellStyle name="Normal 11 2 2" xfId="9758" xr:uid="{00000000-0005-0000-0000-0000290C0000}"/>
    <cellStyle name="Normal 11 2 2 2" xfId="10456" xr:uid="{00000000-0005-0000-0000-00002A0C0000}"/>
    <cellStyle name="Normal 11 2 2 2 2" xfId="12191" xr:uid="{00000000-0005-0000-0000-00002B0C0000}"/>
    <cellStyle name="Normal 11 2 2 2 2 2" xfId="20940" xr:uid="{30F4FDF2-B0B0-4151-9E0F-CC29CB632CB4}"/>
    <cellStyle name="Normal 11 2 2 2 3" xfId="19577" xr:uid="{4B810271-CFAE-4166-996C-9D6FBBD1A72F}"/>
    <cellStyle name="Normal 11 2 2 3" xfId="11544" xr:uid="{00000000-0005-0000-0000-00002C0C0000}"/>
    <cellStyle name="Normal 11 2 2 3 2" xfId="20313" xr:uid="{7F3C1CE9-E207-4CAD-9E11-57A72146806F}"/>
    <cellStyle name="Normal 11 2 2 4" xfId="18945" xr:uid="{E794D7DC-535C-4C58-A4D3-2FB030662D73}"/>
    <cellStyle name="Normal 11 2 3" xfId="10161" xr:uid="{00000000-0005-0000-0000-00002D0C0000}"/>
    <cellStyle name="Normal 11 2 3 2" xfId="11897" xr:uid="{00000000-0005-0000-0000-00002E0C0000}"/>
    <cellStyle name="Normal 11 2 3 2 2" xfId="20651" xr:uid="{07E955C7-3549-478D-8784-6E7EC3632CD1}"/>
    <cellStyle name="Normal 11 2 3 3" xfId="19288" xr:uid="{EF6E4E2A-4D93-4E7A-B9D1-716A41AA9E2F}"/>
    <cellStyle name="Normal 11 2 4" xfId="11154" xr:uid="{00000000-0005-0000-0000-00002F0C0000}"/>
    <cellStyle name="Normal 11 2 4 2" xfId="20036" xr:uid="{D6E60540-7DA1-4344-BCA5-1293E9655F23}"/>
    <cellStyle name="Normal 11 2 5" xfId="14224" xr:uid="{B9F929DC-FC69-4D27-A1BA-14E61BEC2958}"/>
    <cellStyle name="Normal 11 2 5 2" xfId="22424" xr:uid="{3180CB85-533E-4151-BED1-C29827179D32}"/>
    <cellStyle name="Normal 11 2 6" xfId="17831" xr:uid="{19F2901B-B938-406E-8EF5-96BD9602296F}"/>
    <cellStyle name="Normal 11 2 6 2" xfId="24055" xr:uid="{05E74DFC-C5CD-4574-8FD2-97C941E61D85}"/>
    <cellStyle name="Normal 11 2 7" xfId="18668" xr:uid="{FBE9FEE7-F947-4720-B7E2-9C0B477B5A5A}"/>
    <cellStyle name="Normal 11 2_1.2.b" xfId="16147" xr:uid="{BFE010C0-96B3-42D8-9874-844E3FBD97C9}"/>
    <cellStyle name="Normal 11 3" xfId="4352" xr:uid="{00000000-0005-0000-0000-0000300C0000}"/>
    <cellStyle name="Normal 11 3 2" xfId="4358" xr:uid="{00000000-0005-0000-0000-0000310C0000}"/>
    <cellStyle name="Normal 11 3 2 2" xfId="9766" xr:uid="{00000000-0005-0000-0000-0000320C0000}"/>
    <cellStyle name="Normal 11 3 2 2 2" xfId="10464" xr:uid="{00000000-0005-0000-0000-0000330C0000}"/>
    <cellStyle name="Normal 11 3 2 2 2 2" xfId="12199" xr:uid="{00000000-0005-0000-0000-0000340C0000}"/>
    <cellStyle name="Normal 11 3 2 2 2 2 2" xfId="20948" xr:uid="{B82D0CBB-9C6A-4AED-8E2E-11E5B8B8DF88}"/>
    <cellStyle name="Normal 11 3 2 2 2 3" xfId="19585" xr:uid="{C42B5182-0988-4CFD-94FC-C5B2D294CD87}"/>
    <cellStyle name="Normal 11 3 2 2 3" xfId="11552" xr:uid="{00000000-0005-0000-0000-0000350C0000}"/>
    <cellStyle name="Normal 11 3 2 2 3 2" xfId="20321" xr:uid="{9686F495-1D44-4C9F-8B55-5F49DD3E1ACF}"/>
    <cellStyle name="Normal 11 3 2 2 4" xfId="18953" xr:uid="{A31E2F7D-31C2-4907-A445-251F91BC00AB}"/>
    <cellStyle name="Normal 11 3 2 3" xfId="10169" xr:uid="{00000000-0005-0000-0000-0000360C0000}"/>
    <cellStyle name="Normal 11 3 2 3 2" xfId="11905" xr:uid="{00000000-0005-0000-0000-0000370C0000}"/>
    <cellStyle name="Normal 11 3 2 3 2 2" xfId="20659" xr:uid="{8BBF03DF-C9B8-466A-A14D-C24296D3ECB2}"/>
    <cellStyle name="Normal 11 3 2 3 3" xfId="19296" xr:uid="{B3703BEF-8790-40B5-91D4-E7B5558463C9}"/>
    <cellStyle name="Normal 11 3 2 4" xfId="11162" xr:uid="{00000000-0005-0000-0000-0000380C0000}"/>
    <cellStyle name="Normal 11 3 2 4 2" xfId="20044" xr:uid="{D7E3E275-6CA8-4FAD-A735-7346EC6148FF}"/>
    <cellStyle name="Normal 11 3 2 5" xfId="18676" xr:uid="{24E61B61-6E41-47FC-89D6-ED4898E86772}"/>
    <cellStyle name="Normal 11 3 3" xfId="9760" xr:uid="{00000000-0005-0000-0000-0000390C0000}"/>
    <cellStyle name="Normal 11 3 3 2" xfId="10458" xr:uid="{00000000-0005-0000-0000-00003A0C0000}"/>
    <cellStyle name="Normal 11 3 3 2 2" xfId="12193" xr:uid="{00000000-0005-0000-0000-00003B0C0000}"/>
    <cellStyle name="Normal 11 3 3 2 2 2" xfId="20942" xr:uid="{B983A256-C18B-4A7E-A74A-799EE215E457}"/>
    <cellStyle name="Normal 11 3 3 2 3" xfId="19579" xr:uid="{3AEB2643-97BD-4D6F-891A-B02F6D19B135}"/>
    <cellStyle name="Normal 11 3 3 3" xfId="11546" xr:uid="{00000000-0005-0000-0000-00003C0C0000}"/>
    <cellStyle name="Normal 11 3 3 3 2" xfId="20315" xr:uid="{AD4391B2-2290-4B74-A54C-1195FF662269}"/>
    <cellStyle name="Normal 11 3 3 4" xfId="18947" xr:uid="{20F3A257-FEB8-487C-9112-5CB7CA40D35A}"/>
    <cellStyle name="Normal 11 3 4" xfId="10163" xr:uid="{00000000-0005-0000-0000-00003D0C0000}"/>
    <cellStyle name="Normal 11 3 4 2" xfId="11899" xr:uid="{00000000-0005-0000-0000-00003E0C0000}"/>
    <cellStyle name="Normal 11 3 4 2 2" xfId="20653" xr:uid="{A96464D0-4BDB-4B95-9B3D-7DA20E4A2050}"/>
    <cellStyle name="Normal 11 3 4 3" xfId="19290" xr:uid="{F9A4BF03-47F7-4AAF-A899-9E1D4B80F6C4}"/>
    <cellStyle name="Normal 11 3 5" xfId="11156" xr:uid="{00000000-0005-0000-0000-00003F0C0000}"/>
    <cellStyle name="Normal 11 3 5 2" xfId="20038" xr:uid="{32CC9EB3-3676-43D5-BA23-ED4551365D9E}"/>
    <cellStyle name="Normal 11 3 6" xfId="18670" xr:uid="{D1CD7C47-CDEC-4BB6-AA2F-49F514FDDCD5}"/>
    <cellStyle name="Normal 11 4" xfId="7563" xr:uid="{00000000-0005-0000-0000-0000400C0000}"/>
    <cellStyle name="Normal 11 4 2" xfId="9811" xr:uid="{00000000-0005-0000-0000-0000410C0000}"/>
    <cellStyle name="Normal 11 4 2 2" xfId="10509" xr:uid="{00000000-0005-0000-0000-0000420C0000}"/>
    <cellStyle name="Normal 11 4 2 2 2" xfId="12244" xr:uid="{00000000-0005-0000-0000-0000430C0000}"/>
    <cellStyle name="Normal 11 4 2 2 2 2" xfId="20993" xr:uid="{0700B8A5-89A7-4707-B80E-03DFFB8CAF6B}"/>
    <cellStyle name="Normal 11 4 2 2 3" xfId="19630" xr:uid="{B968D917-ED76-4150-A43A-6BC263E0C14F}"/>
    <cellStyle name="Normal 11 4 2 3" xfId="11597" xr:uid="{00000000-0005-0000-0000-0000440C0000}"/>
    <cellStyle name="Normal 11 4 2 3 2" xfId="20366" xr:uid="{725ACE33-5A8E-439E-A78D-DDAE8466CF62}"/>
    <cellStyle name="Normal 11 4 2 4" xfId="18998" xr:uid="{E48C3102-93C8-4BA7-A752-6FAF174296C2}"/>
    <cellStyle name="Normal 11 4 3" xfId="10222" xr:uid="{00000000-0005-0000-0000-0000450C0000}"/>
    <cellStyle name="Normal 11 4 3 2" xfId="11958" xr:uid="{00000000-0005-0000-0000-0000460C0000}"/>
    <cellStyle name="Normal 11 4 3 2 2" xfId="20711" xr:uid="{94092111-5CE6-427D-9C5C-6F059018F2D6}"/>
    <cellStyle name="Normal 11 4 3 3" xfId="19348" xr:uid="{85E50A42-A676-4D7E-A28B-75E51CE24BDE}"/>
    <cellStyle name="Normal 11 4 4" xfId="11232" xr:uid="{00000000-0005-0000-0000-0000470C0000}"/>
    <cellStyle name="Normal 11 4 4 2" xfId="20089" xr:uid="{9CABC56C-621E-44AB-AD5A-E427B8BD3567}"/>
    <cellStyle name="Normal 11 4 5" xfId="18721" xr:uid="{0558C65D-56DF-4C7A-8A65-3A13F6E12685}"/>
    <cellStyle name="Normal 11 5" xfId="9546" xr:uid="{00000000-0005-0000-0000-0000480C0000}"/>
    <cellStyle name="Normal 11 5 2" xfId="10250" xr:uid="{00000000-0005-0000-0000-0000490C0000}"/>
    <cellStyle name="Normal 11 5 2 2" xfId="11985" xr:uid="{00000000-0005-0000-0000-00004A0C0000}"/>
    <cellStyle name="Normal 11 5 2 2 2" xfId="20734" xr:uid="{CFD3A7F2-A1AC-4F4E-837E-F54CA5F7E8C0}"/>
    <cellStyle name="Normal 11 5 2 3" xfId="19371" xr:uid="{955E05B9-7150-460F-8DA7-93F8FFFFF364}"/>
    <cellStyle name="Normal 11 5 3" xfId="11338" xr:uid="{00000000-0005-0000-0000-00004B0C0000}"/>
    <cellStyle name="Normal 11 5 3 2" xfId="20107" xr:uid="{4AAC539B-37DC-462C-A675-51B46FD9872A}"/>
    <cellStyle name="Normal 11 5 4" xfId="18739" xr:uid="{E87C254D-711D-443E-95A2-61915DB15BE6}"/>
    <cellStyle name="Normal 11 6" xfId="4038" xr:uid="{00000000-0005-0000-0000-00004C0C0000}"/>
    <cellStyle name="Normal 11 6 2" xfId="10909" xr:uid="{00000000-0005-0000-0000-00004D0C0000}"/>
    <cellStyle name="Normal 11 6 2 2" xfId="19830" xr:uid="{456E2A69-4B6C-4532-BA48-E4FBEC198F40}"/>
    <cellStyle name="Normal 11 6 3" xfId="18462" xr:uid="{7A76DB89-287D-4032-8516-1976309F2687}"/>
    <cellStyle name="Normal 11 7" xfId="9953" xr:uid="{00000000-0005-0000-0000-00004E0C0000}"/>
    <cellStyle name="Normal 11 7 2" xfId="11689" xr:uid="{00000000-0005-0000-0000-00004F0C0000}"/>
    <cellStyle name="Normal 11 7 2 2" xfId="20445" xr:uid="{03601872-AFC2-4017-A6C1-E99D53692FCB}"/>
    <cellStyle name="Normal 11 7 3" xfId="19082" xr:uid="{985FA423-15C1-490B-B907-FA9170E2652E}"/>
    <cellStyle name="Normal 11 8" xfId="14223" xr:uid="{8FD58B2C-6495-4198-BDED-82C16060EE3B}"/>
    <cellStyle name="Normal 11 9" xfId="17830" xr:uid="{49C1F3C5-C3E0-4957-AD41-7288767341C7}"/>
    <cellStyle name="Normal 11_1.2.b" xfId="16146" xr:uid="{5F25F791-51AC-4DFE-ACC3-120250A07B71}"/>
    <cellStyle name="Normal 110" xfId="24481" xr:uid="{2C74B9DB-C909-41D1-A190-09BE7FCB0D4F}"/>
    <cellStyle name="Normal 111" xfId="24483" xr:uid="{13CFAC2D-15F4-4DFB-B431-31AA5CAC44D7}"/>
    <cellStyle name="Normal 112" xfId="24485" xr:uid="{48DFE233-52BD-4147-8B36-A8ACED469BA4}"/>
    <cellStyle name="Normal 12" xfId="131" xr:uid="{00000000-0005-0000-0000-0000500C0000}"/>
    <cellStyle name="Normal 12 10" xfId="17788" xr:uid="{EDC2D795-535C-4853-B535-9E4EE20D7B89}"/>
    <cellStyle name="Normal 12 10 2" xfId="24026" xr:uid="{A50695CC-E86C-4CF0-8467-83657FD02E9A}"/>
    <cellStyle name="Normal 12 11" xfId="18386" xr:uid="{43BB1366-814D-4EE8-8B2D-9C799791122E}"/>
    <cellStyle name="Normal 12 2" xfId="7565" xr:uid="{00000000-0005-0000-0000-0000510C0000}"/>
    <cellStyle name="Normal 12 2 2" xfId="9812" xr:uid="{00000000-0005-0000-0000-0000520C0000}"/>
    <cellStyle name="Normal 12 2 2 2" xfId="10510" xr:uid="{00000000-0005-0000-0000-0000530C0000}"/>
    <cellStyle name="Normal 12 2 2 2 2" xfId="12245" xr:uid="{00000000-0005-0000-0000-0000540C0000}"/>
    <cellStyle name="Normal 12 2 2 2 2 2" xfId="20994" xr:uid="{6F6646EA-B239-4C55-96DA-52B857537583}"/>
    <cellStyle name="Normal 12 2 2 2 3" xfId="19631" xr:uid="{DF55491D-39A7-41C0-82BB-88BEAD93D78C}"/>
    <cellStyle name="Normal 12 2 2 3" xfId="11598" xr:uid="{00000000-0005-0000-0000-0000550C0000}"/>
    <cellStyle name="Normal 12 2 2 3 2" xfId="20367" xr:uid="{E85E2915-B852-4F88-B0AF-17C2607461E5}"/>
    <cellStyle name="Normal 12 2 2 4" xfId="18999" xr:uid="{E6A974CD-5C84-41AA-9E86-9BD6817A92EB}"/>
    <cellStyle name="Normal 12 2 3" xfId="10223" xr:uid="{00000000-0005-0000-0000-0000560C0000}"/>
    <cellStyle name="Normal 12 2 3 2" xfId="11959" xr:uid="{00000000-0005-0000-0000-0000570C0000}"/>
    <cellStyle name="Normal 12 2 3 2 2" xfId="20712" xr:uid="{5E8258A1-D475-4BAD-B7EA-33EF677943CD}"/>
    <cellStyle name="Normal 12 2 3 3" xfId="19349" xr:uid="{55B182F0-8491-447B-95B8-886BFB84AC74}"/>
    <cellStyle name="Normal 12 2 4" xfId="11233" xr:uid="{00000000-0005-0000-0000-0000580C0000}"/>
    <cellStyle name="Normal 12 2 4 2" xfId="20090" xr:uid="{44DF854E-CB62-4FB2-9218-D20A4E692056}"/>
    <cellStyle name="Normal 12 2 5" xfId="14226" xr:uid="{C45AF7FC-D39F-41DD-BD66-F507E48E72D4}"/>
    <cellStyle name="Normal 12 2 6" xfId="18722" xr:uid="{426A434B-43E6-4B05-8B68-E6C0B98A49EA}"/>
    <cellStyle name="Normal 12 2_1.2.b" xfId="16149" xr:uid="{036C0E17-8458-494C-B44E-2052D2AB5E5E}"/>
    <cellStyle name="Normal 12 3" xfId="9548" xr:uid="{00000000-0005-0000-0000-0000590C0000}"/>
    <cellStyle name="Normal 12 3 2" xfId="10252" xr:uid="{00000000-0005-0000-0000-00005A0C0000}"/>
    <cellStyle name="Normal 12 3 2 2" xfId="11987" xr:uid="{00000000-0005-0000-0000-00005B0C0000}"/>
    <cellStyle name="Normal 12 3 2 2 2" xfId="20736" xr:uid="{4D4A54CA-A662-4E16-96F1-B8DFD5B5D539}"/>
    <cellStyle name="Normal 12 3 2 3" xfId="19373" xr:uid="{B81B29C5-E998-4122-B094-A959E5302088}"/>
    <cellStyle name="Normal 12 3 3" xfId="11340" xr:uid="{00000000-0005-0000-0000-00005C0C0000}"/>
    <cellStyle name="Normal 12 3 3 2" xfId="20109" xr:uid="{EFB38A31-E3FD-4C4F-9082-239DADF41DCB}"/>
    <cellStyle name="Normal 12 3 4" xfId="18741" xr:uid="{872005F2-4893-473D-B410-3CAA40D25A7C}"/>
    <cellStyle name="Normal 12 4" xfId="4043" xr:uid="{00000000-0005-0000-0000-00005D0C0000}"/>
    <cellStyle name="Normal 12 4 2" xfId="10911" xr:uid="{00000000-0005-0000-0000-00005E0C0000}"/>
    <cellStyle name="Normal 12 4 2 2" xfId="19832" xr:uid="{124B0568-C08D-4E6C-8950-E07B6062DD96}"/>
    <cellStyle name="Normal 12 4 3" xfId="18464" xr:uid="{D12653DF-0189-4DE8-8E58-D72242AA8B10}"/>
    <cellStyle name="Normal 12 5" xfId="9955" xr:uid="{00000000-0005-0000-0000-00005F0C0000}"/>
    <cellStyle name="Normal 12 5 2" xfId="11691" xr:uid="{00000000-0005-0000-0000-0000600C0000}"/>
    <cellStyle name="Normal 12 5 2 2" xfId="20447" xr:uid="{8F0E2245-5BB1-40A9-A831-A146CE7F7298}"/>
    <cellStyle name="Normal 12 5 3" xfId="19084" xr:uid="{D05B6D88-55F1-4A15-ABF5-53A2CD384701}"/>
    <cellStyle name="Normal 12 6" xfId="10661" xr:uid="{00000000-0005-0000-0000-0000610C0000}"/>
    <cellStyle name="Normal 12 7" xfId="14225" xr:uid="{3E587248-53AF-45B0-9511-AC30E52F1062}"/>
    <cellStyle name="Normal 12 7 2" xfId="22425" xr:uid="{D23041D9-C845-4605-99DB-CE5B4344995A}"/>
    <cellStyle name="Normal 12 8" xfId="17832" xr:uid="{6A13C19E-D04E-4442-9BD2-4D26EEBAE155}"/>
    <cellStyle name="Normal 12 8 2" xfId="24056" xr:uid="{4B899551-6FC7-4041-8E71-19CC84E712F8}"/>
    <cellStyle name="Normal 12 9" xfId="18224" xr:uid="{D3943D34-114E-4677-A43E-7D9D0C75B5C8}"/>
    <cellStyle name="Normal 12 9 2" xfId="24398" xr:uid="{5CFC5A4F-7C41-4712-9AC6-8EB1A14443A4}"/>
    <cellStyle name="Normal 12_1.2.b" xfId="16148" xr:uid="{3F8A6D06-39B9-4EB2-89AC-7A529D886F86}"/>
    <cellStyle name="Normal 13" xfId="144" xr:uid="{00000000-0005-0000-0000-0000620C0000}"/>
    <cellStyle name="Normal 13 2" xfId="7568" xr:uid="{00000000-0005-0000-0000-0000630C0000}"/>
    <cellStyle name="Normal 13 2 2" xfId="9813" xr:uid="{00000000-0005-0000-0000-0000640C0000}"/>
    <cellStyle name="Normal 13 2 2 2" xfId="10511" xr:uid="{00000000-0005-0000-0000-0000650C0000}"/>
    <cellStyle name="Normal 13 2 2 2 2" xfId="12246" xr:uid="{00000000-0005-0000-0000-0000660C0000}"/>
    <cellStyle name="Normal 13 2 2 2 2 2" xfId="20995" xr:uid="{7C3EB101-4A9D-44F3-88E2-42890793F7B0}"/>
    <cellStyle name="Normal 13 2 2 2 3" xfId="19632" xr:uid="{4E5F3DD0-6113-40DF-82F9-F5799B9E2A5E}"/>
    <cellStyle name="Normal 13 2 2 3" xfId="11599" xr:uid="{00000000-0005-0000-0000-0000670C0000}"/>
    <cellStyle name="Normal 13 2 2 3 2" xfId="20368" xr:uid="{3E2275D3-BED5-4B09-BF68-CD12D2879334}"/>
    <cellStyle name="Normal 13 2 2 4" xfId="19000" xr:uid="{4AB53A25-5471-4145-B0AF-096D3A786F29}"/>
    <cellStyle name="Normal 13 2 3" xfId="10226" xr:uid="{00000000-0005-0000-0000-0000680C0000}"/>
    <cellStyle name="Normal 13 2 3 2" xfId="11962" xr:uid="{00000000-0005-0000-0000-0000690C0000}"/>
    <cellStyle name="Normal 13 2 3 2 2" xfId="20713" xr:uid="{10DDA9FC-CE38-4749-879A-50A3D06CD2E3}"/>
    <cellStyle name="Normal 13 2 3 3" xfId="19350" xr:uid="{6FAC55E4-717F-408D-9AB8-6846A4187099}"/>
    <cellStyle name="Normal 13 2 4" xfId="11236" xr:uid="{00000000-0005-0000-0000-00006A0C0000}"/>
    <cellStyle name="Normal 13 2 4 2" xfId="20091" xr:uid="{617F0EF4-B409-4E59-9891-2EE124A72452}"/>
    <cellStyle name="Normal 13 2 5" xfId="14723" xr:uid="{92F823FD-2A5B-499D-AF4C-1BF797E4569C}"/>
    <cellStyle name="Normal 13 2 6" xfId="18723" xr:uid="{E6566F69-8762-4EDB-B28B-FD073A7EE8BA}"/>
    <cellStyle name="Normal 13 2_1.2.b" xfId="16151" xr:uid="{4154D969-D092-4393-B739-486D21E93CE1}"/>
    <cellStyle name="Normal 13 3" xfId="9549" xr:uid="{00000000-0005-0000-0000-00006B0C0000}"/>
    <cellStyle name="Normal 13 3 2" xfId="10253" xr:uid="{00000000-0005-0000-0000-00006C0C0000}"/>
    <cellStyle name="Normal 13 3 2 2" xfId="11988" xr:uid="{00000000-0005-0000-0000-00006D0C0000}"/>
    <cellStyle name="Normal 13 3 2 2 2" xfId="20737" xr:uid="{04E0FFE1-3BA9-4179-A741-E604B24F5D99}"/>
    <cellStyle name="Normal 13 3 2 3" xfId="19374" xr:uid="{7D3E58CC-B639-40DA-A863-48145781E876}"/>
    <cellStyle name="Normal 13 3 3" xfId="11341" xr:uid="{00000000-0005-0000-0000-00006E0C0000}"/>
    <cellStyle name="Normal 13 3 3 2" xfId="20110" xr:uid="{B0CFA0EB-83E5-41C0-9AF6-96AEECC267F5}"/>
    <cellStyle name="Normal 13 3 4" xfId="18742" xr:uid="{D5D5FB78-C455-4170-8B89-CBB4B26CDB04}"/>
    <cellStyle name="Normal 13 4" xfId="4044" xr:uid="{00000000-0005-0000-0000-00006F0C0000}"/>
    <cellStyle name="Normal 13 4 2" xfId="10912" xr:uid="{00000000-0005-0000-0000-0000700C0000}"/>
    <cellStyle name="Normal 13 4 2 2" xfId="19833" xr:uid="{0100AAE8-BEFE-4C97-8D3F-DD47B36BC9E0}"/>
    <cellStyle name="Normal 13 4 3" xfId="18465" xr:uid="{D027115E-3894-4585-92DE-3141C7E1E1F7}"/>
    <cellStyle name="Normal 13 5" xfId="9956" xr:uid="{00000000-0005-0000-0000-0000710C0000}"/>
    <cellStyle name="Normal 13 5 2" xfId="11692" xr:uid="{00000000-0005-0000-0000-0000720C0000}"/>
    <cellStyle name="Normal 13 5 2 2" xfId="20448" xr:uid="{AF655094-E175-4432-B1BB-84A8DC655FD3}"/>
    <cellStyle name="Normal 13 5 3" xfId="19085" xr:uid="{0876A14B-6064-4A1B-A1D6-D68C61C8BF77}"/>
    <cellStyle name="Normal 13 6" xfId="10664" xr:uid="{00000000-0005-0000-0000-0000730C0000}"/>
    <cellStyle name="Normal 13 6 2" xfId="19756" xr:uid="{03300AA8-73E0-4113-A0F7-C29D6B32AA91}"/>
    <cellStyle name="Normal 13 7" xfId="14227" xr:uid="{6174D30C-8B8B-4DF2-A210-12AEDEBCC650}"/>
    <cellStyle name="Normal 13 8" xfId="18388" xr:uid="{F71A4E64-1A3E-4946-8F93-D8B728701A0A}"/>
    <cellStyle name="Normal 13_1.2.b" xfId="16150" xr:uid="{50539900-B372-449F-9E75-CD312CE4BA95}"/>
    <cellStyle name="Normal 14" xfId="158" xr:uid="{00000000-0005-0000-0000-0000740C0000}"/>
    <cellStyle name="Normal 14 2" xfId="7569" xr:uid="{00000000-0005-0000-0000-0000750C0000}"/>
    <cellStyle name="Normal 14 2 2" xfId="7575" xr:uid="{00000000-0005-0000-0000-0000760C0000}"/>
    <cellStyle name="Normal 14 2 2 2" xfId="9820" xr:uid="{00000000-0005-0000-0000-0000770C0000}"/>
    <cellStyle name="Normal 14 2 2 2 2" xfId="10518" xr:uid="{00000000-0005-0000-0000-0000780C0000}"/>
    <cellStyle name="Normal 14 2 2 2 2 2" xfId="12253" xr:uid="{00000000-0005-0000-0000-0000790C0000}"/>
    <cellStyle name="Normal 14 2 2 2 2 2 2" xfId="21002" xr:uid="{0B6ABF52-10D6-41DA-B489-7662AB0E6D06}"/>
    <cellStyle name="Normal 14 2 2 2 2 3" xfId="19639" xr:uid="{C49AB220-F377-41A6-B42F-BD709A02F918}"/>
    <cellStyle name="Normal 14 2 2 2 3" xfId="11606" xr:uid="{00000000-0005-0000-0000-00007A0C0000}"/>
    <cellStyle name="Normal 14 2 2 2 3 2" xfId="20375" xr:uid="{6B97B0DD-169C-493C-98A0-C03ADC1DAC79}"/>
    <cellStyle name="Normal 14 2 2 2 4" xfId="19007" xr:uid="{7DE3513A-93A5-4467-92EF-B389B607D8F0}"/>
    <cellStyle name="Normal 14 2 2 3" xfId="10233" xr:uid="{00000000-0005-0000-0000-00007B0C0000}"/>
    <cellStyle name="Normal 14 2 2 3 2" xfId="11969" xr:uid="{00000000-0005-0000-0000-00007C0C0000}"/>
    <cellStyle name="Normal 14 2 2 3 2 2" xfId="20720" xr:uid="{574D8BE1-368A-4080-80E8-31D8F517E333}"/>
    <cellStyle name="Normal 14 2 2 3 3" xfId="19357" xr:uid="{3BDED840-5DC2-4FEC-876D-4F62808EDE7B}"/>
    <cellStyle name="Normal 14 2 2 4" xfId="11243" xr:uid="{00000000-0005-0000-0000-00007D0C0000}"/>
    <cellStyle name="Normal 14 2 2 4 2" xfId="20098" xr:uid="{02A7170A-DBA5-4832-91F4-0ED40C3E8C89}"/>
    <cellStyle name="Normal 14 2 2 5" xfId="18730" xr:uid="{CF5625A4-8ECC-4A09-906E-37C3CAA1281A}"/>
    <cellStyle name="Normal 14 2 3" xfId="9814" xr:uid="{00000000-0005-0000-0000-00007E0C0000}"/>
    <cellStyle name="Normal 14 2 3 2" xfId="10512" xr:uid="{00000000-0005-0000-0000-00007F0C0000}"/>
    <cellStyle name="Normal 14 2 3 2 2" xfId="12247" xr:uid="{00000000-0005-0000-0000-0000800C0000}"/>
    <cellStyle name="Normal 14 2 3 2 2 2" xfId="20996" xr:uid="{CC5F3B21-A2E0-4985-8168-461D70FC749D}"/>
    <cellStyle name="Normal 14 2 3 2 3" xfId="19633" xr:uid="{E951E242-A337-465F-851F-B091EE06707E}"/>
    <cellStyle name="Normal 14 2 3 3" xfId="11600" xr:uid="{00000000-0005-0000-0000-0000810C0000}"/>
    <cellStyle name="Normal 14 2 3 3 2" xfId="20369" xr:uid="{4AFC0254-BB1F-4C70-9644-1740A4D95567}"/>
    <cellStyle name="Normal 14 2 3 4" xfId="19001" xr:uid="{1F91E7C6-38A5-49E5-A3F8-49E088FCCA26}"/>
    <cellStyle name="Normal 14 2 4" xfId="10227" xr:uid="{00000000-0005-0000-0000-0000820C0000}"/>
    <cellStyle name="Normal 14 2 4 2" xfId="11963" xr:uid="{00000000-0005-0000-0000-0000830C0000}"/>
    <cellStyle name="Normal 14 2 4 2 2" xfId="20714" xr:uid="{A40CEF2D-7FEF-473A-AE37-4FC975F3BB1D}"/>
    <cellStyle name="Normal 14 2 4 3" xfId="19351" xr:uid="{CD50D016-8268-40A9-B731-7A0D33E3EFEF}"/>
    <cellStyle name="Normal 14 2 5" xfId="11237" xr:uid="{00000000-0005-0000-0000-0000840C0000}"/>
    <cellStyle name="Normal 14 2 5 2" xfId="20092" xr:uid="{4BF7CBE5-7D47-4A42-AECD-3ECA46150E19}"/>
    <cellStyle name="Normal 14 2 6" xfId="14724" xr:uid="{10FBE90E-FE22-4287-9F9C-39A3C40867AA}"/>
    <cellStyle name="Normal 14 2 7" xfId="18724" xr:uid="{D0DA55E3-9ECC-4721-AE14-B55D1BE85B1C}"/>
    <cellStyle name="Normal 14 2_1.2.b" xfId="16153" xr:uid="{D13E8E6E-532F-4C78-9535-64E0BB976A23}"/>
    <cellStyle name="Normal 14 3" xfId="9550" xr:uid="{00000000-0005-0000-0000-0000850C0000}"/>
    <cellStyle name="Normal 14 3 2" xfId="10254" xr:uid="{00000000-0005-0000-0000-0000860C0000}"/>
    <cellStyle name="Normal 14 3 2 2" xfId="11989" xr:uid="{00000000-0005-0000-0000-0000870C0000}"/>
    <cellStyle name="Normal 14 3 2 2 2" xfId="20738" xr:uid="{BAFA8158-6F97-4124-85A9-953B065F00C0}"/>
    <cellStyle name="Normal 14 3 2 3" xfId="19375" xr:uid="{55B8A8F5-A072-4E41-97D5-A598F0F6CF24}"/>
    <cellStyle name="Normal 14 3 3" xfId="11342" xr:uid="{00000000-0005-0000-0000-0000880C0000}"/>
    <cellStyle name="Normal 14 3 3 2" xfId="20111" xr:uid="{98AFB985-9671-4E4A-89D3-83EE90801C1B}"/>
    <cellStyle name="Normal 14 3 4" xfId="18743" xr:uid="{DE332FA5-3A5B-48C3-BA42-481D7A3BF34E}"/>
    <cellStyle name="Normal 14 4" xfId="4045" xr:uid="{00000000-0005-0000-0000-0000890C0000}"/>
    <cellStyle name="Normal 14 4 2" xfId="10913" xr:uid="{00000000-0005-0000-0000-00008A0C0000}"/>
    <cellStyle name="Normal 14 4 2 2" xfId="19834" xr:uid="{420AA964-DC1D-4309-B4A8-68F838FFC26B}"/>
    <cellStyle name="Normal 14 4 3" xfId="18466" xr:uid="{4E3C27CA-F615-4743-9052-659DDF95D4F0}"/>
    <cellStyle name="Normal 14 5" xfId="9957" xr:uid="{00000000-0005-0000-0000-00008B0C0000}"/>
    <cellStyle name="Normal 14 5 2" xfId="11693" xr:uid="{00000000-0005-0000-0000-00008C0C0000}"/>
    <cellStyle name="Normal 14 5 2 2" xfId="20449" xr:uid="{1D02CEE0-3214-472D-A38A-7C1C8E0BA64A}"/>
    <cellStyle name="Normal 14 5 3" xfId="19086" xr:uid="{9959442E-66D6-403A-8107-B1DB7652AFE8}"/>
    <cellStyle name="Normal 14 6" xfId="10678" xr:uid="{00000000-0005-0000-0000-00008D0C0000}"/>
    <cellStyle name="Normal 14 6 2" xfId="19770" xr:uid="{91337B5E-C32B-4EEA-90F8-982831ECCF52}"/>
    <cellStyle name="Normal 14 7" xfId="14228" xr:uid="{CD64A431-E629-4907-A2E0-07DF572021D0}"/>
    <cellStyle name="Normal 14 8" xfId="18402" xr:uid="{9C67426F-71FC-48DF-BC55-F79BDC513C87}"/>
    <cellStyle name="Normal 14_1.2.b" xfId="16152" xr:uid="{8AA8349C-B0A5-449C-8D21-C9C7CF7110DE}"/>
    <cellStyle name="Normal 15" xfId="172" xr:uid="{00000000-0005-0000-0000-00008E0C0000}"/>
    <cellStyle name="Normal 15 10" xfId="18416" xr:uid="{1DE74A22-387C-4FF4-9464-57E57DC3498A}"/>
    <cellStyle name="Normal 15 2" xfId="4349" xr:uid="{00000000-0005-0000-0000-00008F0C0000}"/>
    <cellStyle name="Normal 15 2 2" xfId="7573" xr:uid="{00000000-0005-0000-0000-0000900C0000}"/>
    <cellStyle name="Normal 15 2 2 2" xfId="7574" xr:uid="{00000000-0005-0000-0000-0000910C0000}"/>
    <cellStyle name="Normal 15 2 2 2 2" xfId="7580" xr:uid="{00000000-0005-0000-0000-0000920C0000}"/>
    <cellStyle name="Normal 15 2 2 2 2 2" xfId="9825" xr:uid="{00000000-0005-0000-0000-0000930C0000}"/>
    <cellStyle name="Normal 15 2 2 2 2 2 2" xfId="10523" xr:uid="{00000000-0005-0000-0000-0000940C0000}"/>
    <cellStyle name="Normal 15 2 2 2 2 2 2 2" xfId="12258" xr:uid="{00000000-0005-0000-0000-0000950C0000}"/>
    <cellStyle name="Normal 15 2 2 2 2 2 2 2 2" xfId="21007" xr:uid="{9D776428-9758-4969-B0E4-12FC26D471A8}"/>
    <cellStyle name="Normal 15 2 2 2 2 2 2 3" xfId="19644" xr:uid="{A1297B86-23E5-4BB1-89AC-822D76482909}"/>
    <cellStyle name="Normal 15 2 2 2 2 2 3" xfId="11611" xr:uid="{00000000-0005-0000-0000-0000960C0000}"/>
    <cellStyle name="Normal 15 2 2 2 2 2 3 2" xfId="20380" xr:uid="{1F137D7E-A56A-4A77-871C-A0CCB17A3CFF}"/>
    <cellStyle name="Normal 15 2 2 2 2 2 4" xfId="19012" xr:uid="{3B5E76F1-F860-47E6-B9E6-009C5CA2C820}"/>
    <cellStyle name="Normal 15 2 2 2 2 3" xfId="10238" xr:uid="{00000000-0005-0000-0000-0000970C0000}"/>
    <cellStyle name="Normal 15 2 2 2 2 3 2" xfId="11974" xr:uid="{00000000-0005-0000-0000-0000980C0000}"/>
    <cellStyle name="Normal 15 2 2 2 2 3 2 2" xfId="20725" xr:uid="{430190AF-BB28-45C3-BCA6-76368B9908C8}"/>
    <cellStyle name="Normal 15 2 2 2 2 3 3" xfId="19362" xr:uid="{38ACA014-E65B-4769-9653-287C4AFA961C}"/>
    <cellStyle name="Normal 15 2 2 2 2 4" xfId="11248" xr:uid="{00000000-0005-0000-0000-0000990C0000}"/>
    <cellStyle name="Normal 15 2 2 2 2 4 2" xfId="20103" xr:uid="{E5D978E9-6B45-4E75-BBA8-24746956F836}"/>
    <cellStyle name="Normal 15 2 2 2 2 5" xfId="18735" xr:uid="{9761B788-4431-44C1-8ACD-CA52C0A8D5D5}"/>
    <cellStyle name="Normal 15 2 2 2 3" xfId="9819" xr:uid="{00000000-0005-0000-0000-00009A0C0000}"/>
    <cellStyle name="Normal 15 2 2 2 3 2" xfId="10517" xr:uid="{00000000-0005-0000-0000-00009B0C0000}"/>
    <cellStyle name="Normal 15 2 2 2 3 2 2" xfId="12252" xr:uid="{00000000-0005-0000-0000-00009C0C0000}"/>
    <cellStyle name="Normal 15 2 2 2 3 2 2 2" xfId="21001" xr:uid="{E5368209-6E0B-4AAE-B569-8A7549541BC5}"/>
    <cellStyle name="Normal 15 2 2 2 3 2 3" xfId="19638" xr:uid="{D922FD6E-1E89-40D5-88FF-E111AD2C1296}"/>
    <cellStyle name="Normal 15 2 2 2 3 3" xfId="11605" xr:uid="{00000000-0005-0000-0000-00009D0C0000}"/>
    <cellStyle name="Normal 15 2 2 2 3 3 2" xfId="20374" xr:uid="{212DB835-B5D2-4451-8767-8E7109B8CFFC}"/>
    <cellStyle name="Normal 15 2 2 2 3 4" xfId="19006" xr:uid="{BD378E25-9360-4A3E-94B8-1CC183981305}"/>
    <cellStyle name="Normal 15 2 2 2 4" xfId="10232" xr:uid="{00000000-0005-0000-0000-00009E0C0000}"/>
    <cellStyle name="Normal 15 2 2 2 4 2" xfId="11968" xr:uid="{00000000-0005-0000-0000-00009F0C0000}"/>
    <cellStyle name="Normal 15 2 2 2 4 2 2" xfId="20719" xr:uid="{C607429F-EEAB-42A7-8FB2-D44EADC7670F}"/>
    <cellStyle name="Normal 15 2 2 2 4 3" xfId="19356" xr:uid="{F3EB3EA0-9A35-4DDF-9336-97E082A0F8C8}"/>
    <cellStyle name="Normal 15 2 2 2 5" xfId="11242" xr:uid="{00000000-0005-0000-0000-0000A00C0000}"/>
    <cellStyle name="Normal 15 2 2 2 5 2" xfId="20097" xr:uid="{4467DC1F-A272-459C-9052-82F73785AE2D}"/>
    <cellStyle name="Normal 15 2 2 2 6" xfId="18729" xr:uid="{B8D6DC53-5C4D-4AC6-A6FE-AFD5C6D78DAF}"/>
    <cellStyle name="Normal 15 2 2 3" xfId="7579" xr:uid="{00000000-0005-0000-0000-0000A10C0000}"/>
    <cellStyle name="Normal 15 2 2 3 2" xfId="9824" xr:uid="{00000000-0005-0000-0000-0000A20C0000}"/>
    <cellStyle name="Normal 15 2 2 3 2 2" xfId="10522" xr:uid="{00000000-0005-0000-0000-0000A30C0000}"/>
    <cellStyle name="Normal 15 2 2 3 2 2 2" xfId="12257" xr:uid="{00000000-0005-0000-0000-0000A40C0000}"/>
    <cellStyle name="Normal 15 2 2 3 2 2 2 2" xfId="21006" xr:uid="{6A867F93-A0B6-4743-8880-EB827C17ED7E}"/>
    <cellStyle name="Normal 15 2 2 3 2 2 3" xfId="19643" xr:uid="{08636101-068E-472C-AA69-189631B4E52D}"/>
    <cellStyle name="Normal 15 2 2 3 2 3" xfId="11610" xr:uid="{00000000-0005-0000-0000-0000A50C0000}"/>
    <cellStyle name="Normal 15 2 2 3 2 3 2" xfId="20379" xr:uid="{F92F63C3-4ED2-4213-B3E9-D3B56419A056}"/>
    <cellStyle name="Normal 15 2 2 3 2 4" xfId="19011" xr:uid="{17377B09-8270-453C-8D33-453C112D00BE}"/>
    <cellStyle name="Normal 15 2 2 3 3" xfId="10237" xr:uid="{00000000-0005-0000-0000-0000A60C0000}"/>
    <cellStyle name="Normal 15 2 2 3 3 2" xfId="11973" xr:uid="{00000000-0005-0000-0000-0000A70C0000}"/>
    <cellStyle name="Normal 15 2 2 3 3 2 2" xfId="20724" xr:uid="{29B0806F-1F24-48C8-A866-22185C7D99A8}"/>
    <cellStyle name="Normal 15 2 2 3 3 3" xfId="19361" xr:uid="{A0B4064B-250B-4337-9A72-F6529B6E5949}"/>
    <cellStyle name="Normal 15 2 2 3 4" xfId="11247" xr:uid="{00000000-0005-0000-0000-0000A80C0000}"/>
    <cellStyle name="Normal 15 2 2 3 4 2" xfId="20102" xr:uid="{00E71F4B-2815-400A-8FCD-BBD8258B451A}"/>
    <cellStyle name="Normal 15 2 2 3 5" xfId="18734" xr:uid="{8136C2C0-B9C7-4413-9FE9-91A5BE47AE88}"/>
    <cellStyle name="Normal 15 2 2 4" xfId="9818" xr:uid="{00000000-0005-0000-0000-0000A90C0000}"/>
    <cellStyle name="Normal 15 2 2 4 2" xfId="10516" xr:uid="{00000000-0005-0000-0000-0000AA0C0000}"/>
    <cellStyle name="Normal 15 2 2 4 2 2" xfId="12251" xr:uid="{00000000-0005-0000-0000-0000AB0C0000}"/>
    <cellStyle name="Normal 15 2 2 4 2 2 2" xfId="21000" xr:uid="{A0FDF5FD-E591-4485-86BF-34697802E429}"/>
    <cellStyle name="Normal 15 2 2 4 2 3" xfId="19637" xr:uid="{C3DA85BC-2026-4420-907D-1E655A006D3F}"/>
    <cellStyle name="Normal 15 2 2 4 3" xfId="11604" xr:uid="{00000000-0005-0000-0000-0000AC0C0000}"/>
    <cellStyle name="Normal 15 2 2 4 3 2" xfId="20373" xr:uid="{DDBCC14D-4918-4926-873E-B54D34C646E0}"/>
    <cellStyle name="Normal 15 2 2 4 4" xfId="19005" xr:uid="{270E02C5-2CF9-4930-A864-8230DC225B4A}"/>
    <cellStyle name="Normal 15 2 2 5" xfId="10231" xr:uid="{00000000-0005-0000-0000-0000AD0C0000}"/>
    <cellStyle name="Normal 15 2 2 5 2" xfId="11967" xr:uid="{00000000-0005-0000-0000-0000AE0C0000}"/>
    <cellStyle name="Normal 15 2 2 5 2 2" xfId="20718" xr:uid="{C16305C5-88B5-4C43-980D-EB816FB614D6}"/>
    <cellStyle name="Normal 15 2 2 5 3" xfId="19355" xr:uid="{8B7170BC-4940-43EF-B2E3-BB60F183280D}"/>
    <cellStyle name="Normal 15 2 2 6" xfId="11241" xr:uid="{00000000-0005-0000-0000-0000AF0C0000}"/>
    <cellStyle name="Normal 15 2 2 6 2" xfId="20096" xr:uid="{0AB39345-8F64-4587-B0B7-09E97F89A59B}"/>
    <cellStyle name="Normal 15 2 2 7" xfId="18728" xr:uid="{54AB4286-96B1-4CB1-84E9-5243786830C0}"/>
    <cellStyle name="Normal 15 2 3" xfId="9757" xr:uid="{00000000-0005-0000-0000-0000B00C0000}"/>
    <cellStyle name="Normal 15 2 3 2" xfId="10455" xr:uid="{00000000-0005-0000-0000-0000B10C0000}"/>
    <cellStyle name="Normal 15 2 3 2 2" xfId="12190" xr:uid="{00000000-0005-0000-0000-0000B20C0000}"/>
    <cellStyle name="Normal 15 2 3 2 2 2" xfId="20939" xr:uid="{01B0B9F2-00E8-42A0-A37E-4990EB4DE39F}"/>
    <cellStyle name="Normal 15 2 3 2 3" xfId="19576" xr:uid="{A71AD0DA-7DE2-4068-878C-8717910A18B9}"/>
    <cellStyle name="Normal 15 2 3 3" xfId="11543" xr:uid="{00000000-0005-0000-0000-0000B30C0000}"/>
    <cellStyle name="Normal 15 2 3 3 2" xfId="20312" xr:uid="{7F7E4999-864B-4486-981B-5522FDB6FB6E}"/>
    <cellStyle name="Normal 15 2 3 4" xfId="18944" xr:uid="{6167F68D-4F8C-413D-AAAB-05FB946BC17D}"/>
    <cellStyle name="Normal 15 2 4" xfId="10160" xr:uid="{00000000-0005-0000-0000-0000B40C0000}"/>
    <cellStyle name="Normal 15 2 4 2" xfId="11896" xr:uid="{00000000-0005-0000-0000-0000B50C0000}"/>
    <cellStyle name="Normal 15 2 4 2 2" xfId="20650" xr:uid="{91B28F84-65EC-4D54-99D4-13CC3F4DC875}"/>
    <cellStyle name="Normal 15 2 4 3" xfId="19287" xr:uid="{64275B26-1516-4551-8CFF-74148F20DAE9}"/>
    <cellStyle name="Normal 15 2 5" xfId="11153" xr:uid="{00000000-0005-0000-0000-0000B60C0000}"/>
    <cellStyle name="Normal 15 2 5 2" xfId="20035" xr:uid="{71ADB641-8497-4437-AD00-4C116A75DC38}"/>
    <cellStyle name="Normal 15 2 6" xfId="18667" xr:uid="{0C233068-6219-4ABA-A2F7-2133BE3F09A4}"/>
    <cellStyle name="Normal 15 3" xfId="7570" xr:uid="{00000000-0005-0000-0000-0000B70C0000}"/>
    <cellStyle name="Normal 15 3 2" xfId="7576" xr:uid="{00000000-0005-0000-0000-0000B80C0000}"/>
    <cellStyle name="Normal 15 3 2 2" xfId="9821" xr:uid="{00000000-0005-0000-0000-0000B90C0000}"/>
    <cellStyle name="Normal 15 3 2 2 2" xfId="10519" xr:uid="{00000000-0005-0000-0000-0000BA0C0000}"/>
    <cellStyle name="Normal 15 3 2 2 2 2" xfId="12254" xr:uid="{00000000-0005-0000-0000-0000BB0C0000}"/>
    <cellStyle name="Normal 15 3 2 2 2 2 2" xfId="21003" xr:uid="{E4646315-354F-45F3-9144-D5FEC5B55FCA}"/>
    <cellStyle name="Normal 15 3 2 2 2 3" xfId="19640" xr:uid="{8EB70F43-1C5C-4575-AC76-FDAD4DB39509}"/>
    <cellStyle name="Normal 15 3 2 2 3" xfId="11607" xr:uid="{00000000-0005-0000-0000-0000BC0C0000}"/>
    <cellStyle name="Normal 15 3 2 2 3 2" xfId="20376" xr:uid="{2F01FCCC-7CE1-4424-9F1A-CCAB2A9BC178}"/>
    <cellStyle name="Normal 15 3 2 2 4" xfId="19008" xr:uid="{88C8DC14-369E-4CD8-99A3-7DFF30DFF13C}"/>
    <cellStyle name="Normal 15 3 2 3" xfId="10234" xr:uid="{00000000-0005-0000-0000-0000BD0C0000}"/>
    <cellStyle name="Normal 15 3 2 3 2" xfId="11970" xr:uid="{00000000-0005-0000-0000-0000BE0C0000}"/>
    <cellStyle name="Normal 15 3 2 3 2 2" xfId="20721" xr:uid="{F9090AE5-749B-4317-BD02-71F4E226C9D3}"/>
    <cellStyle name="Normal 15 3 2 3 3" xfId="19358" xr:uid="{83F89F33-2A9E-4092-AD32-66218EA8650F}"/>
    <cellStyle name="Normal 15 3 2 4" xfId="11244" xr:uid="{00000000-0005-0000-0000-0000BF0C0000}"/>
    <cellStyle name="Normal 15 3 2 4 2" xfId="20099" xr:uid="{C73B176B-B4CB-41E5-9D00-CB600A4FB2E4}"/>
    <cellStyle name="Normal 15 3 2 5" xfId="18731" xr:uid="{1B09E445-B50C-4F3D-9AC1-52FE3102D6CA}"/>
    <cellStyle name="Normal 15 3 3" xfId="9815" xr:uid="{00000000-0005-0000-0000-0000C00C0000}"/>
    <cellStyle name="Normal 15 3 3 2" xfId="10513" xr:uid="{00000000-0005-0000-0000-0000C10C0000}"/>
    <cellStyle name="Normal 15 3 3 2 2" xfId="12248" xr:uid="{00000000-0005-0000-0000-0000C20C0000}"/>
    <cellStyle name="Normal 15 3 3 2 2 2" xfId="20997" xr:uid="{501B7F5F-C532-4619-83F7-A83B861FD5BF}"/>
    <cellStyle name="Normal 15 3 3 2 3" xfId="19634" xr:uid="{E4CAF521-F51D-4A65-9EB0-EC5871090997}"/>
    <cellStyle name="Normal 15 3 3 3" xfId="11601" xr:uid="{00000000-0005-0000-0000-0000C30C0000}"/>
    <cellStyle name="Normal 15 3 3 3 2" xfId="20370" xr:uid="{57379346-15C5-4D14-B8B9-6E90F01DBBE4}"/>
    <cellStyle name="Normal 15 3 3 4" xfId="19002" xr:uid="{0A588C50-1615-4F98-951E-2BE6F2B72443}"/>
    <cellStyle name="Normal 15 3 4" xfId="10228" xr:uid="{00000000-0005-0000-0000-0000C40C0000}"/>
    <cellStyle name="Normal 15 3 4 2" xfId="11964" xr:uid="{00000000-0005-0000-0000-0000C50C0000}"/>
    <cellStyle name="Normal 15 3 4 2 2" xfId="20715" xr:uid="{E31221F5-BBF3-441C-80D4-D462697A6493}"/>
    <cellStyle name="Normal 15 3 4 3" xfId="19352" xr:uid="{F5F8D4A8-7B28-4F64-97BF-5B98317DF8AE}"/>
    <cellStyle name="Normal 15 3 5" xfId="11238" xr:uid="{00000000-0005-0000-0000-0000C60C0000}"/>
    <cellStyle name="Normal 15 3 5 2" xfId="20093" xr:uid="{1BB5094C-831F-4259-9984-9CFFDAA8FB3C}"/>
    <cellStyle name="Normal 15 3 6" xfId="18725" xr:uid="{4BD6F9DA-2F39-4F48-A696-DD0A70E54E7A}"/>
    <cellStyle name="Normal 15 4" xfId="9551" xr:uid="{00000000-0005-0000-0000-0000C70C0000}"/>
    <cellStyle name="Normal 15 4 2" xfId="10255" xr:uid="{00000000-0005-0000-0000-0000C80C0000}"/>
    <cellStyle name="Normal 15 4 2 2" xfId="11990" xr:uid="{00000000-0005-0000-0000-0000C90C0000}"/>
    <cellStyle name="Normal 15 4 2 2 2" xfId="20739" xr:uid="{A6988D42-B593-4472-812E-1DF733121A4B}"/>
    <cellStyle name="Normal 15 4 2 3" xfId="19376" xr:uid="{9FE105F2-FD66-485A-9935-794C84E32FF7}"/>
    <cellStyle name="Normal 15 4 3" xfId="11343" xr:uid="{00000000-0005-0000-0000-0000CA0C0000}"/>
    <cellStyle name="Normal 15 4 3 2" xfId="20112" xr:uid="{8985AAB0-7E59-41A1-84DC-79098C430A5E}"/>
    <cellStyle name="Normal 15 4 4" xfId="18744" xr:uid="{5CC8D00C-D43C-4CF0-987E-E7FD2A97A425}"/>
    <cellStyle name="Normal 15 5" xfId="4046" xr:uid="{00000000-0005-0000-0000-0000CB0C0000}"/>
    <cellStyle name="Normal 15 5 2" xfId="10914" xr:uid="{00000000-0005-0000-0000-0000CC0C0000}"/>
    <cellStyle name="Normal 15 5 2 2" xfId="19835" xr:uid="{6C9B325C-74D7-4941-AAE9-8C0CE9E5E33D}"/>
    <cellStyle name="Normal 15 5 3" xfId="18467" xr:uid="{0E4FF9CD-1D14-4011-B915-DD0E4058442A}"/>
    <cellStyle name="Normal 15 6" xfId="9958" xr:uid="{00000000-0005-0000-0000-0000CD0C0000}"/>
    <cellStyle name="Normal 15 6 2" xfId="11694" xr:uid="{00000000-0005-0000-0000-0000CE0C0000}"/>
    <cellStyle name="Normal 15 6 2 2" xfId="20450" xr:uid="{CB6C65B8-B61E-4DFD-8A0D-AD4B8489317C}"/>
    <cellStyle name="Normal 15 6 3" xfId="19087" xr:uid="{1E316682-3A89-4CA6-936A-74198BEDFDBE}"/>
    <cellStyle name="Normal 15 7" xfId="10692" xr:uid="{00000000-0005-0000-0000-0000CF0C0000}"/>
    <cellStyle name="Normal 15 7 2" xfId="19784" xr:uid="{C223A5ED-BA3B-45DA-BF15-FB7BEEFA10A0}"/>
    <cellStyle name="Normal 15 8" xfId="14229" xr:uid="{679B30AD-08BE-448D-81D7-08C086620263}"/>
    <cellStyle name="Normal 15 8 2" xfId="22426" xr:uid="{0448BDDD-C1EB-4FF8-943F-8BC39125E62F}"/>
    <cellStyle name="Normal 15 9" xfId="17833" xr:uid="{AF33479D-0A07-4C09-B1FB-D7F8C8AD04C8}"/>
    <cellStyle name="Normal 15 9 2" xfId="24057" xr:uid="{9D33CEAE-96DF-4EAC-8798-52B580508FA9}"/>
    <cellStyle name="Normal 15_1.2.b" xfId="16154" xr:uid="{E5CFC267-8E05-4DB8-8EAB-3A60F49073CA}"/>
    <cellStyle name="Normal 16" xfId="186" xr:uid="{00000000-0005-0000-0000-0000D00C0000}"/>
    <cellStyle name="Normal 16 10" xfId="18430" xr:uid="{9E337A1B-7F3F-43ED-BF08-09D438440917}"/>
    <cellStyle name="Normal 16 2" xfId="4347" xr:uid="{00000000-0005-0000-0000-0000D10C0000}"/>
    <cellStyle name="Normal 16 2 2" xfId="7572" xr:uid="{00000000-0005-0000-0000-0000D20C0000}"/>
    <cellStyle name="Normal 16 2 2 2" xfId="7578" xr:uid="{00000000-0005-0000-0000-0000D30C0000}"/>
    <cellStyle name="Normal 16 2 2 2 2" xfId="9823" xr:uid="{00000000-0005-0000-0000-0000D40C0000}"/>
    <cellStyle name="Normal 16 2 2 2 2 2" xfId="10521" xr:uid="{00000000-0005-0000-0000-0000D50C0000}"/>
    <cellStyle name="Normal 16 2 2 2 2 2 2" xfId="12256" xr:uid="{00000000-0005-0000-0000-0000D60C0000}"/>
    <cellStyle name="Normal 16 2 2 2 2 2 2 2" xfId="21005" xr:uid="{13CC0FE0-14D3-4209-AEC5-DA072BB71AC4}"/>
    <cellStyle name="Normal 16 2 2 2 2 2 3" xfId="19642" xr:uid="{DC216AD8-4995-4BD9-A2A8-3F76769679BA}"/>
    <cellStyle name="Normal 16 2 2 2 2 3" xfId="11609" xr:uid="{00000000-0005-0000-0000-0000D70C0000}"/>
    <cellStyle name="Normal 16 2 2 2 2 3 2" xfId="20378" xr:uid="{3AA54CB0-F8AE-4754-81AB-C50CF17770E2}"/>
    <cellStyle name="Normal 16 2 2 2 2 4" xfId="19010" xr:uid="{8BA8590E-6564-4BF6-93DA-942DF31E85C7}"/>
    <cellStyle name="Normal 16 2 2 2 3" xfId="10236" xr:uid="{00000000-0005-0000-0000-0000D80C0000}"/>
    <cellStyle name="Normal 16 2 2 2 3 2" xfId="11972" xr:uid="{00000000-0005-0000-0000-0000D90C0000}"/>
    <cellStyle name="Normal 16 2 2 2 3 2 2" xfId="20723" xr:uid="{640BEBCD-B16F-43F6-B4C7-F9063D7ECFF0}"/>
    <cellStyle name="Normal 16 2 2 2 3 3" xfId="19360" xr:uid="{63B553F4-4846-498E-B9AA-36B3F4890486}"/>
    <cellStyle name="Normal 16 2 2 2 4" xfId="11246" xr:uid="{00000000-0005-0000-0000-0000DA0C0000}"/>
    <cellStyle name="Normal 16 2 2 2 4 2" xfId="20101" xr:uid="{1B5BAF24-6FFF-40DE-A6B0-94004F8097EE}"/>
    <cellStyle name="Normal 16 2 2 2 5" xfId="18733" xr:uid="{E66E1773-62BD-4505-B6AB-1BD0CEB8C302}"/>
    <cellStyle name="Normal 16 2 2 3" xfId="9817" xr:uid="{00000000-0005-0000-0000-0000DB0C0000}"/>
    <cellStyle name="Normal 16 2 2 3 2" xfId="10515" xr:uid="{00000000-0005-0000-0000-0000DC0C0000}"/>
    <cellStyle name="Normal 16 2 2 3 2 2" xfId="12250" xr:uid="{00000000-0005-0000-0000-0000DD0C0000}"/>
    <cellStyle name="Normal 16 2 2 3 2 2 2" xfId="20999" xr:uid="{391BA43B-2EB4-4124-BEA3-DC89C005DF02}"/>
    <cellStyle name="Normal 16 2 2 3 2 3" xfId="19636" xr:uid="{D164A8FC-4E05-4814-9CD6-08885BA1C6AA}"/>
    <cellStyle name="Normal 16 2 2 3 3" xfId="11603" xr:uid="{00000000-0005-0000-0000-0000DE0C0000}"/>
    <cellStyle name="Normal 16 2 2 3 3 2" xfId="20372" xr:uid="{C89E513A-93FA-4983-BE48-26E2FB19AB1C}"/>
    <cellStyle name="Normal 16 2 2 3 4" xfId="19004" xr:uid="{988E0BFB-9D89-4324-90D9-34B9CCF154CF}"/>
    <cellStyle name="Normal 16 2 2 4" xfId="10230" xr:uid="{00000000-0005-0000-0000-0000DF0C0000}"/>
    <cellStyle name="Normal 16 2 2 4 2" xfId="11966" xr:uid="{00000000-0005-0000-0000-0000E00C0000}"/>
    <cellStyle name="Normal 16 2 2 4 2 2" xfId="20717" xr:uid="{57B3410C-F103-43F2-AF4C-0E7F60E7DE5E}"/>
    <cellStyle name="Normal 16 2 2 4 3" xfId="19354" xr:uid="{32269A65-FAB9-4EDD-BC53-32168E6D2D8B}"/>
    <cellStyle name="Normal 16 2 2 5" xfId="11240" xr:uid="{00000000-0005-0000-0000-0000E10C0000}"/>
    <cellStyle name="Normal 16 2 2 5 2" xfId="20095" xr:uid="{5A5AF26F-EFFA-4EDE-A017-CB115DFF6CE2}"/>
    <cellStyle name="Normal 16 2 2 6" xfId="18727" xr:uid="{9634DB78-25AE-4BA7-A309-2FD2A1D6DF1F}"/>
    <cellStyle name="Normal 16 2 3" xfId="9756" xr:uid="{00000000-0005-0000-0000-0000E20C0000}"/>
    <cellStyle name="Normal 16 2 3 2" xfId="10454" xr:uid="{00000000-0005-0000-0000-0000E30C0000}"/>
    <cellStyle name="Normal 16 2 3 2 2" xfId="12189" xr:uid="{00000000-0005-0000-0000-0000E40C0000}"/>
    <cellStyle name="Normal 16 2 3 2 2 2" xfId="20938" xr:uid="{FE187837-C8E6-43BA-82AE-8C4FF469CEDD}"/>
    <cellStyle name="Normal 16 2 3 2 3" xfId="19575" xr:uid="{CFC67DAE-5B01-4EA9-A7DC-1FBBA4C5021E}"/>
    <cellStyle name="Normal 16 2 3 3" xfId="11542" xr:uid="{00000000-0005-0000-0000-0000E50C0000}"/>
    <cellStyle name="Normal 16 2 3 3 2" xfId="20311" xr:uid="{AAEA4340-2A1E-42AE-8153-27A9A010592D}"/>
    <cellStyle name="Normal 16 2 3 4" xfId="18943" xr:uid="{CF80EBCC-1BBC-4A7D-84E2-D2ED361F8F5E}"/>
    <cellStyle name="Normal 16 2 4" xfId="10158" xr:uid="{00000000-0005-0000-0000-0000E60C0000}"/>
    <cellStyle name="Normal 16 2 4 2" xfId="11894" xr:uid="{00000000-0005-0000-0000-0000E70C0000}"/>
    <cellStyle name="Normal 16 2 4 2 2" xfId="20649" xr:uid="{DACF72B5-04AF-494D-A391-C6A64942ACEC}"/>
    <cellStyle name="Normal 16 2 4 3" xfId="19286" xr:uid="{86234B73-9320-4FF7-8FA7-FF8F178E19B9}"/>
    <cellStyle name="Normal 16 2 5" xfId="11151" xr:uid="{00000000-0005-0000-0000-0000E80C0000}"/>
    <cellStyle name="Normal 16 2 5 2" xfId="20034" xr:uid="{469FD391-5DD3-4836-A5AA-6FF95D144692}"/>
    <cellStyle name="Normal 16 2 6" xfId="18666" xr:uid="{C7E19C89-5F1A-427F-B848-6423BDA18193}"/>
    <cellStyle name="Normal 16 3" xfId="7571" xr:uid="{00000000-0005-0000-0000-0000E90C0000}"/>
    <cellStyle name="Normal 16 3 2" xfId="7577" xr:uid="{00000000-0005-0000-0000-0000EA0C0000}"/>
    <cellStyle name="Normal 16 3 2 2" xfId="9822" xr:uid="{00000000-0005-0000-0000-0000EB0C0000}"/>
    <cellStyle name="Normal 16 3 2 2 2" xfId="10520" xr:uid="{00000000-0005-0000-0000-0000EC0C0000}"/>
    <cellStyle name="Normal 16 3 2 2 2 2" xfId="12255" xr:uid="{00000000-0005-0000-0000-0000ED0C0000}"/>
    <cellStyle name="Normal 16 3 2 2 2 2 2" xfId="21004" xr:uid="{5EAA84F7-B811-4949-AE9F-C1B295CF2F2B}"/>
    <cellStyle name="Normal 16 3 2 2 2 3" xfId="19641" xr:uid="{86DA7B27-FF42-4ACC-8FC7-32489DD5E733}"/>
    <cellStyle name="Normal 16 3 2 2 3" xfId="11608" xr:uid="{00000000-0005-0000-0000-0000EE0C0000}"/>
    <cellStyle name="Normal 16 3 2 2 3 2" xfId="20377" xr:uid="{15F6C396-FAF9-4677-8553-01B6E1BA3E51}"/>
    <cellStyle name="Normal 16 3 2 2 4" xfId="19009" xr:uid="{F1CE6C89-EF39-4790-A5FD-9B8E1CC979E0}"/>
    <cellStyle name="Normal 16 3 2 3" xfId="10235" xr:uid="{00000000-0005-0000-0000-0000EF0C0000}"/>
    <cellStyle name="Normal 16 3 2 3 2" xfId="11971" xr:uid="{00000000-0005-0000-0000-0000F00C0000}"/>
    <cellStyle name="Normal 16 3 2 3 2 2" xfId="20722" xr:uid="{687206C8-5045-46C0-AF16-B7D6A41A6EE9}"/>
    <cellStyle name="Normal 16 3 2 3 3" xfId="19359" xr:uid="{E1582E27-FEDF-4A62-B742-381B9A798748}"/>
    <cellStyle name="Normal 16 3 2 4" xfId="11245" xr:uid="{00000000-0005-0000-0000-0000F10C0000}"/>
    <cellStyle name="Normal 16 3 2 4 2" xfId="20100" xr:uid="{E88736F0-7A65-40EC-9C92-286F78A03E8D}"/>
    <cellStyle name="Normal 16 3 2 5" xfId="18732" xr:uid="{469CFC5F-0C19-4AE8-897B-50CB9092BC4B}"/>
    <cellStyle name="Normal 16 3 3" xfId="9816" xr:uid="{00000000-0005-0000-0000-0000F20C0000}"/>
    <cellStyle name="Normal 16 3 3 2" xfId="10514" xr:uid="{00000000-0005-0000-0000-0000F30C0000}"/>
    <cellStyle name="Normal 16 3 3 2 2" xfId="12249" xr:uid="{00000000-0005-0000-0000-0000F40C0000}"/>
    <cellStyle name="Normal 16 3 3 2 2 2" xfId="20998" xr:uid="{1D34E544-43EC-4E17-B518-6C1D09CC8BDA}"/>
    <cellStyle name="Normal 16 3 3 2 3" xfId="19635" xr:uid="{1709E915-E7E0-40CF-B4B0-CE679B8C105A}"/>
    <cellStyle name="Normal 16 3 3 3" xfId="11602" xr:uid="{00000000-0005-0000-0000-0000F50C0000}"/>
    <cellStyle name="Normal 16 3 3 3 2" xfId="20371" xr:uid="{0C8B90EE-6F5C-485A-955F-AEFC7220EED9}"/>
    <cellStyle name="Normal 16 3 3 4" xfId="19003" xr:uid="{645459DF-87B0-4C1E-A6D2-724F0F992179}"/>
    <cellStyle name="Normal 16 3 4" xfId="10229" xr:uid="{00000000-0005-0000-0000-0000F60C0000}"/>
    <cellStyle name="Normal 16 3 4 2" xfId="11965" xr:uid="{00000000-0005-0000-0000-0000F70C0000}"/>
    <cellStyle name="Normal 16 3 4 2 2" xfId="20716" xr:uid="{BFDA0D82-F4D5-471F-A920-CE0D7F6CDE13}"/>
    <cellStyle name="Normal 16 3 4 3" xfId="19353" xr:uid="{04D8F413-93F3-4181-9994-55B575374902}"/>
    <cellStyle name="Normal 16 3 5" xfId="11239" xr:uid="{00000000-0005-0000-0000-0000F80C0000}"/>
    <cellStyle name="Normal 16 3 5 2" xfId="20094" xr:uid="{E5C27274-F358-43C4-A44E-055D84F1AAB5}"/>
    <cellStyle name="Normal 16 3 6" xfId="18726" xr:uid="{A9430E55-AFFB-414A-AB87-27C7F3966B33}"/>
    <cellStyle name="Normal 16 4" xfId="9552" xr:uid="{00000000-0005-0000-0000-0000F90C0000}"/>
    <cellStyle name="Normal 16 4 2" xfId="10256" xr:uid="{00000000-0005-0000-0000-0000FA0C0000}"/>
    <cellStyle name="Normal 16 4 2 2" xfId="11991" xr:uid="{00000000-0005-0000-0000-0000FB0C0000}"/>
    <cellStyle name="Normal 16 4 2 2 2" xfId="20740" xr:uid="{3A559B19-AF09-4D6E-B863-DB9519AB136B}"/>
    <cellStyle name="Normal 16 4 2 3" xfId="19377" xr:uid="{67B061CB-AAA3-4A3E-A4C9-82684FB1C89E}"/>
    <cellStyle name="Normal 16 4 3" xfId="11344" xr:uid="{00000000-0005-0000-0000-0000FC0C0000}"/>
    <cellStyle name="Normal 16 4 3 2" xfId="20113" xr:uid="{22CF6583-2D43-4DE2-BD78-03C49C300FEF}"/>
    <cellStyle name="Normal 16 4 4" xfId="18745" xr:uid="{778C269F-BCBC-46C9-90E4-B5D3C8D3B34B}"/>
    <cellStyle name="Normal 16 5" xfId="4047" xr:uid="{00000000-0005-0000-0000-0000FD0C0000}"/>
    <cellStyle name="Normal 16 5 2" xfId="10915" xr:uid="{00000000-0005-0000-0000-0000FE0C0000}"/>
    <cellStyle name="Normal 16 5 2 2" xfId="19836" xr:uid="{8487CE71-391C-41CF-AAA3-05EE1420AB57}"/>
    <cellStyle name="Normal 16 5 3" xfId="18468" xr:uid="{215CAA79-4302-4A1A-9219-D925017CE81E}"/>
    <cellStyle name="Normal 16 6" xfId="9959" xr:uid="{00000000-0005-0000-0000-0000FF0C0000}"/>
    <cellStyle name="Normal 16 6 2" xfId="11695" xr:uid="{00000000-0005-0000-0000-0000000D0000}"/>
    <cellStyle name="Normal 16 6 2 2" xfId="20451" xr:uid="{F4E973C3-EC9C-4BAD-AF66-C6FF5A0A781C}"/>
    <cellStyle name="Normal 16 6 3" xfId="19088" xr:uid="{D6DE2FD8-CB08-4637-8B28-39F16BFA3F9B}"/>
    <cellStyle name="Normal 16 7" xfId="10706" xr:uid="{00000000-0005-0000-0000-0000010D0000}"/>
    <cellStyle name="Normal 16 7 2" xfId="19798" xr:uid="{6F7BE4F8-EB28-4B13-B857-0DB1D6A091BE}"/>
    <cellStyle name="Normal 16 8" xfId="14230" xr:uid="{B4871432-D670-48C9-B0E5-EC6628368B85}"/>
    <cellStyle name="Normal 16 8 2" xfId="22427" xr:uid="{5A709726-882B-4AE5-867B-D72FB99B9F5A}"/>
    <cellStyle name="Normal 16 9" xfId="17834" xr:uid="{C4983526-1B31-4BC8-98D0-DD53B678CBCF}"/>
    <cellStyle name="Normal 16 9 2" xfId="24058" xr:uid="{49EC835C-C1C9-495C-88D8-2AE5F4E10EAC}"/>
    <cellStyle name="Normal 16_1.2.b" xfId="16155" xr:uid="{41825BBB-EFFA-4CFD-B405-AC6587A8ED37}"/>
    <cellStyle name="Normal 17" xfId="201" xr:uid="{00000000-0005-0000-0000-0000020D0000}"/>
    <cellStyle name="Normal 17 2" xfId="9553" xr:uid="{00000000-0005-0000-0000-0000030D0000}"/>
    <cellStyle name="Normal 17 2 2" xfId="10257" xr:uid="{00000000-0005-0000-0000-0000040D0000}"/>
    <cellStyle name="Normal 17 2 2 2" xfId="11992" xr:uid="{00000000-0005-0000-0000-0000050D0000}"/>
    <cellStyle name="Normal 17 2 2 2 2" xfId="20741" xr:uid="{F5CF2206-ECFA-4139-8716-BEC2F7CD097F}"/>
    <cellStyle name="Normal 17 2 2 3" xfId="19378" xr:uid="{4E72B688-5EC3-40D3-BAE8-FD74F745465A}"/>
    <cellStyle name="Normal 17 2 3" xfId="11345" xr:uid="{00000000-0005-0000-0000-0000060D0000}"/>
    <cellStyle name="Normal 17 2 3 2" xfId="20114" xr:uid="{90680E11-6D8F-4E18-8FE7-3385E5304865}"/>
    <cellStyle name="Normal 17 2 4" xfId="18746" xr:uid="{ABBAB514-DD33-434D-8E8B-C34E2638DA1A}"/>
    <cellStyle name="Normal 17 3" xfId="4048" xr:uid="{00000000-0005-0000-0000-0000070D0000}"/>
    <cellStyle name="Normal 17 3 2" xfId="10916" xr:uid="{00000000-0005-0000-0000-0000080D0000}"/>
    <cellStyle name="Normal 17 3 2 2" xfId="19837" xr:uid="{565AB975-08F1-444B-A44B-D60B0164EAD2}"/>
    <cellStyle name="Normal 17 3 3" xfId="18469" xr:uid="{F8DC7E66-54CD-4A14-B88E-63DB09E77CCC}"/>
    <cellStyle name="Normal 17 4" xfId="9960" xr:uid="{00000000-0005-0000-0000-0000090D0000}"/>
    <cellStyle name="Normal 17 4 2" xfId="11696" xr:uid="{00000000-0005-0000-0000-00000A0D0000}"/>
    <cellStyle name="Normal 17 4 2 2" xfId="20452" xr:uid="{62726062-2C4E-45FC-B3AF-7D17305ECC41}"/>
    <cellStyle name="Normal 17 4 3" xfId="19089" xr:uid="{9670D196-3C03-4F16-9195-89B369B263AF}"/>
    <cellStyle name="Normal 17 5" xfId="10721" xr:uid="{00000000-0005-0000-0000-00000B0D0000}"/>
    <cellStyle name="Normal 17 5 2" xfId="19813" xr:uid="{3225E00A-B140-49D7-A795-5A5AD1246D36}"/>
    <cellStyle name="Normal 17 6" xfId="14231" xr:uid="{56EDB9F4-DB92-4D00-843B-71561DCB3A3C}"/>
    <cellStyle name="Normal 17 6 2" xfId="22428" xr:uid="{3AA9EB53-8C8F-4621-AB51-CDC6967177AA}"/>
    <cellStyle name="Normal 17 7" xfId="17835" xr:uid="{1C029A2C-C706-489A-8EFF-7CCD8FB8125B}"/>
    <cellStyle name="Normal 17 7 2" xfId="24059" xr:uid="{257B6A35-70AC-442C-B9D0-6F2C9A6C44EE}"/>
    <cellStyle name="Normal 17 8" xfId="18445" xr:uid="{36B9711B-08EE-429F-B851-8328FAA252CA}"/>
    <cellStyle name="Normal 17_1.2.b" xfId="16156" xr:uid="{E489F346-5530-4121-901F-2A6F8B844B31}"/>
    <cellStyle name="Normal 18" xfId="215" xr:uid="{00000000-0005-0000-0000-00000C0D0000}"/>
    <cellStyle name="Normal 18 10" xfId="18459" xr:uid="{FE8C9FDD-D066-4019-8D25-EED602EEAC9D}"/>
    <cellStyle name="Normal 18 11" xfId="24487" xr:uid="{6E471DF7-16FE-4143-BF33-554A4B476FA5}"/>
    <cellStyle name="Normal 18 2" xfId="9606" xr:uid="{00000000-0005-0000-0000-00000D0D0000}"/>
    <cellStyle name="Normal 18 2 2" xfId="10308" xr:uid="{00000000-0005-0000-0000-00000E0D0000}"/>
    <cellStyle name="Normal 18 2 2 2" xfId="12043" xr:uid="{00000000-0005-0000-0000-00000F0D0000}"/>
    <cellStyle name="Normal 18 2 2 2 2" xfId="20792" xr:uid="{04F5C34A-D8D4-4B34-BEFA-EA6F6220714A}"/>
    <cellStyle name="Normal 18 2 2 3" xfId="19429" xr:uid="{29E5CA0E-00C1-497E-9845-54DD1BFF7020}"/>
    <cellStyle name="Normal 18 2 3" xfId="11396" xr:uid="{00000000-0005-0000-0000-0000100D0000}"/>
    <cellStyle name="Normal 18 2 3 2" xfId="20165" xr:uid="{2376B68A-D252-4DF6-8FD9-E26D69634DE0}"/>
    <cellStyle name="Normal 18 2 4" xfId="18797" xr:uid="{C1958632-BDE1-4669-8A07-A6C5DB64B106}"/>
    <cellStyle name="Normal 18 3" xfId="4167" xr:uid="{00000000-0005-0000-0000-0000110D0000}"/>
    <cellStyle name="Normal 18 3 2" xfId="10981" xr:uid="{00000000-0005-0000-0000-0000120D0000}"/>
    <cellStyle name="Normal 18 3 2 2" xfId="19888" xr:uid="{09B632F5-F7A5-4974-A0C1-FFF586664107}"/>
    <cellStyle name="Normal 18 3 3" xfId="18520" xr:uid="{52180FBF-A9C2-49DE-82EC-1F370CD0C0A9}"/>
    <cellStyle name="Normal 18 4" xfId="9931" xr:uid="{00000000-0005-0000-0000-0000130D0000}"/>
    <cellStyle name="Normal 18 4 2" xfId="11668" xr:uid="{00000000-0005-0000-0000-0000140D0000}"/>
    <cellStyle name="Normal 18 4 2 2" xfId="20433" xr:uid="{8202D289-5F68-4D4E-955A-CE81C0F46F92}"/>
    <cellStyle name="Normal 18 4 3" xfId="19070" xr:uid="{FAF1EE33-7658-4C0B-8A1D-03492B20A340}"/>
    <cellStyle name="Normal 18 4 4" xfId="24488" xr:uid="{2391765D-7940-475E-967A-8EF63E7EB65B}"/>
    <cellStyle name="Normal 18 5" xfId="9932" xr:uid="{00000000-0005-0000-0000-0000150D0000}"/>
    <cellStyle name="Normal 18 5 2" xfId="11669" xr:uid="{00000000-0005-0000-0000-0000160D0000}"/>
    <cellStyle name="Normal 18 5 2 2" xfId="20434" xr:uid="{AC41B13E-8997-43A4-B798-A3739395D94E}"/>
    <cellStyle name="Normal 18 5 3" xfId="19071" xr:uid="{53206DC2-324F-4140-B38F-B0B306F763C2}"/>
    <cellStyle name="Normal 18 5 4" xfId="24486" xr:uid="{D59AC533-9A2D-4976-9429-79D6E4884D59}"/>
    <cellStyle name="Normal 18 6" xfId="10011" xr:uid="{00000000-0005-0000-0000-0000170D0000}"/>
    <cellStyle name="Normal 18 6 2" xfId="11747" xr:uid="{00000000-0005-0000-0000-0000180D0000}"/>
    <cellStyle name="Normal 18 6 2 2" xfId="20503" xr:uid="{EF65C0CD-3D57-4F6C-8ECE-517C73DB0BB4}"/>
    <cellStyle name="Normal 18 6 3" xfId="19140" xr:uid="{9D1E0565-4FC5-4EDA-A864-F2274A5BBA95}"/>
    <cellStyle name="Normal 18 7" xfId="10735" xr:uid="{00000000-0005-0000-0000-0000190D0000}"/>
    <cellStyle name="Normal 18 7 2" xfId="19827" xr:uid="{86F87C0A-577D-4324-9C08-0AF550F5DCC1}"/>
    <cellStyle name="Normal 18 8" xfId="14232" xr:uid="{D5FCEFF3-65DC-496E-A98D-68F39551AC75}"/>
    <cellStyle name="Normal 18 8 2" xfId="22429" xr:uid="{48D60078-2E6F-4C9B-B3C1-125407BC40A7}"/>
    <cellStyle name="Normal 18 9" xfId="17836" xr:uid="{DBE09778-0820-485F-970C-5570B13C0BB4}"/>
    <cellStyle name="Normal 18 9 2" xfId="24060" xr:uid="{DCDCAF08-22F8-4C1C-9083-2ECACE65AF69}"/>
    <cellStyle name="Normal 18_1.2.b" xfId="16157" xr:uid="{DE0C304E-E4AC-465A-9F3D-163626C6DD80}"/>
    <cellStyle name="Normal 19" xfId="4275" xr:uid="{00000000-0005-0000-0000-00001A0D0000}"/>
    <cellStyle name="Normal 19 2" xfId="9709" xr:uid="{00000000-0005-0000-0000-00001B0D0000}"/>
    <cellStyle name="Normal 19 2 2" xfId="10410" xr:uid="{00000000-0005-0000-0000-00001C0D0000}"/>
    <cellStyle name="Normal 19 2 2 2" xfId="12145" xr:uid="{00000000-0005-0000-0000-00001D0D0000}"/>
    <cellStyle name="Normal 19 2 2 2 2" xfId="20894" xr:uid="{0523BD92-F238-422B-B200-7FEA5C07CFDE}"/>
    <cellStyle name="Normal 19 2 2 3" xfId="19531" xr:uid="{5CD9587A-9F40-4900-9C0B-ABDF32C65ED4}"/>
    <cellStyle name="Normal 19 2 3" xfId="11498" xr:uid="{00000000-0005-0000-0000-00001E0D0000}"/>
    <cellStyle name="Normal 19 2 3 2" xfId="20267" xr:uid="{2308063B-B8D3-4533-B93B-F089A6A62915}"/>
    <cellStyle name="Normal 19 2 4" xfId="18899" xr:uid="{635C4C1F-77A2-4F59-BE8D-E09241B03A99}"/>
    <cellStyle name="Normal 19 3" xfId="10113" xr:uid="{00000000-0005-0000-0000-00001F0D0000}"/>
    <cellStyle name="Normal 19 3 2" xfId="11849" xr:uid="{00000000-0005-0000-0000-0000200D0000}"/>
    <cellStyle name="Normal 19 3 2 2" xfId="20605" xr:uid="{71B4CE20-CD6B-4D35-81D5-61FD8529B4F1}"/>
    <cellStyle name="Normal 19 3 3" xfId="19242" xr:uid="{FC97920A-EB70-4E39-9F34-A882FEE1E601}"/>
    <cellStyle name="Normal 19 4" xfId="11086" xr:uid="{00000000-0005-0000-0000-0000210D0000}"/>
    <cellStyle name="Normal 19 4 2" xfId="19990" xr:uid="{D8EF31D5-7B3E-459D-AC2A-CF72AED51D4B}"/>
    <cellStyle name="Normal 19 5" xfId="14233" xr:uid="{C585A5A6-C0AE-4C90-A1DB-A9C7B19F2B01}"/>
    <cellStyle name="Normal 19 5 2" xfId="22430" xr:uid="{D6548D2E-C73D-4B7F-B9FC-B19D28009C6B}"/>
    <cellStyle name="Normal 19 6" xfId="17837" xr:uid="{BA313A8A-52B9-46E1-B1F8-B64073BF136D}"/>
    <cellStyle name="Normal 19 6 2" xfId="24061" xr:uid="{F4DDD530-085C-4F67-A168-2AA066948452}"/>
    <cellStyle name="Normal 19 7" xfId="18622" xr:uid="{8D5EDE78-C931-4722-8F97-9B18FE93030C}"/>
    <cellStyle name="Normal 19_1.2.b" xfId="16158" xr:uid="{4F73AB42-CFF9-48E7-A1AE-A4CD3F82CA7E}"/>
    <cellStyle name="Normal 2" xfId="16" xr:uid="{00000000-0005-0000-0000-0000220D0000}"/>
    <cellStyle name="Normal 2 10" xfId="1239" xr:uid="{00000000-0005-0000-0000-0000230D0000}"/>
    <cellStyle name="Normal 2 10 10" xfId="4208" xr:uid="{00000000-0005-0000-0000-0000240D0000}"/>
    <cellStyle name="Normal 2 10 10 2" xfId="9643" xr:uid="{00000000-0005-0000-0000-0000250D0000}"/>
    <cellStyle name="Normal 2 10 10 2 2" xfId="10344" xr:uid="{00000000-0005-0000-0000-0000260D0000}"/>
    <cellStyle name="Normal 2 10 10 2 2 2" xfId="12079" xr:uid="{00000000-0005-0000-0000-0000270D0000}"/>
    <cellStyle name="Normal 2 10 10 2 2 2 2" xfId="20828" xr:uid="{20637E97-34C1-4BAD-BDAD-367C4F612972}"/>
    <cellStyle name="Normal 2 10 10 2 2 3" xfId="19465" xr:uid="{5B8D3CC8-1BAA-497E-A4B5-B03AD72A5FCA}"/>
    <cellStyle name="Normal 2 10 10 2 3" xfId="11432" xr:uid="{00000000-0005-0000-0000-0000280D0000}"/>
    <cellStyle name="Normal 2 10 10 2 3 2" xfId="20201" xr:uid="{7E0DBB81-0997-4B80-AC53-48DD1B4D1D63}"/>
    <cellStyle name="Normal 2 10 10 2 4" xfId="18833" xr:uid="{94E9227D-7912-484C-A750-E6003FD283CC}"/>
    <cellStyle name="Normal 2 10 10 3" xfId="10047" xr:uid="{00000000-0005-0000-0000-0000290D0000}"/>
    <cellStyle name="Normal 2 10 10 3 2" xfId="11783" xr:uid="{00000000-0005-0000-0000-00002A0D0000}"/>
    <cellStyle name="Normal 2 10 10 3 2 2" xfId="20539" xr:uid="{ED2EE3FF-0658-4B61-9739-6D8E08D09A40}"/>
    <cellStyle name="Normal 2 10 10 3 3" xfId="19176" xr:uid="{5680E49A-AEC3-4091-AB1C-2C7530473095}"/>
    <cellStyle name="Normal 2 10 10 4" xfId="11019" xr:uid="{00000000-0005-0000-0000-00002B0D0000}"/>
    <cellStyle name="Normal 2 10 10 4 2" xfId="19924" xr:uid="{9F815B1D-218C-4005-8049-DA7F80BE8951}"/>
    <cellStyle name="Normal 2 10 10 5" xfId="18556" xr:uid="{B5F80F2C-6042-42CB-B35A-2A0476064124}"/>
    <cellStyle name="Normal 2 10 11" xfId="4319" xr:uid="{00000000-0005-0000-0000-00002C0D0000}"/>
    <cellStyle name="Normal 2 10 12" xfId="14234" xr:uid="{5F8743E2-562D-4F06-8BB9-0E3C2D9F5454}"/>
    <cellStyle name="Normal 2 10 12 2" xfId="22431" xr:uid="{72C9DA4C-8FA2-4C6A-86BF-4B71F7FCF8A2}"/>
    <cellStyle name="Normal 2 10 13" xfId="17838" xr:uid="{4C4C001F-A178-4E91-B85D-F0AC77B212A7}"/>
    <cellStyle name="Normal 2 10 13 2" xfId="24062" xr:uid="{9B8F800B-E709-4426-8834-2429BCB2F43B}"/>
    <cellStyle name="Normal 2 10 2" xfId="1240" xr:uid="{00000000-0005-0000-0000-00002D0D0000}"/>
    <cellStyle name="Normal 2 10 2 2" xfId="4259" xr:uid="{00000000-0005-0000-0000-00002E0D0000}"/>
    <cellStyle name="Normal 2 10 2 2 2" xfId="9694" xr:uid="{00000000-0005-0000-0000-00002F0D0000}"/>
    <cellStyle name="Normal 2 10 2 2 2 2" xfId="10395" xr:uid="{00000000-0005-0000-0000-0000300D0000}"/>
    <cellStyle name="Normal 2 10 2 2 2 2 2" xfId="12130" xr:uid="{00000000-0005-0000-0000-0000310D0000}"/>
    <cellStyle name="Normal 2 10 2 2 2 2 2 2" xfId="20879" xr:uid="{D2A06753-6B75-4216-898D-C90D751D1F02}"/>
    <cellStyle name="Normal 2 10 2 2 2 2 3" xfId="19516" xr:uid="{12ED0ECC-49E1-48FE-B3B2-B2096AD93857}"/>
    <cellStyle name="Normal 2 10 2 2 2 3" xfId="11483" xr:uid="{00000000-0005-0000-0000-0000320D0000}"/>
    <cellStyle name="Normal 2 10 2 2 2 3 2" xfId="20252" xr:uid="{7D1C6271-C00F-42C9-B751-7F7AF3C27915}"/>
    <cellStyle name="Normal 2 10 2 2 2 4" xfId="18884" xr:uid="{586E723C-7DEB-40D7-A762-EF300948CB5E}"/>
    <cellStyle name="Normal 2 10 2 2 3" xfId="10098" xr:uid="{00000000-0005-0000-0000-0000330D0000}"/>
    <cellStyle name="Normal 2 10 2 2 3 2" xfId="11834" xr:uid="{00000000-0005-0000-0000-0000340D0000}"/>
    <cellStyle name="Normal 2 10 2 2 3 2 2" xfId="20590" xr:uid="{9D103730-0C03-498D-B5D2-82B3BAF04671}"/>
    <cellStyle name="Normal 2 10 2 2 3 3" xfId="19227" xr:uid="{DD51F3C6-9308-41E1-8508-342370D2ED46}"/>
    <cellStyle name="Normal 2 10 2 2 4" xfId="11070" xr:uid="{00000000-0005-0000-0000-0000350D0000}"/>
    <cellStyle name="Normal 2 10 2 2 4 2" xfId="19975" xr:uid="{CACDD8CC-7CE5-403A-BC12-8D0A254696B2}"/>
    <cellStyle name="Normal 2 10 2 2 5" xfId="18607" xr:uid="{D2D806BE-9E55-463B-B5DB-8623D67FBC18}"/>
    <cellStyle name="Normal 2 10 3" xfId="1241" xr:uid="{00000000-0005-0000-0000-0000360D0000}"/>
    <cellStyle name="Normal 2 10 4" xfId="1242" xr:uid="{00000000-0005-0000-0000-0000370D0000}"/>
    <cellStyle name="Normal 2 10 5" xfId="1243" xr:uid="{00000000-0005-0000-0000-0000380D0000}"/>
    <cellStyle name="Normal 2 10 6" xfId="1244" xr:uid="{00000000-0005-0000-0000-0000390D0000}"/>
    <cellStyle name="Normal 2 10 7" xfId="1245" xr:uid="{00000000-0005-0000-0000-00003A0D0000}"/>
    <cellStyle name="Normal 2 10 8" xfId="1246" xr:uid="{00000000-0005-0000-0000-00003B0D0000}"/>
    <cellStyle name="Normal 2 10 9" xfId="4126" xr:uid="{00000000-0005-0000-0000-00003C0D0000}"/>
    <cellStyle name="Normal 2 10 9 2" xfId="9591" xr:uid="{00000000-0005-0000-0000-00003D0D0000}"/>
    <cellStyle name="Normal 2 10 9 2 2" xfId="10293" xr:uid="{00000000-0005-0000-0000-00003E0D0000}"/>
    <cellStyle name="Normal 2 10 9 2 2 2" xfId="12028" xr:uid="{00000000-0005-0000-0000-00003F0D0000}"/>
    <cellStyle name="Normal 2 10 9 2 2 2 2" xfId="20777" xr:uid="{67372493-3646-4A47-932C-41CD0EE2ACC4}"/>
    <cellStyle name="Normal 2 10 9 2 2 3" xfId="19414" xr:uid="{4C8AD7C1-41ED-4A54-A1D1-4239E79233C5}"/>
    <cellStyle name="Normal 2 10 9 2 3" xfId="11381" xr:uid="{00000000-0005-0000-0000-0000400D0000}"/>
    <cellStyle name="Normal 2 10 9 2 3 2" xfId="20150" xr:uid="{7CFBF611-4186-43D2-AE71-BE5B06CB9CA9}"/>
    <cellStyle name="Normal 2 10 9 2 4" xfId="18782" xr:uid="{7B2E1E3E-55BC-4447-A9EF-C838C3D95C0F}"/>
    <cellStyle name="Normal 2 10 9 3" xfId="9996" xr:uid="{00000000-0005-0000-0000-0000410D0000}"/>
    <cellStyle name="Normal 2 10 9 3 2" xfId="11732" xr:uid="{00000000-0005-0000-0000-0000420D0000}"/>
    <cellStyle name="Normal 2 10 9 3 2 2" xfId="20488" xr:uid="{5E95F82C-A954-478C-8868-8259190928E6}"/>
    <cellStyle name="Normal 2 10 9 3 3" xfId="19125" xr:uid="{14409AD6-6B92-4B0B-8B48-03D146F6A23E}"/>
    <cellStyle name="Normal 2 10 9 4" xfId="10958" xr:uid="{00000000-0005-0000-0000-0000430D0000}"/>
    <cellStyle name="Normal 2 10 9 4 2" xfId="19873" xr:uid="{0D8FD0CD-CD3C-4EA3-B9E3-2BC3E76364E5}"/>
    <cellStyle name="Normal 2 10 9 5" xfId="18505" xr:uid="{50F05E6C-2A6C-4129-9766-098FE101B9D0}"/>
    <cellStyle name="Normal 2 10_1.2.b" xfId="16160" xr:uid="{112B8263-90A4-42BD-B658-661C8318ADEC}"/>
    <cellStyle name="Normal 2 100" xfId="1247" xr:uid="{00000000-0005-0000-0000-0000440D0000}"/>
    <cellStyle name="Normal 2 100 2" xfId="7676" xr:uid="{00000000-0005-0000-0000-0000450D0000}"/>
    <cellStyle name="Normal 2 101" xfId="1248" xr:uid="{00000000-0005-0000-0000-0000460D0000}"/>
    <cellStyle name="Normal 2 101 2" xfId="7677" xr:uid="{00000000-0005-0000-0000-0000470D0000}"/>
    <cellStyle name="Normal 2 102" xfId="1249" xr:uid="{00000000-0005-0000-0000-0000480D0000}"/>
    <cellStyle name="Normal 2 102 2" xfId="7678" xr:uid="{00000000-0005-0000-0000-0000490D0000}"/>
    <cellStyle name="Normal 2 103" xfId="1250" xr:uid="{00000000-0005-0000-0000-00004A0D0000}"/>
    <cellStyle name="Normal 2 103 2" xfId="7679" xr:uid="{00000000-0005-0000-0000-00004B0D0000}"/>
    <cellStyle name="Normal 2 104" xfId="1251" xr:uid="{00000000-0005-0000-0000-00004C0D0000}"/>
    <cellStyle name="Normal 2 104 2" xfId="7680" xr:uid="{00000000-0005-0000-0000-00004D0D0000}"/>
    <cellStyle name="Normal 2 105" xfId="1252" xr:uid="{00000000-0005-0000-0000-00004E0D0000}"/>
    <cellStyle name="Normal 2 105 2" xfId="7681" xr:uid="{00000000-0005-0000-0000-00004F0D0000}"/>
    <cellStyle name="Normal 2 106" xfId="1253" xr:uid="{00000000-0005-0000-0000-0000500D0000}"/>
    <cellStyle name="Normal 2 106 2" xfId="7682" xr:uid="{00000000-0005-0000-0000-0000510D0000}"/>
    <cellStyle name="Normal 2 107" xfId="4036" xr:uid="{00000000-0005-0000-0000-0000520D0000}"/>
    <cellStyle name="Normal 2 107 2" xfId="4041" xr:uid="{00000000-0005-0000-0000-0000530D0000}"/>
    <cellStyle name="Normal 2 107 2 2" xfId="9547" xr:uid="{00000000-0005-0000-0000-0000540D0000}"/>
    <cellStyle name="Normal 2 107 2 2 2" xfId="10251" xr:uid="{00000000-0005-0000-0000-0000550D0000}"/>
    <cellStyle name="Normal 2 107 2 2 2 2" xfId="11986" xr:uid="{00000000-0005-0000-0000-0000560D0000}"/>
    <cellStyle name="Normal 2 107 2 2 2 2 2" xfId="20735" xr:uid="{15B903CC-770B-43A3-9075-6AC6709720EF}"/>
    <cellStyle name="Normal 2 107 2 2 2 3" xfId="19372" xr:uid="{9D8C8677-7E2B-469A-BC2E-731DC6E3440F}"/>
    <cellStyle name="Normal 2 107 2 2 3" xfId="11339" xr:uid="{00000000-0005-0000-0000-0000570D0000}"/>
    <cellStyle name="Normal 2 107 2 2 3 2" xfId="20108" xr:uid="{68EF0D10-70A4-446F-B592-80E874FE92AA}"/>
    <cellStyle name="Normal 2 107 2 2 4" xfId="18740" xr:uid="{9918BE0B-59A3-4048-8221-0BCAE46EECDF}"/>
    <cellStyle name="Normal 2 107 2 3" xfId="9954" xr:uid="{00000000-0005-0000-0000-0000580D0000}"/>
    <cellStyle name="Normal 2 107 2 3 2" xfId="11690" xr:uid="{00000000-0005-0000-0000-0000590D0000}"/>
    <cellStyle name="Normal 2 107 2 3 2 2" xfId="20446" xr:uid="{0A6E69B6-148E-460C-AD2B-2DC2F985A377}"/>
    <cellStyle name="Normal 2 107 2 3 3" xfId="19083" xr:uid="{44975B06-C803-4B52-84A2-02CD8D2E27F5}"/>
    <cellStyle name="Normal 2 107 2 4" xfId="10910" xr:uid="{00000000-0005-0000-0000-00005A0D0000}"/>
    <cellStyle name="Normal 2 107 2 4 2" xfId="19831" xr:uid="{E40B5A6C-6C49-401E-85E0-C4260CF5BF75}"/>
    <cellStyle name="Normal 2 107 2 5" xfId="18463" xr:uid="{8553CF68-89D1-440E-82CD-8D0E063F4EDD}"/>
    <cellStyle name="Normal 2 107 3" xfId="4351" xr:uid="{00000000-0005-0000-0000-00005B0D0000}"/>
    <cellStyle name="Normal 2 107 3 2" xfId="9759" xr:uid="{00000000-0005-0000-0000-00005C0D0000}"/>
    <cellStyle name="Normal 2 107 3 2 2" xfId="10457" xr:uid="{00000000-0005-0000-0000-00005D0D0000}"/>
    <cellStyle name="Normal 2 107 3 2 2 2" xfId="12192" xr:uid="{00000000-0005-0000-0000-00005E0D0000}"/>
    <cellStyle name="Normal 2 107 3 2 2 2 2" xfId="20941" xr:uid="{6C01B1DA-9AD5-4B36-B6B9-311B812AE70B}"/>
    <cellStyle name="Normal 2 107 3 2 2 3" xfId="19578" xr:uid="{F5B9C8DD-2830-440C-BA88-B9C918F6571E}"/>
    <cellStyle name="Normal 2 107 3 2 3" xfId="11545" xr:uid="{00000000-0005-0000-0000-00005F0D0000}"/>
    <cellStyle name="Normal 2 107 3 2 3 2" xfId="20314" xr:uid="{F74AEF45-24E6-410A-A6FA-87DFB5E855EC}"/>
    <cellStyle name="Normal 2 107 3 2 4" xfId="18946" xr:uid="{6C61E6E2-9C14-49DC-9B78-C0A2B1DA7AB7}"/>
    <cellStyle name="Normal 2 107 3 3" xfId="10162" xr:uid="{00000000-0005-0000-0000-0000600D0000}"/>
    <cellStyle name="Normal 2 107 3 3 2" xfId="11898" xr:uid="{00000000-0005-0000-0000-0000610D0000}"/>
    <cellStyle name="Normal 2 107 3 3 2 2" xfId="20652" xr:uid="{68EA6C16-7EC0-4DF0-A507-ECB1578AC318}"/>
    <cellStyle name="Normal 2 107 3 3 3" xfId="19289" xr:uid="{31E842D3-39DD-4529-BB7E-5ED9E2B17FE0}"/>
    <cellStyle name="Normal 2 107 3 4" xfId="11155" xr:uid="{00000000-0005-0000-0000-0000620D0000}"/>
    <cellStyle name="Normal 2 107 3 4 2" xfId="20037" xr:uid="{10566E40-89D4-4BD1-9434-EA04E845C641}"/>
    <cellStyle name="Normal 2 107 3 5" xfId="18669" xr:uid="{9B637884-7E4F-4202-B5BD-08C70AC634FC}"/>
    <cellStyle name="Normal 2 107 4" xfId="4353" xr:uid="{00000000-0005-0000-0000-0000630D0000}"/>
    <cellStyle name="Normal 2 107 4 2" xfId="9761" xr:uid="{00000000-0005-0000-0000-0000640D0000}"/>
    <cellStyle name="Normal 2 107 4 2 2" xfId="10459" xr:uid="{00000000-0005-0000-0000-0000650D0000}"/>
    <cellStyle name="Normal 2 107 4 2 2 2" xfId="12194" xr:uid="{00000000-0005-0000-0000-0000660D0000}"/>
    <cellStyle name="Normal 2 107 4 2 2 2 2" xfId="20943" xr:uid="{904101BE-026C-4E63-9F60-63608F470502}"/>
    <cellStyle name="Normal 2 107 4 2 2 3" xfId="19580" xr:uid="{5FC830F0-3198-48A1-8029-F501C08F617A}"/>
    <cellStyle name="Normal 2 107 4 2 3" xfId="11547" xr:uid="{00000000-0005-0000-0000-0000670D0000}"/>
    <cellStyle name="Normal 2 107 4 2 3 2" xfId="20316" xr:uid="{8A2E9806-C582-4A4A-AF6B-6F6C8921F0B0}"/>
    <cellStyle name="Normal 2 107 4 2 4" xfId="18948" xr:uid="{8C6CF248-3FB5-4C54-A520-EF512CF91E0F}"/>
    <cellStyle name="Normal 2 107 4 3" xfId="10164" xr:uid="{00000000-0005-0000-0000-0000680D0000}"/>
    <cellStyle name="Normal 2 107 4 3 2" xfId="11900" xr:uid="{00000000-0005-0000-0000-0000690D0000}"/>
    <cellStyle name="Normal 2 107 4 3 2 2" xfId="20654" xr:uid="{73FF07BA-F713-4EA0-8D2B-6FA7357FF569}"/>
    <cellStyle name="Normal 2 107 4 3 3" xfId="19291" xr:uid="{93603D62-69BA-4538-85AC-6E95EC0FCF99}"/>
    <cellStyle name="Normal 2 107 4 4" xfId="11157" xr:uid="{00000000-0005-0000-0000-00006A0D0000}"/>
    <cellStyle name="Normal 2 107 4 4 2" xfId="20039" xr:uid="{17B2973A-1C91-4FB9-97A6-C8BF0D43F980}"/>
    <cellStyle name="Normal 2 107 4 5" xfId="18671" xr:uid="{320C614C-B7E0-497F-A003-BDD0C5E4EA2B}"/>
    <cellStyle name="Normal 2 107 5" xfId="9544" xr:uid="{00000000-0005-0000-0000-00006B0D0000}"/>
    <cellStyle name="Normal 2 107 5 2" xfId="10248" xr:uid="{00000000-0005-0000-0000-00006C0D0000}"/>
    <cellStyle name="Normal 2 107 5 2 2" xfId="11983" xr:uid="{00000000-0005-0000-0000-00006D0D0000}"/>
    <cellStyle name="Normal 2 107 5 2 2 2" xfId="20732" xr:uid="{612CB39C-91FD-4C38-88DC-96E8FF9BBC75}"/>
    <cellStyle name="Normal 2 107 5 2 3" xfId="19369" xr:uid="{1C68A313-5D78-4A2B-B932-E1CFC3F301A8}"/>
    <cellStyle name="Normal 2 107 5 3" xfId="11336" xr:uid="{00000000-0005-0000-0000-00006E0D0000}"/>
    <cellStyle name="Normal 2 107 5 3 2" xfId="20105" xr:uid="{EA03150E-7985-4E75-9595-BA3DB66E8A1D}"/>
    <cellStyle name="Normal 2 107 5 4" xfId="18737" xr:uid="{500581EA-C2C5-44DA-8666-BAA83B50979E}"/>
    <cellStyle name="Normal 2 107 6" xfId="9951" xr:uid="{00000000-0005-0000-0000-00006F0D0000}"/>
    <cellStyle name="Normal 2 107 6 2" xfId="11687" xr:uid="{00000000-0005-0000-0000-0000700D0000}"/>
    <cellStyle name="Normal 2 107 6 2 2" xfId="20443" xr:uid="{55DF3525-3225-4A97-8A02-C6BF3669F23A}"/>
    <cellStyle name="Normal 2 107 6 3" xfId="19080" xr:uid="{F5F1266B-89D6-4F72-92F1-3B83B5CAD9DF}"/>
    <cellStyle name="Normal 2 107 7" xfId="10907" xr:uid="{00000000-0005-0000-0000-0000710D0000}"/>
    <cellStyle name="Normal 2 107 7 2" xfId="19828" xr:uid="{2C20D940-4D36-43CD-A34D-3AEB8E34DC6D}"/>
    <cellStyle name="Normal 2 107 8" xfId="18460" xr:uid="{D83E5AC2-B315-440B-A69E-B1CF0CE127D1}"/>
    <cellStyle name="Normal 2 108" xfId="4053" xr:uid="{00000000-0005-0000-0000-0000720D0000}"/>
    <cellStyle name="Normal 2 108 2" xfId="9556" xr:uid="{00000000-0005-0000-0000-0000730D0000}"/>
    <cellStyle name="Normal 2 108 2 2" xfId="10259" xr:uid="{00000000-0005-0000-0000-0000740D0000}"/>
    <cellStyle name="Normal 2 108 2 2 2" xfId="11994" xr:uid="{00000000-0005-0000-0000-0000750D0000}"/>
    <cellStyle name="Normal 2 108 2 2 2 2" xfId="20743" xr:uid="{5C263F6F-F92A-4279-987E-B3D6947E2AC1}"/>
    <cellStyle name="Normal 2 108 2 2 3" xfId="19380" xr:uid="{6EC0C654-A16E-4DC4-914B-F8729B203E88}"/>
    <cellStyle name="Normal 2 108 2 3" xfId="11347" xr:uid="{00000000-0005-0000-0000-0000760D0000}"/>
    <cellStyle name="Normal 2 108 2 3 2" xfId="20116" xr:uid="{1CD38563-1769-4B59-9594-51245D99A8B1}"/>
    <cellStyle name="Normal 2 108 2 4" xfId="18748" xr:uid="{79E14D3E-706E-44EC-A398-82D566B9D7D0}"/>
    <cellStyle name="Normal 2 108 3" xfId="9962" xr:uid="{00000000-0005-0000-0000-0000770D0000}"/>
    <cellStyle name="Normal 2 108 3 2" xfId="11698" xr:uid="{00000000-0005-0000-0000-0000780D0000}"/>
    <cellStyle name="Normal 2 108 3 2 2" xfId="20454" xr:uid="{F41C4BBF-3E52-4038-8529-6919E1F4E9CA}"/>
    <cellStyle name="Normal 2 108 3 3" xfId="19091" xr:uid="{34A2B012-08C7-403C-AEB8-0833FECD76A1}"/>
    <cellStyle name="Normal 2 108 4" xfId="10920" xr:uid="{00000000-0005-0000-0000-0000790D0000}"/>
    <cellStyle name="Normal 2 108 4 2" xfId="19839" xr:uid="{A3300E25-0A90-4E48-8860-80DC9B0228B2}"/>
    <cellStyle name="Normal 2 108 5" xfId="18471" xr:uid="{AEE1E1F2-ECBA-4E20-AA40-411FFD33FDF4}"/>
    <cellStyle name="Normal 2 109" xfId="4172" xr:uid="{00000000-0005-0000-0000-00007A0D0000}"/>
    <cellStyle name="Normal 2 109 2" xfId="9609" xr:uid="{00000000-0005-0000-0000-00007B0D0000}"/>
    <cellStyle name="Normal 2 109 2 2" xfId="10310" xr:uid="{00000000-0005-0000-0000-00007C0D0000}"/>
    <cellStyle name="Normal 2 109 2 2 2" xfId="12045" xr:uid="{00000000-0005-0000-0000-00007D0D0000}"/>
    <cellStyle name="Normal 2 109 2 2 2 2" xfId="20794" xr:uid="{698038E7-DC38-4E80-9B5E-04E4500F0F3A}"/>
    <cellStyle name="Normal 2 109 2 2 3" xfId="19431" xr:uid="{DEF94172-87D3-4101-B207-F120668A50E8}"/>
    <cellStyle name="Normal 2 109 2 3" xfId="11398" xr:uid="{00000000-0005-0000-0000-00007E0D0000}"/>
    <cellStyle name="Normal 2 109 2 3 2" xfId="20167" xr:uid="{57F08AED-C423-4495-A5CA-B82FC194957D}"/>
    <cellStyle name="Normal 2 109 2 4" xfId="18799" xr:uid="{F11383AD-41FA-460E-A32D-4E77A73545C2}"/>
    <cellStyle name="Normal 2 109 3" xfId="10013" xr:uid="{00000000-0005-0000-0000-00007F0D0000}"/>
    <cellStyle name="Normal 2 109 3 2" xfId="11749" xr:uid="{00000000-0005-0000-0000-0000800D0000}"/>
    <cellStyle name="Normal 2 109 3 2 2" xfId="20505" xr:uid="{22795AC7-BA1B-4D27-B2FE-95D918378E3B}"/>
    <cellStyle name="Normal 2 109 3 3" xfId="19142" xr:uid="{B55DD313-1FB9-44C3-A019-8AD8D4277CAF}"/>
    <cellStyle name="Normal 2 109 4" xfId="10985" xr:uid="{00000000-0005-0000-0000-0000810D0000}"/>
    <cellStyle name="Normal 2 109 4 2" xfId="19890" xr:uid="{23D35076-E551-4770-BAB8-A595C0714B8F}"/>
    <cellStyle name="Normal 2 109 5" xfId="18522" xr:uid="{65EB9A15-C988-4E00-B8DE-E2FE254C7C64}"/>
    <cellStyle name="Normal 2 11" xfId="1254" xr:uid="{00000000-0005-0000-0000-0000820D0000}"/>
    <cellStyle name="Normal 2 11 10" xfId="4190" xr:uid="{00000000-0005-0000-0000-0000830D0000}"/>
    <cellStyle name="Normal 2 11 10 2" xfId="9625" xr:uid="{00000000-0005-0000-0000-0000840D0000}"/>
    <cellStyle name="Normal 2 11 10 2 2" xfId="10326" xr:uid="{00000000-0005-0000-0000-0000850D0000}"/>
    <cellStyle name="Normal 2 11 10 2 2 2" xfId="12061" xr:uid="{00000000-0005-0000-0000-0000860D0000}"/>
    <cellStyle name="Normal 2 11 10 2 2 2 2" xfId="20810" xr:uid="{06247E19-4363-457B-AFBF-C19371A02A4B}"/>
    <cellStyle name="Normal 2 11 10 2 2 3" xfId="19447" xr:uid="{F397BE47-939F-44BD-A573-F078C785C1C3}"/>
    <cellStyle name="Normal 2 11 10 2 3" xfId="11414" xr:uid="{00000000-0005-0000-0000-0000870D0000}"/>
    <cellStyle name="Normal 2 11 10 2 3 2" xfId="20183" xr:uid="{31C5DBE4-BF4D-4D15-BE9E-0D59F4A44D79}"/>
    <cellStyle name="Normal 2 11 10 2 4" xfId="18815" xr:uid="{4D442DCE-D744-4BB4-885F-3E3CED3A20A7}"/>
    <cellStyle name="Normal 2 11 10 3" xfId="10029" xr:uid="{00000000-0005-0000-0000-0000880D0000}"/>
    <cellStyle name="Normal 2 11 10 3 2" xfId="11765" xr:uid="{00000000-0005-0000-0000-0000890D0000}"/>
    <cellStyle name="Normal 2 11 10 3 2 2" xfId="20521" xr:uid="{BFCDCB72-3B53-4CAE-95B9-94886EF6C89D}"/>
    <cellStyle name="Normal 2 11 10 3 3" xfId="19158" xr:uid="{79CFBF30-05CB-476B-9822-F0ECFBB647AB}"/>
    <cellStyle name="Normal 2 11 10 4" xfId="11001" xr:uid="{00000000-0005-0000-0000-00008A0D0000}"/>
    <cellStyle name="Normal 2 11 10 4 2" xfId="19906" xr:uid="{A888C4D7-1A9D-4D26-BEFC-BCBD838DBAA3}"/>
    <cellStyle name="Normal 2 11 10 5" xfId="18538" xr:uid="{79F30277-4235-4D1A-8DDF-EC6204A7039D}"/>
    <cellStyle name="Normal 2 11 11" xfId="4332" xr:uid="{00000000-0005-0000-0000-00008B0D0000}"/>
    <cellStyle name="Normal 2 11 11 2" xfId="9743" xr:uid="{00000000-0005-0000-0000-00008C0D0000}"/>
    <cellStyle name="Normal 2 11 11 2 2" xfId="10441" xr:uid="{00000000-0005-0000-0000-00008D0D0000}"/>
    <cellStyle name="Normal 2 11 11 2 2 2" xfId="12176" xr:uid="{00000000-0005-0000-0000-00008E0D0000}"/>
    <cellStyle name="Normal 2 11 11 2 2 2 2" xfId="20925" xr:uid="{5AD4D6A2-EF0D-4AED-A526-B03F34625E01}"/>
    <cellStyle name="Normal 2 11 11 2 2 3" xfId="19562" xr:uid="{145A9942-EB82-48D9-8CED-D9F04585E70D}"/>
    <cellStyle name="Normal 2 11 11 2 3" xfId="11529" xr:uid="{00000000-0005-0000-0000-00008F0D0000}"/>
    <cellStyle name="Normal 2 11 11 2 3 2" xfId="20298" xr:uid="{A3A897F8-AA60-41F5-ACD3-7FCFA3A3B1E8}"/>
    <cellStyle name="Normal 2 11 11 2 4" xfId="18930" xr:uid="{8862B880-233E-4309-889B-D636AC821411}"/>
    <cellStyle name="Normal 2 11 11 3" xfId="10144" xr:uid="{00000000-0005-0000-0000-0000900D0000}"/>
    <cellStyle name="Normal 2 11 11 3 2" xfId="11880" xr:uid="{00000000-0005-0000-0000-0000910D0000}"/>
    <cellStyle name="Normal 2 11 11 3 2 2" xfId="20636" xr:uid="{F5BDBC2C-406A-4841-B304-E56CD1E225A5}"/>
    <cellStyle name="Normal 2 11 11 3 3" xfId="19273" xr:uid="{7348D135-EC0D-4ED2-A407-764CD37EC8F3}"/>
    <cellStyle name="Normal 2 11 11 4" xfId="11137" xr:uid="{00000000-0005-0000-0000-0000920D0000}"/>
    <cellStyle name="Normal 2 11 11 4 2" xfId="20021" xr:uid="{441BC8C7-ABF4-4C9C-8760-C4967E40B3BF}"/>
    <cellStyle name="Normal 2 11 11 5" xfId="18653" xr:uid="{30D05D61-49AF-4198-8056-18839243520F}"/>
    <cellStyle name="Normal 2 11 12" xfId="7683" xr:uid="{00000000-0005-0000-0000-0000930D0000}"/>
    <cellStyle name="Normal 2 11 2" xfId="1255" xr:uid="{00000000-0005-0000-0000-0000940D0000}"/>
    <cellStyle name="Normal 2 11 2 2" xfId="4241" xr:uid="{00000000-0005-0000-0000-0000950D0000}"/>
    <cellStyle name="Normal 2 11 2 2 2" xfId="9676" xr:uid="{00000000-0005-0000-0000-0000960D0000}"/>
    <cellStyle name="Normal 2 11 2 2 2 2" xfId="10377" xr:uid="{00000000-0005-0000-0000-0000970D0000}"/>
    <cellStyle name="Normal 2 11 2 2 2 2 2" xfId="12112" xr:uid="{00000000-0005-0000-0000-0000980D0000}"/>
    <cellStyle name="Normal 2 11 2 2 2 2 2 2" xfId="20861" xr:uid="{342242E3-9B76-45EB-BB41-BA66733D0F80}"/>
    <cellStyle name="Normal 2 11 2 2 2 2 3" xfId="19498" xr:uid="{E9C6683B-A560-4AED-93E6-D810726732FC}"/>
    <cellStyle name="Normal 2 11 2 2 2 3" xfId="11465" xr:uid="{00000000-0005-0000-0000-0000990D0000}"/>
    <cellStyle name="Normal 2 11 2 2 2 3 2" xfId="20234" xr:uid="{03BEFA45-69FA-409F-8C12-BA8BB9D1ACA1}"/>
    <cellStyle name="Normal 2 11 2 2 2 4" xfId="18866" xr:uid="{15444294-DCAE-42B5-ACD0-89C99B08C76C}"/>
    <cellStyle name="Normal 2 11 2 2 3" xfId="10080" xr:uid="{00000000-0005-0000-0000-00009A0D0000}"/>
    <cellStyle name="Normal 2 11 2 2 3 2" xfId="11816" xr:uid="{00000000-0005-0000-0000-00009B0D0000}"/>
    <cellStyle name="Normal 2 11 2 2 3 2 2" xfId="20572" xr:uid="{6690534C-700F-460D-8028-5EB60FAF142F}"/>
    <cellStyle name="Normal 2 11 2 2 3 3" xfId="19209" xr:uid="{A0A16C3E-65EE-4B68-8914-1139592837D1}"/>
    <cellStyle name="Normal 2 11 2 2 4" xfId="11052" xr:uid="{00000000-0005-0000-0000-00009C0D0000}"/>
    <cellStyle name="Normal 2 11 2 2 4 2" xfId="19957" xr:uid="{3F0FE5D4-A3B7-4861-9E3F-4374A896C74F}"/>
    <cellStyle name="Normal 2 11 2 2 5" xfId="18589" xr:uid="{55D8462D-5C92-409B-842D-46D00FC54B24}"/>
    <cellStyle name="Normal 2 11 3" xfId="1256" xr:uid="{00000000-0005-0000-0000-00009D0D0000}"/>
    <cellStyle name="Normal 2 11 4" xfId="1257" xr:uid="{00000000-0005-0000-0000-00009E0D0000}"/>
    <cellStyle name="Normal 2 11 5" xfId="1258" xr:uid="{00000000-0005-0000-0000-00009F0D0000}"/>
    <cellStyle name="Normal 2 11 6" xfId="1259" xr:uid="{00000000-0005-0000-0000-0000A00D0000}"/>
    <cellStyle name="Normal 2 11 7" xfId="1260" xr:uid="{00000000-0005-0000-0000-0000A10D0000}"/>
    <cellStyle name="Normal 2 11 8" xfId="1261" xr:uid="{00000000-0005-0000-0000-0000A20D0000}"/>
    <cellStyle name="Normal 2 11 9" xfId="4088" xr:uid="{00000000-0005-0000-0000-0000A30D0000}"/>
    <cellStyle name="Normal 2 11 9 2" xfId="9572" xr:uid="{00000000-0005-0000-0000-0000A40D0000}"/>
    <cellStyle name="Normal 2 11 9 2 2" xfId="10275" xr:uid="{00000000-0005-0000-0000-0000A50D0000}"/>
    <cellStyle name="Normal 2 11 9 2 2 2" xfId="12010" xr:uid="{00000000-0005-0000-0000-0000A60D0000}"/>
    <cellStyle name="Normal 2 11 9 2 2 2 2" xfId="20759" xr:uid="{71589004-EB22-45E1-BFBD-9B5F1B6C906D}"/>
    <cellStyle name="Normal 2 11 9 2 2 3" xfId="19396" xr:uid="{1FF06AF7-E4D8-4A38-AF3A-B8B9F898DB68}"/>
    <cellStyle name="Normal 2 11 9 2 3" xfId="11363" xr:uid="{00000000-0005-0000-0000-0000A70D0000}"/>
    <cellStyle name="Normal 2 11 9 2 3 2" xfId="20132" xr:uid="{19CC6333-D62F-4AE1-A4CA-ACA1517B95F9}"/>
    <cellStyle name="Normal 2 11 9 2 4" xfId="18764" xr:uid="{CE2BE3C6-B9A7-481E-AD82-09816A68B780}"/>
    <cellStyle name="Normal 2 11 9 3" xfId="9978" xr:uid="{00000000-0005-0000-0000-0000A80D0000}"/>
    <cellStyle name="Normal 2 11 9 3 2" xfId="11714" xr:uid="{00000000-0005-0000-0000-0000A90D0000}"/>
    <cellStyle name="Normal 2 11 9 3 2 2" xfId="20470" xr:uid="{1A9504BB-7223-4D05-890E-EC0074779525}"/>
    <cellStyle name="Normal 2 11 9 3 3" xfId="19107" xr:uid="{5D3D91B6-FDD2-4C06-9AA1-A8D249993AA3}"/>
    <cellStyle name="Normal 2 11 9 4" xfId="10937" xr:uid="{00000000-0005-0000-0000-0000AA0D0000}"/>
    <cellStyle name="Normal 2 11 9 4 2" xfId="19855" xr:uid="{2328D71D-F3B0-40ED-B299-AE3DDE1B99DC}"/>
    <cellStyle name="Normal 2 11 9 5" xfId="18487" xr:uid="{05AE0DB1-6650-41D4-968F-2C3C43AA6B6F}"/>
    <cellStyle name="Normal 2 110" xfId="4280" xr:uid="{00000000-0005-0000-0000-0000AB0D0000}"/>
    <cellStyle name="Normal 2 110 2" xfId="9713" xr:uid="{00000000-0005-0000-0000-0000AC0D0000}"/>
    <cellStyle name="Normal 2 110 2 2" xfId="10413" xr:uid="{00000000-0005-0000-0000-0000AD0D0000}"/>
    <cellStyle name="Normal 2 110 2 2 2" xfId="12148" xr:uid="{00000000-0005-0000-0000-0000AE0D0000}"/>
    <cellStyle name="Normal 2 110 2 2 2 2" xfId="20897" xr:uid="{5716EB4A-3822-4ADD-8B92-249DD35C2F78}"/>
    <cellStyle name="Normal 2 110 2 2 3" xfId="19534" xr:uid="{A8C4802D-715B-4DC9-B4AB-D5EA93E63013}"/>
    <cellStyle name="Normal 2 110 2 3" xfId="11501" xr:uid="{00000000-0005-0000-0000-0000AF0D0000}"/>
    <cellStyle name="Normal 2 110 2 3 2" xfId="20270" xr:uid="{A886331A-35A3-4A13-AF06-A9B4CF03AC16}"/>
    <cellStyle name="Normal 2 110 2 4" xfId="18902" xr:uid="{7FE1F668-989A-4E76-9D3B-611DE1F5B6E6}"/>
    <cellStyle name="Normal 2 110 3" xfId="10116" xr:uid="{00000000-0005-0000-0000-0000B00D0000}"/>
    <cellStyle name="Normal 2 110 3 2" xfId="11852" xr:uid="{00000000-0005-0000-0000-0000B10D0000}"/>
    <cellStyle name="Normal 2 110 3 2 2" xfId="20608" xr:uid="{FA1C7BC3-BEFE-45B1-B00A-A1F09A943A13}"/>
    <cellStyle name="Normal 2 110 3 3" xfId="19245" xr:uid="{90B05807-E97D-41D9-B3A2-24D438E188F3}"/>
    <cellStyle name="Normal 2 110 4" xfId="11090" xr:uid="{00000000-0005-0000-0000-0000B20D0000}"/>
    <cellStyle name="Normal 2 110 4 2" xfId="19993" xr:uid="{5A6465A8-B3EC-4230-8564-B386637DF867}"/>
    <cellStyle name="Normal 2 110 5" xfId="18625" xr:uid="{E39946B2-3223-467A-AF45-F1D6D47B1080}"/>
    <cellStyle name="Normal 2 111" xfId="4291" xr:uid="{00000000-0005-0000-0000-0000B30D0000}"/>
    <cellStyle name="Normal 2 111 2" xfId="9717" xr:uid="{00000000-0005-0000-0000-0000B40D0000}"/>
    <cellStyle name="Normal 2 111 2 2" xfId="10417" xr:uid="{00000000-0005-0000-0000-0000B50D0000}"/>
    <cellStyle name="Normal 2 111 2 2 2" xfId="12152" xr:uid="{00000000-0005-0000-0000-0000B60D0000}"/>
    <cellStyle name="Normal 2 111 2 2 2 2" xfId="20901" xr:uid="{4300E187-9F9B-467E-8CAA-A06EC2BC99D2}"/>
    <cellStyle name="Normal 2 111 2 2 3" xfId="19538" xr:uid="{C5729A29-5F1D-40D3-893D-535FE4A25703}"/>
    <cellStyle name="Normal 2 111 2 3" xfId="11505" xr:uid="{00000000-0005-0000-0000-0000B70D0000}"/>
    <cellStyle name="Normal 2 111 2 3 2" xfId="20274" xr:uid="{F7CA1ADC-C58B-430A-9726-6E2F850CC987}"/>
    <cellStyle name="Normal 2 111 2 4" xfId="18906" xr:uid="{5B199B3A-9D16-411B-A3E6-D7501D7F13B9}"/>
    <cellStyle name="Normal 2 111 3" xfId="10120" xr:uid="{00000000-0005-0000-0000-0000B80D0000}"/>
    <cellStyle name="Normal 2 111 3 2" xfId="11856" xr:uid="{00000000-0005-0000-0000-0000B90D0000}"/>
    <cellStyle name="Normal 2 111 3 2 2" xfId="20612" xr:uid="{3AE4E6B7-8FB5-4F26-9A58-ED0D1CBDD8CF}"/>
    <cellStyle name="Normal 2 111 3 3" xfId="19249" xr:uid="{DDBB3826-B319-4585-9049-3BDD0F4A82AC}"/>
    <cellStyle name="Normal 2 111 4" xfId="11100" xr:uid="{00000000-0005-0000-0000-0000BA0D0000}"/>
    <cellStyle name="Normal 2 111 4 2" xfId="19997" xr:uid="{38BBBEC3-6A35-42C4-8FF7-56909613B180}"/>
    <cellStyle name="Normal 2 111 5" xfId="18629" xr:uid="{068BA260-3C02-4AD5-9F60-342FDB3D4A1A}"/>
    <cellStyle name="Normal 2 112" xfId="4297" xr:uid="{00000000-0005-0000-0000-0000BB0D0000}"/>
    <cellStyle name="Normal 2 112 2" xfId="9723" xr:uid="{00000000-0005-0000-0000-0000BC0D0000}"/>
    <cellStyle name="Normal 2 112 2 2" xfId="10423" xr:uid="{00000000-0005-0000-0000-0000BD0D0000}"/>
    <cellStyle name="Normal 2 112 2 2 2" xfId="12158" xr:uid="{00000000-0005-0000-0000-0000BE0D0000}"/>
    <cellStyle name="Normal 2 112 2 2 2 2" xfId="20907" xr:uid="{1705E60D-54DC-4EB2-989E-C4036AADA29F}"/>
    <cellStyle name="Normal 2 112 2 2 3" xfId="19544" xr:uid="{118FF3B3-657A-4331-9278-45AF62B27743}"/>
    <cellStyle name="Normal 2 112 2 3" xfId="11511" xr:uid="{00000000-0005-0000-0000-0000BF0D0000}"/>
    <cellStyle name="Normal 2 112 2 3 2" xfId="20280" xr:uid="{39C05AD2-9116-4C28-B2FC-DF29A267987B}"/>
    <cellStyle name="Normal 2 112 2 4" xfId="18912" xr:uid="{B1FCA0D1-694E-4713-8510-9C0C5845EC4C}"/>
    <cellStyle name="Normal 2 112 3" xfId="10126" xr:uid="{00000000-0005-0000-0000-0000C00D0000}"/>
    <cellStyle name="Normal 2 112 3 2" xfId="11862" xr:uid="{00000000-0005-0000-0000-0000C10D0000}"/>
    <cellStyle name="Normal 2 112 3 2 2" xfId="20618" xr:uid="{2BFDE853-F3B8-4CC7-98EE-020A79EECC4D}"/>
    <cellStyle name="Normal 2 112 3 3" xfId="19255" xr:uid="{0B20370F-400C-469A-9204-50A2E6CD3A74}"/>
    <cellStyle name="Normal 2 112 4" xfId="11106" xr:uid="{00000000-0005-0000-0000-0000C20D0000}"/>
    <cellStyle name="Normal 2 112 4 2" xfId="20003" xr:uid="{D79A7512-BFD3-4158-9E97-9F2CBE82833A}"/>
    <cellStyle name="Normal 2 112 5" xfId="18635" xr:uid="{14D552BB-8732-4436-9F19-BAFA39640B0C}"/>
    <cellStyle name="Normal 2 113" xfId="4355" xr:uid="{00000000-0005-0000-0000-0000C30D0000}"/>
    <cellStyle name="Normal 2 113 2" xfId="9763" xr:uid="{00000000-0005-0000-0000-0000C40D0000}"/>
    <cellStyle name="Normal 2 113 2 2" xfId="10461" xr:uid="{00000000-0005-0000-0000-0000C50D0000}"/>
    <cellStyle name="Normal 2 113 2 2 2" xfId="12196" xr:uid="{00000000-0005-0000-0000-0000C60D0000}"/>
    <cellStyle name="Normal 2 113 2 2 2 2" xfId="20945" xr:uid="{B55891C5-0E09-4171-8E1C-1E4CF7C54CFB}"/>
    <cellStyle name="Normal 2 113 2 2 3" xfId="19582" xr:uid="{5EF40056-2E55-4C51-BD13-647C55BE0A52}"/>
    <cellStyle name="Normal 2 113 2 3" xfId="11549" xr:uid="{00000000-0005-0000-0000-0000C70D0000}"/>
    <cellStyle name="Normal 2 113 2 3 2" xfId="20318" xr:uid="{A977240B-B4DD-4BC2-9B79-A36CE2C748F7}"/>
    <cellStyle name="Normal 2 113 2 4" xfId="18950" xr:uid="{17074CB2-213B-4F5E-A602-2E63C1EB57F4}"/>
    <cellStyle name="Normal 2 113 3" xfId="10166" xr:uid="{00000000-0005-0000-0000-0000C80D0000}"/>
    <cellStyle name="Normal 2 113 3 2" xfId="11902" xr:uid="{00000000-0005-0000-0000-0000C90D0000}"/>
    <cellStyle name="Normal 2 113 3 2 2" xfId="20656" xr:uid="{FBBA08A6-46F9-4F51-9A15-62F831067252}"/>
    <cellStyle name="Normal 2 113 3 3" xfId="19293" xr:uid="{29D73CE3-EE07-48AC-B225-2D3BE496E99D}"/>
    <cellStyle name="Normal 2 113 4" xfId="11159" xr:uid="{00000000-0005-0000-0000-0000CA0D0000}"/>
    <cellStyle name="Normal 2 113 4 2" xfId="20041" xr:uid="{ABA05F59-B16E-41DF-B249-F7721E5430F5}"/>
    <cellStyle name="Normal 2 113 5" xfId="18673" xr:uid="{A69DF32D-7772-40A7-B64F-086252030689}"/>
    <cellStyle name="Normal 2 114" xfId="1238" xr:uid="{00000000-0005-0000-0000-0000CB0D0000}"/>
    <cellStyle name="Normal 2 115" xfId="9901" xr:uid="{00000000-0005-0000-0000-0000CC0D0000}"/>
    <cellStyle name="Normal 2 115 2" xfId="11650" xr:uid="{00000000-0005-0000-0000-0000CD0D0000}"/>
    <cellStyle name="Normal 2 115 2 2" xfId="20416" xr:uid="{0F52772C-2639-4F00-A3F0-C89D196E447C}"/>
    <cellStyle name="Normal 2 115 3" xfId="19050" xr:uid="{70085D85-8ADD-4EE4-A0D6-6713DC604E48}"/>
    <cellStyle name="Normal 2 116" xfId="9930" xr:uid="{00000000-0005-0000-0000-0000CE0D0000}"/>
    <cellStyle name="Normal 2 117" xfId="10545" xr:uid="{00000000-0005-0000-0000-0000CF0D0000}"/>
    <cellStyle name="Normal 2 117 2" xfId="12280" xr:uid="{00000000-0005-0000-0000-0000D00D0000}"/>
    <cellStyle name="Normal 2 117 2 2" xfId="21029" xr:uid="{C5DC4D3F-051F-4198-B0E2-8F470F31BCFD}"/>
    <cellStyle name="Normal 2 117 3" xfId="19666" xr:uid="{D2E2B62E-B42C-435C-8D4B-4632A4312EA1}"/>
    <cellStyle name="Normal 2 118" xfId="12397" xr:uid="{00000000-0005-0000-0000-0000D10D0000}"/>
    <cellStyle name="Normal 2 118 2" xfId="21134" xr:uid="{0104D6C8-C1EC-45CE-8BFB-92DEEB767D6A}"/>
    <cellStyle name="Normal 2 119" xfId="12407" xr:uid="{73FB19C8-28DB-41F2-9592-F0F483F28533}"/>
    <cellStyle name="Normal 2 12" xfId="1262" xr:uid="{00000000-0005-0000-0000-0000D20D0000}"/>
    <cellStyle name="Normal 2 12 10" xfId="7684" xr:uid="{00000000-0005-0000-0000-0000D30D0000}"/>
    <cellStyle name="Normal 2 12 2" xfId="1263" xr:uid="{00000000-0005-0000-0000-0000D40D0000}"/>
    <cellStyle name="Normal 2 12 3" xfId="1264" xr:uid="{00000000-0005-0000-0000-0000D50D0000}"/>
    <cellStyle name="Normal 2 12 4" xfId="1265" xr:uid="{00000000-0005-0000-0000-0000D60D0000}"/>
    <cellStyle name="Normal 2 12 5" xfId="1266" xr:uid="{00000000-0005-0000-0000-0000D70D0000}"/>
    <cellStyle name="Normal 2 12 6" xfId="1267" xr:uid="{00000000-0005-0000-0000-0000D80D0000}"/>
    <cellStyle name="Normal 2 12 7" xfId="1268" xr:uid="{00000000-0005-0000-0000-0000D90D0000}"/>
    <cellStyle name="Normal 2 12 8" xfId="1269" xr:uid="{00000000-0005-0000-0000-0000DA0D0000}"/>
    <cellStyle name="Normal 2 12 9" xfId="4225" xr:uid="{00000000-0005-0000-0000-0000DB0D0000}"/>
    <cellStyle name="Normal 2 12 9 2" xfId="9660" xr:uid="{00000000-0005-0000-0000-0000DC0D0000}"/>
    <cellStyle name="Normal 2 12 9 2 2" xfId="10361" xr:uid="{00000000-0005-0000-0000-0000DD0D0000}"/>
    <cellStyle name="Normal 2 12 9 2 2 2" xfId="12096" xr:uid="{00000000-0005-0000-0000-0000DE0D0000}"/>
    <cellStyle name="Normal 2 12 9 2 2 2 2" xfId="20845" xr:uid="{DA4CDFA2-D8A9-443A-B523-A13B1EA20ED3}"/>
    <cellStyle name="Normal 2 12 9 2 2 3" xfId="19482" xr:uid="{EC0E8444-C4C0-4B46-84BD-A6B6DF72F93A}"/>
    <cellStyle name="Normal 2 12 9 2 3" xfId="11449" xr:uid="{00000000-0005-0000-0000-0000DF0D0000}"/>
    <cellStyle name="Normal 2 12 9 2 3 2" xfId="20218" xr:uid="{1B7A6CF4-D36A-4EEB-BB14-EC2775E38BB6}"/>
    <cellStyle name="Normal 2 12 9 2 4" xfId="18850" xr:uid="{4F3EB629-FB8E-4630-A9A0-C7E5AB688852}"/>
    <cellStyle name="Normal 2 12 9 3" xfId="10064" xr:uid="{00000000-0005-0000-0000-0000E00D0000}"/>
    <cellStyle name="Normal 2 12 9 3 2" xfId="11800" xr:uid="{00000000-0005-0000-0000-0000E10D0000}"/>
    <cellStyle name="Normal 2 12 9 3 2 2" xfId="20556" xr:uid="{1E2BB106-EFCF-4E5B-9C3F-991C72F21B4A}"/>
    <cellStyle name="Normal 2 12 9 3 3" xfId="19193" xr:uid="{4B31FC1F-21CD-4D7F-A598-45AC733E0C0A}"/>
    <cellStyle name="Normal 2 12 9 4" xfId="11036" xr:uid="{00000000-0005-0000-0000-0000E20D0000}"/>
    <cellStyle name="Normal 2 12 9 4 2" xfId="19941" xr:uid="{1980B111-1A32-442D-A354-3A94B8683B98}"/>
    <cellStyle name="Normal 2 12 9 5" xfId="18573" xr:uid="{43677013-E78C-4BEC-B1B3-EEC23C302788}"/>
    <cellStyle name="Normal 2 120" xfId="16505" xr:uid="{58B764A7-9E43-4FC1-8F45-FC3539F9BA10}"/>
    <cellStyle name="Normal 2 121" xfId="18121" xr:uid="{2F9B5D12-9966-4482-8CAD-0DCE7B9EFB2E}"/>
    <cellStyle name="Normal 2 122" xfId="18275" xr:uid="{5C08F98B-2801-4C78-87AC-2F3823234CBC}"/>
    <cellStyle name="Normal 2 123" xfId="18112" xr:uid="{D4D4E41B-23A6-4DF0-AA71-E9B3E6008E9E}"/>
    <cellStyle name="Normal 2 124" xfId="18268" xr:uid="{846C39D2-AC96-446F-93CE-D9A9B139DC4F}"/>
    <cellStyle name="Normal 2 125" xfId="18286" xr:uid="{944130DD-DF8C-4044-AA7A-7729F20FB817}"/>
    <cellStyle name="Normal 2 13" xfId="1270" xr:uid="{00000000-0005-0000-0000-0000E30D0000}"/>
    <cellStyle name="Normal 2 13 2" xfId="5145" xr:uid="{00000000-0005-0000-0000-0000E40D0000}"/>
    <cellStyle name="Normal 2 14" xfId="1271" xr:uid="{00000000-0005-0000-0000-0000E50D0000}"/>
    <cellStyle name="Normal 2 14 2" xfId="5146" xr:uid="{00000000-0005-0000-0000-0000E60D0000}"/>
    <cellStyle name="Normal 2 15" xfId="1272" xr:uid="{00000000-0005-0000-0000-0000E70D0000}"/>
    <cellStyle name="Normal 2 15 2" xfId="5147" xr:uid="{00000000-0005-0000-0000-0000E80D0000}"/>
    <cellStyle name="Normal 2 16" xfId="1273" xr:uid="{00000000-0005-0000-0000-0000E90D0000}"/>
    <cellStyle name="Normal 2 16 2" xfId="5148" xr:uid="{00000000-0005-0000-0000-0000EA0D0000}"/>
    <cellStyle name="Normal 2 17" xfId="1274" xr:uid="{00000000-0005-0000-0000-0000EB0D0000}"/>
    <cellStyle name="Normal 2 17 2" xfId="5149" xr:uid="{00000000-0005-0000-0000-0000EC0D0000}"/>
    <cellStyle name="Normal 2 18" xfId="1275" xr:uid="{00000000-0005-0000-0000-0000ED0D0000}"/>
    <cellStyle name="Normal 2 18 2" xfId="5150" xr:uid="{00000000-0005-0000-0000-0000EE0D0000}"/>
    <cellStyle name="Normal 2 19" xfId="1276" xr:uid="{00000000-0005-0000-0000-0000EF0D0000}"/>
    <cellStyle name="Normal 2 19 2" xfId="5151" xr:uid="{00000000-0005-0000-0000-0000F00D0000}"/>
    <cellStyle name="Normal 2 2" xfId="98" xr:uid="{00000000-0005-0000-0000-0000F10D0000}"/>
    <cellStyle name="Normal 2 2 10" xfId="1278" xr:uid="{00000000-0005-0000-0000-0000F20D0000}"/>
    <cellStyle name="Normal 2 2 10 2" xfId="4130" xr:uid="{00000000-0005-0000-0000-0000F30D0000}"/>
    <cellStyle name="Normal 2 2 10 3" xfId="4336" xr:uid="{00000000-0005-0000-0000-0000F40D0000}"/>
    <cellStyle name="Normal 2 2 10 3 2" xfId="9747" xr:uid="{00000000-0005-0000-0000-0000F50D0000}"/>
    <cellStyle name="Normal 2 2 10 3 2 2" xfId="10445" xr:uid="{00000000-0005-0000-0000-0000F60D0000}"/>
    <cellStyle name="Normal 2 2 10 3 2 2 2" xfId="12180" xr:uid="{00000000-0005-0000-0000-0000F70D0000}"/>
    <cellStyle name="Normal 2 2 10 3 2 2 2 2" xfId="20929" xr:uid="{CC0C7728-63E0-4172-A2C4-E626E1E371A8}"/>
    <cellStyle name="Normal 2 2 10 3 2 2 3" xfId="19566" xr:uid="{6E5FCA1E-6950-40E5-86E9-92CECABFE06D}"/>
    <cellStyle name="Normal 2 2 10 3 2 3" xfId="11533" xr:uid="{00000000-0005-0000-0000-0000F80D0000}"/>
    <cellStyle name="Normal 2 2 10 3 2 3 2" xfId="20302" xr:uid="{FC5AF4F1-63A5-4BDC-B27D-B1E05271D13A}"/>
    <cellStyle name="Normal 2 2 10 3 2 4" xfId="18934" xr:uid="{9B99DFAD-B838-461B-BF0E-772A8FF40C85}"/>
    <cellStyle name="Normal 2 2 10 3 3" xfId="10148" xr:uid="{00000000-0005-0000-0000-0000F90D0000}"/>
    <cellStyle name="Normal 2 2 10 3 3 2" xfId="11884" xr:uid="{00000000-0005-0000-0000-0000FA0D0000}"/>
    <cellStyle name="Normal 2 2 10 3 3 2 2" xfId="20640" xr:uid="{D76BFF00-6960-468C-920D-9A3DFA75AD76}"/>
    <cellStyle name="Normal 2 2 10 3 3 3" xfId="19277" xr:uid="{BFAA2E13-D0CC-4677-A54C-4E46D20E48BD}"/>
    <cellStyle name="Normal 2 2 10 3 4" xfId="11141" xr:uid="{00000000-0005-0000-0000-0000FB0D0000}"/>
    <cellStyle name="Normal 2 2 10 3 4 2" xfId="20025" xr:uid="{064FF6D2-E14D-4ACC-A207-C43C5DA96926}"/>
    <cellStyle name="Normal 2 2 10 3 5" xfId="18657" xr:uid="{6D62F3D8-6B9E-417E-B312-986C1464B1C4}"/>
    <cellStyle name="Normal 2 2 11" xfId="1279" xr:uid="{00000000-0005-0000-0000-0000FC0D0000}"/>
    <cellStyle name="Normal 2 2 11 2" xfId="4090" xr:uid="{00000000-0005-0000-0000-0000FD0D0000}"/>
    <cellStyle name="Normal 2 2 12" xfId="1280" xr:uid="{00000000-0005-0000-0000-0000FE0D0000}"/>
    <cellStyle name="Normal 2 2 13" xfId="1281" xr:uid="{00000000-0005-0000-0000-0000FF0D0000}"/>
    <cellStyle name="Normal 2 2 14" xfId="1282" xr:uid="{00000000-0005-0000-0000-0000000E0000}"/>
    <cellStyle name="Normal 2 2 15" xfId="1283" xr:uid="{00000000-0005-0000-0000-0000010E0000}"/>
    <cellStyle name="Normal 2 2 16" xfId="1284" xr:uid="{00000000-0005-0000-0000-0000020E0000}"/>
    <cellStyle name="Normal 2 2 17" xfId="1285" xr:uid="{00000000-0005-0000-0000-0000030E0000}"/>
    <cellStyle name="Normal 2 2 18" xfId="1286" xr:uid="{00000000-0005-0000-0000-0000040E0000}"/>
    <cellStyle name="Normal 2 2 19" xfId="1287" xr:uid="{00000000-0005-0000-0000-0000050E0000}"/>
    <cellStyle name="Normal 2 2 2" xfId="1288" xr:uid="{00000000-0005-0000-0000-0000060E0000}"/>
    <cellStyle name="Normal 2 2 2 10" xfId="1289" xr:uid="{00000000-0005-0000-0000-0000070E0000}"/>
    <cellStyle name="Normal 2 2 2 10 2" xfId="7685" xr:uid="{00000000-0005-0000-0000-0000080E0000}"/>
    <cellStyle name="Normal 2 2 2 11" xfId="1290" xr:uid="{00000000-0005-0000-0000-0000090E0000}"/>
    <cellStyle name="Normal 2 2 2 11 2" xfId="7686" xr:uid="{00000000-0005-0000-0000-00000A0E0000}"/>
    <cellStyle name="Normal 2 2 2 12" xfId="1291" xr:uid="{00000000-0005-0000-0000-00000B0E0000}"/>
    <cellStyle name="Normal 2 2 2 12 2" xfId="7687" xr:uid="{00000000-0005-0000-0000-00000C0E0000}"/>
    <cellStyle name="Normal 2 2 2 13" xfId="1292" xr:uid="{00000000-0005-0000-0000-00000D0E0000}"/>
    <cellStyle name="Normal 2 2 2 13 2" xfId="7688" xr:uid="{00000000-0005-0000-0000-00000E0E0000}"/>
    <cellStyle name="Normal 2 2 2 14" xfId="1293" xr:uid="{00000000-0005-0000-0000-00000F0E0000}"/>
    <cellStyle name="Normal 2 2 2 14 2" xfId="7689" xr:uid="{00000000-0005-0000-0000-0000100E0000}"/>
    <cellStyle name="Normal 2 2 2 15" xfId="1294" xr:uid="{00000000-0005-0000-0000-0000110E0000}"/>
    <cellStyle name="Normal 2 2 2 15 2" xfId="7690" xr:uid="{00000000-0005-0000-0000-0000120E0000}"/>
    <cellStyle name="Normal 2 2 2 16" xfId="1295" xr:uid="{00000000-0005-0000-0000-0000130E0000}"/>
    <cellStyle name="Normal 2 2 2 16 2" xfId="7691" xr:uid="{00000000-0005-0000-0000-0000140E0000}"/>
    <cellStyle name="Normal 2 2 2 17" xfId="1296" xr:uid="{00000000-0005-0000-0000-0000150E0000}"/>
    <cellStyle name="Normal 2 2 2 17 2" xfId="7692" xr:uid="{00000000-0005-0000-0000-0000160E0000}"/>
    <cellStyle name="Normal 2 2 2 18" xfId="1297" xr:uid="{00000000-0005-0000-0000-0000170E0000}"/>
    <cellStyle name="Normal 2 2 2 18 2" xfId="7693" xr:uid="{00000000-0005-0000-0000-0000180E0000}"/>
    <cellStyle name="Normal 2 2 2 19" xfId="1298" xr:uid="{00000000-0005-0000-0000-0000190E0000}"/>
    <cellStyle name="Normal 2 2 2 19 2" xfId="7694" xr:uid="{00000000-0005-0000-0000-00001A0E0000}"/>
    <cellStyle name="Normal 2 2 2 2" xfId="1299" xr:uid="{00000000-0005-0000-0000-00001B0E0000}"/>
    <cellStyle name="Normal 2 2 2 2 10" xfId="17792" xr:uid="{F869CF8D-6AE7-4E38-A2D2-70C6E43E242A}"/>
    <cellStyle name="Normal 2 2 2 2 10 2" xfId="24030" xr:uid="{C2C91EE3-401B-41FC-AE04-776A53DB1C6C}"/>
    <cellStyle name="Normal 2 2 2 2 2" xfId="4136" xr:uid="{00000000-0005-0000-0000-00001C0E0000}"/>
    <cellStyle name="Normal 2 2 2 2 2 2" xfId="4262" xr:uid="{00000000-0005-0000-0000-00001D0E0000}"/>
    <cellStyle name="Normal 2 2 2 2 2 2 2" xfId="9697" xr:uid="{00000000-0005-0000-0000-00001E0E0000}"/>
    <cellStyle name="Normal 2 2 2 2 2 2 2 2" xfId="10398" xr:uid="{00000000-0005-0000-0000-00001F0E0000}"/>
    <cellStyle name="Normal 2 2 2 2 2 2 2 2 2" xfId="12133" xr:uid="{00000000-0005-0000-0000-0000200E0000}"/>
    <cellStyle name="Normal 2 2 2 2 2 2 2 2 2 2" xfId="20882" xr:uid="{E07C2449-2D43-465A-9EBA-68FE59B8EDB3}"/>
    <cellStyle name="Normal 2 2 2 2 2 2 2 2 3" xfId="19519" xr:uid="{B25E06C5-3EFB-4340-B27A-21B47D6FF349}"/>
    <cellStyle name="Normal 2 2 2 2 2 2 2 3" xfId="11486" xr:uid="{00000000-0005-0000-0000-0000210E0000}"/>
    <cellStyle name="Normal 2 2 2 2 2 2 2 3 2" xfId="20255" xr:uid="{4F42592D-01E7-4542-ACDD-64ECB1130354}"/>
    <cellStyle name="Normal 2 2 2 2 2 2 2 4" xfId="18887" xr:uid="{C9683462-7498-43D2-A0DF-12BBE3341387}"/>
    <cellStyle name="Normal 2 2 2 2 2 2 3" xfId="10101" xr:uid="{00000000-0005-0000-0000-0000220E0000}"/>
    <cellStyle name="Normal 2 2 2 2 2 2 3 2" xfId="11837" xr:uid="{00000000-0005-0000-0000-0000230E0000}"/>
    <cellStyle name="Normal 2 2 2 2 2 2 3 2 2" xfId="20593" xr:uid="{CADC8BF0-1761-475A-8838-143F07758E26}"/>
    <cellStyle name="Normal 2 2 2 2 2 2 3 3" xfId="19230" xr:uid="{37EE17B3-4789-49C4-AD3A-6566F238CDAC}"/>
    <cellStyle name="Normal 2 2 2 2 2 2 4" xfId="11073" xr:uid="{00000000-0005-0000-0000-0000240E0000}"/>
    <cellStyle name="Normal 2 2 2 2 2 2 4 2" xfId="19978" xr:uid="{9E92CB77-C112-47C6-B6CA-A5C594236658}"/>
    <cellStyle name="Normal 2 2 2 2 2 2 5" xfId="14725" xr:uid="{97D6A814-4B31-4B4A-B12B-7536DB3350C1}"/>
    <cellStyle name="Normal 2 2 2 2 2 2 6" xfId="18610" xr:uid="{0FE92EF8-AB30-4B08-8C13-7CB4EDFDC1BA}"/>
    <cellStyle name="Normal 2 2 2 2 2 2_1.2.b" xfId="16165" xr:uid="{5B67F463-60CE-4FB4-88A2-A0E6A209E59B}"/>
    <cellStyle name="Normal 2 2 2 2 2 3" xfId="9594" xr:uid="{00000000-0005-0000-0000-0000250E0000}"/>
    <cellStyle name="Normal 2 2 2 2 2 3 2" xfId="10296" xr:uid="{00000000-0005-0000-0000-0000260E0000}"/>
    <cellStyle name="Normal 2 2 2 2 2 3 2 2" xfId="12031" xr:uid="{00000000-0005-0000-0000-0000270E0000}"/>
    <cellStyle name="Normal 2 2 2 2 2 3 2 2 2" xfId="20780" xr:uid="{C87CEC11-FF73-44AE-90CE-F829D6E5EEE2}"/>
    <cellStyle name="Normal 2 2 2 2 2 3 2 3" xfId="19417" xr:uid="{39BE7B2C-642B-422E-89BC-A8A7D3BBFD0C}"/>
    <cellStyle name="Normal 2 2 2 2 2 3 3" xfId="11384" xr:uid="{00000000-0005-0000-0000-0000280E0000}"/>
    <cellStyle name="Normal 2 2 2 2 2 3 3 2" xfId="20153" xr:uid="{32685093-CF1B-4E16-A955-1825AF5A503D}"/>
    <cellStyle name="Normal 2 2 2 2 2 3 4" xfId="18785" xr:uid="{F8BD203F-FACC-436C-9B49-EAC0D5DB0113}"/>
    <cellStyle name="Normal 2 2 2 2 2 4" xfId="9999" xr:uid="{00000000-0005-0000-0000-0000290E0000}"/>
    <cellStyle name="Normal 2 2 2 2 2 4 2" xfId="11735" xr:uid="{00000000-0005-0000-0000-00002A0E0000}"/>
    <cellStyle name="Normal 2 2 2 2 2 4 2 2" xfId="20491" xr:uid="{554D5C99-8C0C-4454-961F-982B24D3832B}"/>
    <cellStyle name="Normal 2 2 2 2 2 4 3" xfId="19128" xr:uid="{09D58FA5-FAE5-4C50-8E14-CF77B2F50B60}"/>
    <cellStyle name="Normal 2 2 2 2 2 5" xfId="10962" xr:uid="{00000000-0005-0000-0000-00002B0E0000}"/>
    <cellStyle name="Normal 2 2 2 2 2 5 2" xfId="19876" xr:uid="{33064294-2976-4CCA-9E24-AEA4680302A8}"/>
    <cellStyle name="Normal 2 2 2 2 2 6" xfId="14238" xr:uid="{EADA4B5E-2F67-4555-9F0A-9EEB31F9D2B6}"/>
    <cellStyle name="Normal 2 2 2 2 2 7" xfId="18508" xr:uid="{94EB8506-1F8E-4249-9A34-30B8762DEB36}"/>
    <cellStyle name="Normal 2 2 2 2 2_1.2.b" xfId="16164" xr:uid="{9CEA6458-2C4D-475D-ADD2-677B3FA3585C}"/>
    <cellStyle name="Normal 2 2 2 2 3" xfId="4211" xr:uid="{00000000-0005-0000-0000-00002C0E0000}"/>
    <cellStyle name="Normal 2 2 2 2 3 2" xfId="9646" xr:uid="{00000000-0005-0000-0000-00002D0E0000}"/>
    <cellStyle name="Normal 2 2 2 2 3 2 2" xfId="10347" xr:uid="{00000000-0005-0000-0000-00002E0E0000}"/>
    <cellStyle name="Normal 2 2 2 2 3 2 2 2" xfId="12082" xr:uid="{00000000-0005-0000-0000-00002F0E0000}"/>
    <cellStyle name="Normal 2 2 2 2 3 2 2 2 2" xfId="20831" xr:uid="{7C560496-F64D-43FF-A902-52FBD48F979C}"/>
    <cellStyle name="Normal 2 2 2 2 3 2 2 3" xfId="19468" xr:uid="{BEE27E0C-0006-42F7-81DE-BB1AB2D42325}"/>
    <cellStyle name="Normal 2 2 2 2 3 2 3" xfId="11435" xr:uid="{00000000-0005-0000-0000-0000300E0000}"/>
    <cellStyle name="Normal 2 2 2 2 3 2 3 2" xfId="20204" xr:uid="{B4F8CC96-C340-4A3D-AA9C-DBC60EFA0612}"/>
    <cellStyle name="Normal 2 2 2 2 3 2 4" xfId="18836" xr:uid="{596D4B11-3B68-45C1-AAA3-18FB2E141AFE}"/>
    <cellStyle name="Normal 2 2 2 2 3 3" xfId="10050" xr:uid="{00000000-0005-0000-0000-0000310E0000}"/>
    <cellStyle name="Normal 2 2 2 2 3 3 2" xfId="11786" xr:uid="{00000000-0005-0000-0000-0000320E0000}"/>
    <cellStyle name="Normal 2 2 2 2 3 3 2 2" xfId="20542" xr:uid="{937880D0-BDC5-490C-8A37-CB573F5AFAB7}"/>
    <cellStyle name="Normal 2 2 2 2 3 3 3" xfId="19179" xr:uid="{3A62961B-2BEB-44AE-BF28-805EA252EDE8}"/>
    <cellStyle name="Normal 2 2 2 2 3 4" xfId="11022" xr:uid="{00000000-0005-0000-0000-0000330E0000}"/>
    <cellStyle name="Normal 2 2 2 2 3 4 2" xfId="19927" xr:uid="{BA850DCE-3C45-419A-8999-7902871F09F0}"/>
    <cellStyle name="Normal 2 2 2 2 3 5" xfId="18559" xr:uid="{0E3EC79F-4E3C-4ED2-84B7-ABC6E8663366}"/>
    <cellStyle name="Normal 2 2 2 2 4" xfId="4341" xr:uid="{00000000-0005-0000-0000-0000340E0000}"/>
    <cellStyle name="Normal 2 2 2 2 4 2" xfId="9752" xr:uid="{00000000-0005-0000-0000-0000350E0000}"/>
    <cellStyle name="Normal 2 2 2 2 4 2 2" xfId="10450" xr:uid="{00000000-0005-0000-0000-0000360E0000}"/>
    <cellStyle name="Normal 2 2 2 2 4 2 2 2" xfId="12185" xr:uid="{00000000-0005-0000-0000-0000370E0000}"/>
    <cellStyle name="Normal 2 2 2 2 4 2 2 2 2" xfId="20934" xr:uid="{1A2CF6F6-8802-4378-8F62-0C05176E158B}"/>
    <cellStyle name="Normal 2 2 2 2 4 2 2 3" xfId="19571" xr:uid="{44973B0C-C06D-4AF9-8433-DF1C411C7CBC}"/>
    <cellStyle name="Normal 2 2 2 2 4 2 3" xfId="11538" xr:uid="{00000000-0005-0000-0000-0000380E0000}"/>
    <cellStyle name="Normal 2 2 2 2 4 2 3 2" xfId="20307" xr:uid="{4C795117-1163-430B-A8BA-4E5EDB790BA2}"/>
    <cellStyle name="Normal 2 2 2 2 4 2 4" xfId="18939" xr:uid="{2CE3CEBF-B70A-48E8-9AD0-CD5591D1FDDC}"/>
    <cellStyle name="Normal 2 2 2 2 4 3" xfId="10153" xr:uid="{00000000-0005-0000-0000-0000390E0000}"/>
    <cellStyle name="Normal 2 2 2 2 4 3 2" xfId="11889" xr:uid="{00000000-0005-0000-0000-00003A0E0000}"/>
    <cellStyle name="Normal 2 2 2 2 4 3 2 2" xfId="20645" xr:uid="{A357C4D0-829B-4593-8A6F-BF4FF19C3825}"/>
    <cellStyle name="Normal 2 2 2 2 4 3 3" xfId="19282" xr:uid="{8998A9EB-0C08-4309-A4C8-FD669448514F}"/>
    <cellStyle name="Normal 2 2 2 2 4 4" xfId="11146" xr:uid="{00000000-0005-0000-0000-00003B0E0000}"/>
    <cellStyle name="Normal 2 2 2 2 4 4 2" xfId="20030" xr:uid="{A341A678-BE9C-4AB5-B7FD-D13DD724B3A8}"/>
    <cellStyle name="Normal 2 2 2 2 4 5" xfId="18662" xr:uid="{3F817048-3CEA-4C70-AD4D-751CAA6433BF}"/>
    <cellStyle name="Normal 2 2 2 2 5" xfId="7695" xr:uid="{00000000-0005-0000-0000-00003C0E0000}"/>
    <cellStyle name="Normal 2 2 2 2 6" xfId="10568" xr:uid="{00000000-0005-0000-0000-00003D0E0000}"/>
    <cellStyle name="Normal 2 2 2 2 6 2" xfId="12303" xr:uid="{00000000-0005-0000-0000-00003E0E0000}"/>
    <cellStyle name="Normal 2 2 2 2 6 2 2" xfId="21049" xr:uid="{C71B5888-D73B-4B7F-A98A-0298B63BFCCD}"/>
    <cellStyle name="Normal 2 2 2 2 6 3" xfId="19686" xr:uid="{A3071B5A-1DD5-458F-98C8-14E764BBCAEC}"/>
    <cellStyle name="Normal 2 2 2 2 7" xfId="14237" xr:uid="{F49D8BE7-1C31-4C90-B226-FDBF9B7F4884}"/>
    <cellStyle name="Normal 2 2 2 2 7 2" xfId="22434" xr:uid="{83A1533A-485B-43AB-81DD-51441FF46B63}"/>
    <cellStyle name="Normal 2 2 2 2 8" xfId="17841" xr:uid="{2D1C9E92-AC27-4BB9-A5E9-39F82F2B5246}"/>
    <cellStyle name="Normal 2 2 2 2 8 2" xfId="24065" xr:uid="{BE7139F3-003B-44B3-9318-7D137A35A6A3}"/>
    <cellStyle name="Normal 2 2 2 2 9" xfId="18227" xr:uid="{7CD6E5C4-8032-4620-820A-8B28813C1663}"/>
    <cellStyle name="Normal 2 2 2 2 9 2" xfId="24401" xr:uid="{08C9A566-44B5-4192-8A4A-3E78A9D43A93}"/>
    <cellStyle name="Normal 2 2 2 2_1.2.b" xfId="16163" xr:uid="{7E53A06E-E3BF-407B-BC38-14F238DC0148}"/>
    <cellStyle name="Normal 2 2 2 20" xfId="1300" xr:uid="{00000000-0005-0000-0000-00003F0E0000}"/>
    <cellStyle name="Normal 2 2 2 20 2" xfId="7696" xr:uid="{00000000-0005-0000-0000-0000400E0000}"/>
    <cellStyle name="Normal 2 2 2 21" xfId="1301" xr:uid="{00000000-0005-0000-0000-0000410E0000}"/>
    <cellStyle name="Normal 2 2 2 21 2" xfId="7697" xr:uid="{00000000-0005-0000-0000-0000420E0000}"/>
    <cellStyle name="Normal 2 2 2 22" xfId="1302" xr:uid="{00000000-0005-0000-0000-0000430E0000}"/>
    <cellStyle name="Normal 2 2 2 22 2" xfId="7698" xr:uid="{00000000-0005-0000-0000-0000440E0000}"/>
    <cellStyle name="Normal 2 2 2 23" xfId="1303" xr:uid="{00000000-0005-0000-0000-0000450E0000}"/>
    <cellStyle name="Normal 2 2 2 23 2" xfId="7699" xr:uid="{00000000-0005-0000-0000-0000460E0000}"/>
    <cellStyle name="Normal 2 2 2 24" xfId="1304" xr:uid="{00000000-0005-0000-0000-0000470E0000}"/>
    <cellStyle name="Normal 2 2 2 24 2" xfId="7700" xr:uid="{00000000-0005-0000-0000-0000480E0000}"/>
    <cellStyle name="Normal 2 2 2 25" xfId="1305" xr:uid="{00000000-0005-0000-0000-0000490E0000}"/>
    <cellStyle name="Normal 2 2 2 25 2" xfId="7701" xr:uid="{00000000-0005-0000-0000-00004A0E0000}"/>
    <cellStyle name="Normal 2 2 2 26" xfId="1306" xr:uid="{00000000-0005-0000-0000-00004B0E0000}"/>
    <cellStyle name="Normal 2 2 2 26 2" xfId="7702" xr:uid="{00000000-0005-0000-0000-00004C0E0000}"/>
    <cellStyle name="Normal 2 2 2 27" xfId="1307" xr:uid="{00000000-0005-0000-0000-00004D0E0000}"/>
    <cellStyle name="Normal 2 2 2 27 2" xfId="7703" xr:uid="{00000000-0005-0000-0000-00004E0E0000}"/>
    <cellStyle name="Normal 2 2 2 28" xfId="1308" xr:uid="{00000000-0005-0000-0000-00004F0E0000}"/>
    <cellStyle name="Normal 2 2 2 28 2" xfId="7704" xr:uid="{00000000-0005-0000-0000-0000500E0000}"/>
    <cellStyle name="Normal 2 2 2 29" xfId="1309" xr:uid="{00000000-0005-0000-0000-0000510E0000}"/>
    <cellStyle name="Normal 2 2 2 29 2" xfId="7705" xr:uid="{00000000-0005-0000-0000-0000520E0000}"/>
    <cellStyle name="Normal 2 2 2 3" xfId="1310" xr:uid="{00000000-0005-0000-0000-0000530E0000}"/>
    <cellStyle name="Normal 2 2 2 3 2" xfId="4096" xr:uid="{00000000-0005-0000-0000-0000540E0000}"/>
    <cellStyle name="Normal 2 2 2 3 2 2" xfId="4244" xr:uid="{00000000-0005-0000-0000-0000550E0000}"/>
    <cellStyle name="Normal 2 2 2 3 2 2 2" xfId="9679" xr:uid="{00000000-0005-0000-0000-0000560E0000}"/>
    <cellStyle name="Normal 2 2 2 3 2 2 2 2" xfId="10380" xr:uid="{00000000-0005-0000-0000-0000570E0000}"/>
    <cellStyle name="Normal 2 2 2 3 2 2 2 2 2" xfId="12115" xr:uid="{00000000-0005-0000-0000-0000580E0000}"/>
    <cellStyle name="Normal 2 2 2 3 2 2 2 2 2 2" xfId="20864" xr:uid="{CBD941CA-40CE-4517-B79E-C5FFDB9F7334}"/>
    <cellStyle name="Normal 2 2 2 3 2 2 2 2 3" xfId="19501" xr:uid="{590C8FAA-A8BE-4DD3-8221-88FC297B5DD2}"/>
    <cellStyle name="Normal 2 2 2 3 2 2 2 3" xfId="11468" xr:uid="{00000000-0005-0000-0000-0000590E0000}"/>
    <cellStyle name="Normal 2 2 2 3 2 2 2 3 2" xfId="20237" xr:uid="{560F35B6-3DF3-47F5-A8BF-93AA3A01F827}"/>
    <cellStyle name="Normal 2 2 2 3 2 2 2 4" xfId="18869" xr:uid="{635E5FF8-D782-4F83-BA7C-1E6C634F8B56}"/>
    <cellStyle name="Normal 2 2 2 3 2 2 3" xfId="10083" xr:uid="{00000000-0005-0000-0000-00005A0E0000}"/>
    <cellStyle name="Normal 2 2 2 3 2 2 3 2" xfId="11819" xr:uid="{00000000-0005-0000-0000-00005B0E0000}"/>
    <cellStyle name="Normal 2 2 2 3 2 2 3 2 2" xfId="20575" xr:uid="{F875EF7A-A844-434A-BE68-E3A14CD8676E}"/>
    <cellStyle name="Normal 2 2 2 3 2 2 3 3" xfId="19212" xr:uid="{39907ED1-1A23-414C-B771-D1BE31A6D729}"/>
    <cellStyle name="Normal 2 2 2 3 2 2 4" xfId="11055" xr:uid="{00000000-0005-0000-0000-00005C0E0000}"/>
    <cellStyle name="Normal 2 2 2 3 2 2 4 2" xfId="19960" xr:uid="{0AE79E14-2EA1-4E07-A534-67B1D73F9DD4}"/>
    <cellStyle name="Normal 2 2 2 3 2 2 5" xfId="18592" xr:uid="{8ED9F89A-A069-4BED-968C-81D4A8352B96}"/>
    <cellStyle name="Normal 2 2 2 3 2 3" xfId="9575" xr:uid="{00000000-0005-0000-0000-00005D0E0000}"/>
    <cellStyle name="Normal 2 2 2 3 2 3 2" xfId="10278" xr:uid="{00000000-0005-0000-0000-00005E0E0000}"/>
    <cellStyle name="Normal 2 2 2 3 2 3 2 2" xfId="12013" xr:uid="{00000000-0005-0000-0000-00005F0E0000}"/>
    <cellStyle name="Normal 2 2 2 3 2 3 2 2 2" xfId="20762" xr:uid="{5955FF69-05C7-4B3E-A018-0484D6C31F09}"/>
    <cellStyle name="Normal 2 2 2 3 2 3 2 3" xfId="19399" xr:uid="{89B78E03-F6DB-4C6D-8DD8-17D53AE82D27}"/>
    <cellStyle name="Normal 2 2 2 3 2 3 3" xfId="11366" xr:uid="{00000000-0005-0000-0000-0000600E0000}"/>
    <cellStyle name="Normal 2 2 2 3 2 3 3 2" xfId="20135" xr:uid="{BE56E04E-5EFD-4FBE-89B0-16A5FA0B3073}"/>
    <cellStyle name="Normal 2 2 2 3 2 3 4" xfId="18767" xr:uid="{344C0950-B961-4B75-9883-5532523811C2}"/>
    <cellStyle name="Normal 2 2 2 3 2 4" xfId="9981" xr:uid="{00000000-0005-0000-0000-0000610E0000}"/>
    <cellStyle name="Normal 2 2 2 3 2 4 2" xfId="11717" xr:uid="{00000000-0005-0000-0000-0000620E0000}"/>
    <cellStyle name="Normal 2 2 2 3 2 4 2 2" xfId="20473" xr:uid="{5F4FFCB6-48B3-4035-A6E7-44257682EE6D}"/>
    <cellStyle name="Normal 2 2 2 3 2 4 3" xfId="19110" xr:uid="{C3FAED55-36B8-4BBE-8824-1B357CF115FB}"/>
    <cellStyle name="Normal 2 2 2 3 2 5" xfId="10941" xr:uid="{00000000-0005-0000-0000-0000630E0000}"/>
    <cellStyle name="Normal 2 2 2 3 2 5 2" xfId="19858" xr:uid="{F0659F55-7854-4D40-9F5C-AF192A8A6174}"/>
    <cellStyle name="Normal 2 2 2 3 2 6" xfId="14726" xr:uid="{F6E0FCAF-8255-4B88-A027-7B5531C4D998}"/>
    <cellStyle name="Normal 2 2 2 3 2 7" xfId="18490" xr:uid="{B7999DA4-126E-4A56-90FC-458582290621}"/>
    <cellStyle name="Normal 2 2 2 3 2_1.2.b" xfId="16166" xr:uid="{3D53D109-9354-4954-90A6-2ED91E439E6A}"/>
    <cellStyle name="Normal 2 2 2 3 3" xfId="4193" xr:uid="{00000000-0005-0000-0000-0000640E0000}"/>
    <cellStyle name="Normal 2 2 2 3 3 2" xfId="9628" xr:uid="{00000000-0005-0000-0000-0000650E0000}"/>
    <cellStyle name="Normal 2 2 2 3 3 2 2" xfId="10329" xr:uid="{00000000-0005-0000-0000-0000660E0000}"/>
    <cellStyle name="Normal 2 2 2 3 3 2 2 2" xfId="12064" xr:uid="{00000000-0005-0000-0000-0000670E0000}"/>
    <cellStyle name="Normal 2 2 2 3 3 2 2 2 2" xfId="20813" xr:uid="{73CD42D8-08E5-4407-91BB-76BC981FBFDD}"/>
    <cellStyle name="Normal 2 2 2 3 3 2 2 3" xfId="19450" xr:uid="{F9E5D84B-23F4-433D-AFCE-9541B1E8F71A}"/>
    <cellStyle name="Normal 2 2 2 3 3 2 3" xfId="11417" xr:uid="{00000000-0005-0000-0000-0000680E0000}"/>
    <cellStyle name="Normal 2 2 2 3 3 2 3 2" xfId="20186" xr:uid="{9605B90C-8D18-4340-852E-EB8DDA3659AA}"/>
    <cellStyle name="Normal 2 2 2 3 3 2 4" xfId="18818" xr:uid="{32D2F15D-2CC9-43D0-AA51-4951CFA19D01}"/>
    <cellStyle name="Normal 2 2 2 3 3 3" xfId="10032" xr:uid="{00000000-0005-0000-0000-0000690E0000}"/>
    <cellStyle name="Normal 2 2 2 3 3 3 2" xfId="11768" xr:uid="{00000000-0005-0000-0000-00006A0E0000}"/>
    <cellStyle name="Normal 2 2 2 3 3 3 2 2" xfId="20524" xr:uid="{2DA5646C-D30E-41C1-B19A-6F55044E9F22}"/>
    <cellStyle name="Normal 2 2 2 3 3 3 3" xfId="19161" xr:uid="{00B54AAA-32C2-4E57-9F23-0ACC94475B19}"/>
    <cellStyle name="Normal 2 2 2 3 3 4" xfId="11004" xr:uid="{00000000-0005-0000-0000-00006B0E0000}"/>
    <cellStyle name="Normal 2 2 2 3 3 4 2" xfId="19909" xr:uid="{146FD0DF-9C0E-43E2-B32C-7D751F7D8E09}"/>
    <cellStyle name="Normal 2 2 2 3 3 5" xfId="18541" xr:uid="{19A3FC00-8E9B-4A37-B4DE-FCD9BBB20C6A}"/>
    <cellStyle name="Normal 2 2 2 3 4" xfId="7706" xr:uid="{00000000-0005-0000-0000-00006C0E0000}"/>
    <cellStyle name="Normal 2 2 2 30" xfId="1311" xr:uid="{00000000-0005-0000-0000-00006D0E0000}"/>
    <cellStyle name="Normal 2 2 2 30 2" xfId="7707" xr:uid="{00000000-0005-0000-0000-00006E0E0000}"/>
    <cellStyle name="Normal 2 2 2 31" xfId="4062" xr:uid="{00000000-0005-0000-0000-00006F0E0000}"/>
    <cellStyle name="Normal 2 2 2 31 2" xfId="9559" xr:uid="{00000000-0005-0000-0000-0000700E0000}"/>
    <cellStyle name="Normal 2 2 2 31 2 2" xfId="10262" xr:uid="{00000000-0005-0000-0000-0000710E0000}"/>
    <cellStyle name="Normal 2 2 2 31 2 2 2" xfId="11997" xr:uid="{00000000-0005-0000-0000-0000720E0000}"/>
    <cellStyle name="Normal 2 2 2 31 2 2 2 2" xfId="20746" xr:uid="{954A7ECB-A2A7-44CD-8097-F99780FDA26C}"/>
    <cellStyle name="Normal 2 2 2 31 2 2 3" xfId="19383" xr:uid="{3F4B7BB4-0C5B-4604-AFED-D8DAB0503A52}"/>
    <cellStyle name="Normal 2 2 2 31 2 3" xfId="11350" xr:uid="{00000000-0005-0000-0000-0000730E0000}"/>
    <cellStyle name="Normal 2 2 2 31 2 3 2" xfId="20119" xr:uid="{8AB3BC9D-6A66-4DBE-85A4-566EEA8529C7}"/>
    <cellStyle name="Normal 2 2 2 31 2 4" xfId="18751" xr:uid="{2EC7249F-4D30-4F37-959B-920BCF1D6A27}"/>
    <cellStyle name="Normal 2 2 2 31 3" xfId="9965" xr:uid="{00000000-0005-0000-0000-0000740E0000}"/>
    <cellStyle name="Normal 2 2 2 31 3 2" xfId="11701" xr:uid="{00000000-0005-0000-0000-0000750E0000}"/>
    <cellStyle name="Normal 2 2 2 31 3 2 2" xfId="20457" xr:uid="{96EBFDE0-81F3-49D5-9BBB-91CF20F3CDBD}"/>
    <cellStyle name="Normal 2 2 2 31 3 3" xfId="19094" xr:uid="{C61982AB-C8DE-46CE-BEA3-B22449DFF108}"/>
    <cellStyle name="Normal 2 2 2 31 4" xfId="10924" xr:uid="{00000000-0005-0000-0000-0000760E0000}"/>
    <cellStyle name="Normal 2 2 2 31 4 2" xfId="19842" xr:uid="{DE644227-D40E-4504-9504-F4D17A297230}"/>
    <cellStyle name="Normal 2 2 2 31 5" xfId="18474" xr:uid="{D9F86E67-1418-462B-BD5B-98CE544224A3}"/>
    <cellStyle name="Normal 2 2 2 32" xfId="4177" xr:uid="{00000000-0005-0000-0000-0000770E0000}"/>
    <cellStyle name="Normal 2 2 2 32 2" xfId="9612" xr:uid="{00000000-0005-0000-0000-0000780E0000}"/>
    <cellStyle name="Normal 2 2 2 32 2 2" xfId="10313" xr:uid="{00000000-0005-0000-0000-0000790E0000}"/>
    <cellStyle name="Normal 2 2 2 32 2 2 2" xfId="12048" xr:uid="{00000000-0005-0000-0000-00007A0E0000}"/>
    <cellStyle name="Normal 2 2 2 32 2 2 2 2" xfId="20797" xr:uid="{9519DC72-6CF0-4240-BB43-D9F9CE64A0BB}"/>
    <cellStyle name="Normal 2 2 2 32 2 2 3" xfId="19434" xr:uid="{2E557E8C-C6D8-40A7-B306-6ED04146A5B4}"/>
    <cellStyle name="Normal 2 2 2 32 2 3" xfId="11401" xr:uid="{00000000-0005-0000-0000-00007B0E0000}"/>
    <cellStyle name="Normal 2 2 2 32 2 3 2" xfId="20170" xr:uid="{EB8F4E35-0A59-47F5-9B24-8A3766657D2B}"/>
    <cellStyle name="Normal 2 2 2 32 2 4" xfId="18802" xr:uid="{3C6128C8-7BAF-4813-81A5-4B58AE857408}"/>
    <cellStyle name="Normal 2 2 2 32 3" xfId="10016" xr:uid="{00000000-0005-0000-0000-00007C0E0000}"/>
    <cellStyle name="Normal 2 2 2 32 3 2" xfId="11752" xr:uid="{00000000-0005-0000-0000-00007D0E0000}"/>
    <cellStyle name="Normal 2 2 2 32 3 2 2" xfId="20508" xr:uid="{F7710464-9EB3-4573-874D-E3B7421D0A17}"/>
    <cellStyle name="Normal 2 2 2 32 3 3" xfId="19145" xr:uid="{70DA8FC3-B353-4185-8481-D6ED0D248E02}"/>
    <cellStyle name="Normal 2 2 2 32 4" xfId="10988" xr:uid="{00000000-0005-0000-0000-00007E0E0000}"/>
    <cellStyle name="Normal 2 2 2 32 4 2" xfId="19893" xr:uid="{67F71624-048E-4356-89E5-6981CC14F600}"/>
    <cellStyle name="Normal 2 2 2 32 5" xfId="18525" xr:uid="{FA0BFF22-B966-4EC7-ACAE-E9AA3796AA57}"/>
    <cellStyle name="Normal 2 2 2 33" xfId="4323" xr:uid="{00000000-0005-0000-0000-00007F0E0000}"/>
    <cellStyle name="Normal 2 2 2 33 2" xfId="9736" xr:uid="{00000000-0005-0000-0000-0000800E0000}"/>
    <cellStyle name="Normal 2 2 2 33 2 2" xfId="10435" xr:uid="{00000000-0005-0000-0000-0000810E0000}"/>
    <cellStyle name="Normal 2 2 2 33 2 2 2" xfId="12170" xr:uid="{00000000-0005-0000-0000-0000820E0000}"/>
    <cellStyle name="Normal 2 2 2 33 2 2 2 2" xfId="20919" xr:uid="{9501BB12-585D-48F9-9D27-B7E7FCA60581}"/>
    <cellStyle name="Normal 2 2 2 33 2 2 3" xfId="19556" xr:uid="{26E421E4-2B97-427E-8DC0-73440853878F}"/>
    <cellStyle name="Normal 2 2 2 33 2 3" xfId="11523" xr:uid="{00000000-0005-0000-0000-0000830E0000}"/>
    <cellStyle name="Normal 2 2 2 33 2 3 2" xfId="20292" xr:uid="{C425E908-3EEA-4092-8136-D4320A52F613}"/>
    <cellStyle name="Normal 2 2 2 33 2 4" xfId="18924" xr:uid="{0648B1A8-A185-4E34-87CC-D7BB658AAACC}"/>
    <cellStyle name="Normal 2 2 2 33 3" xfId="10138" xr:uid="{00000000-0005-0000-0000-0000840E0000}"/>
    <cellStyle name="Normal 2 2 2 33 3 2" xfId="11874" xr:uid="{00000000-0005-0000-0000-0000850E0000}"/>
    <cellStyle name="Normal 2 2 2 33 3 2 2" xfId="20630" xr:uid="{400A8F45-A5D0-403F-B5FE-CC7D1422F68D}"/>
    <cellStyle name="Normal 2 2 2 33 3 3" xfId="19267" xr:uid="{ADFB5E09-EF99-4AAA-851B-8D6B394FFE9E}"/>
    <cellStyle name="Normal 2 2 2 33 4" xfId="11129" xr:uid="{00000000-0005-0000-0000-0000860E0000}"/>
    <cellStyle name="Normal 2 2 2 33 4 2" xfId="20015" xr:uid="{59FA6892-B16F-4B57-92AF-04153E4B82C1}"/>
    <cellStyle name="Normal 2 2 2 33 5" xfId="18647" xr:uid="{C512B84F-754F-454E-8F95-CC3C4075776B}"/>
    <cellStyle name="Normal 2 2 2 34" xfId="10556" xr:uid="{00000000-0005-0000-0000-0000870E0000}"/>
    <cellStyle name="Normal 2 2 2 34 2" xfId="12291" xr:uid="{00000000-0005-0000-0000-0000880E0000}"/>
    <cellStyle name="Normal 2 2 2 34 2 2" xfId="21038" xr:uid="{B818BB73-CB4F-4708-A57A-AF0F9B0475FD}"/>
    <cellStyle name="Normal 2 2 2 34 3" xfId="19675" xr:uid="{A806C9C9-BC53-448F-8978-4B2BA0CE4547}"/>
    <cellStyle name="Normal 2 2 2 35" xfId="14236" xr:uid="{8EBC171E-EE8F-4D06-9BE0-6B1B886544FE}"/>
    <cellStyle name="Normal 2 2 2 35 2" xfId="22433" xr:uid="{E73DFD08-14F1-4429-8A71-6600744553B6}"/>
    <cellStyle name="Normal 2 2 2 36" xfId="17840" xr:uid="{C0B71A8F-B395-46BD-BA54-B21954298FDF}"/>
    <cellStyle name="Normal 2 2 2 36 2" xfId="24064" xr:uid="{5EE782E5-69F6-4F8A-B9C1-4F326D4DCADB}"/>
    <cellStyle name="Normal 2 2 2 37" xfId="18226" xr:uid="{995CCEFE-D786-483E-87BB-F40F5C41F6F0}"/>
    <cellStyle name="Normal 2 2 2 37 2" xfId="24400" xr:uid="{3F378D93-0601-40F3-ABF9-C1C99B73ABB7}"/>
    <cellStyle name="Normal 2 2 2 38" xfId="17791" xr:uid="{B4173F3A-7BC7-4ABD-A037-4C7B4908BEEB}"/>
    <cellStyle name="Normal 2 2 2 38 2" xfId="24029" xr:uid="{5350979C-C0F9-4984-ABB7-281C5DF460F2}"/>
    <cellStyle name="Normal 2 2 2 4" xfId="1312" xr:uid="{00000000-0005-0000-0000-0000890E0000}"/>
    <cellStyle name="Normal 2 2 2 4 2" xfId="4228" xr:uid="{00000000-0005-0000-0000-00008A0E0000}"/>
    <cellStyle name="Normal 2 2 2 4 2 2" xfId="9663" xr:uid="{00000000-0005-0000-0000-00008B0E0000}"/>
    <cellStyle name="Normal 2 2 2 4 2 2 2" xfId="10364" xr:uid="{00000000-0005-0000-0000-00008C0E0000}"/>
    <cellStyle name="Normal 2 2 2 4 2 2 2 2" xfId="12099" xr:uid="{00000000-0005-0000-0000-00008D0E0000}"/>
    <cellStyle name="Normal 2 2 2 4 2 2 2 2 2" xfId="20848" xr:uid="{F809E6AD-983F-45FC-B529-4321790F95EE}"/>
    <cellStyle name="Normal 2 2 2 4 2 2 2 3" xfId="19485" xr:uid="{087F7FA0-7E29-4D9B-84F7-376610954023}"/>
    <cellStyle name="Normal 2 2 2 4 2 2 3" xfId="11452" xr:uid="{00000000-0005-0000-0000-00008E0E0000}"/>
    <cellStyle name="Normal 2 2 2 4 2 2 3 2" xfId="20221" xr:uid="{F65FBAEC-B002-419A-908B-62A97EBD41BD}"/>
    <cellStyle name="Normal 2 2 2 4 2 2 4" xfId="18853" xr:uid="{EB173450-7795-4CAB-AB00-88F15625B619}"/>
    <cellStyle name="Normal 2 2 2 4 2 3" xfId="10067" xr:uid="{00000000-0005-0000-0000-00008F0E0000}"/>
    <cellStyle name="Normal 2 2 2 4 2 3 2" xfId="11803" xr:uid="{00000000-0005-0000-0000-0000900E0000}"/>
    <cellStyle name="Normal 2 2 2 4 2 3 2 2" xfId="20559" xr:uid="{E3EC848F-8DE3-4010-A152-558D96D13CC2}"/>
    <cellStyle name="Normal 2 2 2 4 2 3 3" xfId="19196" xr:uid="{7A252EDD-87D8-42B3-8231-57092C10AFB5}"/>
    <cellStyle name="Normal 2 2 2 4 2 4" xfId="11039" xr:uid="{00000000-0005-0000-0000-0000910E0000}"/>
    <cellStyle name="Normal 2 2 2 4 2 4 2" xfId="19944" xr:uid="{544FD89D-E2A8-4A50-A537-4FB565AF07A9}"/>
    <cellStyle name="Normal 2 2 2 4 2 5" xfId="14727" xr:uid="{FE5205ED-C2DF-4AD3-BE6F-CAC8FACE4039}"/>
    <cellStyle name="Normal 2 2 2 4 2 6" xfId="18576" xr:uid="{7DD1C48D-E95F-45CB-A5B5-2C82CE4BD314}"/>
    <cellStyle name="Normal 2 2 2 4 2_1.2.b" xfId="16167" xr:uid="{45E17982-06F2-4AD5-BBD7-256A81B27E9B}"/>
    <cellStyle name="Normal 2 2 2 4 3" xfId="7708" xr:uid="{00000000-0005-0000-0000-0000920E0000}"/>
    <cellStyle name="Normal 2 2 2 5" xfId="1313" xr:uid="{00000000-0005-0000-0000-0000930E0000}"/>
    <cellStyle name="Normal 2 2 2 5 2" xfId="7709" xr:uid="{00000000-0005-0000-0000-0000940E0000}"/>
    <cellStyle name="Normal 2 2 2 5 3" xfId="14239" xr:uid="{18659E12-C965-435C-970A-523293DB69F1}"/>
    <cellStyle name="Normal 2 2 2 5_1.2.b" xfId="16168" xr:uid="{1D0DEE57-F10D-4CA2-8F0F-A2428E89EAF7}"/>
    <cellStyle name="Normal 2 2 2 6" xfId="1314" xr:uid="{00000000-0005-0000-0000-0000950E0000}"/>
    <cellStyle name="Normal 2 2 2 6 2" xfId="7710" xr:uid="{00000000-0005-0000-0000-0000960E0000}"/>
    <cellStyle name="Normal 2 2 2 7" xfId="1315" xr:uid="{00000000-0005-0000-0000-0000970E0000}"/>
    <cellStyle name="Normal 2 2 2 7 2" xfId="7711" xr:uid="{00000000-0005-0000-0000-0000980E0000}"/>
    <cellStyle name="Normal 2 2 2 8" xfId="1316" xr:uid="{00000000-0005-0000-0000-0000990E0000}"/>
    <cellStyle name="Normal 2 2 2 8 2" xfId="7712" xr:uid="{00000000-0005-0000-0000-00009A0E0000}"/>
    <cellStyle name="Normal 2 2 2 9" xfId="1317" xr:uid="{00000000-0005-0000-0000-00009B0E0000}"/>
    <cellStyle name="Normal 2 2 2 9 2" xfId="7713" xr:uid="{00000000-0005-0000-0000-00009C0E0000}"/>
    <cellStyle name="Normal 2 2 2_1.2.b" xfId="16162" xr:uid="{EB6CF0B7-2589-46D8-89A9-8C83E0876FC6}"/>
    <cellStyle name="Normal 2 2 20" xfId="1318" xr:uid="{00000000-0005-0000-0000-00009D0E0000}"/>
    <cellStyle name="Normal 2 2 21" xfId="1319" xr:uid="{00000000-0005-0000-0000-00009E0E0000}"/>
    <cellStyle name="Normal 2 2 22" xfId="1320" xr:uid="{00000000-0005-0000-0000-00009F0E0000}"/>
    <cellStyle name="Normal 2 2 23" xfId="1321" xr:uid="{00000000-0005-0000-0000-0000A00E0000}"/>
    <cellStyle name="Normal 2 2 24" xfId="1322" xr:uid="{00000000-0005-0000-0000-0000A10E0000}"/>
    <cellStyle name="Normal 2 2 25" xfId="1323" xr:uid="{00000000-0005-0000-0000-0000A20E0000}"/>
    <cellStyle name="Normal 2 2 26" xfId="1324" xr:uid="{00000000-0005-0000-0000-0000A30E0000}"/>
    <cellStyle name="Normal 2 2 27" xfId="1325" xr:uid="{00000000-0005-0000-0000-0000A40E0000}"/>
    <cellStyle name="Normal 2 2 28" xfId="1326" xr:uid="{00000000-0005-0000-0000-0000A50E0000}"/>
    <cellStyle name="Normal 2 2 29" xfId="1327" xr:uid="{00000000-0005-0000-0000-0000A60E0000}"/>
    <cellStyle name="Normal 2 2 3" xfId="1328" xr:uid="{00000000-0005-0000-0000-0000A70E0000}"/>
    <cellStyle name="Normal 2 2 3 2" xfId="4138" xr:uid="{00000000-0005-0000-0000-0000A80E0000}"/>
    <cellStyle name="Normal 2 2 3 2 2" xfId="4264" xr:uid="{00000000-0005-0000-0000-0000A90E0000}"/>
    <cellStyle name="Normal 2 2 3 2 2 2" xfId="9699" xr:uid="{00000000-0005-0000-0000-0000AA0E0000}"/>
    <cellStyle name="Normal 2 2 3 2 2 2 2" xfId="10400" xr:uid="{00000000-0005-0000-0000-0000AB0E0000}"/>
    <cellStyle name="Normal 2 2 3 2 2 2 2 2" xfId="12135" xr:uid="{00000000-0005-0000-0000-0000AC0E0000}"/>
    <cellStyle name="Normal 2 2 3 2 2 2 2 2 2" xfId="20884" xr:uid="{A286EC60-EF84-427E-AF3B-8CB12758BE71}"/>
    <cellStyle name="Normal 2 2 3 2 2 2 2 3" xfId="19521" xr:uid="{0A15945A-E643-47B0-8CA0-C16C517A7DC8}"/>
    <cellStyle name="Normal 2 2 3 2 2 2 3" xfId="11488" xr:uid="{00000000-0005-0000-0000-0000AD0E0000}"/>
    <cellStyle name="Normal 2 2 3 2 2 2 3 2" xfId="20257" xr:uid="{C900E634-7750-4AD0-A0B0-C0EA78B2461D}"/>
    <cellStyle name="Normal 2 2 3 2 2 2 4" xfId="18889" xr:uid="{0453165E-2177-4D2E-AFE2-B9A76A76A7F9}"/>
    <cellStyle name="Normal 2 2 3 2 2 3" xfId="10103" xr:uid="{00000000-0005-0000-0000-0000AE0E0000}"/>
    <cellStyle name="Normal 2 2 3 2 2 3 2" xfId="11839" xr:uid="{00000000-0005-0000-0000-0000AF0E0000}"/>
    <cellStyle name="Normal 2 2 3 2 2 3 2 2" xfId="20595" xr:uid="{B17D9539-7DAA-4D97-B35D-A9788E79A1AC}"/>
    <cellStyle name="Normal 2 2 3 2 2 3 3" xfId="19232" xr:uid="{9A362ACD-4C76-4902-866B-C6FD967225EB}"/>
    <cellStyle name="Normal 2 2 3 2 2 4" xfId="11075" xr:uid="{00000000-0005-0000-0000-0000B00E0000}"/>
    <cellStyle name="Normal 2 2 3 2 2 4 2" xfId="19980" xr:uid="{54375683-7E09-4090-BBB0-2DF947D49979}"/>
    <cellStyle name="Normal 2 2 3 2 2 5" xfId="18612" xr:uid="{2C0AAD41-9B97-408C-B0CF-255ECCAA6D47}"/>
    <cellStyle name="Normal 2 2 3 2 3" xfId="4213" xr:uid="{00000000-0005-0000-0000-0000B10E0000}"/>
    <cellStyle name="Normal 2 2 3 2 3 2" xfId="9648" xr:uid="{00000000-0005-0000-0000-0000B20E0000}"/>
    <cellStyle name="Normal 2 2 3 2 3 2 2" xfId="10349" xr:uid="{00000000-0005-0000-0000-0000B30E0000}"/>
    <cellStyle name="Normal 2 2 3 2 3 2 2 2" xfId="12084" xr:uid="{00000000-0005-0000-0000-0000B40E0000}"/>
    <cellStyle name="Normal 2 2 3 2 3 2 2 2 2" xfId="20833" xr:uid="{C917F750-B6E2-49E0-A73C-56D2F851E399}"/>
    <cellStyle name="Normal 2 2 3 2 3 2 2 3" xfId="19470" xr:uid="{E4C22E21-5223-4519-98A7-83A9C9268021}"/>
    <cellStyle name="Normal 2 2 3 2 3 2 3" xfId="11437" xr:uid="{00000000-0005-0000-0000-0000B50E0000}"/>
    <cellStyle name="Normal 2 2 3 2 3 2 3 2" xfId="20206" xr:uid="{18E3A3C5-DF40-4BB9-A530-0774F88F1DBC}"/>
    <cellStyle name="Normal 2 2 3 2 3 2 4" xfId="18838" xr:uid="{75373231-2A40-4B17-92C9-5D452451B488}"/>
    <cellStyle name="Normal 2 2 3 2 3 3" xfId="10052" xr:uid="{00000000-0005-0000-0000-0000B60E0000}"/>
    <cellStyle name="Normal 2 2 3 2 3 3 2" xfId="11788" xr:uid="{00000000-0005-0000-0000-0000B70E0000}"/>
    <cellStyle name="Normal 2 2 3 2 3 3 2 2" xfId="20544" xr:uid="{A46C60B0-E543-49D2-B20C-24EFCEA6AF16}"/>
    <cellStyle name="Normal 2 2 3 2 3 3 3" xfId="19181" xr:uid="{192F46A0-BEC6-44BE-A02F-94941F543116}"/>
    <cellStyle name="Normal 2 2 3 2 3 4" xfId="11024" xr:uid="{00000000-0005-0000-0000-0000B80E0000}"/>
    <cellStyle name="Normal 2 2 3 2 3 4 2" xfId="19929" xr:uid="{93D90755-5D96-4A7F-A1A1-2A4FFF0BB1B5}"/>
    <cellStyle name="Normal 2 2 3 2 3 5" xfId="18561" xr:uid="{0B398864-4708-4EB7-98C4-43CD8EFB5F45}"/>
    <cellStyle name="Normal 2 2 3 2 4" xfId="4340" xr:uid="{00000000-0005-0000-0000-0000B90E0000}"/>
    <cellStyle name="Normal 2 2 3 2 4 2" xfId="9751" xr:uid="{00000000-0005-0000-0000-0000BA0E0000}"/>
    <cellStyle name="Normal 2 2 3 2 4 2 2" xfId="10449" xr:uid="{00000000-0005-0000-0000-0000BB0E0000}"/>
    <cellStyle name="Normal 2 2 3 2 4 2 2 2" xfId="12184" xr:uid="{00000000-0005-0000-0000-0000BC0E0000}"/>
    <cellStyle name="Normal 2 2 3 2 4 2 2 2 2" xfId="20933" xr:uid="{F133E944-2E68-4619-879F-D6B4B4B4A9A7}"/>
    <cellStyle name="Normal 2 2 3 2 4 2 2 3" xfId="19570" xr:uid="{25C36F90-16B5-4342-A344-3D0EAC0874BD}"/>
    <cellStyle name="Normal 2 2 3 2 4 2 3" xfId="11537" xr:uid="{00000000-0005-0000-0000-0000BD0E0000}"/>
    <cellStyle name="Normal 2 2 3 2 4 2 3 2" xfId="20306" xr:uid="{D8EF6CC3-12E6-4943-A770-57439E55816C}"/>
    <cellStyle name="Normal 2 2 3 2 4 2 4" xfId="18938" xr:uid="{31FEE205-D5F7-44A7-A021-97431462E785}"/>
    <cellStyle name="Normal 2 2 3 2 4 3" xfId="10152" xr:uid="{00000000-0005-0000-0000-0000BE0E0000}"/>
    <cellStyle name="Normal 2 2 3 2 4 3 2" xfId="11888" xr:uid="{00000000-0005-0000-0000-0000BF0E0000}"/>
    <cellStyle name="Normal 2 2 3 2 4 3 2 2" xfId="20644" xr:uid="{9116A590-BC5E-4148-AEEB-53DFF772CCBB}"/>
    <cellStyle name="Normal 2 2 3 2 4 3 3" xfId="19281" xr:uid="{4824D606-BAD9-4A1B-93FB-7893D0676635}"/>
    <cellStyle name="Normal 2 2 3 2 4 4" xfId="11145" xr:uid="{00000000-0005-0000-0000-0000C00E0000}"/>
    <cellStyle name="Normal 2 2 3 2 4 4 2" xfId="20029" xr:uid="{9618ABC4-93D8-4ED7-A553-59326F0CAF67}"/>
    <cellStyle name="Normal 2 2 3 2 4 5" xfId="18661" xr:uid="{C0F8A619-2956-4AB8-947F-8AF8CD009968}"/>
    <cellStyle name="Normal 2 2 3 2 5" xfId="9596" xr:uid="{00000000-0005-0000-0000-0000C10E0000}"/>
    <cellStyle name="Normal 2 2 3 2 5 2" xfId="10298" xr:uid="{00000000-0005-0000-0000-0000C20E0000}"/>
    <cellStyle name="Normal 2 2 3 2 5 2 2" xfId="12033" xr:uid="{00000000-0005-0000-0000-0000C30E0000}"/>
    <cellStyle name="Normal 2 2 3 2 5 2 2 2" xfId="20782" xr:uid="{C1263ACB-338C-412A-B0CC-E4738F3D5C28}"/>
    <cellStyle name="Normal 2 2 3 2 5 2 3" xfId="19419" xr:uid="{64884A92-17E2-49AD-BF7D-8014412D58B0}"/>
    <cellStyle name="Normal 2 2 3 2 5 3" xfId="11386" xr:uid="{00000000-0005-0000-0000-0000C40E0000}"/>
    <cellStyle name="Normal 2 2 3 2 5 3 2" xfId="20155" xr:uid="{0DE3BF6E-81F5-4C66-B9D0-F16511C64D46}"/>
    <cellStyle name="Normal 2 2 3 2 5 4" xfId="18787" xr:uid="{26BA9C06-7140-41B9-9670-FE68F876C91D}"/>
    <cellStyle name="Normal 2 2 3 2 6" xfId="10001" xr:uid="{00000000-0005-0000-0000-0000C50E0000}"/>
    <cellStyle name="Normal 2 2 3 2 6 2" xfId="11737" xr:uid="{00000000-0005-0000-0000-0000C60E0000}"/>
    <cellStyle name="Normal 2 2 3 2 6 2 2" xfId="20493" xr:uid="{E8F15876-C36B-42C5-9470-B0A143CC5825}"/>
    <cellStyle name="Normal 2 2 3 2 6 3" xfId="19130" xr:uid="{57A359FB-0E66-4A11-9A39-E75FC9F397FA}"/>
    <cellStyle name="Normal 2 2 3 2 7" xfId="10964" xr:uid="{00000000-0005-0000-0000-0000C70E0000}"/>
    <cellStyle name="Normal 2 2 3 2 7 2" xfId="19878" xr:uid="{61E98BBF-2CA2-40D8-B275-EC8B17A7BE10}"/>
    <cellStyle name="Normal 2 2 3 2 8" xfId="14709" xr:uid="{7F322A1C-5B9F-4AE8-8123-02BF416A3C9E}"/>
    <cellStyle name="Normal 2 2 3 2 9" xfId="18510" xr:uid="{C4267E6C-615A-46B3-9735-992C182166DA}"/>
    <cellStyle name="Normal 2 2 3 2_1.2.b" xfId="16169" xr:uid="{1F6CEC85-12DD-46D9-9BC8-B5428FFA1F77}"/>
    <cellStyle name="Normal 2 2 3 3" xfId="4098" xr:uid="{00000000-0005-0000-0000-0000C80E0000}"/>
    <cellStyle name="Normal 2 2 3 3 2" xfId="4246" xr:uid="{00000000-0005-0000-0000-0000C90E0000}"/>
    <cellStyle name="Normal 2 2 3 3 2 2" xfId="9681" xr:uid="{00000000-0005-0000-0000-0000CA0E0000}"/>
    <cellStyle name="Normal 2 2 3 3 2 2 2" xfId="10382" xr:uid="{00000000-0005-0000-0000-0000CB0E0000}"/>
    <cellStyle name="Normal 2 2 3 3 2 2 2 2" xfId="12117" xr:uid="{00000000-0005-0000-0000-0000CC0E0000}"/>
    <cellStyle name="Normal 2 2 3 3 2 2 2 2 2" xfId="20866" xr:uid="{B78D496E-102F-4FA6-9B02-B25034C55612}"/>
    <cellStyle name="Normal 2 2 3 3 2 2 2 3" xfId="19503" xr:uid="{2332C96D-44DF-46BC-A827-8BF465F622CC}"/>
    <cellStyle name="Normal 2 2 3 3 2 2 3" xfId="11470" xr:uid="{00000000-0005-0000-0000-0000CD0E0000}"/>
    <cellStyle name="Normal 2 2 3 3 2 2 3 2" xfId="20239" xr:uid="{EF32702E-C2C4-4854-9CDA-0F0E75CA215A}"/>
    <cellStyle name="Normal 2 2 3 3 2 2 4" xfId="18871" xr:uid="{F0614BDB-9A05-4E3D-A6D0-4F882A134744}"/>
    <cellStyle name="Normal 2 2 3 3 2 3" xfId="10085" xr:uid="{00000000-0005-0000-0000-0000CE0E0000}"/>
    <cellStyle name="Normal 2 2 3 3 2 3 2" xfId="11821" xr:uid="{00000000-0005-0000-0000-0000CF0E0000}"/>
    <cellStyle name="Normal 2 2 3 3 2 3 2 2" xfId="20577" xr:uid="{55CBC22A-B39C-4E40-81D7-0E9A7742E4F1}"/>
    <cellStyle name="Normal 2 2 3 3 2 3 3" xfId="19214" xr:uid="{03C7A3EF-873E-4766-835D-C6A8BC56CD9C}"/>
    <cellStyle name="Normal 2 2 3 3 2 4" xfId="11057" xr:uid="{00000000-0005-0000-0000-0000D00E0000}"/>
    <cellStyle name="Normal 2 2 3 3 2 4 2" xfId="19962" xr:uid="{B0868314-A6AD-4656-AD88-D275B3B29768}"/>
    <cellStyle name="Normal 2 2 3 3 2 5" xfId="18594" xr:uid="{5176302B-99EB-4BC6-BF94-AA0C83F04E5F}"/>
    <cellStyle name="Normal 2 2 3 3 3" xfId="4195" xr:uid="{00000000-0005-0000-0000-0000D10E0000}"/>
    <cellStyle name="Normal 2 2 3 3 3 2" xfId="9630" xr:uid="{00000000-0005-0000-0000-0000D20E0000}"/>
    <cellStyle name="Normal 2 2 3 3 3 2 2" xfId="10331" xr:uid="{00000000-0005-0000-0000-0000D30E0000}"/>
    <cellStyle name="Normal 2 2 3 3 3 2 2 2" xfId="12066" xr:uid="{00000000-0005-0000-0000-0000D40E0000}"/>
    <cellStyle name="Normal 2 2 3 3 3 2 2 2 2" xfId="20815" xr:uid="{C164203C-0AD8-40E3-95A1-9382B86B78BF}"/>
    <cellStyle name="Normal 2 2 3 3 3 2 2 3" xfId="19452" xr:uid="{3818FA13-DB26-4BB8-AD69-87EB49AE809E}"/>
    <cellStyle name="Normal 2 2 3 3 3 2 3" xfId="11419" xr:uid="{00000000-0005-0000-0000-0000D50E0000}"/>
    <cellStyle name="Normal 2 2 3 3 3 2 3 2" xfId="20188" xr:uid="{C4574EE9-E891-4F55-8C2A-AEA6D3AF333B}"/>
    <cellStyle name="Normal 2 2 3 3 3 2 4" xfId="18820" xr:uid="{6ED91F67-D157-4C10-B1B7-8F2CB9C04713}"/>
    <cellStyle name="Normal 2 2 3 3 3 3" xfId="10034" xr:uid="{00000000-0005-0000-0000-0000D60E0000}"/>
    <cellStyle name="Normal 2 2 3 3 3 3 2" xfId="11770" xr:uid="{00000000-0005-0000-0000-0000D70E0000}"/>
    <cellStyle name="Normal 2 2 3 3 3 3 2 2" xfId="20526" xr:uid="{C973E450-B3C6-47D6-85E4-3E4F545537F0}"/>
    <cellStyle name="Normal 2 2 3 3 3 3 3" xfId="19163" xr:uid="{89C49B68-4292-4214-BED9-D696A8593955}"/>
    <cellStyle name="Normal 2 2 3 3 3 4" xfId="11006" xr:uid="{00000000-0005-0000-0000-0000D80E0000}"/>
    <cellStyle name="Normal 2 2 3 3 3 4 2" xfId="19911" xr:uid="{E40B604A-A6F2-4BFB-8E74-CE9892D02C56}"/>
    <cellStyle name="Normal 2 2 3 3 3 5" xfId="18543" xr:uid="{5D696235-3AC1-409D-BEF1-793EAD71CD9B}"/>
    <cellStyle name="Normal 2 2 3 3 4" xfId="9577" xr:uid="{00000000-0005-0000-0000-0000D90E0000}"/>
    <cellStyle name="Normal 2 2 3 3 4 2" xfId="10280" xr:uid="{00000000-0005-0000-0000-0000DA0E0000}"/>
    <cellStyle name="Normal 2 2 3 3 4 2 2" xfId="12015" xr:uid="{00000000-0005-0000-0000-0000DB0E0000}"/>
    <cellStyle name="Normal 2 2 3 3 4 2 2 2" xfId="20764" xr:uid="{5076B578-58FD-4A64-A0CD-FAA3C7B5ED17}"/>
    <cellStyle name="Normal 2 2 3 3 4 2 3" xfId="19401" xr:uid="{2FF2FE4C-0F04-453A-B85E-54EC438280DE}"/>
    <cellStyle name="Normal 2 2 3 3 4 3" xfId="11368" xr:uid="{00000000-0005-0000-0000-0000DC0E0000}"/>
    <cellStyle name="Normal 2 2 3 3 4 3 2" xfId="20137" xr:uid="{84ADC2AF-FA10-4121-B103-EDD962D78130}"/>
    <cellStyle name="Normal 2 2 3 3 4 4" xfId="18769" xr:uid="{028AEFA7-9115-474A-A094-E2C9567D3A4C}"/>
    <cellStyle name="Normal 2 2 3 3 5" xfId="9983" xr:uid="{00000000-0005-0000-0000-0000DD0E0000}"/>
    <cellStyle name="Normal 2 2 3 3 5 2" xfId="11719" xr:uid="{00000000-0005-0000-0000-0000DE0E0000}"/>
    <cellStyle name="Normal 2 2 3 3 5 2 2" xfId="20475" xr:uid="{B1A56C46-ED01-4CDC-88AF-F5268B1D14BD}"/>
    <cellStyle name="Normal 2 2 3 3 5 3" xfId="19112" xr:uid="{427C8A3D-C843-4355-ABFE-F907D07F53FF}"/>
    <cellStyle name="Normal 2 2 3 3 6" xfId="10943" xr:uid="{00000000-0005-0000-0000-0000DF0E0000}"/>
    <cellStyle name="Normal 2 2 3 3 6 2" xfId="19860" xr:uid="{5A8F07F4-6F64-4B2C-ADEF-1FD070F325BA}"/>
    <cellStyle name="Normal 2 2 3 3 7" xfId="18492" xr:uid="{6BF59C02-331F-4FAA-AB40-8441F9379320}"/>
    <cellStyle name="Normal 2 2 3 4" xfId="4065" xr:uid="{00000000-0005-0000-0000-0000E00E0000}"/>
    <cellStyle name="Normal 2 2 3 4 2" xfId="4230" xr:uid="{00000000-0005-0000-0000-0000E10E0000}"/>
    <cellStyle name="Normal 2 2 3 4 2 2" xfId="9665" xr:uid="{00000000-0005-0000-0000-0000E20E0000}"/>
    <cellStyle name="Normal 2 2 3 4 2 2 2" xfId="10366" xr:uid="{00000000-0005-0000-0000-0000E30E0000}"/>
    <cellStyle name="Normal 2 2 3 4 2 2 2 2" xfId="12101" xr:uid="{00000000-0005-0000-0000-0000E40E0000}"/>
    <cellStyle name="Normal 2 2 3 4 2 2 2 2 2" xfId="20850" xr:uid="{4F859D0A-4E26-4CFB-89C8-B53662290FB1}"/>
    <cellStyle name="Normal 2 2 3 4 2 2 2 3" xfId="19487" xr:uid="{E73FE1D4-3019-4858-981D-A0546A6F2D6A}"/>
    <cellStyle name="Normal 2 2 3 4 2 2 3" xfId="11454" xr:uid="{00000000-0005-0000-0000-0000E50E0000}"/>
    <cellStyle name="Normal 2 2 3 4 2 2 3 2" xfId="20223" xr:uid="{4CD2B797-4F53-4F72-899D-EF880CB1212D}"/>
    <cellStyle name="Normal 2 2 3 4 2 2 4" xfId="18855" xr:uid="{3F3BB9BC-2A68-4895-A48F-8EAF761169B8}"/>
    <cellStyle name="Normal 2 2 3 4 2 3" xfId="10069" xr:uid="{00000000-0005-0000-0000-0000E60E0000}"/>
    <cellStyle name="Normal 2 2 3 4 2 3 2" xfId="11805" xr:uid="{00000000-0005-0000-0000-0000E70E0000}"/>
    <cellStyle name="Normal 2 2 3 4 2 3 2 2" xfId="20561" xr:uid="{A82E1036-D2DA-4E48-8C2F-C16CB7446ACD}"/>
    <cellStyle name="Normal 2 2 3 4 2 3 3" xfId="19198" xr:uid="{E1B5A091-15BF-40FA-A373-3BFA27AF398B}"/>
    <cellStyle name="Normal 2 2 3 4 2 4" xfId="11041" xr:uid="{00000000-0005-0000-0000-0000E80E0000}"/>
    <cellStyle name="Normal 2 2 3 4 2 4 2" xfId="19946" xr:uid="{5116C909-E986-430E-92CC-D0F7FED381A2}"/>
    <cellStyle name="Normal 2 2 3 4 2 5" xfId="18578" xr:uid="{E4456795-192B-46BB-8EB0-914640AF2415}"/>
    <cellStyle name="Normal 2 2 3 4 3" xfId="9561" xr:uid="{00000000-0005-0000-0000-0000E90E0000}"/>
    <cellStyle name="Normal 2 2 3 4 3 2" xfId="10264" xr:uid="{00000000-0005-0000-0000-0000EA0E0000}"/>
    <cellStyle name="Normal 2 2 3 4 3 2 2" xfId="11999" xr:uid="{00000000-0005-0000-0000-0000EB0E0000}"/>
    <cellStyle name="Normal 2 2 3 4 3 2 2 2" xfId="20748" xr:uid="{E193C0EA-94E4-4B2D-904B-ECE1CD3257EC}"/>
    <cellStyle name="Normal 2 2 3 4 3 2 3" xfId="19385" xr:uid="{98648FF8-7B73-405A-BCFE-B4A9CDC968DE}"/>
    <cellStyle name="Normal 2 2 3 4 3 3" xfId="11352" xr:uid="{00000000-0005-0000-0000-0000EC0E0000}"/>
    <cellStyle name="Normal 2 2 3 4 3 3 2" xfId="20121" xr:uid="{D72D2979-FFCE-4362-9ABC-2787A0E9212F}"/>
    <cellStyle name="Normal 2 2 3 4 3 4" xfId="18753" xr:uid="{0DF6D010-7D8B-4C95-A917-24E2498CEDE9}"/>
    <cellStyle name="Normal 2 2 3 4 4" xfId="9967" xr:uid="{00000000-0005-0000-0000-0000ED0E0000}"/>
    <cellStyle name="Normal 2 2 3 4 4 2" xfId="11703" xr:uid="{00000000-0005-0000-0000-0000EE0E0000}"/>
    <cellStyle name="Normal 2 2 3 4 4 2 2" xfId="20459" xr:uid="{BF79682D-4670-4378-A678-23404EFA3BC7}"/>
    <cellStyle name="Normal 2 2 3 4 4 3" xfId="19096" xr:uid="{C87C2267-4597-486F-80AC-CCB410B3D9C7}"/>
    <cellStyle name="Normal 2 2 3 4 5" xfId="10926" xr:uid="{00000000-0005-0000-0000-0000EF0E0000}"/>
    <cellStyle name="Normal 2 2 3 4 5 2" xfId="19844" xr:uid="{2CA63692-A911-4E55-BB61-A704CDD0873C}"/>
    <cellStyle name="Normal 2 2 3 4 6" xfId="18476" xr:uid="{E410BC07-DC70-453A-83C2-C43D42517122}"/>
    <cellStyle name="Normal 2 2 3 5" xfId="4179" xr:uid="{00000000-0005-0000-0000-0000F00E0000}"/>
    <cellStyle name="Normal 2 2 3 5 2" xfId="9614" xr:uid="{00000000-0005-0000-0000-0000F10E0000}"/>
    <cellStyle name="Normal 2 2 3 5 2 2" xfId="10315" xr:uid="{00000000-0005-0000-0000-0000F20E0000}"/>
    <cellStyle name="Normal 2 2 3 5 2 2 2" xfId="12050" xr:uid="{00000000-0005-0000-0000-0000F30E0000}"/>
    <cellStyle name="Normal 2 2 3 5 2 2 2 2" xfId="20799" xr:uid="{8C567B83-D81F-49EF-9F52-D1B70621C1C6}"/>
    <cellStyle name="Normal 2 2 3 5 2 2 3" xfId="19436" xr:uid="{C109778B-1457-4866-B0B9-E62AA7530404}"/>
    <cellStyle name="Normal 2 2 3 5 2 3" xfId="11403" xr:uid="{00000000-0005-0000-0000-0000F40E0000}"/>
    <cellStyle name="Normal 2 2 3 5 2 3 2" xfId="20172" xr:uid="{D096D0F9-5C98-4652-BB1A-F04112BD10B0}"/>
    <cellStyle name="Normal 2 2 3 5 2 4" xfId="18804" xr:uid="{766BE2E5-1250-4D3F-8B0C-A08652B47435}"/>
    <cellStyle name="Normal 2 2 3 5 3" xfId="10018" xr:uid="{00000000-0005-0000-0000-0000F50E0000}"/>
    <cellStyle name="Normal 2 2 3 5 3 2" xfId="11754" xr:uid="{00000000-0005-0000-0000-0000F60E0000}"/>
    <cellStyle name="Normal 2 2 3 5 3 2 2" xfId="20510" xr:uid="{5CE85B4B-2AF0-403F-B103-873F5020FEF6}"/>
    <cellStyle name="Normal 2 2 3 5 3 3" xfId="19147" xr:uid="{1B9C10C2-9381-4BF8-A5D4-4E7B55C3158B}"/>
    <cellStyle name="Normal 2 2 3 5 4" xfId="10990" xr:uid="{00000000-0005-0000-0000-0000F70E0000}"/>
    <cellStyle name="Normal 2 2 3 5 4 2" xfId="19895" xr:uid="{3CD30FE4-A87A-45D2-81F3-27B06E9D1C17}"/>
    <cellStyle name="Normal 2 2 3 5 5" xfId="18527" xr:uid="{8B8D0609-E9ED-4DD2-AA39-6909B7070B63}"/>
    <cellStyle name="Normal 2 2 3 6" xfId="4322" xr:uid="{00000000-0005-0000-0000-0000F80E0000}"/>
    <cellStyle name="Normal 2 2 3 6 2" xfId="9735" xr:uid="{00000000-0005-0000-0000-0000F90E0000}"/>
    <cellStyle name="Normal 2 2 3 6 2 2" xfId="10434" xr:uid="{00000000-0005-0000-0000-0000FA0E0000}"/>
    <cellStyle name="Normal 2 2 3 6 2 2 2" xfId="12169" xr:uid="{00000000-0005-0000-0000-0000FB0E0000}"/>
    <cellStyle name="Normal 2 2 3 6 2 2 2 2" xfId="20918" xr:uid="{84AED98A-B99E-49F1-9189-E4693195A819}"/>
    <cellStyle name="Normal 2 2 3 6 2 2 3" xfId="19555" xr:uid="{407B2A20-AA2E-4229-A8E2-2437CBCCBAEB}"/>
    <cellStyle name="Normal 2 2 3 6 2 3" xfId="11522" xr:uid="{00000000-0005-0000-0000-0000FC0E0000}"/>
    <cellStyle name="Normal 2 2 3 6 2 3 2" xfId="20291" xr:uid="{CF47C793-5938-4777-9F05-A06A3A980843}"/>
    <cellStyle name="Normal 2 2 3 6 2 4" xfId="18923" xr:uid="{361E189B-234E-4AD9-B6B9-7431946159A6}"/>
    <cellStyle name="Normal 2 2 3 6 3" xfId="10137" xr:uid="{00000000-0005-0000-0000-0000FD0E0000}"/>
    <cellStyle name="Normal 2 2 3 6 3 2" xfId="11873" xr:uid="{00000000-0005-0000-0000-0000FE0E0000}"/>
    <cellStyle name="Normal 2 2 3 6 3 2 2" xfId="20629" xr:uid="{3C5B0068-9390-449B-A400-2B9A43A25501}"/>
    <cellStyle name="Normal 2 2 3 6 3 3" xfId="19266" xr:uid="{4793F25B-820D-44A4-B8CA-0A2D8F474D7F}"/>
    <cellStyle name="Normal 2 2 3 6 4" xfId="11128" xr:uid="{00000000-0005-0000-0000-0000FF0E0000}"/>
    <cellStyle name="Normal 2 2 3 6 4 2" xfId="20014" xr:uid="{D8C0D6F9-F3C9-4666-91A3-05BB10791C57}"/>
    <cellStyle name="Normal 2 2 3 6 5" xfId="18646" xr:uid="{895B843D-4D67-4B3C-B067-5E44C64DF532}"/>
    <cellStyle name="Normal 2 2 3 7" xfId="7714" xr:uid="{00000000-0005-0000-0000-0000000F0000}"/>
    <cellStyle name="Normal 2 2 30" xfId="1329" xr:uid="{00000000-0005-0000-0000-0000010F0000}"/>
    <cellStyle name="Normal 2 2 31" xfId="4037" xr:uid="{00000000-0005-0000-0000-0000020F0000}"/>
    <cellStyle name="Normal 2 2 31 2" xfId="9545" xr:uid="{00000000-0005-0000-0000-0000030F0000}"/>
    <cellStyle name="Normal 2 2 31 2 2" xfId="10249" xr:uid="{00000000-0005-0000-0000-0000040F0000}"/>
    <cellStyle name="Normal 2 2 31 2 2 2" xfId="11984" xr:uid="{00000000-0005-0000-0000-0000050F0000}"/>
    <cellStyle name="Normal 2 2 31 2 2 2 2" xfId="20733" xr:uid="{E8B88BD7-1EB6-4BF4-B574-2F6690683305}"/>
    <cellStyle name="Normal 2 2 31 2 2 3" xfId="19370" xr:uid="{06AED9DE-0C4D-4B69-9491-8D990888000E}"/>
    <cellStyle name="Normal 2 2 31 2 3" xfId="11337" xr:uid="{00000000-0005-0000-0000-0000060F0000}"/>
    <cellStyle name="Normal 2 2 31 2 3 2" xfId="20106" xr:uid="{CC00A083-80C0-460C-85FE-4425E82EF4DB}"/>
    <cellStyle name="Normal 2 2 31 2 4" xfId="18738" xr:uid="{AF7CEF92-35DD-4333-9730-076F799BD387}"/>
    <cellStyle name="Normal 2 2 31 3" xfId="9952" xr:uid="{00000000-0005-0000-0000-0000070F0000}"/>
    <cellStyle name="Normal 2 2 31 3 2" xfId="11688" xr:uid="{00000000-0005-0000-0000-0000080F0000}"/>
    <cellStyle name="Normal 2 2 31 3 2 2" xfId="20444" xr:uid="{F7B0D569-F52F-4F65-89C9-A428D74B2CCC}"/>
    <cellStyle name="Normal 2 2 31 3 3" xfId="19081" xr:uid="{972A2BE5-FBF0-4666-87C1-8B287E88ECBF}"/>
    <cellStyle name="Normal 2 2 31 4" xfId="10908" xr:uid="{00000000-0005-0000-0000-0000090F0000}"/>
    <cellStyle name="Normal 2 2 31 4 2" xfId="19829" xr:uid="{93E1291D-DC7E-41CA-ACE6-7C860A18F817}"/>
    <cellStyle name="Normal 2 2 31 5" xfId="18461" xr:uid="{8BF608B9-ED8F-41A5-A939-1DD54B921CF6}"/>
    <cellStyle name="Normal 2 2 32" xfId="4040" xr:uid="{00000000-0005-0000-0000-00000A0F0000}"/>
    <cellStyle name="Normal 2 2 33" xfId="4315" xr:uid="{00000000-0005-0000-0000-00000B0F0000}"/>
    <cellStyle name="Normal 2 2 33 2" xfId="9731" xr:uid="{00000000-0005-0000-0000-00000C0F0000}"/>
    <cellStyle name="Normal 2 2 33 2 2" xfId="10430" xr:uid="{00000000-0005-0000-0000-00000D0F0000}"/>
    <cellStyle name="Normal 2 2 33 2 2 2" xfId="12165" xr:uid="{00000000-0005-0000-0000-00000E0F0000}"/>
    <cellStyle name="Normal 2 2 33 2 2 2 2" xfId="20914" xr:uid="{48547504-069D-4D6C-8E8F-26ED91AC4B47}"/>
    <cellStyle name="Normal 2 2 33 2 2 3" xfId="19551" xr:uid="{3546D549-9122-4C9B-B1EA-A435B33BC975}"/>
    <cellStyle name="Normal 2 2 33 2 3" xfId="11518" xr:uid="{00000000-0005-0000-0000-00000F0F0000}"/>
    <cellStyle name="Normal 2 2 33 2 3 2" xfId="20287" xr:uid="{B3A9795B-F821-4FFF-8314-AE446B509E05}"/>
    <cellStyle name="Normal 2 2 33 2 4" xfId="18919" xr:uid="{14D902AF-CDFC-4ACF-9F69-2FC8D9FFC698}"/>
    <cellStyle name="Normal 2 2 33 3" xfId="10133" xr:uid="{00000000-0005-0000-0000-0000100F0000}"/>
    <cellStyle name="Normal 2 2 33 3 2" xfId="11869" xr:uid="{00000000-0005-0000-0000-0000110F0000}"/>
    <cellStyle name="Normal 2 2 33 3 2 2" xfId="20625" xr:uid="{051D8B8A-D787-488F-A3AA-233A35429F86}"/>
    <cellStyle name="Normal 2 2 33 3 3" xfId="19262" xr:uid="{0A11BBC2-D82B-41F1-8CAD-334E86D59A64}"/>
    <cellStyle name="Normal 2 2 33 4" xfId="11122" xr:uid="{00000000-0005-0000-0000-0000120F0000}"/>
    <cellStyle name="Normal 2 2 33 4 2" xfId="20010" xr:uid="{AD4C80DC-2714-41CD-BB71-33D42955A9D2}"/>
    <cellStyle name="Normal 2 2 33 5" xfId="18642" xr:uid="{EB699231-88EC-4314-B9A4-3B4073FC5CCD}"/>
    <cellStyle name="Normal 2 2 34" xfId="1277" xr:uid="{00000000-0005-0000-0000-0000130F0000}"/>
    <cellStyle name="Normal 2 2 35" xfId="12398" xr:uid="{00000000-0005-0000-0000-0000140F0000}"/>
    <cellStyle name="Normal 2 2 35 2" xfId="21135" xr:uid="{769E7A30-623D-47A9-A7CC-DE93CC734E43}"/>
    <cellStyle name="Normal 2 2 36" xfId="14235" xr:uid="{F9FDB57C-2E78-4C84-A187-7888A36EF96A}"/>
    <cellStyle name="Normal 2 2 36 2" xfId="22432" xr:uid="{47D74871-7501-4EEA-BB57-81A3D447BD34}"/>
    <cellStyle name="Normal 2 2 37" xfId="17839" xr:uid="{F8E6397D-B887-4FAA-8D00-81A13C5AADAD}"/>
    <cellStyle name="Normal 2 2 37 2" xfId="24063" xr:uid="{126733DE-893D-43B6-A53E-D34ACA968369}"/>
    <cellStyle name="Normal 2 2 38" xfId="18225" xr:uid="{004F953B-7D49-434B-AD3E-F1F58B255796}"/>
    <cellStyle name="Normal 2 2 38 2" xfId="24399" xr:uid="{6FB04804-028F-4D4A-B472-9E9581259920}"/>
    <cellStyle name="Normal 2 2 39" xfId="17790" xr:uid="{D576FEEB-7F19-4304-9BCE-9A32C6A63CCA}"/>
    <cellStyle name="Normal 2 2 39 2" xfId="24028" xr:uid="{A283C854-1ED0-4B88-9344-8580243EE72C}"/>
    <cellStyle name="Normal 2 2 4" xfId="1330" xr:uid="{00000000-0005-0000-0000-0000150F0000}"/>
    <cellStyle name="Normal 2 2 4 2" xfId="4146" xr:uid="{00000000-0005-0000-0000-0000160F0000}"/>
    <cellStyle name="Normal 2 2 4 2 2" xfId="4265" xr:uid="{00000000-0005-0000-0000-0000170F0000}"/>
    <cellStyle name="Normal 2 2 4 2 2 2" xfId="9700" xr:uid="{00000000-0005-0000-0000-0000180F0000}"/>
    <cellStyle name="Normal 2 2 4 2 2 2 2" xfId="10401" xr:uid="{00000000-0005-0000-0000-0000190F0000}"/>
    <cellStyle name="Normal 2 2 4 2 2 2 2 2" xfId="12136" xr:uid="{00000000-0005-0000-0000-00001A0F0000}"/>
    <cellStyle name="Normal 2 2 4 2 2 2 2 2 2" xfId="20885" xr:uid="{60D9AA92-BABE-409F-BFDD-4E30D8A70E51}"/>
    <cellStyle name="Normal 2 2 4 2 2 2 2 3" xfId="19522" xr:uid="{7B95B705-BEEA-4DE4-BA15-AE244F1FB59B}"/>
    <cellStyle name="Normal 2 2 4 2 2 2 3" xfId="11489" xr:uid="{00000000-0005-0000-0000-00001B0F0000}"/>
    <cellStyle name="Normal 2 2 4 2 2 2 3 2" xfId="20258" xr:uid="{7024C803-E797-4743-8259-080F777F488E}"/>
    <cellStyle name="Normal 2 2 4 2 2 2 4" xfId="18890" xr:uid="{4DAF8F55-A555-4295-AB3B-D92F867704BA}"/>
    <cellStyle name="Normal 2 2 4 2 2 3" xfId="10104" xr:uid="{00000000-0005-0000-0000-00001C0F0000}"/>
    <cellStyle name="Normal 2 2 4 2 2 3 2" xfId="11840" xr:uid="{00000000-0005-0000-0000-00001D0F0000}"/>
    <cellStyle name="Normal 2 2 4 2 2 3 2 2" xfId="20596" xr:uid="{45DBD76B-7052-4F8E-A689-6CC7D890E840}"/>
    <cellStyle name="Normal 2 2 4 2 2 3 3" xfId="19233" xr:uid="{E06A8C06-BC83-4A4C-8C0D-5C7217080433}"/>
    <cellStyle name="Normal 2 2 4 2 2 4" xfId="11076" xr:uid="{00000000-0005-0000-0000-00001E0F0000}"/>
    <cellStyle name="Normal 2 2 4 2 2 4 2" xfId="19981" xr:uid="{EAB9ADB6-FC70-441F-86B6-0F30E78A67BB}"/>
    <cellStyle name="Normal 2 2 4 2 2 5" xfId="18613" xr:uid="{BC4C028C-3A52-4173-9F15-F31DBA29A0D9}"/>
    <cellStyle name="Normal 2 2 4 2 3" xfId="4214" xr:uid="{00000000-0005-0000-0000-00001F0F0000}"/>
    <cellStyle name="Normal 2 2 4 2 3 2" xfId="9649" xr:uid="{00000000-0005-0000-0000-0000200F0000}"/>
    <cellStyle name="Normal 2 2 4 2 3 2 2" xfId="10350" xr:uid="{00000000-0005-0000-0000-0000210F0000}"/>
    <cellStyle name="Normal 2 2 4 2 3 2 2 2" xfId="12085" xr:uid="{00000000-0005-0000-0000-0000220F0000}"/>
    <cellStyle name="Normal 2 2 4 2 3 2 2 2 2" xfId="20834" xr:uid="{2C6E75CE-F407-485C-84E1-655312AD5BE7}"/>
    <cellStyle name="Normal 2 2 4 2 3 2 2 3" xfId="19471" xr:uid="{650265C8-A9B2-444D-9DD8-0B2678DC876B}"/>
    <cellStyle name="Normal 2 2 4 2 3 2 3" xfId="11438" xr:uid="{00000000-0005-0000-0000-0000230F0000}"/>
    <cellStyle name="Normal 2 2 4 2 3 2 3 2" xfId="20207" xr:uid="{45937264-282E-4968-B83C-BE1F52053989}"/>
    <cellStyle name="Normal 2 2 4 2 3 2 4" xfId="18839" xr:uid="{6660C8D2-D0D6-41A4-8799-02482A0B71C8}"/>
    <cellStyle name="Normal 2 2 4 2 3 3" xfId="10053" xr:uid="{00000000-0005-0000-0000-0000240F0000}"/>
    <cellStyle name="Normal 2 2 4 2 3 3 2" xfId="11789" xr:uid="{00000000-0005-0000-0000-0000250F0000}"/>
    <cellStyle name="Normal 2 2 4 2 3 3 2 2" xfId="20545" xr:uid="{2A61BD28-5463-46F9-99D0-9137797A2114}"/>
    <cellStyle name="Normal 2 2 4 2 3 3 3" xfId="19182" xr:uid="{0C492207-8459-4336-A606-4A7CD90DB19D}"/>
    <cellStyle name="Normal 2 2 4 2 3 4" xfId="11025" xr:uid="{00000000-0005-0000-0000-0000260F0000}"/>
    <cellStyle name="Normal 2 2 4 2 3 4 2" xfId="19930" xr:uid="{B96EF315-90D7-4084-8F6B-0EFA982518E9}"/>
    <cellStyle name="Normal 2 2 4 2 3 5" xfId="18562" xr:uid="{2E864875-DD29-40D6-90C9-3FFD9ED31675}"/>
    <cellStyle name="Normal 2 2 4 2 4" xfId="4339" xr:uid="{00000000-0005-0000-0000-0000270F0000}"/>
    <cellStyle name="Normal 2 2 4 2 4 2" xfId="9750" xr:uid="{00000000-0005-0000-0000-0000280F0000}"/>
    <cellStyle name="Normal 2 2 4 2 4 2 2" xfId="10448" xr:uid="{00000000-0005-0000-0000-0000290F0000}"/>
    <cellStyle name="Normal 2 2 4 2 4 2 2 2" xfId="12183" xr:uid="{00000000-0005-0000-0000-00002A0F0000}"/>
    <cellStyle name="Normal 2 2 4 2 4 2 2 2 2" xfId="20932" xr:uid="{EC07FD80-C481-4139-AEF2-3124ECB21BCE}"/>
    <cellStyle name="Normal 2 2 4 2 4 2 2 3" xfId="19569" xr:uid="{2A9C3607-64E7-4BB0-9ADF-A65E31988814}"/>
    <cellStyle name="Normal 2 2 4 2 4 2 3" xfId="11536" xr:uid="{00000000-0005-0000-0000-00002B0F0000}"/>
    <cellStyle name="Normal 2 2 4 2 4 2 3 2" xfId="20305" xr:uid="{BF3F5898-BEB2-47E1-97C7-8AEB6112F0E8}"/>
    <cellStyle name="Normal 2 2 4 2 4 2 4" xfId="18937" xr:uid="{0EE8550D-FD7E-41D3-A70B-6DBFEB06145A}"/>
    <cellStyle name="Normal 2 2 4 2 4 3" xfId="10151" xr:uid="{00000000-0005-0000-0000-00002C0F0000}"/>
    <cellStyle name="Normal 2 2 4 2 4 3 2" xfId="11887" xr:uid="{00000000-0005-0000-0000-00002D0F0000}"/>
    <cellStyle name="Normal 2 2 4 2 4 3 2 2" xfId="20643" xr:uid="{8954BE32-2533-4FAF-AC70-705D46177950}"/>
    <cellStyle name="Normal 2 2 4 2 4 3 3" xfId="19280" xr:uid="{6D98C024-101A-4E5B-A7EF-83CF26224CEE}"/>
    <cellStyle name="Normal 2 2 4 2 4 4" xfId="11144" xr:uid="{00000000-0005-0000-0000-00002E0F0000}"/>
    <cellStyle name="Normal 2 2 4 2 4 4 2" xfId="20028" xr:uid="{ABC08C6C-CF4A-4F34-88F5-3528C14818E4}"/>
    <cellStyle name="Normal 2 2 4 2 4 5" xfId="18660" xr:uid="{AD35EFF8-AE75-4CCD-970F-D224425A4C67}"/>
    <cellStyle name="Normal 2 2 4 2 5" xfId="9597" xr:uid="{00000000-0005-0000-0000-00002F0F0000}"/>
    <cellStyle name="Normal 2 2 4 2 5 2" xfId="10299" xr:uid="{00000000-0005-0000-0000-0000300F0000}"/>
    <cellStyle name="Normal 2 2 4 2 5 2 2" xfId="12034" xr:uid="{00000000-0005-0000-0000-0000310F0000}"/>
    <cellStyle name="Normal 2 2 4 2 5 2 2 2" xfId="20783" xr:uid="{74219D68-1F03-4346-85DC-A7C356F2EFCC}"/>
    <cellStyle name="Normal 2 2 4 2 5 2 3" xfId="19420" xr:uid="{E1E580B2-3087-49A4-8664-5F470CC67723}"/>
    <cellStyle name="Normal 2 2 4 2 5 3" xfId="11387" xr:uid="{00000000-0005-0000-0000-0000320F0000}"/>
    <cellStyle name="Normal 2 2 4 2 5 3 2" xfId="20156" xr:uid="{5C48F0B9-5763-4FF3-955F-F491E51F786F}"/>
    <cellStyle name="Normal 2 2 4 2 5 4" xfId="18788" xr:uid="{F3139D2E-23C8-49FB-A45E-3A7FE4E41C9C}"/>
    <cellStyle name="Normal 2 2 4 2 6" xfId="10002" xr:uid="{00000000-0005-0000-0000-0000330F0000}"/>
    <cellStyle name="Normal 2 2 4 2 6 2" xfId="11738" xr:uid="{00000000-0005-0000-0000-0000340F0000}"/>
    <cellStyle name="Normal 2 2 4 2 6 2 2" xfId="20494" xr:uid="{64EDBD49-A20B-4B1B-863A-A1E278508F1D}"/>
    <cellStyle name="Normal 2 2 4 2 6 3" xfId="19131" xr:uid="{5237BFDC-6594-4653-86AE-E85597AB2300}"/>
    <cellStyle name="Normal 2 2 4 2 7" xfId="10965" xr:uid="{00000000-0005-0000-0000-0000350F0000}"/>
    <cellStyle name="Normal 2 2 4 2 7 2" xfId="19879" xr:uid="{A7B5BFF8-3014-4477-9610-09ACE976CFCE}"/>
    <cellStyle name="Normal 2 2 4 2 8" xfId="18511" xr:uid="{47F6FB5E-043F-45F3-8233-3FE0084DEFD9}"/>
    <cellStyle name="Normal 2 2 4 3" xfId="4106" xr:uid="{00000000-0005-0000-0000-0000360F0000}"/>
    <cellStyle name="Normal 2 2 4 3 2" xfId="4247" xr:uid="{00000000-0005-0000-0000-0000370F0000}"/>
    <cellStyle name="Normal 2 2 4 3 2 2" xfId="9682" xr:uid="{00000000-0005-0000-0000-0000380F0000}"/>
    <cellStyle name="Normal 2 2 4 3 2 2 2" xfId="10383" xr:uid="{00000000-0005-0000-0000-0000390F0000}"/>
    <cellStyle name="Normal 2 2 4 3 2 2 2 2" xfId="12118" xr:uid="{00000000-0005-0000-0000-00003A0F0000}"/>
    <cellStyle name="Normal 2 2 4 3 2 2 2 2 2" xfId="20867" xr:uid="{8C554EF1-6C25-4205-A770-274E8F4F0061}"/>
    <cellStyle name="Normal 2 2 4 3 2 2 2 3" xfId="19504" xr:uid="{11364F5D-723D-4519-96C1-D8780F422929}"/>
    <cellStyle name="Normal 2 2 4 3 2 2 3" xfId="11471" xr:uid="{00000000-0005-0000-0000-00003B0F0000}"/>
    <cellStyle name="Normal 2 2 4 3 2 2 3 2" xfId="20240" xr:uid="{9CD789C7-FD1C-47A8-BE7F-D741A95AEC0D}"/>
    <cellStyle name="Normal 2 2 4 3 2 2 4" xfId="18872" xr:uid="{F728E3DC-224D-4914-B465-D6F8CB464163}"/>
    <cellStyle name="Normal 2 2 4 3 2 3" xfId="10086" xr:uid="{00000000-0005-0000-0000-00003C0F0000}"/>
    <cellStyle name="Normal 2 2 4 3 2 3 2" xfId="11822" xr:uid="{00000000-0005-0000-0000-00003D0F0000}"/>
    <cellStyle name="Normal 2 2 4 3 2 3 2 2" xfId="20578" xr:uid="{B25A71CD-FF23-40AF-BA28-1D5EA8C11909}"/>
    <cellStyle name="Normal 2 2 4 3 2 3 3" xfId="19215" xr:uid="{4625F786-C1FC-48AD-8432-29782677704F}"/>
    <cellStyle name="Normal 2 2 4 3 2 4" xfId="11058" xr:uid="{00000000-0005-0000-0000-00003E0F0000}"/>
    <cellStyle name="Normal 2 2 4 3 2 4 2" xfId="19963" xr:uid="{4BF181CB-DDC2-4F54-8A6B-18E7AEA15B45}"/>
    <cellStyle name="Normal 2 2 4 3 2 5" xfId="18595" xr:uid="{BAB04507-07C9-45E0-8767-9CF1E1306E13}"/>
    <cellStyle name="Normal 2 2 4 3 3" xfId="4196" xr:uid="{00000000-0005-0000-0000-00003F0F0000}"/>
    <cellStyle name="Normal 2 2 4 3 3 2" xfId="9631" xr:uid="{00000000-0005-0000-0000-0000400F0000}"/>
    <cellStyle name="Normal 2 2 4 3 3 2 2" xfId="10332" xr:uid="{00000000-0005-0000-0000-0000410F0000}"/>
    <cellStyle name="Normal 2 2 4 3 3 2 2 2" xfId="12067" xr:uid="{00000000-0005-0000-0000-0000420F0000}"/>
    <cellStyle name="Normal 2 2 4 3 3 2 2 2 2" xfId="20816" xr:uid="{B9E53AD2-7E45-47DE-B3E1-5057C4815C1E}"/>
    <cellStyle name="Normal 2 2 4 3 3 2 2 3" xfId="19453" xr:uid="{276D6C83-8D43-4926-95F0-56ABED284FB1}"/>
    <cellStyle name="Normal 2 2 4 3 3 2 3" xfId="11420" xr:uid="{00000000-0005-0000-0000-0000430F0000}"/>
    <cellStyle name="Normal 2 2 4 3 3 2 3 2" xfId="20189" xr:uid="{93B08195-A16C-43A0-A2E4-D8DA8C487A76}"/>
    <cellStyle name="Normal 2 2 4 3 3 2 4" xfId="18821" xr:uid="{C6ED5CB1-191C-415C-89F0-4E5D3C58F1C8}"/>
    <cellStyle name="Normal 2 2 4 3 3 3" xfId="10035" xr:uid="{00000000-0005-0000-0000-0000440F0000}"/>
    <cellStyle name="Normal 2 2 4 3 3 3 2" xfId="11771" xr:uid="{00000000-0005-0000-0000-0000450F0000}"/>
    <cellStyle name="Normal 2 2 4 3 3 3 2 2" xfId="20527" xr:uid="{4C9E3DF4-3E8F-4F27-875B-5E691B467BDC}"/>
    <cellStyle name="Normal 2 2 4 3 3 3 3" xfId="19164" xr:uid="{CF4EECA1-F4BF-4034-90E8-3FF9B8A00066}"/>
    <cellStyle name="Normal 2 2 4 3 3 4" xfId="11007" xr:uid="{00000000-0005-0000-0000-0000460F0000}"/>
    <cellStyle name="Normal 2 2 4 3 3 4 2" xfId="19912" xr:uid="{64F28025-089A-4C68-8E38-CFF707E5F344}"/>
    <cellStyle name="Normal 2 2 4 3 3 5" xfId="18544" xr:uid="{69AB36D1-73A8-459A-A216-1D4129AA9456}"/>
    <cellStyle name="Normal 2 2 4 3 4" xfId="9578" xr:uid="{00000000-0005-0000-0000-0000470F0000}"/>
    <cellStyle name="Normal 2 2 4 3 4 2" xfId="10281" xr:uid="{00000000-0005-0000-0000-0000480F0000}"/>
    <cellStyle name="Normal 2 2 4 3 4 2 2" xfId="12016" xr:uid="{00000000-0005-0000-0000-0000490F0000}"/>
    <cellStyle name="Normal 2 2 4 3 4 2 2 2" xfId="20765" xr:uid="{163C632D-FDFF-4BA9-9126-2CC56C9C212C}"/>
    <cellStyle name="Normal 2 2 4 3 4 2 3" xfId="19402" xr:uid="{C817198F-4CE2-492F-B132-F70B8F4F6523}"/>
    <cellStyle name="Normal 2 2 4 3 4 3" xfId="11369" xr:uid="{00000000-0005-0000-0000-00004A0F0000}"/>
    <cellStyle name="Normal 2 2 4 3 4 3 2" xfId="20138" xr:uid="{3F2F1D70-3306-48B9-B5D3-84ACB13FB982}"/>
    <cellStyle name="Normal 2 2 4 3 4 4" xfId="18770" xr:uid="{0460B5AE-F1BF-4C94-8447-CB5437ADF4AD}"/>
    <cellStyle name="Normal 2 2 4 3 5" xfId="9984" xr:uid="{00000000-0005-0000-0000-00004B0F0000}"/>
    <cellStyle name="Normal 2 2 4 3 5 2" xfId="11720" xr:uid="{00000000-0005-0000-0000-00004C0F0000}"/>
    <cellStyle name="Normal 2 2 4 3 5 2 2" xfId="20476" xr:uid="{17DE4A36-72AC-4DA4-AEF3-93C9FC419A1F}"/>
    <cellStyle name="Normal 2 2 4 3 5 3" xfId="19113" xr:uid="{EBB6F40C-D4DC-452E-81C1-EF905BE87A52}"/>
    <cellStyle name="Normal 2 2 4 3 6" xfId="10944" xr:uid="{00000000-0005-0000-0000-00004D0F0000}"/>
    <cellStyle name="Normal 2 2 4 3 6 2" xfId="19861" xr:uid="{50B3EF7E-C047-46EA-96DA-F3ED432D482D}"/>
    <cellStyle name="Normal 2 2 4 3 7" xfId="18493" xr:uid="{C7DAD0DE-1E86-4F78-992D-281A9ED037F4}"/>
    <cellStyle name="Normal 2 2 4 4" xfId="4073" xr:uid="{00000000-0005-0000-0000-00004E0F0000}"/>
    <cellStyle name="Normal 2 2 4 4 2" xfId="4231" xr:uid="{00000000-0005-0000-0000-00004F0F0000}"/>
    <cellStyle name="Normal 2 2 4 4 2 2" xfId="9666" xr:uid="{00000000-0005-0000-0000-0000500F0000}"/>
    <cellStyle name="Normal 2 2 4 4 2 2 2" xfId="10367" xr:uid="{00000000-0005-0000-0000-0000510F0000}"/>
    <cellStyle name="Normal 2 2 4 4 2 2 2 2" xfId="12102" xr:uid="{00000000-0005-0000-0000-0000520F0000}"/>
    <cellStyle name="Normal 2 2 4 4 2 2 2 2 2" xfId="20851" xr:uid="{8F54493B-C592-4810-BECC-8D714770D338}"/>
    <cellStyle name="Normal 2 2 4 4 2 2 2 3" xfId="19488" xr:uid="{29D39722-ED46-4DA4-BEC5-E5B9AAAA1921}"/>
    <cellStyle name="Normal 2 2 4 4 2 2 3" xfId="11455" xr:uid="{00000000-0005-0000-0000-0000530F0000}"/>
    <cellStyle name="Normal 2 2 4 4 2 2 3 2" xfId="20224" xr:uid="{4CC89BF1-1C59-45ED-B4B5-FC444682CFB2}"/>
    <cellStyle name="Normal 2 2 4 4 2 2 4" xfId="18856" xr:uid="{0301B1B5-134C-49D5-A7D8-090F2824D2D2}"/>
    <cellStyle name="Normal 2 2 4 4 2 3" xfId="10070" xr:uid="{00000000-0005-0000-0000-0000540F0000}"/>
    <cellStyle name="Normal 2 2 4 4 2 3 2" xfId="11806" xr:uid="{00000000-0005-0000-0000-0000550F0000}"/>
    <cellStyle name="Normal 2 2 4 4 2 3 2 2" xfId="20562" xr:uid="{F3AD0628-59C5-45D9-9E64-06CBE360E74A}"/>
    <cellStyle name="Normal 2 2 4 4 2 3 3" xfId="19199" xr:uid="{DE52C7E5-ADF4-40F6-8C31-9170D64A6127}"/>
    <cellStyle name="Normal 2 2 4 4 2 4" xfId="11042" xr:uid="{00000000-0005-0000-0000-0000560F0000}"/>
    <cellStyle name="Normal 2 2 4 4 2 4 2" xfId="19947" xr:uid="{A47C829B-9019-4AB3-96E4-35C0AFFBD022}"/>
    <cellStyle name="Normal 2 2 4 4 2 5" xfId="18579" xr:uid="{BFD75814-7401-4F6D-A61A-F66E9B84F852}"/>
    <cellStyle name="Normal 2 2 4 4 3" xfId="9562" xr:uid="{00000000-0005-0000-0000-0000570F0000}"/>
    <cellStyle name="Normal 2 2 4 4 3 2" xfId="10265" xr:uid="{00000000-0005-0000-0000-0000580F0000}"/>
    <cellStyle name="Normal 2 2 4 4 3 2 2" xfId="12000" xr:uid="{00000000-0005-0000-0000-0000590F0000}"/>
    <cellStyle name="Normal 2 2 4 4 3 2 2 2" xfId="20749" xr:uid="{0046065B-BA43-4E09-A3E4-415E5E4369B0}"/>
    <cellStyle name="Normal 2 2 4 4 3 2 3" xfId="19386" xr:uid="{5C234601-D08F-47C1-9B08-58F796EC655E}"/>
    <cellStyle name="Normal 2 2 4 4 3 3" xfId="11353" xr:uid="{00000000-0005-0000-0000-00005A0F0000}"/>
    <cellStyle name="Normal 2 2 4 4 3 3 2" xfId="20122" xr:uid="{CFE86D80-E296-4EA8-80FE-54637F65E3BB}"/>
    <cellStyle name="Normal 2 2 4 4 3 4" xfId="18754" xr:uid="{8B93BE5C-E5FF-47EE-84B9-AFD510CA485E}"/>
    <cellStyle name="Normal 2 2 4 4 4" xfId="9968" xr:uid="{00000000-0005-0000-0000-00005B0F0000}"/>
    <cellStyle name="Normal 2 2 4 4 4 2" xfId="11704" xr:uid="{00000000-0005-0000-0000-00005C0F0000}"/>
    <cellStyle name="Normal 2 2 4 4 4 2 2" xfId="20460" xr:uid="{E2ACB070-A354-4D4F-A0E2-3014FD268021}"/>
    <cellStyle name="Normal 2 2 4 4 4 3" xfId="19097" xr:uid="{CF0263EA-03A7-4966-AD56-D34355EC26A6}"/>
    <cellStyle name="Normal 2 2 4 4 5" xfId="10927" xr:uid="{00000000-0005-0000-0000-00005D0F0000}"/>
    <cellStyle name="Normal 2 2 4 4 5 2" xfId="19845" xr:uid="{683F3D2A-0BCE-41F7-AA08-7E0A0B43C088}"/>
    <cellStyle name="Normal 2 2 4 4 6" xfId="18477" xr:uid="{5DD0859E-29A1-4B5A-ACE3-FFCC11C529B0}"/>
    <cellStyle name="Normal 2 2 4 5" xfId="4180" xr:uid="{00000000-0005-0000-0000-00005E0F0000}"/>
    <cellStyle name="Normal 2 2 4 5 2" xfId="9615" xr:uid="{00000000-0005-0000-0000-00005F0F0000}"/>
    <cellStyle name="Normal 2 2 4 5 2 2" xfId="10316" xr:uid="{00000000-0005-0000-0000-0000600F0000}"/>
    <cellStyle name="Normal 2 2 4 5 2 2 2" xfId="12051" xr:uid="{00000000-0005-0000-0000-0000610F0000}"/>
    <cellStyle name="Normal 2 2 4 5 2 2 2 2" xfId="20800" xr:uid="{36198942-9CD4-465C-AC76-613E977EF979}"/>
    <cellStyle name="Normal 2 2 4 5 2 2 3" xfId="19437" xr:uid="{3A0FE15E-F83A-4CF7-B63E-E613D4614DD6}"/>
    <cellStyle name="Normal 2 2 4 5 2 3" xfId="11404" xr:uid="{00000000-0005-0000-0000-0000620F0000}"/>
    <cellStyle name="Normal 2 2 4 5 2 3 2" xfId="20173" xr:uid="{70C70FA6-C00D-4E7B-82C0-22E4A2E23E23}"/>
    <cellStyle name="Normal 2 2 4 5 2 4" xfId="18805" xr:uid="{2B9C9A33-ACA6-4CBD-925F-624C6494D3C2}"/>
    <cellStyle name="Normal 2 2 4 5 3" xfId="10019" xr:uid="{00000000-0005-0000-0000-0000630F0000}"/>
    <cellStyle name="Normal 2 2 4 5 3 2" xfId="11755" xr:uid="{00000000-0005-0000-0000-0000640F0000}"/>
    <cellStyle name="Normal 2 2 4 5 3 2 2" xfId="20511" xr:uid="{A27FB00E-F650-4FC5-9C16-187F46A11449}"/>
    <cellStyle name="Normal 2 2 4 5 3 3" xfId="19148" xr:uid="{E5CB936C-68DD-4E9B-BAE6-1D65D0DAF7E9}"/>
    <cellStyle name="Normal 2 2 4 5 4" xfId="10991" xr:uid="{00000000-0005-0000-0000-0000650F0000}"/>
    <cellStyle name="Normal 2 2 4 5 4 2" xfId="19896" xr:uid="{05989908-5F30-4523-9FBC-AF31881B77FB}"/>
    <cellStyle name="Normal 2 2 4 5 5" xfId="18528" xr:uid="{F3D90A95-EA6B-40FE-AC6E-F8BC78C66F06}"/>
    <cellStyle name="Normal 2 2 4 6" xfId="4321" xr:uid="{00000000-0005-0000-0000-0000660F0000}"/>
    <cellStyle name="Normal 2 2 4 6 2" xfId="9734" xr:uid="{00000000-0005-0000-0000-0000670F0000}"/>
    <cellStyle name="Normal 2 2 4 6 2 2" xfId="10433" xr:uid="{00000000-0005-0000-0000-0000680F0000}"/>
    <cellStyle name="Normal 2 2 4 6 2 2 2" xfId="12168" xr:uid="{00000000-0005-0000-0000-0000690F0000}"/>
    <cellStyle name="Normal 2 2 4 6 2 2 2 2" xfId="20917" xr:uid="{45C16D39-14EB-4780-8441-1FBBD52C2DC4}"/>
    <cellStyle name="Normal 2 2 4 6 2 2 3" xfId="19554" xr:uid="{63ED3DFB-CF2E-4FEA-969C-BE8259CCF768}"/>
    <cellStyle name="Normal 2 2 4 6 2 3" xfId="11521" xr:uid="{00000000-0005-0000-0000-00006A0F0000}"/>
    <cellStyle name="Normal 2 2 4 6 2 3 2" xfId="20290" xr:uid="{5A604DEB-C981-40B6-9423-6632A8CB3316}"/>
    <cellStyle name="Normal 2 2 4 6 2 4" xfId="18922" xr:uid="{C1B03A04-48C2-45A4-B6A1-496634610A52}"/>
    <cellStyle name="Normal 2 2 4 6 3" xfId="10136" xr:uid="{00000000-0005-0000-0000-00006B0F0000}"/>
    <cellStyle name="Normal 2 2 4 6 3 2" xfId="11872" xr:uid="{00000000-0005-0000-0000-00006C0F0000}"/>
    <cellStyle name="Normal 2 2 4 6 3 2 2" xfId="20628" xr:uid="{628F16F5-923B-4FEE-B48E-D4F97326FFC5}"/>
    <cellStyle name="Normal 2 2 4 6 3 3" xfId="19265" xr:uid="{2B4A4FA1-D9BB-4A25-8F0A-0F9826BB11C0}"/>
    <cellStyle name="Normal 2 2 4 6 4" xfId="11127" xr:uid="{00000000-0005-0000-0000-00006D0F0000}"/>
    <cellStyle name="Normal 2 2 4 6 4 2" xfId="20013" xr:uid="{2C5DB28C-F5A3-4CE3-9336-E883A9B05171}"/>
    <cellStyle name="Normal 2 2 4 6 5" xfId="18645" xr:uid="{5E8FF9A6-C1F2-4EE6-96CB-CAC54DCA6BC9}"/>
    <cellStyle name="Normal 2 2 4 7" xfId="7715" xr:uid="{00000000-0005-0000-0000-00006E0F0000}"/>
    <cellStyle name="Normal 2 2 4 8" xfId="14240" xr:uid="{62639379-F4DE-4019-B61A-33B0709389FA}"/>
    <cellStyle name="Normal 2 2 4 8 2" xfId="22435" xr:uid="{EFBF2D95-EBB8-42EC-B2AE-DF94DC75BA32}"/>
    <cellStyle name="Normal 2 2 4 9" xfId="17842" xr:uid="{E0C42FFE-C6C7-4AEC-92F0-8BE1638CF3DF}"/>
    <cellStyle name="Normal 2 2 4 9 2" xfId="24066" xr:uid="{A0931D7A-346E-44D3-ACC3-F109B0ED2A84}"/>
    <cellStyle name="Normal 2 2 4_1.2.b" xfId="16170" xr:uid="{2E225B2D-2A5C-4AAB-9CA8-6C15ED815C86}"/>
    <cellStyle name="Normal 2 2 5" xfId="1331" xr:uid="{00000000-0005-0000-0000-00006F0F0000}"/>
    <cellStyle name="Normal 2 2 5 2" xfId="4148" xr:uid="{00000000-0005-0000-0000-0000700F0000}"/>
    <cellStyle name="Normal 2 2 5 2 2" xfId="4266" xr:uid="{00000000-0005-0000-0000-0000710F0000}"/>
    <cellStyle name="Normal 2 2 5 2 2 2" xfId="9701" xr:uid="{00000000-0005-0000-0000-0000720F0000}"/>
    <cellStyle name="Normal 2 2 5 2 2 2 2" xfId="10402" xr:uid="{00000000-0005-0000-0000-0000730F0000}"/>
    <cellStyle name="Normal 2 2 5 2 2 2 2 2" xfId="12137" xr:uid="{00000000-0005-0000-0000-0000740F0000}"/>
    <cellStyle name="Normal 2 2 5 2 2 2 2 2 2" xfId="20886" xr:uid="{66563D5B-2758-4CBE-8AB2-2166434B4B20}"/>
    <cellStyle name="Normal 2 2 5 2 2 2 2 3" xfId="19523" xr:uid="{AC3CE3C0-6E64-40D2-8951-5BEB821CAE42}"/>
    <cellStyle name="Normal 2 2 5 2 2 2 3" xfId="11490" xr:uid="{00000000-0005-0000-0000-0000750F0000}"/>
    <cellStyle name="Normal 2 2 5 2 2 2 3 2" xfId="20259" xr:uid="{603B0547-1CFF-4A54-BACF-BAD82DAD1C4A}"/>
    <cellStyle name="Normal 2 2 5 2 2 2 4" xfId="18891" xr:uid="{FFB03680-9F33-442F-AD98-8A98848F9D8E}"/>
    <cellStyle name="Normal 2 2 5 2 2 3" xfId="10105" xr:uid="{00000000-0005-0000-0000-0000760F0000}"/>
    <cellStyle name="Normal 2 2 5 2 2 3 2" xfId="11841" xr:uid="{00000000-0005-0000-0000-0000770F0000}"/>
    <cellStyle name="Normal 2 2 5 2 2 3 2 2" xfId="20597" xr:uid="{FDBB24B3-A75B-4E7C-A526-96ED5E219002}"/>
    <cellStyle name="Normal 2 2 5 2 2 3 3" xfId="19234" xr:uid="{4AA5B292-25E4-4995-9EED-3020253F3544}"/>
    <cellStyle name="Normal 2 2 5 2 2 4" xfId="11077" xr:uid="{00000000-0005-0000-0000-0000780F0000}"/>
    <cellStyle name="Normal 2 2 5 2 2 4 2" xfId="19982" xr:uid="{8EC5D715-EC2F-4612-A0EA-88C7D3E54C41}"/>
    <cellStyle name="Normal 2 2 5 2 2 5" xfId="18614" xr:uid="{5C559D24-2803-4DDF-A228-4E584F22F37E}"/>
    <cellStyle name="Normal 2 2 5 2 3" xfId="4215" xr:uid="{00000000-0005-0000-0000-0000790F0000}"/>
    <cellStyle name="Normal 2 2 5 2 3 2" xfId="9650" xr:uid="{00000000-0005-0000-0000-00007A0F0000}"/>
    <cellStyle name="Normal 2 2 5 2 3 2 2" xfId="10351" xr:uid="{00000000-0005-0000-0000-00007B0F0000}"/>
    <cellStyle name="Normal 2 2 5 2 3 2 2 2" xfId="12086" xr:uid="{00000000-0005-0000-0000-00007C0F0000}"/>
    <cellStyle name="Normal 2 2 5 2 3 2 2 2 2" xfId="20835" xr:uid="{312A731F-91AB-4777-A66D-64D0CA4BE5A6}"/>
    <cellStyle name="Normal 2 2 5 2 3 2 2 3" xfId="19472" xr:uid="{1AAFA3B1-81F2-4287-B853-DEAEDC173274}"/>
    <cellStyle name="Normal 2 2 5 2 3 2 3" xfId="11439" xr:uid="{00000000-0005-0000-0000-00007D0F0000}"/>
    <cellStyle name="Normal 2 2 5 2 3 2 3 2" xfId="20208" xr:uid="{A20BCBCA-890B-40FC-B1C6-4A8FD74E73F2}"/>
    <cellStyle name="Normal 2 2 5 2 3 2 4" xfId="18840" xr:uid="{394C1EB1-6A6C-45B6-8031-A58385502CC7}"/>
    <cellStyle name="Normal 2 2 5 2 3 3" xfId="10054" xr:uid="{00000000-0005-0000-0000-00007E0F0000}"/>
    <cellStyle name="Normal 2 2 5 2 3 3 2" xfId="11790" xr:uid="{00000000-0005-0000-0000-00007F0F0000}"/>
    <cellStyle name="Normal 2 2 5 2 3 3 2 2" xfId="20546" xr:uid="{20BC6357-7703-4718-B190-13DCCA1ACFF3}"/>
    <cellStyle name="Normal 2 2 5 2 3 3 3" xfId="19183" xr:uid="{598759F8-DE5D-4313-B9B2-59967CF9A0C3}"/>
    <cellStyle name="Normal 2 2 5 2 3 4" xfId="11026" xr:uid="{00000000-0005-0000-0000-0000800F0000}"/>
    <cellStyle name="Normal 2 2 5 2 3 4 2" xfId="19931" xr:uid="{C750701D-F85D-494D-BD6B-F759C7AF288A}"/>
    <cellStyle name="Normal 2 2 5 2 3 5" xfId="18563" xr:uid="{B3747097-2C8A-49FD-8B3B-D036B1ADC178}"/>
    <cellStyle name="Normal 2 2 5 2 4" xfId="4334" xr:uid="{00000000-0005-0000-0000-0000810F0000}"/>
    <cellStyle name="Normal 2 2 5 2 4 2" xfId="9745" xr:uid="{00000000-0005-0000-0000-0000820F0000}"/>
    <cellStyle name="Normal 2 2 5 2 4 2 2" xfId="10443" xr:uid="{00000000-0005-0000-0000-0000830F0000}"/>
    <cellStyle name="Normal 2 2 5 2 4 2 2 2" xfId="12178" xr:uid="{00000000-0005-0000-0000-0000840F0000}"/>
    <cellStyle name="Normal 2 2 5 2 4 2 2 2 2" xfId="20927" xr:uid="{36A8F7B7-60C6-4FF2-93AB-CDF3D3CA4E41}"/>
    <cellStyle name="Normal 2 2 5 2 4 2 2 3" xfId="19564" xr:uid="{FC3D83C5-5747-4441-86D9-AF264DBCB350}"/>
    <cellStyle name="Normal 2 2 5 2 4 2 3" xfId="11531" xr:uid="{00000000-0005-0000-0000-0000850F0000}"/>
    <cellStyle name="Normal 2 2 5 2 4 2 3 2" xfId="20300" xr:uid="{3697BE6A-9D3D-4E44-82E4-65A307976506}"/>
    <cellStyle name="Normal 2 2 5 2 4 2 4" xfId="18932" xr:uid="{A1D59580-2FA1-484D-8142-35FE3F65C0A7}"/>
    <cellStyle name="Normal 2 2 5 2 4 3" xfId="10146" xr:uid="{00000000-0005-0000-0000-0000860F0000}"/>
    <cellStyle name="Normal 2 2 5 2 4 3 2" xfId="11882" xr:uid="{00000000-0005-0000-0000-0000870F0000}"/>
    <cellStyle name="Normal 2 2 5 2 4 3 2 2" xfId="20638" xr:uid="{A32C8DA8-200E-4198-96FA-E5CC79462755}"/>
    <cellStyle name="Normal 2 2 5 2 4 3 3" xfId="19275" xr:uid="{14136056-CADA-4807-80BA-A51F1902FA8C}"/>
    <cellStyle name="Normal 2 2 5 2 4 4" xfId="11139" xr:uid="{00000000-0005-0000-0000-0000880F0000}"/>
    <cellStyle name="Normal 2 2 5 2 4 4 2" xfId="20023" xr:uid="{773425EE-3B17-4DD3-B0CD-D2F0973D7D56}"/>
    <cellStyle name="Normal 2 2 5 2 4 5" xfId="18655" xr:uid="{A5A93EFC-0D48-40D7-B8A9-7029CAEF8207}"/>
    <cellStyle name="Normal 2 2 5 2 5" xfId="9598" xr:uid="{00000000-0005-0000-0000-0000890F0000}"/>
    <cellStyle name="Normal 2 2 5 2 5 2" xfId="10300" xr:uid="{00000000-0005-0000-0000-00008A0F0000}"/>
    <cellStyle name="Normal 2 2 5 2 5 2 2" xfId="12035" xr:uid="{00000000-0005-0000-0000-00008B0F0000}"/>
    <cellStyle name="Normal 2 2 5 2 5 2 2 2" xfId="20784" xr:uid="{8C6D989D-98ED-45A0-9A76-11C80D537DC2}"/>
    <cellStyle name="Normal 2 2 5 2 5 2 3" xfId="19421" xr:uid="{A9905479-0F35-4BC0-A058-CFE70C80470E}"/>
    <cellStyle name="Normal 2 2 5 2 5 3" xfId="11388" xr:uid="{00000000-0005-0000-0000-00008C0F0000}"/>
    <cellStyle name="Normal 2 2 5 2 5 3 2" xfId="20157" xr:uid="{C721DBCB-A304-4167-8601-8F13225B4D6A}"/>
    <cellStyle name="Normal 2 2 5 2 5 4" xfId="18789" xr:uid="{2210D343-6C1D-4ED7-92E5-2C13355E33BD}"/>
    <cellStyle name="Normal 2 2 5 2 6" xfId="10003" xr:uid="{00000000-0005-0000-0000-00008D0F0000}"/>
    <cellStyle name="Normal 2 2 5 2 6 2" xfId="11739" xr:uid="{00000000-0005-0000-0000-00008E0F0000}"/>
    <cellStyle name="Normal 2 2 5 2 6 2 2" xfId="20495" xr:uid="{CB260445-0205-4943-8E2D-F377256E054C}"/>
    <cellStyle name="Normal 2 2 5 2 6 3" xfId="19132" xr:uid="{752E189A-A26B-4709-BF1B-602693B2CCD2}"/>
    <cellStyle name="Normal 2 2 5 2 7" xfId="10966" xr:uid="{00000000-0005-0000-0000-00008F0F0000}"/>
    <cellStyle name="Normal 2 2 5 2 7 2" xfId="19880" xr:uid="{729E5323-6CC1-4F07-9766-1734845D3770}"/>
    <cellStyle name="Normal 2 2 5 2 8" xfId="18512" xr:uid="{1A8AD4D6-DBE2-40CC-9C06-38EB44CC8BCF}"/>
    <cellStyle name="Normal 2 2 5 3" xfId="4108" xr:uid="{00000000-0005-0000-0000-0000900F0000}"/>
    <cellStyle name="Normal 2 2 5 3 2" xfId="4248" xr:uid="{00000000-0005-0000-0000-0000910F0000}"/>
    <cellStyle name="Normal 2 2 5 3 2 2" xfId="9683" xr:uid="{00000000-0005-0000-0000-0000920F0000}"/>
    <cellStyle name="Normal 2 2 5 3 2 2 2" xfId="10384" xr:uid="{00000000-0005-0000-0000-0000930F0000}"/>
    <cellStyle name="Normal 2 2 5 3 2 2 2 2" xfId="12119" xr:uid="{00000000-0005-0000-0000-0000940F0000}"/>
    <cellStyle name="Normal 2 2 5 3 2 2 2 2 2" xfId="20868" xr:uid="{ECD75539-90DA-42DA-B662-01A7292861F1}"/>
    <cellStyle name="Normal 2 2 5 3 2 2 2 3" xfId="19505" xr:uid="{F21C054C-BF83-49B4-8E8B-B21A088F360F}"/>
    <cellStyle name="Normal 2 2 5 3 2 2 3" xfId="11472" xr:uid="{00000000-0005-0000-0000-0000950F0000}"/>
    <cellStyle name="Normal 2 2 5 3 2 2 3 2" xfId="20241" xr:uid="{874D4B61-54D2-499E-8FE0-3F980CA80E43}"/>
    <cellStyle name="Normal 2 2 5 3 2 2 4" xfId="18873" xr:uid="{5854C652-7953-4693-BE62-50453DF7AB02}"/>
    <cellStyle name="Normal 2 2 5 3 2 3" xfId="10087" xr:uid="{00000000-0005-0000-0000-0000960F0000}"/>
    <cellStyle name="Normal 2 2 5 3 2 3 2" xfId="11823" xr:uid="{00000000-0005-0000-0000-0000970F0000}"/>
    <cellStyle name="Normal 2 2 5 3 2 3 2 2" xfId="20579" xr:uid="{A962E5C1-0FE6-4666-8373-08BBAFB58655}"/>
    <cellStyle name="Normal 2 2 5 3 2 3 3" xfId="19216" xr:uid="{63E0456E-0136-4507-8817-D295628E8A30}"/>
    <cellStyle name="Normal 2 2 5 3 2 4" xfId="11059" xr:uid="{00000000-0005-0000-0000-0000980F0000}"/>
    <cellStyle name="Normal 2 2 5 3 2 4 2" xfId="19964" xr:uid="{1F0B30C8-F40D-462B-B77B-D74406DEE7DF}"/>
    <cellStyle name="Normal 2 2 5 3 2 5" xfId="18596" xr:uid="{81D90670-D035-4BD7-9B8D-D052399E53DD}"/>
    <cellStyle name="Normal 2 2 5 3 3" xfId="4197" xr:uid="{00000000-0005-0000-0000-0000990F0000}"/>
    <cellStyle name="Normal 2 2 5 3 3 2" xfId="9632" xr:uid="{00000000-0005-0000-0000-00009A0F0000}"/>
    <cellStyle name="Normal 2 2 5 3 3 2 2" xfId="10333" xr:uid="{00000000-0005-0000-0000-00009B0F0000}"/>
    <cellStyle name="Normal 2 2 5 3 3 2 2 2" xfId="12068" xr:uid="{00000000-0005-0000-0000-00009C0F0000}"/>
    <cellStyle name="Normal 2 2 5 3 3 2 2 2 2" xfId="20817" xr:uid="{A38B5914-CFA3-430E-A0D7-D240830A731A}"/>
    <cellStyle name="Normal 2 2 5 3 3 2 2 3" xfId="19454" xr:uid="{F1715EA7-5C53-4609-8162-94938C0F967D}"/>
    <cellStyle name="Normal 2 2 5 3 3 2 3" xfId="11421" xr:uid="{00000000-0005-0000-0000-00009D0F0000}"/>
    <cellStyle name="Normal 2 2 5 3 3 2 3 2" xfId="20190" xr:uid="{1405A7A5-A999-487C-AF77-B4A62C349DBC}"/>
    <cellStyle name="Normal 2 2 5 3 3 2 4" xfId="18822" xr:uid="{18112434-74A8-430A-B234-FA0B5A3C6B70}"/>
    <cellStyle name="Normal 2 2 5 3 3 3" xfId="10036" xr:uid="{00000000-0005-0000-0000-00009E0F0000}"/>
    <cellStyle name="Normal 2 2 5 3 3 3 2" xfId="11772" xr:uid="{00000000-0005-0000-0000-00009F0F0000}"/>
    <cellStyle name="Normal 2 2 5 3 3 3 2 2" xfId="20528" xr:uid="{F1DA6E54-D5D1-43CE-9BE8-2B56D12EE48D}"/>
    <cellStyle name="Normal 2 2 5 3 3 3 3" xfId="19165" xr:uid="{BDC93DEB-58D6-44D2-A9C1-E48B72C89083}"/>
    <cellStyle name="Normal 2 2 5 3 3 4" xfId="11008" xr:uid="{00000000-0005-0000-0000-0000A00F0000}"/>
    <cellStyle name="Normal 2 2 5 3 3 4 2" xfId="19913" xr:uid="{F76AB64F-508B-44DA-AFEB-899E004423AB}"/>
    <cellStyle name="Normal 2 2 5 3 3 5" xfId="18545" xr:uid="{B22EF294-B173-4BF1-A3A2-0E08539F3BC2}"/>
    <cellStyle name="Normal 2 2 5 3 4" xfId="9579" xr:uid="{00000000-0005-0000-0000-0000A10F0000}"/>
    <cellStyle name="Normal 2 2 5 3 4 2" xfId="10282" xr:uid="{00000000-0005-0000-0000-0000A20F0000}"/>
    <cellStyle name="Normal 2 2 5 3 4 2 2" xfId="12017" xr:uid="{00000000-0005-0000-0000-0000A30F0000}"/>
    <cellStyle name="Normal 2 2 5 3 4 2 2 2" xfId="20766" xr:uid="{24D77501-F15E-45D0-A714-A5C17C92B84A}"/>
    <cellStyle name="Normal 2 2 5 3 4 2 3" xfId="19403" xr:uid="{94281C53-CD20-45BB-9F22-8A768DB62A9D}"/>
    <cellStyle name="Normal 2 2 5 3 4 3" xfId="11370" xr:uid="{00000000-0005-0000-0000-0000A40F0000}"/>
    <cellStyle name="Normal 2 2 5 3 4 3 2" xfId="20139" xr:uid="{3AC893BE-6F77-406A-BEE6-6B75E566B0F4}"/>
    <cellStyle name="Normal 2 2 5 3 4 4" xfId="18771" xr:uid="{F9255D2D-4596-4A67-A5A7-4AE2DE467320}"/>
    <cellStyle name="Normal 2 2 5 3 5" xfId="9985" xr:uid="{00000000-0005-0000-0000-0000A50F0000}"/>
    <cellStyle name="Normal 2 2 5 3 5 2" xfId="11721" xr:uid="{00000000-0005-0000-0000-0000A60F0000}"/>
    <cellStyle name="Normal 2 2 5 3 5 2 2" xfId="20477" xr:uid="{CD4C2117-08E5-47D2-ADAA-41B4B0083B7E}"/>
    <cellStyle name="Normal 2 2 5 3 5 3" xfId="19114" xr:uid="{61CCBF95-80EB-4A69-80F6-D6E57E3DAC22}"/>
    <cellStyle name="Normal 2 2 5 3 6" xfId="10945" xr:uid="{00000000-0005-0000-0000-0000A70F0000}"/>
    <cellStyle name="Normal 2 2 5 3 6 2" xfId="19862" xr:uid="{92FF54B8-E4A7-4D0D-894B-2EC22BA322AF}"/>
    <cellStyle name="Normal 2 2 5 3 7" xfId="18494" xr:uid="{A0849EF5-33F9-41B2-9516-906F06BB18B5}"/>
    <cellStyle name="Normal 2 2 5 4" xfId="4075" xr:uid="{00000000-0005-0000-0000-0000A80F0000}"/>
    <cellStyle name="Normal 2 2 5 4 2" xfId="4232" xr:uid="{00000000-0005-0000-0000-0000A90F0000}"/>
    <cellStyle name="Normal 2 2 5 4 2 2" xfId="9667" xr:uid="{00000000-0005-0000-0000-0000AA0F0000}"/>
    <cellStyle name="Normal 2 2 5 4 2 2 2" xfId="10368" xr:uid="{00000000-0005-0000-0000-0000AB0F0000}"/>
    <cellStyle name="Normal 2 2 5 4 2 2 2 2" xfId="12103" xr:uid="{00000000-0005-0000-0000-0000AC0F0000}"/>
    <cellStyle name="Normal 2 2 5 4 2 2 2 2 2" xfId="20852" xr:uid="{6FC3D22F-A860-485F-82C2-CA38467BAB0B}"/>
    <cellStyle name="Normal 2 2 5 4 2 2 2 3" xfId="19489" xr:uid="{3C7FA8B4-A5CD-4D88-8F5E-DA1145FD8D8B}"/>
    <cellStyle name="Normal 2 2 5 4 2 2 3" xfId="11456" xr:uid="{00000000-0005-0000-0000-0000AD0F0000}"/>
    <cellStyle name="Normal 2 2 5 4 2 2 3 2" xfId="20225" xr:uid="{AFC78252-A6B9-40C5-AD4C-0A3324DF7F5B}"/>
    <cellStyle name="Normal 2 2 5 4 2 2 4" xfId="18857" xr:uid="{9A64D983-C73E-42A3-B40B-25F68AC153B2}"/>
    <cellStyle name="Normal 2 2 5 4 2 3" xfId="10071" xr:uid="{00000000-0005-0000-0000-0000AE0F0000}"/>
    <cellStyle name="Normal 2 2 5 4 2 3 2" xfId="11807" xr:uid="{00000000-0005-0000-0000-0000AF0F0000}"/>
    <cellStyle name="Normal 2 2 5 4 2 3 2 2" xfId="20563" xr:uid="{C1834111-8341-4A2A-BE4D-C0E5F7FBEFAB}"/>
    <cellStyle name="Normal 2 2 5 4 2 3 3" xfId="19200" xr:uid="{D63EE7C0-883E-4B07-9285-7C3550718C9F}"/>
    <cellStyle name="Normal 2 2 5 4 2 4" xfId="11043" xr:uid="{00000000-0005-0000-0000-0000B00F0000}"/>
    <cellStyle name="Normal 2 2 5 4 2 4 2" xfId="19948" xr:uid="{A04AB946-276E-4332-9A83-1114923F88BC}"/>
    <cellStyle name="Normal 2 2 5 4 2 5" xfId="18580" xr:uid="{8939F706-335B-4AB7-87AD-2BF8271E28DA}"/>
    <cellStyle name="Normal 2 2 5 4 3" xfId="9563" xr:uid="{00000000-0005-0000-0000-0000B10F0000}"/>
    <cellStyle name="Normal 2 2 5 4 3 2" xfId="10266" xr:uid="{00000000-0005-0000-0000-0000B20F0000}"/>
    <cellStyle name="Normal 2 2 5 4 3 2 2" xfId="12001" xr:uid="{00000000-0005-0000-0000-0000B30F0000}"/>
    <cellStyle name="Normal 2 2 5 4 3 2 2 2" xfId="20750" xr:uid="{9DC94DA4-F3AC-42DE-AA0E-473104672478}"/>
    <cellStyle name="Normal 2 2 5 4 3 2 3" xfId="19387" xr:uid="{56B4E58E-070C-4F15-8596-7A003BF70F54}"/>
    <cellStyle name="Normal 2 2 5 4 3 3" xfId="11354" xr:uid="{00000000-0005-0000-0000-0000B40F0000}"/>
    <cellStyle name="Normal 2 2 5 4 3 3 2" xfId="20123" xr:uid="{B9C1279A-9E2E-4434-8D59-3315B2DEE76E}"/>
    <cellStyle name="Normal 2 2 5 4 3 4" xfId="18755" xr:uid="{4E163544-F2EF-4207-B975-70E9E3BC5AC9}"/>
    <cellStyle name="Normal 2 2 5 4 4" xfId="9969" xr:uid="{00000000-0005-0000-0000-0000B50F0000}"/>
    <cellStyle name="Normal 2 2 5 4 4 2" xfId="11705" xr:uid="{00000000-0005-0000-0000-0000B60F0000}"/>
    <cellStyle name="Normal 2 2 5 4 4 2 2" xfId="20461" xr:uid="{17268728-E811-41D3-B2F6-DA142DB6C88B}"/>
    <cellStyle name="Normal 2 2 5 4 4 3" xfId="19098" xr:uid="{4FC4F354-AD03-4D3F-B5B5-81BE357EBE48}"/>
    <cellStyle name="Normal 2 2 5 4 5" xfId="10928" xr:uid="{00000000-0005-0000-0000-0000B70F0000}"/>
    <cellStyle name="Normal 2 2 5 4 5 2" xfId="19846" xr:uid="{A6352BAC-53D6-496B-9F9A-1D60140555BA}"/>
    <cellStyle name="Normal 2 2 5 4 6" xfId="18478" xr:uid="{D001445B-C112-45FC-9C92-5273A8923302}"/>
    <cellStyle name="Normal 2 2 5 5" xfId="4181" xr:uid="{00000000-0005-0000-0000-0000B80F0000}"/>
    <cellStyle name="Normal 2 2 5 5 2" xfId="9616" xr:uid="{00000000-0005-0000-0000-0000B90F0000}"/>
    <cellStyle name="Normal 2 2 5 5 2 2" xfId="10317" xr:uid="{00000000-0005-0000-0000-0000BA0F0000}"/>
    <cellStyle name="Normal 2 2 5 5 2 2 2" xfId="12052" xr:uid="{00000000-0005-0000-0000-0000BB0F0000}"/>
    <cellStyle name="Normal 2 2 5 5 2 2 2 2" xfId="20801" xr:uid="{CBE72246-F6CA-4FC6-876E-A9D6208FBDBE}"/>
    <cellStyle name="Normal 2 2 5 5 2 2 3" xfId="19438" xr:uid="{C0120496-CF7A-4B7F-9722-D9171811B537}"/>
    <cellStyle name="Normal 2 2 5 5 2 3" xfId="11405" xr:uid="{00000000-0005-0000-0000-0000BC0F0000}"/>
    <cellStyle name="Normal 2 2 5 5 2 3 2" xfId="20174" xr:uid="{EE1F25BE-01E5-4E7B-B984-B5F9FD7D73A9}"/>
    <cellStyle name="Normal 2 2 5 5 2 4" xfId="18806" xr:uid="{134CF801-2A49-4494-964F-B10540DE891C}"/>
    <cellStyle name="Normal 2 2 5 5 3" xfId="10020" xr:uid="{00000000-0005-0000-0000-0000BD0F0000}"/>
    <cellStyle name="Normal 2 2 5 5 3 2" xfId="11756" xr:uid="{00000000-0005-0000-0000-0000BE0F0000}"/>
    <cellStyle name="Normal 2 2 5 5 3 2 2" xfId="20512" xr:uid="{96935DB0-DFF6-4986-8C54-FB63954734E7}"/>
    <cellStyle name="Normal 2 2 5 5 3 3" xfId="19149" xr:uid="{C882ACBA-BAAF-4709-AC3E-8BF74AF16DF6}"/>
    <cellStyle name="Normal 2 2 5 5 4" xfId="10992" xr:uid="{00000000-0005-0000-0000-0000BF0F0000}"/>
    <cellStyle name="Normal 2 2 5 5 4 2" xfId="19897" xr:uid="{22177543-27F1-4885-86B2-EE8AC6FA973D}"/>
    <cellStyle name="Normal 2 2 5 5 5" xfId="18529" xr:uid="{EFF0EF78-E7C7-4ABE-8D2B-ABAC4BD8F7F7}"/>
    <cellStyle name="Normal 2 2 5 6" xfId="4295" xr:uid="{00000000-0005-0000-0000-0000C00F0000}"/>
    <cellStyle name="Normal 2 2 5 6 2" xfId="9721" xr:uid="{00000000-0005-0000-0000-0000C10F0000}"/>
    <cellStyle name="Normal 2 2 5 6 2 2" xfId="10421" xr:uid="{00000000-0005-0000-0000-0000C20F0000}"/>
    <cellStyle name="Normal 2 2 5 6 2 2 2" xfId="12156" xr:uid="{00000000-0005-0000-0000-0000C30F0000}"/>
    <cellStyle name="Normal 2 2 5 6 2 2 2 2" xfId="20905" xr:uid="{D2B2F05B-64C0-4F6F-92BA-FF27D4191030}"/>
    <cellStyle name="Normal 2 2 5 6 2 2 3" xfId="19542" xr:uid="{E8D82B2C-F278-48A2-A36B-7B3216FA993C}"/>
    <cellStyle name="Normal 2 2 5 6 2 3" xfId="11509" xr:uid="{00000000-0005-0000-0000-0000C40F0000}"/>
    <cellStyle name="Normal 2 2 5 6 2 3 2" xfId="20278" xr:uid="{9B66ECDD-97AE-4DDF-AC7F-BF8CA523D8A8}"/>
    <cellStyle name="Normal 2 2 5 6 2 4" xfId="18910" xr:uid="{91F194D2-C135-49D5-B61B-70FDE10A50ED}"/>
    <cellStyle name="Normal 2 2 5 6 3" xfId="10124" xr:uid="{00000000-0005-0000-0000-0000C50F0000}"/>
    <cellStyle name="Normal 2 2 5 6 3 2" xfId="11860" xr:uid="{00000000-0005-0000-0000-0000C60F0000}"/>
    <cellStyle name="Normal 2 2 5 6 3 2 2" xfId="20616" xr:uid="{80A085D2-9A2F-4E0E-8295-1E2F83323D18}"/>
    <cellStyle name="Normal 2 2 5 6 3 3" xfId="19253" xr:uid="{3483D59B-7178-447D-9EF7-6EE1B6D440D5}"/>
    <cellStyle name="Normal 2 2 5 6 4" xfId="11104" xr:uid="{00000000-0005-0000-0000-0000C70F0000}"/>
    <cellStyle name="Normal 2 2 5 6 4 2" xfId="20001" xr:uid="{CB206639-5F52-4934-9A93-BDD98C6BA1D0}"/>
    <cellStyle name="Normal 2 2 5 6 5" xfId="18633" xr:uid="{AFE869C5-0898-48FD-8E0B-5ABB957051B9}"/>
    <cellStyle name="Normal 2 2 5 7" xfId="7716" xr:uid="{00000000-0005-0000-0000-0000C80F0000}"/>
    <cellStyle name="Normal 2 2 5 8" xfId="14241" xr:uid="{FF27D771-14FC-4F12-9A90-3DC5275998F8}"/>
    <cellStyle name="Normal 2 2 5 8 2" xfId="22436" xr:uid="{3B038145-7D08-4978-9008-3447A2E26284}"/>
    <cellStyle name="Normal 2 2 5 9" xfId="17843" xr:uid="{FCF7666F-1171-4249-9CC5-05DB88BC2330}"/>
    <cellStyle name="Normal 2 2 5 9 2" xfId="24067" xr:uid="{5A83732E-C85F-4246-8584-D59B5D82810C}"/>
    <cellStyle name="Normal 2 2 5_1.2.b" xfId="16171" xr:uid="{4543D781-8571-44A3-9CA9-7F0A6E81518F}"/>
    <cellStyle name="Normal 2 2 6" xfId="1332" xr:uid="{00000000-0005-0000-0000-0000C90F0000}"/>
    <cellStyle name="Normal 2 2 6 2" xfId="4150" xr:uid="{00000000-0005-0000-0000-0000CA0F0000}"/>
    <cellStyle name="Normal 2 2 6 2 2" xfId="4267" xr:uid="{00000000-0005-0000-0000-0000CB0F0000}"/>
    <cellStyle name="Normal 2 2 6 2 2 2" xfId="9702" xr:uid="{00000000-0005-0000-0000-0000CC0F0000}"/>
    <cellStyle name="Normal 2 2 6 2 2 2 2" xfId="10403" xr:uid="{00000000-0005-0000-0000-0000CD0F0000}"/>
    <cellStyle name="Normal 2 2 6 2 2 2 2 2" xfId="12138" xr:uid="{00000000-0005-0000-0000-0000CE0F0000}"/>
    <cellStyle name="Normal 2 2 6 2 2 2 2 2 2" xfId="20887" xr:uid="{A467D579-2784-4F0F-BA44-A448C0E546CF}"/>
    <cellStyle name="Normal 2 2 6 2 2 2 2 3" xfId="19524" xr:uid="{54CD8D40-CA1B-4AC6-A6F9-D0EE83D49882}"/>
    <cellStyle name="Normal 2 2 6 2 2 2 3" xfId="11491" xr:uid="{00000000-0005-0000-0000-0000CF0F0000}"/>
    <cellStyle name="Normal 2 2 6 2 2 2 3 2" xfId="20260" xr:uid="{0C1270A2-C435-4C8C-A2F6-F31DFAF139DB}"/>
    <cellStyle name="Normal 2 2 6 2 2 2 4" xfId="18892" xr:uid="{64119C36-783D-4913-B1CE-778043DDE0B5}"/>
    <cellStyle name="Normal 2 2 6 2 2 3" xfId="10106" xr:uid="{00000000-0005-0000-0000-0000D00F0000}"/>
    <cellStyle name="Normal 2 2 6 2 2 3 2" xfId="11842" xr:uid="{00000000-0005-0000-0000-0000D10F0000}"/>
    <cellStyle name="Normal 2 2 6 2 2 3 2 2" xfId="20598" xr:uid="{E2576061-C9D1-4005-BF04-FBD50A68013E}"/>
    <cellStyle name="Normal 2 2 6 2 2 3 3" xfId="19235" xr:uid="{3A7BF465-E965-4C4F-AB5D-8DF41806EF90}"/>
    <cellStyle name="Normal 2 2 6 2 2 4" xfId="11078" xr:uid="{00000000-0005-0000-0000-0000D20F0000}"/>
    <cellStyle name="Normal 2 2 6 2 2 4 2" xfId="19983" xr:uid="{C3D07EE1-B6D7-4626-A6AC-A32CC1F34BE6}"/>
    <cellStyle name="Normal 2 2 6 2 2 5" xfId="18615" xr:uid="{A3AACA98-B16F-422F-977A-36CE427F1CA3}"/>
    <cellStyle name="Normal 2 2 6 2 3" xfId="4216" xr:uid="{00000000-0005-0000-0000-0000D30F0000}"/>
    <cellStyle name="Normal 2 2 6 2 3 2" xfId="9651" xr:uid="{00000000-0005-0000-0000-0000D40F0000}"/>
    <cellStyle name="Normal 2 2 6 2 3 2 2" xfId="10352" xr:uid="{00000000-0005-0000-0000-0000D50F0000}"/>
    <cellStyle name="Normal 2 2 6 2 3 2 2 2" xfId="12087" xr:uid="{00000000-0005-0000-0000-0000D60F0000}"/>
    <cellStyle name="Normal 2 2 6 2 3 2 2 2 2" xfId="20836" xr:uid="{5E9088FD-4DA1-4DB1-AC32-9BFB6A5116E9}"/>
    <cellStyle name="Normal 2 2 6 2 3 2 2 3" xfId="19473" xr:uid="{A64768F3-927F-42B4-BCEB-BD559E66B7BD}"/>
    <cellStyle name="Normal 2 2 6 2 3 2 3" xfId="11440" xr:uid="{00000000-0005-0000-0000-0000D70F0000}"/>
    <cellStyle name="Normal 2 2 6 2 3 2 3 2" xfId="20209" xr:uid="{9014928E-A595-4132-AE56-8ABBAAE75EE0}"/>
    <cellStyle name="Normal 2 2 6 2 3 2 4" xfId="18841" xr:uid="{785044FB-ECB4-4B69-8A84-DDF80EB7C33A}"/>
    <cellStyle name="Normal 2 2 6 2 3 3" xfId="10055" xr:uid="{00000000-0005-0000-0000-0000D80F0000}"/>
    <cellStyle name="Normal 2 2 6 2 3 3 2" xfId="11791" xr:uid="{00000000-0005-0000-0000-0000D90F0000}"/>
    <cellStyle name="Normal 2 2 6 2 3 3 2 2" xfId="20547" xr:uid="{EBB47A1F-2C48-470B-AEE6-B334E342243A}"/>
    <cellStyle name="Normal 2 2 6 2 3 3 3" xfId="19184" xr:uid="{62531903-6E94-40F1-AC5D-CF58A8DC7FF0}"/>
    <cellStyle name="Normal 2 2 6 2 3 4" xfId="11027" xr:uid="{00000000-0005-0000-0000-0000DA0F0000}"/>
    <cellStyle name="Normal 2 2 6 2 3 4 2" xfId="19932" xr:uid="{927A381C-50BD-4716-B157-E5E49981B486}"/>
    <cellStyle name="Normal 2 2 6 2 3 5" xfId="18564" xr:uid="{51E7885D-C809-434C-9439-7E389ABDE499}"/>
    <cellStyle name="Normal 2 2 6 2 4" xfId="4343" xr:uid="{00000000-0005-0000-0000-0000DB0F0000}"/>
    <cellStyle name="Normal 2 2 6 2 4 2" xfId="9754" xr:uid="{00000000-0005-0000-0000-0000DC0F0000}"/>
    <cellStyle name="Normal 2 2 6 2 4 2 2" xfId="10452" xr:uid="{00000000-0005-0000-0000-0000DD0F0000}"/>
    <cellStyle name="Normal 2 2 6 2 4 2 2 2" xfId="12187" xr:uid="{00000000-0005-0000-0000-0000DE0F0000}"/>
    <cellStyle name="Normal 2 2 6 2 4 2 2 2 2" xfId="20936" xr:uid="{703DEA91-417E-40A7-907F-393259D9CEE2}"/>
    <cellStyle name="Normal 2 2 6 2 4 2 2 3" xfId="19573" xr:uid="{55702219-12D9-44E8-8DB0-8D89CAB52127}"/>
    <cellStyle name="Normal 2 2 6 2 4 2 3" xfId="11540" xr:uid="{00000000-0005-0000-0000-0000DF0F0000}"/>
    <cellStyle name="Normal 2 2 6 2 4 2 3 2" xfId="20309" xr:uid="{AA5205AA-DE59-4195-836F-529E42311266}"/>
    <cellStyle name="Normal 2 2 6 2 4 2 4" xfId="18941" xr:uid="{536281C1-44DE-4A68-8DB0-2BFF1F340EE1}"/>
    <cellStyle name="Normal 2 2 6 2 4 3" xfId="10155" xr:uid="{00000000-0005-0000-0000-0000E00F0000}"/>
    <cellStyle name="Normal 2 2 6 2 4 3 2" xfId="11891" xr:uid="{00000000-0005-0000-0000-0000E10F0000}"/>
    <cellStyle name="Normal 2 2 6 2 4 3 2 2" xfId="20647" xr:uid="{CC12F969-B380-435A-A063-A53A2511B6E6}"/>
    <cellStyle name="Normal 2 2 6 2 4 3 3" xfId="19284" xr:uid="{C53829AE-92F4-4FFD-8777-E2502285A3C8}"/>
    <cellStyle name="Normal 2 2 6 2 4 4" xfId="11148" xr:uid="{00000000-0005-0000-0000-0000E20F0000}"/>
    <cellStyle name="Normal 2 2 6 2 4 4 2" xfId="20032" xr:uid="{FC881D0C-60BC-4609-B7DE-3FACC629CDE8}"/>
    <cellStyle name="Normal 2 2 6 2 4 5" xfId="18664" xr:uid="{63A13840-777C-4E41-9E19-4FFCF89A4262}"/>
    <cellStyle name="Normal 2 2 6 2 5" xfId="9599" xr:uid="{00000000-0005-0000-0000-0000E30F0000}"/>
    <cellStyle name="Normal 2 2 6 2 5 2" xfId="10301" xr:uid="{00000000-0005-0000-0000-0000E40F0000}"/>
    <cellStyle name="Normal 2 2 6 2 5 2 2" xfId="12036" xr:uid="{00000000-0005-0000-0000-0000E50F0000}"/>
    <cellStyle name="Normal 2 2 6 2 5 2 2 2" xfId="20785" xr:uid="{CBC23638-7C90-4FBB-94BE-D0CB87D921DA}"/>
    <cellStyle name="Normal 2 2 6 2 5 2 3" xfId="19422" xr:uid="{5BDD5DAE-DEA9-4B58-B5EB-3A0A759F496B}"/>
    <cellStyle name="Normal 2 2 6 2 5 3" xfId="11389" xr:uid="{00000000-0005-0000-0000-0000E60F0000}"/>
    <cellStyle name="Normal 2 2 6 2 5 3 2" xfId="20158" xr:uid="{DB5A5A46-77CE-41FC-9F4F-6A9520AB9D63}"/>
    <cellStyle name="Normal 2 2 6 2 5 4" xfId="18790" xr:uid="{D686A68F-FE81-4941-A139-3B414827F3B8}"/>
    <cellStyle name="Normal 2 2 6 2 6" xfId="10004" xr:uid="{00000000-0005-0000-0000-0000E70F0000}"/>
    <cellStyle name="Normal 2 2 6 2 6 2" xfId="11740" xr:uid="{00000000-0005-0000-0000-0000E80F0000}"/>
    <cellStyle name="Normal 2 2 6 2 6 2 2" xfId="20496" xr:uid="{5927B6F4-A75F-4E76-B123-32FEE80491A7}"/>
    <cellStyle name="Normal 2 2 6 2 6 3" xfId="19133" xr:uid="{7F21D5E5-0F0A-4E76-A6F2-1B7DE35C124D}"/>
    <cellStyle name="Normal 2 2 6 2 7" xfId="10967" xr:uid="{00000000-0005-0000-0000-0000E90F0000}"/>
    <cellStyle name="Normal 2 2 6 2 7 2" xfId="19881" xr:uid="{382116C7-E9FE-4297-95EC-B7BD27F18B6B}"/>
    <cellStyle name="Normal 2 2 6 2 8" xfId="18513" xr:uid="{2BF4A1A8-1693-4196-BCD1-32C8CB184C2A}"/>
    <cellStyle name="Normal 2 2 6 3" xfId="4110" xr:uid="{00000000-0005-0000-0000-0000EA0F0000}"/>
    <cellStyle name="Normal 2 2 6 3 2" xfId="4249" xr:uid="{00000000-0005-0000-0000-0000EB0F0000}"/>
    <cellStyle name="Normal 2 2 6 3 2 2" xfId="9684" xr:uid="{00000000-0005-0000-0000-0000EC0F0000}"/>
    <cellStyle name="Normal 2 2 6 3 2 2 2" xfId="10385" xr:uid="{00000000-0005-0000-0000-0000ED0F0000}"/>
    <cellStyle name="Normal 2 2 6 3 2 2 2 2" xfId="12120" xr:uid="{00000000-0005-0000-0000-0000EE0F0000}"/>
    <cellStyle name="Normal 2 2 6 3 2 2 2 2 2" xfId="20869" xr:uid="{75FC6728-B30A-46C3-885A-373435DBE449}"/>
    <cellStyle name="Normal 2 2 6 3 2 2 2 3" xfId="19506" xr:uid="{9BB30CE1-1EFC-478D-8982-87B3BD0856CB}"/>
    <cellStyle name="Normal 2 2 6 3 2 2 3" xfId="11473" xr:uid="{00000000-0005-0000-0000-0000EF0F0000}"/>
    <cellStyle name="Normal 2 2 6 3 2 2 3 2" xfId="20242" xr:uid="{0AB24799-F581-4277-8265-1B9B24DA3E0F}"/>
    <cellStyle name="Normal 2 2 6 3 2 2 4" xfId="18874" xr:uid="{7E4BE53C-BCFB-4F19-AEF7-FDCB5CC6ACE9}"/>
    <cellStyle name="Normal 2 2 6 3 2 3" xfId="10088" xr:uid="{00000000-0005-0000-0000-0000F00F0000}"/>
    <cellStyle name="Normal 2 2 6 3 2 3 2" xfId="11824" xr:uid="{00000000-0005-0000-0000-0000F10F0000}"/>
    <cellStyle name="Normal 2 2 6 3 2 3 2 2" xfId="20580" xr:uid="{99F738B2-AA4E-4DB7-A5E2-857AE7294C60}"/>
    <cellStyle name="Normal 2 2 6 3 2 3 3" xfId="19217" xr:uid="{DFBC9664-D11F-406A-A877-7FABA219CD88}"/>
    <cellStyle name="Normal 2 2 6 3 2 4" xfId="11060" xr:uid="{00000000-0005-0000-0000-0000F20F0000}"/>
    <cellStyle name="Normal 2 2 6 3 2 4 2" xfId="19965" xr:uid="{01B8D33B-AB3E-49DC-924E-4D39C3B3304B}"/>
    <cellStyle name="Normal 2 2 6 3 2 5" xfId="18597" xr:uid="{A3CC1E77-AC3C-48AE-B767-219B1F5B99AF}"/>
    <cellStyle name="Normal 2 2 6 3 3" xfId="4198" xr:uid="{00000000-0005-0000-0000-0000F30F0000}"/>
    <cellStyle name="Normal 2 2 6 3 3 2" xfId="9633" xr:uid="{00000000-0005-0000-0000-0000F40F0000}"/>
    <cellStyle name="Normal 2 2 6 3 3 2 2" xfId="10334" xr:uid="{00000000-0005-0000-0000-0000F50F0000}"/>
    <cellStyle name="Normal 2 2 6 3 3 2 2 2" xfId="12069" xr:uid="{00000000-0005-0000-0000-0000F60F0000}"/>
    <cellStyle name="Normal 2 2 6 3 3 2 2 2 2" xfId="20818" xr:uid="{AC76E43E-649D-49E6-BD7F-AF9372B02D8F}"/>
    <cellStyle name="Normal 2 2 6 3 3 2 2 3" xfId="19455" xr:uid="{74F7D5CF-D561-41CB-910D-1E877D10086F}"/>
    <cellStyle name="Normal 2 2 6 3 3 2 3" xfId="11422" xr:uid="{00000000-0005-0000-0000-0000F70F0000}"/>
    <cellStyle name="Normal 2 2 6 3 3 2 3 2" xfId="20191" xr:uid="{211EF4F0-A581-487B-BC0E-EC54A10FE8EF}"/>
    <cellStyle name="Normal 2 2 6 3 3 2 4" xfId="18823" xr:uid="{4E9B7156-A429-4CD8-94F2-4AF5881E7B63}"/>
    <cellStyle name="Normal 2 2 6 3 3 3" xfId="10037" xr:uid="{00000000-0005-0000-0000-0000F80F0000}"/>
    <cellStyle name="Normal 2 2 6 3 3 3 2" xfId="11773" xr:uid="{00000000-0005-0000-0000-0000F90F0000}"/>
    <cellStyle name="Normal 2 2 6 3 3 3 2 2" xfId="20529" xr:uid="{20005E08-AE67-41D3-963C-036C7F2E8CC3}"/>
    <cellStyle name="Normal 2 2 6 3 3 3 3" xfId="19166" xr:uid="{8BF7D845-43C0-410A-8D83-9456A98916C8}"/>
    <cellStyle name="Normal 2 2 6 3 3 4" xfId="11009" xr:uid="{00000000-0005-0000-0000-0000FA0F0000}"/>
    <cellStyle name="Normal 2 2 6 3 3 4 2" xfId="19914" xr:uid="{DD63F6D9-A4E8-4C50-96AB-408B0262DA23}"/>
    <cellStyle name="Normal 2 2 6 3 3 5" xfId="18546" xr:uid="{B6F8DE95-A4BF-4C32-AFCA-5FB25AFD2F60}"/>
    <cellStyle name="Normal 2 2 6 3 4" xfId="9580" xr:uid="{00000000-0005-0000-0000-0000FB0F0000}"/>
    <cellStyle name="Normal 2 2 6 3 4 2" xfId="10283" xr:uid="{00000000-0005-0000-0000-0000FC0F0000}"/>
    <cellStyle name="Normal 2 2 6 3 4 2 2" xfId="12018" xr:uid="{00000000-0005-0000-0000-0000FD0F0000}"/>
    <cellStyle name="Normal 2 2 6 3 4 2 2 2" xfId="20767" xr:uid="{87340B90-8725-4B64-8844-25BEF14C3829}"/>
    <cellStyle name="Normal 2 2 6 3 4 2 3" xfId="19404" xr:uid="{CDDD8EBD-1761-47A4-B3C0-C43180CF6171}"/>
    <cellStyle name="Normal 2 2 6 3 4 3" xfId="11371" xr:uid="{00000000-0005-0000-0000-0000FE0F0000}"/>
    <cellStyle name="Normal 2 2 6 3 4 3 2" xfId="20140" xr:uid="{955EEF7A-8134-4CD7-851C-285688D80F69}"/>
    <cellStyle name="Normal 2 2 6 3 4 4" xfId="18772" xr:uid="{9C8AA3CD-86ED-4159-8B40-B6D0D06397A7}"/>
    <cellStyle name="Normal 2 2 6 3 5" xfId="9986" xr:uid="{00000000-0005-0000-0000-0000FF0F0000}"/>
    <cellStyle name="Normal 2 2 6 3 5 2" xfId="11722" xr:uid="{00000000-0005-0000-0000-000000100000}"/>
    <cellStyle name="Normal 2 2 6 3 5 2 2" xfId="20478" xr:uid="{3123337F-2198-436A-A484-E3C9D9FE96E7}"/>
    <cellStyle name="Normal 2 2 6 3 5 3" xfId="19115" xr:uid="{EA7415C4-A0A2-460A-8338-3B153090B3FE}"/>
    <cellStyle name="Normal 2 2 6 3 6" xfId="10946" xr:uid="{00000000-0005-0000-0000-000001100000}"/>
    <cellStyle name="Normal 2 2 6 3 6 2" xfId="19863" xr:uid="{F67FE78E-008D-44F3-A1F8-0EEB6DFE457C}"/>
    <cellStyle name="Normal 2 2 6 3 7" xfId="18495" xr:uid="{8F5B7334-F1EA-4D2A-9B6F-2FBD3FFBCEE6}"/>
    <cellStyle name="Normal 2 2 6 4" xfId="4077" xr:uid="{00000000-0005-0000-0000-000002100000}"/>
    <cellStyle name="Normal 2 2 6 4 2" xfId="4233" xr:uid="{00000000-0005-0000-0000-000003100000}"/>
    <cellStyle name="Normal 2 2 6 4 2 2" xfId="9668" xr:uid="{00000000-0005-0000-0000-000004100000}"/>
    <cellStyle name="Normal 2 2 6 4 2 2 2" xfId="10369" xr:uid="{00000000-0005-0000-0000-000005100000}"/>
    <cellStyle name="Normal 2 2 6 4 2 2 2 2" xfId="12104" xr:uid="{00000000-0005-0000-0000-000006100000}"/>
    <cellStyle name="Normal 2 2 6 4 2 2 2 2 2" xfId="20853" xr:uid="{75CA09C5-0A14-4F13-8F62-042F4DE0029C}"/>
    <cellStyle name="Normal 2 2 6 4 2 2 2 3" xfId="19490" xr:uid="{DC038EFE-BF9B-4C5A-88D5-04145571F894}"/>
    <cellStyle name="Normal 2 2 6 4 2 2 3" xfId="11457" xr:uid="{00000000-0005-0000-0000-000007100000}"/>
    <cellStyle name="Normal 2 2 6 4 2 2 3 2" xfId="20226" xr:uid="{3520D24C-8293-4E2D-B93D-E2B977FD8897}"/>
    <cellStyle name="Normal 2 2 6 4 2 2 4" xfId="18858" xr:uid="{18A30C51-2DDD-4DCF-8B04-620F08130651}"/>
    <cellStyle name="Normal 2 2 6 4 2 3" xfId="10072" xr:uid="{00000000-0005-0000-0000-000008100000}"/>
    <cellStyle name="Normal 2 2 6 4 2 3 2" xfId="11808" xr:uid="{00000000-0005-0000-0000-000009100000}"/>
    <cellStyle name="Normal 2 2 6 4 2 3 2 2" xfId="20564" xr:uid="{C71F7E5D-84E7-4951-97A8-E245FBC4700B}"/>
    <cellStyle name="Normal 2 2 6 4 2 3 3" xfId="19201" xr:uid="{9F900570-76E2-4094-BC59-1E57EB5AC9FB}"/>
    <cellStyle name="Normal 2 2 6 4 2 4" xfId="11044" xr:uid="{00000000-0005-0000-0000-00000A100000}"/>
    <cellStyle name="Normal 2 2 6 4 2 4 2" xfId="19949" xr:uid="{28FA85C6-2190-4D67-AAC1-6BD26335F064}"/>
    <cellStyle name="Normal 2 2 6 4 2 5" xfId="18581" xr:uid="{38200C7C-D985-4822-96D2-49E91E530517}"/>
    <cellStyle name="Normal 2 2 6 4 3" xfId="9564" xr:uid="{00000000-0005-0000-0000-00000B100000}"/>
    <cellStyle name="Normal 2 2 6 4 3 2" xfId="10267" xr:uid="{00000000-0005-0000-0000-00000C100000}"/>
    <cellStyle name="Normal 2 2 6 4 3 2 2" xfId="12002" xr:uid="{00000000-0005-0000-0000-00000D100000}"/>
    <cellStyle name="Normal 2 2 6 4 3 2 2 2" xfId="20751" xr:uid="{B50E1381-4308-4212-AF0B-2F17B0E18514}"/>
    <cellStyle name="Normal 2 2 6 4 3 2 3" xfId="19388" xr:uid="{706F23BB-D3F8-44A3-8FFD-9CBE8E8FFE54}"/>
    <cellStyle name="Normal 2 2 6 4 3 3" xfId="11355" xr:uid="{00000000-0005-0000-0000-00000E100000}"/>
    <cellStyle name="Normal 2 2 6 4 3 3 2" xfId="20124" xr:uid="{01B85AF8-E8A4-45B4-A044-629CD65077E0}"/>
    <cellStyle name="Normal 2 2 6 4 3 4" xfId="18756" xr:uid="{D0391D01-EF4E-4D46-8F32-842084A448F5}"/>
    <cellStyle name="Normal 2 2 6 4 4" xfId="9970" xr:uid="{00000000-0005-0000-0000-00000F100000}"/>
    <cellStyle name="Normal 2 2 6 4 4 2" xfId="11706" xr:uid="{00000000-0005-0000-0000-000010100000}"/>
    <cellStyle name="Normal 2 2 6 4 4 2 2" xfId="20462" xr:uid="{76F18C12-31E0-4EBC-B7D0-367DAE85EB00}"/>
    <cellStyle name="Normal 2 2 6 4 4 3" xfId="19099" xr:uid="{2AC4535A-C69A-4957-97F4-C86632ACD184}"/>
    <cellStyle name="Normal 2 2 6 4 5" xfId="10929" xr:uid="{00000000-0005-0000-0000-000011100000}"/>
    <cellStyle name="Normal 2 2 6 4 5 2" xfId="19847" xr:uid="{B8FCDA38-68C2-40AB-A104-B2F06230E623}"/>
    <cellStyle name="Normal 2 2 6 4 6" xfId="18479" xr:uid="{BAFF0132-50E9-4A76-B49C-A7EA8681FD84}"/>
    <cellStyle name="Normal 2 2 6 5" xfId="4182" xr:uid="{00000000-0005-0000-0000-000012100000}"/>
    <cellStyle name="Normal 2 2 6 5 2" xfId="9617" xr:uid="{00000000-0005-0000-0000-000013100000}"/>
    <cellStyle name="Normal 2 2 6 5 2 2" xfId="10318" xr:uid="{00000000-0005-0000-0000-000014100000}"/>
    <cellStyle name="Normal 2 2 6 5 2 2 2" xfId="12053" xr:uid="{00000000-0005-0000-0000-000015100000}"/>
    <cellStyle name="Normal 2 2 6 5 2 2 2 2" xfId="20802" xr:uid="{1AD67412-1FD9-40AB-9EDA-3F198D1DAE02}"/>
    <cellStyle name="Normal 2 2 6 5 2 2 3" xfId="19439" xr:uid="{3F6A9AA3-CCD4-42FC-920E-1C7ED76E50B3}"/>
    <cellStyle name="Normal 2 2 6 5 2 3" xfId="11406" xr:uid="{00000000-0005-0000-0000-000016100000}"/>
    <cellStyle name="Normal 2 2 6 5 2 3 2" xfId="20175" xr:uid="{3EF0ADA0-4247-4DD6-ACE1-2C9FA3ED08D4}"/>
    <cellStyle name="Normal 2 2 6 5 2 4" xfId="18807" xr:uid="{58C9DC3A-722B-4671-9A94-3663D68DA425}"/>
    <cellStyle name="Normal 2 2 6 5 3" xfId="10021" xr:uid="{00000000-0005-0000-0000-000017100000}"/>
    <cellStyle name="Normal 2 2 6 5 3 2" xfId="11757" xr:uid="{00000000-0005-0000-0000-000018100000}"/>
    <cellStyle name="Normal 2 2 6 5 3 2 2" xfId="20513" xr:uid="{C759A88F-4CD8-4126-81DA-1EA55E832E19}"/>
    <cellStyle name="Normal 2 2 6 5 3 3" xfId="19150" xr:uid="{620AAECA-69BC-4FF7-84B1-0DB620009ECF}"/>
    <cellStyle name="Normal 2 2 6 5 4" xfId="10993" xr:uid="{00000000-0005-0000-0000-000019100000}"/>
    <cellStyle name="Normal 2 2 6 5 4 2" xfId="19898" xr:uid="{A2B60659-8F60-4A45-B2D7-DDA29B2F3562}"/>
    <cellStyle name="Normal 2 2 6 5 5" xfId="18530" xr:uid="{8791288E-1FEF-4F87-9829-B4CF43933BAA}"/>
    <cellStyle name="Normal 2 2 6 6" xfId="4325" xr:uid="{00000000-0005-0000-0000-00001A100000}"/>
    <cellStyle name="Normal 2 2 6 6 2" xfId="9738" xr:uid="{00000000-0005-0000-0000-00001B100000}"/>
    <cellStyle name="Normal 2 2 6 6 2 2" xfId="10437" xr:uid="{00000000-0005-0000-0000-00001C100000}"/>
    <cellStyle name="Normal 2 2 6 6 2 2 2" xfId="12172" xr:uid="{00000000-0005-0000-0000-00001D100000}"/>
    <cellStyle name="Normal 2 2 6 6 2 2 2 2" xfId="20921" xr:uid="{DF20A69F-849F-4F2F-B485-4D21031CCCD3}"/>
    <cellStyle name="Normal 2 2 6 6 2 2 3" xfId="19558" xr:uid="{F367A837-16E8-494F-AD6D-52B146C90B8B}"/>
    <cellStyle name="Normal 2 2 6 6 2 3" xfId="11525" xr:uid="{00000000-0005-0000-0000-00001E100000}"/>
    <cellStyle name="Normal 2 2 6 6 2 3 2" xfId="20294" xr:uid="{286CDDBF-653B-49E1-8328-50C65DA50385}"/>
    <cellStyle name="Normal 2 2 6 6 2 4" xfId="18926" xr:uid="{A4F4A1EB-8CF2-4415-B3A0-8BE8BC73E329}"/>
    <cellStyle name="Normal 2 2 6 6 3" xfId="10140" xr:uid="{00000000-0005-0000-0000-00001F100000}"/>
    <cellStyle name="Normal 2 2 6 6 3 2" xfId="11876" xr:uid="{00000000-0005-0000-0000-000020100000}"/>
    <cellStyle name="Normal 2 2 6 6 3 2 2" xfId="20632" xr:uid="{169DC283-3EF9-47B1-B36F-13B2C9D29E37}"/>
    <cellStyle name="Normal 2 2 6 6 3 3" xfId="19269" xr:uid="{A07B2B77-EBBF-4B0D-AF13-5E06CA1E3585}"/>
    <cellStyle name="Normal 2 2 6 6 4" xfId="11131" xr:uid="{00000000-0005-0000-0000-000021100000}"/>
    <cellStyle name="Normal 2 2 6 6 4 2" xfId="20017" xr:uid="{0F59D903-07A3-4CE2-BF27-BF8DC6EDBBD4}"/>
    <cellStyle name="Normal 2 2 6 6 5" xfId="18649" xr:uid="{03A93326-EF4F-4989-B106-AAB1AAD5799B}"/>
    <cellStyle name="Normal 2 2 6 7" xfId="7717" xr:uid="{00000000-0005-0000-0000-000022100000}"/>
    <cellStyle name="Normal 2 2 7" xfId="1333" xr:uid="{00000000-0005-0000-0000-000023100000}"/>
    <cellStyle name="Normal 2 2 7 2" xfId="4152" xr:uid="{00000000-0005-0000-0000-000024100000}"/>
    <cellStyle name="Normal 2 2 7 2 2" xfId="4268" xr:uid="{00000000-0005-0000-0000-000025100000}"/>
    <cellStyle name="Normal 2 2 7 2 2 2" xfId="9703" xr:uid="{00000000-0005-0000-0000-000026100000}"/>
    <cellStyle name="Normal 2 2 7 2 2 2 2" xfId="10404" xr:uid="{00000000-0005-0000-0000-000027100000}"/>
    <cellStyle name="Normal 2 2 7 2 2 2 2 2" xfId="12139" xr:uid="{00000000-0005-0000-0000-000028100000}"/>
    <cellStyle name="Normal 2 2 7 2 2 2 2 2 2" xfId="20888" xr:uid="{FD5544BA-7C04-41A2-BCD9-98CE55EC519C}"/>
    <cellStyle name="Normal 2 2 7 2 2 2 2 3" xfId="19525" xr:uid="{30BD6E2E-B64C-4AB1-921E-5879A24067B4}"/>
    <cellStyle name="Normal 2 2 7 2 2 2 3" xfId="11492" xr:uid="{00000000-0005-0000-0000-000029100000}"/>
    <cellStyle name="Normal 2 2 7 2 2 2 3 2" xfId="20261" xr:uid="{DC6F4B79-3BDC-43A3-804A-D87E1A2773D3}"/>
    <cellStyle name="Normal 2 2 7 2 2 2 4" xfId="18893" xr:uid="{60838BFE-A538-494A-A835-14A110D1CA28}"/>
    <cellStyle name="Normal 2 2 7 2 2 3" xfId="10107" xr:uid="{00000000-0005-0000-0000-00002A100000}"/>
    <cellStyle name="Normal 2 2 7 2 2 3 2" xfId="11843" xr:uid="{00000000-0005-0000-0000-00002B100000}"/>
    <cellStyle name="Normal 2 2 7 2 2 3 2 2" xfId="20599" xr:uid="{692E13F5-49F0-4770-B2CB-0F20E6DDC4EE}"/>
    <cellStyle name="Normal 2 2 7 2 2 3 3" xfId="19236" xr:uid="{C37A3ED9-FDF5-41C4-B749-E9ADE540A266}"/>
    <cellStyle name="Normal 2 2 7 2 2 4" xfId="11079" xr:uid="{00000000-0005-0000-0000-00002C100000}"/>
    <cellStyle name="Normal 2 2 7 2 2 4 2" xfId="19984" xr:uid="{08B849F7-1230-4EDA-B218-828D7CE628C7}"/>
    <cellStyle name="Normal 2 2 7 2 2 5" xfId="18616" xr:uid="{C8EE3C3B-06AB-4FEE-AC03-3FD953AA948B}"/>
    <cellStyle name="Normal 2 2 7 2 3" xfId="4217" xr:uid="{00000000-0005-0000-0000-00002D100000}"/>
    <cellStyle name="Normal 2 2 7 2 3 2" xfId="9652" xr:uid="{00000000-0005-0000-0000-00002E100000}"/>
    <cellStyle name="Normal 2 2 7 2 3 2 2" xfId="10353" xr:uid="{00000000-0005-0000-0000-00002F100000}"/>
    <cellStyle name="Normal 2 2 7 2 3 2 2 2" xfId="12088" xr:uid="{00000000-0005-0000-0000-000030100000}"/>
    <cellStyle name="Normal 2 2 7 2 3 2 2 2 2" xfId="20837" xr:uid="{B459DBA5-79AB-406D-89A4-13E99457D097}"/>
    <cellStyle name="Normal 2 2 7 2 3 2 2 3" xfId="19474" xr:uid="{A1616A73-783C-4E1B-B40E-3185CC554AB7}"/>
    <cellStyle name="Normal 2 2 7 2 3 2 3" xfId="11441" xr:uid="{00000000-0005-0000-0000-000031100000}"/>
    <cellStyle name="Normal 2 2 7 2 3 2 3 2" xfId="20210" xr:uid="{35C914AA-F218-454D-93DE-0E9F9DB5DD0F}"/>
    <cellStyle name="Normal 2 2 7 2 3 2 4" xfId="18842" xr:uid="{968171B7-AEC1-4F07-A882-426FCE31DCC4}"/>
    <cellStyle name="Normal 2 2 7 2 3 3" xfId="10056" xr:uid="{00000000-0005-0000-0000-000032100000}"/>
    <cellStyle name="Normal 2 2 7 2 3 3 2" xfId="11792" xr:uid="{00000000-0005-0000-0000-000033100000}"/>
    <cellStyle name="Normal 2 2 7 2 3 3 2 2" xfId="20548" xr:uid="{8E42CEE7-57DD-4A10-A52A-0ADCC9E93872}"/>
    <cellStyle name="Normal 2 2 7 2 3 3 3" xfId="19185" xr:uid="{AA94C9E9-453D-4FCC-839E-CF98428A59CB}"/>
    <cellStyle name="Normal 2 2 7 2 3 4" xfId="11028" xr:uid="{00000000-0005-0000-0000-000034100000}"/>
    <cellStyle name="Normal 2 2 7 2 3 4 2" xfId="19933" xr:uid="{78E81204-4147-4883-8787-BBC98BCC17B3}"/>
    <cellStyle name="Normal 2 2 7 2 3 5" xfId="18565" xr:uid="{FA2A27FF-E7D7-4C08-97FC-E2ACC36C3159}"/>
    <cellStyle name="Normal 2 2 7 2 4" xfId="4342" xr:uid="{00000000-0005-0000-0000-000035100000}"/>
    <cellStyle name="Normal 2 2 7 2 4 2" xfId="9753" xr:uid="{00000000-0005-0000-0000-000036100000}"/>
    <cellStyle name="Normal 2 2 7 2 4 2 2" xfId="10451" xr:uid="{00000000-0005-0000-0000-000037100000}"/>
    <cellStyle name="Normal 2 2 7 2 4 2 2 2" xfId="12186" xr:uid="{00000000-0005-0000-0000-000038100000}"/>
    <cellStyle name="Normal 2 2 7 2 4 2 2 2 2" xfId="20935" xr:uid="{13EAE0A4-B2CE-4058-B1BB-69C69C5FDD4E}"/>
    <cellStyle name="Normal 2 2 7 2 4 2 2 3" xfId="19572" xr:uid="{4E9D4C25-FDFA-4D34-91E2-C3C7CBDED162}"/>
    <cellStyle name="Normal 2 2 7 2 4 2 3" xfId="11539" xr:uid="{00000000-0005-0000-0000-000039100000}"/>
    <cellStyle name="Normal 2 2 7 2 4 2 3 2" xfId="20308" xr:uid="{2B3ACEFB-D089-4951-8BCF-6ECE3404D5B9}"/>
    <cellStyle name="Normal 2 2 7 2 4 2 4" xfId="18940" xr:uid="{3F4558B0-9229-478B-B80D-E13441DFC75B}"/>
    <cellStyle name="Normal 2 2 7 2 4 3" xfId="10154" xr:uid="{00000000-0005-0000-0000-00003A100000}"/>
    <cellStyle name="Normal 2 2 7 2 4 3 2" xfId="11890" xr:uid="{00000000-0005-0000-0000-00003B100000}"/>
    <cellStyle name="Normal 2 2 7 2 4 3 2 2" xfId="20646" xr:uid="{9F92BB9D-B1AD-424B-85A2-7FEF47442255}"/>
    <cellStyle name="Normal 2 2 7 2 4 3 3" xfId="19283" xr:uid="{2E9B8D41-F793-4EAF-B467-CC1C6D8FCF1E}"/>
    <cellStyle name="Normal 2 2 7 2 4 4" xfId="11147" xr:uid="{00000000-0005-0000-0000-00003C100000}"/>
    <cellStyle name="Normal 2 2 7 2 4 4 2" xfId="20031" xr:uid="{6BD6176F-AD8D-45A2-885E-8F6E0F323495}"/>
    <cellStyle name="Normal 2 2 7 2 4 5" xfId="18663" xr:uid="{AFD3CB12-D91D-45A3-88A9-5E8F675B3C63}"/>
    <cellStyle name="Normal 2 2 7 2 5" xfId="9600" xr:uid="{00000000-0005-0000-0000-00003D100000}"/>
    <cellStyle name="Normal 2 2 7 2 5 2" xfId="10302" xr:uid="{00000000-0005-0000-0000-00003E100000}"/>
    <cellStyle name="Normal 2 2 7 2 5 2 2" xfId="12037" xr:uid="{00000000-0005-0000-0000-00003F100000}"/>
    <cellStyle name="Normal 2 2 7 2 5 2 2 2" xfId="20786" xr:uid="{7ECF059F-95B6-4B16-8A30-B8F45798EC9D}"/>
    <cellStyle name="Normal 2 2 7 2 5 2 3" xfId="19423" xr:uid="{E72CAB7E-0D9B-4A90-B5B9-E7931CCCC54D}"/>
    <cellStyle name="Normal 2 2 7 2 5 3" xfId="11390" xr:uid="{00000000-0005-0000-0000-000040100000}"/>
    <cellStyle name="Normal 2 2 7 2 5 3 2" xfId="20159" xr:uid="{1F5B8F67-C814-4517-BDAC-6A27D0462929}"/>
    <cellStyle name="Normal 2 2 7 2 5 4" xfId="18791" xr:uid="{F70D1597-0E5D-40CE-ABE7-DDA86B7011C2}"/>
    <cellStyle name="Normal 2 2 7 2 6" xfId="10005" xr:uid="{00000000-0005-0000-0000-000041100000}"/>
    <cellStyle name="Normal 2 2 7 2 6 2" xfId="11741" xr:uid="{00000000-0005-0000-0000-000042100000}"/>
    <cellStyle name="Normal 2 2 7 2 6 2 2" xfId="20497" xr:uid="{E67CD21A-E46C-4D46-92D0-55A3C6080CB5}"/>
    <cellStyle name="Normal 2 2 7 2 6 3" xfId="19134" xr:uid="{D4D4D313-0BF4-44AB-AEDD-47287C808BAB}"/>
    <cellStyle name="Normal 2 2 7 2 7" xfId="10968" xr:uid="{00000000-0005-0000-0000-000043100000}"/>
    <cellStyle name="Normal 2 2 7 2 7 2" xfId="19882" xr:uid="{7B2BAD8D-4DA1-42B0-878B-2DC63E4310FB}"/>
    <cellStyle name="Normal 2 2 7 2 8" xfId="18514" xr:uid="{41E32305-D5D8-405A-87CB-5D1AD875ADCA}"/>
    <cellStyle name="Normal 2 2 7 3" xfId="4112" xr:uid="{00000000-0005-0000-0000-000044100000}"/>
    <cellStyle name="Normal 2 2 7 3 2" xfId="4250" xr:uid="{00000000-0005-0000-0000-000045100000}"/>
    <cellStyle name="Normal 2 2 7 3 2 2" xfId="9685" xr:uid="{00000000-0005-0000-0000-000046100000}"/>
    <cellStyle name="Normal 2 2 7 3 2 2 2" xfId="10386" xr:uid="{00000000-0005-0000-0000-000047100000}"/>
    <cellStyle name="Normal 2 2 7 3 2 2 2 2" xfId="12121" xr:uid="{00000000-0005-0000-0000-000048100000}"/>
    <cellStyle name="Normal 2 2 7 3 2 2 2 2 2" xfId="20870" xr:uid="{10D63BE2-4DBD-4C17-B547-5933446FEC28}"/>
    <cellStyle name="Normal 2 2 7 3 2 2 2 3" xfId="19507" xr:uid="{8209A7AD-B4C6-4C57-871B-CFBB2ABE20B3}"/>
    <cellStyle name="Normal 2 2 7 3 2 2 3" xfId="11474" xr:uid="{00000000-0005-0000-0000-000049100000}"/>
    <cellStyle name="Normal 2 2 7 3 2 2 3 2" xfId="20243" xr:uid="{7EEFE951-DC0D-4AEF-AB8C-292BE428F397}"/>
    <cellStyle name="Normal 2 2 7 3 2 2 4" xfId="18875" xr:uid="{3603B8FC-B705-42EF-BEDA-FE518A4F24FA}"/>
    <cellStyle name="Normal 2 2 7 3 2 3" xfId="10089" xr:uid="{00000000-0005-0000-0000-00004A100000}"/>
    <cellStyle name="Normal 2 2 7 3 2 3 2" xfId="11825" xr:uid="{00000000-0005-0000-0000-00004B100000}"/>
    <cellStyle name="Normal 2 2 7 3 2 3 2 2" xfId="20581" xr:uid="{965B1F13-5D16-4FF3-9CCF-683F6D09AAF7}"/>
    <cellStyle name="Normal 2 2 7 3 2 3 3" xfId="19218" xr:uid="{B6C42742-6C31-43F3-A500-9E2079C23296}"/>
    <cellStyle name="Normal 2 2 7 3 2 4" xfId="11061" xr:uid="{00000000-0005-0000-0000-00004C100000}"/>
    <cellStyle name="Normal 2 2 7 3 2 4 2" xfId="19966" xr:uid="{17C9ED67-D0F3-4705-B6F1-A614E57FA88A}"/>
    <cellStyle name="Normal 2 2 7 3 2 5" xfId="18598" xr:uid="{03E2BCA8-C2FA-4103-B0FA-CC744DD3D971}"/>
    <cellStyle name="Normal 2 2 7 3 3" xfId="4199" xr:uid="{00000000-0005-0000-0000-00004D100000}"/>
    <cellStyle name="Normal 2 2 7 3 3 2" xfId="9634" xr:uid="{00000000-0005-0000-0000-00004E100000}"/>
    <cellStyle name="Normal 2 2 7 3 3 2 2" xfId="10335" xr:uid="{00000000-0005-0000-0000-00004F100000}"/>
    <cellStyle name="Normal 2 2 7 3 3 2 2 2" xfId="12070" xr:uid="{00000000-0005-0000-0000-000050100000}"/>
    <cellStyle name="Normal 2 2 7 3 3 2 2 2 2" xfId="20819" xr:uid="{6053EC15-6224-4B40-905A-863AA7DDF08F}"/>
    <cellStyle name="Normal 2 2 7 3 3 2 2 3" xfId="19456" xr:uid="{3E0BCA54-0606-4F29-A4F3-A50A1518A3DC}"/>
    <cellStyle name="Normal 2 2 7 3 3 2 3" xfId="11423" xr:uid="{00000000-0005-0000-0000-000051100000}"/>
    <cellStyle name="Normal 2 2 7 3 3 2 3 2" xfId="20192" xr:uid="{A24D91CE-A0E9-416D-B264-8B2BDBB6F18C}"/>
    <cellStyle name="Normal 2 2 7 3 3 2 4" xfId="18824" xr:uid="{EE6F4751-36E6-46C5-8045-22A03546E318}"/>
    <cellStyle name="Normal 2 2 7 3 3 3" xfId="10038" xr:uid="{00000000-0005-0000-0000-000052100000}"/>
    <cellStyle name="Normal 2 2 7 3 3 3 2" xfId="11774" xr:uid="{00000000-0005-0000-0000-000053100000}"/>
    <cellStyle name="Normal 2 2 7 3 3 3 2 2" xfId="20530" xr:uid="{F1705415-54B5-43FD-BB01-DBCCA7793809}"/>
    <cellStyle name="Normal 2 2 7 3 3 3 3" xfId="19167" xr:uid="{EACF4BDF-354B-4FCC-83AE-2969BEE912A6}"/>
    <cellStyle name="Normal 2 2 7 3 3 4" xfId="11010" xr:uid="{00000000-0005-0000-0000-000054100000}"/>
    <cellStyle name="Normal 2 2 7 3 3 4 2" xfId="19915" xr:uid="{D0AC589C-8319-47F4-A7BC-06D02DEC3E2B}"/>
    <cellStyle name="Normal 2 2 7 3 3 5" xfId="18547" xr:uid="{07C3460A-9476-4A7E-8E8A-1852F4A47FB1}"/>
    <cellStyle name="Normal 2 2 7 3 4" xfId="9581" xr:uid="{00000000-0005-0000-0000-000055100000}"/>
    <cellStyle name="Normal 2 2 7 3 4 2" xfId="10284" xr:uid="{00000000-0005-0000-0000-000056100000}"/>
    <cellStyle name="Normal 2 2 7 3 4 2 2" xfId="12019" xr:uid="{00000000-0005-0000-0000-000057100000}"/>
    <cellStyle name="Normal 2 2 7 3 4 2 2 2" xfId="20768" xr:uid="{6352E9A9-FE46-44FB-999A-F1A62908A4DE}"/>
    <cellStyle name="Normal 2 2 7 3 4 2 3" xfId="19405" xr:uid="{67263A36-8056-456E-8E9C-49E2E589B20C}"/>
    <cellStyle name="Normal 2 2 7 3 4 3" xfId="11372" xr:uid="{00000000-0005-0000-0000-000058100000}"/>
    <cellStyle name="Normal 2 2 7 3 4 3 2" xfId="20141" xr:uid="{0B436A61-B4BC-4A21-9333-F65FE9F4045D}"/>
    <cellStyle name="Normal 2 2 7 3 4 4" xfId="18773" xr:uid="{2BE3EFA3-C72E-44AD-9CDF-E49D19211468}"/>
    <cellStyle name="Normal 2 2 7 3 5" xfId="9987" xr:uid="{00000000-0005-0000-0000-000059100000}"/>
    <cellStyle name="Normal 2 2 7 3 5 2" xfId="11723" xr:uid="{00000000-0005-0000-0000-00005A100000}"/>
    <cellStyle name="Normal 2 2 7 3 5 2 2" xfId="20479" xr:uid="{D254735F-0942-4B32-816E-9AE52D22C832}"/>
    <cellStyle name="Normal 2 2 7 3 5 3" xfId="19116" xr:uid="{29ADCBA4-F7B0-4F3C-9208-DB42C5E5C89A}"/>
    <cellStyle name="Normal 2 2 7 3 6" xfId="10947" xr:uid="{00000000-0005-0000-0000-00005B100000}"/>
    <cellStyle name="Normal 2 2 7 3 6 2" xfId="19864" xr:uid="{682594C1-FB88-47C2-8A80-012D8B77691E}"/>
    <cellStyle name="Normal 2 2 7 3 7" xfId="18496" xr:uid="{86B57D43-7CA3-4E60-9E02-8864F5494F7B}"/>
    <cellStyle name="Normal 2 2 7 4" xfId="4079" xr:uid="{00000000-0005-0000-0000-00005C100000}"/>
    <cellStyle name="Normal 2 2 7 4 2" xfId="4234" xr:uid="{00000000-0005-0000-0000-00005D100000}"/>
    <cellStyle name="Normal 2 2 7 4 2 2" xfId="9669" xr:uid="{00000000-0005-0000-0000-00005E100000}"/>
    <cellStyle name="Normal 2 2 7 4 2 2 2" xfId="10370" xr:uid="{00000000-0005-0000-0000-00005F100000}"/>
    <cellStyle name="Normal 2 2 7 4 2 2 2 2" xfId="12105" xr:uid="{00000000-0005-0000-0000-000060100000}"/>
    <cellStyle name="Normal 2 2 7 4 2 2 2 2 2" xfId="20854" xr:uid="{A38F9D93-007F-4D20-9464-80D6C225B4BE}"/>
    <cellStyle name="Normal 2 2 7 4 2 2 2 3" xfId="19491" xr:uid="{8FD53730-C266-4725-B403-A7C8B0351B92}"/>
    <cellStyle name="Normal 2 2 7 4 2 2 3" xfId="11458" xr:uid="{00000000-0005-0000-0000-000061100000}"/>
    <cellStyle name="Normal 2 2 7 4 2 2 3 2" xfId="20227" xr:uid="{C2056D49-59B4-459C-A1B7-159447F78E73}"/>
    <cellStyle name="Normal 2 2 7 4 2 2 4" xfId="18859" xr:uid="{2659251B-4EDF-4A2D-93A3-C138B7053406}"/>
    <cellStyle name="Normal 2 2 7 4 2 3" xfId="10073" xr:uid="{00000000-0005-0000-0000-000062100000}"/>
    <cellStyle name="Normal 2 2 7 4 2 3 2" xfId="11809" xr:uid="{00000000-0005-0000-0000-000063100000}"/>
    <cellStyle name="Normal 2 2 7 4 2 3 2 2" xfId="20565" xr:uid="{481DCA33-DFBA-420A-A72F-9B79FECC8540}"/>
    <cellStyle name="Normal 2 2 7 4 2 3 3" xfId="19202" xr:uid="{0BE676E1-A37C-47B4-8F27-23A806CED0AC}"/>
    <cellStyle name="Normal 2 2 7 4 2 4" xfId="11045" xr:uid="{00000000-0005-0000-0000-000064100000}"/>
    <cellStyle name="Normal 2 2 7 4 2 4 2" xfId="19950" xr:uid="{8FFF8649-65F4-497E-A95A-2B259F560143}"/>
    <cellStyle name="Normal 2 2 7 4 2 5" xfId="18582" xr:uid="{14FD6B03-8867-4044-B417-8DBF60472609}"/>
    <cellStyle name="Normal 2 2 7 4 3" xfId="9565" xr:uid="{00000000-0005-0000-0000-000065100000}"/>
    <cellStyle name="Normal 2 2 7 4 3 2" xfId="10268" xr:uid="{00000000-0005-0000-0000-000066100000}"/>
    <cellStyle name="Normal 2 2 7 4 3 2 2" xfId="12003" xr:uid="{00000000-0005-0000-0000-000067100000}"/>
    <cellStyle name="Normal 2 2 7 4 3 2 2 2" xfId="20752" xr:uid="{0B9EA669-1A0E-42CA-8B81-F83272E5F3F9}"/>
    <cellStyle name="Normal 2 2 7 4 3 2 3" xfId="19389" xr:uid="{23E6778A-6E46-410B-B92B-7F09A686577B}"/>
    <cellStyle name="Normal 2 2 7 4 3 3" xfId="11356" xr:uid="{00000000-0005-0000-0000-000068100000}"/>
    <cellStyle name="Normal 2 2 7 4 3 3 2" xfId="20125" xr:uid="{6F212A20-F027-4915-A7D1-6D4845628586}"/>
    <cellStyle name="Normal 2 2 7 4 3 4" xfId="18757" xr:uid="{0D35FDDD-D85E-436A-B432-E666BCD2ACA7}"/>
    <cellStyle name="Normal 2 2 7 4 4" xfId="9971" xr:uid="{00000000-0005-0000-0000-000069100000}"/>
    <cellStyle name="Normal 2 2 7 4 4 2" xfId="11707" xr:uid="{00000000-0005-0000-0000-00006A100000}"/>
    <cellStyle name="Normal 2 2 7 4 4 2 2" xfId="20463" xr:uid="{B9F706FD-0F9F-426F-AE5F-E4CA844E26B2}"/>
    <cellStyle name="Normal 2 2 7 4 4 3" xfId="19100" xr:uid="{60EAB451-B3A3-46CE-B5C9-9EE1525A418C}"/>
    <cellStyle name="Normal 2 2 7 4 5" xfId="10930" xr:uid="{00000000-0005-0000-0000-00006B100000}"/>
    <cellStyle name="Normal 2 2 7 4 5 2" xfId="19848" xr:uid="{8267E37C-C0C0-4021-8EC9-0D699318B4E7}"/>
    <cellStyle name="Normal 2 2 7 4 6" xfId="18480" xr:uid="{16270B9D-9F6C-465E-A102-B3670789C72E}"/>
    <cellStyle name="Normal 2 2 7 5" xfId="4183" xr:uid="{00000000-0005-0000-0000-00006C100000}"/>
    <cellStyle name="Normal 2 2 7 5 2" xfId="9618" xr:uid="{00000000-0005-0000-0000-00006D100000}"/>
    <cellStyle name="Normal 2 2 7 5 2 2" xfId="10319" xr:uid="{00000000-0005-0000-0000-00006E100000}"/>
    <cellStyle name="Normal 2 2 7 5 2 2 2" xfId="12054" xr:uid="{00000000-0005-0000-0000-00006F100000}"/>
    <cellStyle name="Normal 2 2 7 5 2 2 2 2" xfId="20803" xr:uid="{32D5E6AE-205B-4A4B-9F06-2713B91004DB}"/>
    <cellStyle name="Normal 2 2 7 5 2 2 3" xfId="19440" xr:uid="{D24410F7-0258-4A67-8316-89FE36580E6A}"/>
    <cellStyle name="Normal 2 2 7 5 2 3" xfId="11407" xr:uid="{00000000-0005-0000-0000-000070100000}"/>
    <cellStyle name="Normal 2 2 7 5 2 3 2" xfId="20176" xr:uid="{5C0C4579-D491-4E31-B991-0E7293E0C4A3}"/>
    <cellStyle name="Normal 2 2 7 5 2 4" xfId="18808" xr:uid="{0D13ACA7-9F08-4B11-90F6-3F7062DD808A}"/>
    <cellStyle name="Normal 2 2 7 5 3" xfId="10022" xr:uid="{00000000-0005-0000-0000-000071100000}"/>
    <cellStyle name="Normal 2 2 7 5 3 2" xfId="11758" xr:uid="{00000000-0005-0000-0000-000072100000}"/>
    <cellStyle name="Normal 2 2 7 5 3 2 2" xfId="20514" xr:uid="{BB0F2D26-9AC2-477D-ADF3-8A3263BB2F2E}"/>
    <cellStyle name="Normal 2 2 7 5 3 3" xfId="19151" xr:uid="{E526A084-352E-43F8-90F1-F4112FBBD111}"/>
    <cellStyle name="Normal 2 2 7 5 4" xfId="10994" xr:uid="{00000000-0005-0000-0000-000073100000}"/>
    <cellStyle name="Normal 2 2 7 5 4 2" xfId="19899" xr:uid="{4B303796-C8EE-4ACB-A1F1-87638EB11C34}"/>
    <cellStyle name="Normal 2 2 7 5 5" xfId="18531" xr:uid="{E9D13111-369D-4067-B9E5-1B0DA91E6CED}"/>
    <cellStyle name="Normal 2 2 7 6" xfId="4324" xr:uid="{00000000-0005-0000-0000-000074100000}"/>
    <cellStyle name="Normal 2 2 7 6 2" xfId="9737" xr:uid="{00000000-0005-0000-0000-000075100000}"/>
    <cellStyle name="Normal 2 2 7 6 2 2" xfId="10436" xr:uid="{00000000-0005-0000-0000-000076100000}"/>
    <cellStyle name="Normal 2 2 7 6 2 2 2" xfId="12171" xr:uid="{00000000-0005-0000-0000-000077100000}"/>
    <cellStyle name="Normal 2 2 7 6 2 2 2 2" xfId="20920" xr:uid="{1BB9485B-3C15-43EF-BFF9-F8B837D76FEB}"/>
    <cellStyle name="Normal 2 2 7 6 2 2 3" xfId="19557" xr:uid="{502E5F56-2273-4EDF-A88E-4161B6268F62}"/>
    <cellStyle name="Normal 2 2 7 6 2 3" xfId="11524" xr:uid="{00000000-0005-0000-0000-000078100000}"/>
    <cellStyle name="Normal 2 2 7 6 2 3 2" xfId="20293" xr:uid="{483B60FB-BF63-4711-865A-F676C4CF735F}"/>
    <cellStyle name="Normal 2 2 7 6 2 4" xfId="18925" xr:uid="{E61240B7-F3A5-4266-AA16-A908CCC68AA1}"/>
    <cellStyle name="Normal 2 2 7 6 3" xfId="10139" xr:uid="{00000000-0005-0000-0000-000079100000}"/>
    <cellStyle name="Normal 2 2 7 6 3 2" xfId="11875" xr:uid="{00000000-0005-0000-0000-00007A100000}"/>
    <cellStyle name="Normal 2 2 7 6 3 2 2" xfId="20631" xr:uid="{2DC73367-C273-43FE-80F0-9A28C5F93925}"/>
    <cellStyle name="Normal 2 2 7 6 3 3" xfId="19268" xr:uid="{02D1E258-1400-4193-BDA7-4B000BEB20FF}"/>
    <cellStyle name="Normal 2 2 7 6 4" xfId="11130" xr:uid="{00000000-0005-0000-0000-00007B100000}"/>
    <cellStyle name="Normal 2 2 7 6 4 2" xfId="20016" xr:uid="{891A932A-E0E3-471E-8DF2-08BD3CFD1D17}"/>
    <cellStyle name="Normal 2 2 7 6 5" xfId="18648" xr:uid="{EAAD8854-C7C8-4DCA-B844-5F0ADEB23360}"/>
    <cellStyle name="Normal 2 2 7 7" xfId="7718" xr:uid="{00000000-0005-0000-0000-00007C100000}"/>
    <cellStyle name="Normal 2 2 8" xfId="1334" xr:uid="{00000000-0005-0000-0000-00007D100000}"/>
    <cellStyle name="Normal 2 2 8 2" xfId="4154" xr:uid="{00000000-0005-0000-0000-00007E100000}"/>
    <cellStyle name="Normal 2 2 8 2 2" xfId="4269" xr:uid="{00000000-0005-0000-0000-00007F100000}"/>
    <cellStyle name="Normal 2 2 8 2 2 2" xfId="9704" xr:uid="{00000000-0005-0000-0000-000080100000}"/>
    <cellStyle name="Normal 2 2 8 2 2 2 2" xfId="10405" xr:uid="{00000000-0005-0000-0000-000081100000}"/>
    <cellStyle name="Normal 2 2 8 2 2 2 2 2" xfId="12140" xr:uid="{00000000-0005-0000-0000-000082100000}"/>
    <cellStyle name="Normal 2 2 8 2 2 2 2 2 2" xfId="20889" xr:uid="{D99A3B46-E2A2-429D-BFBB-E3FA48F4AE8D}"/>
    <cellStyle name="Normal 2 2 8 2 2 2 2 3" xfId="19526" xr:uid="{F8507239-D109-44E5-805E-2E3223DC4D0E}"/>
    <cellStyle name="Normal 2 2 8 2 2 2 3" xfId="11493" xr:uid="{00000000-0005-0000-0000-000083100000}"/>
    <cellStyle name="Normal 2 2 8 2 2 2 3 2" xfId="20262" xr:uid="{5977D206-F4CB-4D7B-A92B-DE4167BBD7DE}"/>
    <cellStyle name="Normal 2 2 8 2 2 2 4" xfId="18894" xr:uid="{2B4821B5-5501-4083-8481-8E77713AE07E}"/>
    <cellStyle name="Normal 2 2 8 2 2 3" xfId="10108" xr:uid="{00000000-0005-0000-0000-000084100000}"/>
    <cellStyle name="Normal 2 2 8 2 2 3 2" xfId="11844" xr:uid="{00000000-0005-0000-0000-000085100000}"/>
    <cellStyle name="Normal 2 2 8 2 2 3 2 2" xfId="20600" xr:uid="{B2CBE665-82CF-4E6F-9BA1-2A2C5C3268B0}"/>
    <cellStyle name="Normal 2 2 8 2 2 3 3" xfId="19237" xr:uid="{C59C16B7-D0AF-40C9-BA99-D9BC3AF2E4F6}"/>
    <cellStyle name="Normal 2 2 8 2 2 4" xfId="11080" xr:uid="{00000000-0005-0000-0000-000086100000}"/>
    <cellStyle name="Normal 2 2 8 2 2 4 2" xfId="19985" xr:uid="{80FFC90F-21C1-4B92-9B3F-15BEC4B8775F}"/>
    <cellStyle name="Normal 2 2 8 2 2 5" xfId="18617" xr:uid="{DF1EC498-8CE0-4901-8BFC-DE171AF0D476}"/>
    <cellStyle name="Normal 2 2 8 2 3" xfId="4218" xr:uid="{00000000-0005-0000-0000-000087100000}"/>
    <cellStyle name="Normal 2 2 8 2 3 2" xfId="9653" xr:uid="{00000000-0005-0000-0000-000088100000}"/>
    <cellStyle name="Normal 2 2 8 2 3 2 2" xfId="10354" xr:uid="{00000000-0005-0000-0000-000089100000}"/>
    <cellStyle name="Normal 2 2 8 2 3 2 2 2" xfId="12089" xr:uid="{00000000-0005-0000-0000-00008A100000}"/>
    <cellStyle name="Normal 2 2 8 2 3 2 2 2 2" xfId="20838" xr:uid="{9414D9A5-191D-4DB5-A78C-3018C796D6F0}"/>
    <cellStyle name="Normal 2 2 8 2 3 2 2 3" xfId="19475" xr:uid="{01F953B7-4059-44CA-9029-C5AE137324D3}"/>
    <cellStyle name="Normal 2 2 8 2 3 2 3" xfId="11442" xr:uid="{00000000-0005-0000-0000-00008B100000}"/>
    <cellStyle name="Normal 2 2 8 2 3 2 3 2" xfId="20211" xr:uid="{80C55AF9-23E8-4F75-B96F-97A4A6E8CDD9}"/>
    <cellStyle name="Normal 2 2 8 2 3 2 4" xfId="18843" xr:uid="{12A13EC4-94B0-400F-BF85-4BF5D6A36108}"/>
    <cellStyle name="Normal 2 2 8 2 3 3" xfId="10057" xr:uid="{00000000-0005-0000-0000-00008C100000}"/>
    <cellStyle name="Normal 2 2 8 2 3 3 2" xfId="11793" xr:uid="{00000000-0005-0000-0000-00008D100000}"/>
    <cellStyle name="Normal 2 2 8 2 3 3 2 2" xfId="20549" xr:uid="{5E060955-9D7F-4B51-9E14-E3EDB12B922E}"/>
    <cellStyle name="Normal 2 2 8 2 3 3 3" xfId="19186" xr:uid="{CB8FE22E-A35B-40ED-82AE-6A467D3BA8C4}"/>
    <cellStyle name="Normal 2 2 8 2 3 4" xfId="11029" xr:uid="{00000000-0005-0000-0000-00008E100000}"/>
    <cellStyle name="Normal 2 2 8 2 3 4 2" xfId="19934" xr:uid="{2A4D9086-EA90-4110-83AC-1E4318B54F2F}"/>
    <cellStyle name="Normal 2 2 8 2 3 5" xfId="18566" xr:uid="{EE4BC20C-633E-4C68-8119-9F7F2E61182A}"/>
    <cellStyle name="Normal 2 2 8 2 4" xfId="4335" xr:uid="{00000000-0005-0000-0000-00008F100000}"/>
    <cellStyle name="Normal 2 2 8 2 4 2" xfId="9746" xr:uid="{00000000-0005-0000-0000-000090100000}"/>
    <cellStyle name="Normal 2 2 8 2 4 2 2" xfId="10444" xr:uid="{00000000-0005-0000-0000-000091100000}"/>
    <cellStyle name="Normal 2 2 8 2 4 2 2 2" xfId="12179" xr:uid="{00000000-0005-0000-0000-000092100000}"/>
    <cellStyle name="Normal 2 2 8 2 4 2 2 2 2" xfId="20928" xr:uid="{80564C77-B8F8-4E8C-9984-5744D442AF8D}"/>
    <cellStyle name="Normal 2 2 8 2 4 2 2 3" xfId="19565" xr:uid="{42DB2718-AA02-433C-83F8-78DD9E988EB6}"/>
    <cellStyle name="Normal 2 2 8 2 4 2 3" xfId="11532" xr:uid="{00000000-0005-0000-0000-000093100000}"/>
    <cellStyle name="Normal 2 2 8 2 4 2 3 2" xfId="20301" xr:uid="{D0CEF462-D543-4F29-8F01-D77B4E03AAC1}"/>
    <cellStyle name="Normal 2 2 8 2 4 2 4" xfId="18933" xr:uid="{F907CA9F-E0B5-4B6D-A3B3-3FB3DFDDFAE5}"/>
    <cellStyle name="Normal 2 2 8 2 4 3" xfId="10147" xr:uid="{00000000-0005-0000-0000-000094100000}"/>
    <cellStyle name="Normal 2 2 8 2 4 3 2" xfId="11883" xr:uid="{00000000-0005-0000-0000-000095100000}"/>
    <cellStyle name="Normal 2 2 8 2 4 3 2 2" xfId="20639" xr:uid="{37A97A4C-4F6B-445D-91A6-B9A6A4F296B7}"/>
    <cellStyle name="Normal 2 2 8 2 4 3 3" xfId="19276" xr:uid="{E3DF0510-32E7-4D24-994B-D05FC82A9D5B}"/>
    <cellStyle name="Normal 2 2 8 2 4 4" xfId="11140" xr:uid="{00000000-0005-0000-0000-000096100000}"/>
    <cellStyle name="Normal 2 2 8 2 4 4 2" xfId="20024" xr:uid="{6023805C-D53D-4106-B874-786CCB381A57}"/>
    <cellStyle name="Normal 2 2 8 2 4 5" xfId="18656" xr:uid="{7FB42937-CBD8-473C-9DF0-4794F75D0F31}"/>
    <cellStyle name="Normal 2 2 8 2 5" xfId="9601" xr:uid="{00000000-0005-0000-0000-000097100000}"/>
    <cellStyle name="Normal 2 2 8 2 5 2" xfId="10303" xr:uid="{00000000-0005-0000-0000-000098100000}"/>
    <cellStyle name="Normal 2 2 8 2 5 2 2" xfId="12038" xr:uid="{00000000-0005-0000-0000-000099100000}"/>
    <cellStyle name="Normal 2 2 8 2 5 2 2 2" xfId="20787" xr:uid="{443BC4BF-FA0F-4B8F-AB48-0D3C1916EAA8}"/>
    <cellStyle name="Normal 2 2 8 2 5 2 3" xfId="19424" xr:uid="{30233A3E-6EC0-44C6-9F12-8A3D00FD7F4E}"/>
    <cellStyle name="Normal 2 2 8 2 5 3" xfId="11391" xr:uid="{00000000-0005-0000-0000-00009A100000}"/>
    <cellStyle name="Normal 2 2 8 2 5 3 2" xfId="20160" xr:uid="{F5749011-BC54-446F-9EFA-225E7B1CE790}"/>
    <cellStyle name="Normal 2 2 8 2 5 4" xfId="18792" xr:uid="{7CDC57CC-2DB6-45BF-BCC0-A9A820B3BE45}"/>
    <cellStyle name="Normal 2 2 8 2 6" xfId="10006" xr:uid="{00000000-0005-0000-0000-00009B100000}"/>
    <cellStyle name="Normal 2 2 8 2 6 2" xfId="11742" xr:uid="{00000000-0005-0000-0000-00009C100000}"/>
    <cellStyle name="Normal 2 2 8 2 6 2 2" xfId="20498" xr:uid="{6C8D222C-7CDE-4F89-802B-BE4B14EB7C93}"/>
    <cellStyle name="Normal 2 2 8 2 6 3" xfId="19135" xr:uid="{82996C98-7A28-4CB6-ABE9-F87C84FA1C7F}"/>
    <cellStyle name="Normal 2 2 8 2 7" xfId="10969" xr:uid="{00000000-0005-0000-0000-00009D100000}"/>
    <cellStyle name="Normal 2 2 8 2 7 2" xfId="19883" xr:uid="{E4836660-ED2B-41DB-830B-CF4314535F93}"/>
    <cellStyle name="Normal 2 2 8 2 8" xfId="18515" xr:uid="{4C1074AE-6E87-4177-BB0C-D0FF5C153DBF}"/>
    <cellStyle name="Normal 2 2 8 3" xfId="4114" xr:uid="{00000000-0005-0000-0000-00009E100000}"/>
    <cellStyle name="Normal 2 2 8 3 2" xfId="4251" xr:uid="{00000000-0005-0000-0000-00009F100000}"/>
    <cellStyle name="Normal 2 2 8 3 2 2" xfId="9686" xr:uid="{00000000-0005-0000-0000-0000A0100000}"/>
    <cellStyle name="Normal 2 2 8 3 2 2 2" xfId="10387" xr:uid="{00000000-0005-0000-0000-0000A1100000}"/>
    <cellStyle name="Normal 2 2 8 3 2 2 2 2" xfId="12122" xr:uid="{00000000-0005-0000-0000-0000A2100000}"/>
    <cellStyle name="Normal 2 2 8 3 2 2 2 2 2" xfId="20871" xr:uid="{A114D345-6BA3-4810-8B9B-8D3DBA89B901}"/>
    <cellStyle name="Normal 2 2 8 3 2 2 2 3" xfId="19508" xr:uid="{299AA903-E3F2-479D-8783-E5232BC5971A}"/>
    <cellStyle name="Normal 2 2 8 3 2 2 3" xfId="11475" xr:uid="{00000000-0005-0000-0000-0000A3100000}"/>
    <cellStyle name="Normal 2 2 8 3 2 2 3 2" xfId="20244" xr:uid="{6FB0092D-E3E4-4F7E-B933-465ABE705DF5}"/>
    <cellStyle name="Normal 2 2 8 3 2 2 4" xfId="18876" xr:uid="{855DAFF5-965B-4E15-9765-67F2724C264A}"/>
    <cellStyle name="Normal 2 2 8 3 2 3" xfId="10090" xr:uid="{00000000-0005-0000-0000-0000A4100000}"/>
    <cellStyle name="Normal 2 2 8 3 2 3 2" xfId="11826" xr:uid="{00000000-0005-0000-0000-0000A5100000}"/>
    <cellStyle name="Normal 2 2 8 3 2 3 2 2" xfId="20582" xr:uid="{A740E78E-F239-4B15-8A5E-756E09138B55}"/>
    <cellStyle name="Normal 2 2 8 3 2 3 3" xfId="19219" xr:uid="{B1553072-E477-40FB-906A-D284B1454AAB}"/>
    <cellStyle name="Normal 2 2 8 3 2 4" xfId="11062" xr:uid="{00000000-0005-0000-0000-0000A6100000}"/>
    <cellStyle name="Normal 2 2 8 3 2 4 2" xfId="19967" xr:uid="{C45EF24A-813F-414C-9E3C-2927F5A06270}"/>
    <cellStyle name="Normal 2 2 8 3 2 5" xfId="18599" xr:uid="{B748AFB4-B744-42D4-B982-CF0DF31F00CD}"/>
    <cellStyle name="Normal 2 2 8 3 3" xfId="4200" xr:uid="{00000000-0005-0000-0000-0000A7100000}"/>
    <cellStyle name="Normal 2 2 8 3 3 2" xfId="9635" xr:uid="{00000000-0005-0000-0000-0000A8100000}"/>
    <cellStyle name="Normal 2 2 8 3 3 2 2" xfId="10336" xr:uid="{00000000-0005-0000-0000-0000A9100000}"/>
    <cellStyle name="Normal 2 2 8 3 3 2 2 2" xfId="12071" xr:uid="{00000000-0005-0000-0000-0000AA100000}"/>
    <cellStyle name="Normal 2 2 8 3 3 2 2 2 2" xfId="20820" xr:uid="{7D1BCC29-21A7-4692-BE2E-99ADB458FC01}"/>
    <cellStyle name="Normal 2 2 8 3 3 2 2 3" xfId="19457" xr:uid="{3A9BEB5C-1E55-47DB-9497-79EBDF8C7906}"/>
    <cellStyle name="Normal 2 2 8 3 3 2 3" xfId="11424" xr:uid="{00000000-0005-0000-0000-0000AB100000}"/>
    <cellStyle name="Normal 2 2 8 3 3 2 3 2" xfId="20193" xr:uid="{6B8510A4-543F-42A9-8772-E7FEA5D894EA}"/>
    <cellStyle name="Normal 2 2 8 3 3 2 4" xfId="18825" xr:uid="{4477393C-00BB-4CC3-841B-78C2EC4602EE}"/>
    <cellStyle name="Normal 2 2 8 3 3 3" xfId="10039" xr:uid="{00000000-0005-0000-0000-0000AC100000}"/>
    <cellStyle name="Normal 2 2 8 3 3 3 2" xfId="11775" xr:uid="{00000000-0005-0000-0000-0000AD100000}"/>
    <cellStyle name="Normal 2 2 8 3 3 3 2 2" xfId="20531" xr:uid="{457AB9E2-6669-4AFE-A151-1C156556BFFD}"/>
    <cellStyle name="Normal 2 2 8 3 3 3 3" xfId="19168" xr:uid="{9A1F5B6D-0CA8-4F23-A009-96085457C41A}"/>
    <cellStyle name="Normal 2 2 8 3 3 4" xfId="11011" xr:uid="{00000000-0005-0000-0000-0000AE100000}"/>
    <cellStyle name="Normal 2 2 8 3 3 4 2" xfId="19916" xr:uid="{43CA96F5-D729-4EED-B057-B5EC58ABA9BA}"/>
    <cellStyle name="Normal 2 2 8 3 3 5" xfId="18548" xr:uid="{5311D610-FDAC-4B1A-86CA-94B2CA829680}"/>
    <cellStyle name="Normal 2 2 8 3 4" xfId="9582" xr:uid="{00000000-0005-0000-0000-0000AF100000}"/>
    <cellStyle name="Normal 2 2 8 3 4 2" xfId="10285" xr:uid="{00000000-0005-0000-0000-0000B0100000}"/>
    <cellStyle name="Normal 2 2 8 3 4 2 2" xfId="12020" xr:uid="{00000000-0005-0000-0000-0000B1100000}"/>
    <cellStyle name="Normal 2 2 8 3 4 2 2 2" xfId="20769" xr:uid="{49781250-204C-43C7-9A5A-72CD870EDF9B}"/>
    <cellStyle name="Normal 2 2 8 3 4 2 3" xfId="19406" xr:uid="{0D8D770E-B0BA-45CD-9713-0CE98DFB2371}"/>
    <cellStyle name="Normal 2 2 8 3 4 3" xfId="11373" xr:uid="{00000000-0005-0000-0000-0000B2100000}"/>
    <cellStyle name="Normal 2 2 8 3 4 3 2" xfId="20142" xr:uid="{CADB950A-D410-4E42-9771-690095413B68}"/>
    <cellStyle name="Normal 2 2 8 3 4 4" xfId="18774" xr:uid="{3568168D-36BD-470F-9BF0-FEC6074B5382}"/>
    <cellStyle name="Normal 2 2 8 3 5" xfId="9988" xr:uid="{00000000-0005-0000-0000-0000B3100000}"/>
    <cellStyle name="Normal 2 2 8 3 5 2" xfId="11724" xr:uid="{00000000-0005-0000-0000-0000B4100000}"/>
    <cellStyle name="Normal 2 2 8 3 5 2 2" xfId="20480" xr:uid="{EAFB198F-E391-4EDE-9B7F-C4197C21B92E}"/>
    <cellStyle name="Normal 2 2 8 3 5 3" xfId="19117" xr:uid="{F1F438C4-7A04-4FC1-A15F-A09B31BBAF8E}"/>
    <cellStyle name="Normal 2 2 8 3 6" xfId="10948" xr:uid="{00000000-0005-0000-0000-0000B5100000}"/>
    <cellStyle name="Normal 2 2 8 3 6 2" xfId="19865" xr:uid="{C6E96957-1C37-4843-B8B6-0820AFE892B3}"/>
    <cellStyle name="Normal 2 2 8 3 7" xfId="18497" xr:uid="{4264A5B2-B1C2-4DE1-B4D0-DA141FF47269}"/>
    <cellStyle name="Normal 2 2 8 4" xfId="4081" xr:uid="{00000000-0005-0000-0000-0000B6100000}"/>
    <cellStyle name="Normal 2 2 8 4 2" xfId="4235" xr:uid="{00000000-0005-0000-0000-0000B7100000}"/>
    <cellStyle name="Normal 2 2 8 4 2 2" xfId="9670" xr:uid="{00000000-0005-0000-0000-0000B8100000}"/>
    <cellStyle name="Normal 2 2 8 4 2 2 2" xfId="10371" xr:uid="{00000000-0005-0000-0000-0000B9100000}"/>
    <cellStyle name="Normal 2 2 8 4 2 2 2 2" xfId="12106" xr:uid="{00000000-0005-0000-0000-0000BA100000}"/>
    <cellStyle name="Normal 2 2 8 4 2 2 2 2 2" xfId="20855" xr:uid="{BE0B88D3-2ECC-4899-BE4A-1B749AAD9540}"/>
    <cellStyle name="Normal 2 2 8 4 2 2 2 3" xfId="19492" xr:uid="{4811C2FA-EA74-4E21-AAE7-DCD2504601EC}"/>
    <cellStyle name="Normal 2 2 8 4 2 2 3" xfId="11459" xr:uid="{00000000-0005-0000-0000-0000BB100000}"/>
    <cellStyle name="Normal 2 2 8 4 2 2 3 2" xfId="20228" xr:uid="{00693169-D955-4848-B996-5BAE7881FCB2}"/>
    <cellStyle name="Normal 2 2 8 4 2 2 4" xfId="18860" xr:uid="{5BF8D826-4A0B-40C1-9FE4-10624363C325}"/>
    <cellStyle name="Normal 2 2 8 4 2 3" xfId="10074" xr:uid="{00000000-0005-0000-0000-0000BC100000}"/>
    <cellStyle name="Normal 2 2 8 4 2 3 2" xfId="11810" xr:uid="{00000000-0005-0000-0000-0000BD100000}"/>
    <cellStyle name="Normal 2 2 8 4 2 3 2 2" xfId="20566" xr:uid="{08408606-D5E1-4F80-83C4-10EFCBDF3956}"/>
    <cellStyle name="Normal 2 2 8 4 2 3 3" xfId="19203" xr:uid="{2DF403EB-194A-4EBA-94F5-C07838F88A9D}"/>
    <cellStyle name="Normal 2 2 8 4 2 4" xfId="11046" xr:uid="{00000000-0005-0000-0000-0000BE100000}"/>
    <cellStyle name="Normal 2 2 8 4 2 4 2" xfId="19951" xr:uid="{C84CE7A6-9CE5-4D98-88E7-2B0B4972D8FA}"/>
    <cellStyle name="Normal 2 2 8 4 2 5" xfId="18583" xr:uid="{A2B06E75-500D-4C16-8A45-AD465FF3D14E}"/>
    <cellStyle name="Normal 2 2 8 4 3" xfId="9566" xr:uid="{00000000-0005-0000-0000-0000BF100000}"/>
    <cellStyle name="Normal 2 2 8 4 3 2" xfId="10269" xr:uid="{00000000-0005-0000-0000-0000C0100000}"/>
    <cellStyle name="Normal 2 2 8 4 3 2 2" xfId="12004" xr:uid="{00000000-0005-0000-0000-0000C1100000}"/>
    <cellStyle name="Normal 2 2 8 4 3 2 2 2" xfId="20753" xr:uid="{201A4B2B-E2CF-434C-9E92-1BF2F8F435AF}"/>
    <cellStyle name="Normal 2 2 8 4 3 2 3" xfId="19390" xr:uid="{6446A8DF-EFFA-451F-8BE1-3D11603CC38E}"/>
    <cellStyle name="Normal 2 2 8 4 3 3" xfId="11357" xr:uid="{00000000-0005-0000-0000-0000C2100000}"/>
    <cellStyle name="Normal 2 2 8 4 3 3 2" xfId="20126" xr:uid="{E4264825-99C5-47C2-9477-E2067BACA19D}"/>
    <cellStyle name="Normal 2 2 8 4 3 4" xfId="18758" xr:uid="{A3A0E72A-C30E-411D-BAED-43530596D213}"/>
    <cellStyle name="Normal 2 2 8 4 4" xfId="9972" xr:uid="{00000000-0005-0000-0000-0000C3100000}"/>
    <cellStyle name="Normal 2 2 8 4 4 2" xfId="11708" xr:uid="{00000000-0005-0000-0000-0000C4100000}"/>
    <cellStyle name="Normal 2 2 8 4 4 2 2" xfId="20464" xr:uid="{654E28BA-55D4-42F4-A793-35F4C0A0DD59}"/>
    <cellStyle name="Normal 2 2 8 4 4 3" xfId="19101" xr:uid="{9FCF1AD5-4F62-4606-B2A6-D739811E37CC}"/>
    <cellStyle name="Normal 2 2 8 4 5" xfId="10931" xr:uid="{00000000-0005-0000-0000-0000C5100000}"/>
    <cellStyle name="Normal 2 2 8 4 5 2" xfId="19849" xr:uid="{4498DD47-0F3D-4A64-86C0-F8F191B82D51}"/>
    <cellStyle name="Normal 2 2 8 4 6" xfId="18481" xr:uid="{FEA6ECB8-FE77-4183-9571-39D7861FB90D}"/>
    <cellStyle name="Normal 2 2 8 5" xfId="4184" xr:uid="{00000000-0005-0000-0000-0000C6100000}"/>
    <cellStyle name="Normal 2 2 8 5 2" xfId="9619" xr:uid="{00000000-0005-0000-0000-0000C7100000}"/>
    <cellStyle name="Normal 2 2 8 5 2 2" xfId="10320" xr:uid="{00000000-0005-0000-0000-0000C8100000}"/>
    <cellStyle name="Normal 2 2 8 5 2 2 2" xfId="12055" xr:uid="{00000000-0005-0000-0000-0000C9100000}"/>
    <cellStyle name="Normal 2 2 8 5 2 2 2 2" xfId="20804" xr:uid="{8A6217B0-E1C2-4256-ACBF-833AB4981D7F}"/>
    <cellStyle name="Normal 2 2 8 5 2 2 3" xfId="19441" xr:uid="{E149F11D-21EA-4271-8D0A-8DB4DA3F0EEA}"/>
    <cellStyle name="Normal 2 2 8 5 2 3" xfId="11408" xr:uid="{00000000-0005-0000-0000-0000CA100000}"/>
    <cellStyle name="Normal 2 2 8 5 2 3 2" xfId="20177" xr:uid="{A7392578-CB71-490F-A578-999B22AFB060}"/>
    <cellStyle name="Normal 2 2 8 5 2 4" xfId="18809" xr:uid="{2735FAC3-BDD4-4C01-8C25-EA1B57B11217}"/>
    <cellStyle name="Normal 2 2 8 5 3" xfId="10023" xr:uid="{00000000-0005-0000-0000-0000CB100000}"/>
    <cellStyle name="Normal 2 2 8 5 3 2" xfId="11759" xr:uid="{00000000-0005-0000-0000-0000CC100000}"/>
    <cellStyle name="Normal 2 2 8 5 3 2 2" xfId="20515" xr:uid="{95E0BBEB-FFEB-496C-B2C0-53172235BAF5}"/>
    <cellStyle name="Normal 2 2 8 5 3 3" xfId="19152" xr:uid="{ADAAA502-92D7-4B90-BE11-1909CF5C2F3B}"/>
    <cellStyle name="Normal 2 2 8 5 4" xfId="10995" xr:uid="{00000000-0005-0000-0000-0000CD100000}"/>
    <cellStyle name="Normal 2 2 8 5 4 2" xfId="19900" xr:uid="{1E441275-F9B5-404B-8D15-7A176F79B797}"/>
    <cellStyle name="Normal 2 2 8 5 5" xfId="18532" xr:uid="{F1703C21-BB31-4A54-B1C3-D8A8AD663BEA}"/>
    <cellStyle name="Normal 2 2 8 6" xfId="4299" xr:uid="{00000000-0005-0000-0000-0000CE100000}"/>
    <cellStyle name="Normal 2 2 8 6 2" xfId="9725" xr:uid="{00000000-0005-0000-0000-0000CF100000}"/>
    <cellStyle name="Normal 2 2 8 6 2 2" xfId="10425" xr:uid="{00000000-0005-0000-0000-0000D0100000}"/>
    <cellStyle name="Normal 2 2 8 6 2 2 2" xfId="12160" xr:uid="{00000000-0005-0000-0000-0000D1100000}"/>
    <cellStyle name="Normal 2 2 8 6 2 2 2 2" xfId="20909" xr:uid="{5D01911A-7B11-4056-A234-DC6F1237EE7B}"/>
    <cellStyle name="Normal 2 2 8 6 2 2 3" xfId="19546" xr:uid="{71A62640-2196-4B35-8289-841D3890EC6A}"/>
    <cellStyle name="Normal 2 2 8 6 2 3" xfId="11513" xr:uid="{00000000-0005-0000-0000-0000D2100000}"/>
    <cellStyle name="Normal 2 2 8 6 2 3 2" xfId="20282" xr:uid="{C7A096E1-DA13-4031-81A1-E1A4EFF06542}"/>
    <cellStyle name="Normal 2 2 8 6 2 4" xfId="18914" xr:uid="{03ACDD4A-2D68-4024-92D1-F870D619E85E}"/>
    <cellStyle name="Normal 2 2 8 6 3" xfId="10128" xr:uid="{00000000-0005-0000-0000-0000D3100000}"/>
    <cellStyle name="Normal 2 2 8 6 3 2" xfId="11864" xr:uid="{00000000-0005-0000-0000-0000D4100000}"/>
    <cellStyle name="Normal 2 2 8 6 3 2 2" xfId="20620" xr:uid="{4C0F0CEB-FC55-4349-B949-7D594F1FA8C9}"/>
    <cellStyle name="Normal 2 2 8 6 3 3" xfId="19257" xr:uid="{235E83B1-0B9B-4856-A49F-B605B8616DB2}"/>
    <cellStyle name="Normal 2 2 8 6 4" xfId="11108" xr:uid="{00000000-0005-0000-0000-0000D5100000}"/>
    <cellStyle name="Normal 2 2 8 6 4 2" xfId="20005" xr:uid="{BBCB86CA-63C2-403A-BC72-FC591587DD3E}"/>
    <cellStyle name="Normal 2 2 8 6 5" xfId="18637" xr:uid="{47F6D8C8-196B-4D0B-B62D-620E4E880BDE}"/>
    <cellStyle name="Normal 2 2 8 7" xfId="7719" xr:uid="{00000000-0005-0000-0000-0000D6100000}"/>
    <cellStyle name="Normal 2 2 9" xfId="1335" xr:uid="{00000000-0005-0000-0000-0000D7100000}"/>
    <cellStyle name="Normal 2 2 9 2" xfId="4156" xr:uid="{00000000-0005-0000-0000-0000D8100000}"/>
    <cellStyle name="Normal 2 2 9 2 2" xfId="4270" xr:uid="{00000000-0005-0000-0000-0000D9100000}"/>
    <cellStyle name="Normal 2 2 9 2 2 2" xfId="9705" xr:uid="{00000000-0005-0000-0000-0000DA100000}"/>
    <cellStyle name="Normal 2 2 9 2 2 2 2" xfId="10406" xr:uid="{00000000-0005-0000-0000-0000DB100000}"/>
    <cellStyle name="Normal 2 2 9 2 2 2 2 2" xfId="12141" xr:uid="{00000000-0005-0000-0000-0000DC100000}"/>
    <cellStyle name="Normal 2 2 9 2 2 2 2 2 2" xfId="20890" xr:uid="{FEAE82D3-023C-436E-8568-0838A31C3919}"/>
    <cellStyle name="Normal 2 2 9 2 2 2 2 3" xfId="19527" xr:uid="{DE24D7D0-139B-4527-89CC-74F180D7ECEE}"/>
    <cellStyle name="Normal 2 2 9 2 2 2 3" xfId="11494" xr:uid="{00000000-0005-0000-0000-0000DD100000}"/>
    <cellStyle name="Normal 2 2 9 2 2 2 3 2" xfId="20263" xr:uid="{5C636BF8-96F8-4701-B5B4-FCCA46EF3A0F}"/>
    <cellStyle name="Normal 2 2 9 2 2 2 4" xfId="18895" xr:uid="{8D32AEAB-CE18-4068-A673-5B405406161A}"/>
    <cellStyle name="Normal 2 2 9 2 2 3" xfId="10109" xr:uid="{00000000-0005-0000-0000-0000DE100000}"/>
    <cellStyle name="Normal 2 2 9 2 2 3 2" xfId="11845" xr:uid="{00000000-0005-0000-0000-0000DF100000}"/>
    <cellStyle name="Normal 2 2 9 2 2 3 2 2" xfId="20601" xr:uid="{2CE15007-4964-4BB4-A766-823BEA461240}"/>
    <cellStyle name="Normal 2 2 9 2 2 3 3" xfId="19238" xr:uid="{EC4D35ED-C17A-460E-8149-380FEBCB2B28}"/>
    <cellStyle name="Normal 2 2 9 2 2 4" xfId="11081" xr:uid="{00000000-0005-0000-0000-0000E0100000}"/>
    <cellStyle name="Normal 2 2 9 2 2 4 2" xfId="19986" xr:uid="{C8349A0B-E66F-417D-8C35-07A7B1F222B1}"/>
    <cellStyle name="Normal 2 2 9 2 2 5" xfId="18618" xr:uid="{482B25C7-53B1-4BF1-A44E-FCFA650E05F4}"/>
    <cellStyle name="Normal 2 2 9 2 3" xfId="4219" xr:uid="{00000000-0005-0000-0000-0000E1100000}"/>
    <cellStyle name="Normal 2 2 9 2 3 2" xfId="9654" xr:uid="{00000000-0005-0000-0000-0000E2100000}"/>
    <cellStyle name="Normal 2 2 9 2 3 2 2" xfId="10355" xr:uid="{00000000-0005-0000-0000-0000E3100000}"/>
    <cellStyle name="Normal 2 2 9 2 3 2 2 2" xfId="12090" xr:uid="{00000000-0005-0000-0000-0000E4100000}"/>
    <cellStyle name="Normal 2 2 9 2 3 2 2 2 2" xfId="20839" xr:uid="{8D7EE6F5-5161-4956-9B69-1B0AA5133566}"/>
    <cellStyle name="Normal 2 2 9 2 3 2 2 3" xfId="19476" xr:uid="{F8AB75BD-8479-4C54-8E9D-67B5DD8F9939}"/>
    <cellStyle name="Normal 2 2 9 2 3 2 3" xfId="11443" xr:uid="{00000000-0005-0000-0000-0000E5100000}"/>
    <cellStyle name="Normal 2 2 9 2 3 2 3 2" xfId="20212" xr:uid="{50147CD7-1B89-46F7-AB22-1CCB90A6A780}"/>
    <cellStyle name="Normal 2 2 9 2 3 2 4" xfId="18844" xr:uid="{EF5C3516-020C-4569-8EB9-08C9E1810576}"/>
    <cellStyle name="Normal 2 2 9 2 3 3" xfId="10058" xr:uid="{00000000-0005-0000-0000-0000E6100000}"/>
    <cellStyle name="Normal 2 2 9 2 3 3 2" xfId="11794" xr:uid="{00000000-0005-0000-0000-0000E7100000}"/>
    <cellStyle name="Normal 2 2 9 2 3 3 2 2" xfId="20550" xr:uid="{1781597D-1E98-4382-ABD6-35F59CB868BD}"/>
    <cellStyle name="Normal 2 2 9 2 3 3 3" xfId="19187" xr:uid="{EADC226C-D3C4-4310-9DDA-65E143AC8B72}"/>
    <cellStyle name="Normal 2 2 9 2 3 4" xfId="11030" xr:uid="{00000000-0005-0000-0000-0000E8100000}"/>
    <cellStyle name="Normal 2 2 9 2 3 4 2" xfId="19935" xr:uid="{5856EEE9-7DF9-4D7F-AC36-1A7F2FC0C8D1}"/>
    <cellStyle name="Normal 2 2 9 2 3 5" xfId="18567" xr:uid="{77011229-49D6-49F4-8C5F-9EDA67D7477E}"/>
    <cellStyle name="Normal 2 2 9 2 4" xfId="4338" xr:uid="{00000000-0005-0000-0000-0000E9100000}"/>
    <cellStyle name="Normal 2 2 9 2 4 2" xfId="9749" xr:uid="{00000000-0005-0000-0000-0000EA100000}"/>
    <cellStyle name="Normal 2 2 9 2 4 2 2" xfId="10447" xr:uid="{00000000-0005-0000-0000-0000EB100000}"/>
    <cellStyle name="Normal 2 2 9 2 4 2 2 2" xfId="12182" xr:uid="{00000000-0005-0000-0000-0000EC100000}"/>
    <cellStyle name="Normal 2 2 9 2 4 2 2 2 2" xfId="20931" xr:uid="{9F46C22D-8C71-427A-A154-716F8B190366}"/>
    <cellStyle name="Normal 2 2 9 2 4 2 2 3" xfId="19568" xr:uid="{5AB4F4AE-D805-490B-928E-5998AB39F349}"/>
    <cellStyle name="Normal 2 2 9 2 4 2 3" xfId="11535" xr:uid="{00000000-0005-0000-0000-0000ED100000}"/>
    <cellStyle name="Normal 2 2 9 2 4 2 3 2" xfId="20304" xr:uid="{9BB404DA-AC42-47DD-B397-8688CFEACF67}"/>
    <cellStyle name="Normal 2 2 9 2 4 2 4" xfId="18936" xr:uid="{C98D3787-E44C-4148-8B0B-FBE60D43C0F2}"/>
    <cellStyle name="Normal 2 2 9 2 4 3" xfId="10150" xr:uid="{00000000-0005-0000-0000-0000EE100000}"/>
    <cellStyle name="Normal 2 2 9 2 4 3 2" xfId="11886" xr:uid="{00000000-0005-0000-0000-0000EF100000}"/>
    <cellStyle name="Normal 2 2 9 2 4 3 2 2" xfId="20642" xr:uid="{462DE84F-92C6-47B3-8F62-62EC3B2B2D71}"/>
    <cellStyle name="Normal 2 2 9 2 4 3 3" xfId="19279" xr:uid="{53582083-DF51-45FB-8930-ABDF7DC3D902}"/>
    <cellStyle name="Normal 2 2 9 2 4 4" xfId="11143" xr:uid="{00000000-0005-0000-0000-0000F0100000}"/>
    <cellStyle name="Normal 2 2 9 2 4 4 2" xfId="20027" xr:uid="{D6E7C257-2D12-4298-A94B-30C63DC205B2}"/>
    <cellStyle name="Normal 2 2 9 2 4 5" xfId="18659" xr:uid="{AF69DABC-A83C-424B-BE42-BF62FA478F6B}"/>
    <cellStyle name="Normal 2 2 9 2 5" xfId="9602" xr:uid="{00000000-0005-0000-0000-0000F1100000}"/>
    <cellStyle name="Normal 2 2 9 2 5 2" xfId="10304" xr:uid="{00000000-0005-0000-0000-0000F2100000}"/>
    <cellStyle name="Normal 2 2 9 2 5 2 2" xfId="12039" xr:uid="{00000000-0005-0000-0000-0000F3100000}"/>
    <cellStyle name="Normal 2 2 9 2 5 2 2 2" xfId="20788" xr:uid="{136260CB-B56E-4856-BE5C-870DC6E25AB2}"/>
    <cellStyle name="Normal 2 2 9 2 5 2 3" xfId="19425" xr:uid="{1F2BB8FB-4359-403A-BDFE-3E26D29CBBB5}"/>
    <cellStyle name="Normal 2 2 9 2 5 3" xfId="11392" xr:uid="{00000000-0005-0000-0000-0000F4100000}"/>
    <cellStyle name="Normal 2 2 9 2 5 3 2" xfId="20161" xr:uid="{30692645-99F0-43AF-8304-903FE8649B6D}"/>
    <cellStyle name="Normal 2 2 9 2 5 4" xfId="18793" xr:uid="{A2B6C7DB-24BD-4145-8598-24527323F259}"/>
    <cellStyle name="Normal 2 2 9 2 6" xfId="10007" xr:uid="{00000000-0005-0000-0000-0000F5100000}"/>
    <cellStyle name="Normal 2 2 9 2 6 2" xfId="11743" xr:uid="{00000000-0005-0000-0000-0000F6100000}"/>
    <cellStyle name="Normal 2 2 9 2 6 2 2" xfId="20499" xr:uid="{8EC06E79-4B8F-42F2-A883-BF5BC3C04E4A}"/>
    <cellStyle name="Normal 2 2 9 2 6 3" xfId="19136" xr:uid="{87247629-B8E7-40BC-9EC8-98D7413282ED}"/>
    <cellStyle name="Normal 2 2 9 2 7" xfId="10970" xr:uid="{00000000-0005-0000-0000-0000F7100000}"/>
    <cellStyle name="Normal 2 2 9 2 7 2" xfId="19884" xr:uid="{88F4DA8A-4856-497F-8EF9-DE4E889EDC69}"/>
    <cellStyle name="Normal 2 2 9 2 8" xfId="18516" xr:uid="{BF9FC800-0637-407E-9CCF-7D4C459B62E0}"/>
    <cellStyle name="Normal 2 2 9 3" xfId="4116" xr:uid="{00000000-0005-0000-0000-0000F8100000}"/>
    <cellStyle name="Normal 2 2 9 3 2" xfId="4252" xr:uid="{00000000-0005-0000-0000-0000F9100000}"/>
    <cellStyle name="Normal 2 2 9 3 2 2" xfId="9687" xr:uid="{00000000-0005-0000-0000-0000FA100000}"/>
    <cellStyle name="Normal 2 2 9 3 2 2 2" xfId="10388" xr:uid="{00000000-0005-0000-0000-0000FB100000}"/>
    <cellStyle name="Normal 2 2 9 3 2 2 2 2" xfId="12123" xr:uid="{00000000-0005-0000-0000-0000FC100000}"/>
    <cellStyle name="Normal 2 2 9 3 2 2 2 2 2" xfId="20872" xr:uid="{31427EED-8AE3-4397-AFB4-0C151AC59F4A}"/>
    <cellStyle name="Normal 2 2 9 3 2 2 2 3" xfId="19509" xr:uid="{EC450223-8A7A-49E7-85B8-2E8A994B065F}"/>
    <cellStyle name="Normal 2 2 9 3 2 2 3" xfId="11476" xr:uid="{00000000-0005-0000-0000-0000FD100000}"/>
    <cellStyle name="Normal 2 2 9 3 2 2 3 2" xfId="20245" xr:uid="{A685C394-2F08-4D31-89CD-8B0947790B0C}"/>
    <cellStyle name="Normal 2 2 9 3 2 2 4" xfId="18877" xr:uid="{96C0A268-6537-490E-BA88-85BC36338519}"/>
    <cellStyle name="Normal 2 2 9 3 2 3" xfId="10091" xr:uid="{00000000-0005-0000-0000-0000FE100000}"/>
    <cellStyle name="Normal 2 2 9 3 2 3 2" xfId="11827" xr:uid="{00000000-0005-0000-0000-0000FF100000}"/>
    <cellStyle name="Normal 2 2 9 3 2 3 2 2" xfId="20583" xr:uid="{CBB832FA-0D88-4D3C-B14E-0E214F41781D}"/>
    <cellStyle name="Normal 2 2 9 3 2 3 3" xfId="19220" xr:uid="{98137E8A-E5E6-4AB2-A30D-492D705E477F}"/>
    <cellStyle name="Normal 2 2 9 3 2 4" xfId="11063" xr:uid="{00000000-0005-0000-0000-000000110000}"/>
    <cellStyle name="Normal 2 2 9 3 2 4 2" xfId="19968" xr:uid="{7DE88F11-2877-401E-BF32-C439C4AB601A}"/>
    <cellStyle name="Normal 2 2 9 3 2 5" xfId="18600" xr:uid="{6A268395-49AD-4774-AB02-DEEFCEDF5A94}"/>
    <cellStyle name="Normal 2 2 9 3 3" xfId="4201" xr:uid="{00000000-0005-0000-0000-000001110000}"/>
    <cellStyle name="Normal 2 2 9 3 3 2" xfId="9636" xr:uid="{00000000-0005-0000-0000-000002110000}"/>
    <cellStyle name="Normal 2 2 9 3 3 2 2" xfId="10337" xr:uid="{00000000-0005-0000-0000-000003110000}"/>
    <cellStyle name="Normal 2 2 9 3 3 2 2 2" xfId="12072" xr:uid="{00000000-0005-0000-0000-000004110000}"/>
    <cellStyle name="Normal 2 2 9 3 3 2 2 2 2" xfId="20821" xr:uid="{763630D7-8F03-4DD1-8E55-8C97CD2A1807}"/>
    <cellStyle name="Normal 2 2 9 3 3 2 2 3" xfId="19458" xr:uid="{BA37A4B7-BD13-487C-BB90-1160F4182A45}"/>
    <cellStyle name="Normal 2 2 9 3 3 2 3" xfId="11425" xr:uid="{00000000-0005-0000-0000-000005110000}"/>
    <cellStyle name="Normal 2 2 9 3 3 2 3 2" xfId="20194" xr:uid="{F4C3B293-AE6F-4375-9898-5606422A03BE}"/>
    <cellStyle name="Normal 2 2 9 3 3 2 4" xfId="18826" xr:uid="{8B8E0F40-C435-479C-9878-E5B2083ACC93}"/>
    <cellStyle name="Normal 2 2 9 3 3 3" xfId="10040" xr:uid="{00000000-0005-0000-0000-000006110000}"/>
    <cellStyle name="Normal 2 2 9 3 3 3 2" xfId="11776" xr:uid="{00000000-0005-0000-0000-000007110000}"/>
    <cellStyle name="Normal 2 2 9 3 3 3 2 2" xfId="20532" xr:uid="{5641F337-D419-44EF-A5E6-27BB8EDD8083}"/>
    <cellStyle name="Normal 2 2 9 3 3 3 3" xfId="19169" xr:uid="{BC5887DD-D10D-4C42-B890-EDA4FA69A121}"/>
    <cellStyle name="Normal 2 2 9 3 3 4" xfId="11012" xr:uid="{00000000-0005-0000-0000-000008110000}"/>
    <cellStyle name="Normal 2 2 9 3 3 4 2" xfId="19917" xr:uid="{EE082B56-AECE-4193-AB63-D538ACCCBEA1}"/>
    <cellStyle name="Normal 2 2 9 3 3 5" xfId="18549" xr:uid="{8B974F98-AD2D-4812-99A5-D187C79279A4}"/>
    <cellStyle name="Normal 2 2 9 3 4" xfId="9583" xr:uid="{00000000-0005-0000-0000-000009110000}"/>
    <cellStyle name="Normal 2 2 9 3 4 2" xfId="10286" xr:uid="{00000000-0005-0000-0000-00000A110000}"/>
    <cellStyle name="Normal 2 2 9 3 4 2 2" xfId="12021" xr:uid="{00000000-0005-0000-0000-00000B110000}"/>
    <cellStyle name="Normal 2 2 9 3 4 2 2 2" xfId="20770" xr:uid="{E7523394-7665-418F-98CF-3E2CD1B99F20}"/>
    <cellStyle name="Normal 2 2 9 3 4 2 3" xfId="19407" xr:uid="{1208DABA-6067-47F1-979D-548FF740B0E9}"/>
    <cellStyle name="Normal 2 2 9 3 4 3" xfId="11374" xr:uid="{00000000-0005-0000-0000-00000C110000}"/>
    <cellStyle name="Normal 2 2 9 3 4 3 2" xfId="20143" xr:uid="{7D3DA767-7E92-48B9-BD38-12D1D3224659}"/>
    <cellStyle name="Normal 2 2 9 3 4 4" xfId="18775" xr:uid="{DDBDF83E-CCCA-485E-8782-ECC7559C5E67}"/>
    <cellStyle name="Normal 2 2 9 3 5" xfId="9989" xr:uid="{00000000-0005-0000-0000-00000D110000}"/>
    <cellStyle name="Normal 2 2 9 3 5 2" xfId="11725" xr:uid="{00000000-0005-0000-0000-00000E110000}"/>
    <cellStyle name="Normal 2 2 9 3 5 2 2" xfId="20481" xr:uid="{42F2CDAE-D53A-46B0-87F2-3CBC3ABCE6E1}"/>
    <cellStyle name="Normal 2 2 9 3 5 3" xfId="19118" xr:uid="{ED0D22A9-0710-44CA-80BB-394FA2E047D4}"/>
    <cellStyle name="Normal 2 2 9 3 6" xfId="10949" xr:uid="{00000000-0005-0000-0000-00000F110000}"/>
    <cellStyle name="Normal 2 2 9 3 6 2" xfId="19866" xr:uid="{600FE6E3-B03B-44C5-9C2A-3EC635144F54}"/>
    <cellStyle name="Normal 2 2 9 3 7" xfId="18498" xr:uid="{5C77B176-C004-4BB4-AA6A-564D453DBC3E}"/>
    <cellStyle name="Normal 2 2 9 4" xfId="4083" xr:uid="{00000000-0005-0000-0000-000010110000}"/>
    <cellStyle name="Normal 2 2 9 4 2" xfId="4236" xr:uid="{00000000-0005-0000-0000-000011110000}"/>
    <cellStyle name="Normal 2 2 9 4 2 2" xfId="9671" xr:uid="{00000000-0005-0000-0000-000012110000}"/>
    <cellStyle name="Normal 2 2 9 4 2 2 2" xfId="10372" xr:uid="{00000000-0005-0000-0000-000013110000}"/>
    <cellStyle name="Normal 2 2 9 4 2 2 2 2" xfId="12107" xr:uid="{00000000-0005-0000-0000-000014110000}"/>
    <cellStyle name="Normal 2 2 9 4 2 2 2 2 2" xfId="20856" xr:uid="{054BE0B2-7C33-4AE2-AA41-7474AA481236}"/>
    <cellStyle name="Normal 2 2 9 4 2 2 2 3" xfId="19493" xr:uid="{D63E7AA9-5C4D-494C-94DC-AA63D641E6C3}"/>
    <cellStyle name="Normal 2 2 9 4 2 2 3" xfId="11460" xr:uid="{00000000-0005-0000-0000-000015110000}"/>
    <cellStyle name="Normal 2 2 9 4 2 2 3 2" xfId="20229" xr:uid="{BDCEFF94-5F57-4F0C-840A-6A2D6FA109F9}"/>
    <cellStyle name="Normal 2 2 9 4 2 2 4" xfId="18861" xr:uid="{5E95F64D-3AEF-4547-A222-D9874E1A90A0}"/>
    <cellStyle name="Normal 2 2 9 4 2 3" xfId="10075" xr:uid="{00000000-0005-0000-0000-000016110000}"/>
    <cellStyle name="Normal 2 2 9 4 2 3 2" xfId="11811" xr:uid="{00000000-0005-0000-0000-000017110000}"/>
    <cellStyle name="Normal 2 2 9 4 2 3 2 2" xfId="20567" xr:uid="{3A9B5AFF-8942-4231-8862-803F7165D6F6}"/>
    <cellStyle name="Normal 2 2 9 4 2 3 3" xfId="19204" xr:uid="{D6EAE6D0-284C-4D68-87DF-341461A3C7A2}"/>
    <cellStyle name="Normal 2 2 9 4 2 4" xfId="11047" xr:uid="{00000000-0005-0000-0000-000018110000}"/>
    <cellStyle name="Normal 2 2 9 4 2 4 2" xfId="19952" xr:uid="{4DF7EAF0-1553-4F51-9727-3C38E166EC24}"/>
    <cellStyle name="Normal 2 2 9 4 2 5" xfId="18584" xr:uid="{0BF12CD1-243D-452D-ADB6-9E0E78690603}"/>
    <cellStyle name="Normal 2 2 9 4 3" xfId="9567" xr:uid="{00000000-0005-0000-0000-000019110000}"/>
    <cellStyle name="Normal 2 2 9 4 3 2" xfId="10270" xr:uid="{00000000-0005-0000-0000-00001A110000}"/>
    <cellStyle name="Normal 2 2 9 4 3 2 2" xfId="12005" xr:uid="{00000000-0005-0000-0000-00001B110000}"/>
    <cellStyle name="Normal 2 2 9 4 3 2 2 2" xfId="20754" xr:uid="{5921A25A-C3B6-4507-8E52-C8C197349B36}"/>
    <cellStyle name="Normal 2 2 9 4 3 2 3" xfId="19391" xr:uid="{B84EC00B-3034-402E-8643-E6FDEE7AF6AE}"/>
    <cellStyle name="Normal 2 2 9 4 3 3" xfId="11358" xr:uid="{00000000-0005-0000-0000-00001C110000}"/>
    <cellStyle name="Normal 2 2 9 4 3 3 2" xfId="20127" xr:uid="{942B1794-09D6-479C-8BF9-A5D9BF6B00D1}"/>
    <cellStyle name="Normal 2 2 9 4 3 4" xfId="18759" xr:uid="{EE6FC4A8-9FBC-4DA1-B393-39D737DE1138}"/>
    <cellStyle name="Normal 2 2 9 4 4" xfId="9973" xr:uid="{00000000-0005-0000-0000-00001D110000}"/>
    <cellStyle name="Normal 2 2 9 4 4 2" xfId="11709" xr:uid="{00000000-0005-0000-0000-00001E110000}"/>
    <cellStyle name="Normal 2 2 9 4 4 2 2" xfId="20465" xr:uid="{22AC0E2E-9364-4D69-8112-C4F23D179BD7}"/>
    <cellStyle name="Normal 2 2 9 4 4 3" xfId="19102" xr:uid="{D7C21D23-76AF-4DBC-9533-1E42AC3CBEC6}"/>
    <cellStyle name="Normal 2 2 9 4 5" xfId="10932" xr:uid="{00000000-0005-0000-0000-00001F110000}"/>
    <cellStyle name="Normal 2 2 9 4 5 2" xfId="19850" xr:uid="{F33C042B-E48D-47AF-84E8-3C2494CFA375}"/>
    <cellStyle name="Normal 2 2 9 4 6" xfId="18482" xr:uid="{BC7B1056-3484-4BF1-9528-C4BAE81A6E08}"/>
    <cellStyle name="Normal 2 2 9 5" xfId="4185" xr:uid="{00000000-0005-0000-0000-000020110000}"/>
    <cellStyle name="Normal 2 2 9 5 2" xfId="9620" xr:uid="{00000000-0005-0000-0000-000021110000}"/>
    <cellStyle name="Normal 2 2 9 5 2 2" xfId="10321" xr:uid="{00000000-0005-0000-0000-000022110000}"/>
    <cellStyle name="Normal 2 2 9 5 2 2 2" xfId="12056" xr:uid="{00000000-0005-0000-0000-000023110000}"/>
    <cellStyle name="Normal 2 2 9 5 2 2 2 2" xfId="20805" xr:uid="{80246B79-01E7-4AE8-87D0-6FD81871EE53}"/>
    <cellStyle name="Normal 2 2 9 5 2 2 3" xfId="19442" xr:uid="{71BBEEA5-2216-4D0D-BBDF-FB47B6E8F5A2}"/>
    <cellStyle name="Normal 2 2 9 5 2 3" xfId="11409" xr:uid="{00000000-0005-0000-0000-000024110000}"/>
    <cellStyle name="Normal 2 2 9 5 2 3 2" xfId="20178" xr:uid="{AACF4439-F314-4DC6-911B-AE0549166605}"/>
    <cellStyle name="Normal 2 2 9 5 2 4" xfId="18810" xr:uid="{39722B85-AA35-4898-B73C-5BF1B91C3F99}"/>
    <cellStyle name="Normal 2 2 9 5 3" xfId="10024" xr:uid="{00000000-0005-0000-0000-000025110000}"/>
    <cellStyle name="Normal 2 2 9 5 3 2" xfId="11760" xr:uid="{00000000-0005-0000-0000-000026110000}"/>
    <cellStyle name="Normal 2 2 9 5 3 2 2" xfId="20516" xr:uid="{D122E1A9-E6A2-450F-8E25-EC68DD25CC89}"/>
    <cellStyle name="Normal 2 2 9 5 3 3" xfId="19153" xr:uid="{CA045A7D-5A5F-44E3-8BCE-E3AA2B5AD72D}"/>
    <cellStyle name="Normal 2 2 9 5 4" xfId="10996" xr:uid="{00000000-0005-0000-0000-000027110000}"/>
    <cellStyle name="Normal 2 2 9 5 4 2" xfId="19901" xr:uid="{8530513C-F9CB-4068-93EB-B16CD9B7FF5D}"/>
    <cellStyle name="Normal 2 2 9 5 5" xfId="18533" xr:uid="{F3904628-9812-4123-9509-B24C7C86E430}"/>
    <cellStyle name="Normal 2 2 9 6" xfId="4320" xr:uid="{00000000-0005-0000-0000-000028110000}"/>
    <cellStyle name="Normal 2 2 9 6 2" xfId="9733" xr:uid="{00000000-0005-0000-0000-000029110000}"/>
    <cellStyle name="Normal 2 2 9 6 2 2" xfId="10432" xr:uid="{00000000-0005-0000-0000-00002A110000}"/>
    <cellStyle name="Normal 2 2 9 6 2 2 2" xfId="12167" xr:uid="{00000000-0005-0000-0000-00002B110000}"/>
    <cellStyle name="Normal 2 2 9 6 2 2 2 2" xfId="20916" xr:uid="{3F95385D-C69A-42C7-AF3C-CF6BC640A92D}"/>
    <cellStyle name="Normal 2 2 9 6 2 2 3" xfId="19553" xr:uid="{A6067BA3-D9D0-4A55-A15D-E24BB5CCDA3F}"/>
    <cellStyle name="Normal 2 2 9 6 2 3" xfId="11520" xr:uid="{00000000-0005-0000-0000-00002C110000}"/>
    <cellStyle name="Normal 2 2 9 6 2 3 2" xfId="20289" xr:uid="{6923E8DC-C2B4-4D89-B4DE-3A83DB5FE430}"/>
    <cellStyle name="Normal 2 2 9 6 2 4" xfId="18921" xr:uid="{677D773F-9307-4677-BDB3-D3EBAB8A90F3}"/>
    <cellStyle name="Normal 2 2 9 6 3" xfId="10135" xr:uid="{00000000-0005-0000-0000-00002D110000}"/>
    <cellStyle name="Normal 2 2 9 6 3 2" xfId="11871" xr:uid="{00000000-0005-0000-0000-00002E110000}"/>
    <cellStyle name="Normal 2 2 9 6 3 2 2" xfId="20627" xr:uid="{6EAB83D5-0037-46E9-A188-36185221A3D4}"/>
    <cellStyle name="Normal 2 2 9 6 3 3" xfId="19264" xr:uid="{4B237CA9-B37B-4B30-8463-08AE1649F4AA}"/>
    <cellStyle name="Normal 2 2 9 6 4" xfId="11126" xr:uid="{00000000-0005-0000-0000-00002F110000}"/>
    <cellStyle name="Normal 2 2 9 6 4 2" xfId="20012" xr:uid="{4EBD6D0A-16F8-4917-8B98-1080A7C1000B}"/>
    <cellStyle name="Normal 2 2 9 6 5" xfId="18644" xr:uid="{08024235-EF1E-4FB9-93BD-850BF5581695}"/>
    <cellStyle name="Normal 2 2 9 7" xfId="7720" xr:uid="{00000000-0005-0000-0000-000030110000}"/>
    <cellStyle name="Normal 2 2_1.2.b" xfId="16161" xr:uid="{21D784B3-092F-4687-9608-D3F97E746F8D}"/>
    <cellStyle name="Normal 2 20" xfId="1336" xr:uid="{00000000-0005-0000-0000-000031110000}"/>
    <cellStyle name="Normal 2 20 2" xfId="5152" xr:uid="{00000000-0005-0000-0000-000032110000}"/>
    <cellStyle name="Normal 2 21" xfId="1337" xr:uid="{00000000-0005-0000-0000-000033110000}"/>
    <cellStyle name="Normal 2 21 2" xfId="5153" xr:uid="{00000000-0005-0000-0000-000034110000}"/>
    <cellStyle name="Normal 2 22" xfId="1338" xr:uid="{00000000-0005-0000-0000-000035110000}"/>
    <cellStyle name="Normal 2 22 2" xfId="5154" xr:uid="{00000000-0005-0000-0000-000036110000}"/>
    <cellStyle name="Normal 2 23" xfId="1339" xr:uid="{00000000-0005-0000-0000-000037110000}"/>
    <cellStyle name="Normal 2 23 2" xfId="5155" xr:uid="{00000000-0005-0000-0000-000038110000}"/>
    <cellStyle name="Normal 2 24" xfId="1340" xr:uid="{00000000-0005-0000-0000-000039110000}"/>
    <cellStyle name="Normal 2 24 2" xfId="5156" xr:uid="{00000000-0005-0000-0000-00003A110000}"/>
    <cellStyle name="Normal 2 25" xfId="1341" xr:uid="{00000000-0005-0000-0000-00003B110000}"/>
    <cellStyle name="Normal 2 25 2" xfId="5157" xr:uid="{00000000-0005-0000-0000-00003C110000}"/>
    <cellStyle name="Normal 2 26" xfId="1342" xr:uid="{00000000-0005-0000-0000-00003D110000}"/>
    <cellStyle name="Normal 2 26 2" xfId="5158" xr:uid="{00000000-0005-0000-0000-00003E110000}"/>
    <cellStyle name="Normal 2 27" xfId="1343" xr:uid="{00000000-0005-0000-0000-00003F110000}"/>
    <cellStyle name="Normal 2 27 2" xfId="5159" xr:uid="{00000000-0005-0000-0000-000040110000}"/>
    <cellStyle name="Normal 2 28" xfId="1344" xr:uid="{00000000-0005-0000-0000-000041110000}"/>
    <cellStyle name="Normal 2 28 2" xfId="5160" xr:uid="{00000000-0005-0000-0000-000042110000}"/>
    <cellStyle name="Normal 2 29" xfId="1345" xr:uid="{00000000-0005-0000-0000-000043110000}"/>
    <cellStyle name="Normal 2 29 2" xfId="5161" xr:uid="{00000000-0005-0000-0000-000044110000}"/>
    <cellStyle name="Normal 2 3" xfId="99" xr:uid="{00000000-0005-0000-0000-000045110000}"/>
    <cellStyle name="Normal 2 3 10" xfId="17844" xr:uid="{BAAA05E2-8D9A-4A90-AF59-EAB6120F0E31}"/>
    <cellStyle name="Normal 2 3 10 2" xfId="24068" xr:uid="{DFA8C551-7A92-47C6-A304-A64B45C5BBD1}"/>
    <cellStyle name="Normal 2 3 11" xfId="18378" xr:uid="{9817AB0E-50AB-4D7D-90A3-586ACAD22AA9}"/>
    <cellStyle name="Normal 2 3 2" xfId="4135" xr:uid="{00000000-0005-0000-0000-000046110000}"/>
    <cellStyle name="Normal 2 3 2 10" xfId="18283" xr:uid="{2E09451C-A55D-4E99-B4C5-0DC2389E241A}"/>
    <cellStyle name="Normal 2 3 2 10 2" xfId="24431" xr:uid="{53C87B1C-68C9-49E2-A2E2-7C44AFEFD620}"/>
    <cellStyle name="Normal 2 3 2 2" xfId="9947" xr:uid="{00000000-0005-0000-0000-000047110000}"/>
    <cellStyle name="Normal 2 3 2 2 10" xfId="19076" xr:uid="{4C64E857-DDB0-43D5-8425-652D2ABC642B}"/>
    <cellStyle name="Normal 2 3 2 2 2" xfId="10567" xr:uid="{00000000-0005-0000-0000-000048110000}"/>
    <cellStyle name="Normal 2 3 2 2 2 2" xfId="12302" xr:uid="{00000000-0005-0000-0000-000049110000}"/>
    <cellStyle name="Normal 2 3 2 2 2 2 2" xfId="14729" xr:uid="{707ECE2C-9381-4103-AD83-B95D381FEFDB}"/>
    <cellStyle name="Normal 2 3 2 2 2 2 3" xfId="21048" xr:uid="{9E6E6FDC-DD8F-4008-B7EA-9D5CB05E8AE6}"/>
    <cellStyle name="Normal 2 3 2 2 2 2_1.2.b" xfId="16176" xr:uid="{084C310C-7169-4F3E-A76D-DF97A93BEE1A}"/>
    <cellStyle name="Normal 2 3 2 2 2 3" xfId="14245" xr:uid="{E3DE9BEB-A70F-48D2-B854-F4D1BA78287F}"/>
    <cellStyle name="Normal 2 3 2 2 2 4" xfId="19685" xr:uid="{442CCD5F-39E7-4456-8C21-C33BCE0B923A}"/>
    <cellStyle name="Normal 2 3 2 2 2_1.2.b" xfId="16175" xr:uid="{F74C5B6F-D2BC-4D75-8DFC-A6A6F89BCDF3}"/>
    <cellStyle name="Normal 2 3 2 2 3" xfId="11683" xr:uid="{00000000-0005-0000-0000-00004A110000}"/>
    <cellStyle name="Normal 2 3 2 2 3 2" xfId="20439" xr:uid="{A8D97088-497D-4BB5-9D91-5DF917A7F56E}"/>
    <cellStyle name="Normal 2 3 2 2 4" xfId="14244" xr:uid="{EC2E418C-D5BD-483E-9E79-08CA8CB76331}"/>
    <cellStyle name="Normal 2 3 2 2 4 2" xfId="22439" xr:uid="{2E1C9E8D-00AA-42F8-8FB4-99882725F03F}"/>
    <cellStyle name="Normal 2 3 2 2 5" xfId="17846" xr:uid="{C1FBDB4C-BEE5-4EDA-A40C-EE73CBD1D892}"/>
    <cellStyle name="Normal 2 3 2 2 5 2" xfId="24070" xr:uid="{512E6B45-089A-49FC-BB14-9A23B8FD9F68}"/>
    <cellStyle name="Normal 2 3 2 2 6" xfId="18232" xr:uid="{D5FD0938-6310-452F-9D11-9D9772842063}"/>
    <cellStyle name="Normal 2 3 2 2 6 2" xfId="24404" xr:uid="{68B5B5B1-B261-4377-BD7A-DF07FADD7AA6}"/>
    <cellStyle name="Normal 2 3 2 2 7" xfId="17795" xr:uid="{1CAE63C0-EE07-454E-B0F9-9E37A411BE28}"/>
    <cellStyle name="Normal 2 3 2 2 7 2" xfId="24032" xr:uid="{BFEE0646-CD54-4EFB-948D-92D811B08957}"/>
    <cellStyle name="Normal 2 3 2 2 8" xfId="18279" xr:uid="{78A6D947-36C4-46F7-8263-18246CB96796}"/>
    <cellStyle name="Normal 2 3 2 2 8 2" xfId="24429" xr:uid="{071ADA76-00B5-4BBA-879B-D607158467B1}"/>
    <cellStyle name="Normal 2 3 2 2 9" xfId="18115" xr:uid="{4CA98BD2-56D0-409B-9D3C-1A5FE769EFA1}"/>
    <cellStyle name="Normal 2 3 2 2 9 2" xfId="24329" xr:uid="{2D4961C1-59EA-4EB4-8A77-BE1B83F46B27}"/>
    <cellStyle name="Normal 2 3 2 2_1.2.b" xfId="16174" xr:uid="{A0BABB84-D32D-40FF-8F04-44776C0F9B7E}"/>
    <cellStyle name="Normal 2 3 2 3" xfId="10171" xr:uid="{00000000-0005-0000-0000-00004B110000}"/>
    <cellStyle name="Normal 2 3 2 3 2" xfId="11907" xr:uid="{00000000-0005-0000-0000-00004C110000}"/>
    <cellStyle name="Normal 2 3 2 3 2 2" xfId="14730" xr:uid="{230D9B80-0B9A-4E8F-A98E-1A70A9DE9990}"/>
    <cellStyle name="Normal 2 3 2 3 2 3" xfId="20661" xr:uid="{3BAE7860-DCEC-4C79-8D01-7EBAB85DF840}"/>
    <cellStyle name="Normal 2 3 2 3 2_1.2.b" xfId="16178" xr:uid="{28904557-3702-4B10-8414-B72840FE832E}"/>
    <cellStyle name="Normal 2 3 2 3 3" xfId="14246" xr:uid="{80261EFD-35FD-43DF-9320-649B7E5E1E8D}"/>
    <cellStyle name="Normal 2 3 2 3 4" xfId="19298" xr:uid="{964914B5-4257-43ED-83F3-A4ED0311ED17}"/>
    <cellStyle name="Normal 2 3 2 3_1.2.b" xfId="16177" xr:uid="{8CE3350B-BA5D-4503-B3E2-B8603E4E1C62}"/>
    <cellStyle name="Normal 2 3 2 4" xfId="10552" xr:uid="{00000000-0005-0000-0000-00004D110000}"/>
    <cellStyle name="Normal 2 3 2 4 2" xfId="12287" xr:uid="{00000000-0005-0000-0000-00004E110000}"/>
    <cellStyle name="Normal 2 3 2 4 2 2" xfId="21034" xr:uid="{375AD0F9-E336-40AD-8C54-66F4C59338B2}"/>
    <cellStyle name="Normal 2 3 2 4 3" xfId="14247" xr:uid="{4BFE38B9-58D7-4408-824F-AF7A3497EAD9}"/>
    <cellStyle name="Normal 2 3 2 4 4" xfId="19671" xr:uid="{FB2A594B-C859-4691-B84C-048A67FABF93}"/>
    <cellStyle name="Normal 2 3 2 4_1.2.b" xfId="16179" xr:uid="{F0A4F8F0-D0A7-4FF5-82A8-F3B3A559D74B}"/>
    <cellStyle name="Normal 2 3 2 5" xfId="14243" xr:uid="{B29BD19E-8CF8-44EC-8583-B051309D4A54}"/>
    <cellStyle name="Normal 2 3 2 5 2" xfId="22438" xr:uid="{A418A457-0C90-40C6-B82E-9AAB402E6F7A}"/>
    <cellStyle name="Normal 2 3 2 6" xfId="17845" xr:uid="{F8A7C0C1-AA30-4FA8-9B9A-2CD1FACD7E6C}"/>
    <cellStyle name="Normal 2 3 2 6 2" xfId="24069" xr:uid="{8870B228-4277-4A0F-A102-24DA8DCD9EE8}"/>
    <cellStyle name="Normal 2 3 2 7" xfId="18231" xr:uid="{256DBB55-AD4A-48C3-B210-6C94271964CF}"/>
    <cellStyle name="Normal 2 3 2 7 2" xfId="24403" xr:uid="{03FB6DA5-B642-4A86-AC5B-2A26BF61E2FB}"/>
    <cellStyle name="Normal 2 3 2 8" xfId="17794" xr:uid="{3AA9915D-7C52-46A9-A967-6ADD7D1200FD}"/>
    <cellStyle name="Normal 2 3 2 8 2" xfId="24031" xr:uid="{4B03515C-589E-4EE5-B57B-4AF6D6DC07DE}"/>
    <cellStyle name="Normal 2 3 2 9" xfId="18229" xr:uid="{30DACAAE-A1D6-40D3-88E0-FFC772E44CAC}"/>
    <cellStyle name="Normal 2 3 2 9 2" xfId="24402" xr:uid="{E4CEBE3A-F685-4AD2-A43C-25A7AFC4CD5A}"/>
    <cellStyle name="Normal 2 3 2_1.2.b" xfId="16173" xr:uid="{A2B81BEC-A953-4769-BF50-91339D100C52}"/>
    <cellStyle name="Normal 2 3 3" xfId="4095" xr:uid="{00000000-0005-0000-0000-00004F110000}"/>
    <cellStyle name="Normal 2 3 3 2" xfId="10188" xr:uid="{00000000-0005-0000-0000-000050110000}"/>
    <cellStyle name="Normal 2 3 3 2 2" xfId="11924" xr:uid="{00000000-0005-0000-0000-000051110000}"/>
    <cellStyle name="Normal 2 3 3 2 2 2" xfId="20677" xr:uid="{B244E86F-1D5C-4D16-9581-00614BFA2A3E}"/>
    <cellStyle name="Normal 2 3 3 2 3" xfId="19314" xr:uid="{3D5EC787-45FA-4665-92B0-EB9D112F799C}"/>
    <cellStyle name="Normal 2 3 3 3" xfId="10560" xr:uid="{00000000-0005-0000-0000-000052110000}"/>
    <cellStyle name="Normal 2 3 3 3 2" xfId="12295" xr:uid="{00000000-0005-0000-0000-000053110000}"/>
    <cellStyle name="Normal 2 3 3 3 2 2" xfId="21041" xr:uid="{2BC3A460-DB77-4802-AE7A-418BEE835F8C}"/>
    <cellStyle name="Normal 2 3 3 3 3" xfId="19678" xr:uid="{0D3578C4-CE58-4558-83E4-2FC1457CDBCA}"/>
    <cellStyle name="Normal 2 3 3 4" xfId="14248" xr:uid="{D11C3613-F1F4-4274-9C20-E1C06F5997EC}"/>
    <cellStyle name="Normal 2 3 3 4 2" xfId="22440" xr:uid="{92CD6137-61A6-415B-978A-E761FFC6057B}"/>
    <cellStyle name="Normal 2 3 3 5" xfId="17847" xr:uid="{D7EFF403-7B5C-4D35-83B6-538A22ABE4E1}"/>
    <cellStyle name="Normal 2 3 3 5 2" xfId="24071" xr:uid="{7A326C7A-195F-4FE0-BD20-9547C12D7FC6}"/>
    <cellStyle name="Normal 2 3 3_1.2.b" xfId="16180" xr:uid="{9810B75F-D919-47E6-AC45-DF9DF15802D8}"/>
    <cellStyle name="Normal 2 3 4" xfId="4061" xr:uid="{00000000-0005-0000-0000-000054110000}"/>
    <cellStyle name="Normal 2 3 4 2" xfId="14249" xr:uid="{33E675AC-84ED-4D9A-8440-46C9945771C5}"/>
    <cellStyle name="Normal 2 3 4 2 2" xfId="22441" xr:uid="{CA9AA6A1-741E-4DB2-A428-3EA0579095EF}"/>
    <cellStyle name="Normal 2 3 4 3" xfId="17848" xr:uid="{06612ED4-6634-498F-897F-5BE3F2B99042}"/>
    <cellStyle name="Normal 2 3 4 3 2" xfId="24072" xr:uid="{52A5A96A-B631-4384-B2D3-C309BAB8FFFE}"/>
    <cellStyle name="Normal 2 3 4_1.2.b" xfId="16181" xr:uid="{1D951378-F7B5-4F7E-9F77-267C7D099933}"/>
    <cellStyle name="Normal 2 3 5" xfId="1346" xr:uid="{00000000-0005-0000-0000-000055110000}"/>
    <cellStyle name="Normal 2 3 5 2" xfId="14728" xr:uid="{8C45CF3A-6B01-405F-AF84-73BFB7D55AFD}"/>
    <cellStyle name="Normal 2 3 5 3" xfId="14250" xr:uid="{2564C7A3-179C-4527-99EF-C4F4251D721D}"/>
    <cellStyle name="Normal 2 3 5_1.2.b" xfId="16182" xr:uid="{86A6B476-531A-4823-B898-C5624D65D096}"/>
    <cellStyle name="Normal 2 3 6" xfId="9950" xr:uid="{00000000-0005-0000-0000-000056110000}"/>
    <cellStyle name="Normal 2 3 6 2" xfId="11686" xr:uid="{00000000-0005-0000-0000-000057110000}"/>
    <cellStyle name="Normal 2 3 6 2 2" xfId="20442" xr:uid="{8F6A1113-38ED-4349-B7BA-218BCFF945AE}"/>
    <cellStyle name="Normal 2 3 6 3" xfId="19079" xr:uid="{47719BC4-123F-481B-8C73-7F7B94384F07}"/>
    <cellStyle name="Normal 2 3 7" xfId="10548" xr:uid="{00000000-0005-0000-0000-000058110000}"/>
    <cellStyle name="Normal 2 3 7 2" xfId="12283" xr:uid="{00000000-0005-0000-0000-000059110000}"/>
    <cellStyle name="Normal 2 3 7 2 2" xfId="21031" xr:uid="{F81EB429-0514-45C9-B964-80575BFAD5ED}"/>
    <cellStyle name="Normal 2 3 7 3" xfId="19668" xr:uid="{2909BD07-7858-410F-84BA-67EBB30AF4A8}"/>
    <cellStyle name="Normal 2 3 8" xfId="10653" xr:uid="{00000000-0005-0000-0000-00005A110000}"/>
    <cellStyle name="Normal 2 3 8 2" xfId="19747" xr:uid="{1F4B31C4-6174-456B-8882-9000D64EF5FB}"/>
    <cellStyle name="Normal 2 3 9" xfId="14242" xr:uid="{002C7316-5624-4A57-A076-24652D11085B}"/>
    <cellStyle name="Normal 2 3 9 2" xfId="22437" xr:uid="{F887D907-6770-4C6A-8F79-B480F0BF1152}"/>
    <cellStyle name="Normal 2 3_1.2.b" xfId="16172" xr:uid="{31006F3E-36C7-41FA-A046-99C1D234E625}"/>
    <cellStyle name="Normal 2 30" xfId="1347" xr:uid="{00000000-0005-0000-0000-00005B110000}"/>
    <cellStyle name="Normal 2 30 2" xfId="7721" xr:uid="{00000000-0005-0000-0000-00005C110000}"/>
    <cellStyle name="Normal 2 31" xfId="1348" xr:uid="{00000000-0005-0000-0000-00005D110000}"/>
    <cellStyle name="Normal 2 31 2" xfId="7722" xr:uid="{00000000-0005-0000-0000-00005E110000}"/>
    <cellStyle name="Normal 2 32" xfId="1349" xr:uid="{00000000-0005-0000-0000-00005F110000}"/>
    <cellStyle name="Normal 2 32 2" xfId="7723" xr:uid="{00000000-0005-0000-0000-000060110000}"/>
    <cellStyle name="Normal 2 33" xfId="1350" xr:uid="{00000000-0005-0000-0000-000061110000}"/>
    <cellStyle name="Normal 2 33 2" xfId="7724" xr:uid="{00000000-0005-0000-0000-000062110000}"/>
    <cellStyle name="Normal 2 34" xfId="130" xr:uid="{00000000-0005-0000-0000-000063110000}"/>
    <cellStyle name="Normal 2 34 2" xfId="7725" xr:uid="{00000000-0005-0000-0000-000064110000}"/>
    <cellStyle name="Normal 2 34 3" xfId="1351" xr:uid="{00000000-0005-0000-0000-000065110000}"/>
    <cellStyle name="Normal 2 35" xfId="1352" xr:uid="{00000000-0005-0000-0000-000066110000}"/>
    <cellStyle name="Normal 2 35 2" xfId="7726" xr:uid="{00000000-0005-0000-0000-000067110000}"/>
    <cellStyle name="Normal 2 36" xfId="1353" xr:uid="{00000000-0005-0000-0000-000068110000}"/>
    <cellStyle name="Normal 2 36 2" xfId="7727" xr:uid="{00000000-0005-0000-0000-000069110000}"/>
    <cellStyle name="Normal 2 37" xfId="1354" xr:uid="{00000000-0005-0000-0000-00006A110000}"/>
    <cellStyle name="Normal 2 37 2" xfId="7728" xr:uid="{00000000-0005-0000-0000-00006B110000}"/>
    <cellStyle name="Normal 2 38" xfId="1355" xr:uid="{00000000-0005-0000-0000-00006C110000}"/>
    <cellStyle name="Normal 2 38 2" xfId="7729" xr:uid="{00000000-0005-0000-0000-00006D110000}"/>
    <cellStyle name="Normal 2 39" xfId="1356" xr:uid="{00000000-0005-0000-0000-00006E110000}"/>
    <cellStyle name="Normal 2 39 2" xfId="7730" xr:uid="{00000000-0005-0000-0000-00006F110000}"/>
    <cellStyle name="Normal 2 4" xfId="100" xr:uid="{00000000-0005-0000-0000-000070110000}"/>
    <cellStyle name="Normal 2 4 10" xfId="17849" xr:uid="{59BE070C-88E1-407F-B9E6-4F932E879CD1}"/>
    <cellStyle name="Normal 2 4 10 2" xfId="24073" xr:uid="{5C6D3D5A-C85E-4E7A-9335-170B29C9A6DB}"/>
    <cellStyle name="Normal 2 4 11" xfId="18379" xr:uid="{BAC6A140-8747-4811-B5EA-9185A6D46ADD}"/>
    <cellStyle name="Normal 2 4 2" xfId="4139" xr:uid="{00000000-0005-0000-0000-000071110000}"/>
    <cellStyle name="Normal 2 4 2 10" xfId="17789" xr:uid="{B3038DC9-4A82-477F-A428-C3CF768D8F4B}"/>
    <cellStyle name="Normal 2 4 2 10 2" xfId="24027" xr:uid="{6CBE35E7-C059-444B-AA67-45C8DB1241DE}"/>
    <cellStyle name="Normal 2 4 2 2" xfId="10243" xr:uid="{00000000-0005-0000-0000-000072110000}"/>
    <cellStyle name="Normal 2 4 2 2 2" xfId="11978" xr:uid="{00000000-0005-0000-0000-000073110000}"/>
    <cellStyle name="Normal 2 4 2 2 2 2" xfId="14731" xr:uid="{60FE4019-FFA6-403D-800A-F877C1EE0955}"/>
    <cellStyle name="Normal 2 4 2 2 2 3" xfId="20727" xr:uid="{00E10F20-991C-4CE3-8424-200613213B66}"/>
    <cellStyle name="Normal 2 4 2 2 2_1.2.b" xfId="16186" xr:uid="{60713310-1CF2-4866-A6A4-B16C9E6D8B0C}"/>
    <cellStyle name="Normal 2 4 2 2 3" xfId="14253" xr:uid="{4CE24A92-7C7E-4852-8627-26C0C9771C6C}"/>
    <cellStyle name="Normal 2 4 2 2 4" xfId="19364" xr:uid="{7269E9AF-842C-43C7-B572-E822587BD495}"/>
    <cellStyle name="Normal 2 4 2 2_1.2.b" xfId="16185" xr:uid="{3B691733-1781-4A80-B031-DFB01334A63D}"/>
    <cellStyle name="Normal 2 4 2 3" xfId="10561" xr:uid="{00000000-0005-0000-0000-000074110000}"/>
    <cellStyle name="Normal 2 4 2 3 2" xfId="12296" xr:uid="{00000000-0005-0000-0000-000075110000}"/>
    <cellStyle name="Normal 2 4 2 3 2 2" xfId="14732" xr:uid="{0A2B2070-22A9-4D5B-9B4C-14FA7FFB6215}"/>
    <cellStyle name="Normal 2 4 2 3 2 3" xfId="21042" xr:uid="{2963D946-2926-422A-9753-12BB4C79A8DF}"/>
    <cellStyle name="Normal 2 4 2 3 2_1.2.b" xfId="16188" xr:uid="{51BC4D31-50F6-4413-BC3F-E1612B38BA68}"/>
    <cellStyle name="Normal 2 4 2 3 3" xfId="14254" xr:uid="{25B047F9-5C5D-4F35-8BBF-63EF16480C7D}"/>
    <cellStyle name="Normal 2 4 2 3 4" xfId="19679" xr:uid="{89F887C4-CA1C-4DAF-B4BA-900C61DF9682}"/>
    <cellStyle name="Normal 2 4 2 3_1.2.b" xfId="16187" xr:uid="{29FBB369-EE8E-45B9-AAED-052617B62AD1}"/>
    <cellStyle name="Normal 2 4 2 4" xfId="14255" xr:uid="{9615BFF8-AC21-4AED-9F7B-2420B1A6A5BA}"/>
    <cellStyle name="Normal 2 4 2 5" xfId="14252" xr:uid="{F42A26B6-8C02-4998-A109-CFA9589131C8}"/>
    <cellStyle name="Normal 2 4 2 5 2" xfId="22443" xr:uid="{0DC85A5A-879E-4BE7-881B-09F8A1EC79EE}"/>
    <cellStyle name="Normal 2 4 2 6" xfId="17850" xr:uid="{7759B70B-D7A0-4B31-A07B-A9E4F5CDB1C8}"/>
    <cellStyle name="Normal 2 4 2 6 2" xfId="24074" xr:uid="{4ABE198D-7096-4BE1-886A-52A4E36F96D5}"/>
    <cellStyle name="Normal 2 4 2 7" xfId="18235" xr:uid="{022DE480-8F2E-40AF-AA1B-EE5C7DA382AA}"/>
    <cellStyle name="Normal 2 4 2 7 2" xfId="24407" xr:uid="{829EEFB0-E1D1-47E8-B8AD-616454E98B54}"/>
    <cellStyle name="Normal 2 4 2 8" xfId="17797" xr:uid="{D8235A0B-D4CF-46F0-802F-F650ABEB1976}"/>
    <cellStyle name="Normal 2 4 2 8 2" xfId="24033" xr:uid="{AF4EC8B9-E9FE-4A3E-8CD1-0EF104BE8F6D}"/>
    <cellStyle name="Normal 2 4 2 9" xfId="18233" xr:uid="{A3DD65CF-DF9C-4BD3-94D5-3733C4572A76}"/>
    <cellStyle name="Normal 2 4 2 9 2" xfId="24405" xr:uid="{108CD014-7ADD-4E21-A356-861D3E9EF0CF}"/>
    <cellStyle name="Normal 2 4 2_1.2.b" xfId="16184" xr:uid="{7143CC57-7025-4F12-94B5-177D1F94C325}"/>
    <cellStyle name="Normal 2 4 3" xfId="4099" xr:uid="{00000000-0005-0000-0000-000076110000}"/>
    <cellStyle name="Normal 2 4 3 2" xfId="14256" xr:uid="{B68BEC32-BC37-499C-94BD-2ABFB46B49D4}"/>
    <cellStyle name="Normal 2 4 3_1.2.b" xfId="16189" xr:uid="{0B07AFE8-6D6F-4293-9128-BFF94E9CCEFC}"/>
    <cellStyle name="Normal 2 4 4" xfId="4066" xr:uid="{00000000-0005-0000-0000-000077110000}"/>
    <cellStyle name="Normal 2 4 5" xfId="1357" xr:uid="{00000000-0005-0000-0000-000078110000}"/>
    <cellStyle name="Normal 2 4 6" xfId="10244" xr:uid="{00000000-0005-0000-0000-000079110000}"/>
    <cellStyle name="Normal 2 4 6 2" xfId="11979" xr:uid="{00000000-0005-0000-0000-00007A110000}"/>
    <cellStyle name="Normal 2 4 6 2 2" xfId="20728" xr:uid="{320AA8E1-B520-4742-AF71-3CCD6EA8CCFD}"/>
    <cellStyle name="Normal 2 4 6 3" xfId="19365" xr:uid="{DB63B49C-B06A-4E03-B08F-EA0F6BCF93BD}"/>
    <cellStyle name="Normal 2 4 7" xfId="10546" xr:uid="{00000000-0005-0000-0000-00007B110000}"/>
    <cellStyle name="Normal 2 4 7 2" xfId="12281" xr:uid="{00000000-0005-0000-0000-00007C110000}"/>
    <cellStyle name="Normal 2 4 7 2 2" xfId="21030" xr:uid="{935481E0-936F-46E0-8C02-ACAD4D84FAB6}"/>
    <cellStyle name="Normal 2 4 7 3" xfId="19667" xr:uid="{A0C61D14-4630-4582-AA41-72597FB8FFBF}"/>
    <cellStyle name="Normal 2 4 8" xfId="10654" xr:uid="{00000000-0005-0000-0000-00007D110000}"/>
    <cellStyle name="Normal 2 4 8 2" xfId="19748" xr:uid="{C2F2757C-32BA-4CD2-BA19-AC4431ABC66E}"/>
    <cellStyle name="Normal 2 4 9" xfId="14251" xr:uid="{6D1A331A-CF79-4F00-BCB0-C2EFC1C7E0D2}"/>
    <cellStyle name="Normal 2 4 9 2" xfId="22442" xr:uid="{4D9ABA58-E9F2-411F-AEE9-F2D6ACC14AA6}"/>
    <cellStyle name="Normal 2 4_1.2.b" xfId="16183" xr:uid="{45322F53-2559-46C1-953C-49D0AEF15E23}"/>
    <cellStyle name="Normal 2 40" xfId="1358" xr:uid="{00000000-0005-0000-0000-00007E110000}"/>
    <cellStyle name="Normal 2 40 2" xfId="7731" xr:uid="{00000000-0005-0000-0000-00007F110000}"/>
    <cellStyle name="Normal 2 41" xfId="1359" xr:uid="{00000000-0005-0000-0000-000080110000}"/>
    <cellStyle name="Normal 2 41 2" xfId="7732" xr:uid="{00000000-0005-0000-0000-000081110000}"/>
    <cellStyle name="Normal 2 42" xfId="1360" xr:uid="{00000000-0005-0000-0000-000082110000}"/>
    <cellStyle name="Normal 2 42 2" xfId="7733" xr:uid="{00000000-0005-0000-0000-000083110000}"/>
    <cellStyle name="Normal 2 43" xfId="1361" xr:uid="{00000000-0005-0000-0000-000084110000}"/>
    <cellStyle name="Normal 2 43 2" xfId="7734" xr:uid="{00000000-0005-0000-0000-000085110000}"/>
    <cellStyle name="Normal 2 44" xfId="1362" xr:uid="{00000000-0005-0000-0000-000086110000}"/>
    <cellStyle name="Normal 2 44 2" xfId="7735" xr:uid="{00000000-0005-0000-0000-000087110000}"/>
    <cellStyle name="Normal 2 45" xfId="1363" xr:uid="{00000000-0005-0000-0000-000088110000}"/>
    <cellStyle name="Normal 2 45 2" xfId="7736" xr:uid="{00000000-0005-0000-0000-000089110000}"/>
    <cellStyle name="Normal 2 46" xfId="1364" xr:uid="{00000000-0005-0000-0000-00008A110000}"/>
    <cellStyle name="Normal 2 46 2" xfId="7737" xr:uid="{00000000-0005-0000-0000-00008B110000}"/>
    <cellStyle name="Normal 2 47" xfId="1365" xr:uid="{00000000-0005-0000-0000-00008C110000}"/>
    <cellStyle name="Normal 2 47 2" xfId="7738" xr:uid="{00000000-0005-0000-0000-00008D110000}"/>
    <cellStyle name="Normal 2 48" xfId="1366" xr:uid="{00000000-0005-0000-0000-00008E110000}"/>
    <cellStyle name="Normal 2 48 2" xfId="7739" xr:uid="{00000000-0005-0000-0000-00008F110000}"/>
    <cellStyle name="Normal 2 49" xfId="1367" xr:uid="{00000000-0005-0000-0000-000090110000}"/>
    <cellStyle name="Normal 2 49 2" xfId="7740" xr:uid="{00000000-0005-0000-0000-000091110000}"/>
    <cellStyle name="Normal 2 5" xfId="133" xr:uid="{00000000-0005-0000-0000-000092110000}"/>
    <cellStyle name="Normal 2 5 10" xfId="18236" xr:uid="{8821CFB0-7C99-4B76-95BC-D2C76F5EBFDA}"/>
    <cellStyle name="Normal 2 5 10 2" xfId="24408" xr:uid="{1651A7C4-1B0B-4AB6-ADCD-EB416952F852}"/>
    <cellStyle name="Normal 2 5 2" xfId="4147" xr:uid="{00000000-0005-0000-0000-000093110000}"/>
    <cellStyle name="Normal 2 5 2 2" xfId="10173" xr:uid="{00000000-0005-0000-0000-000094110000}"/>
    <cellStyle name="Normal 2 5 2 2 2" xfId="11909" xr:uid="{00000000-0005-0000-0000-000095110000}"/>
    <cellStyle name="Normal 2 5 2 2 2 2" xfId="14733" xr:uid="{FDF05A03-2AD6-438B-A8B5-CB0890DB057F}"/>
    <cellStyle name="Normal 2 5 2 2 2 3" xfId="20663" xr:uid="{65F72E20-2052-469F-9B86-E047C3CE9160}"/>
    <cellStyle name="Normal 2 5 2 2 2_1.2.b" xfId="16193" xr:uid="{40B6ACBC-F354-4107-9121-CDAFC361BBB8}"/>
    <cellStyle name="Normal 2 5 2 2 3" xfId="14259" xr:uid="{422469BE-59B6-48DA-A489-B78827CFDA66}"/>
    <cellStyle name="Normal 2 5 2 2 4" xfId="19300" xr:uid="{C927FCE2-597E-4381-94B5-58DB8A1F29F6}"/>
    <cellStyle name="Normal 2 5 2 2_1.2.b" xfId="16192" xr:uid="{AE55230A-8056-4A97-94BD-C843C4FFCAC8}"/>
    <cellStyle name="Normal 2 5 2 3" xfId="10566" xr:uid="{00000000-0005-0000-0000-000096110000}"/>
    <cellStyle name="Normal 2 5 2 3 2" xfId="12301" xr:uid="{00000000-0005-0000-0000-000097110000}"/>
    <cellStyle name="Normal 2 5 2 3 2 2" xfId="21047" xr:uid="{385E450C-26DE-44B7-847B-1D97705A6FF6}"/>
    <cellStyle name="Normal 2 5 2 3 3" xfId="19684" xr:uid="{6500C852-4750-46D3-B379-E47910D5AB73}"/>
    <cellStyle name="Normal 2 5 2 4" xfId="14258" xr:uid="{0ADC3221-A0B4-4449-B3A1-157554B95135}"/>
    <cellStyle name="Normal 2 5 2 4 2" xfId="22445" xr:uid="{2973037A-BEB1-4FD7-B728-DDD398AB1885}"/>
    <cellStyle name="Normal 2 5 2 5" xfId="17853" xr:uid="{8F58D04D-8239-429B-BAD5-FE4BB6FB5111}"/>
    <cellStyle name="Normal 2 5 2 5 2" xfId="24077" xr:uid="{936DDB5F-9DB9-4064-88F4-077F4968E41F}"/>
    <cellStyle name="Normal 2 5 2 6" xfId="18237" xr:uid="{3B99A5C2-C305-4766-A674-9B8B98A393D3}"/>
    <cellStyle name="Normal 2 5 2 6 2" xfId="24409" xr:uid="{FA8ADDEA-4319-4550-A2A1-4F1FC194F1B7}"/>
    <cellStyle name="Normal 2 5 2 7" xfId="17798" xr:uid="{766F5479-4EE5-4638-BC14-9BB343DA3959}"/>
    <cellStyle name="Normal 2 5 2 7 2" xfId="24034" xr:uid="{8F2F6F40-1DC5-4AF3-B5A8-14A422A36CA2}"/>
    <cellStyle name="Normal 2 5 2 8" xfId="18234" xr:uid="{438CFBC8-99A6-40A0-AF4F-113886193305}"/>
    <cellStyle name="Normal 2 5 2 8 2" xfId="24406" xr:uid="{29735B87-19A2-4664-98C7-F4BBC430E27F}"/>
    <cellStyle name="Normal 2 5 2 9" xfId="18116" xr:uid="{6C53B822-5428-45A4-B179-C1E45CBD1BEC}"/>
    <cellStyle name="Normal 2 5 2 9 2" xfId="24330" xr:uid="{DFFAD017-A51B-4D11-9585-2E33ECED518F}"/>
    <cellStyle name="Normal 2 5 2_1.2.b" xfId="16191" xr:uid="{8F43079F-8DB3-4A9B-A3FB-EB3129EB30FA}"/>
    <cellStyle name="Normal 2 5 3" xfId="4107" xr:uid="{00000000-0005-0000-0000-000098110000}"/>
    <cellStyle name="Normal 2 5 3 2" xfId="14734" xr:uid="{82EAEAC1-B77B-420A-AC6A-D881556584E2}"/>
    <cellStyle name="Normal 2 5 4" xfId="4074" xr:uid="{00000000-0005-0000-0000-000099110000}"/>
    <cellStyle name="Normal 2 5 5" xfId="1368" xr:uid="{00000000-0005-0000-0000-00009A110000}"/>
    <cellStyle name="Normal 2 5 6" xfId="10245" xr:uid="{00000000-0005-0000-0000-00009B110000}"/>
    <cellStyle name="Normal 2 5 6 2" xfId="11980" xr:uid="{00000000-0005-0000-0000-00009C110000}"/>
    <cellStyle name="Normal 2 5 6 2 2" xfId="20729" xr:uid="{9DFE92DD-AFCF-4719-936D-A4D699E6B3C4}"/>
    <cellStyle name="Normal 2 5 6 3" xfId="19366" xr:uid="{A87D7C27-FE87-41F3-BD2C-99F7E4DFC52C}"/>
    <cellStyle name="Normal 2 5 7" xfId="10553" xr:uid="{00000000-0005-0000-0000-00009D110000}"/>
    <cellStyle name="Normal 2 5 7 2" xfId="12288" xr:uid="{00000000-0005-0000-0000-00009E110000}"/>
    <cellStyle name="Normal 2 5 7 2 2" xfId="21035" xr:uid="{5BDB82C2-9B5F-4D3B-93E6-9F73E0E8E717}"/>
    <cellStyle name="Normal 2 5 7 3" xfId="19672" xr:uid="{C1611A47-8B6E-40CD-B177-5546109B266B}"/>
    <cellStyle name="Normal 2 5 8" xfId="14257" xr:uid="{91DA5F8C-F81D-402B-8EC7-B231196F457D}"/>
    <cellStyle name="Normal 2 5 8 2" xfId="22444" xr:uid="{DA67320C-B7FE-416C-9121-B987314309A1}"/>
    <cellStyle name="Normal 2 5 9" xfId="17852" xr:uid="{A43C50B6-86B4-4729-A60E-FCB604BC0B08}"/>
    <cellStyle name="Normal 2 5 9 2" xfId="24076" xr:uid="{4D846B00-B421-4F60-BD4E-20CB11DED687}"/>
    <cellStyle name="Normal 2 5_1.2.b" xfId="16190" xr:uid="{1922E45D-1B2C-47E2-A203-F549411D9F0E}"/>
    <cellStyle name="Normal 2 50" xfId="1369" xr:uid="{00000000-0005-0000-0000-00009F110000}"/>
    <cellStyle name="Normal 2 50 2" xfId="7741" xr:uid="{00000000-0005-0000-0000-0000A0110000}"/>
    <cellStyle name="Normal 2 51" xfId="1370" xr:uid="{00000000-0005-0000-0000-0000A1110000}"/>
    <cellStyle name="Normal 2 51 2" xfId="7742" xr:uid="{00000000-0005-0000-0000-0000A2110000}"/>
    <cellStyle name="Normal 2 52" xfId="1371" xr:uid="{00000000-0005-0000-0000-0000A3110000}"/>
    <cellStyle name="Normal 2 52 2" xfId="7743" xr:uid="{00000000-0005-0000-0000-0000A4110000}"/>
    <cellStyle name="Normal 2 53" xfId="1372" xr:uid="{00000000-0005-0000-0000-0000A5110000}"/>
    <cellStyle name="Normal 2 53 2" xfId="7744" xr:uid="{00000000-0005-0000-0000-0000A6110000}"/>
    <cellStyle name="Normal 2 54" xfId="1373" xr:uid="{00000000-0005-0000-0000-0000A7110000}"/>
    <cellStyle name="Normal 2 54 2" xfId="7745" xr:uid="{00000000-0005-0000-0000-0000A8110000}"/>
    <cellStyle name="Normal 2 55" xfId="1374" xr:uid="{00000000-0005-0000-0000-0000A9110000}"/>
    <cellStyle name="Normal 2 55 2" xfId="7746" xr:uid="{00000000-0005-0000-0000-0000AA110000}"/>
    <cellStyle name="Normal 2 56" xfId="1375" xr:uid="{00000000-0005-0000-0000-0000AB110000}"/>
    <cellStyle name="Normal 2 56 2" xfId="7747" xr:uid="{00000000-0005-0000-0000-0000AC110000}"/>
    <cellStyle name="Normal 2 57" xfId="1376" xr:uid="{00000000-0005-0000-0000-0000AD110000}"/>
    <cellStyle name="Normal 2 57 2" xfId="7748" xr:uid="{00000000-0005-0000-0000-0000AE110000}"/>
    <cellStyle name="Normal 2 58" xfId="1377" xr:uid="{00000000-0005-0000-0000-0000AF110000}"/>
    <cellStyle name="Normal 2 58 2" xfId="7749" xr:uid="{00000000-0005-0000-0000-0000B0110000}"/>
    <cellStyle name="Normal 2 59" xfId="1378" xr:uid="{00000000-0005-0000-0000-0000B1110000}"/>
    <cellStyle name="Normal 2 59 2" xfId="7750" xr:uid="{00000000-0005-0000-0000-0000B2110000}"/>
    <cellStyle name="Normal 2 6" xfId="1379" xr:uid="{00000000-0005-0000-0000-0000B3110000}"/>
    <cellStyle name="Normal 2 6 2" xfId="4149" xr:uid="{00000000-0005-0000-0000-0000B4110000}"/>
    <cellStyle name="Normal 2 6 3" xfId="4109" xr:uid="{00000000-0005-0000-0000-0000B5110000}"/>
    <cellStyle name="Normal 2 6 3 2" xfId="14260" xr:uid="{CE053D3B-B997-42D7-AD1B-D3227719E009}"/>
    <cellStyle name="Normal 2 6 3 2 2" xfId="22446" xr:uid="{EE1AE375-E3F2-4FAF-83DF-D486E923A8F1}"/>
    <cellStyle name="Normal 2 6 3 3" xfId="17854" xr:uid="{9D642D90-CF9A-47AD-A0AA-BB9B937F8355}"/>
    <cellStyle name="Normal 2 6 3 3 2" xfId="24078" xr:uid="{799BF9FA-69B5-4DAF-9197-74ED213F7FDC}"/>
    <cellStyle name="Normal 2 6 3_1.2.b" xfId="16195" xr:uid="{1C5C2911-3D07-4DC4-BA7F-AD15F1E08F14}"/>
    <cellStyle name="Normal 2 6 4" xfId="4076" xr:uid="{00000000-0005-0000-0000-0000B6110000}"/>
    <cellStyle name="Normal 2 6_1.2.b" xfId="16194" xr:uid="{444DD76A-94D4-4392-A2C1-4537C9D8A709}"/>
    <cellStyle name="Normal 2 60" xfId="1380" xr:uid="{00000000-0005-0000-0000-0000B7110000}"/>
    <cellStyle name="Normal 2 60 2" xfId="7751" xr:uid="{00000000-0005-0000-0000-0000B8110000}"/>
    <cellStyle name="Normal 2 61" xfId="1381" xr:uid="{00000000-0005-0000-0000-0000B9110000}"/>
    <cellStyle name="Normal 2 61 2" xfId="7752" xr:uid="{00000000-0005-0000-0000-0000BA110000}"/>
    <cellStyle name="Normal 2 62" xfId="1382" xr:uid="{00000000-0005-0000-0000-0000BB110000}"/>
    <cellStyle name="Normal 2 62 2" xfId="7753" xr:uid="{00000000-0005-0000-0000-0000BC110000}"/>
    <cellStyle name="Normal 2 63" xfId="1383" xr:uid="{00000000-0005-0000-0000-0000BD110000}"/>
    <cellStyle name="Normal 2 63 2" xfId="7754" xr:uid="{00000000-0005-0000-0000-0000BE110000}"/>
    <cellStyle name="Normal 2 64" xfId="1384" xr:uid="{00000000-0005-0000-0000-0000BF110000}"/>
    <cellStyle name="Normal 2 64 2" xfId="7755" xr:uid="{00000000-0005-0000-0000-0000C0110000}"/>
    <cellStyle name="Normal 2 65" xfId="1385" xr:uid="{00000000-0005-0000-0000-0000C1110000}"/>
    <cellStyle name="Normal 2 65 2" xfId="7756" xr:uid="{00000000-0005-0000-0000-0000C2110000}"/>
    <cellStyle name="Normal 2 66" xfId="1386" xr:uid="{00000000-0005-0000-0000-0000C3110000}"/>
    <cellStyle name="Normal 2 66 2" xfId="7757" xr:uid="{00000000-0005-0000-0000-0000C4110000}"/>
    <cellStyle name="Normal 2 67" xfId="1387" xr:uid="{00000000-0005-0000-0000-0000C5110000}"/>
    <cellStyle name="Normal 2 67 2" xfId="7758" xr:uid="{00000000-0005-0000-0000-0000C6110000}"/>
    <cellStyle name="Normal 2 68" xfId="1388" xr:uid="{00000000-0005-0000-0000-0000C7110000}"/>
    <cellStyle name="Normal 2 68 2" xfId="7759" xr:uid="{00000000-0005-0000-0000-0000C8110000}"/>
    <cellStyle name="Normal 2 69" xfId="1389" xr:uid="{00000000-0005-0000-0000-0000C9110000}"/>
    <cellStyle name="Normal 2 69 2" xfId="7760" xr:uid="{00000000-0005-0000-0000-0000CA110000}"/>
    <cellStyle name="Normal 2 7" xfId="1390" xr:uid="{00000000-0005-0000-0000-0000CB110000}"/>
    <cellStyle name="Normal 2 7 2" xfId="4145" xr:uid="{00000000-0005-0000-0000-0000CC110000}"/>
    <cellStyle name="Normal 2 7 3" xfId="4105" xr:uid="{00000000-0005-0000-0000-0000CD110000}"/>
    <cellStyle name="Normal 2 7 4" xfId="4072" xr:uid="{00000000-0005-0000-0000-0000CE110000}"/>
    <cellStyle name="Normal 2 7_1.2.b" xfId="16196" xr:uid="{3286677D-CC5B-4577-B6C4-EF6B82BE926F}"/>
    <cellStyle name="Normal 2 70" xfId="1391" xr:uid="{00000000-0005-0000-0000-0000CF110000}"/>
    <cellStyle name="Normal 2 70 2" xfId="7761" xr:uid="{00000000-0005-0000-0000-0000D0110000}"/>
    <cellStyle name="Normal 2 71" xfId="1392" xr:uid="{00000000-0005-0000-0000-0000D1110000}"/>
    <cellStyle name="Normal 2 71 2" xfId="7762" xr:uid="{00000000-0005-0000-0000-0000D2110000}"/>
    <cellStyle name="Normal 2 72" xfId="1393" xr:uid="{00000000-0005-0000-0000-0000D3110000}"/>
    <cellStyle name="Normal 2 72 2" xfId="7763" xr:uid="{00000000-0005-0000-0000-0000D4110000}"/>
    <cellStyle name="Normal 2 73" xfId="1394" xr:uid="{00000000-0005-0000-0000-0000D5110000}"/>
    <cellStyle name="Normal 2 73 2" xfId="7764" xr:uid="{00000000-0005-0000-0000-0000D6110000}"/>
    <cellStyle name="Normal 2 74" xfId="1395" xr:uid="{00000000-0005-0000-0000-0000D7110000}"/>
    <cellStyle name="Normal 2 74 2" xfId="7765" xr:uid="{00000000-0005-0000-0000-0000D8110000}"/>
    <cellStyle name="Normal 2 75" xfId="1396" xr:uid="{00000000-0005-0000-0000-0000D9110000}"/>
    <cellStyle name="Normal 2 75 2" xfId="7766" xr:uid="{00000000-0005-0000-0000-0000DA110000}"/>
    <cellStyle name="Normal 2 76" xfId="1397" xr:uid="{00000000-0005-0000-0000-0000DB110000}"/>
    <cellStyle name="Normal 2 76 2" xfId="7767" xr:uid="{00000000-0005-0000-0000-0000DC110000}"/>
    <cellStyle name="Normal 2 77" xfId="1398" xr:uid="{00000000-0005-0000-0000-0000DD110000}"/>
    <cellStyle name="Normal 2 77 2" xfId="7768" xr:uid="{00000000-0005-0000-0000-0000DE110000}"/>
    <cellStyle name="Normal 2 78" xfId="1399" xr:uid="{00000000-0005-0000-0000-0000DF110000}"/>
    <cellStyle name="Normal 2 78 2" xfId="7769" xr:uid="{00000000-0005-0000-0000-0000E0110000}"/>
    <cellStyle name="Normal 2 79" xfId="1400" xr:uid="{00000000-0005-0000-0000-0000E1110000}"/>
    <cellStyle name="Normal 2 79 2" xfId="7770" xr:uid="{00000000-0005-0000-0000-0000E2110000}"/>
    <cellStyle name="Normal 2 8" xfId="1401" xr:uid="{00000000-0005-0000-0000-0000E3110000}"/>
    <cellStyle name="Normal 2 8 2" xfId="4153" xr:uid="{00000000-0005-0000-0000-0000E4110000}"/>
    <cellStyle name="Normal 2 8 3" xfId="4113" xr:uid="{00000000-0005-0000-0000-0000E5110000}"/>
    <cellStyle name="Normal 2 8 4" xfId="4080" xr:uid="{00000000-0005-0000-0000-0000E6110000}"/>
    <cellStyle name="Normal 2 8_1.2.b" xfId="16197" xr:uid="{BFF19786-0412-4969-919B-03234C4707F6}"/>
    <cellStyle name="Normal 2 80" xfId="1402" xr:uid="{00000000-0005-0000-0000-0000E7110000}"/>
    <cellStyle name="Normal 2 80 2" xfId="7771" xr:uid="{00000000-0005-0000-0000-0000E8110000}"/>
    <cellStyle name="Normal 2 81" xfId="1403" xr:uid="{00000000-0005-0000-0000-0000E9110000}"/>
    <cellStyle name="Normal 2 81 2" xfId="7772" xr:uid="{00000000-0005-0000-0000-0000EA110000}"/>
    <cellStyle name="Normal 2 82" xfId="1404" xr:uid="{00000000-0005-0000-0000-0000EB110000}"/>
    <cellStyle name="Normal 2 82 2" xfId="7773" xr:uid="{00000000-0005-0000-0000-0000EC110000}"/>
    <cellStyle name="Normal 2 83" xfId="1405" xr:uid="{00000000-0005-0000-0000-0000ED110000}"/>
    <cellStyle name="Normal 2 83 2" xfId="7774" xr:uid="{00000000-0005-0000-0000-0000EE110000}"/>
    <cellStyle name="Normal 2 84" xfId="1406" xr:uid="{00000000-0005-0000-0000-0000EF110000}"/>
    <cellStyle name="Normal 2 84 2" xfId="7775" xr:uid="{00000000-0005-0000-0000-0000F0110000}"/>
    <cellStyle name="Normal 2 85" xfId="1407" xr:uid="{00000000-0005-0000-0000-0000F1110000}"/>
    <cellStyle name="Normal 2 85 2" xfId="7776" xr:uid="{00000000-0005-0000-0000-0000F2110000}"/>
    <cellStyle name="Normal 2 86" xfId="1408" xr:uid="{00000000-0005-0000-0000-0000F3110000}"/>
    <cellStyle name="Normal 2 86 2" xfId="7777" xr:uid="{00000000-0005-0000-0000-0000F4110000}"/>
    <cellStyle name="Normal 2 87" xfId="1409" xr:uid="{00000000-0005-0000-0000-0000F5110000}"/>
    <cellStyle name="Normal 2 87 2" xfId="7778" xr:uid="{00000000-0005-0000-0000-0000F6110000}"/>
    <cellStyle name="Normal 2 88" xfId="1410" xr:uid="{00000000-0005-0000-0000-0000F7110000}"/>
    <cellStyle name="Normal 2 88 2" xfId="7779" xr:uid="{00000000-0005-0000-0000-0000F8110000}"/>
    <cellStyle name="Normal 2 89" xfId="1411" xr:uid="{00000000-0005-0000-0000-0000F9110000}"/>
    <cellStyle name="Normal 2 89 2" xfId="7780" xr:uid="{00000000-0005-0000-0000-0000FA110000}"/>
    <cellStyle name="Normal 2 9" xfId="1412" xr:uid="{00000000-0005-0000-0000-0000FB110000}"/>
    <cellStyle name="Normal 2 9 2" xfId="4155" xr:uid="{00000000-0005-0000-0000-0000FC110000}"/>
    <cellStyle name="Normal 2 9 3" xfId="4115" xr:uid="{00000000-0005-0000-0000-0000FD110000}"/>
    <cellStyle name="Normal 2 9 4" xfId="4082" xr:uid="{00000000-0005-0000-0000-0000FE110000}"/>
    <cellStyle name="Normal 2 9 5" xfId="14261" xr:uid="{DE225BB6-37EA-4DAA-9260-977CCA466EB0}"/>
    <cellStyle name="Normal 2 9 5 2" xfId="22447" xr:uid="{325E741B-878D-4E01-B5D6-56DF6471C8DE}"/>
    <cellStyle name="Normal 2 9 6" xfId="17855" xr:uid="{143E0069-5FDE-42EF-BA86-37A070998E2D}"/>
    <cellStyle name="Normal 2 9 6 2" xfId="24079" xr:uid="{C9B761E1-CB9D-42B8-8D14-DB892119DE66}"/>
    <cellStyle name="Normal 2 9_1.2.b" xfId="16198" xr:uid="{DE9C9326-159A-43B4-AE7D-5D535E383FE6}"/>
    <cellStyle name="Normal 2 90" xfId="1413" xr:uid="{00000000-0005-0000-0000-0000FF110000}"/>
    <cellStyle name="Normal 2 90 2" xfId="7781" xr:uid="{00000000-0005-0000-0000-000000120000}"/>
    <cellStyle name="Normal 2 91" xfId="1414" xr:uid="{00000000-0005-0000-0000-000001120000}"/>
    <cellStyle name="Normal 2 91 2" xfId="7782" xr:uid="{00000000-0005-0000-0000-000002120000}"/>
    <cellStyle name="Normal 2 92" xfId="1415" xr:uid="{00000000-0005-0000-0000-000003120000}"/>
    <cellStyle name="Normal 2 92 2" xfId="7783" xr:uid="{00000000-0005-0000-0000-000004120000}"/>
    <cellStyle name="Normal 2 93" xfId="1416" xr:uid="{00000000-0005-0000-0000-000005120000}"/>
    <cellStyle name="Normal 2 93 2" xfId="7784" xr:uid="{00000000-0005-0000-0000-000006120000}"/>
    <cellStyle name="Normal 2 94" xfId="1417" xr:uid="{00000000-0005-0000-0000-000007120000}"/>
    <cellStyle name="Normal 2 94 2" xfId="7785" xr:uid="{00000000-0005-0000-0000-000008120000}"/>
    <cellStyle name="Normal 2 95" xfId="1418" xr:uid="{00000000-0005-0000-0000-000009120000}"/>
    <cellStyle name="Normal 2 95 2" xfId="7786" xr:uid="{00000000-0005-0000-0000-00000A120000}"/>
    <cellStyle name="Normal 2 96" xfId="1419" xr:uid="{00000000-0005-0000-0000-00000B120000}"/>
    <cellStyle name="Normal 2 96 2" xfId="7787" xr:uid="{00000000-0005-0000-0000-00000C120000}"/>
    <cellStyle name="Normal 2 97" xfId="1420" xr:uid="{00000000-0005-0000-0000-00000D120000}"/>
    <cellStyle name="Normal 2 97 2" xfId="7788" xr:uid="{00000000-0005-0000-0000-00000E120000}"/>
    <cellStyle name="Normal 2 98" xfId="1421" xr:uid="{00000000-0005-0000-0000-00000F120000}"/>
    <cellStyle name="Normal 2 98 2" xfId="7789" xr:uid="{00000000-0005-0000-0000-000010120000}"/>
    <cellStyle name="Normal 2 99" xfId="1422" xr:uid="{00000000-0005-0000-0000-000011120000}"/>
    <cellStyle name="Normal 2 99 2" xfId="7790" xr:uid="{00000000-0005-0000-0000-000012120000}"/>
    <cellStyle name="Normal 2_1.2.b" xfId="16159" xr:uid="{DD0722D8-2CEF-4C8B-AEDC-C6756ABE7642}"/>
    <cellStyle name="Normal 20" xfId="4289" xr:uid="{00000000-0005-0000-0000-000013120000}"/>
    <cellStyle name="Normal 20 2" xfId="9715" xr:uid="{00000000-0005-0000-0000-000014120000}"/>
    <cellStyle name="Normal 20 2 2" xfId="10415" xr:uid="{00000000-0005-0000-0000-000015120000}"/>
    <cellStyle name="Normal 20 2 2 2" xfId="12150" xr:uid="{00000000-0005-0000-0000-000016120000}"/>
    <cellStyle name="Normal 20 2 2 2 2" xfId="20899" xr:uid="{7075B34F-110A-4971-BF52-F601143C64DA}"/>
    <cellStyle name="Normal 20 2 2 3" xfId="19536" xr:uid="{85170820-EDD1-4CA7-BCAB-D550BA17DA46}"/>
    <cellStyle name="Normal 20 2 3" xfId="11503" xr:uid="{00000000-0005-0000-0000-000017120000}"/>
    <cellStyle name="Normal 20 2 3 2" xfId="20272" xr:uid="{63040F9B-5E38-42FC-870B-28DB8E341D4C}"/>
    <cellStyle name="Normal 20 2 4" xfId="14263" xr:uid="{FE1BAA82-8352-41A8-961B-6384CE258D2E}"/>
    <cellStyle name="Normal 20 2 4 2" xfId="22449" xr:uid="{42A8BDA0-7B2A-4F34-A162-B0B6E93B85E2}"/>
    <cellStyle name="Normal 20 2 5" xfId="17857" xr:uid="{6B2ED5FF-8C10-44A1-8C40-7BE03CE2C07B}"/>
    <cellStyle name="Normal 20 2 5 2" xfId="24081" xr:uid="{97C89CF9-B0B7-4A23-86FE-B9291DA3276A}"/>
    <cellStyle name="Normal 20 2 6" xfId="18904" xr:uid="{04FCCB50-4723-4C21-9E3C-26697ACC98D8}"/>
    <cellStyle name="Normal 20 2_1.2.b" xfId="16200" xr:uid="{A2BB2A71-2049-4286-B4D7-8CB732779DC9}"/>
    <cellStyle name="Normal 20 3" xfId="10118" xr:uid="{00000000-0005-0000-0000-000018120000}"/>
    <cellStyle name="Normal 20 3 2" xfId="11854" xr:uid="{00000000-0005-0000-0000-000019120000}"/>
    <cellStyle name="Normal 20 3 2 2" xfId="20610" xr:uid="{7234C7FB-F4F3-4AEE-BAD6-C82C6A0938D5}"/>
    <cellStyle name="Normal 20 3 3" xfId="19247" xr:uid="{A6EB15DE-3116-45A8-8022-BFCBEE273CEB}"/>
    <cellStyle name="Normal 20 4" xfId="11098" xr:uid="{00000000-0005-0000-0000-00001A120000}"/>
    <cellStyle name="Normal 20 4 2" xfId="19995" xr:uid="{C8705FA8-12EE-4C68-906E-8DB555B2EBC9}"/>
    <cellStyle name="Normal 20 5" xfId="14262" xr:uid="{10540AA7-8E18-45D2-8F65-F70F337D8C7D}"/>
    <cellStyle name="Normal 20 5 2" xfId="22448" xr:uid="{D3EA4D43-7924-44E2-BD32-8A10E8BB6E4A}"/>
    <cellStyle name="Normal 20 6" xfId="17856" xr:uid="{37C2D4ED-44AB-477C-937D-DD6017406885}"/>
    <cellStyle name="Normal 20 6 2" xfId="24080" xr:uid="{31215C33-9281-418D-B8F9-9105CB735FBF}"/>
    <cellStyle name="Normal 20 7" xfId="18627" xr:uid="{C0B38E20-7A77-47CB-8873-157BC12503ED}"/>
    <cellStyle name="Normal 20_1.2.b" xfId="16199" xr:uid="{C62FE1FD-A2CC-4914-8C70-BAF7B9FE3901}"/>
    <cellStyle name="Normal 21" xfId="4293" xr:uid="{00000000-0005-0000-0000-00001B120000}"/>
    <cellStyle name="Normal 21 2" xfId="9719" xr:uid="{00000000-0005-0000-0000-00001C120000}"/>
    <cellStyle name="Normal 21 2 2" xfId="10419" xr:uid="{00000000-0005-0000-0000-00001D120000}"/>
    <cellStyle name="Normal 21 2 2 2" xfId="12154" xr:uid="{00000000-0005-0000-0000-00001E120000}"/>
    <cellStyle name="Normal 21 2 2 2 2" xfId="20903" xr:uid="{FCB7D8D7-0AEF-4EA1-AB0B-4D3FF4F93D5E}"/>
    <cellStyle name="Normal 21 2 2 3" xfId="19540" xr:uid="{5C163033-7115-4863-9D58-EA9690831911}"/>
    <cellStyle name="Normal 21 2 3" xfId="11507" xr:uid="{00000000-0005-0000-0000-00001F120000}"/>
    <cellStyle name="Normal 21 2 3 2" xfId="20276" xr:uid="{2BF85022-2AD8-4C34-8A91-3AF2FFF7A9E3}"/>
    <cellStyle name="Normal 21 2 4" xfId="18908" xr:uid="{1C2EEE5D-47FA-4E3D-A8BE-BA7C17BB75D0}"/>
    <cellStyle name="Normal 21 3" xfId="10122" xr:uid="{00000000-0005-0000-0000-000020120000}"/>
    <cellStyle name="Normal 21 3 2" xfId="11858" xr:uid="{00000000-0005-0000-0000-000021120000}"/>
    <cellStyle name="Normal 21 3 2 2" xfId="20614" xr:uid="{40B6F8C1-02E1-423F-8BF5-B7F9F59E74A8}"/>
    <cellStyle name="Normal 21 3 3" xfId="19251" xr:uid="{54EFC1CE-02C6-421D-8CF9-EABCD719AE24}"/>
    <cellStyle name="Normal 21 4" xfId="11102" xr:uid="{00000000-0005-0000-0000-000022120000}"/>
    <cellStyle name="Normal 21 4 2" xfId="19999" xr:uid="{33AB6D9E-8907-48C8-8792-63E94C39EB2A}"/>
    <cellStyle name="Normal 21 5" xfId="14264" xr:uid="{4BC9C191-4289-4E08-A43A-69FD97AE0F98}"/>
    <cellStyle name="Normal 21 5 2" xfId="22450" xr:uid="{E849AFBF-CAC9-4770-B68C-20D4EC83C151}"/>
    <cellStyle name="Normal 21 6" xfId="17858" xr:uid="{B2205418-E9A2-4B85-AE10-B262A52E54C6}"/>
    <cellStyle name="Normal 21 6 2" xfId="24082" xr:uid="{7D8A2FE9-8DB1-422A-9963-9B729CAE0F20}"/>
    <cellStyle name="Normal 21 7" xfId="18631" xr:uid="{8CDF31B4-160B-4012-BBD6-18068F2D441D}"/>
    <cellStyle name="Normal 21_1.2.b" xfId="16201" xr:uid="{65F4637A-3A45-4C4D-80D0-43A548B0DCF4}"/>
    <cellStyle name="Normal 22" xfId="4344" xr:uid="{00000000-0005-0000-0000-000023120000}"/>
    <cellStyle name="Normal 22 2" xfId="9755" xr:uid="{00000000-0005-0000-0000-000024120000}"/>
    <cellStyle name="Normal 22 2 2" xfId="10453" xr:uid="{00000000-0005-0000-0000-000025120000}"/>
    <cellStyle name="Normal 22 2 2 2" xfId="12188" xr:uid="{00000000-0005-0000-0000-000026120000}"/>
    <cellStyle name="Normal 22 2 2 2 2" xfId="20937" xr:uid="{0A847E72-E719-4F5B-82C2-A44DAC49BCCF}"/>
    <cellStyle name="Normal 22 2 2 3" xfId="19574" xr:uid="{5FB363BD-5783-4513-8A9F-908C66839FD7}"/>
    <cellStyle name="Normal 22 2 3" xfId="11541" xr:uid="{00000000-0005-0000-0000-000027120000}"/>
    <cellStyle name="Normal 22 2 3 2" xfId="20310" xr:uid="{1904B03C-CE5E-49DA-B676-A5DC3EA5B8C9}"/>
    <cellStyle name="Normal 22 2 4" xfId="14266" xr:uid="{74CB97D1-A93B-4960-AA64-D9C15D354270}"/>
    <cellStyle name="Normal 22 2 4 2" xfId="22452" xr:uid="{04ED4FEF-7A90-460E-8CF8-5EF88858A2DE}"/>
    <cellStyle name="Normal 22 2 5" xfId="17860" xr:uid="{861E96D3-2FC3-44BB-A1E8-4392D72E13DA}"/>
    <cellStyle name="Normal 22 2 5 2" xfId="24084" xr:uid="{F3858A44-2D8D-48BD-818E-DA41A251CDF7}"/>
    <cellStyle name="Normal 22 2 6" xfId="18942" xr:uid="{C458ABA5-58B8-4FDE-AC56-BC765FE5F66D}"/>
    <cellStyle name="Normal 22 2_1.2.b" xfId="16203" xr:uid="{F9A36B57-1299-4346-9ABA-907E0BB53593}"/>
    <cellStyle name="Normal 22 3" xfId="10156" xr:uid="{00000000-0005-0000-0000-000028120000}"/>
    <cellStyle name="Normal 22 3 2" xfId="11892" xr:uid="{00000000-0005-0000-0000-000029120000}"/>
    <cellStyle name="Normal 22 3 2 2" xfId="20648" xr:uid="{F59C7AE6-40D4-4300-8B25-040B7DFEBC6C}"/>
    <cellStyle name="Normal 22 3 3" xfId="14267" xr:uid="{3F59B264-CDE6-4AF5-B050-598EAD04A3B4}"/>
    <cellStyle name="Normal 22 3 3 2" xfId="22453" xr:uid="{B34EC13B-FD58-488C-AB33-8B77358637B6}"/>
    <cellStyle name="Normal 22 3 4" xfId="17861" xr:uid="{5C03E722-47FA-4636-B1AF-CE5CA628C20F}"/>
    <cellStyle name="Normal 22 3 4 2" xfId="24085" xr:uid="{A85E0E44-187F-4DF1-99D7-96A996D62649}"/>
    <cellStyle name="Normal 22 3 5" xfId="19285" xr:uid="{B5E9F597-9794-4173-97F0-765049CA039E}"/>
    <cellStyle name="Normal 22 3_1.2.b" xfId="16204" xr:uid="{DC7297B9-1B1C-4FD5-8734-81AF2EF6A0D4}"/>
    <cellStyle name="Normal 22 4" xfId="11149" xr:uid="{00000000-0005-0000-0000-00002A120000}"/>
    <cellStyle name="Normal 22 4 2" xfId="20033" xr:uid="{97FA8D47-EC25-490D-ABF1-74D5E96106DE}"/>
    <cellStyle name="Normal 22 5" xfId="14265" xr:uid="{E17F9EB4-4E66-485D-816E-62857F19B952}"/>
    <cellStyle name="Normal 22 5 2" xfId="22451" xr:uid="{C3B51189-6AEA-4585-86ED-F7DACC46689A}"/>
    <cellStyle name="Normal 22 6" xfId="17859" xr:uid="{7145BF77-0FC0-4490-902D-F88C9CBB01B2}"/>
    <cellStyle name="Normal 22 6 2" xfId="24083" xr:uid="{A3B98521-9587-4258-99DA-57B283CE176F}"/>
    <cellStyle name="Normal 22 7" xfId="18665" xr:uid="{DED1D9AD-3135-4A98-9351-A5548C2CAC09}"/>
    <cellStyle name="Normal 22_1.2.b" xfId="16202" xr:uid="{6756CA0A-CCF4-47EB-9034-ADC51180E94B}"/>
    <cellStyle name="Normal 23" xfId="4359" xr:uid="{00000000-0005-0000-0000-00002B120000}"/>
    <cellStyle name="Normal 23 2" xfId="9767" xr:uid="{00000000-0005-0000-0000-00002C120000}"/>
    <cellStyle name="Normal 23 2 2" xfId="10465" xr:uid="{00000000-0005-0000-0000-00002D120000}"/>
    <cellStyle name="Normal 23 2 2 2" xfId="12200" xr:uid="{00000000-0005-0000-0000-00002E120000}"/>
    <cellStyle name="Normal 23 2 2 2 2" xfId="20949" xr:uid="{8A88F3A0-66DE-493A-99F4-D3CE9185F8A7}"/>
    <cellStyle name="Normal 23 2 2 3" xfId="19586" xr:uid="{E9F6D579-5734-4B69-BDDD-5453D5EFF26F}"/>
    <cellStyle name="Normal 23 2 3" xfId="11553" xr:uid="{00000000-0005-0000-0000-00002F120000}"/>
    <cellStyle name="Normal 23 2 3 2" xfId="20322" xr:uid="{AD94DE90-1A6D-4D99-8AFA-6FC6CD59418F}"/>
    <cellStyle name="Normal 23 2 4" xfId="18954" xr:uid="{58CD8C9E-243F-424C-8C91-957837A764DB}"/>
    <cellStyle name="Normal 23 3" xfId="10170" xr:uid="{00000000-0005-0000-0000-000030120000}"/>
    <cellStyle name="Normal 23 3 2" xfId="11906" xr:uid="{00000000-0005-0000-0000-000031120000}"/>
    <cellStyle name="Normal 23 3 2 2" xfId="20660" xr:uid="{2D72DFF2-6809-4345-BAF4-0CC5FC4EE713}"/>
    <cellStyle name="Normal 23 3 3" xfId="19297" xr:uid="{869084CB-DAB5-45D3-8E62-92C17BAB931C}"/>
    <cellStyle name="Normal 23 4" xfId="11163" xr:uid="{00000000-0005-0000-0000-000032120000}"/>
    <cellStyle name="Normal 23 4 2" xfId="20045" xr:uid="{5BDF79B0-31BE-4F43-A6E0-90E1C7EE73A0}"/>
    <cellStyle name="Normal 23 5" xfId="14268" xr:uid="{5DBC42E0-88C6-46BD-9243-4391AFFAB750}"/>
    <cellStyle name="Normal 23 5 2" xfId="22454" xr:uid="{EA9510D8-5CF3-4AE9-A19A-C00E81CACF3F}"/>
    <cellStyle name="Normal 23 6" xfId="17862" xr:uid="{64F71DFD-DDFA-4924-8A1A-8C353C7DEC57}"/>
    <cellStyle name="Normal 23 6 2" xfId="24086" xr:uid="{72A0A4CC-6328-4331-9820-82465CA9C37E}"/>
    <cellStyle name="Normal 23 7" xfId="18677" xr:uid="{AA7BECEB-F3E3-4787-A273-A536E3F8569F}"/>
    <cellStyle name="Normal 23_1.2.b" xfId="16205" xr:uid="{1DB0DF04-596A-436F-A6A2-101E66A11978}"/>
    <cellStyle name="Normal 24" xfId="7582" xr:uid="{00000000-0005-0000-0000-000033120000}"/>
    <cellStyle name="Normal 24 2" xfId="10240" xr:uid="{00000000-0005-0000-0000-000034120000}"/>
    <cellStyle name="Normal 24 3" xfId="14269" xr:uid="{3FD322C4-327D-42C7-9A2C-F19B33017B09}"/>
    <cellStyle name="Normal 24 3 2" xfId="22455" xr:uid="{606DB198-1F53-4446-BA8E-7A345D106EB7}"/>
    <cellStyle name="Normal 24 4" xfId="17863" xr:uid="{1C088D5A-E847-469A-884F-7D29AFFAF0A6}"/>
    <cellStyle name="Normal 24 4 2" xfId="24087" xr:uid="{555590F3-92BA-44C7-A5CE-7F6BA31DD31E}"/>
    <cellStyle name="Normal 24_1.2.b" xfId="16206" xr:uid="{524AAE37-DC7E-411B-B479-EA057604560D}"/>
    <cellStyle name="Normal 25" xfId="7581" xr:uid="{00000000-0005-0000-0000-000035120000}"/>
    <cellStyle name="Normal 25 2" xfId="10239" xr:uid="{00000000-0005-0000-0000-000036120000}"/>
    <cellStyle name="Normal 25 2 2" xfId="11975" xr:uid="{00000000-0005-0000-0000-000037120000}"/>
    <cellStyle name="Normal 25 2 2 2" xfId="20726" xr:uid="{646BA95D-509A-4F0E-B6A2-4DD08B10407E}"/>
    <cellStyle name="Normal 25 2 3" xfId="14271" xr:uid="{A00476A0-117A-41AF-9813-A46BE1C178E0}"/>
    <cellStyle name="Normal 25 2 3 2" xfId="22457" xr:uid="{F18B1BF9-61CF-414A-A116-5EE0EE59290C}"/>
    <cellStyle name="Normal 25 2 4" xfId="17865" xr:uid="{FE4E5F17-48FD-4A23-B14E-D7C9FDCE7A22}"/>
    <cellStyle name="Normal 25 2 4 2" xfId="24089" xr:uid="{0F2D215F-9DD8-4E28-8AA4-38C8D8DF6A7A}"/>
    <cellStyle name="Normal 25 2 5" xfId="19363" xr:uid="{261461E6-572A-47D8-9CBC-2EABBCBD4C51}"/>
    <cellStyle name="Normal 25 2_1.2.b" xfId="16208" xr:uid="{A6DACEE9-5FE1-4F93-A436-FAE5054FE299}"/>
    <cellStyle name="Normal 25 3" xfId="11249" xr:uid="{00000000-0005-0000-0000-000038120000}"/>
    <cellStyle name="Normal 25 3 2" xfId="14272" xr:uid="{87D1F41F-069D-414A-80C5-FC284757957D}"/>
    <cellStyle name="Normal 25 3 2 2" xfId="22458" xr:uid="{0B6374AD-5056-49D0-B598-2DFAB6D42992}"/>
    <cellStyle name="Normal 25 3 3" xfId="17866" xr:uid="{366E6688-35E4-4A16-AD49-4F1C33A28504}"/>
    <cellStyle name="Normal 25 3 3 2" xfId="24090" xr:uid="{30DDDD55-8700-419C-A623-D59EFC59B1D3}"/>
    <cellStyle name="Normal 25 3 4" xfId="20104" xr:uid="{5D49E883-2D42-463C-B6C3-D546A3012273}"/>
    <cellStyle name="Normal 25 3_1.2.b" xfId="16209" xr:uid="{17EF4C36-7719-4307-A391-866D566F4877}"/>
    <cellStyle name="Normal 25 4" xfId="14270" xr:uid="{E1321ACF-AECD-4FD4-861A-B50EE0F473C4}"/>
    <cellStyle name="Normal 25 4 2" xfId="22456" xr:uid="{B6B5837E-306F-4F88-908D-EB645C9B7534}"/>
    <cellStyle name="Normal 25 5" xfId="17864" xr:uid="{72BB8C50-7E6D-4970-81DD-DD6D9CF874F1}"/>
    <cellStyle name="Normal 25 5 2" xfId="24088" xr:uid="{90CD6313-EDF3-4B5F-BAE5-1A071BE1C115}"/>
    <cellStyle name="Normal 25 6" xfId="18736" xr:uid="{2A43E796-D8C5-4216-91AF-E4F434E040E1}"/>
    <cellStyle name="Normal 25_1.2.b" xfId="16207" xr:uid="{2BE02FE6-BD05-4F61-9885-2D1EA5275910}"/>
    <cellStyle name="Normal 26" xfId="9842" xr:uid="{00000000-0005-0000-0000-000039120000}"/>
    <cellStyle name="Normal 26 2" xfId="11627" xr:uid="{00000000-0005-0000-0000-00003A120000}"/>
    <cellStyle name="Normal 26 2 2" xfId="20394" xr:uid="{032303E5-40B2-4C3D-BE22-7857572E592B}"/>
    <cellStyle name="Normal 26 3" xfId="14273" xr:uid="{9B28C006-3B76-4A6B-BF53-D666452C8674}"/>
    <cellStyle name="Normal 26 3 2" xfId="22459" xr:uid="{E20FD247-7E45-43BE-B52F-9D73F233AC8A}"/>
    <cellStyle name="Normal 26 4" xfId="17867" xr:uid="{E5C86589-90BB-48FE-BD32-41750918D01F}"/>
    <cellStyle name="Normal 26 4 2" xfId="24091" xr:uid="{B5AF6013-BA6C-46CD-8074-A82CCB974911}"/>
    <cellStyle name="Normal 26 5" xfId="19026" xr:uid="{CF0D4F8C-1B4A-4D0B-922C-4CC101FC1AB7}"/>
    <cellStyle name="Normal 26_1.2.b" xfId="16210" xr:uid="{170EE663-167D-45E4-A63F-E8D8FD710F8F}"/>
    <cellStyle name="Normal 27" xfId="9844" xr:uid="{00000000-0005-0000-0000-00003B120000}"/>
    <cellStyle name="Normal 27 2" xfId="11629" xr:uid="{00000000-0005-0000-0000-00003C120000}"/>
    <cellStyle name="Normal 27 2 2" xfId="20396" xr:uid="{C7BD24DB-C3A4-4511-BA50-36724C726CA6}"/>
    <cellStyle name="Normal 27 3" xfId="14274" xr:uid="{8B1FAE84-6948-41D3-BAD2-5A49AF6FE18C}"/>
    <cellStyle name="Normal 27 3 2" xfId="22460" xr:uid="{7DFD7A19-E4E7-444A-95AB-4E614C2A1DBE}"/>
    <cellStyle name="Normal 27 4" xfId="17868" xr:uid="{3C9A5D23-8758-4B15-BE42-1234788633CF}"/>
    <cellStyle name="Normal 27 4 2" xfId="24092" xr:uid="{7689EC3B-0558-4979-A4DE-7B14C121216D}"/>
    <cellStyle name="Normal 27 5" xfId="19028" xr:uid="{E47D42DB-9F80-41F6-B537-8BE254B28A47}"/>
    <cellStyle name="Normal 27_1.2.b" xfId="16211" xr:uid="{4ABAA244-4A15-4076-85F7-5A11E38BF98F}"/>
    <cellStyle name="Normal 28" xfId="9858" xr:uid="{00000000-0005-0000-0000-00003D120000}"/>
    <cellStyle name="Normal 28 2" xfId="11643" xr:uid="{00000000-0005-0000-0000-00003E120000}"/>
    <cellStyle name="Normal 28 2 2" xfId="20410" xr:uid="{6EABD887-C177-4455-BD55-E85593C804EA}"/>
    <cellStyle name="Normal 28 3" xfId="14275" xr:uid="{902E04EC-77FB-46CF-A9D5-A8DBCD9B1682}"/>
    <cellStyle name="Normal 28 3 2" xfId="22461" xr:uid="{A653E4DF-38A9-4A6C-A091-23A356E9FC4B}"/>
    <cellStyle name="Normal 28 4" xfId="17869" xr:uid="{BD38C09F-F59E-443B-878C-BADE2DFA9ACA}"/>
    <cellStyle name="Normal 28 4 2" xfId="24093" xr:uid="{4FDA9456-8287-4535-A3A4-01827C02F421}"/>
    <cellStyle name="Normal 28 5" xfId="19042" xr:uid="{3CB31C2A-D751-4B4F-9649-5CA33BAD48F5}"/>
    <cellStyle name="Normal 28_1.2.b" xfId="16212" xr:uid="{43A33170-5212-40A8-8DF1-A4992FD2401F}"/>
    <cellStyle name="Normal 29" xfId="9860" xr:uid="{00000000-0005-0000-0000-00003F120000}"/>
    <cellStyle name="Normal 29 2" xfId="11645" xr:uid="{00000000-0005-0000-0000-000040120000}"/>
    <cellStyle name="Normal 29 2 2" xfId="20412" xr:uid="{7B9757A1-7720-49AC-8923-54D1F4AD6C61}"/>
    <cellStyle name="Normal 29 3" xfId="14276" xr:uid="{22C2CF1C-EF33-42E2-9684-94FD0A55A3F8}"/>
    <cellStyle name="Normal 29 3 2" xfId="22462" xr:uid="{9C81C91F-E6FD-49DA-A638-102567ED038A}"/>
    <cellStyle name="Normal 29 4" xfId="17870" xr:uid="{19782F76-D27E-4993-BFA9-FB197162508B}"/>
    <cellStyle name="Normal 29 4 2" xfId="24094" xr:uid="{9EA15676-A0D9-41EA-8043-DEB7D954EB3D}"/>
    <cellStyle name="Normal 29 5" xfId="19044" xr:uid="{F133EC16-989C-4EF2-938F-4ED94BFCB3BC}"/>
    <cellStyle name="Normal 29_1.2.b" xfId="16213" xr:uid="{0C1274E1-587E-46F8-854E-705BFDA6200C}"/>
    <cellStyle name="Normal 3" xfId="17" xr:uid="{00000000-0005-0000-0000-000041120000}"/>
    <cellStyle name="Normal 3 10" xfId="1423" xr:uid="{00000000-0005-0000-0000-000042120000}"/>
    <cellStyle name="Normal 3 10 2" xfId="14702" xr:uid="{37C175C0-076C-4200-A0C9-9C77CEDFFC58}"/>
    <cellStyle name="Normal 3 10_1.2.b" xfId="16215" xr:uid="{95CF42C0-D525-49B7-A202-CE7224100A00}"/>
    <cellStyle name="Normal 3 11" xfId="1424" xr:uid="{00000000-0005-0000-0000-000043120000}"/>
    <cellStyle name="Normal 3 12" xfId="1425" xr:uid="{00000000-0005-0000-0000-000044120000}"/>
    <cellStyle name="Normal 3 12 2" xfId="7791" xr:uid="{00000000-0005-0000-0000-000045120000}"/>
    <cellStyle name="Normal 3 13" xfId="1426" xr:uid="{00000000-0005-0000-0000-000046120000}"/>
    <cellStyle name="Normal 3 13 2" xfId="7792" xr:uid="{00000000-0005-0000-0000-000047120000}"/>
    <cellStyle name="Normal 3 14" xfId="1427" xr:uid="{00000000-0005-0000-0000-000048120000}"/>
    <cellStyle name="Normal 3 14 2" xfId="7793" xr:uid="{00000000-0005-0000-0000-000049120000}"/>
    <cellStyle name="Normal 3 15" xfId="1428" xr:uid="{00000000-0005-0000-0000-00004A120000}"/>
    <cellStyle name="Normal 3 15 2" xfId="7794" xr:uid="{00000000-0005-0000-0000-00004B120000}"/>
    <cellStyle name="Normal 3 16" xfId="1429" xr:uid="{00000000-0005-0000-0000-00004C120000}"/>
    <cellStyle name="Normal 3 16 2" xfId="7795" xr:uid="{00000000-0005-0000-0000-00004D120000}"/>
    <cellStyle name="Normal 3 17" xfId="1430" xr:uid="{00000000-0005-0000-0000-00004E120000}"/>
    <cellStyle name="Normal 3 17 2" xfId="7796" xr:uid="{00000000-0005-0000-0000-00004F120000}"/>
    <cellStyle name="Normal 3 18" xfId="1431" xr:uid="{00000000-0005-0000-0000-000050120000}"/>
    <cellStyle name="Normal 3 18 2" xfId="7797" xr:uid="{00000000-0005-0000-0000-000051120000}"/>
    <cellStyle name="Normal 3 19" xfId="1432" xr:uid="{00000000-0005-0000-0000-000052120000}"/>
    <cellStyle name="Normal 3 19 2" xfId="7798" xr:uid="{00000000-0005-0000-0000-000053120000}"/>
    <cellStyle name="Normal 3 2" xfId="71" xr:uid="{00000000-0005-0000-0000-000054120000}"/>
    <cellStyle name="Normal 3 2 10" xfId="4220" xr:uid="{00000000-0005-0000-0000-000055120000}"/>
    <cellStyle name="Normal 3 2 10 2" xfId="9655" xr:uid="{00000000-0005-0000-0000-000056120000}"/>
    <cellStyle name="Normal 3 2 10 2 2" xfId="10356" xr:uid="{00000000-0005-0000-0000-000057120000}"/>
    <cellStyle name="Normal 3 2 10 2 2 2" xfId="12091" xr:uid="{00000000-0005-0000-0000-000058120000}"/>
    <cellStyle name="Normal 3 2 10 2 2 2 2" xfId="20840" xr:uid="{D813E7F0-C5CE-4E88-BF42-98506DF6E7BC}"/>
    <cellStyle name="Normal 3 2 10 2 2 3" xfId="19477" xr:uid="{28C72A99-ADA1-483A-8243-FF548B11F0C2}"/>
    <cellStyle name="Normal 3 2 10 2 3" xfId="11444" xr:uid="{00000000-0005-0000-0000-000059120000}"/>
    <cellStyle name="Normal 3 2 10 2 3 2" xfId="20213" xr:uid="{9824B514-1C0E-479E-B876-E5F872C1CB84}"/>
    <cellStyle name="Normal 3 2 10 2 4" xfId="18845" xr:uid="{F249B420-7338-4376-912C-95FE17EFAA03}"/>
    <cellStyle name="Normal 3 2 10 3" xfId="10059" xr:uid="{00000000-0005-0000-0000-00005A120000}"/>
    <cellStyle name="Normal 3 2 10 3 2" xfId="11795" xr:uid="{00000000-0005-0000-0000-00005B120000}"/>
    <cellStyle name="Normal 3 2 10 3 2 2" xfId="20551" xr:uid="{76B5D6EB-0465-4C9B-A80D-AEDB2B28E647}"/>
    <cellStyle name="Normal 3 2 10 3 3" xfId="19188" xr:uid="{6FC998F0-6AD4-4869-8A40-258E2E9BDE0D}"/>
    <cellStyle name="Normal 3 2 10 4" xfId="11031" xr:uid="{00000000-0005-0000-0000-00005C120000}"/>
    <cellStyle name="Normal 3 2 10 4 2" xfId="19936" xr:uid="{D0A5A5F6-5337-45AA-8637-1EAB77BBEFD4}"/>
    <cellStyle name="Normal 3 2 10 5" xfId="18568" xr:uid="{4B9E9FE6-5FC9-4363-AD0C-6226BECFB288}"/>
    <cellStyle name="Normal 3 2 11" xfId="4303" xr:uid="{00000000-0005-0000-0000-00005D120000}"/>
    <cellStyle name="Normal 3 2 11 2" xfId="9726" xr:uid="{00000000-0005-0000-0000-00005E120000}"/>
    <cellStyle name="Normal 3 2 11 2 2" xfId="10426" xr:uid="{00000000-0005-0000-0000-00005F120000}"/>
    <cellStyle name="Normal 3 2 11 2 2 2" xfId="12161" xr:uid="{00000000-0005-0000-0000-000060120000}"/>
    <cellStyle name="Normal 3 2 11 2 2 2 2" xfId="20910" xr:uid="{A67367E0-94C2-468F-90A8-C15D9D987CF8}"/>
    <cellStyle name="Normal 3 2 11 2 2 3" xfId="19547" xr:uid="{CB44C0F5-EB47-4041-8E97-D95C6F87B36B}"/>
    <cellStyle name="Normal 3 2 11 2 3" xfId="11514" xr:uid="{00000000-0005-0000-0000-000061120000}"/>
    <cellStyle name="Normal 3 2 11 2 3 2" xfId="20283" xr:uid="{C6E1BEC2-ADE3-4855-AF79-F0EC9E51FB00}"/>
    <cellStyle name="Normal 3 2 11 2 4" xfId="18915" xr:uid="{B2B38EE1-C567-4CCF-AEFA-50F9D30D37AC}"/>
    <cellStyle name="Normal 3 2 11 3" xfId="10129" xr:uid="{00000000-0005-0000-0000-000062120000}"/>
    <cellStyle name="Normal 3 2 11 3 2" xfId="11865" xr:uid="{00000000-0005-0000-0000-000063120000}"/>
    <cellStyle name="Normal 3 2 11 3 2 2" xfId="20621" xr:uid="{4AB82E25-DB9C-478A-8712-EB4DFD1A7AAB}"/>
    <cellStyle name="Normal 3 2 11 3 3" xfId="19258" xr:uid="{DBDF979C-1819-4261-B80F-30D6B742B48A}"/>
    <cellStyle name="Normal 3 2 11 4" xfId="11112" xr:uid="{00000000-0005-0000-0000-000064120000}"/>
    <cellStyle name="Normal 3 2 11 4 2" xfId="20006" xr:uid="{4DCC4E1D-D02E-47F4-BA6B-EF255F4805C1}"/>
    <cellStyle name="Normal 3 2 11 5" xfId="18638" xr:uid="{93719329-E3E3-4D5F-9912-CF9A3890FC23}"/>
    <cellStyle name="Normal 3 2 12" xfId="7799" xr:uid="{00000000-0005-0000-0000-000065120000}"/>
    <cellStyle name="Normal 3 2 13" xfId="10544" xr:uid="{00000000-0005-0000-0000-000066120000}"/>
    <cellStyle name="Normal 3 2 13 2" xfId="12279" xr:uid="{00000000-0005-0000-0000-000067120000}"/>
    <cellStyle name="Normal 3 2 13 2 2" xfId="21028" xr:uid="{CAACC05D-872D-41AC-A085-B29907CE0770}"/>
    <cellStyle name="Normal 3 2 13 3" xfId="19665" xr:uid="{A406B760-1184-47D9-A2D3-58F5D558332B}"/>
    <cellStyle name="Normal 3 2 14" xfId="14277" xr:uid="{182166BB-D4D9-4106-9177-19694F79DBC5}"/>
    <cellStyle name="Normal 3 2 14 2" xfId="22463" xr:uid="{464F5725-7812-4D16-86A7-EDF352894580}"/>
    <cellStyle name="Normal 3 2 15" xfId="17872" xr:uid="{CE8590DA-F5EA-474A-A7D0-EBCFFD058468}"/>
    <cellStyle name="Normal 3 2 15 2" xfId="24096" xr:uid="{6BC237C6-D2DD-4F88-AEA6-5B3EB35FA416}"/>
    <cellStyle name="Normal 3 2 2" xfId="102" xr:uid="{00000000-0005-0000-0000-000068120000}"/>
    <cellStyle name="Normal 3 2 2 2" xfId="4271" xr:uid="{00000000-0005-0000-0000-000069120000}"/>
    <cellStyle name="Normal 3 2 2 2 2" xfId="9706" xr:uid="{00000000-0005-0000-0000-00006A120000}"/>
    <cellStyle name="Normal 3 2 2 2 2 2" xfId="10407" xr:uid="{00000000-0005-0000-0000-00006B120000}"/>
    <cellStyle name="Normal 3 2 2 2 2 2 2" xfId="12142" xr:uid="{00000000-0005-0000-0000-00006C120000}"/>
    <cellStyle name="Normal 3 2 2 2 2 2 2 2" xfId="20891" xr:uid="{5471D1A6-7DE3-41CE-BEA5-16114170B4E4}"/>
    <cellStyle name="Normal 3 2 2 2 2 2 3" xfId="19528" xr:uid="{9F782855-DE22-44B4-8A2E-806535A4B95D}"/>
    <cellStyle name="Normal 3 2 2 2 2 3" xfId="11495" xr:uid="{00000000-0005-0000-0000-00006D120000}"/>
    <cellStyle name="Normal 3 2 2 2 2 3 2" xfId="20264" xr:uid="{C155A4CC-98B3-4E25-9496-B13358F4C648}"/>
    <cellStyle name="Normal 3 2 2 2 2 4" xfId="18896" xr:uid="{EC897635-65E7-45AF-86FF-E1D6F9AB6DB1}"/>
    <cellStyle name="Normal 3 2 2 2 3" xfId="10110" xr:uid="{00000000-0005-0000-0000-00006E120000}"/>
    <cellStyle name="Normal 3 2 2 2 3 2" xfId="11846" xr:uid="{00000000-0005-0000-0000-00006F120000}"/>
    <cellStyle name="Normal 3 2 2 2 3 2 2" xfId="20602" xr:uid="{FCD1BE13-72E2-4EBF-8904-6E9BF6DA32EB}"/>
    <cellStyle name="Normal 3 2 2 2 3 3" xfId="19239" xr:uid="{C9DDC965-6908-4706-AA4F-82898A0E425E}"/>
    <cellStyle name="Normal 3 2 2 2 4" xfId="10565" xr:uid="{00000000-0005-0000-0000-000070120000}"/>
    <cellStyle name="Normal 3 2 2 2 4 2" xfId="12300" xr:uid="{00000000-0005-0000-0000-000071120000}"/>
    <cellStyle name="Normal 3 2 2 2 4 2 2" xfId="21046" xr:uid="{6AB3CDF2-00C6-4B79-97EB-DE2A90332736}"/>
    <cellStyle name="Normal 3 2 2 2 4 3" xfId="19683" xr:uid="{89F8D410-39DD-4B08-94AB-88C8A9A9CCB3}"/>
    <cellStyle name="Normal 3 2 2 2 5" xfId="11082" xr:uid="{00000000-0005-0000-0000-000072120000}"/>
    <cellStyle name="Normal 3 2 2 2 5 2" xfId="19987" xr:uid="{07876E1C-F792-47F3-89A6-6B5BCAFA15A6}"/>
    <cellStyle name="Normal 3 2 2 2 6" xfId="14279" xr:uid="{5ADE32B2-2FEE-4951-A671-CD4BC938B629}"/>
    <cellStyle name="Normal 3 2 2 2 6 2" xfId="22465" xr:uid="{A87FFEEC-2FFA-4154-810C-C7FC62A3FE4C}"/>
    <cellStyle name="Normal 3 2 2 2 7" xfId="17874" xr:uid="{1A376C5C-7500-4E97-ABFD-9697403D4AE6}"/>
    <cellStyle name="Normal 3 2 2 2 7 2" xfId="24098" xr:uid="{7E6FB304-9AA0-49B8-8972-DC1301187DCD}"/>
    <cellStyle name="Normal 3 2 2 2 8" xfId="18619" xr:uid="{814842F8-E988-4AC3-AB2F-E5920A5BE29E}"/>
    <cellStyle name="Normal 3 2 2 2_1.2.b" xfId="16218" xr:uid="{00809898-4D18-4DC9-B0DE-E7251105F6BB}"/>
    <cellStyle name="Normal 3 2 2 3" xfId="1433" xr:uid="{00000000-0005-0000-0000-000073120000}"/>
    <cellStyle name="Normal 3 2 2 3 2" xfId="14280" xr:uid="{C929AA12-1851-4AC1-8A16-C5DABAC7FDD0}"/>
    <cellStyle name="Normal 3 2 2 3_1.2.b" xfId="16219" xr:uid="{D404F22E-77C5-412B-BE97-863FFB0A37E8}"/>
    <cellStyle name="Normal 3 2 2 4" xfId="10554" xr:uid="{00000000-0005-0000-0000-000074120000}"/>
    <cellStyle name="Normal 3 2 2 4 2" xfId="12289" xr:uid="{00000000-0005-0000-0000-000075120000}"/>
    <cellStyle name="Normal 3 2 2 4 2 2" xfId="21036" xr:uid="{0A441B87-DCE4-4D05-AB14-357978383E7F}"/>
    <cellStyle name="Normal 3 2 2 4 3" xfId="19673" xr:uid="{8EFD60F3-6766-41F7-A50A-8F77B817BB9D}"/>
    <cellStyle name="Normal 3 2 2 5" xfId="14278" xr:uid="{57CC29D3-DE14-408F-B0D2-AEED46F3E2CD}"/>
    <cellStyle name="Normal 3 2 2 5 2" xfId="22464" xr:uid="{D1BFC2B3-BAB4-48E9-B051-DB8117C7DC26}"/>
    <cellStyle name="Normal 3 2 2 6" xfId="17873" xr:uid="{2A562FE9-BEA4-4409-9CFE-D22FB8689793}"/>
    <cellStyle name="Normal 3 2 2 6 2" xfId="24097" xr:uid="{4FD3AC10-5084-4E16-98E0-052453F02C51}"/>
    <cellStyle name="Normal 3 2 2_1.2.b" xfId="16217" xr:uid="{67520E7D-4013-47CE-BF72-0B9ABC76B6B1}"/>
    <cellStyle name="Normal 3 2 3" xfId="1434" xr:uid="{00000000-0005-0000-0000-000076120000}"/>
    <cellStyle name="Normal 3 2 3 2" xfId="10172" xr:uid="{00000000-0005-0000-0000-000077120000}"/>
    <cellStyle name="Normal 3 2 3 2 2" xfId="11908" xr:uid="{00000000-0005-0000-0000-000078120000}"/>
    <cellStyle name="Normal 3 2 3 2 2 2" xfId="20662" xr:uid="{9F064FC0-F537-4499-A886-C4021B79851A}"/>
    <cellStyle name="Normal 3 2 3 2 3" xfId="14282" xr:uid="{6D9D746F-D8BB-4AF5-8E40-6A690DEACF28}"/>
    <cellStyle name="Normal 3 2 3 2 4" xfId="19299" xr:uid="{27754EE6-D1D6-41AE-9776-3DBEE11440DA}"/>
    <cellStyle name="Normal 3 2 3 2_1.2.b" xfId="16221" xr:uid="{83F9695F-7F7C-48FD-847D-3AE229B08C8E}"/>
    <cellStyle name="Normal 3 2 3 3" xfId="10559" xr:uid="{00000000-0005-0000-0000-000079120000}"/>
    <cellStyle name="Normal 3 2 3 3 2" xfId="12294" xr:uid="{00000000-0005-0000-0000-00007A120000}"/>
    <cellStyle name="Normal 3 2 3 3 2 2" xfId="21040" xr:uid="{23BA72A3-6ECD-41BA-B3A5-FB626AA27386}"/>
    <cellStyle name="Normal 3 2 3 3 3" xfId="19677" xr:uid="{D0551BC3-39AF-40E4-AD33-246CBEFB850C}"/>
    <cellStyle name="Normal 3 2 3 4" xfId="14281" xr:uid="{FE98938F-D49E-48D5-BD24-B6499FBD6DDA}"/>
    <cellStyle name="Normal 3 2 3 4 2" xfId="22466" xr:uid="{C365DD0D-D220-4708-9DDB-A27EE3C742F4}"/>
    <cellStyle name="Normal 3 2 3 5" xfId="17875" xr:uid="{A8C370AE-331F-4CD7-BAA9-BC29B45037D4}"/>
    <cellStyle name="Normal 3 2 3 5 2" xfId="24099" xr:uid="{91A52E26-2123-40E9-AF68-CBEAEB7FB78E}"/>
    <cellStyle name="Normal 3 2 3 6" xfId="18240" xr:uid="{9DB60B36-8928-4A2A-BBE3-041B82873A34}"/>
    <cellStyle name="Normal 3 2 3 6 2" xfId="24412" xr:uid="{20F080E5-059B-4C0E-B3CE-4BBC6CFAFB23}"/>
    <cellStyle name="Normal 3 2 3 7" xfId="17802" xr:uid="{D9A41F67-1B3F-4F78-9958-820CE6FADF93}"/>
    <cellStyle name="Normal 3 2 3 7 2" xfId="24036" xr:uid="{61C4C3EA-CEA3-4BE5-9559-3147F54D2219}"/>
    <cellStyle name="Normal 3 2 3 8" xfId="18238" xr:uid="{52B44669-F09B-4377-9CB9-19E55ED66EE4}"/>
    <cellStyle name="Normal 3 2 3 8 2" xfId="24410" xr:uid="{589316A7-79ED-4C44-AAF4-E979BF715236}"/>
    <cellStyle name="Normal 3 2 3 9" xfId="17799" xr:uid="{CA438A14-4343-4486-AF15-BF1F5DEAA7A9}"/>
    <cellStyle name="Normal 3 2 3 9 2" xfId="24035" xr:uid="{264FFF5B-8428-49DC-A2B1-61C82531DF86}"/>
    <cellStyle name="Normal 3 2 3_1.2.b" xfId="16220" xr:uid="{1ED39410-7D6D-4589-B6AE-CEDD2A5B5A52}"/>
    <cellStyle name="Normal 3 2 4" xfId="1435" xr:uid="{00000000-0005-0000-0000-00007B120000}"/>
    <cellStyle name="Normal 3 2 4 2" xfId="14283" xr:uid="{86C12315-9312-40F6-B6D7-AEED798CDBE1}"/>
    <cellStyle name="Normal 3 2 4_1.2.b" xfId="16222" xr:uid="{DBEFE05B-80FC-494D-8BDC-37733EC04734}"/>
    <cellStyle name="Normal 3 2 5" xfId="1436" xr:uid="{00000000-0005-0000-0000-00007C120000}"/>
    <cellStyle name="Normal 3 2 5 2" xfId="14736" xr:uid="{730E1240-B2A2-4264-80A9-8287E9A7F284}"/>
    <cellStyle name="Normal 3 2 5 3" xfId="14284" xr:uid="{6406577B-A22B-4A61-BC91-621B79D50B74}"/>
    <cellStyle name="Normal 3 2 5_1.2.b" xfId="16223" xr:uid="{68143918-B92C-4DB8-A902-E62186C344D6}"/>
    <cellStyle name="Normal 3 2 6" xfId="1437" xr:uid="{00000000-0005-0000-0000-00007D120000}"/>
    <cellStyle name="Normal 3 2 7" xfId="1438" xr:uid="{00000000-0005-0000-0000-00007E120000}"/>
    <cellStyle name="Normal 3 2 8" xfId="1439" xr:uid="{00000000-0005-0000-0000-00007F120000}"/>
    <cellStyle name="Normal 3 2 9" xfId="4157" xr:uid="{00000000-0005-0000-0000-000080120000}"/>
    <cellStyle name="Normal 3 2 9 2" xfId="9603" xr:uid="{00000000-0005-0000-0000-000081120000}"/>
    <cellStyle name="Normal 3 2 9 2 2" xfId="10305" xr:uid="{00000000-0005-0000-0000-000082120000}"/>
    <cellStyle name="Normal 3 2 9 2 2 2" xfId="12040" xr:uid="{00000000-0005-0000-0000-000083120000}"/>
    <cellStyle name="Normal 3 2 9 2 2 2 2" xfId="20789" xr:uid="{C4895658-D095-43F6-B4EA-6A3831FAFDF4}"/>
    <cellStyle name="Normal 3 2 9 2 2 3" xfId="19426" xr:uid="{F6CFD135-10F4-4C18-8242-4E995DA36BFE}"/>
    <cellStyle name="Normal 3 2 9 2 3" xfId="11393" xr:uid="{00000000-0005-0000-0000-000084120000}"/>
    <cellStyle name="Normal 3 2 9 2 3 2" xfId="20162" xr:uid="{C08F0551-AEC8-49B6-8EFD-DE78F4EBE48B}"/>
    <cellStyle name="Normal 3 2 9 2 4" xfId="18794" xr:uid="{7A165885-FE38-48A3-B1F1-5B909A4A142C}"/>
    <cellStyle name="Normal 3 2 9 3" xfId="10008" xr:uid="{00000000-0005-0000-0000-000085120000}"/>
    <cellStyle name="Normal 3 2 9 3 2" xfId="11744" xr:uid="{00000000-0005-0000-0000-000086120000}"/>
    <cellStyle name="Normal 3 2 9 3 2 2" xfId="20500" xr:uid="{A6094A78-E47B-40E3-B85F-2D9D4F373FA4}"/>
    <cellStyle name="Normal 3 2 9 3 3" xfId="19137" xr:uid="{587A4504-F1F3-475E-9F47-213F862B9618}"/>
    <cellStyle name="Normal 3 2 9 4" xfId="10971" xr:uid="{00000000-0005-0000-0000-000087120000}"/>
    <cellStyle name="Normal 3 2 9 4 2" xfId="19885" xr:uid="{CF86F73B-C2AC-4515-A8F8-691A5FDEB4AC}"/>
    <cellStyle name="Normal 3 2 9 5" xfId="18517" xr:uid="{511FB347-B8E7-41E3-881D-6B64C47EF6BA}"/>
    <cellStyle name="Normal 3 2_1.2.b" xfId="16216" xr:uid="{B2D98674-6980-4C41-8A92-806BB7F82DAF}"/>
    <cellStyle name="Normal 3 20" xfId="1440" xr:uid="{00000000-0005-0000-0000-000088120000}"/>
    <cellStyle name="Normal 3 20 2" xfId="7800" xr:uid="{00000000-0005-0000-0000-000089120000}"/>
    <cellStyle name="Normal 3 21" xfId="1441" xr:uid="{00000000-0005-0000-0000-00008A120000}"/>
    <cellStyle name="Normal 3 21 2" xfId="7801" xr:uid="{00000000-0005-0000-0000-00008B120000}"/>
    <cellStyle name="Normal 3 22" xfId="1442" xr:uid="{00000000-0005-0000-0000-00008C120000}"/>
    <cellStyle name="Normal 3 22 2" xfId="7802" xr:uid="{00000000-0005-0000-0000-00008D120000}"/>
    <cellStyle name="Normal 3 23" xfId="1443" xr:uid="{00000000-0005-0000-0000-00008E120000}"/>
    <cellStyle name="Normal 3 23 2" xfId="7803" xr:uid="{00000000-0005-0000-0000-00008F120000}"/>
    <cellStyle name="Normal 3 24" xfId="1444" xr:uid="{00000000-0005-0000-0000-000090120000}"/>
    <cellStyle name="Normal 3 24 2" xfId="7804" xr:uid="{00000000-0005-0000-0000-000091120000}"/>
    <cellStyle name="Normal 3 25" xfId="1445" xr:uid="{00000000-0005-0000-0000-000092120000}"/>
    <cellStyle name="Normal 3 25 2" xfId="7805" xr:uid="{00000000-0005-0000-0000-000093120000}"/>
    <cellStyle name="Normal 3 26" xfId="1446" xr:uid="{00000000-0005-0000-0000-000094120000}"/>
    <cellStyle name="Normal 3 26 2" xfId="7806" xr:uid="{00000000-0005-0000-0000-000095120000}"/>
    <cellStyle name="Normal 3 27" xfId="1447" xr:uid="{00000000-0005-0000-0000-000096120000}"/>
    <cellStyle name="Normal 3 27 2" xfId="7807" xr:uid="{00000000-0005-0000-0000-000097120000}"/>
    <cellStyle name="Normal 3 28" xfId="1448" xr:uid="{00000000-0005-0000-0000-000098120000}"/>
    <cellStyle name="Normal 3 28 2" xfId="7808" xr:uid="{00000000-0005-0000-0000-000099120000}"/>
    <cellStyle name="Normal 3 29" xfId="1449" xr:uid="{00000000-0005-0000-0000-00009A120000}"/>
    <cellStyle name="Normal 3 29 2" xfId="7809" xr:uid="{00000000-0005-0000-0000-00009B120000}"/>
    <cellStyle name="Normal 3 3" xfId="101" xr:uid="{00000000-0005-0000-0000-00009C120000}"/>
    <cellStyle name="Normal 3 3 10" xfId="18239" xr:uid="{5A750C32-12E8-4839-95E7-694ABA44BBC3}"/>
    <cellStyle name="Normal 3 3 10 2" xfId="24411" xr:uid="{883D9420-7E95-47D9-86F9-DFD998194DA9}"/>
    <cellStyle name="Normal 3 3 2" xfId="4117" xr:uid="{00000000-0005-0000-0000-00009D120000}"/>
    <cellStyle name="Normal 3 3 2 2" xfId="4253" xr:uid="{00000000-0005-0000-0000-00009E120000}"/>
    <cellStyle name="Normal 3 3 2 2 2" xfId="9688" xr:uid="{00000000-0005-0000-0000-00009F120000}"/>
    <cellStyle name="Normal 3 3 2 2 2 2" xfId="10389" xr:uid="{00000000-0005-0000-0000-0000A0120000}"/>
    <cellStyle name="Normal 3 3 2 2 2 2 2" xfId="12124" xr:uid="{00000000-0005-0000-0000-0000A1120000}"/>
    <cellStyle name="Normal 3 3 2 2 2 2 2 2" xfId="20873" xr:uid="{EBD19936-7127-470E-BC5F-5BF7193FBB2B}"/>
    <cellStyle name="Normal 3 3 2 2 2 2 3" xfId="19510" xr:uid="{666B541F-2163-4F00-AFBC-56665D3701CE}"/>
    <cellStyle name="Normal 3 3 2 2 2 3" xfId="11477" xr:uid="{00000000-0005-0000-0000-0000A2120000}"/>
    <cellStyle name="Normal 3 3 2 2 2 3 2" xfId="20246" xr:uid="{4D12A604-3AAC-4FCB-BE56-F9B4CA84034F}"/>
    <cellStyle name="Normal 3 3 2 2 2 4" xfId="18878" xr:uid="{79A44398-1D82-4F04-8304-C0C4260F73AF}"/>
    <cellStyle name="Normal 3 3 2 2 3" xfId="10092" xr:uid="{00000000-0005-0000-0000-0000A3120000}"/>
    <cellStyle name="Normal 3 3 2 2 3 2" xfId="11828" xr:uid="{00000000-0005-0000-0000-0000A4120000}"/>
    <cellStyle name="Normal 3 3 2 2 3 2 2" xfId="20584" xr:uid="{64B86A8F-32C0-45F4-BF46-BB5F1F94AAC4}"/>
    <cellStyle name="Normal 3 3 2 2 3 3" xfId="19221" xr:uid="{1870C6DB-C2ED-4F7B-AC2D-39B055846A53}"/>
    <cellStyle name="Normal 3 3 2 2 4" xfId="11064" xr:uid="{00000000-0005-0000-0000-0000A5120000}"/>
    <cellStyle name="Normal 3 3 2 2 4 2" xfId="19969" xr:uid="{BCA3FC15-E80B-4071-B0A8-432D8A9E6F85}"/>
    <cellStyle name="Normal 3 3 2 2 5" xfId="18601" xr:uid="{9D2859F6-A877-44A0-ACDD-8510D450A6BD}"/>
    <cellStyle name="Normal 3 3 2 3" xfId="9584" xr:uid="{00000000-0005-0000-0000-0000A6120000}"/>
    <cellStyle name="Normal 3 3 2 3 2" xfId="10287" xr:uid="{00000000-0005-0000-0000-0000A7120000}"/>
    <cellStyle name="Normal 3 3 2 3 2 2" xfId="12022" xr:uid="{00000000-0005-0000-0000-0000A8120000}"/>
    <cellStyle name="Normal 3 3 2 3 2 2 2" xfId="20771" xr:uid="{8B85663A-130F-4BEB-AB7F-72C9ABDE4081}"/>
    <cellStyle name="Normal 3 3 2 3 2 3" xfId="19408" xr:uid="{29F32AA2-9A25-4183-913C-2792110528C0}"/>
    <cellStyle name="Normal 3 3 2 3 3" xfId="11375" xr:uid="{00000000-0005-0000-0000-0000A9120000}"/>
    <cellStyle name="Normal 3 3 2 3 3 2" xfId="20144" xr:uid="{15AA5170-1E52-4D2D-9033-3ADF7C19D287}"/>
    <cellStyle name="Normal 3 3 2 3 4" xfId="18776" xr:uid="{2DF56EB5-B106-4BD5-B296-4B51D8CCDE6F}"/>
    <cellStyle name="Normal 3 3 2 4" xfId="9990" xr:uid="{00000000-0005-0000-0000-0000AA120000}"/>
    <cellStyle name="Normal 3 3 2 4 2" xfId="11726" xr:uid="{00000000-0005-0000-0000-0000AB120000}"/>
    <cellStyle name="Normal 3 3 2 4 2 2" xfId="20482" xr:uid="{58FD341B-F45D-4BBF-ACE0-3749170D3B50}"/>
    <cellStyle name="Normal 3 3 2 4 3" xfId="19119" xr:uid="{CCEC1056-E74E-485F-914A-F1EFB19BE4E2}"/>
    <cellStyle name="Normal 3 3 2 5" xfId="10950" xr:uid="{00000000-0005-0000-0000-0000AC120000}"/>
    <cellStyle name="Normal 3 3 2 5 2" xfId="19867" xr:uid="{39DD0496-7232-440A-A7EA-868507EA10D7}"/>
    <cellStyle name="Normal 3 3 2 6" xfId="14286" xr:uid="{F5A71559-9313-471C-8A0B-EACAFE906FC3}"/>
    <cellStyle name="Normal 3 3 2 7" xfId="18499" xr:uid="{E4F158B4-BAC9-4F66-B247-86D9903AA1C6}"/>
    <cellStyle name="Normal 3 3 2_1.2.b" xfId="16225" xr:uid="{D3025A6F-D24C-4930-A42C-B5DD7C9D20B8}"/>
    <cellStyle name="Normal 3 3 3" xfId="4202" xr:uid="{00000000-0005-0000-0000-0000AD120000}"/>
    <cellStyle name="Normal 3 3 3 2" xfId="9637" xr:uid="{00000000-0005-0000-0000-0000AE120000}"/>
    <cellStyle name="Normal 3 3 3 2 2" xfId="10338" xr:uid="{00000000-0005-0000-0000-0000AF120000}"/>
    <cellStyle name="Normal 3 3 3 2 2 2" xfId="12073" xr:uid="{00000000-0005-0000-0000-0000B0120000}"/>
    <cellStyle name="Normal 3 3 3 2 2 2 2" xfId="20822" xr:uid="{DF2A857F-F8F5-4544-AFD8-08233F3D8D20}"/>
    <cellStyle name="Normal 3 3 3 2 2 3" xfId="19459" xr:uid="{26D54D78-4613-47A0-8F39-9D32B52DA518}"/>
    <cellStyle name="Normal 3 3 3 2 3" xfId="11426" xr:uid="{00000000-0005-0000-0000-0000B1120000}"/>
    <cellStyle name="Normal 3 3 3 2 3 2" xfId="20195" xr:uid="{5C31F623-A5D8-4592-BA0F-119F0E18C3C1}"/>
    <cellStyle name="Normal 3 3 3 2 4" xfId="18827" xr:uid="{621355FE-1697-41E2-A997-BD570063ABF5}"/>
    <cellStyle name="Normal 3 3 3 3" xfId="10041" xr:uid="{00000000-0005-0000-0000-0000B2120000}"/>
    <cellStyle name="Normal 3 3 3 3 2" xfId="11777" xr:uid="{00000000-0005-0000-0000-0000B3120000}"/>
    <cellStyle name="Normal 3 3 3 3 2 2" xfId="20533" xr:uid="{2D939E72-7858-48B0-AA05-1D71B4299778}"/>
    <cellStyle name="Normal 3 3 3 3 3" xfId="19170" xr:uid="{3E172011-59E1-4281-AD0B-5EAEAF5A8973}"/>
    <cellStyle name="Normal 3 3 3 4" xfId="11013" xr:uid="{00000000-0005-0000-0000-0000B4120000}"/>
    <cellStyle name="Normal 3 3 3 4 2" xfId="19918" xr:uid="{8DD770B9-791C-4CC3-8888-AB2234D454FD}"/>
    <cellStyle name="Normal 3 3 3 5" xfId="14287" xr:uid="{720D1177-3A64-4F76-9835-08F07D240053}"/>
    <cellStyle name="Normal 3 3 3 6" xfId="18550" xr:uid="{EBF29092-B97C-4BAD-A243-4E41770762DE}"/>
    <cellStyle name="Normal 3 3 3_1.2.b" xfId="16226" xr:uid="{9600B324-CF8A-4D45-834F-28B496480A46}"/>
    <cellStyle name="Normal 3 3 4" xfId="4312" xr:uid="{00000000-0005-0000-0000-0000B5120000}"/>
    <cellStyle name="Normal 3 3 4 2" xfId="9729" xr:uid="{00000000-0005-0000-0000-0000B6120000}"/>
    <cellStyle name="Normal 3 3 5" xfId="7810" xr:uid="{00000000-0005-0000-0000-0000B7120000}"/>
    <cellStyle name="Normal 3 3 6" xfId="14285" xr:uid="{AB029E20-CAC9-4C6C-BE41-103964ABF843}"/>
    <cellStyle name="Normal 3 3 6 2" xfId="22467" xr:uid="{DC42D477-46EA-40C0-A42B-2B011DA50694}"/>
    <cellStyle name="Normal 3 3 7" xfId="17876" xr:uid="{B0640CCF-B5D3-4D96-B759-E051DEEA112F}"/>
    <cellStyle name="Normal 3 3 7 2" xfId="24100" xr:uid="{8D2F88AF-1480-4AA3-8941-7E74F5BFE06E}"/>
    <cellStyle name="Normal 3 3 8" xfId="18241" xr:uid="{1DEB96AC-C98E-4CDB-B916-6939706700A1}"/>
    <cellStyle name="Normal 3 3 8 2" xfId="24413" xr:uid="{3BF67D21-04A3-4DB3-B0C5-B077FC219998}"/>
    <cellStyle name="Normal 3 3 9" xfId="17803" xr:uid="{B0FCD312-43E6-4AD4-962D-85CF6BAE342E}"/>
    <cellStyle name="Normal 3 3 9 2" xfId="24037" xr:uid="{C277F76F-5BB8-4111-85DE-4D6E783C4F41}"/>
    <cellStyle name="Normal 3 3_1.2.b" xfId="16224" xr:uid="{059334CF-970B-47B4-95E3-1D4ADE30AC82}"/>
    <cellStyle name="Normal 3 30" xfId="1450" xr:uid="{00000000-0005-0000-0000-0000B8120000}"/>
    <cellStyle name="Normal 3 30 2" xfId="7811" xr:uid="{00000000-0005-0000-0000-0000B9120000}"/>
    <cellStyle name="Normal 3 31" xfId="4042" xr:uid="{00000000-0005-0000-0000-0000BA120000}"/>
    <cellStyle name="Normal 3 32" xfId="4084" xr:uid="{00000000-0005-0000-0000-0000BB120000}"/>
    <cellStyle name="Normal 3 32 2" xfId="9568" xr:uid="{00000000-0005-0000-0000-0000BC120000}"/>
    <cellStyle name="Normal 3 32 2 2" xfId="10271" xr:uid="{00000000-0005-0000-0000-0000BD120000}"/>
    <cellStyle name="Normal 3 32 2 2 2" xfId="12006" xr:uid="{00000000-0005-0000-0000-0000BE120000}"/>
    <cellStyle name="Normal 3 32 2 2 2 2" xfId="20755" xr:uid="{EAC3701C-E2E8-44F5-B993-CBE24F4587B0}"/>
    <cellStyle name="Normal 3 32 2 2 3" xfId="19392" xr:uid="{14F4CABF-2A77-4B8F-8518-DDD42A764D56}"/>
    <cellStyle name="Normal 3 32 2 3" xfId="11359" xr:uid="{00000000-0005-0000-0000-0000BF120000}"/>
    <cellStyle name="Normal 3 32 2 3 2" xfId="20128" xr:uid="{7210B369-F555-4DDF-A4B3-88ED93EAB76B}"/>
    <cellStyle name="Normal 3 32 2 4" xfId="18760" xr:uid="{1CDF5B42-7F75-43D0-A6B4-0867D9812529}"/>
    <cellStyle name="Normal 3 32 3" xfId="9974" xr:uid="{00000000-0005-0000-0000-0000C0120000}"/>
    <cellStyle name="Normal 3 32 3 2" xfId="11710" xr:uid="{00000000-0005-0000-0000-0000C1120000}"/>
    <cellStyle name="Normal 3 32 3 2 2" xfId="20466" xr:uid="{287D4340-8B54-4EF1-9235-26C5FC85D6FB}"/>
    <cellStyle name="Normal 3 32 3 3" xfId="19103" xr:uid="{30EA798E-3EED-4AA0-9836-FC8CFA5628BA}"/>
    <cellStyle name="Normal 3 32 4" xfId="10933" xr:uid="{00000000-0005-0000-0000-0000C2120000}"/>
    <cellStyle name="Normal 3 32 4 2" xfId="19851" xr:uid="{7AF7E455-323A-47A2-B266-252FDCABCFF1}"/>
    <cellStyle name="Normal 3 32 5" xfId="18483" xr:uid="{B4324387-2DC0-4B9A-AF22-57C9F5F56BAA}"/>
    <cellStyle name="Normal 3 33" xfId="4186" xr:uid="{00000000-0005-0000-0000-0000C3120000}"/>
    <cellStyle name="Normal 3 33 2" xfId="9621" xr:uid="{00000000-0005-0000-0000-0000C4120000}"/>
    <cellStyle name="Normal 3 33 2 2" xfId="10322" xr:uid="{00000000-0005-0000-0000-0000C5120000}"/>
    <cellStyle name="Normal 3 33 2 2 2" xfId="12057" xr:uid="{00000000-0005-0000-0000-0000C6120000}"/>
    <cellStyle name="Normal 3 33 2 2 2 2" xfId="20806" xr:uid="{D97B6F42-3F70-4BBC-896C-4010C2D96B37}"/>
    <cellStyle name="Normal 3 33 2 2 3" xfId="19443" xr:uid="{1F216501-A5C7-45D2-9EC7-5F186049B5D0}"/>
    <cellStyle name="Normal 3 33 2 3" xfId="11410" xr:uid="{00000000-0005-0000-0000-0000C7120000}"/>
    <cellStyle name="Normal 3 33 2 3 2" xfId="20179" xr:uid="{DCAFA502-6F68-40E2-A78F-AAB4CADD4397}"/>
    <cellStyle name="Normal 3 33 2 4" xfId="18811" xr:uid="{358CEC65-D5C1-4A9F-AE9A-E4605EB1A20D}"/>
    <cellStyle name="Normal 3 33 3" xfId="10025" xr:uid="{00000000-0005-0000-0000-0000C8120000}"/>
    <cellStyle name="Normal 3 33 3 2" xfId="11761" xr:uid="{00000000-0005-0000-0000-0000C9120000}"/>
    <cellStyle name="Normal 3 33 3 2 2" xfId="20517" xr:uid="{C72735C8-F47D-4627-B2AE-312671EFF3D2}"/>
    <cellStyle name="Normal 3 33 3 3" xfId="19154" xr:uid="{2D4ECB85-E16F-4B3A-B2B7-BBD2ECD188CE}"/>
    <cellStyle name="Normal 3 33 4" xfId="10997" xr:uid="{00000000-0005-0000-0000-0000CA120000}"/>
    <cellStyle name="Normal 3 33 4 2" xfId="19902" xr:uid="{9CDFACB7-215B-4279-A628-A709DCEC4DAB}"/>
    <cellStyle name="Normal 3 33 5" xfId="18534" xr:uid="{8E219AE7-E914-4C8F-9FBD-683DF55DCACA}"/>
    <cellStyle name="Normal 3 34" xfId="4277" xr:uid="{00000000-0005-0000-0000-0000CB120000}"/>
    <cellStyle name="Normal 3 34 2" xfId="9711" xr:uid="{00000000-0005-0000-0000-0000CC120000}"/>
    <cellStyle name="Normal 3 35" xfId="4356" xr:uid="{00000000-0005-0000-0000-0000CD120000}"/>
    <cellStyle name="Normal 3 35 2" xfId="9764" xr:uid="{00000000-0005-0000-0000-0000CE120000}"/>
    <cellStyle name="Normal 3 35 2 2" xfId="10462" xr:uid="{00000000-0005-0000-0000-0000CF120000}"/>
    <cellStyle name="Normal 3 35 2 2 2" xfId="12197" xr:uid="{00000000-0005-0000-0000-0000D0120000}"/>
    <cellStyle name="Normal 3 35 2 2 2 2" xfId="20946" xr:uid="{03BF8D3B-F10E-4559-AC43-7FC2ED24B79C}"/>
    <cellStyle name="Normal 3 35 2 2 3" xfId="19583" xr:uid="{7CE791AB-68FB-4D6B-83B3-B07F2C0BDE5B}"/>
    <cellStyle name="Normal 3 35 2 3" xfId="11550" xr:uid="{00000000-0005-0000-0000-0000D1120000}"/>
    <cellStyle name="Normal 3 35 2 3 2" xfId="20319" xr:uid="{D763F929-DDF9-4D27-89AE-A24F29E55CA1}"/>
    <cellStyle name="Normal 3 35 2 4" xfId="18951" xr:uid="{0CEF30BE-C06C-4B2A-8075-C579A3AB1BA9}"/>
    <cellStyle name="Normal 3 35 3" xfId="10167" xr:uid="{00000000-0005-0000-0000-0000D2120000}"/>
    <cellStyle name="Normal 3 35 3 2" xfId="11903" xr:uid="{00000000-0005-0000-0000-0000D3120000}"/>
    <cellStyle name="Normal 3 35 3 2 2" xfId="20657" xr:uid="{C4BA3917-7477-47E2-A17D-313ECFA8D97C}"/>
    <cellStyle name="Normal 3 35 3 3" xfId="19294" xr:uid="{5F405361-1CDB-4CB9-83B6-0FB42BC81A71}"/>
    <cellStyle name="Normal 3 35 4" xfId="11160" xr:uid="{00000000-0005-0000-0000-0000D4120000}"/>
    <cellStyle name="Normal 3 35 4 2" xfId="20042" xr:uid="{FA50491E-B74F-459E-8E10-7C8107D37386}"/>
    <cellStyle name="Normal 3 35 5" xfId="18674" xr:uid="{0E7B9B5B-C766-437E-9751-C7B1139224C4}"/>
    <cellStyle name="Normal 3 36" xfId="9902" xr:uid="{00000000-0005-0000-0000-0000D5120000}"/>
    <cellStyle name="Normal 3 37" xfId="10543" xr:uid="{00000000-0005-0000-0000-0000D6120000}"/>
    <cellStyle name="Normal 3 37 2" xfId="12278" xr:uid="{00000000-0005-0000-0000-0000D7120000}"/>
    <cellStyle name="Normal 3 37 2 2" xfId="21027" xr:uid="{41A69426-DBC4-4E29-921B-C00D396783F5}"/>
    <cellStyle name="Normal 3 37 3" xfId="19664" xr:uid="{11C1FA0A-D33C-499E-9304-F5071201BA15}"/>
    <cellStyle name="Normal 3 38" xfId="18288" xr:uid="{6988CE60-1ECD-4B93-B233-1FF433280765}"/>
    <cellStyle name="Normal 3 4" xfId="1451" xr:uid="{00000000-0005-0000-0000-0000D8120000}"/>
    <cellStyle name="Normal 3 4 2" xfId="4237" xr:uid="{00000000-0005-0000-0000-0000D9120000}"/>
    <cellStyle name="Normal 3 4 2 2" xfId="9672" xr:uid="{00000000-0005-0000-0000-0000DA120000}"/>
    <cellStyle name="Normal 3 4 2 2 2" xfId="10373" xr:uid="{00000000-0005-0000-0000-0000DB120000}"/>
    <cellStyle name="Normal 3 4 2 2 2 2" xfId="12108" xr:uid="{00000000-0005-0000-0000-0000DC120000}"/>
    <cellStyle name="Normal 3 4 2 2 2 2 2" xfId="20857" xr:uid="{599C19EA-DD0D-4E1D-BEF7-3C2DAB73C7E3}"/>
    <cellStyle name="Normal 3 4 2 2 2 3" xfId="19494" xr:uid="{0F034E71-84D8-4E16-B02B-7199DF89895B}"/>
    <cellStyle name="Normal 3 4 2 2 3" xfId="11461" xr:uid="{00000000-0005-0000-0000-0000DD120000}"/>
    <cellStyle name="Normal 3 4 2 2 3 2" xfId="20230" xr:uid="{8D039322-F2F7-493D-831B-EB4CB296AAB5}"/>
    <cellStyle name="Normal 3 4 2 2 4" xfId="18862" xr:uid="{E8D11507-C411-43FF-8C4E-27DB665ACC72}"/>
    <cellStyle name="Normal 3 4 2 3" xfId="10076" xr:uid="{00000000-0005-0000-0000-0000DE120000}"/>
    <cellStyle name="Normal 3 4 2 3 2" xfId="11812" xr:uid="{00000000-0005-0000-0000-0000DF120000}"/>
    <cellStyle name="Normal 3 4 2 3 2 2" xfId="20568" xr:uid="{46051FAE-86E1-43AB-9AF2-994F85C2F394}"/>
    <cellStyle name="Normal 3 4 2 3 3" xfId="19205" xr:uid="{7540A9B7-4CB2-494F-9915-19B82EE94374}"/>
    <cellStyle name="Normal 3 4 2 4" xfId="11048" xr:uid="{00000000-0005-0000-0000-0000E0120000}"/>
    <cellStyle name="Normal 3 4 2 4 2" xfId="19953" xr:uid="{E6D6519A-B284-44D7-A7C1-98E4B2F074FD}"/>
    <cellStyle name="Normal 3 4 2 5" xfId="18585" xr:uid="{008F3FF7-D187-4195-BDEF-1BD9227B22AB}"/>
    <cellStyle name="Normal 3 4 3" xfId="4307" xr:uid="{00000000-0005-0000-0000-0000E1120000}"/>
    <cellStyle name="Normal 3 4 4" xfId="14288" xr:uid="{391B8572-BEAD-4D37-AAAE-A017312780F9}"/>
    <cellStyle name="Normal 3 4_1.2.b" xfId="16227" xr:uid="{E26146BD-4F50-439A-BD3F-6E46B8D90097}"/>
    <cellStyle name="Normal 3 5" xfId="1452" xr:uid="{00000000-0005-0000-0000-0000E2120000}"/>
    <cellStyle name="Normal 3 5 2" xfId="4330" xr:uid="{00000000-0005-0000-0000-0000E3120000}"/>
    <cellStyle name="Normal 3 5 2 2" xfId="9741" xr:uid="{00000000-0005-0000-0000-0000E4120000}"/>
    <cellStyle name="Normal 3 5 2 3" xfId="14289" xr:uid="{52CE6042-C07B-4C3C-B653-E7B35FCCF668}"/>
    <cellStyle name="Normal 3 5 2_1.2.b" xfId="16229" xr:uid="{C23DB0C5-312C-49C8-9768-B3491A3F5C75}"/>
    <cellStyle name="Normal 3 5 3" xfId="14290" xr:uid="{56A9AFB0-033E-4484-9879-7C4515EE2A35}"/>
    <cellStyle name="Normal 3 5 4" xfId="14737" xr:uid="{1922AAFD-A704-41B4-873F-E9A2782C704F}"/>
    <cellStyle name="Normal 3 5_1.2.b" xfId="16228" xr:uid="{0BBA1DDE-ACBD-4E6D-A2A8-633B71758217}"/>
    <cellStyle name="Normal 3 6" xfId="1453" xr:uid="{00000000-0005-0000-0000-0000E5120000}"/>
    <cellStyle name="Normal 3 6 2" xfId="14292" xr:uid="{AD9021A7-7BEC-4045-B568-C0C4EFB5B3A2}"/>
    <cellStyle name="Normal 3 6 3" xfId="14293" xr:uid="{56890934-48D6-4913-9315-69B6E16BBD86}"/>
    <cellStyle name="Normal 3 6 4" xfId="14738" xr:uid="{22900FA6-9976-4429-8D0D-3CF09692E42A}"/>
    <cellStyle name="Normal 3 6 5" xfId="14291" xr:uid="{A648D594-85B4-49E5-A95E-0872D76AC572}"/>
    <cellStyle name="Normal 3 6_1.2.b" xfId="16230" xr:uid="{6979F4F7-7FC5-4162-9269-63C960A20A39}"/>
    <cellStyle name="Normal 3 7" xfId="1454" xr:uid="{00000000-0005-0000-0000-0000E6120000}"/>
    <cellStyle name="Normal 3 7 2" xfId="14739" xr:uid="{4AD390E3-B23E-4340-97A1-5436C1A7A946}"/>
    <cellStyle name="Normal 3 7 3" xfId="14294" xr:uid="{FFDC59D6-B383-4335-B5B3-79169B463936}"/>
    <cellStyle name="Normal 3 7_1.2.b" xfId="16231" xr:uid="{5C341FC6-EE63-4C92-BBF6-3B077116F4D2}"/>
    <cellStyle name="Normal 3 8" xfId="1455" xr:uid="{00000000-0005-0000-0000-0000E7120000}"/>
    <cellStyle name="Normal 3 8 2" xfId="14740" xr:uid="{6804A17D-9699-4CEB-A4D9-1802868E0026}"/>
    <cellStyle name="Normal 3 8 3" xfId="14295" xr:uid="{B9B3FB28-3B54-4E3A-8448-DFED84BB2717}"/>
    <cellStyle name="Normal 3 8_1.2.b" xfId="16232" xr:uid="{6875C02F-C20A-4843-9C59-9408D5070DEA}"/>
    <cellStyle name="Normal 3 9" xfId="1456" xr:uid="{00000000-0005-0000-0000-0000E8120000}"/>
    <cellStyle name="Normal 3 9 2" xfId="14735" xr:uid="{1C857237-09B3-4001-A500-DC479B94653D}"/>
    <cellStyle name="Normal 3 9 3" xfId="14296" xr:uid="{349A8290-7303-4356-BFA7-7AA8B90067B4}"/>
    <cellStyle name="Normal 3 9_1.2.b" xfId="16233" xr:uid="{F2EF26CD-BE1C-43B5-B847-19AF97144AB6}"/>
    <cellStyle name="Normal 3_1.2.b" xfId="16214" xr:uid="{A16F8BFE-6E63-4EB5-8B3F-8ADD875C0E89}"/>
    <cellStyle name="Normal 30" xfId="9862" xr:uid="{00000000-0005-0000-0000-0000E9120000}"/>
    <cellStyle name="Normal 30 2" xfId="11647" xr:uid="{00000000-0005-0000-0000-0000EA120000}"/>
    <cellStyle name="Normal 30 2 2" xfId="20414" xr:uid="{E89E8BB5-22E6-4EF5-8435-B5C10682A6C7}"/>
    <cellStyle name="Normal 30 3" xfId="14297" xr:uid="{E72EDE6A-5919-446F-9C88-9DB6FCED615E}"/>
    <cellStyle name="Normal 30 3 2" xfId="22468" xr:uid="{FF8D086B-F543-4E9E-AC2E-0882E42A68D7}"/>
    <cellStyle name="Normal 30 4" xfId="17878" xr:uid="{9A3119EE-E508-40ED-9E12-979D77575EBF}"/>
    <cellStyle name="Normal 30 4 2" xfId="24101" xr:uid="{091A65E7-3472-4722-B0B1-92C266194786}"/>
    <cellStyle name="Normal 30 5" xfId="19046" xr:uid="{46221D22-1D8A-4013-A256-36E5E4B5E34C}"/>
    <cellStyle name="Normal 30_1.2.b" xfId="16234" xr:uid="{99A036DA-BAC5-4A1F-AA06-35D9EF660656}"/>
    <cellStyle name="Normal 31" xfId="9914" xr:uid="{00000000-0005-0000-0000-0000EB120000}"/>
    <cellStyle name="Normal 31 2" xfId="11651" xr:uid="{00000000-0005-0000-0000-0000EC120000}"/>
    <cellStyle name="Normal 31 2 2" xfId="20417" xr:uid="{5A6DF19A-EF59-4A7F-A751-CDE14A9729DD}"/>
    <cellStyle name="Normal 31 3" xfId="14298" xr:uid="{9FCCCB16-23DE-445C-ADE3-5325FC4E20FB}"/>
    <cellStyle name="Normal 31 3 2" xfId="22469" xr:uid="{AAC7561F-DE53-4699-97D1-11BA7FC1C98D}"/>
    <cellStyle name="Normal 31 4" xfId="17879" xr:uid="{E5E43F16-0541-42AE-A71F-D698D0440E62}"/>
    <cellStyle name="Normal 31 4 2" xfId="24102" xr:uid="{30D2FE1C-E33D-482B-BE5D-B265E0C1E97B}"/>
    <cellStyle name="Normal 31 5" xfId="19054" xr:uid="{FEB502FA-3711-4919-9FDF-FB55717CAE21}"/>
    <cellStyle name="Normal 31_1.2.b" xfId="16235" xr:uid="{521FFA01-9D7C-4BF7-A7F4-D520CC93E124}"/>
    <cellStyle name="Normal 32" xfId="9928" xr:uid="{00000000-0005-0000-0000-0000ED120000}"/>
    <cellStyle name="Normal 32 2" xfId="11665" xr:uid="{00000000-0005-0000-0000-0000EE120000}"/>
    <cellStyle name="Normal 32 2 2" xfId="14300" xr:uid="{C0166466-6012-40A9-8808-EDE64170E593}"/>
    <cellStyle name="Normal 32 2 2 2" xfId="22471" xr:uid="{51B83DF1-D4F4-4568-8A31-4140A574E998}"/>
    <cellStyle name="Normal 32 2 3" xfId="17881" xr:uid="{B8F85B30-0B1D-4B06-8187-66EEC63A3C06}"/>
    <cellStyle name="Normal 32 2 3 2" xfId="24104" xr:uid="{97AE4E8B-86E3-4438-A24A-410FA4DC5267}"/>
    <cellStyle name="Normal 32 2 4" xfId="20431" xr:uid="{3CE2DC83-D0BA-4ECA-A19A-037CF618C2D1}"/>
    <cellStyle name="Normal 32 2_1.2.b" xfId="16237" xr:uid="{C6532015-9148-44B9-AC99-6FC81C1D4C6E}"/>
    <cellStyle name="Normal 32 3" xfId="14299" xr:uid="{B6A43EDF-F000-47DF-8C04-4CDB2E1305EC}"/>
    <cellStyle name="Normal 32 3 2" xfId="22470" xr:uid="{92AC8E90-FC77-4321-83C6-F8680F6CB768}"/>
    <cellStyle name="Normal 32 4" xfId="17880" xr:uid="{2F1BF500-60BD-4B30-85CA-6FD26B6780C9}"/>
    <cellStyle name="Normal 32 4 2" xfId="24103" xr:uid="{3B3C6235-21C1-498E-932D-C918C081DBE2}"/>
    <cellStyle name="Normal 32 5" xfId="19068" xr:uid="{81EE0429-0373-4428-96FA-2D036F67C4EF}"/>
    <cellStyle name="Normal 32_1.2.b" xfId="16236" xr:uid="{7DE2888F-ED22-4081-BDFE-AF77801ABCEF}"/>
    <cellStyle name="Normal 33" xfId="9929" xr:uid="{00000000-0005-0000-0000-0000EF120000}"/>
    <cellStyle name="Normal 33 2" xfId="11666" xr:uid="{00000000-0005-0000-0000-0000F0120000}"/>
    <cellStyle name="Normal 33 2 2" xfId="14302" xr:uid="{61310774-EA02-400A-AF7E-C5A2F8E2C4C7}"/>
    <cellStyle name="Normal 33 2 2 2" xfId="22473" xr:uid="{9903E2E7-77E7-4C1B-B3B8-404299DA1071}"/>
    <cellStyle name="Normal 33 2 3" xfId="17883" xr:uid="{1633967B-DAB1-444E-848F-DEAB28150742}"/>
    <cellStyle name="Normal 33 2 3 2" xfId="24106" xr:uid="{07B9B79C-6CDC-4A03-9E22-953FE2327C65}"/>
    <cellStyle name="Normal 33 2 4" xfId="20432" xr:uid="{3F4BAD2F-3C77-41E0-BAAE-5622F79B4F8C}"/>
    <cellStyle name="Normal 33 2_1.2.b" xfId="16239" xr:uid="{87DA32A9-11AE-4140-9E25-30BEDDAB87E6}"/>
    <cellStyle name="Normal 33 3" xfId="14301" xr:uid="{71972CF2-987A-43B6-87C6-1648FF1C50CA}"/>
    <cellStyle name="Normal 33 3 2" xfId="22472" xr:uid="{7642F803-BE6F-4D92-84A5-E1E5229A6F7F}"/>
    <cellStyle name="Normal 33 4" xfId="17882" xr:uid="{2DDAD344-C731-4437-8F5C-7396EE19AA30}"/>
    <cellStyle name="Normal 33 4 2" xfId="24105" xr:uid="{3B1D93F7-7FD9-474C-9396-81B459887D13}"/>
    <cellStyle name="Normal 33 5" xfId="19069" xr:uid="{E26C3889-C809-42A2-92F4-3C8A2E87DA46}"/>
    <cellStyle name="Normal 33_1.2.b" xfId="16238" xr:uid="{E0F37BBE-0D64-4D32-88BC-183BE19EF741}"/>
    <cellStyle name="Normal 34" xfId="10529" xr:uid="{00000000-0005-0000-0000-0000F1120000}"/>
    <cellStyle name="Normal 34 2" xfId="12264" xr:uid="{00000000-0005-0000-0000-0000F2120000}"/>
    <cellStyle name="Normal 34 2 2" xfId="14304" xr:uid="{C36D987E-112F-4609-86A4-C91DBD46F4ED}"/>
    <cellStyle name="Normal 34 2 2 2" xfId="22475" xr:uid="{ABA8130E-037D-4F39-B3AF-1370CD37F2DA}"/>
    <cellStyle name="Normal 34 2 3" xfId="17885" xr:uid="{7FF871FE-13E6-4F32-93EB-CF9C2C932F5F}"/>
    <cellStyle name="Normal 34 2 3 2" xfId="24108" xr:uid="{B7BC12D4-A471-41EB-9980-370649681203}"/>
    <cellStyle name="Normal 34 2 4" xfId="21013" xr:uid="{AFDF402F-8A1A-4155-BFC3-2210ECBF252A}"/>
    <cellStyle name="Normal 34 2_1.2.b" xfId="16241" xr:uid="{2FE7B8A0-F608-45BB-B2B3-FDC7092219B4}"/>
    <cellStyle name="Normal 34 3" xfId="14303" xr:uid="{87D995A1-3148-4FC5-95FD-DD546F53179E}"/>
    <cellStyle name="Normal 34 3 2" xfId="22474" xr:uid="{539059C9-03F5-4808-9A56-E8BABC46BA0A}"/>
    <cellStyle name="Normal 34 4" xfId="17884" xr:uid="{BEC9695A-D6C1-4455-8FE3-590F9E2AC987}"/>
    <cellStyle name="Normal 34 4 2" xfId="24107" xr:uid="{DA36BB08-B1FD-4D5C-B769-BE18315E442B}"/>
    <cellStyle name="Normal 34 5" xfId="19650" xr:uid="{2B1B6E5B-2A80-40C9-86F7-B1A26D2268DE}"/>
    <cellStyle name="Normal 34_1.2.b" xfId="16240" xr:uid="{D977660E-3FCE-4FDF-A1DB-E00655C464E4}"/>
    <cellStyle name="Normal 35" xfId="10571" xr:uid="{00000000-0005-0000-0000-0000F3120000}"/>
    <cellStyle name="Normal 35 2" xfId="12306" xr:uid="{00000000-0005-0000-0000-0000F4120000}"/>
    <cellStyle name="Normal 35 2 2" xfId="14306" xr:uid="{B13E9AA3-11F3-4781-B1F7-AD1113E2B17C}"/>
    <cellStyle name="Normal 35 2 2 2" xfId="22477" xr:uid="{44D483CB-1164-4044-B85B-466BA7AA25B5}"/>
    <cellStyle name="Normal 35 2 3" xfId="17887" xr:uid="{26E5EADD-9147-43E5-B322-2BD648DA3356}"/>
    <cellStyle name="Normal 35 2 3 2" xfId="24110" xr:uid="{DADC7461-94FB-4AB5-BB32-6D3BD47A187A}"/>
    <cellStyle name="Normal 35 2 4" xfId="21052" xr:uid="{C901ABE7-D25C-4491-9B9A-EDC65FC258E1}"/>
    <cellStyle name="Normal 35 2_1.2.b" xfId="16243" xr:uid="{9ABD4607-5E74-4DDC-92E7-0E555E0CBACD}"/>
    <cellStyle name="Normal 35 3" xfId="14305" xr:uid="{B8131994-9D1F-41CF-ABCB-32460513A86E}"/>
    <cellStyle name="Normal 35 3 2" xfId="22476" xr:uid="{7FE203AD-DA39-4283-BDFF-6BD843F10710}"/>
    <cellStyle name="Normal 35 4" xfId="17886" xr:uid="{022BDFEE-A377-4430-B36A-C39CBEF7FD66}"/>
    <cellStyle name="Normal 35 4 2" xfId="24109" xr:uid="{EE7835FF-98F5-4ACF-8EE2-546BA3C6F5D2}"/>
    <cellStyle name="Normal 35 5" xfId="19689" xr:uid="{4311F26D-2F87-4FE2-90FE-A3E436725F3D}"/>
    <cellStyle name="Normal 35_1.2.b" xfId="16242" xr:uid="{E486263E-D0EC-4394-B544-A1447B4E9146}"/>
    <cellStyle name="Normal 36" xfId="10572" xr:uid="{00000000-0005-0000-0000-0000F5120000}"/>
    <cellStyle name="Normal 36 2" xfId="14308" xr:uid="{42ABB5EE-E123-4374-9FA2-DDD4B80C55E8}"/>
    <cellStyle name="Normal 36 2 2" xfId="17889" xr:uid="{8F428BD6-2FB1-455A-BAE3-67EC2C6169CA}"/>
    <cellStyle name="Normal 36 2 2 2" xfId="24112" xr:uid="{9C496B12-C4B5-4855-89D8-FDD8DBF069AE}"/>
    <cellStyle name="Normal 36 2 3" xfId="22479" xr:uid="{1BDE29C2-64B4-424C-8A8B-5AAB87C93597}"/>
    <cellStyle name="Normal 36 2_1.2.b" xfId="16245" xr:uid="{6A2898B6-FF6B-40DA-A691-84BB771B44A6}"/>
    <cellStyle name="Normal 36 3" xfId="14307" xr:uid="{018DC519-FD37-44EA-ACE6-E155E993140B}"/>
    <cellStyle name="Normal 36 3 2" xfId="22478" xr:uid="{A5549570-6433-4558-B36D-35AB9E0DA65E}"/>
    <cellStyle name="Normal 36 4" xfId="17888" xr:uid="{E82169F4-C6BE-4562-BE41-DAA6DD75D239}"/>
    <cellStyle name="Normal 36 4 2" xfId="24111" xr:uid="{952E539B-97B5-410C-9028-5C51145F27A0}"/>
    <cellStyle name="Normal 36_1.2.b" xfId="16244" xr:uid="{60D66EF4-CEDB-45EB-93B4-CABC0518C648}"/>
    <cellStyle name="Normal 37" xfId="10574" xr:uid="{00000000-0005-0000-0000-0000F6120000}"/>
    <cellStyle name="Normal 37 2" xfId="12307" xr:uid="{00000000-0005-0000-0000-0000F7120000}"/>
    <cellStyle name="Normal 37 2 2" xfId="14310" xr:uid="{F3134C03-77C0-47F6-BFCB-6D052C94DA1A}"/>
    <cellStyle name="Normal 37 2 2 2" xfId="22481" xr:uid="{D340D922-0518-444B-8574-D749A5DF4043}"/>
    <cellStyle name="Normal 37 2 3" xfId="17891" xr:uid="{D43B344C-971B-4BF4-AB43-FF0D29498BC2}"/>
    <cellStyle name="Normal 37 2 3 2" xfId="24114" xr:uid="{83F61CDE-9970-4E19-B2AD-0CFAF283F486}"/>
    <cellStyle name="Normal 37 2 4" xfId="21053" xr:uid="{DC3101AD-EFE2-4CD1-B1B3-A6691A462F75}"/>
    <cellStyle name="Normal 37 2_1.2.b" xfId="16247" xr:uid="{E42DF960-CEF1-410E-8329-52C010FC8339}"/>
    <cellStyle name="Normal 37 3" xfId="14309" xr:uid="{1B5F90C9-3791-4837-9264-058553FB269C}"/>
    <cellStyle name="Normal 37 3 2" xfId="22480" xr:uid="{E8E926B9-347C-45C4-B8F5-2F07EBC4ADD4}"/>
    <cellStyle name="Normal 37 4" xfId="17890" xr:uid="{2B516213-0CBE-4189-AB93-67F5D734DBD8}"/>
    <cellStyle name="Normal 37 4 2" xfId="24113" xr:uid="{849910EB-89B5-4DEF-B6C7-4BD52B8BA7CF}"/>
    <cellStyle name="Normal 37 5" xfId="19690" xr:uid="{36CBB1A6-E215-43E7-A9BE-933E766774AB}"/>
    <cellStyle name="Normal 37_1.2.b" xfId="16246" xr:uid="{CB7D2416-6D1D-4C28-84E4-74056B3C9C2F}"/>
    <cellStyle name="Normal 38" xfId="10575" xr:uid="{00000000-0005-0000-0000-0000F8120000}"/>
    <cellStyle name="Normal 38 2" xfId="12308" xr:uid="{00000000-0005-0000-0000-0000F9120000}"/>
    <cellStyle name="Normal 38 2 2" xfId="14312" xr:uid="{224B5F6D-1170-4D39-93CF-C2DDABF49F1E}"/>
    <cellStyle name="Normal 38 2 2 2" xfId="22483" xr:uid="{9C53EA90-3439-4F0B-BB36-F98A2495A28F}"/>
    <cellStyle name="Normal 38 2 3" xfId="17893" xr:uid="{F5A5079A-9E1B-4D13-B62C-E14DA6D8B26B}"/>
    <cellStyle name="Normal 38 2 3 2" xfId="24116" xr:uid="{7803D19B-E339-47FB-9D3F-90BD48370F7C}"/>
    <cellStyle name="Normal 38 2 4" xfId="21054" xr:uid="{22F185FB-4FF1-4B02-9C9A-D89AD5289E35}"/>
    <cellStyle name="Normal 38 2_1.2.b" xfId="16249" xr:uid="{582DE91B-2B61-4B54-A801-A98F7AB1DFAF}"/>
    <cellStyle name="Normal 38 3" xfId="14311" xr:uid="{394A0502-67E3-4A66-88CA-B82F5142DFCE}"/>
    <cellStyle name="Normal 38 3 2" xfId="22482" xr:uid="{E099FF03-7EE9-4FED-8098-9A9071E58C46}"/>
    <cellStyle name="Normal 38 4" xfId="17892" xr:uid="{7849964A-F211-4823-94B6-1DA3DD9D3D0B}"/>
    <cellStyle name="Normal 38 4 2" xfId="24115" xr:uid="{E5BAE32D-6E7C-48B9-8E60-54BB8FCFE612}"/>
    <cellStyle name="Normal 38 5" xfId="19691" xr:uid="{66C82BB8-88D6-499E-9726-B33155F59E4D}"/>
    <cellStyle name="Normal 38_1.2.b" xfId="16248" xr:uid="{F797527F-FEB3-4EDF-8933-B071826FC171}"/>
    <cellStyle name="Normal 39" xfId="10576" xr:uid="{00000000-0005-0000-0000-0000FA120000}"/>
    <cellStyle name="Normal 39 2" xfId="12309" xr:uid="{00000000-0005-0000-0000-0000FB120000}"/>
    <cellStyle name="Normal 39 2 2" xfId="14314" xr:uid="{6439A803-9507-473D-81F9-F50BB162C3C3}"/>
    <cellStyle name="Normal 39 2 2 2" xfId="22485" xr:uid="{4803B76A-04C0-44A3-98DF-8031C41085E8}"/>
    <cellStyle name="Normal 39 2 3" xfId="17895" xr:uid="{8D130201-F69F-4E0E-B2E5-CB4A878E0502}"/>
    <cellStyle name="Normal 39 2 3 2" xfId="24118" xr:uid="{4DA89B98-C773-4E33-8738-DE616080CB14}"/>
    <cellStyle name="Normal 39 2 4" xfId="21055" xr:uid="{2A501875-4DCE-498C-BC94-4DA2E5D69130}"/>
    <cellStyle name="Normal 39 2_1.2.b" xfId="16251" xr:uid="{E2FAEBDC-3267-4D46-982D-E788F39233BC}"/>
    <cellStyle name="Normal 39 3" xfId="14313" xr:uid="{AD2B0AE2-CF6D-4556-96B1-789A632DA1C0}"/>
    <cellStyle name="Normal 39 3 2" xfId="22484" xr:uid="{4A9992E9-4103-4476-A51C-A44F82DE1798}"/>
    <cellStyle name="Normal 39 4" xfId="17894" xr:uid="{4677901D-F4B5-4320-8E92-C999727C8EC8}"/>
    <cellStyle name="Normal 39 4 2" xfId="24117" xr:uid="{986A9375-A3C8-473A-94B0-DE01A7E032F0}"/>
    <cellStyle name="Normal 39 5" xfId="19692" xr:uid="{785957A8-8105-4516-8357-D73901EB8689}"/>
    <cellStyle name="Normal 39_1.2.b" xfId="16250" xr:uid="{1CCBEA8F-9BE9-425F-8DC4-2F174E528E67}"/>
    <cellStyle name="Normal 4" xfId="29" xr:uid="{00000000-0005-0000-0000-0000FC120000}"/>
    <cellStyle name="Normal 4 10" xfId="17804" xr:uid="{AE74218E-22E5-4456-9613-AEC6BF8E2DCB}"/>
    <cellStyle name="Normal 4 10 2" xfId="24038" xr:uid="{9F1BC325-34EC-4FAA-9F89-F6250B42F746}"/>
    <cellStyle name="Normal 4 2" xfId="72" xr:uid="{00000000-0005-0000-0000-0000FD120000}"/>
    <cellStyle name="Normal 4 2 10" xfId="17805" xr:uid="{F34A00D8-DE48-454F-8B2F-08EA9F4769A5}"/>
    <cellStyle name="Normal 4 2 11" xfId="18374" xr:uid="{B689700A-CA24-46D1-A816-3687614D7995}"/>
    <cellStyle name="Normal 4 2 2" xfId="4256" xr:uid="{00000000-0005-0000-0000-0000FE120000}"/>
    <cellStyle name="Normal 4 2 2 2" xfId="9691" xr:uid="{00000000-0005-0000-0000-0000FF120000}"/>
    <cellStyle name="Normal 4 2 2 2 2" xfId="10392" xr:uid="{00000000-0005-0000-0000-000000130000}"/>
    <cellStyle name="Normal 4 2 2 2 2 2" xfId="12127" xr:uid="{00000000-0005-0000-0000-000001130000}"/>
    <cellStyle name="Normal 4 2 2 2 2 2 2" xfId="20876" xr:uid="{C82BFF41-B016-4CB0-9C72-0EF0AA6875A0}"/>
    <cellStyle name="Normal 4 2 2 2 2 3" xfId="19513" xr:uid="{8E4C9B11-D7A5-402A-AB20-C0E3AFB0FAA5}"/>
    <cellStyle name="Normal 4 2 2 2 3" xfId="11480" xr:uid="{00000000-0005-0000-0000-000002130000}"/>
    <cellStyle name="Normal 4 2 2 2 3 2" xfId="20249" xr:uid="{6C4EAE75-C75F-4994-BED8-3A2B0D45A30C}"/>
    <cellStyle name="Normal 4 2 2 2 4" xfId="18881" xr:uid="{BABF66BB-E294-419E-8EB9-A4716D1B9D80}"/>
    <cellStyle name="Normal 4 2 2 3" xfId="10095" xr:uid="{00000000-0005-0000-0000-000003130000}"/>
    <cellStyle name="Normal 4 2 2 3 2" xfId="11831" xr:uid="{00000000-0005-0000-0000-000004130000}"/>
    <cellStyle name="Normal 4 2 2 3 2 2" xfId="20587" xr:uid="{8D641094-7CE5-4F5F-90E3-3B83AF57650E}"/>
    <cellStyle name="Normal 4 2 2 3 3" xfId="19224" xr:uid="{DBCE357F-DE0E-4E7F-8D9D-E825D4E9AE62}"/>
    <cellStyle name="Normal 4 2 2 4" xfId="11067" xr:uid="{00000000-0005-0000-0000-000005130000}"/>
    <cellStyle name="Normal 4 2 2 4 2" xfId="19972" xr:uid="{5B7A2CF9-F970-40D7-A2F5-1BE86C62E816}"/>
    <cellStyle name="Normal 4 2 2 5" xfId="14317" xr:uid="{31AAA02A-31CF-4CDA-932B-A86EE3BAF1BA}"/>
    <cellStyle name="Normal 4 2 2 6" xfId="18604" xr:uid="{14720DFD-AC0E-4DEB-B5CE-76315797E4A2}"/>
    <cellStyle name="Normal 4 2 2_1.2.b" xfId="16254" xr:uid="{A679C113-4620-46EE-AFFC-CF89E5FCA742}"/>
    <cellStyle name="Normal 4 2 3" xfId="9587" xr:uid="{00000000-0005-0000-0000-000006130000}"/>
    <cellStyle name="Normal 4 2 3 2" xfId="10290" xr:uid="{00000000-0005-0000-0000-000007130000}"/>
    <cellStyle name="Normal 4 2 3 2 2" xfId="12025" xr:uid="{00000000-0005-0000-0000-000008130000}"/>
    <cellStyle name="Normal 4 2 3 2 2 2" xfId="20774" xr:uid="{2A3B9BBB-2352-402F-9E3A-A662FF1C4741}"/>
    <cellStyle name="Normal 4 2 3 2 3" xfId="19411" xr:uid="{92916228-5ADE-4E88-9308-CF6ADB7EC069}"/>
    <cellStyle name="Normal 4 2 3 3" xfId="11378" xr:uid="{00000000-0005-0000-0000-000009130000}"/>
    <cellStyle name="Normal 4 2 3 3 2" xfId="20147" xr:uid="{B93E73F9-F52D-4675-B68B-F72DFCC65467}"/>
    <cellStyle name="Normal 4 2 3 4" xfId="14318" xr:uid="{0756F47B-9280-4363-B84C-51E35E60E290}"/>
    <cellStyle name="Normal 4 2 3 5" xfId="18779" xr:uid="{C5FE03E5-C7B5-4FF6-9148-0FE7EB5AE5F2}"/>
    <cellStyle name="Normal 4 2 3_1.2.b" xfId="16255" xr:uid="{F109A71B-A3DF-44C2-9EDE-E5C3B34C63F8}"/>
    <cellStyle name="Normal 4 2 4" xfId="4120" xr:uid="{00000000-0005-0000-0000-00000A130000}"/>
    <cellStyle name="Normal 4 2 4 2" xfId="10953" xr:uid="{00000000-0005-0000-0000-00000B130000}"/>
    <cellStyle name="Normal 4 2 4 2 2" xfId="19870" xr:uid="{50EEEE73-2B3D-47B1-9664-6FCCD5213D05}"/>
    <cellStyle name="Normal 4 2 4 3" xfId="14319" xr:uid="{D2E07B1E-11FC-40BE-8FAB-8F7EAF071170}"/>
    <cellStyle name="Normal 4 2 4 4" xfId="18502" xr:uid="{4B33B07C-73A8-48F0-A255-4CC3F3FA2A2E}"/>
    <cellStyle name="Normal 4 2 4_1.2.b" xfId="16256" xr:uid="{122BFAD8-EA84-4D8B-B3C9-45F5F9F19B98}"/>
    <cellStyle name="Normal 4 2 5" xfId="9993" xr:uid="{00000000-0005-0000-0000-00000C130000}"/>
    <cellStyle name="Normal 4 2 5 2" xfId="11729" xr:uid="{00000000-0005-0000-0000-00000D130000}"/>
    <cellStyle name="Normal 4 2 5 2 2" xfId="20485" xr:uid="{0852813F-788D-4643-8B9F-1BE873ABB37A}"/>
    <cellStyle name="Normal 4 2 5 3" xfId="14741" xr:uid="{5609F324-EDD2-4F2C-94EA-87CB62BB244E}"/>
    <cellStyle name="Normal 4 2 5 4" xfId="19122" xr:uid="{763BDA49-BFA9-4991-9E97-0699BAF76781}"/>
    <cellStyle name="Normal 4 2 5_1.2.b" xfId="16257" xr:uid="{5D8B7CDB-A07F-443C-BA1B-F49D5BEA426B}"/>
    <cellStyle name="Normal 4 2 6" xfId="10645" xr:uid="{00000000-0005-0000-0000-00000E130000}"/>
    <cellStyle name="Normal 4 2 6 2" xfId="19744" xr:uid="{4A5363DB-4FA1-4E59-8531-C81F8D5CD2D4}"/>
    <cellStyle name="Normal 4 2 7" xfId="14316" xr:uid="{553A041A-5F2F-4FB7-877C-9F1959D0B0B8}"/>
    <cellStyle name="Normal 4 2 8" xfId="17897" xr:uid="{CE63A8E8-C5CB-4239-AF24-394148572DC0}"/>
    <cellStyle name="Normal 4 2 9" xfId="18245" xr:uid="{895C3402-77CA-45DA-B406-79417FD76471}"/>
    <cellStyle name="Normal 4 2_1.2.b" xfId="16253" xr:uid="{8D9FED13-9F18-4965-B79D-16A7404BA7AE}"/>
    <cellStyle name="Normal 4 3" xfId="103" xr:uid="{00000000-0005-0000-0000-00000F130000}"/>
    <cellStyle name="Normal 4 3 2" xfId="9640" xr:uid="{00000000-0005-0000-0000-000010130000}"/>
    <cellStyle name="Normal 4 3 2 2" xfId="10341" xr:uid="{00000000-0005-0000-0000-000011130000}"/>
    <cellStyle name="Normal 4 3 2 2 2" xfId="12076" xr:uid="{00000000-0005-0000-0000-000012130000}"/>
    <cellStyle name="Normal 4 3 2 2 2 2" xfId="20825" xr:uid="{1C75D082-1CF6-42BA-B334-57F13DB64F71}"/>
    <cellStyle name="Normal 4 3 2 2 3" xfId="19462" xr:uid="{FB6182DB-E9DD-41E7-B31F-6D4FA0EDD5E7}"/>
    <cellStyle name="Normal 4 3 2 3" xfId="11429" xr:uid="{00000000-0005-0000-0000-000013130000}"/>
    <cellStyle name="Normal 4 3 2 3 2" xfId="20198" xr:uid="{915F245E-AFE4-40CD-A9A8-DB914DCCD4F4}"/>
    <cellStyle name="Normal 4 3 2 4" xfId="18830" xr:uid="{0D199103-6DFF-4062-8241-5289FA71DD32}"/>
    <cellStyle name="Normal 4 3 3" xfId="4205" xr:uid="{00000000-0005-0000-0000-000014130000}"/>
    <cellStyle name="Normal 4 3 3 2" xfId="11016" xr:uid="{00000000-0005-0000-0000-000015130000}"/>
    <cellStyle name="Normal 4 3 3 2 2" xfId="19921" xr:uid="{66EBADD8-DF7D-42B1-9327-9472CD807E04}"/>
    <cellStyle name="Normal 4 3 3 3" xfId="18553" xr:uid="{84F872F2-F5F5-4ED6-81F9-D8DF7E102A0B}"/>
    <cellStyle name="Normal 4 3 4" xfId="10044" xr:uid="{00000000-0005-0000-0000-000016130000}"/>
    <cellStyle name="Normal 4 3 4 2" xfId="11780" xr:uid="{00000000-0005-0000-0000-000017130000}"/>
    <cellStyle name="Normal 4 3 4 2 2" xfId="20536" xr:uid="{F2FAD000-ECC0-4F3B-93B3-E3F58F90B97D}"/>
    <cellStyle name="Normal 4 3 4 3" xfId="19173" xr:uid="{C6299D4F-54C6-4D6A-80B1-E8DD92469769}"/>
    <cellStyle name="Normal 4 3 5" xfId="14320" xr:uid="{BF213774-8459-44EE-87E6-1AEE94EA78E2}"/>
    <cellStyle name="Normal 4 3_1.2.b" xfId="16258" xr:uid="{7B24E32B-7DB2-4545-A5C1-4CA72D69FA19}"/>
    <cellStyle name="Normal 4 4" xfId="136" xr:uid="{00000000-0005-0000-0000-000018130000}"/>
    <cellStyle name="Normal 4 4 2" xfId="9727" xr:uid="{00000000-0005-0000-0000-000019130000}"/>
    <cellStyle name="Normal 4 4 2 2" xfId="10427" xr:uid="{00000000-0005-0000-0000-00001A130000}"/>
    <cellStyle name="Normal 4 4 2 2 2" xfId="12162" xr:uid="{00000000-0005-0000-0000-00001B130000}"/>
    <cellStyle name="Normal 4 4 2 2 2 2" xfId="20911" xr:uid="{3A1A920D-BD91-4A2F-9393-D80693697014}"/>
    <cellStyle name="Normal 4 4 2 2 3" xfId="19548" xr:uid="{0EE89C5F-546C-46C4-A574-187868B2309A}"/>
    <cellStyle name="Normal 4 4 2 3" xfId="11515" xr:uid="{00000000-0005-0000-0000-00001C130000}"/>
    <cellStyle name="Normal 4 4 2 3 2" xfId="20284" xr:uid="{E09299E4-382E-49F2-93F5-3CBB67A9D5B5}"/>
    <cellStyle name="Normal 4 4 2 4" xfId="14742" xr:uid="{81EBCC69-7C4A-488F-A145-00390509E39E}"/>
    <cellStyle name="Normal 4 4 2 5" xfId="18916" xr:uid="{12C70788-A908-495D-9E7B-7F193527D9CF}"/>
    <cellStyle name="Normal 4 4 2_1.2.b" xfId="16260" xr:uid="{5AA510DD-D79C-4076-871C-E09F9C66F272}"/>
    <cellStyle name="Normal 4 4 3" xfId="4310" xr:uid="{00000000-0005-0000-0000-00001D130000}"/>
    <cellStyle name="Normal 4 4 3 2" xfId="11118" xr:uid="{00000000-0005-0000-0000-00001E130000}"/>
    <cellStyle name="Normal 4 4 3 2 2" xfId="20007" xr:uid="{0ED95BC6-5A7F-447E-8C82-804D002DF5CF}"/>
    <cellStyle name="Normal 4 4 3 3" xfId="18639" xr:uid="{7483E045-2C92-4B00-BE79-254651712401}"/>
    <cellStyle name="Normal 4 4 4" xfId="10130" xr:uid="{00000000-0005-0000-0000-00001F130000}"/>
    <cellStyle name="Normal 4 4 4 2" xfId="11866" xr:uid="{00000000-0005-0000-0000-000020130000}"/>
    <cellStyle name="Normal 4 4 4 2 2" xfId="20622" xr:uid="{599C3A14-6B05-4C4B-8411-0E86410FECFA}"/>
    <cellStyle name="Normal 4 4 4 3" xfId="19259" xr:uid="{44AAAC84-F9F3-4111-81B9-4E56546D62D1}"/>
    <cellStyle name="Normal 4 4 5" xfId="10663" xr:uid="{00000000-0005-0000-0000-000021130000}"/>
    <cellStyle name="Normal 4 4 5 2" xfId="19755" xr:uid="{6703B210-A001-4EB4-8337-A3EA6A5C8153}"/>
    <cellStyle name="Normal 4 4 6" xfId="14321" xr:uid="{1F103B90-5B36-49C0-95EA-99A9C59AF62B}"/>
    <cellStyle name="Normal 4 4 7" xfId="18387" xr:uid="{C6D8403A-A323-4BEF-A6C0-DFE63C1DBEA4}"/>
    <cellStyle name="Normal 4 4_1.2.b" xfId="16259" xr:uid="{CBE605F4-4AAD-4A47-9B8A-D60694BAA825}"/>
    <cellStyle name="Normal 4 5" xfId="1457" xr:uid="{00000000-0005-0000-0000-000022130000}"/>
    <cellStyle name="Normal 4 5 2" xfId="14743" xr:uid="{6DEEAC4F-171C-460E-BF65-FB94617455F3}"/>
    <cellStyle name="Normal 4 5 3" xfId="14322" xr:uid="{71968D4B-A870-47FD-872C-BBCF08925011}"/>
    <cellStyle name="Normal 4 5_1.2.b" xfId="16261" xr:uid="{B77AEF29-56C0-48D3-BCB2-645BCF0BFA74}"/>
    <cellStyle name="Normal 4 6" xfId="9903" xr:uid="{00000000-0005-0000-0000-000023130000}"/>
    <cellStyle name="Normal 4 6 2" xfId="14323" xr:uid="{6719D7A3-FC3F-4FD4-853F-8D26AC8C01C2}"/>
    <cellStyle name="Normal 4 6_1.2.b" xfId="16262" xr:uid="{E68096FA-A628-42F5-B6FB-820AEB345AF2}"/>
    <cellStyle name="Normal 4 7" xfId="14315" xr:uid="{3152B5FC-C879-44E3-A977-400346D550C5}"/>
    <cellStyle name="Normal 4 7 2" xfId="22486" xr:uid="{A2C4A887-ACBC-4DF1-8AD4-0CC3223024A7}"/>
    <cellStyle name="Normal 4 8" xfId="17896" xr:uid="{1DA90079-8699-4137-AD38-CD5431B31EF1}"/>
    <cellStyle name="Normal 4 8 2" xfId="24119" xr:uid="{D493681F-0982-4F0C-9AB9-6B4F28C15D31}"/>
    <cellStyle name="Normal 4 9" xfId="18244" xr:uid="{E934FD91-E87B-4572-AE38-BC7656E0DC60}"/>
    <cellStyle name="Normal 4 9 2" xfId="24414" xr:uid="{7F600F6E-BB02-4BD3-B3B2-E739AFF1F479}"/>
    <cellStyle name="Normal 4_1.2.b" xfId="16252" xr:uid="{45BD2DB2-3DC7-4450-B5F8-8A1522FD10D3}"/>
    <cellStyle name="Normal 40" xfId="10590" xr:uid="{00000000-0005-0000-0000-000024130000}"/>
    <cellStyle name="Normal 40 2" xfId="12323" xr:uid="{00000000-0005-0000-0000-000025130000}"/>
    <cellStyle name="Normal 40 2 2" xfId="14325" xr:uid="{8658511D-00AC-420A-B9DE-98EA782B46C5}"/>
    <cellStyle name="Normal 40 2 2 2" xfId="22488" xr:uid="{CC32FFEA-1A74-4A96-B9B6-B1EDBDAFB88A}"/>
    <cellStyle name="Normal 40 2 3" xfId="17899" xr:uid="{FDB3A0D5-4B9A-417A-92B0-51C2D935B691}"/>
    <cellStyle name="Normal 40 2 3 2" xfId="24121" xr:uid="{32CFD01C-C992-4774-8665-315185121E8B}"/>
    <cellStyle name="Normal 40 2 4" xfId="21069" xr:uid="{A010E8F5-A36E-4935-AC32-ECF14392CF87}"/>
    <cellStyle name="Normal 40 2_1.2.b" xfId="16264" xr:uid="{4B985D95-5E6A-4E56-9A7F-5B60DCCE6981}"/>
    <cellStyle name="Normal 40 3" xfId="14324" xr:uid="{B1F5E399-7E65-4B43-AD49-7D0CD4296690}"/>
    <cellStyle name="Normal 40 3 2" xfId="22487" xr:uid="{FEC84292-EDAE-4FF2-B4FF-4B2F6620704F}"/>
    <cellStyle name="Normal 40 4" xfId="17898" xr:uid="{7C2C2100-8A1A-4922-BBBE-85C5A2315565}"/>
    <cellStyle name="Normal 40 4 2" xfId="24120" xr:uid="{31227A9E-BA68-480E-B48F-A223EAE01162}"/>
    <cellStyle name="Normal 40 5" xfId="19706" xr:uid="{F570E6B2-415B-4305-BACA-6C7F8672EE49}"/>
    <cellStyle name="Normal 40_1.2.b" xfId="16263" xr:uid="{579898D4-0722-4E49-99F5-6CD2C57ED29B}"/>
    <cellStyle name="Normal 41" xfId="10591" xr:uid="{00000000-0005-0000-0000-000026130000}"/>
    <cellStyle name="Normal 41 2" xfId="14327" xr:uid="{35F46E4B-FCB7-4D56-AC45-F433107D4923}"/>
    <cellStyle name="Normal 41 2 2" xfId="17901" xr:uid="{F586682D-BE44-41E8-B283-921A24083D83}"/>
    <cellStyle name="Normal 41 2 2 2" xfId="24123" xr:uid="{A5B7EE26-8BEF-487B-A7F8-3DCD4E944985}"/>
    <cellStyle name="Normal 41 2 3" xfId="22490" xr:uid="{842F5A5B-9547-454D-AF8B-BBEE7FF69600}"/>
    <cellStyle name="Normal 41 2_1.2.b" xfId="16266" xr:uid="{EC7894CC-4244-4A6D-95E0-6625170F2826}"/>
    <cellStyle name="Normal 41 3" xfId="14326" xr:uid="{C070ACF7-0955-43A8-96C5-F7507E3142A6}"/>
    <cellStyle name="Normal 41 3 2" xfId="22489" xr:uid="{4B936337-6DA9-405B-BFA9-9640BE46143A}"/>
    <cellStyle name="Normal 41 4" xfId="17900" xr:uid="{7A6CBAEA-9D5A-428F-8E18-9B4599D395BD}"/>
    <cellStyle name="Normal 41 4 2" xfId="24122" xr:uid="{FEF8A22C-E16B-4C5C-B055-FECD006F31E1}"/>
    <cellStyle name="Normal 41_1.2.b" xfId="16265" xr:uid="{33A8F685-156D-45AA-BFB2-6B2CF012F57D}"/>
    <cellStyle name="Normal 42" xfId="10594" xr:uid="{00000000-0005-0000-0000-000027130000}"/>
    <cellStyle name="Normal 42 2" xfId="14329" xr:uid="{16FD49BB-0E85-4DC4-A140-D39CE07B2033}"/>
    <cellStyle name="Normal 42 2 2" xfId="17903" xr:uid="{F8BD9409-4F34-42B6-B3B8-1EF35594D561}"/>
    <cellStyle name="Normal 42 2 2 2" xfId="24125" xr:uid="{35314DF4-62CF-4CB7-8F3B-A6C4B7F3DEB2}"/>
    <cellStyle name="Normal 42 2 3" xfId="22492" xr:uid="{7781DF36-B63A-4718-9175-34A4B03B65CA}"/>
    <cellStyle name="Normal 42 2_1.2.b" xfId="16268" xr:uid="{20E20793-AF7C-4049-A450-420B278348D2}"/>
    <cellStyle name="Normal 42 3" xfId="14328" xr:uid="{CB3A4874-F33F-4206-955F-224B6359F311}"/>
    <cellStyle name="Normal 42 3 2" xfId="22491" xr:uid="{045F9E36-64DE-40B1-9A09-73B3E3C2C3C4}"/>
    <cellStyle name="Normal 42 4" xfId="17902" xr:uid="{B539E8B3-9430-41F1-A124-3C0899A85DE9}"/>
    <cellStyle name="Normal 42 4 2" xfId="24124" xr:uid="{A7892383-BFBA-4CA4-9B5B-BDDAC8029E98}"/>
    <cellStyle name="Normal 42_1.2.b" xfId="16267" xr:uid="{D4DB1745-3D89-4477-B81A-18049FA47DFD}"/>
    <cellStyle name="Normal 43" xfId="10595" xr:uid="{00000000-0005-0000-0000-000028130000}"/>
    <cellStyle name="Normal 43 2" xfId="12324" xr:uid="{00000000-0005-0000-0000-000029130000}"/>
    <cellStyle name="Normal 43 2 2" xfId="14331" xr:uid="{F9F014D3-2611-45CE-8FDD-A602BB08614B}"/>
    <cellStyle name="Normal 43 2 2 2" xfId="22494" xr:uid="{9A630B77-8B50-474D-AA52-846060FBD83F}"/>
    <cellStyle name="Normal 43 2 3" xfId="17905" xr:uid="{E48269A0-A7E5-4AB1-AA73-E0A65AA18548}"/>
    <cellStyle name="Normal 43 2 3 2" xfId="24127" xr:uid="{9359C20D-EEE9-47B7-B72B-FB257028A528}"/>
    <cellStyle name="Normal 43 2 4" xfId="21070" xr:uid="{F8D95E36-F67B-466D-8108-29DED46C43FE}"/>
    <cellStyle name="Normal 43 2_1.2.b" xfId="16270" xr:uid="{09926BE9-D365-4220-96FA-C78AC29EB686}"/>
    <cellStyle name="Normal 43 3" xfId="14330" xr:uid="{8F9E2ADD-4410-4847-9F90-071D5D539E65}"/>
    <cellStyle name="Normal 43 3 2" xfId="22493" xr:uid="{824ACFAB-8671-40D7-AB01-AFE07DDC0A13}"/>
    <cellStyle name="Normal 43 4" xfId="17904" xr:uid="{D5621A09-E2AD-4B21-9DBE-CA4EA7115404}"/>
    <cellStyle name="Normal 43 4 2" xfId="24126" xr:uid="{5A66FC78-A64E-4BF4-910D-9BB1B3EF98FC}"/>
    <cellStyle name="Normal 43 5" xfId="19707" xr:uid="{85A612F1-17C1-41EF-9A50-81F8A6B86FC9}"/>
    <cellStyle name="Normal 43_1.2.b" xfId="16269" xr:uid="{7D6A5B5D-58ED-48B6-8CCA-67F9E83753DF}"/>
    <cellStyle name="Normal 44" xfId="10596" xr:uid="{00000000-0005-0000-0000-00002A130000}"/>
    <cellStyle name="Normal 44 2" xfId="12325" xr:uid="{00000000-0005-0000-0000-00002B130000}"/>
    <cellStyle name="Normal 44 2 2" xfId="14333" xr:uid="{9D4239FF-E455-4A29-B4D6-2FB8D7346E32}"/>
    <cellStyle name="Normal 44 2 2 2" xfId="22496" xr:uid="{A67DFD09-1CE9-40C8-8667-CF2CFEC50EFD}"/>
    <cellStyle name="Normal 44 2 3" xfId="17907" xr:uid="{709E69C6-7CF1-4CD2-9608-59BED84904F1}"/>
    <cellStyle name="Normal 44 2 3 2" xfId="24129" xr:uid="{9FA1AF56-6847-4A59-A900-D86A0E413BE9}"/>
    <cellStyle name="Normal 44 2 4" xfId="21071" xr:uid="{8A736023-F01A-4C7D-AE3F-3D662565D75E}"/>
    <cellStyle name="Normal 44 2_1.2.b" xfId="16272" xr:uid="{C7BDEEDB-AFC7-4892-9B86-E71D18E8B2E1}"/>
    <cellStyle name="Normal 44 3" xfId="14332" xr:uid="{BF2A29A7-183F-4C10-BF10-AC7494B7D8CE}"/>
    <cellStyle name="Normal 44 3 2" xfId="22495" xr:uid="{0D85C6D6-1A9A-4C2D-AB57-C7EBCB711E7C}"/>
    <cellStyle name="Normal 44 4" xfId="17906" xr:uid="{32F99608-8764-4A3C-BB33-CC43F4ACE581}"/>
    <cellStyle name="Normal 44 4 2" xfId="24128" xr:uid="{2F031040-F32D-4E04-98E3-35A05C181C76}"/>
    <cellStyle name="Normal 44 5" xfId="19708" xr:uid="{3B5A2B9C-5B44-433C-BD6B-EBBB15133D7E}"/>
    <cellStyle name="Normal 44_1.2.b" xfId="16271" xr:uid="{CF8C1E77-98F4-4306-8C9E-D2689E2D766B}"/>
    <cellStyle name="Normal 45" xfId="10610" xr:uid="{00000000-0005-0000-0000-00002C130000}"/>
    <cellStyle name="Normal 45 2" xfId="12339" xr:uid="{00000000-0005-0000-0000-00002D130000}"/>
    <cellStyle name="Normal 45 2 2" xfId="14335" xr:uid="{30931C3B-138D-466F-B765-6AA710F789C3}"/>
    <cellStyle name="Normal 45 2 2 2" xfId="22498" xr:uid="{E503C9B8-1374-4503-9C9C-9D7EEBEFF71D}"/>
    <cellStyle name="Normal 45 2 3" xfId="17909" xr:uid="{C9883786-BBF7-4934-8C20-2C2022D8F468}"/>
    <cellStyle name="Normal 45 2 3 2" xfId="24131" xr:uid="{33AACA20-9465-40C2-84F1-5982C6BA6D06}"/>
    <cellStyle name="Normal 45 2 4" xfId="21085" xr:uid="{D0C44553-CC2C-407E-9DBC-A16491291A07}"/>
    <cellStyle name="Normal 45 2_1.2.b" xfId="16274" xr:uid="{C1CDE57D-0889-4E02-86AF-F0415CE3FE7A}"/>
    <cellStyle name="Normal 45 3" xfId="14334" xr:uid="{5CF2B1E9-7E8A-47F2-83FC-10751CAB8EEC}"/>
    <cellStyle name="Normal 45 3 2" xfId="22497" xr:uid="{0895C527-BB1D-4A0F-9C8B-47D8A8245F01}"/>
    <cellStyle name="Normal 45 4" xfId="17908" xr:uid="{06E0AD56-6B38-492E-BB32-B1CF101FEA11}"/>
    <cellStyle name="Normal 45 4 2" xfId="24130" xr:uid="{2F461A69-FF6C-4662-AA8F-55BB114715B4}"/>
    <cellStyle name="Normal 45 5" xfId="19722" xr:uid="{1D3FEC4A-179D-4D77-B8B2-82AAFA82E8EA}"/>
    <cellStyle name="Normal 45_1.2.b" xfId="16273" xr:uid="{2FA13D1F-89A5-46FF-A7B7-EE1356C09A5A}"/>
    <cellStyle name="Normal 46" xfId="10611" xr:uid="{00000000-0005-0000-0000-00002E130000}"/>
    <cellStyle name="Normal 46 2" xfId="12340" xr:uid="{00000000-0005-0000-0000-00002F130000}"/>
    <cellStyle name="Normal 46 2 2" xfId="14337" xr:uid="{8D48BABE-3046-4814-AE2F-3964B661BF75}"/>
    <cellStyle name="Normal 46 2 2 2" xfId="22500" xr:uid="{B4C75C40-1FA7-4447-B79A-757756DFD9B4}"/>
    <cellStyle name="Normal 46 2 3" xfId="17911" xr:uid="{B07A4A2E-4552-4293-B57E-84DFE3BDFAD6}"/>
    <cellStyle name="Normal 46 2 3 2" xfId="24133" xr:uid="{69856DF9-E58F-471A-B638-50F49E426110}"/>
    <cellStyle name="Normal 46 2 4" xfId="21086" xr:uid="{D82A5EB1-DE0F-4070-A7B3-3C048D25F3DB}"/>
    <cellStyle name="Normal 46 2_1.2.b" xfId="16276" xr:uid="{C755E9DC-1261-46F3-9D9B-9D06DCB6EA95}"/>
    <cellStyle name="Normal 46 3" xfId="14336" xr:uid="{68500C32-758E-4694-A38A-41DA9223A74A}"/>
    <cellStyle name="Normal 46 3 2" xfId="22499" xr:uid="{CDF702DE-B6D6-498C-BAB6-8A8A7C4B916B}"/>
    <cellStyle name="Normal 46 4" xfId="17910" xr:uid="{5C04CE34-AC57-4A04-B508-BD2500C854FF}"/>
    <cellStyle name="Normal 46 4 2" xfId="24132" xr:uid="{F8B38817-4E53-4360-B5C0-EE9D4D988D3A}"/>
    <cellStyle name="Normal 46 5" xfId="19723" xr:uid="{88EB27F4-0E11-4A92-A800-17E7AE2B1891}"/>
    <cellStyle name="Normal 46_1.2.b" xfId="16275" xr:uid="{5E4D9030-C4B9-4738-BD90-BAD67F3D6CBC}"/>
    <cellStyle name="Normal 47" xfId="10615" xr:uid="{00000000-0005-0000-0000-000030130000}"/>
    <cellStyle name="Normal 47 2" xfId="12342" xr:uid="{00000000-0005-0000-0000-000031130000}"/>
    <cellStyle name="Normal 47 2 2" xfId="14339" xr:uid="{B5AD7DF0-D830-498E-889D-3046D8BEFF84}"/>
    <cellStyle name="Normal 47 2 2 2" xfId="22502" xr:uid="{677245C3-C0FD-4FDE-9EA7-745E9E9C0DE6}"/>
    <cellStyle name="Normal 47 2 3" xfId="17913" xr:uid="{EAD61A4B-1B95-4A4D-B8C3-D1BCB26900B9}"/>
    <cellStyle name="Normal 47 2 3 2" xfId="24135" xr:uid="{7E9FE098-88FA-4B47-BE00-47039CAF9C54}"/>
    <cellStyle name="Normal 47 2 4" xfId="21087" xr:uid="{405A053C-C028-4C46-9BB7-8B427F685ED9}"/>
    <cellStyle name="Normal 47 2_1.2.b" xfId="16278" xr:uid="{7D08CEB2-BC46-4567-BD1C-8439A1C32DF8}"/>
    <cellStyle name="Normal 47 3" xfId="14338" xr:uid="{1028351B-BDDF-40D9-AADB-C5589C02039A}"/>
    <cellStyle name="Normal 47 3 2" xfId="22501" xr:uid="{4E95339D-72F4-4620-A98F-64155C1F00FE}"/>
    <cellStyle name="Normal 47 4" xfId="17912" xr:uid="{FF2316E9-B1C7-4EA8-96F0-B3F72FF2A042}"/>
    <cellStyle name="Normal 47 4 2" xfId="24134" xr:uid="{66076A6A-E2EB-46DD-8C1A-C5392C15D7AF}"/>
    <cellStyle name="Normal 47 5" xfId="19724" xr:uid="{42845C6F-7851-41B6-8352-E00061E5FDF1}"/>
    <cellStyle name="Normal 47_1.2.b" xfId="16277" xr:uid="{4840055E-30B5-4E53-86FA-AE698579F89E}"/>
    <cellStyle name="Normal 48" xfId="10616" xr:uid="{00000000-0005-0000-0000-000032130000}"/>
    <cellStyle name="Normal 48 2" xfId="14341" xr:uid="{54F9EB96-DC41-4D72-ADA5-C1FBD067B363}"/>
    <cellStyle name="Normal 48 2 2" xfId="17915" xr:uid="{94504F87-575F-4658-9E7A-5EB75B69795D}"/>
    <cellStyle name="Normal 48 2 2 2" xfId="24137" xr:uid="{9E528B7E-81AE-4808-994B-C88778806742}"/>
    <cellStyle name="Normal 48 2 3" xfId="22504" xr:uid="{1D65F062-5CCC-4DBE-B5AF-F05FE6B5159E}"/>
    <cellStyle name="Normal 48 2_1.2.b" xfId="16280" xr:uid="{4EA813F4-DDF5-4A40-9C2E-60D9E2324CD0}"/>
    <cellStyle name="Normal 48 3" xfId="14340" xr:uid="{34624971-920F-4B5D-AC43-463223AC160C}"/>
    <cellStyle name="Normal 48 3 2" xfId="22503" xr:uid="{E4D93ABD-2298-4A30-90C8-34F7F0C79E90}"/>
    <cellStyle name="Normal 48 4" xfId="17914" xr:uid="{4DEA22E4-5126-4304-9840-96489C5047E7}"/>
    <cellStyle name="Normal 48 4 2" xfId="24136" xr:uid="{A3E87F9A-7C0E-4E65-9ED3-A92623CF1808}"/>
    <cellStyle name="Normal 48_1.2.b" xfId="16279" xr:uid="{28167FF4-2432-4D98-883A-8B642481EABC}"/>
    <cellStyle name="Normal 49" xfId="10631" xr:uid="{00000000-0005-0000-0000-000033130000}"/>
    <cellStyle name="Normal 49 2" xfId="14342" xr:uid="{AF527211-CC61-40E7-B032-DAC1A5F59AAC}"/>
    <cellStyle name="Normal 49 2 2" xfId="22505" xr:uid="{C01D2013-FE04-481C-B727-A1F508B4DF83}"/>
    <cellStyle name="Normal 49 3" xfId="17916" xr:uid="{15C94DC2-0DAC-4437-92D2-7835F438B1AF}"/>
    <cellStyle name="Normal 49 3 2" xfId="24138" xr:uid="{457E57F3-ADB2-4D70-8719-055B4EDAEFA5}"/>
    <cellStyle name="Normal 49 4" xfId="19739" xr:uid="{DA834809-434B-4EDC-A1F6-9371D80F5D74}"/>
    <cellStyle name="Normal 49_1.2.b" xfId="16281" xr:uid="{A1B0BF1F-5A9F-40B5-A844-8595980066CB}"/>
    <cellStyle name="Normal 5" xfId="62" xr:uid="{00000000-0005-0000-0000-000034130000}"/>
    <cellStyle name="Normal 5 2" xfId="104" xr:uid="{00000000-0005-0000-0000-000035130000}"/>
    <cellStyle name="Normal 5 2 2" xfId="9589" xr:uid="{00000000-0005-0000-0000-000036130000}"/>
    <cellStyle name="Normal 5 3" xfId="4328" xr:uid="{00000000-0005-0000-0000-000037130000}"/>
    <cellStyle name="Normal 5 3 2" xfId="9739" xr:uid="{00000000-0005-0000-0000-000038130000}"/>
    <cellStyle name="Normal 5 3 2 2" xfId="10438" xr:uid="{00000000-0005-0000-0000-000039130000}"/>
    <cellStyle name="Normal 5 3 2 2 2" xfId="12173" xr:uid="{00000000-0005-0000-0000-00003A130000}"/>
    <cellStyle name="Normal 5 3 2 2 2 2" xfId="20922" xr:uid="{3CC65340-EFA5-4ACC-B771-D6E805B8D0BE}"/>
    <cellStyle name="Normal 5 3 2 2 3" xfId="19559" xr:uid="{275E66B9-EE85-4693-BEC8-86128CB571EE}"/>
    <cellStyle name="Normal 5 3 2 3" xfId="10563" xr:uid="{00000000-0005-0000-0000-00003B130000}"/>
    <cellStyle name="Normal 5 3 2 3 2" xfId="12298" xr:uid="{00000000-0005-0000-0000-00003C130000}"/>
    <cellStyle name="Normal 5 3 2 3 2 2" xfId="21044" xr:uid="{A1E62643-3B5D-4512-BC64-D389C2EA5835}"/>
    <cellStyle name="Normal 5 3 2 3 3" xfId="19681" xr:uid="{F08DEDF1-3128-41FE-BE41-49541F855BFA}"/>
    <cellStyle name="Normal 5 3 2 4" xfId="11526" xr:uid="{00000000-0005-0000-0000-00003D130000}"/>
    <cellStyle name="Normal 5 3 2 4 2" xfId="20295" xr:uid="{A5052205-6693-4FD1-B713-5FC32FAD4C25}"/>
    <cellStyle name="Normal 5 3 2 5" xfId="14344" xr:uid="{A2E701D6-B3FB-49CE-8C23-D2F7971D7AA6}"/>
    <cellStyle name="Normal 5 3 2 5 2" xfId="22507" xr:uid="{9D87023A-2751-4820-80E0-8E793E408CA9}"/>
    <cellStyle name="Normal 5 3 2 6" xfId="17918" xr:uid="{5EAC630B-2901-443D-92B4-34C82050BEC4}"/>
    <cellStyle name="Normal 5 3 2 6 2" xfId="24140" xr:uid="{4483C9B5-9E08-4DE9-A5E8-24A63C6897FF}"/>
    <cellStyle name="Normal 5 3 2 7" xfId="18927" xr:uid="{55FCCB16-983C-42D6-AEA5-F09ABA8B5988}"/>
    <cellStyle name="Normal 5 3 2_1.2.b" xfId="16284" xr:uid="{65606346-F1EF-479B-8C44-0CB1085011A5}"/>
    <cellStyle name="Normal 5 3 3" xfId="10141" xr:uid="{00000000-0005-0000-0000-00003E130000}"/>
    <cellStyle name="Normal 5 3 3 2" xfId="11877" xr:uid="{00000000-0005-0000-0000-00003F130000}"/>
    <cellStyle name="Normal 5 3 3 2 2" xfId="20633" xr:uid="{C638733E-7CD3-4EEE-9F3A-AD40A90A3FB2}"/>
    <cellStyle name="Normal 5 3 3 3" xfId="14345" xr:uid="{14D0365E-1496-44DF-A196-B77CFEEEF5DF}"/>
    <cellStyle name="Normal 5 3 3 3 2" xfId="22508" xr:uid="{1BE8AE26-8DED-479A-AE90-D7270678B95C}"/>
    <cellStyle name="Normal 5 3 3 4" xfId="17919" xr:uid="{0B1379C0-EB2C-4857-B57E-F04E799BD021}"/>
    <cellStyle name="Normal 5 3 3 4 2" xfId="24141" xr:uid="{238FB66E-F375-41AE-8594-14406236ED35}"/>
    <cellStyle name="Normal 5 3 3 5" xfId="19270" xr:uid="{ABD725F0-0DB5-4E7C-9043-B2101AE5A7BB}"/>
    <cellStyle name="Normal 5 3 3_1.2.b" xfId="16285" xr:uid="{1AADC8CB-B72E-4709-A54A-715E81B13372}"/>
    <cellStyle name="Normal 5 3 4" xfId="10550" xr:uid="{00000000-0005-0000-0000-000040130000}"/>
    <cellStyle name="Normal 5 3 4 2" xfId="12285" xr:uid="{00000000-0005-0000-0000-000041130000}"/>
    <cellStyle name="Normal 5 3 4 2 2" xfId="14744" xr:uid="{45A94372-A65C-4A7A-961E-D1A3135B1537}"/>
    <cellStyle name="Normal 5 3 4 2 3" xfId="21032" xr:uid="{756410E7-4A04-4769-8423-BE100505F8D9}"/>
    <cellStyle name="Normal 5 3 4 2_1.2.b" xfId="16287" xr:uid="{45DCB2AB-9FBA-47BC-81AF-D8DFDFA7EF9E}"/>
    <cellStyle name="Normal 5 3 4 3" xfId="14346" xr:uid="{4DB7B516-05C8-4CF1-B094-9AC151FB5F48}"/>
    <cellStyle name="Normal 5 3 4 4" xfId="19669" xr:uid="{9D0C4FB5-9B71-4441-B1C7-05E42AD3292D}"/>
    <cellStyle name="Normal 5 3 4_1.2.b" xfId="16286" xr:uid="{0D16A0CE-907A-45BB-BF6B-6D9E6E765DD6}"/>
    <cellStyle name="Normal 5 3 5" xfId="11134" xr:uid="{00000000-0005-0000-0000-000042130000}"/>
    <cellStyle name="Normal 5 3 5 2" xfId="20018" xr:uid="{7BF76D2C-708A-4902-BEBE-A758B8526E3E}"/>
    <cellStyle name="Normal 5 3 6" xfId="14343" xr:uid="{78064168-E657-4ACF-AE39-FF620AC794B6}"/>
    <cellStyle name="Normal 5 3 6 2" xfId="22506" xr:uid="{E97FDF7B-8732-4FBC-9DE9-6A9F736EE5F2}"/>
    <cellStyle name="Normal 5 3 7" xfId="17917" xr:uid="{814B6B34-3B2E-41C6-8E27-87B1AFA977BA}"/>
    <cellStyle name="Normal 5 3 7 2" xfId="24139" xr:uid="{F897E9F9-611E-44F7-BF65-88AAE7B0F480}"/>
    <cellStyle name="Normal 5 3 8" xfId="18650" xr:uid="{2F2C8FD6-1520-463E-8BD2-1755FAB0690D}"/>
    <cellStyle name="Normal 5 3_1.2.b" xfId="16283" xr:uid="{B8AA7F02-2745-4AB0-9EBD-E4EEE5757365}"/>
    <cellStyle name="Normal 5 4" xfId="7812" xr:uid="{00000000-0005-0000-0000-000043130000}"/>
    <cellStyle name="Normal 5 4 2" xfId="14745" xr:uid="{D3614124-9E7F-475A-8517-73907F9DE38C}"/>
    <cellStyle name="Normal 5 5" xfId="10643" xr:uid="{00000000-0005-0000-0000-000044130000}"/>
    <cellStyle name="Normal 5 5 2" xfId="14746" xr:uid="{E1C0B32D-281B-488F-8CCB-7C9426E88A55}"/>
    <cellStyle name="Normal 5 5 3" xfId="14347" xr:uid="{873734B8-BC01-49C3-99C6-2128F2317975}"/>
    <cellStyle name="Normal 5 5 4" xfId="19742" xr:uid="{C23E1481-9988-45C3-8026-F7E2DF24D5FA}"/>
    <cellStyle name="Normal 5 5_1.2.b" xfId="16288" xr:uid="{161C610B-1B0B-40B4-A75F-2097C200D2FA}"/>
    <cellStyle name="Normal 5 6" xfId="14703" xr:uid="{726C9918-A362-4967-84E4-F6F7D2DFB246}"/>
    <cellStyle name="Normal 5 7" xfId="18372" xr:uid="{00A23ED3-FA2F-4A93-AC02-F124EABC2B96}"/>
    <cellStyle name="Normal 5_1.2.b" xfId="16282" xr:uid="{69282756-FAD3-4607-B2D4-FFAFEA90B446}"/>
    <cellStyle name="Normal 50" xfId="10617" xr:uid="{00000000-0005-0000-0000-000045130000}"/>
    <cellStyle name="Normal 50 2" xfId="14349" xr:uid="{03313B72-DD72-4DB6-AF80-B05BABC92607}"/>
    <cellStyle name="Normal 50 2 2" xfId="17921" xr:uid="{0C1220CC-564D-4F12-8EAA-457174B9A719}"/>
    <cellStyle name="Normal 50 2 2 2" xfId="24143" xr:uid="{889DF963-631B-4B4B-BD21-AAB58E66C615}"/>
    <cellStyle name="Normal 50 2 3" xfId="22510" xr:uid="{AAA0AA0C-D32D-4993-8FB2-62DA86B43750}"/>
    <cellStyle name="Normal 50 2_1.2.b" xfId="16290" xr:uid="{1E936BFC-0AC4-4366-B454-AAE76BA08C8B}"/>
    <cellStyle name="Normal 50 3" xfId="14348" xr:uid="{A2D64851-DC0B-424F-AB9E-E3524047D022}"/>
    <cellStyle name="Normal 50 3 2" xfId="22509" xr:uid="{7DAE1C01-835E-4B15-830B-7347ECEE2C4E}"/>
    <cellStyle name="Normal 50 4" xfId="17920" xr:uid="{982A8A96-48F1-41AE-B34B-9584FD16F4D6}"/>
    <cellStyle name="Normal 50 4 2" xfId="24142" xr:uid="{6E6B9317-28D8-47EB-9079-C5DBCADC01FD}"/>
    <cellStyle name="Normal 50 5" xfId="19725" xr:uid="{E68ED417-EBB9-4531-9258-CB95D2C3E141}"/>
    <cellStyle name="Normal 50_1.2.b" xfId="16289" xr:uid="{FFA8D5BD-C270-4B1A-9895-791A01545202}"/>
    <cellStyle name="Normal 51" xfId="12353" xr:uid="{00000000-0005-0000-0000-000046130000}"/>
    <cellStyle name="Normal 51 2" xfId="14350" xr:uid="{A036871D-38DB-4021-AE3A-1C0524A77724}"/>
    <cellStyle name="Normal 51 2 2" xfId="22511" xr:uid="{17EC1451-CD90-4121-ADC0-125E5063EAD1}"/>
    <cellStyle name="Normal 51 3" xfId="17922" xr:uid="{4BC6857C-60E9-45A7-BCD6-2DF04481A06C}"/>
    <cellStyle name="Normal 51 3 2" xfId="24144" xr:uid="{CC1817DD-7CD6-488B-87C1-D1BF2CE43FCB}"/>
    <cellStyle name="Normal 51 4" xfId="21098" xr:uid="{016D5E4B-95F5-4A63-9A01-2A237569690B}"/>
    <cellStyle name="Normal 51_1.2.b" xfId="16291" xr:uid="{DCD0A45A-777B-4DDF-B0BD-AA74103AE221}"/>
    <cellStyle name="Normal 52" xfId="12356" xr:uid="{00000000-0005-0000-0000-000047130000}"/>
    <cellStyle name="Normal 52 2" xfId="14352" xr:uid="{C402EBC0-2D5B-434C-92E3-ED415DF10075}"/>
    <cellStyle name="Normal 52 2 2" xfId="17924" xr:uid="{48643DA8-79D6-4C4F-A4B4-C4BB60FBEBC0}"/>
    <cellStyle name="Normal 52 2 2 2" xfId="24146" xr:uid="{6B92C44F-D26D-4EDA-B819-508AE49C2610}"/>
    <cellStyle name="Normal 52 2 3" xfId="22513" xr:uid="{E56802BD-755D-49A6-BC1D-F35AC4BE054B}"/>
    <cellStyle name="Normal 52 2_1.2.b" xfId="16293" xr:uid="{51096801-23EF-4A47-B965-7E4E6B838C86}"/>
    <cellStyle name="Normal 52 3" xfId="14351" xr:uid="{7CF83923-523A-4EB6-8BAE-E68CDB223945}"/>
    <cellStyle name="Normal 52 3 2" xfId="22512" xr:uid="{8EC2C4C0-D4E4-4BE9-9264-4EB818653C0E}"/>
    <cellStyle name="Normal 52 4" xfId="17923" xr:uid="{1D9948B6-012C-4458-9152-ABA086D33384}"/>
    <cellStyle name="Normal 52 4 2" xfId="24145" xr:uid="{ECBF44B5-9601-4CEE-BBFC-E8D52F275465}"/>
    <cellStyle name="Normal 52 5" xfId="21100" xr:uid="{DA7C3116-9117-4932-AAB0-044895CD1FDF}"/>
    <cellStyle name="Normal 52_1.2.b" xfId="16292" xr:uid="{9E54B7E3-3423-45CB-82D2-F5D359F348C7}"/>
    <cellStyle name="Normal 53" xfId="12358" xr:uid="{00000000-0005-0000-0000-000048130000}"/>
    <cellStyle name="Normal 53 2" xfId="14353" xr:uid="{290CAD1A-FF99-4F66-AEB6-0222210186B1}"/>
    <cellStyle name="Normal 53 2 2" xfId="22514" xr:uid="{014A39B3-2022-404A-9FCA-6F2A105B3EF8}"/>
    <cellStyle name="Normal 53 3" xfId="17925" xr:uid="{C2FA872A-D167-40F7-94E1-DA91E89102E2}"/>
    <cellStyle name="Normal 53 3 2" xfId="24147" xr:uid="{E6886319-DC4B-4DD8-B674-9B9B7AB3E0F5}"/>
    <cellStyle name="Normal 53 4" xfId="21101" xr:uid="{D95657F4-7E29-4F40-93E5-36151653A690}"/>
    <cellStyle name="Normal 53_1.2.b" xfId="16294" xr:uid="{BD46B24D-F910-4E16-8EE1-7B8E8226BBF0}"/>
    <cellStyle name="Normal 54" xfId="12373" xr:uid="{00000000-0005-0000-0000-000049130000}"/>
    <cellStyle name="Normal 54 2" xfId="14355" xr:uid="{CB607F78-A10C-4037-B906-DBD391E31FD5}"/>
    <cellStyle name="Normal 54 2 2" xfId="17927" xr:uid="{700DD6F8-4B9B-4D33-AEE5-EF6C50225006}"/>
    <cellStyle name="Normal 54 2 2 2" xfId="24149" xr:uid="{8664AD53-F2DA-441D-91FB-61EB51900CDC}"/>
    <cellStyle name="Normal 54 2 3" xfId="22516" xr:uid="{7604EF04-86C1-40BB-88E5-D261DEBB310E}"/>
    <cellStyle name="Normal 54 2_1.2.b" xfId="16296" xr:uid="{6288B59B-A946-4EA1-A631-4ECFCDABE658}"/>
    <cellStyle name="Normal 54 3" xfId="14354" xr:uid="{CA27018F-198D-4802-A3CB-4601B3D0AE95}"/>
    <cellStyle name="Normal 54 3 2" xfId="22515" xr:uid="{3455C884-4FD4-4779-B48A-E248A28D98A6}"/>
    <cellStyle name="Normal 54 4" xfId="17926" xr:uid="{34817439-AF45-4E8C-9854-4622D7510F50}"/>
    <cellStyle name="Normal 54 4 2" xfId="24148" xr:uid="{4F3AB1D6-1147-4130-9A02-EB1AE5C40774}"/>
    <cellStyle name="Normal 54 5" xfId="21116" xr:uid="{950427F6-817F-4844-993B-0F7A2C62BA35}"/>
    <cellStyle name="Normal 54_1.2.b" xfId="16295" xr:uid="{088E8B33-D5D0-4C26-9DDF-5CC76D1C6F6E}"/>
    <cellStyle name="Normal 55" xfId="12389" xr:uid="{00000000-0005-0000-0000-00004A130000}"/>
    <cellStyle name="Normal 55 2" xfId="14357" xr:uid="{F3DB3F78-A06A-4E65-9B2B-4F18CBB09548}"/>
    <cellStyle name="Normal 55 2 2" xfId="17929" xr:uid="{B1126499-F8FB-4E3E-A724-982B324F3241}"/>
    <cellStyle name="Normal 55 2 2 2" xfId="24151" xr:uid="{C3723B06-6064-462C-AE5F-8272D2B64313}"/>
    <cellStyle name="Normal 55 2 3" xfId="22518" xr:uid="{6ADECC52-B76D-4625-945E-DDB7582268E5}"/>
    <cellStyle name="Normal 55 2_1.2.b" xfId="16298" xr:uid="{DA0CE07E-0BDE-4FD5-823E-22D29CC39D36}"/>
    <cellStyle name="Normal 55 3" xfId="14356" xr:uid="{18921020-213B-413B-94DB-9FFF7452D36E}"/>
    <cellStyle name="Normal 55 3 2" xfId="22517" xr:uid="{0F940FD4-CA93-48BA-B387-404593DED1EA}"/>
    <cellStyle name="Normal 55 4" xfId="17928" xr:uid="{69232A6C-2A71-4607-AA02-836C53F017AD}"/>
    <cellStyle name="Normal 55 4 2" xfId="24150" xr:uid="{C7AEE735-8FD0-4EDE-8FC2-7C632BDC3228}"/>
    <cellStyle name="Normal 55 5" xfId="21130" xr:uid="{C6E95DCF-1DF4-445F-A91D-8579D8F3ADAA}"/>
    <cellStyle name="Normal 55_1.2.b" xfId="16297" xr:uid="{F304699F-7CF8-4898-A9EB-15443AEB7E9F}"/>
    <cellStyle name="Normal 56" xfId="12391" xr:uid="{00000000-0005-0000-0000-00004B130000}"/>
    <cellStyle name="Normal 56 2" xfId="14358" xr:uid="{AE3633A4-32A4-4248-AD09-6166B9BE84C2}"/>
    <cellStyle name="Normal 56 2 2" xfId="22519" xr:uid="{CAEDB329-8550-43D4-A324-C55315F55E77}"/>
    <cellStyle name="Normal 56 3" xfId="17930" xr:uid="{2AAA3C85-29B0-499C-A9F2-94B932767C0A}"/>
    <cellStyle name="Normal 56 3 2" xfId="24152" xr:uid="{91313700-32A1-438A-8D0C-E7E326245EA7}"/>
    <cellStyle name="Normal 56 4" xfId="21131" xr:uid="{B4D20375-D6B0-44E5-BCED-9E91EF038CCC}"/>
    <cellStyle name="Normal 56_1.2.b" xfId="16299" xr:uid="{5743E398-2D79-4281-A5F5-D6AAF48206E4}"/>
    <cellStyle name="Normal 57" xfId="12399" xr:uid="{00000000-0005-0000-0000-00004C130000}"/>
    <cellStyle name="Normal 57 2" xfId="14360" xr:uid="{4757F3DC-0346-494E-9F13-4CC148022865}"/>
    <cellStyle name="Normal 57 2 2" xfId="17932" xr:uid="{C8D9885C-8F92-405D-B00D-361B9C5B834A}"/>
    <cellStyle name="Normal 57 2 2 2" xfId="24154" xr:uid="{4FC9D95E-ECF7-4207-87EC-B75419E9BB96}"/>
    <cellStyle name="Normal 57 2 3" xfId="22521" xr:uid="{ACDF1666-4BA9-4DB9-9D17-19DD6D96CA7E}"/>
    <cellStyle name="Normal 57 2_1.2.b" xfId="16301" xr:uid="{A74B89A3-893C-4A4C-B6F2-F5B7950F6712}"/>
    <cellStyle name="Normal 57 3" xfId="14359" xr:uid="{1F18DBC2-558F-4CF9-B697-1013F534D970}"/>
    <cellStyle name="Normal 57 3 2" xfId="22520" xr:uid="{4473DD34-75D9-4C53-81D5-FA70B61210B2}"/>
    <cellStyle name="Normal 57 4" xfId="17931" xr:uid="{C54AF9A7-7182-4E4C-9857-4DBD87306541}"/>
    <cellStyle name="Normal 57 4 2" xfId="24153" xr:uid="{0F3CBBFE-C9A0-4A5E-B44F-5DDB0AE137B6}"/>
    <cellStyle name="Normal 57 5" xfId="21136" xr:uid="{FED61031-D520-40D9-AC93-BF7EBE6F4E0B}"/>
    <cellStyle name="Normal 57_1.2.b" xfId="16300" xr:uid="{DF3FE8D1-A15D-4272-A722-039256C6BFE5}"/>
    <cellStyle name="Normal 58" xfId="12400" xr:uid="{C46F2DA2-C7E8-4880-9777-9608C6F2C1E2}"/>
    <cellStyle name="Normal 58 2" xfId="14362" xr:uid="{DA0FF579-E986-4DBB-B3BF-D58488E9A6BB}"/>
    <cellStyle name="Normal 58 2 2" xfId="17934" xr:uid="{A1CABEF3-CA9F-426F-B253-C6D68D73CB27}"/>
    <cellStyle name="Normal 58 2 2 2" xfId="24156" xr:uid="{6F08F87E-6FBA-4616-AEAE-D354A575F79F}"/>
    <cellStyle name="Normal 58 2 3" xfId="22523" xr:uid="{3EE6A983-5CF0-445E-B96E-3F2AF1E9D9E7}"/>
    <cellStyle name="Normal 58 2_1.2.b" xfId="16303" xr:uid="{D9B7E7BE-F7A6-40AE-B3C9-CE8ABF5F5ADB}"/>
    <cellStyle name="Normal 58 3" xfId="14361" xr:uid="{DDAFB232-C2FC-4428-9232-E1DFE3D35F87}"/>
    <cellStyle name="Normal 58 3 2" xfId="22522" xr:uid="{E249433E-9674-4046-99A4-642157C990DA}"/>
    <cellStyle name="Normal 58 4" xfId="17933" xr:uid="{E9290C59-37BE-47DB-80C5-78A67CCA0088}"/>
    <cellStyle name="Normal 58 4 2" xfId="24155" xr:uid="{56977CC4-431A-46C1-A278-565872192488}"/>
    <cellStyle name="Normal 58 5" xfId="21137" xr:uid="{1F458241-8EE5-43ED-AA30-EF4A7C067BEB}"/>
    <cellStyle name="Normal 58_1.2.b" xfId="16302" xr:uid="{09C0898B-CA06-4A8C-A378-E2CCDA3E39FE}"/>
    <cellStyle name="Normal 59" xfId="12402" xr:uid="{948AAA26-3FC6-4FCB-9BF9-2D6EB69DE39F}"/>
    <cellStyle name="Normal 59 2" xfId="14363" xr:uid="{05F1D075-38B8-44D6-8FD3-BFDC03B62294}"/>
    <cellStyle name="Normal 59 2 2" xfId="22524" xr:uid="{A7C6AD3E-AB24-4689-8A83-F30E14ACDF17}"/>
    <cellStyle name="Normal 59 3" xfId="17935" xr:uid="{71FF98D3-572D-40EF-BFCC-D672D4AD7E4D}"/>
    <cellStyle name="Normal 59 3 2" xfId="24157" xr:uid="{8B83A068-69C8-4C99-A644-55D743C0B090}"/>
    <cellStyle name="Normal 59 4" xfId="21138" xr:uid="{848C4C74-5483-40E9-8919-9EECF5F5B804}"/>
    <cellStyle name="Normal 59_1.2.b" xfId="16304" xr:uid="{BA3417A8-9E46-459A-8A29-21CEF00DCAA7}"/>
    <cellStyle name="Normal 6" xfId="105" xr:uid="{00000000-0005-0000-0000-00004D130000}"/>
    <cellStyle name="Normal 6 2" xfId="4049" xr:uid="{00000000-0005-0000-0000-00004E130000}"/>
    <cellStyle name="Normal 6 2 2" xfId="9554" xr:uid="{00000000-0005-0000-0000-00004F130000}"/>
    <cellStyle name="Normal 6 3" xfId="7813" xr:uid="{00000000-0005-0000-0000-000050130000}"/>
    <cellStyle name="Normal 6 3 2" xfId="14747" xr:uid="{4B0D4BA0-218C-49CB-BFB3-8400AFF9C584}"/>
    <cellStyle name="Normal 6 4" xfId="14364" xr:uid="{303AEFB8-0F63-4CC5-BCCA-169177EF9535}"/>
    <cellStyle name="Normal 6 4 2" xfId="14748" xr:uid="{1141F93D-26D1-491B-B3F5-F6A035766197}"/>
    <cellStyle name="Normal 6 5" xfId="14365" xr:uid="{0596F238-B0FF-491F-8FEF-533489BD9635}"/>
    <cellStyle name="Normal 6 5 2" xfId="17936" xr:uid="{E419C5B6-40E6-49D6-A196-76DBB8B1DEEC}"/>
    <cellStyle name="Normal 6 5 2 2" xfId="24158" xr:uid="{7A322F94-0159-4A05-95AE-5113C43021C5}"/>
    <cellStyle name="Normal 6 5 3" xfId="22525" xr:uid="{89C651CB-A95C-4DA2-A7CE-1E48992BDBDB}"/>
    <cellStyle name="Normal 6 5_1.2.b" xfId="16305" xr:uid="{475813EE-4068-4294-8E3E-726B180497CD}"/>
    <cellStyle name="Normal 6 6" xfId="14704" xr:uid="{75B74782-3F4B-4F2A-BC06-79845F787C88}"/>
    <cellStyle name="Normal 60" xfId="14366" xr:uid="{5E2D4027-CBB8-4EBF-A6D2-78E29691FF6B}"/>
    <cellStyle name="Normal 60 2" xfId="17937" xr:uid="{3D81A481-27C7-4D2D-B9A2-99D2FECB3B82}"/>
    <cellStyle name="Normal 60 2 2" xfId="24159" xr:uid="{EAD7DEA4-88EA-4527-8EF3-87132B2DC2F0}"/>
    <cellStyle name="Normal 60 3" xfId="22526" xr:uid="{DD4E55F4-8159-486A-819F-DB0E7A6690B4}"/>
    <cellStyle name="Normal 60_1.2.b" xfId="16306" xr:uid="{B60D9BC4-B6FC-417E-A531-D8B0DCC89012}"/>
    <cellStyle name="Normal 61" xfId="14367" xr:uid="{6BA8EEE4-73F0-4BA8-A395-0452A3CE2F45}"/>
    <cellStyle name="Normal 61 2" xfId="14368" xr:uid="{F2AA8C74-1BBA-4E03-90E9-2EE702F5795B}"/>
    <cellStyle name="Normal 61 2 2" xfId="17939" xr:uid="{F82B15DF-FEDD-4369-99EA-066494B2484B}"/>
    <cellStyle name="Normal 61 2 2 2" xfId="24161" xr:uid="{18FCA7FA-CA53-48A7-9644-FC2F76FA7017}"/>
    <cellStyle name="Normal 61 2 3" xfId="22528" xr:uid="{11234C83-8F27-4A30-8F7F-6D45A53E98BD}"/>
    <cellStyle name="Normal 61 2_1.2.b" xfId="16308" xr:uid="{5DF0637D-21D9-4CA6-8845-B59E7B32092B}"/>
    <cellStyle name="Normal 61 3" xfId="17938" xr:uid="{807358B0-1DEB-4B5D-ABAA-B0495B1DC644}"/>
    <cellStyle name="Normal 61 3 2" xfId="24160" xr:uid="{731C3828-9B47-45C0-8E39-F115D0447335}"/>
    <cellStyle name="Normal 61 4" xfId="22527" xr:uid="{401332B8-1BDD-4443-B555-958AB5C9D0CD}"/>
    <cellStyle name="Normal 61_1.2.b" xfId="16307" xr:uid="{230F3697-0629-428F-A005-C8A08F77E10A}"/>
    <cellStyle name="Normal 62" xfId="14369" xr:uid="{AA433BA3-C871-4E8E-9358-DBBC51D1FDEE}"/>
    <cellStyle name="Normal 62 2" xfId="14370" xr:uid="{83E2FE43-D5F5-4769-BFF0-C75AD356A7D5}"/>
    <cellStyle name="Normal 62 2 2" xfId="17941" xr:uid="{2BCB7550-1B58-4A5E-B418-B3F8FC4EEA76}"/>
    <cellStyle name="Normal 62 2 2 2" xfId="24163" xr:uid="{A2A2C4E3-5AE0-4C83-810A-3B69F97E3CB1}"/>
    <cellStyle name="Normal 62 2 3" xfId="22530" xr:uid="{AC4B3433-1232-4837-BE61-3820DAF688B6}"/>
    <cellStyle name="Normal 62 2_1.2.b" xfId="16310" xr:uid="{269F8DC3-A2BF-4040-8B9D-E387B35CA63C}"/>
    <cellStyle name="Normal 62 3" xfId="17940" xr:uid="{F1CB2951-09A6-45BD-BC6B-D969B600B57F}"/>
    <cellStyle name="Normal 62 3 2" xfId="24162" xr:uid="{FA25323D-4E52-4000-A6F7-DD98AA83603D}"/>
    <cellStyle name="Normal 62 4" xfId="22529" xr:uid="{EC71E0ED-E2BE-4D50-8F85-F16BF524B582}"/>
    <cellStyle name="Normal 62_1.2.b" xfId="16309" xr:uid="{A48BD671-4833-4FEF-A79D-90A5E75C6C59}"/>
    <cellStyle name="Normal 63" xfId="14371" xr:uid="{A787C407-16EF-41CD-8CAB-70830B72A400}"/>
    <cellStyle name="Normal 63 2" xfId="14372" xr:uid="{772E5093-51DE-41E5-8925-A40C1DD32040}"/>
    <cellStyle name="Normal 63 2 2" xfId="17943" xr:uid="{23CC1517-B163-4DA7-9DA8-72E61DB359F1}"/>
    <cellStyle name="Normal 63 2 2 2" xfId="24165" xr:uid="{A6564819-704F-43CC-81BD-CAC37BD83CF5}"/>
    <cellStyle name="Normal 63 2 3" xfId="22532" xr:uid="{C0D9DB61-D9D3-436D-A02A-55C5B3CD3D10}"/>
    <cellStyle name="Normal 63 2_1.2.b" xfId="16312" xr:uid="{2533CCA7-3529-4ED9-A600-61838CEBEEE8}"/>
    <cellStyle name="Normal 63 3" xfId="17942" xr:uid="{EDB4E3D5-C0F6-4DE9-BDD4-5198DD80169F}"/>
    <cellStyle name="Normal 63 3 2" xfId="24164" xr:uid="{E62539C2-7B5D-4B55-9751-4672000AD865}"/>
    <cellStyle name="Normal 63 4" xfId="22531" xr:uid="{1AA82C2B-B8E2-40E5-80B4-7CC727CCAF37}"/>
    <cellStyle name="Normal 63_1.2.b" xfId="16311" xr:uid="{D8C9FB32-840F-43C1-A485-DAC153A8E353}"/>
    <cellStyle name="Normal 64" xfId="14373" xr:uid="{E94B879C-7306-45B8-8842-BFF56C1BFC97}"/>
    <cellStyle name="Normal 64 2" xfId="14374" xr:uid="{02DD4FA1-7B39-4264-B59A-D10FD3B17720}"/>
    <cellStyle name="Normal 64 2 2" xfId="17945" xr:uid="{BCD82315-B577-4449-8CDE-4BEF903F0E72}"/>
    <cellStyle name="Normal 64 2 2 2" xfId="24167" xr:uid="{A68EAAD3-AF6A-467C-AD1A-0978B8757B27}"/>
    <cellStyle name="Normal 64 2 3" xfId="22534" xr:uid="{2702B96E-5689-42B3-9E10-4390FA3A730F}"/>
    <cellStyle name="Normal 64 2_1.2.b" xfId="16314" xr:uid="{ADCF21C1-F971-48FE-99E1-C6A711F37002}"/>
    <cellStyle name="Normal 64 3" xfId="17944" xr:uid="{3F41A2E1-3031-4C93-A58A-2662A2F75722}"/>
    <cellStyle name="Normal 64 3 2" xfId="24166" xr:uid="{D4167DDE-7AD1-467F-BE31-F724F372B10C}"/>
    <cellStyle name="Normal 64 4" xfId="22533" xr:uid="{0676DCB8-F3F2-4D46-AF31-377946582EBD}"/>
    <cellStyle name="Normal 64_1.2.b" xfId="16313" xr:uid="{8309E2E0-209C-4907-BD68-233DFB96C25F}"/>
    <cellStyle name="Normal 65" xfId="14375" xr:uid="{6C30A0FA-C1CC-47F1-ABAF-702F4813648A}"/>
    <cellStyle name="Normal 65 2" xfId="14376" xr:uid="{A0C6BE65-249B-4EDB-85F0-BDA5B17EECEE}"/>
    <cellStyle name="Normal 65 2 2" xfId="17947" xr:uid="{C40820DF-728D-40F3-87AE-050CB3276141}"/>
    <cellStyle name="Normal 65 2 2 2" xfId="24169" xr:uid="{904989EA-6D3A-4B25-87AB-8130CE56039B}"/>
    <cellStyle name="Normal 65 2 3" xfId="22536" xr:uid="{1AE24FD7-F17A-4902-987A-4B3B436A259A}"/>
    <cellStyle name="Normal 65 2_1.2.b" xfId="16316" xr:uid="{66C25ACB-5F90-43FE-8EB1-C1DE79A80856}"/>
    <cellStyle name="Normal 65 3" xfId="17946" xr:uid="{9BA3664B-42B4-4FCD-B8C4-0615C2CAC93A}"/>
    <cellStyle name="Normal 65 3 2" xfId="24168" xr:uid="{8C9F895B-9016-480E-BD45-92ADB0C7AA49}"/>
    <cellStyle name="Normal 65 4" xfId="22535" xr:uid="{B31AEA0F-3916-4E8D-BE80-AB09B3A8B111}"/>
    <cellStyle name="Normal 65_1.2.b" xfId="16315" xr:uid="{ACD7E2DD-934A-4C50-BE9B-5C0796DB0A7E}"/>
    <cellStyle name="Normal 66" xfId="14377" xr:uid="{31BEBECB-2F42-45B6-82D7-D0B1BC22A49E}"/>
    <cellStyle name="Normal 66 2" xfId="14378" xr:uid="{412E646B-B132-4532-A348-CAFEF48083E9}"/>
    <cellStyle name="Normal 66 2 2" xfId="17949" xr:uid="{2608C178-749F-4C75-9762-40121004AAA3}"/>
    <cellStyle name="Normal 66 2 2 2" xfId="24171" xr:uid="{C7CFB60D-6E3F-417D-A288-9E01AEED35E4}"/>
    <cellStyle name="Normal 66 2 3" xfId="22538" xr:uid="{CB95E1CF-BB21-4DDC-A8E9-836032636407}"/>
    <cellStyle name="Normal 66 2_1.2.b" xfId="16318" xr:uid="{06321D50-CD2B-47C6-BE32-9551A8D34852}"/>
    <cellStyle name="Normal 66 3" xfId="17948" xr:uid="{24987D30-A2EF-49C7-A10C-CECCF159687F}"/>
    <cellStyle name="Normal 66 3 2" xfId="24170" xr:uid="{F1857186-8035-481F-9C2C-9611FB7AA870}"/>
    <cellStyle name="Normal 66 4" xfId="22537" xr:uid="{958B1D66-5AC5-4DB9-AF87-E9905A0D8A65}"/>
    <cellStyle name="Normal 66_1.2.b" xfId="16317" xr:uid="{6B46C10D-C3B4-4BCE-95FC-15978E1E7595}"/>
    <cellStyle name="Normal 67" xfId="14379" xr:uid="{90E54C8F-D023-4199-997C-0ADF2AA02DD0}"/>
    <cellStyle name="Normal 67 2" xfId="14380" xr:uid="{B20EF808-F861-4B08-B4B8-37E73819B4D0}"/>
    <cellStyle name="Normal 67 2 2" xfId="17951" xr:uid="{23916960-4F83-4672-B6D0-D59488A783F7}"/>
    <cellStyle name="Normal 67 2 2 2" xfId="24173" xr:uid="{5D22A162-033E-43F5-BAAC-086C5DCF65FA}"/>
    <cellStyle name="Normal 67 2 3" xfId="22540" xr:uid="{9AD5FFD5-67FF-4C26-AFE3-9173B8FBA460}"/>
    <cellStyle name="Normal 67 2_1.2.b" xfId="16320" xr:uid="{2605317A-7587-49BA-9B66-B4D94E051286}"/>
    <cellStyle name="Normal 67 3" xfId="17950" xr:uid="{ECFA18D2-5FFF-4AFC-8788-CCB32EE6A905}"/>
    <cellStyle name="Normal 67 3 2" xfId="24172" xr:uid="{9623AA19-B6CD-4B27-93A8-93F99F4F381F}"/>
    <cellStyle name="Normal 67 4" xfId="22539" xr:uid="{D7CF5DD1-D16A-4815-B615-2D1172558246}"/>
    <cellStyle name="Normal 67_1.2.b" xfId="16319" xr:uid="{158A0C8C-6A57-46FB-84A0-73DCC67640CF}"/>
    <cellStyle name="Normal 68" xfId="14381" xr:uid="{89C1257E-291D-4F4B-AFBF-80D832C39833}"/>
    <cellStyle name="Normal 68 2" xfId="14382" xr:uid="{FC1D3BC4-8837-4257-84C0-BB2378E37C45}"/>
    <cellStyle name="Normal 68 2 2" xfId="17953" xr:uid="{E045E654-F4DD-4493-9B7E-006FC16E1A25}"/>
    <cellStyle name="Normal 68 2 2 2" xfId="24175" xr:uid="{EF1E8A99-3FE4-40CD-9BB6-734DBDFCD7D4}"/>
    <cellStyle name="Normal 68 2 3" xfId="22542" xr:uid="{FDCA5306-9BEB-4DA0-9693-96BF2EDF6845}"/>
    <cellStyle name="Normal 68 2_1.2.b" xfId="16322" xr:uid="{D623953B-EE1D-4BEA-A4AA-4D5CCE6CD6E1}"/>
    <cellStyle name="Normal 68 3" xfId="17952" xr:uid="{0FD7B613-3028-4B57-8CF5-2D27B9A901E1}"/>
    <cellStyle name="Normal 68 3 2" xfId="24174" xr:uid="{017268D2-E4A9-4FA9-B9F9-218153D2436D}"/>
    <cellStyle name="Normal 68 4" xfId="22541" xr:uid="{A490C841-556E-4B1A-A470-08CF31AA769B}"/>
    <cellStyle name="Normal 68_1.2.b" xfId="16321" xr:uid="{1047B223-7C7A-4EC0-868F-D945D3AC5F0E}"/>
    <cellStyle name="Normal 69" xfId="14383" xr:uid="{4DF37DB9-552F-44AE-A848-03444A0CE499}"/>
    <cellStyle name="Normal 69 2" xfId="14384" xr:uid="{4127F6A3-C9BF-43DC-AFAA-A858DA4B5585}"/>
    <cellStyle name="Normal 69 2 2" xfId="17955" xr:uid="{5CA29D17-63B3-4DED-8D79-CBAB1447B6C5}"/>
    <cellStyle name="Normal 69 2 2 2" xfId="24177" xr:uid="{B1816577-ECA4-4206-8EC9-9D2BB757A8DA}"/>
    <cellStyle name="Normal 69 2 3" xfId="22544" xr:uid="{C5FDC06B-29AE-42EE-AB3B-5ADB0FD5F82D}"/>
    <cellStyle name="Normal 69 2_1.2.b" xfId="16324" xr:uid="{9FE332F0-0A76-472F-A117-FD0EB0F357F7}"/>
    <cellStyle name="Normal 69 3" xfId="17954" xr:uid="{0BB1C515-6E6D-43F0-9B4E-DB317D0DCB04}"/>
    <cellStyle name="Normal 69 3 2" xfId="24176" xr:uid="{4EB89EA1-9CA1-4A3E-8ED9-498FFD74B32A}"/>
    <cellStyle name="Normal 69 4" xfId="22543" xr:uid="{C9F196B9-8B40-4D90-B8EE-F9DD48E57B0E}"/>
    <cellStyle name="Normal 69_1.2.b" xfId="16323" xr:uid="{8DD5E8C2-EAD0-486C-A8EC-3DE4B9DD5F37}"/>
    <cellStyle name="Normal 7" xfId="106" xr:uid="{00000000-0005-0000-0000-000051130000}"/>
    <cellStyle name="Normal 7 10" xfId="18248" xr:uid="{D8121339-0D4D-4E69-9A27-DBE600134EF8}"/>
    <cellStyle name="Normal 7 10 2" xfId="24415" xr:uid="{A907D50C-2385-41A3-9241-C54B1AA548BB}"/>
    <cellStyle name="Normal 7 11" xfId="18380" xr:uid="{80DEAA03-0AE6-4103-959A-502B219C2436}"/>
    <cellStyle name="Normal 7 2" xfId="4223" xr:uid="{00000000-0005-0000-0000-000052130000}"/>
    <cellStyle name="Normal 7 2 2" xfId="9658" xr:uid="{00000000-0005-0000-0000-000053130000}"/>
    <cellStyle name="Normal 7 2 2 2" xfId="10359" xr:uid="{00000000-0005-0000-0000-000054130000}"/>
    <cellStyle name="Normal 7 2 2 2 2" xfId="12094" xr:uid="{00000000-0005-0000-0000-000055130000}"/>
    <cellStyle name="Normal 7 2 2 2 2 2" xfId="20843" xr:uid="{F8C4A26C-9C56-4DC5-A488-D20F44DDFDC0}"/>
    <cellStyle name="Normal 7 2 2 2 3" xfId="19480" xr:uid="{BB390F8E-A10F-41CA-82D9-B7E60FC09473}"/>
    <cellStyle name="Normal 7 2 2 3" xfId="11447" xr:uid="{00000000-0005-0000-0000-000056130000}"/>
    <cellStyle name="Normal 7 2 2 3 2" xfId="20216" xr:uid="{2C238FFC-DCC4-44D9-BDE2-158966A30C84}"/>
    <cellStyle name="Normal 7 2 2 4" xfId="14749" xr:uid="{948EC5D1-E552-4C51-B52E-1646ABE2F17A}"/>
    <cellStyle name="Normal 7 2 2 5" xfId="18848" xr:uid="{F5B1399D-4609-4665-979A-3AD8029CB35E}"/>
    <cellStyle name="Normal 7 2 2_1.2.b" xfId="16327" xr:uid="{EA3429F5-0AE5-436A-BC8B-5B5CB0FA2368}"/>
    <cellStyle name="Normal 7 2 3" xfId="10062" xr:uid="{00000000-0005-0000-0000-000057130000}"/>
    <cellStyle name="Normal 7 2 3 2" xfId="11798" xr:uid="{00000000-0005-0000-0000-000058130000}"/>
    <cellStyle name="Normal 7 2 3 2 2" xfId="20554" xr:uid="{56B6941C-6E7A-4CCB-B66F-A84849C5F840}"/>
    <cellStyle name="Normal 7 2 3 3" xfId="19191" xr:uid="{9B7499F7-3C16-4CDA-9B8D-CA718D23EBF8}"/>
    <cellStyle name="Normal 7 2 4" xfId="11034" xr:uid="{00000000-0005-0000-0000-000059130000}"/>
    <cellStyle name="Normal 7 2 4 2" xfId="19939" xr:uid="{54CA66D4-DC0C-49DE-B317-8DB3B91EA1F2}"/>
    <cellStyle name="Normal 7 2 5" xfId="14386" xr:uid="{092B3AEB-1147-4325-9428-F495B1CD395E}"/>
    <cellStyle name="Normal 7 2 6" xfId="18571" xr:uid="{2D493CF2-8CFA-463F-B4B8-0E74C52D4F2B}"/>
    <cellStyle name="Normal 7 2_1.2.b" xfId="16326" xr:uid="{A07AC126-B6A9-4AD5-9C74-815504D31BD7}"/>
    <cellStyle name="Normal 7 3" xfId="1458" xr:uid="{00000000-0005-0000-0000-00005A130000}"/>
    <cellStyle name="Normal 7 4" xfId="9904" xr:uid="{00000000-0005-0000-0000-00005B130000}"/>
    <cellStyle name="Normal 7 5" xfId="10655" xr:uid="{00000000-0005-0000-0000-00005C130000}"/>
    <cellStyle name="Normal 7 5 2" xfId="19749" xr:uid="{6C411DAE-2CD7-465E-A2D3-542E7475197C}"/>
    <cellStyle name="Normal 7 6" xfId="14385" xr:uid="{C1443673-87E5-49E1-B26E-65B8C51D7A1D}"/>
    <cellStyle name="Normal 7 6 2" xfId="22545" xr:uid="{DF0B336E-D4BE-41F8-9BD7-0D9AF19BD729}"/>
    <cellStyle name="Normal 7 7" xfId="17956" xr:uid="{C2AD68FE-2741-40CC-9D43-CD0B7E783B6C}"/>
    <cellStyle name="Normal 7 7 2" xfId="24178" xr:uid="{EE8C9A79-6A7C-4EBB-9B41-B2FC8855E5B9}"/>
    <cellStyle name="Normal 7 8" xfId="18249" xr:uid="{89571346-A3C7-4CC8-BEE3-554A495AD638}"/>
    <cellStyle name="Normal 7 8 2" xfId="24416" xr:uid="{B3B3A496-9CE8-43E3-A96B-17A90C7B23C5}"/>
    <cellStyle name="Normal 7 9" xfId="17809" xr:uid="{DD44C270-B7CA-4612-BF8A-BC8BB7E1B14F}"/>
    <cellStyle name="Normal 7 9 2" xfId="24039" xr:uid="{9FBF31FA-8CEA-46CB-9791-882484EEC523}"/>
    <cellStyle name="Normal 7_1.2.b" xfId="16325" xr:uid="{B6F92AC0-735F-481D-BAEF-49764D0B7A07}"/>
    <cellStyle name="Normal 70" xfId="14387" xr:uid="{7096C9AD-59A6-4DD3-B9FE-77193EF564CD}"/>
    <cellStyle name="Normal 70 2" xfId="14388" xr:uid="{7F4DB5ED-C7E7-44B8-BC53-B36422FDA47C}"/>
    <cellStyle name="Normal 70 2 2" xfId="17958" xr:uid="{0FFD1301-9A5B-4C88-8494-87AEA2E6D8E5}"/>
    <cellStyle name="Normal 70 2 2 2" xfId="24180" xr:uid="{E7B59126-227C-4763-BC6B-683C9F593092}"/>
    <cellStyle name="Normal 70 2 3" xfId="22547" xr:uid="{80CD8F55-75DF-46C8-AC96-C9F465BD9DEC}"/>
    <cellStyle name="Normal 70 2_1.2.b" xfId="16329" xr:uid="{BD594254-1865-45EA-B2FC-E64513ABEC48}"/>
    <cellStyle name="Normal 70 3" xfId="17957" xr:uid="{7B312C9E-FECC-4340-A098-918AD68FBDA4}"/>
    <cellStyle name="Normal 70 3 2" xfId="24179" xr:uid="{6A64A259-5AA0-4810-B1FA-14B056741A54}"/>
    <cellStyle name="Normal 70 4" xfId="22546" xr:uid="{299540E2-4115-4A02-B532-78A4DD3785A9}"/>
    <cellStyle name="Normal 70_1.2.b" xfId="16328" xr:uid="{4C9080F2-7CD7-4B0D-91DE-B2F0F681580D}"/>
    <cellStyle name="Normal 71" xfId="14389" xr:uid="{321485AF-59B1-45FB-87DD-96D4912A14B3}"/>
    <cellStyle name="Normal 71 2" xfId="14390" xr:uid="{5A519412-9422-4358-BB62-657D5FFF242E}"/>
    <cellStyle name="Normal 71 2 2" xfId="17960" xr:uid="{859DB012-D8CB-4DEF-B5FB-61D8EF5A989D}"/>
    <cellStyle name="Normal 71 2 2 2" xfId="24182" xr:uid="{A832B2FF-F87B-4D65-A1D9-530B35FC985A}"/>
    <cellStyle name="Normal 71 2 3" xfId="22549" xr:uid="{A4C0B6AD-C970-4FD2-A1E5-65E290E7FBDA}"/>
    <cellStyle name="Normal 71 2_1.2.b" xfId="16331" xr:uid="{0EE61CF4-5D83-4AD2-98AD-ABFFE9A4609C}"/>
    <cellStyle name="Normal 71 3" xfId="17959" xr:uid="{38D69451-F8CB-4B1C-B768-12D6B3CD3908}"/>
    <cellStyle name="Normal 71 3 2" xfId="24181" xr:uid="{4F83067E-0846-49C5-BC9E-27FB26918C06}"/>
    <cellStyle name="Normal 71 4" xfId="22548" xr:uid="{12178E40-FA99-4190-9424-31D3A0B67CBC}"/>
    <cellStyle name="Normal 71_1.2.b" xfId="16330" xr:uid="{59666CD7-4A7C-4835-A2A4-0A1236D03C82}"/>
    <cellStyle name="Normal 72" xfId="14391" xr:uid="{1F917B83-B5AF-4A84-8853-3223F11118A0}"/>
    <cellStyle name="Normal 72 2" xfId="14392" xr:uid="{EF492A0F-061B-4C16-8EAA-855064D73C23}"/>
    <cellStyle name="Normal 72 2 2" xfId="17962" xr:uid="{8351E5D6-22E4-4CAB-9361-9977D933B027}"/>
    <cellStyle name="Normal 72 2 2 2" xfId="24184" xr:uid="{6FBF40A3-2CBD-4BB4-9BB8-52E654A2665A}"/>
    <cellStyle name="Normal 72 2 3" xfId="22551" xr:uid="{C8F3BD09-3CD5-4AD8-87A1-E7398539F19C}"/>
    <cellStyle name="Normal 72 2_1.2.b" xfId="16333" xr:uid="{EF2A6419-CAEA-4043-9A01-C19F25B4F0B0}"/>
    <cellStyle name="Normal 72 3" xfId="17961" xr:uid="{D3BE0485-F297-4E4E-A1BF-01724AEFF264}"/>
    <cellStyle name="Normal 72 3 2" xfId="24183" xr:uid="{97731C4C-E2FD-40E4-BD21-2D786AD2BE0D}"/>
    <cellStyle name="Normal 72 4" xfId="22550" xr:uid="{0C79FFFC-0147-44D4-A015-BF9D6BB50995}"/>
    <cellStyle name="Normal 72_1.2.b" xfId="16332" xr:uid="{E7C3FFC5-5202-49B2-B170-13F003A5F891}"/>
    <cellStyle name="Normal 73" xfId="14393" xr:uid="{234F013D-3B1E-4661-9364-19B0D0456868}"/>
    <cellStyle name="Normal 73 2" xfId="14394" xr:uid="{99C0E6BF-A1ED-4F3E-A72C-AE5A97EED8C5}"/>
    <cellStyle name="Normal 73 2 2" xfId="17964" xr:uid="{77BBDAD8-EE48-4B32-AB55-CF5556C019C4}"/>
    <cellStyle name="Normal 73 2 2 2" xfId="24186" xr:uid="{97E0C10D-3174-4EF5-ACDC-64A4260264AA}"/>
    <cellStyle name="Normal 73 2 3" xfId="22553" xr:uid="{781C1177-36D4-48A2-A0D7-B21050501DC7}"/>
    <cellStyle name="Normal 73 2_1.2.b" xfId="16335" xr:uid="{11E7984D-EA90-4F11-98D9-2A2CF4EA78D2}"/>
    <cellStyle name="Normal 73 3" xfId="17963" xr:uid="{674D7A5F-051D-4189-8DA1-084893A3DA0D}"/>
    <cellStyle name="Normal 73 3 2" xfId="24185" xr:uid="{894ECD0D-DA05-4115-B728-E889B46CAC5E}"/>
    <cellStyle name="Normal 73 4" xfId="22552" xr:uid="{0A5A48CF-72C6-467A-BC2F-3107482F9831}"/>
    <cellStyle name="Normal 73_1.2.b" xfId="16334" xr:uid="{97744215-3892-4453-A6AF-EA7FED0EE66A}"/>
    <cellStyle name="Normal 74" xfId="14395" xr:uid="{62C58C6D-BF72-4A57-8168-42A8F9596E16}"/>
    <cellStyle name="Normal 74 2" xfId="14396" xr:uid="{22CE2DE3-5EC0-4328-A231-D5FF47A73DF2}"/>
    <cellStyle name="Normal 74 2 2" xfId="17966" xr:uid="{F26D1970-AAF7-4D52-A7CE-D9FB2355FC1B}"/>
    <cellStyle name="Normal 74 2 2 2" xfId="24188" xr:uid="{64758338-E006-4F88-9E2A-62A020939470}"/>
    <cellStyle name="Normal 74 2 3" xfId="22555" xr:uid="{BC350CBE-8BFA-4A6D-9C05-F207EDC03064}"/>
    <cellStyle name="Normal 74 2_1.2.b" xfId="16337" xr:uid="{222E160D-419C-48A0-80E1-8F42F5ADE8EA}"/>
    <cellStyle name="Normal 74 3" xfId="17965" xr:uid="{6BB1E4D3-F83C-4D82-827E-1073E06D2221}"/>
    <cellStyle name="Normal 74 3 2" xfId="24187" xr:uid="{065F92AC-1EEC-4837-96F1-57997D496F10}"/>
    <cellStyle name="Normal 74 4" xfId="22554" xr:uid="{025D68E9-AEF0-46F6-9930-7F157A81A361}"/>
    <cellStyle name="Normal 74_1.2.b" xfId="16336" xr:uid="{9217762E-34CF-4472-B6C9-7CCB849F9D64}"/>
    <cellStyle name="Normal 75" xfId="14397" xr:uid="{9C808D7D-9E82-4ECB-89BA-33480DECFC3E}"/>
    <cellStyle name="Normal 75 2" xfId="14398" xr:uid="{6AA53BB7-68CF-45B6-B2DC-33A3A6811C2B}"/>
    <cellStyle name="Normal 75 2 2" xfId="17968" xr:uid="{2CDC6968-E68C-4153-BF82-C219AD7869C9}"/>
    <cellStyle name="Normal 75 2 2 2" xfId="24190" xr:uid="{05A28598-B79C-47B8-937C-DD0F377F06D6}"/>
    <cellStyle name="Normal 75 2 3" xfId="22557" xr:uid="{529CC193-3596-4473-BD08-7267DFD7DF54}"/>
    <cellStyle name="Normal 75 2_1.2.b" xfId="16339" xr:uid="{C89B166F-F21C-4C3C-B3C8-F839EC807DA8}"/>
    <cellStyle name="Normal 75 3" xfId="17967" xr:uid="{446D9BBA-4B60-4DD2-8776-4D5F1A361D60}"/>
    <cellStyle name="Normal 75 3 2" xfId="24189" xr:uid="{BFA5F262-7E60-4D1C-A4EA-231B1BD696FF}"/>
    <cellStyle name="Normal 75 4" xfId="22556" xr:uid="{BF0CB494-3D0E-4258-B1E3-B83CD885C86C}"/>
    <cellStyle name="Normal 75_1.2.b" xfId="16338" xr:uid="{CF3E80A6-C575-45AF-A3FD-42C2AFA0986C}"/>
    <cellStyle name="Normal 76" xfId="14399" xr:uid="{6DD8A3EA-ABE5-4782-B690-AAB8D41F3497}"/>
    <cellStyle name="Normal 76 2" xfId="14400" xr:uid="{109C797B-27B5-40CB-93D5-7DFC8507A412}"/>
    <cellStyle name="Normal 76 2 2" xfId="17970" xr:uid="{873BAE51-1BA5-414F-B249-3C09230CD5E4}"/>
    <cellStyle name="Normal 76 2 2 2" xfId="24192" xr:uid="{0C589D4F-0A57-4AFA-B492-A0A22D8D3907}"/>
    <cellStyle name="Normal 76 2 3" xfId="22559" xr:uid="{31CB7096-FE7B-4AFC-A17A-BCCC2F36AFB4}"/>
    <cellStyle name="Normal 76 2_1.2.b" xfId="16341" xr:uid="{855FD4EF-424C-49E7-9963-34242AC586CB}"/>
    <cellStyle name="Normal 76 3" xfId="17969" xr:uid="{D698298B-14AC-4B46-B130-023B3379C911}"/>
    <cellStyle name="Normal 76 3 2" xfId="24191" xr:uid="{6C40173B-33BC-4140-825A-D89C8FF99C3A}"/>
    <cellStyle name="Normal 76 4" xfId="22558" xr:uid="{487E8730-D917-49B3-B243-6F838E77AC96}"/>
    <cellStyle name="Normal 76_1.2.b" xfId="16340" xr:uid="{4C0A0061-38A9-4E7A-9786-228DB0D23764}"/>
    <cellStyle name="Normal 77" xfId="14401" xr:uid="{89963022-0725-4F78-9DCE-426F115EF620}"/>
    <cellStyle name="Normal 77 2" xfId="14402" xr:uid="{F4919EF4-F9DA-45BD-86E5-1A1BA157FA5E}"/>
    <cellStyle name="Normal 77 2 2" xfId="17972" xr:uid="{6D586F72-F96F-4EAB-B264-852C823F7A1A}"/>
    <cellStyle name="Normal 77 2 2 2" xfId="24194" xr:uid="{1B14BCC4-1208-4024-8A8C-8D2A6C955DF7}"/>
    <cellStyle name="Normal 77 2 3" xfId="22561" xr:uid="{0A1341D7-86FC-4975-A99E-F4B53F02E24B}"/>
    <cellStyle name="Normal 77 2_1.2.b" xfId="16343" xr:uid="{9CF504DC-619D-45B7-B8D2-A576DAE03832}"/>
    <cellStyle name="Normal 77 3" xfId="17971" xr:uid="{6B6AA5D3-E35A-4C6B-947E-9FF0BFF04655}"/>
    <cellStyle name="Normal 77 3 2" xfId="24193" xr:uid="{28AAC3AF-C159-4D1C-BBFF-EE921DACE05A}"/>
    <cellStyle name="Normal 77 4" xfId="22560" xr:uid="{6DE94993-5A7A-4576-950E-282C7D4AD7C0}"/>
    <cellStyle name="Normal 77_1.2.b" xfId="16342" xr:uid="{1750CA9B-4E2F-42F5-84D7-6A2BCE4B92F2}"/>
    <cellStyle name="Normal 78" xfId="14403" xr:uid="{F1F718EE-FBED-4AA1-AF8B-17C94E9B105D}"/>
    <cellStyle name="Normal 78 2" xfId="14404" xr:uid="{D8F622DE-17C0-4B84-87A4-E174E93AC593}"/>
    <cellStyle name="Normal 78 2 2" xfId="17974" xr:uid="{48745C3F-2BE0-430D-B9F2-EEAD9F84FA7E}"/>
    <cellStyle name="Normal 78 2 2 2" xfId="24196" xr:uid="{CA8A4C5F-BA80-437D-BC07-8D390A534E6A}"/>
    <cellStyle name="Normal 78 2 3" xfId="22563" xr:uid="{53A18448-4D5D-4527-8625-0D50FE49D0DE}"/>
    <cellStyle name="Normal 78 2_1.2.b" xfId="16345" xr:uid="{59B47018-0C44-4520-A8F7-A3C04E612216}"/>
    <cellStyle name="Normal 78 3" xfId="17973" xr:uid="{CF0245A1-5D46-4DA3-AB70-0E1EF4F460CB}"/>
    <cellStyle name="Normal 78 3 2" xfId="24195" xr:uid="{F9541404-4E53-4850-ADC6-51AE577524A5}"/>
    <cellStyle name="Normal 78 4" xfId="22562" xr:uid="{321E2B3C-11C2-4074-9F59-58C771C220BC}"/>
    <cellStyle name="Normal 78_1.2.b" xfId="16344" xr:uid="{D387F571-BD15-4AD6-A18B-D7112CC6E973}"/>
    <cellStyle name="Normal 79" xfId="14405" xr:uid="{F23AEE9F-F62B-4FDC-92DD-36050F819182}"/>
    <cellStyle name="Normal 79 2" xfId="14406" xr:uid="{406576F7-B7EA-4809-9A3C-E486343D7C44}"/>
    <cellStyle name="Normal 79 2 2" xfId="17976" xr:uid="{82EDE7FB-3681-47F2-96CF-C812383D8664}"/>
    <cellStyle name="Normal 79 2 2 2" xfId="24198" xr:uid="{F8F73C6F-12BF-44ED-A597-EC0E063AC2D4}"/>
    <cellStyle name="Normal 79 2 3" xfId="22565" xr:uid="{66E41182-F384-4956-A263-3D4AADB022FB}"/>
    <cellStyle name="Normal 79 2_1.2.b" xfId="16347" xr:uid="{8DED582B-1F65-42D7-A890-96717C60A37E}"/>
    <cellStyle name="Normal 79 3" xfId="17975" xr:uid="{BD117F5B-36F6-4D3D-9A6D-6D4389019D6D}"/>
    <cellStyle name="Normal 79 3 2" xfId="24197" xr:uid="{8FC4EA18-DC8F-44E8-9D50-B618124BA9B2}"/>
    <cellStyle name="Normal 79 4" xfId="22564" xr:uid="{A89A05CC-83A3-4CBC-A718-BDCC315325B3}"/>
    <cellStyle name="Normal 79_1.2.b" xfId="16346" xr:uid="{3F2CAC50-FF7B-48F5-8B58-9A384A265324}"/>
    <cellStyle name="Normal 8" xfId="75" xr:uid="{00000000-0005-0000-0000-00005D130000}"/>
    <cellStyle name="Normal 8 2" xfId="4168" xr:uid="{00000000-0005-0000-0000-00005E130000}"/>
    <cellStyle name="Normal 8 2 2" xfId="9607" xr:uid="{00000000-0005-0000-0000-00005F130000}"/>
    <cellStyle name="Normal 8 3" xfId="7814" xr:uid="{00000000-0005-0000-0000-000060130000}"/>
    <cellStyle name="Normal 8 3 2" xfId="14750" xr:uid="{C23620DB-3C9D-463C-AF93-61C7829A4940}"/>
    <cellStyle name="Normal 8 4" xfId="1459" xr:uid="{00000000-0005-0000-0000-000061130000}"/>
    <cellStyle name="Normal 8_1.2.b" xfId="16348" xr:uid="{6B701323-16AB-4636-9413-0D4D702D57E8}"/>
    <cellStyle name="Normal 80" xfId="14407" xr:uid="{4C189CB8-C200-4CFA-8D77-AC60958A363E}"/>
    <cellStyle name="Normal 80 2" xfId="14408" xr:uid="{B82E7D06-4284-44B7-BCA7-BAB98D6C32A4}"/>
    <cellStyle name="Normal 80 2 2" xfId="17978" xr:uid="{E874F44E-B3A0-4134-94AF-5A85245E5F4D}"/>
    <cellStyle name="Normal 80 2 2 2" xfId="24200" xr:uid="{ADAD1288-83E5-40C4-912D-9EBA2D46C9DD}"/>
    <cellStyle name="Normal 80 2 3" xfId="22567" xr:uid="{11F2756C-66B6-4C68-B8A3-EC44DEC7E7AC}"/>
    <cellStyle name="Normal 80 2_1.2.b" xfId="16350" xr:uid="{2F7427AD-0F5F-4DCF-B1AD-5D3C985E58CD}"/>
    <cellStyle name="Normal 80 3" xfId="17977" xr:uid="{4A954E84-A44C-4A46-B31A-148EC54A1B22}"/>
    <cellStyle name="Normal 80 3 2" xfId="24199" xr:uid="{4CE8AB1A-9F2D-4CAF-B185-DCC7CF45282F}"/>
    <cellStyle name="Normal 80 4" xfId="22566" xr:uid="{036C2FC8-D341-443C-9451-0A3518A4B91C}"/>
    <cellStyle name="Normal 80_1.2.b" xfId="16349" xr:uid="{95662D99-8BAD-46B1-977A-797E302617B6}"/>
    <cellStyle name="Normal 81" xfId="14409" xr:uid="{B0538C49-B407-4961-9209-26F571735517}"/>
    <cellStyle name="Normal 81 2" xfId="14410" xr:uid="{4AB72C18-A306-4ED3-BB03-AED7558CB3C9}"/>
    <cellStyle name="Normal 81 2 2" xfId="17980" xr:uid="{3D1B6750-5211-4954-B732-910F12BE17FA}"/>
    <cellStyle name="Normal 81 2 2 2" xfId="24202" xr:uid="{80ED8E16-C761-42FC-A18C-67ABE0B16C30}"/>
    <cellStyle name="Normal 81 2 3" xfId="22569" xr:uid="{1BB32AC0-560E-4911-84CF-70D1B2492A68}"/>
    <cellStyle name="Normal 81 2_1.2.b" xfId="16352" xr:uid="{1E2F42B4-D0DD-4DAD-ADD6-5B944D21E162}"/>
    <cellStyle name="Normal 81 3" xfId="17979" xr:uid="{B2EA7F10-49CD-4A3E-B0FE-B65886BFC94A}"/>
    <cellStyle name="Normal 81 3 2" xfId="24201" xr:uid="{1D27CFE9-3A66-4548-B70C-E0BAA47EA58C}"/>
    <cellStyle name="Normal 81 4" xfId="22568" xr:uid="{7AAD3D42-D6A5-438C-8E0A-0BF4AB22DA67}"/>
    <cellStyle name="Normal 81_1.2.b" xfId="16351" xr:uid="{B1019D22-995B-4069-BDBF-DD7BDBFFF3CB}"/>
    <cellStyle name="Normal 82" xfId="14411" xr:uid="{CB2F5147-3760-410B-A528-27EB665ABFBE}"/>
    <cellStyle name="Normal 82 2" xfId="14412" xr:uid="{C0ABEDDD-E6BC-49D3-8A07-F4D3158B4A3B}"/>
    <cellStyle name="Normal 82 2 2" xfId="17982" xr:uid="{A5F550CC-0790-4782-8727-78CB8DE50AED}"/>
    <cellStyle name="Normal 82 2 2 2" xfId="24204" xr:uid="{75B2550E-958B-43E6-9EA4-1A699D23A765}"/>
    <cellStyle name="Normal 82 2 3" xfId="22571" xr:uid="{7CED004C-BC97-451B-90B9-C850E27FD3FC}"/>
    <cellStyle name="Normal 82 2_1.2.b" xfId="16354" xr:uid="{A62E6315-15F3-4289-9B33-29C207FED548}"/>
    <cellStyle name="Normal 82 3" xfId="17981" xr:uid="{25FD03B3-F121-49E2-803C-79B51A6C61D6}"/>
    <cellStyle name="Normal 82 3 2" xfId="24203" xr:uid="{71D9B9BF-6364-4D47-936D-01976186B7EB}"/>
    <cellStyle name="Normal 82 4" xfId="22570" xr:uid="{80EA652F-4621-45E9-BBB4-DBE38FB0D07F}"/>
    <cellStyle name="Normal 82_1.2.b" xfId="16353" xr:uid="{959D7B90-B411-4924-B3B6-AF0B670A5FC4}"/>
    <cellStyle name="Normal 83" xfId="14413" xr:uid="{DE920A9E-CD55-4937-849A-DBAE7DD96EF3}"/>
    <cellStyle name="Normal 83 2" xfId="14414" xr:uid="{FA1434DB-82B8-40CF-803E-027F47261994}"/>
    <cellStyle name="Normal 83 2 2" xfId="17984" xr:uid="{86ED2D1B-D744-4C34-96D9-706F70EE8C54}"/>
    <cellStyle name="Normal 83 2 2 2" xfId="24206" xr:uid="{2D14978B-7CC5-441C-BBEC-1E23A2AF5ADB}"/>
    <cellStyle name="Normal 83 2 3" xfId="22573" xr:uid="{FA4B2C7A-489C-440F-BCC7-F83951144EEA}"/>
    <cellStyle name="Normal 83 2_1.2.b" xfId="16356" xr:uid="{F341DBED-3155-4771-8CCD-25D6B1158E80}"/>
    <cellStyle name="Normal 83 3" xfId="17983" xr:uid="{A34AC983-772F-4835-A791-A571BA740FFB}"/>
    <cellStyle name="Normal 83 3 2" xfId="24205" xr:uid="{9D47D330-81D1-49DB-9482-AE7A4E08BBDE}"/>
    <cellStyle name="Normal 83 4" xfId="22572" xr:uid="{742C8EEA-EB2C-496F-9133-CA0BFD0C10BE}"/>
    <cellStyle name="Normal 83_1.2.b" xfId="16355" xr:uid="{699382AE-8A63-49D9-A1F0-6BE77CD82348}"/>
    <cellStyle name="Normal 84" xfId="14415" xr:uid="{E65C92BE-36C6-456F-9686-636B9968FA11}"/>
    <cellStyle name="Normal 84 2" xfId="14416" xr:uid="{79D2EA0F-E95A-4FDC-AD60-3A35C4A855E6}"/>
    <cellStyle name="Normal 84 2 2" xfId="17986" xr:uid="{1538685A-B1D6-4DDB-88CC-AA8A280EF46B}"/>
    <cellStyle name="Normal 84 2 2 2" xfId="24208" xr:uid="{02E40362-46CE-405A-A42B-E158DC222B17}"/>
    <cellStyle name="Normal 84 2 3" xfId="22575" xr:uid="{30B18E2B-3F42-4212-A720-7D307A773833}"/>
    <cellStyle name="Normal 84 2_1.2.b" xfId="16358" xr:uid="{69AFAED6-9287-4408-9F63-CD08C769C9FD}"/>
    <cellStyle name="Normal 84 3" xfId="17985" xr:uid="{DB1E3BF4-FDBC-448D-A75F-F9C176F655C7}"/>
    <cellStyle name="Normal 84 3 2" xfId="24207" xr:uid="{79FB185B-FE69-47D1-8E42-AA3BF5240495}"/>
    <cellStyle name="Normal 84 4" xfId="22574" xr:uid="{5CE32994-8625-4A0B-8E3E-4330091581BD}"/>
    <cellStyle name="Normal 84_1.2.b" xfId="16357" xr:uid="{295481AB-19AB-4425-A039-AE968DC08F58}"/>
    <cellStyle name="Normal 85" xfId="14417" xr:uid="{1B373B10-BEAB-4BBD-B51B-DDA0C787A404}"/>
    <cellStyle name="Normal 85 2" xfId="17987" xr:uid="{16A191DD-64F0-4181-88D2-9973D46DE46C}"/>
    <cellStyle name="Normal 85 2 2" xfId="24209" xr:uid="{852B0D86-E468-4AF8-92AB-385011FCD3E7}"/>
    <cellStyle name="Normal 85 3" xfId="22576" xr:uid="{DD2A9226-598F-4E1A-8FBC-5DE30D89DFBC}"/>
    <cellStyle name="Normal 85_1.2.b" xfId="16359" xr:uid="{2785504A-363D-4AF6-80C9-BC327A5D266A}"/>
    <cellStyle name="Normal 86" xfId="14418" xr:uid="{695ADBC9-E645-4707-B1F9-2989821A15AF}"/>
    <cellStyle name="Normal 86 2" xfId="17988" xr:uid="{61E7E3F4-70A1-4574-857B-CB7A9A3F0929}"/>
    <cellStyle name="Normal 86 2 2" xfId="24210" xr:uid="{C9EF498B-3CB9-4B3E-97AC-E4F4D13C7B93}"/>
    <cellStyle name="Normal 86 3" xfId="22577" xr:uid="{12057A4F-3D27-49C8-B25D-28CC4ED6E3B1}"/>
    <cellStyle name="Normal 86_1.2.b" xfId="16360" xr:uid="{22285B52-7B45-4EDF-84E9-4E10D1804FE4}"/>
    <cellStyle name="Normal 87" xfId="14419" xr:uid="{9257BC34-7D57-435E-950F-790663D261CC}"/>
    <cellStyle name="Normal 87 2" xfId="17989" xr:uid="{F622A115-5D58-4A1A-8AF2-19B6CB4B2226}"/>
    <cellStyle name="Normal 87 2 2" xfId="24211" xr:uid="{D540184C-9620-4B3C-96D1-AF4C4B5C6E63}"/>
    <cellStyle name="Normal 87 3" xfId="22578" xr:uid="{2ED81AA7-D507-4277-9DB8-7A6F913CC6D9}"/>
    <cellStyle name="Normal 87_1.2.b" xfId="16361" xr:uid="{D083AAF1-4981-4319-94C8-15D8033F86ED}"/>
    <cellStyle name="Normal 88" xfId="14420" xr:uid="{0C0A031C-5EEA-4050-8EC9-987985A5499B}"/>
    <cellStyle name="Normal 88 2" xfId="17990" xr:uid="{BAF26C9E-A077-4E5F-9F90-4BF2A75A3F3A}"/>
    <cellStyle name="Normal 88 2 2" xfId="24212" xr:uid="{E595283E-4B58-486D-B09C-D2CBED671406}"/>
    <cellStyle name="Normal 88 3" xfId="22579" xr:uid="{452C7A90-C833-47B8-9590-97BF9E3AB6CC}"/>
    <cellStyle name="Normal 88_1.2.b" xfId="16362" xr:uid="{A450CB57-E89E-4095-B3E0-B0FFB6FB9B44}"/>
    <cellStyle name="Normal 89" xfId="14421" xr:uid="{3D1F016B-9CA9-48BF-82D7-341D9AAFB015}"/>
    <cellStyle name="Normal 89 2" xfId="17991" xr:uid="{A95B19BE-FDC0-41D3-A1C5-69C0C12C63BA}"/>
    <cellStyle name="Normal 89 2 2" xfId="24213" xr:uid="{B8B8F7F2-A25B-45CA-9FAB-CDC5ECFDF1A0}"/>
    <cellStyle name="Normal 89 3" xfId="22580" xr:uid="{AC8DCAE1-DAD4-49F2-9577-7D2DAB9D4824}"/>
    <cellStyle name="Normal 89_1.2.b" xfId="16363" xr:uid="{61171EFE-A42F-46F5-8AC0-D488DF17D947}"/>
    <cellStyle name="Normal 9" xfId="107" xr:uid="{00000000-0005-0000-0000-000062130000}"/>
    <cellStyle name="Normal 9 2" xfId="4035" xr:uid="{00000000-0005-0000-0000-000063130000}"/>
    <cellStyle name="Normal 9 2 2" xfId="14751" xr:uid="{778EAF89-E352-4C4D-A9B3-C4BD21A4544F}"/>
    <cellStyle name="Normal 9 3" xfId="10656" xr:uid="{00000000-0005-0000-0000-000064130000}"/>
    <cellStyle name="Normal 9 3 2" xfId="19750" xr:uid="{E5D7F2A1-00DA-4029-A02E-FD1F5715D5ED}"/>
    <cellStyle name="Normal 9 4" xfId="14422" xr:uid="{B0142E91-EF49-4ED1-A831-2BB09BE80988}"/>
    <cellStyle name="Normal 9 4 2" xfId="22581" xr:uid="{49F81891-C943-43C5-A938-86A47EAF9966}"/>
    <cellStyle name="Normal 9 5" xfId="17992" xr:uid="{F7720456-532B-43B1-88D5-E7C22B39FDFB}"/>
    <cellStyle name="Normal 9 5 2" xfId="24214" xr:uid="{115A72F9-D586-4F71-80A1-539309AD95E6}"/>
    <cellStyle name="Normal 9 6" xfId="18381" xr:uid="{0CC335CB-7CCF-454A-89DF-FC544CE561C8}"/>
    <cellStyle name="Normal 9_1.2.b" xfId="16364" xr:uid="{445B9F6C-1104-4FCE-A094-F5F392311877}"/>
    <cellStyle name="Normal 90" xfId="14423" xr:uid="{3E0FC90E-FB58-4521-95EE-FE25E18E6611}"/>
    <cellStyle name="Normal 90 2" xfId="17994" xr:uid="{4F960F13-39A0-4B03-AF31-2AA02538051C}"/>
    <cellStyle name="Normal 90 2 2" xfId="24215" xr:uid="{FF50EC09-0856-4C8D-BE46-915C049BC25D}"/>
    <cellStyle name="Normal 90 3" xfId="22582" xr:uid="{7DDD2BF6-70F6-411F-B623-8D1C35AED1E9}"/>
    <cellStyle name="Normal 90_1.2.b" xfId="16365" xr:uid="{6B67E993-4216-4759-B265-D4F5F5D3DF03}"/>
    <cellStyle name="Normal 91" xfId="14424" xr:uid="{29273B9B-ADCA-4EDA-A585-92FD4A94867C}"/>
    <cellStyle name="Normal 92" xfId="14425" xr:uid="{FC311B30-03C8-4AB8-A689-EA1997D34168}"/>
    <cellStyle name="Normal 93" xfId="14426" xr:uid="{AE79BC04-5AAF-499B-93CC-D605505C013D}"/>
    <cellStyle name="Normal 94" xfId="14694" xr:uid="{E5734A3B-DC2E-4C25-B4AA-A88F04E130D1}"/>
    <cellStyle name="Normal 95" xfId="14695" xr:uid="{460E1C5D-0B1C-42D5-9880-9E21AC9E5BD1}"/>
    <cellStyle name="Normal 96" xfId="12406" xr:uid="{03021E3B-595D-47F7-BF4B-8E5D067575F8}"/>
    <cellStyle name="Normal 96 2" xfId="21142" xr:uid="{5CB32340-7A7F-4950-A679-46FE19BD6E7E}"/>
    <cellStyle name="Normal 97" xfId="16503" xr:uid="{C6FC3CA1-136F-4E38-9524-4812F54AD05E}"/>
    <cellStyle name="Normal 97 2" xfId="22771" xr:uid="{0E22E504-5460-45D0-9186-B77D9E0659CE}"/>
    <cellStyle name="Normal 98" xfId="18123" xr:uid="{4A775BF3-2E88-4B80-8039-B04F8C6BA89F}"/>
    <cellStyle name="Normal 98 2" xfId="24333" xr:uid="{EE8A26D8-4DCB-4469-85B3-B0558C784EBE}"/>
    <cellStyle name="Normal 99" xfId="18276" xr:uid="{1B01E673-BA9D-48CC-BE25-F710709B364A}"/>
    <cellStyle name="Normal 99 2" xfId="24428" xr:uid="{6EF148FA-0145-4096-8913-AC89AC7C6556}"/>
    <cellStyle name="Normal_IDL" xfId="10" xr:uid="{00000000-0005-0000-0000-000065130000}"/>
    <cellStyle name="Normal_IDL_1" xfId="11" xr:uid="{00000000-0005-0000-0000-000066130000}"/>
    <cellStyle name="Normal_IPC_M" xfId="12" xr:uid="{00000000-0005-0000-0000-000067130000}"/>
    <cellStyle name="Normal_Ipc_s" xfId="13" xr:uid="{00000000-0005-0000-0000-000068130000}"/>
    <cellStyle name="Normal_Ipc_s 2" xfId="24491" xr:uid="{81E484B6-7C00-4033-9F6F-7AE384DD35AD}"/>
    <cellStyle name="Normal_IPMPE" xfId="14" xr:uid="{00000000-0005-0000-0000-000069130000}"/>
    <cellStyle name="Notas 10" xfId="9905" xr:uid="{00000000-0005-0000-0000-00006A130000}"/>
    <cellStyle name="Notas 10 2" xfId="12350" xr:uid="{00000000-0005-0000-0000-00006B130000}"/>
    <cellStyle name="Notas 10 2 2" xfId="14752" xr:uid="{2D3B696C-3384-4292-AF2E-F62BBBC66DA7}"/>
    <cellStyle name="Notas 10 2 2 2" xfId="22751" xr:uid="{954C8C22-1279-4772-A892-B2D5B5D41C12}"/>
    <cellStyle name="Notas 10 2 3" xfId="21095" xr:uid="{750E0672-81EA-4146-B16E-A363F5092E13}"/>
    <cellStyle name="Notas 10 2_1.2.b" xfId="16367" xr:uid="{1DA82061-A0D2-4E07-AAB8-71BDFE62B394}"/>
    <cellStyle name="Notas 10 3" xfId="12347" xr:uid="{00000000-0005-0000-0000-00006C130000}"/>
    <cellStyle name="Notas 10 3 2" xfId="21092" xr:uid="{F9BF1890-B328-42D9-B7FC-0B6DF77B3930}"/>
    <cellStyle name="Notas 10 4" xfId="14427" xr:uid="{0CBBF84B-E727-4A29-A722-7DADC2770BD2}"/>
    <cellStyle name="Notas 10 4 2" xfId="22583" xr:uid="{C2AE3F20-5A8B-4ECB-A5D1-54A9079FFF2B}"/>
    <cellStyle name="Notas 10 5" xfId="19051" xr:uid="{9809349C-52C6-4803-8C81-54F03C764DFA}"/>
    <cellStyle name="Notas 10_1.2.b" xfId="16366" xr:uid="{EA06FE16-8E22-423B-BD25-54D86CA588BB}"/>
    <cellStyle name="Notas 11" xfId="9915" xr:uid="{00000000-0005-0000-0000-00006D130000}"/>
    <cellStyle name="Notas 11 2" xfId="11652" xr:uid="{00000000-0005-0000-0000-00006E130000}"/>
    <cellStyle name="Notas 11 2 2" xfId="20418" xr:uid="{2F67C404-9DFE-4E86-9ACE-F1B32C39FF69}"/>
    <cellStyle name="Notas 11 3" xfId="14428" xr:uid="{B65E56B7-4EF0-4DC2-8C06-E54B06EB4FB2}"/>
    <cellStyle name="Notas 11 3 2" xfId="22584" xr:uid="{70B0B308-5A15-494D-A196-EFF4043AC89D}"/>
    <cellStyle name="Notas 11 4" xfId="17995" xr:uid="{D2D75CAD-26F5-4254-B362-67647A6D2DB1}"/>
    <cellStyle name="Notas 11 4 2" xfId="24216" xr:uid="{B756FE73-7A9A-4BD9-A6A7-F696A5464DA5}"/>
    <cellStyle name="Notas 11 5" xfId="19055" xr:uid="{79EF7915-3BE8-431A-A386-F452BC2C3E8C}"/>
    <cellStyle name="Notas 11_1.2.b" xfId="16368" xr:uid="{DF815DA4-6A69-4701-9DC0-717164DA2627}"/>
    <cellStyle name="Notas 12" xfId="10174" xr:uid="{00000000-0005-0000-0000-00006F130000}"/>
    <cellStyle name="Notas 12 2" xfId="11910" xr:uid="{00000000-0005-0000-0000-000070130000}"/>
    <cellStyle name="Notas 12 2 2" xfId="20664" xr:uid="{839F6A8E-9427-4FEF-AA2A-18B244BCEAA8}"/>
    <cellStyle name="Notas 12 3" xfId="14429" xr:uid="{8BFD97BE-BA8B-40D9-B9AE-05C811019EFD}"/>
    <cellStyle name="Notas 12 3 2" xfId="22585" xr:uid="{C3C849F0-A481-405E-BCF3-AE5163352931}"/>
    <cellStyle name="Notas 12 4" xfId="17996" xr:uid="{DF69D583-040E-4C5E-A66C-01366D57071C}"/>
    <cellStyle name="Notas 12 4 2" xfId="24217" xr:uid="{5C5BFE7C-6E67-498C-8D35-F140A08F5276}"/>
    <cellStyle name="Notas 12 5" xfId="19301" xr:uid="{69E52D3E-78B1-4388-8AAC-9184F0F36178}"/>
    <cellStyle name="Notas 12_1.2.b" xfId="16369" xr:uid="{7D893120-3108-4021-B982-E3844901FB79}"/>
    <cellStyle name="Notas 13" xfId="10530" xr:uid="{00000000-0005-0000-0000-000071130000}"/>
    <cellStyle name="Notas 13 2" xfId="12265" xr:uid="{00000000-0005-0000-0000-000072130000}"/>
    <cellStyle name="Notas 13 2 2" xfId="21014" xr:uid="{6D82063A-157C-48CF-B925-F2058F38B730}"/>
    <cellStyle name="Notas 13 3" xfId="14430" xr:uid="{F330189A-2C68-4D7F-B18A-8274EDCB9BF5}"/>
    <cellStyle name="Notas 13 3 2" xfId="22586" xr:uid="{4DDA35B8-A6C7-499A-A785-49B05A09D890}"/>
    <cellStyle name="Notas 13 4" xfId="17997" xr:uid="{06439153-3236-4818-8286-3E2A934A0C2F}"/>
    <cellStyle name="Notas 13 4 2" xfId="24218" xr:uid="{BC418735-FFB0-4291-AA1A-73F396028EFA}"/>
    <cellStyle name="Notas 13 5" xfId="19651" xr:uid="{A30253AE-F2CC-42A7-9142-AC5683674820}"/>
    <cellStyle name="Notas 13_1.2.b" xfId="16370" xr:uid="{7AB9FC65-87A9-42E0-836D-6C580E6073CF}"/>
    <cellStyle name="Notas 14" xfId="10577" xr:uid="{00000000-0005-0000-0000-000073130000}"/>
    <cellStyle name="Notas 14 2" xfId="12310" xr:uid="{00000000-0005-0000-0000-000074130000}"/>
    <cellStyle name="Notas 14 2 2" xfId="21056" xr:uid="{99949CD6-D91E-4EA4-A2D4-E5377DF9D2E4}"/>
    <cellStyle name="Notas 14 3" xfId="14431" xr:uid="{97313A76-9BCC-42B4-B0AC-F3828644EFB8}"/>
    <cellStyle name="Notas 14 3 2" xfId="22587" xr:uid="{B11E9A2B-10DC-440C-B3C5-97DCF666DF19}"/>
    <cellStyle name="Notas 14 4" xfId="17998" xr:uid="{0634A892-82ED-4B97-BA51-FCD54F7BB1FF}"/>
    <cellStyle name="Notas 14 4 2" xfId="24219" xr:uid="{C0028DED-B8F5-494E-B144-49DF16928AAF}"/>
    <cellStyle name="Notas 14 5" xfId="19693" xr:uid="{1F92EA2F-6A7C-479D-93CA-9487F2DD5CED}"/>
    <cellStyle name="Notas 14_1.2.b" xfId="16371" xr:uid="{E217B0D5-C6A7-4932-B83A-1B03C189D7A5}"/>
    <cellStyle name="Notas 15" xfId="10597" xr:uid="{00000000-0005-0000-0000-000075130000}"/>
    <cellStyle name="Notas 15 2" xfId="12326" xr:uid="{00000000-0005-0000-0000-000076130000}"/>
    <cellStyle name="Notas 15 2 2" xfId="21072" xr:uid="{E51537E7-A190-41D1-92E3-F189AE8256FE}"/>
    <cellStyle name="Notas 15 3" xfId="14432" xr:uid="{049BB783-EF1F-4D17-B233-A9BC27613CC1}"/>
    <cellStyle name="Notas 15 3 2" xfId="22588" xr:uid="{BB3B3CD0-0340-4C6E-AE06-7FE061F5159D}"/>
    <cellStyle name="Notas 15 4" xfId="17999" xr:uid="{70C76300-79AE-4542-BB0B-B05F2788102F}"/>
    <cellStyle name="Notas 15 4 2" xfId="24220" xr:uid="{125FE185-901D-4231-BE32-F6CA720FBB92}"/>
    <cellStyle name="Notas 15 5" xfId="19709" xr:uid="{8053190F-F612-4FFD-AA9A-F3746D139B9A}"/>
    <cellStyle name="Notas 15_1.2.b" xfId="16372" xr:uid="{7C76C038-03AD-44A6-848A-118A183B7153}"/>
    <cellStyle name="Notas 16" xfId="12359" xr:uid="{00000000-0005-0000-0000-000077130000}"/>
    <cellStyle name="Notas 16 2" xfId="14433" xr:uid="{2C62D95C-9C1E-4180-964F-B6FDE5F27764}"/>
    <cellStyle name="Notas 16 2 2" xfId="22589" xr:uid="{976D987A-55C7-4132-B815-FD5C1DB6DACA}"/>
    <cellStyle name="Notas 16 3" xfId="18000" xr:uid="{DC0F2BBF-B523-4699-806C-9E85CDE19552}"/>
    <cellStyle name="Notas 16 3 2" xfId="24221" xr:uid="{EAD28BDE-DB3C-44E3-B553-641FC12CEBF6}"/>
    <cellStyle name="Notas 16 4" xfId="21102" xr:uid="{8CAA750B-DB50-4BAC-990A-1BD0B3B252B4}"/>
    <cellStyle name="Notas 16_1.2.b" xfId="16373" xr:uid="{9D5DE4C3-5C61-47BA-846D-74F3801B5F43}"/>
    <cellStyle name="Notas 17" xfId="12374" xr:uid="{00000000-0005-0000-0000-000078130000}"/>
    <cellStyle name="Notas 17 2" xfId="14434" xr:uid="{C601A011-172E-4AB3-A2FD-1A0A5E39A536}"/>
    <cellStyle name="Notas 17 2 2" xfId="22590" xr:uid="{F41523D2-6467-4507-A429-A919CB95715C}"/>
    <cellStyle name="Notas 17 3" xfId="18001" xr:uid="{4798AA4A-6994-42B5-84D3-3E08B2853422}"/>
    <cellStyle name="Notas 17 3 2" xfId="24222" xr:uid="{EB96449B-B03A-4339-9479-613F2A90309A}"/>
    <cellStyle name="Notas 17 4" xfId="21117" xr:uid="{865ABC4A-4942-4223-AD7A-AC0E71E2EF30}"/>
    <cellStyle name="Notas 17_1.2.b" xfId="16374" xr:uid="{9D52DC3A-D5FA-4A3F-82DB-6819719C73A1}"/>
    <cellStyle name="Notas 18" xfId="14435" xr:uid="{DF7DE8FF-9002-45D8-A6D6-EAD3B4AB9E60}"/>
    <cellStyle name="Notas 18 2" xfId="18002" xr:uid="{8B484358-DB2A-4429-9A91-B90BF36F0170}"/>
    <cellStyle name="Notas 18 2 2" xfId="24223" xr:uid="{57F26A48-FEFD-4F54-9EF2-AC339CCD01AB}"/>
    <cellStyle name="Notas 18 3" xfId="22591" xr:uid="{BFC38111-87C7-4CBE-B8FD-E981192DF946}"/>
    <cellStyle name="Notas 18_1.2.b" xfId="16375" xr:uid="{166FFE54-4889-40A4-A5B2-7BDFCA81FC51}"/>
    <cellStyle name="Notas 19" xfId="14436" xr:uid="{85602665-6DCB-4B88-BECB-A2F96C05D6F0}"/>
    <cellStyle name="Notas 19 2" xfId="18003" xr:uid="{492A54EE-67E2-4067-931B-1B971FC2C4E1}"/>
    <cellStyle name="Notas 19 2 2" xfId="24224" xr:uid="{12123398-1D25-4528-BE58-936359A3AF12}"/>
    <cellStyle name="Notas 19 3" xfId="22592" xr:uid="{984BDE72-A73A-429C-BC7D-F1B9D2F006E8}"/>
    <cellStyle name="Notas 19_1.2.b" xfId="16376" xr:uid="{144574B0-6232-4EF4-9580-6BC9584A7910}"/>
    <cellStyle name="Notas 2" xfId="63" xr:uid="{00000000-0005-0000-0000-000079130000}"/>
    <cellStyle name="Notas 2 10" xfId="14438" xr:uid="{9AD0B1C8-4446-4437-BCDD-4BCF0DBE03C1}"/>
    <cellStyle name="Notas 2 10 2" xfId="18005" xr:uid="{DD1D31A3-692C-4DCB-95B4-1AF4787BA827}"/>
    <cellStyle name="Notas 2 10 2 2" xfId="24226" xr:uid="{B07709D9-0B43-4FD4-9902-34D7BABC9ADE}"/>
    <cellStyle name="Notas 2 10 3" xfId="22594" xr:uid="{A3E1C21D-7528-4DFF-A086-3285D998336E}"/>
    <cellStyle name="Notas 2 10_1.2.b" xfId="16378" xr:uid="{C8086449-59B6-4D58-91EE-0768F73B32A9}"/>
    <cellStyle name="Notas 2 11" xfId="14439" xr:uid="{EA4913F7-5E5E-4B3D-A160-C83A760A83D8}"/>
    <cellStyle name="Notas 2 11 2" xfId="18006" xr:uid="{CB27DB54-EE96-4EA4-91DA-A9ACD2B4988C}"/>
    <cellStyle name="Notas 2 11 2 2" xfId="24227" xr:uid="{77194C83-C355-48A4-AF29-3D9A780A04C0}"/>
    <cellStyle name="Notas 2 11 3" xfId="22595" xr:uid="{E5C2858C-31B0-4EB0-8340-746BC5416FFD}"/>
    <cellStyle name="Notas 2 11_1.2.b" xfId="16379" xr:uid="{F8474997-7BED-46A2-9318-CC20A9189E10}"/>
    <cellStyle name="Notas 2 12" xfId="14706" xr:uid="{AAED9251-5191-4FEC-A92F-383C4408046C}"/>
    <cellStyle name="Notas 2 12 2" xfId="22740" xr:uid="{11ADF392-5334-424A-AAB9-F04F508A9005}"/>
    <cellStyle name="Notas 2 13" xfId="14437" xr:uid="{9020BAD0-C5F5-453C-9835-3DED3D4DFBB9}"/>
    <cellStyle name="Notas 2 13 2" xfId="22593" xr:uid="{7493DC28-148B-4815-AB82-20C4A637240D}"/>
    <cellStyle name="Notas 2 14" xfId="18004" xr:uid="{B9993A03-50D0-4977-98C2-9A591A153E10}"/>
    <cellStyle name="Notas 2 14 2" xfId="24225" xr:uid="{FF32C4A2-F756-4A26-A40A-114597B41558}"/>
    <cellStyle name="Notas 2 15" xfId="18252" xr:uid="{A9973CEC-5DCF-498D-B557-9F2566E4B127}"/>
    <cellStyle name="Notas 2 15 2" xfId="24418" xr:uid="{545D9EC5-870A-439A-8132-FA50359DD7C1}"/>
    <cellStyle name="Notas 2 16" xfId="17827" xr:uid="{2F70F589-569B-42D2-899C-8CB7B4A3AC60}"/>
    <cellStyle name="Notas 2 16 2" xfId="24053" xr:uid="{1A387271-9B0C-4429-8B0B-EF88262DA389}"/>
    <cellStyle name="Notas 2 17" xfId="18250" xr:uid="{37BAAF1E-4555-4C3A-9F05-9820A2655955}"/>
    <cellStyle name="Notas 2 17 2" xfId="24417" xr:uid="{D8AFD022-C23D-449D-BB3F-AFC18F9A5090}"/>
    <cellStyle name="Notas 2 18" xfId="17810" xr:uid="{80F17ECB-18B6-4C91-8E11-6363580D2A80}"/>
    <cellStyle name="Notas 2 18 2" xfId="24040" xr:uid="{B645404E-27E8-4373-988F-C8A68540E970}"/>
    <cellStyle name="Notas 2 19" xfId="18373" xr:uid="{8397AB46-81B4-4BF9-80B6-2609E9B3D960}"/>
    <cellStyle name="Notas 2 2" xfId="10644" xr:uid="{00000000-0005-0000-0000-00007A130000}"/>
    <cellStyle name="Notas 2 2 2" xfId="14441" xr:uid="{5045ECC6-EE34-4E04-9CCF-50DC75D32CC7}"/>
    <cellStyle name="Notas 2 2 2 2" xfId="14754" xr:uid="{7EF98FB5-ECCF-4EE9-88FE-96840510D609}"/>
    <cellStyle name="Notas 2 2 2 2 2" xfId="22753" xr:uid="{36DBECC0-B1E4-4A4F-8C5C-DFEA1A3895A3}"/>
    <cellStyle name="Notas 2 2 2 3" xfId="22597" xr:uid="{76B79F02-1D81-4EC3-8027-A02ED8E4554C}"/>
    <cellStyle name="Notas 2 2 3" xfId="14442" xr:uid="{B395E950-841A-42F9-AE9F-D8FED349E7BD}"/>
    <cellStyle name="Notas 2 2 3 2" xfId="14755" xr:uid="{424A4FD0-1523-48B9-A23A-DB55C278A1A8}"/>
    <cellStyle name="Notas 2 2 3 2 2" xfId="22754" xr:uid="{9E939925-FE86-4833-8C23-8C5D1F9429FA}"/>
    <cellStyle name="Notas 2 2 3 3" xfId="22598" xr:uid="{707A17B8-21BC-4DDE-822E-3E14B0E72F8E}"/>
    <cellStyle name="Notas 2 2 4" xfId="14443" xr:uid="{39DEEE29-B41A-4F1C-93C3-FD744AE1921E}"/>
    <cellStyle name="Notas 2 2 4 2" xfId="14756" xr:uid="{D3D959BD-A6FE-4EBE-9EC8-E2B7F9944F08}"/>
    <cellStyle name="Notas 2 2 4 2 2" xfId="22755" xr:uid="{FDC24169-306C-4310-B416-4F4E5C09BC6A}"/>
    <cellStyle name="Notas 2 2 4 3" xfId="22599" xr:uid="{C060D1E7-44ED-4ED0-BED6-15686822A240}"/>
    <cellStyle name="Notas 2 2 5" xfId="14444" xr:uid="{B85ACF88-8765-4B04-9399-60B24A75BB7F}"/>
    <cellStyle name="Notas 2 2 5 2" xfId="22600" xr:uid="{1059D07A-08F2-4847-9218-2F311BF81636}"/>
    <cellStyle name="Notas 2 2 6" xfId="14440" xr:uid="{37366EBD-DA31-466F-9CD2-E75321118F36}"/>
    <cellStyle name="Notas 2 2 6 2" xfId="22596" xr:uid="{40C03BCC-CD9C-432B-9C9F-A377C8D0C4C8}"/>
    <cellStyle name="Notas 2 2 7" xfId="18007" xr:uid="{533E7F41-38FA-431C-90ED-5127522566E1}"/>
    <cellStyle name="Notas 2 2 7 2" xfId="24228" xr:uid="{F338514C-E4A1-4DC7-BDE5-892694E091A9}"/>
    <cellStyle name="Notas 2 2 8" xfId="19743" xr:uid="{6971A448-0986-42BE-AB18-7551EABF36F6}"/>
    <cellStyle name="Notas 2 2_1.2.b" xfId="16380" xr:uid="{FFE7CE11-56F2-45C7-965E-4C57C0F78ACE}"/>
    <cellStyle name="Notas 2 3" xfId="14445" xr:uid="{E944EBDE-E0B1-41F5-8520-C1C1D435547F}"/>
    <cellStyle name="Notas 2 3 2" xfId="14757" xr:uid="{BC68C646-E1C3-4ED3-9C6B-4D9C8A6AE631}"/>
    <cellStyle name="Notas 2 3 2 2" xfId="22756" xr:uid="{CACE0B8F-E579-4C46-9A8B-5948ED7D708E}"/>
    <cellStyle name="Notas 2 3 3" xfId="22601" xr:uid="{1FF01C74-8087-4675-A1C9-8A2B066E4F4A}"/>
    <cellStyle name="Notas 2 4" xfId="14446" xr:uid="{C4BCBEB7-1906-4E89-B33F-2611C34ABDC2}"/>
    <cellStyle name="Notas 2 4 2" xfId="14758" xr:uid="{55B3BD09-EB4D-4B01-AB78-26C37B4513E4}"/>
    <cellStyle name="Notas 2 4 2 2" xfId="22757" xr:uid="{32D6D236-8CEE-4276-B88F-8FDEE20D3638}"/>
    <cellStyle name="Notas 2 4 3" xfId="22602" xr:uid="{401A6DFD-7960-43BB-BD94-6152F2CA0021}"/>
    <cellStyle name="Notas 2 5" xfId="14447" xr:uid="{0F3E06D5-AE89-4A55-AB28-585013D62599}"/>
    <cellStyle name="Notas 2 5 2" xfId="14759" xr:uid="{5387C1F8-3609-47FC-983B-3CEC6BDA9A28}"/>
    <cellStyle name="Notas 2 5 2 2" xfId="22758" xr:uid="{AE4D26C5-23A9-4A90-9EB1-74C577E5F578}"/>
    <cellStyle name="Notas 2 5 3" xfId="22603" xr:uid="{94C838A5-D2FE-42A1-8BD1-6923AD4E84BC}"/>
    <cellStyle name="Notas 2 6" xfId="14448" xr:uid="{C02881A4-82B5-403B-85AB-C0D60A54E999}"/>
    <cellStyle name="Notas 2 6 2" xfId="14760" xr:uid="{1245558B-D81C-4E4D-9AA8-F1337D5EA061}"/>
    <cellStyle name="Notas 2 6 2 2" xfId="22759" xr:uid="{B8DD9788-EFCE-4E39-863F-AC7CC381DD9E}"/>
    <cellStyle name="Notas 2 6 3" xfId="22604" xr:uid="{C958B397-4AD5-49D9-93AE-7264EB48B790}"/>
    <cellStyle name="Notas 2 7" xfId="14449" xr:uid="{AD8B7130-20A0-4843-AA13-5B779CBE2D16}"/>
    <cellStyle name="Notas 2 7 2" xfId="22605" xr:uid="{E9958128-83B3-4E20-9D9C-9E391A7181A8}"/>
    <cellStyle name="Notas 2 8" xfId="14450" xr:uid="{E322521F-CF87-472F-9937-2248D8CB48BC}"/>
    <cellStyle name="Notas 2 8 2" xfId="22606" xr:uid="{7FF0F32B-6240-46A8-9573-56B46CD7EB1F}"/>
    <cellStyle name="Notas 2 9" xfId="14451" xr:uid="{2289AB73-D04B-4284-96FD-138388448C45}"/>
    <cellStyle name="Notas 2 9 2" xfId="14753" xr:uid="{21ABCDB0-77B1-4CE4-9FA4-25FA27631FF1}"/>
    <cellStyle name="Notas 2 9 2 2" xfId="22752" xr:uid="{3EC76DE4-A01E-43A9-A7BF-E68AA31C85FA}"/>
    <cellStyle name="Notas 2 9 3" xfId="22607" xr:uid="{85001E71-191F-4688-B301-7133EF5EEF02}"/>
    <cellStyle name="Notas 2_1.2.b" xfId="16377" xr:uid="{B502BF74-F8B7-452D-AC0E-392085F2A26B}"/>
    <cellStyle name="Notas 20" xfId="14452" xr:uid="{4F42801A-FDBB-4911-B67D-68A58CA8C9BC}"/>
    <cellStyle name="Notas 20 2" xfId="18008" xr:uid="{7155E721-5C0E-43C7-8C28-2BBB80E86016}"/>
    <cellStyle name="Notas 20 2 2" xfId="24229" xr:uid="{F3A5FD7C-6BC3-4840-A789-C76333FAC801}"/>
    <cellStyle name="Notas 20 3" xfId="22608" xr:uid="{218BE032-2B66-45C9-BD0A-FA6E39AE98BF}"/>
    <cellStyle name="Notas 20_1.2.b" xfId="16381" xr:uid="{5A26EF10-BCCC-4A66-8C17-C4389FFA9AF8}"/>
    <cellStyle name="Notas 21" xfId="14453" xr:uid="{8D255516-DF87-42F7-91E7-EDA1F425D460}"/>
    <cellStyle name="Notas 21 2" xfId="18009" xr:uid="{0DE8D91F-EB9D-4624-9639-11DB34EE1EE1}"/>
    <cellStyle name="Notas 21 2 2" xfId="24230" xr:uid="{B8C021B9-4C88-4EB3-B5E1-8FE3964B7D1E}"/>
    <cellStyle name="Notas 21 3" xfId="22609" xr:uid="{27880010-9716-4892-80CC-3C8C57296B29}"/>
    <cellStyle name="Notas 21_1.2.b" xfId="16382" xr:uid="{38AA06DD-1A63-4986-BAA2-1B6F4BC11498}"/>
    <cellStyle name="Notas 22" xfId="14454" xr:uid="{3C6A55E3-497F-4035-BCB1-C64772B524CF}"/>
    <cellStyle name="Notas 22 2" xfId="18010" xr:uid="{DF9C9294-C18B-4A6C-97D1-EAF6A3F96F8A}"/>
    <cellStyle name="Notas 22 2 2" xfId="24231" xr:uid="{017BB539-7415-47B0-ABFD-F9AF403D7155}"/>
    <cellStyle name="Notas 22 3" xfId="22610" xr:uid="{46B332F5-3269-4F35-9282-AB86D4107A66}"/>
    <cellStyle name="Notas 22_1.2.b" xfId="16383" xr:uid="{92410C2A-CFFA-4C65-9EE6-D3AB97BD6415}"/>
    <cellStyle name="Notas 23" xfId="14455" xr:uid="{7075981B-21F3-4087-A8F4-C17C79FA80D5}"/>
    <cellStyle name="Notas 23 2" xfId="18011" xr:uid="{0BB4CEBE-1483-489F-9EB3-6834031610E7}"/>
    <cellStyle name="Notas 23 2 2" xfId="24232" xr:uid="{169331A7-1EBA-4092-9CBC-2ADD1CF99ABD}"/>
    <cellStyle name="Notas 23 3" xfId="22611" xr:uid="{A951342E-9E99-4892-8D48-AAAF6DBD0C67}"/>
    <cellStyle name="Notas 23_1.2.b" xfId="16384" xr:uid="{4837A44C-87AB-431E-8D72-8031C6A8A6A4}"/>
    <cellStyle name="Notas 24" xfId="14456" xr:uid="{72B11A30-FFEE-4891-8AE5-94D29D30F551}"/>
    <cellStyle name="Notas 24 2" xfId="18012" xr:uid="{DC629D7F-7AA6-4F34-BB17-C49B978C033F}"/>
    <cellStyle name="Notas 24 2 2" xfId="24233" xr:uid="{E212B5A9-4C1C-455D-8EDC-8ABC45782D4E}"/>
    <cellStyle name="Notas 24 3" xfId="22612" xr:uid="{1AE081AF-3609-4A6B-8C97-4F87350662D4}"/>
    <cellStyle name="Notas 24_1.2.b" xfId="16385" xr:uid="{0FC8159A-6BFE-447E-92ED-C812E5C72EBB}"/>
    <cellStyle name="Notas 25" xfId="14457" xr:uid="{0571A476-7B07-4C2F-907F-C5C5B2E43510}"/>
    <cellStyle name="Notas 25 2" xfId="18013" xr:uid="{43FE2F0A-0D31-4851-BEAC-835CFAA5C6BD}"/>
    <cellStyle name="Notas 25 2 2" xfId="24234" xr:uid="{324C5495-D352-44D9-9E62-82184EF773AB}"/>
    <cellStyle name="Notas 25 3" xfId="22613" xr:uid="{4697255D-040C-4D14-9E17-0157B881DE09}"/>
    <cellStyle name="Notas 25_1.2.b" xfId="16386" xr:uid="{2147936D-1D09-4A73-9E21-4925DDA93287}"/>
    <cellStyle name="Notas 26" xfId="14458" xr:uid="{7CAF5938-89DE-4ED5-B407-5A99E0B1C590}"/>
    <cellStyle name="Notas 26 2" xfId="18014" xr:uid="{06960E40-FEF4-46FA-8474-626455975EC1}"/>
    <cellStyle name="Notas 26 2 2" xfId="24235" xr:uid="{728284E5-AD86-41EE-BDF4-CFA9F73BBAD8}"/>
    <cellStyle name="Notas 26 3" xfId="22614" xr:uid="{34E83AB2-3249-4CAE-B941-79F90D18105F}"/>
    <cellStyle name="Notas 26_1.2.b" xfId="16387" xr:uid="{B29B502A-F885-44EF-9009-67C503E22FA7}"/>
    <cellStyle name="Notas 27" xfId="14459" xr:uid="{866C18B0-744B-4332-9F9E-18AAA28C6F66}"/>
    <cellStyle name="Notas 27 2" xfId="18015" xr:uid="{B4879D03-94FA-4349-B176-FB8FF34F7020}"/>
    <cellStyle name="Notas 27 2 2" xfId="24236" xr:uid="{ED77D672-FBAE-4E71-AEE2-4A5AD6013981}"/>
    <cellStyle name="Notas 27 3" xfId="22615" xr:uid="{36BF328B-05F6-48DB-991C-8DB52D243335}"/>
    <cellStyle name="Notas 27_1.2.b" xfId="16388" xr:uid="{A7655F40-0F6D-479F-8C23-C00DCD7F0B7D}"/>
    <cellStyle name="Notas 28" xfId="14460" xr:uid="{BA9AE291-A89B-4A31-937D-81A11F206E1E}"/>
    <cellStyle name="Notas 28 2" xfId="18016" xr:uid="{D730226C-5E6B-49CB-BF2C-E85CF8E5AB26}"/>
    <cellStyle name="Notas 28 2 2" xfId="24237" xr:uid="{C2B52453-2D84-405B-88EF-3FD9BF558188}"/>
    <cellStyle name="Notas 28 3" xfId="22616" xr:uid="{880108D3-5021-4F3C-8E11-969D7E1A2840}"/>
    <cellStyle name="Notas 28_1.2.b" xfId="16389" xr:uid="{B434F053-D3C5-48D4-94A4-858AE7D6D0E0}"/>
    <cellStyle name="Notas 29" xfId="14461" xr:uid="{C38F9928-5AF4-4AB3-920A-23FA1548C01F}"/>
    <cellStyle name="Notas 29 2" xfId="18017" xr:uid="{9A82E573-F311-40DB-9DCF-E7A2F20F8F14}"/>
    <cellStyle name="Notas 29 2 2" xfId="24238" xr:uid="{ABB28525-7A2B-4645-9378-050C52B0AE23}"/>
    <cellStyle name="Notas 29 3" xfId="22617" xr:uid="{41103F56-23E0-409D-BC28-CC4BA51CA18D}"/>
    <cellStyle name="Notas 29_1.2.b" xfId="16390" xr:uid="{12D24AC7-E57F-40F8-A1FF-CB1D68C077D2}"/>
    <cellStyle name="Notas 3" xfId="145" xr:uid="{00000000-0005-0000-0000-00007B130000}"/>
    <cellStyle name="Notas 3 10" xfId="18018" xr:uid="{6B26AD2F-F73A-449F-8A50-724AB4B3A1EC}"/>
    <cellStyle name="Notas 3 10 2" xfId="24239" xr:uid="{E819DE7A-041A-4949-A619-DCEA0160C3F9}"/>
    <cellStyle name="Notas 3 11" xfId="18389" xr:uid="{0B5E60A9-156B-4F09-B71F-FC1A00A9FE2F}"/>
    <cellStyle name="Notas 3 2" xfId="10665" xr:uid="{00000000-0005-0000-0000-00007C130000}"/>
    <cellStyle name="Notas 3 2 2" xfId="14463" xr:uid="{D70A6E07-D97F-4914-8986-58C52C5304B1}"/>
    <cellStyle name="Notas 3 2 3" xfId="19757" xr:uid="{4F0B105F-6FDE-4185-A30F-6B8982569BFB}"/>
    <cellStyle name="Notas 3 2_1.2.b" xfId="16392" xr:uid="{719A40BE-3CAC-4CAA-B559-5676B342DAB0}"/>
    <cellStyle name="Notas 3 3" xfId="14464" xr:uid="{FE078C11-3070-486C-B553-55FFF41C4786}"/>
    <cellStyle name="Notas 3 4" xfId="14465" xr:uid="{C9DF81A2-3ED6-42AD-AB75-0EC8FC8BDD5E}"/>
    <cellStyle name="Notas 3 4 2" xfId="22619" xr:uid="{95BAE3F3-88A5-496C-8C98-26FD9CC1A890}"/>
    <cellStyle name="Notas 3 5" xfId="14466" xr:uid="{F8585E4F-8E9A-4F43-BE40-CA1B80461FBC}"/>
    <cellStyle name="Notas 3 5 2" xfId="22620" xr:uid="{81DBB9A2-F936-4361-B484-72715893F486}"/>
    <cellStyle name="Notas 3 6" xfId="14467" xr:uid="{D7C63404-45ED-4C69-B0AD-989CE8B7B364}"/>
    <cellStyle name="Notas 3 7" xfId="14468" xr:uid="{0A36F809-B369-41FC-9A99-5ABCCF37BF39}"/>
    <cellStyle name="Notas 3 7 2" xfId="18019" xr:uid="{A701FF05-5FA6-49E6-8225-AFD1798BBB38}"/>
    <cellStyle name="Notas 3 7 2 2" xfId="24240" xr:uid="{C182EF6C-5D0B-4118-AF0A-53400AE84E89}"/>
    <cellStyle name="Notas 3 7 3" xfId="22621" xr:uid="{DAE2BC16-31A4-4291-8D3F-E8BEFCA27ABF}"/>
    <cellStyle name="Notas 3 7_1.2.b" xfId="16393" xr:uid="{F2980EE2-2C26-435B-A976-C5A63D2FFA83}"/>
    <cellStyle name="Notas 3 8" xfId="14469" xr:uid="{F0897A4A-2D37-4B58-B8AF-82BD9329FADB}"/>
    <cellStyle name="Notas 3 8 2" xfId="18020" xr:uid="{C038B8DA-0DAC-4C67-92CD-11A6967A75C1}"/>
    <cellStyle name="Notas 3 8 2 2" xfId="24241" xr:uid="{5A6A8403-5F83-4311-822F-ED1656498B6A}"/>
    <cellStyle name="Notas 3 8 3" xfId="22622" xr:uid="{6F13154B-FA41-4604-8FDB-10F735C62106}"/>
    <cellStyle name="Notas 3 8_1.2.b" xfId="16394" xr:uid="{D55D2365-DAEE-4E52-A521-E913339F92A9}"/>
    <cellStyle name="Notas 3 9" xfId="14462" xr:uid="{7C125EF7-525B-47CD-B3EA-15875A63F50F}"/>
    <cellStyle name="Notas 3 9 2" xfId="22618" xr:uid="{9C5F253C-3C38-470F-95C1-3842F0A7247D}"/>
    <cellStyle name="Notas 3_1.2.b" xfId="16391" xr:uid="{D61892DE-87B1-4139-B8B2-3332DDE50DB4}"/>
    <cellStyle name="Notas 30" xfId="14470" xr:uid="{8EFB921D-74AB-4551-807C-E7F553E9294D}"/>
    <cellStyle name="Notas 30 2" xfId="18021" xr:uid="{BCBA5C75-1340-451D-AD5D-5C0542DDBFDF}"/>
    <cellStyle name="Notas 30 2 2" xfId="24242" xr:uid="{6F85B018-37F5-4433-B4AE-90360B95A37D}"/>
    <cellStyle name="Notas 30 3" xfId="22623" xr:uid="{3267615F-ACC5-4F33-8584-159BE87B6B32}"/>
    <cellStyle name="Notas 30_1.2.b" xfId="16395" xr:uid="{32A61041-CF92-4D81-9098-129BF852D62C}"/>
    <cellStyle name="Notas 31" xfId="14471" xr:uid="{815D5EAC-02EE-4EEE-8A6D-D151D81963E4}"/>
    <cellStyle name="Notas 31 2" xfId="18022" xr:uid="{553B603A-AEFA-486C-8766-5737CD4A9776}"/>
    <cellStyle name="Notas 31 2 2" xfId="24243" xr:uid="{41DFAA90-8F44-439D-8C3F-3353A66648D5}"/>
    <cellStyle name="Notas 31 3" xfId="22624" xr:uid="{7032FB51-5C2F-4D9D-8B5D-7FF81119D0CB}"/>
    <cellStyle name="Notas 31_1.2.b" xfId="16396" xr:uid="{56FF9F09-18B9-4DDD-A1E0-C36ECF0545E2}"/>
    <cellStyle name="Notas 32" xfId="14472" xr:uid="{2247BF89-6339-4D50-AA8D-962D3E649309}"/>
    <cellStyle name="Notas 32 2" xfId="18023" xr:uid="{BB5AE108-0A81-4A5F-8A56-65CFC18FF363}"/>
    <cellStyle name="Notas 32 2 2" xfId="24244" xr:uid="{C957F181-3585-442C-9E63-01C05885E92A}"/>
    <cellStyle name="Notas 32 3" xfId="22625" xr:uid="{682688C5-8491-4538-A569-F3336C2051C6}"/>
    <cellStyle name="Notas 32_1.2.b" xfId="16397" xr:uid="{CB1A0913-7FC7-4E05-B923-765EA7A3D21D}"/>
    <cellStyle name="Notas 33" xfId="14473" xr:uid="{06DC061B-DC56-4426-AC5E-97EAF2C4FABD}"/>
    <cellStyle name="Notas 33 2" xfId="18024" xr:uid="{530EE1FE-6428-4571-8D1A-E620E6F7F66F}"/>
    <cellStyle name="Notas 33 2 2" xfId="24245" xr:uid="{3139173E-CF2C-46F0-B6B4-18A6EF489826}"/>
    <cellStyle name="Notas 33 3" xfId="22626" xr:uid="{6F8BCD32-9CFE-42F7-97C5-EB7849072791}"/>
    <cellStyle name="Notas 33_1.2.b" xfId="16398" xr:uid="{EC0DF722-2C1D-4233-A9BE-46CD80CCC60A}"/>
    <cellStyle name="Notas 34" xfId="14474" xr:uid="{C15B5251-8668-416E-8C5E-027BEC6A585D}"/>
    <cellStyle name="Notas 34 2" xfId="18025" xr:uid="{1D034EC6-BDF4-47A7-B708-2C456BFEB481}"/>
    <cellStyle name="Notas 34 2 2" xfId="24246" xr:uid="{DC18B23F-A6DF-4046-918A-E1731F48BAA0}"/>
    <cellStyle name="Notas 34 3" xfId="22627" xr:uid="{369423F0-51D7-4D0B-AC1F-679CCCB73C32}"/>
    <cellStyle name="Notas 34_1.2.b" xfId="16399" xr:uid="{53A00DB7-85C8-4C81-BF86-59C72F1CC103}"/>
    <cellStyle name="Notas 35" xfId="14475" xr:uid="{6C5173FD-2325-4375-941E-7D6C528D7B56}"/>
    <cellStyle name="Notas 35 2" xfId="18026" xr:uid="{962AEA29-E55F-449E-BFF1-62F7074F4D01}"/>
    <cellStyle name="Notas 35 2 2" xfId="24247" xr:uid="{6347D509-7E4E-4A76-AAF5-C74E5E621825}"/>
    <cellStyle name="Notas 35 3" xfId="22628" xr:uid="{0BD8FCAA-2001-4241-86DB-9266A8BDE578}"/>
    <cellStyle name="Notas 35_1.2.b" xfId="16400" xr:uid="{DD53F1C7-3641-4F4A-B34D-79F809477DE8}"/>
    <cellStyle name="Notas 36" xfId="14476" xr:uid="{458E2838-850C-45F8-A874-3C927D8D316D}"/>
    <cellStyle name="Notas 36 2" xfId="18027" xr:uid="{C721C550-90B0-42F7-B6D2-E7F72C9B46B6}"/>
    <cellStyle name="Notas 36 2 2" xfId="24248" xr:uid="{A5F7AD40-0D4F-4F2B-B8EA-D0EB253ECFD6}"/>
    <cellStyle name="Notas 36 3" xfId="22629" xr:uid="{08CAB07D-2B1B-4007-B64B-9368BFA5E4B8}"/>
    <cellStyle name="Notas 36_1.2.b" xfId="16401" xr:uid="{6692CC8F-E5FD-43CB-9665-AC27F96BC56A}"/>
    <cellStyle name="Notas 37" xfId="14477" xr:uid="{91D5B126-87D2-4A7B-806B-2BD4D0D355CF}"/>
    <cellStyle name="Notas 37 2" xfId="18028" xr:uid="{CAA51946-2868-4F38-90F3-DC06B230C739}"/>
    <cellStyle name="Notas 37 2 2" xfId="24249" xr:uid="{410851DE-7871-40C6-8931-46B8454D3DD8}"/>
    <cellStyle name="Notas 37 3" xfId="22630" xr:uid="{31BF84F0-C615-4A30-A58C-88DEC9D640F9}"/>
    <cellStyle name="Notas 37_1.2.b" xfId="16402" xr:uid="{34AA88F8-4A4E-4937-93A0-391C5FEA6AB9}"/>
    <cellStyle name="Notas 38" xfId="14478" xr:uid="{EE50254C-58FE-4E8D-8A5A-072DE0D4426A}"/>
    <cellStyle name="Notas 38 2" xfId="18029" xr:uid="{46E1D809-FDDB-4C5D-8212-FBD13B978692}"/>
    <cellStyle name="Notas 38 2 2" xfId="24250" xr:uid="{FB04541F-3E77-48F6-A429-2A9D194AF6C8}"/>
    <cellStyle name="Notas 38 3" xfId="22631" xr:uid="{50F1709B-A53B-420A-980B-8AD5D5712CC9}"/>
    <cellStyle name="Notas 38_1.2.b" xfId="16403" xr:uid="{D38240CB-CB81-44DD-99D9-8D06DF7F2446}"/>
    <cellStyle name="Notas 39" xfId="14479" xr:uid="{EFD25B7E-61EC-4327-A194-BF6BD42A389F}"/>
    <cellStyle name="Notas 39 2" xfId="18030" xr:uid="{4501A81A-B3F3-4C0A-BAAD-3316DFC9D519}"/>
    <cellStyle name="Notas 39 2 2" xfId="24251" xr:uid="{4784C657-3CF9-4E0D-B787-2D8A2E4830DD}"/>
    <cellStyle name="Notas 39 3" xfId="22632" xr:uid="{B77785AC-37DB-4BD0-8260-1D13347C7B89}"/>
    <cellStyle name="Notas 39_1.2.b" xfId="16404" xr:uid="{D0CE76A5-290C-4461-A419-CA5BBC010FDD}"/>
    <cellStyle name="Notas 4" xfId="159" xr:uid="{00000000-0005-0000-0000-00007D130000}"/>
    <cellStyle name="Notas 4 10" xfId="17851" xr:uid="{7D5AF595-C4EB-44D2-8C61-638594F4E453}"/>
    <cellStyle name="Notas 4 10 2" xfId="24075" xr:uid="{64B63139-1D25-4E9D-B4D5-A682EEE1E894}"/>
    <cellStyle name="Notas 4 11" xfId="18403" xr:uid="{11230EF4-6F66-4CB7-9D19-8F4D8AD9EC85}"/>
    <cellStyle name="Notas 4 2" xfId="10679" xr:uid="{00000000-0005-0000-0000-00007E130000}"/>
    <cellStyle name="Notas 4 2 2" xfId="14482" xr:uid="{292520E7-78BD-47A9-806A-7B4751A483FF}"/>
    <cellStyle name="Notas 4 2 3" xfId="14481" xr:uid="{A331B7B9-1A0C-4C39-9FFE-37CB12CCFD52}"/>
    <cellStyle name="Notas 4 2 3 2" xfId="22634" xr:uid="{E0479F7D-97CF-4CFB-A67B-92A655E35886}"/>
    <cellStyle name="Notas 4 2 4" xfId="18032" xr:uid="{0E073AF4-CFCE-44FC-A314-C7B4BF66D4C2}"/>
    <cellStyle name="Notas 4 2 4 2" xfId="24253" xr:uid="{A98F1A8B-703A-4D16-B5F4-FB9FF2BCB309}"/>
    <cellStyle name="Notas 4 2 5" xfId="18257" xr:uid="{5ACAAED1-8ADA-4D7C-8442-961273C7B0EE}"/>
    <cellStyle name="Notas 4 2 5 2" xfId="24421" xr:uid="{43FBA9B0-2437-4D07-8987-4EEFF1F8C02F}"/>
    <cellStyle name="Notas 4 2 6" xfId="18138" xr:uid="{2DB1F8CD-FFF1-4706-912B-15688D760C97}"/>
    <cellStyle name="Notas 4 2 6 2" xfId="24345" xr:uid="{1654253F-0F40-4D2F-BA50-C1386E930B73}"/>
    <cellStyle name="Notas 4 2 7" xfId="18281" xr:uid="{356B66AF-E06A-4073-BF09-638335BB1490}"/>
    <cellStyle name="Notas 4 2 7 2" xfId="24430" xr:uid="{431AAA99-F6C1-4EA3-81BC-BF41AA59EB7D}"/>
    <cellStyle name="Notas 4 2 8" xfId="18126" xr:uid="{31B34135-A12A-4A28-B8B8-199A8773A382}"/>
    <cellStyle name="Notas 4 2 8 2" xfId="24334" xr:uid="{2B39B23E-A69F-46C8-BDB3-B4200C64F1ED}"/>
    <cellStyle name="Notas 4 2 9" xfId="19771" xr:uid="{0A155793-C861-4676-98FF-7DF529EA291B}"/>
    <cellStyle name="Notas 4 2_1.2.b" xfId="16406" xr:uid="{7AA4AF3F-EC81-4838-A4D0-165A42C5D054}"/>
    <cellStyle name="Notas 4 3" xfId="14483" xr:uid="{A462A613-18CD-42BC-A8FB-9B73601CA938}"/>
    <cellStyle name="Notas 4 4" xfId="14484" xr:uid="{E76414F5-FFB5-4065-8876-7C78241C18A8}"/>
    <cellStyle name="Notas 4 5" xfId="14485" xr:uid="{2163BEA9-C5AE-44E0-8910-D8EE72A50322}"/>
    <cellStyle name="Notas 4 5 2" xfId="18033" xr:uid="{B813BF08-473A-47FC-B6A1-A11415A17BFB}"/>
    <cellStyle name="Notas 4 5 2 2" xfId="24254" xr:uid="{456F3C3D-67F4-42E5-BC4B-DB7A9FE0C5A5}"/>
    <cellStyle name="Notas 4 5 3" xfId="22635" xr:uid="{D888F7C5-A4AD-4DD4-8CAF-FF09A0926E3A}"/>
    <cellStyle name="Notas 4 5_1.2.b" xfId="16407" xr:uid="{76A8BD6B-A154-4CB7-9323-1506332E4CA8}"/>
    <cellStyle name="Notas 4 6" xfId="14486" xr:uid="{53193D7D-F9A9-4707-9901-7C18546CCDF4}"/>
    <cellStyle name="Notas 4 6 2" xfId="18034" xr:uid="{32FB8CE1-9A1C-4596-B529-2D01FF72AECF}"/>
    <cellStyle name="Notas 4 6 2 2" xfId="24255" xr:uid="{195774A8-091A-4FA7-A427-74C91104F1DF}"/>
    <cellStyle name="Notas 4 6 3" xfId="22636" xr:uid="{228AB819-7A10-4548-9D28-9C20EAA384E8}"/>
    <cellStyle name="Notas 4 6_1.2.b" xfId="16408" xr:uid="{F73D6290-88B5-4E49-A0B0-39E9502AA2A7}"/>
    <cellStyle name="Notas 4 7" xfId="14480" xr:uid="{03154372-2B5A-4884-8EB5-9C4E02D860F0}"/>
    <cellStyle name="Notas 4 7 2" xfId="22633" xr:uid="{B329F8E4-0BA3-4D45-A437-123967872FAF}"/>
    <cellStyle name="Notas 4 8" xfId="18031" xr:uid="{484E8CDD-5426-4935-8561-F0D5D320F036}"/>
    <cellStyle name="Notas 4 8 2" xfId="24252" xr:uid="{A0D3BD8A-7426-43F8-9A19-076E6C3036B3}"/>
    <cellStyle name="Notas 4 9" xfId="18256" xr:uid="{82D8B1F5-89FC-443B-9899-DF2DAF801118}"/>
    <cellStyle name="Notas 4 9 2" xfId="24420" xr:uid="{0EAE6437-F48B-4A51-AF8F-BFEBB3835491}"/>
    <cellStyle name="Notas 4_1.2.b" xfId="16405" xr:uid="{7CBF84C5-BF68-43EF-BDE8-226FC8E7C76C}"/>
    <cellStyle name="Notas 40" xfId="14487" xr:uid="{E20A4679-EC2D-4645-8957-59B104A22DEE}"/>
    <cellStyle name="Notas 40 2" xfId="18035" xr:uid="{66314D69-CF77-4919-8187-7D572381F8A9}"/>
    <cellStyle name="Notas 40 2 2" xfId="24256" xr:uid="{E44BD095-D926-4746-AF1C-114820319426}"/>
    <cellStyle name="Notas 40 3" xfId="22637" xr:uid="{66C357FB-8583-4EBB-AE15-D07F09868C11}"/>
    <cellStyle name="Notas 40_1.2.b" xfId="16409" xr:uid="{5A0EFF8C-BF31-49EA-9BA2-2F40A745A3BF}"/>
    <cellStyle name="Notas 41" xfId="14488" xr:uid="{B3E2BAE4-D858-4EE3-AEDE-52BE19234044}"/>
    <cellStyle name="Notas 41 2" xfId="18036" xr:uid="{FEE02FAB-8FE0-478E-9023-9139DE450693}"/>
    <cellStyle name="Notas 41 2 2" xfId="24257" xr:uid="{D1215196-CCB2-4A90-BDF8-CD0A8164D0CD}"/>
    <cellStyle name="Notas 41 3" xfId="22638" xr:uid="{0CCD7AF8-1455-43B8-85C5-93B09C242CBA}"/>
    <cellStyle name="Notas 41_1.2.b" xfId="16410" xr:uid="{DB8684AE-0DA4-49C5-8E97-D8E685F88E32}"/>
    <cellStyle name="Notas 42" xfId="14489" xr:uid="{D8262C1B-1C0D-4F52-8764-963723C7BE61}"/>
    <cellStyle name="Notas 42 2" xfId="18037" xr:uid="{4D7D505A-267E-4800-8F5C-D7409B0DE49A}"/>
    <cellStyle name="Notas 42 2 2" xfId="24258" xr:uid="{8C74F67F-7782-4528-B658-FB81A599D603}"/>
    <cellStyle name="Notas 42 3" xfId="22639" xr:uid="{98ECEFD1-D375-41A4-A740-C33A795E61BF}"/>
    <cellStyle name="Notas 42_1.2.b" xfId="16411" xr:uid="{C0788009-E496-4838-9332-6A0D8CEEFE5B}"/>
    <cellStyle name="Notas 43" xfId="14490" xr:uid="{8C606BCB-7AC3-40B2-B256-0FEBFD6DC7A6}"/>
    <cellStyle name="Notas 43 2" xfId="18038" xr:uid="{9764135D-828D-4801-8CC0-F0B28B5F32F4}"/>
    <cellStyle name="Notas 43 2 2" xfId="24259" xr:uid="{D8FD37A6-3C63-464D-B5B7-8268A780A116}"/>
    <cellStyle name="Notas 43 3" xfId="22640" xr:uid="{2CF839EF-AAC5-4AEA-AA9F-752358F4E331}"/>
    <cellStyle name="Notas 43_1.2.b" xfId="16412" xr:uid="{1F47F82A-449D-4283-AA68-E597029BD3EE}"/>
    <cellStyle name="Notas 44" xfId="14491" xr:uid="{BF40EF1C-DDF5-442D-BE8B-BC1A87CDADD3}"/>
    <cellStyle name="Notas 44 2" xfId="18039" xr:uid="{7508D92B-E2B0-47CC-970D-4F36917D3FCD}"/>
    <cellStyle name="Notas 44 2 2" xfId="24260" xr:uid="{D80F8611-54C6-4AC8-9501-815398741A15}"/>
    <cellStyle name="Notas 44 3" xfId="22641" xr:uid="{63CEFAF0-07C6-4F47-AD46-57A489F9F509}"/>
    <cellStyle name="Notas 44_1.2.b" xfId="16413" xr:uid="{1B9466E9-D7DA-4686-A746-E38C6980129B}"/>
    <cellStyle name="Notas 45" xfId="14492" xr:uid="{BFFD946E-032F-4211-B116-01659223FA27}"/>
    <cellStyle name="Notas 45 2" xfId="18040" xr:uid="{BF0C33AD-5B52-4910-8E09-ECE0369416F0}"/>
    <cellStyle name="Notas 45 2 2" xfId="24261" xr:uid="{FB4581D1-36B3-467D-A22B-63FEE07D8D40}"/>
    <cellStyle name="Notas 45 3" xfId="22642" xr:uid="{227F7E47-44EB-47AD-B09D-29BDF725E81B}"/>
    <cellStyle name="Notas 45_1.2.b" xfId="16414" xr:uid="{445605CD-6A54-447A-83DE-FA52F0B57324}"/>
    <cellStyle name="Notas 46" xfId="14493" xr:uid="{D34A321F-D179-4FC7-B821-75DA5A35C6F3}"/>
    <cellStyle name="Notas 46 2" xfId="18041" xr:uid="{22661376-3B25-4123-9BCC-23CFBB0EF4E5}"/>
    <cellStyle name="Notas 46 2 2" xfId="24262" xr:uid="{78D271B4-8324-4DE4-A657-65E4E2C3F283}"/>
    <cellStyle name="Notas 46 3" xfId="22643" xr:uid="{3192BB4D-F7A6-4073-BC93-F770BC8BAE66}"/>
    <cellStyle name="Notas 46_1.2.b" xfId="16415" xr:uid="{0F256ED9-C97A-4E9F-80F8-DF55F4687BFF}"/>
    <cellStyle name="Notas 47" xfId="14494" xr:uid="{7758EE17-01B8-410F-A31F-5D37565E2588}"/>
    <cellStyle name="Notas 47 2" xfId="18042" xr:uid="{259BE83C-D0AC-4DD8-A124-2DB08F2D877A}"/>
    <cellStyle name="Notas 47 2 2" xfId="24263" xr:uid="{D229256D-1CC3-43C1-B465-A6E27B5C2617}"/>
    <cellStyle name="Notas 47 3" xfId="22644" xr:uid="{0744A26C-E85B-4DE8-BD64-055C59DA5A9E}"/>
    <cellStyle name="Notas 47_1.2.b" xfId="16416" xr:uid="{071ED7C3-C892-4D39-A168-E168D120D53D}"/>
    <cellStyle name="Notas 48" xfId="14495" xr:uid="{A06DB546-B6E9-4C51-9622-EF7CAF7D4AF8}"/>
    <cellStyle name="Notas 48 2" xfId="18043" xr:uid="{CD02D18D-8FB0-4EA3-B982-3DE9F939B47F}"/>
    <cellStyle name="Notas 48 2 2" xfId="24264" xr:uid="{6C692F26-6572-46C6-8081-A3FFFB1D6289}"/>
    <cellStyle name="Notas 48 3" xfId="22645" xr:uid="{7914E69C-6E58-470E-BC8A-F45F82116863}"/>
    <cellStyle name="Notas 48_1.2.b" xfId="16417" xr:uid="{CA712D86-C243-4BA4-B9BF-E0E98B44AF90}"/>
    <cellStyle name="Notas 49" xfId="14496" xr:uid="{9D01291C-6286-4373-9658-433240714084}"/>
    <cellStyle name="Notas 49 2" xfId="18044" xr:uid="{05A48294-ED09-4730-9F4C-A345A943A5EF}"/>
    <cellStyle name="Notas 49 2 2" xfId="24265" xr:uid="{4C5DA2B2-695A-4DE8-9BFD-35DB9721A9AC}"/>
    <cellStyle name="Notas 49 3" xfId="22646" xr:uid="{993EDEDB-C298-4C9E-B1DD-2968B71A919F}"/>
    <cellStyle name="Notas 49_1.2.b" xfId="16418" xr:uid="{D60987C9-0EC4-4061-A35B-D64C0BD1DC9D}"/>
    <cellStyle name="Notas 5" xfId="173" xr:uid="{00000000-0005-0000-0000-00007F130000}"/>
    <cellStyle name="Notas 5 10" xfId="17871" xr:uid="{CAE323EA-58B7-4D96-BE60-CAE4C0B4C0C3}"/>
    <cellStyle name="Notas 5 10 2" xfId="24095" xr:uid="{E5101143-4DE6-4F25-948A-B3278208D105}"/>
    <cellStyle name="Notas 5 11" xfId="18417" xr:uid="{BF33D0ED-AD39-4B39-9149-9A5DDE009615}"/>
    <cellStyle name="Notas 5 2" xfId="10693" xr:uid="{00000000-0005-0000-0000-000080130000}"/>
    <cellStyle name="Notas 5 2 2" xfId="14499" xr:uid="{165CA24E-2948-4200-B38D-E3D921F73108}"/>
    <cellStyle name="Notas 5 2 3" xfId="14498" xr:uid="{7331C821-99BE-45E4-B21F-E9AA31C6D1DD}"/>
    <cellStyle name="Notas 5 2 4" xfId="18046" xr:uid="{E60FB316-013F-467B-B9E5-40479BD4FCE1}"/>
    <cellStyle name="Notas 5 2 5" xfId="18260" xr:uid="{41E1EA7B-9CCA-4A9F-87CA-C298827BFB95}"/>
    <cellStyle name="Notas 5 2 6" xfId="18124" xr:uid="{89E63BE7-7FED-400A-98EB-CC09187D52B6}"/>
    <cellStyle name="Notas 5 2 7" xfId="18254" xr:uid="{37DE6B87-0CA9-485B-91AF-4ED445B61B35}"/>
    <cellStyle name="Notas 5 2 8" xfId="17828" xr:uid="{88DA2B51-450B-4331-BEAE-62EEFD3C35BF}"/>
    <cellStyle name="Notas 5 2 9" xfId="19785" xr:uid="{9C42E52A-97DC-4D1B-89D2-3E97EAA5B12A}"/>
    <cellStyle name="Notas 5 2_1.2.b" xfId="16420" xr:uid="{E779CF89-D547-4E84-9B12-5EEA4DF23230}"/>
    <cellStyle name="Notas 5 3" xfId="14500" xr:uid="{A34B8057-1512-4629-9CA5-802D5D92F798}"/>
    <cellStyle name="Notas 5 4" xfId="14501" xr:uid="{84FB9010-C078-476D-B7FA-A94021CEFBEE}"/>
    <cellStyle name="Notas 5 5" xfId="14502" xr:uid="{D2C80424-A11B-4D51-AD29-D53199E0E849}"/>
    <cellStyle name="Notas 5 5 2" xfId="18047" xr:uid="{B6373D0D-0206-4DEC-B12A-2EFE847F7266}"/>
    <cellStyle name="Notas 5 5 2 2" xfId="24267" xr:uid="{23E04050-D4DA-4702-92AB-DB94BCD95449}"/>
    <cellStyle name="Notas 5 5 3" xfId="22648" xr:uid="{025D3A34-56F8-43E5-8225-5DB1C4C119AB}"/>
    <cellStyle name="Notas 5 5_1.2.b" xfId="16421" xr:uid="{492F0957-CC34-47BC-A132-D726663124C0}"/>
    <cellStyle name="Notas 5 6" xfId="14503" xr:uid="{A750AA90-03E7-40AB-A733-7167DBE10689}"/>
    <cellStyle name="Notas 5 6 2" xfId="18048" xr:uid="{F0482694-B871-4DF0-A078-2D45A4270ADF}"/>
    <cellStyle name="Notas 5 6 2 2" xfId="24268" xr:uid="{5AA0F802-4E54-4C9C-B801-7E9A710187F6}"/>
    <cellStyle name="Notas 5 6 3" xfId="22649" xr:uid="{D042FCAA-4FD6-48EB-9A45-89269A1EABA2}"/>
    <cellStyle name="Notas 5 6_1.2.b" xfId="16422" xr:uid="{B30971B9-B86F-41E1-A20E-760D0C04816F}"/>
    <cellStyle name="Notas 5 7" xfId="14497" xr:uid="{008E1CA1-1DEF-44B9-9251-EC224E5B29D2}"/>
    <cellStyle name="Notas 5 7 2" xfId="22647" xr:uid="{1348B1E7-1578-4073-915C-F80619228409}"/>
    <cellStyle name="Notas 5 8" xfId="18045" xr:uid="{CC2DFCCE-B0AE-4D08-955A-D9547EBF95BF}"/>
    <cellStyle name="Notas 5 8 2" xfId="24266" xr:uid="{72585EE3-D5BF-4D0C-BA46-819AF4086C84}"/>
    <cellStyle name="Notas 5 9" xfId="18259" xr:uid="{7D2E863D-2D3E-4634-BB75-6D44CAC3DD16}"/>
    <cellStyle name="Notas 5 9 2" xfId="24422" xr:uid="{168E86A1-A399-43C9-B0EE-9A5000E83765}"/>
    <cellStyle name="Notas 5_1.2.b" xfId="16419" xr:uid="{3A8B2CEB-366D-4C4E-B606-9A179B2276D8}"/>
    <cellStyle name="Notas 50" xfId="14504" xr:uid="{708D8C1E-2EA2-4570-9026-52A00A722325}"/>
    <cellStyle name="Notas 50 2" xfId="18049" xr:uid="{AE2EC44F-1B70-49D9-9009-7B3C4A82E66F}"/>
    <cellStyle name="Notas 50 2 2" xfId="24269" xr:uid="{E5324E7E-BA4C-4D25-8E75-8951695D3B04}"/>
    <cellStyle name="Notas 50 3" xfId="22650" xr:uid="{8152673C-1545-4DC1-8283-3065320D2EAA}"/>
    <cellStyle name="Notas 50_1.2.b" xfId="16423" xr:uid="{2A53DBDF-8679-458C-88ED-4A9ADC449129}"/>
    <cellStyle name="Notas 51" xfId="14505" xr:uid="{A40807C7-CB7B-4BBA-9A33-BDD12523B85C}"/>
    <cellStyle name="Notas 51 2" xfId="18050" xr:uid="{F4DA0059-EF36-4347-A420-B43CF6845C1B}"/>
    <cellStyle name="Notas 51 2 2" xfId="24270" xr:uid="{E3D8D49D-F292-43AF-B004-E13DD8C38210}"/>
    <cellStyle name="Notas 51 3" xfId="22651" xr:uid="{01A0C985-9BEA-40CF-BE7F-34E5854F5B54}"/>
    <cellStyle name="Notas 51_1.2.b" xfId="16424" xr:uid="{9984931A-EC5B-4D1E-9842-42A9EC3A9CAC}"/>
    <cellStyle name="Notas 52" xfId="14506" xr:uid="{39CBD38A-2889-4130-848E-A5107F10876A}"/>
    <cellStyle name="Notas 52 2" xfId="18051" xr:uid="{934DF7F0-E423-4FE9-B69A-CE226C4D0071}"/>
    <cellStyle name="Notas 52 2 2" xfId="24271" xr:uid="{351A56A6-8DAD-468E-98C6-BDFA80ADBF38}"/>
    <cellStyle name="Notas 52 3" xfId="22652" xr:uid="{99BA3B46-EDE5-4684-BB7C-D6E79B39F85C}"/>
    <cellStyle name="Notas 52_1.2.b" xfId="16425" xr:uid="{6DD02006-1531-45FC-AFD6-59F84A569842}"/>
    <cellStyle name="Notas 53" xfId="14507" xr:uid="{FD71F549-A8F5-4101-9BF8-A3C9CF325857}"/>
    <cellStyle name="Notas 53 2" xfId="18052" xr:uid="{0A2EB2D8-954F-471B-9AD1-C61BC5327D82}"/>
    <cellStyle name="Notas 53 2 2" xfId="24272" xr:uid="{ACF5F93A-9651-41DA-8C39-89BD726F6F46}"/>
    <cellStyle name="Notas 53 3" xfId="22653" xr:uid="{26817275-BED5-4DBC-BD97-F91802999FF1}"/>
    <cellStyle name="Notas 53_1.2.b" xfId="16426" xr:uid="{738A17CF-72AF-4EA0-90BB-C454B3E0FA7F}"/>
    <cellStyle name="Notas 54" xfId="14508" xr:uid="{0FCE487D-6279-44F8-8886-EF5D1CAC0F00}"/>
    <cellStyle name="Notas 54 2" xfId="18053" xr:uid="{EFC37A0A-EDAF-4CF0-A916-FB00EDFDE46B}"/>
    <cellStyle name="Notas 54 2 2" xfId="24273" xr:uid="{5E94A313-5FAD-4F85-A70D-D3DD70AE4B55}"/>
    <cellStyle name="Notas 54 3" xfId="22654" xr:uid="{18B87D70-4E19-4200-AD80-D24BCB92E7E6}"/>
    <cellStyle name="Notas 54_1.2.b" xfId="16427" xr:uid="{72971225-087A-4F29-B92C-AA2061A64853}"/>
    <cellStyle name="Notas 55" xfId="14509" xr:uid="{CAE7FA8B-F673-4EF2-9589-9556C46F071B}"/>
    <cellStyle name="Notas 55 2" xfId="18054" xr:uid="{056B3328-3430-46BA-B88E-C3258B5DC4FA}"/>
    <cellStyle name="Notas 55 2 2" xfId="24274" xr:uid="{B71049CA-0EFD-4F4E-8CF2-3D8CF60CD0E3}"/>
    <cellStyle name="Notas 55 3" xfId="22655" xr:uid="{1FDE12C7-16B7-473D-8872-8730B24451FD}"/>
    <cellStyle name="Notas 55_1.2.b" xfId="16428" xr:uid="{723C6626-6D58-439E-902E-14FE9A9534F7}"/>
    <cellStyle name="Notas 56" xfId="14510" xr:uid="{E95D03BA-EEDB-4B0D-9D56-97C4AE6BD0D4}"/>
    <cellStyle name="Notas 56 2" xfId="18055" xr:uid="{95820778-8940-4961-A807-CB96450E9005}"/>
    <cellStyle name="Notas 56 2 2" xfId="24275" xr:uid="{A1DC9534-7644-45A2-9DDB-4EBEB5E43136}"/>
    <cellStyle name="Notas 56 3" xfId="22656" xr:uid="{B0445568-C699-42E7-A473-1A2878B2BD0D}"/>
    <cellStyle name="Notas 56_1.2.b" xfId="16429" xr:uid="{69120A21-75F7-42DC-8CBC-F5E8A3FCDB75}"/>
    <cellStyle name="Notas 57" xfId="14511" xr:uid="{9CCEC27E-C3C2-40BD-97A0-0EF5B1E0C744}"/>
    <cellStyle name="Notas 57 2" xfId="18056" xr:uid="{0762D0E6-DC32-4598-9554-1989EA4BE3A1}"/>
    <cellStyle name="Notas 57 2 2" xfId="24276" xr:uid="{8F59BCFD-B62B-4EDE-9784-EC067171D741}"/>
    <cellStyle name="Notas 57 3" xfId="22657" xr:uid="{EF0A47E0-CA03-45D8-B980-5DD8FC7F9627}"/>
    <cellStyle name="Notas 57_1.2.b" xfId="16430" xr:uid="{5EE4EA61-BBED-40B8-9064-F23FCC3CBC10}"/>
    <cellStyle name="Notas 58" xfId="14512" xr:uid="{DF742487-C601-4848-B95C-03CEB0FCE011}"/>
    <cellStyle name="Notas 58 2" xfId="18057" xr:uid="{9A4D0CA8-9B8B-4B50-B711-654260CD3EC5}"/>
    <cellStyle name="Notas 58 2 2" xfId="24277" xr:uid="{AD21DCC4-8268-44DD-912A-26EC2ED4AE21}"/>
    <cellStyle name="Notas 58 3" xfId="22658" xr:uid="{9CD7CFE9-6E6B-491C-82DD-5C431A96DC4E}"/>
    <cellStyle name="Notas 58_1.2.b" xfId="16431" xr:uid="{39C3B3DB-0856-4B1D-B73B-49DE51D6D47D}"/>
    <cellStyle name="Notas 59" xfId="14513" xr:uid="{2B2A0A8E-C18C-4E3F-B119-F0B4B51E6F6D}"/>
    <cellStyle name="Notas 59 2" xfId="18058" xr:uid="{A798A198-D80E-4473-AA74-B9C19726F3CD}"/>
    <cellStyle name="Notas 59 2 2" xfId="24278" xr:uid="{930A8331-0697-419B-936D-FE836F66BCC1}"/>
    <cellStyle name="Notas 59 3" xfId="22659" xr:uid="{B08E4C0B-6C4E-4144-AB7A-D2C06D70361D}"/>
    <cellStyle name="Notas 59_1.2.b" xfId="16432" xr:uid="{984663EE-8025-4880-BC94-739D6348DD42}"/>
    <cellStyle name="Notas 6" xfId="188" xr:uid="{00000000-0005-0000-0000-000081130000}"/>
    <cellStyle name="Notas 6 10" xfId="18432" xr:uid="{0F9C5F0D-528B-41E7-A51A-70317C6B2285}"/>
    <cellStyle name="Notas 6 2" xfId="10708" xr:uid="{00000000-0005-0000-0000-000082130000}"/>
    <cellStyle name="Notas 6 2 2" xfId="14515" xr:uid="{8F6EB27C-FAAE-4F88-B049-AD23555743B3}"/>
    <cellStyle name="Notas 6 2 3" xfId="19800" xr:uid="{F9495500-D900-4908-832C-E2F906A12616}"/>
    <cellStyle name="Notas 6 2_1.2.b" xfId="16434" xr:uid="{B8765B66-68A1-4531-A6AB-1E7E4AF22615}"/>
    <cellStyle name="Notas 6 3" xfId="14516" xr:uid="{033ACCFA-DA1B-4145-B680-FABFF4D43DEE}"/>
    <cellStyle name="Notas 6 4" xfId="14514" xr:uid="{C7CA1DBC-78E7-4D95-9A82-B3A72399F0DA}"/>
    <cellStyle name="Notas 6 4 2" xfId="22660" xr:uid="{82A70696-AEC3-41CB-B15D-89CD7FF2BB62}"/>
    <cellStyle name="Notas 6 5" xfId="18059" xr:uid="{226F6BAF-BC2A-4FCD-9AAD-A4D25DAA0EA8}"/>
    <cellStyle name="Notas 6 5 2" xfId="24279" xr:uid="{056F6D12-3D42-41E0-A879-75DDB4CBE82B}"/>
    <cellStyle name="Notas 6 6" xfId="18261" xr:uid="{A49D80BD-4F30-4A33-83BC-00FA06A211F8}"/>
    <cellStyle name="Notas 6 6 2" xfId="24423" xr:uid="{332D1723-8AB9-41A8-88FE-7828F2D2FAEA}"/>
    <cellStyle name="Notas 6 7" xfId="18139" xr:uid="{2DDE3EEF-E08A-4604-AD89-78DF01ADED06}"/>
    <cellStyle name="Notas 6 7 2" xfId="24346" xr:uid="{A60136C0-A7AD-473B-84FC-C3C730AF815A}"/>
    <cellStyle name="Notas 6 8" xfId="18255" xr:uid="{0A70319D-9A77-4108-9A72-E7B502BC465A}"/>
    <cellStyle name="Notas 6 8 2" xfId="24419" xr:uid="{0ECD4243-0CEE-424D-A02E-9A285B60C1C2}"/>
    <cellStyle name="Notas 6 9" xfId="17829" xr:uid="{50F9F793-2B0E-406F-BED3-D086D8D840B9}"/>
    <cellStyle name="Notas 6 9 2" xfId="24054" xr:uid="{E894BEFA-8628-4C61-909D-E4929DA6DA07}"/>
    <cellStyle name="Notas 6_1.2.b" xfId="16433" xr:uid="{36C8F841-4550-40F8-A08F-C0208C9FA56C}"/>
    <cellStyle name="Notas 60" xfId="14517" xr:uid="{35782452-81F6-470A-B4CA-BFBEADCC5488}"/>
    <cellStyle name="Notas 60 2" xfId="18061" xr:uid="{B0D15157-C237-48AD-9890-EBAC85A64E4A}"/>
    <cellStyle name="Notas 60 2 2" xfId="24280" xr:uid="{DB152B3F-9B44-4DCC-BF5D-476A856E2CD3}"/>
    <cellStyle name="Notas 60 3" xfId="22661" xr:uid="{B878227C-EF23-41F6-B426-88F74AD8AD98}"/>
    <cellStyle name="Notas 60_1.2.b" xfId="16435" xr:uid="{740871F8-894F-4257-9AA5-C5A3626EA98C}"/>
    <cellStyle name="Notas 61" xfId="14518" xr:uid="{FBEC0D9B-F1C6-42A0-8C32-3A62CA8045F0}"/>
    <cellStyle name="Notas 61 2" xfId="18062" xr:uid="{9AE4A223-189F-45F5-B74E-DDBA33A073FE}"/>
    <cellStyle name="Notas 61 2 2" xfId="24281" xr:uid="{48D6B5D1-4F12-489B-8C78-E85D63B91B4D}"/>
    <cellStyle name="Notas 61 3" xfId="22662" xr:uid="{44938EB1-E755-46B1-B9BA-3144AEADED1E}"/>
    <cellStyle name="Notas 61_1.2.b" xfId="16436" xr:uid="{CEDC5B09-2D70-436C-ADDE-A8E425FE9673}"/>
    <cellStyle name="Notas 62" xfId="14519" xr:uid="{81FE8FAE-BAF3-4DD6-8A69-C37575375914}"/>
    <cellStyle name="Notas 62 2" xfId="18063" xr:uid="{A64E1B25-C23A-4FF2-93F5-849CF5DEBC14}"/>
    <cellStyle name="Notas 62 2 2" xfId="24282" xr:uid="{298ED330-64EE-4876-A41D-02B269E9F284}"/>
    <cellStyle name="Notas 62 3" xfId="22663" xr:uid="{68B20314-0768-4010-9503-D66829A0C8BC}"/>
    <cellStyle name="Notas 62_1.2.b" xfId="16437" xr:uid="{43EC62DD-5FD5-419A-B095-D855314B67C2}"/>
    <cellStyle name="Notas 63" xfId="14520" xr:uid="{FABFF2D1-02D8-46A5-BDED-09DB0F22968E}"/>
    <cellStyle name="Notas 63 2" xfId="18064" xr:uid="{69FBEA30-F81E-44FB-9243-8EE1BAADA63E}"/>
    <cellStyle name="Notas 63 2 2" xfId="24283" xr:uid="{4AD522D3-2F23-4C98-9A27-D2BA6A57DEF6}"/>
    <cellStyle name="Notas 63 3" xfId="22664" xr:uid="{A838F91C-9607-4B49-B887-354CA5F14186}"/>
    <cellStyle name="Notas 63_1.2.b" xfId="16438" xr:uid="{F1E0659B-9850-4B85-B771-4538F4D4AD47}"/>
    <cellStyle name="Notas 64" xfId="14521" xr:uid="{2FA3BA2E-C0AD-4876-A6BC-0B723A561CB5}"/>
    <cellStyle name="Notas 64 2" xfId="18065" xr:uid="{622DAEE2-D0AA-4A8D-81CD-81144C47FF83}"/>
    <cellStyle name="Notas 64 2 2" xfId="24284" xr:uid="{31EFF95E-1199-4D48-BC52-19A2E1C852FE}"/>
    <cellStyle name="Notas 64 3" xfId="22665" xr:uid="{ECE303C6-7C94-40B8-A8CB-2C6036097755}"/>
    <cellStyle name="Notas 64_1.2.b" xfId="16439" xr:uid="{40E85296-84EE-4C35-8313-DF01B2F91438}"/>
    <cellStyle name="Notas 65" xfId="14522" xr:uid="{74468BAF-6778-497A-BBCF-FC4466375DFF}"/>
    <cellStyle name="Notas 65 2" xfId="18066" xr:uid="{D6542410-FA2B-4AC1-9E84-CDE226310773}"/>
    <cellStyle name="Notas 65 2 2" xfId="24285" xr:uid="{08A22572-B521-4116-BAA9-5C52F389492C}"/>
    <cellStyle name="Notas 65 3" xfId="22666" xr:uid="{E3566692-700D-4608-B94C-06093AACBA01}"/>
    <cellStyle name="Notas 65_1.2.b" xfId="16440" xr:uid="{E3FD6336-756A-433D-974B-96863A1B6A37}"/>
    <cellStyle name="Notas 66" xfId="14523" xr:uid="{1BD788EF-8562-4F3B-BA56-9A8A98C71D4C}"/>
    <cellStyle name="Notas 66 2" xfId="18067" xr:uid="{79633598-4516-4424-823B-ACB677F809AD}"/>
    <cellStyle name="Notas 66 2 2" xfId="24286" xr:uid="{8A69FBC1-22A7-4390-B30C-BF3A2CAADE39}"/>
    <cellStyle name="Notas 66 3" xfId="22667" xr:uid="{C469338D-FAB2-43D7-A46A-07EE5FFADAE9}"/>
    <cellStyle name="Notas 66_1.2.b" xfId="16441" xr:uid="{39858524-45FF-42A6-9327-BC7C647FCA32}"/>
    <cellStyle name="Notas 67" xfId="14524" xr:uid="{9740DB0D-48E3-4124-8DCB-7CFE60622E8E}"/>
    <cellStyle name="Notas 67 2" xfId="18068" xr:uid="{718AA07A-4575-4474-B545-7FE41854B576}"/>
    <cellStyle name="Notas 67 2 2" xfId="24287" xr:uid="{B4741570-3F36-47B0-AF32-94ACBCBB5A93}"/>
    <cellStyle name="Notas 67 3" xfId="22668" xr:uid="{1EFBB6D4-8BAE-4B50-83CB-03A4330F2727}"/>
    <cellStyle name="Notas 67_1.2.b" xfId="16442" xr:uid="{08DF3E7A-4412-4BE0-A738-BF154386F62C}"/>
    <cellStyle name="Notas 68" xfId="14525" xr:uid="{89DA86A5-FC78-47B3-A72D-FBFE18C5B70F}"/>
    <cellStyle name="Notas 68 2" xfId="18069" xr:uid="{ED65163C-0C25-4E69-A2B1-FD85936B8FD8}"/>
    <cellStyle name="Notas 68 2 2" xfId="24288" xr:uid="{B721260B-08FC-438D-AAA7-973A7A1AB61D}"/>
    <cellStyle name="Notas 68 3" xfId="22669" xr:uid="{89B2EC07-61B7-41C2-95E7-7BE429AF6989}"/>
    <cellStyle name="Notas 68_1.2.b" xfId="16443" xr:uid="{D1200D43-DA4C-43F2-8BAC-C5EF16DFE664}"/>
    <cellStyle name="Notas 69" xfId="14526" xr:uid="{2CA96CA4-6738-43AE-B29A-732B1D5080A9}"/>
    <cellStyle name="Notas 69 2" xfId="18070" xr:uid="{F327118E-71C2-413D-81ED-117D7F3176E7}"/>
    <cellStyle name="Notas 69 2 2" xfId="24289" xr:uid="{D72D9D23-4B23-470C-9719-E97DE6D7B9B5}"/>
    <cellStyle name="Notas 69 3" xfId="22670" xr:uid="{2FA62F6D-D5F2-4637-B667-2D739DA0F9BD}"/>
    <cellStyle name="Notas 69_1.2.b" xfId="16444" xr:uid="{B6113123-49F6-4846-82EC-B21E38B83F7C}"/>
    <cellStyle name="Notas 7" xfId="202" xr:uid="{00000000-0005-0000-0000-000083130000}"/>
    <cellStyle name="Notas 7 2" xfId="10722" xr:uid="{00000000-0005-0000-0000-000084130000}"/>
    <cellStyle name="Notas 7 2 2" xfId="14528" xr:uid="{654E42E4-763B-4EE9-861E-336B54F69AAD}"/>
    <cellStyle name="Notas 7 2 3" xfId="19814" xr:uid="{BEE517A2-6C48-4330-A530-2487F699C0A4}"/>
    <cellStyle name="Notas 7 2_1.2.b" xfId="16446" xr:uid="{2678B7EA-FADB-4ED6-89E1-E10E22EB2BFE}"/>
    <cellStyle name="Notas 7 3" xfId="14527" xr:uid="{DFEF1EC1-FBBD-465E-BA11-99DD18086720}"/>
    <cellStyle name="Notas 7 4" xfId="18446" xr:uid="{9120ACCF-0D48-4248-8B87-086BA24370A2}"/>
    <cellStyle name="Notas 7_1.2.b" xfId="16445" xr:uid="{A6F0E06D-8557-49CE-9A75-4D766DDEFB03}"/>
    <cellStyle name="Notas 70" xfId="14529" xr:uid="{F9E2F262-B5D5-4130-92E1-5D251CFAC6E9}"/>
    <cellStyle name="Notas 70 2" xfId="18071" xr:uid="{F7B28D4F-B606-4E74-BB74-235AE7650AAF}"/>
    <cellStyle name="Notas 70 2 2" xfId="24290" xr:uid="{35DB7313-B84D-456F-A7A6-61DA85F4686B}"/>
    <cellStyle name="Notas 70 3" xfId="22671" xr:uid="{68704884-7C93-4895-9F5A-13DD38E12744}"/>
    <cellStyle name="Notas 70_1.2.b" xfId="16447" xr:uid="{6856EBC2-C513-43DB-B20A-816E3AFE7A9E}"/>
    <cellStyle name="Notas 71" xfId="14530" xr:uid="{52944450-ADE3-4A84-BADF-D59772D76C8D}"/>
    <cellStyle name="Notas 71 2" xfId="18072" xr:uid="{C5EF8338-DCBF-4D0C-978E-C3AFF2C327B7}"/>
    <cellStyle name="Notas 71 2 2" xfId="24291" xr:uid="{9C66E15B-891F-4E02-968F-D5AF9510F36C}"/>
    <cellStyle name="Notas 71 3" xfId="22672" xr:uid="{1C6E8CBC-E9B1-477E-B121-AE6734A2056E}"/>
    <cellStyle name="Notas 71_1.2.b" xfId="16448" xr:uid="{C9628A9F-2E39-4D4A-805C-8CC6989434D3}"/>
    <cellStyle name="Notas 72" xfId="14531" xr:uid="{66FB1B95-53F0-4989-89A2-9F6C752DD6DB}"/>
    <cellStyle name="Notas 72 2" xfId="18073" xr:uid="{B8A82E71-1A17-4CE7-8C28-60174939DD8D}"/>
    <cellStyle name="Notas 72 2 2" xfId="24292" xr:uid="{D6A6D5A4-5C87-4C91-94D8-A508D8130194}"/>
    <cellStyle name="Notas 72 3" xfId="22673" xr:uid="{BB9E4709-2384-42AC-89BB-D71E99FF69DA}"/>
    <cellStyle name="Notas 72_1.2.b" xfId="16449" xr:uid="{FF018B6E-4318-4BAA-B13F-7D52F182D252}"/>
    <cellStyle name="Notas 73" xfId="14532" xr:uid="{FA5D89AA-497F-4FF9-B763-511F5F662CD0}"/>
    <cellStyle name="Notas 73 2" xfId="18074" xr:uid="{5F921411-D561-40E6-8305-A7A515BF9687}"/>
    <cellStyle name="Notas 73 2 2" xfId="24293" xr:uid="{DE96F0CB-E364-4EB5-AAEA-86267BE86C24}"/>
    <cellStyle name="Notas 73 3" xfId="22674" xr:uid="{E98E3994-2B5A-442B-AA9A-8DBBEE3A329A}"/>
    <cellStyle name="Notas 73_1.2.b" xfId="16450" xr:uid="{7B0DDA31-C719-4826-A14F-BF922948F5FB}"/>
    <cellStyle name="Notas 74" xfId="14533" xr:uid="{5D7ED739-3130-401B-A050-D0095BB50A90}"/>
    <cellStyle name="Notas 74 2" xfId="18075" xr:uid="{9B586A63-25C4-4E0B-8D45-D094CAFBE735}"/>
    <cellStyle name="Notas 74 2 2" xfId="24294" xr:uid="{816E5896-8E82-430A-93DA-9F15C4CB1C7F}"/>
    <cellStyle name="Notas 74 3" xfId="22675" xr:uid="{37CDED9F-5E53-4A20-8836-C86F5377D000}"/>
    <cellStyle name="Notas 74_1.2.b" xfId="16451" xr:uid="{A8552E0C-CDB9-49A9-B5D3-82C334D8DD23}"/>
    <cellStyle name="Notas 75" xfId="14534" xr:uid="{EEA48B61-6963-45E8-8983-AF2CFF6127A4}"/>
    <cellStyle name="Notas 75 2" xfId="18076" xr:uid="{1D61900C-3649-4FD8-B987-40AC724987F0}"/>
    <cellStyle name="Notas 75 2 2" xfId="24295" xr:uid="{14495F83-2C71-4C86-8158-044E49D7EB1B}"/>
    <cellStyle name="Notas 75 3" xfId="22676" xr:uid="{635FE9A1-16F9-4102-A4F8-1070865FA691}"/>
    <cellStyle name="Notas 75_1.2.b" xfId="16452" xr:uid="{35C0C138-1207-4A65-BE6A-ACC7D39D6D71}"/>
    <cellStyle name="Notas 76" xfId="14535" xr:uid="{E9C4B0BC-4706-4C6E-B042-7140E28A2597}"/>
    <cellStyle name="Notas 76 2" xfId="18077" xr:uid="{693B4800-B1B9-403F-98B9-76CAC5F593A7}"/>
    <cellStyle name="Notas 76 2 2" xfId="24296" xr:uid="{8BA77299-601A-4E0E-83F9-FB38DFF024B1}"/>
    <cellStyle name="Notas 76 3" xfId="22677" xr:uid="{C1B5FA0F-F908-471F-B03C-5585D7BBFFAB}"/>
    <cellStyle name="Notas 76_1.2.b" xfId="16453" xr:uid="{10B0DD6F-B803-4F43-B98F-3A2F8B3AAF1D}"/>
    <cellStyle name="Notas 77" xfId="14536" xr:uid="{D0AC248C-04EA-43BA-8E7F-D57250E42036}"/>
    <cellStyle name="Notas 77 2" xfId="18078" xr:uid="{B8C2F12F-014D-454D-8165-931E8B7B0E85}"/>
    <cellStyle name="Notas 77 2 2" xfId="24297" xr:uid="{4EC6EB36-2165-4CB2-BA93-83F4521D2F3E}"/>
    <cellStyle name="Notas 77 3" xfId="22678" xr:uid="{AE550CD9-F15F-4EBB-8285-B2B71E5ED213}"/>
    <cellStyle name="Notas 77_1.2.b" xfId="16454" xr:uid="{6B6BEA2D-744B-431A-9430-58AD0523690E}"/>
    <cellStyle name="Notas 78" xfId="14537" xr:uid="{8FD93D72-FCBC-49CC-8D8C-E03843DDEFDC}"/>
    <cellStyle name="Notas 78 2" xfId="18079" xr:uid="{CA91B91C-8EDB-4A26-9141-85C053039095}"/>
    <cellStyle name="Notas 78 2 2" xfId="24298" xr:uid="{11210B72-D150-496B-8694-7AA73CD6CE14}"/>
    <cellStyle name="Notas 78 3" xfId="22679" xr:uid="{A5306330-FA5A-49C0-B63F-777658EA8A14}"/>
    <cellStyle name="Notas 78_1.2.b" xfId="16455" xr:uid="{5E6D8533-26A0-4B52-A79B-63C3537A42DB}"/>
    <cellStyle name="Notas 79" xfId="14538" xr:uid="{8BF37847-0DFD-469B-A870-D7EE725EFE39}"/>
    <cellStyle name="Notas 79 2" xfId="18080" xr:uid="{1418507F-9434-46AF-8D69-4A50C75E0EA2}"/>
    <cellStyle name="Notas 79 2 2" xfId="24299" xr:uid="{E4C8A662-0CB2-40C7-8533-6F5C233D4A1B}"/>
    <cellStyle name="Notas 79 3" xfId="22680" xr:uid="{DACC47C1-033A-41F3-B48C-B81A31411362}"/>
    <cellStyle name="Notas 79_1.2.b" xfId="16456" xr:uid="{CAB0AB00-32B0-499D-B344-A301000A7008}"/>
    <cellStyle name="Notas 8" xfId="9826" xr:uid="{00000000-0005-0000-0000-000085130000}"/>
    <cellStyle name="Notas 8 2" xfId="11612" xr:uid="{00000000-0005-0000-0000-000086130000}"/>
    <cellStyle name="Notas 8 2 2" xfId="14540" xr:uid="{88C7EC87-D4FF-43F7-8B8E-DB361221969B}"/>
    <cellStyle name="Notas 8 2 3" xfId="20381" xr:uid="{708B6B1A-13D3-44D9-ADD6-FF5041B346F9}"/>
    <cellStyle name="Notas 8 2_1.2.b" xfId="16458" xr:uid="{6FCD9333-E1E7-4904-81C6-83C4A68465EA}"/>
    <cellStyle name="Notas 8 3" xfId="14539" xr:uid="{2CF56505-A712-4F1F-B20C-FAA2A01E6B6E}"/>
    <cellStyle name="Notas 8 4" xfId="19013" xr:uid="{725C719D-BB92-4DBE-917A-41FFE9BC8835}"/>
    <cellStyle name="Notas 8_1.2.b" xfId="16457" xr:uid="{279375D1-10C3-43AA-B193-6364D0F6F839}"/>
    <cellStyle name="Notas 80" xfId="14541" xr:uid="{8D19F7B6-51AC-4C22-89EE-86C7AE1713F1}"/>
    <cellStyle name="Notas 80 2" xfId="18081" xr:uid="{CFDE4403-8AC8-49DA-B1CF-64DBA3CD429A}"/>
    <cellStyle name="Notas 80 2 2" xfId="24300" xr:uid="{01541A63-918F-43BE-8F52-2F8C8A8ED1C2}"/>
    <cellStyle name="Notas 80 3" xfId="22681" xr:uid="{CFC71016-69D8-4FD7-A361-A1C8C98666FA}"/>
    <cellStyle name="Notas 80_1.2.b" xfId="16459" xr:uid="{0D9B729E-FA98-43BE-AEB0-D8F9012D92CA}"/>
    <cellStyle name="Notas 81" xfId="14542" xr:uid="{55EA4193-5868-4660-863D-05883419E5AB}"/>
    <cellStyle name="Notas 81 2" xfId="18082" xr:uid="{AC6CD44C-B6A8-4AC2-BFDB-0BB03F1D977B}"/>
    <cellStyle name="Notas 81 2 2" xfId="24301" xr:uid="{E6DBFEC9-3255-4700-9BDD-F43B38980C01}"/>
    <cellStyle name="Notas 81 3" xfId="22682" xr:uid="{E1B556AF-7018-43EB-AE14-BF5DEE8C442A}"/>
    <cellStyle name="Notas 81_1.2.b" xfId="16460" xr:uid="{54E3A6A6-2A7F-4886-A282-B4968E872E34}"/>
    <cellStyle name="Notas 82" xfId="14543" xr:uid="{EA844D92-8E32-49CA-BB2F-2F18D1F2CD2A}"/>
    <cellStyle name="Notas 82 2" xfId="18083" xr:uid="{B7EC13C1-9AB0-4A92-AB24-D1955AA98E58}"/>
    <cellStyle name="Notas 82 2 2" xfId="24302" xr:uid="{1C119086-0385-400E-B22D-329AD1CF9C24}"/>
    <cellStyle name="Notas 82 3" xfId="22683" xr:uid="{B51BBFC2-4DB8-4902-B777-7767E8D3E3B0}"/>
    <cellStyle name="Notas 82_1.2.b" xfId="16461" xr:uid="{BB1BFA42-A5F5-407A-AF5E-B4044624083F}"/>
    <cellStyle name="Notas 83" xfId="14544" xr:uid="{8D1C6E04-8F43-472A-8D10-91456373A222}"/>
    <cellStyle name="Notas 83 2" xfId="18084" xr:uid="{1A77588B-151A-413F-929E-86353292DA57}"/>
    <cellStyle name="Notas 83 2 2" xfId="24303" xr:uid="{DC4B5C7F-80F1-4CE7-AF34-66A3BD276658}"/>
    <cellStyle name="Notas 83 3" xfId="22684" xr:uid="{5295F4EB-5C43-46CB-80D2-E7F9B25A61A1}"/>
    <cellStyle name="Notas 83_1.2.b" xfId="16462" xr:uid="{181D5FA7-CB12-43EA-96FF-8F38E3EE964C}"/>
    <cellStyle name="Notas 84" xfId="14545" xr:uid="{66D96089-B262-40E3-ABDE-F213E4CC5D36}"/>
    <cellStyle name="Notas 84 2" xfId="18085" xr:uid="{5BF42E22-2C8F-4CBC-AA08-57AB8ED9C0AA}"/>
    <cellStyle name="Notas 84 2 2" xfId="24304" xr:uid="{9CC65156-7456-4625-9D27-FC5C530AD2DF}"/>
    <cellStyle name="Notas 84 3" xfId="22685" xr:uid="{333F50E3-840F-4BBB-86D6-722E4D46B851}"/>
    <cellStyle name="Notas 84_1.2.b" xfId="16463" xr:uid="{54239002-CDAB-4718-A843-66F0597CF44C}"/>
    <cellStyle name="Notas 85" xfId="14546" xr:uid="{2B10878E-F62F-431C-BCD5-82D4E6343AA2}"/>
    <cellStyle name="Notas 85 2" xfId="18086" xr:uid="{3B75360A-79F6-4E1C-810A-7AF512F4CE92}"/>
    <cellStyle name="Notas 85 2 2" xfId="24305" xr:uid="{8F837D53-D630-489B-80E5-C93C3BDDDEFC}"/>
    <cellStyle name="Notas 85 3" xfId="22686" xr:uid="{F15A6903-8F01-41B8-80F0-9D6E0347CE62}"/>
    <cellStyle name="Notas 85_1.2.b" xfId="16464" xr:uid="{78279B89-11B7-4C08-8C00-EACD4FA00E5C}"/>
    <cellStyle name="Notas 86" xfId="14547" xr:uid="{82F75A42-058F-48A2-8F37-A508D819FBFA}"/>
    <cellStyle name="Notas 86 2" xfId="18087" xr:uid="{EE2B1CED-DB67-492D-AA7A-AE657012F12B}"/>
    <cellStyle name="Notas 86 2 2" xfId="24306" xr:uid="{B1C8A076-C84D-4AA7-AEA4-A77CC9EBA297}"/>
    <cellStyle name="Notas 86 3" xfId="22687" xr:uid="{26F3206F-B075-4D9A-B533-8E419563B7BD}"/>
    <cellStyle name="Notas 86_1.2.b" xfId="16465" xr:uid="{627E1D13-652B-483F-A0BC-F9E47B75D772}"/>
    <cellStyle name="Notas 87" xfId="14548" xr:uid="{B16527B1-B3E3-40BB-9D03-1563128D91DE}"/>
    <cellStyle name="Notas 87 2" xfId="18088" xr:uid="{32237B87-B01B-4CB2-846D-AF0BCF20570D}"/>
    <cellStyle name="Notas 87 2 2" xfId="24307" xr:uid="{F85DCDB2-7BAD-42FD-BE55-C38110A86B45}"/>
    <cellStyle name="Notas 87 3" xfId="22688" xr:uid="{5D2A49EF-5FD8-4356-96C5-C6570D8BE42A}"/>
    <cellStyle name="Notas 87_1.2.b" xfId="16466" xr:uid="{F4E2BBA0-0B85-46A0-A12A-791856E763BB}"/>
    <cellStyle name="Notas 88" xfId="14549" xr:uid="{86CDC04C-31EB-4555-A527-7F4BE738EAA6}"/>
    <cellStyle name="Notas 88 2" xfId="18089" xr:uid="{6F133E7F-7B39-4A65-9EAA-3594B5CB80B3}"/>
    <cellStyle name="Notas 88 2 2" xfId="24308" xr:uid="{BE90DEB7-F9B4-4540-B77E-BC2569B3F8BD}"/>
    <cellStyle name="Notas 88 3" xfId="22689" xr:uid="{4D136732-C210-40CB-A4C0-6FCAB36311C6}"/>
    <cellStyle name="Notas 88_1.2.b" xfId="16467" xr:uid="{983F792F-8498-4A2A-BFD7-C4AF94E733F3}"/>
    <cellStyle name="Notas 89" xfId="14550" xr:uid="{26ACB374-79DB-4D61-9154-D64EEF332745}"/>
    <cellStyle name="Notas 89 2" xfId="18090" xr:uid="{E3273504-5561-46EF-8F90-6594AE435751}"/>
    <cellStyle name="Notas 89 2 2" xfId="24309" xr:uid="{742E38CA-E6D0-4811-9E1E-6509CB4020D6}"/>
    <cellStyle name="Notas 89 3" xfId="22690" xr:uid="{EB42FE3E-EA0C-407D-9BD2-739E80737593}"/>
    <cellStyle name="Notas 89_1.2.b" xfId="16468" xr:uid="{EF32EB73-9D7B-497B-B69B-E16D99A1CCAE}"/>
    <cellStyle name="Notas 9" xfId="9845" xr:uid="{00000000-0005-0000-0000-000087130000}"/>
    <cellStyle name="Notas 9 2" xfId="11630" xr:uid="{00000000-0005-0000-0000-000088130000}"/>
    <cellStyle name="Notas 9 2 2" xfId="14552" xr:uid="{AE67666A-F130-424E-AA30-3C13EA6FE162}"/>
    <cellStyle name="Notas 9 2 3" xfId="20397" xr:uid="{80EB5988-A671-4B7F-85DA-5AA897676564}"/>
    <cellStyle name="Notas 9 2_1.2.b" xfId="16470" xr:uid="{5F463ACA-B024-4CBC-888A-17B174E3CAAA}"/>
    <cellStyle name="Notas 9 3" xfId="14551" xr:uid="{2A895ADB-29E2-4279-A7C9-CCA0F423E711}"/>
    <cellStyle name="Notas 9 4" xfId="19029" xr:uid="{A4371EF8-F9DB-4EC2-90FD-7AD8817BA01A}"/>
    <cellStyle name="Notas 9_1.2.b" xfId="16469" xr:uid="{A8D4263A-246F-44C4-BF0E-601FD12CBBF9}"/>
    <cellStyle name="Notas 90" xfId="14553" xr:uid="{2CAF194D-162F-4181-A3D5-D1ACB852A327}"/>
    <cellStyle name="Notas 90 2" xfId="18091" xr:uid="{1C984493-98AE-4BF2-BFAA-E84A53AB9D4B}"/>
    <cellStyle name="Notas 90 2 2" xfId="24310" xr:uid="{CBBC422F-86E1-4D92-9C50-D36FF7322BE9}"/>
    <cellStyle name="Notas 90 3" xfId="22691" xr:uid="{D04764C0-B736-41A3-AD13-A9E72835F0F0}"/>
    <cellStyle name="Notas 90_1.2.b" xfId="16471" xr:uid="{AD09744D-33AB-4453-867D-283DAAD888B6}"/>
    <cellStyle name="Notas 91" xfId="14554" xr:uid="{DEFD0604-9718-48CC-8421-A7E460CF2EF1}"/>
    <cellStyle name="Notas 91 2" xfId="18092" xr:uid="{D6DD2113-FC7D-46C9-B962-9711CE4B1459}"/>
    <cellStyle name="Notas 91 2 2" xfId="24311" xr:uid="{60A9373F-C282-4503-BB70-0FDE72706450}"/>
    <cellStyle name="Notas 91 3" xfId="22692" xr:uid="{EDB6294C-30FF-4EAB-A65C-EA1D107373CF}"/>
    <cellStyle name="Notas 91_1.2.b" xfId="16472" xr:uid="{B40E4956-1029-4988-8D71-87AD3EBFD205}"/>
    <cellStyle name="Notas 92" xfId="14555" xr:uid="{573A959F-AF17-44EB-B057-A6E5ECB5D79D}"/>
    <cellStyle name="Notas 92 2" xfId="18093" xr:uid="{B0F32B1E-1438-4609-9A65-CFD06BEAE7AC}"/>
    <cellStyle name="Notas 92 2 2" xfId="24312" xr:uid="{CDD0DA6F-AEEE-4536-8A43-88CFE07885D3}"/>
    <cellStyle name="Notas 92 3" xfId="22693" xr:uid="{29F9B795-2080-448E-92F3-AC45D76AEAF4}"/>
    <cellStyle name="Notas 92_1.2.b" xfId="16473" xr:uid="{2AFF8112-5C93-43B4-95C9-E7CC77CE058D}"/>
    <cellStyle name="Notas 93" xfId="14556" xr:uid="{3174AA91-7A3D-400B-93DE-C82F15ED9A21}"/>
    <cellStyle name="Notas 93 2" xfId="18094" xr:uid="{26E6B121-6E37-4D19-A6C9-AD51AC529EE4}"/>
    <cellStyle name="Notas 93 2 2" xfId="24313" xr:uid="{5C09958E-CB83-4186-B96F-657BC4056E51}"/>
    <cellStyle name="Notas 93 3" xfId="22694" xr:uid="{8354E38E-B724-4929-8411-45CFD099B299}"/>
    <cellStyle name="Notas 93_1.2.b" xfId="16474" xr:uid="{225ABD2B-6042-42A1-BDF0-59DEB3145F5D}"/>
    <cellStyle name="Notas 94" xfId="14557" xr:uid="{8551DE99-F323-4A2E-A60B-AA58CBB4728D}"/>
    <cellStyle name="Notas 94 2" xfId="18095" xr:uid="{37FDF4EB-8F61-4EEF-8A96-A5B5AD9DAB87}"/>
    <cellStyle name="Notas 94 2 2" xfId="24314" xr:uid="{3DCB909A-15BC-4FBC-8B44-7FAA5BB85422}"/>
    <cellStyle name="Notas 94 3" xfId="22695" xr:uid="{C8C9FB22-74C5-4CF5-B895-51D8A6E0CFE0}"/>
    <cellStyle name="Notas 94_1.2.b" xfId="16475" xr:uid="{A6B744CE-BE98-4365-B933-018387F684BC}"/>
    <cellStyle name="Notas 95" xfId="14558" xr:uid="{EFF79BE9-10A9-4907-9603-9CE0F5B958C7}"/>
    <cellStyle name="Notas 95 2" xfId="18096" xr:uid="{6432CED8-7655-4B7E-B1C5-D357B9E41EB1}"/>
    <cellStyle name="Notas 95 2 2" xfId="24315" xr:uid="{CF870ABD-8825-419B-BEA5-7ABFCE08A0CF}"/>
    <cellStyle name="Notas 95 3" xfId="22696" xr:uid="{95AFCB4F-FC92-4B86-BADB-77CCCE8B510C}"/>
    <cellStyle name="Notas 95_1.2.b" xfId="16476" xr:uid="{CA29739B-5A4D-4F0D-B70A-CDFED3DFDF7A}"/>
    <cellStyle name="Notas 96" xfId="14559" xr:uid="{FC6E7169-27FC-487D-8137-AE9B6393027A}"/>
    <cellStyle name="Notas 96 2" xfId="18097" xr:uid="{3D4EBC41-86F6-4BFB-90E3-4517118B5B7A}"/>
    <cellStyle name="Notas 96 2 2" xfId="24316" xr:uid="{ED5A75CD-3640-4816-BBF5-2BC95AA80058}"/>
    <cellStyle name="Notas 96 3" xfId="22697" xr:uid="{F888E86B-ACAF-413B-A0BB-79DFAB869D71}"/>
    <cellStyle name="Notas 96_1.2.b" xfId="16477" xr:uid="{DB8D5E7F-A43D-44E0-96A2-E1B297D49B25}"/>
    <cellStyle name="Notas 97" xfId="14560" xr:uid="{63EE7010-94B6-4851-B28E-6F29F8D05041}"/>
    <cellStyle name="Notas 97 2" xfId="18098" xr:uid="{EB2D7A57-A4CD-42D6-AAD6-2440A620CF80}"/>
    <cellStyle name="Notas 97 2 2" xfId="24317" xr:uid="{23A6AABA-B649-4423-8949-3044F6AB1CA1}"/>
    <cellStyle name="Notas 97 3" xfId="22698" xr:uid="{46511BA9-A9C0-415A-BBC7-F8B09DB228A6}"/>
    <cellStyle name="Notas 97_1.2.b" xfId="16478" xr:uid="{50528667-E7D4-41F8-BDD6-4B19677466C0}"/>
    <cellStyle name="Notas 98" xfId="14561" xr:uid="{57465444-BB54-4D8D-9887-6D10D6DC2B3A}"/>
    <cellStyle name="Notas 98 2" xfId="18099" xr:uid="{30CB52E1-D098-4D18-A159-18AC25703B86}"/>
    <cellStyle name="Notas 98 2 2" xfId="24318" xr:uid="{7D5DD55B-295C-42D3-B0E3-41A73270039A}"/>
    <cellStyle name="Notas 98 3" xfId="22699" xr:uid="{DC8BD8DC-61BA-4FE0-B9B0-32DCE35F8B06}"/>
    <cellStyle name="Notas 98_1.2.b" xfId="16479" xr:uid="{F54BC146-2F10-4184-846A-2000713D7380}"/>
    <cellStyle name="Notas 99" xfId="14705" xr:uid="{6B402252-C63A-4388-8A68-9867CAA299F0}"/>
    <cellStyle name="Notas 99 2" xfId="22739" xr:uid="{235B1DB2-4959-49DE-833D-71CBE2DB583C}"/>
    <cellStyle name="Note" xfId="14562" xr:uid="{63180E8C-ECDB-4B85-8B60-8B1BD53FFE08}"/>
    <cellStyle name="Note 2" xfId="18307" xr:uid="{8AC6BD22-2EA2-486F-A1F6-4F0A26DAF140}"/>
    <cellStyle name="Note 2 2" xfId="24437" xr:uid="{42BDAB09-C254-423C-B3B3-F0F6D5CE7FF4}"/>
    <cellStyle name="Note 3" xfId="18336" xr:uid="{07989B3A-AB06-4545-984A-A5AB84BC37AA}"/>
    <cellStyle name="Note 3 2" xfId="24459" xr:uid="{301EE4EC-F2EC-4956-B5BF-62FCF6052DBA}"/>
    <cellStyle name="Note 4" xfId="22700" xr:uid="{6CC82088-2C9D-4E9B-802B-BB66AFFA6EDF}"/>
    <cellStyle name="Output" xfId="35" xr:uid="{0E46E703-578C-4CF8-9171-CA5E3DA42410}"/>
    <cellStyle name="Output 2" xfId="18302" xr:uid="{4CA84C06-4D03-4099-B51E-103B9474F6ED}"/>
    <cellStyle name="Output Column Headings" xfId="108" xr:uid="{00000000-0005-0000-0000-000089130000}"/>
    <cellStyle name="Output Line Items" xfId="109" xr:uid="{00000000-0005-0000-0000-00008A130000}"/>
    <cellStyle name="Output Report Heading" xfId="110" xr:uid="{00000000-0005-0000-0000-00008B130000}"/>
    <cellStyle name="Output Report Title" xfId="111" xr:uid="{00000000-0005-0000-0000-00008C130000}"/>
    <cellStyle name="Per cent 2" xfId="24482" xr:uid="{C731A7B4-D4C4-4F1E-A9BA-B495AEFC85F1}"/>
    <cellStyle name="Per cent 3" xfId="24493" xr:uid="{A70D11E1-D19C-4F9E-9F83-23F713A5405A}"/>
    <cellStyle name="Percent 2" xfId="12405" xr:uid="{3BD632E4-2111-4DAE-A5D8-65690E2578B5}"/>
    <cellStyle name="Percent 2 2" xfId="18291" xr:uid="{45D162B5-2D07-4D4E-BE9F-42BB9B17E054}"/>
    <cellStyle name="Percent 3" xfId="14563" xr:uid="{FD4CAAC6-6F8F-4E40-B1F4-530C6456B41E}"/>
    <cellStyle name="Porcentaje" xfId="12401" builtinId="5"/>
    <cellStyle name="Porcentaje 10" xfId="1460" xr:uid="{00000000-0005-0000-0000-00008F130000}"/>
    <cellStyle name="Porcentaje 11" xfId="1461" xr:uid="{00000000-0005-0000-0000-000090130000}"/>
    <cellStyle name="Porcentaje 12" xfId="1462" xr:uid="{00000000-0005-0000-0000-000091130000}"/>
    <cellStyle name="Porcentaje 13" xfId="1463" xr:uid="{00000000-0005-0000-0000-000092130000}"/>
    <cellStyle name="Porcentaje 14" xfId="1464" xr:uid="{00000000-0005-0000-0000-000093130000}"/>
    <cellStyle name="Porcentaje 15" xfId="1465" xr:uid="{00000000-0005-0000-0000-000094130000}"/>
    <cellStyle name="Porcentaje 16" xfId="1466" xr:uid="{00000000-0005-0000-0000-000095130000}"/>
    <cellStyle name="Porcentaje 17" xfId="1467" xr:uid="{00000000-0005-0000-0000-000096130000}"/>
    <cellStyle name="Porcentaje 18" xfId="1468" xr:uid="{00000000-0005-0000-0000-000097130000}"/>
    <cellStyle name="Porcentaje 19" xfId="1469" xr:uid="{00000000-0005-0000-0000-000098130000}"/>
    <cellStyle name="Porcentaje 2" xfId="112" xr:uid="{00000000-0005-0000-0000-000099130000}"/>
    <cellStyle name="Porcentaje 2 10" xfId="1471" xr:uid="{00000000-0005-0000-0000-00009A130000}"/>
    <cellStyle name="Porcentaje 2 10 2" xfId="7815" xr:uid="{00000000-0005-0000-0000-00009B130000}"/>
    <cellStyle name="Porcentaje 2 11" xfId="1472" xr:uid="{00000000-0005-0000-0000-00009C130000}"/>
    <cellStyle name="Porcentaje 2 11 2" xfId="7816" xr:uid="{00000000-0005-0000-0000-00009D130000}"/>
    <cellStyle name="Porcentaje 2 12" xfId="1473" xr:uid="{00000000-0005-0000-0000-00009E130000}"/>
    <cellStyle name="Porcentaje 2 12 2" xfId="7817" xr:uid="{00000000-0005-0000-0000-00009F130000}"/>
    <cellStyle name="Porcentaje 2 13" xfId="1474" xr:uid="{00000000-0005-0000-0000-0000A0130000}"/>
    <cellStyle name="Porcentaje 2 13 2" xfId="7818" xr:uid="{00000000-0005-0000-0000-0000A1130000}"/>
    <cellStyle name="Porcentaje 2 14" xfId="1475" xr:uid="{00000000-0005-0000-0000-0000A2130000}"/>
    <cellStyle name="Porcentaje 2 14 2" xfId="7819" xr:uid="{00000000-0005-0000-0000-0000A3130000}"/>
    <cellStyle name="Porcentaje 2 15" xfId="1476" xr:uid="{00000000-0005-0000-0000-0000A4130000}"/>
    <cellStyle name="Porcentaje 2 15 2" xfId="7820" xr:uid="{00000000-0005-0000-0000-0000A5130000}"/>
    <cellStyle name="Porcentaje 2 16" xfId="1477" xr:uid="{00000000-0005-0000-0000-0000A6130000}"/>
    <cellStyle name="Porcentaje 2 16 2" xfId="7821" xr:uid="{00000000-0005-0000-0000-0000A7130000}"/>
    <cellStyle name="Porcentaje 2 17" xfId="1478" xr:uid="{00000000-0005-0000-0000-0000A8130000}"/>
    <cellStyle name="Porcentaje 2 17 2" xfId="7822" xr:uid="{00000000-0005-0000-0000-0000A9130000}"/>
    <cellStyle name="Porcentaje 2 18" xfId="1479" xr:uid="{00000000-0005-0000-0000-0000AA130000}"/>
    <cellStyle name="Porcentaje 2 18 2" xfId="7823" xr:uid="{00000000-0005-0000-0000-0000AB130000}"/>
    <cellStyle name="Porcentaje 2 19" xfId="1480" xr:uid="{00000000-0005-0000-0000-0000AC130000}"/>
    <cellStyle name="Porcentaje 2 19 2" xfId="7824" xr:uid="{00000000-0005-0000-0000-0000AD130000}"/>
    <cellStyle name="Porcentaje 2 2" xfId="135" xr:uid="{00000000-0005-0000-0000-0000AE130000}"/>
    <cellStyle name="Porcentaje 2 2 2" xfId="4159" xr:uid="{00000000-0005-0000-0000-0000AF130000}"/>
    <cellStyle name="Porcentaje 2 2 2 2" xfId="4273" xr:uid="{00000000-0005-0000-0000-0000B0130000}"/>
    <cellStyle name="Porcentaje 2 2 2 2 2" xfId="9708" xr:uid="{00000000-0005-0000-0000-0000B1130000}"/>
    <cellStyle name="Porcentaje 2 2 2 2 2 2" xfId="10409" xr:uid="{00000000-0005-0000-0000-0000B2130000}"/>
    <cellStyle name="Porcentaje 2 2 2 2 2 2 2" xfId="12144" xr:uid="{00000000-0005-0000-0000-0000B3130000}"/>
    <cellStyle name="Porcentaje 2 2 2 2 2 2 2 2" xfId="20893" xr:uid="{537A366A-466A-4731-AB80-4A6F4CAFB3F5}"/>
    <cellStyle name="Porcentaje 2 2 2 2 2 2 3" xfId="19530" xr:uid="{003C4881-4BC8-4957-95F4-3A0C7CCE32A8}"/>
    <cellStyle name="Porcentaje 2 2 2 2 2 3" xfId="11497" xr:uid="{00000000-0005-0000-0000-0000B4130000}"/>
    <cellStyle name="Porcentaje 2 2 2 2 2 3 2" xfId="20266" xr:uid="{254E13D9-C6E2-4C2C-8D65-E934B69C8FAC}"/>
    <cellStyle name="Porcentaje 2 2 2 2 2 4" xfId="18898" xr:uid="{6FD8B1C1-3FBA-401C-BCCB-912BDA7089E9}"/>
    <cellStyle name="Porcentaje 2 2 2 2 3" xfId="10112" xr:uid="{00000000-0005-0000-0000-0000B5130000}"/>
    <cellStyle name="Porcentaje 2 2 2 2 3 2" xfId="11848" xr:uid="{00000000-0005-0000-0000-0000B6130000}"/>
    <cellStyle name="Porcentaje 2 2 2 2 3 2 2" xfId="20604" xr:uid="{07BBB270-C4B0-42B5-B240-45D1DCA63662}"/>
    <cellStyle name="Porcentaje 2 2 2 2 3 3" xfId="19241" xr:uid="{DB48DF00-429F-4589-8C2C-A0C4516F4470}"/>
    <cellStyle name="Porcentaje 2 2 2 2 4" xfId="11084" xr:uid="{00000000-0005-0000-0000-0000B7130000}"/>
    <cellStyle name="Porcentaje 2 2 2 2 4 2" xfId="19989" xr:uid="{DCF94026-57E3-499F-8032-1A2159F0DA89}"/>
    <cellStyle name="Porcentaje 2 2 2 2 5" xfId="14566" xr:uid="{9E80531F-7269-4E06-88D2-61CBE2609A0A}"/>
    <cellStyle name="Porcentaje 2 2 2 2 6" xfId="18621" xr:uid="{A3B46EE8-CF54-4860-AEEC-92D41219DFD0}"/>
    <cellStyle name="Porcentaje 2 2 2 3" xfId="9605" xr:uid="{00000000-0005-0000-0000-0000B8130000}"/>
    <cellStyle name="Porcentaje 2 2 2 3 2" xfId="10307" xr:uid="{00000000-0005-0000-0000-0000B9130000}"/>
    <cellStyle name="Porcentaje 2 2 2 3 2 2" xfId="12042" xr:uid="{00000000-0005-0000-0000-0000BA130000}"/>
    <cellStyle name="Porcentaje 2 2 2 3 2 2 2" xfId="20791" xr:uid="{7D9E9539-48D4-4580-84B0-F87E0EA3178C}"/>
    <cellStyle name="Porcentaje 2 2 2 3 2 3" xfId="19428" xr:uid="{9638DA7C-5596-415E-8CB3-679FA077231C}"/>
    <cellStyle name="Porcentaje 2 2 2 3 3" xfId="11395" xr:uid="{00000000-0005-0000-0000-0000BB130000}"/>
    <cellStyle name="Porcentaje 2 2 2 3 3 2" xfId="20164" xr:uid="{EAECDA05-C51F-4878-B300-3B646A0A059F}"/>
    <cellStyle name="Porcentaje 2 2 2 3 4" xfId="18796" xr:uid="{C4660984-747C-44F9-8788-D0790D08DA88}"/>
    <cellStyle name="Porcentaje 2 2 2 4" xfId="10010" xr:uid="{00000000-0005-0000-0000-0000BC130000}"/>
    <cellStyle name="Porcentaje 2 2 2 4 2" xfId="11746" xr:uid="{00000000-0005-0000-0000-0000BD130000}"/>
    <cellStyle name="Porcentaje 2 2 2 4 2 2" xfId="20502" xr:uid="{FEAA843B-86F8-42FD-ADA5-54D2A53B02BE}"/>
    <cellStyle name="Porcentaje 2 2 2 4 3" xfId="19139" xr:uid="{4C360737-F240-4A5F-AAB3-110751943983}"/>
    <cellStyle name="Porcentaje 2 2 2 5" xfId="10564" xr:uid="{00000000-0005-0000-0000-0000BE130000}"/>
    <cellStyle name="Porcentaje 2 2 2 5 2" xfId="12299" xr:uid="{00000000-0005-0000-0000-0000BF130000}"/>
    <cellStyle name="Porcentaje 2 2 2 5 2 2" xfId="21045" xr:uid="{F301D1B8-CAB2-465F-A1B4-F7689D896DD8}"/>
    <cellStyle name="Porcentaje 2 2 2 5 3" xfId="19682" xr:uid="{99837FFD-9DD4-496B-9970-18F1476AD1E7}"/>
    <cellStyle name="Porcentaje 2 2 2 6" xfId="10973" xr:uid="{00000000-0005-0000-0000-0000C0130000}"/>
    <cellStyle name="Porcentaje 2 2 2 6 2" xfId="19887" xr:uid="{0286E1C9-BBC4-4348-9677-615BD218E64F}"/>
    <cellStyle name="Porcentaje 2 2 2 7" xfId="14565" xr:uid="{610B47EF-9934-4A41-92AB-910AEBE3F250}"/>
    <cellStyle name="Porcentaje 2 2 2 7 2" xfId="22702" xr:uid="{6F3CDFD6-B8B1-4AB6-A48F-F5F1A03865C2}"/>
    <cellStyle name="Porcentaje 2 2 2 8" xfId="18101" xr:uid="{86655198-3B03-4D91-A62B-1C06245BEFAB}"/>
    <cellStyle name="Porcentaje 2 2 2 8 2" xfId="24320" xr:uid="{9252BB96-AEE5-43D1-A01E-F5ABEEA4E5B1}"/>
    <cellStyle name="Porcentaje 2 2 2 9" xfId="18519" xr:uid="{434BCA36-A20A-4ADD-B949-54BDE13A0A9B}"/>
    <cellStyle name="Porcentaje 2 2 3" xfId="4222" xr:uid="{00000000-0005-0000-0000-0000C1130000}"/>
    <cellStyle name="Porcentaje 2 2 3 2" xfId="9657" xr:uid="{00000000-0005-0000-0000-0000C2130000}"/>
    <cellStyle name="Porcentaje 2 2 3 2 2" xfId="10358" xr:uid="{00000000-0005-0000-0000-0000C3130000}"/>
    <cellStyle name="Porcentaje 2 2 3 2 2 2" xfId="12093" xr:uid="{00000000-0005-0000-0000-0000C4130000}"/>
    <cellStyle name="Porcentaje 2 2 3 2 2 2 2" xfId="20842" xr:uid="{56A54E05-BF8B-4DF0-B9D4-8D650C4F5DA7}"/>
    <cellStyle name="Porcentaje 2 2 3 2 2 3" xfId="19479" xr:uid="{CD2512D9-9335-4BF2-8D4C-539A2C342602}"/>
    <cellStyle name="Porcentaje 2 2 3 2 3" xfId="11446" xr:uid="{00000000-0005-0000-0000-0000C5130000}"/>
    <cellStyle name="Porcentaje 2 2 3 2 3 2" xfId="20215" xr:uid="{6823524E-8A90-4522-A3D4-3C09A059A651}"/>
    <cellStyle name="Porcentaje 2 2 3 2 4" xfId="18847" xr:uid="{87E8350E-BCFA-478C-AD07-FF0DDD141B86}"/>
    <cellStyle name="Porcentaje 2 2 3 3" xfId="10061" xr:uid="{00000000-0005-0000-0000-0000C6130000}"/>
    <cellStyle name="Porcentaje 2 2 3 3 2" xfId="11797" xr:uid="{00000000-0005-0000-0000-0000C7130000}"/>
    <cellStyle name="Porcentaje 2 2 3 3 2 2" xfId="20553" xr:uid="{73667B3A-5B15-4412-B677-76D4F99338CF}"/>
    <cellStyle name="Porcentaje 2 2 3 3 3" xfId="19190" xr:uid="{85F77E6C-53E5-4CD3-8405-1139631C137B}"/>
    <cellStyle name="Porcentaje 2 2 3 4" xfId="11033" xr:uid="{00000000-0005-0000-0000-0000C8130000}"/>
    <cellStyle name="Porcentaje 2 2 3 4 2" xfId="19938" xr:uid="{9A6DBC97-B764-4F26-9D96-C37A94A60427}"/>
    <cellStyle name="Porcentaje 2 2 3 5" xfId="14567" xr:uid="{BF648DDA-8F54-4F0C-8A9B-ED8A598B840B}"/>
    <cellStyle name="Porcentaje 2 2 3 6" xfId="18570" xr:uid="{F6ECB7AC-7902-44F3-8D37-D20479662F02}"/>
    <cellStyle name="Porcentaje 2 2 4" xfId="7825" xr:uid="{00000000-0005-0000-0000-0000C9130000}"/>
    <cellStyle name="Porcentaje 2 2 4 2" xfId="14568" xr:uid="{E117A462-C6F9-4ECD-BAAE-1008BF8B3496}"/>
    <cellStyle name="Porcentaje 2 2 5" xfId="10551" xr:uid="{00000000-0005-0000-0000-0000CA130000}"/>
    <cellStyle name="Porcentaje 2 2 5 2" xfId="12286" xr:uid="{00000000-0005-0000-0000-0000CB130000}"/>
    <cellStyle name="Porcentaje 2 2 5 2 2" xfId="14761" xr:uid="{F9F02742-4B13-4FEA-9CA3-42F88474F895}"/>
    <cellStyle name="Porcentaje 2 2 5 2 3" xfId="21033" xr:uid="{F65D96E9-C60F-4395-A077-1C879936B4C6}"/>
    <cellStyle name="Porcentaje 2 2 5 3" xfId="14569" xr:uid="{594671A6-5195-4D59-9A7D-B10AB9AD2D5A}"/>
    <cellStyle name="Porcentaje 2 2 5 4" xfId="19670" xr:uid="{6BCB7700-F54E-4F4D-A355-98B809B35FCF}"/>
    <cellStyle name="Porcentaje 2 2 6" xfId="14564" xr:uid="{0EA3DADA-3A7D-4A8B-BBF1-BAFFE1EED67D}"/>
    <cellStyle name="Porcentaje 2 2 6 2" xfId="22701" xr:uid="{7BCB060F-958A-4C21-ACB7-EA7BC916A9DF}"/>
    <cellStyle name="Porcentaje 2 2 7" xfId="18100" xr:uid="{30ECD291-2B5B-4BE0-8EF4-5539B43AD2C2}"/>
    <cellStyle name="Porcentaje 2 2 7 2" xfId="24319" xr:uid="{8C6197C9-AFE2-4154-BB52-BCDC5DF5174A}"/>
    <cellStyle name="Porcentaje 2 20" xfId="1481" xr:uid="{00000000-0005-0000-0000-0000CC130000}"/>
    <cellStyle name="Porcentaje 2 20 2" xfId="7826" xr:uid="{00000000-0005-0000-0000-0000CD130000}"/>
    <cellStyle name="Porcentaje 2 21" xfId="1482" xr:uid="{00000000-0005-0000-0000-0000CE130000}"/>
    <cellStyle name="Porcentaje 2 21 2" xfId="7827" xr:uid="{00000000-0005-0000-0000-0000CF130000}"/>
    <cellStyle name="Porcentaje 2 22" xfId="1483" xr:uid="{00000000-0005-0000-0000-0000D0130000}"/>
    <cellStyle name="Porcentaje 2 22 2" xfId="7828" xr:uid="{00000000-0005-0000-0000-0000D1130000}"/>
    <cellStyle name="Porcentaje 2 23" xfId="1484" xr:uid="{00000000-0005-0000-0000-0000D2130000}"/>
    <cellStyle name="Porcentaje 2 23 2" xfId="7829" xr:uid="{00000000-0005-0000-0000-0000D3130000}"/>
    <cellStyle name="Porcentaje 2 24" xfId="4086" xr:uid="{00000000-0005-0000-0000-0000D4130000}"/>
    <cellStyle name="Porcentaje 2 24 2" xfId="9570" xr:uid="{00000000-0005-0000-0000-0000D5130000}"/>
    <cellStyle name="Porcentaje 2 24 2 2" xfId="10273" xr:uid="{00000000-0005-0000-0000-0000D6130000}"/>
    <cellStyle name="Porcentaje 2 24 2 2 2" xfId="12008" xr:uid="{00000000-0005-0000-0000-0000D7130000}"/>
    <cellStyle name="Porcentaje 2 24 2 2 2 2" xfId="20757" xr:uid="{9059A669-3564-492C-8049-7FB86AE6017A}"/>
    <cellStyle name="Porcentaje 2 24 2 2 3" xfId="19394" xr:uid="{6962A234-DCA0-410B-BD20-1E7DB14D498D}"/>
    <cellStyle name="Porcentaje 2 24 2 3" xfId="11361" xr:uid="{00000000-0005-0000-0000-0000D8130000}"/>
    <cellStyle name="Porcentaje 2 24 2 3 2" xfId="20130" xr:uid="{C4D03DE4-A2D4-4FBC-ACA1-C07F2C7664F3}"/>
    <cellStyle name="Porcentaje 2 24 2 4" xfId="18762" xr:uid="{B7248F19-714F-4EB8-BC2D-E848E863DBD5}"/>
    <cellStyle name="Porcentaje 2 24 3" xfId="9976" xr:uid="{00000000-0005-0000-0000-0000D9130000}"/>
    <cellStyle name="Porcentaje 2 24 3 2" xfId="11712" xr:uid="{00000000-0005-0000-0000-0000DA130000}"/>
    <cellStyle name="Porcentaje 2 24 3 2 2" xfId="20468" xr:uid="{6C45CBA3-8060-4DE6-9FD8-3834E266675F}"/>
    <cellStyle name="Porcentaje 2 24 3 3" xfId="19105" xr:uid="{2544CA69-BC86-4813-A22C-A823D07144A6}"/>
    <cellStyle name="Porcentaje 2 24 4" xfId="10935" xr:uid="{00000000-0005-0000-0000-0000DB130000}"/>
    <cellStyle name="Porcentaje 2 24 4 2" xfId="19853" xr:uid="{6E809FDB-6348-4BF9-9DCB-65997CB3B43C}"/>
    <cellStyle name="Porcentaje 2 24 5" xfId="18485" xr:uid="{B3AA38C3-91F6-464B-A24F-71155F1709D1}"/>
    <cellStyle name="Porcentaje 2 25" xfId="4188" xr:uid="{00000000-0005-0000-0000-0000DC130000}"/>
    <cellStyle name="Porcentaje 2 25 2" xfId="9623" xr:uid="{00000000-0005-0000-0000-0000DD130000}"/>
    <cellStyle name="Porcentaje 2 25 2 2" xfId="10324" xr:uid="{00000000-0005-0000-0000-0000DE130000}"/>
    <cellStyle name="Porcentaje 2 25 2 2 2" xfId="12059" xr:uid="{00000000-0005-0000-0000-0000DF130000}"/>
    <cellStyle name="Porcentaje 2 25 2 2 2 2" xfId="20808" xr:uid="{86A9ACFA-5C7E-4A13-A667-6AD929AF052E}"/>
    <cellStyle name="Porcentaje 2 25 2 2 3" xfId="19445" xr:uid="{9C25B61D-7E26-49E9-82DC-CC5513F0DBDC}"/>
    <cellStyle name="Porcentaje 2 25 2 3" xfId="11412" xr:uid="{00000000-0005-0000-0000-0000E0130000}"/>
    <cellStyle name="Porcentaje 2 25 2 3 2" xfId="20181" xr:uid="{FCC90B85-0232-4C94-845C-76512BA26A37}"/>
    <cellStyle name="Porcentaje 2 25 2 4" xfId="18813" xr:uid="{E60020B8-754E-4A04-86AB-876CD1B3D921}"/>
    <cellStyle name="Porcentaje 2 25 3" xfId="10027" xr:uid="{00000000-0005-0000-0000-0000E1130000}"/>
    <cellStyle name="Porcentaje 2 25 3 2" xfId="11763" xr:uid="{00000000-0005-0000-0000-0000E2130000}"/>
    <cellStyle name="Porcentaje 2 25 3 2 2" xfId="20519" xr:uid="{27BB7405-C8A4-4233-B202-C7E699AC70E3}"/>
    <cellStyle name="Porcentaje 2 25 3 3" xfId="19156" xr:uid="{D1E3C2C6-AB4D-475B-82B0-9E9242ADF579}"/>
    <cellStyle name="Porcentaje 2 25 4" xfId="10999" xr:uid="{00000000-0005-0000-0000-0000E3130000}"/>
    <cellStyle name="Porcentaje 2 25 4 2" xfId="19904" xr:uid="{2422A895-0059-4FB8-9640-7F9069345BA9}"/>
    <cellStyle name="Porcentaje 2 25 5" xfId="18536" xr:uid="{576B894B-CC6A-4AF0-8483-57A9BDDC2B62}"/>
    <cellStyle name="Porcentaje 2 26" xfId="4281" xr:uid="{00000000-0005-0000-0000-0000E4130000}"/>
    <cellStyle name="Porcentaje 2 27" xfId="1470" xr:uid="{00000000-0005-0000-0000-0000E5130000}"/>
    <cellStyle name="Porcentaje 2 28" xfId="10657" xr:uid="{00000000-0005-0000-0000-0000E6130000}"/>
    <cellStyle name="Porcentaje 2 28 2" xfId="19751" xr:uid="{573CCB4D-BECE-4B62-A8B7-1574C6C3670B}"/>
    <cellStyle name="Porcentaje 2 29" xfId="18382" xr:uid="{B22CEE97-4D5B-444C-B21A-B8061AB4CB57}"/>
    <cellStyle name="Porcentaje 2 3" xfId="1485" xr:uid="{00000000-0005-0000-0000-0000E7130000}"/>
    <cellStyle name="Porcentaje 2 3 2" xfId="4119" xr:uid="{00000000-0005-0000-0000-0000E8130000}"/>
    <cellStyle name="Porcentaje 2 3 2 2" xfId="4255" xr:uid="{00000000-0005-0000-0000-0000E9130000}"/>
    <cellStyle name="Porcentaje 2 3 2 2 2" xfId="9690" xr:uid="{00000000-0005-0000-0000-0000EA130000}"/>
    <cellStyle name="Porcentaje 2 3 2 2 2 2" xfId="10391" xr:uid="{00000000-0005-0000-0000-0000EB130000}"/>
    <cellStyle name="Porcentaje 2 3 2 2 2 2 2" xfId="12126" xr:uid="{00000000-0005-0000-0000-0000EC130000}"/>
    <cellStyle name="Porcentaje 2 3 2 2 2 2 2 2" xfId="20875" xr:uid="{BE7AF950-4A71-4D57-B600-ADD5C5C74403}"/>
    <cellStyle name="Porcentaje 2 3 2 2 2 2 3" xfId="19512" xr:uid="{3BD06383-9F25-4ABB-B360-4E7B4BC7E1E4}"/>
    <cellStyle name="Porcentaje 2 3 2 2 2 3" xfId="11479" xr:uid="{00000000-0005-0000-0000-0000ED130000}"/>
    <cellStyle name="Porcentaje 2 3 2 2 2 3 2" xfId="20248" xr:uid="{29195CD1-BAE2-4E32-81BF-28EEEA900E89}"/>
    <cellStyle name="Porcentaje 2 3 2 2 2 4" xfId="18880" xr:uid="{B84B7CF1-66AE-4D4D-844C-CB2ACB8E5F94}"/>
    <cellStyle name="Porcentaje 2 3 2 2 3" xfId="10094" xr:uid="{00000000-0005-0000-0000-0000EE130000}"/>
    <cellStyle name="Porcentaje 2 3 2 2 3 2" xfId="11830" xr:uid="{00000000-0005-0000-0000-0000EF130000}"/>
    <cellStyle name="Porcentaje 2 3 2 2 3 2 2" xfId="20586" xr:uid="{9C53DA62-7067-45BB-8B95-3709E340C38C}"/>
    <cellStyle name="Porcentaje 2 3 2 2 3 3" xfId="19223" xr:uid="{F2C96871-DFAB-4E4A-BF15-3AF93A64C38D}"/>
    <cellStyle name="Porcentaje 2 3 2 2 4" xfId="11066" xr:uid="{00000000-0005-0000-0000-0000F0130000}"/>
    <cellStyle name="Porcentaje 2 3 2 2 4 2" xfId="19971" xr:uid="{5CE1C228-CC3A-4B4B-B7FF-675D30871B57}"/>
    <cellStyle name="Porcentaje 2 3 2 2 5" xfId="18603" xr:uid="{29A3AB2D-785B-42E6-847E-23D9F6EA7B02}"/>
    <cellStyle name="Porcentaje 2 3 2 3" xfId="9586" xr:uid="{00000000-0005-0000-0000-0000F1130000}"/>
    <cellStyle name="Porcentaje 2 3 2 3 2" xfId="10289" xr:uid="{00000000-0005-0000-0000-0000F2130000}"/>
    <cellStyle name="Porcentaje 2 3 2 3 2 2" xfId="12024" xr:uid="{00000000-0005-0000-0000-0000F3130000}"/>
    <cellStyle name="Porcentaje 2 3 2 3 2 2 2" xfId="20773" xr:uid="{F5FF6AC2-D648-4C6D-8595-A8A776B60F0F}"/>
    <cellStyle name="Porcentaje 2 3 2 3 2 3" xfId="19410" xr:uid="{F9C3DF7B-2CB5-4CFC-9321-3BEA59C94C56}"/>
    <cellStyle name="Porcentaje 2 3 2 3 3" xfId="11377" xr:uid="{00000000-0005-0000-0000-0000F4130000}"/>
    <cellStyle name="Porcentaje 2 3 2 3 3 2" xfId="20146" xr:uid="{8C170FC7-DDAB-454E-8068-F524E21BC493}"/>
    <cellStyle name="Porcentaje 2 3 2 3 4" xfId="18778" xr:uid="{5F1A819B-4DFA-412A-88F0-3F391ED9F822}"/>
    <cellStyle name="Porcentaje 2 3 2 4" xfId="9992" xr:uid="{00000000-0005-0000-0000-0000F5130000}"/>
    <cellStyle name="Porcentaje 2 3 2 4 2" xfId="11728" xr:uid="{00000000-0005-0000-0000-0000F6130000}"/>
    <cellStyle name="Porcentaje 2 3 2 4 2 2" xfId="20484" xr:uid="{FDB13BB9-1C1F-4E52-8749-0B2CEEBBB721}"/>
    <cellStyle name="Porcentaje 2 3 2 4 3" xfId="19121" xr:uid="{ABA2259E-E8B8-414A-B052-55F2D2E7E309}"/>
    <cellStyle name="Porcentaje 2 3 2 5" xfId="10952" xr:uid="{00000000-0005-0000-0000-0000F7130000}"/>
    <cellStyle name="Porcentaje 2 3 2 5 2" xfId="19869" xr:uid="{19270DFF-B6AE-4AED-8346-509E12483611}"/>
    <cellStyle name="Porcentaje 2 3 2 6" xfId="14571" xr:uid="{A5618F20-9C9C-46E9-BD82-16A641DBE10F}"/>
    <cellStyle name="Porcentaje 2 3 2 7" xfId="18501" xr:uid="{E1C3F6A8-E6D4-4DE6-AD61-A153239C119B}"/>
    <cellStyle name="Porcentaje 2 3 3" xfId="4204" xr:uid="{00000000-0005-0000-0000-0000F8130000}"/>
    <cellStyle name="Porcentaje 2 3 3 2" xfId="9639" xr:uid="{00000000-0005-0000-0000-0000F9130000}"/>
    <cellStyle name="Porcentaje 2 3 3 2 2" xfId="10340" xr:uid="{00000000-0005-0000-0000-0000FA130000}"/>
    <cellStyle name="Porcentaje 2 3 3 2 2 2" xfId="12075" xr:uid="{00000000-0005-0000-0000-0000FB130000}"/>
    <cellStyle name="Porcentaje 2 3 3 2 2 2 2" xfId="20824" xr:uid="{197588BD-9573-40A7-BE57-91C7FDFF2AC4}"/>
    <cellStyle name="Porcentaje 2 3 3 2 2 3" xfId="19461" xr:uid="{45937195-EC23-4F27-B8DF-CD8D2AB32924}"/>
    <cellStyle name="Porcentaje 2 3 3 2 3" xfId="11428" xr:uid="{00000000-0005-0000-0000-0000FC130000}"/>
    <cellStyle name="Porcentaje 2 3 3 2 3 2" xfId="20197" xr:uid="{A554A40C-4EB3-4033-B92F-70BB65EC7065}"/>
    <cellStyle name="Porcentaje 2 3 3 2 4" xfId="18829" xr:uid="{8B90992F-E4A2-410B-B3D0-3413DA8FB509}"/>
    <cellStyle name="Porcentaje 2 3 3 3" xfId="10043" xr:uid="{00000000-0005-0000-0000-0000FD130000}"/>
    <cellStyle name="Porcentaje 2 3 3 3 2" xfId="11779" xr:uid="{00000000-0005-0000-0000-0000FE130000}"/>
    <cellStyle name="Porcentaje 2 3 3 3 2 2" xfId="20535" xr:uid="{31B0A32E-EB32-4A55-B1DC-40364488DE86}"/>
    <cellStyle name="Porcentaje 2 3 3 3 3" xfId="19172" xr:uid="{021CB565-AC4B-4B2D-8E01-AE81D785D815}"/>
    <cellStyle name="Porcentaje 2 3 3 4" xfId="11015" xr:uid="{00000000-0005-0000-0000-0000FF130000}"/>
    <cellStyle name="Porcentaje 2 3 3 4 2" xfId="19920" xr:uid="{9338D6B4-FC45-4102-A5B4-E6ACEAF03D6A}"/>
    <cellStyle name="Porcentaje 2 3 3 5" xfId="18552" xr:uid="{05AF9784-F57A-4775-9C15-26F76C758898}"/>
    <cellStyle name="Porcentaje 2 3 4" xfId="7830" xr:uid="{00000000-0005-0000-0000-000000140000}"/>
    <cellStyle name="Porcentaje 2 3 5" xfId="10562" xr:uid="{00000000-0005-0000-0000-000001140000}"/>
    <cellStyle name="Porcentaje 2 3 5 2" xfId="12297" xr:uid="{00000000-0005-0000-0000-000002140000}"/>
    <cellStyle name="Porcentaje 2 3 5 2 2" xfId="21043" xr:uid="{9A1C1BBD-CED4-4FE5-9375-F9E5B8D6AEC5}"/>
    <cellStyle name="Porcentaje 2 3 5 3" xfId="19680" xr:uid="{214ED316-858F-42E9-B5D6-6D5C5DB48717}"/>
    <cellStyle name="Porcentaje 2 3 6" xfId="14570" xr:uid="{01EFB418-EEDE-47F7-8EAE-882341246815}"/>
    <cellStyle name="Porcentaje 2 3 6 2" xfId="22703" xr:uid="{E36394DF-EB71-40FC-B1B0-74498CB187F7}"/>
    <cellStyle name="Porcentaje 2 3 7" xfId="18102" xr:uid="{08D8E462-B552-4C0B-B5D0-4192F681A0B4}"/>
    <cellStyle name="Porcentaje 2 3 7 2" xfId="24321" xr:uid="{BB96E6FB-B2E7-470A-9FD8-8AF982CD77DE}"/>
    <cellStyle name="Porcentaje 2 4" xfId="1486" xr:uid="{00000000-0005-0000-0000-000003140000}"/>
    <cellStyle name="Porcentaje 2 4 2" xfId="4239" xr:uid="{00000000-0005-0000-0000-000004140000}"/>
    <cellStyle name="Porcentaje 2 4 2 2" xfId="9674" xr:uid="{00000000-0005-0000-0000-000005140000}"/>
    <cellStyle name="Porcentaje 2 4 2 2 2" xfId="10375" xr:uid="{00000000-0005-0000-0000-000006140000}"/>
    <cellStyle name="Porcentaje 2 4 2 2 2 2" xfId="12110" xr:uid="{00000000-0005-0000-0000-000007140000}"/>
    <cellStyle name="Porcentaje 2 4 2 2 2 2 2" xfId="20859" xr:uid="{5470A283-E46F-4FE3-AF5A-979F353B6B3F}"/>
    <cellStyle name="Porcentaje 2 4 2 2 2 3" xfId="19496" xr:uid="{D44D84B5-71BD-431C-B1AE-EFD6D39A5784}"/>
    <cellStyle name="Porcentaje 2 4 2 2 3" xfId="11463" xr:uid="{00000000-0005-0000-0000-000008140000}"/>
    <cellStyle name="Porcentaje 2 4 2 2 3 2" xfId="20232" xr:uid="{EC299339-8581-41A8-8EDD-DFB89981971A}"/>
    <cellStyle name="Porcentaje 2 4 2 2 4" xfId="18864" xr:uid="{D0137E8F-16CF-4D25-A1CA-1B60DE2AAC94}"/>
    <cellStyle name="Porcentaje 2 4 2 3" xfId="10078" xr:uid="{00000000-0005-0000-0000-000009140000}"/>
    <cellStyle name="Porcentaje 2 4 2 3 2" xfId="11814" xr:uid="{00000000-0005-0000-0000-00000A140000}"/>
    <cellStyle name="Porcentaje 2 4 2 3 2 2" xfId="20570" xr:uid="{03B1DC80-5281-4B0F-9D7C-923434E8F784}"/>
    <cellStyle name="Porcentaje 2 4 2 3 3" xfId="19207" xr:uid="{708C5624-CB0B-43F3-8E68-6F116264A7D8}"/>
    <cellStyle name="Porcentaje 2 4 2 4" xfId="11050" xr:uid="{00000000-0005-0000-0000-00000B140000}"/>
    <cellStyle name="Porcentaje 2 4 2 4 2" xfId="19955" xr:uid="{5C7B6776-01C8-449E-9D39-4A52B5F1AAE3}"/>
    <cellStyle name="Porcentaje 2 4 2 5" xfId="14572" xr:uid="{D84CFB72-B1FA-4EA5-925F-3FEAE0ECDD32}"/>
    <cellStyle name="Porcentaje 2 4 2 6" xfId="18587" xr:uid="{52175B34-E97B-4CF2-BA92-57764B2804B5}"/>
    <cellStyle name="Porcentaje 2 4 3" xfId="7831" xr:uid="{00000000-0005-0000-0000-00000C140000}"/>
    <cellStyle name="Porcentaje 2 5" xfId="1487" xr:uid="{00000000-0005-0000-0000-00000D140000}"/>
    <cellStyle name="Porcentaje 2 5 2" xfId="7832" xr:uid="{00000000-0005-0000-0000-00000E140000}"/>
    <cellStyle name="Porcentaje 2 5 2 2" xfId="14573" xr:uid="{C776864A-6577-4500-92DC-9162BD5D96CF}"/>
    <cellStyle name="Porcentaje 2 5 3" xfId="14574" xr:uid="{16211169-CC4A-487D-8F3B-575C1E83CFB5}"/>
    <cellStyle name="Porcentaje 2 5 4" xfId="14762" xr:uid="{588EE67C-BFF8-426E-B3A7-156DADCB30D8}"/>
    <cellStyle name="Porcentaje 2 6" xfId="1488" xr:uid="{00000000-0005-0000-0000-00000F140000}"/>
    <cellStyle name="Porcentaje 2 6 2" xfId="7833" xr:uid="{00000000-0005-0000-0000-000010140000}"/>
    <cellStyle name="Porcentaje 2 6 2 2" xfId="14575" xr:uid="{772E7D2B-EA0F-4046-9136-890784776E96}"/>
    <cellStyle name="Porcentaje 2 6 3" xfId="14576" xr:uid="{AF353BC4-6AD3-4F81-A62C-9EAF7D03B910}"/>
    <cellStyle name="Porcentaje 2 6 4" xfId="14763" xr:uid="{688A6A50-A37A-416B-956A-F1C78C69684D}"/>
    <cellStyle name="Porcentaje 2 7" xfId="1489" xr:uid="{00000000-0005-0000-0000-000011140000}"/>
    <cellStyle name="Porcentaje 2 7 2" xfId="7834" xr:uid="{00000000-0005-0000-0000-000012140000}"/>
    <cellStyle name="Porcentaje 2 8" xfId="1490" xr:uid="{00000000-0005-0000-0000-000013140000}"/>
    <cellStyle name="Porcentaje 2 8 2" xfId="7835" xr:uid="{00000000-0005-0000-0000-000014140000}"/>
    <cellStyle name="Porcentaje 2 9" xfId="1491" xr:uid="{00000000-0005-0000-0000-000015140000}"/>
    <cellStyle name="Porcentaje 2 9 2" xfId="7836" xr:uid="{00000000-0005-0000-0000-000016140000}"/>
    <cellStyle name="Porcentaje 20" xfId="1492" xr:uid="{00000000-0005-0000-0000-000017140000}"/>
    <cellStyle name="Porcentaje 21" xfId="1493" xr:uid="{00000000-0005-0000-0000-000018140000}"/>
    <cellStyle name="Porcentaje 22" xfId="1494" xr:uid="{00000000-0005-0000-0000-000019140000}"/>
    <cellStyle name="Porcentaje 23" xfId="1495" xr:uid="{00000000-0005-0000-0000-00001A140000}"/>
    <cellStyle name="Porcentaje 24" xfId="4276" xr:uid="{00000000-0005-0000-0000-00001B140000}"/>
    <cellStyle name="Porcentaje 24 2" xfId="9710" xr:uid="{00000000-0005-0000-0000-00001C140000}"/>
    <cellStyle name="Porcentaje 24 2 2" xfId="10411" xr:uid="{00000000-0005-0000-0000-00001D140000}"/>
    <cellStyle name="Porcentaje 24 2 2 2" xfId="12146" xr:uid="{00000000-0005-0000-0000-00001E140000}"/>
    <cellStyle name="Porcentaje 24 2 2 2 2" xfId="20895" xr:uid="{8FE4AC65-35EA-4A12-B45A-1A249FA7E6EC}"/>
    <cellStyle name="Porcentaje 24 2 2 3" xfId="19532" xr:uid="{86563852-7EC0-485C-A057-DB95CD629AEA}"/>
    <cellStyle name="Porcentaje 24 2 3" xfId="11499" xr:uid="{00000000-0005-0000-0000-00001F140000}"/>
    <cellStyle name="Porcentaje 24 2 3 2" xfId="20268" xr:uid="{F0E4B829-9FEE-4EE3-975B-914375E852ED}"/>
    <cellStyle name="Porcentaje 24 2 4" xfId="18900" xr:uid="{18C6533F-5619-4B1A-B10B-16A1CCF07723}"/>
    <cellStyle name="Porcentaje 24 3" xfId="10114" xr:uid="{00000000-0005-0000-0000-000020140000}"/>
    <cellStyle name="Porcentaje 24 3 2" xfId="11850" xr:uid="{00000000-0005-0000-0000-000021140000}"/>
    <cellStyle name="Porcentaje 24 3 2 2" xfId="20606" xr:uid="{C64D5019-9457-41E0-BEC9-4679355B3FC4}"/>
    <cellStyle name="Porcentaje 24 3 3" xfId="19243" xr:uid="{B696E148-65BC-462A-8ACD-234DEE6F9BD3}"/>
    <cellStyle name="Porcentaje 24 4" xfId="11087" xr:uid="{00000000-0005-0000-0000-000022140000}"/>
    <cellStyle name="Porcentaje 24 4 2" xfId="19991" xr:uid="{AD1A1C2F-E9AE-4A75-B268-E5B87A1BC7B8}"/>
    <cellStyle name="Porcentaje 24 5" xfId="18623" xr:uid="{8AFFCE2B-2686-43D3-A8A0-57C674E21813}"/>
    <cellStyle name="Porcentaje 25" xfId="4294" xr:uid="{00000000-0005-0000-0000-000023140000}"/>
    <cellStyle name="Porcentaje 25 2" xfId="9720" xr:uid="{00000000-0005-0000-0000-000024140000}"/>
    <cellStyle name="Porcentaje 25 2 2" xfId="10420" xr:uid="{00000000-0005-0000-0000-000025140000}"/>
    <cellStyle name="Porcentaje 25 2 2 2" xfId="12155" xr:uid="{00000000-0005-0000-0000-000026140000}"/>
    <cellStyle name="Porcentaje 25 2 2 2 2" xfId="20904" xr:uid="{997F99F3-EB97-48E3-A150-9330A922FEA3}"/>
    <cellStyle name="Porcentaje 25 2 2 3" xfId="19541" xr:uid="{B1E1BD48-988C-4158-ACB6-33C6D286F30D}"/>
    <cellStyle name="Porcentaje 25 2 3" xfId="11508" xr:uid="{00000000-0005-0000-0000-000027140000}"/>
    <cellStyle name="Porcentaje 25 2 3 2" xfId="20277" xr:uid="{50370323-40EB-4458-8D39-AB142C2E3023}"/>
    <cellStyle name="Porcentaje 25 2 4" xfId="18909" xr:uid="{459774AB-BB64-427D-AF8A-30FF8C5DD08D}"/>
    <cellStyle name="Porcentaje 25 3" xfId="10123" xr:uid="{00000000-0005-0000-0000-000028140000}"/>
    <cellStyle name="Porcentaje 25 3 2" xfId="11859" xr:uid="{00000000-0005-0000-0000-000029140000}"/>
    <cellStyle name="Porcentaje 25 3 2 2" xfId="20615" xr:uid="{B7775B0A-FDCF-4831-88B9-6612BD0595C5}"/>
    <cellStyle name="Porcentaje 25 3 3" xfId="19252" xr:uid="{52489179-8C32-4C12-BB55-E75FE9780851}"/>
    <cellStyle name="Porcentaje 25 4" xfId="11103" xr:uid="{00000000-0005-0000-0000-00002A140000}"/>
    <cellStyle name="Porcentaje 25 4 2" xfId="20000" xr:uid="{21CED514-C675-4E76-903E-E94E52A6E2C5}"/>
    <cellStyle name="Porcentaje 25 5" xfId="18632" xr:uid="{995CE4BB-CF65-42D1-851E-D7886406255C}"/>
    <cellStyle name="Porcentaje 26" xfId="7837" xr:uid="{00000000-0005-0000-0000-00002B140000}"/>
    <cellStyle name="Porcentaje 27" xfId="9840" xr:uid="{00000000-0005-0000-0000-00002C140000}"/>
    <cellStyle name="Porcentaje 27 2" xfId="11626" xr:uid="{00000000-0005-0000-0000-00002D140000}"/>
    <cellStyle name="Porcentaje 28" xfId="9843" xr:uid="{00000000-0005-0000-0000-00002E140000}"/>
    <cellStyle name="Porcentaje 28 2" xfId="11628" xr:uid="{00000000-0005-0000-0000-00002F140000}"/>
    <cellStyle name="Porcentaje 28 2 2" xfId="20395" xr:uid="{7DEFFB13-E51C-4773-9201-83F03D8A6B04}"/>
    <cellStyle name="Porcentaje 28 3" xfId="19027" xr:uid="{4A4AB0E6-0494-452D-93F3-1DB3B11919B1}"/>
    <cellStyle name="Porcentaje 29" xfId="9861" xr:uid="{00000000-0005-0000-0000-000030140000}"/>
    <cellStyle name="Porcentaje 29 2" xfId="11646" xr:uid="{00000000-0005-0000-0000-000031140000}"/>
    <cellStyle name="Porcentaje 29 2 2" xfId="20413" xr:uid="{D224FA0F-D9C5-4B5E-BAE8-D20520B712BE}"/>
    <cellStyle name="Porcentaje 29 3" xfId="19045" xr:uid="{0E57EC55-76CA-4D36-B6E4-BE880E47ECAF}"/>
    <cellStyle name="Porcentaje 3" xfId="113" xr:uid="{00000000-0005-0000-0000-000032140000}"/>
    <cellStyle name="Porcentaje 3 2" xfId="4121" xr:uid="{00000000-0005-0000-0000-000033140000}"/>
    <cellStyle name="Porcentaje 3 2 2" xfId="4257" xr:uid="{00000000-0005-0000-0000-000034140000}"/>
    <cellStyle name="Porcentaje 3 2 2 2" xfId="9692" xr:uid="{00000000-0005-0000-0000-000035140000}"/>
    <cellStyle name="Porcentaje 3 2 2 2 2" xfId="10393" xr:uid="{00000000-0005-0000-0000-000036140000}"/>
    <cellStyle name="Porcentaje 3 2 2 2 2 2" xfId="12128" xr:uid="{00000000-0005-0000-0000-000037140000}"/>
    <cellStyle name="Porcentaje 3 2 2 2 2 2 2" xfId="20877" xr:uid="{3F94ED94-F8A9-4E57-B899-30C665868621}"/>
    <cellStyle name="Porcentaje 3 2 2 2 2 3" xfId="19514" xr:uid="{19F60BF7-06BE-4A96-B2C7-699F49998414}"/>
    <cellStyle name="Porcentaje 3 2 2 2 3" xfId="11481" xr:uid="{00000000-0005-0000-0000-000038140000}"/>
    <cellStyle name="Porcentaje 3 2 2 2 3 2" xfId="20250" xr:uid="{A78D7C29-0938-41B7-92E1-46150A7947F8}"/>
    <cellStyle name="Porcentaje 3 2 2 2 4" xfId="18882" xr:uid="{82527E4D-8432-4466-BE25-273841724DC2}"/>
    <cellStyle name="Porcentaje 3 2 2 3" xfId="10096" xr:uid="{00000000-0005-0000-0000-000039140000}"/>
    <cellStyle name="Porcentaje 3 2 2 3 2" xfId="11832" xr:uid="{00000000-0005-0000-0000-00003A140000}"/>
    <cellStyle name="Porcentaje 3 2 2 3 2 2" xfId="20588" xr:uid="{D86A5CB0-209B-4399-85E8-A0B205424A9F}"/>
    <cellStyle name="Porcentaje 3 2 2 3 3" xfId="19225" xr:uid="{E5ABFED1-F7EE-4963-9A0A-DAD2D6FC92D4}"/>
    <cellStyle name="Porcentaje 3 2 2 4" xfId="11068" xr:uid="{00000000-0005-0000-0000-00003B140000}"/>
    <cellStyle name="Porcentaje 3 2 2 4 2" xfId="19973" xr:uid="{782463C1-BD11-4DFC-B3EC-C02F78999730}"/>
    <cellStyle name="Porcentaje 3 2 2 5" xfId="14579" xr:uid="{6FB87D29-6A2C-487F-92E6-F77516C98048}"/>
    <cellStyle name="Porcentaje 3 2 2 6" xfId="18605" xr:uid="{09E947FA-2A22-4EB5-BE4C-DE873CC4EDE4}"/>
    <cellStyle name="Porcentaje 3 2 3" xfId="9588" xr:uid="{00000000-0005-0000-0000-00003C140000}"/>
    <cellStyle name="Porcentaje 3 2 3 2" xfId="10291" xr:uid="{00000000-0005-0000-0000-00003D140000}"/>
    <cellStyle name="Porcentaje 3 2 3 2 2" xfId="12026" xr:uid="{00000000-0005-0000-0000-00003E140000}"/>
    <cellStyle name="Porcentaje 3 2 3 2 2 2" xfId="20775" xr:uid="{F5DA8964-CEDF-47EC-BA25-CCB2158097EC}"/>
    <cellStyle name="Porcentaje 3 2 3 2 3" xfId="19412" xr:uid="{AADE7325-1B01-4301-9DE6-8668DFE46907}"/>
    <cellStyle name="Porcentaje 3 2 3 3" xfId="11379" xr:uid="{00000000-0005-0000-0000-00003F140000}"/>
    <cellStyle name="Porcentaje 3 2 3 3 2" xfId="20148" xr:uid="{BE972E02-4780-4DA2-8B9B-A56CE39812AD}"/>
    <cellStyle name="Porcentaje 3 2 3 4" xfId="14711" xr:uid="{B59F7F7B-6094-4BB4-B90F-9BFF2D5CBF1D}"/>
    <cellStyle name="Porcentaje 3 2 3 5" xfId="18780" xr:uid="{F740D0B6-CFF4-45CF-8E09-C34A14B13CB6}"/>
    <cellStyle name="Porcentaje 3 2 4" xfId="9994" xr:uid="{00000000-0005-0000-0000-000040140000}"/>
    <cellStyle name="Porcentaje 3 2 4 2" xfId="11730" xr:uid="{00000000-0005-0000-0000-000041140000}"/>
    <cellStyle name="Porcentaje 3 2 4 2 2" xfId="20486" xr:uid="{28C406AB-C7F7-4036-B7D2-EB1E3B8D53DE}"/>
    <cellStyle name="Porcentaje 3 2 4 3" xfId="19123" xr:uid="{69A0046C-FA37-463F-9EB6-2E6B0C285CD7}"/>
    <cellStyle name="Porcentaje 3 2 5" xfId="10954" xr:uid="{00000000-0005-0000-0000-000042140000}"/>
    <cellStyle name="Porcentaje 3 2 5 2" xfId="19871" xr:uid="{2C76E270-64CB-4F98-8CE6-216800738365}"/>
    <cellStyle name="Porcentaje 3 2 6" xfId="14578" xr:uid="{0C2C9029-0718-470F-8D7D-A0B95CA42B4A}"/>
    <cellStyle name="Porcentaje 3 2 7" xfId="18503" xr:uid="{47C49A6B-64DF-4FFD-AD7A-8DCB12EC825E}"/>
    <cellStyle name="Porcentaje 3 3" xfId="4206" xr:uid="{00000000-0005-0000-0000-000043140000}"/>
    <cellStyle name="Porcentaje 3 3 2" xfId="9641" xr:uid="{00000000-0005-0000-0000-000044140000}"/>
    <cellStyle name="Porcentaje 3 3 2 2" xfId="10342" xr:uid="{00000000-0005-0000-0000-000045140000}"/>
    <cellStyle name="Porcentaje 3 3 2 2 2" xfId="12077" xr:uid="{00000000-0005-0000-0000-000046140000}"/>
    <cellStyle name="Porcentaje 3 3 2 2 2 2" xfId="20826" xr:uid="{E95F039C-906B-4DB7-9E71-ABB806A86550}"/>
    <cellStyle name="Porcentaje 3 3 2 2 3" xfId="19463" xr:uid="{9C7D2CC8-CB7A-4415-8FC0-5C0C5E3B45C5}"/>
    <cellStyle name="Porcentaje 3 3 2 3" xfId="11430" xr:uid="{00000000-0005-0000-0000-000047140000}"/>
    <cellStyle name="Porcentaje 3 3 2 3 2" xfId="20199" xr:uid="{0830D48B-7EB9-4C74-BEC0-1F15349ECCAE}"/>
    <cellStyle name="Porcentaje 3 3 2 4" xfId="18831" xr:uid="{F21EF09C-92BD-4A0F-B0A9-3195691C494B}"/>
    <cellStyle name="Porcentaje 3 3 3" xfId="10045" xr:uid="{00000000-0005-0000-0000-000048140000}"/>
    <cellStyle name="Porcentaje 3 3 3 2" xfId="11781" xr:uid="{00000000-0005-0000-0000-000049140000}"/>
    <cellStyle name="Porcentaje 3 3 3 2 2" xfId="20537" xr:uid="{3B3457A7-606C-4089-85A8-0BF47DB19440}"/>
    <cellStyle name="Porcentaje 3 3 3 3" xfId="19174" xr:uid="{5A5CA41F-D183-4EE3-B3A2-469553475C7E}"/>
    <cellStyle name="Porcentaje 3 3 4" xfId="11017" xr:uid="{00000000-0005-0000-0000-00004A140000}"/>
    <cellStyle name="Porcentaje 3 3 4 2" xfId="19922" xr:uid="{AAA473F7-05E6-478F-B6AA-617AA2EBC433}"/>
    <cellStyle name="Porcentaje 3 3 5" xfId="18554" xr:uid="{F1BD417F-AB6F-4D01-B075-36068FB23C8D}"/>
    <cellStyle name="Porcentaje 3 4" xfId="4311" xr:uid="{00000000-0005-0000-0000-00004B140000}"/>
    <cellStyle name="Porcentaje 3 4 2" xfId="9728" xr:uid="{00000000-0005-0000-0000-00004C140000}"/>
    <cellStyle name="Porcentaje 3 4 2 2" xfId="10428" xr:uid="{00000000-0005-0000-0000-00004D140000}"/>
    <cellStyle name="Porcentaje 3 4 2 2 2" xfId="12163" xr:uid="{00000000-0005-0000-0000-00004E140000}"/>
    <cellStyle name="Porcentaje 3 4 2 2 2 2" xfId="20912" xr:uid="{2AB4F407-D72D-4B7F-8FF6-3B4CA8E771BA}"/>
    <cellStyle name="Porcentaje 3 4 2 2 3" xfId="19549" xr:uid="{170FD362-1B40-4CB9-9B9F-CA8B0461C096}"/>
    <cellStyle name="Porcentaje 3 4 2 3" xfId="11516" xr:uid="{00000000-0005-0000-0000-00004F140000}"/>
    <cellStyle name="Porcentaje 3 4 2 3 2" xfId="20285" xr:uid="{957EF18F-2FA7-430D-813C-9A9C575E1914}"/>
    <cellStyle name="Porcentaje 3 4 2 4" xfId="18917" xr:uid="{286D4B1D-102C-45E5-9FFA-777074120245}"/>
    <cellStyle name="Porcentaje 3 4 3" xfId="10131" xr:uid="{00000000-0005-0000-0000-000050140000}"/>
    <cellStyle name="Porcentaje 3 4 3 2" xfId="11867" xr:uid="{00000000-0005-0000-0000-000051140000}"/>
    <cellStyle name="Porcentaje 3 4 3 2 2" xfId="20623" xr:uid="{BF06969E-0752-4DAD-AF53-A8A7AF01DD1F}"/>
    <cellStyle name="Porcentaje 3 4 3 3" xfId="19260" xr:uid="{B634FCE2-01C8-4D7C-A501-366A1BE1C234}"/>
    <cellStyle name="Porcentaje 3 4 4" xfId="11119" xr:uid="{00000000-0005-0000-0000-000052140000}"/>
    <cellStyle name="Porcentaje 3 4 4 2" xfId="20008" xr:uid="{2C5225D0-E66E-40BB-976E-ACA10CEEE52A}"/>
    <cellStyle name="Porcentaje 3 4 5" xfId="18640" xr:uid="{6D14CD6F-C04B-4D37-93F1-F98058FC8FAC}"/>
    <cellStyle name="Porcentaje 3 5" xfId="1496" xr:uid="{00000000-0005-0000-0000-000053140000}"/>
    <cellStyle name="Porcentaje 3 6" xfId="9934" xr:uid="{00000000-0005-0000-0000-000054140000}"/>
    <cellStyle name="Porcentaje 3 7" xfId="10658" xr:uid="{00000000-0005-0000-0000-000055140000}"/>
    <cellStyle name="Porcentaje 3 7 2" xfId="19752" xr:uid="{02DC8E07-EE4C-4F9A-9168-6D6E4DDBDDD6}"/>
    <cellStyle name="Porcentaje 3 8" xfId="14577" xr:uid="{C11FC161-40DA-4D38-8FE2-732D3CCE4D7F}"/>
    <cellStyle name="Porcentaje 3 9" xfId="18383" xr:uid="{CCDDB8A1-AA17-439D-B21C-F65A5CDD2C5E}"/>
    <cellStyle name="Porcentaje 30" xfId="9864" xr:uid="{00000000-0005-0000-0000-000056140000}"/>
    <cellStyle name="Porcentaje 30 2" xfId="11648" xr:uid="{00000000-0005-0000-0000-000057140000}"/>
    <cellStyle name="Porcentaje 30 2 2" xfId="20415" xr:uid="{F2BCBEDB-1654-4A55-9EF0-AD7D1748770E}"/>
    <cellStyle name="Porcentaje 30 3" xfId="19047" xr:uid="{70D178D9-6675-4530-BBD3-7D2F1A62BAB4}"/>
    <cellStyle name="Porcentaje 31" xfId="10632" xr:uid="{00000000-0005-0000-0000-000058140000}"/>
    <cellStyle name="Porcentaje 32" xfId="10618" xr:uid="{00000000-0005-0000-0000-000059140000}"/>
    <cellStyle name="Porcentaje 32 2" xfId="19726" xr:uid="{72A2E6BF-7860-4BB5-BDF0-D4A0E2E69A79}"/>
    <cellStyle name="Porcentaje 33" xfId="12393" xr:uid="{00000000-0005-0000-0000-00005A140000}"/>
    <cellStyle name="Porcentaje 33 2" xfId="21132" xr:uid="{0EFFCEF3-14B2-4F21-A369-9BF30F6DDE38}"/>
    <cellStyle name="Porcentaje 34" xfId="12403" xr:uid="{F4D72112-4C67-4893-BE03-B4B6EA79AA81}"/>
    <cellStyle name="Porcentaje 34 2" xfId="21139" xr:uid="{22FBF46C-BEBC-43D0-9A62-F864B66B504D}"/>
    <cellStyle name="Porcentaje 35" xfId="14774" xr:uid="{E4E9A41A-DEE4-4F77-879A-20BC9A327A56}"/>
    <cellStyle name="Porcentaje 35 2" xfId="22770" xr:uid="{094B47E2-A4C2-4B02-A968-1E8EDD03DBF0}"/>
    <cellStyle name="Porcentaje 36" xfId="18151" xr:uid="{4D11AAF6-9FEC-4F42-B953-27C7254EB904}"/>
    <cellStyle name="Porcentaje 36 2" xfId="24357" xr:uid="{8432E8A8-9C43-46B9-8F91-866222DB820A}"/>
    <cellStyle name="Porcentaje 37" xfId="18287" xr:uid="{E14004F5-467C-4BF0-89C3-B90C46DA8487}"/>
    <cellStyle name="Porcentaje 37 2" xfId="24433" xr:uid="{D0338D7F-C7AC-4EC5-9CFA-53EABF32FDCA}"/>
    <cellStyle name="Porcentaje 4" xfId="127" xr:uid="{00000000-0005-0000-0000-00005B140000}"/>
    <cellStyle name="Porcentaje 4 2" xfId="4127" xr:uid="{00000000-0005-0000-0000-00005C140000}"/>
    <cellStyle name="Porcentaje 4 2 2" xfId="9938" xr:uid="{00000000-0005-0000-0000-00005D140000}"/>
    <cellStyle name="Porcentaje 4 2 2 2" xfId="11674" xr:uid="{00000000-0005-0000-0000-00005E140000}"/>
    <cellStyle name="Porcentaje 4 2 2 2 2" xfId="20436" xr:uid="{2DC00885-F060-448C-804D-1385490D8065}"/>
    <cellStyle name="Porcentaje 4 2 2 3" xfId="19073" xr:uid="{E837E1E6-6593-4F46-88ED-3F6CE8F5B0E6}"/>
    <cellStyle name="Porcentaje 4 2 3" xfId="10569" xr:uid="{00000000-0005-0000-0000-00005F140000}"/>
    <cellStyle name="Porcentaje 4 2 3 2" xfId="12304" xr:uid="{00000000-0005-0000-0000-000060140000}"/>
    <cellStyle name="Porcentaje 4 2 3 2 2" xfId="21050" xr:uid="{B20184CC-5796-4628-B5D1-F66E293FAFA5}"/>
    <cellStyle name="Porcentaje 4 2 3 3" xfId="19687" xr:uid="{97813B2D-F400-49CF-8BD9-FFD9801108E4}"/>
    <cellStyle name="Porcentaje 4 2 4" xfId="14581" xr:uid="{D40E1591-6618-44A7-B035-2F1567FA9066}"/>
    <cellStyle name="Porcentaje 4 2 4 2" xfId="22705" xr:uid="{FD48A18B-278A-4EFA-A362-673C4BD24F06}"/>
    <cellStyle name="Porcentaje 4 2 5" xfId="18105" xr:uid="{4ED72410-C9BF-4E04-84A2-B3EB9A61765E}"/>
    <cellStyle name="Porcentaje 4 2 5 2" xfId="24324" xr:uid="{45D63CBE-577D-46A5-ADFB-2E7D6532838E}"/>
    <cellStyle name="Porcentaje 4 3" xfId="4329" xr:uid="{00000000-0005-0000-0000-000061140000}"/>
    <cellStyle name="Porcentaje 4 3 2" xfId="9740" xr:uid="{00000000-0005-0000-0000-000062140000}"/>
    <cellStyle name="Porcentaje 4 3 2 2" xfId="10439" xr:uid="{00000000-0005-0000-0000-000063140000}"/>
    <cellStyle name="Porcentaje 4 3 2 2 2" xfId="12174" xr:uid="{00000000-0005-0000-0000-000064140000}"/>
    <cellStyle name="Porcentaje 4 3 2 2 2 2" xfId="20923" xr:uid="{ED4BBBBA-1DAB-4990-B457-7AC35978F584}"/>
    <cellStyle name="Porcentaje 4 3 2 2 3" xfId="19560" xr:uid="{B27D123D-BFF9-41B1-A74C-E16F72EB6477}"/>
    <cellStyle name="Porcentaje 4 3 2 3" xfId="11527" xr:uid="{00000000-0005-0000-0000-000065140000}"/>
    <cellStyle name="Porcentaje 4 3 2 3 2" xfId="20296" xr:uid="{57DC909C-5328-4339-8128-8ACCE1D2D2BD}"/>
    <cellStyle name="Porcentaje 4 3 2 4" xfId="18928" xr:uid="{6CB7368B-D7ED-4F94-9C1D-E683F04B945D}"/>
    <cellStyle name="Porcentaje 4 3 3" xfId="10142" xr:uid="{00000000-0005-0000-0000-000066140000}"/>
    <cellStyle name="Porcentaje 4 3 3 2" xfId="11878" xr:uid="{00000000-0005-0000-0000-000067140000}"/>
    <cellStyle name="Porcentaje 4 3 3 2 2" xfId="20634" xr:uid="{14529C6B-0C12-4690-A63F-6697971781E3}"/>
    <cellStyle name="Porcentaje 4 3 3 3" xfId="19271" xr:uid="{97E41C8D-EAA0-4A16-A12D-60A79B28157C}"/>
    <cellStyle name="Porcentaje 4 3 4" xfId="11135" xr:uid="{00000000-0005-0000-0000-000068140000}"/>
    <cellStyle name="Porcentaje 4 3 4 2" xfId="20019" xr:uid="{11A2B944-094E-47D8-B3D2-E7E9D03DE16C}"/>
    <cellStyle name="Porcentaje 4 3 5" xfId="18651" xr:uid="{A3B5118F-6300-4983-AD51-B03C9AF7649E}"/>
    <cellStyle name="Porcentaje 4 4" xfId="1497" xr:uid="{00000000-0005-0000-0000-000069140000}"/>
    <cellStyle name="Porcentaje 4 5" xfId="10555" xr:uid="{00000000-0005-0000-0000-00006A140000}"/>
    <cellStyle name="Porcentaje 4 5 2" xfId="12290" xr:uid="{00000000-0005-0000-0000-00006B140000}"/>
    <cellStyle name="Porcentaje 4 5 2 2" xfId="21037" xr:uid="{6234CD6F-D251-4535-8208-4E0F7D791DCA}"/>
    <cellStyle name="Porcentaje 4 5 3" xfId="19674" xr:uid="{F0D2CB4E-B980-41C3-86F7-07D85F590B9C}"/>
    <cellStyle name="Porcentaje 4 6" xfId="14580" xr:uid="{D01BD3C5-F5C5-4440-B2C1-68CC2F38DA50}"/>
    <cellStyle name="Porcentaje 4 6 2" xfId="22704" xr:uid="{6CD7FD30-B887-4257-9949-1FB06735B76F}"/>
    <cellStyle name="Porcentaje 4 7" xfId="18104" xr:uid="{2B3A754F-3C3E-4367-9F18-2FF0AA31B2C9}"/>
    <cellStyle name="Porcentaje 4 7 2" xfId="24323" xr:uid="{EA835D4D-21AA-46D3-A5A6-769D9A2886B6}"/>
    <cellStyle name="Porcentaje 5" xfId="1498" xr:uid="{00000000-0005-0000-0000-00006C140000}"/>
    <cellStyle name="Porcentaje 5 2" xfId="4054" xr:uid="{00000000-0005-0000-0000-00006D140000}"/>
    <cellStyle name="Porcentaje 6" xfId="1499" xr:uid="{00000000-0005-0000-0000-00006E140000}"/>
    <cellStyle name="Porcentaje 6 2" xfId="4173" xr:uid="{00000000-0005-0000-0000-00006F140000}"/>
    <cellStyle name="Porcentaje 6 3" xfId="14582" xr:uid="{72931D52-8B53-446C-BB4B-DB4359191916}"/>
    <cellStyle name="Porcentaje 6 3 2" xfId="22706" xr:uid="{1D233B72-1379-4E90-BA66-739FA287373B}"/>
    <cellStyle name="Porcentaje 6 4" xfId="18106" xr:uid="{0F89467A-6A34-40EA-B55F-5D5644AE90B5}"/>
    <cellStyle name="Porcentaje 6 4 2" xfId="24325" xr:uid="{D527FF37-018F-4951-B889-614AAABA73D2}"/>
    <cellStyle name="Porcentaje 7" xfId="1500" xr:uid="{00000000-0005-0000-0000-000070140000}"/>
    <cellStyle name="Porcentaje 7 2" xfId="14707" xr:uid="{523515EC-D41C-4889-B6AE-FE8AF886B9F8}"/>
    <cellStyle name="Porcentaje 8" xfId="1501" xr:uid="{00000000-0005-0000-0000-000071140000}"/>
    <cellStyle name="Porcentaje 9" xfId="1502" xr:uid="{00000000-0005-0000-0000-000072140000}"/>
    <cellStyle name="Porcentual 10" xfId="1503" xr:uid="{00000000-0005-0000-0000-000073140000}"/>
    <cellStyle name="Porcentual 10 10" xfId="1504" xr:uid="{00000000-0005-0000-0000-000074140000}"/>
    <cellStyle name="Porcentual 10 10 2" xfId="1505" xr:uid="{00000000-0005-0000-0000-000075140000}"/>
    <cellStyle name="Porcentual 10 10 2 2" xfId="7840" xr:uid="{00000000-0005-0000-0000-000076140000}"/>
    <cellStyle name="Porcentual 10 10 3" xfId="7839" xr:uid="{00000000-0005-0000-0000-000077140000}"/>
    <cellStyle name="Porcentual 10 11" xfId="1506" xr:uid="{00000000-0005-0000-0000-000078140000}"/>
    <cellStyle name="Porcentual 10 11 2" xfId="5162" xr:uid="{00000000-0005-0000-0000-000079140000}"/>
    <cellStyle name="Porcentual 10 11 3" xfId="7841" xr:uid="{00000000-0005-0000-0000-00007A140000}"/>
    <cellStyle name="Porcentual 10 12" xfId="1507" xr:uid="{00000000-0005-0000-0000-00007B140000}"/>
    <cellStyle name="Porcentual 10 12 2" xfId="5163" xr:uid="{00000000-0005-0000-0000-00007C140000}"/>
    <cellStyle name="Porcentual 10 12 3" xfId="7842" xr:uid="{00000000-0005-0000-0000-00007D140000}"/>
    <cellStyle name="Porcentual 10 13" xfId="1508" xr:uid="{00000000-0005-0000-0000-00007E140000}"/>
    <cellStyle name="Porcentual 10 13 2" xfId="5164" xr:uid="{00000000-0005-0000-0000-00007F140000}"/>
    <cellStyle name="Porcentual 10 13 3" xfId="7843" xr:uid="{00000000-0005-0000-0000-000080140000}"/>
    <cellStyle name="Porcentual 10 14" xfId="1509" xr:uid="{00000000-0005-0000-0000-000081140000}"/>
    <cellStyle name="Porcentual 10 14 2" xfId="5165" xr:uid="{00000000-0005-0000-0000-000082140000}"/>
    <cellStyle name="Porcentual 10 14 3" xfId="7844" xr:uid="{00000000-0005-0000-0000-000083140000}"/>
    <cellStyle name="Porcentual 10 15" xfId="1510" xr:uid="{00000000-0005-0000-0000-000084140000}"/>
    <cellStyle name="Porcentual 10 15 2" xfId="5166" xr:uid="{00000000-0005-0000-0000-000085140000}"/>
    <cellStyle name="Porcentual 10 15 3" xfId="7845" xr:uid="{00000000-0005-0000-0000-000086140000}"/>
    <cellStyle name="Porcentual 10 16" xfId="1511" xr:uid="{00000000-0005-0000-0000-000087140000}"/>
    <cellStyle name="Porcentual 10 16 2" xfId="5167" xr:uid="{00000000-0005-0000-0000-000088140000}"/>
    <cellStyle name="Porcentual 10 16 3" xfId="7846" xr:uid="{00000000-0005-0000-0000-000089140000}"/>
    <cellStyle name="Porcentual 10 17" xfId="1512" xr:uid="{00000000-0005-0000-0000-00008A140000}"/>
    <cellStyle name="Porcentual 10 17 2" xfId="5168" xr:uid="{00000000-0005-0000-0000-00008B140000}"/>
    <cellStyle name="Porcentual 10 17 3" xfId="7847" xr:uid="{00000000-0005-0000-0000-00008C140000}"/>
    <cellStyle name="Porcentual 10 18" xfId="1513" xr:uid="{00000000-0005-0000-0000-00008D140000}"/>
    <cellStyle name="Porcentual 10 18 2" xfId="5169" xr:uid="{00000000-0005-0000-0000-00008E140000}"/>
    <cellStyle name="Porcentual 10 18 3" xfId="7848" xr:uid="{00000000-0005-0000-0000-00008F140000}"/>
    <cellStyle name="Porcentual 10 19" xfId="1514" xr:uid="{00000000-0005-0000-0000-000090140000}"/>
    <cellStyle name="Porcentual 10 19 2" xfId="5170" xr:uid="{00000000-0005-0000-0000-000091140000}"/>
    <cellStyle name="Porcentual 10 19 3" xfId="7849" xr:uid="{00000000-0005-0000-0000-000092140000}"/>
    <cellStyle name="Porcentual 10 2" xfId="1515" xr:uid="{00000000-0005-0000-0000-000093140000}"/>
    <cellStyle name="Porcentual 10 2 2" xfId="5171" xr:uid="{00000000-0005-0000-0000-000094140000}"/>
    <cellStyle name="Porcentual 10 2 3" xfId="7850" xr:uid="{00000000-0005-0000-0000-000095140000}"/>
    <cellStyle name="Porcentual 10 20" xfId="1516" xr:uid="{00000000-0005-0000-0000-000096140000}"/>
    <cellStyle name="Porcentual 10 20 2" xfId="5172" xr:uid="{00000000-0005-0000-0000-000097140000}"/>
    <cellStyle name="Porcentual 10 20 3" xfId="7851" xr:uid="{00000000-0005-0000-0000-000098140000}"/>
    <cellStyle name="Porcentual 10 21" xfId="1517" xr:uid="{00000000-0005-0000-0000-000099140000}"/>
    <cellStyle name="Porcentual 10 21 2" xfId="5173" xr:uid="{00000000-0005-0000-0000-00009A140000}"/>
    <cellStyle name="Porcentual 10 21 3" xfId="7852" xr:uid="{00000000-0005-0000-0000-00009B140000}"/>
    <cellStyle name="Porcentual 10 22" xfId="1518" xr:uid="{00000000-0005-0000-0000-00009C140000}"/>
    <cellStyle name="Porcentual 10 22 2" xfId="5174" xr:uid="{00000000-0005-0000-0000-00009D140000}"/>
    <cellStyle name="Porcentual 10 22 3" xfId="7853" xr:uid="{00000000-0005-0000-0000-00009E140000}"/>
    <cellStyle name="Porcentual 10 23" xfId="1519" xr:uid="{00000000-0005-0000-0000-00009F140000}"/>
    <cellStyle name="Porcentual 10 23 2" xfId="5175" xr:uid="{00000000-0005-0000-0000-0000A0140000}"/>
    <cellStyle name="Porcentual 10 23 3" xfId="7854" xr:uid="{00000000-0005-0000-0000-0000A1140000}"/>
    <cellStyle name="Porcentual 10 24" xfId="1520" xr:uid="{00000000-0005-0000-0000-0000A2140000}"/>
    <cellStyle name="Porcentual 10 24 2" xfId="5176" xr:uid="{00000000-0005-0000-0000-0000A3140000}"/>
    <cellStyle name="Porcentual 10 24 3" xfId="7855" xr:uid="{00000000-0005-0000-0000-0000A4140000}"/>
    <cellStyle name="Porcentual 10 25" xfId="1521" xr:uid="{00000000-0005-0000-0000-0000A5140000}"/>
    <cellStyle name="Porcentual 10 25 2" xfId="5177" xr:uid="{00000000-0005-0000-0000-0000A6140000}"/>
    <cellStyle name="Porcentual 10 25 3" xfId="7856" xr:uid="{00000000-0005-0000-0000-0000A7140000}"/>
    <cellStyle name="Porcentual 10 26" xfId="1522" xr:uid="{00000000-0005-0000-0000-0000A8140000}"/>
    <cellStyle name="Porcentual 10 26 2" xfId="5178" xr:uid="{00000000-0005-0000-0000-0000A9140000}"/>
    <cellStyle name="Porcentual 10 26 3" xfId="7857" xr:uid="{00000000-0005-0000-0000-0000AA140000}"/>
    <cellStyle name="Porcentual 10 27" xfId="1523" xr:uid="{00000000-0005-0000-0000-0000AB140000}"/>
    <cellStyle name="Porcentual 10 27 2" xfId="5179" xr:uid="{00000000-0005-0000-0000-0000AC140000}"/>
    <cellStyle name="Porcentual 10 27 3" xfId="7858" xr:uid="{00000000-0005-0000-0000-0000AD140000}"/>
    <cellStyle name="Porcentual 10 28" xfId="1524" xr:uid="{00000000-0005-0000-0000-0000AE140000}"/>
    <cellStyle name="Porcentual 10 28 2" xfId="5180" xr:uid="{00000000-0005-0000-0000-0000AF140000}"/>
    <cellStyle name="Porcentual 10 28 3" xfId="7859" xr:uid="{00000000-0005-0000-0000-0000B0140000}"/>
    <cellStyle name="Porcentual 10 29" xfId="5181" xr:uid="{00000000-0005-0000-0000-0000B1140000}"/>
    <cellStyle name="Porcentual 10 29 2" xfId="9768" xr:uid="{00000000-0005-0000-0000-0000B2140000}"/>
    <cellStyle name="Porcentual 10 29 2 2" xfId="10466" xr:uid="{00000000-0005-0000-0000-0000B3140000}"/>
    <cellStyle name="Porcentual 10 29 2 2 2" xfId="12201" xr:uid="{00000000-0005-0000-0000-0000B4140000}"/>
    <cellStyle name="Porcentual 10 29 2 2 2 2" xfId="20950" xr:uid="{2375C11D-E382-4C76-8D0A-E30B56FC16E8}"/>
    <cellStyle name="Porcentual 10 29 2 2 3" xfId="19587" xr:uid="{48EE4F52-B817-4DBB-821F-4E57CA2387EB}"/>
    <cellStyle name="Porcentual 10 29 2 3" xfId="11554" xr:uid="{00000000-0005-0000-0000-0000B5140000}"/>
    <cellStyle name="Porcentual 10 29 2 3 2" xfId="20323" xr:uid="{F51DFF37-A780-49D2-8CC7-31CF85EEEC35}"/>
    <cellStyle name="Porcentual 10 29 2 4" xfId="18955" xr:uid="{13E910CF-C47A-4F32-A188-EF761C2C767F}"/>
    <cellStyle name="Porcentual 10 29 3" xfId="10175" xr:uid="{00000000-0005-0000-0000-0000B6140000}"/>
    <cellStyle name="Porcentual 10 29 3 2" xfId="11911" xr:uid="{00000000-0005-0000-0000-0000B7140000}"/>
    <cellStyle name="Porcentual 10 29 3 2 2" xfId="20665" xr:uid="{EA795260-E9FD-48F3-936C-CCFBC94237DD}"/>
    <cellStyle name="Porcentual 10 29 3 3" xfId="19302" xr:uid="{09E69667-F7C0-46AF-8CED-D1E59F651269}"/>
    <cellStyle name="Porcentual 10 29 4" xfId="11189" xr:uid="{00000000-0005-0000-0000-0000B8140000}"/>
    <cellStyle name="Porcentual 10 29 4 2" xfId="20046" xr:uid="{FCCDD439-1F8B-4EA9-940B-07D36FE344E3}"/>
    <cellStyle name="Porcentual 10 29 5" xfId="18678" xr:uid="{0BC2DCB9-77C7-4E5A-A63B-1F81EC3672E4}"/>
    <cellStyle name="Porcentual 10 3" xfId="1525" xr:uid="{00000000-0005-0000-0000-0000B9140000}"/>
    <cellStyle name="Porcentual 10 3 2" xfId="5182" xr:uid="{00000000-0005-0000-0000-0000BA140000}"/>
    <cellStyle name="Porcentual 10 3 3" xfId="7860" xr:uid="{00000000-0005-0000-0000-0000BB140000}"/>
    <cellStyle name="Porcentual 10 30" xfId="5183" xr:uid="{00000000-0005-0000-0000-0000BC140000}"/>
    <cellStyle name="Porcentual 10 30 2" xfId="9769" xr:uid="{00000000-0005-0000-0000-0000BD140000}"/>
    <cellStyle name="Porcentual 10 30 2 2" xfId="10467" xr:uid="{00000000-0005-0000-0000-0000BE140000}"/>
    <cellStyle name="Porcentual 10 30 2 2 2" xfId="12202" xr:uid="{00000000-0005-0000-0000-0000BF140000}"/>
    <cellStyle name="Porcentual 10 30 2 2 2 2" xfId="20951" xr:uid="{639B27A6-3C2E-44F0-A477-4351E8DA413C}"/>
    <cellStyle name="Porcentual 10 30 2 2 3" xfId="19588" xr:uid="{36AE13E8-FC87-4434-8CC0-9CAE99B1C5D5}"/>
    <cellStyle name="Porcentual 10 30 2 3" xfId="11555" xr:uid="{00000000-0005-0000-0000-0000C0140000}"/>
    <cellStyle name="Porcentual 10 30 2 3 2" xfId="20324" xr:uid="{DDB5E736-546C-4850-A675-3CC0F1051D6D}"/>
    <cellStyle name="Porcentual 10 30 2 4" xfId="18956" xr:uid="{59824AC1-8011-44DE-BF82-1525AA215057}"/>
    <cellStyle name="Porcentual 10 30 3" xfId="10176" xr:uid="{00000000-0005-0000-0000-0000C1140000}"/>
    <cellStyle name="Porcentual 10 30 3 2" xfId="11912" xr:uid="{00000000-0005-0000-0000-0000C2140000}"/>
    <cellStyle name="Porcentual 10 30 3 2 2" xfId="20666" xr:uid="{ACD7741A-015C-4892-A455-0309BABEAE12}"/>
    <cellStyle name="Porcentual 10 30 3 3" xfId="19303" xr:uid="{ADAB6C4F-3C31-43F9-B09F-E6798B8A34E7}"/>
    <cellStyle name="Porcentual 10 30 4" xfId="11190" xr:uid="{00000000-0005-0000-0000-0000C3140000}"/>
    <cellStyle name="Porcentual 10 30 4 2" xfId="20047" xr:uid="{68611010-4238-480F-935C-2282311B3F17}"/>
    <cellStyle name="Porcentual 10 30 5" xfId="18679" xr:uid="{B6D349FD-D727-4268-8F38-9F69502139A0}"/>
    <cellStyle name="Porcentual 10 31" xfId="7838" xr:uid="{00000000-0005-0000-0000-0000C4140000}"/>
    <cellStyle name="Porcentual 10 4" xfId="1526" xr:uid="{00000000-0005-0000-0000-0000C5140000}"/>
    <cellStyle name="Porcentual 10 4 2" xfId="5184" xr:uid="{00000000-0005-0000-0000-0000C6140000}"/>
    <cellStyle name="Porcentual 10 4 3" xfId="7861" xr:uid="{00000000-0005-0000-0000-0000C7140000}"/>
    <cellStyle name="Porcentual 10 5" xfId="1527" xr:uid="{00000000-0005-0000-0000-0000C8140000}"/>
    <cellStyle name="Porcentual 10 5 2" xfId="5185" xr:uid="{00000000-0005-0000-0000-0000C9140000}"/>
    <cellStyle name="Porcentual 10 5 3" xfId="7862" xr:uid="{00000000-0005-0000-0000-0000CA140000}"/>
    <cellStyle name="Porcentual 10 6" xfId="1528" xr:uid="{00000000-0005-0000-0000-0000CB140000}"/>
    <cellStyle name="Porcentual 10 6 2" xfId="5186" xr:uid="{00000000-0005-0000-0000-0000CC140000}"/>
    <cellStyle name="Porcentual 10 6 3" xfId="7863" xr:uid="{00000000-0005-0000-0000-0000CD140000}"/>
    <cellStyle name="Porcentual 10 7" xfId="1529" xr:uid="{00000000-0005-0000-0000-0000CE140000}"/>
    <cellStyle name="Porcentual 10 7 2" xfId="5187" xr:uid="{00000000-0005-0000-0000-0000CF140000}"/>
    <cellStyle name="Porcentual 10 7 3" xfId="7864" xr:uid="{00000000-0005-0000-0000-0000D0140000}"/>
    <cellStyle name="Porcentual 10 8" xfId="1530" xr:uid="{00000000-0005-0000-0000-0000D1140000}"/>
    <cellStyle name="Porcentual 10 8 2" xfId="5188" xr:uid="{00000000-0005-0000-0000-0000D2140000}"/>
    <cellStyle name="Porcentual 10 8 3" xfId="7865" xr:uid="{00000000-0005-0000-0000-0000D3140000}"/>
    <cellStyle name="Porcentual 10 9" xfId="1531" xr:uid="{00000000-0005-0000-0000-0000D4140000}"/>
    <cellStyle name="Porcentual 10 9 2" xfId="5189" xr:uid="{00000000-0005-0000-0000-0000D5140000}"/>
    <cellStyle name="Porcentual 10 9 3" xfId="7866" xr:uid="{00000000-0005-0000-0000-0000D6140000}"/>
    <cellStyle name="Porcentual 104 10" xfId="1532" xr:uid="{00000000-0005-0000-0000-0000D7140000}"/>
    <cellStyle name="Porcentual 104 10 2" xfId="5190" xr:uid="{00000000-0005-0000-0000-0000D8140000}"/>
    <cellStyle name="Porcentual 104 10 3" xfId="7867" xr:uid="{00000000-0005-0000-0000-0000D9140000}"/>
    <cellStyle name="Porcentual 104 11" xfId="1533" xr:uid="{00000000-0005-0000-0000-0000DA140000}"/>
    <cellStyle name="Porcentual 104 11 2" xfId="5191" xr:uid="{00000000-0005-0000-0000-0000DB140000}"/>
    <cellStyle name="Porcentual 104 11 3" xfId="7868" xr:uid="{00000000-0005-0000-0000-0000DC140000}"/>
    <cellStyle name="Porcentual 104 12" xfId="1534" xr:uid="{00000000-0005-0000-0000-0000DD140000}"/>
    <cellStyle name="Porcentual 104 12 2" xfId="5192" xr:uid="{00000000-0005-0000-0000-0000DE140000}"/>
    <cellStyle name="Porcentual 104 12 3" xfId="7869" xr:uid="{00000000-0005-0000-0000-0000DF140000}"/>
    <cellStyle name="Porcentual 104 13" xfId="1535" xr:uid="{00000000-0005-0000-0000-0000E0140000}"/>
    <cellStyle name="Porcentual 104 13 2" xfId="5193" xr:uid="{00000000-0005-0000-0000-0000E1140000}"/>
    <cellStyle name="Porcentual 104 13 3" xfId="7870" xr:uid="{00000000-0005-0000-0000-0000E2140000}"/>
    <cellStyle name="Porcentual 104 14" xfId="1536" xr:uid="{00000000-0005-0000-0000-0000E3140000}"/>
    <cellStyle name="Porcentual 104 14 2" xfId="5194" xr:uid="{00000000-0005-0000-0000-0000E4140000}"/>
    <cellStyle name="Porcentual 104 14 3" xfId="7871" xr:uid="{00000000-0005-0000-0000-0000E5140000}"/>
    <cellStyle name="Porcentual 104 15" xfId="1537" xr:uid="{00000000-0005-0000-0000-0000E6140000}"/>
    <cellStyle name="Porcentual 104 15 2" xfId="5195" xr:uid="{00000000-0005-0000-0000-0000E7140000}"/>
    <cellStyle name="Porcentual 104 15 3" xfId="7872" xr:uid="{00000000-0005-0000-0000-0000E8140000}"/>
    <cellStyle name="Porcentual 104 16" xfId="1538" xr:uid="{00000000-0005-0000-0000-0000E9140000}"/>
    <cellStyle name="Porcentual 104 16 2" xfId="5196" xr:uid="{00000000-0005-0000-0000-0000EA140000}"/>
    <cellStyle name="Porcentual 104 16 3" xfId="7873" xr:uid="{00000000-0005-0000-0000-0000EB140000}"/>
    <cellStyle name="Porcentual 104 17" xfId="1539" xr:uid="{00000000-0005-0000-0000-0000EC140000}"/>
    <cellStyle name="Porcentual 104 17 2" xfId="5197" xr:uid="{00000000-0005-0000-0000-0000ED140000}"/>
    <cellStyle name="Porcentual 104 17 3" xfId="7874" xr:uid="{00000000-0005-0000-0000-0000EE140000}"/>
    <cellStyle name="Porcentual 104 18" xfId="1540" xr:uid="{00000000-0005-0000-0000-0000EF140000}"/>
    <cellStyle name="Porcentual 104 18 2" xfId="5198" xr:uid="{00000000-0005-0000-0000-0000F0140000}"/>
    <cellStyle name="Porcentual 104 18 3" xfId="7875" xr:uid="{00000000-0005-0000-0000-0000F1140000}"/>
    <cellStyle name="Porcentual 104 19" xfId="1541" xr:uid="{00000000-0005-0000-0000-0000F2140000}"/>
    <cellStyle name="Porcentual 104 19 2" xfId="5199" xr:uid="{00000000-0005-0000-0000-0000F3140000}"/>
    <cellStyle name="Porcentual 104 19 3" xfId="7876" xr:uid="{00000000-0005-0000-0000-0000F4140000}"/>
    <cellStyle name="Porcentual 104 2" xfId="1542" xr:uid="{00000000-0005-0000-0000-0000F5140000}"/>
    <cellStyle name="Porcentual 104 2 2" xfId="5200" xr:uid="{00000000-0005-0000-0000-0000F6140000}"/>
    <cellStyle name="Porcentual 104 2 3" xfId="7877" xr:uid="{00000000-0005-0000-0000-0000F7140000}"/>
    <cellStyle name="Porcentual 104 20" xfId="1543" xr:uid="{00000000-0005-0000-0000-0000F8140000}"/>
    <cellStyle name="Porcentual 104 20 2" xfId="5201" xr:uid="{00000000-0005-0000-0000-0000F9140000}"/>
    <cellStyle name="Porcentual 104 20 3" xfId="7878" xr:uid="{00000000-0005-0000-0000-0000FA140000}"/>
    <cellStyle name="Porcentual 104 21" xfId="1544" xr:uid="{00000000-0005-0000-0000-0000FB140000}"/>
    <cellStyle name="Porcentual 104 21 2" xfId="5202" xr:uid="{00000000-0005-0000-0000-0000FC140000}"/>
    <cellStyle name="Porcentual 104 21 3" xfId="7879" xr:uid="{00000000-0005-0000-0000-0000FD140000}"/>
    <cellStyle name="Porcentual 104 22" xfId="1545" xr:uid="{00000000-0005-0000-0000-0000FE140000}"/>
    <cellStyle name="Porcentual 104 22 2" xfId="5203" xr:uid="{00000000-0005-0000-0000-0000FF140000}"/>
    <cellStyle name="Porcentual 104 22 3" xfId="7880" xr:uid="{00000000-0005-0000-0000-000000150000}"/>
    <cellStyle name="Porcentual 104 23" xfId="1546" xr:uid="{00000000-0005-0000-0000-000001150000}"/>
    <cellStyle name="Porcentual 104 23 2" xfId="5204" xr:uid="{00000000-0005-0000-0000-000002150000}"/>
    <cellStyle name="Porcentual 104 23 3" xfId="7881" xr:uid="{00000000-0005-0000-0000-000003150000}"/>
    <cellStyle name="Porcentual 104 24" xfId="1547" xr:uid="{00000000-0005-0000-0000-000004150000}"/>
    <cellStyle name="Porcentual 104 24 2" xfId="5205" xr:uid="{00000000-0005-0000-0000-000005150000}"/>
    <cellStyle name="Porcentual 104 24 3" xfId="7882" xr:uid="{00000000-0005-0000-0000-000006150000}"/>
    <cellStyle name="Porcentual 104 25" xfId="1548" xr:uid="{00000000-0005-0000-0000-000007150000}"/>
    <cellStyle name="Porcentual 104 25 2" xfId="5206" xr:uid="{00000000-0005-0000-0000-000008150000}"/>
    <cellStyle name="Porcentual 104 25 3" xfId="7883" xr:uid="{00000000-0005-0000-0000-000009150000}"/>
    <cellStyle name="Porcentual 104 26" xfId="1549" xr:uid="{00000000-0005-0000-0000-00000A150000}"/>
    <cellStyle name="Porcentual 104 26 2" xfId="5207" xr:uid="{00000000-0005-0000-0000-00000B150000}"/>
    <cellStyle name="Porcentual 104 26 3" xfId="7884" xr:uid="{00000000-0005-0000-0000-00000C150000}"/>
    <cellStyle name="Porcentual 104 27" xfId="1550" xr:uid="{00000000-0005-0000-0000-00000D150000}"/>
    <cellStyle name="Porcentual 104 27 2" xfId="5208" xr:uid="{00000000-0005-0000-0000-00000E150000}"/>
    <cellStyle name="Porcentual 104 27 3" xfId="7885" xr:uid="{00000000-0005-0000-0000-00000F150000}"/>
    <cellStyle name="Porcentual 104 28" xfId="1551" xr:uid="{00000000-0005-0000-0000-000010150000}"/>
    <cellStyle name="Porcentual 104 28 2" xfId="5209" xr:uid="{00000000-0005-0000-0000-000011150000}"/>
    <cellStyle name="Porcentual 104 28 3" xfId="7886" xr:uid="{00000000-0005-0000-0000-000012150000}"/>
    <cellStyle name="Porcentual 104 3" xfId="1552" xr:uid="{00000000-0005-0000-0000-000013150000}"/>
    <cellStyle name="Porcentual 104 3 2" xfId="5210" xr:uid="{00000000-0005-0000-0000-000014150000}"/>
    <cellStyle name="Porcentual 104 3 3" xfId="7887" xr:uid="{00000000-0005-0000-0000-000015150000}"/>
    <cellStyle name="Porcentual 104 4" xfId="1553" xr:uid="{00000000-0005-0000-0000-000016150000}"/>
    <cellStyle name="Porcentual 104 4 2" xfId="5211" xr:uid="{00000000-0005-0000-0000-000017150000}"/>
    <cellStyle name="Porcentual 104 4 3" xfId="7888" xr:uid="{00000000-0005-0000-0000-000018150000}"/>
    <cellStyle name="Porcentual 104 5" xfId="1554" xr:uid="{00000000-0005-0000-0000-000019150000}"/>
    <cellStyle name="Porcentual 104 5 2" xfId="5212" xr:uid="{00000000-0005-0000-0000-00001A150000}"/>
    <cellStyle name="Porcentual 104 5 3" xfId="7889" xr:uid="{00000000-0005-0000-0000-00001B150000}"/>
    <cellStyle name="Porcentual 104 6" xfId="1555" xr:uid="{00000000-0005-0000-0000-00001C150000}"/>
    <cellStyle name="Porcentual 104 6 2" xfId="5213" xr:uid="{00000000-0005-0000-0000-00001D150000}"/>
    <cellStyle name="Porcentual 104 6 3" xfId="7890" xr:uid="{00000000-0005-0000-0000-00001E150000}"/>
    <cellStyle name="Porcentual 104 7" xfId="1556" xr:uid="{00000000-0005-0000-0000-00001F150000}"/>
    <cellStyle name="Porcentual 104 7 2" xfId="5214" xr:uid="{00000000-0005-0000-0000-000020150000}"/>
    <cellStyle name="Porcentual 104 7 3" xfId="7891" xr:uid="{00000000-0005-0000-0000-000021150000}"/>
    <cellStyle name="Porcentual 104 8" xfId="1557" xr:uid="{00000000-0005-0000-0000-000022150000}"/>
    <cellStyle name="Porcentual 104 8 2" xfId="5215" xr:uid="{00000000-0005-0000-0000-000023150000}"/>
    <cellStyle name="Porcentual 104 8 3" xfId="7892" xr:uid="{00000000-0005-0000-0000-000024150000}"/>
    <cellStyle name="Porcentual 104 9" xfId="1558" xr:uid="{00000000-0005-0000-0000-000025150000}"/>
    <cellStyle name="Porcentual 104 9 2" xfId="5216" xr:uid="{00000000-0005-0000-0000-000026150000}"/>
    <cellStyle name="Porcentual 104 9 3" xfId="7893" xr:uid="{00000000-0005-0000-0000-000027150000}"/>
    <cellStyle name="Porcentual 11" xfId="1559" xr:uid="{00000000-0005-0000-0000-000028150000}"/>
    <cellStyle name="Porcentual 11 2" xfId="5217" xr:uid="{00000000-0005-0000-0000-000029150000}"/>
    <cellStyle name="Porcentual 11 2 2" xfId="9770" xr:uid="{00000000-0005-0000-0000-00002A150000}"/>
    <cellStyle name="Porcentual 11 2 2 2" xfId="10468" xr:uid="{00000000-0005-0000-0000-00002B150000}"/>
    <cellStyle name="Porcentual 11 2 2 2 2" xfId="12203" xr:uid="{00000000-0005-0000-0000-00002C150000}"/>
    <cellStyle name="Porcentual 11 2 2 2 2 2" xfId="20952" xr:uid="{4342F3C4-E17B-4959-90D5-B252D269E89C}"/>
    <cellStyle name="Porcentual 11 2 2 2 3" xfId="19589" xr:uid="{B7945476-1BE3-4CDD-B0AA-80AF6D14E8F3}"/>
    <cellStyle name="Porcentual 11 2 2 3" xfId="11556" xr:uid="{00000000-0005-0000-0000-00002D150000}"/>
    <cellStyle name="Porcentual 11 2 2 3 2" xfId="20325" xr:uid="{010086D5-5267-48E1-AB59-1DA69E77512C}"/>
    <cellStyle name="Porcentual 11 2 2 4" xfId="18957" xr:uid="{E563EE5D-6F1F-4556-AB30-01BE4CEEFB96}"/>
    <cellStyle name="Porcentual 11 2 3" xfId="10177" xr:uid="{00000000-0005-0000-0000-00002E150000}"/>
    <cellStyle name="Porcentual 11 2 3 2" xfId="11913" xr:uid="{00000000-0005-0000-0000-00002F150000}"/>
    <cellStyle name="Porcentual 11 2 3 2 2" xfId="20667" xr:uid="{7B2307EB-BD7C-4EAA-9016-48D7806E3D46}"/>
    <cellStyle name="Porcentual 11 2 3 3" xfId="19304" xr:uid="{36875BE1-3104-4783-AAC7-357B3FF6AF02}"/>
    <cellStyle name="Porcentual 11 2 4" xfId="11191" xr:uid="{00000000-0005-0000-0000-000030150000}"/>
    <cellStyle name="Porcentual 11 2 4 2" xfId="20048" xr:uid="{172CBC31-3A5B-419D-9375-48425CC0CC22}"/>
    <cellStyle name="Porcentual 11 2 5" xfId="18680" xr:uid="{F2C887D1-3C9D-45FD-9F81-0AB3B959DC1B}"/>
    <cellStyle name="Porcentual 11 3" xfId="5218" xr:uid="{00000000-0005-0000-0000-000031150000}"/>
    <cellStyle name="Porcentual 11 3 2" xfId="9771" xr:uid="{00000000-0005-0000-0000-000032150000}"/>
    <cellStyle name="Porcentual 11 3 2 2" xfId="10469" xr:uid="{00000000-0005-0000-0000-000033150000}"/>
    <cellStyle name="Porcentual 11 3 2 2 2" xfId="12204" xr:uid="{00000000-0005-0000-0000-000034150000}"/>
    <cellStyle name="Porcentual 11 3 2 2 2 2" xfId="20953" xr:uid="{740872CB-5F87-4FB6-A3FF-4ACA44B2DD87}"/>
    <cellStyle name="Porcentual 11 3 2 2 3" xfId="19590" xr:uid="{2C8B76D1-D869-4503-9A37-082A763EE0EB}"/>
    <cellStyle name="Porcentual 11 3 2 3" xfId="11557" xr:uid="{00000000-0005-0000-0000-000035150000}"/>
    <cellStyle name="Porcentual 11 3 2 3 2" xfId="20326" xr:uid="{FE09EB65-FE27-4499-A44E-C92E8678EE1E}"/>
    <cellStyle name="Porcentual 11 3 2 4" xfId="18958" xr:uid="{F3C4CF88-DB96-4BBA-A1D5-8C2D48EB4CE8}"/>
    <cellStyle name="Porcentual 11 3 3" xfId="10178" xr:uid="{00000000-0005-0000-0000-000036150000}"/>
    <cellStyle name="Porcentual 11 3 3 2" xfId="11914" xr:uid="{00000000-0005-0000-0000-000037150000}"/>
    <cellStyle name="Porcentual 11 3 3 2 2" xfId="20668" xr:uid="{81D38B67-ECE6-4C45-9106-79E3D6A04166}"/>
    <cellStyle name="Porcentual 11 3 3 3" xfId="19305" xr:uid="{F393CBD2-16FB-4D6B-9AAB-A66DEE8242EA}"/>
    <cellStyle name="Porcentual 11 3 4" xfId="11192" xr:uid="{00000000-0005-0000-0000-000038150000}"/>
    <cellStyle name="Porcentual 11 3 4 2" xfId="20049" xr:uid="{C93894EF-6744-4A9F-AE5D-EB9584B44586}"/>
    <cellStyle name="Porcentual 11 3 5" xfId="18681" xr:uid="{2C7AA069-62B4-4986-B27A-F987C2CBCFEA}"/>
    <cellStyle name="Porcentual 11 4" xfId="7894" xr:uid="{00000000-0005-0000-0000-000039150000}"/>
    <cellStyle name="Porcentual 112 10" xfId="1560" xr:uid="{00000000-0005-0000-0000-00003A150000}"/>
    <cellStyle name="Porcentual 112 10 2" xfId="5219" xr:uid="{00000000-0005-0000-0000-00003B150000}"/>
    <cellStyle name="Porcentual 112 10 3" xfId="7895" xr:uid="{00000000-0005-0000-0000-00003C150000}"/>
    <cellStyle name="Porcentual 112 11" xfId="1561" xr:uid="{00000000-0005-0000-0000-00003D150000}"/>
    <cellStyle name="Porcentual 112 11 2" xfId="5220" xr:uid="{00000000-0005-0000-0000-00003E150000}"/>
    <cellStyle name="Porcentual 112 11 3" xfId="7896" xr:uid="{00000000-0005-0000-0000-00003F150000}"/>
    <cellStyle name="Porcentual 112 12" xfId="1562" xr:uid="{00000000-0005-0000-0000-000040150000}"/>
    <cellStyle name="Porcentual 112 12 2" xfId="5221" xr:uid="{00000000-0005-0000-0000-000041150000}"/>
    <cellStyle name="Porcentual 112 12 3" xfId="7897" xr:uid="{00000000-0005-0000-0000-000042150000}"/>
    <cellStyle name="Porcentual 112 13" xfId="1563" xr:uid="{00000000-0005-0000-0000-000043150000}"/>
    <cellStyle name="Porcentual 112 13 2" xfId="5222" xr:uid="{00000000-0005-0000-0000-000044150000}"/>
    <cellStyle name="Porcentual 112 13 3" xfId="7898" xr:uid="{00000000-0005-0000-0000-000045150000}"/>
    <cellStyle name="Porcentual 112 14" xfId="1564" xr:uid="{00000000-0005-0000-0000-000046150000}"/>
    <cellStyle name="Porcentual 112 14 2" xfId="5223" xr:uid="{00000000-0005-0000-0000-000047150000}"/>
    <cellStyle name="Porcentual 112 14 3" xfId="7899" xr:uid="{00000000-0005-0000-0000-000048150000}"/>
    <cellStyle name="Porcentual 112 15" xfId="1565" xr:uid="{00000000-0005-0000-0000-000049150000}"/>
    <cellStyle name="Porcentual 112 15 2" xfId="5224" xr:uid="{00000000-0005-0000-0000-00004A150000}"/>
    <cellStyle name="Porcentual 112 15 3" xfId="7900" xr:uid="{00000000-0005-0000-0000-00004B150000}"/>
    <cellStyle name="Porcentual 112 16" xfId="1566" xr:uid="{00000000-0005-0000-0000-00004C150000}"/>
    <cellStyle name="Porcentual 112 16 2" xfId="5225" xr:uid="{00000000-0005-0000-0000-00004D150000}"/>
    <cellStyle name="Porcentual 112 16 3" xfId="7901" xr:uid="{00000000-0005-0000-0000-00004E150000}"/>
    <cellStyle name="Porcentual 112 17" xfId="1567" xr:uid="{00000000-0005-0000-0000-00004F150000}"/>
    <cellStyle name="Porcentual 112 17 2" xfId="5226" xr:uid="{00000000-0005-0000-0000-000050150000}"/>
    <cellStyle name="Porcentual 112 17 3" xfId="7902" xr:uid="{00000000-0005-0000-0000-000051150000}"/>
    <cellStyle name="Porcentual 112 18" xfId="1568" xr:uid="{00000000-0005-0000-0000-000052150000}"/>
    <cellStyle name="Porcentual 112 18 2" xfId="5227" xr:uid="{00000000-0005-0000-0000-000053150000}"/>
    <cellStyle name="Porcentual 112 18 3" xfId="7903" xr:uid="{00000000-0005-0000-0000-000054150000}"/>
    <cellStyle name="Porcentual 112 19" xfId="1569" xr:uid="{00000000-0005-0000-0000-000055150000}"/>
    <cellStyle name="Porcentual 112 19 2" xfId="5228" xr:uid="{00000000-0005-0000-0000-000056150000}"/>
    <cellStyle name="Porcentual 112 19 3" xfId="7904" xr:uid="{00000000-0005-0000-0000-000057150000}"/>
    <cellStyle name="Porcentual 112 2" xfId="1570" xr:uid="{00000000-0005-0000-0000-000058150000}"/>
    <cellStyle name="Porcentual 112 2 2" xfId="5229" xr:uid="{00000000-0005-0000-0000-000059150000}"/>
    <cellStyle name="Porcentual 112 2 3" xfId="7905" xr:uid="{00000000-0005-0000-0000-00005A150000}"/>
    <cellStyle name="Porcentual 112 20" xfId="1571" xr:uid="{00000000-0005-0000-0000-00005B150000}"/>
    <cellStyle name="Porcentual 112 20 2" xfId="5230" xr:uid="{00000000-0005-0000-0000-00005C150000}"/>
    <cellStyle name="Porcentual 112 20 3" xfId="7906" xr:uid="{00000000-0005-0000-0000-00005D150000}"/>
    <cellStyle name="Porcentual 112 21" xfId="1572" xr:uid="{00000000-0005-0000-0000-00005E150000}"/>
    <cellStyle name="Porcentual 112 21 2" xfId="5231" xr:uid="{00000000-0005-0000-0000-00005F150000}"/>
    <cellStyle name="Porcentual 112 21 3" xfId="7907" xr:uid="{00000000-0005-0000-0000-000060150000}"/>
    <cellStyle name="Porcentual 112 22" xfId="1573" xr:uid="{00000000-0005-0000-0000-000061150000}"/>
    <cellStyle name="Porcentual 112 22 2" xfId="5232" xr:uid="{00000000-0005-0000-0000-000062150000}"/>
    <cellStyle name="Porcentual 112 22 3" xfId="7908" xr:uid="{00000000-0005-0000-0000-000063150000}"/>
    <cellStyle name="Porcentual 112 23" xfId="1574" xr:uid="{00000000-0005-0000-0000-000064150000}"/>
    <cellStyle name="Porcentual 112 23 2" xfId="5233" xr:uid="{00000000-0005-0000-0000-000065150000}"/>
    <cellStyle name="Porcentual 112 23 3" xfId="7909" xr:uid="{00000000-0005-0000-0000-000066150000}"/>
    <cellStyle name="Porcentual 112 24" xfId="1575" xr:uid="{00000000-0005-0000-0000-000067150000}"/>
    <cellStyle name="Porcentual 112 24 2" xfId="5234" xr:uid="{00000000-0005-0000-0000-000068150000}"/>
    <cellStyle name="Porcentual 112 24 3" xfId="7910" xr:uid="{00000000-0005-0000-0000-000069150000}"/>
    <cellStyle name="Porcentual 112 25" xfId="1576" xr:uid="{00000000-0005-0000-0000-00006A150000}"/>
    <cellStyle name="Porcentual 112 25 2" xfId="5235" xr:uid="{00000000-0005-0000-0000-00006B150000}"/>
    <cellStyle name="Porcentual 112 25 3" xfId="7911" xr:uid="{00000000-0005-0000-0000-00006C150000}"/>
    <cellStyle name="Porcentual 112 26" xfId="1577" xr:uid="{00000000-0005-0000-0000-00006D150000}"/>
    <cellStyle name="Porcentual 112 26 2" xfId="5236" xr:uid="{00000000-0005-0000-0000-00006E150000}"/>
    <cellStyle name="Porcentual 112 26 3" xfId="7912" xr:uid="{00000000-0005-0000-0000-00006F150000}"/>
    <cellStyle name="Porcentual 112 27" xfId="1578" xr:uid="{00000000-0005-0000-0000-000070150000}"/>
    <cellStyle name="Porcentual 112 27 2" xfId="5237" xr:uid="{00000000-0005-0000-0000-000071150000}"/>
    <cellStyle name="Porcentual 112 27 3" xfId="7913" xr:uid="{00000000-0005-0000-0000-000072150000}"/>
    <cellStyle name="Porcentual 112 28" xfId="1579" xr:uid="{00000000-0005-0000-0000-000073150000}"/>
    <cellStyle name="Porcentual 112 28 2" xfId="5238" xr:uid="{00000000-0005-0000-0000-000074150000}"/>
    <cellStyle name="Porcentual 112 28 3" xfId="7914" xr:uid="{00000000-0005-0000-0000-000075150000}"/>
    <cellStyle name="Porcentual 112 3" xfId="1580" xr:uid="{00000000-0005-0000-0000-000076150000}"/>
    <cellStyle name="Porcentual 112 3 2" xfId="5239" xr:uid="{00000000-0005-0000-0000-000077150000}"/>
    <cellStyle name="Porcentual 112 3 3" xfId="7915" xr:uid="{00000000-0005-0000-0000-000078150000}"/>
    <cellStyle name="Porcentual 112 4" xfId="1581" xr:uid="{00000000-0005-0000-0000-000079150000}"/>
    <cellStyle name="Porcentual 112 4 2" xfId="5240" xr:uid="{00000000-0005-0000-0000-00007A150000}"/>
    <cellStyle name="Porcentual 112 4 3" xfId="7916" xr:uid="{00000000-0005-0000-0000-00007B150000}"/>
    <cellStyle name="Porcentual 112 5" xfId="1582" xr:uid="{00000000-0005-0000-0000-00007C150000}"/>
    <cellStyle name="Porcentual 112 5 2" xfId="5241" xr:uid="{00000000-0005-0000-0000-00007D150000}"/>
    <cellStyle name="Porcentual 112 5 3" xfId="7917" xr:uid="{00000000-0005-0000-0000-00007E150000}"/>
    <cellStyle name="Porcentual 112 6" xfId="1583" xr:uid="{00000000-0005-0000-0000-00007F150000}"/>
    <cellStyle name="Porcentual 112 6 2" xfId="5242" xr:uid="{00000000-0005-0000-0000-000080150000}"/>
    <cellStyle name="Porcentual 112 6 3" xfId="7918" xr:uid="{00000000-0005-0000-0000-000081150000}"/>
    <cellStyle name="Porcentual 112 7" xfId="1584" xr:uid="{00000000-0005-0000-0000-000082150000}"/>
    <cellStyle name="Porcentual 112 7 2" xfId="5243" xr:uid="{00000000-0005-0000-0000-000083150000}"/>
    <cellStyle name="Porcentual 112 7 3" xfId="7919" xr:uid="{00000000-0005-0000-0000-000084150000}"/>
    <cellStyle name="Porcentual 112 8" xfId="1585" xr:uid="{00000000-0005-0000-0000-000085150000}"/>
    <cellStyle name="Porcentual 112 8 2" xfId="5244" xr:uid="{00000000-0005-0000-0000-000086150000}"/>
    <cellStyle name="Porcentual 112 8 3" xfId="7920" xr:uid="{00000000-0005-0000-0000-000087150000}"/>
    <cellStyle name="Porcentual 112 9" xfId="1586" xr:uid="{00000000-0005-0000-0000-000088150000}"/>
    <cellStyle name="Porcentual 112 9 2" xfId="5245" xr:uid="{00000000-0005-0000-0000-000089150000}"/>
    <cellStyle name="Porcentual 112 9 3" xfId="7921" xr:uid="{00000000-0005-0000-0000-00008A150000}"/>
    <cellStyle name="Porcentual 116 10" xfId="1587" xr:uid="{00000000-0005-0000-0000-00008B150000}"/>
    <cellStyle name="Porcentual 116 10 2" xfId="5246" xr:uid="{00000000-0005-0000-0000-00008C150000}"/>
    <cellStyle name="Porcentual 116 10 3" xfId="7922" xr:uid="{00000000-0005-0000-0000-00008D150000}"/>
    <cellStyle name="Porcentual 116 11" xfId="1588" xr:uid="{00000000-0005-0000-0000-00008E150000}"/>
    <cellStyle name="Porcentual 116 11 2" xfId="5247" xr:uid="{00000000-0005-0000-0000-00008F150000}"/>
    <cellStyle name="Porcentual 116 11 3" xfId="7923" xr:uid="{00000000-0005-0000-0000-000090150000}"/>
    <cellStyle name="Porcentual 116 12" xfId="1589" xr:uid="{00000000-0005-0000-0000-000091150000}"/>
    <cellStyle name="Porcentual 116 12 2" xfId="5248" xr:uid="{00000000-0005-0000-0000-000092150000}"/>
    <cellStyle name="Porcentual 116 12 3" xfId="7924" xr:uid="{00000000-0005-0000-0000-000093150000}"/>
    <cellStyle name="Porcentual 116 13" xfId="1590" xr:uid="{00000000-0005-0000-0000-000094150000}"/>
    <cellStyle name="Porcentual 116 13 2" xfId="5249" xr:uid="{00000000-0005-0000-0000-000095150000}"/>
    <cellStyle name="Porcentual 116 13 3" xfId="7925" xr:uid="{00000000-0005-0000-0000-000096150000}"/>
    <cellStyle name="Porcentual 116 14" xfId="1591" xr:uid="{00000000-0005-0000-0000-000097150000}"/>
    <cellStyle name="Porcentual 116 14 2" xfId="5250" xr:uid="{00000000-0005-0000-0000-000098150000}"/>
    <cellStyle name="Porcentual 116 14 3" xfId="7926" xr:uid="{00000000-0005-0000-0000-000099150000}"/>
    <cellStyle name="Porcentual 116 15" xfId="1592" xr:uid="{00000000-0005-0000-0000-00009A150000}"/>
    <cellStyle name="Porcentual 116 15 2" xfId="5251" xr:uid="{00000000-0005-0000-0000-00009B150000}"/>
    <cellStyle name="Porcentual 116 15 3" xfId="7927" xr:uid="{00000000-0005-0000-0000-00009C150000}"/>
    <cellStyle name="Porcentual 116 16" xfId="1593" xr:uid="{00000000-0005-0000-0000-00009D150000}"/>
    <cellStyle name="Porcentual 116 16 2" xfId="5252" xr:uid="{00000000-0005-0000-0000-00009E150000}"/>
    <cellStyle name="Porcentual 116 16 3" xfId="7928" xr:uid="{00000000-0005-0000-0000-00009F150000}"/>
    <cellStyle name="Porcentual 116 17" xfId="1594" xr:uid="{00000000-0005-0000-0000-0000A0150000}"/>
    <cellStyle name="Porcentual 116 17 2" xfId="5253" xr:uid="{00000000-0005-0000-0000-0000A1150000}"/>
    <cellStyle name="Porcentual 116 17 3" xfId="7929" xr:uid="{00000000-0005-0000-0000-0000A2150000}"/>
    <cellStyle name="Porcentual 116 18" xfId="1595" xr:uid="{00000000-0005-0000-0000-0000A3150000}"/>
    <cellStyle name="Porcentual 116 18 2" xfId="5254" xr:uid="{00000000-0005-0000-0000-0000A4150000}"/>
    <cellStyle name="Porcentual 116 18 3" xfId="7930" xr:uid="{00000000-0005-0000-0000-0000A5150000}"/>
    <cellStyle name="Porcentual 116 19" xfId="1596" xr:uid="{00000000-0005-0000-0000-0000A6150000}"/>
    <cellStyle name="Porcentual 116 19 2" xfId="5255" xr:uid="{00000000-0005-0000-0000-0000A7150000}"/>
    <cellStyle name="Porcentual 116 19 3" xfId="7931" xr:uid="{00000000-0005-0000-0000-0000A8150000}"/>
    <cellStyle name="Porcentual 116 2" xfId="1597" xr:uid="{00000000-0005-0000-0000-0000A9150000}"/>
    <cellStyle name="Porcentual 116 2 2" xfId="5256" xr:uid="{00000000-0005-0000-0000-0000AA150000}"/>
    <cellStyle name="Porcentual 116 2 3" xfId="7932" xr:uid="{00000000-0005-0000-0000-0000AB150000}"/>
    <cellStyle name="Porcentual 116 20" xfId="1598" xr:uid="{00000000-0005-0000-0000-0000AC150000}"/>
    <cellStyle name="Porcentual 116 20 2" xfId="5257" xr:uid="{00000000-0005-0000-0000-0000AD150000}"/>
    <cellStyle name="Porcentual 116 20 3" xfId="7933" xr:uid="{00000000-0005-0000-0000-0000AE150000}"/>
    <cellStyle name="Porcentual 116 21" xfId="1599" xr:uid="{00000000-0005-0000-0000-0000AF150000}"/>
    <cellStyle name="Porcentual 116 21 2" xfId="5258" xr:uid="{00000000-0005-0000-0000-0000B0150000}"/>
    <cellStyle name="Porcentual 116 21 3" xfId="7934" xr:uid="{00000000-0005-0000-0000-0000B1150000}"/>
    <cellStyle name="Porcentual 116 22" xfId="1600" xr:uid="{00000000-0005-0000-0000-0000B2150000}"/>
    <cellStyle name="Porcentual 116 22 2" xfId="5259" xr:uid="{00000000-0005-0000-0000-0000B3150000}"/>
    <cellStyle name="Porcentual 116 22 3" xfId="7935" xr:uid="{00000000-0005-0000-0000-0000B4150000}"/>
    <cellStyle name="Porcentual 116 23" xfId="1601" xr:uid="{00000000-0005-0000-0000-0000B5150000}"/>
    <cellStyle name="Porcentual 116 23 2" xfId="5260" xr:uid="{00000000-0005-0000-0000-0000B6150000}"/>
    <cellStyle name="Porcentual 116 23 3" xfId="7936" xr:uid="{00000000-0005-0000-0000-0000B7150000}"/>
    <cellStyle name="Porcentual 116 24" xfId="1602" xr:uid="{00000000-0005-0000-0000-0000B8150000}"/>
    <cellStyle name="Porcentual 116 24 2" xfId="5261" xr:uid="{00000000-0005-0000-0000-0000B9150000}"/>
    <cellStyle name="Porcentual 116 24 3" xfId="7937" xr:uid="{00000000-0005-0000-0000-0000BA150000}"/>
    <cellStyle name="Porcentual 116 25" xfId="1603" xr:uid="{00000000-0005-0000-0000-0000BB150000}"/>
    <cellStyle name="Porcentual 116 25 2" xfId="5262" xr:uid="{00000000-0005-0000-0000-0000BC150000}"/>
    <cellStyle name="Porcentual 116 25 3" xfId="7938" xr:uid="{00000000-0005-0000-0000-0000BD150000}"/>
    <cellStyle name="Porcentual 116 26" xfId="1604" xr:uid="{00000000-0005-0000-0000-0000BE150000}"/>
    <cellStyle name="Porcentual 116 26 2" xfId="5263" xr:uid="{00000000-0005-0000-0000-0000BF150000}"/>
    <cellStyle name="Porcentual 116 26 3" xfId="7939" xr:uid="{00000000-0005-0000-0000-0000C0150000}"/>
    <cellStyle name="Porcentual 116 27" xfId="1605" xr:uid="{00000000-0005-0000-0000-0000C1150000}"/>
    <cellStyle name="Porcentual 116 27 2" xfId="5264" xr:uid="{00000000-0005-0000-0000-0000C2150000}"/>
    <cellStyle name="Porcentual 116 27 3" xfId="7940" xr:uid="{00000000-0005-0000-0000-0000C3150000}"/>
    <cellStyle name="Porcentual 116 28" xfId="1606" xr:uid="{00000000-0005-0000-0000-0000C4150000}"/>
    <cellStyle name="Porcentual 116 28 2" xfId="5265" xr:uid="{00000000-0005-0000-0000-0000C5150000}"/>
    <cellStyle name="Porcentual 116 28 3" xfId="7941" xr:uid="{00000000-0005-0000-0000-0000C6150000}"/>
    <cellStyle name="Porcentual 116 3" xfId="1607" xr:uid="{00000000-0005-0000-0000-0000C7150000}"/>
    <cellStyle name="Porcentual 116 3 2" xfId="5266" xr:uid="{00000000-0005-0000-0000-0000C8150000}"/>
    <cellStyle name="Porcentual 116 3 3" xfId="7942" xr:uid="{00000000-0005-0000-0000-0000C9150000}"/>
    <cellStyle name="Porcentual 116 4" xfId="1608" xr:uid="{00000000-0005-0000-0000-0000CA150000}"/>
    <cellStyle name="Porcentual 116 4 2" xfId="5267" xr:uid="{00000000-0005-0000-0000-0000CB150000}"/>
    <cellStyle name="Porcentual 116 4 3" xfId="7943" xr:uid="{00000000-0005-0000-0000-0000CC150000}"/>
    <cellStyle name="Porcentual 116 5" xfId="1609" xr:uid="{00000000-0005-0000-0000-0000CD150000}"/>
    <cellStyle name="Porcentual 116 5 2" xfId="5268" xr:uid="{00000000-0005-0000-0000-0000CE150000}"/>
    <cellStyle name="Porcentual 116 5 3" xfId="7944" xr:uid="{00000000-0005-0000-0000-0000CF150000}"/>
    <cellStyle name="Porcentual 116 6" xfId="1610" xr:uid="{00000000-0005-0000-0000-0000D0150000}"/>
    <cellStyle name="Porcentual 116 6 2" xfId="5269" xr:uid="{00000000-0005-0000-0000-0000D1150000}"/>
    <cellStyle name="Porcentual 116 6 3" xfId="7945" xr:uid="{00000000-0005-0000-0000-0000D2150000}"/>
    <cellStyle name="Porcentual 116 7" xfId="1611" xr:uid="{00000000-0005-0000-0000-0000D3150000}"/>
    <cellStyle name="Porcentual 116 7 2" xfId="5270" xr:uid="{00000000-0005-0000-0000-0000D4150000}"/>
    <cellStyle name="Porcentual 116 7 3" xfId="7946" xr:uid="{00000000-0005-0000-0000-0000D5150000}"/>
    <cellStyle name="Porcentual 116 8" xfId="1612" xr:uid="{00000000-0005-0000-0000-0000D6150000}"/>
    <cellStyle name="Porcentual 116 8 2" xfId="5271" xr:uid="{00000000-0005-0000-0000-0000D7150000}"/>
    <cellStyle name="Porcentual 116 8 3" xfId="7947" xr:uid="{00000000-0005-0000-0000-0000D8150000}"/>
    <cellStyle name="Porcentual 116 9" xfId="1613" xr:uid="{00000000-0005-0000-0000-0000D9150000}"/>
    <cellStyle name="Porcentual 116 9 2" xfId="5272" xr:uid="{00000000-0005-0000-0000-0000DA150000}"/>
    <cellStyle name="Porcentual 116 9 3" xfId="7948" xr:uid="{00000000-0005-0000-0000-0000DB150000}"/>
    <cellStyle name="Porcentual 12" xfId="1614" xr:uid="{00000000-0005-0000-0000-0000DC150000}"/>
    <cellStyle name="Porcentual 12 2" xfId="5273" xr:uid="{00000000-0005-0000-0000-0000DD150000}"/>
    <cellStyle name="Porcentual 12 2 2" xfId="9772" xr:uid="{00000000-0005-0000-0000-0000DE150000}"/>
    <cellStyle name="Porcentual 12 2 2 2" xfId="10470" xr:uid="{00000000-0005-0000-0000-0000DF150000}"/>
    <cellStyle name="Porcentual 12 2 2 2 2" xfId="12205" xr:uid="{00000000-0005-0000-0000-0000E0150000}"/>
    <cellStyle name="Porcentual 12 2 2 2 2 2" xfId="20954" xr:uid="{E0AA71E8-CC7A-4AE5-92E6-1BE462BD012C}"/>
    <cellStyle name="Porcentual 12 2 2 2 3" xfId="19591" xr:uid="{0C586801-D4EA-4FE7-955F-1791691FD79B}"/>
    <cellStyle name="Porcentual 12 2 2 3" xfId="11558" xr:uid="{00000000-0005-0000-0000-0000E1150000}"/>
    <cellStyle name="Porcentual 12 2 2 3 2" xfId="20327" xr:uid="{DFD4CDAA-1EFE-4579-9FFA-5FE230B30C68}"/>
    <cellStyle name="Porcentual 12 2 2 4" xfId="18959" xr:uid="{720C914D-EFE3-4A1A-8729-01D60868B3F1}"/>
    <cellStyle name="Porcentual 12 2 3" xfId="10179" xr:uid="{00000000-0005-0000-0000-0000E2150000}"/>
    <cellStyle name="Porcentual 12 2 3 2" xfId="11915" xr:uid="{00000000-0005-0000-0000-0000E3150000}"/>
    <cellStyle name="Porcentual 12 2 3 2 2" xfId="20669" xr:uid="{889C0BD7-816F-4709-84A9-D6D3F3AD7E9A}"/>
    <cellStyle name="Porcentual 12 2 3 3" xfId="19306" xr:uid="{1F12A4FE-3380-4C09-8483-A7240A5ABF6D}"/>
    <cellStyle name="Porcentual 12 2 4" xfId="11193" xr:uid="{00000000-0005-0000-0000-0000E4150000}"/>
    <cellStyle name="Porcentual 12 2 4 2" xfId="20050" xr:uid="{A4EA76A4-A6A1-4EB8-AACA-2C18D6250666}"/>
    <cellStyle name="Porcentual 12 2 5" xfId="18682" xr:uid="{BF98FFCA-D6D7-4472-980C-979F9F107FB7}"/>
    <cellStyle name="Porcentual 12 3" xfId="5274" xr:uid="{00000000-0005-0000-0000-0000E5150000}"/>
    <cellStyle name="Porcentual 12 3 2" xfId="9773" xr:uid="{00000000-0005-0000-0000-0000E6150000}"/>
    <cellStyle name="Porcentual 12 3 2 2" xfId="10471" xr:uid="{00000000-0005-0000-0000-0000E7150000}"/>
    <cellStyle name="Porcentual 12 3 2 2 2" xfId="12206" xr:uid="{00000000-0005-0000-0000-0000E8150000}"/>
    <cellStyle name="Porcentual 12 3 2 2 2 2" xfId="20955" xr:uid="{BA311CD8-77A8-4B6D-B079-BA054CA19C71}"/>
    <cellStyle name="Porcentual 12 3 2 2 3" xfId="19592" xr:uid="{951ABAE9-6F9A-4653-9E3A-D8AEFD913564}"/>
    <cellStyle name="Porcentual 12 3 2 3" xfId="11559" xr:uid="{00000000-0005-0000-0000-0000E9150000}"/>
    <cellStyle name="Porcentual 12 3 2 3 2" xfId="20328" xr:uid="{781D7A25-15F6-4E6E-B71D-776497CB3EDB}"/>
    <cellStyle name="Porcentual 12 3 2 4" xfId="18960" xr:uid="{18B4E435-EB11-4953-9035-91D61604AE47}"/>
    <cellStyle name="Porcentual 12 3 3" xfId="10180" xr:uid="{00000000-0005-0000-0000-0000EA150000}"/>
    <cellStyle name="Porcentual 12 3 3 2" xfId="11916" xr:uid="{00000000-0005-0000-0000-0000EB150000}"/>
    <cellStyle name="Porcentual 12 3 3 2 2" xfId="20670" xr:uid="{775CE0DA-F647-4F5E-B67D-17E29420CCD9}"/>
    <cellStyle name="Porcentual 12 3 3 3" xfId="19307" xr:uid="{746FA047-67D1-4692-BD94-6E97A213077F}"/>
    <cellStyle name="Porcentual 12 3 4" xfId="11194" xr:uid="{00000000-0005-0000-0000-0000EC150000}"/>
    <cellStyle name="Porcentual 12 3 4 2" xfId="20051" xr:uid="{6E31C67B-94F0-4A7D-AA68-46978FAC65B3}"/>
    <cellStyle name="Porcentual 12 3 5" xfId="18683" xr:uid="{5F173507-2D3B-459E-9BFB-B6CE4E3825AC}"/>
    <cellStyle name="Porcentual 12 4" xfId="7949" xr:uid="{00000000-0005-0000-0000-0000ED150000}"/>
    <cellStyle name="Porcentual 13" xfId="1615" xr:uid="{00000000-0005-0000-0000-0000EE150000}"/>
    <cellStyle name="Porcentual 13 2" xfId="5275" xr:uid="{00000000-0005-0000-0000-0000EF150000}"/>
    <cellStyle name="Porcentual 13 2 2" xfId="9774" xr:uid="{00000000-0005-0000-0000-0000F0150000}"/>
    <cellStyle name="Porcentual 13 2 2 2" xfId="10472" xr:uid="{00000000-0005-0000-0000-0000F1150000}"/>
    <cellStyle name="Porcentual 13 2 2 2 2" xfId="12207" xr:uid="{00000000-0005-0000-0000-0000F2150000}"/>
    <cellStyle name="Porcentual 13 2 2 2 2 2" xfId="20956" xr:uid="{4A313E32-6465-4EE7-82F3-927C8B923C3C}"/>
    <cellStyle name="Porcentual 13 2 2 2 3" xfId="19593" xr:uid="{EB0EEF49-711E-443F-A320-97E98657F673}"/>
    <cellStyle name="Porcentual 13 2 2 3" xfId="11560" xr:uid="{00000000-0005-0000-0000-0000F3150000}"/>
    <cellStyle name="Porcentual 13 2 2 3 2" xfId="20329" xr:uid="{C159D3FF-D048-43D1-B7D4-DBB471ECE9D4}"/>
    <cellStyle name="Porcentual 13 2 2 4" xfId="18961" xr:uid="{DE39F085-BADE-495E-8B31-B6982E856046}"/>
    <cellStyle name="Porcentual 13 2 3" xfId="10181" xr:uid="{00000000-0005-0000-0000-0000F4150000}"/>
    <cellStyle name="Porcentual 13 2 3 2" xfId="11917" xr:uid="{00000000-0005-0000-0000-0000F5150000}"/>
    <cellStyle name="Porcentual 13 2 3 2 2" xfId="20671" xr:uid="{099D236F-19E7-4AF6-B07C-B72638195F33}"/>
    <cellStyle name="Porcentual 13 2 3 3" xfId="19308" xr:uid="{8641F9F7-D4BE-465E-91DC-B82FC85B8F75}"/>
    <cellStyle name="Porcentual 13 2 4" xfId="11195" xr:uid="{00000000-0005-0000-0000-0000F6150000}"/>
    <cellStyle name="Porcentual 13 2 4 2" xfId="20052" xr:uid="{C641AFC5-716F-49CE-8E39-631A0CDD2371}"/>
    <cellStyle name="Porcentual 13 2 5" xfId="18684" xr:uid="{BB7F986E-09D8-4100-AF9D-12E7D5088450}"/>
    <cellStyle name="Porcentual 13 3" xfId="5276" xr:uid="{00000000-0005-0000-0000-0000F7150000}"/>
    <cellStyle name="Porcentual 13 3 2" xfId="9775" xr:uid="{00000000-0005-0000-0000-0000F8150000}"/>
    <cellStyle name="Porcentual 13 3 2 2" xfId="10473" xr:uid="{00000000-0005-0000-0000-0000F9150000}"/>
    <cellStyle name="Porcentual 13 3 2 2 2" xfId="12208" xr:uid="{00000000-0005-0000-0000-0000FA150000}"/>
    <cellStyle name="Porcentual 13 3 2 2 2 2" xfId="20957" xr:uid="{9E9ECEBE-7A36-44DB-966F-7A2B1BFBF21B}"/>
    <cellStyle name="Porcentual 13 3 2 2 3" xfId="19594" xr:uid="{2EDCCED6-74C8-48FC-AEA9-6812F450893F}"/>
    <cellStyle name="Porcentual 13 3 2 3" xfId="11561" xr:uid="{00000000-0005-0000-0000-0000FB150000}"/>
    <cellStyle name="Porcentual 13 3 2 3 2" xfId="20330" xr:uid="{38F908DD-08F8-44FC-944F-EE503A94BD56}"/>
    <cellStyle name="Porcentual 13 3 2 4" xfId="18962" xr:uid="{A0DF9580-A337-4737-9D4B-B96A4CE88DDA}"/>
    <cellStyle name="Porcentual 13 3 3" xfId="10182" xr:uid="{00000000-0005-0000-0000-0000FC150000}"/>
    <cellStyle name="Porcentual 13 3 3 2" xfId="11918" xr:uid="{00000000-0005-0000-0000-0000FD150000}"/>
    <cellStyle name="Porcentual 13 3 3 2 2" xfId="20672" xr:uid="{272C4837-0D7D-48BA-BB02-602FC3AA5EFB}"/>
    <cellStyle name="Porcentual 13 3 3 3" xfId="19309" xr:uid="{FFFAD36D-3BB1-4C14-88A2-AD8A4AAB2E11}"/>
    <cellStyle name="Porcentual 13 3 4" xfId="11196" xr:uid="{00000000-0005-0000-0000-0000FE150000}"/>
    <cellStyle name="Porcentual 13 3 4 2" xfId="20053" xr:uid="{C2043C48-CF85-4973-9603-4C2344B5D9C3}"/>
    <cellStyle name="Porcentual 13 3 5" xfId="18685" xr:uid="{A2D17690-CA68-43D1-B506-A3255227BD41}"/>
    <cellStyle name="Porcentual 13 4" xfId="7950" xr:uid="{00000000-0005-0000-0000-0000FF150000}"/>
    <cellStyle name="Porcentual 132 10" xfId="1616" xr:uid="{00000000-0005-0000-0000-000000160000}"/>
    <cellStyle name="Porcentual 132 10 2" xfId="5277" xr:uid="{00000000-0005-0000-0000-000001160000}"/>
    <cellStyle name="Porcentual 132 10 3" xfId="7951" xr:uid="{00000000-0005-0000-0000-000002160000}"/>
    <cellStyle name="Porcentual 132 11" xfId="1617" xr:uid="{00000000-0005-0000-0000-000003160000}"/>
    <cellStyle name="Porcentual 132 11 2" xfId="5278" xr:uid="{00000000-0005-0000-0000-000004160000}"/>
    <cellStyle name="Porcentual 132 11 3" xfId="7952" xr:uid="{00000000-0005-0000-0000-000005160000}"/>
    <cellStyle name="Porcentual 132 12" xfId="1618" xr:uid="{00000000-0005-0000-0000-000006160000}"/>
    <cellStyle name="Porcentual 132 12 2" xfId="5279" xr:uid="{00000000-0005-0000-0000-000007160000}"/>
    <cellStyle name="Porcentual 132 12 3" xfId="7953" xr:uid="{00000000-0005-0000-0000-000008160000}"/>
    <cellStyle name="Porcentual 132 13" xfId="1619" xr:uid="{00000000-0005-0000-0000-000009160000}"/>
    <cellStyle name="Porcentual 132 13 2" xfId="5280" xr:uid="{00000000-0005-0000-0000-00000A160000}"/>
    <cellStyle name="Porcentual 132 13 3" xfId="7954" xr:uid="{00000000-0005-0000-0000-00000B160000}"/>
    <cellStyle name="Porcentual 132 14" xfId="1620" xr:uid="{00000000-0005-0000-0000-00000C160000}"/>
    <cellStyle name="Porcentual 132 14 2" xfId="5281" xr:uid="{00000000-0005-0000-0000-00000D160000}"/>
    <cellStyle name="Porcentual 132 14 3" xfId="7955" xr:uid="{00000000-0005-0000-0000-00000E160000}"/>
    <cellStyle name="Porcentual 132 15" xfId="1621" xr:uid="{00000000-0005-0000-0000-00000F160000}"/>
    <cellStyle name="Porcentual 132 15 2" xfId="5282" xr:uid="{00000000-0005-0000-0000-000010160000}"/>
    <cellStyle name="Porcentual 132 15 3" xfId="7956" xr:uid="{00000000-0005-0000-0000-000011160000}"/>
    <cellStyle name="Porcentual 132 16" xfId="1622" xr:uid="{00000000-0005-0000-0000-000012160000}"/>
    <cellStyle name="Porcentual 132 16 2" xfId="5283" xr:uid="{00000000-0005-0000-0000-000013160000}"/>
    <cellStyle name="Porcentual 132 16 3" xfId="7957" xr:uid="{00000000-0005-0000-0000-000014160000}"/>
    <cellStyle name="Porcentual 132 17" xfId="1623" xr:uid="{00000000-0005-0000-0000-000015160000}"/>
    <cellStyle name="Porcentual 132 17 2" xfId="5284" xr:uid="{00000000-0005-0000-0000-000016160000}"/>
    <cellStyle name="Porcentual 132 17 3" xfId="7958" xr:uid="{00000000-0005-0000-0000-000017160000}"/>
    <cellStyle name="Porcentual 132 18" xfId="1624" xr:uid="{00000000-0005-0000-0000-000018160000}"/>
    <cellStyle name="Porcentual 132 18 2" xfId="5285" xr:uid="{00000000-0005-0000-0000-000019160000}"/>
    <cellStyle name="Porcentual 132 18 3" xfId="7959" xr:uid="{00000000-0005-0000-0000-00001A160000}"/>
    <cellStyle name="Porcentual 132 19" xfId="1625" xr:uid="{00000000-0005-0000-0000-00001B160000}"/>
    <cellStyle name="Porcentual 132 19 2" xfId="5286" xr:uid="{00000000-0005-0000-0000-00001C160000}"/>
    <cellStyle name="Porcentual 132 19 3" xfId="7960" xr:uid="{00000000-0005-0000-0000-00001D160000}"/>
    <cellStyle name="Porcentual 132 2" xfId="1626" xr:uid="{00000000-0005-0000-0000-00001E160000}"/>
    <cellStyle name="Porcentual 132 2 2" xfId="5287" xr:uid="{00000000-0005-0000-0000-00001F160000}"/>
    <cellStyle name="Porcentual 132 2 3" xfId="7961" xr:uid="{00000000-0005-0000-0000-000020160000}"/>
    <cellStyle name="Porcentual 132 20" xfId="1627" xr:uid="{00000000-0005-0000-0000-000021160000}"/>
    <cellStyle name="Porcentual 132 20 2" xfId="5288" xr:uid="{00000000-0005-0000-0000-000022160000}"/>
    <cellStyle name="Porcentual 132 20 3" xfId="7962" xr:uid="{00000000-0005-0000-0000-000023160000}"/>
    <cellStyle name="Porcentual 132 21" xfId="1628" xr:uid="{00000000-0005-0000-0000-000024160000}"/>
    <cellStyle name="Porcentual 132 21 2" xfId="5289" xr:uid="{00000000-0005-0000-0000-000025160000}"/>
    <cellStyle name="Porcentual 132 21 3" xfId="7963" xr:uid="{00000000-0005-0000-0000-000026160000}"/>
    <cellStyle name="Porcentual 132 22" xfId="1629" xr:uid="{00000000-0005-0000-0000-000027160000}"/>
    <cellStyle name="Porcentual 132 22 2" xfId="5290" xr:uid="{00000000-0005-0000-0000-000028160000}"/>
    <cellStyle name="Porcentual 132 22 3" xfId="7964" xr:uid="{00000000-0005-0000-0000-000029160000}"/>
    <cellStyle name="Porcentual 132 23" xfId="1630" xr:uid="{00000000-0005-0000-0000-00002A160000}"/>
    <cellStyle name="Porcentual 132 23 2" xfId="5291" xr:uid="{00000000-0005-0000-0000-00002B160000}"/>
    <cellStyle name="Porcentual 132 23 3" xfId="7965" xr:uid="{00000000-0005-0000-0000-00002C160000}"/>
    <cellStyle name="Porcentual 132 24" xfId="1631" xr:uid="{00000000-0005-0000-0000-00002D160000}"/>
    <cellStyle name="Porcentual 132 24 2" xfId="5292" xr:uid="{00000000-0005-0000-0000-00002E160000}"/>
    <cellStyle name="Porcentual 132 24 3" xfId="7966" xr:uid="{00000000-0005-0000-0000-00002F160000}"/>
    <cellStyle name="Porcentual 132 25" xfId="1632" xr:uid="{00000000-0005-0000-0000-000030160000}"/>
    <cellStyle name="Porcentual 132 25 2" xfId="5293" xr:uid="{00000000-0005-0000-0000-000031160000}"/>
    <cellStyle name="Porcentual 132 25 3" xfId="7967" xr:uid="{00000000-0005-0000-0000-000032160000}"/>
    <cellStyle name="Porcentual 132 26" xfId="1633" xr:uid="{00000000-0005-0000-0000-000033160000}"/>
    <cellStyle name="Porcentual 132 26 2" xfId="5294" xr:uid="{00000000-0005-0000-0000-000034160000}"/>
    <cellStyle name="Porcentual 132 26 3" xfId="7968" xr:uid="{00000000-0005-0000-0000-000035160000}"/>
    <cellStyle name="Porcentual 132 27" xfId="1634" xr:uid="{00000000-0005-0000-0000-000036160000}"/>
    <cellStyle name="Porcentual 132 27 2" xfId="5295" xr:uid="{00000000-0005-0000-0000-000037160000}"/>
    <cellStyle name="Porcentual 132 27 3" xfId="7969" xr:uid="{00000000-0005-0000-0000-000038160000}"/>
    <cellStyle name="Porcentual 132 28" xfId="1635" xr:uid="{00000000-0005-0000-0000-000039160000}"/>
    <cellStyle name="Porcentual 132 28 2" xfId="5296" xr:uid="{00000000-0005-0000-0000-00003A160000}"/>
    <cellStyle name="Porcentual 132 28 3" xfId="7970" xr:uid="{00000000-0005-0000-0000-00003B160000}"/>
    <cellStyle name="Porcentual 132 3" xfId="1636" xr:uid="{00000000-0005-0000-0000-00003C160000}"/>
    <cellStyle name="Porcentual 132 3 2" xfId="5297" xr:uid="{00000000-0005-0000-0000-00003D160000}"/>
    <cellStyle name="Porcentual 132 3 3" xfId="7971" xr:uid="{00000000-0005-0000-0000-00003E160000}"/>
    <cellStyle name="Porcentual 132 4" xfId="1637" xr:uid="{00000000-0005-0000-0000-00003F160000}"/>
    <cellStyle name="Porcentual 132 4 2" xfId="5298" xr:uid="{00000000-0005-0000-0000-000040160000}"/>
    <cellStyle name="Porcentual 132 4 3" xfId="7972" xr:uid="{00000000-0005-0000-0000-000041160000}"/>
    <cellStyle name="Porcentual 132 5" xfId="1638" xr:uid="{00000000-0005-0000-0000-000042160000}"/>
    <cellStyle name="Porcentual 132 5 2" xfId="5299" xr:uid="{00000000-0005-0000-0000-000043160000}"/>
    <cellStyle name="Porcentual 132 5 3" xfId="7973" xr:uid="{00000000-0005-0000-0000-000044160000}"/>
    <cellStyle name="Porcentual 132 6" xfId="1639" xr:uid="{00000000-0005-0000-0000-000045160000}"/>
    <cellStyle name="Porcentual 132 6 2" xfId="5300" xr:uid="{00000000-0005-0000-0000-000046160000}"/>
    <cellStyle name="Porcentual 132 6 3" xfId="7974" xr:uid="{00000000-0005-0000-0000-000047160000}"/>
    <cellStyle name="Porcentual 132 7" xfId="1640" xr:uid="{00000000-0005-0000-0000-000048160000}"/>
    <cellStyle name="Porcentual 132 7 2" xfId="5301" xr:uid="{00000000-0005-0000-0000-000049160000}"/>
    <cellStyle name="Porcentual 132 7 3" xfId="7975" xr:uid="{00000000-0005-0000-0000-00004A160000}"/>
    <cellStyle name="Porcentual 132 8" xfId="1641" xr:uid="{00000000-0005-0000-0000-00004B160000}"/>
    <cellStyle name="Porcentual 132 8 2" xfId="5302" xr:uid="{00000000-0005-0000-0000-00004C160000}"/>
    <cellStyle name="Porcentual 132 8 3" xfId="7976" xr:uid="{00000000-0005-0000-0000-00004D160000}"/>
    <cellStyle name="Porcentual 132 9" xfId="1642" xr:uid="{00000000-0005-0000-0000-00004E160000}"/>
    <cellStyle name="Porcentual 132 9 2" xfId="5303" xr:uid="{00000000-0005-0000-0000-00004F160000}"/>
    <cellStyle name="Porcentual 132 9 3" xfId="7977" xr:uid="{00000000-0005-0000-0000-000050160000}"/>
    <cellStyle name="Porcentual 133 10" xfId="1643" xr:uid="{00000000-0005-0000-0000-000051160000}"/>
    <cellStyle name="Porcentual 133 10 2" xfId="5304" xr:uid="{00000000-0005-0000-0000-000052160000}"/>
    <cellStyle name="Porcentual 133 10 3" xfId="7978" xr:uid="{00000000-0005-0000-0000-000053160000}"/>
    <cellStyle name="Porcentual 133 11" xfId="1644" xr:uid="{00000000-0005-0000-0000-000054160000}"/>
    <cellStyle name="Porcentual 133 11 2" xfId="5305" xr:uid="{00000000-0005-0000-0000-000055160000}"/>
    <cellStyle name="Porcentual 133 11 3" xfId="7979" xr:uid="{00000000-0005-0000-0000-000056160000}"/>
    <cellStyle name="Porcentual 133 12" xfId="1645" xr:uid="{00000000-0005-0000-0000-000057160000}"/>
    <cellStyle name="Porcentual 133 12 2" xfId="5306" xr:uid="{00000000-0005-0000-0000-000058160000}"/>
    <cellStyle name="Porcentual 133 12 3" xfId="7980" xr:uid="{00000000-0005-0000-0000-000059160000}"/>
    <cellStyle name="Porcentual 133 13" xfId="1646" xr:uid="{00000000-0005-0000-0000-00005A160000}"/>
    <cellStyle name="Porcentual 133 13 2" xfId="5307" xr:uid="{00000000-0005-0000-0000-00005B160000}"/>
    <cellStyle name="Porcentual 133 13 3" xfId="7981" xr:uid="{00000000-0005-0000-0000-00005C160000}"/>
    <cellStyle name="Porcentual 133 14" xfId="1647" xr:uid="{00000000-0005-0000-0000-00005D160000}"/>
    <cellStyle name="Porcentual 133 14 2" xfId="5308" xr:uid="{00000000-0005-0000-0000-00005E160000}"/>
    <cellStyle name="Porcentual 133 14 3" xfId="7982" xr:uid="{00000000-0005-0000-0000-00005F160000}"/>
    <cellStyle name="Porcentual 133 15" xfId="1648" xr:uid="{00000000-0005-0000-0000-000060160000}"/>
    <cellStyle name="Porcentual 133 15 2" xfId="5309" xr:uid="{00000000-0005-0000-0000-000061160000}"/>
    <cellStyle name="Porcentual 133 15 3" xfId="7983" xr:uid="{00000000-0005-0000-0000-000062160000}"/>
    <cellStyle name="Porcentual 133 16" xfId="1649" xr:uid="{00000000-0005-0000-0000-000063160000}"/>
    <cellStyle name="Porcentual 133 16 2" xfId="5310" xr:uid="{00000000-0005-0000-0000-000064160000}"/>
    <cellStyle name="Porcentual 133 16 3" xfId="7984" xr:uid="{00000000-0005-0000-0000-000065160000}"/>
    <cellStyle name="Porcentual 133 17" xfId="1650" xr:uid="{00000000-0005-0000-0000-000066160000}"/>
    <cellStyle name="Porcentual 133 17 2" xfId="5311" xr:uid="{00000000-0005-0000-0000-000067160000}"/>
    <cellStyle name="Porcentual 133 17 3" xfId="7985" xr:uid="{00000000-0005-0000-0000-000068160000}"/>
    <cellStyle name="Porcentual 133 18" xfId="1651" xr:uid="{00000000-0005-0000-0000-000069160000}"/>
    <cellStyle name="Porcentual 133 18 2" xfId="5312" xr:uid="{00000000-0005-0000-0000-00006A160000}"/>
    <cellStyle name="Porcentual 133 18 3" xfId="7986" xr:uid="{00000000-0005-0000-0000-00006B160000}"/>
    <cellStyle name="Porcentual 133 19" xfId="1652" xr:uid="{00000000-0005-0000-0000-00006C160000}"/>
    <cellStyle name="Porcentual 133 19 2" xfId="5313" xr:uid="{00000000-0005-0000-0000-00006D160000}"/>
    <cellStyle name="Porcentual 133 19 3" xfId="7987" xr:uid="{00000000-0005-0000-0000-00006E160000}"/>
    <cellStyle name="Porcentual 133 2" xfId="1653" xr:uid="{00000000-0005-0000-0000-00006F160000}"/>
    <cellStyle name="Porcentual 133 2 2" xfId="5314" xr:uid="{00000000-0005-0000-0000-000070160000}"/>
    <cellStyle name="Porcentual 133 2 3" xfId="7988" xr:uid="{00000000-0005-0000-0000-000071160000}"/>
    <cellStyle name="Porcentual 133 20" xfId="1654" xr:uid="{00000000-0005-0000-0000-000072160000}"/>
    <cellStyle name="Porcentual 133 20 2" xfId="5315" xr:uid="{00000000-0005-0000-0000-000073160000}"/>
    <cellStyle name="Porcentual 133 20 3" xfId="7989" xr:uid="{00000000-0005-0000-0000-000074160000}"/>
    <cellStyle name="Porcentual 133 21" xfId="1655" xr:uid="{00000000-0005-0000-0000-000075160000}"/>
    <cellStyle name="Porcentual 133 21 2" xfId="5316" xr:uid="{00000000-0005-0000-0000-000076160000}"/>
    <cellStyle name="Porcentual 133 21 3" xfId="7990" xr:uid="{00000000-0005-0000-0000-000077160000}"/>
    <cellStyle name="Porcentual 133 22" xfId="1656" xr:uid="{00000000-0005-0000-0000-000078160000}"/>
    <cellStyle name="Porcentual 133 22 2" xfId="5317" xr:uid="{00000000-0005-0000-0000-000079160000}"/>
    <cellStyle name="Porcentual 133 22 3" xfId="7991" xr:uid="{00000000-0005-0000-0000-00007A160000}"/>
    <cellStyle name="Porcentual 133 23" xfId="1657" xr:uid="{00000000-0005-0000-0000-00007B160000}"/>
    <cellStyle name="Porcentual 133 23 2" xfId="5318" xr:uid="{00000000-0005-0000-0000-00007C160000}"/>
    <cellStyle name="Porcentual 133 23 3" xfId="7992" xr:uid="{00000000-0005-0000-0000-00007D160000}"/>
    <cellStyle name="Porcentual 133 24" xfId="1658" xr:uid="{00000000-0005-0000-0000-00007E160000}"/>
    <cellStyle name="Porcentual 133 24 2" xfId="5319" xr:uid="{00000000-0005-0000-0000-00007F160000}"/>
    <cellStyle name="Porcentual 133 24 3" xfId="7993" xr:uid="{00000000-0005-0000-0000-000080160000}"/>
    <cellStyle name="Porcentual 133 25" xfId="1659" xr:uid="{00000000-0005-0000-0000-000081160000}"/>
    <cellStyle name="Porcentual 133 25 2" xfId="5320" xr:uid="{00000000-0005-0000-0000-000082160000}"/>
    <cellStyle name="Porcentual 133 25 3" xfId="7994" xr:uid="{00000000-0005-0000-0000-000083160000}"/>
    <cellStyle name="Porcentual 133 26" xfId="1660" xr:uid="{00000000-0005-0000-0000-000084160000}"/>
    <cellStyle name="Porcentual 133 26 2" xfId="5321" xr:uid="{00000000-0005-0000-0000-000085160000}"/>
    <cellStyle name="Porcentual 133 26 3" xfId="7995" xr:uid="{00000000-0005-0000-0000-000086160000}"/>
    <cellStyle name="Porcentual 133 27" xfId="1661" xr:uid="{00000000-0005-0000-0000-000087160000}"/>
    <cellStyle name="Porcentual 133 27 2" xfId="5322" xr:uid="{00000000-0005-0000-0000-000088160000}"/>
    <cellStyle name="Porcentual 133 27 3" xfId="7996" xr:uid="{00000000-0005-0000-0000-000089160000}"/>
    <cellStyle name="Porcentual 133 28" xfId="1662" xr:uid="{00000000-0005-0000-0000-00008A160000}"/>
    <cellStyle name="Porcentual 133 28 2" xfId="5323" xr:uid="{00000000-0005-0000-0000-00008B160000}"/>
    <cellStyle name="Porcentual 133 28 3" xfId="7997" xr:uid="{00000000-0005-0000-0000-00008C160000}"/>
    <cellStyle name="Porcentual 133 3" xfId="1663" xr:uid="{00000000-0005-0000-0000-00008D160000}"/>
    <cellStyle name="Porcentual 133 3 2" xfId="5324" xr:uid="{00000000-0005-0000-0000-00008E160000}"/>
    <cellStyle name="Porcentual 133 3 3" xfId="7998" xr:uid="{00000000-0005-0000-0000-00008F160000}"/>
    <cellStyle name="Porcentual 133 4" xfId="1664" xr:uid="{00000000-0005-0000-0000-000090160000}"/>
    <cellStyle name="Porcentual 133 4 2" xfId="5325" xr:uid="{00000000-0005-0000-0000-000091160000}"/>
    <cellStyle name="Porcentual 133 4 3" xfId="7999" xr:uid="{00000000-0005-0000-0000-000092160000}"/>
    <cellStyle name="Porcentual 133 5" xfId="1665" xr:uid="{00000000-0005-0000-0000-000093160000}"/>
    <cellStyle name="Porcentual 133 5 2" xfId="5326" xr:uid="{00000000-0005-0000-0000-000094160000}"/>
    <cellStyle name="Porcentual 133 5 3" xfId="8000" xr:uid="{00000000-0005-0000-0000-000095160000}"/>
    <cellStyle name="Porcentual 133 6" xfId="1666" xr:uid="{00000000-0005-0000-0000-000096160000}"/>
    <cellStyle name="Porcentual 133 6 2" xfId="5327" xr:uid="{00000000-0005-0000-0000-000097160000}"/>
    <cellStyle name="Porcentual 133 6 3" xfId="8001" xr:uid="{00000000-0005-0000-0000-000098160000}"/>
    <cellStyle name="Porcentual 133 7" xfId="1667" xr:uid="{00000000-0005-0000-0000-000099160000}"/>
    <cellStyle name="Porcentual 133 7 2" xfId="5328" xr:uid="{00000000-0005-0000-0000-00009A160000}"/>
    <cellStyle name="Porcentual 133 7 3" xfId="8002" xr:uid="{00000000-0005-0000-0000-00009B160000}"/>
    <cellStyle name="Porcentual 133 8" xfId="1668" xr:uid="{00000000-0005-0000-0000-00009C160000}"/>
    <cellStyle name="Porcentual 133 8 2" xfId="5329" xr:uid="{00000000-0005-0000-0000-00009D160000}"/>
    <cellStyle name="Porcentual 133 8 3" xfId="8003" xr:uid="{00000000-0005-0000-0000-00009E160000}"/>
    <cellStyle name="Porcentual 133 9" xfId="1669" xr:uid="{00000000-0005-0000-0000-00009F160000}"/>
    <cellStyle name="Porcentual 133 9 2" xfId="5330" xr:uid="{00000000-0005-0000-0000-0000A0160000}"/>
    <cellStyle name="Porcentual 133 9 3" xfId="8004" xr:uid="{00000000-0005-0000-0000-0000A1160000}"/>
    <cellStyle name="Porcentual 134 10" xfId="1670" xr:uid="{00000000-0005-0000-0000-0000A2160000}"/>
    <cellStyle name="Porcentual 134 10 2" xfId="5331" xr:uid="{00000000-0005-0000-0000-0000A3160000}"/>
    <cellStyle name="Porcentual 134 10 3" xfId="8005" xr:uid="{00000000-0005-0000-0000-0000A4160000}"/>
    <cellStyle name="Porcentual 134 11" xfId="1671" xr:uid="{00000000-0005-0000-0000-0000A5160000}"/>
    <cellStyle name="Porcentual 134 11 2" xfId="5332" xr:uid="{00000000-0005-0000-0000-0000A6160000}"/>
    <cellStyle name="Porcentual 134 11 3" xfId="8006" xr:uid="{00000000-0005-0000-0000-0000A7160000}"/>
    <cellStyle name="Porcentual 134 12" xfId="1672" xr:uid="{00000000-0005-0000-0000-0000A8160000}"/>
    <cellStyle name="Porcentual 134 12 2" xfId="5333" xr:uid="{00000000-0005-0000-0000-0000A9160000}"/>
    <cellStyle name="Porcentual 134 12 3" xfId="8007" xr:uid="{00000000-0005-0000-0000-0000AA160000}"/>
    <cellStyle name="Porcentual 134 13" xfId="1673" xr:uid="{00000000-0005-0000-0000-0000AB160000}"/>
    <cellStyle name="Porcentual 134 13 2" xfId="5334" xr:uid="{00000000-0005-0000-0000-0000AC160000}"/>
    <cellStyle name="Porcentual 134 13 3" xfId="8008" xr:uid="{00000000-0005-0000-0000-0000AD160000}"/>
    <cellStyle name="Porcentual 134 14" xfId="1674" xr:uid="{00000000-0005-0000-0000-0000AE160000}"/>
    <cellStyle name="Porcentual 134 14 2" xfId="5335" xr:uid="{00000000-0005-0000-0000-0000AF160000}"/>
    <cellStyle name="Porcentual 134 14 3" xfId="8009" xr:uid="{00000000-0005-0000-0000-0000B0160000}"/>
    <cellStyle name="Porcentual 134 15" xfId="1675" xr:uid="{00000000-0005-0000-0000-0000B1160000}"/>
    <cellStyle name="Porcentual 134 15 2" xfId="5336" xr:uid="{00000000-0005-0000-0000-0000B2160000}"/>
    <cellStyle name="Porcentual 134 15 3" xfId="8010" xr:uid="{00000000-0005-0000-0000-0000B3160000}"/>
    <cellStyle name="Porcentual 134 16" xfId="1676" xr:uid="{00000000-0005-0000-0000-0000B4160000}"/>
    <cellStyle name="Porcentual 134 16 2" xfId="5337" xr:uid="{00000000-0005-0000-0000-0000B5160000}"/>
    <cellStyle name="Porcentual 134 16 3" xfId="8011" xr:uid="{00000000-0005-0000-0000-0000B6160000}"/>
    <cellStyle name="Porcentual 134 17" xfId="1677" xr:uid="{00000000-0005-0000-0000-0000B7160000}"/>
    <cellStyle name="Porcentual 134 17 2" xfId="5338" xr:uid="{00000000-0005-0000-0000-0000B8160000}"/>
    <cellStyle name="Porcentual 134 17 3" xfId="8012" xr:uid="{00000000-0005-0000-0000-0000B9160000}"/>
    <cellStyle name="Porcentual 134 18" xfId="1678" xr:uid="{00000000-0005-0000-0000-0000BA160000}"/>
    <cellStyle name="Porcentual 134 18 2" xfId="5339" xr:uid="{00000000-0005-0000-0000-0000BB160000}"/>
    <cellStyle name="Porcentual 134 18 3" xfId="8013" xr:uid="{00000000-0005-0000-0000-0000BC160000}"/>
    <cellStyle name="Porcentual 134 19" xfId="1679" xr:uid="{00000000-0005-0000-0000-0000BD160000}"/>
    <cellStyle name="Porcentual 134 19 2" xfId="5340" xr:uid="{00000000-0005-0000-0000-0000BE160000}"/>
    <cellStyle name="Porcentual 134 19 3" xfId="8014" xr:uid="{00000000-0005-0000-0000-0000BF160000}"/>
    <cellStyle name="Porcentual 134 2" xfId="1680" xr:uid="{00000000-0005-0000-0000-0000C0160000}"/>
    <cellStyle name="Porcentual 134 2 2" xfId="5341" xr:uid="{00000000-0005-0000-0000-0000C1160000}"/>
    <cellStyle name="Porcentual 134 2 3" xfId="8015" xr:uid="{00000000-0005-0000-0000-0000C2160000}"/>
    <cellStyle name="Porcentual 134 20" xfId="1681" xr:uid="{00000000-0005-0000-0000-0000C3160000}"/>
    <cellStyle name="Porcentual 134 20 2" xfId="5342" xr:uid="{00000000-0005-0000-0000-0000C4160000}"/>
    <cellStyle name="Porcentual 134 20 3" xfId="8016" xr:uid="{00000000-0005-0000-0000-0000C5160000}"/>
    <cellStyle name="Porcentual 134 21" xfId="1682" xr:uid="{00000000-0005-0000-0000-0000C6160000}"/>
    <cellStyle name="Porcentual 134 21 2" xfId="5343" xr:uid="{00000000-0005-0000-0000-0000C7160000}"/>
    <cellStyle name="Porcentual 134 21 3" xfId="8017" xr:uid="{00000000-0005-0000-0000-0000C8160000}"/>
    <cellStyle name="Porcentual 134 22" xfId="1683" xr:uid="{00000000-0005-0000-0000-0000C9160000}"/>
    <cellStyle name="Porcentual 134 22 2" xfId="5344" xr:uid="{00000000-0005-0000-0000-0000CA160000}"/>
    <cellStyle name="Porcentual 134 22 3" xfId="8018" xr:uid="{00000000-0005-0000-0000-0000CB160000}"/>
    <cellStyle name="Porcentual 134 23" xfId="1684" xr:uid="{00000000-0005-0000-0000-0000CC160000}"/>
    <cellStyle name="Porcentual 134 23 2" xfId="5345" xr:uid="{00000000-0005-0000-0000-0000CD160000}"/>
    <cellStyle name="Porcentual 134 23 3" xfId="8019" xr:uid="{00000000-0005-0000-0000-0000CE160000}"/>
    <cellStyle name="Porcentual 134 24" xfId="1685" xr:uid="{00000000-0005-0000-0000-0000CF160000}"/>
    <cellStyle name="Porcentual 134 24 2" xfId="5346" xr:uid="{00000000-0005-0000-0000-0000D0160000}"/>
    <cellStyle name="Porcentual 134 24 3" xfId="8020" xr:uid="{00000000-0005-0000-0000-0000D1160000}"/>
    <cellStyle name="Porcentual 134 25" xfId="1686" xr:uid="{00000000-0005-0000-0000-0000D2160000}"/>
    <cellStyle name="Porcentual 134 25 2" xfId="5347" xr:uid="{00000000-0005-0000-0000-0000D3160000}"/>
    <cellStyle name="Porcentual 134 25 3" xfId="8021" xr:uid="{00000000-0005-0000-0000-0000D4160000}"/>
    <cellStyle name="Porcentual 134 26" xfId="1687" xr:uid="{00000000-0005-0000-0000-0000D5160000}"/>
    <cellStyle name="Porcentual 134 26 2" xfId="5348" xr:uid="{00000000-0005-0000-0000-0000D6160000}"/>
    <cellStyle name="Porcentual 134 26 3" xfId="8022" xr:uid="{00000000-0005-0000-0000-0000D7160000}"/>
    <cellStyle name="Porcentual 134 27" xfId="1688" xr:uid="{00000000-0005-0000-0000-0000D8160000}"/>
    <cellStyle name="Porcentual 134 27 2" xfId="5349" xr:uid="{00000000-0005-0000-0000-0000D9160000}"/>
    <cellStyle name="Porcentual 134 27 3" xfId="8023" xr:uid="{00000000-0005-0000-0000-0000DA160000}"/>
    <cellStyle name="Porcentual 134 28" xfId="1689" xr:uid="{00000000-0005-0000-0000-0000DB160000}"/>
    <cellStyle name="Porcentual 134 28 2" xfId="5350" xr:uid="{00000000-0005-0000-0000-0000DC160000}"/>
    <cellStyle name="Porcentual 134 28 3" xfId="8024" xr:uid="{00000000-0005-0000-0000-0000DD160000}"/>
    <cellStyle name="Porcentual 134 3" xfId="1690" xr:uid="{00000000-0005-0000-0000-0000DE160000}"/>
    <cellStyle name="Porcentual 134 3 2" xfId="5351" xr:uid="{00000000-0005-0000-0000-0000DF160000}"/>
    <cellStyle name="Porcentual 134 3 3" xfId="8025" xr:uid="{00000000-0005-0000-0000-0000E0160000}"/>
    <cellStyle name="Porcentual 134 4" xfId="1691" xr:uid="{00000000-0005-0000-0000-0000E1160000}"/>
    <cellStyle name="Porcentual 134 4 2" xfId="5352" xr:uid="{00000000-0005-0000-0000-0000E2160000}"/>
    <cellStyle name="Porcentual 134 4 3" xfId="8026" xr:uid="{00000000-0005-0000-0000-0000E3160000}"/>
    <cellStyle name="Porcentual 134 5" xfId="1692" xr:uid="{00000000-0005-0000-0000-0000E4160000}"/>
    <cellStyle name="Porcentual 134 5 2" xfId="5353" xr:uid="{00000000-0005-0000-0000-0000E5160000}"/>
    <cellStyle name="Porcentual 134 5 3" xfId="8027" xr:uid="{00000000-0005-0000-0000-0000E6160000}"/>
    <cellStyle name="Porcentual 134 6" xfId="1693" xr:uid="{00000000-0005-0000-0000-0000E7160000}"/>
    <cellStyle name="Porcentual 134 6 2" xfId="5354" xr:uid="{00000000-0005-0000-0000-0000E8160000}"/>
    <cellStyle name="Porcentual 134 6 3" xfId="8028" xr:uid="{00000000-0005-0000-0000-0000E9160000}"/>
    <cellStyle name="Porcentual 134 7" xfId="1694" xr:uid="{00000000-0005-0000-0000-0000EA160000}"/>
    <cellStyle name="Porcentual 134 7 2" xfId="5355" xr:uid="{00000000-0005-0000-0000-0000EB160000}"/>
    <cellStyle name="Porcentual 134 7 3" xfId="8029" xr:uid="{00000000-0005-0000-0000-0000EC160000}"/>
    <cellStyle name="Porcentual 134 8" xfId="1695" xr:uid="{00000000-0005-0000-0000-0000ED160000}"/>
    <cellStyle name="Porcentual 134 8 2" xfId="5356" xr:uid="{00000000-0005-0000-0000-0000EE160000}"/>
    <cellStyle name="Porcentual 134 8 3" xfId="8030" xr:uid="{00000000-0005-0000-0000-0000EF160000}"/>
    <cellStyle name="Porcentual 134 9" xfId="1696" xr:uid="{00000000-0005-0000-0000-0000F0160000}"/>
    <cellStyle name="Porcentual 134 9 2" xfId="5357" xr:uid="{00000000-0005-0000-0000-0000F1160000}"/>
    <cellStyle name="Porcentual 134 9 3" xfId="8031" xr:uid="{00000000-0005-0000-0000-0000F2160000}"/>
    <cellStyle name="Porcentual 135 10" xfId="1697" xr:uid="{00000000-0005-0000-0000-0000F3160000}"/>
    <cellStyle name="Porcentual 135 10 2" xfId="5358" xr:uid="{00000000-0005-0000-0000-0000F4160000}"/>
    <cellStyle name="Porcentual 135 10 3" xfId="8032" xr:uid="{00000000-0005-0000-0000-0000F5160000}"/>
    <cellStyle name="Porcentual 135 11" xfId="1698" xr:uid="{00000000-0005-0000-0000-0000F6160000}"/>
    <cellStyle name="Porcentual 135 11 2" xfId="5359" xr:uid="{00000000-0005-0000-0000-0000F7160000}"/>
    <cellStyle name="Porcentual 135 11 3" xfId="8033" xr:uid="{00000000-0005-0000-0000-0000F8160000}"/>
    <cellStyle name="Porcentual 135 12" xfId="1699" xr:uid="{00000000-0005-0000-0000-0000F9160000}"/>
    <cellStyle name="Porcentual 135 12 2" xfId="5360" xr:uid="{00000000-0005-0000-0000-0000FA160000}"/>
    <cellStyle name="Porcentual 135 12 3" xfId="8034" xr:uid="{00000000-0005-0000-0000-0000FB160000}"/>
    <cellStyle name="Porcentual 135 13" xfId="1700" xr:uid="{00000000-0005-0000-0000-0000FC160000}"/>
    <cellStyle name="Porcentual 135 13 2" xfId="5361" xr:uid="{00000000-0005-0000-0000-0000FD160000}"/>
    <cellStyle name="Porcentual 135 13 3" xfId="8035" xr:uid="{00000000-0005-0000-0000-0000FE160000}"/>
    <cellStyle name="Porcentual 135 14" xfId="1701" xr:uid="{00000000-0005-0000-0000-0000FF160000}"/>
    <cellStyle name="Porcentual 135 14 2" xfId="5362" xr:uid="{00000000-0005-0000-0000-000000170000}"/>
    <cellStyle name="Porcentual 135 14 3" xfId="8036" xr:uid="{00000000-0005-0000-0000-000001170000}"/>
    <cellStyle name="Porcentual 135 15" xfId="1702" xr:uid="{00000000-0005-0000-0000-000002170000}"/>
    <cellStyle name="Porcentual 135 15 2" xfId="5363" xr:uid="{00000000-0005-0000-0000-000003170000}"/>
    <cellStyle name="Porcentual 135 15 3" xfId="8037" xr:uid="{00000000-0005-0000-0000-000004170000}"/>
    <cellStyle name="Porcentual 135 16" xfId="1703" xr:uid="{00000000-0005-0000-0000-000005170000}"/>
    <cellStyle name="Porcentual 135 16 2" xfId="5364" xr:uid="{00000000-0005-0000-0000-000006170000}"/>
    <cellStyle name="Porcentual 135 16 3" xfId="8038" xr:uid="{00000000-0005-0000-0000-000007170000}"/>
    <cellStyle name="Porcentual 135 17" xfId="1704" xr:uid="{00000000-0005-0000-0000-000008170000}"/>
    <cellStyle name="Porcentual 135 17 2" xfId="5365" xr:uid="{00000000-0005-0000-0000-000009170000}"/>
    <cellStyle name="Porcentual 135 17 3" xfId="8039" xr:uid="{00000000-0005-0000-0000-00000A170000}"/>
    <cellStyle name="Porcentual 135 18" xfId="1705" xr:uid="{00000000-0005-0000-0000-00000B170000}"/>
    <cellStyle name="Porcentual 135 18 2" xfId="5366" xr:uid="{00000000-0005-0000-0000-00000C170000}"/>
    <cellStyle name="Porcentual 135 18 3" xfId="8040" xr:uid="{00000000-0005-0000-0000-00000D170000}"/>
    <cellStyle name="Porcentual 135 19" xfId="1706" xr:uid="{00000000-0005-0000-0000-00000E170000}"/>
    <cellStyle name="Porcentual 135 19 2" xfId="5367" xr:uid="{00000000-0005-0000-0000-00000F170000}"/>
    <cellStyle name="Porcentual 135 19 3" xfId="8041" xr:uid="{00000000-0005-0000-0000-000010170000}"/>
    <cellStyle name="Porcentual 135 2" xfId="1707" xr:uid="{00000000-0005-0000-0000-000011170000}"/>
    <cellStyle name="Porcentual 135 2 2" xfId="5368" xr:uid="{00000000-0005-0000-0000-000012170000}"/>
    <cellStyle name="Porcentual 135 2 3" xfId="8042" xr:uid="{00000000-0005-0000-0000-000013170000}"/>
    <cellStyle name="Porcentual 135 20" xfId="1708" xr:uid="{00000000-0005-0000-0000-000014170000}"/>
    <cellStyle name="Porcentual 135 20 2" xfId="5369" xr:uid="{00000000-0005-0000-0000-000015170000}"/>
    <cellStyle name="Porcentual 135 20 3" xfId="8043" xr:uid="{00000000-0005-0000-0000-000016170000}"/>
    <cellStyle name="Porcentual 135 21" xfId="1709" xr:uid="{00000000-0005-0000-0000-000017170000}"/>
    <cellStyle name="Porcentual 135 21 2" xfId="5370" xr:uid="{00000000-0005-0000-0000-000018170000}"/>
    <cellStyle name="Porcentual 135 21 3" xfId="8044" xr:uid="{00000000-0005-0000-0000-000019170000}"/>
    <cellStyle name="Porcentual 135 22" xfId="1710" xr:uid="{00000000-0005-0000-0000-00001A170000}"/>
    <cellStyle name="Porcentual 135 22 2" xfId="5371" xr:uid="{00000000-0005-0000-0000-00001B170000}"/>
    <cellStyle name="Porcentual 135 22 3" xfId="8045" xr:uid="{00000000-0005-0000-0000-00001C170000}"/>
    <cellStyle name="Porcentual 135 23" xfId="1711" xr:uid="{00000000-0005-0000-0000-00001D170000}"/>
    <cellStyle name="Porcentual 135 23 2" xfId="5372" xr:uid="{00000000-0005-0000-0000-00001E170000}"/>
    <cellStyle name="Porcentual 135 23 3" xfId="8046" xr:uid="{00000000-0005-0000-0000-00001F170000}"/>
    <cellStyle name="Porcentual 135 24" xfId="1712" xr:uid="{00000000-0005-0000-0000-000020170000}"/>
    <cellStyle name="Porcentual 135 24 2" xfId="5373" xr:uid="{00000000-0005-0000-0000-000021170000}"/>
    <cellStyle name="Porcentual 135 24 3" xfId="8047" xr:uid="{00000000-0005-0000-0000-000022170000}"/>
    <cellStyle name="Porcentual 135 25" xfId="1713" xr:uid="{00000000-0005-0000-0000-000023170000}"/>
    <cellStyle name="Porcentual 135 25 2" xfId="5374" xr:uid="{00000000-0005-0000-0000-000024170000}"/>
    <cellStyle name="Porcentual 135 25 3" xfId="8048" xr:uid="{00000000-0005-0000-0000-000025170000}"/>
    <cellStyle name="Porcentual 135 26" xfId="1714" xr:uid="{00000000-0005-0000-0000-000026170000}"/>
    <cellStyle name="Porcentual 135 26 2" xfId="5375" xr:uid="{00000000-0005-0000-0000-000027170000}"/>
    <cellStyle name="Porcentual 135 26 3" xfId="8049" xr:uid="{00000000-0005-0000-0000-000028170000}"/>
    <cellStyle name="Porcentual 135 27" xfId="1715" xr:uid="{00000000-0005-0000-0000-000029170000}"/>
    <cellStyle name="Porcentual 135 27 2" xfId="5376" xr:uid="{00000000-0005-0000-0000-00002A170000}"/>
    <cellStyle name="Porcentual 135 27 3" xfId="8050" xr:uid="{00000000-0005-0000-0000-00002B170000}"/>
    <cellStyle name="Porcentual 135 28" xfId="1716" xr:uid="{00000000-0005-0000-0000-00002C170000}"/>
    <cellStyle name="Porcentual 135 28 2" xfId="5377" xr:uid="{00000000-0005-0000-0000-00002D170000}"/>
    <cellStyle name="Porcentual 135 28 3" xfId="8051" xr:uid="{00000000-0005-0000-0000-00002E170000}"/>
    <cellStyle name="Porcentual 135 3" xfId="1717" xr:uid="{00000000-0005-0000-0000-00002F170000}"/>
    <cellStyle name="Porcentual 135 3 2" xfId="5378" xr:uid="{00000000-0005-0000-0000-000030170000}"/>
    <cellStyle name="Porcentual 135 3 3" xfId="8052" xr:uid="{00000000-0005-0000-0000-000031170000}"/>
    <cellStyle name="Porcentual 135 4" xfId="1718" xr:uid="{00000000-0005-0000-0000-000032170000}"/>
    <cellStyle name="Porcentual 135 4 2" xfId="5379" xr:uid="{00000000-0005-0000-0000-000033170000}"/>
    <cellStyle name="Porcentual 135 4 3" xfId="8053" xr:uid="{00000000-0005-0000-0000-000034170000}"/>
    <cellStyle name="Porcentual 135 5" xfId="1719" xr:uid="{00000000-0005-0000-0000-000035170000}"/>
    <cellStyle name="Porcentual 135 5 2" xfId="5380" xr:uid="{00000000-0005-0000-0000-000036170000}"/>
    <cellStyle name="Porcentual 135 5 3" xfId="8054" xr:uid="{00000000-0005-0000-0000-000037170000}"/>
    <cellStyle name="Porcentual 135 6" xfId="1720" xr:uid="{00000000-0005-0000-0000-000038170000}"/>
    <cellStyle name="Porcentual 135 6 2" xfId="5381" xr:uid="{00000000-0005-0000-0000-000039170000}"/>
    <cellStyle name="Porcentual 135 6 3" xfId="8055" xr:uid="{00000000-0005-0000-0000-00003A170000}"/>
    <cellStyle name="Porcentual 135 7" xfId="1721" xr:uid="{00000000-0005-0000-0000-00003B170000}"/>
    <cellStyle name="Porcentual 135 7 2" xfId="5382" xr:uid="{00000000-0005-0000-0000-00003C170000}"/>
    <cellStyle name="Porcentual 135 7 3" xfId="8056" xr:uid="{00000000-0005-0000-0000-00003D170000}"/>
    <cellStyle name="Porcentual 135 8" xfId="1722" xr:uid="{00000000-0005-0000-0000-00003E170000}"/>
    <cellStyle name="Porcentual 135 8 2" xfId="5383" xr:uid="{00000000-0005-0000-0000-00003F170000}"/>
    <cellStyle name="Porcentual 135 8 3" xfId="8057" xr:uid="{00000000-0005-0000-0000-000040170000}"/>
    <cellStyle name="Porcentual 135 9" xfId="1723" xr:uid="{00000000-0005-0000-0000-000041170000}"/>
    <cellStyle name="Porcentual 135 9 2" xfId="5384" xr:uid="{00000000-0005-0000-0000-000042170000}"/>
    <cellStyle name="Porcentual 135 9 3" xfId="8058" xr:uid="{00000000-0005-0000-0000-000043170000}"/>
    <cellStyle name="Porcentual 136 10" xfId="1724" xr:uid="{00000000-0005-0000-0000-000044170000}"/>
    <cellStyle name="Porcentual 136 10 2" xfId="5385" xr:uid="{00000000-0005-0000-0000-000045170000}"/>
    <cellStyle name="Porcentual 136 10 3" xfId="8059" xr:uid="{00000000-0005-0000-0000-000046170000}"/>
    <cellStyle name="Porcentual 136 11" xfId="1725" xr:uid="{00000000-0005-0000-0000-000047170000}"/>
    <cellStyle name="Porcentual 136 11 2" xfId="5386" xr:uid="{00000000-0005-0000-0000-000048170000}"/>
    <cellStyle name="Porcentual 136 11 3" xfId="8060" xr:uid="{00000000-0005-0000-0000-000049170000}"/>
    <cellStyle name="Porcentual 136 12" xfId="1726" xr:uid="{00000000-0005-0000-0000-00004A170000}"/>
    <cellStyle name="Porcentual 136 12 2" xfId="5387" xr:uid="{00000000-0005-0000-0000-00004B170000}"/>
    <cellStyle name="Porcentual 136 12 3" xfId="8061" xr:uid="{00000000-0005-0000-0000-00004C170000}"/>
    <cellStyle name="Porcentual 136 13" xfId="1727" xr:uid="{00000000-0005-0000-0000-00004D170000}"/>
    <cellStyle name="Porcentual 136 13 2" xfId="5388" xr:uid="{00000000-0005-0000-0000-00004E170000}"/>
    <cellStyle name="Porcentual 136 13 3" xfId="8062" xr:uid="{00000000-0005-0000-0000-00004F170000}"/>
    <cellStyle name="Porcentual 136 14" xfId="1728" xr:uid="{00000000-0005-0000-0000-000050170000}"/>
    <cellStyle name="Porcentual 136 14 2" xfId="5389" xr:uid="{00000000-0005-0000-0000-000051170000}"/>
    <cellStyle name="Porcentual 136 14 3" xfId="8063" xr:uid="{00000000-0005-0000-0000-000052170000}"/>
    <cellStyle name="Porcentual 136 15" xfId="1729" xr:uid="{00000000-0005-0000-0000-000053170000}"/>
    <cellStyle name="Porcentual 136 15 2" xfId="5390" xr:uid="{00000000-0005-0000-0000-000054170000}"/>
    <cellStyle name="Porcentual 136 15 3" xfId="8064" xr:uid="{00000000-0005-0000-0000-000055170000}"/>
    <cellStyle name="Porcentual 136 16" xfId="1730" xr:uid="{00000000-0005-0000-0000-000056170000}"/>
    <cellStyle name="Porcentual 136 16 2" xfId="5391" xr:uid="{00000000-0005-0000-0000-000057170000}"/>
    <cellStyle name="Porcentual 136 16 3" xfId="8065" xr:uid="{00000000-0005-0000-0000-000058170000}"/>
    <cellStyle name="Porcentual 136 17" xfId="1731" xr:uid="{00000000-0005-0000-0000-000059170000}"/>
    <cellStyle name="Porcentual 136 17 2" xfId="5392" xr:uid="{00000000-0005-0000-0000-00005A170000}"/>
    <cellStyle name="Porcentual 136 17 3" xfId="8066" xr:uid="{00000000-0005-0000-0000-00005B170000}"/>
    <cellStyle name="Porcentual 136 18" xfId="1732" xr:uid="{00000000-0005-0000-0000-00005C170000}"/>
    <cellStyle name="Porcentual 136 18 2" xfId="5393" xr:uid="{00000000-0005-0000-0000-00005D170000}"/>
    <cellStyle name="Porcentual 136 18 3" xfId="8067" xr:uid="{00000000-0005-0000-0000-00005E170000}"/>
    <cellStyle name="Porcentual 136 19" xfId="1733" xr:uid="{00000000-0005-0000-0000-00005F170000}"/>
    <cellStyle name="Porcentual 136 19 2" xfId="5394" xr:uid="{00000000-0005-0000-0000-000060170000}"/>
    <cellStyle name="Porcentual 136 19 3" xfId="8068" xr:uid="{00000000-0005-0000-0000-000061170000}"/>
    <cellStyle name="Porcentual 136 2" xfId="1734" xr:uid="{00000000-0005-0000-0000-000062170000}"/>
    <cellStyle name="Porcentual 136 2 2" xfId="5395" xr:uid="{00000000-0005-0000-0000-000063170000}"/>
    <cellStyle name="Porcentual 136 2 3" xfId="8069" xr:uid="{00000000-0005-0000-0000-000064170000}"/>
    <cellStyle name="Porcentual 136 20" xfId="1735" xr:uid="{00000000-0005-0000-0000-000065170000}"/>
    <cellStyle name="Porcentual 136 20 2" xfId="5396" xr:uid="{00000000-0005-0000-0000-000066170000}"/>
    <cellStyle name="Porcentual 136 20 3" xfId="8070" xr:uid="{00000000-0005-0000-0000-000067170000}"/>
    <cellStyle name="Porcentual 136 21" xfId="1736" xr:uid="{00000000-0005-0000-0000-000068170000}"/>
    <cellStyle name="Porcentual 136 21 2" xfId="5397" xr:uid="{00000000-0005-0000-0000-000069170000}"/>
    <cellStyle name="Porcentual 136 21 3" xfId="8071" xr:uid="{00000000-0005-0000-0000-00006A170000}"/>
    <cellStyle name="Porcentual 136 22" xfId="1737" xr:uid="{00000000-0005-0000-0000-00006B170000}"/>
    <cellStyle name="Porcentual 136 22 2" xfId="5398" xr:uid="{00000000-0005-0000-0000-00006C170000}"/>
    <cellStyle name="Porcentual 136 22 3" xfId="8072" xr:uid="{00000000-0005-0000-0000-00006D170000}"/>
    <cellStyle name="Porcentual 136 23" xfId="1738" xr:uid="{00000000-0005-0000-0000-00006E170000}"/>
    <cellStyle name="Porcentual 136 23 2" xfId="5399" xr:uid="{00000000-0005-0000-0000-00006F170000}"/>
    <cellStyle name="Porcentual 136 23 3" xfId="8073" xr:uid="{00000000-0005-0000-0000-000070170000}"/>
    <cellStyle name="Porcentual 136 24" xfId="1739" xr:uid="{00000000-0005-0000-0000-000071170000}"/>
    <cellStyle name="Porcentual 136 24 2" xfId="5400" xr:uid="{00000000-0005-0000-0000-000072170000}"/>
    <cellStyle name="Porcentual 136 24 3" xfId="8074" xr:uid="{00000000-0005-0000-0000-000073170000}"/>
    <cellStyle name="Porcentual 136 25" xfId="1740" xr:uid="{00000000-0005-0000-0000-000074170000}"/>
    <cellStyle name="Porcentual 136 25 2" xfId="5401" xr:uid="{00000000-0005-0000-0000-000075170000}"/>
    <cellStyle name="Porcentual 136 25 3" xfId="8075" xr:uid="{00000000-0005-0000-0000-000076170000}"/>
    <cellStyle name="Porcentual 136 26" xfId="1741" xr:uid="{00000000-0005-0000-0000-000077170000}"/>
    <cellStyle name="Porcentual 136 26 2" xfId="5402" xr:uid="{00000000-0005-0000-0000-000078170000}"/>
    <cellStyle name="Porcentual 136 26 3" xfId="8076" xr:uid="{00000000-0005-0000-0000-000079170000}"/>
    <cellStyle name="Porcentual 136 27" xfId="1742" xr:uid="{00000000-0005-0000-0000-00007A170000}"/>
    <cellStyle name="Porcentual 136 27 2" xfId="5403" xr:uid="{00000000-0005-0000-0000-00007B170000}"/>
    <cellStyle name="Porcentual 136 27 3" xfId="8077" xr:uid="{00000000-0005-0000-0000-00007C170000}"/>
    <cellStyle name="Porcentual 136 28" xfId="1743" xr:uid="{00000000-0005-0000-0000-00007D170000}"/>
    <cellStyle name="Porcentual 136 28 2" xfId="5404" xr:uid="{00000000-0005-0000-0000-00007E170000}"/>
    <cellStyle name="Porcentual 136 28 3" xfId="8078" xr:uid="{00000000-0005-0000-0000-00007F170000}"/>
    <cellStyle name="Porcentual 136 3" xfId="1744" xr:uid="{00000000-0005-0000-0000-000080170000}"/>
    <cellStyle name="Porcentual 136 3 2" xfId="5405" xr:uid="{00000000-0005-0000-0000-000081170000}"/>
    <cellStyle name="Porcentual 136 3 3" xfId="8079" xr:uid="{00000000-0005-0000-0000-000082170000}"/>
    <cellStyle name="Porcentual 136 4" xfId="1745" xr:uid="{00000000-0005-0000-0000-000083170000}"/>
    <cellStyle name="Porcentual 136 4 2" xfId="5406" xr:uid="{00000000-0005-0000-0000-000084170000}"/>
    <cellStyle name="Porcentual 136 4 3" xfId="8080" xr:uid="{00000000-0005-0000-0000-000085170000}"/>
    <cellStyle name="Porcentual 136 5" xfId="1746" xr:uid="{00000000-0005-0000-0000-000086170000}"/>
    <cellStyle name="Porcentual 136 5 2" xfId="5407" xr:uid="{00000000-0005-0000-0000-000087170000}"/>
    <cellStyle name="Porcentual 136 5 3" xfId="8081" xr:uid="{00000000-0005-0000-0000-000088170000}"/>
    <cellStyle name="Porcentual 136 6" xfId="1747" xr:uid="{00000000-0005-0000-0000-000089170000}"/>
    <cellStyle name="Porcentual 136 6 2" xfId="5408" xr:uid="{00000000-0005-0000-0000-00008A170000}"/>
    <cellStyle name="Porcentual 136 6 3" xfId="8082" xr:uid="{00000000-0005-0000-0000-00008B170000}"/>
    <cellStyle name="Porcentual 136 7" xfId="1748" xr:uid="{00000000-0005-0000-0000-00008C170000}"/>
    <cellStyle name="Porcentual 136 7 2" xfId="5409" xr:uid="{00000000-0005-0000-0000-00008D170000}"/>
    <cellStyle name="Porcentual 136 7 3" xfId="8083" xr:uid="{00000000-0005-0000-0000-00008E170000}"/>
    <cellStyle name="Porcentual 136 8" xfId="1749" xr:uid="{00000000-0005-0000-0000-00008F170000}"/>
    <cellStyle name="Porcentual 136 8 2" xfId="5410" xr:uid="{00000000-0005-0000-0000-000090170000}"/>
    <cellStyle name="Porcentual 136 8 3" xfId="8084" xr:uid="{00000000-0005-0000-0000-000091170000}"/>
    <cellStyle name="Porcentual 136 9" xfId="1750" xr:uid="{00000000-0005-0000-0000-000092170000}"/>
    <cellStyle name="Porcentual 136 9 2" xfId="5411" xr:uid="{00000000-0005-0000-0000-000093170000}"/>
    <cellStyle name="Porcentual 136 9 3" xfId="8085" xr:uid="{00000000-0005-0000-0000-000094170000}"/>
    <cellStyle name="Porcentual 137 10" xfId="1751" xr:uid="{00000000-0005-0000-0000-000095170000}"/>
    <cellStyle name="Porcentual 137 10 2" xfId="5412" xr:uid="{00000000-0005-0000-0000-000096170000}"/>
    <cellStyle name="Porcentual 137 10 3" xfId="8086" xr:uid="{00000000-0005-0000-0000-000097170000}"/>
    <cellStyle name="Porcentual 137 11" xfId="1752" xr:uid="{00000000-0005-0000-0000-000098170000}"/>
    <cellStyle name="Porcentual 137 11 2" xfId="5413" xr:uid="{00000000-0005-0000-0000-000099170000}"/>
    <cellStyle name="Porcentual 137 11 3" xfId="8087" xr:uid="{00000000-0005-0000-0000-00009A170000}"/>
    <cellStyle name="Porcentual 137 12" xfId="1753" xr:uid="{00000000-0005-0000-0000-00009B170000}"/>
    <cellStyle name="Porcentual 137 12 2" xfId="5414" xr:uid="{00000000-0005-0000-0000-00009C170000}"/>
    <cellStyle name="Porcentual 137 12 3" xfId="8088" xr:uid="{00000000-0005-0000-0000-00009D170000}"/>
    <cellStyle name="Porcentual 137 13" xfId="1754" xr:uid="{00000000-0005-0000-0000-00009E170000}"/>
    <cellStyle name="Porcentual 137 13 2" xfId="5415" xr:uid="{00000000-0005-0000-0000-00009F170000}"/>
    <cellStyle name="Porcentual 137 13 3" xfId="8089" xr:uid="{00000000-0005-0000-0000-0000A0170000}"/>
    <cellStyle name="Porcentual 137 14" xfId="1755" xr:uid="{00000000-0005-0000-0000-0000A1170000}"/>
    <cellStyle name="Porcentual 137 14 2" xfId="5416" xr:uid="{00000000-0005-0000-0000-0000A2170000}"/>
    <cellStyle name="Porcentual 137 14 3" xfId="8090" xr:uid="{00000000-0005-0000-0000-0000A3170000}"/>
    <cellStyle name="Porcentual 137 15" xfId="1756" xr:uid="{00000000-0005-0000-0000-0000A4170000}"/>
    <cellStyle name="Porcentual 137 15 2" xfId="5417" xr:uid="{00000000-0005-0000-0000-0000A5170000}"/>
    <cellStyle name="Porcentual 137 15 3" xfId="8091" xr:uid="{00000000-0005-0000-0000-0000A6170000}"/>
    <cellStyle name="Porcentual 137 16" xfId="1757" xr:uid="{00000000-0005-0000-0000-0000A7170000}"/>
    <cellStyle name="Porcentual 137 16 2" xfId="5418" xr:uid="{00000000-0005-0000-0000-0000A8170000}"/>
    <cellStyle name="Porcentual 137 16 3" xfId="8092" xr:uid="{00000000-0005-0000-0000-0000A9170000}"/>
    <cellStyle name="Porcentual 137 17" xfId="1758" xr:uid="{00000000-0005-0000-0000-0000AA170000}"/>
    <cellStyle name="Porcentual 137 17 2" xfId="5419" xr:uid="{00000000-0005-0000-0000-0000AB170000}"/>
    <cellStyle name="Porcentual 137 17 3" xfId="8093" xr:uid="{00000000-0005-0000-0000-0000AC170000}"/>
    <cellStyle name="Porcentual 137 18" xfId="1759" xr:uid="{00000000-0005-0000-0000-0000AD170000}"/>
    <cellStyle name="Porcentual 137 18 2" xfId="5420" xr:uid="{00000000-0005-0000-0000-0000AE170000}"/>
    <cellStyle name="Porcentual 137 18 3" xfId="8094" xr:uid="{00000000-0005-0000-0000-0000AF170000}"/>
    <cellStyle name="Porcentual 137 19" xfId="1760" xr:uid="{00000000-0005-0000-0000-0000B0170000}"/>
    <cellStyle name="Porcentual 137 19 2" xfId="5421" xr:uid="{00000000-0005-0000-0000-0000B1170000}"/>
    <cellStyle name="Porcentual 137 19 3" xfId="8095" xr:uid="{00000000-0005-0000-0000-0000B2170000}"/>
    <cellStyle name="Porcentual 137 2" xfId="1761" xr:uid="{00000000-0005-0000-0000-0000B3170000}"/>
    <cellStyle name="Porcentual 137 2 2" xfId="5422" xr:uid="{00000000-0005-0000-0000-0000B4170000}"/>
    <cellStyle name="Porcentual 137 2 3" xfId="8096" xr:uid="{00000000-0005-0000-0000-0000B5170000}"/>
    <cellStyle name="Porcentual 137 20" xfId="1762" xr:uid="{00000000-0005-0000-0000-0000B6170000}"/>
    <cellStyle name="Porcentual 137 20 2" xfId="5423" xr:uid="{00000000-0005-0000-0000-0000B7170000}"/>
    <cellStyle name="Porcentual 137 20 3" xfId="8097" xr:uid="{00000000-0005-0000-0000-0000B8170000}"/>
    <cellStyle name="Porcentual 137 21" xfId="1763" xr:uid="{00000000-0005-0000-0000-0000B9170000}"/>
    <cellStyle name="Porcentual 137 21 2" xfId="5424" xr:uid="{00000000-0005-0000-0000-0000BA170000}"/>
    <cellStyle name="Porcentual 137 21 3" xfId="8098" xr:uid="{00000000-0005-0000-0000-0000BB170000}"/>
    <cellStyle name="Porcentual 137 22" xfId="1764" xr:uid="{00000000-0005-0000-0000-0000BC170000}"/>
    <cellStyle name="Porcentual 137 22 2" xfId="5425" xr:uid="{00000000-0005-0000-0000-0000BD170000}"/>
    <cellStyle name="Porcentual 137 22 3" xfId="8099" xr:uid="{00000000-0005-0000-0000-0000BE170000}"/>
    <cellStyle name="Porcentual 137 23" xfId="1765" xr:uid="{00000000-0005-0000-0000-0000BF170000}"/>
    <cellStyle name="Porcentual 137 23 2" xfId="5426" xr:uid="{00000000-0005-0000-0000-0000C0170000}"/>
    <cellStyle name="Porcentual 137 23 3" xfId="8100" xr:uid="{00000000-0005-0000-0000-0000C1170000}"/>
    <cellStyle name="Porcentual 137 24" xfId="1766" xr:uid="{00000000-0005-0000-0000-0000C2170000}"/>
    <cellStyle name="Porcentual 137 24 2" xfId="5427" xr:uid="{00000000-0005-0000-0000-0000C3170000}"/>
    <cellStyle name="Porcentual 137 24 3" xfId="8101" xr:uid="{00000000-0005-0000-0000-0000C4170000}"/>
    <cellStyle name="Porcentual 137 25" xfId="1767" xr:uid="{00000000-0005-0000-0000-0000C5170000}"/>
    <cellStyle name="Porcentual 137 25 2" xfId="5428" xr:uid="{00000000-0005-0000-0000-0000C6170000}"/>
    <cellStyle name="Porcentual 137 25 3" xfId="8102" xr:uid="{00000000-0005-0000-0000-0000C7170000}"/>
    <cellStyle name="Porcentual 137 26" xfId="1768" xr:uid="{00000000-0005-0000-0000-0000C8170000}"/>
    <cellStyle name="Porcentual 137 26 2" xfId="5429" xr:uid="{00000000-0005-0000-0000-0000C9170000}"/>
    <cellStyle name="Porcentual 137 26 3" xfId="8103" xr:uid="{00000000-0005-0000-0000-0000CA170000}"/>
    <cellStyle name="Porcentual 137 27" xfId="1769" xr:uid="{00000000-0005-0000-0000-0000CB170000}"/>
    <cellStyle name="Porcentual 137 27 2" xfId="5430" xr:uid="{00000000-0005-0000-0000-0000CC170000}"/>
    <cellStyle name="Porcentual 137 27 3" xfId="8104" xr:uid="{00000000-0005-0000-0000-0000CD170000}"/>
    <cellStyle name="Porcentual 137 28" xfId="1770" xr:uid="{00000000-0005-0000-0000-0000CE170000}"/>
    <cellStyle name="Porcentual 137 28 2" xfId="5431" xr:uid="{00000000-0005-0000-0000-0000CF170000}"/>
    <cellStyle name="Porcentual 137 28 3" xfId="8105" xr:uid="{00000000-0005-0000-0000-0000D0170000}"/>
    <cellStyle name="Porcentual 137 3" xfId="1771" xr:uid="{00000000-0005-0000-0000-0000D1170000}"/>
    <cellStyle name="Porcentual 137 3 2" xfId="5432" xr:uid="{00000000-0005-0000-0000-0000D2170000}"/>
    <cellStyle name="Porcentual 137 3 3" xfId="8106" xr:uid="{00000000-0005-0000-0000-0000D3170000}"/>
    <cellStyle name="Porcentual 137 4" xfId="1772" xr:uid="{00000000-0005-0000-0000-0000D4170000}"/>
    <cellStyle name="Porcentual 137 4 2" xfId="5433" xr:uid="{00000000-0005-0000-0000-0000D5170000}"/>
    <cellStyle name="Porcentual 137 4 3" xfId="8107" xr:uid="{00000000-0005-0000-0000-0000D6170000}"/>
    <cellStyle name="Porcentual 137 5" xfId="1773" xr:uid="{00000000-0005-0000-0000-0000D7170000}"/>
    <cellStyle name="Porcentual 137 5 2" xfId="5434" xr:uid="{00000000-0005-0000-0000-0000D8170000}"/>
    <cellStyle name="Porcentual 137 5 3" xfId="8108" xr:uid="{00000000-0005-0000-0000-0000D9170000}"/>
    <cellStyle name="Porcentual 137 6" xfId="1774" xr:uid="{00000000-0005-0000-0000-0000DA170000}"/>
    <cellStyle name="Porcentual 137 6 2" xfId="5435" xr:uid="{00000000-0005-0000-0000-0000DB170000}"/>
    <cellStyle name="Porcentual 137 6 3" xfId="8109" xr:uid="{00000000-0005-0000-0000-0000DC170000}"/>
    <cellStyle name="Porcentual 137 7" xfId="1775" xr:uid="{00000000-0005-0000-0000-0000DD170000}"/>
    <cellStyle name="Porcentual 137 7 2" xfId="5436" xr:uid="{00000000-0005-0000-0000-0000DE170000}"/>
    <cellStyle name="Porcentual 137 7 3" xfId="8110" xr:uid="{00000000-0005-0000-0000-0000DF170000}"/>
    <cellStyle name="Porcentual 137 8" xfId="1776" xr:uid="{00000000-0005-0000-0000-0000E0170000}"/>
    <cellStyle name="Porcentual 137 8 2" xfId="5437" xr:uid="{00000000-0005-0000-0000-0000E1170000}"/>
    <cellStyle name="Porcentual 137 8 3" xfId="8111" xr:uid="{00000000-0005-0000-0000-0000E2170000}"/>
    <cellStyle name="Porcentual 137 9" xfId="1777" xr:uid="{00000000-0005-0000-0000-0000E3170000}"/>
    <cellStyle name="Porcentual 137 9 2" xfId="5438" xr:uid="{00000000-0005-0000-0000-0000E4170000}"/>
    <cellStyle name="Porcentual 137 9 3" xfId="8112" xr:uid="{00000000-0005-0000-0000-0000E5170000}"/>
    <cellStyle name="Porcentual 138 10" xfId="1778" xr:uid="{00000000-0005-0000-0000-0000E6170000}"/>
    <cellStyle name="Porcentual 138 10 2" xfId="5439" xr:uid="{00000000-0005-0000-0000-0000E7170000}"/>
    <cellStyle name="Porcentual 138 10 3" xfId="8113" xr:uid="{00000000-0005-0000-0000-0000E8170000}"/>
    <cellStyle name="Porcentual 138 11" xfId="1779" xr:uid="{00000000-0005-0000-0000-0000E9170000}"/>
    <cellStyle name="Porcentual 138 11 2" xfId="5440" xr:uid="{00000000-0005-0000-0000-0000EA170000}"/>
    <cellStyle name="Porcentual 138 11 3" xfId="8114" xr:uid="{00000000-0005-0000-0000-0000EB170000}"/>
    <cellStyle name="Porcentual 138 12" xfId="1780" xr:uid="{00000000-0005-0000-0000-0000EC170000}"/>
    <cellStyle name="Porcentual 138 12 2" xfId="5441" xr:uid="{00000000-0005-0000-0000-0000ED170000}"/>
    <cellStyle name="Porcentual 138 12 3" xfId="8115" xr:uid="{00000000-0005-0000-0000-0000EE170000}"/>
    <cellStyle name="Porcentual 138 13" xfId="1781" xr:uid="{00000000-0005-0000-0000-0000EF170000}"/>
    <cellStyle name="Porcentual 138 13 2" xfId="5442" xr:uid="{00000000-0005-0000-0000-0000F0170000}"/>
    <cellStyle name="Porcentual 138 13 3" xfId="8116" xr:uid="{00000000-0005-0000-0000-0000F1170000}"/>
    <cellStyle name="Porcentual 138 14" xfId="1782" xr:uid="{00000000-0005-0000-0000-0000F2170000}"/>
    <cellStyle name="Porcentual 138 14 2" xfId="5443" xr:uid="{00000000-0005-0000-0000-0000F3170000}"/>
    <cellStyle name="Porcentual 138 14 3" xfId="8117" xr:uid="{00000000-0005-0000-0000-0000F4170000}"/>
    <cellStyle name="Porcentual 138 15" xfId="1783" xr:uid="{00000000-0005-0000-0000-0000F5170000}"/>
    <cellStyle name="Porcentual 138 15 2" xfId="5444" xr:uid="{00000000-0005-0000-0000-0000F6170000}"/>
    <cellStyle name="Porcentual 138 15 3" xfId="8118" xr:uid="{00000000-0005-0000-0000-0000F7170000}"/>
    <cellStyle name="Porcentual 138 16" xfId="1784" xr:uid="{00000000-0005-0000-0000-0000F8170000}"/>
    <cellStyle name="Porcentual 138 16 2" xfId="5445" xr:uid="{00000000-0005-0000-0000-0000F9170000}"/>
    <cellStyle name="Porcentual 138 16 3" xfId="8119" xr:uid="{00000000-0005-0000-0000-0000FA170000}"/>
    <cellStyle name="Porcentual 138 17" xfId="1785" xr:uid="{00000000-0005-0000-0000-0000FB170000}"/>
    <cellStyle name="Porcentual 138 17 2" xfId="5446" xr:uid="{00000000-0005-0000-0000-0000FC170000}"/>
    <cellStyle name="Porcentual 138 17 3" xfId="8120" xr:uid="{00000000-0005-0000-0000-0000FD170000}"/>
    <cellStyle name="Porcentual 138 18" xfId="1786" xr:uid="{00000000-0005-0000-0000-0000FE170000}"/>
    <cellStyle name="Porcentual 138 18 2" xfId="5447" xr:uid="{00000000-0005-0000-0000-0000FF170000}"/>
    <cellStyle name="Porcentual 138 18 3" xfId="8121" xr:uid="{00000000-0005-0000-0000-000000180000}"/>
    <cellStyle name="Porcentual 138 19" xfId="1787" xr:uid="{00000000-0005-0000-0000-000001180000}"/>
    <cellStyle name="Porcentual 138 19 2" xfId="5448" xr:uid="{00000000-0005-0000-0000-000002180000}"/>
    <cellStyle name="Porcentual 138 19 3" xfId="8122" xr:uid="{00000000-0005-0000-0000-000003180000}"/>
    <cellStyle name="Porcentual 138 2" xfId="1788" xr:uid="{00000000-0005-0000-0000-000004180000}"/>
    <cellStyle name="Porcentual 138 2 2" xfId="5449" xr:uid="{00000000-0005-0000-0000-000005180000}"/>
    <cellStyle name="Porcentual 138 2 3" xfId="8123" xr:uid="{00000000-0005-0000-0000-000006180000}"/>
    <cellStyle name="Porcentual 138 20" xfId="1789" xr:uid="{00000000-0005-0000-0000-000007180000}"/>
    <cellStyle name="Porcentual 138 20 2" xfId="5450" xr:uid="{00000000-0005-0000-0000-000008180000}"/>
    <cellStyle name="Porcentual 138 20 3" xfId="8124" xr:uid="{00000000-0005-0000-0000-000009180000}"/>
    <cellStyle name="Porcentual 138 21" xfId="1790" xr:uid="{00000000-0005-0000-0000-00000A180000}"/>
    <cellStyle name="Porcentual 138 21 2" xfId="5451" xr:uid="{00000000-0005-0000-0000-00000B180000}"/>
    <cellStyle name="Porcentual 138 21 3" xfId="8125" xr:uid="{00000000-0005-0000-0000-00000C180000}"/>
    <cellStyle name="Porcentual 138 22" xfId="1791" xr:uid="{00000000-0005-0000-0000-00000D180000}"/>
    <cellStyle name="Porcentual 138 22 2" xfId="5452" xr:uid="{00000000-0005-0000-0000-00000E180000}"/>
    <cellStyle name="Porcentual 138 22 3" xfId="8126" xr:uid="{00000000-0005-0000-0000-00000F180000}"/>
    <cellStyle name="Porcentual 138 23" xfId="1792" xr:uid="{00000000-0005-0000-0000-000010180000}"/>
    <cellStyle name="Porcentual 138 23 2" xfId="5453" xr:uid="{00000000-0005-0000-0000-000011180000}"/>
    <cellStyle name="Porcentual 138 23 3" xfId="8127" xr:uid="{00000000-0005-0000-0000-000012180000}"/>
    <cellStyle name="Porcentual 138 24" xfId="1793" xr:uid="{00000000-0005-0000-0000-000013180000}"/>
    <cellStyle name="Porcentual 138 24 2" xfId="5454" xr:uid="{00000000-0005-0000-0000-000014180000}"/>
    <cellStyle name="Porcentual 138 24 3" xfId="8128" xr:uid="{00000000-0005-0000-0000-000015180000}"/>
    <cellStyle name="Porcentual 138 25" xfId="1794" xr:uid="{00000000-0005-0000-0000-000016180000}"/>
    <cellStyle name="Porcentual 138 25 2" xfId="5455" xr:uid="{00000000-0005-0000-0000-000017180000}"/>
    <cellStyle name="Porcentual 138 25 3" xfId="8129" xr:uid="{00000000-0005-0000-0000-000018180000}"/>
    <cellStyle name="Porcentual 138 26" xfId="1795" xr:uid="{00000000-0005-0000-0000-000019180000}"/>
    <cellStyle name="Porcentual 138 26 2" xfId="5456" xr:uid="{00000000-0005-0000-0000-00001A180000}"/>
    <cellStyle name="Porcentual 138 26 3" xfId="8130" xr:uid="{00000000-0005-0000-0000-00001B180000}"/>
    <cellStyle name="Porcentual 138 27" xfId="1796" xr:uid="{00000000-0005-0000-0000-00001C180000}"/>
    <cellStyle name="Porcentual 138 27 2" xfId="5457" xr:uid="{00000000-0005-0000-0000-00001D180000}"/>
    <cellStyle name="Porcentual 138 27 3" xfId="8131" xr:uid="{00000000-0005-0000-0000-00001E180000}"/>
    <cellStyle name="Porcentual 138 28" xfId="1797" xr:uid="{00000000-0005-0000-0000-00001F180000}"/>
    <cellStyle name="Porcentual 138 28 2" xfId="5458" xr:uid="{00000000-0005-0000-0000-000020180000}"/>
    <cellStyle name="Porcentual 138 28 3" xfId="8132" xr:uid="{00000000-0005-0000-0000-000021180000}"/>
    <cellStyle name="Porcentual 138 3" xfId="1798" xr:uid="{00000000-0005-0000-0000-000022180000}"/>
    <cellStyle name="Porcentual 138 3 2" xfId="5459" xr:uid="{00000000-0005-0000-0000-000023180000}"/>
    <cellStyle name="Porcentual 138 3 3" xfId="8133" xr:uid="{00000000-0005-0000-0000-000024180000}"/>
    <cellStyle name="Porcentual 138 4" xfId="1799" xr:uid="{00000000-0005-0000-0000-000025180000}"/>
    <cellStyle name="Porcentual 138 4 2" xfId="5460" xr:uid="{00000000-0005-0000-0000-000026180000}"/>
    <cellStyle name="Porcentual 138 4 3" xfId="8134" xr:uid="{00000000-0005-0000-0000-000027180000}"/>
    <cellStyle name="Porcentual 138 5" xfId="1800" xr:uid="{00000000-0005-0000-0000-000028180000}"/>
    <cellStyle name="Porcentual 138 5 2" xfId="5461" xr:uid="{00000000-0005-0000-0000-000029180000}"/>
    <cellStyle name="Porcentual 138 5 3" xfId="8135" xr:uid="{00000000-0005-0000-0000-00002A180000}"/>
    <cellStyle name="Porcentual 138 6" xfId="1801" xr:uid="{00000000-0005-0000-0000-00002B180000}"/>
    <cellStyle name="Porcentual 138 6 2" xfId="5462" xr:uid="{00000000-0005-0000-0000-00002C180000}"/>
    <cellStyle name="Porcentual 138 6 3" xfId="8136" xr:uid="{00000000-0005-0000-0000-00002D180000}"/>
    <cellStyle name="Porcentual 138 7" xfId="1802" xr:uid="{00000000-0005-0000-0000-00002E180000}"/>
    <cellStyle name="Porcentual 138 7 2" xfId="5463" xr:uid="{00000000-0005-0000-0000-00002F180000}"/>
    <cellStyle name="Porcentual 138 7 3" xfId="8137" xr:uid="{00000000-0005-0000-0000-000030180000}"/>
    <cellStyle name="Porcentual 138 8" xfId="1803" xr:uid="{00000000-0005-0000-0000-000031180000}"/>
    <cellStyle name="Porcentual 138 8 2" xfId="5464" xr:uid="{00000000-0005-0000-0000-000032180000}"/>
    <cellStyle name="Porcentual 138 8 3" xfId="8138" xr:uid="{00000000-0005-0000-0000-000033180000}"/>
    <cellStyle name="Porcentual 138 9" xfId="1804" xr:uid="{00000000-0005-0000-0000-000034180000}"/>
    <cellStyle name="Porcentual 138 9 2" xfId="5465" xr:uid="{00000000-0005-0000-0000-000035180000}"/>
    <cellStyle name="Porcentual 138 9 3" xfId="8139" xr:uid="{00000000-0005-0000-0000-000036180000}"/>
    <cellStyle name="Porcentual 139 10" xfId="1805" xr:uid="{00000000-0005-0000-0000-000037180000}"/>
    <cellStyle name="Porcentual 139 10 2" xfId="5466" xr:uid="{00000000-0005-0000-0000-000038180000}"/>
    <cellStyle name="Porcentual 139 10 3" xfId="8140" xr:uid="{00000000-0005-0000-0000-000039180000}"/>
    <cellStyle name="Porcentual 139 11" xfId="1806" xr:uid="{00000000-0005-0000-0000-00003A180000}"/>
    <cellStyle name="Porcentual 139 11 2" xfId="5467" xr:uid="{00000000-0005-0000-0000-00003B180000}"/>
    <cellStyle name="Porcentual 139 11 3" xfId="8141" xr:uid="{00000000-0005-0000-0000-00003C180000}"/>
    <cellStyle name="Porcentual 139 12" xfId="1807" xr:uid="{00000000-0005-0000-0000-00003D180000}"/>
    <cellStyle name="Porcentual 139 12 2" xfId="5468" xr:uid="{00000000-0005-0000-0000-00003E180000}"/>
    <cellStyle name="Porcentual 139 12 3" xfId="8142" xr:uid="{00000000-0005-0000-0000-00003F180000}"/>
    <cellStyle name="Porcentual 139 13" xfId="1808" xr:uid="{00000000-0005-0000-0000-000040180000}"/>
    <cellStyle name="Porcentual 139 13 2" xfId="5469" xr:uid="{00000000-0005-0000-0000-000041180000}"/>
    <cellStyle name="Porcentual 139 13 3" xfId="8143" xr:uid="{00000000-0005-0000-0000-000042180000}"/>
    <cellStyle name="Porcentual 139 14" xfId="1809" xr:uid="{00000000-0005-0000-0000-000043180000}"/>
    <cellStyle name="Porcentual 139 14 2" xfId="5470" xr:uid="{00000000-0005-0000-0000-000044180000}"/>
    <cellStyle name="Porcentual 139 14 3" xfId="8144" xr:uid="{00000000-0005-0000-0000-000045180000}"/>
    <cellStyle name="Porcentual 139 15" xfId="1810" xr:uid="{00000000-0005-0000-0000-000046180000}"/>
    <cellStyle name="Porcentual 139 15 2" xfId="5471" xr:uid="{00000000-0005-0000-0000-000047180000}"/>
    <cellStyle name="Porcentual 139 15 3" xfId="8145" xr:uid="{00000000-0005-0000-0000-000048180000}"/>
    <cellStyle name="Porcentual 139 16" xfId="1811" xr:uid="{00000000-0005-0000-0000-000049180000}"/>
    <cellStyle name="Porcentual 139 16 2" xfId="5472" xr:uid="{00000000-0005-0000-0000-00004A180000}"/>
    <cellStyle name="Porcentual 139 16 3" xfId="8146" xr:uid="{00000000-0005-0000-0000-00004B180000}"/>
    <cellStyle name="Porcentual 139 17" xfId="1812" xr:uid="{00000000-0005-0000-0000-00004C180000}"/>
    <cellStyle name="Porcentual 139 17 2" xfId="5473" xr:uid="{00000000-0005-0000-0000-00004D180000}"/>
    <cellStyle name="Porcentual 139 17 3" xfId="8147" xr:uid="{00000000-0005-0000-0000-00004E180000}"/>
    <cellStyle name="Porcentual 139 18" xfId="1813" xr:uid="{00000000-0005-0000-0000-00004F180000}"/>
    <cellStyle name="Porcentual 139 18 2" xfId="5474" xr:uid="{00000000-0005-0000-0000-000050180000}"/>
    <cellStyle name="Porcentual 139 18 3" xfId="8148" xr:uid="{00000000-0005-0000-0000-000051180000}"/>
    <cellStyle name="Porcentual 139 19" xfId="1814" xr:uid="{00000000-0005-0000-0000-000052180000}"/>
    <cellStyle name="Porcentual 139 19 2" xfId="5475" xr:uid="{00000000-0005-0000-0000-000053180000}"/>
    <cellStyle name="Porcentual 139 19 3" xfId="8149" xr:uid="{00000000-0005-0000-0000-000054180000}"/>
    <cellStyle name="Porcentual 139 2" xfId="1815" xr:uid="{00000000-0005-0000-0000-000055180000}"/>
    <cellStyle name="Porcentual 139 2 2" xfId="5476" xr:uid="{00000000-0005-0000-0000-000056180000}"/>
    <cellStyle name="Porcentual 139 2 3" xfId="8150" xr:uid="{00000000-0005-0000-0000-000057180000}"/>
    <cellStyle name="Porcentual 139 20" xfId="1816" xr:uid="{00000000-0005-0000-0000-000058180000}"/>
    <cellStyle name="Porcentual 139 20 2" xfId="5477" xr:uid="{00000000-0005-0000-0000-000059180000}"/>
    <cellStyle name="Porcentual 139 20 3" xfId="8151" xr:uid="{00000000-0005-0000-0000-00005A180000}"/>
    <cellStyle name="Porcentual 139 21" xfId="1817" xr:uid="{00000000-0005-0000-0000-00005B180000}"/>
    <cellStyle name="Porcentual 139 21 2" xfId="5478" xr:uid="{00000000-0005-0000-0000-00005C180000}"/>
    <cellStyle name="Porcentual 139 21 3" xfId="8152" xr:uid="{00000000-0005-0000-0000-00005D180000}"/>
    <cellStyle name="Porcentual 139 22" xfId="1818" xr:uid="{00000000-0005-0000-0000-00005E180000}"/>
    <cellStyle name="Porcentual 139 22 2" xfId="5479" xr:uid="{00000000-0005-0000-0000-00005F180000}"/>
    <cellStyle name="Porcentual 139 22 3" xfId="8153" xr:uid="{00000000-0005-0000-0000-000060180000}"/>
    <cellStyle name="Porcentual 139 23" xfId="1819" xr:uid="{00000000-0005-0000-0000-000061180000}"/>
    <cellStyle name="Porcentual 139 23 2" xfId="5480" xr:uid="{00000000-0005-0000-0000-000062180000}"/>
    <cellStyle name="Porcentual 139 23 3" xfId="8154" xr:uid="{00000000-0005-0000-0000-000063180000}"/>
    <cellStyle name="Porcentual 139 24" xfId="1820" xr:uid="{00000000-0005-0000-0000-000064180000}"/>
    <cellStyle name="Porcentual 139 24 2" xfId="5481" xr:uid="{00000000-0005-0000-0000-000065180000}"/>
    <cellStyle name="Porcentual 139 24 3" xfId="8155" xr:uid="{00000000-0005-0000-0000-000066180000}"/>
    <cellStyle name="Porcentual 139 25" xfId="1821" xr:uid="{00000000-0005-0000-0000-000067180000}"/>
    <cellStyle name="Porcentual 139 25 2" xfId="5482" xr:uid="{00000000-0005-0000-0000-000068180000}"/>
    <cellStyle name="Porcentual 139 25 3" xfId="8156" xr:uid="{00000000-0005-0000-0000-000069180000}"/>
    <cellStyle name="Porcentual 139 26" xfId="1822" xr:uid="{00000000-0005-0000-0000-00006A180000}"/>
    <cellStyle name="Porcentual 139 26 2" xfId="5483" xr:uid="{00000000-0005-0000-0000-00006B180000}"/>
    <cellStyle name="Porcentual 139 26 3" xfId="8157" xr:uid="{00000000-0005-0000-0000-00006C180000}"/>
    <cellStyle name="Porcentual 139 27" xfId="1823" xr:uid="{00000000-0005-0000-0000-00006D180000}"/>
    <cellStyle name="Porcentual 139 27 2" xfId="5484" xr:uid="{00000000-0005-0000-0000-00006E180000}"/>
    <cellStyle name="Porcentual 139 27 3" xfId="8158" xr:uid="{00000000-0005-0000-0000-00006F180000}"/>
    <cellStyle name="Porcentual 139 28" xfId="1824" xr:uid="{00000000-0005-0000-0000-000070180000}"/>
    <cellStyle name="Porcentual 139 28 2" xfId="5485" xr:uid="{00000000-0005-0000-0000-000071180000}"/>
    <cellStyle name="Porcentual 139 28 3" xfId="8159" xr:uid="{00000000-0005-0000-0000-000072180000}"/>
    <cellStyle name="Porcentual 139 3" xfId="1825" xr:uid="{00000000-0005-0000-0000-000073180000}"/>
    <cellStyle name="Porcentual 139 3 2" xfId="5486" xr:uid="{00000000-0005-0000-0000-000074180000}"/>
    <cellStyle name="Porcentual 139 3 3" xfId="8160" xr:uid="{00000000-0005-0000-0000-000075180000}"/>
    <cellStyle name="Porcentual 139 4" xfId="1826" xr:uid="{00000000-0005-0000-0000-000076180000}"/>
    <cellStyle name="Porcentual 139 4 2" xfId="5487" xr:uid="{00000000-0005-0000-0000-000077180000}"/>
    <cellStyle name="Porcentual 139 4 3" xfId="8161" xr:uid="{00000000-0005-0000-0000-000078180000}"/>
    <cellStyle name="Porcentual 139 5" xfId="1827" xr:uid="{00000000-0005-0000-0000-000079180000}"/>
    <cellStyle name="Porcentual 139 5 2" xfId="5488" xr:uid="{00000000-0005-0000-0000-00007A180000}"/>
    <cellStyle name="Porcentual 139 5 3" xfId="8162" xr:uid="{00000000-0005-0000-0000-00007B180000}"/>
    <cellStyle name="Porcentual 139 6" xfId="1828" xr:uid="{00000000-0005-0000-0000-00007C180000}"/>
    <cellStyle name="Porcentual 139 6 2" xfId="5489" xr:uid="{00000000-0005-0000-0000-00007D180000}"/>
    <cellStyle name="Porcentual 139 6 3" xfId="8163" xr:uid="{00000000-0005-0000-0000-00007E180000}"/>
    <cellStyle name="Porcentual 139 7" xfId="1829" xr:uid="{00000000-0005-0000-0000-00007F180000}"/>
    <cellStyle name="Porcentual 139 7 2" xfId="5490" xr:uid="{00000000-0005-0000-0000-000080180000}"/>
    <cellStyle name="Porcentual 139 7 3" xfId="8164" xr:uid="{00000000-0005-0000-0000-000081180000}"/>
    <cellStyle name="Porcentual 139 8" xfId="1830" xr:uid="{00000000-0005-0000-0000-000082180000}"/>
    <cellStyle name="Porcentual 139 8 2" xfId="5491" xr:uid="{00000000-0005-0000-0000-000083180000}"/>
    <cellStyle name="Porcentual 139 8 3" xfId="8165" xr:uid="{00000000-0005-0000-0000-000084180000}"/>
    <cellStyle name="Porcentual 139 9" xfId="1831" xr:uid="{00000000-0005-0000-0000-000085180000}"/>
    <cellStyle name="Porcentual 139 9 2" xfId="5492" xr:uid="{00000000-0005-0000-0000-000086180000}"/>
    <cellStyle name="Porcentual 139 9 3" xfId="8166" xr:uid="{00000000-0005-0000-0000-000087180000}"/>
    <cellStyle name="Porcentual 140 10" xfId="1832" xr:uid="{00000000-0005-0000-0000-000088180000}"/>
    <cellStyle name="Porcentual 140 10 2" xfId="5493" xr:uid="{00000000-0005-0000-0000-000089180000}"/>
    <cellStyle name="Porcentual 140 10 3" xfId="8167" xr:uid="{00000000-0005-0000-0000-00008A180000}"/>
    <cellStyle name="Porcentual 140 11" xfId="1833" xr:uid="{00000000-0005-0000-0000-00008B180000}"/>
    <cellStyle name="Porcentual 140 11 2" xfId="5494" xr:uid="{00000000-0005-0000-0000-00008C180000}"/>
    <cellStyle name="Porcentual 140 11 3" xfId="8168" xr:uid="{00000000-0005-0000-0000-00008D180000}"/>
    <cellStyle name="Porcentual 140 12" xfId="1834" xr:uid="{00000000-0005-0000-0000-00008E180000}"/>
    <cellStyle name="Porcentual 140 12 2" xfId="5495" xr:uid="{00000000-0005-0000-0000-00008F180000}"/>
    <cellStyle name="Porcentual 140 12 3" xfId="8169" xr:uid="{00000000-0005-0000-0000-000090180000}"/>
    <cellStyle name="Porcentual 140 13" xfId="1835" xr:uid="{00000000-0005-0000-0000-000091180000}"/>
    <cellStyle name="Porcentual 140 13 2" xfId="5496" xr:uid="{00000000-0005-0000-0000-000092180000}"/>
    <cellStyle name="Porcentual 140 13 3" xfId="8170" xr:uid="{00000000-0005-0000-0000-000093180000}"/>
    <cellStyle name="Porcentual 140 14" xfId="1836" xr:uid="{00000000-0005-0000-0000-000094180000}"/>
    <cellStyle name="Porcentual 140 14 2" xfId="5497" xr:uid="{00000000-0005-0000-0000-000095180000}"/>
    <cellStyle name="Porcentual 140 14 3" xfId="8171" xr:uid="{00000000-0005-0000-0000-000096180000}"/>
    <cellStyle name="Porcentual 140 15" xfId="1837" xr:uid="{00000000-0005-0000-0000-000097180000}"/>
    <cellStyle name="Porcentual 140 15 2" xfId="5498" xr:uid="{00000000-0005-0000-0000-000098180000}"/>
    <cellStyle name="Porcentual 140 15 3" xfId="8172" xr:uid="{00000000-0005-0000-0000-000099180000}"/>
    <cellStyle name="Porcentual 140 16" xfId="1838" xr:uid="{00000000-0005-0000-0000-00009A180000}"/>
    <cellStyle name="Porcentual 140 16 2" xfId="5499" xr:uid="{00000000-0005-0000-0000-00009B180000}"/>
    <cellStyle name="Porcentual 140 16 3" xfId="8173" xr:uid="{00000000-0005-0000-0000-00009C180000}"/>
    <cellStyle name="Porcentual 140 17" xfId="1839" xr:uid="{00000000-0005-0000-0000-00009D180000}"/>
    <cellStyle name="Porcentual 140 17 2" xfId="5500" xr:uid="{00000000-0005-0000-0000-00009E180000}"/>
    <cellStyle name="Porcentual 140 17 3" xfId="8174" xr:uid="{00000000-0005-0000-0000-00009F180000}"/>
    <cellStyle name="Porcentual 140 18" xfId="1840" xr:uid="{00000000-0005-0000-0000-0000A0180000}"/>
    <cellStyle name="Porcentual 140 18 2" xfId="5501" xr:uid="{00000000-0005-0000-0000-0000A1180000}"/>
    <cellStyle name="Porcentual 140 18 3" xfId="8175" xr:uid="{00000000-0005-0000-0000-0000A2180000}"/>
    <cellStyle name="Porcentual 140 19" xfId="1841" xr:uid="{00000000-0005-0000-0000-0000A3180000}"/>
    <cellStyle name="Porcentual 140 19 2" xfId="5502" xr:uid="{00000000-0005-0000-0000-0000A4180000}"/>
    <cellStyle name="Porcentual 140 19 3" xfId="8176" xr:uid="{00000000-0005-0000-0000-0000A5180000}"/>
    <cellStyle name="Porcentual 140 2" xfId="1842" xr:uid="{00000000-0005-0000-0000-0000A6180000}"/>
    <cellStyle name="Porcentual 140 2 2" xfId="5503" xr:uid="{00000000-0005-0000-0000-0000A7180000}"/>
    <cellStyle name="Porcentual 140 2 3" xfId="8177" xr:uid="{00000000-0005-0000-0000-0000A8180000}"/>
    <cellStyle name="Porcentual 140 20" xfId="1843" xr:uid="{00000000-0005-0000-0000-0000A9180000}"/>
    <cellStyle name="Porcentual 140 20 2" xfId="5504" xr:uid="{00000000-0005-0000-0000-0000AA180000}"/>
    <cellStyle name="Porcentual 140 20 3" xfId="8178" xr:uid="{00000000-0005-0000-0000-0000AB180000}"/>
    <cellStyle name="Porcentual 140 21" xfId="1844" xr:uid="{00000000-0005-0000-0000-0000AC180000}"/>
    <cellStyle name="Porcentual 140 21 2" xfId="5505" xr:uid="{00000000-0005-0000-0000-0000AD180000}"/>
    <cellStyle name="Porcentual 140 21 3" xfId="8179" xr:uid="{00000000-0005-0000-0000-0000AE180000}"/>
    <cellStyle name="Porcentual 140 22" xfId="1845" xr:uid="{00000000-0005-0000-0000-0000AF180000}"/>
    <cellStyle name="Porcentual 140 22 2" xfId="5506" xr:uid="{00000000-0005-0000-0000-0000B0180000}"/>
    <cellStyle name="Porcentual 140 22 3" xfId="8180" xr:uid="{00000000-0005-0000-0000-0000B1180000}"/>
    <cellStyle name="Porcentual 140 23" xfId="1846" xr:uid="{00000000-0005-0000-0000-0000B2180000}"/>
    <cellStyle name="Porcentual 140 23 2" xfId="5507" xr:uid="{00000000-0005-0000-0000-0000B3180000}"/>
    <cellStyle name="Porcentual 140 23 3" xfId="8181" xr:uid="{00000000-0005-0000-0000-0000B4180000}"/>
    <cellStyle name="Porcentual 140 24" xfId="1847" xr:uid="{00000000-0005-0000-0000-0000B5180000}"/>
    <cellStyle name="Porcentual 140 24 2" xfId="5508" xr:uid="{00000000-0005-0000-0000-0000B6180000}"/>
    <cellStyle name="Porcentual 140 24 3" xfId="8182" xr:uid="{00000000-0005-0000-0000-0000B7180000}"/>
    <cellStyle name="Porcentual 140 25" xfId="1848" xr:uid="{00000000-0005-0000-0000-0000B8180000}"/>
    <cellStyle name="Porcentual 140 25 2" xfId="5509" xr:uid="{00000000-0005-0000-0000-0000B9180000}"/>
    <cellStyle name="Porcentual 140 25 3" xfId="8183" xr:uid="{00000000-0005-0000-0000-0000BA180000}"/>
    <cellStyle name="Porcentual 140 26" xfId="1849" xr:uid="{00000000-0005-0000-0000-0000BB180000}"/>
    <cellStyle name="Porcentual 140 26 2" xfId="5510" xr:uid="{00000000-0005-0000-0000-0000BC180000}"/>
    <cellStyle name="Porcentual 140 26 3" xfId="8184" xr:uid="{00000000-0005-0000-0000-0000BD180000}"/>
    <cellStyle name="Porcentual 140 27" xfId="1850" xr:uid="{00000000-0005-0000-0000-0000BE180000}"/>
    <cellStyle name="Porcentual 140 27 2" xfId="5511" xr:uid="{00000000-0005-0000-0000-0000BF180000}"/>
    <cellStyle name="Porcentual 140 27 3" xfId="8185" xr:uid="{00000000-0005-0000-0000-0000C0180000}"/>
    <cellStyle name="Porcentual 140 28" xfId="1851" xr:uid="{00000000-0005-0000-0000-0000C1180000}"/>
    <cellStyle name="Porcentual 140 28 2" xfId="5512" xr:uid="{00000000-0005-0000-0000-0000C2180000}"/>
    <cellStyle name="Porcentual 140 28 3" xfId="8186" xr:uid="{00000000-0005-0000-0000-0000C3180000}"/>
    <cellStyle name="Porcentual 140 3" xfId="1852" xr:uid="{00000000-0005-0000-0000-0000C4180000}"/>
    <cellStyle name="Porcentual 140 3 2" xfId="5513" xr:uid="{00000000-0005-0000-0000-0000C5180000}"/>
    <cellStyle name="Porcentual 140 3 3" xfId="8187" xr:uid="{00000000-0005-0000-0000-0000C6180000}"/>
    <cellStyle name="Porcentual 140 4" xfId="1853" xr:uid="{00000000-0005-0000-0000-0000C7180000}"/>
    <cellStyle name="Porcentual 140 4 2" xfId="5514" xr:uid="{00000000-0005-0000-0000-0000C8180000}"/>
    <cellStyle name="Porcentual 140 4 3" xfId="8188" xr:uid="{00000000-0005-0000-0000-0000C9180000}"/>
    <cellStyle name="Porcentual 140 5" xfId="1854" xr:uid="{00000000-0005-0000-0000-0000CA180000}"/>
    <cellStyle name="Porcentual 140 5 2" xfId="5515" xr:uid="{00000000-0005-0000-0000-0000CB180000}"/>
    <cellStyle name="Porcentual 140 5 3" xfId="8189" xr:uid="{00000000-0005-0000-0000-0000CC180000}"/>
    <cellStyle name="Porcentual 140 6" xfId="1855" xr:uid="{00000000-0005-0000-0000-0000CD180000}"/>
    <cellStyle name="Porcentual 140 6 2" xfId="5516" xr:uid="{00000000-0005-0000-0000-0000CE180000}"/>
    <cellStyle name="Porcentual 140 6 3" xfId="8190" xr:uid="{00000000-0005-0000-0000-0000CF180000}"/>
    <cellStyle name="Porcentual 140 7" xfId="1856" xr:uid="{00000000-0005-0000-0000-0000D0180000}"/>
    <cellStyle name="Porcentual 140 7 2" xfId="5517" xr:uid="{00000000-0005-0000-0000-0000D1180000}"/>
    <cellStyle name="Porcentual 140 7 3" xfId="8191" xr:uid="{00000000-0005-0000-0000-0000D2180000}"/>
    <cellStyle name="Porcentual 140 8" xfId="1857" xr:uid="{00000000-0005-0000-0000-0000D3180000}"/>
    <cellStyle name="Porcentual 140 8 2" xfId="5518" xr:uid="{00000000-0005-0000-0000-0000D4180000}"/>
    <cellStyle name="Porcentual 140 8 3" xfId="8192" xr:uid="{00000000-0005-0000-0000-0000D5180000}"/>
    <cellStyle name="Porcentual 140 9" xfId="1858" xr:uid="{00000000-0005-0000-0000-0000D6180000}"/>
    <cellStyle name="Porcentual 140 9 2" xfId="5519" xr:uid="{00000000-0005-0000-0000-0000D7180000}"/>
    <cellStyle name="Porcentual 140 9 3" xfId="8193" xr:uid="{00000000-0005-0000-0000-0000D8180000}"/>
    <cellStyle name="Porcentual 141 10" xfId="1859" xr:uid="{00000000-0005-0000-0000-0000D9180000}"/>
    <cellStyle name="Porcentual 141 10 2" xfId="5520" xr:uid="{00000000-0005-0000-0000-0000DA180000}"/>
    <cellStyle name="Porcentual 141 10 3" xfId="8194" xr:uid="{00000000-0005-0000-0000-0000DB180000}"/>
    <cellStyle name="Porcentual 141 11" xfId="1860" xr:uid="{00000000-0005-0000-0000-0000DC180000}"/>
    <cellStyle name="Porcentual 141 11 2" xfId="5521" xr:uid="{00000000-0005-0000-0000-0000DD180000}"/>
    <cellStyle name="Porcentual 141 11 3" xfId="8195" xr:uid="{00000000-0005-0000-0000-0000DE180000}"/>
    <cellStyle name="Porcentual 141 12" xfId="1861" xr:uid="{00000000-0005-0000-0000-0000DF180000}"/>
    <cellStyle name="Porcentual 141 12 2" xfId="5522" xr:uid="{00000000-0005-0000-0000-0000E0180000}"/>
    <cellStyle name="Porcentual 141 12 3" xfId="8196" xr:uid="{00000000-0005-0000-0000-0000E1180000}"/>
    <cellStyle name="Porcentual 141 13" xfId="1862" xr:uid="{00000000-0005-0000-0000-0000E2180000}"/>
    <cellStyle name="Porcentual 141 13 2" xfId="5523" xr:uid="{00000000-0005-0000-0000-0000E3180000}"/>
    <cellStyle name="Porcentual 141 13 3" xfId="8197" xr:uid="{00000000-0005-0000-0000-0000E4180000}"/>
    <cellStyle name="Porcentual 141 14" xfId="1863" xr:uid="{00000000-0005-0000-0000-0000E5180000}"/>
    <cellStyle name="Porcentual 141 14 2" xfId="5524" xr:uid="{00000000-0005-0000-0000-0000E6180000}"/>
    <cellStyle name="Porcentual 141 14 3" xfId="8198" xr:uid="{00000000-0005-0000-0000-0000E7180000}"/>
    <cellStyle name="Porcentual 141 15" xfId="1864" xr:uid="{00000000-0005-0000-0000-0000E8180000}"/>
    <cellStyle name="Porcentual 141 15 2" xfId="5525" xr:uid="{00000000-0005-0000-0000-0000E9180000}"/>
    <cellStyle name="Porcentual 141 15 3" xfId="8199" xr:uid="{00000000-0005-0000-0000-0000EA180000}"/>
    <cellStyle name="Porcentual 141 16" xfId="1865" xr:uid="{00000000-0005-0000-0000-0000EB180000}"/>
    <cellStyle name="Porcentual 141 16 2" xfId="5526" xr:uid="{00000000-0005-0000-0000-0000EC180000}"/>
    <cellStyle name="Porcentual 141 16 3" xfId="8200" xr:uid="{00000000-0005-0000-0000-0000ED180000}"/>
    <cellStyle name="Porcentual 141 17" xfId="1866" xr:uid="{00000000-0005-0000-0000-0000EE180000}"/>
    <cellStyle name="Porcentual 141 17 2" xfId="5527" xr:uid="{00000000-0005-0000-0000-0000EF180000}"/>
    <cellStyle name="Porcentual 141 17 3" xfId="8201" xr:uid="{00000000-0005-0000-0000-0000F0180000}"/>
    <cellStyle name="Porcentual 141 18" xfId="1867" xr:uid="{00000000-0005-0000-0000-0000F1180000}"/>
    <cellStyle name="Porcentual 141 18 2" xfId="5528" xr:uid="{00000000-0005-0000-0000-0000F2180000}"/>
    <cellStyle name="Porcentual 141 18 3" xfId="8202" xr:uid="{00000000-0005-0000-0000-0000F3180000}"/>
    <cellStyle name="Porcentual 141 19" xfId="1868" xr:uid="{00000000-0005-0000-0000-0000F4180000}"/>
    <cellStyle name="Porcentual 141 19 2" xfId="5529" xr:uid="{00000000-0005-0000-0000-0000F5180000}"/>
    <cellStyle name="Porcentual 141 19 3" xfId="8203" xr:uid="{00000000-0005-0000-0000-0000F6180000}"/>
    <cellStyle name="Porcentual 141 2" xfId="1869" xr:uid="{00000000-0005-0000-0000-0000F7180000}"/>
    <cellStyle name="Porcentual 141 2 2" xfId="5530" xr:uid="{00000000-0005-0000-0000-0000F8180000}"/>
    <cellStyle name="Porcentual 141 2 3" xfId="8204" xr:uid="{00000000-0005-0000-0000-0000F9180000}"/>
    <cellStyle name="Porcentual 141 20" xfId="1870" xr:uid="{00000000-0005-0000-0000-0000FA180000}"/>
    <cellStyle name="Porcentual 141 20 2" xfId="5531" xr:uid="{00000000-0005-0000-0000-0000FB180000}"/>
    <cellStyle name="Porcentual 141 20 3" xfId="8205" xr:uid="{00000000-0005-0000-0000-0000FC180000}"/>
    <cellStyle name="Porcentual 141 21" xfId="1871" xr:uid="{00000000-0005-0000-0000-0000FD180000}"/>
    <cellStyle name="Porcentual 141 21 2" xfId="5532" xr:uid="{00000000-0005-0000-0000-0000FE180000}"/>
    <cellStyle name="Porcentual 141 21 3" xfId="8206" xr:uid="{00000000-0005-0000-0000-0000FF180000}"/>
    <cellStyle name="Porcentual 141 22" xfId="1872" xr:uid="{00000000-0005-0000-0000-000000190000}"/>
    <cellStyle name="Porcentual 141 22 2" xfId="5533" xr:uid="{00000000-0005-0000-0000-000001190000}"/>
    <cellStyle name="Porcentual 141 22 3" xfId="8207" xr:uid="{00000000-0005-0000-0000-000002190000}"/>
    <cellStyle name="Porcentual 141 23" xfId="1873" xr:uid="{00000000-0005-0000-0000-000003190000}"/>
    <cellStyle name="Porcentual 141 23 2" xfId="5534" xr:uid="{00000000-0005-0000-0000-000004190000}"/>
    <cellStyle name="Porcentual 141 23 3" xfId="8208" xr:uid="{00000000-0005-0000-0000-000005190000}"/>
    <cellStyle name="Porcentual 141 24" xfId="1874" xr:uid="{00000000-0005-0000-0000-000006190000}"/>
    <cellStyle name="Porcentual 141 24 2" xfId="5535" xr:uid="{00000000-0005-0000-0000-000007190000}"/>
    <cellStyle name="Porcentual 141 24 3" xfId="8209" xr:uid="{00000000-0005-0000-0000-000008190000}"/>
    <cellStyle name="Porcentual 141 25" xfId="1875" xr:uid="{00000000-0005-0000-0000-000009190000}"/>
    <cellStyle name="Porcentual 141 25 2" xfId="5536" xr:uid="{00000000-0005-0000-0000-00000A190000}"/>
    <cellStyle name="Porcentual 141 25 3" xfId="8210" xr:uid="{00000000-0005-0000-0000-00000B190000}"/>
    <cellStyle name="Porcentual 141 26" xfId="1876" xr:uid="{00000000-0005-0000-0000-00000C190000}"/>
    <cellStyle name="Porcentual 141 26 2" xfId="5537" xr:uid="{00000000-0005-0000-0000-00000D190000}"/>
    <cellStyle name="Porcentual 141 26 3" xfId="8211" xr:uid="{00000000-0005-0000-0000-00000E190000}"/>
    <cellStyle name="Porcentual 141 27" xfId="1877" xr:uid="{00000000-0005-0000-0000-00000F190000}"/>
    <cellStyle name="Porcentual 141 27 2" xfId="5538" xr:uid="{00000000-0005-0000-0000-000010190000}"/>
    <cellStyle name="Porcentual 141 27 3" xfId="8212" xr:uid="{00000000-0005-0000-0000-000011190000}"/>
    <cellStyle name="Porcentual 141 28" xfId="1878" xr:uid="{00000000-0005-0000-0000-000012190000}"/>
    <cellStyle name="Porcentual 141 28 2" xfId="5539" xr:uid="{00000000-0005-0000-0000-000013190000}"/>
    <cellStyle name="Porcentual 141 28 3" xfId="8213" xr:uid="{00000000-0005-0000-0000-000014190000}"/>
    <cellStyle name="Porcentual 141 3" xfId="1879" xr:uid="{00000000-0005-0000-0000-000015190000}"/>
    <cellStyle name="Porcentual 141 3 2" xfId="5540" xr:uid="{00000000-0005-0000-0000-000016190000}"/>
    <cellStyle name="Porcentual 141 3 3" xfId="8214" xr:uid="{00000000-0005-0000-0000-000017190000}"/>
    <cellStyle name="Porcentual 141 4" xfId="1880" xr:uid="{00000000-0005-0000-0000-000018190000}"/>
    <cellStyle name="Porcentual 141 4 2" xfId="5541" xr:uid="{00000000-0005-0000-0000-000019190000}"/>
    <cellStyle name="Porcentual 141 4 3" xfId="8215" xr:uid="{00000000-0005-0000-0000-00001A190000}"/>
    <cellStyle name="Porcentual 141 5" xfId="1881" xr:uid="{00000000-0005-0000-0000-00001B190000}"/>
    <cellStyle name="Porcentual 141 5 2" xfId="5542" xr:uid="{00000000-0005-0000-0000-00001C190000}"/>
    <cellStyle name="Porcentual 141 5 3" xfId="8216" xr:uid="{00000000-0005-0000-0000-00001D190000}"/>
    <cellStyle name="Porcentual 141 6" xfId="1882" xr:uid="{00000000-0005-0000-0000-00001E190000}"/>
    <cellStyle name="Porcentual 141 6 2" xfId="5543" xr:uid="{00000000-0005-0000-0000-00001F190000}"/>
    <cellStyle name="Porcentual 141 6 3" xfId="8217" xr:uid="{00000000-0005-0000-0000-000020190000}"/>
    <cellStyle name="Porcentual 141 7" xfId="1883" xr:uid="{00000000-0005-0000-0000-000021190000}"/>
    <cellStyle name="Porcentual 141 7 2" xfId="5544" xr:uid="{00000000-0005-0000-0000-000022190000}"/>
    <cellStyle name="Porcentual 141 7 3" xfId="8218" xr:uid="{00000000-0005-0000-0000-000023190000}"/>
    <cellStyle name="Porcentual 141 8" xfId="1884" xr:uid="{00000000-0005-0000-0000-000024190000}"/>
    <cellStyle name="Porcentual 141 8 2" xfId="5545" xr:uid="{00000000-0005-0000-0000-000025190000}"/>
    <cellStyle name="Porcentual 141 8 3" xfId="8219" xr:uid="{00000000-0005-0000-0000-000026190000}"/>
    <cellStyle name="Porcentual 141 9" xfId="1885" xr:uid="{00000000-0005-0000-0000-000027190000}"/>
    <cellStyle name="Porcentual 141 9 2" xfId="5546" xr:uid="{00000000-0005-0000-0000-000028190000}"/>
    <cellStyle name="Porcentual 141 9 3" xfId="8220" xr:uid="{00000000-0005-0000-0000-000029190000}"/>
    <cellStyle name="Porcentual 142 10" xfId="1886" xr:uid="{00000000-0005-0000-0000-00002A190000}"/>
    <cellStyle name="Porcentual 142 10 2" xfId="5547" xr:uid="{00000000-0005-0000-0000-00002B190000}"/>
    <cellStyle name="Porcentual 142 10 3" xfId="8221" xr:uid="{00000000-0005-0000-0000-00002C190000}"/>
    <cellStyle name="Porcentual 142 11" xfId="1887" xr:uid="{00000000-0005-0000-0000-00002D190000}"/>
    <cellStyle name="Porcentual 142 11 2" xfId="5548" xr:uid="{00000000-0005-0000-0000-00002E190000}"/>
    <cellStyle name="Porcentual 142 11 3" xfId="8222" xr:uid="{00000000-0005-0000-0000-00002F190000}"/>
    <cellStyle name="Porcentual 142 12" xfId="1888" xr:uid="{00000000-0005-0000-0000-000030190000}"/>
    <cellStyle name="Porcentual 142 12 2" xfId="5549" xr:uid="{00000000-0005-0000-0000-000031190000}"/>
    <cellStyle name="Porcentual 142 12 3" xfId="8223" xr:uid="{00000000-0005-0000-0000-000032190000}"/>
    <cellStyle name="Porcentual 142 13" xfId="1889" xr:uid="{00000000-0005-0000-0000-000033190000}"/>
    <cellStyle name="Porcentual 142 13 2" xfId="5550" xr:uid="{00000000-0005-0000-0000-000034190000}"/>
    <cellStyle name="Porcentual 142 13 3" xfId="8224" xr:uid="{00000000-0005-0000-0000-000035190000}"/>
    <cellStyle name="Porcentual 142 14" xfId="1890" xr:uid="{00000000-0005-0000-0000-000036190000}"/>
    <cellStyle name="Porcentual 142 14 2" xfId="5551" xr:uid="{00000000-0005-0000-0000-000037190000}"/>
    <cellStyle name="Porcentual 142 14 3" xfId="8225" xr:uid="{00000000-0005-0000-0000-000038190000}"/>
    <cellStyle name="Porcentual 142 15" xfId="1891" xr:uid="{00000000-0005-0000-0000-000039190000}"/>
    <cellStyle name="Porcentual 142 15 2" xfId="5552" xr:uid="{00000000-0005-0000-0000-00003A190000}"/>
    <cellStyle name="Porcentual 142 15 3" xfId="8226" xr:uid="{00000000-0005-0000-0000-00003B190000}"/>
    <cellStyle name="Porcentual 142 16" xfId="1892" xr:uid="{00000000-0005-0000-0000-00003C190000}"/>
    <cellStyle name="Porcentual 142 16 2" xfId="5553" xr:uid="{00000000-0005-0000-0000-00003D190000}"/>
    <cellStyle name="Porcentual 142 16 3" xfId="8227" xr:uid="{00000000-0005-0000-0000-00003E190000}"/>
    <cellStyle name="Porcentual 142 17" xfId="1893" xr:uid="{00000000-0005-0000-0000-00003F190000}"/>
    <cellStyle name="Porcentual 142 17 2" xfId="5554" xr:uid="{00000000-0005-0000-0000-000040190000}"/>
    <cellStyle name="Porcentual 142 17 3" xfId="8228" xr:uid="{00000000-0005-0000-0000-000041190000}"/>
    <cellStyle name="Porcentual 142 18" xfId="1894" xr:uid="{00000000-0005-0000-0000-000042190000}"/>
    <cellStyle name="Porcentual 142 18 2" xfId="5555" xr:uid="{00000000-0005-0000-0000-000043190000}"/>
    <cellStyle name="Porcentual 142 18 3" xfId="8229" xr:uid="{00000000-0005-0000-0000-000044190000}"/>
    <cellStyle name="Porcentual 142 19" xfId="1895" xr:uid="{00000000-0005-0000-0000-000045190000}"/>
    <cellStyle name="Porcentual 142 19 2" xfId="5556" xr:uid="{00000000-0005-0000-0000-000046190000}"/>
    <cellStyle name="Porcentual 142 19 3" xfId="8230" xr:uid="{00000000-0005-0000-0000-000047190000}"/>
    <cellStyle name="Porcentual 142 2" xfId="1896" xr:uid="{00000000-0005-0000-0000-000048190000}"/>
    <cellStyle name="Porcentual 142 2 2" xfId="5557" xr:uid="{00000000-0005-0000-0000-000049190000}"/>
    <cellStyle name="Porcentual 142 2 3" xfId="8231" xr:uid="{00000000-0005-0000-0000-00004A190000}"/>
    <cellStyle name="Porcentual 142 20" xfId="1897" xr:uid="{00000000-0005-0000-0000-00004B190000}"/>
    <cellStyle name="Porcentual 142 20 2" xfId="5558" xr:uid="{00000000-0005-0000-0000-00004C190000}"/>
    <cellStyle name="Porcentual 142 20 3" xfId="8232" xr:uid="{00000000-0005-0000-0000-00004D190000}"/>
    <cellStyle name="Porcentual 142 21" xfId="1898" xr:uid="{00000000-0005-0000-0000-00004E190000}"/>
    <cellStyle name="Porcentual 142 21 2" xfId="5559" xr:uid="{00000000-0005-0000-0000-00004F190000}"/>
    <cellStyle name="Porcentual 142 21 3" xfId="8233" xr:uid="{00000000-0005-0000-0000-000050190000}"/>
    <cellStyle name="Porcentual 142 22" xfId="1899" xr:uid="{00000000-0005-0000-0000-000051190000}"/>
    <cellStyle name="Porcentual 142 22 2" xfId="5560" xr:uid="{00000000-0005-0000-0000-000052190000}"/>
    <cellStyle name="Porcentual 142 22 3" xfId="8234" xr:uid="{00000000-0005-0000-0000-000053190000}"/>
    <cellStyle name="Porcentual 142 23" xfId="1900" xr:uid="{00000000-0005-0000-0000-000054190000}"/>
    <cellStyle name="Porcentual 142 23 2" xfId="5561" xr:uid="{00000000-0005-0000-0000-000055190000}"/>
    <cellStyle name="Porcentual 142 23 3" xfId="8235" xr:uid="{00000000-0005-0000-0000-000056190000}"/>
    <cellStyle name="Porcentual 142 24" xfId="1901" xr:uid="{00000000-0005-0000-0000-000057190000}"/>
    <cellStyle name="Porcentual 142 24 2" xfId="5562" xr:uid="{00000000-0005-0000-0000-000058190000}"/>
    <cellStyle name="Porcentual 142 24 3" xfId="8236" xr:uid="{00000000-0005-0000-0000-000059190000}"/>
    <cellStyle name="Porcentual 142 25" xfId="1902" xr:uid="{00000000-0005-0000-0000-00005A190000}"/>
    <cellStyle name="Porcentual 142 25 2" xfId="5563" xr:uid="{00000000-0005-0000-0000-00005B190000}"/>
    <cellStyle name="Porcentual 142 25 3" xfId="8237" xr:uid="{00000000-0005-0000-0000-00005C190000}"/>
    <cellStyle name="Porcentual 142 26" xfId="1903" xr:uid="{00000000-0005-0000-0000-00005D190000}"/>
    <cellStyle name="Porcentual 142 26 2" xfId="5564" xr:uid="{00000000-0005-0000-0000-00005E190000}"/>
    <cellStyle name="Porcentual 142 26 3" xfId="8238" xr:uid="{00000000-0005-0000-0000-00005F190000}"/>
    <cellStyle name="Porcentual 142 27" xfId="1904" xr:uid="{00000000-0005-0000-0000-000060190000}"/>
    <cellStyle name="Porcentual 142 27 2" xfId="5565" xr:uid="{00000000-0005-0000-0000-000061190000}"/>
    <cellStyle name="Porcentual 142 27 3" xfId="8239" xr:uid="{00000000-0005-0000-0000-000062190000}"/>
    <cellStyle name="Porcentual 142 28" xfId="1905" xr:uid="{00000000-0005-0000-0000-000063190000}"/>
    <cellStyle name="Porcentual 142 28 2" xfId="5566" xr:uid="{00000000-0005-0000-0000-000064190000}"/>
    <cellStyle name="Porcentual 142 28 3" xfId="8240" xr:uid="{00000000-0005-0000-0000-000065190000}"/>
    <cellStyle name="Porcentual 142 3" xfId="1906" xr:uid="{00000000-0005-0000-0000-000066190000}"/>
    <cellStyle name="Porcentual 142 3 2" xfId="5567" xr:uid="{00000000-0005-0000-0000-000067190000}"/>
    <cellStyle name="Porcentual 142 3 3" xfId="8241" xr:uid="{00000000-0005-0000-0000-000068190000}"/>
    <cellStyle name="Porcentual 142 4" xfId="1907" xr:uid="{00000000-0005-0000-0000-000069190000}"/>
    <cellStyle name="Porcentual 142 4 2" xfId="5568" xr:uid="{00000000-0005-0000-0000-00006A190000}"/>
    <cellStyle name="Porcentual 142 4 3" xfId="8242" xr:uid="{00000000-0005-0000-0000-00006B190000}"/>
    <cellStyle name="Porcentual 142 5" xfId="1908" xr:uid="{00000000-0005-0000-0000-00006C190000}"/>
    <cellStyle name="Porcentual 142 5 2" xfId="5569" xr:uid="{00000000-0005-0000-0000-00006D190000}"/>
    <cellStyle name="Porcentual 142 5 3" xfId="8243" xr:uid="{00000000-0005-0000-0000-00006E190000}"/>
    <cellStyle name="Porcentual 142 6" xfId="1909" xr:uid="{00000000-0005-0000-0000-00006F190000}"/>
    <cellStyle name="Porcentual 142 6 2" xfId="5570" xr:uid="{00000000-0005-0000-0000-000070190000}"/>
    <cellStyle name="Porcentual 142 6 3" xfId="8244" xr:uid="{00000000-0005-0000-0000-000071190000}"/>
    <cellStyle name="Porcentual 142 7" xfId="1910" xr:uid="{00000000-0005-0000-0000-000072190000}"/>
    <cellStyle name="Porcentual 142 7 2" xfId="5571" xr:uid="{00000000-0005-0000-0000-000073190000}"/>
    <cellStyle name="Porcentual 142 7 3" xfId="8245" xr:uid="{00000000-0005-0000-0000-000074190000}"/>
    <cellStyle name="Porcentual 142 8" xfId="1911" xr:uid="{00000000-0005-0000-0000-000075190000}"/>
    <cellStyle name="Porcentual 142 8 2" xfId="5572" xr:uid="{00000000-0005-0000-0000-000076190000}"/>
    <cellStyle name="Porcentual 142 8 3" xfId="8246" xr:uid="{00000000-0005-0000-0000-000077190000}"/>
    <cellStyle name="Porcentual 142 9" xfId="1912" xr:uid="{00000000-0005-0000-0000-000078190000}"/>
    <cellStyle name="Porcentual 142 9 2" xfId="5573" xr:uid="{00000000-0005-0000-0000-000079190000}"/>
    <cellStyle name="Porcentual 142 9 3" xfId="8247" xr:uid="{00000000-0005-0000-0000-00007A190000}"/>
    <cellStyle name="Porcentual 143 10" xfId="1913" xr:uid="{00000000-0005-0000-0000-00007B190000}"/>
    <cellStyle name="Porcentual 143 10 2" xfId="5574" xr:uid="{00000000-0005-0000-0000-00007C190000}"/>
    <cellStyle name="Porcentual 143 10 3" xfId="8248" xr:uid="{00000000-0005-0000-0000-00007D190000}"/>
    <cellStyle name="Porcentual 143 11" xfId="1914" xr:uid="{00000000-0005-0000-0000-00007E190000}"/>
    <cellStyle name="Porcentual 143 11 2" xfId="5575" xr:uid="{00000000-0005-0000-0000-00007F190000}"/>
    <cellStyle name="Porcentual 143 11 3" xfId="8249" xr:uid="{00000000-0005-0000-0000-000080190000}"/>
    <cellStyle name="Porcentual 143 12" xfId="1915" xr:uid="{00000000-0005-0000-0000-000081190000}"/>
    <cellStyle name="Porcentual 143 12 2" xfId="5576" xr:uid="{00000000-0005-0000-0000-000082190000}"/>
    <cellStyle name="Porcentual 143 12 3" xfId="8250" xr:uid="{00000000-0005-0000-0000-000083190000}"/>
    <cellStyle name="Porcentual 143 13" xfId="1916" xr:uid="{00000000-0005-0000-0000-000084190000}"/>
    <cellStyle name="Porcentual 143 13 2" xfId="5577" xr:uid="{00000000-0005-0000-0000-000085190000}"/>
    <cellStyle name="Porcentual 143 13 3" xfId="8251" xr:uid="{00000000-0005-0000-0000-000086190000}"/>
    <cellStyle name="Porcentual 143 14" xfId="1917" xr:uid="{00000000-0005-0000-0000-000087190000}"/>
    <cellStyle name="Porcentual 143 14 2" xfId="5578" xr:uid="{00000000-0005-0000-0000-000088190000}"/>
    <cellStyle name="Porcentual 143 14 3" xfId="8252" xr:uid="{00000000-0005-0000-0000-000089190000}"/>
    <cellStyle name="Porcentual 143 15" xfId="1918" xr:uid="{00000000-0005-0000-0000-00008A190000}"/>
    <cellStyle name="Porcentual 143 15 2" xfId="5579" xr:uid="{00000000-0005-0000-0000-00008B190000}"/>
    <cellStyle name="Porcentual 143 15 3" xfId="8253" xr:uid="{00000000-0005-0000-0000-00008C190000}"/>
    <cellStyle name="Porcentual 143 16" xfId="1919" xr:uid="{00000000-0005-0000-0000-00008D190000}"/>
    <cellStyle name="Porcentual 143 16 2" xfId="5580" xr:uid="{00000000-0005-0000-0000-00008E190000}"/>
    <cellStyle name="Porcentual 143 16 3" xfId="8254" xr:uid="{00000000-0005-0000-0000-00008F190000}"/>
    <cellStyle name="Porcentual 143 17" xfId="1920" xr:uid="{00000000-0005-0000-0000-000090190000}"/>
    <cellStyle name="Porcentual 143 17 2" xfId="5581" xr:uid="{00000000-0005-0000-0000-000091190000}"/>
    <cellStyle name="Porcentual 143 17 3" xfId="8255" xr:uid="{00000000-0005-0000-0000-000092190000}"/>
    <cellStyle name="Porcentual 143 18" xfId="1921" xr:uid="{00000000-0005-0000-0000-000093190000}"/>
    <cellStyle name="Porcentual 143 18 2" xfId="5582" xr:uid="{00000000-0005-0000-0000-000094190000}"/>
    <cellStyle name="Porcentual 143 18 3" xfId="8256" xr:uid="{00000000-0005-0000-0000-000095190000}"/>
    <cellStyle name="Porcentual 143 19" xfId="1922" xr:uid="{00000000-0005-0000-0000-000096190000}"/>
    <cellStyle name="Porcentual 143 19 2" xfId="5583" xr:uid="{00000000-0005-0000-0000-000097190000}"/>
    <cellStyle name="Porcentual 143 19 3" xfId="8257" xr:uid="{00000000-0005-0000-0000-000098190000}"/>
    <cellStyle name="Porcentual 143 2" xfId="1923" xr:uid="{00000000-0005-0000-0000-000099190000}"/>
    <cellStyle name="Porcentual 143 2 2" xfId="5584" xr:uid="{00000000-0005-0000-0000-00009A190000}"/>
    <cellStyle name="Porcentual 143 2 3" xfId="8258" xr:uid="{00000000-0005-0000-0000-00009B190000}"/>
    <cellStyle name="Porcentual 143 20" xfId="1924" xr:uid="{00000000-0005-0000-0000-00009C190000}"/>
    <cellStyle name="Porcentual 143 20 2" xfId="5585" xr:uid="{00000000-0005-0000-0000-00009D190000}"/>
    <cellStyle name="Porcentual 143 20 3" xfId="8259" xr:uid="{00000000-0005-0000-0000-00009E190000}"/>
    <cellStyle name="Porcentual 143 21" xfId="1925" xr:uid="{00000000-0005-0000-0000-00009F190000}"/>
    <cellStyle name="Porcentual 143 21 2" xfId="5586" xr:uid="{00000000-0005-0000-0000-0000A0190000}"/>
    <cellStyle name="Porcentual 143 21 3" xfId="8260" xr:uid="{00000000-0005-0000-0000-0000A1190000}"/>
    <cellStyle name="Porcentual 143 22" xfId="1926" xr:uid="{00000000-0005-0000-0000-0000A2190000}"/>
    <cellStyle name="Porcentual 143 22 2" xfId="5587" xr:uid="{00000000-0005-0000-0000-0000A3190000}"/>
    <cellStyle name="Porcentual 143 22 3" xfId="8261" xr:uid="{00000000-0005-0000-0000-0000A4190000}"/>
    <cellStyle name="Porcentual 143 23" xfId="1927" xr:uid="{00000000-0005-0000-0000-0000A5190000}"/>
    <cellStyle name="Porcentual 143 23 2" xfId="5588" xr:uid="{00000000-0005-0000-0000-0000A6190000}"/>
    <cellStyle name="Porcentual 143 23 3" xfId="8262" xr:uid="{00000000-0005-0000-0000-0000A7190000}"/>
    <cellStyle name="Porcentual 143 24" xfId="1928" xr:uid="{00000000-0005-0000-0000-0000A8190000}"/>
    <cellStyle name="Porcentual 143 24 2" xfId="5589" xr:uid="{00000000-0005-0000-0000-0000A9190000}"/>
    <cellStyle name="Porcentual 143 24 3" xfId="8263" xr:uid="{00000000-0005-0000-0000-0000AA190000}"/>
    <cellStyle name="Porcentual 143 25" xfId="1929" xr:uid="{00000000-0005-0000-0000-0000AB190000}"/>
    <cellStyle name="Porcentual 143 25 2" xfId="5590" xr:uid="{00000000-0005-0000-0000-0000AC190000}"/>
    <cellStyle name="Porcentual 143 25 3" xfId="8264" xr:uid="{00000000-0005-0000-0000-0000AD190000}"/>
    <cellStyle name="Porcentual 143 26" xfId="1930" xr:uid="{00000000-0005-0000-0000-0000AE190000}"/>
    <cellStyle name="Porcentual 143 26 2" xfId="5591" xr:uid="{00000000-0005-0000-0000-0000AF190000}"/>
    <cellStyle name="Porcentual 143 26 3" xfId="8265" xr:uid="{00000000-0005-0000-0000-0000B0190000}"/>
    <cellStyle name="Porcentual 143 27" xfId="1931" xr:uid="{00000000-0005-0000-0000-0000B1190000}"/>
    <cellStyle name="Porcentual 143 27 2" xfId="5592" xr:uid="{00000000-0005-0000-0000-0000B2190000}"/>
    <cellStyle name="Porcentual 143 27 3" xfId="8266" xr:uid="{00000000-0005-0000-0000-0000B3190000}"/>
    <cellStyle name="Porcentual 143 28" xfId="1932" xr:uid="{00000000-0005-0000-0000-0000B4190000}"/>
    <cellStyle name="Porcentual 143 28 2" xfId="5593" xr:uid="{00000000-0005-0000-0000-0000B5190000}"/>
    <cellStyle name="Porcentual 143 28 3" xfId="8267" xr:uid="{00000000-0005-0000-0000-0000B6190000}"/>
    <cellStyle name="Porcentual 143 3" xfId="1933" xr:uid="{00000000-0005-0000-0000-0000B7190000}"/>
    <cellStyle name="Porcentual 143 3 2" xfId="5594" xr:uid="{00000000-0005-0000-0000-0000B8190000}"/>
    <cellStyle name="Porcentual 143 3 3" xfId="8268" xr:uid="{00000000-0005-0000-0000-0000B9190000}"/>
    <cellStyle name="Porcentual 143 4" xfId="1934" xr:uid="{00000000-0005-0000-0000-0000BA190000}"/>
    <cellStyle name="Porcentual 143 4 2" xfId="5595" xr:uid="{00000000-0005-0000-0000-0000BB190000}"/>
    <cellStyle name="Porcentual 143 4 3" xfId="8269" xr:uid="{00000000-0005-0000-0000-0000BC190000}"/>
    <cellStyle name="Porcentual 143 5" xfId="1935" xr:uid="{00000000-0005-0000-0000-0000BD190000}"/>
    <cellStyle name="Porcentual 143 5 2" xfId="5596" xr:uid="{00000000-0005-0000-0000-0000BE190000}"/>
    <cellStyle name="Porcentual 143 5 3" xfId="8270" xr:uid="{00000000-0005-0000-0000-0000BF190000}"/>
    <cellStyle name="Porcentual 143 6" xfId="1936" xr:uid="{00000000-0005-0000-0000-0000C0190000}"/>
    <cellStyle name="Porcentual 143 6 2" xfId="5597" xr:uid="{00000000-0005-0000-0000-0000C1190000}"/>
    <cellStyle name="Porcentual 143 6 3" xfId="8271" xr:uid="{00000000-0005-0000-0000-0000C2190000}"/>
    <cellStyle name="Porcentual 143 7" xfId="1937" xr:uid="{00000000-0005-0000-0000-0000C3190000}"/>
    <cellStyle name="Porcentual 143 7 2" xfId="5598" xr:uid="{00000000-0005-0000-0000-0000C4190000}"/>
    <cellStyle name="Porcentual 143 7 3" xfId="8272" xr:uid="{00000000-0005-0000-0000-0000C5190000}"/>
    <cellStyle name="Porcentual 143 8" xfId="1938" xr:uid="{00000000-0005-0000-0000-0000C6190000}"/>
    <cellStyle name="Porcentual 143 8 2" xfId="5599" xr:uid="{00000000-0005-0000-0000-0000C7190000}"/>
    <cellStyle name="Porcentual 143 8 3" xfId="8273" xr:uid="{00000000-0005-0000-0000-0000C8190000}"/>
    <cellStyle name="Porcentual 143 9" xfId="1939" xr:uid="{00000000-0005-0000-0000-0000C9190000}"/>
    <cellStyle name="Porcentual 143 9 2" xfId="5600" xr:uid="{00000000-0005-0000-0000-0000CA190000}"/>
    <cellStyle name="Porcentual 143 9 3" xfId="8274" xr:uid="{00000000-0005-0000-0000-0000CB190000}"/>
    <cellStyle name="Porcentual 144 10" xfId="1940" xr:uid="{00000000-0005-0000-0000-0000CC190000}"/>
    <cellStyle name="Porcentual 144 10 2" xfId="5601" xr:uid="{00000000-0005-0000-0000-0000CD190000}"/>
    <cellStyle name="Porcentual 144 10 3" xfId="8275" xr:uid="{00000000-0005-0000-0000-0000CE190000}"/>
    <cellStyle name="Porcentual 144 11" xfId="1941" xr:uid="{00000000-0005-0000-0000-0000CF190000}"/>
    <cellStyle name="Porcentual 144 11 2" xfId="5602" xr:uid="{00000000-0005-0000-0000-0000D0190000}"/>
    <cellStyle name="Porcentual 144 11 3" xfId="8276" xr:uid="{00000000-0005-0000-0000-0000D1190000}"/>
    <cellStyle name="Porcentual 144 12" xfId="1942" xr:uid="{00000000-0005-0000-0000-0000D2190000}"/>
    <cellStyle name="Porcentual 144 12 2" xfId="5603" xr:uid="{00000000-0005-0000-0000-0000D3190000}"/>
    <cellStyle name="Porcentual 144 12 3" xfId="8277" xr:uid="{00000000-0005-0000-0000-0000D4190000}"/>
    <cellStyle name="Porcentual 144 13" xfId="1943" xr:uid="{00000000-0005-0000-0000-0000D5190000}"/>
    <cellStyle name="Porcentual 144 13 2" xfId="5604" xr:uid="{00000000-0005-0000-0000-0000D6190000}"/>
    <cellStyle name="Porcentual 144 13 3" xfId="8278" xr:uid="{00000000-0005-0000-0000-0000D7190000}"/>
    <cellStyle name="Porcentual 144 14" xfId="1944" xr:uid="{00000000-0005-0000-0000-0000D8190000}"/>
    <cellStyle name="Porcentual 144 14 2" xfId="5605" xr:uid="{00000000-0005-0000-0000-0000D9190000}"/>
    <cellStyle name="Porcentual 144 14 3" xfId="8279" xr:uid="{00000000-0005-0000-0000-0000DA190000}"/>
    <cellStyle name="Porcentual 144 15" xfId="1945" xr:uid="{00000000-0005-0000-0000-0000DB190000}"/>
    <cellStyle name="Porcentual 144 15 2" xfId="5606" xr:uid="{00000000-0005-0000-0000-0000DC190000}"/>
    <cellStyle name="Porcentual 144 15 3" xfId="8280" xr:uid="{00000000-0005-0000-0000-0000DD190000}"/>
    <cellStyle name="Porcentual 144 16" xfId="1946" xr:uid="{00000000-0005-0000-0000-0000DE190000}"/>
    <cellStyle name="Porcentual 144 16 2" xfId="5607" xr:uid="{00000000-0005-0000-0000-0000DF190000}"/>
    <cellStyle name="Porcentual 144 16 3" xfId="8281" xr:uid="{00000000-0005-0000-0000-0000E0190000}"/>
    <cellStyle name="Porcentual 144 17" xfId="1947" xr:uid="{00000000-0005-0000-0000-0000E1190000}"/>
    <cellStyle name="Porcentual 144 17 2" xfId="5608" xr:uid="{00000000-0005-0000-0000-0000E2190000}"/>
    <cellStyle name="Porcentual 144 17 3" xfId="8282" xr:uid="{00000000-0005-0000-0000-0000E3190000}"/>
    <cellStyle name="Porcentual 144 18" xfId="1948" xr:uid="{00000000-0005-0000-0000-0000E4190000}"/>
    <cellStyle name="Porcentual 144 18 2" xfId="5609" xr:uid="{00000000-0005-0000-0000-0000E5190000}"/>
    <cellStyle name="Porcentual 144 18 3" xfId="8283" xr:uid="{00000000-0005-0000-0000-0000E6190000}"/>
    <cellStyle name="Porcentual 144 19" xfId="1949" xr:uid="{00000000-0005-0000-0000-0000E7190000}"/>
    <cellStyle name="Porcentual 144 19 2" xfId="5610" xr:uid="{00000000-0005-0000-0000-0000E8190000}"/>
    <cellStyle name="Porcentual 144 19 3" xfId="8284" xr:uid="{00000000-0005-0000-0000-0000E9190000}"/>
    <cellStyle name="Porcentual 144 2" xfId="1950" xr:uid="{00000000-0005-0000-0000-0000EA190000}"/>
    <cellStyle name="Porcentual 144 2 2" xfId="5611" xr:uid="{00000000-0005-0000-0000-0000EB190000}"/>
    <cellStyle name="Porcentual 144 2 3" xfId="8285" xr:uid="{00000000-0005-0000-0000-0000EC190000}"/>
    <cellStyle name="Porcentual 144 20" xfId="1951" xr:uid="{00000000-0005-0000-0000-0000ED190000}"/>
    <cellStyle name="Porcentual 144 20 2" xfId="5612" xr:uid="{00000000-0005-0000-0000-0000EE190000}"/>
    <cellStyle name="Porcentual 144 20 3" xfId="8286" xr:uid="{00000000-0005-0000-0000-0000EF190000}"/>
    <cellStyle name="Porcentual 144 21" xfId="1952" xr:uid="{00000000-0005-0000-0000-0000F0190000}"/>
    <cellStyle name="Porcentual 144 21 2" xfId="5613" xr:uid="{00000000-0005-0000-0000-0000F1190000}"/>
    <cellStyle name="Porcentual 144 21 3" xfId="8287" xr:uid="{00000000-0005-0000-0000-0000F2190000}"/>
    <cellStyle name="Porcentual 144 22" xfId="1953" xr:uid="{00000000-0005-0000-0000-0000F3190000}"/>
    <cellStyle name="Porcentual 144 22 2" xfId="5614" xr:uid="{00000000-0005-0000-0000-0000F4190000}"/>
    <cellStyle name="Porcentual 144 22 3" xfId="8288" xr:uid="{00000000-0005-0000-0000-0000F5190000}"/>
    <cellStyle name="Porcentual 144 23" xfId="1954" xr:uid="{00000000-0005-0000-0000-0000F6190000}"/>
    <cellStyle name="Porcentual 144 23 2" xfId="5615" xr:uid="{00000000-0005-0000-0000-0000F7190000}"/>
    <cellStyle name="Porcentual 144 23 3" xfId="8289" xr:uid="{00000000-0005-0000-0000-0000F8190000}"/>
    <cellStyle name="Porcentual 144 24" xfId="1955" xr:uid="{00000000-0005-0000-0000-0000F9190000}"/>
    <cellStyle name="Porcentual 144 24 2" xfId="5616" xr:uid="{00000000-0005-0000-0000-0000FA190000}"/>
    <cellStyle name="Porcentual 144 24 3" xfId="8290" xr:uid="{00000000-0005-0000-0000-0000FB190000}"/>
    <cellStyle name="Porcentual 144 25" xfId="1956" xr:uid="{00000000-0005-0000-0000-0000FC190000}"/>
    <cellStyle name="Porcentual 144 25 2" xfId="5617" xr:uid="{00000000-0005-0000-0000-0000FD190000}"/>
    <cellStyle name="Porcentual 144 25 3" xfId="8291" xr:uid="{00000000-0005-0000-0000-0000FE190000}"/>
    <cellStyle name="Porcentual 144 26" xfId="1957" xr:uid="{00000000-0005-0000-0000-0000FF190000}"/>
    <cellStyle name="Porcentual 144 26 2" xfId="5618" xr:uid="{00000000-0005-0000-0000-0000001A0000}"/>
    <cellStyle name="Porcentual 144 26 3" xfId="8292" xr:uid="{00000000-0005-0000-0000-0000011A0000}"/>
    <cellStyle name="Porcentual 144 27" xfId="1958" xr:uid="{00000000-0005-0000-0000-0000021A0000}"/>
    <cellStyle name="Porcentual 144 27 2" xfId="5619" xr:uid="{00000000-0005-0000-0000-0000031A0000}"/>
    <cellStyle name="Porcentual 144 27 3" xfId="8293" xr:uid="{00000000-0005-0000-0000-0000041A0000}"/>
    <cellStyle name="Porcentual 144 28" xfId="1959" xr:uid="{00000000-0005-0000-0000-0000051A0000}"/>
    <cellStyle name="Porcentual 144 28 2" xfId="5620" xr:uid="{00000000-0005-0000-0000-0000061A0000}"/>
    <cellStyle name="Porcentual 144 28 3" xfId="8294" xr:uid="{00000000-0005-0000-0000-0000071A0000}"/>
    <cellStyle name="Porcentual 144 3" xfId="1960" xr:uid="{00000000-0005-0000-0000-0000081A0000}"/>
    <cellStyle name="Porcentual 144 3 2" xfId="5621" xr:uid="{00000000-0005-0000-0000-0000091A0000}"/>
    <cellStyle name="Porcentual 144 3 3" xfId="8295" xr:uid="{00000000-0005-0000-0000-00000A1A0000}"/>
    <cellStyle name="Porcentual 144 4" xfId="1961" xr:uid="{00000000-0005-0000-0000-00000B1A0000}"/>
    <cellStyle name="Porcentual 144 4 2" xfId="5622" xr:uid="{00000000-0005-0000-0000-00000C1A0000}"/>
    <cellStyle name="Porcentual 144 4 3" xfId="8296" xr:uid="{00000000-0005-0000-0000-00000D1A0000}"/>
    <cellStyle name="Porcentual 144 5" xfId="1962" xr:uid="{00000000-0005-0000-0000-00000E1A0000}"/>
    <cellStyle name="Porcentual 144 5 2" xfId="5623" xr:uid="{00000000-0005-0000-0000-00000F1A0000}"/>
    <cellStyle name="Porcentual 144 5 3" xfId="8297" xr:uid="{00000000-0005-0000-0000-0000101A0000}"/>
    <cellStyle name="Porcentual 144 6" xfId="1963" xr:uid="{00000000-0005-0000-0000-0000111A0000}"/>
    <cellStyle name="Porcentual 144 6 2" xfId="5624" xr:uid="{00000000-0005-0000-0000-0000121A0000}"/>
    <cellStyle name="Porcentual 144 6 3" xfId="8298" xr:uid="{00000000-0005-0000-0000-0000131A0000}"/>
    <cellStyle name="Porcentual 144 7" xfId="1964" xr:uid="{00000000-0005-0000-0000-0000141A0000}"/>
    <cellStyle name="Porcentual 144 7 2" xfId="5625" xr:uid="{00000000-0005-0000-0000-0000151A0000}"/>
    <cellStyle name="Porcentual 144 7 3" xfId="8299" xr:uid="{00000000-0005-0000-0000-0000161A0000}"/>
    <cellStyle name="Porcentual 144 8" xfId="1965" xr:uid="{00000000-0005-0000-0000-0000171A0000}"/>
    <cellStyle name="Porcentual 144 8 2" xfId="5626" xr:uid="{00000000-0005-0000-0000-0000181A0000}"/>
    <cellStyle name="Porcentual 144 8 3" xfId="8300" xr:uid="{00000000-0005-0000-0000-0000191A0000}"/>
    <cellStyle name="Porcentual 144 9" xfId="1966" xr:uid="{00000000-0005-0000-0000-00001A1A0000}"/>
    <cellStyle name="Porcentual 144 9 2" xfId="5627" xr:uid="{00000000-0005-0000-0000-00001B1A0000}"/>
    <cellStyle name="Porcentual 144 9 3" xfId="8301" xr:uid="{00000000-0005-0000-0000-00001C1A0000}"/>
    <cellStyle name="Porcentual 145 10" xfId="1967" xr:uid="{00000000-0005-0000-0000-00001D1A0000}"/>
    <cellStyle name="Porcentual 145 10 2" xfId="5628" xr:uid="{00000000-0005-0000-0000-00001E1A0000}"/>
    <cellStyle name="Porcentual 145 10 3" xfId="8302" xr:uid="{00000000-0005-0000-0000-00001F1A0000}"/>
    <cellStyle name="Porcentual 145 11" xfId="1968" xr:uid="{00000000-0005-0000-0000-0000201A0000}"/>
    <cellStyle name="Porcentual 145 11 2" xfId="5629" xr:uid="{00000000-0005-0000-0000-0000211A0000}"/>
    <cellStyle name="Porcentual 145 11 3" xfId="8303" xr:uid="{00000000-0005-0000-0000-0000221A0000}"/>
    <cellStyle name="Porcentual 145 12" xfId="1969" xr:uid="{00000000-0005-0000-0000-0000231A0000}"/>
    <cellStyle name="Porcentual 145 12 2" xfId="5630" xr:uid="{00000000-0005-0000-0000-0000241A0000}"/>
    <cellStyle name="Porcentual 145 12 3" xfId="8304" xr:uid="{00000000-0005-0000-0000-0000251A0000}"/>
    <cellStyle name="Porcentual 145 13" xfId="1970" xr:uid="{00000000-0005-0000-0000-0000261A0000}"/>
    <cellStyle name="Porcentual 145 13 2" xfId="5631" xr:uid="{00000000-0005-0000-0000-0000271A0000}"/>
    <cellStyle name="Porcentual 145 13 3" xfId="8305" xr:uid="{00000000-0005-0000-0000-0000281A0000}"/>
    <cellStyle name="Porcentual 145 14" xfId="1971" xr:uid="{00000000-0005-0000-0000-0000291A0000}"/>
    <cellStyle name="Porcentual 145 14 2" xfId="5632" xr:uid="{00000000-0005-0000-0000-00002A1A0000}"/>
    <cellStyle name="Porcentual 145 14 3" xfId="8306" xr:uid="{00000000-0005-0000-0000-00002B1A0000}"/>
    <cellStyle name="Porcentual 145 15" xfId="1972" xr:uid="{00000000-0005-0000-0000-00002C1A0000}"/>
    <cellStyle name="Porcentual 145 15 2" xfId="5633" xr:uid="{00000000-0005-0000-0000-00002D1A0000}"/>
    <cellStyle name="Porcentual 145 15 3" xfId="8307" xr:uid="{00000000-0005-0000-0000-00002E1A0000}"/>
    <cellStyle name="Porcentual 145 16" xfId="1973" xr:uid="{00000000-0005-0000-0000-00002F1A0000}"/>
    <cellStyle name="Porcentual 145 16 2" xfId="5634" xr:uid="{00000000-0005-0000-0000-0000301A0000}"/>
    <cellStyle name="Porcentual 145 16 3" xfId="8308" xr:uid="{00000000-0005-0000-0000-0000311A0000}"/>
    <cellStyle name="Porcentual 145 17" xfId="1974" xr:uid="{00000000-0005-0000-0000-0000321A0000}"/>
    <cellStyle name="Porcentual 145 17 2" xfId="5635" xr:uid="{00000000-0005-0000-0000-0000331A0000}"/>
    <cellStyle name="Porcentual 145 17 3" xfId="8309" xr:uid="{00000000-0005-0000-0000-0000341A0000}"/>
    <cellStyle name="Porcentual 145 18" xfId="1975" xr:uid="{00000000-0005-0000-0000-0000351A0000}"/>
    <cellStyle name="Porcentual 145 18 2" xfId="5636" xr:uid="{00000000-0005-0000-0000-0000361A0000}"/>
    <cellStyle name="Porcentual 145 18 3" xfId="8310" xr:uid="{00000000-0005-0000-0000-0000371A0000}"/>
    <cellStyle name="Porcentual 145 19" xfId="1976" xr:uid="{00000000-0005-0000-0000-0000381A0000}"/>
    <cellStyle name="Porcentual 145 19 2" xfId="5637" xr:uid="{00000000-0005-0000-0000-0000391A0000}"/>
    <cellStyle name="Porcentual 145 19 3" xfId="8311" xr:uid="{00000000-0005-0000-0000-00003A1A0000}"/>
    <cellStyle name="Porcentual 145 2" xfId="1977" xr:uid="{00000000-0005-0000-0000-00003B1A0000}"/>
    <cellStyle name="Porcentual 145 2 2" xfId="5638" xr:uid="{00000000-0005-0000-0000-00003C1A0000}"/>
    <cellStyle name="Porcentual 145 2 3" xfId="8312" xr:uid="{00000000-0005-0000-0000-00003D1A0000}"/>
    <cellStyle name="Porcentual 145 20" xfId="1978" xr:uid="{00000000-0005-0000-0000-00003E1A0000}"/>
    <cellStyle name="Porcentual 145 20 2" xfId="5639" xr:uid="{00000000-0005-0000-0000-00003F1A0000}"/>
    <cellStyle name="Porcentual 145 20 3" xfId="8313" xr:uid="{00000000-0005-0000-0000-0000401A0000}"/>
    <cellStyle name="Porcentual 145 21" xfId="1979" xr:uid="{00000000-0005-0000-0000-0000411A0000}"/>
    <cellStyle name="Porcentual 145 21 2" xfId="5640" xr:uid="{00000000-0005-0000-0000-0000421A0000}"/>
    <cellStyle name="Porcentual 145 21 3" xfId="8314" xr:uid="{00000000-0005-0000-0000-0000431A0000}"/>
    <cellStyle name="Porcentual 145 22" xfId="1980" xr:uid="{00000000-0005-0000-0000-0000441A0000}"/>
    <cellStyle name="Porcentual 145 22 2" xfId="5641" xr:uid="{00000000-0005-0000-0000-0000451A0000}"/>
    <cellStyle name="Porcentual 145 22 3" xfId="8315" xr:uid="{00000000-0005-0000-0000-0000461A0000}"/>
    <cellStyle name="Porcentual 145 23" xfId="1981" xr:uid="{00000000-0005-0000-0000-0000471A0000}"/>
    <cellStyle name="Porcentual 145 23 2" xfId="5642" xr:uid="{00000000-0005-0000-0000-0000481A0000}"/>
    <cellStyle name="Porcentual 145 23 3" xfId="8316" xr:uid="{00000000-0005-0000-0000-0000491A0000}"/>
    <cellStyle name="Porcentual 145 24" xfId="1982" xr:uid="{00000000-0005-0000-0000-00004A1A0000}"/>
    <cellStyle name="Porcentual 145 24 2" xfId="5643" xr:uid="{00000000-0005-0000-0000-00004B1A0000}"/>
    <cellStyle name="Porcentual 145 24 3" xfId="8317" xr:uid="{00000000-0005-0000-0000-00004C1A0000}"/>
    <cellStyle name="Porcentual 145 25" xfId="1983" xr:uid="{00000000-0005-0000-0000-00004D1A0000}"/>
    <cellStyle name="Porcentual 145 25 2" xfId="5644" xr:uid="{00000000-0005-0000-0000-00004E1A0000}"/>
    <cellStyle name="Porcentual 145 25 3" xfId="8318" xr:uid="{00000000-0005-0000-0000-00004F1A0000}"/>
    <cellStyle name="Porcentual 145 26" xfId="1984" xr:uid="{00000000-0005-0000-0000-0000501A0000}"/>
    <cellStyle name="Porcentual 145 26 2" xfId="5645" xr:uid="{00000000-0005-0000-0000-0000511A0000}"/>
    <cellStyle name="Porcentual 145 26 3" xfId="8319" xr:uid="{00000000-0005-0000-0000-0000521A0000}"/>
    <cellStyle name="Porcentual 145 27" xfId="1985" xr:uid="{00000000-0005-0000-0000-0000531A0000}"/>
    <cellStyle name="Porcentual 145 27 2" xfId="5646" xr:uid="{00000000-0005-0000-0000-0000541A0000}"/>
    <cellStyle name="Porcentual 145 27 3" xfId="8320" xr:uid="{00000000-0005-0000-0000-0000551A0000}"/>
    <cellStyle name="Porcentual 145 28" xfId="1986" xr:uid="{00000000-0005-0000-0000-0000561A0000}"/>
    <cellStyle name="Porcentual 145 28 2" xfId="5647" xr:uid="{00000000-0005-0000-0000-0000571A0000}"/>
    <cellStyle name="Porcentual 145 28 3" xfId="8321" xr:uid="{00000000-0005-0000-0000-0000581A0000}"/>
    <cellStyle name="Porcentual 145 3" xfId="1987" xr:uid="{00000000-0005-0000-0000-0000591A0000}"/>
    <cellStyle name="Porcentual 145 3 2" xfId="5648" xr:uid="{00000000-0005-0000-0000-00005A1A0000}"/>
    <cellStyle name="Porcentual 145 3 3" xfId="8322" xr:uid="{00000000-0005-0000-0000-00005B1A0000}"/>
    <cellStyle name="Porcentual 145 4" xfId="1988" xr:uid="{00000000-0005-0000-0000-00005C1A0000}"/>
    <cellStyle name="Porcentual 145 4 2" xfId="5649" xr:uid="{00000000-0005-0000-0000-00005D1A0000}"/>
    <cellStyle name="Porcentual 145 4 3" xfId="8323" xr:uid="{00000000-0005-0000-0000-00005E1A0000}"/>
    <cellStyle name="Porcentual 145 5" xfId="1989" xr:uid="{00000000-0005-0000-0000-00005F1A0000}"/>
    <cellStyle name="Porcentual 145 5 2" xfId="5650" xr:uid="{00000000-0005-0000-0000-0000601A0000}"/>
    <cellStyle name="Porcentual 145 5 3" xfId="8324" xr:uid="{00000000-0005-0000-0000-0000611A0000}"/>
    <cellStyle name="Porcentual 145 6" xfId="1990" xr:uid="{00000000-0005-0000-0000-0000621A0000}"/>
    <cellStyle name="Porcentual 145 6 2" xfId="5651" xr:uid="{00000000-0005-0000-0000-0000631A0000}"/>
    <cellStyle name="Porcentual 145 6 3" xfId="8325" xr:uid="{00000000-0005-0000-0000-0000641A0000}"/>
    <cellStyle name="Porcentual 145 7" xfId="1991" xr:uid="{00000000-0005-0000-0000-0000651A0000}"/>
    <cellStyle name="Porcentual 145 7 2" xfId="5652" xr:uid="{00000000-0005-0000-0000-0000661A0000}"/>
    <cellStyle name="Porcentual 145 7 3" xfId="8326" xr:uid="{00000000-0005-0000-0000-0000671A0000}"/>
    <cellStyle name="Porcentual 145 8" xfId="1992" xr:uid="{00000000-0005-0000-0000-0000681A0000}"/>
    <cellStyle name="Porcentual 145 8 2" xfId="5653" xr:uid="{00000000-0005-0000-0000-0000691A0000}"/>
    <cellStyle name="Porcentual 145 8 3" xfId="8327" xr:uid="{00000000-0005-0000-0000-00006A1A0000}"/>
    <cellStyle name="Porcentual 145 9" xfId="1993" xr:uid="{00000000-0005-0000-0000-00006B1A0000}"/>
    <cellStyle name="Porcentual 145 9 2" xfId="5654" xr:uid="{00000000-0005-0000-0000-00006C1A0000}"/>
    <cellStyle name="Porcentual 145 9 3" xfId="8328" xr:uid="{00000000-0005-0000-0000-00006D1A0000}"/>
    <cellStyle name="Porcentual 146 10" xfId="1994" xr:uid="{00000000-0005-0000-0000-00006E1A0000}"/>
    <cellStyle name="Porcentual 146 10 2" xfId="5655" xr:uid="{00000000-0005-0000-0000-00006F1A0000}"/>
    <cellStyle name="Porcentual 146 10 3" xfId="8329" xr:uid="{00000000-0005-0000-0000-0000701A0000}"/>
    <cellStyle name="Porcentual 146 11" xfId="1995" xr:uid="{00000000-0005-0000-0000-0000711A0000}"/>
    <cellStyle name="Porcentual 146 11 2" xfId="5656" xr:uid="{00000000-0005-0000-0000-0000721A0000}"/>
    <cellStyle name="Porcentual 146 11 3" xfId="8330" xr:uid="{00000000-0005-0000-0000-0000731A0000}"/>
    <cellStyle name="Porcentual 146 12" xfId="1996" xr:uid="{00000000-0005-0000-0000-0000741A0000}"/>
    <cellStyle name="Porcentual 146 12 2" xfId="5657" xr:uid="{00000000-0005-0000-0000-0000751A0000}"/>
    <cellStyle name="Porcentual 146 12 3" xfId="8331" xr:uid="{00000000-0005-0000-0000-0000761A0000}"/>
    <cellStyle name="Porcentual 146 13" xfId="1997" xr:uid="{00000000-0005-0000-0000-0000771A0000}"/>
    <cellStyle name="Porcentual 146 13 2" xfId="5658" xr:uid="{00000000-0005-0000-0000-0000781A0000}"/>
    <cellStyle name="Porcentual 146 13 3" xfId="8332" xr:uid="{00000000-0005-0000-0000-0000791A0000}"/>
    <cellStyle name="Porcentual 146 14" xfId="1998" xr:uid="{00000000-0005-0000-0000-00007A1A0000}"/>
    <cellStyle name="Porcentual 146 14 2" xfId="5659" xr:uid="{00000000-0005-0000-0000-00007B1A0000}"/>
    <cellStyle name="Porcentual 146 14 3" xfId="8333" xr:uid="{00000000-0005-0000-0000-00007C1A0000}"/>
    <cellStyle name="Porcentual 146 15" xfId="1999" xr:uid="{00000000-0005-0000-0000-00007D1A0000}"/>
    <cellStyle name="Porcentual 146 15 2" xfId="5660" xr:uid="{00000000-0005-0000-0000-00007E1A0000}"/>
    <cellStyle name="Porcentual 146 15 3" xfId="8334" xr:uid="{00000000-0005-0000-0000-00007F1A0000}"/>
    <cellStyle name="Porcentual 146 16" xfId="2000" xr:uid="{00000000-0005-0000-0000-0000801A0000}"/>
    <cellStyle name="Porcentual 146 16 2" xfId="5661" xr:uid="{00000000-0005-0000-0000-0000811A0000}"/>
    <cellStyle name="Porcentual 146 16 3" xfId="8335" xr:uid="{00000000-0005-0000-0000-0000821A0000}"/>
    <cellStyle name="Porcentual 146 17" xfId="2001" xr:uid="{00000000-0005-0000-0000-0000831A0000}"/>
    <cellStyle name="Porcentual 146 17 2" xfId="5662" xr:uid="{00000000-0005-0000-0000-0000841A0000}"/>
    <cellStyle name="Porcentual 146 17 3" xfId="8336" xr:uid="{00000000-0005-0000-0000-0000851A0000}"/>
    <cellStyle name="Porcentual 146 18" xfId="2002" xr:uid="{00000000-0005-0000-0000-0000861A0000}"/>
    <cellStyle name="Porcentual 146 18 2" xfId="5663" xr:uid="{00000000-0005-0000-0000-0000871A0000}"/>
    <cellStyle name="Porcentual 146 18 3" xfId="8337" xr:uid="{00000000-0005-0000-0000-0000881A0000}"/>
    <cellStyle name="Porcentual 146 19" xfId="2003" xr:uid="{00000000-0005-0000-0000-0000891A0000}"/>
    <cellStyle name="Porcentual 146 19 2" xfId="5664" xr:uid="{00000000-0005-0000-0000-00008A1A0000}"/>
    <cellStyle name="Porcentual 146 19 3" xfId="8338" xr:uid="{00000000-0005-0000-0000-00008B1A0000}"/>
    <cellStyle name="Porcentual 146 2" xfId="2004" xr:uid="{00000000-0005-0000-0000-00008C1A0000}"/>
    <cellStyle name="Porcentual 146 2 2" xfId="5665" xr:uid="{00000000-0005-0000-0000-00008D1A0000}"/>
    <cellStyle name="Porcentual 146 2 3" xfId="8339" xr:uid="{00000000-0005-0000-0000-00008E1A0000}"/>
    <cellStyle name="Porcentual 146 20" xfId="2005" xr:uid="{00000000-0005-0000-0000-00008F1A0000}"/>
    <cellStyle name="Porcentual 146 20 2" xfId="5666" xr:uid="{00000000-0005-0000-0000-0000901A0000}"/>
    <cellStyle name="Porcentual 146 20 3" xfId="8340" xr:uid="{00000000-0005-0000-0000-0000911A0000}"/>
    <cellStyle name="Porcentual 146 21" xfId="2006" xr:uid="{00000000-0005-0000-0000-0000921A0000}"/>
    <cellStyle name="Porcentual 146 21 2" xfId="5667" xr:uid="{00000000-0005-0000-0000-0000931A0000}"/>
    <cellStyle name="Porcentual 146 21 3" xfId="8341" xr:uid="{00000000-0005-0000-0000-0000941A0000}"/>
    <cellStyle name="Porcentual 146 22" xfId="2007" xr:uid="{00000000-0005-0000-0000-0000951A0000}"/>
    <cellStyle name="Porcentual 146 22 2" xfId="5668" xr:uid="{00000000-0005-0000-0000-0000961A0000}"/>
    <cellStyle name="Porcentual 146 22 3" xfId="8342" xr:uid="{00000000-0005-0000-0000-0000971A0000}"/>
    <cellStyle name="Porcentual 146 23" xfId="2008" xr:uid="{00000000-0005-0000-0000-0000981A0000}"/>
    <cellStyle name="Porcentual 146 23 2" xfId="5669" xr:uid="{00000000-0005-0000-0000-0000991A0000}"/>
    <cellStyle name="Porcentual 146 23 3" xfId="8343" xr:uid="{00000000-0005-0000-0000-00009A1A0000}"/>
    <cellStyle name="Porcentual 146 24" xfId="2009" xr:uid="{00000000-0005-0000-0000-00009B1A0000}"/>
    <cellStyle name="Porcentual 146 24 2" xfId="5670" xr:uid="{00000000-0005-0000-0000-00009C1A0000}"/>
    <cellStyle name="Porcentual 146 24 3" xfId="8344" xr:uid="{00000000-0005-0000-0000-00009D1A0000}"/>
    <cellStyle name="Porcentual 146 25" xfId="2010" xr:uid="{00000000-0005-0000-0000-00009E1A0000}"/>
    <cellStyle name="Porcentual 146 25 2" xfId="5671" xr:uid="{00000000-0005-0000-0000-00009F1A0000}"/>
    <cellStyle name="Porcentual 146 25 3" xfId="8345" xr:uid="{00000000-0005-0000-0000-0000A01A0000}"/>
    <cellStyle name="Porcentual 146 26" xfId="2011" xr:uid="{00000000-0005-0000-0000-0000A11A0000}"/>
    <cellStyle name="Porcentual 146 26 2" xfId="5672" xr:uid="{00000000-0005-0000-0000-0000A21A0000}"/>
    <cellStyle name="Porcentual 146 26 3" xfId="8346" xr:uid="{00000000-0005-0000-0000-0000A31A0000}"/>
    <cellStyle name="Porcentual 146 27" xfId="2012" xr:uid="{00000000-0005-0000-0000-0000A41A0000}"/>
    <cellStyle name="Porcentual 146 27 2" xfId="5673" xr:uid="{00000000-0005-0000-0000-0000A51A0000}"/>
    <cellStyle name="Porcentual 146 27 3" xfId="8347" xr:uid="{00000000-0005-0000-0000-0000A61A0000}"/>
    <cellStyle name="Porcentual 146 28" xfId="2013" xr:uid="{00000000-0005-0000-0000-0000A71A0000}"/>
    <cellStyle name="Porcentual 146 28 2" xfId="5674" xr:uid="{00000000-0005-0000-0000-0000A81A0000}"/>
    <cellStyle name="Porcentual 146 28 3" xfId="8348" xr:uid="{00000000-0005-0000-0000-0000A91A0000}"/>
    <cellStyle name="Porcentual 146 3" xfId="2014" xr:uid="{00000000-0005-0000-0000-0000AA1A0000}"/>
    <cellStyle name="Porcentual 146 3 2" xfId="5675" xr:uid="{00000000-0005-0000-0000-0000AB1A0000}"/>
    <cellStyle name="Porcentual 146 3 3" xfId="8349" xr:uid="{00000000-0005-0000-0000-0000AC1A0000}"/>
    <cellStyle name="Porcentual 146 4" xfId="2015" xr:uid="{00000000-0005-0000-0000-0000AD1A0000}"/>
    <cellStyle name="Porcentual 146 4 2" xfId="5676" xr:uid="{00000000-0005-0000-0000-0000AE1A0000}"/>
    <cellStyle name="Porcentual 146 4 3" xfId="8350" xr:uid="{00000000-0005-0000-0000-0000AF1A0000}"/>
    <cellStyle name="Porcentual 146 5" xfId="2016" xr:uid="{00000000-0005-0000-0000-0000B01A0000}"/>
    <cellStyle name="Porcentual 146 5 2" xfId="5677" xr:uid="{00000000-0005-0000-0000-0000B11A0000}"/>
    <cellStyle name="Porcentual 146 5 3" xfId="8351" xr:uid="{00000000-0005-0000-0000-0000B21A0000}"/>
    <cellStyle name="Porcentual 146 6" xfId="2017" xr:uid="{00000000-0005-0000-0000-0000B31A0000}"/>
    <cellStyle name="Porcentual 146 6 2" xfId="5678" xr:uid="{00000000-0005-0000-0000-0000B41A0000}"/>
    <cellStyle name="Porcentual 146 6 3" xfId="8352" xr:uid="{00000000-0005-0000-0000-0000B51A0000}"/>
    <cellStyle name="Porcentual 146 7" xfId="2018" xr:uid="{00000000-0005-0000-0000-0000B61A0000}"/>
    <cellStyle name="Porcentual 146 7 2" xfId="5679" xr:uid="{00000000-0005-0000-0000-0000B71A0000}"/>
    <cellStyle name="Porcentual 146 7 3" xfId="8353" xr:uid="{00000000-0005-0000-0000-0000B81A0000}"/>
    <cellStyle name="Porcentual 146 8" xfId="2019" xr:uid="{00000000-0005-0000-0000-0000B91A0000}"/>
    <cellStyle name="Porcentual 146 8 2" xfId="5680" xr:uid="{00000000-0005-0000-0000-0000BA1A0000}"/>
    <cellStyle name="Porcentual 146 8 3" xfId="8354" xr:uid="{00000000-0005-0000-0000-0000BB1A0000}"/>
    <cellStyle name="Porcentual 146 9" xfId="2020" xr:uid="{00000000-0005-0000-0000-0000BC1A0000}"/>
    <cellStyle name="Porcentual 146 9 2" xfId="5681" xr:uid="{00000000-0005-0000-0000-0000BD1A0000}"/>
    <cellStyle name="Porcentual 146 9 3" xfId="8355" xr:uid="{00000000-0005-0000-0000-0000BE1A0000}"/>
    <cellStyle name="Porcentual 147 10" xfId="2021" xr:uid="{00000000-0005-0000-0000-0000BF1A0000}"/>
    <cellStyle name="Porcentual 147 10 2" xfId="5682" xr:uid="{00000000-0005-0000-0000-0000C01A0000}"/>
    <cellStyle name="Porcentual 147 10 3" xfId="8356" xr:uid="{00000000-0005-0000-0000-0000C11A0000}"/>
    <cellStyle name="Porcentual 147 11" xfId="2022" xr:uid="{00000000-0005-0000-0000-0000C21A0000}"/>
    <cellStyle name="Porcentual 147 11 2" xfId="5683" xr:uid="{00000000-0005-0000-0000-0000C31A0000}"/>
    <cellStyle name="Porcentual 147 11 3" xfId="8357" xr:uid="{00000000-0005-0000-0000-0000C41A0000}"/>
    <cellStyle name="Porcentual 147 12" xfId="2023" xr:uid="{00000000-0005-0000-0000-0000C51A0000}"/>
    <cellStyle name="Porcentual 147 12 2" xfId="5684" xr:uid="{00000000-0005-0000-0000-0000C61A0000}"/>
    <cellStyle name="Porcentual 147 12 3" xfId="8358" xr:uid="{00000000-0005-0000-0000-0000C71A0000}"/>
    <cellStyle name="Porcentual 147 13" xfId="2024" xr:uid="{00000000-0005-0000-0000-0000C81A0000}"/>
    <cellStyle name="Porcentual 147 13 2" xfId="5685" xr:uid="{00000000-0005-0000-0000-0000C91A0000}"/>
    <cellStyle name="Porcentual 147 13 3" xfId="8359" xr:uid="{00000000-0005-0000-0000-0000CA1A0000}"/>
    <cellStyle name="Porcentual 147 14" xfId="2025" xr:uid="{00000000-0005-0000-0000-0000CB1A0000}"/>
    <cellStyle name="Porcentual 147 14 2" xfId="5686" xr:uid="{00000000-0005-0000-0000-0000CC1A0000}"/>
    <cellStyle name="Porcentual 147 14 3" xfId="8360" xr:uid="{00000000-0005-0000-0000-0000CD1A0000}"/>
    <cellStyle name="Porcentual 147 15" xfId="2026" xr:uid="{00000000-0005-0000-0000-0000CE1A0000}"/>
    <cellStyle name="Porcentual 147 15 2" xfId="5687" xr:uid="{00000000-0005-0000-0000-0000CF1A0000}"/>
    <cellStyle name="Porcentual 147 15 3" xfId="8361" xr:uid="{00000000-0005-0000-0000-0000D01A0000}"/>
    <cellStyle name="Porcentual 147 16" xfId="2027" xr:uid="{00000000-0005-0000-0000-0000D11A0000}"/>
    <cellStyle name="Porcentual 147 16 2" xfId="5688" xr:uid="{00000000-0005-0000-0000-0000D21A0000}"/>
    <cellStyle name="Porcentual 147 16 3" xfId="8362" xr:uid="{00000000-0005-0000-0000-0000D31A0000}"/>
    <cellStyle name="Porcentual 147 17" xfId="2028" xr:uid="{00000000-0005-0000-0000-0000D41A0000}"/>
    <cellStyle name="Porcentual 147 17 2" xfId="5689" xr:uid="{00000000-0005-0000-0000-0000D51A0000}"/>
    <cellStyle name="Porcentual 147 17 3" xfId="8363" xr:uid="{00000000-0005-0000-0000-0000D61A0000}"/>
    <cellStyle name="Porcentual 147 18" xfId="2029" xr:uid="{00000000-0005-0000-0000-0000D71A0000}"/>
    <cellStyle name="Porcentual 147 18 2" xfId="5690" xr:uid="{00000000-0005-0000-0000-0000D81A0000}"/>
    <cellStyle name="Porcentual 147 18 3" xfId="8364" xr:uid="{00000000-0005-0000-0000-0000D91A0000}"/>
    <cellStyle name="Porcentual 147 19" xfId="2030" xr:uid="{00000000-0005-0000-0000-0000DA1A0000}"/>
    <cellStyle name="Porcentual 147 19 2" xfId="5691" xr:uid="{00000000-0005-0000-0000-0000DB1A0000}"/>
    <cellStyle name="Porcentual 147 19 3" xfId="8365" xr:uid="{00000000-0005-0000-0000-0000DC1A0000}"/>
    <cellStyle name="Porcentual 147 2" xfId="2031" xr:uid="{00000000-0005-0000-0000-0000DD1A0000}"/>
    <cellStyle name="Porcentual 147 2 2" xfId="5692" xr:uid="{00000000-0005-0000-0000-0000DE1A0000}"/>
    <cellStyle name="Porcentual 147 2 3" xfId="8366" xr:uid="{00000000-0005-0000-0000-0000DF1A0000}"/>
    <cellStyle name="Porcentual 147 20" xfId="2032" xr:uid="{00000000-0005-0000-0000-0000E01A0000}"/>
    <cellStyle name="Porcentual 147 20 2" xfId="5693" xr:uid="{00000000-0005-0000-0000-0000E11A0000}"/>
    <cellStyle name="Porcentual 147 20 3" xfId="8367" xr:uid="{00000000-0005-0000-0000-0000E21A0000}"/>
    <cellStyle name="Porcentual 147 21" xfId="2033" xr:uid="{00000000-0005-0000-0000-0000E31A0000}"/>
    <cellStyle name="Porcentual 147 21 2" xfId="5694" xr:uid="{00000000-0005-0000-0000-0000E41A0000}"/>
    <cellStyle name="Porcentual 147 21 3" xfId="8368" xr:uid="{00000000-0005-0000-0000-0000E51A0000}"/>
    <cellStyle name="Porcentual 147 22" xfId="2034" xr:uid="{00000000-0005-0000-0000-0000E61A0000}"/>
    <cellStyle name="Porcentual 147 22 2" xfId="5695" xr:uid="{00000000-0005-0000-0000-0000E71A0000}"/>
    <cellStyle name="Porcentual 147 22 3" xfId="8369" xr:uid="{00000000-0005-0000-0000-0000E81A0000}"/>
    <cellStyle name="Porcentual 147 23" xfId="2035" xr:uid="{00000000-0005-0000-0000-0000E91A0000}"/>
    <cellStyle name="Porcentual 147 23 2" xfId="5696" xr:uid="{00000000-0005-0000-0000-0000EA1A0000}"/>
    <cellStyle name="Porcentual 147 23 3" xfId="8370" xr:uid="{00000000-0005-0000-0000-0000EB1A0000}"/>
    <cellStyle name="Porcentual 147 24" xfId="2036" xr:uid="{00000000-0005-0000-0000-0000EC1A0000}"/>
    <cellStyle name="Porcentual 147 24 2" xfId="5697" xr:uid="{00000000-0005-0000-0000-0000ED1A0000}"/>
    <cellStyle name="Porcentual 147 24 3" xfId="8371" xr:uid="{00000000-0005-0000-0000-0000EE1A0000}"/>
    <cellStyle name="Porcentual 147 25" xfId="2037" xr:uid="{00000000-0005-0000-0000-0000EF1A0000}"/>
    <cellStyle name="Porcentual 147 25 2" xfId="5698" xr:uid="{00000000-0005-0000-0000-0000F01A0000}"/>
    <cellStyle name="Porcentual 147 25 3" xfId="8372" xr:uid="{00000000-0005-0000-0000-0000F11A0000}"/>
    <cellStyle name="Porcentual 147 26" xfId="2038" xr:uid="{00000000-0005-0000-0000-0000F21A0000}"/>
    <cellStyle name="Porcentual 147 26 2" xfId="5699" xr:uid="{00000000-0005-0000-0000-0000F31A0000}"/>
    <cellStyle name="Porcentual 147 26 3" xfId="8373" xr:uid="{00000000-0005-0000-0000-0000F41A0000}"/>
    <cellStyle name="Porcentual 147 27" xfId="2039" xr:uid="{00000000-0005-0000-0000-0000F51A0000}"/>
    <cellStyle name="Porcentual 147 27 2" xfId="5700" xr:uid="{00000000-0005-0000-0000-0000F61A0000}"/>
    <cellStyle name="Porcentual 147 27 3" xfId="8374" xr:uid="{00000000-0005-0000-0000-0000F71A0000}"/>
    <cellStyle name="Porcentual 147 28" xfId="2040" xr:uid="{00000000-0005-0000-0000-0000F81A0000}"/>
    <cellStyle name="Porcentual 147 28 2" xfId="5701" xr:uid="{00000000-0005-0000-0000-0000F91A0000}"/>
    <cellStyle name="Porcentual 147 28 3" xfId="8375" xr:uid="{00000000-0005-0000-0000-0000FA1A0000}"/>
    <cellStyle name="Porcentual 147 3" xfId="2041" xr:uid="{00000000-0005-0000-0000-0000FB1A0000}"/>
    <cellStyle name="Porcentual 147 3 2" xfId="5702" xr:uid="{00000000-0005-0000-0000-0000FC1A0000}"/>
    <cellStyle name="Porcentual 147 3 3" xfId="8376" xr:uid="{00000000-0005-0000-0000-0000FD1A0000}"/>
    <cellStyle name="Porcentual 147 4" xfId="2042" xr:uid="{00000000-0005-0000-0000-0000FE1A0000}"/>
    <cellStyle name="Porcentual 147 4 2" xfId="5703" xr:uid="{00000000-0005-0000-0000-0000FF1A0000}"/>
    <cellStyle name="Porcentual 147 4 3" xfId="8377" xr:uid="{00000000-0005-0000-0000-0000001B0000}"/>
    <cellStyle name="Porcentual 147 5" xfId="2043" xr:uid="{00000000-0005-0000-0000-0000011B0000}"/>
    <cellStyle name="Porcentual 147 5 2" xfId="5704" xr:uid="{00000000-0005-0000-0000-0000021B0000}"/>
    <cellStyle name="Porcentual 147 5 3" xfId="8378" xr:uid="{00000000-0005-0000-0000-0000031B0000}"/>
    <cellStyle name="Porcentual 147 6" xfId="2044" xr:uid="{00000000-0005-0000-0000-0000041B0000}"/>
    <cellStyle name="Porcentual 147 6 2" xfId="5705" xr:uid="{00000000-0005-0000-0000-0000051B0000}"/>
    <cellStyle name="Porcentual 147 6 3" xfId="8379" xr:uid="{00000000-0005-0000-0000-0000061B0000}"/>
    <cellStyle name="Porcentual 147 7" xfId="2045" xr:uid="{00000000-0005-0000-0000-0000071B0000}"/>
    <cellStyle name="Porcentual 147 7 2" xfId="5706" xr:uid="{00000000-0005-0000-0000-0000081B0000}"/>
    <cellStyle name="Porcentual 147 7 3" xfId="8380" xr:uid="{00000000-0005-0000-0000-0000091B0000}"/>
    <cellStyle name="Porcentual 147 8" xfId="2046" xr:uid="{00000000-0005-0000-0000-00000A1B0000}"/>
    <cellStyle name="Porcentual 147 8 2" xfId="5707" xr:uid="{00000000-0005-0000-0000-00000B1B0000}"/>
    <cellStyle name="Porcentual 147 8 3" xfId="8381" xr:uid="{00000000-0005-0000-0000-00000C1B0000}"/>
    <cellStyle name="Porcentual 147 9" xfId="2047" xr:uid="{00000000-0005-0000-0000-00000D1B0000}"/>
    <cellStyle name="Porcentual 147 9 2" xfId="5708" xr:uid="{00000000-0005-0000-0000-00000E1B0000}"/>
    <cellStyle name="Porcentual 147 9 3" xfId="8382" xr:uid="{00000000-0005-0000-0000-00000F1B0000}"/>
    <cellStyle name="Porcentual 149 10" xfId="2048" xr:uid="{00000000-0005-0000-0000-0000101B0000}"/>
    <cellStyle name="Porcentual 149 10 2" xfId="5709" xr:uid="{00000000-0005-0000-0000-0000111B0000}"/>
    <cellStyle name="Porcentual 149 10 3" xfId="8383" xr:uid="{00000000-0005-0000-0000-0000121B0000}"/>
    <cellStyle name="Porcentual 149 11" xfId="2049" xr:uid="{00000000-0005-0000-0000-0000131B0000}"/>
    <cellStyle name="Porcentual 149 11 2" xfId="5710" xr:uid="{00000000-0005-0000-0000-0000141B0000}"/>
    <cellStyle name="Porcentual 149 11 3" xfId="8384" xr:uid="{00000000-0005-0000-0000-0000151B0000}"/>
    <cellStyle name="Porcentual 149 12" xfId="2050" xr:uid="{00000000-0005-0000-0000-0000161B0000}"/>
    <cellStyle name="Porcentual 149 12 2" xfId="5711" xr:uid="{00000000-0005-0000-0000-0000171B0000}"/>
    <cellStyle name="Porcentual 149 12 3" xfId="8385" xr:uid="{00000000-0005-0000-0000-0000181B0000}"/>
    <cellStyle name="Porcentual 149 13" xfId="2051" xr:uid="{00000000-0005-0000-0000-0000191B0000}"/>
    <cellStyle name="Porcentual 149 13 2" xfId="5712" xr:uid="{00000000-0005-0000-0000-00001A1B0000}"/>
    <cellStyle name="Porcentual 149 13 3" xfId="8386" xr:uid="{00000000-0005-0000-0000-00001B1B0000}"/>
    <cellStyle name="Porcentual 149 14" xfId="2052" xr:uid="{00000000-0005-0000-0000-00001C1B0000}"/>
    <cellStyle name="Porcentual 149 14 2" xfId="5713" xr:uid="{00000000-0005-0000-0000-00001D1B0000}"/>
    <cellStyle name="Porcentual 149 14 3" xfId="8387" xr:uid="{00000000-0005-0000-0000-00001E1B0000}"/>
    <cellStyle name="Porcentual 149 15" xfId="2053" xr:uid="{00000000-0005-0000-0000-00001F1B0000}"/>
    <cellStyle name="Porcentual 149 15 2" xfId="5714" xr:uid="{00000000-0005-0000-0000-0000201B0000}"/>
    <cellStyle name="Porcentual 149 15 3" xfId="8388" xr:uid="{00000000-0005-0000-0000-0000211B0000}"/>
    <cellStyle name="Porcentual 149 16" xfId="2054" xr:uid="{00000000-0005-0000-0000-0000221B0000}"/>
    <cellStyle name="Porcentual 149 16 2" xfId="5715" xr:uid="{00000000-0005-0000-0000-0000231B0000}"/>
    <cellStyle name="Porcentual 149 16 3" xfId="8389" xr:uid="{00000000-0005-0000-0000-0000241B0000}"/>
    <cellStyle name="Porcentual 149 17" xfId="2055" xr:uid="{00000000-0005-0000-0000-0000251B0000}"/>
    <cellStyle name="Porcentual 149 17 2" xfId="5716" xr:uid="{00000000-0005-0000-0000-0000261B0000}"/>
    <cellStyle name="Porcentual 149 17 3" xfId="8390" xr:uid="{00000000-0005-0000-0000-0000271B0000}"/>
    <cellStyle name="Porcentual 149 18" xfId="2056" xr:uid="{00000000-0005-0000-0000-0000281B0000}"/>
    <cellStyle name="Porcentual 149 18 2" xfId="5717" xr:uid="{00000000-0005-0000-0000-0000291B0000}"/>
    <cellStyle name="Porcentual 149 18 3" xfId="8391" xr:uid="{00000000-0005-0000-0000-00002A1B0000}"/>
    <cellStyle name="Porcentual 149 19" xfId="2057" xr:uid="{00000000-0005-0000-0000-00002B1B0000}"/>
    <cellStyle name="Porcentual 149 19 2" xfId="5718" xr:uid="{00000000-0005-0000-0000-00002C1B0000}"/>
    <cellStyle name="Porcentual 149 19 3" xfId="8392" xr:uid="{00000000-0005-0000-0000-00002D1B0000}"/>
    <cellStyle name="Porcentual 149 2" xfId="2058" xr:uid="{00000000-0005-0000-0000-00002E1B0000}"/>
    <cellStyle name="Porcentual 149 2 2" xfId="5719" xr:uid="{00000000-0005-0000-0000-00002F1B0000}"/>
    <cellStyle name="Porcentual 149 2 3" xfId="8393" xr:uid="{00000000-0005-0000-0000-0000301B0000}"/>
    <cellStyle name="Porcentual 149 20" xfId="2059" xr:uid="{00000000-0005-0000-0000-0000311B0000}"/>
    <cellStyle name="Porcentual 149 20 2" xfId="5720" xr:uid="{00000000-0005-0000-0000-0000321B0000}"/>
    <cellStyle name="Porcentual 149 20 3" xfId="8394" xr:uid="{00000000-0005-0000-0000-0000331B0000}"/>
    <cellStyle name="Porcentual 149 21" xfId="2060" xr:uid="{00000000-0005-0000-0000-0000341B0000}"/>
    <cellStyle name="Porcentual 149 21 2" xfId="5721" xr:uid="{00000000-0005-0000-0000-0000351B0000}"/>
    <cellStyle name="Porcentual 149 21 3" xfId="8395" xr:uid="{00000000-0005-0000-0000-0000361B0000}"/>
    <cellStyle name="Porcentual 149 22" xfId="2061" xr:uid="{00000000-0005-0000-0000-0000371B0000}"/>
    <cellStyle name="Porcentual 149 22 2" xfId="5722" xr:uid="{00000000-0005-0000-0000-0000381B0000}"/>
    <cellStyle name="Porcentual 149 22 3" xfId="8396" xr:uid="{00000000-0005-0000-0000-0000391B0000}"/>
    <cellStyle name="Porcentual 149 23" xfId="2062" xr:uid="{00000000-0005-0000-0000-00003A1B0000}"/>
    <cellStyle name="Porcentual 149 23 2" xfId="5723" xr:uid="{00000000-0005-0000-0000-00003B1B0000}"/>
    <cellStyle name="Porcentual 149 23 3" xfId="8397" xr:uid="{00000000-0005-0000-0000-00003C1B0000}"/>
    <cellStyle name="Porcentual 149 24" xfId="2063" xr:uid="{00000000-0005-0000-0000-00003D1B0000}"/>
    <cellStyle name="Porcentual 149 24 2" xfId="5724" xr:uid="{00000000-0005-0000-0000-00003E1B0000}"/>
    <cellStyle name="Porcentual 149 24 3" xfId="8398" xr:uid="{00000000-0005-0000-0000-00003F1B0000}"/>
    <cellStyle name="Porcentual 149 25" xfId="2064" xr:uid="{00000000-0005-0000-0000-0000401B0000}"/>
    <cellStyle name="Porcentual 149 25 2" xfId="5725" xr:uid="{00000000-0005-0000-0000-0000411B0000}"/>
    <cellStyle name="Porcentual 149 25 3" xfId="8399" xr:uid="{00000000-0005-0000-0000-0000421B0000}"/>
    <cellStyle name="Porcentual 149 26" xfId="2065" xr:uid="{00000000-0005-0000-0000-0000431B0000}"/>
    <cellStyle name="Porcentual 149 26 2" xfId="5726" xr:uid="{00000000-0005-0000-0000-0000441B0000}"/>
    <cellStyle name="Porcentual 149 26 3" xfId="8400" xr:uid="{00000000-0005-0000-0000-0000451B0000}"/>
    <cellStyle name="Porcentual 149 27" xfId="2066" xr:uid="{00000000-0005-0000-0000-0000461B0000}"/>
    <cellStyle name="Porcentual 149 27 2" xfId="5727" xr:uid="{00000000-0005-0000-0000-0000471B0000}"/>
    <cellStyle name="Porcentual 149 27 3" xfId="8401" xr:uid="{00000000-0005-0000-0000-0000481B0000}"/>
    <cellStyle name="Porcentual 149 28" xfId="2067" xr:uid="{00000000-0005-0000-0000-0000491B0000}"/>
    <cellStyle name="Porcentual 149 28 2" xfId="5728" xr:uid="{00000000-0005-0000-0000-00004A1B0000}"/>
    <cellStyle name="Porcentual 149 28 3" xfId="8402" xr:uid="{00000000-0005-0000-0000-00004B1B0000}"/>
    <cellStyle name="Porcentual 149 3" xfId="2068" xr:uid="{00000000-0005-0000-0000-00004C1B0000}"/>
    <cellStyle name="Porcentual 149 3 2" xfId="5729" xr:uid="{00000000-0005-0000-0000-00004D1B0000}"/>
    <cellStyle name="Porcentual 149 3 3" xfId="8403" xr:uid="{00000000-0005-0000-0000-00004E1B0000}"/>
    <cellStyle name="Porcentual 149 4" xfId="2069" xr:uid="{00000000-0005-0000-0000-00004F1B0000}"/>
    <cellStyle name="Porcentual 149 4 2" xfId="5730" xr:uid="{00000000-0005-0000-0000-0000501B0000}"/>
    <cellStyle name="Porcentual 149 4 3" xfId="8404" xr:uid="{00000000-0005-0000-0000-0000511B0000}"/>
    <cellStyle name="Porcentual 149 5" xfId="2070" xr:uid="{00000000-0005-0000-0000-0000521B0000}"/>
    <cellStyle name="Porcentual 149 5 2" xfId="5731" xr:uid="{00000000-0005-0000-0000-0000531B0000}"/>
    <cellStyle name="Porcentual 149 5 3" xfId="8405" xr:uid="{00000000-0005-0000-0000-0000541B0000}"/>
    <cellStyle name="Porcentual 149 6" xfId="2071" xr:uid="{00000000-0005-0000-0000-0000551B0000}"/>
    <cellStyle name="Porcentual 149 6 2" xfId="5732" xr:uid="{00000000-0005-0000-0000-0000561B0000}"/>
    <cellStyle name="Porcentual 149 6 3" xfId="8406" xr:uid="{00000000-0005-0000-0000-0000571B0000}"/>
    <cellStyle name="Porcentual 149 7" xfId="2072" xr:uid="{00000000-0005-0000-0000-0000581B0000}"/>
    <cellStyle name="Porcentual 149 7 2" xfId="5733" xr:uid="{00000000-0005-0000-0000-0000591B0000}"/>
    <cellStyle name="Porcentual 149 7 3" xfId="8407" xr:uid="{00000000-0005-0000-0000-00005A1B0000}"/>
    <cellStyle name="Porcentual 149 8" xfId="2073" xr:uid="{00000000-0005-0000-0000-00005B1B0000}"/>
    <cellStyle name="Porcentual 149 8 2" xfId="5734" xr:uid="{00000000-0005-0000-0000-00005C1B0000}"/>
    <cellStyle name="Porcentual 149 8 3" xfId="8408" xr:uid="{00000000-0005-0000-0000-00005D1B0000}"/>
    <cellStyle name="Porcentual 149 9" xfId="2074" xr:uid="{00000000-0005-0000-0000-00005E1B0000}"/>
    <cellStyle name="Porcentual 149 9 2" xfId="5735" xr:uid="{00000000-0005-0000-0000-00005F1B0000}"/>
    <cellStyle name="Porcentual 149 9 3" xfId="8409" xr:uid="{00000000-0005-0000-0000-0000601B0000}"/>
    <cellStyle name="Porcentual 15" xfId="2075" xr:uid="{00000000-0005-0000-0000-0000611B0000}"/>
    <cellStyle name="Porcentual 15 2" xfId="5736" xr:uid="{00000000-0005-0000-0000-0000621B0000}"/>
    <cellStyle name="Porcentual 15 2 2" xfId="9776" xr:uid="{00000000-0005-0000-0000-0000631B0000}"/>
    <cellStyle name="Porcentual 15 2 2 2" xfId="10474" xr:uid="{00000000-0005-0000-0000-0000641B0000}"/>
    <cellStyle name="Porcentual 15 2 2 2 2" xfId="12209" xr:uid="{00000000-0005-0000-0000-0000651B0000}"/>
    <cellStyle name="Porcentual 15 2 2 2 2 2" xfId="20958" xr:uid="{CC15260A-C2C2-4E2A-98FA-97005229DFF0}"/>
    <cellStyle name="Porcentual 15 2 2 2 3" xfId="19595" xr:uid="{3C7C03CC-8C41-4038-87B4-22E0456FA27D}"/>
    <cellStyle name="Porcentual 15 2 2 3" xfId="11562" xr:uid="{00000000-0005-0000-0000-0000661B0000}"/>
    <cellStyle name="Porcentual 15 2 2 3 2" xfId="20331" xr:uid="{DE994185-1D50-430B-8373-4778B915C750}"/>
    <cellStyle name="Porcentual 15 2 2 4" xfId="18963" xr:uid="{FE879FA4-FCB9-4197-A3C6-BFEC2FA56FC7}"/>
    <cellStyle name="Porcentual 15 2 3" xfId="10183" xr:uid="{00000000-0005-0000-0000-0000671B0000}"/>
    <cellStyle name="Porcentual 15 2 3 2" xfId="11919" xr:uid="{00000000-0005-0000-0000-0000681B0000}"/>
    <cellStyle name="Porcentual 15 2 3 2 2" xfId="20673" xr:uid="{2166034E-1CF0-45D1-BA35-9CCE116C650A}"/>
    <cellStyle name="Porcentual 15 2 3 3" xfId="19310" xr:uid="{2F8BCC8D-810D-48BA-BD03-254182372B50}"/>
    <cellStyle name="Porcentual 15 2 4" xfId="11197" xr:uid="{00000000-0005-0000-0000-0000691B0000}"/>
    <cellStyle name="Porcentual 15 2 4 2" xfId="20054" xr:uid="{9DF99502-946C-4091-AD9B-F08A990C037A}"/>
    <cellStyle name="Porcentual 15 2 5" xfId="18686" xr:uid="{1E7FB4F7-9282-4E94-92FD-1D10C112320C}"/>
    <cellStyle name="Porcentual 15 3" xfId="5737" xr:uid="{00000000-0005-0000-0000-00006A1B0000}"/>
    <cellStyle name="Porcentual 15 3 2" xfId="9777" xr:uid="{00000000-0005-0000-0000-00006B1B0000}"/>
    <cellStyle name="Porcentual 15 3 2 2" xfId="10475" xr:uid="{00000000-0005-0000-0000-00006C1B0000}"/>
    <cellStyle name="Porcentual 15 3 2 2 2" xfId="12210" xr:uid="{00000000-0005-0000-0000-00006D1B0000}"/>
    <cellStyle name="Porcentual 15 3 2 2 2 2" xfId="20959" xr:uid="{C8142E53-A361-4334-AA48-5CFA09E4F9FD}"/>
    <cellStyle name="Porcentual 15 3 2 2 3" xfId="19596" xr:uid="{62F896C0-0F00-4317-B387-71CAE9EA642E}"/>
    <cellStyle name="Porcentual 15 3 2 3" xfId="11563" xr:uid="{00000000-0005-0000-0000-00006E1B0000}"/>
    <cellStyle name="Porcentual 15 3 2 3 2" xfId="20332" xr:uid="{5593F72C-7B44-433E-80F1-14C5703BEDF3}"/>
    <cellStyle name="Porcentual 15 3 2 4" xfId="18964" xr:uid="{8441226E-E0E5-4875-A7DE-1ADA9D305AC1}"/>
    <cellStyle name="Porcentual 15 3 3" xfId="10184" xr:uid="{00000000-0005-0000-0000-00006F1B0000}"/>
    <cellStyle name="Porcentual 15 3 3 2" xfId="11920" xr:uid="{00000000-0005-0000-0000-0000701B0000}"/>
    <cellStyle name="Porcentual 15 3 3 2 2" xfId="20674" xr:uid="{52917D62-AA09-49D1-95CB-76690E1E5D87}"/>
    <cellStyle name="Porcentual 15 3 3 3" xfId="19311" xr:uid="{1DD30B57-9E66-4565-A178-063F30AF2A7E}"/>
    <cellStyle name="Porcentual 15 3 4" xfId="11198" xr:uid="{00000000-0005-0000-0000-0000711B0000}"/>
    <cellStyle name="Porcentual 15 3 4 2" xfId="20055" xr:uid="{A2F09071-7876-4BB8-B0A0-A501EC6B3297}"/>
    <cellStyle name="Porcentual 15 3 5" xfId="18687" xr:uid="{F78EDEA1-C848-440C-92B9-664A51459FB0}"/>
    <cellStyle name="Porcentual 15 4" xfId="8410" xr:uid="{00000000-0005-0000-0000-0000721B0000}"/>
    <cellStyle name="Porcentual 150 10" xfId="2076" xr:uid="{00000000-0005-0000-0000-0000731B0000}"/>
    <cellStyle name="Porcentual 150 10 2" xfId="5738" xr:uid="{00000000-0005-0000-0000-0000741B0000}"/>
    <cellStyle name="Porcentual 150 10 3" xfId="8411" xr:uid="{00000000-0005-0000-0000-0000751B0000}"/>
    <cellStyle name="Porcentual 150 11" xfId="2077" xr:uid="{00000000-0005-0000-0000-0000761B0000}"/>
    <cellStyle name="Porcentual 150 11 2" xfId="5739" xr:uid="{00000000-0005-0000-0000-0000771B0000}"/>
    <cellStyle name="Porcentual 150 11 3" xfId="8412" xr:uid="{00000000-0005-0000-0000-0000781B0000}"/>
    <cellStyle name="Porcentual 150 12" xfId="2078" xr:uid="{00000000-0005-0000-0000-0000791B0000}"/>
    <cellStyle name="Porcentual 150 12 2" xfId="5740" xr:uid="{00000000-0005-0000-0000-00007A1B0000}"/>
    <cellStyle name="Porcentual 150 12 3" xfId="8413" xr:uid="{00000000-0005-0000-0000-00007B1B0000}"/>
    <cellStyle name="Porcentual 150 13" xfId="2079" xr:uid="{00000000-0005-0000-0000-00007C1B0000}"/>
    <cellStyle name="Porcentual 150 13 2" xfId="5741" xr:uid="{00000000-0005-0000-0000-00007D1B0000}"/>
    <cellStyle name="Porcentual 150 13 3" xfId="8414" xr:uid="{00000000-0005-0000-0000-00007E1B0000}"/>
    <cellStyle name="Porcentual 150 14" xfId="2080" xr:uid="{00000000-0005-0000-0000-00007F1B0000}"/>
    <cellStyle name="Porcentual 150 14 2" xfId="5742" xr:uid="{00000000-0005-0000-0000-0000801B0000}"/>
    <cellStyle name="Porcentual 150 14 3" xfId="8415" xr:uid="{00000000-0005-0000-0000-0000811B0000}"/>
    <cellStyle name="Porcentual 150 15" xfId="2081" xr:uid="{00000000-0005-0000-0000-0000821B0000}"/>
    <cellStyle name="Porcentual 150 15 2" xfId="5743" xr:uid="{00000000-0005-0000-0000-0000831B0000}"/>
    <cellStyle name="Porcentual 150 15 3" xfId="8416" xr:uid="{00000000-0005-0000-0000-0000841B0000}"/>
    <cellStyle name="Porcentual 150 16" xfId="2082" xr:uid="{00000000-0005-0000-0000-0000851B0000}"/>
    <cellStyle name="Porcentual 150 16 2" xfId="5744" xr:uid="{00000000-0005-0000-0000-0000861B0000}"/>
    <cellStyle name="Porcentual 150 16 3" xfId="8417" xr:uid="{00000000-0005-0000-0000-0000871B0000}"/>
    <cellStyle name="Porcentual 150 17" xfId="2083" xr:uid="{00000000-0005-0000-0000-0000881B0000}"/>
    <cellStyle name="Porcentual 150 17 2" xfId="5745" xr:uid="{00000000-0005-0000-0000-0000891B0000}"/>
    <cellStyle name="Porcentual 150 17 3" xfId="8418" xr:uid="{00000000-0005-0000-0000-00008A1B0000}"/>
    <cellStyle name="Porcentual 150 18" xfId="2084" xr:uid="{00000000-0005-0000-0000-00008B1B0000}"/>
    <cellStyle name="Porcentual 150 18 2" xfId="5746" xr:uid="{00000000-0005-0000-0000-00008C1B0000}"/>
    <cellStyle name="Porcentual 150 18 3" xfId="8419" xr:uid="{00000000-0005-0000-0000-00008D1B0000}"/>
    <cellStyle name="Porcentual 150 19" xfId="2085" xr:uid="{00000000-0005-0000-0000-00008E1B0000}"/>
    <cellStyle name="Porcentual 150 19 2" xfId="5747" xr:uid="{00000000-0005-0000-0000-00008F1B0000}"/>
    <cellStyle name="Porcentual 150 19 3" xfId="8420" xr:uid="{00000000-0005-0000-0000-0000901B0000}"/>
    <cellStyle name="Porcentual 150 2" xfId="2086" xr:uid="{00000000-0005-0000-0000-0000911B0000}"/>
    <cellStyle name="Porcentual 150 2 2" xfId="5748" xr:uid="{00000000-0005-0000-0000-0000921B0000}"/>
    <cellStyle name="Porcentual 150 2 3" xfId="8421" xr:uid="{00000000-0005-0000-0000-0000931B0000}"/>
    <cellStyle name="Porcentual 150 20" xfId="2087" xr:uid="{00000000-0005-0000-0000-0000941B0000}"/>
    <cellStyle name="Porcentual 150 20 2" xfId="5749" xr:uid="{00000000-0005-0000-0000-0000951B0000}"/>
    <cellStyle name="Porcentual 150 20 3" xfId="8422" xr:uid="{00000000-0005-0000-0000-0000961B0000}"/>
    <cellStyle name="Porcentual 150 21" xfId="2088" xr:uid="{00000000-0005-0000-0000-0000971B0000}"/>
    <cellStyle name="Porcentual 150 21 2" xfId="5750" xr:uid="{00000000-0005-0000-0000-0000981B0000}"/>
    <cellStyle name="Porcentual 150 21 3" xfId="8423" xr:uid="{00000000-0005-0000-0000-0000991B0000}"/>
    <cellStyle name="Porcentual 150 22" xfId="2089" xr:uid="{00000000-0005-0000-0000-00009A1B0000}"/>
    <cellStyle name="Porcentual 150 22 2" xfId="5751" xr:uid="{00000000-0005-0000-0000-00009B1B0000}"/>
    <cellStyle name="Porcentual 150 22 3" xfId="8424" xr:uid="{00000000-0005-0000-0000-00009C1B0000}"/>
    <cellStyle name="Porcentual 150 23" xfId="2090" xr:uid="{00000000-0005-0000-0000-00009D1B0000}"/>
    <cellStyle name="Porcentual 150 23 2" xfId="5752" xr:uid="{00000000-0005-0000-0000-00009E1B0000}"/>
    <cellStyle name="Porcentual 150 23 3" xfId="8425" xr:uid="{00000000-0005-0000-0000-00009F1B0000}"/>
    <cellStyle name="Porcentual 150 24" xfId="2091" xr:uid="{00000000-0005-0000-0000-0000A01B0000}"/>
    <cellStyle name="Porcentual 150 24 2" xfId="5753" xr:uid="{00000000-0005-0000-0000-0000A11B0000}"/>
    <cellStyle name="Porcentual 150 24 3" xfId="8426" xr:uid="{00000000-0005-0000-0000-0000A21B0000}"/>
    <cellStyle name="Porcentual 150 25" xfId="2092" xr:uid="{00000000-0005-0000-0000-0000A31B0000}"/>
    <cellStyle name="Porcentual 150 25 2" xfId="5754" xr:uid="{00000000-0005-0000-0000-0000A41B0000}"/>
    <cellStyle name="Porcentual 150 25 3" xfId="8427" xr:uid="{00000000-0005-0000-0000-0000A51B0000}"/>
    <cellStyle name="Porcentual 150 26" xfId="2093" xr:uid="{00000000-0005-0000-0000-0000A61B0000}"/>
    <cellStyle name="Porcentual 150 26 2" xfId="5755" xr:uid="{00000000-0005-0000-0000-0000A71B0000}"/>
    <cellStyle name="Porcentual 150 26 3" xfId="8428" xr:uid="{00000000-0005-0000-0000-0000A81B0000}"/>
    <cellStyle name="Porcentual 150 27" xfId="2094" xr:uid="{00000000-0005-0000-0000-0000A91B0000}"/>
    <cellStyle name="Porcentual 150 27 2" xfId="5756" xr:uid="{00000000-0005-0000-0000-0000AA1B0000}"/>
    <cellStyle name="Porcentual 150 27 3" xfId="8429" xr:uid="{00000000-0005-0000-0000-0000AB1B0000}"/>
    <cellStyle name="Porcentual 150 28" xfId="2095" xr:uid="{00000000-0005-0000-0000-0000AC1B0000}"/>
    <cellStyle name="Porcentual 150 28 2" xfId="5757" xr:uid="{00000000-0005-0000-0000-0000AD1B0000}"/>
    <cellStyle name="Porcentual 150 28 3" xfId="8430" xr:uid="{00000000-0005-0000-0000-0000AE1B0000}"/>
    <cellStyle name="Porcentual 150 3" xfId="2096" xr:uid="{00000000-0005-0000-0000-0000AF1B0000}"/>
    <cellStyle name="Porcentual 150 3 2" xfId="5758" xr:uid="{00000000-0005-0000-0000-0000B01B0000}"/>
    <cellStyle name="Porcentual 150 3 3" xfId="8431" xr:uid="{00000000-0005-0000-0000-0000B11B0000}"/>
    <cellStyle name="Porcentual 150 4" xfId="2097" xr:uid="{00000000-0005-0000-0000-0000B21B0000}"/>
    <cellStyle name="Porcentual 150 4 2" xfId="5759" xr:uid="{00000000-0005-0000-0000-0000B31B0000}"/>
    <cellStyle name="Porcentual 150 4 3" xfId="8432" xr:uid="{00000000-0005-0000-0000-0000B41B0000}"/>
    <cellStyle name="Porcentual 150 5" xfId="2098" xr:uid="{00000000-0005-0000-0000-0000B51B0000}"/>
    <cellStyle name="Porcentual 150 5 2" xfId="5760" xr:uid="{00000000-0005-0000-0000-0000B61B0000}"/>
    <cellStyle name="Porcentual 150 5 3" xfId="8433" xr:uid="{00000000-0005-0000-0000-0000B71B0000}"/>
    <cellStyle name="Porcentual 150 6" xfId="2099" xr:uid="{00000000-0005-0000-0000-0000B81B0000}"/>
    <cellStyle name="Porcentual 150 6 2" xfId="5761" xr:uid="{00000000-0005-0000-0000-0000B91B0000}"/>
    <cellStyle name="Porcentual 150 6 3" xfId="8434" xr:uid="{00000000-0005-0000-0000-0000BA1B0000}"/>
    <cellStyle name="Porcentual 150 7" xfId="2100" xr:uid="{00000000-0005-0000-0000-0000BB1B0000}"/>
    <cellStyle name="Porcentual 150 7 2" xfId="5762" xr:uid="{00000000-0005-0000-0000-0000BC1B0000}"/>
    <cellStyle name="Porcentual 150 7 3" xfId="8435" xr:uid="{00000000-0005-0000-0000-0000BD1B0000}"/>
    <cellStyle name="Porcentual 150 8" xfId="2101" xr:uid="{00000000-0005-0000-0000-0000BE1B0000}"/>
    <cellStyle name="Porcentual 150 8 2" xfId="5763" xr:uid="{00000000-0005-0000-0000-0000BF1B0000}"/>
    <cellStyle name="Porcentual 150 8 3" xfId="8436" xr:uid="{00000000-0005-0000-0000-0000C01B0000}"/>
    <cellStyle name="Porcentual 150 9" xfId="2102" xr:uid="{00000000-0005-0000-0000-0000C11B0000}"/>
    <cellStyle name="Porcentual 150 9 2" xfId="5764" xr:uid="{00000000-0005-0000-0000-0000C21B0000}"/>
    <cellStyle name="Porcentual 150 9 3" xfId="8437" xr:uid="{00000000-0005-0000-0000-0000C31B0000}"/>
    <cellStyle name="Porcentual 151 10" xfId="2103" xr:uid="{00000000-0005-0000-0000-0000C41B0000}"/>
    <cellStyle name="Porcentual 151 10 2" xfId="5765" xr:uid="{00000000-0005-0000-0000-0000C51B0000}"/>
    <cellStyle name="Porcentual 151 10 3" xfId="8438" xr:uid="{00000000-0005-0000-0000-0000C61B0000}"/>
    <cellStyle name="Porcentual 151 11" xfId="2104" xr:uid="{00000000-0005-0000-0000-0000C71B0000}"/>
    <cellStyle name="Porcentual 151 11 2" xfId="5766" xr:uid="{00000000-0005-0000-0000-0000C81B0000}"/>
    <cellStyle name="Porcentual 151 11 3" xfId="8439" xr:uid="{00000000-0005-0000-0000-0000C91B0000}"/>
    <cellStyle name="Porcentual 151 12" xfId="2105" xr:uid="{00000000-0005-0000-0000-0000CA1B0000}"/>
    <cellStyle name="Porcentual 151 12 2" xfId="5767" xr:uid="{00000000-0005-0000-0000-0000CB1B0000}"/>
    <cellStyle name="Porcentual 151 12 3" xfId="8440" xr:uid="{00000000-0005-0000-0000-0000CC1B0000}"/>
    <cellStyle name="Porcentual 151 13" xfId="2106" xr:uid="{00000000-0005-0000-0000-0000CD1B0000}"/>
    <cellStyle name="Porcentual 151 13 2" xfId="5768" xr:uid="{00000000-0005-0000-0000-0000CE1B0000}"/>
    <cellStyle name="Porcentual 151 13 3" xfId="8441" xr:uid="{00000000-0005-0000-0000-0000CF1B0000}"/>
    <cellStyle name="Porcentual 151 14" xfId="2107" xr:uid="{00000000-0005-0000-0000-0000D01B0000}"/>
    <cellStyle name="Porcentual 151 14 2" xfId="5769" xr:uid="{00000000-0005-0000-0000-0000D11B0000}"/>
    <cellStyle name="Porcentual 151 14 3" xfId="8442" xr:uid="{00000000-0005-0000-0000-0000D21B0000}"/>
    <cellStyle name="Porcentual 151 15" xfId="2108" xr:uid="{00000000-0005-0000-0000-0000D31B0000}"/>
    <cellStyle name="Porcentual 151 15 2" xfId="5770" xr:uid="{00000000-0005-0000-0000-0000D41B0000}"/>
    <cellStyle name="Porcentual 151 15 3" xfId="8443" xr:uid="{00000000-0005-0000-0000-0000D51B0000}"/>
    <cellStyle name="Porcentual 151 16" xfId="2109" xr:uid="{00000000-0005-0000-0000-0000D61B0000}"/>
    <cellStyle name="Porcentual 151 16 2" xfId="5771" xr:uid="{00000000-0005-0000-0000-0000D71B0000}"/>
    <cellStyle name="Porcentual 151 16 3" xfId="8444" xr:uid="{00000000-0005-0000-0000-0000D81B0000}"/>
    <cellStyle name="Porcentual 151 17" xfId="2110" xr:uid="{00000000-0005-0000-0000-0000D91B0000}"/>
    <cellStyle name="Porcentual 151 17 2" xfId="5772" xr:uid="{00000000-0005-0000-0000-0000DA1B0000}"/>
    <cellStyle name="Porcentual 151 17 3" xfId="8445" xr:uid="{00000000-0005-0000-0000-0000DB1B0000}"/>
    <cellStyle name="Porcentual 151 18" xfId="2111" xr:uid="{00000000-0005-0000-0000-0000DC1B0000}"/>
    <cellStyle name="Porcentual 151 18 2" xfId="5773" xr:uid="{00000000-0005-0000-0000-0000DD1B0000}"/>
    <cellStyle name="Porcentual 151 18 3" xfId="8446" xr:uid="{00000000-0005-0000-0000-0000DE1B0000}"/>
    <cellStyle name="Porcentual 151 19" xfId="2112" xr:uid="{00000000-0005-0000-0000-0000DF1B0000}"/>
    <cellStyle name="Porcentual 151 19 2" xfId="5774" xr:uid="{00000000-0005-0000-0000-0000E01B0000}"/>
    <cellStyle name="Porcentual 151 19 3" xfId="8447" xr:uid="{00000000-0005-0000-0000-0000E11B0000}"/>
    <cellStyle name="Porcentual 151 2" xfId="2113" xr:uid="{00000000-0005-0000-0000-0000E21B0000}"/>
    <cellStyle name="Porcentual 151 2 2" xfId="5775" xr:uid="{00000000-0005-0000-0000-0000E31B0000}"/>
    <cellStyle name="Porcentual 151 2 3" xfId="8448" xr:uid="{00000000-0005-0000-0000-0000E41B0000}"/>
    <cellStyle name="Porcentual 151 20" xfId="2114" xr:uid="{00000000-0005-0000-0000-0000E51B0000}"/>
    <cellStyle name="Porcentual 151 20 2" xfId="5776" xr:uid="{00000000-0005-0000-0000-0000E61B0000}"/>
    <cellStyle name="Porcentual 151 20 3" xfId="8449" xr:uid="{00000000-0005-0000-0000-0000E71B0000}"/>
    <cellStyle name="Porcentual 151 21" xfId="2115" xr:uid="{00000000-0005-0000-0000-0000E81B0000}"/>
    <cellStyle name="Porcentual 151 21 2" xfId="5777" xr:uid="{00000000-0005-0000-0000-0000E91B0000}"/>
    <cellStyle name="Porcentual 151 21 3" xfId="8450" xr:uid="{00000000-0005-0000-0000-0000EA1B0000}"/>
    <cellStyle name="Porcentual 151 22" xfId="2116" xr:uid="{00000000-0005-0000-0000-0000EB1B0000}"/>
    <cellStyle name="Porcentual 151 22 2" xfId="5778" xr:uid="{00000000-0005-0000-0000-0000EC1B0000}"/>
    <cellStyle name="Porcentual 151 22 3" xfId="8451" xr:uid="{00000000-0005-0000-0000-0000ED1B0000}"/>
    <cellStyle name="Porcentual 151 23" xfId="2117" xr:uid="{00000000-0005-0000-0000-0000EE1B0000}"/>
    <cellStyle name="Porcentual 151 23 2" xfId="5779" xr:uid="{00000000-0005-0000-0000-0000EF1B0000}"/>
    <cellStyle name="Porcentual 151 23 3" xfId="8452" xr:uid="{00000000-0005-0000-0000-0000F01B0000}"/>
    <cellStyle name="Porcentual 151 24" xfId="2118" xr:uid="{00000000-0005-0000-0000-0000F11B0000}"/>
    <cellStyle name="Porcentual 151 24 2" xfId="5780" xr:uid="{00000000-0005-0000-0000-0000F21B0000}"/>
    <cellStyle name="Porcentual 151 24 3" xfId="8453" xr:uid="{00000000-0005-0000-0000-0000F31B0000}"/>
    <cellStyle name="Porcentual 151 25" xfId="2119" xr:uid="{00000000-0005-0000-0000-0000F41B0000}"/>
    <cellStyle name="Porcentual 151 25 2" xfId="5781" xr:uid="{00000000-0005-0000-0000-0000F51B0000}"/>
    <cellStyle name="Porcentual 151 25 3" xfId="8454" xr:uid="{00000000-0005-0000-0000-0000F61B0000}"/>
    <cellStyle name="Porcentual 151 26" xfId="2120" xr:uid="{00000000-0005-0000-0000-0000F71B0000}"/>
    <cellStyle name="Porcentual 151 26 2" xfId="5782" xr:uid="{00000000-0005-0000-0000-0000F81B0000}"/>
    <cellStyle name="Porcentual 151 26 3" xfId="8455" xr:uid="{00000000-0005-0000-0000-0000F91B0000}"/>
    <cellStyle name="Porcentual 151 27" xfId="2121" xr:uid="{00000000-0005-0000-0000-0000FA1B0000}"/>
    <cellStyle name="Porcentual 151 27 2" xfId="5783" xr:uid="{00000000-0005-0000-0000-0000FB1B0000}"/>
    <cellStyle name="Porcentual 151 27 3" xfId="8456" xr:uid="{00000000-0005-0000-0000-0000FC1B0000}"/>
    <cellStyle name="Porcentual 151 28" xfId="2122" xr:uid="{00000000-0005-0000-0000-0000FD1B0000}"/>
    <cellStyle name="Porcentual 151 28 2" xfId="5784" xr:uid="{00000000-0005-0000-0000-0000FE1B0000}"/>
    <cellStyle name="Porcentual 151 28 3" xfId="8457" xr:uid="{00000000-0005-0000-0000-0000FF1B0000}"/>
    <cellStyle name="Porcentual 151 3" xfId="2123" xr:uid="{00000000-0005-0000-0000-0000001C0000}"/>
    <cellStyle name="Porcentual 151 3 2" xfId="5785" xr:uid="{00000000-0005-0000-0000-0000011C0000}"/>
    <cellStyle name="Porcentual 151 3 3" xfId="8458" xr:uid="{00000000-0005-0000-0000-0000021C0000}"/>
    <cellStyle name="Porcentual 151 4" xfId="2124" xr:uid="{00000000-0005-0000-0000-0000031C0000}"/>
    <cellStyle name="Porcentual 151 4 2" xfId="5786" xr:uid="{00000000-0005-0000-0000-0000041C0000}"/>
    <cellStyle name="Porcentual 151 4 3" xfId="8459" xr:uid="{00000000-0005-0000-0000-0000051C0000}"/>
    <cellStyle name="Porcentual 151 5" xfId="2125" xr:uid="{00000000-0005-0000-0000-0000061C0000}"/>
    <cellStyle name="Porcentual 151 5 2" xfId="5787" xr:uid="{00000000-0005-0000-0000-0000071C0000}"/>
    <cellStyle name="Porcentual 151 5 3" xfId="8460" xr:uid="{00000000-0005-0000-0000-0000081C0000}"/>
    <cellStyle name="Porcentual 151 6" xfId="2126" xr:uid="{00000000-0005-0000-0000-0000091C0000}"/>
    <cellStyle name="Porcentual 151 6 2" xfId="5788" xr:uid="{00000000-0005-0000-0000-00000A1C0000}"/>
    <cellStyle name="Porcentual 151 6 3" xfId="8461" xr:uid="{00000000-0005-0000-0000-00000B1C0000}"/>
    <cellStyle name="Porcentual 151 7" xfId="2127" xr:uid="{00000000-0005-0000-0000-00000C1C0000}"/>
    <cellStyle name="Porcentual 151 7 2" xfId="5789" xr:uid="{00000000-0005-0000-0000-00000D1C0000}"/>
    <cellStyle name="Porcentual 151 7 3" xfId="8462" xr:uid="{00000000-0005-0000-0000-00000E1C0000}"/>
    <cellStyle name="Porcentual 151 8" xfId="2128" xr:uid="{00000000-0005-0000-0000-00000F1C0000}"/>
    <cellStyle name="Porcentual 151 8 2" xfId="5790" xr:uid="{00000000-0005-0000-0000-0000101C0000}"/>
    <cellStyle name="Porcentual 151 8 3" xfId="8463" xr:uid="{00000000-0005-0000-0000-0000111C0000}"/>
    <cellStyle name="Porcentual 151 9" xfId="2129" xr:uid="{00000000-0005-0000-0000-0000121C0000}"/>
    <cellStyle name="Porcentual 151 9 2" xfId="5791" xr:uid="{00000000-0005-0000-0000-0000131C0000}"/>
    <cellStyle name="Porcentual 151 9 3" xfId="8464" xr:uid="{00000000-0005-0000-0000-0000141C0000}"/>
    <cellStyle name="Porcentual 152 10" xfId="2130" xr:uid="{00000000-0005-0000-0000-0000151C0000}"/>
    <cellStyle name="Porcentual 152 10 2" xfId="5792" xr:uid="{00000000-0005-0000-0000-0000161C0000}"/>
    <cellStyle name="Porcentual 152 10 3" xfId="8465" xr:uid="{00000000-0005-0000-0000-0000171C0000}"/>
    <cellStyle name="Porcentual 152 11" xfId="2131" xr:uid="{00000000-0005-0000-0000-0000181C0000}"/>
    <cellStyle name="Porcentual 152 11 2" xfId="5793" xr:uid="{00000000-0005-0000-0000-0000191C0000}"/>
    <cellStyle name="Porcentual 152 11 3" xfId="8466" xr:uid="{00000000-0005-0000-0000-00001A1C0000}"/>
    <cellStyle name="Porcentual 152 12" xfId="2132" xr:uid="{00000000-0005-0000-0000-00001B1C0000}"/>
    <cellStyle name="Porcentual 152 12 2" xfId="5794" xr:uid="{00000000-0005-0000-0000-00001C1C0000}"/>
    <cellStyle name="Porcentual 152 12 3" xfId="8467" xr:uid="{00000000-0005-0000-0000-00001D1C0000}"/>
    <cellStyle name="Porcentual 152 13" xfId="2133" xr:uid="{00000000-0005-0000-0000-00001E1C0000}"/>
    <cellStyle name="Porcentual 152 13 2" xfId="5795" xr:uid="{00000000-0005-0000-0000-00001F1C0000}"/>
    <cellStyle name="Porcentual 152 13 3" xfId="8468" xr:uid="{00000000-0005-0000-0000-0000201C0000}"/>
    <cellStyle name="Porcentual 152 14" xfId="2134" xr:uid="{00000000-0005-0000-0000-0000211C0000}"/>
    <cellStyle name="Porcentual 152 14 2" xfId="5796" xr:uid="{00000000-0005-0000-0000-0000221C0000}"/>
    <cellStyle name="Porcentual 152 14 3" xfId="8469" xr:uid="{00000000-0005-0000-0000-0000231C0000}"/>
    <cellStyle name="Porcentual 152 15" xfId="2135" xr:uid="{00000000-0005-0000-0000-0000241C0000}"/>
    <cellStyle name="Porcentual 152 15 2" xfId="5797" xr:uid="{00000000-0005-0000-0000-0000251C0000}"/>
    <cellStyle name="Porcentual 152 15 3" xfId="8470" xr:uid="{00000000-0005-0000-0000-0000261C0000}"/>
    <cellStyle name="Porcentual 152 16" xfId="2136" xr:uid="{00000000-0005-0000-0000-0000271C0000}"/>
    <cellStyle name="Porcentual 152 16 2" xfId="5798" xr:uid="{00000000-0005-0000-0000-0000281C0000}"/>
    <cellStyle name="Porcentual 152 16 3" xfId="8471" xr:uid="{00000000-0005-0000-0000-0000291C0000}"/>
    <cellStyle name="Porcentual 152 17" xfId="2137" xr:uid="{00000000-0005-0000-0000-00002A1C0000}"/>
    <cellStyle name="Porcentual 152 17 2" xfId="5799" xr:uid="{00000000-0005-0000-0000-00002B1C0000}"/>
    <cellStyle name="Porcentual 152 17 3" xfId="8472" xr:uid="{00000000-0005-0000-0000-00002C1C0000}"/>
    <cellStyle name="Porcentual 152 18" xfId="2138" xr:uid="{00000000-0005-0000-0000-00002D1C0000}"/>
    <cellStyle name="Porcentual 152 18 2" xfId="5800" xr:uid="{00000000-0005-0000-0000-00002E1C0000}"/>
    <cellStyle name="Porcentual 152 18 3" xfId="8473" xr:uid="{00000000-0005-0000-0000-00002F1C0000}"/>
    <cellStyle name="Porcentual 152 19" xfId="2139" xr:uid="{00000000-0005-0000-0000-0000301C0000}"/>
    <cellStyle name="Porcentual 152 19 2" xfId="5801" xr:uid="{00000000-0005-0000-0000-0000311C0000}"/>
    <cellStyle name="Porcentual 152 19 3" xfId="8474" xr:uid="{00000000-0005-0000-0000-0000321C0000}"/>
    <cellStyle name="Porcentual 152 2" xfId="2140" xr:uid="{00000000-0005-0000-0000-0000331C0000}"/>
    <cellStyle name="Porcentual 152 2 2" xfId="5802" xr:uid="{00000000-0005-0000-0000-0000341C0000}"/>
    <cellStyle name="Porcentual 152 2 3" xfId="8475" xr:uid="{00000000-0005-0000-0000-0000351C0000}"/>
    <cellStyle name="Porcentual 152 20" xfId="2141" xr:uid="{00000000-0005-0000-0000-0000361C0000}"/>
    <cellStyle name="Porcentual 152 20 2" xfId="5803" xr:uid="{00000000-0005-0000-0000-0000371C0000}"/>
    <cellStyle name="Porcentual 152 20 3" xfId="8476" xr:uid="{00000000-0005-0000-0000-0000381C0000}"/>
    <cellStyle name="Porcentual 152 21" xfId="2142" xr:uid="{00000000-0005-0000-0000-0000391C0000}"/>
    <cellStyle name="Porcentual 152 21 2" xfId="5804" xr:uid="{00000000-0005-0000-0000-00003A1C0000}"/>
    <cellStyle name="Porcentual 152 21 3" xfId="8477" xr:uid="{00000000-0005-0000-0000-00003B1C0000}"/>
    <cellStyle name="Porcentual 152 22" xfId="2143" xr:uid="{00000000-0005-0000-0000-00003C1C0000}"/>
    <cellStyle name="Porcentual 152 22 2" xfId="5805" xr:uid="{00000000-0005-0000-0000-00003D1C0000}"/>
    <cellStyle name="Porcentual 152 22 3" xfId="8478" xr:uid="{00000000-0005-0000-0000-00003E1C0000}"/>
    <cellStyle name="Porcentual 152 23" xfId="2144" xr:uid="{00000000-0005-0000-0000-00003F1C0000}"/>
    <cellStyle name="Porcentual 152 23 2" xfId="5806" xr:uid="{00000000-0005-0000-0000-0000401C0000}"/>
    <cellStyle name="Porcentual 152 23 3" xfId="8479" xr:uid="{00000000-0005-0000-0000-0000411C0000}"/>
    <cellStyle name="Porcentual 152 24" xfId="2145" xr:uid="{00000000-0005-0000-0000-0000421C0000}"/>
    <cellStyle name="Porcentual 152 24 2" xfId="5807" xr:uid="{00000000-0005-0000-0000-0000431C0000}"/>
    <cellStyle name="Porcentual 152 24 3" xfId="8480" xr:uid="{00000000-0005-0000-0000-0000441C0000}"/>
    <cellStyle name="Porcentual 152 25" xfId="2146" xr:uid="{00000000-0005-0000-0000-0000451C0000}"/>
    <cellStyle name="Porcentual 152 25 2" xfId="5808" xr:uid="{00000000-0005-0000-0000-0000461C0000}"/>
    <cellStyle name="Porcentual 152 25 3" xfId="8481" xr:uid="{00000000-0005-0000-0000-0000471C0000}"/>
    <cellStyle name="Porcentual 152 26" xfId="2147" xr:uid="{00000000-0005-0000-0000-0000481C0000}"/>
    <cellStyle name="Porcentual 152 26 2" xfId="5809" xr:uid="{00000000-0005-0000-0000-0000491C0000}"/>
    <cellStyle name="Porcentual 152 26 3" xfId="8482" xr:uid="{00000000-0005-0000-0000-00004A1C0000}"/>
    <cellStyle name="Porcentual 152 27" xfId="2148" xr:uid="{00000000-0005-0000-0000-00004B1C0000}"/>
    <cellStyle name="Porcentual 152 27 2" xfId="5810" xr:uid="{00000000-0005-0000-0000-00004C1C0000}"/>
    <cellStyle name="Porcentual 152 27 3" xfId="8483" xr:uid="{00000000-0005-0000-0000-00004D1C0000}"/>
    <cellStyle name="Porcentual 152 28" xfId="2149" xr:uid="{00000000-0005-0000-0000-00004E1C0000}"/>
    <cellStyle name="Porcentual 152 28 2" xfId="5811" xr:uid="{00000000-0005-0000-0000-00004F1C0000}"/>
    <cellStyle name="Porcentual 152 28 3" xfId="8484" xr:uid="{00000000-0005-0000-0000-0000501C0000}"/>
    <cellStyle name="Porcentual 152 3" xfId="2150" xr:uid="{00000000-0005-0000-0000-0000511C0000}"/>
    <cellStyle name="Porcentual 152 3 2" xfId="5812" xr:uid="{00000000-0005-0000-0000-0000521C0000}"/>
    <cellStyle name="Porcentual 152 3 3" xfId="8485" xr:uid="{00000000-0005-0000-0000-0000531C0000}"/>
    <cellStyle name="Porcentual 152 4" xfId="2151" xr:uid="{00000000-0005-0000-0000-0000541C0000}"/>
    <cellStyle name="Porcentual 152 4 2" xfId="5813" xr:uid="{00000000-0005-0000-0000-0000551C0000}"/>
    <cellStyle name="Porcentual 152 4 3" xfId="8486" xr:uid="{00000000-0005-0000-0000-0000561C0000}"/>
    <cellStyle name="Porcentual 152 5" xfId="2152" xr:uid="{00000000-0005-0000-0000-0000571C0000}"/>
    <cellStyle name="Porcentual 152 5 2" xfId="5814" xr:uid="{00000000-0005-0000-0000-0000581C0000}"/>
    <cellStyle name="Porcentual 152 5 3" xfId="8487" xr:uid="{00000000-0005-0000-0000-0000591C0000}"/>
    <cellStyle name="Porcentual 152 6" xfId="2153" xr:uid="{00000000-0005-0000-0000-00005A1C0000}"/>
    <cellStyle name="Porcentual 152 6 2" xfId="5815" xr:uid="{00000000-0005-0000-0000-00005B1C0000}"/>
    <cellStyle name="Porcentual 152 6 3" xfId="8488" xr:uid="{00000000-0005-0000-0000-00005C1C0000}"/>
    <cellStyle name="Porcentual 152 7" xfId="2154" xr:uid="{00000000-0005-0000-0000-00005D1C0000}"/>
    <cellStyle name="Porcentual 152 7 2" xfId="5816" xr:uid="{00000000-0005-0000-0000-00005E1C0000}"/>
    <cellStyle name="Porcentual 152 7 3" xfId="8489" xr:uid="{00000000-0005-0000-0000-00005F1C0000}"/>
    <cellStyle name="Porcentual 152 8" xfId="2155" xr:uid="{00000000-0005-0000-0000-0000601C0000}"/>
    <cellStyle name="Porcentual 152 8 2" xfId="5817" xr:uid="{00000000-0005-0000-0000-0000611C0000}"/>
    <cellStyle name="Porcentual 152 8 3" xfId="8490" xr:uid="{00000000-0005-0000-0000-0000621C0000}"/>
    <cellStyle name="Porcentual 152 9" xfId="2156" xr:uid="{00000000-0005-0000-0000-0000631C0000}"/>
    <cellStyle name="Porcentual 152 9 2" xfId="5818" xr:uid="{00000000-0005-0000-0000-0000641C0000}"/>
    <cellStyle name="Porcentual 152 9 3" xfId="8491" xr:uid="{00000000-0005-0000-0000-0000651C0000}"/>
    <cellStyle name="Porcentual 153 10" xfId="2157" xr:uid="{00000000-0005-0000-0000-0000661C0000}"/>
    <cellStyle name="Porcentual 153 10 2" xfId="5819" xr:uid="{00000000-0005-0000-0000-0000671C0000}"/>
    <cellStyle name="Porcentual 153 10 3" xfId="8492" xr:uid="{00000000-0005-0000-0000-0000681C0000}"/>
    <cellStyle name="Porcentual 153 11" xfId="2158" xr:uid="{00000000-0005-0000-0000-0000691C0000}"/>
    <cellStyle name="Porcentual 153 11 2" xfId="5820" xr:uid="{00000000-0005-0000-0000-00006A1C0000}"/>
    <cellStyle name="Porcentual 153 11 3" xfId="8493" xr:uid="{00000000-0005-0000-0000-00006B1C0000}"/>
    <cellStyle name="Porcentual 153 12" xfId="2159" xr:uid="{00000000-0005-0000-0000-00006C1C0000}"/>
    <cellStyle name="Porcentual 153 12 2" xfId="5821" xr:uid="{00000000-0005-0000-0000-00006D1C0000}"/>
    <cellStyle name="Porcentual 153 12 3" xfId="8494" xr:uid="{00000000-0005-0000-0000-00006E1C0000}"/>
    <cellStyle name="Porcentual 153 13" xfId="2160" xr:uid="{00000000-0005-0000-0000-00006F1C0000}"/>
    <cellStyle name="Porcentual 153 13 2" xfId="5822" xr:uid="{00000000-0005-0000-0000-0000701C0000}"/>
    <cellStyle name="Porcentual 153 13 3" xfId="8495" xr:uid="{00000000-0005-0000-0000-0000711C0000}"/>
    <cellStyle name="Porcentual 153 14" xfId="2161" xr:uid="{00000000-0005-0000-0000-0000721C0000}"/>
    <cellStyle name="Porcentual 153 14 2" xfId="5823" xr:uid="{00000000-0005-0000-0000-0000731C0000}"/>
    <cellStyle name="Porcentual 153 14 3" xfId="8496" xr:uid="{00000000-0005-0000-0000-0000741C0000}"/>
    <cellStyle name="Porcentual 153 15" xfId="2162" xr:uid="{00000000-0005-0000-0000-0000751C0000}"/>
    <cellStyle name="Porcentual 153 15 2" xfId="5824" xr:uid="{00000000-0005-0000-0000-0000761C0000}"/>
    <cellStyle name="Porcentual 153 15 3" xfId="8497" xr:uid="{00000000-0005-0000-0000-0000771C0000}"/>
    <cellStyle name="Porcentual 153 16" xfId="2163" xr:uid="{00000000-0005-0000-0000-0000781C0000}"/>
    <cellStyle name="Porcentual 153 16 2" xfId="5825" xr:uid="{00000000-0005-0000-0000-0000791C0000}"/>
    <cellStyle name="Porcentual 153 16 3" xfId="8498" xr:uid="{00000000-0005-0000-0000-00007A1C0000}"/>
    <cellStyle name="Porcentual 153 17" xfId="2164" xr:uid="{00000000-0005-0000-0000-00007B1C0000}"/>
    <cellStyle name="Porcentual 153 17 2" xfId="5826" xr:uid="{00000000-0005-0000-0000-00007C1C0000}"/>
    <cellStyle name="Porcentual 153 17 3" xfId="8499" xr:uid="{00000000-0005-0000-0000-00007D1C0000}"/>
    <cellStyle name="Porcentual 153 18" xfId="2165" xr:uid="{00000000-0005-0000-0000-00007E1C0000}"/>
    <cellStyle name="Porcentual 153 18 2" xfId="5827" xr:uid="{00000000-0005-0000-0000-00007F1C0000}"/>
    <cellStyle name="Porcentual 153 18 3" xfId="8500" xr:uid="{00000000-0005-0000-0000-0000801C0000}"/>
    <cellStyle name="Porcentual 153 19" xfId="2166" xr:uid="{00000000-0005-0000-0000-0000811C0000}"/>
    <cellStyle name="Porcentual 153 19 2" xfId="5828" xr:uid="{00000000-0005-0000-0000-0000821C0000}"/>
    <cellStyle name="Porcentual 153 19 3" xfId="8501" xr:uid="{00000000-0005-0000-0000-0000831C0000}"/>
    <cellStyle name="Porcentual 153 2" xfId="2167" xr:uid="{00000000-0005-0000-0000-0000841C0000}"/>
    <cellStyle name="Porcentual 153 2 2" xfId="5829" xr:uid="{00000000-0005-0000-0000-0000851C0000}"/>
    <cellStyle name="Porcentual 153 2 3" xfId="8502" xr:uid="{00000000-0005-0000-0000-0000861C0000}"/>
    <cellStyle name="Porcentual 153 20" xfId="2168" xr:uid="{00000000-0005-0000-0000-0000871C0000}"/>
    <cellStyle name="Porcentual 153 20 2" xfId="5830" xr:uid="{00000000-0005-0000-0000-0000881C0000}"/>
    <cellStyle name="Porcentual 153 20 3" xfId="8503" xr:uid="{00000000-0005-0000-0000-0000891C0000}"/>
    <cellStyle name="Porcentual 153 21" xfId="2169" xr:uid="{00000000-0005-0000-0000-00008A1C0000}"/>
    <cellStyle name="Porcentual 153 21 2" xfId="5831" xr:uid="{00000000-0005-0000-0000-00008B1C0000}"/>
    <cellStyle name="Porcentual 153 21 3" xfId="8504" xr:uid="{00000000-0005-0000-0000-00008C1C0000}"/>
    <cellStyle name="Porcentual 153 22" xfId="2170" xr:uid="{00000000-0005-0000-0000-00008D1C0000}"/>
    <cellStyle name="Porcentual 153 22 2" xfId="5832" xr:uid="{00000000-0005-0000-0000-00008E1C0000}"/>
    <cellStyle name="Porcentual 153 22 3" xfId="8505" xr:uid="{00000000-0005-0000-0000-00008F1C0000}"/>
    <cellStyle name="Porcentual 153 23" xfId="2171" xr:uid="{00000000-0005-0000-0000-0000901C0000}"/>
    <cellStyle name="Porcentual 153 23 2" xfId="5833" xr:uid="{00000000-0005-0000-0000-0000911C0000}"/>
    <cellStyle name="Porcentual 153 23 3" xfId="8506" xr:uid="{00000000-0005-0000-0000-0000921C0000}"/>
    <cellStyle name="Porcentual 153 24" xfId="2172" xr:uid="{00000000-0005-0000-0000-0000931C0000}"/>
    <cellStyle name="Porcentual 153 24 2" xfId="5834" xr:uid="{00000000-0005-0000-0000-0000941C0000}"/>
    <cellStyle name="Porcentual 153 24 3" xfId="8507" xr:uid="{00000000-0005-0000-0000-0000951C0000}"/>
    <cellStyle name="Porcentual 153 25" xfId="2173" xr:uid="{00000000-0005-0000-0000-0000961C0000}"/>
    <cellStyle name="Porcentual 153 25 2" xfId="5835" xr:uid="{00000000-0005-0000-0000-0000971C0000}"/>
    <cellStyle name="Porcentual 153 25 3" xfId="8508" xr:uid="{00000000-0005-0000-0000-0000981C0000}"/>
    <cellStyle name="Porcentual 153 26" xfId="2174" xr:uid="{00000000-0005-0000-0000-0000991C0000}"/>
    <cellStyle name="Porcentual 153 26 2" xfId="5836" xr:uid="{00000000-0005-0000-0000-00009A1C0000}"/>
    <cellStyle name="Porcentual 153 26 3" xfId="8509" xr:uid="{00000000-0005-0000-0000-00009B1C0000}"/>
    <cellStyle name="Porcentual 153 27" xfId="2175" xr:uid="{00000000-0005-0000-0000-00009C1C0000}"/>
    <cellStyle name="Porcentual 153 27 2" xfId="5837" xr:uid="{00000000-0005-0000-0000-00009D1C0000}"/>
    <cellStyle name="Porcentual 153 27 3" xfId="8510" xr:uid="{00000000-0005-0000-0000-00009E1C0000}"/>
    <cellStyle name="Porcentual 153 28" xfId="2176" xr:uid="{00000000-0005-0000-0000-00009F1C0000}"/>
    <cellStyle name="Porcentual 153 28 2" xfId="5838" xr:uid="{00000000-0005-0000-0000-0000A01C0000}"/>
    <cellStyle name="Porcentual 153 28 3" xfId="8511" xr:uid="{00000000-0005-0000-0000-0000A11C0000}"/>
    <cellStyle name="Porcentual 153 3" xfId="2177" xr:uid="{00000000-0005-0000-0000-0000A21C0000}"/>
    <cellStyle name="Porcentual 153 3 2" xfId="5839" xr:uid="{00000000-0005-0000-0000-0000A31C0000}"/>
    <cellStyle name="Porcentual 153 3 3" xfId="8512" xr:uid="{00000000-0005-0000-0000-0000A41C0000}"/>
    <cellStyle name="Porcentual 153 4" xfId="2178" xr:uid="{00000000-0005-0000-0000-0000A51C0000}"/>
    <cellStyle name="Porcentual 153 4 2" xfId="5840" xr:uid="{00000000-0005-0000-0000-0000A61C0000}"/>
    <cellStyle name="Porcentual 153 4 3" xfId="8513" xr:uid="{00000000-0005-0000-0000-0000A71C0000}"/>
    <cellStyle name="Porcentual 153 5" xfId="2179" xr:uid="{00000000-0005-0000-0000-0000A81C0000}"/>
    <cellStyle name="Porcentual 153 5 2" xfId="5841" xr:uid="{00000000-0005-0000-0000-0000A91C0000}"/>
    <cellStyle name="Porcentual 153 5 3" xfId="8514" xr:uid="{00000000-0005-0000-0000-0000AA1C0000}"/>
    <cellStyle name="Porcentual 153 6" xfId="2180" xr:uid="{00000000-0005-0000-0000-0000AB1C0000}"/>
    <cellStyle name="Porcentual 153 6 2" xfId="5842" xr:uid="{00000000-0005-0000-0000-0000AC1C0000}"/>
    <cellStyle name="Porcentual 153 6 3" xfId="8515" xr:uid="{00000000-0005-0000-0000-0000AD1C0000}"/>
    <cellStyle name="Porcentual 153 7" xfId="2181" xr:uid="{00000000-0005-0000-0000-0000AE1C0000}"/>
    <cellStyle name="Porcentual 153 7 2" xfId="5843" xr:uid="{00000000-0005-0000-0000-0000AF1C0000}"/>
    <cellStyle name="Porcentual 153 7 3" xfId="8516" xr:uid="{00000000-0005-0000-0000-0000B01C0000}"/>
    <cellStyle name="Porcentual 153 8" xfId="2182" xr:uid="{00000000-0005-0000-0000-0000B11C0000}"/>
    <cellStyle name="Porcentual 153 8 2" xfId="5844" xr:uid="{00000000-0005-0000-0000-0000B21C0000}"/>
    <cellStyle name="Porcentual 153 8 3" xfId="8517" xr:uid="{00000000-0005-0000-0000-0000B31C0000}"/>
    <cellStyle name="Porcentual 153 9" xfId="2183" xr:uid="{00000000-0005-0000-0000-0000B41C0000}"/>
    <cellStyle name="Porcentual 153 9 2" xfId="5845" xr:uid="{00000000-0005-0000-0000-0000B51C0000}"/>
    <cellStyle name="Porcentual 153 9 3" xfId="8518" xr:uid="{00000000-0005-0000-0000-0000B61C0000}"/>
    <cellStyle name="Porcentual 154 10" xfId="2184" xr:uid="{00000000-0005-0000-0000-0000B71C0000}"/>
    <cellStyle name="Porcentual 154 10 2" xfId="5846" xr:uid="{00000000-0005-0000-0000-0000B81C0000}"/>
    <cellStyle name="Porcentual 154 10 3" xfId="8519" xr:uid="{00000000-0005-0000-0000-0000B91C0000}"/>
    <cellStyle name="Porcentual 154 11" xfId="2185" xr:uid="{00000000-0005-0000-0000-0000BA1C0000}"/>
    <cellStyle name="Porcentual 154 11 2" xfId="5847" xr:uid="{00000000-0005-0000-0000-0000BB1C0000}"/>
    <cellStyle name="Porcentual 154 11 3" xfId="8520" xr:uid="{00000000-0005-0000-0000-0000BC1C0000}"/>
    <cellStyle name="Porcentual 154 12" xfId="2186" xr:uid="{00000000-0005-0000-0000-0000BD1C0000}"/>
    <cellStyle name="Porcentual 154 12 2" xfId="5848" xr:uid="{00000000-0005-0000-0000-0000BE1C0000}"/>
    <cellStyle name="Porcentual 154 12 3" xfId="8521" xr:uid="{00000000-0005-0000-0000-0000BF1C0000}"/>
    <cellStyle name="Porcentual 154 13" xfId="2187" xr:uid="{00000000-0005-0000-0000-0000C01C0000}"/>
    <cellStyle name="Porcentual 154 13 2" xfId="5849" xr:uid="{00000000-0005-0000-0000-0000C11C0000}"/>
    <cellStyle name="Porcentual 154 13 3" xfId="8522" xr:uid="{00000000-0005-0000-0000-0000C21C0000}"/>
    <cellStyle name="Porcentual 154 14" xfId="2188" xr:uid="{00000000-0005-0000-0000-0000C31C0000}"/>
    <cellStyle name="Porcentual 154 14 2" xfId="5850" xr:uid="{00000000-0005-0000-0000-0000C41C0000}"/>
    <cellStyle name="Porcentual 154 14 3" xfId="8523" xr:uid="{00000000-0005-0000-0000-0000C51C0000}"/>
    <cellStyle name="Porcentual 154 15" xfId="2189" xr:uid="{00000000-0005-0000-0000-0000C61C0000}"/>
    <cellStyle name="Porcentual 154 15 2" xfId="5851" xr:uid="{00000000-0005-0000-0000-0000C71C0000}"/>
    <cellStyle name="Porcentual 154 15 3" xfId="8524" xr:uid="{00000000-0005-0000-0000-0000C81C0000}"/>
    <cellStyle name="Porcentual 154 16" xfId="2190" xr:uid="{00000000-0005-0000-0000-0000C91C0000}"/>
    <cellStyle name="Porcentual 154 16 2" xfId="5852" xr:uid="{00000000-0005-0000-0000-0000CA1C0000}"/>
    <cellStyle name="Porcentual 154 16 3" xfId="8525" xr:uid="{00000000-0005-0000-0000-0000CB1C0000}"/>
    <cellStyle name="Porcentual 154 17" xfId="2191" xr:uid="{00000000-0005-0000-0000-0000CC1C0000}"/>
    <cellStyle name="Porcentual 154 17 2" xfId="5853" xr:uid="{00000000-0005-0000-0000-0000CD1C0000}"/>
    <cellStyle name="Porcentual 154 17 3" xfId="8526" xr:uid="{00000000-0005-0000-0000-0000CE1C0000}"/>
    <cellStyle name="Porcentual 154 18" xfId="2192" xr:uid="{00000000-0005-0000-0000-0000CF1C0000}"/>
    <cellStyle name="Porcentual 154 18 2" xfId="5854" xr:uid="{00000000-0005-0000-0000-0000D01C0000}"/>
    <cellStyle name="Porcentual 154 18 3" xfId="8527" xr:uid="{00000000-0005-0000-0000-0000D11C0000}"/>
    <cellStyle name="Porcentual 154 19" xfId="2193" xr:uid="{00000000-0005-0000-0000-0000D21C0000}"/>
    <cellStyle name="Porcentual 154 19 2" xfId="5855" xr:uid="{00000000-0005-0000-0000-0000D31C0000}"/>
    <cellStyle name="Porcentual 154 19 3" xfId="8528" xr:uid="{00000000-0005-0000-0000-0000D41C0000}"/>
    <cellStyle name="Porcentual 154 2" xfId="2194" xr:uid="{00000000-0005-0000-0000-0000D51C0000}"/>
    <cellStyle name="Porcentual 154 2 2" xfId="5856" xr:uid="{00000000-0005-0000-0000-0000D61C0000}"/>
    <cellStyle name="Porcentual 154 2 3" xfId="8529" xr:uid="{00000000-0005-0000-0000-0000D71C0000}"/>
    <cellStyle name="Porcentual 154 20" xfId="2195" xr:uid="{00000000-0005-0000-0000-0000D81C0000}"/>
    <cellStyle name="Porcentual 154 20 2" xfId="5857" xr:uid="{00000000-0005-0000-0000-0000D91C0000}"/>
    <cellStyle name="Porcentual 154 20 3" xfId="8530" xr:uid="{00000000-0005-0000-0000-0000DA1C0000}"/>
    <cellStyle name="Porcentual 154 21" xfId="2196" xr:uid="{00000000-0005-0000-0000-0000DB1C0000}"/>
    <cellStyle name="Porcentual 154 21 2" xfId="5858" xr:uid="{00000000-0005-0000-0000-0000DC1C0000}"/>
    <cellStyle name="Porcentual 154 21 3" xfId="8531" xr:uid="{00000000-0005-0000-0000-0000DD1C0000}"/>
    <cellStyle name="Porcentual 154 22" xfId="2197" xr:uid="{00000000-0005-0000-0000-0000DE1C0000}"/>
    <cellStyle name="Porcentual 154 22 2" xfId="5859" xr:uid="{00000000-0005-0000-0000-0000DF1C0000}"/>
    <cellStyle name="Porcentual 154 22 3" xfId="8532" xr:uid="{00000000-0005-0000-0000-0000E01C0000}"/>
    <cellStyle name="Porcentual 154 23" xfId="2198" xr:uid="{00000000-0005-0000-0000-0000E11C0000}"/>
    <cellStyle name="Porcentual 154 23 2" xfId="5860" xr:uid="{00000000-0005-0000-0000-0000E21C0000}"/>
    <cellStyle name="Porcentual 154 23 3" xfId="8533" xr:uid="{00000000-0005-0000-0000-0000E31C0000}"/>
    <cellStyle name="Porcentual 154 24" xfId="2199" xr:uid="{00000000-0005-0000-0000-0000E41C0000}"/>
    <cellStyle name="Porcentual 154 24 2" xfId="5861" xr:uid="{00000000-0005-0000-0000-0000E51C0000}"/>
    <cellStyle name="Porcentual 154 24 3" xfId="8534" xr:uid="{00000000-0005-0000-0000-0000E61C0000}"/>
    <cellStyle name="Porcentual 154 25" xfId="2200" xr:uid="{00000000-0005-0000-0000-0000E71C0000}"/>
    <cellStyle name="Porcentual 154 25 2" xfId="5862" xr:uid="{00000000-0005-0000-0000-0000E81C0000}"/>
    <cellStyle name="Porcentual 154 25 3" xfId="8535" xr:uid="{00000000-0005-0000-0000-0000E91C0000}"/>
    <cellStyle name="Porcentual 154 26" xfId="2201" xr:uid="{00000000-0005-0000-0000-0000EA1C0000}"/>
    <cellStyle name="Porcentual 154 26 2" xfId="5863" xr:uid="{00000000-0005-0000-0000-0000EB1C0000}"/>
    <cellStyle name="Porcentual 154 26 3" xfId="8536" xr:uid="{00000000-0005-0000-0000-0000EC1C0000}"/>
    <cellStyle name="Porcentual 154 27" xfId="2202" xr:uid="{00000000-0005-0000-0000-0000ED1C0000}"/>
    <cellStyle name="Porcentual 154 27 2" xfId="5864" xr:uid="{00000000-0005-0000-0000-0000EE1C0000}"/>
    <cellStyle name="Porcentual 154 27 3" xfId="8537" xr:uid="{00000000-0005-0000-0000-0000EF1C0000}"/>
    <cellStyle name="Porcentual 154 28" xfId="2203" xr:uid="{00000000-0005-0000-0000-0000F01C0000}"/>
    <cellStyle name="Porcentual 154 28 2" xfId="5865" xr:uid="{00000000-0005-0000-0000-0000F11C0000}"/>
    <cellStyle name="Porcentual 154 28 3" xfId="8538" xr:uid="{00000000-0005-0000-0000-0000F21C0000}"/>
    <cellStyle name="Porcentual 154 3" xfId="2204" xr:uid="{00000000-0005-0000-0000-0000F31C0000}"/>
    <cellStyle name="Porcentual 154 3 2" xfId="5866" xr:uid="{00000000-0005-0000-0000-0000F41C0000}"/>
    <cellStyle name="Porcentual 154 3 3" xfId="8539" xr:uid="{00000000-0005-0000-0000-0000F51C0000}"/>
    <cellStyle name="Porcentual 154 4" xfId="2205" xr:uid="{00000000-0005-0000-0000-0000F61C0000}"/>
    <cellStyle name="Porcentual 154 4 2" xfId="5867" xr:uid="{00000000-0005-0000-0000-0000F71C0000}"/>
    <cellStyle name="Porcentual 154 4 3" xfId="8540" xr:uid="{00000000-0005-0000-0000-0000F81C0000}"/>
    <cellStyle name="Porcentual 154 5" xfId="2206" xr:uid="{00000000-0005-0000-0000-0000F91C0000}"/>
    <cellStyle name="Porcentual 154 5 2" xfId="5868" xr:uid="{00000000-0005-0000-0000-0000FA1C0000}"/>
    <cellStyle name="Porcentual 154 5 3" xfId="8541" xr:uid="{00000000-0005-0000-0000-0000FB1C0000}"/>
    <cellStyle name="Porcentual 154 6" xfId="2207" xr:uid="{00000000-0005-0000-0000-0000FC1C0000}"/>
    <cellStyle name="Porcentual 154 6 2" xfId="5869" xr:uid="{00000000-0005-0000-0000-0000FD1C0000}"/>
    <cellStyle name="Porcentual 154 6 3" xfId="8542" xr:uid="{00000000-0005-0000-0000-0000FE1C0000}"/>
    <cellStyle name="Porcentual 154 7" xfId="2208" xr:uid="{00000000-0005-0000-0000-0000FF1C0000}"/>
    <cellStyle name="Porcentual 154 7 2" xfId="5870" xr:uid="{00000000-0005-0000-0000-0000001D0000}"/>
    <cellStyle name="Porcentual 154 7 3" xfId="8543" xr:uid="{00000000-0005-0000-0000-0000011D0000}"/>
    <cellStyle name="Porcentual 154 8" xfId="2209" xr:uid="{00000000-0005-0000-0000-0000021D0000}"/>
    <cellStyle name="Porcentual 154 8 2" xfId="5871" xr:uid="{00000000-0005-0000-0000-0000031D0000}"/>
    <cellStyle name="Porcentual 154 8 3" xfId="8544" xr:uid="{00000000-0005-0000-0000-0000041D0000}"/>
    <cellStyle name="Porcentual 154 9" xfId="2210" xr:uid="{00000000-0005-0000-0000-0000051D0000}"/>
    <cellStyle name="Porcentual 154 9 2" xfId="5872" xr:uid="{00000000-0005-0000-0000-0000061D0000}"/>
    <cellStyle name="Porcentual 154 9 3" xfId="8545" xr:uid="{00000000-0005-0000-0000-0000071D0000}"/>
    <cellStyle name="Porcentual 155 10" xfId="2211" xr:uid="{00000000-0005-0000-0000-0000081D0000}"/>
    <cellStyle name="Porcentual 155 10 2" xfId="5873" xr:uid="{00000000-0005-0000-0000-0000091D0000}"/>
    <cellStyle name="Porcentual 155 10 3" xfId="8546" xr:uid="{00000000-0005-0000-0000-00000A1D0000}"/>
    <cellStyle name="Porcentual 155 11" xfId="2212" xr:uid="{00000000-0005-0000-0000-00000B1D0000}"/>
    <cellStyle name="Porcentual 155 11 2" xfId="5874" xr:uid="{00000000-0005-0000-0000-00000C1D0000}"/>
    <cellStyle name="Porcentual 155 11 3" xfId="8547" xr:uid="{00000000-0005-0000-0000-00000D1D0000}"/>
    <cellStyle name="Porcentual 155 12" xfId="2213" xr:uid="{00000000-0005-0000-0000-00000E1D0000}"/>
    <cellStyle name="Porcentual 155 12 2" xfId="5875" xr:uid="{00000000-0005-0000-0000-00000F1D0000}"/>
    <cellStyle name="Porcentual 155 12 3" xfId="8548" xr:uid="{00000000-0005-0000-0000-0000101D0000}"/>
    <cellStyle name="Porcentual 155 13" xfId="2214" xr:uid="{00000000-0005-0000-0000-0000111D0000}"/>
    <cellStyle name="Porcentual 155 13 2" xfId="5876" xr:uid="{00000000-0005-0000-0000-0000121D0000}"/>
    <cellStyle name="Porcentual 155 13 3" xfId="8549" xr:uid="{00000000-0005-0000-0000-0000131D0000}"/>
    <cellStyle name="Porcentual 155 14" xfId="2215" xr:uid="{00000000-0005-0000-0000-0000141D0000}"/>
    <cellStyle name="Porcentual 155 14 2" xfId="5877" xr:uid="{00000000-0005-0000-0000-0000151D0000}"/>
    <cellStyle name="Porcentual 155 14 3" xfId="8550" xr:uid="{00000000-0005-0000-0000-0000161D0000}"/>
    <cellStyle name="Porcentual 155 15" xfId="2216" xr:uid="{00000000-0005-0000-0000-0000171D0000}"/>
    <cellStyle name="Porcentual 155 15 2" xfId="5878" xr:uid="{00000000-0005-0000-0000-0000181D0000}"/>
    <cellStyle name="Porcentual 155 15 3" xfId="8551" xr:uid="{00000000-0005-0000-0000-0000191D0000}"/>
    <cellStyle name="Porcentual 155 16" xfId="2217" xr:uid="{00000000-0005-0000-0000-00001A1D0000}"/>
    <cellStyle name="Porcentual 155 16 2" xfId="5879" xr:uid="{00000000-0005-0000-0000-00001B1D0000}"/>
    <cellStyle name="Porcentual 155 16 3" xfId="8552" xr:uid="{00000000-0005-0000-0000-00001C1D0000}"/>
    <cellStyle name="Porcentual 155 17" xfId="2218" xr:uid="{00000000-0005-0000-0000-00001D1D0000}"/>
    <cellStyle name="Porcentual 155 17 2" xfId="5880" xr:uid="{00000000-0005-0000-0000-00001E1D0000}"/>
    <cellStyle name="Porcentual 155 17 3" xfId="8553" xr:uid="{00000000-0005-0000-0000-00001F1D0000}"/>
    <cellStyle name="Porcentual 155 18" xfId="2219" xr:uid="{00000000-0005-0000-0000-0000201D0000}"/>
    <cellStyle name="Porcentual 155 18 2" xfId="5881" xr:uid="{00000000-0005-0000-0000-0000211D0000}"/>
    <cellStyle name="Porcentual 155 18 3" xfId="8554" xr:uid="{00000000-0005-0000-0000-0000221D0000}"/>
    <cellStyle name="Porcentual 155 19" xfId="2220" xr:uid="{00000000-0005-0000-0000-0000231D0000}"/>
    <cellStyle name="Porcentual 155 19 2" xfId="5882" xr:uid="{00000000-0005-0000-0000-0000241D0000}"/>
    <cellStyle name="Porcentual 155 19 3" xfId="8555" xr:uid="{00000000-0005-0000-0000-0000251D0000}"/>
    <cellStyle name="Porcentual 155 2" xfId="2221" xr:uid="{00000000-0005-0000-0000-0000261D0000}"/>
    <cellStyle name="Porcentual 155 2 2" xfId="5883" xr:uid="{00000000-0005-0000-0000-0000271D0000}"/>
    <cellStyle name="Porcentual 155 2 3" xfId="8556" xr:uid="{00000000-0005-0000-0000-0000281D0000}"/>
    <cellStyle name="Porcentual 155 20" xfId="2222" xr:uid="{00000000-0005-0000-0000-0000291D0000}"/>
    <cellStyle name="Porcentual 155 20 2" xfId="5884" xr:uid="{00000000-0005-0000-0000-00002A1D0000}"/>
    <cellStyle name="Porcentual 155 20 3" xfId="8557" xr:uid="{00000000-0005-0000-0000-00002B1D0000}"/>
    <cellStyle name="Porcentual 155 21" xfId="2223" xr:uid="{00000000-0005-0000-0000-00002C1D0000}"/>
    <cellStyle name="Porcentual 155 21 2" xfId="5885" xr:uid="{00000000-0005-0000-0000-00002D1D0000}"/>
    <cellStyle name="Porcentual 155 21 3" xfId="8558" xr:uid="{00000000-0005-0000-0000-00002E1D0000}"/>
    <cellStyle name="Porcentual 155 22" xfId="2224" xr:uid="{00000000-0005-0000-0000-00002F1D0000}"/>
    <cellStyle name="Porcentual 155 22 2" xfId="5886" xr:uid="{00000000-0005-0000-0000-0000301D0000}"/>
    <cellStyle name="Porcentual 155 22 3" xfId="8559" xr:uid="{00000000-0005-0000-0000-0000311D0000}"/>
    <cellStyle name="Porcentual 155 23" xfId="2225" xr:uid="{00000000-0005-0000-0000-0000321D0000}"/>
    <cellStyle name="Porcentual 155 23 2" xfId="5887" xr:uid="{00000000-0005-0000-0000-0000331D0000}"/>
    <cellStyle name="Porcentual 155 23 3" xfId="8560" xr:uid="{00000000-0005-0000-0000-0000341D0000}"/>
    <cellStyle name="Porcentual 155 24" xfId="2226" xr:uid="{00000000-0005-0000-0000-0000351D0000}"/>
    <cellStyle name="Porcentual 155 24 2" xfId="5888" xr:uid="{00000000-0005-0000-0000-0000361D0000}"/>
    <cellStyle name="Porcentual 155 24 3" xfId="8561" xr:uid="{00000000-0005-0000-0000-0000371D0000}"/>
    <cellStyle name="Porcentual 155 25" xfId="2227" xr:uid="{00000000-0005-0000-0000-0000381D0000}"/>
    <cellStyle name="Porcentual 155 25 2" xfId="5889" xr:uid="{00000000-0005-0000-0000-0000391D0000}"/>
    <cellStyle name="Porcentual 155 25 3" xfId="8562" xr:uid="{00000000-0005-0000-0000-00003A1D0000}"/>
    <cellStyle name="Porcentual 155 26" xfId="2228" xr:uid="{00000000-0005-0000-0000-00003B1D0000}"/>
    <cellStyle name="Porcentual 155 26 2" xfId="5890" xr:uid="{00000000-0005-0000-0000-00003C1D0000}"/>
    <cellStyle name="Porcentual 155 26 3" xfId="8563" xr:uid="{00000000-0005-0000-0000-00003D1D0000}"/>
    <cellStyle name="Porcentual 155 27" xfId="2229" xr:uid="{00000000-0005-0000-0000-00003E1D0000}"/>
    <cellStyle name="Porcentual 155 27 2" xfId="5891" xr:uid="{00000000-0005-0000-0000-00003F1D0000}"/>
    <cellStyle name="Porcentual 155 27 3" xfId="8564" xr:uid="{00000000-0005-0000-0000-0000401D0000}"/>
    <cellStyle name="Porcentual 155 28" xfId="2230" xr:uid="{00000000-0005-0000-0000-0000411D0000}"/>
    <cellStyle name="Porcentual 155 28 2" xfId="5892" xr:uid="{00000000-0005-0000-0000-0000421D0000}"/>
    <cellStyle name="Porcentual 155 28 3" xfId="8565" xr:uid="{00000000-0005-0000-0000-0000431D0000}"/>
    <cellStyle name="Porcentual 155 3" xfId="2231" xr:uid="{00000000-0005-0000-0000-0000441D0000}"/>
    <cellStyle name="Porcentual 155 3 2" xfId="5893" xr:uid="{00000000-0005-0000-0000-0000451D0000}"/>
    <cellStyle name="Porcentual 155 3 3" xfId="8566" xr:uid="{00000000-0005-0000-0000-0000461D0000}"/>
    <cellStyle name="Porcentual 155 4" xfId="2232" xr:uid="{00000000-0005-0000-0000-0000471D0000}"/>
    <cellStyle name="Porcentual 155 4 2" xfId="5894" xr:uid="{00000000-0005-0000-0000-0000481D0000}"/>
    <cellStyle name="Porcentual 155 4 3" xfId="8567" xr:uid="{00000000-0005-0000-0000-0000491D0000}"/>
    <cellStyle name="Porcentual 155 5" xfId="2233" xr:uid="{00000000-0005-0000-0000-00004A1D0000}"/>
    <cellStyle name="Porcentual 155 5 2" xfId="5895" xr:uid="{00000000-0005-0000-0000-00004B1D0000}"/>
    <cellStyle name="Porcentual 155 5 3" xfId="8568" xr:uid="{00000000-0005-0000-0000-00004C1D0000}"/>
    <cellStyle name="Porcentual 155 6" xfId="2234" xr:uid="{00000000-0005-0000-0000-00004D1D0000}"/>
    <cellStyle name="Porcentual 155 6 2" xfId="5896" xr:uid="{00000000-0005-0000-0000-00004E1D0000}"/>
    <cellStyle name="Porcentual 155 6 3" xfId="8569" xr:uid="{00000000-0005-0000-0000-00004F1D0000}"/>
    <cellStyle name="Porcentual 155 7" xfId="2235" xr:uid="{00000000-0005-0000-0000-0000501D0000}"/>
    <cellStyle name="Porcentual 155 7 2" xfId="5897" xr:uid="{00000000-0005-0000-0000-0000511D0000}"/>
    <cellStyle name="Porcentual 155 7 3" xfId="8570" xr:uid="{00000000-0005-0000-0000-0000521D0000}"/>
    <cellStyle name="Porcentual 155 8" xfId="2236" xr:uid="{00000000-0005-0000-0000-0000531D0000}"/>
    <cellStyle name="Porcentual 155 8 2" xfId="5898" xr:uid="{00000000-0005-0000-0000-0000541D0000}"/>
    <cellStyle name="Porcentual 155 8 3" xfId="8571" xr:uid="{00000000-0005-0000-0000-0000551D0000}"/>
    <cellStyle name="Porcentual 155 9" xfId="2237" xr:uid="{00000000-0005-0000-0000-0000561D0000}"/>
    <cellStyle name="Porcentual 155 9 2" xfId="5899" xr:uid="{00000000-0005-0000-0000-0000571D0000}"/>
    <cellStyle name="Porcentual 155 9 3" xfId="8572" xr:uid="{00000000-0005-0000-0000-0000581D0000}"/>
    <cellStyle name="Porcentual 156 10" xfId="2238" xr:uid="{00000000-0005-0000-0000-0000591D0000}"/>
    <cellStyle name="Porcentual 156 10 2" xfId="5900" xr:uid="{00000000-0005-0000-0000-00005A1D0000}"/>
    <cellStyle name="Porcentual 156 10 3" xfId="8573" xr:uid="{00000000-0005-0000-0000-00005B1D0000}"/>
    <cellStyle name="Porcentual 156 11" xfId="2239" xr:uid="{00000000-0005-0000-0000-00005C1D0000}"/>
    <cellStyle name="Porcentual 156 11 2" xfId="5901" xr:uid="{00000000-0005-0000-0000-00005D1D0000}"/>
    <cellStyle name="Porcentual 156 11 3" xfId="8574" xr:uid="{00000000-0005-0000-0000-00005E1D0000}"/>
    <cellStyle name="Porcentual 156 12" xfId="2240" xr:uid="{00000000-0005-0000-0000-00005F1D0000}"/>
    <cellStyle name="Porcentual 156 12 2" xfId="5902" xr:uid="{00000000-0005-0000-0000-0000601D0000}"/>
    <cellStyle name="Porcentual 156 12 3" xfId="8575" xr:uid="{00000000-0005-0000-0000-0000611D0000}"/>
    <cellStyle name="Porcentual 156 13" xfId="2241" xr:uid="{00000000-0005-0000-0000-0000621D0000}"/>
    <cellStyle name="Porcentual 156 13 2" xfId="5903" xr:uid="{00000000-0005-0000-0000-0000631D0000}"/>
    <cellStyle name="Porcentual 156 13 3" xfId="8576" xr:uid="{00000000-0005-0000-0000-0000641D0000}"/>
    <cellStyle name="Porcentual 156 14" xfId="2242" xr:uid="{00000000-0005-0000-0000-0000651D0000}"/>
    <cellStyle name="Porcentual 156 14 2" xfId="5904" xr:uid="{00000000-0005-0000-0000-0000661D0000}"/>
    <cellStyle name="Porcentual 156 14 3" xfId="8577" xr:uid="{00000000-0005-0000-0000-0000671D0000}"/>
    <cellStyle name="Porcentual 156 15" xfId="2243" xr:uid="{00000000-0005-0000-0000-0000681D0000}"/>
    <cellStyle name="Porcentual 156 15 2" xfId="5905" xr:uid="{00000000-0005-0000-0000-0000691D0000}"/>
    <cellStyle name="Porcentual 156 15 3" xfId="8578" xr:uid="{00000000-0005-0000-0000-00006A1D0000}"/>
    <cellStyle name="Porcentual 156 16" xfId="2244" xr:uid="{00000000-0005-0000-0000-00006B1D0000}"/>
    <cellStyle name="Porcentual 156 16 2" xfId="5906" xr:uid="{00000000-0005-0000-0000-00006C1D0000}"/>
    <cellStyle name="Porcentual 156 16 3" xfId="8579" xr:uid="{00000000-0005-0000-0000-00006D1D0000}"/>
    <cellStyle name="Porcentual 156 17" xfId="2245" xr:uid="{00000000-0005-0000-0000-00006E1D0000}"/>
    <cellStyle name="Porcentual 156 17 2" xfId="5907" xr:uid="{00000000-0005-0000-0000-00006F1D0000}"/>
    <cellStyle name="Porcentual 156 17 3" xfId="8580" xr:uid="{00000000-0005-0000-0000-0000701D0000}"/>
    <cellStyle name="Porcentual 156 18" xfId="2246" xr:uid="{00000000-0005-0000-0000-0000711D0000}"/>
    <cellStyle name="Porcentual 156 18 2" xfId="5908" xr:uid="{00000000-0005-0000-0000-0000721D0000}"/>
    <cellStyle name="Porcentual 156 18 3" xfId="8581" xr:uid="{00000000-0005-0000-0000-0000731D0000}"/>
    <cellStyle name="Porcentual 156 19" xfId="2247" xr:uid="{00000000-0005-0000-0000-0000741D0000}"/>
    <cellStyle name="Porcentual 156 19 2" xfId="5909" xr:uid="{00000000-0005-0000-0000-0000751D0000}"/>
    <cellStyle name="Porcentual 156 19 3" xfId="8582" xr:uid="{00000000-0005-0000-0000-0000761D0000}"/>
    <cellStyle name="Porcentual 156 2" xfId="2248" xr:uid="{00000000-0005-0000-0000-0000771D0000}"/>
    <cellStyle name="Porcentual 156 2 2" xfId="5910" xr:uid="{00000000-0005-0000-0000-0000781D0000}"/>
    <cellStyle name="Porcentual 156 2 3" xfId="8583" xr:uid="{00000000-0005-0000-0000-0000791D0000}"/>
    <cellStyle name="Porcentual 156 20" xfId="2249" xr:uid="{00000000-0005-0000-0000-00007A1D0000}"/>
    <cellStyle name="Porcentual 156 20 2" xfId="5911" xr:uid="{00000000-0005-0000-0000-00007B1D0000}"/>
    <cellStyle name="Porcentual 156 20 3" xfId="8584" xr:uid="{00000000-0005-0000-0000-00007C1D0000}"/>
    <cellStyle name="Porcentual 156 21" xfId="2250" xr:uid="{00000000-0005-0000-0000-00007D1D0000}"/>
    <cellStyle name="Porcentual 156 21 2" xfId="5912" xr:uid="{00000000-0005-0000-0000-00007E1D0000}"/>
    <cellStyle name="Porcentual 156 21 3" xfId="8585" xr:uid="{00000000-0005-0000-0000-00007F1D0000}"/>
    <cellStyle name="Porcentual 156 22" xfId="2251" xr:uid="{00000000-0005-0000-0000-0000801D0000}"/>
    <cellStyle name="Porcentual 156 22 2" xfId="5913" xr:uid="{00000000-0005-0000-0000-0000811D0000}"/>
    <cellStyle name="Porcentual 156 22 3" xfId="8586" xr:uid="{00000000-0005-0000-0000-0000821D0000}"/>
    <cellStyle name="Porcentual 156 23" xfId="2252" xr:uid="{00000000-0005-0000-0000-0000831D0000}"/>
    <cellStyle name="Porcentual 156 23 2" xfId="5914" xr:uid="{00000000-0005-0000-0000-0000841D0000}"/>
    <cellStyle name="Porcentual 156 23 3" xfId="8587" xr:uid="{00000000-0005-0000-0000-0000851D0000}"/>
    <cellStyle name="Porcentual 156 24" xfId="2253" xr:uid="{00000000-0005-0000-0000-0000861D0000}"/>
    <cellStyle name="Porcentual 156 24 2" xfId="5915" xr:uid="{00000000-0005-0000-0000-0000871D0000}"/>
    <cellStyle name="Porcentual 156 24 3" xfId="8588" xr:uid="{00000000-0005-0000-0000-0000881D0000}"/>
    <cellStyle name="Porcentual 156 25" xfId="2254" xr:uid="{00000000-0005-0000-0000-0000891D0000}"/>
    <cellStyle name="Porcentual 156 25 2" xfId="5916" xr:uid="{00000000-0005-0000-0000-00008A1D0000}"/>
    <cellStyle name="Porcentual 156 25 3" xfId="8589" xr:uid="{00000000-0005-0000-0000-00008B1D0000}"/>
    <cellStyle name="Porcentual 156 26" xfId="2255" xr:uid="{00000000-0005-0000-0000-00008C1D0000}"/>
    <cellStyle name="Porcentual 156 26 2" xfId="5917" xr:uid="{00000000-0005-0000-0000-00008D1D0000}"/>
    <cellStyle name="Porcentual 156 26 3" xfId="8590" xr:uid="{00000000-0005-0000-0000-00008E1D0000}"/>
    <cellStyle name="Porcentual 156 27" xfId="2256" xr:uid="{00000000-0005-0000-0000-00008F1D0000}"/>
    <cellStyle name="Porcentual 156 27 2" xfId="5918" xr:uid="{00000000-0005-0000-0000-0000901D0000}"/>
    <cellStyle name="Porcentual 156 27 3" xfId="8591" xr:uid="{00000000-0005-0000-0000-0000911D0000}"/>
    <cellStyle name="Porcentual 156 28" xfId="2257" xr:uid="{00000000-0005-0000-0000-0000921D0000}"/>
    <cellStyle name="Porcentual 156 28 2" xfId="5919" xr:uid="{00000000-0005-0000-0000-0000931D0000}"/>
    <cellStyle name="Porcentual 156 28 3" xfId="8592" xr:uid="{00000000-0005-0000-0000-0000941D0000}"/>
    <cellStyle name="Porcentual 156 3" xfId="2258" xr:uid="{00000000-0005-0000-0000-0000951D0000}"/>
    <cellStyle name="Porcentual 156 3 2" xfId="5920" xr:uid="{00000000-0005-0000-0000-0000961D0000}"/>
    <cellStyle name="Porcentual 156 3 3" xfId="8593" xr:uid="{00000000-0005-0000-0000-0000971D0000}"/>
    <cellStyle name="Porcentual 156 4" xfId="2259" xr:uid="{00000000-0005-0000-0000-0000981D0000}"/>
    <cellStyle name="Porcentual 156 4 2" xfId="5921" xr:uid="{00000000-0005-0000-0000-0000991D0000}"/>
    <cellStyle name="Porcentual 156 4 3" xfId="8594" xr:uid="{00000000-0005-0000-0000-00009A1D0000}"/>
    <cellStyle name="Porcentual 156 5" xfId="2260" xr:uid="{00000000-0005-0000-0000-00009B1D0000}"/>
    <cellStyle name="Porcentual 156 5 2" xfId="5922" xr:uid="{00000000-0005-0000-0000-00009C1D0000}"/>
    <cellStyle name="Porcentual 156 5 3" xfId="8595" xr:uid="{00000000-0005-0000-0000-00009D1D0000}"/>
    <cellStyle name="Porcentual 156 6" xfId="2261" xr:uid="{00000000-0005-0000-0000-00009E1D0000}"/>
    <cellStyle name="Porcentual 156 6 2" xfId="5923" xr:uid="{00000000-0005-0000-0000-00009F1D0000}"/>
    <cellStyle name="Porcentual 156 6 3" xfId="8596" xr:uid="{00000000-0005-0000-0000-0000A01D0000}"/>
    <cellStyle name="Porcentual 156 7" xfId="2262" xr:uid="{00000000-0005-0000-0000-0000A11D0000}"/>
    <cellStyle name="Porcentual 156 7 2" xfId="5924" xr:uid="{00000000-0005-0000-0000-0000A21D0000}"/>
    <cellStyle name="Porcentual 156 7 3" xfId="8597" xr:uid="{00000000-0005-0000-0000-0000A31D0000}"/>
    <cellStyle name="Porcentual 156 8" xfId="2263" xr:uid="{00000000-0005-0000-0000-0000A41D0000}"/>
    <cellStyle name="Porcentual 156 8 2" xfId="5925" xr:uid="{00000000-0005-0000-0000-0000A51D0000}"/>
    <cellStyle name="Porcentual 156 8 3" xfId="8598" xr:uid="{00000000-0005-0000-0000-0000A61D0000}"/>
    <cellStyle name="Porcentual 156 9" xfId="2264" xr:uid="{00000000-0005-0000-0000-0000A71D0000}"/>
    <cellStyle name="Porcentual 156 9 2" xfId="5926" xr:uid="{00000000-0005-0000-0000-0000A81D0000}"/>
    <cellStyle name="Porcentual 156 9 3" xfId="8599" xr:uid="{00000000-0005-0000-0000-0000A91D0000}"/>
    <cellStyle name="Porcentual 157 10" xfId="2265" xr:uid="{00000000-0005-0000-0000-0000AA1D0000}"/>
    <cellStyle name="Porcentual 157 10 2" xfId="5927" xr:uid="{00000000-0005-0000-0000-0000AB1D0000}"/>
    <cellStyle name="Porcentual 157 10 3" xfId="8600" xr:uid="{00000000-0005-0000-0000-0000AC1D0000}"/>
    <cellStyle name="Porcentual 157 11" xfId="2266" xr:uid="{00000000-0005-0000-0000-0000AD1D0000}"/>
    <cellStyle name="Porcentual 157 11 2" xfId="5928" xr:uid="{00000000-0005-0000-0000-0000AE1D0000}"/>
    <cellStyle name="Porcentual 157 11 3" xfId="8601" xr:uid="{00000000-0005-0000-0000-0000AF1D0000}"/>
    <cellStyle name="Porcentual 157 12" xfId="2267" xr:uid="{00000000-0005-0000-0000-0000B01D0000}"/>
    <cellStyle name="Porcentual 157 12 2" xfId="5929" xr:uid="{00000000-0005-0000-0000-0000B11D0000}"/>
    <cellStyle name="Porcentual 157 12 3" xfId="8602" xr:uid="{00000000-0005-0000-0000-0000B21D0000}"/>
    <cellStyle name="Porcentual 157 13" xfId="2268" xr:uid="{00000000-0005-0000-0000-0000B31D0000}"/>
    <cellStyle name="Porcentual 157 13 2" xfId="5930" xr:uid="{00000000-0005-0000-0000-0000B41D0000}"/>
    <cellStyle name="Porcentual 157 13 3" xfId="8603" xr:uid="{00000000-0005-0000-0000-0000B51D0000}"/>
    <cellStyle name="Porcentual 157 14" xfId="2269" xr:uid="{00000000-0005-0000-0000-0000B61D0000}"/>
    <cellStyle name="Porcentual 157 14 2" xfId="5931" xr:uid="{00000000-0005-0000-0000-0000B71D0000}"/>
    <cellStyle name="Porcentual 157 14 3" xfId="8604" xr:uid="{00000000-0005-0000-0000-0000B81D0000}"/>
    <cellStyle name="Porcentual 157 15" xfId="2270" xr:uid="{00000000-0005-0000-0000-0000B91D0000}"/>
    <cellStyle name="Porcentual 157 15 2" xfId="5932" xr:uid="{00000000-0005-0000-0000-0000BA1D0000}"/>
    <cellStyle name="Porcentual 157 15 3" xfId="8605" xr:uid="{00000000-0005-0000-0000-0000BB1D0000}"/>
    <cellStyle name="Porcentual 157 16" xfId="2271" xr:uid="{00000000-0005-0000-0000-0000BC1D0000}"/>
    <cellStyle name="Porcentual 157 16 2" xfId="5933" xr:uid="{00000000-0005-0000-0000-0000BD1D0000}"/>
    <cellStyle name="Porcentual 157 16 3" xfId="8606" xr:uid="{00000000-0005-0000-0000-0000BE1D0000}"/>
    <cellStyle name="Porcentual 157 17" xfId="2272" xr:uid="{00000000-0005-0000-0000-0000BF1D0000}"/>
    <cellStyle name="Porcentual 157 17 2" xfId="5934" xr:uid="{00000000-0005-0000-0000-0000C01D0000}"/>
    <cellStyle name="Porcentual 157 17 3" xfId="8607" xr:uid="{00000000-0005-0000-0000-0000C11D0000}"/>
    <cellStyle name="Porcentual 157 18" xfId="2273" xr:uid="{00000000-0005-0000-0000-0000C21D0000}"/>
    <cellStyle name="Porcentual 157 18 2" xfId="5935" xr:uid="{00000000-0005-0000-0000-0000C31D0000}"/>
    <cellStyle name="Porcentual 157 18 3" xfId="8608" xr:uid="{00000000-0005-0000-0000-0000C41D0000}"/>
    <cellStyle name="Porcentual 157 19" xfId="2274" xr:uid="{00000000-0005-0000-0000-0000C51D0000}"/>
    <cellStyle name="Porcentual 157 19 2" xfId="5936" xr:uid="{00000000-0005-0000-0000-0000C61D0000}"/>
    <cellStyle name="Porcentual 157 19 3" xfId="8609" xr:uid="{00000000-0005-0000-0000-0000C71D0000}"/>
    <cellStyle name="Porcentual 157 2" xfId="2275" xr:uid="{00000000-0005-0000-0000-0000C81D0000}"/>
    <cellStyle name="Porcentual 157 2 2" xfId="5937" xr:uid="{00000000-0005-0000-0000-0000C91D0000}"/>
    <cellStyle name="Porcentual 157 2 3" xfId="8610" xr:uid="{00000000-0005-0000-0000-0000CA1D0000}"/>
    <cellStyle name="Porcentual 157 20" xfId="2276" xr:uid="{00000000-0005-0000-0000-0000CB1D0000}"/>
    <cellStyle name="Porcentual 157 20 2" xfId="5938" xr:uid="{00000000-0005-0000-0000-0000CC1D0000}"/>
    <cellStyle name="Porcentual 157 20 3" xfId="8611" xr:uid="{00000000-0005-0000-0000-0000CD1D0000}"/>
    <cellStyle name="Porcentual 157 21" xfId="2277" xr:uid="{00000000-0005-0000-0000-0000CE1D0000}"/>
    <cellStyle name="Porcentual 157 21 2" xfId="5939" xr:uid="{00000000-0005-0000-0000-0000CF1D0000}"/>
    <cellStyle name="Porcentual 157 21 3" xfId="8612" xr:uid="{00000000-0005-0000-0000-0000D01D0000}"/>
    <cellStyle name="Porcentual 157 22" xfId="2278" xr:uid="{00000000-0005-0000-0000-0000D11D0000}"/>
    <cellStyle name="Porcentual 157 22 2" xfId="5940" xr:uid="{00000000-0005-0000-0000-0000D21D0000}"/>
    <cellStyle name="Porcentual 157 22 3" xfId="8613" xr:uid="{00000000-0005-0000-0000-0000D31D0000}"/>
    <cellStyle name="Porcentual 157 23" xfId="2279" xr:uid="{00000000-0005-0000-0000-0000D41D0000}"/>
    <cellStyle name="Porcentual 157 23 2" xfId="5941" xr:uid="{00000000-0005-0000-0000-0000D51D0000}"/>
    <cellStyle name="Porcentual 157 23 3" xfId="8614" xr:uid="{00000000-0005-0000-0000-0000D61D0000}"/>
    <cellStyle name="Porcentual 157 24" xfId="2280" xr:uid="{00000000-0005-0000-0000-0000D71D0000}"/>
    <cellStyle name="Porcentual 157 24 2" xfId="5942" xr:uid="{00000000-0005-0000-0000-0000D81D0000}"/>
    <cellStyle name="Porcentual 157 24 3" xfId="8615" xr:uid="{00000000-0005-0000-0000-0000D91D0000}"/>
    <cellStyle name="Porcentual 157 25" xfId="2281" xr:uid="{00000000-0005-0000-0000-0000DA1D0000}"/>
    <cellStyle name="Porcentual 157 25 2" xfId="5943" xr:uid="{00000000-0005-0000-0000-0000DB1D0000}"/>
    <cellStyle name="Porcentual 157 25 3" xfId="8616" xr:uid="{00000000-0005-0000-0000-0000DC1D0000}"/>
    <cellStyle name="Porcentual 157 26" xfId="2282" xr:uid="{00000000-0005-0000-0000-0000DD1D0000}"/>
    <cellStyle name="Porcentual 157 26 2" xfId="5944" xr:uid="{00000000-0005-0000-0000-0000DE1D0000}"/>
    <cellStyle name="Porcentual 157 26 3" xfId="8617" xr:uid="{00000000-0005-0000-0000-0000DF1D0000}"/>
    <cellStyle name="Porcentual 157 27" xfId="2283" xr:uid="{00000000-0005-0000-0000-0000E01D0000}"/>
    <cellStyle name="Porcentual 157 27 2" xfId="5945" xr:uid="{00000000-0005-0000-0000-0000E11D0000}"/>
    <cellStyle name="Porcentual 157 27 3" xfId="8618" xr:uid="{00000000-0005-0000-0000-0000E21D0000}"/>
    <cellStyle name="Porcentual 157 28" xfId="2284" xr:uid="{00000000-0005-0000-0000-0000E31D0000}"/>
    <cellStyle name="Porcentual 157 28 2" xfId="5946" xr:uid="{00000000-0005-0000-0000-0000E41D0000}"/>
    <cellStyle name="Porcentual 157 28 3" xfId="8619" xr:uid="{00000000-0005-0000-0000-0000E51D0000}"/>
    <cellStyle name="Porcentual 157 3" xfId="2285" xr:uid="{00000000-0005-0000-0000-0000E61D0000}"/>
    <cellStyle name="Porcentual 157 3 2" xfId="5947" xr:uid="{00000000-0005-0000-0000-0000E71D0000}"/>
    <cellStyle name="Porcentual 157 3 3" xfId="8620" xr:uid="{00000000-0005-0000-0000-0000E81D0000}"/>
    <cellStyle name="Porcentual 157 4" xfId="2286" xr:uid="{00000000-0005-0000-0000-0000E91D0000}"/>
    <cellStyle name="Porcentual 157 4 2" xfId="5948" xr:uid="{00000000-0005-0000-0000-0000EA1D0000}"/>
    <cellStyle name="Porcentual 157 4 3" xfId="8621" xr:uid="{00000000-0005-0000-0000-0000EB1D0000}"/>
    <cellStyle name="Porcentual 157 5" xfId="2287" xr:uid="{00000000-0005-0000-0000-0000EC1D0000}"/>
    <cellStyle name="Porcentual 157 5 2" xfId="5949" xr:uid="{00000000-0005-0000-0000-0000ED1D0000}"/>
    <cellStyle name="Porcentual 157 5 3" xfId="8622" xr:uid="{00000000-0005-0000-0000-0000EE1D0000}"/>
    <cellStyle name="Porcentual 157 6" xfId="2288" xr:uid="{00000000-0005-0000-0000-0000EF1D0000}"/>
    <cellStyle name="Porcentual 157 6 2" xfId="5950" xr:uid="{00000000-0005-0000-0000-0000F01D0000}"/>
    <cellStyle name="Porcentual 157 6 3" xfId="8623" xr:uid="{00000000-0005-0000-0000-0000F11D0000}"/>
    <cellStyle name="Porcentual 157 7" xfId="2289" xr:uid="{00000000-0005-0000-0000-0000F21D0000}"/>
    <cellStyle name="Porcentual 157 7 2" xfId="5951" xr:uid="{00000000-0005-0000-0000-0000F31D0000}"/>
    <cellStyle name="Porcentual 157 7 3" xfId="8624" xr:uid="{00000000-0005-0000-0000-0000F41D0000}"/>
    <cellStyle name="Porcentual 157 8" xfId="2290" xr:uid="{00000000-0005-0000-0000-0000F51D0000}"/>
    <cellStyle name="Porcentual 157 8 2" xfId="5952" xr:uid="{00000000-0005-0000-0000-0000F61D0000}"/>
    <cellStyle name="Porcentual 157 8 3" xfId="8625" xr:uid="{00000000-0005-0000-0000-0000F71D0000}"/>
    <cellStyle name="Porcentual 157 9" xfId="2291" xr:uid="{00000000-0005-0000-0000-0000F81D0000}"/>
    <cellStyle name="Porcentual 157 9 2" xfId="5953" xr:uid="{00000000-0005-0000-0000-0000F91D0000}"/>
    <cellStyle name="Porcentual 157 9 3" xfId="8626" xr:uid="{00000000-0005-0000-0000-0000FA1D0000}"/>
    <cellStyle name="Porcentual 16" xfId="2292" xr:uid="{00000000-0005-0000-0000-0000FB1D0000}"/>
    <cellStyle name="Porcentual 16 10" xfId="2293" xr:uid="{00000000-0005-0000-0000-0000FC1D0000}"/>
    <cellStyle name="Porcentual 16 10 2" xfId="5954" xr:uid="{00000000-0005-0000-0000-0000FD1D0000}"/>
    <cellStyle name="Porcentual 16 10 3" xfId="8628" xr:uid="{00000000-0005-0000-0000-0000FE1D0000}"/>
    <cellStyle name="Porcentual 16 11" xfId="2294" xr:uid="{00000000-0005-0000-0000-0000FF1D0000}"/>
    <cellStyle name="Porcentual 16 11 2" xfId="5955" xr:uid="{00000000-0005-0000-0000-0000001E0000}"/>
    <cellStyle name="Porcentual 16 11 3" xfId="8629" xr:uid="{00000000-0005-0000-0000-0000011E0000}"/>
    <cellStyle name="Porcentual 16 12" xfId="2295" xr:uid="{00000000-0005-0000-0000-0000021E0000}"/>
    <cellStyle name="Porcentual 16 12 2" xfId="5956" xr:uid="{00000000-0005-0000-0000-0000031E0000}"/>
    <cellStyle name="Porcentual 16 12 3" xfId="8630" xr:uid="{00000000-0005-0000-0000-0000041E0000}"/>
    <cellStyle name="Porcentual 16 13" xfId="2296" xr:uid="{00000000-0005-0000-0000-0000051E0000}"/>
    <cellStyle name="Porcentual 16 13 2" xfId="5957" xr:uid="{00000000-0005-0000-0000-0000061E0000}"/>
    <cellStyle name="Porcentual 16 13 3" xfId="8631" xr:uid="{00000000-0005-0000-0000-0000071E0000}"/>
    <cellStyle name="Porcentual 16 14" xfId="2297" xr:uid="{00000000-0005-0000-0000-0000081E0000}"/>
    <cellStyle name="Porcentual 16 14 2" xfId="5958" xr:uid="{00000000-0005-0000-0000-0000091E0000}"/>
    <cellStyle name="Porcentual 16 14 3" xfId="8632" xr:uid="{00000000-0005-0000-0000-00000A1E0000}"/>
    <cellStyle name="Porcentual 16 15" xfId="2298" xr:uid="{00000000-0005-0000-0000-00000B1E0000}"/>
    <cellStyle name="Porcentual 16 15 2" xfId="5959" xr:uid="{00000000-0005-0000-0000-00000C1E0000}"/>
    <cellStyle name="Porcentual 16 15 3" xfId="8633" xr:uid="{00000000-0005-0000-0000-00000D1E0000}"/>
    <cellStyle name="Porcentual 16 16" xfId="2299" xr:uid="{00000000-0005-0000-0000-00000E1E0000}"/>
    <cellStyle name="Porcentual 16 16 2" xfId="5960" xr:uid="{00000000-0005-0000-0000-00000F1E0000}"/>
    <cellStyle name="Porcentual 16 16 3" xfId="8634" xr:uid="{00000000-0005-0000-0000-0000101E0000}"/>
    <cellStyle name="Porcentual 16 17" xfId="2300" xr:uid="{00000000-0005-0000-0000-0000111E0000}"/>
    <cellStyle name="Porcentual 16 17 2" xfId="5961" xr:uid="{00000000-0005-0000-0000-0000121E0000}"/>
    <cellStyle name="Porcentual 16 17 3" xfId="8635" xr:uid="{00000000-0005-0000-0000-0000131E0000}"/>
    <cellStyle name="Porcentual 16 18" xfId="2301" xr:uid="{00000000-0005-0000-0000-0000141E0000}"/>
    <cellStyle name="Porcentual 16 18 2" xfId="5962" xr:uid="{00000000-0005-0000-0000-0000151E0000}"/>
    <cellStyle name="Porcentual 16 18 3" xfId="8636" xr:uid="{00000000-0005-0000-0000-0000161E0000}"/>
    <cellStyle name="Porcentual 16 19" xfId="2302" xr:uid="{00000000-0005-0000-0000-0000171E0000}"/>
    <cellStyle name="Porcentual 16 19 2" xfId="5963" xr:uid="{00000000-0005-0000-0000-0000181E0000}"/>
    <cellStyle name="Porcentual 16 19 3" xfId="8637" xr:uid="{00000000-0005-0000-0000-0000191E0000}"/>
    <cellStyle name="Porcentual 16 2" xfId="2303" xr:uid="{00000000-0005-0000-0000-00001A1E0000}"/>
    <cellStyle name="Porcentual 16 2 2" xfId="5964" xr:uid="{00000000-0005-0000-0000-00001B1E0000}"/>
    <cellStyle name="Porcentual 16 2 3" xfId="8638" xr:uid="{00000000-0005-0000-0000-00001C1E0000}"/>
    <cellStyle name="Porcentual 16 20" xfId="2304" xr:uid="{00000000-0005-0000-0000-00001D1E0000}"/>
    <cellStyle name="Porcentual 16 20 2" xfId="5965" xr:uid="{00000000-0005-0000-0000-00001E1E0000}"/>
    <cellStyle name="Porcentual 16 20 3" xfId="8639" xr:uid="{00000000-0005-0000-0000-00001F1E0000}"/>
    <cellStyle name="Porcentual 16 21" xfId="2305" xr:uid="{00000000-0005-0000-0000-0000201E0000}"/>
    <cellStyle name="Porcentual 16 21 2" xfId="5966" xr:uid="{00000000-0005-0000-0000-0000211E0000}"/>
    <cellStyle name="Porcentual 16 21 3" xfId="8640" xr:uid="{00000000-0005-0000-0000-0000221E0000}"/>
    <cellStyle name="Porcentual 16 22" xfId="2306" xr:uid="{00000000-0005-0000-0000-0000231E0000}"/>
    <cellStyle name="Porcentual 16 22 2" xfId="5967" xr:uid="{00000000-0005-0000-0000-0000241E0000}"/>
    <cellStyle name="Porcentual 16 22 3" xfId="8641" xr:uid="{00000000-0005-0000-0000-0000251E0000}"/>
    <cellStyle name="Porcentual 16 23" xfId="2307" xr:uid="{00000000-0005-0000-0000-0000261E0000}"/>
    <cellStyle name="Porcentual 16 23 2" xfId="5968" xr:uid="{00000000-0005-0000-0000-0000271E0000}"/>
    <cellStyle name="Porcentual 16 23 3" xfId="8642" xr:uid="{00000000-0005-0000-0000-0000281E0000}"/>
    <cellStyle name="Porcentual 16 24" xfId="2308" xr:uid="{00000000-0005-0000-0000-0000291E0000}"/>
    <cellStyle name="Porcentual 16 24 2" xfId="5969" xr:uid="{00000000-0005-0000-0000-00002A1E0000}"/>
    <cellStyle name="Porcentual 16 24 3" xfId="8643" xr:uid="{00000000-0005-0000-0000-00002B1E0000}"/>
    <cellStyle name="Porcentual 16 25" xfId="2309" xr:uid="{00000000-0005-0000-0000-00002C1E0000}"/>
    <cellStyle name="Porcentual 16 25 2" xfId="5970" xr:uid="{00000000-0005-0000-0000-00002D1E0000}"/>
    <cellStyle name="Porcentual 16 25 3" xfId="8644" xr:uid="{00000000-0005-0000-0000-00002E1E0000}"/>
    <cellStyle name="Porcentual 16 26" xfId="2310" xr:uid="{00000000-0005-0000-0000-00002F1E0000}"/>
    <cellStyle name="Porcentual 16 26 2" xfId="5971" xr:uid="{00000000-0005-0000-0000-0000301E0000}"/>
    <cellStyle name="Porcentual 16 26 3" xfId="8645" xr:uid="{00000000-0005-0000-0000-0000311E0000}"/>
    <cellStyle name="Porcentual 16 27" xfId="2311" xr:uid="{00000000-0005-0000-0000-0000321E0000}"/>
    <cellStyle name="Porcentual 16 27 2" xfId="5972" xr:uid="{00000000-0005-0000-0000-0000331E0000}"/>
    <cellStyle name="Porcentual 16 27 3" xfId="8646" xr:uid="{00000000-0005-0000-0000-0000341E0000}"/>
    <cellStyle name="Porcentual 16 28" xfId="2312" xr:uid="{00000000-0005-0000-0000-0000351E0000}"/>
    <cellStyle name="Porcentual 16 28 2" xfId="5973" xr:uid="{00000000-0005-0000-0000-0000361E0000}"/>
    <cellStyle name="Porcentual 16 28 3" xfId="8647" xr:uid="{00000000-0005-0000-0000-0000371E0000}"/>
    <cellStyle name="Porcentual 16 29" xfId="5974" xr:uid="{00000000-0005-0000-0000-0000381E0000}"/>
    <cellStyle name="Porcentual 16 3" xfId="2313" xr:uid="{00000000-0005-0000-0000-0000391E0000}"/>
    <cellStyle name="Porcentual 16 3 2" xfId="5975" xr:uid="{00000000-0005-0000-0000-00003A1E0000}"/>
    <cellStyle name="Porcentual 16 3 3" xfId="8648" xr:uid="{00000000-0005-0000-0000-00003B1E0000}"/>
    <cellStyle name="Porcentual 16 30" xfId="8627" xr:uid="{00000000-0005-0000-0000-00003C1E0000}"/>
    <cellStyle name="Porcentual 16 4" xfId="2314" xr:uid="{00000000-0005-0000-0000-00003D1E0000}"/>
    <cellStyle name="Porcentual 16 4 2" xfId="5976" xr:uid="{00000000-0005-0000-0000-00003E1E0000}"/>
    <cellStyle name="Porcentual 16 4 3" xfId="8649" xr:uid="{00000000-0005-0000-0000-00003F1E0000}"/>
    <cellStyle name="Porcentual 16 5" xfId="2315" xr:uid="{00000000-0005-0000-0000-0000401E0000}"/>
    <cellStyle name="Porcentual 16 5 2" xfId="5977" xr:uid="{00000000-0005-0000-0000-0000411E0000}"/>
    <cellStyle name="Porcentual 16 5 3" xfId="8650" xr:uid="{00000000-0005-0000-0000-0000421E0000}"/>
    <cellStyle name="Porcentual 16 6" xfId="2316" xr:uid="{00000000-0005-0000-0000-0000431E0000}"/>
    <cellStyle name="Porcentual 16 6 2" xfId="5978" xr:uid="{00000000-0005-0000-0000-0000441E0000}"/>
    <cellStyle name="Porcentual 16 6 3" xfId="8651" xr:uid="{00000000-0005-0000-0000-0000451E0000}"/>
    <cellStyle name="Porcentual 16 7" xfId="2317" xr:uid="{00000000-0005-0000-0000-0000461E0000}"/>
    <cellStyle name="Porcentual 16 7 2" xfId="5979" xr:uid="{00000000-0005-0000-0000-0000471E0000}"/>
    <cellStyle name="Porcentual 16 7 3" xfId="8652" xr:uid="{00000000-0005-0000-0000-0000481E0000}"/>
    <cellStyle name="Porcentual 16 8" xfId="2318" xr:uid="{00000000-0005-0000-0000-0000491E0000}"/>
    <cellStyle name="Porcentual 16 8 2" xfId="5980" xr:uid="{00000000-0005-0000-0000-00004A1E0000}"/>
    <cellStyle name="Porcentual 16 8 3" xfId="8653" xr:uid="{00000000-0005-0000-0000-00004B1E0000}"/>
    <cellStyle name="Porcentual 16 9" xfId="2319" xr:uid="{00000000-0005-0000-0000-00004C1E0000}"/>
    <cellStyle name="Porcentual 16 9 2" xfId="5981" xr:uid="{00000000-0005-0000-0000-00004D1E0000}"/>
    <cellStyle name="Porcentual 16 9 3" xfId="8654" xr:uid="{00000000-0005-0000-0000-00004E1E0000}"/>
    <cellStyle name="Porcentual 17" xfId="2320" xr:uid="{00000000-0005-0000-0000-00004F1E0000}"/>
    <cellStyle name="Porcentual 17 10" xfId="2321" xr:uid="{00000000-0005-0000-0000-0000501E0000}"/>
    <cellStyle name="Porcentual 17 10 2" xfId="5982" xr:uid="{00000000-0005-0000-0000-0000511E0000}"/>
    <cellStyle name="Porcentual 17 10 3" xfId="8656" xr:uid="{00000000-0005-0000-0000-0000521E0000}"/>
    <cellStyle name="Porcentual 17 11" xfId="2322" xr:uid="{00000000-0005-0000-0000-0000531E0000}"/>
    <cellStyle name="Porcentual 17 11 2" xfId="5983" xr:uid="{00000000-0005-0000-0000-0000541E0000}"/>
    <cellStyle name="Porcentual 17 11 3" xfId="8657" xr:uid="{00000000-0005-0000-0000-0000551E0000}"/>
    <cellStyle name="Porcentual 17 12" xfId="2323" xr:uid="{00000000-0005-0000-0000-0000561E0000}"/>
    <cellStyle name="Porcentual 17 12 2" xfId="5984" xr:uid="{00000000-0005-0000-0000-0000571E0000}"/>
    <cellStyle name="Porcentual 17 12 3" xfId="8658" xr:uid="{00000000-0005-0000-0000-0000581E0000}"/>
    <cellStyle name="Porcentual 17 13" xfId="2324" xr:uid="{00000000-0005-0000-0000-0000591E0000}"/>
    <cellStyle name="Porcentual 17 13 2" xfId="5985" xr:uid="{00000000-0005-0000-0000-00005A1E0000}"/>
    <cellStyle name="Porcentual 17 13 3" xfId="8659" xr:uid="{00000000-0005-0000-0000-00005B1E0000}"/>
    <cellStyle name="Porcentual 17 14" xfId="2325" xr:uid="{00000000-0005-0000-0000-00005C1E0000}"/>
    <cellStyle name="Porcentual 17 14 2" xfId="5986" xr:uid="{00000000-0005-0000-0000-00005D1E0000}"/>
    <cellStyle name="Porcentual 17 14 3" xfId="8660" xr:uid="{00000000-0005-0000-0000-00005E1E0000}"/>
    <cellStyle name="Porcentual 17 15" xfId="2326" xr:uid="{00000000-0005-0000-0000-00005F1E0000}"/>
    <cellStyle name="Porcentual 17 15 2" xfId="5987" xr:uid="{00000000-0005-0000-0000-0000601E0000}"/>
    <cellStyle name="Porcentual 17 15 3" xfId="8661" xr:uid="{00000000-0005-0000-0000-0000611E0000}"/>
    <cellStyle name="Porcentual 17 16" xfId="2327" xr:uid="{00000000-0005-0000-0000-0000621E0000}"/>
    <cellStyle name="Porcentual 17 16 2" xfId="5988" xr:uid="{00000000-0005-0000-0000-0000631E0000}"/>
    <cellStyle name="Porcentual 17 16 3" xfId="8662" xr:uid="{00000000-0005-0000-0000-0000641E0000}"/>
    <cellStyle name="Porcentual 17 17" xfId="2328" xr:uid="{00000000-0005-0000-0000-0000651E0000}"/>
    <cellStyle name="Porcentual 17 17 2" xfId="5989" xr:uid="{00000000-0005-0000-0000-0000661E0000}"/>
    <cellStyle name="Porcentual 17 17 3" xfId="8663" xr:uid="{00000000-0005-0000-0000-0000671E0000}"/>
    <cellStyle name="Porcentual 17 18" xfId="2329" xr:uid="{00000000-0005-0000-0000-0000681E0000}"/>
    <cellStyle name="Porcentual 17 18 2" xfId="5990" xr:uid="{00000000-0005-0000-0000-0000691E0000}"/>
    <cellStyle name="Porcentual 17 18 3" xfId="8664" xr:uid="{00000000-0005-0000-0000-00006A1E0000}"/>
    <cellStyle name="Porcentual 17 19" xfId="2330" xr:uid="{00000000-0005-0000-0000-00006B1E0000}"/>
    <cellStyle name="Porcentual 17 19 2" xfId="5991" xr:uid="{00000000-0005-0000-0000-00006C1E0000}"/>
    <cellStyle name="Porcentual 17 19 3" xfId="8665" xr:uid="{00000000-0005-0000-0000-00006D1E0000}"/>
    <cellStyle name="Porcentual 17 2" xfId="2331" xr:uid="{00000000-0005-0000-0000-00006E1E0000}"/>
    <cellStyle name="Porcentual 17 2 2" xfId="5992" xr:uid="{00000000-0005-0000-0000-00006F1E0000}"/>
    <cellStyle name="Porcentual 17 2 3" xfId="8666" xr:uid="{00000000-0005-0000-0000-0000701E0000}"/>
    <cellStyle name="Porcentual 17 20" xfId="2332" xr:uid="{00000000-0005-0000-0000-0000711E0000}"/>
    <cellStyle name="Porcentual 17 20 2" xfId="5993" xr:uid="{00000000-0005-0000-0000-0000721E0000}"/>
    <cellStyle name="Porcentual 17 20 3" xfId="8667" xr:uid="{00000000-0005-0000-0000-0000731E0000}"/>
    <cellStyle name="Porcentual 17 21" xfId="2333" xr:uid="{00000000-0005-0000-0000-0000741E0000}"/>
    <cellStyle name="Porcentual 17 21 2" xfId="5994" xr:uid="{00000000-0005-0000-0000-0000751E0000}"/>
    <cellStyle name="Porcentual 17 21 3" xfId="8668" xr:uid="{00000000-0005-0000-0000-0000761E0000}"/>
    <cellStyle name="Porcentual 17 22" xfId="2334" xr:uid="{00000000-0005-0000-0000-0000771E0000}"/>
    <cellStyle name="Porcentual 17 22 2" xfId="5995" xr:uid="{00000000-0005-0000-0000-0000781E0000}"/>
    <cellStyle name="Porcentual 17 22 3" xfId="8669" xr:uid="{00000000-0005-0000-0000-0000791E0000}"/>
    <cellStyle name="Porcentual 17 23" xfId="2335" xr:uid="{00000000-0005-0000-0000-00007A1E0000}"/>
    <cellStyle name="Porcentual 17 23 2" xfId="5996" xr:uid="{00000000-0005-0000-0000-00007B1E0000}"/>
    <cellStyle name="Porcentual 17 23 3" xfId="8670" xr:uid="{00000000-0005-0000-0000-00007C1E0000}"/>
    <cellStyle name="Porcentual 17 24" xfId="2336" xr:uid="{00000000-0005-0000-0000-00007D1E0000}"/>
    <cellStyle name="Porcentual 17 24 2" xfId="5997" xr:uid="{00000000-0005-0000-0000-00007E1E0000}"/>
    <cellStyle name="Porcentual 17 24 3" xfId="8671" xr:uid="{00000000-0005-0000-0000-00007F1E0000}"/>
    <cellStyle name="Porcentual 17 25" xfId="2337" xr:uid="{00000000-0005-0000-0000-0000801E0000}"/>
    <cellStyle name="Porcentual 17 25 2" xfId="5998" xr:uid="{00000000-0005-0000-0000-0000811E0000}"/>
    <cellStyle name="Porcentual 17 25 3" xfId="8672" xr:uid="{00000000-0005-0000-0000-0000821E0000}"/>
    <cellStyle name="Porcentual 17 26" xfId="2338" xr:uid="{00000000-0005-0000-0000-0000831E0000}"/>
    <cellStyle name="Porcentual 17 26 2" xfId="5999" xr:uid="{00000000-0005-0000-0000-0000841E0000}"/>
    <cellStyle name="Porcentual 17 26 3" xfId="8673" xr:uid="{00000000-0005-0000-0000-0000851E0000}"/>
    <cellStyle name="Porcentual 17 27" xfId="2339" xr:uid="{00000000-0005-0000-0000-0000861E0000}"/>
    <cellStyle name="Porcentual 17 27 2" xfId="6000" xr:uid="{00000000-0005-0000-0000-0000871E0000}"/>
    <cellStyle name="Porcentual 17 27 3" xfId="8674" xr:uid="{00000000-0005-0000-0000-0000881E0000}"/>
    <cellStyle name="Porcentual 17 28" xfId="2340" xr:uid="{00000000-0005-0000-0000-0000891E0000}"/>
    <cellStyle name="Porcentual 17 28 2" xfId="6001" xr:uid="{00000000-0005-0000-0000-00008A1E0000}"/>
    <cellStyle name="Porcentual 17 28 3" xfId="8675" xr:uid="{00000000-0005-0000-0000-00008B1E0000}"/>
    <cellStyle name="Porcentual 17 29" xfId="6002" xr:uid="{00000000-0005-0000-0000-00008C1E0000}"/>
    <cellStyle name="Porcentual 17 3" xfId="2341" xr:uid="{00000000-0005-0000-0000-00008D1E0000}"/>
    <cellStyle name="Porcentual 17 3 2" xfId="6003" xr:uid="{00000000-0005-0000-0000-00008E1E0000}"/>
    <cellStyle name="Porcentual 17 3 3" xfId="8676" xr:uid="{00000000-0005-0000-0000-00008F1E0000}"/>
    <cellStyle name="Porcentual 17 30" xfId="8655" xr:uid="{00000000-0005-0000-0000-0000901E0000}"/>
    <cellStyle name="Porcentual 17 4" xfId="2342" xr:uid="{00000000-0005-0000-0000-0000911E0000}"/>
    <cellStyle name="Porcentual 17 4 2" xfId="6004" xr:uid="{00000000-0005-0000-0000-0000921E0000}"/>
    <cellStyle name="Porcentual 17 4 3" xfId="8677" xr:uid="{00000000-0005-0000-0000-0000931E0000}"/>
    <cellStyle name="Porcentual 17 5" xfId="2343" xr:uid="{00000000-0005-0000-0000-0000941E0000}"/>
    <cellStyle name="Porcentual 17 5 2" xfId="6005" xr:uid="{00000000-0005-0000-0000-0000951E0000}"/>
    <cellStyle name="Porcentual 17 5 3" xfId="8678" xr:uid="{00000000-0005-0000-0000-0000961E0000}"/>
    <cellStyle name="Porcentual 17 6" xfId="2344" xr:uid="{00000000-0005-0000-0000-0000971E0000}"/>
    <cellStyle name="Porcentual 17 6 2" xfId="6006" xr:uid="{00000000-0005-0000-0000-0000981E0000}"/>
    <cellStyle name="Porcentual 17 6 3" xfId="8679" xr:uid="{00000000-0005-0000-0000-0000991E0000}"/>
    <cellStyle name="Porcentual 17 7" xfId="2345" xr:uid="{00000000-0005-0000-0000-00009A1E0000}"/>
    <cellStyle name="Porcentual 17 7 2" xfId="6007" xr:uid="{00000000-0005-0000-0000-00009B1E0000}"/>
    <cellStyle name="Porcentual 17 7 3" xfId="8680" xr:uid="{00000000-0005-0000-0000-00009C1E0000}"/>
    <cellStyle name="Porcentual 17 8" xfId="2346" xr:uid="{00000000-0005-0000-0000-00009D1E0000}"/>
    <cellStyle name="Porcentual 17 8 2" xfId="6008" xr:uid="{00000000-0005-0000-0000-00009E1E0000}"/>
    <cellStyle name="Porcentual 17 8 3" xfId="8681" xr:uid="{00000000-0005-0000-0000-00009F1E0000}"/>
    <cellStyle name="Porcentual 17 9" xfId="2347" xr:uid="{00000000-0005-0000-0000-0000A01E0000}"/>
    <cellStyle name="Porcentual 17 9 2" xfId="6009" xr:uid="{00000000-0005-0000-0000-0000A11E0000}"/>
    <cellStyle name="Porcentual 17 9 3" xfId="8682" xr:uid="{00000000-0005-0000-0000-0000A21E0000}"/>
    <cellStyle name="Porcentual 18" xfId="2348" xr:uid="{00000000-0005-0000-0000-0000A31E0000}"/>
    <cellStyle name="Porcentual 18 10" xfId="2349" xr:uid="{00000000-0005-0000-0000-0000A41E0000}"/>
    <cellStyle name="Porcentual 18 10 2" xfId="6010" xr:uid="{00000000-0005-0000-0000-0000A51E0000}"/>
    <cellStyle name="Porcentual 18 10 3" xfId="8684" xr:uid="{00000000-0005-0000-0000-0000A61E0000}"/>
    <cellStyle name="Porcentual 18 11" xfId="2350" xr:uid="{00000000-0005-0000-0000-0000A71E0000}"/>
    <cellStyle name="Porcentual 18 11 2" xfId="6011" xr:uid="{00000000-0005-0000-0000-0000A81E0000}"/>
    <cellStyle name="Porcentual 18 11 3" xfId="8685" xr:uid="{00000000-0005-0000-0000-0000A91E0000}"/>
    <cellStyle name="Porcentual 18 12" xfId="2351" xr:uid="{00000000-0005-0000-0000-0000AA1E0000}"/>
    <cellStyle name="Porcentual 18 12 2" xfId="6012" xr:uid="{00000000-0005-0000-0000-0000AB1E0000}"/>
    <cellStyle name="Porcentual 18 12 3" xfId="8686" xr:uid="{00000000-0005-0000-0000-0000AC1E0000}"/>
    <cellStyle name="Porcentual 18 13" xfId="2352" xr:uid="{00000000-0005-0000-0000-0000AD1E0000}"/>
    <cellStyle name="Porcentual 18 13 2" xfId="6013" xr:uid="{00000000-0005-0000-0000-0000AE1E0000}"/>
    <cellStyle name="Porcentual 18 13 3" xfId="8687" xr:uid="{00000000-0005-0000-0000-0000AF1E0000}"/>
    <cellStyle name="Porcentual 18 14" xfId="2353" xr:uid="{00000000-0005-0000-0000-0000B01E0000}"/>
    <cellStyle name="Porcentual 18 14 2" xfId="6014" xr:uid="{00000000-0005-0000-0000-0000B11E0000}"/>
    <cellStyle name="Porcentual 18 14 3" xfId="8688" xr:uid="{00000000-0005-0000-0000-0000B21E0000}"/>
    <cellStyle name="Porcentual 18 15" xfId="2354" xr:uid="{00000000-0005-0000-0000-0000B31E0000}"/>
    <cellStyle name="Porcentual 18 15 2" xfId="6015" xr:uid="{00000000-0005-0000-0000-0000B41E0000}"/>
    <cellStyle name="Porcentual 18 15 3" xfId="8689" xr:uid="{00000000-0005-0000-0000-0000B51E0000}"/>
    <cellStyle name="Porcentual 18 16" xfId="2355" xr:uid="{00000000-0005-0000-0000-0000B61E0000}"/>
    <cellStyle name="Porcentual 18 16 2" xfId="6016" xr:uid="{00000000-0005-0000-0000-0000B71E0000}"/>
    <cellStyle name="Porcentual 18 16 3" xfId="8690" xr:uid="{00000000-0005-0000-0000-0000B81E0000}"/>
    <cellStyle name="Porcentual 18 17" xfId="2356" xr:uid="{00000000-0005-0000-0000-0000B91E0000}"/>
    <cellStyle name="Porcentual 18 17 2" xfId="6017" xr:uid="{00000000-0005-0000-0000-0000BA1E0000}"/>
    <cellStyle name="Porcentual 18 17 3" xfId="8691" xr:uid="{00000000-0005-0000-0000-0000BB1E0000}"/>
    <cellStyle name="Porcentual 18 18" xfId="2357" xr:uid="{00000000-0005-0000-0000-0000BC1E0000}"/>
    <cellStyle name="Porcentual 18 18 2" xfId="6018" xr:uid="{00000000-0005-0000-0000-0000BD1E0000}"/>
    <cellStyle name="Porcentual 18 18 3" xfId="8692" xr:uid="{00000000-0005-0000-0000-0000BE1E0000}"/>
    <cellStyle name="Porcentual 18 19" xfId="2358" xr:uid="{00000000-0005-0000-0000-0000BF1E0000}"/>
    <cellStyle name="Porcentual 18 19 2" xfId="6019" xr:uid="{00000000-0005-0000-0000-0000C01E0000}"/>
    <cellStyle name="Porcentual 18 19 3" xfId="8693" xr:uid="{00000000-0005-0000-0000-0000C11E0000}"/>
    <cellStyle name="Porcentual 18 2" xfId="2359" xr:uid="{00000000-0005-0000-0000-0000C21E0000}"/>
    <cellStyle name="Porcentual 18 2 2" xfId="6020" xr:uid="{00000000-0005-0000-0000-0000C31E0000}"/>
    <cellStyle name="Porcentual 18 2 3" xfId="8694" xr:uid="{00000000-0005-0000-0000-0000C41E0000}"/>
    <cellStyle name="Porcentual 18 20" xfId="2360" xr:uid="{00000000-0005-0000-0000-0000C51E0000}"/>
    <cellStyle name="Porcentual 18 20 2" xfId="6021" xr:uid="{00000000-0005-0000-0000-0000C61E0000}"/>
    <cellStyle name="Porcentual 18 20 3" xfId="8695" xr:uid="{00000000-0005-0000-0000-0000C71E0000}"/>
    <cellStyle name="Porcentual 18 21" xfId="2361" xr:uid="{00000000-0005-0000-0000-0000C81E0000}"/>
    <cellStyle name="Porcentual 18 21 2" xfId="6022" xr:uid="{00000000-0005-0000-0000-0000C91E0000}"/>
    <cellStyle name="Porcentual 18 21 3" xfId="8696" xr:uid="{00000000-0005-0000-0000-0000CA1E0000}"/>
    <cellStyle name="Porcentual 18 22" xfId="2362" xr:uid="{00000000-0005-0000-0000-0000CB1E0000}"/>
    <cellStyle name="Porcentual 18 22 2" xfId="6023" xr:uid="{00000000-0005-0000-0000-0000CC1E0000}"/>
    <cellStyle name="Porcentual 18 22 3" xfId="8697" xr:uid="{00000000-0005-0000-0000-0000CD1E0000}"/>
    <cellStyle name="Porcentual 18 23" xfId="2363" xr:uid="{00000000-0005-0000-0000-0000CE1E0000}"/>
    <cellStyle name="Porcentual 18 23 2" xfId="6024" xr:uid="{00000000-0005-0000-0000-0000CF1E0000}"/>
    <cellStyle name="Porcentual 18 23 3" xfId="8698" xr:uid="{00000000-0005-0000-0000-0000D01E0000}"/>
    <cellStyle name="Porcentual 18 24" xfId="2364" xr:uid="{00000000-0005-0000-0000-0000D11E0000}"/>
    <cellStyle name="Porcentual 18 24 2" xfId="6025" xr:uid="{00000000-0005-0000-0000-0000D21E0000}"/>
    <cellStyle name="Porcentual 18 24 3" xfId="8699" xr:uid="{00000000-0005-0000-0000-0000D31E0000}"/>
    <cellStyle name="Porcentual 18 25" xfId="2365" xr:uid="{00000000-0005-0000-0000-0000D41E0000}"/>
    <cellStyle name="Porcentual 18 25 2" xfId="6026" xr:uid="{00000000-0005-0000-0000-0000D51E0000}"/>
    <cellStyle name="Porcentual 18 25 3" xfId="8700" xr:uid="{00000000-0005-0000-0000-0000D61E0000}"/>
    <cellStyle name="Porcentual 18 26" xfId="2366" xr:uid="{00000000-0005-0000-0000-0000D71E0000}"/>
    <cellStyle name="Porcentual 18 26 2" xfId="6027" xr:uid="{00000000-0005-0000-0000-0000D81E0000}"/>
    <cellStyle name="Porcentual 18 26 3" xfId="8701" xr:uid="{00000000-0005-0000-0000-0000D91E0000}"/>
    <cellStyle name="Porcentual 18 27" xfId="2367" xr:uid="{00000000-0005-0000-0000-0000DA1E0000}"/>
    <cellStyle name="Porcentual 18 27 2" xfId="6028" xr:uid="{00000000-0005-0000-0000-0000DB1E0000}"/>
    <cellStyle name="Porcentual 18 27 3" xfId="8702" xr:uid="{00000000-0005-0000-0000-0000DC1E0000}"/>
    <cellStyle name="Porcentual 18 28" xfId="2368" xr:uid="{00000000-0005-0000-0000-0000DD1E0000}"/>
    <cellStyle name="Porcentual 18 28 2" xfId="6029" xr:uid="{00000000-0005-0000-0000-0000DE1E0000}"/>
    <cellStyle name="Porcentual 18 28 3" xfId="8703" xr:uid="{00000000-0005-0000-0000-0000DF1E0000}"/>
    <cellStyle name="Porcentual 18 29" xfId="6030" xr:uid="{00000000-0005-0000-0000-0000E01E0000}"/>
    <cellStyle name="Porcentual 18 3" xfId="2369" xr:uid="{00000000-0005-0000-0000-0000E11E0000}"/>
    <cellStyle name="Porcentual 18 3 2" xfId="6031" xr:uid="{00000000-0005-0000-0000-0000E21E0000}"/>
    <cellStyle name="Porcentual 18 3 3" xfId="8704" xr:uid="{00000000-0005-0000-0000-0000E31E0000}"/>
    <cellStyle name="Porcentual 18 30" xfId="8683" xr:uid="{00000000-0005-0000-0000-0000E41E0000}"/>
    <cellStyle name="Porcentual 18 4" xfId="2370" xr:uid="{00000000-0005-0000-0000-0000E51E0000}"/>
    <cellStyle name="Porcentual 18 4 2" xfId="6032" xr:uid="{00000000-0005-0000-0000-0000E61E0000}"/>
    <cellStyle name="Porcentual 18 4 3" xfId="8705" xr:uid="{00000000-0005-0000-0000-0000E71E0000}"/>
    <cellStyle name="Porcentual 18 5" xfId="2371" xr:uid="{00000000-0005-0000-0000-0000E81E0000}"/>
    <cellStyle name="Porcentual 18 5 2" xfId="6033" xr:uid="{00000000-0005-0000-0000-0000E91E0000}"/>
    <cellStyle name="Porcentual 18 5 3" xfId="8706" xr:uid="{00000000-0005-0000-0000-0000EA1E0000}"/>
    <cellStyle name="Porcentual 18 6" xfId="2372" xr:uid="{00000000-0005-0000-0000-0000EB1E0000}"/>
    <cellStyle name="Porcentual 18 6 2" xfId="6034" xr:uid="{00000000-0005-0000-0000-0000EC1E0000}"/>
    <cellStyle name="Porcentual 18 6 3" xfId="8707" xr:uid="{00000000-0005-0000-0000-0000ED1E0000}"/>
    <cellStyle name="Porcentual 18 7" xfId="2373" xr:uid="{00000000-0005-0000-0000-0000EE1E0000}"/>
    <cellStyle name="Porcentual 18 7 2" xfId="6035" xr:uid="{00000000-0005-0000-0000-0000EF1E0000}"/>
    <cellStyle name="Porcentual 18 7 3" xfId="8708" xr:uid="{00000000-0005-0000-0000-0000F01E0000}"/>
    <cellStyle name="Porcentual 18 8" xfId="2374" xr:uid="{00000000-0005-0000-0000-0000F11E0000}"/>
    <cellStyle name="Porcentual 18 8 2" xfId="6036" xr:uid="{00000000-0005-0000-0000-0000F21E0000}"/>
    <cellStyle name="Porcentual 18 8 3" xfId="8709" xr:uid="{00000000-0005-0000-0000-0000F31E0000}"/>
    <cellStyle name="Porcentual 18 9" xfId="2375" xr:uid="{00000000-0005-0000-0000-0000F41E0000}"/>
    <cellStyle name="Porcentual 18 9 2" xfId="6037" xr:uid="{00000000-0005-0000-0000-0000F51E0000}"/>
    <cellStyle name="Porcentual 18 9 3" xfId="8710" xr:uid="{00000000-0005-0000-0000-0000F61E0000}"/>
    <cellStyle name="Porcentual 19" xfId="2376" xr:uid="{00000000-0005-0000-0000-0000F71E0000}"/>
    <cellStyle name="Porcentual 19 10" xfId="2377" xr:uid="{00000000-0005-0000-0000-0000F81E0000}"/>
    <cellStyle name="Porcentual 19 10 2" xfId="6038" xr:uid="{00000000-0005-0000-0000-0000F91E0000}"/>
    <cellStyle name="Porcentual 19 10 3" xfId="8712" xr:uid="{00000000-0005-0000-0000-0000FA1E0000}"/>
    <cellStyle name="Porcentual 19 11" xfId="2378" xr:uid="{00000000-0005-0000-0000-0000FB1E0000}"/>
    <cellStyle name="Porcentual 19 11 2" xfId="6039" xr:uid="{00000000-0005-0000-0000-0000FC1E0000}"/>
    <cellStyle name="Porcentual 19 11 3" xfId="8713" xr:uid="{00000000-0005-0000-0000-0000FD1E0000}"/>
    <cellStyle name="Porcentual 19 12" xfId="2379" xr:uid="{00000000-0005-0000-0000-0000FE1E0000}"/>
    <cellStyle name="Porcentual 19 12 2" xfId="6040" xr:uid="{00000000-0005-0000-0000-0000FF1E0000}"/>
    <cellStyle name="Porcentual 19 12 3" xfId="8714" xr:uid="{00000000-0005-0000-0000-0000001F0000}"/>
    <cellStyle name="Porcentual 19 13" xfId="2380" xr:uid="{00000000-0005-0000-0000-0000011F0000}"/>
    <cellStyle name="Porcentual 19 13 2" xfId="6041" xr:uid="{00000000-0005-0000-0000-0000021F0000}"/>
    <cellStyle name="Porcentual 19 13 3" xfId="8715" xr:uid="{00000000-0005-0000-0000-0000031F0000}"/>
    <cellStyle name="Porcentual 19 14" xfId="2381" xr:uid="{00000000-0005-0000-0000-0000041F0000}"/>
    <cellStyle name="Porcentual 19 14 2" xfId="6042" xr:uid="{00000000-0005-0000-0000-0000051F0000}"/>
    <cellStyle name="Porcentual 19 14 3" xfId="8716" xr:uid="{00000000-0005-0000-0000-0000061F0000}"/>
    <cellStyle name="Porcentual 19 15" xfId="2382" xr:uid="{00000000-0005-0000-0000-0000071F0000}"/>
    <cellStyle name="Porcentual 19 15 2" xfId="6043" xr:uid="{00000000-0005-0000-0000-0000081F0000}"/>
    <cellStyle name="Porcentual 19 15 3" xfId="8717" xr:uid="{00000000-0005-0000-0000-0000091F0000}"/>
    <cellStyle name="Porcentual 19 16" xfId="2383" xr:uid="{00000000-0005-0000-0000-00000A1F0000}"/>
    <cellStyle name="Porcentual 19 16 2" xfId="6044" xr:uid="{00000000-0005-0000-0000-00000B1F0000}"/>
    <cellStyle name="Porcentual 19 16 3" xfId="8718" xr:uid="{00000000-0005-0000-0000-00000C1F0000}"/>
    <cellStyle name="Porcentual 19 17" xfId="2384" xr:uid="{00000000-0005-0000-0000-00000D1F0000}"/>
    <cellStyle name="Porcentual 19 17 2" xfId="6045" xr:uid="{00000000-0005-0000-0000-00000E1F0000}"/>
    <cellStyle name="Porcentual 19 17 3" xfId="8719" xr:uid="{00000000-0005-0000-0000-00000F1F0000}"/>
    <cellStyle name="Porcentual 19 18" xfId="2385" xr:uid="{00000000-0005-0000-0000-0000101F0000}"/>
    <cellStyle name="Porcentual 19 18 2" xfId="6046" xr:uid="{00000000-0005-0000-0000-0000111F0000}"/>
    <cellStyle name="Porcentual 19 18 3" xfId="8720" xr:uid="{00000000-0005-0000-0000-0000121F0000}"/>
    <cellStyle name="Porcentual 19 19" xfId="2386" xr:uid="{00000000-0005-0000-0000-0000131F0000}"/>
    <cellStyle name="Porcentual 19 19 2" xfId="6047" xr:uid="{00000000-0005-0000-0000-0000141F0000}"/>
    <cellStyle name="Porcentual 19 19 3" xfId="8721" xr:uid="{00000000-0005-0000-0000-0000151F0000}"/>
    <cellStyle name="Porcentual 19 2" xfId="2387" xr:uid="{00000000-0005-0000-0000-0000161F0000}"/>
    <cellStyle name="Porcentual 19 2 2" xfId="6048" xr:uid="{00000000-0005-0000-0000-0000171F0000}"/>
    <cellStyle name="Porcentual 19 2 3" xfId="8722" xr:uid="{00000000-0005-0000-0000-0000181F0000}"/>
    <cellStyle name="Porcentual 19 20" xfId="2388" xr:uid="{00000000-0005-0000-0000-0000191F0000}"/>
    <cellStyle name="Porcentual 19 20 2" xfId="6049" xr:uid="{00000000-0005-0000-0000-00001A1F0000}"/>
    <cellStyle name="Porcentual 19 20 3" xfId="8723" xr:uid="{00000000-0005-0000-0000-00001B1F0000}"/>
    <cellStyle name="Porcentual 19 21" xfId="2389" xr:uid="{00000000-0005-0000-0000-00001C1F0000}"/>
    <cellStyle name="Porcentual 19 21 2" xfId="6050" xr:uid="{00000000-0005-0000-0000-00001D1F0000}"/>
    <cellStyle name="Porcentual 19 21 3" xfId="8724" xr:uid="{00000000-0005-0000-0000-00001E1F0000}"/>
    <cellStyle name="Porcentual 19 22" xfId="2390" xr:uid="{00000000-0005-0000-0000-00001F1F0000}"/>
    <cellStyle name="Porcentual 19 22 2" xfId="6051" xr:uid="{00000000-0005-0000-0000-0000201F0000}"/>
    <cellStyle name="Porcentual 19 22 3" xfId="8725" xr:uid="{00000000-0005-0000-0000-0000211F0000}"/>
    <cellStyle name="Porcentual 19 23" xfId="2391" xr:uid="{00000000-0005-0000-0000-0000221F0000}"/>
    <cellStyle name="Porcentual 19 23 2" xfId="6052" xr:uid="{00000000-0005-0000-0000-0000231F0000}"/>
    <cellStyle name="Porcentual 19 23 3" xfId="8726" xr:uid="{00000000-0005-0000-0000-0000241F0000}"/>
    <cellStyle name="Porcentual 19 24" xfId="2392" xr:uid="{00000000-0005-0000-0000-0000251F0000}"/>
    <cellStyle name="Porcentual 19 24 2" xfId="6053" xr:uid="{00000000-0005-0000-0000-0000261F0000}"/>
    <cellStyle name="Porcentual 19 24 3" xfId="8727" xr:uid="{00000000-0005-0000-0000-0000271F0000}"/>
    <cellStyle name="Porcentual 19 25" xfId="2393" xr:uid="{00000000-0005-0000-0000-0000281F0000}"/>
    <cellStyle name="Porcentual 19 25 2" xfId="6054" xr:uid="{00000000-0005-0000-0000-0000291F0000}"/>
    <cellStyle name="Porcentual 19 25 3" xfId="8728" xr:uid="{00000000-0005-0000-0000-00002A1F0000}"/>
    <cellStyle name="Porcentual 19 26" xfId="2394" xr:uid="{00000000-0005-0000-0000-00002B1F0000}"/>
    <cellStyle name="Porcentual 19 26 2" xfId="6055" xr:uid="{00000000-0005-0000-0000-00002C1F0000}"/>
    <cellStyle name="Porcentual 19 26 3" xfId="8729" xr:uid="{00000000-0005-0000-0000-00002D1F0000}"/>
    <cellStyle name="Porcentual 19 27" xfId="2395" xr:uid="{00000000-0005-0000-0000-00002E1F0000}"/>
    <cellStyle name="Porcentual 19 27 2" xfId="6056" xr:uid="{00000000-0005-0000-0000-00002F1F0000}"/>
    <cellStyle name="Porcentual 19 27 3" xfId="8730" xr:uid="{00000000-0005-0000-0000-0000301F0000}"/>
    <cellStyle name="Porcentual 19 28" xfId="2396" xr:uid="{00000000-0005-0000-0000-0000311F0000}"/>
    <cellStyle name="Porcentual 19 28 2" xfId="6057" xr:uid="{00000000-0005-0000-0000-0000321F0000}"/>
    <cellStyle name="Porcentual 19 28 3" xfId="8731" xr:uid="{00000000-0005-0000-0000-0000331F0000}"/>
    <cellStyle name="Porcentual 19 29" xfId="6058" xr:uid="{00000000-0005-0000-0000-0000341F0000}"/>
    <cellStyle name="Porcentual 19 3" xfId="2397" xr:uid="{00000000-0005-0000-0000-0000351F0000}"/>
    <cellStyle name="Porcentual 19 3 2" xfId="6059" xr:uid="{00000000-0005-0000-0000-0000361F0000}"/>
    <cellStyle name="Porcentual 19 3 3" xfId="8732" xr:uid="{00000000-0005-0000-0000-0000371F0000}"/>
    <cellStyle name="Porcentual 19 30" xfId="8711" xr:uid="{00000000-0005-0000-0000-0000381F0000}"/>
    <cellStyle name="Porcentual 19 4" xfId="2398" xr:uid="{00000000-0005-0000-0000-0000391F0000}"/>
    <cellStyle name="Porcentual 19 4 2" xfId="6060" xr:uid="{00000000-0005-0000-0000-00003A1F0000}"/>
    <cellStyle name="Porcentual 19 4 3" xfId="8733" xr:uid="{00000000-0005-0000-0000-00003B1F0000}"/>
    <cellStyle name="Porcentual 19 5" xfId="2399" xr:uid="{00000000-0005-0000-0000-00003C1F0000}"/>
    <cellStyle name="Porcentual 19 5 2" xfId="6061" xr:uid="{00000000-0005-0000-0000-00003D1F0000}"/>
    <cellStyle name="Porcentual 19 5 3" xfId="8734" xr:uid="{00000000-0005-0000-0000-00003E1F0000}"/>
    <cellStyle name="Porcentual 19 6" xfId="2400" xr:uid="{00000000-0005-0000-0000-00003F1F0000}"/>
    <cellStyle name="Porcentual 19 6 2" xfId="6062" xr:uid="{00000000-0005-0000-0000-0000401F0000}"/>
    <cellStyle name="Porcentual 19 6 3" xfId="8735" xr:uid="{00000000-0005-0000-0000-0000411F0000}"/>
    <cellStyle name="Porcentual 19 7" xfId="2401" xr:uid="{00000000-0005-0000-0000-0000421F0000}"/>
    <cellStyle name="Porcentual 19 7 2" xfId="6063" xr:uid="{00000000-0005-0000-0000-0000431F0000}"/>
    <cellStyle name="Porcentual 19 7 3" xfId="8736" xr:uid="{00000000-0005-0000-0000-0000441F0000}"/>
    <cellStyle name="Porcentual 19 8" xfId="2402" xr:uid="{00000000-0005-0000-0000-0000451F0000}"/>
    <cellStyle name="Porcentual 19 8 2" xfId="6064" xr:uid="{00000000-0005-0000-0000-0000461F0000}"/>
    <cellStyle name="Porcentual 19 8 3" xfId="8737" xr:uid="{00000000-0005-0000-0000-0000471F0000}"/>
    <cellStyle name="Porcentual 19 9" xfId="2403" xr:uid="{00000000-0005-0000-0000-0000481F0000}"/>
    <cellStyle name="Porcentual 19 9 2" xfId="6065" xr:uid="{00000000-0005-0000-0000-0000491F0000}"/>
    <cellStyle name="Porcentual 19 9 3" xfId="8738" xr:uid="{00000000-0005-0000-0000-00004A1F0000}"/>
    <cellStyle name="Porcentual 2" xfId="27" xr:uid="{00000000-0005-0000-0000-00004B1F0000}"/>
    <cellStyle name="Porcentual 2 10" xfId="2404" xr:uid="{00000000-0005-0000-0000-00004C1F0000}"/>
    <cellStyle name="Porcentual 2 10 10" xfId="2405" xr:uid="{00000000-0005-0000-0000-00004D1F0000}"/>
    <cellStyle name="Porcentual 2 10 10 2" xfId="6066" xr:uid="{00000000-0005-0000-0000-00004E1F0000}"/>
    <cellStyle name="Porcentual 2 10 11" xfId="2406" xr:uid="{00000000-0005-0000-0000-00004F1F0000}"/>
    <cellStyle name="Porcentual 2 10 11 2" xfId="6067" xr:uid="{00000000-0005-0000-0000-0000501F0000}"/>
    <cellStyle name="Porcentual 2 10 12" xfId="2407" xr:uid="{00000000-0005-0000-0000-0000511F0000}"/>
    <cellStyle name="Porcentual 2 10 12 2" xfId="6068" xr:uid="{00000000-0005-0000-0000-0000521F0000}"/>
    <cellStyle name="Porcentual 2 10 13" xfId="2408" xr:uid="{00000000-0005-0000-0000-0000531F0000}"/>
    <cellStyle name="Porcentual 2 10 13 2" xfId="6069" xr:uid="{00000000-0005-0000-0000-0000541F0000}"/>
    <cellStyle name="Porcentual 2 10 14" xfId="2409" xr:uid="{00000000-0005-0000-0000-0000551F0000}"/>
    <cellStyle name="Porcentual 2 10 14 2" xfId="6070" xr:uid="{00000000-0005-0000-0000-0000561F0000}"/>
    <cellStyle name="Porcentual 2 10 15" xfId="2410" xr:uid="{00000000-0005-0000-0000-0000571F0000}"/>
    <cellStyle name="Porcentual 2 10 15 2" xfId="6071" xr:uid="{00000000-0005-0000-0000-0000581F0000}"/>
    <cellStyle name="Porcentual 2 10 16" xfId="2411" xr:uid="{00000000-0005-0000-0000-0000591F0000}"/>
    <cellStyle name="Porcentual 2 10 16 2" xfId="6072" xr:uid="{00000000-0005-0000-0000-00005A1F0000}"/>
    <cellStyle name="Porcentual 2 10 17" xfId="2412" xr:uid="{00000000-0005-0000-0000-00005B1F0000}"/>
    <cellStyle name="Porcentual 2 10 17 2" xfId="6073" xr:uid="{00000000-0005-0000-0000-00005C1F0000}"/>
    <cellStyle name="Porcentual 2 10 18" xfId="2413" xr:uid="{00000000-0005-0000-0000-00005D1F0000}"/>
    <cellStyle name="Porcentual 2 10 18 2" xfId="6074" xr:uid="{00000000-0005-0000-0000-00005E1F0000}"/>
    <cellStyle name="Porcentual 2 10 19" xfId="2414" xr:uid="{00000000-0005-0000-0000-00005F1F0000}"/>
    <cellStyle name="Porcentual 2 10 19 2" xfId="6075" xr:uid="{00000000-0005-0000-0000-0000601F0000}"/>
    <cellStyle name="Porcentual 2 10 2" xfId="2415" xr:uid="{00000000-0005-0000-0000-0000611F0000}"/>
    <cellStyle name="Porcentual 2 10 2 2" xfId="6076" xr:uid="{00000000-0005-0000-0000-0000621F0000}"/>
    <cellStyle name="Porcentual 2 10 20" xfId="2416" xr:uid="{00000000-0005-0000-0000-0000631F0000}"/>
    <cellStyle name="Porcentual 2 10 20 2" xfId="6077" xr:uid="{00000000-0005-0000-0000-0000641F0000}"/>
    <cellStyle name="Porcentual 2 10 21" xfId="2417" xr:uid="{00000000-0005-0000-0000-0000651F0000}"/>
    <cellStyle name="Porcentual 2 10 21 2" xfId="6078" xr:uid="{00000000-0005-0000-0000-0000661F0000}"/>
    <cellStyle name="Porcentual 2 10 22" xfId="2418" xr:uid="{00000000-0005-0000-0000-0000671F0000}"/>
    <cellStyle name="Porcentual 2 10 22 2" xfId="6079" xr:uid="{00000000-0005-0000-0000-0000681F0000}"/>
    <cellStyle name="Porcentual 2 10 23" xfId="2419" xr:uid="{00000000-0005-0000-0000-0000691F0000}"/>
    <cellStyle name="Porcentual 2 10 23 2" xfId="6080" xr:uid="{00000000-0005-0000-0000-00006A1F0000}"/>
    <cellStyle name="Porcentual 2 10 24" xfId="2420" xr:uid="{00000000-0005-0000-0000-00006B1F0000}"/>
    <cellStyle name="Porcentual 2 10 24 2" xfId="6081" xr:uid="{00000000-0005-0000-0000-00006C1F0000}"/>
    <cellStyle name="Porcentual 2 10 25" xfId="2421" xr:uid="{00000000-0005-0000-0000-00006D1F0000}"/>
    <cellStyle name="Porcentual 2 10 25 2" xfId="6082" xr:uid="{00000000-0005-0000-0000-00006E1F0000}"/>
    <cellStyle name="Porcentual 2 10 26" xfId="2422" xr:uid="{00000000-0005-0000-0000-00006F1F0000}"/>
    <cellStyle name="Porcentual 2 10 26 2" xfId="6083" xr:uid="{00000000-0005-0000-0000-0000701F0000}"/>
    <cellStyle name="Porcentual 2 10 27" xfId="2423" xr:uid="{00000000-0005-0000-0000-0000711F0000}"/>
    <cellStyle name="Porcentual 2 10 27 2" xfId="6084" xr:uid="{00000000-0005-0000-0000-0000721F0000}"/>
    <cellStyle name="Porcentual 2 10 28" xfId="2424" xr:uid="{00000000-0005-0000-0000-0000731F0000}"/>
    <cellStyle name="Porcentual 2 10 28 2" xfId="6085" xr:uid="{00000000-0005-0000-0000-0000741F0000}"/>
    <cellStyle name="Porcentual 2 10 29" xfId="6086" xr:uid="{00000000-0005-0000-0000-0000751F0000}"/>
    <cellStyle name="Porcentual 2 10 3" xfId="2425" xr:uid="{00000000-0005-0000-0000-0000761F0000}"/>
    <cellStyle name="Porcentual 2 10 3 2" xfId="6087" xr:uid="{00000000-0005-0000-0000-0000771F0000}"/>
    <cellStyle name="Porcentual 2 10 4" xfId="2426" xr:uid="{00000000-0005-0000-0000-0000781F0000}"/>
    <cellStyle name="Porcentual 2 10 4 2" xfId="6088" xr:uid="{00000000-0005-0000-0000-0000791F0000}"/>
    <cellStyle name="Porcentual 2 10 5" xfId="2427" xr:uid="{00000000-0005-0000-0000-00007A1F0000}"/>
    <cellStyle name="Porcentual 2 10 5 2" xfId="6089" xr:uid="{00000000-0005-0000-0000-00007B1F0000}"/>
    <cellStyle name="Porcentual 2 10 6" xfId="2428" xr:uid="{00000000-0005-0000-0000-00007C1F0000}"/>
    <cellStyle name="Porcentual 2 10 6 2" xfId="6090" xr:uid="{00000000-0005-0000-0000-00007D1F0000}"/>
    <cellStyle name="Porcentual 2 10 7" xfId="2429" xr:uid="{00000000-0005-0000-0000-00007E1F0000}"/>
    <cellStyle name="Porcentual 2 10 7 2" xfId="6091" xr:uid="{00000000-0005-0000-0000-00007F1F0000}"/>
    <cellStyle name="Porcentual 2 10 8" xfId="2430" xr:uid="{00000000-0005-0000-0000-0000801F0000}"/>
    <cellStyle name="Porcentual 2 10 8 2" xfId="6092" xr:uid="{00000000-0005-0000-0000-0000811F0000}"/>
    <cellStyle name="Porcentual 2 10 9" xfId="2431" xr:uid="{00000000-0005-0000-0000-0000821F0000}"/>
    <cellStyle name="Porcentual 2 10 9 2" xfId="6093" xr:uid="{00000000-0005-0000-0000-0000831F0000}"/>
    <cellStyle name="Porcentual 2 100" xfId="2432" xr:uid="{00000000-0005-0000-0000-0000841F0000}"/>
    <cellStyle name="Porcentual 2 100 2" xfId="8739" xr:uid="{00000000-0005-0000-0000-0000851F0000}"/>
    <cellStyle name="Porcentual 2 101" xfId="2433" xr:uid="{00000000-0005-0000-0000-0000861F0000}"/>
    <cellStyle name="Porcentual 2 101 2" xfId="8740" xr:uid="{00000000-0005-0000-0000-0000871F0000}"/>
    <cellStyle name="Porcentual 2 102" xfId="2434" xr:uid="{00000000-0005-0000-0000-0000881F0000}"/>
    <cellStyle name="Porcentual 2 102 2" xfId="8741" xr:uid="{00000000-0005-0000-0000-0000891F0000}"/>
    <cellStyle name="Porcentual 2 103" xfId="2435" xr:uid="{00000000-0005-0000-0000-00008A1F0000}"/>
    <cellStyle name="Porcentual 2 103 2" xfId="8742" xr:uid="{00000000-0005-0000-0000-00008B1F0000}"/>
    <cellStyle name="Porcentual 2 104" xfId="2436" xr:uid="{00000000-0005-0000-0000-00008C1F0000}"/>
    <cellStyle name="Porcentual 2 104 2" xfId="8743" xr:uid="{00000000-0005-0000-0000-00008D1F0000}"/>
    <cellStyle name="Porcentual 2 105" xfId="2437" xr:uid="{00000000-0005-0000-0000-00008E1F0000}"/>
    <cellStyle name="Porcentual 2 105 2" xfId="8744" xr:uid="{00000000-0005-0000-0000-00008F1F0000}"/>
    <cellStyle name="Porcentual 2 106" xfId="2438" xr:uid="{00000000-0005-0000-0000-0000901F0000}"/>
    <cellStyle name="Porcentual 2 106 2" xfId="8745" xr:uid="{00000000-0005-0000-0000-0000911F0000}"/>
    <cellStyle name="Porcentual 2 107" xfId="2439" xr:uid="{00000000-0005-0000-0000-0000921F0000}"/>
    <cellStyle name="Porcentual 2 107 2" xfId="8746" xr:uid="{00000000-0005-0000-0000-0000931F0000}"/>
    <cellStyle name="Porcentual 2 108" xfId="2440" xr:uid="{00000000-0005-0000-0000-0000941F0000}"/>
    <cellStyle name="Porcentual 2 108 2" xfId="8747" xr:uid="{00000000-0005-0000-0000-0000951F0000}"/>
    <cellStyle name="Porcentual 2 109" xfId="2441" xr:uid="{00000000-0005-0000-0000-0000961F0000}"/>
    <cellStyle name="Porcentual 2 109 2" xfId="8748" xr:uid="{00000000-0005-0000-0000-0000971F0000}"/>
    <cellStyle name="Porcentual 2 11" xfId="2442" xr:uid="{00000000-0005-0000-0000-0000981F0000}"/>
    <cellStyle name="Porcentual 2 11 10" xfId="2443" xr:uid="{00000000-0005-0000-0000-0000991F0000}"/>
    <cellStyle name="Porcentual 2 11 10 2" xfId="6094" xr:uid="{00000000-0005-0000-0000-00009A1F0000}"/>
    <cellStyle name="Porcentual 2 11 11" xfId="2444" xr:uid="{00000000-0005-0000-0000-00009B1F0000}"/>
    <cellStyle name="Porcentual 2 11 11 2" xfId="6095" xr:uid="{00000000-0005-0000-0000-00009C1F0000}"/>
    <cellStyle name="Porcentual 2 11 12" xfId="2445" xr:uid="{00000000-0005-0000-0000-00009D1F0000}"/>
    <cellStyle name="Porcentual 2 11 12 2" xfId="6096" xr:uid="{00000000-0005-0000-0000-00009E1F0000}"/>
    <cellStyle name="Porcentual 2 11 13" xfId="2446" xr:uid="{00000000-0005-0000-0000-00009F1F0000}"/>
    <cellStyle name="Porcentual 2 11 13 2" xfId="6097" xr:uid="{00000000-0005-0000-0000-0000A01F0000}"/>
    <cellStyle name="Porcentual 2 11 14" xfId="2447" xr:uid="{00000000-0005-0000-0000-0000A11F0000}"/>
    <cellStyle name="Porcentual 2 11 14 2" xfId="6098" xr:uid="{00000000-0005-0000-0000-0000A21F0000}"/>
    <cellStyle name="Porcentual 2 11 15" xfId="2448" xr:uid="{00000000-0005-0000-0000-0000A31F0000}"/>
    <cellStyle name="Porcentual 2 11 15 2" xfId="6099" xr:uid="{00000000-0005-0000-0000-0000A41F0000}"/>
    <cellStyle name="Porcentual 2 11 16" xfId="2449" xr:uid="{00000000-0005-0000-0000-0000A51F0000}"/>
    <cellStyle name="Porcentual 2 11 16 2" xfId="6100" xr:uid="{00000000-0005-0000-0000-0000A61F0000}"/>
    <cellStyle name="Porcentual 2 11 17" xfId="2450" xr:uid="{00000000-0005-0000-0000-0000A71F0000}"/>
    <cellStyle name="Porcentual 2 11 17 2" xfId="6101" xr:uid="{00000000-0005-0000-0000-0000A81F0000}"/>
    <cellStyle name="Porcentual 2 11 18" xfId="2451" xr:uid="{00000000-0005-0000-0000-0000A91F0000}"/>
    <cellStyle name="Porcentual 2 11 18 2" xfId="6102" xr:uid="{00000000-0005-0000-0000-0000AA1F0000}"/>
    <cellStyle name="Porcentual 2 11 19" xfId="2452" xr:uid="{00000000-0005-0000-0000-0000AB1F0000}"/>
    <cellStyle name="Porcentual 2 11 19 2" xfId="6103" xr:uid="{00000000-0005-0000-0000-0000AC1F0000}"/>
    <cellStyle name="Porcentual 2 11 2" xfId="2453" xr:uid="{00000000-0005-0000-0000-0000AD1F0000}"/>
    <cellStyle name="Porcentual 2 11 2 2" xfId="6104" xr:uid="{00000000-0005-0000-0000-0000AE1F0000}"/>
    <cellStyle name="Porcentual 2 11 20" xfId="2454" xr:uid="{00000000-0005-0000-0000-0000AF1F0000}"/>
    <cellStyle name="Porcentual 2 11 20 2" xfId="6105" xr:uid="{00000000-0005-0000-0000-0000B01F0000}"/>
    <cellStyle name="Porcentual 2 11 21" xfId="2455" xr:uid="{00000000-0005-0000-0000-0000B11F0000}"/>
    <cellStyle name="Porcentual 2 11 21 2" xfId="6106" xr:uid="{00000000-0005-0000-0000-0000B21F0000}"/>
    <cellStyle name="Porcentual 2 11 22" xfId="2456" xr:uid="{00000000-0005-0000-0000-0000B31F0000}"/>
    <cellStyle name="Porcentual 2 11 22 2" xfId="6107" xr:uid="{00000000-0005-0000-0000-0000B41F0000}"/>
    <cellStyle name="Porcentual 2 11 23" xfId="2457" xr:uid="{00000000-0005-0000-0000-0000B51F0000}"/>
    <cellStyle name="Porcentual 2 11 23 2" xfId="6108" xr:uid="{00000000-0005-0000-0000-0000B61F0000}"/>
    <cellStyle name="Porcentual 2 11 24" xfId="2458" xr:uid="{00000000-0005-0000-0000-0000B71F0000}"/>
    <cellStyle name="Porcentual 2 11 24 2" xfId="6109" xr:uid="{00000000-0005-0000-0000-0000B81F0000}"/>
    <cellStyle name="Porcentual 2 11 25" xfId="2459" xr:uid="{00000000-0005-0000-0000-0000B91F0000}"/>
    <cellStyle name="Porcentual 2 11 25 2" xfId="6110" xr:uid="{00000000-0005-0000-0000-0000BA1F0000}"/>
    <cellStyle name="Porcentual 2 11 26" xfId="2460" xr:uid="{00000000-0005-0000-0000-0000BB1F0000}"/>
    <cellStyle name="Porcentual 2 11 26 2" xfId="6111" xr:uid="{00000000-0005-0000-0000-0000BC1F0000}"/>
    <cellStyle name="Porcentual 2 11 27" xfId="2461" xr:uid="{00000000-0005-0000-0000-0000BD1F0000}"/>
    <cellStyle name="Porcentual 2 11 27 2" xfId="6112" xr:uid="{00000000-0005-0000-0000-0000BE1F0000}"/>
    <cellStyle name="Porcentual 2 11 28" xfId="2462" xr:uid="{00000000-0005-0000-0000-0000BF1F0000}"/>
    <cellStyle name="Porcentual 2 11 28 2" xfId="6113" xr:uid="{00000000-0005-0000-0000-0000C01F0000}"/>
    <cellStyle name="Porcentual 2 11 29" xfId="6114" xr:uid="{00000000-0005-0000-0000-0000C11F0000}"/>
    <cellStyle name="Porcentual 2 11 3" xfId="2463" xr:uid="{00000000-0005-0000-0000-0000C21F0000}"/>
    <cellStyle name="Porcentual 2 11 3 2" xfId="6115" xr:uid="{00000000-0005-0000-0000-0000C31F0000}"/>
    <cellStyle name="Porcentual 2 11 4" xfId="2464" xr:uid="{00000000-0005-0000-0000-0000C41F0000}"/>
    <cellStyle name="Porcentual 2 11 4 2" xfId="6116" xr:uid="{00000000-0005-0000-0000-0000C51F0000}"/>
    <cellStyle name="Porcentual 2 11 5" xfId="2465" xr:uid="{00000000-0005-0000-0000-0000C61F0000}"/>
    <cellStyle name="Porcentual 2 11 5 2" xfId="6117" xr:uid="{00000000-0005-0000-0000-0000C71F0000}"/>
    <cellStyle name="Porcentual 2 11 6" xfId="2466" xr:uid="{00000000-0005-0000-0000-0000C81F0000}"/>
    <cellStyle name="Porcentual 2 11 6 2" xfId="6118" xr:uid="{00000000-0005-0000-0000-0000C91F0000}"/>
    <cellStyle name="Porcentual 2 11 7" xfId="2467" xr:uid="{00000000-0005-0000-0000-0000CA1F0000}"/>
    <cellStyle name="Porcentual 2 11 7 2" xfId="6119" xr:uid="{00000000-0005-0000-0000-0000CB1F0000}"/>
    <cellStyle name="Porcentual 2 11 8" xfId="2468" xr:uid="{00000000-0005-0000-0000-0000CC1F0000}"/>
    <cellStyle name="Porcentual 2 11 8 2" xfId="6120" xr:uid="{00000000-0005-0000-0000-0000CD1F0000}"/>
    <cellStyle name="Porcentual 2 11 9" xfId="2469" xr:uid="{00000000-0005-0000-0000-0000CE1F0000}"/>
    <cellStyle name="Porcentual 2 11 9 2" xfId="6121" xr:uid="{00000000-0005-0000-0000-0000CF1F0000}"/>
    <cellStyle name="Porcentual 2 110" xfId="4055" xr:uid="{00000000-0005-0000-0000-0000D01F0000}"/>
    <cellStyle name="Porcentual 2 110 2" xfId="9557" xr:uid="{00000000-0005-0000-0000-0000D11F0000}"/>
    <cellStyle name="Porcentual 2 110 2 2" xfId="10260" xr:uid="{00000000-0005-0000-0000-0000D21F0000}"/>
    <cellStyle name="Porcentual 2 110 2 2 2" xfId="11995" xr:uid="{00000000-0005-0000-0000-0000D31F0000}"/>
    <cellStyle name="Porcentual 2 110 2 2 2 2" xfId="20744" xr:uid="{FA330A4F-C9F2-4F94-A8EC-11457E8E13CE}"/>
    <cellStyle name="Porcentual 2 110 2 2 3" xfId="19381" xr:uid="{12C695B8-ECF4-4ADD-88E2-DB5AD100F42C}"/>
    <cellStyle name="Porcentual 2 110 2 3" xfId="11348" xr:uid="{00000000-0005-0000-0000-0000D41F0000}"/>
    <cellStyle name="Porcentual 2 110 2 3 2" xfId="20117" xr:uid="{5DA97F50-07AB-4C82-8437-B6935E959F80}"/>
    <cellStyle name="Porcentual 2 110 2 4" xfId="18749" xr:uid="{F105A968-4A75-4DF3-8E84-96888A99DDE1}"/>
    <cellStyle name="Porcentual 2 110 3" xfId="9963" xr:uid="{00000000-0005-0000-0000-0000D51F0000}"/>
    <cellStyle name="Porcentual 2 110 3 2" xfId="11699" xr:uid="{00000000-0005-0000-0000-0000D61F0000}"/>
    <cellStyle name="Porcentual 2 110 3 2 2" xfId="20455" xr:uid="{5158444F-3B87-40F2-A6AC-4FB8C94A8D23}"/>
    <cellStyle name="Porcentual 2 110 3 3" xfId="19092" xr:uid="{7632609A-6C08-4723-B681-28A9C6D12A60}"/>
    <cellStyle name="Porcentual 2 110 4" xfId="10921" xr:uid="{00000000-0005-0000-0000-0000D71F0000}"/>
    <cellStyle name="Porcentual 2 110 4 2" xfId="19840" xr:uid="{BB23A209-3FD8-4A70-A065-0FC8CC44EEEB}"/>
    <cellStyle name="Porcentual 2 110 5" xfId="18472" xr:uid="{43755155-BDD3-4143-9D93-97A234E3E523}"/>
    <cellStyle name="Porcentual 2 111" xfId="4174" xr:uid="{00000000-0005-0000-0000-0000D81F0000}"/>
    <cellStyle name="Porcentual 2 111 2" xfId="9610" xr:uid="{00000000-0005-0000-0000-0000D91F0000}"/>
    <cellStyle name="Porcentual 2 111 2 2" xfId="10311" xr:uid="{00000000-0005-0000-0000-0000DA1F0000}"/>
    <cellStyle name="Porcentual 2 111 2 2 2" xfId="12046" xr:uid="{00000000-0005-0000-0000-0000DB1F0000}"/>
    <cellStyle name="Porcentual 2 111 2 2 2 2" xfId="20795" xr:uid="{821A1227-EE31-4EC6-AF61-B7AC216AA29C}"/>
    <cellStyle name="Porcentual 2 111 2 2 3" xfId="19432" xr:uid="{5FF89859-F9D9-4D81-A540-E8B48A564FEE}"/>
    <cellStyle name="Porcentual 2 111 2 3" xfId="11399" xr:uid="{00000000-0005-0000-0000-0000DC1F0000}"/>
    <cellStyle name="Porcentual 2 111 2 3 2" xfId="20168" xr:uid="{3F178B62-ED3D-4E34-9348-5CB693AD1ECE}"/>
    <cellStyle name="Porcentual 2 111 2 4" xfId="18800" xr:uid="{2130F544-1F3B-4EC2-984D-E183E98A8927}"/>
    <cellStyle name="Porcentual 2 111 3" xfId="10014" xr:uid="{00000000-0005-0000-0000-0000DD1F0000}"/>
    <cellStyle name="Porcentual 2 111 3 2" xfId="11750" xr:uid="{00000000-0005-0000-0000-0000DE1F0000}"/>
    <cellStyle name="Porcentual 2 111 3 2 2" xfId="20506" xr:uid="{F9E1EDAB-271E-4CDD-9DF6-F76291626FDB}"/>
    <cellStyle name="Porcentual 2 111 3 3" xfId="19143" xr:uid="{31335779-AD29-4E26-87AA-03E287E7548F}"/>
    <cellStyle name="Porcentual 2 111 4" xfId="10986" xr:uid="{00000000-0005-0000-0000-0000DF1F0000}"/>
    <cellStyle name="Porcentual 2 111 4 2" xfId="19891" xr:uid="{8A37E296-0B55-4373-A149-0B4C906AEA2A}"/>
    <cellStyle name="Porcentual 2 111 5" xfId="18523" xr:uid="{59C6D612-16ED-4408-AC50-B6687376B3E8}"/>
    <cellStyle name="Porcentual 2 112" xfId="4282" xr:uid="{00000000-0005-0000-0000-0000E01F0000}"/>
    <cellStyle name="Porcentual 2 112 2" xfId="9714" xr:uid="{00000000-0005-0000-0000-0000E11F0000}"/>
    <cellStyle name="Porcentual 2 112 2 2" xfId="10414" xr:uid="{00000000-0005-0000-0000-0000E21F0000}"/>
    <cellStyle name="Porcentual 2 112 2 2 2" xfId="12149" xr:uid="{00000000-0005-0000-0000-0000E31F0000}"/>
    <cellStyle name="Porcentual 2 112 2 2 2 2" xfId="20898" xr:uid="{A47DD586-2C51-4CD4-9A3B-8526BDED7894}"/>
    <cellStyle name="Porcentual 2 112 2 2 3" xfId="19535" xr:uid="{E841E5B8-CE8E-4780-A2AF-4B28AED08823}"/>
    <cellStyle name="Porcentual 2 112 2 3" xfId="11502" xr:uid="{00000000-0005-0000-0000-0000E41F0000}"/>
    <cellStyle name="Porcentual 2 112 2 3 2" xfId="20271" xr:uid="{E83F91EF-A66A-44A3-886A-4AE2BB606CA0}"/>
    <cellStyle name="Porcentual 2 112 2 4" xfId="18903" xr:uid="{D8B3051C-F3D4-4BF4-AED4-902EB2E46EDF}"/>
    <cellStyle name="Porcentual 2 112 3" xfId="10117" xr:uid="{00000000-0005-0000-0000-0000E51F0000}"/>
    <cellStyle name="Porcentual 2 112 3 2" xfId="11853" xr:uid="{00000000-0005-0000-0000-0000E61F0000}"/>
    <cellStyle name="Porcentual 2 112 3 2 2" xfId="20609" xr:uid="{8DCA432E-8DC7-474A-9964-A0FD65CBE440}"/>
    <cellStyle name="Porcentual 2 112 3 3" xfId="19246" xr:uid="{3CD19788-CCA9-4A64-9854-D4E127FA045F}"/>
    <cellStyle name="Porcentual 2 112 4" xfId="11091" xr:uid="{00000000-0005-0000-0000-0000E71F0000}"/>
    <cellStyle name="Porcentual 2 112 4 2" xfId="19994" xr:uid="{2701B704-6534-4A9B-9D25-21A66E0F91B0}"/>
    <cellStyle name="Porcentual 2 112 5" xfId="18626" xr:uid="{0C8E8865-A043-47A6-9D17-B25F23666666}"/>
    <cellStyle name="Porcentual 2 113" xfId="4292" xr:uid="{00000000-0005-0000-0000-0000E81F0000}"/>
    <cellStyle name="Porcentual 2 113 2" xfId="9718" xr:uid="{00000000-0005-0000-0000-0000E91F0000}"/>
    <cellStyle name="Porcentual 2 113 2 2" xfId="10418" xr:uid="{00000000-0005-0000-0000-0000EA1F0000}"/>
    <cellStyle name="Porcentual 2 113 2 2 2" xfId="12153" xr:uid="{00000000-0005-0000-0000-0000EB1F0000}"/>
    <cellStyle name="Porcentual 2 113 2 2 2 2" xfId="20902" xr:uid="{8D2250E8-5516-4357-8846-2641F2215089}"/>
    <cellStyle name="Porcentual 2 113 2 2 3" xfId="19539" xr:uid="{6F3A4023-B05A-4CD7-B97C-52F43163DC79}"/>
    <cellStyle name="Porcentual 2 113 2 3" xfId="11506" xr:uid="{00000000-0005-0000-0000-0000EC1F0000}"/>
    <cellStyle name="Porcentual 2 113 2 3 2" xfId="20275" xr:uid="{26E905FA-8758-4F07-95A6-6234CDE247A2}"/>
    <cellStyle name="Porcentual 2 113 2 4" xfId="18907" xr:uid="{683682B2-DD98-4231-B140-C3E59C522C85}"/>
    <cellStyle name="Porcentual 2 113 3" xfId="10121" xr:uid="{00000000-0005-0000-0000-0000ED1F0000}"/>
    <cellStyle name="Porcentual 2 113 3 2" xfId="11857" xr:uid="{00000000-0005-0000-0000-0000EE1F0000}"/>
    <cellStyle name="Porcentual 2 113 3 2 2" xfId="20613" xr:uid="{7B42C13D-5E56-4467-B70A-885975C7ED56}"/>
    <cellStyle name="Porcentual 2 113 3 3" xfId="19250" xr:uid="{9DDB80C3-87AF-4642-9858-343B0DB660F7}"/>
    <cellStyle name="Porcentual 2 113 4" xfId="11101" xr:uid="{00000000-0005-0000-0000-0000EF1F0000}"/>
    <cellStyle name="Porcentual 2 113 4 2" xfId="19998" xr:uid="{2DDBD9F8-F346-4DD6-A809-C66F6CD38512}"/>
    <cellStyle name="Porcentual 2 113 5" xfId="18630" xr:uid="{50DD3646-18EF-46CE-AB93-9A04120E66DB}"/>
    <cellStyle name="Porcentual 2 114" xfId="4298" xr:uid="{00000000-0005-0000-0000-0000F01F0000}"/>
    <cellStyle name="Porcentual 2 114 2" xfId="9724" xr:uid="{00000000-0005-0000-0000-0000F11F0000}"/>
    <cellStyle name="Porcentual 2 114 2 2" xfId="10424" xr:uid="{00000000-0005-0000-0000-0000F21F0000}"/>
    <cellStyle name="Porcentual 2 114 2 2 2" xfId="12159" xr:uid="{00000000-0005-0000-0000-0000F31F0000}"/>
    <cellStyle name="Porcentual 2 114 2 2 2 2" xfId="20908" xr:uid="{47FC2E65-8D7D-40DC-83B3-74B405B3742E}"/>
    <cellStyle name="Porcentual 2 114 2 2 3" xfId="19545" xr:uid="{34AE6BDE-C506-4252-832C-A96742BDAF61}"/>
    <cellStyle name="Porcentual 2 114 2 3" xfId="11512" xr:uid="{00000000-0005-0000-0000-0000F41F0000}"/>
    <cellStyle name="Porcentual 2 114 2 3 2" xfId="20281" xr:uid="{6FA8435E-E48F-4C48-9969-FF49D0CA0E9F}"/>
    <cellStyle name="Porcentual 2 114 2 4" xfId="18913" xr:uid="{7999001F-3CFB-4D54-830D-208C57874E75}"/>
    <cellStyle name="Porcentual 2 114 3" xfId="10127" xr:uid="{00000000-0005-0000-0000-0000F51F0000}"/>
    <cellStyle name="Porcentual 2 114 3 2" xfId="11863" xr:uid="{00000000-0005-0000-0000-0000F61F0000}"/>
    <cellStyle name="Porcentual 2 114 3 2 2" xfId="20619" xr:uid="{478725FF-EC77-40C7-A8CF-37C035BF6648}"/>
    <cellStyle name="Porcentual 2 114 3 3" xfId="19256" xr:uid="{7E496566-725B-4ACD-8931-12A004DE6B1A}"/>
    <cellStyle name="Porcentual 2 114 4" xfId="11107" xr:uid="{00000000-0005-0000-0000-0000F71F0000}"/>
    <cellStyle name="Porcentual 2 114 4 2" xfId="20004" xr:uid="{CE52323C-D455-44CF-946F-6E7CCF2769C2}"/>
    <cellStyle name="Porcentual 2 114 5" xfId="18636" xr:uid="{D1B2D219-3B35-42D5-BA29-E43AB831C0A8}"/>
    <cellStyle name="Porcentual 2 115" xfId="4357" xr:uid="{00000000-0005-0000-0000-0000F81F0000}"/>
    <cellStyle name="Porcentual 2 115 2" xfId="9765" xr:uid="{00000000-0005-0000-0000-0000F91F0000}"/>
    <cellStyle name="Porcentual 2 115 2 2" xfId="10463" xr:uid="{00000000-0005-0000-0000-0000FA1F0000}"/>
    <cellStyle name="Porcentual 2 115 2 2 2" xfId="12198" xr:uid="{00000000-0005-0000-0000-0000FB1F0000}"/>
    <cellStyle name="Porcentual 2 115 2 2 2 2" xfId="20947" xr:uid="{2AE7BAF9-37C6-4975-BAA0-952A76F694B0}"/>
    <cellStyle name="Porcentual 2 115 2 2 3" xfId="19584" xr:uid="{525DD6E8-F1AF-4664-AD70-9D314D23CA07}"/>
    <cellStyle name="Porcentual 2 115 2 3" xfId="11551" xr:uid="{00000000-0005-0000-0000-0000FC1F0000}"/>
    <cellStyle name="Porcentual 2 115 2 3 2" xfId="20320" xr:uid="{2E190D23-BAFC-4087-9B73-074F9580F35E}"/>
    <cellStyle name="Porcentual 2 115 2 4" xfId="18952" xr:uid="{939AF04D-C784-4B3E-945A-D245AD03DFD1}"/>
    <cellStyle name="Porcentual 2 115 3" xfId="10168" xr:uid="{00000000-0005-0000-0000-0000FD1F0000}"/>
    <cellStyle name="Porcentual 2 115 3 2" xfId="11904" xr:uid="{00000000-0005-0000-0000-0000FE1F0000}"/>
    <cellStyle name="Porcentual 2 115 3 2 2" xfId="20658" xr:uid="{BEADE0D5-5134-4FB2-96A3-86C51B6F0F76}"/>
    <cellStyle name="Porcentual 2 115 3 3" xfId="19295" xr:uid="{F599E1F8-6EF9-4089-9E34-E0D2F000E0D0}"/>
    <cellStyle name="Porcentual 2 115 4" xfId="11161" xr:uid="{00000000-0005-0000-0000-0000FF1F0000}"/>
    <cellStyle name="Porcentual 2 115 4 2" xfId="20043" xr:uid="{DDBC91A8-62A8-4965-9269-DEC5F6D00509}"/>
    <cellStyle name="Porcentual 2 115 5" xfId="18675" xr:uid="{9A324524-269A-4BEC-A85D-001D8AD9F1F7}"/>
    <cellStyle name="Porcentual 2 12" xfId="2470" xr:uid="{00000000-0005-0000-0000-000000200000}"/>
    <cellStyle name="Porcentual 2 12 10" xfId="2471" xr:uid="{00000000-0005-0000-0000-000001200000}"/>
    <cellStyle name="Porcentual 2 12 10 2" xfId="6122" xr:uid="{00000000-0005-0000-0000-000002200000}"/>
    <cellStyle name="Porcentual 2 12 11" xfId="2472" xr:uid="{00000000-0005-0000-0000-000003200000}"/>
    <cellStyle name="Porcentual 2 12 11 2" xfId="6123" xr:uid="{00000000-0005-0000-0000-000004200000}"/>
    <cellStyle name="Porcentual 2 12 12" xfId="2473" xr:uid="{00000000-0005-0000-0000-000005200000}"/>
    <cellStyle name="Porcentual 2 12 12 2" xfId="6124" xr:uid="{00000000-0005-0000-0000-000006200000}"/>
    <cellStyle name="Porcentual 2 12 13" xfId="2474" xr:uid="{00000000-0005-0000-0000-000007200000}"/>
    <cellStyle name="Porcentual 2 12 13 2" xfId="6125" xr:uid="{00000000-0005-0000-0000-000008200000}"/>
    <cellStyle name="Porcentual 2 12 14" xfId="2475" xr:uid="{00000000-0005-0000-0000-000009200000}"/>
    <cellStyle name="Porcentual 2 12 14 2" xfId="6126" xr:uid="{00000000-0005-0000-0000-00000A200000}"/>
    <cellStyle name="Porcentual 2 12 15" xfId="2476" xr:uid="{00000000-0005-0000-0000-00000B200000}"/>
    <cellStyle name="Porcentual 2 12 15 2" xfId="6127" xr:uid="{00000000-0005-0000-0000-00000C200000}"/>
    <cellStyle name="Porcentual 2 12 16" xfId="2477" xr:uid="{00000000-0005-0000-0000-00000D200000}"/>
    <cellStyle name="Porcentual 2 12 16 2" xfId="6128" xr:uid="{00000000-0005-0000-0000-00000E200000}"/>
    <cellStyle name="Porcentual 2 12 17" xfId="2478" xr:uid="{00000000-0005-0000-0000-00000F200000}"/>
    <cellStyle name="Porcentual 2 12 17 2" xfId="6129" xr:uid="{00000000-0005-0000-0000-000010200000}"/>
    <cellStyle name="Porcentual 2 12 18" xfId="2479" xr:uid="{00000000-0005-0000-0000-000011200000}"/>
    <cellStyle name="Porcentual 2 12 18 2" xfId="6130" xr:uid="{00000000-0005-0000-0000-000012200000}"/>
    <cellStyle name="Porcentual 2 12 19" xfId="2480" xr:uid="{00000000-0005-0000-0000-000013200000}"/>
    <cellStyle name="Porcentual 2 12 19 2" xfId="6131" xr:uid="{00000000-0005-0000-0000-000014200000}"/>
    <cellStyle name="Porcentual 2 12 2" xfId="2481" xr:uid="{00000000-0005-0000-0000-000015200000}"/>
    <cellStyle name="Porcentual 2 12 2 2" xfId="6132" xr:uid="{00000000-0005-0000-0000-000016200000}"/>
    <cellStyle name="Porcentual 2 12 20" xfId="2482" xr:uid="{00000000-0005-0000-0000-000017200000}"/>
    <cellStyle name="Porcentual 2 12 20 2" xfId="6133" xr:uid="{00000000-0005-0000-0000-000018200000}"/>
    <cellStyle name="Porcentual 2 12 21" xfId="2483" xr:uid="{00000000-0005-0000-0000-000019200000}"/>
    <cellStyle name="Porcentual 2 12 21 2" xfId="6134" xr:uid="{00000000-0005-0000-0000-00001A200000}"/>
    <cellStyle name="Porcentual 2 12 22" xfId="2484" xr:uid="{00000000-0005-0000-0000-00001B200000}"/>
    <cellStyle name="Porcentual 2 12 22 2" xfId="6135" xr:uid="{00000000-0005-0000-0000-00001C200000}"/>
    <cellStyle name="Porcentual 2 12 23" xfId="2485" xr:uid="{00000000-0005-0000-0000-00001D200000}"/>
    <cellStyle name="Porcentual 2 12 23 2" xfId="6136" xr:uid="{00000000-0005-0000-0000-00001E200000}"/>
    <cellStyle name="Porcentual 2 12 24" xfId="2486" xr:uid="{00000000-0005-0000-0000-00001F200000}"/>
    <cellStyle name="Porcentual 2 12 24 2" xfId="6137" xr:uid="{00000000-0005-0000-0000-000020200000}"/>
    <cellStyle name="Porcentual 2 12 25" xfId="2487" xr:uid="{00000000-0005-0000-0000-000021200000}"/>
    <cellStyle name="Porcentual 2 12 25 2" xfId="6138" xr:uid="{00000000-0005-0000-0000-000022200000}"/>
    <cellStyle name="Porcentual 2 12 26" xfId="2488" xr:uid="{00000000-0005-0000-0000-000023200000}"/>
    <cellStyle name="Porcentual 2 12 26 2" xfId="6139" xr:uid="{00000000-0005-0000-0000-000024200000}"/>
    <cellStyle name="Porcentual 2 12 27" xfId="2489" xr:uid="{00000000-0005-0000-0000-000025200000}"/>
    <cellStyle name="Porcentual 2 12 27 2" xfId="6140" xr:uid="{00000000-0005-0000-0000-000026200000}"/>
    <cellStyle name="Porcentual 2 12 28" xfId="2490" xr:uid="{00000000-0005-0000-0000-000027200000}"/>
    <cellStyle name="Porcentual 2 12 28 2" xfId="6141" xr:uid="{00000000-0005-0000-0000-000028200000}"/>
    <cellStyle name="Porcentual 2 12 29" xfId="6142" xr:uid="{00000000-0005-0000-0000-000029200000}"/>
    <cellStyle name="Porcentual 2 12 3" xfId="2491" xr:uid="{00000000-0005-0000-0000-00002A200000}"/>
    <cellStyle name="Porcentual 2 12 3 2" xfId="6143" xr:uid="{00000000-0005-0000-0000-00002B200000}"/>
    <cellStyle name="Porcentual 2 12 4" xfId="2492" xr:uid="{00000000-0005-0000-0000-00002C200000}"/>
    <cellStyle name="Porcentual 2 12 4 2" xfId="6144" xr:uid="{00000000-0005-0000-0000-00002D200000}"/>
    <cellStyle name="Porcentual 2 12 5" xfId="2493" xr:uid="{00000000-0005-0000-0000-00002E200000}"/>
    <cellStyle name="Porcentual 2 12 5 2" xfId="6145" xr:uid="{00000000-0005-0000-0000-00002F200000}"/>
    <cellStyle name="Porcentual 2 12 6" xfId="2494" xr:uid="{00000000-0005-0000-0000-000030200000}"/>
    <cellStyle name="Porcentual 2 12 6 2" xfId="6146" xr:uid="{00000000-0005-0000-0000-000031200000}"/>
    <cellStyle name="Porcentual 2 12 7" xfId="2495" xr:uid="{00000000-0005-0000-0000-000032200000}"/>
    <cellStyle name="Porcentual 2 12 7 2" xfId="6147" xr:uid="{00000000-0005-0000-0000-000033200000}"/>
    <cellStyle name="Porcentual 2 12 8" xfId="2496" xr:uid="{00000000-0005-0000-0000-000034200000}"/>
    <cellStyle name="Porcentual 2 12 8 2" xfId="6148" xr:uid="{00000000-0005-0000-0000-000035200000}"/>
    <cellStyle name="Porcentual 2 12 9" xfId="2497" xr:uid="{00000000-0005-0000-0000-000036200000}"/>
    <cellStyle name="Porcentual 2 12 9 2" xfId="6149" xr:uid="{00000000-0005-0000-0000-000037200000}"/>
    <cellStyle name="Porcentual 2 13" xfId="2498" xr:uid="{00000000-0005-0000-0000-000038200000}"/>
    <cellStyle name="Porcentual 2 13 10" xfId="2499" xr:uid="{00000000-0005-0000-0000-000039200000}"/>
    <cellStyle name="Porcentual 2 13 10 2" xfId="6150" xr:uid="{00000000-0005-0000-0000-00003A200000}"/>
    <cellStyle name="Porcentual 2 13 11" xfId="2500" xr:uid="{00000000-0005-0000-0000-00003B200000}"/>
    <cellStyle name="Porcentual 2 13 11 2" xfId="6151" xr:uid="{00000000-0005-0000-0000-00003C200000}"/>
    <cellStyle name="Porcentual 2 13 12" xfId="2501" xr:uid="{00000000-0005-0000-0000-00003D200000}"/>
    <cellStyle name="Porcentual 2 13 12 2" xfId="6152" xr:uid="{00000000-0005-0000-0000-00003E200000}"/>
    <cellStyle name="Porcentual 2 13 13" xfId="2502" xr:uid="{00000000-0005-0000-0000-00003F200000}"/>
    <cellStyle name="Porcentual 2 13 13 2" xfId="6153" xr:uid="{00000000-0005-0000-0000-000040200000}"/>
    <cellStyle name="Porcentual 2 13 14" xfId="2503" xr:uid="{00000000-0005-0000-0000-000041200000}"/>
    <cellStyle name="Porcentual 2 13 14 2" xfId="6154" xr:uid="{00000000-0005-0000-0000-000042200000}"/>
    <cellStyle name="Porcentual 2 13 15" xfId="2504" xr:uid="{00000000-0005-0000-0000-000043200000}"/>
    <cellStyle name="Porcentual 2 13 15 2" xfId="6155" xr:uid="{00000000-0005-0000-0000-000044200000}"/>
    <cellStyle name="Porcentual 2 13 16" xfId="2505" xr:uid="{00000000-0005-0000-0000-000045200000}"/>
    <cellStyle name="Porcentual 2 13 16 2" xfId="6156" xr:uid="{00000000-0005-0000-0000-000046200000}"/>
    <cellStyle name="Porcentual 2 13 17" xfId="2506" xr:uid="{00000000-0005-0000-0000-000047200000}"/>
    <cellStyle name="Porcentual 2 13 17 2" xfId="6157" xr:uid="{00000000-0005-0000-0000-000048200000}"/>
    <cellStyle name="Porcentual 2 13 18" xfId="2507" xr:uid="{00000000-0005-0000-0000-000049200000}"/>
    <cellStyle name="Porcentual 2 13 18 2" xfId="6158" xr:uid="{00000000-0005-0000-0000-00004A200000}"/>
    <cellStyle name="Porcentual 2 13 19" xfId="2508" xr:uid="{00000000-0005-0000-0000-00004B200000}"/>
    <cellStyle name="Porcentual 2 13 19 2" xfId="6159" xr:uid="{00000000-0005-0000-0000-00004C200000}"/>
    <cellStyle name="Porcentual 2 13 2" xfId="2509" xr:uid="{00000000-0005-0000-0000-00004D200000}"/>
    <cellStyle name="Porcentual 2 13 2 2" xfId="6160" xr:uid="{00000000-0005-0000-0000-00004E200000}"/>
    <cellStyle name="Porcentual 2 13 20" xfId="2510" xr:uid="{00000000-0005-0000-0000-00004F200000}"/>
    <cellStyle name="Porcentual 2 13 20 2" xfId="6161" xr:uid="{00000000-0005-0000-0000-000050200000}"/>
    <cellStyle name="Porcentual 2 13 21" xfId="2511" xr:uid="{00000000-0005-0000-0000-000051200000}"/>
    <cellStyle name="Porcentual 2 13 21 2" xfId="6162" xr:uid="{00000000-0005-0000-0000-000052200000}"/>
    <cellStyle name="Porcentual 2 13 22" xfId="2512" xr:uid="{00000000-0005-0000-0000-000053200000}"/>
    <cellStyle name="Porcentual 2 13 22 2" xfId="6163" xr:uid="{00000000-0005-0000-0000-000054200000}"/>
    <cellStyle name="Porcentual 2 13 23" xfId="2513" xr:uid="{00000000-0005-0000-0000-000055200000}"/>
    <cellStyle name="Porcentual 2 13 23 2" xfId="6164" xr:uid="{00000000-0005-0000-0000-000056200000}"/>
    <cellStyle name="Porcentual 2 13 24" xfId="2514" xr:uid="{00000000-0005-0000-0000-000057200000}"/>
    <cellStyle name="Porcentual 2 13 24 2" xfId="6165" xr:uid="{00000000-0005-0000-0000-000058200000}"/>
    <cellStyle name="Porcentual 2 13 25" xfId="2515" xr:uid="{00000000-0005-0000-0000-000059200000}"/>
    <cellStyle name="Porcentual 2 13 25 2" xfId="6166" xr:uid="{00000000-0005-0000-0000-00005A200000}"/>
    <cellStyle name="Porcentual 2 13 26" xfId="2516" xr:uid="{00000000-0005-0000-0000-00005B200000}"/>
    <cellStyle name="Porcentual 2 13 26 2" xfId="6167" xr:uid="{00000000-0005-0000-0000-00005C200000}"/>
    <cellStyle name="Porcentual 2 13 27" xfId="2517" xr:uid="{00000000-0005-0000-0000-00005D200000}"/>
    <cellStyle name="Porcentual 2 13 27 2" xfId="6168" xr:uid="{00000000-0005-0000-0000-00005E200000}"/>
    <cellStyle name="Porcentual 2 13 28" xfId="2518" xr:uid="{00000000-0005-0000-0000-00005F200000}"/>
    <cellStyle name="Porcentual 2 13 28 2" xfId="6169" xr:uid="{00000000-0005-0000-0000-000060200000}"/>
    <cellStyle name="Porcentual 2 13 29" xfId="6170" xr:uid="{00000000-0005-0000-0000-000061200000}"/>
    <cellStyle name="Porcentual 2 13 3" xfId="2519" xr:uid="{00000000-0005-0000-0000-000062200000}"/>
    <cellStyle name="Porcentual 2 13 3 2" xfId="6171" xr:uid="{00000000-0005-0000-0000-000063200000}"/>
    <cellStyle name="Porcentual 2 13 4" xfId="2520" xr:uid="{00000000-0005-0000-0000-000064200000}"/>
    <cellStyle name="Porcentual 2 13 4 2" xfId="6172" xr:uid="{00000000-0005-0000-0000-000065200000}"/>
    <cellStyle name="Porcentual 2 13 5" xfId="2521" xr:uid="{00000000-0005-0000-0000-000066200000}"/>
    <cellStyle name="Porcentual 2 13 5 2" xfId="6173" xr:uid="{00000000-0005-0000-0000-000067200000}"/>
    <cellStyle name="Porcentual 2 13 6" xfId="2522" xr:uid="{00000000-0005-0000-0000-000068200000}"/>
    <cellStyle name="Porcentual 2 13 6 2" xfId="6174" xr:uid="{00000000-0005-0000-0000-000069200000}"/>
    <cellStyle name="Porcentual 2 13 7" xfId="2523" xr:uid="{00000000-0005-0000-0000-00006A200000}"/>
    <cellStyle name="Porcentual 2 13 7 2" xfId="6175" xr:uid="{00000000-0005-0000-0000-00006B200000}"/>
    <cellStyle name="Porcentual 2 13 8" xfId="2524" xr:uid="{00000000-0005-0000-0000-00006C200000}"/>
    <cellStyle name="Porcentual 2 13 8 2" xfId="6176" xr:uid="{00000000-0005-0000-0000-00006D200000}"/>
    <cellStyle name="Porcentual 2 13 9" xfId="2525" xr:uid="{00000000-0005-0000-0000-00006E200000}"/>
    <cellStyle name="Porcentual 2 13 9 2" xfId="6177" xr:uid="{00000000-0005-0000-0000-00006F200000}"/>
    <cellStyle name="Porcentual 2 14" xfId="2526" xr:uid="{00000000-0005-0000-0000-000070200000}"/>
    <cellStyle name="Porcentual 2 14 10" xfId="2527" xr:uid="{00000000-0005-0000-0000-000071200000}"/>
    <cellStyle name="Porcentual 2 14 10 2" xfId="6178" xr:uid="{00000000-0005-0000-0000-000072200000}"/>
    <cellStyle name="Porcentual 2 14 11" xfId="2528" xr:uid="{00000000-0005-0000-0000-000073200000}"/>
    <cellStyle name="Porcentual 2 14 11 2" xfId="6179" xr:uid="{00000000-0005-0000-0000-000074200000}"/>
    <cellStyle name="Porcentual 2 14 12" xfId="2529" xr:uid="{00000000-0005-0000-0000-000075200000}"/>
    <cellStyle name="Porcentual 2 14 12 2" xfId="6180" xr:uid="{00000000-0005-0000-0000-000076200000}"/>
    <cellStyle name="Porcentual 2 14 13" xfId="2530" xr:uid="{00000000-0005-0000-0000-000077200000}"/>
    <cellStyle name="Porcentual 2 14 13 2" xfId="6181" xr:uid="{00000000-0005-0000-0000-000078200000}"/>
    <cellStyle name="Porcentual 2 14 14" xfId="2531" xr:uid="{00000000-0005-0000-0000-000079200000}"/>
    <cellStyle name="Porcentual 2 14 14 2" xfId="6182" xr:uid="{00000000-0005-0000-0000-00007A200000}"/>
    <cellStyle name="Porcentual 2 14 15" xfId="2532" xr:uid="{00000000-0005-0000-0000-00007B200000}"/>
    <cellStyle name="Porcentual 2 14 15 2" xfId="6183" xr:uid="{00000000-0005-0000-0000-00007C200000}"/>
    <cellStyle name="Porcentual 2 14 16" xfId="2533" xr:uid="{00000000-0005-0000-0000-00007D200000}"/>
    <cellStyle name="Porcentual 2 14 16 2" xfId="6184" xr:uid="{00000000-0005-0000-0000-00007E200000}"/>
    <cellStyle name="Porcentual 2 14 17" xfId="2534" xr:uid="{00000000-0005-0000-0000-00007F200000}"/>
    <cellStyle name="Porcentual 2 14 17 2" xfId="6185" xr:uid="{00000000-0005-0000-0000-000080200000}"/>
    <cellStyle name="Porcentual 2 14 18" xfId="2535" xr:uid="{00000000-0005-0000-0000-000081200000}"/>
    <cellStyle name="Porcentual 2 14 18 2" xfId="6186" xr:uid="{00000000-0005-0000-0000-000082200000}"/>
    <cellStyle name="Porcentual 2 14 19" xfId="2536" xr:uid="{00000000-0005-0000-0000-000083200000}"/>
    <cellStyle name="Porcentual 2 14 19 2" xfId="6187" xr:uid="{00000000-0005-0000-0000-000084200000}"/>
    <cellStyle name="Porcentual 2 14 2" xfId="2537" xr:uid="{00000000-0005-0000-0000-000085200000}"/>
    <cellStyle name="Porcentual 2 14 2 2" xfId="6188" xr:uid="{00000000-0005-0000-0000-000086200000}"/>
    <cellStyle name="Porcentual 2 14 20" xfId="2538" xr:uid="{00000000-0005-0000-0000-000087200000}"/>
    <cellStyle name="Porcentual 2 14 20 2" xfId="6189" xr:uid="{00000000-0005-0000-0000-000088200000}"/>
    <cellStyle name="Porcentual 2 14 21" xfId="2539" xr:uid="{00000000-0005-0000-0000-000089200000}"/>
    <cellStyle name="Porcentual 2 14 21 2" xfId="6190" xr:uid="{00000000-0005-0000-0000-00008A200000}"/>
    <cellStyle name="Porcentual 2 14 22" xfId="2540" xr:uid="{00000000-0005-0000-0000-00008B200000}"/>
    <cellStyle name="Porcentual 2 14 22 2" xfId="6191" xr:uid="{00000000-0005-0000-0000-00008C200000}"/>
    <cellStyle name="Porcentual 2 14 23" xfId="2541" xr:uid="{00000000-0005-0000-0000-00008D200000}"/>
    <cellStyle name="Porcentual 2 14 23 2" xfId="6192" xr:uid="{00000000-0005-0000-0000-00008E200000}"/>
    <cellStyle name="Porcentual 2 14 24" xfId="2542" xr:uid="{00000000-0005-0000-0000-00008F200000}"/>
    <cellStyle name="Porcentual 2 14 24 2" xfId="6193" xr:uid="{00000000-0005-0000-0000-000090200000}"/>
    <cellStyle name="Porcentual 2 14 25" xfId="2543" xr:uid="{00000000-0005-0000-0000-000091200000}"/>
    <cellStyle name="Porcentual 2 14 25 2" xfId="6194" xr:uid="{00000000-0005-0000-0000-000092200000}"/>
    <cellStyle name="Porcentual 2 14 26" xfId="2544" xr:uid="{00000000-0005-0000-0000-000093200000}"/>
    <cellStyle name="Porcentual 2 14 26 2" xfId="6195" xr:uid="{00000000-0005-0000-0000-000094200000}"/>
    <cellStyle name="Porcentual 2 14 27" xfId="2545" xr:uid="{00000000-0005-0000-0000-000095200000}"/>
    <cellStyle name="Porcentual 2 14 27 2" xfId="6196" xr:uid="{00000000-0005-0000-0000-000096200000}"/>
    <cellStyle name="Porcentual 2 14 28" xfId="2546" xr:uid="{00000000-0005-0000-0000-000097200000}"/>
    <cellStyle name="Porcentual 2 14 28 2" xfId="6197" xr:uid="{00000000-0005-0000-0000-000098200000}"/>
    <cellStyle name="Porcentual 2 14 29" xfId="6198" xr:uid="{00000000-0005-0000-0000-000099200000}"/>
    <cellStyle name="Porcentual 2 14 3" xfId="2547" xr:uid="{00000000-0005-0000-0000-00009A200000}"/>
    <cellStyle name="Porcentual 2 14 3 2" xfId="6199" xr:uid="{00000000-0005-0000-0000-00009B200000}"/>
    <cellStyle name="Porcentual 2 14 4" xfId="2548" xr:uid="{00000000-0005-0000-0000-00009C200000}"/>
    <cellStyle name="Porcentual 2 14 4 2" xfId="6200" xr:uid="{00000000-0005-0000-0000-00009D200000}"/>
    <cellStyle name="Porcentual 2 14 5" xfId="2549" xr:uid="{00000000-0005-0000-0000-00009E200000}"/>
    <cellStyle name="Porcentual 2 14 5 2" xfId="6201" xr:uid="{00000000-0005-0000-0000-00009F200000}"/>
    <cellStyle name="Porcentual 2 14 6" xfId="2550" xr:uid="{00000000-0005-0000-0000-0000A0200000}"/>
    <cellStyle name="Porcentual 2 14 6 2" xfId="6202" xr:uid="{00000000-0005-0000-0000-0000A1200000}"/>
    <cellStyle name="Porcentual 2 14 7" xfId="2551" xr:uid="{00000000-0005-0000-0000-0000A2200000}"/>
    <cellStyle name="Porcentual 2 14 7 2" xfId="6203" xr:uid="{00000000-0005-0000-0000-0000A3200000}"/>
    <cellStyle name="Porcentual 2 14 8" xfId="2552" xr:uid="{00000000-0005-0000-0000-0000A4200000}"/>
    <cellStyle name="Porcentual 2 14 8 2" xfId="6204" xr:uid="{00000000-0005-0000-0000-0000A5200000}"/>
    <cellStyle name="Porcentual 2 14 9" xfId="2553" xr:uid="{00000000-0005-0000-0000-0000A6200000}"/>
    <cellStyle name="Porcentual 2 14 9 2" xfId="6205" xr:uid="{00000000-0005-0000-0000-0000A7200000}"/>
    <cellStyle name="Porcentual 2 15" xfId="2554" xr:uid="{00000000-0005-0000-0000-0000A8200000}"/>
    <cellStyle name="Porcentual 2 15 10" xfId="2555" xr:uid="{00000000-0005-0000-0000-0000A9200000}"/>
    <cellStyle name="Porcentual 2 15 10 2" xfId="6206" xr:uid="{00000000-0005-0000-0000-0000AA200000}"/>
    <cellStyle name="Porcentual 2 15 11" xfId="2556" xr:uid="{00000000-0005-0000-0000-0000AB200000}"/>
    <cellStyle name="Porcentual 2 15 11 2" xfId="6207" xr:uid="{00000000-0005-0000-0000-0000AC200000}"/>
    <cellStyle name="Porcentual 2 15 12" xfId="2557" xr:uid="{00000000-0005-0000-0000-0000AD200000}"/>
    <cellStyle name="Porcentual 2 15 12 2" xfId="6208" xr:uid="{00000000-0005-0000-0000-0000AE200000}"/>
    <cellStyle name="Porcentual 2 15 13" xfId="2558" xr:uid="{00000000-0005-0000-0000-0000AF200000}"/>
    <cellStyle name="Porcentual 2 15 13 2" xfId="6209" xr:uid="{00000000-0005-0000-0000-0000B0200000}"/>
    <cellStyle name="Porcentual 2 15 14" xfId="2559" xr:uid="{00000000-0005-0000-0000-0000B1200000}"/>
    <cellStyle name="Porcentual 2 15 14 2" xfId="6210" xr:uid="{00000000-0005-0000-0000-0000B2200000}"/>
    <cellStyle name="Porcentual 2 15 15" xfId="2560" xr:uid="{00000000-0005-0000-0000-0000B3200000}"/>
    <cellStyle name="Porcentual 2 15 15 2" xfId="6211" xr:uid="{00000000-0005-0000-0000-0000B4200000}"/>
    <cellStyle name="Porcentual 2 15 16" xfId="2561" xr:uid="{00000000-0005-0000-0000-0000B5200000}"/>
    <cellStyle name="Porcentual 2 15 16 2" xfId="6212" xr:uid="{00000000-0005-0000-0000-0000B6200000}"/>
    <cellStyle name="Porcentual 2 15 17" xfId="2562" xr:uid="{00000000-0005-0000-0000-0000B7200000}"/>
    <cellStyle name="Porcentual 2 15 17 2" xfId="6213" xr:uid="{00000000-0005-0000-0000-0000B8200000}"/>
    <cellStyle name="Porcentual 2 15 18" xfId="2563" xr:uid="{00000000-0005-0000-0000-0000B9200000}"/>
    <cellStyle name="Porcentual 2 15 18 2" xfId="6214" xr:uid="{00000000-0005-0000-0000-0000BA200000}"/>
    <cellStyle name="Porcentual 2 15 19" xfId="2564" xr:uid="{00000000-0005-0000-0000-0000BB200000}"/>
    <cellStyle name="Porcentual 2 15 19 2" xfId="6215" xr:uid="{00000000-0005-0000-0000-0000BC200000}"/>
    <cellStyle name="Porcentual 2 15 2" xfId="2565" xr:uid="{00000000-0005-0000-0000-0000BD200000}"/>
    <cellStyle name="Porcentual 2 15 2 2" xfId="6216" xr:uid="{00000000-0005-0000-0000-0000BE200000}"/>
    <cellStyle name="Porcentual 2 15 20" xfId="2566" xr:uid="{00000000-0005-0000-0000-0000BF200000}"/>
    <cellStyle name="Porcentual 2 15 20 2" xfId="6217" xr:uid="{00000000-0005-0000-0000-0000C0200000}"/>
    <cellStyle name="Porcentual 2 15 21" xfId="2567" xr:uid="{00000000-0005-0000-0000-0000C1200000}"/>
    <cellStyle name="Porcentual 2 15 21 2" xfId="6218" xr:uid="{00000000-0005-0000-0000-0000C2200000}"/>
    <cellStyle name="Porcentual 2 15 22" xfId="2568" xr:uid="{00000000-0005-0000-0000-0000C3200000}"/>
    <cellStyle name="Porcentual 2 15 22 2" xfId="6219" xr:uid="{00000000-0005-0000-0000-0000C4200000}"/>
    <cellStyle name="Porcentual 2 15 23" xfId="2569" xr:uid="{00000000-0005-0000-0000-0000C5200000}"/>
    <cellStyle name="Porcentual 2 15 23 2" xfId="6220" xr:uid="{00000000-0005-0000-0000-0000C6200000}"/>
    <cellStyle name="Porcentual 2 15 24" xfId="2570" xr:uid="{00000000-0005-0000-0000-0000C7200000}"/>
    <cellStyle name="Porcentual 2 15 24 2" xfId="6221" xr:uid="{00000000-0005-0000-0000-0000C8200000}"/>
    <cellStyle name="Porcentual 2 15 25" xfId="2571" xr:uid="{00000000-0005-0000-0000-0000C9200000}"/>
    <cellStyle name="Porcentual 2 15 25 2" xfId="6222" xr:uid="{00000000-0005-0000-0000-0000CA200000}"/>
    <cellStyle name="Porcentual 2 15 26" xfId="2572" xr:uid="{00000000-0005-0000-0000-0000CB200000}"/>
    <cellStyle name="Porcentual 2 15 26 2" xfId="6223" xr:uid="{00000000-0005-0000-0000-0000CC200000}"/>
    <cellStyle name="Porcentual 2 15 27" xfId="2573" xr:uid="{00000000-0005-0000-0000-0000CD200000}"/>
    <cellStyle name="Porcentual 2 15 27 2" xfId="6224" xr:uid="{00000000-0005-0000-0000-0000CE200000}"/>
    <cellStyle name="Porcentual 2 15 28" xfId="2574" xr:uid="{00000000-0005-0000-0000-0000CF200000}"/>
    <cellStyle name="Porcentual 2 15 28 2" xfId="6225" xr:uid="{00000000-0005-0000-0000-0000D0200000}"/>
    <cellStyle name="Porcentual 2 15 29" xfId="6226" xr:uid="{00000000-0005-0000-0000-0000D1200000}"/>
    <cellStyle name="Porcentual 2 15 3" xfId="2575" xr:uid="{00000000-0005-0000-0000-0000D2200000}"/>
    <cellStyle name="Porcentual 2 15 3 2" xfId="6227" xr:uid="{00000000-0005-0000-0000-0000D3200000}"/>
    <cellStyle name="Porcentual 2 15 4" xfId="2576" xr:uid="{00000000-0005-0000-0000-0000D4200000}"/>
    <cellStyle name="Porcentual 2 15 4 2" xfId="6228" xr:uid="{00000000-0005-0000-0000-0000D5200000}"/>
    <cellStyle name="Porcentual 2 15 5" xfId="2577" xr:uid="{00000000-0005-0000-0000-0000D6200000}"/>
    <cellStyle name="Porcentual 2 15 5 2" xfId="6229" xr:uid="{00000000-0005-0000-0000-0000D7200000}"/>
    <cellStyle name="Porcentual 2 15 6" xfId="2578" xr:uid="{00000000-0005-0000-0000-0000D8200000}"/>
    <cellStyle name="Porcentual 2 15 6 2" xfId="6230" xr:uid="{00000000-0005-0000-0000-0000D9200000}"/>
    <cellStyle name="Porcentual 2 15 7" xfId="2579" xr:uid="{00000000-0005-0000-0000-0000DA200000}"/>
    <cellStyle name="Porcentual 2 15 7 2" xfId="6231" xr:uid="{00000000-0005-0000-0000-0000DB200000}"/>
    <cellStyle name="Porcentual 2 15 8" xfId="2580" xr:uid="{00000000-0005-0000-0000-0000DC200000}"/>
    <cellStyle name="Porcentual 2 15 8 2" xfId="6232" xr:uid="{00000000-0005-0000-0000-0000DD200000}"/>
    <cellStyle name="Porcentual 2 15 9" xfId="2581" xr:uid="{00000000-0005-0000-0000-0000DE200000}"/>
    <cellStyle name="Porcentual 2 15 9 2" xfId="6233" xr:uid="{00000000-0005-0000-0000-0000DF200000}"/>
    <cellStyle name="Porcentual 2 16" xfId="2582" xr:uid="{00000000-0005-0000-0000-0000E0200000}"/>
    <cellStyle name="Porcentual 2 16 10" xfId="2583" xr:uid="{00000000-0005-0000-0000-0000E1200000}"/>
    <cellStyle name="Porcentual 2 16 10 2" xfId="6234" xr:uid="{00000000-0005-0000-0000-0000E2200000}"/>
    <cellStyle name="Porcentual 2 16 11" xfId="2584" xr:uid="{00000000-0005-0000-0000-0000E3200000}"/>
    <cellStyle name="Porcentual 2 16 11 2" xfId="6235" xr:uid="{00000000-0005-0000-0000-0000E4200000}"/>
    <cellStyle name="Porcentual 2 16 12" xfId="2585" xr:uid="{00000000-0005-0000-0000-0000E5200000}"/>
    <cellStyle name="Porcentual 2 16 12 2" xfId="6236" xr:uid="{00000000-0005-0000-0000-0000E6200000}"/>
    <cellStyle name="Porcentual 2 16 13" xfId="2586" xr:uid="{00000000-0005-0000-0000-0000E7200000}"/>
    <cellStyle name="Porcentual 2 16 13 2" xfId="6237" xr:uid="{00000000-0005-0000-0000-0000E8200000}"/>
    <cellStyle name="Porcentual 2 16 14" xfId="2587" xr:uid="{00000000-0005-0000-0000-0000E9200000}"/>
    <cellStyle name="Porcentual 2 16 14 2" xfId="6238" xr:uid="{00000000-0005-0000-0000-0000EA200000}"/>
    <cellStyle name="Porcentual 2 16 15" xfId="2588" xr:uid="{00000000-0005-0000-0000-0000EB200000}"/>
    <cellStyle name="Porcentual 2 16 15 2" xfId="6239" xr:uid="{00000000-0005-0000-0000-0000EC200000}"/>
    <cellStyle name="Porcentual 2 16 16" xfId="2589" xr:uid="{00000000-0005-0000-0000-0000ED200000}"/>
    <cellStyle name="Porcentual 2 16 16 2" xfId="6240" xr:uid="{00000000-0005-0000-0000-0000EE200000}"/>
    <cellStyle name="Porcentual 2 16 17" xfId="2590" xr:uid="{00000000-0005-0000-0000-0000EF200000}"/>
    <cellStyle name="Porcentual 2 16 17 2" xfId="6241" xr:uid="{00000000-0005-0000-0000-0000F0200000}"/>
    <cellStyle name="Porcentual 2 16 18" xfId="2591" xr:uid="{00000000-0005-0000-0000-0000F1200000}"/>
    <cellStyle name="Porcentual 2 16 18 2" xfId="6242" xr:uid="{00000000-0005-0000-0000-0000F2200000}"/>
    <cellStyle name="Porcentual 2 16 19" xfId="2592" xr:uid="{00000000-0005-0000-0000-0000F3200000}"/>
    <cellStyle name="Porcentual 2 16 19 2" xfId="6243" xr:uid="{00000000-0005-0000-0000-0000F4200000}"/>
    <cellStyle name="Porcentual 2 16 2" xfId="2593" xr:uid="{00000000-0005-0000-0000-0000F5200000}"/>
    <cellStyle name="Porcentual 2 16 2 2" xfId="6244" xr:uid="{00000000-0005-0000-0000-0000F6200000}"/>
    <cellStyle name="Porcentual 2 16 20" xfId="2594" xr:uid="{00000000-0005-0000-0000-0000F7200000}"/>
    <cellStyle name="Porcentual 2 16 20 2" xfId="6245" xr:uid="{00000000-0005-0000-0000-0000F8200000}"/>
    <cellStyle name="Porcentual 2 16 21" xfId="2595" xr:uid="{00000000-0005-0000-0000-0000F9200000}"/>
    <cellStyle name="Porcentual 2 16 21 2" xfId="6246" xr:uid="{00000000-0005-0000-0000-0000FA200000}"/>
    <cellStyle name="Porcentual 2 16 22" xfId="2596" xr:uid="{00000000-0005-0000-0000-0000FB200000}"/>
    <cellStyle name="Porcentual 2 16 22 2" xfId="6247" xr:uid="{00000000-0005-0000-0000-0000FC200000}"/>
    <cellStyle name="Porcentual 2 16 23" xfId="2597" xr:uid="{00000000-0005-0000-0000-0000FD200000}"/>
    <cellStyle name="Porcentual 2 16 23 2" xfId="6248" xr:uid="{00000000-0005-0000-0000-0000FE200000}"/>
    <cellStyle name="Porcentual 2 16 24" xfId="2598" xr:uid="{00000000-0005-0000-0000-0000FF200000}"/>
    <cellStyle name="Porcentual 2 16 24 2" xfId="6249" xr:uid="{00000000-0005-0000-0000-000000210000}"/>
    <cellStyle name="Porcentual 2 16 25" xfId="2599" xr:uid="{00000000-0005-0000-0000-000001210000}"/>
    <cellStyle name="Porcentual 2 16 25 2" xfId="6250" xr:uid="{00000000-0005-0000-0000-000002210000}"/>
    <cellStyle name="Porcentual 2 16 26" xfId="2600" xr:uid="{00000000-0005-0000-0000-000003210000}"/>
    <cellStyle name="Porcentual 2 16 26 2" xfId="6251" xr:uid="{00000000-0005-0000-0000-000004210000}"/>
    <cellStyle name="Porcentual 2 16 27" xfId="2601" xr:uid="{00000000-0005-0000-0000-000005210000}"/>
    <cellStyle name="Porcentual 2 16 27 2" xfId="6252" xr:uid="{00000000-0005-0000-0000-000006210000}"/>
    <cellStyle name="Porcentual 2 16 28" xfId="2602" xr:uid="{00000000-0005-0000-0000-000007210000}"/>
    <cellStyle name="Porcentual 2 16 28 2" xfId="6253" xr:uid="{00000000-0005-0000-0000-000008210000}"/>
    <cellStyle name="Porcentual 2 16 29" xfId="6254" xr:uid="{00000000-0005-0000-0000-000009210000}"/>
    <cellStyle name="Porcentual 2 16 3" xfId="2603" xr:uid="{00000000-0005-0000-0000-00000A210000}"/>
    <cellStyle name="Porcentual 2 16 3 2" xfId="6255" xr:uid="{00000000-0005-0000-0000-00000B210000}"/>
    <cellStyle name="Porcentual 2 16 4" xfId="2604" xr:uid="{00000000-0005-0000-0000-00000C210000}"/>
    <cellStyle name="Porcentual 2 16 4 2" xfId="6256" xr:uid="{00000000-0005-0000-0000-00000D210000}"/>
    <cellStyle name="Porcentual 2 16 5" xfId="2605" xr:uid="{00000000-0005-0000-0000-00000E210000}"/>
    <cellStyle name="Porcentual 2 16 5 2" xfId="6257" xr:uid="{00000000-0005-0000-0000-00000F210000}"/>
    <cellStyle name="Porcentual 2 16 6" xfId="2606" xr:uid="{00000000-0005-0000-0000-000010210000}"/>
    <cellStyle name="Porcentual 2 16 6 2" xfId="6258" xr:uid="{00000000-0005-0000-0000-000011210000}"/>
    <cellStyle name="Porcentual 2 16 7" xfId="2607" xr:uid="{00000000-0005-0000-0000-000012210000}"/>
    <cellStyle name="Porcentual 2 16 7 2" xfId="6259" xr:uid="{00000000-0005-0000-0000-000013210000}"/>
    <cellStyle name="Porcentual 2 16 8" xfId="2608" xr:uid="{00000000-0005-0000-0000-000014210000}"/>
    <cellStyle name="Porcentual 2 16 8 2" xfId="6260" xr:uid="{00000000-0005-0000-0000-000015210000}"/>
    <cellStyle name="Porcentual 2 16 9" xfId="2609" xr:uid="{00000000-0005-0000-0000-000016210000}"/>
    <cellStyle name="Porcentual 2 16 9 2" xfId="6261" xr:uid="{00000000-0005-0000-0000-000017210000}"/>
    <cellStyle name="Porcentual 2 17" xfId="2610" xr:uid="{00000000-0005-0000-0000-000018210000}"/>
    <cellStyle name="Porcentual 2 17 10" xfId="2611" xr:uid="{00000000-0005-0000-0000-000019210000}"/>
    <cellStyle name="Porcentual 2 17 10 2" xfId="6262" xr:uid="{00000000-0005-0000-0000-00001A210000}"/>
    <cellStyle name="Porcentual 2 17 11" xfId="2612" xr:uid="{00000000-0005-0000-0000-00001B210000}"/>
    <cellStyle name="Porcentual 2 17 11 2" xfId="6263" xr:uid="{00000000-0005-0000-0000-00001C210000}"/>
    <cellStyle name="Porcentual 2 17 12" xfId="2613" xr:uid="{00000000-0005-0000-0000-00001D210000}"/>
    <cellStyle name="Porcentual 2 17 12 2" xfId="6264" xr:uid="{00000000-0005-0000-0000-00001E210000}"/>
    <cellStyle name="Porcentual 2 17 13" xfId="2614" xr:uid="{00000000-0005-0000-0000-00001F210000}"/>
    <cellStyle name="Porcentual 2 17 13 2" xfId="6265" xr:uid="{00000000-0005-0000-0000-000020210000}"/>
    <cellStyle name="Porcentual 2 17 14" xfId="2615" xr:uid="{00000000-0005-0000-0000-000021210000}"/>
    <cellStyle name="Porcentual 2 17 14 2" xfId="6266" xr:uid="{00000000-0005-0000-0000-000022210000}"/>
    <cellStyle name="Porcentual 2 17 15" xfId="2616" xr:uid="{00000000-0005-0000-0000-000023210000}"/>
    <cellStyle name="Porcentual 2 17 15 2" xfId="6267" xr:uid="{00000000-0005-0000-0000-000024210000}"/>
    <cellStyle name="Porcentual 2 17 16" xfId="2617" xr:uid="{00000000-0005-0000-0000-000025210000}"/>
    <cellStyle name="Porcentual 2 17 16 2" xfId="6268" xr:uid="{00000000-0005-0000-0000-000026210000}"/>
    <cellStyle name="Porcentual 2 17 17" xfId="2618" xr:uid="{00000000-0005-0000-0000-000027210000}"/>
    <cellStyle name="Porcentual 2 17 17 2" xfId="6269" xr:uid="{00000000-0005-0000-0000-000028210000}"/>
    <cellStyle name="Porcentual 2 17 18" xfId="2619" xr:uid="{00000000-0005-0000-0000-000029210000}"/>
    <cellStyle name="Porcentual 2 17 18 2" xfId="6270" xr:uid="{00000000-0005-0000-0000-00002A210000}"/>
    <cellStyle name="Porcentual 2 17 19" xfId="2620" xr:uid="{00000000-0005-0000-0000-00002B210000}"/>
    <cellStyle name="Porcentual 2 17 19 2" xfId="6271" xr:uid="{00000000-0005-0000-0000-00002C210000}"/>
    <cellStyle name="Porcentual 2 17 2" xfId="2621" xr:uid="{00000000-0005-0000-0000-00002D210000}"/>
    <cellStyle name="Porcentual 2 17 2 2" xfId="6272" xr:uid="{00000000-0005-0000-0000-00002E210000}"/>
    <cellStyle name="Porcentual 2 17 20" xfId="2622" xr:uid="{00000000-0005-0000-0000-00002F210000}"/>
    <cellStyle name="Porcentual 2 17 20 2" xfId="6273" xr:uid="{00000000-0005-0000-0000-000030210000}"/>
    <cellStyle name="Porcentual 2 17 21" xfId="2623" xr:uid="{00000000-0005-0000-0000-000031210000}"/>
    <cellStyle name="Porcentual 2 17 21 2" xfId="6274" xr:uid="{00000000-0005-0000-0000-000032210000}"/>
    <cellStyle name="Porcentual 2 17 22" xfId="2624" xr:uid="{00000000-0005-0000-0000-000033210000}"/>
    <cellStyle name="Porcentual 2 17 22 2" xfId="6275" xr:uid="{00000000-0005-0000-0000-000034210000}"/>
    <cellStyle name="Porcentual 2 17 23" xfId="2625" xr:uid="{00000000-0005-0000-0000-000035210000}"/>
    <cellStyle name="Porcentual 2 17 23 2" xfId="6276" xr:uid="{00000000-0005-0000-0000-000036210000}"/>
    <cellStyle name="Porcentual 2 17 24" xfId="2626" xr:uid="{00000000-0005-0000-0000-000037210000}"/>
    <cellStyle name="Porcentual 2 17 24 2" xfId="6277" xr:uid="{00000000-0005-0000-0000-000038210000}"/>
    <cellStyle name="Porcentual 2 17 25" xfId="2627" xr:uid="{00000000-0005-0000-0000-000039210000}"/>
    <cellStyle name="Porcentual 2 17 25 2" xfId="6278" xr:uid="{00000000-0005-0000-0000-00003A210000}"/>
    <cellStyle name="Porcentual 2 17 26" xfId="2628" xr:uid="{00000000-0005-0000-0000-00003B210000}"/>
    <cellStyle name="Porcentual 2 17 26 2" xfId="6279" xr:uid="{00000000-0005-0000-0000-00003C210000}"/>
    <cellStyle name="Porcentual 2 17 27" xfId="2629" xr:uid="{00000000-0005-0000-0000-00003D210000}"/>
    <cellStyle name="Porcentual 2 17 27 2" xfId="6280" xr:uid="{00000000-0005-0000-0000-00003E210000}"/>
    <cellStyle name="Porcentual 2 17 28" xfId="2630" xr:uid="{00000000-0005-0000-0000-00003F210000}"/>
    <cellStyle name="Porcentual 2 17 28 2" xfId="6281" xr:uid="{00000000-0005-0000-0000-000040210000}"/>
    <cellStyle name="Porcentual 2 17 29" xfId="6282" xr:uid="{00000000-0005-0000-0000-000041210000}"/>
    <cellStyle name="Porcentual 2 17 3" xfId="2631" xr:uid="{00000000-0005-0000-0000-000042210000}"/>
    <cellStyle name="Porcentual 2 17 3 2" xfId="6283" xr:uid="{00000000-0005-0000-0000-000043210000}"/>
    <cellStyle name="Porcentual 2 17 4" xfId="2632" xr:uid="{00000000-0005-0000-0000-000044210000}"/>
    <cellStyle name="Porcentual 2 17 4 2" xfId="6284" xr:uid="{00000000-0005-0000-0000-000045210000}"/>
    <cellStyle name="Porcentual 2 17 5" xfId="2633" xr:uid="{00000000-0005-0000-0000-000046210000}"/>
    <cellStyle name="Porcentual 2 17 5 2" xfId="6285" xr:uid="{00000000-0005-0000-0000-000047210000}"/>
    <cellStyle name="Porcentual 2 17 6" xfId="2634" xr:uid="{00000000-0005-0000-0000-000048210000}"/>
    <cellStyle name="Porcentual 2 17 6 2" xfId="6286" xr:uid="{00000000-0005-0000-0000-000049210000}"/>
    <cellStyle name="Porcentual 2 17 7" xfId="2635" xr:uid="{00000000-0005-0000-0000-00004A210000}"/>
    <cellStyle name="Porcentual 2 17 7 2" xfId="6287" xr:uid="{00000000-0005-0000-0000-00004B210000}"/>
    <cellStyle name="Porcentual 2 17 8" xfId="2636" xr:uid="{00000000-0005-0000-0000-00004C210000}"/>
    <cellStyle name="Porcentual 2 17 8 2" xfId="6288" xr:uid="{00000000-0005-0000-0000-00004D210000}"/>
    <cellStyle name="Porcentual 2 17 9" xfId="2637" xr:uid="{00000000-0005-0000-0000-00004E210000}"/>
    <cellStyle name="Porcentual 2 17 9 2" xfId="6289" xr:uid="{00000000-0005-0000-0000-00004F210000}"/>
    <cellStyle name="Porcentual 2 18" xfId="2638" xr:uid="{00000000-0005-0000-0000-000050210000}"/>
    <cellStyle name="Porcentual 2 18 10" xfId="2639" xr:uid="{00000000-0005-0000-0000-000051210000}"/>
    <cellStyle name="Porcentual 2 18 10 2" xfId="6290" xr:uid="{00000000-0005-0000-0000-000052210000}"/>
    <cellStyle name="Porcentual 2 18 11" xfId="2640" xr:uid="{00000000-0005-0000-0000-000053210000}"/>
    <cellStyle name="Porcentual 2 18 11 2" xfId="6291" xr:uid="{00000000-0005-0000-0000-000054210000}"/>
    <cellStyle name="Porcentual 2 18 12" xfId="2641" xr:uid="{00000000-0005-0000-0000-000055210000}"/>
    <cellStyle name="Porcentual 2 18 12 2" xfId="6292" xr:uid="{00000000-0005-0000-0000-000056210000}"/>
    <cellStyle name="Porcentual 2 18 13" xfId="2642" xr:uid="{00000000-0005-0000-0000-000057210000}"/>
    <cellStyle name="Porcentual 2 18 13 2" xfId="6293" xr:uid="{00000000-0005-0000-0000-000058210000}"/>
    <cellStyle name="Porcentual 2 18 14" xfId="2643" xr:uid="{00000000-0005-0000-0000-000059210000}"/>
    <cellStyle name="Porcentual 2 18 14 2" xfId="6294" xr:uid="{00000000-0005-0000-0000-00005A210000}"/>
    <cellStyle name="Porcentual 2 18 15" xfId="2644" xr:uid="{00000000-0005-0000-0000-00005B210000}"/>
    <cellStyle name="Porcentual 2 18 15 2" xfId="6295" xr:uid="{00000000-0005-0000-0000-00005C210000}"/>
    <cellStyle name="Porcentual 2 18 16" xfId="2645" xr:uid="{00000000-0005-0000-0000-00005D210000}"/>
    <cellStyle name="Porcentual 2 18 16 2" xfId="6296" xr:uid="{00000000-0005-0000-0000-00005E210000}"/>
    <cellStyle name="Porcentual 2 18 17" xfId="2646" xr:uid="{00000000-0005-0000-0000-00005F210000}"/>
    <cellStyle name="Porcentual 2 18 17 2" xfId="6297" xr:uid="{00000000-0005-0000-0000-000060210000}"/>
    <cellStyle name="Porcentual 2 18 18" xfId="2647" xr:uid="{00000000-0005-0000-0000-000061210000}"/>
    <cellStyle name="Porcentual 2 18 18 2" xfId="6298" xr:uid="{00000000-0005-0000-0000-000062210000}"/>
    <cellStyle name="Porcentual 2 18 19" xfId="2648" xr:uid="{00000000-0005-0000-0000-000063210000}"/>
    <cellStyle name="Porcentual 2 18 19 2" xfId="6299" xr:uid="{00000000-0005-0000-0000-000064210000}"/>
    <cellStyle name="Porcentual 2 18 2" xfId="2649" xr:uid="{00000000-0005-0000-0000-000065210000}"/>
    <cellStyle name="Porcentual 2 18 2 2" xfId="6300" xr:uid="{00000000-0005-0000-0000-000066210000}"/>
    <cellStyle name="Porcentual 2 18 20" xfId="2650" xr:uid="{00000000-0005-0000-0000-000067210000}"/>
    <cellStyle name="Porcentual 2 18 20 2" xfId="6301" xr:uid="{00000000-0005-0000-0000-000068210000}"/>
    <cellStyle name="Porcentual 2 18 21" xfId="2651" xr:uid="{00000000-0005-0000-0000-000069210000}"/>
    <cellStyle name="Porcentual 2 18 21 2" xfId="6302" xr:uid="{00000000-0005-0000-0000-00006A210000}"/>
    <cellStyle name="Porcentual 2 18 22" xfId="2652" xr:uid="{00000000-0005-0000-0000-00006B210000}"/>
    <cellStyle name="Porcentual 2 18 22 2" xfId="6303" xr:uid="{00000000-0005-0000-0000-00006C210000}"/>
    <cellStyle name="Porcentual 2 18 23" xfId="2653" xr:uid="{00000000-0005-0000-0000-00006D210000}"/>
    <cellStyle name="Porcentual 2 18 23 2" xfId="6304" xr:uid="{00000000-0005-0000-0000-00006E210000}"/>
    <cellStyle name="Porcentual 2 18 24" xfId="2654" xr:uid="{00000000-0005-0000-0000-00006F210000}"/>
    <cellStyle name="Porcentual 2 18 24 2" xfId="6305" xr:uid="{00000000-0005-0000-0000-000070210000}"/>
    <cellStyle name="Porcentual 2 18 25" xfId="2655" xr:uid="{00000000-0005-0000-0000-000071210000}"/>
    <cellStyle name="Porcentual 2 18 25 2" xfId="6306" xr:uid="{00000000-0005-0000-0000-000072210000}"/>
    <cellStyle name="Porcentual 2 18 26" xfId="2656" xr:uid="{00000000-0005-0000-0000-000073210000}"/>
    <cellStyle name="Porcentual 2 18 26 2" xfId="6307" xr:uid="{00000000-0005-0000-0000-000074210000}"/>
    <cellStyle name="Porcentual 2 18 27" xfId="2657" xr:uid="{00000000-0005-0000-0000-000075210000}"/>
    <cellStyle name="Porcentual 2 18 27 2" xfId="6308" xr:uid="{00000000-0005-0000-0000-000076210000}"/>
    <cellStyle name="Porcentual 2 18 28" xfId="2658" xr:uid="{00000000-0005-0000-0000-000077210000}"/>
    <cellStyle name="Porcentual 2 18 28 2" xfId="6309" xr:uid="{00000000-0005-0000-0000-000078210000}"/>
    <cellStyle name="Porcentual 2 18 29" xfId="6310" xr:uid="{00000000-0005-0000-0000-000079210000}"/>
    <cellStyle name="Porcentual 2 18 3" xfId="2659" xr:uid="{00000000-0005-0000-0000-00007A210000}"/>
    <cellStyle name="Porcentual 2 18 3 2" xfId="6311" xr:uid="{00000000-0005-0000-0000-00007B210000}"/>
    <cellStyle name="Porcentual 2 18 4" xfId="2660" xr:uid="{00000000-0005-0000-0000-00007C210000}"/>
    <cellStyle name="Porcentual 2 18 4 2" xfId="6312" xr:uid="{00000000-0005-0000-0000-00007D210000}"/>
    <cellStyle name="Porcentual 2 18 5" xfId="2661" xr:uid="{00000000-0005-0000-0000-00007E210000}"/>
    <cellStyle name="Porcentual 2 18 5 2" xfId="6313" xr:uid="{00000000-0005-0000-0000-00007F210000}"/>
    <cellStyle name="Porcentual 2 18 6" xfId="2662" xr:uid="{00000000-0005-0000-0000-000080210000}"/>
    <cellStyle name="Porcentual 2 18 6 2" xfId="6314" xr:uid="{00000000-0005-0000-0000-000081210000}"/>
    <cellStyle name="Porcentual 2 18 7" xfId="2663" xr:uid="{00000000-0005-0000-0000-000082210000}"/>
    <cellStyle name="Porcentual 2 18 7 2" xfId="6315" xr:uid="{00000000-0005-0000-0000-000083210000}"/>
    <cellStyle name="Porcentual 2 18 8" xfId="2664" xr:uid="{00000000-0005-0000-0000-000084210000}"/>
    <cellStyle name="Porcentual 2 18 8 2" xfId="6316" xr:uid="{00000000-0005-0000-0000-000085210000}"/>
    <cellStyle name="Porcentual 2 18 9" xfId="2665" xr:uid="{00000000-0005-0000-0000-000086210000}"/>
    <cellStyle name="Porcentual 2 18 9 2" xfId="6317" xr:uid="{00000000-0005-0000-0000-000087210000}"/>
    <cellStyle name="Porcentual 2 19" xfId="2666" xr:uid="{00000000-0005-0000-0000-000088210000}"/>
    <cellStyle name="Porcentual 2 19 10" xfId="2667" xr:uid="{00000000-0005-0000-0000-000089210000}"/>
    <cellStyle name="Porcentual 2 19 10 2" xfId="6318" xr:uid="{00000000-0005-0000-0000-00008A210000}"/>
    <cellStyle name="Porcentual 2 19 11" xfId="2668" xr:uid="{00000000-0005-0000-0000-00008B210000}"/>
    <cellStyle name="Porcentual 2 19 11 2" xfId="6319" xr:uid="{00000000-0005-0000-0000-00008C210000}"/>
    <cellStyle name="Porcentual 2 19 12" xfId="2669" xr:uid="{00000000-0005-0000-0000-00008D210000}"/>
    <cellStyle name="Porcentual 2 19 12 2" xfId="6320" xr:uid="{00000000-0005-0000-0000-00008E210000}"/>
    <cellStyle name="Porcentual 2 19 13" xfId="2670" xr:uid="{00000000-0005-0000-0000-00008F210000}"/>
    <cellStyle name="Porcentual 2 19 13 2" xfId="6321" xr:uid="{00000000-0005-0000-0000-000090210000}"/>
    <cellStyle name="Porcentual 2 19 14" xfId="2671" xr:uid="{00000000-0005-0000-0000-000091210000}"/>
    <cellStyle name="Porcentual 2 19 14 2" xfId="6322" xr:uid="{00000000-0005-0000-0000-000092210000}"/>
    <cellStyle name="Porcentual 2 19 15" xfId="2672" xr:uid="{00000000-0005-0000-0000-000093210000}"/>
    <cellStyle name="Porcentual 2 19 15 2" xfId="6323" xr:uid="{00000000-0005-0000-0000-000094210000}"/>
    <cellStyle name="Porcentual 2 19 16" xfId="2673" xr:uid="{00000000-0005-0000-0000-000095210000}"/>
    <cellStyle name="Porcentual 2 19 16 2" xfId="6324" xr:uid="{00000000-0005-0000-0000-000096210000}"/>
    <cellStyle name="Porcentual 2 19 17" xfId="2674" xr:uid="{00000000-0005-0000-0000-000097210000}"/>
    <cellStyle name="Porcentual 2 19 17 2" xfId="6325" xr:uid="{00000000-0005-0000-0000-000098210000}"/>
    <cellStyle name="Porcentual 2 19 18" xfId="2675" xr:uid="{00000000-0005-0000-0000-000099210000}"/>
    <cellStyle name="Porcentual 2 19 18 2" xfId="6326" xr:uid="{00000000-0005-0000-0000-00009A210000}"/>
    <cellStyle name="Porcentual 2 19 19" xfId="2676" xr:uid="{00000000-0005-0000-0000-00009B210000}"/>
    <cellStyle name="Porcentual 2 19 19 2" xfId="6327" xr:uid="{00000000-0005-0000-0000-00009C210000}"/>
    <cellStyle name="Porcentual 2 19 2" xfId="2677" xr:uid="{00000000-0005-0000-0000-00009D210000}"/>
    <cellStyle name="Porcentual 2 19 2 2" xfId="6328" xr:uid="{00000000-0005-0000-0000-00009E210000}"/>
    <cellStyle name="Porcentual 2 19 20" xfId="2678" xr:uid="{00000000-0005-0000-0000-00009F210000}"/>
    <cellStyle name="Porcentual 2 19 20 2" xfId="6329" xr:uid="{00000000-0005-0000-0000-0000A0210000}"/>
    <cellStyle name="Porcentual 2 19 21" xfId="2679" xr:uid="{00000000-0005-0000-0000-0000A1210000}"/>
    <cellStyle name="Porcentual 2 19 21 2" xfId="6330" xr:uid="{00000000-0005-0000-0000-0000A2210000}"/>
    <cellStyle name="Porcentual 2 19 22" xfId="2680" xr:uid="{00000000-0005-0000-0000-0000A3210000}"/>
    <cellStyle name="Porcentual 2 19 22 2" xfId="6331" xr:uid="{00000000-0005-0000-0000-0000A4210000}"/>
    <cellStyle name="Porcentual 2 19 23" xfId="2681" xr:uid="{00000000-0005-0000-0000-0000A5210000}"/>
    <cellStyle name="Porcentual 2 19 23 2" xfId="6332" xr:uid="{00000000-0005-0000-0000-0000A6210000}"/>
    <cellStyle name="Porcentual 2 19 24" xfId="2682" xr:uid="{00000000-0005-0000-0000-0000A7210000}"/>
    <cellStyle name="Porcentual 2 19 24 2" xfId="6333" xr:uid="{00000000-0005-0000-0000-0000A8210000}"/>
    <cellStyle name="Porcentual 2 19 25" xfId="2683" xr:uid="{00000000-0005-0000-0000-0000A9210000}"/>
    <cellStyle name="Porcentual 2 19 25 2" xfId="6334" xr:uid="{00000000-0005-0000-0000-0000AA210000}"/>
    <cellStyle name="Porcentual 2 19 26" xfId="2684" xr:uid="{00000000-0005-0000-0000-0000AB210000}"/>
    <cellStyle name="Porcentual 2 19 26 2" xfId="6335" xr:uid="{00000000-0005-0000-0000-0000AC210000}"/>
    <cellStyle name="Porcentual 2 19 27" xfId="2685" xr:uid="{00000000-0005-0000-0000-0000AD210000}"/>
    <cellStyle name="Porcentual 2 19 27 2" xfId="6336" xr:uid="{00000000-0005-0000-0000-0000AE210000}"/>
    <cellStyle name="Porcentual 2 19 28" xfId="2686" xr:uid="{00000000-0005-0000-0000-0000AF210000}"/>
    <cellStyle name="Porcentual 2 19 28 2" xfId="6337" xr:uid="{00000000-0005-0000-0000-0000B0210000}"/>
    <cellStyle name="Porcentual 2 19 29" xfId="6338" xr:uid="{00000000-0005-0000-0000-0000B1210000}"/>
    <cellStyle name="Porcentual 2 19 3" xfId="2687" xr:uid="{00000000-0005-0000-0000-0000B2210000}"/>
    <cellStyle name="Porcentual 2 19 3 2" xfId="6339" xr:uid="{00000000-0005-0000-0000-0000B3210000}"/>
    <cellStyle name="Porcentual 2 19 4" xfId="2688" xr:uid="{00000000-0005-0000-0000-0000B4210000}"/>
    <cellStyle name="Porcentual 2 19 4 2" xfId="6340" xr:uid="{00000000-0005-0000-0000-0000B5210000}"/>
    <cellStyle name="Porcentual 2 19 5" xfId="2689" xr:uid="{00000000-0005-0000-0000-0000B6210000}"/>
    <cellStyle name="Porcentual 2 19 5 2" xfId="6341" xr:uid="{00000000-0005-0000-0000-0000B7210000}"/>
    <cellStyle name="Porcentual 2 19 6" xfId="2690" xr:uid="{00000000-0005-0000-0000-0000B8210000}"/>
    <cellStyle name="Porcentual 2 19 6 2" xfId="6342" xr:uid="{00000000-0005-0000-0000-0000B9210000}"/>
    <cellStyle name="Porcentual 2 19 7" xfId="2691" xr:uid="{00000000-0005-0000-0000-0000BA210000}"/>
    <cellStyle name="Porcentual 2 19 7 2" xfId="6343" xr:uid="{00000000-0005-0000-0000-0000BB210000}"/>
    <cellStyle name="Porcentual 2 19 8" xfId="2692" xr:uid="{00000000-0005-0000-0000-0000BC210000}"/>
    <cellStyle name="Porcentual 2 19 8 2" xfId="6344" xr:uid="{00000000-0005-0000-0000-0000BD210000}"/>
    <cellStyle name="Porcentual 2 19 9" xfId="2693" xr:uid="{00000000-0005-0000-0000-0000BE210000}"/>
    <cellStyle name="Porcentual 2 19 9 2" xfId="6345" xr:uid="{00000000-0005-0000-0000-0000BF210000}"/>
    <cellStyle name="Porcentual 2 2" xfId="114" xr:uid="{00000000-0005-0000-0000-0000C0210000}"/>
    <cellStyle name="Porcentual 2 2 10" xfId="2695" xr:uid="{00000000-0005-0000-0000-0000C1210000}"/>
    <cellStyle name="Porcentual 2 2 10 2" xfId="6346" xr:uid="{00000000-0005-0000-0000-0000C2210000}"/>
    <cellStyle name="Porcentual 2 2 10 3" xfId="8749" xr:uid="{00000000-0005-0000-0000-0000C3210000}"/>
    <cellStyle name="Porcentual 2 2 11" xfId="2696" xr:uid="{00000000-0005-0000-0000-0000C4210000}"/>
    <cellStyle name="Porcentual 2 2 11 2" xfId="6347" xr:uid="{00000000-0005-0000-0000-0000C5210000}"/>
    <cellStyle name="Porcentual 2 2 11 3" xfId="8750" xr:uid="{00000000-0005-0000-0000-0000C6210000}"/>
    <cellStyle name="Porcentual 2 2 12" xfId="2697" xr:uid="{00000000-0005-0000-0000-0000C7210000}"/>
    <cellStyle name="Porcentual 2 2 12 2" xfId="6348" xr:uid="{00000000-0005-0000-0000-0000C8210000}"/>
    <cellStyle name="Porcentual 2 2 12 3" xfId="8751" xr:uid="{00000000-0005-0000-0000-0000C9210000}"/>
    <cellStyle name="Porcentual 2 2 13" xfId="2698" xr:uid="{00000000-0005-0000-0000-0000CA210000}"/>
    <cellStyle name="Porcentual 2 2 13 2" xfId="6349" xr:uid="{00000000-0005-0000-0000-0000CB210000}"/>
    <cellStyle name="Porcentual 2 2 13 3" xfId="8752" xr:uid="{00000000-0005-0000-0000-0000CC210000}"/>
    <cellStyle name="Porcentual 2 2 14" xfId="2699" xr:uid="{00000000-0005-0000-0000-0000CD210000}"/>
    <cellStyle name="Porcentual 2 2 14 2" xfId="6350" xr:uid="{00000000-0005-0000-0000-0000CE210000}"/>
    <cellStyle name="Porcentual 2 2 14 3" xfId="8753" xr:uid="{00000000-0005-0000-0000-0000CF210000}"/>
    <cellStyle name="Porcentual 2 2 15" xfId="2700" xr:uid="{00000000-0005-0000-0000-0000D0210000}"/>
    <cellStyle name="Porcentual 2 2 15 2" xfId="6351" xr:uid="{00000000-0005-0000-0000-0000D1210000}"/>
    <cellStyle name="Porcentual 2 2 15 3" xfId="8754" xr:uid="{00000000-0005-0000-0000-0000D2210000}"/>
    <cellStyle name="Porcentual 2 2 16" xfId="2701" xr:uid="{00000000-0005-0000-0000-0000D3210000}"/>
    <cellStyle name="Porcentual 2 2 16 2" xfId="6352" xr:uid="{00000000-0005-0000-0000-0000D4210000}"/>
    <cellStyle name="Porcentual 2 2 16 3" xfId="8755" xr:uid="{00000000-0005-0000-0000-0000D5210000}"/>
    <cellStyle name="Porcentual 2 2 17" xfId="2702" xr:uid="{00000000-0005-0000-0000-0000D6210000}"/>
    <cellStyle name="Porcentual 2 2 17 2" xfId="6353" xr:uid="{00000000-0005-0000-0000-0000D7210000}"/>
    <cellStyle name="Porcentual 2 2 17 3" xfId="8756" xr:uid="{00000000-0005-0000-0000-0000D8210000}"/>
    <cellStyle name="Porcentual 2 2 18" xfId="2703" xr:uid="{00000000-0005-0000-0000-0000D9210000}"/>
    <cellStyle name="Porcentual 2 2 18 2" xfId="6354" xr:uid="{00000000-0005-0000-0000-0000DA210000}"/>
    <cellStyle name="Porcentual 2 2 18 3" xfId="8757" xr:uid="{00000000-0005-0000-0000-0000DB210000}"/>
    <cellStyle name="Porcentual 2 2 19" xfId="2704" xr:uid="{00000000-0005-0000-0000-0000DC210000}"/>
    <cellStyle name="Porcentual 2 2 19 2" xfId="6355" xr:uid="{00000000-0005-0000-0000-0000DD210000}"/>
    <cellStyle name="Porcentual 2 2 19 3" xfId="8758" xr:uid="{00000000-0005-0000-0000-0000DE210000}"/>
    <cellStyle name="Porcentual 2 2 2" xfId="2705" xr:uid="{00000000-0005-0000-0000-0000DF210000}"/>
    <cellStyle name="Porcentual 2 2 2 10" xfId="4212" xr:uid="{00000000-0005-0000-0000-0000E0210000}"/>
    <cellStyle name="Porcentual 2 2 2 10 2" xfId="9647" xr:uid="{00000000-0005-0000-0000-0000E1210000}"/>
    <cellStyle name="Porcentual 2 2 2 10 2 2" xfId="10348" xr:uid="{00000000-0005-0000-0000-0000E2210000}"/>
    <cellStyle name="Porcentual 2 2 2 10 2 2 2" xfId="12083" xr:uid="{00000000-0005-0000-0000-0000E3210000}"/>
    <cellStyle name="Porcentual 2 2 2 10 2 2 2 2" xfId="20832" xr:uid="{8D36963D-84F0-4AD6-9895-640F3FB08775}"/>
    <cellStyle name="Porcentual 2 2 2 10 2 2 3" xfId="19469" xr:uid="{36C28D3D-A579-4AC9-AD2B-A6F6B9485490}"/>
    <cellStyle name="Porcentual 2 2 2 10 2 3" xfId="11436" xr:uid="{00000000-0005-0000-0000-0000E4210000}"/>
    <cellStyle name="Porcentual 2 2 2 10 2 3 2" xfId="20205" xr:uid="{0E1AC116-CECF-4D50-80C3-FE1438C877C5}"/>
    <cellStyle name="Porcentual 2 2 2 10 2 4" xfId="18837" xr:uid="{9C5B9CE2-E16D-46AF-8A9A-705FD5E9F2A2}"/>
    <cellStyle name="Porcentual 2 2 2 10 3" xfId="10051" xr:uid="{00000000-0005-0000-0000-0000E5210000}"/>
    <cellStyle name="Porcentual 2 2 2 10 3 2" xfId="11787" xr:uid="{00000000-0005-0000-0000-0000E6210000}"/>
    <cellStyle name="Porcentual 2 2 2 10 3 2 2" xfId="20543" xr:uid="{E69DA21F-AA05-4AA9-A8D9-80D109758BF1}"/>
    <cellStyle name="Porcentual 2 2 2 10 3 3" xfId="19180" xr:uid="{B24D5CC8-EC9B-4F64-BEE2-4849461F32F1}"/>
    <cellStyle name="Porcentual 2 2 2 10 4" xfId="11023" xr:uid="{00000000-0005-0000-0000-0000E7210000}"/>
    <cellStyle name="Porcentual 2 2 2 10 4 2" xfId="19928" xr:uid="{55BF7C49-B13E-4F3E-8A69-C9B71871F227}"/>
    <cellStyle name="Porcentual 2 2 2 10 5" xfId="18560" xr:uid="{8172B34C-9D2D-4DDB-8C92-26A1C58B3677}"/>
    <cellStyle name="Porcentual 2 2 2 11" xfId="4337" xr:uid="{00000000-0005-0000-0000-0000E8210000}"/>
    <cellStyle name="Porcentual 2 2 2 11 2" xfId="9748" xr:uid="{00000000-0005-0000-0000-0000E9210000}"/>
    <cellStyle name="Porcentual 2 2 2 11 2 2" xfId="10446" xr:uid="{00000000-0005-0000-0000-0000EA210000}"/>
    <cellStyle name="Porcentual 2 2 2 11 2 2 2" xfId="12181" xr:uid="{00000000-0005-0000-0000-0000EB210000}"/>
    <cellStyle name="Porcentual 2 2 2 11 2 2 2 2" xfId="20930" xr:uid="{B34C4E50-2C94-416C-A10F-BBC8B9647F63}"/>
    <cellStyle name="Porcentual 2 2 2 11 2 2 3" xfId="19567" xr:uid="{DFD97AC1-5EC1-4538-8E5F-B00474F47EB3}"/>
    <cellStyle name="Porcentual 2 2 2 11 2 3" xfId="11534" xr:uid="{00000000-0005-0000-0000-0000EC210000}"/>
    <cellStyle name="Porcentual 2 2 2 11 2 3 2" xfId="20303" xr:uid="{E660B7A9-D50C-4D28-B6EA-C9860CDE366A}"/>
    <cellStyle name="Porcentual 2 2 2 11 2 4" xfId="18935" xr:uid="{76F75B73-8FB9-46D9-8CD5-833B87473305}"/>
    <cellStyle name="Porcentual 2 2 2 11 3" xfId="10149" xr:uid="{00000000-0005-0000-0000-0000ED210000}"/>
    <cellStyle name="Porcentual 2 2 2 11 3 2" xfId="11885" xr:uid="{00000000-0005-0000-0000-0000EE210000}"/>
    <cellStyle name="Porcentual 2 2 2 11 3 2 2" xfId="20641" xr:uid="{07381FC9-2520-4E1D-862B-3269C0103DE9}"/>
    <cellStyle name="Porcentual 2 2 2 11 3 3" xfId="19278" xr:uid="{DF58F856-3729-4032-9D31-1DF27FE3B1F1}"/>
    <cellStyle name="Porcentual 2 2 2 11 4" xfId="11142" xr:uid="{00000000-0005-0000-0000-0000EF210000}"/>
    <cellStyle name="Porcentual 2 2 2 11 4 2" xfId="20026" xr:uid="{507A4A08-B943-486B-973A-2D4035C1AC58}"/>
    <cellStyle name="Porcentual 2 2 2 11 5" xfId="18658" xr:uid="{2F7420B3-EFB7-4DB4-82D0-8F82E03227EA}"/>
    <cellStyle name="Porcentual 2 2 2 2" xfId="2706" xr:uid="{00000000-0005-0000-0000-0000F0210000}"/>
    <cellStyle name="Porcentual 2 2 2 2 2" xfId="4263" xr:uid="{00000000-0005-0000-0000-0000F1210000}"/>
    <cellStyle name="Porcentual 2 2 2 2 2 2" xfId="9698" xr:uid="{00000000-0005-0000-0000-0000F2210000}"/>
    <cellStyle name="Porcentual 2 2 2 2 2 2 2" xfId="10399" xr:uid="{00000000-0005-0000-0000-0000F3210000}"/>
    <cellStyle name="Porcentual 2 2 2 2 2 2 2 2" xfId="12134" xr:uid="{00000000-0005-0000-0000-0000F4210000}"/>
    <cellStyle name="Porcentual 2 2 2 2 2 2 2 2 2" xfId="20883" xr:uid="{E4C47FC2-D6E0-4D02-A97A-4F7F21FE126B}"/>
    <cellStyle name="Porcentual 2 2 2 2 2 2 2 3" xfId="19520" xr:uid="{563E7371-30FA-40CE-9555-C78D37EF1E68}"/>
    <cellStyle name="Porcentual 2 2 2 2 2 2 3" xfId="11487" xr:uid="{00000000-0005-0000-0000-0000F5210000}"/>
    <cellStyle name="Porcentual 2 2 2 2 2 2 3 2" xfId="20256" xr:uid="{3CA78684-9ADB-46AB-884E-8D54C9484808}"/>
    <cellStyle name="Porcentual 2 2 2 2 2 2 4" xfId="18888" xr:uid="{FCE08F63-C4CB-4639-8ECA-7DFAD279B15A}"/>
    <cellStyle name="Porcentual 2 2 2 2 2 3" xfId="10102" xr:uid="{00000000-0005-0000-0000-0000F6210000}"/>
    <cellStyle name="Porcentual 2 2 2 2 2 3 2" xfId="11838" xr:uid="{00000000-0005-0000-0000-0000F7210000}"/>
    <cellStyle name="Porcentual 2 2 2 2 2 3 2 2" xfId="20594" xr:uid="{7CA8D10B-5470-47DD-8AB6-38670FE7E91E}"/>
    <cellStyle name="Porcentual 2 2 2 2 2 3 3" xfId="19231" xr:uid="{3D71CCAA-E1FF-4E5C-BB79-ABD5A4A4E876}"/>
    <cellStyle name="Porcentual 2 2 2 2 2 4" xfId="11074" xr:uid="{00000000-0005-0000-0000-0000F8210000}"/>
    <cellStyle name="Porcentual 2 2 2 2 2 4 2" xfId="19979" xr:uid="{CB90878C-074A-4DE6-847F-5C73C494EB20}"/>
    <cellStyle name="Porcentual 2 2 2 2 2 5" xfId="18611" xr:uid="{8FAC8D34-A56B-4B6B-8065-E6404D4D956D}"/>
    <cellStyle name="Porcentual 2 2 2 2 3" xfId="8759" xr:uid="{00000000-0005-0000-0000-0000F9210000}"/>
    <cellStyle name="Porcentual 2 2 2 3" xfId="2707" xr:uid="{00000000-0005-0000-0000-0000FA210000}"/>
    <cellStyle name="Porcentual 2 2 2 3 2" xfId="8760" xr:uid="{00000000-0005-0000-0000-0000FB210000}"/>
    <cellStyle name="Porcentual 2 2 2 4" xfId="2708" xr:uid="{00000000-0005-0000-0000-0000FC210000}"/>
    <cellStyle name="Porcentual 2 2 2 4 2" xfId="8761" xr:uid="{00000000-0005-0000-0000-0000FD210000}"/>
    <cellStyle name="Porcentual 2 2 2 5" xfId="2709" xr:uid="{00000000-0005-0000-0000-0000FE210000}"/>
    <cellStyle name="Porcentual 2 2 2 5 2" xfId="8762" xr:uid="{00000000-0005-0000-0000-0000FF210000}"/>
    <cellStyle name="Porcentual 2 2 2 6" xfId="2710" xr:uid="{00000000-0005-0000-0000-000000220000}"/>
    <cellStyle name="Porcentual 2 2 2 6 2" xfId="8763" xr:uid="{00000000-0005-0000-0000-000001220000}"/>
    <cellStyle name="Porcentual 2 2 2 7" xfId="2711" xr:uid="{00000000-0005-0000-0000-000002220000}"/>
    <cellStyle name="Porcentual 2 2 2 7 2" xfId="8764" xr:uid="{00000000-0005-0000-0000-000003220000}"/>
    <cellStyle name="Porcentual 2 2 2 8" xfId="2712" xr:uid="{00000000-0005-0000-0000-000004220000}"/>
    <cellStyle name="Porcentual 2 2 2 8 2" xfId="8765" xr:uid="{00000000-0005-0000-0000-000005220000}"/>
    <cellStyle name="Porcentual 2 2 2 9" xfId="4137" xr:uid="{00000000-0005-0000-0000-000006220000}"/>
    <cellStyle name="Porcentual 2 2 2 9 2" xfId="9595" xr:uid="{00000000-0005-0000-0000-000007220000}"/>
    <cellStyle name="Porcentual 2 2 2 9 2 2" xfId="10297" xr:uid="{00000000-0005-0000-0000-000008220000}"/>
    <cellStyle name="Porcentual 2 2 2 9 2 2 2" xfId="12032" xr:uid="{00000000-0005-0000-0000-000009220000}"/>
    <cellStyle name="Porcentual 2 2 2 9 2 2 2 2" xfId="20781" xr:uid="{B712E33A-D3DE-4E10-8178-3890C0459EE3}"/>
    <cellStyle name="Porcentual 2 2 2 9 2 2 3" xfId="19418" xr:uid="{5E4B2D10-9756-4689-AC93-62F55CA0AE58}"/>
    <cellStyle name="Porcentual 2 2 2 9 2 3" xfId="11385" xr:uid="{00000000-0005-0000-0000-00000A220000}"/>
    <cellStyle name="Porcentual 2 2 2 9 2 3 2" xfId="20154" xr:uid="{34C9379D-08E8-494E-9BFD-C544F4D335AF}"/>
    <cellStyle name="Porcentual 2 2 2 9 2 4" xfId="18786" xr:uid="{B3A2D860-1DA9-47A9-BDA9-B5B55422D4D5}"/>
    <cellStyle name="Porcentual 2 2 2 9 3" xfId="10000" xr:uid="{00000000-0005-0000-0000-00000B220000}"/>
    <cellStyle name="Porcentual 2 2 2 9 3 2" xfId="11736" xr:uid="{00000000-0005-0000-0000-00000C220000}"/>
    <cellStyle name="Porcentual 2 2 2 9 3 2 2" xfId="20492" xr:uid="{3D978C62-0062-4A1F-B1DF-EEC63D9B6965}"/>
    <cellStyle name="Porcentual 2 2 2 9 3 3" xfId="19129" xr:uid="{73764F2A-ED19-447F-8075-19B31A4D1C13}"/>
    <cellStyle name="Porcentual 2 2 2 9 4" xfId="10963" xr:uid="{00000000-0005-0000-0000-00000D220000}"/>
    <cellStyle name="Porcentual 2 2 2 9 4 2" xfId="19877" xr:uid="{8663F56B-9814-4C69-B323-819770809537}"/>
    <cellStyle name="Porcentual 2 2 2 9 5" xfId="18509" xr:uid="{18DB2B70-161D-4850-8555-FD055BDE7860}"/>
    <cellStyle name="Porcentual 2 2 20" xfId="2713" xr:uid="{00000000-0005-0000-0000-00000E220000}"/>
    <cellStyle name="Porcentual 2 2 20 2" xfId="6356" xr:uid="{00000000-0005-0000-0000-00000F220000}"/>
    <cellStyle name="Porcentual 2 2 20 3" xfId="8766" xr:uid="{00000000-0005-0000-0000-000010220000}"/>
    <cellStyle name="Porcentual 2 2 21" xfId="2714" xr:uid="{00000000-0005-0000-0000-000011220000}"/>
    <cellStyle name="Porcentual 2 2 21 2" xfId="6357" xr:uid="{00000000-0005-0000-0000-000012220000}"/>
    <cellStyle name="Porcentual 2 2 21 3" xfId="8767" xr:uid="{00000000-0005-0000-0000-000013220000}"/>
    <cellStyle name="Porcentual 2 2 22" xfId="2715" xr:uid="{00000000-0005-0000-0000-000014220000}"/>
    <cellStyle name="Porcentual 2 2 22 2" xfId="6358" xr:uid="{00000000-0005-0000-0000-000015220000}"/>
    <cellStyle name="Porcentual 2 2 22 3" xfId="8768" xr:uid="{00000000-0005-0000-0000-000016220000}"/>
    <cellStyle name="Porcentual 2 2 23" xfId="2716" xr:uid="{00000000-0005-0000-0000-000017220000}"/>
    <cellStyle name="Porcentual 2 2 23 2" xfId="6359" xr:uid="{00000000-0005-0000-0000-000018220000}"/>
    <cellStyle name="Porcentual 2 2 23 3" xfId="8769" xr:uid="{00000000-0005-0000-0000-000019220000}"/>
    <cellStyle name="Porcentual 2 2 24" xfId="2717" xr:uid="{00000000-0005-0000-0000-00001A220000}"/>
    <cellStyle name="Porcentual 2 2 24 2" xfId="6360" xr:uid="{00000000-0005-0000-0000-00001B220000}"/>
    <cellStyle name="Porcentual 2 2 24 3" xfId="8770" xr:uid="{00000000-0005-0000-0000-00001C220000}"/>
    <cellStyle name="Porcentual 2 2 25" xfId="2718" xr:uid="{00000000-0005-0000-0000-00001D220000}"/>
    <cellStyle name="Porcentual 2 2 25 2" xfId="6361" xr:uid="{00000000-0005-0000-0000-00001E220000}"/>
    <cellStyle name="Porcentual 2 2 25 3" xfId="8771" xr:uid="{00000000-0005-0000-0000-00001F220000}"/>
    <cellStyle name="Porcentual 2 2 26" xfId="2719" xr:uid="{00000000-0005-0000-0000-000020220000}"/>
    <cellStyle name="Porcentual 2 2 26 2" xfId="6362" xr:uid="{00000000-0005-0000-0000-000021220000}"/>
    <cellStyle name="Porcentual 2 2 26 3" xfId="8772" xr:uid="{00000000-0005-0000-0000-000022220000}"/>
    <cellStyle name="Porcentual 2 2 27" xfId="2720" xr:uid="{00000000-0005-0000-0000-000023220000}"/>
    <cellStyle name="Porcentual 2 2 27 2" xfId="6363" xr:uid="{00000000-0005-0000-0000-000024220000}"/>
    <cellStyle name="Porcentual 2 2 27 3" xfId="8773" xr:uid="{00000000-0005-0000-0000-000025220000}"/>
    <cellStyle name="Porcentual 2 2 28" xfId="2721" xr:uid="{00000000-0005-0000-0000-000026220000}"/>
    <cellStyle name="Porcentual 2 2 28 2" xfId="6364" xr:uid="{00000000-0005-0000-0000-000027220000}"/>
    <cellStyle name="Porcentual 2 2 28 3" xfId="8774" xr:uid="{00000000-0005-0000-0000-000028220000}"/>
    <cellStyle name="Porcentual 2 2 29" xfId="2722" xr:uid="{00000000-0005-0000-0000-000029220000}"/>
    <cellStyle name="Porcentual 2 2 29 2" xfId="6365" xr:uid="{00000000-0005-0000-0000-00002A220000}"/>
    <cellStyle name="Porcentual 2 2 29 3" xfId="8775" xr:uid="{00000000-0005-0000-0000-00002B220000}"/>
    <cellStyle name="Porcentual 2 2 3" xfId="2723" xr:uid="{00000000-0005-0000-0000-00002C220000}"/>
    <cellStyle name="Porcentual 2 2 3 2" xfId="4097" xr:uid="{00000000-0005-0000-0000-00002D220000}"/>
    <cellStyle name="Porcentual 2 2 3 2 2" xfId="4245" xr:uid="{00000000-0005-0000-0000-00002E220000}"/>
    <cellStyle name="Porcentual 2 2 3 2 2 2" xfId="9680" xr:uid="{00000000-0005-0000-0000-00002F220000}"/>
    <cellStyle name="Porcentual 2 2 3 2 2 2 2" xfId="10381" xr:uid="{00000000-0005-0000-0000-000030220000}"/>
    <cellStyle name="Porcentual 2 2 3 2 2 2 2 2" xfId="12116" xr:uid="{00000000-0005-0000-0000-000031220000}"/>
    <cellStyle name="Porcentual 2 2 3 2 2 2 2 2 2" xfId="20865" xr:uid="{0A67DB68-DB22-41B4-B7BD-17E0608AFA23}"/>
    <cellStyle name="Porcentual 2 2 3 2 2 2 2 3" xfId="19502" xr:uid="{8F62B8C2-92F6-4913-8734-AD827D2FB751}"/>
    <cellStyle name="Porcentual 2 2 3 2 2 2 3" xfId="11469" xr:uid="{00000000-0005-0000-0000-000032220000}"/>
    <cellStyle name="Porcentual 2 2 3 2 2 2 3 2" xfId="20238" xr:uid="{56D20E5D-F35B-49ED-ABA5-89ADA6FA4259}"/>
    <cellStyle name="Porcentual 2 2 3 2 2 2 4" xfId="18870" xr:uid="{817D94D8-0B1E-454E-BA27-D4190C4CF7EA}"/>
    <cellStyle name="Porcentual 2 2 3 2 2 3" xfId="10084" xr:uid="{00000000-0005-0000-0000-000033220000}"/>
    <cellStyle name="Porcentual 2 2 3 2 2 3 2" xfId="11820" xr:uid="{00000000-0005-0000-0000-000034220000}"/>
    <cellStyle name="Porcentual 2 2 3 2 2 3 2 2" xfId="20576" xr:uid="{865CC2B0-494A-44EC-9509-417DA9461E5A}"/>
    <cellStyle name="Porcentual 2 2 3 2 2 3 3" xfId="19213" xr:uid="{66F85B2F-AE44-4A56-9344-38DB20093544}"/>
    <cellStyle name="Porcentual 2 2 3 2 2 4" xfId="11056" xr:uid="{00000000-0005-0000-0000-000035220000}"/>
    <cellStyle name="Porcentual 2 2 3 2 2 4 2" xfId="19961" xr:uid="{2F3A7857-CC12-433E-82AF-B081A10AA3F2}"/>
    <cellStyle name="Porcentual 2 2 3 2 2 5" xfId="18593" xr:uid="{80910263-3BA8-4E40-874B-6709D735412C}"/>
    <cellStyle name="Porcentual 2 2 3 2 3" xfId="9576" xr:uid="{00000000-0005-0000-0000-000036220000}"/>
    <cellStyle name="Porcentual 2 2 3 2 3 2" xfId="10279" xr:uid="{00000000-0005-0000-0000-000037220000}"/>
    <cellStyle name="Porcentual 2 2 3 2 3 2 2" xfId="12014" xr:uid="{00000000-0005-0000-0000-000038220000}"/>
    <cellStyle name="Porcentual 2 2 3 2 3 2 2 2" xfId="20763" xr:uid="{893C4ABE-D9D8-45A4-8529-C58C38447E18}"/>
    <cellStyle name="Porcentual 2 2 3 2 3 2 3" xfId="19400" xr:uid="{AF97B9D0-EB79-4C94-87F9-B9511EE3BB6C}"/>
    <cellStyle name="Porcentual 2 2 3 2 3 3" xfId="11367" xr:uid="{00000000-0005-0000-0000-000039220000}"/>
    <cellStyle name="Porcentual 2 2 3 2 3 3 2" xfId="20136" xr:uid="{8B94FB30-527C-4B16-BE13-BF7EBFEA7679}"/>
    <cellStyle name="Porcentual 2 2 3 2 3 4" xfId="18768" xr:uid="{32365350-7384-48B2-896A-3361D49909E6}"/>
    <cellStyle name="Porcentual 2 2 3 2 4" xfId="9982" xr:uid="{00000000-0005-0000-0000-00003A220000}"/>
    <cellStyle name="Porcentual 2 2 3 2 4 2" xfId="11718" xr:uid="{00000000-0005-0000-0000-00003B220000}"/>
    <cellStyle name="Porcentual 2 2 3 2 4 2 2" xfId="20474" xr:uid="{65FBA5FB-214A-4151-AD18-29A2DD6E411F}"/>
    <cellStyle name="Porcentual 2 2 3 2 4 3" xfId="19111" xr:uid="{CB7F660F-81C2-46D2-813C-7BCE802533F8}"/>
    <cellStyle name="Porcentual 2 2 3 2 5" xfId="10942" xr:uid="{00000000-0005-0000-0000-00003C220000}"/>
    <cellStyle name="Porcentual 2 2 3 2 5 2" xfId="19859" xr:uid="{E45C0EAA-1AE5-4523-963B-8B380825A7A6}"/>
    <cellStyle name="Porcentual 2 2 3 2 6" xfId="18491" xr:uid="{A7FC41BE-E96C-453B-A468-3E4687BBAA5F}"/>
    <cellStyle name="Porcentual 2 2 3 3" xfId="4194" xr:uid="{00000000-0005-0000-0000-00003D220000}"/>
    <cellStyle name="Porcentual 2 2 3 3 2" xfId="9629" xr:uid="{00000000-0005-0000-0000-00003E220000}"/>
    <cellStyle name="Porcentual 2 2 3 3 2 2" xfId="10330" xr:uid="{00000000-0005-0000-0000-00003F220000}"/>
    <cellStyle name="Porcentual 2 2 3 3 2 2 2" xfId="12065" xr:uid="{00000000-0005-0000-0000-000040220000}"/>
    <cellStyle name="Porcentual 2 2 3 3 2 2 2 2" xfId="20814" xr:uid="{EB74A695-6C8A-4EF1-A154-950E60116A51}"/>
    <cellStyle name="Porcentual 2 2 3 3 2 2 3" xfId="19451" xr:uid="{F173E5FE-881A-4B06-A258-5120E3D9D4D0}"/>
    <cellStyle name="Porcentual 2 2 3 3 2 3" xfId="11418" xr:uid="{00000000-0005-0000-0000-000041220000}"/>
    <cellStyle name="Porcentual 2 2 3 3 2 3 2" xfId="20187" xr:uid="{58C4548D-E8AF-46A8-938B-7EBF9196BEED}"/>
    <cellStyle name="Porcentual 2 2 3 3 2 4" xfId="18819" xr:uid="{E0686B93-3681-4DDD-8F9D-F3DA4CF9E7DA}"/>
    <cellStyle name="Porcentual 2 2 3 3 3" xfId="10033" xr:uid="{00000000-0005-0000-0000-000042220000}"/>
    <cellStyle name="Porcentual 2 2 3 3 3 2" xfId="11769" xr:uid="{00000000-0005-0000-0000-000043220000}"/>
    <cellStyle name="Porcentual 2 2 3 3 3 2 2" xfId="20525" xr:uid="{D0473ACB-1DF3-4ADB-9838-3A5B950F60FF}"/>
    <cellStyle name="Porcentual 2 2 3 3 3 3" xfId="19162" xr:uid="{3C905D4A-65DE-48BA-AD4C-A9FF1B22D7C9}"/>
    <cellStyle name="Porcentual 2 2 3 3 4" xfId="11005" xr:uid="{00000000-0005-0000-0000-000044220000}"/>
    <cellStyle name="Porcentual 2 2 3 3 4 2" xfId="19910" xr:uid="{5A08BD66-04A4-4505-BC70-252E8D2FD2F2}"/>
    <cellStyle name="Porcentual 2 2 3 3 5" xfId="18542" xr:uid="{D62CF42D-1B26-4874-9E02-0A11C9F454C2}"/>
    <cellStyle name="Porcentual 2 2 3 4" xfId="8776" xr:uid="{00000000-0005-0000-0000-000045220000}"/>
    <cellStyle name="Porcentual 2 2 30" xfId="2724" xr:uid="{00000000-0005-0000-0000-000046220000}"/>
    <cellStyle name="Porcentual 2 2 30 2" xfId="6366" xr:uid="{00000000-0005-0000-0000-000047220000}"/>
    <cellStyle name="Porcentual 2 2 31" xfId="2725" xr:uid="{00000000-0005-0000-0000-000048220000}"/>
    <cellStyle name="Porcentual 2 2 31 2" xfId="6367" xr:uid="{00000000-0005-0000-0000-000049220000}"/>
    <cellStyle name="Porcentual 2 2 32" xfId="2726" xr:uid="{00000000-0005-0000-0000-00004A220000}"/>
    <cellStyle name="Porcentual 2 2 32 2" xfId="6368" xr:uid="{00000000-0005-0000-0000-00004B220000}"/>
    <cellStyle name="Porcentual 2 2 33" xfId="2727" xr:uid="{00000000-0005-0000-0000-00004C220000}"/>
    <cellStyle name="Porcentual 2 2 33 2" xfId="6369" xr:uid="{00000000-0005-0000-0000-00004D220000}"/>
    <cellStyle name="Porcentual 2 2 34" xfId="2728" xr:uid="{00000000-0005-0000-0000-00004E220000}"/>
    <cellStyle name="Porcentual 2 2 34 2" xfId="6370" xr:uid="{00000000-0005-0000-0000-00004F220000}"/>
    <cellStyle name="Porcentual 2 2 35" xfId="2729" xr:uid="{00000000-0005-0000-0000-000050220000}"/>
    <cellStyle name="Porcentual 2 2 35 2" xfId="6371" xr:uid="{00000000-0005-0000-0000-000051220000}"/>
    <cellStyle name="Porcentual 2 2 36" xfId="2730" xr:uid="{00000000-0005-0000-0000-000052220000}"/>
    <cellStyle name="Porcentual 2 2 36 2" xfId="6372" xr:uid="{00000000-0005-0000-0000-000053220000}"/>
    <cellStyle name="Porcentual 2 2 37" xfId="2731" xr:uid="{00000000-0005-0000-0000-000054220000}"/>
    <cellStyle name="Porcentual 2 2 37 2" xfId="6373" xr:uid="{00000000-0005-0000-0000-000055220000}"/>
    <cellStyle name="Porcentual 2 2 38" xfId="2732" xr:uid="{00000000-0005-0000-0000-000056220000}"/>
    <cellStyle name="Porcentual 2 2 38 2" xfId="6374" xr:uid="{00000000-0005-0000-0000-000057220000}"/>
    <cellStyle name="Porcentual 2 2 39" xfId="2733" xr:uid="{00000000-0005-0000-0000-000058220000}"/>
    <cellStyle name="Porcentual 2 2 39 2" xfId="6375" xr:uid="{00000000-0005-0000-0000-000059220000}"/>
    <cellStyle name="Porcentual 2 2 4" xfId="2734" xr:uid="{00000000-0005-0000-0000-00005A220000}"/>
    <cellStyle name="Porcentual 2 2 4 2" xfId="4229" xr:uid="{00000000-0005-0000-0000-00005B220000}"/>
    <cellStyle name="Porcentual 2 2 4 2 2" xfId="9664" xr:uid="{00000000-0005-0000-0000-00005C220000}"/>
    <cellStyle name="Porcentual 2 2 4 2 2 2" xfId="10365" xr:uid="{00000000-0005-0000-0000-00005D220000}"/>
    <cellStyle name="Porcentual 2 2 4 2 2 2 2" xfId="12100" xr:uid="{00000000-0005-0000-0000-00005E220000}"/>
    <cellStyle name="Porcentual 2 2 4 2 2 2 2 2" xfId="20849" xr:uid="{DF23032C-85CC-4969-8B28-2846FB9EC94B}"/>
    <cellStyle name="Porcentual 2 2 4 2 2 2 3" xfId="19486" xr:uid="{B8510697-87A6-4C8C-8C13-019D1B043CE5}"/>
    <cellStyle name="Porcentual 2 2 4 2 2 3" xfId="11453" xr:uid="{00000000-0005-0000-0000-00005F220000}"/>
    <cellStyle name="Porcentual 2 2 4 2 2 3 2" xfId="20222" xr:uid="{7EF67EED-2809-4900-AE5C-400A7803D770}"/>
    <cellStyle name="Porcentual 2 2 4 2 2 4" xfId="18854" xr:uid="{F412D2B9-4E14-4963-B11A-0DC73BE39980}"/>
    <cellStyle name="Porcentual 2 2 4 2 3" xfId="10068" xr:uid="{00000000-0005-0000-0000-000060220000}"/>
    <cellStyle name="Porcentual 2 2 4 2 3 2" xfId="11804" xr:uid="{00000000-0005-0000-0000-000061220000}"/>
    <cellStyle name="Porcentual 2 2 4 2 3 2 2" xfId="20560" xr:uid="{4C89146E-D1E0-483A-AFA2-3082B8F43D00}"/>
    <cellStyle name="Porcentual 2 2 4 2 3 3" xfId="19197" xr:uid="{3D8D7DF8-381F-4BB9-89D4-39B6FF269FD1}"/>
    <cellStyle name="Porcentual 2 2 4 2 4" xfId="11040" xr:uid="{00000000-0005-0000-0000-000062220000}"/>
    <cellStyle name="Porcentual 2 2 4 2 4 2" xfId="19945" xr:uid="{14304203-C555-4E0B-A900-D6480753533B}"/>
    <cellStyle name="Porcentual 2 2 4 2 5" xfId="18577" xr:uid="{87D3EE9F-6718-43C9-9DD8-3559CEBFD510}"/>
    <cellStyle name="Porcentual 2 2 4 3" xfId="8777" xr:uid="{00000000-0005-0000-0000-000063220000}"/>
    <cellStyle name="Porcentual 2 2 40" xfId="2735" xr:uid="{00000000-0005-0000-0000-000064220000}"/>
    <cellStyle name="Porcentual 2 2 40 2" xfId="6376" xr:uid="{00000000-0005-0000-0000-000065220000}"/>
    <cellStyle name="Porcentual 2 2 41" xfId="2736" xr:uid="{00000000-0005-0000-0000-000066220000}"/>
    <cellStyle name="Porcentual 2 2 41 2" xfId="6377" xr:uid="{00000000-0005-0000-0000-000067220000}"/>
    <cellStyle name="Porcentual 2 2 42" xfId="2737" xr:uid="{00000000-0005-0000-0000-000068220000}"/>
    <cellStyle name="Porcentual 2 2 42 2" xfId="6378" xr:uid="{00000000-0005-0000-0000-000069220000}"/>
    <cellStyle name="Porcentual 2 2 43" xfId="2738" xr:uid="{00000000-0005-0000-0000-00006A220000}"/>
    <cellStyle name="Porcentual 2 2 43 2" xfId="6379" xr:uid="{00000000-0005-0000-0000-00006B220000}"/>
    <cellStyle name="Porcentual 2 2 44" xfId="2739" xr:uid="{00000000-0005-0000-0000-00006C220000}"/>
    <cellStyle name="Porcentual 2 2 44 2" xfId="6380" xr:uid="{00000000-0005-0000-0000-00006D220000}"/>
    <cellStyle name="Porcentual 2 2 45" xfId="2740" xr:uid="{00000000-0005-0000-0000-00006E220000}"/>
    <cellStyle name="Porcentual 2 2 45 2" xfId="6381" xr:uid="{00000000-0005-0000-0000-00006F220000}"/>
    <cellStyle name="Porcentual 2 2 46" xfId="2741" xr:uid="{00000000-0005-0000-0000-000070220000}"/>
    <cellStyle name="Porcentual 2 2 46 2" xfId="6382" xr:uid="{00000000-0005-0000-0000-000071220000}"/>
    <cellStyle name="Porcentual 2 2 47" xfId="2742" xr:uid="{00000000-0005-0000-0000-000072220000}"/>
    <cellStyle name="Porcentual 2 2 47 2" xfId="6383" xr:uid="{00000000-0005-0000-0000-000073220000}"/>
    <cellStyle name="Porcentual 2 2 48" xfId="2743" xr:uid="{00000000-0005-0000-0000-000074220000}"/>
    <cellStyle name="Porcentual 2 2 48 2" xfId="6384" xr:uid="{00000000-0005-0000-0000-000075220000}"/>
    <cellStyle name="Porcentual 2 2 49" xfId="2744" xr:uid="{00000000-0005-0000-0000-000076220000}"/>
    <cellStyle name="Porcentual 2 2 49 2" xfId="6385" xr:uid="{00000000-0005-0000-0000-000077220000}"/>
    <cellStyle name="Porcentual 2 2 5" xfId="2745" xr:uid="{00000000-0005-0000-0000-000078220000}"/>
    <cellStyle name="Porcentual 2 2 5 2" xfId="6386" xr:uid="{00000000-0005-0000-0000-000079220000}"/>
    <cellStyle name="Porcentual 2 2 5 3" xfId="8778" xr:uid="{00000000-0005-0000-0000-00007A220000}"/>
    <cellStyle name="Porcentual 2 2 50" xfId="2746" xr:uid="{00000000-0005-0000-0000-00007B220000}"/>
    <cellStyle name="Porcentual 2 2 50 2" xfId="6387" xr:uid="{00000000-0005-0000-0000-00007C220000}"/>
    <cellStyle name="Porcentual 2 2 51" xfId="2747" xr:uid="{00000000-0005-0000-0000-00007D220000}"/>
    <cellStyle name="Porcentual 2 2 51 2" xfId="6388" xr:uid="{00000000-0005-0000-0000-00007E220000}"/>
    <cellStyle name="Porcentual 2 2 52" xfId="2748" xr:uid="{00000000-0005-0000-0000-00007F220000}"/>
    <cellStyle name="Porcentual 2 2 52 2" xfId="6389" xr:uid="{00000000-0005-0000-0000-000080220000}"/>
    <cellStyle name="Porcentual 2 2 53" xfId="2749" xr:uid="{00000000-0005-0000-0000-000081220000}"/>
    <cellStyle name="Porcentual 2 2 53 2" xfId="6390" xr:uid="{00000000-0005-0000-0000-000082220000}"/>
    <cellStyle name="Porcentual 2 2 54" xfId="2750" xr:uid="{00000000-0005-0000-0000-000083220000}"/>
    <cellStyle name="Porcentual 2 2 54 2" xfId="6391" xr:uid="{00000000-0005-0000-0000-000084220000}"/>
    <cellStyle name="Porcentual 2 2 55" xfId="2751" xr:uid="{00000000-0005-0000-0000-000085220000}"/>
    <cellStyle name="Porcentual 2 2 55 2" xfId="6392" xr:uid="{00000000-0005-0000-0000-000086220000}"/>
    <cellStyle name="Porcentual 2 2 56" xfId="2752" xr:uid="{00000000-0005-0000-0000-000087220000}"/>
    <cellStyle name="Porcentual 2 2 56 2" xfId="6393" xr:uid="{00000000-0005-0000-0000-000088220000}"/>
    <cellStyle name="Porcentual 2 2 57" xfId="2753" xr:uid="{00000000-0005-0000-0000-000089220000}"/>
    <cellStyle name="Porcentual 2 2 58" xfId="2754" xr:uid="{00000000-0005-0000-0000-00008A220000}"/>
    <cellStyle name="Porcentual 2 2 59" xfId="2755" xr:uid="{00000000-0005-0000-0000-00008B220000}"/>
    <cellStyle name="Porcentual 2 2 6" xfId="2756" xr:uid="{00000000-0005-0000-0000-00008C220000}"/>
    <cellStyle name="Porcentual 2 2 6 2" xfId="6394" xr:uid="{00000000-0005-0000-0000-00008D220000}"/>
    <cellStyle name="Porcentual 2 2 6 3" xfId="8779" xr:uid="{00000000-0005-0000-0000-00008E220000}"/>
    <cellStyle name="Porcentual 2 2 60" xfId="2757" xr:uid="{00000000-0005-0000-0000-00008F220000}"/>
    <cellStyle name="Porcentual 2 2 61" xfId="2758" xr:uid="{00000000-0005-0000-0000-000090220000}"/>
    <cellStyle name="Porcentual 2 2 62" xfId="2759" xr:uid="{00000000-0005-0000-0000-000091220000}"/>
    <cellStyle name="Porcentual 2 2 63" xfId="4063" xr:uid="{00000000-0005-0000-0000-000092220000}"/>
    <cellStyle name="Porcentual 2 2 63 2" xfId="9560" xr:uid="{00000000-0005-0000-0000-000093220000}"/>
    <cellStyle name="Porcentual 2 2 63 2 2" xfId="10263" xr:uid="{00000000-0005-0000-0000-000094220000}"/>
    <cellStyle name="Porcentual 2 2 63 2 2 2" xfId="11998" xr:uid="{00000000-0005-0000-0000-000095220000}"/>
    <cellStyle name="Porcentual 2 2 63 2 2 2 2" xfId="20747" xr:uid="{CD3772E2-873F-4002-8DD5-D7E4B5841470}"/>
    <cellStyle name="Porcentual 2 2 63 2 2 3" xfId="19384" xr:uid="{159EEF34-844A-476A-B3EA-5C945EFD3BD8}"/>
    <cellStyle name="Porcentual 2 2 63 2 3" xfId="11351" xr:uid="{00000000-0005-0000-0000-000096220000}"/>
    <cellStyle name="Porcentual 2 2 63 2 3 2" xfId="20120" xr:uid="{69DE724A-F5AC-4CAC-BAE7-C57E75440D1A}"/>
    <cellStyle name="Porcentual 2 2 63 2 4" xfId="18752" xr:uid="{64E283C1-32FF-4213-ADC0-C6E5FC5C87F5}"/>
    <cellStyle name="Porcentual 2 2 63 3" xfId="9966" xr:uid="{00000000-0005-0000-0000-000097220000}"/>
    <cellStyle name="Porcentual 2 2 63 3 2" xfId="11702" xr:uid="{00000000-0005-0000-0000-000098220000}"/>
    <cellStyle name="Porcentual 2 2 63 3 2 2" xfId="20458" xr:uid="{B8775AAD-468E-4CC8-946D-998EA79AD48F}"/>
    <cellStyle name="Porcentual 2 2 63 3 3" xfId="19095" xr:uid="{E9505941-D40E-4F81-A00B-7A0B5A9A1C4E}"/>
    <cellStyle name="Porcentual 2 2 63 4" xfId="10925" xr:uid="{00000000-0005-0000-0000-000099220000}"/>
    <cellStyle name="Porcentual 2 2 63 4 2" xfId="19843" xr:uid="{6B0993AA-F48B-495A-960D-41CDDE3AB238}"/>
    <cellStyle name="Porcentual 2 2 63 5" xfId="18475" xr:uid="{B0015D90-11A4-4DCA-9CF3-89336E0C4895}"/>
    <cellStyle name="Porcentual 2 2 64" xfId="4178" xr:uid="{00000000-0005-0000-0000-00009A220000}"/>
    <cellStyle name="Porcentual 2 2 64 2" xfId="9613" xr:uid="{00000000-0005-0000-0000-00009B220000}"/>
    <cellStyle name="Porcentual 2 2 64 2 2" xfId="10314" xr:uid="{00000000-0005-0000-0000-00009C220000}"/>
    <cellStyle name="Porcentual 2 2 64 2 2 2" xfId="12049" xr:uid="{00000000-0005-0000-0000-00009D220000}"/>
    <cellStyle name="Porcentual 2 2 64 2 2 2 2" xfId="20798" xr:uid="{DB46C1CA-75B4-4284-B0DF-16223B40582B}"/>
    <cellStyle name="Porcentual 2 2 64 2 2 3" xfId="19435" xr:uid="{2A172F43-9185-498F-8067-30F71AAB3DBB}"/>
    <cellStyle name="Porcentual 2 2 64 2 3" xfId="11402" xr:uid="{00000000-0005-0000-0000-00009E220000}"/>
    <cellStyle name="Porcentual 2 2 64 2 3 2" xfId="20171" xr:uid="{E3E52712-FACE-4C33-8AB2-FDB1E031C226}"/>
    <cellStyle name="Porcentual 2 2 64 2 4" xfId="18803" xr:uid="{B4B022E7-6263-4F76-A04F-47298D27220A}"/>
    <cellStyle name="Porcentual 2 2 64 3" xfId="10017" xr:uid="{00000000-0005-0000-0000-00009F220000}"/>
    <cellStyle name="Porcentual 2 2 64 3 2" xfId="11753" xr:uid="{00000000-0005-0000-0000-0000A0220000}"/>
    <cellStyle name="Porcentual 2 2 64 3 2 2" xfId="20509" xr:uid="{FE63E3AF-E140-40EB-A9D9-BE1CA8D17005}"/>
    <cellStyle name="Porcentual 2 2 64 3 3" xfId="19146" xr:uid="{086FEE4A-99DE-4EDB-A350-5C6FD253FF3E}"/>
    <cellStyle name="Porcentual 2 2 64 4" xfId="10989" xr:uid="{00000000-0005-0000-0000-0000A1220000}"/>
    <cellStyle name="Porcentual 2 2 64 4 2" xfId="19894" xr:uid="{AA19A66F-6338-461F-AE8C-B9F5B3BF2CAD}"/>
    <cellStyle name="Porcentual 2 2 64 5" xfId="18526" xr:uid="{A911A9FE-DA42-4A47-B24D-02D977445425}"/>
    <cellStyle name="Porcentual 2 2 65" xfId="4316" xr:uid="{00000000-0005-0000-0000-0000A2220000}"/>
    <cellStyle name="Porcentual 2 2 65 2" xfId="9732" xr:uid="{00000000-0005-0000-0000-0000A3220000}"/>
    <cellStyle name="Porcentual 2 2 65 2 2" xfId="10431" xr:uid="{00000000-0005-0000-0000-0000A4220000}"/>
    <cellStyle name="Porcentual 2 2 65 2 2 2" xfId="12166" xr:uid="{00000000-0005-0000-0000-0000A5220000}"/>
    <cellStyle name="Porcentual 2 2 65 2 2 2 2" xfId="20915" xr:uid="{50DBBC88-1FA6-4A1B-8565-BCD466A52C03}"/>
    <cellStyle name="Porcentual 2 2 65 2 2 3" xfId="19552" xr:uid="{0B856828-AF8F-4E84-8BDB-178673AA9718}"/>
    <cellStyle name="Porcentual 2 2 65 2 3" xfId="11519" xr:uid="{00000000-0005-0000-0000-0000A6220000}"/>
    <cellStyle name="Porcentual 2 2 65 2 3 2" xfId="20288" xr:uid="{AC01AA63-F7DE-4495-90E4-DFB1772FDB5F}"/>
    <cellStyle name="Porcentual 2 2 65 2 4" xfId="18920" xr:uid="{5247237D-C13D-4090-B8A3-AE30C7F5E79D}"/>
    <cellStyle name="Porcentual 2 2 65 3" xfId="10134" xr:uid="{00000000-0005-0000-0000-0000A7220000}"/>
    <cellStyle name="Porcentual 2 2 65 3 2" xfId="11870" xr:uid="{00000000-0005-0000-0000-0000A8220000}"/>
    <cellStyle name="Porcentual 2 2 65 3 2 2" xfId="20626" xr:uid="{95C5713E-8C58-45D6-9243-1ACAD88E92BA}"/>
    <cellStyle name="Porcentual 2 2 65 3 3" xfId="19263" xr:uid="{996F3886-AD25-4076-AEAC-4194F3673F3F}"/>
    <cellStyle name="Porcentual 2 2 65 4" xfId="11123" xr:uid="{00000000-0005-0000-0000-0000A9220000}"/>
    <cellStyle name="Porcentual 2 2 65 4 2" xfId="20011" xr:uid="{49D5DC5F-BC1B-4698-9345-D38953270904}"/>
    <cellStyle name="Porcentual 2 2 65 5" xfId="18643" xr:uid="{EFE670DF-C97F-408D-9AE5-3368E7AC7A23}"/>
    <cellStyle name="Porcentual 2 2 66" xfId="2694" xr:uid="{00000000-0005-0000-0000-0000AA220000}"/>
    <cellStyle name="Porcentual 2 2 7" xfId="2760" xr:uid="{00000000-0005-0000-0000-0000AB220000}"/>
    <cellStyle name="Porcentual 2 2 7 2" xfId="6395" xr:uid="{00000000-0005-0000-0000-0000AC220000}"/>
    <cellStyle name="Porcentual 2 2 7 3" xfId="8780" xr:uid="{00000000-0005-0000-0000-0000AD220000}"/>
    <cellStyle name="Porcentual 2 2 8" xfId="2761" xr:uid="{00000000-0005-0000-0000-0000AE220000}"/>
    <cellStyle name="Porcentual 2 2 8 2" xfId="6396" xr:uid="{00000000-0005-0000-0000-0000AF220000}"/>
    <cellStyle name="Porcentual 2 2 8 3" xfId="8781" xr:uid="{00000000-0005-0000-0000-0000B0220000}"/>
    <cellStyle name="Porcentual 2 2 9" xfId="2762" xr:uid="{00000000-0005-0000-0000-0000B1220000}"/>
    <cellStyle name="Porcentual 2 2 9 2" xfId="6397" xr:uid="{00000000-0005-0000-0000-0000B2220000}"/>
    <cellStyle name="Porcentual 2 2 9 3" xfId="8782" xr:uid="{00000000-0005-0000-0000-0000B3220000}"/>
    <cellStyle name="Porcentual 2 20" xfId="2763" xr:uid="{00000000-0005-0000-0000-0000B4220000}"/>
    <cellStyle name="Porcentual 2 20 10" xfId="2764" xr:uid="{00000000-0005-0000-0000-0000B5220000}"/>
    <cellStyle name="Porcentual 2 20 10 2" xfId="6398" xr:uid="{00000000-0005-0000-0000-0000B6220000}"/>
    <cellStyle name="Porcentual 2 20 11" xfId="2765" xr:uid="{00000000-0005-0000-0000-0000B7220000}"/>
    <cellStyle name="Porcentual 2 20 11 2" xfId="6399" xr:uid="{00000000-0005-0000-0000-0000B8220000}"/>
    <cellStyle name="Porcentual 2 20 12" xfId="2766" xr:uid="{00000000-0005-0000-0000-0000B9220000}"/>
    <cellStyle name="Porcentual 2 20 12 2" xfId="6400" xr:uid="{00000000-0005-0000-0000-0000BA220000}"/>
    <cellStyle name="Porcentual 2 20 13" xfId="2767" xr:uid="{00000000-0005-0000-0000-0000BB220000}"/>
    <cellStyle name="Porcentual 2 20 13 2" xfId="6401" xr:uid="{00000000-0005-0000-0000-0000BC220000}"/>
    <cellStyle name="Porcentual 2 20 14" xfId="2768" xr:uid="{00000000-0005-0000-0000-0000BD220000}"/>
    <cellStyle name="Porcentual 2 20 14 2" xfId="6402" xr:uid="{00000000-0005-0000-0000-0000BE220000}"/>
    <cellStyle name="Porcentual 2 20 15" xfId="2769" xr:uid="{00000000-0005-0000-0000-0000BF220000}"/>
    <cellStyle name="Porcentual 2 20 15 2" xfId="6403" xr:uid="{00000000-0005-0000-0000-0000C0220000}"/>
    <cellStyle name="Porcentual 2 20 16" xfId="2770" xr:uid="{00000000-0005-0000-0000-0000C1220000}"/>
    <cellStyle name="Porcentual 2 20 16 2" xfId="6404" xr:uid="{00000000-0005-0000-0000-0000C2220000}"/>
    <cellStyle name="Porcentual 2 20 17" xfId="2771" xr:uid="{00000000-0005-0000-0000-0000C3220000}"/>
    <cellStyle name="Porcentual 2 20 17 2" xfId="6405" xr:uid="{00000000-0005-0000-0000-0000C4220000}"/>
    <cellStyle name="Porcentual 2 20 18" xfId="2772" xr:uid="{00000000-0005-0000-0000-0000C5220000}"/>
    <cellStyle name="Porcentual 2 20 18 2" xfId="6406" xr:uid="{00000000-0005-0000-0000-0000C6220000}"/>
    <cellStyle name="Porcentual 2 20 19" xfId="2773" xr:uid="{00000000-0005-0000-0000-0000C7220000}"/>
    <cellStyle name="Porcentual 2 20 19 2" xfId="6407" xr:uid="{00000000-0005-0000-0000-0000C8220000}"/>
    <cellStyle name="Porcentual 2 20 2" xfId="2774" xr:uid="{00000000-0005-0000-0000-0000C9220000}"/>
    <cellStyle name="Porcentual 2 20 2 2" xfId="6408" xr:uid="{00000000-0005-0000-0000-0000CA220000}"/>
    <cellStyle name="Porcentual 2 20 20" xfId="2775" xr:uid="{00000000-0005-0000-0000-0000CB220000}"/>
    <cellStyle name="Porcentual 2 20 20 2" xfId="6409" xr:uid="{00000000-0005-0000-0000-0000CC220000}"/>
    <cellStyle name="Porcentual 2 20 21" xfId="2776" xr:uid="{00000000-0005-0000-0000-0000CD220000}"/>
    <cellStyle name="Porcentual 2 20 21 2" xfId="6410" xr:uid="{00000000-0005-0000-0000-0000CE220000}"/>
    <cellStyle name="Porcentual 2 20 22" xfId="2777" xr:uid="{00000000-0005-0000-0000-0000CF220000}"/>
    <cellStyle name="Porcentual 2 20 22 2" xfId="6411" xr:uid="{00000000-0005-0000-0000-0000D0220000}"/>
    <cellStyle name="Porcentual 2 20 23" xfId="2778" xr:uid="{00000000-0005-0000-0000-0000D1220000}"/>
    <cellStyle name="Porcentual 2 20 23 2" xfId="6412" xr:uid="{00000000-0005-0000-0000-0000D2220000}"/>
    <cellStyle name="Porcentual 2 20 24" xfId="2779" xr:uid="{00000000-0005-0000-0000-0000D3220000}"/>
    <cellStyle name="Porcentual 2 20 24 2" xfId="6413" xr:uid="{00000000-0005-0000-0000-0000D4220000}"/>
    <cellStyle name="Porcentual 2 20 25" xfId="2780" xr:uid="{00000000-0005-0000-0000-0000D5220000}"/>
    <cellStyle name="Porcentual 2 20 25 2" xfId="6414" xr:uid="{00000000-0005-0000-0000-0000D6220000}"/>
    <cellStyle name="Porcentual 2 20 26" xfId="2781" xr:uid="{00000000-0005-0000-0000-0000D7220000}"/>
    <cellStyle name="Porcentual 2 20 26 2" xfId="6415" xr:uid="{00000000-0005-0000-0000-0000D8220000}"/>
    <cellStyle name="Porcentual 2 20 27" xfId="2782" xr:uid="{00000000-0005-0000-0000-0000D9220000}"/>
    <cellStyle name="Porcentual 2 20 27 2" xfId="6416" xr:uid="{00000000-0005-0000-0000-0000DA220000}"/>
    <cellStyle name="Porcentual 2 20 28" xfId="2783" xr:uid="{00000000-0005-0000-0000-0000DB220000}"/>
    <cellStyle name="Porcentual 2 20 28 2" xfId="6417" xr:uid="{00000000-0005-0000-0000-0000DC220000}"/>
    <cellStyle name="Porcentual 2 20 29" xfId="6418" xr:uid="{00000000-0005-0000-0000-0000DD220000}"/>
    <cellStyle name="Porcentual 2 20 3" xfId="2784" xr:uid="{00000000-0005-0000-0000-0000DE220000}"/>
    <cellStyle name="Porcentual 2 20 3 2" xfId="6419" xr:uid="{00000000-0005-0000-0000-0000DF220000}"/>
    <cellStyle name="Porcentual 2 20 4" xfId="2785" xr:uid="{00000000-0005-0000-0000-0000E0220000}"/>
    <cellStyle name="Porcentual 2 20 4 2" xfId="6420" xr:uid="{00000000-0005-0000-0000-0000E1220000}"/>
    <cellStyle name="Porcentual 2 20 5" xfId="2786" xr:uid="{00000000-0005-0000-0000-0000E2220000}"/>
    <cellStyle name="Porcentual 2 20 5 2" xfId="6421" xr:uid="{00000000-0005-0000-0000-0000E3220000}"/>
    <cellStyle name="Porcentual 2 20 6" xfId="2787" xr:uid="{00000000-0005-0000-0000-0000E4220000}"/>
    <cellStyle name="Porcentual 2 20 6 2" xfId="6422" xr:uid="{00000000-0005-0000-0000-0000E5220000}"/>
    <cellStyle name="Porcentual 2 20 7" xfId="2788" xr:uid="{00000000-0005-0000-0000-0000E6220000}"/>
    <cellStyle name="Porcentual 2 20 7 2" xfId="6423" xr:uid="{00000000-0005-0000-0000-0000E7220000}"/>
    <cellStyle name="Porcentual 2 20 8" xfId="2789" xr:uid="{00000000-0005-0000-0000-0000E8220000}"/>
    <cellStyle name="Porcentual 2 20 8 2" xfId="6424" xr:uid="{00000000-0005-0000-0000-0000E9220000}"/>
    <cellStyle name="Porcentual 2 20 9" xfId="2790" xr:uid="{00000000-0005-0000-0000-0000EA220000}"/>
    <cellStyle name="Porcentual 2 20 9 2" xfId="6425" xr:uid="{00000000-0005-0000-0000-0000EB220000}"/>
    <cellStyle name="Porcentual 2 21" xfId="2791" xr:uid="{00000000-0005-0000-0000-0000EC220000}"/>
    <cellStyle name="Porcentual 2 21 10" xfId="2792" xr:uid="{00000000-0005-0000-0000-0000ED220000}"/>
    <cellStyle name="Porcentual 2 21 10 2" xfId="6426" xr:uid="{00000000-0005-0000-0000-0000EE220000}"/>
    <cellStyle name="Porcentual 2 21 11" xfId="2793" xr:uid="{00000000-0005-0000-0000-0000EF220000}"/>
    <cellStyle name="Porcentual 2 21 11 2" xfId="6427" xr:uid="{00000000-0005-0000-0000-0000F0220000}"/>
    <cellStyle name="Porcentual 2 21 12" xfId="2794" xr:uid="{00000000-0005-0000-0000-0000F1220000}"/>
    <cellStyle name="Porcentual 2 21 12 2" xfId="6428" xr:uid="{00000000-0005-0000-0000-0000F2220000}"/>
    <cellStyle name="Porcentual 2 21 13" xfId="2795" xr:uid="{00000000-0005-0000-0000-0000F3220000}"/>
    <cellStyle name="Porcentual 2 21 13 2" xfId="6429" xr:uid="{00000000-0005-0000-0000-0000F4220000}"/>
    <cellStyle name="Porcentual 2 21 14" xfId="2796" xr:uid="{00000000-0005-0000-0000-0000F5220000}"/>
    <cellStyle name="Porcentual 2 21 14 2" xfId="6430" xr:uid="{00000000-0005-0000-0000-0000F6220000}"/>
    <cellStyle name="Porcentual 2 21 15" xfId="2797" xr:uid="{00000000-0005-0000-0000-0000F7220000}"/>
    <cellStyle name="Porcentual 2 21 15 2" xfId="6431" xr:uid="{00000000-0005-0000-0000-0000F8220000}"/>
    <cellStyle name="Porcentual 2 21 16" xfId="2798" xr:uid="{00000000-0005-0000-0000-0000F9220000}"/>
    <cellStyle name="Porcentual 2 21 16 2" xfId="6432" xr:uid="{00000000-0005-0000-0000-0000FA220000}"/>
    <cellStyle name="Porcentual 2 21 17" xfId="2799" xr:uid="{00000000-0005-0000-0000-0000FB220000}"/>
    <cellStyle name="Porcentual 2 21 17 2" xfId="6433" xr:uid="{00000000-0005-0000-0000-0000FC220000}"/>
    <cellStyle name="Porcentual 2 21 18" xfId="2800" xr:uid="{00000000-0005-0000-0000-0000FD220000}"/>
    <cellStyle name="Porcentual 2 21 18 2" xfId="6434" xr:uid="{00000000-0005-0000-0000-0000FE220000}"/>
    <cellStyle name="Porcentual 2 21 19" xfId="2801" xr:uid="{00000000-0005-0000-0000-0000FF220000}"/>
    <cellStyle name="Porcentual 2 21 19 2" xfId="6435" xr:uid="{00000000-0005-0000-0000-000000230000}"/>
    <cellStyle name="Porcentual 2 21 2" xfId="2802" xr:uid="{00000000-0005-0000-0000-000001230000}"/>
    <cellStyle name="Porcentual 2 21 2 2" xfId="6436" xr:uid="{00000000-0005-0000-0000-000002230000}"/>
    <cellStyle name="Porcentual 2 21 20" xfId="2803" xr:uid="{00000000-0005-0000-0000-000003230000}"/>
    <cellStyle name="Porcentual 2 21 20 2" xfId="6437" xr:uid="{00000000-0005-0000-0000-000004230000}"/>
    <cellStyle name="Porcentual 2 21 21" xfId="2804" xr:uid="{00000000-0005-0000-0000-000005230000}"/>
    <cellStyle name="Porcentual 2 21 21 2" xfId="6438" xr:uid="{00000000-0005-0000-0000-000006230000}"/>
    <cellStyle name="Porcentual 2 21 22" xfId="2805" xr:uid="{00000000-0005-0000-0000-000007230000}"/>
    <cellStyle name="Porcentual 2 21 22 2" xfId="6439" xr:uid="{00000000-0005-0000-0000-000008230000}"/>
    <cellStyle name="Porcentual 2 21 23" xfId="2806" xr:uid="{00000000-0005-0000-0000-000009230000}"/>
    <cellStyle name="Porcentual 2 21 23 2" xfId="6440" xr:uid="{00000000-0005-0000-0000-00000A230000}"/>
    <cellStyle name="Porcentual 2 21 24" xfId="2807" xr:uid="{00000000-0005-0000-0000-00000B230000}"/>
    <cellStyle name="Porcentual 2 21 24 2" xfId="6441" xr:uid="{00000000-0005-0000-0000-00000C230000}"/>
    <cellStyle name="Porcentual 2 21 25" xfId="2808" xr:uid="{00000000-0005-0000-0000-00000D230000}"/>
    <cellStyle name="Porcentual 2 21 25 2" xfId="6442" xr:uid="{00000000-0005-0000-0000-00000E230000}"/>
    <cellStyle name="Porcentual 2 21 26" xfId="2809" xr:uid="{00000000-0005-0000-0000-00000F230000}"/>
    <cellStyle name="Porcentual 2 21 26 2" xfId="6443" xr:uid="{00000000-0005-0000-0000-000010230000}"/>
    <cellStyle name="Porcentual 2 21 27" xfId="2810" xr:uid="{00000000-0005-0000-0000-000011230000}"/>
    <cellStyle name="Porcentual 2 21 27 2" xfId="6444" xr:uid="{00000000-0005-0000-0000-000012230000}"/>
    <cellStyle name="Porcentual 2 21 28" xfId="2811" xr:uid="{00000000-0005-0000-0000-000013230000}"/>
    <cellStyle name="Porcentual 2 21 28 2" xfId="6445" xr:uid="{00000000-0005-0000-0000-000014230000}"/>
    <cellStyle name="Porcentual 2 21 29" xfId="6446" xr:uid="{00000000-0005-0000-0000-000015230000}"/>
    <cellStyle name="Porcentual 2 21 3" xfId="2812" xr:uid="{00000000-0005-0000-0000-000016230000}"/>
    <cellStyle name="Porcentual 2 21 3 2" xfId="6447" xr:uid="{00000000-0005-0000-0000-000017230000}"/>
    <cellStyle name="Porcentual 2 21 4" xfId="2813" xr:uid="{00000000-0005-0000-0000-000018230000}"/>
    <cellStyle name="Porcentual 2 21 4 2" xfId="6448" xr:uid="{00000000-0005-0000-0000-000019230000}"/>
    <cellStyle name="Porcentual 2 21 5" xfId="2814" xr:uid="{00000000-0005-0000-0000-00001A230000}"/>
    <cellStyle name="Porcentual 2 21 5 2" xfId="6449" xr:uid="{00000000-0005-0000-0000-00001B230000}"/>
    <cellStyle name="Porcentual 2 21 6" xfId="2815" xr:uid="{00000000-0005-0000-0000-00001C230000}"/>
    <cellStyle name="Porcentual 2 21 6 2" xfId="6450" xr:uid="{00000000-0005-0000-0000-00001D230000}"/>
    <cellStyle name="Porcentual 2 21 7" xfId="2816" xr:uid="{00000000-0005-0000-0000-00001E230000}"/>
    <cellStyle name="Porcentual 2 21 7 2" xfId="6451" xr:uid="{00000000-0005-0000-0000-00001F230000}"/>
    <cellStyle name="Porcentual 2 21 8" xfId="2817" xr:uid="{00000000-0005-0000-0000-000020230000}"/>
    <cellStyle name="Porcentual 2 21 8 2" xfId="6452" xr:uid="{00000000-0005-0000-0000-000021230000}"/>
    <cellStyle name="Porcentual 2 21 9" xfId="2818" xr:uid="{00000000-0005-0000-0000-000022230000}"/>
    <cellStyle name="Porcentual 2 21 9 2" xfId="6453" xr:uid="{00000000-0005-0000-0000-000023230000}"/>
    <cellStyle name="Porcentual 2 22" xfId="2819" xr:uid="{00000000-0005-0000-0000-000024230000}"/>
    <cellStyle name="Porcentual 2 22 10" xfId="2820" xr:uid="{00000000-0005-0000-0000-000025230000}"/>
    <cellStyle name="Porcentual 2 22 10 2" xfId="6454" xr:uid="{00000000-0005-0000-0000-000026230000}"/>
    <cellStyle name="Porcentual 2 22 11" xfId="2821" xr:uid="{00000000-0005-0000-0000-000027230000}"/>
    <cellStyle name="Porcentual 2 22 11 2" xfId="6455" xr:uid="{00000000-0005-0000-0000-000028230000}"/>
    <cellStyle name="Porcentual 2 22 12" xfId="2822" xr:uid="{00000000-0005-0000-0000-000029230000}"/>
    <cellStyle name="Porcentual 2 22 12 2" xfId="6456" xr:uid="{00000000-0005-0000-0000-00002A230000}"/>
    <cellStyle name="Porcentual 2 22 13" xfId="2823" xr:uid="{00000000-0005-0000-0000-00002B230000}"/>
    <cellStyle name="Porcentual 2 22 13 2" xfId="6457" xr:uid="{00000000-0005-0000-0000-00002C230000}"/>
    <cellStyle name="Porcentual 2 22 14" xfId="2824" xr:uid="{00000000-0005-0000-0000-00002D230000}"/>
    <cellStyle name="Porcentual 2 22 14 2" xfId="6458" xr:uid="{00000000-0005-0000-0000-00002E230000}"/>
    <cellStyle name="Porcentual 2 22 15" xfId="2825" xr:uid="{00000000-0005-0000-0000-00002F230000}"/>
    <cellStyle name="Porcentual 2 22 15 2" xfId="6459" xr:uid="{00000000-0005-0000-0000-000030230000}"/>
    <cellStyle name="Porcentual 2 22 16" xfId="2826" xr:uid="{00000000-0005-0000-0000-000031230000}"/>
    <cellStyle name="Porcentual 2 22 16 2" xfId="6460" xr:uid="{00000000-0005-0000-0000-000032230000}"/>
    <cellStyle name="Porcentual 2 22 17" xfId="2827" xr:uid="{00000000-0005-0000-0000-000033230000}"/>
    <cellStyle name="Porcentual 2 22 17 2" xfId="6461" xr:uid="{00000000-0005-0000-0000-000034230000}"/>
    <cellStyle name="Porcentual 2 22 18" xfId="2828" xr:uid="{00000000-0005-0000-0000-000035230000}"/>
    <cellStyle name="Porcentual 2 22 18 2" xfId="6462" xr:uid="{00000000-0005-0000-0000-000036230000}"/>
    <cellStyle name="Porcentual 2 22 19" xfId="2829" xr:uid="{00000000-0005-0000-0000-000037230000}"/>
    <cellStyle name="Porcentual 2 22 19 2" xfId="6463" xr:uid="{00000000-0005-0000-0000-000038230000}"/>
    <cellStyle name="Porcentual 2 22 2" xfId="2830" xr:uid="{00000000-0005-0000-0000-000039230000}"/>
    <cellStyle name="Porcentual 2 22 2 2" xfId="6464" xr:uid="{00000000-0005-0000-0000-00003A230000}"/>
    <cellStyle name="Porcentual 2 22 20" xfId="2831" xr:uid="{00000000-0005-0000-0000-00003B230000}"/>
    <cellStyle name="Porcentual 2 22 20 2" xfId="6465" xr:uid="{00000000-0005-0000-0000-00003C230000}"/>
    <cellStyle name="Porcentual 2 22 21" xfId="2832" xr:uid="{00000000-0005-0000-0000-00003D230000}"/>
    <cellStyle name="Porcentual 2 22 21 2" xfId="6466" xr:uid="{00000000-0005-0000-0000-00003E230000}"/>
    <cellStyle name="Porcentual 2 22 22" xfId="2833" xr:uid="{00000000-0005-0000-0000-00003F230000}"/>
    <cellStyle name="Porcentual 2 22 22 2" xfId="6467" xr:uid="{00000000-0005-0000-0000-000040230000}"/>
    <cellStyle name="Porcentual 2 22 23" xfId="2834" xr:uid="{00000000-0005-0000-0000-000041230000}"/>
    <cellStyle name="Porcentual 2 22 23 2" xfId="6468" xr:uid="{00000000-0005-0000-0000-000042230000}"/>
    <cellStyle name="Porcentual 2 22 24" xfId="2835" xr:uid="{00000000-0005-0000-0000-000043230000}"/>
    <cellStyle name="Porcentual 2 22 24 2" xfId="6469" xr:uid="{00000000-0005-0000-0000-000044230000}"/>
    <cellStyle name="Porcentual 2 22 25" xfId="2836" xr:uid="{00000000-0005-0000-0000-000045230000}"/>
    <cellStyle name="Porcentual 2 22 25 2" xfId="6470" xr:uid="{00000000-0005-0000-0000-000046230000}"/>
    <cellStyle name="Porcentual 2 22 26" xfId="2837" xr:uid="{00000000-0005-0000-0000-000047230000}"/>
    <cellStyle name="Porcentual 2 22 26 2" xfId="6471" xr:uid="{00000000-0005-0000-0000-000048230000}"/>
    <cellStyle name="Porcentual 2 22 27" xfId="2838" xr:uid="{00000000-0005-0000-0000-000049230000}"/>
    <cellStyle name="Porcentual 2 22 27 2" xfId="6472" xr:uid="{00000000-0005-0000-0000-00004A230000}"/>
    <cellStyle name="Porcentual 2 22 28" xfId="2839" xr:uid="{00000000-0005-0000-0000-00004B230000}"/>
    <cellStyle name="Porcentual 2 22 28 2" xfId="6473" xr:uid="{00000000-0005-0000-0000-00004C230000}"/>
    <cellStyle name="Porcentual 2 22 29" xfId="6474" xr:uid="{00000000-0005-0000-0000-00004D230000}"/>
    <cellStyle name="Porcentual 2 22 3" xfId="2840" xr:uid="{00000000-0005-0000-0000-00004E230000}"/>
    <cellStyle name="Porcentual 2 22 3 2" xfId="6475" xr:uid="{00000000-0005-0000-0000-00004F230000}"/>
    <cellStyle name="Porcentual 2 22 4" xfId="2841" xr:uid="{00000000-0005-0000-0000-000050230000}"/>
    <cellStyle name="Porcentual 2 22 4 2" xfId="6476" xr:uid="{00000000-0005-0000-0000-000051230000}"/>
    <cellStyle name="Porcentual 2 22 5" xfId="2842" xr:uid="{00000000-0005-0000-0000-000052230000}"/>
    <cellStyle name="Porcentual 2 22 5 2" xfId="6477" xr:uid="{00000000-0005-0000-0000-000053230000}"/>
    <cellStyle name="Porcentual 2 22 6" xfId="2843" xr:uid="{00000000-0005-0000-0000-000054230000}"/>
    <cellStyle name="Porcentual 2 22 6 2" xfId="6478" xr:uid="{00000000-0005-0000-0000-000055230000}"/>
    <cellStyle name="Porcentual 2 22 7" xfId="2844" xr:uid="{00000000-0005-0000-0000-000056230000}"/>
    <cellStyle name="Porcentual 2 22 7 2" xfId="6479" xr:uid="{00000000-0005-0000-0000-000057230000}"/>
    <cellStyle name="Porcentual 2 22 8" xfId="2845" xr:uid="{00000000-0005-0000-0000-000058230000}"/>
    <cellStyle name="Porcentual 2 22 8 2" xfId="6480" xr:uid="{00000000-0005-0000-0000-000059230000}"/>
    <cellStyle name="Porcentual 2 22 9" xfId="2846" xr:uid="{00000000-0005-0000-0000-00005A230000}"/>
    <cellStyle name="Porcentual 2 22 9 2" xfId="6481" xr:uid="{00000000-0005-0000-0000-00005B230000}"/>
    <cellStyle name="Porcentual 2 23" xfId="2847" xr:uid="{00000000-0005-0000-0000-00005C230000}"/>
    <cellStyle name="Porcentual 2 23 10" xfId="2848" xr:uid="{00000000-0005-0000-0000-00005D230000}"/>
    <cellStyle name="Porcentual 2 23 10 2" xfId="6482" xr:uid="{00000000-0005-0000-0000-00005E230000}"/>
    <cellStyle name="Porcentual 2 23 11" xfId="2849" xr:uid="{00000000-0005-0000-0000-00005F230000}"/>
    <cellStyle name="Porcentual 2 23 11 2" xfId="6483" xr:uid="{00000000-0005-0000-0000-000060230000}"/>
    <cellStyle name="Porcentual 2 23 12" xfId="2850" xr:uid="{00000000-0005-0000-0000-000061230000}"/>
    <cellStyle name="Porcentual 2 23 12 2" xfId="6484" xr:uid="{00000000-0005-0000-0000-000062230000}"/>
    <cellStyle name="Porcentual 2 23 13" xfId="2851" xr:uid="{00000000-0005-0000-0000-000063230000}"/>
    <cellStyle name="Porcentual 2 23 13 2" xfId="6485" xr:uid="{00000000-0005-0000-0000-000064230000}"/>
    <cellStyle name="Porcentual 2 23 14" xfId="2852" xr:uid="{00000000-0005-0000-0000-000065230000}"/>
    <cellStyle name="Porcentual 2 23 14 2" xfId="6486" xr:uid="{00000000-0005-0000-0000-000066230000}"/>
    <cellStyle name="Porcentual 2 23 15" xfId="2853" xr:uid="{00000000-0005-0000-0000-000067230000}"/>
    <cellStyle name="Porcentual 2 23 15 2" xfId="6487" xr:uid="{00000000-0005-0000-0000-000068230000}"/>
    <cellStyle name="Porcentual 2 23 16" xfId="2854" xr:uid="{00000000-0005-0000-0000-000069230000}"/>
    <cellStyle name="Porcentual 2 23 16 2" xfId="6488" xr:uid="{00000000-0005-0000-0000-00006A230000}"/>
    <cellStyle name="Porcentual 2 23 17" xfId="2855" xr:uid="{00000000-0005-0000-0000-00006B230000}"/>
    <cellStyle name="Porcentual 2 23 17 2" xfId="6489" xr:uid="{00000000-0005-0000-0000-00006C230000}"/>
    <cellStyle name="Porcentual 2 23 18" xfId="2856" xr:uid="{00000000-0005-0000-0000-00006D230000}"/>
    <cellStyle name="Porcentual 2 23 18 2" xfId="6490" xr:uid="{00000000-0005-0000-0000-00006E230000}"/>
    <cellStyle name="Porcentual 2 23 19" xfId="2857" xr:uid="{00000000-0005-0000-0000-00006F230000}"/>
    <cellStyle name="Porcentual 2 23 19 2" xfId="6491" xr:uid="{00000000-0005-0000-0000-000070230000}"/>
    <cellStyle name="Porcentual 2 23 2" xfId="2858" xr:uid="{00000000-0005-0000-0000-000071230000}"/>
    <cellStyle name="Porcentual 2 23 2 2" xfId="6492" xr:uid="{00000000-0005-0000-0000-000072230000}"/>
    <cellStyle name="Porcentual 2 23 20" xfId="2859" xr:uid="{00000000-0005-0000-0000-000073230000}"/>
    <cellStyle name="Porcentual 2 23 20 2" xfId="6493" xr:uid="{00000000-0005-0000-0000-000074230000}"/>
    <cellStyle name="Porcentual 2 23 21" xfId="2860" xr:uid="{00000000-0005-0000-0000-000075230000}"/>
    <cellStyle name="Porcentual 2 23 21 2" xfId="6494" xr:uid="{00000000-0005-0000-0000-000076230000}"/>
    <cellStyle name="Porcentual 2 23 22" xfId="2861" xr:uid="{00000000-0005-0000-0000-000077230000}"/>
    <cellStyle name="Porcentual 2 23 22 2" xfId="6495" xr:uid="{00000000-0005-0000-0000-000078230000}"/>
    <cellStyle name="Porcentual 2 23 23" xfId="2862" xr:uid="{00000000-0005-0000-0000-000079230000}"/>
    <cellStyle name="Porcentual 2 23 23 2" xfId="6496" xr:uid="{00000000-0005-0000-0000-00007A230000}"/>
    <cellStyle name="Porcentual 2 23 24" xfId="2863" xr:uid="{00000000-0005-0000-0000-00007B230000}"/>
    <cellStyle name="Porcentual 2 23 24 2" xfId="6497" xr:uid="{00000000-0005-0000-0000-00007C230000}"/>
    <cellStyle name="Porcentual 2 23 25" xfId="2864" xr:uid="{00000000-0005-0000-0000-00007D230000}"/>
    <cellStyle name="Porcentual 2 23 25 2" xfId="6498" xr:uid="{00000000-0005-0000-0000-00007E230000}"/>
    <cellStyle name="Porcentual 2 23 26" xfId="2865" xr:uid="{00000000-0005-0000-0000-00007F230000}"/>
    <cellStyle name="Porcentual 2 23 26 2" xfId="6499" xr:uid="{00000000-0005-0000-0000-000080230000}"/>
    <cellStyle name="Porcentual 2 23 27" xfId="2866" xr:uid="{00000000-0005-0000-0000-000081230000}"/>
    <cellStyle name="Porcentual 2 23 27 2" xfId="6500" xr:uid="{00000000-0005-0000-0000-000082230000}"/>
    <cellStyle name="Porcentual 2 23 28" xfId="2867" xr:uid="{00000000-0005-0000-0000-000083230000}"/>
    <cellStyle name="Porcentual 2 23 28 2" xfId="6501" xr:uid="{00000000-0005-0000-0000-000084230000}"/>
    <cellStyle name="Porcentual 2 23 29" xfId="6502" xr:uid="{00000000-0005-0000-0000-000085230000}"/>
    <cellStyle name="Porcentual 2 23 3" xfId="2868" xr:uid="{00000000-0005-0000-0000-000086230000}"/>
    <cellStyle name="Porcentual 2 23 3 2" xfId="6503" xr:uid="{00000000-0005-0000-0000-000087230000}"/>
    <cellStyle name="Porcentual 2 23 4" xfId="2869" xr:uid="{00000000-0005-0000-0000-000088230000}"/>
    <cellStyle name="Porcentual 2 23 4 2" xfId="6504" xr:uid="{00000000-0005-0000-0000-000089230000}"/>
    <cellStyle name="Porcentual 2 23 5" xfId="2870" xr:uid="{00000000-0005-0000-0000-00008A230000}"/>
    <cellStyle name="Porcentual 2 23 5 2" xfId="6505" xr:uid="{00000000-0005-0000-0000-00008B230000}"/>
    <cellStyle name="Porcentual 2 23 6" xfId="2871" xr:uid="{00000000-0005-0000-0000-00008C230000}"/>
    <cellStyle name="Porcentual 2 23 6 2" xfId="6506" xr:uid="{00000000-0005-0000-0000-00008D230000}"/>
    <cellStyle name="Porcentual 2 23 7" xfId="2872" xr:uid="{00000000-0005-0000-0000-00008E230000}"/>
    <cellStyle name="Porcentual 2 23 7 2" xfId="6507" xr:uid="{00000000-0005-0000-0000-00008F230000}"/>
    <cellStyle name="Porcentual 2 23 8" xfId="2873" xr:uid="{00000000-0005-0000-0000-000090230000}"/>
    <cellStyle name="Porcentual 2 23 8 2" xfId="6508" xr:uid="{00000000-0005-0000-0000-000091230000}"/>
    <cellStyle name="Porcentual 2 23 9" xfId="2874" xr:uid="{00000000-0005-0000-0000-000092230000}"/>
    <cellStyle name="Porcentual 2 23 9 2" xfId="6509" xr:uid="{00000000-0005-0000-0000-000093230000}"/>
    <cellStyle name="Porcentual 2 24" xfId="2875" xr:uid="{00000000-0005-0000-0000-000094230000}"/>
    <cellStyle name="Porcentual 2 24 10" xfId="2876" xr:uid="{00000000-0005-0000-0000-000095230000}"/>
    <cellStyle name="Porcentual 2 24 10 2" xfId="6510" xr:uid="{00000000-0005-0000-0000-000096230000}"/>
    <cellStyle name="Porcentual 2 24 11" xfId="2877" xr:uid="{00000000-0005-0000-0000-000097230000}"/>
    <cellStyle name="Porcentual 2 24 11 2" xfId="6511" xr:uid="{00000000-0005-0000-0000-000098230000}"/>
    <cellStyle name="Porcentual 2 24 12" xfId="2878" xr:uid="{00000000-0005-0000-0000-000099230000}"/>
    <cellStyle name="Porcentual 2 24 12 2" xfId="6512" xr:uid="{00000000-0005-0000-0000-00009A230000}"/>
    <cellStyle name="Porcentual 2 24 13" xfId="2879" xr:uid="{00000000-0005-0000-0000-00009B230000}"/>
    <cellStyle name="Porcentual 2 24 13 2" xfId="6513" xr:uid="{00000000-0005-0000-0000-00009C230000}"/>
    <cellStyle name="Porcentual 2 24 14" xfId="2880" xr:uid="{00000000-0005-0000-0000-00009D230000}"/>
    <cellStyle name="Porcentual 2 24 14 2" xfId="6514" xr:uid="{00000000-0005-0000-0000-00009E230000}"/>
    <cellStyle name="Porcentual 2 24 15" xfId="2881" xr:uid="{00000000-0005-0000-0000-00009F230000}"/>
    <cellStyle name="Porcentual 2 24 15 2" xfId="6515" xr:uid="{00000000-0005-0000-0000-0000A0230000}"/>
    <cellStyle name="Porcentual 2 24 16" xfId="2882" xr:uid="{00000000-0005-0000-0000-0000A1230000}"/>
    <cellStyle name="Porcentual 2 24 16 2" xfId="6516" xr:uid="{00000000-0005-0000-0000-0000A2230000}"/>
    <cellStyle name="Porcentual 2 24 17" xfId="2883" xr:uid="{00000000-0005-0000-0000-0000A3230000}"/>
    <cellStyle name="Porcentual 2 24 17 2" xfId="6517" xr:uid="{00000000-0005-0000-0000-0000A4230000}"/>
    <cellStyle name="Porcentual 2 24 18" xfId="2884" xr:uid="{00000000-0005-0000-0000-0000A5230000}"/>
    <cellStyle name="Porcentual 2 24 18 2" xfId="6518" xr:uid="{00000000-0005-0000-0000-0000A6230000}"/>
    <cellStyle name="Porcentual 2 24 19" xfId="2885" xr:uid="{00000000-0005-0000-0000-0000A7230000}"/>
    <cellStyle name="Porcentual 2 24 19 2" xfId="6519" xr:uid="{00000000-0005-0000-0000-0000A8230000}"/>
    <cellStyle name="Porcentual 2 24 2" xfId="2886" xr:uid="{00000000-0005-0000-0000-0000A9230000}"/>
    <cellStyle name="Porcentual 2 24 2 2" xfId="6520" xr:uid="{00000000-0005-0000-0000-0000AA230000}"/>
    <cellStyle name="Porcentual 2 24 20" xfId="2887" xr:uid="{00000000-0005-0000-0000-0000AB230000}"/>
    <cellStyle name="Porcentual 2 24 20 2" xfId="6521" xr:uid="{00000000-0005-0000-0000-0000AC230000}"/>
    <cellStyle name="Porcentual 2 24 21" xfId="2888" xr:uid="{00000000-0005-0000-0000-0000AD230000}"/>
    <cellStyle name="Porcentual 2 24 21 2" xfId="6522" xr:uid="{00000000-0005-0000-0000-0000AE230000}"/>
    <cellStyle name="Porcentual 2 24 22" xfId="2889" xr:uid="{00000000-0005-0000-0000-0000AF230000}"/>
    <cellStyle name="Porcentual 2 24 22 2" xfId="6523" xr:uid="{00000000-0005-0000-0000-0000B0230000}"/>
    <cellStyle name="Porcentual 2 24 23" xfId="2890" xr:uid="{00000000-0005-0000-0000-0000B1230000}"/>
    <cellStyle name="Porcentual 2 24 23 2" xfId="6524" xr:uid="{00000000-0005-0000-0000-0000B2230000}"/>
    <cellStyle name="Porcentual 2 24 24" xfId="2891" xr:uid="{00000000-0005-0000-0000-0000B3230000}"/>
    <cellStyle name="Porcentual 2 24 24 2" xfId="6525" xr:uid="{00000000-0005-0000-0000-0000B4230000}"/>
    <cellStyle name="Porcentual 2 24 25" xfId="2892" xr:uid="{00000000-0005-0000-0000-0000B5230000}"/>
    <cellStyle name="Porcentual 2 24 25 2" xfId="6526" xr:uid="{00000000-0005-0000-0000-0000B6230000}"/>
    <cellStyle name="Porcentual 2 24 26" xfId="2893" xr:uid="{00000000-0005-0000-0000-0000B7230000}"/>
    <cellStyle name="Porcentual 2 24 26 2" xfId="6527" xr:uid="{00000000-0005-0000-0000-0000B8230000}"/>
    <cellStyle name="Porcentual 2 24 27" xfId="2894" xr:uid="{00000000-0005-0000-0000-0000B9230000}"/>
    <cellStyle name="Porcentual 2 24 27 2" xfId="6528" xr:uid="{00000000-0005-0000-0000-0000BA230000}"/>
    <cellStyle name="Porcentual 2 24 28" xfId="2895" xr:uid="{00000000-0005-0000-0000-0000BB230000}"/>
    <cellStyle name="Porcentual 2 24 28 2" xfId="6529" xr:uid="{00000000-0005-0000-0000-0000BC230000}"/>
    <cellStyle name="Porcentual 2 24 29" xfId="6530" xr:uid="{00000000-0005-0000-0000-0000BD230000}"/>
    <cellStyle name="Porcentual 2 24 3" xfId="2896" xr:uid="{00000000-0005-0000-0000-0000BE230000}"/>
    <cellStyle name="Porcentual 2 24 3 2" xfId="6531" xr:uid="{00000000-0005-0000-0000-0000BF230000}"/>
    <cellStyle name="Porcentual 2 24 4" xfId="2897" xr:uid="{00000000-0005-0000-0000-0000C0230000}"/>
    <cellStyle name="Porcentual 2 24 4 2" xfId="6532" xr:uid="{00000000-0005-0000-0000-0000C1230000}"/>
    <cellStyle name="Porcentual 2 24 5" xfId="2898" xr:uid="{00000000-0005-0000-0000-0000C2230000}"/>
    <cellStyle name="Porcentual 2 24 5 2" xfId="6533" xr:uid="{00000000-0005-0000-0000-0000C3230000}"/>
    <cellStyle name="Porcentual 2 24 6" xfId="2899" xr:uid="{00000000-0005-0000-0000-0000C4230000}"/>
    <cellStyle name="Porcentual 2 24 6 2" xfId="6534" xr:uid="{00000000-0005-0000-0000-0000C5230000}"/>
    <cellStyle name="Porcentual 2 24 7" xfId="2900" xr:uid="{00000000-0005-0000-0000-0000C6230000}"/>
    <cellStyle name="Porcentual 2 24 7 2" xfId="6535" xr:uid="{00000000-0005-0000-0000-0000C7230000}"/>
    <cellStyle name="Porcentual 2 24 8" xfId="2901" xr:uid="{00000000-0005-0000-0000-0000C8230000}"/>
    <cellStyle name="Porcentual 2 24 8 2" xfId="6536" xr:uid="{00000000-0005-0000-0000-0000C9230000}"/>
    <cellStyle name="Porcentual 2 24 9" xfId="2902" xr:uid="{00000000-0005-0000-0000-0000CA230000}"/>
    <cellStyle name="Porcentual 2 24 9 2" xfId="6537" xr:uid="{00000000-0005-0000-0000-0000CB230000}"/>
    <cellStyle name="Porcentual 2 25" xfId="2903" xr:uid="{00000000-0005-0000-0000-0000CC230000}"/>
    <cellStyle name="Porcentual 2 25 10" xfId="2904" xr:uid="{00000000-0005-0000-0000-0000CD230000}"/>
    <cellStyle name="Porcentual 2 25 10 2" xfId="6538" xr:uid="{00000000-0005-0000-0000-0000CE230000}"/>
    <cellStyle name="Porcentual 2 25 11" xfId="2905" xr:uid="{00000000-0005-0000-0000-0000CF230000}"/>
    <cellStyle name="Porcentual 2 25 11 2" xfId="6539" xr:uid="{00000000-0005-0000-0000-0000D0230000}"/>
    <cellStyle name="Porcentual 2 25 12" xfId="2906" xr:uid="{00000000-0005-0000-0000-0000D1230000}"/>
    <cellStyle name="Porcentual 2 25 12 2" xfId="6540" xr:uid="{00000000-0005-0000-0000-0000D2230000}"/>
    <cellStyle name="Porcentual 2 25 13" xfId="2907" xr:uid="{00000000-0005-0000-0000-0000D3230000}"/>
    <cellStyle name="Porcentual 2 25 13 2" xfId="6541" xr:uid="{00000000-0005-0000-0000-0000D4230000}"/>
    <cellStyle name="Porcentual 2 25 14" xfId="2908" xr:uid="{00000000-0005-0000-0000-0000D5230000}"/>
    <cellStyle name="Porcentual 2 25 14 2" xfId="6542" xr:uid="{00000000-0005-0000-0000-0000D6230000}"/>
    <cellStyle name="Porcentual 2 25 15" xfId="2909" xr:uid="{00000000-0005-0000-0000-0000D7230000}"/>
    <cellStyle name="Porcentual 2 25 15 2" xfId="6543" xr:uid="{00000000-0005-0000-0000-0000D8230000}"/>
    <cellStyle name="Porcentual 2 25 16" xfId="2910" xr:uid="{00000000-0005-0000-0000-0000D9230000}"/>
    <cellStyle name="Porcentual 2 25 16 2" xfId="6544" xr:uid="{00000000-0005-0000-0000-0000DA230000}"/>
    <cellStyle name="Porcentual 2 25 17" xfId="2911" xr:uid="{00000000-0005-0000-0000-0000DB230000}"/>
    <cellStyle name="Porcentual 2 25 17 2" xfId="6545" xr:uid="{00000000-0005-0000-0000-0000DC230000}"/>
    <cellStyle name="Porcentual 2 25 18" xfId="2912" xr:uid="{00000000-0005-0000-0000-0000DD230000}"/>
    <cellStyle name="Porcentual 2 25 18 2" xfId="6546" xr:uid="{00000000-0005-0000-0000-0000DE230000}"/>
    <cellStyle name="Porcentual 2 25 19" xfId="2913" xr:uid="{00000000-0005-0000-0000-0000DF230000}"/>
    <cellStyle name="Porcentual 2 25 19 2" xfId="6547" xr:uid="{00000000-0005-0000-0000-0000E0230000}"/>
    <cellStyle name="Porcentual 2 25 2" xfId="2914" xr:uid="{00000000-0005-0000-0000-0000E1230000}"/>
    <cellStyle name="Porcentual 2 25 2 2" xfId="6548" xr:uid="{00000000-0005-0000-0000-0000E2230000}"/>
    <cellStyle name="Porcentual 2 25 20" xfId="2915" xr:uid="{00000000-0005-0000-0000-0000E3230000}"/>
    <cellStyle name="Porcentual 2 25 20 2" xfId="6549" xr:uid="{00000000-0005-0000-0000-0000E4230000}"/>
    <cellStyle name="Porcentual 2 25 21" xfId="2916" xr:uid="{00000000-0005-0000-0000-0000E5230000}"/>
    <cellStyle name="Porcentual 2 25 21 2" xfId="6550" xr:uid="{00000000-0005-0000-0000-0000E6230000}"/>
    <cellStyle name="Porcentual 2 25 22" xfId="2917" xr:uid="{00000000-0005-0000-0000-0000E7230000}"/>
    <cellStyle name="Porcentual 2 25 22 2" xfId="6551" xr:uid="{00000000-0005-0000-0000-0000E8230000}"/>
    <cellStyle name="Porcentual 2 25 23" xfId="2918" xr:uid="{00000000-0005-0000-0000-0000E9230000}"/>
    <cellStyle name="Porcentual 2 25 23 2" xfId="6552" xr:uid="{00000000-0005-0000-0000-0000EA230000}"/>
    <cellStyle name="Porcentual 2 25 24" xfId="2919" xr:uid="{00000000-0005-0000-0000-0000EB230000}"/>
    <cellStyle name="Porcentual 2 25 24 2" xfId="6553" xr:uid="{00000000-0005-0000-0000-0000EC230000}"/>
    <cellStyle name="Porcentual 2 25 25" xfId="2920" xr:uid="{00000000-0005-0000-0000-0000ED230000}"/>
    <cellStyle name="Porcentual 2 25 25 2" xfId="6554" xr:uid="{00000000-0005-0000-0000-0000EE230000}"/>
    <cellStyle name="Porcentual 2 25 26" xfId="2921" xr:uid="{00000000-0005-0000-0000-0000EF230000}"/>
    <cellStyle name="Porcentual 2 25 26 2" xfId="6555" xr:uid="{00000000-0005-0000-0000-0000F0230000}"/>
    <cellStyle name="Porcentual 2 25 27" xfId="2922" xr:uid="{00000000-0005-0000-0000-0000F1230000}"/>
    <cellStyle name="Porcentual 2 25 27 2" xfId="6556" xr:uid="{00000000-0005-0000-0000-0000F2230000}"/>
    <cellStyle name="Porcentual 2 25 28" xfId="2923" xr:uid="{00000000-0005-0000-0000-0000F3230000}"/>
    <cellStyle name="Porcentual 2 25 28 2" xfId="6557" xr:uid="{00000000-0005-0000-0000-0000F4230000}"/>
    <cellStyle name="Porcentual 2 25 29" xfId="6558" xr:uid="{00000000-0005-0000-0000-0000F5230000}"/>
    <cellStyle name="Porcentual 2 25 3" xfId="2924" xr:uid="{00000000-0005-0000-0000-0000F6230000}"/>
    <cellStyle name="Porcentual 2 25 3 2" xfId="6559" xr:uid="{00000000-0005-0000-0000-0000F7230000}"/>
    <cellStyle name="Porcentual 2 25 4" xfId="2925" xr:uid="{00000000-0005-0000-0000-0000F8230000}"/>
    <cellStyle name="Porcentual 2 25 4 2" xfId="6560" xr:uid="{00000000-0005-0000-0000-0000F9230000}"/>
    <cellStyle name="Porcentual 2 25 5" xfId="2926" xr:uid="{00000000-0005-0000-0000-0000FA230000}"/>
    <cellStyle name="Porcentual 2 25 5 2" xfId="6561" xr:uid="{00000000-0005-0000-0000-0000FB230000}"/>
    <cellStyle name="Porcentual 2 25 6" xfId="2927" xr:uid="{00000000-0005-0000-0000-0000FC230000}"/>
    <cellStyle name="Porcentual 2 25 6 2" xfId="6562" xr:uid="{00000000-0005-0000-0000-0000FD230000}"/>
    <cellStyle name="Porcentual 2 25 7" xfId="2928" xr:uid="{00000000-0005-0000-0000-0000FE230000}"/>
    <cellStyle name="Porcentual 2 25 7 2" xfId="6563" xr:uid="{00000000-0005-0000-0000-0000FF230000}"/>
    <cellStyle name="Porcentual 2 25 8" xfId="2929" xr:uid="{00000000-0005-0000-0000-000000240000}"/>
    <cellStyle name="Porcentual 2 25 8 2" xfId="6564" xr:uid="{00000000-0005-0000-0000-000001240000}"/>
    <cellStyle name="Porcentual 2 25 9" xfId="2930" xr:uid="{00000000-0005-0000-0000-000002240000}"/>
    <cellStyle name="Porcentual 2 25 9 2" xfId="6565" xr:uid="{00000000-0005-0000-0000-000003240000}"/>
    <cellStyle name="Porcentual 2 26" xfId="2931" xr:uid="{00000000-0005-0000-0000-000004240000}"/>
    <cellStyle name="Porcentual 2 26 10" xfId="2932" xr:uid="{00000000-0005-0000-0000-000005240000}"/>
    <cellStyle name="Porcentual 2 26 10 2" xfId="6566" xr:uid="{00000000-0005-0000-0000-000006240000}"/>
    <cellStyle name="Porcentual 2 26 11" xfId="2933" xr:uid="{00000000-0005-0000-0000-000007240000}"/>
    <cellStyle name="Porcentual 2 26 11 2" xfId="6567" xr:uid="{00000000-0005-0000-0000-000008240000}"/>
    <cellStyle name="Porcentual 2 26 12" xfId="2934" xr:uid="{00000000-0005-0000-0000-000009240000}"/>
    <cellStyle name="Porcentual 2 26 12 2" xfId="6568" xr:uid="{00000000-0005-0000-0000-00000A240000}"/>
    <cellStyle name="Porcentual 2 26 13" xfId="2935" xr:uid="{00000000-0005-0000-0000-00000B240000}"/>
    <cellStyle name="Porcentual 2 26 13 2" xfId="6569" xr:uid="{00000000-0005-0000-0000-00000C240000}"/>
    <cellStyle name="Porcentual 2 26 14" xfId="2936" xr:uid="{00000000-0005-0000-0000-00000D240000}"/>
    <cellStyle name="Porcentual 2 26 14 2" xfId="6570" xr:uid="{00000000-0005-0000-0000-00000E240000}"/>
    <cellStyle name="Porcentual 2 26 15" xfId="2937" xr:uid="{00000000-0005-0000-0000-00000F240000}"/>
    <cellStyle name="Porcentual 2 26 15 2" xfId="6571" xr:uid="{00000000-0005-0000-0000-000010240000}"/>
    <cellStyle name="Porcentual 2 26 16" xfId="2938" xr:uid="{00000000-0005-0000-0000-000011240000}"/>
    <cellStyle name="Porcentual 2 26 16 2" xfId="6572" xr:uid="{00000000-0005-0000-0000-000012240000}"/>
    <cellStyle name="Porcentual 2 26 17" xfId="2939" xr:uid="{00000000-0005-0000-0000-000013240000}"/>
    <cellStyle name="Porcentual 2 26 17 2" xfId="6573" xr:uid="{00000000-0005-0000-0000-000014240000}"/>
    <cellStyle name="Porcentual 2 26 18" xfId="2940" xr:uid="{00000000-0005-0000-0000-000015240000}"/>
    <cellStyle name="Porcentual 2 26 18 2" xfId="6574" xr:uid="{00000000-0005-0000-0000-000016240000}"/>
    <cellStyle name="Porcentual 2 26 19" xfId="2941" xr:uid="{00000000-0005-0000-0000-000017240000}"/>
    <cellStyle name="Porcentual 2 26 19 2" xfId="6575" xr:uid="{00000000-0005-0000-0000-000018240000}"/>
    <cellStyle name="Porcentual 2 26 2" xfId="2942" xr:uid="{00000000-0005-0000-0000-000019240000}"/>
    <cellStyle name="Porcentual 2 26 2 2" xfId="6576" xr:uid="{00000000-0005-0000-0000-00001A240000}"/>
    <cellStyle name="Porcentual 2 26 20" xfId="2943" xr:uid="{00000000-0005-0000-0000-00001B240000}"/>
    <cellStyle name="Porcentual 2 26 20 2" xfId="6577" xr:uid="{00000000-0005-0000-0000-00001C240000}"/>
    <cellStyle name="Porcentual 2 26 21" xfId="2944" xr:uid="{00000000-0005-0000-0000-00001D240000}"/>
    <cellStyle name="Porcentual 2 26 21 2" xfId="6578" xr:uid="{00000000-0005-0000-0000-00001E240000}"/>
    <cellStyle name="Porcentual 2 26 22" xfId="2945" xr:uid="{00000000-0005-0000-0000-00001F240000}"/>
    <cellStyle name="Porcentual 2 26 22 2" xfId="6579" xr:uid="{00000000-0005-0000-0000-000020240000}"/>
    <cellStyle name="Porcentual 2 26 23" xfId="2946" xr:uid="{00000000-0005-0000-0000-000021240000}"/>
    <cellStyle name="Porcentual 2 26 23 2" xfId="6580" xr:uid="{00000000-0005-0000-0000-000022240000}"/>
    <cellStyle name="Porcentual 2 26 24" xfId="2947" xr:uid="{00000000-0005-0000-0000-000023240000}"/>
    <cellStyle name="Porcentual 2 26 24 2" xfId="6581" xr:uid="{00000000-0005-0000-0000-000024240000}"/>
    <cellStyle name="Porcentual 2 26 25" xfId="2948" xr:uid="{00000000-0005-0000-0000-000025240000}"/>
    <cellStyle name="Porcentual 2 26 25 2" xfId="6582" xr:uid="{00000000-0005-0000-0000-000026240000}"/>
    <cellStyle name="Porcentual 2 26 26" xfId="2949" xr:uid="{00000000-0005-0000-0000-000027240000}"/>
    <cellStyle name="Porcentual 2 26 26 2" xfId="6583" xr:uid="{00000000-0005-0000-0000-000028240000}"/>
    <cellStyle name="Porcentual 2 26 27" xfId="2950" xr:uid="{00000000-0005-0000-0000-000029240000}"/>
    <cellStyle name="Porcentual 2 26 27 2" xfId="6584" xr:uid="{00000000-0005-0000-0000-00002A240000}"/>
    <cellStyle name="Porcentual 2 26 28" xfId="2951" xr:uid="{00000000-0005-0000-0000-00002B240000}"/>
    <cellStyle name="Porcentual 2 26 28 2" xfId="6585" xr:uid="{00000000-0005-0000-0000-00002C240000}"/>
    <cellStyle name="Porcentual 2 26 29" xfId="6586" xr:uid="{00000000-0005-0000-0000-00002D240000}"/>
    <cellStyle name="Porcentual 2 26 3" xfId="2952" xr:uid="{00000000-0005-0000-0000-00002E240000}"/>
    <cellStyle name="Porcentual 2 26 3 2" xfId="6587" xr:uid="{00000000-0005-0000-0000-00002F240000}"/>
    <cellStyle name="Porcentual 2 26 4" xfId="2953" xr:uid="{00000000-0005-0000-0000-000030240000}"/>
    <cellStyle name="Porcentual 2 26 4 2" xfId="6588" xr:uid="{00000000-0005-0000-0000-000031240000}"/>
    <cellStyle name="Porcentual 2 26 5" xfId="2954" xr:uid="{00000000-0005-0000-0000-000032240000}"/>
    <cellStyle name="Porcentual 2 26 5 2" xfId="6589" xr:uid="{00000000-0005-0000-0000-000033240000}"/>
    <cellStyle name="Porcentual 2 26 6" xfId="2955" xr:uid="{00000000-0005-0000-0000-000034240000}"/>
    <cellStyle name="Porcentual 2 26 6 2" xfId="6590" xr:uid="{00000000-0005-0000-0000-000035240000}"/>
    <cellStyle name="Porcentual 2 26 7" xfId="2956" xr:uid="{00000000-0005-0000-0000-000036240000}"/>
    <cellStyle name="Porcentual 2 26 7 2" xfId="6591" xr:uid="{00000000-0005-0000-0000-000037240000}"/>
    <cellStyle name="Porcentual 2 26 8" xfId="2957" xr:uid="{00000000-0005-0000-0000-000038240000}"/>
    <cellStyle name="Porcentual 2 26 8 2" xfId="6592" xr:uid="{00000000-0005-0000-0000-000039240000}"/>
    <cellStyle name="Porcentual 2 26 9" xfId="2958" xr:uid="{00000000-0005-0000-0000-00003A240000}"/>
    <cellStyle name="Porcentual 2 26 9 2" xfId="6593" xr:uid="{00000000-0005-0000-0000-00003B240000}"/>
    <cellStyle name="Porcentual 2 27" xfId="2959" xr:uid="{00000000-0005-0000-0000-00003C240000}"/>
    <cellStyle name="Porcentual 2 27 10" xfId="2960" xr:uid="{00000000-0005-0000-0000-00003D240000}"/>
    <cellStyle name="Porcentual 2 27 10 2" xfId="6594" xr:uid="{00000000-0005-0000-0000-00003E240000}"/>
    <cellStyle name="Porcentual 2 27 11" xfId="2961" xr:uid="{00000000-0005-0000-0000-00003F240000}"/>
    <cellStyle name="Porcentual 2 27 11 2" xfId="6595" xr:uid="{00000000-0005-0000-0000-000040240000}"/>
    <cellStyle name="Porcentual 2 27 12" xfId="2962" xr:uid="{00000000-0005-0000-0000-000041240000}"/>
    <cellStyle name="Porcentual 2 27 12 2" xfId="6596" xr:uid="{00000000-0005-0000-0000-000042240000}"/>
    <cellStyle name="Porcentual 2 27 13" xfId="2963" xr:uid="{00000000-0005-0000-0000-000043240000}"/>
    <cellStyle name="Porcentual 2 27 13 2" xfId="6597" xr:uid="{00000000-0005-0000-0000-000044240000}"/>
    <cellStyle name="Porcentual 2 27 14" xfId="2964" xr:uid="{00000000-0005-0000-0000-000045240000}"/>
    <cellStyle name="Porcentual 2 27 14 2" xfId="6598" xr:uid="{00000000-0005-0000-0000-000046240000}"/>
    <cellStyle name="Porcentual 2 27 15" xfId="2965" xr:uid="{00000000-0005-0000-0000-000047240000}"/>
    <cellStyle name="Porcentual 2 27 15 2" xfId="6599" xr:uid="{00000000-0005-0000-0000-000048240000}"/>
    <cellStyle name="Porcentual 2 27 16" xfId="2966" xr:uid="{00000000-0005-0000-0000-000049240000}"/>
    <cellStyle name="Porcentual 2 27 16 2" xfId="6600" xr:uid="{00000000-0005-0000-0000-00004A240000}"/>
    <cellStyle name="Porcentual 2 27 17" xfId="2967" xr:uid="{00000000-0005-0000-0000-00004B240000}"/>
    <cellStyle name="Porcentual 2 27 17 2" xfId="6601" xr:uid="{00000000-0005-0000-0000-00004C240000}"/>
    <cellStyle name="Porcentual 2 27 18" xfId="2968" xr:uid="{00000000-0005-0000-0000-00004D240000}"/>
    <cellStyle name="Porcentual 2 27 18 2" xfId="6602" xr:uid="{00000000-0005-0000-0000-00004E240000}"/>
    <cellStyle name="Porcentual 2 27 19" xfId="2969" xr:uid="{00000000-0005-0000-0000-00004F240000}"/>
    <cellStyle name="Porcentual 2 27 19 2" xfId="6603" xr:uid="{00000000-0005-0000-0000-000050240000}"/>
    <cellStyle name="Porcentual 2 27 2" xfId="2970" xr:uid="{00000000-0005-0000-0000-000051240000}"/>
    <cellStyle name="Porcentual 2 27 2 2" xfId="6604" xr:uid="{00000000-0005-0000-0000-000052240000}"/>
    <cellStyle name="Porcentual 2 27 20" xfId="2971" xr:uid="{00000000-0005-0000-0000-000053240000}"/>
    <cellStyle name="Porcentual 2 27 20 2" xfId="6605" xr:uid="{00000000-0005-0000-0000-000054240000}"/>
    <cellStyle name="Porcentual 2 27 21" xfId="2972" xr:uid="{00000000-0005-0000-0000-000055240000}"/>
    <cellStyle name="Porcentual 2 27 21 2" xfId="6606" xr:uid="{00000000-0005-0000-0000-000056240000}"/>
    <cellStyle name="Porcentual 2 27 22" xfId="2973" xr:uid="{00000000-0005-0000-0000-000057240000}"/>
    <cellStyle name="Porcentual 2 27 22 2" xfId="6607" xr:uid="{00000000-0005-0000-0000-000058240000}"/>
    <cellStyle name="Porcentual 2 27 23" xfId="2974" xr:uid="{00000000-0005-0000-0000-000059240000}"/>
    <cellStyle name="Porcentual 2 27 23 2" xfId="6608" xr:uid="{00000000-0005-0000-0000-00005A240000}"/>
    <cellStyle name="Porcentual 2 27 24" xfId="2975" xr:uid="{00000000-0005-0000-0000-00005B240000}"/>
    <cellStyle name="Porcentual 2 27 24 2" xfId="6609" xr:uid="{00000000-0005-0000-0000-00005C240000}"/>
    <cellStyle name="Porcentual 2 27 25" xfId="2976" xr:uid="{00000000-0005-0000-0000-00005D240000}"/>
    <cellStyle name="Porcentual 2 27 25 2" xfId="6610" xr:uid="{00000000-0005-0000-0000-00005E240000}"/>
    <cellStyle name="Porcentual 2 27 26" xfId="2977" xr:uid="{00000000-0005-0000-0000-00005F240000}"/>
    <cellStyle name="Porcentual 2 27 26 2" xfId="6611" xr:uid="{00000000-0005-0000-0000-000060240000}"/>
    <cellStyle name="Porcentual 2 27 27" xfId="2978" xr:uid="{00000000-0005-0000-0000-000061240000}"/>
    <cellStyle name="Porcentual 2 27 27 2" xfId="6612" xr:uid="{00000000-0005-0000-0000-000062240000}"/>
    <cellStyle name="Porcentual 2 27 28" xfId="2979" xr:uid="{00000000-0005-0000-0000-000063240000}"/>
    <cellStyle name="Porcentual 2 27 28 2" xfId="6613" xr:uid="{00000000-0005-0000-0000-000064240000}"/>
    <cellStyle name="Porcentual 2 27 29" xfId="6614" xr:uid="{00000000-0005-0000-0000-000065240000}"/>
    <cellStyle name="Porcentual 2 27 3" xfId="2980" xr:uid="{00000000-0005-0000-0000-000066240000}"/>
    <cellStyle name="Porcentual 2 27 3 2" xfId="6615" xr:uid="{00000000-0005-0000-0000-000067240000}"/>
    <cellStyle name="Porcentual 2 27 4" xfId="2981" xr:uid="{00000000-0005-0000-0000-000068240000}"/>
    <cellStyle name="Porcentual 2 27 4 2" xfId="6616" xr:uid="{00000000-0005-0000-0000-000069240000}"/>
    <cellStyle name="Porcentual 2 27 5" xfId="2982" xr:uid="{00000000-0005-0000-0000-00006A240000}"/>
    <cellStyle name="Porcentual 2 27 5 2" xfId="6617" xr:uid="{00000000-0005-0000-0000-00006B240000}"/>
    <cellStyle name="Porcentual 2 27 6" xfId="2983" xr:uid="{00000000-0005-0000-0000-00006C240000}"/>
    <cellStyle name="Porcentual 2 27 6 2" xfId="6618" xr:uid="{00000000-0005-0000-0000-00006D240000}"/>
    <cellStyle name="Porcentual 2 27 7" xfId="2984" xr:uid="{00000000-0005-0000-0000-00006E240000}"/>
    <cellStyle name="Porcentual 2 27 7 2" xfId="6619" xr:uid="{00000000-0005-0000-0000-00006F240000}"/>
    <cellStyle name="Porcentual 2 27 8" xfId="2985" xr:uid="{00000000-0005-0000-0000-000070240000}"/>
    <cellStyle name="Porcentual 2 27 8 2" xfId="6620" xr:uid="{00000000-0005-0000-0000-000071240000}"/>
    <cellStyle name="Porcentual 2 27 9" xfId="2986" xr:uid="{00000000-0005-0000-0000-000072240000}"/>
    <cellStyle name="Porcentual 2 27 9 2" xfId="6621" xr:uid="{00000000-0005-0000-0000-000073240000}"/>
    <cellStyle name="Porcentual 2 28" xfId="2987" xr:uid="{00000000-0005-0000-0000-000074240000}"/>
    <cellStyle name="Porcentual 2 28 10" xfId="2988" xr:uid="{00000000-0005-0000-0000-000075240000}"/>
    <cellStyle name="Porcentual 2 28 10 2" xfId="6622" xr:uid="{00000000-0005-0000-0000-000076240000}"/>
    <cellStyle name="Porcentual 2 28 11" xfId="2989" xr:uid="{00000000-0005-0000-0000-000077240000}"/>
    <cellStyle name="Porcentual 2 28 11 2" xfId="6623" xr:uid="{00000000-0005-0000-0000-000078240000}"/>
    <cellStyle name="Porcentual 2 28 12" xfId="2990" xr:uid="{00000000-0005-0000-0000-000079240000}"/>
    <cellStyle name="Porcentual 2 28 12 2" xfId="6624" xr:uid="{00000000-0005-0000-0000-00007A240000}"/>
    <cellStyle name="Porcentual 2 28 13" xfId="2991" xr:uid="{00000000-0005-0000-0000-00007B240000}"/>
    <cellStyle name="Porcentual 2 28 13 2" xfId="6625" xr:uid="{00000000-0005-0000-0000-00007C240000}"/>
    <cellStyle name="Porcentual 2 28 14" xfId="2992" xr:uid="{00000000-0005-0000-0000-00007D240000}"/>
    <cellStyle name="Porcentual 2 28 14 2" xfId="6626" xr:uid="{00000000-0005-0000-0000-00007E240000}"/>
    <cellStyle name="Porcentual 2 28 15" xfId="2993" xr:uid="{00000000-0005-0000-0000-00007F240000}"/>
    <cellStyle name="Porcentual 2 28 15 2" xfId="6627" xr:uid="{00000000-0005-0000-0000-000080240000}"/>
    <cellStyle name="Porcentual 2 28 16" xfId="2994" xr:uid="{00000000-0005-0000-0000-000081240000}"/>
    <cellStyle name="Porcentual 2 28 16 2" xfId="6628" xr:uid="{00000000-0005-0000-0000-000082240000}"/>
    <cellStyle name="Porcentual 2 28 17" xfId="2995" xr:uid="{00000000-0005-0000-0000-000083240000}"/>
    <cellStyle name="Porcentual 2 28 17 2" xfId="6629" xr:uid="{00000000-0005-0000-0000-000084240000}"/>
    <cellStyle name="Porcentual 2 28 18" xfId="2996" xr:uid="{00000000-0005-0000-0000-000085240000}"/>
    <cellStyle name="Porcentual 2 28 18 2" xfId="6630" xr:uid="{00000000-0005-0000-0000-000086240000}"/>
    <cellStyle name="Porcentual 2 28 19" xfId="2997" xr:uid="{00000000-0005-0000-0000-000087240000}"/>
    <cellStyle name="Porcentual 2 28 19 2" xfId="6631" xr:uid="{00000000-0005-0000-0000-000088240000}"/>
    <cellStyle name="Porcentual 2 28 2" xfId="2998" xr:uid="{00000000-0005-0000-0000-000089240000}"/>
    <cellStyle name="Porcentual 2 28 2 2" xfId="6632" xr:uid="{00000000-0005-0000-0000-00008A240000}"/>
    <cellStyle name="Porcentual 2 28 20" xfId="2999" xr:uid="{00000000-0005-0000-0000-00008B240000}"/>
    <cellStyle name="Porcentual 2 28 20 2" xfId="6633" xr:uid="{00000000-0005-0000-0000-00008C240000}"/>
    <cellStyle name="Porcentual 2 28 21" xfId="3000" xr:uid="{00000000-0005-0000-0000-00008D240000}"/>
    <cellStyle name="Porcentual 2 28 21 2" xfId="6634" xr:uid="{00000000-0005-0000-0000-00008E240000}"/>
    <cellStyle name="Porcentual 2 28 22" xfId="3001" xr:uid="{00000000-0005-0000-0000-00008F240000}"/>
    <cellStyle name="Porcentual 2 28 22 2" xfId="6635" xr:uid="{00000000-0005-0000-0000-000090240000}"/>
    <cellStyle name="Porcentual 2 28 23" xfId="3002" xr:uid="{00000000-0005-0000-0000-000091240000}"/>
    <cellStyle name="Porcentual 2 28 23 2" xfId="6636" xr:uid="{00000000-0005-0000-0000-000092240000}"/>
    <cellStyle name="Porcentual 2 28 24" xfId="3003" xr:uid="{00000000-0005-0000-0000-000093240000}"/>
    <cellStyle name="Porcentual 2 28 24 2" xfId="6637" xr:uid="{00000000-0005-0000-0000-000094240000}"/>
    <cellStyle name="Porcentual 2 28 25" xfId="3004" xr:uid="{00000000-0005-0000-0000-000095240000}"/>
    <cellStyle name="Porcentual 2 28 25 2" xfId="6638" xr:uid="{00000000-0005-0000-0000-000096240000}"/>
    <cellStyle name="Porcentual 2 28 26" xfId="3005" xr:uid="{00000000-0005-0000-0000-000097240000}"/>
    <cellStyle name="Porcentual 2 28 26 2" xfId="6639" xr:uid="{00000000-0005-0000-0000-000098240000}"/>
    <cellStyle name="Porcentual 2 28 27" xfId="3006" xr:uid="{00000000-0005-0000-0000-000099240000}"/>
    <cellStyle name="Porcentual 2 28 27 2" xfId="6640" xr:uid="{00000000-0005-0000-0000-00009A240000}"/>
    <cellStyle name="Porcentual 2 28 28" xfId="3007" xr:uid="{00000000-0005-0000-0000-00009B240000}"/>
    <cellStyle name="Porcentual 2 28 28 2" xfId="6641" xr:uid="{00000000-0005-0000-0000-00009C240000}"/>
    <cellStyle name="Porcentual 2 28 29" xfId="6642" xr:uid="{00000000-0005-0000-0000-00009D240000}"/>
    <cellStyle name="Porcentual 2 28 3" xfId="3008" xr:uid="{00000000-0005-0000-0000-00009E240000}"/>
    <cellStyle name="Porcentual 2 28 3 2" xfId="6643" xr:uid="{00000000-0005-0000-0000-00009F240000}"/>
    <cellStyle name="Porcentual 2 28 4" xfId="3009" xr:uid="{00000000-0005-0000-0000-0000A0240000}"/>
    <cellStyle name="Porcentual 2 28 4 2" xfId="6644" xr:uid="{00000000-0005-0000-0000-0000A1240000}"/>
    <cellStyle name="Porcentual 2 28 5" xfId="3010" xr:uid="{00000000-0005-0000-0000-0000A2240000}"/>
    <cellStyle name="Porcentual 2 28 5 2" xfId="6645" xr:uid="{00000000-0005-0000-0000-0000A3240000}"/>
    <cellStyle name="Porcentual 2 28 6" xfId="3011" xr:uid="{00000000-0005-0000-0000-0000A4240000}"/>
    <cellStyle name="Porcentual 2 28 6 2" xfId="6646" xr:uid="{00000000-0005-0000-0000-0000A5240000}"/>
    <cellStyle name="Porcentual 2 28 7" xfId="3012" xr:uid="{00000000-0005-0000-0000-0000A6240000}"/>
    <cellStyle name="Porcentual 2 28 7 2" xfId="6647" xr:uid="{00000000-0005-0000-0000-0000A7240000}"/>
    <cellStyle name="Porcentual 2 28 8" xfId="3013" xr:uid="{00000000-0005-0000-0000-0000A8240000}"/>
    <cellStyle name="Porcentual 2 28 8 2" xfId="6648" xr:uid="{00000000-0005-0000-0000-0000A9240000}"/>
    <cellStyle name="Porcentual 2 28 9" xfId="3014" xr:uid="{00000000-0005-0000-0000-0000AA240000}"/>
    <cellStyle name="Porcentual 2 28 9 2" xfId="6649" xr:uid="{00000000-0005-0000-0000-0000AB240000}"/>
    <cellStyle name="Porcentual 2 29" xfId="3015" xr:uid="{00000000-0005-0000-0000-0000AC240000}"/>
    <cellStyle name="Porcentual 2 29 10" xfId="3016" xr:uid="{00000000-0005-0000-0000-0000AD240000}"/>
    <cellStyle name="Porcentual 2 29 10 2" xfId="6650" xr:uid="{00000000-0005-0000-0000-0000AE240000}"/>
    <cellStyle name="Porcentual 2 29 11" xfId="3017" xr:uid="{00000000-0005-0000-0000-0000AF240000}"/>
    <cellStyle name="Porcentual 2 29 11 2" xfId="6651" xr:uid="{00000000-0005-0000-0000-0000B0240000}"/>
    <cellStyle name="Porcentual 2 29 12" xfId="3018" xr:uid="{00000000-0005-0000-0000-0000B1240000}"/>
    <cellStyle name="Porcentual 2 29 12 2" xfId="6652" xr:uid="{00000000-0005-0000-0000-0000B2240000}"/>
    <cellStyle name="Porcentual 2 29 13" xfId="3019" xr:uid="{00000000-0005-0000-0000-0000B3240000}"/>
    <cellStyle name="Porcentual 2 29 13 2" xfId="6653" xr:uid="{00000000-0005-0000-0000-0000B4240000}"/>
    <cellStyle name="Porcentual 2 29 14" xfId="3020" xr:uid="{00000000-0005-0000-0000-0000B5240000}"/>
    <cellStyle name="Porcentual 2 29 14 2" xfId="6654" xr:uid="{00000000-0005-0000-0000-0000B6240000}"/>
    <cellStyle name="Porcentual 2 29 15" xfId="3021" xr:uid="{00000000-0005-0000-0000-0000B7240000}"/>
    <cellStyle name="Porcentual 2 29 15 2" xfId="6655" xr:uid="{00000000-0005-0000-0000-0000B8240000}"/>
    <cellStyle name="Porcentual 2 29 16" xfId="3022" xr:uid="{00000000-0005-0000-0000-0000B9240000}"/>
    <cellStyle name="Porcentual 2 29 16 2" xfId="6656" xr:uid="{00000000-0005-0000-0000-0000BA240000}"/>
    <cellStyle name="Porcentual 2 29 17" xfId="3023" xr:uid="{00000000-0005-0000-0000-0000BB240000}"/>
    <cellStyle name="Porcentual 2 29 17 2" xfId="6657" xr:uid="{00000000-0005-0000-0000-0000BC240000}"/>
    <cellStyle name="Porcentual 2 29 18" xfId="3024" xr:uid="{00000000-0005-0000-0000-0000BD240000}"/>
    <cellStyle name="Porcentual 2 29 18 2" xfId="6658" xr:uid="{00000000-0005-0000-0000-0000BE240000}"/>
    <cellStyle name="Porcentual 2 29 19" xfId="3025" xr:uid="{00000000-0005-0000-0000-0000BF240000}"/>
    <cellStyle name="Porcentual 2 29 19 2" xfId="6659" xr:uid="{00000000-0005-0000-0000-0000C0240000}"/>
    <cellStyle name="Porcentual 2 29 2" xfId="3026" xr:uid="{00000000-0005-0000-0000-0000C1240000}"/>
    <cellStyle name="Porcentual 2 29 2 2" xfId="6660" xr:uid="{00000000-0005-0000-0000-0000C2240000}"/>
    <cellStyle name="Porcentual 2 29 20" xfId="3027" xr:uid="{00000000-0005-0000-0000-0000C3240000}"/>
    <cellStyle name="Porcentual 2 29 20 2" xfId="6661" xr:uid="{00000000-0005-0000-0000-0000C4240000}"/>
    <cellStyle name="Porcentual 2 29 21" xfId="3028" xr:uid="{00000000-0005-0000-0000-0000C5240000}"/>
    <cellStyle name="Porcentual 2 29 21 2" xfId="6662" xr:uid="{00000000-0005-0000-0000-0000C6240000}"/>
    <cellStyle name="Porcentual 2 29 22" xfId="3029" xr:uid="{00000000-0005-0000-0000-0000C7240000}"/>
    <cellStyle name="Porcentual 2 29 22 2" xfId="6663" xr:uid="{00000000-0005-0000-0000-0000C8240000}"/>
    <cellStyle name="Porcentual 2 29 23" xfId="3030" xr:uid="{00000000-0005-0000-0000-0000C9240000}"/>
    <cellStyle name="Porcentual 2 29 23 2" xfId="6664" xr:uid="{00000000-0005-0000-0000-0000CA240000}"/>
    <cellStyle name="Porcentual 2 29 24" xfId="3031" xr:uid="{00000000-0005-0000-0000-0000CB240000}"/>
    <cellStyle name="Porcentual 2 29 24 2" xfId="6665" xr:uid="{00000000-0005-0000-0000-0000CC240000}"/>
    <cellStyle name="Porcentual 2 29 25" xfId="3032" xr:uid="{00000000-0005-0000-0000-0000CD240000}"/>
    <cellStyle name="Porcentual 2 29 25 2" xfId="6666" xr:uid="{00000000-0005-0000-0000-0000CE240000}"/>
    <cellStyle name="Porcentual 2 29 26" xfId="3033" xr:uid="{00000000-0005-0000-0000-0000CF240000}"/>
    <cellStyle name="Porcentual 2 29 26 2" xfId="6667" xr:uid="{00000000-0005-0000-0000-0000D0240000}"/>
    <cellStyle name="Porcentual 2 29 27" xfId="3034" xr:uid="{00000000-0005-0000-0000-0000D1240000}"/>
    <cellStyle name="Porcentual 2 29 27 2" xfId="6668" xr:uid="{00000000-0005-0000-0000-0000D2240000}"/>
    <cellStyle name="Porcentual 2 29 28" xfId="3035" xr:uid="{00000000-0005-0000-0000-0000D3240000}"/>
    <cellStyle name="Porcentual 2 29 28 2" xfId="6669" xr:uid="{00000000-0005-0000-0000-0000D4240000}"/>
    <cellStyle name="Porcentual 2 29 29" xfId="6670" xr:uid="{00000000-0005-0000-0000-0000D5240000}"/>
    <cellStyle name="Porcentual 2 29 3" xfId="3036" xr:uid="{00000000-0005-0000-0000-0000D6240000}"/>
    <cellStyle name="Porcentual 2 29 3 2" xfId="6671" xr:uid="{00000000-0005-0000-0000-0000D7240000}"/>
    <cellStyle name="Porcentual 2 29 4" xfId="3037" xr:uid="{00000000-0005-0000-0000-0000D8240000}"/>
    <cellStyle name="Porcentual 2 29 4 2" xfId="6672" xr:uid="{00000000-0005-0000-0000-0000D9240000}"/>
    <cellStyle name="Porcentual 2 29 5" xfId="3038" xr:uid="{00000000-0005-0000-0000-0000DA240000}"/>
    <cellStyle name="Porcentual 2 29 5 2" xfId="6673" xr:uid="{00000000-0005-0000-0000-0000DB240000}"/>
    <cellStyle name="Porcentual 2 29 6" xfId="3039" xr:uid="{00000000-0005-0000-0000-0000DC240000}"/>
    <cellStyle name="Porcentual 2 29 6 2" xfId="6674" xr:uid="{00000000-0005-0000-0000-0000DD240000}"/>
    <cellStyle name="Porcentual 2 29 7" xfId="3040" xr:uid="{00000000-0005-0000-0000-0000DE240000}"/>
    <cellStyle name="Porcentual 2 29 7 2" xfId="6675" xr:uid="{00000000-0005-0000-0000-0000DF240000}"/>
    <cellStyle name="Porcentual 2 29 8" xfId="3041" xr:uid="{00000000-0005-0000-0000-0000E0240000}"/>
    <cellStyle name="Porcentual 2 29 8 2" xfId="6676" xr:uid="{00000000-0005-0000-0000-0000E1240000}"/>
    <cellStyle name="Porcentual 2 29 9" xfId="3042" xr:uid="{00000000-0005-0000-0000-0000E2240000}"/>
    <cellStyle name="Porcentual 2 29 9 2" xfId="6677" xr:uid="{00000000-0005-0000-0000-0000E3240000}"/>
    <cellStyle name="Porcentual 2 3" xfId="3043" xr:uid="{00000000-0005-0000-0000-0000E4240000}"/>
    <cellStyle name="Porcentual 2 3 10" xfId="3044" xr:uid="{00000000-0005-0000-0000-0000E5240000}"/>
    <cellStyle name="Porcentual 2 3 10 2" xfId="6678" xr:uid="{00000000-0005-0000-0000-0000E6240000}"/>
    <cellStyle name="Porcentual 2 3 11" xfId="3045" xr:uid="{00000000-0005-0000-0000-0000E7240000}"/>
    <cellStyle name="Porcentual 2 3 11 2" xfId="6679" xr:uid="{00000000-0005-0000-0000-0000E8240000}"/>
    <cellStyle name="Porcentual 2 3 12" xfId="3046" xr:uid="{00000000-0005-0000-0000-0000E9240000}"/>
    <cellStyle name="Porcentual 2 3 12 2" xfId="6680" xr:uid="{00000000-0005-0000-0000-0000EA240000}"/>
    <cellStyle name="Porcentual 2 3 13" xfId="3047" xr:uid="{00000000-0005-0000-0000-0000EB240000}"/>
    <cellStyle name="Porcentual 2 3 13 2" xfId="6681" xr:uid="{00000000-0005-0000-0000-0000EC240000}"/>
    <cellStyle name="Porcentual 2 3 14" xfId="3048" xr:uid="{00000000-0005-0000-0000-0000ED240000}"/>
    <cellStyle name="Porcentual 2 3 14 2" xfId="6682" xr:uid="{00000000-0005-0000-0000-0000EE240000}"/>
    <cellStyle name="Porcentual 2 3 15" xfId="3049" xr:uid="{00000000-0005-0000-0000-0000EF240000}"/>
    <cellStyle name="Porcentual 2 3 15 2" xfId="6683" xr:uid="{00000000-0005-0000-0000-0000F0240000}"/>
    <cellStyle name="Porcentual 2 3 16" xfId="3050" xr:uid="{00000000-0005-0000-0000-0000F1240000}"/>
    <cellStyle name="Porcentual 2 3 16 2" xfId="6684" xr:uid="{00000000-0005-0000-0000-0000F2240000}"/>
    <cellStyle name="Porcentual 2 3 17" xfId="3051" xr:uid="{00000000-0005-0000-0000-0000F3240000}"/>
    <cellStyle name="Porcentual 2 3 17 2" xfId="6685" xr:uid="{00000000-0005-0000-0000-0000F4240000}"/>
    <cellStyle name="Porcentual 2 3 18" xfId="3052" xr:uid="{00000000-0005-0000-0000-0000F5240000}"/>
    <cellStyle name="Porcentual 2 3 18 2" xfId="6686" xr:uid="{00000000-0005-0000-0000-0000F6240000}"/>
    <cellStyle name="Porcentual 2 3 19" xfId="3053" xr:uid="{00000000-0005-0000-0000-0000F7240000}"/>
    <cellStyle name="Porcentual 2 3 19 2" xfId="6687" xr:uid="{00000000-0005-0000-0000-0000F8240000}"/>
    <cellStyle name="Porcentual 2 3 2" xfId="3054" xr:uid="{00000000-0005-0000-0000-0000F9240000}"/>
    <cellStyle name="Porcentual 2 3 2 2" xfId="4260" xr:uid="{00000000-0005-0000-0000-0000FA240000}"/>
    <cellStyle name="Porcentual 2 3 2 2 2" xfId="9695" xr:uid="{00000000-0005-0000-0000-0000FB240000}"/>
    <cellStyle name="Porcentual 2 3 2 2 2 2" xfId="10396" xr:uid="{00000000-0005-0000-0000-0000FC240000}"/>
    <cellStyle name="Porcentual 2 3 2 2 2 2 2" xfId="12131" xr:uid="{00000000-0005-0000-0000-0000FD240000}"/>
    <cellStyle name="Porcentual 2 3 2 2 2 2 2 2" xfId="20880" xr:uid="{699CFDB6-BBCC-47CB-86DD-067255F90892}"/>
    <cellStyle name="Porcentual 2 3 2 2 2 2 3" xfId="19517" xr:uid="{FA4092DE-812D-4F95-BFA1-AB42AFFBBE06}"/>
    <cellStyle name="Porcentual 2 3 2 2 2 3" xfId="11484" xr:uid="{00000000-0005-0000-0000-0000FE240000}"/>
    <cellStyle name="Porcentual 2 3 2 2 2 3 2" xfId="20253" xr:uid="{77664B19-9A47-4A03-88D5-3997656A3D0F}"/>
    <cellStyle name="Porcentual 2 3 2 2 2 4" xfId="18885" xr:uid="{B6CC7BC9-EF08-4705-B75B-2D2377D4B9F8}"/>
    <cellStyle name="Porcentual 2 3 2 2 3" xfId="10099" xr:uid="{00000000-0005-0000-0000-0000FF240000}"/>
    <cellStyle name="Porcentual 2 3 2 2 3 2" xfId="11835" xr:uid="{00000000-0005-0000-0000-000000250000}"/>
    <cellStyle name="Porcentual 2 3 2 2 3 2 2" xfId="20591" xr:uid="{595F7EB2-64CD-4E5D-9652-2168BAB901B5}"/>
    <cellStyle name="Porcentual 2 3 2 2 3 3" xfId="19228" xr:uid="{21CD34A6-D9CA-4F61-B1E4-F95C4097ACFC}"/>
    <cellStyle name="Porcentual 2 3 2 2 4" xfId="11071" xr:uid="{00000000-0005-0000-0000-000001250000}"/>
    <cellStyle name="Porcentual 2 3 2 2 4 2" xfId="19976" xr:uid="{1FBFE7EC-CF59-490C-BEC8-72D66F6D77E9}"/>
    <cellStyle name="Porcentual 2 3 2 2 5" xfId="18608" xr:uid="{B3905989-0634-4A34-8D5F-F8D01825DD1A}"/>
    <cellStyle name="Porcentual 2 3 20" xfId="3055" xr:uid="{00000000-0005-0000-0000-000002250000}"/>
    <cellStyle name="Porcentual 2 3 20 2" xfId="6688" xr:uid="{00000000-0005-0000-0000-000003250000}"/>
    <cellStyle name="Porcentual 2 3 21" xfId="3056" xr:uid="{00000000-0005-0000-0000-000004250000}"/>
    <cellStyle name="Porcentual 2 3 21 2" xfId="6689" xr:uid="{00000000-0005-0000-0000-000005250000}"/>
    <cellStyle name="Porcentual 2 3 22" xfId="3057" xr:uid="{00000000-0005-0000-0000-000006250000}"/>
    <cellStyle name="Porcentual 2 3 22 2" xfId="6690" xr:uid="{00000000-0005-0000-0000-000007250000}"/>
    <cellStyle name="Porcentual 2 3 23" xfId="3058" xr:uid="{00000000-0005-0000-0000-000008250000}"/>
    <cellStyle name="Porcentual 2 3 23 2" xfId="6691" xr:uid="{00000000-0005-0000-0000-000009250000}"/>
    <cellStyle name="Porcentual 2 3 24" xfId="3059" xr:uid="{00000000-0005-0000-0000-00000A250000}"/>
    <cellStyle name="Porcentual 2 3 24 2" xfId="6692" xr:uid="{00000000-0005-0000-0000-00000B250000}"/>
    <cellStyle name="Porcentual 2 3 25" xfId="3060" xr:uid="{00000000-0005-0000-0000-00000C250000}"/>
    <cellStyle name="Porcentual 2 3 25 2" xfId="6693" xr:uid="{00000000-0005-0000-0000-00000D250000}"/>
    <cellStyle name="Porcentual 2 3 26" xfId="3061" xr:uid="{00000000-0005-0000-0000-00000E250000}"/>
    <cellStyle name="Porcentual 2 3 26 2" xfId="6694" xr:uid="{00000000-0005-0000-0000-00000F250000}"/>
    <cellStyle name="Porcentual 2 3 27" xfId="3062" xr:uid="{00000000-0005-0000-0000-000010250000}"/>
    <cellStyle name="Porcentual 2 3 27 2" xfId="6695" xr:uid="{00000000-0005-0000-0000-000011250000}"/>
    <cellStyle name="Porcentual 2 3 28" xfId="3063" xr:uid="{00000000-0005-0000-0000-000012250000}"/>
    <cellStyle name="Porcentual 2 3 28 2" xfId="6696" xr:uid="{00000000-0005-0000-0000-000013250000}"/>
    <cellStyle name="Porcentual 2 3 29" xfId="3064" xr:uid="{00000000-0005-0000-0000-000014250000}"/>
    <cellStyle name="Porcentual 2 3 3" xfId="3065" xr:uid="{00000000-0005-0000-0000-000015250000}"/>
    <cellStyle name="Porcentual 2 3 3 2" xfId="6697" xr:uid="{00000000-0005-0000-0000-000016250000}"/>
    <cellStyle name="Porcentual 2 3 30" xfId="3066" xr:uid="{00000000-0005-0000-0000-000017250000}"/>
    <cellStyle name="Porcentual 2 3 31" xfId="3067" xr:uid="{00000000-0005-0000-0000-000018250000}"/>
    <cellStyle name="Porcentual 2 3 32" xfId="3068" xr:uid="{00000000-0005-0000-0000-000019250000}"/>
    <cellStyle name="Porcentual 2 3 33" xfId="3069" xr:uid="{00000000-0005-0000-0000-00001A250000}"/>
    <cellStyle name="Porcentual 2 3 34" xfId="3070" xr:uid="{00000000-0005-0000-0000-00001B250000}"/>
    <cellStyle name="Porcentual 2 3 35" xfId="4128" xr:uid="{00000000-0005-0000-0000-00001C250000}"/>
    <cellStyle name="Porcentual 2 3 35 2" xfId="9592" xr:uid="{00000000-0005-0000-0000-00001D250000}"/>
    <cellStyle name="Porcentual 2 3 35 2 2" xfId="10294" xr:uid="{00000000-0005-0000-0000-00001E250000}"/>
    <cellStyle name="Porcentual 2 3 35 2 2 2" xfId="12029" xr:uid="{00000000-0005-0000-0000-00001F250000}"/>
    <cellStyle name="Porcentual 2 3 35 2 2 2 2" xfId="20778" xr:uid="{C443673F-2811-4ED3-A185-DC269B221B37}"/>
    <cellStyle name="Porcentual 2 3 35 2 2 3" xfId="19415" xr:uid="{CB812AC3-3399-4D9F-BEE0-2D51C001BB99}"/>
    <cellStyle name="Porcentual 2 3 35 2 3" xfId="11382" xr:uid="{00000000-0005-0000-0000-000020250000}"/>
    <cellStyle name="Porcentual 2 3 35 2 3 2" xfId="20151" xr:uid="{8575AED3-F1CA-4C25-8B6E-E19E9AB5AE9A}"/>
    <cellStyle name="Porcentual 2 3 35 2 4" xfId="18783" xr:uid="{2CCAC318-9D2F-403D-9BA9-06C0A7C228C8}"/>
    <cellStyle name="Porcentual 2 3 35 3" xfId="9997" xr:uid="{00000000-0005-0000-0000-000021250000}"/>
    <cellStyle name="Porcentual 2 3 35 3 2" xfId="11733" xr:uid="{00000000-0005-0000-0000-000022250000}"/>
    <cellStyle name="Porcentual 2 3 35 3 2 2" xfId="20489" xr:uid="{012DD2F3-A14C-4011-A1DA-8E4B6E605990}"/>
    <cellStyle name="Porcentual 2 3 35 3 3" xfId="19126" xr:uid="{444DAEA0-242C-402D-8882-3FDE2AF2B7B4}"/>
    <cellStyle name="Porcentual 2 3 35 4" xfId="10959" xr:uid="{00000000-0005-0000-0000-000023250000}"/>
    <cellStyle name="Porcentual 2 3 35 4 2" xfId="19874" xr:uid="{601E23DA-C30C-42D0-82DD-566027FA9198}"/>
    <cellStyle name="Porcentual 2 3 35 5" xfId="18506" xr:uid="{82B78D1A-CCD5-4E76-B4EA-7B1E08724517}"/>
    <cellStyle name="Porcentual 2 3 36" xfId="4209" xr:uid="{00000000-0005-0000-0000-000024250000}"/>
    <cellStyle name="Porcentual 2 3 36 2" xfId="9644" xr:uid="{00000000-0005-0000-0000-000025250000}"/>
    <cellStyle name="Porcentual 2 3 36 2 2" xfId="10345" xr:uid="{00000000-0005-0000-0000-000026250000}"/>
    <cellStyle name="Porcentual 2 3 36 2 2 2" xfId="12080" xr:uid="{00000000-0005-0000-0000-000027250000}"/>
    <cellStyle name="Porcentual 2 3 36 2 2 2 2" xfId="20829" xr:uid="{34B78769-8F36-495C-BC45-D1D66B5C0972}"/>
    <cellStyle name="Porcentual 2 3 36 2 2 3" xfId="19466" xr:uid="{1A75AA4F-90F3-4E2B-B6C7-E7498A52C971}"/>
    <cellStyle name="Porcentual 2 3 36 2 3" xfId="11433" xr:uid="{00000000-0005-0000-0000-000028250000}"/>
    <cellStyle name="Porcentual 2 3 36 2 3 2" xfId="20202" xr:uid="{BE2C051E-A830-4375-94AE-92F96690B7C6}"/>
    <cellStyle name="Porcentual 2 3 36 2 4" xfId="18834" xr:uid="{678AF365-C5BD-43FE-A0A2-5DDE959D3389}"/>
    <cellStyle name="Porcentual 2 3 36 3" xfId="10048" xr:uid="{00000000-0005-0000-0000-000029250000}"/>
    <cellStyle name="Porcentual 2 3 36 3 2" xfId="11784" xr:uid="{00000000-0005-0000-0000-00002A250000}"/>
    <cellStyle name="Porcentual 2 3 36 3 2 2" xfId="20540" xr:uid="{E8711B91-17D0-4C52-AB4D-C7ECC4996078}"/>
    <cellStyle name="Porcentual 2 3 36 3 3" xfId="19177" xr:uid="{41FC8072-C3C2-48DE-9F17-8B3D665168A5}"/>
    <cellStyle name="Porcentual 2 3 36 4" xfId="11020" xr:uid="{00000000-0005-0000-0000-00002B250000}"/>
    <cellStyle name="Porcentual 2 3 36 4 2" xfId="19925" xr:uid="{EC52D083-8E2C-4AB7-A09B-3607D67BA188}"/>
    <cellStyle name="Porcentual 2 3 36 5" xfId="18557" xr:uid="{66D42A83-B28A-492A-9B34-D6F7C0AE76FB}"/>
    <cellStyle name="Porcentual 2 3 37" xfId="4333" xr:uid="{00000000-0005-0000-0000-00002C250000}"/>
    <cellStyle name="Porcentual 2 3 37 2" xfId="9744" xr:uid="{00000000-0005-0000-0000-00002D250000}"/>
    <cellStyle name="Porcentual 2 3 37 2 2" xfId="10442" xr:uid="{00000000-0005-0000-0000-00002E250000}"/>
    <cellStyle name="Porcentual 2 3 37 2 2 2" xfId="12177" xr:uid="{00000000-0005-0000-0000-00002F250000}"/>
    <cellStyle name="Porcentual 2 3 37 2 2 2 2" xfId="20926" xr:uid="{13099736-740D-46CD-B0C7-7CE76FF827DD}"/>
    <cellStyle name="Porcentual 2 3 37 2 2 3" xfId="19563" xr:uid="{C17A02FA-00C9-4CBF-961A-DFEBF4DA933D}"/>
    <cellStyle name="Porcentual 2 3 37 2 3" xfId="11530" xr:uid="{00000000-0005-0000-0000-000030250000}"/>
    <cellStyle name="Porcentual 2 3 37 2 3 2" xfId="20299" xr:uid="{053034B3-189C-4D7F-8B56-3B7CEC7D8D7D}"/>
    <cellStyle name="Porcentual 2 3 37 2 4" xfId="18931" xr:uid="{E5469C2C-F5C3-406A-8947-0C04945D33DA}"/>
    <cellStyle name="Porcentual 2 3 37 3" xfId="10145" xr:uid="{00000000-0005-0000-0000-000031250000}"/>
    <cellStyle name="Porcentual 2 3 37 3 2" xfId="11881" xr:uid="{00000000-0005-0000-0000-000032250000}"/>
    <cellStyle name="Porcentual 2 3 37 3 2 2" xfId="20637" xr:uid="{A37E74B5-A261-49A6-A985-F628546E02D2}"/>
    <cellStyle name="Porcentual 2 3 37 3 3" xfId="19274" xr:uid="{6BE82767-A759-444C-92A7-E5C41693ECED}"/>
    <cellStyle name="Porcentual 2 3 37 4" xfId="11138" xr:uid="{00000000-0005-0000-0000-000033250000}"/>
    <cellStyle name="Porcentual 2 3 37 4 2" xfId="20022" xr:uid="{29F5CF34-F6E1-44A8-9990-776A324D7481}"/>
    <cellStyle name="Porcentual 2 3 37 5" xfId="18654" xr:uid="{022ECE43-A64B-4CD7-BE30-F73F21A93FFC}"/>
    <cellStyle name="Porcentual 2 3 4" xfId="3071" xr:uid="{00000000-0005-0000-0000-000034250000}"/>
    <cellStyle name="Porcentual 2 3 4 2" xfId="6698" xr:uid="{00000000-0005-0000-0000-000035250000}"/>
    <cellStyle name="Porcentual 2 3 5" xfId="3072" xr:uid="{00000000-0005-0000-0000-000036250000}"/>
    <cellStyle name="Porcentual 2 3 5 2" xfId="6699" xr:uid="{00000000-0005-0000-0000-000037250000}"/>
    <cellStyle name="Porcentual 2 3 6" xfId="3073" xr:uid="{00000000-0005-0000-0000-000038250000}"/>
    <cellStyle name="Porcentual 2 3 6 2" xfId="6700" xr:uid="{00000000-0005-0000-0000-000039250000}"/>
    <cellStyle name="Porcentual 2 3 7" xfId="3074" xr:uid="{00000000-0005-0000-0000-00003A250000}"/>
    <cellStyle name="Porcentual 2 3 7 2" xfId="6701" xr:uid="{00000000-0005-0000-0000-00003B250000}"/>
    <cellStyle name="Porcentual 2 3 8" xfId="3075" xr:uid="{00000000-0005-0000-0000-00003C250000}"/>
    <cellStyle name="Porcentual 2 3 8 2" xfId="6702" xr:uid="{00000000-0005-0000-0000-00003D250000}"/>
    <cellStyle name="Porcentual 2 3 9" xfId="3076" xr:uid="{00000000-0005-0000-0000-00003E250000}"/>
    <cellStyle name="Porcentual 2 3 9 2" xfId="6703" xr:uid="{00000000-0005-0000-0000-00003F250000}"/>
    <cellStyle name="Porcentual 2 30" xfId="3077" xr:uid="{00000000-0005-0000-0000-000040250000}"/>
    <cellStyle name="Porcentual 2 30 2" xfId="6704" xr:uid="{00000000-0005-0000-0000-000041250000}"/>
    <cellStyle name="Porcentual 2 31" xfId="3078" xr:uid="{00000000-0005-0000-0000-000042250000}"/>
    <cellStyle name="Porcentual 2 31 2" xfId="6705" xr:uid="{00000000-0005-0000-0000-000043250000}"/>
    <cellStyle name="Porcentual 2 32" xfId="3079" xr:uid="{00000000-0005-0000-0000-000044250000}"/>
    <cellStyle name="Porcentual 2 33" xfId="3080" xr:uid="{00000000-0005-0000-0000-000045250000}"/>
    <cellStyle name="Porcentual 2 33 2" xfId="8783" xr:uid="{00000000-0005-0000-0000-000046250000}"/>
    <cellStyle name="Porcentual 2 34" xfId="3081" xr:uid="{00000000-0005-0000-0000-000047250000}"/>
    <cellStyle name="Porcentual 2 34 2" xfId="8784" xr:uid="{00000000-0005-0000-0000-000048250000}"/>
    <cellStyle name="Porcentual 2 35" xfId="3082" xr:uid="{00000000-0005-0000-0000-000049250000}"/>
    <cellStyle name="Porcentual 2 35 2" xfId="8785" xr:uid="{00000000-0005-0000-0000-00004A250000}"/>
    <cellStyle name="Porcentual 2 36" xfId="3083" xr:uid="{00000000-0005-0000-0000-00004B250000}"/>
    <cellStyle name="Porcentual 2 36 2" xfId="8786" xr:uid="{00000000-0005-0000-0000-00004C250000}"/>
    <cellStyle name="Porcentual 2 37" xfId="3084" xr:uid="{00000000-0005-0000-0000-00004D250000}"/>
    <cellStyle name="Porcentual 2 37 2" xfId="8787" xr:uid="{00000000-0005-0000-0000-00004E250000}"/>
    <cellStyle name="Porcentual 2 38" xfId="3085" xr:uid="{00000000-0005-0000-0000-00004F250000}"/>
    <cellStyle name="Porcentual 2 38 2" xfId="8788" xr:uid="{00000000-0005-0000-0000-000050250000}"/>
    <cellStyle name="Porcentual 2 39" xfId="3086" xr:uid="{00000000-0005-0000-0000-000051250000}"/>
    <cellStyle name="Porcentual 2 39 2" xfId="8789" xr:uid="{00000000-0005-0000-0000-000052250000}"/>
    <cellStyle name="Porcentual 2 4" xfId="3087" xr:uid="{00000000-0005-0000-0000-000053250000}"/>
    <cellStyle name="Porcentual 2 4 10" xfId="3088" xr:uid="{00000000-0005-0000-0000-000054250000}"/>
    <cellStyle name="Porcentual 2 4 10 2" xfId="6706" xr:uid="{00000000-0005-0000-0000-000055250000}"/>
    <cellStyle name="Porcentual 2 4 11" xfId="3089" xr:uid="{00000000-0005-0000-0000-000056250000}"/>
    <cellStyle name="Porcentual 2 4 11 2" xfId="6707" xr:uid="{00000000-0005-0000-0000-000057250000}"/>
    <cellStyle name="Porcentual 2 4 12" xfId="3090" xr:uid="{00000000-0005-0000-0000-000058250000}"/>
    <cellStyle name="Porcentual 2 4 12 2" xfId="6708" xr:uid="{00000000-0005-0000-0000-000059250000}"/>
    <cellStyle name="Porcentual 2 4 13" xfId="3091" xr:uid="{00000000-0005-0000-0000-00005A250000}"/>
    <cellStyle name="Porcentual 2 4 13 2" xfId="6709" xr:uid="{00000000-0005-0000-0000-00005B250000}"/>
    <cellStyle name="Porcentual 2 4 14" xfId="3092" xr:uid="{00000000-0005-0000-0000-00005C250000}"/>
    <cellStyle name="Porcentual 2 4 14 2" xfId="6710" xr:uid="{00000000-0005-0000-0000-00005D250000}"/>
    <cellStyle name="Porcentual 2 4 15" xfId="3093" xr:uid="{00000000-0005-0000-0000-00005E250000}"/>
    <cellStyle name="Porcentual 2 4 15 2" xfId="6711" xr:uid="{00000000-0005-0000-0000-00005F250000}"/>
    <cellStyle name="Porcentual 2 4 16" xfId="3094" xr:uid="{00000000-0005-0000-0000-000060250000}"/>
    <cellStyle name="Porcentual 2 4 16 2" xfId="6712" xr:uid="{00000000-0005-0000-0000-000061250000}"/>
    <cellStyle name="Porcentual 2 4 17" xfId="3095" xr:uid="{00000000-0005-0000-0000-000062250000}"/>
    <cellStyle name="Porcentual 2 4 17 2" xfId="6713" xr:uid="{00000000-0005-0000-0000-000063250000}"/>
    <cellStyle name="Porcentual 2 4 18" xfId="3096" xr:uid="{00000000-0005-0000-0000-000064250000}"/>
    <cellStyle name="Porcentual 2 4 18 2" xfId="6714" xr:uid="{00000000-0005-0000-0000-000065250000}"/>
    <cellStyle name="Porcentual 2 4 19" xfId="3097" xr:uid="{00000000-0005-0000-0000-000066250000}"/>
    <cellStyle name="Porcentual 2 4 19 2" xfId="6715" xr:uid="{00000000-0005-0000-0000-000067250000}"/>
    <cellStyle name="Porcentual 2 4 2" xfId="3098" xr:uid="{00000000-0005-0000-0000-000068250000}"/>
    <cellStyle name="Porcentual 2 4 2 2" xfId="4242" xr:uid="{00000000-0005-0000-0000-000069250000}"/>
    <cellStyle name="Porcentual 2 4 2 2 2" xfId="9677" xr:uid="{00000000-0005-0000-0000-00006A250000}"/>
    <cellStyle name="Porcentual 2 4 2 2 2 2" xfId="10378" xr:uid="{00000000-0005-0000-0000-00006B250000}"/>
    <cellStyle name="Porcentual 2 4 2 2 2 2 2" xfId="12113" xr:uid="{00000000-0005-0000-0000-00006C250000}"/>
    <cellStyle name="Porcentual 2 4 2 2 2 2 2 2" xfId="20862" xr:uid="{11B2047E-0E39-490F-AC1E-5A82D06816B3}"/>
    <cellStyle name="Porcentual 2 4 2 2 2 2 3" xfId="19499" xr:uid="{2D32FCE3-476F-410E-8AE0-75D3F3A24798}"/>
    <cellStyle name="Porcentual 2 4 2 2 2 3" xfId="11466" xr:uid="{00000000-0005-0000-0000-00006D250000}"/>
    <cellStyle name="Porcentual 2 4 2 2 2 3 2" xfId="20235" xr:uid="{DD9795D2-C3DF-469D-A200-4D1837F9F699}"/>
    <cellStyle name="Porcentual 2 4 2 2 2 4" xfId="18867" xr:uid="{F8939EF0-EF67-421E-AA65-4484C50226BA}"/>
    <cellStyle name="Porcentual 2 4 2 2 3" xfId="10081" xr:uid="{00000000-0005-0000-0000-00006E250000}"/>
    <cellStyle name="Porcentual 2 4 2 2 3 2" xfId="11817" xr:uid="{00000000-0005-0000-0000-00006F250000}"/>
    <cellStyle name="Porcentual 2 4 2 2 3 2 2" xfId="20573" xr:uid="{32E9A852-E997-43CD-9153-474D60476824}"/>
    <cellStyle name="Porcentual 2 4 2 2 3 3" xfId="19210" xr:uid="{4ADE8C3A-E24D-4AB3-977B-D7DACE8E6728}"/>
    <cellStyle name="Porcentual 2 4 2 2 4" xfId="11053" xr:uid="{00000000-0005-0000-0000-000070250000}"/>
    <cellStyle name="Porcentual 2 4 2 2 4 2" xfId="19958" xr:uid="{0AC7E4C5-DFD7-44F5-85E1-3CBE6E6EAD0F}"/>
    <cellStyle name="Porcentual 2 4 2 2 5" xfId="18590" xr:uid="{C3A73D9E-FAC1-45EE-AE6F-107E8A3B93A8}"/>
    <cellStyle name="Porcentual 2 4 20" xfId="3099" xr:uid="{00000000-0005-0000-0000-000071250000}"/>
    <cellStyle name="Porcentual 2 4 20 2" xfId="6716" xr:uid="{00000000-0005-0000-0000-000072250000}"/>
    <cellStyle name="Porcentual 2 4 21" xfId="3100" xr:uid="{00000000-0005-0000-0000-000073250000}"/>
    <cellStyle name="Porcentual 2 4 21 2" xfId="6717" xr:uid="{00000000-0005-0000-0000-000074250000}"/>
    <cellStyle name="Porcentual 2 4 22" xfId="3101" xr:uid="{00000000-0005-0000-0000-000075250000}"/>
    <cellStyle name="Porcentual 2 4 22 2" xfId="6718" xr:uid="{00000000-0005-0000-0000-000076250000}"/>
    <cellStyle name="Porcentual 2 4 23" xfId="3102" xr:uid="{00000000-0005-0000-0000-000077250000}"/>
    <cellStyle name="Porcentual 2 4 23 2" xfId="6719" xr:uid="{00000000-0005-0000-0000-000078250000}"/>
    <cellStyle name="Porcentual 2 4 24" xfId="3103" xr:uid="{00000000-0005-0000-0000-000079250000}"/>
    <cellStyle name="Porcentual 2 4 24 2" xfId="6720" xr:uid="{00000000-0005-0000-0000-00007A250000}"/>
    <cellStyle name="Porcentual 2 4 25" xfId="3104" xr:uid="{00000000-0005-0000-0000-00007B250000}"/>
    <cellStyle name="Porcentual 2 4 25 2" xfId="6721" xr:uid="{00000000-0005-0000-0000-00007C250000}"/>
    <cellStyle name="Porcentual 2 4 26" xfId="3105" xr:uid="{00000000-0005-0000-0000-00007D250000}"/>
    <cellStyle name="Porcentual 2 4 26 2" xfId="6722" xr:uid="{00000000-0005-0000-0000-00007E250000}"/>
    <cellStyle name="Porcentual 2 4 27" xfId="3106" xr:uid="{00000000-0005-0000-0000-00007F250000}"/>
    <cellStyle name="Porcentual 2 4 27 2" xfId="6723" xr:uid="{00000000-0005-0000-0000-000080250000}"/>
    <cellStyle name="Porcentual 2 4 28" xfId="3107" xr:uid="{00000000-0005-0000-0000-000081250000}"/>
    <cellStyle name="Porcentual 2 4 28 2" xfId="6724" xr:uid="{00000000-0005-0000-0000-000082250000}"/>
    <cellStyle name="Porcentual 2 4 29" xfId="3108" xr:uid="{00000000-0005-0000-0000-000083250000}"/>
    <cellStyle name="Porcentual 2 4 3" xfId="3109" xr:uid="{00000000-0005-0000-0000-000084250000}"/>
    <cellStyle name="Porcentual 2 4 3 2" xfId="6725" xr:uid="{00000000-0005-0000-0000-000085250000}"/>
    <cellStyle name="Porcentual 2 4 30" xfId="3110" xr:uid="{00000000-0005-0000-0000-000086250000}"/>
    <cellStyle name="Porcentual 2 4 31" xfId="3111" xr:uid="{00000000-0005-0000-0000-000087250000}"/>
    <cellStyle name="Porcentual 2 4 32" xfId="3112" xr:uid="{00000000-0005-0000-0000-000088250000}"/>
    <cellStyle name="Porcentual 2 4 33" xfId="3113" xr:uid="{00000000-0005-0000-0000-000089250000}"/>
    <cellStyle name="Porcentual 2 4 34" xfId="3114" xr:uid="{00000000-0005-0000-0000-00008A250000}"/>
    <cellStyle name="Porcentual 2 4 35" xfId="4089" xr:uid="{00000000-0005-0000-0000-00008B250000}"/>
    <cellStyle name="Porcentual 2 4 35 2" xfId="9573" xr:uid="{00000000-0005-0000-0000-00008C250000}"/>
    <cellStyle name="Porcentual 2 4 35 2 2" xfId="10276" xr:uid="{00000000-0005-0000-0000-00008D250000}"/>
    <cellStyle name="Porcentual 2 4 35 2 2 2" xfId="12011" xr:uid="{00000000-0005-0000-0000-00008E250000}"/>
    <cellStyle name="Porcentual 2 4 35 2 2 2 2" xfId="20760" xr:uid="{1DF05270-0279-4C4B-85A9-B3685D781358}"/>
    <cellStyle name="Porcentual 2 4 35 2 2 3" xfId="19397" xr:uid="{F3236C0D-4048-4FCE-80E2-AB57F52B0F04}"/>
    <cellStyle name="Porcentual 2 4 35 2 3" xfId="11364" xr:uid="{00000000-0005-0000-0000-00008F250000}"/>
    <cellStyle name="Porcentual 2 4 35 2 3 2" xfId="20133" xr:uid="{B10AF461-7E14-4581-844C-3F1834BF7AEF}"/>
    <cellStyle name="Porcentual 2 4 35 2 4" xfId="18765" xr:uid="{021E04F3-F4B0-436F-BC1B-B42DAD5EFE2E}"/>
    <cellStyle name="Porcentual 2 4 35 3" xfId="9979" xr:uid="{00000000-0005-0000-0000-000090250000}"/>
    <cellStyle name="Porcentual 2 4 35 3 2" xfId="11715" xr:uid="{00000000-0005-0000-0000-000091250000}"/>
    <cellStyle name="Porcentual 2 4 35 3 2 2" xfId="20471" xr:uid="{4DA21685-717E-4310-BD7F-E0B98B70D149}"/>
    <cellStyle name="Porcentual 2 4 35 3 3" xfId="19108" xr:uid="{DADAE3E2-9C2F-4A81-BBBC-E74CEBE6655F}"/>
    <cellStyle name="Porcentual 2 4 35 4" xfId="10938" xr:uid="{00000000-0005-0000-0000-000092250000}"/>
    <cellStyle name="Porcentual 2 4 35 4 2" xfId="19856" xr:uid="{4B805E9B-E628-4525-9A0A-A08D5991C428}"/>
    <cellStyle name="Porcentual 2 4 35 5" xfId="18488" xr:uid="{DECDEC17-C750-49BC-8B69-47F396193548}"/>
    <cellStyle name="Porcentual 2 4 36" xfId="4191" xr:uid="{00000000-0005-0000-0000-000093250000}"/>
    <cellStyle name="Porcentual 2 4 36 2" xfId="9626" xr:uid="{00000000-0005-0000-0000-000094250000}"/>
    <cellStyle name="Porcentual 2 4 36 2 2" xfId="10327" xr:uid="{00000000-0005-0000-0000-000095250000}"/>
    <cellStyle name="Porcentual 2 4 36 2 2 2" xfId="12062" xr:uid="{00000000-0005-0000-0000-000096250000}"/>
    <cellStyle name="Porcentual 2 4 36 2 2 2 2" xfId="20811" xr:uid="{D8645F3E-1AEC-421E-A0AD-57E9EC96C155}"/>
    <cellStyle name="Porcentual 2 4 36 2 2 3" xfId="19448" xr:uid="{4C62C280-BAD9-4F31-80A7-ECDC78B5257F}"/>
    <cellStyle name="Porcentual 2 4 36 2 3" xfId="11415" xr:uid="{00000000-0005-0000-0000-000097250000}"/>
    <cellStyle name="Porcentual 2 4 36 2 3 2" xfId="20184" xr:uid="{81F91A91-FFBA-4184-8F0E-0DEE967FEE05}"/>
    <cellStyle name="Porcentual 2 4 36 2 4" xfId="18816" xr:uid="{964261E1-B404-4B52-B7C5-8ADBA4B219C4}"/>
    <cellStyle name="Porcentual 2 4 36 3" xfId="10030" xr:uid="{00000000-0005-0000-0000-000098250000}"/>
    <cellStyle name="Porcentual 2 4 36 3 2" xfId="11766" xr:uid="{00000000-0005-0000-0000-000099250000}"/>
    <cellStyle name="Porcentual 2 4 36 3 2 2" xfId="20522" xr:uid="{299E58F3-C589-4BF1-9BCD-7602BDDD0502}"/>
    <cellStyle name="Porcentual 2 4 36 3 3" xfId="19159" xr:uid="{89B54F8C-C3AF-4A9D-935E-401FF30F4B77}"/>
    <cellStyle name="Porcentual 2 4 36 4" xfId="11002" xr:uid="{00000000-0005-0000-0000-00009A250000}"/>
    <cellStyle name="Porcentual 2 4 36 4 2" xfId="19907" xr:uid="{EF194679-851F-4B06-9733-55EE3543A29C}"/>
    <cellStyle name="Porcentual 2 4 36 5" xfId="18539" xr:uid="{62B7C585-D20C-47DE-BE12-DB791690489B}"/>
    <cellStyle name="Porcentual 2 4 4" xfId="3115" xr:uid="{00000000-0005-0000-0000-00009B250000}"/>
    <cellStyle name="Porcentual 2 4 4 2" xfId="6726" xr:uid="{00000000-0005-0000-0000-00009C250000}"/>
    <cellStyle name="Porcentual 2 4 5" xfId="3116" xr:uid="{00000000-0005-0000-0000-00009D250000}"/>
    <cellStyle name="Porcentual 2 4 5 2" xfId="6727" xr:uid="{00000000-0005-0000-0000-00009E250000}"/>
    <cellStyle name="Porcentual 2 4 6" xfId="3117" xr:uid="{00000000-0005-0000-0000-00009F250000}"/>
    <cellStyle name="Porcentual 2 4 6 2" xfId="6728" xr:uid="{00000000-0005-0000-0000-0000A0250000}"/>
    <cellStyle name="Porcentual 2 4 7" xfId="3118" xr:uid="{00000000-0005-0000-0000-0000A1250000}"/>
    <cellStyle name="Porcentual 2 4 7 2" xfId="6729" xr:uid="{00000000-0005-0000-0000-0000A2250000}"/>
    <cellStyle name="Porcentual 2 4 8" xfId="3119" xr:uid="{00000000-0005-0000-0000-0000A3250000}"/>
    <cellStyle name="Porcentual 2 4 8 2" xfId="6730" xr:uid="{00000000-0005-0000-0000-0000A4250000}"/>
    <cellStyle name="Porcentual 2 4 9" xfId="3120" xr:uid="{00000000-0005-0000-0000-0000A5250000}"/>
    <cellStyle name="Porcentual 2 4 9 2" xfId="6731" xr:uid="{00000000-0005-0000-0000-0000A6250000}"/>
    <cellStyle name="Porcentual 2 40" xfId="3121" xr:uid="{00000000-0005-0000-0000-0000A7250000}"/>
    <cellStyle name="Porcentual 2 40 2" xfId="8790" xr:uid="{00000000-0005-0000-0000-0000A8250000}"/>
    <cellStyle name="Porcentual 2 41" xfId="3122" xr:uid="{00000000-0005-0000-0000-0000A9250000}"/>
    <cellStyle name="Porcentual 2 41 2" xfId="8791" xr:uid="{00000000-0005-0000-0000-0000AA250000}"/>
    <cellStyle name="Porcentual 2 42" xfId="3123" xr:uid="{00000000-0005-0000-0000-0000AB250000}"/>
    <cellStyle name="Porcentual 2 42 2" xfId="8792" xr:uid="{00000000-0005-0000-0000-0000AC250000}"/>
    <cellStyle name="Porcentual 2 43" xfId="3124" xr:uid="{00000000-0005-0000-0000-0000AD250000}"/>
    <cellStyle name="Porcentual 2 43 2" xfId="8793" xr:uid="{00000000-0005-0000-0000-0000AE250000}"/>
    <cellStyle name="Porcentual 2 44" xfId="3125" xr:uid="{00000000-0005-0000-0000-0000AF250000}"/>
    <cellStyle name="Porcentual 2 44 2" xfId="8794" xr:uid="{00000000-0005-0000-0000-0000B0250000}"/>
    <cellStyle name="Porcentual 2 45" xfId="3126" xr:uid="{00000000-0005-0000-0000-0000B1250000}"/>
    <cellStyle name="Porcentual 2 45 2" xfId="8795" xr:uid="{00000000-0005-0000-0000-0000B2250000}"/>
    <cellStyle name="Porcentual 2 46" xfId="3127" xr:uid="{00000000-0005-0000-0000-0000B3250000}"/>
    <cellStyle name="Porcentual 2 46 2" xfId="8796" xr:uid="{00000000-0005-0000-0000-0000B4250000}"/>
    <cellStyle name="Porcentual 2 47" xfId="3128" xr:uid="{00000000-0005-0000-0000-0000B5250000}"/>
    <cellStyle name="Porcentual 2 47 2" xfId="8797" xr:uid="{00000000-0005-0000-0000-0000B6250000}"/>
    <cellStyle name="Porcentual 2 48" xfId="3129" xr:uid="{00000000-0005-0000-0000-0000B7250000}"/>
    <cellStyle name="Porcentual 2 48 2" xfId="8798" xr:uid="{00000000-0005-0000-0000-0000B8250000}"/>
    <cellStyle name="Porcentual 2 49" xfId="3130" xr:uid="{00000000-0005-0000-0000-0000B9250000}"/>
    <cellStyle name="Porcentual 2 49 2" xfId="8799" xr:uid="{00000000-0005-0000-0000-0000BA250000}"/>
    <cellStyle name="Porcentual 2 5" xfId="3131" xr:uid="{00000000-0005-0000-0000-0000BB250000}"/>
    <cellStyle name="Porcentual 2 5 10" xfId="3132" xr:uid="{00000000-0005-0000-0000-0000BC250000}"/>
    <cellStyle name="Porcentual 2 5 10 2" xfId="6732" xr:uid="{00000000-0005-0000-0000-0000BD250000}"/>
    <cellStyle name="Porcentual 2 5 11" xfId="3133" xr:uid="{00000000-0005-0000-0000-0000BE250000}"/>
    <cellStyle name="Porcentual 2 5 11 2" xfId="6733" xr:uid="{00000000-0005-0000-0000-0000BF250000}"/>
    <cellStyle name="Porcentual 2 5 12" xfId="3134" xr:uid="{00000000-0005-0000-0000-0000C0250000}"/>
    <cellStyle name="Porcentual 2 5 12 2" xfId="6734" xr:uid="{00000000-0005-0000-0000-0000C1250000}"/>
    <cellStyle name="Porcentual 2 5 13" xfId="3135" xr:uid="{00000000-0005-0000-0000-0000C2250000}"/>
    <cellStyle name="Porcentual 2 5 13 2" xfId="6735" xr:uid="{00000000-0005-0000-0000-0000C3250000}"/>
    <cellStyle name="Porcentual 2 5 14" xfId="3136" xr:uid="{00000000-0005-0000-0000-0000C4250000}"/>
    <cellStyle name="Porcentual 2 5 14 2" xfId="6736" xr:uid="{00000000-0005-0000-0000-0000C5250000}"/>
    <cellStyle name="Porcentual 2 5 15" xfId="3137" xr:uid="{00000000-0005-0000-0000-0000C6250000}"/>
    <cellStyle name="Porcentual 2 5 15 2" xfId="6737" xr:uid="{00000000-0005-0000-0000-0000C7250000}"/>
    <cellStyle name="Porcentual 2 5 16" xfId="3138" xr:uid="{00000000-0005-0000-0000-0000C8250000}"/>
    <cellStyle name="Porcentual 2 5 16 2" xfId="6738" xr:uid="{00000000-0005-0000-0000-0000C9250000}"/>
    <cellStyle name="Porcentual 2 5 17" xfId="3139" xr:uid="{00000000-0005-0000-0000-0000CA250000}"/>
    <cellStyle name="Porcentual 2 5 17 2" xfId="6739" xr:uid="{00000000-0005-0000-0000-0000CB250000}"/>
    <cellStyle name="Porcentual 2 5 18" xfId="3140" xr:uid="{00000000-0005-0000-0000-0000CC250000}"/>
    <cellStyle name="Porcentual 2 5 18 2" xfId="6740" xr:uid="{00000000-0005-0000-0000-0000CD250000}"/>
    <cellStyle name="Porcentual 2 5 19" xfId="3141" xr:uid="{00000000-0005-0000-0000-0000CE250000}"/>
    <cellStyle name="Porcentual 2 5 19 2" xfId="6741" xr:uid="{00000000-0005-0000-0000-0000CF250000}"/>
    <cellStyle name="Porcentual 2 5 2" xfId="3142" xr:uid="{00000000-0005-0000-0000-0000D0250000}"/>
    <cellStyle name="Porcentual 2 5 2 2" xfId="6742" xr:uid="{00000000-0005-0000-0000-0000D1250000}"/>
    <cellStyle name="Porcentual 2 5 20" xfId="3143" xr:uid="{00000000-0005-0000-0000-0000D2250000}"/>
    <cellStyle name="Porcentual 2 5 20 2" xfId="6743" xr:uid="{00000000-0005-0000-0000-0000D3250000}"/>
    <cellStyle name="Porcentual 2 5 21" xfId="3144" xr:uid="{00000000-0005-0000-0000-0000D4250000}"/>
    <cellStyle name="Porcentual 2 5 21 2" xfId="6744" xr:uid="{00000000-0005-0000-0000-0000D5250000}"/>
    <cellStyle name="Porcentual 2 5 22" xfId="3145" xr:uid="{00000000-0005-0000-0000-0000D6250000}"/>
    <cellStyle name="Porcentual 2 5 22 2" xfId="6745" xr:uid="{00000000-0005-0000-0000-0000D7250000}"/>
    <cellStyle name="Porcentual 2 5 23" xfId="3146" xr:uid="{00000000-0005-0000-0000-0000D8250000}"/>
    <cellStyle name="Porcentual 2 5 23 2" xfId="6746" xr:uid="{00000000-0005-0000-0000-0000D9250000}"/>
    <cellStyle name="Porcentual 2 5 24" xfId="3147" xr:uid="{00000000-0005-0000-0000-0000DA250000}"/>
    <cellStyle name="Porcentual 2 5 24 2" xfId="6747" xr:uid="{00000000-0005-0000-0000-0000DB250000}"/>
    <cellStyle name="Porcentual 2 5 25" xfId="3148" xr:uid="{00000000-0005-0000-0000-0000DC250000}"/>
    <cellStyle name="Porcentual 2 5 25 2" xfId="6748" xr:uid="{00000000-0005-0000-0000-0000DD250000}"/>
    <cellStyle name="Porcentual 2 5 26" xfId="3149" xr:uid="{00000000-0005-0000-0000-0000DE250000}"/>
    <cellStyle name="Porcentual 2 5 26 2" xfId="6749" xr:uid="{00000000-0005-0000-0000-0000DF250000}"/>
    <cellStyle name="Porcentual 2 5 27" xfId="3150" xr:uid="{00000000-0005-0000-0000-0000E0250000}"/>
    <cellStyle name="Porcentual 2 5 27 2" xfId="6750" xr:uid="{00000000-0005-0000-0000-0000E1250000}"/>
    <cellStyle name="Porcentual 2 5 28" xfId="3151" xr:uid="{00000000-0005-0000-0000-0000E2250000}"/>
    <cellStyle name="Porcentual 2 5 28 2" xfId="6751" xr:uid="{00000000-0005-0000-0000-0000E3250000}"/>
    <cellStyle name="Porcentual 2 5 29" xfId="3152" xr:uid="{00000000-0005-0000-0000-0000E4250000}"/>
    <cellStyle name="Porcentual 2 5 3" xfId="3153" xr:uid="{00000000-0005-0000-0000-0000E5250000}"/>
    <cellStyle name="Porcentual 2 5 3 2" xfId="6752" xr:uid="{00000000-0005-0000-0000-0000E6250000}"/>
    <cellStyle name="Porcentual 2 5 30" xfId="3154" xr:uid="{00000000-0005-0000-0000-0000E7250000}"/>
    <cellStyle name="Porcentual 2 5 31" xfId="3155" xr:uid="{00000000-0005-0000-0000-0000E8250000}"/>
    <cellStyle name="Porcentual 2 5 32" xfId="3156" xr:uid="{00000000-0005-0000-0000-0000E9250000}"/>
    <cellStyle name="Porcentual 2 5 33" xfId="3157" xr:uid="{00000000-0005-0000-0000-0000EA250000}"/>
    <cellStyle name="Porcentual 2 5 34" xfId="3158" xr:uid="{00000000-0005-0000-0000-0000EB250000}"/>
    <cellStyle name="Porcentual 2 5 35" xfId="4226" xr:uid="{00000000-0005-0000-0000-0000EC250000}"/>
    <cellStyle name="Porcentual 2 5 35 2" xfId="9661" xr:uid="{00000000-0005-0000-0000-0000ED250000}"/>
    <cellStyle name="Porcentual 2 5 35 2 2" xfId="10362" xr:uid="{00000000-0005-0000-0000-0000EE250000}"/>
    <cellStyle name="Porcentual 2 5 35 2 2 2" xfId="12097" xr:uid="{00000000-0005-0000-0000-0000EF250000}"/>
    <cellStyle name="Porcentual 2 5 35 2 2 2 2" xfId="20846" xr:uid="{F3E5FE1F-3B59-45C5-A86F-BC366EE04556}"/>
    <cellStyle name="Porcentual 2 5 35 2 2 3" xfId="19483" xr:uid="{94815EAD-819A-412C-A929-CF2D25B64EC9}"/>
    <cellStyle name="Porcentual 2 5 35 2 3" xfId="11450" xr:uid="{00000000-0005-0000-0000-0000F0250000}"/>
    <cellStyle name="Porcentual 2 5 35 2 3 2" xfId="20219" xr:uid="{829BEEEE-C3CF-498E-ADAC-97A089DDACAC}"/>
    <cellStyle name="Porcentual 2 5 35 2 4" xfId="18851" xr:uid="{CD82DCA3-AF0D-4AC5-ADAB-716EC3655449}"/>
    <cellStyle name="Porcentual 2 5 35 3" xfId="10065" xr:uid="{00000000-0005-0000-0000-0000F1250000}"/>
    <cellStyle name="Porcentual 2 5 35 3 2" xfId="11801" xr:uid="{00000000-0005-0000-0000-0000F2250000}"/>
    <cellStyle name="Porcentual 2 5 35 3 2 2" xfId="20557" xr:uid="{D93F8BE4-AD0F-4AB4-9A4E-54C509A46853}"/>
    <cellStyle name="Porcentual 2 5 35 3 3" xfId="19194" xr:uid="{62639D82-0C30-4C50-BE79-8BD4CB530111}"/>
    <cellStyle name="Porcentual 2 5 35 4" xfId="11037" xr:uid="{00000000-0005-0000-0000-0000F3250000}"/>
    <cellStyle name="Porcentual 2 5 35 4 2" xfId="19942" xr:uid="{FEA5B916-85F5-4568-BDA3-AA9FD1FF3935}"/>
    <cellStyle name="Porcentual 2 5 35 5" xfId="18574" xr:uid="{627DD75A-2BE7-4590-8120-BB6D34AE7833}"/>
    <cellStyle name="Porcentual 2 5 4" xfId="3159" xr:uid="{00000000-0005-0000-0000-0000F4250000}"/>
    <cellStyle name="Porcentual 2 5 4 2" xfId="6753" xr:uid="{00000000-0005-0000-0000-0000F5250000}"/>
    <cellStyle name="Porcentual 2 5 5" xfId="3160" xr:uid="{00000000-0005-0000-0000-0000F6250000}"/>
    <cellStyle name="Porcentual 2 5 5 2" xfId="6754" xr:uid="{00000000-0005-0000-0000-0000F7250000}"/>
    <cellStyle name="Porcentual 2 5 6" xfId="3161" xr:uid="{00000000-0005-0000-0000-0000F8250000}"/>
    <cellStyle name="Porcentual 2 5 6 2" xfId="6755" xr:uid="{00000000-0005-0000-0000-0000F9250000}"/>
    <cellStyle name="Porcentual 2 5 7" xfId="3162" xr:uid="{00000000-0005-0000-0000-0000FA250000}"/>
    <cellStyle name="Porcentual 2 5 7 2" xfId="6756" xr:uid="{00000000-0005-0000-0000-0000FB250000}"/>
    <cellStyle name="Porcentual 2 5 8" xfId="3163" xr:uid="{00000000-0005-0000-0000-0000FC250000}"/>
    <cellStyle name="Porcentual 2 5 8 2" xfId="6757" xr:uid="{00000000-0005-0000-0000-0000FD250000}"/>
    <cellStyle name="Porcentual 2 5 9" xfId="3164" xr:uid="{00000000-0005-0000-0000-0000FE250000}"/>
    <cellStyle name="Porcentual 2 5 9 2" xfId="6758" xr:uid="{00000000-0005-0000-0000-0000FF250000}"/>
    <cellStyle name="Porcentual 2 50" xfId="3165" xr:uid="{00000000-0005-0000-0000-000000260000}"/>
    <cellStyle name="Porcentual 2 50 2" xfId="8800" xr:uid="{00000000-0005-0000-0000-000001260000}"/>
    <cellStyle name="Porcentual 2 51" xfId="3166" xr:uid="{00000000-0005-0000-0000-000002260000}"/>
    <cellStyle name="Porcentual 2 51 2" xfId="8801" xr:uid="{00000000-0005-0000-0000-000003260000}"/>
    <cellStyle name="Porcentual 2 52" xfId="3167" xr:uid="{00000000-0005-0000-0000-000004260000}"/>
    <cellStyle name="Porcentual 2 52 2" xfId="8802" xr:uid="{00000000-0005-0000-0000-000005260000}"/>
    <cellStyle name="Porcentual 2 53" xfId="3168" xr:uid="{00000000-0005-0000-0000-000006260000}"/>
    <cellStyle name="Porcentual 2 53 2" xfId="8803" xr:uid="{00000000-0005-0000-0000-000007260000}"/>
    <cellStyle name="Porcentual 2 54" xfId="3169" xr:uid="{00000000-0005-0000-0000-000008260000}"/>
    <cellStyle name="Porcentual 2 54 2" xfId="8804" xr:uid="{00000000-0005-0000-0000-000009260000}"/>
    <cellStyle name="Porcentual 2 55" xfId="3170" xr:uid="{00000000-0005-0000-0000-00000A260000}"/>
    <cellStyle name="Porcentual 2 55 2" xfId="8805" xr:uid="{00000000-0005-0000-0000-00000B260000}"/>
    <cellStyle name="Porcentual 2 56" xfId="3171" xr:uid="{00000000-0005-0000-0000-00000C260000}"/>
    <cellStyle name="Porcentual 2 56 2" xfId="8806" xr:uid="{00000000-0005-0000-0000-00000D260000}"/>
    <cellStyle name="Porcentual 2 57" xfId="3172" xr:uid="{00000000-0005-0000-0000-00000E260000}"/>
    <cellStyle name="Porcentual 2 57 2" xfId="8807" xr:uid="{00000000-0005-0000-0000-00000F260000}"/>
    <cellStyle name="Porcentual 2 58" xfId="3173" xr:uid="{00000000-0005-0000-0000-000010260000}"/>
    <cellStyle name="Porcentual 2 58 2" xfId="8808" xr:uid="{00000000-0005-0000-0000-000011260000}"/>
    <cellStyle name="Porcentual 2 59" xfId="3174" xr:uid="{00000000-0005-0000-0000-000012260000}"/>
    <cellStyle name="Porcentual 2 59 2" xfId="8809" xr:uid="{00000000-0005-0000-0000-000013260000}"/>
    <cellStyle name="Porcentual 2 6" xfId="3175" xr:uid="{00000000-0005-0000-0000-000014260000}"/>
    <cellStyle name="Porcentual 2 6 10" xfId="3176" xr:uid="{00000000-0005-0000-0000-000015260000}"/>
    <cellStyle name="Porcentual 2 6 10 2" xfId="6759" xr:uid="{00000000-0005-0000-0000-000016260000}"/>
    <cellStyle name="Porcentual 2 6 11" xfId="3177" xr:uid="{00000000-0005-0000-0000-000017260000}"/>
    <cellStyle name="Porcentual 2 6 11 2" xfId="6760" xr:uid="{00000000-0005-0000-0000-000018260000}"/>
    <cellStyle name="Porcentual 2 6 12" xfId="3178" xr:uid="{00000000-0005-0000-0000-000019260000}"/>
    <cellStyle name="Porcentual 2 6 12 2" xfId="6761" xr:uid="{00000000-0005-0000-0000-00001A260000}"/>
    <cellStyle name="Porcentual 2 6 13" xfId="3179" xr:uid="{00000000-0005-0000-0000-00001B260000}"/>
    <cellStyle name="Porcentual 2 6 13 2" xfId="6762" xr:uid="{00000000-0005-0000-0000-00001C260000}"/>
    <cellStyle name="Porcentual 2 6 14" xfId="3180" xr:uid="{00000000-0005-0000-0000-00001D260000}"/>
    <cellStyle name="Porcentual 2 6 14 2" xfId="6763" xr:uid="{00000000-0005-0000-0000-00001E260000}"/>
    <cellStyle name="Porcentual 2 6 15" xfId="3181" xr:uid="{00000000-0005-0000-0000-00001F260000}"/>
    <cellStyle name="Porcentual 2 6 15 2" xfId="6764" xr:uid="{00000000-0005-0000-0000-000020260000}"/>
    <cellStyle name="Porcentual 2 6 16" xfId="3182" xr:uid="{00000000-0005-0000-0000-000021260000}"/>
    <cellStyle name="Porcentual 2 6 16 2" xfId="6765" xr:uid="{00000000-0005-0000-0000-000022260000}"/>
    <cellStyle name="Porcentual 2 6 17" xfId="3183" xr:uid="{00000000-0005-0000-0000-000023260000}"/>
    <cellStyle name="Porcentual 2 6 17 2" xfId="6766" xr:uid="{00000000-0005-0000-0000-000024260000}"/>
    <cellStyle name="Porcentual 2 6 18" xfId="3184" xr:uid="{00000000-0005-0000-0000-000025260000}"/>
    <cellStyle name="Porcentual 2 6 18 2" xfId="6767" xr:uid="{00000000-0005-0000-0000-000026260000}"/>
    <cellStyle name="Porcentual 2 6 19" xfId="3185" xr:uid="{00000000-0005-0000-0000-000027260000}"/>
    <cellStyle name="Porcentual 2 6 19 2" xfId="6768" xr:uid="{00000000-0005-0000-0000-000028260000}"/>
    <cellStyle name="Porcentual 2 6 2" xfId="3186" xr:uid="{00000000-0005-0000-0000-000029260000}"/>
    <cellStyle name="Porcentual 2 6 2 2" xfId="6769" xr:uid="{00000000-0005-0000-0000-00002A260000}"/>
    <cellStyle name="Porcentual 2 6 20" xfId="3187" xr:uid="{00000000-0005-0000-0000-00002B260000}"/>
    <cellStyle name="Porcentual 2 6 20 2" xfId="6770" xr:uid="{00000000-0005-0000-0000-00002C260000}"/>
    <cellStyle name="Porcentual 2 6 21" xfId="3188" xr:uid="{00000000-0005-0000-0000-00002D260000}"/>
    <cellStyle name="Porcentual 2 6 21 2" xfId="6771" xr:uid="{00000000-0005-0000-0000-00002E260000}"/>
    <cellStyle name="Porcentual 2 6 22" xfId="3189" xr:uid="{00000000-0005-0000-0000-00002F260000}"/>
    <cellStyle name="Porcentual 2 6 22 2" xfId="6772" xr:uid="{00000000-0005-0000-0000-000030260000}"/>
    <cellStyle name="Porcentual 2 6 23" xfId="3190" xr:uid="{00000000-0005-0000-0000-000031260000}"/>
    <cellStyle name="Porcentual 2 6 23 2" xfId="6773" xr:uid="{00000000-0005-0000-0000-000032260000}"/>
    <cellStyle name="Porcentual 2 6 24" xfId="3191" xr:uid="{00000000-0005-0000-0000-000033260000}"/>
    <cellStyle name="Porcentual 2 6 24 2" xfId="6774" xr:uid="{00000000-0005-0000-0000-000034260000}"/>
    <cellStyle name="Porcentual 2 6 25" xfId="3192" xr:uid="{00000000-0005-0000-0000-000035260000}"/>
    <cellStyle name="Porcentual 2 6 25 2" xfId="6775" xr:uid="{00000000-0005-0000-0000-000036260000}"/>
    <cellStyle name="Porcentual 2 6 26" xfId="3193" xr:uid="{00000000-0005-0000-0000-000037260000}"/>
    <cellStyle name="Porcentual 2 6 26 2" xfId="6776" xr:uid="{00000000-0005-0000-0000-000038260000}"/>
    <cellStyle name="Porcentual 2 6 27" xfId="3194" xr:uid="{00000000-0005-0000-0000-000039260000}"/>
    <cellStyle name="Porcentual 2 6 27 2" xfId="6777" xr:uid="{00000000-0005-0000-0000-00003A260000}"/>
    <cellStyle name="Porcentual 2 6 28" xfId="3195" xr:uid="{00000000-0005-0000-0000-00003B260000}"/>
    <cellStyle name="Porcentual 2 6 28 2" xfId="6778" xr:uid="{00000000-0005-0000-0000-00003C260000}"/>
    <cellStyle name="Porcentual 2 6 29" xfId="6779" xr:uid="{00000000-0005-0000-0000-00003D260000}"/>
    <cellStyle name="Porcentual 2 6 3" xfId="3196" xr:uid="{00000000-0005-0000-0000-00003E260000}"/>
    <cellStyle name="Porcentual 2 6 3 2" xfId="6780" xr:uid="{00000000-0005-0000-0000-00003F260000}"/>
    <cellStyle name="Porcentual 2 6 4" xfId="3197" xr:uid="{00000000-0005-0000-0000-000040260000}"/>
    <cellStyle name="Porcentual 2 6 4 2" xfId="6781" xr:uid="{00000000-0005-0000-0000-000041260000}"/>
    <cellStyle name="Porcentual 2 6 5" xfId="3198" xr:uid="{00000000-0005-0000-0000-000042260000}"/>
    <cellStyle name="Porcentual 2 6 5 2" xfId="6782" xr:uid="{00000000-0005-0000-0000-000043260000}"/>
    <cellStyle name="Porcentual 2 6 6" xfId="3199" xr:uid="{00000000-0005-0000-0000-000044260000}"/>
    <cellStyle name="Porcentual 2 6 6 2" xfId="6783" xr:uid="{00000000-0005-0000-0000-000045260000}"/>
    <cellStyle name="Porcentual 2 6 7" xfId="3200" xr:uid="{00000000-0005-0000-0000-000046260000}"/>
    <cellStyle name="Porcentual 2 6 7 2" xfId="6784" xr:uid="{00000000-0005-0000-0000-000047260000}"/>
    <cellStyle name="Porcentual 2 6 8" xfId="3201" xr:uid="{00000000-0005-0000-0000-000048260000}"/>
    <cellStyle name="Porcentual 2 6 8 2" xfId="6785" xr:uid="{00000000-0005-0000-0000-000049260000}"/>
    <cellStyle name="Porcentual 2 6 9" xfId="3202" xr:uid="{00000000-0005-0000-0000-00004A260000}"/>
    <cellStyle name="Porcentual 2 6 9 2" xfId="6786" xr:uid="{00000000-0005-0000-0000-00004B260000}"/>
    <cellStyle name="Porcentual 2 60" xfId="3203" xr:uid="{00000000-0005-0000-0000-00004C260000}"/>
    <cellStyle name="Porcentual 2 60 2" xfId="8810" xr:uid="{00000000-0005-0000-0000-00004D260000}"/>
    <cellStyle name="Porcentual 2 61" xfId="3204" xr:uid="{00000000-0005-0000-0000-00004E260000}"/>
    <cellStyle name="Porcentual 2 61 2" xfId="8811" xr:uid="{00000000-0005-0000-0000-00004F260000}"/>
    <cellStyle name="Porcentual 2 62" xfId="3205" xr:uid="{00000000-0005-0000-0000-000050260000}"/>
    <cellStyle name="Porcentual 2 62 2" xfId="8812" xr:uid="{00000000-0005-0000-0000-000051260000}"/>
    <cellStyle name="Porcentual 2 63" xfId="3206" xr:uid="{00000000-0005-0000-0000-000052260000}"/>
    <cellStyle name="Porcentual 2 63 2" xfId="8813" xr:uid="{00000000-0005-0000-0000-000053260000}"/>
    <cellStyle name="Porcentual 2 64" xfId="3207" xr:uid="{00000000-0005-0000-0000-000054260000}"/>
    <cellStyle name="Porcentual 2 64 2" xfId="8814" xr:uid="{00000000-0005-0000-0000-000055260000}"/>
    <cellStyle name="Porcentual 2 65" xfId="3208" xr:uid="{00000000-0005-0000-0000-000056260000}"/>
    <cellStyle name="Porcentual 2 65 2" xfId="8815" xr:uid="{00000000-0005-0000-0000-000057260000}"/>
    <cellStyle name="Porcentual 2 66" xfId="3209" xr:uid="{00000000-0005-0000-0000-000058260000}"/>
    <cellStyle name="Porcentual 2 66 2" xfId="8816" xr:uid="{00000000-0005-0000-0000-000059260000}"/>
    <cellStyle name="Porcentual 2 67" xfId="3210" xr:uid="{00000000-0005-0000-0000-00005A260000}"/>
    <cellStyle name="Porcentual 2 67 2" xfId="8817" xr:uid="{00000000-0005-0000-0000-00005B260000}"/>
    <cellStyle name="Porcentual 2 68" xfId="3211" xr:uid="{00000000-0005-0000-0000-00005C260000}"/>
    <cellStyle name="Porcentual 2 68 2" xfId="8818" xr:uid="{00000000-0005-0000-0000-00005D260000}"/>
    <cellStyle name="Porcentual 2 69" xfId="3212" xr:uid="{00000000-0005-0000-0000-00005E260000}"/>
    <cellStyle name="Porcentual 2 69 2" xfId="8819" xr:uid="{00000000-0005-0000-0000-00005F260000}"/>
    <cellStyle name="Porcentual 2 7" xfId="3213" xr:uid="{00000000-0005-0000-0000-000060260000}"/>
    <cellStyle name="Porcentual 2 7 10" xfId="3214" xr:uid="{00000000-0005-0000-0000-000061260000}"/>
    <cellStyle name="Porcentual 2 7 10 2" xfId="6787" xr:uid="{00000000-0005-0000-0000-000062260000}"/>
    <cellStyle name="Porcentual 2 7 11" xfId="3215" xr:uid="{00000000-0005-0000-0000-000063260000}"/>
    <cellStyle name="Porcentual 2 7 11 2" xfId="6788" xr:uid="{00000000-0005-0000-0000-000064260000}"/>
    <cellStyle name="Porcentual 2 7 12" xfId="3216" xr:uid="{00000000-0005-0000-0000-000065260000}"/>
    <cellStyle name="Porcentual 2 7 12 2" xfId="6789" xr:uid="{00000000-0005-0000-0000-000066260000}"/>
    <cellStyle name="Porcentual 2 7 13" xfId="3217" xr:uid="{00000000-0005-0000-0000-000067260000}"/>
    <cellStyle name="Porcentual 2 7 13 2" xfId="6790" xr:uid="{00000000-0005-0000-0000-000068260000}"/>
    <cellStyle name="Porcentual 2 7 14" xfId="3218" xr:uid="{00000000-0005-0000-0000-000069260000}"/>
    <cellStyle name="Porcentual 2 7 14 2" xfId="6791" xr:uid="{00000000-0005-0000-0000-00006A260000}"/>
    <cellStyle name="Porcentual 2 7 15" xfId="3219" xr:uid="{00000000-0005-0000-0000-00006B260000}"/>
    <cellStyle name="Porcentual 2 7 15 2" xfId="6792" xr:uid="{00000000-0005-0000-0000-00006C260000}"/>
    <cellStyle name="Porcentual 2 7 16" xfId="3220" xr:uid="{00000000-0005-0000-0000-00006D260000}"/>
    <cellStyle name="Porcentual 2 7 16 2" xfId="6793" xr:uid="{00000000-0005-0000-0000-00006E260000}"/>
    <cellStyle name="Porcentual 2 7 17" xfId="3221" xr:uid="{00000000-0005-0000-0000-00006F260000}"/>
    <cellStyle name="Porcentual 2 7 17 2" xfId="6794" xr:uid="{00000000-0005-0000-0000-000070260000}"/>
    <cellStyle name="Porcentual 2 7 18" xfId="3222" xr:uid="{00000000-0005-0000-0000-000071260000}"/>
    <cellStyle name="Porcentual 2 7 18 2" xfId="6795" xr:uid="{00000000-0005-0000-0000-000072260000}"/>
    <cellStyle name="Porcentual 2 7 19" xfId="3223" xr:uid="{00000000-0005-0000-0000-000073260000}"/>
    <cellStyle name="Porcentual 2 7 19 2" xfId="6796" xr:uid="{00000000-0005-0000-0000-000074260000}"/>
    <cellStyle name="Porcentual 2 7 2" xfId="3224" xr:uid="{00000000-0005-0000-0000-000075260000}"/>
    <cellStyle name="Porcentual 2 7 2 2" xfId="6797" xr:uid="{00000000-0005-0000-0000-000076260000}"/>
    <cellStyle name="Porcentual 2 7 20" xfId="3225" xr:uid="{00000000-0005-0000-0000-000077260000}"/>
    <cellStyle name="Porcentual 2 7 20 2" xfId="6798" xr:uid="{00000000-0005-0000-0000-000078260000}"/>
    <cellStyle name="Porcentual 2 7 21" xfId="3226" xr:uid="{00000000-0005-0000-0000-000079260000}"/>
    <cellStyle name="Porcentual 2 7 21 2" xfId="6799" xr:uid="{00000000-0005-0000-0000-00007A260000}"/>
    <cellStyle name="Porcentual 2 7 22" xfId="3227" xr:uid="{00000000-0005-0000-0000-00007B260000}"/>
    <cellStyle name="Porcentual 2 7 22 2" xfId="6800" xr:uid="{00000000-0005-0000-0000-00007C260000}"/>
    <cellStyle name="Porcentual 2 7 23" xfId="3228" xr:uid="{00000000-0005-0000-0000-00007D260000}"/>
    <cellStyle name="Porcentual 2 7 23 2" xfId="6801" xr:uid="{00000000-0005-0000-0000-00007E260000}"/>
    <cellStyle name="Porcentual 2 7 24" xfId="3229" xr:uid="{00000000-0005-0000-0000-00007F260000}"/>
    <cellStyle name="Porcentual 2 7 24 2" xfId="6802" xr:uid="{00000000-0005-0000-0000-000080260000}"/>
    <cellStyle name="Porcentual 2 7 25" xfId="3230" xr:uid="{00000000-0005-0000-0000-000081260000}"/>
    <cellStyle name="Porcentual 2 7 25 2" xfId="6803" xr:uid="{00000000-0005-0000-0000-000082260000}"/>
    <cellStyle name="Porcentual 2 7 26" xfId="3231" xr:uid="{00000000-0005-0000-0000-000083260000}"/>
    <cellStyle name="Porcentual 2 7 26 2" xfId="6804" xr:uid="{00000000-0005-0000-0000-000084260000}"/>
    <cellStyle name="Porcentual 2 7 27" xfId="3232" xr:uid="{00000000-0005-0000-0000-000085260000}"/>
    <cellStyle name="Porcentual 2 7 27 2" xfId="6805" xr:uid="{00000000-0005-0000-0000-000086260000}"/>
    <cellStyle name="Porcentual 2 7 28" xfId="3233" xr:uid="{00000000-0005-0000-0000-000087260000}"/>
    <cellStyle name="Porcentual 2 7 28 2" xfId="6806" xr:uid="{00000000-0005-0000-0000-000088260000}"/>
    <cellStyle name="Porcentual 2 7 29" xfId="6807" xr:uid="{00000000-0005-0000-0000-000089260000}"/>
    <cellStyle name="Porcentual 2 7 3" xfId="3234" xr:uid="{00000000-0005-0000-0000-00008A260000}"/>
    <cellStyle name="Porcentual 2 7 3 2" xfId="6808" xr:uid="{00000000-0005-0000-0000-00008B260000}"/>
    <cellStyle name="Porcentual 2 7 4" xfId="3235" xr:uid="{00000000-0005-0000-0000-00008C260000}"/>
    <cellStyle name="Porcentual 2 7 4 2" xfId="6809" xr:uid="{00000000-0005-0000-0000-00008D260000}"/>
    <cellStyle name="Porcentual 2 7 5" xfId="3236" xr:uid="{00000000-0005-0000-0000-00008E260000}"/>
    <cellStyle name="Porcentual 2 7 5 2" xfId="6810" xr:uid="{00000000-0005-0000-0000-00008F260000}"/>
    <cellStyle name="Porcentual 2 7 6" xfId="3237" xr:uid="{00000000-0005-0000-0000-000090260000}"/>
    <cellStyle name="Porcentual 2 7 6 2" xfId="6811" xr:uid="{00000000-0005-0000-0000-000091260000}"/>
    <cellStyle name="Porcentual 2 7 7" xfId="3238" xr:uid="{00000000-0005-0000-0000-000092260000}"/>
    <cellStyle name="Porcentual 2 7 7 2" xfId="6812" xr:uid="{00000000-0005-0000-0000-000093260000}"/>
    <cellStyle name="Porcentual 2 7 8" xfId="3239" xr:uid="{00000000-0005-0000-0000-000094260000}"/>
    <cellStyle name="Porcentual 2 7 8 2" xfId="6813" xr:uid="{00000000-0005-0000-0000-000095260000}"/>
    <cellStyle name="Porcentual 2 7 9" xfId="3240" xr:uid="{00000000-0005-0000-0000-000096260000}"/>
    <cellStyle name="Porcentual 2 7 9 2" xfId="6814" xr:uid="{00000000-0005-0000-0000-000097260000}"/>
    <cellStyle name="Porcentual 2 70" xfId="3241" xr:uid="{00000000-0005-0000-0000-000098260000}"/>
    <cellStyle name="Porcentual 2 70 2" xfId="8820" xr:uid="{00000000-0005-0000-0000-000099260000}"/>
    <cellStyle name="Porcentual 2 71" xfId="3242" xr:uid="{00000000-0005-0000-0000-00009A260000}"/>
    <cellStyle name="Porcentual 2 71 2" xfId="8821" xr:uid="{00000000-0005-0000-0000-00009B260000}"/>
    <cellStyle name="Porcentual 2 72" xfId="3243" xr:uid="{00000000-0005-0000-0000-00009C260000}"/>
    <cellStyle name="Porcentual 2 72 2" xfId="8822" xr:uid="{00000000-0005-0000-0000-00009D260000}"/>
    <cellStyle name="Porcentual 2 73" xfId="3244" xr:uid="{00000000-0005-0000-0000-00009E260000}"/>
    <cellStyle name="Porcentual 2 73 2" xfId="8823" xr:uid="{00000000-0005-0000-0000-00009F260000}"/>
    <cellStyle name="Porcentual 2 74" xfId="3245" xr:uid="{00000000-0005-0000-0000-0000A0260000}"/>
    <cellStyle name="Porcentual 2 74 2" xfId="8824" xr:uid="{00000000-0005-0000-0000-0000A1260000}"/>
    <cellStyle name="Porcentual 2 75" xfId="3246" xr:uid="{00000000-0005-0000-0000-0000A2260000}"/>
    <cellStyle name="Porcentual 2 75 2" xfId="8825" xr:uid="{00000000-0005-0000-0000-0000A3260000}"/>
    <cellStyle name="Porcentual 2 76" xfId="3247" xr:uid="{00000000-0005-0000-0000-0000A4260000}"/>
    <cellStyle name="Porcentual 2 76 2" xfId="8826" xr:uid="{00000000-0005-0000-0000-0000A5260000}"/>
    <cellStyle name="Porcentual 2 77" xfId="3248" xr:uid="{00000000-0005-0000-0000-0000A6260000}"/>
    <cellStyle name="Porcentual 2 77 2" xfId="8827" xr:uid="{00000000-0005-0000-0000-0000A7260000}"/>
    <cellStyle name="Porcentual 2 78" xfId="3249" xr:uid="{00000000-0005-0000-0000-0000A8260000}"/>
    <cellStyle name="Porcentual 2 78 2" xfId="8828" xr:uid="{00000000-0005-0000-0000-0000A9260000}"/>
    <cellStyle name="Porcentual 2 79" xfId="3250" xr:uid="{00000000-0005-0000-0000-0000AA260000}"/>
    <cellStyle name="Porcentual 2 79 2" xfId="8829" xr:uid="{00000000-0005-0000-0000-0000AB260000}"/>
    <cellStyle name="Porcentual 2 8" xfId="3251" xr:uid="{00000000-0005-0000-0000-0000AC260000}"/>
    <cellStyle name="Porcentual 2 8 10" xfId="3252" xr:uid="{00000000-0005-0000-0000-0000AD260000}"/>
    <cellStyle name="Porcentual 2 8 10 2" xfId="6815" xr:uid="{00000000-0005-0000-0000-0000AE260000}"/>
    <cellStyle name="Porcentual 2 8 11" xfId="3253" xr:uid="{00000000-0005-0000-0000-0000AF260000}"/>
    <cellStyle name="Porcentual 2 8 11 2" xfId="6816" xr:uid="{00000000-0005-0000-0000-0000B0260000}"/>
    <cellStyle name="Porcentual 2 8 12" xfId="3254" xr:uid="{00000000-0005-0000-0000-0000B1260000}"/>
    <cellStyle name="Porcentual 2 8 12 2" xfId="6817" xr:uid="{00000000-0005-0000-0000-0000B2260000}"/>
    <cellStyle name="Porcentual 2 8 13" xfId="3255" xr:uid="{00000000-0005-0000-0000-0000B3260000}"/>
    <cellStyle name="Porcentual 2 8 13 2" xfId="6818" xr:uid="{00000000-0005-0000-0000-0000B4260000}"/>
    <cellStyle name="Porcentual 2 8 14" xfId="3256" xr:uid="{00000000-0005-0000-0000-0000B5260000}"/>
    <cellStyle name="Porcentual 2 8 14 2" xfId="6819" xr:uid="{00000000-0005-0000-0000-0000B6260000}"/>
    <cellStyle name="Porcentual 2 8 15" xfId="3257" xr:uid="{00000000-0005-0000-0000-0000B7260000}"/>
    <cellStyle name="Porcentual 2 8 15 2" xfId="6820" xr:uid="{00000000-0005-0000-0000-0000B8260000}"/>
    <cellStyle name="Porcentual 2 8 16" xfId="3258" xr:uid="{00000000-0005-0000-0000-0000B9260000}"/>
    <cellStyle name="Porcentual 2 8 16 2" xfId="6821" xr:uid="{00000000-0005-0000-0000-0000BA260000}"/>
    <cellStyle name="Porcentual 2 8 17" xfId="3259" xr:uid="{00000000-0005-0000-0000-0000BB260000}"/>
    <cellStyle name="Porcentual 2 8 17 2" xfId="6822" xr:uid="{00000000-0005-0000-0000-0000BC260000}"/>
    <cellStyle name="Porcentual 2 8 18" xfId="3260" xr:uid="{00000000-0005-0000-0000-0000BD260000}"/>
    <cellStyle name="Porcentual 2 8 18 2" xfId="6823" xr:uid="{00000000-0005-0000-0000-0000BE260000}"/>
    <cellStyle name="Porcentual 2 8 19" xfId="3261" xr:uid="{00000000-0005-0000-0000-0000BF260000}"/>
    <cellStyle name="Porcentual 2 8 19 2" xfId="6824" xr:uid="{00000000-0005-0000-0000-0000C0260000}"/>
    <cellStyle name="Porcentual 2 8 2" xfId="3262" xr:uid="{00000000-0005-0000-0000-0000C1260000}"/>
    <cellStyle name="Porcentual 2 8 2 2" xfId="6825" xr:uid="{00000000-0005-0000-0000-0000C2260000}"/>
    <cellStyle name="Porcentual 2 8 20" xfId="3263" xr:uid="{00000000-0005-0000-0000-0000C3260000}"/>
    <cellStyle name="Porcentual 2 8 20 2" xfId="6826" xr:uid="{00000000-0005-0000-0000-0000C4260000}"/>
    <cellStyle name="Porcentual 2 8 21" xfId="3264" xr:uid="{00000000-0005-0000-0000-0000C5260000}"/>
    <cellStyle name="Porcentual 2 8 21 2" xfId="6827" xr:uid="{00000000-0005-0000-0000-0000C6260000}"/>
    <cellStyle name="Porcentual 2 8 22" xfId="3265" xr:uid="{00000000-0005-0000-0000-0000C7260000}"/>
    <cellStyle name="Porcentual 2 8 22 2" xfId="6828" xr:uid="{00000000-0005-0000-0000-0000C8260000}"/>
    <cellStyle name="Porcentual 2 8 23" xfId="3266" xr:uid="{00000000-0005-0000-0000-0000C9260000}"/>
    <cellStyle name="Porcentual 2 8 23 2" xfId="6829" xr:uid="{00000000-0005-0000-0000-0000CA260000}"/>
    <cellStyle name="Porcentual 2 8 24" xfId="3267" xr:uid="{00000000-0005-0000-0000-0000CB260000}"/>
    <cellStyle name="Porcentual 2 8 24 2" xfId="6830" xr:uid="{00000000-0005-0000-0000-0000CC260000}"/>
    <cellStyle name="Porcentual 2 8 25" xfId="3268" xr:uid="{00000000-0005-0000-0000-0000CD260000}"/>
    <cellStyle name="Porcentual 2 8 25 2" xfId="6831" xr:uid="{00000000-0005-0000-0000-0000CE260000}"/>
    <cellStyle name="Porcentual 2 8 26" xfId="3269" xr:uid="{00000000-0005-0000-0000-0000CF260000}"/>
    <cellStyle name="Porcentual 2 8 26 2" xfId="6832" xr:uid="{00000000-0005-0000-0000-0000D0260000}"/>
    <cellStyle name="Porcentual 2 8 27" xfId="3270" xr:uid="{00000000-0005-0000-0000-0000D1260000}"/>
    <cellStyle name="Porcentual 2 8 27 2" xfId="6833" xr:uid="{00000000-0005-0000-0000-0000D2260000}"/>
    <cellStyle name="Porcentual 2 8 28" xfId="3271" xr:uid="{00000000-0005-0000-0000-0000D3260000}"/>
    <cellStyle name="Porcentual 2 8 28 2" xfId="6834" xr:uid="{00000000-0005-0000-0000-0000D4260000}"/>
    <cellStyle name="Porcentual 2 8 29" xfId="6835" xr:uid="{00000000-0005-0000-0000-0000D5260000}"/>
    <cellStyle name="Porcentual 2 8 3" xfId="3272" xr:uid="{00000000-0005-0000-0000-0000D6260000}"/>
    <cellStyle name="Porcentual 2 8 3 2" xfId="6836" xr:uid="{00000000-0005-0000-0000-0000D7260000}"/>
    <cellStyle name="Porcentual 2 8 4" xfId="3273" xr:uid="{00000000-0005-0000-0000-0000D8260000}"/>
    <cellStyle name="Porcentual 2 8 4 2" xfId="6837" xr:uid="{00000000-0005-0000-0000-0000D9260000}"/>
    <cellStyle name="Porcentual 2 8 5" xfId="3274" xr:uid="{00000000-0005-0000-0000-0000DA260000}"/>
    <cellStyle name="Porcentual 2 8 5 2" xfId="6838" xr:uid="{00000000-0005-0000-0000-0000DB260000}"/>
    <cellStyle name="Porcentual 2 8 6" xfId="3275" xr:uid="{00000000-0005-0000-0000-0000DC260000}"/>
    <cellStyle name="Porcentual 2 8 6 2" xfId="6839" xr:uid="{00000000-0005-0000-0000-0000DD260000}"/>
    <cellStyle name="Porcentual 2 8 7" xfId="3276" xr:uid="{00000000-0005-0000-0000-0000DE260000}"/>
    <cellStyle name="Porcentual 2 8 7 2" xfId="6840" xr:uid="{00000000-0005-0000-0000-0000DF260000}"/>
    <cellStyle name="Porcentual 2 8 8" xfId="3277" xr:uid="{00000000-0005-0000-0000-0000E0260000}"/>
    <cellStyle name="Porcentual 2 8 8 2" xfId="6841" xr:uid="{00000000-0005-0000-0000-0000E1260000}"/>
    <cellStyle name="Porcentual 2 8 9" xfId="3278" xr:uid="{00000000-0005-0000-0000-0000E2260000}"/>
    <cellStyle name="Porcentual 2 8 9 2" xfId="6842" xr:uid="{00000000-0005-0000-0000-0000E3260000}"/>
    <cellStyle name="Porcentual 2 80" xfId="3279" xr:uid="{00000000-0005-0000-0000-0000E4260000}"/>
    <cellStyle name="Porcentual 2 80 2" xfId="8830" xr:uid="{00000000-0005-0000-0000-0000E5260000}"/>
    <cellStyle name="Porcentual 2 81" xfId="3280" xr:uid="{00000000-0005-0000-0000-0000E6260000}"/>
    <cellStyle name="Porcentual 2 81 2" xfId="8831" xr:uid="{00000000-0005-0000-0000-0000E7260000}"/>
    <cellStyle name="Porcentual 2 82" xfId="3281" xr:uid="{00000000-0005-0000-0000-0000E8260000}"/>
    <cellStyle name="Porcentual 2 82 2" xfId="8832" xr:uid="{00000000-0005-0000-0000-0000E9260000}"/>
    <cellStyle name="Porcentual 2 83" xfId="3282" xr:uid="{00000000-0005-0000-0000-0000EA260000}"/>
    <cellStyle name="Porcentual 2 83 2" xfId="8833" xr:uid="{00000000-0005-0000-0000-0000EB260000}"/>
    <cellStyle name="Porcentual 2 84" xfId="3283" xr:uid="{00000000-0005-0000-0000-0000EC260000}"/>
    <cellStyle name="Porcentual 2 84 2" xfId="8834" xr:uid="{00000000-0005-0000-0000-0000ED260000}"/>
    <cellStyle name="Porcentual 2 85" xfId="3284" xr:uid="{00000000-0005-0000-0000-0000EE260000}"/>
    <cellStyle name="Porcentual 2 85 2" xfId="8835" xr:uid="{00000000-0005-0000-0000-0000EF260000}"/>
    <cellStyle name="Porcentual 2 86" xfId="3285" xr:uid="{00000000-0005-0000-0000-0000F0260000}"/>
    <cellStyle name="Porcentual 2 86 2" xfId="8836" xr:uid="{00000000-0005-0000-0000-0000F1260000}"/>
    <cellStyle name="Porcentual 2 87" xfId="3286" xr:uid="{00000000-0005-0000-0000-0000F2260000}"/>
    <cellStyle name="Porcentual 2 87 2" xfId="8837" xr:uid="{00000000-0005-0000-0000-0000F3260000}"/>
    <cellStyle name="Porcentual 2 88" xfId="3287" xr:uid="{00000000-0005-0000-0000-0000F4260000}"/>
    <cellStyle name="Porcentual 2 88 2" xfId="8838" xr:uid="{00000000-0005-0000-0000-0000F5260000}"/>
    <cellStyle name="Porcentual 2 89" xfId="3288" xr:uid="{00000000-0005-0000-0000-0000F6260000}"/>
    <cellStyle name="Porcentual 2 89 2" xfId="8839" xr:uid="{00000000-0005-0000-0000-0000F7260000}"/>
    <cellStyle name="Porcentual 2 9" xfId="3289" xr:uid="{00000000-0005-0000-0000-0000F8260000}"/>
    <cellStyle name="Porcentual 2 9 10" xfId="3290" xr:uid="{00000000-0005-0000-0000-0000F9260000}"/>
    <cellStyle name="Porcentual 2 9 10 2" xfId="6843" xr:uid="{00000000-0005-0000-0000-0000FA260000}"/>
    <cellStyle name="Porcentual 2 9 11" xfId="3291" xr:uid="{00000000-0005-0000-0000-0000FB260000}"/>
    <cellStyle name="Porcentual 2 9 11 2" xfId="6844" xr:uid="{00000000-0005-0000-0000-0000FC260000}"/>
    <cellStyle name="Porcentual 2 9 12" xfId="3292" xr:uid="{00000000-0005-0000-0000-0000FD260000}"/>
    <cellStyle name="Porcentual 2 9 12 2" xfId="6845" xr:uid="{00000000-0005-0000-0000-0000FE260000}"/>
    <cellStyle name="Porcentual 2 9 13" xfId="3293" xr:uid="{00000000-0005-0000-0000-0000FF260000}"/>
    <cellStyle name="Porcentual 2 9 13 2" xfId="6846" xr:uid="{00000000-0005-0000-0000-000000270000}"/>
    <cellStyle name="Porcentual 2 9 14" xfId="3294" xr:uid="{00000000-0005-0000-0000-000001270000}"/>
    <cellStyle name="Porcentual 2 9 14 2" xfId="6847" xr:uid="{00000000-0005-0000-0000-000002270000}"/>
    <cellStyle name="Porcentual 2 9 15" xfId="3295" xr:uid="{00000000-0005-0000-0000-000003270000}"/>
    <cellStyle name="Porcentual 2 9 15 2" xfId="6848" xr:uid="{00000000-0005-0000-0000-000004270000}"/>
    <cellStyle name="Porcentual 2 9 16" xfId="3296" xr:uid="{00000000-0005-0000-0000-000005270000}"/>
    <cellStyle name="Porcentual 2 9 16 2" xfId="6849" xr:uid="{00000000-0005-0000-0000-000006270000}"/>
    <cellStyle name="Porcentual 2 9 17" xfId="3297" xr:uid="{00000000-0005-0000-0000-000007270000}"/>
    <cellStyle name="Porcentual 2 9 17 2" xfId="6850" xr:uid="{00000000-0005-0000-0000-000008270000}"/>
    <cellStyle name="Porcentual 2 9 18" xfId="3298" xr:uid="{00000000-0005-0000-0000-000009270000}"/>
    <cellStyle name="Porcentual 2 9 18 2" xfId="6851" xr:uid="{00000000-0005-0000-0000-00000A270000}"/>
    <cellStyle name="Porcentual 2 9 19" xfId="3299" xr:uid="{00000000-0005-0000-0000-00000B270000}"/>
    <cellStyle name="Porcentual 2 9 19 2" xfId="6852" xr:uid="{00000000-0005-0000-0000-00000C270000}"/>
    <cellStyle name="Porcentual 2 9 2" xfId="3300" xr:uid="{00000000-0005-0000-0000-00000D270000}"/>
    <cellStyle name="Porcentual 2 9 2 2" xfId="6853" xr:uid="{00000000-0005-0000-0000-00000E270000}"/>
    <cellStyle name="Porcentual 2 9 20" xfId="3301" xr:uid="{00000000-0005-0000-0000-00000F270000}"/>
    <cellStyle name="Porcentual 2 9 20 2" xfId="6854" xr:uid="{00000000-0005-0000-0000-000010270000}"/>
    <cellStyle name="Porcentual 2 9 21" xfId="3302" xr:uid="{00000000-0005-0000-0000-000011270000}"/>
    <cellStyle name="Porcentual 2 9 21 2" xfId="6855" xr:uid="{00000000-0005-0000-0000-000012270000}"/>
    <cellStyle name="Porcentual 2 9 22" xfId="3303" xr:uid="{00000000-0005-0000-0000-000013270000}"/>
    <cellStyle name="Porcentual 2 9 22 2" xfId="6856" xr:uid="{00000000-0005-0000-0000-000014270000}"/>
    <cellStyle name="Porcentual 2 9 23" xfId="3304" xr:uid="{00000000-0005-0000-0000-000015270000}"/>
    <cellStyle name="Porcentual 2 9 23 2" xfId="6857" xr:uid="{00000000-0005-0000-0000-000016270000}"/>
    <cellStyle name="Porcentual 2 9 24" xfId="3305" xr:uid="{00000000-0005-0000-0000-000017270000}"/>
    <cellStyle name="Porcentual 2 9 24 2" xfId="6858" xr:uid="{00000000-0005-0000-0000-000018270000}"/>
    <cellStyle name="Porcentual 2 9 25" xfId="3306" xr:uid="{00000000-0005-0000-0000-000019270000}"/>
    <cellStyle name="Porcentual 2 9 25 2" xfId="6859" xr:uid="{00000000-0005-0000-0000-00001A270000}"/>
    <cellStyle name="Porcentual 2 9 26" xfId="3307" xr:uid="{00000000-0005-0000-0000-00001B270000}"/>
    <cellStyle name="Porcentual 2 9 26 2" xfId="6860" xr:uid="{00000000-0005-0000-0000-00001C270000}"/>
    <cellStyle name="Porcentual 2 9 27" xfId="3308" xr:uid="{00000000-0005-0000-0000-00001D270000}"/>
    <cellStyle name="Porcentual 2 9 27 2" xfId="6861" xr:uid="{00000000-0005-0000-0000-00001E270000}"/>
    <cellStyle name="Porcentual 2 9 28" xfId="3309" xr:uid="{00000000-0005-0000-0000-00001F270000}"/>
    <cellStyle name="Porcentual 2 9 28 2" xfId="6862" xr:uid="{00000000-0005-0000-0000-000020270000}"/>
    <cellStyle name="Porcentual 2 9 29" xfId="6863" xr:uid="{00000000-0005-0000-0000-000021270000}"/>
    <cellStyle name="Porcentual 2 9 3" xfId="3310" xr:uid="{00000000-0005-0000-0000-000022270000}"/>
    <cellStyle name="Porcentual 2 9 3 2" xfId="6864" xr:uid="{00000000-0005-0000-0000-000023270000}"/>
    <cellStyle name="Porcentual 2 9 4" xfId="3311" xr:uid="{00000000-0005-0000-0000-000024270000}"/>
    <cellStyle name="Porcentual 2 9 4 2" xfId="6865" xr:uid="{00000000-0005-0000-0000-000025270000}"/>
    <cellStyle name="Porcentual 2 9 5" xfId="3312" xr:uid="{00000000-0005-0000-0000-000026270000}"/>
    <cellStyle name="Porcentual 2 9 5 2" xfId="6866" xr:uid="{00000000-0005-0000-0000-000027270000}"/>
    <cellStyle name="Porcentual 2 9 6" xfId="3313" xr:uid="{00000000-0005-0000-0000-000028270000}"/>
    <cellStyle name="Porcentual 2 9 6 2" xfId="6867" xr:uid="{00000000-0005-0000-0000-000029270000}"/>
    <cellStyle name="Porcentual 2 9 7" xfId="3314" xr:uid="{00000000-0005-0000-0000-00002A270000}"/>
    <cellStyle name="Porcentual 2 9 7 2" xfId="6868" xr:uid="{00000000-0005-0000-0000-00002B270000}"/>
    <cellStyle name="Porcentual 2 9 8" xfId="3315" xr:uid="{00000000-0005-0000-0000-00002C270000}"/>
    <cellStyle name="Porcentual 2 9 8 2" xfId="6869" xr:uid="{00000000-0005-0000-0000-00002D270000}"/>
    <cellStyle name="Porcentual 2 9 9" xfId="3316" xr:uid="{00000000-0005-0000-0000-00002E270000}"/>
    <cellStyle name="Porcentual 2 9 9 2" xfId="6870" xr:uid="{00000000-0005-0000-0000-00002F270000}"/>
    <cellStyle name="Porcentual 2 90" xfId="3317" xr:uid="{00000000-0005-0000-0000-000030270000}"/>
    <cellStyle name="Porcentual 2 90 2" xfId="8840" xr:uid="{00000000-0005-0000-0000-000031270000}"/>
    <cellStyle name="Porcentual 2 91" xfId="3318" xr:uid="{00000000-0005-0000-0000-000032270000}"/>
    <cellStyle name="Porcentual 2 91 2" xfId="8841" xr:uid="{00000000-0005-0000-0000-000033270000}"/>
    <cellStyle name="Porcentual 2 92" xfId="3319" xr:uid="{00000000-0005-0000-0000-000034270000}"/>
    <cellStyle name="Porcentual 2 92 2" xfId="8842" xr:uid="{00000000-0005-0000-0000-000035270000}"/>
    <cellStyle name="Porcentual 2 93" xfId="3320" xr:uid="{00000000-0005-0000-0000-000036270000}"/>
    <cellStyle name="Porcentual 2 93 2" xfId="8843" xr:uid="{00000000-0005-0000-0000-000037270000}"/>
    <cellStyle name="Porcentual 2 94" xfId="3321" xr:uid="{00000000-0005-0000-0000-000038270000}"/>
    <cellStyle name="Porcentual 2 94 2" xfId="8844" xr:uid="{00000000-0005-0000-0000-000039270000}"/>
    <cellStyle name="Porcentual 2 95" xfId="3322" xr:uid="{00000000-0005-0000-0000-00003A270000}"/>
    <cellStyle name="Porcentual 2 95 2" xfId="8845" xr:uid="{00000000-0005-0000-0000-00003B270000}"/>
    <cellStyle name="Porcentual 2 96" xfId="3323" xr:uid="{00000000-0005-0000-0000-00003C270000}"/>
    <cellStyle name="Porcentual 2 96 2" xfId="8846" xr:uid="{00000000-0005-0000-0000-00003D270000}"/>
    <cellStyle name="Porcentual 2 97" xfId="3324" xr:uid="{00000000-0005-0000-0000-00003E270000}"/>
    <cellStyle name="Porcentual 2 97 2" xfId="8847" xr:uid="{00000000-0005-0000-0000-00003F270000}"/>
    <cellStyle name="Porcentual 2 98" xfId="3325" xr:uid="{00000000-0005-0000-0000-000040270000}"/>
    <cellStyle name="Porcentual 2 98 2" xfId="8848" xr:uid="{00000000-0005-0000-0000-000041270000}"/>
    <cellStyle name="Porcentual 2 99" xfId="3326" xr:uid="{00000000-0005-0000-0000-000042270000}"/>
    <cellStyle name="Porcentual 2 99 2" xfId="8849" xr:uid="{00000000-0005-0000-0000-000043270000}"/>
    <cellStyle name="Porcentual 20" xfId="3327" xr:uid="{00000000-0005-0000-0000-000044270000}"/>
    <cellStyle name="Porcentual 20 10" xfId="3328" xr:uid="{00000000-0005-0000-0000-000045270000}"/>
    <cellStyle name="Porcentual 20 10 2" xfId="6871" xr:uid="{00000000-0005-0000-0000-000046270000}"/>
    <cellStyle name="Porcentual 20 10 3" xfId="8851" xr:uid="{00000000-0005-0000-0000-000047270000}"/>
    <cellStyle name="Porcentual 20 11" xfId="3329" xr:uid="{00000000-0005-0000-0000-000048270000}"/>
    <cellStyle name="Porcentual 20 11 2" xfId="6872" xr:uid="{00000000-0005-0000-0000-000049270000}"/>
    <cellStyle name="Porcentual 20 11 3" xfId="8852" xr:uid="{00000000-0005-0000-0000-00004A270000}"/>
    <cellStyle name="Porcentual 20 12" xfId="3330" xr:uid="{00000000-0005-0000-0000-00004B270000}"/>
    <cellStyle name="Porcentual 20 12 2" xfId="6873" xr:uid="{00000000-0005-0000-0000-00004C270000}"/>
    <cellStyle name="Porcentual 20 12 3" xfId="8853" xr:uid="{00000000-0005-0000-0000-00004D270000}"/>
    <cellStyle name="Porcentual 20 13" xfId="3331" xr:uid="{00000000-0005-0000-0000-00004E270000}"/>
    <cellStyle name="Porcentual 20 13 2" xfId="6874" xr:uid="{00000000-0005-0000-0000-00004F270000}"/>
    <cellStyle name="Porcentual 20 13 3" xfId="8854" xr:uid="{00000000-0005-0000-0000-000050270000}"/>
    <cellStyle name="Porcentual 20 14" xfId="3332" xr:uid="{00000000-0005-0000-0000-000051270000}"/>
    <cellStyle name="Porcentual 20 14 2" xfId="6875" xr:uid="{00000000-0005-0000-0000-000052270000}"/>
    <cellStyle name="Porcentual 20 14 3" xfId="8855" xr:uid="{00000000-0005-0000-0000-000053270000}"/>
    <cellStyle name="Porcentual 20 15" xfId="3333" xr:uid="{00000000-0005-0000-0000-000054270000}"/>
    <cellStyle name="Porcentual 20 15 2" xfId="6876" xr:uid="{00000000-0005-0000-0000-000055270000}"/>
    <cellStyle name="Porcentual 20 15 3" xfId="8856" xr:uid="{00000000-0005-0000-0000-000056270000}"/>
    <cellStyle name="Porcentual 20 16" xfId="3334" xr:uid="{00000000-0005-0000-0000-000057270000}"/>
    <cellStyle name="Porcentual 20 16 2" xfId="6877" xr:uid="{00000000-0005-0000-0000-000058270000}"/>
    <cellStyle name="Porcentual 20 16 3" xfId="8857" xr:uid="{00000000-0005-0000-0000-000059270000}"/>
    <cellStyle name="Porcentual 20 17" xfId="3335" xr:uid="{00000000-0005-0000-0000-00005A270000}"/>
    <cellStyle name="Porcentual 20 17 2" xfId="6878" xr:uid="{00000000-0005-0000-0000-00005B270000}"/>
    <cellStyle name="Porcentual 20 17 3" xfId="8858" xr:uid="{00000000-0005-0000-0000-00005C270000}"/>
    <cellStyle name="Porcentual 20 18" xfId="3336" xr:uid="{00000000-0005-0000-0000-00005D270000}"/>
    <cellStyle name="Porcentual 20 18 2" xfId="6879" xr:uid="{00000000-0005-0000-0000-00005E270000}"/>
    <cellStyle name="Porcentual 20 18 3" xfId="8859" xr:uid="{00000000-0005-0000-0000-00005F270000}"/>
    <cellStyle name="Porcentual 20 19" xfId="3337" xr:uid="{00000000-0005-0000-0000-000060270000}"/>
    <cellStyle name="Porcentual 20 19 2" xfId="6880" xr:uid="{00000000-0005-0000-0000-000061270000}"/>
    <cellStyle name="Porcentual 20 19 3" xfId="8860" xr:uid="{00000000-0005-0000-0000-000062270000}"/>
    <cellStyle name="Porcentual 20 2" xfId="3338" xr:uid="{00000000-0005-0000-0000-000063270000}"/>
    <cellStyle name="Porcentual 20 2 2" xfId="6881" xr:uid="{00000000-0005-0000-0000-000064270000}"/>
    <cellStyle name="Porcentual 20 2 3" xfId="8861" xr:uid="{00000000-0005-0000-0000-000065270000}"/>
    <cellStyle name="Porcentual 20 20" xfId="3339" xr:uid="{00000000-0005-0000-0000-000066270000}"/>
    <cellStyle name="Porcentual 20 20 2" xfId="6882" xr:uid="{00000000-0005-0000-0000-000067270000}"/>
    <cellStyle name="Porcentual 20 20 3" xfId="8862" xr:uid="{00000000-0005-0000-0000-000068270000}"/>
    <cellStyle name="Porcentual 20 21" xfId="3340" xr:uid="{00000000-0005-0000-0000-000069270000}"/>
    <cellStyle name="Porcentual 20 21 2" xfId="6883" xr:uid="{00000000-0005-0000-0000-00006A270000}"/>
    <cellStyle name="Porcentual 20 21 3" xfId="8863" xr:uid="{00000000-0005-0000-0000-00006B270000}"/>
    <cellStyle name="Porcentual 20 22" xfId="3341" xr:uid="{00000000-0005-0000-0000-00006C270000}"/>
    <cellStyle name="Porcentual 20 22 2" xfId="6884" xr:uid="{00000000-0005-0000-0000-00006D270000}"/>
    <cellStyle name="Porcentual 20 22 3" xfId="8864" xr:uid="{00000000-0005-0000-0000-00006E270000}"/>
    <cellStyle name="Porcentual 20 23" xfId="3342" xr:uid="{00000000-0005-0000-0000-00006F270000}"/>
    <cellStyle name="Porcentual 20 23 2" xfId="6885" xr:uid="{00000000-0005-0000-0000-000070270000}"/>
    <cellStyle name="Porcentual 20 23 3" xfId="8865" xr:uid="{00000000-0005-0000-0000-000071270000}"/>
    <cellStyle name="Porcentual 20 24" xfId="3343" xr:uid="{00000000-0005-0000-0000-000072270000}"/>
    <cellStyle name="Porcentual 20 24 2" xfId="6886" xr:uid="{00000000-0005-0000-0000-000073270000}"/>
    <cellStyle name="Porcentual 20 24 3" xfId="8866" xr:uid="{00000000-0005-0000-0000-000074270000}"/>
    <cellStyle name="Porcentual 20 25" xfId="3344" xr:uid="{00000000-0005-0000-0000-000075270000}"/>
    <cellStyle name="Porcentual 20 25 2" xfId="6887" xr:uid="{00000000-0005-0000-0000-000076270000}"/>
    <cellStyle name="Porcentual 20 25 3" xfId="8867" xr:uid="{00000000-0005-0000-0000-000077270000}"/>
    <cellStyle name="Porcentual 20 26" xfId="3345" xr:uid="{00000000-0005-0000-0000-000078270000}"/>
    <cellStyle name="Porcentual 20 26 2" xfId="6888" xr:uid="{00000000-0005-0000-0000-000079270000}"/>
    <cellStyle name="Porcentual 20 26 3" xfId="8868" xr:uid="{00000000-0005-0000-0000-00007A270000}"/>
    <cellStyle name="Porcentual 20 27" xfId="3346" xr:uid="{00000000-0005-0000-0000-00007B270000}"/>
    <cellStyle name="Porcentual 20 27 2" xfId="6889" xr:uid="{00000000-0005-0000-0000-00007C270000}"/>
    <cellStyle name="Porcentual 20 27 3" xfId="8869" xr:uid="{00000000-0005-0000-0000-00007D270000}"/>
    <cellStyle name="Porcentual 20 28" xfId="3347" xr:uid="{00000000-0005-0000-0000-00007E270000}"/>
    <cellStyle name="Porcentual 20 28 2" xfId="6890" xr:uid="{00000000-0005-0000-0000-00007F270000}"/>
    <cellStyle name="Porcentual 20 28 3" xfId="8870" xr:uid="{00000000-0005-0000-0000-000080270000}"/>
    <cellStyle name="Porcentual 20 29" xfId="6891" xr:uid="{00000000-0005-0000-0000-000081270000}"/>
    <cellStyle name="Porcentual 20 3" xfId="3348" xr:uid="{00000000-0005-0000-0000-000082270000}"/>
    <cellStyle name="Porcentual 20 3 2" xfId="6892" xr:uid="{00000000-0005-0000-0000-000083270000}"/>
    <cellStyle name="Porcentual 20 3 3" xfId="8871" xr:uid="{00000000-0005-0000-0000-000084270000}"/>
    <cellStyle name="Porcentual 20 30" xfId="8850" xr:uid="{00000000-0005-0000-0000-000085270000}"/>
    <cellStyle name="Porcentual 20 4" xfId="3349" xr:uid="{00000000-0005-0000-0000-000086270000}"/>
    <cellStyle name="Porcentual 20 4 2" xfId="6893" xr:uid="{00000000-0005-0000-0000-000087270000}"/>
    <cellStyle name="Porcentual 20 4 3" xfId="8872" xr:uid="{00000000-0005-0000-0000-000088270000}"/>
    <cellStyle name="Porcentual 20 5" xfId="3350" xr:uid="{00000000-0005-0000-0000-000089270000}"/>
    <cellStyle name="Porcentual 20 5 2" xfId="6894" xr:uid="{00000000-0005-0000-0000-00008A270000}"/>
    <cellStyle name="Porcentual 20 5 3" xfId="8873" xr:uid="{00000000-0005-0000-0000-00008B270000}"/>
    <cellStyle name="Porcentual 20 6" xfId="3351" xr:uid="{00000000-0005-0000-0000-00008C270000}"/>
    <cellStyle name="Porcentual 20 6 2" xfId="6895" xr:uid="{00000000-0005-0000-0000-00008D270000}"/>
    <cellStyle name="Porcentual 20 6 3" xfId="8874" xr:uid="{00000000-0005-0000-0000-00008E270000}"/>
    <cellStyle name="Porcentual 20 7" xfId="3352" xr:uid="{00000000-0005-0000-0000-00008F270000}"/>
    <cellStyle name="Porcentual 20 7 2" xfId="6896" xr:uid="{00000000-0005-0000-0000-000090270000}"/>
    <cellStyle name="Porcentual 20 7 3" xfId="8875" xr:uid="{00000000-0005-0000-0000-000091270000}"/>
    <cellStyle name="Porcentual 20 8" xfId="3353" xr:uid="{00000000-0005-0000-0000-000092270000}"/>
    <cellStyle name="Porcentual 20 8 2" xfId="6897" xr:uid="{00000000-0005-0000-0000-000093270000}"/>
    <cellStyle name="Porcentual 20 8 3" xfId="8876" xr:uid="{00000000-0005-0000-0000-000094270000}"/>
    <cellStyle name="Porcentual 20 9" xfId="3354" xr:uid="{00000000-0005-0000-0000-000095270000}"/>
    <cellStyle name="Porcentual 20 9 2" xfId="6898" xr:uid="{00000000-0005-0000-0000-000096270000}"/>
    <cellStyle name="Porcentual 20 9 3" xfId="8877" xr:uid="{00000000-0005-0000-0000-000097270000}"/>
    <cellStyle name="Porcentual 201" xfId="3355" xr:uid="{00000000-0005-0000-0000-000098270000}"/>
    <cellStyle name="Porcentual 201 10" xfId="3356" xr:uid="{00000000-0005-0000-0000-000099270000}"/>
    <cellStyle name="Porcentual 201 10 2" xfId="6899" xr:uid="{00000000-0005-0000-0000-00009A270000}"/>
    <cellStyle name="Porcentual 201 10 3" xfId="8879" xr:uid="{00000000-0005-0000-0000-00009B270000}"/>
    <cellStyle name="Porcentual 201 11" xfId="3357" xr:uid="{00000000-0005-0000-0000-00009C270000}"/>
    <cellStyle name="Porcentual 201 11 2" xfId="6900" xr:uid="{00000000-0005-0000-0000-00009D270000}"/>
    <cellStyle name="Porcentual 201 11 3" xfId="8880" xr:uid="{00000000-0005-0000-0000-00009E270000}"/>
    <cellStyle name="Porcentual 201 12" xfId="3358" xr:uid="{00000000-0005-0000-0000-00009F270000}"/>
    <cellStyle name="Porcentual 201 12 2" xfId="6901" xr:uid="{00000000-0005-0000-0000-0000A0270000}"/>
    <cellStyle name="Porcentual 201 12 3" xfId="8881" xr:uid="{00000000-0005-0000-0000-0000A1270000}"/>
    <cellStyle name="Porcentual 201 13" xfId="3359" xr:uid="{00000000-0005-0000-0000-0000A2270000}"/>
    <cellStyle name="Porcentual 201 13 2" xfId="6902" xr:uid="{00000000-0005-0000-0000-0000A3270000}"/>
    <cellStyle name="Porcentual 201 13 3" xfId="8882" xr:uid="{00000000-0005-0000-0000-0000A4270000}"/>
    <cellStyle name="Porcentual 201 14" xfId="3360" xr:uid="{00000000-0005-0000-0000-0000A5270000}"/>
    <cellStyle name="Porcentual 201 14 2" xfId="6903" xr:uid="{00000000-0005-0000-0000-0000A6270000}"/>
    <cellStyle name="Porcentual 201 14 3" xfId="8883" xr:uid="{00000000-0005-0000-0000-0000A7270000}"/>
    <cellStyle name="Porcentual 201 15" xfId="3361" xr:uid="{00000000-0005-0000-0000-0000A8270000}"/>
    <cellStyle name="Porcentual 201 15 2" xfId="6904" xr:uid="{00000000-0005-0000-0000-0000A9270000}"/>
    <cellStyle name="Porcentual 201 15 3" xfId="8884" xr:uid="{00000000-0005-0000-0000-0000AA270000}"/>
    <cellStyle name="Porcentual 201 16" xfId="3362" xr:uid="{00000000-0005-0000-0000-0000AB270000}"/>
    <cellStyle name="Porcentual 201 16 2" xfId="6905" xr:uid="{00000000-0005-0000-0000-0000AC270000}"/>
    <cellStyle name="Porcentual 201 16 3" xfId="8885" xr:uid="{00000000-0005-0000-0000-0000AD270000}"/>
    <cellStyle name="Porcentual 201 17" xfId="3363" xr:uid="{00000000-0005-0000-0000-0000AE270000}"/>
    <cellStyle name="Porcentual 201 17 2" xfId="6906" xr:uid="{00000000-0005-0000-0000-0000AF270000}"/>
    <cellStyle name="Porcentual 201 17 3" xfId="8886" xr:uid="{00000000-0005-0000-0000-0000B0270000}"/>
    <cellStyle name="Porcentual 201 18" xfId="3364" xr:uid="{00000000-0005-0000-0000-0000B1270000}"/>
    <cellStyle name="Porcentual 201 18 2" xfId="6907" xr:uid="{00000000-0005-0000-0000-0000B2270000}"/>
    <cellStyle name="Porcentual 201 18 3" xfId="8887" xr:uid="{00000000-0005-0000-0000-0000B3270000}"/>
    <cellStyle name="Porcentual 201 19" xfId="3365" xr:uid="{00000000-0005-0000-0000-0000B4270000}"/>
    <cellStyle name="Porcentual 201 19 2" xfId="6908" xr:uid="{00000000-0005-0000-0000-0000B5270000}"/>
    <cellStyle name="Porcentual 201 19 3" xfId="8888" xr:uid="{00000000-0005-0000-0000-0000B6270000}"/>
    <cellStyle name="Porcentual 201 2" xfId="3366" xr:uid="{00000000-0005-0000-0000-0000B7270000}"/>
    <cellStyle name="Porcentual 201 2 2" xfId="6909" xr:uid="{00000000-0005-0000-0000-0000B8270000}"/>
    <cellStyle name="Porcentual 201 2 3" xfId="8889" xr:uid="{00000000-0005-0000-0000-0000B9270000}"/>
    <cellStyle name="Porcentual 201 20" xfId="3367" xr:uid="{00000000-0005-0000-0000-0000BA270000}"/>
    <cellStyle name="Porcentual 201 20 2" xfId="6910" xr:uid="{00000000-0005-0000-0000-0000BB270000}"/>
    <cellStyle name="Porcentual 201 20 3" xfId="8890" xr:uid="{00000000-0005-0000-0000-0000BC270000}"/>
    <cellStyle name="Porcentual 201 21" xfId="3368" xr:uid="{00000000-0005-0000-0000-0000BD270000}"/>
    <cellStyle name="Porcentual 201 21 2" xfId="6911" xr:uid="{00000000-0005-0000-0000-0000BE270000}"/>
    <cellStyle name="Porcentual 201 21 3" xfId="8891" xr:uid="{00000000-0005-0000-0000-0000BF270000}"/>
    <cellStyle name="Porcentual 201 22" xfId="3369" xr:uid="{00000000-0005-0000-0000-0000C0270000}"/>
    <cellStyle name="Porcentual 201 22 2" xfId="6912" xr:uid="{00000000-0005-0000-0000-0000C1270000}"/>
    <cellStyle name="Porcentual 201 22 3" xfId="8892" xr:uid="{00000000-0005-0000-0000-0000C2270000}"/>
    <cellStyle name="Porcentual 201 23" xfId="3370" xr:uid="{00000000-0005-0000-0000-0000C3270000}"/>
    <cellStyle name="Porcentual 201 23 2" xfId="6913" xr:uid="{00000000-0005-0000-0000-0000C4270000}"/>
    <cellStyle name="Porcentual 201 23 3" xfId="8893" xr:uid="{00000000-0005-0000-0000-0000C5270000}"/>
    <cellStyle name="Porcentual 201 24" xfId="3371" xr:uid="{00000000-0005-0000-0000-0000C6270000}"/>
    <cellStyle name="Porcentual 201 24 2" xfId="6914" xr:uid="{00000000-0005-0000-0000-0000C7270000}"/>
    <cellStyle name="Porcentual 201 24 3" xfId="8894" xr:uid="{00000000-0005-0000-0000-0000C8270000}"/>
    <cellStyle name="Porcentual 201 25" xfId="3372" xr:uid="{00000000-0005-0000-0000-0000C9270000}"/>
    <cellStyle name="Porcentual 201 25 2" xfId="6915" xr:uid="{00000000-0005-0000-0000-0000CA270000}"/>
    <cellStyle name="Porcentual 201 25 3" xfId="8895" xr:uid="{00000000-0005-0000-0000-0000CB270000}"/>
    <cellStyle name="Porcentual 201 26" xfId="3373" xr:uid="{00000000-0005-0000-0000-0000CC270000}"/>
    <cellStyle name="Porcentual 201 26 2" xfId="6916" xr:uid="{00000000-0005-0000-0000-0000CD270000}"/>
    <cellStyle name="Porcentual 201 26 3" xfId="8896" xr:uid="{00000000-0005-0000-0000-0000CE270000}"/>
    <cellStyle name="Porcentual 201 27" xfId="3374" xr:uid="{00000000-0005-0000-0000-0000CF270000}"/>
    <cellStyle name="Porcentual 201 27 2" xfId="6917" xr:uid="{00000000-0005-0000-0000-0000D0270000}"/>
    <cellStyle name="Porcentual 201 27 3" xfId="8897" xr:uid="{00000000-0005-0000-0000-0000D1270000}"/>
    <cellStyle name="Porcentual 201 28" xfId="3375" xr:uid="{00000000-0005-0000-0000-0000D2270000}"/>
    <cellStyle name="Porcentual 201 28 2" xfId="6918" xr:uid="{00000000-0005-0000-0000-0000D3270000}"/>
    <cellStyle name="Porcentual 201 28 3" xfId="8898" xr:uid="{00000000-0005-0000-0000-0000D4270000}"/>
    <cellStyle name="Porcentual 201 29" xfId="8878" xr:uid="{00000000-0005-0000-0000-0000D5270000}"/>
    <cellStyle name="Porcentual 201 3" xfId="3376" xr:uid="{00000000-0005-0000-0000-0000D6270000}"/>
    <cellStyle name="Porcentual 201 3 2" xfId="6919" xr:uid="{00000000-0005-0000-0000-0000D7270000}"/>
    <cellStyle name="Porcentual 201 3 3" xfId="8899" xr:uid="{00000000-0005-0000-0000-0000D8270000}"/>
    <cellStyle name="Porcentual 201 4" xfId="3377" xr:uid="{00000000-0005-0000-0000-0000D9270000}"/>
    <cellStyle name="Porcentual 201 4 2" xfId="6920" xr:uid="{00000000-0005-0000-0000-0000DA270000}"/>
    <cellStyle name="Porcentual 201 4 3" xfId="8900" xr:uid="{00000000-0005-0000-0000-0000DB270000}"/>
    <cellStyle name="Porcentual 201 5" xfId="3378" xr:uid="{00000000-0005-0000-0000-0000DC270000}"/>
    <cellStyle name="Porcentual 201 5 2" xfId="6921" xr:uid="{00000000-0005-0000-0000-0000DD270000}"/>
    <cellStyle name="Porcentual 201 5 3" xfId="8901" xr:uid="{00000000-0005-0000-0000-0000DE270000}"/>
    <cellStyle name="Porcentual 201 6" xfId="3379" xr:uid="{00000000-0005-0000-0000-0000DF270000}"/>
    <cellStyle name="Porcentual 201 6 2" xfId="6922" xr:uid="{00000000-0005-0000-0000-0000E0270000}"/>
    <cellStyle name="Porcentual 201 6 3" xfId="8902" xr:uid="{00000000-0005-0000-0000-0000E1270000}"/>
    <cellStyle name="Porcentual 201 7" xfId="3380" xr:uid="{00000000-0005-0000-0000-0000E2270000}"/>
    <cellStyle name="Porcentual 201 7 2" xfId="6923" xr:uid="{00000000-0005-0000-0000-0000E3270000}"/>
    <cellStyle name="Porcentual 201 7 3" xfId="8903" xr:uid="{00000000-0005-0000-0000-0000E4270000}"/>
    <cellStyle name="Porcentual 201 8" xfId="3381" xr:uid="{00000000-0005-0000-0000-0000E5270000}"/>
    <cellStyle name="Porcentual 201 8 2" xfId="6924" xr:uid="{00000000-0005-0000-0000-0000E6270000}"/>
    <cellStyle name="Porcentual 201 8 3" xfId="8904" xr:uid="{00000000-0005-0000-0000-0000E7270000}"/>
    <cellStyle name="Porcentual 201 9" xfId="3382" xr:uid="{00000000-0005-0000-0000-0000E8270000}"/>
    <cellStyle name="Porcentual 201 9 2" xfId="6925" xr:uid="{00000000-0005-0000-0000-0000E9270000}"/>
    <cellStyle name="Porcentual 201 9 3" xfId="8905" xr:uid="{00000000-0005-0000-0000-0000EA270000}"/>
    <cellStyle name="Porcentual 203 10" xfId="3383" xr:uid="{00000000-0005-0000-0000-0000EB270000}"/>
    <cellStyle name="Porcentual 203 10 2" xfId="6926" xr:uid="{00000000-0005-0000-0000-0000EC270000}"/>
    <cellStyle name="Porcentual 203 10 3" xfId="8906" xr:uid="{00000000-0005-0000-0000-0000ED270000}"/>
    <cellStyle name="Porcentual 203 11" xfId="3384" xr:uid="{00000000-0005-0000-0000-0000EE270000}"/>
    <cellStyle name="Porcentual 203 11 2" xfId="6927" xr:uid="{00000000-0005-0000-0000-0000EF270000}"/>
    <cellStyle name="Porcentual 203 11 3" xfId="8907" xr:uid="{00000000-0005-0000-0000-0000F0270000}"/>
    <cellStyle name="Porcentual 203 12" xfId="3385" xr:uid="{00000000-0005-0000-0000-0000F1270000}"/>
    <cellStyle name="Porcentual 203 12 2" xfId="6928" xr:uid="{00000000-0005-0000-0000-0000F2270000}"/>
    <cellStyle name="Porcentual 203 12 3" xfId="8908" xr:uid="{00000000-0005-0000-0000-0000F3270000}"/>
    <cellStyle name="Porcentual 203 13" xfId="3386" xr:uid="{00000000-0005-0000-0000-0000F4270000}"/>
    <cellStyle name="Porcentual 203 13 2" xfId="6929" xr:uid="{00000000-0005-0000-0000-0000F5270000}"/>
    <cellStyle name="Porcentual 203 13 3" xfId="8909" xr:uid="{00000000-0005-0000-0000-0000F6270000}"/>
    <cellStyle name="Porcentual 203 14" xfId="3387" xr:uid="{00000000-0005-0000-0000-0000F7270000}"/>
    <cellStyle name="Porcentual 203 14 2" xfId="6930" xr:uid="{00000000-0005-0000-0000-0000F8270000}"/>
    <cellStyle name="Porcentual 203 14 3" xfId="8910" xr:uid="{00000000-0005-0000-0000-0000F9270000}"/>
    <cellStyle name="Porcentual 203 15" xfId="3388" xr:uid="{00000000-0005-0000-0000-0000FA270000}"/>
    <cellStyle name="Porcentual 203 15 2" xfId="6931" xr:uid="{00000000-0005-0000-0000-0000FB270000}"/>
    <cellStyle name="Porcentual 203 15 3" xfId="8911" xr:uid="{00000000-0005-0000-0000-0000FC270000}"/>
    <cellStyle name="Porcentual 203 16" xfId="3389" xr:uid="{00000000-0005-0000-0000-0000FD270000}"/>
    <cellStyle name="Porcentual 203 16 2" xfId="6932" xr:uid="{00000000-0005-0000-0000-0000FE270000}"/>
    <cellStyle name="Porcentual 203 16 3" xfId="8912" xr:uid="{00000000-0005-0000-0000-0000FF270000}"/>
    <cellStyle name="Porcentual 203 17" xfId="3390" xr:uid="{00000000-0005-0000-0000-000000280000}"/>
    <cellStyle name="Porcentual 203 17 2" xfId="6933" xr:uid="{00000000-0005-0000-0000-000001280000}"/>
    <cellStyle name="Porcentual 203 17 3" xfId="8913" xr:uid="{00000000-0005-0000-0000-000002280000}"/>
    <cellStyle name="Porcentual 203 18" xfId="3391" xr:uid="{00000000-0005-0000-0000-000003280000}"/>
    <cellStyle name="Porcentual 203 18 2" xfId="6934" xr:uid="{00000000-0005-0000-0000-000004280000}"/>
    <cellStyle name="Porcentual 203 18 3" xfId="8914" xr:uid="{00000000-0005-0000-0000-000005280000}"/>
    <cellStyle name="Porcentual 203 19" xfId="3392" xr:uid="{00000000-0005-0000-0000-000006280000}"/>
    <cellStyle name="Porcentual 203 19 2" xfId="6935" xr:uid="{00000000-0005-0000-0000-000007280000}"/>
    <cellStyle name="Porcentual 203 19 3" xfId="8915" xr:uid="{00000000-0005-0000-0000-000008280000}"/>
    <cellStyle name="Porcentual 203 2" xfId="3393" xr:uid="{00000000-0005-0000-0000-000009280000}"/>
    <cellStyle name="Porcentual 203 2 2" xfId="6936" xr:uid="{00000000-0005-0000-0000-00000A280000}"/>
    <cellStyle name="Porcentual 203 2 3" xfId="8916" xr:uid="{00000000-0005-0000-0000-00000B280000}"/>
    <cellStyle name="Porcentual 203 20" xfId="3394" xr:uid="{00000000-0005-0000-0000-00000C280000}"/>
    <cellStyle name="Porcentual 203 20 2" xfId="6937" xr:uid="{00000000-0005-0000-0000-00000D280000}"/>
    <cellStyle name="Porcentual 203 20 3" xfId="8917" xr:uid="{00000000-0005-0000-0000-00000E280000}"/>
    <cellStyle name="Porcentual 203 21" xfId="3395" xr:uid="{00000000-0005-0000-0000-00000F280000}"/>
    <cellStyle name="Porcentual 203 21 2" xfId="6938" xr:uid="{00000000-0005-0000-0000-000010280000}"/>
    <cellStyle name="Porcentual 203 21 3" xfId="8918" xr:uid="{00000000-0005-0000-0000-000011280000}"/>
    <cellStyle name="Porcentual 203 22" xfId="3396" xr:uid="{00000000-0005-0000-0000-000012280000}"/>
    <cellStyle name="Porcentual 203 22 2" xfId="6939" xr:uid="{00000000-0005-0000-0000-000013280000}"/>
    <cellStyle name="Porcentual 203 22 3" xfId="8919" xr:uid="{00000000-0005-0000-0000-000014280000}"/>
    <cellStyle name="Porcentual 203 23" xfId="3397" xr:uid="{00000000-0005-0000-0000-000015280000}"/>
    <cellStyle name="Porcentual 203 23 2" xfId="6940" xr:uid="{00000000-0005-0000-0000-000016280000}"/>
    <cellStyle name="Porcentual 203 23 3" xfId="8920" xr:uid="{00000000-0005-0000-0000-000017280000}"/>
    <cellStyle name="Porcentual 203 24" xfId="3398" xr:uid="{00000000-0005-0000-0000-000018280000}"/>
    <cellStyle name="Porcentual 203 24 2" xfId="6941" xr:uid="{00000000-0005-0000-0000-000019280000}"/>
    <cellStyle name="Porcentual 203 24 3" xfId="8921" xr:uid="{00000000-0005-0000-0000-00001A280000}"/>
    <cellStyle name="Porcentual 203 25" xfId="3399" xr:uid="{00000000-0005-0000-0000-00001B280000}"/>
    <cellStyle name="Porcentual 203 25 2" xfId="6942" xr:uid="{00000000-0005-0000-0000-00001C280000}"/>
    <cellStyle name="Porcentual 203 25 3" xfId="8922" xr:uid="{00000000-0005-0000-0000-00001D280000}"/>
    <cellStyle name="Porcentual 203 26" xfId="3400" xr:uid="{00000000-0005-0000-0000-00001E280000}"/>
    <cellStyle name="Porcentual 203 26 2" xfId="6943" xr:uid="{00000000-0005-0000-0000-00001F280000}"/>
    <cellStyle name="Porcentual 203 26 3" xfId="8923" xr:uid="{00000000-0005-0000-0000-000020280000}"/>
    <cellStyle name="Porcentual 203 27" xfId="3401" xr:uid="{00000000-0005-0000-0000-000021280000}"/>
    <cellStyle name="Porcentual 203 27 2" xfId="6944" xr:uid="{00000000-0005-0000-0000-000022280000}"/>
    <cellStyle name="Porcentual 203 27 3" xfId="8924" xr:uid="{00000000-0005-0000-0000-000023280000}"/>
    <cellStyle name="Porcentual 203 28" xfId="3402" xr:uid="{00000000-0005-0000-0000-000024280000}"/>
    <cellStyle name="Porcentual 203 28 2" xfId="6945" xr:uid="{00000000-0005-0000-0000-000025280000}"/>
    <cellStyle name="Porcentual 203 28 3" xfId="8925" xr:uid="{00000000-0005-0000-0000-000026280000}"/>
    <cellStyle name="Porcentual 203 3" xfId="3403" xr:uid="{00000000-0005-0000-0000-000027280000}"/>
    <cellStyle name="Porcentual 203 3 2" xfId="6946" xr:uid="{00000000-0005-0000-0000-000028280000}"/>
    <cellStyle name="Porcentual 203 3 3" xfId="8926" xr:uid="{00000000-0005-0000-0000-000029280000}"/>
    <cellStyle name="Porcentual 203 4" xfId="3404" xr:uid="{00000000-0005-0000-0000-00002A280000}"/>
    <cellStyle name="Porcentual 203 4 2" xfId="6947" xr:uid="{00000000-0005-0000-0000-00002B280000}"/>
    <cellStyle name="Porcentual 203 4 3" xfId="8927" xr:uid="{00000000-0005-0000-0000-00002C280000}"/>
    <cellStyle name="Porcentual 203 5" xfId="3405" xr:uid="{00000000-0005-0000-0000-00002D280000}"/>
    <cellStyle name="Porcentual 203 5 2" xfId="6948" xr:uid="{00000000-0005-0000-0000-00002E280000}"/>
    <cellStyle name="Porcentual 203 5 3" xfId="8928" xr:uid="{00000000-0005-0000-0000-00002F280000}"/>
    <cellStyle name="Porcentual 203 6" xfId="3406" xr:uid="{00000000-0005-0000-0000-000030280000}"/>
    <cellStyle name="Porcentual 203 6 2" xfId="6949" xr:uid="{00000000-0005-0000-0000-000031280000}"/>
    <cellStyle name="Porcentual 203 6 3" xfId="8929" xr:uid="{00000000-0005-0000-0000-000032280000}"/>
    <cellStyle name="Porcentual 203 7" xfId="3407" xr:uid="{00000000-0005-0000-0000-000033280000}"/>
    <cellStyle name="Porcentual 203 7 2" xfId="6950" xr:uid="{00000000-0005-0000-0000-000034280000}"/>
    <cellStyle name="Porcentual 203 7 3" xfId="8930" xr:uid="{00000000-0005-0000-0000-000035280000}"/>
    <cellStyle name="Porcentual 203 8" xfId="3408" xr:uid="{00000000-0005-0000-0000-000036280000}"/>
    <cellStyle name="Porcentual 203 8 2" xfId="6951" xr:uid="{00000000-0005-0000-0000-000037280000}"/>
    <cellStyle name="Porcentual 203 8 3" xfId="8931" xr:uid="{00000000-0005-0000-0000-000038280000}"/>
    <cellStyle name="Porcentual 203 9" xfId="3409" xr:uid="{00000000-0005-0000-0000-000039280000}"/>
    <cellStyle name="Porcentual 203 9 2" xfId="6952" xr:uid="{00000000-0005-0000-0000-00003A280000}"/>
    <cellStyle name="Porcentual 203 9 3" xfId="8932" xr:uid="{00000000-0005-0000-0000-00003B280000}"/>
    <cellStyle name="Porcentual 204 10" xfId="3410" xr:uid="{00000000-0005-0000-0000-00003C280000}"/>
    <cellStyle name="Porcentual 204 10 2" xfId="6953" xr:uid="{00000000-0005-0000-0000-00003D280000}"/>
    <cellStyle name="Porcentual 204 10 3" xfId="8933" xr:uid="{00000000-0005-0000-0000-00003E280000}"/>
    <cellStyle name="Porcentual 204 11" xfId="3411" xr:uid="{00000000-0005-0000-0000-00003F280000}"/>
    <cellStyle name="Porcentual 204 11 2" xfId="6954" xr:uid="{00000000-0005-0000-0000-000040280000}"/>
    <cellStyle name="Porcentual 204 11 3" xfId="8934" xr:uid="{00000000-0005-0000-0000-000041280000}"/>
    <cellStyle name="Porcentual 204 12" xfId="3412" xr:uid="{00000000-0005-0000-0000-000042280000}"/>
    <cellStyle name="Porcentual 204 12 2" xfId="6955" xr:uid="{00000000-0005-0000-0000-000043280000}"/>
    <cellStyle name="Porcentual 204 12 3" xfId="8935" xr:uid="{00000000-0005-0000-0000-000044280000}"/>
    <cellStyle name="Porcentual 204 13" xfId="3413" xr:uid="{00000000-0005-0000-0000-000045280000}"/>
    <cellStyle name="Porcentual 204 13 2" xfId="6956" xr:uid="{00000000-0005-0000-0000-000046280000}"/>
    <cellStyle name="Porcentual 204 13 3" xfId="8936" xr:uid="{00000000-0005-0000-0000-000047280000}"/>
    <cellStyle name="Porcentual 204 14" xfId="3414" xr:uid="{00000000-0005-0000-0000-000048280000}"/>
    <cellStyle name="Porcentual 204 14 2" xfId="6957" xr:uid="{00000000-0005-0000-0000-000049280000}"/>
    <cellStyle name="Porcentual 204 14 3" xfId="8937" xr:uid="{00000000-0005-0000-0000-00004A280000}"/>
    <cellStyle name="Porcentual 204 15" xfId="3415" xr:uid="{00000000-0005-0000-0000-00004B280000}"/>
    <cellStyle name="Porcentual 204 15 2" xfId="6958" xr:uid="{00000000-0005-0000-0000-00004C280000}"/>
    <cellStyle name="Porcentual 204 15 3" xfId="8938" xr:uid="{00000000-0005-0000-0000-00004D280000}"/>
    <cellStyle name="Porcentual 204 16" xfId="3416" xr:uid="{00000000-0005-0000-0000-00004E280000}"/>
    <cellStyle name="Porcentual 204 16 2" xfId="6959" xr:uid="{00000000-0005-0000-0000-00004F280000}"/>
    <cellStyle name="Porcentual 204 16 3" xfId="8939" xr:uid="{00000000-0005-0000-0000-000050280000}"/>
    <cellStyle name="Porcentual 204 17" xfId="3417" xr:uid="{00000000-0005-0000-0000-000051280000}"/>
    <cellStyle name="Porcentual 204 17 2" xfId="6960" xr:uid="{00000000-0005-0000-0000-000052280000}"/>
    <cellStyle name="Porcentual 204 17 3" xfId="8940" xr:uid="{00000000-0005-0000-0000-000053280000}"/>
    <cellStyle name="Porcentual 204 18" xfId="3418" xr:uid="{00000000-0005-0000-0000-000054280000}"/>
    <cellStyle name="Porcentual 204 18 2" xfId="6961" xr:uid="{00000000-0005-0000-0000-000055280000}"/>
    <cellStyle name="Porcentual 204 18 3" xfId="8941" xr:uid="{00000000-0005-0000-0000-000056280000}"/>
    <cellStyle name="Porcentual 204 19" xfId="3419" xr:uid="{00000000-0005-0000-0000-000057280000}"/>
    <cellStyle name="Porcentual 204 19 2" xfId="6962" xr:uid="{00000000-0005-0000-0000-000058280000}"/>
    <cellStyle name="Porcentual 204 19 3" xfId="8942" xr:uid="{00000000-0005-0000-0000-000059280000}"/>
    <cellStyle name="Porcentual 204 2" xfId="3420" xr:uid="{00000000-0005-0000-0000-00005A280000}"/>
    <cellStyle name="Porcentual 204 2 2" xfId="6963" xr:uid="{00000000-0005-0000-0000-00005B280000}"/>
    <cellStyle name="Porcentual 204 2 3" xfId="8943" xr:uid="{00000000-0005-0000-0000-00005C280000}"/>
    <cellStyle name="Porcentual 204 20" xfId="3421" xr:uid="{00000000-0005-0000-0000-00005D280000}"/>
    <cellStyle name="Porcentual 204 20 2" xfId="6964" xr:uid="{00000000-0005-0000-0000-00005E280000}"/>
    <cellStyle name="Porcentual 204 20 3" xfId="8944" xr:uid="{00000000-0005-0000-0000-00005F280000}"/>
    <cellStyle name="Porcentual 204 21" xfId="3422" xr:uid="{00000000-0005-0000-0000-000060280000}"/>
    <cellStyle name="Porcentual 204 21 2" xfId="6965" xr:uid="{00000000-0005-0000-0000-000061280000}"/>
    <cellStyle name="Porcentual 204 21 3" xfId="8945" xr:uid="{00000000-0005-0000-0000-000062280000}"/>
    <cellStyle name="Porcentual 204 22" xfId="3423" xr:uid="{00000000-0005-0000-0000-000063280000}"/>
    <cellStyle name="Porcentual 204 22 2" xfId="6966" xr:uid="{00000000-0005-0000-0000-000064280000}"/>
    <cellStyle name="Porcentual 204 22 3" xfId="8946" xr:uid="{00000000-0005-0000-0000-000065280000}"/>
    <cellStyle name="Porcentual 204 23" xfId="3424" xr:uid="{00000000-0005-0000-0000-000066280000}"/>
    <cellStyle name="Porcentual 204 23 2" xfId="6967" xr:uid="{00000000-0005-0000-0000-000067280000}"/>
    <cellStyle name="Porcentual 204 23 3" xfId="8947" xr:uid="{00000000-0005-0000-0000-000068280000}"/>
    <cellStyle name="Porcentual 204 24" xfId="3425" xr:uid="{00000000-0005-0000-0000-000069280000}"/>
    <cellStyle name="Porcentual 204 24 2" xfId="6968" xr:uid="{00000000-0005-0000-0000-00006A280000}"/>
    <cellStyle name="Porcentual 204 24 3" xfId="8948" xr:uid="{00000000-0005-0000-0000-00006B280000}"/>
    <cellStyle name="Porcentual 204 25" xfId="3426" xr:uid="{00000000-0005-0000-0000-00006C280000}"/>
    <cellStyle name="Porcentual 204 25 2" xfId="6969" xr:uid="{00000000-0005-0000-0000-00006D280000}"/>
    <cellStyle name="Porcentual 204 25 3" xfId="8949" xr:uid="{00000000-0005-0000-0000-00006E280000}"/>
    <cellStyle name="Porcentual 204 26" xfId="3427" xr:uid="{00000000-0005-0000-0000-00006F280000}"/>
    <cellStyle name="Porcentual 204 26 2" xfId="6970" xr:uid="{00000000-0005-0000-0000-000070280000}"/>
    <cellStyle name="Porcentual 204 26 3" xfId="8950" xr:uid="{00000000-0005-0000-0000-000071280000}"/>
    <cellStyle name="Porcentual 204 27" xfId="3428" xr:uid="{00000000-0005-0000-0000-000072280000}"/>
    <cellStyle name="Porcentual 204 27 2" xfId="6971" xr:uid="{00000000-0005-0000-0000-000073280000}"/>
    <cellStyle name="Porcentual 204 27 3" xfId="8951" xr:uid="{00000000-0005-0000-0000-000074280000}"/>
    <cellStyle name="Porcentual 204 28" xfId="3429" xr:uid="{00000000-0005-0000-0000-000075280000}"/>
    <cellStyle name="Porcentual 204 28 2" xfId="6972" xr:uid="{00000000-0005-0000-0000-000076280000}"/>
    <cellStyle name="Porcentual 204 28 3" xfId="8952" xr:uid="{00000000-0005-0000-0000-000077280000}"/>
    <cellStyle name="Porcentual 204 3" xfId="3430" xr:uid="{00000000-0005-0000-0000-000078280000}"/>
    <cellStyle name="Porcentual 204 3 2" xfId="6973" xr:uid="{00000000-0005-0000-0000-000079280000}"/>
    <cellStyle name="Porcentual 204 3 3" xfId="8953" xr:uid="{00000000-0005-0000-0000-00007A280000}"/>
    <cellStyle name="Porcentual 204 4" xfId="3431" xr:uid="{00000000-0005-0000-0000-00007B280000}"/>
    <cellStyle name="Porcentual 204 4 2" xfId="6974" xr:uid="{00000000-0005-0000-0000-00007C280000}"/>
    <cellStyle name="Porcentual 204 4 3" xfId="8954" xr:uid="{00000000-0005-0000-0000-00007D280000}"/>
    <cellStyle name="Porcentual 204 5" xfId="3432" xr:uid="{00000000-0005-0000-0000-00007E280000}"/>
    <cellStyle name="Porcentual 204 5 2" xfId="6975" xr:uid="{00000000-0005-0000-0000-00007F280000}"/>
    <cellStyle name="Porcentual 204 5 3" xfId="8955" xr:uid="{00000000-0005-0000-0000-000080280000}"/>
    <cellStyle name="Porcentual 204 6" xfId="3433" xr:uid="{00000000-0005-0000-0000-000081280000}"/>
    <cellStyle name="Porcentual 204 6 2" xfId="6976" xr:uid="{00000000-0005-0000-0000-000082280000}"/>
    <cellStyle name="Porcentual 204 6 3" xfId="8956" xr:uid="{00000000-0005-0000-0000-000083280000}"/>
    <cellStyle name="Porcentual 204 7" xfId="3434" xr:uid="{00000000-0005-0000-0000-000084280000}"/>
    <cellStyle name="Porcentual 204 7 2" xfId="6977" xr:uid="{00000000-0005-0000-0000-000085280000}"/>
    <cellStyle name="Porcentual 204 7 3" xfId="8957" xr:uid="{00000000-0005-0000-0000-000086280000}"/>
    <cellStyle name="Porcentual 204 8" xfId="3435" xr:uid="{00000000-0005-0000-0000-000087280000}"/>
    <cellStyle name="Porcentual 204 8 2" xfId="6978" xr:uid="{00000000-0005-0000-0000-000088280000}"/>
    <cellStyle name="Porcentual 204 8 3" xfId="8958" xr:uid="{00000000-0005-0000-0000-000089280000}"/>
    <cellStyle name="Porcentual 204 9" xfId="3436" xr:uid="{00000000-0005-0000-0000-00008A280000}"/>
    <cellStyle name="Porcentual 204 9 2" xfId="6979" xr:uid="{00000000-0005-0000-0000-00008B280000}"/>
    <cellStyle name="Porcentual 204 9 3" xfId="8959" xr:uid="{00000000-0005-0000-0000-00008C280000}"/>
    <cellStyle name="Porcentual 206 10" xfId="3437" xr:uid="{00000000-0005-0000-0000-00008D280000}"/>
    <cellStyle name="Porcentual 206 10 2" xfId="6980" xr:uid="{00000000-0005-0000-0000-00008E280000}"/>
    <cellStyle name="Porcentual 206 10 3" xfId="8960" xr:uid="{00000000-0005-0000-0000-00008F280000}"/>
    <cellStyle name="Porcentual 206 11" xfId="3438" xr:uid="{00000000-0005-0000-0000-000090280000}"/>
    <cellStyle name="Porcentual 206 11 2" xfId="6981" xr:uid="{00000000-0005-0000-0000-000091280000}"/>
    <cellStyle name="Porcentual 206 11 3" xfId="8961" xr:uid="{00000000-0005-0000-0000-000092280000}"/>
    <cellStyle name="Porcentual 206 12" xfId="3439" xr:uid="{00000000-0005-0000-0000-000093280000}"/>
    <cellStyle name="Porcentual 206 12 2" xfId="6982" xr:uid="{00000000-0005-0000-0000-000094280000}"/>
    <cellStyle name="Porcentual 206 12 3" xfId="8962" xr:uid="{00000000-0005-0000-0000-000095280000}"/>
    <cellStyle name="Porcentual 206 13" xfId="3440" xr:uid="{00000000-0005-0000-0000-000096280000}"/>
    <cellStyle name="Porcentual 206 13 2" xfId="6983" xr:uid="{00000000-0005-0000-0000-000097280000}"/>
    <cellStyle name="Porcentual 206 13 3" xfId="8963" xr:uid="{00000000-0005-0000-0000-000098280000}"/>
    <cellStyle name="Porcentual 206 14" xfId="3441" xr:uid="{00000000-0005-0000-0000-000099280000}"/>
    <cellStyle name="Porcentual 206 14 2" xfId="6984" xr:uid="{00000000-0005-0000-0000-00009A280000}"/>
    <cellStyle name="Porcentual 206 14 3" xfId="8964" xr:uid="{00000000-0005-0000-0000-00009B280000}"/>
    <cellStyle name="Porcentual 206 15" xfId="3442" xr:uid="{00000000-0005-0000-0000-00009C280000}"/>
    <cellStyle name="Porcentual 206 15 2" xfId="6985" xr:uid="{00000000-0005-0000-0000-00009D280000}"/>
    <cellStyle name="Porcentual 206 15 3" xfId="8965" xr:uid="{00000000-0005-0000-0000-00009E280000}"/>
    <cellStyle name="Porcentual 206 16" xfId="3443" xr:uid="{00000000-0005-0000-0000-00009F280000}"/>
    <cellStyle name="Porcentual 206 16 2" xfId="6986" xr:uid="{00000000-0005-0000-0000-0000A0280000}"/>
    <cellStyle name="Porcentual 206 16 3" xfId="8966" xr:uid="{00000000-0005-0000-0000-0000A1280000}"/>
    <cellStyle name="Porcentual 206 17" xfId="3444" xr:uid="{00000000-0005-0000-0000-0000A2280000}"/>
    <cellStyle name="Porcentual 206 17 2" xfId="6987" xr:uid="{00000000-0005-0000-0000-0000A3280000}"/>
    <cellStyle name="Porcentual 206 17 3" xfId="8967" xr:uid="{00000000-0005-0000-0000-0000A4280000}"/>
    <cellStyle name="Porcentual 206 18" xfId="3445" xr:uid="{00000000-0005-0000-0000-0000A5280000}"/>
    <cellStyle name="Porcentual 206 18 2" xfId="6988" xr:uid="{00000000-0005-0000-0000-0000A6280000}"/>
    <cellStyle name="Porcentual 206 18 3" xfId="8968" xr:uid="{00000000-0005-0000-0000-0000A7280000}"/>
    <cellStyle name="Porcentual 206 19" xfId="3446" xr:uid="{00000000-0005-0000-0000-0000A8280000}"/>
    <cellStyle name="Porcentual 206 19 2" xfId="6989" xr:uid="{00000000-0005-0000-0000-0000A9280000}"/>
    <cellStyle name="Porcentual 206 19 3" xfId="8969" xr:uid="{00000000-0005-0000-0000-0000AA280000}"/>
    <cellStyle name="Porcentual 206 2" xfId="3447" xr:uid="{00000000-0005-0000-0000-0000AB280000}"/>
    <cellStyle name="Porcentual 206 2 2" xfId="6990" xr:uid="{00000000-0005-0000-0000-0000AC280000}"/>
    <cellStyle name="Porcentual 206 2 3" xfId="8970" xr:uid="{00000000-0005-0000-0000-0000AD280000}"/>
    <cellStyle name="Porcentual 206 20" xfId="3448" xr:uid="{00000000-0005-0000-0000-0000AE280000}"/>
    <cellStyle name="Porcentual 206 20 2" xfId="6991" xr:uid="{00000000-0005-0000-0000-0000AF280000}"/>
    <cellStyle name="Porcentual 206 20 3" xfId="8971" xr:uid="{00000000-0005-0000-0000-0000B0280000}"/>
    <cellStyle name="Porcentual 206 21" xfId="3449" xr:uid="{00000000-0005-0000-0000-0000B1280000}"/>
    <cellStyle name="Porcentual 206 21 2" xfId="6992" xr:uid="{00000000-0005-0000-0000-0000B2280000}"/>
    <cellStyle name="Porcentual 206 21 3" xfId="8972" xr:uid="{00000000-0005-0000-0000-0000B3280000}"/>
    <cellStyle name="Porcentual 206 22" xfId="3450" xr:uid="{00000000-0005-0000-0000-0000B4280000}"/>
    <cellStyle name="Porcentual 206 22 2" xfId="6993" xr:uid="{00000000-0005-0000-0000-0000B5280000}"/>
    <cellStyle name="Porcentual 206 22 3" xfId="8973" xr:uid="{00000000-0005-0000-0000-0000B6280000}"/>
    <cellStyle name="Porcentual 206 23" xfId="3451" xr:uid="{00000000-0005-0000-0000-0000B7280000}"/>
    <cellStyle name="Porcentual 206 23 2" xfId="6994" xr:uid="{00000000-0005-0000-0000-0000B8280000}"/>
    <cellStyle name="Porcentual 206 23 3" xfId="8974" xr:uid="{00000000-0005-0000-0000-0000B9280000}"/>
    <cellStyle name="Porcentual 206 24" xfId="3452" xr:uid="{00000000-0005-0000-0000-0000BA280000}"/>
    <cellStyle name="Porcentual 206 24 2" xfId="6995" xr:uid="{00000000-0005-0000-0000-0000BB280000}"/>
    <cellStyle name="Porcentual 206 24 3" xfId="8975" xr:uid="{00000000-0005-0000-0000-0000BC280000}"/>
    <cellStyle name="Porcentual 206 25" xfId="3453" xr:uid="{00000000-0005-0000-0000-0000BD280000}"/>
    <cellStyle name="Porcentual 206 25 2" xfId="6996" xr:uid="{00000000-0005-0000-0000-0000BE280000}"/>
    <cellStyle name="Porcentual 206 25 3" xfId="8976" xr:uid="{00000000-0005-0000-0000-0000BF280000}"/>
    <cellStyle name="Porcentual 206 26" xfId="3454" xr:uid="{00000000-0005-0000-0000-0000C0280000}"/>
    <cellStyle name="Porcentual 206 26 2" xfId="6997" xr:uid="{00000000-0005-0000-0000-0000C1280000}"/>
    <cellStyle name="Porcentual 206 26 3" xfId="8977" xr:uid="{00000000-0005-0000-0000-0000C2280000}"/>
    <cellStyle name="Porcentual 206 27" xfId="3455" xr:uid="{00000000-0005-0000-0000-0000C3280000}"/>
    <cellStyle name="Porcentual 206 27 2" xfId="6998" xr:uid="{00000000-0005-0000-0000-0000C4280000}"/>
    <cellStyle name="Porcentual 206 27 3" xfId="8978" xr:uid="{00000000-0005-0000-0000-0000C5280000}"/>
    <cellStyle name="Porcentual 206 28" xfId="3456" xr:uid="{00000000-0005-0000-0000-0000C6280000}"/>
    <cellStyle name="Porcentual 206 28 2" xfId="6999" xr:uid="{00000000-0005-0000-0000-0000C7280000}"/>
    <cellStyle name="Porcentual 206 28 3" xfId="8979" xr:uid="{00000000-0005-0000-0000-0000C8280000}"/>
    <cellStyle name="Porcentual 206 3" xfId="3457" xr:uid="{00000000-0005-0000-0000-0000C9280000}"/>
    <cellStyle name="Porcentual 206 3 2" xfId="7000" xr:uid="{00000000-0005-0000-0000-0000CA280000}"/>
    <cellStyle name="Porcentual 206 3 3" xfId="8980" xr:uid="{00000000-0005-0000-0000-0000CB280000}"/>
    <cellStyle name="Porcentual 206 4" xfId="3458" xr:uid="{00000000-0005-0000-0000-0000CC280000}"/>
    <cellStyle name="Porcentual 206 4 2" xfId="7001" xr:uid="{00000000-0005-0000-0000-0000CD280000}"/>
    <cellStyle name="Porcentual 206 4 3" xfId="8981" xr:uid="{00000000-0005-0000-0000-0000CE280000}"/>
    <cellStyle name="Porcentual 206 5" xfId="3459" xr:uid="{00000000-0005-0000-0000-0000CF280000}"/>
    <cellStyle name="Porcentual 206 5 2" xfId="7002" xr:uid="{00000000-0005-0000-0000-0000D0280000}"/>
    <cellStyle name="Porcentual 206 5 3" xfId="8982" xr:uid="{00000000-0005-0000-0000-0000D1280000}"/>
    <cellStyle name="Porcentual 206 6" xfId="3460" xr:uid="{00000000-0005-0000-0000-0000D2280000}"/>
    <cellStyle name="Porcentual 206 6 2" xfId="7003" xr:uid="{00000000-0005-0000-0000-0000D3280000}"/>
    <cellStyle name="Porcentual 206 6 3" xfId="8983" xr:uid="{00000000-0005-0000-0000-0000D4280000}"/>
    <cellStyle name="Porcentual 206 7" xfId="3461" xr:uid="{00000000-0005-0000-0000-0000D5280000}"/>
    <cellStyle name="Porcentual 206 7 2" xfId="7004" xr:uid="{00000000-0005-0000-0000-0000D6280000}"/>
    <cellStyle name="Porcentual 206 7 3" xfId="8984" xr:uid="{00000000-0005-0000-0000-0000D7280000}"/>
    <cellStyle name="Porcentual 206 8" xfId="3462" xr:uid="{00000000-0005-0000-0000-0000D8280000}"/>
    <cellStyle name="Porcentual 206 8 2" xfId="7005" xr:uid="{00000000-0005-0000-0000-0000D9280000}"/>
    <cellStyle name="Porcentual 206 8 3" xfId="8985" xr:uid="{00000000-0005-0000-0000-0000DA280000}"/>
    <cellStyle name="Porcentual 206 9" xfId="3463" xr:uid="{00000000-0005-0000-0000-0000DB280000}"/>
    <cellStyle name="Porcentual 206 9 2" xfId="7006" xr:uid="{00000000-0005-0000-0000-0000DC280000}"/>
    <cellStyle name="Porcentual 206 9 3" xfId="8986" xr:uid="{00000000-0005-0000-0000-0000DD280000}"/>
    <cellStyle name="Porcentual 207 10" xfId="3464" xr:uid="{00000000-0005-0000-0000-0000DE280000}"/>
    <cellStyle name="Porcentual 207 10 2" xfId="7007" xr:uid="{00000000-0005-0000-0000-0000DF280000}"/>
    <cellStyle name="Porcentual 207 10 3" xfId="8987" xr:uid="{00000000-0005-0000-0000-0000E0280000}"/>
    <cellStyle name="Porcentual 207 11" xfId="3465" xr:uid="{00000000-0005-0000-0000-0000E1280000}"/>
    <cellStyle name="Porcentual 207 11 2" xfId="7008" xr:uid="{00000000-0005-0000-0000-0000E2280000}"/>
    <cellStyle name="Porcentual 207 11 3" xfId="8988" xr:uid="{00000000-0005-0000-0000-0000E3280000}"/>
    <cellStyle name="Porcentual 207 12" xfId="3466" xr:uid="{00000000-0005-0000-0000-0000E4280000}"/>
    <cellStyle name="Porcentual 207 12 2" xfId="7009" xr:uid="{00000000-0005-0000-0000-0000E5280000}"/>
    <cellStyle name="Porcentual 207 12 3" xfId="8989" xr:uid="{00000000-0005-0000-0000-0000E6280000}"/>
    <cellStyle name="Porcentual 207 13" xfId="3467" xr:uid="{00000000-0005-0000-0000-0000E7280000}"/>
    <cellStyle name="Porcentual 207 13 2" xfId="7010" xr:uid="{00000000-0005-0000-0000-0000E8280000}"/>
    <cellStyle name="Porcentual 207 13 3" xfId="8990" xr:uid="{00000000-0005-0000-0000-0000E9280000}"/>
    <cellStyle name="Porcentual 207 14" xfId="3468" xr:uid="{00000000-0005-0000-0000-0000EA280000}"/>
    <cellStyle name="Porcentual 207 14 2" xfId="7011" xr:uid="{00000000-0005-0000-0000-0000EB280000}"/>
    <cellStyle name="Porcentual 207 14 3" xfId="8991" xr:uid="{00000000-0005-0000-0000-0000EC280000}"/>
    <cellStyle name="Porcentual 207 15" xfId="3469" xr:uid="{00000000-0005-0000-0000-0000ED280000}"/>
    <cellStyle name="Porcentual 207 15 2" xfId="7012" xr:uid="{00000000-0005-0000-0000-0000EE280000}"/>
    <cellStyle name="Porcentual 207 15 3" xfId="8992" xr:uid="{00000000-0005-0000-0000-0000EF280000}"/>
    <cellStyle name="Porcentual 207 16" xfId="3470" xr:uid="{00000000-0005-0000-0000-0000F0280000}"/>
    <cellStyle name="Porcentual 207 16 2" xfId="7013" xr:uid="{00000000-0005-0000-0000-0000F1280000}"/>
    <cellStyle name="Porcentual 207 16 3" xfId="8993" xr:uid="{00000000-0005-0000-0000-0000F2280000}"/>
    <cellStyle name="Porcentual 207 17" xfId="3471" xr:uid="{00000000-0005-0000-0000-0000F3280000}"/>
    <cellStyle name="Porcentual 207 17 2" xfId="7014" xr:uid="{00000000-0005-0000-0000-0000F4280000}"/>
    <cellStyle name="Porcentual 207 17 3" xfId="8994" xr:uid="{00000000-0005-0000-0000-0000F5280000}"/>
    <cellStyle name="Porcentual 207 18" xfId="3472" xr:uid="{00000000-0005-0000-0000-0000F6280000}"/>
    <cellStyle name="Porcentual 207 18 2" xfId="7015" xr:uid="{00000000-0005-0000-0000-0000F7280000}"/>
    <cellStyle name="Porcentual 207 18 3" xfId="8995" xr:uid="{00000000-0005-0000-0000-0000F8280000}"/>
    <cellStyle name="Porcentual 207 19" xfId="3473" xr:uid="{00000000-0005-0000-0000-0000F9280000}"/>
    <cellStyle name="Porcentual 207 19 2" xfId="7016" xr:uid="{00000000-0005-0000-0000-0000FA280000}"/>
    <cellStyle name="Porcentual 207 19 3" xfId="8996" xr:uid="{00000000-0005-0000-0000-0000FB280000}"/>
    <cellStyle name="Porcentual 207 2" xfId="3474" xr:uid="{00000000-0005-0000-0000-0000FC280000}"/>
    <cellStyle name="Porcentual 207 2 2" xfId="7017" xr:uid="{00000000-0005-0000-0000-0000FD280000}"/>
    <cellStyle name="Porcentual 207 2 3" xfId="8997" xr:uid="{00000000-0005-0000-0000-0000FE280000}"/>
    <cellStyle name="Porcentual 207 20" xfId="3475" xr:uid="{00000000-0005-0000-0000-0000FF280000}"/>
    <cellStyle name="Porcentual 207 20 2" xfId="7018" xr:uid="{00000000-0005-0000-0000-000000290000}"/>
    <cellStyle name="Porcentual 207 20 3" xfId="8998" xr:uid="{00000000-0005-0000-0000-000001290000}"/>
    <cellStyle name="Porcentual 207 21" xfId="3476" xr:uid="{00000000-0005-0000-0000-000002290000}"/>
    <cellStyle name="Porcentual 207 21 2" xfId="7019" xr:uid="{00000000-0005-0000-0000-000003290000}"/>
    <cellStyle name="Porcentual 207 21 3" xfId="8999" xr:uid="{00000000-0005-0000-0000-000004290000}"/>
    <cellStyle name="Porcentual 207 22" xfId="3477" xr:uid="{00000000-0005-0000-0000-000005290000}"/>
    <cellStyle name="Porcentual 207 22 2" xfId="7020" xr:uid="{00000000-0005-0000-0000-000006290000}"/>
    <cellStyle name="Porcentual 207 22 3" xfId="9000" xr:uid="{00000000-0005-0000-0000-000007290000}"/>
    <cellStyle name="Porcentual 207 23" xfId="3478" xr:uid="{00000000-0005-0000-0000-000008290000}"/>
    <cellStyle name="Porcentual 207 23 2" xfId="7021" xr:uid="{00000000-0005-0000-0000-000009290000}"/>
    <cellStyle name="Porcentual 207 23 3" xfId="9001" xr:uid="{00000000-0005-0000-0000-00000A290000}"/>
    <cellStyle name="Porcentual 207 24" xfId="3479" xr:uid="{00000000-0005-0000-0000-00000B290000}"/>
    <cellStyle name="Porcentual 207 24 2" xfId="7022" xr:uid="{00000000-0005-0000-0000-00000C290000}"/>
    <cellStyle name="Porcentual 207 24 3" xfId="9002" xr:uid="{00000000-0005-0000-0000-00000D290000}"/>
    <cellStyle name="Porcentual 207 25" xfId="3480" xr:uid="{00000000-0005-0000-0000-00000E290000}"/>
    <cellStyle name="Porcentual 207 25 2" xfId="7023" xr:uid="{00000000-0005-0000-0000-00000F290000}"/>
    <cellStyle name="Porcentual 207 25 3" xfId="9003" xr:uid="{00000000-0005-0000-0000-000010290000}"/>
    <cellStyle name="Porcentual 207 26" xfId="3481" xr:uid="{00000000-0005-0000-0000-000011290000}"/>
    <cellStyle name="Porcentual 207 26 2" xfId="7024" xr:uid="{00000000-0005-0000-0000-000012290000}"/>
    <cellStyle name="Porcentual 207 26 3" xfId="9004" xr:uid="{00000000-0005-0000-0000-000013290000}"/>
    <cellStyle name="Porcentual 207 27" xfId="3482" xr:uid="{00000000-0005-0000-0000-000014290000}"/>
    <cellStyle name="Porcentual 207 27 2" xfId="7025" xr:uid="{00000000-0005-0000-0000-000015290000}"/>
    <cellStyle name="Porcentual 207 27 3" xfId="9005" xr:uid="{00000000-0005-0000-0000-000016290000}"/>
    <cellStyle name="Porcentual 207 28" xfId="3483" xr:uid="{00000000-0005-0000-0000-000017290000}"/>
    <cellStyle name="Porcentual 207 28 2" xfId="7026" xr:uid="{00000000-0005-0000-0000-000018290000}"/>
    <cellStyle name="Porcentual 207 28 3" xfId="9006" xr:uid="{00000000-0005-0000-0000-000019290000}"/>
    <cellStyle name="Porcentual 207 3" xfId="3484" xr:uid="{00000000-0005-0000-0000-00001A290000}"/>
    <cellStyle name="Porcentual 207 3 2" xfId="7027" xr:uid="{00000000-0005-0000-0000-00001B290000}"/>
    <cellStyle name="Porcentual 207 3 3" xfId="9007" xr:uid="{00000000-0005-0000-0000-00001C290000}"/>
    <cellStyle name="Porcentual 207 4" xfId="3485" xr:uid="{00000000-0005-0000-0000-00001D290000}"/>
    <cellStyle name="Porcentual 207 4 2" xfId="7028" xr:uid="{00000000-0005-0000-0000-00001E290000}"/>
    <cellStyle name="Porcentual 207 4 3" xfId="9008" xr:uid="{00000000-0005-0000-0000-00001F290000}"/>
    <cellStyle name="Porcentual 207 5" xfId="3486" xr:uid="{00000000-0005-0000-0000-000020290000}"/>
    <cellStyle name="Porcentual 207 5 2" xfId="7029" xr:uid="{00000000-0005-0000-0000-000021290000}"/>
    <cellStyle name="Porcentual 207 5 3" xfId="9009" xr:uid="{00000000-0005-0000-0000-000022290000}"/>
    <cellStyle name="Porcentual 207 6" xfId="3487" xr:uid="{00000000-0005-0000-0000-000023290000}"/>
    <cellStyle name="Porcentual 207 6 2" xfId="7030" xr:uid="{00000000-0005-0000-0000-000024290000}"/>
    <cellStyle name="Porcentual 207 6 3" xfId="9010" xr:uid="{00000000-0005-0000-0000-000025290000}"/>
    <cellStyle name="Porcentual 207 7" xfId="3488" xr:uid="{00000000-0005-0000-0000-000026290000}"/>
    <cellStyle name="Porcentual 207 7 2" xfId="7031" xr:uid="{00000000-0005-0000-0000-000027290000}"/>
    <cellStyle name="Porcentual 207 7 3" xfId="9011" xr:uid="{00000000-0005-0000-0000-000028290000}"/>
    <cellStyle name="Porcentual 207 8" xfId="3489" xr:uid="{00000000-0005-0000-0000-000029290000}"/>
    <cellStyle name="Porcentual 207 8 2" xfId="7032" xr:uid="{00000000-0005-0000-0000-00002A290000}"/>
    <cellStyle name="Porcentual 207 8 3" xfId="9012" xr:uid="{00000000-0005-0000-0000-00002B290000}"/>
    <cellStyle name="Porcentual 207 9" xfId="3490" xr:uid="{00000000-0005-0000-0000-00002C290000}"/>
    <cellStyle name="Porcentual 207 9 2" xfId="7033" xr:uid="{00000000-0005-0000-0000-00002D290000}"/>
    <cellStyle name="Porcentual 207 9 3" xfId="9013" xr:uid="{00000000-0005-0000-0000-00002E290000}"/>
    <cellStyle name="Porcentual 208 10" xfId="3491" xr:uid="{00000000-0005-0000-0000-00002F290000}"/>
    <cellStyle name="Porcentual 208 10 2" xfId="7034" xr:uid="{00000000-0005-0000-0000-000030290000}"/>
    <cellStyle name="Porcentual 208 10 3" xfId="9014" xr:uid="{00000000-0005-0000-0000-000031290000}"/>
    <cellStyle name="Porcentual 208 11" xfId="3492" xr:uid="{00000000-0005-0000-0000-000032290000}"/>
    <cellStyle name="Porcentual 208 11 2" xfId="7035" xr:uid="{00000000-0005-0000-0000-000033290000}"/>
    <cellStyle name="Porcentual 208 11 3" xfId="9015" xr:uid="{00000000-0005-0000-0000-000034290000}"/>
    <cellStyle name="Porcentual 208 12" xfId="3493" xr:uid="{00000000-0005-0000-0000-000035290000}"/>
    <cellStyle name="Porcentual 208 12 2" xfId="7036" xr:uid="{00000000-0005-0000-0000-000036290000}"/>
    <cellStyle name="Porcentual 208 12 3" xfId="9016" xr:uid="{00000000-0005-0000-0000-000037290000}"/>
    <cellStyle name="Porcentual 208 13" xfId="3494" xr:uid="{00000000-0005-0000-0000-000038290000}"/>
    <cellStyle name="Porcentual 208 13 2" xfId="7037" xr:uid="{00000000-0005-0000-0000-000039290000}"/>
    <cellStyle name="Porcentual 208 13 3" xfId="9017" xr:uid="{00000000-0005-0000-0000-00003A290000}"/>
    <cellStyle name="Porcentual 208 14" xfId="3495" xr:uid="{00000000-0005-0000-0000-00003B290000}"/>
    <cellStyle name="Porcentual 208 14 2" xfId="7038" xr:uid="{00000000-0005-0000-0000-00003C290000}"/>
    <cellStyle name="Porcentual 208 14 3" xfId="9018" xr:uid="{00000000-0005-0000-0000-00003D290000}"/>
    <cellStyle name="Porcentual 208 15" xfId="3496" xr:uid="{00000000-0005-0000-0000-00003E290000}"/>
    <cellStyle name="Porcentual 208 15 2" xfId="7039" xr:uid="{00000000-0005-0000-0000-00003F290000}"/>
    <cellStyle name="Porcentual 208 15 3" xfId="9019" xr:uid="{00000000-0005-0000-0000-000040290000}"/>
    <cellStyle name="Porcentual 208 16" xfId="3497" xr:uid="{00000000-0005-0000-0000-000041290000}"/>
    <cellStyle name="Porcentual 208 16 2" xfId="7040" xr:uid="{00000000-0005-0000-0000-000042290000}"/>
    <cellStyle name="Porcentual 208 16 3" xfId="9020" xr:uid="{00000000-0005-0000-0000-000043290000}"/>
    <cellStyle name="Porcentual 208 17" xfId="3498" xr:uid="{00000000-0005-0000-0000-000044290000}"/>
    <cellStyle name="Porcentual 208 17 2" xfId="7041" xr:uid="{00000000-0005-0000-0000-000045290000}"/>
    <cellStyle name="Porcentual 208 17 3" xfId="9021" xr:uid="{00000000-0005-0000-0000-000046290000}"/>
    <cellStyle name="Porcentual 208 18" xfId="3499" xr:uid="{00000000-0005-0000-0000-000047290000}"/>
    <cellStyle name="Porcentual 208 18 2" xfId="7042" xr:uid="{00000000-0005-0000-0000-000048290000}"/>
    <cellStyle name="Porcentual 208 18 3" xfId="9022" xr:uid="{00000000-0005-0000-0000-000049290000}"/>
    <cellStyle name="Porcentual 208 19" xfId="3500" xr:uid="{00000000-0005-0000-0000-00004A290000}"/>
    <cellStyle name="Porcentual 208 19 2" xfId="7043" xr:uid="{00000000-0005-0000-0000-00004B290000}"/>
    <cellStyle name="Porcentual 208 19 3" xfId="9023" xr:uid="{00000000-0005-0000-0000-00004C290000}"/>
    <cellStyle name="Porcentual 208 2" xfId="3501" xr:uid="{00000000-0005-0000-0000-00004D290000}"/>
    <cellStyle name="Porcentual 208 2 2" xfId="7044" xr:uid="{00000000-0005-0000-0000-00004E290000}"/>
    <cellStyle name="Porcentual 208 2 3" xfId="9024" xr:uid="{00000000-0005-0000-0000-00004F290000}"/>
    <cellStyle name="Porcentual 208 20" xfId="3502" xr:uid="{00000000-0005-0000-0000-000050290000}"/>
    <cellStyle name="Porcentual 208 20 2" xfId="7045" xr:uid="{00000000-0005-0000-0000-000051290000}"/>
    <cellStyle name="Porcentual 208 20 3" xfId="9025" xr:uid="{00000000-0005-0000-0000-000052290000}"/>
    <cellStyle name="Porcentual 208 21" xfId="3503" xr:uid="{00000000-0005-0000-0000-000053290000}"/>
    <cellStyle name="Porcentual 208 21 2" xfId="7046" xr:uid="{00000000-0005-0000-0000-000054290000}"/>
    <cellStyle name="Porcentual 208 21 3" xfId="9026" xr:uid="{00000000-0005-0000-0000-000055290000}"/>
    <cellStyle name="Porcentual 208 22" xfId="3504" xr:uid="{00000000-0005-0000-0000-000056290000}"/>
    <cellStyle name="Porcentual 208 22 2" xfId="7047" xr:uid="{00000000-0005-0000-0000-000057290000}"/>
    <cellStyle name="Porcentual 208 22 3" xfId="9027" xr:uid="{00000000-0005-0000-0000-000058290000}"/>
    <cellStyle name="Porcentual 208 23" xfId="3505" xr:uid="{00000000-0005-0000-0000-000059290000}"/>
    <cellStyle name="Porcentual 208 23 2" xfId="7048" xr:uid="{00000000-0005-0000-0000-00005A290000}"/>
    <cellStyle name="Porcentual 208 23 3" xfId="9028" xr:uid="{00000000-0005-0000-0000-00005B290000}"/>
    <cellStyle name="Porcentual 208 24" xfId="3506" xr:uid="{00000000-0005-0000-0000-00005C290000}"/>
    <cellStyle name="Porcentual 208 24 2" xfId="7049" xr:uid="{00000000-0005-0000-0000-00005D290000}"/>
    <cellStyle name="Porcentual 208 24 3" xfId="9029" xr:uid="{00000000-0005-0000-0000-00005E290000}"/>
    <cellStyle name="Porcentual 208 25" xfId="3507" xr:uid="{00000000-0005-0000-0000-00005F290000}"/>
    <cellStyle name="Porcentual 208 25 2" xfId="7050" xr:uid="{00000000-0005-0000-0000-000060290000}"/>
    <cellStyle name="Porcentual 208 25 3" xfId="9030" xr:uid="{00000000-0005-0000-0000-000061290000}"/>
    <cellStyle name="Porcentual 208 26" xfId="3508" xr:uid="{00000000-0005-0000-0000-000062290000}"/>
    <cellStyle name="Porcentual 208 26 2" xfId="7051" xr:uid="{00000000-0005-0000-0000-000063290000}"/>
    <cellStyle name="Porcentual 208 26 3" xfId="9031" xr:uid="{00000000-0005-0000-0000-000064290000}"/>
    <cellStyle name="Porcentual 208 27" xfId="3509" xr:uid="{00000000-0005-0000-0000-000065290000}"/>
    <cellStyle name="Porcentual 208 27 2" xfId="7052" xr:uid="{00000000-0005-0000-0000-000066290000}"/>
    <cellStyle name="Porcentual 208 27 3" xfId="9032" xr:uid="{00000000-0005-0000-0000-000067290000}"/>
    <cellStyle name="Porcentual 208 28" xfId="3510" xr:uid="{00000000-0005-0000-0000-000068290000}"/>
    <cellStyle name="Porcentual 208 28 2" xfId="7053" xr:uid="{00000000-0005-0000-0000-000069290000}"/>
    <cellStyle name="Porcentual 208 28 3" xfId="9033" xr:uid="{00000000-0005-0000-0000-00006A290000}"/>
    <cellStyle name="Porcentual 208 3" xfId="3511" xr:uid="{00000000-0005-0000-0000-00006B290000}"/>
    <cellStyle name="Porcentual 208 3 2" xfId="7054" xr:uid="{00000000-0005-0000-0000-00006C290000}"/>
    <cellStyle name="Porcentual 208 3 3" xfId="9034" xr:uid="{00000000-0005-0000-0000-00006D290000}"/>
    <cellStyle name="Porcentual 208 4" xfId="3512" xr:uid="{00000000-0005-0000-0000-00006E290000}"/>
    <cellStyle name="Porcentual 208 4 2" xfId="7055" xr:uid="{00000000-0005-0000-0000-00006F290000}"/>
    <cellStyle name="Porcentual 208 4 3" xfId="9035" xr:uid="{00000000-0005-0000-0000-000070290000}"/>
    <cellStyle name="Porcentual 208 5" xfId="3513" xr:uid="{00000000-0005-0000-0000-000071290000}"/>
    <cellStyle name="Porcentual 208 5 2" xfId="7056" xr:uid="{00000000-0005-0000-0000-000072290000}"/>
    <cellStyle name="Porcentual 208 5 3" xfId="9036" xr:uid="{00000000-0005-0000-0000-000073290000}"/>
    <cellStyle name="Porcentual 208 6" xfId="3514" xr:uid="{00000000-0005-0000-0000-000074290000}"/>
    <cellStyle name="Porcentual 208 6 2" xfId="7057" xr:uid="{00000000-0005-0000-0000-000075290000}"/>
    <cellStyle name="Porcentual 208 6 3" xfId="9037" xr:uid="{00000000-0005-0000-0000-000076290000}"/>
    <cellStyle name="Porcentual 208 7" xfId="3515" xr:uid="{00000000-0005-0000-0000-000077290000}"/>
    <cellStyle name="Porcentual 208 7 2" xfId="7058" xr:uid="{00000000-0005-0000-0000-000078290000}"/>
    <cellStyle name="Porcentual 208 7 3" xfId="9038" xr:uid="{00000000-0005-0000-0000-000079290000}"/>
    <cellStyle name="Porcentual 208 8" xfId="3516" xr:uid="{00000000-0005-0000-0000-00007A290000}"/>
    <cellStyle name="Porcentual 208 8 2" xfId="7059" xr:uid="{00000000-0005-0000-0000-00007B290000}"/>
    <cellStyle name="Porcentual 208 8 3" xfId="9039" xr:uid="{00000000-0005-0000-0000-00007C290000}"/>
    <cellStyle name="Porcentual 208 9" xfId="3517" xr:uid="{00000000-0005-0000-0000-00007D290000}"/>
    <cellStyle name="Porcentual 208 9 2" xfId="7060" xr:uid="{00000000-0005-0000-0000-00007E290000}"/>
    <cellStyle name="Porcentual 208 9 3" xfId="9040" xr:uid="{00000000-0005-0000-0000-00007F290000}"/>
    <cellStyle name="Porcentual 21" xfId="3518" xr:uid="{00000000-0005-0000-0000-000080290000}"/>
    <cellStyle name="Porcentual 21 10" xfId="3519" xr:uid="{00000000-0005-0000-0000-000081290000}"/>
    <cellStyle name="Porcentual 21 10 2" xfId="7061" xr:uid="{00000000-0005-0000-0000-000082290000}"/>
    <cellStyle name="Porcentual 21 10 3" xfId="9042" xr:uid="{00000000-0005-0000-0000-000083290000}"/>
    <cellStyle name="Porcentual 21 11" xfId="3520" xr:uid="{00000000-0005-0000-0000-000084290000}"/>
    <cellStyle name="Porcentual 21 11 2" xfId="7062" xr:uid="{00000000-0005-0000-0000-000085290000}"/>
    <cellStyle name="Porcentual 21 11 3" xfId="9043" xr:uid="{00000000-0005-0000-0000-000086290000}"/>
    <cellStyle name="Porcentual 21 12" xfId="3521" xr:uid="{00000000-0005-0000-0000-000087290000}"/>
    <cellStyle name="Porcentual 21 12 2" xfId="7063" xr:uid="{00000000-0005-0000-0000-000088290000}"/>
    <cellStyle name="Porcentual 21 12 3" xfId="9044" xr:uid="{00000000-0005-0000-0000-000089290000}"/>
    <cellStyle name="Porcentual 21 13" xfId="3522" xr:uid="{00000000-0005-0000-0000-00008A290000}"/>
    <cellStyle name="Porcentual 21 13 2" xfId="7064" xr:uid="{00000000-0005-0000-0000-00008B290000}"/>
    <cellStyle name="Porcentual 21 13 3" xfId="9045" xr:uid="{00000000-0005-0000-0000-00008C290000}"/>
    <cellStyle name="Porcentual 21 14" xfId="3523" xr:uid="{00000000-0005-0000-0000-00008D290000}"/>
    <cellStyle name="Porcentual 21 14 2" xfId="7065" xr:uid="{00000000-0005-0000-0000-00008E290000}"/>
    <cellStyle name="Porcentual 21 14 3" xfId="9046" xr:uid="{00000000-0005-0000-0000-00008F290000}"/>
    <cellStyle name="Porcentual 21 15" xfId="3524" xr:uid="{00000000-0005-0000-0000-000090290000}"/>
    <cellStyle name="Porcentual 21 15 2" xfId="7066" xr:uid="{00000000-0005-0000-0000-000091290000}"/>
    <cellStyle name="Porcentual 21 15 3" xfId="9047" xr:uid="{00000000-0005-0000-0000-000092290000}"/>
    <cellStyle name="Porcentual 21 16" xfId="3525" xr:uid="{00000000-0005-0000-0000-000093290000}"/>
    <cellStyle name="Porcentual 21 16 2" xfId="7067" xr:uid="{00000000-0005-0000-0000-000094290000}"/>
    <cellStyle name="Porcentual 21 16 3" xfId="9048" xr:uid="{00000000-0005-0000-0000-000095290000}"/>
    <cellStyle name="Porcentual 21 17" xfId="3526" xr:uid="{00000000-0005-0000-0000-000096290000}"/>
    <cellStyle name="Porcentual 21 17 2" xfId="7068" xr:uid="{00000000-0005-0000-0000-000097290000}"/>
    <cellStyle name="Porcentual 21 17 3" xfId="9049" xr:uid="{00000000-0005-0000-0000-000098290000}"/>
    <cellStyle name="Porcentual 21 18" xfId="3527" xr:uid="{00000000-0005-0000-0000-000099290000}"/>
    <cellStyle name="Porcentual 21 18 2" xfId="7069" xr:uid="{00000000-0005-0000-0000-00009A290000}"/>
    <cellStyle name="Porcentual 21 18 3" xfId="9050" xr:uid="{00000000-0005-0000-0000-00009B290000}"/>
    <cellStyle name="Porcentual 21 19" xfId="3528" xr:uid="{00000000-0005-0000-0000-00009C290000}"/>
    <cellStyle name="Porcentual 21 19 2" xfId="7070" xr:uid="{00000000-0005-0000-0000-00009D290000}"/>
    <cellStyle name="Porcentual 21 19 3" xfId="9051" xr:uid="{00000000-0005-0000-0000-00009E290000}"/>
    <cellStyle name="Porcentual 21 2" xfId="3529" xr:uid="{00000000-0005-0000-0000-00009F290000}"/>
    <cellStyle name="Porcentual 21 2 2" xfId="7071" xr:uid="{00000000-0005-0000-0000-0000A0290000}"/>
    <cellStyle name="Porcentual 21 2 3" xfId="9052" xr:uid="{00000000-0005-0000-0000-0000A1290000}"/>
    <cellStyle name="Porcentual 21 20" xfId="3530" xr:uid="{00000000-0005-0000-0000-0000A2290000}"/>
    <cellStyle name="Porcentual 21 20 2" xfId="7072" xr:uid="{00000000-0005-0000-0000-0000A3290000}"/>
    <cellStyle name="Porcentual 21 20 3" xfId="9053" xr:uid="{00000000-0005-0000-0000-0000A4290000}"/>
    <cellStyle name="Porcentual 21 21" xfId="3531" xr:uid="{00000000-0005-0000-0000-0000A5290000}"/>
    <cellStyle name="Porcentual 21 21 2" xfId="7073" xr:uid="{00000000-0005-0000-0000-0000A6290000}"/>
    <cellStyle name="Porcentual 21 21 3" xfId="9054" xr:uid="{00000000-0005-0000-0000-0000A7290000}"/>
    <cellStyle name="Porcentual 21 22" xfId="3532" xr:uid="{00000000-0005-0000-0000-0000A8290000}"/>
    <cellStyle name="Porcentual 21 22 2" xfId="7074" xr:uid="{00000000-0005-0000-0000-0000A9290000}"/>
    <cellStyle name="Porcentual 21 22 3" xfId="9055" xr:uid="{00000000-0005-0000-0000-0000AA290000}"/>
    <cellStyle name="Porcentual 21 23" xfId="3533" xr:uid="{00000000-0005-0000-0000-0000AB290000}"/>
    <cellStyle name="Porcentual 21 23 2" xfId="7075" xr:uid="{00000000-0005-0000-0000-0000AC290000}"/>
    <cellStyle name="Porcentual 21 23 3" xfId="9056" xr:uid="{00000000-0005-0000-0000-0000AD290000}"/>
    <cellStyle name="Porcentual 21 24" xfId="3534" xr:uid="{00000000-0005-0000-0000-0000AE290000}"/>
    <cellStyle name="Porcentual 21 24 2" xfId="7076" xr:uid="{00000000-0005-0000-0000-0000AF290000}"/>
    <cellStyle name="Porcentual 21 24 3" xfId="9057" xr:uid="{00000000-0005-0000-0000-0000B0290000}"/>
    <cellStyle name="Porcentual 21 25" xfId="3535" xr:uid="{00000000-0005-0000-0000-0000B1290000}"/>
    <cellStyle name="Porcentual 21 25 2" xfId="7077" xr:uid="{00000000-0005-0000-0000-0000B2290000}"/>
    <cellStyle name="Porcentual 21 25 3" xfId="9058" xr:uid="{00000000-0005-0000-0000-0000B3290000}"/>
    <cellStyle name="Porcentual 21 26" xfId="3536" xr:uid="{00000000-0005-0000-0000-0000B4290000}"/>
    <cellStyle name="Porcentual 21 26 2" xfId="7078" xr:uid="{00000000-0005-0000-0000-0000B5290000}"/>
    <cellStyle name="Porcentual 21 26 3" xfId="9059" xr:uid="{00000000-0005-0000-0000-0000B6290000}"/>
    <cellStyle name="Porcentual 21 27" xfId="3537" xr:uid="{00000000-0005-0000-0000-0000B7290000}"/>
    <cellStyle name="Porcentual 21 27 2" xfId="7079" xr:uid="{00000000-0005-0000-0000-0000B8290000}"/>
    <cellStyle name="Porcentual 21 27 3" xfId="9060" xr:uid="{00000000-0005-0000-0000-0000B9290000}"/>
    <cellStyle name="Porcentual 21 28" xfId="3538" xr:uid="{00000000-0005-0000-0000-0000BA290000}"/>
    <cellStyle name="Porcentual 21 28 2" xfId="7080" xr:uid="{00000000-0005-0000-0000-0000BB290000}"/>
    <cellStyle name="Porcentual 21 28 3" xfId="9061" xr:uid="{00000000-0005-0000-0000-0000BC290000}"/>
    <cellStyle name="Porcentual 21 29" xfId="7081" xr:uid="{00000000-0005-0000-0000-0000BD290000}"/>
    <cellStyle name="Porcentual 21 3" xfId="3539" xr:uid="{00000000-0005-0000-0000-0000BE290000}"/>
    <cellStyle name="Porcentual 21 3 2" xfId="7082" xr:uid="{00000000-0005-0000-0000-0000BF290000}"/>
    <cellStyle name="Porcentual 21 3 3" xfId="9062" xr:uid="{00000000-0005-0000-0000-0000C0290000}"/>
    <cellStyle name="Porcentual 21 30" xfId="9041" xr:uid="{00000000-0005-0000-0000-0000C1290000}"/>
    <cellStyle name="Porcentual 21 4" xfId="3540" xr:uid="{00000000-0005-0000-0000-0000C2290000}"/>
    <cellStyle name="Porcentual 21 4 2" xfId="7083" xr:uid="{00000000-0005-0000-0000-0000C3290000}"/>
    <cellStyle name="Porcentual 21 4 3" xfId="9063" xr:uid="{00000000-0005-0000-0000-0000C4290000}"/>
    <cellStyle name="Porcentual 21 5" xfId="3541" xr:uid="{00000000-0005-0000-0000-0000C5290000}"/>
    <cellStyle name="Porcentual 21 5 2" xfId="7084" xr:uid="{00000000-0005-0000-0000-0000C6290000}"/>
    <cellStyle name="Porcentual 21 5 3" xfId="9064" xr:uid="{00000000-0005-0000-0000-0000C7290000}"/>
    <cellStyle name="Porcentual 21 6" xfId="3542" xr:uid="{00000000-0005-0000-0000-0000C8290000}"/>
    <cellStyle name="Porcentual 21 6 2" xfId="7085" xr:uid="{00000000-0005-0000-0000-0000C9290000}"/>
    <cellStyle name="Porcentual 21 6 3" xfId="9065" xr:uid="{00000000-0005-0000-0000-0000CA290000}"/>
    <cellStyle name="Porcentual 21 7" xfId="3543" xr:uid="{00000000-0005-0000-0000-0000CB290000}"/>
    <cellStyle name="Porcentual 21 7 2" xfId="7086" xr:uid="{00000000-0005-0000-0000-0000CC290000}"/>
    <cellStyle name="Porcentual 21 7 3" xfId="9066" xr:uid="{00000000-0005-0000-0000-0000CD290000}"/>
    <cellStyle name="Porcentual 21 8" xfId="3544" xr:uid="{00000000-0005-0000-0000-0000CE290000}"/>
    <cellStyle name="Porcentual 21 8 2" xfId="7087" xr:uid="{00000000-0005-0000-0000-0000CF290000}"/>
    <cellStyle name="Porcentual 21 8 3" xfId="9067" xr:uid="{00000000-0005-0000-0000-0000D0290000}"/>
    <cellStyle name="Porcentual 21 9" xfId="3545" xr:uid="{00000000-0005-0000-0000-0000D1290000}"/>
    <cellStyle name="Porcentual 21 9 2" xfId="7088" xr:uid="{00000000-0005-0000-0000-0000D2290000}"/>
    <cellStyle name="Porcentual 21 9 3" xfId="9068" xr:uid="{00000000-0005-0000-0000-0000D3290000}"/>
    <cellStyle name="Porcentual 211 10" xfId="3546" xr:uid="{00000000-0005-0000-0000-0000D4290000}"/>
    <cellStyle name="Porcentual 211 10 2" xfId="7089" xr:uid="{00000000-0005-0000-0000-0000D5290000}"/>
    <cellStyle name="Porcentual 211 10 3" xfId="9069" xr:uid="{00000000-0005-0000-0000-0000D6290000}"/>
    <cellStyle name="Porcentual 211 11" xfId="3547" xr:uid="{00000000-0005-0000-0000-0000D7290000}"/>
    <cellStyle name="Porcentual 211 11 2" xfId="7090" xr:uid="{00000000-0005-0000-0000-0000D8290000}"/>
    <cellStyle name="Porcentual 211 11 3" xfId="9070" xr:uid="{00000000-0005-0000-0000-0000D9290000}"/>
    <cellStyle name="Porcentual 211 12" xfId="3548" xr:uid="{00000000-0005-0000-0000-0000DA290000}"/>
    <cellStyle name="Porcentual 211 12 2" xfId="7091" xr:uid="{00000000-0005-0000-0000-0000DB290000}"/>
    <cellStyle name="Porcentual 211 12 3" xfId="9071" xr:uid="{00000000-0005-0000-0000-0000DC290000}"/>
    <cellStyle name="Porcentual 211 13" xfId="3549" xr:uid="{00000000-0005-0000-0000-0000DD290000}"/>
    <cellStyle name="Porcentual 211 13 2" xfId="7092" xr:uid="{00000000-0005-0000-0000-0000DE290000}"/>
    <cellStyle name="Porcentual 211 13 3" xfId="9072" xr:uid="{00000000-0005-0000-0000-0000DF290000}"/>
    <cellStyle name="Porcentual 211 14" xfId="3550" xr:uid="{00000000-0005-0000-0000-0000E0290000}"/>
    <cellStyle name="Porcentual 211 14 2" xfId="7093" xr:uid="{00000000-0005-0000-0000-0000E1290000}"/>
    <cellStyle name="Porcentual 211 14 3" xfId="9073" xr:uid="{00000000-0005-0000-0000-0000E2290000}"/>
    <cellStyle name="Porcentual 211 15" xfId="3551" xr:uid="{00000000-0005-0000-0000-0000E3290000}"/>
    <cellStyle name="Porcentual 211 15 2" xfId="7094" xr:uid="{00000000-0005-0000-0000-0000E4290000}"/>
    <cellStyle name="Porcentual 211 15 3" xfId="9074" xr:uid="{00000000-0005-0000-0000-0000E5290000}"/>
    <cellStyle name="Porcentual 211 16" xfId="3552" xr:uid="{00000000-0005-0000-0000-0000E6290000}"/>
    <cellStyle name="Porcentual 211 16 2" xfId="7095" xr:uid="{00000000-0005-0000-0000-0000E7290000}"/>
    <cellStyle name="Porcentual 211 16 3" xfId="9075" xr:uid="{00000000-0005-0000-0000-0000E8290000}"/>
    <cellStyle name="Porcentual 211 17" xfId="3553" xr:uid="{00000000-0005-0000-0000-0000E9290000}"/>
    <cellStyle name="Porcentual 211 17 2" xfId="7096" xr:uid="{00000000-0005-0000-0000-0000EA290000}"/>
    <cellStyle name="Porcentual 211 17 3" xfId="9076" xr:uid="{00000000-0005-0000-0000-0000EB290000}"/>
    <cellStyle name="Porcentual 211 18" xfId="3554" xr:uid="{00000000-0005-0000-0000-0000EC290000}"/>
    <cellStyle name="Porcentual 211 18 2" xfId="7097" xr:uid="{00000000-0005-0000-0000-0000ED290000}"/>
    <cellStyle name="Porcentual 211 18 3" xfId="9077" xr:uid="{00000000-0005-0000-0000-0000EE290000}"/>
    <cellStyle name="Porcentual 211 19" xfId="3555" xr:uid="{00000000-0005-0000-0000-0000EF290000}"/>
    <cellStyle name="Porcentual 211 19 2" xfId="7098" xr:uid="{00000000-0005-0000-0000-0000F0290000}"/>
    <cellStyle name="Porcentual 211 19 3" xfId="9078" xr:uid="{00000000-0005-0000-0000-0000F1290000}"/>
    <cellStyle name="Porcentual 211 2" xfId="3556" xr:uid="{00000000-0005-0000-0000-0000F2290000}"/>
    <cellStyle name="Porcentual 211 2 2" xfId="7099" xr:uid="{00000000-0005-0000-0000-0000F3290000}"/>
    <cellStyle name="Porcentual 211 2 3" xfId="9079" xr:uid="{00000000-0005-0000-0000-0000F4290000}"/>
    <cellStyle name="Porcentual 211 20" xfId="3557" xr:uid="{00000000-0005-0000-0000-0000F5290000}"/>
    <cellStyle name="Porcentual 211 20 2" xfId="7100" xr:uid="{00000000-0005-0000-0000-0000F6290000}"/>
    <cellStyle name="Porcentual 211 20 3" xfId="9080" xr:uid="{00000000-0005-0000-0000-0000F7290000}"/>
    <cellStyle name="Porcentual 211 21" xfId="3558" xr:uid="{00000000-0005-0000-0000-0000F8290000}"/>
    <cellStyle name="Porcentual 211 21 2" xfId="7101" xr:uid="{00000000-0005-0000-0000-0000F9290000}"/>
    <cellStyle name="Porcentual 211 21 3" xfId="9081" xr:uid="{00000000-0005-0000-0000-0000FA290000}"/>
    <cellStyle name="Porcentual 211 22" xfId="3559" xr:uid="{00000000-0005-0000-0000-0000FB290000}"/>
    <cellStyle name="Porcentual 211 22 2" xfId="7102" xr:uid="{00000000-0005-0000-0000-0000FC290000}"/>
    <cellStyle name="Porcentual 211 22 3" xfId="9082" xr:uid="{00000000-0005-0000-0000-0000FD290000}"/>
    <cellStyle name="Porcentual 211 23" xfId="3560" xr:uid="{00000000-0005-0000-0000-0000FE290000}"/>
    <cellStyle name="Porcentual 211 23 2" xfId="7103" xr:uid="{00000000-0005-0000-0000-0000FF290000}"/>
    <cellStyle name="Porcentual 211 23 3" xfId="9083" xr:uid="{00000000-0005-0000-0000-0000002A0000}"/>
    <cellStyle name="Porcentual 211 24" xfId="3561" xr:uid="{00000000-0005-0000-0000-0000012A0000}"/>
    <cellStyle name="Porcentual 211 24 2" xfId="7104" xr:uid="{00000000-0005-0000-0000-0000022A0000}"/>
    <cellStyle name="Porcentual 211 24 3" xfId="9084" xr:uid="{00000000-0005-0000-0000-0000032A0000}"/>
    <cellStyle name="Porcentual 211 25" xfId="3562" xr:uid="{00000000-0005-0000-0000-0000042A0000}"/>
    <cellStyle name="Porcentual 211 25 2" xfId="7105" xr:uid="{00000000-0005-0000-0000-0000052A0000}"/>
    <cellStyle name="Porcentual 211 25 3" xfId="9085" xr:uid="{00000000-0005-0000-0000-0000062A0000}"/>
    <cellStyle name="Porcentual 211 26" xfId="3563" xr:uid="{00000000-0005-0000-0000-0000072A0000}"/>
    <cellStyle name="Porcentual 211 26 2" xfId="7106" xr:uid="{00000000-0005-0000-0000-0000082A0000}"/>
    <cellStyle name="Porcentual 211 26 3" xfId="9086" xr:uid="{00000000-0005-0000-0000-0000092A0000}"/>
    <cellStyle name="Porcentual 211 27" xfId="3564" xr:uid="{00000000-0005-0000-0000-00000A2A0000}"/>
    <cellStyle name="Porcentual 211 27 2" xfId="7107" xr:uid="{00000000-0005-0000-0000-00000B2A0000}"/>
    <cellStyle name="Porcentual 211 27 3" xfId="9087" xr:uid="{00000000-0005-0000-0000-00000C2A0000}"/>
    <cellStyle name="Porcentual 211 28" xfId="3565" xr:uid="{00000000-0005-0000-0000-00000D2A0000}"/>
    <cellStyle name="Porcentual 211 28 2" xfId="7108" xr:uid="{00000000-0005-0000-0000-00000E2A0000}"/>
    <cellStyle name="Porcentual 211 28 3" xfId="9088" xr:uid="{00000000-0005-0000-0000-00000F2A0000}"/>
    <cellStyle name="Porcentual 211 3" xfId="3566" xr:uid="{00000000-0005-0000-0000-0000102A0000}"/>
    <cellStyle name="Porcentual 211 3 2" xfId="7109" xr:uid="{00000000-0005-0000-0000-0000112A0000}"/>
    <cellStyle name="Porcentual 211 3 3" xfId="9089" xr:uid="{00000000-0005-0000-0000-0000122A0000}"/>
    <cellStyle name="Porcentual 211 4" xfId="3567" xr:uid="{00000000-0005-0000-0000-0000132A0000}"/>
    <cellStyle name="Porcentual 211 4 2" xfId="7110" xr:uid="{00000000-0005-0000-0000-0000142A0000}"/>
    <cellStyle name="Porcentual 211 4 3" xfId="9090" xr:uid="{00000000-0005-0000-0000-0000152A0000}"/>
    <cellStyle name="Porcentual 211 5" xfId="3568" xr:uid="{00000000-0005-0000-0000-0000162A0000}"/>
    <cellStyle name="Porcentual 211 5 2" xfId="7111" xr:uid="{00000000-0005-0000-0000-0000172A0000}"/>
    <cellStyle name="Porcentual 211 5 3" xfId="9091" xr:uid="{00000000-0005-0000-0000-0000182A0000}"/>
    <cellStyle name="Porcentual 211 6" xfId="3569" xr:uid="{00000000-0005-0000-0000-0000192A0000}"/>
    <cellStyle name="Porcentual 211 6 2" xfId="7112" xr:uid="{00000000-0005-0000-0000-00001A2A0000}"/>
    <cellStyle name="Porcentual 211 6 3" xfId="9092" xr:uid="{00000000-0005-0000-0000-00001B2A0000}"/>
    <cellStyle name="Porcentual 211 7" xfId="3570" xr:uid="{00000000-0005-0000-0000-00001C2A0000}"/>
    <cellStyle name="Porcentual 211 7 2" xfId="7113" xr:uid="{00000000-0005-0000-0000-00001D2A0000}"/>
    <cellStyle name="Porcentual 211 7 3" xfId="9093" xr:uid="{00000000-0005-0000-0000-00001E2A0000}"/>
    <cellStyle name="Porcentual 211 8" xfId="3571" xr:uid="{00000000-0005-0000-0000-00001F2A0000}"/>
    <cellStyle name="Porcentual 211 8 2" xfId="7114" xr:uid="{00000000-0005-0000-0000-0000202A0000}"/>
    <cellStyle name="Porcentual 211 8 3" xfId="9094" xr:uid="{00000000-0005-0000-0000-0000212A0000}"/>
    <cellStyle name="Porcentual 211 9" xfId="3572" xr:uid="{00000000-0005-0000-0000-0000222A0000}"/>
    <cellStyle name="Porcentual 211 9 2" xfId="7115" xr:uid="{00000000-0005-0000-0000-0000232A0000}"/>
    <cellStyle name="Porcentual 211 9 3" xfId="9095" xr:uid="{00000000-0005-0000-0000-0000242A0000}"/>
    <cellStyle name="Porcentual 212 10" xfId="3573" xr:uid="{00000000-0005-0000-0000-0000252A0000}"/>
    <cellStyle name="Porcentual 212 10 2" xfId="7116" xr:uid="{00000000-0005-0000-0000-0000262A0000}"/>
    <cellStyle name="Porcentual 212 10 3" xfId="9096" xr:uid="{00000000-0005-0000-0000-0000272A0000}"/>
    <cellStyle name="Porcentual 212 11" xfId="3574" xr:uid="{00000000-0005-0000-0000-0000282A0000}"/>
    <cellStyle name="Porcentual 212 11 2" xfId="7117" xr:uid="{00000000-0005-0000-0000-0000292A0000}"/>
    <cellStyle name="Porcentual 212 11 3" xfId="9097" xr:uid="{00000000-0005-0000-0000-00002A2A0000}"/>
    <cellStyle name="Porcentual 212 12" xfId="3575" xr:uid="{00000000-0005-0000-0000-00002B2A0000}"/>
    <cellStyle name="Porcentual 212 12 2" xfId="7118" xr:uid="{00000000-0005-0000-0000-00002C2A0000}"/>
    <cellStyle name="Porcentual 212 12 3" xfId="9098" xr:uid="{00000000-0005-0000-0000-00002D2A0000}"/>
    <cellStyle name="Porcentual 212 13" xfId="3576" xr:uid="{00000000-0005-0000-0000-00002E2A0000}"/>
    <cellStyle name="Porcentual 212 13 2" xfId="7119" xr:uid="{00000000-0005-0000-0000-00002F2A0000}"/>
    <cellStyle name="Porcentual 212 13 3" xfId="9099" xr:uid="{00000000-0005-0000-0000-0000302A0000}"/>
    <cellStyle name="Porcentual 212 14" xfId="3577" xr:uid="{00000000-0005-0000-0000-0000312A0000}"/>
    <cellStyle name="Porcentual 212 14 2" xfId="7120" xr:uid="{00000000-0005-0000-0000-0000322A0000}"/>
    <cellStyle name="Porcentual 212 14 3" xfId="9100" xr:uid="{00000000-0005-0000-0000-0000332A0000}"/>
    <cellStyle name="Porcentual 212 15" xfId="3578" xr:uid="{00000000-0005-0000-0000-0000342A0000}"/>
    <cellStyle name="Porcentual 212 15 2" xfId="7121" xr:uid="{00000000-0005-0000-0000-0000352A0000}"/>
    <cellStyle name="Porcentual 212 15 3" xfId="9101" xr:uid="{00000000-0005-0000-0000-0000362A0000}"/>
    <cellStyle name="Porcentual 212 16" xfId="3579" xr:uid="{00000000-0005-0000-0000-0000372A0000}"/>
    <cellStyle name="Porcentual 212 16 2" xfId="7122" xr:uid="{00000000-0005-0000-0000-0000382A0000}"/>
    <cellStyle name="Porcentual 212 16 3" xfId="9102" xr:uid="{00000000-0005-0000-0000-0000392A0000}"/>
    <cellStyle name="Porcentual 212 17" xfId="3580" xr:uid="{00000000-0005-0000-0000-00003A2A0000}"/>
    <cellStyle name="Porcentual 212 17 2" xfId="7123" xr:uid="{00000000-0005-0000-0000-00003B2A0000}"/>
    <cellStyle name="Porcentual 212 17 3" xfId="9103" xr:uid="{00000000-0005-0000-0000-00003C2A0000}"/>
    <cellStyle name="Porcentual 212 18" xfId="3581" xr:uid="{00000000-0005-0000-0000-00003D2A0000}"/>
    <cellStyle name="Porcentual 212 18 2" xfId="7124" xr:uid="{00000000-0005-0000-0000-00003E2A0000}"/>
    <cellStyle name="Porcentual 212 18 3" xfId="9104" xr:uid="{00000000-0005-0000-0000-00003F2A0000}"/>
    <cellStyle name="Porcentual 212 19" xfId="3582" xr:uid="{00000000-0005-0000-0000-0000402A0000}"/>
    <cellStyle name="Porcentual 212 19 2" xfId="7125" xr:uid="{00000000-0005-0000-0000-0000412A0000}"/>
    <cellStyle name="Porcentual 212 19 3" xfId="9105" xr:uid="{00000000-0005-0000-0000-0000422A0000}"/>
    <cellStyle name="Porcentual 212 2" xfId="3583" xr:uid="{00000000-0005-0000-0000-0000432A0000}"/>
    <cellStyle name="Porcentual 212 2 2" xfId="7126" xr:uid="{00000000-0005-0000-0000-0000442A0000}"/>
    <cellStyle name="Porcentual 212 2 3" xfId="9106" xr:uid="{00000000-0005-0000-0000-0000452A0000}"/>
    <cellStyle name="Porcentual 212 20" xfId="3584" xr:uid="{00000000-0005-0000-0000-0000462A0000}"/>
    <cellStyle name="Porcentual 212 20 2" xfId="7127" xr:uid="{00000000-0005-0000-0000-0000472A0000}"/>
    <cellStyle name="Porcentual 212 20 3" xfId="9107" xr:uid="{00000000-0005-0000-0000-0000482A0000}"/>
    <cellStyle name="Porcentual 212 21" xfId="3585" xr:uid="{00000000-0005-0000-0000-0000492A0000}"/>
    <cellStyle name="Porcentual 212 21 2" xfId="7128" xr:uid="{00000000-0005-0000-0000-00004A2A0000}"/>
    <cellStyle name="Porcentual 212 21 3" xfId="9108" xr:uid="{00000000-0005-0000-0000-00004B2A0000}"/>
    <cellStyle name="Porcentual 212 22" xfId="3586" xr:uid="{00000000-0005-0000-0000-00004C2A0000}"/>
    <cellStyle name="Porcentual 212 22 2" xfId="7129" xr:uid="{00000000-0005-0000-0000-00004D2A0000}"/>
    <cellStyle name="Porcentual 212 22 3" xfId="9109" xr:uid="{00000000-0005-0000-0000-00004E2A0000}"/>
    <cellStyle name="Porcentual 212 23" xfId="3587" xr:uid="{00000000-0005-0000-0000-00004F2A0000}"/>
    <cellStyle name="Porcentual 212 23 2" xfId="7130" xr:uid="{00000000-0005-0000-0000-0000502A0000}"/>
    <cellStyle name="Porcentual 212 23 3" xfId="9110" xr:uid="{00000000-0005-0000-0000-0000512A0000}"/>
    <cellStyle name="Porcentual 212 24" xfId="3588" xr:uid="{00000000-0005-0000-0000-0000522A0000}"/>
    <cellStyle name="Porcentual 212 24 2" xfId="7131" xr:uid="{00000000-0005-0000-0000-0000532A0000}"/>
    <cellStyle name="Porcentual 212 24 3" xfId="9111" xr:uid="{00000000-0005-0000-0000-0000542A0000}"/>
    <cellStyle name="Porcentual 212 25" xfId="3589" xr:uid="{00000000-0005-0000-0000-0000552A0000}"/>
    <cellStyle name="Porcentual 212 25 2" xfId="7132" xr:uid="{00000000-0005-0000-0000-0000562A0000}"/>
    <cellStyle name="Porcentual 212 25 3" xfId="9112" xr:uid="{00000000-0005-0000-0000-0000572A0000}"/>
    <cellStyle name="Porcentual 212 26" xfId="3590" xr:uid="{00000000-0005-0000-0000-0000582A0000}"/>
    <cellStyle name="Porcentual 212 26 2" xfId="7133" xr:uid="{00000000-0005-0000-0000-0000592A0000}"/>
    <cellStyle name="Porcentual 212 26 3" xfId="9113" xr:uid="{00000000-0005-0000-0000-00005A2A0000}"/>
    <cellStyle name="Porcentual 212 27" xfId="3591" xr:uid="{00000000-0005-0000-0000-00005B2A0000}"/>
    <cellStyle name="Porcentual 212 27 2" xfId="7134" xr:uid="{00000000-0005-0000-0000-00005C2A0000}"/>
    <cellStyle name="Porcentual 212 27 3" xfId="9114" xr:uid="{00000000-0005-0000-0000-00005D2A0000}"/>
    <cellStyle name="Porcentual 212 28" xfId="3592" xr:uid="{00000000-0005-0000-0000-00005E2A0000}"/>
    <cellStyle name="Porcentual 212 28 2" xfId="7135" xr:uid="{00000000-0005-0000-0000-00005F2A0000}"/>
    <cellStyle name="Porcentual 212 28 3" xfId="9115" xr:uid="{00000000-0005-0000-0000-0000602A0000}"/>
    <cellStyle name="Porcentual 212 3" xfId="3593" xr:uid="{00000000-0005-0000-0000-0000612A0000}"/>
    <cellStyle name="Porcentual 212 3 2" xfId="7136" xr:uid="{00000000-0005-0000-0000-0000622A0000}"/>
    <cellStyle name="Porcentual 212 3 3" xfId="9116" xr:uid="{00000000-0005-0000-0000-0000632A0000}"/>
    <cellStyle name="Porcentual 212 4" xfId="3594" xr:uid="{00000000-0005-0000-0000-0000642A0000}"/>
    <cellStyle name="Porcentual 212 4 2" xfId="7137" xr:uid="{00000000-0005-0000-0000-0000652A0000}"/>
    <cellStyle name="Porcentual 212 4 3" xfId="9117" xr:uid="{00000000-0005-0000-0000-0000662A0000}"/>
    <cellStyle name="Porcentual 212 5" xfId="3595" xr:uid="{00000000-0005-0000-0000-0000672A0000}"/>
    <cellStyle name="Porcentual 212 5 2" xfId="7138" xr:uid="{00000000-0005-0000-0000-0000682A0000}"/>
    <cellStyle name="Porcentual 212 5 3" xfId="9118" xr:uid="{00000000-0005-0000-0000-0000692A0000}"/>
    <cellStyle name="Porcentual 212 6" xfId="3596" xr:uid="{00000000-0005-0000-0000-00006A2A0000}"/>
    <cellStyle name="Porcentual 212 6 2" xfId="7139" xr:uid="{00000000-0005-0000-0000-00006B2A0000}"/>
    <cellStyle name="Porcentual 212 6 3" xfId="9119" xr:uid="{00000000-0005-0000-0000-00006C2A0000}"/>
    <cellStyle name="Porcentual 212 7" xfId="3597" xr:uid="{00000000-0005-0000-0000-00006D2A0000}"/>
    <cellStyle name="Porcentual 212 7 2" xfId="7140" xr:uid="{00000000-0005-0000-0000-00006E2A0000}"/>
    <cellStyle name="Porcentual 212 7 3" xfId="9120" xr:uid="{00000000-0005-0000-0000-00006F2A0000}"/>
    <cellStyle name="Porcentual 212 8" xfId="3598" xr:uid="{00000000-0005-0000-0000-0000702A0000}"/>
    <cellStyle name="Porcentual 212 8 2" xfId="7141" xr:uid="{00000000-0005-0000-0000-0000712A0000}"/>
    <cellStyle name="Porcentual 212 8 3" xfId="9121" xr:uid="{00000000-0005-0000-0000-0000722A0000}"/>
    <cellStyle name="Porcentual 212 9" xfId="3599" xr:uid="{00000000-0005-0000-0000-0000732A0000}"/>
    <cellStyle name="Porcentual 212 9 2" xfId="7142" xr:uid="{00000000-0005-0000-0000-0000742A0000}"/>
    <cellStyle name="Porcentual 212 9 3" xfId="9122" xr:uid="{00000000-0005-0000-0000-0000752A0000}"/>
    <cellStyle name="Porcentual 213 10" xfId="3600" xr:uid="{00000000-0005-0000-0000-0000762A0000}"/>
    <cellStyle name="Porcentual 213 10 2" xfId="7143" xr:uid="{00000000-0005-0000-0000-0000772A0000}"/>
    <cellStyle name="Porcentual 213 10 3" xfId="9123" xr:uid="{00000000-0005-0000-0000-0000782A0000}"/>
    <cellStyle name="Porcentual 213 11" xfId="3601" xr:uid="{00000000-0005-0000-0000-0000792A0000}"/>
    <cellStyle name="Porcentual 213 11 2" xfId="7144" xr:uid="{00000000-0005-0000-0000-00007A2A0000}"/>
    <cellStyle name="Porcentual 213 11 3" xfId="9124" xr:uid="{00000000-0005-0000-0000-00007B2A0000}"/>
    <cellStyle name="Porcentual 213 12" xfId="3602" xr:uid="{00000000-0005-0000-0000-00007C2A0000}"/>
    <cellStyle name="Porcentual 213 12 2" xfId="7145" xr:uid="{00000000-0005-0000-0000-00007D2A0000}"/>
    <cellStyle name="Porcentual 213 12 3" xfId="9125" xr:uid="{00000000-0005-0000-0000-00007E2A0000}"/>
    <cellStyle name="Porcentual 213 13" xfId="3603" xr:uid="{00000000-0005-0000-0000-00007F2A0000}"/>
    <cellStyle name="Porcentual 213 13 2" xfId="7146" xr:uid="{00000000-0005-0000-0000-0000802A0000}"/>
    <cellStyle name="Porcentual 213 13 3" xfId="9126" xr:uid="{00000000-0005-0000-0000-0000812A0000}"/>
    <cellStyle name="Porcentual 213 14" xfId="3604" xr:uid="{00000000-0005-0000-0000-0000822A0000}"/>
    <cellStyle name="Porcentual 213 14 2" xfId="7147" xr:uid="{00000000-0005-0000-0000-0000832A0000}"/>
    <cellStyle name="Porcentual 213 14 3" xfId="9127" xr:uid="{00000000-0005-0000-0000-0000842A0000}"/>
    <cellStyle name="Porcentual 213 15" xfId="3605" xr:uid="{00000000-0005-0000-0000-0000852A0000}"/>
    <cellStyle name="Porcentual 213 15 2" xfId="7148" xr:uid="{00000000-0005-0000-0000-0000862A0000}"/>
    <cellStyle name="Porcentual 213 15 3" xfId="9128" xr:uid="{00000000-0005-0000-0000-0000872A0000}"/>
    <cellStyle name="Porcentual 213 16" xfId="3606" xr:uid="{00000000-0005-0000-0000-0000882A0000}"/>
    <cellStyle name="Porcentual 213 16 2" xfId="7149" xr:uid="{00000000-0005-0000-0000-0000892A0000}"/>
    <cellStyle name="Porcentual 213 16 3" xfId="9129" xr:uid="{00000000-0005-0000-0000-00008A2A0000}"/>
    <cellStyle name="Porcentual 213 17" xfId="3607" xr:uid="{00000000-0005-0000-0000-00008B2A0000}"/>
    <cellStyle name="Porcentual 213 17 2" xfId="7150" xr:uid="{00000000-0005-0000-0000-00008C2A0000}"/>
    <cellStyle name="Porcentual 213 17 3" xfId="9130" xr:uid="{00000000-0005-0000-0000-00008D2A0000}"/>
    <cellStyle name="Porcentual 213 18" xfId="3608" xr:uid="{00000000-0005-0000-0000-00008E2A0000}"/>
    <cellStyle name="Porcentual 213 18 2" xfId="7151" xr:uid="{00000000-0005-0000-0000-00008F2A0000}"/>
    <cellStyle name="Porcentual 213 18 3" xfId="9131" xr:uid="{00000000-0005-0000-0000-0000902A0000}"/>
    <cellStyle name="Porcentual 213 19" xfId="3609" xr:uid="{00000000-0005-0000-0000-0000912A0000}"/>
    <cellStyle name="Porcentual 213 19 2" xfId="7152" xr:uid="{00000000-0005-0000-0000-0000922A0000}"/>
    <cellStyle name="Porcentual 213 19 3" xfId="9132" xr:uid="{00000000-0005-0000-0000-0000932A0000}"/>
    <cellStyle name="Porcentual 213 2" xfId="3610" xr:uid="{00000000-0005-0000-0000-0000942A0000}"/>
    <cellStyle name="Porcentual 213 2 2" xfId="7153" xr:uid="{00000000-0005-0000-0000-0000952A0000}"/>
    <cellStyle name="Porcentual 213 2 3" xfId="9133" xr:uid="{00000000-0005-0000-0000-0000962A0000}"/>
    <cellStyle name="Porcentual 213 20" xfId="3611" xr:uid="{00000000-0005-0000-0000-0000972A0000}"/>
    <cellStyle name="Porcentual 213 20 2" xfId="7154" xr:uid="{00000000-0005-0000-0000-0000982A0000}"/>
    <cellStyle name="Porcentual 213 20 3" xfId="9134" xr:uid="{00000000-0005-0000-0000-0000992A0000}"/>
    <cellStyle name="Porcentual 213 21" xfId="3612" xr:uid="{00000000-0005-0000-0000-00009A2A0000}"/>
    <cellStyle name="Porcentual 213 21 2" xfId="7155" xr:uid="{00000000-0005-0000-0000-00009B2A0000}"/>
    <cellStyle name="Porcentual 213 21 3" xfId="9135" xr:uid="{00000000-0005-0000-0000-00009C2A0000}"/>
    <cellStyle name="Porcentual 213 22" xfId="3613" xr:uid="{00000000-0005-0000-0000-00009D2A0000}"/>
    <cellStyle name="Porcentual 213 22 2" xfId="7156" xr:uid="{00000000-0005-0000-0000-00009E2A0000}"/>
    <cellStyle name="Porcentual 213 22 3" xfId="9136" xr:uid="{00000000-0005-0000-0000-00009F2A0000}"/>
    <cellStyle name="Porcentual 213 23" xfId="3614" xr:uid="{00000000-0005-0000-0000-0000A02A0000}"/>
    <cellStyle name="Porcentual 213 23 2" xfId="7157" xr:uid="{00000000-0005-0000-0000-0000A12A0000}"/>
    <cellStyle name="Porcentual 213 23 3" xfId="9137" xr:uid="{00000000-0005-0000-0000-0000A22A0000}"/>
    <cellStyle name="Porcentual 213 24" xfId="3615" xr:uid="{00000000-0005-0000-0000-0000A32A0000}"/>
    <cellStyle name="Porcentual 213 24 2" xfId="7158" xr:uid="{00000000-0005-0000-0000-0000A42A0000}"/>
    <cellStyle name="Porcentual 213 24 3" xfId="9138" xr:uid="{00000000-0005-0000-0000-0000A52A0000}"/>
    <cellStyle name="Porcentual 213 25" xfId="3616" xr:uid="{00000000-0005-0000-0000-0000A62A0000}"/>
    <cellStyle name="Porcentual 213 25 2" xfId="7159" xr:uid="{00000000-0005-0000-0000-0000A72A0000}"/>
    <cellStyle name="Porcentual 213 25 3" xfId="9139" xr:uid="{00000000-0005-0000-0000-0000A82A0000}"/>
    <cellStyle name="Porcentual 213 26" xfId="3617" xr:uid="{00000000-0005-0000-0000-0000A92A0000}"/>
    <cellStyle name="Porcentual 213 26 2" xfId="7160" xr:uid="{00000000-0005-0000-0000-0000AA2A0000}"/>
    <cellStyle name="Porcentual 213 26 3" xfId="9140" xr:uid="{00000000-0005-0000-0000-0000AB2A0000}"/>
    <cellStyle name="Porcentual 213 27" xfId="3618" xr:uid="{00000000-0005-0000-0000-0000AC2A0000}"/>
    <cellStyle name="Porcentual 213 27 2" xfId="7161" xr:uid="{00000000-0005-0000-0000-0000AD2A0000}"/>
    <cellStyle name="Porcentual 213 27 3" xfId="9141" xr:uid="{00000000-0005-0000-0000-0000AE2A0000}"/>
    <cellStyle name="Porcentual 213 28" xfId="3619" xr:uid="{00000000-0005-0000-0000-0000AF2A0000}"/>
    <cellStyle name="Porcentual 213 28 2" xfId="7162" xr:uid="{00000000-0005-0000-0000-0000B02A0000}"/>
    <cellStyle name="Porcentual 213 28 3" xfId="9142" xr:uid="{00000000-0005-0000-0000-0000B12A0000}"/>
    <cellStyle name="Porcentual 213 3" xfId="3620" xr:uid="{00000000-0005-0000-0000-0000B22A0000}"/>
    <cellStyle name="Porcentual 213 3 2" xfId="7163" xr:uid="{00000000-0005-0000-0000-0000B32A0000}"/>
    <cellStyle name="Porcentual 213 3 3" xfId="9143" xr:uid="{00000000-0005-0000-0000-0000B42A0000}"/>
    <cellStyle name="Porcentual 213 4" xfId="3621" xr:uid="{00000000-0005-0000-0000-0000B52A0000}"/>
    <cellStyle name="Porcentual 213 4 2" xfId="7164" xr:uid="{00000000-0005-0000-0000-0000B62A0000}"/>
    <cellStyle name="Porcentual 213 4 3" xfId="9144" xr:uid="{00000000-0005-0000-0000-0000B72A0000}"/>
    <cellStyle name="Porcentual 213 5" xfId="3622" xr:uid="{00000000-0005-0000-0000-0000B82A0000}"/>
    <cellStyle name="Porcentual 213 5 2" xfId="7165" xr:uid="{00000000-0005-0000-0000-0000B92A0000}"/>
    <cellStyle name="Porcentual 213 5 3" xfId="9145" xr:uid="{00000000-0005-0000-0000-0000BA2A0000}"/>
    <cellStyle name="Porcentual 213 6" xfId="3623" xr:uid="{00000000-0005-0000-0000-0000BB2A0000}"/>
    <cellStyle name="Porcentual 213 6 2" xfId="7166" xr:uid="{00000000-0005-0000-0000-0000BC2A0000}"/>
    <cellStyle name="Porcentual 213 6 3" xfId="9146" xr:uid="{00000000-0005-0000-0000-0000BD2A0000}"/>
    <cellStyle name="Porcentual 213 7" xfId="3624" xr:uid="{00000000-0005-0000-0000-0000BE2A0000}"/>
    <cellStyle name="Porcentual 213 7 2" xfId="7167" xr:uid="{00000000-0005-0000-0000-0000BF2A0000}"/>
    <cellStyle name="Porcentual 213 7 3" xfId="9147" xr:uid="{00000000-0005-0000-0000-0000C02A0000}"/>
    <cellStyle name="Porcentual 213 8" xfId="3625" xr:uid="{00000000-0005-0000-0000-0000C12A0000}"/>
    <cellStyle name="Porcentual 213 8 2" xfId="7168" xr:uid="{00000000-0005-0000-0000-0000C22A0000}"/>
    <cellStyle name="Porcentual 213 8 3" xfId="9148" xr:uid="{00000000-0005-0000-0000-0000C32A0000}"/>
    <cellStyle name="Porcentual 213 9" xfId="3626" xr:uid="{00000000-0005-0000-0000-0000C42A0000}"/>
    <cellStyle name="Porcentual 213 9 2" xfId="7169" xr:uid="{00000000-0005-0000-0000-0000C52A0000}"/>
    <cellStyle name="Porcentual 213 9 3" xfId="9149" xr:uid="{00000000-0005-0000-0000-0000C62A0000}"/>
    <cellStyle name="Porcentual 214 10" xfId="3627" xr:uid="{00000000-0005-0000-0000-0000C72A0000}"/>
    <cellStyle name="Porcentual 214 10 2" xfId="7170" xr:uid="{00000000-0005-0000-0000-0000C82A0000}"/>
    <cellStyle name="Porcentual 214 10 3" xfId="9150" xr:uid="{00000000-0005-0000-0000-0000C92A0000}"/>
    <cellStyle name="Porcentual 214 11" xfId="3628" xr:uid="{00000000-0005-0000-0000-0000CA2A0000}"/>
    <cellStyle name="Porcentual 214 11 2" xfId="7171" xr:uid="{00000000-0005-0000-0000-0000CB2A0000}"/>
    <cellStyle name="Porcentual 214 11 3" xfId="9151" xr:uid="{00000000-0005-0000-0000-0000CC2A0000}"/>
    <cellStyle name="Porcentual 214 12" xfId="3629" xr:uid="{00000000-0005-0000-0000-0000CD2A0000}"/>
    <cellStyle name="Porcentual 214 12 2" xfId="7172" xr:uid="{00000000-0005-0000-0000-0000CE2A0000}"/>
    <cellStyle name="Porcentual 214 12 3" xfId="9152" xr:uid="{00000000-0005-0000-0000-0000CF2A0000}"/>
    <cellStyle name="Porcentual 214 13" xfId="3630" xr:uid="{00000000-0005-0000-0000-0000D02A0000}"/>
    <cellStyle name="Porcentual 214 13 2" xfId="7173" xr:uid="{00000000-0005-0000-0000-0000D12A0000}"/>
    <cellStyle name="Porcentual 214 13 3" xfId="9153" xr:uid="{00000000-0005-0000-0000-0000D22A0000}"/>
    <cellStyle name="Porcentual 214 14" xfId="3631" xr:uid="{00000000-0005-0000-0000-0000D32A0000}"/>
    <cellStyle name="Porcentual 214 14 2" xfId="7174" xr:uid="{00000000-0005-0000-0000-0000D42A0000}"/>
    <cellStyle name="Porcentual 214 14 3" xfId="9154" xr:uid="{00000000-0005-0000-0000-0000D52A0000}"/>
    <cellStyle name="Porcentual 214 15" xfId="3632" xr:uid="{00000000-0005-0000-0000-0000D62A0000}"/>
    <cellStyle name="Porcentual 214 15 2" xfId="7175" xr:uid="{00000000-0005-0000-0000-0000D72A0000}"/>
    <cellStyle name="Porcentual 214 15 3" xfId="9155" xr:uid="{00000000-0005-0000-0000-0000D82A0000}"/>
    <cellStyle name="Porcentual 214 16" xfId="3633" xr:uid="{00000000-0005-0000-0000-0000D92A0000}"/>
    <cellStyle name="Porcentual 214 16 2" xfId="7176" xr:uid="{00000000-0005-0000-0000-0000DA2A0000}"/>
    <cellStyle name="Porcentual 214 16 3" xfId="9156" xr:uid="{00000000-0005-0000-0000-0000DB2A0000}"/>
    <cellStyle name="Porcentual 214 17" xfId="3634" xr:uid="{00000000-0005-0000-0000-0000DC2A0000}"/>
    <cellStyle name="Porcentual 214 17 2" xfId="7177" xr:uid="{00000000-0005-0000-0000-0000DD2A0000}"/>
    <cellStyle name="Porcentual 214 17 3" xfId="9157" xr:uid="{00000000-0005-0000-0000-0000DE2A0000}"/>
    <cellStyle name="Porcentual 214 18" xfId="3635" xr:uid="{00000000-0005-0000-0000-0000DF2A0000}"/>
    <cellStyle name="Porcentual 214 18 2" xfId="7178" xr:uid="{00000000-0005-0000-0000-0000E02A0000}"/>
    <cellStyle name="Porcentual 214 18 3" xfId="9158" xr:uid="{00000000-0005-0000-0000-0000E12A0000}"/>
    <cellStyle name="Porcentual 214 19" xfId="3636" xr:uid="{00000000-0005-0000-0000-0000E22A0000}"/>
    <cellStyle name="Porcentual 214 19 2" xfId="7179" xr:uid="{00000000-0005-0000-0000-0000E32A0000}"/>
    <cellStyle name="Porcentual 214 19 3" xfId="9159" xr:uid="{00000000-0005-0000-0000-0000E42A0000}"/>
    <cellStyle name="Porcentual 214 2" xfId="3637" xr:uid="{00000000-0005-0000-0000-0000E52A0000}"/>
    <cellStyle name="Porcentual 214 2 2" xfId="7180" xr:uid="{00000000-0005-0000-0000-0000E62A0000}"/>
    <cellStyle name="Porcentual 214 2 3" xfId="9160" xr:uid="{00000000-0005-0000-0000-0000E72A0000}"/>
    <cellStyle name="Porcentual 214 20" xfId="3638" xr:uid="{00000000-0005-0000-0000-0000E82A0000}"/>
    <cellStyle name="Porcentual 214 20 2" xfId="7181" xr:uid="{00000000-0005-0000-0000-0000E92A0000}"/>
    <cellStyle name="Porcentual 214 20 3" xfId="9161" xr:uid="{00000000-0005-0000-0000-0000EA2A0000}"/>
    <cellStyle name="Porcentual 214 21" xfId="3639" xr:uid="{00000000-0005-0000-0000-0000EB2A0000}"/>
    <cellStyle name="Porcentual 214 21 2" xfId="7182" xr:uid="{00000000-0005-0000-0000-0000EC2A0000}"/>
    <cellStyle name="Porcentual 214 21 3" xfId="9162" xr:uid="{00000000-0005-0000-0000-0000ED2A0000}"/>
    <cellStyle name="Porcentual 214 22" xfId="3640" xr:uid="{00000000-0005-0000-0000-0000EE2A0000}"/>
    <cellStyle name="Porcentual 214 22 2" xfId="7183" xr:uid="{00000000-0005-0000-0000-0000EF2A0000}"/>
    <cellStyle name="Porcentual 214 22 3" xfId="9163" xr:uid="{00000000-0005-0000-0000-0000F02A0000}"/>
    <cellStyle name="Porcentual 214 23" xfId="3641" xr:uid="{00000000-0005-0000-0000-0000F12A0000}"/>
    <cellStyle name="Porcentual 214 23 2" xfId="7184" xr:uid="{00000000-0005-0000-0000-0000F22A0000}"/>
    <cellStyle name="Porcentual 214 23 3" xfId="9164" xr:uid="{00000000-0005-0000-0000-0000F32A0000}"/>
    <cellStyle name="Porcentual 214 24" xfId="3642" xr:uid="{00000000-0005-0000-0000-0000F42A0000}"/>
    <cellStyle name="Porcentual 214 24 2" xfId="7185" xr:uid="{00000000-0005-0000-0000-0000F52A0000}"/>
    <cellStyle name="Porcentual 214 24 3" xfId="9165" xr:uid="{00000000-0005-0000-0000-0000F62A0000}"/>
    <cellStyle name="Porcentual 214 25" xfId="3643" xr:uid="{00000000-0005-0000-0000-0000F72A0000}"/>
    <cellStyle name="Porcentual 214 25 2" xfId="7186" xr:uid="{00000000-0005-0000-0000-0000F82A0000}"/>
    <cellStyle name="Porcentual 214 25 3" xfId="9166" xr:uid="{00000000-0005-0000-0000-0000F92A0000}"/>
    <cellStyle name="Porcentual 214 26" xfId="3644" xr:uid="{00000000-0005-0000-0000-0000FA2A0000}"/>
    <cellStyle name="Porcentual 214 26 2" xfId="7187" xr:uid="{00000000-0005-0000-0000-0000FB2A0000}"/>
    <cellStyle name="Porcentual 214 26 3" xfId="9167" xr:uid="{00000000-0005-0000-0000-0000FC2A0000}"/>
    <cellStyle name="Porcentual 214 27" xfId="3645" xr:uid="{00000000-0005-0000-0000-0000FD2A0000}"/>
    <cellStyle name="Porcentual 214 27 2" xfId="7188" xr:uid="{00000000-0005-0000-0000-0000FE2A0000}"/>
    <cellStyle name="Porcentual 214 27 3" xfId="9168" xr:uid="{00000000-0005-0000-0000-0000FF2A0000}"/>
    <cellStyle name="Porcentual 214 28" xfId="3646" xr:uid="{00000000-0005-0000-0000-0000002B0000}"/>
    <cellStyle name="Porcentual 214 28 2" xfId="7189" xr:uid="{00000000-0005-0000-0000-0000012B0000}"/>
    <cellStyle name="Porcentual 214 28 3" xfId="9169" xr:uid="{00000000-0005-0000-0000-0000022B0000}"/>
    <cellStyle name="Porcentual 214 3" xfId="3647" xr:uid="{00000000-0005-0000-0000-0000032B0000}"/>
    <cellStyle name="Porcentual 214 3 2" xfId="7190" xr:uid="{00000000-0005-0000-0000-0000042B0000}"/>
    <cellStyle name="Porcentual 214 3 3" xfId="9170" xr:uid="{00000000-0005-0000-0000-0000052B0000}"/>
    <cellStyle name="Porcentual 214 4" xfId="3648" xr:uid="{00000000-0005-0000-0000-0000062B0000}"/>
    <cellStyle name="Porcentual 214 4 2" xfId="7191" xr:uid="{00000000-0005-0000-0000-0000072B0000}"/>
    <cellStyle name="Porcentual 214 4 3" xfId="9171" xr:uid="{00000000-0005-0000-0000-0000082B0000}"/>
    <cellStyle name="Porcentual 214 5" xfId="3649" xr:uid="{00000000-0005-0000-0000-0000092B0000}"/>
    <cellStyle name="Porcentual 214 5 2" xfId="7192" xr:uid="{00000000-0005-0000-0000-00000A2B0000}"/>
    <cellStyle name="Porcentual 214 5 3" xfId="9172" xr:uid="{00000000-0005-0000-0000-00000B2B0000}"/>
    <cellStyle name="Porcentual 214 6" xfId="3650" xr:uid="{00000000-0005-0000-0000-00000C2B0000}"/>
    <cellStyle name="Porcentual 214 6 2" xfId="7193" xr:uid="{00000000-0005-0000-0000-00000D2B0000}"/>
    <cellStyle name="Porcentual 214 6 3" xfId="9173" xr:uid="{00000000-0005-0000-0000-00000E2B0000}"/>
    <cellStyle name="Porcentual 214 7" xfId="3651" xr:uid="{00000000-0005-0000-0000-00000F2B0000}"/>
    <cellStyle name="Porcentual 214 7 2" xfId="7194" xr:uid="{00000000-0005-0000-0000-0000102B0000}"/>
    <cellStyle name="Porcentual 214 7 3" xfId="9174" xr:uid="{00000000-0005-0000-0000-0000112B0000}"/>
    <cellStyle name="Porcentual 214 8" xfId="3652" xr:uid="{00000000-0005-0000-0000-0000122B0000}"/>
    <cellStyle name="Porcentual 214 8 2" xfId="7195" xr:uid="{00000000-0005-0000-0000-0000132B0000}"/>
    <cellStyle name="Porcentual 214 8 3" xfId="9175" xr:uid="{00000000-0005-0000-0000-0000142B0000}"/>
    <cellStyle name="Porcentual 214 9" xfId="3653" xr:uid="{00000000-0005-0000-0000-0000152B0000}"/>
    <cellStyle name="Porcentual 214 9 2" xfId="7196" xr:uid="{00000000-0005-0000-0000-0000162B0000}"/>
    <cellStyle name="Porcentual 214 9 3" xfId="9176" xr:uid="{00000000-0005-0000-0000-0000172B0000}"/>
    <cellStyle name="Porcentual 215 10" xfId="3654" xr:uid="{00000000-0005-0000-0000-0000182B0000}"/>
    <cellStyle name="Porcentual 215 10 2" xfId="7197" xr:uid="{00000000-0005-0000-0000-0000192B0000}"/>
    <cellStyle name="Porcentual 215 10 3" xfId="9177" xr:uid="{00000000-0005-0000-0000-00001A2B0000}"/>
    <cellStyle name="Porcentual 215 11" xfId="3655" xr:uid="{00000000-0005-0000-0000-00001B2B0000}"/>
    <cellStyle name="Porcentual 215 11 2" xfId="7198" xr:uid="{00000000-0005-0000-0000-00001C2B0000}"/>
    <cellStyle name="Porcentual 215 11 3" xfId="9178" xr:uid="{00000000-0005-0000-0000-00001D2B0000}"/>
    <cellStyle name="Porcentual 215 12" xfId="3656" xr:uid="{00000000-0005-0000-0000-00001E2B0000}"/>
    <cellStyle name="Porcentual 215 12 2" xfId="7199" xr:uid="{00000000-0005-0000-0000-00001F2B0000}"/>
    <cellStyle name="Porcentual 215 12 3" xfId="9179" xr:uid="{00000000-0005-0000-0000-0000202B0000}"/>
    <cellStyle name="Porcentual 215 13" xfId="3657" xr:uid="{00000000-0005-0000-0000-0000212B0000}"/>
    <cellStyle name="Porcentual 215 13 2" xfId="7200" xr:uid="{00000000-0005-0000-0000-0000222B0000}"/>
    <cellStyle name="Porcentual 215 13 3" xfId="9180" xr:uid="{00000000-0005-0000-0000-0000232B0000}"/>
    <cellStyle name="Porcentual 215 14" xfId="3658" xr:uid="{00000000-0005-0000-0000-0000242B0000}"/>
    <cellStyle name="Porcentual 215 14 2" xfId="7201" xr:uid="{00000000-0005-0000-0000-0000252B0000}"/>
    <cellStyle name="Porcentual 215 14 3" xfId="9181" xr:uid="{00000000-0005-0000-0000-0000262B0000}"/>
    <cellStyle name="Porcentual 215 15" xfId="3659" xr:uid="{00000000-0005-0000-0000-0000272B0000}"/>
    <cellStyle name="Porcentual 215 15 2" xfId="7202" xr:uid="{00000000-0005-0000-0000-0000282B0000}"/>
    <cellStyle name="Porcentual 215 15 3" xfId="9182" xr:uid="{00000000-0005-0000-0000-0000292B0000}"/>
    <cellStyle name="Porcentual 215 16" xfId="3660" xr:uid="{00000000-0005-0000-0000-00002A2B0000}"/>
    <cellStyle name="Porcentual 215 16 2" xfId="7203" xr:uid="{00000000-0005-0000-0000-00002B2B0000}"/>
    <cellStyle name="Porcentual 215 16 3" xfId="9183" xr:uid="{00000000-0005-0000-0000-00002C2B0000}"/>
    <cellStyle name="Porcentual 215 17" xfId="3661" xr:uid="{00000000-0005-0000-0000-00002D2B0000}"/>
    <cellStyle name="Porcentual 215 17 2" xfId="7204" xr:uid="{00000000-0005-0000-0000-00002E2B0000}"/>
    <cellStyle name="Porcentual 215 17 3" xfId="9184" xr:uid="{00000000-0005-0000-0000-00002F2B0000}"/>
    <cellStyle name="Porcentual 215 18" xfId="3662" xr:uid="{00000000-0005-0000-0000-0000302B0000}"/>
    <cellStyle name="Porcentual 215 18 2" xfId="7205" xr:uid="{00000000-0005-0000-0000-0000312B0000}"/>
    <cellStyle name="Porcentual 215 18 3" xfId="9185" xr:uid="{00000000-0005-0000-0000-0000322B0000}"/>
    <cellStyle name="Porcentual 215 19" xfId="3663" xr:uid="{00000000-0005-0000-0000-0000332B0000}"/>
    <cellStyle name="Porcentual 215 19 2" xfId="7206" xr:uid="{00000000-0005-0000-0000-0000342B0000}"/>
    <cellStyle name="Porcentual 215 19 3" xfId="9186" xr:uid="{00000000-0005-0000-0000-0000352B0000}"/>
    <cellStyle name="Porcentual 215 2" xfId="3664" xr:uid="{00000000-0005-0000-0000-0000362B0000}"/>
    <cellStyle name="Porcentual 215 2 2" xfId="7207" xr:uid="{00000000-0005-0000-0000-0000372B0000}"/>
    <cellStyle name="Porcentual 215 2 3" xfId="9187" xr:uid="{00000000-0005-0000-0000-0000382B0000}"/>
    <cellStyle name="Porcentual 215 20" xfId="3665" xr:uid="{00000000-0005-0000-0000-0000392B0000}"/>
    <cellStyle name="Porcentual 215 20 2" xfId="7208" xr:uid="{00000000-0005-0000-0000-00003A2B0000}"/>
    <cellStyle name="Porcentual 215 20 3" xfId="9188" xr:uid="{00000000-0005-0000-0000-00003B2B0000}"/>
    <cellStyle name="Porcentual 215 21" xfId="3666" xr:uid="{00000000-0005-0000-0000-00003C2B0000}"/>
    <cellStyle name="Porcentual 215 21 2" xfId="7209" xr:uid="{00000000-0005-0000-0000-00003D2B0000}"/>
    <cellStyle name="Porcentual 215 21 3" xfId="9189" xr:uid="{00000000-0005-0000-0000-00003E2B0000}"/>
    <cellStyle name="Porcentual 215 22" xfId="3667" xr:uid="{00000000-0005-0000-0000-00003F2B0000}"/>
    <cellStyle name="Porcentual 215 22 2" xfId="7210" xr:uid="{00000000-0005-0000-0000-0000402B0000}"/>
    <cellStyle name="Porcentual 215 22 3" xfId="9190" xr:uid="{00000000-0005-0000-0000-0000412B0000}"/>
    <cellStyle name="Porcentual 215 23" xfId="3668" xr:uid="{00000000-0005-0000-0000-0000422B0000}"/>
    <cellStyle name="Porcentual 215 23 2" xfId="7211" xr:uid="{00000000-0005-0000-0000-0000432B0000}"/>
    <cellStyle name="Porcentual 215 23 3" xfId="9191" xr:uid="{00000000-0005-0000-0000-0000442B0000}"/>
    <cellStyle name="Porcentual 215 24" xfId="3669" xr:uid="{00000000-0005-0000-0000-0000452B0000}"/>
    <cellStyle name="Porcentual 215 24 2" xfId="7212" xr:uid="{00000000-0005-0000-0000-0000462B0000}"/>
    <cellStyle name="Porcentual 215 24 3" xfId="9192" xr:uid="{00000000-0005-0000-0000-0000472B0000}"/>
    <cellStyle name="Porcentual 215 25" xfId="3670" xr:uid="{00000000-0005-0000-0000-0000482B0000}"/>
    <cellStyle name="Porcentual 215 25 2" xfId="7213" xr:uid="{00000000-0005-0000-0000-0000492B0000}"/>
    <cellStyle name="Porcentual 215 25 3" xfId="9193" xr:uid="{00000000-0005-0000-0000-00004A2B0000}"/>
    <cellStyle name="Porcentual 215 26" xfId="3671" xr:uid="{00000000-0005-0000-0000-00004B2B0000}"/>
    <cellStyle name="Porcentual 215 26 2" xfId="7214" xr:uid="{00000000-0005-0000-0000-00004C2B0000}"/>
    <cellStyle name="Porcentual 215 26 3" xfId="9194" xr:uid="{00000000-0005-0000-0000-00004D2B0000}"/>
    <cellStyle name="Porcentual 215 27" xfId="3672" xr:uid="{00000000-0005-0000-0000-00004E2B0000}"/>
    <cellStyle name="Porcentual 215 27 2" xfId="7215" xr:uid="{00000000-0005-0000-0000-00004F2B0000}"/>
    <cellStyle name="Porcentual 215 27 3" xfId="9195" xr:uid="{00000000-0005-0000-0000-0000502B0000}"/>
    <cellStyle name="Porcentual 215 28" xfId="3673" xr:uid="{00000000-0005-0000-0000-0000512B0000}"/>
    <cellStyle name="Porcentual 215 28 2" xfId="7216" xr:uid="{00000000-0005-0000-0000-0000522B0000}"/>
    <cellStyle name="Porcentual 215 28 3" xfId="9196" xr:uid="{00000000-0005-0000-0000-0000532B0000}"/>
    <cellStyle name="Porcentual 215 3" xfId="3674" xr:uid="{00000000-0005-0000-0000-0000542B0000}"/>
    <cellStyle name="Porcentual 215 3 2" xfId="7217" xr:uid="{00000000-0005-0000-0000-0000552B0000}"/>
    <cellStyle name="Porcentual 215 3 3" xfId="9197" xr:uid="{00000000-0005-0000-0000-0000562B0000}"/>
    <cellStyle name="Porcentual 215 4" xfId="3675" xr:uid="{00000000-0005-0000-0000-0000572B0000}"/>
    <cellStyle name="Porcentual 215 4 2" xfId="7218" xr:uid="{00000000-0005-0000-0000-0000582B0000}"/>
    <cellStyle name="Porcentual 215 4 3" xfId="9198" xr:uid="{00000000-0005-0000-0000-0000592B0000}"/>
    <cellStyle name="Porcentual 215 5" xfId="3676" xr:uid="{00000000-0005-0000-0000-00005A2B0000}"/>
    <cellStyle name="Porcentual 215 5 2" xfId="7219" xr:uid="{00000000-0005-0000-0000-00005B2B0000}"/>
    <cellStyle name="Porcentual 215 5 3" xfId="9199" xr:uid="{00000000-0005-0000-0000-00005C2B0000}"/>
    <cellStyle name="Porcentual 215 6" xfId="3677" xr:uid="{00000000-0005-0000-0000-00005D2B0000}"/>
    <cellStyle name="Porcentual 215 6 2" xfId="7220" xr:uid="{00000000-0005-0000-0000-00005E2B0000}"/>
    <cellStyle name="Porcentual 215 6 3" xfId="9200" xr:uid="{00000000-0005-0000-0000-00005F2B0000}"/>
    <cellStyle name="Porcentual 215 7" xfId="3678" xr:uid="{00000000-0005-0000-0000-0000602B0000}"/>
    <cellStyle name="Porcentual 215 7 2" xfId="7221" xr:uid="{00000000-0005-0000-0000-0000612B0000}"/>
    <cellStyle name="Porcentual 215 7 3" xfId="9201" xr:uid="{00000000-0005-0000-0000-0000622B0000}"/>
    <cellStyle name="Porcentual 215 8" xfId="3679" xr:uid="{00000000-0005-0000-0000-0000632B0000}"/>
    <cellStyle name="Porcentual 215 8 2" xfId="7222" xr:uid="{00000000-0005-0000-0000-0000642B0000}"/>
    <cellStyle name="Porcentual 215 8 3" xfId="9202" xr:uid="{00000000-0005-0000-0000-0000652B0000}"/>
    <cellStyle name="Porcentual 215 9" xfId="3680" xr:uid="{00000000-0005-0000-0000-0000662B0000}"/>
    <cellStyle name="Porcentual 215 9 2" xfId="7223" xr:uid="{00000000-0005-0000-0000-0000672B0000}"/>
    <cellStyle name="Porcentual 215 9 3" xfId="9203" xr:uid="{00000000-0005-0000-0000-0000682B0000}"/>
    <cellStyle name="Porcentual 216 10" xfId="3681" xr:uid="{00000000-0005-0000-0000-0000692B0000}"/>
    <cellStyle name="Porcentual 216 10 2" xfId="7224" xr:uid="{00000000-0005-0000-0000-00006A2B0000}"/>
    <cellStyle name="Porcentual 216 10 3" xfId="9204" xr:uid="{00000000-0005-0000-0000-00006B2B0000}"/>
    <cellStyle name="Porcentual 216 11" xfId="3682" xr:uid="{00000000-0005-0000-0000-00006C2B0000}"/>
    <cellStyle name="Porcentual 216 11 2" xfId="7225" xr:uid="{00000000-0005-0000-0000-00006D2B0000}"/>
    <cellStyle name="Porcentual 216 11 3" xfId="9205" xr:uid="{00000000-0005-0000-0000-00006E2B0000}"/>
    <cellStyle name="Porcentual 216 12" xfId="3683" xr:uid="{00000000-0005-0000-0000-00006F2B0000}"/>
    <cellStyle name="Porcentual 216 12 2" xfId="7226" xr:uid="{00000000-0005-0000-0000-0000702B0000}"/>
    <cellStyle name="Porcentual 216 12 3" xfId="9206" xr:uid="{00000000-0005-0000-0000-0000712B0000}"/>
    <cellStyle name="Porcentual 216 13" xfId="3684" xr:uid="{00000000-0005-0000-0000-0000722B0000}"/>
    <cellStyle name="Porcentual 216 13 2" xfId="7227" xr:uid="{00000000-0005-0000-0000-0000732B0000}"/>
    <cellStyle name="Porcentual 216 13 3" xfId="9207" xr:uid="{00000000-0005-0000-0000-0000742B0000}"/>
    <cellStyle name="Porcentual 216 14" xfId="3685" xr:uid="{00000000-0005-0000-0000-0000752B0000}"/>
    <cellStyle name="Porcentual 216 14 2" xfId="7228" xr:uid="{00000000-0005-0000-0000-0000762B0000}"/>
    <cellStyle name="Porcentual 216 14 3" xfId="9208" xr:uid="{00000000-0005-0000-0000-0000772B0000}"/>
    <cellStyle name="Porcentual 216 15" xfId="3686" xr:uid="{00000000-0005-0000-0000-0000782B0000}"/>
    <cellStyle name="Porcentual 216 15 2" xfId="7229" xr:uid="{00000000-0005-0000-0000-0000792B0000}"/>
    <cellStyle name="Porcentual 216 15 3" xfId="9209" xr:uid="{00000000-0005-0000-0000-00007A2B0000}"/>
    <cellStyle name="Porcentual 216 16" xfId="3687" xr:uid="{00000000-0005-0000-0000-00007B2B0000}"/>
    <cellStyle name="Porcentual 216 16 2" xfId="7230" xr:uid="{00000000-0005-0000-0000-00007C2B0000}"/>
    <cellStyle name="Porcentual 216 16 3" xfId="9210" xr:uid="{00000000-0005-0000-0000-00007D2B0000}"/>
    <cellStyle name="Porcentual 216 17" xfId="3688" xr:uid="{00000000-0005-0000-0000-00007E2B0000}"/>
    <cellStyle name="Porcentual 216 17 2" xfId="7231" xr:uid="{00000000-0005-0000-0000-00007F2B0000}"/>
    <cellStyle name="Porcentual 216 17 3" xfId="9211" xr:uid="{00000000-0005-0000-0000-0000802B0000}"/>
    <cellStyle name="Porcentual 216 18" xfId="3689" xr:uid="{00000000-0005-0000-0000-0000812B0000}"/>
    <cellStyle name="Porcentual 216 18 2" xfId="7232" xr:uid="{00000000-0005-0000-0000-0000822B0000}"/>
    <cellStyle name="Porcentual 216 18 3" xfId="9212" xr:uid="{00000000-0005-0000-0000-0000832B0000}"/>
    <cellStyle name="Porcentual 216 19" xfId="3690" xr:uid="{00000000-0005-0000-0000-0000842B0000}"/>
    <cellStyle name="Porcentual 216 19 2" xfId="7233" xr:uid="{00000000-0005-0000-0000-0000852B0000}"/>
    <cellStyle name="Porcentual 216 19 3" xfId="9213" xr:uid="{00000000-0005-0000-0000-0000862B0000}"/>
    <cellStyle name="Porcentual 216 2" xfId="3691" xr:uid="{00000000-0005-0000-0000-0000872B0000}"/>
    <cellStyle name="Porcentual 216 2 2" xfId="7234" xr:uid="{00000000-0005-0000-0000-0000882B0000}"/>
    <cellStyle name="Porcentual 216 2 3" xfId="9214" xr:uid="{00000000-0005-0000-0000-0000892B0000}"/>
    <cellStyle name="Porcentual 216 20" xfId="3692" xr:uid="{00000000-0005-0000-0000-00008A2B0000}"/>
    <cellStyle name="Porcentual 216 20 2" xfId="7235" xr:uid="{00000000-0005-0000-0000-00008B2B0000}"/>
    <cellStyle name="Porcentual 216 20 3" xfId="9215" xr:uid="{00000000-0005-0000-0000-00008C2B0000}"/>
    <cellStyle name="Porcentual 216 21" xfId="3693" xr:uid="{00000000-0005-0000-0000-00008D2B0000}"/>
    <cellStyle name="Porcentual 216 21 2" xfId="7236" xr:uid="{00000000-0005-0000-0000-00008E2B0000}"/>
    <cellStyle name="Porcentual 216 21 3" xfId="9216" xr:uid="{00000000-0005-0000-0000-00008F2B0000}"/>
    <cellStyle name="Porcentual 216 22" xfId="3694" xr:uid="{00000000-0005-0000-0000-0000902B0000}"/>
    <cellStyle name="Porcentual 216 22 2" xfId="7237" xr:uid="{00000000-0005-0000-0000-0000912B0000}"/>
    <cellStyle name="Porcentual 216 22 3" xfId="9217" xr:uid="{00000000-0005-0000-0000-0000922B0000}"/>
    <cellStyle name="Porcentual 216 23" xfId="3695" xr:uid="{00000000-0005-0000-0000-0000932B0000}"/>
    <cellStyle name="Porcentual 216 23 2" xfId="7238" xr:uid="{00000000-0005-0000-0000-0000942B0000}"/>
    <cellStyle name="Porcentual 216 23 3" xfId="9218" xr:uid="{00000000-0005-0000-0000-0000952B0000}"/>
    <cellStyle name="Porcentual 216 24" xfId="3696" xr:uid="{00000000-0005-0000-0000-0000962B0000}"/>
    <cellStyle name="Porcentual 216 24 2" xfId="7239" xr:uid="{00000000-0005-0000-0000-0000972B0000}"/>
    <cellStyle name="Porcentual 216 24 3" xfId="9219" xr:uid="{00000000-0005-0000-0000-0000982B0000}"/>
    <cellStyle name="Porcentual 216 25" xfId="3697" xr:uid="{00000000-0005-0000-0000-0000992B0000}"/>
    <cellStyle name="Porcentual 216 25 2" xfId="7240" xr:uid="{00000000-0005-0000-0000-00009A2B0000}"/>
    <cellStyle name="Porcentual 216 25 3" xfId="9220" xr:uid="{00000000-0005-0000-0000-00009B2B0000}"/>
    <cellStyle name="Porcentual 216 26" xfId="3698" xr:uid="{00000000-0005-0000-0000-00009C2B0000}"/>
    <cellStyle name="Porcentual 216 26 2" xfId="7241" xr:uid="{00000000-0005-0000-0000-00009D2B0000}"/>
    <cellStyle name="Porcentual 216 26 3" xfId="9221" xr:uid="{00000000-0005-0000-0000-00009E2B0000}"/>
    <cellStyle name="Porcentual 216 27" xfId="3699" xr:uid="{00000000-0005-0000-0000-00009F2B0000}"/>
    <cellStyle name="Porcentual 216 27 2" xfId="7242" xr:uid="{00000000-0005-0000-0000-0000A02B0000}"/>
    <cellStyle name="Porcentual 216 27 3" xfId="9222" xr:uid="{00000000-0005-0000-0000-0000A12B0000}"/>
    <cellStyle name="Porcentual 216 28" xfId="3700" xr:uid="{00000000-0005-0000-0000-0000A22B0000}"/>
    <cellStyle name="Porcentual 216 28 2" xfId="7243" xr:uid="{00000000-0005-0000-0000-0000A32B0000}"/>
    <cellStyle name="Porcentual 216 28 3" xfId="9223" xr:uid="{00000000-0005-0000-0000-0000A42B0000}"/>
    <cellStyle name="Porcentual 216 3" xfId="3701" xr:uid="{00000000-0005-0000-0000-0000A52B0000}"/>
    <cellStyle name="Porcentual 216 3 2" xfId="7244" xr:uid="{00000000-0005-0000-0000-0000A62B0000}"/>
    <cellStyle name="Porcentual 216 3 3" xfId="9224" xr:uid="{00000000-0005-0000-0000-0000A72B0000}"/>
    <cellStyle name="Porcentual 216 4" xfId="3702" xr:uid="{00000000-0005-0000-0000-0000A82B0000}"/>
    <cellStyle name="Porcentual 216 4 2" xfId="7245" xr:uid="{00000000-0005-0000-0000-0000A92B0000}"/>
    <cellStyle name="Porcentual 216 4 3" xfId="9225" xr:uid="{00000000-0005-0000-0000-0000AA2B0000}"/>
    <cellStyle name="Porcentual 216 5" xfId="3703" xr:uid="{00000000-0005-0000-0000-0000AB2B0000}"/>
    <cellStyle name="Porcentual 216 5 2" xfId="7246" xr:uid="{00000000-0005-0000-0000-0000AC2B0000}"/>
    <cellStyle name="Porcentual 216 5 3" xfId="9226" xr:uid="{00000000-0005-0000-0000-0000AD2B0000}"/>
    <cellStyle name="Porcentual 216 6" xfId="3704" xr:uid="{00000000-0005-0000-0000-0000AE2B0000}"/>
    <cellStyle name="Porcentual 216 6 2" xfId="7247" xr:uid="{00000000-0005-0000-0000-0000AF2B0000}"/>
    <cellStyle name="Porcentual 216 6 3" xfId="9227" xr:uid="{00000000-0005-0000-0000-0000B02B0000}"/>
    <cellStyle name="Porcentual 216 7" xfId="3705" xr:uid="{00000000-0005-0000-0000-0000B12B0000}"/>
    <cellStyle name="Porcentual 216 7 2" xfId="7248" xr:uid="{00000000-0005-0000-0000-0000B22B0000}"/>
    <cellStyle name="Porcentual 216 7 3" xfId="9228" xr:uid="{00000000-0005-0000-0000-0000B32B0000}"/>
    <cellStyle name="Porcentual 216 8" xfId="3706" xr:uid="{00000000-0005-0000-0000-0000B42B0000}"/>
    <cellStyle name="Porcentual 216 8 2" xfId="7249" xr:uid="{00000000-0005-0000-0000-0000B52B0000}"/>
    <cellStyle name="Porcentual 216 8 3" xfId="9229" xr:uid="{00000000-0005-0000-0000-0000B62B0000}"/>
    <cellStyle name="Porcentual 216 9" xfId="3707" xr:uid="{00000000-0005-0000-0000-0000B72B0000}"/>
    <cellStyle name="Porcentual 216 9 2" xfId="7250" xr:uid="{00000000-0005-0000-0000-0000B82B0000}"/>
    <cellStyle name="Porcentual 216 9 3" xfId="9230" xr:uid="{00000000-0005-0000-0000-0000B92B0000}"/>
    <cellStyle name="Porcentual 217 10" xfId="3708" xr:uid="{00000000-0005-0000-0000-0000BA2B0000}"/>
    <cellStyle name="Porcentual 217 10 2" xfId="7251" xr:uid="{00000000-0005-0000-0000-0000BB2B0000}"/>
    <cellStyle name="Porcentual 217 10 3" xfId="9231" xr:uid="{00000000-0005-0000-0000-0000BC2B0000}"/>
    <cellStyle name="Porcentual 217 11" xfId="3709" xr:uid="{00000000-0005-0000-0000-0000BD2B0000}"/>
    <cellStyle name="Porcentual 217 11 2" xfId="7252" xr:uid="{00000000-0005-0000-0000-0000BE2B0000}"/>
    <cellStyle name="Porcentual 217 11 3" xfId="9232" xr:uid="{00000000-0005-0000-0000-0000BF2B0000}"/>
    <cellStyle name="Porcentual 217 12" xfId="3710" xr:uid="{00000000-0005-0000-0000-0000C02B0000}"/>
    <cellStyle name="Porcentual 217 12 2" xfId="7253" xr:uid="{00000000-0005-0000-0000-0000C12B0000}"/>
    <cellStyle name="Porcentual 217 12 3" xfId="9233" xr:uid="{00000000-0005-0000-0000-0000C22B0000}"/>
    <cellStyle name="Porcentual 217 13" xfId="3711" xr:uid="{00000000-0005-0000-0000-0000C32B0000}"/>
    <cellStyle name="Porcentual 217 13 2" xfId="7254" xr:uid="{00000000-0005-0000-0000-0000C42B0000}"/>
    <cellStyle name="Porcentual 217 13 3" xfId="9234" xr:uid="{00000000-0005-0000-0000-0000C52B0000}"/>
    <cellStyle name="Porcentual 217 14" xfId="3712" xr:uid="{00000000-0005-0000-0000-0000C62B0000}"/>
    <cellStyle name="Porcentual 217 14 2" xfId="7255" xr:uid="{00000000-0005-0000-0000-0000C72B0000}"/>
    <cellStyle name="Porcentual 217 14 3" xfId="9235" xr:uid="{00000000-0005-0000-0000-0000C82B0000}"/>
    <cellStyle name="Porcentual 217 15" xfId="3713" xr:uid="{00000000-0005-0000-0000-0000C92B0000}"/>
    <cellStyle name="Porcentual 217 15 2" xfId="7256" xr:uid="{00000000-0005-0000-0000-0000CA2B0000}"/>
    <cellStyle name="Porcentual 217 15 3" xfId="9236" xr:uid="{00000000-0005-0000-0000-0000CB2B0000}"/>
    <cellStyle name="Porcentual 217 16" xfId="3714" xr:uid="{00000000-0005-0000-0000-0000CC2B0000}"/>
    <cellStyle name="Porcentual 217 16 2" xfId="7257" xr:uid="{00000000-0005-0000-0000-0000CD2B0000}"/>
    <cellStyle name="Porcentual 217 16 3" xfId="9237" xr:uid="{00000000-0005-0000-0000-0000CE2B0000}"/>
    <cellStyle name="Porcentual 217 17" xfId="3715" xr:uid="{00000000-0005-0000-0000-0000CF2B0000}"/>
    <cellStyle name="Porcentual 217 17 2" xfId="7258" xr:uid="{00000000-0005-0000-0000-0000D02B0000}"/>
    <cellStyle name="Porcentual 217 17 3" xfId="9238" xr:uid="{00000000-0005-0000-0000-0000D12B0000}"/>
    <cellStyle name="Porcentual 217 18" xfId="3716" xr:uid="{00000000-0005-0000-0000-0000D22B0000}"/>
    <cellStyle name="Porcentual 217 18 2" xfId="7259" xr:uid="{00000000-0005-0000-0000-0000D32B0000}"/>
    <cellStyle name="Porcentual 217 18 3" xfId="9239" xr:uid="{00000000-0005-0000-0000-0000D42B0000}"/>
    <cellStyle name="Porcentual 217 19" xfId="3717" xr:uid="{00000000-0005-0000-0000-0000D52B0000}"/>
    <cellStyle name="Porcentual 217 19 2" xfId="7260" xr:uid="{00000000-0005-0000-0000-0000D62B0000}"/>
    <cellStyle name="Porcentual 217 19 3" xfId="9240" xr:uid="{00000000-0005-0000-0000-0000D72B0000}"/>
    <cellStyle name="Porcentual 217 2" xfId="3718" xr:uid="{00000000-0005-0000-0000-0000D82B0000}"/>
    <cellStyle name="Porcentual 217 2 2" xfId="7261" xr:uid="{00000000-0005-0000-0000-0000D92B0000}"/>
    <cellStyle name="Porcentual 217 2 3" xfId="9241" xr:uid="{00000000-0005-0000-0000-0000DA2B0000}"/>
    <cellStyle name="Porcentual 217 20" xfId="3719" xr:uid="{00000000-0005-0000-0000-0000DB2B0000}"/>
    <cellStyle name="Porcentual 217 20 2" xfId="7262" xr:uid="{00000000-0005-0000-0000-0000DC2B0000}"/>
    <cellStyle name="Porcentual 217 20 3" xfId="9242" xr:uid="{00000000-0005-0000-0000-0000DD2B0000}"/>
    <cellStyle name="Porcentual 217 21" xfId="3720" xr:uid="{00000000-0005-0000-0000-0000DE2B0000}"/>
    <cellStyle name="Porcentual 217 21 2" xfId="7263" xr:uid="{00000000-0005-0000-0000-0000DF2B0000}"/>
    <cellStyle name="Porcentual 217 21 3" xfId="9243" xr:uid="{00000000-0005-0000-0000-0000E02B0000}"/>
    <cellStyle name="Porcentual 217 22" xfId="3721" xr:uid="{00000000-0005-0000-0000-0000E12B0000}"/>
    <cellStyle name="Porcentual 217 22 2" xfId="7264" xr:uid="{00000000-0005-0000-0000-0000E22B0000}"/>
    <cellStyle name="Porcentual 217 22 3" xfId="9244" xr:uid="{00000000-0005-0000-0000-0000E32B0000}"/>
    <cellStyle name="Porcentual 217 23" xfId="3722" xr:uid="{00000000-0005-0000-0000-0000E42B0000}"/>
    <cellStyle name="Porcentual 217 23 2" xfId="7265" xr:uid="{00000000-0005-0000-0000-0000E52B0000}"/>
    <cellStyle name="Porcentual 217 23 3" xfId="9245" xr:uid="{00000000-0005-0000-0000-0000E62B0000}"/>
    <cellStyle name="Porcentual 217 24" xfId="3723" xr:uid="{00000000-0005-0000-0000-0000E72B0000}"/>
    <cellStyle name="Porcentual 217 24 2" xfId="7266" xr:uid="{00000000-0005-0000-0000-0000E82B0000}"/>
    <cellStyle name="Porcentual 217 24 3" xfId="9246" xr:uid="{00000000-0005-0000-0000-0000E92B0000}"/>
    <cellStyle name="Porcentual 217 25" xfId="3724" xr:uid="{00000000-0005-0000-0000-0000EA2B0000}"/>
    <cellStyle name="Porcentual 217 25 2" xfId="7267" xr:uid="{00000000-0005-0000-0000-0000EB2B0000}"/>
    <cellStyle name="Porcentual 217 25 3" xfId="9247" xr:uid="{00000000-0005-0000-0000-0000EC2B0000}"/>
    <cellStyle name="Porcentual 217 26" xfId="3725" xr:uid="{00000000-0005-0000-0000-0000ED2B0000}"/>
    <cellStyle name="Porcentual 217 26 2" xfId="7268" xr:uid="{00000000-0005-0000-0000-0000EE2B0000}"/>
    <cellStyle name="Porcentual 217 26 3" xfId="9248" xr:uid="{00000000-0005-0000-0000-0000EF2B0000}"/>
    <cellStyle name="Porcentual 217 27" xfId="3726" xr:uid="{00000000-0005-0000-0000-0000F02B0000}"/>
    <cellStyle name="Porcentual 217 27 2" xfId="7269" xr:uid="{00000000-0005-0000-0000-0000F12B0000}"/>
    <cellStyle name="Porcentual 217 27 3" xfId="9249" xr:uid="{00000000-0005-0000-0000-0000F22B0000}"/>
    <cellStyle name="Porcentual 217 28" xfId="3727" xr:uid="{00000000-0005-0000-0000-0000F32B0000}"/>
    <cellStyle name="Porcentual 217 28 2" xfId="7270" xr:uid="{00000000-0005-0000-0000-0000F42B0000}"/>
    <cellStyle name="Porcentual 217 28 3" xfId="9250" xr:uid="{00000000-0005-0000-0000-0000F52B0000}"/>
    <cellStyle name="Porcentual 217 3" xfId="3728" xr:uid="{00000000-0005-0000-0000-0000F62B0000}"/>
    <cellStyle name="Porcentual 217 3 2" xfId="7271" xr:uid="{00000000-0005-0000-0000-0000F72B0000}"/>
    <cellStyle name="Porcentual 217 3 3" xfId="9251" xr:uid="{00000000-0005-0000-0000-0000F82B0000}"/>
    <cellStyle name="Porcentual 217 4" xfId="3729" xr:uid="{00000000-0005-0000-0000-0000F92B0000}"/>
    <cellStyle name="Porcentual 217 4 2" xfId="7272" xr:uid="{00000000-0005-0000-0000-0000FA2B0000}"/>
    <cellStyle name="Porcentual 217 4 3" xfId="9252" xr:uid="{00000000-0005-0000-0000-0000FB2B0000}"/>
    <cellStyle name="Porcentual 217 5" xfId="3730" xr:uid="{00000000-0005-0000-0000-0000FC2B0000}"/>
    <cellStyle name="Porcentual 217 5 2" xfId="7273" xr:uid="{00000000-0005-0000-0000-0000FD2B0000}"/>
    <cellStyle name="Porcentual 217 5 3" xfId="9253" xr:uid="{00000000-0005-0000-0000-0000FE2B0000}"/>
    <cellStyle name="Porcentual 217 6" xfId="3731" xr:uid="{00000000-0005-0000-0000-0000FF2B0000}"/>
    <cellStyle name="Porcentual 217 6 2" xfId="7274" xr:uid="{00000000-0005-0000-0000-0000002C0000}"/>
    <cellStyle name="Porcentual 217 6 3" xfId="9254" xr:uid="{00000000-0005-0000-0000-0000012C0000}"/>
    <cellStyle name="Porcentual 217 7" xfId="3732" xr:uid="{00000000-0005-0000-0000-0000022C0000}"/>
    <cellStyle name="Porcentual 217 7 2" xfId="7275" xr:uid="{00000000-0005-0000-0000-0000032C0000}"/>
    <cellStyle name="Porcentual 217 7 3" xfId="9255" xr:uid="{00000000-0005-0000-0000-0000042C0000}"/>
    <cellStyle name="Porcentual 217 8" xfId="3733" xr:uid="{00000000-0005-0000-0000-0000052C0000}"/>
    <cellStyle name="Porcentual 217 8 2" xfId="7276" xr:uid="{00000000-0005-0000-0000-0000062C0000}"/>
    <cellStyle name="Porcentual 217 8 3" xfId="9256" xr:uid="{00000000-0005-0000-0000-0000072C0000}"/>
    <cellStyle name="Porcentual 217 9" xfId="3734" xr:uid="{00000000-0005-0000-0000-0000082C0000}"/>
    <cellStyle name="Porcentual 217 9 2" xfId="7277" xr:uid="{00000000-0005-0000-0000-0000092C0000}"/>
    <cellStyle name="Porcentual 217 9 3" xfId="9257" xr:uid="{00000000-0005-0000-0000-00000A2C0000}"/>
    <cellStyle name="Porcentual 219 10" xfId="3735" xr:uid="{00000000-0005-0000-0000-00000B2C0000}"/>
    <cellStyle name="Porcentual 219 10 2" xfId="7278" xr:uid="{00000000-0005-0000-0000-00000C2C0000}"/>
    <cellStyle name="Porcentual 219 10 3" xfId="9258" xr:uid="{00000000-0005-0000-0000-00000D2C0000}"/>
    <cellStyle name="Porcentual 219 11" xfId="3736" xr:uid="{00000000-0005-0000-0000-00000E2C0000}"/>
    <cellStyle name="Porcentual 219 11 2" xfId="7279" xr:uid="{00000000-0005-0000-0000-00000F2C0000}"/>
    <cellStyle name="Porcentual 219 11 3" xfId="9259" xr:uid="{00000000-0005-0000-0000-0000102C0000}"/>
    <cellStyle name="Porcentual 219 12" xfId="3737" xr:uid="{00000000-0005-0000-0000-0000112C0000}"/>
    <cellStyle name="Porcentual 219 12 2" xfId="7280" xr:uid="{00000000-0005-0000-0000-0000122C0000}"/>
    <cellStyle name="Porcentual 219 12 3" xfId="9260" xr:uid="{00000000-0005-0000-0000-0000132C0000}"/>
    <cellStyle name="Porcentual 219 13" xfId="3738" xr:uid="{00000000-0005-0000-0000-0000142C0000}"/>
    <cellStyle name="Porcentual 219 13 2" xfId="7281" xr:uid="{00000000-0005-0000-0000-0000152C0000}"/>
    <cellStyle name="Porcentual 219 13 3" xfId="9261" xr:uid="{00000000-0005-0000-0000-0000162C0000}"/>
    <cellStyle name="Porcentual 219 14" xfId="3739" xr:uid="{00000000-0005-0000-0000-0000172C0000}"/>
    <cellStyle name="Porcentual 219 14 2" xfId="7282" xr:uid="{00000000-0005-0000-0000-0000182C0000}"/>
    <cellStyle name="Porcentual 219 14 3" xfId="9262" xr:uid="{00000000-0005-0000-0000-0000192C0000}"/>
    <cellStyle name="Porcentual 219 15" xfId="3740" xr:uid="{00000000-0005-0000-0000-00001A2C0000}"/>
    <cellStyle name="Porcentual 219 15 2" xfId="7283" xr:uid="{00000000-0005-0000-0000-00001B2C0000}"/>
    <cellStyle name="Porcentual 219 15 3" xfId="9263" xr:uid="{00000000-0005-0000-0000-00001C2C0000}"/>
    <cellStyle name="Porcentual 219 16" xfId="3741" xr:uid="{00000000-0005-0000-0000-00001D2C0000}"/>
    <cellStyle name="Porcentual 219 16 2" xfId="7284" xr:uid="{00000000-0005-0000-0000-00001E2C0000}"/>
    <cellStyle name="Porcentual 219 16 3" xfId="9264" xr:uid="{00000000-0005-0000-0000-00001F2C0000}"/>
    <cellStyle name="Porcentual 219 17" xfId="3742" xr:uid="{00000000-0005-0000-0000-0000202C0000}"/>
    <cellStyle name="Porcentual 219 17 2" xfId="7285" xr:uid="{00000000-0005-0000-0000-0000212C0000}"/>
    <cellStyle name="Porcentual 219 17 3" xfId="9265" xr:uid="{00000000-0005-0000-0000-0000222C0000}"/>
    <cellStyle name="Porcentual 219 18" xfId="3743" xr:uid="{00000000-0005-0000-0000-0000232C0000}"/>
    <cellStyle name="Porcentual 219 18 2" xfId="7286" xr:uid="{00000000-0005-0000-0000-0000242C0000}"/>
    <cellStyle name="Porcentual 219 18 3" xfId="9266" xr:uid="{00000000-0005-0000-0000-0000252C0000}"/>
    <cellStyle name="Porcentual 219 19" xfId="3744" xr:uid="{00000000-0005-0000-0000-0000262C0000}"/>
    <cellStyle name="Porcentual 219 19 2" xfId="7287" xr:uid="{00000000-0005-0000-0000-0000272C0000}"/>
    <cellStyle name="Porcentual 219 19 3" xfId="9267" xr:uid="{00000000-0005-0000-0000-0000282C0000}"/>
    <cellStyle name="Porcentual 219 2" xfId="3745" xr:uid="{00000000-0005-0000-0000-0000292C0000}"/>
    <cellStyle name="Porcentual 219 2 2" xfId="7288" xr:uid="{00000000-0005-0000-0000-00002A2C0000}"/>
    <cellStyle name="Porcentual 219 2 3" xfId="9268" xr:uid="{00000000-0005-0000-0000-00002B2C0000}"/>
    <cellStyle name="Porcentual 219 20" xfId="3746" xr:uid="{00000000-0005-0000-0000-00002C2C0000}"/>
    <cellStyle name="Porcentual 219 20 2" xfId="7289" xr:uid="{00000000-0005-0000-0000-00002D2C0000}"/>
    <cellStyle name="Porcentual 219 20 3" xfId="9269" xr:uid="{00000000-0005-0000-0000-00002E2C0000}"/>
    <cellStyle name="Porcentual 219 21" xfId="3747" xr:uid="{00000000-0005-0000-0000-00002F2C0000}"/>
    <cellStyle name="Porcentual 219 21 2" xfId="7290" xr:uid="{00000000-0005-0000-0000-0000302C0000}"/>
    <cellStyle name="Porcentual 219 21 3" xfId="9270" xr:uid="{00000000-0005-0000-0000-0000312C0000}"/>
    <cellStyle name="Porcentual 219 22" xfId="3748" xr:uid="{00000000-0005-0000-0000-0000322C0000}"/>
    <cellStyle name="Porcentual 219 22 2" xfId="7291" xr:uid="{00000000-0005-0000-0000-0000332C0000}"/>
    <cellStyle name="Porcentual 219 22 3" xfId="9271" xr:uid="{00000000-0005-0000-0000-0000342C0000}"/>
    <cellStyle name="Porcentual 219 23" xfId="3749" xr:uid="{00000000-0005-0000-0000-0000352C0000}"/>
    <cellStyle name="Porcentual 219 23 2" xfId="7292" xr:uid="{00000000-0005-0000-0000-0000362C0000}"/>
    <cellStyle name="Porcentual 219 23 3" xfId="9272" xr:uid="{00000000-0005-0000-0000-0000372C0000}"/>
    <cellStyle name="Porcentual 219 24" xfId="3750" xr:uid="{00000000-0005-0000-0000-0000382C0000}"/>
    <cellStyle name="Porcentual 219 24 2" xfId="7293" xr:uid="{00000000-0005-0000-0000-0000392C0000}"/>
    <cellStyle name="Porcentual 219 24 3" xfId="9273" xr:uid="{00000000-0005-0000-0000-00003A2C0000}"/>
    <cellStyle name="Porcentual 219 25" xfId="3751" xr:uid="{00000000-0005-0000-0000-00003B2C0000}"/>
    <cellStyle name="Porcentual 219 25 2" xfId="7294" xr:uid="{00000000-0005-0000-0000-00003C2C0000}"/>
    <cellStyle name="Porcentual 219 25 3" xfId="9274" xr:uid="{00000000-0005-0000-0000-00003D2C0000}"/>
    <cellStyle name="Porcentual 219 26" xfId="3752" xr:uid="{00000000-0005-0000-0000-00003E2C0000}"/>
    <cellStyle name="Porcentual 219 26 2" xfId="7295" xr:uid="{00000000-0005-0000-0000-00003F2C0000}"/>
    <cellStyle name="Porcentual 219 26 3" xfId="9275" xr:uid="{00000000-0005-0000-0000-0000402C0000}"/>
    <cellStyle name="Porcentual 219 27" xfId="3753" xr:uid="{00000000-0005-0000-0000-0000412C0000}"/>
    <cellStyle name="Porcentual 219 27 2" xfId="7296" xr:uid="{00000000-0005-0000-0000-0000422C0000}"/>
    <cellStyle name="Porcentual 219 27 3" xfId="9276" xr:uid="{00000000-0005-0000-0000-0000432C0000}"/>
    <cellStyle name="Porcentual 219 28" xfId="3754" xr:uid="{00000000-0005-0000-0000-0000442C0000}"/>
    <cellStyle name="Porcentual 219 28 2" xfId="7297" xr:uid="{00000000-0005-0000-0000-0000452C0000}"/>
    <cellStyle name="Porcentual 219 28 3" xfId="9277" xr:uid="{00000000-0005-0000-0000-0000462C0000}"/>
    <cellStyle name="Porcentual 219 3" xfId="3755" xr:uid="{00000000-0005-0000-0000-0000472C0000}"/>
    <cellStyle name="Porcentual 219 3 2" xfId="7298" xr:uid="{00000000-0005-0000-0000-0000482C0000}"/>
    <cellStyle name="Porcentual 219 3 3" xfId="9278" xr:uid="{00000000-0005-0000-0000-0000492C0000}"/>
    <cellStyle name="Porcentual 219 4" xfId="3756" xr:uid="{00000000-0005-0000-0000-00004A2C0000}"/>
    <cellStyle name="Porcentual 219 4 2" xfId="7299" xr:uid="{00000000-0005-0000-0000-00004B2C0000}"/>
    <cellStyle name="Porcentual 219 4 3" xfId="9279" xr:uid="{00000000-0005-0000-0000-00004C2C0000}"/>
    <cellStyle name="Porcentual 219 5" xfId="3757" xr:uid="{00000000-0005-0000-0000-00004D2C0000}"/>
    <cellStyle name="Porcentual 219 5 2" xfId="7300" xr:uid="{00000000-0005-0000-0000-00004E2C0000}"/>
    <cellStyle name="Porcentual 219 5 3" xfId="9280" xr:uid="{00000000-0005-0000-0000-00004F2C0000}"/>
    <cellStyle name="Porcentual 219 6" xfId="3758" xr:uid="{00000000-0005-0000-0000-0000502C0000}"/>
    <cellStyle name="Porcentual 219 6 2" xfId="7301" xr:uid="{00000000-0005-0000-0000-0000512C0000}"/>
    <cellStyle name="Porcentual 219 6 3" xfId="9281" xr:uid="{00000000-0005-0000-0000-0000522C0000}"/>
    <cellStyle name="Porcentual 219 7" xfId="3759" xr:uid="{00000000-0005-0000-0000-0000532C0000}"/>
    <cellStyle name="Porcentual 219 7 2" xfId="7302" xr:uid="{00000000-0005-0000-0000-0000542C0000}"/>
    <cellStyle name="Porcentual 219 7 3" xfId="9282" xr:uid="{00000000-0005-0000-0000-0000552C0000}"/>
    <cellStyle name="Porcentual 219 8" xfId="3760" xr:uid="{00000000-0005-0000-0000-0000562C0000}"/>
    <cellStyle name="Porcentual 219 8 2" xfId="7303" xr:uid="{00000000-0005-0000-0000-0000572C0000}"/>
    <cellStyle name="Porcentual 219 8 3" xfId="9283" xr:uid="{00000000-0005-0000-0000-0000582C0000}"/>
    <cellStyle name="Porcentual 219 9" xfId="3761" xr:uid="{00000000-0005-0000-0000-0000592C0000}"/>
    <cellStyle name="Porcentual 219 9 2" xfId="7304" xr:uid="{00000000-0005-0000-0000-00005A2C0000}"/>
    <cellStyle name="Porcentual 219 9 3" xfId="9284" xr:uid="{00000000-0005-0000-0000-00005B2C0000}"/>
    <cellStyle name="Porcentual 22" xfId="3762" xr:uid="{00000000-0005-0000-0000-00005C2C0000}"/>
    <cellStyle name="Porcentual 22 10" xfId="3763" xr:uid="{00000000-0005-0000-0000-00005D2C0000}"/>
    <cellStyle name="Porcentual 22 10 2" xfId="7305" xr:uid="{00000000-0005-0000-0000-00005E2C0000}"/>
    <cellStyle name="Porcentual 22 10 3" xfId="9286" xr:uid="{00000000-0005-0000-0000-00005F2C0000}"/>
    <cellStyle name="Porcentual 22 11" xfId="3764" xr:uid="{00000000-0005-0000-0000-0000602C0000}"/>
    <cellStyle name="Porcentual 22 11 2" xfId="7306" xr:uid="{00000000-0005-0000-0000-0000612C0000}"/>
    <cellStyle name="Porcentual 22 11 3" xfId="9287" xr:uid="{00000000-0005-0000-0000-0000622C0000}"/>
    <cellStyle name="Porcentual 22 12" xfId="3765" xr:uid="{00000000-0005-0000-0000-0000632C0000}"/>
    <cellStyle name="Porcentual 22 12 2" xfId="7307" xr:uid="{00000000-0005-0000-0000-0000642C0000}"/>
    <cellStyle name="Porcentual 22 12 3" xfId="9288" xr:uid="{00000000-0005-0000-0000-0000652C0000}"/>
    <cellStyle name="Porcentual 22 13" xfId="3766" xr:uid="{00000000-0005-0000-0000-0000662C0000}"/>
    <cellStyle name="Porcentual 22 13 2" xfId="7308" xr:uid="{00000000-0005-0000-0000-0000672C0000}"/>
    <cellStyle name="Porcentual 22 13 3" xfId="9289" xr:uid="{00000000-0005-0000-0000-0000682C0000}"/>
    <cellStyle name="Porcentual 22 14" xfId="3767" xr:uid="{00000000-0005-0000-0000-0000692C0000}"/>
    <cellStyle name="Porcentual 22 14 2" xfId="7309" xr:uid="{00000000-0005-0000-0000-00006A2C0000}"/>
    <cellStyle name="Porcentual 22 14 3" xfId="9290" xr:uid="{00000000-0005-0000-0000-00006B2C0000}"/>
    <cellStyle name="Porcentual 22 15" xfId="3768" xr:uid="{00000000-0005-0000-0000-00006C2C0000}"/>
    <cellStyle name="Porcentual 22 15 2" xfId="7310" xr:uid="{00000000-0005-0000-0000-00006D2C0000}"/>
    <cellStyle name="Porcentual 22 15 3" xfId="9291" xr:uid="{00000000-0005-0000-0000-00006E2C0000}"/>
    <cellStyle name="Porcentual 22 16" xfId="3769" xr:uid="{00000000-0005-0000-0000-00006F2C0000}"/>
    <cellStyle name="Porcentual 22 16 2" xfId="7311" xr:uid="{00000000-0005-0000-0000-0000702C0000}"/>
    <cellStyle name="Porcentual 22 16 3" xfId="9292" xr:uid="{00000000-0005-0000-0000-0000712C0000}"/>
    <cellStyle name="Porcentual 22 17" xfId="3770" xr:uid="{00000000-0005-0000-0000-0000722C0000}"/>
    <cellStyle name="Porcentual 22 17 2" xfId="7312" xr:uid="{00000000-0005-0000-0000-0000732C0000}"/>
    <cellStyle name="Porcentual 22 17 3" xfId="9293" xr:uid="{00000000-0005-0000-0000-0000742C0000}"/>
    <cellStyle name="Porcentual 22 18" xfId="3771" xr:uid="{00000000-0005-0000-0000-0000752C0000}"/>
    <cellStyle name="Porcentual 22 18 2" xfId="7313" xr:uid="{00000000-0005-0000-0000-0000762C0000}"/>
    <cellStyle name="Porcentual 22 18 3" xfId="9294" xr:uid="{00000000-0005-0000-0000-0000772C0000}"/>
    <cellStyle name="Porcentual 22 19" xfId="3772" xr:uid="{00000000-0005-0000-0000-0000782C0000}"/>
    <cellStyle name="Porcentual 22 19 2" xfId="7314" xr:uid="{00000000-0005-0000-0000-0000792C0000}"/>
    <cellStyle name="Porcentual 22 19 3" xfId="9295" xr:uid="{00000000-0005-0000-0000-00007A2C0000}"/>
    <cellStyle name="Porcentual 22 2" xfId="3773" xr:uid="{00000000-0005-0000-0000-00007B2C0000}"/>
    <cellStyle name="Porcentual 22 2 2" xfId="7315" xr:uid="{00000000-0005-0000-0000-00007C2C0000}"/>
    <cellStyle name="Porcentual 22 2 3" xfId="9296" xr:uid="{00000000-0005-0000-0000-00007D2C0000}"/>
    <cellStyle name="Porcentual 22 20" xfId="3774" xr:uid="{00000000-0005-0000-0000-00007E2C0000}"/>
    <cellStyle name="Porcentual 22 20 2" xfId="7316" xr:uid="{00000000-0005-0000-0000-00007F2C0000}"/>
    <cellStyle name="Porcentual 22 20 3" xfId="9297" xr:uid="{00000000-0005-0000-0000-0000802C0000}"/>
    <cellStyle name="Porcentual 22 21" xfId="3775" xr:uid="{00000000-0005-0000-0000-0000812C0000}"/>
    <cellStyle name="Porcentual 22 21 2" xfId="7317" xr:uid="{00000000-0005-0000-0000-0000822C0000}"/>
    <cellStyle name="Porcentual 22 21 3" xfId="9298" xr:uid="{00000000-0005-0000-0000-0000832C0000}"/>
    <cellStyle name="Porcentual 22 22" xfId="3776" xr:uid="{00000000-0005-0000-0000-0000842C0000}"/>
    <cellStyle name="Porcentual 22 22 2" xfId="7318" xr:uid="{00000000-0005-0000-0000-0000852C0000}"/>
    <cellStyle name="Porcentual 22 22 3" xfId="9299" xr:uid="{00000000-0005-0000-0000-0000862C0000}"/>
    <cellStyle name="Porcentual 22 23" xfId="3777" xr:uid="{00000000-0005-0000-0000-0000872C0000}"/>
    <cellStyle name="Porcentual 22 23 2" xfId="7319" xr:uid="{00000000-0005-0000-0000-0000882C0000}"/>
    <cellStyle name="Porcentual 22 23 3" xfId="9300" xr:uid="{00000000-0005-0000-0000-0000892C0000}"/>
    <cellStyle name="Porcentual 22 24" xfId="3778" xr:uid="{00000000-0005-0000-0000-00008A2C0000}"/>
    <cellStyle name="Porcentual 22 24 2" xfId="7320" xr:uid="{00000000-0005-0000-0000-00008B2C0000}"/>
    <cellStyle name="Porcentual 22 24 3" xfId="9301" xr:uid="{00000000-0005-0000-0000-00008C2C0000}"/>
    <cellStyle name="Porcentual 22 25" xfId="3779" xr:uid="{00000000-0005-0000-0000-00008D2C0000}"/>
    <cellStyle name="Porcentual 22 25 2" xfId="7321" xr:uid="{00000000-0005-0000-0000-00008E2C0000}"/>
    <cellStyle name="Porcentual 22 25 3" xfId="9302" xr:uid="{00000000-0005-0000-0000-00008F2C0000}"/>
    <cellStyle name="Porcentual 22 26" xfId="3780" xr:uid="{00000000-0005-0000-0000-0000902C0000}"/>
    <cellStyle name="Porcentual 22 26 2" xfId="7322" xr:uid="{00000000-0005-0000-0000-0000912C0000}"/>
    <cellStyle name="Porcentual 22 26 3" xfId="9303" xr:uid="{00000000-0005-0000-0000-0000922C0000}"/>
    <cellStyle name="Porcentual 22 27" xfId="3781" xr:uid="{00000000-0005-0000-0000-0000932C0000}"/>
    <cellStyle name="Porcentual 22 27 2" xfId="7323" xr:uid="{00000000-0005-0000-0000-0000942C0000}"/>
    <cellStyle name="Porcentual 22 27 3" xfId="9304" xr:uid="{00000000-0005-0000-0000-0000952C0000}"/>
    <cellStyle name="Porcentual 22 28" xfId="3782" xr:uid="{00000000-0005-0000-0000-0000962C0000}"/>
    <cellStyle name="Porcentual 22 28 2" xfId="7324" xr:uid="{00000000-0005-0000-0000-0000972C0000}"/>
    <cellStyle name="Porcentual 22 28 3" xfId="9305" xr:uid="{00000000-0005-0000-0000-0000982C0000}"/>
    <cellStyle name="Porcentual 22 29" xfId="7325" xr:uid="{00000000-0005-0000-0000-0000992C0000}"/>
    <cellStyle name="Porcentual 22 3" xfId="3783" xr:uid="{00000000-0005-0000-0000-00009A2C0000}"/>
    <cellStyle name="Porcentual 22 3 2" xfId="7326" xr:uid="{00000000-0005-0000-0000-00009B2C0000}"/>
    <cellStyle name="Porcentual 22 3 3" xfId="9306" xr:uid="{00000000-0005-0000-0000-00009C2C0000}"/>
    <cellStyle name="Porcentual 22 30" xfId="9285" xr:uid="{00000000-0005-0000-0000-00009D2C0000}"/>
    <cellStyle name="Porcentual 22 4" xfId="3784" xr:uid="{00000000-0005-0000-0000-00009E2C0000}"/>
    <cellStyle name="Porcentual 22 4 2" xfId="7327" xr:uid="{00000000-0005-0000-0000-00009F2C0000}"/>
    <cellStyle name="Porcentual 22 4 3" xfId="9307" xr:uid="{00000000-0005-0000-0000-0000A02C0000}"/>
    <cellStyle name="Porcentual 22 5" xfId="3785" xr:uid="{00000000-0005-0000-0000-0000A12C0000}"/>
    <cellStyle name="Porcentual 22 5 2" xfId="7328" xr:uid="{00000000-0005-0000-0000-0000A22C0000}"/>
    <cellStyle name="Porcentual 22 5 3" xfId="9308" xr:uid="{00000000-0005-0000-0000-0000A32C0000}"/>
    <cellStyle name="Porcentual 22 6" xfId="3786" xr:uid="{00000000-0005-0000-0000-0000A42C0000}"/>
    <cellStyle name="Porcentual 22 6 2" xfId="7329" xr:uid="{00000000-0005-0000-0000-0000A52C0000}"/>
    <cellStyle name="Porcentual 22 6 3" xfId="9309" xr:uid="{00000000-0005-0000-0000-0000A62C0000}"/>
    <cellStyle name="Porcentual 22 7" xfId="3787" xr:uid="{00000000-0005-0000-0000-0000A72C0000}"/>
    <cellStyle name="Porcentual 22 7 2" xfId="7330" xr:uid="{00000000-0005-0000-0000-0000A82C0000}"/>
    <cellStyle name="Porcentual 22 7 3" xfId="9310" xr:uid="{00000000-0005-0000-0000-0000A92C0000}"/>
    <cellStyle name="Porcentual 22 8" xfId="3788" xr:uid="{00000000-0005-0000-0000-0000AA2C0000}"/>
    <cellStyle name="Porcentual 22 8 2" xfId="7331" xr:uid="{00000000-0005-0000-0000-0000AB2C0000}"/>
    <cellStyle name="Porcentual 22 8 3" xfId="9311" xr:uid="{00000000-0005-0000-0000-0000AC2C0000}"/>
    <cellStyle name="Porcentual 22 9" xfId="3789" xr:uid="{00000000-0005-0000-0000-0000AD2C0000}"/>
    <cellStyle name="Porcentual 22 9 2" xfId="7332" xr:uid="{00000000-0005-0000-0000-0000AE2C0000}"/>
    <cellStyle name="Porcentual 22 9 3" xfId="9312" xr:uid="{00000000-0005-0000-0000-0000AF2C0000}"/>
    <cellStyle name="Porcentual 220 10" xfId="3790" xr:uid="{00000000-0005-0000-0000-0000B02C0000}"/>
    <cellStyle name="Porcentual 220 10 2" xfId="7333" xr:uid="{00000000-0005-0000-0000-0000B12C0000}"/>
    <cellStyle name="Porcentual 220 10 3" xfId="9313" xr:uid="{00000000-0005-0000-0000-0000B22C0000}"/>
    <cellStyle name="Porcentual 220 11" xfId="3791" xr:uid="{00000000-0005-0000-0000-0000B32C0000}"/>
    <cellStyle name="Porcentual 220 11 2" xfId="7334" xr:uid="{00000000-0005-0000-0000-0000B42C0000}"/>
    <cellStyle name="Porcentual 220 11 3" xfId="9314" xr:uid="{00000000-0005-0000-0000-0000B52C0000}"/>
    <cellStyle name="Porcentual 220 12" xfId="3792" xr:uid="{00000000-0005-0000-0000-0000B62C0000}"/>
    <cellStyle name="Porcentual 220 12 2" xfId="7335" xr:uid="{00000000-0005-0000-0000-0000B72C0000}"/>
    <cellStyle name="Porcentual 220 12 3" xfId="9315" xr:uid="{00000000-0005-0000-0000-0000B82C0000}"/>
    <cellStyle name="Porcentual 220 13" xfId="3793" xr:uid="{00000000-0005-0000-0000-0000B92C0000}"/>
    <cellStyle name="Porcentual 220 13 2" xfId="7336" xr:uid="{00000000-0005-0000-0000-0000BA2C0000}"/>
    <cellStyle name="Porcentual 220 13 3" xfId="9316" xr:uid="{00000000-0005-0000-0000-0000BB2C0000}"/>
    <cellStyle name="Porcentual 220 14" xfId="3794" xr:uid="{00000000-0005-0000-0000-0000BC2C0000}"/>
    <cellStyle name="Porcentual 220 14 2" xfId="7337" xr:uid="{00000000-0005-0000-0000-0000BD2C0000}"/>
    <cellStyle name="Porcentual 220 14 3" xfId="9317" xr:uid="{00000000-0005-0000-0000-0000BE2C0000}"/>
    <cellStyle name="Porcentual 220 15" xfId="3795" xr:uid="{00000000-0005-0000-0000-0000BF2C0000}"/>
    <cellStyle name="Porcentual 220 15 2" xfId="7338" xr:uid="{00000000-0005-0000-0000-0000C02C0000}"/>
    <cellStyle name="Porcentual 220 15 3" xfId="9318" xr:uid="{00000000-0005-0000-0000-0000C12C0000}"/>
    <cellStyle name="Porcentual 220 16" xfId="3796" xr:uid="{00000000-0005-0000-0000-0000C22C0000}"/>
    <cellStyle name="Porcentual 220 16 2" xfId="7339" xr:uid="{00000000-0005-0000-0000-0000C32C0000}"/>
    <cellStyle name="Porcentual 220 16 3" xfId="9319" xr:uid="{00000000-0005-0000-0000-0000C42C0000}"/>
    <cellStyle name="Porcentual 220 17" xfId="3797" xr:uid="{00000000-0005-0000-0000-0000C52C0000}"/>
    <cellStyle name="Porcentual 220 17 2" xfId="7340" xr:uid="{00000000-0005-0000-0000-0000C62C0000}"/>
    <cellStyle name="Porcentual 220 17 3" xfId="9320" xr:uid="{00000000-0005-0000-0000-0000C72C0000}"/>
    <cellStyle name="Porcentual 220 18" xfId="3798" xr:uid="{00000000-0005-0000-0000-0000C82C0000}"/>
    <cellStyle name="Porcentual 220 18 2" xfId="7341" xr:uid="{00000000-0005-0000-0000-0000C92C0000}"/>
    <cellStyle name="Porcentual 220 18 3" xfId="9321" xr:uid="{00000000-0005-0000-0000-0000CA2C0000}"/>
    <cellStyle name="Porcentual 220 19" xfId="3799" xr:uid="{00000000-0005-0000-0000-0000CB2C0000}"/>
    <cellStyle name="Porcentual 220 19 2" xfId="7342" xr:uid="{00000000-0005-0000-0000-0000CC2C0000}"/>
    <cellStyle name="Porcentual 220 19 3" xfId="9322" xr:uid="{00000000-0005-0000-0000-0000CD2C0000}"/>
    <cellStyle name="Porcentual 220 2" xfId="3800" xr:uid="{00000000-0005-0000-0000-0000CE2C0000}"/>
    <cellStyle name="Porcentual 220 2 2" xfId="7343" xr:uid="{00000000-0005-0000-0000-0000CF2C0000}"/>
    <cellStyle name="Porcentual 220 2 3" xfId="9323" xr:uid="{00000000-0005-0000-0000-0000D02C0000}"/>
    <cellStyle name="Porcentual 220 20" xfId="3801" xr:uid="{00000000-0005-0000-0000-0000D12C0000}"/>
    <cellStyle name="Porcentual 220 20 2" xfId="7344" xr:uid="{00000000-0005-0000-0000-0000D22C0000}"/>
    <cellStyle name="Porcentual 220 20 3" xfId="9324" xr:uid="{00000000-0005-0000-0000-0000D32C0000}"/>
    <cellStyle name="Porcentual 220 21" xfId="3802" xr:uid="{00000000-0005-0000-0000-0000D42C0000}"/>
    <cellStyle name="Porcentual 220 21 2" xfId="7345" xr:uid="{00000000-0005-0000-0000-0000D52C0000}"/>
    <cellStyle name="Porcentual 220 21 3" xfId="9325" xr:uid="{00000000-0005-0000-0000-0000D62C0000}"/>
    <cellStyle name="Porcentual 220 22" xfId="3803" xr:uid="{00000000-0005-0000-0000-0000D72C0000}"/>
    <cellStyle name="Porcentual 220 22 2" xfId="7346" xr:uid="{00000000-0005-0000-0000-0000D82C0000}"/>
    <cellStyle name="Porcentual 220 22 3" xfId="9326" xr:uid="{00000000-0005-0000-0000-0000D92C0000}"/>
    <cellStyle name="Porcentual 220 23" xfId="3804" xr:uid="{00000000-0005-0000-0000-0000DA2C0000}"/>
    <cellStyle name="Porcentual 220 23 2" xfId="7347" xr:uid="{00000000-0005-0000-0000-0000DB2C0000}"/>
    <cellStyle name="Porcentual 220 23 3" xfId="9327" xr:uid="{00000000-0005-0000-0000-0000DC2C0000}"/>
    <cellStyle name="Porcentual 220 24" xfId="3805" xr:uid="{00000000-0005-0000-0000-0000DD2C0000}"/>
    <cellStyle name="Porcentual 220 24 2" xfId="7348" xr:uid="{00000000-0005-0000-0000-0000DE2C0000}"/>
    <cellStyle name="Porcentual 220 24 3" xfId="9328" xr:uid="{00000000-0005-0000-0000-0000DF2C0000}"/>
    <cellStyle name="Porcentual 220 25" xfId="3806" xr:uid="{00000000-0005-0000-0000-0000E02C0000}"/>
    <cellStyle name="Porcentual 220 25 2" xfId="7349" xr:uid="{00000000-0005-0000-0000-0000E12C0000}"/>
    <cellStyle name="Porcentual 220 25 3" xfId="9329" xr:uid="{00000000-0005-0000-0000-0000E22C0000}"/>
    <cellStyle name="Porcentual 220 26" xfId="3807" xr:uid="{00000000-0005-0000-0000-0000E32C0000}"/>
    <cellStyle name="Porcentual 220 26 2" xfId="7350" xr:uid="{00000000-0005-0000-0000-0000E42C0000}"/>
    <cellStyle name="Porcentual 220 26 3" xfId="9330" xr:uid="{00000000-0005-0000-0000-0000E52C0000}"/>
    <cellStyle name="Porcentual 220 27" xfId="3808" xr:uid="{00000000-0005-0000-0000-0000E62C0000}"/>
    <cellStyle name="Porcentual 220 27 2" xfId="7351" xr:uid="{00000000-0005-0000-0000-0000E72C0000}"/>
    <cellStyle name="Porcentual 220 27 3" xfId="9331" xr:uid="{00000000-0005-0000-0000-0000E82C0000}"/>
    <cellStyle name="Porcentual 220 28" xfId="3809" xr:uid="{00000000-0005-0000-0000-0000E92C0000}"/>
    <cellStyle name="Porcentual 220 28 2" xfId="7352" xr:uid="{00000000-0005-0000-0000-0000EA2C0000}"/>
    <cellStyle name="Porcentual 220 28 3" xfId="9332" xr:uid="{00000000-0005-0000-0000-0000EB2C0000}"/>
    <cellStyle name="Porcentual 220 3" xfId="3810" xr:uid="{00000000-0005-0000-0000-0000EC2C0000}"/>
    <cellStyle name="Porcentual 220 3 2" xfId="7353" xr:uid="{00000000-0005-0000-0000-0000ED2C0000}"/>
    <cellStyle name="Porcentual 220 3 3" xfId="9333" xr:uid="{00000000-0005-0000-0000-0000EE2C0000}"/>
    <cellStyle name="Porcentual 220 4" xfId="3811" xr:uid="{00000000-0005-0000-0000-0000EF2C0000}"/>
    <cellStyle name="Porcentual 220 4 2" xfId="7354" xr:uid="{00000000-0005-0000-0000-0000F02C0000}"/>
    <cellStyle name="Porcentual 220 4 3" xfId="9334" xr:uid="{00000000-0005-0000-0000-0000F12C0000}"/>
    <cellStyle name="Porcentual 220 5" xfId="3812" xr:uid="{00000000-0005-0000-0000-0000F22C0000}"/>
    <cellStyle name="Porcentual 220 5 2" xfId="7355" xr:uid="{00000000-0005-0000-0000-0000F32C0000}"/>
    <cellStyle name="Porcentual 220 5 3" xfId="9335" xr:uid="{00000000-0005-0000-0000-0000F42C0000}"/>
    <cellStyle name="Porcentual 220 6" xfId="3813" xr:uid="{00000000-0005-0000-0000-0000F52C0000}"/>
    <cellStyle name="Porcentual 220 6 2" xfId="7356" xr:uid="{00000000-0005-0000-0000-0000F62C0000}"/>
    <cellStyle name="Porcentual 220 6 3" xfId="9336" xr:uid="{00000000-0005-0000-0000-0000F72C0000}"/>
    <cellStyle name="Porcentual 220 7" xfId="3814" xr:uid="{00000000-0005-0000-0000-0000F82C0000}"/>
    <cellStyle name="Porcentual 220 7 2" xfId="7357" xr:uid="{00000000-0005-0000-0000-0000F92C0000}"/>
    <cellStyle name="Porcentual 220 7 3" xfId="9337" xr:uid="{00000000-0005-0000-0000-0000FA2C0000}"/>
    <cellStyle name="Porcentual 220 8" xfId="3815" xr:uid="{00000000-0005-0000-0000-0000FB2C0000}"/>
    <cellStyle name="Porcentual 220 8 2" xfId="7358" xr:uid="{00000000-0005-0000-0000-0000FC2C0000}"/>
    <cellStyle name="Porcentual 220 8 3" xfId="9338" xr:uid="{00000000-0005-0000-0000-0000FD2C0000}"/>
    <cellStyle name="Porcentual 220 9" xfId="3816" xr:uid="{00000000-0005-0000-0000-0000FE2C0000}"/>
    <cellStyle name="Porcentual 220 9 2" xfId="7359" xr:uid="{00000000-0005-0000-0000-0000FF2C0000}"/>
    <cellStyle name="Porcentual 220 9 3" xfId="9339" xr:uid="{00000000-0005-0000-0000-0000002D0000}"/>
    <cellStyle name="Porcentual 221 10" xfId="3817" xr:uid="{00000000-0005-0000-0000-0000012D0000}"/>
    <cellStyle name="Porcentual 221 10 2" xfId="7360" xr:uid="{00000000-0005-0000-0000-0000022D0000}"/>
    <cellStyle name="Porcentual 221 10 3" xfId="9340" xr:uid="{00000000-0005-0000-0000-0000032D0000}"/>
    <cellStyle name="Porcentual 221 11" xfId="3818" xr:uid="{00000000-0005-0000-0000-0000042D0000}"/>
    <cellStyle name="Porcentual 221 11 2" xfId="7361" xr:uid="{00000000-0005-0000-0000-0000052D0000}"/>
    <cellStyle name="Porcentual 221 11 3" xfId="9341" xr:uid="{00000000-0005-0000-0000-0000062D0000}"/>
    <cellStyle name="Porcentual 221 12" xfId="3819" xr:uid="{00000000-0005-0000-0000-0000072D0000}"/>
    <cellStyle name="Porcentual 221 12 2" xfId="7362" xr:uid="{00000000-0005-0000-0000-0000082D0000}"/>
    <cellStyle name="Porcentual 221 12 3" xfId="9342" xr:uid="{00000000-0005-0000-0000-0000092D0000}"/>
    <cellStyle name="Porcentual 221 13" xfId="3820" xr:uid="{00000000-0005-0000-0000-00000A2D0000}"/>
    <cellStyle name="Porcentual 221 13 2" xfId="7363" xr:uid="{00000000-0005-0000-0000-00000B2D0000}"/>
    <cellStyle name="Porcentual 221 13 3" xfId="9343" xr:uid="{00000000-0005-0000-0000-00000C2D0000}"/>
    <cellStyle name="Porcentual 221 14" xfId="3821" xr:uid="{00000000-0005-0000-0000-00000D2D0000}"/>
    <cellStyle name="Porcentual 221 14 2" xfId="7364" xr:uid="{00000000-0005-0000-0000-00000E2D0000}"/>
    <cellStyle name="Porcentual 221 14 3" xfId="9344" xr:uid="{00000000-0005-0000-0000-00000F2D0000}"/>
    <cellStyle name="Porcentual 221 15" xfId="3822" xr:uid="{00000000-0005-0000-0000-0000102D0000}"/>
    <cellStyle name="Porcentual 221 15 2" xfId="7365" xr:uid="{00000000-0005-0000-0000-0000112D0000}"/>
    <cellStyle name="Porcentual 221 15 3" xfId="9345" xr:uid="{00000000-0005-0000-0000-0000122D0000}"/>
    <cellStyle name="Porcentual 221 16" xfId="3823" xr:uid="{00000000-0005-0000-0000-0000132D0000}"/>
    <cellStyle name="Porcentual 221 16 2" xfId="7366" xr:uid="{00000000-0005-0000-0000-0000142D0000}"/>
    <cellStyle name="Porcentual 221 16 3" xfId="9346" xr:uid="{00000000-0005-0000-0000-0000152D0000}"/>
    <cellStyle name="Porcentual 221 17" xfId="3824" xr:uid="{00000000-0005-0000-0000-0000162D0000}"/>
    <cellStyle name="Porcentual 221 17 2" xfId="7367" xr:uid="{00000000-0005-0000-0000-0000172D0000}"/>
    <cellStyle name="Porcentual 221 17 3" xfId="9347" xr:uid="{00000000-0005-0000-0000-0000182D0000}"/>
    <cellStyle name="Porcentual 221 18" xfId="3825" xr:uid="{00000000-0005-0000-0000-0000192D0000}"/>
    <cellStyle name="Porcentual 221 18 2" xfId="7368" xr:uid="{00000000-0005-0000-0000-00001A2D0000}"/>
    <cellStyle name="Porcentual 221 18 3" xfId="9348" xr:uid="{00000000-0005-0000-0000-00001B2D0000}"/>
    <cellStyle name="Porcentual 221 19" xfId="3826" xr:uid="{00000000-0005-0000-0000-00001C2D0000}"/>
    <cellStyle name="Porcentual 221 19 2" xfId="7369" xr:uid="{00000000-0005-0000-0000-00001D2D0000}"/>
    <cellStyle name="Porcentual 221 19 3" xfId="9349" xr:uid="{00000000-0005-0000-0000-00001E2D0000}"/>
    <cellStyle name="Porcentual 221 2" xfId="3827" xr:uid="{00000000-0005-0000-0000-00001F2D0000}"/>
    <cellStyle name="Porcentual 221 2 2" xfId="7370" xr:uid="{00000000-0005-0000-0000-0000202D0000}"/>
    <cellStyle name="Porcentual 221 2 3" xfId="9350" xr:uid="{00000000-0005-0000-0000-0000212D0000}"/>
    <cellStyle name="Porcentual 221 20" xfId="3828" xr:uid="{00000000-0005-0000-0000-0000222D0000}"/>
    <cellStyle name="Porcentual 221 20 2" xfId="7371" xr:uid="{00000000-0005-0000-0000-0000232D0000}"/>
    <cellStyle name="Porcentual 221 20 3" xfId="9351" xr:uid="{00000000-0005-0000-0000-0000242D0000}"/>
    <cellStyle name="Porcentual 221 21" xfId="3829" xr:uid="{00000000-0005-0000-0000-0000252D0000}"/>
    <cellStyle name="Porcentual 221 21 2" xfId="7372" xr:uid="{00000000-0005-0000-0000-0000262D0000}"/>
    <cellStyle name="Porcentual 221 21 3" xfId="9352" xr:uid="{00000000-0005-0000-0000-0000272D0000}"/>
    <cellStyle name="Porcentual 221 22" xfId="3830" xr:uid="{00000000-0005-0000-0000-0000282D0000}"/>
    <cellStyle name="Porcentual 221 22 2" xfId="7373" xr:uid="{00000000-0005-0000-0000-0000292D0000}"/>
    <cellStyle name="Porcentual 221 22 3" xfId="9353" xr:uid="{00000000-0005-0000-0000-00002A2D0000}"/>
    <cellStyle name="Porcentual 221 23" xfId="3831" xr:uid="{00000000-0005-0000-0000-00002B2D0000}"/>
    <cellStyle name="Porcentual 221 23 2" xfId="7374" xr:uid="{00000000-0005-0000-0000-00002C2D0000}"/>
    <cellStyle name="Porcentual 221 23 3" xfId="9354" xr:uid="{00000000-0005-0000-0000-00002D2D0000}"/>
    <cellStyle name="Porcentual 221 24" xfId="3832" xr:uid="{00000000-0005-0000-0000-00002E2D0000}"/>
    <cellStyle name="Porcentual 221 24 2" xfId="7375" xr:uid="{00000000-0005-0000-0000-00002F2D0000}"/>
    <cellStyle name="Porcentual 221 24 3" xfId="9355" xr:uid="{00000000-0005-0000-0000-0000302D0000}"/>
    <cellStyle name="Porcentual 221 25" xfId="3833" xr:uid="{00000000-0005-0000-0000-0000312D0000}"/>
    <cellStyle name="Porcentual 221 25 2" xfId="7376" xr:uid="{00000000-0005-0000-0000-0000322D0000}"/>
    <cellStyle name="Porcentual 221 25 3" xfId="9356" xr:uid="{00000000-0005-0000-0000-0000332D0000}"/>
    <cellStyle name="Porcentual 221 26" xfId="3834" xr:uid="{00000000-0005-0000-0000-0000342D0000}"/>
    <cellStyle name="Porcentual 221 26 2" xfId="7377" xr:uid="{00000000-0005-0000-0000-0000352D0000}"/>
    <cellStyle name="Porcentual 221 26 3" xfId="9357" xr:uid="{00000000-0005-0000-0000-0000362D0000}"/>
    <cellStyle name="Porcentual 221 27" xfId="3835" xr:uid="{00000000-0005-0000-0000-0000372D0000}"/>
    <cellStyle name="Porcentual 221 27 2" xfId="7378" xr:uid="{00000000-0005-0000-0000-0000382D0000}"/>
    <cellStyle name="Porcentual 221 27 3" xfId="9358" xr:uid="{00000000-0005-0000-0000-0000392D0000}"/>
    <cellStyle name="Porcentual 221 28" xfId="3836" xr:uid="{00000000-0005-0000-0000-00003A2D0000}"/>
    <cellStyle name="Porcentual 221 28 2" xfId="7379" xr:uid="{00000000-0005-0000-0000-00003B2D0000}"/>
    <cellStyle name="Porcentual 221 28 3" xfId="9359" xr:uid="{00000000-0005-0000-0000-00003C2D0000}"/>
    <cellStyle name="Porcentual 221 3" xfId="3837" xr:uid="{00000000-0005-0000-0000-00003D2D0000}"/>
    <cellStyle name="Porcentual 221 3 2" xfId="7380" xr:uid="{00000000-0005-0000-0000-00003E2D0000}"/>
    <cellStyle name="Porcentual 221 3 3" xfId="9360" xr:uid="{00000000-0005-0000-0000-00003F2D0000}"/>
    <cellStyle name="Porcentual 221 4" xfId="3838" xr:uid="{00000000-0005-0000-0000-0000402D0000}"/>
    <cellStyle name="Porcentual 221 4 2" xfId="7381" xr:uid="{00000000-0005-0000-0000-0000412D0000}"/>
    <cellStyle name="Porcentual 221 4 3" xfId="9361" xr:uid="{00000000-0005-0000-0000-0000422D0000}"/>
    <cellStyle name="Porcentual 221 5" xfId="3839" xr:uid="{00000000-0005-0000-0000-0000432D0000}"/>
    <cellStyle name="Porcentual 221 5 2" xfId="7382" xr:uid="{00000000-0005-0000-0000-0000442D0000}"/>
    <cellStyle name="Porcentual 221 5 3" xfId="9362" xr:uid="{00000000-0005-0000-0000-0000452D0000}"/>
    <cellStyle name="Porcentual 221 6" xfId="3840" xr:uid="{00000000-0005-0000-0000-0000462D0000}"/>
    <cellStyle name="Porcentual 221 6 2" xfId="7383" xr:uid="{00000000-0005-0000-0000-0000472D0000}"/>
    <cellStyle name="Porcentual 221 6 3" xfId="9363" xr:uid="{00000000-0005-0000-0000-0000482D0000}"/>
    <cellStyle name="Porcentual 221 7" xfId="3841" xr:uid="{00000000-0005-0000-0000-0000492D0000}"/>
    <cellStyle name="Porcentual 221 7 2" xfId="7384" xr:uid="{00000000-0005-0000-0000-00004A2D0000}"/>
    <cellStyle name="Porcentual 221 7 3" xfId="9364" xr:uid="{00000000-0005-0000-0000-00004B2D0000}"/>
    <cellStyle name="Porcentual 221 8" xfId="3842" xr:uid="{00000000-0005-0000-0000-00004C2D0000}"/>
    <cellStyle name="Porcentual 221 8 2" xfId="7385" xr:uid="{00000000-0005-0000-0000-00004D2D0000}"/>
    <cellStyle name="Porcentual 221 8 3" xfId="9365" xr:uid="{00000000-0005-0000-0000-00004E2D0000}"/>
    <cellStyle name="Porcentual 221 9" xfId="3843" xr:uid="{00000000-0005-0000-0000-00004F2D0000}"/>
    <cellStyle name="Porcentual 221 9 2" xfId="7386" xr:uid="{00000000-0005-0000-0000-0000502D0000}"/>
    <cellStyle name="Porcentual 221 9 3" xfId="9366" xr:uid="{00000000-0005-0000-0000-0000512D0000}"/>
    <cellStyle name="Porcentual 222 10" xfId="3844" xr:uid="{00000000-0005-0000-0000-0000522D0000}"/>
    <cellStyle name="Porcentual 222 10 2" xfId="7387" xr:uid="{00000000-0005-0000-0000-0000532D0000}"/>
    <cellStyle name="Porcentual 222 10 3" xfId="9367" xr:uid="{00000000-0005-0000-0000-0000542D0000}"/>
    <cellStyle name="Porcentual 222 11" xfId="3845" xr:uid="{00000000-0005-0000-0000-0000552D0000}"/>
    <cellStyle name="Porcentual 222 11 2" xfId="7388" xr:uid="{00000000-0005-0000-0000-0000562D0000}"/>
    <cellStyle name="Porcentual 222 11 3" xfId="9368" xr:uid="{00000000-0005-0000-0000-0000572D0000}"/>
    <cellStyle name="Porcentual 222 12" xfId="3846" xr:uid="{00000000-0005-0000-0000-0000582D0000}"/>
    <cellStyle name="Porcentual 222 12 2" xfId="7389" xr:uid="{00000000-0005-0000-0000-0000592D0000}"/>
    <cellStyle name="Porcentual 222 12 3" xfId="9369" xr:uid="{00000000-0005-0000-0000-00005A2D0000}"/>
    <cellStyle name="Porcentual 222 13" xfId="3847" xr:uid="{00000000-0005-0000-0000-00005B2D0000}"/>
    <cellStyle name="Porcentual 222 13 2" xfId="7390" xr:uid="{00000000-0005-0000-0000-00005C2D0000}"/>
    <cellStyle name="Porcentual 222 13 3" xfId="9370" xr:uid="{00000000-0005-0000-0000-00005D2D0000}"/>
    <cellStyle name="Porcentual 222 14" xfId="3848" xr:uid="{00000000-0005-0000-0000-00005E2D0000}"/>
    <cellStyle name="Porcentual 222 14 2" xfId="7391" xr:uid="{00000000-0005-0000-0000-00005F2D0000}"/>
    <cellStyle name="Porcentual 222 14 3" xfId="9371" xr:uid="{00000000-0005-0000-0000-0000602D0000}"/>
    <cellStyle name="Porcentual 222 15" xfId="3849" xr:uid="{00000000-0005-0000-0000-0000612D0000}"/>
    <cellStyle name="Porcentual 222 15 2" xfId="7392" xr:uid="{00000000-0005-0000-0000-0000622D0000}"/>
    <cellStyle name="Porcentual 222 15 3" xfId="9372" xr:uid="{00000000-0005-0000-0000-0000632D0000}"/>
    <cellStyle name="Porcentual 222 16" xfId="3850" xr:uid="{00000000-0005-0000-0000-0000642D0000}"/>
    <cellStyle name="Porcentual 222 16 2" xfId="7393" xr:uid="{00000000-0005-0000-0000-0000652D0000}"/>
    <cellStyle name="Porcentual 222 16 3" xfId="9373" xr:uid="{00000000-0005-0000-0000-0000662D0000}"/>
    <cellStyle name="Porcentual 222 17" xfId="3851" xr:uid="{00000000-0005-0000-0000-0000672D0000}"/>
    <cellStyle name="Porcentual 222 17 2" xfId="7394" xr:uid="{00000000-0005-0000-0000-0000682D0000}"/>
    <cellStyle name="Porcentual 222 17 3" xfId="9374" xr:uid="{00000000-0005-0000-0000-0000692D0000}"/>
    <cellStyle name="Porcentual 222 18" xfId="3852" xr:uid="{00000000-0005-0000-0000-00006A2D0000}"/>
    <cellStyle name="Porcentual 222 18 2" xfId="7395" xr:uid="{00000000-0005-0000-0000-00006B2D0000}"/>
    <cellStyle name="Porcentual 222 18 3" xfId="9375" xr:uid="{00000000-0005-0000-0000-00006C2D0000}"/>
    <cellStyle name="Porcentual 222 19" xfId="3853" xr:uid="{00000000-0005-0000-0000-00006D2D0000}"/>
    <cellStyle name="Porcentual 222 19 2" xfId="7396" xr:uid="{00000000-0005-0000-0000-00006E2D0000}"/>
    <cellStyle name="Porcentual 222 19 3" xfId="9376" xr:uid="{00000000-0005-0000-0000-00006F2D0000}"/>
    <cellStyle name="Porcentual 222 2" xfId="3854" xr:uid="{00000000-0005-0000-0000-0000702D0000}"/>
    <cellStyle name="Porcentual 222 2 2" xfId="7397" xr:uid="{00000000-0005-0000-0000-0000712D0000}"/>
    <cellStyle name="Porcentual 222 2 3" xfId="9377" xr:uid="{00000000-0005-0000-0000-0000722D0000}"/>
    <cellStyle name="Porcentual 222 20" xfId="3855" xr:uid="{00000000-0005-0000-0000-0000732D0000}"/>
    <cellStyle name="Porcentual 222 20 2" xfId="7398" xr:uid="{00000000-0005-0000-0000-0000742D0000}"/>
    <cellStyle name="Porcentual 222 20 3" xfId="9378" xr:uid="{00000000-0005-0000-0000-0000752D0000}"/>
    <cellStyle name="Porcentual 222 21" xfId="3856" xr:uid="{00000000-0005-0000-0000-0000762D0000}"/>
    <cellStyle name="Porcentual 222 21 2" xfId="7399" xr:uid="{00000000-0005-0000-0000-0000772D0000}"/>
    <cellStyle name="Porcentual 222 21 3" xfId="9379" xr:uid="{00000000-0005-0000-0000-0000782D0000}"/>
    <cellStyle name="Porcentual 222 22" xfId="3857" xr:uid="{00000000-0005-0000-0000-0000792D0000}"/>
    <cellStyle name="Porcentual 222 22 2" xfId="7400" xr:uid="{00000000-0005-0000-0000-00007A2D0000}"/>
    <cellStyle name="Porcentual 222 22 3" xfId="9380" xr:uid="{00000000-0005-0000-0000-00007B2D0000}"/>
    <cellStyle name="Porcentual 222 23" xfId="3858" xr:uid="{00000000-0005-0000-0000-00007C2D0000}"/>
    <cellStyle name="Porcentual 222 23 2" xfId="7401" xr:uid="{00000000-0005-0000-0000-00007D2D0000}"/>
    <cellStyle name="Porcentual 222 23 3" xfId="9381" xr:uid="{00000000-0005-0000-0000-00007E2D0000}"/>
    <cellStyle name="Porcentual 222 24" xfId="3859" xr:uid="{00000000-0005-0000-0000-00007F2D0000}"/>
    <cellStyle name="Porcentual 222 24 2" xfId="7402" xr:uid="{00000000-0005-0000-0000-0000802D0000}"/>
    <cellStyle name="Porcentual 222 24 3" xfId="9382" xr:uid="{00000000-0005-0000-0000-0000812D0000}"/>
    <cellStyle name="Porcentual 222 25" xfId="3860" xr:uid="{00000000-0005-0000-0000-0000822D0000}"/>
    <cellStyle name="Porcentual 222 25 2" xfId="7403" xr:uid="{00000000-0005-0000-0000-0000832D0000}"/>
    <cellStyle name="Porcentual 222 25 3" xfId="9383" xr:uid="{00000000-0005-0000-0000-0000842D0000}"/>
    <cellStyle name="Porcentual 222 26" xfId="3861" xr:uid="{00000000-0005-0000-0000-0000852D0000}"/>
    <cellStyle name="Porcentual 222 26 2" xfId="7404" xr:uid="{00000000-0005-0000-0000-0000862D0000}"/>
    <cellStyle name="Porcentual 222 26 3" xfId="9384" xr:uid="{00000000-0005-0000-0000-0000872D0000}"/>
    <cellStyle name="Porcentual 222 27" xfId="3862" xr:uid="{00000000-0005-0000-0000-0000882D0000}"/>
    <cellStyle name="Porcentual 222 27 2" xfId="7405" xr:uid="{00000000-0005-0000-0000-0000892D0000}"/>
    <cellStyle name="Porcentual 222 27 3" xfId="9385" xr:uid="{00000000-0005-0000-0000-00008A2D0000}"/>
    <cellStyle name="Porcentual 222 28" xfId="3863" xr:uid="{00000000-0005-0000-0000-00008B2D0000}"/>
    <cellStyle name="Porcentual 222 28 2" xfId="7406" xr:uid="{00000000-0005-0000-0000-00008C2D0000}"/>
    <cellStyle name="Porcentual 222 28 3" xfId="9386" xr:uid="{00000000-0005-0000-0000-00008D2D0000}"/>
    <cellStyle name="Porcentual 222 3" xfId="3864" xr:uid="{00000000-0005-0000-0000-00008E2D0000}"/>
    <cellStyle name="Porcentual 222 3 2" xfId="7407" xr:uid="{00000000-0005-0000-0000-00008F2D0000}"/>
    <cellStyle name="Porcentual 222 3 3" xfId="9387" xr:uid="{00000000-0005-0000-0000-0000902D0000}"/>
    <cellStyle name="Porcentual 222 4" xfId="3865" xr:uid="{00000000-0005-0000-0000-0000912D0000}"/>
    <cellStyle name="Porcentual 222 4 2" xfId="7408" xr:uid="{00000000-0005-0000-0000-0000922D0000}"/>
    <cellStyle name="Porcentual 222 4 3" xfId="9388" xr:uid="{00000000-0005-0000-0000-0000932D0000}"/>
    <cellStyle name="Porcentual 222 5" xfId="3866" xr:uid="{00000000-0005-0000-0000-0000942D0000}"/>
    <cellStyle name="Porcentual 222 5 2" xfId="7409" xr:uid="{00000000-0005-0000-0000-0000952D0000}"/>
    <cellStyle name="Porcentual 222 5 3" xfId="9389" xr:uid="{00000000-0005-0000-0000-0000962D0000}"/>
    <cellStyle name="Porcentual 222 6" xfId="3867" xr:uid="{00000000-0005-0000-0000-0000972D0000}"/>
    <cellStyle name="Porcentual 222 6 2" xfId="7410" xr:uid="{00000000-0005-0000-0000-0000982D0000}"/>
    <cellStyle name="Porcentual 222 6 3" xfId="9390" xr:uid="{00000000-0005-0000-0000-0000992D0000}"/>
    <cellStyle name="Porcentual 222 7" xfId="3868" xr:uid="{00000000-0005-0000-0000-00009A2D0000}"/>
    <cellStyle name="Porcentual 222 7 2" xfId="7411" xr:uid="{00000000-0005-0000-0000-00009B2D0000}"/>
    <cellStyle name="Porcentual 222 7 3" xfId="9391" xr:uid="{00000000-0005-0000-0000-00009C2D0000}"/>
    <cellStyle name="Porcentual 222 8" xfId="3869" xr:uid="{00000000-0005-0000-0000-00009D2D0000}"/>
    <cellStyle name="Porcentual 222 8 2" xfId="7412" xr:uid="{00000000-0005-0000-0000-00009E2D0000}"/>
    <cellStyle name="Porcentual 222 8 3" xfId="9392" xr:uid="{00000000-0005-0000-0000-00009F2D0000}"/>
    <cellStyle name="Porcentual 222 9" xfId="3870" xr:uid="{00000000-0005-0000-0000-0000A02D0000}"/>
    <cellStyle name="Porcentual 222 9 2" xfId="7413" xr:uid="{00000000-0005-0000-0000-0000A12D0000}"/>
    <cellStyle name="Porcentual 222 9 3" xfId="9393" xr:uid="{00000000-0005-0000-0000-0000A22D0000}"/>
    <cellStyle name="Porcentual 23" xfId="3871" xr:uid="{00000000-0005-0000-0000-0000A32D0000}"/>
    <cellStyle name="Porcentual 23 10" xfId="3872" xr:uid="{00000000-0005-0000-0000-0000A42D0000}"/>
    <cellStyle name="Porcentual 23 10 2" xfId="7414" xr:uid="{00000000-0005-0000-0000-0000A52D0000}"/>
    <cellStyle name="Porcentual 23 10 3" xfId="9395" xr:uid="{00000000-0005-0000-0000-0000A62D0000}"/>
    <cellStyle name="Porcentual 23 11" xfId="3873" xr:uid="{00000000-0005-0000-0000-0000A72D0000}"/>
    <cellStyle name="Porcentual 23 11 2" xfId="7415" xr:uid="{00000000-0005-0000-0000-0000A82D0000}"/>
    <cellStyle name="Porcentual 23 11 3" xfId="9396" xr:uid="{00000000-0005-0000-0000-0000A92D0000}"/>
    <cellStyle name="Porcentual 23 12" xfId="3874" xr:uid="{00000000-0005-0000-0000-0000AA2D0000}"/>
    <cellStyle name="Porcentual 23 12 2" xfId="7416" xr:uid="{00000000-0005-0000-0000-0000AB2D0000}"/>
    <cellStyle name="Porcentual 23 12 3" xfId="9397" xr:uid="{00000000-0005-0000-0000-0000AC2D0000}"/>
    <cellStyle name="Porcentual 23 13" xfId="3875" xr:uid="{00000000-0005-0000-0000-0000AD2D0000}"/>
    <cellStyle name="Porcentual 23 13 2" xfId="7417" xr:uid="{00000000-0005-0000-0000-0000AE2D0000}"/>
    <cellStyle name="Porcentual 23 13 3" xfId="9398" xr:uid="{00000000-0005-0000-0000-0000AF2D0000}"/>
    <cellStyle name="Porcentual 23 14" xfId="3876" xr:uid="{00000000-0005-0000-0000-0000B02D0000}"/>
    <cellStyle name="Porcentual 23 14 2" xfId="7418" xr:uid="{00000000-0005-0000-0000-0000B12D0000}"/>
    <cellStyle name="Porcentual 23 14 3" xfId="9399" xr:uid="{00000000-0005-0000-0000-0000B22D0000}"/>
    <cellStyle name="Porcentual 23 15" xfId="3877" xr:uid="{00000000-0005-0000-0000-0000B32D0000}"/>
    <cellStyle name="Porcentual 23 15 2" xfId="7419" xr:uid="{00000000-0005-0000-0000-0000B42D0000}"/>
    <cellStyle name="Porcentual 23 15 3" xfId="9400" xr:uid="{00000000-0005-0000-0000-0000B52D0000}"/>
    <cellStyle name="Porcentual 23 16" xfId="3878" xr:uid="{00000000-0005-0000-0000-0000B62D0000}"/>
    <cellStyle name="Porcentual 23 16 2" xfId="7420" xr:uid="{00000000-0005-0000-0000-0000B72D0000}"/>
    <cellStyle name="Porcentual 23 16 3" xfId="9401" xr:uid="{00000000-0005-0000-0000-0000B82D0000}"/>
    <cellStyle name="Porcentual 23 17" xfId="3879" xr:uid="{00000000-0005-0000-0000-0000B92D0000}"/>
    <cellStyle name="Porcentual 23 17 2" xfId="7421" xr:uid="{00000000-0005-0000-0000-0000BA2D0000}"/>
    <cellStyle name="Porcentual 23 17 3" xfId="9402" xr:uid="{00000000-0005-0000-0000-0000BB2D0000}"/>
    <cellStyle name="Porcentual 23 18" xfId="3880" xr:uid="{00000000-0005-0000-0000-0000BC2D0000}"/>
    <cellStyle name="Porcentual 23 18 2" xfId="7422" xr:uid="{00000000-0005-0000-0000-0000BD2D0000}"/>
    <cellStyle name="Porcentual 23 18 3" xfId="9403" xr:uid="{00000000-0005-0000-0000-0000BE2D0000}"/>
    <cellStyle name="Porcentual 23 19" xfId="3881" xr:uid="{00000000-0005-0000-0000-0000BF2D0000}"/>
    <cellStyle name="Porcentual 23 19 2" xfId="7423" xr:uid="{00000000-0005-0000-0000-0000C02D0000}"/>
    <cellStyle name="Porcentual 23 19 3" xfId="9404" xr:uid="{00000000-0005-0000-0000-0000C12D0000}"/>
    <cellStyle name="Porcentual 23 2" xfId="3882" xr:uid="{00000000-0005-0000-0000-0000C22D0000}"/>
    <cellStyle name="Porcentual 23 2 2" xfId="7424" xr:uid="{00000000-0005-0000-0000-0000C32D0000}"/>
    <cellStyle name="Porcentual 23 2 3" xfId="9405" xr:uid="{00000000-0005-0000-0000-0000C42D0000}"/>
    <cellStyle name="Porcentual 23 20" xfId="3883" xr:uid="{00000000-0005-0000-0000-0000C52D0000}"/>
    <cellStyle name="Porcentual 23 20 2" xfId="7425" xr:uid="{00000000-0005-0000-0000-0000C62D0000}"/>
    <cellStyle name="Porcentual 23 20 3" xfId="9406" xr:uid="{00000000-0005-0000-0000-0000C72D0000}"/>
    <cellStyle name="Porcentual 23 21" xfId="3884" xr:uid="{00000000-0005-0000-0000-0000C82D0000}"/>
    <cellStyle name="Porcentual 23 21 2" xfId="7426" xr:uid="{00000000-0005-0000-0000-0000C92D0000}"/>
    <cellStyle name="Porcentual 23 21 3" xfId="9407" xr:uid="{00000000-0005-0000-0000-0000CA2D0000}"/>
    <cellStyle name="Porcentual 23 22" xfId="3885" xr:uid="{00000000-0005-0000-0000-0000CB2D0000}"/>
    <cellStyle name="Porcentual 23 22 2" xfId="7427" xr:uid="{00000000-0005-0000-0000-0000CC2D0000}"/>
    <cellStyle name="Porcentual 23 22 3" xfId="9408" xr:uid="{00000000-0005-0000-0000-0000CD2D0000}"/>
    <cellStyle name="Porcentual 23 23" xfId="3886" xr:uid="{00000000-0005-0000-0000-0000CE2D0000}"/>
    <cellStyle name="Porcentual 23 23 2" xfId="7428" xr:uid="{00000000-0005-0000-0000-0000CF2D0000}"/>
    <cellStyle name="Porcentual 23 23 3" xfId="9409" xr:uid="{00000000-0005-0000-0000-0000D02D0000}"/>
    <cellStyle name="Porcentual 23 24" xfId="3887" xr:uid="{00000000-0005-0000-0000-0000D12D0000}"/>
    <cellStyle name="Porcentual 23 24 2" xfId="7429" xr:uid="{00000000-0005-0000-0000-0000D22D0000}"/>
    <cellStyle name="Porcentual 23 24 3" xfId="9410" xr:uid="{00000000-0005-0000-0000-0000D32D0000}"/>
    <cellStyle name="Porcentual 23 25" xfId="3888" xr:uid="{00000000-0005-0000-0000-0000D42D0000}"/>
    <cellStyle name="Porcentual 23 25 2" xfId="7430" xr:uid="{00000000-0005-0000-0000-0000D52D0000}"/>
    <cellStyle name="Porcentual 23 25 3" xfId="9411" xr:uid="{00000000-0005-0000-0000-0000D62D0000}"/>
    <cellStyle name="Porcentual 23 26" xfId="3889" xr:uid="{00000000-0005-0000-0000-0000D72D0000}"/>
    <cellStyle name="Porcentual 23 26 2" xfId="7431" xr:uid="{00000000-0005-0000-0000-0000D82D0000}"/>
    <cellStyle name="Porcentual 23 26 3" xfId="9412" xr:uid="{00000000-0005-0000-0000-0000D92D0000}"/>
    <cellStyle name="Porcentual 23 27" xfId="3890" xr:uid="{00000000-0005-0000-0000-0000DA2D0000}"/>
    <cellStyle name="Porcentual 23 27 2" xfId="7432" xr:uid="{00000000-0005-0000-0000-0000DB2D0000}"/>
    <cellStyle name="Porcentual 23 27 3" xfId="9413" xr:uid="{00000000-0005-0000-0000-0000DC2D0000}"/>
    <cellStyle name="Porcentual 23 28" xfId="3891" xr:uid="{00000000-0005-0000-0000-0000DD2D0000}"/>
    <cellStyle name="Porcentual 23 28 2" xfId="7433" xr:uid="{00000000-0005-0000-0000-0000DE2D0000}"/>
    <cellStyle name="Porcentual 23 28 3" xfId="9414" xr:uid="{00000000-0005-0000-0000-0000DF2D0000}"/>
    <cellStyle name="Porcentual 23 29" xfId="7434" xr:uid="{00000000-0005-0000-0000-0000E02D0000}"/>
    <cellStyle name="Porcentual 23 3" xfId="3892" xr:uid="{00000000-0005-0000-0000-0000E12D0000}"/>
    <cellStyle name="Porcentual 23 3 2" xfId="7435" xr:uid="{00000000-0005-0000-0000-0000E22D0000}"/>
    <cellStyle name="Porcentual 23 3 3" xfId="9415" xr:uid="{00000000-0005-0000-0000-0000E32D0000}"/>
    <cellStyle name="Porcentual 23 30" xfId="9394" xr:uid="{00000000-0005-0000-0000-0000E42D0000}"/>
    <cellStyle name="Porcentual 23 4" xfId="3893" xr:uid="{00000000-0005-0000-0000-0000E52D0000}"/>
    <cellStyle name="Porcentual 23 4 2" xfId="7436" xr:uid="{00000000-0005-0000-0000-0000E62D0000}"/>
    <cellStyle name="Porcentual 23 4 3" xfId="9416" xr:uid="{00000000-0005-0000-0000-0000E72D0000}"/>
    <cellStyle name="Porcentual 23 5" xfId="3894" xr:uid="{00000000-0005-0000-0000-0000E82D0000}"/>
    <cellStyle name="Porcentual 23 5 2" xfId="7437" xr:uid="{00000000-0005-0000-0000-0000E92D0000}"/>
    <cellStyle name="Porcentual 23 5 3" xfId="9417" xr:uid="{00000000-0005-0000-0000-0000EA2D0000}"/>
    <cellStyle name="Porcentual 23 6" xfId="3895" xr:uid="{00000000-0005-0000-0000-0000EB2D0000}"/>
    <cellStyle name="Porcentual 23 6 2" xfId="7438" xr:uid="{00000000-0005-0000-0000-0000EC2D0000}"/>
    <cellStyle name="Porcentual 23 6 3" xfId="9418" xr:uid="{00000000-0005-0000-0000-0000ED2D0000}"/>
    <cellStyle name="Porcentual 23 7" xfId="3896" xr:uid="{00000000-0005-0000-0000-0000EE2D0000}"/>
    <cellStyle name="Porcentual 23 7 2" xfId="7439" xr:uid="{00000000-0005-0000-0000-0000EF2D0000}"/>
    <cellStyle name="Porcentual 23 7 3" xfId="9419" xr:uid="{00000000-0005-0000-0000-0000F02D0000}"/>
    <cellStyle name="Porcentual 23 8" xfId="3897" xr:uid="{00000000-0005-0000-0000-0000F12D0000}"/>
    <cellStyle name="Porcentual 23 8 2" xfId="7440" xr:uid="{00000000-0005-0000-0000-0000F22D0000}"/>
    <cellStyle name="Porcentual 23 8 3" xfId="9420" xr:uid="{00000000-0005-0000-0000-0000F32D0000}"/>
    <cellStyle name="Porcentual 23 9" xfId="3898" xr:uid="{00000000-0005-0000-0000-0000F42D0000}"/>
    <cellStyle name="Porcentual 23 9 2" xfId="7441" xr:uid="{00000000-0005-0000-0000-0000F52D0000}"/>
    <cellStyle name="Porcentual 23 9 3" xfId="9421" xr:uid="{00000000-0005-0000-0000-0000F62D0000}"/>
    <cellStyle name="Porcentual 24" xfId="3899" xr:uid="{00000000-0005-0000-0000-0000F72D0000}"/>
    <cellStyle name="Porcentual 24 10" xfId="3900" xr:uid="{00000000-0005-0000-0000-0000F82D0000}"/>
    <cellStyle name="Porcentual 24 10 2" xfId="7442" xr:uid="{00000000-0005-0000-0000-0000F92D0000}"/>
    <cellStyle name="Porcentual 24 10 3" xfId="9423" xr:uid="{00000000-0005-0000-0000-0000FA2D0000}"/>
    <cellStyle name="Porcentual 24 11" xfId="3901" xr:uid="{00000000-0005-0000-0000-0000FB2D0000}"/>
    <cellStyle name="Porcentual 24 11 2" xfId="7443" xr:uid="{00000000-0005-0000-0000-0000FC2D0000}"/>
    <cellStyle name="Porcentual 24 11 3" xfId="9424" xr:uid="{00000000-0005-0000-0000-0000FD2D0000}"/>
    <cellStyle name="Porcentual 24 12" xfId="3902" xr:uid="{00000000-0005-0000-0000-0000FE2D0000}"/>
    <cellStyle name="Porcentual 24 12 2" xfId="7444" xr:uid="{00000000-0005-0000-0000-0000FF2D0000}"/>
    <cellStyle name="Porcentual 24 12 3" xfId="9425" xr:uid="{00000000-0005-0000-0000-0000002E0000}"/>
    <cellStyle name="Porcentual 24 13" xfId="3903" xr:uid="{00000000-0005-0000-0000-0000012E0000}"/>
    <cellStyle name="Porcentual 24 13 2" xfId="7445" xr:uid="{00000000-0005-0000-0000-0000022E0000}"/>
    <cellStyle name="Porcentual 24 13 3" xfId="9426" xr:uid="{00000000-0005-0000-0000-0000032E0000}"/>
    <cellStyle name="Porcentual 24 14" xfId="3904" xr:uid="{00000000-0005-0000-0000-0000042E0000}"/>
    <cellStyle name="Porcentual 24 14 2" xfId="7446" xr:uid="{00000000-0005-0000-0000-0000052E0000}"/>
    <cellStyle name="Porcentual 24 14 3" xfId="9427" xr:uid="{00000000-0005-0000-0000-0000062E0000}"/>
    <cellStyle name="Porcentual 24 15" xfId="3905" xr:uid="{00000000-0005-0000-0000-0000072E0000}"/>
    <cellStyle name="Porcentual 24 15 2" xfId="7447" xr:uid="{00000000-0005-0000-0000-0000082E0000}"/>
    <cellStyle name="Porcentual 24 15 3" xfId="9428" xr:uid="{00000000-0005-0000-0000-0000092E0000}"/>
    <cellStyle name="Porcentual 24 16" xfId="3906" xr:uid="{00000000-0005-0000-0000-00000A2E0000}"/>
    <cellStyle name="Porcentual 24 16 2" xfId="7448" xr:uid="{00000000-0005-0000-0000-00000B2E0000}"/>
    <cellStyle name="Porcentual 24 16 3" xfId="9429" xr:uid="{00000000-0005-0000-0000-00000C2E0000}"/>
    <cellStyle name="Porcentual 24 17" xfId="3907" xr:uid="{00000000-0005-0000-0000-00000D2E0000}"/>
    <cellStyle name="Porcentual 24 17 2" xfId="7449" xr:uid="{00000000-0005-0000-0000-00000E2E0000}"/>
    <cellStyle name="Porcentual 24 17 3" xfId="9430" xr:uid="{00000000-0005-0000-0000-00000F2E0000}"/>
    <cellStyle name="Porcentual 24 18" xfId="3908" xr:uid="{00000000-0005-0000-0000-0000102E0000}"/>
    <cellStyle name="Porcentual 24 18 2" xfId="7450" xr:uid="{00000000-0005-0000-0000-0000112E0000}"/>
    <cellStyle name="Porcentual 24 18 3" xfId="9431" xr:uid="{00000000-0005-0000-0000-0000122E0000}"/>
    <cellStyle name="Porcentual 24 19" xfId="3909" xr:uid="{00000000-0005-0000-0000-0000132E0000}"/>
    <cellStyle name="Porcentual 24 19 2" xfId="7451" xr:uid="{00000000-0005-0000-0000-0000142E0000}"/>
    <cellStyle name="Porcentual 24 19 3" xfId="9432" xr:uid="{00000000-0005-0000-0000-0000152E0000}"/>
    <cellStyle name="Porcentual 24 2" xfId="3910" xr:uid="{00000000-0005-0000-0000-0000162E0000}"/>
    <cellStyle name="Porcentual 24 2 2" xfId="7452" xr:uid="{00000000-0005-0000-0000-0000172E0000}"/>
    <cellStyle name="Porcentual 24 2 3" xfId="9433" xr:uid="{00000000-0005-0000-0000-0000182E0000}"/>
    <cellStyle name="Porcentual 24 20" xfId="3911" xr:uid="{00000000-0005-0000-0000-0000192E0000}"/>
    <cellStyle name="Porcentual 24 20 2" xfId="7453" xr:uid="{00000000-0005-0000-0000-00001A2E0000}"/>
    <cellStyle name="Porcentual 24 20 3" xfId="9434" xr:uid="{00000000-0005-0000-0000-00001B2E0000}"/>
    <cellStyle name="Porcentual 24 21" xfId="3912" xr:uid="{00000000-0005-0000-0000-00001C2E0000}"/>
    <cellStyle name="Porcentual 24 21 2" xfId="7454" xr:uid="{00000000-0005-0000-0000-00001D2E0000}"/>
    <cellStyle name="Porcentual 24 21 3" xfId="9435" xr:uid="{00000000-0005-0000-0000-00001E2E0000}"/>
    <cellStyle name="Porcentual 24 22" xfId="3913" xr:uid="{00000000-0005-0000-0000-00001F2E0000}"/>
    <cellStyle name="Porcentual 24 22 2" xfId="7455" xr:uid="{00000000-0005-0000-0000-0000202E0000}"/>
    <cellStyle name="Porcentual 24 22 3" xfId="9436" xr:uid="{00000000-0005-0000-0000-0000212E0000}"/>
    <cellStyle name="Porcentual 24 23" xfId="3914" xr:uid="{00000000-0005-0000-0000-0000222E0000}"/>
    <cellStyle name="Porcentual 24 23 2" xfId="7456" xr:uid="{00000000-0005-0000-0000-0000232E0000}"/>
    <cellStyle name="Porcentual 24 23 3" xfId="9437" xr:uid="{00000000-0005-0000-0000-0000242E0000}"/>
    <cellStyle name="Porcentual 24 24" xfId="3915" xr:uid="{00000000-0005-0000-0000-0000252E0000}"/>
    <cellStyle name="Porcentual 24 24 2" xfId="7457" xr:uid="{00000000-0005-0000-0000-0000262E0000}"/>
    <cellStyle name="Porcentual 24 24 3" xfId="9438" xr:uid="{00000000-0005-0000-0000-0000272E0000}"/>
    <cellStyle name="Porcentual 24 25" xfId="3916" xr:uid="{00000000-0005-0000-0000-0000282E0000}"/>
    <cellStyle name="Porcentual 24 25 2" xfId="7458" xr:uid="{00000000-0005-0000-0000-0000292E0000}"/>
    <cellStyle name="Porcentual 24 25 3" xfId="9439" xr:uid="{00000000-0005-0000-0000-00002A2E0000}"/>
    <cellStyle name="Porcentual 24 26" xfId="3917" xr:uid="{00000000-0005-0000-0000-00002B2E0000}"/>
    <cellStyle name="Porcentual 24 26 2" xfId="7459" xr:uid="{00000000-0005-0000-0000-00002C2E0000}"/>
    <cellStyle name="Porcentual 24 26 3" xfId="9440" xr:uid="{00000000-0005-0000-0000-00002D2E0000}"/>
    <cellStyle name="Porcentual 24 27" xfId="3918" xr:uid="{00000000-0005-0000-0000-00002E2E0000}"/>
    <cellStyle name="Porcentual 24 27 2" xfId="7460" xr:uid="{00000000-0005-0000-0000-00002F2E0000}"/>
    <cellStyle name="Porcentual 24 27 3" xfId="9441" xr:uid="{00000000-0005-0000-0000-0000302E0000}"/>
    <cellStyle name="Porcentual 24 28" xfId="3919" xr:uid="{00000000-0005-0000-0000-0000312E0000}"/>
    <cellStyle name="Porcentual 24 28 2" xfId="7461" xr:uid="{00000000-0005-0000-0000-0000322E0000}"/>
    <cellStyle name="Porcentual 24 28 3" xfId="9442" xr:uid="{00000000-0005-0000-0000-0000332E0000}"/>
    <cellStyle name="Porcentual 24 29" xfId="7462" xr:uid="{00000000-0005-0000-0000-0000342E0000}"/>
    <cellStyle name="Porcentual 24 3" xfId="3920" xr:uid="{00000000-0005-0000-0000-0000352E0000}"/>
    <cellStyle name="Porcentual 24 3 2" xfId="7463" xr:uid="{00000000-0005-0000-0000-0000362E0000}"/>
    <cellStyle name="Porcentual 24 3 3" xfId="9443" xr:uid="{00000000-0005-0000-0000-0000372E0000}"/>
    <cellStyle name="Porcentual 24 30" xfId="9422" xr:uid="{00000000-0005-0000-0000-0000382E0000}"/>
    <cellStyle name="Porcentual 24 4" xfId="3921" xr:uid="{00000000-0005-0000-0000-0000392E0000}"/>
    <cellStyle name="Porcentual 24 4 2" xfId="7464" xr:uid="{00000000-0005-0000-0000-00003A2E0000}"/>
    <cellStyle name="Porcentual 24 4 3" xfId="9444" xr:uid="{00000000-0005-0000-0000-00003B2E0000}"/>
    <cellStyle name="Porcentual 24 5" xfId="3922" xr:uid="{00000000-0005-0000-0000-00003C2E0000}"/>
    <cellStyle name="Porcentual 24 5 2" xfId="7465" xr:uid="{00000000-0005-0000-0000-00003D2E0000}"/>
    <cellStyle name="Porcentual 24 5 3" xfId="9445" xr:uid="{00000000-0005-0000-0000-00003E2E0000}"/>
    <cellStyle name="Porcentual 24 6" xfId="3923" xr:uid="{00000000-0005-0000-0000-00003F2E0000}"/>
    <cellStyle name="Porcentual 24 6 2" xfId="7466" xr:uid="{00000000-0005-0000-0000-0000402E0000}"/>
    <cellStyle name="Porcentual 24 6 3" xfId="9446" xr:uid="{00000000-0005-0000-0000-0000412E0000}"/>
    <cellStyle name="Porcentual 24 7" xfId="3924" xr:uid="{00000000-0005-0000-0000-0000422E0000}"/>
    <cellStyle name="Porcentual 24 7 2" xfId="7467" xr:uid="{00000000-0005-0000-0000-0000432E0000}"/>
    <cellStyle name="Porcentual 24 7 3" xfId="9447" xr:uid="{00000000-0005-0000-0000-0000442E0000}"/>
    <cellStyle name="Porcentual 24 8" xfId="3925" xr:uid="{00000000-0005-0000-0000-0000452E0000}"/>
    <cellStyle name="Porcentual 24 8 2" xfId="7468" xr:uid="{00000000-0005-0000-0000-0000462E0000}"/>
    <cellStyle name="Porcentual 24 8 3" xfId="9448" xr:uid="{00000000-0005-0000-0000-0000472E0000}"/>
    <cellStyle name="Porcentual 24 9" xfId="3926" xr:uid="{00000000-0005-0000-0000-0000482E0000}"/>
    <cellStyle name="Porcentual 24 9 2" xfId="7469" xr:uid="{00000000-0005-0000-0000-0000492E0000}"/>
    <cellStyle name="Porcentual 24 9 3" xfId="9449" xr:uid="{00000000-0005-0000-0000-00004A2E0000}"/>
    <cellStyle name="Porcentual 25" xfId="3927" xr:uid="{00000000-0005-0000-0000-00004B2E0000}"/>
    <cellStyle name="Porcentual 25 10" xfId="3928" xr:uid="{00000000-0005-0000-0000-00004C2E0000}"/>
    <cellStyle name="Porcentual 25 10 2" xfId="7470" xr:uid="{00000000-0005-0000-0000-00004D2E0000}"/>
    <cellStyle name="Porcentual 25 10 3" xfId="9451" xr:uid="{00000000-0005-0000-0000-00004E2E0000}"/>
    <cellStyle name="Porcentual 25 11" xfId="3929" xr:uid="{00000000-0005-0000-0000-00004F2E0000}"/>
    <cellStyle name="Porcentual 25 11 2" xfId="7471" xr:uid="{00000000-0005-0000-0000-0000502E0000}"/>
    <cellStyle name="Porcentual 25 11 3" xfId="9452" xr:uid="{00000000-0005-0000-0000-0000512E0000}"/>
    <cellStyle name="Porcentual 25 12" xfId="3930" xr:uid="{00000000-0005-0000-0000-0000522E0000}"/>
    <cellStyle name="Porcentual 25 12 2" xfId="7472" xr:uid="{00000000-0005-0000-0000-0000532E0000}"/>
    <cellStyle name="Porcentual 25 12 3" xfId="9453" xr:uid="{00000000-0005-0000-0000-0000542E0000}"/>
    <cellStyle name="Porcentual 25 13" xfId="3931" xr:uid="{00000000-0005-0000-0000-0000552E0000}"/>
    <cellStyle name="Porcentual 25 13 2" xfId="7473" xr:uid="{00000000-0005-0000-0000-0000562E0000}"/>
    <cellStyle name="Porcentual 25 13 3" xfId="9454" xr:uid="{00000000-0005-0000-0000-0000572E0000}"/>
    <cellStyle name="Porcentual 25 14" xfId="3932" xr:uid="{00000000-0005-0000-0000-0000582E0000}"/>
    <cellStyle name="Porcentual 25 14 2" xfId="7474" xr:uid="{00000000-0005-0000-0000-0000592E0000}"/>
    <cellStyle name="Porcentual 25 14 3" xfId="9455" xr:uid="{00000000-0005-0000-0000-00005A2E0000}"/>
    <cellStyle name="Porcentual 25 15" xfId="3933" xr:uid="{00000000-0005-0000-0000-00005B2E0000}"/>
    <cellStyle name="Porcentual 25 15 2" xfId="7475" xr:uid="{00000000-0005-0000-0000-00005C2E0000}"/>
    <cellStyle name="Porcentual 25 15 3" xfId="9456" xr:uid="{00000000-0005-0000-0000-00005D2E0000}"/>
    <cellStyle name="Porcentual 25 16" xfId="3934" xr:uid="{00000000-0005-0000-0000-00005E2E0000}"/>
    <cellStyle name="Porcentual 25 16 2" xfId="7476" xr:uid="{00000000-0005-0000-0000-00005F2E0000}"/>
    <cellStyle name="Porcentual 25 16 3" xfId="9457" xr:uid="{00000000-0005-0000-0000-0000602E0000}"/>
    <cellStyle name="Porcentual 25 17" xfId="3935" xr:uid="{00000000-0005-0000-0000-0000612E0000}"/>
    <cellStyle name="Porcentual 25 17 2" xfId="7477" xr:uid="{00000000-0005-0000-0000-0000622E0000}"/>
    <cellStyle name="Porcentual 25 17 3" xfId="9458" xr:uid="{00000000-0005-0000-0000-0000632E0000}"/>
    <cellStyle name="Porcentual 25 18" xfId="3936" xr:uid="{00000000-0005-0000-0000-0000642E0000}"/>
    <cellStyle name="Porcentual 25 18 2" xfId="7478" xr:uid="{00000000-0005-0000-0000-0000652E0000}"/>
    <cellStyle name="Porcentual 25 18 3" xfId="9459" xr:uid="{00000000-0005-0000-0000-0000662E0000}"/>
    <cellStyle name="Porcentual 25 19" xfId="3937" xr:uid="{00000000-0005-0000-0000-0000672E0000}"/>
    <cellStyle name="Porcentual 25 19 2" xfId="7479" xr:uid="{00000000-0005-0000-0000-0000682E0000}"/>
    <cellStyle name="Porcentual 25 19 3" xfId="9460" xr:uid="{00000000-0005-0000-0000-0000692E0000}"/>
    <cellStyle name="Porcentual 25 2" xfId="3938" xr:uid="{00000000-0005-0000-0000-00006A2E0000}"/>
    <cellStyle name="Porcentual 25 2 2" xfId="7480" xr:uid="{00000000-0005-0000-0000-00006B2E0000}"/>
    <cellStyle name="Porcentual 25 2 3" xfId="9461" xr:uid="{00000000-0005-0000-0000-00006C2E0000}"/>
    <cellStyle name="Porcentual 25 20" xfId="3939" xr:uid="{00000000-0005-0000-0000-00006D2E0000}"/>
    <cellStyle name="Porcentual 25 20 2" xfId="7481" xr:uid="{00000000-0005-0000-0000-00006E2E0000}"/>
    <cellStyle name="Porcentual 25 20 3" xfId="9462" xr:uid="{00000000-0005-0000-0000-00006F2E0000}"/>
    <cellStyle name="Porcentual 25 21" xfId="3940" xr:uid="{00000000-0005-0000-0000-0000702E0000}"/>
    <cellStyle name="Porcentual 25 21 2" xfId="7482" xr:uid="{00000000-0005-0000-0000-0000712E0000}"/>
    <cellStyle name="Porcentual 25 21 3" xfId="9463" xr:uid="{00000000-0005-0000-0000-0000722E0000}"/>
    <cellStyle name="Porcentual 25 22" xfId="3941" xr:uid="{00000000-0005-0000-0000-0000732E0000}"/>
    <cellStyle name="Porcentual 25 22 2" xfId="7483" xr:uid="{00000000-0005-0000-0000-0000742E0000}"/>
    <cellStyle name="Porcentual 25 22 3" xfId="9464" xr:uid="{00000000-0005-0000-0000-0000752E0000}"/>
    <cellStyle name="Porcentual 25 23" xfId="3942" xr:uid="{00000000-0005-0000-0000-0000762E0000}"/>
    <cellStyle name="Porcentual 25 23 2" xfId="7484" xr:uid="{00000000-0005-0000-0000-0000772E0000}"/>
    <cellStyle name="Porcentual 25 23 3" xfId="9465" xr:uid="{00000000-0005-0000-0000-0000782E0000}"/>
    <cellStyle name="Porcentual 25 24" xfId="3943" xr:uid="{00000000-0005-0000-0000-0000792E0000}"/>
    <cellStyle name="Porcentual 25 24 2" xfId="7485" xr:uid="{00000000-0005-0000-0000-00007A2E0000}"/>
    <cellStyle name="Porcentual 25 24 3" xfId="9466" xr:uid="{00000000-0005-0000-0000-00007B2E0000}"/>
    <cellStyle name="Porcentual 25 25" xfId="3944" xr:uid="{00000000-0005-0000-0000-00007C2E0000}"/>
    <cellStyle name="Porcentual 25 25 2" xfId="7486" xr:uid="{00000000-0005-0000-0000-00007D2E0000}"/>
    <cellStyle name="Porcentual 25 25 3" xfId="9467" xr:uid="{00000000-0005-0000-0000-00007E2E0000}"/>
    <cellStyle name="Porcentual 25 26" xfId="3945" xr:uid="{00000000-0005-0000-0000-00007F2E0000}"/>
    <cellStyle name="Porcentual 25 26 2" xfId="7487" xr:uid="{00000000-0005-0000-0000-0000802E0000}"/>
    <cellStyle name="Porcentual 25 26 3" xfId="9468" xr:uid="{00000000-0005-0000-0000-0000812E0000}"/>
    <cellStyle name="Porcentual 25 27" xfId="3946" xr:uid="{00000000-0005-0000-0000-0000822E0000}"/>
    <cellStyle name="Porcentual 25 27 2" xfId="7488" xr:uid="{00000000-0005-0000-0000-0000832E0000}"/>
    <cellStyle name="Porcentual 25 27 3" xfId="9469" xr:uid="{00000000-0005-0000-0000-0000842E0000}"/>
    <cellStyle name="Porcentual 25 28" xfId="3947" xr:uid="{00000000-0005-0000-0000-0000852E0000}"/>
    <cellStyle name="Porcentual 25 28 2" xfId="7489" xr:uid="{00000000-0005-0000-0000-0000862E0000}"/>
    <cellStyle name="Porcentual 25 28 3" xfId="9470" xr:uid="{00000000-0005-0000-0000-0000872E0000}"/>
    <cellStyle name="Porcentual 25 29" xfId="7490" xr:uid="{00000000-0005-0000-0000-0000882E0000}"/>
    <cellStyle name="Porcentual 25 3" xfId="3948" xr:uid="{00000000-0005-0000-0000-0000892E0000}"/>
    <cellStyle name="Porcentual 25 3 2" xfId="7491" xr:uid="{00000000-0005-0000-0000-00008A2E0000}"/>
    <cellStyle name="Porcentual 25 3 3" xfId="9471" xr:uid="{00000000-0005-0000-0000-00008B2E0000}"/>
    <cellStyle name="Porcentual 25 30" xfId="9450" xr:uid="{00000000-0005-0000-0000-00008C2E0000}"/>
    <cellStyle name="Porcentual 25 4" xfId="3949" xr:uid="{00000000-0005-0000-0000-00008D2E0000}"/>
    <cellStyle name="Porcentual 25 4 2" xfId="7492" xr:uid="{00000000-0005-0000-0000-00008E2E0000}"/>
    <cellStyle name="Porcentual 25 4 3" xfId="9472" xr:uid="{00000000-0005-0000-0000-00008F2E0000}"/>
    <cellStyle name="Porcentual 25 5" xfId="3950" xr:uid="{00000000-0005-0000-0000-0000902E0000}"/>
    <cellStyle name="Porcentual 25 5 2" xfId="7493" xr:uid="{00000000-0005-0000-0000-0000912E0000}"/>
    <cellStyle name="Porcentual 25 5 3" xfId="9473" xr:uid="{00000000-0005-0000-0000-0000922E0000}"/>
    <cellStyle name="Porcentual 25 6" xfId="3951" xr:uid="{00000000-0005-0000-0000-0000932E0000}"/>
    <cellStyle name="Porcentual 25 6 2" xfId="7494" xr:uid="{00000000-0005-0000-0000-0000942E0000}"/>
    <cellStyle name="Porcentual 25 6 3" xfId="9474" xr:uid="{00000000-0005-0000-0000-0000952E0000}"/>
    <cellStyle name="Porcentual 25 7" xfId="3952" xr:uid="{00000000-0005-0000-0000-0000962E0000}"/>
    <cellStyle name="Porcentual 25 7 2" xfId="7495" xr:uid="{00000000-0005-0000-0000-0000972E0000}"/>
    <cellStyle name="Porcentual 25 7 3" xfId="9475" xr:uid="{00000000-0005-0000-0000-0000982E0000}"/>
    <cellStyle name="Porcentual 25 8" xfId="3953" xr:uid="{00000000-0005-0000-0000-0000992E0000}"/>
    <cellStyle name="Porcentual 25 8 2" xfId="7496" xr:uid="{00000000-0005-0000-0000-00009A2E0000}"/>
    <cellStyle name="Porcentual 25 8 3" xfId="9476" xr:uid="{00000000-0005-0000-0000-00009B2E0000}"/>
    <cellStyle name="Porcentual 25 9" xfId="3954" xr:uid="{00000000-0005-0000-0000-00009C2E0000}"/>
    <cellStyle name="Porcentual 25 9 2" xfId="7497" xr:uid="{00000000-0005-0000-0000-00009D2E0000}"/>
    <cellStyle name="Porcentual 25 9 3" xfId="9477" xr:uid="{00000000-0005-0000-0000-00009E2E0000}"/>
    <cellStyle name="Porcentual 250" xfId="3955" xr:uid="{00000000-0005-0000-0000-00009F2E0000}"/>
    <cellStyle name="Porcentual 250 2" xfId="7498" xr:uid="{00000000-0005-0000-0000-0000A02E0000}"/>
    <cellStyle name="Porcentual 26" xfId="3956" xr:uid="{00000000-0005-0000-0000-0000A12E0000}"/>
    <cellStyle name="Porcentual 26 10" xfId="3957" xr:uid="{00000000-0005-0000-0000-0000A22E0000}"/>
    <cellStyle name="Porcentual 26 10 2" xfId="7499" xr:uid="{00000000-0005-0000-0000-0000A32E0000}"/>
    <cellStyle name="Porcentual 26 10 3" xfId="9479" xr:uid="{00000000-0005-0000-0000-0000A42E0000}"/>
    <cellStyle name="Porcentual 26 11" xfId="3958" xr:uid="{00000000-0005-0000-0000-0000A52E0000}"/>
    <cellStyle name="Porcentual 26 11 2" xfId="7500" xr:uid="{00000000-0005-0000-0000-0000A62E0000}"/>
    <cellStyle name="Porcentual 26 11 3" xfId="9480" xr:uid="{00000000-0005-0000-0000-0000A72E0000}"/>
    <cellStyle name="Porcentual 26 12" xfId="3959" xr:uid="{00000000-0005-0000-0000-0000A82E0000}"/>
    <cellStyle name="Porcentual 26 12 2" xfId="7501" xr:uid="{00000000-0005-0000-0000-0000A92E0000}"/>
    <cellStyle name="Porcentual 26 12 3" xfId="9481" xr:uid="{00000000-0005-0000-0000-0000AA2E0000}"/>
    <cellStyle name="Porcentual 26 13" xfId="3960" xr:uid="{00000000-0005-0000-0000-0000AB2E0000}"/>
    <cellStyle name="Porcentual 26 13 2" xfId="7502" xr:uid="{00000000-0005-0000-0000-0000AC2E0000}"/>
    <cellStyle name="Porcentual 26 13 3" xfId="9482" xr:uid="{00000000-0005-0000-0000-0000AD2E0000}"/>
    <cellStyle name="Porcentual 26 14" xfId="3961" xr:uid="{00000000-0005-0000-0000-0000AE2E0000}"/>
    <cellStyle name="Porcentual 26 14 2" xfId="7503" xr:uid="{00000000-0005-0000-0000-0000AF2E0000}"/>
    <cellStyle name="Porcentual 26 14 3" xfId="9483" xr:uid="{00000000-0005-0000-0000-0000B02E0000}"/>
    <cellStyle name="Porcentual 26 15" xfId="3962" xr:uid="{00000000-0005-0000-0000-0000B12E0000}"/>
    <cellStyle name="Porcentual 26 15 2" xfId="7504" xr:uid="{00000000-0005-0000-0000-0000B22E0000}"/>
    <cellStyle name="Porcentual 26 15 3" xfId="9484" xr:uid="{00000000-0005-0000-0000-0000B32E0000}"/>
    <cellStyle name="Porcentual 26 16" xfId="3963" xr:uid="{00000000-0005-0000-0000-0000B42E0000}"/>
    <cellStyle name="Porcentual 26 16 2" xfId="7505" xr:uid="{00000000-0005-0000-0000-0000B52E0000}"/>
    <cellStyle name="Porcentual 26 16 3" xfId="9485" xr:uid="{00000000-0005-0000-0000-0000B62E0000}"/>
    <cellStyle name="Porcentual 26 17" xfId="3964" xr:uid="{00000000-0005-0000-0000-0000B72E0000}"/>
    <cellStyle name="Porcentual 26 17 2" xfId="7506" xr:uid="{00000000-0005-0000-0000-0000B82E0000}"/>
    <cellStyle name="Porcentual 26 17 3" xfId="9486" xr:uid="{00000000-0005-0000-0000-0000B92E0000}"/>
    <cellStyle name="Porcentual 26 18" xfId="3965" xr:uid="{00000000-0005-0000-0000-0000BA2E0000}"/>
    <cellStyle name="Porcentual 26 18 2" xfId="7507" xr:uid="{00000000-0005-0000-0000-0000BB2E0000}"/>
    <cellStyle name="Porcentual 26 18 3" xfId="9487" xr:uid="{00000000-0005-0000-0000-0000BC2E0000}"/>
    <cellStyle name="Porcentual 26 19" xfId="3966" xr:uid="{00000000-0005-0000-0000-0000BD2E0000}"/>
    <cellStyle name="Porcentual 26 19 2" xfId="7508" xr:uid="{00000000-0005-0000-0000-0000BE2E0000}"/>
    <cellStyle name="Porcentual 26 19 3" xfId="9488" xr:uid="{00000000-0005-0000-0000-0000BF2E0000}"/>
    <cellStyle name="Porcentual 26 2" xfId="3967" xr:uid="{00000000-0005-0000-0000-0000C02E0000}"/>
    <cellStyle name="Porcentual 26 2 2" xfId="7509" xr:uid="{00000000-0005-0000-0000-0000C12E0000}"/>
    <cellStyle name="Porcentual 26 2 3" xfId="9489" xr:uid="{00000000-0005-0000-0000-0000C22E0000}"/>
    <cellStyle name="Porcentual 26 20" xfId="3968" xr:uid="{00000000-0005-0000-0000-0000C32E0000}"/>
    <cellStyle name="Porcentual 26 20 2" xfId="7510" xr:uid="{00000000-0005-0000-0000-0000C42E0000}"/>
    <cellStyle name="Porcentual 26 20 3" xfId="9490" xr:uid="{00000000-0005-0000-0000-0000C52E0000}"/>
    <cellStyle name="Porcentual 26 21" xfId="3969" xr:uid="{00000000-0005-0000-0000-0000C62E0000}"/>
    <cellStyle name="Porcentual 26 21 2" xfId="7511" xr:uid="{00000000-0005-0000-0000-0000C72E0000}"/>
    <cellStyle name="Porcentual 26 21 3" xfId="9491" xr:uid="{00000000-0005-0000-0000-0000C82E0000}"/>
    <cellStyle name="Porcentual 26 22" xfId="3970" xr:uid="{00000000-0005-0000-0000-0000C92E0000}"/>
    <cellStyle name="Porcentual 26 22 2" xfId="7512" xr:uid="{00000000-0005-0000-0000-0000CA2E0000}"/>
    <cellStyle name="Porcentual 26 22 3" xfId="9492" xr:uid="{00000000-0005-0000-0000-0000CB2E0000}"/>
    <cellStyle name="Porcentual 26 23" xfId="3971" xr:uid="{00000000-0005-0000-0000-0000CC2E0000}"/>
    <cellStyle name="Porcentual 26 23 2" xfId="7513" xr:uid="{00000000-0005-0000-0000-0000CD2E0000}"/>
    <cellStyle name="Porcentual 26 23 3" xfId="9493" xr:uid="{00000000-0005-0000-0000-0000CE2E0000}"/>
    <cellStyle name="Porcentual 26 24" xfId="3972" xr:uid="{00000000-0005-0000-0000-0000CF2E0000}"/>
    <cellStyle name="Porcentual 26 24 2" xfId="7514" xr:uid="{00000000-0005-0000-0000-0000D02E0000}"/>
    <cellStyle name="Porcentual 26 24 3" xfId="9494" xr:uid="{00000000-0005-0000-0000-0000D12E0000}"/>
    <cellStyle name="Porcentual 26 25" xfId="3973" xr:uid="{00000000-0005-0000-0000-0000D22E0000}"/>
    <cellStyle name="Porcentual 26 25 2" xfId="7515" xr:uid="{00000000-0005-0000-0000-0000D32E0000}"/>
    <cellStyle name="Porcentual 26 25 3" xfId="9495" xr:uid="{00000000-0005-0000-0000-0000D42E0000}"/>
    <cellStyle name="Porcentual 26 26" xfId="3974" xr:uid="{00000000-0005-0000-0000-0000D52E0000}"/>
    <cellStyle name="Porcentual 26 26 2" xfId="7516" xr:uid="{00000000-0005-0000-0000-0000D62E0000}"/>
    <cellStyle name="Porcentual 26 26 3" xfId="9496" xr:uid="{00000000-0005-0000-0000-0000D72E0000}"/>
    <cellStyle name="Porcentual 26 27" xfId="3975" xr:uid="{00000000-0005-0000-0000-0000D82E0000}"/>
    <cellStyle name="Porcentual 26 27 2" xfId="7517" xr:uid="{00000000-0005-0000-0000-0000D92E0000}"/>
    <cellStyle name="Porcentual 26 27 3" xfId="9497" xr:uid="{00000000-0005-0000-0000-0000DA2E0000}"/>
    <cellStyle name="Porcentual 26 28" xfId="3976" xr:uid="{00000000-0005-0000-0000-0000DB2E0000}"/>
    <cellStyle name="Porcentual 26 28 2" xfId="7518" xr:uid="{00000000-0005-0000-0000-0000DC2E0000}"/>
    <cellStyle name="Porcentual 26 28 3" xfId="9498" xr:uid="{00000000-0005-0000-0000-0000DD2E0000}"/>
    <cellStyle name="Porcentual 26 29" xfId="7519" xr:uid="{00000000-0005-0000-0000-0000DE2E0000}"/>
    <cellStyle name="Porcentual 26 3" xfId="3977" xr:uid="{00000000-0005-0000-0000-0000DF2E0000}"/>
    <cellStyle name="Porcentual 26 3 2" xfId="7520" xr:uid="{00000000-0005-0000-0000-0000E02E0000}"/>
    <cellStyle name="Porcentual 26 3 3" xfId="9499" xr:uid="{00000000-0005-0000-0000-0000E12E0000}"/>
    <cellStyle name="Porcentual 26 30" xfId="9478" xr:uid="{00000000-0005-0000-0000-0000E22E0000}"/>
    <cellStyle name="Porcentual 26 4" xfId="3978" xr:uid="{00000000-0005-0000-0000-0000E32E0000}"/>
    <cellStyle name="Porcentual 26 4 2" xfId="7521" xr:uid="{00000000-0005-0000-0000-0000E42E0000}"/>
    <cellStyle name="Porcentual 26 4 3" xfId="9500" xr:uid="{00000000-0005-0000-0000-0000E52E0000}"/>
    <cellStyle name="Porcentual 26 5" xfId="3979" xr:uid="{00000000-0005-0000-0000-0000E62E0000}"/>
    <cellStyle name="Porcentual 26 5 2" xfId="7522" xr:uid="{00000000-0005-0000-0000-0000E72E0000}"/>
    <cellStyle name="Porcentual 26 5 3" xfId="9501" xr:uid="{00000000-0005-0000-0000-0000E82E0000}"/>
    <cellStyle name="Porcentual 26 6" xfId="3980" xr:uid="{00000000-0005-0000-0000-0000E92E0000}"/>
    <cellStyle name="Porcentual 26 6 2" xfId="7523" xr:uid="{00000000-0005-0000-0000-0000EA2E0000}"/>
    <cellStyle name="Porcentual 26 6 3" xfId="9502" xr:uid="{00000000-0005-0000-0000-0000EB2E0000}"/>
    <cellStyle name="Porcentual 26 7" xfId="3981" xr:uid="{00000000-0005-0000-0000-0000EC2E0000}"/>
    <cellStyle name="Porcentual 26 7 2" xfId="7524" xr:uid="{00000000-0005-0000-0000-0000ED2E0000}"/>
    <cellStyle name="Porcentual 26 7 3" xfId="9503" xr:uid="{00000000-0005-0000-0000-0000EE2E0000}"/>
    <cellStyle name="Porcentual 26 8" xfId="3982" xr:uid="{00000000-0005-0000-0000-0000EF2E0000}"/>
    <cellStyle name="Porcentual 26 8 2" xfId="7525" xr:uid="{00000000-0005-0000-0000-0000F02E0000}"/>
    <cellStyle name="Porcentual 26 8 3" xfId="9504" xr:uid="{00000000-0005-0000-0000-0000F12E0000}"/>
    <cellStyle name="Porcentual 26 9" xfId="3983" xr:uid="{00000000-0005-0000-0000-0000F22E0000}"/>
    <cellStyle name="Porcentual 26 9 2" xfId="7526" xr:uid="{00000000-0005-0000-0000-0000F32E0000}"/>
    <cellStyle name="Porcentual 26 9 3" xfId="9505" xr:uid="{00000000-0005-0000-0000-0000F42E0000}"/>
    <cellStyle name="Porcentual 27" xfId="3984" xr:uid="{00000000-0005-0000-0000-0000F52E0000}"/>
    <cellStyle name="Porcentual 27 2" xfId="7527" xr:uid="{00000000-0005-0000-0000-0000F62E0000}"/>
    <cellStyle name="Porcentual 27 2 2" xfId="9778" xr:uid="{00000000-0005-0000-0000-0000F72E0000}"/>
    <cellStyle name="Porcentual 27 2 2 2" xfId="10476" xr:uid="{00000000-0005-0000-0000-0000F82E0000}"/>
    <cellStyle name="Porcentual 27 2 2 2 2" xfId="12211" xr:uid="{00000000-0005-0000-0000-0000F92E0000}"/>
    <cellStyle name="Porcentual 27 2 2 2 2 2" xfId="20960" xr:uid="{E3F90890-2A34-4A1A-AE66-BACA0535E13E}"/>
    <cellStyle name="Porcentual 27 2 2 2 3" xfId="19597" xr:uid="{7EBE9D47-DFD2-4DFD-BBBF-EF1824B11D63}"/>
    <cellStyle name="Porcentual 27 2 2 3" xfId="11564" xr:uid="{00000000-0005-0000-0000-0000FA2E0000}"/>
    <cellStyle name="Porcentual 27 2 2 3 2" xfId="20333" xr:uid="{B10C514A-8D30-4746-A7CA-771D4ABA46B5}"/>
    <cellStyle name="Porcentual 27 2 2 4" xfId="18965" xr:uid="{6583D84C-CFE5-470A-92E2-EDCBC449B293}"/>
    <cellStyle name="Porcentual 27 2 3" xfId="10189" xr:uid="{00000000-0005-0000-0000-0000FB2E0000}"/>
    <cellStyle name="Porcentual 27 2 3 2" xfId="11925" xr:uid="{00000000-0005-0000-0000-0000FC2E0000}"/>
    <cellStyle name="Porcentual 27 2 3 2 2" xfId="20678" xr:uid="{127A7738-6422-4D3C-B59A-83135FDBCE92}"/>
    <cellStyle name="Porcentual 27 2 3 3" xfId="19315" xr:uid="{52EEB773-C861-4B41-9394-30CA772F7C1E}"/>
    <cellStyle name="Porcentual 27 2 4" xfId="11199" xr:uid="{00000000-0005-0000-0000-0000FD2E0000}"/>
    <cellStyle name="Porcentual 27 2 4 2" xfId="20056" xr:uid="{C8FA7610-5FC3-426C-BF6D-713C896FAC01}"/>
    <cellStyle name="Porcentual 27 2 5" xfId="18688" xr:uid="{1CEE2DE8-B01F-47C6-85B2-106476F7D9F4}"/>
    <cellStyle name="Porcentual 27 3" xfId="7528" xr:uid="{00000000-0005-0000-0000-0000FE2E0000}"/>
    <cellStyle name="Porcentual 27 3 2" xfId="9779" xr:uid="{00000000-0005-0000-0000-0000FF2E0000}"/>
    <cellStyle name="Porcentual 27 3 2 2" xfId="10477" xr:uid="{00000000-0005-0000-0000-0000002F0000}"/>
    <cellStyle name="Porcentual 27 3 2 2 2" xfId="12212" xr:uid="{00000000-0005-0000-0000-0000012F0000}"/>
    <cellStyle name="Porcentual 27 3 2 2 2 2" xfId="20961" xr:uid="{4AC26DB1-56CC-4668-BDB7-9ED1A9AE0482}"/>
    <cellStyle name="Porcentual 27 3 2 2 3" xfId="19598" xr:uid="{C0451E58-0B96-451A-8F08-087E6CBB29A2}"/>
    <cellStyle name="Porcentual 27 3 2 3" xfId="11565" xr:uid="{00000000-0005-0000-0000-0000022F0000}"/>
    <cellStyle name="Porcentual 27 3 2 3 2" xfId="20334" xr:uid="{391D8840-63A5-4FA7-915F-3F8292566245}"/>
    <cellStyle name="Porcentual 27 3 2 4" xfId="18966" xr:uid="{4154B298-3D59-428C-99CD-FED85D23E52B}"/>
    <cellStyle name="Porcentual 27 3 3" xfId="10190" xr:uid="{00000000-0005-0000-0000-0000032F0000}"/>
    <cellStyle name="Porcentual 27 3 3 2" xfId="11926" xr:uid="{00000000-0005-0000-0000-0000042F0000}"/>
    <cellStyle name="Porcentual 27 3 3 2 2" xfId="20679" xr:uid="{13A105FB-9836-4206-971D-CF0FCB8BF5E5}"/>
    <cellStyle name="Porcentual 27 3 3 3" xfId="19316" xr:uid="{712F3E13-1B96-43AB-B9FE-896C75A2A198}"/>
    <cellStyle name="Porcentual 27 3 4" xfId="11200" xr:uid="{00000000-0005-0000-0000-0000052F0000}"/>
    <cellStyle name="Porcentual 27 3 4 2" xfId="20057" xr:uid="{23563BE7-C337-4035-A7DA-CBDF73A6B080}"/>
    <cellStyle name="Porcentual 27 3 5" xfId="18689" xr:uid="{2714A831-F5F6-4270-AD63-A9700D511428}"/>
    <cellStyle name="Porcentual 27 4" xfId="9506" xr:uid="{00000000-0005-0000-0000-0000062F0000}"/>
    <cellStyle name="Porcentual 28" xfId="3985" xr:uid="{00000000-0005-0000-0000-0000072F0000}"/>
    <cellStyle name="Porcentual 28 2" xfId="7529" xr:uid="{00000000-0005-0000-0000-0000082F0000}"/>
    <cellStyle name="Porcentual 28 2 2" xfId="9780" xr:uid="{00000000-0005-0000-0000-0000092F0000}"/>
    <cellStyle name="Porcentual 28 2 2 2" xfId="10478" xr:uid="{00000000-0005-0000-0000-00000A2F0000}"/>
    <cellStyle name="Porcentual 28 2 2 2 2" xfId="12213" xr:uid="{00000000-0005-0000-0000-00000B2F0000}"/>
    <cellStyle name="Porcentual 28 2 2 2 2 2" xfId="20962" xr:uid="{FD306C81-024F-4DFA-A45A-77F745624561}"/>
    <cellStyle name="Porcentual 28 2 2 2 3" xfId="19599" xr:uid="{2355CF95-73C8-4B27-B4A0-8AF7939BC73F}"/>
    <cellStyle name="Porcentual 28 2 2 3" xfId="11566" xr:uid="{00000000-0005-0000-0000-00000C2F0000}"/>
    <cellStyle name="Porcentual 28 2 2 3 2" xfId="20335" xr:uid="{BF43236C-8B53-4859-9A55-FDF74ED38AF9}"/>
    <cellStyle name="Porcentual 28 2 2 4" xfId="18967" xr:uid="{4F32A1A0-CEFC-4567-B6EB-32247C5977B3}"/>
    <cellStyle name="Porcentual 28 2 3" xfId="10191" xr:uid="{00000000-0005-0000-0000-00000D2F0000}"/>
    <cellStyle name="Porcentual 28 2 3 2" xfId="11927" xr:uid="{00000000-0005-0000-0000-00000E2F0000}"/>
    <cellStyle name="Porcentual 28 2 3 2 2" xfId="20680" xr:uid="{3D190A7B-93BF-4F98-BCC8-7D17B240006E}"/>
    <cellStyle name="Porcentual 28 2 3 3" xfId="19317" xr:uid="{5E7674F4-1E83-4E76-A78E-DA8DF34367C1}"/>
    <cellStyle name="Porcentual 28 2 4" xfId="11201" xr:uid="{00000000-0005-0000-0000-00000F2F0000}"/>
    <cellStyle name="Porcentual 28 2 4 2" xfId="20058" xr:uid="{1F56CD88-31AA-4500-BA00-7219B17169E4}"/>
    <cellStyle name="Porcentual 28 2 5" xfId="18690" xr:uid="{1B2B1E1C-6CC2-4570-9968-1E67345F174E}"/>
    <cellStyle name="Porcentual 28 3" xfId="7530" xr:uid="{00000000-0005-0000-0000-0000102F0000}"/>
    <cellStyle name="Porcentual 28 3 2" xfId="9781" xr:uid="{00000000-0005-0000-0000-0000112F0000}"/>
    <cellStyle name="Porcentual 28 3 2 2" xfId="10479" xr:uid="{00000000-0005-0000-0000-0000122F0000}"/>
    <cellStyle name="Porcentual 28 3 2 2 2" xfId="12214" xr:uid="{00000000-0005-0000-0000-0000132F0000}"/>
    <cellStyle name="Porcentual 28 3 2 2 2 2" xfId="20963" xr:uid="{616951F4-4CA3-4395-9435-3B0E53EC47FF}"/>
    <cellStyle name="Porcentual 28 3 2 2 3" xfId="19600" xr:uid="{4FD78B6D-7FA5-4E35-ACBB-7376218B9EBB}"/>
    <cellStyle name="Porcentual 28 3 2 3" xfId="11567" xr:uid="{00000000-0005-0000-0000-0000142F0000}"/>
    <cellStyle name="Porcentual 28 3 2 3 2" xfId="20336" xr:uid="{969682DA-87D8-4324-9A33-D287DAB7561B}"/>
    <cellStyle name="Porcentual 28 3 2 4" xfId="18968" xr:uid="{8F5D9139-3FC0-469C-9EA9-D62532DCF528}"/>
    <cellStyle name="Porcentual 28 3 3" xfId="10192" xr:uid="{00000000-0005-0000-0000-0000152F0000}"/>
    <cellStyle name="Porcentual 28 3 3 2" xfId="11928" xr:uid="{00000000-0005-0000-0000-0000162F0000}"/>
    <cellStyle name="Porcentual 28 3 3 2 2" xfId="20681" xr:uid="{D37E8491-F3CF-4B21-8455-4D58D00C6E11}"/>
    <cellStyle name="Porcentual 28 3 3 3" xfId="19318" xr:uid="{4FFDCC4A-62C5-42B2-9325-F59FE5DB8E72}"/>
    <cellStyle name="Porcentual 28 3 4" xfId="11202" xr:uid="{00000000-0005-0000-0000-0000172F0000}"/>
    <cellStyle name="Porcentual 28 3 4 2" xfId="20059" xr:uid="{724FB020-CB45-49CE-8EBD-397AD276DB0F}"/>
    <cellStyle name="Porcentual 28 3 5" xfId="18691" xr:uid="{0A70D3A5-873C-4ED6-AE07-4260FCD0C1CA}"/>
    <cellStyle name="Porcentual 28 4" xfId="9507" xr:uid="{00000000-0005-0000-0000-0000182F0000}"/>
    <cellStyle name="Porcentual 29" xfId="3986" xr:uid="{00000000-0005-0000-0000-0000192F0000}"/>
    <cellStyle name="Porcentual 29 2" xfId="7531" xr:uid="{00000000-0005-0000-0000-00001A2F0000}"/>
    <cellStyle name="Porcentual 29 2 2" xfId="9782" xr:uid="{00000000-0005-0000-0000-00001B2F0000}"/>
    <cellStyle name="Porcentual 29 2 2 2" xfId="10480" xr:uid="{00000000-0005-0000-0000-00001C2F0000}"/>
    <cellStyle name="Porcentual 29 2 2 2 2" xfId="12215" xr:uid="{00000000-0005-0000-0000-00001D2F0000}"/>
    <cellStyle name="Porcentual 29 2 2 2 2 2" xfId="20964" xr:uid="{D655BC61-9E04-4FC6-B304-80CF90D3C659}"/>
    <cellStyle name="Porcentual 29 2 2 2 3" xfId="19601" xr:uid="{FDD977F8-D61C-480E-8F5B-EF7FB8E8536E}"/>
    <cellStyle name="Porcentual 29 2 2 3" xfId="11568" xr:uid="{00000000-0005-0000-0000-00001E2F0000}"/>
    <cellStyle name="Porcentual 29 2 2 3 2" xfId="20337" xr:uid="{6D7E694E-DAED-471B-9356-C18160491DBC}"/>
    <cellStyle name="Porcentual 29 2 2 4" xfId="18969" xr:uid="{153C1BDB-6F6C-4416-A5BB-0A6AA5BEE16E}"/>
    <cellStyle name="Porcentual 29 2 3" xfId="10193" xr:uid="{00000000-0005-0000-0000-00001F2F0000}"/>
    <cellStyle name="Porcentual 29 2 3 2" xfId="11929" xr:uid="{00000000-0005-0000-0000-0000202F0000}"/>
    <cellStyle name="Porcentual 29 2 3 2 2" xfId="20682" xr:uid="{C45C0E55-E7DE-4B7B-80DB-0B7C90311B8C}"/>
    <cellStyle name="Porcentual 29 2 3 3" xfId="19319" xr:uid="{1839C8B7-D70D-4401-818A-FD7762ED43CA}"/>
    <cellStyle name="Porcentual 29 2 4" xfId="11203" xr:uid="{00000000-0005-0000-0000-0000212F0000}"/>
    <cellStyle name="Porcentual 29 2 4 2" xfId="20060" xr:uid="{EBCB4964-87DF-431B-BBF0-8549F442EC68}"/>
    <cellStyle name="Porcentual 29 2 5" xfId="18692" xr:uid="{78B88CF5-E683-4063-8734-663395D55205}"/>
    <cellStyle name="Porcentual 29 3" xfId="7532" xr:uid="{00000000-0005-0000-0000-0000222F0000}"/>
    <cellStyle name="Porcentual 29 3 2" xfId="9783" xr:uid="{00000000-0005-0000-0000-0000232F0000}"/>
    <cellStyle name="Porcentual 29 3 2 2" xfId="10481" xr:uid="{00000000-0005-0000-0000-0000242F0000}"/>
    <cellStyle name="Porcentual 29 3 2 2 2" xfId="12216" xr:uid="{00000000-0005-0000-0000-0000252F0000}"/>
    <cellStyle name="Porcentual 29 3 2 2 2 2" xfId="20965" xr:uid="{B60C788A-1364-4866-96D9-DA28AFFF409D}"/>
    <cellStyle name="Porcentual 29 3 2 2 3" xfId="19602" xr:uid="{192357A2-4039-4D12-A3B9-762A07877ECF}"/>
    <cellStyle name="Porcentual 29 3 2 3" xfId="11569" xr:uid="{00000000-0005-0000-0000-0000262F0000}"/>
    <cellStyle name="Porcentual 29 3 2 3 2" xfId="20338" xr:uid="{8983A40F-D787-4870-8493-2539FD176828}"/>
    <cellStyle name="Porcentual 29 3 2 4" xfId="18970" xr:uid="{1A262B8A-BB5B-41A5-8348-59A372411BD4}"/>
    <cellStyle name="Porcentual 29 3 3" xfId="10194" xr:uid="{00000000-0005-0000-0000-0000272F0000}"/>
    <cellStyle name="Porcentual 29 3 3 2" xfId="11930" xr:uid="{00000000-0005-0000-0000-0000282F0000}"/>
    <cellStyle name="Porcentual 29 3 3 2 2" xfId="20683" xr:uid="{6631EC99-3B4E-4BFC-AC1A-E7C55CA18C4A}"/>
    <cellStyle name="Porcentual 29 3 3 3" xfId="19320" xr:uid="{F067F51A-4343-4A32-A232-F6C081613B52}"/>
    <cellStyle name="Porcentual 29 3 4" xfId="11204" xr:uid="{00000000-0005-0000-0000-0000292F0000}"/>
    <cellStyle name="Porcentual 29 3 4 2" xfId="20061" xr:uid="{3D07C753-CBE3-4AA6-813E-D1D47EAF368A}"/>
    <cellStyle name="Porcentual 29 3 5" xfId="18693" xr:uid="{55CEAE41-678A-47C5-AB9C-40C4FA73FB30}"/>
    <cellStyle name="Porcentual 29 4" xfId="9508" xr:uid="{00000000-0005-0000-0000-00002A2F0000}"/>
    <cellStyle name="Porcentual 3" xfId="115" xr:uid="{00000000-0005-0000-0000-00002B2F0000}"/>
    <cellStyle name="Porcentual 3 10" xfId="4345" xr:uid="{00000000-0005-0000-0000-00002C2F0000}"/>
    <cellStyle name="Porcentual 3 2" xfId="116" xr:uid="{00000000-0005-0000-0000-00002D2F0000}"/>
    <cellStyle name="Porcentual 3 2 2" xfId="3988" xr:uid="{00000000-0005-0000-0000-00002E2F0000}"/>
    <cellStyle name="Porcentual 3 2 2 2" xfId="9509" xr:uid="{00000000-0005-0000-0000-00002F2F0000}"/>
    <cellStyle name="Porcentual 3 2 3" xfId="3989" xr:uid="{00000000-0005-0000-0000-0000302F0000}"/>
    <cellStyle name="Porcentual 3 2 3 2" xfId="9510" xr:uid="{00000000-0005-0000-0000-0000312F0000}"/>
    <cellStyle name="Porcentual 3 2 4" xfId="3990" xr:uid="{00000000-0005-0000-0000-0000322F0000}"/>
    <cellStyle name="Porcentual 3 2 4 2" xfId="9511" xr:uid="{00000000-0005-0000-0000-0000332F0000}"/>
    <cellStyle name="Porcentual 3 2 5" xfId="3991" xr:uid="{00000000-0005-0000-0000-0000342F0000}"/>
    <cellStyle name="Porcentual 3 2 5 2" xfId="9512" xr:uid="{00000000-0005-0000-0000-0000352F0000}"/>
    <cellStyle name="Porcentual 3 2 6" xfId="3992" xr:uid="{00000000-0005-0000-0000-0000362F0000}"/>
    <cellStyle name="Porcentual 3 2 6 2" xfId="9513" xr:uid="{00000000-0005-0000-0000-0000372F0000}"/>
    <cellStyle name="Porcentual 3 2 7" xfId="3993" xr:uid="{00000000-0005-0000-0000-0000382F0000}"/>
    <cellStyle name="Porcentual 3 2 7 2" xfId="9514" xr:uid="{00000000-0005-0000-0000-0000392F0000}"/>
    <cellStyle name="Porcentual 3 2 8" xfId="3994" xr:uid="{00000000-0005-0000-0000-00003A2F0000}"/>
    <cellStyle name="Porcentual 3 2 8 2" xfId="9515" xr:uid="{00000000-0005-0000-0000-00003B2F0000}"/>
    <cellStyle name="Porcentual 3 2 9" xfId="3987" xr:uid="{00000000-0005-0000-0000-00003C2F0000}"/>
    <cellStyle name="Porcentual 3 3" xfId="3995" xr:uid="{00000000-0005-0000-0000-00003D2F0000}"/>
    <cellStyle name="Porcentual 3 3 2" xfId="9516" xr:uid="{00000000-0005-0000-0000-00003E2F0000}"/>
    <cellStyle name="Porcentual 3 4" xfId="3996" xr:uid="{00000000-0005-0000-0000-00003F2F0000}"/>
    <cellStyle name="Porcentual 3 5" xfId="3997" xr:uid="{00000000-0005-0000-0000-0000402F0000}"/>
    <cellStyle name="Porcentual 3 6" xfId="3998" xr:uid="{00000000-0005-0000-0000-0000412F0000}"/>
    <cellStyle name="Porcentual 3 7" xfId="3999" xr:uid="{00000000-0005-0000-0000-0000422F0000}"/>
    <cellStyle name="Porcentual 3 8" xfId="4000" xr:uid="{00000000-0005-0000-0000-0000432F0000}"/>
    <cellStyle name="Porcentual 3 9" xfId="4001" xr:uid="{00000000-0005-0000-0000-0000442F0000}"/>
    <cellStyle name="Porcentual 30" xfId="4002" xr:uid="{00000000-0005-0000-0000-0000452F0000}"/>
    <cellStyle name="Porcentual 30 2" xfId="7533" xr:uid="{00000000-0005-0000-0000-0000462F0000}"/>
    <cellStyle name="Porcentual 30 2 2" xfId="9784" xr:uid="{00000000-0005-0000-0000-0000472F0000}"/>
    <cellStyle name="Porcentual 30 2 2 2" xfId="10482" xr:uid="{00000000-0005-0000-0000-0000482F0000}"/>
    <cellStyle name="Porcentual 30 2 2 2 2" xfId="12217" xr:uid="{00000000-0005-0000-0000-0000492F0000}"/>
    <cellStyle name="Porcentual 30 2 2 2 2 2" xfId="20966" xr:uid="{E51D99B3-438F-483B-AD8A-8F50BBA328C4}"/>
    <cellStyle name="Porcentual 30 2 2 2 3" xfId="19603" xr:uid="{F8603039-056C-46D7-8A9D-909C38A40397}"/>
    <cellStyle name="Porcentual 30 2 2 3" xfId="11570" xr:uid="{00000000-0005-0000-0000-00004A2F0000}"/>
    <cellStyle name="Porcentual 30 2 2 3 2" xfId="20339" xr:uid="{545D24C2-9629-48E3-90FD-92538B77917E}"/>
    <cellStyle name="Porcentual 30 2 2 4" xfId="18971" xr:uid="{011C216F-184E-4491-ACC0-FFA40C7A8DD5}"/>
    <cellStyle name="Porcentual 30 2 3" xfId="10195" xr:uid="{00000000-0005-0000-0000-00004B2F0000}"/>
    <cellStyle name="Porcentual 30 2 3 2" xfId="11931" xr:uid="{00000000-0005-0000-0000-00004C2F0000}"/>
    <cellStyle name="Porcentual 30 2 3 2 2" xfId="20684" xr:uid="{AD90407A-A9BF-4F0C-BD7B-6B573FC06890}"/>
    <cellStyle name="Porcentual 30 2 3 3" xfId="19321" xr:uid="{CB138EC3-6978-4823-97E8-1362BD8A99F8}"/>
    <cellStyle name="Porcentual 30 2 4" xfId="11205" xr:uid="{00000000-0005-0000-0000-00004D2F0000}"/>
    <cellStyle name="Porcentual 30 2 4 2" xfId="20062" xr:uid="{E9164924-B80C-49D8-95EC-8E1E1E9A3135}"/>
    <cellStyle name="Porcentual 30 2 5" xfId="18694" xr:uid="{9122E794-A046-42D8-A7BB-186848DC9F03}"/>
    <cellStyle name="Porcentual 30 3" xfId="7534" xr:uid="{00000000-0005-0000-0000-00004E2F0000}"/>
    <cellStyle name="Porcentual 30 3 2" xfId="9785" xr:uid="{00000000-0005-0000-0000-00004F2F0000}"/>
    <cellStyle name="Porcentual 30 3 2 2" xfId="10483" xr:uid="{00000000-0005-0000-0000-0000502F0000}"/>
    <cellStyle name="Porcentual 30 3 2 2 2" xfId="12218" xr:uid="{00000000-0005-0000-0000-0000512F0000}"/>
    <cellStyle name="Porcentual 30 3 2 2 2 2" xfId="20967" xr:uid="{DBCB6C1D-8A7A-4F3E-A851-D418D7787BAB}"/>
    <cellStyle name="Porcentual 30 3 2 2 3" xfId="19604" xr:uid="{15DF55F0-56E2-4BDF-8B7E-940D27AA1223}"/>
    <cellStyle name="Porcentual 30 3 2 3" xfId="11571" xr:uid="{00000000-0005-0000-0000-0000522F0000}"/>
    <cellStyle name="Porcentual 30 3 2 3 2" xfId="20340" xr:uid="{E2420119-A65C-4AFF-A00A-37BFC7C8A180}"/>
    <cellStyle name="Porcentual 30 3 2 4" xfId="18972" xr:uid="{8FE21F78-6527-4766-8D56-375D78EE3A41}"/>
    <cellStyle name="Porcentual 30 3 3" xfId="10196" xr:uid="{00000000-0005-0000-0000-0000532F0000}"/>
    <cellStyle name="Porcentual 30 3 3 2" xfId="11932" xr:uid="{00000000-0005-0000-0000-0000542F0000}"/>
    <cellStyle name="Porcentual 30 3 3 2 2" xfId="20685" xr:uid="{059D5B7A-BC40-46EF-A97A-AA2EF2B932AF}"/>
    <cellStyle name="Porcentual 30 3 3 3" xfId="19322" xr:uid="{A495CC7F-7D97-4840-AF9A-0EC83CA32010}"/>
    <cellStyle name="Porcentual 30 3 4" xfId="11206" xr:uid="{00000000-0005-0000-0000-0000552F0000}"/>
    <cellStyle name="Porcentual 30 3 4 2" xfId="20063" xr:uid="{413040B3-E2A9-4BD3-8EDC-657D4E87B7F1}"/>
    <cellStyle name="Porcentual 30 3 5" xfId="18695" xr:uid="{91D80DC9-15FD-4818-A729-0994565E745E}"/>
    <cellStyle name="Porcentual 30 4" xfId="9517" xr:uid="{00000000-0005-0000-0000-0000562F0000}"/>
    <cellStyle name="Porcentual 31" xfId="4003" xr:uid="{00000000-0005-0000-0000-0000572F0000}"/>
    <cellStyle name="Porcentual 31 2" xfId="7535" xr:uid="{00000000-0005-0000-0000-0000582F0000}"/>
    <cellStyle name="Porcentual 31 2 2" xfId="9786" xr:uid="{00000000-0005-0000-0000-0000592F0000}"/>
    <cellStyle name="Porcentual 31 2 2 2" xfId="10484" xr:uid="{00000000-0005-0000-0000-00005A2F0000}"/>
    <cellStyle name="Porcentual 31 2 2 2 2" xfId="12219" xr:uid="{00000000-0005-0000-0000-00005B2F0000}"/>
    <cellStyle name="Porcentual 31 2 2 2 2 2" xfId="20968" xr:uid="{392DB3AB-6482-4B8A-BED0-EE2F6F5D016C}"/>
    <cellStyle name="Porcentual 31 2 2 2 3" xfId="19605" xr:uid="{EE135274-A6CE-4730-9B7A-1ACAB39F7CBE}"/>
    <cellStyle name="Porcentual 31 2 2 3" xfId="11572" xr:uid="{00000000-0005-0000-0000-00005C2F0000}"/>
    <cellStyle name="Porcentual 31 2 2 3 2" xfId="20341" xr:uid="{EF83D44F-DB97-4206-965E-CEB8F973244F}"/>
    <cellStyle name="Porcentual 31 2 2 4" xfId="18973" xr:uid="{F234EA7F-50C4-417E-B4CB-10FC3AE5A53D}"/>
    <cellStyle name="Porcentual 31 2 3" xfId="10197" xr:uid="{00000000-0005-0000-0000-00005D2F0000}"/>
    <cellStyle name="Porcentual 31 2 3 2" xfId="11933" xr:uid="{00000000-0005-0000-0000-00005E2F0000}"/>
    <cellStyle name="Porcentual 31 2 3 2 2" xfId="20686" xr:uid="{2F3E1557-A59F-45F8-B979-D0DC160184E7}"/>
    <cellStyle name="Porcentual 31 2 3 3" xfId="19323" xr:uid="{A5BFF7F7-91D8-477C-ADA5-41016869B8F6}"/>
    <cellStyle name="Porcentual 31 2 4" xfId="11207" xr:uid="{00000000-0005-0000-0000-00005F2F0000}"/>
    <cellStyle name="Porcentual 31 2 4 2" xfId="20064" xr:uid="{7536A434-BD1E-4158-9B4C-E26C0E07944D}"/>
    <cellStyle name="Porcentual 31 2 5" xfId="18696" xr:uid="{D1D79E4F-459F-406F-B779-0D19CF3C9E03}"/>
    <cellStyle name="Porcentual 31 3" xfId="9518" xr:uid="{00000000-0005-0000-0000-0000602F0000}"/>
    <cellStyle name="Porcentual 32" xfId="4004" xr:uid="{00000000-0005-0000-0000-0000612F0000}"/>
    <cellStyle name="Porcentual 32 2" xfId="7536" xr:uid="{00000000-0005-0000-0000-0000622F0000}"/>
    <cellStyle name="Porcentual 32 2 2" xfId="9787" xr:uid="{00000000-0005-0000-0000-0000632F0000}"/>
    <cellStyle name="Porcentual 32 2 2 2" xfId="10485" xr:uid="{00000000-0005-0000-0000-0000642F0000}"/>
    <cellStyle name="Porcentual 32 2 2 2 2" xfId="12220" xr:uid="{00000000-0005-0000-0000-0000652F0000}"/>
    <cellStyle name="Porcentual 32 2 2 2 2 2" xfId="20969" xr:uid="{1D5089C2-7D7F-4AE0-A6F1-9F5B5172D6C3}"/>
    <cellStyle name="Porcentual 32 2 2 2 3" xfId="19606" xr:uid="{0F1FAB0E-487E-47AF-A77E-BDA8F87914E6}"/>
    <cellStyle name="Porcentual 32 2 2 3" xfId="11573" xr:uid="{00000000-0005-0000-0000-0000662F0000}"/>
    <cellStyle name="Porcentual 32 2 2 3 2" xfId="20342" xr:uid="{AB0EE5F8-E7F6-4721-BBBE-880856519D4D}"/>
    <cellStyle name="Porcentual 32 2 2 4" xfId="18974" xr:uid="{970973CF-19B1-4D43-9F25-F6C398B2FF1C}"/>
    <cellStyle name="Porcentual 32 2 3" xfId="10198" xr:uid="{00000000-0005-0000-0000-0000672F0000}"/>
    <cellStyle name="Porcentual 32 2 3 2" xfId="11934" xr:uid="{00000000-0005-0000-0000-0000682F0000}"/>
    <cellStyle name="Porcentual 32 2 3 2 2" xfId="20687" xr:uid="{9D152FE2-18A5-4EF0-9607-3E75A136E10A}"/>
    <cellStyle name="Porcentual 32 2 3 3" xfId="19324" xr:uid="{39776210-9E8A-495A-B806-0C959C34309C}"/>
    <cellStyle name="Porcentual 32 2 4" xfId="11208" xr:uid="{00000000-0005-0000-0000-0000692F0000}"/>
    <cellStyle name="Porcentual 32 2 4 2" xfId="20065" xr:uid="{4C4E95B2-0403-4464-9961-6E871D140E2A}"/>
    <cellStyle name="Porcentual 32 2 5" xfId="18697" xr:uid="{56530A16-CE88-424E-9B9B-343008425D71}"/>
    <cellStyle name="Porcentual 32 3" xfId="9519" xr:uid="{00000000-0005-0000-0000-00006A2F0000}"/>
    <cellStyle name="Porcentual 33" xfId="4005" xr:uid="{00000000-0005-0000-0000-00006B2F0000}"/>
    <cellStyle name="Porcentual 33 2" xfId="7537" xr:uid="{00000000-0005-0000-0000-00006C2F0000}"/>
    <cellStyle name="Porcentual 33 2 2" xfId="9788" xr:uid="{00000000-0005-0000-0000-00006D2F0000}"/>
    <cellStyle name="Porcentual 33 2 2 2" xfId="10486" xr:uid="{00000000-0005-0000-0000-00006E2F0000}"/>
    <cellStyle name="Porcentual 33 2 2 2 2" xfId="12221" xr:uid="{00000000-0005-0000-0000-00006F2F0000}"/>
    <cellStyle name="Porcentual 33 2 2 2 2 2" xfId="20970" xr:uid="{E3461608-D050-4889-BA1E-EEDE44F9ABEA}"/>
    <cellStyle name="Porcentual 33 2 2 2 3" xfId="19607" xr:uid="{D34FAF4E-47C7-456C-9BC9-8E28C3E07E8A}"/>
    <cellStyle name="Porcentual 33 2 2 3" xfId="11574" xr:uid="{00000000-0005-0000-0000-0000702F0000}"/>
    <cellStyle name="Porcentual 33 2 2 3 2" xfId="20343" xr:uid="{67FEA1E4-C965-4900-819C-245319C4915D}"/>
    <cellStyle name="Porcentual 33 2 2 4" xfId="18975" xr:uid="{3E97B1FF-5DB8-4011-A798-E16942EABAD9}"/>
    <cellStyle name="Porcentual 33 2 3" xfId="10199" xr:uid="{00000000-0005-0000-0000-0000712F0000}"/>
    <cellStyle name="Porcentual 33 2 3 2" xfId="11935" xr:uid="{00000000-0005-0000-0000-0000722F0000}"/>
    <cellStyle name="Porcentual 33 2 3 2 2" xfId="20688" xr:uid="{ABC22C65-7A0F-41D7-B111-857959368D64}"/>
    <cellStyle name="Porcentual 33 2 3 3" xfId="19325" xr:uid="{3DC0D6B2-11EA-4C98-A771-5F682C33C7F9}"/>
    <cellStyle name="Porcentual 33 2 4" xfId="11209" xr:uid="{00000000-0005-0000-0000-0000732F0000}"/>
    <cellStyle name="Porcentual 33 2 4 2" xfId="20066" xr:uid="{1DBAE927-CA94-4FD8-9D06-B675C7D9AD24}"/>
    <cellStyle name="Porcentual 33 2 5" xfId="18698" xr:uid="{10F12977-09A0-4F43-95FF-C8689F736A44}"/>
    <cellStyle name="Porcentual 33 3" xfId="9520" xr:uid="{00000000-0005-0000-0000-0000742F0000}"/>
    <cellStyle name="Porcentual 34" xfId="4006" xr:uid="{00000000-0005-0000-0000-0000752F0000}"/>
    <cellStyle name="Porcentual 34 2" xfId="7538" xr:uid="{00000000-0005-0000-0000-0000762F0000}"/>
    <cellStyle name="Porcentual 34 2 2" xfId="9789" xr:uid="{00000000-0005-0000-0000-0000772F0000}"/>
    <cellStyle name="Porcentual 34 2 2 2" xfId="10487" xr:uid="{00000000-0005-0000-0000-0000782F0000}"/>
    <cellStyle name="Porcentual 34 2 2 2 2" xfId="12222" xr:uid="{00000000-0005-0000-0000-0000792F0000}"/>
    <cellStyle name="Porcentual 34 2 2 2 2 2" xfId="20971" xr:uid="{267F4888-DD52-4140-9DF4-A45146EE83D2}"/>
    <cellStyle name="Porcentual 34 2 2 2 3" xfId="19608" xr:uid="{B461783B-FA0A-49CC-A890-C1380507A730}"/>
    <cellStyle name="Porcentual 34 2 2 3" xfId="11575" xr:uid="{00000000-0005-0000-0000-00007A2F0000}"/>
    <cellStyle name="Porcentual 34 2 2 3 2" xfId="20344" xr:uid="{DCEF7099-A586-4E8F-97DF-9A036CBC8652}"/>
    <cellStyle name="Porcentual 34 2 2 4" xfId="18976" xr:uid="{007FCABF-EEF3-457B-910C-5EE0508A38BD}"/>
    <cellStyle name="Porcentual 34 2 3" xfId="10200" xr:uid="{00000000-0005-0000-0000-00007B2F0000}"/>
    <cellStyle name="Porcentual 34 2 3 2" xfId="11936" xr:uid="{00000000-0005-0000-0000-00007C2F0000}"/>
    <cellStyle name="Porcentual 34 2 3 2 2" xfId="20689" xr:uid="{8EDA7FA3-BE63-4BB7-8572-A3F2AE57BFEA}"/>
    <cellStyle name="Porcentual 34 2 3 3" xfId="19326" xr:uid="{56E274BC-9741-47AD-9AF4-9F1B4F559371}"/>
    <cellStyle name="Porcentual 34 2 4" xfId="11210" xr:uid="{00000000-0005-0000-0000-00007D2F0000}"/>
    <cellStyle name="Porcentual 34 2 4 2" xfId="20067" xr:uid="{219D9A10-3D06-4AC9-85F6-E758B414B47D}"/>
    <cellStyle name="Porcentual 34 2 5" xfId="18699" xr:uid="{0E81D224-2636-4AD1-A2B6-BB11103B4C60}"/>
    <cellStyle name="Porcentual 34 3" xfId="9521" xr:uid="{00000000-0005-0000-0000-00007E2F0000}"/>
    <cellStyle name="Porcentual 35" xfId="4007" xr:uid="{00000000-0005-0000-0000-00007F2F0000}"/>
    <cellStyle name="Porcentual 35 2" xfId="7539" xr:uid="{00000000-0005-0000-0000-0000802F0000}"/>
    <cellStyle name="Porcentual 35 2 2" xfId="9790" xr:uid="{00000000-0005-0000-0000-0000812F0000}"/>
    <cellStyle name="Porcentual 35 2 2 2" xfId="10488" xr:uid="{00000000-0005-0000-0000-0000822F0000}"/>
    <cellStyle name="Porcentual 35 2 2 2 2" xfId="12223" xr:uid="{00000000-0005-0000-0000-0000832F0000}"/>
    <cellStyle name="Porcentual 35 2 2 2 2 2" xfId="20972" xr:uid="{FA08CDD4-25D2-4301-9977-6A311E4F2FF6}"/>
    <cellStyle name="Porcentual 35 2 2 2 3" xfId="19609" xr:uid="{AB33515F-5112-47EB-A266-B83AC76DB6E3}"/>
    <cellStyle name="Porcentual 35 2 2 3" xfId="11576" xr:uid="{00000000-0005-0000-0000-0000842F0000}"/>
    <cellStyle name="Porcentual 35 2 2 3 2" xfId="20345" xr:uid="{32BEFA23-FD25-4630-AEC5-5CE9D9D8EEDB}"/>
    <cellStyle name="Porcentual 35 2 2 4" xfId="18977" xr:uid="{77797B7C-708C-483C-A9FA-39AC81D03E82}"/>
    <cellStyle name="Porcentual 35 2 3" xfId="10201" xr:uid="{00000000-0005-0000-0000-0000852F0000}"/>
    <cellStyle name="Porcentual 35 2 3 2" xfId="11937" xr:uid="{00000000-0005-0000-0000-0000862F0000}"/>
    <cellStyle name="Porcentual 35 2 3 2 2" xfId="20690" xr:uid="{77745F75-5FA1-4315-841F-A455A7505F9F}"/>
    <cellStyle name="Porcentual 35 2 3 3" xfId="19327" xr:uid="{8A1AEAFF-9C03-404D-A105-DD8D55930702}"/>
    <cellStyle name="Porcentual 35 2 4" xfId="11211" xr:uid="{00000000-0005-0000-0000-0000872F0000}"/>
    <cellStyle name="Porcentual 35 2 4 2" xfId="20068" xr:uid="{14532841-D39B-4C9C-9AFF-E12F414068B6}"/>
    <cellStyle name="Porcentual 35 2 5" xfId="18700" xr:uid="{EE7D1526-E59E-4AF0-8C9A-5ACF67CDF719}"/>
    <cellStyle name="Porcentual 35 3" xfId="9522" xr:uid="{00000000-0005-0000-0000-0000882F0000}"/>
    <cellStyle name="Porcentual 36" xfId="4008" xr:uid="{00000000-0005-0000-0000-0000892F0000}"/>
    <cellStyle name="Porcentual 36 2" xfId="7540" xr:uid="{00000000-0005-0000-0000-00008A2F0000}"/>
    <cellStyle name="Porcentual 36 2 2" xfId="9791" xr:uid="{00000000-0005-0000-0000-00008B2F0000}"/>
    <cellStyle name="Porcentual 36 2 2 2" xfId="10489" xr:uid="{00000000-0005-0000-0000-00008C2F0000}"/>
    <cellStyle name="Porcentual 36 2 2 2 2" xfId="12224" xr:uid="{00000000-0005-0000-0000-00008D2F0000}"/>
    <cellStyle name="Porcentual 36 2 2 2 2 2" xfId="20973" xr:uid="{46BAD317-EDE9-49EE-90DE-002AA1106556}"/>
    <cellStyle name="Porcentual 36 2 2 2 3" xfId="19610" xr:uid="{50C9D928-F90A-4B3C-B0E9-020CEFC5D352}"/>
    <cellStyle name="Porcentual 36 2 2 3" xfId="11577" xr:uid="{00000000-0005-0000-0000-00008E2F0000}"/>
    <cellStyle name="Porcentual 36 2 2 3 2" xfId="20346" xr:uid="{C3395D75-BB93-4A35-979C-AC346FA97BAE}"/>
    <cellStyle name="Porcentual 36 2 2 4" xfId="18978" xr:uid="{B662F78C-C177-46E1-8DA6-52E8DECCB152}"/>
    <cellStyle name="Porcentual 36 2 3" xfId="10202" xr:uid="{00000000-0005-0000-0000-00008F2F0000}"/>
    <cellStyle name="Porcentual 36 2 3 2" xfId="11938" xr:uid="{00000000-0005-0000-0000-0000902F0000}"/>
    <cellStyle name="Porcentual 36 2 3 2 2" xfId="20691" xr:uid="{9A1865F6-6456-4573-B52B-BD64D5E83084}"/>
    <cellStyle name="Porcentual 36 2 3 3" xfId="19328" xr:uid="{CAD89994-8300-45D1-9A72-641A83BD7A29}"/>
    <cellStyle name="Porcentual 36 2 4" xfId="11212" xr:uid="{00000000-0005-0000-0000-0000912F0000}"/>
    <cellStyle name="Porcentual 36 2 4 2" xfId="20069" xr:uid="{CB60AD22-C689-4CC0-9F8C-19AF012CF04C}"/>
    <cellStyle name="Porcentual 36 2 5" xfId="18701" xr:uid="{C8A2158E-7262-47C9-9EB9-196182E62EC7}"/>
    <cellStyle name="Porcentual 36 3" xfId="9523" xr:uid="{00000000-0005-0000-0000-0000922F0000}"/>
    <cellStyle name="Porcentual 37" xfId="4009" xr:uid="{00000000-0005-0000-0000-0000932F0000}"/>
    <cellStyle name="Porcentual 37 2" xfId="7541" xr:uid="{00000000-0005-0000-0000-0000942F0000}"/>
    <cellStyle name="Porcentual 37 2 2" xfId="9792" xr:uid="{00000000-0005-0000-0000-0000952F0000}"/>
    <cellStyle name="Porcentual 37 2 2 2" xfId="10490" xr:uid="{00000000-0005-0000-0000-0000962F0000}"/>
    <cellStyle name="Porcentual 37 2 2 2 2" xfId="12225" xr:uid="{00000000-0005-0000-0000-0000972F0000}"/>
    <cellStyle name="Porcentual 37 2 2 2 2 2" xfId="20974" xr:uid="{A56D48AD-76F0-4BFE-91FD-724AEACB35F3}"/>
    <cellStyle name="Porcentual 37 2 2 2 3" xfId="19611" xr:uid="{99738C89-FF83-4B5E-9620-E16C20E9B7F4}"/>
    <cellStyle name="Porcentual 37 2 2 3" xfId="11578" xr:uid="{00000000-0005-0000-0000-0000982F0000}"/>
    <cellStyle name="Porcentual 37 2 2 3 2" xfId="20347" xr:uid="{729012C2-688A-4D75-B561-6B0E2B672B91}"/>
    <cellStyle name="Porcentual 37 2 2 4" xfId="18979" xr:uid="{38786A3B-14CE-4535-ADCE-41DC8C109D3E}"/>
    <cellStyle name="Porcentual 37 2 3" xfId="10203" xr:uid="{00000000-0005-0000-0000-0000992F0000}"/>
    <cellStyle name="Porcentual 37 2 3 2" xfId="11939" xr:uid="{00000000-0005-0000-0000-00009A2F0000}"/>
    <cellStyle name="Porcentual 37 2 3 2 2" xfId="20692" xr:uid="{97E199F7-6F4A-4080-9393-3B8D272BFBEF}"/>
    <cellStyle name="Porcentual 37 2 3 3" xfId="19329" xr:uid="{DC837A19-F497-4EED-84A1-C97C88151A82}"/>
    <cellStyle name="Porcentual 37 2 4" xfId="11213" xr:uid="{00000000-0005-0000-0000-00009B2F0000}"/>
    <cellStyle name="Porcentual 37 2 4 2" xfId="20070" xr:uid="{AABEA08B-B5BE-4506-AAFC-D482489FF608}"/>
    <cellStyle name="Porcentual 37 2 5" xfId="18702" xr:uid="{F3B4C899-A188-4B81-9AD5-2D4E9F6263EA}"/>
    <cellStyle name="Porcentual 37 3" xfId="9524" xr:uid="{00000000-0005-0000-0000-00009C2F0000}"/>
    <cellStyle name="Porcentual 38" xfId="4010" xr:uid="{00000000-0005-0000-0000-00009D2F0000}"/>
    <cellStyle name="Porcentual 38 2" xfId="7542" xr:uid="{00000000-0005-0000-0000-00009E2F0000}"/>
    <cellStyle name="Porcentual 38 2 2" xfId="9793" xr:uid="{00000000-0005-0000-0000-00009F2F0000}"/>
    <cellStyle name="Porcentual 38 2 2 2" xfId="10491" xr:uid="{00000000-0005-0000-0000-0000A02F0000}"/>
    <cellStyle name="Porcentual 38 2 2 2 2" xfId="12226" xr:uid="{00000000-0005-0000-0000-0000A12F0000}"/>
    <cellStyle name="Porcentual 38 2 2 2 2 2" xfId="20975" xr:uid="{13F74BBE-91E8-4351-BEED-FEDF04AA047F}"/>
    <cellStyle name="Porcentual 38 2 2 2 3" xfId="19612" xr:uid="{71F79181-F802-4905-99BF-D995B9DB2694}"/>
    <cellStyle name="Porcentual 38 2 2 3" xfId="11579" xr:uid="{00000000-0005-0000-0000-0000A22F0000}"/>
    <cellStyle name="Porcentual 38 2 2 3 2" xfId="20348" xr:uid="{CDAA10A2-DE70-4A22-BDA3-B6E7B6D60F34}"/>
    <cellStyle name="Porcentual 38 2 2 4" xfId="18980" xr:uid="{810BDEE1-5AE4-48F0-830A-C907E68E9C32}"/>
    <cellStyle name="Porcentual 38 2 3" xfId="10204" xr:uid="{00000000-0005-0000-0000-0000A32F0000}"/>
    <cellStyle name="Porcentual 38 2 3 2" xfId="11940" xr:uid="{00000000-0005-0000-0000-0000A42F0000}"/>
    <cellStyle name="Porcentual 38 2 3 2 2" xfId="20693" xr:uid="{445C98DD-71EF-4BE9-AC83-B325C2E04208}"/>
    <cellStyle name="Porcentual 38 2 3 3" xfId="19330" xr:uid="{7DF977A4-D850-4426-9E98-F8881B9E22EA}"/>
    <cellStyle name="Porcentual 38 2 4" xfId="11214" xr:uid="{00000000-0005-0000-0000-0000A52F0000}"/>
    <cellStyle name="Porcentual 38 2 4 2" xfId="20071" xr:uid="{B5A533E1-E6E9-4DA5-B688-38692F270E02}"/>
    <cellStyle name="Porcentual 38 2 5" xfId="18703" xr:uid="{2268475F-B104-453A-AC8F-A1DF187BC8EF}"/>
    <cellStyle name="Porcentual 38 3" xfId="9525" xr:uid="{00000000-0005-0000-0000-0000A62F0000}"/>
    <cellStyle name="Porcentual 39" xfId="4011" xr:uid="{00000000-0005-0000-0000-0000A72F0000}"/>
    <cellStyle name="Porcentual 39 2" xfId="7543" xr:uid="{00000000-0005-0000-0000-0000A82F0000}"/>
    <cellStyle name="Porcentual 39 2 2" xfId="9794" xr:uid="{00000000-0005-0000-0000-0000A92F0000}"/>
    <cellStyle name="Porcentual 39 2 2 2" xfId="10492" xr:uid="{00000000-0005-0000-0000-0000AA2F0000}"/>
    <cellStyle name="Porcentual 39 2 2 2 2" xfId="12227" xr:uid="{00000000-0005-0000-0000-0000AB2F0000}"/>
    <cellStyle name="Porcentual 39 2 2 2 2 2" xfId="20976" xr:uid="{B37A83F3-BF6D-4187-A15D-FE71BA19A5D7}"/>
    <cellStyle name="Porcentual 39 2 2 2 3" xfId="19613" xr:uid="{45043EE2-412B-4055-B6FF-D56A93CED049}"/>
    <cellStyle name="Porcentual 39 2 2 3" xfId="11580" xr:uid="{00000000-0005-0000-0000-0000AC2F0000}"/>
    <cellStyle name="Porcentual 39 2 2 3 2" xfId="20349" xr:uid="{88E6A091-A5B3-4F48-A28C-74CD58E6EBFF}"/>
    <cellStyle name="Porcentual 39 2 2 4" xfId="18981" xr:uid="{5F014081-EB63-4500-AFF9-6BEB347CE9A6}"/>
    <cellStyle name="Porcentual 39 2 3" xfId="10205" xr:uid="{00000000-0005-0000-0000-0000AD2F0000}"/>
    <cellStyle name="Porcentual 39 2 3 2" xfId="11941" xr:uid="{00000000-0005-0000-0000-0000AE2F0000}"/>
    <cellStyle name="Porcentual 39 2 3 2 2" xfId="20694" xr:uid="{9BA16535-2813-440B-9331-09841C2E5AF3}"/>
    <cellStyle name="Porcentual 39 2 3 3" xfId="19331" xr:uid="{74FDB0D4-198A-42D0-87E8-D691723241B7}"/>
    <cellStyle name="Porcentual 39 2 4" xfId="11215" xr:uid="{00000000-0005-0000-0000-0000AF2F0000}"/>
    <cellStyle name="Porcentual 39 2 4 2" xfId="20072" xr:uid="{BD53D0AA-BD0A-4377-9AC7-560D69BBF9FE}"/>
    <cellStyle name="Porcentual 39 2 5" xfId="18704" xr:uid="{3D755CB1-BA52-4F74-AC7D-1180C753F623}"/>
    <cellStyle name="Porcentual 39 3" xfId="9526" xr:uid="{00000000-0005-0000-0000-0000B02F0000}"/>
    <cellStyle name="Porcentual 4" xfId="117" xr:uid="{00000000-0005-0000-0000-0000B12F0000}"/>
    <cellStyle name="Porcentual 4 2" xfId="118" xr:uid="{00000000-0005-0000-0000-0000B22F0000}"/>
    <cellStyle name="Porcentual 4 2 2" xfId="7544" xr:uid="{00000000-0005-0000-0000-0000B32F0000}"/>
    <cellStyle name="Porcentual 4 2 3" xfId="4013" xr:uid="{00000000-0005-0000-0000-0000B42F0000}"/>
    <cellStyle name="Porcentual 4 3" xfId="7545" xr:uid="{00000000-0005-0000-0000-0000B52F0000}"/>
    <cellStyle name="Porcentual 4 4" xfId="4012" xr:uid="{00000000-0005-0000-0000-0000B62F0000}"/>
    <cellStyle name="Porcentual 40" xfId="4014" xr:uid="{00000000-0005-0000-0000-0000B72F0000}"/>
    <cellStyle name="Porcentual 40 2" xfId="7546" xr:uid="{00000000-0005-0000-0000-0000B82F0000}"/>
    <cellStyle name="Porcentual 40 2 2" xfId="9795" xr:uid="{00000000-0005-0000-0000-0000B92F0000}"/>
    <cellStyle name="Porcentual 40 2 2 2" xfId="10493" xr:uid="{00000000-0005-0000-0000-0000BA2F0000}"/>
    <cellStyle name="Porcentual 40 2 2 2 2" xfId="12228" xr:uid="{00000000-0005-0000-0000-0000BB2F0000}"/>
    <cellStyle name="Porcentual 40 2 2 2 2 2" xfId="20977" xr:uid="{1C578367-F9AE-4DC2-9DBE-B9F7C8E71353}"/>
    <cellStyle name="Porcentual 40 2 2 2 3" xfId="19614" xr:uid="{DA4A060C-4954-445F-88F7-7A2342735B0A}"/>
    <cellStyle name="Porcentual 40 2 2 3" xfId="11581" xr:uid="{00000000-0005-0000-0000-0000BC2F0000}"/>
    <cellStyle name="Porcentual 40 2 2 3 2" xfId="20350" xr:uid="{04C8E1C8-9923-4DB4-B9D0-F6965E326A82}"/>
    <cellStyle name="Porcentual 40 2 2 4" xfId="18982" xr:uid="{0FBE1E51-6DFF-4AE3-83A8-03A20CA2106D}"/>
    <cellStyle name="Porcentual 40 2 3" xfId="10206" xr:uid="{00000000-0005-0000-0000-0000BD2F0000}"/>
    <cellStyle name="Porcentual 40 2 3 2" xfId="11942" xr:uid="{00000000-0005-0000-0000-0000BE2F0000}"/>
    <cellStyle name="Porcentual 40 2 3 2 2" xfId="20695" xr:uid="{F6FD35F0-AE86-4303-8837-A2F6EDC3F849}"/>
    <cellStyle name="Porcentual 40 2 3 3" xfId="19332" xr:uid="{D3394F0D-BFD1-4DF1-99E0-21D358B4A90A}"/>
    <cellStyle name="Porcentual 40 2 4" xfId="11216" xr:uid="{00000000-0005-0000-0000-0000BF2F0000}"/>
    <cellStyle name="Porcentual 40 2 4 2" xfId="20073" xr:uid="{DAB45CFA-5506-4C1D-86C8-67DB45745218}"/>
    <cellStyle name="Porcentual 40 2 5" xfId="18705" xr:uid="{DB24735B-4632-470D-87B7-A044521658A9}"/>
    <cellStyle name="Porcentual 40 3" xfId="9527" xr:uid="{00000000-0005-0000-0000-0000C02F0000}"/>
    <cellStyle name="Porcentual 41" xfId="4015" xr:uid="{00000000-0005-0000-0000-0000C12F0000}"/>
    <cellStyle name="Porcentual 41 2" xfId="7547" xr:uid="{00000000-0005-0000-0000-0000C22F0000}"/>
    <cellStyle name="Porcentual 41 2 2" xfId="9796" xr:uid="{00000000-0005-0000-0000-0000C32F0000}"/>
    <cellStyle name="Porcentual 41 2 2 2" xfId="10494" xr:uid="{00000000-0005-0000-0000-0000C42F0000}"/>
    <cellStyle name="Porcentual 41 2 2 2 2" xfId="12229" xr:uid="{00000000-0005-0000-0000-0000C52F0000}"/>
    <cellStyle name="Porcentual 41 2 2 2 2 2" xfId="20978" xr:uid="{0668FA02-0E60-408F-B851-66672E4C2B93}"/>
    <cellStyle name="Porcentual 41 2 2 2 3" xfId="19615" xr:uid="{A06FDA6A-EE76-48E5-9BE7-43A136EEA6DC}"/>
    <cellStyle name="Porcentual 41 2 2 3" xfId="11582" xr:uid="{00000000-0005-0000-0000-0000C62F0000}"/>
    <cellStyle name="Porcentual 41 2 2 3 2" xfId="20351" xr:uid="{EED8B2A5-5373-4C4B-AA1C-82F8F99A845D}"/>
    <cellStyle name="Porcentual 41 2 2 4" xfId="18983" xr:uid="{517A0976-0725-4D41-B774-C41C7B65EB83}"/>
    <cellStyle name="Porcentual 41 2 3" xfId="10207" xr:uid="{00000000-0005-0000-0000-0000C72F0000}"/>
    <cellStyle name="Porcentual 41 2 3 2" xfId="11943" xr:uid="{00000000-0005-0000-0000-0000C82F0000}"/>
    <cellStyle name="Porcentual 41 2 3 2 2" xfId="20696" xr:uid="{4C9B86BB-A7AC-47A7-AFD2-C53F3D3CAF37}"/>
    <cellStyle name="Porcentual 41 2 3 3" xfId="19333" xr:uid="{9F6016A5-009F-4C71-AAEE-41656C67C3D3}"/>
    <cellStyle name="Porcentual 41 2 4" xfId="11217" xr:uid="{00000000-0005-0000-0000-0000C92F0000}"/>
    <cellStyle name="Porcentual 41 2 4 2" xfId="20074" xr:uid="{070A6D61-E75E-4ED7-91A0-872E8973DA84}"/>
    <cellStyle name="Porcentual 41 2 5" xfId="18706" xr:uid="{A0E41EB8-73E8-421F-ACF2-E0291DC0033E}"/>
    <cellStyle name="Porcentual 41 3" xfId="9528" xr:uid="{00000000-0005-0000-0000-0000CA2F0000}"/>
    <cellStyle name="Porcentual 42" xfId="4016" xr:uid="{00000000-0005-0000-0000-0000CB2F0000}"/>
    <cellStyle name="Porcentual 42 2" xfId="7548" xr:uid="{00000000-0005-0000-0000-0000CC2F0000}"/>
    <cellStyle name="Porcentual 42 2 2" xfId="9797" xr:uid="{00000000-0005-0000-0000-0000CD2F0000}"/>
    <cellStyle name="Porcentual 42 2 2 2" xfId="10495" xr:uid="{00000000-0005-0000-0000-0000CE2F0000}"/>
    <cellStyle name="Porcentual 42 2 2 2 2" xfId="12230" xr:uid="{00000000-0005-0000-0000-0000CF2F0000}"/>
    <cellStyle name="Porcentual 42 2 2 2 2 2" xfId="20979" xr:uid="{14341416-200A-4D77-A43F-E1E3C7D69EB0}"/>
    <cellStyle name="Porcentual 42 2 2 2 3" xfId="19616" xr:uid="{B352943B-A7DB-4994-B634-C55EB46BF943}"/>
    <cellStyle name="Porcentual 42 2 2 3" xfId="11583" xr:uid="{00000000-0005-0000-0000-0000D02F0000}"/>
    <cellStyle name="Porcentual 42 2 2 3 2" xfId="20352" xr:uid="{F6DD0506-BBDA-40B9-A4CC-EB97AABCAB61}"/>
    <cellStyle name="Porcentual 42 2 2 4" xfId="18984" xr:uid="{8A829195-A6F6-40A7-87A5-B024369DB90E}"/>
    <cellStyle name="Porcentual 42 2 3" xfId="10208" xr:uid="{00000000-0005-0000-0000-0000D12F0000}"/>
    <cellStyle name="Porcentual 42 2 3 2" xfId="11944" xr:uid="{00000000-0005-0000-0000-0000D22F0000}"/>
    <cellStyle name="Porcentual 42 2 3 2 2" xfId="20697" xr:uid="{0EA7161C-8138-4CB4-9180-9B9F3278303D}"/>
    <cellStyle name="Porcentual 42 2 3 3" xfId="19334" xr:uid="{CEB01FBC-A99C-448D-B13C-1C85198D6F88}"/>
    <cellStyle name="Porcentual 42 2 4" xfId="11218" xr:uid="{00000000-0005-0000-0000-0000D32F0000}"/>
    <cellStyle name="Porcentual 42 2 4 2" xfId="20075" xr:uid="{8D140F1E-C456-4D26-938E-28D630E4C3A2}"/>
    <cellStyle name="Porcentual 42 2 5" xfId="18707" xr:uid="{9D202F69-AAE3-452F-A0E7-07A62DE7B345}"/>
    <cellStyle name="Porcentual 42 3" xfId="9529" xr:uid="{00000000-0005-0000-0000-0000D42F0000}"/>
    <cellStyle name="Porcentual 45" xfId="4017" xr:uid="{00000000-0005-0000-0000-0000D52F0000}"/>
    <cellStyle name="Porcentual 45 2" xfId="7549" xr:uid="{00000000-0005-0000-0000-0000D62F0000}"/>
    <cellStyle name="Porcentual 45 2 2" xfId="9798" xr:uid="{00000000-0005-0000-0000-0000D72F0000}"/>
    <cellStyle name="Porcentual 45 2 2 2" xfId="10496" xr:uid="{00000000-0005-0000-0000-0000D82F0000}"/>
    <cellStyle name="Porcentual 45 2 2 2 2" xfId="12231" xr:uid="{00000000-0005-0000-0000-0000D92F0000}"/>
    <cellStyle name="Porcentual 45 2 2 2 2 2" xfId="20980" xr:uid="{2489B518-CC3E-415D-A25A-C9B7BC5C80A1}"/>
    <cellStyle name="Porcentual 45 2 2 2 3" xfId="19617" xr:uid="{0BFD8B45-CA7E-4F4A-861A-82609229F0AC}"/>
    <cellStyle name="Porcentual 45 2 2 3" xfId="11584" xr:uid="{00000000-0005-0000-0000-0000DA2F0000}"/>
    <cellStyle name="Porcentual 45 2 2 3 2" xfId="20353" xr:uid="{95B96C1A-C7BB-4831-827F-C2C36894F72D}"/>
    <cellStyle name="Porcentual 45 2 2 4" xfId="18985" xr:uid="{E68D965C-692E-4E6E-96E1-BCF495C9393E}"/>
    <cellStyle name="Porcentual 45 2 3" xfId="10209" xr:uid="{00000000-0005-0000-0000-0000DB2F0000}"/>
    <cellStyle name="Porcentual 45 2 3 2" xfId="11945" xr:uid="{00000000-0005-0000-0000-0000DC2F0000}"/>
    <cellStyle name="Porcentual 45 2 3 2 2" xfId="20698" xr:uid="{6804C80D-8ECD-4CB0-A91C-B071CD08DF0C}"/>
    <cellStyle name="Porcentual 45 2 3 3" xfId="19335" xr:uid="{65FBB780-A3D7-499A-90ED-28528ADAA014}"/>
    <cellStyle name="Porcentual 45 2 4" xfId="11219" xr:uid="{00000000-0005-0000-0000-0000DD2F0000}"/>
    <cellStyle name="Porcentual 45 2 4 2" xfId="20076" xr:uid="{B23E3BF3-740C-4926-8400-6EB7D0E762CE}"/>
    <cellStyle name="Porcentual 45 2 5" xfId="18708" xr:uid="{876DD1E9-46AB-4B9D-AED4-698C34970CFE}"/>
    <cellStyle name="Porcentual 45 3" xfId="9530" xr:uid="{00000000-0005-0000-0000-0000DE2F0000}"/>
    <cellStyle name="Porcentual 46" xfId="4018" xr:uid="{00000000-0005-0000-0000-0000DF2F0000}"/>
    <cellStyle name="Porcentual 46 2" xfId="7550" xr:uid="{00000000-0005-0000-0000-0000E02F0000}"/>
    <cellStyle name="Porcentual 46 2 2" xfId="9799" xr:uid="{00000000-0005-0000-0000-0000E12F0000}"/>
    <cellStyle name="Porcentual 46 2 2 2" xfId="10497" xr:uid="{00000000-0005-0000-0000-0000E22F0000}"/>
    <cellStyle name="Porcentual 46 2 2 2 2" xfId="12232" xr:uid="{00000000-0005-0000-0000-0000E32F0000}"/>
    <cellStyle name="Porcentual 46 2 2 2 2 2" xfId="20981" xr:uid="{2DF791AC-A3C7-4E2F-B62D-E48BF2A7FDAB}"/>
    <cellStyle name="Porcentual 46 2 2 2 3" xfId="19618" xr:uid="{399615FD-23C9-4549-AA78-A58BDAD7FE3E}"/>
    <cellStyle name="Porcentual 46 2 2 3" xfId="11585" xr:uid="{00000000-0005-0000-0000-0000E42F0000}"/>
    <cellStyle name="Porcentual 46 2 2 3 2" xfId="20354" xr:uid="{4B88AEC4-BFAF-4707-82D9-2CE02F32FA02}"/>
    <cellStyle name="Porcentual 46 2 2 4" xfId="18986" xr:uid="{4792E54F-0111-4DFC-AFCD-B90B433C8672}"/>
    <cellStyle name="Porcentual 46 2 3" xfId="10210" xr:uid="{00000000-0005-0000-0000-0000E52F0000}"/>
    <cellStyle name="Porcentual 46 2 3 2" xfId="11946" xr:uid="{00000000-0005-0000-0000-0000E62F0000}"/>
    <cellStyle name="Porcentual 46 2 3 2 2" xfId="20699" xr:uid="{01A486FA-2E0A-4EA8-884F-8C1FB1AE1F49}"/>
    <cellStyle name="Porcentual 46 2 3 3" xfId="19336" xr:uid="{FAC745E6-C3F4-4DF5-87F2-FD9AB772ACCB}"/>
    <cellStyle name="Porcentual 46 2 4" xfId="11220" xr:uid="{00000000-0005-0000-0000-0000E72F0000}"/>
    <cellStyle name="Porcentual 46 2 4 2" xfId="20077" xr:uid="{828DE64A-DEC9-488E-85F1-53CAC800CE55}"/>
    <cellStyle name="Porcentual 46 2 5" xfId="18709" xr:uid="{3B269C99-3938-4B99-A38D-B475DA238C1C}"/>
    <cellStyle name="Porcentual 46 3" xfId="9531" xr:uid="{00000000-0005-0000-0000-0000E82F0000}"/>
    <cellStyle name="Porcentual 47" xfId="4019" xr:uid="{00000000-0005-0000-0000-0000E92F0000}"/>
    <cellStyle name="Porcentual 47 2" xfId="7551" xr:uid="{00000000-0005-0000-0000-0000EA2F0000}"/>
    <cellStyle name="Porcentual 47 2 2" xfId="9800" xr:uid="{00000000-0005-0000-0000-0000EB2F0000}"/>
    <cellStyle name="Porcentual 47 2 2 2" xfId="10498" xr:uid="{00000000-0005-0000-0000-0000EC2F0000}"/>
    <cellStyle name="Porcentual 47 2 2 2 2" xfId="12233" xr:uid="{00000000-0005-0000-0000-0000ED2F0000}"/>
    <cellStyle name="Porcentual 47 2 2 2 2 2" xfId="20982" xr:uid="{07E2D618-DEB0-43DD-BD18-F94D3DFBB0DB}"/>
    <cellStyle name="Porcentual 47 2 2 2 3" xfId="19619" xr:uid="{CD216234-C559-41E4-BAA6-B55E94224E6E}"/>
    <cellStyle name="Porcentual 47 2 2 3" xfId="11586" xr:uid="{00000000-0005-0000-0000-0000EE2F0000}"/>
    <cellStyle name="Porcentual 47 2 2 3 2" xfId="20355" xr:uid="{95103EA1-90D9-4739-9835-B38919F3E1B0}"/>
    <cellStyle name="Porcentual 47 2 2 4" xfId="18987" xr:uid="{21898BC3-647C-42DF-B5B9-FF203F822AEF}"/>
    <cellStyle name="Porcentual 47 2 3" xfId="10211" xr:uid="{00000000-0005-0000-0000-0000EF2F0000}"/>
    <cellStyle name="Porcentual 47 2 3 2" xfId="11947" xr:uid="{00000000-0005-0000-0000-0000F02F0000}"/>
    <cellStyle name="Porcentual 47 2 3 2 2" xfId="20700" xr:uid="{2A59369A-DA0A-4FC3-803B-A92F9E957EC8}"/>
    <cellStyle name="Porcentual 47 2 3 3" xfId="19337" xr:uid="{4F0BB447-4E6F-4D73-9C65-D8A9DFC83A71}"/>
    <cellStyle name="Porcentual 47 2 4" xfId="11221" xr:uid="{00000000-0005-0000-0000-0000F12F0000}"/>
    <cellStyle name="Porcentual 47 2 4 2" xfId="20078" xr:uid="{03571DD1-8FB5-4197-A55C-82BAC9832564}"/>
    <cellStyle name="Porcentual 47 2 5" xfId="18710" xr:uid="{4DC11250-FB13-44A8-A62F-A7B927DC4359}"/>
    <cellStyle name="Porcentual 47 3" xfId="9532" xr:uid="{00000000-0005-0000-0000-0000F22F0000}"/>
    <cellStyle name="Porcentual 48" xfId="4020" xr:uid="{00000000-0005-0000-0000-0000F32F0000}"/>
    <cellStyle name="Porcentual 48 2" xfId="7552" xr:uid="{00000000-0005-0000-0000-0000F42F0000}"/>
    <cellStyle name="Porcentual 48 2 2" xfId="9801" xr:uid="{00000000-0005-0000-0000-0000F52F0000}"/>
    <cellStyle name="Porcentual 48 2 2 2" xfId="10499" xr:uid="{00000000-0005-0000-0000-0000F62F0000}"/>
    <cellStyle name="Porcentual 48 2 2 2 2" xfId="12234" xr:uid="{00000000-0005-0000-0000-0000F72F0000}"/>
    <cellStyle name="Porcentual 48 2 2 2 2 2" xfId="20983" xr:uid="{A60BB5AB-80B5-4806-A293-4BB14CA7E17E}"/>
    <cellStyle name="Porcentual 48 2 2 2 3" xfId="19620" xr:uid="{75309C5C-4732-4106-A57E-224ADCAA3859}"/>
    <cellStyle name="Porcentual 48 2 2 3" xfId="11587" xr:uid="{00000000-0005-0000-0000-0000F82F0000}"/>
    <cellStyle name="Porcentual 48 2 2 3 2" xfId="20356" xr:uid="{D93B51C4-0F9A-40B5-A90F-97781031941F}"/>
    <cellStyle name="Porcentual 48 2 2 4" xfId="18988" xr:uid="{87D9974D-1306-45C3-9B7F-C6D27B5A3F4D}"/>
    <cellStyle name="Porcentual 48 2 3" xfId="10212" xr:uid="{00000000-0005-0000-0000-0000F92F0000}"/>
    <cellStyle name="Porcentual 48 2 3 2" xfId="11948" xr:uid="{00000000-0005-0000-0000-0000FA2F0000}"/>
    <cellStyle name="Porcentual 48 2 3 2 2" xfId="20701" xr:uid="{BC9A1F19-27D1-4734-B249-E2749940A812}"/>
    <cellStyle name="Porcentual 48 2 3 3" xfId="19338" xr:uid="{02C3C29B-8C50-4E0E-9F42-BC1F64DC817E}"/>
    <cellStyle name="Porcentual 48 2 4" xfId="11222" xr:uid="{00000000-0005-0000-0000-0000FB2F0000}"/>
    <cellStyle name="Porcentual 48 2 4 2" xfId="20079" xr:uid="{03812A67-281C-446A-BC12-F8CB2B099DCD}"/>
    <cellStyle name="Porcentual 48 2 5" xfId="18711" xr:uid="{7E60A806-8F35-4A11-9708-3BC9B6494921}"/>
    <cellStyle name="Porcentual 48 3" xfId="9533" xr:uid="{00000000-0005-0000-0000-0000FC2F0000}"/>
    <cellStyle name="Porcentual 49" xfId="4021" xr:uid="{00000000-0005-0000-0000-0000FD2F0000}"/>
    <cellStyle name="Porcentual 49 2" xfId="7553" xr:uid="{00000000-0005-0000-0000-0000FE2F0000}"/>
    <cellStyle name="Porcentual 49 2 2" xfId="9802" xr:uid="{00000000-0005-0000-0000-0000FF2F0000}"/>
    <cellStyle name="Porcentual 49 2 2 2" xfId="10500" xr:uid="{00000000-0005-0000-0000-000000300000}"/>
    <cellStyle name="Porcentual 49 2 2 2 2" xfId="12235" xr:uid="{00000000-0005-0000-0000-000001300000}"/>
    <cellStyle name="Porcentual 49 2 2 2 2 2" xfId="20984" xr:uid="{FFFEE2A0-49BA-4908-A54E-0D52FDD98B18}"/>
    <cellStyle name="Porcentual 49 2 2 2 3" xfId="19621" xr:uid="{A2C2ABBF-73C2-48C5-8961-07A74C4414F4}"/>
    <cellStyle name="Porcentual 49 2 2 3" xfId="11588" xr:uid="{00000000-0005-0000-0000-000002300000}"/>
    <cellStyle name="Porcentual 49 2 2 3 2" xfId="20357" xr:uid="{41B969E8-CFD6-4260-9332-C65A0FA5DD84}"/>
    <cellStyle name="Porcentual 49 2 2 4" xfId="18989" xr:uid="{49EB33D2-7153-49CD-882A-85F922EE64FE}"/>
    <cellStyle name="Porcentual 49 2 3" xfId="10213" xr:uid="{00000000-0005-0000-0000-000003300000}"/>
    <cellStyle name="Porcentual 49 2 3 2" xfId="11949" xr:uid="{00000000-0005-0000-0000-000004300000}"/>
    <cellStyle name="Porcentual 49 2 3 2 2" xfId="20702" xr:uid="{6E701392-ED2C-48A7-9350-2B2222EAD1D7}"/>
    <cellStyle name="Porcentual 49 2 3 3" xfId="19339" xr:uid="{3F99D320-3923-4B5C-95C2-633CE8C99649}"/>
    <cellStyle name="Porcentual 49 2 4" xfId="11223" xr:uid="{00000000-0005-0000-0000-000005300000}"/>
    <cellStyle name="Porcentual 49 2 4 2" xfId="20080" xr:uid="{A824C85F-41A9-4D26-B611-B740775019B4}"/>
    <cellStyle name="Porcentual 49 2 5" xfId="18712" xr:uid="{DD4D7127-DFA7-43E4-81AF-6B626A59B296}"/>
    <cellStyle name="Porcentual 49 3" xfId="9534" xr:uid="{00000000-0005-0000-0000-000006300000}"/>
    <cellStyle name="Porcentual 5" xfId="119" xr:uid="{00000000-0005-0000-0000-000007300000}"/>
    <cellStyle name="Porcentual 5 2" xfId="4022" xr:uid="{00000000-0005-0000-0000-000008300000}"/>
    <cellStyle name="Porcentual 50" xfId="4023" xr:uid="{00000000-0005-0000-0000-000009300000}"/>
    <cellStyle name="Porcentual 50 2" xfId="7554" xr:uid="{00000000-0005-0000-0000-00000A300000}"/>
    <cellStyle name="Porcentual 50 2 2" xfId="9803" xr:uid="{00000000-0005-0000-0000-00000B300000}"/>
    <cellStyle name="Porcentual 50 2 2 2" xfId="10501" xr:uid="{00000000-0005-0000-0000-00000C300000}"/>
    <cellStyle name="Porcentual 50 2 2 2 2" xfId="12236" xr:uid="{00000000-0005-0000-0000-00000D300000}"/>
    <cellStyle name="Porcentual 50 2 2 2 2 2" xfId="20985" xr:uid="{DD21C183-F851-4612-B346-C2513FE2605C}"/>
    <cellStyle name="Porcentual 50 2 2 2 3" xfId="19622" xr:uid="{D4A34EF6-C836-444A-8A34-E408F71AD30C}"/>
    <cellStyle name="Porcentual 50 2 2 3" xfId="11589" xr:uid="{00000000-0005-0000-0000-00000E300000}"/>
    <cellStyle name="Porcentual 50 2 2 3 2" xfId="20358" xr:uid="{2213791E-A7BB-443E-81D5-F78B185E8168}"/>
    <cellStyle name="Porcentual 50 2 2 4" xfId="18990" xr:uid="{FB410EB0-C60B-4E7C-9728-3F67D1A4DECF}"/>
    <cellStyle name="Porcentual 50 2 3" xfId="10214" xr:uid="{00000000-0005-0000-0000-00000F300000}"/>
    <cellStyle name="Porcentual 50 2 3 2" xfId="11950" xr:uid="{00000000-0005-0000-0000-000010300000}"/>
    <cellStyle name="Porcentual 50 2 3 2 2" xfId="20703" xr:uid="{DF5E3513-548C-4B43-BF69-3501E43FF3F0}"/>
    <cellStyle name="Porcentual 50 2 3 3" xfId="19340" xr:uid="{1C948DC0-CEE4-4DAC-AE5B-F764C1AE70D7}"/>
    <cellStyle name="Porcentual 50 2 4" xfId="11224" xr:uid="{00000000-0005-0000-0000-000011300000}"/>
    <cellStyle name="Porcentual 50 2 4 2" xfId="20081" xr:uid="{6C03AAEC-AE4A-4C3B-9BF9-C1F15C7E2FC5}"/>
    <cellStyle name="Porcentual 50 2 5" xfId="18713" xr:uid="{8EC0A1C1-9976-468C-87F3-6B92987D66CE}"/>
    <cellStyle name="Porcentual 50 3" xfId="9535" xr:uid="{00000000-0005-0000-0000-000012300000}"/>
    <cellStyle name="Porcentual 52" xfId="4024" xr:uid="{00000000-0005-0000-0000-000013300000}"/>
    <cellStyle name="Porcentual 52 2" xfId="7555" xr:uid="{00000000-0005-0000-0000-000014300000}"/>
    <cellStyle name="Porcentual 52 2 2" xfId="9804" xr:uid="{00000000-0005-0000-0000-000015300000}"/>
    <cellStyle name="Porcentual 52 2 2 2" xfId="10502" xr:uid="{00000000-0005-0000-0000-000016300000}"/>
    <cellStyle name="Porcentual 52 2 2 2 2" xfId="12237" xr:uid="{00000000-0005-0000-0000-000017300000}"/>
    <cellStyle name="Porcentual 52 2 2 2 2 2" xfId="20986" xr:uid="{B383A98F-E20B-4D80-A084-22B80BAF0720}"/>
    <cellStyle name="Porcentual 52 2 2 2 3" xfId="19623" xr:uid="{CF22EC98-262C-4008-B598-994E2147E723}"/>
    <cellStyle name="Porcentual 52 2 2 3" xfId="11590" xr:uid="{00000000-0005-0000-0000-000018300000}"/>
    <cellStyle name="Porcentual 52 2 2 3 2" xfId="20359" xr:uid="{9679A54D-A445-46BC-B687-4091B398DA9D}"/>
    <cellStyle name="Porcentual 52 2 2 4" xfId="18991" xr:uid="{DF79EC76-106F-43A3-9FFE-A81A76889988}"/>
    <cellStyle name="Porcentual 52 2 3" xfId="10215" xr:uid="{00000000-0005-0000-0000-000019300000}"/>
    <cellStyle name="Porcentual 52 2 3 2" xfId="11951" xr:uid="{00000000-0005-0000-0000-00001A300000}"/>
    <cellStyle name="Porcentual 52 2 3 2 2" xfId="20704" xr:uid="{C7CE00D9-5D73-42DC-A3D0-09745D2E1FAA}"/>
    <cellStyle name="Porcentual 52 2 3 3" xfId="19341" xr:uid="{B8CF765F-EE48-464A-B790-F13D44EF1519}"/>
    <cellStyle name="Porcentual 52 2 4" xfId="11225" xr:uid="{00000000-0005-0000-0000-00001B300000}"/>
    <cellStyle name="Porcentual 52 2 4 2" xfId="20082" xr:uid="{F9D347A6-DBB4-4073-8E2B-3DB6D0E5F123}"/>
    <cellStyle name="Porcentual 52 2 5" xfId="18714" xr:uid="{9B4FF5DA-8E66-4C2C-854B-F3DB4802F9D2}"/>
    <cellStyle name="Porcentual 52 3" xfId="9536" xr:uid="{00000000-0005-0000-0000-00001C300000}"/>
    <cellStyle name="Porcentual 53" xfId="4025" xr:uid="{00000000-0005-0000-0000-00001D300000}"/>
    <cellStyle name="Porcentual 53 2" xfId="7556" xr:uid="{00000000-0005-0000-0000-00001E300000}"/>
    <cellStyle name="Porcentual 53 2 2" xfId="9805" xr:uid="{00000000-0005-0000-0000-00001F300000}"/>
    <cellStyle name="Porcentual 53 2 2 2" xfId="10503" xr:uid="{00000000-0005-0000-0000-000020300000}"/>
    <cellStyle name="Porcentual 53 2 2 2 2" xfId="12238" xr:uid="{00000000-0005-0000-0000-000021300000}"/>
    <cellStyle name="Porcentual 53 2 2 2 2 2" xfId="20987" xr:uid="{F270A36F-F10A-4105-8C37-0EE6511859A3}"/>
    <cellStyle name="Porcentual 53 2 2 2 3" xfId="19624" xr:uid="{B680BC14-7608-4138-A671-25A813F76C1F}"/>
    <cellStyle name="Porcentual 53 2 2 3" xfId="11591" xr:uid="{00000000-0005-0000-0000-000022300000}"/>
    <cellStyle name="Porcentual 53 2 2 3 2" xfId="20360" xr:uid="{DE92D891-8B45-4C38-BD20-F5AA61EAC802}"/>
    <cellStyle name="Porcentual 53 2 2 4" xfId="18992" xr:uid="{F12EB9D2-12B9-46C2-BD1D-C9CE3CAAEAEC}"/>
    <cellStyle name="Porcentual 53 2 3" xfId="10216" xr:uid="{00000000-0005-0000-0000-000023300000}"/>
    <cellStyle name="Porcentual 53 2 3 2" xfId="11952" xr:uid="{00000000-0005-0000-0000-000024300000}"/>
    <cellStyle name="Porcentual 53 2 3 2 2" xfId="20705" xr:uid="{DD7B36B5-BEF9-4363-915A-C0434BFC75C0}"/>
    <cellStyle name="Porcentual 53 2 3 3" xfId="19342" xr:uid="{2C0E6418-09D2-4747-A339-87692060C22A}"/>
    <cellStyle name="Porcentual 53 2 4" xfId="11226" xr:uid="{00000000-0005-0000-0000-000025300000}"/>
    <cellStyle name="Porcentual 53 2 4 2" xfId="20083" xr:uid="{CBE0B401-9552-4512-BA71-F89BCBD75377}"/>
    <cellStyle name="Porcentual 53 2 5" xfId="18715" xr:uid="{6D21B583-540A-4A34-83CB-3AF133AE284C}"/>
    <cellStyle name="Porcentual 53 3" xfId="9537" xr:uid="{00000000-0005-0000-0000-000026300000}"/>
    <cellStyle name="Porcentual 55" xfId="4026" xr:uid="{00000000-0005-0000-0000-000027300000}"/>
    <cellStyle name="Porcentual 55 2" xfId="7557" xr:uid="{00000000-0005-0000-0000-000028300000}"/>
    <cellStyle name="Porcentual 55 2 2" xfId="9806" xr:uid="{00000000-0005-0000-0000-000029300000}"/>
    <cellStyle name="Porcentual 55 2 2 2" xfId="10504" xr:uid="{00000000-0005-0000-0000-00002A300000}"/>
    <cellStyle name="Porcentual 55 2 2 2 2" xfId="12239" xr:uid="{00000000-0005-0000-0000-00002B300000}"/>
    <cellStyle name="Porcentual 55 2 2 2 2 2" xfId="20988" xr:uid="{A0E32714-5635-4238-B2F4-0C67A5D25076}"/>
    <cellStyle name="Porcentual 55 2 2 2 3" xfId="19625" xr:uid="{C53E0A99-AB53-4DF5-B616-3DE493343F2E}"/>
    <cellStyle name="Porcentual 55 2 2 3" xfId="11592" xr:uid="{00000000-0005-0000-0000-00002C300000}"/>
    <cellStyle name="Porcentual 55 2 2 3 2" xfId="20361" xr:uid="{D93ED928-9041-4B98-B785-74B56BC5019E}"/>
    <cellStyle name="Porcentual 55 2 2 4" xfId="18993" xr:uid="{42B20219-20E5-4C84-8622-4B229C65E1AA}"/>
    <cellStyle name="Porcentual 55 2 3" xfId="10217" xr:uid="{00000000-0005-0000-0000-00002D300000}"/>
    <cellStyle name="Porcentual 55 2 3 2" xfId="11953" xr:uid="{00000000-0005-0000-0000-00002E300000}"/>
    <cellStyle name="Porcentual 55 2 3 2 2" xfId="20706" xr:uid="{A762B34D-3C7B-4640-8CCF-2775A38C2C3E}"/>
    <cellStyle name="Porcentual 55 2 3 3" xfId="19343" xr:uid="{EC48AB95-7045-4C65-93BF-839DAB0E6D07}"/>
    <cellStyle name="Porcentual 55 2 4" xfId="11227" xr:uid="{00000000-0005-0000-0000-00002F300000}"/>
    <cellStyle name="Porcentual 55 2 4 2" xfId="20084" xr:uid="{88AB55BB-28DE-4B6A-A206-13B6BF7A4919}"/>
    <cellStyle name="Porcentual 55 2 5" xfId="18716" xr:uid="{C0B0203C-B731-45D7-AACD-7D2933B3841F}"/>
    <cellStyle name="Porcentual 55 3" xfId="9538" xr:uid="{00000000-0005-0000-0000-000030300000}"/>
    <cellStyle name="Porcentual 56" xfId="4027" xr:uid="{00000000-0005-0000-0000-000031300000}"/>
    <cellStyle name="Porcentual 56 2" xfId="7558" xr:uid="{00000000-0005-0000-0000-000032300000}"/>
    <cellStyle name="Porcentual 56 2 2" xfId="9807" xr:uid="{00000000-0005-0000-0000-000033300000}"/>
    <cellStyle name="Porcentual 56 2 2 2" xfId="10505" xr:uid="{00000000-0005-0000-0000-000034300000}"/>
    <cellStyle name="Porcentual 56 2 2 2 2" xfId="12240" xr:uid="{00000000-0005-0000-0000-000035300000}"/>
    <cellStyle name="Porcentual 56 2 2 2 2 2" xfId="20989" xr:uid="{1509E5BC-89B1-43D4-A614-7D7AD718C7F7}"/>
    <cellStyle name="Porcentual 56 2 2 2 3" xfId="19626" xr:uid="{4DBF296C-D335-4772-82C9-3AC7224F3353}"/>
    <cellStyle name="Porcentual 56 2 2 3" xfId="11593" xr:uid="{00000000-0005-0000-0000-000036300000}"/>
    <cellStyle name="Porcentual 56 2 2 3 2" xfId="20362" xr:uid="{87B490B2-98E6-4C65-A5B0-C43F2D1073B8}"/>
    <cellStyle name="Porcentual 56 2 2 4" xfId="18994" xr:uid="{2D8CB6C9-170F-402C-8C59-6964277C506B}"/>
    <cellStyle name="Porcentual 56 2 3" xfId="10218" xr:uid="{00000000-0005-0000-0000-000037300000}"/>
    <cellStyle name="Porcentual 56 2 3 2" xfId="11954" xr:uid="{00000000-0005-0000-0000-000038300000}"/>
    <cellStyle name="Porcentual 56 2 3 2 2" xfId="20707" xr:uid="{283B7654-98CD-41C7-9DF8-5FDE05CC6226}"/>
    <cellStyle name="Porcentual 56 2 3 3" xfId="19344" xr:uid="{0011E2E0-8548-4D5A-A106-0D775845A5AA}"/>
    <cellStyle name="Porcentual 56 2 4" xfId="11228" xr:uid="{00000000-0005-0000-0000-000039300000}"/>
    <cellStyle name="Porcentual 56 2 4 2" xfId="20085" xr:uid="{C1959F50-9C64-4E89-B82E-A13BF8DAE14B}"/>
    <cellStyle name="Porcentual 56 2 5" xfId="18717" xr:uid="{FAC16763-3A31-442A-BA69-9EB8619AEDC4}"/>
    <cellStyle name="Porcentual 56 3" xfId="9539" xr:uid="{00000000-0005-0000-0000-00003A300000}"/>
    <cellStyle name="Porcentual 6" xfId="120" xr:uid="{00000000-0005-0000-0000-00003B300000}"/>
    <cellStyle name="Porcentual 6 2" xfId="9540" xr:uid="{00000000-0005-0000-0000-00003C300000}"/>
    <cellStyle name="Porcentual 7" xfId="4028" xr:uid="{00000000-0005-0000-0000-00003D300000}"/>
    <cellStyle name="Porcentual 7 2" xfId="7559" xr:uid="{00000000-0005-0000-0000-00003E300000}"/>
    <cellStyle name="Porcentual 8" xfId="4029" xr:uid="{00000000-0005-0000-0000-00003F300000}"/>
    <cellStyle name="Porcentual 8 2" xfId="7560" xr:uid="{00000000-0005-0000-0000-000040300000}"/>
    <cellStyle name="Porcentual 8 2 2" xfId="7561" xr:uid="{00000000-0005-0000-0000-000041300000}"/>
    <cellStyle name="Porcentual 8 2 2 2" xfId="9809" xr:uid="{00000000-0005-0000-0000-000042300000}"/>
    <cellStyle name="Porcentual 8 2 2 2 2" xfId="10507" xr:uid="{00000000-0005-0000-0000-000043300000}"/>
    <cellStyle name="Porcentual 8 2 2 2 2 2" xfId="12242" xr:uid="{00000000-0005-0000-0000-000044300000}"/>
    <cellStyle name="Porcentual 8 2 2 2 2 2 2" xfId="20991" xr:uid="{13A99859-659F-489A-B9A1-7457DADDDD5E}"/>
    <cellStyle name="Porcentual 8 2 2 2 2 3" xfId="19628" xr:uid="{B208F4C5-CE0E-4417-B6C6-505258EC1D7F}"/>
    <cellStyle name="Porcentual 8 2 2 2 3" xfId="11595" xr:uid="{00000000-0005-0000-0000-000045300000}"/>
    <cellStyle name="Porcentual 8 2 2 2 3 2" xfId="20364" xr:uid="{B37627F9-DF6A-4840-B3C9-30414083E2A1}"/>
    <cellStyle name="Porcentual 8 2 2 2 4" xfId="18996" xr:uid="{1F8E7443-8341-4749-9039-9EAA39AA18F1}"/>
    <cellStyle name="Porcentual 8 2 2 3" xfId="10220" xr:uid="{00000000-0005-0000-0000-000046300000}"/>
    <cellStyle name="Porcentual 8 2 2 3 2" xfId="11956" xr:uid="{00000000-0005-0000-0000-000047300000}"/>
    <cellStyle name="Porcentual 8 2 2 3 2 2" xfId="20709" xr:uid="{32F40A07-692B-4784-83BB-3D97724FD9D1}"/>
    <cellStyle name="Porcentual 8 2 2 3 3" xfId="19346" xr:uid="{A33D00D7-B87B-4673-9107-9794E8FD64EA}"/>
    <cellStyle name="Porcentual 8 2 2 4" xfId="11230" xr:uid="{00000000-0005-0000-0000-000048300000}"/>
    <cellStyle name="Porcentual 8 2 2 4 2" xfId="20087" xr:uid="{45C69C87-CCEF-4303-BFEE-EE6BE980C7EF}"/>
    <cellStyle name="Porcentual 8 2 2 5" xfId="18719" xr:uid="{3BD9E5D9-8C7D-44FC-BEE7-DD48F1E23FD8}"/>
    <cellStyle name="Porcentual 8 2 3" xfId="9808" xr:uid="{00000000-0005-0000-0000-000049300000}"/>
    <cellStyle name="Porcentual 8 2 3 2" xfId="10506" xr:uid="{00000000-0005-0000-0000-00004A300000}"/>
    <cellStyle name="Porcentual 8 2 3 2 2" xfId="12241" xr:uid="{00000000-0005-0000-0000-00004B300000}"/>
    <cellStyle name="Porcentual 8 2 3 2 2 2" xfId="20990" xr:uid="{EB72E193-4B4D-4C4C-9146-D3DFB9269746}"/>
    <cellStyle name="Porcentual 8 2 3 2 3" xfId="19627" xr:uid="{C1C60947-FF86-4DE4-AE3D-AAD04D1BF922}"/>
    <cellStyle name="Porcentual 8 2 3 3" xfId="11594" xr:uid="{00000000-0005-0000-0000-00004C300000}"/>
    <cellStyle name="Porcentual 8 2 3 3 2" xfId="20363" xr:uid="{B6BC80D8-8FAD-4D7E-95E9-857E48A6187A}"/>
    <cellStyle name="Porcentual 8 2 3 4" xfId="18995" xr:uid="{F429958B-28D1-490D-9C64-4A95FBFF03B6}"/>
    <cellStyle name="Porcentual 8 2 4" xfId="10219" xr:uid="{00000000-0005-0000-0000-00004D300000}"/>
    <cellStyle name="Porcentual 8 2 4 2" xfId="11955" xr:uid="{00000000-0005-0000-0000-00004E300000}"/>
    <cellStyle name="Porcentual 8 2 4 2 2" xfId="20708" xr:uid="{79388933-F4DE-45E5-81AD-4ADA5F15FCE1}"/>
    <cellStyle name="Porcentual 8 2 4 3" xfId="19345" xr:uid="{1F6F3F5D-455F-4DBD-ACBB-C9C67AE005A6}"/>
    <cellStyle name="Porcentual 8 2 5" xfId="11229" xr:uid="{00000000-0005-0000-0000-00004F300000}"/>
    <cellStyle name="Porcentual 8 2 5 2" xfId="20086" xr:uid="{52F9BF34-CB0C-481A-95D0-95C53C2E9F39}"/>
    <cellStyle name="Porcentual 8 2 6" xfId="18718" xr:uid="{20EFA180-3669-457D-8C92-276AB21C1BBC}"/>
    <cellStyle name="Porcentual 8 3" xfId="9541" xr:uid="{00000000-0005-0000-0000-000050300000}"/>
    <cellStyle name="Porcentual 9" xfId="4030" xr:uid="{00000000-0005-0000-0000-000051300000}"/>
    <cellStyle name="Porcentual 9 2" xfId="7562" xr:uid="{00000000-0005-0000-0000-000052300000}"/>
    <cellStyle name="Porcentual 9 2 2" xfId="9810" xr:uid="{00000000-0005-0000-0000-000053300000}"/>
    <cellStyle name="Porcentual 9 2 2 2" xfId="10508" xr:uid="{00000000-0005-0000-0000-000054300000}"/>
    <cellStyle name="Porcentual 9 2 2 2 2" xfId="12243" xr:uid="{00000000-0005-0000-0000-000055300000}"/>
    <cellStyle name="Porcentual 9 2 2 2 2 2" xfId="20992" xr:uid="{65788280-C891-4EE2-BBEE-3EA3AEE4E0D1}"/>
    <cellStyle name="Porcentual 9 2 2 2 3" xfId="19629" xr:uid="{3910BB5F-C7C8-4B8B-AF69-A9AA919E926C}"/>
    <cellStyle name="Porcentual 9 2 2 3" xfId="11596" xr:uid="{00000000-0005-0000-0000-000056300000}"/>
    <cellStyle name="Porcentual 9 2 2 3 2" xfId="20365" xr:uid="{92FF00B8-DA7C-4B44-BBCF-47203A97DD04}"/>
    <cellStyle name="Porcentual 9 2 2 4" xfId="18997" xr:uid="{EF6038FC-6E26-4DD2-866C-2EE66AC3789D}"/>
    <cellStyle name="Porcentual 9 2 3" xfId="10221" xr:uid="{00000000-0005-0000-0000-000057300000}"/>
    <cellStyle name="Porcentual 9 2 3 2" xfId="11957" xr:uid="{00000000-0005-0000-0000-000058300000}"/>
    <cellStyle name="Porcentual 9 2 3 2 2" xfId="20710" xr:uid="{C1F9AB52-59DE-4ABB-9A15-99B97D11CE77}"/>
    <cellStyle name="Porcentual 9 2 3 3" xfId="19347" xr:uid="{92889651-DEE5-40B3-A913-EB1BA4479BB3}"/>
    <cellStyle name="Porcentual 9 2 4" xfId="11231" xr:uid="{00000000-0005-0000-0000-000059300000}"/>
    <cellStyle name="Porcentual 9 2 4 2" xfId="20088" xr:uid="{D9F05F35-87C2-4CD1-A5DA-86D7EE75EED6}"/>
    <cellStyle name="Porcentual 9 2 5" xfId="18720" xr:uid="{074890D7-AAC9-49A9-A5AD-D59341C52BF3}"/>
    <cellStyle name="Porcentual 9 3" xfId="9542" xr:uid="{00000000-0005-0000-0000-00005A300000}"/>
    <cellStyle name="Punto" xfId="4031" xr:uid="{00000000-0005-0000-0000-00005B300000}"/>
    <cellStyle name="Punto0" xfId="121" xr:uid="{00000000-0005-0000-0000-00005C300000}"/>
    <cellStyle name="Punto0 2" xfId="4032" xr:uid="{00000000-0005-0000-0000-00005D300000}"/>
    <cellStyle name="Punto0 3" xfId="10612" xr:uid="{00000000-0005-0000-0000-00005E300000}"/>
    <cellStyle name="Salida 2" xfId="9906" xr:uid="{00000000-0005-0000-0000-000060300000}"/>
    <cellStyle name="Salida 2 10" xfId="19052" xr:uid="{3079249A-9172-4681-8EF5-204D0C04C364}"/>
    <cellStyle name="Salida 2 2" xfId="12351" xr:uid="{00000000-0005-0000-0000-000061300000}"/>
    <cellStyle name="Salida 2 2 2" xfId="14585" xr:uid="{34535A44-6003-4341-9FA4-534F33F3F19C}"/>
    <cellStyle name="Salida 2 2 2 2" xfId="22709" xr:uid="{7E96E9B0-4AB0-4798-B39A-502E277033C1}"/>
    <cellStyle name="Salida 2 2 3" xfId="14586" xr:uid="{0820EC51-C3D3-44AB-8F14-81F55137B22E}"/>
    <cellStyle name="Salida 2 2 3 2" xfId="22710" xr:uid="{80E86663-4183-4132-BF4A-E69AC476655F}"/>
    <cellStyle name="Salida 2 2 4" xfId="14587" xr:uid="{871CECBD-E076-4E0F-A2B3-62663308874D}"/>
    <cellStyle name="Salida 2 2 4 2" xfId="22711" xr:uid="{8438324D-CD14-4F43-B2E3-67C78BCD290F}"/>
    <cellStyle name="Salida 2 2 5" xfId="14584" xr:uid="{BC85FDFC-4DC3-44D8-B512-A64438416ABF}"/>
    <cellStyle name="Salida 2 2 5 2" xfId="22708" xr:uid="{BCFAE041-DD93-4CEB-88ED-4FBC5DC739EF}"/>
    <cellStyle name="Salida 2 2 6" xfId="21096" xr:uid="{B83BCB28-738B-4FDC-AC88-8026EF8D5505}"/>
    <cellStyle name="Salida 2 2_1.2.b" xfId="16481" xr:uid="{F7CCD10D-86F9-48BA-802F-5E02E9A56428}"/>
    <cellStyle name="Salida 2 3" xfId="12343" xr:uid="{00000000-0005-0000-0000-000062300000}"/>
    <cellStyle name="Salida 2 3 2" xfId="14588" xr:uid="{63A10354-9A37-47FC-9C20-E927A7D63D77}"/>
    <cellStyle name="Salida 2 3 2 2" xfId="22712" xr:uid="{C39C033A-9584-4A8E-B865-82C32F50B514}"/>
    <cellStyle name="Salida 2 3 3" xfId="21088" xr:uid="{A8BDD709-93F7-491B-80F5-0DB3EA9C42E6}"/>
    <cellStyle name="Salida 2 3_1.2.b" xfId="16482" xr:uid="{DF05A31F-5048-4706-A5E7-7408B21AF1B0}"/>
    <cellStyle name="Salida 2 4" xfId="14589" xr:uid="{2D76C075-9029-48BD-BA82-FA01FE9DA56A}"/>
    <cellStyle name="Salida 2 4 2" xfId="22713" xr:uid="{9A84AAE5-0557-4269-BE9C-505304A8F5E3}"/>
    <cellStyle name="Salida 2 5" xfId="14590" xr:uid="{2B15911D-CE1B-4965-AF38-1FED990D57E1}"/>
    <cellStyle name="Salida 2 5 2" xfId="22714" xr:uid="{17BD8866-DDAC-4310-B69C-6B0245489F1F}"/>
    <cellStyle name="Salida 2 6" xfId="14591" xr:uid="{A9B2D8F5-46D0-4B01-B497-A14CBBF1BCB4}"/>
    <cellStyle name="Salida 2 6 2" xfId="22715" xr:uid="{4355E462-5567-4DD8-AF29-1150C6D2342D}"/>
    <cellStyle name="Salida 2 7" xfId="14592" xr:uid="{DCFF0554-FE69-457F-B613-3D036A797052}"/>
    <cellStyle name="Salida 2 7 2" xfId="22716" xr:uid="{307E46AC-5B80-4D13-B1AB-A7CDA06C91BE}"/>
    <cellStyle name="Salida 2 8" xfId="14593" xr:uid="{C97D9538-6266-44C7-B963-9431E314982F}"/>
    <cellStyle name="Salida 2 8 2" xfId="22717" xr:uid="{C06FC812-A57E-4FD6-BEC2-31F0B53219CF}"/>
    <cellStyle name="Salida 2 9" xfId="14583" xr:uid="{3AACC633-F5DF-42D7-8ACB-7523BF9C0394}"/>
    <cellStyle name="Salida 2 9 2" xfId="22707" xr:uid="{4B59E3FB-EFD9-4BFD-88F5-266103761B53}"/>
    <cellStyle name="Salida 2_1.2.b" xfId="16480" xr:uid="{8CF5E7C4-8BE0-492B-A62F-DB62328F4ADE}"/>
    <cellStyle name="Salida 3" xfId="14594" xr:uid="{CC2F2779-5E69-42A9-AA25-B3A318468AFE}"/>
    <cellStyle name="Salida 3 2" xfId="14595" xr:uid="{A1AC91FF-6A33-4DF7-8B5C-097D0F5BC67A}"/>
    <cellStyle name="Salida 3 3" xfId="14596" xr:uid="{FD960CCC-C5F5-4D7B-AFB9-7A36BFAA3B86}"/>
    <cellStyle name="Salida 3 3 2" xfId="22718" xr:uid="{13E60C91-E7B4-427A-8E92-359785C4BC20}"/>
    <cellStyle name="Salida 3_1.2.b" xfId="16483" xr:uid="{A7C80FCF-3025-43DB-987D-E37FA7D2B653}"/>
    <cellStyle name="Salida 4" xfId="14597" xr:uid="{AA70A730-0BBE-4C0C-9755-0361F2D6A0DF}"/>
    <cellStyle name="Salida 5" xfId="14598" xr:uid="{1C9067BE-F597-456C-98F8-F66F1D4E37AA}"/>
    <cellStyle name="Salida 6" xfId="14599" xr:uid="{86A6C03F-EE7C-4D27-9F4F-F8C59C698E41}"/>
    <cellStyle name="Texto de advertencia" xfId="14693" builtinId="11" customBuiltin="1"/>
    <cellStyle name="Texto de advertencia 2" xfId="9907" xr:uid="{00000000-0005-0000-0000-000064300000}"/>
    <cellStyle name="Texto de advertencia 2 2" xfId="14600" xr:uid="{B7F136D2-9F7D-4303-A95F-2D0BA55A2473}"/>
    <cellStyle name="Texto de advertencia 2 2 2" xfId="14601" xr:uid="{C16A10ED-B903-4C25-8C09-ABDBA7D5831F}"/>
    <cellStyle name="Texto de advertencia 2 2 3" xfId="14602" xr:uid="{C9BB3CAB-8BEF-4676-AB41-BF8D659259F4}"/>
    <cellStyle name="Texto de advertencia 2 2 4" xfId="14603" xr:uid="{A34D8473-0906-46D0-9A67-19665CC2A385}"/>
    <cellStyle name="Texto de advertencia 2 3" xfId="14604" xr:uid="{26267439-A88A-44CE-BD1C-6F1966185CEA}"/>
    <cellStyle name="Texto de advertencia 2 4" xfId="14605" xr:uid="{7D7D61CC-035C-4997-ADEB-9CC375E27D05}"/>
    <cellStyle name="Texto de advertencia 2 5" xfId="14606" xr:uid="{493E6113-1181-49C9-BA7A-CD4266DFF021}"/>
    <cellStyle name="Texto de advertencia 2 6" xfId="14607" xr:uid="{A5A55D53-4E61-4811-9899-B30985A65491}"/>
    <cellStyle name="Texto de advertencia 2 7" xfId="14608" xr:uid="{83D79A33-B90E-44B3-A911-18A19A529758}"/>
    <cellStyle name="Texto de advertencia 2 8" xfId="14609" xr:uid="{F0DBA215-AEED-46FF-BDAB-C108C635047E}"/>
    <cellStyle name="Texto de advertencia 3" xfId="14610" xr:uid="{4A690996-BA32-42C3-8835-A0777E5EC1B8}"/>
    <cellStyle name="Texto de advertencia 3 2" xfId="14611" xr:uid="{67B12126-11DD-4158-A469-42050738F236}"/>
    <cellStyle name="Texto de advertencia 3 3" xfId="14612" xr:uid="{AC1D82F5-F9E9-40D5-B84C-A79DB2789176}"/>
    <cellStyle name="Texto de advertencia 3_1.2.b" xfId="16484" xr:uid="{CEA6915A-C11E-415C-8339-30D6A569389D}"/>
    <cellStyle name="Texto de advertencia 4" xfId="14613" xr:uid="{3C8E4B3A-2545-4136-AB94-0B665CF9D654}"/>
    <cellStyle name="Texto de advertencia 5" xfId="14614" xr:uid="{9A4DF41F-F739-471B-AFD3-C17B94DC2BB8}"/>
    <cellStyle name="Texto de advertencia 6" xfId="14615" xr:uid="{D940FB9D-3F64-4D18-897E-1DDFEC59884C}"/>
    <cellStyle name="Texto explicativo 2" xfId="9908" xr:uid="{00000000-0005-0000-0000-000066300000}"/>
    <cellStyle name="Texto explicativo 2 2" xfId="14616" xr:uid="{9EECC3A9-8ECF-4330-83F2-19EC988E3E0C}"/>
    <cellStyle name="Texto explicativo 2 2 2" xfId="14617" xr:uid="{C4505016-8994-4E1D-80A1-A4EFAB458684}"/>
    <cellStyle name="Texto explicativo 2 2 3" xfId="14618" xr:uid="{6254B1BA-5022-4A90-B12D-B7B7C2844A9F}"/>
    <cellStyle name="Texto explicativo 2 2 4" xfId="14619" xr:uid="{9687BB19-8DCF-4048-B7BB-5C7CF3CBC989}"/>
    <cellStyle name="Texto explicativo 2 3" xfId="14620" xr:uid="{39BFC2E4-38D4-4284-9E75-B5A197F0D211}"/>
    <cellStyle name="Texto explicativo 2 4" xfId="14621" xr:uid="{874A9B2E-025D-48E4-A279-953AB2265F28}"/>
    <cellStyle name="Texto explicativo 2 5" xfId="14622" xr:uid="{F57D69C3-07BC-40ED-88D1-F83C1CAA292B}"/>
    <cellStyle name="Texto explicativo 2 6" xfId="14623" xr:uid="{C16491C8-76D5-4126-9515-F0DA9D5F7BD2}"/>
    <cellStyle name="Texto explicativo 2 7" xfId="14624" xr:uid="{0F0D5CC4-447B-4DF4-A198-43153E05729A}"/>
    <cellStyle name="Texto explicativo 2 8" xfId="14625" xr:uid="{02158706-06EF-4472-9DC4-8D293506AF60}"/>
    <cellStyle name="Texto explicativo 3" xfId="10573" xr:uid="{00000000-0005-0000-0000-000067300000}"/>
    <cellStyle name="Texto explicativo 3 2" xfId="14627" xr:uid="{9A705A37-DA17-4C50-8AF4-1ED0C69EAE15}"/>
    <cellStyle name="Texto explicativo 3 3" xfId="14628" xr:uid="{E849AA67-EAE4-4766-91B5-DC86648C2047}"/>
    <cellStyle name="Texto explicativo 3 4" xfId="14626" xr:uid="{51C605F2-D101-4F7B-80DA-5612AA9D94D1}"/>
    <cellStyle name="Texto explicativo 3_1.2.b" xfId="16485" xr:uid="{6BB0ED96-399D-40E2-B05B-0D326F6A4941}"/>
    <cellStyle name="Texto explicativo 4" xfId="14629" xr:uid="{08C81754-E1EA-4649-BBBD-B04EECD03EBF}"/>
    <cellStyle name="Texto explicativo 5" xfId="14630" xr:uid="{8D8FDC46-3840-466F-A4C0-DC113ABE1673}"/>
    <cellStyle name="Texto explicativo 6" xfId="14631" xr:uid="{3F989C4C-D6EC-413A-A75D-68E740A9BA6E}"/>
    <cellStyle name="Title" xfId="30" xr:uid="{3E047A69-0F7F-4F1D-BBE9-5AE9E96F3B59}"/>
    <cellStyle name="Title 2" xfId="18293" xr:uid="{256382AE-88E5-45E5-BEE2-B1C64DBECE3A}"/>
    <cellStyle name="Título 1" xfId="9910" xr:uid="{00000000-0005-0000-0000-000069300000}"/>
    <cellStyle name="Título 1 2" xfId="14632" xr:uid="{B36A77F5-7423-470E-B021-28BE0514AA32}"/>
    <cellStyle name="Título 1 2 2" xfId="14633" xr:uid="{A691EB9E-9EC4-4339-890F-28640B7B441B}"/>
    <cellStyle name="Título 1 2 3" xfId="14634" xr:uid="{25367E50-255C-47D0-98CE-79B22149D418}"/>
    <cellStyle name="Título 1 2 4" xfId="14635" xr:uid="{1018F353-98FE-4A24-BE7F-466E53FF6F4C}"/>
    <cellStyle name="Título 1 3" xfId="14636" xr:uid="{443D5EC3-FDFC-460F-937B-5D5FCC060F32}"/>
    <cellStyle name="Título 1 3 2" xfId="14637" xr:uid="{FE4197E3-7D6C-444D-926D-93E8B70FE1F2}"/>
    <cellStyle name="Título 1 4" xfId="14638" xr:uid="{8A4FD046-F80F-490C-AD74-4315EE8A6710}"/>
    <cellStyle name="Título 1 5" xfId="14639" xr:uid="{81E03C47-2998-4C0D-8A84-7EFE1E86EF8F}"/>
    <cellStyle name="Título 1 6" xfId="14640" xr:uid="{BBB9D4CE-C2CE-464B-9F82-3C7075C57B62}"/>
    <cellStyle name="Título 2 2" xfId="9911" xr:uid="{00000000-0005-0000-0000-00006B300000}"/>
    <cellStyle name="Título 2 2 2" xfId="14641" xr:uid="{4C48D6FF-F91B-4297-970D-D111628C9D1C}"/>
    <cellStyle name="Título 2 2 3" xfId="14642" xr:uid="{36457A5B-CE92-435B-893A-995F310D6D3B}"/>
    <cellStyle name="Título 2 2 4" xfId="14643" xr:uid="{287B3921-731C-4FC9-BDC1-0C980F544EE8}"/>
    <cellStyle name="Título 2 3" xfId="14644" xr:uid="{D1BB5B67-8CD6-4E4A-ABEA-395A9814335A}"/>
    <cellStyle name="Título 2 3 2" xfId="14645" xr:uid="{61299669-03B6-4D2F-8645-1122F5B551BB}"/>
    <cellStyle name="Título 2 3 3" xfId="14646" xr:uid="{437629FF-1306-40A1-B864-BAA2D3A7BF5D}"/>
    <cellStyle name="Título 2 3_1.2.b" xfId="16486" xr:uid="{990948E6-AF40-4EB3-A485-7AD6F5E01EB1}"/>
    <cellStyle name="Título 2 4" xfId="14647" xr:uid="{BCCC2AC3-F49A-4EA6-8043-CB8625AED57B}"/>
    <cellStyle name="Título 2 5" xfId="14648" xr:uid="{41BBE2BB-9D0F-4410-9488-4A3D40C95FC6}"/>
    <cellStyle name="Título 2 6" xfId="14649" xr:uid="{2D251C4D-7BEF-44F4-ACD1-D19D54A38293}"/>
    <cellStyle name="Título 3 2" xfId="9912" xr:uid="{00000000-0005-0000-0000-00006D300000}"/>
    <cellStyle name="Título 3 2 2" xfId="14650" xr:uid="{E27F8DB0-AA7C-43B8-8851-9D80A15AAA4B}"/>
    <cellStyle name="Título 3 2 3" xfId="14651" xr:uid="{424F43CC-EE4D-447D-8714-94A036F553C4}"/>
    <cellStyle name="Título 3 2 4" xfId="14652" xr:uid="{524A62A8-4D82-4A6B-AB36-CF2BA8344FC8}"/>
    <cellStyle name="Título 3 3" xfId="14653" xr:uid="{481E5C6C-6BF1-45A5-BD54-4652E22847B9}"/>
    <cellStyle name="Título 3 3 2" xfId="14654" xr:uid="{03BC2750-C006-41D0-9ED5-9F981E34957A}"/>
    <cellStyle name="Título 3 3 3" xfId="14655" xr:uid="{00FF3A7F-03DA-4028-BA5B-413F526BBB09}"/>
    <cellStyle name="Título 3 3_1.2.b" xfId="16487" xr:uid="{54B60901-DCC0-4360-9789-D1AF6A253561}"/>
    <cellStyle name="Título 3 4" xfId="14656" xr:uid="{6B5F5357-ED74-4BEA-9FED-F4DF7DA97491}"/>
    <cellStyle name="Título 3 5" xfId="14657" xr:uid="{EEB2EE54-7EAB-4DEF-92DF-B7B5B0077F7F}"/>
    <cellStyle name="Título 3 6" xfId="14658" xr:uid="{4894D4A7-8CD3-445F-B2E3-A02806703839}"/>
    <cellStyle name="Título 4" xfId="9909" xr:uid="{00000000-0005-0000-0000-00006E300000}"/>
    <cellStyle name="Título 4 2" xfId="14659" xr:uid="{D0A49E64-6434-42C7-B7FA-8C1EBE3BF9B6}"/>
    <cellStyle name="Título 4 3" xfId="14660" xr:uid="{43625ED3-64DE-44F9-BD81-B18CE68B4A5E}"/>
    <cellStyle name="Título 4 4" xfId="14661" xr:uid="{A60F3C25-11AA-40B9-87F7-26CBFCC7A9BC}"/>
    <cellStyle name="Título 5" xfId="14662" xr:uid="{B2D41265-5202-44C9-8E90-4C41352A12C8}"/>
    <cellStyle name="Título 5 2" xfId="14663" xr:uid="{2BA83FF6-B24B-4E46-8034-121130608FB3}"/>
    <cellStyle name="Título 5 3" xfId="14664" xr:uid="{825EA5C4-2908-4968-A2E6-C92F4DA7A4E0}"/>
    <cellStyle name="Título 5_1.2.b" xfId="16488" xr:uid="{5F61B059-16EC-49E9-902A-9F76854A4372}"/>
    <cellStyle name="Título 6" xfId="14665" xr:uid="{AA47AC3B-DBFB-4322-9862-EBB153443960}"/>
    <cellStyle name="Título 6 2" xfId="14666" xr:uid="{9F3AC6BA-5606-4AAE-92B2-62091E981DAB}"/>
    <cellStyle name="Título 6_1.2.b" xfId="16489" xr:uid="{D9CDBF36-F020-437B-B3EB-4E8A8DA5E340}"/>
    <cellStyle name="Título 7" xfId="14667" xr:uid="{1C3BCD4E-316B-4108-A4A7-35704CB47395}"/>
    <cellStyle name="Total" xfId="15" builtinId="25" customBuiltin="1"/>
    <cellStyle name="Total 10" xfId="14668" xr:uid="{F94DDDC3-B224-4C3A-A75A-035A6D5BDD20}"/>
    <cellStyle name="Total 2" xfId="64" xr:uid="{00000000-0005-0000-0000-000070300000}"/>
    <cellStyle name="Total 2 10" xfId="18110" xr:uid="{C51A8F5A-971C-4537-8D07-DA4A4F8275D0}"/>
    <cellStyle name="Total 2 10 2" xfId="24326" xr:uid="{D9EA9B70-CD29-4BCA-AA49-3D2A22670AB6}"/>
    <cellStyle name="Total 2 2" xfId="73" xr:uid="{00000000-0005-0000-0000-000071300000}"/>
    <cellStyle name="Total 2 2 10" xfId="18103" xr:uid="{B138FAE1-5C96-4FB2-9AB9-985910596C6B}"/>
    <cellStyle name="Total 2 2 10 2" xfId="24322" xr:uid="{C9988329-0A7C-41A9-B160-1E78A5B4644C}"/>
    <cellStyle name="Total 2 2 2" xfId="4064" xr:uid="{00000000-0005-0000-0000-000072300000}"/>
    <cellStyle name="Total 2 2 2 2" xfId="14671" xr:uid="{39321B79-42B3-40F6-9F40-752FF69BC3E2}"/>
    <cellStyle name="Total 2 2 2 2 2" xfId="22721" xr:uid="{ABBF5404-48E0-4C2C-A14C-346F9AD3A430}"/>
    <cellStyle name="Total 2 2 2_1.2.b" xfId="16492" xr:uid="{B434BDF0-4551-42DA-A734-3D7FCEC38BF8}"/>
    <cellStyle name="Total 2 2 3" xfId="14672" xr:uid="{92C2317F-9E5B-431D-B868-54BFEDAE8A50}"/>
    <cellStyle name="Total 2 2 3 2" xfId="22722" xr:uid="{C137E19E-F8BC-41B8-8D5E-9B5B2C84E637}"/>
    <cellStyle name="Total 2 2 4" xfId="14673" xr:uid="{EA04F357-E3C4-4294-85A2-99F9B33FF920}"/>
    <cellStyle name="Total 2 2 4 2" xfId="22723" xr:uid="{F47FDAD7-6517-4B05-A908-441658BBEFEB}"/>
    <cellStyle name="Total 2 2 5" xfId="14670" xr:uid="{C148D656-6103-40B6-A13C-A12C54A4719B}"/>
    <cellStyle name="Total 2 2 5 2" xfId="22720" xr:uid="{C1621D55-BAC4-48A5-8643-A54D9042847D}"/>
    <cellStyle name="Total 2 2 6" xfId="18119" xr:uid="{96888464-48F7-4A2C-A618-38319F4FFD6D}"/>
    <cellStyle name="Total 2 2 6 2" xfId="24332" xr:uid="{ACC87671-87DE-407F-9753-8EB76336ECCD}"/>
    <cellStyle name="Total 2 2 7" xfId="18273" xr:uid="{5D8019DA-E0F9-4778-B0C9-FB419886A5CB}"/>
    <cellStyle name="Total 2 2 7 2" xfId="24427" xr:uid="{C9F88566-95A5-44E1-94E6-F0EF400E8126}"/>
    <cellStyle name="Total 2 2 8" xfId="18111" xr:uid="{3ABD563C-8AF8-4B8D-8CCA-4F824C689DE6}"/>
    <cellStyle name="Total 2 2 8 2" xfId="24327" xr:uid="{07610587-96F6-43A5-BFBE-9EAB9665F163}"/>
    <cellStyle name="Total 2 2 9" xfId="18266" xr:uid="{24B8FC1B-A56F-4BFC-A4F8-DB02A46A165A}"/>
    <cellStyle name="Total 2 2 9 2" xfId="24424" xr:uid="{6CFA2954-F473-4316-B18F-6DC44D488087}"/>
    <cellStyle name="Total 2 2_1.2.b" xfId="16491" xr:uid="{34D116E6-6135-4680-B914-C3B1562E1727}"/>
    <cellStyle name="Total 2 3" xfId="4034" xr:uid="{00000000-0005-0000-0000-000073300000}"/>
    <cellStyle name="Total 2 3 2" xfId="14674" xr:uid="{0E9A5738-FD70-498F-819D-859A5A3F6AFC}"/>
    <cellStyle name="Total 2 3 2 2" xfId="22724" xr:uid="{EFB25A62-5C75-4311-B2A9-114BE0FA12E3}"/>
    <cellStyle name="Total 2 3_1.2.b" xfId="16493" xr:uid="{35F1F060-3BFB-47D4-A3D0-B783A216102E}"/>
    <cellStyle name="Total 2 4" xfId="14675" xr:uid="{97982B0D-F250-47CF-9ADC-DFE3BD471731}"/>
    <cellStyle name="Total 2 4 2" xfId="22725" xr:uid="{A0D23C04-EB94-41F0-9808-ACBB46BB13B4}"/>
    <cellStyle name="Total 2 5" xfId="14676" xr:uid="{66F54AB1-5221-4AEB-8681-EBD2B72C9642}"/>
    <cellStyle name="Total 2 5 2" xfId="22726" xr:uid="{A954BD48-D163-4E8E-98FD-AB91812A664A}"/>
    <cellStyle name="Total 2 6" xfId="14677" xr:uid="{AFCA0238-FD0B-4305-8DF5-2AABC22E97B9}"/>
    <cellStyle name="Total 2 6 2" xfId="22727" xr:uid="{A65F07DB-4E83-4D0E-A9E9-E00FCE65F38C}"/>
    <cellStyle name="Total 2 7" xfId="14669" xr:uid="{68D1E610-C412-4942-9929-644B6088E951}"/>
    <cellStyle name="Total 2 7 2" xfId="22719" xr:uid="{DAC4F938-0514-4CC1-A7B3-BBCF9C0D77A1}"/>
    <cellStyle name="Total 2 8" xfId="18118" xr:uid="{FD1FE83B-43FB-4C2F-A067-06D87C8701D3}"/>
    <cellStyle name="Total 2 8 2" xfId="24331" xr:uid="{D130F721-CC61-4B64-AB86-8AB2E4A07C97}"/>
    <cellStyle name="Total 2 9" xfId="18272" xr:uid="{B86886E9-CA6A-486D-A5A1-1AE6214BB2A5}"/>
    <cellStyle name="Total 2 9 2" xfId="24426" xr:uid="{0A066870-6435-4587-ADED-785176CF8540}"/>
    <cellStyle name="Total 2_1.2.b" xfId="16490" xr:uid="{79F8A5FE-6888-457F-99A0-6C1B54B1A56F}"/>
    <cellStyle name="Total 3" xfId="4129" xr:uid="{00000000-0005-0000-0000-000074300000}"/>
    <cellStyle name="Total 3 2" xfId="14679" xr:uid="{A87166A3-3BE1-4D4F-B6D2-27C61BA0D9C2}"/>
    <cellStyle name="Total 3 2 2" xfId="22728" xr:uid="{23A4B6B2-2C7B-46DA-BA70-95612B043084}"/>
    <cellStyle name="Total 3 3" xfId="14680" xr:uid="{1778E241-B4BA-4295-A084-39168ADB4A6D}"/>
    <cellStyle name="Total 3 3 2" xfId="22729" xr:uid="{AEA8EDF1-4CDD-43C5-B99A-84ACF4F52360}"/>
    <cellStyle name="Total 3 4" xfId="14678" xr:uid="{09CF5AEF-0764-411F-A31C-3F849CA2D146}"/>
    <cellStyle name="Total 3_1.2.b" xfId="16494" xr:uid="{07E712C5-6005-4750-B370-238DF3D1EF4C}"/>
    <cellStyle name="Total 4" xfId="4056" xr:uid="{00000000-0005-0000-0000-000075300000}"/>
    <cellStyle name="Total 4 2" xfId="14681" xr:uid="{8E165596-D087-424A-8A4C-A192AFC4D517}"/>
    <cellStyle name="Total 4 2 2" xfId="22730" xr:uid="{0EC757D1-3B89-4C11-9AFE-885913A89277}"/>
    <cellStyle name="Total 4_1.2.b" xfId="16495" xr:uid="{174E43A5-44F8-460C-97B2-A41ED8FF3E00}"/>
    <cellStyle name="Total 5" xfId="4175" xr:uid="{00000000-0005-0000-0000-000076300000}"/>
    <cellStyle name="Total 5 2" xfId="14682" xr:uid="{3A80EC58-04E1-4A2B-B430-748A8F05796F}"/>
    <cellStyle name="Total 5 2 2" xfId="22731" xr:uid="{A0C6AB3C-EE84-4403-947C-BC6500195514}"/>
    <cellStyle name="Total 5_1.2.b" xfId="16496" xr:uid="{85D289A4-7EB0-4A33-A6A4-FF395DDAB0ED}"/>
    <cellStyle name="Total 6" xfId="9543" xr:uid="{00000000-0005-0000-0000-000077300000}"/>
    <cellStyle name="Total 6 2" xfId="14683" xr:uid="{4791A8D6-3756-4EF0-9EE4-A73A73DED946}"/>
    <cellStyle name="Total 6 2 2" xfId="22732" xr:uid="{F86C9365-A183-4F85-87B9-AB2D120B7B86}"/>
    <cellStyle name="Total 6_1.2.b" xfId="16497" xr:uid="{86D2001E-9353-4B93-8596-E3C255429E69}"/>
    <cellStyle name="Total 7" xfId="4033" xr:uid="{00000000-0005-0000-0000-000078300000}"/>
    <cellStyle name="Total 7 2" xfId="14685" xr:uid="{83F8F7E9-0C0A-4A18-B1BF-296885FB7324}"/>
    <cellStyle name="Total 7 2 2" xfId="22733" xr:uid="{80C9B714-C9DF-4B93-8BA0-729BE0F1F40B}"/>
    <cellStyle name="Total 7 3" xfId="14686" xr:uid="{91E83997-B8A2-45FD-BAE8-292C079243BB}"/>
    <cellStyle name="Total 7 3 2" xfId="22734" xr:uid="{72E151D1-544A-4DA2-A89B-4C60CF771DE8}"/>
    <cellStyle name="Total 7 4" xfId="14684" xr:uid="{01152976-A9A4-4625-AB5C-B370661A6338}"/>
    <cellStyle name="Total 7_1.2.b" xfId="16498" xr:uid="{6BEF1513-E1AE-4609-99A5-5F2F51244F08}"/>
    <cellStyle name="Total 8" xfId="9913" xr:uid="{00000000-0005-0000-0000-000079300000}"/>
    <cellStyle name="Total 8 10" xfId="19053" xr:uid="{32193F01-2B23-42D1-9B16-C7BCB20E426E}"/>
    <cellStyle name="Total 8 2" xfId="12352" xr:uid="{00000000-0005-0000-0000-00007A300000}"/>
    <cellStyle name="Total 8 2 2" xfId="14688" xr:uid="{2BF69B6B-8D77-406E-AEF0-7A9D11F32BFC}"/>
    <cellStyle name="Total 8 2 2 2" xfId="22735" xr:uid="{E8B23E02-FEEA-439C-A8C0-E86BCC075BD2}"/>
    <cellStyle name="Total 8 2 3" xfId="21097" xr:uid="{916B8E95-D0B1-44DF-883D-E8A6E0851C98}"/>
    <cellStyle name="Total 8 2_1.2.b" xfId="16500" xr:uid="{FCF3E8D4-F9FA-445F-B1D6-8A25D0320FE4}"/>
    <cellStyle name="Total 8 3" xfId="12346" xr:uid="{00000000-0005-0000-0000-00007B300000}"/>
    <cellStyle name="Total 8 3 2" xfId="14689" xr:uid="{4E7247CB-C08C-42B8-A69C-3F7F4DA4EC18}"/>
    <cellStyle name="Total 8 3 2 2" xfId="22736" xr:uid="{7BE855DD-97E6-4257-BF66-086B21777DE1}"/>
    <cellStyle name="Total 8 3 3" xfId="21091" xr:uid="{3985DE4F-A7AC-41E2-80C3-2C2FA24BE88A}"/>
    <cellStyle name="Total 8 3_1.2.b" xfId="16501" xr:uid="{E9D23DE1-E032-4C98-BE20-AFD8F51C6BF4}"/>
    <cellStyle name="Total 8 4" xfId="14687" xr:uid="{08EE830A-5132-4D6C-97A5-9C141BCC7FDF}"/>
    <cellStyle name="Total 8 5" xfId="18120" xr:uid="{43AC1695-2FE7-4087-92D9-6E91795E6786}"/>
    <cellStyle name="Total 8 6" xfId="18274" xr:uid="{33D1091B-D4E3-40A1-93EB-E0D2C9749DCC}"/>
    <cellStyle name="Total 8 7" xfId="18113" xr:uid="{65C959E3-7928-4C50-A257-2D29B15E3578}"/>
    <cellStyle name="Total 8 8" xfId="18267" xr:uid="{DD9B14A0-EFAA-480A-A5E9-33F013DD56F4}"/>
    <cellStyle name="Total 8 9" xfId="18107" xr:uid="{C849A27D-8502-4C9B-8026-B7D674A148D4}"/>
    <cellStyle name="Total 8_1.2.b" xfId="16499" xr:uid="{6A79A072-6C01-4E81-B8B6-A0E3D6CA7BFA}"/>
    <cellStyle name="Total 9" xfId="10633" xr:uid="{00000000-0005-0000-0000-00007C300000}"/>
    <cellStyle name="Total 9 2" xfId="14691" xr:uid="{4616981D-93A0-4319-9323-5BE4CB7FDC88}"/>
    <cellStyle name="Total 9 2 2" xfId="22737" xr:uid="{DEA501AC-95AD-4E56-8089-59EDD8DD2F58}"/>
    <cellStyle name="Total 9 3" xfId="14692" xr:uid="{CF37D64A-6375-464B-A369-28582FA64140}"/>
    <cellStyle name="Total 9 3 2" xfId="22738" xr:uid="{F32AA88D-BCA7-4943-93C9-E98D6280D1C7}"/>
    <cellStyle name="Total 9 4" xfId="14690" xr:uid="{0BD84453-B215-4D17-958E-7E3B9CEE53CB}"/>
    <cellStyle name="Total 9_1.2.b" xfId="16502" xr:uid="{902E63ED-8E87-49A0-97D8-2156A46A8BA0}"/>
    <cellStyle name="Warning Text 2" xfId="18306" xr:uid="{8173A7F4-C261-4B13-88DB-CBBEDC059698}"/>
  </cellStyles>
  <dxfs count="2">
    <dxf>
      <font>
        <b/>
        <i val="0"/>
        <condense val="0"/>
        <extend val="0"/>
        <color indexed="12"/>
      </font>
      <fill>
        <patternFill>
          <bgColor indexed="22"/>
        </patternFill>
      </fill>
    </dxf>
    <dxf>
      <font>
        <b/>
        <i val="0"/>
        <condense val="0"/>
        <extend val="0"/>
        <color indexed="10"/>
      </font>
      <fill>
        <patternFill>
          <bgColor indexed="22"/>
        </patternFill>
      </fill>
    </dxf>
  </dxfs>
  <tableStyles count="0" defaultTableStyle="TableStyleMedium2" defaultPivotStyle="PivotStyleLight16"/>
  <colors>
    <mruColors>
      <color rgb="FF996600"/>
      <color rgb="FF543904"/>
      <color rgb="FFFF3300"/>
      <color rgb="FF009900"/>
      <color rgb="FFFF99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28575</xdr:colOff>
      <xdr:row>97</xdr:row>
      <xdr:rowOff>28575</xdr:rowOff>
    </xdr:from>
    <xdr:to>
      <xdr:col>8</xdr:col>
      <xdr:colOff>0</xdr:colOff>
      <xdr:row>101</xdr:row>
      <xdr:rowOff>56029</xdr:rowOff>
    </xdr:to>
    <xdr:sp macro="" textlink="">
      <xdr:nvSpPr>
        <xdr:cNvPr id="30725" name="Rectangle 5">
          <a:extLst>
            <a:ext uri="{FF2B5EF4-FFF2-40B4-BE49-F238E27FC236}">
              <a16:creationId xmlns:a16="http://schemas.microsoft.com/office/drawing/2014/main" id="{00000000-0008-0000-0000-000005780000}"/>
            </a:ext>
          </a:extLst>
        </xdr:cNvPr>
        <xdr:cNvSpPr>
          <a:spLocks noChangeArrowheads="1"/>
        </xdr:cNvSpPr>
      </xdr:nvSpPr>
      <xdr:spPr bwMode="auto">
        <a:xfrm>
          <a:off x="308722" y="21465428"/>
          <a:ext cx="8678396" cy="733425"/>
        </a:xfrm>
        <a:prstGeom prst="rect">
          <a:avLst/>
        </a:prstGeom>
        <a:solidFill>
          <a:srgbClr xmlns:mc="http://schemas.openxmlformats.org/markup-compatibility/2006" xmlns:a14="http://schemas.microsoft.com/office/drawing/2010/main" val="FFFFFF" mc:Ignorable="a14" a14:legacySpreadsheetColorIndex="65"/>
        </a:solidFill>
        <a:ln w="2540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44000" tIns="0" rIns="144000" bIns="0" anchor="ctr" upright="1"/>
        <a:lstStyle/>
        <a:p>
          <a:pPr algn="just" rtl="0">
            <a:defRPr sz="1000"/>
          </a:pPr>
          <a:r>
            <a:rPr lang="es-AR" sz="1000" b="0" i="0" u="none" strike="noStrike" baseline="0">
              <a:solidFill>
                <a:srgbClr val="000000"/>
              </a:solidFill>
              <a:latin typeface="Arial"/>
              <a:cs typeface="Arial"/>
            </a:rPr>
            <a:t>La siguiente base de datos se actualiza en forma mensual con la agradecida ayuda que nos brindan diferentes instituciones al suministrarnos acceso a sus registros estadísticos. En cuanto a su contenido, incluye una extensa lista de series temporales ordenadas por tema y que, en su gran mayoría, presentan un alcance provincial. Los datos son expuestos en forma bruta de la misma manera en que son publicados originalmente. </a:t>
          </a:r>
          <a:endParaRPr lang="es-AR" sz="1200" b="1" i="0" u="none" strike="noStrike" baseline="0">
            <a:solidFill>
              <a:srgbClr val="000000"/>
            </a:solidFill>
            <a:latin typeface="Arial"/>
            <a:cs typeface="Arial"/>
          </a:endParaRPr>
        </a:p>
      </xdr:txBody>
    </xdr:sp>
    <xdr:clientData/>
  </xdr:twoCellAnchor>
  <xdr:twoCellAnchor>
    <xdr:from>
      <xdr:col>2</xdr:col>
      <xdr:colOff>1209675</xdr:colOff>
      <xdr:row>89</xdr:row>
      <xdr:rowOff>66675</xdr:rowOff>
    </xdr:from>
    <xdr:to>
      <xdr:col>2</xdr:col>
      <xdr:colOff>1209675</xdr:colOff>
      <xdr:row>93</xdr:row>
      <xdr:rowOff>47625</xdr:rowOff>
    </xdr:to>
    <xdr:sp macro="" textlink="">
      <xdr:nvSpPr>
        <xdr:cNvPr id="30728" name="Line 8">
          <a:extLst>
            <a:ext uri="{FF2B5EF4-FFF2-40B4-BE49-F238E27FC236}">
              <a16:creationId xmlns:a16="http://schemas.microsoft.com/office/drawing/2014/main" id="{00000000-0008-0000-0000-000008780000}"/>
            </a:ext>
          </a:extLst>
        </xdr:cNvPr>
        <xdr:cNvSpPr>
          <a:spLocks noChangeShapeType="1"/>
        </xdr:cNvSpPr>
      </xdr:nvSpPr>
      <xdr:spPr bwMode="auto">
        <a:xfrm>
          <a:off x="1457325" y="17916525"/>
          <a:ext cx="0" cy="571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685800</xdr:colOff>
      <xdr:row>89</xdr:row>
      <xdr:rowOff>89535</xdr:rowOff>
    </xdr:from>
    <xdr:to>
      <xdr:col>7</xdr:col>
      <xdr:colOff>685800</xdr:colOff>
      <xdr:row>93</xdr:row>
      <xdr:rowOff>70485</xdr:rowOff>
    </xdr:to>
    <xdr:sp macro="" textlink="">
      <xdr:nvSpPr>
        <xdr:cNvPr id="30729" name="Line 9">
          <a:extLst>
            <a:ext uri="{FF2B5EF4-FFF2-40B4-BE49-F238E27FC236}">
              <a16:creationId xmlns:a16="http://schemas.microsoft.com/office/drawing/2014/main" id="{00000000-0008-0000-0000-000009780000}"/>
            </a:ext>
          </a:extLst>
        </xdr:cNvPr>
        <xdr:cNvSpPr>
          <a:spLocks noChangeShapeType="1"/>
        </xdr:cNvSpPr>
      </xdr:nvSpPr>
      <xdr:spPr bwMode="auto">
        <a:xfrm>
          <a:off x="7665720" y="18072735"/>
          <a:ext cx="0" cy="57531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619125</xdr:colOff>
      <xdr:row>89</xdr:row>
      <xdr:rowOff>76200</xdr:rowOff>
    </xdr:from>
    <xdr:to>
      <xdr:col>2</xdr:col>
      <xdr:colOff>619125</xdr:colOff>
      <xdr:row>93</xdr:row>
      <xdr:rowOff>57150</xdr:rowOff>
    </xdr:to>
    <xdr:sp macro="" textlink="">
      <xdr:nvSpPr>
        <xdr:cNvPr id="30731" name="Line 11">
          <a:extLst>
            <a:ext uri="{FF2B5EF4-FFF2-40B4-BE49-F238E27FC236}">
              <a16:creationId xmlns:a16="http://schemas.microsoft.com/office/drawing/2014/main" id="{00000000-0008-0000-0000-00000B780000}"/>
            </a:ext>
          </a:extLst>
        </xdr:cNvPr>
        <xdr:cNvSpPr>
          <a:spLocks noChangeShapeType="1"/>
        </xdr:cNvSpPr>
      </xdr:nvSpPr>
      <xdr:spPr bwMode="auto">
        <a:xfrm>
          <a:off x="866775" y="17926050"/>
          <a:ext cx="0" cy="571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123825</xdr:colOff>
      <xdr:row>1</xdr:row>
      <xdr:rowOff>1</xdr:rowOff>
    </xdr:from>
    <xdr:to>
      <xdr:col>3</xdr:col>
      <xdr:colOff>276225</xdr:colOff>
      <xdr:row>6</xdr:row>
      <xdr:rowOff>838</xdr:rowOff>
    </xdr:to>
    <xdr:pic>
      <xdr:nvPicPr>
        <xdr:cNvPr id="6" name="Imagen 5">
          <a:extLst>
            <a:ext uri="{FF2B5EF4-FFF2-40B4-BE49-F238E27FC236}">
              <a16:creationId xmlns:a16="http://schemas.microsoft.com/office/drawing/2014/main" id="{79E14218-2B6D-E513-2945-3C80B63CBC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61926"/>
          <a:ext cx="1971675" cy="95333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31.bin"/><Relationship Id="rId1" Type="http://schemas.openxmlformats.org/officeDocument/2006/relationships/hyperlink" Target="https://servicios.mae.com.ar/estadisticas/volumenes_rfcv.aspx" TargetMode="External"/><Relationship Id="rId4" Type="http://schemas.openxmlformats.org/officeDocument/2006/relationships/comments" Target="../comments23.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48.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49.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50.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52.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5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55.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56.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57.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58.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59.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1"/>
  </sheetPr>
  <dimension ref="A1:Z155"/>
  <sheetViews>
    <sheetView tabSelected="1" workbookViewId="0">
      <pane xSplit="1" ySplit="12" topLeftCell="B13" activePane="bottomRight" state="frozen"/>
      <selection pane="topRight" activeCell="B1" sqref="B1"/>
      <selection pane="bottomLeft" activeCell="A13" sqref="A13"/>
      <selection pane="bottomRight" activeCell="A8" sqref="A8"/>
    </sheetView>
  </sheetViews>
  <sheetFormatPr baseColWidth="10" defaultColWidth="11.42578125" defaultRowHeight="12.75"/>
  <cols>
    <col min="1" max="1" width="2.140625" bestFit="1" customWidth="1"/>
    <col min="2" max="2" width="2" customWidth="1"/>
    <col min="3" max="3" width="25.42578125" customWidth="1"/>
    <col min="4" max="4" width="6.140625" customWidth="1"/>
    <col min="5" max="5" width="51.5703125" customWidth="1"/>
    <col min="6" max="8" width="15.85546875" customWidth="1"/>
    <col min="9" max="9" width="11.42578125" customWidth="1"/>
    <col min="27" max="16384" width="11.42578125" style="300"/>
  </cols>
  <sheetData>
    <row r="1" spans="1:26">
      <c r="A1" s="7"/>
      <c r="C1" s="7"/>
      <c r="D1" s="7"/>
      <c r="E1" s="7"/>
      <c r="F1" s="7"/>
      <c r="G1" s="7"/>
      <c r="H1" s="7"/>
      <c r="I1" s="7"/>
      <c r="J1" s="7"/>
      <c r="K1" s="7"/>
      <c r="L1" s="7"/>
      <c r="M1" s="7"/>
      <c r="N1" s="7"/>
      <c r="O1" s="7"/>
      <c r="P1" s="7"/>
      <c r="Q1" s="7"/>
      <c r="R1" s="7"/>
      <c r="S1" s="7"/>
      <c r="T1" s="7"/>
      <c r="U1" s="7"/>
      <c r="V1" s="7"/>
      <c r="W1" s="7"/>
      <c r="X1" s="7"/>
      <c r="Y1" s="7"/>
      <c r="Z1" s="7"/>
    </row>
    <row r="2" spans="1:26" ht="15" customHeight="1">
      <c r="A2" s="7"/>
      <c r="B2" s="7"/>
      <c r="C2" s="7"/>
      <c r="D2" s="7"/>
      <c r="E2" s="875" t="s">
        <v>0</v>
      </c>
      <c r="F2" s="7"/>
      <c r="G2" s="7"/>
      <c r="H2" s="7"/>
      <c r="I2" s="7"/>
      <c r="J2" s="7"/>
      <c r="K2" s="7"/>
      <c r="L2" s="7"/>
      <c r="M2" s="7"/>
      <c r="N2" s="7"/>
      <c r="O2" s="7"/>
      <c r="P2" s="7"/>
      <c r="Q2" s="7"/>
      <c r="R2" s="7"/>
      <c r="S2" s="7"/>
      <c r="T2" s="7"/>
      <c r="U2" s="7"/>
      <c r="V2" s="7"/>
      <c r="W2" s="7"/>
      <c r="X2" s="7"/>
      <c r="Y2" s="7"/>
      <c r="Z2" s="7"/>
    </row>
    <row r="3" spans="1:26" ht="15" customHeight="1">
      <c r="A3" s="7"/>
      <c r="B3" s="7"/>
      <c r="C3" s="7"/>
      <c r="D3" s="7"/>
      <c r="E3" s="875" t="s">
        <v>1</v>
      </c>
      <c r="F3" s="7"/>
      <c r="G3" s="7"/>
      <c r="H3" s="7"/>
      <c r="I3" s="7"/>
      <c r="J3" s="7"/>
      <c r="K3" s="7"/>
      <c r="L3" s="7"/>
      <c r="M3" s="7"/>
      <c r="N3" s="7"/>
      <c r="O3" s="7"/>
      <c r="P3" s="7"/>
      <c r="Q3" s="7"/>
      <c r="R3" s="7"/>
      <c r="S3" s="7"/>
      <c r="T3" s="7"/>
      <c r="U3" s="7"/>
      <c r="V3" s="7"/>
      <c r="W3" s="7"/>
      <c r="X3" s="7"/>
      <c r="Y3" s="7"/>
      <c r="Z3" s="7"/>
    </row>
    <row r="4" spans="1:26" ht="15" customHeight="1">
      <c r="A4" s="7"/>
      <c r="B4" s="7"/>
      <c r="C4" s="7"/>
      <c r="D4" s="7"/>
      <c r="E4" s="875" t="s">
        <v>2</v>
      </c>
      <c r="F4" s="7"/>
      <c r="G4" s="7"/>
      <c r="H4" s="7"/>
      <c r="I4" s="7"/>
      <c r="J4" s="7"/>
      <c r="K4" s="7"/>
      <c r="L4" s="7"/>
      <c r="M4" s="7"/>
      <c r="N4" s="7"/>
      <c r="O4" s="7"/>
      <c r="P4" s="7"/>
      <c r="Q4" s="7"/>
      <c r="R4" s="7"/>
      <c r="S4" s="7"/>
      <c r="T4" s="7"/>
      <c r="U4" s="7"/>
      <c r="V4" s="7"/>
      <c r="W4" s="7"/>
      <c r="X4" s="7"/>
      <c r="Y4" s="7"/>
      <c r="Z4" s="7"/>
    </row>
    <row r="5" spans="1:26" ht="15" customHeight="1">
      <c r="A5" s="7"/>
      <c r="B5" s="7"/>
      <c r="C5" s="7"/>
      <c r="D5" s="7"/>
      <c r="E5" s="875" t="s">
        <v>3</v>
      </c>
      <c r="F5" s="7"/>
      <c r="G5" s="20"/>
      <c r="H5" s="7"/>
      <c r="I5" s="7"/>
      <c r="J5" s="7"/>
      <c r="K5" s="7"/>
      <c r="L5" s="7"/>
      <c r="M5" s="7"/>
      <c r="N5" s="7"/>
      <c r="O5" s="7"/>
      <c r="P5" s="7"/>
      <c r="Q5" s="7"/>
      <c r="R5" s="7"/>
      <c r="S5" s="7"/>
      <c r="T5" s="7"/>
      <c r="U5" s="7"/>
      <c r="V5" s="7"/>
      <c r="W5" s="7"/>
      <c r="X5" s="7"/>
      <c r="Y5" s="7"/>
      <c r="Z5" s="7"/>
    </row>
    <row r="6" spans="1:26" ht="15" customHeight="1">
      <c r="A6" s="7"/>
      <c r="B6" s="7"/>
      <c r="C6" s="7"/>
      <c r="D6" s="7"/>
      <c r="E6" s="875" t="s">
        <v>4</v>
      </c>
      <c r="F6" s="7"/>
      <c r="G6" s="7"/>
      <c r="H6" s="7"/>
      <c r="I6" s="7"/>
      <c r="J6" s="7"/>
      <c r="K6" s="7"/>
      <c r="L6" s="7"/>
      <c r="M6" s="7"/>
      <c r="N6" s="7"/>
      <c r="O6" s="7"/>
      <c r="P6" s="7"/>
      <c r="Q6" s="7"/>
      <c r="R6" s="7"/>
      <c r="S6" s="7"/>
      <c r="T6" s="7"/>
      <c r="U6" s="7"/>
      <c r="V6" s="7"/>
      <c r="W6" s="7"/>
      <c r="X6" s="7"/>
      <c r="Y6" s="7"/>
      <c r="Z6" s="7"/>
    </row>
    <row r="7" spans="1:26">
      <c r="A7" s="7" t="s">
        <v>5</v>
      </c>
      <c r="B7" s="7"/>
      <c r="C7" s="7"/>
      <c r="D7" s="7"/>
      <c r="E7" s="20"/>
      <c r="F7" s="7"/>
      <c r="G7" s="7"/>
      <c r="H7" s="7"/>
      <c r="I7" s="7"/>
      <c r="J7" s="7"/>
      <c r="K7" s="7"/>
      <c r="L7" s="7"/>
      <c r="M7" s="7"/>
      <c r="N7" s="7"/>
      <c r="O7" s="7"/>
      <c r="P7" s="7"/>
      <c r="Q7" s="7"/>
      <c r="R7" s="7"/>
      <c r="S7" s="7"/>
      <c r="T7" s="7"/>
      <c r="U7" s="7"/>
      <c r="V7" s="7"/>
      <c r="W7" s="7"/>
      <c r="X7" s="7"/>
      <c r="Y7" s="7"/>
      <c r="Z7" s="7"/>
    </row>
    <row r="8" spans="1:26" s="2122" customFormat="1" ht="20.100000000000001" customHeight="1">
      <c r="C8" s="2122" t="s">
        <v>6</v>
      </c>
    </row>
    <row r="9" spans="1:26" s="1218" customFormat="1" ht="4.5" customHeight="1">
      <c r="A9" s="75"/>
      <c r="B9" s="75"/>
      <c r="C9" s="75"/>
      <c r="D9" s="75"/>
      <c r="E9" s="75"/>
      <c r="F9" s="75"/>
      <c r="G9" s="75"/>
      <c r="H9" s="75"/>
      <c r="I9" s="75"/>
      <c r="J9" s="75"/>
      <c r="K9" s="75"/>
      <c r="L9" s="75"/>
      <c r="M9" s="75"/>
      <c r="N9" s="75"/>
      <c r="O9" s="75"/>
      <c r="P9" s="75"/>
      <c r="Q9" s="75"/>
      <c r="R9" s="75"/>
      <c r="S9" s="75"/>
      <c r="T9" s="75"/>
      <c r="U9" s="75"/>
      <c r="V9" s="75"/>
      <c r="W9" s="75"/>
      <c r="X9" s="75"/>
      <c r="Y9" s="75"/>
      <c r="Z9" s="75"/>
    </row>
    <row r="10" spans="1:26" s="1218" customFormat="1" ht="19.5" customHeight="1">
      <c r="A10" s="75"/>
      <c r="B10" s="75"/>
      <c r="C10" s="76" t="s">
        <v>2115</v>
      </c>
      <c r="D10" s="75"/>
      <c r="E10" s="75"/>
      <c r="F10" s="2447" t="s">
        <v>2116</v>
      </c>
      <c r="G10" s="2448"/>
      <c r="H10" s="2448"/>
      <c r="I10" s="75"/>
      <c r="J10" s="75"/>
      <c r="K10" s="75"/>
      <c r="L10" s="75"/>
      <c r="M10" s="75"/>
      <c r="N10" s="75"/>
      <c r="O10" s="75"/>
      <c r="P10" s="75"/>
      <c r="Q10" s="75"/>
      <c r="R10" s="75"/>
      <c r="S10" s="75"/>
      <c r="T10" s="75"/>
      <c r="U10" s="75"/>
      <c r="V10" s="75"/>
      <c r="W10" s="75"/>
      <c r="X10" s="75"/>
      <c r="Y10" s="75"/>
      <c r="Z10" s="75"/>
    </row>
    <row r="11" spans="1:26" s="1218" customFormat="1" ht="16.5" customHeight="1">
      <c r="A11" s="75"/>
      <c r="B11" s="75"/>
      <c r="C11" s="76" t="s">
        <v>7</v>
      </c>
      <c r="D11" s="75"/>
      <c r="E11" s="75"/>
      <c r="F11" s="75"/>
      <c r="G11" s="75"/>
      <c r="H11" s="75"/>
      <c r="I11" s="75"/>
      <c r="J11" s="75"/>
      <c r="K11" s="75"/>
      <c r="L11" s="75"/>
      <c r="M11" s="75"/>
      <c r="N11" s="75"/>
      <c r="O11" s="75"/>
      <c r="P11" s="75"/>
      <c r="Q11" s="75"/>
      <c r="R11" s="75"/>
      <c r="S11" s="75"/>
      <c r="T11" s="75"/>
      <c r="U11" s="75"/>
      <c r="V11" s="75"/>
      <c r="W11" s="75"/>
      <c r="X11" s="75"/>
      <c r="Y11" s="75"/>
      <c r="Z11" s="75"/>
    </row>
    <row r="12" spans="1:26" s="1219" customFormat="1" ht="8.2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row>
    <row r="13" spans="1:26" s="2124" customFormat="1" ht="20.100000000000001" customHeight="1">
      <c r="A13" s="2123"/>
      <c r="C13" s="2124" t="s">
        <v>8</v>
      </c>
      <c r="F13" s="2723" t="s">
        <v>9</v>
      </c>
      <c r="G13" s="2723" t="s">
        <v>10</v>
      </c>
      <c r="H13" s="2723" t="s">
        <v>11</v>
      </c>
    </row>
    <row r="14" spans="1:26" s="212" customFormat="1" ht="19.5" customHeight="1">
      <c r="A14" s="22"/>
      <c r="B14" s="22"/>
      <c r="C14" s="875" t="s">
        <v>12</v>
      </c>
      <c r="F14" s="2326" t="s">
        <v>13</v>
      </c>
      <c r="G14" s="2326">
        <f>COLUMNS('1.1'!B:D)</f>
        <v>3</v>
      </c>
      <c r="H14" s="2326">
        <v>1994.01</v>
      </c>
      <c r="J14" s="22"/>
      <c r="K14" s="22"/>
      <c r="L14" s="22"/>
      <c r="M14" s="22"/>
      <c r="N14" s="22"/>
      <c r="O14" s="22"/>
      <c r="P14" s="22"/>
      <c r="Q14" s="22"/>
      <c r="R14" s="22"/>
      <c r="S14" s="22"/>
      <c r="T14" s="22"/>
      <c r="U14" s="22"/>
      <c r="V14" s="22"/>
      <c r="W14" s="22"/>
      <c r="X14" s="22"/>
      <c r="Y14" s="22"/>
      <c r="Z14" s="22"/>
    </row>
    <row r="15" spans="1:26" s="212" customFormat="1" ht="19.5" customHeight="1">
      <c r="A15" s="22"/>
      <c r="B15" s="153"/>
      <c r="C15" s="875" t="s">
        <v>14</v>
      </c>
      <c r="F15" s="2327" t="s">
        <v>13</v>
      </c>
      <c r="G15" s="2327">
        <f>COLUMNS('1.2'!B:T)</f>
        <v>19</v>
      </c>
      <c r="H15" s="2327">
        <v>2004.01</v>
      </c>
      <c r="J15" s="22"/>
      <c r="K15" s="22"/>
      <c r="L15" s="22"/>
      <c r="M15" s="22"/>
      <c r="N15" s="22"/>
      <c r="O15" s="22"/>
      <c r="P15" s="22"/>
      <c r="Q15" s="22"/>
      <c r="R15" s="22"/>
      <c r="S15" s="22"/>
      <c r="T15" s="22"/>
      <c r="U15" s="22"/>
      <c r="V15" s="22"/>
      <c r="W15" s="22"/>
      <c r="X15" s="22"/>
      <c r="Y15" s="22"/>
      <c r="Z15" s="22"/>
    </row>
    <row r="16" spans="1:26" s="212" customFormat="1" ht="20.100000000000001" customHeight="1">
      <c r="A16" s="22" t="s">
        <v>15</v>
      </c>
      <c r="B16" s="153"/>
      <c r="C16" s="875" t="s">
        <v>16</v>
      </c>
      <c r="F16" s="2327" t="s">
        <v>13</v>
      </c>
      <c r="G16" s="2327">
        <f>COLUMNS('1.3'!B:G)</f>
        <v>6</v>
      </c>
      <c r="H16" s="2327">
        <v>1993.01</v>
      </c>
      <c r="J16" s="22"/>
      <c r="K16" s="22"/>
      <c r="L16" s="22"/>
      <c r="M16" s="22"/>
      <c r="N16" s="22"/>
      <c r="O16" s="22"/>
      <c r="P16" s="22"/>
      <c r="Q16" s="22"/>
      <c r="R16" s="22"/>
      <c r="S16" s="22"/>
      <c r="T16" s="22"/>
      <c r="U16" s="22"/>
      <c r="V16" s="22"/>
      <c r="W16" s="22"/>
      <c r="X16" s="22"/>
      <c r="Y16" s="22"/>
      <c r="Z16" s="22"/>
    </row>
    <row r="17" spans="1:26" s="212" customFormat="1" ht="20.100000000000001" customHeight="1">
      <c r="A17" s="22"/>
      <c r="B17" s="153"/>
      <c r="C17" s="875" t="s">
        <v>17</v>
      </c>
      <c r="F17" s="2327" t="s">
        <v>13</v>
      </c>
      <c r="G17" s="2327">
        <f>COLUMNS('1.4'!B:B)</f>
        <v>1</v>
      </c>
      <c r="H17" s="2327">
        <v>1993.01</v>
      </c>
      <c r="J17" s="22"/>
      <c r="K17" s="22"/>
      <c r="L17" s="22"/>
      <c r="M17" s="22"/>
      <c r="N17" s="22"/>
      <c r="O17" s="22"/>
      <c r="P17" s="22"/>
      <c r="Q17" s="22"/>
      <c r="R17" s="22"/>
      <c r="S17" s="22"/>
      <c r="T17" s="22"/>
      <c r="U17" s="22"/>
      <c r="V17" s="22"/>
      <c r="W17" s="22"/>
      <c r="X17" s="22"/>
      <c r="Y17" s="22"/>
      <c r="Z17" s="22"/>
    </row>
    <row r="18" spans="1:26" s="212" customFormat="1" ht="20.100000000000001" customHeight="1">
      <c r="A18" s="22"/>
      <c r="B18" s="153"/>
      <c r="C18" s="875" t="s">
        <v>18</v>
      </c>
      <c r="F18" s="2327" t="s">
        <v>19</v>
      </c>
      <c r="G18" s="2327">
        <f>COLUMNS('1.5'!B:U)</f>
        <v>20</v>
      </c>
      <c r="H18" s="2327">
        <v>1884</v>
      </c>
      <c r="J18" s="22"/>
      <c r="K18" s="22"/>
      <c r="L18" s="22"/>
      <c r="M18" s="22"/>
      <c r="N18" s="22"/>
      <c r="O18" s="22"/>
      <c r="P18" s="22"/>
      <c r="Q18" s="22"/>
      <c r="R18" s="22"/>
      <c r="S18" s="22"/>
      <c r="T18" s="22"/>
      <c r="U18" s="22"/>
      <c r="V18" s="22"/>
      <c r="W18" s="22"/>
      <c r="X18" s="22"/>
      <c r="Y18" s="22"/>
      <c r="Z18" s="22"/>
    </row>
    <row r="19" spans="1:26" s="212" customFormat="1" ht="20.100000000000001" customHeight="1">
      <c r="A19" s="22"/>
      <c r="B19" s="153"/>
      <c r="C19" s="875" t="s">
        <v>20</v>
      </c>
      <c r="F19" s="2327" t="s">
        <v>21</v>
      </c>
      <c r="G19" s="2327">
        <f>COLUMNS('1.6'!B:Z)</f>
        <v>25</v>
      </c>
      <c r="H19" s="2327" t="s">
        <v>22</v>
      </c>
      <c r="J19" s="22"/>
      <c r="K19" s="22"/>
      <c r="L19" s="22"/>
      <c r="M19" s="22"/>
      <c r="N19" s="22"/>
      <c r="O19" s="22"/>
      <c r="P19" s="22"/>
      <c r="Q19" s="22"/>
      <c r="R19" s="22"/>
      <c r="S19" s="22"/>
      <c r="T19" s="22"/>
      <c r="U19" s="22"/>
      <c r="V19" s="22"/>
      <c r="W19" s="22"/>
      <c r="X19" s="22"/>
      <c r="Y19" s="22"/>
      <c r="Z19" s="22"/>
    </row>
    <row r="20" spans="1:26" s="212" customFormat="1" ht="20.100000000000001" customHeight="1">
      <c r="A20" s="22"/>
      <c r="B20" s="153"/>
      <c r="C20" s="875" t="s">
        <v>23</v>
      </c>
      <c r="F20" s="2328" t="s">
        <v>13</v>
      </c>
      <c r="G20" s="2328">
        <f>COLUMNS('1.7'!B:C)</f>
        <v>2</v>
      </c>
      <c r="H20" s="2328">
        <v>1991.07</v>
      </c>
      <c r="J20" s="22"/>
      <c r="K20" s="22"/>
      <c r="L20" s="22"/>
      <c r="M20" s="22"/>
      <c r="N20" s="22"/>
      <c r="O20" s="22"/>
      <c r="P20" s="22"/>
      <c r="Q20" s="22"/>
      <c r="R20" s="22"/>
      <c r="S20" s="22"/>
      <c r="T20" s="22"/>
      <c r="U20" s="22"/>
      <c r="V20" s="22"/>
      <c r="W20" s="22"/>
      <c r="X20" s="22"/>
      <c r="Y20" s="22"/>
      <c r="Z20" s="22"/>
    </row>
    <row r="21" spans="1:26" s="2124" customFormat="1" ht="20.100000000000001" customHeight="1">
      <c r="C21" s="2124" t="s">
        <v>24</v>
      </c>
      <c r="F21" s="2723" t="s">
        <v>9</v>
      </c>
      <c r="G21" s="2723" t="s">
        <v>10</v>
      </c>
      <c r="H21" s="2723" t="s">
        <v>11</v>
      </c>
    </row>
    <row r="22" spans="1:26" s="212" customFormat="1" ht="19.5" customHeight="1">
      <c r="B22" s="875"/>
      <c r="C22" s="875" t="s">
        <v>25</v>
      </c>
      <c r="D22" s="22"/>
      <c r="E22" s="22"/>
      <c r="F22" s="2329" t="s">
        <v>13</v>
      </c>
      <c r="G22" s="2329">
        <f>COLUMNS('2.1'!B:O)</f>
        <v>14</v>
      </c>
      <c r="H22" s="2330">
        <v>2000.01</v>
      </c>
      <c r="I22" s="22"/>
      <c r="J22" s="22"/>
      <c r="K22" s="22"/>
      <c r="L22" s="22"/>
      <c r="M22" s="22"/>
      <c r="N22" s="22"/>
      <c r="O22" s="22"/>
      <c r="P22" s="22"/>
      <c r="Q22" s="22"/>
      <c r="R22" s="22"/>
      <c r="S22" s="22"/>
      <c r="T22" s="22"/>
      <c r="U22" s="22"/>
      <c r="V22" s="22"/>
      <c r="W22" s="22"/>
      <c r="X22" s="22"/>
      <c r="Y22" s="22"/>
      <c r="Z22" s="22"/>
    </row>
    <row r="23" spans="1:26" s="212" customFormat="1" ht="20.100000000000001" customHeight="1">
      <c r="B23" s="875"/>
      <c r="C23" s="875" t="s">
        <v>26</v>
      </c>
      <c r="D23" s="22"/>
      <c r="E23" s="22"/>
      <c r="F23" s="2331" t="s">
        <v>13</v>
      </c>
      <c r="G23" s="2331">
        <f>COLUMNS('2.2'!B:L)</f>
        <v>11</v>
      </c>
      <c r="H23" s="2332">
        <v>1994.01</v>
      </c>
      <c r="I23" s="22"/>
      <c r="J23" s="22"/>
      <c r="K23" s="22"/>
      <c r="L23" s="22"/>
      <c r="M23" s="22"/>
      <c r="N23" s="22"/>
      <c r="O23" s="22"/>
      <c r="P23" s="22"/>
      <c r="Q23" s="22"/>
      <c r="R23" s="22"/>
      <c r="S23" s="22"/>
      <c r="T23" s="22"/>
      <c r="U23" s="22"/>
      <c r="V23" s="22"/>
      <c r="W23" s="22"/>
      <c r="X23" s="22"/>
      <c r="Y23" s="22"/>
      <c r="Z23" s="22"/>
    </row>
    <row r="24" spans="1:26" s="212" customFormat="1" ht="20.100000000000001" customHeight="1">
      <c r="B24" s="875"/>
      <c r="C24" s="875" t="s">
        <v>27</v>
      </c>
      <c r="D24" s="22"/>
      <c r="E24" s="22"/>
      <c r="F24" s="2331" t="s">
        <v>21</v>
      </c>
      <c r="G24" s="2331">
        <f>COLUMNS('2.3'!B:P)</f>
        <v>15</v>
      </c>
      <c r="H24" s="2327" t="s">
        <v>28</v>
      </c>
      <c r="I24" s="22"/>
      <c r="J24" s="22"/>
      <c r="K24" s="22"/>
      <c r="L24" s="22"/>
      <c r="M24" s="22"/>
      <c r="N24" s="22"/>
      <c r="O24" s="22"/>
      <c r="P24" s="22"/>
      <c r="Q24" s="22"/>
      <c r="R24" s="22"/>
      <c r="S24" s="22"/>
      <c r="T24" s="22"/>
      <c r="U24" s="22"/>
      <c r="V24" s="22"/>
      <c r="W24" s="22"/>
      <c r="X24" s="22"/>
      <c r="Y24" s="22"/>
      <c r="Z24" s="22"/>
    </row>
    <row r="25" spans="1:26" s="212" customFormat="1" ht="20.100000000000001" customHeight="1">
      <c r="B25" s="875"/>
      <c r="C25" s="875" t="s">
        <v>29</v>
      </c>
      <c r="D25" s="22"/>
      <c r="E25" s="22"/>
      <c r="F25" s="2331" t="s">
        <v>13</v>
      </c>
      <c r="G25" s="2331">
        <f>COLUMNS('2.4'!B:G)</f>
        <v>6</v>
      </c>
      <c r="H25" s="2332">
        <v>1996.01</v>
      </c>
      <c r="I25" s="22"/>
      <c r="J25" s="22"/>
      <c r="K25" s="22"/>
      <c r="L25" s="22"/>
      <c r="M25" s="22"/>
      <c r="N25" s="22"/>
      <c r="O25" s="22"/>
      <c r="P25" s="22"/>
      <c r="Q25" s="22"/>
      <c r="R25" s="22"/>
      <c r="S25" s="22"/>
      <c r="T25" s="22"/>
      <c r="U25" s="22"/>
      <c r="V25" s="22"/>
      <c r="W25" s="22"/>
      <c r="X25" s="22"/>
      <c r="Y25" s="22"/>
      <c r="Z25" s="22"/>
    </row>
    <row r="26" spans="1:26" s="212" customFormat="1" ht="20.100000000000001" customHeight="1">
      <c r="B26" s="3408"/>
      <c r="C26" s="3408" t="s">
        <v>30</v>
      </c>
      <c r="F26" s="2327" t="s">
        <v>13</v>
      </c>
      <c r="G26" s="2327">
        <f>COLUMNS('2.5'!B:P)</f>
        <v>15</v>
      </c>
      <c r="H26" s="2327">
        <v>2006.01</v>
      </c>
      <c r="I26" s="22"/>
      <c r="J26" s="22"/>
      <c r="K26" s="22"/>
      <c r="L26" s="22"/>
      <c r="M26" s="22"/>
      <c r="N26" s="22"/>
      <c r="O26" s="22"/>
      <c r="P26" s="22"/>
      <c r="Q26" s="22"/>
      <c r="R26" s="22"/>
      <c r="S26" s="22"/>
      <c r="T26" s="22"/>
      <c r="U26" s="22"/>
      <c r="V26" s="22"/>
      <c r="W26" s="22"/>
      <c r="X26" s="22"/>
      <c r="Y26" s="22"/>
      <c r="Z26" s="22"/>
    </row>
    <row r="27" spans="1:26" s="212" customFormat="1" ht="20.100000000000001" customHeight="1">
      <c r="B27" s="875"/>
      <c r="C27" s="875" t="s">
        <v>31</v>
      </c>
      <c r="D27" s="22"/>
      <c r="E27" s="22"/>
      <c r="F27" s="2331" t="s">
        <v>13</v>
      </c>
      <c r="G27" s="2331">
        <f>COLUMNS('2.5.a'!B:F)</f>
        <v>5</v>
      </c>
      <c r="H27" s="2333">
        <v>2001.1</v>
      </c>
      <c r="I27" s="22"/>
      <c r="J27" s="22"/>
      <c r="K27" s="22"/>
      <c r="L27" s="22"/>
      <c r="M27" s="22"/>
      <c r="N27" s="22"/>
      <c r="O27" s="22"/>
      <c r="P27" s="22"/>
      <c r="Q27" s="22"/>
      <c r="R27" s="22"/>
      <c r="S27" s="22"/>
      <c r="T27" s="22"/>
      <c r="U27" s="22"/>
      <c r="V27" s="22"/>
      <c r="W27" s="22"/>
      <c r="X27" s="22"/>
      <c r="Y27" s="22"/>
      <c r="Z27" s="22"/>
    </row>
    <row r="28" spans="1:26" s="212" customFormat="1" ht="20.100000000000001" customHeight="1">
      <c r="B28" s="875"/>
      <c r="C28" s="875" t="s">
        <v>32</v>
      </c>
      <c r="D28" s="211"/>
      <c r="E28" s="211"/>
      <c r="F28" s="2331" t="s">
        <v>13</v>
      </c>
      <c r="G28" s="2331">
        <f>COLUMNS('2.5.b'!B:M)</f>
        <v>12</v>
      </c>
      <c r="H28" s="2333">
        <v>2013.01</v>
      </c>
      <c r="I28" s="22"/>
      <c r="J28" s="22"/>
      <c r="K28" s="22"/>
      <c r="L28" s="875"/>
      <c r="M28" s="22"/>
      <c r="N28" s="22"/>
      <c r="O28" s="22"/>
      <c r="P28" s="22"/>
      <c r="Q28" s="22"/>
      <c r="R28" s="22"/>
      <c r="S28" s="22"/>
      <c r="T28" s="22"/>
      <c r="U28" s="22"/>
      <c r="V28" s="22"/>
      <c r="W28" s="22"/>
      <c r="X28" s="22"/>
      <c r="Y28" s="22"/>
      <c r="Z28" s="22"/>
    </row>
    <row r="29" spans="1:26" s="212" customFormat="1" ht="20.100000000000001" customHeight="1">
      <c r="B29" s="3408"/>
      <c r="C29" s="3408" t="s">
        <v>33</v>
      </c>
      <c r="D29" s="211"/>
      <c r="E29" s="211"/>
      <c r="F29" s="2327" t="s">
        <v>13</v>
      </c>
      <c r="G29" s="2327">
        <f>COLUMNS('2.5.c'!B:K)</f>
        <v>10</v>
      </c>
      <c r="H29" s="3409">
        <v>2013.01</v>
      </c>
      <c r="I29" s="22"/>
      <c r="J29" s="22"/>
      <c r="K29" s="22"/>
      <c r="L29" s="22"/>
      <c r="M29" s="22"/>
      <c r="N29" s="22"/>
      <c r="O29" s="22"/>
      <c r="P29" s="22"/>
      <c r="Q29" s="22"/>
      <c r="R29" s="22"/>
      <c r="S29" s="22"/>
      <c r="T29" s="22"/>
      <c r="U29" s="22"/>
      <c r="V29" s="22"/>
      <c r="W29" s="22"/>
      <c r="X29" s="22"/>
      <c r="Y29" s="22"/>
      <c r="Z29" s="22"/>
    </row>
    <row r="30" spans="1:26" s="212" customFormat="1" ht="20.100000000000001" customHeight="1">
      <c r="B30" s="875"/>
      <c r="C30" s="875" t="s">
        <v>34</v>
      </c>
      <c r="D30" s="22"/>
      <c r="E30" s="22"/>
      <c r="F30" s="2331" t="s">
        <v>21</v>
      </c>
      <c r="G30" s="2331">
        <f>COLUMNS('2.6'!B9:U9)</f>
        <v>20</v>
      </c>
      <c r="H30" s="2331" t="s">
        <v>35</v>
      </c>
      <c r="I30" s="22"/>
      <c r="J30" s="22"/>
      <c r="K30" s="22"/>
      <c r="L30" s="22"/>
      <c r="M30" s="22"/>
      <c r="N30" s="22"/>
      <c r="O30" s="22"/>
      <c r="P30" s="22"/>
      <c r="Q30" s="22"/>
      <c r="R30" s="22"/>
      <c r="S30" s="22"/>
      <c r="T30" s="22"/>
      <c r="U30" s="22"/>
      <c r="V30" s="22"/>
      <c r="W30" s="22"/>
      <c r="X30" s="22"/>
      <c r="Y30" s="22"/>
      <c r="Z30" s="22"/>
    </row>
    <row r="31" spans="1:26" s="212" customFormat="1" ht="20.100000000000001" customHeight="1">
      <c r="B31" s="875"/>
      <c r="C31" s="875" t="s">
        <v>36</v>
      </c>
      <c r="D31" s="22"/>
      <c r="E31" s="22"/>
      <c r="F31" s="2331" t="s">
        <v>21</v>
      </c>
      <c r="G31" s="2331">
        <f>COLUMNS('2.7'!B10:S10)</f>
        <v>18</v>
      </c>
      <c r="H31" s="2331" t="s">
        <v>35</v>
      </c>
      <c r="I31" s="22"/>
      <c r="J31" s="22"/>
      <c r="K31" s="22"/>
      <c r="L31" s="22"/>
      <c r="M31" s="22"/>
      <c r="N31" s="22"/>
      <c r="O31" s="22"/>
      <c r="P31" s="22"/>
      <c r="Q31" s="22"/>
      <c r="R31" s="22"/>
      <c r="S31" s="22"/>
      <c r="T31" s="22"/>
      <c r="U31" s="22"/>
      <c r="V31" s="22"/>
      <c r="W31" s="22"/>
      <c r="X31" s="22"/>
      <c r="Y31" s="22"/>
      <c r="Z31" s="22"/>
    </row>
    <row r="32" spans="1:26" s="212" customFormat="1" ht="20.100000000000001" customHeight="1">
      <c r="B32" s="875"/>
      <c r="C32" s="875" t="s">
        <v>37</v>
      </c>
      <c r="D32" s="22"/>
      <c r="E32" s="22"/>
      <c r="F32" s="2331" t="s">
        <v>21</v>
      </c>
      <c r="G32" s="2331">
        <f>COLUMNS('2.8'!B:Y)</f>
        <v>24</v>
      </c>
      <c r="H32" s="2331" t="s">
        <v>38</v>
      </c>
      <c r="I32" s="22"/>
      <c r="J32" s="22"/>
      <c r="K32" s="22"/>
      <c r="L32" s="22"/>
      <c r="M32" s="22"/>
      <c r="N32" s="22"/>
      <c r="O32" s="22"/>
      <c r="P32" s="22"/>
      <c r="Q32" s="22"/>
      <c r="R32" s="22"/>
      <c r="S32" s="22"/>
      <c r="T32" s="22"/>
      <c r="U32" s="22"/>
      <c r="V32" s="22"/>
      <c r="W32" s="22"/>
      <c r="X32" s="22"/>
      <c r="Y32" s="22"/>
      <c r="Z32" s="22"/>
    </row>
    <row r="33" spans="1:26" s="212" customFormat="1" ht="20.100000000000001" customHeight="1">
      <c r="B33" s="875"/>
      <c r="C33" s="875" t="s">
        <v>39</v>
      </c>
      <c r="D33" s="22"/>
      <c r="E33" s="22"/>
      <c r="F33" s="2331" t="s">
        <v>40</v>
      </c>
      <c r="G33" s="2331">
        <f>COLUMNS('2.9'!B:V)</f>
        <v>21</v>
      </c>
      <c r="H33" s="2331" t="s">
        <v>41</v>
      </c>
      <c r="I33" s="22"/>
      <c r="J33" s="22"/>
      <c r="K33" s="22"/>
      <c r="L33" s="22"/>
      <c r="M33" s="22"/>
      <c r="N33" s="22"/>
      <c r="O33" s="22"/>
      <c r="P33" s="22"/>
      <c r="Q33" s="22"/>
      <c r="R33" s="22"/>
      <c r="S33" s="22"/>
      <c r="T33" s="22"/>
      <c r="U33" s="22"/>
      <c r="V33" s="22"/>
      <c r="W33" s="22"/>
      <c r="X33" s="22"/>
      <c r="Y33" s="22"/>
      <c r="Z33" s="22"/>
    </row>
    <row r="34" spans="1:26" s="212" customFormat="1" ht="20.100000000000001" customHeight="1">
      <c r="B34" s="875"/>
      <c r="C34" s="875" t="s">
        <v>42</v>
      </c>
      <c r="D34" s="22"/>
      <c r="E34" s="22"/>
      <c r="F34" s="2334" t="s">
        <v>19</v>
      </c>
      <c r="G34" s="2334">
        <f>COLUMNS('2.10'!B:D)</f>
        <v>3</v>
      </c>
      <c r="H34" s="2334">
        <v>1810</v>
      </c>
      <c r="I34" s="22"/>
      <c r="J34" s="22"/>
      <c r="K34" s="22"/>
      <c r="L34" s="22"/>
      <c r="M34" s="22"/>
      <c r="N34" s="22"/>
      <c r="O34" s="22"/>
      <c r="P34" s="22"/>
      <c r="Q34" s="22"/>
      <c r="R34" s="22"/>
      <c r="S34" s="22"/>
      <c r="T34" s="22"/>
      <c r="U34" s="22"/>
      <c r="V34" s="22"/>
      <c r="W34" s="22"/>
      <c r="X34" s="22"/>
      <c r="Y34" s="22"/>
      <c r="Z34" s="22"/>
    </row>
    <row r="35" spans="1:26" s="2124" customFormat="1" ht="20.100000000000001" customHeight="1">
      <c r="C35" s="2124" t="s">
        <v>43</v>
      </c>
      <c r="F35" s="2723" t="s">
        <v>9</v>
      </c>
      <c r="G35" s="2723" t="s">
        <v>10</v>
      </c>
      <c r="H35" s="2723" t="s">
        <v>11</v>
      </c>
    </row>
    <row r="36" spans="1:26" s="212" customFormat="1" ht="20.100000000000001" customHeight="1">
      <c r="A36" s="22"/>
      <c r="B36" s="22"/>
      <c r="C36" s="875" t="s">
        <v>44</v>
      </c>
      <c r="D36" s="22"/>
      <c r="E36" s="22"/>
      <c r="F36" s="2329" t="s">
        <v>13</v>
      </c>
      <c r="G36" s="2329">
        <f>COLUMNS('3.1'!B:F)</f>
        <v>5</v>
      </c>
      <c r="H36" s="2329">
        <v>1991.01</v>
      </c>
      <c r="I36" s="22"/>
      <c r="J36" s="22"/>
      <c r="K36" s="22"/>
      <c r="L36" s="22"/>
      <c r="M36" s="22"/>
      <c r="N36" s="22"/>
      <c r="O36" s="22"/>
      <c r="P36" s="22"/>
      <c r="Q36" s="22"/>
      <c r="R36" s="22"/>
      <c r="S36" s="22"/>
      <c r="T36" s="22"/>
      <c r="U36" s="22"/>
      <c r="V36" s="22"/>
      <c r="W36" s="22"/>
      <c r="X36" s="22"/>
      <c r="Y36" s="22"/>
      <c r="Z36" s="22"/>
    </row>
    <row r="37" spans="1:26" s="212" customFormat="1" ht="20.100000000000001" customHeight="1">
      <c r="A37" s="22"/>
      <c r="B37" s="22"/>
      <c r="C37" s="875" t="s">
        <v>45</v>
      </c>
      <c r="D37" s="22"/>
      <c r="E37" s="22"/>
      <c r="F37" s="2331" t="s">
        <v>13</v>
      </c>
      <c r="G37" s="2331">
        <f>COLUMNS('3.2'!B:Y)</f>
        <v>24</v>
      </c>
      <c r="H37" s="2331">
        <v>1993.01</v>
      </c>
      <c r="I37" s="104"/>
      <c r="J37" s="22"/>
      <c r="K37" s="22"/>
      <c r="L37" s="22"/>
      <c r="M37" s="22"/>
      <c r="N37" s="22"/>
      <c r="O37" s="22"/>
      <c r="P37" s="22"/>
      <c r="Q37" s="22"/>
      <c r="R37" s="22"/>
      <c r="S37" s="22"/>
      <c r="T37" s="22"/>
      <c r="U37" s="22"/>
      <c r="V37" s="22"/>
      <c r="W37" s="22"/>
      <c r="X37" s="22"/>
      <c r="Y37" s="22"/>
      <c r="Z37" s="22"/>
    </row>
    <row r="38" spans="1:26" s="212" customFormat="1" ht="20.100000000000001" customHeight="1">
      <c r="A38" s="22"/>
      <c r="B38" s="22"/>
      <c r="C38" s="875" t="s">
        <v>46</v>
      </c>
      <c r="D38" s="22"/>
      <c r="E38" s="22"/>
      <c r="F38" s="2331" t="s">
        <v>13</v>
      </c>
      <c r="G38" s="2331">
        <f>COLUMNS('3.3'!B:O)</f>
        <v>14</v>
      </c>
      <c r="H38" s="2331">
        <v>1994.01</v>
      </c>
      <c r="I38" s="22"/>
      <c r="J38" s="22"/>
      <c r="K38" s="22"/>
      <c r="L38" s="22"/>
      <c r="M38" s="22"/>
      <c r="N38" s="22"/>
      <c r="O38" s="22"/>
      <c r="P38" s="22"/>
      <c r="Q38" s="22"/>
      <c r="R38" s="22"/>
      <c r="S38" s="22"/>
      <c r="T38" s="22"/>
      <c r="U38" s="22"/>
      <c r="V38" s="22"/>
      <c r="W38" s="22"/>
      <c r="X38" s="22"/>
      <c r="Y38" s="22"/>
      <c r="Z38" s="22"/>
    </row>
    <row r="39" spans="1:26" s="212" customFormat="1" ht="20.100000000000001" customHeight="1">
      <c r="A39" s="22"/>
      <c r="B39" s="22"/>
      <c r="C39" s="875" t="s">
        <v>47</v>
      </c>
      <c r="D39" s="22"/>
      <c r="E39" s="22"/>
      <c r="F39" s="2331" t="s">
        <v>13</v>
      </c>
      <c r="G39" s="2331">
        <f>COLUMNS('3.4'!B:O)</f>
        <v>14</v>
      </c>
      <c r="H39" s="2331">
        <v>2000.01</v>
      </c>
      <c r="I39" s="22"/>
      <c r="J39" s="22"/>
      <c r="K39" s="22"/>
      <c r="L39" s="22"/>
      <c r="M39" s="22"/>
      <c r="N39" s="22"/>
      <c r="O39" s="22"/>
      <c r="P39" s="22"/>
      <c r="Q39" s="22"/>
      <c r="R39" s="22"/>
      <c r="S39" s="22"/>
      <c r="T39" s="22"/>
      <c r="U39" s="22"/>
      <c r="V39" s="22"/>
      <c r="W39" s="22"/>
      <c r="X39" s="22"/>
      <c r="Y39" s="22"/>
      <c r="Z39" s="22"/>
    </row>
    <row r="40" spans="1:26" s="212" customFormat="1" ht="20.100000000000001" customHeight="1">
      <c r="A40" s="22"/>
      <c r="B40" s="22"/>
      <c r="C40" s="875" t="s">
        <v>48</v>
      </c>
      <c r="D40" s="22"/>
      <c r="E40" s="22"/>
      <c r="F40" s="2331" t="s">
        <v>13</v>
      </c>
      <c r="G40" s="2331">
        <f>COLUMNS('3.5'!B:R)</f>
        <v>17</v>
      </c>
      <c r="H40" s="2331">
        <v>1991.01</v>
      </c>
      <c r="I40" s="22"/>
      <c r="J40" s="22"/>
      <c r="K40" s="22"/>
      <c r="L40" s="22"/>
      <c r="M40" s="22"/>
      <c r="N40" s="22"/>
      <c r="O40" s="22"/>
      <c r="P40" s="22"/>
      <c r="Q40" s="22"/>
      <c r="R40" s="22"/>
      <c r="S40" s="22"/>
      <c r="T40" s="22"/>
      <c r="U40" s="22"/>
      <c r="V40" s="22"/>
      <c r="W40" s="22"/>
      <c r="X40" s="22"/>
      <c r="Y40" s="22"/>
      <c r="Z40" s="22"/>
    </row>
    <row r="41" spans="1:26" s="212" customFormat="1" ht="20.100000000000001" customHeight="1">
      <c r="A41" s="22"/>
      <c r="B41" s="22"/>
      <c r="C41" s="875" t="s">
        <v>49</v>
      </c>
      <c r="D41" s="22"/>
      <c r="E41" s="22"/>
      <c r="F41" s="2331" t="s">
        <v>13</v>
      </c>
      <c r="G41" s="2331">
        <f>COLUMNS('3.6'!B:R)</f>
        <v>17</v>
      </c>
      <c r="H41" s="2331">
        <v>1994.01</v>
      </c>
      <c r="I41" s="22"/>
      <c r="J41" s="22"/>
      <c r="K41" s="22"/>
      <c r="L41" s="22"/>
      <c r="M41" s="22"/>
      <c r="N41" s="22"/>
      <c r="O41" s="22"/>
      <c r="P41" s="22"/>
      <c r="Q41" s="22"/>
      <c r="R41" s="22"/>
      <c r="S41" s="22"/>
      <c r="T41" s="22"/>
      <c r="U41" s="22"/>
      <c r="V41" s="22"/>
      <c r="W41" s="22"/>
      <c r="X41" s="22"/>
      <c r="Y41" s="22"/>
      <c r="Z41" s="22"/>
    </row>
    <row r="42" spans="1:26" s="212" customFormat="1" ht="20.100000000000001" customHeight="1">
      <c r="A42" s="22"/>
      <c r="B42" s="22"/>
      <c r="C42" s="2125" t="s">
        <v>50</v>
      </c>
      <c r="D42" s="439"/>
      <c r="E42" s="439"/>
      <c r="F42" s="2336" t="s">
        <v>21</v>
      </c>
      <c r="G42" s="2336">
        <f>COLUMNS('3.7'!B8:M8)</f>
        <v>12</v>
      </c>
      <c r="H42" s="2336" t="s">
        <v>51</v>
      </c>
      <c r="I42" s="2335"/>
      <c r="J42" s="439"/>
      <c r="K42" s="439"/>
      <c r="L42" s="439"/>
      <c r="M42" s="22"/>
      <c r="N42" s="22"/>
      <c r="O42" s="22"/>
      <c r="P42" s="22"/>
      <c r="Q42" s="22"/>
      <c r="R42" s="22"/>
      <c r="S42" s="22"/>
      <c r="T42" s="22"/>
      <c r="U42" s="22"/>
      <c r="V42" s="22"/>
      <c r="W42" s="22"/>
      <c r="X42" s="22"/>
      <c r="Y42" s="22"/>
      <c r="Z42" s="22"/>
    </row>
    <row r="43" spans="1:26" s="212" customFormat="1" ht="20.100000000000001" customHeight="1">
      <c r="A43" s="22"/>
      <c r="B43" s="22"/>
      <c r="C43" s="2125" t="s">
        <v>52</v>
      </c>
      <c r="D43" s="22"/>
      <c r="E43" s="22"/>
      <c r="F43" s="2331" t="s">
        <v>13</v>
      </c>
      <c r="G43" s="2331">
        <f>COLUMNS('3.8'!B:Q)</f>
        <v>16</v>
      </c>
      <c r="H43" s="2331">
        <v>1993.01</v>
      </c>
      <c r="I43" s="104"/>
      <c r="J43" s="22"/>
      <c r="K43" s="22"/>
      <c r="L43" s="22"/>
      <c r="M43" s="22"/>
      <c r="N43" s="22"/>
      <c r="O43" s="22"/>
      <c r="P43" s="22"/>
      <c r="Q43" s="22"/>
      <c r="R43" s="22"/>
      <c r="S43" s="22"/>
      <c r="T43" s="22"/>
      <c r="U43" s="22"/>
      <c r="V43" s="22"/>
      <c r="W43" s="22"/>
      <c r="X43" s="22"/>
      <c r="Y43" s="22"/>
      <c r="Z43" s="22"/>
    </row>
    <row r="44" spans="1:26" s="212" customFormat="1" ht="20.100000000000001" customHeight="1">
      <c r="A44" s="22"/>
      <c r="B44" s="22"/>
      <c r="C44" s="2125" t="s">
        <v>53</v>
      </c>
      <c r="D44" s="22"/>
      <c r="E44" s="22"/>
      <c r="F44" s="2331" t="s">
        <v>13</v>
      </c>
      <c r="G44" s="2331">
        <f>COLUMNS('3.9'!B8:N8)</f>
        <v>13</v>
      </c>
      <c r="H44" s="2331">
        <v>2002.01</v>
      </c>
      <c r="I44" s="104"/>
      <c r="J44" s="22"/>
      <c r="K44" s="22"/>
      <c r="L44" s="22"/>
      <c r="M44" s="22"/>
      <c r="N44" s="22"/>
      <c r="O44" s="22"/>
      <c r="P44" s="22"/>
      <c r="Q44" s="22"/>
      <c r="R44" s="22"/>
      <c r="S44" s="22"/>
      <c r="T44" s="22"/>
      <c r="U44" s="22"/>
      <c r="V44" s="22"/>
      <c r="W44" s="22"/>
      <c r="X44" s="22"/>
      <c r="Y44" s="22"/>
      <c r="Z44" s="22"/>
    </row>
    <row r="45" spans="1:26" s="212" customFormat="1" ht="20.100000000000001" customHeight="1">
      <c r="A45" s="22"/>
      <c r="B45" s="22"/>
      <c r="C45" s="2125" t="s">
        <v>54</v>
      </c>
      <c r="D45" s="22"/>
      <c r="E45" s="22"/>
      <c r="F45" s="2331" t="s">
        <v>13</v>
      </c>
      <c r="G45" s="2331">
        <f>COLUMNS('3.10'!B:CJ)</f>
        <v>87</v>
      </c>
      <c r="H45" s="2331">
        <v>1994.01</v>
      </c>
      <c r="I45" s="104"/>
      <c r="J45" s="22"/>
      <c r="K45" s="22"/>
      <c r="L45" s="22"/>
      <c r="M45" s="22"/>
      <c r="N45" s="22"/>
      <c r="O45" s="22"/>
      <c r="P45" s="22"/>
      <c r="Q45" s="22"/>
      <c r="R45" s="22"/>
      <c r="S45" s="22"/>
      <c r="T45" s="22"/>
      <c r="U45" s="22"/>
      <c r="V45" s="22"/>
      <c r="W45" s="22"/>
      <c r="X45" s="22"/>
      <c r="Y45" s="22"/>
      <c r="Z45" s="22"/>
    </row>
    <row r="46" spans="1:26" s="212" customFormat="1" ht="20.100000000000001" customHeight="1">
      <c r="A46" s="22"/>
      <c r="B46" s="22"/>
      <c r="C46" s="2125" t="s">
        <v>55</v>
      </c>
      <c r="D46" s="22"/>
      <c r="E46" s="22"/>
      <c r="F46" s="2334" t="s">
        <v>13</v>
      </c>
      <c r="G46" s="2334">
        <f>COLUMNS('3.11'!B:C)</f>
        <v>2</v>
      </c>
      <c r="H46" s="2334">
        <v>1994.01</v>
      </c>
      <c r="I46" s="104"/>
      <c r="J46" s="22"/>
      <c r="K46" s="22"/>
      <c r="L46" s="22"/>
      <c r="M46" s="22"/>
      <c r="N46" s="22"/>
      <c r="O46" s="22"/>
      <c r="P46" s="22"/>
      <c r="Q46" s="22"/>
      <c r="R46" s="22"/>
      <c r="S46" s="22"/>
      <c r="T46" s="22"/>
      <c r="U46" s="22"/>
      <c r="V46" s="22"/>
      <c r="W46" s="22"/>
      <c r="X46" s="22"/>
      <c r="Y46" s="22"/>
      <c r="Z46" s="22"/>
    </row>
    <row r="47" spans="1:26" s="2124" customFormat="1" ht="20.100000000000001" customHeight="1">
      <c r="C47" s="2124" t="s">
        <v>56</v>
      </c>
      <c r="F47" s="2723" t="s">
        <v>9</v>
      </c>
      <c r="G47" s="2723" t="s">
        <v>10</v>
      </c>
      <c r="H47" s="2723" t="s">
        <v>11</v>
      </c>
    </row>
    <row r="48" spans="1:26" s="212" customFormat="1" ht="20.100000000000001" customHeight="1">
      <c r="A48" s="22"/>
      <c r="B48" s="22"/>
      <c r="C48" s="2125" t="s">
        <v>57</v>
      </c>
      <c r="D48" s="22"/>
      <c r="E48" s="22"/>
      <c r="F48" s="2329" t="s">
        <v>21</v>
      </c>
      <c r="G48" s="2329">
        <f>COLUMNS('4.1'!B:P)</f>
        <v>15</v>
      </c>
      <c r="H48" s="2329" t="s">
        <v>58</v>
      </c>
      <c r="I48" s="22"/>
      <c r="J48" s="22"/>
      <c r="K48" s="22"/>
      <c r="L48" s="22"/>
      <c r="M48" s="22"/>
      <c r="N48" s="22"/>
      <c r="O48" s="22"/>
      <c r="P48" s="22"/>
      <c r="Q48" s="22"/>
      <c r="R48" s="22"/>
      <c r="S48" s="22"/>
      <c r="T48" s="22"/>
      <c r="U48" s="22"/>
      <c r="V48" s="22"/>
      <c r="W48" s="22"/>
      <c r="X48" s="22"/>
      <c r="Y48" s="22"/>
      <c r="Z48" s="22"/>
    </row>
    <row r="49" spans="1:26" s="212" customFormat="1" ht="20.100000000000001" customHeight="1">
      <c r="A49" s="22"/>
      <c r="B49" s="22"/>
      <c r="C49" s="2125" t="s">
        <v>59</v>
      </c>
      <c r="D49" s="22"/>
      <c r="E49" s="22"/>
      <c r="F49" s="2331" t="s">
        <v>13</v>
      </c>
      <c r="G49" s="2331">
        <f>COLUMNS('4.2'!B:F)</f>
        <v>5</v>
      </c>
      <c r="H49" s="2331">
        <v>1994.01</v>
      </c>
      <c r="I49" s="22"/>
      <c r="J49" s="22"/>
      <c r="K49" s="22"/>
      <c r="L49" s="22"/>
      <c r="M49" s="22"/>
      <c r="N49" s="22"/>
      <c r="O49" s="22"/>
      <c r="P49" s="22"/>
      <c r="Q49" s="22"/>
      <c r="R49" s="22"/>
      <c r="S49" s="22"/>
      <c r="T49" s="22"/>
      <c r="U49" s="22"/>
      <c r="V49" s="22"/>
      <c r="W49" s="22"/>
      <c r="X49" s="22"/>
      <c r="Y49" s="22"/>
      <c r="Z49" s="22"/>
    </row>
    <row r="50" spans="1:26" s="212" customFormat="1" ht="20.100000000000001" customHeight="1">
      <c r="A50" s="103"/>
      <c r="B50" s="22"/>
      <c r="C50" s="2125" t="s">
        <v>60</v>
      </c>
      <c r="D50" s="22"/>
      <c r="E50" s="22"/>
      <c r="F50" s="2331" t="s">
        <v>13</v>
      </c>
      <c r="G50" s="2331">
        <f>COLUMNS('4.3'!B:Y)</f>
        <v>24</v>
      </c>
      <c r="H50" s="2331">
        <v>1997.01</v>
      </c>
      <c r="I50" s="22"/>
      <c r="J50" s="22"/>
      <c r="K50" s="22"/>
      <c r="L50" s="22"/>
      <c r="M50" s="22"/>
      <c r="N50" s="22"/>
      <c r="O50" s="22"/>
      <c r="P50" s="22"/>
      <c r="Q50" s="22"/>
      <c r="R50" s="22"/>
      <c r="S50" s="22"/>
      <c r="T50" s="22"/>
      <c r="U50" s="22"/>
      <c r="V50" s="22"/>
      <c r="W50" s="22"/>
      <c r="X50" s="22"/>
      <c r="Y50" s="22"/>
      <c r="Z50" s="22"/>
    </row>
    <row r="51" spans="1:26" s="212" customFormat="1" ht="20.100000000000001" customHeight="1">
      <c r="A51" s="22"/>
      <c r="B51" s="22"/>
      <c r="C51" s="2125" t="s">
        <v>61</v>
      </c>
      <c r="D51" s="22"/>
      <c r="E51" s="22"/>
      <c r="F51" s="2331" t="s">
        <v>13</v>
      </c>
      <c r="G51" s="2331">
        <f>COLUMNS('4.4'!B:H)</f>
        <v>7</v>
      </c>
      <c r="H51" s="2331">
        <v>1998.07</v>
      </c>
      <c r="I51" s="22"/>
      <c r="J51" s="22"/>
      <c r="K51" s="22"/>
      <c r="L51" s="22"/>
      <c r="M51" s="22"/>
      <c r="N51" s="22"/>
      <c r="O51" s="22"/>
      <c r="P51" s="22"/>
      <c r="Q51" s="22"/>
      <c r="R51" s="22"/>
      <c r="S51" s="22"/>
      <c r="T51" s="22"/>
      <c r="U51" s="22"/>
      <c r="V51" s="22"/>
      <c r="W51" s="22"/>
      <c r="X51" s="22"/>
      <c r="Y51" s="22"/>
      <c r="Z51" s="22"/>
    </row>
    <row r="52" spans="1:26" s="212" customFormat="1" ht="20.100000000000001" customHeight="1">
      <c r="A52" s="22"/>
      <c r="B52" s="22"/>
      <c r="C52" s="2125" t="s">
        <v>62</v>
      </c>
      <c r="D52" s="22"/>
      <c r="E52" s="22"/>
      <c r="F52" s="2331" t="s">
        <v>13</v>
      </c>
      <c r="G52" s="2331">
        <f>COLUMNS('4.5'!B:J)</f>
        <v>9</v>
      </c>
      <c r="H52" s="2331">
        <v>2007.01</v>
      </c>
      <c r="I52" s="22"/>
      <c r="J52" s="22"/>
      <c r="K52" s="22"/>
      <c r="L52" s="22"/>
      <c r="M52" s="22"/>
      <c r="N52" s="22"/>
      <c r="O52" s="22"/>
      <c r="P52" s="22"/>
      <c r="Q52" s="22"/>
      <c r="R52" s="22"/>
      <c r="S52" s="22"/>
      <c r="T52" s="22"/>
      <c r="U52" s="22"/>
      <c r="V52" s="22"/>
      <c r="W52" s="22"/>
      <c r="X52" s="22"/>
      <c r="Y52" s="22"/>
      <c r="Z52" s="22"/>
    </row>
    <row r="53" spans="1:26" s="212" customFormat="1" ht="20.100000000000001" customHeight="1">
      <c r="A53" s="22"/>
      <c r="B53" s="22"/>
      <c r="C53" s="2125" t="s">
        <v>63</v>
      </c>
      <c r="D53" s="22"/>
      <c r="E53" s="22"/>
      <c r="F53" s="2331" t="s">
        <v>13</v>
      </c>
      <c r="G53" s="2331">
        <f>COLUMNS('4.6'!B:D)</f>
        <v>3</v>
      </c>
      <c r="H53" s="2331">
        <v>2004.01</v>
      </c>
      <c r="I53" s="1193"/>
      <c r="J53" s="22"/>
      <c r="K53" s="22"/>
      <c r="L53" s="22"/>
      <c r="M53" s="22"/>
      <c r="N53" s="22"/>
      <c r="O53" s="22"/>
      <c r="P53" s="22"/>
      <c r="Q53" s="22"/>
      <c r="R53" s="22"/>
      <c r="S53" s="22"/>
      <c r="T53" s="22"/>
      <c r="U53" s="22"/>
      <c r="V53" s="22"/>
      <c r="W53" s="22"/>
      <c r="X53" s="22"/>
      <c r="Y53" s="22"/>
      <c r="Z53" s="22"/>
    </row>
    <row r="54" spans="1:26" s="212" customFormat="1" ht="20.100000000000001" customHeight="1">
      <c r="A54" s="22"/>
      <c r="B54" s="22"/>
      <c r="C54" s="2125" t="s">
        <v>64</v>
      </c>
      <c r="D54" s="22"/>
      <c r="E54" s="22"/>
      <c r="F54" s="2334" t="s">
        <v>21</v>
      </c>
      <c r="G54" s="2334">
        <f>COLUMNS('4.7'!B:Q)</f>
        <v>16</v>
      </c>
      <c r="H54" s="2334" t="s">
        <v>65</v>
      </c>
      <c r="I54" s="22"/>
      <c r="J54" s="22"/>
      <c r="K54" s="22"/>
      <c r="L54" s="22"/>
      <c r="M54" s="22"/>
      <c r="N54" s="22"/>
      <c r="O54" s="22"/>
      <c r="P54" s="22"/>
      <c r="Q54" s="22"/>
      <c r="R54" s="22"/>
      <c r="S54" s="22"/>
      <c r="T54" s="22"/>
      <c r="U54" s="22"/>
      <c r="V54" s="22"/>
      <c r="W54" s="22"/>
      <c r="X54" s="22"/>
      <c r="Y54" s="22"/>
      <c r="Z54" s="22"/>
    </row>
    <row r="55" spans="1:26" s="2124" customFormat="1" ht="20.100000000000001" customHeight="1">
      <c r="C55" s="2124" t="s">
        <v>66</v>
      </c>
      <c r="F55" s="2723" t="s">
        <v>9</v>
      </c>
      <c r="G55" s="2723" t="s">
        <v>10</v>
      </c>
      <c r="H55" s="2723" t="s">
        <v>11</v>
      </c>
    </row>
    <row r="56" spans="1:26" s="212" customFormat="1" ht="18.75" customHeight="1">
      <c r="A56" s="22"/>
      <c r="B56" s="22"/>
      <c r="C56" s="2125" t="s">
        <v>67</v>
      </c>
      <c r="D56" s="22"/>
      <c r="E56" s="22"/>
      <c r="F56" s="2329" t="s">
        <v>13</v>
      </c>
      <c r="G56" s="2329">
        <f>COLUMNS('5.1'!B:N)</f>
        <v>13</v>
      </c>
      <c r="H56" s="2329">
        <v>1993.01</v>
      </c>
      <c r="I56" s="22"/>
      <c r="J56" s="22"/>
      <c r="K56" s="22"/>
      <c r="L56" s="22"/>
      <c r="M56" s="22"/>
      <c r="N56" s="22"/>
      <c r="O56" s="22"/>
      <c r="P56" s="22"/>
      <c r="Q56" s="22"/>
      <c r="R56" s="22"/>
      <c r="S56" s="22"/>
      <c r="T56" s="22"/>
      <c r="U56" s="22"/>
      <c r="V56" s="22"/>
      <c r="W56" s="22"/>
      <c r="X56" s="22"/>
      <c r="Y56" s="22"/>
      <c r="Z56" s="22"/>
    </row>
    <row r="57" spans="1:26" s="212" customFormat="1" ht="18.75" customHeight="1">
      <c r="A57" s="22"/>
      <c r="B57" s="22"/>
      <c r="C57" s="137" t="s">
        <v>68</v>
      </c>
      <c r="D57" s="138"/>
      <c r="E57" s="138"/>
      <c r="F57" s="2337" t="s">
        <v>13</v>
      </c>
      <c r="G57" s="2337"/>
      <c r="H57" s="2337">
        <v>1994.01</v>
      </c>
      <c r="I57" s="1193" t="s">
        <v>69</v>
      </c>
      <c r="J57" s="3518"/>
      <c r="K57" s="22"/>
      <c r="L57" s="22"/>
      <c r="M57" s="22"/>
      <c r="N57" s="22"/>
      <c r="O57" s="22"/>
      <c r="P57" s="22"/>
      <c r="Q57" s="22"/>
      <c r="R57" s="22"/>
      <c r="S57" s="22"/>
      <c r="T57" s="22"/>
      <c r="U57" s="22"/>
      <c r="V57" s="22"/>
      <c r="W57" s="22"/>
      <c r="X57" s="22"/>
      <c r="Y57" s="22"/>
      <c r="Z57" s="22"/>
    </row>
    <row r="58" spans="1:26" s="212" customFormat="1" ht="18.75" customHeight="1">
      <c r="A58" s="22"/>
      <c r="B58" s="22"/>
      <c r="C58" s="2125" t="s">
        <v>70</v>
      </c>
      <c r="D58" s="138"/>
      <c r="E58" s="138"/>
      <c r="F58" s="2331" t="s">
        <v>13</v>
      </c>
      <c r="G58" s="2331">
        <f>COLUMNS('5.3'!B:H)</f>
        <v>7</v>
      </c>
      <c r="H58" s="2331">
        <v>2012.01</v>
      </c>
      <c r="I58" s="1193"/>
      <c r="J58" s="1193"/>
      <c r="K58" s="22"/>
      <c r="L58" s="22"/>
      <c r="M58" s="22"/>
      <c r="N58" s="22"/>
      <c r="O58" s="22"/>
      <c r="P58" s="22"/>
      <c r="Q58" s="22"/>
      <c r="R58" s="22"/>
      <c r="S58" s="22"/>
      <c r="T58" s="22"/>
      <c r="U58" s="22"/>
      <c r="V58" s="22"/>
      <c r="W58" s="22"/>
      <c r="X58" s="22"/>
      <c r="Y58" s="22"/>
      <c r="Z58" s="22"/>
    </row>
    <row r="59" spans="1:26" s="212" customFormat="1" ht="18.75" customHeight="1">
      <c r="A59" s="22"/>
      <c r="B59" s="22"/>
      <c r="C59" s="2125" t="s">
        <v>71</v>
      </c>
      <c r="D59" s="22"/>
      <c r="E59" s="22"/>
      <c r="F59" s="2334" t="s">
        <v>13</v>
      </c>
      <c r="G59" s="2334">
        <f>COLUMNS('5.4'!B:V)</f>
        <v>21</v>
      </c>
      <c r="H59" s="2334">
        <v>1994.01</v>
      </c>
      <c r="I59" s="22"/>
      <c r="J59" s="22"/>
      <c r="K59" s="22"/>
      <c r="L59" s="22"/>
      <c r="M59" s="22"/>
      <c r="N59" s="22"/>
      <c r="O59" s="22"/>
      <c r="P59" s="22"/>
      <c r="Q59" s="22"/>
      <c r="R59" s="22"/>
      <c r="S59" s="22"/>
      <c r="T59" s="22"/>
      <c r="U59" s="22"/>
      <c r="V59" s="22"/>
      <c r="W59" s="22"/>
      <c r="X59" s="22"/>
      <c r="Y59" s="22"/>
      <c r="Z59" s="22"/>
    </row>
    <row r="60" spans="1:26" s="2124" customFormat="1" ht="20.100000000000001" customHeight="1">
      <c r="C60" s="2124" t="s">
        <v>72</v>
      </c>
      <c r="F60" s="2723" t="s">
        <v>9</v>
      </c>
      <c r="G60" s="2723" t="s">
        <v>10</v>
      </c>
      <c r="H60" s="2723" t="s">
        <v>11</v>
      </c>
    </row>
    <row r="61" spans="1:26" s="212" customFormat="1" ht="20.100000000000001" customHeight="1">
      <c r="A61" s="22"/>
      <c r="B61" s="22"/>
      <c r="C61" s="2125" t="s">
        <v>73</v>
      </c>
      <c r="D61" s="22"/>
      <c r="E61" s="22"/>
      <c r="F61" s="2329" t="s">
        <v>13</v>
      </c>
      <c r="G61" s="2329">
        <f>COLUMNS('6.1'!B:AC)</f>
        <v>28</v>
      </c>
      <c r="H61" s="2329">
        <v>1993.01</v>
      </c>
      <c r="I61" s="104"/>
      <c r="J61" s="22"/>
      <c r="K61" s="22"/>
      <c r="L61" s="22"/>
      <c r="M61" s="22"/>
      <c r="N61" s="22"/>
      <c r="O61" s="22"/>
      <c r="P61" s="22"/>
      <c r="Q61" s="22"/>
      <c r="R61" s="22"/>
      <c r="S61" s="22"/>
      <c r="T61" s="22"/>
      <c r="U61" s="22"/>
      <c r="V61" s="22"/>
      <c r="W61" s="22"/>
      <c r="X61" s="22"/>
      <c r="Y61" s="22"/>
      <c r="Z61" s="22"/>
    </row>
    <row r="62" spans="1:26" s="212" customFormat="1" ht="20.100000000000001" customHeight="1">
      <c r="A62" s="22"/>
      <c r="B62" s="22"/>
      <c r="C62" s="2125" t="s">
        <v>2055</v>
      </c>
      <c r="D62" s="22"/>
      <c r="E62" s="22"/>
      <c r="F62" s="2331" t="s">
        <v>13</v>
      </c>
      <c r="G62" s="2331">
        <v>3</v>
      </c>
      <c r="H62" s="2331">
        <v>1990.01</v>
      </c>
      <c r="I62" s="22"/>
      <c r="J62" s="22"/>
      <c r="K62" s="22"/>
      <c r="L62" s="22"/>
      <c r="M62" s="22"/>
      <c r="N62" s="22"/>
      <c r="O62" s="22"/>
      <c r="P62" s="22"/>
      <c r="Q62" s="22"/>
      <c r="R62" s="22"/>
      <c r="S62" s="22"/>
      <c r="T62" s="22"/>
      <c r="U62" s="22"/>
      <c r="V62" s="22"/>
      <c r="W62" s="22"/>
      <c r="X62" s="22"/>
      <c r="Y62" s="22"/>
      <c r="Z62" s="22"/>
    </row>
    <row r="63" spans="1:26" s="212" customFormat="1" ht="20.100000000000001" customHeight="1">
      <c r="A63" s="22"/>
      <c r="B63" s="22"/>
      <c r="C63" s="2125" t="s">
        <v>2094</v>
      </c>
      <c r="D63" s="22"/>
      <c r="E63" s="22"/>
      <c r="F63" s="3760" t="s">
        <v>21</v>
      </c>
      <c r="G63" s="3760">
        <f>COLUMNS('6.2.a'!B:I)</f>
        <v>8</v>
      </c>
      <c r="H63" s="3760" t="s">
        <v>74</v>
      </c>
      <c r="I63" s="22"/>
      <c r="J63" s="22"/>
      <c r="K63" s="22"/>
      <c r="L63" s="22"/>
      <c r="M63" s="22"/>
      <c r="N63" s="22"/>
      <c r="O63" s="22"/>
      <c r="P63" s="22"/>
      <c r="Q63" s="22"/>
      <c r="R63" s="22"/>
      <c r="S63" s="22"/>
      <c r="T63" s="22"/>
      <c r="U63" s="22"/>
      <c r="V63" s="22"/>
      <c r="W63" s="22"/>
      <c r="X63" s="22"/>
      <c r="Y63" s="22"/>
      <c r="Z63" s="22"/>
    </row>
    <row r="64" spans="1:26" s="212" customFormat="1" ht="20.100000000000001" customHeight="1">
      <c r="A64" s="22"/>
      <c r="B64" s="22"/>
      <c r="C64" s="2125" t="s">
        <v>2056</v>
      </c>
      <c r="D64" s="22"/>
      <c r="E64" s="22"/>
      <c r="F64" s="3760" t="s">
        <v>21</v>
      </c>
      <c r="G64" s="3760">
        <f>COLUMNS('6.3'!B:D)</f>
        <v>3</v>
      </c>
      <c r="H64" s="3760" t="s">
        <v>28</v>
      </c>
      <c r="I64" s="22"/>
      <c r="J64" s="22"/>
      <c r="K64" s="22"/>
      <c r="L64" s="22"/>
      <c r="M64" s="22"/>
      <c r="N64" s="22"/>
      <c r="O64" s="22"/>
      <c r="P64" s="22"/>
      <c r="Q64" s="22"/>
      <c r="R64" s="22"/>
      <c r="S64" s="22"/>
      <c r="T64" s="22"/>
      <c r="U64" s="22"/>
      <c r="V64" s="22"/>
      <c r="W64" s="22"/>
      <c r="X64" s="22"/>
      <c r="Y64" s="22"/>
      <c r="Z64" s="22"/>
    </row>
    <row r="65" spans="1:26" s="212" customFormat="1" ht="20.100000000000001" customHeight="1">
      <c r="A65" s="22"/>
      <c r="B65" s="22"/>
      <c r="C65" s="2125" t="s">
        <v>2051</v>
      </c>
      <c r="D65" s="22"/>
      <c r="E65" s="22"/>
      <c r="F65" s="2331" t="s">
        <v>19</v>
      </c>
      <c r="G65" s="2331">
        <f>COLUMNS('6.4'!B:W)</f>
        <v>22</v>
      </c>
      <c r="H65" s="2331">
        <v>1980</v>
      </c>
      <c r="I65" s="22"/>
      <c r="J65" s="22"/>
      <c r="K65" s="22"/>
      <c r="L65" s="22"/>
      <c r="M65" s="22"/>
      <c r="N65" s="22"/>
      <c r="O65" s="22"/>
      <c r="P65" s="22"/>
      <c r="Q65" s="22"/>
      <c r="R65" s="22"/>
      <c r="S65" s="22"/>
      <c r="T65" s="22"/>
      <c r="U65" s="22"/>
      <c r="V65" s="22"/>
      <c r="W65" s="22"/>
      <c r="X65" s="22"/>
      <c r="Y65" s="22"/>
      <c r="Z65" s="22"/>
    </row>
    <row r="66" spans="1:26" s="212" customFormat="1" ht="20.100000000000001" customHeight="1">
      <c r="A66" s="22"/>
      <c r="B66" s="22"/>
      <c r="C66" s="2125" t="s">
        <v>2052</v>
      </c>
      <c r="D66" s="22"/>
      <c r="E66" s="22"/>
      <c r="F66" s="2331" t="s">
        <v>13</v>
      </c>
      <c r="G66" s="2331">
        <f>COLUMNS('6.5'!H:K)</f>
        <v>4</v>
      </c>
      <c r="H66" s="2331">
        <v>2002</v>
      </c>
      <c r="I66" s="22"/>
      <c r="J66" s="22"/>
      <c r="K66" s="22"/>
      <c r="L66" s="22"/>
      <c r="M66" s="22"/>
      <c r="N66" s="22"/>
      <c r="O66" s="22"/>
      <c r="P66" s="22"/>
      <c r="Q66" s="22"/>
      <c r="R66" s="22"/>
      <c r="S66" s="22"/>
      <c r="T66" s="22"/>
      <c r="U66" s="22"/>
      <c r="V66" s="22"/>
      <c r="W66" s="22"/>
      <c r="X66" s="22"/>
      <c r="Y66" s="22"/>
      <c r="Z66" s="22"/>
    </row>
    <row r="67" spans="1:26" s="212" customFormat="1" ht="20.100000000000001" customHeight="1">
      <c r="A67" s="22"/>
      <c r="B67" s="22"/>
      <c r="C67" s="2125" t="s">
        <v>2053</v>
      </c>
      <c r="D67" s="22"/>
      <c r="E67" s="22"/>
      <c r="F67" s="2331" t="s">
        <v>13</v>
      </c>
      <c r="G67" s="2331">
        <f>COLUMNS('6.6'!B:F)</f>
        <v>5</v>
      </c>
      <c r="H67" s="2331">
        <v>1991.01</v>
      </c>
      <c r="I67" s="22"/>
      <c r="J67" s="22"/>
      <c r="K67" s="22"/>
      <c r="L67" s="22"/>
      <c r="M67" s="22"/>
      <c r="N67" s="22"/>
      <c r="O67" s="22"/>
      <c r="P67" s="22"/>
      <c r="Q67" s="22"/>
      <c r="R67" s="22"/>
      <c r="S67" s="22"/>
      <c r="T67" s="22"/>
      <c r="U67" s="22"/>
      <c r="V67" s="22"/>
      <c r="W67" s="22"/>
      <c r="X67" s="22"/>
      <c r="Y67" s="22"/>
      <c r="Z67" s="22"/>
    </row>
    <row r="68" spans="1:26" s="212" customFormat="1" ht="20.100000000000001" customHeight="1">
      <c r="A68" s="22"/>
      <c r="B68" s="22"/>
      <c r="C68" s="2125" t="s">
        <v>2054</v>
      </c>
      <c r="D68" s="22"/>
      <c r="E68" s="22"/>
      <c r="F68" s="2334" t="s">
        <v>13</v>
      </c>
      <c r="G68" s="2331">
        <f>COLUMNS('6.7'!B:B)</f>
        <v>1</v>
      </c>
      <c r="H68" s="2331">
        <v>1990.01</v>
      </c>
      <c r="I68" s="22"/>
      <c r="J68" s="22"/>
      <c r="K68" s="22"/>
      <c r="L68" s="22"/>
      <c r="M68" s="22"/>
      <c r="N68" s="22"/>
      <c r="O68" s="22"/>
      <c r="P68" s="22"/>
      <c r="Q68" s="22"/>
      <c r="R68" s="22"/>
      <c r="S68" s="22"/>
      <c r="T68" s="22"/>
      <c r="U68" s="22"/>
      <c r="V68" s="22"/>
      <c r="W68" s="22"/>
      <c r="X68" s="22"/>
      <c r="Y68" s="22"/>
      <c r="Z68" s="22"/>
    </row>
    <row r="69" spans="1:26" s="2124" customFormat="1" ht="20.100000000000001" customHeight="1">
      <c r="C69" s="2124" t="s">
        <v>75</v>
      </c>
      <c r="F69" s="2723" t="s">
        <v>9</v>
      </c>
      <c r="G69" s="2723" t="s">
        <v>10</v>
      </c>
      <c r="H69" s="2723" t="s">
        <v>11</v>
      </c>
    </row>
    <row r="70" spans="1:26" s="212" customFormat="1" ht="20.100000000000001" customHeight="1">
      <c r="A70" s="22"/>
      <c r="B70" s="22"/>
      <c r="C70" s="2125" t="s">
        <v>76</v>
      </c>
      <c r="D70" s="22"/>
      <c r="E70" s="22"/>
      <c r="F70" s="2329" t="s">
        <v>13</v>
      </c>
      <c r="G70" s="2329">
        <f>COLUMNS('7.1'!B:H)</f>
        <v>7</v>
      </c>
      <c r="H70" s="2329">
        <v>1994.01</v>
      </c>
      <c r="I70" s="22"/>
      <c r="J70" s="22"/>
      <c r="K70" s="22"/>
      <c r="L70" s="22"/>
      <c r="M70" s="22"/>
      <c r="N70" s="22"/>
      <c r="O70" s="22"/>
      <c r="P70" s="22"/>
      <c r="Q70" s="22"/>
      <c r="R70" s="22"/>
      <c r="S70" s="22"/>
      <c r="T70" s="22"/>
      <c r="U70" s="22"/>
      <c r="V70" s="22"/>
      <c r="W70" s="22"/>
      <c r="X70" s="22"/>
      <c r="Y70" s="22"/>
      <c r="Z70" s="22"/>
    </row>
    <row r="71" spans="1:26" s="212" customFormat="1" ht="20.100000000000001" customHeight="1">
      <c r="A71" s="22"/>
      <c r="B71" s="22"/>
      <c r="C71" s="2125" t="s">
        <v>77</v>
      </c>
      <c r="D71" s="22"/>
      <c r="E71" s="22"/>
      <c r="F71" s="2331" t="s">
        <v>13</v>
      </c>
      <c r="G71" s="2331">
        <f>COLUMNS('7.2'!B:B)</f>
        <v>1</v>
      </c>
      <c r="H71" s="2331">
        <v>1992.01</v>
      </c>
      <c r="I71" s="22"/>
      <c r="J71" s="22"/>
      <c r="K71" s="22"/>
      <c r="L71" s="22"/>
      <c r="M71" s="22"/>
      <c r="N71" s="22"/>
      <c r="O71" s="22"/>
      <c r="P71" s="22"/>
      <c r="Q71" s="22"/>
      <c r="R71" s="22"/>
      <c r="S71" s="22"/>
      <c r="T71" s="22"/>
      <c r="U71" s="22"/>
      <c r="V71" s="22"/>
      <c r="W71" s="22"/>
      <c r="X71" s="22"/>
      <c r="Y71" s="22"/>
      <c r="Z71" s="22"/>
    </row>
    <row r="72" spans="1:26" s="212" customFormat="1" ht="20.100000000000001" customHeight="1">
      <c r="A72" s="22"/>
      <c r="B72" s="22"/>
      <c r="C72" s="2125" t="s">
        <v>2113</v>
      </c>
      <c r="D72" s="22"/>
      <c r="E72" s="22"/>
      <c r="F72" s="2331" t="s">
        <v>13</v>
      </c>
      <c r="G72" s="2331">
        <f>COLUMNS('7.3'!B:I)</f>
        <v>8</v>
      </c>
      <c r="H72" s="2331">
        <v>1992.01</v>
      </c>
      <c r="I72" s="22"/>
      <c r="J72" s="22"/>
      <c r="K72" s="22"/>
      <c r="L72" s="22"/>
      <c r="M72" s="22"/>
      <c r="N72" s="22"/>
      <c r="O72" s="22"/>
      <c r="P72" s="22"/>
      <c r="Q72" s="22"/>
      <c r="R72" s="22"/>
      <c r="S72" s="22"/>
      <c r="T72" s="22"/>
      <c r="U72" s="22"/>
      <c r="V72" s="22"/>
      <c r="W72" s="22"/>
      <c r="X72" s="22"/>
      <c r="Y72" s="22"/>
      <c r="Z72" s="22"/>
    </row>
    <row r="73" spans="1:26" s="212" customFormat="1" ht="20.100000000000001" customHeight="1">
      <c r="A73" s="22"/>
      <c r="B73" s="22"/>
      <c r="C73" s="2125" t="s">
        <v>78</v>
      </c>
      <c r="D73" s="22"/>
      <c r="E73" s="22"/>
      <c r="F73" s="2334" t="s">
        <v>13</v>
      </c>
      <c r="G73" s="2334">
        <f>COLUMNS('7.4'!B:C)</f>
        <v>2</v>
      </c>
      <c r="H73" s="2334">
        <v>1994.01</v>
      </c>
      <c r="I73" s="22"/>
      <c r="J73" s="22"/>
      <c r="K73" s="22"/>
      <c r="L73" s="22"/>
      <c r="M73" s="22"/>
      <c r="N73" s="22"/>
      <c r="O73" s="22"/>
      <c r="P73" s="22"/>
      <c r="Q73" s="22"/>
      <c r="R73" s="22"/>
      <c r="S73" s="22"/>
      <c r="T73" s="22"/>
      <c r="U73" s="22"/>
      <c r="V73" s="22"/>
      <c r="W73" s="22"/>
      <c r="X73" s="22"/>
      <c r="Y73" s="22"/>
      <c r="Z73" s="22"/>
    </row>
    <row r="74" spans="1:26" s="2124" customFormat="1" ht="18.75" customHeight="1">
      <c r="C74" s="2124" t="s">
        <v>79</v>
      </c>
      <c r="F74" s="2723" t="s">
        <v>9</v>
      </c>
      <c r="G74" s="2723" t="s">
        <v>10</v>
      </c>
      <c r="H74" s="2723" t="s">
        <v>11</v>
      </c>
    </row>
    <row r="75" spans="1:26" s="212" customFormat="1" ht="20.100000000000001" customHeight="1">
      <c r="A75" s="22"/>
      <c r="B75" s="22"/>
      <c r="C75" s="2125" t="s">
        <v>80</v>
      </c>
      <c r="D75" s="154"/>
      <c r="E75" s="154"/>
      <c r="F75" s="2329" t="s">
        <v>13</v>
      </c>
      <c r="G75" s="2329">
        <f>COLUMNS('8.1'!B:L)</f>
        <v>11</v>
      </c>
      <c r="H75" s="2329">
        <v>1991.01</v>
      </c>
      <c r="I75" s="22"/>
      <c r="J75" s="22"/>
      <c r="K75" s="22"/>
      <c r="L75" s="22"/>
      <c r="M75" s="22"/>
      <c r="N75" s="22"/>
      <c r="O75" s="22"/>
      <c r="P75" s="22"/>
      <c r="Q75" s="22"/>
      <c r="R75" s="22"/>
      <c r="S75" s="22"/>
      <c r="T75" s="22"/>
      <c r="U75" s="22"/>
      <c r="V75" s="22"/>
      <c r="W75" s="22"/>
      <c r="X75" s="22"/>
      <c r="Y75" s="22"/>
      <c r="Z75" s="22"/>
    </row>
    <row r="76" spans="1:26" s="212" customFormat="1" ht="20.100000000000001" customHeight="1">
      <c r="A76" s="22"/>
      <c r="B76" s="22"/>
      <c r="C76" s="2125" t="s">
        <v>81</v>
      </c>
      <c r="D76" s="154"/>
      <c r="E76" s="154"/>
      <c r="F76" s="2331" t="s">
        <v>13</v>
      </c>
      <c r="G76" s="2331">
        <f>COLUMNS('8.2'!B:O)</f>
        <v>14</v>
      </c>
      <c r="H76" s="2331">
        <v>2012.07</v>
      </c>
      <c r="I76" s="22"/>
      <c r="J76" s="22"/>
      <c r="K76" s="22"/>
      <c r="L76" s="22"/>
      <c r="M76" s="22"/>
      <c r="N76" s="22"/>
      <c r="O76" s="22"/>
      <c r="P76" s="22"/>
      <c r="Q76" s="22"/>
      <c r="R76" s="22"/>
      <c r="S76" s="22"/>
      <c r="T76" s="22"/>
      <c r="U76" s="22"/>
      <c r="V76" s="22"/>
      <c r="W76" s="22"/>
      <c r="X76" s="22"/>
      <c r="Y76" s="22"/>
      <c r="Z76" s="22"/>
    </row>
    <row r="77" spans="1:26" s="212" customFormat="1" ht="20.100000000000001" customHeight="1">
      <c r="A77" s="22"/>
      <c r="B77" s="22"/>
      <c r="C77" s="2125" t="s">
        <v>82</v>
      </c>
      <c r="D77" s="213"/>
      <c r="E77" s="213"/>
      <c r="F77" s="2331" t="s">
        <v>13</v>
      </c>
      <c r="G77" s="2331">
        <f>COLUMNS('8.3'!B:Y)</f>
        <v>24</v>
      </c>
      <c r="H77" s="2331">
        <v>2017.01</v>
      </c>
      <c r="I77" s="22"/>
      <c r="J77" s="22"/>
      <c r="K77" s="22"/>
      <c r="L77" s="22"/>
      <c r="M77" s="22"/>
      <c r="N77" s="22"/>
      <c r="O77" s="22"/>
      <c r="P77" s="22"/>
      <c r="Q77" s="22"/>
      <c r="R77" s="22"/>
      <c r="S77" s="22"/>
      <c r="T77" s="22"/>
      <c r="U77" s="22"/>
      <c r="V77" s="22"/>
      <c r="W77" s="22"/>
      <c r="X77" s="22"/>
      <c r="Y77" s="22"/>
      <c r="Z77" s="22"/>
    </row>
    <row r="78" spans="1:26" s="212" customFormat="1" ht="20.100000000000001" customHeight="1">
      <c r="A78" s="22"/>
      <c r="B78" s="22"/>
      <c r="C78" s="2125" t="s">
        <v>83</v>
      </c>
      <c r="D78" s="22"/>
      <c r="E78" s="22"/>
      <c r="F78" s="2331" t="s">
        <v>13</v>
      </c>
      <c r="G78" s="2331">
        <f>COLUMNS('8.4'!B:E)</f>
        <v>4</v>
      </c>
      <c r="H78" s="2331">
        <v>1969.01</v>
      </c>
      <c r="I78" s="22"/>
      <c r="J78" s="22"/>
      <c r="K78" s="22"/>
      <c r="L78" s="22"/>
      <c r="M78" s="22"/>
      <c r="N78" s="22"/>
      <c r="O78" s="22"/>
      <c r="P78" s="22"/>
      <c r="Q78" s="22"/>
      <c r="R78" s="22"/>
      <c r="S78" s="22"/>
      <c r="T78" s="22"/>
      <c r="U78" s="22"/>
      <c r="V78" s="22"/>
      <c r="W78" s="22"/>
      <c r="X78" s="22"/>
      <c r="Y78" s="22"/>
      <c r="Z78" s="22"/>
    </row>
    <row r="79" spans="1:26" s="212" customFormat="1" ht="20.100000000000001" customHeight="1">
      <c r="A79" s="22"/>
      <c r="B79" s="22"/>
      <c r="C79" s="2125" t="s">
        <v>84</v>
      </c>
      <c r="D79" s="22"/>
      <c r="E79" s="22"/>
      <c r="F79" s="2331" t="s">
        <v>13</v>
      </c>
      <c r="G79" s="2331">
        <f>COLUMNS('8.5'!B:E)</f>
        <v>4</v>
      </c>
      <c r="H79" s="2331">
        <v>1996.01</v>
      </c>
      <c r="I79" s="22"/>
      <c r="J79" s="22"/>
      <c r="K79" s="22"/>
      <c r="L79" s="22"/>
      <c r="M79" s="22"/>
      <c r="N79" s="22"/>
      <c r="O79" s="22"/>
      <c r="P79" s="22"/>
      <c r="Q79" s="22"/>
      <c r="R79" s="22"/>
      <c r="S79" s="22"/>
      <c r="T79" s="22"/>
      <c r="U79" s="22"/>
      <c r="V79" s="22"/>
      <c r="W79" s="22"/>
      <c r="X79" s="22"/>
      <c r="Y79" s="22"/>
      <c r="Z79" s="22"/>
    </row>
    <row r="80" spans="1:26" s="212" customFormat="1" ht="20.100000000000001" customHeight="1">
      <c r="A80" s="22"/>
      <c r="B80" s="22"/>
      <c r="C80" s="2125" t="s">
        <v>85</v>
      </c>
      <c r="D80" s="22"/>
      <c r="E80" s="22"/>
      <c r="F80" s="2331" t="s">
        <v>13</v>
      </c>
      <c r="G80" s="2331">
        <f>COLUMNS('8.6'!B:N)</f>
        <v>13</v>
      </c>
      <c r="H80" s="2331">
        <v>2016.01</v>
      </c>
      <c r="I80" s="22"/>
      <c r="J80" s="22"/>
      <c r="K80" s="22"/>
      <c r="L80" s="22"/>
      <c r="M80" s="22"/>
      <c r="N80" s="22"/>
      <c r="O80" s="22"/>
      <c r="P80" s="22"/>
      <c r="Q80" s="22"/>
      <c r="R80" s="22"/>
      <c r="S80" s="22"/>
      <c r="T80" s="22"/>
      <c r="U80" s="22"/>
      <c r="V80" s="22"/>
      <c r="W80" s="22"/>
      <c r="X80" s="22"/>
      <c r="Y80" s="22"/>
      <c r="Z80" s="22"/>
    </row>
    <row r="81" spans="1:26" s="212" customFormat="1" ht="20.100000000000001" customHeight="1">
      <c r="A81" s="22"/>
      <c r="B81" s="22"/>
      <c r="C81" s="2125" t="s">
        <v>86</v>
      </c>
      <c r="D81" s="22"/>
      <c r="E81" s="22"/>
      <c r="F81" s="2331" t="s">
        <v>13</v>
      </c>
      <c r="G81" s="2331">
        <f>COLUMNS('8.7'!B:B)</f>
        <v>1</v>
      </c>
      <c r="H81" s="2331">
        <v>1996.01</v>
      </c>
      <c r="I81" s="22"/>
      <c r="J81" s="22"/>
      <c r="K81" s="22"/>
      <c r="L81" s="22"/>
      <c r="M81" s="22"/>
      <c r="N81" s="22"/>
      <c r="O81" s="22"/>
      <c r="P81" s="22"/>
      <c r="Q81" s="22"/>
      <c r="R81" s="22"/>
      <c r="S81" s="22"/>
      <c r="T81" s="22"/>
      <c r="U81" s="22"/>
      <c r="V81" s="22"/>
      <c r="W81" s="22"/>
      <c r="X81" s="22"/>
      <c r="Y81" s="22"/>
      <c r="Z81" s="22"/>
    </row>
    <row r="82" spans="1:26" s="212" customFormat="1" ht="20.100000000000001" customHeight="1">
      <c r="A82" s="22"/>
      <c r="B82" s="22"/>
      <c r="C82" s="2125" t="s">
        <v>87</v>
      </c>
      <c r="D82" s="22"/>
      <c r="E82" s="22"/>
      <c r="F82" s="2331" t="s">
        <v>13</v>
      </c>
      <c r="G82" s="2327">
        <f>COLUMNS('8.8'!B:K)</f>
        <v>10</v>
      </c>
      <c r="H82" s="2331">
        <v>1990.01</v>
      </c>
      <c r="I82" s="22"/>
      <c r="J82" s="22"/>
      <c r="K82" s="22"/>
      <c r="L82" s="22"/>
      <c r="M82" s="22"/>
      <c r="N82" s="22"/>
      <c r="O82" s="22"/>
      <c r="P82" s="22"/>
      <c r="Q82" s="22"/>
      <c r="R82" s="22"/>
      <c r="S82" s="22"/>
      <c r="T82" s="22"/>
      <c r="U82" s="22"/>
      <c r="V82" s="22"/>
      <c r="W82" s="22"/>
      <c r="X82" s="22"/>
      <c r="Y82" s="22"/>
      <c r="Z82" s="22"/>
    </row>
    <row r="83" spans="1:26" s="212" customFormat="1" ht="20.100000000000001" customHeight="1">
      <c r="A83" s="22"/>
      <c r="B83" s="22"/>
      <c r="C83" s="2125" t="s">
        <v>88</v>
      </c>
      <c r="D83" s="22"/>
      <c r="E83" s="22"/>
      <c r="F83" s="2331" t="s">
        <v>13</v>
      </c>
      <c r="G83" s="2327">
        <f>COLUMNS('8.9'!B:R)</f>
        <v>17</v>
      </c>
      <c r="H83" s="2331">
        <v>1973.01</v>
      </c>
      <c r="I83" s="22"/>
      <c r="J83" s="22"/>
      <c r="K83" s="22"/>
      <c r="L83" s="22"/>
      <c r="M83" s="22"/>
      <c r="N83" s="22"/>
      <c r="O83" s="22"/>
      <c r="P83" s="22"/>
      <c r="Q83" s="22"/>
      <c r="R83" s="22"/>
      <c r="S83" s="22"/>
      <c r="T83" s="22"/>
      <c r="U83" s="22"/>
      <c r="V83" s="22"/>
      <c r="W83" s="22"/>
      <c r="X83" s="22"/>
      <c r="Y83" s="22"/>
      <c r="Z83" s="22"/>
    </row>
    <row r="84" spans="1:26" s="212" customFormat="1" ht="20.100000000000001" customHeight="1">
      <c r="A84" s="22"/>
      <c r="B84" s="22"/>
      <c r="C84" s="2125" t="s">
        <v>89</v>
      </c>
      <c r="D84" s="22"/>
      <c r="E84" s="22"/>
      <c r="F84" s="2331" t="s">
        <v>13</v>
      </c>
      <c r="G84" s="2331">
        <f>COLUMNS('8.10'!B:J)</f>
        <v>9</v>
      </c>
      <c r="H84" s="2331">
        <v>2006.08</v>
      </c>
      <c r="I84" s="22"/>
      <c r="J84" s="22"/>
      <c r="K84" s="22"/>
      <c r="L84" s="22"/>
      <c r="M84" s="22"/>
      <c r="N84" s="22"/>
      <c r="O84" s="22"/>
      <c r="P84" s="22"/>
      <c r="Q84" s="22"/>
      <c r="R84" s="22"/>
      <c r="S84" s="22"/>
      <c r="T84" s="22"/>
      <c r="U84" s="22"/>
      <c r="V84" s="22"/>
      <c r="W84" s="22"/>
      <c r="X84" s="22"/>
      <c r="Y84" s="22"/>
      <c r="Z84" s="22"/>
    </row>
    <row r="85" spans="1:26" s="212" customFormat="1" ht="20.100000000000001" customHeight="1">
      <c r="A85" s="22"/>
      <c r="B85" s="22"/>
      <c r="C85" s="2125" t="s">
        <v>90</v>
      </c>
      <c r="D85" s="22"/>
      <c r="E85" s="22"/>
      <c r="F85" s="2334" t="s">
        <v>13</v>
      </c>
      <c r="G85" s="2334">
        <f>COLUMNS('8.11'!B:Q)</f>
        <v>16</v>
      </c>
      <c r="H85" s="2334">
        <v>1993.01</v>
      </c>
      <c r="I85" s="22"/>
      <c r="J85" s="22"/>
      <c r="K85" s="22"/>
      <c r="L85" s="22"/>
      <c r="M85" s="22"/>
      <c r="N85" s="22"/>
      <c r="O85" s="22"/>
      <c r="P85" s="22"/>
      <c r="Q85" s="22"/>
      <c r="R85" s="22"/>
      <c r="S85" s="22"/>
      <c r="T85" s="22"/>
      <c r="U85" s="22"/>
      <c r="V85" s="22"/>
      <c r="W85" s="22"/>
      <c r="X85" s="22"/>
      <c r="Y85" s="22"/>
      <c r="Z85" s="22"/>
    </row>
    <row r="86" spans="1:26" s="2124" customFormat="1" ht="20.100000000000001" customHeight="1">
      <c r="C86" s="2124" t="s">
        <v>91</v>
      </c>
      <c r="F86" s="2723" t="s">
        <v>9</v>
      </c>
      <c r="G86" s="2723" t="s">
        <v>10</v>
      </c>
      <c r="H86" s="2723" t="s">
        <v>11</v>
      </c>
    </row>
    <row r="87" spans="1:26" s="212" customFormat="1" ht="17.25" customHeight="1">
      <c r="A87" s="22"/>
      <c r="B87" s="22"/>
      <c r="C87" s="2125" t="s">
        <v>92</v>
      </c>
      <c r="D87" s="138"/>
      <c r="E87" s="138"/>
      <c r="F87" s="2329" t="s">
        <v>13</v>
      </c>
      <c r="G87" s="2329">
        <f>COLUMNS('9.1'!B:J)</f>
        <v>9</v>
      </c>
      <c r="H87" s="2329">
        <v>1994.01</v>
      </c>
      <c r="I87" s="2724"/>
      <c r="J87" s="2724"/>
      <c r="K87" s="22"/>
      <c r="L87" s="22"/>
      <c r="M87" s="22"/>
      <c r="N87" s="22"/>
      <c r="O87" s="22"/>
      <c r="P87" s="22"/>
      <c r="Q87" s="22"/>
      <c r="R87" s="22"/>
      <c r="S87" s="22"/>
      <c r="T87" s="22"/>
      <c r="U87" s="22"/>
      <c r="V87" s="22"/>
      <c r="W87" s="22"/>
      <c r="X87" s="22"/>
      <c r="Y87" s="22"/>
      <c r="Z87" s="22"/>
    </row>
    <row r="88" spans="1:26" s="212" customFormat="1" ht="17.25" customHeight="1">
      <c r="A88" s="22"/>
      <c r="B88" s="22"/>
      <c r="C88" s="1978" t="s">
        <v>93</v>
      </c>
      <c r="D88" s="138"/>
      <c r="E88" s="138"/>
      <c r="F88" s="2338" t="s">
        <v>13</v>
      </c>
      <c r="G88" s="2339"/>
      <c r="H88" s="2338">
        <v>1996.01</v>
      </c>
      <c r="I88" s="1193" t="s">
        <v>69</v>
      </c>
      <c r="J88" s="1193"/>
      <c r="K88" s="22"/>
      <c r="L88" s="22"/>
      <c r="M88" s="22"/>
      <c r="N88" s="22"/>
      <c r="O88" s="22"/>
      <c r="P88" s="22"/>
      <c r="Q88" s="22"/>
      <c r="R88" s="22"/>
      <c r="S88" s="22"/>
      <c r="T88" s="22"/>
      <c r="U88" s="22"/>
      <c r="V88" s="22"/>
      <c r="W88" s="22"/>
      <c r="X88" s="22"/>
      <c r="Y88" s="22"/>
      <c r="Z88" s="22"/>
    </row>
    <row r="89" spans="1:26" s="212" customFormat="1" ht="3.75" customHeight="1">
      <c r="A89" s="22"/>
      <c r="B89" s="22"/>
      <c r="C89" s="24"/>
      <c r="D89" s="22"/>
      <c r="E89" s="22"/>
      <c r="F89" s="1235"/>
      <c r="G89" s="2340"/>
      <c r="H89" s="77"/>
      <c r="I89" s="22"/>
      <c r="J89" s="22"/>
      <c r="K89" s="22"/>
      <c r="L89" s="22"/>
      <c r="M89" s="22"/>
      <c r="N89" s="22"/>
      <c r="O89" s="22"/>
      <c r="P89" s="22"/>
      <c r="Q89" s="22"/>
      <c r="R89" s="22"/>
      <c r="S89" s="22"/>
      <c r="T89" s="22"/>
      <c r="U89" s="22"/>
      <c r="V89" s="22"/>
      <c r="W89" s="22"/>
      <c r="X89" s="22"/>
      <c r="Y89" s="22"/>
      <c r="Z89" s="22"/>
    </row>
    <row r="90" spans="1:26" s="212" customFormat="1" ht="20.100000000000001" customHeight="1">
      <c r="A90" s="22"/>
      <c r="B90" s="22"/>
      <c r="C90" s="24"/>
      <c r="D90" s="22"/>
      <c r="E90" s="2725" t="s">
        <v>94</v>
      </c>
      <c r="F90" s="1236"/>
      <c r="G90" s="3759">
        <f>+SUMIF($F$13:$F$88,"Mensual",$G$13:$G$88)</f>
        <v>593</v>
      </c>
      <c r="H90" s="77"/>
      <c r="I90" s="22"/>
      <c r="J90" s="22"/>
      <c r="K90" s="22"/>
      <c r="L90" s="22"/>
      <c r="M90" s="22"/>
      <c r="N90" s="22"/>
      <c r="O90" s="22"/>
      <c r="P90" s="22"/>
      <c r="Q90" s="22"/>
      <c r="R90" s="22"/>
      <c r="S90" s="22"/>
      <c r="T90" s="22"/>
      <c r="U90" s="22"/>
      <c r="V90" s="22"/>
      <c r="W90" s="22"/>
      <c r="X90" s="22"/>
      <c r="Y90" s="22"/>
      <c r="Z90" s="22"/>
    </row>
    <row r="91" spans="1:26" s="212" customFormat="1" ht="3.75" customHeight="1">
      <c r="A91" s="22"/>
      <c r="B91" s="22"/>
      <c r="C91" s="24"/>
      <c r="D91" s="22"/>
      <c r="E91" s="22"/>
      <c r="F91" s="26"/>
      <c r="G91" s="2331"/>
      <c r="H91" s="23"/>
      <c r="I91" s="22"/>
      <c r="J91" s="22"/>
      <c r="K91" s="22"/>
      <c r="L91" s="22"/>
      <c r="M91" s="22"/>
      <c r="N91" s="22"/>
      <c r="O91" s="22"/>
      <c r="P91" s="22"/>
      <c r="Q91" s="22"/>
      <c r="R91" s="22"/>
      <c r="S91" s="22"/>
      <c r="T91" s="22"/>
      <c r="U91" s="22"/>
      <c r="V91" s="22"/>
      <c r="W91" s="22"/>
      <c r="X91" s="22"/>
      <c r="Y91" s="22"/>
      <c r="Z91" s="22"/>
    </row>
    <row r="92" spans="1:26" s="212" customFormat="1" ht="20.100000000000001" customHeight="1">
      <c r="A92" s="22"/>
      <c r="B92" s="22"/>
      <c r="C92" s="24"/>
      <c r="D92" s="22"/>
      <c r="E92" s="2725" t="s">
        <v>95</v>
      </c>
      <c r="F92" s="1236"/>
      <c r="G92" s="3759">
        <f>+SUMIF($F$13:$F$88,"Trimestral",$G$13:$G$88)</f>
        <v>156</v>
      </c>
      <c r="H92" s="77"/>
      <c r="I92" s="22"/>
      <c r="J92" s="22"/>
      <c r="K92" s="22"/>
      <c r="L92" s="22"/>
      <c r="M92" s="22"/>
      <c r="N92" s="22"/>
      <c r="O92" s="22"/>
      <c r="P92" s="22"/>
      <c r="Q92" s="22"/>
      <c r="R92" s="22"/>
      <c r="S92" s="22"/>
      <c r="T92" s="22"/>
      <c r="U92" s="22"/>
      <c r="V92" s="22"/>
      <c r="W92" s="22"/>
      <c r="X92" s="22"/>
      <c r="Y92" s="22"/>
      <c r="Z92" s="22"/>
    </row>
    <row r="93" spans="1:26" s="212" customFormat="1" ht="3.75" customHeight="1">
      <c r="A93" s="22"/>
      <c r="B93" s="22"/>
      <c r="C93" s="24"/>
      <c r="D93" s="22"/>
      <c r="E93" s="22"/>
      <c r="F93" s="26"/>
      <c r="G93" s="2331"/>
      <c r="H93" s="23"/>
      <c r="I93" s="22"/>
      <c r="J93" s="22"/>
      <c r="K93" s="22"/>
      <c r="L93" s="22"/>
      <c r="M93" s="22"/>
      <c r="N93" s="22"/>
      <c r="O93" s="22"/>
      <c r="P93" s="22"/>
      <c r="Q93" s="22"/>
      <c r="R93" s="22"/>
      <c r="S93" s="22"/>
      <c r="T93" s="22"/>
      <c r="U93" s="22"/>
      <c r="V93" s="22"/>
      <c r="W93" s="22"/>
      <c r="X93" s="22"/>
      <c r="Y93" s="22"/>
      <c r="Z93" s="22"/>
    </row>
    <row r="94" spans="1:26" s="212" customFormat="1" ht="19.5" customHeight="1">
      <c r="A94" s="22"/>
      <c r="B94" s="22"/>
      <c r="C94" s="24"/>
      <c r="D94" s="22"/>
      <c r="E94" s="2725" t="s">
        <v>96</v>
      </c>
      <c r="F94" s="1236"/>
      <c r="G94" s="3759">
        <f>+SUMIF($F$13:$F$88,"Semestral",$G$13:$G$88)</f>
        <v>21</v>
      </c>
      <c r="H94" s="77"/>
      <c r="I94" s="22"/>
      <c r="J94" s="22"/>
      <c r="K94" s="22"/>
      <c r="L94" s="22"/>
      <c r="M94" s="22"/>
      <c r="N94" s="22"/>
      <c r="O94" s="22"/>
      <c r="P94" s="22"/>
      <c r="Q94" s="22"/>
      <c r="R94" s="22"/>
      <c r="S94" s="22"/>
      <c r="T94" s="22"/>
      <c r="U94" s="22"/>
      <c r="V94" s="22"/>
      <c r="W94" s="22"/>
      <c r="X94" s="22"/>
      <c r="Y94" s="22"/>
      <c r="Z94" s="22"/>
    </row>
    <row r="95" spans="1:26" s="212" customFormat="1" ht="3.75" customHeight="1">
      <c r="A95" s="22"/>
      <c r="B95" s="22"/>
      <c r="C95" s="24"/>
      <c r="D95" s="22"/>
      <c r="E95" s="22"/>
      <c r="F95" s="26"/>
      <c r="G95" s="2331"/>
      <c r="H95" s="23"/>
      <c r="I95" s="22"/>
      <c r="J95" s="22"/>
      <c r="K95" s="22"/>
      <c r="L95" s="22"/>
      <c r="M95" s="22"/>
      <c r="N95" s="22"/>
      <c r="O95" s="22"/>
      <c r="P95" s="22"/>
      <c r="Q95" s="22"/>
      <c r="R95" s="22"/>
      <c r="S95" s="22"/>
      <c r="T95" s="22"/>
      <c r="U95" s="22"/>
      <c r="V95" s="22"/>
      <c r="W95" s="22"/>
      <c r="X95" s="22"/>
      <c r="Y95" s="22"/>
      <c r="Z95" s="22"/>
    </row>
    <row r="96" spans="1:26" s="212" customFormat="1" ht="19.5" customHeight="1">
      <c r="A96" s="22"/>
      <c r="B96" s="22"/>
      <c r="C96" s="24"/>
      <c r="D96" s="22"/>
      <c r="E96" s="2725" t="s">
        <v>97</v>
      </c>
      <c r="F96" s="1236"/>
      <c r="G96" s="3759">
        <f>+SUMIF($F$13:$F$88,"Anual",$G$13:$G$88)</f>
        <v>45</v>
      </c>
      <c r="H96" s="77"/>
      <c r="I96" s="22"/>
      <c r="J96" s="22"/>
      <c r="K96" s="22"/>
      <c r="L96" s="22"/>
      <c r="M96" s="22"/>
      <c r="N96" s="22"/>
      <c r="O96" s="22"/>
      <c r="P96" s="22"/>
      <c r="Q96" s="22"/>
      <c r="R96" s="22"/>
      <c r="S96" s="22"/>
      <c r="T96" s="22"/>
      <c r="U96" s="22"/>
      <c r="V96" s="22"/>
      <c r="W96" s="22"/>
      <c r="X96" s="22"/>
      <c r="Y96" s="22"/>
      <c r="Z96" s="22"/>
    </row>
    <row r="97" spans="1:26" s="212" customFormat="1" ht="3.75" customHeight="1">
      <c r="A97" s="22"/>
      <c r="B97" s="22"/>
      <c r="C97" s="24"/>
      <c r="D97" s="22"/>
      <c r="E97" s="22"/>
      <c r="F97" s="26"/>
      <c r="G97" s="25"/>
      <c r="H97" s="23"/>
      <c r="I97" s="22"/>
      <c r="J97" s="22"/>
      <c r="K97" s="22"/>
      <c r="L97" s="22"/>
      <c r="M97" s="22"/>
      <c r="N97" s="22"/>
      <c r="O97" s="22"/>
      <c r="P97" s="22"/>
      <c r="Q97" s="22"/>
      <c r="R97" s="22"/>
      <c r="S97" s="22"/>
      <c r="T97" s="22"/>
      <c r="U97" s="22"/>
      <c r="V97" s="22"/>
      <c r="W97" s="22"/>
      <c r="X97" s="22"/>
      <c r="Y97" s="22"/>
      <c r="Z97" s="22"/>
    </row>
    <row r="98" spans="1:26" s="212" customFormat="1" ht="20.100000000000001" customHeight="1">
      <c r="A98" s="22"/>
      <c r="B98" s="22"/>
      <c r="C98" s="76"/>
      <c r="D98" s="22"/>
      <c r="E98" s="22"/>
      <c r="F98" s="26"/>
      <c r="G98" s="25"/>
      <c r="H98" s="23"/>
      <c r="I98" s="22"/>
      <c r="J98" s="22"/>
      <c r="K98" s="22"/>
      <c r="L98" s="22"/>
      <c r="M98" s="22"/>
      <c r="N98" s="22"/>
      <c r="O98" s="22"/>
      <c r="P98" s="22"/>
      <c r="Q98" s="22"/>
      <c r="R98" s="22"/>
      <c r="S98" s="22"/>
      <c r="T98" s="22"/>
      <c r="U98" s="22"/>
      <c r="V98" s="22"/>
      <c r="W98" s="22"/>
      <c r="X98" s="22"/>
      <c r="Y98" s="22"/>
      <c r="Z98" s="22"/>
    </row>
    <row r="99" spans="1:26" s="212" customFormat="1" ht="20.100000000000001" customHeight="1">
      <c r="A99" s="22"/>
      <c r="B99" s="22"/>
      <c r="C99" s="24"/>
      <c r="D99" s="22"/>
      <c r="E99" s="22"/>
      <c r="F99" s="26"/>
      <c r="G99" s="25"/>
      <c r="H99" s="23"/>
      <c r="I99" s="22"/>
      <c r="J99" s="22"/>
      <c r="K99" s="22"/>
      <c r="L99" s="22"/>
      <c r="M99" s="22"/>
      <c r="N99" s="22"/>
      <c r="O99" s="22"/>
      <c r="P99" s="22"/>
      <c r="Q99" s="22"/>
      <c r="R99" s="22"/>
      <c r="S99" s="22"/>
      <c r="T99" s="22"/>
      <c r="U99" s="22"/>
      <c r="V99" s="22"/>
      <c r="W99" s="22"/>
      <c r="X99" s="22"/>
      <c r="Y99" s="22"/>
      <c r="Z99" s="22"/>
    </row>
    <row r="100" spans="1:26" ht="4.5" customHeight="1">
      <c r="A100" s="22"/>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sheetData>
  <phoneticPr fontId="71" type="noConversion"/>
  <hyperlinks>
    <hyperlink ref="C39" location="'3.4'!B82" display="3.4. Despacho de cemento" xr:uid="{00000000-0004-0000-0000-000000000000}"/>
    <hyperlink ref="C37" location="'3.2'!B10" display="3.2. Molienda oleaginosa" xr:uid="{00000000-0004-0000-0000-000003000000}"/>
    <hyperlink ref="C36" location="'3.1'!B10" display="3.1. Producción de la industria láctea" xr:uid="{00000000-0004-0000-0000-000004000000}"/>
    <hyperlink ref="C38" location="'3.3'!B10" display="3.3. Faena bovina y porcina" xr:uid="{00000000-0004-0000-0000-000005000000}"/>
    <hyperlink ref="C42" location="'3.7'!B10" display="3.7. Maquinaria agrícola (AFAT)" xr:uid="{00000000-0004-0000-0000-000006000000}"/>
    <hyperlink ref="C62" location="'6.2'!B10" display="6.2. Balanza comercial argetina" xr:uid="{00000000-0004-0000-0000-000008000000}"/>
    <hyperlink ref="C61" location="'6.1'!B10" display="6.1. Exportación de cereales por puertos santafesinos" xr:uid="{00000000-0004-0000-0000-000009000000}"/>
    <hyperlink ref="C70" location="'7.1'!B10" display="7.1. Recaudación de impuestos provinciales" xr:uid="{00000000-0004-0000-0000-00000A000000}"/>
    <hyperlink ref="C73" location="'7.4'!B10" display="7.4. Recaudación de IVA" xr:uid="{00000000-0004-0000-0000-00000B000000}"/>
    <hyperlink ref="C41" location="'3.6'!B10" display="3.6. Patentamientos, transferencias y producción vehicular" xr:uid="{00000000-0004-0000-0000-00000C000000}"/>
    <hyperlink ref="C40" location="'3.5'!B10" display="3.5. Permisos de construcción" xr:uid="{00000000-0004-0000-0000-00000D000000}"/>
    <hyperlink ref="C59" location="'5.4'!B10" display="5.4. Ventas de combustibles" xr:uid="{00000000-0004-0000-0000-00000F000000}"/>
    <hyperlink ref="C56" location="'5.1'!B10" display="5.1. Consumo de gas" xr:uid="{00000000-0004-0000-0000-000010000000}"/>
    <hyperlink ref="C23" location="'2.2'!B10" display="2.2. Nivel de empleo y remuneraciones (fuente ministerial)" xr:uid="{00000000-0004-0000-0000-000011000000}"/>
    <hyperlink ref="C31" location="'2.7'!B10" display="2.7. Tasas de actividad, empleo, desocupación y subempleo (EPH)" xr:uid="{00000000-0004-0000-0000-000012000000}"/>
    <hyperlink ref="C30" location="'2.6'!B10" display="2.6. PEA, ocupación, desocupación y subocupación (EPH)" xr:uid="{00000000-0004-0000-0000-000013000000}"/>
    <hyperlink ref="C33" location="'2.9'!B10" display="2.9. Pobreza e indigencia (EPH)" xr:uid="{00000000-0004-0000-0000-000014000000}"/>
    <hyperlink ref="C75" location="'8.1'!B10" display="8.1. IPC Santa Fe" xr:uid="{00000000-0004-0000-0000-000015000000}"/>
    <hyperlink ref="C77" location="'8.3'!B14" display="8.3. IPC Nacional y regiones  - oficial - " xr:uid="{00000000-0004-0000-0000-000016000000}"/>
    <hyperlink ref="C79" location="'8.5'!B10" display="8.5. IPC Bahía Blanca (BB)" xr:uid="{00000000-0004-0000-0000-000017000000}"/>
    <hyperlink ref="C80" location="'8.6'!B10" display="8.6. Índice de Precios Internos Mayoristas (IPIM)" xr:uid="{00000000-0004-0000-0000-000018000000}"/>
    <hyperlink ref="C84" location="'8.10'!B17" display="8.10. Expectativas inflacionarias para 12 meses" xr:uid="{00000000-0004-0000-0000-000019000000}"/>
    <hyperlink ref="C16" location="'1.3'!B142" display="1.3. Actividad económica coincidente - Argentina -" xr:uid="{00000000-0004-0000-0000-00001A000000}"/>
    <hyperlink ref="C17" location="'1.4'!B10" display="1.4. Actividad económica líder - Argentina -" xr:uid="{00000000-0004-0000-0000-00001B000000}"/>
    <hyperlink ref="C43" location="'3.8'!B10" display="3.8. Índice de Producción Industrial (IPI) - Argentina -" xr:uid="{00000000-0004-0000-0000-00001C000000}"/>
    <hyperlink ref="C67" location="'6.6'!B10" display="6.6. Tipo de cambio real multilateral y bilaterales - Argentina -" xr:uid="{00000000-0004-0000-0000-00001D000000}"/>
    <hyperlink ref="C78" location="'8.4'!B518" display="8.4. Precios minoristas  - serie histórica GBA y fuentes alternativas -" xr:uid="{00000000-0004-0000-0000-00001E000000}"/>
    <hyperlink ref="C71" location="'7.2'!B10" display="7.2. Recursos tributarios de origen nacional (coparticipación)" xr:uid="{00000000-0004-0000-0000-000020000000}"/>
    <hyperlink ref="C72" location="'7.3'!B10" display="7.3. Gasto público provincial" xr:uid="{00000000-0004-0000-0000-000021000000}"/>
    <hyperlink ref="C65" location="'6.4'!B10" display="6.4. Cifras de comercio de la provincia de Santa Fe y Argentina - consolidados anuales -" xr:uid="{00000000-0004-0000-0000-000022000000}"/>
    <hyperlink ref="C52" location="'4.5'!B10" display="4.5. Encuesta de Ocupación Hotelera (EOH)" xr:uid="{00000000-0004-0000-0000-000024000000}"/>
    <hyperlink ref="C48" location="'4.1'!B10" display="4.1. Mercado financiero bancario" xr:uid="{00000000-0004-0000-0000-000025000000}"/>
    <hyperlink ref="C50" location="'4.3'!B10" display="4.3. Ventas de supermercados" xr:uid="{00000000-0004-0000-0000-000026000000}"/>
    <hyperlink ref="C51" location="'4.4'!B16" display="4.4. Índice de Confianza del Consumidor (ICC)" xr:uid="{00000000-0004-0000-0000-000027000000}"/>
    <hyperlink ref="C49" location="'4.2'!B10" display="4.2. Mercados de capitales" xr:uid="{00000000-0004-0000-0000-000028000000}"/>
    <hyperlink ref="C76" location="'8.2'!B232" display="8.2.  Índice de Precios al Consumidor de la Ciudad de Buenos Aires (IPCBA) " xr:uid="{00000000-0004-0000-0000-000029000000}"/>
    <hyperlink ref="C82" location="'8.8'!B10" display="8.8. Valor de la tierra destinada a la explotación agrícola y ganadera " xr:uid="{00000000-0004-0000-0000-00002A000000}"/>
    <hyperlink ref="C83" location="'8.9'!B10" display="8.9. Valor del dólar norteamericano respecto al peso y a otras monedas" xr:uid="{00000000-0004-0000-0000-00002B000000}"/>
    <hyperlink ref="C18" location="'1.5'!B119" display="1.5. Producto Bruto Geográfico de Santa Fe (PBG)" xr:uid="{00000000-0004-0000-0000-00002C000000}"/>
    <hyperlink ref="C19" location="'1.6'!B146" display="1.6. Producto Bruto Interno (PBI) de Argentina y subcomponentes" xr:uid="{00000000-0004-0000-0000-00002D000000}"/>
    <hyperlink ref="C34" location="'2.10'!B10" display="2.10. Población provincial y nacional" xr:uid="{00000000-0004-0000-0000-00002E000000}"/>
    <hyperlink ref="C81" location="'8.7'!B10" display="8.7. Índice de precios de las materias primas de exportación" xr:uid="{00000000-0004-0000-0000-00002F000000}"/>
    <hyperlink ref="C26" location="'2.5'!A1" display="2.5. Nivel de empleo y remuneraciones - Argentina -" xr:uid="{00000000-0004-0000-0000-000030000000}"/>
    <hyperlink ref="C45" location="'3.10'!B274" display="3.10. Índice de Producción Industrial Manufacturera (IPIM) - Argentina -" xr:uid="{00000000-0004-0000-0000-000031000000}"/>
    <hyperlink ref="C46" location="'3.11'!B10" display="3.11. Índice Provincial de Actividad Industrial (IPAI)" xr:uid="{00000000-0004-0000-0000-000032000000}"/>
    <hyperlink ref="C63" location="'6.2.a'!B10" display="6.2.a. Términos de intercambio comercial - Argentina -" xr:uid="{00000000-0004-0000-0000-000033000000}"/>
    <hyperlink ref="C27" location="'2.5.a'!A1" display="2.5.a. Índice de salarios - Argentina -" xr:uid="{00000000-0004-0000-0000-000034000000}"/>
    <hyperlink ref="C44" location="'3.9'!B274" display="3.9. Utilización de la capacidad instalada en la industria" xr:uid="{00000000-0004-0000-0000-000035000000}"/>
    <hyperlink ref="C14" location="'1.1'!C10" display="1.1. Índice de Actividad Económica (ICASFe) - provincia de Santa Fe -" xr:uid="{00000000-0004-0000-0000-000036000000}"/>
    <hyperlink ref="C28" location="'2.5.b'!A1" display="2.5.b. Jubilaciones y pensiones por tipo de prestación - Argentina -" xr:uid="{00000000-0004-0000-0000-000037000000}"/>
    <hyperlink ref="C29" location="'2.5.c'!A1" display="2.5.c. Trabajadores según modalidad ocupacional principal - Argentina -" xr:uid="{00000000-0004-0000-0000-000038000000}"/>
    <hyperlink ref="C20" location="'1.7'!B10" display="1.7. Actividad económica global" xr:uid="{00000000-0004-0000-0000-00003A000000}"/>
    <hyperlink ref="C15" location="'1.2'!A1" display="1.2. Indicador Mensual de la Actividad Económica (IMAE) - provincia de Santa Fe -" xr:uid="{B5F40F4D-192D-4E4E-B34E-E44FA999E4B4}"/>
    <hyperlink ref="C54" location="'4.7'!B10" display="4.7. Movimientos portuarios" xr:uid="{E6619217-3829-4ACF-9465-9DC5F949E28F}"/>
    <hyperlink ref="C88" location="'9.2'!A1" display="9.2. Tránsito vehicular autopista AP-01" xr:uid="{F5EA7E42-79FB-4798-90A8-287F27A09090}"/>
    <hyperlink ref="C87" location="'9.1'!B10" display="9.1. Circulación de periódicos" xr:uid="{9FF0A9F6-DA64-4F23-9F83-C7842DEE8156}"/>
    <hyperlink ref="C22" location="'2.1'!B91" display="2.1. Demanda laboral, expectativas empresarias y puestos vacantes" xr:uid="{00000000-0004-0000-0000-000002000000}"/>
    <hyperlink ref="C32" location="'2.8'!A1" display="2.8. Empleo público, categorías ocupacionales e informalidad (microdatos EPH)" xr:uid="{3661F753-96E5-4342-B2C8-8BAC0A9D8FCB}"/>
    <hyperlink ref="C85" location="'8.11'!B10" display="8.11. Índice de costo de la construcción y costo por metro cuadrado" xr:uid="{744C9E27-C9D7-441E-A445-68D8DCDFB1E5}"/>
    <hyperlink ref="C25" location="'2.4'!B10" display="2.4. Coberturas de ART - provincia de Santa Fe -" xr:uid="{E60BB7D5-93C2-47F6-B259-71DA0B6B8B5C}"/>
    <hyperlink ref="C24" location="'2.3'!B10" display="2.3. Puestos privados por sector - provincia de Santa Fe -" xr:uid="{ABEA8F53-DC76-432A-864D-008282E22C45}"/>
    <hyperlink ref="C58" location="'5.3'!B10" display="5.3. Consumo de energía eléctrica - CAMMESA - " xr:uid="{5F1B3947-0DA6-41E1-89DE-526E1B38D967}"/>
    <hyperlink ref="C57" location="'5.2'!B10" display="5.2. Consumo y facturación de energía eléctrica" xr:uid="{00000000-0004-0000-0000-00000E000000}"/>
    <hyperlink ref="C66" location="'6.5'!B10" display="6.5. Exportaciones con origen en la provincia de Santa Fe" xr:uid="{FAB33623-AD9C-4BC0-814E-99036AFCD4CD}"/>
    <hyperlink ref="C53" location="'4.6'!B94" display="4.6. Transferencias de inmuebles y estadísticas afines" xr:uid="{00000000-0004-0000-0000-000023000000}"/>
    <hyperlink ref="C64" location="'6.3'!B10" display="6.3. Comercio exterior de servicios - Argentina -" xr:uid="{1038046E-B8B8-43EA-BB5F-440C7B299919}"/>
    <hyperlink ref="C68" location="'6.7'!A1" display="6.7. Reservas extranjeras brutas - Argentina -" xr:uid="{7B280E30-8601-43A0-83ED-EE6CCBED2CFA}"/>
  </hyperlinks>
  <pageMargins left="0.2" right="0.2" top="0.2" bottom="0.22" header="0" footer="0"/>
  <pageSetup paperSize="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pageSetUpPr autoPageBreaks="0"/>
  </sheetPr>
  <dimension ref="A1:N453"/>
  <sheetViews>
    <sheetView zoomScaleNormal="100"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9.5703125" style="21" customWidth="1"/>
    <col min="2" max="2" width="18.42578125" style="21" bestFit="1" customWidth="1"/>
    <col min="3" max="4" width="11.5703125" style="21" customWidth="1"/>
    <col min="5" max="5" width="29.42578125" style="21" customWidth="1"/>
    <col min="6" max="6" width="31.42578125" style="6" customWidth="1"/>
    <col min="7" max="8" width="13.5703125" style="6" customWidth="1"/>
    <col min="9" max="9" width="14" style="6" customWidth="1"/>
    <col min="10" max="11" width="14" style="226" customWidth="1"/>
    <col min="12" max="12" width="14" style="1248" customWidth="1"/>
    <col min="13" max="13" width="11.42578125" style="226"/>
    <col min="14" max="16384" width="11.42578125" style="6"/>
  </cols>
  <sheetData>
    <row r="1" spans="1:13" ht="2.25" customHeight="1">
      <c r="A1" s="2761"/>
      <c r="B1" s="320"/>
      <c r="C1" s="948"/>
      <c r="D1" s="948"/>
      <c r="E1" s="948"/>
      <c r="F1" s="1739"/>
      <c r="G1" s="984"/>
      <c r="H1" s="193"/>
      <c r="I1" s="193"/>
      <c r="J1" s="193"/>
      <c r="K1" s="2039"/>
      <c r="L1" s="2803"/>
      <c r="M1" s="166"/>
    </row>
    <row r="2" spans="1:13" ht="56.25">
      <c r="A2" s="2762" t="s">
        <v>99</v>
      </c>
      <c r="B2" s="2804" t="s">
        <v>572</v>
      </c>
      <c r="C2" s="2805"/>
      <c r="D2" s="2805"/>
      <c r="E2" s="2806" t="s">
        <v>573</v>
      </c>
      <c r="F2" s="2807" t="s">
        <v>574</v>
      </c>
      <c r="G2" s="1961" t="s">
        <v>575</v>
      </c>
      <c r="H2" s="986" t="s">
        <v>576</v>
      </c>
      <c r="I2" s="1961" t="s">
        <v>577</v>
      </c>
      <c r="J2" s="2040" t="s">
        <v>578</v>
      </c>
      <c r="K2" s="2808" t="s">
        <v>579</v>
      </c>
      <c r="L2" s="2041" t="s">
        <v>580</v>
      </c>
      <c r="M2" s="166"/>
    </row>
    <row r="3" spans="1:13" ht="22.5">
      <c r="A3" s="2762" t="s">
        <v>193</v>
      </c>
      <c r="B3" s="2809" t="s">
        <v>581</v>
      </c>
      <c r="C3" s="2809"/>
      <c r="D3" s="2810"/>
      <c r="E3" s="2806" t="s">
        <v>110</v>
      </c>
      <c r="F3" s="2811" t="s">
        <v>582</v>
      </c>
      <c r="G3" s="2812" t="s">
        <v>583</v>
      </c>
      <c r="H3" s="2812"/>
      <c r="I3" s="987"/>
      <c r="J3" s="2812"/>
      <c r="K3" s="2813" t="s">
        <v>584</v>
      </c>
      <c r="L3" s="1973"/>
      <c r="M3" s="166"/>
    </row>
    <row r="4" spans="1:13">
      <c r="A4" s="2762"/>
      <c r="B4" s="2742"/>
      <c r="C4" s="320"/>
      <c r="D4" s="320"/>
      <c r="E4" s="2806"/>
      <c r="F4" s="2736"/>
      <c r="G4" s="2042"/>
      <c r="H4" s="1970"/>
      <c r="I4" s="1970"/>
      <c r="J4" s="1971"/>
      <c r="K4" s="2814"/>
      <c r="L4" s="1972"/>
      <c r="M4" s="166"/>
    </row>
    <row r="5" spans="1:13" ht="56.25">
      <c r="A5" s="2763" t="s">
        <v>140</v>
      </c>
      <c r="B5" s="2815" t="s">
        <v>585</v>
      </c>
      <c r="C5" s="950" t="s">
        <v>586</v>
      </c>
      <c r="D5" s="951" t="s">
        <v>587</v>
      </c>
      <c r="E5" s="1302" t="s">
        <v>573</v>
      </c>
      <c r="F5" s="2816" t="s">
        <v>588</v>
      </c>
      <c r="G5" s="992" t="s">
        <v>589</v>
      </c>
      <c r="H5" s="991"/>
      <c r="I5" s="992" t="s">
        <v>590</v>
      </c>
      <c r="J5" s="2043"/>
      <c r="K5" s="2817" t="s">
        <v>591</v>
      </c>
      <c r="L5" s="2044" t="s">
        <v>592</v>
      </c>
      <c r="M5" s="166"/>
    </row>
    <row r="6" spans="1:13">
      <c r="A6" s="2762"/>
      <c r="B6" s="2742"/>
      <c r="C6" s="1303"/>
      <c r="D6" s="320"/>
      <c r="E6" s="1199"/>
      <c r="F6" s="2736"/>
      <c r="G6" s="193"/>
      <c r="H6" s="193"/>
      <c r="I6" s="193"/>
      <c r="J6" s="193"/>
      <c r="K6" s="2814"/>
      <c r="L6" s="2045"/>
      <c r="M6" s="166"/>
    </row>
    <row r="7" spans="1:13" ht="22.5" customHeight="1">
      <c r="A7" s="2762" t="s">
        <v>125</v>
      </c>
      <c r="B7" s="2758" t="s">
        <v>593</v>
      </c>
      <c r="C7" s="952" t="s">
        <v>593</v>
      </c>
      <c r="D7" s="3" t="s">
        <v>593</v>
      </c>
      <c r="E7" s="1304" t="s">
        <v>279</v>
      </c>
      <c r="F7" s="2816" t="s">
        <v>128</v>
      </c>
      <c r="G7" s="996" t="s">
        <v>594</v>
      </c>
      <c r="H7" s="995" t="s">
        <v>594</v>
      </c>
      <c r="I7" s="996" t="s">
        <v>594</v>
      </c>
      <c r="J7" s="2046" t="s">
        <v>594</v>
      </c>
      <c r="K7" s="2818" t="s">
        <v>595</v>
      </c>
      <c r="L7" s="2047" t="s">
        <v>594</v>
      </c>
      <c r="M7" s="166"/>
    </row>
    <row r="8" spans="1:13">
      <c r="A8" s="2751" t="s">
        <v>144</v>
      </c>
      <c r="B8" s="2797" t="s">
        <v>596</v>
      </c>
      <c r="C8" s="2157" t="s">
        <v>597</v>
      </c>
      <c r="D8" s="1751" t="s">
        <v>598</v>
      </c>
      <c r="E8" s="1751" t="s">
        <v>599</v>
      </c>
      <c r="F8" s="2819" t="s">
        <v>600</v>
      </c>
      <c r="G8" s="999" t="s">
        <v>601</v>
      </c>
      <c r="H8" s="998" t="s">
        <v>602</v>
      </c>
      <c r="I8" s="999" t="s">
        <v>603</v>
      </c>
      <c r="J8" s="2048" t="s">
        <v>604</v>
      </c>
      <c r="K8" s="2820" t="s">
        <v>605</v>
      </c>
      <c r="L8" s="2053" t="s">
        <v>606</v>
      </c>
      <c r="M8" s="166"/>
    </row>
    <row r="9" spans="1:13" ht="13.5" thickBot="1">
      <c r="A9" s="2140"/>
      <c r="B9" s="1361"/>
      <c r="C9" s="1362"/>
      <c r="D9" s="1372"/>
      <c r="E9" s="2161"/>
      <c r="F9" s="1332"/>
      <c r="G9" s="2162"/>
      <c r="H9" s="1878"/>
      <c r="I9" s="2162"/>
      <c r="J9" s="2163"/>
      <c r="K9" s="2164"/>
      <c r="L9" s="2165"/>
      <c r="M9" s="166"/>
    </row>
    <row r="10" spans="1:13">
      <c r="A10" s="53">
        <v>1994.01</v>
      </c>
      <c r="B10" s="188">
        <v>84046</v>
      </c>
      <c r="C10" s="3553"/>
      <c r="D10" s="586"/>
      <c r="E10" s="188">
        <v>89.117163317754191</v>
      </c>
      <c r="F10" s="1740"/>
      <c r="G10" s="1007"/>
      <c r="H10" s="3554"/>
      <c r="I10" s="1007"/>
      <c r="J10" s="1963"/>
      <c r="K10" s="1967"/>
      <c r="L10" s="2821"/>
      <c r="M10" s="166"/>
    </row>
    <row r="11" spans="1:13">
      <c r="A11" s="53">
        <v>1994.02</v>
      </c>
      <c r="B11" s="223">
        <v>83936</v>
      </c>
      <c r="C11" s="3553"/>
      <c r="D11" s="586"/>
      <c r="E11" s="187">
        <v>183.90487388272606</v>
      </c>
      <c r="F11" s="1740"/>
      <c r="G11" s="1007"/>
      <c r="H11" s="3554"/>
      <c r="I11" s="1007"/>
      <c r="J11" s="1963"/>
      <c r="K11" s="1967"/>
      <c r="L11" s="2821"/>
      <c r="M11" s="166"/>
    </row>
    <row r="12" spans="1:13">
      <c r="A12" s="53">
        <v>1994.03</v>
      </c>
      <c r="B12" s="223">
        <v>83957</v>
      </c>
      <c r="C12" s="3553"/>
      <c r="D12" s="586"/>
      <c r="E12" s="187">
        <v>282.47620293306642</v>
      </c>
      <c r="F12" s="1740"/>
      <c r="G12" s="1007"/>
      <c r="H12" s="3554"/>
      <c r="I12" s="1007"/>
      <c r="J12" s="1963"/>
      <c r="K12" s="1967"/>
      <c r="L12" s="2821"/>
      <c r="M12" s="166"/>
    </row>
    <row r="13" spans="1:13">
      <c r="A13" s="53">
        <v>1994.04</v>
      </c>
      <c r="B13" s="223">
        <v>83947</v>
      </c>
      <c r="C13" s="3553"/>
      <c r="D13" s="586"/>
      <c r="E13" s="187">
        <v>382.53865991391666</v>
      </c>
      <c r="F13" s="1740"/>
      <c r="G13" s="1007"/>
      <c r="H13" s="3554"/>
      <c r="I13" s="1007"/>
      <c r="J13" s="1963"/>
      <c r="K13" s="1967"/>
      <c r="L13" s="2821"/>
      <c r="M13" s="1969"/>
    </row>
    <row r="14" spans="1:13">
      <c r="A14" s="53">
        <v>1994.05</v>
      </c>
      <c r="B14" s="223">
        <v>83345</v>
      </c>
      <c r="C14" s="3553"/>
      <c r="D14" s="586"/>
      <c r="E14" s="187">
        <v>484.01735995447365</v>
      </c>
      <c r="F14" s="1740"/>
      <c r="G14" s="1007"/>
      <c r="H14" s="3554"/>
      <c r="I14" s="1007"/>
      <c r="J14" s="1963"/>
      <c r="K14" s="1967"/>
      <c r="L14" s="2821"/>
      <c r="M14" s="166"/>
    </row>
    <row r="15" spans="1:13">
      <c r="A15" s="53">
        <v>1994.06</v>
      </c>
      <c r="B15" s="223">
        <v>84442</v>
      </c>
      <c r="C15" s="3553"/>
      <c r="D15" s="586"/>
      <c r="E15" s="187">
        <v>614.80411129507149</v>
      </c>
      <c r="F15" s="1740"/>
      <c r="G15" s="1007"/>
      <c r="H15" s="3554"/>
      <c r="I15" s="1007"/>
      <c r="J15" s="1963"/>
      <c r="K15" s="1967"/>
      <c r="L15" s="2821"/>
      <c r="M15" s="166"/>
    </row>
    <row r="16" spans="1:13">
      <c r="A16" s="53">
        <v>1994.07</v>
      </c>
      <c r="B16" s="223">
        <v>84464</v>
      </c>
      <c r="C16" s="3553"/>
      <c r="D16" s="588"/>
      <c r="E16" s="187">
        <v>717.52801315393094</v>
      </c>
      <c r="F16" s="1740"/>
      <c r="G16" s="1007"/>
      <c r="H16" s="3554"/>
      <c r="I16" s="1007"/>
      <c r="J16" s="1963"/>
      <c r="K16" s="1967"/>
      <c r="L16" s="2821"/>
      <c r="M16" s="166"/>
    </row>
    <row r="17" spans="1:12" s="6" customFormat="1">
      <c r="A17" s="53">
        <v>1994.08</v>
      </c>
      <c r="B17" s="223">
        <v>84480</v>
      </c>
      <c r="C17" s="3553"/>
      <c r="D17" s="588"/>
      <c r="E17" s="187">
        <v>820.00600046979537</v>
      </c>
      <c r="F17" s="1740"/>
      <c r="G17" s="1007"/>
      <c r="H17" s="3554"/>
      <c r="I17" s="1007"/>
      <c r="J17" s="1963"/>
      <c r="K17" s="1967"/>
      <c r="L17" s="2821"/>
    </row>
    <row r="18" spans="1:12" s="6" customFormat="1">
      <c r="A18" s="53">
        <v>1994.09</v>
      </c>
      <c r="B18" s="223">
        <v>84402</v>
      </c>
      <c r="C18" s="3553"/>
      <c r="D18" s="588"/>
      <c r="E18" s="187">
        <v>921.95637693891547</v>
      </c>
      <c r="F18" s="1740"/>
      <c r="G18" s="1007"/>
      <c r="H18" s="3554"/>
      <c r="I18" s="1007"/>
      <c r="J18" s="1963"/>
      <c r="K18" s="1967"/>
      <c r="L18" s="2821"/>
    </row>
    <row r="19" spans="1:12" s="6" customFormat="1">
      <c r="A19" s="53">
        <v>1994.1</v>
      </c>
      <c r="B19" s="223">
        <v>84602</v>
      </c>
      <c r="C19" s="3553"/>
      <c r="D19" s="588"/>
      <c r="E19" s="187">
        <v>1030.9249614173889</v>
      </c>
      <c r="F19" s="1740"/>
      <c r="G19" s="1007"/>
      <c r="H19" s="3554"/>
      <c r="I19" s="1007"/>
      <c r="J19" s="1963"/>
      <c r="K19" s="1967"/>
      <c r="L19" s="2821"/>
    </row>
    <row r="20" spans="1:12" s="6" customFormat="1">
      <c r="A20" s="53">
        <v>1994.11</v>
      </c>
      <c r="B20" s="223">
        <v>84499</v>
      </c>
      <c r="C20" s="3553"/>
      <c r="D20" s="588"/>
      <c r="E20" s="187">
        <v>1147.8784268185689</v>
      </c>
      <c r="F20" s="1740"/>
      <c r="G20" s="1007"/>
      <c r="H20" s="3554"/>
      <c r="I20" s="1007"/>
      <c r="J20" s="1963"/>
      <c r="K20" s="1967"/>
      <c r="L20" s="2821"/>
    </row>
    <row r="21" spans="1:12" s="6" customFormat="1">
      <c r="A21" s="53">
        <v>1994.12</v>
      </c>
      <c r="B21" s="223">
        <v>84385</v>
      </c>
      <c r="C21" s="3553"/>
      <c r="D21" s="588"/>
      <c r="E21" s="187">
        <v>1371.473</v>
      </c>
      <c r="F21" s="1740"/>
      <c r="G21" s="1007"/>
      <c r="H21" s="3554"/>
      <c r="I21" s="1007"/>
      <c r="J21" s="1963"/>
      <c r="K21" s="1967"/>
      <c r="L21" s="2821"/>
    </row>
    <row r="22" spans="1:12" s="6" customFormat="1">
      <c r="A22" s="53">
        <v>1995.01</v>
      </c>
      <c r="B22" s="223">
        <v>89755</v>
      </c>
      <c r="C22" s="3553"/>
      <c r="D22" s="588"/>
      <c r="E22" s="187">
        <v>92.657942717966762</v>
      </c>
      <c r="F22" s="1740"/>
      <c r="G22" s="1007"/>
      <c r="H22" s="3554"/>
      <c r="I22" s="1007"/>
      <c r="J22" s="1963"/>
      <c r="K22" s="1967"/>
      <c r="L22" s="2821"/>
    </row>
    <row r="23" spans="1:12" s="6" customFormat="1">
      <c r="A23" s="53">
        <v>1995.02</v>
      </c>
      <c r="B23" s="223">
        <v>90335</v>
      </c>
      <c r="C23" s="3553"/>
      <c r="D23" s="588"/>
      <c r="E23" s="187">
        <v>191.21173335625824</v>
      </c>
      <c r="F23" s="1740"/>
      <c r="G23" s="1007"/>
      <c r="H23" s="3554"/>
      <c r="I23" s="1007"/>
      <c r="J23" s="1963"/>
      <c r="K23" s="1967"/>
      <c r="L23" s="2821"/>
    </row>
    <row r="24" spans="1:12" s="6" customFormat="1">
      <c r="A24" s="53">
        <v>1995.03</v>
      </c>
      <c r="B24" s="223">
        <v>93016</v>
      </c>
      <c r="C24" s="3553"/>
      <c r="D24" s="588"/>
      <c r="E24" s="187">
        <v>293.6994722019661</v>
      </c>
      <c r="F24" s="1740"/>
      <c r="G24" s="1007"/>
      <c r="H24" s="3554"/>
      <c r="I24" s="1007"/>
      <c r="J24" s="1963"/>
      <c r="K24" s="1967"/>
      <c r="L24" s="2821"/>
    </row>
    <row r="25" spans="1:12" s="6" customFormat="1">
      <c r="A25" s="53">
        <v>1995.04</v>
      </c>
      <c r="B25" s="223">
        <v>93096</v>
      </c>
      <c r="C25" s="3553"/>
      <c r="D25" s="588"/>
      <c r="E25" s="187">
        <v>397.73758407601764</v>
      </c>
      <c r="F25" s="1740"/>
      <c r="G25" s="1007"/>
      <c r="H25" s="3554"/>
      <c r="I25" s="1007"/>
      <c r="J25" s="1963"/>
      <c r="K25" s="1967"/>
      <c r="L25" s="2821"/>
    </row>
    <row r="26" spans="1:12" s="6" customFormat="1">
      <c r="A26" s="53">
        <v>1995.05</v>
      </c>
      <c r="B26" s="223">
        <v>93222</v>
      </c>
      <c r="C26" s="3553"/>
      <c r="D26" s="588"/>
      <c r="E26" s="187">
        <v>503.24820880186559</v>
      </c>
      <c r="F26" s="1740"/>
      <c r="G26" s="1007"/>
      <c r="H26" s="3554"/>
      <c r="I26" s="1007"/>
      <c r="J26" s="1963"/>
      <c r="K26" s="1967"/>
      <c r="L26" s="2821"/>
    </row>
    <row r="27" spans="1:12" s="6" customFormat="1">
      <c r="A27" s="53">
        <v>1995.06</v>
      </c>
      <c r="B27" s="223">
        <v>93192</v>
      </c>
      <c r="C27" s="3553"/>
      <c r="D27" s="588"/>
      <c r="E27" s="187">
        <v>639.23134451700116</v>
      </c>
      <c r="F27" s="1740"/>
      <c r="G27" s="1007"/>
      <c r="H27" s="3554"/>
      <c r="I27" s="1007"/>
      <c r="J27" s="1963"/>
      <c r="K27" s="1967"/>
      <c r="L27" s="2821"/>
    </row>
    <row r="28" spans="1:12" s="6" customFormat="1">
      <c r="A28" s="53">
        <v>1995.07</v>
      </c>
      <c r="B28" s="223">
        <v>93171</v>
      </c>
      <c r="C28" s="3553"/>
      <c r="D28" s="588"/>
      <c r="E28" s="187">
        <v>746.03664508818736</v>
      </c>
      <c r="F28" s="1740"/>
      <c r="G28" s="1007"/>
      <c r="H28" s="3554"/>
      <c r="I28" s="1007"/>
      <c r="J28" s="1963"/>
      <c r="K28" s="1967"/>
      <c r="L28" s="2821"/>
    </row>
    <row r="29" spans="1:12" s="6" customFormat="1">
      <c r="A29" s="53">
        <v>1995.08</v>
      </c>
      <c r="B29" s="223">
        <v>93113</v>
      </c>
      <c r="C29" s="3553"/>
      <c r="D29" s="588"/>
      <c r="E29" s="187">
        <v>852.58626050524583</v>
      </c>
      <c r="F29" s="1740"/>
      <c r="G29" s="1007"/>
      <c r="H29" s="3554"/>
      <c r="I29" s="1007"/>
      <c r="J29" s="1963"/>
      <c r="K29" s="1967"/>
      <c r="L29" s="2821"/>
    </row>
    <row r="30" spans="1:12" s="6" customFormat="1">
      <c r="A30" s="53">
        <v>1995.09</v>
      </c>
      <c r="B30" s="223">
        <v>93061</v>
      </c>
      <c r="C30" s="3553"/>
      <c r="D30" s="588"/>
      <c r="E30" s="187">
        <v>958.58730218190476</v>
      </c>
      <c r="F30" s="1740"/>
      <c r="G30" s="1007"/>
      <c r="H30" s="3554"/>
      <c r="I30" s="1007"/>
      <c r="J30" s="1963"/>
      <c r="K30" s="1967"/>
      <c r="L30" s="2821"/>
    </row>
    <row r="31" spans="1:12" s="6" customFormat="1">
      <c r="A31" s="53">
        <v>1995.1</v>
      </c>
      <c r="B31" s="223">
        <v>93005</v>
      </c>
      <c r="C31" s="3553"/>
      <c r="D31" s="588"/>
      <c r="E31" s="187">
        <v>1071.8853974395306</v>
      </c>
      <c r="F31" s="1740"/>
      <c r="G31" s="1007"/>
      <c r="H31" s="3554"/>
      <c r="I31" s="1007"/>
      <c r="J31" s="1963"/>
      <c r="K31" s="1967"/>
      <c r="L31" s="2821"/>
    </row>
    <row r="32" spans="1:12" s="6" customFormat="1">
      <c r="A32" s="53">
        <v>1995.11</v>
      </c>
      <c r="B32" s="223">
        <v>92430</v>
      </c>
      <c r="C32" s="3553"/>
      <c r="D32" s="588"/>
      <c r="E32" s="187">
        <v>1193.4856267822361</v>
      </c>
      <c r="F32" s="1740"/>
      <c r="G32" s="1007"/>
      <c r="H32" s="3554"/>
      <c r="I32" s="1007"/>
      <c r="J32" s="1963"/>
      <c r="K32" s="1967"/>
      <c r="L32" s="2821"/>
    </row>
    <row r="33" spans="1:12" s="6" customFormat="1">
      <c r="A33" s="53">
        <v>1995.12</v>
      </c>
      <c r="B33" s="223">
        <v>92195</v>
      </c>
      <c r="C33" s="3553"/>
      <c r="D33" s="588"/>
      <c r="E33" s="187">
        <v>1425.9639999999999</v>
      </c>
      <c r="F33" s="1740"/>
      <c r="G33" s="1007"/>
      <c r="H33" s="3554"/>
      <c r="I33" s="1007"/>
      <c r="J33" s="1963"/>
      <c r="K33" s="1967"/>
      <c r="L33" s="2821"/>
    </row>
    <row r="34" spans="1:12" s="6" customFormat="1">
      <c r="A34" s="53">
        <v>1996.01</v>
      </c>
      <c r="B34" s="223">
        <v>92046</v>
      </c>
      <c r="C34" s="3553"/>
      <c r="D34" s="588"/>
      <c r="E34" s="187">
        <v>92.076119320534076</v>
      </c>
      <c r="F34" s="1740"/>
      <c r="G34" s="1007"/>
      <c r="H34" s="3554"/>
      <c r="I34" s="1007"/>
      <c r="J34" s="1963"/>
      <c r="K34" s="1967"/>
      <c r="L34" s="2821"/>
    </row>
    <row r="35" spans="1:12" s="6" customFormat="1">
      <c r="A35" s="53">
        <v>1996.02</v>
      </c>
      <c r="B35" s="223">
        <v>91999</v>
      </c>
      <c r="C35" s="3553"/>
      <c r="D35" s="588"/>
      <c r="E35" s="187">
        <v>190.01106499403312</v>
      </c>
      <c r="F35" s="1740"/>
      <c r="G35" s="1007"/>
      <c r="H35" s="3554"/>
      <c r="I35" s="1007"/>
      <c r="J35" s="1963"/>
      <c r="K35" s="1967"/>
      <c r="L35" s="2821"/>
    </row>
    <row r="36" spans="1:12" s="6" customFormat="1">
      <c r="A36" s="53">
        <v>1996.03</v>
      </c>
      <c r="B36" s="223">
        <v>91859</v>
      </c>
      <c r="C36" s="3553"/>
      <c r="D36" s="588"/>
      <c r="E36" s="187">
        <v>291.85525658775953</v>
      </c>
      <c r="F36" s="1740"/>
      <c r="G36" s="1007"/>
      <c r="H36" s="3554"/>
      <c r="I36" s="1007"/>
      <c r="J36" s="1963"/>
      <c r="K36" s="1967"/>
      <c r="L36" s="2821"/>
    </row>
    <row r="37" spans="1:12" s="6" customFormat="1">
      <c r="A37" s="53">
        <v>1996.04</v>
      </c>
      <c r="B37" s="223">
        <v>91791</v>
      </c>
      <c r="C37" s="3553"/>
      <c r="D37" s="588"/>
      <c r="E37" s="187">
        <v>395.24008601308151</v>
      </c>
      <c r="F37" s="1740"/>
      <c r="G37" s="1007"/>
      <c r="H37" s="3554"/>
      <c r="I37" s="1007"/>
      <c r="J37" s="1963"/>
      <c r="K37" s="1967"/>
      <c r="L37" s="2821"/>
    </row>
    <row r="38" spans="1:12" s="6" customFormat="1">
      <c r="A38" s="53">
        <v>1996.05</v>
      </c>
      <c r="B38" s="223">
        <v>91696</v>
      </c>
      <c r="C38" s="3553"/>
      <c r="D38" s="588"/>
      <c r="E38" s="187">
        <v>500.0881819978145</v>
      </c>
      <c r="F38" s="1740"/>
      <c r="G38" s="1007"/>
      <c r="H38" s="3554"/>
      <c r="I38" s="1007"/>
      <c r="J38" s="1963"/>
      <c r="K38" s="1967"/>
      <c r="L38" s="2821"/>
    </row>
    <row r="39" spans="1:12" s="6" customFormat="1">
      <c r="A39" s="53">
        <v>1996.06</v>
      </c>
      <c r="B39" s="223">
        <v>91618</v>
      </c>
      <c r="C39" s="3553"/>
      <c r="D39" s="588"/>
      <c r="E39" s="187">
        <v>635.21744412484168</v>
      </c>
      <c r="F39" s="1740"/>
      <c r="G39" s="1007"/>
      <c r="H39" s="3554"/>
      <c r="I39" s="1007"/>
      <c r="J39" s="1963"/>
      <c r="K39" s="1967"/>
      <c r="L39" s="2821"/>
    </row>
    <row r="40" spans="1:12" s="6" customFormat="1">
      <c r="A40" s="53">
        <v>1996.07</v>
      </c>
      <c r="B40" s="223">
        <v>91244</v>
      </c>
      <c r="C40" s="3553"/>
      <c r="D40" s="588"/>
      <c r="E40" s="187">
        <v>741.35208634749006</v>
      </c>
      <c r="F40" s="1740"/>
      <c r="G40" s="1007"/>
      <c r="H40" s="3554"/>
      <c r="I40" s="1007"/>
      <c r="J40" s="1963"/>
      <c r="K40" s="1967"/>
      <c r="L40" s="2821"/>
    </row>
    <row r="41" spans="1:12" s="6" customFormat="1">
      <c r="A41" s="53">
        <v>1996.08</v>
      </c>
      <c r="B41" s="223">
        <v>91147</v>
      </c>
      <c r="C41" s="3553"/>
      <c r="D41" s="588"/>
      <c r="E41" s="187">
        <v>847.23264892980353</v>
      </c>
      <c r="F41" s="1740"/>
      <c r="G41" s="1007"/>
      <c r="H41" s="3554"/>
      <c r="I41" s="1007"/>
      <c r="J41" s="1963"/>
      <c r="K41" s="1967"/>
      <c r="L41" s="2821"/>
    </row>
    <row r="42" spans="1:12" s="6" customFormat="1">
      <c r="A42" s="53">
        <v>1996.09</v>
      </c>
      <c r="B42" s="223">
        <v>91033</v>
      </c>
      <c r="C42" s="3553"/>
      <c r="D42" s="588"/>
      <c r="E42" s="187">
        <v>952.56808240936016</v>
      </c>
      <c r="F42" s="1740"/>
      <c r="G42" s="1007"/>
      <c r="H42" s="3554"/>
      <c r="I42" s="1007"/>
      <c r="J42" s="1963"/>
      <c r="K42" s="1967"/>
      <c r="L42" s="2821"/>
    </row>
    <row r="43" spans="1:12" s="6" customFormat="1">
      <c r="A43" s="53">
        <v>1996.1</v>
      </c>
      <c r="B43" s="223">
        <v>91052</v>
      </c>
      <c r="C43" s="3553"/>
      <c r="D43" s="588"/>
      <c r="E43" s="187">
        <v>1065.1547493665964</v>
      </c>
      <c r="F43" s="1740"/>
      <c r="G43" s="1007"/>
      <c r="H43" s="3554"/>
      <c r="I43" s="1007"/>
      <c r="J43" s="1963"/>
      <c r="K43" s="1967"/>
      <c r="L43" s="2821"/>
    </row>
    <row r="44" spans="1:12" s="6" customFormat="1">
      <c r="A44" s="53">
        <v>1996.11</v>
      </c>
      <c r="B44" s="223">
        <v>90919</v>
      </c>
      <c r="C44" s="3553"/>
      <c r="D44" s="588"/>
      <c r="E44" s="187">
        <v>1185.991419142907</v>
      </c>
      <c r="F44" s="1740"/>
      <c r="G44" s="1007"/>
      <c r="H44" s="3554"/>
      <c r="I44" s="1007"/>
      <c r="J44" s="1963"/>
      <c r="K44" s="1967"/>
      <c r="L44" s="2821"/>
    </row>
    <row r="45" spans="1:12" s="6" customFormat="1">
      <c r="A45" s="53">
        <v>1996.12</v>
      </c>
      <c r="B45" s="223">
        <v>90981</v>
      </c>
      <c r="C45" s="3553"/>
      <c r="D45" s="588"/>
      <c r="E45" s="187">
        <v>1417.01</v>
      </c>
      <c r="F45" s="1740"/>
      <c r="G45" s="1007"/>
      <c r="H45" s="3554"/>
      <c r="I45" s="1007"/>
      <c r="J45" s="1963"/>
      <c r="K45" s="1967"/>
      <c r="L45" s="2821"/>
    </row>
    <row r="46" spans="1:12" s="6" customFormat="1">
      <c r="A46" s="53">
        <v>1997.01</v>
      </c>
      <c r="B46" s="223">
        <v>90715</v>
      </c>
      <c r="C46" s="3553"/>
      <c r="D46" s="588"/>
      <c r="E46" s="187">
        <v>92.565542352638488</v>
      </c>
      <c r="F46" s="1740"/>
      <c r="G46" s="1007"/>
      <c r="H46" s="3554"/>
      <c r="I46" s="1007"/>
      <c r="J46" s="1963"/>
      <c r="K46" s="1967"/>
      <c r="L46" s="2821"/>
    </row>
    <row r="47" spans="1:12" s="6" customFormat="1">
      <c r="A47" s="53">
        <v>1997.02</v>
      </c>
      <c r="B47" s="223">
        <v>90635</v>
      </c>
      <c r="C47" s="3553"/>
      <c r="D47" s="588"/>
      <c r="E47" s="187">
        <v>191.02105316739465</v>
      </c>
      <c r="F47" s="1740"/>
      <c r="G47" s="1007"/>
      <c r="H47" s="3554"/>
      <c r="I47" s="1007"/>
      <c r="J47" s="1963"/>
      <c r="K47" s="1967"/>
      <c r="L47" s="2821"/>
    </row>
    <row r="48" spans="1:12" s="6" customFormat="1">
      <c r="A48" s="53">
        <v>1997.03</v>
      </c>
      <c r="B48" s="223">
        <v>90625</v>
      </c>
      <c r="C48" s="3553"/>
      <c r="D48" s="588"/>
      <c r="E48" s="187">
        <v>293.40658917723948</v>
      </c>
      <c r="F48" s="1740"/>
      <c r="G48" s="1007"/>
      <c r="H48" s="3554"/>
      <c r="I48" s="1007"/>
      <c r="J48" s="1963"/>
      <c r="K48" s="1967"/>
      <c r="L48" s="2821"/>
    </row>
    <row r="49" spans="1:12" s="6" customFormat="1">
      <c r="A49" s="53">
        <v>1997.04</v>
      </c>
      <c r="B49" s="223">
        <v>90606</v>
      </c>
      <c r="C49" s="3553"/>
      <c r="D49" s="588"/>
      <c r="E49" s="187">
        <v>397.34095215224102</v>
      </c>
      <c r="F49" s="1740"/>
      <c r="G49" s="1007"/>
      <c r="H49" s="3554"/>
      <c r="I49" s="1007"/>
      <c r="J49" s="1963"/>
      <c r="K49" s="1967"/>
      <c r="L49" s="2821"/>
    </row>
    <row r="50" spans="1:12" s="6" customFormat="1">
      <c r="A50" s="53">
        <v>1997.05</v>
      </c>
      <c r="B50" s="223">
        <v>91051</v>
      </c>
      <c r="C50" s="3553"/>
      <c r="D50" s="588"/>
      <c r="E50" s="187">
        <v>502.74635955958706</v>
      </c>
      <c r="F50" s="1740"/>
      <c r="G50" s="1007"/>
      <c r="H50" s="3554"/>
      <c r="I50" s="1007"/>
      <c r="J50" s="1963"/>
      <c r="K50" s="1967"/>
      <c r="L50" s="2821"/>
    </row>
    <row r="51" spans="1:12" s="6" customFormat="1">
      <c r="A51" s="53">
        <v>1997.06</v>
      </c>
      <c r="B51" s="223">
        <v>91034</v>
      </c>
      <c r="C51" s="3553"/>
      <c r="D51" s="588"/>
      <c r="E51" s="187">
        <v>638.5938901549672</v>
      </c>
      <c r="F51" s="1740"/>
      <c r="G51" s="1007"/>
      <c r="H51" s="3554"/>
      <c r="I51" s="1007"/>
      <c r="J51" s="1963"/>
      <c r="K51" s="1967"/>
      <c r="L51" s="2821"/>
    </row>
    <row r="52" spans="1:12" s="6" customFormat="1">
      <c r="A52" s="53">
        <v>1997.07</v>
      </c>
      <c r="B52" s="223">
        <v>91141</v>
      </c>
      <c r="C52" s="3553"/>
      <c r="D52" s="588"/>
      <c r="E52" s="187">
        <v>745.29268233084179</v>
      </c>
      <c r="F52" s="1740"/>
      <c r="G52" s="1007"/>
      <c r="H52" s="3554"/>
      <c r="I52" s="1007"/>
      <c r="J52" s="1963"/>
      <c r="K52" s="1967"/>
      <c r="L52" s="2821"/>
    </row>
    <row r="53" spans="1:12" s="6" customFormat="1">
      <c r="A53" s="53">
        <v>1997.08</v>
      </c>
      <c r="B53" s="223">
        <v>91154</v>
      </c>
      <c r="C53" s="3553"/>
      <c r="D53" s="588"/>
      <c r="E53" s="187">
        <v>851.73604432697027</v>
      </c>
      <c r="F53" s="1740"/>
      <c r="G53" s="1007"/>
      <c r="H53" s="3554"/>
      <c r="I53" s="1007"/>
      <c r="J53" s="1963"/>
      <c r="K53" s="1967"/>
      <c r="L53" s="2821"/>
    </row>
    <row r="54" spans="1:12" s="6" customFormat="1">
      <c r="A54" s="53">
        <v>1997.09</v>
      </c>
      <c r="B54" s="223">
        <v>91117</v>
      </c>
      <c r="C54" s="3553"/>
      <c r="D54" s="588"/>
      <c r="E54" s="187">
        <v>957.63137963147381</v>
      </c>
      <c r="F54" s="1740"/>
      <c r="G54" s="1007"/>
      <c r="H54" s="3554"/>
      <c r="I54" s="1007"/>
      <c r="J54" s="1963"/>
      <c r="K54" s="1967"/>
      <c r="L54" s="2821"/>
    </row>
    <row r="55" spans="1:12" s="6" customFormat="1">
      <c r="A55" s="53">
        <v>1997.1</v>
      </c>
      <c r="B55" s="223">
        <v>91089</v>
      </c>
      <c r="C55" s="3553"/>
      <c r="D55" s="588"/>
      <c r="E55" s="187">
        <v>1070.8164917482516</v>
      </c>
      <c r="F55" s="1740"/>
      <c r="G55" s="1007"/>
      <c r="H55" s="3554"/>
      <c r="I55" s="1007"/>
      <c r="J55" s="1963"/>
      <c r="K55" s="1967"/>
      <c r="L55" s="2821"/>
    </row>
    <row r="56" spans="1:12" s="6" customFormat="1">
      <c r="A56" s="53">
        <v>1997.11</v>
      </c>
      <c r="B56" s="223">
        <v>90986</v>
      </c>
      <c r="C56" s="3553"/>
      <c r="D56" s="588"/>
      <c r="E56" s="187">
        <v>1192.2954588949092</v>
      </c>
      <c r="F56" s="1740"/>
      <c r="G56" s="1007"/>
      <c r="H56" s="3554"/>
      <c r="I56" s="1007"/>
      <c r="J56" s="1963"/>
      <c r="K56" s="1967"/>
      <c r="L56" s="2821"/>
    </row>
    <row r="57" spans="1:12" s="6" customFormat="1">
      <c r="A57" s="53">
        <v>1997.12</v>
      </c>
      <c r="B57" s="223">
        <v>91855</v>
      </c>
      <c r="C57" s="3553"/>
      <c r="D57" s="588"/>
      <c r="E57" s="187">
        <v>1424.5419999999999</v>
      </c>
      <c r="F57" s="1740"/>
      <c r="G57" s="1007"/>
      <c r="H57" s="3554"/>
      <c r="I57" s="1007"/>
      <c r="J57" s="1963"/>
      <c r="K57" s="1967"/>
      <c r="L57" s="2821"/>
    </row>
    <row r="58" spans="1:12" s="6" customFormat="1">
      <c r="A58" s="53">
        <v>1998.01</v>
      </c>
      <c r="B58" s="223">
        <v>94091</v>
      </c>
      <c r="C58" s="3553"/>
      <c r="D58" s="588"/>
      <c r="E58" s="187">
        <v>94.500751691742792</v>
      </c>
      <c r="F58" s="1740"/>
      <c r="G58" s="1007"/>
      <c r="H58" s="3554"/>
      <c r="I58" s="1007"/>
      <c r="J58" s="1963"/>
      <c r="K58" s="1967"/>
      <c r="L58" s="2821"/>
    </row>
    <row r="59" spans="1:12" s="6" customFormat="1">
      <c r="A59" s="53">
        <v>1998.02</v>
      </c>
      <c r="B59" s="223">
        <v>94019</v>
      </c>
      <c r="C59" s="3553"/>
      <c r="D59" s="588"/>
      <c r="E59" s="187">
        <v>195.01460969674338</v>
      </c>
      <c r="F59" s="1740"/>
      <c r="G59" s="1007"/>
      <c r="H59" s="3554"/>
      <c r="I59" s="1007"/>
      <c r="J59" s="1963"/>
      <c r="K59" s="1967"/>
      <c r="L59" s="2821"/>
    </row>
    <row r="60" spans="1:12" s="6" customFormat="1">
      <c r="A60" s="53">
        <v>1998.03</v>
      </c>
      <c r="B60" s="223">
        <v>93946</v>
      </c>
      <c r="C60" s="3553"/>
      <c r="D60" s="588"/>
      <c r="E60" s="187">
        <v>299.54065545178719</v>
      </c>
      <c r="F60" s="1740"/>
      <c r="G60" s="1007"/>
      <c r="H60" s="3554"/>
      <c r="I60" s="1007"/>
      <c r="J60" s="1963"/>
      <c r="K60" s="1967"/>
      <c r="L60" s="2821"/>
    </row>
    <row r="61" spans="1:12" s="6" customFormat="1">
      <c r="A61" s="53">
        <v>1998.04</v>
      </c>
      <c r="B61" s="223">
        <v>93864</v>
      </c>
      <c r="C61" s="3553"/>
      <c r="D61" s="588"/>
      <c r="E61" s="187">
        <v>405.64790851926864</v>
      </c>
      <c r="F61" s="1740"/>
      <c r="G61" s="1007"/>
      <c r="H61" s="3554"/>
      <c r="I61" s="1007"/>
      <c r="J61" s="1963"/>
      <c r="K61" s="1967"/>
      <c r="L61" s="2821"/>
    </row>
    <row r="62" spans="1:12" s="6" customFormat="1">
      <c r="A62" s="53">
        <v>1998.05</v>
      </c>
      <c r="B62" s="223">
        <v>95340.5</v>
      </c>
      <c r="C62" s="3553"/>
      <c r="D62" s="588"/>
      <c r="E62" s="187">
        <v>513.25696021608155</v>
      </c>
      <c r="F62" s="1740"/>
      <c r="G62" s="1007"/>
      <c r="H62" s="3554"/>
      <c r="I62" s="1007"/>
      <c r="J62" s="1963"/>
      <c r="K62" s="1967"/>
      <c r="L62" s="2821"/>
    </row>
    <row r="63" spans="1:12" s="6" customFormat="1">
      <c r="A63" s="53">
        <v>1998.06</v>
      </c>
      <c r="B63" s="223">
        <v>95398.933333333334</v>
      </c>
      <c r="C63" s="3553"/>
      <c r="D63" s="588"/>
      <c r="E63" s="187">
        <v>651.94456934631125</v>
      </c>
      <c r="F63" s="1740"/>
      <c r="G63" s="1007"/>
      <c r="H63" s="3554"/>
      <c r="I63" s="1007"/>
      <c r="J63" s="1963"/>
      <c r="K63" s="1967"/>
      <c r="L63" s="2821"/>
    </row>
    <row r="64" spans="1:12" s="6" customFormat="1">
      <c r="A64" s="53">
        <v>1998.07</v>
      </c>
      <c r="B64" s="223">
        <v>93333.933333333334</v>
      </c>
      <c r="C64" s="3553"/>
      <c r="D64" s="588"/>
      <c r="E64" s="187">
        <v>760.87404579023962</v>
      </c>
      <c r="F64" s="1740"/>
      <c r="G64" s="1007"/>
      <c r="H64" s="3554"/>
      <c r="I64" s="1007"/>
      <c r="J64" s="1963"/>
      <c r="K64" s="1967"/>
      <c r="L64" s="2821"/>
    </row>
    <row r="65" spans="1:12" s="6" customFormat="1">
      <c r="A65" s="53">
        <v>1998.08</v>
      </c>
      <c r="B65" s="223">
        <v>93401.8</v>
      </c>
      <c r="C65" s="3553"/>
      <c r="D65" s="588"/>
      <c r="E65" s="187">
        <v>869.54275193695719</v>
      </c>
      <c r="F65" s="1740"/>
      <c r="G65" s="1007"/>
      <c r="H65" s="3554"/>
      <c r="I65" s="1007"/>
      <c r="J65" s="1963"/>
      <c r="K65" s="1967"/>
      <c r="L65" s="2821"/>
    </row>
    <row r="66" spans="1:12" s="6" customFormat="1">
      <c r="A66" s="53">
        <v>1998.09</v>
      </c>
      <c r="B66" s="223">
        <v>93416.733333333337</v>
      </c>
      <c r="C66" s="3553"/>
      <c r="D66" s="588"/>
      <c r="E66" s="187">
        <v>977.65197414408544</v>
      </c>
      <c r="F66" s="1740"/>
      <c r="G66" s="1007"/>
      <c r="H66" s="3554"/>
      <c r="I66" s="1007"/>
      <c r="J66" s="1963"/>
      <c r="K66" s="1967"/>
      <c r="L66" s="2821"/>
    </row>
    <row r="67" spans="1:12" s="6" customFormat="1">
      <c r="A67" s="53">
        <v>1998.1</v>
      </c>
      <c r="B67" s="223">
        <v>96002.766666666663</v>
      </c>
      <c r="C67" s="3553"/>
      <c r="D67" s="588"/>
      <c r="E67" s="187">
        <v>1093.2033759238298</v>
      </c>
      <c r="F67" s="1740"/>
      <c r="G67" s="1007"/>
      <c r="H67" s="3554"/>
      <c r="I67" s="1007"/>
      <c r="J67" s="1963"/>
      <c r="K67" s="1967"/>
      <c r="L67" s="2821"/>
    </row>
    <row r="68" spans="1:12" s="6" customFormat="1">
      <c r="A68" s="53">
        <v>1998.11</v>
      </c>
      <c r="B68" s="223">
        <v>96146</v>
      </c>
      <c r="C68" s="3553"/>
      <c r="D68" s="588"/>
      <c r="E68" s="187">
        <v>1217.2220271230192</v>
      </c>
      <c r="F68" s="1740"/>
      <c r="G68" s="1007"/>
      <c r="H68" s="3554"/>
      <c r="I68" s="1007"/>
      <c r="J68" s="1963"/>
      <c r="K68" s="1967"/>
      <c r="L68" s="2821"/>
    </row>
    <row r="69" spans="1:12" s="6" customFormat="1">
      <c r="A69" s="53">
        <v>1998.12</v>
      </c>
      <c r="B69" s="223">
        <v>96327.566666666666</v>
      </c>
      <c r="C69" s="3553"/>
      <c r="D69" s="588"/>
      <c r="E69" s="187">
        <v>1454.3240000000001</v>
      </c>
      <c r="F69" s="1740"/>
      <c r="G69" s="1007"/>
      <c r="H69" s="3554"/>
      <c r="I69" s="1007"/>
      <c r="J69" s="1963"/>
      <c r="K69" s="1967"/>
      <c r="L69" s="2821"/>
    </row>
    <row r="70" spans="1:12" s="6" customFormat="1">
      <c r="A70" s="53">
        <v>1999.01</v>
      </c>
      <c r="B70" s="223">
        <v>96374.866666666669</v>
      </c>
      <c r="C70" s="3553"/>
      <c r="D70" s="588"/>
      <c r="E70" s="187">
        <v>101.41251994744025</v>
      </c>
      <c r="F70" s="1740"/>
      <c r="G70" s="1007"/>
      <c r="H70" s="3554"/>
      <c r="I70" s="1007"/>
      <c r="J70" s="1963"/>
      <c r="K70" s="1967"/>
      <c r="L70" s="2821"/>
    </row>
    <row r="71" spans="1:12" s="6" customFormat="1">
      <c r="A71" s="53">
        <v>1999.02</v>
      </c>
      <c r="B71" s="223">
        <v>96361.866666666669</v>
      </c>
      <c r="C71" s="3553"/>
      <c r="D71" s="588"/>
      <c r="E71" s="187">
        <v>209.27794373979899</v>
      </c>
      <c r="F71" s="1740"/>
      <c r="G71" s="1007"/>
      <c r="H71" s="3554"/>
      <c r="I71" s="1007"/>
      <c r="J71" s="1963"/>
      <c r="K71" s="1967"/>
      <c r="L71" s="2821"/>
    </row>
    <row r="72" spans="1:12" s="6" customFormat="1">
      <c r="A72" s="53">
        <v>1999.03</v>
      </c>
      <c r="B72" s="223">
        <v>96441.666666666672</v>
      </c>
      <c r="C72" s="3553"/>
      <c r="D72" s="588"/>
      <c r="E72" s="187">
        <v>321.44900598423459</v>
      </c>
      <c r="F72" s="1740"/>
      <c r="G72" s="1007"/>
      <c r="H72" s="3554"/>
      <c r="I72" s="1007"/>
      <c r="J72" s="1963"/>
      <c r="K72" s="1967"/>
      <c r="L72" s="2821"/>
    </row>
    <row r="73" spans="1:12" s="6" customFormat="1">
      <c r="A73" s="53">
        <v>1999.04</v>
      </c>
      <c r="B73" s="223">
        <v>96502.666666666672</v>
      </c>
      <c r="C73" s="3553"/>
      <c r="D73" s="588"/>
      <c r="E73" s="187">
        <v>435.31692476412593</v>
      </c>
      <c r="F73" s="1740"/>
      <c r="G73" s="1007"/>
      <c r="H73" s="3554"/>
      <c r="I73" s="1007"/>
      <c r="J73" s="1963"/>
      <c r="K73" s="1967"/>
      <c r="L73" s="2821"/>
    </row>
    <row r="74" spans="1:12" s="6" customFormat="1">
      <c r="A74" s="53">
        <v>1999.05</v>
      </c>
      <c r="B74" s="223">
        <v>96278</v>
      </c>
      <c r="C74" s="3553"/>
      <c r="D74" s="588"/>
      <c r="E74" s="187">
        <v>550.79648345933686</v>
      </c>
      <c r="F74" s="1740"/>
      <c r="G74" s="1007"/>
      <c r="H74" s="3554"/>
      <c r="I74" s="1007"/>
      <c r="J74" s="1963"/>
      <c r="K74" s="1967"/>
      <c r="L74" s="2821"/>
    </row>
    <row r="75" spans="1:12" s="6" customFormat="1">
      <c r="A75" s="53">
        <v>1999.06</v>
      </c>
      <c r="B75" s="223">
        <v>96203</v>
      </c>
      <c r="C75" s="3553"/>
      <c r="D75" s="588"/>
      <c r="E75" s="187">
        <v>699.62767977892292</v>
      </c>
      <c r="F75" s="1740"/>
      <c r="G75" s="1007"/>
      <c r="H75" s="3554"/>
      <c r="I75" s="1007"/>
      <c r="J75" s="1963"/>
      <c r="K75" s="1967"/>
      <c r="L75" s="2821"/>
    </row>
    <row r="76" spans="1:12" s="6" customFormat="1">
      <c r="A76" s="53">
        <v>1999.07</v>
      </c>
      <c r="B76" s="223">
        <v>96364.133333333331</v>
      </c>
      <c r="C76" s="3553"/>
      <c r="D76" s="588"/>
      <c r="E76" s="187">
        <v>816.52423885358849</v>
      </c>
      <c r="F76" s="1740"/>
      <c r="G76" s="1007"/>
      <c r="H76" s="3554"/>
      <c r="I76" s="1007"/>
      <c r="J76" s="1963"/>
      <c r="K76" s="1967"/>
      <c r="L76" s="2821"/>
    </row>
    <row r="77" spans="1:12" s="6" customFormat="1">
      <c r="A77" s="53">
        <v>1999.08</v>
      </c>
      <c r="B77" s="223">
        <v>96408.366666666669</v>
      </c>
      <c r="C77" s="3553"/>
      <c r="D77" s="588"/>
      <c r="E77" s="187">
        <v>933.14095493765171</v>
      </c>
      <c r="F77" s="1740"/>
      <c r="G77" s="1007"/>
      <c r="H77" s="3554"/>
      <c r="I77" s="1007"/>
      <c r="J77" s="1963"/>
      <c r="K77" s="1967"/>
      <c r="L77" s="2821"/>
    </row>
    <row r="78" spans="1:12" s="6" customFormat="1">
      <c r="A78" s="53">
        <v>1999.09</v>
      </c>
      <c r="B78" s="223">
        <v>96389</v>
      </c>
      <c r="C78" s="3553"/>
      <c r="D78" s="588"/>
      <c r="E78" s="187">
        <v>1049.1572665257913</v>
      </c>
      <c r="F78" s="1740"/>
      <c r="G78" s="1007"/>
      <c r="H78" s="3554"/>
      <c r="I78" s="1007"/>
      <c r="J78" s="1963"/>
      <c r="K78" s="1967"/>
      <c r="L78" s="2821"/>
    </row>
    <row r="79" spans="1:12" s="6" customFormat="1">
      <c r="A79" s="53">
        <v>1999.1</v>
      </c>
      <c r="B79" s="223">
        <v>96271.366666666669</v>
      </c>
      <c r="C79" s="3553"/>
      <c r="D79" s="588"/>
      <c r="E79" s="187">
        <v>1173.1600773835057</v>
      </c>
      <c r="F79" s="1740"/>
      <c r="G79" s="1007"/>
      <c r="H79" s="3554"/>
      <c r="I79" s="1007"/>
      <c r="J79" s="1963"/>
      <c r="K79" s="1967"/>
      <c r="L79" s="2821"/>
    </row>
    <row r="80" spans="1:12" s="6" customFormat="1">
      <c r="A80" s="53">
        <v>1999.11</v>
      </c>
      <c r="B80" s="223">
        <v>97687.6</v>
      </c>
      <c r="C80" s="3553"/>
      <c r="D80" s="588"/>
      <c r="E80" s="187">
        <v>1306.2494307848224</v>
      </c>
      <c r="F80" s="1740"/>
      <c r="G80" s="1007"/>
      <c r="H80" s="3554"/>
      <c r="I80" s="1007"/>
      <c r="J80" s="1963"/>
      <c r="K80" s="1967"/>
      <c r="L80" s="2821"/>
    </row>
    <row r="81" spans="1:12" s="6" customFormat="1">
      <c r="A81" s="53">
        <v>1999.12</v>
      </c>
      <c r="B81" s="223">
        <v>97477.733333333337</v>
      </c>
      <c r="C81" s="3553"/>
      <c r="D81" s="588"/>
      <c r="E81" s="187">
        <v>1560.693</v>
      </c>
      <c r="F81" s="1740"/>
      <c r="G81" s="1007"/>
      <c r="H81" s="3554"/>
      <c r="I81" s="1007"/>
      <c r="J81" s="1963"/>
      <c r="K81" s="1967"/>
      <c r="L81" s="2821"/>
    </row>
    <row r="82" spans="1:12" s="6" customFormat="1">
      <c r="A82" s="53">
        <v>2000.01</v>
      </c>
      <c r="B82" s="223">
        <v>98139</v>
      </c>
      <c r="C82" s="3553"/>
      <c r="D82" s="588"/>
      <c r="E82" s="187">
        <v>106.20791696632941</v>
      </c>
      <c r="F82" s="1740"/>
      <c r="G82" s="1007"/>
      <c r="H82" s="3554"/>
      <c r="I82" s="1007"/>
      <c r="J82" s="1963"/>
      <c r="K82" s="1967"/>
      <c r="L82" s="2821"/>
    </row>
    <row r="83" spans="1:12" s="6" customFormat="1">
      <c r="A83" s="53">
        <v>2000.02</v>
      </c>
      <c r="B83" s="223">
        <v>98128.4</v>
      </c>
      <c r="C83" s="3553"/>
      <c r="D83" s="588"/>
      <c r="E83" s="187">
        <v>219.17387008152889</v>
      </c>
      <c r="F83" s="1740"/>
      <c r="G83" s="1007"/>
      <c r="H83" s="3554"/>
      <c r="I83" s="1007"/>
      <c r="J83" s="1963"/>
      <c r="K83" s="1967"/>
      <c r="L83" s="2821"/>
    </row>
    <row r="84" spans="1:12" s="6" customFormat="1">
      <c r="A84" s="53">
        <v>2000.03</v>
      </c>
      <c r="B84" s="223">
        <v>98154.4</v>
      </c>
      <c r="C84" s="3553"/>
      <c r="D84" s="588"/>
      <c r="E84" s="187">
        <v>336.64905826397865</v>
      </c>
      <c r="F84" s="1740"/>
      <c r="G84" s="1007"/>
      <c r="H84" s="3554"/>
      <c r="I84" s="1007"/>
      <c r="J84" s="1963"/>
      <c r="K84" s="1967"/>
      <c r="L84" s="2821"/>
    </row>
    <row r="85" spans="1:12" s="6" customFormat="1">
      <c r="A85" s="53">
        <v>2000.04</v>
      </c>
      <c r="B85" s="223">
        <v>98959</v>
      </c>
      <c r="C85" s="3553"/>
      <c r="D85" s="588"/>
      <c r="E85" s="187">
        <v>455.90134061699899</v>
      </c>
      <c r="F85" s="1740"/>
      <c r="G85" s="1007"/>
      <c r="H85" s="3554"/>
      <c r="I85" s="1007"/>
      <c r="J85" s="1963"/>
      <c r="K85" s="1967"/>
      <c r="L85" s="2821"/>
    </row>
    <row r="86" spans="1:12" s="6" customFormat="1">
      <c r="A86" s="53">
        <v>2000.05</v>
      </c>
      <c r="B86" s="223">
        <v>98956.4</v>
      </c>
      <c r="C86" s="3553"/>
      <c r="D86" s="588"/>
      <c r="E86" s="187">
        <v>576.84147096348784</v>
      </c>
      <c r="F86" s="1740"/>
      <c r="G86" s="1007"/>
      <c r="H86" s="3554"/>
      <c r="I86" s="1007"/>
      <c r="J86" s="1963"/>
      <c r="K86" s="1967"/>
      <c r="L86" s="2821"/>
    </row>
    <row r="87" spans="1:12" s="6" customFormat="1">
      <c r="A87" s="53">
        <v>2000.06</v>
      </c>
      <c r="B87" s="223">
        <v>98880.4</v>
      </c>
      <c r="C87" s="3553"/>
      <c r="D87" s="588"/>
      <c r="E87" s="187">
        <v>732.71030598407981</v>
      </c>
      <c r="F87" s="1740"/>
      <c r="G87" s="1007"/>
      <c r="H87" s="3554"/>
      <c r="I87" s="1007"/>
      <c r="J87" s="1963"/>
      <c r="K87" s="1967"/>
      <c r="L87" s="2821"/>
    </row>
    <row r="88" spans="1:12" s="6" customFormat="1">
      <c r="A88" s="53">
        <v>2000.07</v>
      </c>
      <c r="B88" s="223">
        <v>98850.766666666663</v>
      </c>
      <c r="C88" s="3553"/>
      <c r="D88" s="588"/>
      <c r="E88" s="187">
        <v>855.13444105424958</v>
      </c>
      <c r="F88" s="1740"/>
      <c r="G88" s="1007"/>
      <c r="H88" s="3554"/>
      <c r="I88" s="1007"/>
      <c r="J88" s="1963"/>
      <c r="K88" s="1967"/>
      <c r="L88" s="2821"/>
    </row>
    <row r="89" spans="1:12" s="6" customFormat="1">
      <c r="A89" s="53">
        <v>2000.08</v>
      </c>
      <c r="B89" s="223">
        <v>98682.7</v>
      </c>
      <c r="C89" s="3553"/>
      <c r="D89" s="588"/>
      <c r="E89" s="187">
        <v>977.26550046546788</v>
      </c>
      <c r="F89" s="1740"/>
      <c r="G89" s="1007"/>
      <c r="H89" s="3554"/>
      <c r="I89" s="1007"/>
      <c r="J89" s="1963"/>
      <c r="K89" s="1967"/>
      <c r="L89" s="2821"/>
    </row>
    <row r="90" spans="1:12" s="6" customFormat="1">
      <c r="A90" s="53">
        <v>2000.09</v>
      </c>
      <c r="B90" s="223">
        <v>99084.7</v>
      </c>
      <c r="C90" s="3553"/>
      <c r="D90" s="588"/>
      <c r="E90" s="187">
        <v>1098.7677646265306</v>
      </c>
      <c r="F90" s="1740"/>
      <c r="G90" s="1007"/>
      <c r="H90" s="3554"/>
      <c r="I90" s="1007"/>
      <c r="J90" s="1963"/>
      <c r="K90" s="1967"/>
      <c r="L90" s="2821"/>
    </row>
    <row r="91" spans="1:12" s="6" customFormat="1">
      <c r="A91" s="53">
        <v>2000.1</v>
      </c>
      <c r="B91" s="223">
        <v>99058.6</v>
      </c>
      <c r="C91" s="3553"/>
      <c r="D91" s="588"/>
      <c r="E91" s="187">
        <v>1228.6341780239427</v>
      </c>
      <c r="F91" s="1740"/>
      <c r="G91" s="1007"/>
      <c r="H91" s="3554"/>
      <c r="I91" s="1007"/>
      <c r="J91" s="1963"/>
      <c r="K91" s="1967"/>
      <c r="L91" s="2821"/>
    </row>
    <row r="92" spans="1:12" s="6" customFormat="1">
      <c r="A92" s="53">
        <v>2000.11</v>
      </c>
      <c r="B92" s="223">
        <v>99001.600000000006</v>
      </c>
      <c r="C92" s="3553"/>
      <c r="D92" s="588"/>
      <c r="E92" s="187">
        <v>1368.0168006278916</v>
      </c>
      <c r="F92" s="1740"/>
      <c r="G92" s="1007"/>
      <c r="H92" s="3554"/>
      <c r="I92" s="1007"/>
      <c r="J92" s="1963"/>
      <c r="K92" s="1967"/>
      <c r="L92" s="2821"/>
    </row>
    <row r="93" spans="1:12" s="6" customFormat="1">
      <c r="A93" s="53">
        <v>2000.12</v>
      </c>
      <c r="B93" s="223">
        <v>99042.6</v>
      </c>
      <c r="C93" s="3553"/>
      <c r="D93" s="588"/>
      <c r="E93" s="187">
        <v>1634.492</v>
      </c>
      <c r="F93" s="1740"/>
      <c r="G93" s="1007"/>
      <c r="H93" s="3554"/>
      <c r="I93" s="1007"/>
      <c r="J93" s="1963"/>
      <c r="K93" s="1967"/>
      <c r="L93" s="2821"/>
    </row>
    <row r="94" spans="1:12" s="6" customFormat="1">
      <c r="A94" s="53">
        <v>2001.01</v>
      </c>
      <c r="B94" s="223">
        <v>99041.600000000006</v>
      </c>
      <c r="C94" s="3553"/>
      <c r="D94" s="588"/>
      <c r="E94" s="187">
        <v>99.845222611492531</v>
      </c>
      <c r="F94" s="1740"/>
      <c r="G94" s="1007"/>
      <c r="H94" s="3554"/>
      <c r="I94" s="1007"/>
      <c r="J94" s="1963"/>
      <c r="K94" s="1967"/>
      <c r="L94" s="2821"/>
    </row>
    <row r="95" spans="1:12" s="6" customFormat="1">
      <c r="A95" s="53">
        <v>2001.02</v>
      </c>
      <c r="B95" s="223">
        <v>99016.666666666672</v>
      </c>
      <c r="C95" s="3553"/>
      <c r="D95" s="588"/>
      <c r="E95" s="187">
        <v>206.04362154894918</v>
      </c>
      <c r="F95" s="1740"/>
      <c r="G95" s="1007"/>
      <c r="H95" s="3554"/>
      <c r="I95" s="1007"/>
      <c r="J95" s="1963"/>
      <c r="K95" s="1967"/>
      <c r="L95" s="2821"/>
    </row>
    <row r="96" spans="1:12" s="6" customFormat="1">
      <c r="A96" s="53">
        <v>2001.03</v>
      </c>
      <c r="B96" s="223">
        <v>98955.666666666672</v>
      </c>
      <c r="C96" s="3553"/>
      <c r="D96" s="588"/>
      <c r="E96" s="187">
        <v>316.4811167040624</v>
      </c>
      <c r="F96" s="1740"/>
      <c r="G96" s="1007"/>
      <c r="H96" s="3554"/>
      <c r="I96" s="1007"/>
      <c r="J96" s="1963"/>
      <c r="K96" s="1967"/>
      <c r="L96" s="2821"/>
    </row>
    <row r="97" spans="1:12" s="6" customFormat="1">
      <c r="A97" s="53">
        <v>2001.04</v>
      </c>
      <c r="B97" s="223">
        <v>98990</v>
      </c>
      <c r="C97" s="3553"/>
      <c r="D97" s="588"/>
      <c r="E97" s="187">
        <v>428.58924403171375</v>
      </c>
      <c r="F97" s="1740"/>
      <c r="G97" s="1007"/>
      <c r="H97" s="3554"/>
      <c r="I97" s="1007"/>
      <c r="J97" s="1963"/>
      <c r="K97" s="1967"/>
      <c r="L97" s="2821"/>
    </row>
    <row r="98" spans="1:12" s="6" customFormat="1">
      <c r="A98" s="53">
        <v>2001.05</v>
      </c>
      <c r="B98" s="223">
        <v>98949.066666666666</v>
      </c>
      <c r="C98" s="3553"/>
      <c r="D98" s="588"/>
      <c r="E98" s="187">
        <v>542.28410390676686</v>
      </c>
      <c r="F98" s="1740"/>
      <c r="G98" s="1007"/>
      <c r="H98" s="3554"/>
      <c r="I98" s="1007"/>
      <c r="J98" s="1963"/>
      <c r="K98" s="1967"/>
      <c r="L98" s="2821"/>
    </row>
    <row r="99" spans="1:12" s="6" customFormat="1">
      <c r="A99" s="53">
        <v>2001.06</v>
      </c>
      <c r="B99" s="223">
        <v>98915.066666666666</v>
      </c>
      <c r="C99" s="3553"/>
      <c r="D99" s="588"/>
      <c r="E99" s="187">
        <v>688.81516275202034</v>
      </c>
      <c r="F99" s="1740"/>
      <c r="G99" s="1007"/>
      <c r="H99" s="3554"/>
      <c r="I99" s="1007"/>
      <c r="J99" s="1963"/>
      <c r="K99" s="1967"/>
      <c r="L99" s="2821"/>
    </row>
    <row r="100" spans="1:12" s="6" customFormat="1">
      <c r="A100" s="53">
        <v>2001.07</v>
      </c>
      <c r="B100" s="223">
        <v>100206.56666666667</v>
      </c>
      <c r="C100" s="3553"/>
      <c r="D100" s="588"/>
      <c r="E100" s="187">
        <v>803.90512372899411</v>
      </c>
      <c r="F100" s="1740"/>
      <c r="G100" s="1007"/>
      <c r="H100" s="3554"/>
      <c r="I100" s="1007"/>
      <c r="J100" s="1963"/>
      <c r="K100" s="1967"/>
      <c r="L100" s="2821"/>
    </row>
    <row r="101" spans="1:12" s="6" customFormat="1">
      <c r="A101" s="53">
        <v>2001.08</v>
      </c>
      <c r="B101" s="223">
        <v>100464.03333333333</v>
      </c>
      <c r="C101" s="3553"/>
      <c r="D101" s="588"/>
      <c r="E101" s="187">
        <v>918.71956659728232</v>
      </c>
      <c r="F101" s="1740"/>
      <c r="G101" s="1007"/>
      <c r="H101" s="3554"/>
      <c r="I101" s="1007"/>
      <c r="J101" s="1963"/>
      <c r="K101" s="1967"/>
      <c r="L101" s="2821"/>
    </row>
    <row r="102" spans="1:12" s="6" customFormat="1">
      <c r="A102" s="53">
        <v>2001.09</v>
      </c>
      <c r="B102" s="223">
        <v>100382.3</v>
      </c>
      <c r="C102" s="3553"/>
      <c r="D102" s="588"/>
      <c r="E102" s="187">
        <v>1032.9428840248113</v>
      </c>
      <c r="F102" s="1740"/>
      <c r="G102" s="1007"/>
      <c r="H102" s="3554"/>
      <c r="I102" s="1007"/>
      <c r="J102" s="1963"/>
      <c r="K102" s="1967"/>
      <c r="L102" s="2821"/>
    </row>
    <row r="103" spans="1:12" s="6" customFormat="1">
      <c r="A103" s="53">
        <v>2001.1</v>
      </c>
      <c r="B103" s="223">
        <v>100388.3</v>
      </c>
      <c r="C103" s="3553"/>
      <c r="D103" s="588"/>
      <c r="E103" s="187">
        <v>1155.0292719871272</v>
      </c>
      <c r="F103" s="1740"/>
      <c r="G103" s="1007"/>
      <c r="H103" s="3554"/>
      <c r="I103" s="1007"/>
      <c r="J103" s="1963"/>
      <c r="K103" s="1967"/>
      <c r="L103" s="2821"/>
    </row>
    <row r="104" spans="1:12" s="6" customFormat="1">
      <c r="A104" s="53">
        <v>2001.11</v>
      </c>
      <c r="B104" s="223">
        <v>100341.3</v>
      </c>
      <c r="C104" s="3553"/>
      <c r="D104" s="588"/>
      <c r="E104" s="187">
        <v>1286.0617729491496</v>
      </c>
      <c r="F104" s="1740"/>
      <c r="G104" s="1007"/>
      <c r="H104" s="3554"/>
      <c r="I104" s="1007"/>
      <c r="J104" s="1963"/>
      <c r="K104" s="1967"/>
      <c r="L104" s="2821"/>
    </row>
    <row r="105" spans="1:12" s="6" customFormat="1">
      <c r="A105" s="53">
        <v>2001.12</v>
      </c>
      <c r="B105" s="223">
        <v>100254.13333333333</v>
      </c>
      <c r="C105" s="3553"/>
      <c r="D105" s="588"/>
      <c r="E105" s="187">
        <v>1536.5730000000001</v>
      </c>
      <c r="F105" s="1740"/>
      <c r="G105" s="1007"/>
      <c r="H105" s="3554"/>
      <c r="I105" s="1007"/>
      <c r="J105" s="1963"/>
      <c r="K105" s="1967"/>
      <c r="L105" s="2821"/>
    </row>
    <row r="106" spans="1:12" s="6" customFormat="1">
      <c r="A106" s="53">
        <v>2002.01</v>
      </c>
      <c r="B106" s="223">
        <v>100200.2</v>
      </c>
      <c r="C106" s="3555"/>
      <c r="D106" s="1006"/>
      <c r="E106" s="187">
        <v>98.180131639947732</v>
      </c>
      <c r="F106" s="1740"/>
      <c r="G106" s="1007"/>
      <c r="H106" s="3554"/>
      <c r="I106" s="1007"/>
      <c r="J106" s="1963"/>
      <c r="K106" s="1967"/>
      <c r="L106" s="2821"/>
    </row>
    <row r="107" spans="1:12" s="6" customFormat="1">
      <c r="A107" s="53">
        <v>2002.02</v>
      </c>
      <c r="B107" s="223">
        <v>100202.5</v>
      </c>
      <c r="C107" s="3553"/>
      <c r="D107" s="588"/>
      <c r="E107" s="187">
        <v>202.60748945357082</v>
      </c>
      <c r="F107" s="1740"/>
      <c r="G107" s="1007"/>
      <c r="H107" s="3554"/>
      <c r="I107" s="1007"/>
      <c r="J107" s="1963"/>
      <c r="K107" s="1967"/>
      <c r="L107" s="2821"/>
    </row>
    <row r="108" spans="1:12" s="6" customFormat="1">
      <c r="A108" s="53">
        <v>2002.03</v>
      </c>
      <c r="B108" s="223">
        <v>100175.36666666667</v>
      </c>
      <c r="C108" s="3553"/>
      <c r="D108" s="588"/>
      <c r="E108" s="187">
        <v>311.20324925777669</v>
      </c>
      <c r="F108" s="1740"/>
      <c r="G108" s="1007"/>
      <c r="H108" s="3554"/>
      <c r="I108" s="1007"/>
      <c r="J108" s="1963"/>
      <c r="K108" s="1967"/>
      <c r="L108" s="2821"/>
    </row>
    <row r="109" spans="1:12" s="6" customFormat="1">
      <c r="A109" s="53">
        <v>2002.04</v>
      </c>
      <c r="B109" s="223">
        <v>100288.66666666667</v>
      </c>
      <c r="C109" s="3553"/>
      <c r="D109" s="588"/>
      <c r="E109" s="187">
        <v>421.44178056703441</v>
      </c>
      <c r="F109" s="1740"/>
      <c r="G109" s="1007"/>
      <c r="H109" s="3554"/>
      <c r="I109" s="1007"/>
      <c r="J109" s="1963"/>
      <c r="K109" s="1967"/>
      <c r="L109" s="2821"/>
    </row>
    <row r="110" spans="1:12" s="6" customFormat="1">
      <c r="A110" s="53">
        <v>2002.05</v>
      </c>
      <c r="B110" s="223">
        <v>100293</v>
      </c>
      <c r="C110" s="3553"/>
      <c r="D110" s="588"/>
      <c r="E110" s="187">
        <v>533.24058292689097</v>
      </c>
      <c r="F110" s="1740"/>
      <c r="G110" s="1007"/>
      <c r="H110" s="3554"/>
      <c r="I110" s="1007"/>
      <c r="J110" s="1963"/>
      <c r="K110" s="1967"/>
      <c r="L110" s="2821"/>
    </row>
    <row r="111" spans="1:12" s="6" customFormat="1">
      <c r="A111" s="53">
        <v>2002.06</v>
      </c>
      <c r="B111" s="223">
        <v>100181.3</v>
      </c>
      <c r="C111" s="3553"/>
      <c r="D111" s="588"/>
      <c r="E111" s="187">
        <v>677.3279841112917</v>
      </c>
      <c r="F111" s="1740"/>
      <c r="G111" s="1007"/>
      <c r="H111" s="3554"/>
      <c r="I111" s="1007"/>
      <c r="J111" s="1963"/>
      <c r="K111" s="1967"/>
      <c r="L111" s="2821"/>
    </row>
    <row r="112" spans="1:12" s="6" customFormat="1">
      <c r="A112" s="53">
        <v>2002.07</v>
      </c>
      <c r="B112" s="223">
        <v>100123.43333333333</v>
      </c>
      <c r="C112" s="3553"/>
      <c r="D112" s="588"/>
      <c r="E112" s="187">
        <v>790.49862186051439</v>
      </c>
      <c r="F112" s="1740"/>
      <c r="G112" s="1007"/>
      <c r="H112" s="3554"/>
      <c r="I112" s="1007"/>
      <c r="J112" s="1963"/>
      <c r="K112" s="1967"/>
      <c r="L112" s="2821"/>
    </row>
    <row r="113" spans="1:12" s="6" customFormat="1">
      <c r="A113" s="53">
        <v>2002.08</v>
      </c>
      <c r="B113" s="223">
        <v>101690</v>
      </c>
      <c r="C113" s="3553"/>
      <c r="D113" s="588"/>
      <c r="E113" s="187">
        <v>903.39833623982111</v>
      </c>
      <c r="F113" s="1740"/>
      <c r="G113" s="1007"/>
      <c r="H113" s="3554"/>
      <c r="I113" s="1007"/>
      <c r="J113" s="1963"/>
      <c r="K113" s="1967"/>
      <c r="L113" s="2821"/>
    </row>
    <row r="114" spans="1:12" s="6" customFormat="1">
      <c r="A114" s="53">
        <v>2002.09</v>
      </c>
      <c r="B114" s="223">
        <v>101742</v>
      </c>
      <c r="C114" s="3553"/>
      <c r="D114" s="588"/>
      <c r="E114" s="187">
        <v>1015.7167832127211</v>
      </c>
      <c r="F114" s="1740"/>
      <c r="G114" s="1007"/>
      <c r="H114" s="3554"/>
      <c r="I114" s="1007"/>
      <c r="J114" s="1963"/>
      <c r="K114" s="1967"/>
      <c r="L114" s="2821"/>
    </row>
    <row r="115" spans="1:12" s="6" customFormat="1">
      <c r="A115" s="53">
        <v>2002.1</v>
      </c>
      <c r="B115" s="223">
        <v>101672</v>
      </c>
      <c r="C115" s="3553"/>
      <c r="D115" s="588"/>
      <c r="E115" s="187">
        <v>1135.7671704828902</v>
      </c>
      <c r="F115" s="1740"/>
      <c r="G115" s="1007"/>
      <c r="H115" s="3554"/>
      <c r="I115" s="1007"/>
      <c r="J115" s="1963"/>
      <c r="K115" s="1967"/>
      <c r="L115" s="2821"/>
    </row>
    <row r="116" spans="1:12" s="6" customFormat="1">
      <c r="A116" s="53">
        <v>2002.11</v>
      </c>
      <c r="B116" s="223">
        <v>101582.9</v>
      </c>
      <c r="C116" s="3553"/>
      <c r="D116" s="588"/>
      <c r="E116" s="187">
        <v>1264.6144789176769</v>
      </c>
      <c r="F116" s="1740"/>
      <c r="G116" s="1007"/>
      <c r="H116" s="3554"/>
      <c r="I116" s="1007"/>
      <c r="J116" s="1963"/>
      <c r="K116" s="1967"/>
      <c r="L116" s="2821"/>
    </row>
    <row r="117" spans="1:12" s="6" customFormat="1">
      <c r="A117" s="53">
        <v>2002.12</v>
      </c>
      <c r="B117" s="223">
        <v>101493.3</v>
      </c>
      <c r="C117" s="3553"/>
      <c r="D117" s="588"/>
      <c r="E117" s="187">
        <v>1510.9480000000001</v>
      </c>
      <c r="F117" s="1740"/>
      <c r="G117" s="1007"/>
      <c r="H117" s="3554"/>
      <c r="I117" s="1007"/>
      <c r="J117" s="1963"/>
      <c r="K117" s="1967"/>
      <c r="L117" s="2821"/>
    </row>
    <row r="118" spans="1:12" s="6" customFormat="1">
      <c r="A118" s="53">
        <v>2003.01</v>
      </c>
      <c r="B118" s="223">
        <v>101095.43333333333</v>
      </c>
      <c r="C118" s="3553"/>
      <c r="D118" s="588"/>
      <c r="E118" s="188">
        <v>107.6</v>
      </c>
      <c r="F118" s="1740"/>
      <c r="G118" s="1007"/>
      <c r="H118" s="3554"/>
      <c r="I118" s="1007"/>
      <c r="J118" s="1963"/>
      <c r="K118" s="1967"/>
      <c r="L118" s="2821"/>
    </row>
    <row r="119" spans="1:12" s="6" customFormat="1">
      <c r="A119" s="53">
        <v>2003.02</v>
      </c>
      <c r="B119" s="223">
        <v>101278.73333333334</v>
      </c>
      <c r="C119" s="3553"/>
      <c r="D119" s="588"/>
      <c r="E119" s="223">
        <v>220.3</v>
      </c>
      <c r="F119" s="1740"/>
      <c r="G119" s="1007"/>
      <c r="H119" s="3554"/>
      <c r="I119" s="1007"/>
      <c r="J119" s="1963"/>
      <c r="K119" s="1967"/>
      <c r="L119" s="2821"/>
    </row>
    <row r="120" spans="1:12" s="6" customFormat="1">
      <c r="A120" s="53">
        <v>2003.03</v>
      </c>
      <c r="B120" s="223">
        <v>101238.53333333333</v>
      </c>
      <c r="C120" s="3553"/>
      <c r="D120" s="588"/>
      <c r="E120" s="223">
        <v>330.4</v>
      </c>
      <c r="F120" s="1740"/>
      <c r="G120" s="1007"/>
      <c r="H120" s="3554"/>
      <c r="I120" s="1007"/>
      <c r="J120" s="1963"/>
      <c r="K120" s="1967"/>
      <c r="L120" s="2821"/>
    </row>
    <row r="121" spans="1:12" s="6" customFormat="1">
      <c r="A121" s="53">
        <v>2003.04</v>
      </c>
      <c r="B121" s="223">
        <v>101240</v>
      </c>
      <c r="C121" s="3553"/>
      <c r="D121" s="588"/>
      <c r="E121" s="223">
        <v>441.3</v>
      </c>
      <c r="F121" s="1740"/>
      <c r="G121" s="1007"/>
      <c r="H121" s="3554"/>
      <c r="I121" s="1007"/>
      <c r="J121" s="1963"/>
      <c r="K121" s="1967"/>
      <c r="L121" s="2821"/>
    </row>
    <row r="122" spans="1:12" s="6" customFormat="1">
      <c r="A122" s="53">
        <v>2003.05</v>
      </c>
      <c r="B122" s="223">
        <v>101237.7</v>
      </c>
      <c r="C122" s="3553"/>
      <c r="D122" s="588"/>
      <c r="E122" s="223">
        <v>551.9</v>
      </c>
      <c r="F122" s="1740"/>
      <c r="G122" s="1007"/>
      <c r="H122" s="3554"/>
      <c r="I122" s="1007"/>
      <c r="J122" s="1963"/>
      <c r="K122" s="1967"/>
      <c r="L122" s="2821"/>
    </row>
    <row r="123" spans="1:12" s="6" customFormat="1">
      <c r="A123" s="53">
        <v>2003.06</v>
      </c>
      <c r="B123" s="223">
        <v>101279</v>
      </c>
      <c r="C123" s="3553"/>
      <c r="D123" s="588"/>
      <c r="E123" s="223">
        <v>697.1</v>
      </c>
      <c r="F123" s="1740"/>
      <c r="G123" s="1007"/>
      <c r="H123" s="3554"/>
      <c r="I123" s="1007"/>
      <c r="J123" s="1963"/>
      <c r="K123" s="1967"/>
      <c r="L123" s="2821"/>
    </row>
    <row r="124" spans="1:12" s="6" customFormat="1">
      <c r="A124" s="53">
        <v>2003.07</v>
      </c>
      <c r="B124" s="223">
        <v>101778</v>
      </c>
      <c r="C124" s="3553"/>
      <c r="D124" s="588"/>
      <c r="E124" s="223">
        <v>812.9</v>
      </c>
      <c r="F124" s="1740"/>
      <c r="G124" s="1007"/>
      <c r="H124" s="3554"/>
      <c r="I124" s="1007"/>
      <c r="J124" s="1963"/>
      <c r="K124" s="1967"/>
      <c r="L124" s="2821"/>
    </row>
    <row r="125" spans="1:12" s="6" customFormat="1">
      <c r="A125" s="53">
        <v>2003.08</v>
      </c>
      <c r="B125" s="223">
        <v>101713.9</v>
      </c>
      <c r="C125" s="3553"/>
      <c r="D125" s="588"/>
      <c r="E125" s="223">
        <v>928.3</v>
      </c>
      <c r="F125" s="1740"/>
      <c r="G125" s="1007"/>
      <c r="H125" s="3554"/>
      <c r="I125" s="1007"/>
      <c r="J125" s="1963"/>
      <c r="K125" s="1967"/>
      <c r="L125" s="2821"/>
    </row>
    <row r="126" spans="1:12" s="6" customFormat="1">
      <c r="A126" s="53">
        <v>2003.09</v>
      </c>
      <c r="B126" s="223">
        <v>101682</v>
      </c>
      <c r="C126" s="3553"/>
      <c r="D126" s="588"/>
      <c r="E126" s="223">
        <v>1043.0999999999999</v>
      </c>
      <c r="F126" s="1740"/>
      <c r="G126" s="1007"/>
      <c r="H126" s="3554"/>
      <c r="I126" s="1007"/>
      <c r="J126" s="1963"/>
      <c r="K126" s="1967"/>
      <c r="L126" s="2821"/>
    </row>
    <row r="127" spans="1:12" s="6" customFormat="1">
      <c r="A127" s="53">
        <v>2003.1</v>
      </c>
      <c r="B127" s="223">
        <v>101918.13333333333</v>
      </c>
      <c r="C127" s="3553"/>
      <c r="D127" s="588"/>
      <c r="E127" s="223">
        <v>1161.5999999999999</v>
      </c>
      <c r="F127" s="1740"/>
      <c r="G127" s="1007"/>
      <c r="H127" s="3554"/>
      <c r="I127" s="1007"/>
      <c r="J127" s="1963"/>
      <c r="K127" s="1967"/>
      <c r="L127" s="2821"/>
    </row>
    <row r="128" spans="1:12" s="6" customFormat="1">
      <c r="A128" s="53">
        <v>2003.11</v>
      </c>
      <c r="B128" s="223">
        <v>101758.3</v>
      </c>
      <c r="C128" s="3553"/>
      <c r="D128" s="588"/>
      <c r="E128" s="223">
        <v>1325.7</v>
      </c>
      <c r="F128" s="1740"/>
      <c r="G128" s="1007"/>
      <c r="H128" s="3554"/>
      <c r="I128" s="1007"/>
      <c r="J128" s="1963"/>
      <c r="K128" s="1967"/>
      <c r="L128" s="2821"/>
    </row>
    <row r="129" spans="1:12" s="6" customFormat="1">
      <c r="A129" s="53">
        <v>2003.12</v>
      </c>
      <c r="B129" s="223">
        <v>101765.8</v>
      </c>
      <c r="C129" s="3553"/>
      <c r="D129" s="588"/>
      <c r="E129" s="223">
        <v>1576.0150000000001</v>
      </c>
      <c r="F129" s="1740"/>
      <c r="G129" s="1007"/>
      <c r="H129" s="3554"/>
      <c r="I129" s="1007"/>
      <c r="J129" s="1963"/>
      <c r="K129" s="1967"/>
      <c r="L129" s="2821"/>
    </row>
    <row r="130" spans="1:12" s="6" customFormat="1">
      <c r="A130" s="53">
        <v>2004.01</v>
      </c>
      <c r="B130" s="223">
        <v>102112.26666666666</v>
      </c>
      <c r="C130" s="3553"/>
      <c r="D130" s="588"/>
      <c r="E130" s="223">
        <v>120.5</v>
      </c>
      <c r="F130" s="1740"/>
      <c r="G130" s="1007"/>
      <c r="H130" s="3554"/>
      <c r="I130" s="1007"/>
      <c r="J130" s="1963"/>
      <c r="K130" s="1967"/>
      <c r="L130" s="2821"/>
    </row>
    <row r="131" spans="1:12" s="6" customFormat="1">
      <c r="A131" s="53">
        <v>2004.02</v>
      </c>
      <c r="B131" s="223">
        <v>102592.26666666666</v>
      </c>
      <c r="C131" s="3553"/>
      <c r="D131" s="588"/>
      <c r="E131" s="223">
        <v>250.9</v>
      </c>
      <c r="F131" s="1740"/>
      <c r="G131" s="1007"/>
      <c r="H131" s="3554"/>
      <c r="I131" s="1007"/>
      <c r="J131" s="1963"/>
      <c r="K131" s="1967"/>
      <c r="L131" s="2821"/>
    </row>
    <row r="132" spans="1:12" s="6" customFormat="1">
      <c r="A132" s="53">
        <v>2004.03</v>
      </c>
      <c r="B132" s="223">
        <v>102435.9</v>
      </c>
      <c r="C132" s="3553"/>
      <c r="D132" s="588"/>
      <c r="E132" s="223">
        <v>380.3</v>
      </c>
      <c r="F132" s="1740"/>
      <c r="G132" s="1007"/>
      <c r="H132" s="3554"/>
      <c r="I132" s="1007"/>
      <c r="J132" s="1963"/>
      <c r="K132" s="1967"/>
      <c r="L132" s="2821"/>
    </row>
    <row r="133" spans="1:12" s="6" customFormat="1">
      <c r="A133" s="53">
        <v>2004.04</v>
      </c>
      <c r="B133" s="223">
        <v>102504.9</v>
      </c>
      <c r="C133" s="3553"/>
      <c r="D133" s="588"/>
      <c r="E133" s="223">
        <v>510.4</v>
      </c>
      <c r="F133" s="1740"/>
      <c r="G133" s="1007"/>
      <c r="H133" s="3554"/>
      <c r="I133" s="1007"/>
      <c r="J133" s="1963"/>
      <c r="K133" s="1967"/>
      <c r="L133" s="2821"/>
    </row>
    <row r="134" spans="1:12" s="6" customFormat="1">
      <c r="A134" s="53">
        <v>2004.05</v>
      </c>
      <c r="B134" s="223">
        <v>102477.1</v>
      </c>
      <c r="C134" s="3553"/>
      <c r="D134" s="588"/>
      <c r="E134" s="223">
        <v>642.70000000000005</v>
      </c>
      <c r="F134" s="1740"/>
      <c r="G134" s="1007"/>
      <c r="H134" s="3554"/>
      <c r="I134" s="1007"/>
      <c r="J134" s="1963"/>
      <c r="K134" s="1967"/>
      <c r="L134" s="2821"/>
    </row>
    <row r="135" spans="1:12" s="6" customFormat="1">
      <c r="A135" s="53">
        <v>2004.06</v>
      </c>
      <c r="B135" s="223">
        <v>102499.46666666667</v>
      </c>
      <c r="C135" s="3553"/>
      <c r="D135" s="588"/>
      <c r="E135" s="223">
        <v>813.5</v>
      </c>
      <c r="F135" s="1740"/>
      <c r="G135" s="1007"/>
      <c r="H135" s="3554"/>
      <c r="I135" s="1007"/>
      <c r="J135" s="1963"/>
      <c r="K135" s="1967"/>
      <c r="L135" s="2821"/>
    </row>
    <row r="136" spans="1:12" s="6" customFormat="1">
      <c r="A136" s="53">
        <v>2004.07</v>
      </c>
      <c r="B136" s="223">
        <v>102464.4</v>
      </c>
      <c r="C136" s="3553"/>
      <c r="D136" s="588"/>
      <c r="E136" s="223">
        <v>948.7</v>
      </c>
      <c r="F136" s="1740"/>
      <c r="G136" s="1007"/>
      <c r="H136" s="3554"/>
      <c r="I136" s="1007"/>
      <c r="J136" s="1963"/>
      <c r="K136" s="1967"/>
      <c r="L136" s="2821"/>
    </row>
    <row r="137" spans="1:12" s="6" customFormat="1">
      <c r="A137" s="53">
        <v>2004.08</v>
      </c>
      <c r="B137" s="223">
        <v>102710.23333333334</v>
      </c>
      <c r="C137" s="3553"/>
      <c r="D137" s="588"/>
      <c r="E137" s="223">
        <v>1083.4000000000001</v>
      </c>
      <c r="F137" s="1740"/>
      <c r="G137" s="1007"/>
      <c r="H137" s="3554"/>
      <c r="I137" s="1007"/>
      <c r="J137" s="1963"/>
      <c r="K137" s="1967"/>
      <c r="L137" s="2821"/>
    </row>
    <row r="138" spans="1:12" s="6" customFormat="1">
      <c r="A138" s="53">
        <v>2004.09</v>
      </c>
      <c r="B138" s="223">
        <v>102836.56666666667</v>
      </c>
      <c r="C138" s="3553"/>
      <c r="D138" s="588"/>
      <c r="E138" s="223">
        <v>1214.8</v>
      </c>
      <c r="F138" s="1740"/>
      <c r="G138" s="1007"/>
      <c r="H138" s="3554"/>
      <c r="I138" s="1007"/>
      <c r="J138" s="1963"/>
      <c r="K138" s="1967"/>
      <c r="L138" s="2821"/>
    </row>
    <row r="139" spans="1:12" s="6" customFormat="1">
      <c r="A139" s="53">
        <v>2004.1</v>
      </c>
      <c r="B139" s="223">
        <v>102804.9</v>
      </c>
      <c r="C139" s="3553"/>
      <c r="D139" s="588"/>
      <c r="E139" s="223">
        <v>1376.6</v>
      </c>
      <c r="F139" s="1740"/>
      <c r="G139" s="1007"/>
      <c r="H139" s="3554"/>
      <c r="I139" s="1007"/>
      <c r="J139" s="1963"/>
      <c r="K139" s="1967"/>
      <c r="L139" s="2821"/>
    </row>
    <row r="140" spans="1:12" s="6" customFormat="1">
      <c r="A140" s="53">
        <v>2004.11</v>
      </c>
      <c r="B140" s="223">
        <v>102688.66666666667</v>
      </c>
      <c r="C140" s="3553"/>
      <c r="D140" s="588"/>
      <c r="E140" s="223">
        <v>1523.1</v>
      </c>
      <c r="F140" s="1740"/>
      <c r="G140" s="1007"/>
      <c r="H140" s="3554"/>
      <c r="I140" s="1007"/>
      <c r="J140" s="1963"/>
      <c r="K140" s="1967"/>
      <c r="L140" s="2821"/>
    </row>
    <row r="141" spans="1:12" s="6" customFormat="1">
      <c r="A141" s="53">
        <v>2004.12</v>
      </c>
      <c r="B141" s="223">
        <v>102967.66666666667</v>
      </c>
      <c r="C141" s="3553"/>
      <c r="D141" s="588"/>
      <c r="E141" s="223">
        <v>1879.3689999999999</v>
      </c>
      <c r="F141" s="1740"/>
      <c r="G141" s="1007"/>
      <c r="H141" s="3554"/>
      <c r="I141" s="1007"/>
      <c r="J141" s="1963"/>
      <c r="K141" s="1967"/>
      <c r="L141" s="2821"/>
    </row>
    <row r="142" spans="1:12" s="6" customFormat="1">
      <c r="A142" s="53">
        <v>2005.01</v>
      </c>
      <c r="B142" s="223">
        <v>102872.66666666667</v>
      </c>
      <c r="C142" s="3553"/>
      <c r="D142" s="588"/>
      <c r="E142" s="223">
        <v>157.30000000000001</v>
      </c>
      <c r="F142" s="1740"/>
      <c r="G142" s="1007"/>
      <c r="H142" s="3554"/>
      <c r="I142" s="1007"/>
      <c r="J142" s="1963"/>
      <c r="K142" s="1967"/>
      <c r="L142" s="2821"/>
    </row>
    <row r="143" spans="1:12" s="6" customFormat="1">
      <c r="A143" s="53">
        <v>2005.02</v>
      </c>
      <c r="B143" s="223">
        <v>103493.03333333333</v>
      </c>
      <c r="C143" s="3553"/>
      <c r="D143" s="588"/>
      <c r="E143" s="223">
        <v>315.89999999999998</v>
      </c>
      <c r="F143" s="1740"/>
      <c r="G143" s="1007"/>
      <c r="H143" s="3554"/>
      <c r="I143" s="1007"/>
      <c r="J143" s="1963"/>
      <c r="K143" s="1967"/>
      <c r="L143" s="2821"/>
    </row>
    <row r="144" spans="1:12" s="6" customFormat="1">
      <c r="A144" s="53">
        <v>2005.03</v>
      </c>
      <c r="B144" s="223">
        <v>103351</v>
      </c>
      <c r="C144" s="3553"/>
      <c r="D144" s="588"/>
      <c r="E144" s="223">
        <v>481.6</v>
      </c>
      <c r="F144" s="1740"/>
      <c r="G144" s="1007"/>
      <c r="H144" s="3554"/>
      <c r="I144" s="1007"/>
      <c r="J144" s="1963"/>
      <c r="K144" s="1967"/>
      <c r="L144" s="2821"/>
    </row>
    <row r="145" spans="1:12" s="6" customFormat="1">
      <c r="A145" s="53">
        <v>2005.04</v>
      </c>
      <c r="B145" s="223">
        <v>103445.66666666667</v>
      </c>
      <c r="C145" s="3553"/>
      <c r="D145" s="588"/>
      <c r="E145" s="223">
        <v>664.8</v>
      </c>
      <c r="F145" s="1740"/>
      <c r="G145" s="1007"/>
      <c r="H145" s="3554"/>
      <c r="I145" s="1007"/>
      <c r="J145" s="1963"/>
      <c r="K145" s="1967"/>
      <c r="L145" s="2821"/>
    </row>
    <row r="146" spans="1:12" s="6" customFormat="1">
      <c r="A146" s="53">
        <v>2005.05</v>
      </c>
      <c r="B146" s="223">
        <v>103097.73333333334</v>
      </c>
      <c r="C146" s="3553"/>
      <c r="D146" s="588"/>
      <c r="E146" s="223">
        <v>852.8</v>
      </c>
      <c r="F146" s="1740"/>
      <c r="G146" s="1007"/>
      <c r="H146" s="3554"/>
      <c r="I146" s="1007"/>
      <c r="J146" s="1963"/>
      <c r="K146" s="1967"/>
      <c r="L146" s="2821"/>
    </row>
    <row r="147" spans="1:12" s="6" customFormat="1">
      <c r="A147" s="53">
        <v>2005.06</v>
      </c>
      <c r="B147" s="223">
        <v>102980.23333333334</v>
      </c>
      <c r="C147" s="3553"/>
      <c r="D147" s="588"/>
      <c r="E147" s="223">
        <v>1081</v>
      </c>
      <c r="F147" s="1740"/>
      <c r="G147" s="1007"/>
      <c r="H147" s="3554"/>
      <c r="I147" s="1007"/>
      <c r="J147" s="1963"/>
      <c r="K147" s="1967"/>
      <c r="L147" s="2821"/>
    </row>
    <row r="148" spans="1:12" s="6" customFormat="1">
      <c r="A148" s="53">
        <v>2005.07</v>
      </c>
      <c r="B148" s="223">
        <v>103404.06666666667</v>
      </c>
      <c r="C148" s="3553"/>
      <c r="D148" s="588"/>
      <c r="E148" s="223">
        <v>1268.2</v>
      </c>
      <c r="F148" s="1740"/>
      <c r="G148" s="1007"/>
      <c r="H148" s="3554"/>
      <c r="I148" s="1007"/>
      <c r="J148" s="1963"/>
      <c r="K148" s="1967"/>
      <c r="L148" s="2821"/>
    </row>
    <row r="149" spans="1:12" s="6" customFormat="1">
      <c r="A149" s="53">
        <v>2005.08</v>
      </c>
      <c r="B149" s="223">
        <v>103799.2</v>
      </c>
      <c r="C149" s="3553"/>
      <c r="D149" s="588"/>
      <c r="E149" s="223">
        <v>1453</v>
      </c>
      <c r="F149" s="1740"/>
      <c r="G149" s="1007"/>
      <c r="H149" s="3554"/>
      <c r="I149" s="1007"/>
      <c r="J149" s="1963"/>
      <c r="K149" s="1967"/>
      <c r="L149" s="2821"/>
    </row>
    <row r="150" spans="1:12" s="6" customFormat="1">
      <c r="A150" s="53">
        <v>2005.09</v>
      </c>
      <c r="B150" s="223">
        <v>103693.33333333333</v>
      </c>
      <c r="C150" s="3553"/>
      <c r="D150" s="588"/>
      <c r="E150" s="223">
        <v>1639</v>
      </c>
      <c r="F150" s="1740"/>
      <c r="G150" s="1007"/>
      <c r="H150" s="3554"/>
      <c r="I150" s="1007"/>
      <c r="J150" s="1963"/>
      <c r="K150" s="1967"/>
      <c r="L150" s="2821"/>
    </row>
    <row r="151" spans="1:12" s="6" customFormat="1">
      <c r="A151" s="53">
        <v>2005.1</v>
      </c>
      <c r="B151" s="223">
        <v>103997.16666666667</v>
      </c>
      <c r="C151" s="3553"/>
      <c r="D151" s="588"/>
      <c r="E151" s="223">
        <v>1827.3</v>
      </c>
      <c r="F151" s="1740"/>
      <c r="G151" s="1007"/>
      <c r="H151" s="3554"/>
      <c r="I151" s="1007"/>
      <c r="J151" s="1963"/>
      <c r="K151" s="1967"/>
      <c r="L151" s="2821"/>
    </row>
    <row r="152" spans="1:12" s="6" customFormat="1">
      <c r="A152" s="53">
        <v>2005.11</v>
      </c>
      <c r="B152" s="223">
        <v>104118</v>
      </c>
      <c r="C152" s="3553"/>
      <c r="D152" s="588"/>
      <c r="E152" s="223">
        <v>2018.7</v>
      </c>
      <c r="F152" s="1740"/>
      <c r="G152" s="1007"/>
      <c r="H152" s="3554"/>
      <c r="I152" s="1007"/>
      <c r="J152" s="1963"/>
      <c r="K152" s="1967"/>
      <c r="L152" s="2821"/>
    </row>
    <row r="153" spans="1:12" s="6" customFormat="1">
      <c r="A153" s="53">
        <v>2005.12</v>
      </c>
      <c r="B153" s="223">
        <v>104878.2</v>
      </c>
      <c r="C153" s="3553"/>
      <c r="D153" s="588"/>
      <c r="E153" s="223">
        <v>2463.5189999999998</v>
      </c>
      <c r="F153" s="1740"/>
      <c r="G153" s="1007"/>
      <c r="H153" s="3554"/>
      <c r="I153" s="1007"/>
      <c r="J153" s="1963"/>
      <c r="K153" s="1967"/>
      <c r="L153" s="2821"/>
    </row>
    <row r="154" spans="1:12" s="6" customFormat="1">
      <c r="A154" s="53">
        <v>2006.01</v>
      </c>
      <c r="B154" s="223">
        <v>105719</v>
      </c>
      <c r="C154" s="3553"/>
      <c r="D154" s="588"/>
      <c r="E154" s="223">
        <v>190.8</v>
      </c>
      <c r="F154" s="1740"/>
      <c r="G154" s="1007"/>
      <c r="H154" s="3554"/>
      <c r="I154" s="1007"/>
      <c r="J154" s="1963"/>
      <c r="K154" s="1967"/>
      <c r="L154" s="2821"/>
    </row>
    <row r="155" spans="1:12" s="6" customFormat="1">
      <c r="A155" s="53">
        <v>2006.02</v>
      </c>
      <c r="B155" s="223">
        <v>105647.1</v>
      </c>
      <c r="C155" s="3553"/>
      <c r="D155" s="588"/>
      <c r="E155" s="223">
        <v>404.5</v>
      </c>
      <c r="F155" s="1740"/>
      <c r="G155" s="1007"/>
      <c r="H155" s="3554"/>
      <c r="I155" s="1007"/>
      <c r="J155" s="1963"/>
      <c r="K155" s="1967"/>
      <c r="L155" s="2821"/>
    </row>
    <row r="156" spans="1:12" s="6" customFormat="1">
      <c r="A156" s="53">
        <v>2006.03</v>
      </c>
      <c r="B156" s="223">
        <v>105740.63333333333</v>
      </c>
      <c r="C156" s="3553"/>
      <c r="D156" s="588"/>
      <c r="E156" s="223">
        <v>650.6</v>
      </c>
      <c r="F156" s="1740"/>
      <c r="G156" s="1007"/>
      <c r="H156" s="3554"/>
      <c r="I156" s="1007"/>
      <c r="J156" s="1963"/>
      <c r="K156" s="1967"/>
      <c r="L156" s="2821"/>
    </row>
    <row r="157" spans="1:12" s="6" customFormat="1">
      <c r="A157" s="53">
        <v>2006.04</v>
      </c>
      <c r="B157" s="223">
        <v>105747</v>
      </c>
      <c r="C157" s="3553"/>
      <c r="D157" s="588"/>
      <c r="E157" s="223">
        <v>884.6</v>
      </c>
      <c r="F157" s="1740"/>
      <c r="G157" s="1007"/>
      <c r="H157" s="3554"/>
      <c r="I157" s="1007"/>
      <c r="J157" s="1963"/>
      <c r="K157" s="1967"/>
      <c r="L157" s="2821"/>
    </row>
    <row r="158" spans="1:12" s="6" customFormat="1">
      <c r="A158" s="53">
        <v>2006.05</v>
      </c>
      <c r="B158" s="223">
        <v>105958</v>
      </c>
      <c r="C158" s="3553"/>
      <c r="D158" s="588"/>
      <c r="E158" s="223">
        <v>1122.5</v>
      </c>
      <c r="F158" s="1740"/>
      <c r="G158" s="1007"/>
      <c r="H158" s="3554"/>
      <c r="I158" s="1007"/>
      <c r="J158" s="1963"/>
      <c r="K158" s="1967"/>
      <c r="L158" s="2821"/>
    </row>
    <row r="159" spans="1:12" s="6" customFormat="1">
      <c r="A159" s="53">
        <v>2006.06</v>
      </c>
      <c r="B159" s="223">
        <v>105907.33333333333</v>
      </c>
      <c r="C159" s="3553"/>
      <c r="D159" s="588"/>
      <c r="E159" s="223">
        <v>1442</v>
      </c>
      <c r="F159" s="1740"/>
      <c r="G159" s="1007"/>
      <c r="H159" s="3554"/>
      <c r="I159" s="1007"/>
      <c r="J159" s="1963"/>
      <c r="K159" s="1967"/>
      <c r="L159" s="2821"/>
    </row>
    <row r="160" spans="1:12" s="6" customFormat="1">
      <c r="A160" s="53">
        <v>2006.07</v>
      </c>
      <c r="B160" s="223">
        <v>105969.33333333333</v>
      </c>
      <c r="C160" s="3553"/>
      <c r="D160" s="588"/>
      <c r="E160" s="223">
        <v>1676.9</v>
      </c>
      <c r="F160" s="1740"/>
      <c r="G160" s="1007"/>
      <c r="H160" s="3554"/>
      <c r="I160" s="1007"/>
      <c r="J160" s="1963"/>
      <c r="K160" s="1967"/>
      <c r="L160" s="2821"/>
    </row>
    <row r="161" spans="1:12" s="6" customFormat="1">
      <c r="A161" s="53">
        <v>2006.08</v>
      </c>
      <c r="B161" s="223">
        <v>106318.63333333333</v>
      </c>
      <c r="C161" s="3553"/>
      <c r="D161" s="588"/>
      <c r="E161" s="223">
        <v>1914.4</v>
      </c>
      <c r="F161" s="1740"/>
      <c r="G161" s="1007"/>
      <c r="H161" s="3554"/>
      <c r="I161" s="1007"/>
      <c r="J161" s="1963"/>
      <c r="K161" s="1967"/>
      <c r="L161" s="2821"/>
    </row>
    <row r="162" spans="1:12" s="6" customFormat="1">
      <c r="A162" s="53">
        <v>2006.09</v>
      </c>
      <c r="B162" s="223">
        <v>106321.63333333333</v>
      </c>
      <c r="C162" s="3553"/>
      <c r="D162" s="588"/>
      <c r="E162" s="223">
        <v>2152.5</v>
      </c>
      <c r="F162" s="1740"/>
      <c r="G162" s="1007"/>
      <c r="H162" s="3554"/>
      <c r="I162" s="1007"/>
      <c r="J162" s="1963"/>
      <c r="K162" s="1967"/>
      <c r="L162" s="2821"/>
    </row>
    <row r="163" spans="1:12" s="6" customFormat="1">
      <c r="A163" s="53">
        <v>2006.1</v>
      </c>
      <c r="B163" s="223">
        <v>106364.66666666667</v>
      </c>
      <c r="C163" s="3553"/>
      <c r="D163" s="588"/>
      <c r="E163" s="223">
        <v>2392.1999999999998</v>
      </c>
      <c r="F163" s="1740"/>
      <c r="G163" s="1007"/>
      <c r="H163" s="3554"/>
      <c r="I163" s="1007"/>
      <c r="J163" s="1963"/>
      <c r="K163" s="1967"/>
      <c r="L163" s="2821"/>
    </row>
    <row r="164" spans="1:12" s="6" customFormat="1">
      <c r="A164" s="53">
        <v>2006.11</v>
      </c>
      <c r="B164" s="223">
        <v>106360.13333333333</v>
      </c>
      <c r="C164" s="3553"/>
      <c r="D164" s="588"/>
      <c r="E164" s="223">
        <v>2636.8</v>
      </c>
      <c r="F164" s="1740"/>
      <c r="G164" s="1007"/>
      <c r="H164" s="3554"/>
      <c r="I164" s="1007"/>
      <c r="J164" s="1963"/>
      <c r="K164" s="1967"/>
      <c r="L164" s="2821"/>
    </row>
    <row r="165" spans="1:12" s="6" customFormat="1">
      <c r="A165" s="53">
        <v>2006.12</v>
      </c>
      <c r="B165" s="223">
        <v>106422.9</v>
      </c>
      <c r="C165" s="3553"/>
      <c r="D165" s="588"/>
      <c r="E165" s="223">
        <v>3007.2</v>
      </c>
      <c r="F165" s="1740"/>
      <c r="G165" s="1007"/>
      <c r="H165" s="3554"/>
      <c r="I165" s="1007"/>
      <c r="J165" s="1963"/>
      <c r="K165" s="1967"/>
      <c r="L165" s="2821"/>
    </row>
    <row r="166" spans="1:12" s="6" customFormat="1">
      <c r="A166" s="53">
        <v>2007.01</v>
      </c>
      <c r="B166" s="223">
        <v>107648.56666666667</v>
      </c>
      <c r="C166" s="3553"/>
      <c r="D166" s="588"/>
      <c r="E166" s="223">
        <v>247.2</v>
      </c>
      <c r="F166" s="1740"/>
      <c r="G166" s="1007"/>
      <c r="H166" s="3554"/>
      <c r="I166" s="1007"/>
      <c r="J166" s="1963"/>
      <c r="K166" s="1967"/>
      <c r="L166" s="2821"/>
    </row>
    <row r="167" spans="1:12" s="6" customFormat="1">
      <c r="A167" s="53">
        <v>2007.02</v>
      </c>
      <c r="B167" s="223">
        <v>107710.63333333333</v>
      </c>
      <c r="C167" s="3553"/>
      <c r="D167" s="588"/>
      <c r="E167" s="223">
        <v>501.3</v>
      </c>
      <c r="F167" s="1740"/>
      <c r="G167" s="1007"/>
      <c r="H167" s="3554"/>
      <c r="I167" s="1007"/>
      <c r="J167" s="1963"/>
      <c r="K167" s="1967"/>
      <c r="L167" s="2821"/>
    </row>
    <row r="168" spans="1:12" s="6" customFormat="1">
      <c r="A168" s="53">
        <v>2007.03</v>
      </c>
      <c r="B168" s="223">
        <v>107532.13333333333</v>
      </c>
      <c r="C168" s="3553"/>
      <c r="D168" s="588"/>
      <c r="E168" s="223">
        <v>844</v>
      </c>
      <c r="F168" s="1740"/>
      <c r="G168" s="1007"/>
      <c r="H168" s="3554"/>
      <c r="I168" s="1007"/>
      <c r="J168" s="1963"/>
      <c r="K168" s="1967"/>
      <c r="L168" s="2821"/>
    </row>
    <row r="169" spans="1:12" s="6" customFormat="1">
      <c r="A169" s="53">
        <v>2007.04</v>
      </c>
      <c r="B169" s="223">
        <v>107979.46666666667</v>
      </c>
      <c r="C169" s="3553"/>
      <c r="D169" s="588"/>
      <c r="E169" s="223">
        <v>1141.5999999999999</v>
      </c>
      <c r="F169" s="1740"/>
      <c r="G169" s="1007"/>
      <c r="H169" s="3554"/>
      <c r="I169" s="1007"/>
      <c r="J169" s="1963"/>
      <c r="K169" s="1967"/>
      <c r="L169" s="2821"/>
    </row>
    <row r="170" spans="1:12" s="6" customFormat="1">
      <c r="A170" s="53">
        <v>2007.05</v>
      </c>
      <c r="B170" s="223">
        <v>107721.7</v>
      </c>
      <c r="C170" s="3553"/>
      <c r="D170" s="588"/>
      <c r="E170" s="223">
        <v>1453.8</v>
      </c>
      <c r="F170" s="1740"/>
      <c r="G170" s="1007"/>
      <c r="H170" s="3554"/>
      <c r="I170" s="1007"/>
      <c r="J170" s="1963"/>
      <c r="K170" s="1967"/>
      <c r="L170" s="2821"/>
    </row>
    <row r="171" spans="1:12" s="6" customFormat="1">
      <c r="A171" s="53">
        <v>2007.06</v>
      </c>
      <c r="B171" s="223">
        <v>107756.26666666666</v>
      </c>
      <c r="C171" s="3553"/>
      <c r="D171" s="588"/>
      <c r="E171" s="223">
        <v>1871.5</v>
      </c>
      <c r="F171" s="1740"/>
      <c r="G171" s="1007"/>
      <c r="H171" s="3554"/>
      <c r="I171" s="1007"/>
      <c r="J171" s="1963"/>
      <c r="K171" s="1967"/>
      <c r="L171" s="2821"/>
    </row>
    <row r="172" spans="1:12" s="6" customFormat="1">
      <c r="A172" s="53">
        <v>2007.07</v>
      </c>
      <c r="B172" s="223">
        <v>108323.93333333333</v>
      </c>
      <c r="C172" s="3553"/>
      <c r="D172" s="588"/>
      <c r="E172" s="223">
        <v>2180.8000000000002</v>
      </c>
      <c r="F172" s="1740"/>
      <c r="G172" s="1007"/>
      <c r="H172" s="3554"/>
      <c r="I172" s="1007"/>
      <c r="J172" s="1963"/>
      <c r="K172" s="1967"/>
      <c r="L172" s="2821"/>
    </row>
    <row r="173" spans="1:12" s="6" customFormat="1">
      <c r="A173" s="53">
        <v>2007.08</v>
      </c>
      <c r="B173" s="223">
        <v>109109.83333333333</v>
      </c>
      <c r="C173" s="3553"/>
      <c r="D173" s="588"/>
      <c r="E173" s="223">
        <v>2500.6</v>
      </c>
      <c r="F173" s="1740"/>
      <c r="G173" s="1007"/>
      <c r="H173" s="3554"/>
      <c r="I173" s="1007"/>
      <c r="J173" s="1963"/>
      <c r="K173" s="1967"/>
      <c r="L173" s="2821"/>
    </row>
    <row r="174" spans="1:12" s="6" customFormat="1">
      <c r="A174" s="53">
        <v>2007.09</v>
      </c>
      <c r="B174" s="223">
        <v>110375.73333333334</v>
      </c>
      <c r="C174" s="3553"/>
      <c r="D174" s="588"/>
      <c r="E174" s="223">
        <v>2876.6</v>
      </c>
      <c r="F174" s="1740"/>
      <c r="G174" s="1007"/>
      <c r="H174" s="3554"/>
      <c r="I174" s="1007"/>
      <c r="J174" s="1963"/>
      <c r="K174" s="1967"/>
      <c r="L174" s="2821"/>
    </row>
    <row r="175" spans="1:12" s="6" customFormat="1">
      <c r="A175" s="53">
        <v>2007.1</v>
      </c>
      <c r="B175" s="223">
        <v>110794.03333333333</v>
      </c>
      <c r="C175" s="3553"/>
      <c r="D175" s="588"/>
      <c r="E175" s="223">
        <v>3230.8</v>
      </c>
      <c r="F175" s="1740"/>
      <c r="G175" s="1007"/>
      <c r="H175" s="3554"/>
      <c r="I175" s="1007"/>
      <c r="J175" s="1963"/>
      <c r="K175" s="1967"/>
      <c r="L175" s="2821"/>
    </row>
    <row r="176" spans="1:12" s="6" customFormat="1">
      <c r="A176" s="53">
        <v>2007.11</v>
      </c>
      <c r="B176" s="223">
        <v>110861.83333333333</v>
      </c>
      <c r="C176" s="3553"/>
      <c r="D176" s="588"/>
      <c r="E176" s="223">
        <v>3584.1</v>
      </c>
      <c r="F176" s="1740"/>
      <c r="G176" s="1007"/>
      <c r="H176" s="3554"/>
      <c r="I176" s="1007"/>
      <c r="J176" s="1963"/>
      <c r="K176" s="1967"/>
      <c r="L176" s="2821"/>
    </row>
    <row r="177" spans="1:12" s="6" customFormat="1">
      <c r="A177" s="53">
        <v>2007.12</v>
      </c>
      <c r="B177" s="223">
        <v>110754.03333333333</v>
      </c>
      <c r="C177" s="3553"/>
      <c r="D177" s="588"/>
      <c r="E177" s="223">
        <v>4064.5</v>
      </c>
      <c r="F177" s="1740"/>
      <c r="G177" s="1007"/>
      <c r="H177" s="3554"/>
      <c r="I177" s="1007"/>
      <c r="J177" s="1963"/>
      <c r="K177" s="1967"/>
      <c r="L177" s="2821"/>
    </row>
    <row r="178" spans="1:12" s="6" customFormat="1">
      <c r="A178" s="53">
        <f t="shared" ref="A178:A241" si="0">A166+1</f>
        <v>2008.01</v>
      </c>
      <c r="B178" s="223">
        <v>110791.86666666667</v>
      </c>
      <c r="C178" s="3553"/>
      <c r="D178" s="588"/>
      <c r="E178" s="223">
        <v>344.8</v>
      </c>
      <c r="F178" s="1740"/>
      <c r="G178" s="1007"/>
      <c r="H178" s="3554"/>
      <c r="I178" s="1007"/>
      <c r="J178" s="1963"/>
      <c r="K178" s="555">
        <v>473089</v>
      </c>
      <c r="L178" s="2821"/>
    </row>
    <row r="179" spans="1:12" s="6" customFormat="1">
      <c r="A179" s="53">
        <f t="shared" si="0"/>
        <v>2008.02</v>
      </c>
      <c r="B179" s="223">
        <v>110739.6</v>
      </c>
      <c r="C179" s="3553"/>
      <c r="D179" s="588"/>
      <c r="E179" s="223">
        <v>682.7</v>
      </c>
      <c r="F179" s="1740"/>
      <c r="G179" s="1007"/>
      <c r="H179" s="3554"/>
      <c r="I179" s="1007"/>
      <c r="J179" s="1963"/>
      <c r="K179" s="556">
        <v>468138</v>
      </c>
      <c r="L179" s="2821"/>
    </row>
    <row r="180" spans="1:12" s="6" customFormat="1">
      <c r="A180" s="53">
        <f t="shared" si="0"/>
        <v>2008.03</v>
      </c>
      <c r="B180" s="223">
        <v>110701</v>
      </c>
      <c r="C180" s="3553"/>
      <c r="D180" s="588"/>
      <c r="E180" s="223">
        <v>1094.2</v>
      </c>
      <c r="F180" s="1740"/>
      <c r="G180" s="1007"/>
      <c r="H180" s="3554"/>
      <c r="I180" s="1007"/>
      <c r="J180" s="1963"/>
      <c r="K180" s="556">
        <v>467989</v>
      </c>
      <c r="L180" s="2821"/>
    </row>
    <row r="181" spans="1:12" s="6" customFormat="1">
      <c r="A181" s="53">
        <f t="shared" si="0"/>
        <v>2008.04</v>
      </c>
      <c r="B181" s="223">
        <v>110528.2</v>
      </c>
      <c r="C181" s="3553"/>
      <c r="D181" s="588"/>
      <c r="E181" s="223">
        <v>1599.5</v>
      </c>
      <c r="F181" s="1740"/>
      <c r="G181" s="1007"/>
      <c r="H181" s="3554"/>
      <c r="I181" s="1007"/>
      <c r="J181" s="1963"/>
      <c r="K181" s="556">
        <v>474118</v>
      </c>
      <c r="L181" s="2821"/>
    </row>
    <row r="182" spans="1:12" s="6" customFormat="1" ht="12.75" customHeight="1">
      <c r="A182" s="53">
        <f t="shared" si="0"/>
        <v>2008.05</v>
      </c>
      <c r="B182" s="223">
        <v>110605.93333333333</v>
      </c>
      <c r="C182" s="3553"/>
      <c r="D182" s="588"/>
      <c r="E182" s="223">
        <v>2032.2</v>
      </c>
      <c r="F182" s="1740"/>
      <c r="G182" s="1007"/>
      <c r="H182" s="3554"/>
      <c r="I182" s="1007"/>
      <c r="J182" s="1963"/>
      <c r="K182" s="556">
        <v>477415</v>
      </c>
      <c r="L182" s="2821"/>
    </row>
    <row r="183" spans="1:12" s="6" customFormat="1">
      <c r="A183" s="53">
        <f t="shared" si="0"/>
        <v>2008.06</v>
      </c>
      <c r="B183" s="223">
        <v>110716.56666666667</v>
      </c>
      <c r="C183" s="3553"/>
      <c r="D183" s="588"/>
      <c r="E183" s="223">
        <v>2618.1</v>
      </c>
      <c r="F183" s="1740"/>
      <c r="G183" s="1007"/>
      <c r="H183" s="3554"/>
      <c r="I183" s="1007"/>
      <c r="J183" s="1963"/>
      <c r="K183" s="556">
        <v>476839</v>
      </c>
      <c r="L183" s="2821"/>
    </row>
    <row r="184" spans="1:12" s="6" customFormat="1">
      <c r="A184" s="53">
        <f t="shared" si="0"/>
        <v>2008.07</v>
      </c>
      <c r="B184" s="223">
        <v>110826</v>
      </c>
      <c r="C184" s="3553"/>
      <c r="D184" s="588"/>
      <c r="E184" s="223">
        <v>3059.7</v>
      </c>
      <c r="F184" s="1740"/>
      <c r="G184" s="1007"/>
      <c r="H184" s="3554"/>
      <c r="I184" s="1007"/>
      <c r="J184" s="1963"/>
      <c r="K184" s="556">
        <v>474596</v>
      </c>
      <c r="L184" s="2821"/>
    </row>
    <row r="185" spans="1:12" s="6" customFormat="1">
      <c r="A185" s="53">
        <f t="shared" si="0"/>
        <v>2008.08</v>
      </c>
      <c r="B185" s="223">
        <v>111956</v>
      </c>
      <c r="C185" s="3553"/>
      <c r="D185" s="588"/>
      <c r="E185" s="223">
        <v>3495</v>
      </c>
      <c r="F185" s="1740"/>
      <c r="G185" s="1007"/>
      <c r="H185" s="3554"/>
      <c r="I185" s="1007"/>
      <c r="J185" s="1963"/>
      <c r="K185" s="556">
        <v>475201</v>
      </c>
      <c r="L185" s="2821"/>
    </row>
    <row r="186" spans="1:12" s="6" customFormat="1">
      <c r="A186" s="53">
        <f t="shared" si="0"/>
        <v>2008.09</v>
      </c>
      <c r="B186" s="223">
        <v>112000</v>
      </c>
      <c r="C186" s="3553"/>
      <c r="D186" s="588"/>
      <c r="E186" s="223">
        <v>4001.4</v>
      </c>
      <c r="F186" s="1740"/>
      <c r="G186" s="1007"/>
      <c r="H186" s="3554"/>
      <c r="I186" s="1007"/>
      <c r="J186" s="1963"/>
      <c r="K186" s="556">
        <v>476463</v>
      </c>
      <c r="L186" s="2821"/>
    </row>
    <row r="187" spans="1:12" s="6" customFormat="1">
      <c r="A187" s="53">
        <f t="shared" si="0"/>
        <v>2008.1</v>
      </c>
      <c r="B187" s="223">
        <v>111907</v>
      </c>
      <c r="C187" s="3553"/>
      <c r="D187" s="588"/>
      <c r="E187" s="223">
        <v>4476.8999999999996</v>
      </c>
      <c r="F187" s="1740"/>
      <c r="G187" s="1007"/>
      <c r="H187" s="3554"/>
      <c r="I187" s="1007"/>
      <c r="J187" s="1963"/>
      <c r="K187" s="556">
        <v>478603</v>
      </c>
      <c r="L187" s="2821"/>
    </row>
    <row r="188" spans="1:12" s="6" customFormat="1">
      <c r="A188" s="53">
        <f t="shared" si="0"/>
        <v>2008.11</v>
      </c>
      <c r="B188" s="223">
        <v>112925</v>
      </c>
      <c r="C188" s="3553"/>
      <c r="D188" s="588"/>
      <c r="E188" s="223">
        <v>4964.2</v>
      </c>
      <c r="F188" s="1740"/>
      <c r="G188" s="1007"/>
      <c r="H188" s="3554"/>
      <c r="I188" s="1007"/>
      <c r="J188" s="1963"/>
      <c r="K188" s="556">
        <v>481306</v>
      </c>
      <c r="L188" s="2821"/>
    </row>
    <row r="189" spans="1:12" s="6" customFormat="1">
      <c r="A189" s="53">
        <f t="shared" si="0"/>
        <v>2008.12</v>
      </c>
      <c r="B189" s="223">
        <v>112886</v>
      </c>
      <c r="C189" s="3553"/>
      <c r="D189" s="588"/>
      <c r="E189" s="223">
        <v>5629.2</v>
      </c>
      <c r="F189" s="1740"/>
      <c r="G189" s="1007"/>
      <c r="H189" s="3554"/>
      <c r="I189" s="1007"/>
      <c r="J189" s="1963"/>
      <c r="K189" s="556">
        <v>479218</v>
      </c>
      <c r="L189" s="2821"/>
    </row>
    <row r="190" spans="1:12" s="6" customFormat="1">
      <c r="A190" s="53">
        <f t="shared" si="0"/>
        <v>2009.01</v>
      </c>
      <c r="B190" s="223">
        <v>113377.03333333333</v>
      </c>
      <c r="C190" s="3553"/>
      <c r="D190" s="588"/>
      <c r="E190" s="223">
        <v>477.4</v>
      </c>
      <c r="F190" s="356">
        <v>459.32499999999999</v>
      </c>
      <c r="G190" s="1007"/>
      <c r="H190" s="3554"/>
      <c r="I190" s="1007"/>
      <c r="J190" s="1963"/>
      <c r="K190" s="556">
        <v>480072</v>
      </c>
      <c r="L190" s="2821"/>
    </row>
    <row r="191" spans="1:12" s="6" customFormat="1">
      <c r="A191" s="53">
        <f t="shared" si="0"/>
        <v>2009.02</v>
      </c>
      <c r="B191" s="223">
        <v>113001.3</v>
      </c>
      <c r="C191" s="3553"/>
      <c r="D191" s="588"/>
      <c r="E191" s="223">
        <v>948.5</v>
      </c>
      <c r="F191" s="1207">
        <v>453.637</v>
      </c>
      <c r="G191" s="1007"/>
      <c r="H191" s="3554"/>
      <c r="I191" s="1007"/>
      <c r="J191" s="1963"/>
      <c r="K191" s="556">
        <v>468494</v>
      </c>
      <c r="L191" s="2821"/>
    </row>
    <row r="192" spans="1:12" s="6" customFormat="1">
      <c r="A192" s="53">
        <f t="shared" si="0"/>
        <v>2009.03</v>
      </c>
      <c r="B192" s="223">
        <v>112936.3</v>
      </c>
      <c r="C192" s="3553"/>
      <c r="D192" s="588"/>
      <c r="E192" s="223">
        <v>1516.5</v>
      </c>
      <c r="F192" s="1207">
        <v>454.63200000000001</v>
      </c>
      <c r="G192" s="1007"/>
      <c r="H192" s="3554"/>
      <c r="I192" s="1007"/>
      <c r="J192" s="1963"/>
      <c r="K192" s="556">
        <v>463144</v>
      </c>
      <c r="L192" s="2821"/>
    </row>
    <row r="193" spans="1:12" s="6" customFormat="1">
      <c r="A193" s="53">
        <f t="shared" si="0"/>
        <v>2009.04</v>
      </c>
      <c r="B193" s="223">
        <v>112954.03333333333</v>
      </c>
      <c r="C193" s="3553"/>
      <c r="D193" s="588"/>
      <c r="E193" s="223">
        <v>2064</v>
      </c>
      <c r="F193" s="1207">
        <v>452.58300000000003</v>
      </c>
      <c r="G193" s="1007"/>
      <c r="H193" s="3554"/>
      <c r="I193" s="1007"/>
      <c r="J193" s="1963"/>
      <c r="K193" s="556">
        <v>465857</v>
      </c>
      <c r="L193" s="2821"/>
    </row>
    <row r="194" spans="1:12" s="6" customFormat="1">
      <c r="A194" s="53">
        <f t="shared" si="0"/>
        <v>2009.05</v>
      </c>
      <c r="B194" s="223">
        <v>112707.03333333333</v>
      </c>
      <c r="C194" s="3553"/>
      <c r="D194" s="588"/>
      <c r="E194" s="223">
        <v>2619.5</v>
      </c>
      <c r="F194" s="1207">
        <v>449.09100000000001</v>
      </c>
      <c r="G194" s="1007"/>
      <c r="H194" s="3554"/>
      <c r="I194" s="1007"/>
      <c r="J194" s="1963"/>
      <c r="K194" s="556">
        <v>463719</v>
      </c>
      <c r="L194" s="2821"/>
    </row>
    <row r="195" spans="1:12" s="6" customFormat="1">
      <c r="A195" s="53">
        <f t="shared" si="0"/>
        <v>2009.06</v>
      </c>
      <c r="B195" s="223">
        <v>113104.66666666667</v>
      </c>
      <c r="C195" s="3553"/>
      <c r="D195" s="588"/>
      <c r="E195" s="223">
        <v>3377.8</v>
      </c>
      <c r="F195" s="1207">
        <v>447.70600000000002</v>
      </c>
      <c r="G195" s="1007"/>
      <c r="H195" s="3554"/>
      <c r="I195" s="1007"/>
      <c r="J195" s="1963"/>
      <c r="K195" s="556">
        <v>461193</v>
      </c>
      <c r="L195" s="2821"/>
    </row>
    <row r="196" spans="1:12" s="6" customFormat="1">
      <c r="A196" s="53">
        <f t="shared" si="0"/>
        <v>2009.07</v>
      </c>
      <c r="B196" s="223">
        <v>113625.03333333333</v>
      </c>
      <c r="C196" s="3553"/>
      <c r="D196" s="588"/>
      <c r="E196" s="223">
        <v>3940.9</v>
      </c>
      <c r="F196" s="1207">
        <v>446.59500000000003</v>
      </c>
      <c r="G196" s="1007"/>
      <c r="H196" s="3554"/>
      <c r="I196" s="1007"/>
      <c r="J196" s="1963"/>
      <c r="K196" s="556">
        <v>460032</v>
      </c>
      <c r="L196" s="2821"/>
    </row>
    <row r="197" spans="1:12" s="6" customFormat="1">
      <c r="A197" s="53">
        <f t="shared" si="0"/>
        <v>2009.08</v>
      </c>
      <c r="B197" s="223">
        <v>113427.66666666667</v>
      </c>
      <c r="C197" s="3553"/>
      <c r="D197" s="588"/>
      <c r="E197" s="223">
        <v>4488.2</v>
      </c>
      <c r="F197" s="1207">
        <v>445.55500000000001</v>
      </c>
      <c r="G197" s="1007"/>
      <c r="H197" s="3554"/>
      <c r="I197" s="1007"/>
      <c r="J197" s="1963"/>
      <c r="K197" s="556">
        <v>459661</v>
      </c>
      <c r="L197" s="2821"/>
    </row>
    <row r="198" spans="1:12" s="6" customFormat="1">
      <c r="A198" s="53">
        <f t="shared" si="0"/>
        <v>2009.09</v>
      </c>
      <c r="B198" s="223">
        <v>113804.26666666666</v>
      </c>
      <c r="C198" s="3553"/>
      <c r="D198" s="588"/>
      <c r="E198" s="223">
        <v>5045.8999999999996</v>
      </c>
      <c r="F198" s="1207">
        <v>450.31299999999999</v>
      </c>
      <c r="G198" s="1007"/>
      <c r="H198" s="3554"/>
      <c r="I198" s="1007"/>
      <c r="J198" s="1963"/>
      <c r="K198" s="556">
        <v>458348</v>
      </c>
      <c r="L198" s="2821"/>
    </row>
    <row r="199" spans="1:12" s="6" customFormat="1">
      <c r="A199" s="53">
        <f t="shared" si="0"/>
        <v>2009.1</v>
      </c>
      <c r="B199" s="223">
        <v>113644.86666666667</v>
      </c>
      <c r="C199" s="3553"/>
      <c r="D199" s="588"/>
      <c r="E199" s="223">
        <v>5618.3</v>
      </c>
      <c r="F199" s="1207">
        <v>453.29</v>
      </c>
      <c r="G199" s="1007"/>
      <c r="H199" s="3554"/>
      <c r="I199" s="1007"/>
      <c r="J199" s="1963"/>
      <c r="K199" s="556">
        <v>465064</v>
      </c>
      <c r="L199" s="2821"/>
    </row>
    <row r="200" spans="1:12" s="6" customFormat="1">
      <c r="A200" s="53">
        <f t="shared" si="0"/>
        <v>2009.11</v>
      </c>
      <c r="B200" s="223">
        <v>113727.66666666667</v>
      </c>
      <c r="C200" s="3553"/>
      <c r="D200" s="588"/>
      <c r="E200" s="223">
        <v>6183.7</v>
      </c>
      <c r="F200" s="1207">
        <v>455.45699999999999</v>
      </c>
      <c r="G200" s="1007"/>
      <c r="H200" s="3554"/>
      <c r="I200" s="1007"/>
      <c r="J200" s="1963"/>
      <c r="K200" s="556">
        <v>468357</v>
      </c>
      <c r="L200" s="2821"/>
    </row>
    <row r="201" spans="1:12" s="6" customFormat="1">
      <c r="A201" s="53">
        <f t="shared" si="0"/>
        <v>2009.12</v>
      </c>
      <c r="B201" s="223">
        <v>113760.83333333333</v>
      </c>
      <c r="C201" s="3553"/>
      <c r="D201" s="588"/>
      <c r="E201" s="223">
        <v>6957.5</v>
      </c>
      <c r="F201" s="1207">
        <v>459.49400000000003</v>
      </c>
      <c r="G201" s="1007"/>
      <c r="H201" s="3554"/>
      <c r="I201" s="1007"/>
      <c r="J201" s="1963"/>
      <c r="K201" s="556">
        <v>470159</v>
      </c>
      <c r="L201" s="2821"/>
    </row>
    <row r="202" spans="1:12" s="6" customFormat="1">
      <c r="A202" s="53">
        <f t="shared" si="0"/>
        <v>2010.01</v>
      </c>
      <c r="B202" s="223">
        <v>114735.63333333333</v>
      </c>
      <c r="C202" s="3553"/>
      <c r="D202" s="588"/>
      <c r="E202" s="223">
        <v>554.70000000000005</v>
      </c>
      <c r="F202" s="1207">
        <v>455.25900000000001</v>
      </c>
      <c r="G202" s="1007"/>
      <c r="H202" s="3554"/>
      <c r="I202" s="1007"/>
      <c r="J202" s="1963"/>
      <c r="K202" s="556">
        <v>473198</v>
      </c>
      <c r="L202" s="2821"/>
    </row>
    <row r="203" spans="1:12" s="6" customFormat="1">
      <c r="A203" s="53">
        <f t="shared" si="0"/>
        <v>2010.02</v>
      </c>
      <c r="B203" s="223">
        <v>114667.63333333333</v>
      </c>
      <c r="C203" s="3553"/>
      <c r="D203" s="588"/>
      <c r="E203" s="223">
        <v>1104.5</v>
      </c>
      <c r="F203" s="1207">
        <v>454.95</v>
      </c>
      <c r="G203" s="1007"/>
      <c r="H203" s="3554"/>
      <c r="I203" s="1007"/>
      <c r="J203" s="1963"/>
      <c r="K203" s="556">
        <v>465521</v>
      </c>
      <c r="L203" s="2821"/>
    </row>
    <row r="204" spans="1:12" s="6" customFormat="1">
      <c r="A204" s="53">
        <f t="shared" si="0"/>
        <v>2010.03</v>
      </c>
      <c r="B204" s="223">
        <v>114466.13333333333</v>
      </c>
      <c r="C204" s="3553"/>
      <c r="D204" s="588"/>
      <c r="E204" s="223">
        <v>1653.6</v>
      </c>
      <c r="F204" s="1207">
        <v>459.452</v>
      </c>
      <c r="G204" s="1007"/>
      <c r="H204" s="3554"/>
      <c r="I204" s="1007"/>
      <c r="J204" s="1963"/>
      <c r="K204" s="556">
        <v>466781</v>
      </c>
      <c r="L204" s="2821"/>
    </row>
    <row r="205" spans="1:12" s="6" customFormat="1">
      <c r="A205" s="53">
        <f t="shared" si="0"/>
        <v>2010.04</v>
      </c>
      <c r="B205" s="223">
        <v>114404.3</v>
      </c>
      <c r="C205" s="3553"/>
      <c r="D205" s="588"/>
      <c r="E205" s="223">
        <v>2396.6</v>
      </c>
      <c r="F205" s="1207">
        <v>459.57400000000001</v>
      </c>
      <c r="G205" s="1007"/>
      <c r="H205" s="3554"/>
      <c r="I205" s="1007"/>
      <c r="J205" s="1963"/>
      <c r="K205" s="556">
        <v>473997</v>
      </c>
      <c r="L205" s="2821"/>
    </row>
    <row r="206" spans="1:12" s="6" customFormat="1">
      <c r="A206" s="53">
        <f t="shared" si="0"/>
        <v>2010.05</v>
      </c>
      <c r="B206" s="223">
        <v>114698.36666666667</v>
      </c>
      <c r="C206" s="3553"/>
      <c r="D206" s="588"/>
      <c r="E206" s="223">
        <v>3055.8</v>
      </c>
      <c r="F206" s="1207">
        <v>459.00799999999998</v>
      </c>
      <c r="G206" s="1007"/>
      <c r="H206" s="3554"/>
      <c r="I206" s="1007"/>
      <c r="J206" s="1963"/>
      <c r="K206" s="556">
        <v>474752</v>
      </c>
      <c r="L206" s="2821"/>
    </row>
    <row r="207" spans="1:12" s="6" customFormat="1">
      <c r="A207" s="53">
        <f t="shared" si="0"/>
        <v>2010.06</v>
      </c>
      <c r="B207" s="223">
        <v>114500.06666666667</v>
      </c>
      <c r="C207" s="3553"/>
      <c r="D207" s="588"/>
      <c r="E207" s="223">
        <v>3940.6</v>
      </c>
      <c r="F207" s="1207">
        <v>459.96199999999999</v>
      </c>
      <c r="G207" s="1007"/>
      <c r="H207" s="3554"/>
      <c r="I207" s="1007"/>
      <c r="J207" s="1963"/>
      <c r="K207" s="556">
        <v>474176</v>
      </c>
      <c r="L207" s="2821"/>
    </row>
    <row r="208" spans="1:12" s="6" customFormat="1">
      <c r="A208" s="53">
        <f t="shared" si="0"/>
        <v>2010.07</v>
      </c>
      <c r="B208" s="223">
        <v>114150.13333333333</v>
      </c>
      <c r="C208" s="3553"/>
      <c r="D208" s="588"/>
      <c r="E208" s="223">
        <v>4623.5</v>
      </c>
      <c r="F208" s="1207">
        <v>460.33</v>
      </c>
      <c r="G208" s="1007"/>
      <c r="H208" s="3554"/>
      <c r="I208" s="1007"/>
      <c r="J208" s="1963"/>
      <c r="K208" s="556">
        <v>475162</v>
      </c>
      <c r="L208" s="2821"/>
    </row>
    <row r="209" spans="1:12" s="6" customFormat="1">
      <c r="A209" s="53">
        <f t="shared" si="0"/>
        <v>2010.08</v>
      </c>
      <c r="B209" s="223">
        <v>113944.03333333333</v>
      </c>
      <c r="C209" s="3553"/>
      <c r="D209" s="588"/>
      <c r="E209" s="223">
        <v>5294.9</v>
      </c>
      <c r="F209" s="1207">
        <v>462.05599999999998</v>
      </c>
      <c r="G209" s="1007"/>
      <c r="H209" s="3554"/>
      <c r="I209" s="1007"/>
      <c r="J209" s="1963"/>
      <c r="K209" s="556">
        <v>476136</v>
      </c>
      <c r="L209" s="2821"/>
    </row>
    <row r="210" spans="1:12" s="6" customFormat="1">
      <c r="A210" s="53">
        <f t="shared" si="0"/>
        <v>2010.09</v>
      </c>
      <c r="B210" s="223">
        <v>114579.63333333333</v>
      </c>
      <c r="C210" s="3553"/>
      <c r="D210" s="588"/>
      <c r="E210" s="223">
        <v>5984</v>
      </c>
      <c r="F210" s="1207">
        <v>464.50200000000001</v>
      </c>
      <c r="G210" s="1007"/>
      <c r="H210" s="3554"/>
      <c r="I210" s="1007"/>
      <c r="J210" s="1963"/>
      <c r="K210" s="556">
        <v>478177</v>
      </c>
      <c r="L210" s="2821"/>
    </row>
    <row r="211" spans="1:12" s="6" customFormat="1">
      <c r="A211" s="53">
        <f t="shared" si="0"/>
        <v>2010.1</v>
      </c>
      <c r="B211" s="223">
        <v>114577.3</v>
      </c>
      <c r="C211" s="3553"/>
      <c r="D211" s="588"/>
      <c r="E211" s="223">
        <v>6702.1</v>
      </c>
      <c r="F211" s="1207">
        <v>467.31299999999999</v>
      </c>
      <c r="G211" s="1007"/>
      <c r="H211" s="3554"/>
      <c r="I211" s="1007"/>
      <c r="J211" s="1963"/>
      <c r="K211" s="556">
        <v>480296</v>
      </c>
      <c r="L211" s="2821"/>
    </row>
    <row r="212" spans="1:12" s="6" customFormat="1">
      <c r="A212" s="53">
        <f t="shared" si="0"/>
        <v>2010.11</v>
      </c>
      <c r="B212" s="223">
        <v>115118.3</v>
      </c>
      <c r="C212" s="3553"/>
      <c r="D212" s="588"/>
      <c r="E212" s="223">
        <v>7483.6</v>
      </c>
      <c r="F212" s="1207">
        <v>472.01</v>
      </c>
      <c r="G212" s="1007"/>
      <c r="H212" s="3554"/>
      <c r="I212" s="1007"/>
      <c r="J212" s="1963"/>
      <c r="K212" s="556">
        <v>483641</v>
      </c>
      <c r="L212" s="2821"/>
    </row>
    <row r="213" spans="1:12" s="6" customFormat="1">
      <c r="A213" s="53">
        <f t="shared" si="0"/>
        <v>2010.12</v>
      </c>
      <c r="B213" s="223">
        <v>116513.76666666666</v>
      </c>
      <c r="C213" s="3553"/>
      <c r="D213" s="588"/>
      <c r="E213" s="223">
        <v>8527.2000000000007</v>
      </c>
      <c r="F213" s="1207">
        <v>477.78800000000001</v>
      </c>
      <c r="G213" s="1007"/>
      <c r="H213" s="3554"/>
      <c r="I213" s="1007"/>
      <c r="J213" s="1963"/>
      <c r="K213" s="556">
        <v>489210</v>
      </c>
      <c r="L213" s="2821"/>
    </row>
    <row r="214" spans="1:12" s="6" customFormat="1">
      <c r="A214" s="53">
        <f t="shared" si="0"/>
        <v>2011.01</v>
      </c>
      <c r="B214" s="223">
        <v>116706.7</v>
      </c>
      <c r="C214" s="3553"/>
      <c r="D214" s="588"/>
      <c r="E214" s="223">
        <v>759.1</v>
      </c>
      <c r="F214" s="1207">
        <v>475.04199999999997</v>
      </c>
      <c r="G214" s="1007"/>
      <c r="H214" s="3554"/>
      <c r="I214" s="1007"/>
      <c r="J214" s="1963"/>
      <c r="K214" s="556">
        <v>495022</v>
      </c>
      <c r="L214" s="2821"/>
    </row>
    <row r="215" spans="1:12" s="6" customFormat="1">
      <c r="A215" s="53">
        <f t="shared" si="0"/>
        <v>2011.02</v>
      </c>
      <c r="B215" s="223">
        <v>116730.13333333333</v>
      </c>
      <c r="C215" s="3553"/>
      <c r="D215" s="588"/>
      <c r="E215" s="223">
        <v>1653.2</v>
      </c>
      <c r="F215" s="1207">
        <v>474.11500000000001</v>
      </c>
      <c r="G215" s="1007"/>
      <c r="H215" s="3554"/>
      <c r="I215" s="1007"/>
      <c r="J215" s="1963"/>
      <c r="K215" s="556">
        <v>488867</v>
      </c>
      <c r="L215" s="2821"/>
    </row>
    <row r="216" spans="1:12" s="6" customFormat="1">
      <c r="A216" s="53">
        <f t="shared" si="0"/>
        <v>2011.03</v>
      </c>
      <c r="B216" s="223">
        <v>116771.53333333333</v>
      </c>
      <c r="C216" s="3553"/>
      <c r="D216" s="588"/>
      <c r="E216" s="223">
        <v>2651.7</v>
      </c>
      <c r="F216" s="1207">
        <v>478.83600000000001</v>
      </c>
      <c r="G216" s="1007"/>
      <c r="H216" s="3554"/>
      <c r="I216" s="1007"/>
      <c r="J216" s="1963"/>
      <c r="K216" s="556">
        <v>488259</v>
      </c>
      <c r="L216" s="2821"/>
    </row>
    <row r="217" spans="1:12" s="6" customFormat="1">
      <c r="A217" s="53">
        <f t="shared" si="0"/>
        <v>2011.04</v>
      </c>
      <c r="B217" s="223">
        <v>116849.46666666667</v>
      </c>
      <c r="C217" s="3553"/>
      <c r="D217" s="588"/>
      <c r="E217" s="223">
        <v>3621.9</v>
      </c>
      <c r="F217" s="1207">
        <v>481.31400000000002</v>
      </c>
      <c r="G217" s="1007"/>
      <c r="H217" s="3554"/>
      <c r="I217" s="1007"/>
      <c r="J217" s="1963"/>
      <c r="K217" s="556">
        <v>494951</v>
      </c>
      <c r="L217" s="2821"/>
    </row>
    <row r="218" spans="1:12" s="6" customFormat="1">
      <c r="A218" s="53">
        <f t="shared" si="0"/>
        <v>2011.05</v>
      </c>
      <c r="B218" s="223">
        <v>117356.13333333333</v>
      </c>
      <c r="C218" s="3553"/>
      <c r="D218" s="588"/>
      <c r="E218" s="223">
        <v>4603</v>
      </c>
      <c r="F218" s="1207">
        <v>482.327</v>
      </c>
      <c r="G218" s="1007"/>
      <c r="H218" s="3554"/>
      <c r="I218" s="1007"/>
      <c r="J218" s="1963"/>
      <c r="K218" s="556">
        <v>498086</v>
      </c>
      <c r="L218" s="2821"/>
    </row>
    <row r="219" spans="1:12" s="6" customFormat="1">
      <c r="A219" s="53">
        <f t="shared" si="0"/>
        <v>2011.06</v>
      </c>
      <c r="B219" s="223">
        <v>117321.86666666667</v>
      </c>
      <c r="C219" s="3553"/>
      <c r="D219" s="588"/>
      <c r="E219" s="223">
        <v>5930.6</v>
      </c>
      <c r="F219" s="1207">
        <v>484.44</v>
      </c>
      <c r="G219" s="1007"/>
      <c r="H219" s="3554"/>
      <c r="I219" s="1007"/>
      <c r="J219" s="1963"/>
      <c r="K219" s="556">
        <v>500281</v>
      </c>
      <c r="L219" s="2821"/>
    </row>
    <row r="220" spans="1:12" s="6" customFormat="1">
      <c r="A220" s="53">
        <f t="shared" si="0"/>
        <v>2011.07</v>
      </c>
      <c r="B220" s="223">
        <v>117275.9</v>
      </c>
      <c r="C220" s="3553"/>
      <c r="D220" s="588"/>
      <c r="E220" s="223">
        <v>6950.1</v>
      </c>
      <c r="F220" s="1207">
        <v>484.298</v>
      </c>
      <c r="G220" s="1007"/>
      <c r="H220" s="3554"/>
      <c r="I220" s="1007"/>
      <c r="J220" s="1963"/>
      <c r="K220" s="556">
        <v>502217</v>
      </c>
      <c r="L220" s="2821"/>
    </row>
    <row r="221" spans="1:12" s="6" customFormat="1">
      <c r="A221" s="53">
        <f t="shared" si="0"/>
        <v>2011.08</v>
      </c>
      <c r="B221" s="223">
        <v>117277.93333333333</v>
      </c>
      <c r="C221" s="3553"/>
      <c r="D221" s="588"/>
      <c r="E221" s="223">
        <v>7947.9</v>
      </c>
      <c r="F221" s="1207">
        <v>487.82100000000003</v>
      </c>
      <c r="G221" s="1007"/>
      <c r="H221" s="3554"/>
      <c r="I221" s="1007"/>
      <c r="J221" s="1963"/>
      <c r="K221" s="556">
        <v>501798</v>
      </c>
      <c r="L221" s="2821"/>
    </row>
    <row r="222" spans="1:12" s="6" customFormat="1">
      <c r="A222" s="53">
        <f t="shared" si="0"/>
        <v>2011.09</v>
      </c>
      <c r="B222" s="223">
        <v>117348.73333333334</v>
      </c>
      <c r="C222" s="3553"/>
      <c r="D222" s="588"/>
      <c r="E222" s="223">
        <v>8960.9</v>
      </c>
      <c r="F222" s="1207">
        <v>488.52</v>
      </c>
      <c r="G222" s="1007"/>
      <c r="H222" s="3554"/>
      <c r="I222" s="1007"/>
      <c r="J222" s="1963"/>
      <c r="K222" s="556">
        <v>506571</v>
      </c>
      <c r="L222" s="2821"/>
    </row>
    <row r="223" spans="1:12" s="6" customFormat="1">
      <c r="A223" s="53">
        <f t="shared" si="0"/>
        <v>2011.1</v>
      </c>
      <c r="B223" s="223">
        <v>117275.66666666667</v>
      </c>
      <c r="C223" s="3553"/>
      <c r="D223" s="588"/>
      <c r="E223" s="223">
        <v>9966.2999999999993</v>
      </c>
      <c r="F223" s="1207">
        <v>490.649</v>
      </c>
      <c r="G223" s="1007"/>
      <c r="H223" s="3554"/>
      <c r="I223" s="1007"/>
      <c r="J223" s="1963"/>
      <c r="K223" s="556">
        <v>507192</v>
      </c>
      <c r="L223" s="2821"/>
    </row>
    <row r="224" spans="1:12" s="6" customFormat="1">
      <c r="A224" s="53">
        <f t="shared" si="0"/>
        <v>2011.11</v>
      </c>
      <c r="B224" s="223">
        <v>117220.96666666667</v>
      </c>
      <c r="C224" s="3553"/>
      <c r="D224" s="588"/>
      <c r="E224" s="223">
        <v>10979.1</v>
      </c>
      <c r="F224" s="1207">
        <v>495.20299999999997</v>
      </c>
      <c r="G224" s="1007"/>
      <c r="H224" s="3554"/>
      <c r="I224" s="1007"/>
      <c r="J224" s="1963"/>
      <c r="K224" s="556">
        <v>509469</v>
      </c>
      <c r="L224" s="2821"/>
    </row>
    <row r="225" spans="1:12" s="6" customFormat="1">
      <c r="A225" s="53">
        <f t="shared" si="0"/>
        <v>2011.12</v>
      </c>
      <c r="B225" s="223">
        <v>117341.9</v>
      </c>
      <c r="C225" s="3553"/>
      <c r="D225" s="588"/>
      <c r="E225" s="223">
        <v>12397.7</v>
      </c>
      <c r="F225" s="1207">
        <v>497.96800000000002</v>
      </c>
      <c r="G225" s="1007"/>
      <c r="H225" s="3554"/>
      <c r="I225" s="1007"/>
      <c r="J225" s="1963"/>
      <c r="K225" s="556">
        <v>514673</v>
      </c>
      <c r="L225" s="2821"/>
    </row>
    <row r="226" spans="1:12" s="6" customFormat="1">
      <c r="A226" s="53">
        <f t="shared" si="0"/>
        <v>2012.01</v>
      </c>
      <c r="B226" s="223">
        <v>119810.26666666666</v>
      </c>
      <c r="C226" s="3553"/>
      <c r="D226" s="588"/>
      <c r="E226" s="223">
        <v>1011.77</v>
      </c>
      <c r="F226" s="1207">
        <v>493.45699999999999</v>
      </c>
      <c r="G226" s="1007"/>
      <c r="H226" s="3554"/>
      <c r="I226" s="1007"/>
      <c r="J226" s="1963"/>
      <c r="K226" s="556">
        <v>515743</v>
      </c>
      <c r="L226" s="2821"/>
    </row>
    <row r="227" spans="1:12" s="6" customFormat="1">
      <c r="A227" s="53">
        <f t="shared" si="0"/>
        <v>2012.02</v>
      </c>
      <c r="B227" s="223">
        <v>119633.36666666667</v>
      </c>
      <c r="C227" s="3553"/>
      <c r="D227" s="588"/>
      <c r="E227" s="223">
        <v>2023.95</v>
      </c>
      <c r="F227" s="1207">
        <v>490.28699999999998</v>
      </c>
      <c r="G227" s="1007"/>
      <c r="H227" s="3554"/>
      <c r="I227" s="1007"/>
      <c r="J227" s="1963"/>
      <c r="K227" s="556">
        <v>508234</v>
      </c>
      <c r="L227" s="2821"/>
    </row>
    <row r="228" spans="1:12" s="6" customFormat="1">
      <c r="A228" s="53">
        <f t="shared" si="0"/>
        <v>2012.03</v>
      </c>
      <c r="B228" s="223">
        <v>120515.26666666666</v>
      </c>
      <c r="C228" s="3553"/>
      <c r="D228" s="588"/>
      <c r="E228" s="223">
        <v>3146.09</v>
      </c>
      <c r="F228" s="1207">
        <v>493.33499999999998</v>
      </c>
      <c r="G228" s="1007"/>
      <c r="H228" s="3554"/>
      <c r="I228" s="1007"/>
      <c r="J228" s="1963"/>
      <c r="K228" s="556">
        <v>505229</v>
      </c>
      <c r="L228" s="2821"/>
    </row>
    <row r="229" spans="1:12" s="6" customFormat="1">
      <c r="A229" s="53">
        <f t="shared" si="0"/>
        <v>2012.04</v>
      </c>
      <c r="B229" s="223">
        <v>122317.7</v>
      </c>
      <c r="C229" s="3553"/>
      <c r="D229" s="588"/>
      <c r="E229" s="223">
        <v>4483.9399999999996</v>
      </c>
      <c r="F229" s="1207">
        <v>492.66199999999998</v>
      </c>
      <c r="G229" s="1007"/>
      <c r="H229" s="3554"/>
      <c r="I229" s="1007"/>
      <c r="J229" s="1963"/>
      <c r="K229" s="556">
        <v>509290</v>
      </c>
      <c r="L229" s="2821"/>
    </row>
    <row r="230" spans="1:12" s="6" customFormat="1">
      <c r="A230" s="53">
        <f t="shared" si="0"/>
        <v>2012.05</v>
      </c>
      <c r="B230" s="223">
        <v>122109.1</v>
      </c>
      <c r="C230" s="3556">
        <v>121347</v>
      </c>
      <c r="D230" s="542">
        <v>762</v>
      </c>
      <c r="E230" s="223">
        <v>5712.27</v>
      </c>
      <c r="F230" s="1207">
        <v>492.00700000000001</v>
      </c>
      <c r="G230" s="1007"/>
      <c r="H230" s="3554"/>
      <c r="I230" s="1007"/>
      <c r="J230" s="1963"/>
      <c r="K230" s="556">
        <v>510648</v>
      </c>
      <c r="L230" s="2821"/>
    </row>
    <row r="231" spans="1:12" s="6" customFormat="1">
      <c r="A231" s="53">
        <f t="shared" si="0"/>
        <v>2012.06</v>
      </c>
      <c r="B231" s="223">
        <v>122452.26666666666</v>
      </c>
      <c r="C231" s="3538">
        <v>121691</v>
      </c>
      <c r="D231" s="141">
        <v>761</v>
      </c>
      <c r="E231" s="223">
        <v>7407.24</v>
      </c>
      <c r="F231" s="1207">
        <v>491.11</v>
      </c>
      <c r="G231" s="1007"/>
      <c r="H231" s="3554"/>
      <c r="I231" s="1007"/>
      <c r="J231" s="1963"/>
      <c r="K231" s="556">
        <v>510150</v>
      </c>
      <c r="L231" s="2821"/>
    </row>
    <row r="232" spans="1:12" s="6" customFormat="1">
      <c r="A232" s="53">
        <f t="shared" si="0"/>
        <v>2012.07</v>
      </c>
      <c r="B232" s="223">
        <v>122510.8</v>
      </c>
      <c r="C232" s="3538">
        <v>121733</v>
      </c>
      <c r="D232" s="141">
        <v>778</v>
      </c>
      <c r="E232" s="223">
        <v>8705.34</v>
      </c>
      <c r="F232" s="1207">
        <v>488.642</v>
      </c>
      <c r="G232" s="1007"/>
      <c r="H232" s="3554"/>
      <c r="I232" s="1007"/>
      <c r="J232" s="1963"/>
      <c r="K232" s="556">
        <v>509193</v>
      </c>
      <c r="L232" s="2821"/>
    </row>
    <row r="233" spans="1:12" s="6" customFormat="1">
      <c r="A233" s="53">
        <f t="shared" si="0"/>
        <v>2012.08</v>
      </c>
      <c r="B233" s="223">
        <v>122970</v>
      </c>
      <c r="C233" s="3538">
        <v>122166</v>
      </c>
      <c r="D233" s="141">
        <v>804</v>
      </c>
      <c r="E233" s="223">
        <v>9982.43</v>
      </c>
      <c r="F233" s="1207">
        <v>488.553</v>
      </c>
      <c r="G233" s="1007"/>
      <c r="H233" s="3554"/>
      <c r="I233" s="1007"/>
      <c r="J233" s="1963"/>
      <c r="K233" s="556">
        <v>506869</v>
      </c>
      <c r="L233" s="2821"/>
    </row>
    <row r="234" spans="1:12" s="6" customFormat="1">
      <c r="A234" s="53">
        <f t="shared" si="0"/>
        <v>2012.09</v>
      </c>
      <c r="B234" s="223">
        <v>122911</v>
      </c>
      <c r="C234" s="3538">
        <v>122095</v>
      </c>
      <c r="D234" s="141">
        <v>816</v>
      </c>
      <c r="E234" s="223">
        <v>11282.44</v>
      </c>
      <c r="F234" s="1207">
        <v>487.66399999999999</v>
      </c>
      <c r="G234" s="1007"/>
      <c r="H234" s="3554"/>
      <c r="I234" s="1007"/>
      <c r="J234" s="1963"/>
      <c r="K234" s="556">
        <v>506590</v>
      </c>
      <c r="L234" s="2821"/>
    </row>
    <row r="235" spans="1:12" s="6" customFormat="1">
      <c r="A235" s="53">
        <f t="shared" si="0"/>
        <v>2012.1</v>
      </c>
      <c r="B235" s="223">
        <v>123567</v>
      </c>
      <c r="C235" s="3538">
        <v>122741</v>
      </c>
      <c r="D235" s="141">
        <v>826</v>
      </c>
      <c r="E235" s="223">
        <v>12574.5</v>
      </c>
      <c r="F235" s="1207">
        <v>490.89100000000002</v>
      </c>
      <c r="G235" s="1007"/>
      <c r="H235" s="3554"/>
      <c r="I235" s="1007"/>
      <c r="J235" s="1963"/>
      <c r="K235" s="556">
        <v>506300</v>
      </c>
      <c r="L235" s="2821"/>
    </row>
    <row r="236" spans="1:12" s="6" customFormat="1">
      <c r="A236" s="53">
        <f t="shared" si="0"/>
        <v>2012.11</v>
      </c>
      <c r="B236" s="223">
        <v>123532</v>
      </c>
      <c r="C236" s="3538">
        <v>122703</v>
      </c>
      <c r="D236" s="141">
        <v>829</v>
      </c>
      <c r="E236" s="223">
        <v>13877.93</v>
      </c>
      <c r="F236" s="1207">
        <v>492.74599999999998</v>
      </c>
      <c r="G236" s="1007"/>
      <c r="H236" s="3554"/>
      <c r="I236" s="1007"/>
      <c r="J236" s="1963"/>
      <c r="K236" s="556">
        <v>510558</v>
      </c>
      <c r="L236" s="2821"/>
    </row>
    <row r="237" spans="1:12" s="6" customFormat="1">
      <c r="A237" s="53">
        <f t="shared" si="0"/>
        <v>2012.12</v>
      </c>
      <c r="B237" s="223">
        <v>123511</v>
      </c>
      <c r="C237" s="3538">
        <v>122680</v>
      </c>
      <c r="D237" s="141">
        <v>831</v>
      </c>
      <c r="E237" s="223">
        <v>15677.51</v>
      </c>
      <c r="F237" s="1207">
        <v>495.68099999999998</v>
      </c>
      <c r="G237" s="1007"/>
      <c r="H237" s="3554"/>
      <c r="I237" s="1007"/>
      <c r="J237" s="1963"/>
      <c r="K237" s="556">
        <v>512052</v>
      </c>
      <c r="L237" s="2821"/>
    </row>
    <row r="238" spans="1:12" s="6" customFormat="1">
      <c r="A238" s="53">
        <f t="shared" si="0"/>
        <v>2013.01</v>
      </c>
      <c r="B238" s="223">
        <v>123865</v>
      </c>
      <c r="C238" s="3538">
        <v>122974</v>
      </c>
      <c r="D238" s="141">
        <v>891</v>
      </c>
      <c r="E238" s="223">
        <v>1282.04</v>
      </c>
      <c r="F238" s="1207">
        <v>493.57499999999999</v>
      </c>
      <c r="G238" s="1007"/>
      <c r="H238" s="3554"/>
      <c r="I238" s="1007"/>
      <c r="J238" s="1963"/>
      <c r="K238" s="556">
        <v>513832</v>
      </c>
      <c r="L238" s="2821"/>
    </row>
    <row r="239" spans="1:12" s="6" customFormat="1">
      <c r="A239" s="53">
        <f t="shared" si="0"/>
        <v>2013.02</v>
      </c>
      <c r="B239" s="223">
        <v>123924</v>
      </c>
      <c r="C239" s="3538">
        <v>123025</v>
      </c>
      <c r="D239" s="141">
        <v>899</v>
      </c>
      <c r="E239" s="223">
        <v>2533.1</v>
      </c>
      <c r="F239" s="1207">
        <v>491.601</v>
      </c>
      <c r="G239" s="1007"/>
      <c r="H239" s="3554"/>
      <c r="I239" s="1007"/>
      <c r="J239" s="1963"/>
      <c r="K239" s="556">
        <v>510255</v>
      </c>
      <c r="L239" s="2821"/>
    </row>
    <row r="240" spans="1:12" s="6" customFormat="1">
      <c r="A240" s="53">
        <f t="shared" si="0"/>
        <v>2013.03</v>
      </c>
      <c r="B240" s="223">
        <v>123925</v>
      </c>
      <c r="C240" s="3538">
        <v>123016</v>
      </c>
      <c r="D240" s="141">
        <v>909</v>
      </c>
      <c r="E240" s="223">
        <v>4065.37</v>
      </c>
      <c r="F240" s="1207">
        <v>494.81700000000001</v>
      </c>
      <c r="G240" s="1007"/>
      <c r="H240" s="3554"/>
      <c r="I240" s="1007"/>
      <c r="J240" s="1963"/>
      <c r="K240" s="556">
        <v>507071</v>
      </c>
      <c r="L240" s="2821"/>
    </row>
    <row r="241" spans="1:12" s="6" customFormat="1">
      <c r="A241" s="53">
        <f t="shared" si="0"/>
        <v>2013.04</v>
      </c>
      <c r="B241" s="223">
        <v>124131</v>
      </c>
      <c r="C241" s="3538">
        <v>123208</v>
      </c>
      <c r="D241" s="141">
        <v>923</v>
      </c>
      <c r="E241" s="223">
        <v>5567.91</v>
      </c>
      <c r="F241" s="1207">
        <v>495.17899999999997</v>
      </c>
      <c r="G241" s="1007"/>
      <c r="H241" s="3554"/>
      <c r="I241" s="1007"/>
      <c r="J241" s="1963"/>
      <c r="K241" s="556">
        <v>513375</v>
      </c>
      <c r="L241" s="2821"/>
    </row>
    <row r="242" spans="1:12" s="6" customFormat="1">
      <c r="A242" s="53">
        <f t="shared" ref="A242:A305" si="1">A230+1</f>
        <v>2013.05</v>
      </c>
      <c r="B242" s="223">
        <v>127760</v>
      </c>
      <c r="C242" s="3538">
        <v>126734</v>
      </c>
      <c r="D242" s="141">
        <v>1026</v>
      </c>
      <c r="E242" s="223">
        <v>7103.63</v>
      </c>
      <c r="F242" s="1207">
        <v>496.23200000000003</v>
      </c>
      <c r="G242" s="1007"/>
      <c r="H242" s="3554"/>
      <c r="I242" s="1007"/>
      <c r="J242" s="1963"/>
      <c r="K242" s="556">
        <v>514661</v>
      </c>
      <c r="L242" s="2821"/>
    </row>
    <row r="243" spans="1:12" s="6" customFormat="1">
      <c r="A243" s="53">
        <f t="shared" si="1"/>
        <v>2013.06</v>
      </c>
      <c r="B243" s="223">
        <v>127914</v>
      </c>
      <c r="C243" s="3538">
        <v>126836</v>
      </c>
      <c r="D243" s="141">
        <v>1078</v>
      </c>
      <c r="E243" s="223">
        <v>9200.43</v>
      </c>
      <c r="F243" s="1207">
        <v>493.94900000000001</v>
      </c>
      <c r="G243" s="1007"/>
      <c r="H243" s="3554"/>
      <c r="I243" s="1007"/>
      <c r="J243" s="1963"/>
      <c r="K243" s="556">
        <v>514892</v>
      </c>
      <c r="L243" s="2821"/>
    </row>
    <row r="244" spans="1:12" s="6" customFormat="1">
      <c r="A244" s="53">
        <f t="shared" si="1"/>
        <v>2013.07</v>
      </c>
      <c r="B244" s="223">
        <v>127934</v>
      </c>
      <c r="C244" s="3538">
        <v>126847</v>
      </c>
      <c r="D244" s="141">
        <v>1087</v>
      </c>
      <c r="E244" s="223">
        <v>10819.63</v>
      </c>
      <c r="F244" s="1207">
        <v>493.37200000000001</v>
      </c>
      <c r="G244" s="1007"/>
      <c r="H244" s="3554"/>
      <c r="I244" s="1007"/>
      <c r="J244" s="1963"/>
      <c r="K244" s="556">
        <v>512697</v>
      </c>
      <c r="L244" s="2821"/>
    </row>
    <row r="245" spans="1:12" s="6" customFormat="1">
      <c r="A245" s="53">
        <f t="shared" si="1"/>
        <v>2013.08</v>
      </c>
      <c r="B245" s="223">
        <v>128120</v>
      </c>
      <c r="C245" s="3538">
        <v>126966</v>
      </c>
      <c r="D245" s="141">
        <v>1154</v>
      </c>
      <c r="E245" s="223">
        <v>12446.55</v>
      </c>
      <c r="F245" s="1207">
        <v>494.56099999999998</v>
      </c>
      <c r="G245" s="1007"/>
      <c r="H245" s="3554"/>
      <c r="I245" s="1007"/>
      <c r="J245" s="1963"/>
      <c r="K245" s="556">
        <v>512405</v>
      </c>
      <c r="L245" s="2821"/>
    </row>
    <row r="246" spans="1:12" s="6" customFormat="1">
      <c r="A246" s="53">
        <f t="shared" si="1"/>
        <v>2013.09</v>
      </c>
      <c r="B246" s="223">
        <v>128085</v>
      </c>
      <c r="C246" s="3538">
        <v>126921</v>
      </c>
      <c r="D246" s="141">
        <v>1164</v>
      </c>
      <c r="E246" s="223">
        <v>14131.32</v>
      </c>
      <c r="F246" s="1207">
        <v>493.45800000000003</v>
      </c>
      <c r="G246" s="1007"/>
      <c r="H246" s="3554"/>
      <c r="I246" s="1007"/>
      <c r="J246" s="1963"/>
      <c r="K246" s="556">
        <v>514390</v>
      </c>
      <c r="L246" s="2821"/>
    </row>
    <row r="247" spans="1:12" s="6" customFormat="1">
      <c r="A247" s="53">
        <f t="shared" si="1"/>
        <v>2013.1</v>
      </c>
      <c r="B247" s="223">
        <v>128888</v>
      </c>
      <c r="C247" s="3538">
        <v>127689</v>
      </c>
      <c r="D247" s="141">
        <v>1199</v>
      </c>
      <c r="E247" s="223">
        <v>15820.69</v>
      </c>
      <c r="F247" s="1207">
        <v>495.61</v>
      </c>
      <c r="G247" s="1007"/>
      <c r="H247" s="3554"/>
      <c r="I247" s="1007"/>
      <c r="J247" s="1963"/>
      <c r="K247" s="556">
        <v>513841</v>
      </c>
      <c r="L247" s="2821"/>
    </row>
    <row r="248" spans="1:12" s="6" customFormat="1">
      <c r="A248" s="53">
        <f t="shared" si="1"/>
        <v>2013.11</v>
      </c>
      <c r="B248" s="223">
        <v>128867</v>
      </c>
      <c r="C248" s="3538">
        <v>127663</v>
      </c>
      <c r="D248" s="141">
        <v>1204</v>
      </c>
      <c r="E248" s="223">
        <v>17514.41</v>
      </c>
      <c r="F248" s="1207">
        <v>498.98599999999999</v>
      </c>
      <c r="G248" s="1007"/>
      <c r="H248" s="3554"/>
      <c r="I248" s="1007"/>
      <c r="J248" s="1963"/>
      <c r="K248" s="556">
        <v>515974</v>
      </c>
      <c r="L248" s="2821"/>
    </row>
    <row r="249" spans="1:12" s="6" customFormat="1">
      <c r="A249" s="53">
        <f t="shared" si="1"/>
        <v>2013.12</v>
      </c>
      <c r="B249" s="223">
        <v>129148</v>
      </c>
      <c r="C249" s="3538">
        <v>128050</v>
      </c>
      <c r="D249" s="141">
        <v>1098</v>
      </c>
      <c r="E249" s="223">
        <v>19997.86</v>
      </c>
      <c r="F249" s="1207">
        <v>499.988</v>
      </c>
      <c r="G249" s="1007"/>
      <c r="H249" s="3554"/>
      <c r="I249" s="1007"/>
      <c r="J249" s="1963"/>
      <c r="K249" s="556">
        <v>518931</v>
      </c>
      <c r="L249" s="2821"/>
    </row>
    <row r="250" spans="1:12" s="6" customFormat="1">
      <c r="A250" s="53">
        <f t="shared" si="1"/>
        <v>2014.01</v>
      </c>
      <c r="B250" s="223">
        <v>129386</v>
      </c>
      <c r="C250" s="3538">
        <v>128308</v>
      </c>
      <c r="D250" s="141">
        <v>1078</v>
      </c>
      <c r="E250" s="223">
        <v>1641.1</v>
      </c>
      <c r="F250" s="1207">
        <v>496.38900000000001</v>
      </c>
      <c r="G250" s="1002">
        <v>10400.473684210527</v>
      </c>
      <c r="H250" s="1002">
        <v>8551.6315789473683</v>
      </c>
      <c r="I250" s="1003">
        <v>8527</v>
      </c>
      <c r="J250" s="1964">
        <v>7245</v>
      </c>
      <c r="K250" s="556">
        <v>519438</v>
      </c>
      <c r="L250" s="2821"/>
    </row>
    <row r="251" spans="1:12" s="6" customFormat="1">
      <c r="A251" s="53">
        <f t="shared" si="1"/>
        <v>2014.02</v>
      </c>
      <c r="B251" s="223">
        <v>130998</v>
      </c>
      <c r="C251" s="3538">
        <v>129959</v>
      </c>
      <c r="D251" s="141">
        <v>1039</v>
      </c>
      <c r="E251" s="223">
        <v>3477.7</v>
      </c>
      <c r="F251" s="1207">
        <v>492.21300000000002</v>
      </c>
      <c r="G251" s="1004">
        <v>10467.631578947368</v>
      </c>
      <c r="H251" s="3557">
        <v>8284.21052631579</v>
      </c>
      <c r="I251" s="1004">
        <v>8785</v>
      </c>
      <c r="J251" s="1965">
        <v>7107</v>
      </c>
      <c r="K251" s="556">
        <v>513280</v>
      </c>
      <c r="L251" s="2821"/>
    </row>
    <row r="252" spans="1:12" s="6" customFormat="1">
      <c r="A252" s="53">
        <f t="shared" si="1"/>
        <v>2014.03</v>
      </c>
      <c r="B252" s="223">
        <v>130654</v>
      </c>
      <c r="C252" s="3538">
        <v>129602</v>
      </c>
      <c r="D252" s="141">
        <v>1052</v>
      </c>
      <c r="E252" s="223">
        <v>5586.43</v>
      </c>
      <c r="F252" s="1207">
        <v>492.99900000000002</v>
      </c>
      <c r="G252" s="1004">
        <v>11520.315789473685</v>
      </c>
      <c r="H252" s="3557">
        <v>8495.1578947368416</v>
      </c>
      <c r="I252" s="1004">
        <v>10194</v>
      </c>
      <c r="J252" s="1965">
        <v>7400</v>
      </c>
      <c r="K252" s="556">
        <v>508183</v>
      </c>
      <c r="L252" s="2821"/>
    </row>
    <row r="253" spans="1:12" s="6" customFormat="1">
      <c r="A253" s="53">
        <f t="shared" si="1"/>
        <v>2014.04</v>
      </c>
      <c r="B253" s="223">
        <v>130574</v>
      </c>
      <c r="C253" s="3538">
        <v>129490</v>
      </c>
      <c r="D253" s="141">
        <v>1084</v>
      </c>
      <c r="E253" s="223">
        <v>7610.36</v>
      </c>
      <c r="F253" s="1207">
        <v>494.09800000000001</v>
      </c>
      <c r="G253" s="1004">
        <v>11762.631578947368</v>
      </c>
      <c r="H253" s="3557">
        <v>9169.21052631579</v>
      </c>
      <c r="I253" s="1004">
        <v>10332</v>
      </c>
      <c r="J253" s="1965">
        <v>7988</v>
      </c>
      <c r="K253" s="556">
        <v>509827</v>
      </c>
      <c r="L253" s="2821"/>
    </row>
    <row r="254" spans="1:12" s="6" customFormat="1">
      <c r="A254" s="53">
        <f t="shared" si="1"/>
        <v>2014.05</v>
      </c>
      <c r="B254" s="223">
        <v>130861</v>
      </c>
      <c r="C254" s="3538">
        <v>129727</v>
      </c>
      <c r="D254" s="141">
        <v>1134</v>
      </c>
      <c r="E254" s="223">
        <v>9676.14</v>
      </c>
      <c r="F254" s="1207">
        <v>494.608</v>
      </c>
      <c r="G254" s="1004">
        <v>11538.736842105263</v>
      </c>
      <c r="H254" s="3557">
        <v>9224.6842105263149</v>
      </c>
      <c r="I254" s="1004">
        <v>10233</v>
      </c>
      <c r="J254" s="1965">
        <v>8089</v>
      </c>
      <c r="K254" s="556">
        <v>513113</v>
      </c>
      <c r="L254" s="2821"/>
    </row>
    <row r="255" spans="1:12" s="6" customFormat="1">
      <c r="A255" s="53">
        <f t="shared" si="1"/>
        <v>2014.06</v>
      </c>
      <c r="B255" s="223">
        <v>131325</v>
      </c>
      <c r="C255" s="3538">
        <v>130186</v>
      </c>
      <c r="D255" s="141">
        <v>1139</v>
      </c>
      <c r="E255" s="223">
        <v>12529.98</v>
      </c>
      <c r="F255" s="1207">
        <v>494.94400000000002</v>
      </c>
      <c r="G255" s="1004">
        <v>16221.947368421053</v>
      </c>
      <c r="H255" s="3557">
        <v>13295.421052631578</v>
      </c>
      <c r="I255" s="1004">
        <v>14489</v>
      </c>
      <c r="J255" s="1965">
        <v>11844</v>
      </c>
      <c r="K255" s="556">
        <v>512786</v>
      </c>
      <c r="L255" s="2821"/>
    </row>
    <row r="256" spans="1:12" s="6" customFormat="1">
      <c r="A256" s="53">
        <f t="shared" si="1"/>
        <v>2014.07</v>
      </c>
      <c r="B256" s="223">
        <v>131368</v>
      </c>
      <c r="C256" s="3538">
        <v>130213</v>
      </c>
      <c r="D256" s="141">
        <v>1155</v>
      </c>
      <c r="E256" s="223">
        <v>14770.66</v>
      </c>
      <c r="F256" s="1207">
        <v>494.35599999999999</v>
      </c>
      <c r="G256" s="1004">
        <v>12343.736842105263</v>
      </c>
      <c r="H256" s="3557">
        <v>9836.105263157895</v>
      </c>
      <c r="I256" s="1004">
        <v>10805</v>
      </c>
      <c r="J256" s="1965">
        <v>8813</v>
      </c>
      <c r="K256" s="556">
        <v>513903</v>
      </c>
      <c r="L256" s="2821"/>
    </row>
    <row r="257" spans="1:12" s="6" customFormat="1">
      <c r="A257" s="53">
        <f t="shared" si="1"/>
        <v>2014.08</v>
      </c>
      <c r="B257" s="223">
        <v>132072</v>
      </c>
      <c r="C257" s="3538">
        <v>130895</v>
      </c>
      <c r="D257" s="141">
        <v>1177</v>
      </c>
      <c r="E257" s="223">
        <v>16969.72</v>
      </c>
      <c r="F257" s="1207">
        <v>494.19499999999999</v>
      </c>
      <c r="G257" s="1004">
        <v>12284.263157894737</v>
      </c>
      <c r="H257" s="3557">
        <v>9562.1578947368416</v>
      </c>
      <c r="I257" s="1004">
        <v>10711</v>
      </c>
      <c r="J257" s="1965">
        <v>8628</v>
      </c>
      <c r="K257" s="556">
        <v>513181</v>
      </c>
      <c r="L257" s="2821"/>
    </row>
    <row r="258" spans="1:12" s="6" customFormat="1">
      <c r="A258" s="53">
        <f t="shared" si="1"/>
        <v>2014.09</v>
      </c>
      <c r="B258" s="223">
        <v>132235</v>
      </c>
      <c r="C258" s="3538">
        <v>131060</v>
      </c>
      <c r="D258" s="141">
        <v>1175</v>
      </c>
      <c r="E258" s="223">
        <v>19210.48</v>
      </c>
      <c r="F258" s="1207">
        <v>494.36500000000001</v>
      </c>
      <c r="G258" s="1004">
        <v>12313.105263157895</v>
      </c>
      <c r="H258" s="3557">
        <v>10233.421052631578</v>
      </c>
      <c r="I258" s="1004">
        <v>10774</v>
      </c>
      <c r="J258" s="1965">
        <v>8930</v>
      </c>
      <c r="K258" s="556">
        <v>513599</v>
      </c>
      <c r="L258" s="2821"/>
    </row>
    <row r="259" spans="1:12" s="6" customFormat="1">
      <c r="A259" s="53">
        <f t="shared" si="1"/>
        <v>2014.1</v>
      </c>
      <c r="B259" s="223">
        <v>132716</v>
      </c>
      <c r="C259" s="3538">
        <v>131537</v>
      </c>
      <c r="D259" s="141">
        <v>1179</v>
      </c>
      <c r="E259" s="223">
        <v>21458.65</v>
      </c>
      <c r="F259" s="1207">
        <v>496.22199999999998</v>
      </c>
      <c r="G259" s="1004">
        <v>12437.368421052632</v>
      </c>
      <c r="H259" s="3557">
        <v>10269.526315789473</v>
      </c>
      <c r="I259" s="1004">
        <v>10738</v>
      </c>
      <c r="J259" s="1965">
        <v>9154</v>
      </c>
      <c r="K259" s="556">
        <v>515711</v>
      </c>
      <c r="L259" s="2821"/>
    </row>
    <row r="260" spans="1:12" s="6" customFormat="1">
      <c r="A260" s="53">
        <f t="shared" si="1"/>
        <v>2014.11</v>
      </c>
      <c r="B260" s="223">
        <v>133018</v>
      </c>
      <c r="C260" s="3538">
        <v>131833</v>
      </c>
      <c r="D260" s="141">
        <v>1185</v>
      </c>
      <c r="E260" s="223">
        <v>23917.09</v>
      </c>
      <c r="F260" s="1207">
        <v>498.41</v>
      </c>
      <c r="G260" s="1004">
        <v>12885.368421052632</v>
      </c>
      <c r="H260" s="3557">
        <v>10377.105263157895</v>
      </c>
      <c r="I260" s="1004">
        <v>10942</v>
      </c>
      <c r="J260" s="1965">
        <v>9162</v>
      </c>
      <c r="K260" s="556">
        <v>517827</v>
      </c>
      <c r="L260" s="2821"/>
    </row>
    <row r="261" spans="1:12" s="6" customFormat="1">
      <c r="A261" s="53">
        <f t="shared" si="1"/>
        <v>2014.12</v>
      </c>
      <c r="B261" s="223">
        <v>133057</v>
      </c>
      <c r="C261" s="3538">
        <v>131859</v>
      </c>
      <c r="D261" s="141">
        <v>1198</v>
      </c>
      <c r="E261" s="223">
        <v>27332.904524000001</v>
      </c>
      <c r="F261" s="1207">
        <v>500.77499999999998</v>
      </c>
      <c r="G261" s="1004">
        <v>17419.63157894737</v>
      </c>
      <c r="H261" s="3557">
        <v>15739.315789473685</v>
      </c>
      <c r="I261" s="1004">
        <v>15217</v>
      </c>
      <c r="J261" s="1965">
        <v>13904</v>
      </c>
      <c r="K261" s="556">
        <v>519737</v>
      </c>
      <c r="L261" s="2821"/>
    </row>
    <row r="262" spans="1:12" s="6" customFormat="1">
      <c r="A262" s="53">
        <f t="shared" si="1"/>
        <v>2015.01</v>
      </c>
      <c r="B262" s="223">
        <v>132646</v>
      </c>
      <c r="C262" s="3538">
        <v>131466</v>
      </c>
      <c r="D262" s="141">
        <v>1180</v>
      </c>
      <c r="E262" s="223">
        <v>2304.86</v>
      </c>
      <c r="F262" s="1207">
        <v>497.82600000000002</v>
      </c>
      <c r="G262" s="1004">
        <v>12957.157894736842</v>
      </c>
      <c r="H262" s="3557">
        <v>11486.842105263158</v>
      </c>
      <c r="I262" s="1004">
        <v>10830</v>
      </c>
      <c r="J262" s="1965">
        <v>9670</v>
      </c>
      <c r="K262" s="556">
        <v>520299</v>
      </c>
      <c r="L262" s="2821"/>
    </row>
    <row r="263" spans="1:12" s="6" customFormat="1">
      <c r="A263" s="53">
        <f t="shared" si="1"/>
        <v>2015.02</v>
      </c>
      <c r="B263" s="223">
        <v>133593</v>
      </c>
      <c r="C263" s="3538">
        <v>132406</v>
      </c>
      <c r="D263" s="141">
        <v>1187</v>
      </c>
      <c r="E263" s="223">
        <v>4513.26</v>
      </c>
      <c r="F263" s="1207">
        <v>495.80500000000001</v>
      </c>
      <c r="G263" s="1004">
        <v>13111.052631578947</v>
      </c>
      <c r="H263" s="3557">
        <v>11046.473684210527</v>
      </c>
      <c r="I263" s="1004">
        <v>10939</v>
      </c>
      <c r="J263" s="1965">
        <v>9596</v>
      </c>
      <c r="K263" s="556">
        <v>515719</v>
      </c>
      <c r="L263" s="2821"/>
    </row>
    <row r="264" spans="1:12" s="6" customFormat="1">
      <c r="A264" s="53">
        <f t="shared" si="1"/>
        <v>2015.03</v>
      </c>
      <c r="B264" s="223">
        <v>133468</v>
      </c>
      <c r="C264" s="3538">
        <v>132266</v>
      </c>
      <c r="D264" s="141">
        <v>1202</v>
      </c>
      <c r="E264" s="223">
        <v>7045.24</v>
      </c>
      <c r="F264" s="1207">
        <v>499.86799999999999</v>
      </c>
      <c r="G264" s="1004">
        <v>14125.578947368422</v>
      </c>
      <c r="H264" s="3557">
        <v>11154.842105263158</v>
      </c>
      <c r="I264" s="1004">
        <v>11952</v>
      </c>
      <c r="J264" s="1965">
        <v>9630</v>
      </c>
      <c r="K264" s="556">
        <v>513785</v>
      </c>
      <c r="L264" s="2821"/>
    </row>
    <row r="265" spans="1:12" s="6" customFormat="1">
      <c r="A265" s="53">
        <f t="shared" si="1"/>
        <v>2015.04</v>
      </c>
      <c r="B265" s="223">
        <v>134231</v>
      </c>
      <c r="C265" s="3538">
        <v>133027</v>
      </c>
      <c r="D265" s="141">
        <v>1204</v>
      </c>
      <c r="E265" s="223">
        <v>10131.85</v>
      </c>
      <c r="F265" s="1207">
        <v>502.00400000000002</v>
      </c>
      <c r="G265" s="1004">
        <v>16236.315789473685</v>
      </c>
      <c r="H265" s="3557">
        <v>11521.263157894737</v>
      </c>
      <c r="I265" s="1004">
        <v>13998</v>
      </c>
      <c r="J265" s="1965">
        <v>9838</v>
      </c>
      <c r="K265" s="556">
        <v>519917</v>
      </c>
      <c r="L265" s="2821"/>
    </row>
    <row r="266" spans="1:12" s="6" customFormat="1">
      <c r="A266" s="53">
        <f t="shared" si="1"/>
        <v>2015.05</v>
      </c>
      <c r="B266" s="223">
        <v>135152</v>
      </c>
      <c r="C266" s="3538">
        <v>133930</v>
      </c>
      <c r="D266" s="141">
        <v>1222</v>
      </c>
      <c r="E266" s="223">
        <v>13066.82</v>
      </c>
      <c r="F266" s="1207">
        <v>500.822</v>
      </c>
      <c r="G266" s="1004">
        <v>15071.947368421053</v>
      </c>
      <c r="H266" s="3557">
        <v>11880</v>
      </c>
      <c r="I266" s="1004">
        <v>12956</v>
      </c>
      <c r="J266" s="1965">
        <v>10717</v>
      </c>
      <c r="K266" s="556">
        <v>523745</v>
      </c>
      <c r="L266" s="2821"/>
    </row>
    <row r="267" spans="1:12" s="6" customFormat="1">
      <c r="A267" s="53">
        <f t="shared" si="1"/>
        <v>2015.06</v>
      </c>
      <c r="B267" s="223">
        <v>136563</v>
      </c>
      <c r="C267" s="3538">
        <v>135302</v>
      </c>
      <c r="D267" s="141">
        <v>1261</v>
      </c>
      <c r="E267" s="223">
        <v>17045.22</v>
      </c>
      <c r="F267" s="1207">
        <v>503.29700000000003</v>
      </c>
      <c r="G267" s="1004">
        <v>21411.315789473683</v>
      </c>
      <c r="H267" s="3557">
        <v>17996</v>
      </c>
      <c r="I267" s="1004">
        <v>18872</v>
      </c>
      <c r="J267" s="1965">
        <v>15886</v>
      </c>
      <c r="K267" s="556">
        <v>522716</v>
      </c>
      <c r="L267" s="2821"/>
    </row>
    <row r="268" spans="1:12" s="6" customFormat="1">
      <c r="A268" s="53">
        <f t="shared" si="1"/>
        <v>2015.07</v>
      </c>
      <c r="B268" s="223">
        <v>137855</v>
      </c>
      <c r="C268" s="3538">
        <v>136498</v>
      </c>
      <c r="D268" s="141">
        <v>1357</v>
      </c>
      <c r="E268" s="223">
        <v>20204.009999999998</v>
      </c>
      <c r="F268" s="1207">
        <v>501.41500000000002</v>
      </c>
      <c r="G268" s="1004">
        <v>16308.157894736842</v>
      </c>
      <c r="H268" s="3557">
        <v>12975.842105263158</v>
      </c>
      <c r="I268" s="1004">
        <v>14228</v>
      </c>
      <c r="J268" s="1965">
        <v>11590</v>
      </c>
      <c r="K268" s="556">
        <v>525934</v>
      </c>
      <c r="L268" s="2821"/>
    </row>
    <row r="269" spans="1:12" s="6" customFormat="1">
      <c r="A269" s="53">
        <f t="shared" si="1"/>
        <v>2015.08</v>
      </c>
      <c r="B269" s="223">
        <v>137905</v>
      </c>
      <c r="C269" s="3538">
        <v>136544</v>
      </c>
      <c r="D269" s="141">
        <v>1361</v>
      </c>
      <c r="E269" s="223">
        <v>23365.62</v>
      </c>
      <c r="F269" s="1207">
        <v>502.83600000000001</v>
      </c>
      <c r="G269" s="1004">
        <v>16447.36842105263</v>
      </c>
      <c r="H269" s="3557">
        <v>12656.105263157895</v>
      </c>
      <c r="I269" s="1004">
        <v>14255</v>
      </c>
      <c r="J269" s="1965">
        <v>11279</v>
      </c>
      <c r="K269" s="556">
        <v>523512</v>
      </c>
      <c r="L269" s="2821"/>
    </row>
    <row r="270" spans="1:12" s="6" customFormat="1">
      <c r="A270" s="53">
        <f t="shared" si="1"/>
        <v>2015.09</v>
      </c>
      <c r="B270" s="223">
        <v>138031</v>
      </c>
      <c r="C270" s="3538">
        <v>136772</v>
      </c>
      <c r="D270" s="141">
        <v>1259</v>
      </c>
      <c r="E270" s="223">
        <v>26575.119999999999</v>
      </c>
      <c r="F270" s="1207">
        <v>502.16899999999998</v>
      </c>
      <c r="G270" s="1004">
        <v>16506.842105263157</v>
      </c>
      <c r="H270" s="3557">
        <v>13135.947368421053</v>
      </c>
      <c r="I270" s="1004">
        <v>14260</v>
      </c>
      <c r="J270" s="1965">
        <v>11738</v>
      </c>
      <c r="K270" s="556">
        <v>525379</v>
      </c>
      <c r="L270" s="2821"/>
    </row>
    <row r="271" spans="1:12" s="6" customFormat="1">
      <c r="A271" s="53">
        <f t="shared" si="1"/>
        <v>2015.1</v>
      </c>
      <c r="B271" s="223">
        <v>138032</v>
      </c>
      <c r="C271" s="3538">
        <v>136801</v>
      </c>
      <c r="D271" s="141">
        <v>1231</v>
      </c>
      <c r="E271" s="223">
        <v>29746.87</v>
      </c>
      <c r="F271" s="1207">
        <v>504.57799999999997</v>
      </c>
      <c r="G271" s="1004">
        <v>16520.947368421053</v>
      </c>
      <c r="H271" s="3557">
        <v>13273.105263157895</v>
      </c>
      <c r="I271" s="1004">
        <v>14261</v>
      </c>
      <c r="J271" s="1965">
        <v>11419</v>
      </c>
      <c r="K271" s="556">
        <v>525371</v>
      </c>
      <c r="L271" s="2821"/>
    </row>
    <row r="272" spans="1:12" s="6" customFormat="1">
      <c r="A272" s="53">
        <f t="shared" si="1"/>
        <v>2015.11</v>
      </c>
      <c r="B272" s="223">
        <v>137859</v>
      </c>
      <c r="C272" s="3538">
        <v>136662</v>
      </c>
      <c r="D272" s="141">
        <v>1197</v>
      </c>
      <c r="E272" s="223">
        <v>32919.61</v>
      </c>
      <c r="F272" s="1207">
        <v>505.83100000000002</v>
      </c>
      <c r="G272" s="1004">
        <v>16626.63157894737</v>
      </c>
      <c r="H272" s="3557">
        <v>13575</v>
      </c>
      <c r="I272" s="1004">
        <v>14262</v>
      </c>
      <c r="J272" s="1965">
        <v>12001</v>
      </c>
      <c r="K272" s="556">
        <v>528327</v>
      </c>
      <c r="L272" s="2821"/>
    </row>
    <row r="273" spans="1:12" s="6" customFormat="1">
      <c r="A273" s="53">
        <f t="shared" si="1"/>
        <v>2015.12</v>
      </c>
      <c r="B273" s="223">
        <v>138233</v>
      </c>
      <c r="C273" s="3538">
        <v>137260</v>
      </c>
      <c r="D273" s="141">
        <v>973</v>
      </c>
      <c r="E273" s="223">
        <v>37436.99</v>
      </c>
      <c r="F273" s="1207">
        <v>505.01799999999997</v>
      </c>
      <c r="G273" s="1004">
        <v>22967.894736842107</v>
      </c>
      <c r="H273" s="3557">
        <v>20478.315789473683</v>
      </c>
      <c r="I273" s="1004">
        <v>20393</v>
      </c>
      <c r="J273" s="1965">
        <v>18248</v>
      </c>
      <c r="K273" s="556">
        <v>528437</v>
      </c>
      <c r="L273" s="2821"/>
    </row>
    <row r="274" spans="1:12" s="6" customFormat="1">
      <c r="A274" s="53">
        <f t="shared" si="1"/>
        <v>2016.01</v>
      </c>
      <c r="B274" s="223">
        <v>138519</v>
      </c>
      <c r="C274" s="3538">
        <v>137513</v>
      </c>
      <c r="D274" s="141">
        <v>1006</v>
      </c>
      <c r="E274" s="223">
        <v>3136.7370000000001</v>
      </c>
      <c r="F274" s="1207">
        <v>501.05700000000002</v>
      </c>
      <c r="G274" s="1004">
        <v>17700.157894736843</v>
      </c>
      <c r="H274" s="3557">
        <v>14878.78947368421</v>
      </c>
      <c r="I274" s="1004">
        <v>14456</v>
      </c>
      <c r="J274" s="1965">
        <v>12500</v>
      </c>
      <c r="K274" s="556">
        <v>526292</v>
      </c>
      <c r="L274" s="2821"/>
    </row>
    <row r="275" spans="1:12" s="6" customFormat="1">
      <c r="A275" s="53">
        <f t="shared" si="1"/>
        <v>2016.02</v>
      </c>
      <c r="B275" s="223">
        <v>138494</v>
      </c>
      <c r="C275" s="3538">
        <v>137427</v>
      </c>
      <c r="D275" s="141">
        <v>1067</v>
      </c>
      <c r="E275" s="223">
        <v>6170.4170000000004</v>
      </c>
      <c r="F275" s="1207">
        <v>499.31700000000001</v>
      </c>
      <c r="G275" s="1004">
        <v>17439.157894736843</v>
      </c>
      <c r="H275" s="3557">
        <v>14793.947368421053</v>
      </c>
      <c r="I275" s="1004">
        <v>14704</v>
      </c>
      <c r="J275" s="1965">
        <v>12569</v>
      </c>
      <c r="K275" s="556">
        <v>520243</v>
      </c>
      <c r="L275" s="2821"/>
    </row>
    <row r="276" spans="1:12" s="6" customFormat="1">
      <c r="A276" s="53">
        <f t="shared" si="1"/>
        <v>2016.03</v>
      </c>
      <c r="B276" s="223">
        <v>138787</v>
      </c>
      <c r="C276" s="3538">
        <v>137665</v>
      </c>
      <c r="D276" s="141">
        <v>1122</v>
      </c>
      <c r="E276" s="223">
        <v>10052.790000000001</v>
      </c>
      <c r="F276" s="1207">
        <v>502.32900000000001</v>
      </c>
      <c r="G276" s="1004">
        <v>20135.947368421053</v>
      </c>
      <c r="H276" s="3557">
        <v>14957.473684210527</v>
      </c>
      <c r="I276" s="1004">
        <v>17357</v>
      </c>
      <c r="J276" s="1965">
        <v>12900</v>
      </c>
      <c r="K276" s="556">
        <v>519275</v>
      </c>
      <c r="L276" s="2821"/>
    </row>
    <row r="277" spans="1:12" s="6" customFormat="1">
      <c r="A277" s="53">
        <f t="shared" si="1"/>
        <v>2016.04</v>
      </c>
      <c r="B277" s="223">
        <v>138693</v>
      </c>
      <c r="C277" s="3538">
        <v>137537</v>
      </c>
      <c r="D277" s="141">
        <v>1156</v>
      </c>
      <c r="E277" s="223">
        <v>13942.57</v>
      </c>
      <c r="F277" s="1207">
        <v>499.762</v>
      </c>
      <c r="G277" s="1004">
        <v>19909.42105263158</v>
      </c>
      <c r="H277" s="3557">
        <v>15728.368421052632</v>
      </c>
      <c r="I277" s="1004">
        <v>17305</v>
      </c>
      <c r="J277" s="1965">
        <v>13352</v>
      </c>
      <c r="K277" s="556">
        <v>523973</v>
      </c>
      <c r="L277" s="2821"/>
    </row>
    <row r="278" spans="1:12" s="6" customFormat="1">
      <c r="A278" s="53">
        <f t="shared" si="1"/>
        <v>2016.05</v>
      </c>
      <c r="B278" s="223">
        <v>139254</v>
      </c>
      <c r="C278" s="3538">
        <v>138096</v>
      </c>
      <c r="D278" s="141">
        <v>1158</v>
      </c>
      <c r="E278" s="223">
        <v>17794.97</v>
      </c>
      <c r="F278" s="1207">
        <v>499.18400000000003</v>
      </c>
      <c r="G278" s="1004">
        <v>20278.36842105263</v>
      </c>
      <c r="H278" s="3557">
        <v>16066.368421052632</v>
      </c>
      <c r="I278" s="1004">
        <v>17357</v>
      </c>
      <c r="J278" s="1965">
        <v>14326</v>
      </c>
      <c r="K278" s="556">
        <v>521582</v>
      </c>
      <c r="L278" s="2821"/>
    </row>
    <row r="279" spans="1:12" s="6" customFormat="1">
      <c r="A279" s="53">
        <f t="shared" si="1"/>
        <v>2016.06</v>
      </c>
      <c r="B279" s="223">
        <v>139309</v>
      </c>
      <c r="C279" s="3538">
        <v>138151</v>
      </c>
      <c r="D279" s="141">
        <v>1158</v>
      </c>
      <c r="E279" s="223">
        <v>23185.85</v>
      </c>
      <c r="F279" s="1207">
        <v>499.08800000000002</v>
      </c>
      <c r="G279" s="1004">
        <v>27857.36842105263</v>
      </c>
      <c r="H279" s="3557">
        <v>23209.63157894737</v>
      </c>
      <c r="I279" s="1004">
        <v>25435</v>
      </c>
      <c r="J279" s="1965">
        <v>20582</v>
      </c>
      <c r="K279" s="556">
        <v>521266</v>
      </c>
      <c r="L279" s="2821"/>
    </row>
    <row r="280" spans="1:12" s="6" customFormat="1">
      <c r="A280" s="53">
        <f t="shared" si="1"/>
        <v>2016.07</v>
      </c>
      <c r="B280" s="223">
        <v>139241</v>
      </c>
      <c r="C280" s="3538">
        <v>138066</v>
      </c>
      <c r="D280" s="141">
        <v>1175</v>
      </c>
      <c r="E280" s="223">
        <v>27395.05</v>
      </c>
      <c r="F280" s="1207">
        <v>497.589</v>
      </c>
      <c r="G280" s="1004">
        <v>21513.473684210527</v>
      </c>
      <c r="H280" s="3557">
        <v>16670</v>
      </c>
      <c r="I280" s="1004">
        <v>18804</v>
      </c>
      <c r="J280" s="1965">
        <v>14647</v>
      </c>
      <c r="K280" s="556">
        <v>521009</v>
      </c>
      <c r="L280" s="2821"/>
    </row>
    <row r="281" spans="1:12" s="6" customFormat="1">
      <c r="A281" s="53">
        <f t="shared" si="1"/>
        <v>2016.08</v>
      </c>
      <c r="B281" s="223">
        <v>138486</v>
      </c>
      <c r="C281" s="3538">
        <v>137304</v>
      </c>
      <c r="D281" s="141">
        <v>1182</v>
      </c>
      <c r="E281" s="223">
        <v>31539.22</v>
      </c>
      <c r="F281" s="1207">
        <v>498.99299999999999</v>
      </c>
      <c r="G281" s="1004">
        <v>21692.736842105263</v>
      </c>
      <c r="H281" s="3557">
        <v>17302.894736842107</v>
      </c>
      <c r="I281" s="1004">
        <v>18804</v>
      </c>
      <c r="J281" s="1965">
        <v>15118</v>
      </c>
      <c r="K281" s="556">
        <v>518513</v>
      </c>
      <c r="L281" s="2821"/>
    </row>
    <row r="282" spans="1:12" s="6" customFormat="1">
      <c r="A282" s="53">
        <f t="shared" si="1"/>
        <v>2016.09</v>
      </c>
      <c r="B282" s="223">
        <v>138687</v>
      </c>
      <c r="C282" s="3538">
        <v>137504</v>
      </c>
      <c r="D282" s="141">
        <v>1183</v>
      </c>
      <c r="E282" s="223">
        <v>35747.75</v>
      </c>
      <c r="F282" s="1207">
        <v>499.30099999999999</v>
      </c>
      <c r="G282" s="1004">
        <v>21946.052631578947</v>
      </c>
      <c r="H282" s="3557">
        <v>17302.052631578947</v>
      </c>
      <c r="I282" s="1004">
        <v>18804</v>
      </c>
      <c r="J282" s="1965">
        <v>15027</v>
      </c>
      <c r="K282" s="556">
        <v>521579</v>
      </c>
      <c r="L282" s="2821"/>
    </row>
    <row r="283" spans="1:12" s="6" customFormat="1">
      <c r="A283" s="53">
        <f t="shared" si="1"/>
        <v>2016.1</v>
      </c>
      <c r="B283" s="223">
        <v>139409</v>
      </c>
      <c r="C283" s="3538">
        <v>138225</v>
      </c>
      <c r="D283" s="141">
        <v>1184</v>
      </c>
      <c r="E283" s="223">
        <v>39953.980000000003</v>
      </c>
      <c r="F283" s="1207">
        <v>501.166</v>
      </c>
      <c r="G283" s="1004">
        <v>22017</v>
      </c>
      <c r="H283" s="3557">
        <v>18179.157894736843</v>
      </c>
      <c r="I283" s="1004">
        <v>18804</v>
      </c>
      <c r="J283" s="1965">
        <v>15996</v>
      </c>
      <c r="K283" s="556">
        <v>521889</v>
      </c>
      <c r="L283" s="2821"/>
    </row>
    <row r="284" spans="1:12" s="6" customFormat="1">
      <c r="A284" s="53">
        <f t="shared" si="1"/>
        <v>2016.11</v>
      </c>
      <c r="B284" s="223">
        <v>139523</v>
      </c>
      <c r="C284" s="3538">
        <v>138347</v>
      </c>
      <c r="D284" s="141">
        <v>1176</v>
      </c>
      <c r="E284" s="223">
        <v>44215.334000000003</v>
      </c>
      <c r="F284" s="1207">
        <v>504.005</v>
      </c>
      <c r="G284" s="1004">
        <v>22354.526315789473</v>
      </c>
      <c r="H284" s="3557">
        <v>18561.157894736843</v>
      </c>
      <c r="I284" s="1004">
        <v>18804</v>
      </c>
      <c r="J284" s="1965">
        <v>16297</v>
      </c>
      <c r="K284" s="556">
        <v>524177</v>
      </c>
      <c r="L284" s="2821"/>
    </row>
    <row r="285" spans="1:12" s="6" customFormat="1">
      <c r="A285" s="53">
        <f t="shared" si="1"/>
        <v>2016.12</v>
      </c>
      <c r="B285" s="223">
        <v>139647</v>
      </c>
      <c r="C285" s="3538">
        <v>138488</v>
      </c>
      <c r="D285" s="141">
        <v>1159</v>
      </c>
      <c r="E285" s="223">
        <v>50340.75</v>
      </c>
      <c r="F285" s="1207">
        <v>505.00099999999998</v>
      </c>
      <c r="G285" s="1004">
        <v>32053</v>
      </c>
      <c r="H285" s="3557">
        <v>27797.684210526317</v>
      </c>
      <c r="I285" s="1004">
        <v>27912</v>
      </c>
      <c r="J285" s="1965">
        <v>24274</v>
      </c>
      <c r="K285" s="556">
        <v>527570</v>
      </c>
      <c r="L285" s="2821"/>
    </row>
    <row r="286" spans="1:12" s="6" customFormat="1">
      <c r="A286" s="53">
        <f t="shared" si="1"/>
        <v>2017.01</v>
      </c>
      <c r="B286" s="223">
        <v>140610</v>
      </c>
      <c r="C286" s="3538">
        <v>139455</v>
      </c>
      <c r="D286" s="141">
        <v>1155</v>
      </c>
      <c r="E286" s="223">
        <v>4364.28</v>
      </c>
      <c r="F286" s="1207">
        <v>502.37400000000002</v>
      </c>
      <c r="G286" s="1004">
        <v>23303.526315789473</v>
      </c>
      <c r="H286" s="3557">
        <v>20418.052631578947</v>
      </c>
      <c r="I286" s="1004">
        <v>19152</v>
      </c>
      <c r="J286" s="1965">
        <v>17434</v>
      </c>
      <c r="K286" s="556">
        <v>526917</v>
      </c>
      <c r="L286" s="2821"/>
    </row>
    <row r="287" spans="1:12" s="6" customFormat="1">
      <c r="A287" s="53">
        <f t="shared" si="1"/>
        <v>2017.02</v>
      </c>
      <c r="B287" s="223">
        <v>140617</v>
      </c>
      <c r="C287" s="3538">
        <v>139461</v>
      </c>
      <c r="D287" s="141">
        <v>1156</v>
      </c>
      <c r="E287" s="223">
        <v>8497.67</v>
      </c>
      <c r="F287" s="1207">
        <v>502.52800000000002</v>
      </c>
      <c r="G287" s="1004">
        <v>23511.842105263157</v>
      </c>
      <c r="H287" s="3557">
        <v>19579.736842105263</v>
      </c>
      <c r="I287" s="1004">
        <v>19232</v>
      </c>
      <c r="J287" s="1965">
        <v>16967</v>
      </c>
      <c r="K287" s="556">
        <v>521996</v>
      </c>
      <c r="L287" s="2821"/>
    </row>
    <row r="288" spans="1:12" s="6" customFormat="1">
      <c r="A288" s="53">
        <f t="shared" si="1"/>
        <v>2017.03</v>
      </c>
      <c r="B288" s="223">
        <v>140622</v>
      </c>
      <c r="C288" s="3538">
        <v>139457</v>
      </c>
      <c r="D288" s="141">
        <v>1165</v>
      </c>
      <c r="E288" s="223">
        <v>12869.055515999999</v>
      </c>
      <c r="F288" s="1207">
        <v>506.59</v>
      </c>
      <c r="G288" s="1004">
        <v>24304.684210526317</v>
      </c>
      <c r="H288" s="3557">
        <v>20133.36842105263</v>
      </c>
      <c r="I288" s="1004">
        <v>20380</v>
      </c>
      <c r="J288" s="1965">
        <v>17131</v>
      </c>
      <c r="K288" s="556">
        <v>522471</v>
      </c>
      <c r="L288" s="2821"/>
    </row>
    <row r="289" spans="1:12" s="6" customFormat="1">
      <c r="A289" s="53">
        <f t="shared" si="1"/>
        <v>2017.04</v>
      </c>
      <c r="B289" s="223">
        <v>140125</v>
      </c>
      <c r="C289" s="3538">
        <v>138957</v>
      </c>
      <c r="D289" s="141">
        <v>1168</v>
      </c>
      <c r="E289" s="223">
        <v>17675.36</v>
      </c>
      <c r="F289" s="1207">
        <v>502.83600000000001</v>
      </c>
      <c r="G289" s="1004">
        <v>25318.36842105263</v>
      </c>
      <c r="H289" s="3557">
        <v>20157.263157894737</v>
      </c>
      <c r="I289" s="1004">
        <v>21784</v>
      </c>
      <c r="J289" s="1965">
        <v>18067</v>
      </c>
      <c r="K289" s="556">
        <v>529258</v>
      </c>
      <c r="L289" s="2821"/>
    </row>
    <row r="290" spans="1:12" s="6" customFormat="1">
      <c r="A290" s="53">
        <f t="shared" si="1"/>
        <v>2017.05</v>
      </c>
      <c r="B290" s="223">
        <v>140207</v>
      </c>
      <c r="C290" s="3538">
        <v>139027</v>
      </c>
      <c r="D290" s="141">
        <v>1180</v>
      </c>
      <c r="E290" s="223">
        <v>23355.05</v>
      </c>
      <c r="F290" s="1207">
        <v>506.23500000000001</v>
      </c>
      <c r="G290" s="1004">
        <v>28865.526315789473</v>
      </c>
      <c r="H290" s="3557">
        <v>20841.842105263157</v>
      </c>
      <c r="I290" s="1004">
        <v>24888</v>
      </c>
      <c r="J290" s="1965">
        <v>18487</v>
      </c>
      <c r="K290" s="556">
        <v>525739</v>
      </c>
      <c r="L290" s="2821"/>
    </row>
    <row r="291" spans="1:12" s="6" customFormat="1">
      <c r="A291" s="53">
        <f t="shared" si="1"/>
        <v>2017.06</v>
      </c>
      <c r="B291" s="223">
        <v>140239</v>
      </c>
      <c r="C291" s="3538">
        <v>139045</v>
      </c>
      <c r="D291" s="141">
        <v>1194</v>
      </c>
      <c r="E291" s="223">
        <v>30247.165974</v>
      </c>
      <c r="F291" s="1207">
        <v>505.20699999999999</v>
      </c>
      <c r="G291" s="1004">
        <v>36256.84210526316</v>
      </c>
      <c r="H291" s="3557">
        <v>30616.947368421053</v>
      </c>
      <c r="I291" s="1004">
        <v>32365</v>
      </c>
      <c r="J291" s="1965">
        <v>27121</v>
      </c>
      <c r="K291" s="556">
        <v>529916</v>
      </c>
      <c r="L291" s="2821"/>
    </row>
    <row r="292" spans="1:12" s="6" customFormat="1">
      <c r="A292" s="53">
        <f t="shared" si="1"/>
        <v>2017.07</v>
      </c>
      <c r="B292" s="223">
        <v>140243</v>
      </c>
      <c r="C292" s="3538">
        <v>139044</v>
      </c>
      <c r="D292" s="141">
        <v>1199</v>
      </c>
      <c r="E292" s="223">
        <v>35568.918986000004</v>
      </c>
      <c r="F292" s="1207">
        <v>504.06400000000002</v>
      </c>
      <c r="G292" s="1004">
        <v>27600.36842105263</v>
      </c>
      <c r="H292" s="3557">
        <v>21848.36842105263</v>
      </c>
      <c r="I292" s="1004">
        <v>23560</v>
      </c>
      <c r="J292" s="1965">
        <v>19709</v>
      </c>
      <c r="K292" s="556">
        <v>528172</v>
      </c>
      <c r="L292" s="2821"/>
    </row>
    <row r="293" spans="1:12" s="6" customFormat="1">
      <c r="A293" s="53">
        <f t="shared" si="1"/>
        <v>2017.08</v>
      </c>
      <c r="B293" s="223">
        <v>140331</v>
      </c>
      <c r="C293" s="3538">
        <v>139131</v>
      </c>
      <c r="D293" s="141">
        <v>1200</v>
      </c>
      <c r="E293" s="223">
        <v>40899.194280000003</v>
      </c>
      <c r="F293" s="1207">
        <v>505.50799999999998</v>
      </c>
      <c r="G293" s="1004">
        <v>27423.684210526317</v>
      </c>
      <c r="H293" s="3557">
        <v>22080.526315789473</v>
      </c>
      <c r="I293" s="1004">
        <v>23564</v>
      </c>
      <c r="J293" s="1965">
        <v>19958</v>
      </c>
      <c r="K293" s="556">
        <v>526998</v>
      </c>
      <c r="L293" s="2821"/>
    </row>
    <row r="294" spans="1:12" s="6" customFormat="1">
      <c r="A294" s="53">
        <f t="shared" si="1"/>
        <v>2017.09</v>
      </c>
      <c r="B294" s="223">
        <v>140308</v>
      </c>
      <c r="C294" s="3538">
        <v>139103</v>
      </c>
      <c r="D294" s="141">
        <v>1205</v>
      </c>
      <c r="E294" s="223">
        <v>46335.913677999997</v>
      </c>
      <c r="F294" s="1207">
        <v>507.13400000000001</v>
      </c>
      <c r="G294" s="1004">
        <v>27966.473684210527</v>
      </c>
      <c r="H294" s="3557">
        <v>22127</v>
      </c>
      <c r="I294" s="1004">
        <v>23696</v>
      </c>
      <c r="J294" s="1965">
        <v>19999</v>
      </c>
      <c r="K294" s="556">
        <v>529761</v>
      </c>
      <c r="L294" s="2821"/>
    </row>
    <row r="295" spans="1:12" s="6" customFormat="1">
      <c r="A295" s="53">
        <f t="shared" si="1"/>
        <v>2017.1</v>
      </c>
      <c r="B295" s="223">
        <v>140431</v>
      </c>
      <c r="C295" s="3538">
        <v>139219</v>
      </c>
      <c r="D295" s="141">
        <v>1212</v>
      </c>
      <c r="E295" s="223">
        <v>51833.462004000001</v>
      </c>
      <c r="F295" s="1207">
        <v>510.92500000000001</v>
      </c>
      <c r="G295" s="1004">
        <v>27761.947368421053</v>
      </c>
      <c r="H295" s="3557">
        <v>23284.315789473683</v>
      </c>
      <c r="I295" s="1004">
        <v>23592</v>
      </c>
      <c r="J295" s="1965">
        <v>20604</v>
      </c>
      <c r="K295" s="556">
        <v>531376</v>
      </c>
      <c r="L295" s="2821"/>
    </row>
    <row r="296" spans="1:12" s="6" customFormat="1">
      <c r="A296" s="53">
        <f t="shared" si="1"/>
        <v>2017.11</v>
      </c>
      <c r="B296" s="223">
        <v>140588</v>
      </c>
      <c r="C296" s="3538">
        <v>139377</v>
      </c>
      <c r="D296" s="141">
        <v>1211</v>
      </c>
      <c r="E296" s="223">
        <v>57231.3</v>
      </c>
      <c r="F296" s="1207">
        <v>513.58000000000004</v>
      </c>
      <c r="G296" s="1004">
        <v>28242.63157894737</v>
      </c>
      <c r="H296" s="3557">
        <v>23267.842105263157</v>
      </c>
      <c r="I296" s="1004">
        <v>23737</v>
      </c>
      <c r="J296" s="1965">
        <v>20500</v>
      </c>
      <c r="K296" s="556">
        <v>535999</v>
      </c>
      <c r="L296" s="2821"/>
    </row>
    <row r="297" spans="1:12" s="6" customFormat="1">
      <c r="A297" s="53">
        <f t="shared" si="1"/>
        <v>2017.12</v>
      </c>
      <c r="B297" s="223">
        <v>140717</v>
      </c>
      <c r="C297" s="3538">
        <v>139472</v>
      </c>
      <c r="D297" s="141">
        <v>1245</v>
      </c>
      <c r="E297" s="223">
        <v>64737.802141</v>
      </c>
      <c r="F297" s="1207">
        <v>514.26900000000001</v>
      </c>
      <c r="G297" s="1004">
        <v>38841.15789473684</v>
      </c>
      <c r="H297" s="3557">
        <v>34069.684210526313</v>
      </c>
      <c r="I297" s="1004">
        <v>34577</v>
      </c>
      <c r="J297" s="1965">
        <v>30459</v>
      </c>
      <c r="K297" s="556">
        <v>538633</v>
      </c>
      <c r="L297" s="2821"/>
    </row>
    <row r="298" spans="1:12" s="6" customFormat="1">
      <c r="A298" s="53">
        <f t="shared" si="1"/>
        <v>2018.01</v>
      </c>
      <c r="B298" s="223">
        <v>140603</v>
      </c>
      <c r="C298" s="3538">
        <v>139356</v>
      </c>
      <c r="D298" s="141">
        <v>1247</v>
      </c>
      <c r="E298" s="223">
        <v>5306.68</v>
      </c>
      <c r="F298" s="1207">
        <v>510.55200000000002</v>
      </c>
      <c r="G298" s="1004">
        <v>28929.36842105263</v>
      </c>
      <c r="H298" s="3557">
        <v>25264.894736842107</v>
      </c>
      <c r="I298" s="1004">
        <v>23777</v>
      </c>
      <c r="J298" s="1965">
        <v>21376</v>
      </c>
      <c r="K298" s="556">
        <v>537811</v>
      </c>
      <c r="L298" s="2821"/>
    </row>
    <row r="299" spans="1:12" s="6" customFormat="1">
      <c r="A299" s="53">
        <f t="shared" si="1"/>
        <v>2018.02</v>
      </c>
      <c r="B299" s="223">
        <v>140971</v>
      </c>
      <c r="C299" s="3538">
        <v>139726</v>
      </c>
      <c r="D299" s="141">
        <v>1245</v>
      </c>
      <c r="E299" s="223">
        <v>10598.57</v>
      </c>
      <c r="F299" s="1207">
        <v>509.09300000000002</v>
      </c>
      <c r="G299" s="1004">
        <v>29606.473684210527</v>
      </c>
      <c r="H299" s="3557">
        <v>24045.894736842107</v>
      </c>
      <c r="I299" s="1004">
        <v>24738</v>
      </c>
      <c r="J299" s="1965">
        <v>21022</v>
      </c>
      <c r="K299" s="556">
        <v>531686</v>
      </c>
      <c r="L299" s="2821"/>
    </row>
    <row r="300" spans="1:12" s="6" customFormat="1">
      <c r="A300" s="53">
        <f t="shared" si="1"/>
        <v>2018.03</v>
      </c>
      <c r="B300" s="223">
        <v>140676</v>
      </c>
      <c r="C300" s="3538">
        <v>139426</v>
      </c>
      <c r="D300" s="141">
        <v>1250</v>
      </c>
      <c r="E300" s="223">
        <v>15907.15</v>
      </c>
      <c r="F300" s="1207">
        <v>511.71899999999999</v>
      </c>
      <c r="G300" s="1004">
        <v>29219.157894736843</v>
      </c>
      <c r="H300" s="3557">
        <v>24671.526315789473</v>
      </c>
      <c r="I300" s="1004">
        <v>24484</v>
      </c>
      <c r="J300" s="1965">
        <v>21511</v>
      </c>
      <c r="K300" s="556">
        <v>530285</v>
      </c>
      <c r="L300" s="2821"/>
    </row>
    <row r="301" spans="1:12" s="6" customFormat="1">
      <c r="A301" s="53">
        <f t="shared" si="1"/>
        <v>2018.04</v>
      </c>
      <c r="B301" s="223">
        <v>140151</v>
      </c>
      <c r="C301" s="3538">
        <v>138890</v>
      </c>
      <c r="D301" s="141">
        <v>1261</v>
      </c>
      <c r="E301" s="223">
        <v>21785.49</v>
      </c>
      <c r="F301" s="1207">
        <v>510.87200000000001</v>
      </c>
      <c r="G301" s="1004">
        <v>30175.894736842107</v>
      </c>
      <c r="H301" s="3557">
        <v>25138.63157894737</v>
      </c>
      <c r="I301" s="1004">
        <v>25725</v>
      </c>
      <c r="J301" s="1965">
        <v>22622</v>
      </c>
      <c r="K301" s="556">
        <v>535133</v>
      </c>
      <c r="L301" s="2821"/>
    </row>
    <row r="302" spans="1:12" s="6" customFormat="1">
      <c r="A302" s="53">
        <f t="shared" si="1"/>
        <v>2018.05</v>
      </c>
      <c r="B302" s="223">
        <v>139954</v>
      </c>
      <c r="C302" s="3538">
        <v>138737</v>
      </c>
      <c r="D302" s="141">
        <v>1217</v>
      </c>
      <c r="E302" s="223">
        <v>28444.98</v>
      </c>
      <c r="F302" s="1207">
        <v>510.053</v>
      </c>
      <c r="G302" s="1004">
        <v>33049.42105263158</v>
      </c>
      <c r="H302" s="3557">
        <v>26063.63157894737</v>
      </c>
      <c r="I302" s="1004">
        <v>27954</v>
      </c>
      <c r="J302" s="1965">
        <v>23306</v>
      </c>
      <c r="K302" s="556">
        <v>532531</v>
      </c>
      <c r="L302" s="2821"/>
    </row>
    <row r="303" spans="1:12" s="6" customFormat="1">
      <c r="A303" s="53">
        <f t="shared" si="1"/>
        <v>2018.06</v>
      </c>
      <c r="B303" s="223">
        <v>140017</v>
      </c>
      <c r="C303" s="3538">
        <v>138798</v>
      </c>
      <c r="D303" s="141">
        <v>1219</v>
      </c>
      <c r="E303" s="223">
        <v>36605.83</v>
      </c>
      <c r="F303" s="1207">
        <v>507.73200000000003</v>
      </c>
      <c r="G303" s="1004">
        <v>43166.526315789473</v>
      </c>
      <c r="H303" s="3557">
        <v>37759.526315789473</v>
      </c>
      <c r="I303" s="1004">
        <v>38185</v>
      </c>
      <c r="J303" s="1965">
        <v>34263</v>
      </c>
      <c r="K303" s="556">
        <v>534782</v>
      </c>
      <c r="L303" s="2821"/>
    </row>
    <row r="304" spans="1:12" s="6" customFormat="1">
      <c r="A304" s="53">
        <f t="shared" si="1"/>
        <v>2018.07</v>
      </c>
      <c r="B304" s="223">
        <v>139798</v>
      </c>
      <c r="C304" s="3538">
        <v>138573</v>
      </c>
      <c r="D304" s="141">
        <v>1225</v>
      </c>
      <c r="E304" s="223">
        <v>42725.53</v>
      </c>
      <c r="F304" s="1207">
        <v>505.74</v>
      </c>
      <c r="G304" s="1004">
        <v>32260.526315789473</v>
      </c>
      <c r="H304" s="3557">
        <v>26579.684210526317</v>
      </c>
      <c r="I304" s="1004">
        <v>27502</v>
      </c>
      <c r="J304" s="1965">
        <v>23597</v>
      </c>
      <c r="K304" s="556">
        <v>531990</v>
      </c>
      <c r="L304" s="2821"/>
    </row>
    <row r="305" spans="1:12" s="6" customFormat="1">
      <c r="A305" s="53">
        <f t="shared" si="1"/>
        <v>2018.08</v>
      </c>
      <c r="B305" s="223">
        <v>140501</v>
      </c>
      <c r="C305" s="3538">
        <v>139289</v>
      </c>
      <c r="D305" s="141">
        <v>1212</v>
      </c>
      <c r="E305" s="223">
        <v>49144.81</v>
      </c>
      <c r="F305" s="1207">
        <v>509.733</v>
      </c>
      <c r="G305" s="1004">
        <v>33283.73684210526</v>
      </c>
      <c r="H305" s="3557">
        <v>27322</v>
      </c>
      <c r="I305" s="1004">
        <v>28201</v>
      </c>
      <c r="J305" s="1965">
        <v>24409</v>
      </c>
      <c r="K305" s="556">
        <v>529414</v>
      </c>
      <c r="L305" s="2821"/>
    </row>
    <row r="306" spans="1:12" s="6" customFormat="1">
      <c r="A306" s="53">
        <f t="shared" ref="A306:A369" si="2">A294+1</f>
        <v>2018.09</v>
      </c>
      <c r="B306" s="223">
        <v>140373</v>
      </c>
      <c r="C306" s="3538">
        <v>139165</v>
      </c>
      <c r="D306" s="141">
        <v>1208</v>
      </c>
      <c r="E306" s="223">
        <v>55838.71</v>
      </c>
      <c r="F306" s="1207">
        <v>506.78699999999998</v>
      </c>
      <c r="G306" s="1004">
        <v>34258.15789473684</v>
      </c>
      <c r="H306" s="3557">
        <v>27943.473684210527</v>
      </c>
      <c r="I306" s="1004">
        <v>29153</v>
      </c>
      <c r="J306" s="1965">
        <v>24791</v>
      </c>
      <c r="K306" s="556">
        <v>535715</v>
      </c>
      <c r="L306" s="2821"/>
    </row>
    <row r="307" spans="1:12" s="6" customFormat="1">
      <c r="A307" s="53">
        <f t="shared" si="2"/>
        <v>2018.1</v>
      </c>
      <c r="B307" s="223">
        <v>140258</v>
      </c>
      <c r="C307" s="3538">
        <v>139044</v>
      </c>
      <c r="D307" s="141">
        <v>1214</v>
      </c>
      <c r="E307" s="223">
        <v>62477.77</v>
      </c>
      <c r="F307" s="1207">
        <v>507.27600000000001</v>
      </c>
      <c r="G307" s="1004">
        <v>35795.315789473687</v>
      </c>
      <c r="H307" s="3557">
        <v>29566.36842105263</v>
      </c>
      <c r="I307" s="1004">
        <v>30035</v>
      </c>
      <c r="J307" s="1965">
        <v>26315</v>
      </c>
      <c r="K307" s="556">
        <v>533227</v>
      </c>
      <c r="L307" s="2821"/>
    </row>
    <row r="308" spans="1:12" s="6" customFormat="1">
      <c r="A308" s="53">
        <f t="shared" si="2"/>
        <v>2018.11</v>
      </c>
      <c r="B308" s="223">
        <v>140271</v>
      </c>
      <c r="C308" s="3538">
        <v>139058</v>
      </c>
      <c r="D308" s="141">
        <v>1213</v>
      </c>
      <c r="E308" s="223">
        <v>69466.87</v>
      </c>
      <c r="F308" s="1207">
        <v>505.76499999999999</v>
      </c>
      <c r="G308" s="1004">
        <v>37633.368421052633</v>
      </c>
      <c r="H308" s="3557">
        <v>30980.947368421053</v>
      </c>
      <c r="I308" s="1004">
        <v>31600</v>
      </c>
      <c r="J308" s="1965">
        <v>28112</v>
      </c>
      <c r="K308" s="556">
        <v>533819</v>
      </c>
      <c r="L308" s="2821"/>
    </row>
    <row r="309" spans="1:12" s="6" customFormat="1">
      <c r="A309" s="53">
        <f t="shared" si="2"/>
        <v>2018.12</v>
      </c>
      <c r="B309" s="223">
        <v>140465</v>
      </c>
      <c r="C309" s="3538">
        <v>139243</v>
      </c>
      <c r="D309" s="141">
        <v>1222</v>
      </c>
      <c r="E309" s="223">
        <v>79817.36</v>
      </c>
      <c r="F309" s="1207">
        <v>504.46899999999999</v>
      </c>
      <c r="G309" s="1004">
        <v>53745.84210526316</v>
      </c>
      <c r="H309" s="3557">
        <v>44964.210526315786</v>
      </c>
      <c r="I309" s="1004">
        <v>47921</v>
      </c>
      <c r="J309" s="1965">
        <v>40434</v>
      </c>
      <c r="K309" s="556">
        <v>530660</v>
      </c>
      <c r="L309" s="2821"/>
    </row>
    <row r="310" spans="1:12" s="6" customFormat="1">
      <c r="A310" s="53">
        <f t="shared" si="2"/>
        <v>2019.01</v>
      </c>
      <c r="B310" s="223">
        <v>140519</v>
      </c>
      <c r="C310" s="3538">
        <v>139292</v>
      </c>
      <c r="D310" s="141">
        <v>1227</v>
      </c>
      <c r="E310" s="223">
        <v>7770.9638716500003</v>
      </c>
      <c r="F310" s="1207">
        <v>501.08699999999999</v>
      </c>
      <c r="G310" s="1004">
        <v>40305.73684210526</v>
      </c>
      <c r="H310" s="3557">
        <v>34613.947368421053</v>
      </c>
      <c r="I310" s="1004">
        <v>33429</v>
      </c>
      <c r="J310" s="1965">
        <v>29893</v>
      </c>
      <c r="K310" s="556">
        <v>528602</v>
      </c>
      <c r="L310" s="2821"/>
    </row>
    <row r="311" spans="1:12" s="6" customFormat="1">
      <c r="A311" s="53">
        <f t="shared" si="2"/>
        <v>2019.02</v>
      </c>
      <c r="B311" s="223">
        <v>139786</v>
      </c>
      <c r="C311" s="3538">
        <v>138558</v>
      </c>
      <c r="D311" s="141">
        <v>1228</v>
      </c>
      <c r="E311" s="223">
        <v>15419.37629016</v>
      </c>
      <c r="F311" s="1207">
        <v>501.30200000000002</v>
      </c>
      <c r="G311" s="1004">
        <v>42329.57894736842</v>
      </c>
      <c r="H311" s="3557">
        <v>33278.57894736842</v>
      </c>
      <c r="I311" s="1004">
        <v>35846</v>
      </c>
      <c r="J311" s="1965">
        <v>28770</v>
      </c>
      <c r="K311" s="556">
        <v>523041</v>
      </c>
      <c r="L311" s="2821"/>
    </row>
    <row r="312" spans="1:12" s="6" customFormat="1">
      <c r="A312" s="53">
        <f t="shared" si="2"/>
        <v>2019.03</v>
      </c>
      <c r="B312" s="223">
        <v>139827</v>
      </c>
      <c r="C312" s="3538">
        <v>138600</v>
      </c>
      <c r="D312" s="141">
        <v>1227</v>
      </c>
      <c r="E312" s="223">
        <v>23036.890597999998</v>
      </c>
      <c r="F312" s="1207">
        <v>501.13200000000001</v>
      </c>
      <c r="G312" s="1004">
        <v>41854.684210526313</v>
      </c>
      <c r="H312" s="3557">
        <v>35139.947368421053</v>
      </c>
      <c r="I312" s="1004">
        <v>35466</v>
      </c>
      <c r="J312" s="1965">
        <v>30624</v>
      </c>
      <c r="K312" s="556">
        <v>524542</v>
      </c>
      <c r="L312" s="2821"/>
    </row>
    <row r="313" spans="1:12" s="6" customFormat="1">
      <c r="A313" s="53">
        <f t="shared" si="2"/>
        <v>2019.04</v>
      </c>
      <c r="B313" s="223">
        <v>139675</v>
      </c>
      <c r="C313" s="3538">
        <v>138449</v>
      </c>
      <c r="D313" s="141">
        <v>1226</v>
      </c>
      <c r="E313" s="223">
        <v>33061.97</v>
      </c>
      <c r="F313" s="1207">
        <v>501.16500000000002</v>
      </c>
      <c r="G313" s="1004">
        <v>48965.894736842107</v>
      </c>
      <c r="H313" s="3557">
        <v>36205.368421052633</v>
      </c>
      <c r="I313" s="1004">
        <v>43026</v>
      </c>
      <c r="J313" s="1965">
        <v>31159</v>
      </c>
      <c r="K313" s="556">
        <v>525026</v>
      </c>
      <c r="L313" s="2821"/>
    </row>
    <row r="314" spans="1:12" s="6" customFormat="1">
      <c r="A314" s="53">
        <f t="shared" si="2"/>
        <v>2019.05</v>
      </c>
      <c r="B314" s="223">
        <v>139726</v>
      </c>
      <c r="C314" s="3538">
        <v>138502</v>
      </c>
      <c r="D314" s="141">
        <v>1224</v>
      </c>
      <c r="E314" s="223">
        <v>42347.770118999993</v>
      </c>
      <c r="F314" s="1207">
        <v>500.83300000000003</v>
      </c>
      <c r="G314" s="1004">
        <v>46648.210526315786</v>
      </c>
      <c r="H314" s="3557">
        <v>37569.210526315786</v>
      </c>
      <c r="I314" s="1004">
        <v>39794</v>
      </c>
      <c r="J314" s="1965">
        <v>33192</v>
      </c>
      <c r="K314" s="556">
        <v>526409</v>
      </c>
      <c r="L314" s="2821"/>
    </row>
    <row r="315" spans="1:12" s="6" customFormat="1">
      <c r="A315" s="53">
        <f t="shared" si="2"/>
        <v>2019.06</v>
      </c>
      <c r="B315" s="223">
        <v>139723</v>
      </c>
      <c r="C315" s="3538">
        <v>138503</v>
      </c>
      <c r="D315" s="141">
        <v>1220</v>
      </c>
      <c r="E315" s="223">
        <v>54903.992714</v>
      </c>
      <c r="F315" s="1207">
        <v>499.17399999999998</v>
      </c>
      <c r="G315" s="1004">
        <v>64879.894736842107</v>
      </c>
      <c r="H315" s="3557">
        <v>53621.26315789474</v>
      </c>
      <c r="I315" s="1004">
        <v>59338</v>
      </c>
      <c r="J315" s="1965">
        <v>48109</v>
      </c>
      <c r="K315" s="556">
        <v>525602</v>
      </c>
      <c r="L315" s="2821"/>
    </row>
    <row r="316" spans="1:12" s="6" customFormat="1">
      <c r="A316" s="53">
        <f t="shared" si="2"/>
        <v>2019.07</v>
      </c>
      <c r="B316" s="223">
        <v>139656</v>
      </c>
      <c r="C316" s="3538">
        <v>138442</v>
      </c>
      <c r="D316" s="141">
        <v>1214</v>
      </c>
      <c r="E316" s="223">
        <v>64348.004840000001</v>
      </c>
      <c r="F316" s="1207">
        <v>496.96499999999997</v>
      </c>
      <c r="G316" s="1004">
        <v>48560.789473684214</v>
      </c>
      <c r="H316" s="3557">
        <v>39268.84210526316</v>
      </c>
      <c r="I316" s="1004">
        <v>41854</v>
      </c>
      <c r="J316" s="1965">
        <v>34528</v>
      </c>
      <c r="K316" s="556">
        <v>525124</v>
      </c>
      <c r="L316" s="2821"/>
    </row>
    <row r="317" spans="1:12" s="6" customFormat="1">
      <c r="A317" s="53">
        <f t="shared" si="2"/>
        <v>2019.08</v>
      </c>
      <c r="B317" s="223">
        <v>142591</v>
      </c>
      <c r="C317" s="3538">
        <v>141415</v>
      </c>
      <c r="D317" s="141">
        <v>1176</v>
      </c>
      <c r="E317" s="223">
        <v>73878.572275999992</v>
      </c>
      <c r="F317" s="1207">
        <v>498.572</v>
      </c>
      <c r="G317" s="1004">
        <v>49393.57894736842</v>
      </c>
      <c r="H317" s="3557">
        <v>40950.210526315786</v>
      </c>
      <c r="I317" s="1004">
        <v>42776</v>
      </c>
      <c r="J317" s="1965">
        <v>35186</v>
      </c>
      <c r="K317" s="556">
        <v>522340</v>
      </c>
      <c r="L317" s="2821"/>
    </row>
    <row r="318" spans="1:12" s="6" customFormat="1">
      <c r="A318" s="53">
        <f t="shared" si="2"/>
        <v>2019.09</v>
      </c>
      <c r="B318" s="223">
        <v>142467</v>
      </c>
      <c r="C318" s="3538">
        <v>141295</v>
      </c>
      <c r="D318" s="141">
        <v>1172</v>
      </c>
      <c r="E318" s="223">
        <v>83597.241271000006</v>
      </c>
      <c r="F318" s="1207">
        <v>496.61099999999999</v>
      </c>
      <c r="G318" s="1004">
        <v>51354.315789473687</v>
      </c>
      <c r="H318" s="3557">
        <v>41833</v>
      </c>
      <c r="I318" s="1004">
        <v>44282</v>
      </c>
      <c r="J318" s="1965">
        <v>36665</v>
      </c>
      <c r="K318" s="556">
        <v>524496</v>
      </c>
      <c r="L318" s="2821"/>
    </row>
    <row r="319" spans="1:12" s="6" customFormat="1">
      <c r="A319" s="53">
        <f t="shared" si="2"/>
        <v>2019.1</v>
      </c>
      <c r="B319" s="223">
        <v>142882</v>
      </c>
      <c r="C319" s="3538">
        <v>141698</v>
      </c>
      <c r="D319" s="141">
        <v>1184</v>
      </c>
      <c r="E319" s="223">
        <v>93639.814952999994</v>
      </c>
      <c r="F319" s="1207">
        <v>494.81200000000001</v>
      </c>
      <c r="G319" s="1004">
        <v>52547.368421052633</v>
      </c>
      <c r="H319" s="3557">
        <v>45342.894736842107</v>
      </c>
      <c r="I319" s="1004">
        <v>45540</v>
      </c>
      <c r="J319" s="1965">
        <v>38208</v>
      </c>
      <c r="K319" s="556">
        <v>522352</v>
      </c>
      <c r="L319" s="2821"/>
    </row>
    <row r="320" spans="1:12" s="6" customFormat="1">
      <c r="A320" s="53">
        <f t="shared" si="2"/>
        <v>2019.11</v>
      </c>
      <c r="B320" s="223">
        <f>AVERAGE(B319,B321)</f>
        <v>142622.5</v>
      </c>
      <c r="C320" s="3538">
        <f t="shared" ref="C320:D320" si="3">AVERAGE(C319,C321)</f>
        <v>141617.5</v>
      </c>
      <c r="D320" s="141">
        <f t="shared" si="3"/>
        <v>1005</v>
      </c>
      <c r="E320" s="223">
        <v>104264.86632099999</v>
      </c>
      <c r="F320" s="1207">
        <v>493.87099999999998</v>
      </c>
      <c r="G320" s="1004">
        <v>55493.73684210526</v>
      </c>
      <c r="H320" s="3557">
        <v>45480.105263157893</v>
      </c>
      <c r="I320" s="1004">
        <v>47495</v>
      </c>
      <c r="J320" s="1965">
        <v>38707</v>
      </c>
      <c r="K320" s="556">
        <v>521643</v>
      </c>
      <c r="L320" s="2821"/>
    </row>
    <row r="321" spans="1:12" s="6" customFormat="1">
      <c r="A321" s="53">
        <f t="shared" si="2"/>
        <v>2019.12</v>
      </c>
      <c r="B321" s="223">
        <v>142363</v>
      </c>
      <c r="C321" s="3538">
        <v>141537</v>
      </c>
      <c r="D321" s="141">
        <v>826</v>
      </c>
      <c r="E321" s="223">
        <v>119699.318579</v>
      </c>
      <c r="F321" s="1207">
        <v>493.06</v>
      </c>
      <c r="G321" s="1004">
        <v>78031.15789473684</v>
      </c>
      <c r="H321" s="3557">
        <v>66965.947368421053</v>
      </c>
      <c r="I321" s="1004">
        <v>69637</v>
      </c>
      <c r="J321" s="1965">
        <v>57701</v>
      </c>
      <c r="K321" s="556">
        <v>520613</v>
      </c>
      <c r="L321" s="2821"/>
    </row>
    <row r="322" spans="1:12" s="6" customFormat="1">
      <c r="A322" s="53">
        <f t="shared" si="2"/>
        <v>2020.01</v>
      </c>
      <c r="B322" s="223">
        <v>142095</v>
      </c>
      <c r="C322" s="3538">
        <v>141362</v>
      </c>
      <c r="D322" s="141">
        <v>733</v>
      </c>
      <c r="E322" s="223">
        <v>10947.02521043</v>
      </c>
      <c r="F322" s="1207">
        <v>488.12200000000001</v>
      </c>
      <c r="G322" s="1004">
        <v>60048.315789473687</v>
      </c>
      <c r="H322" s="3557">
        <v>51649</v>
      </c>
      <c r="I322" s="1004">
        <v>50162</v>
      </c>
      <c r="J322" s="1965">
        <v>43729</v>
      </c>
      <c r="K322" s="556">
        <v>515685</v>
      </c>
      <c r="L322" s="2822">
        <v>70564.085627001012</v>
      </c>
    </row>
    <row r="323" spans="1:12" s="6" customFormat="1">
      <c r="A323" s="53">
        <f t="shared" si="2"/>
        <v>2020.02</v>
      </c>
      <c r="B323" s="223">
        <v>142552</v>
      </c>
      <c r="C323" s="3538">
        <v>141799</v>
      </c>
      <c r="D323" s="141">
        <v>753</v>
      </c>
      <c r="E323" s="223">
        <v>21830.205322639998</v>
      </c>
      <c r="F323" s="1207">
        <v>486.72199999999998</v>
      </c>
      <c r="G323" s="1004">
        <v>62138.15789473684</v>
      </c>
      <c r="H323" s="3557">
        <v>51873.57894736842</v>
      </c>
      <c r="I323" s="1004">
        <v>52313</v>
      </c>
      <c r="J323" s="1965">
        <v>44344</v>
      </c>
      <c r="K323" s="556">
        <v>510915</v>
      </c>
      <c r="L323" s="2823">
        <v>54642.641905326702</v>
      </c>
    </row>
    <row r="324" spans="1:12" s="6" customFormat="1">
      <c r="A324" s="53">
        <f t="shared" si="2"/>
        <v>2020.03</v>
      </c>
      <c r="B324" s="223">
        <v>142502</v>
      </c>
      <c r="C324" s="3538">
        <v>141741</v>
      </c>
      <c r="D324" s="141">
        <v>761</v>
      </c>
      <c r="E324" s="223">
        <v>33090.806915169997</v>
      </c>
      <c r="F324" s="1207">
        <v>487.41699999999997</v>
      </c>
      <c r="G324" s="1004">
        <v>62520.631578947367</v>
      </c>
      <c r="H324" s="3557">
        <v>52270.315789473687</v>
      </c>
      <c r="I324" s="1004">
        <v>53774</v>
      </c>
      <c r="J324" s="1965">
        <v>45863</v>
      </c>
      <c r="K324" s="556">
        <v>507872</v>
      </c>
      <c r="L324" s="2823">
        <v>54146.972143591294</v>
      </c>
    </row>
    <row r="325" spans="1:12" s="6" customFormat="1">
      <c r="A325" s="53">
        <f t="shared" si="2"/>
        <v>2020.04</v>
      </c>
      <c r="B325" s="223">
        <v>142268</v>
      </c>
      <c r="C325" s="3538">
        <v>141503</v>
      </c>
      <c r="D325" s="141">
        <v>765</v>
      </c>
      <c r="E325" s="223">
        <v>44621.312180970002</v>
      </c>
      <c r="F325" s="1207">
        <v>478.04199999999997</v>
      </c>
      <c r="G325" s="1004">
        <v>61907.105263157893</v>
      </c>
      <c r="H325" s="3557">
        <v>51360.84210526316</v>
      </c>
      <c r="I325" s="1004">
        <v>53032</v>
      </c>
      <c r="J325" s="1965">
        <v>44837</v>
      </c>
      <c r="K325" s="556">
        <v>506162</v>
      </c>
      <c r="L325" s="2823">
        <v>54489.448139093816</v>
      </c>
    </row>
    <row r="326" spans="1:12" s="6" customFormat="1">
      <c r="A326" s="53">
        <f t="shared" si="2"/>
        <v>2020.05</v>
      </c>
      <c r="B326" s="223">
        <v>142555</v>
      </c>
      <c r="C326" s="3538">
        <v>141777</v>
      </c>
      <c r="D326" s="141">
        <v>778</v>
      </c>
      <c r="E326" s="223">
        <f>55789110691.55/1000000</f>
        <v>55789.110691550006</v>
      </c>
      <c r="F326" s="1207">
        <v>474.67700000000002</v>
      </c>
      <c r="G326" s="1004">
        <v>62656.84210526316</v>
      </c>
      <c r="H326" s="3557">
        <v>52439.57894736842</v>
      </c>
      <c r="I326" s="1004">
        <v>53617</v>
      </c>
      <c r="J326" s="1965">
        <v>45715</v>
      </c>
      <c r="K326" s="556">
        <v>496798</v>
      </c>
      <c r="L326" s="2823">
        <v>52806.559449695851</v>
      </c>
    </row>
    <row r="327" spans="1:12" s="6" customFormat="1">
      <c r="A327" s="53">
        <f t="shared" si="2"/>
        <v>2020.06</v>
      </c>
      <c r="B327" s="223">
        <v>142783</v>
      </c>
      <c r="C327" s="3538">
        <v>141997</v>
      </c>
      <c r="D327" s="141">
        <v>786</v>
      </c>
      <c r="E327" s="223">
        <f>71542387292.31/1000000</f>
        <v>71542.387292309999</v>
      </c>
      <c r="F327" s="1207">
        <v>474.00799999999998</v>
      </c>
      <c r="G327" s="1004">
        <v>86299.421052631573</v>
      </c>
      <c r="H327" s="3557">
        <v>78446.368421052626</v>
      </c>
      <c r="I327" s="1004">
        <v>75381</v>
      </c>
      <c r="J327" s="1965">
        <v>69510</v>
      </c>
      <c r="K327" s="556">
        <v>495906</v>
      </c>
      <c r="L327" s="2823">
        <v>54053.674561126456</v>
      </c>
    </row>
    <row r="328" spans="1:12" s="6" customFormat="1">
      <c r="A328" s="53">
        <f t="shared" si="2"/>
        <v>2020.07</v>
      </c>
      <c r="B328" s="223">
        <v>142746</v>
      </c>
      <c r="C328" s="3538">
        <v>141955</v>
      </c>
      <c r="D328" s="141">
        <v>791</v>
      </c>
      <c r="E328" s="223">
        <v>82907.100000000006</v>
      </c>
      <c r="F328" s="1207">
        <v>474.21199999999999</v>
      </c>
      <c r="G328" s="1004">
        <v>63765.57894736842</v>
      </c>
      <c r="H328" s="3557">
        <v>55334.052631578947</v>
      </c>
      <c r="I328" s="1004">
        <v>53084</v>
      </c>
      <c r="J328" s="1965">
        <v>47823</v>
      </c>
      <c r="K328" s="556">
        <v>494799</v>
      </c>
      <c r="L328" s="2823">
        <v>81753.360652345669</v>
      </c>
    </row>
    <row r="329" spans="1:12" s="6" customFormat="1">
      <c r="A329" s="53">
        <f t="shared" si="2"/>
        <v>2020.08</v>
      </c>
      <c r="B329" s="223">
        <v>142703</v>
      </c>
      <c r="C329" s="3538">
        <v>141905</v>
      </c>
      <c r="D329" s="141">
        <v>798</v>
      </c>
      <c r="E329" s="223">
        <v>94304.960000000006</v>
      </c>
      <c r="F329" s="1207">
        <v>475.34800000000001</v>
      </c>
      <c r="G329" s="1004">
        <v>64482.631578947367</v>
      </c>
      <c r="H329" s="3557">
        <v>56046.473684210527</v>
      </c>
      <c r="I329" s="1004">
        <v>54380</v>
      </c>
      <c r="J329" s="1965">
        <v>48321</v>
      </c>
      <c r="K329" s="556">
        <v>496882</v>
      </c>
      <c r="L329" s="2823">
        <v>57704.100663678691</v>
      </c>
    </row>
    <row r="330" spans="1:12" s="6" customFormat="1">
      <c r="A330" s="53">
        <f t="shared" si="2"/>
        <v>2020.09</v>
      </c>
      <c r="B330" s="223">
        <v>143177</v>
      </c>
      <c r="C330" s="3538">
        <v>142378</v>
      </c>
      <c r="D330" s="141">
        <v>799</v>
      </c>
      <c r="E330" s="223">
        <v>107085.24</v>
      </c>
      <c r="F330" s="1207">
        <v>477.08199999999999</v>
      </c>
      <c r="G330" s="1004">
        <v>67048.105263157893</v>
      </c>
      <c r="H330" s="3557">
        <v>58406.789473684214</v>
      </c>
      <c r="I330" s="1004">
        <v>56693</v>
      </c>
      <c r="J330" s="1965">
        <v>49347</v>
      </c>
      <c r="K330" s="556">
        <v>498455</v>
      </c>
      <c r="L330" s="2823">
        <v>58198.186468608023</v>
      </c>
    </row>
    <row r="331" spans="1:12" s="6" customFormat="1">
      <c r="A331" s="53">
        <f t="shared" si="2"/>
        <v>2020.1</v>
      </c>
      <c r="B331" s="223">
        <v>142731</v>
      </c>
      <c r="C331" s="3538">
        <v>141970</v>
      </c>
      <c r="D331" s="141">
        <v>761</v>
      </c>
      <c r="E331" s="223">
        <v>119231.6</v>
      </c>
      <c r="F331" s="1207">
        <v>479.09</v>
      </c>
      <c r="G331" s="1004">
        <v>72798.105263157893</v>
      </c>
      <c r="H331" s="3557">
        <v>62185.57894736842</v>
      </c>
      <c r="I331" s="1004">
        <v>62274</v>
      </c>
      <c r="J331" s="1965">
        <v>53586</v>
      </c>
      <c r="K331" s="556">
        <v>500284</v>
      </c>
      <c r="L331" s="2823">
        <v>60925.56758637094</v>
      </c>
    </row>
    <row r="332" spans="1:12" s="6" customFormat="1">
      <c r="A332" s="53">
        <f t="shared" si="2"/>
        <v>2020.11</v>
      </c>
      <c r="B332" s="223">
        <v>142660</v>
      </c>
      <c r="C332" s="3538">
        <v>141894</v>
      </c>
      <c r="D332" s="141">
        <v>766</v>
      </c>
      <c r="E332" s="223">
        <v>131537.17000000001</v>
      </c>
      <c r="F332" s="1207">
        <v>481.44799999999998</v>
      </c>
      <c r="G332" s="1004">
        <v>70925.526315789481</v>
      </c>
      <c r="H332" s="3557">
        <v>62253.42105263158</v>
      </c>
      <c r="I332" s="1004">
        <v>60254</v>
      </c>
      <c r="J332" s="1965">
        <v>53517</v>
      </c>
      <c r="K332" s="556">
        <v>503229</v>
      </c>
      <c r="L332" s="2823">
        <v>65339.296373042853</v>
      </c>
    </row>
    <row r="333" spans="1:12" s="6" customFormat="1">
      <c r="A333" s="53">
        <f t="shared" si="2"/>
        <v>2020.12</v>
      </c>
      <c r="B333" s="223">
        <v>142623</v>
      </c>
      <c r="C333" s="3538">
        <v>141853</v>
      </c>
      <c r="D333" s="141">
        <v>770</v>
      </c>
      <c r="E333" s="223">
        <v>151113.57</v>
      </c>
      <c r="F333" s="1207">
        <v>482.72199999999998</v>
      </c>
      <c r="G333" s="1004">
        <v>100338.47368421052</v>
      </c>
      <c r="H333" s="3557">
        <v>92440.526315789481</v>
      </c>
      <c r="I333" s="1004">
        <v>87681</v>
      </c>
      <c r="J333" s="1965">
        <v>79849</v>
      </c>
      <c r="K333" s="556">
        <v>504886</v>
      </c>
      <c r="L333" s="2823">
        <v>64473.700315794093</v>
      </c>
    </row>
    <row r="334" spans="1:12" s="6" customFormat="1">
      <c r="A334" s="53">
        <f t="shared" si="2"/>
        <v>2021.01</v>
      </c>
      <c r="B334" s="223">
        <v>142526</v>
      </c>
      <c r="C334" s="3538">
        <v>141756</v>
      </c>
      <c r="D334" s="141">
        <v>770</v>
      </c>
      <c r="E334" s="223">
        <v>14147.04</v>
      </c>
      <c r="F334" s="1207">
        <v>483.04300000000001</v>
      </c>
      <c r="G334" s="1004">
        <v>81653.526315789481</v>
      </c>
      <c r="H334" s="3557">
        <v>70232.894736842107</v>
      </c>
      <c r="I334" s="1004">
        <v>68784</v>
      </c>
      <c r="J334" s="1965">
        <v>57380</v>
      </c>
      <c r="K334" s="556">
        <v>506328</v>
      </c>
      <c r="L334" s="2823">
        <v>96216.466941685896</v>
      </c>
    </row>
    <row r="335" spans="1:12" s="6" customFormat="1">
      <c r="A335" s="53">
        <f t="shared" si="2"/>
        <v>2021.02</v>
      </c>
      <c r="B335" s="223">
        <v>143009</v>
      </c>
      <c r="C335" s="3538">
        <v>142241</v>
      </c>
      <c r="D335" s="141">
        <v>768</v>
      </c>
      <c r="E335" s="223">
        <v>27547.3</v>
      </c>
      <c r="F335" s="1207">
        <v>484.28</v>
      </c>
      <c r="G335" s="1004">
        <v>78735.15789473684</v>
      </c>
      <c r="H335" s="3557">
        <v>71112.789473684214</v>
      </c>
      <c r="I335" s="1004">
        <v>67004</v>
      </c>
      <c r="J335" s="1965">
        <v>60270</v>
      </c>
      <c r="K335" s="556">
        <v>506005</v>
      </c>
      <c r="L335" s="2823">
        <v>73938.447730259591</v>
      </c>
    </row>
    <row r="336" spans="1:12" s="6" customFormat="1">
      <c r="A336" s="53">
        <f t="shared" si="2"/>
        <v>2021.03</v>
      </c>
      <c r="B336" s="223">
        <v>143370</v>
      </c>
      <c r="C336" s="3538">
        <v>142596</v>
      </c>
      <c r="D336" s="141">
        <v>774</v>
      </c>
      <c r="E336" s="223">
        <v>43564.83</v>
      </c>
      <c r="F336" s="1207">
        <v>488.69</v>
      </c>
      <c r="G336" s="1004">
        <v>88846.421052631573</v>
      </c>
      <c r="H336" s="3557">
        <v>73645.894736842107</v>
      </c>
      <c r="I336" s="1004">
        <v>76480</v>
      </c>
      <c r="J336" s="1965">
        <v>62848</v>
      </c>
      <c r="K336" s="556">
        <v>508335</v>
      </c>
      <c r="L336" s="2823">
        <v>74142.885065714509</v>
      </c>
    </row>
    <row r="337" spans="1:12" s="6" customFormat="1">
      <c r="A337" s="53">
        <f t="shared" si="2"/>
        <v>2021.04</v>
      </c>
      <c r="B337" s="223">
        <v>143236</v>
      </c>
      <c r="C337" s="3538">
        <v>142462</v>
      </c>
      <c r="D337" s="141">
        <v>774</v>
      </c>
      <c r="E337" s="223">
        <v>60185.26</v>
      </c>
      <c r="F337" s="1207">
        <v>491.01900000000001</v>
      </c>
      <c r="G337" s="1004">
        <v>90164.210526315786</v>
      </c>
      <c r="H337" s="3557">
        <v>76852.15789473684</v>
      </c>
      <c r="I337" s="1004">
        <v>77925</v>
      </c>
      <c r="J337" s="1965">
        <v>64638</v>
      </c>
      <c r="K337" s="556">
        <v>514369</v>
      </c>
      <c r="L337" s="2823">
        <v>77509.161740890282</v>
      </c>
    </row>
    <row r="338" spans="1:12" s="6" customFormat="1">
      <c r="A338" s="53">
        <f t="shared" si="2"/>
        <v>2021.05</v>
      </c>
      <c r="B338" s="223">
        <v>143182</v>
      </c>
      <c r="C338" s="3538">
        <v>142396</v>
      </c>
      <c r="D338" s="141">
        <v>786</v>
      </c>
      <c r="E338" s="223">
        <v>77373.98</v>
      </c>
      <c r="F338" s="1207">
        <v>490.113</v>
      </c>
      <c r="G338" s="1004">
        <v>88843.578947368427</v>
      </c>
      <c r="H338" s="3557">
        <v>77525.578947368427</v>
      </c>
      <c r="I338" s="1004">
        <v>77881</v>
      </c>
      <c r="J338" s="1965">
        <v>67703</v>
      </c>
      <c r="K338" s="556">
        <v>517342</v>
      </c>
      <c r="L338" s="2823">
        <v>80536.597044682218</v>
      </c>
    </row>
    <row r="339" spans="1:12" s="6" customFormat="1">
      <c r="A339" s="53">
        <f t="shared" si="2"/>
        <v>2021.06</v>
      </c>
      <c r="B339" s="223">
        <v>142685</v>
      </c>
      <c r="C339" s="3538">
        <v>141895</v>
      </c>
      <c r="D339" s="141">
        <v>790</v>
      </c>
      <c r="E339" s="223">
        <v>102731.34</v>
      </c>
      <c r="F339" s="1207">
        <v>488.66199999999998</v>
      </c>
      <c r="G339" s="1004">
        <v>131387.94736842104</v>
      </c>
      <c r="H339" s="3557">
        <v>114197</v>
      </c>
      <c r="I339" s="1004">
        <v>116041</v>
      </c>
      <c r="J339" s="1965">
        <v>100201</v>
      </c>
      <c r="K339" s="556">
        <v>515650</v>
      </c>
      <c r="L339" s="2823">
        <v>81127.976613710838</v>
      </c>
    </row>
    <row r="340" spans="1:12" s="6" customFormat="1">
      <c r="A340" s="53">
        <f t="shared" si="2"/>
        <v>2021.07</v>
      </c>
      <c r="B340" s="223">
        <v>142776</v>
      </c>
      <c r="C340" s="3538">
        <v>141973</v>
      </c>
      <c r="D340" s="141">
        <v>803</v>
      </c>
      <c r="E340" s="223">
        <v>120833.25</v>
      </c>
      <c r="F340" s="1207">
        <v>489.197</v>
      </c>
      <c r="G340" s="1004">
        <v>96856.894736842107</v>
      </c>
      <c r="H340" s="3557">
        <v>83019.789473684214</v>
      </c>
      <c r="I340" s="1004">
        <v>83647</v>
      </c>
      <c r="J340" s="1965">
        <v>70229</v>
      </c>
      <c r="K340" s="556">
        <v>513903</v>
      </c>
      <c r="L340" s="2823">
        <v>119657.23738450638</v>
      </c>
    </row>
    <row r="341" spans="1:12" s="6" customFormat="1">
      <c r="A341" s="53">
        <f t="shared" si="2"/>
        <v>2021.08</v>
      </c>
      <c r="B341" s="223">
        <v>142905</v>
      </c>
      <c r="C341" s="3538">
        <v>142104</v>
      </c>
      <c r="D341" s="141">
        <v>801</v>
      </c>
      <c r="E341" s="223">
        <v>139610.89000000001</v>
      </c>
      <c r="F341" s="1207">
        <v>491.62900000000002</v>
      </c>
      <c r="G341" s="1004">
        <v>98586.631578947374</v>
      </c>
      <c r="H341" s="3557">
        <v>87315</v>
      </c>
      <c r="I341" s="1004">
        <v>86220</v>
      </c>
      <c r="J341" s="1965">
        <v>74092</v>
      </c>
      <c r="K341" s="556">
        <v>514325</v>
      </c>
      <c r="L341" s="2823">
        <v>87702.736874116614</v>
      </c>
    </row>
    <row r="342" spans="1:12" s="6" customFormat="1">
      <c r="A342" s="53">
        <f t="shared" si="2"/>
        <v>2021.09</v>
      </c>
      <c r="B342" s="223">
        <v>142951</v>
      </c>
      <c r="C342" s="3538">
        <v>142147</v>
      </c>
      <c r="D342" s="141">
        <v>804</v>
      </c>
      <c r="E342" s="223">
        <v>159416.76999999999</v>
      </c>
      <c r="F342" s="1207">
        <v>493.89</v>
      </c>
      <c r="G342" s="1004">
        <v>101939.63157894737</v>
      </c>
      <c r="H342" s="3557">
        <v>89884.15789473684</v>
      </c>
      <c r="I342" s="1004">
        <v>88020</v>
      </c>
      <c r="J342" s="1965">
        <v>75350</v>
      </c>
      <c r="K342" s="556">
        <v>517907</v>
      </c>
      <c r="L342" s="2823">
        <v>90272.842614948255</v>
      </c>
    </row>
    <row r="343" spans="1:12" s="6" customFormat="1">
      <c r="A343" s="53">
        <f t="shared" si="2"/>
        <v>2021.1</v>
      </c>
      <c r="B343" s="223">
        <v>143012</v>
      </c>
      <c r="C343" s="3538">
        <v>142208</v>
      </c>
      <c r="D343" s="141">
        <v>804</v>
      </c>
      <c r="E343" s="223">
        <v>180376.72</v>
      </c>
      <c r="F343" s="1207">
        <v>496.28199999999998</v>
      </c>
      <c r="G343" s="1004">
        <v>107577.84210526316</v>
      </c>
      <c r="H343" s="3557">
        <v>92956.631578947374</v>
      </c>
      <c r="I343" s="1004">
        <v>91147</v>
      </c>
      <c r="J343" s="1965">
        <v>77359</v>
      </c>
      <c r="K343" s="556">
        <v>520489</v>
      </c>
      <c r="L343" s="2823">
        <v>93399.129723663675</v>
      </c>
    </row>
    <row r="344" spans="1:12" s="6" customFormat="1">
      <c r="A344" s="53">
        <f t="shared" si="2"/>
        <v>2021.11</v>
      </c>
      <c r="B344" s="223">
        <v>139671</v>
      </c>
      <c r="C344" s="3538">
        <v>138865</v>
      </c>
      <c r="D344" s="141">
        <v>806</v>
      </c>
      <c r="E344" s="931">
        <v>202362.44</v>
      </c>
      <c r="F344" s="1207">
        <v>500.39499999999998</v>
      </c>
      <c r="G344" s="1004">
        <v>112358.52631578948</v>
      </c>
      <c r="H344" s="3557">
        <v>96356.052631578947</v>
      </c>
      <c r="I344" s="1004">
        <v>96845</v>
      </c>
      <c r="J344" s="1965">
        <v>81641</v>
      </c>
      <c r="K344" s="556">
        <v>523515</v>
      </c>
      <c r="L344" s="2823">
        <v>97230.433580909885</v>
      </c>
    </row>
    <row r="345" spans="1:12" s="6" customFormat="1">
      <c r="A345" s="53">
        <f t="shared" si="2"/>
        <v>2021.12</v>
      </c>
      <c r="B345" s="223">
        <v>142984</v>
      </c>
      <c r="C345" s="3538">
        <v>142161</v>
      </c>
      <c r="D345" s="141">
        <v>823</v>
      </c>
      <c r="E345" s="931">
        <v>233546.59</v>
      </c>
      <c r="F345" s="1207">
        <v>502.834</v>
      </c>
      <c r="G345" s="1004">
        <v>158865.15789473685</v>
      </c>
      <c r="H345" s="3557">
        <v>143287.42105263157</v>
      </c>
      <c r="I345" s="1004">
        <v>139002</v>
      </c>
      <c r="J345" s="1965">
        <v>120608</v>
      </c>
      <c r="K345" s="556">
        <v>528289</v>
      </c>
      <c r="L345" s="2823">
        <v>100317.7003492596</v>
      </c>
    </row>
    <row r="346" spans="1:12" s="6" customFormat="1">
      <c r="A346" s="53">
        <f t="shared" si="2"/>
        <v>2022.01</v>
      </c>
      <c r="B346" s="223">
        <v>142656</v>
      </c>
      <c r="C346" s="3538">
        <v>141822</v>
      </c>
      <c r="D346" s="141">
        <v>834</v>
      </c>
      <c r="E346" s="223">
        <v>22083.21</v>
      </c>
      <c r="F346" s="1207">
        <v>501.44299999999998</v>
      </c>
      <c r="G346" s="1004">
        <v>120021.31578947368</v>
      </c>
      <c r="H346" s="3557">
        <v>108217.26315789473</v>
      </c>
      <c r="I346" s="1004">
        <v>100783</v>
      </c>
      <c r="J346" s="1965">
        <v>88825</v>
      </c>
      <c r="K346" s="556">
        <v>529257</v>
      </c>
      <c r="L346" s="2823">
        <v>149434.8953424895</v>
      </c>
    </row>
    <row r="347" spans="1:12" s="6" customFormat="1">
      <c r="A347" s="53">
        <f t="shared" si="2"/>
        <v>2022.02</v>
      </c>
      <c r="B347" s="223">
        <v>142712</v>
      </c>
      <c r="C347" s="3538">
        <v>141882</v>
      </c>
      <c r="D347" s="141">
        <v>830</v>
      </c>
      <c r="E347" s="223">
        <v>43851.92</v>
      </c>
      <c r="F347" s="1207">
        <v>501.92899999999997</v>
      </c>
      <c r="G347" s="1004">
        <v>123334.21052631579</v>
      </c>
      <c r="H347" s="3557">
        <v>107375.94736842105</v>
      </c>
      <c r="I347" s="1004">
        <v>103640</v>
      </c>
      <c r="J347" s="1965">
        <v>90105</v>
      </c>
      <c r="K347" s="556">
        <v>525057</v>
      </c>
      <c r="L347" s="2823">
        <v>112369.91980419267</v>
      </c>
    </row>
    <row r="348" spans="1:12" s="6" customFormat="1">
      <c r="A348" s="53">
        <f t="shared" si="2"/>
        <v>2022.03</v>
      </c>
      <c r="B348" s="223">
        <v>142574</v>
      </c>
      <c r="C348" s="3538">
        <v>141752</v>
      </c>
      <c r="D348" s="141">
        <v>822</v>
      </c>
      <c r="E348" s="223">
        <v>71198.23</v>
      </c>
      <c r="F348" s="1207">
        <v>506.54599999999999</v>
      </c>
      <c r="G348" s="1004">
        <v>145749.42105263157</v>
      </c>
      <c r="H348" s="3557">
        <v>116847.26315789473</v>
      </c>
      <c r="I348" s="1004">
        <v>126216.5</v>
      </c>
      <c r="J348" s="1965">
        <v>97189</v>
      </c>
      <c r="K348" s="556">
        <v>524808</v>
      </c>
      <c r="L348" s="2823">
        <v>113350.68638040945</v>
      </c>
    </row>
    <row r="349" spans="1:12" s="6" customFormat="1">
      <c r="A349" s="53">
        <f t="shared" si="2"/>
        <v>2022.04</v>
      </c>
      <c r="B349" s="223">
        <v>142426</v>
      </c>
      <c r="C349" s="3538">
        <v>141605</v>
      </c>
      <c r="D349" s="141">
        <v>821</v>
      </c>
      <c r="E349" s="223">
        <v>100430.63</v>
      </c>
      <c r="F349" s="1207">
        <v>508.14699999999999</v>
      </c>
      <c r="G349" s="1004">
        <v>145218.57894736843</v>
      </c>
      <c r="H349" s="3557">
        <v>121532.05263157895</v>
      </c>
      <c r="I349" s="1004">
        <v>125942</v>
      </c>
      <c r="J349" s="1965">
        <v>101572</v>
      </c>
      <c r="K349" s="556">
        <v>533087</v>
      </c>
      <c r="L349" s="2823">
        <v>122433.36378979411</v>
      </c>
    </row>
    <row r="350" spans="1:12" s="6" customFormat="1">
      <c r="A350" s="53">
        <f t="shared" si="2"/>
        <v>2022.05</v>
      </c>
      <c r="B350" s="223">
        <v>142554</v>
      </c>
      <c r="C350" s="3538">
        <v>141733</v>
      </c>
      <c r="D350" s="141">
        <v>821</v>
      </c>
      <c r="E350" s="223">
        <v>131214.42000000001</v>
      </c>
      <c r="F350" s="1207">
        <v>508.91699999999997</v>
      </c>
      <c r="G350" s="1004">
        <v>155877.89473684211</v>
      </c>
      <c r="H350" s="3557">
        <v>127066.36842105263</v>
      </c>
      <c r="I350" s="1004">
        <v>133947</v>
      </c>
      <c r="J350" s="1965">
        <v>109124</v>
      </c>
      <c r="K350" s="556">
        <v>535538</v>
      </c>
      <c r="L350" s="2823">
        <v>126456.31584479535</v>
      </c>
    </row>
    <row r="351" spans="1:12" s="6" customFormat="1">
      <c r="A351" s="53">
        <f t="shared" si="2"/>
        <v>2022.06</v>
      </c>
      <c r="B351" s="223">
        <v>142578</v>
      </c>
      <c r="C351" s="3538">
        <v>141735</v>
      </c>
      <c r="D351" s="141">
        <v>843</v>
      </c>
      <c r="E351" s="223">
        <v>174355.21</v>
      </c>
      <c r="F351" s="1207">
        <v>509.49</v>
      </c>
      <c r="G351" s="1004">
        <v>215056</v>
      </c>
      <c r="H351" s="3557">
        <v>185967</v>
      </c>
      <c r="I351" s="1004">
        <v>188420</v>
      </c>
      <c r="J351" s="1965">
        <v>160332</v>
      </c>
      <c r="K351" s="556">
        <v>535541</v>
      </c>
      <c r="L351" s="2823">
        <v>133479.85460816254</v>
      </c>
    </row>
    <row r="352" spans="1:12" s="6" customFormat="1">
      <c r="A352" s="53">
        <f t="shared" si="2"/>
        <v>2022.07</v>
      </c>
      <c r="B352" s="223">
        <v>142585</v>
      </c>
      <c r="C352" s="3538">
        <v>141734</v>
      </c>
      <c r="D352" s="141">
        <v>851</v>
      </c>
      <c r="E352" s="223">
        <v>205598.86</v>
      </c>
      <c r="F352" s="1207">
        <v>511.17899999999997</v>
      </c>
      <c r="G352" s="1004">
        <v>161520.42105263157</v>
      </c>
      <c r="H352" s="3557">
        <v>138129.05263157896</v>
      </c>
      <c r="I352" s="1004">
        <v>135319</v>
      </c>
      <c r="J352" s="1965">
        <v>116025</v>
      </c>
      <c r="K352" s="556">
        <v>536869</v>
      </c>
      <c r="L352" s="2823">
        <v>194396.66143655163</v>
      </c>
    </row>
    <row r="353" spans="1:12" s="6" customFormat="1">
      <c r="A353" s="53">
        <f t="shared" si="2"/>
        <v>2022.08</v>
      </c>
      <c r="B353" s="223">
        <v>142740</v>
      </c>
      <c r="C353" s="3538">
        <v>141888</v>
      </c>
      <c r="D353" s="141">
        <v>852</v>
      </c>
      <c r="E353" s="223">
        <v>238368.78</v>
      </c>
      <c r="F353" s="1207">
        <v>511.64299999999997</v>
      </c>
      <c r="G353" s="1004">
        <v>168946.42105263157</v>
      </c>
      <c r="H353" s="3557">
        <v>149604.47368421053</v>
      </c>
      <c r="I353" s="1004">
        <v>143998</v>
      </c>
      <c r="J353" s="1965">
        <v>130801</v>
      </c>
      <c r="K353" s="556">
        <v>538922</v>
      </c>
      <c r="L353" s="2823">
        <v>145196.00883697439</v>
      </c>
    </row>
    <row r="354" spans="1:12" s="6" customFormat="1">
      <c r="A354" s="53">
        <f t="shared" si="2"/>
        <v>2022.09</v>
      </c>
      <c r="B354" s="223">
        <v>142729</v>
      </c>
      <c r="C354" s="3538">
        <v>141868</v>
      </c>
      <c r="D354" s="141">
        <v>861</v>
      </c>
      <c r="E354" s="223">
        <v>274453.73</v>
      </c>
      <c r="F354" s="1207">
        <v>513.553</v>
      </c>
      <c r="G354" s="1004">
        <v>171120.05263157896</v>
      </c>
      <c r="H354" s="3557">
        <v>159116.47368421053</v>
      </c>
      <c r="I354" s="1004">
        <v>141390</v>
      </c>
      <c r="J354" s="1965">
        <v>139756</v>
      </c>
      <c r="K354" s="556">
        <v>539763</v>
      </c>
      <c r="L354" s="2823">
        <v>155452.35766234426</v>
      </c>
    </row>
    <row r="355" spans="1:12" s="6" customFormat="1">
      <c r="A355" s="53">
        <f t="shared" si="2"/>
        <v>2022.1</v>
      </c>
      <c r="B355" s="223">
        <v>143031</v>
      </c>
      <c r="C355" s="3538">
        <v>142170</v>
      </c>
      <c r="D355" s="141">
        <v>861</v>
      </c>
      <c r="E355" s="223">
        <v>316675.12</v>
      </c>
      <c r="F355" s="1207">
        <v>516.35599999999999</v>
      </c>
      <c r="G355" s="1004">
        <v>220896.15789473685</v>
      </c>
      <c r="H355" s="3557">
        <v>167230.73684210525</v>
      </c>
      <c r="I355" s="1004">
        <v>191297</v>
      </c>
      <c r="J355" s="1965">
        <v>142997</v>
      </c>
      <c r="K355" s="556">
        <v>542253</v>
      </c>
      <c r="L355" s="2823">
        <v>165080.33947264467</v>
      </c>
    </row>
    <row r="356" spans="1:12" s="6" customFormat="1">
      <c r="A356" s="53">
        <f t="shared" si="2"/>
        <v>2022.11</v>
      </c>
      <c r="B356" s="223">
        <v>143108</v>
      </c>
      <c r="C356" s="3538">
        <v>142272</v>
      </c>
      <c r="D356" s="141">
        <v>836</v>
      </c>
      <c r="E356" s="223">
        <v>359351.52</v>
      </c>
      <c r="F356" s="1207">
        <v>519.77300000000002</v>
      </c>
      <c r="G356" s="1004">
        <v>215467.10526315789</v>
      </c>
      <c r="H356" s="3557">
        <v>179317.21052631579</v>
      </c>
      <c r="I356" s="1004">
        <v>181947</v>
      </c>
      <c r="J356" s="1965">
        <v>152282</v>
      </c>
      <c r="K356" s="556">
        <v>545711</v>
      </c>
      <c r="L356" s="2823">
        <v>174725.87319209255</v>
      </c>
    </row>
    <row r="357" spans="1:12" s="6" customFormat="1">
      <c r="A357" s="53">
        <f t="shared" si="2"/>
        <v>2022.12</v>
      </c>
      <c r="B357" s="223">
        <v>143721</v>
      </c>
      <c r="C357" s="3538">
        <v>142884</v>
      </c>
      <c r="D357" s="141">
        <v>837</v>
      </c>
      <c r="E357" s="223">
        <v>424877.38</v>
      </c>
      <c r="F357" s="1207">
        <v>519.65800000000002</v>
      </c>
      <c r="G357" s="1004">
        <v>326346.15789473685</v>
      </c>
      <c r="H357" s="3557">
        <v>284061.73684210528</v>
      </c>
      <c r="I357" s="1004">
        <v>285655</v>
      </c>
      <c r="J357" s="1965">
        <v>244788</v>
      </c>
      <c r="K357" s="556">
        <v>548503</v>
      </c>
      <c r="L357" s="2823">
        <v>186982.65516589704</v>
      </c>
    </row>
    <row r="358" spans="1:12" s="6" customFormat="1">
      <c r="A358" s="53">
        <f t="shared" si="2"/>
        <v>2023.01</v>
      </c>
      <c r="B358" s="223">
        <v>143349</v>
      </c>
      <c r="C358" s="3538">
        <v>142513</v>
      </c>
      <c r="D358" s="141">
        <v>836</v>
      </c>
      <c r="E358" s="223">
        <v>52726.9</v>
      </c>
      <c r="F358" s="1207">
        <v>517.31700000000001</v>
      </c>
      <c r="G358" s="1004">
        <v>257562.63157894736</v>
      </c>
      <c r="H358" s="3557">
        <v>212213.73684210525</v>
      </c>
      <c r="I358" s="1004">
        <v>216045</v>
      </c>
      <c r="J358" s="1965">
        <v>171556</v>
      </c>
      <c r="K358" s="556">
        <v>546552</v>
      </c>
      <c r="L358" s="2823">
        <v>294518.79232442647</v>
      </c>
    </row>
    <row r="359" spans="1:12" s="6" customFormat="1">
      <c r="A359" s="53">
        <f t="shared" si="2"/>
        <v>2023.02</v>
      </c>
      <c r="B359" s="223">
        <v>145142</v>
      </c>
      <c r="C359" s="3538">
        <v>144309</v>
      </c>
      <c r="D359" s="141">
        <v>833</v>
      </c>
      <c r="E359" s="223">
        <v>102139.8</v>
      </c>
      <c r="F359" s="1207">
        <v>517.47</v>
      </c>
      <c r="G359" s="1004">
        <v>259784.26315789475</v>
      </c>
      <c r="H359" s="3557">
        <v>217794.94736842104</v>
      </c>
      <c r="I359" s="1004">
        <v>219169</v>
      </c>
      <c r="J359" s="1965">
        <v>175384</v>
      </c>
      <c r="K359" s="556">
        <v>542896</v>
      </c>
      <c r="L359" s="2823">
        <v>221683.37956431819</v>
      </c>
    </row>
    <row r="360" spans="1:12" s="6" customFormat="1">
      <c r="A360" s="53">
        <f t="shared" si="2"/>
        <v>2023.03</v>
      </c>
      <c r="B360" s="223">
        <v>145014</v>
      </c>
      <c r="C360" s="3538">
        <v>144181</v>
      </c>
      <c r="D360" s="141">
        <v>833</v>
      </c>
      <c r="E360" s="223">
        <v>163877.17000000001</v>
      </c>
      <c r="F360" s="1207">
        <v>522.25099999999998</v>
      </c>
      <c r="G360" s="1004">
        <v>308482.89473684208</v>
      </c>
      <c r="H360" s="3557">
        <v>237177.15789473685</v>
      </c>
      <c r="I360" s="3557">
        <v>261704</v>
      </c>
      <c r="J360" s="1965">
        <v>193413</v>
      </c>
      <c r="K360" s="556">
        <v>542849</v>
      </c>
      <c r="L360" s="2823">
        <v>228695.23483611472</v>
      </c>
    </row>
    <row r="361" spans="1:12" s="6" customFormat="1">
      <c r="A361" s="53">
        <f t="shared" si="2"/>
        <v>2023.04</v>
      </c>
      <c r="B361" s="223">
        <v>145261</v>
      </c>
      <c r="C361" s="3538">
        <v>144447</v>
      </c>
      <c r="D361" s="141">
        <v>814</v>
      </c>
      <c r="E361" s="223">
        <v>227648.85</v>
      </c>
      <c r="F361" s="1207">
        <v>521.447</v>
      </c>
      <c r="G361" s="1005">
        <v>313326.42105263157</v>
      </c>
      <c r="H361" s="3558">
        <v>248731.21049999999</v>
      </c>
      <c r="I361" s="3558">
        <v>262035</v>
      </c>
      <c r="J361" s="1966">
        <v>213861</v>
      </c>
      <c r="K361" s="556">
        <v>550260</v>
      </c>
      <c r="L361" s="2823">
        <v>249122.07688145622</v>
      </c>
    </row>
    <row r="362" spans="1:12" s="6" customFormat="1">
      <c r="A362" s="53">
        <f t="shared" si="2"/>
        <v>2023.05</v>
      </c>
      <c r="B362" s="223">
        <v>145404</v>
      </c>
      <c r="C362" s="3538">
        <v>144590</v>
      </c>
      <c r="D362" s="141">
        <v>814</v>
      </c>
      <c r="E362" s="223">
        <v>296066.23</v>
      </c>
      <c r="F362" s="1207">
        <v>522.47199999999998</v>
      </c>
      <c r="G362" s="1005">
        <v>335312.8947</v>
      </c>
      <c r="H362" s="3558">
        <v>264954.26319999999</v>
      </c>
      <c r="I362" s="3558">
        <v>284707</v>
      </c>
      <c r="J362" s="1966">
        <v>230349</v>
      </c>
      <c r="K362" s="556">
        <v>551863</v>
      </c>
      <c r="L362" s="2823">
        <v>260692.50906148789</v>
      </c>
    </row>
    <row r="363" spans="1:12" s="6" customFormat="1">
      <c r="A363" s="53">
        <f t="shared" si="2"/>
        <v>2023.06</v>
      </c>
      <c r="B363" s="223">
        <v>145832</v>
      </c>
      <c r="C363" s="3538">
        <v>144996</v>
      </c>
      <c r="D363" s="141">
        <v>836</v>
      </c>
      <c r="E363" s="223">
        <v>397577.19</v>
      </c>
      <c r="F363" s="1207">
        <v>520.99300000000005</v>
      </c>
      <c r="G363" s="1005">
        <v>485787.26319999999</v>
      </c>
      <c r="H363" s="3558">
        <v>401866.36839999998</v>
      </c>
      <c r="I363" s="3558">
        <v>425490</v>
      </c>
      <c r="J363" s="1966">
        <v>345112</v>
      </c>
      <c r="K363" s="556">
        <v>552367</v>
      </c>
      <c r="L363" s="2823">
        <v>278938.69103581499</v>
      </c>
    </row>
    <row r="364" spans="1:12" s="6" customFormat="1">
      <c r="A364" s="53">
        <f t="shared" si="2"/>
        <v>2023.07</v>
      </c>
      <c r="B364" s="223">
        <v>150459</v>
      </c>
      <c r="C364" s="3538">
        <v>149647</v>
      </c>
      <c r="D364" s="141">
        <v>812</v>
      </c>
      <c r="E364" s="223">
        <v>481049.67</v>
      </c>
      <c r="F364" s="1207">
        <v>520.92899999999997</v>
      </c>
      <c r="G364" s="1005">
        <v>388135.26319999999</v>
      </c>
      <c r="H364" s="3558">
        <v>305570.52630000003</v>
      </c>
      <c r="I364" s="3558">
        <v>329471</v>
      </c>
      <c r="J364" s="1966">
        <v>308408</v>
      </c>
      <c r="K364" s="556">
        <v>550294</v>
      </c>
      <c r="L364" s="2823">
        <v>420717.45899977098</v>
      </c>
    </row>
    <row r="365" spans="1:12" s="6" customFormat="1">
      <c r="A365" s="53">
        <f t="shared" si="2"/>
        <v>2023.08</v>
      </c>
      <c r="B365" s="223">
        <v>151548</v>
      </c>
      <c r="C365" s="3538">
        <v>150736</v>
      </c>
      <c r="D365" s="141">
        <v>812</v>
      </c>
      <c r="E365" s="223">
        <v>574955.15</v>
      </c>
      <c r="F365" s="1207">
        <v>522.61599999999999</v>
      </c>
      <c r="G365" s="1005">
        <v>431247.78950000001</v>
      </c>
      <c r="H365" s="3558">
        <v>351825.47369999997</v>
      </c>
      <c r="I365" s="3558">
        <v>370263</v>
      </c>
      <c r="J365" s="1966">
        <v>310619</v>
      </c>
      <c r="K365" s="556">
        <v>550888</v>
      </c>
      <c r="L365" s="2823">
        <v>320821.73074276443</v>
      </c>
    </row>
    <row r="366" spans="1:12" s="6" customFormat="1">
      <c r="A366" s="53">
        <f t="shared" si="2"/>
        <v>2023.09</v>
      </c>
      <c r="B366" s="223">
        <v>154799</v>
      </c>
      <c r="C366" s="3538">
        <v>154012</v>
      </c>
      <c r="D366" s="141">
        <v>787</v>
      </c>
      <c r="E366" s="223">
        <v>676120.62</v>
      </c>
      <c r="F366" s="1207">
        <v>522.80100000000004</v>
      </c>
      <c r="G366" s="1005">
        <v>460625.68420000002</v>
      </c>
      <c r="H366" s="3558">
        <v>385071.57890000002</v>
      </c>
      <c r="I366" s="3558">
        <v>386857</v>
      </c>
      <c r="J366" s="1966">
        <v>336653</v>
      </c>
      <c r="K366" s="556">
        <v>553225</v>
      </c>
      <c r="L366" s="2823">
        <v>361773.45959958452</v>
      </c>
    </row>
    <row r="367" spans="1:12" s="6" customFormat="1">
      <c r="A367" s="53">
        <f t="shared" si="2"/>
        <v>2023.1</v>
      </c>
      <c r="B367" s="223">
        <v>155476</v>
      </c>
      <c r="C367" s="3538">
        <v>154691</v>
      </c>
      <c r="D367" s="141">
        <v>785</v>
      </c>
      <c r="E367" s="223">
        <v>782599.5</v>
      </c>
      <c r="F367" s="1207">
        <v>523.38800000000003</v>
      </c>
      <c r="G367" s="1005">
        <v>490975.15789999999</v>
      </c>
      <c r="H367" s="3558">
        <v>415903.42109999998</v>
      </c>
      <c r="I367" s="3558">
        <v>410638</v>
      </c>
      <c r="J367" s="1966">
        <v>355054</v>
      </c>
      <c r="K367" s="556">
        <v>553664</v>
      </c>
      <c r="L367" s="2823">
        <v>396903.18160145875</v>
      </c>
    </row>
    <row r="368" spans="1:12" s="6" customFormat="1">
      <c r="A368" s="53">
        <f t="shared" si="2"/>
        <v>2023.11</v>
      </c>
      <c r="B368" s="223">
        <v>155653</v>
      </c>
      <c r="C368" s="3538">
        <v>154870</v>
      </c>
      <c r="D368" s="141">
        <v>783</v>
      </c>
      <c r="E368" s="223">
        <v>906797.02</v>
      </c>
      <c r="F368" s="1207">
        <v>524.31700000000001</v>
      </c>
      <c r="G368" s="1005">
        <v>565966.47369999997</v>
      </c>
      <c r="H368" s="3558">
        <v>464608.8947</v>
      </c>
      <c r="I368" s="3558">
        <v>478335</v>
      </c>
      <c r="J368" s="1966">
        <v>400082</v>
      </c>
      <c r="K368" s="556">
        <v>554893</v>
      </c>
      <c r="L368" s="2823">
        <v>432496.06721975241</v>
      </c>
    </row>
    <row r="369" spans="1:14">
      <c r="A369" s="53">
        <f t="shared" si="2"/>
        <v>2023.12</v>
      </c>
      <c r="B369" s="223">
        <v>155717</v>
      </c>
      <c r="C369" s="3538">
        <v>154976</v>
      </c>
      <c r="D369" s="141">
        <v>741</v>
      </c>
      <c r="E369" s="223">
        <v>1088637.08</v>
      </c>
      <c r="F369" s="1207">
        <v>523.65300000000002</v>
      </c>
      <c r="G369" s="1005" t="e">
        <v>#N/A</v>
      </c>
      <c r="H369" s="3558" t="e">
        <v>#N/A</v>
      </c>
      <c r="I369" s="3558" t="e">
        <v>#N/A</v>
      </c>
      <c r="J369" s="1966" t="e">
        <v>#N/A</v>
      </c>
      <c r="K369" s="556">
        <v>555285</v>
      </c>
      <c r="L369" s="2823">
        <v>484057.65773690998</v>
      </c>
      <c r="M369" s="166"/>
      <c r="N369" s="166"/>
    </row>
    <row r="370" spans="1:14">
      <c r="A370" s="53">
        <f t="shared" ref="A370:A433" si="4">A358+1</f>
        <v>2024.01</v>
      </c>
      <c r="B370" s="3520">
        <v>155524</v>
      </c>
      <c r="C370" s="3538" t="e">
        <v>#N/A</v>
      </c>
      <c r="D370" s="141" t="e">
        <v>#N/A</v>
      </c>
      <c r="E370" s="223">
        <v>142596.98000000001</v>
      </c>
      <c r="F370" s="1207">
        <v>518.43600000000004</v>
      </c>
      <c r="G370" s="1005" t="e">
        <v>#N/A</v>
      </c>
      <c r="H370" s="3558" t="e">
        <v>#N/A</v>
      </c>
      <c r="I370" s="3558" t="e">
        <v>#N/A</v>
      </c>
      <c r="J370" s="1966" t="e">
        <v>#N/A</v>
      </c>
      <c r="K370" s="556">
        <v>553443</v>
      </c>
      <c r="L370" s="2823">
        <v>776993.29082017485</v>
      </c>
      <c r="M370" s="166"/>
      <c r="N370" s="166"/>
    </row>
    <row r="371" spans="1:14">
      <c r="A371" s="53">
        <f t="shared" si="4"/>
        <v>2024.02</v>
      </c>
      <c r="B371" s="3520">
        <v>155332</v>
      </c>
      <c r="C371" s="3538" t="e">
        <v>#N/A</v>
      </c>
      <c r="D371" s="141" t="e">
        <v>#N/A</v>
      </c>
      <c r="E371" s="223">
        <v>304624.11</v>
      </c>
      <c r="F371" s="1207">
        <v>514.80200000000002</v>
      </c>
      <c r="G371" s="1005" t="e">
        <v>#N/A</v>
      </c>
      <c r="H371" s="3558" t="e">
        <v>#N/A</v>
      </c>
      <c r="I371" s="3558" t="e">
        <v>#N/A</v>
      </c>
      <c r="J371" s="1966" t="e">
        <v>#N/A</v>
      </c>
      <c r="K371" s="556">
        <v>545746</v>
      </c>
      <c r="L371" s="2823">
        <v>692288.81409652077</v>
      </c>
      <c r="M371" s="166"/>
      <c r="N371" s="166"/>
    </row>
    <row r="372" spans="1:14">
      <c r="A372" s="53">
        <f t="shared" si="4"/>
        <v>2024.03</v>
      </c>
      <c r="B372" s="3520">
        <v>155140</v>
      </c>
      <c r="C372" s="3538" t="e">
        <v>#N/A</v>
      </c>
      <c r="D372" s="141" t="e">
        <v>#N/A</v>
      </c>
      <c r="E372" s="223">
        <v>498215.67</v>
      </c>
      <c r="F372" s="1207">
        <v>514.41200000000003</v>
      </c>
      <c r="G372" s="1005" t="e">
        <v>#N/A</v>
      </c>
      <c r="H372" s="3558" t="e">
        <v>#N/A</v>
      </c>
      <c r="I372" s="3558" t="e">
        <v>#N/A</v>
      </c>
      <c r="J372" s="1966" t="e">
        <v>#N/A</v>
      </c>
      <c r="K372" s="556">
        <v>542428</v>
      </c>
      <c r="L372" s="2823">
        <v>764411.61641019629</v>
      </c>
      <c r="M372" s="166"/>
      <c r="N372" s="166"/>
    </row>
    <row r="373" spans="1:14">
      <c r="A373" s="53">
        <f t="shared" si="4"/>
        <v>2024.04</v>
      </c>
      <c r="B373" s="3520">
        <v>154948</v>
      </c>
      <c r="C373" s="3538" t="e">
        <v>#N/A</v>
      </c>
      <c r="D373" s="141" t="e">
        <v>#N/A</v>
      </c>
      <c r="E373" s="223">
        <v>698836.52</v>
      </c>
      <c r="F373" s="1207">
        <v>512.03</v>
      </c>
      <c r="G373" s="1005" t="e">
        <v>#N/A</v>
      </c>
      <c r="H373" s="3558" t="e">
        <v>#N/A</v>
      </c>
      <c r="I373" s="3558" t="e">
        <v>#N/A</v>
      </c>
      <c r="J373" s="1966" t="e">
        <v>#N/A</v>
      </c>
      <c r="K373" s="556">
        <v>543397</v>
      </c>
      <c r="L373" s="2823">
        <v>846506.23623534851</v>
      </c>
      <c r="M373" s="166"/>
      <c r="N373" s="166"/>
    </row>
    <row r="374" spans="1:14">
      <c r="A374" s="53">
        <f t="shared" si="4"/>
        <v>2024.05</v>
      </c>
      <c r="B374" s="3520">
        <v>154756</v>
      </c>
      <c r="C374" s="3538" t="e">
        <v>#N/A</v>
      </c>
      <c r="D374" s="141" t="e">
        <v>#N/A</v>
      </c>
      <c r="E374" s="223">
        <v>943029.63</v>
      </c>
      <c r="F374" s="1207">
        <v>509.86700000000002</v>
      </c>
      <c r="G374" s="1005" t="e">
        <v>#N/A</v>
      </c>
      <c r="H374" s="3558" t="e">
        <v>#N/A</v>
      </c>
      <c r="I374" s="3558" t="e">
        <v>#N/A</v>
      </c>
      <c r="J374" s="1966" t="e">
        <v>#N/A</v>
      </c>
      <c r="K374" s="556">
        <v>542530</v>
      </c>
      <c r="L374" s="2823">
        <v>994050.19340340584</v>
      </c>
      <c r="M374" s="166"/>
      <c r="N374" s="166"/>
    </row>
    <row r="375" spans="1:14">
      <c r="A375" s="53">
        <f t="shared" si="4"/>
        <v>2024.06</v>
      </c>
      <c r="B375" s="3520">
        <v>154564</v>
      </c>
      <c r="C375" s="3538" t="e">
        <v>#N/A</v>
      </c>
      <c r="D375" s="141" t="e">
        <v>#N/A</v>
      </c>
      <c r="E375" s="223">
        <v>1264642.98</v>
      </c>
      <c r="F375" s="1207">
        <v>507.07100000000003</v>
      </c>
      <c r="G375" s="1005" t="e">
        <v>#N/A</v>
      </c>
      <c r="H375" s="3558" t="e">
        <v>#N/A</v>
      </c>
      <c r="I375" s="3558" t="e">
        <v>#N/A</v>
      </c>
      <c r="J375" s="1966" t="e">
        <v>#N/A</v>
      </c>
      <c r="K375" s="556">
        <v>540042</v>
      </c>
      <c r="L375" s="2823">
        <v>1002430.5193375333</v>
      </c>
      <c r="M375" s="166"/>
      <c r="N375" s="166"/>
    </row>
    <row r="376" spans="1:14">
      <c r="A376" s="53">
        <f t="shared" si="4"/>
        <v>2024.07</v>
      </c>
      <c r="B376" s="3520">
        <v>154372</v>
      </c>
      <c r="C376" s="3538" t="e">
        <v>#N/A</v>
      </c>
      <c r="D376" s="141" t="e">
        <v>#N/A</v>
      </c>
      <c r="E376" s="223">
        <v>1514744.37</v>
      </c>
      <c r="F376" s="1207">
        <v>507.25700000000001</v>
      </c>
      <c r="G376" s="1005" t="e">
        <v>#N/A</v>
      </c>
      <c r="H376" s="3558" t="e">
        <v>#N/A</v>
      </c>
      <c r="I376" s="3558" t="e">
        <v>#N/A</v>
      </c>
      <c r="J376" s="1966" t="e">
        <v>#N/A</v>
      </c>
      <c r="K376" s="556">
        <v>537323</v>
      </c>
      <c r="L376" s="2823">
        <v>1496472.9293524565</v>
      </c>
      <c r="M376" s="166"/>
      <c r="N376" s="166"/>
    </row>
    <row r="377" spans="1:14">
      <c r="A377" s="53">
        <f t="shared" si="4"/>
        <v>2024.08</v>
      </c>
      <c r="B377" s="3520">
        <v>154180</v>
      </c>
      <c r="C377" s="3538" t="e">
        <v>#N/A</v>
      </c>
      <c r="D377" s="141" t="e">
        <v>#N/A</v>
      </c>
      <c r="E377" s="223">
        <v>1764991.64</v>
      </c>
      <c r="F377" s="1207">
        <v>508.21600000000001</v>
      </c>
      <c r="G377" s="1005" t="e">
        <v>#N/A</v>
      </c>
      <c r="H377" s="3558" t="e">
        <v>#N/A</v>
      </c>
      <c r="I377" s="3558" t="e">
        <v>#N/A</v>
      </c>
      <c r="J377" s="1966" t="e">
        <v>#N/A</v>
      </c>
      <c r="K377" s="556">
        <v>537337</v>
      </c>
      <c r="L377" s="2823">
        <v>1134779.4915345493</v>
      </c>
      <c r="M377" s="166"/>
      <c r="N377" s="166"/>
    </row>
    <row r="378" spans="1:14">
      <c r="A378" s="53">
        <f t="shared" si="4"/>
        <v>2024.09</v>
      </c>
      <c r="B378" s="3520">
        <v>153988</v>
      </c>
      <c r="C378" s="3538" t="e">
        <v>#N/A</v>
      </c>
      <c r="D378" s="141" t="e">
        <v>#N/A</v>
      </c>
      <c r="E378" s="223">
        <v>2024654.04</v>
      </c>
      <c r="F378" s="1207">
        <v>508.85300000000001</v>
      </c>
      <c r="G378" s="1005" t="e">
        <v>#N/A</v>
      </c>
      <c r="H378" s="3558" t="e">
        <v>#N/A</v>
      </c>
      <c r="I378" s="3558" t="e">
        <v>#N/A</v>
      </c>
      <c r="J378" s="1966" t="e">
        <v>#N/A</v>
      </c>
      <c r="K378" s="556">
        <v>539084</v>
      </c>
      <c r="L378" s="2823">
        <v>1181380.7240255503</v>
      </c>
      <c r="M378" s="166"/>
      <c r="N378" s="166"/>
    </row>
    <row r="379" spans="1:14">
      <c r="A379" s="53">
        <f t="shared" si="4"/>
        <v>2024.1</v>
      </c>
      <c r="B379" s="3520">
        <v>153796</v>
      </c>
      <c r="C379" s="3538" t="e">
        <v>#N/A</v>
      </c>
      <c r="D379" s="141" t="e">
        <v>#N/A</v>
      </c>
      <c r="E379" s="223">
        <v>2304438.09</v>
      </c>
      <c r="F379" s="1207">
        <v>511.66800000000001</v>
      </c>
      <c r="G379" s="1005" t="e">
        <v>#N/A</v>
      </c>
      <c r="H379" s="3558" t="e">
        <v>#N/A</v>
      </c>
      <c r="I379" s="3558" t="e">
        <v>#N/A</v>
      </c>
      <c r="J379" s="1966" t="e">
        <v>#N/A</v>
      </c>
      <c r="K379" s="1968">
        <v>540890</v>
      </c>
      <c r="L379" s="2823">
        <v>1198192.9745116562</v>
      </c>
      <c r="M379" s="7"/>
      <c r="N379" s="7"/>
    </row>
    <row r="380" spans="1:14">
      <c r="A380" s="53">
        <f t="shared" si="4"/>
        <v>2024.11</v>
      </c>
      <c r="B380" s="3520">
        <v>153604</v>
      </c>
      <c r="C380" s="3538" t="e">
        <v>#N/A</v>
      </c>
      <c r="D380" s="141" t="e">
        <v>#N/A</v>
      </c>
      <c r="E380" s="223">
        <v>2600685.2400000002</v>
      </c>
      <c r="F380" s="1207">
        <v>513.01</v>
      </c>
      <c r="G380" s="1005" t="e">
        <v>#N/A</v>
      </c>
      <c r="H380" s="3558" t="e">
        <v>#N/A</v>
      </c>
      <c r="I380" s="3558" t="e">
        <v>#N/A</v>
      </c>
      <c r="J380" s="1966" t="e">
        <v>#N/A</v>
      </c>
      <c r="K380" s="1968">
        <v>544913</v>
      </c>
      <c r="L380" s="2823">
        <v>1282633.8528729719</v>
      </c>
      <c r="M380" s="7"/>
      <c r="N380" s="7"/>
    </row>
    <row r="381" spans="1:14">
      <c r="A381" s="53">
        <f t="shared" si="4"/>
        <v>2024.12</v>
      </c>
      <c r="B381" s="223">
        <v>153555</v>
      </c>
      <c r="C381" s="3538" t="e">
        <v>#N/A</v>
      </c>
      <c r="D381" s="141" t="e">
        <v>#N/A</v>
      </c>
      <c r="E381" s="223">
        <v>3026935.07</v>
      </c>
      <c r="F381" s="1207">
        <v>512.67499999999995</v>
      </c>
      <c r="G381" s="1005" t="e">
        <v>#N/A</v>
      </c>
      <c r="H381" s="3558" t="e">
        <v>#N/A</v>
      </c>
      <c r="I381" s="3558" t="e">
        <v>#N/A</v>
      </c>
      <c r="J381" s="1966" t="e">
        <v>#N/A</v>
      </c>
      <c r="K381" s="1968">
        <v>545840</v>
      </c>
      <c r="L381" s="2823">
        <v>1302902.4818180983</v>
      </c>
      <c r="M381" s="7"/>
      <c r="N381" s="7"/>
    </row>
    <row r="382" spans="1:14">
      <c r="A382" s="53">
        <f t="shared" si="4"/>
        <v>2025.01</v>
      </c>
      <c r="B382" s="187">
        <v>153289</v>
      </c>
      <c r="C382" s="3538" t="e">
        <v>#N/A</v>
      </c>
      <c r="D382" s="141" t="e">
        <v>#N/A</v>
      </c>
      <c r="E382" s="223">
        <v>293580.76</v>
      </c>
      <c r="F382" s="1207">
        <v>509.52600000000001</v>
      </c>
      <c r="G382" s="1005" t="e">
        <v>#N/A</v>
      </c>
      <c r="H382" s="3558" t="e">
        <v>#N/A</v>
      </c>
      <c r="I382" s="3558" t="e">
        <v>#N/A</v>
      </c>
      <c r="J382" s="1966" t="e">
        <v>#N/A</v>
      </c>
      <c r="K382" s="1968">
        <v>543517</v>
      </c>
      <c r="L382" s="2823">
        <v>1975909.540301004</v>
      </c>
      <c r="M382" s="166"/>
      <c r="N382" s="166"/>
    </row>
    <row r="383" spans="1:14">
      <c r="A383" s="53">
        <f t="shared" si="4"/>
        <v>2025.02</v>
      </c>
      <c r="B383" s="187">
        <v>153024</v>
      </c>
      <c r="C383" s="3538" t="e">
        <v>#N/A</v>
      </c>
      <c r="D383" s="141" t="e">
        <v>#N/A</v>
      </c>
      <c r="E383" s="223">
        <v>610035.18000000005</v>
      </c>
      <c r="F383" s="1207">
        <v>509.154</v>
      </c>
      <c r="G383" s="1005" t="e">
        <v>#N/A</v>
      </c>
      <c r="H383" s="3558" t="e">
        <v>#N/A</v>
      </c>
      <c r="I383" s="3558" t="e">
        <v>#N/A</v>
      </c>
      <c r="J383" s="1966" t="e">
        <v>#N/A</v>
      </c>
      <c r="K383" s="1968">
        <v>538799</v>
      </c>
      <c r="L383" s="2823">
        <v>1475619.3684690022</v>
      </c>
      <c r="M383" s="166"/>
      <c r="N383" s="166"/>
    </row>
    <row r="384" spans="1:14">
      <c r="A384" s="53">
        <f t="shared" si="4"/>
        <v>2025.03</v>
      </c>
      <c r="B384" s="223">
        <v>152759</v>
      </c>
      <c r="C384" s="3538">
        <v>150656</v>
      </c>
      <c r="D384" s="141">
        <v>2103</v>
      </c>
      <c r="E384" s="223">
        <v>917226.28</v>
      </c>
      <c r="F384" s="1222">
        <v>511.28100000000001</v>
      </c>
      <c r="G384" s="1005" t="e">
        <v>#N/A</v>
      </c>
      <c r="H384" s="3558" t="e">
        <v>#N/A</v>
      </c>
      <c r="I384" s="3558" t="e">
        <v>#N/A</v>
      </c>
      <c r="J384" s="1966" t="e">
        <v>#N/A</v>
      </c>
      <c r="K384" s="1968">
        <v>538605</v>
      </c>
      <c r="L384" s="2823">
        <v>1476379.8874381785</v>
      </c>
      <c r="M384" s="166"/>
      <c r="N384" s="166"/>
    </row>
    <row r="385" spans="1:14">
      <c r="A385" s="53">
        <f t="shared" si="4"/>
        <v>2025.04</v>
      </c>
      <c r="B385" s="223" t="e">
        <v>#N/A</v>
      </c>
      <c r="C385" s="3538" t="e">
        <v>#N/A</v>
      </c>
      <c r="D385" s="141" t="e">
        <v>#N/A</v>
      </c>
      <c r="E385" s="223">
        <v>1252891.1000000001</v>
      </c>
      <c r="F385" s="1222">
        <v>511.91</v>
      </c>
      <c r="G385" s="1005" t="e">
        <v>#N/A</v>
      </c>
      <c r="H385" s="3558" t="e">
        <v>#N/A</v>
      </c>
      <c r="I385" s="3558" t="e">
        <v>#N/A</v>
      </c>
      <c r="J385" s="1966" t="e">
        <v>#N/A</v>
      </c>
      <c r="K385" s="1968">
        <v>542441</v>
      </c>
      <c r="L385" s="2823">
        <v>1497385</v>
      </c>
      <c r="M385" s="166"/>
      <c r="N385" s="166"/>
    </row>
    <row r="386" spans="1:14">
      <c r="A386" s="53">
        <f t="shared" si="4"/>
        <v>2025.05</v>
      </c>
      <c r="B386" s="223" t="e">
        <v>#N/A</v>
      </c>
      <c r="C386" s="3538" t="e">
        <v>#N/A</v>
      </c>
      <c r="D386" s="141" t="e">
        <v>#N/A</v>
      </c>
      <c r="E386" s="223">
        <v>1621369.68</v>
      </c>
      <c r="F386" s="1222">
        <v>511.791</v>
      </c>
      <c r="G386" s="1005" t="e">
        <v>#N/A</v>
      </c>
      <c r="H386" s="3558" t="e">
        <v>#N/A</v>
      </c>
      <c r="I386" s="3558" t="e">
        <v>#N/A</v>
      </c>
      <c r="J386" s="1966" t="e">
        <v>#N/A</v>
      </c>
      <c r="K386" s="1968">
        <v>544587</v>
      </c>
      <c r="L386" s="2823">
        <v>1518516</v>
      </c>
      <c r="M386" s="166"/>
      <c r="N386" s="166"/>
    </row>
    <row r="387" spans="1:14">
      <c r="A387" s="53">
        <f t="shared" si="4"/>
        <v>2025.06</v>
      </c>
      <c r="B387" s="223" t="e">
        <v>#N/A</v>
      </c>
      <c r="C387" s="3538" t="e">
        <v>#N/A</v>
      </c>
      <c r="D387" s="141" t="e">
        <v>#N/A</v>
      </c>
      <c r="E387" s="223">
        <v>2102525.37</v>
      </c>
      <c r="F387" s="1222">
        <v>510.95400000000001</v>
      </c>
      <c r="G387" s="1005" t="e">
        <v>#N/A</v>
      </c>
      <c r="H387" s="3558" t="e">
        <v>#N/A</v>
      </c>
      <c r="I387" s="3558" t="e">
        <v>#N/A</v>
      </c>
      <c r="J387" s="1966" t="e">
        <v>#N/A</v>
      </c>
      <c r="K387" s="1968">
        <v>544924</v>
      </c>
      <c r="L387" s="2823">
        <v>1517310</v>
      </c>
      <c r="M387" s="166"/>
      <c r="N387" s="166"/>
    </row>
    <row r="388" spans="1:14">
      <c r="A388" s="53">
        <f t="shared" si="4"/>
        <v>2025.07</v>
      </c>
      <c r="B388" s="223" t="e">
        <v>#N/A</v>
      </c>
      <c r="C388" s="3538" t="e">
        <v>#N/A</v>
      </c>
      <c r="D388" s="141" t="e">
        <v>#N/A</v>
      </c>
      <c r="E388" s="223">
        <v>2457042.5</v>
      </c>
      <c r="F388" s="1222">
        <v>510.46800000000002</v>
      </c>
      <c r="G388" s="1005" t="e">
        <v>#N/A</v>
      </c>
      <c r="H388" s="3558" t="e">
        <v>#N/A</v>
      </c>
      <c r="I388" s="3558" t="e">
        <v>#N/A</v>
      </c>
      <c r="J388" s="1966" t="e">
        <v>#N/A</v>
      </c>
      <c r="K388" s="1968" t="e">
        <v>#N/A</v>
      </c>
      <c r="L388" s="2803" t="e">
        <v>#N/A</v>
      </c>
      <c r="M388" s="166"/>
      <c r="N388" s="166"/>
    </row>
    <row r="389" spans="1:14">
      <c r="A389" s="53">
        <f t="shared" si="4"/>
        <v>2025.08</v>
      </c>
      <c r="B389" s="223" t="e">
        <v>#N/A</v>
      </c>
      <c r="C389" s="3538" t="e">
        <v>#N/A</v>
      </c>
      <c r="D389" s="141" t="e">
        <v>#N/A</v>
      </c>
      <c r="E389" s="223">
        <v>2817178.71</v>
      </c>
      <c r="F389" s="1222">
        <v>509.75299999999999</v>
      </c>
      <c r="G389" s="1005" t="e">
        <v>#N/A</v>
      </c>
      <c r="H389" s="3558" t="e">
        <v>#N/A</v>
      </c>
      <c r="I389" s="3558" t="e">
        <v>#N/A</v>
      </c>
      <c r="J389" s="1966" t="e">
        <v>#N/A</v>
      </c>
      <c r="K389" s="1968" t="e">
        <v>#N/A</v>
      </c>
      <c r="L389" s="2803" t="e">
        <v>#N/A</v>
      </c>
      <c r="M389" s="166"/>
      <c r="N389" s="166"/>
    </row>
    <row r="390" spans="1:14">
      <c r="A390" s="53">
        <f t="shared" si="4"/>
        <v>2025.09</v>
      </c>
      <c r="B390" s="223" t="e">
        <v>#N/A</v>
      </c>
      <c r="C390" s="3538" t="e">
        <v>#N/A</v>
      </c>
      <c r="D390" s="141" t="e">
        <v>#N/A</v>
      </c>
      <c r="E390" s="223">
        <v>3195979.54</v>
      </c>
      <c r="F390" s="1222">
        <v>510.67500000000001</v>
      </c>
      <c r="G390" s="1005" t="e">
        <v>#N/A</v>
      </c>
      <c r="H390" s="3558" t="e">
        <v>#N/A</v>
      </c>
      <c r="I390" s="3558" t="e">
        <v>#N/A</v>
      </c>
      <c r="J390" s="1966" t="e">
        <v>#N/A</v>
      </c>
      <c r="K390" s="1968" t="e">
        <v>#N/A</v>
      </c>
      <c r="L390" s="2803" t="e">
        <v>#N/A</v>
      </c>
      <c r="M390" s="166"/>
      <c r="N390" s="166"/>
    </row>
    <row r="391" spans="1:14">
      <c r="A391" s="53">
        <f t="shared" si="4"/>
        <v>2025.1</v>
      </c>
      <c r="B391" s="223" t="e">
        <v>#N/A</v>
      </c>
      <c r="C391" s="3538" t="e">
        <v>#N/A</v>
      </c>
      <c r="D391" s="141" t="e">
        <v>#N/A</v>
      </c>
      <c r="E391" s="223">
        <v>3598398.11</v>
      </c>
      <c r="F391" s="1222">
        <v>510.74299999999999</v>
      </c>
      <c r="G391" s="1005" t="e">
        <v>#N/A</v>
      </c>
      <c r="H391" s="3558" t="e">
        <v>#N/A</v>
      </c>
      <c r="I391" s="3558" t="e">
        <v>#N/A</v>
      </c>
      <c r="J391" s="1966" t="e">
        <v>#N/A</v>
      </c>
      <c r="K391" s="1968" t="e">
        <v>#N/A</v>
      </c>
      <c r="L391" s="2803" t="e">
        <v>#N/A</v>
      </c>
      <c r="M391" s="166"/>
      <c r="N391" s="166"/>
    </row>
    <row r="392" spans="1:14">
      <c r="A392" s="53">
        <f t="shared" si="4"/>
        <v>2025.11</v>
      </c>
      <c r="B392" s="223" t="e">
        <v>#N/A</v>
      </c>
      <c r="C392" s="3538" t="e">
        <v>#N/A</v>
      </c>
      <c r="D392" s="141" t="e">
        <v>#N/A</v>
      </c>
      <c r="E392" s="223">
        <v>3991374.12</v>
      </c>
      <c r="F392" s="1222">
        <v>511.46100000000001</v>
      </c>
      <c r="G392" s="1005" t="e">
        <v>#N/A</v>
      </c>
      <c r="H392" s="3558" t="e">
        <v>#N/A</v>
      </c>
      <c r="I392" s="3558" t="e">
        <v>#N/A</v>
      </c>
      <c r="J392" s="1966" t="e">
        <v>#N/A</v>
      </c>
      <c r="K392" s="1968" t="e">
        <v>#N/A</v>
      </c>
      <c r="L392" s="2803" t="e">
        <v>#N/A</v>
      </c>
      <c r="M392" s="166"/>
      <c r="N392" s="166"/>
    </row>
    <row r="393" spans="1:14">
      <c r="A393" s="53">
        <f t="shared" si="4"/>
        <v>2025.12</v>
      </c>
      <c r="B393" s="223" t="e">
        <v>#N/A</v>
      </c>
      <c r="C393" s="3538" t="e">
        <v>#N/A</v>
      </c>
      <c r="D393" s="141" t="e">
        <v>#N/A</v>
      </c>
      <c r="E393" s="223">
        <v>4547608.95</v>
      </c>
      <c r="F393" s="1222">
        <v>511.60700000000003</v>
      </c>
      <c r="G393" s="1005" t="e">
        <v>#N/A</v>
      </c>
      <c r="H393" s="3558" t="e">
        <v>#N/A</v>
      </c>
      <c r="I393" s="3558" t="e">
        <v>#N/A</v>
      </c>
      <c r="J393" s="1966" t="e">
        <v>#N/A</v>
      </c>
      <c r="K393" s="1968" t="e">
        <v>#N/A</v>
      </c>
      <c r="L393" s="2803" t="e">
        <v>#N/A</v>
      </c>
      <c r="M393" s="166"/>
      <c r="N393" s="166"/>
    </row>
    <row r="394" spans="1:14">
      <c r="A394" s="53">
        <f t="shared" si="4"/>
        <v>2026.01</v>
      </c>
      <c r="B394" s="223" t="e">
        <v>#N/A</v>
      </c>
      <c r="C394" s="3538" t="e">
        <v>#N/A</v>
      </c>
      <c r="D394" s="141" t="e">
        <v>#N/A</v>
      </c>
      <c r="E394" s="223" t="e">
        <v>#N/A</v>
      </c>
      <c r="F394" s="1398" t="e">
        <v>#N/A</v>
      </c>
      <c r="G394" s="1005" t="e">
        <v>#N/A</v>
      </c>
      <c r="H394" s="3558" t="e">
        <v>#N/A</v>
      </c>
      <c r="I394" s="3558" t="e">
        <v>#N/A</v>
      </c>
      <c r="J394" s="1966" t="e">
        <v>#N/A</v>
      </c>
      <c r="K394" s="1968" t="e">
        <v>#N/A</v>
      </c>
      <c r="L394" s="2803" t="e">
        <v>#N/A</v>
      </c>
      <c r="M394" s="166"/>
      <c r="N394" s="166"/>
    </row>
    <row r="395" spans="1:14">
      <c r="A395" s="53">
        <f t="shared" si="4"/>
        <v>2026.02</v>
      </c>
      <c r="B395" s="223" t="e">
        <v>#N/A</v>
      </c>
      <c r="C395" s="3538" t="e">
        <v>#N/A</v>
      </c>
      <c r="D395" s="141" t="e">
        <v>#N/A</v>
      </c>
      <c r="E395" s="223" t="e">
        <v>#N/A</v>
      </c>
      <c r="F395" s="1398" t="e">
        <v>#N/A</v>
      </c>
      <c r="G395" s="1005" t="e">
        <v>#N/A</v>
      </c>
      <c r="H395" s="3558" t="e">
        <v>#N/A</v>
      </c>
      <c r="I395" s="3558" t="e">
        <v>#N/A</v>
      </c>
      <c r="J395" s="1966" t="e">
        <v>#N/A</v>
      </c>
      <c r="K395" s="1968" t="e">
        <v>#N/A</v>
      </c>
      <c r="L395" s="2803" t="e">
        <v>#N/A</v>
      </c>
      <c r="M395" s="166"/>
      <c r="N395" s="166"/>
    </row>
    <row r="396" spans="1:14">
      <c r="A396" s="53">
        <f t="shared" si="4"/>
        <v>2026.03</v>
      </c>
      <c r="B396" s="223" t="e">
        <v>#N/A</v>
      </c>
      <c r="C396" s="3538" t="e">
        <v>#N/A</v>
      </c>
      <c r="D396" s="141" t="e">
        <v>#N/A</v>
      </c>
      <c r="E396" s="223" t="e">
        <v>#N/A</v>
      </c>
      <c r="F396" s="1398" t="e">
        <v>#N/A</v>
      </c>
      <c r="G396" s="1005" t="e">
        <v>#N/A</v>
      </c>
      <c r="H396" s="3558" t="e">
        <v>#N/A</v>
      </c>
      <c r="I396" s="3558" t="e">
        <v>#N/A</v>
      </c>
      <c r="J396" s="1966" t="e">
        <v>#N/A</v>
      </c>
      <c r="K396" s="1968" t="e">
        <v>#N/A</v>
      </c>
      <c r="L396" s="2803" t="e">
        <v>#N/A</v>
      </c>
      <c r="M396" s="166"/>
      <c r="N396" s="166"/>
    </row>
    <row r="397" spans="1:14">
      <c r="A397" s="53">
        <f t="shared" si="4"/>
        <v>2026.04</v>
      </c>
      <c r="B397" s="223" t="e">
        <v>#N/A</v>
      </c>
      <c r="C397" s="3538" t="e">
        <v>#N/A</v>
      </c>
      <c r="D397" s="141" t="e">
        <v>#N/A</v>
      </c>
      <c r="E397" s="223" t="e">
        <v>#N/A</v>
      </c>
      <c r="F397" s="1398" t="e">
        <v>#N/A</v>
      </c>
      <c r="G397" s="1005" t="e">
        <v>#N/A</v>
      </c>
      <c r="H397" s="3558" t="e">
        <v>#N/A</v>
      </c>
      <c r="I397" s="3558" t="e">
        <v>#N/A</v>
      </c>
      <c r="J397" s="1966" t="e">
        <v>#N/A</v>
      </c>
      <c r="K397" s="1968" t="e">
        <v>#N/A</v>
      </c>
      <c r="L397" s="2803" t="e">
        <v>#N/A</v>
      </c>
      <c r="M397" s="166"/>
      <c r="N397" s="166"/>
    </row>
    <row r="398" spans="1:14">
      <c r="A398" s="53">
        <f t="shared" si="4"/>
        <v>2026.05</v>
      </c>
      <c r="B398" s="223" t="e">
        <v>#N/A</v>
      </c>
      <c r="C398" s="3538" t="e">
        <v>#N/A</v>
      </c>
      <c r="D398" s="141" t="e">
        <v>#N/A</v>
      </c>
      <c r="E398" s="223" t="e">
        <v>#N/A</v>
      </c>
      <c r="F398" s="1398" t="e">
        <v>#N/A</v>
      </c>
      <c r="G398" s="1005" t="e">
        <v>#N/A</v>
      </c>
      <c r="H398" s="3558" t="e">
        <v>#N/A</v>
      </c>
      <c r="I398" s="3558" t="e">
        <v>#N/A</v>
      </c>
      <c r="J398" s="1966" t="e">
        <v>#N/A</v>
      </c>
      <c r="K398" s="1968" t="e">
        <v>#N/A</v>
      </c>
      <c r="L398" s="2803" t="e">
        <v>#N/A</v>
      </c>
      <c r="M398" s="166"/>
      <c r="N398" s="166"/>
    </row>
    <row r="399" spans="1:14">
      <c r="A399" s="53">
        <f t="shared" si="4"/>
        <v>2026.06</v>
      </c>
      <c r="B399" s="223" t="e">
        <v>#N/A</v>
      </c>
      <c r="C399" s="3538" t="e">
        <v>#N/A</v>
      </c>
      <c r="D399" s="141" t="e">
        <v>#N/A</v>
      </c>
      <c r="E399" s="223" t="e">
        <v>#N/A</v>
      </c>
      <c r="F399" s="1398" t="e">
        <v>#N/A</v>
      </c>
      <c r="G399" s="1005" t="e">
        <v>#N/A</v>
      </c>
      <c r="H399" s="3558" t="e">
        <v>#N/A</v>
      </c>
      <c r="I399" s="3558" t="e">
        <v>#N/A</v>
      </c>
      <c r="J399" s="1966" t="e">
        <v>#N/A</v>
      </c>
      <c r="K399" s="1968" t="e">
        <v>#N/A</v>
      </c>
      <c r="L399" s="2803" t="e">
        <v>#N/A</v>
      </c>
      <c r="M399" s="166"/>
      <c r="N399" s="166"/>
    </row>
    <row r="400" spans="1:14">
      <c r="A400" s="53">
        <f t="shared" si="4"/>
        <v>2026.07</v>
      </c>
      <c r="B400" s="223" t="e">
        <v>#N/A</v>
      </c>
      <c r="C400" s="3538" t="e">
        <v>#N/A</v>
      </c>
      <c r="D400" s="141" t="e">
        <v>#N/A</v>
      </c>
      <c r="E400" s="223" t="e">
        <v>#N/A</v>
      </c>
      <c r="F400" s="1398" t="e">
        <v>#N/A</v>
      </c>
      <c r="G400" s="1005" t="e">
        <v>#N/A</v>
      </c>
      <c r="H400" s="3558" t="e">
        <v>#N/A</v>
      </c>
      <c r="I400" s="3558" t="e">
        <v>#N/A</v>
      </c>
      <c r="J400" s="1966" t="e">
        <v>#N/A</v>
      </c>
      <c r="K400" s="1968" t="e">
        <v>#N/A</v>
      </c>
      <c r="L400" s="2803" t="e">
        <v>#N/A</v>
      </c>
      <c r="M400" s="166"/>
      <c r="N400" s="166"/>
    </row>
    <row r="401" spans="1:12" s="6" customFormat="1">
      <c r="A401" s="53">
        <f t="shared" si="4"/>
        <v>2026.08</v>
      </c>
      <c r="B401" s="223" t="e">
        <v>#N/A</v>
      </c>
      <c r="C401" s="3538" t="e">
        <v>#N/A</v>
      </c>
      <c r="D401" s="141" t="e">
        <v>#N/A</v>
      </c>
      <c r="E401" s="223" t="e">
        <v>#N/A</v>
      </c>
      <c r="F401" s="1398" t="e">
        <v>#N/A</v>
      </c>
      <c r="G401" s="1005" t="e">
        <v>#N/A</v>
      </c>
      <c r="H401" s="3558" t="e">
        <v>#N/A</v>
      </c>
      <c r="I401" s="3558" t="e">
        <v>#N/A</v>
      </c>
      <c r="J401" s="1966" t="e">
        <v>#N/A</v>
      </c>
      <c r="K401" s="1968" t="e">
        <v>#N/A</v>
      </c>
      <c r="L401" s="2803" t="e">
        <v>#N/A</v>
      </c>
    </row>
    <row r="402" spans="1:12" s="6" customFormat="1">
      <c r="A402" s="53">
        <f t="shared" si="4"/>
        <v>2026.09</v>
      </c>
      <c r="B402" s="223" t="e">
        <v>#N/A</v>
      </c>
      <c r="C402" s="3538" t="e">
        <v>#N/A</v>
      </c>
      <c r="D402" s="141" t="e">
        <v>#N/A</v>
      </c>
      <c r="E402" s="223" t="e">
        <v>#N/A</v>
      </c>
      <c r="F402" s="1398" t="e">
        <v>#N/A</v>
      </c>
      <c r="G402" s="1005" t="e">
        <v>#N/A</v>
      </c>
      <c r="H402" s="3558" t="e">
        <v>#N/A</v>
      </c>
      <c r="I402" s="3558" t="e">
        <v>#N/A</v>
      </c>
      <c r="J402" s="1966" t="e">
        <v>#N/A</v>
      </c>
      <c r="K402" s="1968" t="e">
        <v>#N/A</v>
      </c>
      <c r="L402" s="2803" t="e">
        <v>#N/A</v>
      </c>
    </row>
    <row r="403" spans="1:12" s="6" customFormat="1">
      <c r="A403" s="53">
        <f t="shared" si="4"/>
        <v>2026.1</v>
      </c>
      <c r="B403" s="223" t="e">
        <v>#N/A</v>
      </c>
      <c r="C403" s="3538" t="e">
        <v>#N/A</v>
      </c>
      <c r="D403" s="141" t="e">
        <v>#N/A</v>
      </c>
      <c r="E403" s="223" t="e">
        <v>#N/A</v>
      </c>
      <c r="F403" s="1398" t="e">
        <v>#N/A</v>
      </c>
      <c r="G403" s="1005" t="e">
        <v>#N/A</v>
      </c>
      <c r="H403" s="3558" t="e">
        <v>#N/A</v>
      </c>
      <c r="I403" s="3558" t="e">
        <v>#N/A</v>
      </c>
      <c r="J403" s="1966" t="e">
        <v>#N/A</v>
      </c>
      <c r="K403" s="1968" t="e">
        <v>#N/A</v>
      </c>
      <c r="L403" s="2803" t="e">
        <v>#N/A</v>
      </c>
    </row>
    <row r="404" spans="1:12" s="6" customFormat="1">
      <c r="A404" s="53">
        <f t="shared" si="4"/>
        <v>2026.11</v>
      </c>
      <c r="B404" s="223" t="e">
        <v>#N/A</v>
      </c>
      <c r="C404" s="3538" t="e">
        <v>#N/A</v>
      </c>
      <c r="D404" s="141" t="e">
        <v>#N/A</v>
      </c>
      <c r="E404" s="223" t="e">
        <v>#N/A</v>
      </c>
      <c r="F404" s="1398" t="e">
        <v>#N/A</v>
      </c>
      <c r="G404" s="1005" t="e">
        <v>#N/A</v>
      </c>
      <c r="H404" s="3558" t="e">
        <v>#N/A</v>
      </c>
      <c r="I404" s="3558" t="e">
        <v>#N/A</v>
      </c>
      <c r="J404" s="1966" t="e">
        <v>#N/A</v>
      </c>
      <c r="K404" s="1968" t="e">
        <v>#N/A</v>
      </c>
      <c r="L404" s="2803" t="e">
        <v>#N/A</v>
      </c>
    </row>
    <row r="405" spans="1:12" s="6" customFormat="1">
      <c r="A405" s="53">
        <f t="shared" si="4"/>
        <v>2026.12</v>
      </c>
      <c r="B405" s="223" t="e">
        <v>#N/A</v>
      </c>
      <c r="C405" s="3538" t="e">
        <v>#N/A</v>
      </c>
      <c r="D405" s="141" t="e">
        <v>#N/A</v>
      </c>
      <c r="E405" s="223" t="e">
        <v>#N/A</v>
      </c>
      <c r="F405" s="1398" t="e">
        <v>#N/A</v>
      </c>
      <c r="G405" s="1005" t="e">
        <v>#N/A</v>
      </c>
      <c r="H405" s="3558" t="e">
        <v>#N/A</v>
      </c>
      <c r="I405" s="3558" t="e">
        <v>#N/A</v>
      </c>
      <c r="J405" s="1966" t="e">
        <v>#N/A</v>
      </c>
      <c r="K405" s="1968" t="e">
        <v>#N/A</v>
      </c>
      <c r="L405" s="2803" t="e">
        <v>#N/A</v>
      </c>
    </row>
    <row r="406" spans="1:12" s="6" customFormat="1">
      <c r="A406" s="53">
        <f t="shared" si="4"/>
        <v>2027.01</v>
      </c>
      <c r="B406" s="223" t="e">
        <v>#N/A</v>
      </c>
      <c r="C406" s="3538" t="e">
        <v>#N/A</v>
      </c>
      <c r="D406" s="141" t="e">
        <v>#N/A</v>
      </c>
      <c r="E406" s="223" t="e">
        <v>#N/A</v>
      </c>
      <c r="F406" s="1398" t="e">
        <v>#N/A</v>
      </c>
      <c r="G406" s="1005" t="e">
        <v>#N/A</v>
      </c>
      <c r="H406" s="3558" t="e">
        <v>#N/A</v>
      </c>
      <c r="I406" s="3558" t="e">
        <v>#N/A</v>
      </c>
      <c r="J406" s="1966" t="e">
        <v>#N/A</v>
      </c>
      <c r="K406" s="1968" t="e">
        <v>#N/A</v>
      </c>
      <c r="L406" s="2803" t="e">
        <v>#N/A</v>
      </c>
    </row>
    <row r="407" spans="1:12" s="6" customFormat="1">
      <c r="A407" s="53">
        <f t="shared" si="4"/>
        <v>2027.02</v>
      </c>
      <c r="B407" s="223" t="e">
        <v>#N/A</v>
      </c>
      <c r="C407" s="3538" t="e">
        <v>#N/A</v>
      </c>
      <c r="D407" s="141" t="e">
        <v>#N/A</v>
      </c>
      <c r="E407" s="223" t="e">
        <v>#N/A</v>
      </c>
      <c r="F407" s="1398" t="e">
        <v>#N/A</v>
      </c>
      <c r="G407" s="1005" t="e">
        <v>#N/A</v>
      </c>
      <c r="H407" s="3558" t="e">
        <v>#N/A</v>
      </c>
      <c r="I407" s="3558" t="e">
        <v>#N/A</v>
      </c>
      <c r="J407" s="1966" t="e">
        <v>#N/A</v>
      </c>
      <c r="K407" s="1968" t="e">
        <v>#N/A</v>
      </c>
      <c r="L407" s="2803" t="e">
        <v>#N/A</v>
      </c>
    </row>
    <row r="408" spans="1:12" s="6" customFormat="1">
      <c r="A408" s="53">
        <f t="shared" si="4"/>
        <v>2027.03</v>
      </c>
      <c r="B408" s="223" t="e">
        <v>#N/A</v>
      </c>
      <c r="C408" s="3538" t="e">
        <v>#N/A</v>
      </c>
      <c r="D408" s="141" t="e">
        <v>#N/A</v>
      </c>
      <c r="E408" s="223" t="e">
        <v>#N/A</v>
      </c>
      <c r="F408" s="1398" t="e">
        <v>#N/A</v>
      </c>
      <c r="G408" s="1005" t="e">
        <v>#N/A</v>
      </c>
      <c r="H408" s="3558" t="e">
        <v>#N/A</v>
      </c>
      <c r="I408" s="3558" t="e">
        <v>#N/A</v>
      </c>
      <c r="J408" s="1966" t="e">
        <v>#N/A</v>
      </c>
      <c r="K408" s="1968" t="e">
        <v>#N/A</v>
      </c>
      <c r="L408" s="2803" t="e">
        <v>#N/A</v>
      </c>
    </row>
    <row r="409" spans="1:12" s="6" customFormat="1">
      <c r="A409" s="53">
        <f t="shared" si="4"/>
        <v>2027.04</v>
      </c>
      <c r="B409" s="223" t="e">
        <v>#N/A</v>
      </c>
      <c r="C409" s="3538" t="e">
        <v>#N/A</v>
      </c>
      <c r="D409" s="141" t="e">
        <v>#N/A</v>
      </c>
      <c r="E409" s="223" t="e">
        <v>#N/A</v>
      </c>
      <c r="F409" s="1398" t="e">
        <v>#N/A</v>
      </c>
      <c r="G409" s="1005" t="e">
        <v>#N/A</v>
      </c>
      <c r="H409" s="3558" t="e">
        <v>#N/A</v>
      </c>
      <c r="I409" s="3558" t="e">
        <v>#N/A</v>
      </c>
      <c r="J409" s="1966" t="e">
        <v>#N/A</v>
      </c>
      <c r="K409" s="1968" t="e">
        <v>#N/A</v>
      </c>
      <c r="L409" s="2803" t="e">
        <v>#N/A</v>
      </c>
    </row>
    <row r="410" spans="1:12" s="6" customFormat="1">
      <c r="A410" s="53">
        <f t="shared" si="4"/>
        <v>2027.05</v>
      </c>
      <c r="B410" s="223" t="e">
        <v>#N/A</v>
      </c>
      <c r="C410" s="3538" t="e">
        <v>#N/A</v>
      </c>
      <c r="D410" s="141" t="e">
        <v>#N/A</v>
      </c>
      <c r="E410" s="223" t="e">
        <v>#N/A</v>
      </c>
      <c r="F410" s="1398" t="e">
        <v>#N/A</v>
      </c>
      <c r="G410" s="1005" t="e">
        <v>#N/A</v>
      </c>
      <c r="H410" s="3558" t="e">
        <v>#N/A</v>
      </c>
      <c r="I410" s="3558" t="e">
        <v>#N/A</v>
      </c>
      <c r="J410" s="1966" t="e">
        <v>#N/A</v>
      </c>
      <c r="K410" s="1968" t="e">
        <v>#N/A</v>
      </c>
      <c r="L410" s="2803" t="e">
        <v>#N/A</v>
      </c>
    </row>
    <row r="411" spans="1:12" s="6" customFormat="1">
      <c r="A411" s="53">
        <f t="shared" si="4"/>
        <v>2027.06</v>
      </c>
      <c r="B411" s="223" t="e">
        <v>#N/A</v>
      </c>
      <c r="C411" s="3538" t="e">
        <v>#N/A</v>
      </c>
      <c r="D411" s="141" t="e">
        <v>#N/A</v>
      </c>
      <c r="E411" s="223" t="e">
        <v>#N/A</v>
      </c>
      <c r="F411" s="1398" t="e">
        <v>#N/A</v>
      </c>
      <c r="G411" s="1005" t="e">
        <v>#N/A</v>
      </c>
      <c r="H411" s="3558" t="e">
        <v>#N/A</v>
      </c>
      <c r="I411" s="3558" t="e">
        <v>#N/A</v>
      </c>
      <c r="J411" s="1966" t="e">
        <v>#N/A</v>
      </c>
      <c r="K411" s="1968" t="e">
        <v>#N/A</v>
      </c>
      <c r="L411" s="2803" t="e">
        <v>#N/A</v>
      </c>
    </row>
    <row r="412" spans="1:12" s="6" customFormat="1">
      <c r="A412" s="53">
        <f t="shared" si="4"/>
        <v>2027.07</v>
      </c>
      <c r="B412" s="223" t="e">
        <v>#N/A</v>
      </c>
      <c r="C412" s="3538" t="e">
        <v>#N/A</v>
      </c>
      <c r="D412" s="141" t="e">
        <v>#N/A</v>
      </c>
      <c r="E412" s="223" t="e">
        <v>#N/A</v>
      </c>
      <c r="F412" s="1398" t="e">
        <v>#N/A</v>
      </c>
      <c r="G412" s="1005" t="e">
        <v>#N/A</v>
      </c>
      <c r="H412" s="3558" t="e">
        <v>#N/A</v>
      </c>
      <c r="I412" s="3558" t="e">
        <v>#N/A</v>
      </c>
      <c r="J412" s="1966" t="e">
        <v>#N/A</v>
      </c>
      <c r="K412" s="1968" t="e">
        <v>#N/A</v>
      </c>
      <c r="L412" s="2803" t="e">
        <v>#N/A</v>
      </c>
    </row>
    <row r="413" spans="1:12" s="6" customFormat="1">
      <c r="A413" s="53">
        <f t="shared" si="4"/>
        <v>2027.08</v>
      </c>
      <c r="B413" s="223" t="e">
        <v>#N/A</v>
      </c>
      <c r="C413" s="3538" t="e">
        <v>#N/A</v>
      </c>
      <c r="D413" s="141" t="e">
        <v>#N/A</v>
      </c>
      <c r="E413" s="223" t="e">
        <v>#N/A</v>
      </c>
      <c r="F413" s="1398" t="e">
        <v>#N/A</v>
      </c>
      <c r="G413" s="1005" t="e">
        <v>#N/A</v>
      </c>
      <c r="H413" s="3558" t="e">
        <v>#N/A</v>
      </c>
      <c r="I413" s="3558" t="e">
        <v>#N/A</v>
      </c>
      <c r="J413" s="1966" t="e">
        <v>#N/A</v>
      </c>
      <c r="K413" s="1968" t="e">
        <v>#N/A</v>
      </c>
      <c r="L413" s="2803" t="e">
        <v>#N/A</v>
      </c>
    </row>
    <row r="414" spans="1:12" s="6" customFormat="1">
      <c r="A414" s="53">
        <f t="shared" si="4"/>
        <v>2027.09</v>
      </c>
      <c r="B414" s="223" t="e">
        <v>#N/A</v>
      </c>
      <c r="C414" s="3538" t="e">
        <v>#N/A</v>
      </c>
      <c r="D414" s="141" t="e">
        <v>#N/A</v>
      </c>
      <c r="E414" s="223" t="e">
        <v>#N/A</v>
      </c>
      <c r="F414" s="1398" t="e">
        <v>#N/A</v>
      </c>
      <c r="G414" s="1005" t="e">
        <v>#N/A</v>
      </c>
      <c r="H414" s="3558" t="e">
        <v>#N/A</v>
      </c>
      <c r="I414" s="3558" t="e">
        <v>#N/A</v>
      </c>
      <c r="J414" s="1966" t="e">
        <v>#N/A</v>
      </c>
      <c r="K414" s="1968" t="e">
        <v>#N/A</v>
      </c>
      <c r="L414" s="2803" t="e">
        <v>#N/A</v>
      </c>
    </row>
    <row r="415" spans="1:12" s="6" customFormat="1">
      <c r="A415" s="53">
        <f t="shared" si="4"/>
        <v>2027.1</v>
      </c>
      <c r="B415" s="223" t="e">
        <v>#N/A</v>
      </c>
      <c r="C415" s="3538" t="e">
        <v>#N/A</v>
      </c>
      <c r="D415" s="141" t="e">
        <v>#N/A</v>
      </c>
      <c r="E415" s="223" t="e">
        <v>#N/A</v>
      </c>
      <c r="F415" s="1398" t="e">
        <v>#N/A</v>
      </c>
      <c r="G415" s="1005" t="e">
        <v>#N/A</v>
      </c>
      <c r="H415" s="3558" t="e">
        <v>#N/A</v>
      </c>
      <c r="I415" s="3558" t="e">
        <v>#N/A</v>
      </c>
      <c r="J415" s="1966" t="e">
        <v>#N/A</v>
      </c>
      <c r="K415" s="1968" t="e">
        <v>#N/A</v>
      </c>
      <c r="L415" s="2803" t="e">
        <v>#N/A</v>
      </c>
    </row>
    <row r="416" spans="1:12" s="6" customFormat="1">
      <c r="A416" s="53">
        <f t="shared" si="4"/>
        <v>2027.11</v>
      </c>
      <c r="B416" s="223" t="e">
        <v>#N/A</v>
      </c>
      <c r="C416" s="3538" t="e">
        <v>#N/A</v>
      </c>
      <c r="D416" s="141" t="e">
        <v>#N/A</v>
      </c>
      <c r="E416" s="223" t="e">
        <v>#N/A</v>
      </c>
      <c r="F416" s="1398" t="e">
        <v>#N/A</v>
      </c>
      <c r="G416" s="1005" t="e">
        <v>#N/A</v>
      </c>
      <c r="H416" s="3558" t="e">
        <v>#N/A</v>
      </c>
      <c r="I416" s="3558" t="e">
        <v>#N/A</v>
      </c>
      <c r="J416" s="1966" t="e">
        <v>#N/A</v>
      </c>
      <c r="K416" s="1968" t="e">
        <v>#N/A</v>
      </c>
      <c r="L416" s="2803" t="e">
        <v>#N/A</v>
      </c>
    </row>
    <row r="417" spans="1:12" s="6" customFormat="1">
      <c r="A417" s="53">
        <f t="shared" si="4"/>
        <v>2027.12</v>
      </c>
      <c r="B417" s="223" t="e">
        <v>#N/A</v>
      </c>
      <c r="C417" s="3538" t="e">
        <v>#N/A</v>
      </c>
      <c r="D417" s="141" t="e">
        <v>#N/A</v>
      </c>
      <c r="E417" s="223" t="e">
        <v>#N/A</v>
      </c>
      <c r="F417" s="1398" t="e">
        <v>#N/A</v>
      </c>
      <c r="G417" s="1005" t="e">
        <v>#N/A</v>
      </c>
      <c r="H417" s="3558" t="e">
        <v>#N/A</v>
      </c>
      <c r="I417" s="3558" t="e">
        <v>#N/A</v>
      </c>
      <c r="J417" s="1966" t="e">
        <v>#N/A</v>
      </c>
      <c r="K417" s="1968" t="e">
        <v>#N/A</v>
      </c>
      <c r="L417" s="2803" t="e">
        <v>#N/A</v>
      </c>
    </row>
    <row r="418" spans="1:12" s="6" customFormat="1">
      <c r="A418" s="53">
        <f t="shared" si="4"/>
        <v>2028.01</v>
      </c>
      <c r="B418" s="223" t="e">
        <v>#N/A</v>
      </c>
      <c r="C418" s="3538" t="e">
        <v>#N/A</v>
      </c>
      <c r="D418" s="141" t="e">
        <v>#N/A</v>
      </c>
      <c r="E418" s="223" t="e">
        <v>#N/A</v>
      </c>
      <c r="F418" s="1398" t="e">
        <v>#N/A</v>
      </c>
      <c r="G418" s="1005" t="e">
        <v>#N/A</v>
      </c>
      <c r="H418" s="3558" t="e">
        <v>#N/A</v>
      </c>
      <c r="I418" s="3558" t="e">
        <v>#N/A</v>
      </c>
      <c r="J418" s="1966" t="e">
        <v>#N/A</v>
      </c>
      <c r="K418" s="1968" t="e">
        <v>#N/A</v>
      </c>
      <c r="L418" s="2803" t="e">
        <v>#N/A</v>
      </c>
    </row>
    <row r="419" spans="1:12" s="6" customFormat="1">
      <c r="A419" s="53">
        <f t="shared" si="4"/>
        <v>2028.02</v>
      </c>
      <c r="B419" s="223" t="e">
        <v>#N/A</v>
      </c>
      <c r="C419" s="3538" t="e">
        <v>#N/A</v>
      </c>
      <c r="D419" s="141" t="e">
        <v>#N/A</v>
      </c>
      <c r="E419" s="223" t="e">
        <v>#N/A</v>
      </c>
      <c r="F419" s="1398" t="e">
        <v>#N/A</v>
      </c>
      <c r="G419" s="1005" t="e">
        <v>#N/A</v>
      </c>
      <c r="H419" s="3558" t="e">
        <v>#N/A</v>
      </c>
      <c r="I419" s="3558" t="e">
        <v>#N/A</v>
      </c>
      <c r="J419" s="1966" t="e">
        <v>#N/A</v>
      </c>
      <c r="K419" s="1968" t="e">
        <v>#N/A</v>
      </c>
      <c r="L419" s="2803" t="e">
        <v>#N/A</v>
      </c>
    </row>
    <row r="420" spans="1:12" s="6" customFormat="1">
      <c r="A420" s="53">
        <f t="shared" si="4"/>
        <v>2028.03</v>
      </c>
      <c r="B420" s="223" t="e">
        <v>#N/A</v>
      </c>
      <c r="C420" s="3538" t="e">
        <v>#N/A</v>
      </c>
      <c r="D420" s="141" t="e">
        <v>#N/A</v>
      </c>
      <c r="E420" s="223" t="e">
        <v>#N/A</v>
      </c>
      <c r="F420" s="1398" t="e">
        <v>#N/A</v>
      </c>
      <c r="G420" s="1005" t="e">
        <v>#N/A</v>
      </c>
      <c r="H420" s="3558" t="e">
        <v>#N/A</v>
      </c>
      <c r="I420" s="3558" t="e">
        <v>#N/A</v>
      </c>
      <c r="J420" s="1966" t="e">
        <v>#N/A</v>
      </c>
      <c r="K420" s="1968" t="e">
        <v>#N/A</v>
      </c>
      <c r="L420" s="2803" t="e">
        <v>#N/A</v>
      </c>
    </row>
    <row r="421" spans="1:12" s="6" customFormat="1">
      <c r="A421" s="53">
        <f t="shared" si="4"/>
        <v>2028.04</v>
      </c>
      <c r="B421" s="223" t="e">
        <v>#N/A</v>
      </c>
      <c r="C421" s="3538" t="e">
        <v>#N/A</v>
      </c>
      <c r="D421" s="141" t="e">
        <v>#N/A</v>
      </c>
      <c r="E421" s="223" t="e">
        <v>#N/A</v>
      </c>
      <c r="F421" s="1398" t="e">
        <v>#N/A</v>
      </c>
      <c r="G421" s="1005" t="e">
        <v>#N/A</v>
      </c>
      <c r="H421" s="3558" t="e">
        <v>#N/A</v>
      </c>
      <c r="I421" s="3558" t="e">
        <v>#N/A</v>
      </c>
      <c r="J421" s="1966" t="e">
        <v>#N/A</v>
      </c>
      <c r="K421" s="1968" t="e">
        <v>#N/A</v>
      </c>
      <c r="L421" s="2803" t="e">
        <v>#N/A</v>
      </c>
    </row>
    <row r="422" spans="1:12" s="6" customFormat="1">
      <c r="A422" s="53">
        <f t="shared" si="4"/>
        <v>2028.05</v>
      </c>
      <c r="B422" s="223" t="e">
        <v>#N/A</v>
      </c>
      <c r="C422" s="3538" t="e">
        <v>#N/A</v>
      </c>
      <c r="D422" s="141" t="e">
        <v>#N/A</v>
      </c>
      <c r="E422" s="223" t="e">
        <v>#N/A</v>
      </c>
      <c r="F422" s="1398" t="e">
        <v>#N/A</v>
      </c>
      <c r="G422" s="1005" t="e">
        <v>#N/A</v>
      </c>
      <c r="H422" s="3558" t="e">
        <v>#N/A</v>
      </c>
      <c r="I422" s="3558" t="e">
        <v>#N/A</v>
      </c>
      <c r="J422" s="1966" t="e">
        <v>#N/A</v>
      </c>
      <c r="K422" s="1968" t="e">
        <v>#N/A</v>
      </c>
      <c r="L422" s="2803" t="e">
        <v>#N/A</v>
      </c>
    </row>
    <row r="423" spans="1:12" s="6" customFormat="1">
      <c r="A423" s="53">
        <f t="shared" si="4"/>
        <v>2028.06</v>
      </c>
      <c r="B423" s="223" t="e">
        <v>#N/A</v>
      </c>
      <c r="C423" s="3538" t="e">
        <v>#N/A</v>
      </c>
      <c r="D423" s="141" t="e">
        <v>#N/A</v>
      </c>
      <c r="E423" s="223" t="e">
        <v>#N/A</v>
      </c>
      <c r="F423" s="1398" t="e">
        <v>#N/A</v>
      </c>
      <c r="G423" s="1005" t="e">
        <v>#N/A</v>
      </c>
      <c r="H423" s="3558" t="e">
        <v>#N/A</v>
      </c>
      <c r="I423" s="3558" t="e">
        <v>#N/A</v>
      </c>
      <c r="J423" s="1966" t="e">
        <v>#N/A</v>
      </c>
      <c r="K423" s="1968" t="e">
        <v>#N/A</v>
      </c>
      <c r="L423" s="2803" t="e">
        <v>#N/A</v>
      </c>
    </row>
    <row r="424" spans="1:12" s="6" customFormat="1">
      <c r="A424" s="53">
        <f t="shared" si="4"/>
        <v>2028.07</v>
      </c>
      <c r="B424" s="223" t="e">
        <v>#N/A</v>
      </c>
      <c r="C424" s="3538" t="e">
        <v>#N/A</v>
      </c>
      <c r="D424" s="141" t="e">
        <v>#N/A</v>
      </c>
      <c r="E424" s="223" t="e">
        <v>#N/A</v>
      </c>
      <c r="F424" s="1398" t="e">
        <v>#N/A</v>
      </c>
      <c r="G424" s="1005" t="e">
        <v>#N/A</v>
      </c>
      <c r="H424" s="3558" t="e">
        <v>#N/A</v>
      </c>
      <c r="I424" s="3558" t="e">
        <v>#N/A</v>
      </c>
      <c r="J424" s="1966" t="e">
        <v>#N/A</v>
      </c>
      <c r="K424" s="1968" t="e">
        <v>#N/A</v>
      </c>
      <c r="L424" s="2803" t="e">
        <v>#N/A</v>
      </c>
    </row>
    <row r="425" spans="1:12" s="6" customFormat="1">
      <c r="A425" s="53">
        <f t="shared" si="4"/>
        <v>2028.08</v>
      </c>
      <c r="B425" s="223" t="e">
        <v>#N/A</v>
      </c>
      <c r="C425" s="3538" t="e">
        <v>#N/A</v>
      </c>
      <c r="D425" s="141" t="e">
        <v>#N/A</v>
      </c>
      <c r="E425" s="223" t="e">
        <v>#N/A</v>
      </c>
      <c r="F425" s="1398" t="e">
        <v>#N/A</v>
      </c>
      <c r="G425" s="1005" t="e">
        <v>#N/A</v>
      </c>
      <c r="H425" s="3558" t="e">
        <v>#N/A</v>
      </c>
      <c r="I425" s="3558" t="e">
        <v>#N/A</v>
      </c>
      <c r="J425" s="1966" t="e">
        <v>#N/A</v>
      </c>
      <c r="K425" s="1968" t="e">
        <v>#N/A</v>
      </c>
      <c r="L425" s="2803" t="e">
        <v>#N/A</v>
      </c>
    </row>
    <row r="426" spans="1:12" s="6" customFormat="1">
      <c r="A426" s="53">
        <f t="shared" si="4"/>
        <v>2028.09</v>
      </c>
      <c r="B426" s="223" t="e">
        <v>#N/A</v>
      </c>
      <c r="C426" s="3538" t="e">
        <v>#N/A</v>
      </c>
      <c r="D426" s="141" t="e">
        <v>#N/A</v>
      </c>
      <c r="E426" s="223" t="e">
        <v>#N/A</v>
      </c>
      <c r="F426" s="1398" t="e">
        <v>#N/A</v>
      </c>
      <c r="G426" s="1005" t="e">
        <v>#N/A</v>
      </c>
      <c r="H426" s="3558" t="e">
        <v>#N/A</v>
      </c>
      <c r="I426" s="3558" t="e">
        <v>#N/A</v>
      </c>
      <c r="J426" s="1966" t="e">
        <v>#N/A</v>
      </c>
      <c r="K426" s="1968" t="e">
        <v>#N/A</v>
      </c>
      <c r="L426" s="2803" t="e">
        <v>#N/A</v>
      </c>
    </row>
    <row r="427" spans="1:12" s="6" customFormat="1">
      <c r="A427" s="53">
        <f t="shared" si="4"/>
        <v>2028.1</v>
      </c>
      <c r="B427" s="223" t="e">
        <v>#N/A</v>
      </c>
      <c r="C427" s="3538" t="e">
        <v>#N/A</v>
      </c>
      <c r="D427" s="141" t="e">
        <v>#N/A</v>
      </c>
      <c r="E427" s="223" t="e">
        <v>#N/A</v>
      </c>
      <c r="F427" s="1398" t="e">
        <v>#N/A</v>
      </c>
      <c r="G427" s="1005" t="e">
        <v>#N/A</v>
      </c>
      <c r="H427" s="3558" t="e">
        <v>#N/A</v>
      </c>
      <c r="I427" s="3558" t="e">
        <v>#N/A</v>
      </c>
      <c r="J427" s="1966" t="e">
        <v>#N/A</v>
      </c>
      <c r="K427" s="1968" t="e">
        <v>#N/A</v>
      </c>
      <c r="L427" s="2803" t="e">
        <v>#N/A</v>
      </c>
    </row>
    <row r="428" spans="1:12" s="6" customFormat="1">
      <c r="A428" s="53">
        <f t="shared" si="4"/>
        <v>2028.11</v>
      </c>
      <c r="B428" s="223" t="e">
        <v>#N/A</v>
      </c>
      <c r="C428" s="3538" t="e">
        <v>#N/A</v>
      </c>
      <c r="D428" s="141" t="e">
        <v>#N/A</v>
      </c>
      <c r="E428" s="223" t="e">
        <v>#N/A</v>
      </c>
      <c r="F428" s="1398" t="e">
        <v>#N/A</v>
      </c>
      <c r="G428" s="1005" t="e">
        <v>#N/A</v>
      </c>
      <c r="H428" s="3558" t="e">
        <v>#N/A</v>
      </c>
      <c r="I428" s="3558" t="e">
        <v>#N/A</v>
      </c>
      <c r="J428" s="1966" t="e">
        <v>#N/A</v>
      </c>
      <c r="K428" s="1968" t="e">
        <v>#N/A</v>
      </c>
      <c r="L428" s="2803" t="e">
        <v>#N/A</v>
      </c>
    </row>
    <row r="429" spans="1:12" s="6" customFormat="1">
      <c r="A429" s="53">
        <f t="shared" si="4"/>
        <v>2028.12</v>
      </c>
      <c r="B429" s="223" t="e">
        <v>#N/A</v>
      </c>
      <c r="C429" s="3538" t="e">
        <v>#N/A</v>
      </c>
      <c r="D429" s="141" t="e">
        <v>#N/A</v>
      </c>
      <c r="E429" s="223" t="e">
        <v>#N/A</v>
      </c>
      <c r="F429" s="1398" t="e">
        <v>#N/A</v>
      </c>
      <c r="G429" s="1005" t="e">
        <v>#N/A</v>
      </c>
      <c r="H429" s="3558" t="e">
        <v>#N/A</v>
      </c>
      <c r="I429" s="3558" t="e">
        <v>#N/A</v>
      </c>
      <c r="J429" s="1966" t="e">
        <v>#N/A</v>
      </c>
      <c r="K429" s="1968" t="e">
        <v>#N/A</v>
      </c>
      <c r="L429" s="2803" t="e">
        <v>#N/A</v>
      </c>
    </row>
    <row r="430" spans="1:12" s="6" customFormat="1">
      <c r="A430" s="53">
        <f t="shared" si="4"/>
        <v>2029.01</v>
      </c>
      <c r="B430" s="223" t="e">
        <v>#N/A</v>
      </c>
      <c r="C430" s="3538" t="e">
        <v>#N/A</v>
      </c>
      <c r="D430" s="141" t="e">
        <v>#N/A</v>
      </c>
      <c r="E430" s="223" t="e">
        <v>#N/A</v>
      </c>
      <c r="F430" s="1398" t="e">
        <v>#N/A</v>
      </c>
      <c r="G430" s="1005" t="e">
        <v>#N/A</v>
      </c>
      <c r="H430" s="3558" t="e">
        <v>#N/A</v>
      </c>
      <c r="I430" s="3558" t="e">
        <v>#N/A</v>
      </c>
      <c r="J430" s="1966" t="e">
        <v>#N/A</v>
      </c>
      <c r="K430" s="1968" t="e">
        <v>#N/A</v>
      </c>
      <c r="L430" s="2803" t="e">
        <v>#N/A</v>
      </c>
    </row>
    <row r="431" spans="1:12" s="6" customFormat="1">
      <c r="A431" s="53">
        <f t="shared" si="4"/>
        <v>2029.02</v>
      </c>
      <c r="B431" s="223" t="e">
        <v>#N/A</v>
      </c>
      <c r="C431" s="3538" t="e">
        <v>#N/A</v>
      </c>
      <c r="D431" s="141" t="e">
        <v>#N/A</v>
      </c>
      <c r="E431" s="223" t="e">
        <v>#N/A</v>
      </c>
      <c r="F431" s="1398" t="e">
        <v>#N/A</v>
      </c>
      <c r="G431" s="1005" t="e">
        <v>#N/A</v>
      </c>
      <c r="H431" s="3558" t="e">
        <v>#N/A</v>
      </c>
      <c r="I431" s="3558" t="e">
        <v>#N/A</v>
      </c>
      <c r="J431" s="1966" t="e">
        <v>#N/A</v>
      </c>
      <c r="K431" s="1968" t="e">
        <v>#N/A</v>
      </c>
      <c r="L431" s="2803" t="e">
        <v>#N/A</v>
      </c>
    </row>
    <row r="432" spans="1:12" s="6" customFormat="1">
      <c r="A432" s="53">
        <f t="shared" si="4"/>
        <v>2029.03</v>
      </c>
      <c r="B432" s="223" t="e">
        <v>#N/A</v>
      </c>
      <c r="C432" s="3538" t="e">
        <v>#N/A</v>
      </c>
      <c r="D432" s="141" t="e">
        <v>#N/A</v>
      </c>
      <c r="E432" s="223" t="e">
        <v>#N/A</v>
      </c>
      <c r="F432" s="1398" t="e">
        <v>#N/A</v>
      </c>
      <c r="G432" s="1005" t="e">
        <v>#N/A</v>
      </c>
      <c r="H432" s="3558" t="e">
        <v>#N/A</v>
      </c>
      <c r="I432" s="3558" t="e">
        <v>#N/A</v>
      </c>
      <c r="J432" s="1966" t="e">
        <v>#N/A</v>
      </c>
      <c r="K432" s="1968" t="e">
        <v>#N/A</v>
      </c>
      <c r="L432" s="2803" t="e">
        <v>#N/A</v>
      </c>
    </row>
    <row r="433" spans="1:12" s="6" customFormat="1">
      <c r="A433" s="53">
        <f t="shared" si="4"/>
        <v>2029.04</v>
      </c>
      <c r="B433" s="223" t="e">
        <v>#N/A</v>
      </c>
      <c r="C433" s="3538" t="e">
        <v>#N/A</v>
      </c>
      <c r="D433" s="141" t="e">
        <v>#N/A</v>
      </c>
      <c r="E433" s="223" t="e">
        <v>#N/A</v>
      </c>
      <c r="F433" s="1398" t="e">
        <v>#N/A</v>
      </c>
      <c r="G433" s="1005" t="e">
        <v>#N/A</v>
      </c>
      <c r="H433" s="3558" t="e">
        <v>#N/A</v>
      </c>
      <c r="I433" s="3558" t="e">
        <v>#N/A</v>
      </c>
      <c r="J433" s="1966" t="e">
        <v>#N/A</v>
      </c>
      <c r="K433" s="1968" t="e">
        <v>#N/A</v>
      </c>
      <c r="L433" s="2803" t="e">
        <v>#N/A</v>
      </c>
    </row>
    <row r="434" spans="1:12" s="6" customFormat="1">
      <c r="A434" s="53">
        <f t="shared" ref="A434:A453" si="5">A422+1</f>
        <v>2029.05</v>
      </c>
      <c r="B434" s="223" t="e">
        <v>#N/A</v>
      </c>
      <c r="C434" s="3538" t="e">
        <v>#N/A</v>
      </c>
      <c r="D434" s="141" t="e">
        <v>#N/A</v>
      </c>
      <c r="E434" s="223" t="e">
        <v>#N/A</v>
      </c>
      <c r="F434" s="1398" t="e">
        <v>#N/A</v>
      </c>
      <c r="G434" s="1005" t="e">
        <v>#N/A</v>
      </c>
      <c r="H434" s="3558" t="e">
        <v>#N/A</v>
      </c>
      <c r="I434" s="3558" t="e">
        <v>#N/A</v>
      </c>
      <c r="J434" s="1966" t="e">
        <v>#N/A</v>
      </c>
      <c r="K434" s="1968" t="e">
        <v>#N/A</v>
      </c>
      <c r="L434" s="2803" t="e">
        <v>#N/A</v>
      </c>
    </row>
    <row r="435" spans="1:12" s="6" customFormat="1">
      <c r="A435" s="53">
        <f t="shared" si="5"/>
        <v>2029.06</v>
      </c>
      <c r="B435" s="223" t="e">
        <v>#N/A</v>
      </c>
      <c r="C435" s="3538" t="e">
        <v>#N/A</v>
      </c>
      <c r="D435" s="141" t="e">
        <v>#N/A</v>
      </c>
      <c r="E435" s="223" t="e">
        <v>#N/A</v>
      </c>
      <c r="F435" s="1398" t="e">
        <v>#N/A</v>
      </c>
      <c r="G435" s="1005" t="e">
        <v>#N/A</v>
      </c>
      <c r="H435" s="3558" t="e">
        <v>#N/A</v>
      </c>
      <c r="I435" s="3558" t="e">
        <v>#N/A</v>
      </c>
      <c r="J435" s="1966" t="e">
        <v>#N/A</v>
      </c>
      <c r="K435" s="1968" t="e">
        <v>#N/A</v>
      </c>
      <c r="L435" s="2803" t="e">
        <v>#N/A</v>
      </c>
    </row>
    <row r="436" spans="1:12" s="6" customFormat="1">
      <c r="A436" s="53">
        <f t="shared" si="5"/>
        <v>2029.07</v>
      </c>
      <c r="B436" s="223" t="e">
        <v>#N/A</v>
      </c>
      <c r="C436" s="3538" t="e">
        <v>#N/A</v>
      </c>
      <c r="D436" s="141" t="e">
        <v>#N/A</v>
      </c>
      <c r="E436" s="223" t="e">
        <v>#N/A</v>
      </c>
      <c r="F436" s="1398" t="e">
        <v>#N/A</v>
      </c>
      <c r="G436" s="1005" t="e">
        <v>#N/A</v>
      </c>
      <c r="H436" s="3558" t="e">
        <v>#N/A</v>
      </c>
      <c r="I436" s="3558" t="e">
        <v>#N/A</v>
      </c>
      <c r="J436" s="1966" t="e">
        <v>#N/A</v>
      </c>
      <c r="K436" s="1968" t="e">
        <v>#N/A</v>
      </c>
      <c r="L436" s="2803" t="e">
        <v>#N/A</v>
      </c>
    </row>
    <row r="437" spans="1:12" s="6" customFormat="1">
      <c r="A437" s="53">
        <f t="shared" si="5"/>
        <v>2029.08</v>
      </c>
      <c r="B437" s="223" t="e">
        <v>#N/A</v>
      </c>
      <c r="C437" s="3538" t="e">
        <v>#N/A</v>
      </c>
      <c r="D437" s="141" t="e">
        <v>#N/A</v>
      </c>
      <c r="E437" s="223" t="e">
        <v>#N/A</v>
      </c>
      <c r="F437" s="1398" t="e">
        <v>#N/A</v>
      </c>
      <c r="G437" s="1005" t="e">
        <v>#N/A</v>
      </c>
      <c r="H437" s="3558" t="e">
        <v>#N/A</v>
      </c>
      <c r="I437" s="3558" t="e">
        <v>#N/A</v>
      </c>
      <c r="J437" s="1966" t="e">
        <v>#N/A</v>
      </c>
      <c r="K437" s="1968" t="e">
        <v>#N/A</v>
      </c>
      <c r="L437" s="2803" t="e">
        <v>#N/A</v>
      </c>
    </row>
    <row r="438" spans="1:12" s="6" customFormat="1">
      <c r="A438" s="53">
        <f t="shared" si="5"/>
        <v>2029.09</v>
      </c>
      <c r="B438" s="223" t="e">
        <v>#N/A</v>
      </c>
      <c r="C438" s="3538" t="e">
        <v>#N/A</v>
      </c>
      <c r="D438" s="141" t="e">
        <v>#N/A</v>
      </c>
      <c r="E438" s="223" t="e">
        <v>#N/A</v>
      </c>
      <c r="F438" s="1398" t="e">
        <v>#N/A</v>
      </c>
      <c r="G438" s="1005" t="e">
        <v>#N/A</v>
      </c>
      <c r="H438" s="3558" t="e">
        <v>#N/A</v>
      </c>
      <c r="I438" s="3558" t="e">
        <v>#N/A</v>
      </c>
      <c r="J438" s="1966" t="e">
        <v>#N/A</v>
      </c>
      <c r="K438" s="1968" t="e">
        <v>#N/A</v>
      </c>
      <c r="L438" s="2803" t="e">
        <v>#N/A</v>
      </c>
    </row>
    <row r="439" spans="1:12" s="6" customFormat="1">
      <c r="A439" s="53">
        <f t="shared" si="5"/>
        <v>2029.1</v>
      </c>
      <c r="B439" s="223" t="e">
        <v>#N/A</v>
      </c>
      <c r="C439" s="3538" t="e">
        <v>#N/A</v>
      </c>
      <c r="D439" s="141" t="e">
        <v>#N/A</v>
      </c>
      <c r="E439" s="223" t="e">
        <v>#N/A</v>
      </c>
      <c r="F439" s="1398" t="e">
        <v>#N/A</v>
      </c>
      <c r="G439" s="1005" t="e">
        <v>#N/A</v>
      </c>
      <c r="H439" s="3558" t="e">
        <v>#N/A</v>
      </c>
      <c r="I439" s="3558" t="e">
        <v>#N/A</v>
      </c>
      <c r="J439" s="1966" t="e">
        <v>#N/A</v>
      </c>
      <c r="K439" s="1968" t="e">
        <v>#N/A</v>
      </c>
      <c r="L439" s="2803" t="e">
        <v>#N/A</v>
      </c>
    </row>
    <row r="440" spans="1:12" s="6" customFormat="1">
      <c r="A440" s="53">
        <f t="shared" si="5"/>
        <v>2029.11</v>
      </c>
      <c r="B440" s="223" t="e">
        <v>#N/A</v>
      </c>
      <c r="C440" s="3538" t="e">
        <v>#N/A</v>
      </c>
      <c r="D440" s="141" t="e">
        <v>#N/A</v>
      </c>
      <c r="E440" s="223" t="e">
        <v>#N/A</v>
      </c>
      <c r="F440" s="1398" t="e">
        <v>#N/A</v>
      </c>
      <c r="G440" s="1005" t="e">
        <v>#N/A</v>
      </c>
      <c r="H440" s="3558" t="e">
        <v>#N/A</v>
      </c>
      <c r="I440" s="3558" t="e">
        <v>#N/A</v>
      </c>
      <c r="J440" s="1966" t="e">
        <v>#N/A</v>
      </c>
      <c r="K440" s="1968" t="e">
        <v>#N/A</v>
      </c>
      <c r="L440" s="2803" t="e">
        <v>#N/A</v>
      </c>
    </row>
    <row r="441" spans="1:12" s="6" customFormat="1">
      <c r="A441" s="53">
        <f t="shared" si="5"/>
        <v>2029.12</v>
      </c>
      <c r="B441" s="223" t="e">
        <v>#N/A</v>
      </c>
      <c r="C441" s="3538" t="e">
        <v>#N/A</v>
      </c>
      <c r="D441" s="141" t="e">
        <v>#N/A</v>
      </c>
      <c r="E441" s="223" t="e">
        <v>#N/A</v>
      </c>
      <c r="F441" s="1398" t="e">
        <v>#N/A</v>
      </c>
      <c r="G441" s="1005" t="e">
        <v>#N/A</v>
      </c>
      <c r="H441" s="3558" t="e">
        <v>#N/A</v>
      </c>
      <c r="I441" s="3558" t="e">
        <v>#N/A</v>
      </c>
      <c r="J441" s="1966" t="e">
        <v>#N/A</v>
      </c>
      <c r="K441" s="1968" t="e">
        <v>#N/A</v>
      </c>
      <c r="L441" s="2803" t="e">
        <v>#N/A</v>
      </c>
    </row>
    <row r="442" spans="1:12" s="6" customFormat="1">
      <c r="A442" s="53">
        <f t="shared" si="5"/>
        <v>2030.01</v>
      </c>
      <c r="B442" s="223" t="e">
        <v>#N/A</v>
      </c>
      <c r="C442" s="3538" t="e">
        <v>#N/A</v>
      </c>
      <c r="D442" s="141" t="e">
        <v>#N/A</v>
      </c>
      <c r="E442" s="223" t="e">
        <v>#N/A</v>
      </c>
      <c r="F442" s="1398" t="e">
        <v>#N/A</v>
      </c>
      <c r="G442" s="1005" t="e">
        <v>#N/A</v>
      </c>
      <c r="H442" s="3558" t="e">
        <v>#N/A</v>
      </c>
      <c r="I442" s="3558" t="e">
        <v>#N/A</v>
      </c>
      <c r="J442" s="1966" t="e">
        <v>#N/A</v>
      </c>
      <c r="K442" s="1968" t="e">
        <v>#N/A</v>
      </c>
      <c r="L442" s="2803" t="e">
        <v>#N/A</v>
      </c>
    </row>
    <row r="443" spans="1:12" s="6" customFormat="1">
      <c r="A443" s="53">
        <f t="shared" si="5"/>
        <v>2030.02</v>
      </c>
      <c r="B443" s="223" t="e">
        <v>#N/A</v>
      </c>
      <c r="C443" s="3538" t="e">
        <v>#N/A</v>
      </c>
      <c r="D443" s="141" t="e">
        <v>#N/A</v>
      </c>
      <c r="E443" s="223" t="e">
        <v>#N/A</v>
      </c>
      <c r="F443" s="1398" t="e">
        <v>#N/A</v>
      </c>
      <c r="G443" s="1005" t="e">
        <v>#N/A</v>
      </c>
      <c r="H443" s="3558" t="e">
        <v>#N/A</v>
      </c>
      <c r="I443" s="3558" t="e">
        <v>#N/A</v>
      </c>
      <c r="J443" s="1966" t="e">
        <v>#N/A</v>
      </c>
      <c r="K443" s="1968" t="e">
        <v>#N/A</v>
      </c>
      <c r="L443" s="2803" t="e">
        <v>#N/A</v>
      </c>
    </row>
    <row r="444" spans="1:12" s="6" customFormat="1">
      <c r="A444" s="53">
        <f t="shared" si="5"/>
        <v>2030.03</v>
      </c>
      <c r="B444" s="223" t="e">
        <v>#N/A</v>
      </c>
      <c r="C444" s="3538" t="e">
        <v>#N/A</v>
      </c>
      <c r="D444" s="141" t="e">
        <v>#N/A</v>
      </c>
      <c r="E444" s="223" t="e">
        <v>#N/A</v>
      </c>
      <c r="F444" s="1398" t="e">
        <v>#N/A</v>
      </c>
      <c r="G444" s="1005" t="e">
        <v>#N/A</v>
      </c>
      <c r="H444" s="3558" t="e">
        <v>#N/A</v>
      </c>
      <c r="I444" s="3558" t="e">
        <v>#N/A</v>
      </c>
      <c r="J444" s="1966" t="e">
        <v>#N/A</v>
      </c>
      <c r="K444" s="1968" t="e">
        <v>#N/A</v>
      </c>
      <c r="L444" s="2803" t="e">
        <v>#N/A</v>
      </c>
    </row>
    <row r="445" spans="1:12" s="6" customFormat="1">
      <c r="A445" s="53">
        <f t="shared" si="5"/>
        <v>2030.04</v>
      </c>
      <c r="B445" s="223" t="e">
        <v>#N/A</v>
      </c>
      <c r="C445" s="3538" t="e">
        <v>#N/A</v>
      </c>
      <c r="D445" s="141" t="e">
        <v>#N/A</v>
      </c>
      <c r="E445" s="223" t="e">
        <v>#N/A</v>
      </c>
      <c r="F445" s="1398" t="e">
        <v>#N/A</v>
      </c>
      <c r="G445" s="1005" t="e">
        <v>#N/A</v>
      </c>
      <c r="H445" s="3558" t="e">
        <v>#N/A</v>
      </c>
      <c r="I445" s="3558" t="e">
        <v>#N/A</v>
      </c>
      <c r="J445" s="1966" t="e">
        <v>#N/A</v>
      </c>
      <c r="K445" s="1968" t="e">
        <v>#N/A</v>
      </c>
      <c r="L445" s="2803" t="e">
        <v>#N/A</v>
      </c>
    </row>
    <row r="446" spans="1:12" s="6" customFormat="1">
      <c r="A446" s="53">
        <f t="shared" si="5"/>
        <v>2030.05</v>
      </c>
      <c r="B446" s="223" t="e">
        <v>#N/A</v>
      </c>
      <c r="C446" s="3538" t="e">
        <v>#N/A</v>
      </c>
      <c r="D446" s="141" t="e">
        <v>#N/A</v>
      </c>
      <c r="E446" s="223" t="e">
        <v>#N/A</v>
      </c>
      <c r="F446" s="1398" t="e">
        <v>#N/A</v>
      </c>
      <c r="G446" s="1005" t="e">
        <v>#N/A</v>
      </c>
      <c r="H446" s="3558" t="e">
        <v>#N/A</v>
      </c>
      <c r="I446" s="3558" t="e">
        <v>#N/A</v>
      </c>
      <c r="J446" s="1966" t="e">
        <v>#N/A</v>
      </c>
      <c r="K446" s="1968" t="e">
        <v>#N/A</v>
      </c>
      <c r="L446" s="2803" t="e">
        <v>#N/A</v>
      </c>
    </row>
    <row r="447" spans="1:12" s="6" customFormat="1">
      <c r="A447" s="53">
        <f t="shared" si="5"/>
        <v>2030.06</v>
      </c>
      <c r="B447" s="223" t="e">
        <v>#N/A</v>
      </c>
      <c r="C447" s="3538" t="e">
        <v>#N/A</v>
      </c>
      <c r="D447" s="141" t="e">
        <v>#N/A</v>
      </c>
      <c r="E447" s="223" t="e">
        <v>#N/A</v>
      </c>
      <c r="F447" s="1398" t="e">
        <v>#N/A</v>
      </c>
      <c r="G447" s="1005" t="e">
        <v>#N/A</v>
      </c>
      <c r="H447" s="3558" t="e">
        <v>#N/A</v>
      </c>
      <c r="I447" s="3558" t="e">
        <v>#N/A</v>
      </c>
      <c r="J447" s="1966" t="e">
        <v>#N/A</v>
      </c>
      <c r="K447" s="1968" t="e">
        <v>#N/A</v>
      </c>
      <c r="L447" s="2803" t="e">
        <v>#N/A</v>
      </c>
    </row>
    <row r="448" spans="1:12" s="6" customFormat="1">
      <c r="A448" s="53">
        <f t="shared" si="5"/>
        <v>2030.07</v>
      </c>
      <c r="B448" s="223" t="e">
        <v>#N/A</v>
      </c>
      <c r="C448" s="3538" t="e">
        <v>#N/A</v>
      </c>
      <c r="D448" s="141" t="e">
        <v>#N/A</v>
      </c>
      <c r="E448" s="223" t="e">
        <v>#N/A</v>
      </c>
      <c r="F448" s="1398" t="e">
        <v>#N/A</v>
      </c>
      <c r="G448" s="1005" t="e">
        <v>#N/A</v>
      </c>
      <c r="H448" s="3558" t="e">
        <v>#N/A</v>
      </c>
      <c r="I448" s="3558" t="e">
        <v>#N/A</v>
      </c>
      <c r="J448" s="1966" t="e">
        <v>#N/A</v>
      </c>
      <c r="K448" s="1968" t="e">
        <v>#N/A</v>
      </c>
      <c r="L448" s="2803" t="e">
        <v>#N/A</v>
      </c>
    </row>
    <row r="449" spans="1:12" s="6" customFormat="1">
      <c r="A449" s="53">
        <f t="shared" si="5"/>
        <v>2030.08</v>
      </c>
      <c r="B449" s="223" t="e">
        <v>#N/A</v>
      </c>
      <c r="C449" s="3538" t="e">
        <v>#N/A</v>
      </c>
      <c r="D449" s="141" t="e">
        <v>#N/A</v>
      </c>
      <c r="E449" s="223" t="e">
        <v>#N/A</v>
      </c>
      <c r="F449" s="1398" t="e">
        <v>#N/A</v>
      </c>
      <c r="G449" s="1005" t="e">
        <v>#N/A</v>
      </c>
      <c r="H449" s="3558" t="e">
        <v>#N/A</v>
      </c>
      <c r="I449" s="3558" t="e">
        <v>#N/A</v>
      </c>
      <c r="J449" s="1966" t="e">
        <v>#N/A</v>
      </c>
      <c r="K449" s="1968" t="e">
        <v>#N/A</v>
      </c>
      <c r="L449" s="2803" t="e">
        <v>#N/A</v>
      </c>
    </row>
    <row r="450" spans="1:12" s="6" customFormat="1">
      <c r="A450" s="53">
        <f t="shared" si="5"/>
        <v>2030.09</v>
      </c>
      <c r="B450" s="223" t="e">
        <v>#N/A</v>
      </c>
      <c r="C450" s="3538" t="e">
        <v>#N/A</v>
      </c>
      <c r="D450" s="141" t="e">
        <v>#N/A</v>
      </c>
      <c r="E450" s="223" t="e">
        <v>#N/A</v>
      </c>
      <c r="F450" s="1398" t="e">
        <v>#N/A</v>
      </c>
      <c r="G450" s="1005" t="e">
        <v>#N/A</v>
      </c>
      <c r="H450" s="3558" t="e">
        <v>#N/A</v>
      </c>
      <c r="I450" s="3558" t="e">
        <v>#N/A</v>
      </c>
      <c r="J450" s="1966" t="e">
        <v>#N/A</v>
      </c>
      <c r="K450" s="1968" t="e">
        <v>#N/A</v>
      </c>
      <c r="L450" s="2803" t="e">
        <v>#N/A</v>
      </c>
    </row>
    <row r="451" spans="1:12" s="6" customFormat="1">
      <c r="A451" s="53">
        <f t="shared" si="5"/>
        <v>2030.1</v>
      </c>
      <c r="B451" s="223" t="e">
        <v>#N/A</v>
      </c>
      <c r="C451" s="3538" t="e">
        <v>#N/A</v>
      </c>
      <c r="D451" s="141" t="e">
        <v>#N/A</v>
      </c>
      <c r="E451" s="223" t="e">
        <v>#N/A</v>
      </c>
      <c r="F451" s="1398" t="e">
        <v>#N/A</v>
      </c>
      <c r="G451" s="1005" t="e">
        <v>#N/A</v>
      </c>
      <c r="H451" s="3558" t="e">
        <v>#N/A</v>
      </c>
      <c r="I451" s="3558" t="e">
        <v>#N/A</v>
      </c>
      <c r="J451" s="1966" t="e">
        <v>#N/A</v>
      </c>
      <c r="K451" s="1968" t="e">
        <v>#N/A</v>
      </c>
      <c r="L451" s="2803" t="e">
        <v>#N/A</v>
      </c>
    </row>
    <row r="452" spans="1:12" s="6" customFormat="1">
      <c r="A452" s="53">
        <f t="shared" si="5"/>
        <v>2030.11</v>
      </c>
      <c r="B452" s="223" t="e">
        <v>#N/A</v>
      </c>
      <c r="C452" s="3538" t="e">
        <v>#N/A</v>
      </c>
      <c r="D452" s="141" t="e">
        <v>#N/A</v>
      </c>
      <c r="E452" s="223" t="e">
        <v>#N/A</v>
      </c>
      <c r="F452" s="1398" t="e">
        <v>#N/A</v>
      </c>
      <c r="G452" s="1005" t="e">
        <v>#N/A</v>
      </c>
      <c r="H452" s="3558" t="e">
        <v>#N/A</v>
      </c>
      <c r="I452" s="3558" t="e">
        <v>#N/A</v>
      </c>
      <c r="J452" s="1966" t="e">
        <v>#N/A</v>
      </c>
      <c r="K452" s="1968" t="e">
        <v>#N/A</v>
      </c>
      <c r="L452" s="2803" t="e">
        <v>#N/A</v>
      </c>
    </row>
    <row r="453" spans="1:12" s="6" customFormat="1">
      <c r="A453" s="53">
        <f t="shared" si="5"/>
        <v>2030.12</v>
      </c>
      <c r="B453" s="223" t="e">
        <v>#N/A</v>
      </c>
      <c r="C453" s="3538" t="e">
        <v>#N/A</v>
      </c>
      <c r="D453" s="141" t="e">
        <v>#N/A</v>
      </c>
      <c r="E453" s="223" t="e">
        <v>#N/A</v>
      </c>
      <c r="F453" s="1398" t="e">
        <v>#N/A</v>
      </c>
      <c r="G453" s="1005" t="e">
        <v>#N/A</v>
      </c>
      <c r="H453" s="3558" t="e">
        <v>#N/A</v>
      </c>
      <c r="I453" s="3558" t="e">
        <v>#N/A</v>
      </c>
      <c r="J453" s="1966" t="e">
        <v>#N/A</v>
      </c>
      <c r="K453" s="1968" t="e">
        <v>#N/A</v>
      </c>
      <c r="L453" s="2803" t="e">
        <v>#N/A</v>
      </c>
    </row>
  </sheetData>
  <phoneticPr fontId="71" type="noConversion"/>
  <hyperlinks>
    <hyperlink ref="A5" location="INDICE!A13" display="VOLVER AL INDICE" xr:uid="{00000000-0004-0000-0B00-000000000000}"/>
  </hyperlinks>
  <pageMargins left="0.75" right="0.75" top="1" bottom="1" header="0" footer="0"/>
  <pageSetup paperSize="9" orientation="portrait" horizontalDpi="300" verticalDpi="300" r:id="rId1"/>
  <headerFooter alignWithMargins="0"/>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2CD92-82A7-4804-B30F-70B825804228}">
  <sheetPr codeName="Hoja26">
    <pageSetUpPr autoPageBreaks="0"/>
  </sheetPr>
  <dimension ref="A1:P182"/>
  <sheetViews>
    <sheetView zoomScaleNormal="100"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9.5703125" style="21" customWidth="1"/>
    <col min="2" max="2" width="16.5703125" style="6" customWidth="1"/>
    <col min="3" max="16" width="13.5703125" style="6" customWidth="1"/>
    <col min="17" max="16384" width="11.42578125" style="6"/>
  </cols>
  <sheetData>
    <row r="1" spans="1:16" ht="2.25" customHeight="1">
      <c r="A1" s="2761"/>
      <c r="B1" s="994"/>
      <c r="C1" s="1605"/>
      <c r="D1" s="193"/>
      <c r="E1" s="193"/>
      <c r="F1" s="193"/>
      <c r="G1" s="193"/>
      <c r="H1" s="193"/>
      <c r="I1" s="193"/>
      <c r="J1" s="193"/>
      <c r="K1" s="193"/>
      <c r="L1" s="193"/>
      <c r="M1" s="193"/>
      <c r="N1" s="193"/>
      <c r="O1" s="193"/>
      <c r="P1" s="985"/>
    </row>
    <row r="2" spans="1:16" ht="17.25" customHeight="1">
      <c r="A2" s="2762" t="s">
        <v>99</v>
      </c>
      <c r="B2" s="2049" t="s">
        <v>607</v>
      </c>
      <c r="C2" s="987"/>
      <c r="D2" s="987"/>
      <c r="E2" s="987"/>
      <c r="F2" s="987"/>
      <c r="G2" s="987"/>
      <c r="H2" s="987"/>
      <c r="I2" s="987"/>
      <c r="J2" s="987"/>
      <c r="K2" s="987"/>
      <c r="L2" s="987"/>
      <c r="M2" s="987"/>
      <c r="N2" s="987"/>
      <c r="O2" s="987"/>
      <c r="P2" s="1607"/>
    </row>
    <row r="3" spans="1:16" ht="18.75" customHeight="1">
      <c r="A3" s="2762" t="s">
        <v>104</v>
      </c>
      <c r="B3" s="2826" t="s">
        <v>608</v>
      </c>
      <c r="C3" s="987"/>
      <c r="D3" s="987"/>
      <c r="E3" s="987"/>
      <c r="F3" s="987"/>
      <c r="G3" s="987"/>
      <c r="H3" s="987"/>
      <c r="I3" s="987"/>
      <c r="J3" s="987"/>
      <c r="K3" s="987"/>
      <c r="L3" s="987"/>
      <c r="M3" s="987"/>
      <c r="N3" s="987"/>
      <c r="O3" s="987"/>
      <c r="P3" s="1607"/>
    </row>
    <row r="4" spans="1:16">
      <c r="A4" s="2762"/>
      <c r="B4" s="988"/>
      <c r="C4" s="989" t="s">
        <v>222</v>
      </c>
      <c r="D4" s="990" t="s">
        <v>223</v>
      </c>
      <c r="E4" s="993" t="s">
        <v>224</v>
      </c>
      <c r="F4" s="993" t="s">
        <v>225</v>
      </c>
      <c r="G4" s="993" t="s">
        <v>226</v>
      </c>
      <c r="H4" s="993" t="s">
        <v>227</v>
      </c>
      <c r="I4" s="993" t="s">
        <v>228</v>
      </c>
      <c r="J4" s="993" t="s">
        <v>229</v>
      </c>
      <c r="K4" s="993" t="s">
        <v>230</v>
      </c>
      <c r="L4" s="993" t="s">
        <v>231</v>
      </c>
      <c r="M4" s="993" t="s">
        <v>232</v>
      </c>
      <c r="N4" s="993" t="s">
        <v>233</v>
      </c>
      <c r="O4" s="993" t="s">
        <v>234</v>
      </c>
      <c r="P4" s="2050" t="s">
        <v>235</v>
      </c>
    </row>
    <row r="5" spans="1:16" ht="56.25">
      <c r="A5" s="2763" t="s">
        <v>140</v>
      </c>
      <c r="B5" s="2051" t="s">
        <v>554</v>
      </c>
      <c r="C5" s="1606" t="s">
        <v>609</v>
      </c>
      <c r="D5" s="991" t="s">
        <v>610</v>
      </c>
      <c r="E5" s="993" t="s">
        <v>611</v>
      </c>
      <c r="F5" s="991" t="s">
        <v>154</v>
      </c>
      <c r="G5" s="991" t="s">
        <v>155</v>
      </c>
      <c r="H5" s="993" t="s">
        <v>612</v>
      </c>
      <c r="I5" s="993" t="s">
        <v>613</v>
      </c>
      <c r="J5" s="993" t="s">
        <v>614</v>
      </c>
      <c r="K5" s="991" t="s">
        <v>615</v>
      </c>
      <c r="L5" s="991" t="s">
        <v>616</v>
      </c>
      <c r="M5" s="991" t="s">
        <v>219</v>
      </c>
      <c r="N5" s="991" t="s">
        <v>163</v>
      </c>
      <c r="O5" s="991" t="s">
        <v>164</v>
      </c>
      <c r="P5" s="2050" t="s">
        <v>617</v>
      </c>
    </row>
    <row r="6" spans="1:16" ht="2.25" hidden="1" customHeight="1">
      <c r="A6" s="2762"/>
      <c r="B6" s="994"/>
      <c r="C6" s="193"/>
      <c r="D6" s="193"/>
      <c r="E6" s="193"/>
      <c r="F6" s="193"/>
      <c r="G6" s="193"/>
      <c r="H6" s="193"/>
      <c r="I6" s="193"/>
      <c r="J6" s="193"/>
      <c r="K6" s="193"/>
      <c r="L6" s="193"/>
      <c r="M6" s="193"/>
      <c r="N6" s="193"/>
      <c r="O6" s="193"/>
      <c r="P6" s="985"/>
    </row>
    <row r="7" spans="1:16" ht="22.5" customHeight="1">
      <c r="A7" s="2762" t="s">
        <v>125</v>
      </c>
      <c r="B7" s="2052" t="s">
        <v>593</v>
      </c>
      <c r="C7" s="997" t="s">
        <v>593</v>
      </c>
      <c r="D7" s="995" t="s">
        <v>593</v>
      </c>
      <c r="E7" s="995" t="s">
        <v>593</v>
      </c>
      <c r="F7" s="995" t="s">
        <v>593</v>
      </c>
      <c r="G7" s="995" t="s">
        <v>593</v>
      </c>
      <c r="H7" s="995" t="s">
        <v>593</v>
      </c>
      <c r="I7" s="995" t="s">
        <v>593</v>
      </c>
      <c r="J7" s="995" t="s">
        <v>593</v>
      </c>
      <c r="K7" s="995" t="s">
        <v>593</v>
      </c>
      <c r="L7" s="995" t="s">
        <v>593</v>
      </c>
      <c r="M7" s="995" t="s">
        <v>593</v>
      </c>
      <c r="N7" s="995" t="s">
        <v>593</v>
      </c>
      <c r="O7" s="995" t="s">
        <v>593</v>
      </c>
      <c r="P7" s="2047" t="s">
        <v>593</v>
      </c>
    </row>
    <row r="8" spans="1:16" ht="15" customHeight="1">
      <c r="A8" s="2751" t="s">
        <v>144</v>
      </c>
      <c r="B8" s="2167" t="s">
        <v>618</v>
      </c>
      <c r="C8" s="2168" t="s">
        <v>619</v>
      </c>
      <c r="D8" s="2169" t="s">
        <v>620</v>
      </c>
      <c r="E8" s="2169" t="s">
        <v>621</v>
      </c>
      <c r="F8" s="2169" t="s">
        <v>622</v>
      </c>
      <c r="G8" s="2169" t="s">
        <v>623</v>
      </c>
      <c r="H8" s="2169" t="s">
        <v>624</v>
      </c>
      <c r="I8" s="2169" t="s">
        <v>625</v>
      </c>
      <c r="J8" s="2169" t="s">
        <v>626</v>
      </c>
      <c r="K8" s="2169" t="s">
        <v>627</v>
      </c>
      <c r="L8" s="2169" t="s">
        <v>628</v>
      </c>
      <c r="M8" s="2169" t="s">
        <v>629</v>
      </c>
      <c r="N8" s="2169" t="s">
        <v>630</v>
      </c>
      <c r="O8" s="2169" t="s">
        <v>631</v>
      </c>
      <c r="P8" s="2170" t="s">
        <v>632</v>
      </c>
    </row>
    <row r="9" spans="1:16" ht="13.5" thickBot="1">
      <c r="A9" s="2140"/>
      <c r="B9" s="2171"/>
      <c r="C9" s="2162"/>
      <c r="D9" s="1878"/>
      <c r="E9" s="1878"/>
      <c r="F9" s="1878"/>
      <c r="G9" s="1878"/>
      <c r="H9" s="1878"/>
      <c r="I9" s="1878"/>
      <c r="J9" s="1878"/>
      <c r="K9" s="1878"/>
      <c r="L9" s="1878"/>
      <c r="M9" s="1878"/>
      <c r="N9" s="1878"/>
      <c r="O9" s="1878"/>
      <c r="P9" s="2172"/>
    </row>
    <row r="10" spans="1:16">
      <c r="A10" s="1162" t="s">
        <v>28</v>
      </c>
      <c r="B10" s="2827"/>
      <c r="C10" s="1007"/>
      <c r="D10" s="3554"/>
      <c r="E10" s="3554"/>
      <c r="F10" s="3554"/>
      <c r="G10" s="3554"/>
      <c r="H10" s="3554"/>
      <c r="I10" s="3554"/>
      <c r="J10" s="3554"/>
      <c r="K10" s="3554"/>
      <c r="L10" s="3554"/>
      <c r="M10" s="3554"/>
      <c r="N10" s="3554"/>
      <c r="O10" s="3554"/>
      <c r="P10" s="2828"/>
    </row>
    <row r="11" spans="1:16">
      <c r="A11" s="1162" t="s">
        <v>35</v>
      </c>
      <c r="B11" s="2827"/>
      <c r="C11" s="1007"/>
      <c r="D11" s="3554"/>
      <c r="E11" s="3554"/>
      <c r="F11" s="3554"/>
      <c r="G11" s="3554"/>
      <c r="H11" s="3554"/>
      <c r="I11" s="3554"/>
      <c r="J11" s="3554"/>
      <c r="K11" s="3554"/>
      <c r="L11" s="3554"/>
      <c r="M11" s="3554"/>
      <c r="N11" s="3554"/>
      <c r="O11" s="3554"/>
      <c r="P11" s="2828"/>
    </row>
    <row r="12" spans="1:16">
      <c r="A12" s="1162" t="s">
        <v>398</v>
      </c>
      <c r="B12" s="2827"/>
      <c r="C12" s="1007"/>
      <c r="D12" s="3554"/>
      <c r="E12" s="3554"/>
      <c r="F12" s="3554"/>
      <c r="G12" s="3554"/>
      <c r="H12" s="3554"/>
      <c r="I12" s="3554"/>
      <c r="J12" s="3554"/>
      <c r="K12" s="3554"/>
      <c r="L12" s="3554"/>
      <c r="M12" s="3554"/>
      <c r="N12" s="3554"/>
      <c r="O12" s="3554"/>
      <c r="P12" s="2828"/>
    </row>
    <row r="13" spans="1:16">
      <c r="A13" s="1162" t="s">
        <v>399</v>
      </c>
      <c r="B13" s="2827"/>
      <c r="C13" s="1007"/>
      <c r="D13" s="3554"/>
      <c r="E13" s="3554"/>
      <c r="F13" s="3554"/>
      <c r="G13" s="3554"/>
      <c r="H13" s="3554"/>
      <c r="I13" s="3554"/>
      <c r="J13" s="3554"/>
      <c r="K13" s="3554"/>
      <c r="L13" s="3554"/>
      <c r="M13" s="3554"/>
      <c r="N13" s="3554"/>
      <c r="O13" s="3554"/>
      <c r="P13" s="2828"/>
    </row>
    <row r="14" spans="1:16">
      <c r="A14" s="1162" t="s">
        <v>400</v>
      </c>
      <c r="B14" s="2827"/>
      <c r="C14" s="1007"/>
      <c r="D14" s="3554"/>
      <c r="E14" s="3554"/>
      <c r="F14" s="3554"/>
      <c r="G14" s="3554"/>
      <c r="H14" s="3554"/>
      <c r="I14" s="3554"/>
      <c r="J14" s="3554"/>
      <c r="K14" s="3554"/>
      <c r="L14" s="3554"/>
      <c r="M14" s="3554"/>
      <c r="N14" s="3554"/>
      <c r="O14" s="3554"/>
      <c r="P14" s="2828"/>
    </row>
    <row r="15" spans="1:16">
      <c r="A15" s="1162" t="s">
        <v>401</v>
      </c>
      <c r="B15" s="2827"/>
      <c r="C15" s="1007"/>
      <c r="D15" s="3554"/>
      <c r="E15" s="3554"/>
      <c r="F15" s="3554"/>
      <c r="G15" s="3554"/>
      <c r="H15" s="3554"/>
      <c r="I15" s="3554"/>
      <c r="J15" s="3554"/>
      <c r="K15" s="3554"/>
      <c r="L15" s="3554"/>
      <c r="M15" s="3554"/>
      <c r="N15" s="3554"/>
      <c r="O15" s="3554"/>
      <c r="P15" s="2828"/>
    </row>
    <row r="16" spans="1:16">
      <c r="A16" s="1162" t="s">
        <v>402</v>
      </c>
      <c r="B16" s="2827"/>
      <c r="C16" s="1007"/>
      <c r="D16" s="3554"/>
      <c r="E16" s="3554"/>
      <c r="F16" s="3554"/>
      <c r="G16" s="3554"/>
      <c r="H16" s="3554"/>
      <c r="I16" s="3554"/>
      <c r="J16" s="3554"/>
      <c r="K16" s="3554"/>
      <c r="L16" s="3554"/>
      <c r="M16" s="3554"/>
      <c r="N16" s="3554"/>
      <c r="O16" s="3554"/>
      <c r="P16" s="2828"/>
    </row>
    <row r="17" spans="1:16">
      <c r="A17" s="1162" t="s">
        <v>403</v>
      </c>
      <c r="B17" s="2827"/>
      <c r="C17" s="1007"/>
      <c r="D17" s="3554"/>
      <c r="E17" s="3554"/>
      <c r="F17" s="3554"/>
      <c r="G17" s="3554"/>
      <c r="H17" s="3554"/>
      <c r="I17" s="3554"/>
      <c r="J17" s="3554"/>
      <c r="K17" s="3554"/>
      <c r="L17" s="3554"/>
      <c r="M17" s="3554"/>
      <c r="N17" s="3554"/>
      <c r="O17" s="3554"/>
      <c r="P17" s="2828"/>
    </row>
    <row r="18" spans="1:16">
      <c r="A18" s="1214" t="s">
        <v>404</v>
      </c>
      <c r="B18" s="2004">
        <v>273625</v>
      </c>
      <c r="C18" s="1000">
        <v>18224</v>
      </c>
      <c r="D18" s="3559">
        <v>0</v>
      </c>
      <c r="E18" s="3559">
        <v>382</v>
      </c>
      <c r="F18" s="3559">
        <v>86218</v>
      </c>
      <c r="G18" s="3559">
        <v>3138</v>
      </c>
      <c r="H18" s="3559">
        <v>14075</v>
      </c>
      <c r="I18" s="3559">
        <v>48095</v>
      </c>
      <c r="J18" s="3559">
        <v>4949</v>
      </c>
      <c r="K18" s="3559">
        <v>20816</v>
      </c>
      <c r="L18" s="3559">
        <v>8763</v>
      </c>
      <c r="M18" s="3559">
        <v>27550</v>
      </c>
      <c r="N18" s="3559">
        <v>7353</v>
      </c>
      <c r="O18" s="3559">
        <v>15441</v>
      </c>
      <c r="P18" s="2829">
        <v>18621</v>
      </c>
    </row>
    <row r="19" spans="1:16">
      <c r="A19" s="1162" t="s">
        <v>405</v>
      </c>
      <c r="B19" s="1608">
        <v>281524</v>
      </c>
      <c r="C19" s="1001">
        <v>19917</v>
      </c>
      <c r="D19" s="3560">
        <v>0</v>
      </c>
      <c r="E19" s="3560">
        <v>393</v>
      </c>
      <c r="F19" s="3560">
        <v>86558</v>
      </c>
      <c r="G19" s="3560">
        <v>3964</v>
      </c>
      <c r="H19" s="3560">
        <v>13982</v>
      </c>
      <c r="I19" s="3560">
        <v>50505</v>
      </c>
      <c r="J19" s="3560">
        <v>4991</v>
      </c>
      <c r="K19" s="3560">
        <v>21600</v>
      </c>
      <c r="L19" s="3560">
        <v>9597</v>
      </c>
      <c r="M19" s="3560">
        <v>28572</v>
      </c>
      <c r="N19" s="3560">
        <v>7444</v>
      </c>
      <c r="O19" s="3560">
        <v>15483</v>
      </c>
      <c r="P19" s="2830">
        <v>18518</v>
      </c>
    </row>
    <row r="20" spans="1:16">
      <c r="A20" s="1162" t="s">
        <v>406</v>
      </c>
      <c r="B20" s="1608">
        <v>287322</v>
      </c>
      <c r="C20" s="1001">
        <v>19490</v>
      </c>
      <c r="D20" s="3560">
        <v>0</v>
      </c>
      <c r="E20" s="3560">
        <v>416</v>
      </c>
      <c r="F20" s="3560">
        <v>89339</v>
      </c>
      <c r="G20" s="3560">
        <v>2991</v>
      </c>
      <c r="H20" s="3560">
        <v>16535</v>
      </c>
      <c r="I20" s="3560">
        <v>50019</v>
      </c>
      <c r="J20" s="3560">
        <v>5208</v>
      </c>
      <c r="K20" s="3560">
        <v>22007</v>
      </c>
      <c r="L20" s="3560">
        <v>9103</v>
      </c>
      <c r="M20" s="3560">
        <v>30168</v>
      </c>
      <c r="N20" s="3560">
        <v>7672</v>
      </c>
      <c r="O20" s="3560">
        <v>15808</v>
      </c>
      <c r="P20" s="2830">
        <v>18566</v>
      </c>
    </row>
    <row r="21" spans="1:16">
      <c r="A21" s="1162" t="s">
        <v>407</v>
      </c>
      <c r="B21" s="1608">
        <v>305565</v>
      </c>
      <c r="C21" s="1001">
        <v>20210</v>
      </c>
      <c r="D21" s="3560">
        <v>0</v>
      </c>
      <c r="E21" s="3560">
        <v>428</v>
      </c>
      <c r="F21" s="3560">
        <v>91339</v>
      </c>
      <c r="G21" s="3560">
        <v>2971</v>
      </c>
      <c r="H21" s="3560">
        <v>17967</v>
      </c>
      <c r="I21" s="3560">
        <v>52198</v>
      </c>
      <c r="J21" s="3560">
        <v>5397</v>
      </c>
      <c r="K21" s="3560">
        <v>22230</v>
      </c>
      <c r="L21" s="3560">
        <v>8958</v>
      </c>
      <c r="M21" s="3560">
        <v>31706</v>
      </c>
      <c r="N21" s="3560">
        <v>16365</v>
      </c>
      <c r="O21" s="3560">
        <v>15980</v>
      </c>
      <c r="P21" s="2830">
        <v>19816</v>
      </c>
    </row>
    <row r="22" spans="1:16">
      <c r="A22" s="1162" t="s">
        <v>408</v>
      </c>
      <c r="B22" s="1608">
        <v>314806</v>
      </c>
      <c r="C22" s="1001">
        <v>20437</v>
      </c>
      <c r="D22" s="3560">
        <v>0</v>
      </c>
      <c r="E22" s="3560">
        <v>493</v>
      </c>
      <c r="F22" s="3560">
        <v>92097</v>
      </c>
      <c r="G22" s="3560">
        <v>3005</v>
      </c>
      <c r="H22" s="3560">
        <v>19106</v>
      </c>
      <c r="I22" s="3560">
        <v>52915</v>
      </c>
      <c r="J22" s="3560">
        <v>5212</v>
      </c>
      <c r="K22" s="3560">
        <v>21911</v>
      </c>
      <c r="L22" s="3560">
        <v>8954</v>
      </c>
      <c r="M22" s="3560">
        <v>32238</v>
      </c>
      <c r="N22" s="3560">
        <v>21880</v>
      </c>
      <c r="O22" s="3560">
        <v>16059</v>
      </c>
      <c r="P22" s="2830">
        <v>20499</v>
      </c>
    </row>
    <row r="23" spans="1:16">
      <c r="A23" s="1162" t="s">
        <v>409</v>
      </c>
      <c r="B23" s="1608">
        <v>320837</v>
      </c>
      <c r="C23" s="1001">
        <v>21610</v>
      </c>
      <c r="D23" s="3560">
        <v>0</v>
      </c>
      <c r="E23" s="3560">
        <v>597</v>
      </c>
      <c r="F23" s="3560">
        <v>93023</v>
      </c>
      <c r="G23" s="3560">
        <v>3001</v>
      </c>
      <c r="H23" s="3560">
        <v>18991</v>
      </c>
      <c r="I23" s="3560">
        <v>54001</v>
      </c>
      <c r="J23" s="3560">
        <v>5200</v>
      </c>
      <c r="K23" s="3560">
        <v>22798</v>
      </c>
      <c r="L23" s="3560">
        <v>9354</v>
      </c>
      <c r="M23" s="3560">
        <v>32329</v>
      </c>
      <c r="N23" s="3560">
        <v>22990</v>
      </c>
      <c r="O23" s="3560">
        <v>15825</v>
      </c>
      <c r="P23" s="2830">
        <v>21118</v>
      </c>
    </row>
    <row r="24" spans="1:16">
      <c r="A24" s="1162" t="s">
        <v>410</v>
      </c>
      <c r="B24" s="1608">
        <v>323906</v>
      </c>
      <c r="C24" s="1001">
        <v>20391</v>
      </c>
      <c r="D24" s="3560">
        <v>0</v>
      </c>
      <c r="E24" s="3560">
        <v>507</v>
      </c>
      <c r="F24" s="3560">
        <v>94698</v>
      </c>
      <c r="G24" s="3560">
        <v>3032</v>
      </c>
      <c r="H24" s="3560">
        <v>18810</v>
      </c>
      <c r="I24" s="3560">
        <v>53778</v>
      </c>
      <c r="J24" s="3560">
        <v>5203</v>
      </c>
      <c r="K24" s="3560">
        <v>24257</v>
      </c>
      <c r="L24" s="3560">
        <v>9580</v>
      </c>
      <c r="M24" s="3560">
        <v>33082</v>
      </c>
      <c r="N24" s="3560">
        <v>23416</v>
      </c>
      <c r="O24" s="3560">
        <v>16018</v>
      </c>
      <c r="P24" s="2830">
        <v>21134</v>
      </c>
    </row>
    <row r="25" spans="1:16">
      <c r="A25" s="1162" t="s">
        <v>411</v>
      </c>
      <c r="B25" s="1608">
        <v>330262</v>
      </c>
      <c r="C25" s="1001">
        <v>21074</v>
      </c>
      <c r="D25" s="3560">
        <v>0</v>
      </c>
      <c r="E25" s="3560">
        <v>453</v>
      </c>
      <c r="F25" s="3560">
        <v>95755</v>
      </c>
      <c r="G25" s="3560">
        <v>3052</v>
      </c>
      <c r="H25" s="3560">
        <v>18984</v>
      </c>
      <c r="I25" s="3560">
        <v>55962</v>
      </c>
      <c r="J25" s="3560">
        <v>5376</v>
      </c>
      <c r="K25" s="3560">
        <v>25006</v>
      </c>
      <c r="L25" s="3560">
        <v>9695</v>
      </c>
      <c r="M25" s="3560">
        <v>33753</v>
      </c>
      <c r="N25" s="3560">
        <v>23633</v>
      </c>
      <c r="O25" s="3560">
        <v>16137</v>
      </c>
      <c r="P25" s="2830">
        <v>21382</v>
      </c>
    </row>
    <row r="26" spans="1:16">
      <c r="A26" s="1162" t="s">
        <v>412</v>
      </c>
      <c r="B26" s="1608">
        <v>329618</v>
      </c>
      <c r="C26" s="1001">
        <v>21484</v>
      </c>
      <c r="D26" s="3560">
        <v>0</v>
      </c>
      <c r="E26" s="3560">
        <v>419</v>
      </c>
      <c r="F26" s="3560">
        <v>95223</v>
      </c>
      <c r="G26" s="3560">
        <v>3042</v>
      </c>
      <c r="H26" s="3560">
        <v>19302</v>
      </c>
      <c r="I26" s="3560">
        <v>56626</v>
      </c>
      <c r="J26" s="3560">
        <v>5385</v>
      </c>
      <c r="K26" s="3560">
        <v>24940</v>
      </c>
      <c r="L26" s="3560">
        <v>9538</v>
      </c>
      <c r="M26" s="3560">
        <v>34484</v>
      </c>
      <c r="N26" s="3560">
        <v>22133</v>
      </c>
      <c r="O26" s="3560">
        <v>15954</v>
      </c>
      <c r="P26" s="2830">
        <v>21088</v>
      </c>
    </row>
    <row r="27" spans="1:16">
      <c r="A27" s="1162" t="s">
        <v>413</v>
      </c>
      <c r="B27" s="1608">
        <v>333448</v>
      </c>
      <c r="C27" s="1001">
        <v>22040</v>
      </c>
      <c r="D27" s="3560">
        <v>0</v>
      </c>
      <c r="E27" s="3560">
        <v>394</v>
      </c>
      <c r="F27" s="3560">
        <v>94987</v>
      </c>
      <c r="G27" s="3560">
        <v>3088</v>
      </c>
      <c r="H27" s="3560">
        <v>18539</v>
      </c>
      <c r="I27" s="3560">
        <v>57440</v>
      </c>
      <c r="J27" s="3560">
        <v>5528</v>
      </c>
      <c r="K27" s="3560">
        <v>25478</v>
      </c>
      <c r="L27" s="3560">
        <v>10110</v>
      </c>
      <c r="M27" s="3560">
        <v>34878</v>
      </c>
      <c r="N27" s="3560">
        <v>23883</v>
      </c>
      <c r="O27" s="3560">
        <v>15684</v>
      </c>
      <c r="P27" s="2830">
        <v>21399</v>
      </c>
    </row>
    <row r="28" spans="1:16">
      <c r="A28" s="1162" t="s">
        <v>414</v>
      </c>
      <c r="B28" s="1608">
        <v>329974</v>
      </c>
      <c r="C28" s="1001">
        <v>20386</v>
      </c>
      <c r="D28" s="3560">
        <v>0</v>
      </c>
      <c r="E28" s="3560">
        <v>403</v>
      </c>
      <c r="F28" s="3560">
        <v>95554</v>
      </c>
      <c r="G28" s="3560">
        <v>2975</v>
      </c>
      <c r="H28" s="3560">
        <v>17639</v>
      </c>
      <c r="I28" s="3560">
        <v>54967</v>
      </c>
      <c r="J28" s="3560">
        <v>5574</v>
      </c>
      <c r="K28" s="3560">
        <v>25259</v>
      </c>
      <c r="L28" s="3560">
        <v>12294</v>
      </c>
      <c r="M28" s="3560">
        <v>34227</v>
      </c>
      <c r="N28" s="3560">
        <v>24195</v>
      </c>
      <c r="O28" s="3560">
        <v>15500</v>
      </c>
      <c r="P28" s="2830">
        <v>21001</v>
      </c>
    </row>
    <row r="29" spans="1:16">
      <c r="A29" s="1162" t="s">
        <v>415</v>
      </c>
      <c r="B29" s="1608">
        <v>335209</v>
      </c>
      <c r="C29" s="1001">
        <v>20822</v>
      </c>
      <c r="D29" s="3560">
        <v>0</v>
      </c>
      <c r="E29" s="3560">
        <v>404</v>
      </c>
      <c r="F29" s="3560">
        <v>96611</v>
      </c>
      <c r="G29" s="3560">
        <v>2947</v>
      </c>
      <c r="H29" s="3560">
        <v>18342</v>
      </c>
      <c r="I29" s="3560">
        <v>55890</v>
      </c>
      <c r="J29" s="3560">
        <v>5954</v>
      </c>
      <c r="K29" s="3560">
        <v>25516</v>
      </c>
      <c r="L29" s="3560">
        <v>12583</v>
      </c>
      <c r="M29" s="3560">
        <v>34768</v>
      </c>
      <c r="N29" s="3560">
        <v>24566</v>
      </c>
      <c r="O29" s="3560">
        <v>15618</v>
      </c>
      <c r="P29" s="2830">
        <v>21188</v>
      </c>
    </row>
    <row r="30" spans="1:16">
      <c r="A30" s="1162" t="s">
        <v>416</v>
      </c>
      <c r="B30" s="1608">
        <v>331839</v>
      </c>
      <c r="C30" s="1001">
        <v>21416</v>
      </c>
      <c r="D30" s="3560">
        <v>0</v>
      </c>
      <c r="E30" s="3560">
        <v>421</v>
      </c>
      <c r="F30" s="3560">
        <v>94609</v>
      </c>
      <c r="G30" s="3560">
        <v>2966</v>
      </c>
      <c r="H30" s="3560">
        <v>19329</v>
      </c>
      <c r="I30" s="3560">
        <v>55318</v>
      </c>
      <c r="J30" s="3560">
        <v>6017</v>
      </c>
      <c r="K30" s="3560">
        <v>25369</v>
      </c>
      <c r="L30" s="3560">
        <v>12661</v>
      </c>
      <c r="M30" s="3560">
        <v>34584</v>
      </c>
      <c r="N30" s="3560">
        <v>22819</v>
      </c>
      <c r="O30" s="3560">
        <v>15725</v>
      </c>
      <c r="P30" s="2830">
        <v>20605</v>
      </c>
    </row>
    <row r="31" spans="1:16">
      <c r="A31" s="1162" t="s">
        <v>417</v>
      </c>
      <c r="B31" s="1608">
        <v>329917</v>
      </c>
      <c r="C31" s="1001">
        <v>21250</v>
      </c>
      <c r="D31" s="3560">
        <v>0</v>
      </c>
      <c r="E31" s="3560">
        <v>431</v>
      </c>
      <c r="F31" s="3560">
        <v>91459</v>
      </c>
      <c r="G31" s="3560">
        <v>2991</v>
      </c>
      <c r="H31" s="3560">
        <v>18622</v>
      </c>
      <c r="I31" s="3560">
        <v>56008</v>
      </c>
      <c r="J31" s="3560">
        <v>5885</v>
      </c>
      <c r="K31" s="3560">
        <v>26217</v>
      </c>
      <c r="L31" s="3560">
        <v>12399</v>
      </c>
      <c r="M31" s="3560">
        <v>33167</v>
      </c>
      <c r="N31" s="3560">
        <v>24865</v>
      </c>
      <c r="O31" s="3560">
        <v>15662</v>
      </c>
      <c r="P31" s="2830">
        <v>20961</v>
      </c>
    </row>
    <row r="32" spans="1:16">
      <c r="A32" s="1162" t="s">
        <v>418</v>
      </c>
      <c r="B32" s="1608">
        <v>324266</v>
      </c>
      <c r="C32" s="1001">
        <v>20040</v>
      </c>
      <c r="D32" s="3560">
        <v>0</v>
      </c>
      <c r="E32" s="3560">
        <v>429</v>
      </c>
      <c r="F32" s="3560">
        <v>90773</v>
      </c>
      <c r="G32" s="3560">
        <v>3006</v>
      </c>
      <c r="H32" s="3560">
        <v>17696</v>
      </c>
      <c r="I32" s="3560">
        <v>53847</v>
      </c>
      <c r="J32" s="3560">
        <v>5945</v>
      </c>
      <c r="K32" s="3560">
        <v>25693</v>
      </c>
      <c r="L32" s="3560">
        <v>12267</v>
      </c>
      <c r="M32" s="3560">
        <v>32834</v>
      </c>
      <c r="N32" s="3560">
        <v>25305</v>
      </c>
      <c r="O32" s="3560">
        <v>15513</v>
      </c>
      <c r="P32" s="2830">
        <v>20918</v>
      </c>
    </row>
    <row r="33" spans="1:16">
      <c r="A33" s="1162" t="s">
        <v>419</v>
      </c>
      <c r="B33" s="1608">
        <v>343912</v>
      </c>
      <c r="C33" s="1001">
        <v>21549</v>
      </c>
      <c r="D33" s="3560">
        <v>0</v>
      </c>
      <c r="E33" s="3560">
        <v>479</v>
      </c>
      <c r="F33" s="3560">
        <v>93621</v>
      </c>
      <c r="G33" s="3560">
        <v>3053</v>
      </c>
      <c r="H33" s="3560">
        <v>18468</v>
      </c>
      <c r="I33" s="3560">
        <v>58459</v>
      </c>
      <c r="J33" s="3560">
        <v>6504</v>
      </c>
      <c r="K33" s="3560">
        <v>26886</v>
      </c>
      <c r="L33" s="3560">
        <v>12661</v>
      </c>
      <c r="M33" s="3560">
        <v>36040</v>
      </c>
      <c r="N33" s="3560">
        <v>27462</v>
      </c>
      <c r="O33" s="3560">
        <v>15949</v>
      </c>
      <c r="P33" s="2830">
        <v>22781</v>
      </c>
    </row>
    <row r="34" spans="1:16">
      <c r="A34" s="1162" t="s">
        <v>420</v>
      </c>
      <c r="B34" s="1608">
        <v>334140</v>
      </c>
      <c r="C34" s="1001">
        <v>20407</v>
      </c>
      <c r="D34" s="3560">
        <v>0</v>
      </c>
      <c r="E34" s="3560">
        <v>801</v>
      </c>
      <c r="F34" s="3560">
        <v>91018</v>
      </c>
      <c r="G34" s="3560">
        <v>3188</v>
      </c>
      <c r="H34" s="3560">
        <v>19098</v>
      </c>
      <c r="I34" s="3560">
        <v>56815</v>
      </c>
      <c r="J34" s="3560">
        <v>6340</v>
      </c>
      <c r="K34" s="3560">
        <v>26446</v>
      </c>
      <c r="L34" s="3560">
        <v>12573</v>
      </c>
      <c r="M34" s="3560">
        <v>35263</v>
      </c>
      <c r="N34" s="3560">
        <v>24762</v>
      </c>
      <c r="O34" s="3560">
        <v>15475</v>
      </c>
      <c r="P34" s="2830">
        <v>21954</v>
      </c>
    </row>
    <row r="35" spans="1:16">
      <c r="A35" s="1162" t="s">
        <v>421</v>
      </c>
      <c r="B35" s="1608">
        <v>333397</v>
      </c>
      <c r="C35" s="1001">
        <v>20966</v>
      </c>
      <c r="D35" s="3560">
        <v>0</v>
      </c>
      <c r="E35" s="3560">
        <v>729</v>
      </c>
      <c r="F35" s="3560">
        <v>88149</v>
      </c>
      <c r="G35" s="3560">
        <v>3213</v>
      </c>
      <c r="H35" s="3560">
        <v>17117</v>
      </c>
      <c r="I35" s="3560">
        <v>58323</v>
      </c>
      <c r="J35" s="3560">
        <v>6054</v>
      </c>
      <c r="K35" s="3560">
        <v>26976</v>
      </c>
      <c r="L35" s="3560">
        <v>12485</v>
      </c>
      <c r="M35" s="3560">
        <v>35403</v>
      </c>
      <c r="N35" s="3560">
        <v>26738</v>
      </c>
      <c r="O35" s="3560">
        <v>15364</v>
      </c>
      <c r="P35" s="2830">
        <v>21880</v>
      </c>
    </row>
    <row r="36" spans="1:16">
      <c r="A36" s="1162" t="s">
        <v>422</v>
      </c>
      <c r="B36" s="1608">
        <v>329192</v>
      </c>
      <c r="C36" s="1001">
        <v>19934</v>
      </c>
      <c r="D36" s="3560">
        <v>0</v>
      </c>
      <c r="E36" s="3560">
        <v>437</v>
      </c>
      <c r="F36" s="3560">
        <v>86881</v>
      </c>
      <c r="G36" s="3560">
        <v>3236</v>
      </c>
      <c r="H36" s="3560">
        <v>16287</v>
      </c>
      <c r="I36" s="3560">
        <v>57964</v>
      </c>
      <c r="J36" s="3560">
        <v>6149</v>
      </c>
      <c r="K36" s="3560">
        <v>25823</v>
      </c>
      <c r="L36" s="3560">
        <v>12801</v>
      </c>
      <c r="M36" s="3560">
        <v>35338</v>
      </c>
      <c r="N36" s="3560">
        <v>27246</v>
      </c>
      <c r="O36" s="3560">
        <v>15139</v>
      </c>
      <c r="P36" s="2830">
        <v>21957</v>
      </c>
    </row>
    <row r="37" spans="1:16">
      <c r="A37" s="1162" t="s">
        <v>423</v>
      </c>
      <c r="B37" s="1608">
        <v>333890</v>
      </c>
      <c r="C37" s="1001">
        <v>20882</v>
      </c>
      <c r="D37" s="3560">
        <v>0</v>
      </c>
      <c r="E37" s="3560">
        <v>379</v>
      </c>
      <c r="F37" s="3560">
        <v>86729</v>
      </c>
      <c r="G37" s="3560">
        <v>3279</v>
      </c>
      <c r="H37" s="3560">
        <v>16570</v>
      </c>
      <c r="I37" s="3560">
        <v>59453</v>
      </c>
      <c r="J37" s="3560">
        <v>6579</v>
      </c>
      <c r="K37" s="3560">
        <v>25466</v>
      </c>
      <c r="L37" s="3560">
        <v>12656</v>
      </c>
      <c r="M37" s="3560">
        <v>36642</v>
      </c>
      <c r="N37" s="3560">
        <v>27403</v>
      </c>
      <c r="O37" s="3560">
        <v>15309</v>
      </c>
      <c r="P37" s="2830">
        <v>22543</v>
      </c>
    </row>
    <row r="38" spans="1:16">
      <c r="A38" s="1162" t="s">
        <v>424</v>
      </c>
      <c r="B38" s="1608">
        <v>333545</v>
      </c>
      <c r="C38" s="1001">
        <v>20941</v>
      </c>
      <c r="D38" s="3560">
        <v>0</v>
      </c>
      <c r="E38" s="3560">
        <v>371</v>
      </c>
      <c r="F38" s="3560">
        <v>86391</v>
      </c>
      <c r="G38" s="3560">
        <v>3266</v>
      </c>
      <c r="H38" s="3560">
        <v>17213</v>
      </c>
      <c r="I38" s="3560">
        <v>59552</v>
      </c>
      <c r="J38" s="3560">
        <v>6465</v>
      </c>
      <c r="K38" s="3560">
        <v>25169</v>
      </c>
      <c r="L38" s="3560">
        <v>12630</v>
      </c>
      <c r="M38" s="3560">
        <v>37600</v>
      </c>
      <c r="N38" s="3560">
        <v>25555</v>
      </c>
      <c r="O38" s="3560">
        <v>15430</v>
      </c>
      <c r="P38" s="2830">
        <v>22962</v>
      </c>
    </row>
    <row r="39" spans="1:16">
      <c r="A39" s="1162" t="s">
        <v>425</v>
      </c>
      <c r="B39" s="1608">
        <v>328805</v>
      </c>
      <c r="C39" s="1001">
        <v>20557</v>
      </c>
      <c r="D39" s="3560">
        <v>0</v>
      </c>
      <c r="E39" s="3560">
        <v>381</v>
      </c>
      <c r="F39" s="3560">
        <v>83271</v>
      </c>
      <c r="G39" s="3560">
        <v>3315</v>
      </c>
      <c r="H39" s="3560">
        <v>15426</v>
      </c>
      <c r="I39" s="3560">
        <v>59511</v>
      </c>
      <c r="J39" s="3560">
        <v>6253</v>
      </c>
      <c r="K39" s="3560">
        <v>25439</v>
      </c>
      <c r="L39" s="3560">
        <v>12496</v>
      </c>
      <c r="M39" s="3560">
        <v>37385</v>
      </c>
      <c r="N39" s="3560">
        <v>27113</v>
      </c>
      <c r="O39" s="3560">
        <v>15276</v>
      </c>
      <c r="P39" s="2830">
        <v>22382</v>
      </c>
    </row>
    <row r="40" spans="1:16">
      <c r="A40" s="1162" t="s">
        <v>426</v>
      </c>
      <c r="B40" s="1608">
        <v>321337</v>
      </c>
      <c r="C40" s="1001">
        <v>19251</v>
      </c>
      <c r="D40" s="3560">
        <v>0</v>
      </c>
      <c r="E40" s="3560">
        <v>351</v>
      </c>
      <c r="F40" s="3560">
        <v>81971</v>
      </c>
      <c r="G40" s="3560">
        <v>3240</v>
      </c>
      <c r="H40" s="3560">
        <v>14392</v>
      </c>
      <c r="I40" s="3560">
        <v>57514</v>
      </c>
      <c r="J40" s="3560">
        <v>6149</v>
      </c>
      <c r="K40" s="3560">
        <v>24799</v>
      </c>
      <c r="L40" s="3560">
        <v>12247</v>
      </c>
      <c r="M40" s="3560">
        <v>36440</v>
      </c>
      <c r="N40" s="3560">
        <v>27285</v>
      </c>
      <c r="O40" s="3560">
        <v>15319</v>
      </c>
      <c r="P40" s="2830">
        <v>22379</v>
      </c>
    </row>
    <row r="41" spans="1:16">
      <c r="A41" s="1162" t="s">
        <v>427</v>
      </c>
      <c r="B41" s="1608">
        <v>316348</v>
      </c>
      <c r="C41" s="1001">
        <v>19706</v>
      </c>
      <c r="D41" s="3560">
        <v>0</v>
      </c>
      <c r="E41" s="3560">
        <v>334</v>
      </c>
      <c r="F41" s="3560">
        <v>79156</v>
      </c>
      <c r="G41" s="3560">
        <v>3204</v>
      </c>
      <c r="H41" s="3560">
        <v>13237</v>
      </c>
      <c r="I41" s="3560">
        <v>56853</v>
      </c>
      <c r="J41" s="3560">
        <v>6279</v>
      </c>
      <c r="K41" s="3560">
        <v>24242</v>
      </c>
      <c r="L41" s="3560">
        <v>12082</v>
      </c>
      <c r="M41" s="3560">
        <v>36386</v>
      </c>
      <c r="N41" s="3560">
        <v>27583</v>
      </c>
      <c r="O41" s="3560">
        <v>15054</v>
      </c>
      <c r="P41" s="2830">
        <v>22232</v>
      </c>
    </row>
    <row r="42" spans="1:16">
      <c r="A42" s="1162" t="s">
        <v>51</v>
      </c>
      <c r="B42" s="1608">
        <v>300848</v>
      </c>
      <c r="C42" s="1001">
        <v>18882</v>
      </c>
      <c r="D42" s="3560">
        <v>1</v>
      </c>
      <c r="E42" s="3560">
        <v>301</v>
      </c>
      <c r="F42" s="3560">
        <v>76702</v>
      </c>
      <c r="G42" s="3560">
        <v>3177</v>
      </c>
      <c r="H42" s="3560">
        <v>10859</v>
      </c>
      <c r="I42" s="3560">
        <v>54230</v>
      </c>
      <c r="J42" s="3560">
        <v>5873</v>
      </c>
      <c r="K42" s="3560">
        <v>23626</v>
      </c>
      <c r="L42" s="3560">
        <v>11686</v>
      </c>
      <c r="M42" s="3560">
        <v>33855</v>
      </c>
      <c r="N42" s="3560">
        <v>25441</v>
      </c>
      <c r="O42" s="3560">
        <v>14952</v>
      </c>
      <c r="P42" s="2830">
        <v>21263</v>
      </c>
    </row>
    <row r="43" spans="1:16">
      <c r="A43" s="1162" t="s">
        <v>428</v>
      </c>
      <c r="B43" s="1608">
        <v>297086</v>
      </c>
      <c r="C43" s="1001">
        <v>19026</v>
      </c>
      <c r="D43" s="3560">
        <v>13</v>
      </c>
      <c r="E43" s="3560">
        <v>289</v>
      </c>
      <c r="F43" s="3560">
        <v>75316</v>
      </c>
      <c r="G43" s="3560">
        <v>3183</v>
      </c>
      <c r="H43" s="3560">
        <v>9164</v>
      </c>
      <c r="I43" s="3560">
        <v>53862</v>
      </c>
      <c r="J43" s="3560">
        <v>5557</v>
      </c>
      <c r="K43" s="3560">
        <v>22908</v>
      </c>
      <c r="L43" s="3560">
        <v>13182</v>
      </c>
      <c r="M43" s="3560">
        <v>32320</v>
      </c>
      <c r="N43" s="3560">
        <v>26683</v>
      </c>
      <c r="O43" s="3560">
        <v>14621</v>
      </c>
      <c r="P43" s="2830">
        <v>20962</v>
      </c>
    </row>
    <row r="44" spans="1:16">
      <c r="A44" s="1162" t="s">
        <v>429</v>
      </c>
      <c r="B44" s="1608">
        <v>291868</v>
      </c>
      <c r="C44" s="1001">
        <v>18257</v>
      </c>
      <c r="D44" s="3560">
        <v>21</v>
      </c>
      <c r="E44" s="3560">
        <v>286</v>
      </c>
      <c r="F44" s="3560">
        <v>75322</v>
      </c>
      <c r="G44" s="3560">
        <v>3159</v>
      </c>
      <c r="H44" s="3560">
        <v>9272</v>
      </c>
      <c r="I44" s="3560">
        <v>51712</v>
      </c>
      <c r="J44" s="3560">
        <v>5455</v>
      </c>
      <c r="K44" s="3560">
        <v>22649</v>
      </c>
      <c r="L44" s="3560">
        <v>11210</v>
      </c>
      <c r="M44" s="3560">
        <v>32080</v>
      </c>
      <c r="N44" s="3560">
        <v>26994</v>
      </c>
      <c r="O44" s="3560">
        <v>14514</v>
      </c>
      <c r="P44" s="2830">
        <v>20937</v>
      </c>
    </row>
    <row r="45" spans="1:16">
      <c r="A45" s="1162" t="s">
        <v>430</v>
      </c>
      <c r="B45" s="1608">
        <v>298030</v>
      </c>
      <c r="C45" s="1001">
        <v>19135</v>
      </c>
      <c r="D45" s="3560">
        <v>27</v>
      </c>
      <c r="E45" s="3560">
        <v>284</v>
      </c>
      <c r="F45" s="3560">
        <v>76665</v>
      </c>
      <c r="G45" s="3560">
        <v>3185</v>
      </c>
      <c r="H45" s="3560">
        <v>10281</v>
      </c>
      <c r="I45" s="3560">
        <v>52441</v>
      </c>
      <c r="J45" s="3560">
        <v>5885</v>
      </c>
      <c r="K45" s="3560">
        <v>22833</v>
      </c>
      <c r="L45" s="3560">
        <v>11110</v>
      </c>
      <c r="M45" s="3560">
        <v>33249</v>
      </c>
      <c r="N45" s="3560">
        <v>27318</v>
      </c>
      <c r="O45" s="3560">
        <v>14567</v>
      </c>
      <c r="P45" s="2830">
        <v>21050</v>
      </c>
    </row>
    <row r="46" spans="1:16">
      <c r="A46" s="1162" t="s">
        <v>431</v>
      </c>
      <c r="B46" s="1608">
        <v>303218</v>
      </c>
      <c r="C46" s="1001">
        <v>19681</v>
      </c>
      <c r="D46" s="3560">
        <v>22</v>
      </c>
      <c r="E46" s="3560">
        <v>296</v>
      </c>
      <c r="F46" s="3560">
        <v>79325</v>
      </c>
      <c r="G46" s="3560">
        <v>3207</v>
      </c>
      <c r="H46" s="3560">
        <v>11758</v>
      </c>
      <c r="I46" s="3560">
        <v>53595</v>
      </c>
      <c r="J46" s="3560">
        <v>5842</v>
      </c>
      <c r="K46" s="3560">
        <v>22853</v>
      </c>
      <c r="L46" s="3560">
        <v>11029</v>
      </c>
      <c r="M46" s="3560">
        <v>34397</v>
      </c>
      <c r="N46" s="3560">
        <v>25431</v>
      </c>
      <c r="O46" s="3560">
        <v>14456</v>
      </c>
      <c r="P46" s="2830">
        <v>21326</v>
      </c>
    </row>
    <row r="47" spans="1:16">
      <c r="A47" s="1162" t="s">
        <v>432</v>
      </c>
      <c r="B47" s="1608">
        <v>311699</v>
      </c>
      <c r="C47" s="1001">
        <v>19849</v>
      </c>
      <c r="D47" s="3560">
        <v>21</v>
      </c>
      <c r="E47" s="3560">
        <v>342</v>
      </c>
      <c r="F47" s="3560">
        <v>82103</v>
      </c>
      <c r="G47" s="3560">
        <v>3241</v>
      </c>
      <c r="H47" s="3560">
        <v>12409</v>
      </c>
      <c r="I47" s="3560">
        <v>54696</v>
      </c>
      <c r="J47" s="3560">
        <v>5750</v>
      </c>
      <c r="K47" s="3560">
        <v>23290</v>
      </c>
      <c r="L47" s="3560">
        <v>10952</v>
      </c>
      <c r="M47" s="3560">
        <v>35636</v>
      </c>
      <c r="N47" s="3560">
        <v>27420</v>
      </c>
      <c r="O47" s="3560">
        <v>14475</v>
      </c>
      <c r="P47" s="2830">
        <v>21515</v>
      </c>
    </row>
    <row r="48" spans="1:16">
      <c r="A48" s="1162" t="s">
        <v>433</v>
      </c>
      <c r="B48" s="1608">
        <v>320951</v>
      </c>
      <c r="C48" s="1001">
        <v>19560</v>
      </c>
      <c r="D48" s="3560">
        <v>24</v>
      </c>
      <c r="E48" s="3560">
        <v>394</v>
      </c>
      <c r="F48" s="3560">
        <v>85400</v>
      </c>
      <c r="G48" s="3560">
        <v>3307</v>
      </c>
      <c r="H48" s="3560">
        <v>13372</v>
      </c>
      <c r="I48" s="3560">
        <v>55913</v>
      </c>
      <c r="J48" s="3560">
        <v>6157</v>
      </c>
      <c r="K48" s="3560">
        <v>23591</v>
      </c>
      <c r="L48" s="3560">
        <v>11044</v>
      </c>
      <c r="M48" s="3560">
        <v>37547</v>
      </c>
      <c r="N48" s="3560">
        <v>27859</v>
      </c>
      <c r="O48" s="3560">
        <v>14689</v>
      </c>
      <c r="P48" s="2830">
        <v>22094</v>
      </c>
    </row>
    <row r="49" spans="1:16">
      <c r="A49" s="1162" t="s">
        <v>434</v>
      </c>
      <c r="B49" s="1608">
        <v>334779</v>
      </c>
      <c r="C49" s="1001">
        <v>20837</v>
      </c>
      <c r="D49" s="3560">
        <v>28</v>
      </c>
      <c r="E49" s="3560">
        <v>405</v>
      </c>
      <c r="F49" s="3560">
        <v>89508</v>
      </c>
      <c r="G49" s="3560">
        <v>3321</v>
      </c>
      <c r="H49" s="3560">
        <v>15399</v>
      </c>
      <c r="I49" s="3560">
        <v>59003</v>
      </c>
      <c r="J49" s="3560">
        <v>6476</v>
      </c>
      <c r="K49" s="3560">
        <v>24602</v>
      </c>
      <c r="L49" s="3560">
        <v>10992</v>
      </c>
      <c r="M49" s="3560">
        <v>38534</v>
      </c>
      <c r="N49" s="3560">
        <v>28203</v>
      </c>
      <c r="O49" s="3560">
        <v>14792</v>
      </c>
      <c r="P49" s="2830">
        <v>22679</v>
      </c>
    </row>
    <row r="50" spans="1:16">
      <c r="A50" s="1162" t="s">
        <v>38</v>
      </c>
      <c r="B50" s="1608">
        <v>342811</v>
      </c>
      <c r="C50" s="1001">
        <v>21163</v>
      </c>
      <c r="D50" s="3560">
        <v>130</v>
      </c>
      <c r="E50" s="3560">
        <v>424</v>
      </c>
      <c r="F50" s="3560">
        <v>92847</v>
      </c>
      <c r="G50" s="3560">
        <v>3303</v>
      </c>
      <c r="H50" s="3560">
        <v>17549</v>
      </c>
      <c r="I50" s="3560">
        <v>60534</v>
      </c>
      <c r="J50" s="3560">
        <v>6667</v>
      </c>
      <c r="K50" s="3560">
        <v>24175</v>
      </c>
      <c r="L50" s="3560">
        <v>10824</v>
      </c>
      <c r="M50" s="3560">
        <v>40794</v>
      </c>
      <c r="N50" s="3560">
        <v>26381</v>
      </c>
      <c r="O50" s="3560">
        <v>15014</v>
      </c>
      <c r="P50" s="2830">
        <v>23006</v>
      </c>
    </row>
    <row r="51" spans="1:16">
      <c r="A51" s="1162" t="s">
        <v>435</v>
      </c>
      <c r="B51" s="1608">
        <v>352004</v>
      </c>
      <c r="C51" s="1001">
        <v>22006</v>
      </c>
      <c r="D51" s="3560">
        <v>134</v>
      </c>
      <c r="E51" s="3560">
        <v>437</v>
      </c>
      <c r="F51" s="3560">
        <v>94972</v>
      </c>
      <c r="G51" s="3560">
        <v>3330</v>
      </c>
      <c r="H51" s="3560">
        <v>18440</v>
      </c>
      <c r="I51" s="3560">
        <v>61869</v>
      </c>
      <c r="J51" s="3560">
        <v>6593</v>
      </c>
      <c r="K51" s="3560">
        <v>24977</v>
      </c>
      <c r="L51" s="3560">
        <v>10897</v>
      </c>
      <c r="M51" s="3560">
        <v>41470</v>
      </c>
      <c r="N51" s="3560">
        <v>28434</v>
      </c>
      <c r="O51" s="3560">
        <v>15040</v>
      </c>
      <c r="P51" s="2830">
        <v>23405</v>
      </c>
    </row>
    <row r="52" spans="1:16">
      <c r="A52" s="1162" t="s">
        <v>436</v>
      </c>
      <c r="B52" s="1608">
        <v>362887</v>
      </c>
      <c r="C52" s="1001">
        <v>21711</v>
      </c>
      <c r="D52" s="3560">
        <v>128</v>
      </c>
      <c r="E52" s="3560">
        <v>449</v>
      </c>
      <c r="F52" s="3560">
        <v>98104</v>
      </c>
      <c r="G52" s="3560">
        <v>3324</v>
      </c>
      <c r="H52" s="3560">
        <v>20539</v>
      </c>
      <c r="I52" s="3560">
        <v>62778</v>
      </c>
      <c r="J52" s="3560">
        <v>6981</v>
      </c>
      <c r="K52" s="3560">
        <v>25451</v>
      </c>
      <c r="L52" s="3560">
        <v>11076</v>
      </c>
      <c r="M52" s="3560">
        <v>43480</v>
      </c>
      <c r="N52" s="3560">
        <v>29244</v>
      </c>
      <c r="O52" s="3560">
        <v>15354</v>
      </c>
      <c r="P52" s="2830">
        <v>24268</v>
      </c>
    </row>
    <row r="53" spans="1:16">
      <c r="A53" s="1162" t="s">
        <v>437</v>
      </c>
      <c r="B53" s="1608">
        <v>380351</v>
      </c>
      <c r="C53" s="1001">
        <v>22606</v>
      </c>
      <c r="D53" s="3560">
        <v>113</v>
      </c>
      <c r="E53" s="3560">
        <v>463</v>
      </c>
      <c r="F53" s="3560">
        <v>101961</v>
      </c>
      <c r="G53" s="3560">
        <v>3340</v>
      </c>
      <c r="H53" s="3560">
        <v>22332</v>
      </c>
      <c r="I53" s="3560">
        <v>66220</v>
      </c>
      <c r="J53" s="3560">
        <v>7859</v>
      </c>
      <c r="K53" s="3560">
        <v>26313</v>
      </c>
      <c r="L53" s="3560">
        <v>11468</v>
      </c>
      <c r="M53" s="3560">
        <v>47135</v>
      </c>
      <c r="N53" s="3560">
        <v>29871</v>
      </c>
      <c r="O53" s="3560">
        <v>15581</v>
      </c>
      <c r="P53" s="2830">
        <v>25089</v>
      </c>
    </row>
    <row r="54" spans="1:16">
      <c r="A54" s="1162" t="s">
        <v>438</v>
      </c>
      <c r="B54" s="1608">
        <v>383964</v>
      </c>
      <c r="C54" s="1001">
        <v>22989</v>
      </c>
      <c r="D54" s="3560">
        <v>140</v>
      </c>
      <c r="E54" s="3560">
        <v>297</v>
      </c>
      <c r="F54" s="3560">
        <v>103965</v>
      </c>
      <c r="G54" s="3560">
        <v>3327</v>
      </c>
      <c r="H54" s="3560">
        <v>23671</v>
      </c>
      <c r="I54" s="3560">
        <v>67513</v>
      </c>
      <c r="J54" s="3560">
        <v>8073</v>
      </c>
      <c r="K54" s="3560">
        <v>26843</v>
      </c>
      <c r="L54" s="3560">
        <v>11576</v>
      </c>
      <c r="M54" s="3560">
        <v>47728</v>
      </c>
      <c r="N54" s="3560">
        <v>27389</v>
      </c>
      <c r="O54" s="3560">
        <v>15838</v>
      </c>
      <c r="P54" s="2830">
        <v>24615</v>
      </c>
    </row>
    <row r="55" spans="1:16">
      <c r="A55" s="1162" t="s">
        <v>439</v>
      </c>
      <c r="B55" s="1608">
        <v>394601</v>
      </c>
      <c r="C55" s="1001">
        <v>23559</v>
      </c>
      <c r="D55" s="3560">
        <v>154</v>
      </c>
      <c r="E55" s="3560">
        <v>298</v>
      </c>
      <c r="F55" s="3560">
        <v>105335</v>
      </c>
      <c r="G55" s="3560">
        <v>3381</v>
      </c>
      <c r="H55" s="3560">
        <v>24532</v>
      </c>
      <c r="I55" s="3560">
        <v>69466</v>
      </c>
      <c r="J55" s="3560">
        <v>8185</v>
      </c>
      <c r="K55" s="3560">
        <v>28488</v>
      </c>
      <c r="L55" s="3560">
        <v>11529</v>
      </c>
      <c r="M55" s="3560">
        <v>48131</v>
      </c>
      <c r="N55" s="3560">
        <v>30124</v>
      </c>
      <c r="O55" s="3560">
        <v>15897</v>
      </c>
      <c r="P55" s="2830">
        <v>25522</v>
      </c>
    </row>
    <row r="56" spans="1:16">
      <c r="A56" s="1162" t="s">
        <v>440</v>
      </c>
      <c r="B56" s="1608">
        <v>403589</v>
      </c>
      <c r="C56" s="1001">
        <v>23422</v>
      </c>
      <c r="D56" s="3560">
        <v>151</v>
      </c>
      <c r="E56" s="3560">
        <v>327</v>
      </c>
      <c r="F56" s="3560">
        <v>107477</v>
      </c>
      <c r="G56" s="3560">
        <v>3399</v>
      </c>
      <c r="H56" s="3560">
        <v>27274</v>
      </c>
      <c r="I56" s="3560">
        <v>69770</v>
      </c>
      <c r="J56" s="3560">
        <v>8323</v>
      </c>
      <c r="K56" s="3560">
        <v>29212</v>
      </c>
      <c r="L56" s="3560">
        <v>11690</v>
      </c>
      <c r="M56" s="3560">
        <v>49222</v>
      </c>
      <c r="N56" s="3560">
        <v>30984</v>
      </c>
      <c r="O56" s="3560">
        <v>16187</v>
      </c>
      <c r="P56" s="2830">
        <v>26151</v>
      </c>
    </row>
    <row r="57" spans="1:16">
      <c r="A57" s="1162" t="s">
        <v>441</v>
      </c>
      <c r="B57" s="1608">
        <v>420944</v>
      </c>
      <c r="C57" s="1001">
        <v>24366</v>
      </c>
      <c r="D57" s="3560">
        <v>113</v>
      </c>
      <c r="E57" s="3560">
        <v>331</v>
      </c>
      <c r="F57" s="3560">
        <v>111463</v>
      </c>
      <c r="G57" s="3560">
        <v>3463</v>
      </c>
      <c r="H57" s="3560">
        <v>30725</v>
      </c>
      <c r="I57" s="3560">
        <v>72704</v>
      </c>
      <c r="J57" s="3560">
        <v>9134</v>
      </c>
      <c r="K57" s="3560">
        <v>29951</v>
      </c>
      <c r="L57" s="3560">
        <v>11773</v>
      </c>
      <c r="M57" s="3560">
        <v>51896</v>
      </c>
      <c r="N57" s="3560">
        <v>31612</v>
      </c>
      <c r="O57" s="3560">
        <v>16513</v>
      </c>
      <c r="P57" s="2830">
        <v>26900</v>
      </c>
    </row>
    <row r="58" spans="1:16">
      <c r="A58" s="1162" t="s">
        <v>442</v>
      </c>
      <c r="B58" s="1608">
        <v>424421</v>
      </c>
      <c r="C58" s="1001">
        <v>24399</v>
      </c>
      <c r="D58" s="3560">
        <v>88</v>
      </c>
      <c r="E58" s="3560">
        <v>342</v>
      </c>
      <c r="F58" s="3560">
        <v>112790</v>
      </c>
      <c r="G58" s="3560">
        <v>4382</v>
      </c>
      <c r="H58" s="3560">
        <v>31862</v>
      </c>
      <c r="I58" s="3560">
        <v>73464</v>
      </c>
      <c r="J58" s="3560">
        <v>9333</v>
      </c>
      <c r="K58" s="3560">
        <v>30526</v>
      </c>
      <c r="L58" s="3560">
        <v>11794</v>
      </c>
      <c r="M58" s="3560">
        <v>52392</v>
      </c>
      <c r="N58" s="3560">
        <v>29292</v>
      </c>
      <c r="O58" s="3560">
        <v>16750</v>
      </c>
      <c r="P58" s="2830">
        <v>27007</v>
      </c>
    </row>
    <row r="59" spans="1:16">
      <c r="A59" s="1162" t="s">
        <v>443</v>
      </c>
      <c r="B59" s="1608">
        <v>431137</v>
      </c>
      <c r="C59" s="1001">
        <v>24945</v>
      </c>
      <c r="D59" s="3560">
        <v>70</v>
      </c>
      <c r="E59" s="3560">
        <v>353</v>
      </c>
      <c r="F59" s="3560">
        <v>113014</v>
      </c>
      <c r="G59" s="3560">
        <v>3469</v>
      </c>
      <c r="H59" s="3560">
        <v>33562</v>
      </c>
      <c r="I59" s="3560">
        <v>74955</v>
      </c>
      <c r="J59" s="3560">
        <v>9535</v>
      </c>
      <c r="K59" s="3560">
        <v>31121</v>
      </c>
      <c r="L59" s="3560">
        <v>11891</v>
      </c>
      <c r="M59" s="3560">
        <v>52360</v>
      </c>
      <c r="N59" s="3560">
        <v>31652</v>
      </c>
      <c r="O59" s="3560">
        <v>16722</v>
      </c>
      <c r="P59" s="2830">
        <v>27488</v>
      </c>
    </row>
    <row r="60" spans="1:16">
      <c r="A60" s="1162" t="s">
        <v>444</v>
      </c>
      <c r="B60" s="1608">
        <v>435734</v>
      </c>
      <c r="C60" s="1001">
        <v>24495</v>
      </c>
      <c r="D60" s="3560">
        <v>55</v>
      </c>
      <c r="E60" s="3560">
        <v>357</v>
      </c>
      <c r="F60" s="3560">
        <v>114386</v>
      </c>
      <c r="G60" s="3560">
        <v>3498</v>
      </c>
      <c r="H60" s="3560">
        <v>34152</v>
      </c>
      <c r="I60" s="3560">
        <v>75482</v>
      </c>
      <c r="J60" s="3560">
        <v>9722</v>
      </c>
      <c r="K60" s="3560">
        <v>31810</v>
      </c>
      <c r="L60" s="3560">
        <v>12086</v>
      </c>
      <c r="M60" s="3560">
        <v>52749</v>
      </c>
      <c r="N60" s="3560">
        <v>32089</v>
      </c>
      <c r="O60" s="3560">
        <v>16967</v>
      </c>
      <c r="P60" s="2830">
        <v>27886</v>
      </c>
    </row>
    <row r="61" spans="1:16">
      <c r="A61" s="1162" t="s">
        <v>445</v>
      </c>
      <c r="B61" s="1608">
        <v>449696</v>
      </c>
      <c r="C61" s="1001">
        <v>25618</v>
      </c>
      <c r="D61" s="3560">
        <v>50</v>
      </c>
      <c r="E61" s="3560">
        <v>371</v>
      </c>
      <c r="F61" s="3560">
        <v>117148</v>
      </c>
      <c r="G61" s="3560">
        <v>3512</v>
      </c>
      <c r="H61" s="3560">
        <v>35091</v>
      </c>
      <c r="I61" s="3560">
        <v>77771</v>
      </c>
      <c r="J61" s="3560">
        <v>10142</v>
      </c>
      <c r="K61" s="3560">
        <v>32995</v>
      </c>
      <c r="L61" s="3560">
        <v>12351</v>
      </c>
      <c r="M61" s="3560">
        <v>55236</v>
      </c>
      <c r="N61" s="3560">
        <v>33725</v>
      </c>
      <c r="O61" s="3560">
        <v>17383</v>
      </c>
      <c r="P61" s="2830">
        <v>28303</v>
      </c>
    </row>
    <row r="62" spans="1:16">
      <c r="A62" s="1162" t="s">
        <v>446</v>
      </c>
      <c r="B62" s="1608">
        <v>450153</v>
      </c>
      <c r="C62" s="1001">
        <v>25562</v>
      </c>
      <c r="D62" s="3560">
        <v>41</v>
      </c>
      <c r="E62" s="3560">
        <v>464</v>
      </c>
      <c r="F62" s="3560">
        <v>118743</v>
      </c>
      <c r="G62" s="3560">
        <v>3524</v>
      </c>
      <c r="H62" s="3560">
        <v>35712</v>
      </c>
      <c r="I62" s="3560">
        <v>78892</v>
      </c>
      <c r="J62" s="3560">
        <v>10229</v>
      </c>
      <c r="K62" s="3560">
        <v>32943</v>
      </c>
      <c r="L62" s="3560">
        <v>12524</v>
      </c>
      <c r="M62" s="3560">
        <v>56302</v>
      </c>
      <c r="N62" s="3560">
        <v>30104</v>
      </c>
      <c r="O62" s="3560">
        <v>17485</v>
      </c>
      <c r="P62" s="2830">
        <v>27628</v>
      </c>
    </row>
    <row r="63" spans="1:16">
      <c r="A63" s="1162" t="s">
        <v>447</v>
      </c>
      <c r="B63" s="1608">
        <v>456893</v>
      </c>
      <c r="C63" s="1001">
        <v>26047</v>
      </c>
      <c r="D63" s="3560">
        <v>35</v>
      </c>
      <c r="E63" s="3560">
        <v>458</v>
      </c>
      <c r="F63" s="3560">
        <v>120565</v>
      </c>
      <c r="G63" s="3560">
        <v>3552</v>
      </c>
      <c r="H63" s="3560">
        <v>35198</v>
      </c>
      <c r="I63" s="3560">
        <v>80666</v>
      </c>
      <c r="J63" s="3560">
        <v>10100</v>
      </c>
      <c r="K63" s="3560">
        <v>33640</v>
      </c>
      <c r="L63" s="3560">
        <v>12774</v>
      </c>
      <c r="M63" s="3560">
        <v>55651</v>
      </c>
      <c r="N63" s="3560">
        <v>32783</v>
      </c>
      <c r="O63" s="3560">
        <v>17484</v>
      </c>
      <c r="P63" s="2830">
        <v>27940</v>
      </c>
    </row>
    <row r="64" spans="1:16">
      <c r="A64" s="1162" t="s">
        <v>448</v>
      </c>
      <c r="B64" s="1608">
        <v>464909</v>
      </c>
      <c r="C64" s="1001">
        <v>25393</v>
      </c>
      <c r="D64" s="3560">
        <v>37</v>
      </c>
      <c r="E64" s="3560">
        <v>484</v>
      </c>
      <c r="F64" s="3560">
        <v>123013</v>
      </c>
      <c r="G64" s="3560">
        <v>3588</v>
      </c>
      <c r="H64" s="3560">
        <v>35774</v>
      </c>
      <c r="I64" s="3560">
        <v>82018</v>
      </c>
      <c r="J64" s="3560">
        <v>10307</v>
      </c>
      <c r="K64" s="3560">
        <v>34936</v>
      </c>
      <c r="L64" s="3560">
        <v>13021</v>
      </c>
      <c r="M64" s="3560">
        <v>56637</v>
      </c>
      <c r="N64" s="3560">
        <v>33665</v>
      </c>
      <c r="O64" s="3560">
        <v>17820</v>
      </c>
      <c r="P64" s="2830">
        <v>28216</v>
      </c>
    </row>
    <row r="65" spans="1:16">
      <c r="A65" s="1162" t="s">
        <v>449</v>
      </c>
      <c r="B65" s="1608">
        <v>479441</v>
      </c>
      <c r="C65" s="1001">
        <v>26539</v>
      </c>
      <c r="D65" s="3560">
        <v>40</v>
      </c>
      <c r="E65" s="3560">
        <v>485</v>
      </c>
      <c r="F65" s="3560">
        <v>126279</v>
      </c>
      <c r="G65" s="3560">
        <v>3718</v>
      </c>
      <c r="H65" s="3560">
        <v>36885</v>
      </c>
      <c r="I65" s="3560">
        <v>84763</v>
      </c>
      <c r="J65" s="3560">
        <v>10840</v>
      </c>
      <c r="K65" s="3560">
        <v>35807</v>
      </c>
      <c r="L65" s="3560">
        <v>13105</v>
      </c>
      <c r="M65" s="3560">
        <v>59058</v>
      </c>
      <c r="N65" s="3560">
        <v>34846</v>
      </c>
      <c r="O65" s="3560">
        <v>18126</v>
      </c>
      <c r="P65" s="2830">
        <v>28950</v>
      </c>
    </row>
    <row r="66" spans="1:16">
      <c r="A66" s="1162" t="s">
        <v>450</v>
      </c>
      <c r="B66" s="1608">
        <v>481714</v>
      </c>
      <c r="C66" s="1001">
        <v>26469</v>
      </c>
      <c r="D66" s="3560">
        <v>38</v>
      </c>
      <c r="E66" s="3560">
        <v>372</v>
      </c>
      <c r="F66" s="3560">
        <v>128221</v>
      </c>
      <c r="G66" s="3560">
        <v>3707</v>
      </c>
      <c r="H66" s="3560">
        <v>37552</v>
      </c>
      <c r="I66" s="3560">
        <v>86251</v>
      </c>
      <c r="J66" s="3560">
        <v>11215</v>
      </c>
      <c r="K66" s="3560">
        <v>35999</v>
      </c>
      <c r="L66" s="3560">
        <v>13251</v>
      </c>
      <c r="M66" s="3560">
        <v>59797</v>
      </c>
      <c r="N66" s="3560">
        <v>30964</v>
      </c>
      <c r="O66" s="3560">
        <v>18299</v>
      </c>
      <c r="P66" s="2830">
        <v>29579</v>
      </c>
    </row>
    <row r="67" spans="1:16">
      <c r="A67" s="1162" t="s">
        <v>451</v>
      </c>
      <c r="B67" s="1608">
        <v>486511</v>
      </c>
      <c r="C67" s="1001">
        <v>26825</v>
      </c>
      <c r="D67" s="3560">
        <v>34</v>
      </c>
      <c r="E67" s="3560">
        <v>373</v>
      </c>
      <c r="F67" s="3560">
        <v>127934</v>
      </c>
      <c r="G67" s="3560">
        <v>3684</v>
      </c>
      <c r="H67" s="3560">
        <v>37224</v>
      </c>
      <c r="I67" s="3560">
        <v>87310</v>
      </c>
      <c r="J67" s="3560">
        <v>11271</v>
      </c>
      <c r="K67" s="3560">
        <v>36917</v>
      </c>
      <c r="L67" s="3560">
        <v>13481</v>
      </c>
      <c r="M67" s="3560">
        <v>59273</v>
      </c>
      <c r="N67" s="3560">
        <v>33809</v>
      </c>
      <c r="O67" s="3560">
        <v>18529</v>
      </c>
      <c r="P67" s="2830">
        <v>29847</v>
      </c>
    </row>
    <row r="68" spans="1:16">
      <c r="A68" s="1162" t="s">
        <v>452</v>
      </c>
      <c r="B68" s="1608">
        <v>487946</v>
      </c>
      <c r="C68" s="1001">
        <v>25809</v>
      </c>
      <c r="D68" s="3560">
        <v>32</v>
      </c>
      <c r="E68" s="3560">
        <v>374</v>
      </c>
      <c r="F68" s="3560">
        <v>130994</v>
      </c>
      <c r="G68" s="3560">
        <v>3729</v>
      </c>
      <c r="H68" s="3560">
        <v>35093</v>
      </c>
      <c r="I68" s="3560">
        <v>87532</v>
      </c>
      <c r="J68" s="3560">
        <v>11458</v>
      </c>
      <c r="K68" s="3560">
        <v>37150</v>
      </c>
      <c r="L68" s="3560">
        <v>13460</v>
      </c>
      <c r="M68" s="3560">
        <v>58932</v>
      </c>
      <c r="N68" s="3560">
        <v>34302</v>
      </c>
      <c r="O68" s="3560">
        <v>18863</v>
      </c>
      <c r="P68" s="2830">
        <v>30218</v>
      </c>
    </row>
    <row r="69" spans="1:16">
      <c r="A69" s="1162" t="s">
        <v>453</v>
      </c>
      <c r="B69" s="1608">
        <v>490018</v>
      </c>
      <c r="C69" s="1001">
        <v>26407</v>
      </c>
      <c r="D69" s="3560">
        <v>30</v>
      </c>
      <c r="E69" s="3560">
        <v>360</v>
      </c>
      <c r="F69" s="3560">
        <v>131106</v>
      </c>
      <c r="G69" s="3560">
        <v>3753</v>
      </c>
      <c r="H69" s="3560">
        <v>33773</v>
      </c>
      <c r="I69" s="3560">
        <v>88926</v>
      </c>
      <c r="J69" s="3560">
        <v>12168</v>
      </c>
      <c r="K69" s="3560">
        <v>37148</v>
      </c>
      <c r="L69" s="3560">
        <v>13288</v>
      </c>
      <c r="M69" s="3560">
        <v>58429</v>
      </c>
      <c r="N69" s="3560">
        <v>34943</v>
      </c>
      <c r="O69" s="3560">
        <v>19129</v>
      </c>
      <c r="P69" s="2830">
        <v>30558</v>
      </c>
    </row>
    <row r="70" spans="1:16">
      <c r="A70" s="1162" t="s">
        <v>454</v>
      </c>
      <c r="B70" s="1608">
        <v>476673</v>
      </c>
      <c r="C70" s="1001">
        <v>26090</v>
      </c>
      <c r="D70" s="3560">
        <v>22</v>
      </c>
      <c r="E70" s="3560">
        <v>347</v>
      </c>
      <c r="F70" s="3560">
        <v>126734</v>
      </c>
      <c r="G70" s="3560">
        <v>3778</v>
      </c>
      <c r="H70" s="3560">
        <v>31629</v>
      </c>
      <c r="I70" s="3560">
        <v>87812</v>
      </c>
      <c r="J70" s="3560">
        <v>12181</v>
      </c>
      <c r="K70" s="3560">
        <v>37273</v>
      </c>
      <c r="L70" s="3560">
        <v>12839</v>
      </c>
      <c r="M70" s="3560">
        <v>57279</v>
      </c>
      <c r="N70" s="3560">
        <v>31095</v>
      </c>
      <c r="O70" s="3560">
        <v>19255</v>
      </c>
      <c r="P70" s="2830">
        <v>30339</v>
      </c>
    </row>
    <row r="71" spans="1:16">
      <c r="A71" s="1162" t="s">
        <v>455</v>
      </c>
      <c r="B71" s="1608">
        <v>471066</v>
      </c>
      <c r="C71" s="1001">
        <v>25963</v>
      </c>
      <c r="D71" s="3560">
        <v>24</v>
      </c>
      <c r="E71" s="3560">
        <v>347</v>
      </c>
      <c r="F71" s="3560">
        <v>123447</v>
      </c>
      <c r="G71" s="3560">
        <v>3773</v>
      </c>
      <c r="H71" s="3560">
        <v>29692</v>
      </c>
      <c r="I71" s="3560">
        <v>87823</v>
      </c>
      <c r="J71" s="3560">
        <v>11820</v>
      </c>
      <c r="K71" s="3560">
        <v>37380</v>
      </c>
      <c r="L71" s="3560">
        <v>12566</v>
      </c>
      <c r="M71" s="3560">
        <v>54399</v>
      </c>
      <c r="N71" s="3560">
        <v>34629</v>
      </c>
      <c r="O71" s="3560">
        <v>19142</v>
      </c>
      <c r="P71" s="2830">
        <v>30061</v>
      </c>
    </row>
    <row r="72" spans="1:16">
      <c r="A72" s="1162" t="s">
        <v>456</v>
      </c>
      <c r="B72" s="1608">
        <v>469877</v>
      </c>
      <c r="C72" s="1001">
        <v>24592</v>
      </c>
      <c r="D72" s="3560">
        <v>28</v>
      </c>
      <c r="E72" s="3560">
        <v>344</v>
      </c>
      <c r="F72" s="3560">
        <v>122875</v>
      </c>
      <c r="G72" s="3560">
        <v>3796</v>
      </c>
      <c r="H72" s="3560">
        <v>29195</v>
      </c>
      <c r="I72" s="3560">
        <v>87473</v>
      </c>
      <c r="J72" s="3560">
        <v>11704</v>
      </c>
      <c r="K72" s="3560">
        <v>36946</v>
      </c>
      <c r="L72" s="3560">
        <v>13253</v>
      </c>
      <c r="M72" s="3560">
        <v>55158</v>
      </c>
      <c r="N72" s="3560">
        <v>34820</v>
      </c>
      <c r="O72" s="3560">
        <v>19264</v>
      </c>
      <c r="P72" s="2830">
        <v>30429</v>
      </c>
    </row>
    <row r="73" spans="1:16">
      <c r="A73" s="1162" t="s">
        <v>457</v>
      </c>
      <c r="B73" s="1608">
        <v>478176</v>
      </c>
      <c r="C73" s="1001">
        <v>25104</v>
      </c>
      <c r="D73" s="3560">
        <v>30</v>
      </c>
      <c r="E73" s="3560">
        <v>336</v>
      </c>
      <c r="F73" s="3560">
        <v>124521</v>
      </c>
      <c r="G73" s="3560">
        <v>3821</v>
      </c>
      <c r="H73" s="3560">
        <v>29200</v>
      </c>
      <c r="I73" s="3560">
        <v>89086</v>
      </c>
      <c r="J73" s="3560">
        <v>12399</v>
      </c>
      <c r="K73" s="3560">
        <v>37413</v>
      </c>
      <c r="L73" s="3560">
        <v>12425</v>
      </c>
      <c r="M73" s="3560">
        <v>56808</v>
      </c>
      <c r="N73" s="3560">
        <v>35494</v>
      </c>
      <c r="O73" s="3560">
        <v>19563</v>
      </c>
      <c r="P73" s="2830">
        <v>31976</v>
      </c>
    </row>
    <row r="74" spans="1:16">
      <c r="A74" s="1162" t="s">
        <v>458</v>
      </c>
      <c r="B74" s="1608">
        <v>477967</v>
      </c>
      <c r="C74" s="1001">
        <v>25499</v>
      </c>
      <c r="D74" s="3560">
        <v>22</v>
      </c>
      <c r="E74" s="3560">
        <v>452</v>
      </c>
      <c r="F74" s="3560">
        <v>124708</v>
      </c>
      <c r="G74" s="3560">
        <v>3806</v>
      </c>
      <c r="H74" s="3560">
        <v>29293</v>
      </c>
      <c r="I74" s="3560">
        <v>89715</v>
      </c>
      <c r="J74" s="3560">
        <v>12446</v>
      </c>
      <c r="K74" s="3560">
        <v>37761</v>
      </c>
      <c r="L74" s="3560">
        <v>12470</v>
      </c>
      <c r="M74" s="3560">
        <v>58294</v>
      </c>
      <c r="N74" s="3560">
        <v>31548</v>
      </c>
      <c r="O74" s="3560">
        <v>19778</v>
      </c>
      <c r="P74" s="2830">
        <v>32175</v>
      </c>
    </row>
    <row r="75" spans="1:16">
      <c r="A75" s="1162" t="s">
        <v>459</v>
      </c>
      <c r="B75" s="1608">
        <v>483545</v>
      </c>
      <c r="C75" s="1001">
        <v>25780</v>
      </c>
      <c r="D75" s="3560">
        <v>27</v>
      </c>
      <c r="E75" s="3560">
        <v>446</v>
      </c>
      <c r="F75" s="3560">
        <v>125212</v>
      </c>
      <c r="G75" s="3560">
        <v>3846</v>
      </c>
      <c r="H75" s="3560">
        <v>29096</v>
      </c>
      <c r="I75" s="3560">
        <v>90442</v>
      </c>
      <c r="J75" s="3560">
        <v>12285</v>
      </c>
      <c r="K75" s="3560">
        <v>38157</v>
      </c>
      <c r="L75" s="3560">
        <v>12599</v>
      </c>
      <c r="M75" s="3560">
        <v>58276</v>
      </c>
      <c r="N75" s="3560">
        <v>35266</v>
      </c>
      <c r="O75" s="3560">
        <v>19911</v>
      </c>
      <c r="P75" s="2830">
        <v>32202</v>
      </c>
    </row>
    <row r="76" spans="1:16">
      <c r="A76" s="1162" t="s">
        <v>460</v>
      </c>
      <c r="B76" s="1608">
        <v>486359</v>
      </c>
      <c r="C76" s="1001">
        <v>24959</v>
      </c>
      <c r="D76" s="3560">
        <v>21</v>
      </c>
      <c r="E76" s="3560">
        <v>457</v>
      </c>
      <c r="F76" s="3560">
        <v>126802</v>
      </c>
      <c r="G76" s="3560">
        <v>3866</v>
      </c>
      <c r="H76" s="3560">
        <v>29643</v>
      </c>
      <c r="I76" s="3560">
        <v>90829</v>
      </c>
      <c r="J76" s="3560">
        <v>12476</v>
      </c>
      <c r="K76" s="3560">
        <v>38137</v>
      </c>
      <c r="L76" s="3560">
        <v>12645</v>
      </c>
      <c r="M76" s="3560">
        <v>57576</v>
      </c>
      <c r="N76" s="3560">
        <v>36228</v>
      </c>
      <c r="O76" s="3560">
        <v>20035</v>
      </c>
      <c r="P76" s="2830">
        <v>32685</v>
      </c>
    </row>
    <row r="77" spans="1:16">
      <c r="A77" s="1162" t="s">
        <v>461</v>
      </c>
      <c r="B77" s="1608">
        <v>496769</v>
      </c>
      <c r="C77" s="1001">
        <v>25948</v>
      </c>
      <c r="D77" s="3560">
        <v>27</v>
      </c>
      <c r="E77" s="3560">
        <v>518</v>
      </c>
      <c r="F77" s="3560">
        <v>128895</v>
      </c>
      <c r="G77" s="3560">
        <v>3914</v>
      </c>
      <c r="H77" s="3560">
        <v>31669</v>
      </c>
      <c r="I77" s="3560">
        <v>92654</v>
      </c>
      <c r="J77" s="3560">
        <v>12928</v>
      </c>
      <c r="K77" s="3560">
        <v>38533</v>
      </c>
      <c r="L77" s="3560">
        <v>12808</v>
      </c>
      <c r="M77" s="3560">
        <v>58416</v>
      </c>
      <c r="N77" s="3560">
        <v>36799</v>
      </c>
      <c r="O77" s="3560">
        <v>20483</v>
      </c>
      <c r="P77" s="2830">
        <v>33177</v>
      </c>
    </row>
    <row r="78" spans="1:16">
      <c r="A78" s="1162" t="s">
        <v>462</v>
      </c>
      <c r="B78" s="1608">
        <v>498600</v>
      </c>
      <c r="C78" s="1001">
        <v>26486</v>
      </c>
      <c r="D78" s="3560">
        <v>18</v>
      </c>
      <c r="E78" s="3560">
        <v>360</v>
      </c>
      <c r="F78" s="3560">
        <v>129627</v>
      </c>
      <c r="G78" s="3560">
        <v>3947</v>
      </c>
      <c r="H78" s="3560">
        <v>33787</v>
      </c>
      <c r="I78" s="3560">
        <v>93023</v>
      </c>
      <c r="J78" s="3560">
        <v>13096</v>
      </c>
      <c r="K78" s="3560">
        <v>38982</v>
      </c>
      <c r="L78" s="3560">
        <v>12936</v>
      </c>
      <c r="M78" s="3560">
        <v>59723</v>
      </c>
      <c r="N78" s="3560">
        <v>32554</v>
      </c>
      <c r="O78" s="3560">
        <v>20731</v>
      </c>
      <c r="P78" s="2830">
        <v>33330</v>
      </c>
    </row>
    <row r="79" spans="1:16">
      <c r="A79" s="1162" t="s">
        <v>463</v>
      </c>
      <c r="B79" s="1608">
        <v>508117</v>
      </c>
      <c r="C79" s="1001">
        <v>27976</v>
      </c>
      <c r="D79" s="3560">
        <v>17</v>
      </c>
      <c r="E79" s="3560">
        <v>368</v>
      </c>
      <c r="F79" s="3560">
        <v>130292</v>
      </c>
      <c r="G79" s="3560">
        <v>3964</v>
      </c>
      <c r="H79" s="3560">
        <v>35574</v>
      </c>
      <c r="I79" s="3560">
        <v>94221</v>
      </c>
      <c r="J79" s="3560">
        <v>13017</v>
      </c>
      <c r="K79" s="3560">
        <v>39132</v>
      </c>
      <c r="L79" s="3560">
        <v>13235</v>
      </c>
      <c r="M79" s="3560">
        <v>59848</v>
      </c>
      <c r="N79" s="3560">
        <v>36157</v>
      </c>
      <c r="O79" s="3560">
        <v>20898</v>
      </c>
      <c r="P79" s="2830">
        <v>33418</v>
      </c>
    </row>
    <row r="80" spans="1:16">
      <c r="A80" s="1162" t="s">
        <v>464</v>
      </c>
      <c r="B80" s="1608">
        <v>513171</v>
      </c>
      <c r="C80" s="1001">
        <v>26651</v>
      </c>
      <c r="D80" s="3560">
        <v>19</v>
      </c>
      <c r="E80" s="3560">
        <v>371</v>
      </c>
      <c r="F80" s="3560">
        <v>131840</v>
      </c>
      <c r="G80" s="3560">
        <v>3970</v>
      </c>
      <c r="H80" s="3560">
        <v>37336</v>
      </c>
      <c r="I80" s="3560">
        <v>94617</v>
      </c>
      <c r="J80" s="3560">
        <v>13172</v>
      </c>
      <c r="K80" s="3560">
        <v>39344</v>
      </c>
      <c r="L80" s="3560">
        <v>13469</v>
      </c>
      <c r="M80" s="3560">
        <v>59809</v>
      </c>
      <c r="N80" s="3560">
        <v>37568</v>
      </c>
      <c r="O80" s="3560">
        <v>21205</v>
      </c>
      <c r="P80" s="2830">
        <v>33800</v>
      </c>
    </row>
    <row r="81" spans="1:16">
      <c r="A81" s="1162" t="s">
        <v>465</v>
      </c>
      <c r="B81" s="1608">
        <v>521232</v>
      </c>
      <c r="C81" s="1001">
        <v>27475</v>
      </c>
      <c r="D81" s="3560">
        <v>21</v>
      </c>
      <c r="E81" s="3560">
        <v>380</v>
      </c>
      <c r="F81" s="3560">
        <v>133431</v>
      </c>
      <c r="G81" s="3560">
        <v>3992</v>
      </c>
      <c r="H81" s="3560">
        <v>36899</v>
      </c>
      <c r="I81" s="3560">
        <v>96608</v>
      </c>
      <c r="J81" s="3560">
        <v>13684</v>
      </c>
      <c r="K81" s="3560">
        <v>40004</v>
      </c>
      <c r="L81" s="3560">
        <v>13652</v>
      </c>
      <c r="M81" s="3560">
        <v>61371</v>
      </c>
      <c r="N81" s="3560">
        <v>37915</v>
      </c>
      <c r="O81" s="3560">
        <v>21634</v>
      </c>
      <c r="P81" s="2830">
        <v>34166</v>
      </c>
    </row>
    <row r="82" spans="1:16">
      <c r="A82" s="1162" t="s">
        <v>466</v>
      </c>
      <c r="B82" s="1608">
        <v>515796</v>
      </c>
      <c r="C82" s="1001">
        <v>27095</v>
      </c>
      <c r="D82" s="3560">
        <v>18</v>
      </c>
      <c r="E82" s="3560">
        <v>380</v>
      </c>
      <c r="F82" s="3560">
        <v>133020</v>
      </c>
      <c r="G82" s="3560">
        <v>3997</v>
      </c>
      <c r="H82" s="3560">
        <v>36774</v>
      </c>
      <c r="I82" s="3560">
        <v>96365</v>
      </c>
      <c r="J82" s="3560">
        <v>13733</v>
      </c>
      <c r="K82" s="3560">
        <v>40016</v>
      </c>
      <c r="L82" s="3560">
        <v>13561</v>
      </c>
      <c r="M82" s="3560">
        <v>61980</v>
      </c>
      <c r="N82" s="3560">
        <v>33073</v>
      </c>
      <c r="O82" s="3560">
        <v>21816</v>
      </c>
      <c r="P82" s="2830">
        <v>33986</v>
      </c>
    </row>
    <row r="83" spans="1:16">
      <c r="A83" s="1162" t="s">
        <v>467</v>
      </c>
      <c r="B83" s="1608">
        <v>517437</v>
      </c>
      <c r="C83" s="1001">
        <v>27690</v>
      </c>
      <c r="D83" s="3560">
        <v>15</v>
      </c>
      <c r="E83" s="3560">
        <v>376</v>
      </c>
      <c r="F83" s="3560">
        <v>132177</v>
      </c>
      <c r="G83" s="3560">
        <v>4005</v>
      </c>
      <c r="H83" s="3560">
        <v>35693</v>
      </c>
      <c r="I83" s="3560">
        <v>96197</v>
      </c>
      <c r="J83" s="3560">
        <v>13449</v>
      </c>
      <c r="K83" s="3560">
        <v>40479</v>
      </c>
      <c r="L83" s="3560">
        <v>13602</v>
      </c>
      <c r="M83" s="3560">
        <v>61216</v>
      </c>
      <c r="N83" s="3560">
        <v>36831</v>
      </c>
      <c r="O83" s="3560">
        <v>21847</v>
      </c>
      <c r="P83" s="2830">
        <v>33875</v>
      </c>
    </row>
    <row r="84" spans="1:16">
      <c r="A84" s="1162" t="s">
        <v>468</v>
      </c>
      <c r="B84" s="1608">
        <v>513517</v>
      </c>
      <c r="C84" s="1001">
        <v>26416</v>
      </c>
      <c r="D84" s="3560">
        <v>14</v>
      </c>
      <c r="E84" s="3560">
        <v>374</v>
      </c>
      <c r="F84" s="3560">
        <v>131925</v>
      </c>
      <c r="G84" s="3560">
        <v>4001</v>
      </c>
      <c r="H84" s="3560">
        <v>34096</v>
      </c>
      <c r="I84" s="3560">
        <v>95960</v>
      </c>
      <c r="J84" s="3560">
        <v>13594</v>
      </c>
      <c r="K84" s="3560">
        <v>40224</v>
      </c>
      <c r="L84" s="3560">
        <v>13720</v>
      </c>
      <c r="M84" s="3560">
        <v>59463</v>
      </c>
      <c r="N84" s="3560">
        <v>37783</v>
      </c>
      <c r="O84" s="3560">
        <v>21943</v>
      </c>
      <c r="P84" s="2830">
        <v>34018</v>
      </c>
    </row>
    <row r="85" spans="1:16">
      <c r="A85" s="1162" t="s">
        <v>469</v>
      </c>
      <c r="B85" s="1608">
        <v>518147</v>
      </c>
      <c r="C85" s="1001">
        <v>27075</v>
      </c>
      <c r="D85" s="3560">
        <v>11</v>
      </c>
      <c r="E85" s="3560">
        <v>367</v>
      </c>
      <c r="F85" s="3560">
        <v>133017</v>
      </c>
      <c r="G85" s="3560">
        <v>4021</v>
      </c>
      <c r="H85" s="3560">
        <v>32580</v>
      </c>
      <c r="I85" s="3560">
        <v>97380</v>
      </c>
      <c r="J85" s="3560">
        <v>14209</v>
      </c>
      <c r="K85" s="3560">
        <v>40544</v>
      </c>
      <c r="L85" s="3560">
        <v>13738</v>
      </c>
      <c r="M85" s="3560">
        <v>60362</v>
      </c>
      <c r="N85" s="3560">
        <v>38123</v>
      </c>
      <c r="O85" s="3560">
        <v>22197</v>
      </c>
      <c r="P85" s="2830">
        <v>34534</v>
      </c>
    </row>
    <row r="86" spans="1:16">
      <c r="A86" s="1162" t="s">
        <v>470</v>
      </c>
      <c r="B86" s="1608">
        <v>517303</v>
      </c>
      <c r="C86" s="1001">
        <v>26925</v>
      </c>
      <c r="D86" s="3560">
        <v>0</v>
      </c>
      <c r="E86" s="3560">
        <v>501</v>
      </c>
      <c r="F86" s="3560">
        <v>134368</v>
      </c>
      <c r="G86" s="3560">
        <v>4017</v>
      </c>
      <c r="H86" s="3560">
        <v>32894</v>
      </c>
      <c r="I86" s="3560">
        <v>98317</v>
      </c>
      <c r="J86" s="3560">
        <v>14488</v>
      </c>
      <c r="K86" s="3560">
        <v>40803</v>
      </c>
      <c r="L86" s="3560">
        <v>13711</v>
      </c>
      <c r="M86" s="3560">
        <v>60628</v>
      </c>
      <c r="N86" s="3560">
        <v>33887</v>
      </c>
      <c r="O86" s="3560">
        <v>22400</v>
      </c>
      <c r="P86" s="2830">
        <v>34364</v>
      </c>
    </row>
    <row r="87" spans="1:16">
      <c r="A87" s="1162" t="s">
        <v>471</v>
      </c>
      <c r="B87" s="1608">
        <v>521933</v>
      </c>
      <c r="C87" s="1001">
        <v>27182</v>
      </c>
      <c r="D87" s="3560">
        <v>0</v>
      </c>
      <c r="E87" s="3560">
        <v>521</v>
      </c>
      <c r="F87" s="3560">
        <v>134148</v>
      </c>
      <c r="G87" s="3560">
        <v>4020</v>
      </c>
      <c r="H87" s="3560">
        <v>33247</v>
      </c>
      <c r="I87" s="3560">
        <v>98563</v>
      </c>
      <c r="J87" s="3560">
        <v>14182</v>
      </c>
      <c r="K87" s="3560">
        <v>41156</v>
      </c>
      <c r="L87" s="3560">
        <v>13772</v>
      </c>
      <c r="M87" s="3560">
        <v>60051</v>
      </c>
      <c r="N87" s="3560">
        <v>37720</v>
      </c>
      <c r="O87" s="3560">
        <v>22490</v>
      </c>
      <c r="P87" s="2830">
        <v>34881</v>
      </c>
    </row>
    <row r="88" spans="1:16">
      <c r="A88" s="1162" t="s">
        <v>472</v>
      </c>
      <c r="B88" s="1608">
        <v>520185</v>
      </c>
      <c r="C88" s="1001">
        <v>25810</v>
      </c>
      <c r="D88" s="3560">
        <v>0</v>
      </c>
      <c r="E88" s="3560">
        <v>547</v>
      </c>
      <c r="F88" s="3560">
        <v>134467</v>
      </c>
      <c r="G88" s="3560">
        <v>4030</v>
      </c>
      <c r="H88" s="3560">
        <v>33180</v>
      </c>
      <c r="I88" s="3560">
        <v>97852</v>
      </c>
      <c r="J88" s="3560">
        <v>14106</v>
      </c>
      <c r="K88" s="3560">
        <v>41155</v>
      </c>
      <c r="L88" s="3560">
        <v>13826</v>
      </c>
      <c r="M88" s="3560">
        <v>59366</v>
      </c>
      <c r="N88" s="3560">
        <v>38805</v>
      </c>
      <c r="O88" s="3560">
        <v>22661</v>
      </c>
      <c r="P88" s="2830">
        <v>34380</v>
      </c>
    </row>
    <row r="89" spans="1:16">
      <c r="A89" s="1162" t="s">
        <v>473</v>
      </c>
      <c r="B89" s="1608">
        <v>524527</v>
      </c>
      <c r="C89" s="1001">
        <v>26198</v>
      </c>
      <c r="D89" s="3560">
        <v>0</v>
      </c>
      <c r="E89" s="3560">
        <v>552</v>
      </c>
      <c r="F89" s="3560">
        <v>135194</v>
      </c>
      <c r="G89" s="3560">
        <v>4073</v>
      </c>
      <c r="H89" s="3560">
        <v>33473</v>
      </c>
      <c r="I89" s="3560">
        <v>98677</v>
      </c>
      <c r="J89" s="3560">
        <v>14673</v>
      </c>
      <c r="K89" s="3560">
        <v>41097</v>
      </c>
      <c r="L89" s="3560">
        <v>13843</v>
      </c>
      <c r="M89" s="3560">
        <v>59668</v>
      </c>
      <c r="N89" s="3560">
        <v>39299</v>
      </c>
      <c r="O89" s="3560">
        <v>22953</v>
      </c>
      <c r="P89" s="2830">
        <v>34827</v>
      </c>
    </row>
    <row r="90" spans="1:16">
      <c r="A90" s="1162" t="s">
        <v>65</v>
      </c>
      <c r="B90" s="1608">
        <v>518138</v>
      </c>
      <c r="C90" s="1001">
        <v>26106</v>
      </c>
      <c r="D90" s="3560">
        <v>0</v>
      </c>
      <c r="E90" s="3560">
        <v>575</v>
      </c>
      <c r="F90" s="3560">
        <v>134663</v>
      </c>
      <c r="G90" s="3560">
        <v>4165</v>
      </c>
      <c r="H90" s="3560">
        <v>33338</v>
      </c>
      <c r="I90" s="3560">
        <v>98938</v>
      </c>
      <c r="J90" s="3560">
        <v>14606</v>
      </c>
      <c r="K90" s="3560">
        <v>41136</v>
      </c>
      <c r="L90" s="3560">
        <v>13839</v>
      </c>
      <c r="M90" s="3560">
        <v>58443</v>
      </c>
      <c r="N90" s="3560">
        <v>34449</v>
      </c>
      <c r="O90" s="3560">
        <v>23270</v>
      </c>
      <c r="P90" s="2830">
        <v>34610</v>
      </c>
    </row>
    <row r="91" spans="1:16">
      <c r="A91" s="1162" t="s">
        <v>474</v>
      </c>
      <c r="B91" s="1608">
        <v>520769</v>
      </c>
      <c r="C91" s="1001">
        <v>27008</v>
      </c>
      <c r="D91" s="3560">
        <v>0</v>
      </c>
      <c r="E91" s="3560">
        <v>582</v>
      </c>
      <c r="F91" s="3560">
        <v>133217</v>
      </c>
      <c r="G91" s="3560">
        <v>4200</v>
      </c>
      <c r="H91" s="3560">
        <v>33223</v>
      </c>
      <c r="I91" s="3560">
        <v>99015</v>
      </c>
      <c r="J91" s="3560">
        <v>14368</v>
      </c>
      <c r="K91" s="3560">
        <v>41349</v>
      </c>
      <c r="L91" s="3560">
        <v>13814</v>
      </c>
      <c r="M91" s="3560">
        <v>57494</v>
      </c>
      <c r="N91" s="3560">
        <v>39156</v>
      </c>
      <c r="O91" s="3560">
        <v>22765</v>
      </c>
      <c r="P91" s="2830">
        <v>34578</v>
      </c>
    </row>
    <row r="92" spans="1:16">
      <c r="A92" s="1162" t="s">
        <v>475</v>
      </c>
      <c r="B92" s="1608">
        <v>521053</v>
      </c>
      <c r="C92" s="1001">
        <v>26168</v>
      </c>
      <c r="D92" s="3560">
        <v>0</v>
      </c>
      <c r="E92" s="3560">
        <v>584</v>
      </c>
      <c r="F92" s="3560">
        <v>132709</v>
      </c>
      <c r="G92" s="3560">
        <v>4249</v>
      </c>
      <c r="H92" s="3560">
        <v>33597</v>
      </c>
      <c r="I92" s="3560">
        <v>98679</v>
      </c>
      <c r="J92" s="3560">
        <v>14275</v>
      </c>
      <c r="K92" s="3560">
        <v>41499</v>
      </c>
      <c r="L92" s="3560">
        <v>13835</v>
      </c>
      <c r="M92" s="3560">
        <v>56929</v>
      </c>
      <c r="N92" s="3560">
        <v>40775</v>
      </c>
      <c r="O92" s="3560">
        <v>22976</v>
      </c>
      <c r="P92" s="2830">
        <v>34778</v>
      </c>
    </row>
    <row r="93" spans="1:16">
      <c r="A93" s="1162" t="s">
        <v>476</v>
      </c>
      <c r="B93" s="1608">
        <v>525585</v>
      </c>
      <c r="C93" s="1001">
        <v>26315</v>
      </c>
      <c r="D93" s="3560">
        <v>0</v>
      </c>
      <c r="E93" s="3560">
        <v>595</v>
      </c>
      <c r="F93" s="3560">
        <v>133086</v>
      </c>
      <c r="G93" s="3560">
        <v>4274</v>
      </c>
      <c r="H93" s="3560">
        <v>34317</v>
      </c>
      <c r="I93" s="3560">
        <v>99555</v>
      </c>
      <c r="J93" s="3560">
        <v>14794</v>
      </c>
      <c r="K93" s="3560">
        <v>41466</v>
      </c>
      <c r="L93" s="3560">
        <v>13769</v>
      </c>
      <c r="M93" s="3560">
        <v>57825</v>
      </c>
      <c r="N93" s="3560">
        <v>41073</v>
      </c>
      <c r="O93" s="3560">
        <v>23227</v>
      </c>
      <c r="P93" s="2830">
        <v>35289</v>
      </c>
    </row>
    <row r="94" spans="1:16">
      <c r="A94" s="1162" t="s">
        <v>477</v>
      </c>
      <c r="B94" s="1608">
        <v>522793</v>
      </c>
      <c r="C94" s="1001">
        <v>26125</v>
      </c>
      <c r="D94" s="3560">
        <v>0</v>
      </c>
      <c r="E94" s="3560">
        <v>413</v>
      </c>
      <c r="F94" s="3560">
        <v>133191</v>
      </c>
      <c r="G94" s="3560">
        <v>4311</v>
      </c>
      <c r="H94" s="3560">
        <v>34586</v>
      </c>
      <c r="I94" s="3560">
        <v>99518</v>
      </c>
      <c r="J94" s="3560">
        <v>14862</v>
      </c>
      <c r="K94" s="3560">
        <v>41721</v>
      </c>
      <c r="L94" s="3560">
        <v>13839</v>
      </c>
      <c r="M94" s="3560">
        <v>58267</v>
      </c>
      <c r="N94" s="3560">
        <v>37113</v>
      </c>
      <c r="O94" s="3560">
        <v>23349</v>
      </c>
      <c r="P94" s="2830">
        <v>35498</v>
      </c>
    </row>
    <row r="95" spans="1:16">
      <c r="A95" s="1162" t="s">
        <v>478</v>
      </c>
      <c r="B95" s="1608">
        <v>529963</v>
      </c>
      <c r="C95" s="1001">
        <v>26441</v>
      </c>
      <c r="D95" s="3560">
        <v>0</v>
      </c>
      <c r="E95" s="3560">
        <v>406</v>
      </c>
      <c r="F95" s="3560">
        <v>132982</v>
      </c>
      <c r="G95" s="3560">
        <v>4358</v>
      </c>
      <c r="H95" s="3560">
        <v>35378</v>
      </c>
      <c r="I95" s="3560">
        <v>100022</v>
      </c>
      <c r="J95" s="3560">
        <v>14709</v>
      </c>
      <c r="K95" s="3560">
        <v>41802</v>
      </c>
      <c r="L95" s="3560">
        <v>13989</v>
      </c>
      <c r="M95" s="3560">
        <v>59183</v>
      </c>
      <c r="N95" s="3560">
        <v>41648</v>
      </c>
      <c r="O95" s="3560">
        <v>23392</v>
      </c>
      <c r="P95" s="2830">
        <v>35653</v>
      </c>
    </row>
    <row r="96" spans="1:16">
      <c r="A96" s="1162" t="s">
        <v>479</v>
      </c>
      <c r="B96" s="1608">
        <v>530176</v>
      </c>
      <c r="C96" s="1001">
        <v>25297</v>
      </c>
      <c r="D96" s="3560">
        <v>0</v>
      </c>
      <c r="E96" s="3560">
        <v>396</v>
      </c>
      <c r="F96" s="3560">
        <v>133568</v>
      </c>
      <c r="G96" s="3560">
        <v>4362</v>
      </c>
      <c r="H96" s="3560">
        <v>35278</v>
      </c>
      <c r="I96" s="3560">
        <v>100079</v>
      </c>
      <c r="J96" s="3560">
        <v>14826</v>
      </c>
      <c r="K96" s="3560">
        <v>42364</v>
      </c>
      <c r="L96" s="3560">
        <v>14073</v>
      </c>
      <c r="M96" s="3560">
        <v>57855</v>
      </c>
      <c r="N96" s="3560">
        <v>42371</v>
      </c>
      <c r="O96" s="3560">
        <v>23610</v>
      </c>
      <c r="P96" s="2830">
        <v>36097</v>
      </c>
    </row>
    <row r="97" spans="1:16">
      <c r="A97" s="1162" t="s">
        <v>480</v>
      </c>
      <c r="B97" s="1608">
        <v>532731</v>
      </c>
      <c r="C97" s="1001">
        <v>25212</v>
      </c>
      <c r="D97" s="3560">
        <v>0</v>
      </c>
      <c r="E97" s="3560">
        <v>401</v>
      </c>
      <c r="F97" s="3560">
        <v>133498</v>
      </c>
      <c r="G97" s="3560">
        <v>4355</v>
      </c>
      <c r="H97" s="3560">
        <v>34841</v>
      </c>
      <c r="I97" s="3560">
        <v>100689</v>
      </c>
      <c r="J97" s="3560">
        <v>15236</v>
      </c>
      <c r="K97" s="3560">
        <v>42642</v>
      </c>
      <c r="L97" s="3560">
        <v>14187</v>
      </c>
      <c r="M97" s="3560">
        <v>59415</v>
      </c>
      <c r="N97" s="3560">
        <v>42108</v>
      </c>
      <c r="O97" s="3560">
        <v>23691</v>
      </c>
      <c r="P97" s="2830">
        <v>36456</v>
      </c>
    </row>
    <row r="98" spans="1:16">
      <c r="A98" s="1162" t="s">
        <v>481</v>
      </c>
      <c r="B98" s="1608">
        <v>528090</v>
      </c>
      <c r="C98" s="1001">
        <v>25250</v>
      </c>
      <c r="D98" s="3560">
        <v>0</v>
      </c>
      <c r="E98" s="3560">
        <v>406</v>
      </c>
      <c r="F98" s="3560">
        <v>132942</v>
      </c>
      <c r="G98" s="3560">
        <v>4330</v>
      </c>
      <c r="H98" s="3560">
        <v>33917</v>
      </c>
      <c r="I98" s="3560">
        <v>100435</v>
      </c>
      <c r="J98" s="3560">
        <v>15116</v>
      </c>
      <c r="K98" s="3560">
        <v>42898</v>
      </c>
      <c r="L98" s="3560">
        <v>14279</v>
      </c>
      <c r="M98" s="3560">
        <v>59645</v>
      </c>
      <c r="N98" s="3560">
        <v>38415</v>
      </c>
      <c r="O98" s="3560">
        <v>23885</v>
      </c>
      <c r="P98" s="2830">
        <v>36572</v>
      </c>
    </row>
    <row r="99" spans="1:16">
      <c r="A99" s="1162" t="s">
        <v>482</v>
      </c>
      <c r="B99" s="1608">
        <v>528294</v>
      </c>
      <c r="C99" s="1001">
        <v>25633</v>
      </c>
      <c r="D99" s="3560">
        <v>0</v>
      </c>
      <c r="E99" s="3560">
        <v>396</v>
      </c>
      <c r="F99" s="3560">
        <v>131329</v>
      </c>
      <c r="G99" s="3560">
        <v>4331</v>
      </c>
      <c r="H99" s="3560">
        <v>33664</v>
      </c>
      <c r="I99" s="3560">
        <v>100124</v>
      </c>
      <c r="J99" s="3560">
        <v>14696</v>
      </c>
      <c r="K99" s="3560">
        <v>42539</v>
      </c>
      <c r="L99" s="3560">
        <v>14425</v>
      </c>
      <c r="M99" s="3560">
        <v>58109</v>
      </c>
      <c r="N99" s="3560">
        <v>42707</v>
      </c>
      <c r="O99" s="3560">
        <v>23841</v>
      </c>
      <c r="P99" s="2830">
        <v>36500</v>
      </c>
    </row>
    <row r="100" spans="1:16">
      <c r="A100" s="1162" t="s">
        <v>483</v>
      </c>
      <c r="B100" s="1608">
        <v>526663</v>
      </c>
      <c r="C100" s="1001">
        <v>24788</v>
      </c>
      <c r="D100" s="3560">
        <v>0</v>
      </c>
      <c r="E100" s="3560">
        <v>391</v>
      </c>
      <c r="F100" s="3560">
        <v>130342</v>
      </c>
      <c r="G100" s="3560">
        <v>4377</v>
      </c>
      <c r="H100" s="3560">
        <v>34304</v>
      </c>
      <c r="I100" s="3560">
        <v>100123</v>
      </c>
      <c r="J100" s="3560">
        <v>14892</v>
      </c>
      <c r="K100" s="3560">
        <v>42526</v>
      </c>
      <c r="L100" s="3560">
        <v>14362</v>
      </c>
      <c r="M100" s="3560">
        <v>57373</v>
      </c>
      <c r="N100" s="3560">
        <v>42911</v>
      </c>
      <c r="O100" s="3560">
        <v>23739</v>
      </c>
      <c r="P100" s="2830">
        <v>36535</v>
      </c>
    </row>
    <row r="101" spans="1:16">
      <c r="A101" s="1162" t="s">
        <v>484</v>
      </c>
      <c r="B101" s="1608">
        <v>532525</v>
      </c>
      <c r="C101" s="1001">
        <v>24964</v>
      </c>
      <c r="D101" s="3560">
        <v>0</v>
      </c>
      <c r="E101" s="3560">
        <v>402</v>
      </c>
      <c r="F101" s="3560">
        <v>131225</v>
      </c>
      <c r="G101" s="3560">
        <v>4480</v>
      </c>
      <c r="H101" s="3560">
        <v>34982</v>
      </c>
      <c r="I101" s="3560">
        <v>101417</v>
      </c>
      <c r="J101" s="3560">
        <v>15424</v>
      </c>
      <c r="K101" s="3560">
        <v>43106</v>
      </c>
      <c r="L101" s="3560">
        <v>14405</v>
      </c>
      <c r="M101" s="3560">
        <v>57960</v>
      </c>
      <c r="N101" s="3560">
        <v>42914</v>
      </c>
      <c r="O101" s="3560">
        <v>24117</v>
      </c>
      <c r="P101" s="2830">
        <v>37129</v>
      </c>
    </row>
    <row r="102" spans="1:16">
      <c r="A102" s="1162" t="s">
        <v>485</v>
      </c>
      <c r="B102" s="1608">
        <v>532230</v>
      </c>
      <c r="C102" s="1001">
        <v>24903</v>
      </c>
      <c r="D102" s="3560">
        <v>0</v>
      </c>
      <c r="E102" s="3560">
        <v>413</v>
      </c>
      <c r="F102" s="3560">
        <v>132192</v>
      </c>
      <c r="G102" s="3560">
        <v>4517</v>
      </c>
      <c r="H102" s="3560">
        <v>36813</v>
      </c>
      <c r="I102" s="3560">
        <v>101468</v>
      </c>
      <c r="J102" s="3560">
        <v>15562</v>
      </c>
      <c r="K102" s="3560">
        <v>43289</v>
      </c>
      <c r="L102" s="3560">
        <v>14411</v>
      </c>
      <c r="M102" s="3560">
        <v>58328</v>
      </c>
      <c r="N102" s="3560">
        <v>39232</v>
      </c>
      <c r="O102" s="3560">
        <v>24311</v>
      </c>
      <c r="P102" s="2830">
        <v>36791</v>
      </c>
    </row>
    <row r="103" spans="1:16">
      <c r="A103" s="1162" t="s">
        <v>486</v>
      </c>
      <c r="B103" s="1608">
        <v>535423</v>
      </c>
      <c r="C103" s="1001">
        <v>25260</v>
      </c>
      <c r="D103" s="3560">
        <v>0</v>
      </c>
      <c r="E103" s="3560">
        <v>406</v>
      </c>
      <c r="F103" s="3560">
        <v>131122</v>
      </c>
      <c r="G103" s="3560">
        <v>4564</v>
      </c>
      <c r="H103" s="3560">
        <v>36899</v>
      </c>
      <c r="I103" s="3560">
        <v>101780</v>
      </c>
      <c r="J103" s="3560">
        <v>15414</v>
      </c>
      <c r="K103" s="3560">
        <v>43252</v>
      </c>
      <c r="L103" s="3560">
        <v>14410</v>
      </c>
      <c r="M103" s="3560">
        <v>57589</v>
      </c>
      <c r="N103" s="3560">
        <v>43622</v>
      </c>
      <c r="O103" s="3560">
        <v>24197</v>
      </c>
      <c r="P103" s="2830">
        <v>36908</v>
      </c>
    </row>
    <row r="104" spans="1:16">
      <c r="A104" s="1162" t="s">
        <v>487</v>
      </c>
      <c r="B104" s="1608">
        <v>536532</v>
      </c>
      <c r="C104" s="1001">
        <v>24540</v>
      </c>
      <c r="D104" s="3560">
        <v>0</v>
      </c>
      <c r="E104" s="3560">
        <v>408</v>
      </c>
      <c r="F104" s="3560">
        <v>130211</v>
      </c>
      <c r="G104" s="3560">
        <v>4581</v>
      </c>
      <c r="H104" s="3560">
        <v>37889</v>
      </c>
      <c r="I104" s="3560">
        <v>101921</v>
      </c>
      <c r="J104" s="3560">
        <v>15916</v>
      </c>
      <c r="K104" s="3560">
        <v>43436</v>
      </c>
      <c r="L104" s="3560">
        <v>14378</v>
      </c>
      <c r="M104" s="3560">
        <v>56830</v>
      </c>
      <c r="N104" s="3560">
        <v>44636</v>
      </c>
      <c r="O104" s="3560">
        <v>24371</v>
      </c>
      <c r="P104" s="2830">
        <v>37415</v>
      </c>
    </row>
    <row r="105" spans="1:16">
      <c r="A105" s="1162" t="s">
        <v>488</v>
      </c>
      <c r="B105" s="1608">
        <v>544532</v>
      </c>
      <c r="C105" s="1001">
        <v>24965</v>
      </c>
      <c r="D105" s="3560">
        <v>0</v>
      </c>
      <c r="E105" s="3560">
        <v>418</v>
      </c>
      <c r="F105" s="3560">
        <v>131451</v>
      </c>
      <c r="G105" s="3560">
        <v>4590</v>
      </c>
      <c r="H105" s="3560">
        <v>39019</v>
      </c>
      <c r="I105" s="3560">
        <v>103648</v>
      </c>
      <c r="J105" s="3560">
        <v>16555</v>
      </c>
      <c r="K105" s="3560">
        <v>44008</v>
      </c>
      <c r="L105" s="3560">
        <v>14340</v>
      </c>
      <c r="M105" s="3560">
        <v>58446</v>
      </c>
      <c r="N105" s="3560">
        <v>44612</v>
      </c>
      <c r="O105" s="3560">
        <v>24594</v>
      </c>
      <c r="P105" s="2830">
        <v>37886</v>
      </c>
    </row>
    <row r="106" spans="1:16">
      <c r="A106" s="1162" t="s">
        <v>489</v>
      </c>
      <c r="B106" s="1608">
        <v>541135</v>
      </c>
      <c r="C106" s="1001">
        <v>25343</v>
      </c>
      <c r="D106" s="3560">
        <v>0</v>
      </c>
      <c r="E106" s="3560">
        <v>435</v>
      </c>
      <c r="F106" s="3560">
        <v>131435</v>
      </c>
      <c r="G106" s="3560">
        <v>4584</v>
      </c>
      <c r="H106" s="3560">
        <v>39137</v>
      </c>
      <c r="I106" s="3560">
        <v>103778</v>
      </c>
      <c r="J106" s="3560">
        <v>16474</v>
      </c>
      <c r="K106" s="3560">
        <v>44309</v>
      </c>
      <c r="L106" s="3560">
        <v>14371</v>
      </c>
      <c r="M106" s="3560">
        <v>58572</v>
      </c>
      <c r="N106" s="3560">
        <v>39729</v>
      </c>
      <c r="O106" s="3560">
        <v>24955</v>
      </c>
      <c r="P106" s="2830">
        <v>38013</v>
      </c>
    </row>
    <row r="107" spans="1:16">
      <c r="A107" s="1162" t="s">
        <v>490</v>
      </c>
      <c r="B107" s="1608">
        <v>541352</v>
      </c>
      <c r="C107" s="1001">
        <v>25945</v>
      </c>
      <c r="D107" s="3560">
        <v>0</v>
      </c>
      <c r="E107" s="3560">
        <v>426</v>
      </c>
      <c r="F107" s="3560">
        <v>129757</v>
      </c>
      <c r="G107" s="3560">
        <v>4607</v>
      </c>
      <c r="H107" s="3560">
        <v>38465</v>
      </c>
      <c r="I107" s="3560">
        <v>103188</v>
      </c>
      <c r="J107" s="3560">
        <v>16104</v>
      </c>
      <c r="K107" s="3560">
        <v>44085</v>
      </c>
      <c r="L107" s="3560">
        <v>14482</v>
      </c>
      <c r="M107" s="3560">
        <v>57266</v>
      </c>
      <c r="N107" s="3560">
        <v>44318</v>
      </c>
      <c r="O107" s="3560">
        <v>24959</v>
      </c>
      <c r="P107" s="2830">
        <v>37750</v>
      </c>
    </row>
    <row r="108" spans="1:16">
      <c r="A108" s="1162" t="s">
        <v>491</v>
      </c>
      <c r="B108" s="1608">
        <v>539548</v>
      </c>
      <c r="C108" s="1001">
        <v>25204</v>
      </c>
      <c r="D108" s="3560">
        <v>0</v>
      </c>
      <c r="E108" s="3560">
        <v>416</v>
      </c>
      <c r="F108" s="3560">
        <v>127526</v>
      </c>
      <c r="G108" s="3560">
        <v>4616</v>
      </c>
      <c r="H108" s="3560">
        <v>39453</v>
      </c>
      <c r="I108" s="3560">
        <v>104354</v>
      </c>
      <c r="J108" s="3560">
        <v>16485</v>
      </c>
      <c r="K108" s="3560">
        <v>43975</v>
      </c>
      <c r="L108" s="3560">
        <v>14462</v>
      </c>
      <c r="M108" s="3560">
        <v>56051</v>
      </c>
      <c r="N108" s="3560">
        <v>43993</v>
      </c>
      <c r="O108" s="3560">
        <v>25010</v>
      </c>
      <c r="P108" s="2830">
        <v>38003</v>
      </c>
    </row>
    <row r="109" spans="1:16">
      <c r="A109" s="1162" t="s">
        <v>492</v>
      </c>
      <c r="B109" s="1608">
        <v>537259</v>
      </c>
      <c r="C109" s="1001">
        <v>25586</v>
      </c>
      <c r="D109" s="3560">
        <v>0</v>
      </c>
      <c r="E109" s="3560">
        <v>412</v>
      </c>
      <c r="F109" s="3560">
        <v>126788</v>
      </c>
      <c r="G109" s="3560">
        <v>4615</v>
      </c>
      <c r="H109" s="3560">
        <v>39349</v>
      </c>
      <c r="I109" s="3560">
        <v>103234</v>
      </c>
      <c r="J109" s="3560">
        <v>16624</v>
      </c>
      <c r="K109" s="3560">
        <v>43212</v>
      </c>
      <c r="L109" s="3560">
        <v>14481</v>
      </c>
      <c r="M109" s="3560">
        <v>56057</v>
      </c>
      <c r="N109" s="3560">
        <v>43635</v>
      </c>
      <c r="O109" s="3560">
        <v>25098</v>
      </c>
      <c r="P109" s="2830">
        <v>38168</v>
      </c>
    </row>
    <row r="110" spans="1:16">
      <c r="A110" s="1162" t="s">
        <v>493</v>
      </c>
      <c r="B110" s="1608">
        <v>531870</v>
      </c>
      <c r="C110" s="1001">
        <v>25807</v>
      </c>
      <c r="D110" s="3560">
        <v>0</v>
      </c>
      <c r="E110" s="3560">
        <v>419</v>
      </c>
      <c r="F110" s="3560">
        <v>126249</v>
      </c>
      <c r="G110" s="3560">
        <v>4593</v>
      </c>
      <c r="H110" s="3560">
        <v>40024</v>
      </c>
      <c r="I110" s="3560">
        <v>102329</v>
      </c>
      <c r="J110" s="3560">
        <v>16527</v>
      </c>
      <c r="K110" s="3560">
        <v>44383</v>
      </c>
      <c r="L110" s="3560">
        <v>14273</v>
      </c>
      <c r="M110" s="3560">
        <v>55044</v>
      </c>
      <c r="N110" s="3560">
        <v>39255</v>
      </c>
      <c r="O110" s="3560">
        <v>25710</v>
      </c>
      <c r="P110" s="2830">
        <v>37257</v>
      </c>
    </row>
    <row r="111" spans="1:16">
      <c r="A111" s="1162" t="s">
        <v>494</v>
      </c>
      <c r="B111" s="1608">
        <v>531711</v>
      </c>
      <c r="C111" s="1001">
        <v>26088</v>
      </c>
      <c r="D111" s="3560">
        <v>0</v>
      </c>
      <c r="E111" s="3560">
        <v>410</v>
      </c>
      <c r="F111" s="3560">
        <v>124587</v>
      </c>
      <c r="G111" s="3560">
        <v>4634</v>
      </c>
      <c r="H111" s="3560">
        <v>39083</v>
      </c>
      <c r="I111" s="3560">
        <v>101238</v>
      </c>
      <c r="J111" s="3560">
        <v>16087</v>
      </c>
      <c r="K111" s="3560">
        <v>45128</v>
      </c>
      <c r="L111" s="3560">
        <v>14288</v>
      </c>
      <c r="M111" s="3560">
        <v>53364</v>
      </c>
      <c r="N111" s="3560">
        <v>44312</v>
      </c>
      <c r="O111" s="3560">
        <v>25764</v>
      </c>
      <c r="P111" s="2830">
        <v>36728</v>
      </c>
    </row>
    <row r="112" spans="1:16">
      <c r="A112" s="1162" t="s">
        <v>495</v>
      </c>
      <c r="B112" s="1608">
        <v>529237</v>
      </c>
      <c r="C112" s="1001">
        <v>25363</v>
      </c>
      <c r="D112" s="3560">
        <v>0</v>
      </c>
      <c r="E112" s="3560">
        <v>411</v>
      </c>
      <c r="F112" s="3560">
        <v>124612</v>
      </c>
      <c r="G112" s="3560">
        <v>4681</v>
      </c>
      <c r="H112" s="3560">
        <v>37900</v>
      </c>
      <c r="I112" s="3560">
        <v>101113</v>
      </c>
      <c r="J112" s="3560">
        <v>16255</v>
      </c>
      <c r="K112" s="3560">
        <v>44810</v>
      </c>
      <c r="L112" s="3560">
        <v>14359</v>
      </c>
      <c r="M112" s="3560">
        <v>52288</v>
      </c>
      <c r="N112" s="3560">
        <v>44966</v>
      </c>
      <c r="O112" s="3560">
        <v>25655</v>
      </c>
      <c r="P112" s="2830">
        <v>36824</v>
      </c>
    </row>
    <row r="113" spans="1:16">
      <c r="A113" s="1162" t="s">
        <v>496</v>
      </c>
      <c r="B113" s="1608">
        <v>526373</v>
      </c>
      <c r="C113" s="1001">
        <v>25515</v>
      </c>
      <c r="D113" s="3560">
        <v>0</v>
      </c>
      <c r="E113" s="3560">
        <v>411</v>
      </c>
      <c r="F113" s="3560">
        <v>124097</v>
      </c>
      <c r="G113" s="3560">
        <v>4756</v>
      </c>
      <c r="H113" s="3560">
        <v>35318</v>
      </c>
      <c r="I113" s="3560">
        <v>101217</v>
      </c>
      <c r="J113" s="3560">
        <v>16598</v>
      </c>
      <c r="K113" s="3560">
        <v>44195</v>
      </c>
      <c r="L113" s="3560">
        <v>14369</v>
      </c>
      <c r="M113" s="3560">
        <v>53006</v>
      </c>
      <c r="N113" s="3560">
        <v>44286</v>
      </c>
      <c r="O113" s="3560">
        <v>26236</v>
      </c>
      <c r="P113" s="2830">
        <v>36369</v>
      </c>
    </row>
    <row r="114" spans="1:16">
      <c r="A114" s="1162" t="s">
        <v>497</v>
      </c>
      <c r="B114" s="1608">
        <v>516203</v>
      </c>
      <c r="C114" s="1001">
        <v>25271</v>
      </c>
      <c r="D114" s="3560">
        <v>0</v>
      </c>
      <c r="E114" s="3560">
        <v>930</v>
      </c>
      <c r="F114" s="3560">
        <v>124329</v>
      </c>
      <c r="G114" s="3560">
        <v>4708</v>
      </c>
      <c r="H114" s="3560">
        <v>32484</v>
      </c>
      <c r="I114" s="3560">
        <v>101345</v>
      </c>
      <c r="J114" s="3560">
        <v>16070</v>
      </c>
      <c r="K114" s="3560">
        <v>42678</v>
      </c>
      <c r="L114" s="3560">
        <v>14280</v>
      </c>
      <c r="M114" s="3560">
        <v>52604</v>
      </c>
      <c r="N114" s="3560">
        <v>39134</v>
      </c>
      <c r="O114" s="3560">
        <v>26605</v>
      </c>
      <c r="P114" s="2830">
        <v>35765</v>
      </c>
    </row>
    <row r="115" spans="1:16">
      <c r="A115" s="1162" t="s">
        <v>498</v>
      </c>
      <c r="B115" s="1608">
        <v>501637</v>
      </c>
      <c r="C115" s="1001">
        <v>25875</v>
      </c>
      <c r="D115" s="3560">
        <v>0</v>
      </c>
      <c r="E115" s="3560">
        <v>908</v>
      </c>
      <c r="F115" s="3560">
        <v>121984</v>
      </c>
      <c r="G115" s="3560">
        <v>4700</v>
      </c>
      <c r="H115" s="3560">
        <v>28313</v>
      </c>
      <c r="I115" s="3560">
        <v>100114</v>
      </c>
      <c r="J115" s="3560">
        <v>14433</v>
      </c>
      <c r="K115" s="3560">
        <v>42000</v>
      </c>
      <c r="L115" s="3560">
        <v>14051</v>
      </c>
      <c r="M115" s="3560">
        <v>49970</v>
      </c>
      <c r="N115" s="3560">
        <v>38675</v>
      </c>
      <c r="O115" s="3560">
        <v>26264</v>
      </c>
      <c r="P115" s="2830">
        <v>34350</v>
      </c>
    </row>
    <row r="116" spans="1:16">
      <c r="A116" s="1162" t="s">
        <v>499</v>
      </c>
      <c r="B116" s="1608">
        <v>501730</v>
      </c>
      <c r="C116" s="1001">
        <v>25339</v>
      </c>
      <c r="D116" s="3560">
        <v>0</v>
      </c>
      <c r="E116" s="3560">
        <v>909</v>
      </c>
      <c r="F116" s="3560">
        <v>123114</v>
      </c>
      <c r="G116" s="3560">
        <v>4704</v>
      </c>
      <c r="H116" s="3560">
        <v>28964</v>
      </c>
      <c r="I116" s="3560">
        <v>100018</v>
      </c>
      <c r="J116" s="3560">
        <v>13619</v>
      </c>
      <c r="K116" s="3560">
        <v>41920</v>
      </c>
      <c r="L116" s="3560">
        <v>14005</v>
      </c>
      <c r="M116" s="3560">
        <v>51023</v>
      </c>
      <c r="N116" s="3560">
        <v>37877</v>
      </c>
      <c r="O116" s="3560">
        <v>26294</v>
      </c>
      <c r="P116" s="2830">
        <v>33944</v>
      </c>
    </row>
    <row r="117" spans="1:16">
      <c r="A117" s="1162" t="s">
        <v>500</v>
      </c>
      <c r="B117" s="1608">
        <v>508008</v>
      </c>
      <c r="C117" s="1001">
        <v>26027</v>
      </c>
      <c r="D117" s="3560">
        <v>0</v>
      </c>
      <c r="E117" s="3560">
        <v>937</v>
      </c>
      <c r="F117" s="3560">
        <v>125033</v>
      </c>
      <c r="G117" s="3560">
        <v>4721</v>
      </c>
      <c r="H117" s="3560">
        <v>29543</v>
      </c>
      <c r="I117" s="3560">
        <v>100581</v>
      </c>
      <c r="J117" s="3560">
        <v>13344</v>
      </c>
      <c r="K117" s="3560">
        <v>41932</v>
      </c>
      <c r="L117" s="3560">
        <v>14060</v>
      </c>
      <c r="M117" s="3560">
        <v>53340</v>
      </c>
      <c r="N117" s="3560">
        <v>37454</v>
      </c>
      <c r="O117" s="3560">
        <v>26650</v>
      </c>
      <c r="P117" s="2830">
        <v>34386</v>
      </c>
    </row>
    <row r="118" spans="1:16">
      <c r="A118" s="1162" t="s">
        <v>501</v>
      </c>
      <c r="B118" s="1608">
        <v>513791</v>
      </c>
      <c r="C118" s="1001">
        <v>25985</v>
      </c>
      <c r="D118" s="3560">
        <v>0</v>
      </c>
      <c r="E118" s="3560">
        <v>492</v>
      </c>
      <c r="F118" s="3560">
        <v>127513</v>
      </c>
      <c r="G118" s="3560">
        <v>4767</v>
      </c>
      <c r="H118" s="3560">
        <v>31175</v>
      </c>
      <c r="I118" s="3560">
        <v>101097</v>
      </c>
      <c r="J118" s="3560">
        <v>13383</v>
      </c>
      <c r="K118" s="3560">
        <v>42057</v>
      </c>
      <c r="L118" s="3560">
        <v>13987</v>
      </c>
      <c r="M118" s="3560">
        <v>54602</v>
      </c>
      <c r="N118" s="3560">
        <v>37421</v>
      </c>
      <c r="O118" s="3560">
        <v>26705</v>
      </c>
      <c r="P118" s="2830">
        <v>34607</v>
      </c>
    </row>
    <row r="119" spans="1:16">
      <c r="A119" s="1162" t="s">
        <v>502</v>
      </c>
      <c r="B119" s="1608">
        <v>518994</v>
      </c>
      <c r="C119" s="1001">
        <v>26751</v>
      </c>
      <c r="D119" s="3560">
        <v>0</v>
      </c>
      <c r="E119" s="3560">
        <v>485</v>
      </c>
      <c r="F119" s="3560">
        <v>128408</v>
      </c>
      <c r="G119" s="3560">
        <v>4774</v>
      </c>
      <c r="H119" s="3560">
        <v>32552</v>
      </c>
      <c r="I119" s="3560">
        <v>101403</v>
      </c>
      <c r="J119" s="3560">
        <v>12615</v>
      </c>
      <c r="K119" s="3560">
        <v>41685</v>
      </c>
      <c r="L119" s="3560">
        <v>14008</v>
      </c>
      <c r="M119" s="3560">
        <v>54218</v>
      </c>
      <c r="N119" s="3560">
        <v>40919</v>
      </c>
      <c r="O119" s="3560">
        <v>26757</v>
      </c>
      <c r="P119" s="2830">
        <v>34419</v>
      </c>
    </row>
    <row r="120" spans="1:16">
      <c r="A120" s="1162" t="s">
        <v>503</v>
      </c>
      <c r="B120" s="1608">
        <v>521539</v>
      </c>
      <c r="C120" s="1001">
        <v>26262</v>
      </c>
      <c r="D120" s="3560">
        <v>0</v>
      </c>
      <c r="E120" s="3560">
        <v>490</v>
      </c>
      <c r="F120" s="3560">
        <v>129122</v>
      </c>
      <c r="G120" s="3560">
        <v>4819</v>
      </c>
      <c r="H120" s="3560">
        <v>34188</v>
      </c>
      <c r="I120" s="3560">
        <v>101323</v>
      </c>
      <c r="J120" s="3560">
        <v>12851</v>
      </c>
      <c r="K120" s="3560">
        <v>41477</v>
      </c>
      <c r="L120" s="3560">
        <v>13905</v>
      </c>
      <c r="M120" s="3560">
        <v>53940</v>
      </c>
      <c r="N120" s="3560">
        <v>42461</v>
      </c>
      <c r="O120" s="3560">
        <v>26553</v>
      </c>
      <c r="P120" s="2830">
        <v>34148</v>
      </c>
    </row>
    <row r="121" spans="1:16">
      <c r="A121" s="1162" t="s">
        <v>504</v>
      </c>
      <c r="B121" s="1608">
        <v>531385</v>
      </c>
      <c r="C121" s="1001">
        <v>27071</v>
      </c>
      <c r="D121" s="3560">
        <v>0</v>
      </c>
      <c r="E121" s="3560">
        <v>489</v>
      </c>
      <c r="F121" s="3560">
        <v>131240</v>
      </c>
      <c r="G121" s="3560">
        <v>4874</v>
      </c>
      <c r="H121" s="3560">
        <v>35313</v>
      </c>
      <c r="I121" s="3560">
        <v>103073</v>
      </c>
      <c r="J121" s="3560">
        <v>13772</v>
      </c>
      <c r="K121" s="3560">
        <v>42090</v>
      </c>
      <c r="L121" s="3560">
        <v>13867</v>
      </c>
      <c r="M121" s="3560">
        <v>54904</v>
      </c>
      <c r="N121" s="3560">
        <v>43457</v>
      </c>
      <c r="O121" s="3560">
        <v>26530</v>
      </c>
      <c r="P121" s="2830">
        <v>34705</v>
      </c>
    </row>
    <row r="122" spans="1:16">
      <c r="A122" s="1162" t="s">
        <v>505</v>
      </c>
      <c r="B122" s="1608">
        <v>535370</v>
      </c>
      <c r="C122" s="1001">
        <v>26952</v>
      </c>
      <c r="D122" s="3560">
        <v>0</v>
      </c>
      <c r="E122" s="3560">
        <v>1001</v>
      </c>
      <c r="F122" s="3560">
        <v>134057</v>
      </c>
      <c r="G122" s="3560">
        <v>4888</v>
      </c>
      <c r="H122" s="3560">
        <v>36389</v>
      </c>
      <c r="I122" s="3560">
        <v>104083</v>
      </c>
      <c r="J122" s="3560">
        <v>14273</v>
      </c>
      <c r="K122" s="3560">
        <v>42022</v>
      </c>
      <c r="L122" s="3560">
        <v>13936</v>
      </c>
      <c r="M122" s="3560">
        <v>56213</v>
      </c>
      <c r="N122" s="3560">
        <v>39775</v>
      </c>
      <c r="O122" s="3560">
        <v>26664</v>
      </c>
      <c r="P122" s="2830">
        <v>35117</v>
      </c>
    </row>
    <row r="123" spans="1:16">
      <c r="A123" s="1162" t="s">
        <v>506</v>
      </c>
      <c r="B123" s="1608">
        <v>544359</v>
      </c>
      <c r="C123" s="1001">
        <v>27394</v>
      </c>
      <c r="D123" s="3560">
        <v>0</v>
      </c>
      <c r="E123" s="3560">
        <v>955</v>
      </c>
      <c r="F123" s="3560">
        <v>135128</v>
      </c>
      <c r="G123" s="3560">
        <v>4967</v>
      </c>
      <c r="H123" s="3560">
        <v>36998</v>
      </c>
      <c r="I123" s="3560">
        <v>104933</v>
      </c>
      <c r="J123" s="3560">
        <v>14906</v>
      </c>
      <c r="K123" s="3560">
        <v>42405</v>
      </c>
      <c r="L123" s="3560">
        <v>13979</v>
      </c>
      <c r="M123" s="3560">
        <v>55363</v>
      </c>
      <c r="N123" s="3560">
        <v>45167</v>
      </c>
      <c r="O123" s="3560">
        <v>26703</v>
      </c>
      <c r="P123" s="2830">
        <v>35461</v>
      </c>
    </row>
    <row r="124" spans="1:16">
      <c r="A124" s="1162" t="s">
        <v>507</v>
      </c>
      <c r="B124" s="1608">
        <v>546577</v>
      </c>
      <c r="C124" s="1001">
        <v>26776</v>
      </c>
      <c r="D124" s="3560">
        <v>0</v>
      </c>
      <c r="E124" s="3560">
        <v>959</v>
      </c>
      <c r="F124" s="3560">
        <v>136290</v>
      </c>
      <c r="G124" s="3560">
        <v>5016</v>
      </c>
      <c r="H124" s="3560">
        <v>37589</v>
      </c>
      <c r="I124" s="3560">
        <v>105691</v>
      </c>
      <c r="J124" s="3560">
        <v>15130</v>
      </c>
      <c r="K124" s="3560">
        <v>42201</v>
      </c>
      <c r="L124" s="3560">
        <v>14048</v>
      </c>
      <c r="M124" s="3560">
        <v>55212</v>
      </c>
      <c r="N124" s="3560">
        <v>45307</v>
      </c>
      <c r="O124" s="3560">
        <v>26801</v>
      </c>
      <c r="P124" s="2830">
        <v>35557</v>
      </c>
    </row>
    <row r="125" spans="1:16">
      <c r="A125" s="1162" t="s">
        <v>508</v>
      </c>
      <c r="B125" s="1608">
        <v>554011</v>
      </c>
      <c r="C125" s="1001">
        <v>27082</v>
      </c>
      <c r="D125" s="3560">
        <v>0</v>
      </c>
      <c r="E125" s="3560">
        <v>970</v>
      </c>
      <c r="F125" s="3560">
        <v>137358</v>
      </c>
      <c r="G125" s="3560">
        <v>5060</v>
      </c>
      <c r="H125" s="3560">
        <v>37876</v>
      </c>
      <c r="I125" s="3560">
        <v>107784</v>
      </c>
      <c r="J125" s="3560">
        <v>16134</v>
      </c>
      <c r="K125" s="3560">
        <v>41886</v>
      </c>
      <c r="L125" s="3560">
        <v>13966</v>
      </c>
      <c r="M125" s="3560">
        <v>56193</v>
      </c>
      <c r="N125" s="3560">
        <v>46104</v>
      </c>
      <c r="O125" s="3560">
        <v>27234</v>
      </c>
      <c r="P125" s="2830">
        <v>36364</v>
      </c>
    </row>
    <row r="126" spans="1:16">
      <c r="A126" s="1162" t="s">
        <v>509</v>
      </c>
      <c r="B126" s="1608">
        <v>552495</v>
      </c>
      <c r="C126" s="1001">
        <v>26790</v>
      </c>
      <c r="D126" s="3560">
        <v>0</v>
      </c>
      <c r="E126" s="3560">
        <v>980</v>
      </c>
      <c r="F126" s="3560">
        <v>138542</v>
      </c>
      <c r="G126" s="3560">
        <v>5060</v>
      </c>
      <c r="H126" s="3560">
        <v>38289</v>
      </c>
      <c r="I126" s="3560">
        <v>108394</v>
      </c>
      <c r="J126" s="3560">
        <v>16592</v>
      </c>
      <c r="K126" s="3560">
        <v>43339</v>
      </c>
      <c r="L126" s="3560">
        <v>14028</v>
      </c>
      <c r="M126" s="3560">
        <v>56105</v>
      </c>
      <c r="N126" s="3560">
        <v>41158</v>
      </c>
      <c r="O126" s="3560">
        <v>27113</v>
      </c>
      <c r="P126" s="2830">
        <v>36105</v>
      </c>
    </row>
    <row r="127" spans="1:16">
      <c r="A127" s="1162" t="s">
        <v>510</v>
      </c>
      <c r="B127" s="1608">
        <v>557178</v>
      </c>
      <c r="C127" s="1001">
        <v>27055</v>
      </c>
      <c r="D127" s="3560">
        <v>0</v>
      </c>
      <c r="E127" s="3560">
        <v>950</v>
      </c>
      <c r="F127" s="3560">
        <v>138326</v>
      </c>
      <c r="G127" s="3560">
        <v>5053</v>
      </c>
      <c r="H127" s="3560">
        <v>38375</v>
      </c>
      <c r="I127" s="3560">
        <v>108986</v>
      </c>
      <c r="J127" s="3560">
        <v>16366</v>
      </c>
      <c r="K127" s="3560">
        <v>43155</v>
      </c>
      <c r="L127" s="3560">
        <v>14019</v>
      </c>
      <c r="M127" s="3560">
        <v>55285</v>
      </c>
      <c r="N127" s="3560">
        <v>46580</v>
      </c>
      <c r="O127" s="3560">
        <v>26973</v>
      </c>
      <c r="P127" s="2830">
        <v>36055</v>
      </c>
    </row>
    <row r="128" spans="1:16">
      <c r="A128" s="1162" t="s">
        <v>511</v>
      </c>
      <c r="B128" s="1608">
        <v>557562</v>
      </c>
      <c r="C128" s="1001">
        <v>26933</v>
      </c>
      <c r="D128" s="3560">
        <v>0</v>
      </c>
      <c r="E128" s="3560">
        <v>951</v>
      </c>
      <c r="F128" s="3560">
        <v>138844</v>
      </c>
      <c r="G128" s="3560">
        <v>5044</v>
      </c>
      <c r="H128" s="3560">
        <v>37670</v>
      </c>
      <c r="I128" s="3560">
        <v>110063</v>
      </c>
      <c r="J128" s="3560">
        <v>16279</v>
      </c>
      <c r="K128" s="3560">
        <v>42598</v>
      </c>
      <c r="L128" s="3560">
        <v>14021</v>
      </c>
      <c r="M128" s="3560">
        <v>54477</v>
      </c>
      <c r="N128" s="3557">
        <v>47276</v>
      </c>
      <c r="O128" s="3560">
        <v>27096</v>
      </c>
      <c r="P128" s="2830">
        <v>36310</v>
      </c>
    </row>
    <row r="129" spans="1:16">
      <c r="A129" s="1162" t="s">
        <v>512</v>
      </c>
      <c r="B129" s="1608">
        <v>558446</v>
      </c>
      <c r="C129" s="1001">
        <v>27141</v>
      </c>
      <c r="D129" s="3560">
        <v>0</v>
      </c>
      <c r="E129" s="3560">
        <v>981</v>
      </c>
      <c r="F129" s="3560">
        <v>138780</v>
      </c>
      <c r="G129" s="3560">
        <v>5192</v>
      </c>
      <c r="H129" s="3560">
        <v>36816</v>
      </c>
      <c r="I129" s="3560">
        <v>110849</v>
      </c>
      <c r="J129" s="3560">
        <v>16567</v>
      </c>
      <c r="K129" s="3560">
        <v>42492</v>
      </c>
      <c r="L129" s="3560">
        <v>14020</v>
      </c>
      <c r="M129" s="3560">
        <v>54255</v>
      </c>
      <c r="N129" s="3560">
        <v>47169</v>
      </c>
      <c r="O129" s="3560">
        <v>27407</v>
      </c>
      <c r="P129" s="2830">
        <v>36777</v>
      </c>
    </row>
    <row r="130" spans="1:16">
      <c r="A130" s="1162" t="s">
        <v>513</v>
      </c>
      <c r="B130" s="1608">
        <v>548482</v>
      </c>
      <c r="C130" s="1001">
        <v>27331</v>
      </c>
      <c r="D130" s="3560">
        <v>0</v>
      </c>
      <c r="E130" s="3560">
        <v>995</v>
      </c>
      <c r="F130" s="3560">
        <v>138698</v>
      </c>
      <c r="G130" s="3560">
        <v>5168</v>
      </c>
      <c r="H130" s="3560">
        <v>33912</v>
      </c>
      <c r="I130" s="3560">
        <v>111016</v>
      </c>
      <c r="J130" s="3560">
        <v>16153</v>
      </c>
      <c r="K130" s="3560">
        <v>42250</v>
      </c>
      <c r="L130" s="3560">
        <v>14034</v>
      </c>
      <c r="M130" s="3560">
        <v>54300</v>
      </c>
      <c r="N130" s="3560">
        <v>41455</v>
      </c>
      <c r="O130" s="3560">
        <v>27528</v>
      </c>
      <c r="P130" s="2830">
        <v>35642</v>
      </c>
    </row>
    <row r="131" spans="1:16">
      <c r="A131" s="1162" t="s">
        <v>514</v>
      </c>
      <c r="B131" s="1608">
        <v>544307</v>
      </c>
      <c r="C131" s="1001">
        <v>27909</v>
      </c>
      <c r="D131" s="3560">
        <v>0</v>
      </c>
      <c r="E131" s="3560">
        <v>962</v>
      </c>
      <c r="F131" s="3560">
        <v>135243</v>
      </c>
      <c r="G131" s="3560">
        <v>5145</v>
      </c>
      <c r="H131" s="3560">
        <v>32975</v>
      </c>
      <c r="I131" s="3560">
        <v>110371</v>
      </c>
      <c r="J131" s="3560">
        <v>15329</v>
      </c>
      <c r="K131" s="3560">
        <v>42114</v>
      </c>
      <c r="L131" s="3560">
        <v>14021</v>
      </c>
      <c r="M131" s="3560">
        <v>51758</v>
      </c>
      <c r="N131" s="3560">
        <v>45734</v>
      </c>
      <c r="O131" s="3560">
        <v>27175</v>
      </c>
      <c r="P131" s="2830">
        <v>35571</v>
      </c>
    </row>
    <row r="132" spans="1:16">
      <c r="A132" s="1162" t="s">
        <v>515</v>
      </c>
      <c r="B132" s="1398">
        <v>542519</v>
      </c>
      <c r="C132" s="1001">
        <v>27074</v>
      </c>
      <c r="D132" s="3560">
        <v>0</v>
      </c>
      <c r="E132" s="3560">
        <v>950</v>
      </c>
      <c r="F132" s="3560">
        <v>134372</v>
      </c>
      <c r="G132" s="3560">
        <v>5164</v>
      </c>
      <c r="H132" s="3560">
        <v>34261</v>
      </c>
      <c r="I132" s="3560">
        <v>110413</v>
      </c>
      <c r="J132" s="3560">
        <v>15035</v>
      </c>
      <c r="K132" s="3560">
        <v>41868</v>
      </c>
      <c r="L132" s="3560">
        <v>14013</v>
      </c>
      <c r="M132" s="3560">
        <v>51271</v>
      </c>
      <c r="N132" s="3560">
        <v>45726</v>
      </c>
      <c r="O132" s="3560">
        <v>27145</v>
      </c>
      <c r="P132" s="2830">
        <v>35227</v>
      </c>
    </row>
    <row r="133" spans="1:16">
      <c r="A133" s="1162" t="s">
        <v>516</v>
      </c>
      <c r="B133" s="1398">
        <v>547560</v>
      </c>
      <c r="C133" s="1001">
        <v>27481</v>
      </c>
      <c r="D133" s="3560">
        <v>0</v>
      </c>
      <c r="E133" s="3560">
        <v>962</v>
      </c>
      <c r="F133" s="3560">
        <v>135227</v>
      </c>
      <c r="G133" s="3560">
        <v>5172</v>
      </c>
      <c r="H133" s="3560">
        <v>34536</v>
      </c>
      <c r="I133" s="3560">
        <v>112441</v>
      </c>
      <c r="J133" s="3560">
        <v>15273</v>
      </c>
      <c r="K133" s="3560">
        <v>41751</v>
      </c>
      <c r="L133" s="3560">
        <v>13995</v>
      </c>
      <c r="M133" s="3560">
        <v>52236</v>
      </c>
      <c r="N133" s="3560">
        <v>45376</v>
      </c>
      <c r="O133" s="3560">
        <v>27352</v>
      </c>
      <c r="P133" s="2830">
        <v>35758</v>
      </c>
    </row>
    <row r="134" spans="1:16">
      <c r="A134" s="1162" t="s">
        <v>517</v>
      </c>
      <c r="B134" s="1398">
        <v>542757</v>
      </c>
      <c r="C134" s="1001">
        <v>27316</v>
      </c>
      <c r="D134" s="3560">
        <v>0</v>
      </c>
      <c r="E134" s="3560">
        <v>968</v>
      </c>
      <c r="F134" s="3560">
        <v>134994</v>
      </c>
      <c r="G134" s="3560">
        <v>5157</v>
      </c>
      <c r="H134" s="3560">
        <v>34421</v>
      </c>
      <c r="I134" s="3560">
        <v>113300</v>
      </c>
      <c r="J134" s="3560">
        <v>15138</v>
      </c>
      <c r="K134" s="3560">
        <v>41404</v>
      </c>
      <c r="L134" s="3560">
        <v>13937</v>
      </c>
      <c r="M134" s="3560">
        <v>53556</v>
      </c>
      <c r="N134" s="3560">
        <v>40199</v>
      </c>
      <c r="O134" s="3560">
        <v>27499</v>
      </c>
      <c r="P134" s="2830">
        <v>34868</v>
      </c>
    </row>
    <row r="135" spans="1:16">
      <c r="A135" s="1162" t="s">
        <v>518</v>
      </c>
      <c r="B135" s="1398">
        <v>546625</v>
      </c>
      <c r="C135" s="1001">
        <v>27666</v>
      </c>
      <c r="D135" s="3560">
        <v>0</v>
      </c>
      <c r="E135" s="3560">
        <v>955</v>
      </c>
      <c r="F135" s="3560">
        <v>134459</v>
      </c>
      <c r="G135" s="3560">
        <v>5119</v>
      </c>
      <c r="H135" s="3560">
        <v>34721</v>
      </c>
      <c r="I135" s="3560">
        <v>113474</v>
      </c>
      <c r="J135" s="3560">
        <v>14870</v>
      </c>
      <c r="K135" s="3560">
        <v>40790</v>
      </c>
      <c r="L135" s="3560">
        <v>13886</v>
      </c>
      <c r="M135" s="3560">
        <v>53144</v>
      </c>
      <c r="N135" s="3560">
        <v>45267</v>
      </c>
      <c r="O135" s="3560">
        <v>27327</v>
      </c>
      <c r="P135" s="2830">
        <v>34947</v>
      </c>
    </row>
    <row r="136" spans="1:16">
      <c r="A136" s="1162" t="s">
        <v>519</v>
      </c>
      <c r="B136" s="1398">
        <v>545892</v>
      </c>
      <c r="C136" s="1001">
        <v>27123</v>
      </c>
      <c r="D136" s="3560">
        <v>0</v>
      </c>
      <c r="E136" s="3560">
        <v>961</v>
      </c>
      <c r="F136" s="3560">
        <v>134508</v>
      </c>
      <c r="G136" s="3560">
        <v>5105</v>
      </c>
      <c r="H136" s="3560">
        <v>35743</v>
      </c>
      <c r="I136" s="3560">
        <v>112682</v>
      </c>
      <c r="J136" s="3560">
        <v>15022</v>
      </c>
      <c r="K136" s="3560">
        <v>40742</v>
      </c>
      <c r="L136" s="3560">
        <v>13697</v>
      </c>
      <c r="M136" s="3560">
        <v>52789</v>
      </c>
      <c r="N136" s="3560">
        <v>45468</v>
      </c>
      <c r="O136" s="3560">
        <v>27343</v>
      </c>
      <c r="P136" s="2830">
        <v>34709</v>
      </c>
    </row>
    <row r="137" spans="1:16">
      <c r="A137" s="1162" t="s">
        <v>520</v>
      </c>
      <c r="B137" s="1398" t="e">
        <v>#N/A</v>
      </c>
      <c r="C137" s="1001" t="e">
        <v>#N/A</v>
      </c>
      <c r="D137" s="3560" t="e">
        <v>#N/A</v>
      </c>
      <c r="E137" s="3560" t="e">
        <v>#N/A</v>
      </c>
      <c r="F137" s="3560" t="e">
        <v>#N/A</v>
      </c>
      <c r="G137" s="3560" t="e">
        <v>#N/A</v>
      </c>
      <c r="H137" s="3560" t="e">
        <v>#N/A</v>
      </c>
      <c r="I137" s="3560" t="e">
        <v>#N/A</v>
      </c>
      <c r="J137" s="3560" t="e">
        <v>#N/A</v>
      </c>
      <c r="K137" s="3560" t="e">
        <v>#N/A</v>
      </c>
      <c r="L137" s="3560" t="e">
        <v>#N/A</v>
      </c>
      <c r="M137" s="3560" t="e">
        <v>#N/A</v>
      </c>
      <c r="N137" s="3560" t="e">
        <v>#N/A</v>
      </c>
      <c r="O137" s="3560" t="e">
        <v>#N/A</v>
      </c>
      <c r="P137" s="2830" t="e">
        <v>#N/A</v>
      </c>
    </row>
    <row r="138" spans="1:16">
      <c r="A138" s="1162" t="s">
        <v>521</v>
      </c>
      <c r="B138" s="1398" t="e">
        <v>#N/A</v>
      </c>
      <c r="C138" s="1001" t="e">
        <v>#N/A</v>
      </c>
      <c r="D138" s="3560" t="e">
        <v>#N/A</v>
      </c>
      <c r="E138" s="3560" t="e">
        <v>#N/A</v>
      </c>
      <c r="F138" s="3560" t="e">
        <v>#N/A</v>
      </c>
      <c r="G138" s="3560" t="e">
        <v>#N/A</v>
      </c>
      <c r="H138" s="3560" t="e">
        <v>#N/A</v>
      </c>
      <c r="I138" s="3560" t="e">
        <v>#N/A</v>
      </c>
      <c r="J138" s="3560" t="e">
        <v>#N/A</v>
      </c>
      <c r="K138" s="3560" t="e">
        <v>#N/A</v>
      </c>
      <c r="L138" s="3560" t="e">
        <v>#N/A</v>
      </c>
      <c r="M138" s="3560" t="e">
        <v>#N/A</v>
      </c>
      <c r="N138" s="3560" t="e">
        <v>#N/A</v>
      </c>
      <c r="O138" s="3560" t="e">
        <v>#N/A</v>
      </c>
      <c r="P138" s="2830" t="e">
        <v>#N/A</v>
      </c>
    </row>
    <row r="139" spans="1:16">
      <c r="A139" s="1162" t="s">
        <v>522</v>
      </c>
      <c r="B139" s="1398" t="e">
        <v>#N/A</v>
      </c>
      <c r="C139" s="1001" t="e">
        <v>#N/A</v>
      </c>
      <c r="D139" s="3560" t="e">
        <v>#N/A</v>
      </c>
      <c r="E139" s="3560" t="e">
        <v>#N/A</v>
      </c>
      <c r="F139" s="3560" t="e">
        <v>#N/A</v>
      </c>
      <c r="G139" s="3560" t="e">
        <v>#N/A</v>
      </c>
      <c r="H139" s="3560" t="e">
        <v>#N/A</v>
      </c>
      <c r="I139" s="3560" t="e">
        <v>#N/A</v>
      </c>
      <c r="J139" s="3560" t="e">
        <v>#N/A</v>
      </c>
      <c r="K139" s="3560" t="e">
        <v>#N/A</v>
      </c>
      <c r="L139" s="3560" t="e">
        <v>#N/A</v>
      </c>
      <c r="M139" s="3560" t="e">
        <v>#N/A</v>
      </c>
      <c r="N139" s="3560" t="e">
        <v>#N/A</v>
      </c>
      <c r="O139" s="3560" t="e">
        <v>#N/A</v>
      </c>
      <c r="P139" s="2830" t="e">
        <v>#N/A</v>
      </c>
    </row>
    <row r="140" spans="1:16">
      <c r="A140" s="1162" t="s">
        <v>523</v>
      </c>
      <c r="B140" s="1398" t="e">
        <v>#N/A</v>
      </c>
      <c r="C140" s="1001" t="e">
        <v>#N/A</v>
      </c>
      <c r="D140" s="3560" t="e">
        <v>#N/A</v>
      </c>
      <c r="E140" s="3560" t="e">
        <v>#N/A</v>
      </c>
      <c r="F140" s="3560" t="e">
        <v>#N/A</v>
      </c>
      <c r="G140" s="3560" t="e">
        <v>#N/A</v>
      </c>
      <c r="H140" s="3560" t="e">
        <v>#N/A</v>
      </c>
      <c r="I140" s="3560" t="e">
        <v>#N/A</v>
      </c>
      <c r="J140" s="3560" t="e">
        <v>#N/A</v>
      </c>
      <c r="K140" s="3560" t="e">
        <v>#N/A</v>
      </c>
      <c r="L140" s="3560" t="e">
        <v>#N/A</v>
      </c>
      <c r="M140" s="3560" t="e">
        <v>#N/A</v>
      </c>
      <c r="N140" s="3560" t="e">
        <v>#N/A</v>
      </c>
      <c r="O140" s="3560" t="e">
        <v>#N/A</v>
      </c>
      <c r="P140" s="2830" t="e">
        <v>#N/A</v>
      </c>
    </row>
    <row r="141" spans="1:16">
      <c r="A141" s="1162" t="s">
        <v>524</v>
      </c>
      <c r="B141" s="1398" t="e">
        <v>#N/A</v>
      </c>
      <c r="C141" s="1001" t="e">
        <v>#N/A</v>
      </c>
      <c r="D141" s="3560" t="e">
        <v>#N/A</v>
      </c>
      <c r="E141" s="3560" t="e">
        <v>#N/A</v>
      </c>
      <c r="F141" s="3560" t="e">
        <v>#N/A</v>
      </c>
      <c r="G141" s="3560" t="e">
        <v>#N/A</v>
      </c>
      <c r="H141" s="3560" t="e">
        <v>#N/A</v>
      </c>
      <c r="I141" s="3560" t="e">
        <v>#N/A</v>
      </c>
      <c r="J141" s="3560" t="e">
        <v>#N/A</v>
      </c>
      <c r="K141" s="3560" t="e">
        <v>#N/A</v>
      </c>
      <c r="L141" s="3560" t="e">
        <v>#N/A</v>
      </c>
      <c r="M141" s="3560" t="e">
        <v>#N/A</v>
      </c>
      <c r="N141" s="3560" t="e">
        <v>#N/A</v>
      </c>
      <c r="O141" s="3560" t="e">
        <v>#N/A</v>
      </c>
      <c r="P141" s="2830" t="e">
        <v>#N/A</v>
      </c>
    </row>
    <row r="142" spans="1:16">
      <c r="A142" s="1162" t="s">
        <v>525</v>
      </c>
      <c r="B142" s="1398" t="e">
        <v>#N/A</v>
      </c>
      <c r="C142" s="1001" t="e">
        <v>#N/A</v>
      </c>
      <c r="D142" s="3560" t="e">
        <v>#N/A</v>
      </c>
      <c r="E142" s="3560" t="e">
        <v>#N/A</v>
      </c>
      <c r="F142" s="3560" t="e">
        <v>#N/A</v>
      </c>
      <c r="G142" s="3560" t="e">
        <v>#N/A</v>
      </c>
      <c r="H142" s="3560" t="e">
        <v>#N/A</v>
      </c>
      <c r="I142" s="3560" t="e">
        <v>#N/A</v>
      </c>
      <c r="J142" s="3560" t="e">
        <v>#N/A</v>
      </c>
      <c r="K142" s="3560" t="e">
        <v>#N/A</v>
      </c>
      <c r="L142" s="3560" t="e">
        <v>#N/A</v>
      </c>
      <c r="M142" s="3560" t="e">
        <v>#N/A</v>
      </c>
      <c r="N142" s="3560" t="e">
        <v>#N/A</v>
      </c>
      <c r="O142" s="3560" t="e">
        <v>#N/A</v>
      </c>
      <c r="P142" s="2830" t="e">
        <v>#N/A</v>
      </c>
    </row>
    <row r="143" spans="1:16">
      <c r="A143" s="1162" t="s">
        <v>526</v>
      </c>
      <c r="B143" s="1398" t="e">
        <v>#N/A</v>
      </c>
      <c r="C143" s="1001" t="e">
        <v>#N/A</v>
      </c>
      <c r="D143" s="3560" t="e">
        <v>#N/A</v>
      </c>
      <c r="E143" s="3560" t="e">
        <v>#N/A</v>
      </c>
      <c r="F143" s="3560" t="e">
        <v>#N/A</v>
      </c>
      <c r="G143" s="3560" t="e">
        <v>#N/A</v>
      </c>
      <c r="H143" s="3560" t="e">
        <v>#N/A</v>
      </c>
      <c r="I143" s="3560" t="e">
        <v>#N/A</v>
      </c>
      <c r="J143" s="3560" t="e">
        <v>#N/A</v>
      </c>
      <c r="K143" s="3560" t="e">
        <v>#N/A</v>
      </c>
      <c r="L143" s="3560" t="e">
        <v>#N/A</v>
      </c>
      <c r="M143" s="3560" t="e">
        <v>#N/A</v>
      </c>
      <c r="N143" s="3560" t="e">
        <v>#N/A</v>
      </c>
      <c r="O143" s="3560" t="e">
        <v>#N/A</v>
      </c>
      <c r="P143" s="2830" t="e">
        <v>#N/A</v>
      </c>
    </row>
    <row r="144" spans="1:16">
      <c r="A144" s="1162" t="s">
        <v>527</v>
      </c>
      <c r="B144" s="1398" t="e">
        <v>#N/A</v>
      </c>
      <c r="C144" s="1001" t="e">
        <v>#N/A</v>
      </c>
      <c r="D144" s="3560" t="e">
        <v>#N/A</v>
      </c>
      <c r="E144" s="3560" t="e">
        <v>#N/A</v>
      </c>
      <c r="F144" s="3560" t="e">
        <v>#N/A</v>
      </c>
      <c r="G144" s="3560" t="e">
        <v>#N/A</v>
      </c>
      <c r="H144" s="3560" t="e">
        <v>#N/A</v>
      </c>
      <c r="I144" s="3560" t="e">
        <v>#N/A</v>
      </c>
      <c r="J144" s="3560" t="e">
        <v>#N/A</v>
      </c>
      <c r="K144" s="3560" t="e">
        <v>#N/A</v>
      </c>
      <c r="L144" s="3560" t="e">
        <v>#N/A</v>
      </c>
      <c r="M144" s="3560" t="e">
        <v>#N/A</v>
      </c>
      <c r="N144" s="3560" t="e">
        <v>#N/A</v>
      </c>
      <c r="O144" s="3560" t="e">
        <v>#N/A</v>
      </c>
      <c r="P144" s="2830" t="e">
        <v>#N/A</v>
      </c>
    </row>
    <row r="145" spans="1:16">
      <c r="A145" s="1162" t="s">
        <v>528</v>
      </c>
      <c r="B145" s="1398" t="e">
        <v>#N/A</v>
      </c>
      <c r="C145" s="1001" t="e">
        <v>#N/A</v>
      </c>
      <c r="D145" s="3560" t="e">
        <v>#N/A</v>
      </c>
      <c r="E145" s="3560" t="e">
        <v>#N/A</v>
      </c>
      <c r="F145" s="3560" t="e">
        <v>#N/A</v>
      </c>
      <c r="G145" s="3560" t="e">
        <v>#N/A</v>
      </c>
      <c r="H145" s="3560" t="e">
        <v>#N/A</v>
      </c>
      <c r="I145" s="3560" t="e">
        <v>#N/A</v>
      </c>
      <c r="J145" s="3560" t="e">
        <v>#N/A</v>
      </c>
      <c r="K145" s="3560" t="e">
        <v>#N/A</v>
      </c>
      <c r="L145" s="3560" t="e">
        <v>#N/A</v>
      </c>
      <c r="M145" s="3560" t="e">
        <v>#N/A</v>
      </c>
      <c r="N145" s="3560" t="e">
        <v>#N/A</v>
      </c>
      <c r="O145" s="3560" t="e">
        <v>#N/A</v>
      </c>
      <c r="P145" s="2830" t="e">
        <v>#N/A</v>
      </c>
    </row>
    <row r="146" spans="1:16">
      <c r="A146" s="1162" t="s">
        <v>529</v>
      </c>
      <c r="B146" s="1398" t="e">
        <v>#N/A</v>
      </c>
      <c r="C146" s="1001" t="e">
        <v>#N/A</v>
      </c>
      <c r="D146" s="3560" t="e">
        <v>#N/A</v>
      </c>
      <c r="E146" s="3560" t="e">
        <v>#N/A</v>
      </c>
      <c r="F146" s="3560" t="e">
        <v>#N/A</v>
      </c>
      <c r="G146" s="3560" t="e">
        <v>#N/A</v>
      </c>
      <c r="H146" s="3560" t="e">
        <v>#N/A</v>
      </c>
      <c r="I146" s="3560" t="e">
        <v>#N/A</v>
      </c>
      <c r="J146" s="3560" t="e">
        <v>#N/A</v>
      </c>
      <c r="K146" s="3560" t="e">
        <v>#N/A</v>
      </c>
      <c r="L146" s="3560" t="e">
        <v>#N/A</v>
      </c>
      <c r="M146" s="3560" t="e">
        <v>#N/A</v>
      </c>
      <c r="N146" s="3560" t="e">
        <v>#N/A</v>
      </c>
      <c r="O146" s="3560" t="e">
        <v>#N/A</v>
      </c>
      <c r="P146" s="2830" t="e">
        <v>#N/A</v>
      </c>
    </row>
    <row r="147" spans="1:16">
      <c r="A147" s="1162" t="s">
        <v>530</v>
      </c>
      <c r="B147" s="1398" t="e">
        <v>#N/A</v>
      </c>
      <c r="C147" s="1001" t="e">
        <v>#N/A</v>
      </c>
      <c r="D147" s="3560" t="e">
        <v>#N/A</v>
      </c>
      <c r="E147" s="3560" t="e">
        <v>#N/A</v>
      </c>
      <c r="F147" s="3560" t="e">
        <v>#N/A</v>
      </c>
      <c r="G147" s="3560" t="e">
        <v>#N/A</v>
      </c>
      <c r="H147" s="3560" t="e">
        <v>#N/A</v>
      </c>
      <c r="I147" s="3560" t="e">
        <v>#N/A</v>
      </c>
      <c r="J147" s="3560" t="e">
        <v>#N/A</v>
      </c>
      <c r="K147" s="3560" t="e">
        <v>#N/A</v>
      </c>
      <c r="L147" s="3560" t="e">
        <v>#N/A</v>
      </c>
      <c r="M147" s="3560" t="e">
        <v>#N/A</v>
      </c>
      <c r="N147" s="3560" t="e">
        <v>#N/A</v>
      </c>
      <c r="O147" s="3560" t="e">
        <v>#N/A</v>
      </c>
      <c r="P147" s="2830" t="e">
        <v>#N/A</v>
      </c>
    </row>
    <row r="148" spans="1:16">
      <c r="A148" s="1162" t="s">
        <v>531</v>
      </c>
      <c r="B148" s="1398" t="e">
        <v>#N/A</v>
      </c>
      <c r="C148" s="1001" t="e">
        <v>#N/A</v>
      </c>
      <c r="D148" s="3560" t="e">
        <v>#N/A</v>
      </c>
      <c r="E148" s="3560" t="e">
        <v>#N/A</v>
      </c>
      <c r="F148" s="3560" t="e">
        <v>#N/A</v>
      </c>
      <c r="G148" s="3560" t="e">
        <v>#N/A</v>
      </c>
      <c r="H148" s="3560" t="e">
        <v>#N/A</v>
      </c>
      <c r="I148" s="3560" t="e">
        <v>#N/A</v>
      </c>
      <c r="J148" s="3560" t="e">
        <v>#N/A</v>
      </c>
      <c r="K148" s="3560" t="e">
        <v>#N/A</v>
      </c>
      <c r="L148" s="3560" t="e">
        <v>#N/A</v>
      </c>
      <c r="M148" s="3560" t="e">
        <v>#N/A</v>
      </c>
      <c r="N148" s="3560" t="e">
        <v>#N/A</v>
      </c>
      <c r="O148" s="3560" t="e">
        <v>#N/A</v>
      </c>
      <c r="P148" s="2830" t="e">
        <v>#N/A</v>
      </c>
    </row>
    <row r="149" spans="1:16">
      <c r="A149" s="1162" t="s">
        <v>532</v>
      </c>
      <c r="B149" s="1398" t="e">
        <v>#N/A</v>
      </c>
      <c r="C149" s="1001" t="e">
        <v>#N/A</v>
      </c>
      <c r="D149" s="3560" t="e">
        <v>#N/A</v>
      </c>
      <c r="E149" s="3560" t="e">
        <v>#N/A</v>
      </c>
      <c r="F149" s="3560" t="e">
        <v>#N/A</v>
      </c>
      <c r="G149" s="3560" t="e">
        <v>#N/A</v>
      </c>
      <c r="H149" s="3560" t="e">
        <v>#N/A</v>
      </c>
      <c r="I149" s="3560" t="e">
        <v>#N/A</v>
      </c>
      <c r="J149" s="3560" t="e">
        <v>#N/A</v>
      </c>
      <c r="K149" s="3560" t="e">
        <v>#N/A</v>
      </c>
      <c r="L149" s="3560" t="e">
        <v>#N/A</v>
      </c>
      <c r="M149" s="3560" t="e">
        <v>#N/A</v>
      </c>
      <c r="N149" s="3560" t="e">
        <v>#N/A</v>
      </c>
      <c r="O149" s="3560" t="e">
        <v>#N/A</v>
      </c>
      <c r="P149" s="2830" t="e">
        <v>#N/A</v>
      </c>
    </row>
    <row r="150" spans="1:16">
      <c r="A150" s="1162" t="s">
        <v>533</v>
      </c>
      <c r="B150" s="1398" t="e">
        <v>#N/A</v>
      </c>
      <c r="C150" s="1001" t="e">
        <v>#N/A</v>
      </c>
      <c r="D150" s="3560" t="e">
        <v>#N/A</v>
      </c>
      <c r="E150" s="3560" t="e">
        <v>#N/A</v>
      </c>
      <c r="F150" s="3560" t="e">
        <v>#N/A</v>
      </c>
      <c r="G150" s="3560" t="e">
        <v>#N/A</v>
      </c>
      <c r="H150" s="3560" t="e">
        <v>#N/A</v>
      </c>
      <c r="I150" s="3560" t="e">
        <v>#N/A</v>
      </c>
      <c r="J150" s="3560" t="e">
        <v>#N/A</v>
      </c>
      <c r="K150" s="3560" t="e">
        <v>#N/A</v>
      </c>
      <c r="L150" s="3560" t="e">
        <v>#N/A</v>
      </c>
      <c r="M150" s="3560" t="e">
        <v>#N/A</v>
      </c>
      <c r="N150" s="3560" t="e">
        <v>#N/A</v>
      </c>
      <c r="O150" s="3560" t="e">
        <v>#N/A</v>
      </c>
      <c r="P150" s="2830" t="e">
        <v>#N/A</v>
      </c>
    </row>
    <row r="151" spans="1:16">
      <c r="A151" s="1162" t="s">
        <v>534</v>
      </c>
      <c r="B151" s="1398" t="e">
        <v>#N/A</v>
      </c>
      <c r="C151" s="1001" t="e">
        <v>#N/A</v>
      </c>
      <c r="D151" s="3560" t="e">
        <v>#N/A</v>
      </c>
      <c r="E151" s="3560" t="e">
        <v>#N/A</v>
      </c>
      <c r="F151" s="3560" t="e">
        <v>#N/A</v>
      </c>
      <c r="G151" s="3560" t="e">
        <v>#N/A</v>
      </c>
      <c r="H151" s="3560" t="e">
        <v>#N/A</v>
      </c>
      <c r="I151" s="3560" t="e">
        <v>#N/A</v>
      </c>
      <c r="J151" s="3560" t="e">
        <v>#N/A</v>
      </c>
      <c r="K151" s="3560" t="e">
        <v>#N/A</v>
      </c>
      <c r="L151" s="3560" t="e">
        <v>#N/A</v>
      </c>
      <c r="M151" s="3560" t="e">
        <v>#N/A</v>
      </c>
      <c r="N151" s="3560" t="e">
        <v>#N/A</v>
      </c>
      <c r="O151" s="3560" t="e">
        <v>#N/A</v>
      </c>
      <c r="P151" s="2830" t="e">
        <v>#N/A</v>
      </c>
    </row>
    <row r="152" spans="1:16">
      <c r="A152" s="1162" t="s">
        <v>535</v>
      </c>
      <c r="B152" s="1398" t="e">
        <v>#N/A</v>
      </c>
      <c r="C152" s="1001" t="e">
        <v>#N/A</v>
      </c>
      <c r="D152" s="3560" t="e">
        <v>#N/A</v>
      </c>
      <c r="E152" s="3560" t="e">
        <v>#N/A</v>
      </c>
      <c r="F152" s="3560" t="e">
        <v>#N/A</v>
      </c>
      <c r="G152" s="3560" t="e">
        <v>#N/A</v>
      </c>
      <c r="H152" s="3560" t="e">
        <v>#N/A</v>
      </c>
      <c r="I152" s="3560" t="e">
        <v>#N/A</v>
      </c>
      <c r="J152" s="3560" t="e">
        <v>#N/A</v>
      </c>
      <c r="K152" s="3560" t="e">
        <v>#N/A</v>
      </c>
      <c r="L152" s="3560" t="e">
        <v>#N/A</v>
      </c>
      <c r="M152" s="3560" t="e">
        <v>#N/A</v>
      </c>
      <c r="N152" s="3560" t="e">
        <v>#N/A</v>
      </c>
      <c r="O152" s="3560" t="e">
        <v>#N/A</v>
      </c>
      <c r="P152" s="2830" t="e">
        <v>#N/A</v>
      </c>
    </row>
    <row r="153" spans="1:16">
      <c r="A153" s="1162" t="s">
        <v>536</v>
      </c>
      <c r="B153" s="1398" t="e">
        <v>#N/A</v>
      </c>
      <c r="C153" s="1001" t="e">
        <v>#N/A</v>
      </c>
      <c r="D153" s="3560" t="e">
        <v>#N/A</v>
      </c>
      <c r="E153" s="3560" t="e">
        <v>#N/A</v>
      </c>
      <c r="F153" s="3560" t="e">
        <v>#N/A</v>
      </c>
      <c r="G153" s="3560" t="e">
        <v>#N/A</v>
      </c>
      <c r="H153" s="3560" t="e">
        <v>#N/A</v>
      </c>
      <c r="I153" s="3560" t="e">
        <v>#N/A</v>
      </c>
      <c r="J153" s="3560" t="e">
        <v>#N/A</v>
      </c>
      <c r="K153" s="3560" t="e">
        <v>#N/A</v>
      </c>
      <c r="L153" s="3560" t="e">
        <v>#N/A</v>
      </c>
      <c r="M153" s="3560" t="e">
        <v>#N/A</v>
      </c>
      <c r="N153" s="3560" t="e">
        <v>#N/A</v>
      </c>
      <c r="O153" s="3560" t="e">
        <v>#N/A</v>
      </c>
      <c r="P153" s="2830" t="e">
        <v>#N/A</v>
      </c>
    </row>
    <row r="154" spans="1:16">
      <c r="A154" s="1162" t="s">
        <v>537</v>
      </c>
      <c r="B154" s="1398" t="e">
        <v>#N/A</v>
      </c>
      <c r="C154" s="1001" t="e">
        <v>#N/A</v>
      </c>
      <c r="D154" s="3560" t="e">
        <v>#N/A</v>
      </c>
      <c r="E154" s="3560" t="e">
        <v>#N/A</v>
      </c>
      <c r="F154" s="3560" t="e">
        <v>#N/A</v>
      </c>
      <c r="G154" s="3560" t="e">
        <v>#N/A</v>
      </c>
      <c r="H154" s="3560" t="e">
        <v>#N/A</v>
      </c>
      <c r="I154" s="3560" t="e">
        <v>#N/A</v>
      </c>
      <c r="J154" s="3560" t="e">
        <v>#N/A</v>
      </c>
      <c r="K154" s="3560" t="e">
        <v>#N/A</v>
      </c>
      <c r="L154" s="3560" t="e">
        <v>#N/A</v>
      </c>
      <c r="M154" s="3560" t="e">
        <v>#N/A</v>
      </c>
      <c r="N154" s="3560" t="e">
        <v>#N/A</v>
      </c>
      <c r="O154" s="3560" t="e">
        <v>#N/A</v>
      </c>
      <c r="P154" s="2830" t="e">
        <v>#N/A</v>
      </c>
    </row>
    <row r="155" spans="1:16">
      <c r="A155" s="1162" t="s">
        <v>538</v>
      </c>
      <c r="B155" s="1398" t="e">
        <v>#N/A</v>
      </c>
      <c r="C155" s="1001" t="e">
        <v>#N/A</v>
      </c>
      <c r="D155" s="3560" t="e">
        <v>#N/A</v>
      </c>
      <c r="E155" s="3560" t="e">
        <v>#N/A</v>
      </c>
      <c r="F155" s="3560" t="e">
        <v>#N/A</v>
      </c>
      <c r="G155" s="3560" t="e">
        <v>#N/A</v>
      </c>
      <c r="H155" s="3560" t="e">
        <v>#N/A</v>
      </c>
      <c r="I155" s="3560" t="e">
        <v>#N/A</v>
      </c>
      <c r="J155" s="3560" t="e">
        <v>#N/A</v>
      </c>
      <c r="K155" s="3560" t="e">
        <v>#N/A</v>
      </c>
      <c r="L155" s="3560" t="e">
        <v>#N/A</v>
      </c>
      <c r="M155" s="3560" t="e">
        <v>#N/A</v>
      </c>
      <c r="N155" s="3560" t="e">
        <v>#N/A</v>
      </c>
      <c r="O155" s="3560" t="e">
        <v>#N/A</v>
      </c>
      <c r="P155" s="2830" t="e">
        <v>#N/A</v>
      </c>
    </row>
    <row r="156" spans="1:16">
      <c r="A156" s="1162" t="s">
        <v>539</v>
      </c>
      <c r="B156" s="1398" t="e">
        <v>#N/A</v>
      </c>
      <c r="C156" s="1001" t="e">
        <v>#N/A</v>
      </c>
      <c r="D156" s="3560" t="e">
        <v>#N/A</v>
      </c>
      <c r="E156" s="3560" t="e">
        <v>#N/A</v>
      </c>
      <c r="F156" s="3560" t="e">
        <v>#N/A</v>
      </c>
      <c r="G156" s="3560" t="e">
        <v>#N/A</v>
      </c>
      <c r="H156" s="3560" t="e">
        <v>#N/A</v>
      </c>
      <c r="I156" s="3560" t="e">
        <v>#N/A</v>
      </c>
      <c r="J156" s="3560" t="e">
        <v>#N/A</v>
      </c>
      <c r="K156" s="3560" t="e">
        <v>#N/A</v>
      </c>
      <c r="L156" s="3560" t="e">
        <v>#N/A</v>
      </c>
      <c r="M156" s="3560" t="e">
        <v>#N/A</v>
      </c>
      <c r="N156" s="3560" t="e">
        <v>#N/A</v>
      </c>
      <c r="O156" s="3560" t="e">
        <v>#N/A</v>
      </c>
      <c r="P156" s="2830" t="e">
        <v>#N/A</v>
      </c>
    </row>
    <row r="157" spans="1:16">
      <c r="A157" s="1162" t="s">
        <v>540</v>
      </c>
      <c r="B157" s="1398" t="e">
        <v>#N/A</v>
      </c>
      <c r="C157" s="1001" t="e">
        <v>#N/A</v>
      </c>
      <c r="D157" s="3560" t="e">
        <v>#N/A</v>
      </c>
      <c r="E157" s="3560" t="e">
        <v>#N/A</v>
      </c>
      <c r="F157" s="3560" t="e">
        <v>#N/A</v>
      </c>
      <c r="G157" s="3560" t="e">
        <v>#N/A</v>
      </c>
      <c r="H157" s="3560" t="e">
        <v>#N/A</v>
      </c>
      <c r="I157" s="3560" t="e">
        <v>#N/A</v>
      </c>
      <c r="J157" s="3560" t="e">
        <v>#N/A</v>
      </c>
      <c r="K157" s="3560" t="e">
        <v>#N/A</v>
      </c>
      <c r="L157" s="3560" t="e">
        <v>#N/A</v>
      </c>
      <c r="M157" s="3560" t="e">
        <v>#N/A</v>
      </c>
      <c r="N157" s="3560" t="e">
        <v>#N/A</v>
      </c>
      <c r="O157" s="3560" t="e">
        <v>#N/A</v>
      </c>
      <c r="P157" s="2830" t="e">
        <v>#N/A</v>
      </c>
    </row>
    <row r="182" ht="12.75" customHeight="1"/>
  </sheetData>
  <phoneticPr fontId="71" type="noConversion"/>
  <hyperlinks>
    <hyperlink ref="A5" location="INDICE!A13" display="VOLVER AL INDICE" xr:uid="{D3CC93E8-8C2E-47B9-BCE4-DE5B9AAC25B9}"/>
  </hyperlinks>
  <pageMargins left="0.75" right="0.75" top="1" bottom="1" header="0" footer="0"/>
  <pageSetup paperSize="9"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55633-F26A-47EE-83B1-86BB19BD4D55}">
  <dimension ref="A1:MN429"/>
  <sheetViews>
    <sheetView topLeftCell="A2" zoomScaleNormal="100" workbookViewId="0">
      <pane xSplit="1" ySplit="8" topLeftCell="B10" activePane="bottomRight" state="frozen"/>
      <selection activeCell="A2" sqref="A2"/>
      <selection pane="topRight" activeCell="B2" sqref="B2"/>
      <selection pane="bottomLeft" activeCell="A10" sqref="A10"/>
      <selection pane="bottomRight" activeCell="B10" sqref="B10"/>
    </sheetView>
  </sheetViews>
  <sheetFormatPr baseColWidth="10" defaultColWidth="9.140625" defaultRowHeight="11.25"/>
  <cols>
    <col min="1" max="1" width="9.140625" style="2003"/>
    <col min="2" max="8" width="18" style="2003" customWidth="1"/>
    <col min="9" max="10" width="11.85546875" style="1986" customWidth="1"/>
    <col min="11" max="11" width="14.140625" style="1986" bestFit="1" customWidth="1"/>
    <col min="12" max="16384" width="9.140625" style="1986"/>
  </cols>
  <sheetData>
    <row r="1" spans="1:352" ht="12.75" hidden="1">
      <c r="A1" s="2761"/>
      <c r="B1" s="1962"/>
      <c r="C1" s="1986"/>
      <c r="D1" s="1986"/>
      <c r="E1" s="1962"/>
      <c r="F1" s="1986"/>
      <c r="G1" s="1986"/>
      <c r="H1" s="1987"/>
    </row>
    <row r="2" spans="1:352">
      <c r="A2" s="2762" t="s">
        <v>99</v>
      </c>
      <c r="B2" s="2831" t="s">
        <v>633</v>
      </c>
      <c r="C2" s="2181"/>
      <c r="D2" s="2181"/>
      <c r="E2" s="2181"/>
      <c r="F2" s="2181"/>
      <c r="G2" s="2181"/>
      <c r="H2" s="2182"/>
    </row>
    <row r="3" spans="1:352">
      <c r="A3" s="2762" t="s">
        <v>104</v>
      </c>
      <c r="B3" s="2831" t="s">
        <v>111</v>
      </c>
      <c r="C3" s="2181"/>
      <c r="D3" s="2181"/>
      <c r="E3" s="2181"/>
      <c r="F3" s="2181"/>
      <c r="G3" s="2181"/>
      <c r="H3" s="2182"/>
    </row>
    <row r="4" spans="1:352">
      <c r="A4" s="2762"/>
      <c r="B4" s="2831"/>
      <c r="C4" s="1988"/>
      <c r="D4" s="1988"/>
      <c r="E4" s="2831"/>
      <c r="F4" s="1988"/>
      <c r="G4" s="1988"/>
      <c r="H4" s="1989"/>
    </row>
    <row r="5" spans="1:352" ht="22.5">
      <c r="A5" s="2763" t="s">
        <v>140</v>
      </c>
      <c r="B5" s="2832" t="s">
        <v>634</v>
      </c>
      <c r="C5" s="1990"/>
      <c r="D5" s="1990"/>
      <c r="E5" s="2832" t="s">
        <v>635</v>
      </c>
      <c r="F5" s="1990"/>
      <c r="G5" s="1990"/>
      <c r="H5" s="2833"/>
    </row>
    <row r="6" spans="1:352" hidden="1">
      <c r="A6" s="2762"/>
      <c r="B6" s="2831"/>
      <c r="C6" s="1988"/>
      <c r="D6" s="1988"/>
      <c r="E6" s="2831"/>
      <c r="F6" s="1988"/>
      <c r="G6" s="1988"/>
      <c r="H6" s="2834"/>
    </row>
    <row r="7" spans="1:352" ht="22.5">
      <c r="A7" s="2762" t="s">
        <v>125</v>
      </c>
      <c r="B7" s="2835" t="s">
        <v>636</v>
      </c>
      <c r="C7" s="1991" t="s">
        <v>594</v>
      </c>
      <c r="D7" s="1991" t="s">
        <v>637</v>
      </c>
      <c r="E7" s="2835" t="s">
        <v>636</v>
      </c>
      <c r="F7" s="1991" t="s">
        <v>594</v>
      </c>
      <c r="G7" s="2054" t="s">
        <v>637</v>
      </c>
      <c r="H7" s="2836" t="s">
        <v>636</v>
      </c>
    </row>
    <row r="8" spans="1:352">
      <c r="A8" s="2751" t="s">
        <v>144</v>
      </c>
      <c r="B8" s="2177" t="s">
        <v>638</v>
      </c>
      <c r="C8" s="2178" t="s">
        <v>639</v>
      </c>
      <c r="D8" s="2179" t="s">
        <v>640</v>
      </c>
      <c r="E8" s="2177" t="s">
        <v>641</v>
      </c>
      <c r="F8" s="2178" t="s">
        <v>642</v>
      </c>
      <c r="G8" s="2180" t="s">
        <v>643</v>
      </c>
      <c r="H8" s="2837" t="s">
        <v>644</v>
      </c>
    </row>
    <row r="9" spans="1:352" ht="34.5" thickBot="1">
      <c r="A9" s="2140"/>
      <c r="B9" s="2173" t="s">
        <v>645</v>
      </c>
      <c r="C9" s="2174" t="s">
        <v>646</v>
      </c>
      <c r="D9" s="2175" t="s">
        <v>647</v>
      </c>
      <c r="E9" s="2173" t="s">
        <v>645</v>
      </c>
      <c r="F9" s="2174" t="s">
        <v>646</v>
      </c>
      <c r="G9" s="2175" t="s">
        <v>647</v>
      </c>
      <c r="H9" s="2176" t="s">
        <v>648</v>
      </c>
    </row>
    <row r="10" spans="1:352" ht="12.75" customHeight="1">
      <c r="A10" s="1992">
        <v>1996.01</v>
      </c>
      <c r="B10" s="1993"/>
      <c r="C10" s="3561"/>
      <c r="D10" s="1994"/>
      <c r="E10" s="1995"/>
      <c r="F10" s="3561"/>
      <c r="G10" s="1994"/>
      <c r="H10" s="2010"/>
    </row>
    <row r="11" spans="1:352" ht="12.75" customHeight="1">
      <c r="A11" s="1992">
        <v>1996.02</v>
      </c>
      <c r="B11" s="1993"/>
      <c r="C11" s="3561"/>
      <c r="D11" s="1994"/>
      <c r="E11" s="1995"/>
      <c r="F11" s="3561"/>
      <c r="G11" s="1994"/>
      <c r="H11" s="2010"/>
    </row>
    <row r="12" spans="1:352" ht="12.75" customHeight="1">
      <c r="A12" s="1992">
        <v>1996.03</v>
      </c>
      <c r="B12" s="1993"/>
      <c r="C12" s="3561"/>
      <c r="D12" s="1994"/>
      <c r="E12" s="1995"/>
      <c r="F12" s="3561"/>
      <c r="G12" s="1994"/>
      <c r="H12" s="2010"/>
    </row>
    <row r="13" spans="1:352" ht="12.75" customHeight="1">
      <c r="A13" s="1992">
        <v>1996.04</v>
      </c>
      <c r="B13" s="1993"/>
      <c r="C13" s="3561"/>
      <c r="D13" s="1994"/>
      <c r="E13" s="1995"/>
      <c r="F13" s="3561"/>
      <c r="G13" s="1994"/>
      <c r="H13" s="2010"/>
    </row>
    <row r="14" spans="1:352" ht="12.75" customHeight="1">
      <c r="A14" s="1992">
        <v>1996.05</v>
      </c>
      <c r="B14" s="1993"/>
      <c r="C14" s="3561"/>
      <c r="D14" s="1994"/>
      <c r="E14" s="1995"/>
      <c r="F14" s="3561"/>
      <c r="G14" s="1994"/>
      <c r="H14" s="2010"/>
    </row>
    <row r="15" spans="1:352" ht="12.75" customHeight="1">
      <c r="A15" s="1992">
        <v>1996.06</v>
      </c>
      <c r="B15" s="1993"/>
      <c r="C15" s="3561"/>
      <c r="D15" s="1994"/>
      <c r="E15" s="1995"/>
      <c r="F15" s="3561"/>
      <c r="G15" s="1994"/>
      <c r="H15" s="2010"/>
    </row>
    <row r="16" spans="1:352" ht="12.75" customHeight="1">
      <c r="A16" s="1992">
        <v>1996.07</v>
      </c>
      <c r="B16" s="1996"/>
      <c r="C16" s="3561"/>
      <c r="D16" s="1997"/>
      <c r="E16" s="1998">
        <v>261177</v>
      </c>
      <c r="F16" s="3562">
        <v>217040046</v>
      </c>
      <c r="G16" s="2009">
        <v>30490</v>
      </c>
      <c r="H16" s="2010"/>
      <c r="K16" s="2019"/>
      <c r="L16" s="2019"/>
      <c r="M16" s="2019"/>
      <c r="N16" s="2019"/>
      <c r="O16" s="2019"/>
      <c r="P16" s="2019"/>
      <c r="Q16" s="2019"/>
      <c r="R16" s="2019"/>
      <c r="S16" s="2019"/>
      <c r="T16" s="2019"/>
      <c r="U16" s="2019"/>
      <c r="V16" s="2019"/>
      <c r="W16" s="2019"/>
      <c r="X16" s="2019"/>
      <c r="Y16" s="2019"/>
      <c r="Z16" s="2019"/>
      <c r="AA16" s="2019"/>
      <c r="AB16" s="2019"/>
      <c r="AC16" s="2019"/>
      <c r="AD16" s="2019"/>
      <c r="AE16" s="2019"/>
      <c r="AF16" s="2019"/>
      <c r="AG16" s="2019"/>
      <c r="AH16" s="2019"/>
      <c r="AI16" s="2019"/>
      <c r="AJ16" s="2019"/>
      <c r="AK16" s="2019"/>
      <c r="AL16" s="2019"/>
      <c r="AM16" s="2019"/>
      <c r="AN16" s="2019"/>
      <c r="AO16" s="2019"/>
      <c r="AP16" s="2019"/>
      <c r="AQ16" s="2019"/>
      <c r="AR16" s="2019"/>
      <c r="AS16" s="2019"/>
      <c r="AT16" s="2019"/>
      <c r="AU16" s="2019"/>
      <c r="AV16" s="2019"/>
      <c r="AW16" s="2019"/>
      <c r="AX16" s="2019"/>
      <c r="AY16" s="2019"/>
      <c r="AZ16" s="2019"/>
      <c r="BA16" s="2019"/>
      <c r="BB16" s="2019"/>
      <c r="BC16" s="2019"/>
      <c r="BD16" s="2019"/>
      <c r="BE16" s="2019"/>
      <c r="BF16" s="2019"/>
      <c r="BG16" s="2019"/>
      <c r="BH16" s="2019"/>
      <c r="BI16" s="2019"/>
      <c r="BJ16" s="2019"/>
      <c r="BK16" s="2019"/>
      <c r="BL16" s="2019"/>
      <c r="BM16" s="2019"/>
      <c r="BN16" s="2019"/>
      <c r="BO16" s="2019"/>
      <c r="BP16" s="2019"/>
      <c r="BQ16" s="2019"/>
      <c r="BR16" s="2019"/>
      <c r="BS16" s="2019"/>
      <c r="BT16" s="2019"/>
      <c r="BU16" s="2019"/>
      <c r="BV16" s="2019"/>
      <c r="BW16" s="2019"/>
      <c r="BX16" s="2019"/>
      <c r="BY16" s="2019"/>
      <c r="BZ16" s="2019"/>
      <c r="CA16" s="2019"/>
      <c r="CB16" s="2019"/>
      <c r="CC16" s="2019"/>
      <c r="CD16" s="2019"/>
      <c r="CE16" s="2019"/>
      <c r="CF16" s="2019"/>
      <c r="CG16" s="2019"/>
      <c r="CH16" s="2019"/>
      <c r="CI16" s="2019"/>
      <c r="CJ16" s="2019"/>
      <c r="CK16" s="2019"/>
      <c r="CL16" s="2019"/>
      <c r="CM16" s="2019"/>
      <c r="CN16" s="2019"/>
      <c r="CO16" s="2019"/>
      <c r="CP16" s="2019"/>
      <c r="CQ16" s="2019"/>
      <c r="CR16" s="2019"/>
      <c r="CS16" s="2019"/>
      <c r="CT16" s="2019"/>
      <c r="CU16" s="2019"/>
      <c r="CV16" s="2019"/>
      <c r="CW16" s="2019"/>
      <c r="CX16" s="2019"/>
      <c r="CY16" s="2019"/>
      <c r="CZ16" s="2019"/>
      <c r="DA16" s="2019"/>
      <c r="DB16" s="2019"/>
      <c r="DC16" s="2019"/>
      <c r="DD16" s="2019"/>
      <c r="DE16" s="2019"/>
      <c r="DF16" s="2019"/>
      <c r="DG16" s="2019"/>
      <c r="DH16" s="2019"/>
      <c r="DI16" s="2019"/>
      <c r="DJ16" s="2019"/>
      <c r="DK16" s="2019"/>
      <c r="DL16" s="2019"/>
      <c r="DM16" s="2019"/>
      <c r="DN16" s="2019"/>
      <c r="DO16" s="2019"/>
      <c r="DP16" s="2019"/>
      <c r="DQ16" s="2019"/>
      <c r="DR16" s="2019"/>
      <c r="DS16" s="2019"/>
      <c r="DT16" s="2019"/>
      <c r="DU16" s="2019"/>
      <c r="DV16" s="2019"/>
      <c r="DW16" s="2019"/>
      <c r="DX16" s="2019"/>
      <c r="DY16" s="2019"/>
      <c r="DZ16" s="2019"/>
      <c r="EA16" s="2019"/>
      <c r="EB16" s="2019"/>
      <c r="EC16" s="2019"/>
      <c r="ED16" s="2019"/>
      <c r="EE16" s="2019"/>
      <c r="EF16" s="2019"/>
      <c r="EG16" s="2019"/>
      <c r="EH16" s="2019"/>
      <c r="EI16" s="2019"/>
      <c r="EJ16" s="2019"/>
      <c r="EK16" s="2019"/>
      <c r="EL16" s="2019"/>
      <c r="EM16" s="2019"/>
      <c r="EN16" s="2019"/>
      <c r="EO16" s="2019"/>
      <c r="EP16" s="2019"/>
      <c r="EQ16" s="2019"/>
      <c r="ER16" s="2019"/>
      <c r="ES16" s="2019"/>
      <c r="ET16" s="2019"/>
      <c r="EU16" s="2019"/>
      <c r="EV16" s="2019"/>
      <c r="EW16" s="2019"/>
      <c r="EX16" s="2019"/>
      <c r="EY16" s="2019"/>
      <c r="EZ16" s="2019"/>
      <c r="FA16" s="2019"/>
      <c r="FB16" s="2019"/>
      <c r="FC16" s="2019"/>
      <c r="FD16" s="2019"/>
      <c r="FE16" s="2019"/>
      <c r="FF16" s="2019"/>
      <c r="FG16" s="2019"/>
      <c r="FH16" s="2019"/>
      <c r="FI16" s="2019"/>
      <c r="FJ16" s="2019"/>
      <c r="FK16" s="2019"/>
      <c r="FL16" s="2019"/>
      <c r="FM16" s="2019"/>
      <c r="FN16" s="2019"/>
      <c r="FO16" s="2019"/>
      <c r="FP16" s="2019"/>
      <c r="FQ16" s="2019"/>
      <c r="FR16" s="2019"/>
      <c r="FS16" s="2019"/>
      <c r="FT16" s="2019"/>
      <c r="FU16" s="2019"/>
      <c r="FV16" s="2019"/>
      <c r="FW16" s="2019"/>
      <c r="FX16" s="2019"/>
      <c r="FY16" s="2019"/>
      <c r="FZ16" s="2019"/>
      <c r="GA16" s="2019"/>
      <c r="GB16" s="2019"/>
      <c r="GC16" s="2019"/>
      <c r="GD16" s="2019"/>
      <c r="GE16" s="2019"/>
      <c r="GF16" s="2019"/>
      <c r="GG16" s="2019"/>
      <c r="GH16" s="2019"/>
      <c r="GI16" s="2019"/>
      <c r="GJ16" s="2019"/>
      <c r="GK16" s="2019"/>
      <c r="GL16" s="2019"/>
      <c r="GM16" s="2019"/>
      <c r="GN16" s="2019"/>
      <c r="GO16" s="2019"/>
      <c r="GP16" s="2019"/>
      <c r="GQ16" s="2019"/>
      <c r="GR16" s="2019"/>
      <c r="GS16" s="2019"/>
      <c r="GT16" s="2019"/>
      <c r="GU16" s="2019"/>
      <c r="GV16" s="2019"/>
      <c r="GW16" s="2019"/>
      <c r="GX16" s="2019"/>
      <c r="GY16" s="2019"/>
      <c r="GZ16" s="2019"/>
      <c r="HA16" s="2019"/>
      <c r="HB16" s="2019"/>
      <c r="HC16" s="2019"/>
      <c r="HD16" s="2019"/>
      <c r="HE16" s="2019"/>
      <c r="HF16" s="2019"/>
      <c r="HG16" s="2019"/>
      <c r="HH16" s="2019"/>
      <c r="HI16" s="2019"/>
      <c r="HJ16" s="2019"/>
      <c r="HK16" s="2019"/>
      <c r="HL16" s="2019"/>
      <c r="HM16" s="2019"/>
      <c r="HN16" s="2019"/>
      <c r="HO16" s="2019"/>
      <c r="HP16" s="2019"/>
      <c r="HQ16" s="2019"/>
      <c r="HR16" s="2019"/>
      <c r="HS16" s="2019"/>
      <c r="HT16" s="2019"/>
      <c r="HU16" s="2019"/>
      <c r="HV16" s="2019"/>
      <c r="HW16" s="2019"/>
      <c r="HX16" s="2019"/>
      <c r="HY16" s="2019"/>
      <c r="HZ16" s="2019"/>
      <c r="IA16" s="2019"/>
      <c r="IB16" s="2019"/>
      <c r="IC16" s="2019"/>
      <c r="ID16" s="2019"/>
      <c r="IE16" s="2019"/>
      <c r="IF16" s="2019"/>
      <c r="IG16" s="2019"/>
      <c r="IH16" s="2019"/>
      <c r="II16" s="2019"/>
      <c r="IJ16" s="2019"/>
      <c r="IK16" s="2019"/>
      <c r="IL16" s="2019"/>
      <c r="IM16" s="2019"/>
      <c r="IN16" s="2019"/>
      <c r="IO16" s="2019"/>
      <c r="IP16" s="2019"/>
      <c r="IQ16" s="2019"/>
      <c r="IR16" s="2019"/>
      <c r="IS16" s="2019"/>
      <c r="IT16" s="2019"/>
      <c r="IU16" s="2019"/>
      <c r="IV16" s="2019"/>
      <c r="IW16" s="2019"/>
      <c r="IX16" s="2019"/>
      <c r="IY16" s="2019"/>
      <c r="IZ16" s="2019"/>
      <c r="JA16" s="2019"/>
      <c r="JB16" s="2019"/>
      <c r="JC16" s="2019"/>
      <c r="JD16" s="2019"/>
      <c r="JE16" s="2019"/>
      <c r="JF16" s="2019"/>
      <c r="JG16" s="2019"/>
      <c r="JH16" s="2019"/>
      <c r="JI16" s="2019"/>
      <c r="JJ16" s="2019"/>
      <c r="JK16" s="2019"/>
      <c r="JL16" s="2019"/>
      <c r="JM16" s="2019"/>
      <c r="JN16" s="2019"/>
      <c r="JO16" s="2019"/>
      <c r="JP16" s="2019"/>
      <c r="JQ16" s="2019"/>
      <c r="JR16" s="2019"/>
      <c r="JS16" s="2019"/>
      <c r="JT16" s="2019"/>
      <c r="JU16" s="2019"/>
      <c r="JV16" s="2019"/>
      <c r="JW16" s="2019"/>
      <c r="JX16" s="2019"/>
      <c r="JY16" s="2019"/>
      <c r="JZ16" s="2019"/>
      <c r="KA16" s="2019"/>
      <c r="KB16" s="2019"/>
      <c r="KC16" s="2019"/>
      <c r="KD16" s="2019"/>
      <c r="KE16" s="2019"/>
      <c r="KF16" s="2019"/>
      <c r="KG16" s="2019"/>
      <c r="KH16" s="2019"/>
      <c r="KI16" s="2019"/>
      <c r="KJ16" s="2019"/>
      <c r="KK16" s="2019"/>
      <c r="KL16" s="2019"/>
      <c r="KM16" s="2019"/>
      <c r="KN16" s="2019"/>
      <c r="KO16" s="2019"/>
      <c r="KP16" s="2019"/>
      <c r="KQ16" s="2019"/>
      <c r="KR16" s="2019"/>
      <c r="KS16" s="2019"/>
      <c r="KT16" s="2019"/>
      <c r="KU16" s="2019"/>
      <c r="KV16" s="2019"/>
      <c r="KW16" s="2019"/>
      <c r="KX16" s="2019"/>
      <c r="KY16" s="2019"/>
      <c r="KZ16" s="2019"/>
      <c r="LA16" s="2019"/>
      <c r="LB16" s="2019"/>
      <c r="LC16" s="2019"/>
      <c r="LD16" s="2019"/>
      <c r="LE16" s="2019"/>
      <c r="LF16" s="2019"/>
      <c r="LG16" s="2019"/>
      <c r="LH16" s="2019"/>
      <c r="LI16" s="2019"/>
      <c r="LJ16" s="2019"/>
      <c r="LK16" s="2019"/>
      <c r="LL16" s="2019"/>
      <c r="LM16" s="2019"/>
      <c r="LN16" s="2019"/>
      <c r="LO16" s="2019"/>
      <c r="LP16" s="2019"/>
      <c r="LQ16" s="2019"/>
      <c r="LR16" s="2019"/>
      <c r="LS16" s="2019"/>
      <c r="LT16" s="2019"/>
      <c r="LU16" s="2019"/>
      <c r="LV16" s="2019"/>
      <c r="LW16" s="2019"/>
      <c r="LX16" s="2019"/>
      <c r="LY16" s="2019"/>
      <c r="LZ16" s="2019"/>
      <c r="MA16" s="2019"/>
      <c r="MB16" s="2019"/>
      <c r="MC16" s="2019"/>
      <c r="MD16" s="2019"/>
      <c r="ME16" s="2019"/>
      <c r="MF16" s="2019"/>
      <c r="MG16" s="2019"/>
      <c r="MH16" s="2019"/>
      <c r="MI16" s="2019"/>
      <c r="MJ16" s="2019"/>
      <c r="MK16" s="2019"/>
      <c r="ML16" s="2019"/>
      <c r="MM16" s="2019"/>
      <c r="MN16" s="2019"/>
    </row>
    <row r="17" spans="1:11" ht="12.75" customHeight="1">
      <c r="A17" s="1992">
        <v>1996.08</v>
      </c>
      <c r="B17" s="1996"/>
      <c r="C17" s="3561"/>
      <c r="D17" s="1997"/>
      <c r="E17" s="1999">
        <v>270270</v>
      </c>
      <c r="F17" s="3563">
        <v>151853347</v>
      </c>
      <c r="G17" s="2002">
        <v>31740</v>
      </c>
      <c r="H17" s="2010"/>
      <c r="K17" s="2019"/>
    </row>
    <row r="18" spans="1:11" ht="12.75" customHeight="1">
      <c r="A18" s="1992">
        <v>1996.09</v>
      </c>
      <c r="B18" s="1996"/>
      <c r="C18" s="3561"/>
      <c r="D18" s="1997"/>
      <c r="E18" s="1999">
        <v>273776</v>
      </c>
      <c r="F18" s="3563">
        <v>153221448</v>
      </c>
      <c r="G18" s="2002">
        <v>32281</v>
      </c>
      <c r="H18" s="2010"/>
      <c r="K18" s="2019"/>
    </row>
    <row r="19" spans="1:11" ht="12.75" customHeight="1">
      <c r="A19" s="1992">
        <v>1996.1</v>
      </c>
      <c r="B19" s="1996"/>
      <c r="C19" s="3561"/>
      <c r="D19" s="1997"/>
      <c r="E19" s="1999">
        <v>282217</v>
      </c>
      <c r="F19" s="3563">
        <v>157639548</v>
      </c>
      <c r="G19" s="2002">
        <v>32533</v>
      </c>
      <c r="H19" s="2010"/>
      <c r="K19" s="2019"/>
    </row>
    <row r="20" spans="1:11" ht="12.75" customHeight="1">
      <c r="A20" s="1992">
        <v>1996.11</v>
      </c>
      <c r="B20" s="1996"/>
      <c r="C20" s="3561"/>
      <c r="D20" s="1997"/>
      <c r="E20" s="1999">
        <v>285219</v>
      </c>
      <c r="F20" s="3563">
        <v>161928746</v>
      </c>
      <c r="G20" s="2002">
        <v>32747</v>
      </c>
      <c r="H20" s="2010"/>
      <c r="K20" s="2019"/>
    </row>
    <row r="21" spans="1:11" ht="12.75" customHeight="1">
      <c r="A21" s="1992">
        <v>1996.12</v>
      </c>
      <c r="B21" s="1996"/>
      <c r="C21" s="3561"/>
      <c r="D21" s="1997"/>
      <c r="E21" s="1999">
        <v>289429</v>
      </c>
      <c r="F21" s="3563">
        <v>160183508.05999997</v>
      </c>
      <c r="G21" s="2002">
        <v>33149</v>
      </c>
      <c r="H21" s="2010"/>
      <c r="K21" s="2019"/>
    </row>
    <row r="22" spans="1:11" ht="12.75" customHeight="1">
      <c r="A22" s="1992">
        <f>A10+1</f>
        <v>1997.01</v>
      </c>
      <c r="B22" s="1996"/>
      <c r="C22" s="3561"/>
      <c r="D22" s="1997"/>
      <c r="E22" s="1999">
        <v>296223</v>
      </c>
      <c r="F22" s="3563">
        <v>241923750</v>
      </c>
      <c r="G22" s="2002">
        <v>33203</v>
      </c>
      <c r="H22" s="2010"/>
      <c r="K22" s="2019"/>
    </row>
    <row r="23" spans="1:11" ht="12.75" customHeight="1">
      <c r="A23" s="1992">
        <f t="shared" ref="A23:A86" si="0">A11+1</f>
        <v>1997.02</v>
      </c>
      <c r="B23" s="1996"/>
      <c r="C23" s="3561"/>
      <c r="D23" s="1997"/>
      <c r="E23" s="1999">
        <v>300276</v>
      </c>
      <c r="F23" s="3563">
        <v>171518312</v>
      </c>
      <c r="G23" s="2002">
        <v>33028</v>
      </c>
      <c r="H23" s="2010"/>
      <c r="K23" s="2019"/>
    </row>
    <row r="24" spans="1:11" ht="12.75" customHeight="1">
      <c r="A24" s="1992">
        <f t="shared" si="0"/>
        <v>1997.03</v>
      </c>
      <c r="B24" s="1996"/>
      <c r="C24" s="3561"/>
      <c r="D24" s="1997"/>
      <c r="E24" s="1999">
        <v>307056</v>
      </c>
      <c r="F24" s="3563">
        <v>163187101</v>
      </c>
      <c r="G24" s="2002">
        <v>33015</v>
      </c>
      <c r="H24" s="2010"/>
      <c r="K24" s="2019"/>
    </row>
    <row r="25" spans="1:11" ht="12.75" customHeight="1">
      <c r="A25" s="1992">
        <f t="shared" si="0"/>
        <v>1997.04</v>
      </c>
      <c r="B25" s="1996"/>
      <c r="C25" s="3561"/>
      <c r="D25" s="1997"/>
      <c r="E25" s="1999">
        <v>312935</v>
      </c>
      <c r="F25" s="3563">
        <v>167269128</v>
      </c>
      <c r="G25" s="2002">
        <v>33581</v>
      </c>
      <c r="H25" s="2010"/>
      <c r="K25" s="2019"/>
    </row>
    <row r="26" spans="1:11" ht="12.75" customHeight="1">
      <c r="A26" s="1992">
        <f t="shared" si="0"/>
        <v>1997.05</v>
      </c>
      <c r="B26" s="1996"/>
      <c r="C26" s="3561"/>
      <c r="D26" s="1997"/>
      <c r="E26" s="1999">
        <v>315474</v>
      </c>
      <c r="F26" s="3563">
        <v>164450215</v>
      </c>
      <c r="G26" s="2002">
        <v>33581</v>
      </c>
      <c r="H26" s="2010"/>
      <c r="K26" s="2019"/>
    </row>
    <row r="27" spans="1:11" ht="12.75" customHeight="1">
      <c r="A27" s="1992">
        <f t="shared" si="0"/>
        <v>1997.06</v>
      </c>
      <c r="B27" s="1996"/>
      <c r="C27" s="3561"/>
      <c r="D27" s="1997"/>
      <c r="E27" s="1999">
        <v>313219</v>
      </c>
      <c r="F27" s="3563">
        <v>164482601</v>
      </c>
      <c r="G27" s="2002">
        <v>33847</v>
      </c>
      <c r="H27" s="2010"/>
      <c r="K27" s="2019"/>
    </row>
    <row r="28" spans="1:11" ht="12.75" customHeight="1">
      <c r="A28" s="1992">
        <f t="shared" si="0"/>
        <v>1997.07</v>
      </c>
      <c r="B28" s="1996"/>
      <c r="C28" s="3561"/>
      <c r="D28" s="1997"/>
      <c r="E28" s="1999">
        <v>311879</v>
      </c>
      <c r="F28" s="3563">
        <v>240103924</v>
      </c>
      <c r="G28" s="2002">
        <v>33493</v>
      </c>
      <c r="H28" s="2010"/>
      <c r="K28" s="2019"/>
    </row>
    <row r="29" spans="1:11" ht="12.75" customHeight="1">
      <c r="A29" s="1992">
        <f t="shared" si="0"/>
        <v>1997.08</v>
      </c>
      <c r="B29" s="1996"/>
      <c r="C29" s="3561"/>
      <c r="D29" s="1997"/>
      <c r="E29" s="1999">
        <v>311466</v>
      </c>
      <c r="F29" s="3563">
        <v>163991016</v>
      </c>
      <c r="G29" s="2002">
        <v>33421</v>
      </c>
      <c r="H29" s="2010"/>
      <c r="K29" s="2019"/>
    </row>
    <row r="30" spans="1:11" ht="12.75" customHeight="1">
      <c r="A30" s="1992">
        <f t="shared" si="0"/>
        <v>1997.09</v>
      </c>
      <c r="B30" s="1996"/>
      <c r="C30" s="3561"/>
      <c r="D30" s="1997"/>
      <c r="E30" s="1999">
        <v>315813</v>
      </c>
      <c r="F30" s="3563">
        <v>165464113</v>
      </c>
      <c r="G30" s="2002">
        <v>33476</v>
      </c>
      <c r="H30" s="2010"/>
      <c r="K30" s="2019"/>
    </row>
    <row r="31" spans="1:11" ht="12.75" customHeight="1">
      <c r="A31" s="1992">
        <f t="shared" si="0"/>
        <v>1997.1</v>
      </c>
      <c r="B31" s="1996"/>
      <c r="C31" s="3561"/>
      <c r="D31" s="1997"/>
      <c r="E31" s="1999">
        <v>317860</v>
      </c>
      <c r="F31" s="3563">
        <v>170852829</v>
      </c>
      <c r="G31" s="2002">
        <v>33528</v>
      </c>
      <c r="H31" s="2010"/>
      <c r="K31" s="2019"/>
    </row>
    <row r="32" spans="1:11" ht="12.75" customHeight="1">
      <c r="A32" s="1992">
        <f t="shared" si="0"/>
        <v>1997.11</v>
      </c>
      <c r="B32" s="1996"/>
      <c r="C32" s="3561"/>
      <c r="D32" s="1997"/>
      <c r="E32" s="1999">
        <v>329246</v>
      </c>
      <c r="F32" s="3563">
        <v>178996605</v>
      </c>
      <c r="G32" s="2002">
        <v>33808</v>
      </c>
      <c r="H32" s="2010"/>
      <c r="K32" s="2019"/>
    </row>
    <row r="33" spans="1:11" ht="12.75" customHeight="1">
      <c r="A33" s="1992">
        <f t="shared" si="0"/>
        <v>1997.12</v>
      </c>
      <c r="B33" s="1996"/>
      <c r="C33" s="3561"/>
      <c r="D33" s="1997"/>
      <c r="E33" s="1999">
        <v>338342</v>
      </c>
      <c r="F33" s="3563">
        <v>181410840</v>
      </c>
      <c r="G33" s="2002">
        <v>34130</v>
      </c>
      <c r="H33" s="2010"/>
      <c r="K33" s="2019"/>
    </row>
    <row r="34" spans="1:11" ht="12.75" customHeight="1">
      <c r="A34" s="1992">
        <f t="shared" si="0"/>
        <v>1998.01</v>
      </c>
      <c r="B34" s="1996"/>
      <c r="C34" s="3561"/>
      <c r="D34" s="1997"/>
      <c r="E34" s="1999">
        <v>342338</v>
      </c>
      <c r="F34" s="3563">
        <v>274133954</v>
      </c>
      <c r="G34" s="2002">
        <v>34189</v>
      </c>
      <c r="H34" s="2010"/>
      <c r="K34" s="2019"/>
    </row>
    <row r="35" spans="1:11" ht="12.75" customHeight="1">
      <c r="A35" s="1992">
        <f t="shared" si="0"/>
        <v>1998.02</v>
      </c>
      <c r="B35" s="1996"/>
      <c r="C35" s="3561"/>
      <c r="D35" s="1997"/>
      <c r="E35" s="1999">
        <v>336543</v>
      </c>
      <c r="F35" s="3563">
        <v>191348047</v>
      </c>
      <c r="G35" s="2002">
        <v>34058</v>
      </c>
      <c r="H35" s="2010"/>
      <c r="K35" s="2019"/>
    </row>
    <row r="36" spans="1:11" ht="12.75" customHeight="1">
      <c r="A36" s="1992">
        <f t="shared" si="0"/>
        <v>1998.03</v>
      </c>
      <c r="B36" s="1996"/>
      <c r="C36" s="3561"/>
      <c r="D36" s="1997"/>
      <c r="E36" s="1999">
        <v>333922</v>
      </c>
      <c r="F36" s="3563">
        <v>178543555</v>
      </c>
      <c r="G36" s="2002">
        <v>33937</v>
      </c>
      <c r="H36" s="2010"/>
      <c r="K36" s="2019"/>
    </row>
    <row r="37" spans="1:11" ht="12.75" customHeight="1">
      <c r="A37" s="1992">
        <f t="shared" si="0"/>
        <v>1998.04</v>
      </c>
      <c r="B37" s="1996"/>
      <c r="C37" s="3561"/>
      <c r="D37" s="1997"/>
      <c r="E37" s="1999">
        <v>342178</v>
      </c>
      <c r="F37" s="3563">
        <v>185197343</v>
      </c>
      <c r="G37" s="2002">
        <v>34204</v>
      </c>
      <c r="H37" s="2010"/>
      <c r="K37" s="2019"/>
    </row>
    <row r="38" spans="1:11" ht="12.75" customHeight="1">
      <c r="A38" s="1992">
        <f t="shared" si="0"/>
        <v>1998.05</v>
      </c>
      <c r="B38" s="1996"/>
      <c r="C38" s="3561"/>
      <c r="D38" s="1997"/>
      <c r="E38" s="1999">
        <v>331269</v>
      </c>
      <c r="F38" s="3563">
        <v>176414983</v>
      </c>
      <c r="G38" s="2002">
        <v>34155</v>
      </c>
      <c r="H38" s="2010"/>
      <c r="K38" s="2019"/>
    </row>
    <row r="39" spans="1:11" ht="12.75" customHeight="1">
      <c r="A39" s="1992">
        <f t="shared" si="0"/>
        <v>1998.06</v>
      </c>
      <c r="B39" s="1996"/>
      <c r="C39" s="3561"/>
      <c r="D39" s="1997"/>
      <c r="E39" s="1999">
        <v>343575</v>
      </c>
      <c r="F39" s="3563">
        <v>186174278</v>
      </c>
      <c r="G39" s="2002">
        <v>34328</v>
      </c>
      <c r="H39" s="2010"/>
      <c r="K39" s="2019"/>
    </row>
    <row r="40" spans="1:11" ht="12.75" customHeight="1">
      <c r="A40" s="1992">
        <f t="shared" si="0"/>
        <v>1998.07</v>
      </c>
      <c r="B40" s="1996"/>
      <c r="C40" s="3561"/>
      <c r="D40" s="1997"/>
      <c r="E40" s="1999">
        <v>337666</v>
      </c>
      <c r="F40" s="3563">
        <v>265808916</v>
      </c>
      <c r="G40" s="2002">
        <v>34090</v>
      </c>
      <c r="H40" s="2010"/>
      <c r="K40" s="2019"/>
    </row>
    <row r="41" spans="1:11" ht="12.75" customHeight="1">
      <c r="A41" s="1992">
        <f t="shared" si="0"/>
        <v>1998.08</v>
      </c>
      <c r="B41" s="1996"/>
      <c r="C41" s="3561"/>
      <c r="D41" s="1997"/>
      <c r="E41" s="1999">
        <v>332059</v>
      </c>
      <c r="F41" s="3563">
        <v>181803785</v>
      </c>
      <c r="G41" s="2002">
        <v>33965</v>
      </c>
      <c r="H41" s="2010"/>
      <c r="K41" s="2019"/>
    </row>
    <row r="42" spans="1:11" ht="12.75" customHeight="1">
      <c r="A42" s="1992">
        <f t="shared" si="0"/>
        <v>1998.09</v>
      </c>
      <c r="B42" s="1996"/>
      <c r="C42" s="3561"/>
      <c r="D42" s="1997"/>
      <c r="E42" s="1999">
        <v>331486</v>
      </c>
      <c r="F42" s="3563">
        <v>178912611</v>
      </c>
      <c r="G42" s="2002">
        <v>34038</v>
      </c>
      <c r="H42" s="2010"/>
      <c r="K42" s="2019"/>
    </row>
    <row r="43" spans="1:11" ht="12.75" customHeight="1">
      <c r="A43" s="1992">
        <f t="shared" si="0"/>
        <v>1998.1</v>
      </c>
      <c r="B43" s="1996"/>
      <c r="C43" s="3561"/>
      <c r="D43" s="1997"/>
      <c r="E43" s="1999">
        <v>333892</v>
      </c>
      <c r="F43" s="3563">
        <v>181213369</v>
      </c>
      <c r="G43" s="2002">
        <v>34044</v>
      </c>
      <c r="H43" s="2010"/>
      <c r="K43" s="2019"/>
    </row>
    <row r="44" spans="1:11" ht="12.75" customHeight="1">
      <c r="A44" s="1992">
        <f t="shared" si="0"/>
        <v>1998.11</v>
      </c>
      <c r="B44" s="1996"/>
      <c r="C44" s="3561"/>
      <c r="D44" s="1997"/>
      <c r="E44" s="1999">
        <v>333865</v>
      </c>
      <c r="F44" s="3563">
        <v>179260583</v>
      </c>
      <c r="G44" s="2002">
        <v>33936</v>
      </c>
      <c r="H44" s="2010"/>
      <c r="K44" s="2019"/>
    </row>
    <row r="45" spans="1:11" ht="12.75" customHeight="1">
      <c r="A45" s="1992">
        <f t="shared" si="0"/>
        <v>1998.12</v>
      </c>
      <c r="B45" s="1996"/>
      <c r="C45" s="3561"/>
      <c r="D45" s="1997"/>
      <c r="E45" s="1999">
        <v>342633</v>
      </c>
      <c r="F45" s="3563">
        <v>186755994</v>
      </c>
      <c r="G45" s="2002">
        <v>34266</v>
      </c>
      <c r="H45" s="2010"/>
      <c r="K45" s="2019"/>
    </row>
    <row r="46" spans="1:11" ht="12.75" customHeight="1">
      <c r="A46" s="1992">
        <f t="shared" si="0"/>
        <v>1999.01</v>
      </c>
      <c r="B46" s="1996"/>
      <c r="C46" s="3561"/>
      <c r="D46" s="1997"/>
      <c r="E46" s="1999">
        <v>339104</v>
      </c>
      <c r="F46" s="3563">
        <v>273699047</v>
      </c>
      <c r="G46" s="2002">
        <v>34194</v>
      </c>
      <c r="H46" s="2010"/>
      <c r="K46" s="2019"/>
    </row>
    <row r="47" spans="1:11" ht="12.75" customHeight="1">
      <c r="A47" s="1992">
        <f t="shared" si="0"/>
        <v>1999.02</v>
      </c>
      <c r="B47" s="1996"/>
      <c r="C47" s="3561"/>
      <c r="D47" s="1997"/>
      <c r="E47" s="1999">
        <v>336127</v>
      </c>
      <c r="F47" s="3563">
        <v>198637770</v>
      </c>
      <c r="G47" s="2002">
        <v>34015</v>
      </c>
      <c r="H47" s="2010"/>
      <c r="K47" s="2019"/>
    </row>
    <row r="48" spans="1:11" ht="12.75" customHeight="1">
      <c r="A48" s="1992">
        <f t="shared" si="0"/>
        <v>1999.03</v>
      </c>
      <c r="B48" s="1996"/>
      <c r="C48" s="3561"/>
      <c r="D48" s="1997"/>
      <c r="E48" s="1999">
        <v>336513</v>
      </c>
      <c r="F48" s="3563">
        <v>189612422</v>
      </c>
      <c r="G48" s="2002">
        <v>33976</v>
      </c>
      <c r="H48" s="2010"/>
      <c r="K48" s="2019"/>
    </row>
    <row r="49" spans="1:11" ht="12.75" customHeight="1">
      <c r="A49" s="1992">
        <f t="shared" si="0"/>
        <v>1999.04</v>
      </c>
      <c r="B49" s="1996"/>
      <c r="C49" s="3561"/>
      <c r="D49" s="1997"/>
      <c r="E49" s="1999">
        <v>341083</v>
      </c>
      <c r="F49" s="3563">
        <v>191919792</v>
      </c>
      <c r="G49" s="2002">
        <v>34224</v>
      </c>
      <c r="H49" s="2010"/>
      <c r="K49" s="2019"/>
    </row>
    <row r="50" spans="1:11" ht="12.75" customHeight="1">
      <c r="A50" s="1992">
        <f t="shared" si="0"/>
        <v>1999.05</v>
      </c>
      <c r="B50" s="1996"/>
      <c r="C50" s="3561"/>
      <c r="D50" s="1997"/>
      <c r="E50" s="1999">
        <v>340791</v>
      </c>
      <c r="F50" s="3563">
        <v>188231137</v>
      </c>
      <c r="G50" s="2002">
        <v>34793</v>
      </c>
      <c r="H50" s="2010"/>
      <c r="K50" s="2019"/>
    </row>
    <row r="51" spans="1:11" ht="12.75" customHeight="1">
      <c r="A51" s="1992">
        <f t="shared" si="0"/>
        <v>1999.06</v>
      </c>
      <c r="B51" s="1996"/>
      <c r="C51" s="3561"/>
      <c r="D51" s="1997"/>
      <c r="E51" s="1999">
        <v>340611</v>
      </c>
      <c r="F51" s="3563">
        <v>188435907</v>
      </c>
      <c r="G51" s="2002">
        <v>34916</v>
      </c>
      <c r="H51" s="2010"/>
      <c r="K51" s="2019"/>
    </row>
    <row r="52" spans="1:11" ht="12.75" customHeight="1">
      <c r="A52" s="1992">
        <f t="shared" si="0"/>
        <v>1999.07</v>
      </c>
      <c r="B52" s="1996"/>
      <c r="C52" s="3561"/>
      <c r="D52" s="1997"/>
      <c r="E52" s="1999">
        <v>340541</v>
      </c>
      <c r="F52" s="3563">
        <v>273172141</v>
      </c>
      <c r="G52" s="2002">
        <v>34537</v>
      </c>
      <c r="H52" s="2010"/>
      <c r="K52" s="2019"/>
    </row>
    <row r="53" spans="1:11" ht="12.75" customHeight="1">
      <c r="A53" s="1992">
        <f t="shared" si="0"/>
        <v>1999.08</v>
      </c>
      <c r="B53" s="1996"/>
      <c r="C53" s="3561"/>
      <c r="D53" s="1997"/>
      <c r="E53" s="1999">
        <v>335568</v>
      </c>
      <c r="F53" s="3563">
        <v>187721434</v>
      </c>
      <c r="G53" s="2002">
        <v>34525</v>
      </c>
      <c r="H53" s="2010"/>
      <c r="K53" s="2019"/>
    </row>
    <row r="54" spans="1:11" ht="12.75" customHeight="1">
      <c r="A54" s="1992">
        <f t="shared" si="0"/>
        <v>1999.09</v>
      </c>
      <c r="B54" s="1996"/>
      <c r="C54" s="3561"/>
      <c r="D54" s="1997"/>
      <c r="E54" s="1999">
        <v>331716</v>
      </c>
      <c r="F54" s="3563">
        <v>183515504</v>
      </c>
      <c r="G54" s="2002">
        <v>34454</v>
      </c>
      <c r="H54" s="2010"/>
      <c r="K54" s="2019"/>
    </row>
    <row r="55" spans="1:11" ht="12.75" customHeight="1">
      <c r="A55" s="1992">
        <f t="shared" si="0"/>
        <v>1999.1</v>
      </c>
      <c r="B55" s="1996"/>
      <c r="C55" s="3561"/>
      <c r="D55" s="1997"/>
      <c r="E55" s="1999">
        <v>326808</v>
      </c>
      <c r="F55" s="3563">
        <v>184053036</v>
      </c>
      <c r="G55" s="2002">
        <v>34439</v>
      </c>
      <c r="H55" s="2010"/>
      <c r="K55" s="2019"/>
    </row>
    <row r="56" spans="1:11" ht="12.75" customHeight="1">
      <c r="A56" s="1992">
        <f t="shared" si="0"/>
        <v>1999.11</v>
      </c>
      <c r="B56" s="1996"/>
      <c r="C56" s="3561"/>
      <c r="D56" s="1997"/>
      <c r="E56" s="1999">
        <v>322688</v>
      </c>
      <c r="F56" s="3563">
        <v>181236778</v>
      </c>
      <c r="G56" s="2002">
        <v>34382</v>
      </c>
      <c r="H56" s="2010"/>
      <c r="K56" s="2019"/>
    </row>
    <row r="57" spans="1:11" ht="12.75" customHeight="1">
      <c r="A57" s="1992">
        <f t="shared" si="0"/>
        <v>1999.12</v>
      </c>
      <c r="B57" s="1996"/>
      <c r="C57" s="3561"/>
      <c r="D57" s="1997"/>
      <c r="E57" s="1999">
        <v>327100</v>
      </c>
      <c r="F57" s="3563">
        <v>183577532</v>
      </c>
      <c r="G57" s="2002">
        <v>34529</v>
      </c>
      <c r="H57" s="2010"/>
      <c r="K57" s="2019"/>
    </row>
    <row r="58" spans="1:11" ht="12.75" customHeight="1">
      <c r="A58" s="1992">
        <f t="shared" si="0"/>
        <v>2000.01</v>
      </c>
      <c r="B58" s="1996"/>
      <c r="C58" s="3561"/>
      <c r="D58" s="1997"/>
      <c r="E58" s="1999">
        <v>329823</v>
      </c>
      <c r="F58" s="3563">
        <v>293962565</v>
      </c>
      <c r="G58" s="2002">
        <v>34455</v>
      </c>
      <c r="H58" s="2010"/>
      <c r="K58" s="2019"/>
    </row>
    <row r="59" spans="1:11" ht="12.75" customHeight="1">
      <c r="A59" s="1992">
        <f t="shared" si="0"/>
        <v>2000.02</v>
      </c>
      <c r="B59" s="1996"/>
      <c r="C59" s="3561"/>
      <c r="D59" s="1997"/>
      <c r="E59" s="1999">
        <v>321170</v>
      </c>
      <c r="F59" s="3563">
        <v>210872269</v>
      </c>
      <c r="G59" s="2002">
        <v>33863</v>
      </c>
      <c r="H59" s="2010"/>
      <c r="K59" s="2019"/>
    </row>
    <row r="60" spans="1:11" ht="12.75" customHeight="1">
      <c r="A60" s="1992">
        <f t="shared" si="0"/>
        <v>2000.03</v>
      </c>
      <c r="B60" s="1996"/>
      <c r="C60" s="3561"/>
      <c r="D60" s="1997"/>
      <c r="E60" s="1999">
        <v>324393</v>
      </c>
      <c r="F60" s="3563">
        <v>200816451</v>
      </c>
      <c r="G60" s="2002">
        <v>33997</v>
      </c>
      <c r="H60" s="2010"/>
      <c r="K60" s="2019"/>
    </row>
    <row r="61" spans="1:11" ht="12.75" customHeight="1">
      <c r="A61" s="1992">
        <f t="shared" si="0"/>
        <v>2000.04</v>
      </c>
      <c r="B61" s="1996"/>
      <c r="C61" s="3561"/>
      <c r="D61" s="1997"/>
      <c r="E61" s="1999">
        <v>327949</v>
      </c>
      <c r="F61" s="3563">
        <v>201553138</v>
      </c>
      <c r="G61" s="2002">
        <v>34065</v>
      </c>
      <c r="H61" s="2010"/>
      <c r="K61" s="2019"/>
    </row>
    <row r="62" spans="1:11" ht="12.75" customHeight="1">
      <c r="A62" s="1992">
        <f t="shared" si="0"/>
        <v>2000.05</v>
      </c>
      <c r="B62" s="1996"/>
      <c r="C62" s="3561"/>
      <c r="D62" s="1997"/>
      <c r="E62" s="1999">
        <v>323628</v>
      </c>
      <c r="F62" s="3563">
        <v>196433009</v>
      </c>
      <c r="G62" s="2002">
        <v>33944</v>
      </c>
      <c r="H62" s="2010"/>
      <c r="K62" s="2019"/>
    </row>
    <row r="63" spans="1:11" ht="12.75" customHeight="1">
      <c r="A63" s="1992">
        <f t="shared" si="0"/>
        <v>2000.06</v>
      </c>
      <c r="B63" s="1996"/>
      <c r="C63" s="3561"/>
      <c r="D63" s="1997"/>
      <c r="E63" s="1999">
        <v>321104</v>
      </c>
      <c r="F63" s="3563">
        <v>196180593</v>
      </c>
      <c r="G63" s="2002">
        <v>33825</v>
      </c>
      <c r="H63" s="2010"/>
      <c r="K63" s="2019"/>
    </row>
    <row r="64" spans="1:11" ht="12.75" customHeight="1">
      <c r="A64" s="1992">
        <f t="shared" si="0"/>
        <v>2000.07</v>
      </c>
      <c r="B64" s="1996"/>
      <c r="C64" s="3561"/>
      <c r="D64" s="1997"/>
      <c r="E64" s="1999">
        <v>319118</v>
      </c>
      <c r="F64" s="3563">
        <v>280043662</v>
      </c>
      <c r="G64" s="2002">
        <v>33568</v>
      </c>
      <c r="H64" s="2010"/>
      <c r="K64" s="2019"/>
    </row>
    <row r="65" spans="1:11" ht="12.75" customHeight="1">
      <c r="A65" s="1992">
        <f t="shared" si="0"/>
        <v>2000.08</v>
      </c>
      <c r="B65" s="1996"/>
      <c r="C65" s="3561"/>
      <c r="D65" s="1997"/>
      <c r="E65" s="1999">
        <v>313806</v>
      </c>
      <c r="F65" s="3563">
        <v>195098601</v>
      </c>
      <c r="G65" s="2002">
        <v>33196</v>
      </c>
      <c r="H65" s="2010"/>
      <c r="K65" s="2019"/>
    </row>
    <row r="66" spans="1:11" ht="12.75" customHeight="1">
      <c r="A66" s="1992">
        <f t="shared" si="0"/>
        <v>2000.09</v>
      </c>
      <c r="B66" s="1996"/>
      <c r="C66" s="3561"/>
      <c r="D66" s="1997"/>
      <c r="E66" s="1999">
        <v>314152</v>
      </c>
      <c r="F66" s="3563">
        <v>191703097</v>
      </c>
      <c r="G66" s="2002">
        <v>33093</v>
      </c>
      <c r="H66" s="2010"/>
      <c r="K66" s="2019"/>
    </row>
    <row r="67" spans="1:11" ht="12.75" customHeight="1">
      <c r="A67" s="1992">
        <f t="shared" si="0"/>
        <v>2000.1</v>
      </c>
      <c r="B67" s="1996"/>
      <c r="C67" s="3561"/>
      <c r="D67" s="1997"/>
      <c r="E67" s="1999">
        <v>312113</v>
      </c>
      <c r="F67" s="3563">
        <v>188327220</v>
      </c>
      <c r="G67" s="2002">
        <v>33125</v>
      </c>
      <c r="H67" s="2010"/>
      <c r="K67" s="2019"/>
    </row>
    <row r="68" spans="1:11" ht="12.75" customHeight="1">
      <c r="A68" s="1992">
        <f t="shared" si="0"/>
        <v>2000.11</v>
      </c>
      <c r="B68" s="1996"/>
      <c r="C68" s="3561"/>
      <c r="D68" s="1997"/>
      <c r="E68" s="1999">
        <v>314883</v>
      </c>
      <c r="F68" s="3563">
        <v>190799745</v>
      </c>
      <c r="G68" s="2002">
        <v>33232</v>
      </c>
      <c r="H68" s="2010"/>
      <c r="K68" s="2019"/>
    </row>
    <row r="69" spans="1:11" ht="12.75" customHeight="1">
      <c r="A69" s="1992">
        <f t="shared" si="0"/>
        <v>2000.12</v>
      </c>
      <c r="B69" s="1996"/>
      <c r="C69" s="3561"/>
      <c r="D69" s="1997"/>
      <c r="E69" s="1999">
        <v>311666</v>
      </c>
      <c r="F69" s="3563">
        <v>181247732</v>
      </c>
      <c r="G69" s="2002">
        <v>33400</v>
      </c>
      <c r="H69" s="2010"/>
      <c r="K69" s="2019"/>
    </row>
    <row r="70" spans="1:11" ht="12.75" customHeight="1">
      <c r="A70" s="1992">
        <f t="shared" si="0"/>
        <v>2001.01</v>
      </c>
      <c r="B70" s="1996"/>
      <c r="C70" s="3561"/>
      <c r="D70" s="1997"/>
      <c r="E70" s="1999">
        <v>317731</v>
      </c>
      <c r="F70" s="3563">
        <v>277836022</v>
      </c>
      <c r="G70" s="2002">
        <v>33428</v>
      </c>
      <c r="H70" s="2010"/>
      <c r="K70" s="2019"/>
    </row>
    <row r="71" spans="1:11" ht="12.75" customHeight="1">
      <c r="A71" s="1992">
        <f t="shared" si="0"/>
        <v>2001.02</v>
      </c>
      <c r="B71" s="1996"/>
      <c r="C71" s="3561"/>
      <c r="D71" s="1997"/>
      <c r="E71" s="1999">
        <v>310664</v>
      </c>
      <c r="F71" s="3563">
        <v>199263034</v>
      </c>
      <c r="G71" s="2002">
        <v>32843</v>
      </c>
      <c r="H71" s="2010"/>
      <c r="K71" s="2019"/>
    </row>
    <row r="72" spans="1:11" ht="12.75" customHeight="1">
      <c r="A72" s="1992">
        <f t="shared" si="0"/>
        <v>2001.03</v>
      </c>
      <c r="B72" s="1996"/>
      <c r="C72" s="3561"/>
      <c r="D72" s="1997"/>
      <c r="E72" s="1999">
        <v>309293</v>
      </c>
      <c r="F72" s="3563">
        <v>185680249</v>
      </c>
      <c r="G72" s="2002">
        <v>32751</v>
      </c>
      <c r="H72" s="2010"/>
      <c r="K72" s="2019"/>
    </row>
    <row r="73" spans="1:11" ht="12.75" customHeight="1">
      <c r="A73" s="1992">
        <f t="shared" si="0"/>
        <v>2001.04</v>
      </c>
      <c r="B73" s="1996"/>
      <c r="C73" s="3561"/>
      <c r="D73" s="1997"/>
      <c r="E73" s="1999">
        <v>312825</v>
      </c>
      <c r="F73" s="3563">
        <v>185723526</v>
      </c>
      <c r="G73" s="2002">
        <v>32891</v>
      </c>
      <c r="H73" s="2010"/>
      <c r="K73" s="2019"/>
    </row>
    <row r="74" spans="1:11" ht="12.75" customHeight="1">
      <c r="A74" s="1992">
        <f t="shared" si="0"/>
        <v>2001.05</v>
      </c>
      <c r="B74" s="1996"/>
      <c r="C74" s="3561"/>
      <c r="D74" s="1997"/>
      <c r="E74" s="1999">
        <v>308865</v>
      </c>
      <c r="F74" s="3563">
        <v>184479554</v>
      </c>
      <c r="G74" s="2002">
        <v>32374</v>
      </c>
      <c r="H74" s="2010"/>
      <c r="K74" s="2019"/>
    </row>
    <row r="75" spans="1:11" ht="12.75" customHeight="1">
      <c r="A75" s="1992">
        <f t="shared" si="0"/>
        <v>2001.06</v>
      </c>
      <c r="B75" s="1996"/>
      <c r="C75" s="3561"/>
      <c r="D75" s="1997"/>
      <c r="E75" s="1999">
        <v>305776</v>
      </c>
      <c r="F75" s="3563">
        <v>182401768</v>
      </c>
      <c r="G75" s="2002">
        <v>32699</v>
      </c>
      <c r="H75" s="2010"/>
      <c r="K75" s="2019"/>
    </row>
    <row r="76" spans="1:11" ht="12.75" customHeight="1">
      <c r="A76" s="1992">
        <f t="shared" si="0"/>
        <v>2001.07</v>
      </c>
      <c r="B76" s="1996"/>
      <c r="C76" s="3561"/>
      <c r="D76" s="1997"/>
      <c r="E76" s="1999">
        <v>297648</v>
      </c>
      <c r="F76" s="3563">
        <v>255871892</v>
      </c>
      <c r="G76" s="2002">
        <v>31797</v>
      </c>
      <c r="H76" s="2010"/>
      <c r="K76" s="2019"/>
    </row>
    <row r="77" spans="1:11" ht="12.75" customHeight="1">
      <c r="A77" s="1992">
        <f t="shared" si="0"/>
        <v>2001.08</v>
      </c>
      <c r="B77" s="1996"/>
      <c r="C77" s="3561"/>
      <c r="D77" s="1997"/>
      <c r="E77" s="1999">
        <v>293515</v>
      </c>
      <c r="F77" s="3563">
        <v>177281837</v>
      </c>
      <c r="G77" s="2002">
        <v>31411</v>
      </c>
      <c r="H77" s="2010"/>
      <c r="K77" s="2019"/>
    </row>
    <row r="78" spans="1:11" ht="12.75" customHeight="1">
      <c r="A78" s="1992">
        <f t="shared" si="0"/>
        <v>2001.09</v>
      </c>
      <c r="B78" s="1996"/>
      <c r="C78" s="3561"/>
      <c r="D78" s="1997"/>
      <c r="E78" s="1999">
        <v>290886</v>
      </c>
      <c r="F78" s="3563">
        <v>173528234</v>
      </c>
      <c r="G78" s="2002">
        <v>31136</v>
      </c>
      <c r="H78" s="2010"/>
      <c r="K78" s="2019"/>
    </row>
    <row r="79" spans="1:11" ht="12.75" customHeight="1">
      <c r="A79" s="1992">
        <f t="shared" si="0"/>
        <v>2001.1</v>
      </c>
      <c r="B79" s="1996"/>
      <c r="C79" s="3561"/>
      <c r="D79" s="1997"/>
      <c r="E79" s="1999">
        <v>292560</v>
      </c>
      <c r="F79" s="3563">
        <v>180540833</v>
      </c>
      <c r="G79" s="2002">
        <v>31051</v>
      </c>
      <c r="H79" s="2010"/>
      <c r="K79" s="2019"/>
    </row>
    <row r="80" spans="1:11" ht="12.75" customHeight="1">
      <c r="A80" s="1992">
        <f t="shared" si="0"/>
        <v>2001.11</v>
      </c>
      <c r="B80" s="1996"/>
      <c r="C80" s="3561"/>
      <c r="D80" s="1997"/>
      <c r="E80" s="1999">
        <v>289448</v>
      </c>
      <c r="F80" s="3563">
        <v>181112173</v>
      </c>
      <c r="G80" s="2002">
        <v>30640</v>
      </c>
      <c r="H80" s="2010"/>
      <c r="K80" s="2019"/>
    </row>
    <row r="81" spans="1:11" ht="12.75" customHeight="1">
      <c r="A81" s="1992">
        <f t="shared" si="0"/>
        <v>2001.12</v>
      </c>
      <c r="B81" s="1996"/>
      <c r="C81" s="3561"/>
      <c r="D81" s="1997"/>
      <c r="E81" s="1999">
        <v>288154</v>
      </c>
      <c r="F81" s="3563">
        <v>174672821</v>
      </c>
      <c r="G81" s="2002">
        <v>30491</v>
      </c>
      <c r="H81" s="2010"/>
      <c r="K81" s="2019"/>
    </row>
    <row r="82" spans="1:11" ht="12.75" customHeight="1">
      <c r="A82" s="1992">
        <f t="shared" si="0"/>
        <v>2002.01</v>
      </c>
      <c r="B82" s="1996"/>
      <c r="C82" s="3561"/>
      <c r="D82" s="1997"/>
      <c r="E82" s="1999">
        <v>285912</v>
      </c>
      <c r="F82" s="3563">
        <v>246769354</v>
      </c>
      <c r="G82" s="2002">
        <v>30221</v>
      </c>
      <c r="H82" s="2010"/>
      <c r="K82" s="2019"/>
    </row>
    <row r="83" spans="1:11" ht="12.75" customHeight="1">
      <c r="A83" s="1992">
        <f t="shared" si="0"/>
        <v>2002.02</v>
      </c>
      <c r="B83" s="1996"/>
      <c r="C83" s="3561"/>
      <c r="D83" s="1997"/>
      <c r="E83" s="1999">
        <v>274458</v>
      </c>
      <c r="F83" s="3563">
        <v>175941236</v>
      </c>
      <c r="G83" s="2002">
        <v>29454</v>
      </c>
      <c r="H83" s="2010"/>
      <c r="K83" s="2019"/>
    </row>
    <row r="84" spans="1:11" ht="12.75" customHeight="1">
      <c r="A84" s="1992">
        <f t="shared" si="0"/>
        <v>2002.03</v>
      </c>
      <c r="B84" s="1996"/>
      <c r="C84" s="3561"/>
      <c r="D84" s="1997"/>
      <c r="E84" s="1999">
        <v>270124</v>
      </c>
      <c r="F84" s="3563">
        <v>164855511</v>
      </c>
      <c r="G84" s="2002">
        <v>28946</v>
      </c>
      <c r="H84" s="2010"/>
      <c r="K84" s="2019"/>
    </row>
    <row r="85" spans="1:11" ht="12.75" customHeight="1">
      <c r="A85" s="1992">
        <f t="shared" si="0"/>
        <v>2002.04</v>
      </c>
      <c r="B85" s="1996"/>
      <c r="C85" s="3561"/>
      <c r="D85" s="1997"/>
      <c r="E85" s="1999">
        <v>270102</v>
      </c>
      <c r="F85" s="3563">
        <v>161866639</v>
      </c>
      <c r="G85" s="2002">
        <v>28862</v>
      </c>
      <c r="H85" s="2010"/>
      <c r="K85" s="2019"/>
    </row>
    <row r="86" spans="1:11" ht="12.75" customHeight="1">
      <c r="A86" s="1992">
        <f t="shared" si="0"/>
        <v>2002.05</v>
      </c>
      <c r="B86" s="1996"/>
      <c r="C86" s="3561"/>
      <c r="D86" s="1997"/>
      <c r="E86" s="1999">
        <v>267986</v>
      </c>
      <c r="F86" s="3563">
        <v>160965565</v>
      </c>
      <c r="G86" s="2002">
        <v>28637</v>
      </c>
      <c r="H86" s="2010"/>
      <c r="K86" s="2019"/>
    </row>
    <row r="87" spans="1:11" ht="12.75" customHeight="1">
      <c r="A87" s="1992">
        <f t="shared" ref="A87:A150" si="1">A75+1</f>
        <v>2002.06</v>
      </c>
      <c r="B87" s="1996"/>
      <c r="C87" s="3561"/>
      <c r="D87" s="1997"/>
      <c r="E87" s="1999">
        <v>266340</v>
      </c>
      <c r="F87" s="3563">
        <v>161818532</v>
      </c>
      <c r="G87" s="2002">
        <v>28406</v>
      </c>
      <c r="H87" s="2010"/>
      <c r="K87" s="2019"/>
    </row>
    <row r="88" spans="1:11" ht="12.75" customHeight="1">
      <c r="A88" s="1992">
        <f t="shared" si="1"/>
        <v>2002.07</v>
      </c>
      <c r="B88" s="1996"/>
      <c r="C88" s="3561"/>
      <c r="D88" s="1997"/>
      <c r="E88" s="1999">
        <v>264868</v>
      </c>
      <c r="F88" s="3563">
        <v>230192926</v>
      </c>
      <c r="G88" s="2002">
        <v>28347</v>
      </c>
      <c r="H88" s="2010"/>
      <c r="K88" s="2019"/>
    </row>
    <row r="89" spans="1:11" ht="12.75" customHeight="1">
      <c r="A89" s="1992">
        <f t="shared" si="1"/>
        <v>2002.08</v>
      </c>
      <c r="B89" s="1996"/>
      <c r="C89" s="3561"/>
      <c r="D89" s="1997"/>
      <c r="E89" s="1999">
        <v>262203</v>
      </c>
      <c r="F89" s="3563">
        <v>164264988</v>
      </c>
      <c r="G89" s="2002">
        <v>28042</v>
      </c>
      <c r="H89" s="2010"/>
      <c r="K89" s="2019"/>
    </row>
    <row r="90" spans="1:11" ht="12.75" customHeight="1">
      <c r="A90" s="1992">
        <f t="shared" si="1"/>
        <v>2002.09</v>
      </c>
      <c r="B90" s="1996"/>
      <c r="C90" s="3561"/>
      <c r="D90" s="1997"/>
      <c r="E90" s="1999">
        <v>263459</v>
      </c>
      <c r="F90" s="3563">
        <v>163422723</v>
      </c>
      <c r="G90" s="2002">
        <v>28205</v>
      </c>
      <c r="H90" s="2010"/>
      <c r="K90" s="2019"/>
    </row>
    <row r="91" spans="1:11" ht="12.75" customHeight="1">
      <c r="A91" s="1992">
        <f t="shared" si="1"/>
        <v>2002.1</v>
      </c>
      <c r="B91" s="1996"/>
      <c r="C91" s="3561"/>
      <c r="D91" s="1997"/>
      <c r="E91" s="1999">
        <v>264886</v>
      </c>
      <c r="F91" s="3563">
        <v>164890262</v>
      </c>
      <c r="G91" s="2002">
        <v>28423</v>
      </c>
      <c r="H91" s="2010"/>
      <c r="K91" s="2019"/>
    </row>
    <row r="92" spans="1:11" ht="12.75" customHeight="1">
      <c r="A92" s="1992">
        <f t="shared" si="1"/>
        <v>2002.11</v>
      </c>
      <c r="B92" s="1996"/>
      <c r="C92" s="3561"/>
      <c r="D92" s="1997"/>
      <c r="E92" s="1999">
        <v>269584</v>
      </c>
      <c r="F92" s="3563">
        <v>169495174</v>
      </c>
      <c r="G92" s="2002">
        <v>28771</v>
      </c>
      <c r="H92" s="2010"/>
      <c r="K92" s="2019"/>
    </row>
    <row r="93" spans="1:11" ht="12.75" customHeight="1">
      <c r="A93" s="1992">
        <f t="shared" si="1"/>
        <v>2002.12</v>
      </c>
      <c r="B93" s="1996"/>
      <c r="C93" s="3561"/>
      <c r="D93" s="1997"/>
      <c r="E93" s="1999">
        <v>274741</v>
      </c>
      <c r="F93" s="3563">
        <v>171243149</v>
      </c>
      <c r="G93" s="2002">
        <v>29154</v>
      </c>
      <c r="H93" s="2010"/>
      <c r="K93" s="2019"/>
    </row>
    <row r="94" spans="1:11" ht="12.75" customHeight="1">
      <c r="A94" s="1992">
        <f t="shared" si="1"/>
        <v>2003.01</v>
      </c>
      <c r="B94" s="1996"/>
      <c r="C94" s="3561"/>
      <c r="D94" s="1997"/>
      <c r="E94" s="1999">
        <v>277428</v>
      </c>
      <c r="F94" s="3563">
        <v>258587989</v>
      </c>
      <c r="G94" s="2002">
        <v>29416</v>
      </c>
      <c r="H94" s="2010"/>
      <c r="K94" s="2019"/>
    </row>
    <row r="95" spans="1:11" ht="12.75" customHeight="1">
      <c r="A95" s="1992">
        <f t="shared" si="1"/>
        <v>2003.02</v>
      </c>
      <c r="B95" s="1996"/>
      <c r="C95" s="3561"/>
      <c r="D95" s="1997"/>
      <c r="E95" s="1999">
        <v>276661</v>
      </c>
      <c r="F95" s="3563">
        <v>187909468</v>
      </c>
      <c r="G95" s="2002">
        <v>29460</v>
      </c>
      <c r="H95" s="2010"/>
      <c r="K95" s="2019"/>
    </row>
    <row r="96" spans="1:11" ht="12.75" customHeight="1">
      <c r="A96" s="1992">
        <f t="shared" si="1"/>
        <v>2003.03</v>
      </c>
      <c r="B96" s="1996"/>
      <c r="C96" s="3561"/>
      <c r="D96" s="1997"/>
      <c r="E96" s="1999">
        <v>279133</v>
      </c>
      <c r="F96" s="3563">
        <v>176485545</v>
      </c>
      <c r="G96" s="2002">
        <v>29741</v>
      </c>
      <c r="H96" s="2010"/>
      <c r="K96" s="2019"/>
    </row>
    <row r="97" spans="1:11" ht="12.75" customHeight="1">
      <c r="A97" s="1992">
        <f t="shared" si="1"/>
        <v>2003.04</v>
      </c>
      <c r="B97" s="1996"/>
      <c r="C97" s="3561"/>
      <c r="D97" s="1997"/>
      <c r="E97" s="1999">
        <v>285453</v>
      </c>
      <c r="F97" s="3563">
        <v>179810387</v>
      </c>
      <c r="G97" s="2002">
        <v>30271</v>
      </c>
      <c r="H97" s="2010"/>
      <c r="K97" s="2019"/>
    </row>
    <row r="98" spans="1:11" ht="12.75" customHeight="1">
      <c r="A98" s="1992">
        <f t="shared" si="1"/>
        <v>2003.05</v>
      </c>
      <c r="B98" s="1996"/>
      <c r="C98" s="3561"/>
      <c r="D98" s="1997"/>
      <c r="E98" s="1999">
        <v>283763</v>
      </c>
      <c r="F98" s="3563">
        <v>175798968</v>
      </c>
      <c r="G98" s="2002">
        <v>30651</v>
      </c>
      <c r="H98" s="2010"/>
      <c r="K98" s="2019"/>
    </row>
    <row r="99" spans="1:11" ht="12.75" customHeight="1">
      <c r="A99" s="1992">
        <f t="shared" si="1"/>
        <v>2003.06</v>
      </c>
      <c r="B99" s="1996"/>
      <c r="C99" s="3561"/>
      <c r="D99" s="1997"/>
      <c r="E99" s="1999">
        <v>285969</v>
      </c>
      <c r="F99" s="3563">
        <v>176604942</v>
      </c>
      <c r="G99" s="2002">
        <v>30892</v>
      </c>
      <c r="H99" s="2010"/>
      <c r="K99" s="2019"/>
    </row>
    <row r="100" spans="1:11" ht="12.75" customHeight="1">
      <c r="A100" s="1992">
        <f t="shared" si="1"/>
        <v>2003.07</v>
      </c>
      <c r="B100" s="1996"/>
      <c r="C100" s="3561"/>
      <c r="D100" s="1997"/>
      <c r="E100" s="1999">
        <v>288637</v>
      </c>
      <c r="F100" s="3563">
        <v>263700303</v>
      </c>
      <c r="G100" s="2002">
        <v>30926</v>
      </c>
      <c r="H100" s="2010"/>
      <c r="K100" s="2019"/>
    </row>
    <row r="101" spans="1:11" ht="12.75" customHeight="1">
      <c r="A101" s="1992">
        <f t="shared" si="1"/>
        <v>2003.08</v>
      </c>
      <c r="B101" s="1996"/>
      <c r="C101" s="3561"/>
      <c r="D101" s="1997"/>
      <c r="E101" s="1999">
        <v>290542</v>
      </c>
      <c r="F101" s="3563">
        <v>189087023</v>
      </c>
      <c r="G101" s="2002">
        <v>31309</v>
      </c>
      <c r="H101" s="2010"/>
      <c r="K101" s="2019"/>
    </row>
    <row r="102" spans="1:11" ht="12.75" customHeight="1">
      <c r="A102" s="1992">
        <f t="shared" si="1"/>
        <v>2003.09</v>
      </c>
      <c r="B102" s="1996"/>
      <c r="C102" s="3561"/>
      <c r="D102" s="1997"/>
      <c r="E102" s="1999">
        <v>293831</v>
      </c>
      <c r="F102" s="3563">
        <v>194404943</v>
      </c>
      <c r="G102" s="2002">
        <v>31773</v>
      </c>
      <c r="H102" s="2010"/>
      <c r="K102" s="2019"/>
    </row>
    <row r="103" spans="1:11" ht="12.75" customHeight="1">
      <c r="A103" s="1992">
        <f t="shared" si="1"/>
        <v>2003.1</v>
      </c>
      <c r="B103" s="1996"/>
      <c r="C103" s="3561"/>
      <c r="D103" s="1997"/>
      <c r="E103" s="1999">
        <v>300045</v>
      </c>
      <c r="F103" s="3563">
        <v>206404057</v>
      </c>
      <c r="G103" s="2002">
        <v>32408</v>
      </c>
      <c r="H103" s="2010"/>
      <c r="K103" s="2019"/>
    </row>
    <row r="104" spans="1:11" ht="12.75" customHeight="1">
      <c r="A104" s="1992">
        <f t="shared" si="1"/>
        <v>2003.11</v>
      </c>
      <c r="B104" s="1996"/>
      <c r="C104" s="3561"/>
      <c r="D104" s="1997"/>
      <c r="E104" s="1999">
        <v>318094</v>
      </c>
      <c r="F104" s="3563">
        <v>230569974</v>
      </c>
      <c r="G104" s="2002">
        <v>32963</v>
      </c>
      <c r="H104" s="2010"/>
      <c r="K104" s="2019"/>
    </row>
    <row r="105" spans="1:11" ht="12.75" customHeight="1">
      <c r="A105" s="1992">
        <f t="shared" si="1"/>
        <v>2003.12</v>
      </c>
      <c r="B105" s="1996"/>
      <c r="C105" s="3561"/>
      <c r="D105" s="1997"/>
      <c r="E105" s="1999">
        <v>324234</v>
      </c>
      <c r="F105" s="3563">
        <v>240710240</v>
      </c>
      <c r="G105" s="2002">
        <v>33527</v>
      </c>
      <c r="H105" s="2010"/>
      <c r="K105" s="2019"/>
    </row>
    <row r="106" spans="1:11" ht="12.75" customHeight="1">
      <c r="A106" s="1992">
        <f t="shared" si="1"/>
        <v>2004.01</v>
      </c>
      <c r="B106" s="1996"/>
      <c r="C106" s="3561"/>
      <c r="D106" s="1997"/>
      <c r="E106" s="1999">
        <v>327879</v>
      </c>
      <c r="F106" s="3563">
        <v>362433937</v>
      </c>
      <c r="G106" s="2002">
        <v>34009</v>
      </c>
      <c r="H106" s="2010"/>
      <c r="K106" s="2019"/>
    </row>
    <row r="107" spans="1:11" ht="12.75" customHeight="1">
      <c r="A107" s="1992">
        <f t="shared" si="1"/>
        <v>2004.02</v>
      </c>
      <c r="B107" s="1996"/>
      <c r="C107" s="3561"/>
      <c r="D107" s="1997"/>
      <c r="E107" s="1999">
        <v>327479</v>
      </c>
      <c r="F107" s="3563">
        <v>273182532</v>
      </c>
      <c r="G107" s="2002">
        <v>34065</v>
      </c>
      <c r="H107" s="2010"/>
      <c r="K107" s="2019"/>
    </row>
    <row r="108" spans="1:11" ht="12.75" customHeight="1">
      <c r="A108" s="1992">
        <f t="shared" si="1"/>
        <v>2004.03</v>
      </c>
      <c r="B108" s="1996"/>
      <c r="C108" s="3561"/>
      <c r="D108" s="1997"/>
      <c r="E108" s="1999">
        <v>330229</v>
      </c>
      <c r="F108" s="3563">
        <v>269983506</v>
      </c>
      <c r="G108" s="2002">
        <v>34234</v>
      </c>
      <c r="H108" s="2010"/>
      <c r="K108" s="2019"/>
    </row>
    <row r="109" spans="1:11" ht="12.75" customHeight="1">
      <c r="A109" s="1992">
        <f t="shared" si="1"/>
        <v>2004.04</v>
      </c>
      <c r="B109" s="1996"/>
      <c r="C109" s="3561"/>
      <c r="D109" s="1997"/>
      <c r="E109" s="1999">
        <v>338910</v>
      </c>
      <c r="F109" s="3563">
        <v>279861349</v>
      </c>
      <c r="G109" s="2002">
        <v>34942</v>
      </c>
      <c r="H109" s="2010"/>
      <c r="K109" s="2019"/>
    </row>
    <row r="110" spans="1:11" ht="12.75" customHeight="1">
      <c r="A110" s="1992">
        <f t="shared" si="1"/>
        <v>2004.05</v>
      </c>
      <c r="B110" s="1996"/>
      <c r="C110" s="3561"/>
      <c r="D110" s="1997"/>
      <c r="E110" s="1999">
        <v>341728</v>
      </c>
      <c r="F110" s="3563">
        <v>281273292</v>
      </c>
      <c r="G110" s="2002">
        <v>35276</v>
      </c>
      <c r="H110" s="2010"/>
      <c r="K110" s="2019"/>
    </row>
    <row r="111" spans="1:11" ht="12.75" customHeight="1">
      <c r="A111" s="1992">
        <f t="shared" si="1"/>
        <v>2004.06</v>
      </c>
      <c r="B111" s="1996"/>
      <c r="C111" s="3561"/>
      <c r="D111" s="1997"/>
      <c r="E111" s="1999">
        <v>343963</v>
      </c>
      <c r="F111" s="3563">
        <v>283794028</v>
      </c>
      <c r="G111" s="2002">
        <v>35574</v>
      </c>
      <c r="H111" s="2010"/>
      <c r="K111" s="2019"/>
    </row>
    <row r="112" spans="1:11" ht="12.75" customHeight="1">
      <c r="A112" s="1992">
        <f t="shared" si="1"/>
        <v>2004.07</v>
      </c>
      <c r="B112" s="1996"/>
      <c r="C112" s="3561"/>
      <c r="D112" s="1997"/>
      <c r="E112" s="1999">
        <v>354839</v>
      </c>
      <c r="F112" s="3563">
        <v>411010874</v>
      </c>
      <c r="G112" s="2002">
        <v>35610</v>
      </c>
      <c r="H112" s="2010"/>
      <c r="K112" s="2019"/>
    </row>
    <row r="113" spans="1:11" ht="12.75" customHeight="1">
      <c r="A113" s="1992">
        <f t="shared" si="1"/>
        <v>2004.08</v>
      </c>
      <c r="B113" s="1996"/>
      <c r="C113" s="3561"/>
      <c r="D113" s="1997"/>
      <c r="E113" s="1999">
        <v>346918</v>
      </c>
      <c r="F113" s="3563">
        <v>293317299</v>
      </c>
      <c r="G113" s="2002">
        <v>35871</v>
      </c>
      <c r="H113" s="2010"/>
      <c r="K113" s="2019"/>
    </row>
    <row r="114" spans="1:11" ht="12.75" customHeight="1">
      <c r="A114" s="1992">
        <f t="shared" si="1"/>
        <v>2004.09</v>
      </c>
      <c r="B114" s="1996"/>
      <c r="C114" s="3561"/>
      <c r="D114" s="1997"/>
      <c r="E114" s="1999">
        <v>351862</v>
      </c>
      <c r="F114" s="3563">
        <v>291863455</v>
      </c>
      <c r="G114" s="2002">
        <v>36184</v>
      </c>
      <c r="H114" s="2010"/>
      <c r="K114" s="2019"/>
    </row>
    <row r="115" spans="1:11" ht="12.75" customHeight="1">
      <c r="A115" s="1992">
        <f t="shared" si="1"/>
        <v>2004.1</v>
      </c>
      <c r="B115" s="1996"/>
      <c r="C115" s="3561"/>
      <c r="D115" s="1997"/>
      <c r="E115" s="1999">
        <v>352444</v>
      </c>
      <c r="F115" s="3563">
        <v>291747069</v>
      </c>
      <c r="G115" s="2002">
        <v>36558</v>
      </c>
      <c r="H115" s="2010"/>
      <c r="K115" s="2019"/>
    </row>
    <row r="116" spans="1:11" ht="12.75" customHeight="1">
      <c r="A116" s="1992">
        <f t="shared" si="1"/>
        <v>2004.11</v>
      </c>
      <c r="B116" s="1996"/>
      <c r="C116" s="3561"/>
      <c r="D116" s="1997"/>
      <c r="E116" s="1999">
        <v>357626</v>
      </c>
      <c r="F116" s="3563">
        <v>299519574</v>
      </c>
      <c r="G116" s="2002">
        <v>36688</v>
      </c>
      <c r="H116" s="2010"/>
      <c r="K116" s="2019"/>
    </row>
    <row r="117" spans="1:11" ht="12.75" customHeight="1">
      <c r="A117" s="1992">
        <f t="shared" si="1"/>
        <v>2004.12</v>
      </c>
      <c r="B117" s="1996"/>
      <c r="C117" s="3561"/>
      <c r="D117" s="1997"/>
      <c r="E117" s="1999">
        <v>365587</v>
      </c>
      <c r="F117" s="3563">
        <v>301579475</v>
      </c>
      <c r="G117" s="2002">
        <v>37005</v>
      </c>
      <c r="H117" s="2010"/>
      <c r="K117" s="2019"/>
    </row>
    <row r="118" spans="1:11" ht="12.75" customHeight="1">
      <c r="A118" s="1992">
        <f t="shared" si="1"/>
        <v>2005.01</v>
      </c>
      <c r="B118" s="1996"/>
      <c r="C118" s="3561"/>
      <c r="D118" s="1997"/>
      <c r="E118" s="1999">
        <v>370320</v>
      </c>
      <c r="F118" s="3563">
        <v>458414088.3500002</v>
      </c>
      <c r="G118" s="2002">
        <v>37586</v>
      </c>
      <c r="H118" s="2010"/>
      <c r="K118" s="2019"/>
    </row>
    <row r="119" spans="1:11" ht="12.75" customHeight="1">
      <c r="A119" s="1992">
        <f t="shared" si="1"/>
        <v>2005.02</v>
      </c>
      <c r="B119" s="1996"/>
      <c r="C119" s="3561"/>
      <c r="D119" s="1997"/>
      <c r="E119" s="1999">
        <v>366468</v>
      </c>
      <c r="F119" s="3563">
        <v>327037455.00999999</v>
      </c>
      <c r="G119" s="2002">
        <v>37558</v>
      </c>
      <c r="H119" s="2010"/>
      <c r="K119" s="2019"/>
    </row>
    <row r="120" spans="1:11" ht="12.75" customHeight="1">
      <c r="A120" s="1992">
        <f t="shared" si="1"/>
        <v>2005.03</v>
      </c>
      <c r="B120" s="1996"/>
      <c r="C120" s="3561"/>
      <c r="D120" s="1997"/>
      <c r="E120" s="1999">
        <v>368574</v>
      </c>
      <c r="F120" s="3563">
        <v>308047813.95000005</v>
      </c>
      <c r="G120" s="2002">
        <v>37763</v>
      </c>
      <c r="H120" s="2010"/>
      <c r="K120" s="2019"/>
    </row>
    <row r="121" spans="1:11" ht="12.75" customHeight="1">
      <c r="A121" s="1992">
        <f t="shared" si="1"/>
        <v>2005.04</v>
      </c>
      <c r="B121" s="1996"/>
      <c r="C121" s="3561"/>
      <c r="D121" s="1997"/>
      <c r="E121" s="1999">
        <v>377435</v>
      </c>
      <c r="F121" s="3563">
        <v>322943874.24000001</v>
      </c>
      <c r="G121" s="2002">
        <v>38536</v>
      </c>
      <c r="H121" s="2010"/>
      <c r="K121" s="2019"/>
    </row>
    <row r="122" spans="1:11" ht="12.75" customHeight="1">
      <c r="A122" s="1992">
        <f t="shared" si="1"/>
        <v>2005.05</v>
      </c>
      <c r="B122" s="1996"/>
      <c r="C122" s="3561"/>
      <c r="D122" s="1997"/>
      <c r="E122" s="1999">
        <v>381081</v>
      </c>
      <c r="F122" s="3563">
        <v>336108193.83000004</v>
      </c>
      <c r="G122" s="2002">
        <v>38792</v>
      </c>
      <c r="H122" s="2010"/>
      <c r="K122" s="2019"/>
    </row>
    <row r="123" spans="1:11" ht="12.75" customHeight="1">
      <c r="A123" s="1992">
        <f t="shared" si="1"/>
        <v>2005.06</v>
      </c>
      <c r="B123" s="1996"/>
      <c r="C123" s="3561"/>
      <c r="D123" s="1997"/>
      <c r="E123" s="1999">
        <v>383735</v>
      </c>
      <c r="F123" s="3563">
        <v>347175561.05999988</v>
      </c>
      <c r="G123" s="2002">
        <v>39090</v>
      </c>
      <c r="H123" s="2010"/>
      <c r="K123" s="2019"/>
    </row>
    <row r="124" spans="1:11" ht="12.75" customHeight="1">
      <c r="A124" s="1992">
        <f t="shared" si="1"/>
        <v>2005.07</v>
      </c>
      <c r="B124" s="1996"/>
      <c r="C124" s="3561"/>
      <c r="D124" s="1997"/>
      <c r="E124" s="1999">
        <v>386519</v>
      </c>
      <c r="F124" s="3563">
        <v>506201145.43000001</v>
      </c>
      <c r="G124" s="2002">
        <v>39259</v>
      </c>
      <c r="H124" s="2010"/>
      <c r="K124" s="2019"/>
    </row>
    <row r="125" spans="1:11" ht="12.75" customHeight="1">
      <c r="A125" s="1992">
        <f t="shared" si="1"/>
        <v>2005.08</v>
      </c>
      <c r="B125" s="1996"/>
      <c r="C125" s="3561"/>
      <c r="D125" s="1997"/>
      <c r="E125" s="1999">
        <v>386568</v>
      </c>
      <c r="F125" s="3563">
        <v>370053628.35000002</v>
      </c>
      <c r="G125" s="2002">
        <v>39433</v>
      </c>
      <c r="H125" s="2010"/>
      <c r="K125" s="2019"/>
    </row>
    <row r="126" spans="1:11" ht="12.75" customHeight="1">
      <c r="A126" s="1992">
        <f t="shared" si="1"/>
        <v>2005.09</v>
      </c>
      <c r="B126" s="1996"/>
      <c r="C126" s="3561"/>
      <c r="D126" s="1997"/>
      <c r="E126" s="1999">
        <v>395874</v>
      </c>
      <c r="F126" s="3563">
        <v>391381210.86000001</v>
      </c>
      <c r="G126" s="2002">
        <v>39879</v>
      </c>
      <c r="H126" s="2010"/>
      <c r="K126" s="2019"/>
    </row>
    <row r="127" spans="1:11" ht="12.75" customHeight="1">
      <c r="A127" s="1992">
        <f t="shared" si="1"/>
        <v>2005.1</v>
      </c>
      <c r="B127" s="1996"/>
      <c r="C127" s="3561"/>
      <c r="D127" s="1997"/>
      <c r="E127" s="1999">
        <v>398465</v>
      </c>
      <c r="F127" s="3563">
        <v>408928094.64000005</v>
      </c>
      <c r="G127" s="2002">
        <v>40271</v>
      </c>
      <c r="H127" s="2010"/>
      <c r="K127" s="2019"/>
    </row>
    <row r="128" spans="1:11" ht="12.75" customHeight="1">
      <c r="A128" s="1992">
        <f t="shared" si="1"/>
        <v>2005.11</v>
      </c>
      <c r="B128" s="1996"/>
      <c r="C128" s="3561"/>
      <c r="D128" s="1997"/>
      <c r="E128" s="1999">
        <v>403695</v>
      </c>
      <c r="F128" s="3563">
        <v>429930004.24000001</v>
      </c>
      <c r="G128" s="2002">
        <v>40707</v>
      </c>
      <c r="H128" s="2010"/>
      <c r="K128" s="2019"/>
    </row>
    <row r="129" spans="1:11" ht="12.75" customHeight="1">
      <c r="A129" s="1992">
        <f t="shared" si="1"/>
        <v>2005.12</v>
      </c>
      <c r="B129" s="1996"/>
      <c r="C129" s="3561"/>
      <c r="D129" s="1997"/>
      <c r="E129" s="1999">
        <v>409923</v>
      </c>
      <c r="F129" s="3563">
        <v>439867496.80000007</v>
      </c>
      <c r="G129" s="2002">
        <v>41312</v>
      </c>
      <c r="H129" s="2010"/>
      <c r="K129" s="2019"/>
    </row>
    <row r="130" spans="1:11" ht="12.75" customHeight="1">
      <c r="A130" s="1992">
        <f t="shared" si="1"/>
        <v>2006.01</v>
      </c>
      <c r="B130" s="1996"/>
      <c r="C130" s="3561"/>
      <c r="D130" s="1997"/>
      <c r="E130" s="1999">
        <v>414274</v>
      </c>
      <c r="F130" s="3563">
        <v>662026843.50999975</v>
      </c>
      <c r="G130" s="2002">
        <v>41773</v>
      </c>
      <c r="H130" s="2010"/>
      <c r="K130" s="2019"/>
    </row>
    <row r="131" spans="1:11" ht="12.75" customHeight="1">
      <c r="A131" s="1992">
        <f t="shared" si="1"/>
        <v>2006.02</v>
      </c>
      <c r="B131" s="1996"/>
      <c r="C131" s="3561"/>
      <c r="D131" s="1997"/>
      <c r="E131" s="1999">
        <v>414377</v>
      </c>
      <c r="F131" s="3563">
        <v>483985091.23999989</v>
      </c>
      <c r="G131" s="2002">
        <v>41598</v>
      </c>
      <c r="H131" s="2010"/>
      <c r="K131" s="2019"/>
    </row>
    <row r="132" spans="1:11" ht="12.75" customHeight="1">
      <c r="A132" s="1992">
        <f t="shared" si="1"/>
        <v>2006.03</v>
      </c>
      <c r="B132" s="1996"/>
      <c r="C132" s="3561"/>
      <c r="D132" s="1997"/>
      <c r="E132" s="1999">
        <v>408697</v>
      </c>
      <c r="F132" s="3563">
        <v>454186824.42000008</v>
      </c>
      <c r="G132" s="2002">
        <v>41660</v>
      </c>
      <c r="H132" s="2010"/>
      <c r="K132" s="2019"/>
    </row>
    <row r="133" spans="1:11" ht="12.75" customHeight="1">
      <c r="A133" s="1992">
        <f t="shared" si="1"/>
        <v>2006.04</v>
      </c>
      <c r="B133" s="1996"/>
      <c r="C133" s="3561"/>
      <c r="D133" s="1997"/>
      <c r="E133" s="1999">
        <v>419433</v>
      </c>
      <c r="F133" s="3563">
        <v>482018125.97999996</v>
      </c>
      <c r="G133" s="2002">
        <v>42324</v>
      </c>
      <c r="H133" s="2010"/>
      <c r="K133" s="2019"/>
    </row>
    <row r="134" spans="1:11" ht="12.75" customHeight="1">
      <c r="A134" s="1992">
        <f t="shared" si="1"/>
        <v>2006.05</v>
      </c>
      <c r="B134" s="1996"/>
      <c r="C134" s="3561"/>
      <c r="D134" s="1997"/>
      <c r="E134" s="1999">
        <v>421189</v>
      </c>
      <c r="F134" s="3563">
        <v>484072997.57000035</v>
      </c>
      <c r="G134" s="2002">
        <v>42695</v>
      </c>
      <c r="H134" s="2010"/>
      <c r="K134" s="2019"/>
    </row>
    <row r="135" spans="1:11" ht="12.75" customHeight="1">
      <c r="A135" s="1992">
        <f t="shared" si="1"/>
        <v>2006.06</v>
      </c>
      <c r="B135" s="1996"/>
      <c r="C135" s="3561"/>
      <c r="D135" s="1997"/>
      <c r="E135" s="1999">
        <v>422459</v>
      </c>
      <c r="F135" s="3563">
        <v>496305800.5000003</v>
      </c>
      <c r="G135" s="2002">
        <v>42781</v>
      </c>
      <c r="H135" s="2010"/>
      <c r="K135" s="2019"/>
    </row>
    <row r="136" spans="1:11" ht="12.75" customHeight="1">
      <c r="A136" s="1992">
        <f t="shared" si="1"/>
        <v>2006.07</v>
      </c>
      <c r="B136" s="1996"/>
      <c r="C136" s="3561"/>
      <c r="D136" s="1997"/>
      <c r="E136" s="1999">
        <v>427091</v>
      </c>
      <c r="F136" s="3563">
        <v>725795036.96000004</v>
      </c>
      <c r="G136" s="2002">
        <v>42735</v>
      </c>
      <c r="H136" s="2010"/>
      <c r="K136" s="2019"/>
    </row>
    <row r="137" spans="1:11" ht="12.75" customHeight="1">
      <c r="A137" s="1992">
        <f t="shared" si="1"/>
        <v>2006.08</v>
      </c>
      <c r="B137" s="1996"/>
      <c r="C137" s="3561"/>
      <c r="D137" s="1997"/>
      <c r="E137" s="1999">
        <v>425560</v>
      </c>
      <c r="F137" s="3563">
        <v>520131960.29000032</v>
      </c>
      <c r="G137" s="2002">
        <v>42981</v>
      </c>
      <c r="H137" s="2010"/>
      <c r="K137" s="2019"/>
    </row>
    <row r="138" spans="1:11" ht="12.75" customHeight="1">
      <c r="A138" s="1992">
        <f t="shared" si="1"/>
        <v>2006.09</v>
      </c>
      <c r="B138" s="1996"/>
      <c r="C138" s="3561"/>
      <c r="D138" s="1997"/>
      <c r="E138" s="1999">
        <v>427866</v>
      </c>
      <c r="F138" s="3563">
        <v>523069003.3599999</v>
      </c>
      <c r="G138" s="2002">
        <v>43315</v>
      </c>
      <c r="H138" s="2010"/>
      <c r="K138" s="2019"/>
    </row>
    <row r="139" spans="1:11" ht="12.75" customHeight="1">
      <c r="A139" s="1992">
        <f t="shared" si="1"/>
        <v>2006.1</v>
      </c>
      <c r="B139" s="1996"/>
      <c r="C139" s="3561"/>
      <c r="D139" s="1997"/>
      <c r="E139" s="1999">
        <v>430952</v>
      </c>
      <c r="F139" s="3563">
        <v>529240365.35000002</v>
      </c>
      <c r="G139" s="2002">
        <v>43649</v>
      </c>
      <c r="H139" s="2010"/>
      <c r="K139" s="2019"/>
    </row>
    <row r="140" spans="1:11" ht="12.75" customHeight="1">
      <c r="A140" s="1992">
        <f t="shared" si="1"/>
        <v>2006.11</v>
      </c>
      <c r="B140" s="1996"/>
      <c r="C140" s="3561"/>
      <c r="D140" s="1997"/>
      <c r="E140" s="1999">
        <v>433326</v>
      </c>
      <c r="F140" s="3563">
        <v>533798350.31999999</v>
      </c>
      <c r="G140" s="2002">
        <v>43903</v>
      </c>
      <c r="H140" s="2010"/>
      <c r="K140" s="2019"/>
    </row>
    <row r="141" spans="1:11" ht="12.75" customHeight="1">
      <c r="A141" s="1992">
        <f t="shared" si="1"/>
        <v>2006.12</v>
      </c>
      <c r="B141" s="1996"/>
      <c r="C141" s="3561"/>
      <c r="D141" s="1997"/>
      <c r="E141" s="1999">
        <v>442268</v>
      </c>
      <c r="F141" s="3563">
        <v>563521047.55000031</v>
      </c>
      <c r="G141" s="2002">
        <v>44687</v>
      </c>
      <c r="H141" s="2010"/>
      <c r="K141" s="2019"/>
    </row>
    <row r="142" spans="1:11" ht="12.75" customHeight="1">
      <c r="A142" s="1992">
        <f t="shared" si="1"/>
        <v>2007.01</v>
      </c>
      <c r="B142" s="1996"/>
      <c r="C142" s="3561"/>
      <c r="D142" s="1997"/>
      <c r="E142" s="1999">
        <v>442996</v>
      </c>
      <c r="F142" s="3563">
        <v>856066538.54999948</v>
      </c>
      <c r="G142" s="2002">
        <v>44243</v>
      </c>
      <c r="H142" s="2010"/>
      <c r="K142" s="2019"/>
    </row>
    <row r="143" spans="1:11" ht="12.75" customHeight="1">
      <c r="A143" s="1992">
        <f t="shared" si="1"/>
        <v>2007.02</v>
      </c>
      <c r="B143" s="1996"/>
      <c r="C143" s="3561"/>
      <c r="D143" s="1997"/>
      <c r="E143" s="1999">
        <v>435571</v>
      </c>
      <c r="F143" s="3563">
        <v>626294932.16000056</v>
      </c>
      <c r="G143" s="2002">
        <v>44037</v>
      </c>
      <c r="H143" s="2010"/>
      <c r="K143" s="2019"/>
    </row>
    <row r="144" spans="1:11" ht="12.75" customHeight="1">
      <c r="A144" s="1992">
        <f t="shared" si="1"/>
        <v>2007.03</v>
      </c>
      <c r="B144" s="1996"/>
      <c r="C144" s="3561"/>
      <c r="D144" s="1997"/>
      <c r="E144" s="1999">
        <v>434151</v>
      </c>
      <c r="F144" s="3563">
        <v>594249496.28000033</v>
      </c>
      <c r="G144" s="2002">
        <v>44093</v>
      </c>
      <c r="H144" s="2010"/>
      <c r="K144" s="2019"/>
    </row>
    <row r="145" spans="1:11" ht="12.75" customHeight="1">
      <c r="A145" s="1992">
        <f t="shared" si="1"/>
        <v>2007.04</v>
      </c>
      <c r="B145" s="1996"/>
      <c r="C145" s="3561"/>
      <c r="D145" s="1997"/>
      <c r="E145" s="1999">
        <v>441684</v>
      </c>
      <c r="F145" s="3563">
        <v>615785760.83999991</v>
      </c>
      <c r="G145" s="2002">
        <v>44706</v>
      </c>
      <c r="H145" s="2010"/>
      <c r="K145" s="2019"/>
    </row>
    <row r="146" spans="1:11" ht="12.75" customHeight="1">
      <c r="A146" s="1992">
        <f t="shared" si="1"/>
        <v>2007.05</v>
      </c>
      <c r="B146" s="1996"/>
      <c r="C146" s="3561"/>
      <c r="D146" s="1997"/>
      <c r="E146" s="1999">
        <v>446325</v>
      </c>
      <c r="F146" s="3563">
        <v>638623244.46999991</v>
      </c>
      <c r="G146" s="2002">
        <v>44987</v>
      </c>
      <c r="H146" s="2010"/>
      <c r="K146" s="2019"/>
    </row>
    <row r="147" spans="1:11" ht="12.75" customHeight="1">
      <c r="A147" s="1992">
        <f t="shared" si="1"/>
        <v>2007.06</v>
      </c>
      <c r="B147" s="1996"/>
      <c r="C147" s="3561"/>
      <c r="D147" s="1997"/>
      <c r="E147" s="1999">
        <v>447062</v>
      </c>
      <c r="F147" s="3563">
        <v>661505544.34000015</v>
      </c>
      <c r="G147" s="2002">
        <v>44992</v>
      </c>
      <c r="H147" s="2010"/>
      <c r="K147" s="2019"/>
    </row>
    <row r="148" spans="1:11" ht="12.75" customHeight="1">
      <c r="A148" s="1992">
        <f t="shared" si="1"/>
        <v>2007.07</v>
      </c>
      <c r="B148" s="1996"/>
      <c r="C148" s="3561"/>
      <c r="D148" s="1997"/>
      <c r="E148" s="1999">
        <v>449932</v>
      </c>
      <c r="F148" s="3563">
        <v>959947731.92000008</v>
      </c>
      <c r="G148" s="2002">
        <v>45103</v>
      </c>
      <c r="H148" s="2010"/>
      <c r="K148" s="2019"/>
    </row>
    <row r="149" spans="1:11" ht="12.75" customHeight="1">
      <c r="A149" s="1992">
        <f t="shared" si="1"/>
        <v>2007.08</v>
      </c>
      <c r="B149" s="1996"/>
      <c r="C149" s="3561"/>
      <c r="D149" s="1997"/>
      <c r="E149" s="1999">
        <v>452202</v>
      </c>
      <c r="F149" s="3563">
        <v>687637030.16999984</v>
      </c>
      <c r="G149" s="2002">
        <v>45210</v>
      </c>
      <c r="H149" s="2010"/>
      <c r="K149" s="2019"/>
    </row>
    <row r="150" spans="1:11" ht="12.75" customHeight="1">
      <c r="A150" s="1992">
        <f t="shared" si="1"/>
        <v>2007.09</v>
      </c>
      <c r="B150" s="1996"/>
      <c r="C150" s="3561"/>
      <c r="D150" s="1997"/>
      <c r="E150" s="1999">
        <v>454924</v>
      </c>
      <c r="F150" s="3563">
        <v>704347990.44999981</v>
      </c>
      <c r="G150" s="2002">
        <v>45376</v>
      </c>
      <c r="H150" s="2010"/>
      <c r="K150" s="2019"/>
    </row>
    <row r="151" spans="1:11" ht="12.75" customHeight="1">
      <c r="A151" s="1992">
        <f t="shared" ref="A151:A214" si="2">A139+1</f>
        <v>2007.1</v>
      </c>
      <c r="B151" s="1996"/>
      <c r="C151" s="3561"/>
      <c r="D151" s="1997"/>
      <c r="E151" s="1999">
        <v>457497</v>
      </c>
      <c r="F151" s="3563">
        <v>699758806.11000049</v>
      </c>
      <c r="G151" s="2002">
        <v>45675</v>
      </c>
      <c r="H151" s="2010"/>
      <c r="K151" s="2019"/>
    </row>
    <row r="152" spans="1:11" ht="12.75" customHeight="1">
      <c r="A152" s="1992">
        <f t="shared" si="2"/>
        <v>2007.11</v>
      </c>
      <c r="B152" s="1996"/>
      <c r="C152" s="3561"/>
      <c r="D152" s="1997"/>
      <c r="E152" s="1999">
        <v>464819</v>
      </c>
      <c r="F152" s="3563">
        <v>744758208.96000016</v>
      </c>
      <c r="G152" s="2002">
        <v>46008</v>
      </c>
      <c r="H152" s="2010"/>
      <c r="K152" s="2019"/>
    </row>
    <row r="153" spans="1:11" ht="12.75" customHeight="1">
      <c r="A153" s="1992">
        <f t="shared" si="2"/>
        <v>2007.12</v>
      </c>
      <c r="B153" s="1996"/>
      <c r="C153" s="3561"/>
      <c r="D153" s="1997"/>
      <c r="E153" s="1999">
        <v>469348</v>
      </c>
      <c r="F153" s="3563">
        <v>751353056.59000015</v>
      </c>
      <c r="G153" s="2002">
        <v>46282</v>
      </c>
      <c r="H153" s="2010"/>
      <c r="K153" s="2019"/>
    </row>
    <row r="154" spans="1:11" ht="12.75" customHeight="1">
      <c r="A154" s="1992">
        <f t="shared" si="2"/>
        <v>2008.01</v>
      </c>
      <c r="B154" s="1996"/>
      <c r="C154" s="3561"/>
      <c r="D154" s="1997"/>
      <c r="E154" s="1999">
        <v>472318</v>
      </c>
      <c r="F154" s="3563">
        <v>1110606665.1800001</v>
      </c>
      <c r="G154" s="2002">
        <v>46329</v>
      </c>
      <c r="H154" s="2010"/>
      <c r="K154" s="2019"/>
    </row>
    <row r="155" spans="1:11" ht="12.75" customHeight="1">
      <c r="A155" s="1992">
        <f t="shared" si="2"/>
        <v>2008.02</v>
      </c>
      <c r="B155" s="1996"/>
      <c r="C155" s="3561"/>
      <c r="D155" s="1997"/>
      <c r="E155" s="1999">
        <v>463861</v>
      </c>
      <c r="F155" s="3563">
        <v>798476108.73999977</v>
      </c>
      <c r="G155" s="2002">
        <v>45621</v>
      </c>
      <c r="H155" s="2010"/>
      <c r="K155" s="2019"/>
    </row>
    <row r="156" spans="1:11" ht="12.75" customHeight="1">
      <c r="A156" s="1992">
        <f t="shared" si="2"/>
        <v>2008.03</v>
      </c>
      <c r="B156" s="1996"/>
      <c r="C156" s="3561"/>
      <c r="D156" s="1997"/>
      <c r="E156" s="1999">
        <v>462948</v>
      </c>
      <c r="F156" s="3563">
        <v>780248080.2699995</v>
      </c>
      <c r="G156" s="2002">
        <v>45863</v>
      </c>
      <c r="H156" s="2010"/>
      <c r="K156" s="2019"/>
    </row>
    <row r="157" spans="1:11" ht="12.75" customHeight="1">
      <c r="A157" s="1992">
        <f t="shared" si="2"/>
        <v>2008.04</v>
      </c>
      <c r="B157" s="1996"/>
      <c r="C157" s="3561"/>
      <c r="D157" s="1997"/>
      <c r="E157" s="1999">
        <v>467858</v>
      </c>
      <c r="F157" s="3563">
        <v>800811763.62</v>
      </c>
      <c r="G157" s="2002">
        <v>46315</v>
      </c>
      <c r="H157" s="2010"/>
      <c r="K157" s="2019"/>
    </row>
    <row r="158" spans="1:11" ht="12.75" customHeight="1">
      <c r="A158" s="1992">
        <f t="shared" si="2"/>
        <v>2008.05</v>
      </c>
      <c r="B158" s="1996"/>
      <c r="C158" s="3561"/>
      <c r="D158" s="1997"/>
      <c r="E158" s="1999">
        <v>472227</v>
      </c>
      <c r="F158" s="3563">
        <v>863648836.25000012</v>
      </c>
      <c r="G158" s="2002">
        <v>46502</v>
      </c>
      <c r="H158" s="2010"/>
      <c r="K158" s="2019"/>
    </row>
    <row r="159" spans="1:11" ht="12.75" customHeight="1">
      <c r="A159" s="1992">
        <f t="shared" si="2"/>
        <v>2008.06</v>
      </c>
      <c r="B159" s="1996"/>
      <c r="C159" s="3561"/>
      <c r="D159" s="1997"/>
      <c r="E159" s="1999">
        <v>472909</v>
      </c>
      <c r="F159" s="3563">
        <v>900525572.88000035</v>
      </c>
      <c r="G159" s="2002">
        <v>46555</v>
      </c>
      <c r="H159" s="2010"/>
      <c r="K159" s="2019"/>
    </row>
    <row r="160" spans="1:11" ht="12.75" customHeight="1">
      <c r="A160" s="1992">
        <f t="shared" si="2"/>
        <v>2008.07</v>
      </c>
      <c r="B160" s="1996"/>
      <c r="C160" s="3561"/>
      <c r="D160" s="1997"/>
      <c r="E160" s="1999">
        <v>473311</v>
      </c>
      <c r="F160" s="3563">
        <v>1273418890.6000004</v>
      </c>
      <c r="G160" s="2002">
        <v>46561</v>
      </c>
      <c r="H160" s="2010"/>
      <c r="K160" s="2019"/>
    </row>
    <row r="161" spans="1:11" ht="12.75" customHeight="1">
      <c r="A161" s="1992">
        <f t="shared" si="2"/>
        <v>2008.08</v>
      </c>
      <c r="B161" s="1996"/>
      <c r="C161" s="3561"/>
      <c r="D161" s="1997"/>
      <c r="E161" s="1999">
        <v>472229</v>
      </c>
      <c r="F161" s="3563">
        <v>922538420.7900002</v>
      </c>
      <c r="G161" s="2002">
        <v>46600</v>
      </c>
      <c r="H161" s="2010"/>
      <c r="K161" s="2019"/>
    </row>
    <row r="162" spans="1:11" ht="12.75" customHeight="1">
      <c r="A162" s="1992">
        <f t="shared" si="2"/>
        <v>2008.09</v>
      </c>
      <c r="B162" s="1996"/>
      <c r="C162" s="3561"/>
      <c r="D162" s="1997"/>
      <c r="E162" s="1999">
        <v>471331</v>
      </c>
      <c r="F162" s="3563">
        <v>941537958.99000001</v>
      </c>
      <c r="G162" s="2002">
        <v>46846</v>
      </c>
      <c r="H162" s="2010"/>
      <c r="K162" s="2019"/>
    </row>
    <row r="163" spans="1:11" ht="12.75" customHeight="1">
      <c r="A163" s="1992">
        <f t="shared" si="2"/>
        <v>2008.1</v>
      </c>
      <c r="B163" s="1996"/>
      <c r="C163" s="3561"/>
      <c r="D163" s="1997"/>
      <c r="E163" s="1999">
        <v>473936</v>
      </c>
      <c r="F163" s="3563">
        <v>971070939.85000062</v>
      </c>
      <c r="G163" s="2002">
        <v>47177</v>
      </c>
      <c r="H163" s="2010"/>
      <c r="K163" s="2019"/>
    </row>
    <row r="164" spans="1:11" ht="12.75" customHeight="1">
      <c r="A164" s="1992">
        <f t="shared" si="2"/>
        <v>2008.11</v>
      </c>
      <c r="B164" s="1996"/>
      <c r="C164" s="3561"/>
      <c r="D164" s="1997"/>
      <c r="E164" s="1999">
        <v>478790</v>
      </c>
      <c r="F164" s="3563">
        <v>989109129.23999965</v>
      </c>
      <c r="G164" s="2002">
        <v>47536</v>
      </c>
      <c r="H164" s="2010"/>
      <c r="K164" s="2019"/>
    </row>
    <row r="165" spans="1:11" ht="12.75" customHeight="1">
      <c r="A165" s="1992">
        <f t="shared" si="2"/>
        <v>2008.12</v>
      </c>
      <c r="B165" s="1996"/>
      <c r="C165" s="3561"/>
      <c r="D165" s="1997"/>
      <c r="E165" s="1999">
        <v>475384</v>
      </c>
      <c r="F165" s="3563">
        <v>1002100125.9000002</v>
      </c>
      <c r="G165" s="2002">
        <v>47753</v>
      </c>
      <c r="H165" s="2010"/>
      <c r="K165" s="2019"/>
    </row>
    <row r="166" spans="1:11" ht="12.75" customHeight="1">
      <c r="A166" s="1992">
        <f t="shared" si="2"/>
        <v>2009.01</v>
      </c>
      <c r="B166" s="1996"/>
      <c r="C166" s="3561"/>
      <c r="D166" s="1997"/>
      <c r="E166" s="1999">
        <v>474219</v>
      </c>
      <c r="F166" s="3563">
        <v>1508849178.7600005</v>
      </c>
      <c r="G166" s="2002">
        <v>47773</v>
      </c>
      <c r="H166" s="2010"/>
      <c r="K166" s="2019"/>
    </row>
    <row r="167" spans="1:11" ht="12.75" customHeight="1">
      <c r="A167" s="1992">
        <f t="shared" si="2"/>
        <v>2009.02</v>
      </c>
      <c r="B167" s="1996"/>
      <c r="C167" s="3561"/>
      <c r="D167" s="1997"/>
      <c r="E167" s="1999">
        <v>465051</v>
      </c>
      <c r="F167" s="3563">
        <v>1042821977.5800006</v>
      </c>
      <c r="G167" s="2002">
        <v>47363</v>
      </c>
      <c r="H167" s="2010"/>
      <c r="K167" s="2019"/>
    </row>
    <row r="168" spans="1:11" ht="12.75" customHeight="1">
      <c r="A168" s="1992">
        <f t="shared" si="2"/>
        <v>2009.03</v>
      </c>
      <c r="B168" s="1996"/>
      <c r="C168" s="3561"/>
      <c r="D168" s="1997"/>
      <c r="E168" s="1999">
        <v>460724</v>
      </c>
      <c r="F168" s="3563">
        <v>993528592.77000034</v>
      </c>
      <c r="G168" s="2002">
        <v>47160</v>
      </c>
      <c r="H168" s="2010"/>
      <c r="K168" s="2019"/>
    </row>
    <row r="169" spans="1:11" ht="12.75" customHeight="1">
      <c r="A169" s="1992">
        <f t="shared" si="2"/>
        <v>2009.04</v>
      </c>
      <c r="B169" s="1996"/>
      <c r="C169" s="3561"/>
      <c r="D169" s="1997"/>
      <c r="E169" s="1999">
        <v>465222</v>
      </c>
      <c r="F169" s="3563">
        <v>1020027764.8099998</v>
      </c>
      <c r="G169" s="2002">
        <v>47620</v>
      </c>
      <c r="H169" s="2010"/>
      <c r="K169" s="2019"/>
    </row>
    <row r="170" spans="1:11" ht="12.75" customHeight="1">
      <c r="A170" s="1992">
        <f t="shared" si="2"/>
        <v>2009.05</v>
      </c>
      <c r="B170" s="1996"/>
      <c r="C170" s="3561"/>
      <c r="D170" s="1997"/>
      <c r="E170" s="1999">
        <v>467575</v>
      </c>
      <c r="F170" s="3563">
        <v>1057771387.1299999</v>
      </c>
      <c r="G170" s="2002">
        <v>47718</v>
      </c>
      <c r="H170" s="2010"/>
      <c r="K170" s="2019"/>
    </row>
    <row r="171" spans="1:11" ht="12.75" customHeight="1">
      <c r="A171" s="1992">
        <f t="shared" si="2"/>
        <v>2009.06</v>
      </c>
      <c r="B171" s="1996"/>
      <c r="C171" s="3561"/>
      <c r="D171" s="1997"/>
      <c r="E171" s="1999">
        <v>463806</v>
      </c>
      <c r="F171" s="3563">
        <v>1036533209.1199996</v>
      </c>
      <c r="G171" s="2002">
        <v>47554</v>
      </c>
      <c r="H171" s="2010"/>
      <c r="K171" s="2019"/>
    </row>
    <row r="172" spans="1:11" ht="12.75" customHeight="1">
      <c r="A172" s="1992">
        <f t="shared" si="2"/>
        <v>2009.07</v>
      </c>
      <c r="B172" s="1996"/>
      <c r="C172" s="3561"/>
      <c r="D172" s="1997"/>
      <c r="E172" s="1999">
        <v>463627</v>
      </c>
      <c r="F172" s="3563">
        <v>1539132699.1399999</v>
      </c>
      <c r="G172" s="2002">
        <v>47401</v>
      </c>
      <c r="H172" s="2010"/>
      <c r="K172" s="2019"/>
    </row>
    <row r="173" spans="1:11" ht="12.75" customHeight="1">
      <c r="A173" s="1992">
        <f t="shared" si="2"/>
        <v>2009.08</v>
      </c>
      <c r="B173" s="1996"/>
      <c r="C173" s="3561"/>
      <c r="D173" s="1997"/>
      <c r="E173" s="1999">
        <v>462250</v>
      </c>
      <c r="F173" s="3563">
        <v>1079073740.1799994</v>
      </c>
      <c r="G173" s="2002">
        <v>47220</v>
      </c>
      <c r="H173" s="2010"/>
      <c r="K173" s="2019"/>
    </row>
    <row r="174" spans="1:11" ht="12.75" customHeight="1">
      <c r="A174" s="1992">
        <f t="shared" si="2"/>
        <v>2009.09</v>
      </c>
      <c r="B174" s="1996"/>
      <c r="C174" s="3561"/>
      <c r="D174" s="1997"/>
      <c r="E174" s="1999">
        <v>459184</v>
      </c>
      <c r="F174" s="3563">
        <v>1072202333.7799997</v>
      </c>
      <c r="G174" s="2002">
        <v>47073</v>
      </c>
      <c r="H174" s="2010"/>
      <c r="K174" s="2019"/>
    </row>
    <row r="175" spans="1:11" ht="12.75" customHeight="1">
      <c r="A175" s="1992">
        <f t="shared" si="2"/>
        <v>2009.1</v>
      </c>
      <c r="B175" s="1996"/>
      <c r="C175" s="3561"/>
      <c r="D175" s="1997"/>
      <c r="E175" s="1999">
        <v>463767</v>
      </c>
      <c r="F175" s="3563">
        <v>1098496877.05</v>
      </c>
      <c r="G175" s="2002">
        <v>47106</v>
      </c>
      <c r="H175" s="2010"/>
      <c r="K175" s="2019"/>
    </row>
    <row r="176" spans="1:11" ht="12.75" customHeight="1">
      <c r="A176" s="1992">
        <f t="shared" si="2"/>
        <v>2009.11</v>
      </c>
      <c r="B176" s="1996"/>
      <c r="C176" s="3561"/>
      <c r="D176" s="1997"/>
      <c r="E176" s="1999">
        <v>468321</v>
      </c>
      <c r="F176" s="3563">
        <v>1143239054.4200006</v>
      </c>
      <c r="G176" s="2002">
        <v>47387</v>
      </c>
      <c r="H176" s="2010"/>
      <c r="K176" s="2019"/>
    </row>
    <row r="177" spans="1:11" ht="12.75" customHeight="1">
      <c r="A177" s="1992">
        <f t="shared" si="2"/>
        <v>2009.12</v>
      </c>
      <c r="B177" s="1996"/>
      <c r="C177" s="3561"/>
      <c r="D177" s="1997"/>
      <c r="E177" s="1999">
        <v>469982</v>
      </c>
      <c r="F177" s="3563">
        <v>1143314575.2500002</v>
      </c>
      <c r="G177" s="2002">
        <v>47582</v>
      </c>
      <c r="H177" s="2010"/>
      <c r="K177" s="2019"/>
    </row>
    <row r="178" spans="1:11" ht="12.75" customHeight="1">
      <c r="A178" s="1992">
        <f t="shared" si="2"/>
        <v>2010.01</v>
      </c>
      <c r="B178" s="1996"/>
      <c r="C178" s="3561"/>
      <c r="D178" s="1997"/>
      <c r="E178" s="1999">
        <v>487687</v>
      </c>
      <c r="F178" s="3563">
        <v>1773461438.8700001</v>
      </c>
      <c r="G178" s="2002">
        <v>49724</v>
      </c>
      <c r="H178" s="2010"/>
      <c r="K178" s="2019"/>
    </row>
    <row r="179" spans="1:11" ht="12.75" customHeight="1">
      <c r="A179" s="1992">
        <f t="shared" si="2"/>
        <v>2010.02</v>
      </c>
      <c r="B179" s="1996"/>
      <c r="C179" s="3561"/>
      <c r="D179" s="1997"/>
      <c r="E179" s="1999">
        <v>480216</v>
      </c>
      <c r="F179" s="3563">
        <v>1260722845.539999</v>
      </c>
      <c r="G179" s="2002">
        <v>49300</v>
      </c>
      <c r="H179" s="2010"/>
      <c r="K179" s="2019"/>
    </row>
    <row r="180" spans="1:11" ht="12.75" customHeight="1">
      <c r="A180" s="1992">
        <f t="shared" si="2"/>
        <v>2010.03</v>
      </c>
      <c r="B180" s="1996"/>
      <c r="C180" s="3561"/>
      <c r="D180" s="1997"/>
      <c r="E180" s="1999">
        <v>481833</v>
      </c>
      <c r="F180" s="3563">
        <v>1221996072.6399999</v>
      </c>
      <c r="G180" s="2002">
        <v>49313</v>
      </c>
      <c r="H180" s="2010"/>
      <c r="K180" s="2019"/>
    </row>
    <row r="181" spans="1:11" ht="12.75" customHeight="1">
      <c r="A181" s="1992">
        <f t="shared" si="2"/>
        <v>2010.04</v>
      </c>
      <c r="B181" s="1996"/>
      <c r="C181" s="3561"/>
      <c r="D181" s="1997"/>
      <c r="E181" s="1999">
        <v>488528</v>
      </c>
      <c r="F181" s="3563">
        <v>1280104493.8699996</v>
      </c>
      <c r="G181" s="2002">
        <v>50132</v>
      </c>
      <c r="H181" s="2010"/>
      <c r="K181" s="2019"/>
    </row>
    <row r="182" spans="1:11" ht="12.75" customHeight="1">
      <c r="A182" s="1992">
        <f t="shared" si="2"/>
        <v>2010.05</v>
      </c>
      <c r="B182" s="1996"/>
      <c r="C182" s="3561"/>
      <c r="D182" s="1997"/>
      <c r="E182" s="1999">
        <v>489647</v>
      </c>
      <c r="F182" s="3563">
        <v>1341444560.1899998</v>
      </c>
      <c r="G182" s="2002">
        <v>50226</v>
      </c>
      <c r="H182" s="2010"/>
      <c r="K182" s="2019"/>
    </row>
    <row r="183" spans="1:11" ht="12.75" customHeight="1">
      <c r="A183" s="1992">
        <f t="shared" si="2"/>
        <v>2010.06</v>
      </c>
      <c r="B183" s="1996"/>
      <c r="C183" s="3561"/>
      <c r="D183" s="1997"/>
      <c r="E183" s="1999">
        <v>489490</v>
      </c>
      <c r="F183" s="3563">
        <v>1365632002.0399995</v>
      </c>
      <c r="G183" s="2002">
        <v>50283</v>
      </c>
      <c r="H183" s="2010"/>
      <c r="K183" s="2019"/>
    </row>
    <row r="184" spans="1:11" ht="12.75" customHeight="1">
      <c r="A184" s="1992">
        <f t="shared" si="2"/>
        <v>2010.07</v>
      </c>
      <c r="B184" s="1996"/>
      <c r="C184" s="3561"/>
      <c r="D184" s="1997"/>
      <c r="E184" s="1999">
        <v>492389</v>
      </c>
      <c r="F184" s="3563">
        <v>1983461144.49</v>
      </c>
      <c r="G184" s="2002">
        <v>50212</v>
      </c>
      <c r="H184" s="2010"/>
      <c r="K184" s="2019"/>
    </row>
    <row r="185" spans="1:11" ht="12.75" customHeight="1">
      <c r="A185" s="1992">
        <f t="shared" si="2"/>
        <v>2010.08</v>
      </c>
      <c r="B185" s="1996"/>
      <c r="C185" s="3561"/>
      <c r="D185" s="1997"/>
      <c r="E185" s="1999">
        <v>491744</v>
      </c>
      <c r="F185" s="3563">
        <v>1438257008.6400006</v>
      </c>
      <c r="G185" s="2002">
        <v>50086</v>
      </c>
      <c r="H185" s="2010"/>
      <c r="K185" s="2019"/>
    </row>
    <row r="186" spans="1:11" ht="12.75" customHeight="1">
      <c r="A186" s="1992">
        <f t="shared" si="2"/>
        <v>2010.09</v>
      </c>
      <c r="B186" s="1996"/>
      <c r="C186" s="3561"/>
      <c r="D186" s="1997"/>
      <c r="E186" s="1999">
        <v>495362</v>
      </c>
      <c r="F186" s="3563">
        <v>1470840194.1200001</v>
      </c>
      <c r="G186" s="2002">
        <v>50243</v>
      </c>
      <c r="H186" s="2010"/>
      <c r="K186" s="2019"/>
    </row>
    <row r="187" spans="1:11" ht="12.75" customHeight="1">
      <c r="A187" s="1992">
        <f t="shared" si="2"/>
        <v>2010.1</v>
      </c>
      <c r="B187" s="1996"/>
      <c r="C187" s="3561"/>
      <c r="D187" s="1997"/>
      <c r="E187" s="1999">
        <v>498720</v>
      </c>
      <c r="F187" s="3563">
        <v>1518228095.3399997</v>
      </c>
      <c r="G187" s="2002">
        <v>50388</v>
      </c>
      <c r="H187" s="2010"/>
      <c r="K187" s="2019"/>
    </row>
    <row r="188" spans="1:11" ht="12.75" customHeight="1">
      <c r="A188" s="1992">
        <f t="shared" si="2"/>
        <v>2010.11</v>
      </c>
      <c r="B188" s="1996"/>
      <c r="C188" s="3561"/>
      <c r="D188" s="1997"/>
      <c r="E188" s="1999">
        <v>501516</v>
      </c>
      <c r="F188" s="3563">
        <v>1562020230.3300004</v>
      </c>
      <c r="G188" s="2002">
        <v>50617</v>
      </c>
      <c r="H188" s="2010"/>
      <c r="K188" s="2019"/>
    </row>
    <row r="189" spans="1:11" ht="12.75" customHeight="1">
      <c r="A189" s="1992">
        <f t="shared" si="2"/>
        <v>2010.12</v>
      </c>
      <c r="B189" s="1996"/>
      <c r="C189" s="3561"/>
      <c r="D189" s="1997"/>
      <c r="E189" s="1999">
        <v>506699</v>
      </c>
      <c r="F189" s="3563">
        <v>1602807586.1000001</v>
      </c>
      <c r="G189" s="2002">
        <v>50989</v>
      </c>
      <c r="H189" s="2010"/>
      <c r="K189" s="2019"/>
    </row>
    <row r="190" spans="1:11" ht="12.75" customHeight="1">
      <c r="A190" s="1992">
        <f t="shared" si="2"/>
        <v>2011.01</v>
      </c>
      <c r="B190" s="1996"/>
      <c r="C190" s="3561"/>
      <c r="D190" s="1997"/>
      <c r="E190" s="1999">
        <v>510358</v>
      </c>
      <c r="F190" s="3563">
        <v>2408243240.5100012</v>
      </c>
      <c r="G190" s="2002">
        <v>50965</v>
      </c>
      <c r="H190" s="2010"/>
      <c r="K190" s="2019"/>
    </row>
    <row r="191" spans="1:11" ht="12.75" customHeight="1">
      <c r="A191" s="1992">
        <f t="shared" si="2"/>
        <v>2011.02</v>
      </c>
      <c r="B191" s="1996"/>
      <c r="C191" s="3561"/>
      <c r="D191" s="1997"/>
      <c r="E191" s="1999">
        <v>504069</v>
      </c>
      <c r="F191" s="3563">
        <v>1748786965.3799994</v>
      </c>
      <c r="G191" s="2002">
        <v>50597</v>
      </c>
      <c r="H191" s="2010"/>
      <c r="K191" s="2019"/>
    </row>
    <row r="192" spans="1:11" ht="12.75" customHeight="1">
      <c r="A192" s="1992">
        <f t="shared" si="2"/>
        <v>2011.03</v>
      </c>
      <c r="B192" s="1996"/>
      <c r="C192" s="3561"/>
      <c r="D192" s="1997"/>
      <c r="E192" s="1999">
        <v>503632</v>
      </c>
      <c r="F192" s="3563">
        <v>1689545244.4300003</v>
      </c>
      <c r="G192" s="2002">
        <v>50624</v>
      </c>
      <c r="H192" s="2010"/>
      <c r="K192" s="2019"/>
    </row>
    <row r="193" spans="1:11" ht="12.75" customHeight="1">
      <c r="A193" s="1992">
        <f t="shared" si="2"/>
        <v>2011.04</v>
      </c>
      <c r="B193" s="1996"/>
      <c r="C193" s="3561"/>
      <c r="D193" s="1997"/>
      <c r="E193" s="1999">
        <v>511652</v>
      </c>
      <c r="F193" s="3563">
        <v>1834176887.2800002</v>
      </c>
      <c r="G193" s="2002">
        <v>51294</v>
      </c>
      <c r="H193" s="2010"/>
      <c r="K193" s="2019"/>
    </row>
    <row r="194" spans="1:11" ht="12.75" customHeight="1">
      <c r="A194" s="1992">
        <f t="shared" si="2"/>
        <v>2011.05</v>
      </c>
      <c r="B194" s="1996"/>
      <c r="C194" s="3561"/>
      <c r="D194" s="1997"/>
      <c r="E194" s="1999">
        <v>516417</v>
      </c>
      <c r="F194" s="3563">
        <v>1895065773.8500004</v>
      </c>
      <c r="G194" s="2002">
        <v>51674</v>
      </c>
      <c r="H194" s="2010"/>
      <c r="K194" s="2019"/>
    </row>
    <row r="195" spans="1:11" ht="12.75" customHeight="1">
      <c r="A195" s="1992">
        <f t="shared" si="2"/>
        <v>2011.06</v>
      </c>
      <c r="B195" s="1996"/>
      <c r="C195" s="3561"/>
      <c r="D195" s="1997"/>
      <c r="E195" s="1999">
        <v>518176</v>
      </c>
      <c r="F195" s="3563">
        <v>1978498931.8999979</v>
      </c>
      <c r="G195" s="2002">
        <v>51780</v>
      </c>
      <c r="H195" s="2010"/>
      <c r="K195" s="2019"/>
    </row>
    <row r="196" spans="1:11" ht="12.75" customHeight="1">
      <c r="A196" s="1992">
        <f t="shared" si="2"/>
        <v>2011.07</v>
      </c>
      <c r="B196" s="1996"/>
      <c r="C196" s="3561"/>
      <c r="D196" s="1997"/>
      <c r="E196" s="1999">
        <v>520043</v>
      </c>
      <c r="F196" s="3563">
        <v>2858713348.3899994</v>
      </c>
      <c r="G196" s="2002">
        <v>51658</v>
      </c>
      <c r="H196" s="2010"/>
      <c r="K196" s="2019"/>
    </row>
    <row r="197" spans="1:11" ht="12.75" customHeight="1">
      <c r="A197" s="1992">
        <f t="shared" si="2"/>
        <v>2011.08</v>
      </c>
      <c r="B197" s="1996"/>
      <c r="C197" s="3561"/>
      <c r="D197" s="1997"/>
      <c r="E197" s="1999">
        <v>517114</v>
      </c>
      <c r="F197" s="3563">
        <v>2072194847.9399989</v>
      </c>
      <c r="G197" s="2002">
        <v>51585</v>
      </c>
      <c r="H197" s="2010"/>
      <c r="K197" s="2019"/>
    </row>
    <row r="198" spans="1:11" ht="12.75" customHeight="1">
      <c r="A198" s="1992">
        <f t="shared" si="2"/>
        <v>2011.09</v>
      </c>
      <c r="B198" s="1996"/>
      <c r="C198" s="3561"/>
      <c r="D198" s="1997"/>
      <c r="E198" s="1999">
        <v>521389</v>
      </c>
      <c r="F198" s="3563">
        <v>2137121769.8799999</v>
      </c>
      <c r="G198" s="2002">
        <v>51754</v>
      </c>
      <c r="H198" s="2010"/>
      <c r="K198" s="2019"/>
    </row>
    <row r="199" spans="1:11" ht="12.75" customHeight="1">
      <c r="A199" s="1992">
        <f t="shared" si="2"/>
        <v>2011.1</v>
      </c>
      <c r="B199" s="1996"/>
      <c r="C199" s="3561"/>
      <c r="D199" s="1997"/>
      <c r="E199" s="1999">
        <v>524904</v>
      </c>
      <c r="F199" s="3563">
        <v>2189583200.23</v>
      </c>
      <c r="G199" s="2002">
        <v>51908</v>
      </c>
      <c r="H199" s="2010"/>
      <c r="K199" s="2019"/>
    </row>
    <row r="200" spans="1:11" ht="12.75" customHeight="1">
      <c r="A200" s="1992">
        <f t="shared" si="2"/>
        <v>2011.11</v>
      </c>
      <c r="B200" s="1996"/>
      <c r="C200" s="3561"/>
      <c r="D200" s="1997"/>
      <c r="E200" s="1999">
        <v>526885</v>
      </c>
      <c r="F200" s="3563">
        <v>2230592872.75</v>
      </c>
      <c r="G200" s="2002">
        <v>52221</v>
      </c>
      <c r="H200" s="2010"/>
      <c r="K200" s="2019"/>
    </row>
    <row r="201" spans="1:11" ht="12.75" customHeight="1">
      <c r="A201" s="1992">
        <f t="shared" si="2"/>
        <v>2011.12</v>
      </c>
      <c r="B201" s="1996"/>
      <c r="C201" s="3561"/>
      <c r="D201" s="1997"/>
      <c r="E201" s="1999">
        <v>530850</v>
      </c>
      <c r="F201" s="3563">
        <v>2303238830.7599998</v>
      </c>
      <c r="G201" s="2002">
        <v>52686</v>
      </c>
      <c r="H201" s="2010"/>
      <c r="K201" s="2019"/>
    </row>
    <row r="202" spans="1:11" ht="12.75" customHeight="1">
      <c r="A202" s="1992">
        <f t="shared" si="2"/>
        <v>2012.01</v>
      </c>
      <c r="B202" s="1996"/>
      <c r="C202" s="3561"/>
      <c r="D202" s="1997"/>
      <c r="E202" s="1999">
        <v>532719</v>
      </c>
      <c r="F202" s="3563">
        <v>3423304166.7299991</v>
      </c>
      <c r="G202" s="2002">
        <v>52792</v>
      </c>
      <c r="H202" s="2010"/>
      <c r="K202" s="2019"/>
    </row>
    <row r="203" spans="1:11" ht="12.75" customHeight="1">
      <c r="A203" s="1992">
        <f t="shared" si="2"/>
        <v>2012.02</v>
      </c>
      <c r="B203" s="1996"/>
      <c r="C203" s="3561"/>
      <c r="D203" s="1997"/>
      <c r="E203" s="1999">
        <v>523447</v>
      </c>
      <c r="F203" s="3563">
        <v>2460930058.5299997</v>
      </c>
      <c r="G203" s="2002">
        <v>52393</v>
      </c>
      <c r="H203" s="2010"/>
      <c r="K203" s="2019"/>
    </row>
    <row r="204" spans="1:11" ht="12.75" customHeight="1">
      <c r="A204" s="1992">
        <f t="shared" si="2"/>
        <v>2012.03</v>
      </c>
      <c r="B204" s="1996"/>
      <c r="C204" s="3561"/>
      <c r="D204" s="1997"/>
      <c r="E204" s="1999">
        <v>520589</v>
      </c>
      <c r="F204" s="3563">
        <v>2368425850.0499992</v>
      </c>
      <c r="G204" s="2002">
        <v>52275</v>
      </c>
      <c r="H204" s="2010"/>
      <c r="K204" s="2019"/>
    </row>
    <row r="205" spans="1:11" ht="12.75" customHeight="1">
      <c r="A205" s="1992">
        <f t="shared" si="2"/>
        <v>2012.04</v>
      </c>
      <c r="B205" s="1996"/>
      <c r="C205" s="3561"/>
      <c r="D205" s="1997"/>
      <c r="E205" s="1999">
        <v>525418</v>
      </c>
      <c r="F205" s="3563">
        <v>2421618277.7400007</v>
      </c>
      <c r="G205" s="2002">
        <v>52678</v>
      </c>
      <c r="H205" s="2010"/>
      <c r="K205" s="2019"/>
    </row>
    <row r="206" spans="1:11" ht="12.75" customHeight="1">
      <c r="A206" s="1992">
        <f t="shared" si="2"/>
        <v>2012.05</v>
      </c>
      <c r="B206" s="1996"/>
      <c r="C206" s="3561"/>
      <c r="D206" s="1997"/>
      <c r="E206" s="1999">
        <v>526391</v>
      </c>
      <c r="F206" s="3563">
        <v>2622745443.8900003</v>
      </c>
      <c r="G206" s="2002">
        <v>52873</v>
      </c>
      <c r="H206" s="2010"/>
      <c r="K206" s="2019"/>
    </row>
    <row r="207" spans="1:11" ht="12.75" customHeight="1">
      <c r="A207" s="1992">
        <f t="shared" si="2"/>
        <v>2012.06</v>
      </c>
      <c r="B207" s="1996"/>
      <c r="C207" s="3561"/>
      <c r="D207" s="1997"/>
      <c r="E207" s="1999">
        <v>526945</v>
      </c>
      <c r="F207" s="3563">
        <v>2715431606.6100011</v>
      </c>
      <c r="G207" s="2002">
        <v>52665</v>
      </c>
      <c r="H207" s="2010"/>
      <c r="K207" s="2019"/>
    </row>
    <row r="208" spans="1:11" ht="12.75" customHeight="1">
      <c r="A208" s="1992">
        <f t="shared" si="2"/>
        <v>2012.07</v>
      </c>
      <c r="B208" s="1996"/>
      <c r="C208" s="3561"/>
      <c r="D208" s="1997"/>
      <c r="E208" s="1999">
        <v>531078</v>
      </c>
      <c r="F208" s="3563">
        <v>3938406110.1399994</v>
      </c>
      <c r="G208" s="2002">
        <v>52590</v>
      </c>
      <c r="H208" s="2010"/>
      <c r="K208" s="2019"/>
    </row>
    <row r="209" spans="1:11" ht="12.75" customHeight="1">
      <c r="A209" s="1992">
        <f t="shared" si="2"/>
        <v>2012.08</v>
      </c>
      <c r="B209" s="1996"/>
      <c r="C209" s="3561"/>
      <c r="D209" s="1997"/>
      <c r="E209" s="1999">
        <v>529312</v>
      </c>
      <c r="F209" s="3563">
        <v>2832154176.289999</v>
      </c>
      <c r="G209" s="2002">
        <v>52289</v>
      </c>
      <c r="H209" s="2010"/>
      <c r="K209" s="2019"/>
    </row>
    <row r="210" spans="1:11" ht="12.75" customHeight="1">
      <c r="A210" s="1992">
        <f t="shared" si="2"/>
        <v>2012.09</v>
      </c>
      <c r="B210" s="1996"/>
      <c r="C210" s="3561"/>
      <c r="D210" s="1997"/>
      <c r="E210" s="1999">
        <v>528776</v>
      </c>
      <c r="F210" s="3563">
        <v>2823245531.650002</v>
      </c>
      <c r="G210" s="2002">
        <v>52210</v>
      </c>
      <c r="H210" s="2010"/>
      <c r="K210" s="2019"/>
    </row>
    <row r="211" spans="1:11" ht="12.75" customHeight="1">
      <c r="A211" s="1992">
        <f t="shared" si="2"/>
        <v>2012.1</v>
      </c>
      <c r="B211" s="1996"/>
      <c r="C211" s="3561"/>
      <c r="D211" s="1997"/>
      <c r="E211" s="1999">
        <v>527740</v>
      </c>
      <c r="F211" s="3563">
        <v>2829937676.8200002</v>
      </c>
      <c r="G211" s="2002">
        <v>52241</v>
      </c>
      <c r="H211" s="2010"/>
      <c r="K211" s="2019"/>
    </row>
    <row r="212" spans="1:11" ht="12.75" customHeight="1">
      <c r="A212" s="1992">
        <f t="shared" si="2"/>
        <v>2012.11</v>
      </c>
      <c r="B212" s="1996"/>
      <c r="C212" s="3561"/>
      <c r="D212" s="1997"/>
      <c r="E212" s="1999">
        <v>530748</v>
      </c>
      <c r="F212" s="3563">
        <v>2936556296.0600014</v>
      </c>
      <c r="G212" s="2002">
        <v>52410</v>
      </c>
      <c r="H212" s="2010"/>
      <c r="K212" s="2019"/>
    </row>
    <row r="213" spans="1:11" ht="12.75" customHeight="1">
      <c r="A213" s="1992">
        <f t="shared" si="2"/>
        <v>2012.12</v>
      </c>
      <c r="B213" s="1996"/>
      <c r="C213" s="3561"/>
      <c r="D213" s="1997"/>
      <c r="E213" s="1999">
        <v>531697</v>
      </c>
      <c r="F213" s="3563">
        <v>3045307722.9200006</v>
      </c>
      <c r="G213" s="2002">
        <v>52636</v>
      </c>
      <c r="H213" s="2010"/>
      <c r="K213" s="2019"/>
    </row>
    <row r="214" spans="1:11" ht="12.75" customHeight="1">
      <c r="A214" s="1992">
        <f t="shared" si="2"/>
        <v>2013.01</v>
      </c>
      <c r="B214" s="1996"/>
      <c r="C214" s="3561"/>
      <c r="D214" s="1997"/>
      <c r="E214" s="1999">
        <v>532594</v>
      </c>
      <c r="F214" s="3563">
        <v>4554753193.8200006</v>
      </c>
      <c r="G214" s="2002">
        <v>52499</v>
      </c>
      <c r="H214" s="2010"/>
      <c r="K214" s="2019"/>
    </row>
    <row r="215" spans="1:11" ht="12.75" customHeight="1">
      <c r="A215" s="1992">
        <f t="shared" ref="A215:A278" si="3">A203+1</f>
        <v>2013.02</v>
      </c>
      <c r="B215" s="1996"/>
      <c r="C215" s="3561"/>
      <c r="D215" s="1997"/>
      <c r="E215" s="1999">
        <v>528189</v>
      </c>
      <c r="F215" s="3563">
        <v>3326186780.3000021</v>
      </c>
      <c r="G215" s="2002">
        <v>52094</v>
      </c>
      <c r="H215" s="2010"/>
      <c r="K215" s="2019"/>
    </row>
    <row r="216" spans="1:11" ht="12.75" customHeight="1">
      <c r="A216" s="1992">
        <f t="shared" si="3"/>
        <v>2013.03</v>
      </c>
      <c r="B216" s="1996"/>
      <c r="C216" s="3561"/>
      <c r="D216" s="1997"/>
      <c r="E216" s="1999">
        <v>525768</v>
      </c>
      <c r="F216" s="3563">
        <v>3188230904.0500011</v>
      </c>
      <c r="G216" s="2002">
        <v>52047</v>
      </c>
      <c r="H216" s="2010"/>
      <c r="K216" s="2019"/>
    </row>
    <row r="217" spans="1:11" ht="12.75" customHeight="1">
      <c r="A217" s="1992">
        <f t="shared" si="3"/>
        <v>2013.04</v>
      </c>
      <c r="B217" s="1996"/>
      <c r="C217" s="3561"/>
      <c r="D217" s="1997"/>
      <c r="E217" s="1999">
        <v>533027</v>
      </c>
      <c r="F217" s="3563">
        <v>3313920837.7900014</v>
      </c>
      <c r="G217" s="2002">
        <v>52481</v>
      </c>
      <c r="H217" s="2010"/>
      <c r="K217" s="2019"/>
    </row>
    <row r="218" spans="1:11" ht="12.75" customHeight="1">
      <c r="A218" s="1992">
        <f t="shared" si="3"/>
        <v>2013.05</v>
      </c>
      <c r="B218" s="1996"/>
      <c r="C218" s="3561"/>
      <c r="D218" s="1997"/>
      <c r="E218" s="1999">
        <v>535412</v>
      </c>
      <c r="F218" s="3563">
        <v>3423404652.7199993</v>
      </c>
      <c r="G218" s="2002">
        <v>52722</v>
      </c>
      <c r="H218" s="2010"/>
      <c r="K218" s="2019"/>
    </row>
    <row r="219" spans="1:11" ht="12.75" customHeight="1">
      <c r="A219" s="1992">
        <f t="shared" si="3"/>
        <v>2013.06</v>
      </c>
      <c r="B219" s="1996"/>
      <c r="C219" s="3561"/>
      <c r="D219" s="1997"/>
      <c r="E219" s="1999">
        <v>540360</v>
      </c>
      <c r="F219" s="3563">
        <v>3893533521.3600006</v>
      </c>
      <c r="G219" s="2002">
        <v>52352</v>
      </c>
      <c r="H219" s="2010"/>
      <c r="K219" s="2019"/>
    </row>
    <row r="220" spans="1:11" ht="12.75" customHeight="1">
      <c r="A220" s="1992">
        <f t="shared" si="3"/>
        <v>2013.07</v>
      </c>
      <c r="B220" s="1996"/>
      <c r="C220" s="3561"/>
      <c r="D220" s="1997"/>
      <c r="E220" s="1999">
        <v>537954</v>
      </c>
      <c r="F220" s="3563">
        <v>5139445094.4900017</v>
      </c>
      <c r="G220" s="2002">
        <v>52153</v>
      </c>
      <c r="H220" s="2010"/>
      <c r="K220" s="2019"/>
    </row>
    <row r="221" spans="1:11" ht="12.75" customHeight="1">
      <c r="A221" s="1992">
        <f t="shared" si="3"/>
        <v>2013.08</v>
      </c>
      <c r="B221" s="1996"/>
      <c r="C221" s="3561"/>
      <c r="D221" s="1997"/>
      <c r="E221" s="1999">
        <v>536158</v>
      </c>
      <c r="F221" s="3563">
        <v>3741617294.1099982</v>
      </c>
      <c r="G221" s="2002">
        <v>52063</v>
      </c>
      <c r="H221" s="2010"/>
      <c r="K221" s="2019"/>
    </row>
    <row r="222" spans="1:11" ht="12.75" customHeight="1">
      <c r="A222" s="1992">
        <f t="shared" si="3"/>
        <v>2013.09</v>
      </c>
      <c r="B222" s="1996"/>
      <c r="C222" s="3561"/>
      <c r="D222" s="1997"/>
      <c r="E222" s="1999">
        <v>535393</v>
      </c>
      <c r="F222" s="3563">
        <v>3732852397.4200015</v>
      </c>
      <c r="G222" s="2002">
        <v>51825</v>
      </c>
      <c r="H222" s="2010"/>
      <c r="K222" s="2019"/>
    </row>
    <row r="223" spans="1:11" ht="12.75" customHeight="1">
      <c r="A223" s="1992">
        <f t="shared" si="3"/>
        <v>2013.1</v>
      </c>
      <c r="B223" s="1996"/>
      <c r="C223" s="3561"/>
      <c r="D223" s="1997"/>
      <c r="E223" s="1999">
        <v>535554</v>
      </c>
      <c r="F223" s="3563">
        <v>3775117817.5199976</v>
      </c>
      <c r="G223" s="2002">
        <v>51892</v>
      </c>
      <c r="H223" s="2010"/>
      <c r="K223" s="2019"/>
    </row>
    <row r="224" spans="1:11" ht="12.75" customHeight="1">
      <c r="A224" s="1992">
        <f t="shared" si="3"/>
        <v>2013.11</v>
      </c>
      <c r="B224" s="1996"/>
      <c r="C224" s="3561"/>
      <c r="D224" s="1997"/>
      <c r="E224" s="1999">
        <v>535820</v>
      </c>
      <c r="F224" s="3563">
        <v>3883638872.440001</v>
      </c>
      <c r="G224" s="2002">
        <v>51962</v>
      </c>
      <c r="H224" s="2010"/>
      <c r="K224" s="2019"/>
    </row>
    <row r="225" spans="1:11" ht="12.75" customHeight="1">
      <c r="A225" s="1992">
        <f t="shared" si="3"/>
        <v>2013.12</v>
      </c>
      <c r="B225" s="1996"/>
      <c r="C225" s="3561"/>
      <c r="D225" s="1997"/>
      <c r="E225" s="1999">
        <v>537944</v>
      </c>
      <c r="F225" s="3563">
        <v>3898225255.6900005</v>
      </c>
      <c r="G225" s="2002">
        <v>52080</v>
      </c>
      <c r="H225" s="2010"/>
      <c r="K225" s="2019"/>
    </row>
    <row r="226" spans="1:11" ht="12.75" customHeight="1">
      <c r="A226" s="1992">
        <f t="shared" si="3"/>
        <v>2014.01</v>
      </c>
      <c r="B226" s="1996"/>
      <c r="C226" s="3561"/>
      <c r="D226" s="1997"/>
      <c r="E226" s="1999">
        <v>539088</v>
      </c>
      <c r="F226" s="3563">
        <v>5894097330.5299988</v>
      </c>
      <c r="G226" s="2002">
        <v>52183</v>
      </c>
      <c r="H226" s="2010"/>
      <c r="K226" s="2019"/>
    </row>
    <row r="227" spans="1:11" ht="12.75" customHeight="1">
      <c r="A227" s="1992">
        <f t="shared" si="3"/>
        <v>2014.02</v>
      </c>
      <c r="B227" s="1996"/>
      <c r="C227" s="3561"/>
      <c r="D227" s="1997"/>
      <c r="E227" s="1999">
        <v>533449</v>
      </c>
      <c r="F227" s="3563">
        <v>4195308184.5299988</v>
      </c>
      <c r="G227" s="2002">
        <v>51697</v>
      </c>
      <c r="H227" s="2010"/>
      <c r="K227" s="2019"/>
    </row>
    <row r="228" spans="1:11" ht="12.75" customHeight="1">
      <c r="A228" s="1992">
        <f t="shared" si="3"/>
        <v>2014.03</v>
      </c>
      <c r="B228" s="1996"/>
      <c r="C228" s="3561"/>
      <c r="D228" s="1997"/>
      <c r="E228" s="1999">
        <v>529290</v>
      </c>
      <c r="F228" s="3563">
        <v>4103678874.9199996</v>
      </c>
      <c r="G228" s="2002">
        <v>51400</v>
      </c>
      <c r="H228" s="2010"/>
      <c r="K228" s="2019"/>
    </row>
    <row r="229" spans="1:11" ht="12.75" customHeight="1">
      <c r="A229" s="1992">
        <f t="shared" si="3"/>
        <v>2014.04</v>
      </c>
      <c r="B229" s="1996"/>
      <c r="C229" s="3561"/>
      <c r="D229" s="1997"/>
      <c r="E229" s="1999">
        <v>533157</v>
      </c>
      <c r="F229" s="3563">
        <v>4280358061.809998</v>
      </c>
      <c r="G229" s="2002">
        <v>51779</v>
      </c>
      <c r="H229" s="2010"/>
      <c r="K229" s="2019"/>
    </row>
    <row r="230" spans="1:11" ht="12.75" customHeight="1">
      <c r="A230" s="1992">
        <f t="shared" si="3"/>
        <v>2014.05</v>
      </c>
      <c r="B230" s="1996"/>
      <c r="C230" s="3561"/>
      <c r="D230" s="1997"/>
      <c r="E230" s="1999">
        <v>536637</v>
      </c>
      <c r="F230" s="3563">
        <v>4633621042.4300013</v>
      </c>
      <c r="G230" s="2002">
        <v>51974</v>
      </c>
      <c r="H230" s="2010"/>
      <c r="K230" s="2019"/>
    </row>
    <row r="231" spans="1:11" ht="12.75" customHeight="1">
      <c r="A231" s="1992">
        <f t="shared" si="3"/>
        <v>2014.06</v>
      </c>
      <c r="B231" s="1996"/>
      <c r="C231" s="3561"/>
      <c r="D231" s="1997"/>
      <c r="E231" s="1999">
        <v>535423</v>
      </c>
      <c r="F231" s="3563">
        <v>4638506186.5199995</v>
      </c>
      <c r="G231" s="2002">
        <v>51789</v>
      </c>
      <c r="H231" s="2010"/>
      <c r="K231" s="2019"/>
    </row>
    <row r="232" spans="1:11" ht="12.75" customHeight="1">
      <c r="A232" s="1992">
        <f t="shared" si="3"/>
        <v>2014.07</v>
      </c>
      <c r="B232" s="1996"/>
      <c r="C232" s="3561"/>
      <c r="D232" s="1997"/>
      <c r="E232" s="1999">
        <v>536629</v>
      </c>
      <c r="F232" s="3563">
        <v>6759792911.5800009</v>
      </c>
      <c r="G232" s="2002">
        <v>51760</v>
      </c>
      <c r="H232" s="2010"/>
      <c r="K232" s="2019"/>
    </row>
    <row r="233" spans="1:11" ht="12.75" customHeight="1">
      <c r="A233" s="1992">
        <f t="shared" si="3"/>
        <v>2014.08</v>
      </c>
      <c r="B233" s="1996"/>
      <c r="C233" s="3561"/>
      <c r="D233" s="1997"/>
      <c r="E233" s="1999">
        <v>535933</v>
      </c>
      <c r="F233" s="3563">
        <v>4989854817.1400013</v>
      </c>
      <c r="G233" s="2002">
        <v>51678</v>
      </c>
      <c r="H233" s="2010"/>
      <c r="K233" s="2019"/>
    </row>
    <row r="234" spans="1:11" ht="12.75" customHeight="1">
      <c r="A234" s="1992">
        <f t="shared" si="3"/>
        <v>2014.09</v>
      </c>
      <c r="B234" s="1996"/>
      <c r="C234" s="3561"/>
      <c r="D234" s="1997"/>
      <c r="E234" s="1999">
        <v>535505</v>
      </c>
      <c r="F234" s="3563">
        <v>4928238136.6699991</v>
      </c>
      <c r="G234" s="2002">
        <v>51689</v>
      </c>
      <c r="H234" s="2010"/>
      <c r="K234" s="2019"/>
    </row>
    <row r="235" spans="1:11" ht="12.75" customHeight="1">
      <c r="A235" s="1992">
        <f t="shared" si="3"/>
        <v>2014.1</v>
      </c>
      <c r="B235" s="1996"/>
      <c r="C235" s="3561"/>
      <c r="D235" s="1997"/>
      <c r="E235" s="1999">
        <v>537636</v>
      </c>
      <c r="F235" s="3563">
        <v>5095107255.4399986</v>
      </c>
      <c r="G235" s="2002">
        <v>51578</v>
      </c>
      <c r="H235" s="2010"/>
      <c r="K235" s="2019"/>
    </row>
    <row r="236" spans="1:11" ht="12.75" customHeight="1">
      <c r="A236" s="1992">
        <f t="shared" si="3"/>
        <v>2014.11</v>
      </c>
      <c r="B236" s="1996"/>
      <c r="C236" s="3561"/>
      <c r="D236" s="1997"/>
      <c r="E236" s="1999">
        <v>539926</v>
      </c>
      <c r="F236" s="3563">
        <v>5324485140.6499949</v>
      </c>
      <c r="G236" s="2002">
        <v>51540</v>
      </c>
      <c r="H236" s="2010"/>
      <c r="K236" s="2019"/>
    </row>
    <row r="237" spans="1:11" ht="12.75" customHeight="1">
      <c r="A237" s="1992">
        <f t="shared" si="3"/>
        <v>2014.12</v>
      </c>
      <c r="B237" s="1996"/>
      <c r="C237" s="3561"/>
      <c r="D237" s="1997"/>
      <c r="E237" s="1999">
        <v>543189</v>
      </c>
      <c r="F237" s="3563">
        <v>5347832326.4399929</v>
      </c>
      <c r="G237" s="2002">
        <v>51674</v>
      </c>
      <c r="H237" s="2010"/>
      <c r="K237" s="2019"/>
    </row>
    <row r="238" spans="1:11" ht="12.75" customHeight="1">
      <c r="A238" s="1992">
        <f t="shared" si="3"/>
        <v>2015.01</v>
      </c>
      <c r="B238" s="2000">
        <v>580216</v>
      </c>
      <c r="C238" s="3562">
        <v>9093241468.4799938</v>
      </c>
      <c r="D238" s="2000">
        <v>53523</v>
      </c>
      <c r="E238" s="1999">
        <v>540144</v>
      </c>
      <c r="F238" s="3563">
        <v>8062882623.9300041</v>
      </c>
      <c r="G238" s="2002">
        <v>51690</v>
      </c>
      <c r="H238" s="2011">
        <v>39806</v>
      </c>
      <c r="I238" s="2019"/>
      <c r="J238" s="2019"/>
      <c r="K238" s="2019"/>
    </row>
    <row r="239" spans="1:11" ht="12.75" customHeight="1">
      <c r="A239" s="1992">
        <f t="shared" si="3"/>
        <v>2015.02</v>
      </c>
      <c r="B239" s="2001">
        <v>574153</v>
      </c>
      <c r="C239" s="3563">
        <v>6519155257.29</v>
      </c>
      <c r="D239" s="2001">
        <v>53113</v>
      </c>
      <c r="E239" s="1999">
        <v>535093</v>
      </c>
      <c r="F239" s="3563">
        <v>5708302457.6900053</v>
      </c>
      <c r="G239" s="2002">
        <v>51283</v>
      </c>
      <c r="H239" s="2012">
        <v>40164</v>
      </c>
      <c r="I239" s="2019"/>
      <c r="J239" s="2019"/>
      <c r="K239" s="2019"/>
    </row>
    <row r="240" spans="1:11" ht="12.75" customHeight="1">
      <c r="A240" s="1992">
        <f t="shared" si="3"/>
        <v>2015.03</v>
      </c>
      <c r="B240" s="2001">
        <v>572055</v>
      </c>
      <c r="C240" s="3563">
        <v>6326331509.5399914</v>
      </c>
      <c r="D240" s="2001">
        <v>52931</v>
      </c>
      <c r="E240" s="1999">
        <v>533709</v>
      </c>
      <c r="F240" s="3563">
        <v>5594403436.9399939</v>
      </c>
      <c r="G240" s="2002">
        <v>51100</v>
      </c>
      <c r="H240" s="2012">
        <v>40128</v>
      </c>
      <c r="I240" s="2019"/>
      <c r="J240" s="2019"/>
      <c r="K240" s="2019"/>
    </row>
    <row r="241" spans="1:11" ht="12.75" customHeight="1">
      <c r="A241" s="1992">
        <f t="shared" si="3"/>
        <v>2015.04</v>
      </c>
      <c r="B241" s="2001">
        <v>578850</v>
      </c>
      <c r="C241" s="3563">
        <v>6579900593.3499994</v>
      </c>
      <c r="D241" s="2001">
        <v>53202</v>
      </c>
      <c r="E241" s="1999">
        <v>541597</v>
      </c>
      <c r="F241" s="3563">
        <v>5760385843.6899958</v>
      </c>
      <c r="G241" s="2002">
        <v>51374</v>
      </c>
      <c r="H241" s="2012">
        <v>40952</v>
      </c>
      <c r="I241" s="2019"/>
      <c r="J241" s="2019"/>
      <c r="K241" s="2019"/>
    </row>
    <row r="242" spans="1:11" ht="12.75" customHeight="1">
      <c r="A242" s="1992">
        <f t="shared" si="3"/>
        <v>2015.05</v>
      </c>
      <c r="B242" s="2001">
        <v>584851</v>
      </c>
      <c r="C242" s="3563">
        <v>6790774894.8799934</v>
      </c>
      <c r="D242" s="2001">
        <v>53395</v>
      </c>
      <c r="E242" s="1999">
        <v>546625</v>
      </c>
      <c r="F242" s="3563">
        <v>6050892740.6899977</v>
      </c>
      <c r="G242" s="2002">
        <v>51549</v>
      </c>
      <c r="H242" s="2015">
        <f>(H241+H243)/2</f>
        <v>41471.5</v>
      </c>
      <c r="I242" s="2019"/>
      <c r="J242" s="2019"/>
      <c r="K242" s="2019"/>
    </row>
    <row r="243" spans="1:11" ht="12.75" customHeight="1">
      <c r="A243" s="1992">
        <f t="shared" si="3"/>
        <v>2015.06</v>
      </c>
      <c r="B243" s="2001">
        <v>581222</v>
      </c>
      <c r="C243" s="3563">
        <v>6992786438.8600035</v>
      </c>
      <c r="D243" s="2001">
        <v>53283</v>
      </c>
      <c r="E243" s="1999">
        <v>546300</v>
      </c>
      <c r="F243" s="3563">
        <v>6263320403.5200005</v>
      </c>
      <c r="G243" s="2002">
        <v>51463</v>
      </c>
      <c r="H243" s="2012">
        <v>41991</v>
      </c>
      <c r="I243" s="2019"/>
      <c r="J243" s="2019"/>
      <c r="K243" s="2019"/>
    </row>
    <row r="244" spans="1:11" ht="12.75" customHeight="1">
      <c r="A244" s="1992">
        <f t="shared" si="3"/>
        <v>2015.07</v>
      </c>
      <c r="B244" s="2001">
        <v>588389</v>
      </c>
      <c r="C244" s="3563">
        <v>10670563178.720003</v>
      </c>
      <c r="D244" s="2001">
        <v>53274</v>
      </c>
      <c r="E244" s="1999">
        <v>551119</v>
      </c>
      <c r="F244" s="3563">
        <v>9319520409.0199947</v>
      </c>
      <c r="G244" s="2002">
        <v>51453</v>
      </c>
      <c r="H244" s="2012">
        <v>42565</v>
      </c>
      <c r="I244" s="2019"/>
      <c r="J244" s="2019"/>
      <c r="K244" s="2019"/>
    </row>
    <row r="245" spans="1:11" ht="12.75" customHeight="1">
      <c r="A245" s="1992">
        <f t="shared" si="3"/>
        <v>2015.08</v>
      </c>
      <c r="B245" s="2001">
        <v>583632</v>
      </c>
      <c r="C245" s="3563">
        <v>7738180572.8799934</v>
      </c>
      <c r="D245" s="2001">
        <v>53123</v>
      </c>
      <c r="E245" s="1999">
        <v>548633</v>
      </c>
      <c r="F245" s="3563">
        <v>6844163194.0900021</v>
      </c>
      <c r="G245" s="2002">
        <v>51289</v>
      </c>
      <c r="H245" s="2012">
        <v>42767</v>
      </c>
      <c r="I245" s="2019"/>
      <c r="J245" s="2019"/>
      <c r="K245" s="2019"/>
    </row>
    <row r="246" spans="1:11" ht="12.75" customHeight="1">
      <c r="A246" s="1992">
        <f t="shared" si="3"/>
        <v>2015.09</v>
      </c>
      <c r="B246" s="2001">
        <v>587021</v>
      </c>
      <c r="C246" s="3563">
        <v>7595610871.7000008</v>
      </c>
      <c r="D246" s="2001">
        <v>53039</v>
      </c>
      <c r="E246" s="1999">
        <v>547983</v>
      </c>
      <c r="F246" s="3563">
        <v>6714060750.1400042</v>
      </c>
      <c r="G246" s="2002">
        <v>51212</v>
      </c>
      <c r="H246" s="2012">
        <v>42840</v>
      </c>
      <c r="I246" s="2019"/>
      <c r="J246" s="2019"/>
      <c r="K246" s="2019"/>
    </row>
    <row r="247" spans="1:11" ht="12.75" customHeight="1">
      <c r="A247" s="1992">
        <f t="shared" si="3"/>
        <v>2015.1</v>
      </c>
      <c r="B247" s="2001">
        <v>583988</v>
      </c>
      <c r="C247" s="3563">
        <v>7830945244.9699974</v>
      </c>
      <c r="D247" s="2001">
        <v>53090</v>
      </c>
      <c r="E247" s="1999">
        <v>548475</v>
      </c>
      <c r="F247" s="3563">
        <v>6954386476.5600014</v>
      </c>
      <c r="G247" s="2002">
        <v>51254</v>
      </c>
      <c r="H247" s="2012">
        <v>43029</v>
      </c>
      <c r="I247" s="2019"/>
      <c r="J247" s="2019"/>
      <c r="K247" s="2019"/>
    </row>
    <row r="248" spans="1:11" ht="12.75" customHeight="1">
      <c r="A248" s="1992">
        <f t="shared" si="3"/>
        <v>2015.11</v>
      </c>
      <c r="B248" s="2001">
        <v>589269</v>
      </c>
      <c r="C248" s="3563">
        <v>7960856187.710001</v>
      </c>
      <c r="D248" s="2001">
        <v>53205</v>
      </c>
      <c r="E248" s="1999">
        <v>551720</v>
      </c>
      <c r="F248" s="3563">
        <v>7134317585.530014</v>
      </c>
      <c r="G248" s="2002">
        <v>51350</v>
      </c>
      <c r="H248" s="2012">
        <v>43355</v>
      </c>
      <c r="I248" s="2019"/>
      <c r="J248" s="2019"/>
      <c r="K248" s="2019"/>
    </row>
    <row r="249" spans="1:11" ht="12.75" customHeight="1">
      <c r="A249" s="1992">
        <f t="shared" si="3"/>
        <v>2015.12</v>
      </c>
      <c r="B249" s="2001">
        <v>589928</v>
      </c>
      <c r="C249" s="3563">
        <v>8098681484.6800098</v>
      </c>
      <c r="D249" s="2001">
        <v>53298</v>
      </c>
      <c r="E249" s="1999">
        <v>552060</v>
      </c>
      <c r="F249" s="3563">
        <v>7193957382.6799927</v>
      </c>
      <c r="G249" s="2002">
        <v>51426</v>
      </c>
      <c r="H249" s="2012">
        <v>43356</v>
      </c>
      <c r="I249" s="2019"/>
      <c r="J249" s="2019"/>
      <c r="K249" s="2019"/>
    </row>
    <row r="250" spans="1:11" ht="12.75" customHeight="1">
      <c r="A250" s="1992">
        <f t="shared" si="3"/>
        <v>2016.01</v>
      </c>
      <c r="B250" s="2001">
        <v>586532</v>
      </c>
      <c r="C250" s="3563">
        <v>12265546116.939983</v>
      </c>
      <c r="D250" s="2001">
        <v>53340</v>
      </c>
      <c r="E250" s="1999">
        <v>551373</v>
      </c>
      <c r="F250" s="3563">
        <v>10842512593.190001</v>
      </c>
      <c r="G250" s="2002">
        <v>51472</v>
      </c>
      <c r="H250" s="2012">
        <v>43569</v>
      </c>
      <c r="I250" s="2019"/>
      <c r="J250" s="2019"/>
      <c r="K250" s="2019"/>
    </row>
    <row r="251" spans="1:11" ht="12.75" customHeight="1">
      <c r="A251" s="1992">
        <f t="shared" si="3"/>
        <v>2016.02</v>
      </c>
      <c r="B251" s="2001">
        <v>579647</v>
      </c>
      <c r="C251" s="3563">
        <v>8918812598.8000011</v>
      </c>
      <c r="D251" s="2001">
        <v>52908</v>
      </c>
      <c r="E251" s="1999">
        <v>544614</v>
      </c>
      <c r="F251" s="3563">
        <v>7716509759.0099983</v>
      </c>
      <c r="G251" s="2002">
        <v>51044</v>
      </c>
      <c r="H251" s="2012">
        <v>43447</v>
      </c>
      <c r="I251" s="2019"/>
      <c r="J251" s="2019"/>
      <c r="K251" s="2019"/>
    </row>
    <row r="252" spans="1:11" ht="12.75" customHeight="1">
      <c r="A252" s="1992">
        <f t="shared" si="3"/>
        <v>2016.03</v>
      </c>
      <c r="B252" s="2001">
        <v>577648</v>
      </c>
      <c r="C252" s="3563">
        <v>8628453645.5399952</v>
      </c>
      <c r="D252" s="2001">
        <v>52781</v>
      </c>
      <c r="E252" s="1999">
        <v>542008</v>
      </c>
      <c r="F252" s="3563">
        <v>7628793978.6299925</v>
      </c>
      <c r="G252" s="2002">
        <v>50914</v>
      </c>
      <c r="H252" s="2012">
        <v>43504</v>
      </c>
      <c r="I252" s="2019"/>
      <c r="J252" s="2019"/>
      <c r="K252" s="2019"/>
    </row>
    <row r="253" spans="1:11" ht="12.75" customHeight="1">
      <c r="A253" s="1992">
        <f t="shared" si="3"/>
        <v>2016.04</v>
      </c>
      <c r="B253" s="2001">
        <v>582641</v>
      </c>
      <c r="C253" s="3563">
        <v>9023202885.2599983</v>
      </c>
      <c r="D253" s="2001">
        <v>53026</v>
      </c>
      <c r="E253" s="1999">
        <v>547764</v>
      </c>
      <c r="F253" s="3563">
        <v>7817137441.9199867</v>
      </c>
      <c r="G253" s="2002">
        <v>51140</v>
      </c>
      <c r="H253" s="2012">
        <v>43855</v>
      </c>
      <c r="I253" s="2019"/>
      <c r="J253" s="2019"/>
      <c r="K253" s="2019"/>
    </row>
    <row r="254" spans="1:11" ht="12.75" customHeight="1">
      <c r="A254" s="1992">
        <f t="shared" si="3"/>
        <v>2016.05</v>
      </c>
      <c r="B254" s="2001">
        <v>580435</v>
      </c>
      <c r="C254" s="3563">
        <v>9335136556.760004</v>
      </c>
      <c r="D254" s="2001">
        <v>52971</v>
      </c>
      <c r="E254" s="1999">
        <v>546085</v>
      </c>
      <c r="F254" s="3563">
        <v>8226614633.9400206</v>
      </c>
      <c r="G254" s="2002">
        <v>51089</v>
      </c>
      <c r="H254" s="2012">
        <v>44122</v>
      </c>
      <c r="I254" s="2019"/>
      <c r="J254" s="2019"/>
      <c r="K254" s="2019"/>
    </row>
    <row r="255" spans="1:11" ht="12.75" customHeight="1">
      <c r="A255" s="1992">
        <f t="shared" si="3"/>
        <v>2016.06</v>
      </c>
      <c r="B255" s="2001">
        <v>579988</v>
      </c>
      <c r="C255" s="3563">
        <v>9583725264.7899952</v>
      </c>
      <c r="D255" s="2001">
        <v>52915</v>
      </c>
      <c r="E255" s="1999">
        <v>546444</v>
      </c>
      <c r="F255" s="3563">
        <v>8434514869.5500002</v>
      </c>
      <c r="G255" s="2002">
        <v>51019</v>
      </c>
      <c r="H255" s="2012">
        <v>44273</v>
      </c>
      <c r="I255" s="2019"/>
      <c r="J255" s="2019"/>
      <c r="K255" s="2019"/>
    </row>
    <row r="256" spans="1:11" ht="12.75" customHeight="1">
      <c r="A256" s="1992">
        <f t="shared" si="3"/>
        <v>2016.07</v>
      </c>
      <c r="B256" s="2001">
        <v>579600</v>
      </c>
      <c r="C256" s="3563">
        <v>14026993043.060007</v>
      </c>
      <c r="D256" s="2001">
        <v>52712</v>
      </c>
      <c r="E256" s="1999">
        <v>545864</v>
      </c>
      <c r="F256" s="3563">
        <v>12281501092.180012</v>
      </c>
      <c r="G256" s="2002">
        <v>50814</v>
      </c>
      <c r="H256" s="2012">
        <v>44042</v>
      </c>
      <c r="I256" s="2019"/>
      <c r="J256" s="2019"/>
      <c r="K256" s="2019"/>
    </row>
    <row r="257" spans="1:11" ht="12.75" customHeight="1">
      <c r="A257" s="1992">
        <f t="shared" si="3"/>
        <v>2016.08</v>
      </c>
      <c r="B257" s="2001">
        <v>575864</v>
      </c>
      <c r="C257" s="3563">
        <v>10088295606.949999</v>
      </c>
      <c r="D257" s="2001">
        <v>52559</v>
      </c>
      <c r="E257" s="1999">
        <v>542064</v>
      </c>
      <c r="F257" s="3563">
        <v>8851668728.4400024</v>
      </c>
      <c r="G257" s="2002">
        <v>50651</v>
      </c>
      <c r="H257" s="2012">
        <v>44505</v>
      </c>
      <c r="I257" s="2019"/>
      <c r="J257" s="2019"/>
      <c r="K257" s="2019"/>
    </row>
    <row r="258" spans="1:11" ht="12.75" customHeight="1">
      <c r="A258" s="1992">
        <f t="shared" si="3"/>
        <v>2016.09</v>
      </c>
      <c r="B258" s="2001">
        <v>580439</v>
      </c>
      <c r="C258" s="3563">
        <v>10314961655.809999</v>
      </c>
      <c r="D258" s="2001">
        <v>52713</v>
      </c>
      <c r="E258" s="1999">
        <v>547139</v>
      </c>
      <c r="F258" s="3563">
        <v>9044328986.0200214</v>
      </c>
      <c r="G258" s="2002">
        <v>50793</v>
      </c>
      <c r="H258" s="2012">
        <v>45018</v>
      </c>
      <c r="I258" s="2019"/>
      <c r="J258" s="2019"/>
      <c r="K258" s="2019"/>
    </row>
    <row r="259" spans="1:11" ht="12.75" customHeight="1">
      <c r="A259" s="1992">
        <f t="shared" si="3"/>
        <v>2016.1</v>
      </c>
      <c r="B259" s="2001">
        <v>579958</v>
      </c>
      <c r="C259" s="3563">
        <v>10437042024.83</v>
      </c>
      <c r="D259" s="2001">
        <v>52707</v>
      </c>
      <c r="E259" s="1999">
        <v>546952</v>
      </c>
      <c r="F259" s="3563">
        <v>9175686261.1599979</v>
      </c>
      <c r="G259" s="2002">
        <v>50797</v>
      </c>
      <c r="H259" s="2012">
        <v>45234</v>
      </c>
      <c r="I259" s="2019"/>
      <c r="J259" s="2019"/>
      <c r="K259" s="2019"/>
    </row>
    <row r="260" spans="1:11" ht="12.75" customHeight="1">
      <c r="A260" s="1992">
        <f t="shared" si="3"/>
        <v>2016.11</v>
      </c>
      <c r="B260" s="2001">
        <v>583070</v>
      </c>
      <c r="C260" s="3563">
        <v>10911653197.300001</v>
      </c>
      <c r="D260" s="2001">
        <v>52680</v>
      </c>
      <c r="E260" s="1999">
        <v>549317</v>
      </c>
      <c r="F260" s="3563">
        <v>9639804461.7300186</v>
      </c>
      <c r="G260" s="2002">
        <v>50768</v>
      </c>
      <c r="H260" s="2012">
        <v>45281</v>
      </c>
      <c r="I260" s="2019"/>
      <c r="J260" s="2019"/>
      <c r="K260" s="2019"/>
    </row>
    <row r="261" spans="1:11" ht="12.75" customHeight="1">
      <c r="A261" s="1992">
        <f t="shared" si="3"/>
        <v>2016.12</v>
      </c>
      <c r="B261" s="2001">
        <v>586826</v>
      </c>
      <c r="C261" s="3563">
        <v>11151609149.130005</v>
      </c>
      <c r="D261" s="2001">
        <v>52736</v>
      </c>
      <c r="E261" s="1999">
        <v>552192</v>
      </c>
      <c r="F261" s="3563">
        <v>9793718659.8100224</v>
      </c>
      <c r="G261" s="2002">
        <v>50854</v>
      </c>
      <c r="H261" s="2012">
        <v>45314</v>
      </c>
      <c r="I261" s="2019"/>
      <c r="J261" s="2019"/>
      <c r="K261" s="2019"/>
    </row>
    <row r="262" spans="1:11" ht="12.75" customHeight="1">
      <c r="A262" s="1992">
        <f t="shared" si="3"/>
        <v>2017.01</v>
      </c>
      <c r="B262" s="2001">
        <v>588718</v>
      </c>
      <c r="C262" s="3563">
        <v>17045237904.939978</v>
      </c>
      <c r="D262" s="2001">
        <v>52754</v>
      </c>
      <c r="E262" s="1999">
        <v>553380</v>
      </c>
      <c r="F262" s="3563">
        <v>15010527247.240002</v>
      </c>
      <c r="G262" s="2002">
        <v>50870</v>
      </c>
      <c r="H262" s="2012">
        <v>45292</v>
      </c>
      <c r="I262" s="2019"/>
      <c r="J262" s="2019"/>
      <c r="K262" s="2019"/>
    </row>
    <row r="263" spans="1:11" ht="12.75" customHeight="1">
      <c r="A263" s="1992">
        <f t="shared" si="3"/>
        <v>2017.02</v>
      </c>
      <c r="B263" s="2001">
        <v>582651</v>
      </c>
      <c r="C263" s="3563">
        <v>12546826984.959978</v>
      </c>
      <c r="D263" s="2001">
        <v>52370</v>
      </c>
      <c r="E263" s="1999">
        <v>547186</v>
      </c>
      <c r="F263" s="3563">
        <v>10954676489.209997</v>
      </c>
      <c r="G263" s="2002">
        <v>50489</v>
      </c>
      <c r="H263" s="2012">
        <v>45249</v>
      </c>
      <c r="I263" s="2019"/>
      <c r="J263" s="2019"/>
      <c r="K263" s="2019"/>
    </row>
    <row r="264" spans="1:11" ht="12.75" customHeight="1">
      <c r="A264" s="1992">
        <f t="shared" si="3"/>
        <v>2017.03</v>
      </c>
      <c r="B264" s="2001">
        <v>583320</v>
      </c>
      <c r="C264" s="3563">
        <v>11925044649.970001</v>
      </c>
      <c r="D264" s="2001">
        <v>52218</v>
      </c>
      <c r="E264" s="1999">
        <v>547446</v>
      </c>
      <c r="F264" s="3563">
        <v>10406297307.480003</v>
      </c>
      <c r="G264" s="2002">
        <v>50332</v>
      </c>
      <c r="H264" s="2012">
        <v>45431</v>
      </c>
      <c r="I264" s="2019"/>
      <c r="J264" s="2019"/>
      <c r="K264" s="2019"/>
    </row>
    <row r="265" spans="1:11" ht="12.75" customHeight="1">
      <c r="A265" s="1992">
        <f t="shared" si="3"/>
        <v>2017.04</v>
      </c>
      <c r="B265" s="2001">
        <v>588844</v>
      </c>
      <c r="C265" s="3563">
        <v>12456632908.98</v>
      </c>
      <c r="D265" s="2001">
        <v>52424</v>
      </c>
      <c r="E265" s="1999">
        <v>553559</v>
      </c>
      <c r="F265" s="3563">
        <v>10650616996.940001</v>
      </c>
      <c r="G265" s="2002">
        <v>50524</v>
      </c>
      <c r="H265" s="2012">
        <v>45762</v>
      </c>
      <c r="I265" s="2019"/>
      <c r="J265" s="2019"/>
      <c r="K265" s="2019"/>
    </row>
    <row r="266" spans="1:11" ht="12.75" customHeight="1">
      <c r="A266" s="1992">
        <f t="shared" si="3"/>
        <v>2017.05</v>
      </c>
      <c r="B266" s="2001">
        <v>585188</v>
      </c>
      <c r="C266" s="3563">
        <v>12339570573.329998</v>
      </c>
      <c r="D266" s="2001">
        <v>52232</v>
      </c>
      <c r="E266" s="1999">
        <v>552749</v>
      </c>
      <c r="F266" s="3563">
        <v>10802136275.630001</v>
      </c>
      <c r="G266" s="2002">
        <v>50622</v>
      </c>
      <c r="H266" s="2012">
        <v>46158</v>
      </c>
      <c r="I266" s="2019"/>
      <c r="J266" s="2019"/>
      <c r="K266" s="2019"/>
    </row>
    <row r="267" spans="1:11" ht="12.75" customHeight="1">
      <c r="A267" s="1992">
        <f t="shared" si="3"/>
        <v>2017.06</v>
      </c>
      <c r="B267" s="2001">
        <v>590387</v>
      </c>
      <c r="C267" s="3563">
        <v>12908615066.580029</v>
      </c>
      <c r="D267" s="2001">
        <v>52595</v>
      </c>
      <c r="E267" s="1999">
        <v>555977</v>
      </c>
      <c r="F267" s="3563">
        <v>11316280157.470003</v>
      </c>
      <c r="G267" s="2002">
        <v>50753</v>
      </c>
      <c r="H267" s="2012">
        <v>46417</v>
      </c>
      <c r="I267" s="2019"/>
      <c r="J267" s="2019"/>
      <c r="K267" s="2019"/>
    </row>
    <row r="268" spans="1:11" ht="12.75" customHeight="1">
      <c r="A268" s="1992">
        <f t="shared" si="3"/>
        <v>2017.07</v>
      </c>
      <c r="B268" s="2001">
        <v>589562</v>
      </c>
      <c r="C268" s="3563">
        <v>18854693133.479954</v>
      </c>
      <c r="D268" s="2001">
        <v>52421</v>
      </c>
      <c r="E268" s="1999">
        <v>555895</v>
      </c>
      <c r="F268" s="3563">
        <v>16519905926.259983</v>
      </c>
      <c r="G268" s="2002">
        <v>50579</v>
      </c>
      <c r="H268" s="2012">
        <v>46636</v>
      </c>
      <c r="I268" s="2019"/>
      <c r="J268" s="2019"/>
      <c r="K268" s="2019"/>
    </row>
    <row r="269" spans="1:11" ht="12.75" customHeight="1">
      <c r="A269" s="1992">
        <f t="shared" si="3"/>
        <v>2017.08</v>
      </c>
      <c r="B269" s="2001">
        <v>586648</v>
      </c>
      <c r="C269" s="3563">
        <v>13514240715.380007</v>
      </c>
      <c r="D269" s="2001">
        <v>52441</v>
      </c>
      <c r="E269" s="1999">
        <v>552849</v>
      </c>
      <c r="F269" s="3563">
        <v>11873366025.190006</v>
      </c>
      <c r="G269" s="2002">
        <v>50580</v>
      </c>
      <c r="H269" s="2012">
        <v>46869</v>
      </c>
      <c r="I269" s="2019"/>
      <c r="J269" s="2019"/>
      <c r="K269" s="2019"/>
    </row>
    <row r="270" spans="1:11" ht="12.75" customHeight="1">
      <c r="A270" s="1992">
        <f t="shared" si="3"/>
        <v>2017.09</v>
      </c>
      <c r="B270" s="2001">
        <v>591882</v>
      </c>
      <c r="C270" s="3563">
        <v>13615516784.190018</v>
      </c>
      <c r="D270" s="2001">
        <v>52437</v>
      </c>
      <c r="E270" s="1999">
        <v>555642</v>
      </c>
      <c r="F270" s="3563">
        <v>11987184189.470001</v>
      </c>
      <c r="G270" s="2002">
        <v>50575</v>
      </c>
      <c r="H270" s="2012">
        <v>47303</v>
      </c>
      <c r="I270" s="2019"/>
      <c r="J270" s="2019"/>
      <c r="K270" s="2019"/>
    </row>
    <row r="271" spans="1:11" ht="12.75" customHeight="1">
      <c r="A271" s="1992">
        <f t="shared" si="3"/>
        <v>2017.1</v>
      </c>
      <c r="B271" s="2001">
        <v>591957</v>
      </c>
      <c r="C271" s="3563">
        <v>13773086326.180002</v>
      </c>
      <c r="D271" s="2001">
        <v>52591</v>
      </c>
      <c r="E271" s="1999">
        <v>557540</v>
      </c>
      <c r="F271" s="3563">
        <v>12139381586.569981</v>
      </c>
      <c r="G271" s="2002">
        <v>50703</v>
      </c>
      <c r="H271" s="2012">
        <v>47363</v>
      </c>
      <c r="I271" s="2019"/>
      <c r="J271" s="2019"/>
      <c r="K271" s="2019"/>
    </row>
    <row r="272" spans="1:11" ht="12.75" customHeight="1">
      <c r="A272" s="1992">
        <f t="shared" si="3"/>
        <v>2017.11</v>
      </c>
      <c r="B272" s="2001">
        <v>599113</v>
      </c>
      <c r="C272" s="3563">
        <v>14313426752.62001</v>
      </c>
      <c r="D272" s="2001">
        <v>52659</v>
      </c>
      <c r="E272" s="1999">
        <v>564259</v>
      </c>
      <c r="F272" s="3563">
        <v>12701737041.630005</v>
      </c>
      <c r="G272" s="2002">
        <v>50785</v>
      </c>
      <c r="H272" s="2012">
        <v>47555</v>
      </c>
      <c r="I272" s="2019"/>
      <c r="J272" s="2019"/>
      <c r="K272" s="2019"/>
    </row>
    <row r="273" spans="1:11" ht="12.75" customHeight="1">
      <c r="A273" s="1992">
        <f t="shared" si="3"/>
        <v>2017.12</v>
      </c>
      <c r="B273" s="2001">
        <v>598752</v>
      </c>
      <c r="C273" s="3563">
        <v>14383342811.440006</v>
      </c>
      <c r="D273" s="2001">
        <v>52742</v>
      </c>
      <c r="E273" s="1999">
        <v>565123</v>
      </c>
      <c r="F273" s="3563">
        <v>12632664036.419996</v>
      </c>
      <c r="G273" s="2002">
        <v>50889</v>
      </c>
      <c r="H273" s="2012">
        <v>47481</v>
      </c>
      <c r="I273" s="2019"/>
      <c r="J273" s="2019"/>
      <c r="K273" s="2019"/>
    </row>
    <row r="274" spans="1:11" ht="12.75" customHeight="1">
      <c r="A274" s="1992">
        <f t="shared" si="3"/>
        <v>2018.01</v>
      </c>
      <c r="B274" s="2001">
        <v>599976</v>
      </c>
      <c r="C274" s="3563">
        <v>21373099550.630009</v>
      </c>
      <c r="D274" s="2001">
        <v>52609</v>
      </c>
      <c r="E274" s="1999">
        <v>565695</v>
      </c>
      <c r="F274" s="3563">
        <v>18794315334.540005</v>
      </c>
      <c r="G274" s="2002">
        <v>50757</v>
      </c>
      <c r="H274" s="2012">
        <v>48180</v>
      </c>
      <c r="I274" s="2019"/>
      <c r="J274" s="2019"/>
      <c r="K274" s="2019"/>
    </row>
    <row r="275" spans="1:11" ht="12.75" customHeight="1">
      <c r="A275" s="1992">
        <f t="shared" si="3"/>
        <v>2018.02</v>
      </c>
      <c r="B275" s="2001">
        <v>593065</v>
      </c>
      <c r="C275" s="3563">
        <v>15826678002.929996</v>
      </c>
      <c r="D275" s="2001">
        <v>52244</v>
      </c>
      <c r="E275" s="1999">
        <v>560179</v>
      </c>
      <c r="F275" s="3563">
        <v>13802912112.500002</v>
      </c>
      <c r="G275" s="2002">
        <v>50432</v>
      </c>
      <c r="H275" s="2012">
        <v>47995</v>
      </c>
      <c r="I275" s="2019"/>
      <c r="J275" s="2019"/>
      <c r="K275" s="2019"/>
    </row>
    <row r="276" spans="1:11" ht="12.75" customHeight="1">
      <c r="A276" s="1992">
        <f t="shared" si="3"/>
        <v>2018.03</v>
      </c>
      <c r="B276" s="2001">
        <v>592364</v>
      </c>
      <c r="C276" s="3563">
        <v>14912373227.859987</v>
      </c>
      <c r="D276" s="2001">
        <v>52130</v>
      </c>
      <c r="E276" s="1999">
        <v>558826</v>
      </c>
      <c r="F276" s="3563">
        <v>13141804825.879984</v>
      </c>
      <c r="G276" s="2002">
        <v>50308</v>
      </c>
      <c r="H276" s="2012">
        <v>48176</v>
      </c>
      <c r="I276" s="2019"/>
      <c r="J276" s="2019"/>
      <c r="K276" s="2019"/>
    </row>
    <row r="277" spans="1:11" ht="12.75" customHeight="1">
      <c r="A277" s="1992">
        <f t="shared" si="3"/>
        <v>2018.04</v>
      </c>
      <c r="B277" s="2001">
        <v>597126</v>
      </c>
      <c r="C277" s="3563">
        <v>15470526673.750006</v>
      </c>
      <c r="D277" s="2001">
        <v>52347</v>
      </c>
      <c r="E277" s="1999">
        <v>564388</v>
      </c>
      <c r="F277" s="3563">
        <v>13474030489.439976</v>
      </c>
      <c r="G277" s="2002">
        <v>50514</v>
      </c>
      <c r="H277" s="2012">
        <v>48605</v>
      </c>
      <c r="I277" s="2019"/>
      <c r="J277" s="2019"/>
      <c r="K277" s="2019"/>
    </row>
    <row r="278" spans="1:11" ht="12.75" customHeight="1">
      <c r="A278" s="1992">
        <f t="shared" si="3"/>
        <v>2018.05</v>
      </c>
      <c r="B278" s="2001">
        <v>596090</v>
      </c>
      <c r="C278" s="3563">
        <v>15711706492.699993</v>
      </c>
      <c r="D278" s="2001">
        <v>52408</v>
      </c>
      <c r="E278" s="1999">
        <v>564390</v>
      </c>
      <c r="F278" s="3563">
        <v>13849177982.360012</v>
      </c>
      <c r="G278" s="2002">
        <v>50549</v>
      </c>
      <c r="H278" s="2012">
        <v>48987</v>
      </c>
      <c r="I278" s="2019"/>
      <c r="J278" s="2019"/>
      <c r="K278" s="2019"/>
    </row>
    <row r="279" spans="1:11" ht="12.75" customHeight="1">
      <c r="A279" s="1992">
        <f t="shared" ref="A279:A342" si="4">A267+1</f>
        <v>2018.06</v>
      </c>
      <c r="B279" s="2001">
        <v>595440</v>
      </c>
      <c r="C279" s="3563">
        <v>16232048409.749996</v>
      </c>
      <c r="D279" s="2001">
        <v>52256</v>
      </c>
      <c r="E279" s="1999">
        <v>562585</v>
      </c>
      <c r="F279" s="3563">
        <v>14298162513.489992</v>
      </c>
      <c r="G279" s="2002">
        <v>50392</v>
      </c>
      <c r="H279" s="2012">
        <v>49378</v>
      </c>
      <c r="I279" s="2019"/>
      <c r="J279" s="2019"/>
      <c r="K279" s="2019"/>
    </row>
    <row r="280" spans="1:11" ht="12.75" customHeight="1">
      <c r="A280" s="1992">
        <f t="shared" si="4"/>
        <v>2018.07</v>
      </c>
      <c r="B280" s="2001">
        <v>593000</v>
      </c>
      <c r="C280" s="3563">
        <v>23206218559.480003</v>
      </c>
      <c r="D280" s="2001">
        <v>52105</v>
      </c>
      <c r="E280" s="1999">
        <v>560475</v>
      </c>
      <c r="F280" s="3563">
        <v>20470658728.440025</v>
      </c>
      <c r="G280" s="2002">
        <v>50227</v>
      </c>
      <c r="H280" s="2012">
        <v>49719</v>
      </c>
      <c r="I280" s="2019"/>
      <c r="J280" s="2019"/>
      <c r="K280" s="2019"/>
    </row>
    <row r="281" spans="1:11" ht="12.75" customHeight="1">
      <c r="A281" s="1992">
        <f t="shared" si="4"/>
        <v>2018.08</v>
      </c>
      <c r="B281" s="2001">
        <v>590007</v>
      </c>
      <c r="C281" s="3563">
        <v>16417305827.44001</v>
      </c>
      <c r="D281" s="2001">
        <v>51947</v>
      </c>
      <c r="E281" s="1999">
        <v>557337</v>
      </c>
      <c r="F281" s="3563">
        <v>14477389403.959995</v>
      </c>
      <c r="G281" s="2002">
        <v>50078</v>
      </c>
      <c r="H281" s="2012">
        <v>50096</v>
      </c>
      <c r="I281" s="2019"/>
      <c r="J281" s="2019"/>
      <c r="K281" s="2019"/>
    </row>
    <row r="282" spans="1:11" ht="12.75" customHeight="1">
      <c r="A282" s="1992">
        <f t="shared" si="4"/>
        <v>2018.09</v>
      </c>
      <c r="B282" s="2001">
        <v>595430</v>
      </c>
      <c r="C282" s="3563">
        <v>16803687684.460014</v>
      </c>
      <c r="D282" s="2001">
        <v>51913</v>
      </c>
      <c r="E282" s="1999">
        <v>561417</v>
      </c>
      <c r="F282" s="3563">
        <v>14814939891.310017</v>
      </c>
      <c r="G282" s="2002">
        <v>50047</v>
      </c>
      <c r="H282" s="2012">
        <v>50463</v>
      </c>
      <c r="I282" s="2019"/>
      <c r="J282" s="2019"/>
      <c r="K282" s="2019"/>
    </row>
    <row r="283" spans="1:11" ht="12.75" customHeight="1">
      <c r="A283" s="1992">
        <f t="shared" si="4"/>
        <v>2018.1</v>
      </c>
      <c r="B283" s="2001">
        <v>591780</v>
      </c>
      <c r="C283" s="3563">
        <v>17133052257.089996</v>
      </c>
      <c r="D283" s="2001">
        <v>51712</v>
      </c>
      <c r="E283" s="1999">
        <v>559473</v>
      </c>
      <c r="F283" s="3563">
        <v>15124529039.020029</v>
      </c>
      <c r="G283" s="2002">
        <v>49844</v>
      </c>
      <c r="H283" s="2012">
        <v>50692</v>
      </c>
      <c r="I283" s="2019"/>
      <c r="J283" s="2019"/>
      <c r="K283" s="2019"/>
    </row>
    <row r="284" spans="1:11" ht="12.75" customHeight="1">
      <c r="A284" s="1992">
        <f t="shared" si="4"/>
        <v>2018.11</v>
      </c>
      <c r="B284" s="2001">
        <v>592799</v>
      </c>
      <c r="C284" s="3563">
        <v>18226515399.049995</v>
      </c>
      <c r="D284" s="2001">
        <v>51784</v>
      </c>
      <c r="E284" s="1999">
        <v>561013</v>
      </c>
      <c r="F284" s="3563">
        <v>16201234831.480009</v>
      </c>
      <c r="G284" s="2002">
        <v>49899</v>
      </c>
      <c r="H284" s="2012">
        <v>50888</v>
      </c>
      <c r="I284" s="2019"/>
      <c r="J284" s="2019"/>
      <c r="K284" s="2019"/>
    </row>
    <row r="285" spans="1:11" ht="12.75" customHeight="1">
      <c r="A285" s="1992">
        <f t="shared" si="4"/>
        <v>2018.12</v>
      </c>
      <c r="B285" s="2001">
        <v>591297</v>
      </c>
      <c r="C285" s="3563">
        <v>18934510981.95002</v>
      </c>
      <c r="D285" s="2001">
        <v>51777</v>
      </c>
      <c r="E285" s="1999">
        <v>559716</v>
      </c>
      <c r="F285" s="3563">
        <v>16670169487.890024</v>
      </c>
      <c r="G285" s="2002">
        <v>49914</v>
      </c>
      <c r="H285" s="2012">
        <v>50769</v>
      </c>
      <c r="I285" s="2019"/>
      <c r="J285" s="2019"/>
      <c r="K285" s="2019"/>
    </row>
    <row r="286" spans="1:11" ht="12.75" customHeight="1">
      <c r="A286" s="1992">
        <f t="shared" si="4"/>
        <v>2019.01</v>
      </c>
      <c r="B286" s="2001">
        <v>586189</v>
      </c>
      <c r="C286" s="3563">
        <v>27919574118.749992</v>
      </c>
      <c r="D286" s="2001">
        <v>51626</v>
      </c>
      <c r="E286" s="1999">
        <v>553524</v>
      </c>
      <c r="F286" s="3563">
        <v>24533708599.299984</v>
      </c>
      <c r="G286" s="2002">
        <v>49773</v>
      </c>
      <c r="H286" s="2012">
        <v>51373</v>
      </c>
      <c r="I286" s="2019"/>
      <c r="J286" s="2019"/>
      <c r="K286" s="2019"/>
    </row>
    <row r="287" spans="1:11" ht="12.75" customHeight="1">
      <c r="A287" s="1992">
        <f t="shared" si="4"/>
        <v>2019.02</v>
      </c>
      <c r="B287" s="2001">
        <v>583490</v>
      </c>
      <c r="C287" s="3563">
        <v>21458676875.389988</v>
      </c>
      <c r="D287" s="2001">
        <v>51247</v>
      </c>
      <c r="E287" s="1999">
        <v>548088</v>
      </c>
      <c r="F287" s="3563">
        <v>18465391063.650002</v>
      </c>
      <c r="G287" s="2002">
        <v>49419</v>
      </c>
      <c r="H287" s="2012">
        <v>51312</v>
      </c>
      <c r="I287" s="2019"/>
      <c r="J287" s="2019"/>
      <c r="K287" s="2019"/>
    </row>
    <row r="288" spans="1:11" ht="12.75" customHeight="1">
      <c r="A288" s="1992">
        <f t="shared" si="4"/>
        <v>2019.03</v>
      </c>
      <c r="B288" s="2001">
        <v>583850</v>
      </c>
      <c r="C288" s="3563">
        <v>20162977588.069984</v>
      </c>
      <c r="D288" s="2001">
        <v>51022</v>
      </c>
      <c r="E288" s="1999">
        <v>548549</v>
      </c>
      <c r="F288" s="3563">
        <v>17583129367.479988</v>
      </c>
      <c r="G288" s="2002">
        <v>49195</v>
      </c>
      <c r="H288" s="2012">
        <v>51232</v>
      </c>
      <c r="I288" s="2019"/>
      <c r="J288" s="2019"/>
      <c r="K288" s="2019"/>
    </row>
    <row r="289" spans="1:11" ht="12.75" customHeight="1">
      <c r="A289" s="1992">
        <f t="shared" si="4"/>
        <v>2019.04</v>
      </c>
      <c r="B289" s="2001">
        <v>584463</v>
      </c>
      <c r="C289" s="3563">
        <v>21241814230.69001</v>
      </c>
      <c r="D289" s="2001">
        <v>51081</v>
      </c>
      <c r="E289" s="1999">
        <v>552168</v>
      </c>
      <c r="F289" s="3563">
        <v>18344536469.040005</v>
      </c>
      <c r="G289" s="2002">
        <v>49269</v>
      </c>
      <c r="H289" s="2012">
        <v>50477</v>
      </c>
      <c r="I289" s="2019"/>
      <c r="J289" s="2019"/>
      <c r="K289" s="2019"/>
    </row>
    <row r="290" spans="1:11" ht="12.75" customHeight="1">
      <c r="A290" s="1992">
        <f t="shared" si="4"/>
        <v>2019.05</v>
      </c>
      <c r="B290" s="2001">
        <v>588018</v>
      </c>
      <c r="C290" s="3563">
        <v>22140198368.899998</v>
      </c>
      <c r="D290" s="2001">
        <v>51069</v>
      </c>
      <c r="E290" s="1999">
        <v>551463</v>
      </c>
      <c r="F290" s="3563">
        <v>19249155351.690033</v>
      </c>
      <c r="G290" s="2002">
        <v>49255</v>
      </c>
      <c r="H290" s="2012">
        <v>51816</v>
      </c>
      <c r="I290" s="2019"/>
      <c r="J290" s="2019"/>
      <c r="K290" s="2019"/>
    </row>
    <row r="291" spans="1:11" ht="12.75" customHeight="1">
      <c r="A291" s="1992">
        <f t="shared" si="4"/>
        <v>2019.06</v>
      </c>
      <c r="B291" s="2001">
        <v>585040</v>
      </c>
      <c r="C291" s="3563">
        <v>22766585067.539997</v>
      </c>
      <c r="D291" s="2001">
        <v>50918</v>
      </c>
      <c r="E291" s="1999">
        <v>549990</v>
      </c>
      <c r="F291" s="3563">
        <v>19941388423.470009</v>
      </c>
      <c r="G291" s="2002">
        <v>49111</v>
      </c>
      <c r="H291" s="2012">
        <v>52377</v>
      </c>
      <c r="I291" s="2019"/>
      <c r="J291" s="2019"/>
      <c r="K291" s="2019"/>
    </row>
    <row r="292" spans="1:11" ht="12.75" customHeight="1">
      <c r="A292" s="1992">
        <f t="shared" si="4"/>
        <v>2019.07</v>
      </c>
      <c r="B292" s="2001">
        <v>585728</v>
      </c>
      <c r="C292" s="3563">
        <v>33013250853.029964</v>
      </c>
      <c r="D292" s="2001">
        <v>50711</v>
      </c>
      <c r="E292" s="1999">
        <v>548962</v>
      </c>
      <c r="F292" s="3563">
        <v>28747481127.589977</v>
      </c>
      <c r="G292" s="2002">
        <v>48931</v>
      </c>
      <c r="H292" s="2012">
        <v>52467</v>
      </c>
      <c r="I292" s="2019"/>
      <c r="J292" s="2019"/>
      <c r="K292" s="2019"/>
    </row>
    <row r="293" spans="1:11" ht="12.75" customHeight="1">
      <c r="A293" s="1992">
        <f t="shared" si="4"/>
        <v>2019.08</v>
      </c>
      <c r="B293" s="2001">
        <v>580760</v>
      </c>
      <c r="C293" s="3563">
        <v>23902143469.009995</v>
      </c>
      <c r="D293" s="2001">
        <v>50611</v>
      </c>
      <c r="E293" s="1999">
        <v>546348</v>
      </c>
      <c r="F293" s="3563">
        <v>21094028596.45005</v>
      </c>
      <c r="G293" s="2002">
        <v>48833</v>
      </c>
      <c r="H293" s="2012">
        <v>52623</v>
      </c>
      <c r="I293" s="2019"/>
      <c r="J293" s="2019"/>
      <c r="K293" s="2019"/>
    </row>
    <row r="294" spans="1:11" ht="12.75" customHeight="1">
      <c r="A294" s="1992">
        <f t="shared" si="4"/>
        <v>2019.09</v>
      </c>
      <c r="B294" s="2001">
        <v>586695</v>
      </c>
      <c r="C294" s="3563">
        <v>24489327145.480026</v>
      </c>
      <c r="D294" s="2001">
        <v>50610</v>
      </c>
      <c r="E294" s="1999">
        <v>547224</v>
      </c>
      <c r="F294" s="3563">
        <v>21405020514.200001</v>
      </c>
      <c r="G294" s="2002">
        <v>48819</v>
      </c>
      <c r="H294" s="2012">
        <v>52757</v>
      </c>
      <c r="I294" s="2019"/>
      <c r="J294" s="2019"/>
      <c r="K294" s="2019"/>
    </row>
    <row r="295" spans="1:11" ht="12.75" customHeight="1">
      <c r="A295" s="1992">
        <f t="shared" si="4"/>
        <v>2019.1</v>
      </c>
      <c r="B295" s="2001">
        <v>581668</v>
      </c>
      <c r="C295" s="3563">
        <v>25003573153.829998</v>
      </c>
      <c r="D295" s="2001">
        <v>50542</v>
      </c>
      <c r="E295" s="1999">
        <v>546844</v>
      </c>
      <c r="F295" s="3563">
        <v>21929940359.670013</v>
      </c>
      <c r="G295" s="2002">
        <v>48755</v>
      </c>
      <c r="H295" s="2012">
        <v>52891</v>
      </c>
      <c r="I295" s="2019"/>
      <c r="J295" s="2019"/>
      <c r="K295" s="2019"/>
    </row>
    <row r="296" spans="1:11" ht="12.75" customHeight="1">
      <c r="A296" s="1992">
        <f t="shared" si="4"/>
        <v>2019.11</v>
      </c>
      <c r="B296" s="2001">
        <v>583928</v>
      </c>
      <c r="C296" s="3563">
        <v>26792587557.48</v>
      </c>
      <c r="D296" s="2001">
        <v>50519</v>
      </c>
      <c r="E296" s="1999">
        <v>547209</v>
      </c>
      <c r="F296" s="3563">
        <v>23521778645.539955</v>
      </c>
      <c r="G296" s="2002">
        <v>48744</v>
      </c>
      <c r="H296" s="2012">
        <v>52669</v>
      </c>
      <c r="I296" s="2019"/>
      <c r="J296" s="2019"/>
      <c r="K296" s="2019"/>
    </row>
    <row r="297" spans="1:11" ht="12.75" customHeight="1">
      <c r="A297" s="1992">
        <f t="shared" si="4"/>
        <v>2019.12</v>
      </c>
      <c r="B297" s="2001">
        <v>579966</v>
      </c>
      <c r="C297" s="3563">
        <v>26947537164.09</v>
      </c>
      <c r="D297" s="2001">
        <v>50424</v>
      </c>
      <c r="E297" s="1999">
        <v>546642</v>
      </c>
      <c r="F297" s="3563">
        <v>23563779081.860046</v>
      </c>
      <c r="G297" s="2002">
        <v>48658</v>
      </c>
      <c r="H297" s="2012">
        <v>52540</v>
      </c>
      <c r="I297" s="2019"/>
      <c r="J297" s="2019"/>
      <c r="K297" s="2019"/>
    </row>
    <row r="298" spans="1:11" ht="12.75" customHeight="1">
      <c r="A298" s="1992">
        <f t="shared" si="4"/>
        <v>2020.01</v>
      </c>
      <c r="B298" s="2001">
        <v>578426</v>
      </c>
      <c r="C298" s="3563">
        <v>40615583288.860023</v>
      </c>
      <c r="D298" s="2001">
        <v>50343</v>
      </c>
      <c r="E298" s="1999">
        <v>546024</v>
      </c>
      <c r="F298" s="3563">
        <v>35706295541.460007</v>
      </c>
      <c r="G298" s="2002">
        <v>48607</v>
      </c>
      <c r="H298" s="2012">
        <v>53778</v>
      </c>
      <c r="I298" s="2019"/>
      <c r="J298" s="2019"/>
      <c r="K298" s="2019"/>
    </row>
    <row r="299" spans="1:11" ht="12.75" customHeight="1">
      <c r="A299" s="1992">
        <f t="shared" si="4"/>
        <v>2020.02</v>
      </c>
      <c r="B299" s="2001">
        <v>570429</v>
      </c>
      <c r="C299" s="3563">
        <v>31489384653.41993</v>
      </c>
      <c r="D299" s="2001">
        <v>49885</v>
      </c>
      <c r="E299" s="1999">
        <v>538337</v>
      </c>
      <c r="F299" s="3563">
        <v>27354128802.019894</v>
      </c>
      <c r="G299" s="2002">
        <v>48164</v>
      </c>
      <c r="H299" s="2012">
        <v>53713</v>
      </c>
      <c r="I299" s="2019"/>
      <c r="J299" s="2019"/>
      <c r="K299" s="2019"/>
    </row>
    <row r="300" spans="1:11" ht="12.75" customHeight="1">
      <c r="A300" s="1992">
        <f t="shared" si="4"/>
        <v>2020.03</v>
      </c>
      <c r="B300" s="2001">
        <v>567910</v>
      </c>
      <c r="C300" s="3563">
        <v>30732288905.83004</v>
      </c>
      <c r="D300" s="2001">
        <v>49814</v>
      </c>
      <c r="E300" s="1999">
        <v>535585</v>
      </c>
      <c r="F300" s="3563">
        <v>26941433102.830009</v>
      </c>
      <c r="G300" s="2002">
        <v>48095</v>
      </c>
      <c r="H300" s="2012">
        <v>53558</v>
      </c>
      <c r="I300" s="2019"/>
      <c r="J300" s="2019"/>
      <c r="K300" s="2019"/>
    </row>
    <row r="301" spans="1:11" ht="12.75" customHeight="1">
      <c r="A301" s="1992">
        <f t="shared" si="4"/>
        <v>2020.04</v>
      </c>
      <c r="B301" s="2001">
        <v>569461</v>
      </c>
      <c r="C301" s="3563">
        <v>31123649993.929966</v>
      </c>
      <c r="D301" s="2001">
        <v>50095</v>
      </c>
      <c r="E301" s="1999">
        <v>536904</v>
      </c>
      <c r="F301" s="3563">
        <v>26941391262.240025</v>
      </c>
      <c r="G301" s="2002">
        <v>48376</v>
      </c>
      <c r="H301" s="2012">
        <v>53516</v>
      </c>
      <c r="I301" s="2019"/>
      <c r="J301" s="2019"/>
      <c r="K301" s="2019"/>
    </row>
    <row r="302" spans="1:11" ht="12.75" customHeight="1">
      <c r="A302" s="1992">
        <f t="shared" si="4"/>
        <v>2020.05</v>
      </c>
      <c r="B302" s="2001">
        <v>558870</v>
      </c>
      <c r="C302" s="3563">
        <v>29592712221.519993</v>
      </c>
      <c r="D302" s="2001">
        <v>49883</v>
      </c>
      <c r="E302" s="1999">
        <v>526836</v>
      </c>
      <c r="F302" s="3563">
        <v>25714667062.949986</v>
      </c>
      <c r="G302" s="2002">
        <v>48175</v>
      </c>
      <c r="H302" s="2012">
        <v>53431</v>
      </c>
      <c r="I302" s="2019"/>
      <c r="J302" s="2019"/>
      <c r="K302" s="2019"/>
    </row>
    <row r="303" spans="1:11" ht="12.75" customHeight="1">
      <c r="A303" s="1992">
        <f t="shared" si="4"/>
        <v>2020.06</v>
      </c>
      <c r="B303" s="2001">
        <v>555791</v>
      </c>
      <c r="C303" s="3563">
        <v>30046080521.569992</v>
      </c>
      <c r="D303" s="2001">
        <v>49745</v>
      </c>
      <c r="E303" s="1999">
        <v>523824</v>
      </c>
      <c r="F303" s="3563">
        <v>26056158801.440022</v>
      </c>
      <c r="G303" s="2002">
        <v>48032</v>
      </c>
      <c r="H303" s="2012">
        <v>53275</v>
      </c>
      <c r="I303" s="2019"/>
      <c r="J303" s="2019"/>
      <c r="K303" s="2019"/>
    </row>
    <row r="304" spans="1:11" ht="12.75" customHeight="1">
      <c r="A304" s="1992">
        <f t="shared" si="4"/>
        <v>2020.07</v>
      </c>
      <c r="B304" s="2001">
        <v>556189</v>
      </c>
      <c r="C304" s="3563">
        <v>45992974786.870018</v>
      </c>
      <c r="D304" s="2001">
        <v>49593</v>
      </c>
      <c r="E304" s="1999">
        <v>524356</v>
      </c>
      <c r="F304" s="3563">
        <v>40412048191.549973</v>
      </c>
      <c r="G304" s="2002">
        <v>47886</v>
      </c>
      <c r="H304" s="2012">
        <v>53254</v>
      </c>
      <c r="I304" s="2019"/>
      <c r="J304" s="2019"/>
      <c r="K304" s="2019"/>
    </row>
    <row r="305" spans="1:11" ht="12.75" customHeight="1">
      <c r="A305" s="1992">
        <f t="shared" si="4"/>
        <v>2020.08</v>
      </c>
      <c r="B305" s="2001">
        <v>556258</v>
      </c>
      <c r="C305" s="3563">
        <v>32047333486.399994</v>
      </c>
      <c r="D305" s="2001">
        <v>49399</v>
      </c>
      <c r="E305" s="1999">
        <v>524152</v>
      </c>
      <c r="F305" s="3563">
        <v>27766923130.780014</v>
      </c>
      <c r="G305" s="2002">
        <v>47685</v>
      </c>
      <c r="H305" s="2012">
        <v>53230</v>
      </c>
      <c r="I305" s="2019"/>
      <c r="J305" s="2019"/>
      <c r="K305" s="2019"/>
    </row>
    <row r="306" spans="1:11" ht="12.75" customHeight="1">
      <c r="A306" s="1992">
        <f t="shared" si="4"/>
        <v>2020.09</v>
      </c>
      <c r="B306" s="2001">
        <v>558463</v>
      </c>
      <c r="C306" s="3563">
        <v>32246298817.769989</v>
      </c>
      <c r="D306" s="2001">
        <v>49411</v>
      </c>
      <c r="E306" s="1999">
        <v>526805</v>
      </c>
      <c r="F306" s="3563">
        <v>28251491253.949978</v>
      </c>
      <c r="G306" s="2002">
        <v>47681</v>
      </c>
      <c r="H306" s="2012">
        <v>53107</v>
      </c>
      <c r="I306" s="2019"/>
      <c r="J306" s="2019"/>
      <c r="K306" s="2019"/>
    </row>
    <row r="307" spans="1:11" ht="12.75" customHeight="1">
      <c r="A307" s="1992">
        <f t="shared" si="4"/>
        <v>2020.1</v>
      </c>
      <c r="B307" s="2001">
        <v>561129</v>
      </c>
      <c r="C307" s="3563">
        <v>33161840730.469986</v>
      </c>
      <c r="D307" s="2001">
        <v>49394</v>
      </c>
      <c r="E307" s="1999">
        <v>529115</v>
      </c>
      <c r="F307" s="3563">
        <v>29072244865.299988</v>
      </c>
      <c r="G307" s="2002">
        <v>47659</v>
      </c>
      <c r="H307" s="2012">
        <v>52983</v>
      </c>
      <c r="I307" s="2019"/>
      <c r="J307" s="2019"/>
      <c r="K307" s="2019"/>
    </row>
    <row r="308" spans="1:11" ht="12.75" customHeight="1">
      <c r="A308" s="1992">
        <f t="shared" si="4"/>
        <v>2020.11</v>
      </c>
      <c r="B308" s="2001">
        <v>566564</v>
      </c>
      <c r="C308" s="3563">
        <v>35195554012.919968</v>
      </c>
      <c r="D308" s="2001">
        <v>49282</v>
      </c>
      <c r="E308" s="1999">
        <v>532542</v>
      </c>
      <c r="F308" s="3563">
        <v>30652463458.410007</v>
      </c>
      <c r="G308" s="2002">
        <v>47565</v>
      </c>
      <c r="H308" s="2012">
        <v>52429</v>
      </c>
      <c r="I308" s="2019"/>
      <c r="J308" s="2019"/>
      <c r="K308" s="2019"/>
    </row>
    <row r="309" spans="1:11" ht="12.75" customHeight="1">
      <c r="A309" s="1992">
        <f t="shared" si="4"/>
        <v>2020.12</v>
      </c>
      <c r="B309" s="2001">
        <v>567898</v>
      </c>
      <c r="C309" s="3563">
        <v>35849741504.110023</v>
      </c>
      <c r="D309" s="2001">
        <v>49181</v>
      </c>
      <c r="E309" s="1999">
        <v>535060</v>
      </c>
      <c r="F309" s="3563">
        <v>31095642825.700024</v>
      </c>
      <c r="G309" s="2002">
        <v>47465</v>
      </c>
      <c r="H309" s="2012">
        <v>51892</v>
      </c>
      <c r="I309" s="2019"/>
      <c r="J309" s="2019"/>
      <c r="K309" s="2019"/>
    </row>
    <row r="310" spans="1:11" ht="12.75" customHeight="1">
      <c r="A310" s="1992">
        <f t="shared" si="4"/>
        <v>2021.01</v>
      </c>
      <c r="B310" s="2001">
        <v>573717</v>
      </c>
      <c r="C310" s="3563">
        <v>54585649708.920006</v>
      </c>
      <c r="D310" s="2001">
        <v>49195</v>
      </c>
      <c r="E310" s="1999">
        <v>541886</v>
      </c>
      <c r="F310" s="3563">
        <v>47860973823.090065</v>
      </c>
      <c r="G310" s="2002">
        <v>47479</v>
      </c>
      <c r="H310" s="2012">
        <v>53208</v>
      </c>
      <c r="I310" s="2019"/>
      <c r="J310" s="2019"/>
      <c r="K310" s="2019"/>
    </row>
    <row r="311" spans="1:11" ht="12.75" customHeight="1">
      <c r="A311" s="1992">
        <f t="shared" si="4"/>
        <v>2021.02</v>
      </c>
      <c r="B311" s="2001">
        <v>574105</v>
      </c>
      <c r="C311" s="3563">
        <v>42567867343.109924</v>
      </c>
      <c r="D311" s="2001">
        <v>48840</v>
      </c>
      <c r="E311" s="1999">
        <v>541541</v>
      </c>
      <c r="F311" s="3563">
        <v>36644367961.890007</v>
      </c>
      <c r="G311" s="2002">
        <v>47133</v>
      </c>
      <c r="H311" s="2012">
        <v>53101</v>
      </c>
      <c r="I311" s="2019"/>
      <c r="J311" s="2019"/>
      <c r="K311" s="2019"/>
    </row>
    <row r="312" spans="1:11" ht="12.75" customHeight="1">
      <c r="A312" s="1992">
        <f t="shared" si="4"/>
        <v>2021.03</v>
      </c>
      <c r="B312" s="2001">
        <v>575838</v>
      </c>
      <c r="C312" s="3563">
        <v>42164056746.539986</v>
      </c>
      <c r="D312" s="2001">
        <v>48818</v>
      </c>
      <c r="E312" s="1999">
        <v>543850</v>
      </c>
      <c r="F312" s="3563">
        <v>36623048711.360031</v>
      </c>
      <c r="G312" s="2002">
        <v>47120</v>
      </c>
      <c r="H312" s="2012">
        <v>53124</v>
      </c>
      <c r="I312" s="2019"/>
      <c r="J312" s="2019"/>
      <c r="K312" s="2019"/>
    </row>
    <row r="313" spans="1:11" ht="12.75" customHeight="1">
      <c r="A313" s="1992">
        <f t="shared" si="4"/>
        <v>2021.04</v>
      </c>
      <c r="B313" s="2001">
        <v>582218</v>
      </c>
      <c r="C313" s="3563">
        <v>44424982943.530006</v>
      </c>
      <c r="D313" s="2001">
        <v>49134</v>
      </c>
      <c r="E313" s="1999">
        <v>550555</v>
      </c>
      <c r="F313" s="3563">
        <v>38314429541.880051</v>
      </c>
      <c r="G313" s="2002">
        <v>47421</v>
      </c>
      <c r="H313" s="2012">
        <v>53317</v>
      </c>
      <c r="I313" s="2019"/>
      <c r="J313" s="2019"/>
      <c r="K313" s="2019"/>
    </row>
    <row r="314" spans="1:11" ht="12.75" customHeight="1">
      <c r="A314" s="1992">
        <f t="shared" si="4"/>
        <v>2021.05</v>
      </c>
      <c r="B314" s="2001">
        <v>585735</v>
      </c>
      <c r="C314" s="3563">
        <v>46841394289.730042</v>
      </c>
      <c r="D314" s="2001">
        <v>49386</v>
      </c>
      <c r="E314" s="1999">
        <v>555214</v>
      </c>
      <c r="F314" s="3563">
        <v>40699865499.370064</v>
      </c>
      <c r="G314" s="2002">
        <v>47677</v>
      </c>
      <c r="H314" s="2012">
        <v>53425</v>
      </c>
      <c r="I314" s="2019"/>
      <c r="J314" s="2019"/>
      <c r="K314" s="2019"/>
    </row>
    <row r="315" spans="1:11" ht="12.75" customHeight="1">
      <c r="A315" s="1992">
        <f t="shared" si="4"/>
        <v>2021.06</v>
      </c>
      <c r="B315" s="2001">
        <v>584055</v>
      </c>
      <c r="C315" s="3563">
        <v>47310490823.039948</v>
      </c>
      <c r="D315" s="2001">
        <v>49349</v>
      </c>
      <c r="E315" s="1999">
        <v>554554</v>
      </c>
      <c r="F315" s="3563">
        <v>41443257264.139961</v>
      </c>
      <c r="G315" s="2002">
        <v>47621</v>
      </c>
      <c r="H315" s="2012">
        <v>53666</v>
      </c>
      <c r="I315" s="2019"/>
      <c r="J315" s="2019"/>
      <c r="K315" s="2019"/>
    </row>
    <row r="316" spans="1:11" ht="12.75" customHeight="1">
      <c r="A316" s="1992">
        <f t="shared" si="4"/>
        <v>2021.07</v>
      </c>
      <c r="B316" s="2001">
        <v>578480</v>
      </c>
      <c r="C316" s="3563">
        <v>68693938144.200027</v>
      </c>
      <c r="D316" s="2001">
        <v>49140</v>
      </c>
      <c r="E316" s="1999">
        <v>548751</v>
      </c>
      <c r="F316" s="3563">
        <v>59917549851.810028</v>
      </c>
      <c r="G316" s="2002">
        <v>47401</v>
      </c>
      <c r="H316" s="2012">
        <v>53443</v>
      </c>
      <c r="I316" s="2019"/>
      <c r="J316" s="2019"/>
      <c r="K316" s="2019"/>
    </row>
    <row r="317" spans="1:11" ht="12.75" customHeight="1">
      <c r="A317" s="1992">
        <f t="shared" si="4"/>
        <v>2021.08</v>
      </c>
      <c r="B317" s="2001">
        <v>582955</v>
      </c>
      <c r="C317" s="3563">
        <v>51304887787.839989</v>
      </c>
      <c r="D317" s="2001">
        <v>49156</v>
      </c>
      <c r="E317" s="1999">
        <v>553916</v>
      </c>
      <c r="F317" s="3563">
        <v>44906717849.849922</v>
      </c>
      <c r="G317" s="2002">
        <v>47403</v>
      </c>
      <c r="H317" s="2012">
        <v>53384</v>
      </c>
      <c r="I317" s="2019"/>
      <c r="J317" s="2019"/>
      <c r="K317" s="2019"/>
    </row>
    <row r="318" spans="1:11" ht="12.75" customHeight="1">
      <c r="A318" s="1992">
        <f t="shared" si="4"/>
        <v>2021.09</v>
      </c>
      <c r="B318" s="2001">
        <v>584933</v>
      </c>
      <c r="C318" s="3563">
        <v>52623359309.98008</v>
      </c>
      <c r="D318" s="2001">
        <v>48928</v>
      </c>
      <c r="E318" s="1999">
        <v>557207</v>
      </c>
      <c r="F318" s="3563">
        <v>46434169434.970085</v>
      </c>
      <c r="G318" s="2002">
        <v>47177</v>
      </c>
      <c r="H318" s="2012">
        <v>53164</v>
      </c>
      <c r="I318" s="2019"/>
      <c r="J318" s="2019"/>
      <c r="K318" s="2019"/>
    </row>
    <row r="319" spans="1:11" ht="12.75" customHeight="1">
      <c r="A319" s="1992">
        <f t="shared" si="4"/>
        <v>2021.1</v>
      </c>
      <c r="B319" s="2001">
        <v>591962</v>
      </c>
      <c r="C319" s="3563">
        <v>55482894756.380028</v>
      </c>
      <c r="D319" s="2001">
        <v>49362</v>
      </c>
      <c r="E319" s="1999">
        <v>562217</v>
      </c>
      <c r="F319" s="3563">
        <v>48758245073.209946</v>
      </c>
      <c r="G319" s="2002">
        <v>47590</v>
      </c>
      <c r="H319" s="2012">
        <v>53038</v>
      </c>
      <c r="I319" s="2019"/>
      <c r="J319" s="2019"/>
      <c r="K319" s="2019"/>
    </row>
    <row r="320" spans="1:11" ht="12.75" customHeight="1">
      <c r="A320" s="1992">
        <f t="shared" si="4"/>
        <v>2021.11</v>
      </c>
      <c r="B320" s="2001">
        <v>589295</v>
      </c>
      <c r="C320" s="3563">
        <v>56595097304.81012</v>
      </c>
      <c r="D320" s="2001">
        <v>49447</v>
      </c>
      <c r="E320" s="1999">
        <v>561494</v>
      </c>
      <c r="F320" s="3563">
        <v>50034020777.57003</v>
      </c>
      <c r="G320" s="2002">
        <v>47678</v>
      </c>
      <c r="H320" s="2012">
        <v>52885</v>
      </c>
      <c r="I320" s="2019"/>
      <c r="J320" s="2019"/>
      <c r="K320" s="2019"/>
    </row>
    <row r="321" spans="1:11" ht="12.75" customHeight="1">
      <c r="A321" s="1992">
        <f t="shared" si="4"/>
        <v>2021.12</v>
      </c>
      <c r="B321" s="2001">
        <v>600176</v>
      </c>
      <c r="C321" s="3563">
        <v>59842885631.409988</v>
      </c>
      <c r="D321" s="2001">
        <v>49678</v>
      </c>
      <c r="E321" s="1999">
        <v>571972</v>
      </c>
      <c r="F321" s="3563">
        <v>52822077008.090004</v>
      </c>
      <c r="G321" s="2002">
        <v>47940</v>
      </c>
      <c r="H321" s="2012">
        <v>52557</v>
      </c>
      <c r="I321" s="2019"/>
      <c r="J321" s="2019"/>
      <c r="K321" s="2019"/>
    </row>
    <row r="322" spans="1:11" ht="12.75" customHeight="1">
      <c r="A322" s="1992">
        <f t="shared" si="4"/>
        <v>2022.01</v>
      </c>
      <c r="B322" s="2001">
        <v>604266</v>
      </c>
      <c r="C322" s="3563">
        <v>91018062183.479828</v>
      </c>
      <c r="D322" s="2001">
        <v>49875</v>
      </c>
      <c r="E322" s="1999">
        <v>577402</v>
      </c>
      <c r="F322" s="3563">
        <v>80526613400.840012</v>
      </c>
      <c r="G322" s="2002">
        <v>48104</v>
      </c>
      <c r="H322" s="2012">
        <v>54646</v>
      </c>
      <c r="I322" s="2019"/>
      <c r="J322" s="2019"/>
      <c r="K322" s="2019"/>
    </row>
    <row r="323" spans="1:11" ht="12.75" customHeight="1">
      <c r="A323" s="1992">
        <f t="shared" si="4"/>
        <v>2022.02</v>
      </c>
      <c r="B323" s="2001">
        <v>600357</v>
      </c>
      <c r="C323" s="3563">
        <v>68218616983.299965</v>
      </c>
      <c r="D323" s="2001">
        <v>49578</v>
      </c>
      <c r="E323" s="1999">
        <v>577096</v>
      </c>
      <c r="F323" s="3563">
        <v>59688851268.650009</v>
      </c>
      <c r="G323" s="2002">
        <v>47806</v>
      </c>
      <c r="H323" s="2012">
        <v>54409</v>
      </c>
      <c r="I323" s="2019"/>
      <c r="J323" s="2019"/>
      <c r="K323" s="2019"/>
    </row>
    <row r="324" spans="1:11" ht="12.75" customHeight="1">
      <c r="A324" s="1992">
        <f t="shared" si="4"/>
        <v>2022.03</v>
      </c>
      <c r="B324" s="2001">
        <v>601034</v>
      </c>
      <c r="C324" s="3563">
        <v>67989326201.100044</v>
      </c>
      <c r="D324" s="2001">
        <v>49689</v>
      </c>
      <c r="E324" s="1999">
        <v>577739</v>
      </c>
      <c r="F324" s="3563">
        <v>59640077995.209923</v>
      </c>
      <c r="G324" s="2002">
        <v>47928</v>
      </c>
      <c r="H324" s="2012">
        <v>54169</v>
      </c>
      <c r="I324" s="2019"/>
      <c r="J324" s="2019"/>
      <c r="K324" s="2019"/>
    </row>
    <row r="325" spans="1:11" ht="12.75" customHeight="1">
      <c r="A325" s="1992">
        <f t="shared" si="4"/>
        <v>2022.04</v>
      </c>
      <c r="B325" s="2001">
        <v>612410</v>
      </c>
      <c r="C325" s="3563">
        <v>74836489226.279953</v>
      </c>
      <c r="D325" s="2001">
        <v>50002</v>
      </c>
      <c r="E325" s="1999">
        <v>590922</v>
      </c>
      <c r="F325" s="3563">
        <v>65286855591.059959</v>
      </c>
      <c r="G325" s="2002">
        <v>48234</v>
      </c>
      <c r="H325" s="2012">
        <v>54135</v>
      </c>
      <c r="I325" s="2019"/>
      <c r="J325" s="2019"/>
      <c r="K325" s="2019"/>
    </row>
    <row r="326" spans="1:11" ht="12.75" customHeight="1">
      <c r="A326" s="1992">
        <f t="shared" si="4"/>
        <v>2022.05</v>
      </c>
      <c r="B326" s="2001">
        <v>614618</v>
      </c>
      <c r="C326" s="3563">
        <v>77666962122.970016</v>
      </c>
      <c r="D326" s="2001">
        <v>50230</v>
      </c>
      <c r="E326" s="1999">
        <v>591946</v>
      </c>
      <c r="F326" s="3563">
        <v>68619187373.589874</v>
      </c>
      <c r="G326" s="2002">
        <v>48470</v>
      </c>
      <c r="H326" s="2012">
        <v>54462</v>
      </c>
      <c r="I326" s="2019"/>
      <c r="J326" s="2019"/>
      <c r="K326" s="2019"/>
    </row>
    <row r="327" spans="1:11" ht="12.75" customHeight="1">
      <c r="A327" s="1992">
        <f t="shared" si="4"/>
        <v>2022.06</v>
      </c>
      <c r="B327" s="2001">
        <v>615727</v>
      </c>
      <c r="C327" s="3563">
        <v>81965074104.429886</v>
      </c>
      <c r="D327" s="2001">
        <v>50307</v>
      </c>
      <c r="E327" s="1999">
        <v>594070</v>
      </c>
      <c r="F327" s="3563">
        <v>72658538281.899887</v>
      </c>
      <c r="G327" s="2002">
        <v>48570</v>
      </c>
      <c r="H327" s="2012">
        <v>54685</v>
      </c>
      <c r="I327" s="2019"/>
      <c r="J327" s="2019"/>
      <c r="K327" s="2019"/>
    </row>
    <row r="328" spans="1:11" ht="12.75" customHeight="1">
      <c r="A328" s="1992">
        <f t="shared" si="4"/>
        <v>2022.07</v>
      </c>
      <c r="B328" s="2001">
        <v>616954</v>
      </c>
      <c r="C328" s="3563">
        <v>120758921561.16011</v>
      </c>
      <c r="D328" s="2001">
        <v>50318</v>
      </c>
      <c r="E328" s="1999">
        <v>595470</v>
      </c>
      <c r="F328" s="3563">
        <v>107418487127.60005</v>
      </c>
      <c r="G328" s="2002">
        <v>48588</v>
      </c>
      <c r="H328" s="2012">
        <v>54718</v>
      </c>
      <c r="I328" s="2019"/>
      <c r="J328" s="2019"/>
      <c r="K328" s="2019"/>
    </row>
    <row r="329" spans="1:11" ht="12.75" customHeight="1">
      <c r="A329" s="1992">
        <f t="shared" si="4"/>
        <v>2022.08</v>
      </c>
      <c r="B329" s="2001">
        <v>617879</v>
      </c>
      <c r="C329" s="3563">
        <v>90406884636.819931</v>
      </c>
      <c r="D329" s="2001">
        <v>50428</v>
      </c>
      <c r="E329" s="1999">
        <v>595404</v>
      </c>
      <c r="F329" s="3563">
        <v>79527449864.929916</v>
      </c>
      <c r="G329" s="2002">
        <v>48718</v>
      </c>
      <c r="H329" s="2012">
        <v>54561</v>
      </c>
      <c r="I329" s="2019"/>
      <c r="J329" s="2019"/>
      <c r="K329" s="2019"/>
    </row>
    <row r="330" spans="1:11" ht="12.75" customHeight="1">
      <c r="A330" s="1992">
        <f t="shared" si="4"/>
        <v>2022.09</v>
      </c>
      <c r="B330" s="2001">
        <v>618741</v>
      </c>
      <c r="C330" s="3563">
        <v>96256400872.839966</v>
      </c>
      <c r="D330" s="2001">
        <v>50502</v>
      </c>
      <c r="E330" s="1999">
        <v>597094</v>
      </c>
      <c r="F330" s="3563">
        <v>86102089939.540054</v>
      </c>
      <c r="G330" s="2002">
        <v>48829</v>
      </c>
      <c r="H330" s="2012">
        <v>54639</v>
      </c>
      <c r="I330" s="2019"/>
      <c r="J330" s="2019"/>
      <c r="K330" s="2019"/>
    </row>
    <row r="331" spans="1:11" ht="12.75" customHeight="1">
      <c r="A331" s="1992">
        <f t="shared" si="4"/>
        <v>2022.1</v>
      </c>
      <c r="B331" s="2001">
        <v>621145</v>
      </c>
      <c r="C331" s="3563">
        <v>103083401144.56</v>
      </c>
      <c r="D331" s="2001">
        <v>50590</v>
      </c>
      <c r="E331" s="1999">
        <v>599269</v>
      </c>
      <c r="F331" s="3563">
        <v>91949778851.360214</v>
      </c>
      <c r="G331" s="2002">
        <v>48909</v>
      </c>
      <c r="H331" s="2012">
        <v>54712</v>
      </c>
      <c r="I331" s="2019"/>
      <c r="J331" s="2019"/>
      <c r="K331" s="2019"/>
    </row>
    <row r="332" spans="1:11" ht="12.75" customHeight="1">
      <c r="A332" s="1992">
        <f t="shared" si="4"/>
        <v>2022.11</v>
      </c>
      <c r="B332" s="2001">
        <v>624365</v>
      </c>
      <c r="C332" s="3563">
        <v>108789486152.87</v>
      </c>
      <c r="D332" s="2001">
        <v>50765</v>
      </c>
      <c r="E332" s="1999">
        <v>602619</v>
      </c>
      <c r="F332" s="3563">
        <v>97121101779.650146</v>
      </c>
      <c r="G332" s="2002">
        <v>49092</v>
      </c>
      <c r="H332" s="2012">
        <v>54523</v>
      </c>
      <c r="I332" s="2019"/>
      <c r="J332" s="2019"/>
      <c r="K332" s="2019"/>
    </row>
    <row r="333" spans="1:11" ht="12.75" customHeight="1">
      <c r="A333" s="1992">
        <f t="shared" si="4"/>
        <v>2022.12</v>
      </c>
      <c r="B333" s="2001">
        <v>624073</v>
      </c>
      <c r="C333" s="3563">
        <v>112659924071.82002</v>
      </c>
      <c r="D333" s="2001">
        <v>50883</v>
      </c>
      <c r="E333" s="1999">
        <v>603225</v>
      </c>
      <c r="F333" s="3563">
        <v>100077348910.16019</v>
      </c>
      <c r="G333" s="2002">
        <v>49257</v>
      </c>
      <c r="H333" s="2012">
        <v>54118</v>
      </c>
      <c r="I333" s="2019"/>
      <c r="J333" s="2019"/>
      <c r="K333" s="2019"/>
    </row>
    <row r="334" spans="1:11" ht="12.75" customHeight="1">
      <c r="A334" s="1992">
        <f t="shared" si="4"/>
        <v>2023.01</v>
      </c>
      <c r="B334" s="2001">
        <v>623963</v>
      </c>
      <c r="C334" s="3563">
        <v>178269664974.51001</v>
      </c>
      <c r="D334" s="2001">
        <v>51049</v>
      </c>
      <c r="E334" s="1999">
        <v>602218</v>
      </c>
      <c r="F334" s="3563">
        <v>159511580943.0997</v>
      </c>
      <c r="G334" s="2002">
        <v>49396</v>
      </c>
      <c r="H334" s="2012">
        <v>55351</v>
      </c>
      <c r="I334" s="2019"/>
      <c r="J334" s="2019"/>
      <c r="K334" s="2019"/>
    </row>
    <row r="335" spans="1:11" ht="12.75" customHeight="1">
      <c r="A335" s="1992">
        <f t="shared" si="4"/>
        <v>2023.02</v>
      </c>
      <c r="B335" s="2001">
        <v>620490</v>
      </c>
      <c r="C335" s="3563">
        <v>136989802092.02982</v>
      </c>
      <c r="D335" s="2001">
        <v>50805</v>
      </c>
      <c r="E335" s="1999">
        <v>597581</v>
      </c>
      <c r="F335" s="3563">
        <v>120430441996.50998</v>
      </c>
      <c r="G335" s="2002">
        <v>49178</v>
      </c>
      <c r="H335" s="2012">
        <v>55186</v>
      </c>
      <c r="I335" s="2019"/>
      <c r="J335" s="2019"/>
      <c r="K335" s="2019"/>
    </row>
    <row r="336" spans="1:11" ht="12.75" customHeight="1">
      <c r="A336" s="1992">
        <f t="shared" si="4"/>
        <v>2023.03</v>
      </c>
      <c r="B336" s="2001">
        <v>619564</v>
      </c>
      <c r="C336" s="3563">
        <v>139797720253.79987</v>
      </c>
      <c r="D336" s="2001">
        <v>50738</v>
      </c>
      <c r="E336" s="1999">
        <v>596830</v>
      </c>
      <c r="F336" s="3563">
        <v>122977711676.61008</v>
      </c>
      <c r="G336" s="2002">
        <v>49162</v>
      </c>
      <c r="H336" s="2012">
        <v>55159</v>
      </c>
      <c r="I336" s="2019"/>
      <c r="J336" s="2019"/>
      <c r="K336" s="2019"/>
    </row>
    <row r="337" spans="1:11" ht="12.75" customHeight="1">
      <c r="A337" s="1992">
        <f t="shared" si="4"/>
        <v>2023.04</v>
      </c>
      <c r="B337" s="2001">
        <v>627471</v>
      </c>
      <c r="C337" s="3563">
        <v>154487787656.19</v>
      </c>
      <c r="D337" s="2001">
        <v>50846</v>
      </c>
      <c r="E337" s="1999">
        <v>604753</v>
      </c>
      <c r="F337" s="3563">
        <v>137674590711.28</v>
      </c>
      <c r="G337" s="2002">
        <v>49257</v>
      </c>
      <c r="H337" s="2012">
        <v>55354</v>
      </c>
      <c r="I337" s="2019"/>
      <c r="J337" s="2019"/>
      <c r="K337" s="2019"/>
    </row>
    <row r="338" spans="1:11" ht="12.75" customHeight="1">
      <c r="A338" s="1992">
        <f t="shared" si="4"/>
        <v>2023.05</v>
      </c>
      <c r="B338" s="2001">
        <v>628641</v>
      </c>
      <c r="C338" s="3563">
        <v>163226516013.32004</v>
      </c>
      <c r="D338" s="2001">
        <v>50849</v>
      </c>
      <c r="E338" s="1999">
        <v>606643</v>
      </c>
      <c r="F338" s="3563">
        <v>146154514588.16995</v>
      </c>
      <c r="G338" s="2002">
        <v>49303</v>
      </c>
      <c r="H338" s="2012">
        <v>55734</v>
      </c>
      <c r="I338" s="2019"/>
      <c r="J338" s="2019"/>
      <c r="K338" s="2019"/>
    </row>
    <row r="339" spans="1:11" ht="12.75" customHeight="1">
      <c r="A339" s="1992">
        <f t="shared" si="4"/>
        <v>2023.06</v>
      </c>
      <c r="B339" s="2001">
        <v>628775</v>
      </c>
      <c r="C339" s="3563">
        <v>174218345643.64999</v>
      </c>
      <c r="D339" s="2001">
        <v>50908</v>
      </c>
      <c r="E339" s="1999">
        <v>605742</v>
      </c>
      <c r="F339" s="3563">
        <v>157535213217.06009</v>
      </c>
      <c r="G339" s="2002">
        <v>49365</v>
      </c>
      <c r="H339" s="2012">
        <v>55842</v>
      </c>
      <c r="I339" s="2019"/>
      <c r="J339" s="2019"/>
      <c r="K339" s="2019"/>
    </row>
    <row r="340" spans="1:11" ht="12.75" customHeight="1">
      <c r="A340" s="1992">
        <f t="shared" si="4"/>
        <v>2023.07</v>
      </c>
      <c r="B340" s="2001">
        <v>627668</v>
      </c>
      <c r="C340" s="3563">
        <v>265163613121.96021</v>
      </c>
      <c r="D340" s="2001">
        <v>50862</v>
      </c>
      <c r="E340" s="1999">
        <v>605348</v>
      </c>
      <c r="F340" s="3563">
        <v>238626635334.15012</v>
      </c>
      <c r="G340" s="2002">
        <v>49343</v>
      </c>
      <c r="H340" s="2012">
        <v>55790</v>
      </c>
      <c r="I340" s="2019"/>
      <c r="J340" s="2019"/>
      <c r="K340" s="2019"/>
    </row>
    <row r="341" spans="1:11" ht="12.75" customHeight="1">
      <c r="A341" s="1992">
        <f t="shared" si="4"/>
        <v>2023.08</v>
      </c>
      <c r="B341" s="2001">
        <v>629486</v>
      </c>
      <c r="C341" s="3563">
        <v>203502628092.28012</v>
      </c>
      <c r="D341" s="2001">
        <v>50802</v>
      </c>
      <c r="E341" s="1999">
        <v>605833</v>
      </c>
      <c r="F341" s="3563">
        <v>182675528512.50961</v>
      </c>
      <c r="G341" s="2002">
        <v>49278</v>
      </c>
      <c r="H341" s="2012">
        <v>55762</v>
      </c>
      <c r="I341" s="2019"/>
      <c r="J341" s="2019"/>
      <c r="K341" s="2019"/>
    </row>
    <row r="342" spans="1:11" ht="12.75" customHeight="1">
      <c r="A342" s="1992">
        <f t="shared" si="4"/>
        <v>2023.09</v>
      </c>
      <c r="B342" s="2001">
        <v>632212</v>
      </c>
      <c r="C342" s="3563">
        <v>220331960181.81009</v>
      </c>
      <c r="D342" s="2001">
        <v>50765</v>
      </c>
      <c r="E342" s="1999">
        <v>610184</v>
      </c>
      <c r="F342" s="3563">
        <v>200686279529.50006</v>
      </c>
      <c r="G342" s="2002">
        <v>49230</v>
      </c>
      <c r="H342" s="2012">
        <v>55753</v>
      </c>
      <c r="I342" s="2019"/>
      <c r="J342" s="2019"/>
      <c r="K342" s="2019"/>
    </row>
    <row r="343" spans="1:11" ht="12.75" customHeight="1">
      <c r="A343" s="1992">
        <f t="shared" ref="A343:A406" si="5">A331+1</f>
        <v>2023.1</v>
      </c>
      <c r="B343" s="2001">
        <v>633272</v>
      </c>
      <c r="C343" s="3563">
        <v>238642747936.93973</v>
      </c>
      <c r="D343" s="2001">
        <v>50799</v>
      </c>
      <c r="E343" s="1999">
        <v>607300</v>
      </c>
      <c r="F343" s="3563">
        <v>215800225400.9599</v>
      </c>
      <c r="G343" s="2002">
        <v>49300</v>
      </c>
      <c r="H343" s="2012">
        <v>55586</v>
      </c>
      <c r="I343" s="2019"/>
      <c r="J343" s="2019"/>
      <c r="K343" s="2019"/>
    </row>
    <row r="344" spans="1:11" ht="12.75" customHeight="1">
      <c r="A344" s="1992">
        <f t="shared" si="5"/>
        <v>2023.11</v>
      </c>
      <c r="B344" s="2001">
        <v>632761</v>
      </c>
      <c r="C344" s="3563">
        <v>270889994816.88043</v>
      </c>
      <c r="D344" s="2001">
        <v>50674</v>
      </c>
      <c r="E344" s="1999">
        <v>607828</v>
      </c>
      <c r="F344" s="3563">
        <v>244167221138.06998</v>
      </c>
      <c r="G344" s="2002">
        <v>49168</v>
      </c>
      <c r="H344" s="2012">
        <v>55085</v>
      </c>
      <c r="I344" s="2019"/>
      <c r="J344" s="2019"/>
      <c r="K344" s="2019"/>
    </row>
    <row r="345" spans="1:11" ht="12.75" customHeight="1">
      <c r="A345" s="1992">
        <f t="shared" si="5"/>
        <v>2023.12</v>
      </c>
      <c r="B345" s="2001">
        <v>635433</v>
      </c>
      <c r="C345" s="3563">
        <v>291929366434.83997</v>
      </c>
      <c r="D345" s="2001">
        <v>50774</v>
      </c>
      <c r="E345" s="1999">
        <v>610591</v>
      </c>
      <c r="F345" s="3563">
        <v>258663365579.58984</v>
      </c>
      <c r="G345" s="2002">
        <v>49258</v>
      </c>
      <c r="H345" s="2012">
        <v>54535</v>
      </c>
      <c r="I345" s="2019"/>
      <c r="J345" s="2019"/>
      <c r="K345" s="2019"/>
    </row>
    <row r="346" spans="1:11" ht="12.75" customHeight="1">
      <c r="A346" s="1992">
        <f t="shared" si="5"/>
        <v>2024.01</v>
      </c>
      <c r="B346" s="2001">
        <v>632366</v>
      </c>
      <c r="C346" s="3563">
        <v>481929721303.82953</v>
      </c>
      <c r="D346" s="2001">
        <v>50746</v>
      </c>
      <c r="E346" s="1999">
        <v>607575</v>
      </c>
      <c r="F346" s="3563">
        <v>429831807704.68939</v>
      </c>
      <c r="G346" s="2002">
        <v>49176</v>
      </c>
      <c r="H346" s="2012">
        <v>55973</v>
      </c>
      <c r="I346" s="2019"/>
      <c r="J346" s="2019"/>
      <c r="K346" s="2019"/>
    </row>
    <row r="347" spans="1:11" ht="12.75" customHeight="1">
      <c r="A347" s="1992">
        <f t="shared" si="5"/>
        <v>2024.02</v>
      </c>
      <c r="B347" s="2001">
        <v>624779</v>
      </c>
      <c r="C347" s="3563">
        <v>417293224334.69989</v>
      </c>
      <c r="D347" s="2001">
        <v>50392</v>
      </c>
      <c r="E347" s="1999">
        <v>598235</v>
      </c>
      <c r="F347" s="3563">
        <v>365793126929.11005</v>
      </c>
      <c r="G347" s="2002">
        <v>48819</v>
      </c>
      <c r="H347" s="2012">
        <v>55536</v>
      </c>
      <c r="I347" s="2019"/>
      <c r="J347" s="2019"/>
      <c r="K347" s="2019"/>
    </row>
    <row r="348" spans="1:11" ht="12.75" customHeight="1">
      <c r="A348" s="1992">
        <f t="shared" si="5"/>
        <v>2024.03</v>
      </c>
      <c r="B348" s="2001">
        <v>620157</v>
      </c>
      <c r="C348" s="3563">
        <v>459378473485.85962</v>
      </c>
      <c r="D348" s="2001">
        <v>50100</v>
      </c>
      <c r="E348" s="1999">
        <v>593379</v>
      </c>
      <c r="F348" s="3563">
        <v>404242197122.00928</v>
      </c>
      <c r="G348" s="2002">
        <v>48544</v>
      </c>
      <c r="H348" s="2012">
        <v>55099</v>
      </c>
      <c r="I348" s="2019"/>
      <c r="J348" s="2019"/>
      <c r="K348" s="2019"/>
    </row>
    <row r="349" spans="1:11" ht="12.75" customHeight="1">
      <c r="A349" s="1992">
        <f t="shared" si="5"/>
        <v>2024.04</v>
      </c>
      <c r="B349" s="2001">
        <v>621025</v>
      </c>
      <c r="C349" s="3563">
        <v>504323256156.94952</v>
      </c>
      <c r="D349" s="2001">
        <v>49971</v>
      </c>
      <c r="E349" s="1999">
        <v>595079</v>
      </c>
      <c r="F349" s="3563">
        <v>443662223280.81012</v>
      </c>
      <c r="G349" s="2002">
        <v>48419</v>
      </c>
      <c r="H349" s="2012">
        <v>54983</v>
      </c>
      <c r="I349" s="2019"/>
      <c r="J349" s="2019"/>
      <c r="K349" s="2019"/>
    </row>
    <row r="350" spans="1:11" ht="12.75" customHeight="1">
      <c r="A350" s="1992">
        <f t="shared" si="5"/>
        <v>2024.05</v>
      </c>
      <c r="B350" s="2001">
        <v>618704</v>
      </c>
      <c r="C350" s="3563">
        <v>575737710592.31042</v>
      </c>
      <c r="D350" s="2001">
        <v>49818</v>
      </c>
      <c r="E350" s="1999">
        <v>593075</v>
      </c>
      <c r="F350" s="3563">
        <v>505529234657.2207</v>
      </c>
      <c r="G350" s="2002">
        <v>48249</v>
      </c>
      <c r="H350" s="2012">
        <v>54815</v>
      </c>
      <c r="I350" s="2019"/>
      <c r="J350" s="2019"/>
      <c r="K350" s="2019"/>
    </row>
    <row r="351" spans="1:11" ht="12.75" customHeight="1">
      <c r="A351" s="1992">
        <f t="shared" si="5"/>
        <v>2024.06</v>
      </c>
      <c r="B351" s="2001">
        <v>616744</v>
      </c>
      <c r="C351" s="3563">
        <v>592809471676.07959</v>
      </c>
      <c r="D351" s="2001">
        <v>49696</v>
      </c>
      <c r="E351" s="1999">
        <v>591894</v>
      </c>
      <c r="F351" s="3563">
        <v>527722662044.0708</v>
      </c>
      <c r="G351" s="2002">
        <v>48138</v>
      </c>
      <c r="H351" s="2012">
        <v>54668</v>
      </c>
      <c r="I351" s="2019"/>
      <c r="J351" s="2019"/>
      <c r="K351" s="2019"/>
    </row>
    <row r="352" spans="1:11" ht="12.75" customHeight="1">
      <c r="A352" s="1992">
        <f t="shared" si="5"/>
        <v>2024.07</v>
      </c>
      <c r="B352" s="2001">
        <v>614090</v>
      </c>
      <c r="C352" s="3563">
        <v>896005691404.17053</v>
      </c>
      <c r="D352" s="2001">
        <v>49504</v>
      </c>
      <c r="E352" s="1999">
        <v>589586</v>
      </c>
      <c r="F352" s="3563">
        <v>800484925732.5105</v>
      </c>
      <c r="G352" s="2002">
        <v>47958</v>
      </c>
      <c r="H352" s="2012">
        <v>54075</v>
      </c>
      <c r="I352" s="2019"/>
      <c r="J352" s="2019"/>
      <c r="K352" s="2019"/>
    </row>
    <row r="353" spans="1:11" ht="12.75" customHeight="1">
      <c r="A353" s="1992">
        <f t="shared" si="5"/>
        <v>2024.08</v>
      </c>
      <c r="B353" s="2001">
        <v>613388</v>
      </c>
      <c r="C353" s="3563">
        <v>664943694542.89014</v>
      </c>
      <c r="D353" s="2001">
        <v>49376</v>
      </c>
      <c r="E353" s="1999">
        <v>588230</v>
      </c>
      <c r="F353" s="3563">
        <v>596675198264.04944</v>
      </c>
      <c r="G353" s="2002">
        <v>47839</v>
      </c>
      <c r="H353" s="2012">
        <v>54498</v>
      </c>
      <c r="I353" s="2019"/>
      <c r="J353" s="2019"/>
      <c r="K353" s="2019"/>
    </row>
    <row r="354" spans="1:11" ht="12.75" customHeight="1">
      <c r="A354" s="1992">
        <f t="shared" si="5"/>
        <v>2024.09</v>
      </c>
      <c r="B354" s="2001">
        <v>615278</v>
      </c>
      <c r="C354" s="3563">
        <v>689977898987.21057</v>
      </c>
      <c r="D354" s="2001">
        <v>49363</v>
      </c>
      <c r="E354" s="1999">
        <v>590715</v>
      </c>
      <c r="F354" s="3563">
        <v>624693986818.0293</v>
      </c>
      <c r="G354" s="2002">
        <v>47816</v>
      </c>
      <c r="H354" s="2012">
        <v>54413</v>
      </c>
      <c r="I354" s="2019"/>
      <c r="J354" s="2019"/>
      <c r="K354" s="2019"/>
    </row>
    <row r="355" spans="1:11" ht="12.75" customHeight="1">
      <c r="A355" s="1992">
        <f t="shared" si="5"/>
        <v>2024.1</v>
      </c>
      <c r="B355" s="2001">
        <v>615981</v>
      </c>
      <c r="C355" s="3563">
        <v>710389032095.74963</v>
      </c>
      <c r="D355" s="2001">
        <v>49388</v>
      </c>
      <c r="E355" s="1999">
        <v>592544</v>
      </c>
      <c r="F355" s="3563">
        <v>637997593443.86035</v>
      </c>
      <c r="G355" s="2002">
        <v>47852</v>
      </c>
      <c r="H355" s="2012">
        <v>54281</v>
      </c>
      <c r="I355" s="2019"/>
      <c r="J355" s="2019"/>
      <c r="K355" s="2019"/>
    </row>
    <row r="356" spans="1:11" ht="12.75" customHeight="1">
      <c r="A356" s="1992">
        <f t="shared" si="5"/>
        <v>2024.11</v>
      </c>
      <c r="B356" s="2001">
        <v>619247</v>
      </c>
      <c r="C356" s="3563">
        <v>759333920508.69128</v>
      </c>
      <c r="D356" s="2001">
        <v>49339</v>
      </c>
      <c r="E356" s="1999">
        <v>597406</v>
      </c>
      <c r="F356" s="3563">
        <v>687467603654.32996</v>
      </c>
      <c r="G356" s="2002">
        <v>47803</v>
      </c>
      <c r="H356" s="2012">
        <v>53854</v>
      </c>
      <c r="I356" s="2019"/>
      <c r="J356" s="2019"/>
      <c r="K356" s="2019"/>
    </row>
    <row r="357" spans="1:11" ht="12.75" customHeight="1">
      <c r="A357" s="1992">
        <f t="shared" si="5"/>
        <v>2024.12</v>
      </c>
      <c r="B357" s="2001">
        <v>620650</v>
      </c>
      <c r="C357" s="3563">
        <v>771388742473.26038</v>
      </c>
      <c r="D357" s="2002">
        <v>49403</v>
      </c>
      <c r="E357" s="1999">
        <v>599933</v>
      </c>
      <c r="F357" s="3563">
        <v>694329920676.80127</v>
      </c>
      <c r="G357" s="2002">
        <v>47838</v>
      </c>
      <c r="H357" s="2012">
        <v>53247</v>
      </c>
      <c r="I357" s="2019"/>
      <c r="J357" s="2019"/>
      <c r="K357" s="2019"/>
    </row>
    <row r="358" spans="1:11" ht="12.75" customHeight="1">
      <c r="A358" s="1992">
        <f t="shared" si="5"/>
        <v>2025.01</v>
      </c>
      <c r="B358" s="2001">
        <v>619424</v>
      </c>
      <c r="C358" s="3563">
        <v>1147739239600.8406</v>
      </c>
      <c r="D358" s="2002">
        <v>49287</v>
      </c>
      <c r="E358" s="1999">
        <v>598193</v>
      </c>
      <c r="F358" s="3563">
        <v>1034367777704.16</v>
      </c>
      <c r="G358" s="2002">
        <v>47721</v>
      </c>
      <c r="H358" s="2012">
        <v>52034</v>
      </c>
      <c r="I358" s="2019"/>
      <c r="J358" s="2019"/>
      <c r="K358" s="2019"/>
    </row>
    <row r="359" spans="1:11" ht="12.75" customHeight="1">
      <c r="A359" s="1992">
        <f t="shared" si="5"/>
        <v>2025.02</v>
      </c>
      <c r="B359" s="2001">
        <v>614028</v>
      </c>
      <c r="C359" s="3563">
        <v>863011771697.43018</v>
      </c>
      <c r="D359" s="2002">
        <v>48922</v>
      </c>
      <c r="E359" s="1999">
        <v>591042</v>
      </c>
      <c r="F359" s="3563">
        <v>768902509476.25085</v>
      </c>
      <c r="G359" s="2002">
        <v>47365</v>
      </c>
      <c r="H359" s="2012">
        <v>51608</v>
      </c>
      <c r="I359" s="2019"/>
      <c r="J359" s="2019"/>
      <c r="K359" s="2019"/>
    </row>
    <row r="360" spans="1:11" ht="12.75" customHeight="1">
      <c r="A360" s="1992">
        <f t="shared" si="5"/>
        <v>2025.03</v>
      </c>
      <c r="B360" s="2001">
        <v>613514</v>
      </c>
      <c r="C360" s="3563">
        <v>838186040645.25977</v>
      </c>
      <c r="D360" s="2002">
        <v>48885</v>
      </c>
      <c r="E360" s="1999">
        <v>590574</v>
      </c>
      <c r="F360" s="3563">
        <v>749168683323.50061</v>
      </c>
      <c r="G360" s="2002">
        <v>47335</v>
      </c>
      <c r="H360" s="2012">
        <v>51269</v>
      </c>
      <c r="I360" s="2019"/>
      <c r="J360" s="2019"/>
      <c r="K360" s="2019"/>
    </row>
    <row r="361" spans="1:11" ht="12.75" customHeight="1">
      <c r="A361" s="1992">
        <f t="shared" si="5"/>
        <v>2025.04</v>
      </c>
      <c r="B361" s="2001">
        <v>616972</v>
      </c>
      <c r="C361" s="3563">
        <v>883374021400</v>
      </c>
      <c r="D361" s="2002">
        <v>48938</v>
      </c>
      <c r="E361" s="1999">
        <v>596189</v>
      </c>
      <c r="F361" s="3563">
        <v>791337098685.26123</v>
      </c>
      <c r="G361" s="2002">
        <v>47408</v>
      </c>
      <c r="H361" s="2012">
        <v>50966</v>
      </c>
      <c r="K361" s="2019"/>
    </row>
    <row r="362" spans="1:11" ht="12.75" customHeight="1">
      <c r="A362" s="1992">
        <f t="shared" si="5"/>
        <v>2025.05</v>
      </c>
      <c r="B362" s="2001">
        <v>620947</v>
      </c>
      <c r="C362" s="3563">
        <v>894201868335.23987</v>
      </c>
      <c r="D362" s="2002">
        <v>49025</v>
      </c>
      <c r="E362" s="1999">
        <v>600493</v>
      </c>
      <c r="F362" s="3563">
        <v>801455505866</v>
      </c>
      <c r="G362" s="2002">
        <v>47481</v>
      </c>
      <c r="H362" s="2012">
        <v>51456</v>
      </c>
    </row>
    <row r="363" spans="1:11" ht="12.75" customHeight="1">
      <c r="A363" s="1992">
        <f t="shared" si="5"/>
        <v>2025.06</v>
      </c>
      <c r="B363" s="2001">
        <v>618817</v>
      </c>
      <c r="C363" s="3563">
        <v>899564342781.87964</v>
      </c>
      <c r="D363" s="2002">
        <v>48912</v>
      </c>
      <c r="E363" s="1999">
        <v>599691</v>
      </c>
      <c r="F363" s="3563">
        <v>808035592312.36926</v>
      </c>
      <c r="G363" s="2002">
        <v>47376</v>
      </c>
      <c r="H363" s="2012">
        <v>51358</v>
      </c>
    </row>
    <row r="364" spans="1:11" ht="12.75" customHeight="1">
      <c r="A364" s="1992">
        <f t="shared" si="5"/>
        <v>2025.07</v>
      </c>
      <c r="B364" s="2001">
        <v>620305</v>
      </c>
      <c r="C364" s="3563">
        <v>1324188218018.9907</v>
      </c>
      <c r="D364" s="2002">
        <v>48654</v>
      </c>
      <c r="E364" s="1999">
        <v>596437</v>
      </c>
      <c r="F364" s="3563">
        <v>1198213660998.5583</v>
      </c>
      <c r="G364" s="2002">
        <v>47137</v>
      </c>
      <c r="H364" s="2012">
        <v>51157</v>
      </c>
    </row>
    <row r="365" spans="1:11" ht="12.75" customHeight="1">
      <c r="A365" s="1992">
        <f t="shared" si="5"/>
        <v>2025.08</v>
      </c>
      <c r="B365" s="2001">
        <v>616898</v>
      </c>
      <c r="C365" s="3563">
        <v>938268588450.65088</v>
      </c>
      <c r="D365" s="2002">
        <v>48576</v>
      </c>
      <c r="E365" s="1999">
        <v>595012</v>
      </c>
      <c r="F365" s="3563">
        <v>847690427904.89893</v>
      </c>
      <c r="G365" s="2002">
        <v>47066</v>
      </c>
      <c r="H365" s="2012">
        <v>50887</v>
      </c>
    </row>
    <row r="366" spans="1:11" ht="12.75" customHeight="1">
      <c r="A366" s="1992">
        <f t="shared" si="5"/>
        <v>2025.09</v>
      </c>
      <c r="B366" s="2001">
        <v>616549</v>
      </c>
      <c r="C366" s="3563">
        <v>950344165359.27173</v>
      </c>
      <c r="D366" s="2002">
        <v>48430</v>
      </c>
      <c r="E366" s="1999">
        <v>595036</v>
      </c>
      <c r="F366" s="3563">
        <v>864185730141.44971</v>
      </c>
      <c r="G366" s="2002">
        <v>46930</v>
      </c>
      <c r="H366" s="2012">
        <v>51025</v>
      </c>
    </row>
    <row r="367" spans="1:11" ht="12.75" customHeight="1">
      <c r="A367" s="1992">
        <f t="shared" si="5"/>
        <v>2025.1</v>
      </c>
      <c r="B367" s="2001">
        <v>617633</v>
      </c>
      <c r="C367" s="3563">
        <v>958911185280.43958</v>
      </c>
      <c r="D367" s="2002">
        <v>48398</v>
      </c>
      <c r="E367" s="1999">
        <v>595538</v>
      </c>
      <c r="F367" s="3563">
        <v>872842889081.92053</v>
      </c>
      <c r="G367" s="2002">
        <v>46866</v>
      </c>
      <c r="H367" s="2012">
        <v>51193</v>
      </c>
    </row>
    <row r="368" spans="1:11" ht="12.75" customHeight="1">
      <c r="A368" s="1992">
        <f t="shared" si="5"/>
        <v>2025.11</v>
      </c>
      <c r="B368" s="2001">
        <v>622277</v>
      </c>
      <c r="C368" s="3563">
        <v>999740472420.77856</v>
      </c>
      <c r="D368" s="2002">
        <v>48333</v>
      </c>
      <c r="E368" s="1999">
        <v>597919</v>
      </c>
      <c r="F368" s="3563">
        <v>913079814710.17981</v>
      </c>
      <c r="G368" s="2002">
        <v>46838</v>
      </c>
      <c r="H368" s="2012">
        <v>51422</v>
      </c>
    </row>
    <row r="369" spans="1:8" ht="12.75" customHeight="1">
      <c r="A369" s="1992">
        <f t="shared" si="5"/>
        <v>2025.12</v>
      </c>
      <c r="B369" s="2001">
        <v>618886</v>
      </c>
      <c r="C369" s="3563">
        <v>1002305372320.4703</v>
      </c>
      <c r="D369" s="2002">
        <v>48316</v>
      </c>
      <c r="E369" s="1999">
        <v>596952</v>
      </c>
      <c r="F369" s="3563">
        <v>905953851251.07227</v>
      </c>
      <c r="G369" s="2002">
        <v>46815</v>
      </c>
      <c r="H369" s="2012">
        <v>51440</v>
      </c>
    </row>
    <row r="370" spans="1:8" ht="12.75" customHeight="1">
      <c r="A370" s="1992">
        <f t="shared" si="5"/>
        <v>2026.01</v>
      </c>
      <c r="B370" s="2001" t="e">
        <v>#N/A</v>
      </c>
      <c r="C370" s="3563" t="e">
        <v>#N/A</v>
      </c>
      <c r="D370" s="2002" t="e">
        <v>#N/A</v>
      </c>
      <c r="E370" s="1999" t="e">
        <v>#N/A</v>
      </c>
      <c r="F370" s="3563" t="e">
        <v>#N/A</v>
      </c>
      <c r="G370" s="2002" t="e">
        <v>#N/A</v>
      </c>
      <c r="H370" s="2012" t="e">
        <v>#N/A</v>
      </c>
    </row>
    <row r="371" spans="1:8" ht="12.75" customHeight="1">
      <c r="A371" s="1992">
        <f t="shared" si="5"/>
        <v>2026.02</v>
      </c>
      <c r="B371" s="2001" t="e">
        <v>#N/A</v>
      </c>
      <c r="C371" s="3563" t="e">
        <v>#N/A</v>
      </c>
      <c r="D371" s="2002" t="e">
        <v>#N/A</v>
      </c>
      <c r="E371" s="1999" t="e">
        <v>#N/A</v>
      </c>
      <c r="F371" s="3563" t="e">
        <v>#N/A</v>
      </c>
      <c r="G371" s="2002" t="e">
        <v>#N/A</v>
      </c>
      <c r="H371" s="2012" t="e">
        <v>#N/A</v>
      </c>
    </row>
    <row r="372" spans="1:8" ht="12.75" customHeight="1">
      <c r="A372" s="1992">
        <f t="shared" si="5"/>
        <v>2026.03</v>
      </c>
      <c r="B372" s="2001" t="e">
        <v>#N/A</v>
      </c>
      <c r="C372" s="3563" t="e">
        <v>#N/A</v>
      </c>
      <c r="D372" s="2002" t="e">
        <v>#N/A</v>
      </c>
      <c r="E372" s="1999" t="e">
        <v>#N/A</v>
      </c>
      <c r="F372" s="3563" t="e">
        <v>#N/A</v>
      </c>
      <c r="G372" s="2002" t="e">
        <v>#N/A</v>
      </c>
      <c r="H372" s="2012" t="e">
        <v>#N/A</v>
      </c>
    </row>
    <row r="373" spans="1:8" ht="12.75" customHeight="1">
      <c r="A373" s="1992">
        <f t="shared" si="5"/>
        <v>2026.04</v>
      </c>
      <c r="B373" s="2001" t="e">
        <v>#N/A</v>
      </c>
      <c r="C373" s="3563" t="e">
        <v>#N/A</v>
      </c>
      <c r="D373" s="2002" t="e">
        <v>#N/A</v>
      </c>
      <c r="E373" s="1999" t="e">
        <v>#N/A</v>
      </c>
      <c r="F373" s="3563" t="e">
        <v>#N/A</v>
      </c>
      <c r="G373" s="2002" t="e">
        <v>#N/A</v>
      </c>
      <c r="H373" s="2012" t="e">
        <v>#N/A</v>
      </c>
    </row>
    <row r="374" spans="1:8" ht="12.75" customHeight="1">
      <c r="A374" s="1992">
        <f t="shared" si="5"/>
        <v>2026.05</v>
      </c>
      <c r="B374" s="2001" t="e">
        <v>#N/A</v>
      </c>
      <c r="C374" s="3563" t="e">
        <v>#N/A</v>
      </c>
      <c r="D374" s="2002" t="e">
        <v>#N/A</v>
      </c>
      <c r="E374" s="1999" t="e">
        <v>#N/A</v>
      </c>
      <c r="F374" s="3563" t="e">
        <v>#N/A</v>
      </c>
      <c r="G374" s="2002" t="e">
        <v>#N/A</v>
      </c>
      <c r="H374" s="2012" t="e">
        <v>#N/A</v>
      </c>
    </row>
    <row r="375" spans="1:8" ht="12.75" customHeight="1">
      <c r="A375" s="1992">
        <f t="shared" si="5"/>
        <v>2026.06</v>
      </c>
      <c r="B375" s="2001" t="e">
        <v>#N/A</v>
      </c>
      <c r="C375" s="3563" t="e">
        <v>#N/A</v>
      </c>
      <c r="D375" s="2002" t="e">
        <v>#N/A</v>
      </c>
      <c r="E375" s="1999" t="e">
        <v>#N/A</v>
      </c>
      <c r="F375" s="3563" t="e">
        <v>#N/A</v>
      </c>
      <c r="G375" s="2002" t="e">
        <v>#N/A</v>
      </c>
      <c r="H375" s="2012" t="e">
        <v>#N/A</v>
      </c>
    </row>
    <row r="376" spans="1:8" ht="12.75" customHeight="1">
      <c r="A376" s="1992">
        <f t="shared" si="5"/>
        <v>2026.07</v>
      </c>
      <c r="B376" s="2001" t="e">
        <v>#N/A</v>
      </c>
      <c r="C376" s="3563" t="e">
        <v>#N/A</v>
      </c>
      <c r="D376" s="2002" t="e">
        <v>#N/A</v>
      </c>
      <c r="E376" s="1999" t="e">
        <v>#N/A</v>
      </c>
      <c r="F376" s="3563" t="e">
        <v>#N/A</v>
      </c>
      <c r="G376" s="2002" t="e">
        <v>#N/A</v>
      </c>
      <c r="H376" s="2012" t="e">
        <v>#N/A</v>
      </c>
    </row>
    <row r="377" spans="1:8" ht="12.75" customHeight="1">
      <c r="A377" s="1992">
        <f t="shared" si="5"/>
        <v>2026.08</v>
      </c>
      <c r="B377" s="2001" t="e">
        <v>#N/A</v>
      </c>
      <c r="C377" s="3563" t="e">
        <v>#N/A</v>
      </c>
      <c r="D377" s="2002" t="e">
        <v>#N/A</v>
      </c>
      <c r="E377" s="1999" t="e">
        <v>#N/A</v>
      </c>
      <c r="F377" s="3563" t="e">
        <v>#N/A</v>
      </c>
      <c r="G377" s="2002" t="e">
        <v>#N/A</v>
      </c>
      <c r="H377" s="2012" t="e">
        <v>#N/A</v>
      </c>
    </row>
    <row r="378" spans="1:8" ht="12.75" customHeight="1">
      <c r="A378" s="1992">
        <f t="shared" si="5"/>
        <v>2026.09</v>
      </c>
      <c r="B378" s="2001" t="e">
        <v>#N/A</v>
      </c>
      <c r="C378" s="3563" t="e">
        <v>#N/A</v>
      </c>
      <c r="D378" s="2002" t="e">
        <v>#N/A</v>
      </c>
      <c r="E378" s="1999" t="e">
        <v>#N/A</v>
      </c>
      <c r="F378" s="3563" t="e">
        <v>#N/A</v>
      </c>
      <c r="G378" s="2002" t="e">
        <v>#N/A</v>
      </c>
      <c r="H378" s="2012" t="e">
        <v>#N/A</v>
      </c>
    </row>
    <row r="379" spans="1:8" ht="12.75" customHeight="1">
      <c r="A379" s="1992">
        <f t="shared" si="5"/>
        <v>2026.1</v>
      </c>
      <c r="B379" s="2001" t="e">
        <v>#N/A</v>
      </c>
      <c r="C379" s="3563" t="e">
        <v>#N/A</v>
      </c>
      <c r="D379" s="2002" t="e">
        <v>#N/A</v>
      </c>
      <c r="E379" s="1999" t="e">
        <v>#N/A</v>
      </c>
      <c r="F379" s="3563" t="e">
        <v>#N/A</v>
      </c>
      <c r="G379" s="2002" t="e">
        <v>#N/A</v>
      </c>
      <c r="H379" s="2012" t="e">
        <v>#N/A</v>
      </c>
    </row>
    <row r="380" spans="1:8" ht="12.75" customHeight="1">
      <c r="A380" s="1992">
        <f t="shared" si="5"/>
        <v>2026.11</v>
      </c>
      <c r="B380" s="2001" t="e">
        <v>#N/A</v>
      </c>
      <c r="C380" s="3563" t="e">
        <v>#N/A</v>
      </c>
      <c r="D380" s="2002" t="e">
        <v>#N/A</v>
      </c>
      <c r="E380" s="1999" t="e">
        <v>#N/A</v>
      </c>
      <c r="F380" s="3563" t="e">
        <v>#N/A</v>
      </c>
      <c r="G380" s="2002" t="e">
        <v>#N/A</v>
      </c>
      <c r="H380" s="2012" t="e">
        <v>#N/A</v>
      </c>
    </row>
    <row r="381" spans="1:8" ht="12.75" customHeight="1">
      <c r="A381" s="1992">
        <f t="shared" si="5"/>
        <v>2026.12</v>
      </c>
      <c r="B381" s="2001" t="e">
        <v>#N/A</v>
      </c>
      <c r="C381" s="3563" t="e">
        <v>#N/A</v>
      </c>
      <c r="D381" s="2002" t="e">
        <v>#N/A</v>
      </c>
      <c r="E381" s="1999" t="e">
        <v>#N/A</v>
      </c>
      <c r="F381" s="3563" t="e">
        <v>#N/A</v>
      </c>
      <c r="G381" s="2002" t="e">
        <v>#N/A</v>
      </c>
      <c r="H381" s="2012" t="e">
        <v>#N/A</v>
      </c>
    </row>
    <row r="382" spans="1:8" ht="12.75" customHeight="1">
      <c r="A382" s="1992">
        <f t="shared" si="5"/>
        <v>2027.01</v>
      </c>
      <c r="B382" s="2001" t="e">
        <v>#N/A</v>
      </c>
      <c r="C382" s="3563" t="e">
        <v>#N/A</v>
      </c>
      <c r="D382" s="2002" t="e">
        <v>#N/A</v>
      </c>
      <c r="E382" s="1999" t="e">
        <v>#N/A</v>
      </c>
      <c r="F382" s="3563" t="e">
        <v>#N/A</v>
      </c>
      <c r="G382" s="2002" t="e">
        <v>#N/A</v>
      </c>
      <c r="H382" s="2012" t="e">
        <v>#N/A</v>
      </c>
    </row>
    <row r="383" spans="1:8" ht="12.75" customHeight="1">
      <c r="A383" s="1992">
        <f t="shared" si="5"/>
        <v>2027.02</v>
      </c>
      <c r="B383" s="2001" t="e">
        <v>#N/A</v>
      </c>
      <c r="C383" s="3563" t="e">
        <v>#N/A</v>
      </c>
      <c r="D383" s="2002" t="e">
        <v>#N/A</v>
      </c>
      <c r="E383" s="1999" t="e">
        <v>#N/A</v>
      </c>
      <c r="F383" s="3563" t="e">
        <v>#N/A</v>
      </c>
      <c r="G383" s="2002" t="e">
        <v>#N/A</v>
      </c>
      <c r="H383" s="2012" t="e">
        <v>#N/A</v>
      </c>
    </row>
    <row r="384" spans="1:8" ht="12.75" customHeight="1">
      <c r="A384" s="1992">
        <f t="shared" si="5"/>
        <v>2027.03</v>
      </c>
      <c r="B384" s="2001" t="e">
        <v>#N/A</v>
      </c>
      <c r="C384" s="3563" t="e">
        <v>#N/A</v>
      </c>
      <c r="D384" s="2002" t="e">
        <v>#N/A</v>
      </c>
      <c r="E384" s="1999" t="e">
        <v>#N/A</v>
      </c>
      <c r="F384" s="3563" t="e">
        <v>#N/A</v>
      </c>
      <c r="G384" s="2002" t="e">
        <v>#N/A</v>
      </c>
      <c r="H384" s="2012" t="e">
        <v>#N/A</v>
      </c>
    </row>
    <row r="385" spans="1:8" ht="12.75" customHeight="1">
      <c r="A385" s="1992">
        <f t="shared" si="5"/>
        <v>2027.04</v>
      </c>
      <c r="B385" s="2001" t="e">
        <v>#N/A</v>
      </c>
      <c r="C385" s="3563" t="e">
        <v>#N/A</v>
      </c>
      <c r="D385" s="2002" t="e">
        <v>#N/A</v>
      </c>
      <c r="E385" s="1999" t="e">
        <v>#N/A</v>
      </c>
      <c r="F385" s="3563" t="e">
        <v>#N/A</v>
      </c>
      <c r="G385" s="2002" t="e">
        <v>#N/A</v>
      </c>
      <c r="H385" s="2012" t="e">
        <v>#N/A</v>
      </c>
    </row>
    <row r="386" spans="1:8" ht="12.75" customHeight="1">
      <c r="A386" s="1992">
        <f t="shared" si="5"/>
        <v>2027.05</v>
      </c>
      <c r="B386" s="2001" t="e">
        <v>#N/A</v>
      </c>
      <c r="C386" s="3563" t="e">
        <v>#N/A</v>
      </c>
      <c r="D386" s="2002" t="e">
        <v>#N/A</v>
      </c>
      <c r="E386" s="1999" t="e">
        <v>#N/A</v>
      </c>
      <c r="F386" s="3563" t="e">
        <v>#N/A</v>
      </c>
      <c r="G386" s="2002" t="e">
        <v>#N/A</v>
      </c>
      <c r="H386" s="2012" t="e">
        <v>#N/A</v>
      </c>
    </row>
    <row r="387" spans="1:8" ht="12.75" customHeight="1">
      <c r="A387" s="1992">
        <f t="shared" si="5"/>
        <v>2027.06</v>
      </c>
      <c r="B387" s="2001" t="e">
        <v>#N/A</v>
      </c>
      <c r="C387" s="3563" t="e">
        <v>#N/A</v>
      </c>
      <c r="D387" s="2002" t="e">
        <v>#N/A</v>
      </c>
      <c r="E387" s="1999" t="e">
        <v>#N/A</v>
      </c>
      <c r="F387" s="3563" t="e">
        <v>#N/A</v>
      </c>
      <c r="G387" s="2002" t="e">
        <v>#N/A</v>
      </c>
      <c r="H387" s="2012" t="e">
        <v>#N/A</v>
      </c>
    </row>
    <row r="388" spans="1:8" ht="12.75" customHeight="1">
      <c r="A388" s="1992">
        <f t="shared" si="5"/>
        <v>2027.07</v>
      </c>
      <c r="B388" s="2001" t="e">
        <v>#N/A</v>
      </c>
      <c r="C388" s="3563" t="e">
        <v>#N/A</v>
      </c>
      <c r="D388" s="2002" t="e">
        <v>#N/A</v>
      </c>
      <c r="E388" s="1999" t="e">
        <v>#N/A</v>
      </c>
      <c r="F388" s="3563" t="e">
        <v>#N/A</v>
      </c>
      <c r="G388" s="2002" t="e">
        <v>#N/A</v>
      </c>
      <c r="H388" s="2012" t="e">
        <v>#N/A</v>
      </c>
    </row>
    <row r="389" spans="1:8" ht="12.75" customHeight="1">
      <c r="A389" s="1992">
        <f t="shared" si="5"/>
        <v>2027.08</v>
      </c>
      <c r="B389" s="2001" t="e">
        <v>#N/A</v>
      </c>
      <c r="C389" s="3563" t="e">
        <v>#N/A</v>
      </c>
      <c r="D389" s="2002" t="e">
        <v>#N/A</v>
      </c>
      <c r="E389" s="1999" t="e">
        <v>#N/A</v>
      </c>
      <c r="F389" s="3563" t="e">
        <v>#N/A</v>
      </c>
      <c r="G389" s="2002" t="e">
        <v>#N/A</v>
      </c>
      <c r="H389" s="2012" t="e">
        <v>#N/A</v>
      </c>
    </row>
    <row r="390" spans="1:8" ht="12.75" customHeight="1">
      <c r="A390" s="1992">
        <f t="shared" si="5"/>
        <v>2027.09</v>
      </c>
      <c r="B390" s="2001" t="e">
        <v>#N/A</v>
      </c>
      <c r="C390" s="3563" t="e">
        <v>#N/A</v>
      </c>
      <c r="D390" s="2002" t="e">
        <v>#N/A</v>
      </c>
      <c r="E390" s="1999" t="e">
        <v>#N/A</v>
      </c>
      <c r="F390" s="3563" t="e">
        <v>#N/A</v>
      </c>
      <c r="G390" s="2002" t="e">
        <v>#N/A</v>
      </c>
      <c r="H390" s="2012" t="e">
        <v>#N/A</v>
      </c>
    </row>
    <row r="391" spans="1:8" ht="12.75" customHeight="1">
      <c r="A391" s="1992">
        <f t="shared" si="5"/>
        <v>2027.1</v>
      </c>
      <c r="B391" s="2001" t="e">
        <v>#N/A</v>
      </c>
      <c r="C391" s="3563" t="e">
        <v>#N/A</v>
      </c>
      <c r="D391" s="2002" t="e">
        <v>#N/A</v>
      </c>
      <c r="E391" s="1999" t="e">
        <v>#N/A</v>
      </c>
      <c r="F391" s="3563" t="e">
        <v>#N/A</v>
      </c>
      <c r="G391" s="2002" t="e">
        <v>#N/A</v>
      </c>
      <c r="H391" s="2012" t="e">
        <v>#N/A</v>
      </c>
    </row>
    <row r="392" spans="1:8" ht="12.75" customHeight="1">
      <c r="A392" s="1992">
        <f t="shared" si="5"/>
        <v>2027.11</v>
      </c>
      <c r="B392" s="2001" t="e">
        <v>#N/A</v>
      </c>
      <c r="C392" s="3563" t="e">
        <v>#N/A</v>
      </c>
      <c r="D392" s="2002" t="e">
        <v>#N/A</v>
      </c>
      <c r="E392" s="1999" t="e">
        <v>#N/A</v>
      </c>
      <c r="F392" s="3563" t="e">
        <v>#N/A</v>
      </c>
      <c r="G392" s="2002" t="e">
        <v>#N/A</v>
      </c>
      <c r="H392" s="2012" t="e">
        <v>#N/A</v>
      </c>
    </row>
    <row r="393" spans="1:8" ht="12.75" customHeight="1">
      <c r="A393" s="1992">
        <f t="shared" si="5"/>
        <v>2027.12</v>
      </c>
      <c r="B393" s="2001" t="e">
        <v>#N/A</v>
      </c>
      <c r="C393" s="3563" t="e">
        <v>#N/A</v>
      </c>
      <c r="D393" s="2002" t="e">
        <v>#N/A</v>
      </c>
      <c r="E393" s="1999" t="e">
        <v>#N/A</v>
      </c>
      <c r="F393" s="3563" t="e">
        <v>#N/A</v>
      </c>
      <c r="G393" s="2002" t="e">
        <v>#N/A</v>
      </c>
      <c r="H393" s="2012" t="e">
        <v>#N/A</v>
      </c>
    </row>
    <row r="394" spans="1:8" ht="12.75" customHeight="1">
      <c r="A394" s="1992">
        <f t="shared" si="5"/>
        <v>2028.01</v>
      </c>
      <c r="B394" s="2001" t="e">
        <v>#N/A</v>
      </c>
      <c r="C394" s="3563" t="e">
        <v>#N/A</v>
      </c>
      <c r="D394" s="2002" t="e">
        <v>#N/A</v>
      </c>
      <c r="E394" s="1999" t="e">
        <v>#N/A</v>
      </c>
      <c r="F394" s="3563" t="e">
        <v>#N/A</v>
      </c>
      <c r="G394" s="2002" t="e">
        <v>#N/A</v>
      </c>
      <c r="H394" s="2012" t="e">
        <v>#N/A</v>
      </c>
    </row>
    <row r="395" spans="1:8" ht="12.75" customHeight="1">
      <c r="A395" s="1992">
        <f t="shared" si="5"/>
        <v>2028.02</v>
      </c>
      <c r="B395" s="2001" t="e">
        <v>#N/A</v>
      </c>
      <c r="C395" s="3563" t="e">
        <v>#N/A</v>
      </c>
      <c r="D395" s="2002" t="e">
        <v>#N/A</v>
      </c>
      <c r="E395" s="1999" t="e">
        <v>#N/A</v>
      </c>
      <c r="F395" s="3563" t="e">
        <v>#N/A</v>
      </c>
      <c r="G395" s="2002" t="e">
        <v>#N/A</v>
      </c>
      <c r="H395" s="2012" t="e">
        <v>#N/A</v>
      </c>
    </row>
    <row r="396" spans="1:8" ht="12.75" customHeight="1">
      <c r="A396" s="1992">
        <f t="shared" si="5"/>
        <v>2028.03</v>
      </c>
      <c r="B396" s="2001" t="e">
        <v>#N/A</v>
      </c>
      <c r="C396" s="3563" t="e">
        <v>#N/A</v>
      </c>
      <c r="D396" s="2002" t="e">
        <v>#N/A</v>
      </c>
      <c r="E396" s="1999" t="e">
        <v>#N/A</v>
      </c>
      <c r="F396" s="3563" t="e">
        <v>#N/A</v>
      </c>
      <c r="G396" s="2002" t="e">
        <v>#N/A</v>
      </c>
      <c r="H396" s="2012" t="e">
        <v>#N/A</v>
      </c>
    </row>
    <row r="397" spans="1:8" ht="12.75" customHeight="1">
      <c r="A397" s="1992">
        <f t="shared" si="5"/>
        <v>2028.04</v>
      </c>
      <c r="B397" s="2001" t="e">
        <v>#N/A</v>
      </c>
      <c r="C397" s="3563" t="e">
        <v>#N/A</v>
      </c>
      <c r="D397" s="2002" t="e">
        <v>#N/A</v>
      </c>
      <c r="E397" s="1999" t="e">
        <v>#N/A</v>
      </c>
      <c r="F397" s="3563" t="e">
        <v>#N/A</v>
      </c>
      <c r="G397" s="2002" t="e">
        <v>#N/A</v>
      </c>
      <c r="H397" s="2012" t="e">
        <v>#N/A</v>
      </c>
    </row>
    <row r="398" spans="1:8" ht="12.75" customHeight="1">
      <c r="A398" s="1992">
        <f t="shared" si="5"/>
        <v>2028.05</v>
      </c>
      <c r="B398" s="2001" t="e">
        <v>#N/A</v>
      </c>
      <c r="C398" s="3563" t="e">
        <v>#N/A</v>
      </c>
      <c r="D398" s="2002" t="e">
        <v>#N/A</v>
      </c>
      <c r="E398" s="1999" t="e">
        <v>#N/A</v>
      </c>
      <c r="F398" s="3563" t="e">
        <v>#N/A</v>
      </c>
      <c r="G398" s="2002" t="e">
        <v>#N/A</v>
      </c>
      <c r="H398" s="2012" t="e">
        <v>#N/A</v>
      </c>
    </row>
    <row r="399" spans="1:8" ht="12.75" customHeight="1">
      <c r="A399" s="1992">
        <f t="shared" si="5"/>
        <v>2028.06</v>
      </c>
      <c r="B399" s="2001" t="e">
        <v>#N/A</v>
      </c>
      <c r="C399" s="3563" t="e">
        <v>#N/A</v>
      </c>
      <c r="D399" s="2002" t="e">
        <v>#N/A</v>
      </c>
      <c r="E399" s="1999" t="e">
        <v>#N/A</v>
      </c>
      <c r="F399" s="3563" t="e">
        <v>#N/A</v>
      </c>
      <c r="G399" s="2002" t="e">
        <v>#N/A</v>
      </c>
      <c r="H399" s="2012" t="e">
        <v>#N/A</v>
      </c>
    </row>
    <row r="400" spans="1:8" ht="12.75" customHeight="1">
      <c r="A400" s="1992">
        <f t="shared" si="5"/>
        <v>2028.07</v>
      </c>
      <c r="B400" s="2001" t="e">
        <v>#N/A</v>
      </c>
      <c r="C400" s="3563" t="e">
        <v>#N/A</v>
      </c>
      <c r="D400" s="2002" t="e">
        <v>#N/A</v>
      </c>
      <c r="E400" s="1999" t="e">
        <v>#N/A</v>
      </c>
      <c r="F400" s="3563" t="e">
        <v>#N/A</v>
      </c>
      <c r="G400" s="2002" t="e">
        <v>#N/A</v>
      </c>
      <c r="H400" s="2012" t="e">
        <v>#N/A</v>
      </c>
    </row>
    <row r="401" spans="1:8" ht="12.75" customHeight="1">
      <c r="A401" s="1992">
        <f t="shared" si="5"/>
        <v>2028.08</v>
      </c>
      <c r="B401" s="2001" t="e">
        <v>#N/A</v>
      </c>
      <c r="C401" s="3563" t="e">
        <v>#N/A</v>
      </c>
      <c r="D401" s="2002" t="e">
        <v>#N/A</v>
      </c>
      <c r="E401" s="1999" t="e">
        <v>#N/A</v>
      </c>
      <c r="F401" s="3563" t="e">
        <v>#N/A</v>
      </c>
      <c r="G401" s="2002" t="e">
        <v>#N/A</v>
      </c>
      <c r="H401" s="2012" t="e">
        <v>#N/A</v>
      </c>
    </row>
    <row r="402" spans="1:8" ht="12.75" customHeight="1">
      <c r="A402" s="1992">
        <f t="shared" si="5"/>
        <v>2028.09</v>
      </c>
      <c r="B402" s="2001" t="e">
        <v>#N/A</v>
      </c>
      <c r="C402" s="3563" t="e">
        <v>#N/A</v>
      </c>
      <c r="D402" s="2002" t="e">
        <v>#N/A</v>
      </c>
      <c r="E402" s="1999" t="e">
        <v>#N/A</v>
      </c>
      <c r="F402" s="3563" t="e">
        <v>#N/A</v>
      </c>
      <c r="G402" s="2002" t="e">
        <v>#N/A</v>
      </c>
      <c r="H402" s="2012" t="e">
        <v>#N/A</v>
      </c>
    </row>
    <row r="403" spans="1:8" ht="12.75" customHeight="1">
      <c r="A403" s="1992">
        <f t="shared" si="5"/>
        <v>2028.1</v>
      </c>
      <c r="B403" s="2001" t="e">
        <v>#N/A</v>
      </c>
      <c r="C403" s="3563" t="e">
        <v>#N/A</v>
      </c>
      <c r="D403" s="2002" t="e">
        <v>#N/A</v>
      </c>
      <c r="E403" s="1999" t="e">
        <v>#N/A</v>
      </c>
      <c r="F403" s="3563" t="e">
        <v>#N/A</v>
      </c>
      <c r="G403" s="2002" t="e">
        <v>#N/A</v>
      </c>
      <c r="H403" s="2012" t="e">
        <v>#N/A</v>
      </c>
    </row>
    <row r="404" spans="1:8" ht="12.75" customHeight="1">
      <c r="A404" s="1992">
        <f t="shared" si="5"/>
        <v>2028.11</v>
      </c>
      <c r="B404" s="2001" t="e">
        <v>#N/A</v>
      </c>
      <c r="C404" s="3563" t="e">
        <v>#N/A</v>
      </c>
      <c r="D404" s="2002" t="e">
        <v>#N/A</v>
      </c>
      <c r="E404" s="1999" t="e">
        <v>#N/A</v>
      </c>
      <c r="F404" s="3563" t="e">
        <v>#N/A</v>
      </c>
      <c r="G404" s="2002" t="e">
        <v>#N/A</v>
      </c>
      <c r="H404" s="2012" t="e">
        <v>#N/A</v>
      </c>
    </row>
    <row r="405" spans="1:8" ht="12.75" customHeight="1">
      <c r="A405" s="1992">
        <f t="shared" si="5"/>
        <v>2028.12</v>
      </c>
      <c r="B405" s="2001" t="e">
        <v>#N/A</v>
      </c>
      <c r="C405" s="3563" t="e">
        <v>#N/A</v>
      </c>
      <c r="D405" s="2002" t="e">
        <v>#N/A</v>
      </c>
      <c r="E405" s="1999" t="e">
        <v>#N/A</v>
      </c>
      <c r="F405" s="3563" t="e">
        <v>#N/A</v>
      </c>
      <c r="G405" s="2002" t="e">
        <v>#N/A</v>
      </c>
      <c r="H405" s="2012" t="e">
        <v>#N/A</v>
      </c>
    </row>
    <row r="406" spans="1:8" ht="12.75" customHeight="1">
      <c r="A406" s="1992">
        <f t="shared" si="5"/>
        <v>2029.01</v>
      </c>
      <c r="B406" s="2001" t="e">
        <v>#N/A</v>
      </c>
      <c r="C406" s="3563" t="e">
        <v>#N/A</v>
      </c>
      <c r="D406" s="2002" t="e">
        <v>#N/A</v>
      </c>
      <c r="E406" s="1999" t="e">
        <v>#N/A</v>
      </c>
      <c r="F406" s="3563" t="e">
        <v>#N/A</v>
      </c>
      <c r="G406" s="2002" t="e">
        <v>#N/A</v>
      </c>
      <c r="H406" s="2012" t="e">
        <v>#N/A</v>
      </c>
    </row>
    <row r="407" spans="1:8" ht="12.75" customHeight="1">
      <c r="A407" s="1992">
        <f t="shared" ref="A407:A429" si="6">A395+1</f>
        <v>2029.02</v>
      </c>
      <c r="B407" s="2001" t="e">
        <v>#N/A</v>
      </c>
      <c r="C407" s="3563" t="e">
        <v>#N/A</v>
      </c>
      <c r="D407" s="2002" t="e">
        <v>#N/A</v>
      </c>
      <c r="E407" s="1999" t="e">
        <v>#N/A</v>
      </c>
      <c r="F407" s="3563" t="e">
        <v>#N/A</v>
      </c>
      <c r="G407" s="2002" t="e">
        <v>#N/A</v>
      </c>
      <c r="H407" s="2012" t="e">
        <v>#N/A</v>
      </c>
    </row>
    <row r="408" spans="1:8" ht="12.75" customHeight="1">
      <c r="A408" s="1992">
        <f t="shared" si="6"/>
        <v>2029.03</v>
      </c>
      <c r="B408" s="2001" t="e">
        <v>#N/A</v>
      </c>
      <c r="C408" s="3563" t="e">
        <v>#N/A</v>
      </c>
      <c r="D408" s="2002" t="e">
        <v>#N/A</v>
      </c>
      <c r="E408" s="1999" t="e">
        <v>#N/A</v>
      </c>
      <c r="F408" s="3563" t="e">
        <v>#N/A</v>
      </c>
      <c r="G408" s="2002" t="e">
        <v>#N/A</v>
      </c>
      <c r="H408" s="2012" t="e">
        <v>#N/A</v>
      </c>
    </row>
    <row r="409" spans="1:8" ht="12.75" customHeight="1">
      <c r="A409" s="1992">
        <f t="shared" si="6"/>
        <v>2029.04</v>
      </c>
      <c r="B409" s="2001" t="e">
        <v>#N/A</v>
      </c>
      <c r="C409" s="3563" t="e">
        <v>#N/A</v>
      </c>
      <c r="D409" s="2002" t="e">
        <v>#N/A</v>
      </c>
      <c r="E409" s="1999" t="e">
        <v>#N/A</v>
      </c>
      <c r="F409" s="3563" t="e">
        <v>#N/A</v>
      </c>
      <c r="G409" s="2002" t="e">
        <v>#N/A</v>
      </c>
      <c r="H409" s="2012" t="e">
        <v>#N/A</v>
      </c>
    </row>
    <row r="410" spans="1:8" ht="12.75" customHeight="1">
      <c r="A410" s="1992">
        <f t="shared" si="6"/>
        <v>2029.05</v>
      </c>
      <c r="B410" s="2001" t="e">
        <v>#N/A</v>
      </c>
      <c r="C410" s="3563" t="e">
        <v>#N/A</v>
      </c>
      <c r="D410" s="2002" t="e">
        <v>#N/A</v>
      </c>
      <c r="E410" s="1999" t="e">
        <v>#N/A</v>
      </c>
      <c r="F410" s="3563" t="e">
        <v>#N/A</v>
      </c>
      <c r="G410" s="2002" t="e">
        <v>#N/A</v>
      </c>
      <c r="H410" s="2012" t="e">
        <v>#N/A</v>
      </c>
    </row>
    <row r="411" spans="1:8" ht="12.75" customHeight="1">
      <c r="A411" s="1992">
        <f t="shared" si="6"/>
        <v>2029.06</v>
      </c>
      <c r="B411" s="2001" t="e">
        <v>#N/A</v>
      </c>
      <c r="C411" s="3563" t="e">
        <v>#N/A</v>
      </c>
      <c r="D411" s="2002" t="e">
        <v>#N/A</v>
      </c>
      <c r="E411" s="1999" t="e">
        <v>#N/A</v>
      </c>
      <c r="F411" s="3563" t="e">
        <v>#N/A</v>
      </c>
      <c r="G411" s="2002" t="e">
        <v>#N/A</v>
      </c>
      <c r="H411" s="2012" t="e">
        <v>#N/A</v>
      </c>
    </row>
    <row r="412" spans="1:8" ht="12.75" customHeight="1">
      <c r="A412" s="1992">
        <f t="shared" si="6"/>
        <v>2029.07</v>
      </c>
      <c r="B412" s="2001" t="e">
        <v>#N/A</v>
      </c>
      <c r="C412" s="3563" t="e">
        <v>#N/A</v>
      </c>
      <c r="D412" s="2002" t="e">
        <v>#N/A</v>
      </c>
      <c r="E412" s="1999" t="e">
        <v>#N/A</v>
      </c>
      <c r="F412" s="3563" t="e">
        <v>#N/A</v>
      </c>
      <c r="G412" s="2002" t="e">
        <v>#N/A</v>
      </c>
      <c r="H412" s="2012" t="e">
        <v>#N/A</v>
      </c>
    </row>
    <row r="413" spans="1:8" ht="12.75" customHeight="1">
      <c r="A413" s="1992">
        <f t="shared" si="6"/>
        <v>2029.08</v>
      </c>
      <c r="B413" s="2001" t="e">
        <v>#N/A</v>
      </c>
      <c r="C413" s="3563" t="e">
        <v>#N/A</v>
      </c>
      <c r="D413" s="2002" t="e">
        <v>#N/A</v>
      </c>
      <c r="E413" s="1999" t="e">
        <v>#N/A</v>
      </c>
      <c r="F413" s="3563" t="e">
        <v>#N/A</v>
      </c>
      <c r="G413" s="2002" t="e">
        <v>#N/A</v>
      </c>
      <c r="H413" s="2012" t="e">
        <v>#N/A</v>
      </c>
    </row>
    <row r="414" spans="1:8" ht="12.75" customHeight="1">
      <c r="A414" s="1992">
        <f t="shared" si="6"/>
        <v>2029.09</v>
      </c>
      <c r="B414" s="2001" t="e">
        <v>#N/A</v>
      </c>
      <c r="C414" s="3563" t="e">
        <v>#N/A</v>
      </c>
      <c r="D414" s="2002" t="e">
        <v>#N/A</v>
      </c>
      <c r="E414" s="1999" t="e">
        <v>#N/A</v>
      </c>
      <c r="F414" s="3563" t="e">
        <v>#N/A</v>
      </c>
      <c r="G414" s="2002" t="e">
        <v>#N/A</v>
      </c>
      <c r="H414" s="2012" t="e">
        <v>#N/A</v>
      </c>
    </row>
    <row r="415" spans="1:8" ht="12.75" customHeight="1">
      <c r="A415" s="1992">
        <f t="shared" si="6"/>
        <v>2029.1</v>
      </c>
      <c r="B415" s="2001" t="e">
        <v>#N/A</v>
      </c>
      <c r="C415" s="3563" t="e">
        <v>#N/A</v>
      </c>
      <c r="D415" s="2002" t="e">
        <v>#N/A</v>
      </c>
      <c r="E415" s="1999" t="e">
        <v>#N/A</v>
      </c>
      <c r="F415" s="3563" t="e">
        <v>#N/A</v>
      </c>
      <c r="G415" s="2002" t="e">
        <v>#N/A</v>
      </c>
      <c r="H415" s="2012" t="e">
        <v>#N/A</v>
      </c>
    </row>
    <row r="416" spans="1:8" ht="12.75" customHeight="1">
      <c r="A416" s="1992">
        <f t="shared" si="6"/>
        <v>2029.11</v>
      </c>
      <c r="B416" s="2001" t="e">
        <v>#N/A</v>
      </c>
      <c r="C416" s="3563" t="e">
        <v>#N/A</v>
      </c>
      <c r="D416" s="2002" t="e">
        <v>#N/A</v>
      </c>
      <c r="E416" s="1999" t="e">
        <v>#N/A</v>
      </c>
      <c r="F416" s="3563" t="e">
        <v>#N/A</v>
      </c>
      <c r="G416" s="2002" t="e">
        <v>#N/A</v>
      </c>
      <c r="H416" s="2012" t="e">
        <v>#N/A</v>
      </c>
    </row>
    <row r="417" spans="1:8" ht="12.75" customHeight="1">
      <c r="A417" s="1992">
        <f t="shared" si="6"/>
        <v>2029.12</v>
      </c>
      <c r="B417" s="2001" t="e">
        <v>#N/A</v>
      </c>
      <c r="C417" s="3563" t="e">
        <v>#N/A</v>
      </c>
      <c r="D417" s="2002" t="e">
        <v>#N/A</v>
      </c>
      <c r="E417" s="1999" t="e">
        <v>#N/A</v>
      </c>
      <c r="F417" s="3563" t="e">
        <v>#N/A</v>
      </c>
      <c r="G417" s="2002" t="e">
        <v>#N/A</v>
      </c>
      <c r="H417" s="2012" t="e">
        <v>#N/A</v>
      </c>
    </row>
    <row r="418" spans="1:8" ht="12.75" customHeight="1">
      <c r="A418" s="1992">
        <f t="shared" si="6"/>
        <v>2030.01</v>
      </c>
      <c r="B418" s="2001" t="e">
        <v>#N/A</v>
      </c>
      <c r="C418" s="3563" t="e">
        <v>#N/A</v>
      </c>
      <c r="D418" s="2002" t="e">
        <v>#N/A</v>
      </c>
      <c r="E418" s="1999" t="e">
        <v>#N/A</v>
      </c>
      <c r="F418" s="3563" t="e">
        <v>#N/A</v>
      </c>
      <c r="G418" s="2002" t="e">
        <v>#N/A</v>
      </c>
      <c r="H418" s="2012" t="e">
        <v>#N/A</v>
      </c>
    </row>
    <row r="419" spans="1:8" ht="12.75" customHeight="1">
      <c r="A419" s="1992">
        <f t="shared" si="6"/>
        <v>2030.02</v>
      </c>
      <c r="B419" s="2001" t="e">
        <v>#N/A</v>
      </c>
      <c r="C419" s="3563" t="e">
        <v>#N/A</v>
      </c>
      <c r="D419" s="2002" t="e">
        <v>#N/A</v>
      </c>
      <c r="E419" s="1999" t="e">
        <v>#N/A</v>
      </c>
      <c r="F419" s="3563" t="e">
        <v>#N/A</v>
      </c>
      <c r="G419" s="2002" t="e">
        <v>#N/A</v>
      </c>
      <c r="H419" s="2012" t="e">
        <v>#N/A</v>
      </c>
    </row>
    <row r="420" spans="1:8" ht="12.75" customHeight="1">
      <c r="A420" s="1992">
        <f t="shared" si="6"/>
        <v>2030.03</v>
      </c>
      <c r="B420" s="2001" t="e">
        <v>#N/A</v>
      </c>
      <c r="C420" s="3563" t="e">
        <v>#N/A</v>
      </c>
      <c r="D420" s="2002" t="e">
        <v>#N/A</v>
      </c>
      <c r="E420" s="1999" t="e">
        <v>#N/A</v>
      </c>
      <c r="F420" s="3563" t="e">
        <v>#N/A</v>
      </c>
      <c r="G420" s="2002" t="e">
        <v>#N/A</v>
      </c>
      <c r="H420" s="2012" t="e">
        <v>#N/A</v>
      </c>
    </row>
    <row r="421" spans="1:8" ht="12.75" customHeight="1">
      <c r="A421" s="1992">
        <f t="shared" si="6"/>
        <v>2030.04</v>
      </c>
      <c r="B421" s="2001" t="e">
        <v>#N/A</v>
      </c>
      <c r="C421" s="3563" t="e">
        <v>#N/A</v>
      </c>
      <c r="D421" s="2002" t="e">
        <v>#N/A</v>
      </c>
      <c r="E421" s="1999" t="e">
        <v>#N/A</v>
      </c>
      <c r="F421" s="3563" t="e">
        <v>#N/A</v>
      </c>
      <c r="G421" s="2002" t="e">
        <v>#N/A</v>
      </c>
      <c r="H421" s="2012" t="e">
        <v>#N/A</v>
      </c>
    </row>
    <row r="422" spans="1:8" ht="12.75" customHeight="1">
      <c r="A422" s="1992">
        <f t="shared" si="6"/>
        <v>2030.05</v>
      </c>
      <c r="B422" s="2001" t="e">
        <v>#N/A</v>
      </c>
      <c r="C422" s="3563" t="e">
        <v>#N/A</v>
      </c>
      <c r="D422" s="2002" t="e">
        <v>#N/A</v>
      </c>
      <c r="E422" s="1999" t="e">
        <v>#N/A</v>
      </c>
      <c r="F422" s="3563" t="e">
        <v>#N/A</v>
      </c>
      <c r="G422" s="2002" t="e">
        <v>#N/A</v>
      </c>
      <c r="H422" s="2012" t="e">
        <v>#N/A</v>
      </c>
    </row>
    <row r="423" spans="1:8" ht="12.75" customHeight="1">
      <c r="A423" s="1992">
        <f t="shared" si="6"/>
        <v>2030.06</v>
      </c>
      <c r="B423" s="2001" t="e">
        <v>#N/A</v>
      </c>
      <c r="C423" s="3563" t="e">
        <v>#N/A</v>
      </c>
      <c r="D423" s="2002" t="e">
        <v>#N/A</v>
      </c>
      <c r="E423" s="1999" t="e">
        <v>#N/A</v>
      </c>
      <c r="F423" s="3563" t="e">
        <v>#N/A</v>
      </c>
      <c r="G423" s="2002" t="e">
        <v>#N/A</v>
      </c>
      <c r="H423" s="2012" t="e">
        <v>#N/A</v>
      </c>
    </row>
    <row r="424" spans="1:8" ht="12.75" customHeight="1">
      <c r="A424" s="1992">
        <f t="shared" si="6"/>
        <v>2030.07</v>
      </c>
      <c r="B424" s="2001" t="e">
        <v>#N/A</v>
      </c>
      <c r="C424" s="3563" t="e">
        <v>#N/A</v>
      </c>
      <c r="D424" s="2002" t="e">
        <v>#N/A</v>
      </c>
      <c r="E424" s="1999" t="e">
        <v>#N/A</v>
      </c>
      <c r="F424" s="3563" t="e">
        <v>#N/A</v>
      </c>
      <c r="G424" s="2002" t="e">
        <v>#N/A</v>
      </c>
      <c r="H424" s="2012" t="e">
        <v>#N/A</v>
      </c>
    </row>
    <row r="425" spans="1:8" ht="12.75" customHeight="1">
      <c r="A425" s="1992">
        <f t="shared" si="6"/>
        <v>2030.08</v>
      </c>
      <c r="B425" s="2001" t="e">
        <v>#N/A</v>
      </c>
      <c r="C425" s="3563" t="e">
        <v>#N/A</v>
      </c>
      <c r="D425" s="2002" t="e">
        <v>#N/A</v>
      </c>
      <c r="E425" s="1999" t="e">
        <v>#N/A</v>
      </c>
      <c r="F425" s="3563" t="e">
        <v>#N/A</v>
      </c>
      <c r="G425" s="2002" t="e">
        <v>#N/A</v>
      </c>
      <c r="H425" s="2012" t="e">
        <v>#N/A</v>
      </c>
    </row>
    <row r="426" spans="1:8" ht="12.75" customHeight="1">
      <c r="A426" s="1992">
        <f t="shared" si="6"/>
        <v>2030.09</v>
      </c>
      <c r="B426" s="2001" t="e">
        <v>#N/A</v>
      </c>
      <c r="C426" s="3563" t="e">
        <v>#N/A</v>
      </c>
      <c r="D426" s="2002" t="e">
        <v>#N/A</v>
      </c>
      <c r="E426" s="1999" t="e">
        <v>#N/A</v>
      </c>
      <c r="F426" s="3563" t="e">
        <v>#N/A</v>
      </c>
      <c r="G426" s="2002" t="e">
        <v>#N/A</v>
      </c>
      <c r="H426" s="2012" t="e">
        <v>#N/A</v>
      </c>
    </row>
    <row r="427" spans="1:8" ht="12.75" customHeight="1">
      <c r="A427" s="1992">
        <f t="shared" si="6"/>
        <v>2030.1</v>
      </c>
      <c r="B427" s="2001" t="e">
        <v>#N/A</v>
      </c>
      <c r="C427" s="3563" t="e">
        <v>#N/A</v>
      </c>
      <c r="D427" s="2002" t="e">
        <v>#N/A</v>
      </c>
      <c r="E427" s="1999" t="e">
        <v>#N/A</v>
      </c>
      <c r="F427" s="3563" t="e">
        <v>#N/A</v>
      </c>
      <c r="G427" s="2002" t="e">
        <v>#N/A</v>
      </c>
      <c r="H427" s="2012" t="e">
        <v>#N/A</v>
      </c>
    </row>
    <row r="428" spans="1:8" ht="12.75" customHeight="1">
      <c r="A428" s="1992">
        <f t="shared" si="6"/>
        <v>2030.11</v>
      </c>
      <c r="B428" s="2001" t="e">
        <v>#N/A</v>
      </c>
      <c r="C428" s="3563" t="e">
        <v>#N/A</v>
      </c>
      <c r="D428" s="2002" t="e">
        <v>#N/A</v>
      </c>
      <c r="E428" s="1999" t="e">
        <v>#N/A</v>
      </c>
      <c r="F428" s="3563" t="e">
        <v>#N/A</v>
      </c>
      <c r="G428" s="2002" t="e">
        <v>#N/A</v>
      </c>
      <c r="H428" s="2012" t="e">
        <v>#N/A</v>
      </c>
    </row>
    <row r="429" spans="1:8" ht="12.75" customHeight="1">
      <c r="A429" s="1992">
        <f t="shared" si="6"/>
        <v>2030.12</v>
      </c>
      <c r="B429" s="2001" t="e">
        <v>#N/A</v>
      </c>
      <c r="C429" s="3563" t="e">
        <v>#N/A</v>
      </c>
      <c r="D429" s="2002" t="e">
        <v>#N/A</v>
      </c>
      <c r="E429" s="1999" t="e">
        <v>#N/A</v>
      </c>
      <c r="F429" s="3563" t="e">
        <v>#N/A</v>
      </c>
      <c r="G429" s="2002" t="e">
        <v>#N/A</v>
      </c>
      <c r="H429" s="2012" t="e">
        <v>#N/A</v>
      </c>
    </row>
  </sheetData>
  <phoneticPr fontId="71" type="noConversion"/>
  <hyperlinks>
    <hyperlink ref="A5" location="INDICE!A13" display="VOLVER AL INDICE" xr:uid="{7D776851-7B20-4A7F-987B-E0A528621B7F}"/>
  </hyperlink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E8FD8-3ED6-4A58-94C3-4EC0D5B8BB39}">
  <dimension ref="A1:P309"/>
  <sheetViews>
    <sheetView zoomScaleNormal="100"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5"/>
  <cols>
    <col min="1" max="1" width="11.42578125" style="3186"/>
    <col min="2" max="7" width="25.5703125" style="3321" customWidth="1"/>
    <col min="8" max="14" width="18.7109375" style="467" customWidth="1"/>
    <col min="15" max="16" width="25.5703125" style="3321" customWidth="1"/>
    <col min="17" max="16384" width="11.42578125" style="3186"/>
  </cols>
  <sheetData>
    <row r="1" spans="1:16" ht="3.75" customHeight="1">
      <c r="A1" s="2761"/>
      <c r="B1" s="3183"/>
      <c r="C1" s="3183"/>
      <c r="D1" s="3183"/>
      <c r="E1" s="3183"/>
      <c r="F1" s="3183"/>
      <c r="G1" s="3184"/>
      <c r="H1" s="465"/>
      <c r="I1" s="465"/>
      <c r="J1" s="465"/>
      <c r="K1" s="465"/>
      <c r="L1" s="465"/>
      <c r="M1" s="465"/>
      <c r="N1" s="465"/>
      <c r="O1" s="3183"/>
      <c r="P1" s="3185"/>
    </row>
    <row r="2" spans="1:16">
      <c r="A2" s="2762" t="s">
        <v>99</v>
      </c>
      <c r="B2" s="3187" t="s">
        <v>649</v>
      </c>
      <c r="C2" s="3187"/>
      <c r="D2" s="3188"/>
      <c r="E2" s="3189" t="s">
        <v>650</v>
      </c>
      <c r="F2" s="3188"/>
      <c r="G2" s="3189"/>
      <c r="H2" s="3190" t="s">
        <v>651</v>
      </c>
      <c r="I2" s="3190"/>
      <c r="J2" s="3190"/>
      <c r="K2" s="472"/>
      <c r="L2" s="472"/>
      <c r="M2" s="472"/>
      <c r="N2" s="3191"/>
      <c r="O2" s="3192" t="s">
        <v>652</v>
      </c>
      <c r="P2" s="3193"/>
    </row>
    <row r="3" spans="1:16">
      <c r="A3" s="2762" t="s">
        <v>193</v>
      </c>
      <c r="B3" s="3194" t="s">
        <v>653</v>
      </c>
      <c r="C3" s="3194"/>
      <c r="D3" s="3194"/>
      <c r="E3" s="3194"/>
      <c r="F3" s="3194"/>
      <c r="G3" s="3187"/>
      <c r="H3" s="3194" t="s">
        <v>653</v>
      </c>
      <c r="I3" s="472"/>
      <c r="J3" s="472"/>
      <c r="K3" s="472"/>
      <c r="L3" s="472"/>
      <c r="M3" s="472"/>
      <c r="N3" s="3191"/>
      <c r="O3" s="3195"/>
      <c r="P3" s="3196"/>
    </row>
    <row r="4" spans="1:16" ht="4.5" hidden="1" customHeight="1">
      <c r="A4" s="2762"/>
      <c r="B4" s="3197"/>
      <c r="C4" s="3197"/>
      <c r="D4" s="3197"/>
      <c r="E4" s="3197"/>
      <c r="F4" s="3197"/>
      <c r="G4" s="3198"/>
      <c r="H4" s="2852"/>
      <c r="I4" s="472"/>
      <c r="J4" s="465"/>
      <c r="K4" s="465"/>
      <c r="L4" s="465"/>
      <c r="M4" s="465"/>
      <c r="N4" s="3199"/>
      <c r="O4" s="3197"/>
      <c r="P4" s="3200"/>
    </row>
    <row r="5" spans="1:16" ht="33.75">
      <c r="A5" s="2763" t="s">
        <v>140</v>
      </c>
      <c r="B5" s="3201" t="s">
        <v>654</v>
      </c>
      <c r="C5" s="3202" t="s">
        <v>655</v>
      </c>
      <c r="D5" s="3203" t="s">
        <v>656</v>
      </c>
      <c r="E5" s="3204" t="s">
        <v>657</v>
      </c>
      <c r="F5" s="3202" t="s">
        <v>658</v>
      </c>
      <c r="G5" s="3203" t="s">
        <v>659</v>
      </c>
      <c r="H5" s="3205" t="s">
        <v>660</v>
      </c>
      <c r="I5" s="3206" t="s">
        <v>661</v>
      </c>
      <c r="J5" s="3205" t="s">
        <v>662</v>
      </c>
      <c r="K5" s="3207" t="s">
        <v>663</v>
      </c>
      <c r="L5" s="3205" t="s">
        <v>664</v>
      </c>
      <c r="M5" s="3208" t="s">
        <v>665</v>
      </c>
      <c r="N5" s="3209" t="s">
        <v>666</v>
      </c>
      <c r="O5" s="3210" t="s">
        <v>667</v>
      </c>
      <c r="P5" s="3211" t="s">
        <v>668</v>
      </c>
    </row>
    <row r="6" spans="1:16" ht="2.4500000000000002" hidden="1" customHeight="1">
      <c r="A6" s="2762"/>
      <c r="B6" s="3197"/>
      <c r="C6" s="3212"/>
      <c r="D6" s="3213"/>
      <c r="E6" s="3214"/>
      <c r="F6" s="3212"/>
      <c r="G6" s="3213"/>
      <c r="H6" s="3215" t="s">
        <v>137</v>
      </c>
      <c r="I6" s="3216" t="s">
        <v>137</v>
      </c>
      <c r="J6" s="3215" t="s">
        <v>137</v>
      </c>
      <c r="K6" s="3217" t="s">
        <v>137</v>
      </c>
      <c r="L6" s="3215" t="s">
        <v>137</v>
      </c>
      <c r="M6" s="3218" t="s">
        <v>137</v>
      </c>
      <c r="N6" s="3219" t="s">
        <v>137</v>
      </c>
      <c r="O6" s="3220"/>
      <c r="P6" s="3200"/>
    </row>
    <row r="7" spans="1:16" ht="22.5">
      <c r="A7" s="2762" t="s">
        <v>125</v>
      </c>
      <c r="B7" s="3221" t="s">
        <v>669</v>
      </c>
      <c r="C7" s="3222" t="s">
        <v>669</v>
      </c>
      <c r="D7" s="3223" t="s">
        <v>669</v>
      </c>
      <c r="E7" s="3224" t="s">
        <v>594</v>
      </c>
      <c r="F7" s="3222" t="s">
        <v>594</v>
      </c>
      <c r="G7" s="3223" t="s">
        <v>594</v>
      </c>
      <c r="H7" s="3225" t="s">
        <v>670</v>
      </c>
      <c r="I7" s="3226" t="s">
        <v>670</v>
      </c>
      <c r="J7" s="3225" t="s">
        <v>670</v>
      </c>
      <c r="K7" s="3227" t="s">
        <v>670</v>
      </c>
      <c r="L7" s="3225" t="s">
        <v>670</v>
      </c>
      <c r="M7" s="3228" t="s">
        <v>670</v>
      </c>
      <c r="N7" s="3229" t="s">
        <v>670</v>
      </c>
      <c r="O7" s="3230" t="s">
        <v>594</v>
      </c>
      <c r="P7" s="3231" t="s">
        <v>594</v>
      </c>
    </row>
    <row r="8" spans="1:16">
      <c r="A8" s="2751" t="s">
        <v>144</v>
      </c>
      <c r="B8" s="3232" t="s">
        <v>671</v>
      </c>
      <c r="C8" s="3233" t="s">
        <v>672</v>
      </c>
      <c r="D8" s="3234" t="s">
        <v>673</v>
      </c>
      <c r="E8" s="3235" t="s">
        <v>674</v>
      </c>
      <c r="F8" s="3233" t="s">
        <v>675</v>
      </c>
      <c r="G8" s="3234" t="s">
        <v>676</v>
      </c>
      <c r="H8" s="3236" t="s">
        <v>677</v>
      </c>
      <c r="I8" s="3237" t="s">
        <v>678</v>
      </c>
      <c r="J8" s="3236" t="s">
        <v>679</v>
      </c>
      <c r="K8" s="3238" t="s">
        <v>680</v>
      </c>
      <c r="L8" s="3236" t="s">
        <v>681</v>
      </c>
      <c r="M8" s="3239" t="s">
        <v>682</v>
      </c>
      <c r="N8" s="3240" t="s">
        <v>683</v>
      </c>
      <c r="O8" s="3241" t="s">
        <v>684</v>
      </c>
      <c r="P8" s="3242" t="s">
        <v>685</v>
      </c>
    </row>
    <row r="9" spans="1:16" ht="15.75" thickBot="1">
      <c r="A9" s="2140"/>
      <c r="B9" s="3243"/>
      <c r="C9" s="3244"/>
      <c r="D9" s="3245"/>
      <c r="E9" s="3246"/>
      <c r="F9" s="3244"/>
      <c r="G9" s="3245"/>
      <c r="H9" s="2192"/>
      <c r="I9" s="2191"/>
      <c r="J9" s="2192"/>
      <c r="K9" s="3247"/>
      <c r="L9" s="2192"/>
      <c r="M9" s="3248"/>
      <c r="N9" s="3249"/>
      <c r="O9" s="3250"/>
      <c r="P9" s="3251"/>
    </row>
    <row r="10" spans="1:16" ht="12.75" customHeight="1">
      <c r="A10" s="3252">
        <f t="shared" ref="A10:A20" si="0">A22-1</f>
        <v>2006.01</v>
      </c>
      <c r="B10" s="3253">
        <v>5651443</v>
      </c>
      <c r="C10" s="3254">
        <v>939939</v>
      </c>
      <c r="D10" s="3255">
        <v>4711504</v>
      </c>
      <c r="E10" s="3256">
        <v>2142.4990810311601</v>
      </c>
      <c r="F10" s="3257">
        <v>2317.1592042887901</v>
      </c>
      <c r="G10" s="3258">
        <v>2107.6546106466199</v>
      </c>
      <c r="H10" s="3259"/>
      <c r="I10" s="3260"/>
      <c r="J10" s="3259"/>
      <c r="K10" s="3261"/>
      <c r="L10" s="3259"/>
      <c r="M10" s="3262"/>
      <c r="N10" s="3263"/>
      <c r="O10" s="3264"/>
      <c r="P10" s="3265"/>
    </row>
    <row r="11" spans="1:16" ht="12.75" customHeight="1">
      <c r="A11" s="3252">
        <f t="shared" si="0"/>
        <v>2006.02</v>
      </c>
      <c r="B11" s="3266">
        <v>5681062</v>
      </c>
      <c r="C11" s="3267">
        <v>914863</v>
      </c>
      <c r="D11" s="3268">
        <v>4766199</v>
      </c>
      <c r="E11" s="3269">
        <v>1589.1252715742201</v>
      </c>
      <c r="F11" s="3267">
        <v>1768.2279312421599</v>
      </c>
      <c r="G11" s="3268">
        <v>1554.7468504189601</v>
      </c>
      <c r="H11" s="3259"/>
      <c r="I11" s="3260"/>
      <c r="J11" s="3259"/>
      <c r="K11" s="3261"/>
      <c r="L11" s="3259"/>
      <c r="M11" s="3262"/>
      <c r="N11" s="3263"/>
      <c r="O11" s="3264"/>
      <c r="P11" s="3265"/>
    </row>
    <row r="12" spans="1:16" ht="12.75" customHeight="1">
      <c r="A12" s="3252">
        <f t="shared" si="0"/>
        <v>2006.03</v>
      </c>
      <c r="B12" s="3266">
        <v>5797883</v>
      </c>
      <c r="C12" s="3267">
        <v>940108</v>
      </c>
      <c r="D12" s="3268">
        <v>4857775</v>
      </c>
      <c r="E12" s="3269">
        <v>1507.1690540392101</v>
      </c>
      <c r="F12" s="3267">
        <v>1646.82878886256</v>
      </c>
      <c r="G12" s="3268">
        <v>1480.1411999320701</v>
      </c>
      <c r="H12" s="3259"/>
      <c r="I12" s="3260"/>
      <c r="J12" s="3259"/>
      <c r="K12" s="3261"/>
      <c r="L12" s="3259"/>
      <c r="M12" s="3262"/>
      <c r="N12" s="3263"/>
      <c r="O12" s="3264"/>
      <c r="P12" s="3265"/>
    </row>
    <row r="13" spans="1:16" ht="12.75" customHeight="1">
      <c r="A13" s="3252">
        <f t="shared" si="0"/>
        <v>2006.04</v>
      </c>
      <c r="B13" s="3266">
        <v>5810655</v>
      </c>
      <c r="C13" s="3267">
        <v>921642</v>
      </c>
      <c r="D13" s="3268">
        <v>4889013</v>
      </c>
      <c r="E13" s="3269">
        <v>1575.01702406699</v>
      </c>
      <c r="F13" s="3267">
        <v>1721.2662562904</v>
      </c>
      <c r="G13" s="3268">
        <v>1547.4471577392001</v>
      </c>
      <c r="H13" s="3259"/>
      <c r="I13" s="3260"/>
      <c r="J13" s="3259"/>
      <c r="K13" s="3261"/>
      <c r="L13" s="3259"/>
      <c r="M13" s="3262"/>
      <c r="N13" s="3263"/>
      <c r="O13" s="3264"/>
      <c r="P13" s="3265"/>
    </row>
    <row r="14" spans="1:16" ht="12.75" customHeight="1">
      <c r="A14" s="3252">
        <f t="shared" si="0"/>
        <v>2006.05</v>
      </c>
      <c r="B14" s="3266">
        <v>5859294</v>
      </c>
      <c r="C14" s="3267">
        <v>945411</v>
      </c>
      <c r="D14" s="3268">
        <v>4913883</v>
      </c>
      <c r="E14" s="3269">
        <v>1566.41172223991</v>
      </c>
      <c r="F14" s="3267">
        <v>1737.0953509003</v>
      </c>
      <c r="G14" s="3268">
        <v>1533.5728898836201</v>
      </c>
      <c r="H14" s="3259"/>
      <c r="I14" s="3260"/>
      <c r="J14" s="3259"/>
      <c r="K14" s="3261"/>
      <c r="L14" s="3259"/>
      <c r="M14" s="3262"/>
      <c r="N14" s="3263"/>
      <c r="O14" s="3264"/>
      <c r="P14" s="3265"/>
    </row>
    <row r="15" spans="1:16" ht="12.75" customHeight="1">
      <c r="A15" s="3252">
        <f t="shared" si="0"/>
        <v>2006.06</v>
      </c>
      <c r="B15" s="3266">
        <v>5839775</v>
      </c>
      <c r="C15" s="3267">
        <v>922002</v>
      </c>
      <c r="D15" s="3268">
        <v>4917773</v>
      </c>
      <c r="E15" s="3269">
        <v>1592.7574594843099</v>
      </c>
      <c r="F15" s="3267">
        <v>1758.17283578561</v>
      </c>
      <c r="G15" s="3268">
        <v>1561.7447820426</v>
      </c>
      <c r="H15" s="3259"/>
      <c r="I15" s="3260"/>
      <c r="J15" s="3259"/>
      <c r="K15" s="3261"/>
      <c r="L15" s="3259"/>
      <c r="M15" s="3262"/>
      <c r="N15" s="3263"/>
      <c r="O15" s="3264"/>
      <c r="P15" s="3265"/>
    </row>
    <row r="16" spans="1:16" ht="12.75" customHeight="1">
      <c r="A16" s="3252">
        <f t="shared" si="0"/>
        <v>2006.07</v>
      </c>
      <c r="B16" s="3266">
        <v>5872523</v>
      </c>
      <c r="C16" s="3267">
        <v>940042</v>
      </c>
      <c r="D16" s="3268">
        <v>4932481</v>
      </c>
      <c r="E16" s="3269">
        <v>2293.5594565640699</v>
      </c>
      <c r="F16" s="3267">
        <v>2503.1026811993502</v>
      </c>
      <c r="G16" s="3268">
        <v>2253.6242937175002</v>
      </c>
      <c r="H16" s="3259"/>
      <c r="I16" s="3260"/>
      <c r="J16" s="3259"/>
      <c r="K16" s="3261"/>
      <c r="L16" s="3259"/>
      <c r="M16" s="3262"/>
      <c r="N16" s="3263"/>
      <c r="O16" s="3264"/>
      <c r="P16" s="3265"/>
    </row>
    <row r="17" spans="1:16" ht="12.75" customHeight="1">
      <c r="A17" s="3252">
        <f t="shared" si="0"/>
        <v>2006.08</v>
      </c>
      <c r="B17" s="3266">
        <v>5898286</v>
      </c>
      <c r="C17" s="3267">
        <v>937534</v>
      </c>
      <c r="D17" s="3268">
        <v>4960752</v>
      </c>
      <c r="E17" s="3269">
        <v>1640.88271167929</v>
      </c>
      <c r="F17" s="3267">
        <v>1843.8261522248799</v>
      </c>
      <c r="G17" s="3268">
        <v>1602.5283703236901</v>
      </c>
      <c r="H17" s="3259"/>
      <c r="I17" s="3260"/>
      <c r="J17" s="3259"/>
      <c r="K17" s="3261"/>
      <c r="L17" s="3259"/>
      <c r="M17" s="3262"/>
      <c r="N17" s="3263"/>
      <c r="O17" s="3264"/>
      <c r="P17" s="3265"/>
    </row>
    <row r="18" spans="1:16" ht="12.75" customHeight="1">
      <c r="A18" s="3252">
        <f t="shared" si="0"/>
        <v>2006.09</v>
      </c>
      <c r="B18" s="3266">
        <v>5938448</v>
      </c>
      <c r="C18" s="3267">
        <v>958654</v>
      </c>
      <c r="D18" s="3268">
        <v>4979794</v>
      </c>
      <c r="E18" s="3269">
        <v>1682.2680633525799</v>
      </c>
      <c r="F18" s="3267">
        <v>1897.6684003821999</v>
      </c>
      <c r="G18" s="3268">
        <v>1640.8016101830699</v>
      </c>
      <c r="H18" s="3259"/>
      <c r="I18" s="3260"/>
      <c r="J18" s="3259"/>
      <c r="K18" s="3261"/>
      <c r="L18" s="3259"/>
      <c r="M18" s="3262"/>
      <c r="N18" s="3263"/>
      <c r="O18" s="3264"/>
      <c r="P18" s="3265"/>
    </row>
    <row r="19" spans="1:16" ht="12.75" customHeight="1">
      <c r="A19" s="3252">
        <f t="shared" si="0"/>
        <v>2006.1</v>
      </c>
      <c r="B19" s="3266">
        <v>5985854</v>
      </c>
      <c r="C19" s="3267">
        <v>954924</v>
      </c>
      <c r="D19" s="3268">
        <v>5030930</v>
      </c>
      <c r="E19" s="3269">
        <v>1700.09250493079</v>
      </c>
      <c r="F19" s="3267">
        <v>1915.69057122871</v>
      </c>
      <c r="G19" s="3268">
        <v>1659.16969983085</v>
      </c>
      <c r="H19" s="3259"/>
      <c r="I19" s="3260"/>
      <c r="J19" s="3259"/>
      <c r="K19" s="3261"/>
      <c r="L19" s="3259"/>
      <c r="M19" s="3262"/>
      <c r="N19" s="3263"/>
      <c r="O19" s="3264"/>
      <c r="P19" s="3265"/>
    </row>
    <row r="20" spans="1:16" ht="12.75" customHeight="1">
      <c r="A20" s="3252">
        <f t="shared" si="0"/>
        <v>2006.11</v>
      </c>
      <c r="B20" s="3266">
        <v>6095026</v>
      </c>
      <c r="C20" s="3267">
        <v>971343</v>
      </c>
      <c r="D20" s="3268">
        <v>5123683</v>
      </c>
      <c r="E20" s="3269">
        <v>1707.9899006845901</v>
      </c>
      <c r="F20" s="3267">
        <v>1915.7777561891101</v>
      </c>
      <c r="G20" s="3268">
        <v>1668.59767463756</v>
      </c>
      <c r="H20" s="3259"/>
      <c r="I20" s="3260"/>
      <c r="J20" s="3259"/>
      <c r="K20" s="3261"/>
      <c r="L20" s="3259"/>
      <c r="M20" s="3262"/>
      <c r="N20" s="3263"/>
      <c r="O20" s="3264"/>
      <c r="P20" s="3265"/>
    </row>
    <row r="21" spans="1:16" ht="12.75" customHeight="1">
      <c r="A21" s="3252">
        <f>A33-1</f>
        <v>2006.12</v>
      </c>
      <c r="B21" s="3266">
        <v>6099974</v>
      </c>
      <c r="C21" s="3267">
        <v>976212</v>
      </c>
      <c r="D21" s="3268">
        <v>5123762</v>
      </c>
      <c r="E21" s="3269">
        <v>1719.2200645969999</v>
      </c>
      <c r="F21" s="3267">
        <v>1944.98587852843</v>
      </c>
      <c r="G21" s="3268">
        <v>1676.2057136670301</v>
      </c>
      <c r="H21" s="3259"/>
      <c r="I21" s="3260"/>
      <c r="J21" s="3259"/>
      <c r="K21" s="3261"/>
      <c r="L21" s="3259"/>
      <c r="M21" s="3262"/>
      <c r="N21" s="3263"/>
      <c r="O21" s="3264"/>
      <c r="P21" s="3265"/>
    </row>
    <row r="22" spans="1:16" ht="12.75" customHeight="1">
      <c r="A22" s="3252">
        <v>2007.01</v>
      </c>
      <c r="B22" s="3266">
        <v>6155626</v>
      </c>
      <c r="C22" s="3267">
        <v>1006445</v>
      </c>
      <c r="D22" s="3268">
        <v>5149181</v>
      </c>
      <c r="E22" s="3269">
        <v>2558.93259135464</v>
      </c>
      <c r="F22" s="3267">
        <v>2876.6619657507399</v>
      </c>
      <c r="G22" s="3268">
        <v>2496.8300666591399</v>
      </c>
      <c r="H22" s="3259"/>
      <c r="I22" s="3260"/>
      <c r="J22" s="3259"/>
      <c r="K22" s="3261"/>
      <c r="L22" s="3259"/>
      <c r="M22" s="3262"/>
      <c r="N22" s="3263"/>
      <c r="O22" s="3264"/>
      <c r="P22" s="3265"/>
    </row>
    <row r="23" spans="1:16" ht="12.75" customHeight="1">
      <c r="A23" s="3252">
        <v>2007.02</v>
      </c>
      <c r="B23" s="3266">
        <v>6158127</v>
      </c>
      <c r="C23" s="3267">
        <v>984942</v>
      </c>
      <c r="D23" s="3268">
        <v>5173185</v>
      </c>
      <c r="E23" s="3269">
        <v>1886.6661027208399</v>
      </c>
      <c r="F23" s="3267">
        <v>2100.94986697694</v>
      </c>
      <c r="G23" s="3268">
        <v>1845.86781707401</v>
      </c>
      <c r="H23" s="3259"/>
      <c r="I23" s="3260"/>
      <c r="J23" s="3259"/>
      <c r="K23" s="3261"/>
      <c r="L23" s="3259"/>
      <c r="M23" s="3262"/>
      <c r="N23" s="3263"/>
      <c r="O23" s="3264"/>
      <c r="P23" s="3265"/>
    </row>
    <row r="24" spans="1:16" ht="12.75" customHeight="1">
      <c r="A24" s="3252">
        <v>2007.03</v>
      </c>
      <c r="B24" s="3266">
        <v>6264507</v>
      </c>
      <c r="C24" s="3267">
        <v>980446</v>
      </c>
      <c r="D24" s="3268">
        <v>5284061</v>
      </c>
      <c r="E24" s="3269">
        <v>1798.9043994076501</v>
      </c>
      <c r="F24" s="3267">
        <v>2018.8552775675601</v>
      </c>
      <c r="G24" s="3268">
        <v>1758.0929934287301</v>
      </c>
      <c r="H24" s="3259"/>
      <c r="I24" s="3260"/>
      <c r="J24" s="3259"/>
      <c r="K24" s="3261"/>
      <c r="L24" s="3259"/>
      <c r="M24" s="3262"/>
      <c r="N24" s="3263"/>
      <c r="O24" s="3264"/>
      <c r="P24" s="3265"/>
    </row>
    <row r="25" spans="1:16" ht="12.75" customHeight="1">
      <c r="A25" s="3252">
        <v>2007.04</v>
      </c>
      <c r="B25" s="3266">
        <v>6251377</v>
      </c>
      <c r="C25" s="3267">
        <v>959935</v>
      </c>
      <c r="D25" s="3268">
        <v>5291442</v>
      </c>
      <c r="E25" s="3269">
        <v>1884.8432145029799</v>
      </c>
      <c r="F25" s="3267">
        <v>2109.1242794043301</v>
      </c>
      <c r="G25" s="3268">
        <v>1844.1557716403199</v>
      </c>
      <c r="H25" s="3259"/>
      <c r="I25" s="3260"/>
      <c r="J25" s="3259"/>
      <c r="K25" s="3261"/>
      <c r="L25" s="3259"/>
      <c r="M25" s="3262"/>
      <c r="N25" s="3263"/>
      <c r="O25" s="3264"/>
      <c r="P25" s="3265"/>
    </row>
    <row r="26" spans="1:16" ht="12.75" customHeight="1">
      <c r="A26" s="3252">
        <v>2007.05</v>
      </c>
      <c r="B26" s="3266">
        <v>6342025</v>
      </c>
      <c r="C26" s="3267">
        <v>997043</v>
      </c>
      <c r="D26" s="3268">
        <v>5344982</v>
      </c>
      <c r="E26" s="3269">
        <v>1887.50088737745</v>
      </c>
      <c r="F26" s="3267">
        <v>2213.4751777305501</v>
      </c>
      <c r="G26" s="3268">
        <v>1826.6942496045799</v>
      </c>
      <c r="H26" s="3259"/>
      <c r="I26" s="3260"/>
      <c r="J26" s="3259"/>
      <c r="K26" s="3261"/>
      <c r="L26" s="3259"/>
      <c r="M26" s="3262"/>
      <c r="N26" s="3263"/>
      <c r="O26" s="3264"/>
      <c r="P26" s="3265"/>
    </row>
    <row r="27" spans="1:16" ht="12.75" customHeight="1">
      <c r="A27" s="3252">
        <v>2007.06</v>
      </c>
      <c r="B27" s="3266">
        <v>6324078</v>
      </c>
      <c r="C27" s="3267">
        <v>986228</v>
      </c>
      <c r="D27" s="3268">
        <v>5337850</v>
      </c>
      <c r="E27" s="3269">
        <v>1921.3851684087399</v>
      </c>
      <c r="F27" s="3267">
        <v>2245.8343370397101</v>
      </c>
      <c r="G27" s="3268">
        <v>1861.43952462321</v>
      </c>
      <c r="H27" s="3259"/>
      <c r="I27" s="3260"/>
      <c r="J27" s="3259"/>
      <c r="K27" s="3261"/>
      <c r="L27" s="3259"/>
      <c r="M27" s="3262"/>
      <c r="N27" s="3263"/>
      <c r="O27" s="3264"/>
      <c r="P27" s="3265"/>
    </row>
    <row r="28" spans="1:16" ht="12.75" customHeight="1">
      <c r="A28" s="3252">
        <v>2007.07</v>
      </c>
      <c r="B28" s="3266">
        <v>6404056</v>
      </c>
      <c r="C28" s="3267">
        <v>1013678</v>
      </c>
      <c r="D28" s="3268">
        <v>5390378</v>
      </c>
      <c r="E28" s="3269">
        <v>2784.3501926232402</v>
      </c>
      <c r="F28" s="3267">
        <v>3258.99520249034</v>
      </c>
      <c r="G28" s="3268">
        <v>2695.09166487026</v>
      </c>
      <c r="H28" s="3259"/>
      <c r="I28" s="3260"/>
      <c r="J28" s="3259"/>
      <c r="K28" s="3261"/>
      <c r="L28" s="3259"/>
      <c r="M28" s="3262"/>
      <c r="N28" s="3263"/>
      <c r="O28" s="3264"/>
      <c r="P28" s="3265"/>
    </row>
    <row r="29" spans="1:16" ht="12.75" customHeight="1">
      <c r="A29" s="3252">
        <v>2007.08</v>
      </c>
      <c r="B29" s="3266">
        <v>6441282</v>
      </c>
      <c r="C29" s="3267">
        <v>1020919</v>
      </c>
      <c r="D29" s="3268">
        <v>5420363</v>
      </c>
      <c r="E29" s="3269">
        <v>1994.5197144475178</v>
      </c>
      <c r="F29" s="3267">
        <v>2318.2861900676953</v>
      </c>
      <c r="G29" s="3268">
        <v>1934.6292919934342</v>
      </c>
      <c r="H29" s="3259"/>
      <c r="I29" s="3260"/>
      <c r="J29" s="3259"/>
      <c r="K29" s="3261"/>
      <c r="L29" s="3259"/>
      <c r="M29" s="3262"/>
      <c r="N29" s="3263"/>
      <c r="O29" s="3264"/>
      <c r="P29" s="3265"/>
    </row>
    <row r="30" spans="1:16" ht="12.75" customHeight="1">
      <c r="A30" s="3252">
        <v>2007.09</v>
      </c>
      <c r="B30" s="3266">
        <v>6519773</v>
      </c>
      <c r="C30" s="3267">
        <v>1033149</v>
      </c>
      <c r="D30" s="3268">
        <v>5486624</v>
      </c>
      <c r="E30" s="3269">
        <v>2061.9314923985598</v>
      </c>
      <c r="F30" s="3267">
        <v>2431.9652750903801</v>
      </c>
      <c r="G30" s="3268">
        <v>1992.2360643632201</v>
      </c>
      <c r="H30" s="3259"/>
      <c r="I30" s="3260"/>
      <c r="J30" s="3259"/>
      <c r="K30" s="3261"/>
      <c r="L30" s="3259"/>
      <c r="M30" s="3262"/>
      <c r="N30" s="3263"/>
      <c r="O30" s="3264"/>
      <c r="P30" s="3265"/>
    </row>
    <row r="31" spans="1:16" ht="12.75" customHeight="1">
      <c r="A31" s="3252">
        <v>2007.1</v>
      </c>
      <c r="B31" s="3266">
        <v>6541604</v>
      </c>
      <c r="C31" s="3267">
        <v>1020237</v>
      </c>
      <c r="D31" s="3268">
        <v>5521367</v>
      </c>
      <c r="E31" s="3269">
        <v>2080.6043524337401</v>
      </c>
      <c r="F31" s="3267">
        <v>2496.57388169567</v>
      </c>
      <c r="G31" s="3268">
        <v>2002.27594808392</v>
      </c>
      <c r="H31" s="3259"/>
      <c r="I31" s="3260"/>
      <c r="J31" s="3259"/>
      <c r="K31" s="3261"/>
      <c r="L31" s="3259"/>
      <c r="M31" s="3262"/>
      <c r="N31" s="3263"/>
      <c r="O31" s="3264"/>
      <c r="P31" s="3265"/>
    </row>
    <row r="32" spans="1:16" ht="12.75" customHeight="1">
      <c r="A32" s="3252">
        <v>2007.11</v>
      </c>
      <c r="B32" s="3266">
        <v>6594614</v>
      </c>
      <c r="C32" s="3267">
        <v>1042702</v>
      </c>
      <c r="D32" s="3268">
        <v>5551912</v>
      </c>
      <c r="E32" s="3269">
        <v>2142.18862585537</v>
      </c>
      <c r="F32" s="3267">
        <v>2558.2828905832698</v>
      </c>
      <c r="G32" s="3268">
        <v>2065.3028176192602</v>
      </c>
      <c r="H32" s="3259"/>
      <c r="I32" s="3260"/>
      <c r="J32" s="3259"/>
      <c r="K32" s="3261"/>
      <c r="L32" s="3259"/>
      <c r="M32" s="3262"/>
      <c r="N32" s="3263"/>
      <c r="O32" s="3264"/>
      <c r="P32" s="3265"/>
    </row>
    <row r="33" spans="1:16" ht="12.75" customHeight="1">
      <c r="A33" s="3252">
        <v>2007.12</v>
      </c>
      <c r="B33" s="3270">
        <v>6565908</v>
      </c>
      <c r="C33" s="3267">
        <v>1053377</v>
      </c>
      <c r="D33" s="3268">
        <v>5512531</v>
      </c>
      <c r="E33" s="3269">
        <v>2143.2519308757101</v>
      </c>
      <c r="F33" s="3267">
        <v>2539.5003923556301</v>
      </c>
      <c r="G33" s="3268">
        <v>2068.8326923715599</v>
      </c>
      <c r="H33" s="3259"/>
      <c r="I33" s="3260"/>
      <c r="J33" s="3259"/>
      <c r="K33" s="3261"/>
      <c r="L33" s="3259"/>
      <c r="M33" s="3262"/>
      <c r="N33" s="3263"/>
      <c r="O33" s="3264"/>
      <c r="P33" s="3265"/>
    </row>
    <row r="34" spans="1:16" ht="12.75" customHeight="1">
      <c r="A34" s="3252">
        <v>2008.01</v>
      </c>
      <c r="B34" s="3271">
        <v>6577374</v>
      </c>
      <c r="C34" s="3267">
        <v>1013866</v>
      </c>
      <c r="D34" s="3268">
        <v>5563508</v>
      </c>
      <c r="E34" s="3269">
        <v>3199.21813774576</v>
      </c>
      <c r="F34" s="3267">
        <v>3714.25441482015</v>
      </c>
      <c r="G34" s="3268">
        <v>3100.80102799422</v>
      </c>
      <c r="H34" s="3272"/>
      <c r="I34" s="3260"/>
      <c r="J34" s="3273"/>
      <c r="K34" s="3261"/>
      <c r="L34" s="3260"/>
      <c r="M34" s="3262"/>
      <c r="N34" s="3263"/>
      <c r="O34" s="3264"/>
      <c r="P34" s="3265"/>
    </row>
    <row r="35" spans="1:16" ht="12.75" customHeight="1">
      <c r="A35" s="3252">
        <v>2008.02</v>
      </c>
      <c r="B35" s="3274">
        <v>6657876</v>
      </c>
      <c r="C35" s="3275">
        <v>1015653</v>
      </c>
      <c r="D35" s="3276">
        <v>5642223</v>
      </c>
      <c r="E35" s="3277">
        <v>2366.8240081497602</v>
      </c>
      <c r="F35" s="3275">
        <v>2706.42020880471</v>
      </c>
      <c r="G35" s="3276">
        <v>2304.9376872217999</v>
      </c>
      <c r="H35" s="3272"/>
      <c r="I35" s="3260"/>
      <c r="J35" s="3273"/>
      <c r="K35" s="3261"/>
      <c r="L35" s="3260"/>
      <c r="M35" s="3262"/>
      <c r="N35" s="3263"/>
      <c r="O35" s="3264"/>
      <c r="P35" s="3265"/>
    </row>
    <row r="36" spans="1:16" ht="12.75" customHeight="1">
      <c r="A36" s="3252">
        <v>2008.03</v>
      </c>
      <c r="B36" s="3274">
        <v>6756680</v>
      </c>
      <c r="C36" s="3275">
        <v>1030154</v>
      </c>
      <c r="D36" s="3276">
        <v>5726526</v>
      </c>
      <c r="E36" s="3277">
        <v>2292.2977119685002</v>
      </c>
      <c r="F36" s="3275">
        <v>2587.0897667805798</v>
      </c>
      <c r="G36" s="3276">
        <v>2239.2323802994001</v>
      </c>
      <c r="H36" s="3272"/>
      <c r="I36" s="3260"/>
      <c r="J36" s="3273"/>
      <c r="K36" s="3261"/>
      <c r="L36" s="3260"/>
      <c r="M36" s="3262"/>
      <c r="N36" s="3263"/>
      <c r="O36" s="3264"/>
      <c r="P36" s="3265"/>
    </row>
    <row r="37" spans="1:16" ht="12.75" customHeight="1">
      <c r="A37" s="3252">
        <v>2008.04</v>
      </c>
      <c r="B37" s="3274">
        <v>6765209</v>
      </c>
      <c r="C37" s="3275">
        <v>1003317</v>
      </c>
      <c r="D37" s="3276">
        <v>5761892</v>
      </c>
      <c r="E37" s="3277">
        <v>2363.7581988417401</v>
      </c>
      <c r="F37" s="3275">
        <v>2777.9920602453599</v>
      </c>
      <c r="G37" s="3276">
        <v>2289.2410012842001</v>
      </c>
      <c r="H37" s="3272"/>
      <c r="I37" s="3260"/>
      <c r="J37" s="3273"/>
      <c r="K37" s="3261"/>
      <c r="L37" s="3260"/>
      <c r="M37" s="3262"/>
      <c r="N37" s="3263"/>
      <c r="O37" s="3264"/>
      <c r="P37" s="3265"/>
    </row>
    <row r="38" spans="1:16" ht="12.75" customHeight="1">
      <c r="A38" s="3252">
        <v>2008.05</v>
      </c>
      <c r="B38" s="3274">
        <v>6767129</v>
      </c>
      <c r="C38" s="3275">
        <v>1037394</v>
      </c>
      <c r="D38" s="3276">
        <v>5729735</v>
      </c>
      <c r="E38" s="3277">
        <v>2470.5096413178098</v>
      </c>
      <c r="F38" s="3275">
        <v>2988.4450936643202</v>
      </c>
      <c r="G38" s="3276">
        <v>2380.3216537189501</v>
      </c>
      <c r="H38" s="3272"/>
      <c r="I38" s="3260"/>
      <c r="J38" s="3273"/>
      <c r="K38" s="3261"/>
      <c r="L38" s="3260"/>
      <c r="M38" s="3262"/>
      <c r="N38" s="3263"/>
      <c r="O38" s="3264"/>
      <c r="P38" s="3265"/>
    </row>
    <row r="39" spans="1:16" ht="12.75" customHeight="1">
      <c r="A39" s="3252">
        <v>2008.06</v>
      </c>
      <c r="B39" s="3274">
        <v>6924964</v>
      </c>
      <c r="C39" s="3275">
        <v>1133607</v>
      </c>
      <c r="D39" s="3276">
        <v>5791357</v>
      </c>
      <c r="E39" s="3277">
        <v>2512.7026803449398</v>
      </c>
      <c r="F39" s="3275">
        <v>3004.9325775356301</v>
      </c>
      <c r="G39" s="3276">
        <v>2423.5822686738602</v>
      </c>
      <c r="H39" s="3272"/>
      <c r="I39" s="3260"/>
      <c r="J39" s="3273"/>
      <c r="K39" s="3261"/>
      <c r="L39" s="3260"/>
      <c r="M39" s="3262"/>
      <c r="N39" s="3263"/>
      <c r="O39" s="3264"/>
      <c r="P39" s="3265"/>
    </row>
    <row r="40" spans="1:16" ht="12.75" customHeight="1">
      <c r="A40" s="3252">
        <v>2008.07</v>
      </c>
      <c r="B40" s="3274">
        <v>6931996</v>
      </c>
      <c r="C40" s="3275">
        <v>1126867</v>
      </c>
      <c r="D40" s="3276">
        <v>5805129</v>
      </c>
      <c r="E40" s="3277">
        <v>3629.75789691614</v>
      </c>
      <c r="F40" s="3275">
        <v>4461.9857997171903</v>
      </c>
      <c r="G40" s="3276">
        <v>3466.8566328064398</v>
      </c>
      <c r="H40" s="3272"/>
      <c r="I40" s="3260"/>
      <c r="J40" s="3273"/>
      <c r="K40" s="3261"/>
      <c r="L40" s="3260"/>
      <c r="M40" s="3262"/>
      <c r="N40" s="3263"/>
      <c r="O40" s="3264"/>
      <c r="P40" s="3265"/>
    </row>
    <row r="41" spans="1:16" ht="12.75" customHeight="1">
      <c r="A41" s="3252">
        <v>2008.08</v>
      </c>
      <c r="B41" s="3274">
        <v>6950982</v>
      </c>
      <c r="C41" s="3275">
        <v>1101576</v>
      </c>
      <c r="D41" s="3276">
        <v>5849406</v>
      </c>
      <c r="E41" s="3277">
        <v>2670.36715404914</v>
      </c>
      <c r="F41" s="3275">
        <v>3164.9561628834599</v>
      </c>
      <c r="G41" s="3276">
        <v>2574.3596350744301</v>
      </c>
      <c r="H41" s="3272"/>
      <c r="I41" s="3260"/>
      <c r="J41" s="3273"/>
      <c r="K41" s="3261"/>
      <c r="L41" s="3260"/>
      <c r="M41" s="3262"/>
      <c r="N41" s="3263"/>
      <c r="O41" s="3264"/>
      <c r="P41" s="3265"/>
    </row>
    <row r="42" spans="1:16" ht="12.75" customHeight="1">
      <c r="A42" s="3252">
        <v>2008.09</v>
      </c>
      <c r="B42" s="3274">
        <v>6982335</v>
      </c>
      <c r="C42" s="3275">
        <v>1138210</v>
      </c>
      <c r="D42" s="3276">
        <v>5844125</v>
      </c>
      <c r="E42" s="3277">
        <v>2715.15654044134</v>
      </c>
      <c r="F42" s="3275">
        <v>3326.78087021685</v>
      </c>
      <c r="G42" s="3276">
        <v>2599.97378809062</v>
      </c>
      <c r="H42" s="3272"/>
      <c r="I42" s="3260"/>
      <c r="J42" s="3273"/>
      <c r="K42" s="3261"/>
      <c r="L42" s="3260"/>
      <c r="M42" s="3262"/>
      <c r="N42" s="3263"/>
      <c r="O42" s="3264"/>
      <c r="P42" s="3265"/>
    </row>
    <row r="43" spans="1:16" ht="12.75" customHeight="1">
      <c r="A43" s="3252">
        <v>2008.1</v>
      </c>
      <c r="B43" s="3274">
        <v>7020007</v>
      </c>
      <c r="C43" s="3275">
        <v>1137030</v>
      </c>
      <c r="D43" s="3276">
        <v>5882977</v>
      </c>
      <c r="E43" s="3277">
        <v>2795.6816751502201</v>
      </c>
      <c r="F43" s="3275">
        <v>3326.6495898296398</v>
      </c>
      <c r="G43" s="3276">
        <v>2692.2696177135199</v>
      </c>
      <c r="H43" s="3272"/>
      <c r="I43" s="3260"/>
      <c r="J43" s="3273"/>
      <c r="K43" s="3261"/>
      <c r="L43" s="3260"/>
      <c r="M43" s="3262"/>
      <c r="N43" s="3263"/>
      <c r="O43" s="3264"/>
      <c r="P43" s="3265"/>
    </row>
    <row r="44" spans="1:16" ht="12.75" customHeight="1">
      <c r="A44" s="3252">
        <v>2008.11</v>
      </c>
      <c r="B44" s="3274">
        <v>7020007</v>
      </c>
      <c r="C44" s="3275">
        <v>1137030</v>
      </c>
      <c r="D44" s="3276">
        <v>5882977</v>
      </c>
      <c r="E44" s="3277">
        <v>2847.7076778897799</v>
      </c>
      <c r="F44" s="3275">
        <v>3350.3799835272598</v>
      </c>
      <c r="G44" s="3276">
        <v>2750.5538913495702</v>
      </c>
      <c r="H44" s="3272"/>
      <c r="I44" s="3260"/>
      <c r="J44" s="3273"/>
      <c r="K44" s="3261"/>
      <c r="L44" s="3260"/>
      <c r="M44" s="3262"/>
      <c r="N44" s="3263"/>
      <c r="O44" s="3264"/>
      <c r="P44" s="3265"/>
    </row>
    <row r="45" spans="1:16" ht="12.75" customHeight="1">
      <c r="A45" s="3252">
        <v>2008.12</v>
      </c>
      <c r="B45" s="3274">
        <v>6990041</v>
      </c>
      <c r="C45" s="3275">
        <v>1144078</v>
      </c>
      <c r="D45" s="3276">
        <v>5845963</v>
      </c>
      <c r="E45" s="3277">
        <v>2821.2150043454699</v>
      </c>
      <c r="F45" s="3275">
        <v>3369.9986527579399</v>
      </c>
      <c r="G45" s="3276">
        <v>2713.8158814108101</v>
      </c>
      <c r="H45" s="3272"/>
      <c r="I45" s="3260"/>
      <c r="J45" s="3273"/>
      <c r="K45" s="3261"/>
      <c r="L45" s="3260"/>
      <c r="M45" s="3262"/>
      <c r="N45" s="3263"/>
      <c r="O45" s="3264"/>
      <c r="P45" s="3265"/>
    </row>
    <row r="46" spans="1:16" ht="12.75" customHeight="1">
      <c r="A46" s="3252">
        <v>2009.01</v>
      </c>
      <c r="B46" s="3274">
        <v>6975206</v>
      </c>
      <c r="C46" s="3275">
        <v>1159926</v>
      </c>
      <c r="D46" s="3276">
        <v>5815280</v>
      </c>
      <c r="E46" s="3277">
        <v>4239.8672812100403</v>
      </c>
      <c r="F46" s="3275">
        <v>4943.7272384962498</v>
      </c>
      <c r="G46" s="3276">
        <v>4099.4741333624497</v>
      </c>
      <c r="H46" s="3272"/>
      <c r="I46" s="3260"/>
      <c r="J46" s="3273"/>
      <c r="K46" s="3261"/>
      <c r="L46" s="3260"/>
      <c r="M46" s="3262"/>
      <c r="N46" s="3263"/>
      <c r="O46" s="3256">
        <v>2050</v>
      </c>
      <c r="P46" s="3278">
        <v>2907.11</v>
      </c>
    </row>
    <row r="47" spans="1:16" ht="12.75" customHeight="1">
      <c r="A47" s="3252">
        <v>2009.02</v>
      </c>
      <c r="B47" s="3274">
        <v>6915507</v>
      </c>
      <c r="C47" s="3275">
        <v>1137994</v>
      </c>
      <c r="D47" s="3276">
        <v>5777513</v>
      </c>
      <c r="E47" s="3277">
        <v>3085.8755923144899</v>
      </c>
      <c r="F47" s="3275">
        <v>3682.7953831478899</v>
      </c>
      <c r="G47" s="3276">
        <v>2968.3005837511801</v>
      </c>
      <c r="H47" s="3272"/>
      <c r="I47" s="3260"/>
      <c r="J47" s="3273"/>
      <c r="K47" s="3261"/>
      <c r="L47" s="3260"/>
      <c r="M47" s="3262"/>
      <c r="N47" s="3263"/>
      <c r="O47" s="3279">
        <v>2014.08</v>
      </c>
      <c r="P47" s="3280">
        <v>2791.44</v>
      </c>
    </row>
    <row r="48" spans="1:16" ht="12.75" customHeight="1">
      <c r="A48" s="3252">
        <v>2009.03</v>
      </c>
      <c r="B48" s="3274">
        <v>6925839</v>
      </c>
      <c r="C48" s="3275">
        <v>1147995</v>
      </c>
      <c r="D48" s="3276">
        <v>5777844</v>
      </c>
      <c r="E48" s="3277">
        <v>2955.69175010566</v>
      </c>
      <c r="F48" s="3275">
        <v>3451.73896863662</v>
      </c>
      <c r="G48" s="3276">
        <v>2857.1325424431702</v>
      </c>
      <c r="H48" s="3272"/>
      <c r="I48" s="3260"/>
      <c r="J48" s="3273"/>
      <c r="K48" s="3261"/>
      <c r="L48" s="3260"/>
      <c r="M48" s="3262"/>
      <c r="N48" s="3263"/>
      <c r="O48" s="3279">
        <v>2025.53</v>
      </c>
      <c r="P48" s="3280">
        <v>2869.86</v>
      </c>
    </row>
    <row r="49" spans="1:16" ht="12.75" customHeight="1">
      <c r="A49" s="3252">
        <v>2009.04</v>
      </c>
      <c r="B49" s="3274">
        <v>6907895</v>
      </c>
      <c r="C49" s="3275">
        <v>1144195</v>
      </c>
      <c r="D49" s="3276">
        <v>5763700</v>
      </c>
      <c r="E49" s="3277">
        <v>3031.2809646382898</v>
      </c>
      <c r="F49" s="3275">
        <v>3457.2233263560802</v>
      </c>
      <c r="G49" s="3276">
        <v>2946.7239751062698</v>
      </c>
      <c r="H49" s="3272"/>
      <c r="I49" s="3260"/>
      <c r="J49" s="3273"/>
      <c r="K49" s="3261"/>
      <c r="L49" s="3260"/>
      <c r="M49" s="3262"/>
      <c r="N49" s="3263"/>
      <c r="O49" s="3279">
        <v>2157.8000000000002</v>
      </c>
      <c r="P49" s="3280">
        <v>2885.72</v>
      </c>
    </row>
    <row r="50" spans="1:16" ht="12.75" customHeight="1">
      <c r="A50" s="3252">
        <v>2009.05</v>
      </c>
      <c r="B50" s="3274">
        <v>6812702</v>
      </c>
      <c r="C50" s="3275">
        <v>1133246</v>
      </c>
      <c r="D50" s="3276">
        <v>5679456</v>
      </c>
      <c r="E50" s="3277">
        <v>3051.3117534070898</v>
      </c>
      <c r="F50" s="3275">
        <v>3560.32910493397</v>
      </c>
      <c r="G50" s="3276">
        <v>2949.7453573388002</v>
      </c>
      <c r="H50" s="3272"/>
      <c r="I50" s="3260"/>
      <c r="J50" s="3273"/>
      <c r="K50" s="3261"/>
      <c r="L50" s="3260"/>
      <c r="M50" s="3262"/>
      <c r="N50" s="3263"/>
      <c r="O50" s="3279">
        <v>2223.66</v>
      </c>
      <c r="P50" s="3280">
        <v>2886.88</v>
      </c>
    </row>
    <row r="51" spans="1:16" ht="12.75" customHeight="1">
      <c r="A51" s="3252">
        <v>2009.06</v>
      </c>
      <c r="B51" s="3274">
        <v>6836657</v>
      </c>
      <c r="C51" s="3275">
        <v>1154117</v>
      </c>
      <c r="D51" s="3276">
        <v>5682540</v>
      </c>
      <c r="E51" s="3277">
        <v>3079.5223032177901</v>
      </c>
      <c r="F51" s="3275">
        <v>3725.4336849470201</v>
      </c>
      <c r="G51" s="3276">
        <v>2948.33848292841</v>
      </c>
      <c r="H51" s="3272"/>
      <c r="I51" s="3260"/>
      <c r="J51" s="3273"/>
      <c r="K51" s="3261"/>
      <c r="L51" s="3260"/>
      <c r="M51" s="3262"/>
      <c r="N51" s="3263"/>
      <c r="O51" s="3279">
        <v>3263.85</v>
      </c>
      <c r="P51" s="3280">
        <v>4245.8100000000004</v>
      </c>
    </row>
    <row r="52" spans="1:16" ht="12.75" customHeight="1">
      <c r="A52" s="3252">
        <v>2009.07</v>
      </c>
      <c r="B52" s="3274">
        <v>6877745</v>
      </c>
      <c r="C52" s="3275">
        <v>1177463</v>
      </c>
      <c r="D52" s="3276">
        <v>5700282</v>
      </c>
      <c r="E52" s="3277">
        <v>4548.7084831641796</v>
      </c>
      <c r="F52" s="3275">
        <v>5517.9691177557197</v>
      </c>
      <c r="G52" s="3276">
        <v>4348.4958384935999</v>
      </c>
      <c r="H52" s="3272"/>
      <c r="I52" s="3260"/>
      <c r="J52" s="3273"/>
      <c r="K52" s="3261"/>
      <c r="L52" s="3260"/>
      <c r="M52" s="3262"/>
      <c r="N52" s="3263"/>
      <c r="O52" s="3279">
        <v>2277.19</v>
      </c>
      <c r="P52" s="3280">
        <v>2991.46</v>
      </c>
    </row>
    <row r="53" spans="1:16" ht="12.75" customHeight="1">
      <c r="A53" s="3252">
        <v>2009.08</v>
      </c>
      <c r="B53" s="3274">
        <v>6910648</v>
      </c>
      <c r="C53" s="3275">
        <v>1219335</v>
      </c>
      <c r="D53" s="3276">
        <v>5691313</v>
      </c>
      <c r="E53" s="3277">
        <v>3208.04228602585</v>
      </c>
      <c r="F53" s="3275">
        <v>3950.2314207006302</v>
      </c>
      <c r="G53" s="3276">
        <v>3049.0320209905899</v>
      </c>
      <c r="H53" s="3272"/>
      <c r="I53" s="3260"/>
      <c r="J53" s="3273"/>
      <c r="K53" s="3261"/>
      <c r="L53" s="3260"/>
      <c r="M53" s="3262"/>
      <c r="N53" s="3263"/>
      <c r="O53" s="3279">
        <v>2286.15</v>
      </c>
      <c r="P53" s="3280">
        <v>3026.88</v>
      </c>
    </row>
    <row r="54" spans="1:16" ht="12.75" customHeight="1">
      <c r="A54" s="3252">
        <v>2009.09</v>
      </c>
      <c r="B54" s="3274">
        <v>6914149</v>
      </c>
      <c r="C54" s="3275">
        <v>1223555</v>
      </c>
      <c r="D54" s="3276">
        <v>5690594</v>
      </c>
      <c r="E54" s="3277">
        <v>3220.8436782429799</v>
      </c>
      <c r="F54" s="3275">
        <v>3879.8802509082102</v>
      </c>
      <c r="G54" s="3276">
        <v>3079.1418640444199</v>
      </c>
      <c r="H54" s="3272"/>
      <c r="I54" s="3260"/>
      <c r="J54" s="3273"/>
      <c r="K54" s="3261"/>
      <c r="L54" s="3260"/>
      <c r="M54" s="3262"/>
      <c r="N54" s="3263"/>
      <c r="O54" s="3279">
        <v>2322</v>
      </c>
      <c r="P54" s="3280">
        <v>3112.32</v>
      </c>
    </row>
    <row r="55" spans="1:16" ht="12.75" customHeight="1">
      <c r="A55" s="3252">
        <v>2009.1</v>
      </c>
      <c r="B55" s="3274">
        <v>6950683</v>
      </c>
      <c r="C55" s="3275">
        <v>1239720</v>
      </c>
      <c r="D55" s="3276">
        <v>5710963</v>
      </c>
      <c r="E55" s="3277">
        <v>3311.0698112919299</v>
      </c>
      <c r="F55" s="3275">
        <v>3921.4699217161901</v>
      </c>
      <c r="G55" s="3276">
        <v>3178.5658491939098</v>
      </c>
      <c r="H55" s="3272"/>
      <c r="I55" s="3260"/>
      <c r="J55" s="3273"/>
      <c r="K55" s="3261"/>
      <c r="L55" s="3260"/>
      <c r="M55" s="3262"/>
      <c r="N55" s="3263"/>
      <c r="O55" s="3279">
        <v>2334.71</v>
      </c>
      <c r="P55" s="3280">
        <v>3135.62</v>
      </c>
    </row>
    <row r="56" spans="1:16" ht="12.75" customHeight="1">
      <c r="A56" s="3252">
        <v>2009.11</v>
      </c>
      <c r="B56" s="3274">
        <v>6994729</v>
      </c>
      <c r="C56" s="3275">
        <v>1236896</v>
      </c>
      <c r="D56" s="3276">
        <v>5757833</v>
      </c>
      <c r="E56" s="3277">
        <v>3318.2581766384401</v>
      </c>
      <c r="F56" s="3275">
        <v>3930.7268877496599</v>
      </c>
      <c r="G56" s="3276">
        <v>3186.6878273596999</v>
      </c>
      <c r="H56" s="3272"/>
      <c r="I56" s="3260"/>
      <c r="J56" s="3273"/>
      <c r="K56" s="3261"/>
      <c r="L56" s="3260"/>
      <c r="M56" s="3262"/>
      <c r="N56" s="3263"/>
      <c r="O56" s="3279">
        <v>2321.91</v>
      </c>
      <c r="P56" s="3280">
        <v>3110.03</v>
      </c>
    </row>
    <row r="57" spans="1:16" ht="12.75" customHeight="1">
      <c r="A57" s="3252">
        <v>2009.12</v>
      </c>
      <c r="B57" s="3274">
        <v>7031652</v>
      </c>
      <c r="C57" s="3275">
        <v>1246735</v>
      </c>
      <c r="D57" s="3276">
        <v>5784917</v>
      </c>
      <c r="E57" s="3277">
        <v>3298.5666614502502</v>
      </c>
      <c r="F57" s="3275">
        <v>3938.88550759384</v>
      </c>
      <c r="G57" s="3276">
        <v>3160.5684988756102</v>
      </c>
      <c r="H57" s="3272"/>
      <c r="I57" s="3260"/>
      <c r="J57" s="3273"/>
      <c r="K57" s="3261"/>
      <c r="L57" s="3260"/>
      <c r="M57" s="3262"/>
      <c r="N57" s="3263"/>
      <c r="O57" s="3279">
        <v>3501.62</v>
      </c>
      <c r="P57" s="3280">
        <v>4723.8100000000004</v>
      </c>
    </row>
    <row r="58" spans="1:16" ht="12.75" customHeight="1">
      <c r="A58" s="3252">
        <v>2010.01</v>
      </c>
      <c r="B58" s="3274">
        <v>7046486</v>
      </c>
      <c r="C58" s="3275">
        <v>1256008</v>
      </c>
      <c r="D58" s="3276">
        <v>5790478</v>
      </c>
      <c r="E58" s="3277">
        <v>4983.9376256250298</v>
      </c>
      <c r="F58" s="3275">
        <v>5848.5896122715803</v>
      </c>
      <c r="G58" s="3276">
        <v>4796.3866475462</v>
      </c>
      <c r="H58" s="3272"/>
      <c r="I58" s="3260"/>
      <c r="J58" s="3273"/>
      <c r="K58" s="3261"/>
      <c r="L58" s="3260"/>
      <c r="M58" s="3262"/>
      <c r="N58" s="3263"/>
      <c r="O58" s="3279">
        <v>2481.36</v>
      </c>
      <c r="P58" s="3280">
        <v>3468.61</v>
      </c>
    </row>
    <row r="59" spans="1:16" ht="12.75" customHeight="1">
      <c r="A59" s="3252">
        <v>2010.02</v>
      </c>
      <c r="B59" s="3274">
        <v>7014854</v>
      </c>
      <c r="C59" s="3275">
        <v>1228866</v>
      </c>
      <c r="D59" s="3276">
        <v>5785988</v>
      </c>
      <c r="E59" s="3277">
        <v>3652.2596533014098</v>
      </c>
      <c r="F59" s="3275">
        <v>4354.1528956289803</v>
      </c>
      <c r="G59" s="3276">
        <v>3503.1869726933401</v>
      </c>
      <c r="H59" s="3272"/>
      <c r="I59" s="3260"/>
      <c r="J59" s="3273"/>
      <c r="K59" s="3261"/>
      <c r="L59" s="3260"/>
      <c r="M59" s="3262"/>
      <c r="N59" s="3263"/>
      <c r="O59" s="3279">
        <v>2474.04</v>
      </c>
      <c r="P59" s="3280">
        <v>3376.54</v>
      </c>
    </row>
    <row r="60" spans="1:16" ht="12.75" customHeight="1">
      <c r="A60" s="3252">
        <v>2010.03</v>
      </c>
      <c r="B60" s="3274">
        <v>7085670</v>
      </c>
      <c r="C60" s="3275">
        <v>1237796</v>
      </c>
      <c r="D60" s="3276">
        <v>5847874</v>
      </c>
      <c r="E60" s="3277">
        <v>3526.06995192268</v>
      </c>
      <c r="F60" s="3275">
        <v>4034.8472452649698</v>
      </c>
      <c r="G60" s="3276">
        <v>3418.37910588361</v>
      </c>
      <c r="H60" s="3272"/>
      <c r="I60" s="3260"/>
      <c r="J60" s="3273"/>
      <c r="K60" s="3261"/>
      <c r="L60" s="3260"/>
      <c r="M60" s="3262"/>
      <c r="N60" s="3263"/>
      <c r="O60" s="3279">
        <v>2534.38</v>
      </c>
      <c r="P60" s="3280">
        <v>3578.79</v>
      </c>
    </row>
    <row r="61" spans="1:16" ht="12.75" customHeight="1">
      <c r="A61" s="3252">
        <v>2010.04</v>
      </c>
      <c r="B61" s="3274">
        <v>7131302</v>
      </c>
      <c r="C61" s="3275">
        <v>1238086</v>
      </c>
      <c r="D61" s="3276">
        <v>5893216</v>
      </c>
      <c r="E61" s="3277">
        <v>3747.3264325813202</v>
      </c>
      <c r="F61" s="3275">
        <v>4260.4846815083902</v>
      </c>
      <c r="G61" s="3276">
        <v>3639.5187357683799</v>
      </c>
      <c r="H61" s="3272"/>
      <c r="I61" s="3260"/>
      <c r="J61" s="3273"/>
      <c r="K61" s="3261"/>
      <c r="L61" s="3260"/>
      <c r="M61" s="3262"/>
      <c r="N61" s="3263"/>
      <c r="O61" s="3279">
        <v>2557.3000000000002</v>
      </c>
      <c r="P61" s="3280">
        <v>3546.73</v>
      </c>
    </row>
    <row r="62" spans="1:16" ht="12.75" customHeight="1">
      <c r="A62" s="3252">
        <v>2010.05</v>
      </c>
      <c r="B62" s="3274">
        <v>7111340</v>
      </c>
      <c r="C62" s="3275">
        <v>1240700</v>
      </c>
      <c r="D62" s="3276">
        <v>5870640</v>
      </c>
      <c r="E62" s="3277">
        <v>3724.8113662263399</v>
      </c>
      <c r="F62" s="3275">
        <v>4288.0710117272502</v>
      </c>
      <c r="G62" s="3276">
        <v>3605.7721742178001</v>
      </c>
      <c r="H62" s="3272"/>
      <c r="I62" s="3260"/>
      <c r="J62" s="3273"/>
      <c r="K62" s="3261"/>
      <c r="L62" s="3260"/>
      <c r="M62" s="3262"/>
      <c r="N62" s="3263"/>
      <c r="O62" s="3279">
        <v>2635.36</v>
      </c>
      <c r="P62" s="3280">
        <v>3575.29</v>
      </c>
    </row>
    <row r="63" spans="1:16" ht="12.75" customHeight="1">
      <c r="A63" s="3252">
        <v>2010.06</v>
      </c>
      <c r="B63" s="3274">
        <v>7097259</v>
      </c>
      <c r="C63" s="3275">
        <v>1248993</v>
      </c>
      <c r="D63" s="3276">
        <v>5848266</v>
      </c>
      <c r="E63" s="3277">
        <v>3762.96193765931</v>
      </c>
      <c r="F63" s="3275">
        <v>4391.8829829230399</v>
      </c>
      <c r="G63" s="3276">
        <v>3628.6455465979102</v>
      </c>
      <c r="H63" s="3272"/>
      <c r="I63" s="3260"/>
      <c r="J63" s="3273"/>
      <c r="K63" s="3261"/>
      <c r="L63" s="3260"/>
      <c r="M63" s="3262"/>
      <c r="N63" s="3263"/>
      <c r="O63" s="3279">
        <v>4200</v>
      </c>
      <c r="P63" s="3280">
        <v>5323</v>
      </c>
    </row>
    <row r="64" spans="1:16" ht="12.75" customHeight="1">
      <c r="A64" s="3252">
        <v>2010.07</v>
      </c>
      <c r="B64" s="3274">
        <v>7115881</v>
      </c>
      <c r="C64" s="3275">
        <v>1258348</v>
      </c>
      <c r="D64" s="3276">
        <v>5857533</v>
      </c>
      <c r="E64" s="3277">
        <v>5577.3013225403802</v>
      </c>
      <c r="F64" s="3275">
        <v>6450.9155124734998</v>
      </c>
      <c r="G64" s="3276">
        <v>5389.6266361708904</v>
      </c>
      <c r="H64" s="3272"/>
      <c r="I64" s="3260"/>
      <c r="J64" s="3273"/>
      <c r="K64" s="3261"/>
      <c r="L64" s="3260"/>
      <c r="M64" s="3262"/>
      <c r="N64" s="3263"/>
      <c r="O64" s="3279">
        <v>2897.92</v>
      </c>
      <c r="P64" s="3280">
        <v>3796.59</v>
      </c>
    </row>
    <row r="65" spans="1:16" ht="12.75" customHeight="1">
      <c r="A65" s="3252">
        <v>2010.08</v>
      </c>
      <c r="B65" s="3274">
        <v>7136011</v>
      </c>
      <c r="C65" s="3275">
        <v>1257966</v>
      </c>
      <c r="D65" s="3276">
        <v>5878045</v>
      </c>
      <c r="E65" s="3277">
        <v>3988.0995561666</v>
      </c>
      <c r="F65" s="3275">
        <v>4666.4831651411896</v>
      </c>
      <c r="G65" s="3276">
        <v>3842.9180349214698</v>
      </c>
      <c r="H65" s="3272"/>
      <c r="I65" s="3260"/>
      <c r="J65" s="3273"/>
      <c r="K65" s="3261"/>
      <c r="L65" s="3260"/>
      <c r="M65" s="3262"/>
      <c r="N65" s="3263"/>
      <c r="O65" s="3279">
        <v>2943.55</v>
      </c>
      <c r="P65" s="3280">
        <v>3875.35</v>
      </c>
    </row>
    <row r="66" spans="1:16" ht="12.75" customHeight="1">
      <c r="A66" s="3252">
        <v>2010.09</v>
      </c>
      <c r="B66" s="3274">
        <v>7173652</v>
      </c>
      <c r="C66" s="3275">
        <v>1259054</v>
      </c>
      <c r="D66" s="3276">
        <v>5914598</v>
      </c>
      <c r="E66" s="3277">
        <v>4069.2775625148802</v>
      </c>
      <c r="F66" s="3275">
        <v>4769.7068418193303</v>
      </c>
      <c r="G66" s="3276">
        <v>3920.1755802964099</v>
      </c>
      <c r="H66" s="3272"/>
      <c r="I66" s="3260"/>
      <c r="J66" s="3273"/>
      <c r="K66" s="3261"/>
      <c r="L66" s="3260"/>
      <c r="M66" s="3262"/>
      <c r="N66" s="3263"/>
      <c r="O66" s="3279">
        <v>3064.54</v>
      </c>
      <c r="P66" s="3280">
        <v>4013.63</v>
      </c>
    </row>
    <row r="67" spans="1:16" ht="12.75" customHeight="1">
      <c r="A67" s="3252">
        <v>2010.1</v>
      </c>
      <c r="B67" s="3274">
        <v>7197778</v>
      </c>
      <c r="C67" s="3275">
        <v>1261896</v>
      </c>
      <c r="D67" s="3276">
        <v>5935882</v>
      </c>
      <c r="E67" s="3277">
        <v>4186.6285362274302</v>
      </c>
      <c r="F67" s="3275">
        <v>4774.1271219181299</v>
      </c>
      <c r="G67" s="3276">
        <v>4061.7335138383801</v>
      </c>
      <c r="H67" s="3272"/>
      <c r="I67" s="3260"/>
      <c r="J67" s="3273"/>
      <c r="K67" s="3261"/>
      <c r="L67" s="3260"/>
      <c r="M67" s="3262"/>
      <c r="N67" s="3263"/>
      <c r="O67" s="3279">
        <v>3086.84</v>
      </c>
      <c r="P67" s="3280">
        <v>4055.92</v>
      </c>
    </row>
    <row r="68" spans="1:16" ht="12.75" customHeight="1">
      <c r="A68" s="3252">
        <v>2010.11</v>
      </c>
      <c r="B68" s="3274">
        <v>7253191</v>
      </c>
      <c r="C68" s="3275">
        <v>1263246</v>
      </c>
      <c r="D68" s="3276">
        <v>5989945</v>
      </c>
      <c r="E68" s="3277">
        <v>4254.2096767312496</v>
      </c>
      <c r="F68" s="3275">
        <v>4915.8478668841999</v>
      </c>
      <c r="G68" s="3276">
        <v>4114.6738717851304</v>
      </c>
      <c r="H68" s="3272"/>
      <c r="I68" s="3260"/>
      <c r="J68" s="3273"/>
      <c r="K68" s="3261"/>
      <c r="L68" s="3260"/>
      <c r="M68" s="3262"/>
      <c r="N68" s="3263"/>
      <c r="O68" s="3279">
        <v>3123.44</v>
      </c>
      <c r="P68" s="3280">
        <v>4099.6899999999996</v>
      </c>
    </row>
    <row r="69" spans="1:16" ht="12.75" customHeight="1">
      <c r="A69" s="3252">
        <v>2010.12</v>
      </c>
      <c r="B69" s="3274">
        <v>7306179</v>
      </c>
      <c r="C69" s="3275">
        <v>1269064</v>
      </c>
      <c r="D69" s="3276">
        <v>6037115</v>
      </c>
      <c r="E69" s="3277">
        <v>4302.8235240540898</v>
      </c>
      <c r="F69" s="3275">
        <v>4923.17039603992</v>
      </c>
      <c r="G69" s="3276">
        <v>4172.4201968440202</v>
      </c>
      <c r="H69" s="3272"/>
      <c r="I69" s="3260"/>
      <c r="J69" s="3273"/>
      <c r="K69" s="3261"/>
      <c r="L69" s="3260"/>
      <c r="M69" s="3262"/>
      <c r="N69" s="3263"/>
      <c r="O69" s="3279">
        <v>4766.2299999999996</v>
      </c>
      <c r="P69" s="3280">
        <v>6166.26</v>
      </c>
    </row>
    <row r="70" spans="1:16" ht="12.75" customHeight="1">
      <c r="A70" s="3252">
        <v>2011.01</v>
      </c>
      <c r="B70" s="3274">
        <v>7362798</v>
      </c>
      <c r="C70" s="3275">
        <v>1287745</v>
      </c>
      <c r="D70" s="3276">
        <v>6075053</v>
      </c>
      <c r="E70" s="3277">
        <v>6434.9625583263296</v>
      </c>
      <c r="F70" s="3275">
        <v>7359.7726652947604</v>
      </c>
      <c r="G70" s="3276">
        <v>6238.9281218863398</v>
      </c>
      <c r="H70" s="3272"/>
      <c r="I70" s="3260"/>
      <c r="J70" s="3273"/>
      <c r="K70" s="3261"/>
      <c r="L70" s="3260"/>
      <c r="M70" s="3262"/>
      <c r="N70" s="3263"/>
      <c r="O70" s="3279">
        <v>3330.81</v>
      </c>
      <c r="P70" s="3280">
        <v>4608.6899999999996</v>
      </c>
    </row>
    <row r="71" spans="1:16" ht="12.75" customHeight="1">
      <c r="A71" s="3252">
        <v>2011.02</v>
      </c>
      <c r="B71" s="3274">
        <v>7367912</v>
      </c>
      <c r="C71" s="3275">
        <v>1276595</v>
      </c>
      <c r="D71" s="3276">
        <v>6091317</v>
      </c>
      <c r="E71" s="3277">
        <v>4775.9462175769704</v>
      </c>
      <c r="F71" s="3275">
        <v>5432.2124519365998</v>
      </c>
      <c r="G71" s="3276">
        <v>4638.4084415176503</v>
      </c>
      <c r="H71" s="3272"/>
      <c r="I71" s="3260"/>
      <c r="J71" s="3273"/>
      <c r="K71" s="3261"/>
      <c r="L71" s="3260"/>
      <c r="M71" s="3262"/>
      <c r="N71" s="3263"/>
      <c r="O71" s="3279">
        <v>3281.56</v>
      </c>
      <c r="P71" s="3280">
        <v>4365.13</v>
      </c>
    </row>
    <row r="72" spans="1:16" ht="12.75" customHeight="1">
      <c r="A72" s="3252">
        <v>2011.03</v>
      </c>
      <c r="B72" s="3274">
        <v>7429126</v>
      </c>
      <c r="C72" s="3275">
        <v>1290107</v>
      </c>
      <c r="D72" s="3276">
        <v>6139019</v>
      </c>
      <c r="E72" s="3277">
        <v>4522.62863696349</v>
      </c>
      <c r="F72" s="3275">
        <v>5108.4881169856499</v>
      </c>
      <c r="G72" s="3276">
        <v>4399.5110156964802</v>
      </c>
      <c r="H72" s="3272"/>
      <c r="I72" s="3260"/>
      <c r="J72" s="3273"/>
      <c r="K72" s="3261"/>
      <c r="L72" s="3260"/>
      <c r="M72" s="3262"/>
      <c r="N72" s="3263"/>
      <c r="O72" s="3279">
        <v>3418.64</v>
      </c>
      <c r="P72" s="3280">
        <v>4757.17</v>
      </c>
    </row>
    <row r="73" spans="1:16" ht="12.75" customHeight="1">
      <c r="A73" s="3252">
        <v>2011.04</v>
      </c>
      <c r="B73" s="3274">
        <v>7455046</v>
      </c>
      <c r="C73" s="3275">
        <v>1290900</v>
      </c>
      <c r="D73" s="3276">
        <v>6164146</v>
      </c>
      <c r="E73" s="3277">
        <v>4947.4445501892296</v>
      </c>
      <c r="F73" s="3275">
        <v>5467.1673513362803</v>
      </c>
      <c r="G73" s="3276">
        <v>4838.6038179936004</v>
      </c>
      <c r="H73" s="3272"/>
      <c r="I73" s="3260"/>
      <c r="J73" s="3273"/>
      <c r="K73" s="3261"/>
      <c r="L73" s="3260"/>
      <c r="M73" s="3262"/>
      <c r="N73" s="3263"/>
      <c r="O73" s="3279">
        <v>3427.54</v>
      </c>
      <c r="P73" s="3280">
        <v>4633.46</v>
      </c>
    </row>
    <row r="74" spans="1:16" ht="12.75" customHeight="1">
      <c r="A74" s="3252">
        <v>2011.05</v>
      </c>
      <c r="B74" s="3274">
        <v>7471656</v>
      </c>
      <c r="C74" s="3275">
        <v>1297684</v>
      </c>
      <c r="D74" s="3276">
        <v>6173972</v>
      </c>
      <c r="E74" s="3277">
        <v>4843.5605964166398</v>
      </c>
      <c r="F74" s="3275">
        <v>5641.7633803915296</v>
      </c>
      <c r="G74" s="3276">
        <v>4675.7893493945203</v>
      </c>
      <c r="H74" s="3272"/>
      <c r="I74" s="3260"/>
      <c r="J74" s="3273"/>
      <c r="K74" s="3261"/>
      <c r="L74" s="3260"/>
      <c r="M74" s="3262"/>
      <c r="N74" s="3263"/>
      <c r="O74" s="3279">
        <v>3601.48</v>
      </c>
      <c r="P74" s="3280">
        <v>4862.1499999999996</v>
      </c>
    </row>
    <row r="75" spans="1:16" ht="12.75" customHeight="1">
      <c r="A75" s="3252">
        <v>2011.06</v>
      </c>
      <c r="B75" s="3274">
        <v>7485442</v>
      </c>
      <c r="C75" s="3275">
        <v>1307384</v>
      </c>
      <c r="D75" s="3276">
        <v>6178058</v>
      </c>
      <c r="E75" s="3277">
        <v>5044.6119520864604</v>
      </c>
      <c r="F75" s="3275">
        <v>5664.78107340307</v>
      </c>
      <c r="G75" s="3276">
        <v>4913.37343239251</v>
      </c>
      <c r="H75" s="3272"/>
      <c r="I75" s="3260"/>
      <c r="J75" s="3273"/>
      <c r="K75" s="3261"/>
      <c r="L75" s="3260"/>
      <c r="M75" s="3262"/>
      <c r="N75" s="3263"/>
      <c r="O75" s="3279">
        <v>5527.12</v>
      </c>
      <c r="P75" s="3280">
        <v>7042.69</v>
      </c>
    </row>
    <row r="76" spans="1:16" ht="12.75" customHeight="1">
      <c r="A76" s="3252">
        <v>2011.07</v>
      </c>
      <c r="B76" s="3274">
        <v>7499979</v>
      </c>
      <c r="C76" s="3275">
        <v>1319810</v>
      </c>
      <c r="D76" s="3276">
        <v>6180169</v>
      </c>
      <c r="E76" s="3277">
        <v>7377.6668443271601</v>
      </c>
      <c r="F76" s="3275">
        <v>8646.0185205143207</v>
      </c>
      <c r="G76" s="3276">
        <v>7106.8031793127302</v>
      </c>
      <c r="H76" s="3272"/>
      <c r="I76" s="3260"/>
      <c r="J76" s="3273"/>
      <c r="K76" s="3261"/>
      <c r="L76" s="3260"/>
      <c r="M76" s="3262"/>
      <c r="N76" s="3263"/>
      <c r="O76" s="3279">
        <v>3913.73</v>
      </c>
      <c r="P76" s="3280">
        <v>5019.54</v>
      </c>
    </row>
    <row r="77" spans="1:16" ht="12.75" customHeight="1">
      <c r="A77" s="3252">
        <v>2011.08</v>
      </c>
      <c r="B77" s="3274">
        <v>7527948</v>
      </c>
      <c r="C77" s="3275">
        <v>1334586</v>
      </c>
      <c r="D77" s="3276">
        <v>6193362</v>
      </c>
      <c r="E77" s="3277">
        <v>5236.6479722814202</v>
      </c>
      <c r="F77" s="3275">
        <v>6063.6141123839197</v>
      </c>
      <c r="G77" s="3276">
        <v>5058.44791986162</v>
      </c>
      <c r="H77" s="3272"/>
      <c r="I77" s="3260"/>
      <c r="J77" s="3273"/>
      <c r="K77" s="3261"/>
      <c r="L77" s="3260"/>
      <c r="M77" s="3262"/>
      <c r="N77" s="3263"/>
      <c r="O77" s="3279">
        <v>3972.79</v>
      </c>
      <c r="P77" s="3280">
        <v>5114.96</v>
      </c>
    </row>
    <row r="78" spans="1:16" ht="12.75" customHeight="1">
      <c r="A78" s="3252">
        <v>2011.09</v>
      </c>
      <c r="B78" s="3274">
        <v>7577900</v>
      </c>
      <c r="C78" s="3275">
        <v>1341326</v>
      </c>
      <c r="D78" s="3276">
        <v>6236574</v>
      </c>
      <c r="E78" s="3277">
        <v>5344.2215767099096</v>
      </c>
      <c r="F78" s="3275">
        <v>6168.1043427324903</v>
      </c>
      <c r="G78" s="3276">
        <v>5167.0256715513997</v>
      </c>
      <c r="H78" s="3272"/>
      <c r="I78" s="3260"/>
      <c r="J78" s="3273"/>
      <c r="K78" s="3261"/>
      <c r="L78" s="3260"/>
      <c r="M78" s="3262"/>
      <c r="N78" s="3263"/>
      <c r="O78" s="3279">
        <v>4176.76</v>
      </c>
      <c r="P78" s="3280">
        <v>5277.16</v>
      </c>
    </row>
    <row r="79" spans="1:16" ht="12.75" customHeight="1">
      <c r="A79" s="3252">
        <v>2011.1</v>
      </c>
      <c r="B79" s="3274">
        <v>7589104</v>
      </c>
      <c r="C79" s="3275">
        <v>1338604</v>
      </c>
      <c r="D79" s="3276">
        <v>6250500</v>
      </c>
      <c r="E79" s="3277">
        <v>5487.8546165120397</v>
      </c>
      <c r="F79" s="3275">
        <v>6238.9840680888501</v>
      </c>
      <c r="G79" s="3276">
        <v>5326.9931032893401</v>
      </c>
      <c r="H79" s="3272"/>
      <c r="I79" s="3260"/>
      <c r="J79" s="3273"/>
      <c r="K79" s="3261"/>
      <c r="L79" s="3260"/>
      <c r="M79" s="3262"/>
      <c r="N79" s="3263"/>
      <c r="O79" s="3279">
        <v>4189.9799999999996</v>
      </c>
      <c r="P79" s="3280">
        <v>5332.89</v>
      </c>
    </row>
    <row r="80" spans="1:16" ht="12.75" customHeight="1">
      <c r="A80" s="3252">
        <v>2011.11</v>
      </c>
      <c r="B80" s="3274">
        <v>7642985</v>
      </c>
      <c r="C80" s="3275">
        <v>1347269</v>
      </c>
      <c r="D80" s="3276">
        <v>6295716</v>
      </c>
      <c r="E80" s="3277">
        <v>5542.0854981790499</v>
      </c>
      <c r="F80" s="3275">
        <v>6345.33313330894</v>
      </c>
      <c r="G80" s="3276">
        <v>5370.1923190499701</v>
      </c>
      <c r="H80" s="3272"/>
      <c r="I80" s="3260"/>
      <c r="J80" s="3273"/>
      <c r="K80" s="3261"/>
      <c r="L80" s="3260"/>
      <c r="M80" s="3262"/>
      <c r="N80" s="3263"/>
      <c r="O80" s="3279">
        <v>4259.99</v>
      </c>
      <c r="P80" s="3280">
        <v>5402.56</v>
      </c>
    </row>
    <row r="81" spans="1:16" ht="12.75" customHeight="1">
      <c r="A81" s="3252">
        <v>2011.12</v>
      </c>
      <c r="B81" s="3274">
        <v>7684680</v>
      </c>
      <c r="C81" s="3275">
        <v>1346036</v>
      </c>
      <c r="D81" s="3276">
        <v>6338644</v>
      </c>
      <c r="E81" s="3277">
        <v>5613.6025638582196</v>
      </c>
      <c r="F81" s="3275">
        <v>6450.3027740268499</v>
      </c>
      <c r="G81" s="3276">
        <v>5435.9259812808596</v>
      </c>
      <c r="H81" s="3272"/>
      <c r="I81" s="3260"/>
      <c r="J81" s="3273"/>
      <c r="K81" s="3261"/>
      <c r="L81" s="3260"/>
      <c r="M81" s="3262"/>
      <c r="N81" s="3263"/>
      <c r="O81" s="3279">
        <v>6480.21</v>
      </c>
      <c r="P81" s="3280">
        <v>8130.47</v>
      </c>
    </row>
    <row r="82" spans="1:16" ht="12.75" customHeight="1">
      <c r="A82" s="3252">
        <v>2012.01</v>
      </c>
      <c r="B82" s="3274">
        <v>7688171</v>
      </c>
      <c r="C82" s="3275">
        <v>1357910</v>
      </c>
      <c r="D82" s="3276">
        <v>6330261</v>
      </c>
      <c r="E82" s="3277">
        <v>8471.5616198482094</v>
      </c>
      <c r="F82" s="3275">
        <v>9522.0036840144094</v>
      </c>
      <c r="G82" s="3276">
        <v>8246.2303446682508</v>
      </c>
      <c r="H82" s="3281">
        <v>6105.9530000000004</v>
      </c>
      <c r="I82" s="3282">
        <v>2543.7170000000001</v>
      </c>
      <c r="J82" s="3283">
        <v>389.21899999999999</v>
      </c>
      <c r="K82" s="3284">
        <v>409.935</v>
      </c>
      <c r="L82" s="3282">
        <v>1314.711</v>
      </c>
      <c r="M82" s="3285">
        <v>167.762</v>
      </c>
      <c r="N82" s="3286">
        <v>10931.296999999999</v>
      </c>
      <c r="O82" s="3279">
        <v>4513.45</v>
      </c>
      <c r="P82" s="3280">
        <v>6028.03</v>
      </c>
    </row>
    <row r="83" spans="1:16" ht="12.75" customHeight="1">
      <c r="A83" s="3252">
        <v>2012.02</v>
      </c>
      <c r="B83" s="3274">
        <v>7664054</v>
      </c>
      <c r="C83" s="3275">
        <v>1349436</v>
      </c>
      <c r="D83" s="3276">
        <v>6314618</v>
      </c>
      <c r="E83" s="3277">
        <v>6237.4409622374797</v>
      </c>
      <c r="F83" s="3275">
        <v>7071.6953116413097</v>
      </c>
      <c r="G83" s="3276">
        <v>6059.1605259162197</v>
      </c>
      <c r="H83" s="3287">
        <v>6103.3819999999996</v>
      </c>
      <c r="I83" s="3288">
        <v>2598.154</v>
      </c>
      <c r="J83" s="3287">
        <v>388.83300000000003</v>
      </c>
      <c r="K83" s="3289">
        <v>408.92599999999999</v>
      </c>
      <c r="L83" s="3287">
        <v>1314.5319999999999</v>
      </c>
      <c r="M83" s="3290">
        <v>168.91300000000001</v>
      </c>
      <c r="N83" s="3291">
        <v>10982.74</v>
      </c>
      <c r="O83" s="3279">
        <v>4483.49</v>
      </c>
      <c r="P83" s="3280">
        <v>5824.77</v>
      </c>
    </row>
    <row r="84" spans="1:16" ht="12.75" customHeight="1">
      <c r="A84" s="3252">
        <v>2012.03</v>
      </c>
      <c r="B84" s="3274">
        <v>7692342</v>
      </c>
      <c r="C84" s="3275">
        <v>1358168</v>
      </c>
      <c r="D84" s="3276">
        <v>6334174</v>
      </c>
      <c r="E84" s="3277">
        <v>5988.4619803669702</v>
      </c>
      <c r="F84" s="3275">
        <v>6636.2613652066602</v>
      </c>
      <c r="G84" s="3276">
        <v>5849.56140786786</v>
      </c>
      <c r="H84" s="3287">
        <v>6112.3720000000003</v>
      </c>
      <c r="I84" s="3288">
        <v>2602.0569999999998</v>
      </c>
      <c r="J84" s="3287">
        <v>386.59500000000003</v>
      </c>
      <c r="K84" s="3289">
        <v>406.51799999999997</v>
      </c>
      <c r="L84" s="3287">
        <v>1314.626</v>
      </c>
      <c r="M84" s="3290">
        <v>170.047</v>
      </c>
      <c r="N84" s="3291">
        <v>10992.215</v>
      </c>
      <c r="O84" s="3279">
        <v>4540.95</v>
      </c>
      <c r="P84" s="3280">
        <v>6145.19</v>
      </c>
    </row>
    <row r="85" spans="1:16" ht="12.75" customHeight="1">
      <c r="A85" s="3252">
        <v>2012.04</v>
      </c>
      <c r="B85" s="3274">
        <v>7696316</v>
      </c>
      <c r="C85" s="3275">
        <v>1347815</v>
      </c>
      <c r="D85" s="3276">
        <v>6348501</v>
      </c>
      <c r="E85" s="3277">
        <v>6349.6559401485101</v>
      </c>
      <c r="F85" s="3275">
        <v>6946.4880190975773</v>
      </c>
      <c r="G85" s="3276">
        <v>6222.945835119187</v>
      </c>
      <c r="H85" s="3287">
        <v>6055.0469999999996</v>
      </c>
      <c r="I85" s="3288">
        <v>2605.39</v>
      </c>
      <c r="J85" s="3287">
        <v>389.983</v>
      </c>
      <c r="K85" s="3289">
        <v>407.66899999999998</v>
      </c>
      <c r="L85" s="3287">
        <v>1317.796</v>
      </c>
      <c r="M85" s="3290">
        <v>172.512</v>
      </c>
      <c r="N85" s="3291">
        <v>10948.397000000001</v>
      </c>
      <c r="O85" s="3279">
        <v>4682.46</v>
      </c>
      <c r="P85" s="3280">
        <v>6087.02</v>
      </c>
    </row>
    <row r="86" spans="1:16" ht="12.75" customHeight="1">
      <c r="A86" s="3252">
        <v>2012.05</v>
      </c>
      <c r="B86" s="3274">
        <v>7661949</v>
      </c>
      <c r="C86" s="3275">
        <v>1354407</v>
      </c>
      <c r="D86" s="3276">
        <v>6307542</v>
      </c>
      <c r="E86" s="3277">
        <v>6317.5391528578402</v>
      </c>
      <c r="F86" s="3275">
        <v>7167.5046277152996</v>
      </c>
      <c r="G86" s="3276">
        <v>6135.0276152564702</v>
      </c>
      <c r="H86" s="3287">
        <v>6042.6170000000002</v>
      </c>
      <c r="I86" s="3288">
        <v>2591.2779999999998</v>
      </c>
      <c r="J86" s="3287">
        <v>392.21100000000001</v>
      </c>
      <c r="K86" s="3289">
        <v>407.62799999999999</v>
      </c>
      <c r="L86" s="3287">
        <v>1321.8409999999999</v>
      </c>
      <c r="M86" s="3290">
        <v>172.92599999999999</v>
      </c>
      <c r="N86" s="3291">
        <v>10928.501</v>
      </c>
      <c r="O86" s="3279">
        <v>5049.43</v>
      </c>
      <c r="P86" s="3280">
        <v>6278.22</v>
      </c>
    </row>
    <row r="87" spans="1:16" ht="12.75" customHeight="1">
      <c r="A87" s="3252">
        <v>2012.06</v>
      </c>
      <c r="B87" s="3274">
        <v>7644490</v>
      </c>
      <c r="C87" s="3275">
        <v>1359854</v>
      </c>
      <c r="D87" s="3276">
        <v>6284636</v>
      </c>
      <c r="E87" s="3277">
        <v>6569.3165136483904</v>
      </c>
      <c r="F87" s="3275">
        <v>7568.4103486918402</v>
      </c>
      <c r="G87" s="3276">
        <v>6353.1350597091096</v>
      </c>
      <c r="H87" s="3287">
        <v>6033.3310000000001</v>
      </c>
      <c r="I87" s="3288">
        <v>2648.5459999999998</v>
      </c>
      <c r="J87" s="3287">
        <v>395.00200000000001</v>
      </c>
      <c r="K87" s="3289">
        <v>407.51299999999998</v>
      </c>
      <c r="L87" s="3287">
        <v>1332.556</v>
      </c>
      <c r="M87" s="3290">
        <v>174.56299999999999</v>
      </c>
      <c r="N87" s="3291">
        <v>10991.511000000002</v>
      </c>
      <c r="O87" s="3279">
        <v>7396.13</v>
      </c>
      <c r="P87" s="3280">
        <v>9107.16</v>
      </c>
    </row>
    <row r="88" spans="1:16" ht="12.75" customHeight="1">
      <c r="A88" s="3252">
        <v>2012.07</v>
      </c>
      <c r="B88" s="3274">
        <v>7653771</v>
      </c>
      <c r="C88" s="3275">
        <v>1377172</v>
      </c>
      <c r="D88" s="3276">
        <v>6276599</v>
      </c>
      <c r="E88" s="3277">
        <v>9537.3638354962495</v>
      </c>
      <c r="F88" s="3275">
        <v>11142.7412897372</v>
      </c>
      <c r="G88" s="3276">
        <v>9185.1219797696194</v>
      </c>
      <c r="H88" s="3287">
        <v>6026.8770000000004</v>
      </c>
      <c r="I88" s="3288">
        <v>2626.3789999999999</v>
      </c>
      <c r="J88" s="3287">
        <v>398.14299999999997</v>
      </c>
      <c r="K88" s="3289">
        <v>408.25099999999998</v>
      </c>
      <c r="L88" s="3287">
        <v>1342.079</v>
      </c>
      <c r="M88" s="3290">
        <v>178.13399999999999</v>
      </c>
      <c r="N88" s="3291">
        <v>10979.863000000001</v>
      </c>
      <c r="O88" s="3279">
        <v>5301.21</v>
      </c>
      <c r="P88" s="3280">
        <v>6612.18</v>
      </c>
    </row>
    <row r="89" spans="1:16" ht="12.75" customHeight="1">
      <c r="A89" s="3252">
        <v>2012.08</v>
      </c>
      <c r="B89" s="3274">
        <v>7646638</v>
      </c>
      <c r="C89" s="3275">
        <v>1366988</v>
      </c>
      <c r="D89" s="3276">
        <v>6279650</v>
      </c>
      <c r="E89" s="3277">
        <v>6871.53869666643</v>
      </c>
      <c r="F89" s="3275">
        <v>7876.0394619265098</v>
      </c>
      <c r="G89" s="3276">
        <v>6652.8735653133499</v>
      </c>
      <c r="H89" s="3287">
        <v>6029.5910000000003</v>
      </c>
      <c r="I89" s="3288">
        <v>2634.373</v>
      </c>
      <c r="J89" s="3287">
        <v>400.83600000000001</v>
      </c>
      <c r="K89" s="3289">
        <v>409.089</v>
      </c>
      <c r="L89" s="3287">
        <v>1346.925</v>
      </c>
      <c r="M89" s="3290">
        <v>179.84200000000001</v>
      </c>
      <c r="N89" s="3291">
        <v>11000.655999999999</v>
      </c>
      <c r="O89" s="3279">
        <v>5341.93</v>
      </c>
      <c r="P89" s="3280">
        <v>6609.57</v>
      </c>
    </row>
    <row r="90" spans="1:16" ht="12.75" customHeight="1">
      <c r="A90" s="3252">
        <v>2012.09</v>
      </c>
      <c r="B90" s="3274">
        <v>7653538</v>
      </c>
      <c r="C90" s="3275">
        <v>1373788</v>
      </c>
      <c r="D90" s="3276">
        <v>6279750</v>
      </c>
      <c r="E90" s="3277">
        <v>6928.2415018348402</v>
      </c>
      <c r="F90" s="3275">
        <v>8083.7029816609202</v>
      </c>
      <c r="G90" s="3276">
        <v>6675.4672488076803</v>
      </c>
      <c r="H90" s="3287">
        <v>6022.8</v>
      </c>
      <c r="I90" s="3288">
        <v>2633.6950000000002</v>
      </c>
      <c r="J90" s="3287">
        <v>401.79199999999997</v>
      </c>
      <c r="K90" s="3289">
        <v>409.44400000000002</v>
      </c>
      <c r="L90" s="3287">
        <v>1352.3779999999999</v>
      </c>
      <c r="M90" s="3290">
        <v>182.364</v>
      </c>
      <c r="N90" s="3291">
        <v>11002.473</v>
      </c>
      <c r="O90" s="3279">
        <v>5358.82</v>
      </c>
      <c r="P90" s="3280">
        <v>6695.82</v>
      </c>
    </row>
    <row r="91" spans="1:16" ht="12.75" customHeight="1">
      <c r="A91" s="3252">
        <v>2012.1</v>
      </c>
      <c r="B91" s="3274">
        <v>7650704</v>
      </c>
      <c r="C91" s="3275">
        <v>1364658</v>
      </c>
      <c r="D91" s="3276">
        <v>6286046</v>
      </c>
      <c r="E91" s="3277">
        <v>6993.7248195314996</v>
      </c>
      <c r="F91" s="3275">
        <v>8099.9933851629403</v>
      </c>
      <c r="G91" s="3276">
        <v>6753.5614086628202</v>
      </c>
      <c r="H91" s="3287">
        <v>6063.4549999999999</v>
      </c>
      <c r="I91" s="3288">
        <v>2648.297</v>
      </c>
      <c r="J91" s="3287">
        <v>402.22500000000002</v>
      </c>
      <c r="K91" s="3289">
        <v>409.33699999999999</v>
      </c>
      <c r="L91" s="3287">
        <v>1360.1890000000001</v>
      </c>
      <c r="M91" s="3290">
        <v>183.25399999999999</v>
      </c>
      <c r="N91" s="3291">
        <v>11066.757000000001</v>
      </c>
      <c r="O91" s="3279">
        <v>5425.52</v>
      </c>
      <c r="P91" s="3280">
        <v>6858.57</v>
      </c>
    </row>
    <row r="92" spans="1:16" ht="12.75" customHeight="1">
      <c r="A92" s="3252">
        <v>2012.11</v>
      </c>
      <c r="B92" s="3274">
        <v>7695175</v>
      </c>
      <c r="C92" s="3275">
        <v>1363354</v>
      </c>
      <c r="D92" s="3276">
        <v>6331821</v>
      </c>
      <c r="E92" s="3277">
        <v>7149.1713128486399</v>
      </c>
      <c r="F92" s="3275">
        <v>8248.0934454514409</v>
      </c>
      <c r="G92" s="3276">
        <v>6912.5537765707504</v>
      </c>
      <c r="H92" s="3287">
        <v>6087.1350000000002</v>
      </c>
      <c r="I92" s="3288">
        <v>2672.6309999999999</v>
      </c>
      <c r="J92" s="3287">
        <v>400.76400000000001</v>
      </c>
      <c r="K92" s="3289">
        <v>409.13900000000001</v>
      </c>
      <c r="L92" s="3287">
        <v>1365.4760000000001</v>
      </c>
      <c r="M92" s="3290">
        <v>184.774</v>
      </c>
      <c r="N92" s="3291">
        <v>11119.918999999998</v>
      </c>
      <c r="O92" s="3279">
        <v>5694.83</v>
      </c>
      <c r="P92" s="3280">
        <v>7006.19</v>
      </c>
    </row>
    <row r="93" spans="1:16" ht="12.75" customHeight="1">
      <c r="A93" s="3252">
        <v>2012.12</v>
      </c>
      <c r="B93" s="3274">
        <v>7717979</v>
      </c>
      <c r="C93" s="3275">
        <v>1369507</v>
      </c>
      <c r="D93" s="3276">
        <v>6348472</v>
      </c>
      <c r="E93" s="3277">
        <v>7272.0444383691602</v>
      </c>
      <c r="F93" s="3275">
        <v>8343.3370311798299</v>
      </c>
      <c r="G93" s="3276">
        <v>7040.9427331238103</v>
      </c>
      <c r="H93" s="3287">
        <v>6112.6769999999997</v>
      </c>
      <c r="I93" s="3288">
        <v>2691.67</v>
      </c>
      <c r="J93" s="3287">
        <v>399.14100000000002</v>
      </c>
      <c r="K93" s="3289">
        <v>408.291</v>
      </c>
      <c r="L93" s="3287">
        <v>1364.7139999999999</v>
      </c>
      <c r="M93" s="3290">
        <v>186.953</v>
      </c>
      <c r="N93" s="3291">
        <v>11163.445999999998</v>
      </c>
      <c r="O93" s="3279">
        <v>8454.58</v>
      </c>
      <c r="P93" s="3280">
        <v>10426.35</v>
      </c>
    </row>
    <row r="94" spans="1:16" ht="12.75" customHeight="1">
      <c r="A94" s="3252">
        <v>2013.01</v>
      </c>
      <c r="B94" s="3274">
        <v>7758087</v>
      </c>
      <c r="C94" s="3275">
        <v>1383047</v>
      </c>
      <c r="D94" s="3276">
        <v>6375040</v>
      </c>
      <c r="E94" s="3277">
        <v>10801.6361759954</v>
      </c>
      <c r="F94" s="3275">
        <v>12264.7107256008</v>
      </c>
      <c r="G94" s="3276">
        <v>10484.2262669426</v>
      </c>
      <c r="H94" s="3287">
        <v>6129.5209999999997</v>
      </c>
      <c r="I94" s="3288">
        <v>2707.3670000000002</v>
      </c>
      <c r="J94" s="3287">
        <v>407.63799999999998</v>
      </c>
      <c r="K94" s="3289">
        <v>412.38200000000001</v>
      </c>
      <c r="L94" s="3287">
        <v>1370.088</v>
      </c>
      <c r="M94" s="3290">
        <v>187.364</v>
      </c>
      <c r="N94" s="3291">
        <v>11214.359999999999</v>
      </c>
      <c r="O94" s="3279">
        <v>5890.8</v>
      </c>
      <c r="P94" s="3280">
        <v>7722.74</v>
      </c>
    </row>
    <row r="95" spans="1:16" ht="12.75" customHeight="1">
      <c r="A95" s="3252">
        <v>2013.02</v>
      </c>
      <c r="B95" s="3274">
        <v>7727227</v>
      </c>
      <c r="C95" s="3275">
        <v>1364529</v>
      </c>
      <c r="D95" s="3276">
        <v>6362698</v>
      </c>
      <c r="E95" s="3277">
        <v>7954.9569377125799</v>
      </c>
      <c r="F95" s="3275">
        <v>9013.9349006653592</v>
      </c>
      <c r="G95" s="3276">
        <v>7727.8510557722502</v>
      </c>
      <c r="H95" s="3287">
        <v>6136.7169999999996</v>
      </c>
      <c r="I95" s="3288">
        <v>2705.7570000000001</v>
      </c>
      <c r="J95" s="3287">
        <v>408.904</v>
      </c>
      <c r="K95" s="3289">
        <v>421.34100000000001</v>
      </c>
      <c r="L95" s="3287">
        <v>1370.248</v>
      </c>
      <c r="M95" s="3290">
        <v>188.774</v>
      </c>
      <c r="N95" s="3291">
        <v>11231.741</v>
      </c>
      <c r="O95" s="3279">
        <v>5818.99</v>
      </c>
      <c r="P95" s="3280">
        <v>7426.73</v>
      </c>
    </row>
    <row r="96" spans="1:16" ht="12.75" customHeight="1">
      <c r="A96" s="3252">
        <v>2013.03</v>
      </c>
      <c r="B96" s="3274">
        <v>7761759</v>
      </c>
      <c r="C96" s="3275">
        <v>1377408</v>
      </c>
      <c r="D96" s="3276">
        <v>6384351</v>
      </c>
      <c r="E96" s="3277">
        <v>7653.3354648862496</v>
      </c>
      <c r="F96" s="3275">
        <v>8566.9211574348301</v>
      </c>
      <c r="G96" s="3276">
        <v>7456.2316023946696</v>
      </c>
      <c r="H96" s="3287">
        <v>6139.607</v>
      </c>
      <c r="I96" s="3288">
        <v>2701.1709999999998</v>
      </c>
      <c r="J96" s="3287">
        <v>405.44099999999997</v>
      </c>
      <c r="K96" s="3289">
        <v>421.24799999999999</v>
      </c>
      <c r="L96" s="3287">
        <v>1376.771</v>
      </c>
      <c r="M96" s="3290">
        <v>190.37200000000001</v>
      </c>
      <c r="N96" s="3291">
        <v>11234.61</v>
      </c>
      <c r="O96" s="3279">
        <v>5869.75</v>
      </c>
      <c r="P96" s="3280">
        <v>7840.12</v>
      </c>
    </row>
    <row r="97" spans="1:16" ht="12.75" customHeight="1">
      <c r="A97" s="3252">
        <v>2013.04</v>
      </c>
      <c r="B97" s="3274">
        <v>7786496</v>
      </c>
      <c r="C97" s="3275">
        <v>1377877</v>
      </c>
      <c r="D97" s="3276">
        <v>6408619</v>
      </c>
      <c r="E97" s="3277">
        <v>8081.60635316964</v>
      </c>
      <c r="F97" s="3275">
        <v>8914.30984638687</v>
      </c>
      <c r="G97" s="3276">
        <v>7902.5719947339703</v>
      </c>
      <c r="H97" s="3287">
        <v>6121.6090000000004</v>
      </c>
      <c r="I97" s="3288">
        <v>2724.5880000000002</v>
      </c>
      <c r="J97" s="3287">
        <v>408.67200000000003</v>
      </c>
      <c r="K97" s="3289">
        <v>422.96600000000001</v>
      </c>
      <c r="L97" s="3287">
        <v>1384.0219999999999</v>
      </c>
      <c r="M97" s="3290">
        <v>192.11</v>
      </c>
      <c r="N97" s="3291">
        <v>11253.967000000001</v>
      </c>
      <c r="O97" s="3279">
        <v>5983</v>
      </c>
      <c r="P97" s="3280">
        <v>7730.75</v>
      </c>
    </row>
    <row r="98" spans="1:16" ht="12.75" customHeight="1">
      <c r="A98" s="3252">
        <v>2013.05</v>
      </c>
      <c r="B98" s="3274">
        <v>7780885</v>
      </c>
      <c r="C98" s="3275">
        <v>1376985</v>
      </c>
      <c r="D98" s="3276">
        <v>6403900</v>
      </c>
      <c r="E98" s="3277">
        <v>8023.7770935543404</v>
      </c>
      <c r="F98" s="3275">
        <v>9215.5712300859705</v>
      </c>
      <c r="G98" s="3276">
        <v>7767.5140899015596</v>
      </c>
      <c r="H98" s="3287">
        <v>6085.3879999999999</v>
      </c>
      <c r="I98" s="3288">
        <v>2804.973</v>
      </c>
      <c r="J98" s="3287">
        <v>416.92599999999999</v>
      </c>
      <c r="K98" s="3289">
        <v>423.351</v>
      </c>
      <c r="L98" s="3287">
        <v>1393.8720000000001</v>
      </c>
      <c r="M98" s="3290">
        <v>193.74299999999999</v>
      </c>
      <c r="N98" s="3291">
        <v>11318.253000000001</v>
      </c>
      <c r="O98" s="3279">
        <v>6500</v>
      </c>
      <c r="P98" s="3280">
        <v>8037.64</v>
      </c>
    </row>
    <row r="99" spans="1:16" ht="12.75" customHeight="1">
      <c r="A99" s="3252">
        <v>2013.06</v>
      </c>
      <c r="B99" s="3274">
        <v>7721314</v>
      </c>
      <c r="C99" s="3275">
        <v>1384056</v>
      </c>
      <c r="D99" s="3276">
        <v>6337258</v>
      </c>
      <c r="E99" s="3277">
        <v>8366.8586728774408</v>
      </c>
      <c r="F99" s="3275">
        <v>9572.4565880282298</v>
      </c>
      <c r="G99" s="3276">
        <v>8103.5563064514699</v>
      </c>
      <c r="H99" s="3287">
        <v>6065.4040000000005</v>
      </c>
      <c r="I99" s="3288">
        <v>2815.2020000000002</v>
      </c>
      <c r="J99" s="3287">
        <v>434.06200000000001</v>
      </c>
      <c r="K99" s="3289">
        <v>423.38900000000001</v>
      </c>
      <c r="L99" s="3287">
        <v>1402.481</v>
      </c>
      <c r="M99" s="3290">
        <v>196.46899999999999</v>
      </c>
      <c r="N99" s="3291">
        <v>11337.006999999998</v>
      </c>
      <c r="O99" s="3279">
        <v>9360.43</v>
      </c>
      <c r="P99" s="3280">
        <v>11545.88</v>
      </c>
    </row>
    <row r="100" spans="1:16" ht="12.75" customHeight="1">
      <c r="A100" s="3252">
        <v>2013.07</v>
      </c>
      <c r="B100" s="3274">
        <v>7720736</v>
      </c>
      <c r="C100" s="3275">
        <v>1402138</v>
      </c>
      <c r="D100" s="3276">
        <v>6318598</v>
      </c>
      <c r="E100" s="3277">
        <v>12040.034691205599</v>
      </c>
      <c r="F100" s="3275">
        <v>14121.4557663796</v>
      </c>
      <c r="G100" s="3276">
        <v>11578.1538145456</v>
      </c>
      <c r="H100" s="3287">
        <v>6077.9809999999998</v>
      </c>
      <c r="I100" s="3288">
        <v>2809.1640000000002</v>
      </c>
      <c r="J100" s="3287">
        <v>442.02800000000002</v>
      </c>
      <c r="K100" s="3289">
        <v>425.5</v>
      </c>
      <c r="L100" s="3287">
        <v>1411.92</v>
      </c>
      <c r="M100" s="3290">
        <v>203.751</v>
      </c>
      <c r="N100" s="3291">
        <v>11370.344000000001</v>
      </c>
      <c r="O100" s="3279">
        <v>6728.92</v>
      </c>
      <c r="P100" s="3280">
        <v>8365.09</v>
      </c>
    </row>
    <row r="101" spans="1:16" ht="12.75" customHeight="1">
      <c r="A101" s="3252">
        <v>2013.08</v>
      </c>
      <c r="B101" s="3274">
        <v>7738561</v>
      </c>
      <c r="C101" s="3275">
        <v>1398455</v>
      </c>
      <c r="D101" s="3276">
        <v>6340106</v>
      </c>
      <c r="E101" s="3277">
        <v>8642.2768781960895</v>
      </c>
      <c r="F101" s="3275">
        <v>8390.6674472792693</v>
      </c>
      <c r="G101" s="3276">
        <v>9782.9860626977606</v>
      </c>
      <c r="H101" s="3287">
        <v>6092.9650000000001</v>
      </c>
      <c r="I101" s="3288">
        <v>2810.962</v>
      </c>
      <c r="J101" s="3287">
        <v>444.12700000000001</v>
      </c>
      <c r="K101" s="3289">
        <v>428.68200000000002</v>
      </c>
      <c r="L101" s="3287">
        <v>1424.1679999999999</v>
      </c>
      <c r="M101" s="3290">
        <v>242.333</v>
      </c>
      <c r="N101" s="3291">
        <v>11443.237000000001</v>
      </c>
      <c r="O101" s="3279">
        <v>6767.94</v>
      </c>
      <c r="P101" s="3280">
        <v>8291.44</v>
      </c>
    </row>
    <row r="102" spans="1:16" ht="12.75" customHeight="1">
      <c r="A102" s="3252">
        <v>2013.09</v>
      </c>
      <c r="B102" s="3274">
        <v>7783753</v>
      </c>
      <c r="C102" s="3275">
        <v>1411332</v>
      </c>
      <c r="D102" s="3276">
        <v>6372421</v>
      </c>
      <c r="E102" s="3277">
        <v>8700.2596772533798</v>
      </c>
      <c r="F102" s="3275">
        <v>10361.401664831499</v>
      </c>
      <c r="G102" s="3276">
        <v>8332.3582401680596</v>
      </c>
      <c r="H102" s="3287">
        <v>6085.84</v>
      </c>
      <c r="I102" s="3288">
        <v>2821.5410000000002</v>
      </c>
      <c r="J102" s="3287">
        <v>446.37700000000001</v>
      </c>
      <c r="K102" s="3289">
        <v>430.798</v>
      </c>
      <c r="L102" s="3287">
        <v>1437.7539999999999</v>
      </c>
      <c r="M102" s="3290">
        <v>274.12299999999999</v>
      </c>
      <c r="N102" s="3291">
        <v>11496.433000000001</v>
      </c>
      <c r="O102" s="3279">
        <v>6810.9</v>
      </c>
      <c r="P102" s="3280">
        <v>8459.2199999999993</v>
      </c>
    </row>
    <row r="103" spans="1:16" ht="12.75" customHeight="1">
      <c r="A103" s="3252">
        <v>2013.1</v>
      </c>
      <c r="B103" s="3274">
        <v>7776702</v>
      </c>
      <c r="C103" s="3275">
        <v>1412043</v>
      </c>
      <c r="D103" s="3276">
        <v>6364659</v>
      </c>
      <c r="E103" s="3277">
        <v>8823.9580198096792</v>
      </c>
      <c r="F103" s="3275">
        <v>10285.985846564199</v>
      </c>
      <c r="G103" s="3276">
        <v>8499.5971768212494</v>
      </c>
      <c r="H103" s="3287">
        <v>6116.5730000000003</v>
      </c>
      <c r="I103" s="3288">
        <v>2846.241</v>
      </c>
      <c r="J103" s="3287">
        <v>448.476</v>
      </c>
      <c r="K103" s="3289">
        <v>429.72800000000001</v>
      </c>
      <c r="L103" s="3287">
        <v>1454.92</v>
      </c>
      <c r="M103" s="3290">
        <v>285.02100000000002</v>
      </c>
      <c r="N103" s="3291">
        <v>11580.959000000001</v>
      </c>
      <c r="O103" s="3279">
        <v>6899.5</v>
      </c>
      <c r="P103" s="3280">
        <v>8638.4599999999991</v>
      </c>
    </row>
    <row r="104" spans="1:16" ht="12.75" customHeight="1">
      <c r="A104" s="3252">
        <v>2013.11</v>
      </c>
      <c r="B104" s="3274">
        <v>7817092</v>
      </c>
      <c r="C104" s="3275">
        <v>1419976</v>
      </c>
      <c r="D104" s="3276">
        <v>6397116</v>
      </c>
      <c r="E104" s="3277">
        <v>8976.3916282346399</v>
      </c>
      <c r="F104" s="3275">
        <v>10344.344227001</v>
      </c>
      <c r="G104" s="3276">
        <v>8672.7454446441207</v>
      </c>
      <c r="H104" s="3287">
        <v>6141.6080000000002</v>
      </c>
      <c r="I104" s="3288">
        <v>2857.0230000000001</v>
      </c>
      <c r="J104" s="3287">
        <v>449.149</v>
      </c>
      <c r="K104" s="3289">
        <v>426.86</v>
      </c>
      <c r="L104" s="3287">
        <v>1461.0730000000001</v>
      </c>
      <c r="M104" s="3290">
        <v>289.86099999999999</v>
      </c>
      <c r="N104" s="3291">
        <v>11625.574000000002</v>
      </c>
      <c r="O104" s="3279">
        <v>7154.93</v>
      </c>
      <c r="P104" s="3280">
        <v>8786.7999999999993</v>
      </c>
    </row>
    <row r="105" spans="1:16" ht="12.75" customHeight="1">
      <c r="A105" s="3252">
        <v>2013.12</v>
      </c>
      <c r="B105" s="3274">
        <v>7832367</v>
      </c>
      <c r="C105" s="3275">
        <v>1418597</v>
      </c>
      <c r="D105" s="3276">
        <v>6413770</v>
      </c>
      <c r="E105" s="3277">
        <v>9120.8485435667208</v>
      </c>
      <c r="F105" s="3275">
        <v>10473.869331853901</v>
      </c>
      <c r="G105" s="3276">
        <v>8821.5875424391597</v>
      </c>
      <c r="H105" s="3287">
        <v>6147.924</v>
      </c>
      <c r="I105" s="3288">
        <v>2888.375</v>
      </c>
      <c r="J105" s="3287">
        <v>449.12099999999998</v>
      </c>
      <c r="K105" s="3289">
        <v>422.97800000000001</v>
      </c>
      <c r="L105" s="3287">
        <v>1461.135</v>
      </c>
      <c r="M105" s="3290">
        <v>293.06900000000002</v>
      </c>
      <c r="N105" s="3291">
        <v>11662.601999999997</v>
      </c>
      <c r="O105" s="3279">
        <v>10668.4</v>
      </c>
      <c r="P105" s="3280">
        <v>13174.71</v>
      </c>
    </row>
    <row r="106" spans="1:16" ht="12.75" customHeight="1">
      <c r="A106" s="3252">
        <v>2014.01</v>
      </c>
      <c r="B106" s="3274">
        <v>7850645</v>
      </c>
      <c r="C106" s="3275">
        <v>1437826</v>
      </c>
      <c r="D106" s="3276">
        <v>6412819</v>
      </c>
      <c r="E106" s="3277">
        <v>13625.201242732301</v>
      </c>
      <c r="F106" s="3275">
        <v>15364.372192163701</v>
      </c>
      <c r="G106" s="3276">
        <v>13299.335236139303</v>
      </c>
      <c r="H106" s="3287">
        <v>6153.7470000000003</v>
      </c>
      <c r="I106" s="3288">
        <v>2848.9630000000002</v>
      </c>
      <c r="J106" s="3287">
        <v>454.35199999999998</v>
      </c>
      <c r="K106" s="3289">
        <v>424.79500000000002</v>
      </c>
      <c r="L106" s="3287">
        <v>1462.6990000000001</v>
      </c>
      <c r="M106" s="3290">
        <v>294.18299999999999</v>
      </c>
      <c r="N106" s="3291">
        <v>11638.739000000001</v>
      </c>
      <c r="O106" s="3279">
        <v>7411</v>
      </c>
      <c r="P106" s="3280">
        <v>9713.2000000000007</v>
      </c>
    </row>
    <row r="107" spans="1:16" ht="12.75" customHeight="1">
      <c r="A107" s="3252">
        <v>2014.02</v>
      </c>
      <c r="B107" s="3274">
        <v>7813423</v>
      </c>
      <c r="C107" s="3275">
        <v>1410910</v>
      </c>
      <c r="D107" s="3276">
        <v>6402513</v>
      </c>
      <c r="E107" s="3277">
        <v>10119.146711605101</v>
      </c>
      <c r="F107" s="3275">
        <v>11452.047435463601</v>
      </c>
      <c r="G107" s="3276">
        <v>9758.9424571670534</v>
      </c>
      <c r="H107" s="3287">
        <v>6147.9549999999999</v>
      </c>
      <c r="I107" s="3288">
        <v>2846.69</v>
      </c>
      <c r="J107" s="3287">
        <v>455.20100000000002</v>
      </c>
      <c r="K107" s="3289">
        <v>421.82400000000001</v>
      </c>
      <c r="L107" s="3287">
        <v>1463.739</v>
      </c>
      <c r="M107" s="3290">
        <v>297.15300000000002</v>
      </c>
      <c r="N107" s="3291">
        <v>11632.562000000002</v>
      </c>
      <c r="O107" s="3279">
        <v>7380.13</v>
      </c>
      <c r="P107" s="3280">
        <v>9428.09</v>
      </c>
    </row>
    <row r="108" spans="1:16" ht="12.75" customHeight="1">
      <c r="A108" s="3252">
        <v>2014.03</v>
      </c>
      <c r="B108" s="3274">
        <v>7828210</v>
      </c>
      <c r="C108" s="3275">
        <v>1425817</v>
      </c>
      <c r="D108" s="3276">
        <v>6402393</v>
      </c>
      <c r="E108" s="3277">
        <v>9766.1894542622103</v>
      </c>
      <c r="F108" s="3275">
        <v>10836.1070484431</v>
      </c>
      <c r="G108" s="3276">
        <v>9474.7965422495381</v>
      </c>
      <c r="H108" s="3287">
        <v>6127.0529999999999</v>
      </c>
      <c r="I108" s="3288">
        <v>2786.489</v>
      </c>
      <c r="J108" s="3287">
        <v>451.26100000000002</v>
      </c>
      <c r="K108" s="3289">
        <v>422.464</v>
      </c>
      <c r="L108" s="3287">
        <v>1462.85</v>
      </c>
      <c r="M108" s="3290">
        <v>300.505</v>
      </c>
      <c r="N108" s="3291">
        <v>11550.621999999999</v>
      </c>
      <c r="O108" s="3279">
        <v>7579.12</v>
      </c>
      <c r="P108" s="3280">
        <v>10097.4</v>
      </c>
    </row>
    <row r="109" spans="1:16" ht="12.75" customHeight="1">
      <c r="A109" s="3252">
        <v>2014.04</v>
      </c>
      <c r="B109" s="3274">
        <v>7803504</v>
      </c>
      <c r="C109" s="3275">
        <v>1412599</v>
      </c>
      <c r="D109" s="3276">
        <v>6390905</v>
      </c>
      <c r="E109" s="3277">
        <v>10410.974289694699</v>
      </c>
      <c r="F109" s="3275">
        <v>11282.172943064499</v>
      </c>
      <c r="G109" s="3276">
        <v>9790.5142254912207</v>
      </c>
      <c r="H109" s="3287">
        <v>6096.44</v>
      </c>
      <c r="I109" s="3288">
        <v>2852.6080000000002</v>
      </c>
      <c r="J109" s="3287">
        <v>452.702</v>
      </c>
      <c r="K109" s="3289">
        <v>422.42</v>
      </c>
      <c r="L109" s="3287">
        <v>1466.9670000000001</v>
      </c>
      <c r="M109" s="3290">
        <v>304.11500000000001</v>
      </c>
      <c r="N109" s="3291">
        <v>11595.251999999999</v>
      </c>
      <c r="O109" s="3279">
        <v>8219.33</v>
      </c>
      <c r="P109" s="3280">
        <v>10327.23</v>
      </c>
    </row>
    <row r="110" spans="1:16" ht="12.75" customHeight="1">
      <c r="A110" s="3252">
        <v>2014.05</v>
      </c>
      <c r="B110" s="3274">
        <v>7763720</v>
      </c>
      <c r="C110" s="3275">
        <v>1408286</v>
      </c>
      <c r="D110" s="3276">
        <v>6355434</v>
      </c>
      <c r="E110" s="3277">
        <v>8953.7635880264697</v>
      </c>
      <c r="F110" s="3275">
        <v>9982.6477687641309</v>
      </c>
      <c r="G110" s="3276">
        <v>10493.802581953729</v>
      </c>
      <c r="H110" s="3287">
        <v>6076.7920000000004</v>
      </c>
      <c r="I110" s="3288">
        <v>2878.5880000000002</v>
      </c>
      <c r="J110" s="3287">
        <v>455.54</v>
      </c>
      <c r="K110" s="3289">
        <v>420.404</v>
      </c>
      <c r="L110" s="3287">
        <v>1473.127</v>
      </c>
      <c r="M110" s="3290">
        <v>306.66000000000003</v>
      </c>
      <c r="N110" s="3291">
        <v>11611.111000000003</v>
      </c>
      <c r="O110" s="3279">
        <v>8486.74</v>
      </c>
      <c r="P110" s="3280">
        <v>10398.99</v>
      </c>
    </row>
    <row r="111" spans="1:16" ht="12.75" customHeight="1">
      <c r="A111" s="3252">
        <v>2014.06</v>
      </c>
      <c r="B111" s="3274">
        <v>7736952</v>
      </c>
      <c r="C111" s="3275">
        <v>1418959</v>
      </c>
      <c r="D111" s="3276">
        <v>6317993</v>
      </c>
      <c r="E111" s="3277">
        <v>10833.6496629538</v>
      </c>
      <c r="F111" s="3275">
        <v>12102.670098558199</v>
      </c>
      <c r="G111" s="3276">
        <v>10525.374350277898</v>
      </c>
      <c r="H111" s="3287">
        <v>6075.2129999999997</v>
      </c>
      <c r="I111" s="3288">
        <v>2909.7240000000002</v>
      </c>
      <c r="J111" s="3287">
        <v>460.072</v>
      </c>
      <c r="K111" s="3289">
        <v>416.33800000000002</v>
      </c>
      <c r="L111" s="3287">
        <v>1479.749</v>
      </c>
      <c r="M111" s="3290">
        <v>310.05700000000002</v>
      </c>
      <c r="N111" s="3291">
        <v>11651.153</v>
      </c>
      <c r="O111" s="3279">
        <v>12175.5</v>
      </c>
      <c r="P111" s="3280">
        <v>15007.04</v>
      </c>
    </row>
    <row r="112" spans="1:16" ht="12.75" customHeight="1">
      <c r="A112" s="3252">
        <v>2014.07</v>
      </c>
      <c r="B112" s="3274">
        <v>7739920</v>
      </c>
      <c r="C112" s="3275">
        <v>1417626</v>
      </c>
      <c r="D112" s="3276">
        <v>6322294</v>
      </c>
      <c r="E112" s="3277">
        <v>15734.943742749299</v>
      </c>
      <c r="F112" s="3275">
        <v>18176.413109205099</v>
      </c>
      <c r="G112" s="3276">
        <v>15215.414968916415</v>
      </c>
      <c r="H112" s="3287">
        <v>6080.4949999999999</v>
      </c>
      <c r="I112" s="3288">
        <v>2901.1329999999998</v>
      </c>
      <c r="J112" s="3287">
        <v>462.91500000000002</v>
      </c>
      <c r="K112" s="3289">
        <v>415.26799999999997</v>
      </c>
      <c r="L112" s="3287">
        <v>1480.1310000000001</v>
      </c>
      <c r="M112" s="3290">
        <v>313.79000000000002</v>
      </c>
      <c r="N112" s="3291">
        <v>11653.732000000002</v>
      </c>
      <c r="O112" s="3279">
        <v>9156.57</v>
      </c>
      <c r="P112" s="3280">
        <v>11094.08</v>
      </c>
    </row>
    <row r="113" spans="1:16" ht="12.75" customHeight="1">
      <c r="A113" s="3252">
        <v>2014.08</v>
      </c>
      <c r="B113" s="3274">
        <v>7769785</v>
      </c>
      <c r="C113" s="3275">
        <v>1433220</v>
      </c>
      <c r="D113" s="3276">
        <v>6336565</v>
      </c>
      <c r="E113" s="3277">
        <v>11653.0131996072</v>
      </c>
      <c r="F113" s="3275">
        <v>13151.063909860301</v>
      </c>
      <c r="G113" s="3276">
        <v>11262.411838397276</v>
      </c>
      <c r="H113" s="3287">
        <v>6076.87</v>
      </c>
      <c r="I113" s="3288">
        <v>2905.8589999999999</v>
      </c>
      <c r="J113" s="3287">
        <v>463.33</v>
      </c>
      <c r="K113" s="3289">
        <v>414.221</v>
      </c>
      <c r="L113" s="3287">
        <v>1480.8489999999999</v>
      </c>
      <c r="M113" s="3290">
        <v>315.99799999999999</v>
      </c>
      <c r="N113" s="3291">
        <v>11657.126999999999</v>
      </c>
      <c r="O113" s="3279">
        <v>8914.36</v>
      </c>
      <c r="P113" s="3280">
        <v>11002.19</v>
      </c>
    </row>
    <row r="114" spans="1:16" ht="12.75" customHeight="1">
      <c r="A114" s="3252">
        <v>2014.09</v>
      </c>
      <c r="B114" s="3274">
        <v>7779063</v>
      </c>
      <c r="C114" s="3275">
        <v>1437594</v>
      </c>
      <c r="D114" s="3276">
        <v>6341469</v>
      </c>
      <c r="E114" s="3277">
        <v>11534.0697644588</v>
      </c>
      <c r="F114" s="3275">
        <v>13338.3201854279</v>
      </c>
      <c r="G114" s="3276">
        <v>10868.309075178347</v>
      </c>
      <c r="H114" s="3287">
        <v>6097.0360000000001</v>
      </c>
      <c r="I114" s="3288">
        <v>2928.337</v>
      </c>
      <c r="J114" s="3287">
        <v>462.95699999999999</v>
      </c>
      <c r="K114" s="3289">
        <v>412.42599999999999</v>
      </c>
      <c r="L114" s="3287">
        <v>1484.559</v>
      </c>
      <c r="M114" s="3290">
        <v>321.65100000000001</v>
      </c>
      <c r="N114" s="3291">
        <v>11706.965999999999</v>
      </c>
      <c r="O114" s="3279">
        <v>9301.7999999999993</v>
      </c>
      <c r="P114" s="3280">
        <v>11382.62</v>
      </c>
    </row>
    <row r="115" spans="1:16" ht="12.75" customHeight="1">
      <c r="A115" s="3252">
        <v>2014.1</v>
      </c>
      <c r="B115" s="3274">
        <v>7798508</v>
      </c>
      <c r="C115" s="3275">
        <v>1432996</v>
      </c>
      <c r="D115" s="3276">
        <v>6365512</v>
      </c>
      <c r="E115" s="3277">
        <v>11856.568637599699</v>
      </c>
      <c r="F115" s="3275">
        <v>13337.5186734855</v>
      </c>
      <c r="G115" s="3276">
        <v>11326.644056711964</v>
      </c>
      <c r="H115" s="3287">
        <v>6128.9030000000002</v>
      </c>
      <c r="I115" s="3288">
        <v>2940.6680000000001</v>
      </c>
      <c r="J115" s="3287">
        <v>462.64800000000002</v>
      </c>
      <c r="K115" s="3289">
        <v>409.613</v>
      </c>
      <c r="L115" s="3287">
        <v>1484.5139999999999</v>
      </c>
      <c r="M115" s="3290">
        <v>329.10599999999999</v>
      </c>
      <c r="N115" s="3291">
        <v>11755.451999999997</v>
      </c>
      <c r="O115" s="3279">
        <v>9528.7999999999993</v>
      </c>
      <c r="P115" s="3280">
        <v>11734.64</v>
      </c>
    </row>
    <row r="116" spans="1:16" ht="12.75" customHeight="1">
      <c r="A116" s="3252">
        <v>2014.11</v>
      </c>
      <c r="B116" s="3274">
        <v>7859477</v>
      </c>
      <c r="C116" s="3275">
        <v>1449134</v>
      </c>
      <c r="D116" s="3276">
        <v>6410343</v>
      </c>
      <c r="E116" s="3277">
        <v>12151.241016649101</v>
      </c>
      <c r="F116" s="3275">
        <v>13742.0153024013</v>
      </c>
      <c r="G116" s="3276">
        <v>11648.893829951752</v>
      </c>
      <c r="H116" s="3287">
        <v>6145.2460000000001</v>
      </c>
      <c r="I116" s="3288">
        <v>2963.7049999999999</v>
      </c>
      <c r="J116" s="3287">
        <v>459.57600000000002</v>
      </c>
      <c r="K116" s="3289">
        <v>407.57</v>
      </c>
      <c r="L116" s="3287">
        <v>1474.0060000000001</v>
      </c>
      <c r="M116" s="3290">
        <v>333.73</v>
      </c>
      <c r="N116" s="3291">
        <v>11783.833000000001</v>
      </c>
      <c r="O116" s="3279">
        <v>9664.2999999999993</v>
      </c>
      <c r="P116" s="3280">
        <v>11850.1</v>
      </c>
    </row>
    <row r="117" spans="1:16" ht="12.75" customHeight="1">
      <c r="A117" s="3252">
        <v>2014.12</v>
      </c>
      <c r="B117" s="3274">
        <v>7878814</v>
      </c>
      <c r="C117" s="3275">
        <v>1455391</v>
      </c>
      <c r="D117" s="3276">
        <v>6423423</v>
      </c>
      <c r="E117" s="3277">
        <v>12228.7290345819</v>
      </c>
      <c r="F117" s="3275">
        <v>13831.0074032476</v>
      </c>
      <c r="G117" s="3276">
        <v>11731.633636594401</v>
      </c>
      <c r="H117" s="3287">
        <v>6169.0259999999998</v>
      </c>
      <c r="I117" s="3288">
        <v>2977.701</v>
      </c>
      <c r="J117" s="3287">
        <v>445.28500000000003</v>
      </c>
      <c r="K117" s="3289">
        <v>405.27499999999998</v>
      </c>
      <c r="L117" s="3287">
        <v>1452.972</v>
      </c>
      <c r="M117" s="3290">
        <v>337.971</v>
      </c>
      <c r="N117" s="3291">
        <v>11788.229999999998</v>
      </c>
      <c r="O117" s="3279">
        <v>14302.11</v>
      </c>
      <c r="P117" s="3280">
        <v>17751.599999999999</v>
      </c>
    </row>
    <row r="118" spans="1:16" ht="12.75" customHeight="1">
      <c r="A118" s="3252">
        <v>2015.01</v>
      </c>
      <c r="B118" s="3274">
        <v>7907526</v>
      </c>
      <c r="C118" s="3275">
        <v>1468930</v>
      </c>
      <c r="D118" s="3276">
        <v>6438596</v>
      </c>
      <c r="E118" s="3277">
        <v>18284.8469124578</v>
      </c>
      <c r="F118" s="3275">
        <v>20490.4619517063</v>
      </c>
      <c r="G118" s="3276">
        <v>17781.648062956599</v>
      </c>
      <c r="H118" s="3287">
        <v>6197.18</v>
      </c>
      <c r="I118" s="3288">
        <v>2948.386</v>
      </c>
      <c r="J118" s="3287">
        <v>439.98099999999999</v>
      </c>
      <c r="K118" s="3289">
        <v>408.25200000000001</v>
      </c>
      <c r="L118" s="3287">
        <v>1439.653</v>
      </c>
      <c r="M118" s="3290">
        <v>341.952</v>
      </c>
      <c r="N118" s="3291">
        <v>11775.404</v>
      </c>
      <c r="O118" s="3279">
        <v>9826.7000000000007</v>
      </c>
      <c r="P118" s="3280">
        <v>13089.84</v>
      </c>
    </row>
    <row r="119" spans="1:16" ht="12.75" customHeight="1">
      <c r="A119" s="3252">
        <v>2015.02</v>
      </c>
      <c r="B119" s="3274">
        <v>7908778</v>
      </c>
      <c r="C119" s="3275">
        <v>1461213</v>
      </c>
      <c r="D119" s="3276">
        <v>6447565</v>
      </c>
      <c r="E119" s="3277">
        <v>13423.6697444612</v>
      </c>
      <c r="F119" s="3275">
        <v>14952.8306561056</v>
      </c>
      <c r="G119" s="3276">
        <v>13077.115688288501</v>
      </c>
      <c r="H119" s="3287">
        <v>6215.585</v>
      </c>
      <c r="I119" s="3288">
        <v>2946.0839999999998</v>
      </c>
      <c r="J119" s="3287">
        <v>439.40300000000002</v>
      </c>
      <c r="K119" s="3289">
        <v>413.12099999999998</v>
      </c>
      <c r="L119" s="3287">
        <v>1429.6379999999999</v>
      </c>
      <c r="M119" s="3290">
        <v>346.53500000000003</v>
      </c>
      <c r="N119" s="3291">
        <v>11790.365999999998</v>
      </c>
      <c r="O119" s="3279">
        <v>9808.24</v>
      </c>
      <c r="P119" s="3280">
        <v>12694.8</v>
      </c>
    </row>
    <row r="120" spans="1:16" ht="12.75" customHeight="1">
      <c r="A120" s="3252">
        <v>2015.03</v>
      </c>
      <c r="B120" s="3274">
        <v>7939639</v>
      </c>
      <c r="C120" s="3275">
        <v>1460331</v>
      </c>
      <c r="D120" s="3276">
        <v>6479308</v>
      </c>
      <c r="E120" s="3277">
        <v>13015.058321652899</v>
      </c>
      <c r="F120" s="3275">
        <v>14310.7135939523</v>
      </c>
      <c r="G120" s="3276">
        <v>12723.0386245723</v>
      </c>
      <c r="H120" s="3287">
        <v>6228.7619999999997</v>
      </c>
      <c r="I120" s="3288">
        <v>2943.7370000000001</v>
      </c>
      <c r="J120" s="3287">
        <v>439.23599999999999</v>
      </c>
      <c r="K120" s="3289">
        <v>409.452</v>
      </c>
      <c r="L120" s="3287">
        <v>1432.931</v>
      </c>
      <c r="M120" s="3290">
        <v>348.214</v>
      </c>
      <c r="N120" s="3291">
        <v>11802.332</v>
      </c>
      <c r="O120" s="3279">
        <v>9889.76</v>
      </c>
      <c r="P120" s="3280">
        <v>13338.17</v>
      </c>
    </row>
    <row r="121" spans="1:16" ht="12.75" customHeight="1">
      <c r="A121" s="3252">
        <v>2015.04</v>
      </c>
      <c r="B121" s="3274">
        <v>7973635</v>
      </c>
      <c r="C121" s="3275">
        <v>1457284</v>
      </c>
      <c r="D121" s="3276">
        <v>6516351</v>
      </c>
      <c r="E121" s="3277">
        <v>13753.608509179299</v>
      </c>
      <c r="F121" s="3275">
        <v>15169.790231643199</v>
      </c>
      <c r="G121" s="3276">
        <v>13436.900743554201</v>
      </c>
      <c r="H121" s="3287">
        <v>6224.3249999999998</v>
      </c>
      <c r="I121" s="3288">
        <v>2965.7710000000002</v>
      </c>
      <c r="J121" s="3287">
        <v>440.62900000000002</v>
      </c>
      <c r="K121" s="3289">
        <v>410.24599999999998</v>
      </c>
      <c r="L121" s="3287">
        <v>1433.3789999999999</v>
      </c>
      <c r="M121" s="3290">
        <v>349.428</v>
      </c>
      <c r="N121" s="3291">
        <v>11823.777999999998</v>
      </c>
      <c r="O121" s="3279">
        <v>10051.69</v>
      </c>
      <c r="P121" s="3280">
        <v>13093.16</v>
      </c>
    </row>
    <row r="122" spans="1:16" ht="12.75" customHeight="1">
      <c r="A122" s="3252">
        <v>2015.05</v>
      </c>
      <c r="B122" s="3274">
        <v>7989286</v>
      </c>
      <c r="C122" s="3275">
        <v>1463609</v>
      </c>
      <c r="D122" s="3276">
        <v>6525677</v>
      </c>
      <c r="E122" s="3277">
        <v>13588.8125640251</v>
      </c>
      <c r="F122" s="3275">
        <v>15730.9753387893</v>
      </c>
      <c r="G122" s="3276">
        <v>13108.3583955749</v>
      </c>
      <c r="H122" s="3287">
        <v>6197.6549999999997</v>
      </c>
      <c r="I122" s="3288">
        <v>2997.54</v>
      </c>
      <c r="J122" s="3287">
        <v>440.95100000000002</v>
      </c>
      <c r="K122" s="3289">
        <v>410.74700000000001</v>
      </c>
      <c r="L122" s="3287">
        <v>1439.336</v>
      </c>
      <c r="M122" s="3290">
        <v>351.245</v>
      </c>
      <c r="N122" s="3291">
        <v>11837.474</v>
      </c>
      <c r="O122" s="3279">
        <v>10884.99</v>
      </c>
      <c r="P122" s="3280">
        <v>13454.92</v>
      </c>
    </row>
    <row r="123" spans="1:16" ht="12.75" customHeight="1">
      <c r="A123" s="3252">
        <v>2015.06</v>
      </c>
      <c r="B123" s="3274">
        <v>7976184</v>
      </c>
      <c r="C123" s="3275">
        <v>1473503</v>
      </c>
      <c r="D123" s="3276">
        <v>6502681</v>
      </c>
      <c r="E123" s="3277">
        <v>13855.5282269617</v>
      </c>
      <c r="F123" s="3275">
        <v>15854.5396404079</v>
      </c>
      <c r="G123" s="3276">
        <v>13402.553628523399</v>
      </c>
      <c r="H123" s="3287">
        <v>6216.0479999999998</v>
      </c>
      <c r="I123" s="3288">
        <v>3032.8310000000001</v>
      </c>
      <c r="J123" s="3287">
        <v>441.95699999999999</v>
      </c>
      <c r="K123" s="3289">
        <v>410.65699999999998</v>
      </c>
      <c r="L123" s="3287">
        <v>1451.923</v>
      </c>
      <c r="M123" s="3290">
        <v>354.31700000000001</v>
      </c>
      <c r="N123" s="3291">
        <v>11907.733</v>
      </c>
      <c r="O123" s="3279">
        <v>16196.68</v>
      </c>
      <c r="P123" s="3280">
        <v>20156.66</v>
      </c>
    </row>
    <row r="124" spans="1:16" ht="12.75" customHeight="1">
      <c r="A124" s="3252">
        <v>2015.07</v>
      </c>
      <c r="B124" s="3274">
        <v>8028150</v>
      </c>
      <c r="C124" s="3275">
        <v>1492833</v>
      </c>
      <c r="D124" s="3276">
        <v>6535317</v>
      </c>
      <c r="E124" s="3277">
        <v>21032.362170111399</v>
      </c>
      <c r="F124" s="3275">
        <v>25100.2538271997</v>
      </c>
      <c r="G124" s="3276">
        <v>20103.152017623601</v>
      </c>
      <c r="H124" s="3287">
        <v>6223.4070000000002</v>
      </c>
      <c r="I124" s="3288">
        <v>3056.8139999999999</v>
      </c>
      <c r="J124" s="3287">
        <v>444.01499999999999</v>
      </c>
      <c r="K124" s="3289">
        <v>411.029</v>
      </c>
      <c r="L124" s="3287">
        <v>1454.479</v>
      </c>
      <c r="M124" s="3290">
        <v>354.94</v>
      </c>
      <c r="N124" s="3291">
        <v>11944.683999999999</v>
      </c>
      <c r="O124" s="3279">
        <v>11955.24</v>
      </c>
      <c r="P124" s="3280">
        <v>14583.64</v>
      </c>
    </row>
    <row r="125" spans="1:16" ht="12.75" customHeight="1">
      <c r="A125" s="3252">
        <v>2015.08</v>
      </c>
      <c r="B125" s="3274">
        <v>8032858</v>
      </c>
      <c r="C125" s="3275">
        <v>1491799</v>
      </c>
      <c r="D125" s="3276">
        <v>6541059</v>
      </c>
      <c r="E125" s="3277">
        <v>15114.928545990701</v>
      </c>
      <c r="F125" s="3275">
        <v>17488.037688971501</v>
      </c>
      <c r="G125" s="3276">
        <v>14573.700918111301</v>
      </c>
      <c r="H125" s="3287">
        <v>6234.44</v>
      </c>
      <c r="I125" s="3288">
        <v>3066.395</v>
      </c>
      <c r="J125" s="3287">
        <v>445.46600000000001</v>
      </c>
      <c r="K125" s="3289">
        <v>410.42700000000002</v>
      </c>
      <c r="L125" s="3287">
        <v>1455.4870000000001</v>
      </c>
      <c r="M125" s="3290">
        <v>355.18700000000001</v>
      </c>
      <c r="N125" s="3291">
        <v>11967.402</v>
      </c>
      <c r="O125" s="3279">
        <v>11565.12</v>
      </c>
      <c r="P125" s="3280">
        <v>14434.43</v>
      </c>
    </row>
    <row r="126" spans="1:16" ht="12.75" customHeight="1">
      <c r="A126" s="3252">
        <v>2015.09</v>
      </c>
      <c r="B126" s="3274">
        <v>8061911</v>
      </c>
      <c r="C126" s="3275">
        <v>1503864</v>
      </c>
      <c r="D126" s="3276">
        <v>6558047</v>
      </c>
      <c r="E126" s="3277">
        <v>15062.606559845401</v>
      </c>
      <c r="F126" s="3275">
        <v>17797.492061529501</v>
      </c>
      <c r="G126" s="3276">
        <v>14435.4540173119</v>
      </c>
      <c r="H126" s="3287">
        <v>6237.5590000000002</v>
      </c>
      <c r="I126" s="3288">
        <v>3073.5790000000002</v>
      </c>
      <c r="J126" s="3287">
        <v>445.79199999999997</v>
      </c>
      <c r="K126" s="3289">
        <v>411.77600000000001</v>
      </c>
      <c r="L126" s="3287">
        <v>1457.8140000000001</v>
      </c>
      <c r="M126" s="3290">
        <v>355.755</v>
      </c>
      <c r="N126" s="3291">
        <v>11982.275</v>
      </c>
      <c r="O126" s="3279">
        <v>12237.17</v>
      </c>
      <c r="P126" s="3280">
        <v>14957.68</v>
      </c>
    </row>
    <row r="127" spans="1:16" ht="12.75" customHeight="1">
      <c r="A127" s="3252">
        <v>2015.1</v>
      </c>
      <c r="B127" s="3274">
        <v>8056690</v>
      </c>
      <c r="C127" s="3275">
        <v>1497614</v>
      </c>
      <c r="D127" s="3276">
        <v>6559076</v>
      </c>
      <c r="E127" s="3277">
        <v>15502.768137782399</v>
      </c>
      <c r="F127" s="3275">
        <v>17872.3501308214</v>
      </c>
      <c r="G127" s="3276">
        <v>14961.7286427494</v>
      </c>
      <c r="H127" s="3287">
        <v>6262.8329999999996</v>
      </c>
      <c r="I127" s="3288">
        <v>3096.694</v>
      </c>
      <c r="J127" s="3287">
        <v>445.57400000000001</v>
      </c>
      <c r="K127" s="3289">
        <v>410.75200000000001</v>
      </c>
      <c r="L127" s="3287">
        <v>1455.2529999999999</v>
      </c>
      <c r="M127" s="3290">
        <v>355.13</v>
      </c>
      <c r="N127" s="3291">
        <v>12026.236000000001</v>
      </c>
      <c r="O127" s="3279">
        <v>11810.7</v>
      </c>
      <c r="P127" s="3280">
        <v>15013.59</v>
      </c>
    </row>
    <row r="128" spans="1:16" ht="12.75" customHeight="1">
      <c r="A128" s="3252">
        <v>2015.11</v>
      </c>
      <c r="B128" s="3274">
        <v>8083814</v>
      </c>
      <c r="C128" s="3275">
        <v>1502367</v>
      </c>
      <c r="D128" s="3276">
        <v>6581447</v>
      </c>
      <c r="E128" s="3277">
        <v>15625.6593375751</v>
      </c>
      <c r="F128" s="3275">
        <v>18115.9124145565</v>
      </c>
      <c r="G128" s="3276">
        <v>15057.2016648922</v>
      </c>
      <c r="H128" s="3287">
        <v>6266.76</v>
      </c>
      <c r="I128" s="3288">
        <v>3113.4380000000001</v>
      </c>
      <c r="J128" s="3287">
        <v>444.72699999999998</v>
      </c>
      <c r="K128" s="3289">
        <v>409.19099999999997</v>
      </c>
      <c r="L128" s="3287">
        <v>1453.259</v>
      </c>
      <c r="M128" s="3290">
        <v>354.64299999999997</v>
      </c>
      <c r="N128" s="3291">
        <v>12042.018000000002</v>
      </c>
      <c r="O128" s="3279">
        <v>12307.97</v>
      </c>
      <c r="P128" s="3280">
        <v>15303.76</v>
      </c>
    </row>
    <row r="129" spans="1:16" ht="12.75" customHeight="1">
      <c r="A129" s="3252">
        <v>2015.12</v>
      </c>
      <c r="B129" s="3274">
        <v>8096281</v>
      </c>
      <c r="C129" s="3275">
        <v>1513460</v>
      </c>
      <c r="D129" s="3276">
        <v>6582821</v>
      </c>
      <c r="E129" s="3277">
        <v>15959.8846130328</v>
      </c>
      <c r="F129" s="3275">
        <v>18575.836980554501</v>
      </c>
      <c r="G129" s="3276">
        <v>15358.449564115401</v>
      </c>
      <c r="H129" s="3287">
        <v>6246.5259999999998</v>
      </c>
      <c r="I129" s="3288">
        <v>3124.6990000000001</v>
      </c>
      <c r="J129" s="3287">
        <v>442.71</v>
      </c>
      <c r="K129" s="3289">
        <v>405.76600000000002</v>
      </c>
      <c r="L129" s="3287">
        <v>1446.308</v>
      </c>
      <c r="M129" s="3290">
        <v>352.947</v>
      </c>
      <c r="N129" s="3291">
        <v>12018.955999999998</v>
      </c>
      <c r="O129" s="3279">
        <v>18553.23</v>
      </c>
      <c r="P129" s="3280">
        <v>23203.599999999999</v>
      </c>
    </row>
    <row r="130" spans="1:16" ht="12.75" customHeight="1">
      <c r="A130" s="3252">
        <v>2016.01</v>
      </c>
      <c r="B130" s="3274">
        <v>8062865</v>
      </c>
      <c r="C130" s="3275">
        <v>1523605</v>
      </c>
      <c r="D130" s="3276">
        <v>6539260</v>
      </c>
      <c r="E130" s="3277">
        <v>24044.395136082501</v>
      </c>
      <c r="F130" s="3275">
        <v>27443.7407947467</v>
      </c>
      <c r="G130" s="3276">
        <v>23252.369732249499</v>
      </c>
      <c r="H130" s="3287">
        <v>6237.1760000000004</v>
      </c>
      <c r="I130" s="3288">
        <v>3073.2910000000002</v>
      </c>
      <c r="J130" s="3287">
        <v>444.56400000000002</v>
      </c>
      <c r="K130" s="3289">
        <v>408.85199999999998</v>
      </c>
      <c r="L130" s="3287">
        <v>1443.829</v>
      </c>
      <c r="M130" s="3290">
        <v>355.03</v>
      </c>
      <c r="N130" s="3291">
        <v>11962.742000000002</v>
      </c>
      <c r="O130" s="3279">
        <v>12687.98</v>
      </c>
      <c r="P130" s="3280">
        <v>16866.104578826071</v>
      </c>
    </row>
    <row r="131" spans="1:16" ht="12.75" customHeight="1">
      <c r="A131" s="3252">
        <v>2016.02</v>
      </c>
      <c r="B131" s="3274">
        <v>8020221</v>
      </c>
      <c r="C131" s="3275">
        <v>1501329</v>
      </c>
      <c r="D131" s="3276">
        <v>6518892</v>
      </c>
      <c r="E131" s="3277">
        <v>17358.275679523002</v>
      </c>
      <c r="F131" s="3275">
        <v>19477.9430712256</v>
      </c>
      <c r="G131" s="3276">
        <v>16870.107118743501</v>
      </c>
      <c r="H131" s="3287">
        <v>6247.5309999999999</v>
      </c>
      <c r="I131" s="3288">
        <v>3066.2269999999999</v>
      </c>
      <c r="J131" s="3287">
        <v>444.51100000000002</v>
      </c>
      <c r="K131" s="3289">
        <v>408.60899999999998</v>
      </c>
      <c r="L131" s="3287">
        <v>1440.19</v>
      </c>
      <c r="M131" s="3290">
        <v>355.70600000000002</v>
      </c>
      <c r="N131" s="3291">
        <v>11962.774000000001</v>
      </c>
      <c r="O131" s="3279">
        <v>12877.37</v>
      </c>
      <c r="P131" s="3280">
        <v>16779.260381425251</v>
      </c>
    </row>
    <row r="132" spans="1:16" ht="12.75" customHeight="1">
      <c r="A132" s="3252">
        <v>2016.03</v>
      </c>
      <c r="B132" s="3274">
        <v>8059625</v>
      </c>
      <c r="C132" s="3275">
        <v>1504213</v>
      </c>
      <c r="D132" s="3276">
        <v>6555412</v>
      </c>
      <c r="E132" s="3277">
        <v>17187.516797764201</v>
      </c>
      <c r="F132" s="3275">
        <v>18817.7801663262</v>
      </c>
      <c r="G132" s="3276">
        <v>16813.4345352893</v>
      </c>
      <c r="H132" s="3287">
        <v>6241.277</v>
      </c>
      <c r="I132" s="3288">
        <v>3067.7950000000001</v>
      </c>
      <c r="J132" s="3287">
        <v>445.76400000000001</v>
      </c>
      <c r="K132" s="3289">
        <v>406.98700000000002</v>
      </c>
      <c r="L132" s="3287">
        <v>1441.6389999999999</v>
      </c>
      <c r="M132" s="3290">
        <v>356.96699999999998</v>
      </c>
      <c r="N132" s="3291">
        <v>11960.428999999998</v>
      </c>
      <c r="O132" s="3279">
        <v>13233.78</v>
      </c>
      <c r="P132" s="3280">
        <v>17576.293697275501</v>
      </c>
    </row>
    <row r="133" spans="1:16" ht="12.75" customHeight="1">
      <c r="A133" s="3252">
        <v>2016.04</v>
      </c>
      <c r="B133" s="3274">
        <v>8060316</v>
      </c>
      <c r="C133" s="3275">
        <v>1501762</v>
      </c>
      <c r="D133" s="3276">
        <v>6558554</v>
      </c>
      <c r="E133" s="3277">
        <v>18266.036145597802</v>
      </c>
      <c r="F133" s="3275">
        <v>20108.4850949551</v>
      </c>
      <c r="G133" s="3276">
        <v>17844.156594238601</v>
      </c>
      <c r="H133" s="3287">
        <v>6188.5429999999997</v>
      </c>
      <c r="I133" s="3288">
        <v>3079.6129999999998</v>
      </c>
      <c r="J133" s="3287">
        <v>450.17099999999999</v>
      </c>
      <c r="K133" s="3289">
        <v>407.48399999999998</v>
      </c>
      <c r="L133" s="3287">
        <v>1448.0360000000001</v>
      </c>
      <c r="M133" s="3290">
        <v>357.67099999999999</v>
      </c>
      <c r="N133" s="3291">
        <v>11931.518</v>
      </c>
      <c r="O133" s="3279">
        <v>14231.13</v>
      </c>
      <c r="P133" s="3280">
        <v>17798.78130438711</v>
      </c>
    </row>
    <row r="134" spans="1:16" ht="12.75" customHeight="1">
      <c r="A134" s="3252">
        <v>2016.05</v>
      </c>
      <c r="B134" s="3274">
        <v>7999062</v>
      </c>
      <c r="C134" s="3275">
        <v>1498811</v>
      </c>
      <c r="D134" s="3276">
        <v>6500251</v>
      </c>
      <c r="E134" s="3277">
        <v>18517.626066385001</v>
      </c>
      <c r="F134" s="3275">
        <v>20591.867551919499</v>
      </c>
      <c r="G134" s="3276">
        <v>18039.3528496777</v>
      </c>
      <c r="H134" s="3287">
        <v>6152.616</v>
      </c>
      <c r="I134" s="3288">
        <v>3096.8130000000001</v>
      </c>
      <c r="J134" s="3287">
        <v>452.16199999999998</v>
      </c>
      <c r="K134" s="3289">
        <v>415.61700000000002</v>
      </c>
      <c r="L134" s="3287">
        <v>1455.6859999999999</v>
      </c>
      <c r="M134" s="3290">
        <v>357.57900000000001</v>
      </c>
      <c r="N134" s="3291">
        <v>11930.473</v>
      </c>
      <c r="O134" s="3279">
        <v>14824</v>
      </c>
      <c r="P134" s="3280">
        <v>18128.704128074656</v>
      </c>
    </row>
    <row r="135" spans="1:16" ht="12.75" customHeight="1">
      <c r="A135" s="3252">
        <v>2016.06</v>
      </c>
      <c r="B135" s="3274">
        <v>7961656</v>
      </c>
      <c r="C135" s="3275">
        <v>1503760</v>
      </c>
      <c r="D135" s="3276">
        <v>6457896</v>
      </c>
      <c r="E135" s="3277">
        <v>18926.130947560399</v>
      </c>
      <c r="F135" s="3275">
        <v>21829.118904166899</v>
      </c>
      <c r="G135" s="3276">
        <v>18250.152707956298</v>
      </c>
      <c r="H135" s="3287">
        <v>6136.4740000000002</v>
      </c>
      <c r="I135" s="3288">
        <v>3126.2249999999999</v>
      </c>
      <c r="J135" s="3287">
        <v>454.16300000000001</v>
      </c>
      <c r="K135" s="3289">
        <v>417.85500000000002</v>
      </c>
      <c r="L135" s="3287">
        <v>1472.3879999999999</v>
      </c>
      <c r="M135" s="3290">
        <v>358.72199999999998</v>
      </c>
      <c r="N135" s="3291">
        <v>11965.826999999999</v>
      </c>
      <c r="O135" s="3279">
        <v>21632.065000000002</v>
      </c>
      <c r="P135" s="3280">
        <v>26326.315403341676</v>
      </c>
    </row>
    <row r="136" spans="1:16" ht="12.75" customHeight="1">
      <c r="A136" s="3252">
        <v>2016.07</v>
      </c>
      <c r="B136" s="3274">
        <v>7952223</v>
      </c>
      <c r="C136" s="3275">
        <v>1513838</v>
      </c>
      <c r="D136" s="3276">
        <v>6438385</v>
      </c>
      <c r="E136" s="3277">
        <v>27409.839522616501</v>
      </c>
      <c r="F136" s="3275">
        <v>31855.373973100199</v>
      </c>
      <c r="G136" s="3276">
        <v>26364.574447376199</v>
      </c>
      <c r="H136" s="3287">
        <v>6135.3450000000003</v>
      </c>
      <c r="I136" s="3288">
        <v>3114.366</v>
      </c>
      <c r="J136" s="3287">
        <v>456.11099999999999</v>
      </c>
      <c r="K136" s="3289">
        <v>417.16500000000002</v>
      </c>
      <c r="L136" s="3287">
        <v>1474.76</v>
      </c>
      <c r="M136" s="3290">
        <v>360.71300000000002</v>
      </c>
      <c r="N136" s="3291">
        <v>11958.460000000001</v>
      </c>
      <c r="O136" s="3279">
        <v>15302.69</v>
      </c>
      <c r="P136" s="3280">
        <v>19147.223427919453</v>
      </c>
    </row>
    <row r="137" spans="1:16" ht="12.75" customHeight="1">
      <c r="A137" s="3252">
        <v>2016.08</v>
      </c>
      <c r="B137" s="3274">
        <v>7941750</v>
      </c>
      <c r="C137" s="3275">
        <v>1501441</v>
      </c>
      <c r="D137" s="3276">
        <v>6440309</v>
      </c>
      <c r="E137" s="3277">
        <v>19785.072069488499</v>
      </c>
      <c r="F137" s="3275">
        <v>22530.988177397601</v>
      </c>
      <c r="G137" s="3276">
        <v>19144.911632004001</v>
      </c>
      <c r="H137" s="3287">
        <v>6146.2839999999997</v>
      </c>
      <c r="I137" s="3288">
        <v>3116.8760000000002</v>
      </c>
      <c r="J137" s="3287">
        <v>457.39299999999997</v>
      </c>
      <c r="K137" s="3289">
        <v>416.84699999999998</v>
      </c>
      <c r="L137" s="3287">
        <v>1478.183</v>
      </c>
      <c r="M137" s="3290">
        <v>363.279</v>
      </c>
      <c r="N137" s="3291">
        <v>11978.861999999999</v>
      </c>
      <c r="O137" s="3279">
        <v>15460.705</v>
      </c>
      <c r="P137" s="3280">
        <v>19304.549892857063</v>
      </c>
    </row>
    <row r="138" spans="1:16" ht="12.75" customHeight="1">
      <c r="A138" s="3252">
        <v>2016.09</v>
      </c>
      <c r="B138" s="3274">
        <v>7968686</v>
      </c>
      <c r="C138" s="3275">
        <v>1505741</v>
      </c>
      <c r="D138" s="3276">
        <v>6462945</v>
      </c>
      <c r="E138" s="3277">
        <v>20218.2446404326</v>
      </c>
      <c r="F138" s="3275">
        <v>23378.320755973298</v>
      </c>
      <c r="G138" s="3276">
        <v>19482.0081150884</v>
      </c>
      <c r="H138" s="3287">
        <v>6151.241</v>
      </c>
      <c r="I138" s="3288">
        <v>3121.7849999999999</v>
      </c>
      <c r="J138" s="3287">
        <v>457.77199999999999</v>
      </c>
      <c r="K138" s="3289">
        <v>417.08199999999999</v>
      </c>
      <c r="L138" s="3287">
        <v>1484.971</v>
      </c>
      <c r="M138" s="3290">
        <v>367.53800000000001</v>
      </c>
      <c r="N138" s="3291">
        <v>12000.389000000001</v>
      </c>
      <c r="O138" s="3279">
        <v>15483.91</v>
      </c>
      <c r="P138" s="3280">
        <v>19538.657823303867</v>
      </c>
    </row>
    <row r="139" spans="1:16" ht="12.75" customHeight="1">
      <c r="A139" s="3252">
        <v>2016.1</v>
      </c>
      <c r="B139" s="3274">
        <v>7978155</v>
      </c>
      <c r="C139" s="3275">
        <v>1507223</v>
      </c>
      <c r="D139" s="3276">
        <v>6470932</v>
      </c>
      <c r="E139" s="3277">
        <v>20485.8730041382</v>
      </c>
      <c r="F139" s="3275">
        <v>23754.5709459383</v>
      </c>
      <c r="G139" s="3276">
        <v>19724.521050828502</v>
      </c>
      <c r="H139" s="3287">
        <v>6175.3969999999999</v>
      </c>
      <c r="I139" s="3288">
        <v>3126.1880000000001</v>
      </c>
      <c r="J139" s="3287">
        <v>457.40199999999999</v>
      </c>
      <c r="K139" s="3289">
        <v>416.48500000000001</v>
      </c>
      <c r="L139" s="3287">
        <v>1489.758</v>
      </c>
      <c r="M139" s="3290">
        <v>376.06400000000002</v>
      </c>
      <c r="N139" s="3291">
        <v>12041.294</v>
      </c>
      <c r="O139" s="3279">
        <v>16239.88</v>
      </c>
      <c r="P139" s="3280">
        <v>20209.047218003449</v>
      </c>
    </row>
    <row r="140" spans="1:16" ht="12.75" customHeight="1">
      <c r="A140" s="3252">
        <v>2016.11</v>
      </c>
      <c r="B140" s="3274">
        <v>8008951</v>
      </c>
      <c r="C140" s="3275">
        <v>1509563</v>
      </c>
      <c r="D140" s="3276">
        <v>6499388</v>
      </c>
      <c r="E140" s="3277">
        <v>21128.619588032201</v>
      </c>
      <c r="F140" s="3275">
        <v>24276.668530402501</v>
      </c>
      <c r="G140" s="3276">
        <v>20397.446405943101</v>
      </c>
      <c r="H140" s="3287">
        <v>6200.06</v>
      </c>
      <c r="I140" s="3288">
        <v>3136.944</v>
      </c>
      <c r="J140" s="3287">
        <v>457.12599999999998</v>
      </c>
      <c r="K140" s="3289">
        <v>414.99400000000003</v>
      </c>
      <c r="L140" s="3287">
        <v>1490.9110000000001</v>
      </c>
      <c r="M140" s="3290">
        <v>382.45499999999998</v>
      </c>
      <c r="N140" s="3291">
        <v>12082.490000000002</v>
      </c>
      <c r="O140" s="3279">
        <v>16565.86</v>
      </c>
      <c r="P140" s="3280">
        <v>20679.63633158831</v>
      </c>
    </row>
    <row r="141" spans="1:16" ht="12.75" customHeight="1">
      <c r="A141" s="3252">
        <v>2016.12</v>
      </c>
      <c r="B141" s="3274">
        <v>8038195</v>
      </c>
      <c r="C141" s="3275">
        <v>1515013</v>
      </c>
      <c r="D141" s="3276">
        <v>6523182</v>
      </c>
      <c r="E141" s="3277">
        <v>21617.361815586701</v>
      </c>
      <c r="F141" s="3275">
        <v>25054.433746753301</v>
      </c>
      <c r="G141" s="3276">
        <v>20819.099762243299</v>
      </c>
      <c r="H141" s="3287">
        <v>6206.518</v>
      </c>
      <c r="I141" s="3288">
        <v>3156.944</v>
      </c>
      <c r="J141" s="3287">
        <v>456.55500000000001</v>
      </c>
      <c r="K141" s="3289">
        <v>411.625</v>
      </c>
      <c r="L141" s="3287">
        <v>1490.71</v>
      </c>
      <c r="M141" s="3290">
        <v>381.97699999999998</v>
      </c>
      <c r="N141" s="3291">
        <v>12104.329</v>
      </c>
      <c r="O141" s="3279">
        <v>24811.37</v>
      </c>
      <c r="P141" s="3280">
        <v>31181.920881228358</v>
      </c>
    </row>
    <row r="142" spans="1:16" ht="12.75" customHeight="1">
      <c r="A142" s="3252">
        <v>2017.01</v>
      </c>
      <c r="B142" s="3274">
        <v>8044543</v>
      </c>
      <c r="C142" s="3275">
        <v>1525193</v>
      </c>
      <c r="D142" s="3276">
        <v>6519350</v>
      </c>
      <c r="E142" s="3277">
        <v>32570.667458695913</v>
      </c>
      <c r="F142" s="3275">
        <v>37624.963609812003</v>
      </c>
      <c r="G142" s="3276">
        <v>31371.719542151175</v>
      </c>
      <c r="H142" s="3287">
        <v>6224.4269999999997</v>
      </c>
      <c r="I142" s="3288">
        <v>3114.3879999999999</v>
      </c>
      <c r="J142" s="3287">
        <v>459.78500000000003</v>
      </c>
      <c r="K142" s="3289">
        <v>410.17599999999999</v>
      </c>
      <c r="L142" s="3287">
        <v>1507.9490000000001</v>
      </c>
      <c r="M142" s="3290">
        <v>380.58199999999999</v>
      </c>
      <c r="N142" s="3291">
        <v>12097.306999999999</v>
      </c>
      <c r="O142" s="3279">
        <v>17632</v>
      </c>
      <c r="P142" s="3280">
        <v>23149.704032809957</v>
      </c>
    </row>
    <row r="143" spans="1:16" ht="12.75" customHeight="1">
      <c r="A143" s="3252">
        <v>2017.02</v>
      </c>
      <c r="B143" s="3274">
        <v>8016517</v>
      </c>
      <c r="C143" s="3275">
        <v>1506986</v>
      </c>
      <c r="D143" s="3276">
        <v>6509531</v>
      </c>
      <c r="E143" s="3277">
        <v>23962.444540552959</v>
      </c>
      <c r="F143" s="3275">
        <v>26641.92404931433</v>
      </c>
      <c r="G143" s="3276">
        <v>23156.807919769191</v>
      </c>
      <c r="H143" s="3287">
        <v>6226.59</v>
      </c>
      <c r="I143" s="3288">
        <v>3098.8820000000001</v>
      </c>
      <c r="J143" s="3287">
        <v>460.70400000000001</v>
      </c>
      <c r="K143" s="3289">
        <v>406.541</v>
      </c>
      <c r="L143" s="3287">
        <v>1522.655</v>
      </c>
      <c r="M143" s="3290">
        <v>380.45600000000002</v>
      </c>
      <c r="N143" s="3291">
        <v>12095.828</v>
      </c>
      <c r="O143" s="3279">
        <v>17391.310000000001</v>
      </c>
      <c r="P143" s="3280">
        <v>22287.30297369328</v>
      </c>
    </row>
    <row r="144" spans="1:16" ht="12.75" customHeight="1">
      <c r="A144" s="3252">
        <v>2017.03</v>
      </c>
      <c r="B144" s="3274">
        <v>8032026</v>
      </c>
      <c r="C144" s="3275">
        <v>1502135</v>
      </c>
      <c r="D144" s="3276">
        <v>6529891</v>
      </c>
      <c r="E144" s="3277">
        <v>23001.14743022744</v>
      </c>
      <c r="F144" s="3275">
        <v>25404.316822609151</v>
      </c>
      <c r="G144" s="3276">
        <v>22191.491017770048</v>
      </c>
      <c r="H144" s="3287">
        <v>6248.45</v>
      </c>
      <c r="I144" s="3288">
        <v>3091.0189999999998</v>
      </c>
      <c r="J144" s="3287">
        <v>460.08</v>
      </c>
      <c r="K144" s="3289">
        <v>400.43900000000002</v>
      </c>
      <c r="L144" s="3287">
        <v>1519.37</v>
      </c>
      <c r="M144" s="3290">
        <v>387.697</v>
      </c>
      <c r="N144" s="3291">
        <v>12107.055</v>
      </c>
      <c r="O144" s="3279">
        <v>17628.12</v>
      </c>
      <c r="P144" s="3280">
        <v>23420.153735300129</v>
      </c>
    </row>
    <row r="145" spans="1:16" ht="12.75" customHeight="1">
      <c r="A145" s="3252">
        <v>2017.04</v>
      </c>
      <c r="B145" s="3274">
        <v>8053417</v>
      </c>
      <c r="C145" s="3275">
        <v>1485164</v>
      </c>
      <c r="D145" s="3276">
        <v>6568253</v>
      </c>
      <c r="E145" s="3277">
        <v>24220.289352284875</v>
      </c>
      <c r="F145" s="3275">
        <v>26457.588757127156</v>
      </c>
      <c r="G145" s="3276">
        <v>22971.086994552355</v>
      </c>
      <c r="H145" s="3287">
        <v>6190.308</v>
      </c>
      <c r="I145" s="3288">
        <v>3108.9969999999998</v>
      </c>
      <c r="J145" s="3287">
        <v>462.803</v>
      </c>
      <c r="K145" s="3289">
        <v>396.75799999999998</v>
      </c>
      <c r="L145" s="3287">
        <v>1520.0050000000001</v>
      </c>
      <c r="M145" s="3290">
        <v>388.41399999999999</v>
      </c>
      <c r="N145" s="3291">
        <v>12067.285</v>
      </c>
      <c r="O145" s="3279">
        <v>18425.48</v>
      </c>
      <c r="P145" s="3280">
        <v>23056.485262773014</v>
      </c>
    </row>
    <row r="146" spans="1:16" ht="12.75" customHeight="1">
      <c r="A146" s="3252">
        <v>2017.05</v>
      </c>
      <c r="B146" s="3274">
        <v>8008214</v>
      </c>
      <c r="C146" s="3275">
        <v>1498249</v>
      </c>
      <c r="D146" s="3276">
        <v>6509965</v>
      </c>
      <c r="E146" s="3277">
        <v>23943.178144016878</v>
      </c>
      <c r="F146" s="3275">
        <v>27038.71071467426</v>
      </c>
      <c r="G146" s="3276">
        <v>22803.722207292994</v>
      </c>
      <c r="H146" s="3287">
        <v>6188.84</v>
      </c>
      <c r="I146" s="3288">
        <v>3134.373</v>
      </c>
      <c r="J146" s="3287">
        <v>465.28300000000002</v>
      </c>
      <c r="K146" s="3289">
        <v>397.65</v>
      </c>
      <c r="L146" s="3287">
        <v>1533.33</v>
      </c>
      <c r="M146" s="3290">
        <v>387.81299999999999</v>
      </c>
      <c r="N146" s="3291">
        <v>12107.288999999999</v>
      </c>
      <c r="O146" s="3279">
        <v>18878.45</v>
      </c>
      <c r="P146" s="3280">
        <v>23275.427871501139</v>
      </c>
    </row>
    <row r="147" spans="1:16" ht="12.75" customHeight="1">
      <c r="A147" s="3252">
        <v>2017.06</v>
      </c>
      <c r="B147" s="3274">
        <v>8019103</v>
      </c>
      <c r="C147" s="3275">
        <v>1514139</v>
      </c>
      <c r="D147" s="3276">
        <v>6504964</v>
      </c>
      <c r="E147" s="3277">
        <v>24259.287398110511</v>
      </c>
      <c r="F147" s="3275">
        <v>27852.616846485162</v>
      </c>
      <c r="G147" s="3276">
        <v>23857.580480616449</v>
      </c>
      <c r="H147" s="3287">
        <v>6193.17</v>
      </c>
      <c r="I147" s="3288">
        <v>3157.87</v>
      </c>
      <c r="J147" s="3287">
        <v>465.61</v>
      </c>
      <c r="K147" s="3289">
        <v>398.267</v>
      </c>
      <c r="L147" s="3287">
        <v>1540.106</v>
      </c>
      <c r="M147" s="3290">
        <v>393.75799999999998</v>
      </c>
      <c r="N147" s="3291">
        <v>12148.781000000001</v>
      </c>
      <c r="O147" s="3279">
        <v>27812.880000000001</v>
      </c>
      <c r="P147" s="3280">
        <v>34215.977544048743</v>
      </c>
    </row>
    <row r="148" spans="1:16" ht="12.75" customHeight="1">
      <c r="A148" s="3252">
        <v>2017.07</v>
      </c>
      <c r="B148" s="3274">
        <v>8019790</v>
      </c>
      <c r="C148" s="3275">
        <v>1524086</v>
      </c>
      <c r="D148" s="3276">
        <v>6495704</v>
      </c>
      <c r="E148" s="3277">
        <v>35640.676460265167</v>
      </c>
      <c r="F148" s="3275">
        <v>40757.608932875184</v>
      </c>
      <c r="G148" s="3276">
        <v>34396.163213850959</v>
      </c>
      <c r="H148" s="3287">
        <v>6202.0140000000001</v>
      </c>
      <c r="I148" s="3288">
        <v>3149.145</v>
      </c>
      <c r="J148" s="3287">
        <v>468.56900000000002</v>
      </c>
      <c r="K148" s="3289">
        <v>399.178</v>
      </c>
      <c r="L148" s="3287">
        <v>1550.8050000000001</v>
      </c>
      <c r="M148" s="3290">
        <v>399.97899999999998</v>
      </c>
      <c r="N148" s="3291">
        <v>12169.689999999999</v>
      </c>
      <c r="O148" s="3279">
        <v>20405.150000000001</v>
      </c>
      <c r="P148" s="3280">
        <v>24880.928445936042</v>
      </c>
    </row>
    <row r="149" spans="1:16" ht="12.75" customHeight="1">
      <c r="A149" s="3252">
        <v>2017.08</v>
      </c>
      <c r="B149" s="3274">
        <v>8014862</v>
      </c>
      <c r="C149" s="3275">
        <v>1503381</v>
      </c>
      <c r="D149" s="3276">
        <v>6511481</v>
      </c>
      <c r="E149" s="3277">
        <v>25735.935889552435</v>
      </c>
      <c r="F149" s="3275">
        <v>28798.804026896712</v>
      </c>
      <c r="G149" s="3276">
        <v>24754.871694890822</v>
      </c>
      <c r="H149" s="3287">
        <v>6212.0410000000002</v>
      </c>
      <c r="I149" s="3288">
        <v>3153.2020000000002</v>
      </c>
      <c r="J149" s="3287">
        <v>469.822</v>
      </c>
      <c r="K149" s="3289">
        <v>399.85399999999998</v>
      </c>
      <c r="L149" s="3287">
        <v>1570.5709999999999</v>
      </c>
      <c r="M149" s="3290">
        <v>399.66399999999999</v>
      </c>
      <c r="N149" s="3291">
        <v>12205.154</v>
      </c>
      <c r="O149" s="3279">
        <v>20509.599999999999</v>
      </c>
      <c r="P149" s="3280">
        <v>24911.782346448832</v>
      </c>
    </row>
    <row r="150" spans="1:16" ht="12.75" customHeight="1">
      <c r="A150" s="3252">
        <v>2017.09</v>
      </c>
      <c r="B150" s="3274">
        <v>8077955</v>
      </c>
      <c r="C150" s="3275">
        <v>1553483</v>
      </c>
      <c r="D150" s="3276">
        <v>6524472</v>
      </c>
      <c r="E150" s="3277">
        <v>25843.664531823953</v>
      </c>
      <c r="F150" s="3275">
        <v>29108.445342079704</v>
      </c>
      <c r="G150" s="3276">
        <v>24967.586940633362</v>
      </c>
      <c r="H150" s="3287">
        <v>6221.4840000000004</v>
      </c>
      <c r="I150" s="3288">
        <v>3165.6819999999998</v>
      </c>
      <c r="J150" s="3287">
        <v>471.67099999999999</v>
      </c>
      <c r="K150" s="3289">
        <v>401.36900000000003</v>
      </c>
      <c r="L150" s="3287">
        <v>1582.271</v>
      </c>
      <c r="M150" s="3290">
        <v>409.83600000000001</v>
      </c>
      <c r="N150" s="3291">
        <v>12252.313000000002</v>
      </c>
      <c r="O150" s="3279">
        <v>20557.349999999999</v>
      </c>
      <c r="P150" s="3280">
        <v>25118.445697676812</v>
      </c>
    </row>
    <row r="151" spans="1:16" ht="12.75" customHeight="1">
      <c r="A151" s="3252">
        <v>2017.1</v>
      </c>
      <c r="B151" s="3292">
        <v>8053958</v>
      </c>
      <c r="C151" s="3275">
        <v>1520393</v>
      </c>
      <c r="D151" s="3276">
        <v>6533565</v>
      </c>
      <c r="E151" s="3277">
        <v>26189.439723539654</v>
      </c>
      <c r="F151" s="3275">
        <v>30298.662632529875</v>
      </c>
      <c r="G151" s="3276">
        <v>24965.427394991304</v>
      </c>
      <c r="H151" s="3287">
        <v>6255.2640000000001</v>
      </c>
      <c r="I151" s="3288">
        <v>3169.4859999999999</v>
      </c>
      <c r="J151" s="3287">
        <v>472.92599999999999</v>
      </c>
      <c r="K151" s="3289">
        <v>404.541</v>
      </c>
      <c r="L151" s="3287">
        <v>1599.3340000000001</v>
      </c>
      <c r="M151" s="3290">
        <v>408.57</v>
      </c>
      <c r="N151" s="3291">
        <v>12310.120999999999</v>
      </c>
      <c r="O151" s="3279">
        <v>20945.310000000001</v>
      </c>
      <c r="P151" s="3280">
        <v>25836.755718749791</v>
      </c>
    </row>
    <row r="152" spans="1:16" ht="12.75" customHeight="1">
      <c r="A152" s="3252">
        <v>2017.11</v>
      </c>
      <c r="B152" s="3292">
        <v>8124734</v>
      </c>
      <c r="C152" s="3275">
        <v>1550024</v>
      </c>
      <c r="D152" s="3276">
        <v>6574710</v>
      </c>
      <c r="E152" s="3277">
        <v>26903.469212985929</v>
      </c>
      <c r="F152" s="3275">
        <v>30610.436022022881</v>
      </c>
      <c r="G152" s="3276">
        <v>27251.306457107847</v>
      </c>
      <c r="H152" s="3287">
        <v>6282.1840000000002</v>
      </c>
      <c r="I152" s="3288">
        <v>3179.0259999999998</v>
      </c>
      <c r="J152" s="3287">
        <v>473.09300000000002</v>
      </c>
      <c r="K152" s="3289">
        <v>404.53500000000003</v>
      </c>
      <c r="L152" s="3287">
        <v>1598.816</v>
      </c>
      <c r="M152" s="3290">
        <v>412.51799999999997</v>
      </c>
      <c r="N152" s="3291">
        <v>12350.172</v>
      </c>
      <c r="O152" s="3279">
        <v>20991.61</v>
      </c>
      <c r="P152" s="3280">
        <v>26075.652536574646</v>
      </c>
    </row>
    <row r="153" spans="1:16" ht="12.75" customHeight="1">
      <c r="A153" s="3252">
        <v>2017.12</v>
      </c>
      <c r="B153" s="3292">
        <v>8119097</v>
      </c>
      <c r="C153" s="3275">
        <v>1522750</v>
      </c>
      <c r="D153" s="3276">
        <v>6596347</v>
      </c>
      <c r="E153" s="3277">
        <v>27201.690194391082</v>
      </c>
      <c r="F153" s="3275">
        <v>31262.110246356922</v>
      </c>
      <c r="G153" s="3276">
        <v>26240.63909662552</v>
      </c>
      <c r="H153" s="3287">
        <v>6296.8639999999996</v>
      </c>
      <c r="I153" s="3288">
        <v>3201.1750000000002</v>
      </c>
      <c r="J153" s="3287">
        <v>472.43700000000001</v>
      </c>
      <c r="K153" s="3289">
        <v>403.62200000000001</v>
      </c>
      <c r="L153" s="3287">
        <v>1593.8969999999999</v>
      </c>
      <c r="M153" s="3290">
        <v>419.267</v>
      </c>
      <c r="N153" s="3291">
        <v>12387.261999999999</v>
      </c>
      <c r="O153" s="3279">
        <v>31028.67</v>
      </c>
      <c r="P153" s="3280">
        <v>38563.677218769437</v>
      </c>
    </row>
    <row r="154" spans="1:16" ht="12.75" customHeight="1">
      <c r="A154" s="3252">
        <v>2018.01</v>
      </c>
      <c r="B154" s="3292">
        <v>8138343</v>
      </c>
      <c r="C154" s="3275">
        <v>1535877</v>
      </c>
      <c r="D154" s="3276">
        <v>6602466</v>
      </c>
      <c r="E154" s="3277">
        <v>40329.931006080718</v>
      </c>
      <c r="F154" s="3275">
        <v>46246.371539602456</v>
      </c>
      <c r="G154" s="3276">
        <v>38953.638430351632</v>
      </c>
      <c r="H154" s="3287">
        <v>6309.3339999999998</v>
      </c>
      <c r="I154" s="3288">
        <v>3168.4490000000001</v>
      </c>
      <c r="J154" s="3287">
        <v>477.17599999999999</v>
      </c>
      <c r="K154" s="3289">
        <v>405.28699999999998</v>
      </c>
      <c r="L154" s="3287">
        <v>1595.67</v>
      </c>
      <c r="M154" s="3290">
        <v>418.95</v>
      </c>
      <c r="N154" s="3291">
        <v>12374.866</v>
      </c>
      <c r="O154" s="3279">
        <v>21865</v>
      </c>
      <c r="P154" s="3280">
        <v>28795.139188535133</v>
      </c>
    </row>
    <row r="155" spans="1:16" ht="12.75" customHeight="1">
      <c r="A155" s="3252">
        <v>2018.02</v>
      </c>
      <c r="B155" s="3292">
        <v>8085362</v>
      </c>
      <c r="C155" s="3275">
        <v>1499371</v>
      </c>
      <c r="D155" s="3276">
        <v>6585991</v>
      </c>
      <c r="E155" s="3277">
        <v>29768.152109215396</v>
      </c>
      <c r="F155" s="3275">
        <v>33460.591561794907</v>
      </c>
      <c r="G155" s="3276">
        <v>28927.528938844589</v>
      </c>
      <c r="H155" s="3287">
        <v>6308.0649999999996</v>
      </c>
      <c r="I155" s="3288">
        <v>3135.3510000000001</v>
      </c>
      <c r="J155" s="3287">
        <v>478.64600000000002</v>
      </c>
      <c r="K155" s="3289">
        <v>404.42700000000002</v>
      </c>
      <c r="L155" s="3287">
        <v>1594.605</v>
      </c>
      <c r="M155" s="3290">
        <v>423.45</v>
      </c>
      <c r="N155" s="3291">
        <v>12344.544</v>
      </c>
      <c r="O155" s="3279">
        <v>21737.86</v>
      </c>
      <c r="P155" s="3280">
        <v>27724.878411126843</v>
      </c>
    </row>
    <row r="156" spans="1:16" ht="12.75" customHeight="1">
      <c r="A156" s="3252">
        <v>2018.03</v>
      </c>
      <c r="B156" s="3292">
        <v>8119564</v>
      </c>
      <c r="C156" s="3275">
        <v>1519638</v>
      </c>
      <c r="D156" s="3276">
        <v>6599926</v>
      </c>
      <c r="E156" s="3277">
        <v>28521.854993425757</v>
      </c>
      <c r="F156" s="3275">
        <v>31902.98905622918</v>
      </c>
      <c r="G156" s="3276">
        <v>27743.346294247847</v>
      </c>
      <c r="H156" s="3287">
        <v>6322.5879999999997</v>
      </c>
      <c r="I156" s="3288">
        <v>3128.163</v>
      </c>
      <c r="J156" s="3287">
        <v>479.65300000000002</v>
      </c>
      <c r="K156" s="3289">
        <v>400.27699999999999</v>
      </c>
      <c r="L156" s="3287">
        <v>1593.8030000000001</v>
      </c>
      <c r="M156" s="3290">
        <v>422.92200000000003</v>
      </c>
      <c r="N156" s="3291">
        <v>12347.406000000001</v>
      </c>
      <c r="O156" s="3279">
        <v>22049.94</v>
      </c>
      <c r="P156" s="3280">
        <v>29174.536250615645</v>
      </c>
    </row>
    <row r="157" spans="1:16" ht="12.75" customHeight="1">
      <c r="A157" s="3252">
        <v>2018.04</v>
      </c>
      <c r="B157" s="3292">
        <v>8142951</v>
      </c>
      <c r="C157" s="3275">
        <v>1506520</v>
      </c>
      <c r="D157" s="3276">
        <v>6636431</v>
      </c>
      <c r="E157" s="3277">
        <v>30230.487935031168</v>
      </c>
      <c r="F157" s="3275">
        <v>32885.538784317498</v>
      </c>
      <c r="G157" s="3276">
        <v>29627.771323426703</v>
      </c>
      <c r="H157" s="3287">
        <v>6279.701</v>
      </c>
      <c r="I157" s="3288">
        <v>3143.5680000000002</v>
      </c>
      <c r="J157" s="3287">
        <v>481.16199999999998</v>
      </c>
      <c r="K157" s="3289">
        <v>400.21899999999999</v>
      </c>
      <c r="L157" s="3287">
        <v>1596.03</v>
      </c>
      <c r="M157" s="3290">
        <v>417.185</v>
      </c>
      <c r="N157" s="3291">
        <v>12317.865</v>
      </c>
      <c r="O157" s="3279">
        <v>23121.05</v>
      </c>
      <c r="P157" s="3280">
        <v>29146.481043466247</v>
      </c>
    </row>
    <row r="158" spans="1:16" ht="12.75" customHeight="1">
      <c r="A158" s="3252">
        <v>2018.05</v>
      </c>
      <c r="B158" s="3292">
        <v>8098805</v>
      </c>
      <c r="C158" s="3275">
        <v>1519409</v>
      </c>
      <c r="D158" s="3276">
        <v>6579396</v>
      </c>
      <c r="E158" s="3277">
        <v>30064.22772972556</v>
      </c>
      <c r="F158" s="3275">
        <v>33748.259601542435</v>
      </c>
      <c r="G158" s="3276">
        <v>29213.457965703845</v>
      </c>
      <c r="H158" s="3287">
        <v>6251.076</v>
      </c>
      <c r="I158" s="3288">
        <v>3154.1190000000001</v>
      </c>
      <c r="J158" s="3287">
        <v>481.18900000000002</v>
      </c>
      <c r="K158" s="3289">
        <v>399.76400000000001</v>
      </c>
      <c r="L158" s="3287">
        <v>1600.8040000000001</v>
      </c>
      <c r="M158" s="3290">
        <v>414.33300000000003</v>
      </c>
      <c r="N158" s="3291">
        <v>12301.285</v>
      </c>
      <c r="O158" s="3279">
        <v>23687.66</v>
      </c>
      <c r="P158" s="3280">
        <v>29453.375658827765</v>
      </c>
    </row>
    <row r="159" spans="1:16" ht="12.75" customHeight="1">
      <c r="A159" s="3252">
        <v>2018.06</v>
      </c>
      <c r="B159" s="3292">
        <v>8079305</v>
      </c>
      <c r="C159" s="3275">
        <v>1521346</v>
      </c>
      <c r="D159" s="3276">
        <v>6557959</v>
      </c>
      <c r="E159" s="3277">
        <v>30531.307798534657</v>
      </c>
      <c r="F159" s="3275">
        <v>34384.263155830427</v>
      </c>
      <c r="G159" s="3276">
        <v>29637.481194708602</v>
      </c>
      <c r="H159" s="3287">
        <v>6216.7039999999997</v>
      </c>
      <c r="I159" s="3288">
        <v>3171.9850000000001</v>
      </c>
      <c r="J159" s="3287">
        <v>482.63499999999999</v>
      </c>
      <c r="K159" s="3289">
        <v>401.70100000000002</v>
      </c>
      <c r="L159" s="3287">
        <v>1606.9639999999999</v>
      </c>
      <c r="M159" s="3290">
        <v>404.96800000000002</v>
      </c>
      <c r="N159" s="3291">
        <v>12284.957000000002</v>
      </c>
      <c r="O159" s="3279">
        <v>34649.31</v>
      </c>
      <c r="P159" s="3280">
        <v>42512.181887360304</v>
      </c>
    </row>
    <row r="160" spans="1:16" ht="12.75" customHeight="1">
      <c r="A160" s="3252">
        <v>2018.07</v>
      </c>
      <c r="B160" s="3292">
        <v>8065612</v>
      </c>
      <c r="C160" s="3275">
        <v>1537720</v>
      </c>
      <c r="D160" s="3276">
        <v>6527892</v>
      </c>
      <c r="E160" s="3277">
        <v>44034.233886921415</v>
      </c>
      <c r="F160" s="3275">
        <v>50006.558484639601</v>
      </c>
      <c r="G160" s="3276">
        <v>42627.38417488525</v>
      </c>
      <c r="H160" s="3287">
        <v>6215.1059999999998</v>
      </c>
      <c r="I160" s="3288">
        <v>3159.0619999999999</v>
      </c>
      <c r="J160" s="3287">
        <v>487.53199999999998</v>
      </c>
      <c r="K160" s="3289">
        <v>401.92200000000003</v>
      </c>
      <c r="L160" s="3287">
        <v>1606.3530000000001</v>
      </c>
      <c r="M160" s="3290">
        <v>343.524</v>
      </c>
      <c r="N160" s="3291">
        <v>12213.498999999998</v>
      </c>
      <c r="O160" s="3279">
        <v>24398.67</v>
      </c>
      <c r="P160" s="3280">
        <v>30591.83637160002</v>
      </c>
    </row>
    <row r="161" spans="1:16" ht="12.75" customHeight="1">
      <c r="A161" s="3252">
        <v>2018.08</v>
      </c>
      <c r="B161" s="3292">
        <v>8051336</v>
      </c>
      <c r="C161" s="3275">
        <v>1526569</v>
      </c>
      <c r="D161" s="3276">
        <v>6524767</v>
      </c>
      <c r="E161" s="3277">
        <v>31555.260529412757</v>
      </c>
      <c r="F161" s="3275">
        <v>34922.222394683769</v>
      </c>
      <c r="G161" s="3276">
        <v>30767.508321907892</v>
      </c>
      <c r="H161" s="3287">
        <v>6212.924</v>
      </c>
      <c r="I161" s="3288">
        <v>3170.3040000000001</v>
      </c>
      <c r="J161" s="3287">
        <v>490.78399999999999</v>
      </c>
      <c r="K161" s="3289">
        <v>401.90300000000002</v>
      </c>
      <c r="L161" s="3287">
        <v>1609.538</v>
      </c>
      <c r="M161" s="3290">
        <v>346.56900000000002</v>
      </c>
      <c r="N161" s="3291">
        <v>12232.021999999999</v>
      </c>
      <c r="O161" s="3279">
        <v>25315.59</v>
      </c>
      <c r="P161" s="3280">
        <v>31293.17047671858</v>
      </c>
    </row>
    <row r="162" spans="1:16" ht="12.75" customHeight="1">
      <c r="A162" s="3252">
        <v>2018.09</v>
      </c>
      <c r="B162" s="3292">
        <v>8066696</v>
      </c>
      <c r="C162" s="3275">
        <v>1539672</v>
      </c>
      <c r="D162" s="3276">
        <v>6527024</v>
      </c>
      <c r="E162" s="3277">
        <v>32367.528382015393</v>
      </c>
      <c r="F162" s="3275">
        <v>35634.524535556928</v>
      </c>
      <c r="G162" s="3276">
        <v>31596.870498466073</v>
      </c>
      <c r="H162" s="3287">
        <v>6181.2430000000004</v>
      </c>
      <c r="I162" s="3288">
        <v>3164.9459999999999</v>
      </c>
      <c r="J162" s="3287">
        <v>492.86799999999999</v>
      </c>
      <c r="K162" s="3289">
        <v>403.24900000000002</v>
      </c>
      <c r="L162" s="3287">
        <v>1615.7249999999999</v>
      </c>
      <c r="M162" s="3290">
        <v>345.80500000000001</v>
      </c>
      <c r="N162" s="3291">
        <v>12203.836000000001</v>
      </c>
      <c r="O162" s="3279">
        <v>25397.625</v>
      </c>
      <c r="P162" s="3280">
        <v>32034.89541287356</v>
      </c>
    </row>
    <row r="163" spans="1:16" ht="12.75" customHeight="1">
      <c r="A163" s="3252">
        <v>2018.1</v>
      </c>
      <c r="B163" s="3292">
        <v>8045403</v>
      </c>
      <c r="C163" s="3275">
        <v>1537383</v>
      </c>
      <c r="D163" s="3276">
        <v>6508020</v>
      </c>
      <c r="E163" s="3277">
        <v>33138.293286589869</v>
      </c>
      <c r="F163" s="3275">
        <v>36975.307586216317</v>
      </c>
      <c r="G163" s="3276">
        <v>32231.879268961991</v>
      </c>
      <c r="H163" s="3287">
        <v>6194.5919999999996</v>
      </c>
      <c r="I163" s="3288">
        <v>3174.11</v>
      </c>
      <c r="J163" s="3287">
        <v>490.98700000000002</v>
      </c>
      <c r="K163" s="3289">
        <v>401.685</v>
      </c>
      <c r="L163" s="3287">
        <v>1577.672</v>
      </c>
      <c r="M163" s="3290">
        <v>349.41399999999999</v>
      </c>
      <c r="N163" s="3291">
        <v>12188.46</v>
      </c>
      <c r="O163" s="3279">
        <v>26980.880000000001</v>
      </c>
      <c r="P163" s="3280">
        <v>33586.963734294419</v>
      </c>
    </row>
    <row r="164" spans="1:16" ht="12.75" customHeight="1">
      <c r="A164" s="3252">
        <v>2018.11</v>
      </c>
      <c r="B164" s="3292">
        <v>8067573</v>
      </c>
      <c r="C164" s="3275">
        <v>1532113</v>
      </c>
      <c r="D164" s="3276">
        <v>6535460</v>
      </c>
      <c r="E164" s="3277">
        <v>34943.23991691554</v>
      </c>
      <c r="F164" s="3275">
        <v>39282.20367468326</v>
      </c>
      <c r="G164" s="3276">
        <v>33926.053249136254</v>
      </c>
      <c r="H164" s="3287">
        <v>6182.7669999999998</v>
      </c>
      <c r="I164" s="3288">
        <v>3176.5549999999998</v>
      </c>
      <c r="J164" s="3287">
        <v>490.36399999999998</v>
      </c>
      <c r="K164" s="3289">
        <v>401.53800000000001</v>
      </c>
      <c r="L164" s="3287">
        <v>1573.171</v>
      </c>
      <c r="M164" s="3290">
        <v>353.59899999999999</v>
      </c>
      <c r="N164" s="3291">
        <v>12177.994000000001</v>
      </c>
      <c r="O164" s="3279">
        <v>28601.71</v>
      </c>
      <c r="P164" s="3280">
        <v>35225.642319905768</v>
      </c>
    </row>
    <row r="165" spans="1:16" ht="12.75" customHeight="1">
      <c r="A165" s="3252">
        <v>2018.12</v>
      </c>
      <c r="B165" s="3292">
        <v>8038188</v>
      </c>
      <c r="C165" s="3275">
        <v>1533155</v>
      </c>
      <c r="D165" s="3276">
        <v>6505033</v>
      </c>
      <c r="E165" s="3277">
        <v>36281.825487505397</v>
      </c>
      <c r="F165" s="3275">
        <v>40132.506288300916</v>
      </c>
      <c r="G165" s="3276">
        <v>35374.268135660495</v>
      </c>
      <c r="H165" s="3287">
        <v>6167.38</v>
      </c>
      <c r="I165" s="3288">
        <v>3195.377</v>
      </c>
      <c r="J165" s="3287">
        <v>488.64499999999998</v>
      </c>
      <c r="K165" s="3289">
        <v>399.84699999999998</v>
      </c>
      <c r="L165" s="3287">
        <v>1566.903</v>
      </c>
      <c r="M165" s="3290">
        <v>361.00400000000002</v>
      </c>
      <c r="N165" s="3291">
        <v>12179.156000000001</v>
      </c>
      <c r="O165" s="3279">
        <v>41098.505000000005</v>
      </c>
      <c r="P165" s="3280">
        <v>51732.16898481005</v>
      </c>
    </row>
    <row r="166" spans="1:16" ht="12.75" customHeight="1">
      <c r="A166" s="3252">
        <v>2019.01</v>
      </c>
      <c r="B166" s="3292">
        <v>8029028</v>
      </c>
      <c r="C166" s="3275">
        <v>1546855</v>
      </c>
      <c r="D166" s="3276">
        <v>6482173</v>
      </c>
      <c r="E166" s="3277">
        <v>53680.602543909423</v>
      </c>
      <c r="F166" s="3275">
        <v>60685.577992294042</v>
      </c>
      <c r="G166" s="3276">
        <v>52008.990061920595</v>
      </c>
      <c r="H166" s="3287">
        <v>6179.2309999999998</v>
      </c>
      <c r="I166" s="3288">
        <v>3155.8380000000002</v>
      </c>
      <c r="J166" s="3287">
        <v>492.51900000000001</v>
      </c>
      <c r="K166" s="3289">
        <v>403.54700000000003</v>
      </c>
      <c r="L166" s="3287">
        <v>1582.2639999999999</v>
      </c>
      <c r="M166" s="3290">
        <v>352.12900000000002</v>
      </c>
      <c r="N166" s="3291">
        <v>12165.528</v>
      </c>
      <c r="O166" s="3279">
        <v>30357.74</v>
      </c>
      <c r="P166" s="3280">
        <v>39454.580717995988</v>
      </c>
    </row>
    <row r="167" spans="1:16" ht="12.75" customHeight="1">
      <c r="A167" s="3252">
        <v>2019.02</v>
      </c>
      <c r="B167" s="3292">
        <v>8006932</v>
      </c>
      <c r="C167" s="3275">
        <v>1532474</v>
      </c>
      <c r="D167" s="3276">
        <v>6474458</v>
      </c>
      <c r="E167" s="3277">
        <v>40634.925978072497</v>
      </c>
      <c r="F167" s="3275">
        <v>44353.761434190725</v>
      </c>
      <c r="G167" s="3276">
        <v>39754.694976994215</v>
      </c>
      <c r="H167" s="3287">
        <v>6187.63</v>
      </c>
      <c r="I167" s="3288">
        <v>3145.172</v>
      </c>
      <c r="J167" s="3287">
        <v>493.28300000000002</v>
      </c>
      <c r="K167" s="3289">
        <v>401.87200000000001</v>
      </c>
      <c r="L167" s="3287">
        <v>1596.1279999999999</v>
      </c>
      <c r="M167" s="3290">
        <v>344.529</v>
      </c>
      <c r="N167" s="3291">
        <v>12168.614</v>
      </c>
      <c r="O167" s="3279">
        <v>29558.080000000002</v>
      </c>
      <c r="P167" s="3280">
        <v>38365.91604121781</v>
      </c>
    </row>
    <row r="168" spans="1:16" ht="12.75" customHeight="1">
      <c r="A168" s="3252">
        <v>2019.03</v>
      </c>
      <c r="B168" s="3292">
        <v>8045060</v>
      </c>
      <c r="C168" s="3275">
        <v>1535913</v>
      </c>
      <c r="D168" s="3276">
        <v>6509147</v>
      </c>
      <c r="E168" s="3277">
        <v>39445.830749287139</v>
      </c>
      <c r="F168" s="3275">
        <v>43834.630784927278</v>
      </c>
      <c r="G168" s="3276">
        <v>38410.239598996617</v>
      </c>
      <c r="H168" s="3287">
        <v>6177.3109999999997</v>
      </c>
      <c r="I168" s="3288">
        <v>3136.2159999999999</v>
      </c>
      <c r="J168" s="3287">
        <v>493.42599999999999</v>
      </c>
      <c r="K168" s="3289">
        <v>396.69299999999998</v>
      </c>
      <c r="L168" s="3287">
        <v>1576.5909999999999</v>
      </c>
      <c r="M168" s="3290">
        <v>358.24799999999999</v>
      </c>
      <c r="N168" s="3291">
        <v>12138.484999999999</v>
      </c>
      <c r="O168" s="3279">
        <v>31011.74</v>
      </c>
      <c r="P168" s="3280">
        <v>41439.230975936618</v>
      </c>
    </row>
    <row r="169" spans="1:16" ht="12.75" customHeight="1">
      <c r="A169" s="3252">
        <v>2019.04</v>
      </c>
      <c r="B169" s="3292">
        <v>8043592</v>
      </c>
      <c r="C169" s="3275">
        <v>1525607</v>
      </c>
      <c r="D169" s="3276">
        <v>6517985</v>
      </c>
      <c r="E169" s="3277">
        <v>42613.029120764702</v>
      </c>
      <c r="F169" s="3275">
        <v>45247.299465983051</v>
      </c>
      <c r="G169" s="3276">
        <v>41996.448800534214</v>
      </c>
      <c r="H169" s="3287">
        <v>6126.4539999999997</v>
      </c>
      <c r="I169" s="3288">
        <v>3164.348</v>
      </c>
      <c r="J169" s="3287">
        <v>495.81200000000001</v>
      </c>
      <c r="K169" s="3289">
        <v>395.23</v>
      </c>
      <c r="L169" s="3287">
        <v>1578.335</v>
      </c>
      <c r="M169" s="3290">
        <v>358.48</v>
      </c>
      <c r="N169" s="3291">
        <v>12118.659</v>
      </c>
      <c r="O169" s="3279">
        <v>31686.864999999998</v>
      </c>
      <c r="P169" s="3280">
        <v>41133.988426517397</v>
      </c>
    </row>
    <row r="170" spans="1:16" ht="12.75" customHeight="1">
      <c r="A170" s="3252">
        <v>2019.05</v>
      </c>
      <c r="B170" s="3292">
        <v>7999746</v>
      </c>
      <c r="C170" s="3275">
        <v>1537632</v>
      </c>
      <c r="D170" s="3276">
        <v>6462114</v>
      </c>
      <c r="E170" s="3277">
        <v>42658.769000910776</v>
      </c>
      <c r="F170" s="3275">
        <v>46878.554108837481</v>
      </c>
      <c r="G170" s="3276">
        <v>41654.689435760498</v>
      </c>
      <c r="H170" s="3287">
        <v>6097.027</v>
      </c>
      <c r="I170" s="3288">
        <v>3180.134</v>
      </c>
      <c r="J170" s="3287">
        <v>497.17500000000001</v>
      </c>
      <c r="K170" s="3289">
        <v>394.59100000000001</v>
      </c>
      <c r="L170" s="3287">
        <v>1585.0640000000001</v>
      </c>
      <c r="M170" s="3290">
        <v>355.11200000000002</v>
      </c>
      <c r="N170" s="3291">
        <v>12109.102999999999</v>
      </c>
      <c r="O170" s="3279">
        <v>33383</v>
      </c>
      <c r="P170" s="3280">
        <v>42462.100161395771</v>
      </c>
    </row>
    <row r="171" spans="1:16" ht="12.75" customHeight="1">
      <c r="A171" s="3252">
        <v>2019.06</v>
      </c>
      <c r="B171" s="3292">
        <v>7948194</v>
      </c>
      <c r="C171" s="3275">
        <v>1540941</v>
      </c>
      <c r="D171" s="3276">
        <v>6407253</v>
      </c>
      <c r="E171" s="3277">
        <v>43841.718979814796</v>
      </c>
      <c r="F171" s="3275">
        <v>48149.185747702213</v>
      </c>
      <c r="G171" s="3276">
        <v>42805.775471922221</v>
      </c>
      <c r="H171" s="3287">
        <v>6070.2629999999999</v>
      </c>
      <c r="I171" s="3288">
        <v>3199.9960000000001</v>
      </c>
      <c r="J171" s="3287">
        <v>496.721</v>
      </c>
      <c r="K171" s="3289">
        <v>394.89600000000002</v>
      </c>
      <c r="L171" s="3287">
        <v>1582.443</v>
      </c>
      <c r="M171" s="3290">
        <v>356.62599999999998</v>
      </c>
      <c r="N171" s="3291">
        <v>12100.945</v>
      </c>
      <c r="O171" s="3279">
        <v>48913.31</v>
      </c>
      <c r="P171" s="3280">
        <v>61343.269379963247</v>
      </c>
    </row>
    <row r="172" spans="1:16" ht="12.75" customHeight="1">
      <c r="A172" s="3252">
        <v>2019.07</v>
      </c>
      <c r="B172" s="3292">
        <v>7953439</v>
      </c>
      <c r="C172" s="3275">
        <v>1561403</v>
      </c>
      <c r="D172" s="3276">
        <v>6392036</v>
      </c>
      <c r="E172" s="3277">
        <v>63132.738668212587</v>
      </c>
      <c r="F172" s="3275">
        <v>70504.396438914235</v>
      </c>
      <c r="G172" s="3276">
        <v>61332.040337016253</v>
      </c>
      <c r="H172" s="3287">
        <v>6079.692</v>
      </c>
      <c r="I172" s="3288">
        <v>3189.0729999999999</v>
      </c>
      <c r="J172" s="3287">
        <v>498.40300000000002</v>
      </c>
      <c r="K172" s="3289">
        <v>396.46499999999997</v>
      </c>
      <c r="L172" s="3287">
        <v>1595.982</v>
      </c>
      <c r="M172" s="3290">
        <v>350.89600000000002</v>
      </c>
      <c r="N172" s="3291">
        <v>12110.511</v>
      </c>
      <c r="O172" s="3279">
        <v>35454.11</v>
      </c>
      <c r="P172" s="3280">
        <v>45090.724995546414</v>
      </c>
    </row>
    <row r="173" spans="1:16" ht="12.75" customHeight="1">
      <c r="A173" s="3252">
        <v>2019.08</v>
      </c>
      <c r="B173" s="3292">
        <v>7965268</v>
      </c>
      <c r="C173" s="3275">
        <v>1552959</v>
      </c>
      <c r="D173" s="3276">
        <v>6412309</v>
      </c>
      <c r="E173" s="3277">
        <v>46339.191074233779</v>
      </c>
      <c r="F173" s="3275">
        <v>51274.753999506749</v>
      </c>
      <c r="G173" s="3276">
        <v>45143.876427845258</v>
      </c>
      <c r="H173" s="3287">
        <v>6071.1540000000005</v>
      </c>
      <c r="I173" s="3288">
        <v>3192.26</v>
      </c>
      <c r="J173" s="3287">
        <v>499.77800000000002</v>
      </c>
      <c r="K173" s="3289">
        <v>402.815</v>
      </c>
      <c r="L173" s="3287">
        <v>1605.902</v>
      </c>
      <c r="M173" s="3290">
        <v>365.49099999999999</v>
      </c>
      <c r="N173" s="3291">
        <v>12137.400000000001</v>
      </c>
      <c r="O173" s="3279">
        <v>36145</v>
      </c>
      <c r="P173" s="3280">
        <v>46149.952702700044</v>
      </c>
    </row>
    <row r="174" spans="1:16" ht="12.75" customHeight="1">
      <c r="A174" s="3252">
        <v>2019.09</v>
      </c>
      <c r="B174" s="3292">
        <v>7989712</v>
      </c>
      <c r="C174" s="3275">
        <v>1585378</v>
      </c>
      <c r="D174" s="3276">
        <v>6404334</v>
      </c>
      <c r="E174" s="3277">
        <v>47472.124062775983</v>
      </c>
      <c r="F174" s="3275">
        <v>51686.079227654227</v>
      </c>
      <c r="G174" s="3276">
        <v>46428.969253644485</v>
      </c>
      <c r="H174" s="3287">
        <v>6041.85</v>
      </c>
      <c r="I174" s="3288">
        <v>3208.5740000000001</v>
      </c>
      <c r="J174" s="3287">
        <v>500.79</v>
      </c>
      <c r="K174" s="3289">
        <v>403.084</v>
      </c>
      <c r="L174" s="3287">
        <v>1622.095</v>
      </c>
      <c r="M174" s="3290">
        <v>359.30599999999998</v>
      </c>
      <c r="N174" s="3291">
        <v>12135.699000000002</v>
      </c>
      <c r="O174" s="3279">
        <v>37476.239999999998</v>
      </c>
      <c r="P174" s="3280">
        <v>47494.739545752767</v>
      </c>
    </row>
    <row r="175" spans="1:16" ht="12.75" customHeight="1">
      <c r="A175" s="3252">
        <v>2019.1</v>
      </c>
      <c r="B175" s="3292">
        <v>7923214</v>
      </c>
      <c r="C175" s="3275">
        <v>1549000</v>
      </c>
      <c r="D175" s="3276">
        <v>6374214</v>
      </c>
      <c r="E175" s="3277">
        <v>49107.511909996378</v>
      </c>
      <c r="F175" s="3275">
        <v>54392.286865577793</v>
      </c>
      <c r="G175" s="3276">
        <v>47823.256877737396</v>
      </c>
      <c r="H175" s="3287">
        <v>6039.4390000000003</v>
      </c>
      <c r="I175" s="3288">
        <v>3218.9319999999998</v>
      </c>
      <c r="J175" s="3287">
        <v>501.31900000000002</v>
      </c>
      <c r="K175" s="3289">
        <v>400.68900000000002</v>
      </c>
      <c r="L175" s="3287">
        <v>1629.3579999999999</v>
      </c>
      <c r="M175" s="3290">
        <v>355.48200000000003</v>
      </c>
      <c r="N175" s="3291">
        <v>12145.218999999999</v>
      </c>
      <c r="O175" s="3279">
        <v>39623.51</v>
      </c>
      <c r="P175" s="3280">
        <v>51085.492164387331</v>
      </c>
    </row>
    <row r="176" spans="1:16" ht="12.75" customHeight="1">
      <c r="A176" s="3252">
        <v>2019.11</v>
      </c>
      <c r="B176" s="3292">
        <v>7982396</v>
      </c>
      <c r="C176" s="3275">
        <v>1597656</v>
      </c>
      <c r="D176" s="3276">
        <v>6384740</v>
      </c>
      <c r="E176" s="3277">
        <v>52914.439369542684</v>
      </c>
      <c r="F176" s="3275">
        <v>56972.701389310343</v>
      </c>
      <c r="G176" s="3276">
        <v>51898.938869059668</v>
      </c>
      <c r="H176" s="3287">
        <v>6033.1440000000002</v>
      </c>
      <c r="I176" s="3288">
        <v>3222.0949999999998</v>
      </c>
      <c r="J176" s="3287">
        <v>500.23500000000001</v>
      </c>
      <c r="K176" s="3289">
        <v>406.08100000000002</v>
      </c>
      <c r="L176" s="3287">
        <v>1620.9459999999999</v>
      </c>
      <c r="M176" s="3290">
        <v>365.12599999999998</v>
      </c>
      <c r="N176" s="3291">
        <v>12147.627</v>
      </c>
      <c r="O176" s="3279">
        <v>39828.43</v>
      </c>
      <c r="P176" s="3280">
        <v>51307.775886545911</v>
      </c>
    </row>
    <row r="177" spans="1:16" ht="12.75" customHeight="1">
      <c r="A177" s="3252">
        <v>2019.12</v>
      </c>
      <c r="B177" s="3292">
        <v>7927546</v>
      </c>
      <c r="C177" s="3275">
        <v>1554170</v>
      </c>
      <c r="D177" s="3276">
        <v>6373376</v>
      </c>
      <c r="E177" s="3277">
        <v>53307.646359785234</v>
      </c>
      <c r="F177" s="3275">
        <v>58788.447476878333</v>
      </c>
      <c r="G177" s="3276">
        <v>51971.133862773837</v>
      </c>
      <c r="H177" s="3287">
        <v>6020.7030000000004</v>
      </c>
      <c r="I177" s="3288">
        <v>3249.0540000000001</v>
      </c>
      <c r="J177" s="3287">
        <v>498.14499999999998</v>
      </c>
      <c r="K177" s="3289">
        <v>405.024</v>
      </c>
      <c r="L177" s="3287">
        <v>1625.3140000000001</v>
      </c>
      <c r="M177" s="3290">
        <v>365.60399999999998</v>
      </c>
      <c r="N177" s="3291">
        <v>12163.844000000001</v>
      </c>
      <c r="O177" s="3279">
        <v>59149.26</v>
      </c>
      <c r="P177" s="3280">
        <v>76103.151364060992</v>
      </c>
    </row>
    <row r="178" spans="1:16" ht="12.75" customHeight="1">
      <c r="A178" s="3252">
        <v>2020.01</v>
      </c>
      <c r="B178" s="3292">
        <v>7880084</v>
      </c>
      <c r="C178" s="3275">
        <v>1567693</v>
      </c>
      <c r="D178" s="3276">
        <v>6312391</v>
      </c>
      <c r="E178" s="3277">
        <v>78635.822362932944</v>
      </c>
      <c r="F178" s="3275">
        <v>87489.866091549804</v>
      </c>
      <c r="G178" s="3276">
        <v>78635.822362932915</v>
      </c>
      <c r="H178" s="3287">
        <v>6021.9390000000003</v>
      </c>
      <c r="I178" s="3288">
        <v>3195.502</v>
      </c>
      <c r="J178" s="3287">
        <v>500.37900000000002</v>
      </c>
      <c r="K178" s="3289">
        <v>404.71499999999997</v>
      </c>
      <c r="L178" s="3287">
        <v>1630.375</v>
      </c>
      <c r="M178" s="3290">
        <v>366.08199999999999</v>
      </c>
      <c r="N178" s="3291">
        <v>12118.992000000002</v>
      </c>
      <c r="O178" s="3279">
        <v>44309.724999999999</v>
      </c>
      <c r="P178" s="3280">
        <v>59174.55358271618</v>
      </c>
    </row>
    <row r="179" spans="1:16" ht="12.75" customHeight="1">
      <c r="A179" s="3252">
        <v>2020.02</v>
      </c>
      <c r="B179" s="3292">
        <v>7868105</v>
      </c>
      <c r="C179" s="3275">
        <v>1546505</v>
      </c>
      <c r="D179" s="3276">
        <v>6321600</v>
      </c>
      <c r="E179" s="3277">
        <v>60326.814144980272</v>
      </c>
      <c r="F179" s="3275">
        <v>64337.238080639901</v>
      </c>
      <c r="G179" s="3276">
        <v>60326.814144980279</v>
      </c>
      <c r="H179" s="3287">
        <v>6028.3919999999998</v>
      </c>
      <c r="I179" s="3288">
        <v>3186.0230000000001</v>
      </c>
      <c r="J179" s="3287">
        <v>500.12599999999998</v>
      </c>
      <c r="K179" s="3289">
        <v>399.03899999999999</v>
      </c>
      <c r="L179" s="3287">
        <v>1627.921</v>
      </c>
      <c r="M179" s="3290">
        <v>365.38099999999997</v>
      </c>
      <c r="N179" s="3291">
        <v>12106.882000000001</v>
      </c>
      <c r="O179" s="3279">
        <v>45298.01</v>
      </c>
      <c r="P179" s="3280">
        <v>59859.772662604308</v>
      </c>
    </row>
    <row r="180" spans="1:16" ht="12.75" customHeight="1">
      <c r="A180" s="3252">
        <v>2020.03</v>
      </c>
      <c r="B180" s="3292">
        <v>7880585</v>
      </c>
      <c r="C180" s="3275">
        <v>1542678</v>
      </c>
      <c r="D180" s="3276">
        <v>6337907</v>
      </c>
      <c r="E180" s="3277">
        <v>60696.064566248569</v>
      </c>
      <c r="F180" s="3275">
        <v>63694.026634689799</v>
      </c>
      <c r="G180" s="3276">
        <v>60696.064566248577</v>
      </c>
      <c r="H180" s="3287">
        <v>5994.42</v>
      </c>
      <c r="I180" s="3288">
        <v>3186.373</v>
      </c>
      <c r="J180" s="3287">
        <v>498.03399999999999</v>
      </c>
      <c r="K180" s="3289">
        <v>388.96300000000002</v>
      </c>
      <c r="L180" s="3287">
        <v>1606.356</v>
      </c>
      <c r="M180" s="3290">
        <v>362.447</v>
      </c>
      <c r="N180" s="3291">
        <v>12036.592999999999</v>
      </c>
      <c r="O180" s="3279">
        <v>46338.19</v>
      </c>
      <c r="P180" s="3280">
        <v>61896.580723787476</v>
      </c>
    </row>
    <row r="181" spans="1:16" ht="12.75" customHeight="1">
      <c r="A181" s="3252">
        <v>2020.04</v>
      </c>
      <c r="B181" s="3292">
        <v>7789348</v>
      </c>
      <c r="C181" s="3275">
        <v>1542287</v>
      </c>
      <c r="D181" s="3276">
        <v>6247061</v>
      </c>
      <c r="E181" s="3277">
        <v>62410.916552662689</v>
      </c>
      <c r="F181" s="3275">
        <v>64284.552124234993</v>
      </c>
      <c r="G181" s="3276">
        <v>62410.916552662668</v>
      </c>
      <c r="H181" s="3287">
        <v>5836.8649999999998</v>
      </c>
      <c r="I181" s="3288">
        <v>3190.5610000000001</v>
      </c>
      <c r="J181" s="3287">
        <v>490.54599999999999</v>
      </c>
      <c r="K181" s="3289">
        <v>380.214</v>
      </c>
      <c r="L181" s="3287">
        <v>1586.0709999999999</v>
      </c>
      <c r="M181" s="3290">
        <v>355.49200000000002</v>
      </c>
      <c r="N181" s="3291">
        <v>11839.749</v>
      </c>
      <c r="O181" s="3279">
        <v>44895.56</v>
      </c>
      <c r="P181" s="3280">
        <v>57845.259066480656</v>
      </c>
    </row>
    <row r="182" spans="1:16" ht="12.75" customHeight="1">
      <c r="A182" s="3252">
        <v>2020.05</v>
      </c>
      <c r="B182" s="3292">
        <v>7595704</v>
      </c>
      <c r="C182" s="3275">
        <v>1543787</v>
      </c>
      <c r="D182" s="3276">
        <v>6051917</v>
      </c>
      <c r="E182" s="3277">
        <v>58829.591333070646</v>
      </c>
      <c r="F182" s="3275">
        <v>64827.797533053454</v>
      </c>
      <c r="G182" s="3276">
        <v>58829.591333070646</v>
      </c>
      <c r="H182" s="3287">
        <v>5787.4390000000003</v>
      </c>
      <c r="I182" s="3288">
        <v>3195.1529999999998</v>
      </c>
      <c r="J182" s="3287">
        <v>482.548</v>
      </c>
      <c r="K182" s="3289">
        <v>377.43</v>
      </c>
      <c r="L182" s="3287">
        <v>1551.6079999999999</v>
      </c>
      <c r="M182" s="3290">
        <v>352.84699999999998</v>
      </c>
      <c r="N182" s="3291">
        <v>11747.025000000001</v>
      </c>
      <c r="O182" s="3279">
        <v>45638.425000000003</v>
      </c>
      <c r="P182" s="3280">
        <v>57342.538342523316</v>
      </c>
    </row>
    <row r="183" spans="1:16" ht="12.75" customHeight="1">
      <c r="A183" s="3252">
        <v>2020.06</v>
      </c>
      <c r="B183" s="3292">
        <v>7620868</v>
      </c>
      <c r="C183" s="3275">
        <v>1540941</v>
      </c>
      <c r="D183" s="3276">
        <v>6407253</v>
      </c>
      <c r="E183" s="3277">
        <v>59224.673790847708</v>
      </c>
      <c r="F183" s="3275">
        <v>65263.006416596203</v>
      </c>
      <c r="G183" s="3276">
        <v>59224.673790847708</v>
      </c>
      <c r="H183" s="3287">
        <v>5776.5559999999996</v>
      </c>
      <c r="I183" s="3288">
        <v>3210.3139999999999</v>
      </c>
      <c r="J183" s="3287">
        <v>481.68200000000002</v>
      </c>
      <c r="K183" s="3289">
        <v>379.53800000000001</v>
      </c>
      <c r="L183" s="3287">
        <v>1569.694</v>
      </c>
      <c r="M183" s="3290">
        <v>350.22199999999998</v>
      </c>
      <c r="N183" s="3291">
        <v>11768.005999999999</v>
      </c>
      <c r="O183" s="3279">
        <v>68707.235000000001</v>
      </c>
      <c r="P183" s="3280">
        <v>85458.223721310918</v>
      </c>
    </row>
    <row r="184" spans="1:16" ht="12.75" customHeight="1">
      <c r="A184" s="3252">
        <v>2020.07</v>
      </c>
      <c r="B184" s="3292">
        <v>7629109</v>
      </c>
      <c r="C184" s="3275">
        <v>1561403</v>
      </c>
      <c r="D184" s="3276">
        <v>6392036</v>
      </c>
      <c r="E184" s="3277">
        <v>86129.565525389669</v>
      </c>
      <c r="F184" s="3275">
        <v>88724.180689685658</v>
      </c>
      <c r="G184" s="3276">
        <v>86129.565525389655</v>
      </c>
      <c r="H184" s="3287">
        <v>5768.5469999999996</v>
      </c>
      <c r="I184" s="3288">
        <v>3199.241</v>
      </c>
      <c r="J184" s="3287">
        <v>482.142</v>
      </c>
      <c r="K184" s="3289">
        <v>391.73599999999999</v>
      </c>
      <c r="L184" s="3287">
        <v>1593.8489999999999</v>
      </c>
      <c r="M184" s="3290">
        <v>355.47</v>
      </c>
      <c r="N184" s="3291">
        <v>11790.985000000001</v>
      </c>
      <c r="O184" s="3279">
        <v>47636.79</v>
      </c>
      <c r="P184" s="3280">
        <v>60868.416224538123</v>
      </c>
    </row>
    <row r="185" spans="1:16" ht="12.75" customHeight="1">
      <c r="A185" s="3252">
        <v>2020.08</v>
      </c>
      <c r="B185" s="3292">
        <v>7638943</v>
      </c>
      <c r="C185" s="3275">
        <v>1552959</v>
      </c>
      <c r="D185" s="3276">
        <v>6412309</v>
      </c>
      <c r="E185" s="3277">
        <v>63156.312810785472</v>
      </c>
      <c r="F185" s="3275">
        <v>69473.409894300843</v>
      </c>
      <c r="G185" s="3276">
        <v>63156.312810785523</v>
      </c>
      <c r="H185" s="3287">
        <v>5770.0209999999997</v>
      </c>
      <c r="I185" s="3288">
        <v>3207.4929999999999</v>
      </c>
      <c r="J185" s="3287">
        <v>481.04700000000003</v>
      </c>
      <c r="K185" s="3289">
        <v>394.77600000000001</v>
      </c>
      <c r="L185" s="3287">
        <v>1625.2339999999999</v>
      </c>
      <c r="M185" s="3290">
        <v>352.06400000000002</v>
      </c>
      <c r="N185" s="3291">
        <v>11830.635</v>
      </c>
      <c r="O185" s="3279">
        <v>48338.92</v>
      </c>
      <c r="P185" s="3280">
        <v>61913.348028283697</v>
      </c>
    </row>
    <row r="186" spans="1:16" ht="12.75" customHeight="1">
      <c r="A186" s="3252">
        <v>2020.09</v>
      </c>
      <c r="B186" s="3292">
        <v>7638445</v>
      </c>
      <c r="C186" s="3275">
        <v>1585378</v>
      </c>
      <c r="D186" s="3276">
        <v>6404334</v>
      </c>
      <c r="E186" s="3277">
        <v>63871.927120243716</v>
      </c>
      <c r="F186" s="3275">
        <v>69330.690565587342</v>
      </c>
      <c r="G186" s="3276">
        <v>63871.927120243738</v>
      </c>
      <c r="H186" s="3287">
        <v>5780.89</v>
      </c>
      <c r="I186" s="3288">
        <v>3211.527</v>
      </c>
      <c r="J186" s="3287">
        <v>479.774</v>
      </c>
      <c r="K186" s="3289">
        <v>394.4</v>
      </c>
      <c r="L186" s="3287">
        <v>1645.9639999999999</v>
      </c>
      <c r="M186" s="3290">
        <v>352.33800000000002</v>
      </c>
      <c r="N186" s="3291">
        <v>11864.893</v>
      </c>
      <c r="O186" s="3279">
        <v>49478.014999999999</v>
      </c>
      <c r="P186" s="3280">
        <v>64161.745935572093</v>
      </c>
    </row>
    <row r="187" spans="1:16" ht="12.75" customHeight="1">
      <c r="A187" s="3252">
        <v>2020.1</v>
      </c>
      <c r="B187" s="3292">
        <v>7665944</v>
      </c>
      <c r="C187" s="3275">
        <v>1549000</v>
      </c>
      <c r="D187" s="3276">
        <v>6374214</v>
      </c>
      <c r="E187" s="3277">
        <v>65918.311863715673</v>
      </c>
      <c r="F187" s="3275">
        <v>68470.9535176192</v>
      </c>
      <c r="G187" s="3276">
        <v>65918.311863715688</v>
      </c>
      <c r="H187" s="3287">
        <v>5795.0550000000003</v>
      </c>
      <c r="I187" s="3288">
        <v>3215.029</v>
      </c>
      <c r="J187" s="3287">
        <v>478.173</v>
      </c>
      <c r="K187" s="3289">
        <v>386.83600000000001</v>
      </c>
      <c r="L187" s="3287">
        <v>1665.1289999999999</v>
      </c>
      <c r="M187" s="3290">
        <v>353.12</v>
      </c>
      <c r="N187" s="3291">
        <v>11893.342000000002</v>
      </c>
      <c r="O187" s="3279">
        <v>53377.2</v>
      </c>
      <c r="P187" s="3280">
        <v>68108.729498612331</v>
      </c>
    </row>
    <row r="188" spans="1:16" ht="12.75" customHeight="1">
      <c r="A188" s="3252">
        <v>2020.11</v>
      </c>
      <c r="B188" s="3292">
        <v>7686034</v>
      </c>
      <c r="C188" s="3275">
        <v>1597656</v>
      </c>
      <c r="D188" s="3276">
        <v>6374214</v>
      </c>
      <c r="E188" s="3277">
        <v>69682.603539981734</v>
      </c>
      <c r="F188" s="3275">
        <v>72395.364960476334</v>
      </c>
      <c r="G188" s="3276">
        <v>69682.603539981763</v>
      </c>
      <c r="H188" s="3287">
        <v>5816.8180000000002</v>
      </c>
      <c r="I188" s="3288">
        <v>3237.8009999999999</v>
      </c>
      <c r="J188" s="3287">
        <v>476.56799999999998</v>
      </c>
      <c r="K188" s="3289">
        <v>381.60700000000003</v>
      </c>
      <c r="L188" s="3287">
        <v>1652.335</v>
      </c>
      <c r="M188" s="3290">
        <v>354.30599999999998</v>
      </c>
      <c r="N188" s="3291">
        <v>11919.435000000001</v>
      </c>
      <c r="O188" s="3279">
        <v>53874.06</v>
      </c>
      <c r="P188" s="3280">
        <v>69308.323222926905</v>
      </c>
    </row>
    <row r="189" spans="1:16" ht="12.75" customHeight="1">
      <c r="A189" s="3252">
        <v>2020.12</v>
      </c>
      <c r="B189" s="3292">
        <v>7692165</v>
      </c>
      <c r="C189" s="3275">
        <v>1554170</v>
      </c>
      <c r="D189" s="3276">
        <v>6373376</v>
      </c>
      <c r="E189" s="3277">
        <v>71268.080619621382</v>
      </c>
      <c r="F189" s="3275">
        <v>75182.5429302517</v>
      </c>
      <c r="G189" s="3276">
        <v>71268.080619621382</v>
      </c>
      <c r="H189" s="3287">
        <v>5826.0140000000001</v>
      </c>
      <c r="I189" s="3288">
        <v>3257.5790000000002</v>
      </c>
      <c r="J189" s="3287">
        <v>473.08100000000002</v>
      </c>
      <c r="K189" s="3289">
        <v>377.21899999999999</v>
      </c>
      <c r="L189" s="3287">
        <v>1645.7180000000001</v>
      </c>
      <c r="M189" s="3290">
        <v>353.20100000000002</v>
      </c>
      <c r="N189" s="3291">
        <v>11932.812000000002</v>
      </c>
      <c r="O189" s="3279">
        <v>80166.67</v>
      </c>
      <c r="P189" s="3280">
        <v>103375.19709824334</v>
      </c>
    </row>
    <row r="190" spans="1:16" ht="12.75" customHeight="1">
      <c r="A190" s="3252">
        <f t="shared" ref="A190:A253" si="1">A178+1</f>
        <v>2021.01</v>
      </c>
      <c r="B190" s="3292">
        <v>7725522</v>
      </c>
      <c r="C190" s="3275">
        <v>1567693</v>
      </c>
      <c r="D190" s="3276">
        <v>6157829</v>
      </c>
      <c r="E190" s="3277">
        <v>105495.01330370877</v>
      </c>
      <c r="F190" s="3275">
        <v>110335.28432474108</v>
      </c>
      <c r="G190" s="3276">
        <v>105495.01330370871</v>
      </c>
      <c r="H190" s="3293">
        <v>5850.5929999999998</v>
      </c>
      <c r="I190" s="3288">
        <v>3211.2429999999999</v>
      </c>
      <c r="J190" s="3294">
        <v>474.69499999999999</v>
      </c>
      <c r="K190" s="3289">
        <v>378.245</v>
      </c>
      <c r="L190" s="3288">
        <v>1648.9110000000001</v>
      </c>
      <c r="M190" s="3290">
        <v>358.673</v>
      </c>
      <c r="N190" s="3291">
        <v>11922.36</v>
      </c>
      <c r="O190" s="3279">
        <v>57813.05</v>
      </c>
      <c r="P190" s="3280">
        <v>78852.767204403121</v>
      </c>
    </row>
    <row r="191" spans="1:16" ht="12.75" customHeight="1">
      <c r="A191" s="3252">
        <f t="shared" si="1"/>
        <v>2021.02</v>
      </c>
      <c r="B191" s="3292">
        <v>7721132</v>
      </c>
      <c r="C191" s="3275">
        <v>1546505</v>
      </c>
      <c r="D191" s="3276">
        <v>6174627</v>
      </c>
      <c r="E191" s="3277">
        <v>80286.202081690819</v>
      </c>
      <c r="F191" s="3275">
        <v>82300.265835552171</v>
      </c>
      <c r="G191" s="3276">
        <v>80286.202081690819</v>
      </c>
      <c r="H191" s="3293">
        <v>5872.0110000000004</v>
      </c>
      <c r="I191" s="3288">
        <v>3215.8649999999998</v>
      </c>
      <c r="J191" s="3294">
        <v>473.30700000000002</v>
      </c>
      <c r="K191" s="3289">
        <v>379.2</v>
      </c>
      <c r="L191" s="3288">
        <v>1655.519</v>
      </c>
      <c r="M191" s="3290">
        <v>363.00799999999998</v>
      </c>
      <c r="N191" s="3291">
        <v>11958.910000000002</v>
      </c>
      <c r="O191" s="3279">
        <v>60346.759999999995</v>
      </c>
      <c r="P191" s="3280">
        <v>79789.417900367145</v>
      </c>
    </row>
    <row r="192" spans="1:16" ht="12.75" customHeight="1">
      <c r="A192" s="3252">
        <f t="shared" si="1"/>
        <v>2021.03</v>
      </c>
      <c r="B192" s="3292">
        <v>7764404</v>
      </c>
      <c r="C192" s="3275">
        <v>1542678</v>
      </c>
      <c r="D192" s="3276">
        <v>6221726</v>
      </c>
      <c r="E192" s="3277">
        <v>80497.022509857605</v>
      </c>
      <c r="F192" s="3275">
        <v>80816.705203086516</v>
      </c>
      <c r="G192" s="3276">
        <v>80497.02250985759</v>
      </c>
      <c r="H192" s="3295">
        <v>5907.3819999999996</v>
      </c>
      <c r="I192" s="3296">
        <v>3229.3449999999998</v>
      </c>
      <c r="J192" s="3297">
        <v>473.13499999999999</v>
      </c>
      <c r="K192" s="3298">
        <v>377.416</v>
      </c>
      <c r="L192" s="3296">
        <v>1663.8030000000001</v>
      </c>
      <c r="M192" s="3299">
        <v>363.16899999999998</v>
      </c>
      <c r="N192" s="3300">
        <v>12014.249999999998</v>
      </c>
      <c r="O192" s="3279">
        <v>62883.425000000003</v>
      </c>
      <c r="P192" s="3280">
        <v>85611.507050311091</v>
      </c>
    </row>
    <row r="193" spans="1:16" ht="12.75" customHeight="1">
      <c r="A193" s="3252">
        <f t="shared" si="1"/>
        <v>2021.04</v>
      </c>
      <c r="B193" s="3292">
        <v>7809980</v>
      </c>
      <c r="C193" s="3275">
        <v>1542287</v>
      </c>
      <c r="D193" s="3276">
        <v>6267693</v>
      </c>
      <c r="E193" s="3277">
        <v>86291.290750558517</v>
      </c>
      <c r="F193" s="3275">
        <v>85830.602755404238</v>
      </c>
      <c r="G193" s="3276">
        <v>86291.290750558517</v>
      </c>
      <c r="H193" s="3293">
        <v>5895.1120000000001</v>
      </c>
      <c r="I193" s="3288">
        <v>3246.7710000000002</v>
      </c>
      <c r="J193" s="3294">
        <v>475.161</v>
      </c>
      <c r="K193" s="3289">
        <v>377.49599999999998</v>
      </c>
      <c r="L193" s="3288">
        <v>1686.952</v>
      </c>
      <c r="M193" s="3290">
        <v>361.18799999999999</v>
      </c>
      <c r="N193" s="3291">
        <v>12042.679999999998</v>
      </c>
      <c r="O193" s="3279">
        <v>65156.480000000003</v>
      </c>
      <c r="P193" s="3280">
        <v>86145.089498562607</v>
      </c>
    </row>
    <row r="194" spans="1:16" ht="12.75" customHeight="1">
      <c r="A194" s="3252">
        <f t="shared" si="1"/>
        <v>2021.05</v>
      </c>
      <c r="B194" s="3292">
        <v>7768747</v>
      </c>
      <c r="C194" s="3275">
        <v>1543787</v>
      </c>
      <c r="D194" s="3276">
        <v>6224960</v>
      </c>
      <c r="E194" s="3277">
        <v>86995.274869947054</v>
      </c>
      <c r="F194" s="3275">
        <v>89552.013971013075</v>
      </c>
      <c r="G194" s="3276">
        <v>86995.274869947039</v>
      </c>
      <c r="H194" s="3293">
        <v>5869.9690000000001</v>
      </c>
      <c r="I194" s="3288">
        <v>3270.6979999999999</v>
      </c>
      <c r="J194" s="3294">
        <v>475.863</v>
      </c>
      <c r="K194" s="3289">
        <v>377.68900000000002</v>
      </c>
      <c r="L194" s="3288">
        <v>1693.213</v>
      </c>
      <c r="M194" s="3290">
        <v>366.73</v>
      </c>
      <c r="N194" s="3291">
        <v>12054.161999999998</v>
      </c>
      <c r="O194" s="3279">
        <v>68128.2</v>
      </c>
      <c r="P194" s="3280">
        <v>86697.121972828478</v>
      </c>
    </row>
    <row r="195" spans="1:16" ht="12.75" customHeight="1">
      <c r="A195" s="3252">
        <f t="shared" si="1"/>
        <v>2021.06</v>
      </c>
      <c r="B195" s="3292">
        <v>7728936</v>
      </c>
      <c r="C195" s="3275">
        <v>1548137</v>
      </c>
      <c r="D195" s="3276">
        <v>6180799</v>
      </c>
      <c r="E195" s="3277">
        <v>87072.012061446716</v>
      </c>
      <c r="F195" s="3275">
        <v>90306.435377552771</v>
      </c>
      <c r="G195" s="3276">
        <v>87072.012061446716</v>
      </c>
      <c r="H195" s="3293">
        <v>5869.1819999999998</v>
      </c>
      <c r="I195" s="3288">
        <v>3293.56</v>
      </c>
      <c r="J195" s="3294">
        <v>474.108</v>
      </c>
      <c r="K195" s="3289">
        <v>377.52199999999999</v>
      </c>
      <c r="L195" s="3288">
        <v>1708.8579999999999</v>
      </c>
      <c r="M195" s="3290">
        <v>368.18099999999998</v>
      </c>
      <c r="N195" s="3291">
        <v>12091.411000000002</v>
      </c>
      <c r="O195" s="3279">
        <v>99971.26</v>
      </c>
      <c r="P195" s="3280">
        <v>127132.85117371191</v>
      </c>
    </row>
    <row r="196" spans="1:16" ht="12.75" customHeight="1">
      <c r="A196" s="3252">
        <f t="shared" si="1"/>
        <v>2021.07</v>
      </c>
      <c r="B196" s="3292">
        <v>7775462</v>
      </c>
      <c r="C196" s="3275">
        <v>1560653</v>
      </c>
      <c r="D196" s="3276">
        <v>6214809</v>
      </c>
      <c r="E196" s="3277">
        <v>129327.10714448323</v>
      </c>
      <c r="F196" s="3275">
        <v>136540.45878533827</v>
      </c>
      <c r="G196" s="3276">
        <v>129327.10714448321</v>
      </c>
      <c r="H196" s="3293">
        <v>5876.0339999999997</v>
      </c>
      <c r="I196" s="3288">
        <v>3287.4650000000001</v>
      </c>
      <c r="J196" s="3294">
        <v>474.21300000000002</v>
      </c>
      <c r="K196" s="3289">
        <v>377.90499999999997</v>
      </c>
      <c r="L196" s="3288">
        <v>1732.4690000000001</v>
      </c>
      <c r="M196" s="3290">
        <v>367.03899999999999</v>
      </c>
      <c r="N196" s="3291">
        <v>12115.125</v>
      </c>
      <c r="O196" s="3279">
        <v>72268</v>
      </c>
      <c r="P196" s="3280">
        <v>94460.722216312293</v>
      </c>
    </row>
    <row r="197" spans="1:16" ht="12.75" customHeight="1">
      <c r="A197" s="3252">
        <f t="shared" si="1"/>
        <v>2021.08</v>
      </c>
      <c r="B197" s="3292">
        <v>7778081</v>
      </c>
      <c r="C197" s="3275">
        <v>1554317</v>
      </c>
      <c r="D197" s="3276">
        <v>6223764</v>
      </c>
      <c r="E197" s="3277">
        <v>95224.141024898563</v>
      </c>
      <c r="F197" s="3275">
        <v>97981.844572034912</v>
      </c>
      <c r="G197" s="3276">
        <v>95224.141024898563</v>
      </c>
      <c r="H197" s="3293">
        <v>5895.277</v>
      </c>
      <c r="I197" s="3288">
        <v>3303.2049999999999</v>
      </c>
      <c r="J197" s="3294">
        <v>474.05900000000003</v>
      </c>
      <c r="K197" s="3289">
        <v>387.28399999999999</v>
      </c>
      <c r="L197" s="3288">
        <v>1736.6869999999999</v>
      </c>
      <c r="M197" s="3290">
        <v>394.48599999999999</v>
      </c>
      <c r="N197" s="3291">
        <v>12190.998</v>
      </c>
      <c r="O197" s="3279">
        <v>75189.100000000006</v>
      </c>
      <c r="P197" s="3280">
        <v>96663.931774012322</v>
      </c>
    </row>
    <row r="198" spans="1:16" ht="12.75" customHeight="1">
      <c r="A198" s="3252">
        <f t="shared" si="1"/>
        <v>2021.09</v>
      </c>
      <c r="B198" s="3292">
        <v>7792328</v>
      </c>
      <c r="C198" s="3275">
        <v>1537446</v>
      </c>
      <c r="D198" s="3276">
        <v>6254882</v>
      </c>
      <c r="E198" s="3277">
        <v>97456.260269070131</v>
      </c>
      <c r="F198" s="3275">
        <v>101268.61546038663</v>
      </c>
      <c r="G198" s="3276">
        <v>97456.260269070117</v>
      </c>
      <c r="H198" s="3293">
        <v>5916.0870000000004</v>
      </c>
      <c r="I198" s="3288">
        <v>3314.0790000000002</v>
      </c>
      <c r="J198" s="3294">
        <v>473.37400000000002</v>
      </c>
      <c r="K198" s="3289">
        <v>388.72399999999999</v>
      </c>
      <c r="L198" s="3288">
        <v>1767.665</v>
      </c>
      <c r="M198" s="3290">
        <v>401.37</v>
      </c>
      <c r="N198" s="3291">
        <v>12261.299000000001</v>
      </c>
      <c r="O198" s="3279">
        <v>77319.7</v>
      </c>
      <c r="P198" s="3280">
        <v>99916.201908129296</v>
      </c>
    </row>
    <row r="199" spans="1:16" ht="12.75" customHeight="1">
      <c r="A199" s="3252">
        <f t="shared" si="1"/>
        <v>2021.1</v>
      </c>
      <c r="B199" s="3292">
        <v>7825162</v>
      </c>
      <c r="C199" s="3275">
        <v>1547885</v>
      </c>
      <c r="D199" s="3276">
        <v>6277277</v>
      </c>
      <c r="E199" s="3277">
        <v>101705.81157444687</v>
      </c>
      <c r="F199" s="3275">
        <v>106929.11566625097</v>
      </c>
      <c r="G199" s="3276">
        <v>101705.8115744469</v>
      </c>
      <c r="H199" s="3293">
        <v>5940.33</v>
      </c>
      <c r="I199" s="3288">
        <v>3329.0459999999998</v>
      </c>
      <c r="J199" s="3294">
        <v>474.108</v>
      </c>
      <c r="K199" s="3289">
        <v>387.625</v>
      </c>
      <c r="L199" s="3288">
        <v>1785.0840000000001</v>
      </c>
      <c r="M199" s="3290">
        <v>398.01600000000002</v>
      </c>
      <c r="N199" s="3291">
        <v>12314.209000000001</v>
      </c>
      <c r="O199" s="3279">
        <v>79281.929999999993</v>
      </c>
      <c r="P199" s="3280">
        <v>104455.59429117682</v>
      </c>
    </row>
    <row r="200" spans="1:16" ht="12.75" customHeight="1">
      <c r="A200" s="3252">
        <f t="shared" si="1"/>
        <v>2021.11</v>
      </c>
      <c r="B200" s="3292">
        <v>7851887</v>
      </c>
      <c r="C200" s="3275">
        <v>1546162</v>
      </c>
      <c r="D200" s="3276">
        <v>6305725</v>
      </c>
      <c r="E200" s="3277">
        <v>106080.46124826722</v>
      </c>
      <c r="F200" s="3275">
        <v>113547.66806727137</v>
      </c>
      <c r="G200" s="3276">
        <v>106080.4612482673</v>
      </c>
      <c r="H200" s="3293">
        <v>5988.5410000000002</v>
      </c>
      <c r="I200" s="3288">
        <v>3345.096</v>
      </c>
      <c r="J200" s="3294">
        <v>473.279</v>
      </c>
      <c r="K200" s="3289">
        <v>385.97</v>
      </c>
      <c r="L200" s="3288">
        <v>1800.2370000000001</v>
      </c>
      <c r="M200" s="3290">
        <v>394.20699999999999</v>
      </c>
      <c r="N200" s="3291">
        <v>12387.33</v>
      </c>
      <c r="O200" s="3279">
        <v>83262.31</v>
      </c>
      <c r="P200" s="3280">
        <v>108278.84745911909</v>
      </c>
    </row>
    <row r="201" spans="1:16" ht="12.75" customHeight="1">
      <c r="A201" s="3252">
        <f t="shared" si="1"/>
        <v>2021.12</v>
      </c>
      <c r="B201" s="3292">
        <v>7892244</v>
      </c>
      <c r="C201" s="3275">
        <v>1535636</v>
      </c>
      <c r="D201" s="3276">
        <v>6356608</v>
      </c>
      <c r="E201" s="3277">
        <v>109469.67006863661</v>
      </c>
      <c r="F201" s="3275">
        <v>115891.25469764389</v>
      </c>
      <c r="G201" s="3276">
        <v>109469.67006863659</v>
      </c>
      <c r="H201" s="3293">
        <v>6027.6869999999999</v>
      </c>
      <c r="I201" s="3288">
        <v>3372.9059999999999</v>
      </c>
      <c r="J201" s="3294">
        <v>472.87599999999998</v>
      </c>
      <c r="K201" s="3289">
        <v>385.41399999999999</v>
      </c>
      <c r="L201" s="3288">
        <v>1769.9269999999999</v>
      </c>
      <c r="M201" s="3290">
        <v>440.04599999999999</v>
      </c>
      <c r="N201" s="3291">
        <v>12468.856000000002</v>
      </c>
      <c r="O201" s="3279">
        <v>121726.16</v>
      </c>
      <c r="P201" s="3280">
        <v>160794.05004048796</v>
      </c>
    </row>
    <row r="202" spans="1:16" ht="12.75" customHeight="1">
      <c r="A202" s="3252">
        <f t="shared" si="1"/>
        <v>2022.01</v>
      </c>
      <c r="B202" s="3292">
        <v>7910785</v>
      </c>
      <c r="C202" s="3275">
        <v>1535862</v>
      </c>
      <c r="D202" s="3276">
        <v>6374923</v>
      </c>
      <c r="E202" s="3277">
        <v>164305.1260359977</v>
      </c>
      <c r="F202" s="3275">
        <v>177411.83963407521</v>
      </c>
      <c r="G202" s="3276">
        <v>161147.42462373429</v>
      </c>
      <c r="H202" s="3293">
        <v>6069.317</v>
      </c>
      <c r="I202" s="3288">
        <v>3320.3270000000002</v>
      </c>
      <c r="J202" s="3294">
        <v>473.399</v>
      </c>
      <c r="K202" s="3289">
        <v>387.10399999999998</v>
      </c>
      <c r="L202" s="3288">
        <v>1777.0730000000001</v>
      </c>
      <c r="M202" s="3290">
        <v>439.56200000000001</v>
      </c>
      <c r="N202" s="3291">
        <v>12466.781999999999</v>
      </c>
      <c r="O202" s="3301">
        <v>89498.69</v>
      </c>
      <c r="P202" s="3302">
        <v>122700.73199273103</v>
      </c>
    </row>
    <row r="203" spans="1:16" ht="12.75" customHeight="1">
      <c r="A203" s="3252">
        <f t="shared" si="1"/>
        <v>2022.02</v>
      </c>
      <c r="B203" s="3292">
        <v>7918796</v>
      </c>
      <c r="C203" s="3275">
        <v>1503282</v>
      </c>
      <c r="D203" s="3276">
        <v>6415514</v>
      </c>
      <c r="E203" s="3277">
        <v>124616.36290936021</v>
      </c>
      <c r="F203" s="3275">
        <v>130638.73589713041</v>
      </c>
      <c r="G203" s="3276">
        <v>123205.20163532963</v>
      </c>
      <c r="H203" s="3293">
        <v>6095.1350000000002</v>
      </c>
      <c r="I203" s="3288">
        <v>3311.7449999999999</v>
      </c>
      <c r="J203" s="3294">
        <v>472.50099999999998</v>
      </c>
      <c r="K203" s="3289">
        <v>387.661</v>
      </c>
      <c r="L203" s="3288">
        <v>1799.6849999999999</v>
      </c>
      <c r="M203" s="3290">
        <v>441.73</v>
      </c>
      <c r="N203" s="3291">
        <v>12508.457</v>
      </c>
      <c r="O203" s="3301">
        <v>91635.010000000009</v>
      </c>
      <c r="P203" s="3302">
        <v>123340.77111761941</v>
      </c>
    </row>
    <row r="204" spans="1:16" ht="12.75" customHeight="1">
      <c r="A204" s="3252">
        <f t="shared" si="1"/>
        <v>2022.03</v>
      </c>
      <c r="B204" s="3292">
        <v>7969997</v>
      </c>
      <c r="C204" s="3275">
        <v>1516865</v>
      </c>
      <c r="D204" s="3276">
        <v>6453132</v>
      </c>
      <c r="E204" s="3277">
        <v>124562.25385291614</v>
      </c>
      <c r="F204" s="3275">
        <v>128945.138410821</v>
      </c>
      <c r="G204" s="3276">
        <v>123532.01858344914</v>
      </c>
      <c r="H204" s="3293">
        <v>6129.7150000000001</v>
      </c>
      <c r="I204" s="3288">
        <v>3317.3780000000002</v>
      </c>
      <c r="J204" s="3294">
        <v>472.447</v>
      </c>
      <c r="K204" s="3289">
        <v>385.47399999999999</v>
      </c>
      <c r="L204" s="3288">
        <v>1818.827</v>
      </c>
      <c r="M204" s="3290">
        <v>438.31799999999998</v>
      </c>
      <c r="N204" s="3291">
        <v>12562.159</v>
      </c>
      <c r="O204" s="3279">
        <v>98681.94</v>
      </c>
      <c r="P204" s="3280">
        <v>136935.1480921834</v>
      </c>
    </row>
    <row r="205" spans="1:16" ht="12.75" customHeight="1">
      <c r="A205" s="3252">
        <f t="shared" si="1"/>
        <v>2022.04</v>
      </c>
      <c r="B205" s="3292">
        <v>8024604</v>
      </c>
      <c r="C205" s="3275">
        <v>1512186</v>
      </c>
      <c r="D205" s="3276">
        <v>6512418</v>
      </c>
      <c r="E205" s="3277">
        <v>138633.8274689019</v>
      </c>
      <c r="F205" s="3275">
        <v>142995.26458060055</v>
      </c>
      <c r="G205" s="3276">
        <v>137621.10007023203</v>
      </c>
      <c r="H205" s="3293">
        <v>6110.1710000000003</v>
      </c>
      <c r="I205" s="3288">
        <v>3333.8960000000002</v>
      </c>
      <c r="J205" s="3294">
        <v>473.14299999999997</v>
      </c>
      <c r="K205" s="3289">
        <v>387.23599999999999</v>
      </c>
      <c r="L205" s="3288">
        <v>1844.415</v>
      </c>
      <c r="M205" s="3290">
        <v>435.827</v>
      </c>
      <c r="N205" s="3291">
        <v>12584.688</v>
      </c>
      <c r="O205" s="3279">
        <v>103832.32000000001</v>
      </c>
      <c r="P205" s="3280">
        <v>138254.29995655469</v>
      </c>
    </row>
    <row r="206" spans="1:16" ht="12.75" customHeight="1">
      <c r="A206" s="3252">
        <f t="shared" si="1"/>
        <v>2022.05</v>
      </c>
      <c r="B206" s="3292">
        <v>7975011</v>
      </c>
      <c r="C206" s="3275">
        <v>1490599</v>
      </c>
      <c r="D206" s="3276">
        <v>6484412</v>
      </c>
      <c r="E206" s="3277">
        <v>138660.07874557038</v>
      </c>
      <c r="F206" s="3275">
        <v>140971.62421686851</v>
      </c>
      <c r="G206" s="3276">
        <v>138128.71408706755</v>
      </c>
      <c r="H206" s="3293">
        <v>6117.9620000000004</v>
      </c>
      <c r="I206" s="3288">
        <v>3353.5450000000001</v>
      </c>
      <c r="J206" s="3294">
        <v>473.34</v>
      </c>
      <c r="K206" s="3289">
        <v>389.86900000000003</v>
      </c>
      <c r="L206" s="3288">
        <v>1873.585</v>
      </c>
      <c r="M206" s="3290">
        <v>432.428</v>
      </c>
      <c r="N206" s="3291">
        <v>12640.729000000003</v>
      </c>
      <c r="O206" s="3279">
        <v>111655.37</v>
      </c>
      <c r="P206" s="3280">
        <v>144485.41890339175</v>
      </c>
    </row>
    <row r="207" spans="1:16" ht="12.75" customHeight="1">
      <c r="A207" s="3252">
        <f t="shared" si="1"/>
        <v>2022.06</v>
      </c>
      <c r="B207" s="3292">
        <v>7997696</v>
      </c>
      <c r="C207" s="3275">
        <v>1514479</v>
      </c>
      <c r="D207" s="3276">
        <v>6483217</v>
      </c>
      <c r="E207" s="3277">
        <v>146838.61956622632</v>
      </c>
      <c r="F207" s="3275">
        <v>156459.56023877519</v>
      </c>
      <c r="G207" s="3276">
        <v>144591.16855404808</v>
      </c>
      <c r="H207" s="3293">
        <v>6134.0320000000002</v>
      </c>
      <c r="I207" s="3288">
        <v>3381.3020000000001</v>
      </c>
      <c r="J207" s="3294">
        <v>471.35599999999999</v>
      </c>
      <c r="K207" s="3289">
        <v>392.51100000000002</v>
      </c>
      <c r="L207" s="3288">
        <v>1824.604</v>
      </c>
      <c r="M207" s="3290">
        <v>512.69500000000005</v>
      </c>
      <c r="N207" s="3291">
        <v>12716.5</v>
      </c>
      <c r="O207" s="3279">
        <v>165158.01</v>
      </c>
      <c r="P207" s="3280">
        <v>211726.8424179501</v>
      </c>
    </row>
    <row r="208" spans="1:16" ht="12.75" customHeight="1">
      <c r="A208" s="3252">
        <f t="shared" si="1"/>
        <v>2022.07</v>
      </c>
      <c r="B208" s="3292">
        <v>8034410</v>
      </c>
      <c r="C208" s="3275">
        <v>1529095</v>
      </c>
      <c r="D208" s="3276">
        <v>6505315</v>
      </c>
      <c r="E208" s="3277">
        <v>217115.27001390018</v>
      </c>
      <c r="F208" s="3275">
        <v>241919.0947062413</v>
      </c>
      <c r="G208" s="3276">
        <v>211285.05205859212</v>
      </c>
      <c r="H208" s="3293">
        <v>6169.348</v>
      </c>
      <c r="I208" s="3288">
        <v>3375.799</v>
      </c>
      <c r="J208" s="3294">
        <v>472.73099999999999</v>
      </c>
      <c r="K208" s="3289">
        <v>395.00299999999999</v>
      </c>
      <c r="L208" s="3288">
        <v>1862.02</v>
      </c>
      <c r="M208" s="3290">
        <v>509.084</v>
      </c>
      <c r="N208" s="3291">
        <v>12783.985000000002</v>
      </c>
      <c r="O208" s="3279">
        <v>119847.76000000001</v>
      </c>
      <c r="P208" s="3280">
        <v>157052.74764504106</v>
      </c>
    </row>
    <row r="209" spans="1:16" ht="12.75" customHeight="1">
      <c r="A209" s="3252">
        <f t="shared" si="1"/>
        <v>2022.08</v>
      </c>
      <c r="B209" s="3292">
        <v>8086623</v>
      </c>
      <c r="C209" s="3275">
        <v>1541701</v>
      </c>
      <c r="D209" s="3276">
        <v>6544922</v>
      </c>
      <c r="E209" s="3277">
        <v>161791.66166694305</v>
      </c>
      <c r="F209" s="3275">
        <v>178483.11790998385</v>
      </c>
      <c r="G209" s="3276">
        <v>157859.87534751062</v>
      </c>
      <c r="H209" s="3293">
        <v>6186.7550000000001</v>
      </c>
      <c r="I209" s="3288">
        <v>3372.5309999999999</v>
      </c>
      <c r="J209" s="3294">
        <v>473.59300000000002</v>
      </c>
      <c r="K209" s="3289">
        <v>395.11399999999998</v>
      </c>
      <c r="L209" s="3288">
        <v>1899.6320000000001</v>
      </c>
      <c r="M209" s="3290">
        <v>503.226</v>
      </c>
      <c r="N209" s="3291">
        <v>12830.851000000001</v>
      </c>
      <c r="O209" s="3279">
        <v>132656.82999999999</v>
      </c>
      <c r="P209" s="3280">
        <v>167585.69576273681</v>
      </c>
    </row>
    <row r="210" spans="1:16" ht="12.75" customHeight="1">
      <c r="A210" s="3252">
        <f t="shared" si="1"/>
        <v>2022.09</v>
      </c>
      <c r="B210" s="3292">
        <v>8114788</v>
      </c>
      <c r="C210" s="3275">
        <v>1546327</v>
      </c>
      <c r="D210" s="3276">
        <v>6568461</v>
      </c>
      <c r="E210" s="3277">
        <v>171613.80858052979</v>
      </c>
      <c r="F210" s="3275">
        <v>187326.87694981077</v>
      </c>
      <c r="G210" s="3276">
        <v>167914.68608101804</v>
      </c>
      <c r="H210" s="3293">
        <v>6210.8389999999999</v>
      </c>
      <c r="I210" s="3288">
        <v>3381.9810000000002</v>
      </c>
      <c r="J210" s="3294">
        <v>473.80900000000003</v>
      </c>
      <c r="K210" s="3289">
        <v>394.79500000000002</v>
      </c>
      <c r="L210" s="3288">
        <v>1879.5550000000001</v>
      </c>
      <c r="M210" s="3290">
        <v>559.03300000000002</v>
      </c>
      <c r="N210" s="3291">
        <v>12900.011999999999</v>
      </c>
      <c r="O210" s="3279">
        <v>141428.1</v>
      </c>
      <c r="P210" s="3280">
        <v>179438.98010555984</v>
      </c>
    </row>
    <row r="211" spans="1:16" ht="12.75" customHeight="1">
      <c r="A211" s="3252">
        <f t="shared" si="1"/>
        <v>2022.1</v>
      </c>
      <c r="B211" s="3292">
        <v>8137438</v>
      </c>
      <c r="C211" s="3275">
        <v>1544572</v>
      </c>
      <c r="D211" s="3276">
        <v>6592866</v>
      </c>
      <c r="E211" s="3277">
        <v>184286.94726375304</v>
      </c>
      <c r="F211" s="3275">
        <v>201768.75692887092</v>
      </c>
      <c r="G211" s="3276">
        <v>180191.3212161327</v>
      </c>
      <c r="H211" s="3293">
        <v>6236.6229999999996</v>
      </c>
      <c r="I211" s="3288">
        <v>3387.3989999999999</v>
      </c>
      <c r="J211" s="3294">
        <v>471.86500000000001</v>
      </c>
      <c r="K211" s="3289">
        <v>394.303</v>
      </c>
      <c r="L211" s="3288">
        <v>1908.434</v>
      </c>
      <c r="M211" s="3290">
        <v>555.51300000000003</v>
      </c>
      <c r="N211" s="3291">
        <v>12954.136999999999</v>
      </c>
      <c r="O211" s="3279">
        <v>144779.58000000002</v>
      </c>
      <c r="P211" s="3280">
        <v>189111.68705435234</v>
      </c>
    </row>
    <row r="212" spans="1:16" ht="12.75" customHeight="1">
      <c r="A212" s="3252">
        <f t="shared" si="1"/>
        <v>2022.11</v>
      </c>
      <c r="B212" s="3292">
        <v>8165974</v>
      </c>
      <c r="C212" s="3275">
        <v>1542628</v>
      </c>
      <c r="D212" s="3276">
        <v>6623346</v>
      </c>
      <c r="E212" s="3277">
        <v>193975.82179235204</v>
      </c>
      <c r="F212" s="3275">
        <v>216989.8365830518</v>
      </c>
      <c r="G212" s="3276">
        <v>188615.68152358948</v>
      </c>
      <c r="H212" s="3293">
        <v>6278.1540000000005</v>
      </c>
      <c r="I212" s="3288">
        <v>3405.2179999999998</v>
      </c>
      <c r="J212" s="3294">
        <v>469.77699999999999</v>
      </c>
      <c r="K212" s="3289">
        <v>394.79500000000002</v>
      </c>
      <c r="L212" s="3288">
        <v>1943.2280000000001</v>
      </c>
      <c r="M212" s="3290">
        <v>550.83600000000001</v>
      </c>
      <c r="N212" s="3291">
        <v>13042.007999999998</v>
      </c>
      <c r="O212" s="3279">
        <v>155238.01999999999</v>
      </c>
      <c r="P212" s="3280">
        <v>203119.44492676225</v>
      </c>
    </row>
    <row r="213" spans="1:16" ht="12.75" customHeight="1">
      <c r="A213" s="3252">
        <f t="shared" si="1"/>
        <v>2022.12</v>
      </c>
      <c r="B213" s="3292">
        <v>8203206</v>
      </c>
      <c r="C213" s="3275">
        <v>1548004</v>
      </c>
      <c r="D213" s="3276">
        <v>6655202</v>
      </c>
      <c r="E213" s="3277">
        <v>208880.05393490425</v>
      </c>
      <c r="F213" s="3275">
        <v>233157.27351002325</v>
      </c>
      <c r="G213" s="3276">
        <v>203233.15801631863</v>
      </c>
      <c r="H213" s="3293">
        <v>6296.2039999999997</v>
      </c>
      <c r="I213" s="3288">
        <v>3422.9830000000002</v>
      </c>
      <c r="J213" s="3294">
        <v>467.72399999999999</v>
      </c>
      <c r="K213" s="3289">
        <v>396.459</v>
      </c>
      <c r="L213" s="3288">
        <v>1895.8430000000001</v>
      </c>
      <c r="M213" s="3290">
        <v>611.61800000000005</v>
      </c>
      <c r="N213" s="3291">
        <v>13090.831000000002</v>
      </c>
      <c r="O213" s="3279">
        <v>245866.42</v>
      </c>
      <c r="P213" s="3280">
        <v>317848.34373875044</v>
      </c>
    </row>
    <row r="214" spans="1:16" ht="12.75" customHeight="1">
      <c r="A214" s="3252">
        <f t="shared" si="1"/>
        <v>2023.01</v>
      </c>
      <c r="B214" s="3292">
        <v>8226555</v>
      </c>
      <c r="C214" s="3275">
        <v>1563700</v>
      </c>
      <c r="D214" s="3276">
        <v>6662855</v>
      </c>
      <c r="E214" s="3277">
        <v>326100.7811557852</v>
      </c>
      <c r="F214" s="3275">
        <v>358901.3292503485</v>
      </c>
      <c r="G214" s="3276">
        <v>318402.84730378498</v>
      </c>
      <c r="H214" s="3293">
        <v>6333.4040000000005</v>
      </c>
      <c r="I214" s="3288">
        <v>3382.8380000000002</v>
      </c>
      <c r="J214" s="3294">
        <v>468.22800000000001</v>
      </c>
      <c r="K214" s="3289">
        <v>400.30799999999999</v>
      </c>
      <c r="L214" s="3288">
        <v>1910.5219999999999</v>
      </c>
      <c r="M214" s="3290">
        <v>608.59799999999996</v>
      </c>
      <c r="N214" s="3291">
        <v>13103.897999999999</v>
      </c>
      <c r="O214" s="3279">
        <v>171129.625</v>
      </c>
      <c r="P214" s="3280">
        <v>241706.31650662312</v>
      </c>
    </row>
    <row r="215" spans="1:16" ht="12.75" customHeight="1">
      <c r="A215" s="3252">
        <f t="shared" si="1"/>
        <v>2023.02</v>
      </c>
      <c r="B215" s="3292">
        <v>8248603</v>
      </c>
      <c r="C215" s="3275">
        <v>1554555</v>
      </c>
      <c r="D215" s="3276">
        <v>6694048</v>
      </c>
      <c r="E215" s="3277">
        <v>246719.21798386468</v>
      </c>
      <c r="F215" s="3275">
        <v>266101.41466391349</v>
      </c>
      <c r="G215" s="3276">
        <v>242218.1013560853</v>
      </c>
      <c r="H215" s="3293">
        <v>6348.1930000000002</v>
      </c>
      <c r="I215" s="3288">
        <v>3388.3850000000002</v>
      </c>
      <c r="J215" s="3294">
        <v>466.971</v>
      </c>
      <c r="K215" s="3289">
        <v>400.21699999999998</v>
      </c>
      <c r="L215" s="3288">
        <v>1920.933</v>
      </c>
      <c r="M215" s="3290">
        <v>603.94000000000005</v>
      </c>
      <c r="N215" s="3291">
        <v>13128.639000000001</v>
      </c>
      <c r="O215" s="3279">
        <v>180620.07500000001</v>
      </c>
      <c r="P215" s="3280">
        <v>249422.72890812758</v>
      </c>
    </row>
    <row r="216" spans="1:16" ht="12.75" customHeight="1">
      <c r="A216" s="3252">
        <f t="shared" si="1"/>
        <v>2023.03</v>
      </c>
      <c r="B216" s="3292">
        <v>8294988</v>
      </c>
      <c r="C216" s="3275">
        <v>1558661</v>
      </c>
      <c r="D216" s="3276">
        <v>6736327</v>
      </c>
      <c r="E216" s="3277">
        <v>252691.78620506867</v>
      </c>
      <c r="F216" s="3275">
        <v>269040.61136515893</v>
      </c>
      <c r="G216" s="3276">
        <v>248908.97159810978</v>
      </c>
      <c r="H216" s="3293">
        <v>6377.5249999999996</v>
      </c>
      <c r="I216" s="3288">
        <v>3392.44</v>
      </c>
      <c r="J216" s="3294">
        <v>466.50099999999998</v>
      </c>
      <c r="K216" s="3289">
        <v>396.61900000000003</v>
      </c>
      <c r="L216" s="3288">
        <v>1920.4059999999999</v>
      </c>
      <c r="M216" s="3290">
        <v>602.11699999999996</v>
      </c>
      <c r="N216" s="3291">
        <v>13155.608000000002</v>
      </c>
      <c r="O216" s="3279">
        <v>198161.45</v>
      </c>
      <c r="P216" s="3280">
        <v>276739.77145745169</v>
      </c>
    </row>
    <row r="217" spans="1:16" ht="12.75" customHeight="1">
      <c r="A217" s="3252">
        <f t="shared" si="1"/>
        <v>2023.04</v>
      </c>
      <c r="B217" s="3292">
        <v>8345377</v>
      </c>
      <c r="C217" s="3275">
        <v>1560046</v>
      </c>
      <c r="D217" s="3276">
        <v>6785331</v>
      </c>
      <c r="E217" s="3277">
        <v>283244.6937045792</v>
      </c>
      <c r="F217" s="3275">
        <v>303622.18169636669</v>
      </c>
      <c r="G217" s="3276">
        <v>278559.61369423987</v>
      </c>
      <c r="H217" s="3293">
        <v>6339.7380000000003</v>
      </c>
      <c r="I217" s="3288">
        <v>3412.1660000000002</v>
      </c>
      <c r="J217" s="3294">
        <v>468.43400000000003</v>
      </c>
      <c r="K217" s="3289">
        <v>400.61500000000001</v>
      </c>
      <c r="L217" s="3288">
        <v>1926.3810000000001</v>
      </c>
      <c r="M217" s="3290">
        <v>602.71600000000001</v>
      </c>
      <c r="N217" s="3291">
        <v>13150.05</v>
      </c>
      <c r="O217" s="3279">
        <v>218966.54</v>
      </c>
      <c r="P217" s="3280">
        <v>287934.52449078363</v>
      </c>
    </row>
    <row r="218" spans="1:16" ht="12.75" customHeight="1">
      <c r="A218" s="3252">
        <f t="shared" si="1"/>
        <v>2023.05</v>
      </c>
      <c r="B218" s="3292">
        <v>8301816</v>
      </c>
      <c r="C218" s="3275">
        <v>1562778</v>
      </c>
      <c r="D218" s="3276">
        <v>6739038</v>
      </c>
      <c r="E218" s="3277">
        <v>295212.98851036088</v>
      </c>
      <c r="F218" s="3275">
        <v>326696.76788539387</v>
      </c>
      <c r="G218" s="3276">
        <v>287911.92302235571</v>
      </c>
      <c r="H218" s="3293">
        <v>6347.7879999999996</v>
      </c>
      <c r="I218" s="3288">
        <v>3437.8530000000001</v>
      </c>
      <c r="J218" s="3294">
        <v>467.262</v>
      </c>
      <c r="K218" s="3289">
        <v>402.50099999999998</v>
      </c>
      <c r="L218" s="3288">
        <v>1967.51</v>
      </c>
      <c r="M218" s="3290">
        <v>597.92200000000003</v>
      </c>
      <c r="N218" s="3291">
        <v>13220.836000000001</v>
      </c>
      <c r="O218" s="3279">
        <v>238171.285</v>
      </c>
      <c r="P218" s="3280">
        <v>303249.57101265091</v>
      </c>
    </row>
    <row r="219" spans="1:16" ht="12.75" customHeight="1">
      <c r="A219" s="3252">
        <f t="shared" si="1"/>
        <v>2023.06</v>
      </c>
      <c r="B219" s="3292">
        <v>8323174</v>
      </c>
      <c r="C219" s="3275">
        <v>1574549</v>
      </c>
      <c r="D219" s="3276">
        <v>6748625</v>
      </c>
      <c r="E219" s="3277">
        <v>311644.87109812675</v>
      </c>
      <c r="F219" s="3275">
        <v>342547.04042554414</v>
      </c>
      <c r="G219" s="3276">
        <v>304434.96095905168</v>
      </c>
      <c r="H219" s="3293">
        <v>6353.1170000000002</v>
      </c>
      <c r="I219" s="3288">
        <v>3467.5210000000002</v>
      </c>
      <c r="J219" s="3294">
        <v>466.392</v>
      </c>
      <c r="K219" s="3289">
        <v>405.21699999999998</v>
      </c>
      <c r="L219" s="3288">
        <v>1987.6010000000001</v>
      </c>
      <c r="M219" s="3290">
        <v>592.52</v>
      </c>
      <c r="N219" s="3291">
        <v>13272.368000000002</v>
      </c>
      <c r="O219" s="3279">
        <v>356955.27</v>
      </c>
      <c r="P219" s="3280">
        <v>458848.37937334151</v>
      </c>
    </row>
    <row r="220" spans="1:16" ht="12.75" customHeight="1">
      <c r="A220" s="3252">
        <f t="shared" si="1"/>
        <v>2023.07</v>
      </c>
      <c r="B220" s="3292">
        <v>8344714</v>
      </c>
      <c r="C220" s="3275">
        <v>1590520</v>
      </c>
      <c r="D220" s="3276">
        <v>6754194</v>
      </c>
      <c r="E220" s="3277">
        <v>475589.25810842525</v>
      </c>
      <c r="F220" s="3275">
        <v>546117.39746757655</v>
      </c>
      <c r="G220" s="3276">
        <v>458980.84913860331</v>
      </c>
      <c r="H220" s="3293">
        <v>6374.49</v>
      </c>
      <c r="I220" s="3288">
        <v>3458.2620000000002</v>
      </c>
      <c r="J220" s="3294">
        <v>468.005</v>
      </c>
      <c r="K220" s="3289">
        <v>408.11099999999999</v>
      </c>
      <c r="L220" s="3288">
        <v>1984.376</v>
      </c>
      <c r="M220" s="3290">
        <v>612.02800000000002</v>
      </c>
      <c r="N220" s="3291">
        <v>13305.272000000001</v>
      </c>
      <c r="O220" s="3279">
        <v>270081.58999999997</v>
      </c>
      <c r="P220" s="3280">
        <v>352070.04744146537</v>
      </c>
    </row>
    <row r="221" spans="1:16" ht="12.75" customHeight="1">
      <c r="A221" s="3252">
        <f t="shared" si="1"/>
        <v>2023.08</v>
      </c>
      <c r="B221" s="3292">
        <v>8387085</v>
      </c>
      <c r="C221" s="3275">
        <v>1600475</v>
      </c>
      <c r="D221" s="3276">
        <v>6786610</v>
      </c>
      <c r="E221" s="3277">
        <v>362983.94662759232</v>
      </c>
      <c r="F221" s="3275">
        <v>407374.32118760358</v>
      </c>
      <c r="G221" s="3276">
        <v>352515.43809034996</v>
      </c>
      <c r="H221" s="3293">
        <v>6387.7070000000003</v>
      </c>
      <c r="I221" s="3288">
        <v>3470.3939999999998</v>
      </c>
      <c r="J221" s="3294">
        <v>469.40100000000001</v>
      </c>
      <c r="K221" s="3289">
        <v>411.21600000000001</v>
      </c>
      <c r="L221" s="3288">
        <v>2017.037</v>
      </c>
      <c r="M221" s="3290">
        <v>594.98500000000001</v>
      </c>
      <c r="N221" s="3291">
        <v>13350.740000000002</v>
      </c>
      <c r="O221" s="3279">
        <v>312312.65999999997</v>
      </c>
      <c r="P221" s="3280">
        <v>389265.25468164257</v>
      </c>
    </row>
    <row r="222" spans="1:16" ht="12.75" customHeight="1">
      <c r="A222" s="3252">
        <f t="shared" si="1"/>
        <v>2023.09</v>
      </c>
      <c r="B222" s="3292">
        <v>8427342</v>
      </c>
      <c r="C222" s="3275">
        <v>1630566</v>
      </c>
      <c r="D222" s="3276">
        <v>6796776</v>
      </c>
      <c r="E222" s="3277">
        <v>399521.59140447486</v>
      </c>
      <c r="F222" s="3275">
        <v>430746.16975695564</v>
      </c>
      <c r="G222" s="3276">
        <v>392030.72576083866</v>
      </c>
      <c r="H222" s="3293">
        <v>6371.65</v>
      </c>
      <c r="I222" s="3288">
        <v>3473.8530000000001</v>
      </c>
      <c r="J222" s="3294">
        <v>470.74799999999999</v>
      </c>
      <c r="K222" s="3289">
        <v>412.99200000000002</v>
      </c>
      <c r="L222" s="3288">
        <v>2010.057</v>
      </c>
      <c r="M222" s="3290">
        <v>623.27099999999996</v>
      </c>
      <c r="N222" s="3291">
        <v>13362.571000000002</v>
      </c>
      <c r="O222" s="3279">
        <v>342176.65</v>
      </c>
      <c r="P222" s="3280">
        <v>431695.0896687198</v>
      </c>
    </row>
    <row r="223" spans="1:16" ht="12.75" customHeight="1">
      <c r="A223" s="3252">
        <f t="shared" si="1"/>
        <v>2023.1</v>
      </c>
      <c r="B223" s="3292">
        <v>8376280</v>
      </c>
      <c r="C223" s="3275">
        <v>1602360</v>
      </c>
      <c r="D223" s="3276">
        <v>6773920</v>
      </c>
      <c r="E223" s="3277">
        <v>444950.21077651414</v>
      </c>
      <c r="F223" s="3275">
        <v>496397.74495002994</v>
      </c>
      <c r="G223" s="3276">
        <v>432780.37841087143</v>
      </c>
      <c r="H223" s="3293">
        <v>6374.3990000000003</v>
      </c>
      <c r="I223" s="3288">
        <v>3477.6640000000002</v>
      </c>
      <c r="J223" s="3294">
        <v>468.214</v>
      </c>
      <c r="K223" s="3289">
        <v>409.98</v>
      </c>
      <c r="L223" s="3288">
        <v>2042.4469999999999</v>
      </c>
      <c r="M223" s="3290">
        <v>605.91499999999996</v>
      </c>
      <c r="N223" s="3291">
        <v>13378.618999999999</v>
      </c>
      <c r="O223" s="3279">
        <v>365339.03</v>
      </c>
      <c r="P223" s="3280">
        <v>473146.30133314576</v>
      </c>
    </row>
    <row r="224" spans="1:16" ht="12.75" customHeight="1">
      <c r="A224" s="3252">
        <f t="shared" si="1"/>
        <v>2023.11</v>
      </c>
      <c r="B224" s="3292">
        <v>8412064</v>
      </c>
      <c r="C224" s="3275">
        <v>1626312</v>
      </c>
      <c r="D224" s="3276">
        <v>6785752</v>
      </c>
      <c r="E224" s="3277">
        <v>486695.94464257522</v>
      </c>
      <c r="F224" s="3275">
        <v>542066.06786736485</v>
      </c>
      <c r="G224" s="3276">
        <v>473425.62532616721</v>
      </c>
      <c r="H224" s="3293">
        <v>6385.7640000000001</v>
      </c>
      <c r="I224" s="3288">
        <v>3484.3049999999998</v>
      </c>
      <c r="J224" s="3294">
        <v>464.50400000000002</v>
      </c>
      <c r="K224" s="3289">
        <v>385.77300000000002</v>
      </c>
      <c r="L224" s="3288">
        <v>2037.7619999999999</v>
      </c>
      <c r="M224" s="3290">
        <v>634.72</v>
      </c>
      <c r="N224" s="3291">
        <v>13392.828</v>
      </c>
      <c r="O224" s="3279">
        <v>404394.81</v>
      </c>
      <c r="P224" s="3280">
        <v>521738.97275143315</v>
      </c>
    </row>
    <row r="225" spans="1:16" ht="12.75" customHeight="1">
      <c r="A225" s="3252">
        <f t="shared" si="1"/>
        <v>2023.12</v>
      </c>
      <c r="B225" s="3292">
        <v>8428071</v>
      </c>
      <c r="C225" s="3275">
        <v>1634487</v>
      </c>
      <c r="D225" s="3276">
        <v>6793584</v>
      </c>
      <c r="E225" s="3277">
        <v>535696.94455206057</v>
      </c>
      <c r="F225" s="3275">
        <v>580970.73663722619</v>
      </c>
      <c r="G225" s="3276">
        <v>524804.39879066183</v>
      </c>
      <c r="H225" s="3293">
        <v>6379.12</v>
      </c>
      <c r="I225" s="3288">
        <v>3508.43</v>
      </c>
      <c r="J225" s="3294">
        <v>460.697</v>
      </c>
      <c r="K225" s="3289">
        <v>382.786</v>
      </c>
      <c r="L225" s="3288">
        <v>2044.8140000000001</v>
      </c>
      <c r="M225" s="3290">
        <v>637.40599999999995</v>
      </c>
      <c r="N225" s="3291">
        <v>13413.253000000001</v>
      </c>
      <c r="O225" s="3279">
        <v>647022.48</v>
      </c>
      <c r="P225" s="3280">
        <v>841141.56067055184</v>
      </c>
    </row>
    <row r="226" spans="1:16" ht="12.75" customHeight="1">
      <c r="A226" s="3252">
        <f t="shared" si="1"/>
        <v>2024.01</v>
      </c>
      <c r="B226" s="3292">
        <v>8388104</v>
      </c>
      <c r="C226" s="3275">
        <v>1607921</v>
      </c>
      <c r="D226" s="3276">
        <v>6780183</v>
      </c>
      <c r="E226" s="3277">
        <v>868069</v>
      </c>
      <c r="F226" s="3275">
        <v>944628.35434324818</v>
      </c>
      <c r="G226" s="3276">
        <v>849913.0049865453</v>
      </c>
      <c r="H226" s="3293">
        <v>6363.884</v>
      </c>
      <c r="I226" s="3288">
        <v>3426.424</v>
      </c>
      <c r="J226" s="3294">
        <v>459.291</v>
      </c>
      <c r="K226" s="3289">
        <v>385.41399999999999</v>
      </c>
      <c r="L226" s="3288">
        <v>2064.337</v>
      </c>
      <c r="M226" s="3290">
        <v>648.30200000000002</v>
      </c>
      <c r="N226" s="3291">
        <v>13347.652</v>
      </c>
      <c r="O226" s="3279">
        <v>547920.4</v>
      </c>
      <c r="P226" s="3280">
        <v>756220.42</v>
      </c>
    </row>
    <row r="227" spans="1:16" ht="12.75" customHeight="1">
      <c r="A227" s="3252">
        <f t="shared" si="1"/>
        <v>2024.02</v>
      </c>
      <c r="B227" s="3292">
        <v>8318932</v>
      </c>
      <c r="C227" s="3275">
        <v>1559396</v>
      </c>
      <c r="D227" s="3276">
        <v>6759536</v>
      </c>
      <c r="E227" s="3277">
        <v>753087.71999812685</v>
      </c>
      <c r="F227" s="3275">
        <v>722434.98157893179</v>
      </c>
      <c r="G227" s="3276">
        <v>760159.17544713127</v>
      </c>
      <c r="H227" s="3293">
        <v>6337.933</v>
      </c>
      <c r="I227" s="3288">
        <v>3420.8290000000002</v>
      </c>
      <c r="J227" s="3294">
        <v>456.66</v>
      </c>
      <c r="K227" s="3289">
        <v>408.17</v>
      </c>
      <c r="L227" s="3288">
        <v>2079.4650000000001</v>
      </c>
      <c r="M227" s="3290">
        <v>643.78</v>
      </c>
      <c r="N227" s="3291">
        <v>13346.837000000001</v>
      </c>
      <c r="O227" s="3279">
        <v>618024.19999999995</v>
      </c>
      <c r="P227" s="3280">
        <v>858706.94</v>
      </c>
    </row>
    <row r="228" spans="1:16" ht="12.75" customHeight="1">
      <c r="A228" s="3252">
        <f t="shared" si="1"/>
        <v>2024.03</v>
      </c>
      <c r="B228" s="3292">
        <v>8311391</v>
      </c>
      <c r="C228" s="3275">
        <v>1564003</v>
      </c>
      <c r="D228" s="3276">
        <v>6747388</v>
      </c>
      <c r="E228" s="3277">
        <v>856027.73521534482</v>
      </c>
      <c r="F228" s="3275">
        <v>812979.4558872265</v>
      </c>
      <c r="G228" s="3276">
        <v>866006.06134895608</v>
      </c>
      <c r="H228" s="3293">
        <v>6306.558</v>
      </c>
      <c r="I228" s="3288">
        <v>3415.527</v>
      </c>
      <c r="J228" s="3294">
        <v>454.71899999999999</v>
      </c>
      <c r="K228" s="3289">
        <v>408.68400000000003</v>
      </c>
      <c r="L228" s="3288">
        <v>2077.5079999999998</v>
      </c>
      <c r="M228" s="3290">
        <v>631.50900000000001</v>
      </c>
      <c r="N228" s="3291">
        <v>13294.504999999997</v>
      </c>
      <c r="O228" s="3279">
        <v>681345.43</v>
      </c>
      <c r="P228" s="3280">
        <v>948558.53</v>
      </c>
    </row>
    <row r="229" spans="1:16" ht="12.75" customHeight="1">
      <c r="A229" s="3252">
        <f t="shared" si="1"/>
        <v>2024.04</v>
      </c>
      <c r="B229" s="3303">
        <v>8281137</v>
      </c>
      <c r="C229" s="3267">
        <v>1556560</v>
      </c>
      <c r="D229" s="3268">
        <v>6724577</v>
      </c>
      <c r="E229" s="3269">
        <v>945055.91928374965</v>
      </c>
      <c r="F229" s="3267">
        <v>892714.20084703446</v>
      </c>
      <c r="G229" s="3268">
        <v>957171.62934995163</v>
      </c>
      <c r="H229" s="3293">
        <v>6257.4570000000003</v>
      </c>
      <c r="I229" s="3288">
        <v>3420.2489999999998</v>
      </c>
      <c r="J229" s="3294">
        <v>453.06799999999998</v>
      </c>
      <c r="K229" s="3289">
        <v>410.70699999999999</v>
      </c>
      <c r="L229" s="3288">
        <v>2077.3690000000001</v>
      </c>
      <c r="M229" s="3290">
        <v>631.50900000000001</v>
      </c>
      <c r="N229" s="3291">
        <v>13250.359</v>
      </c>
      <c r="O229" s="3279">
        <v>786197.45</v>
      </c>
      <c r="P229" s="3280">
        <v>1056040.3899999999</v>
      </c>
    </row>
    <row r="230" spans="1:16" ht="12.75" customHeight="1">
      <c r="A230" s="3252">
        <f t="shared" si="1"/>
        <v>2024.05</v>
      </c>
      <c r="B230" s="3303">
        <v>8233951</v>
      </c>
      <c r="C230" s="3267">
        <v>1569009</v>
      </c>
      <c r="D230" s="3268">
        <v>6664942</v>
      </c>
      <c r="E230" s="3269">
        <v>1052101.085031603</v>
      </c>
      <c r="F230" s="3267">
        <v>978742.62368523062</v>
      </c>
      <c r="G230" s="3268">
        <v>1069370.5655580065</v>
      </c>
      <c r="H230" s="3293">
        <v>6227.9840000000004</v>
      </c>
      <c r="I230" s="3288">
        <v>3424.8670000000002</v>
      </c>
      <c r="J230" s="3294">
        <v>450.25799999999998</v>
      </c>
      <c r="K230" s="3289">
        <v>409.101</v>
      </c>
      <c r="L230" s="3288">
        <v>2072.4569999999999</v>
      </c>
      <c r="M230" s="3290">
        <v>651.19500000000005</v>
      </c>
      <c r="N230" s="3291">
        <v>13235.862000000001</v>
      </c>
      <c r="O230" s="3279">
        <v>826587.81</v>
      </c>
      <c r="P230" s="3280">
        <v>1076243.57</v>
      </c>
    </row>
    <row r="231" spans="1:16" ht="12.75" customHeight="1">
      <c r="A231" s="3252">
        <f t="shared" si="1"/>
        <v>2024.06</v>
      </c>
      <c r="B231" s="3303">
        <v>8188593</v>
      </c>
      <c r="C231" s="3267">
        <v>1565098</v>
      </c>
      <c r="D231" s="3268">
        <v>6623495</v>
      </c>
      <c r="E231" s="3269">
        <v>1088729.0838733886</v>
      </c>
      <c r="F231" s="3267">
        <v>1082164.9424580312</v>
      </c>
      <c r="G231" s="3268">
        <v>1090280.1569248349</v>
      </c>
      <c r="H231" s="3293">
        <v>6199.4840000000004</v>
      </c>
      <c r="I231" s="3288">
        <v>3442.817</v>
      </c>
      <c r="J231" s="3294">
        <v>449.34500000000003</v>
      </c>
      <c r="K231" s="3289">
        <v>409.38499999999999</v>
      </c>
      <c r="L231" s="3288">
        <v>2069.413</v>
      </c>
      <c r="M231" s="3290">
        <v>657.71400000000006</v>
      </c>
      <c r="N231" s="3291">
        <v>13228.157999999999</v>
      </c>
      <c r="O231" s="3279">
        <v>1258840.1399999999</v>
      </c>
      <c r="P231" s="3280">
        <v>1627774.73</v>
      </c>
    </row>
    <row r="232" spans="1:16" ht="12.75" customHeight="1">
      <c r="A232" s="3252">
        <f t="shared" si="1"/>
        <v>2024.07</v>
      </c>
      <c r="B232" s="3303">
        <v>8169515</v>
      </c>
      <c r="C232" s="3267">
        <v>1575524</v>
      </c>
      <c r="D232" s="3268">
        <v>6593991</v>
      </c>
      <c r="E232" s="3269">
        <v>1626401.3865816405</v>
      </c>
      <c r="F232" s="3267">
        <v>1587766.9516157927</v>
      </c>
      <c r="G232" s="3268">
        <v>1635632.4394470649</v>
      </c>
      <c r="H232" s="3304">
        <v>6210.7039999999997</v>
      </c>
      <c r="I232" s="3296">
        <v>3422.64</v>
      </c>
      <c r="J232" s="3297">
        <v>449.53699999999998</v>
      </c>
      <c r="K232" s="3298">
        <v>407.83499999999998</v>
      </c>
      <c r="L232" s="3304">
        <v>2088.884</v>
      </c>
      <c r="M232" s="3299">
        <v>647.81299999999999</v>
      </c>
      <c r="N232" s="3300">
        <v>13227.412999999999</v>
      </c>
      <c r="O232" s="3279">
        <v>934748</v>
      </c>
      <c r="P232" s="3280">
        <v>1219882.02</v>
      </c>
    </row>
    <row r="233" spans="1:16" ht="12.75" customHeight="1">
      <c r="A233" s="3252">
        <f t="shared" si="1"/>
        <v>2024.08</v>
      </c>
      <c r="B233" s="3303">
        <v>8173627</v>
      </c>
      <c r="C233" s="3267">
        <v>1559352</v>
      </c>
      <c r="D233" s="3268">
        <v>6614275</v>
      </c>
      <c r="E233" s="3269">
        <v>1221098.5242944462</v>
      </c>
      <c r="F233" s="3267">
        <v>1183745.1439957302</v>
      </c>
      <c r="G233" s="3268">
        <v>1229904.7907825438</v>
      </c>
      <c r="H233" s="3304">
        <v>6215.3339999999998</v>
      </c>
      <c r="I233" s="3296">
        <v>3421.8820000000001</v>
      </c>
      <c r="J233" s="3297">
        <v>451.077</v>
      </c>
      <c r="K233" s="3298">
        <v>406.65699999999998</v>
      </c>
      <c r="L233" s="3304">
        <v>2111.0349999999999</v>
      </c>
      <c r="M233" s="3299">
        <v>649.30899999999997</v>
      </c>
      <c r="N233" s="3300">
        <v>13255.293999999998</v>
      </c>
      <c r="O233" s="3279">
        <v>969111.23</v>
      </c>
      <c r="P233" s="3280">
        <v>1259287.3899999999</v>
      </c>
    </row>
    <row r="234" spans="1:16" ht="12.75" customHeight="1">
      <c r="A234" s="3252">
        <f t="shared" si="1"/>
        <v>2024.09</v>
      </c>
      <c r="B234" s="3303">
        <v>8173431</v>
      </c>
      <c r="C234" s="3267">
        <v>1550334</v>
      </c>
      <c r="D234" s="3268">
        <v>6623097</v>
      </c>
      <c r="E234" s="3269">
        <v>1261699.3226452451</v>
      </c>
      <c r="F234" s="3267">
        <v>1212581.2603427779</v>
      </c>
      <c r="G234" s="3268">
        <v>1273196.874621554</v>
      </c>
      <c r="H234" s="3304">
        <v>6224.2460000000001</v>
      </c>
      <c r="I234" s="3296">
        <v>3426.9850000000001</v>
      </c>
      <c r="J234" s="3297">
        <v>451.82299999999998</v>
      </c>
      <c r="K234" s="3298">
        <v>405.30599999999998</v>
      </c>
      <c r="L234" s="3304">
        <v>2110.7339999999999</v>
      </c>
      <c r="M234" s="3299">
        <v>651.06799999999998</v>
      </c>
      <c r="N234" s="3300">
        <v>13270.162</v>
      </c>
      <c r="O234" s="3279">
        <v>1000000</v>
      </c>
      <c r="P234" s="3280">
        <v>1304720.6599999999</v>
      </c>
    </row>
    <row r="235" spans="1:16" ht="12.75" customHeight="1">
      <c r="A235" s="3252">
        <f t="shared" si="1"/>
        <v>2024.1</v>
      </c>
      <c r="B235" s="3303">
        <v>8179342</v>
      </c>
      <c r="C235" s="3267">
        <v>1548160</v>
      </c>
      <c r="D235" s="3268">
        <v>6631182</v>
      </c>
      <c r="E235" s="3269">
        <v>1307749.1399981568</v>
      </c>
      <c r="F235" s="3267">
        <v>1274549.5748350106</v>
      </c>
      <c r="G235" s="3268">
        <v>1315500.1320238593</v>
      </c>
      <c r="H235" s="3304">
        <v>6249.8440000000001</v>
      </c>
      <c r="I235" s="3296">
        <v>3430.8539999999998</v>
      </c>
      <c r="J235" s="3297">
        <v>449.88499999999999</v>
      </c>
      <c r="K235" s="3298">
        <v>400.69</v>
      </c>
      <c r="L235" s="3304">
        <v>2097.846</v>
      </c>
      <c r="M235" s="3299">
        <v>650.96</v>
      </c>
      <c r="N235" s="3300">
        <v>13280.079000000002</v>
      </c>
      <c r="O235" s="3301">
        <v>1063668.82</v>
      </c>
      <c r="P235" s="3302">
        <v>1377016.8</v>
      </c>
    </row>
    <row r="236" spans="1:16" ht="12.75" customHeight="1">
      <c r="A236" s="3252">
        <f t="shared" si="1"/>
        <v>2024.11</v>
      </c>
      <c r="B236" s="3303">
        <v>8212300</v>
      </c>
      <c r="C236" s="3267">
        <v>1548748</v>
      </c>
      <c r="D236" s="3268">
        <v>6663552</v>
      </c>
      <c r="E236" s="3269">
        <v>1372149.0405155283</v>
      </c>
      <c r="F236" s="3267">
        <v>1309298.7722338818</v>
      </c>
      <c r="G236" s="3268">
        <v>1386756.7493321865</v>
      </c>
      <c r="H236" s="3304">
        <v>6267.8429999999998</v>
      </c>
      <c r="I236" s="3296">
        <v>3434.221</v>
      </c>
      <c r="J236" s="3297">
        <v>447.726</v>
      </c>
      <c r="K236" s="3298">
        <v>397.65899999999999</v>
      </c>
      <c r="L236" s="3304">
        <v>2086.5740000000001</v>
      </c>
      <c r="M236" s="3299">
        <v>653.38499999999999</v>
      </c>
      <c r="N236" s="3300">
        <v>13287.408000000001</v>
      </c>
      <c r="O236" s="3301">
        <v>1077032.6000000001</v>
      </c>
      <c r="P236" s="3302">
        <v>1411221.7</v>
      </c>
    </row>
    <row r="237" spans="1:16" ht="12.75" customHeight="1">
      <c r="A237" s="3252">
        <f t="shared" si="1"/>
        <v>2024.12</v>
      </c>
      <c r="B237" s="3303">
        <v>8233737</v>
      </c>
      <c r="C237" s="3267">
        <v>1548215</v>
      </c>
      <c r="D237" s="3268">
        <v>6685522</v>
      </c>
      <c r="E237" s="3269">
        <v>1418420.1430362286</v>
      </c>
      <c r="F237" s="3267">
        <v>1370711.0217013208</v>
      </c>
      <c r="G237" s="3268">
        <v>1429468.4915851566</v>
      </c>
      <c r="H237" s="3304">
        <v>6285.7190000000001</v>
      </c>
      <c r="I237" s="3296">
        <v>3446.9319999999998</v>
      </c>
      <c r="J237" s="3297">
        <v>444.62</v>
      </c>
      <c r="K237" s="3298">
        <v>400.24599999999998</v>
      </c>
      <c r="L237" s="3304">
        <v>2084.2440000000001</v>
      </c>
      <c r="M237" s="3299">
        <v>259.19299999999998</v>
      </c>
      <c r="N237" s="3300">
        <v>12920.954</v>
      </c>
      <c r="O237" s="3301">
        <v>1640493.32</v>
      </c>
      <c r="P237" s="3302">
        <v>2126399.66</v>
      </c>
    </row>
    <row r="238" spans="1:16" ht="12.75" customHeight="1">
      <c r="A238" s="3252">
        <f t="shared" si="1"/>
        <v>2025.01</v>
      </c>
      <c r="B238" s="3303">
        <v>8255634</v>
      </c>
      <c r="C238" s="3267">
        <v>1557167</v>
      </c>
      <c r="D238" s="3268">
        <v>6698467</v>
      </c>
      <c r="E238" s="3269">
        <v>2139432.7241216893</v>
      </c>
      <c r="F238" s="3267">
        <v>2051906.6278701578</v>
      </c>
      <c r="G238" s="3268">
        <v>2159779.5809057429</v>
      </c>
      <c r="H238" s="3308">
        <v>6290.1139999999996</v>
      </c>
      <c r="I238" s="3305">
        <v>3402.7449999999999</v>
      </c>
      <c r="J238" s="3306">
        <v>444.041</v>
      </c>
      <c r="K238" s="3307">
        <v>401.06799999999998</v>
      </c>
      <c r="L238" s="3308">
        <v>2102.3620000000001</v>
      </c>
      <c r="M238" s="3309">
        <v>251.77799999999999</v>
      </c>
      <c r="N238" s="3310">
        <v>12892.107999999998</v>
      </c>
      <c r="O238" s="3311">
        <v>1160659.03</v>
      </c>
      <c r="P238" s="3312">
        <v>1597774.3</v>
      </c>
    </row>
    <row r="239" spans="1:16" ht="12.75" customHeight="1">
      <c r="A239" s="3252">
        <f t="shared" si="1"/>
        <v>2025.02</v>
      </c>
      <c r="B239" s="3303">
        <v>8236444</v>
      </c>
      <c r="C239" s="3267">
        <v>1538219</v>
      </c>
      <c r="D239" s="3268">
        <v>6698225</v>
      </c>
      <c r="E239" s="3269">
        <v>1595983.775460609</v>
      </c>
      <c r="F239" s="3267">
        <v>1435284.389608216</v>
      </c>
      <c r="G239" s="3268">
        <v>1632887.7087573376</v>
      </c>
      <c r="H239" s="3308">
        <v>6298.9570000000003</v>
      </c>
      <c r="I239" s="3305">
        <v>3386.0349999999999</v>
      </c>
      <c r="J239" s="3306">
        <v>443.762</v>
      </c>
      <c r="K239" s="3307">
        <v>399.96600000000001</v>
      </c>
      <c r="L239" s="3308">
        <v>2119.9899999999998</v>
      </c>
      <c r="M239" s="3309">
        <v>241.66900000000001</v>
      </c>
      <c r="N239" s="3310">
        <v>12890.379000000001</v>
      </c>
      <c r="O239" s="3311">
        <v>1159838.8600000001</v>
      </c>
      <c r="P239" s="3312">
        <v>1595306.22</v>
      </c>
    </row>
    <row r="240" spans="1:16" ht="12.75" customHeight="1">
      <c r="A240" s="3252">
        <f t="shared" si="1"/>
        <v>2025.03</v>
      </c>
      <c r="B240" s="3303">
        <v>8258559</v>
      </c>
      <c r="C240" s="3267">
        <v>1538606</v>
      </c>
      <c r="D240" s="3268">
        <v>6719953</v>
      </c>
      <c r="E240" s="3269">
        <v>1607000.7528309564</v>
      </c>
      <c r="F240" s="3267">
        <v>1447887.1055435634</v>
      </c>
      <c r="G240" s="3268">
        <v>1643431.5451889185</v>
      </c>
      <c r="H240" s="3313">
        <v>6285.0429999999997</v>
      </c>
      <c r="I240" s="3305">
        <v>3383.2910000000002</v>
      </c>
      <c r="J240" s="3306">
        <v>443.36799999999999</v>
      </c>
      <c r="K240" s="3307">
        <v>394.02</v>
      </c>
      <c r="L240" s="3305">
        <v>2129.6579999999999</v>
      </c>
      <c r="M240" s="3309">
        <v>234.869</v>
      </c>
      <c r="N240" s="3310">
        <v>12870.249</v>
      </c>
      <c r="O240" s="3311">
        <v>1202535.55</v>
      </c>
      <c r="P240" s="3312">
        <v>1676327.96</v>
      </c>
    </row>
    <row r="241" spans="1:16" ht="12.75" customHeight="1">
      <c r="A241" s="3252">
        <f t="shared" si="1"/>
        <v>2025.04</v>
      </c>
      <c r="B241" s="3303">
        <v>8240282</v>
      </c>
      <c r="C241" s="3267">
        <v>1531542</v>
      </c>
      <c r="D241" s="3314">
        <v>6708740</v>
      </c>
      <c r="E241" s="3269">
        <v>1682330.6453502479</v>
      </c>
      <c r="F241" s="3267">
        <v>1482609.9546289165</v>
      </c>
      <c r="G241" s="3268">
        <v>1727924.9933364163</v>
      </c>
      <c r="H241" s="3313">
        <v>6258.8149999999996</v>
      </c>
      <c r="I241" s="3305">
        <v>3392.0169999999998</v>
      </c>
      <c r="J241" s="3306">
        <v>442.59300000000002</v>
      </c>
      <c r="K241" s="3307">
        <v>393.52199999999999</v>
      </c>
      <c r="L241" s="3305">
        <v>2138.078</v>
      </c>
      <c r="M241" s="3309">
        <v>231.214</v>
      </c>
      <c r="N241" s="3310">
        <v>12856.239</v>
      </c>
      <c r="O241" s="3311">
        <v>1231305.31</v>
      </c>
      <c r="P241" s="3312">
        <v>1682398.05</v>
      </c>
    </row>
    <row r="242" spans="1:16" ht="12.75" customHeight="1">
      <c r="A242" s="3252">
        <f t="shared" si="1"/>
        <v>2025.05</v>
      </c>
      <c r="B242" s="3303">
        <v>8216487</v>
      </c>
      <c r="C242" s="3267">
        <v>1535306</v>
      </c>
      <c r="D242" s="3314">
        <v>6681181</v>
      </c>
      <c r="E242" s="3269">
        <v>1693958.437878933</v>
      </c>
      <c r="F242" s="3267">
        <v>1523399.489845132</v>
      </c>
      <c r="G242" s="3268">
        <v>1733152.1337644332</v>
      </c>
      <c r="H242" s="3313">
        <v>6244.0540000000001</v>
      </c>
      <c r="I242" s="3305">
        <v>3396.8649999999998</v>
      </c>
      <c r="J242" s="3306">
        <v>440.78300000000002</v>
      </c>
      <c r="K242" s="3307">
        <v>394.22800000000001</v>
      </c>
      <c r="L242" s="3305">
        <v>2155.701</v>
      </c>
      <c r="M242" s="3309">
        <v>229.10900000000001</v>
      </c>
      <c r="N242" s="3310">
        <v>12860.739999999998</v>
      </c>
      <c r="O242" s="3311">
        <v>1252761.6200000001</v>
      </c>
      <c r="P242" s="3312">
        <v>1636377.13</v>
      </c>
    </row>
    <row r="243" spans="1:16" ht="12.75" customHeight="1">
      <c r="A243" s="3252">
        <f t="shared" si="1"/>
        <v>2025.06</v>
      </c>
      <c r="B243" s="3303">
        <v>8197146</v>
      </c>
      <c r="C243" s="3267">
        <v>1537457</v>
      </c>
      <c r="D243" s="3314">
        <v>6659689</v>
      </c>
      <c r="E243" s="3269">
        <v>1656780.2704847173</v>
      </c>
      <c r="F243" s="3267">
        <v>1564576.5264550226</v>
      </c>
      <c r="G243" s="3268">
        <v>1678066.4434103093</v>
      </c>
      <c r="H243" s="3313">
        <v>6216.6589999999997</v>
      </c>
      <c r="I243" s="3305">
        <v>3426.431</v>
      </c>
      <c r="J243" s="3306">
        <v>439.49099999999999</v>
      </c>
      <c r="K243" s="3307">
        <v>393.69400000000002</v>
      </c>
      <c r="L243" s="3305">
        <v>2166.9009999999998</v>
      </c>
      <c r="M243" s="3309">
        <v>226.477</v>
      </c>
      <c r="N243" s="3310">
        <v>12869.653</v>
      </c>
      <c r="O243" s="3311">
        <v>1871396.19</v>
      </c>
      <c r="P243" s="3312">
        <v>2423211.73</v>
      </c>
    </row>
    <row r="244" spans="1:16" ht="12.75" customHeight="1">
      <c r="A244" s="3252">
        <f t="shared" si="1"/>
        <v>2025.07</v>
      </c>
      <c r="B244" s="3303">
        <v>8173791</v>
      </c>
      <c r="C244" s="3267">
        <v>1548938</v>
      </c>
      <c r="D244" s="3314">
        <v>6624853</v>
      </c>
      <c r="E244" s="3269">
        <v>2417821.5758471154</v>
      </c>
      <c r="F244" s="3267">
        <v>2299056.8276600414</v>
      </c>
      <c r="G244" s="3268">
        <v>2445589.6231573564</v>
      </c>
      <c r="H244" s="3313">
        <v>6216.4759999999997</v>
      </c>
      <c r="I244" s="3305">
        <v>3407.6770000000001</v>
      </c>
      <c r="J244" s="3306">
        <v>440.50099999999998</v>
      </c>
      <c r="K244" s="3307">
        <v>392.14400000000001</v>
      </c>
      <c r="L244" s="3305">
        <v>2156.873</v>
      </c>
      <c r="M244" s="3309">
        <v>248.934</v>
      </c>
      <c r="N244" s="3310">
        <v>12862.605</v>
      </c>
      <c r="O244" s="3311">
        <v>1317658.19</v>
      </c>
      <c r="P244" s="3312">
        <v>1745460.53</v>
      </c>
    </row>
    <row r="245" spans="1:16" ht="12.75" customHeight="1">
      <c r="A245" s="3252">
        <f t="shared" si="1"/>
        <v>2025.08</v>
      </c>
      <c r="B245" s="3303">
        <v>8163226</v>
      </c>
      <c r="C245" s="3267">
        <v>1533035</v>
      </c>
      <c r="D245" s="3314">
        <v>6630191</v>
      </c>
      <c r="E245" s="3269">
        <v>1737760.2924800869</v>
      </c>
      <c r="F245" s="3267">
        <v>1608356.1351621978</v>
      </c>
      <c r="G245" s="3268">
        <v>1767681.1653951856</v>
      </c>
      <c r="H245" s="3313">
        <v>6203.6270000000004</v>
      </c>
      <c r="I245" s="3305">
        <v>3406.4290000000001</v>
      </c>
      <c r="J245" s="3306">
        <v>441.72399999999999</v>
      </c>
      <c r="K245" s="3307">
        <v>391.06799999999998</v>
      </c>
      <c r="L245" s="3305">
        <v>2164.7199999999998</v>
      </c>
      <c r="M245" s="3309">
        <v>248.04599999999999</v>
      </c>
      <c r="N245" s="3310">
        <v>12855.614</v>
      </c>
      <c r="O245" s="3311">
        <v>1344709.83</v>
      </c>
      <c r="P245" s="3312">
        <v>1751501.15</v>
      </c>
    </row>
    <row r="246" spans="1:16" ht="12.75" customHeight="1">
      <c r="A246" s="3252">
        <f t="shared" si="1"/>
        <v>2025.09</v>
      </c>
      <c r="B246" s="3292" t="e">
        <v>#N/A</v>
      </c>
      <c r="C246" s="3275" t="e">
        <v>#N/A</v>
      </c>
      <c r="D246" s="3315" t="e">
        <v>#N/A</v>
      </c>
      <c r="E246" s="3277" t="e">
        <v>#N/A</v>
      </c>
      <c r="F246" s="3275" t="e">
        <v>#N/A</v>
      </c>
      <c r="G246" s="3276" t="e">
        <v>#N/A</v>
      </c>
      <c r="H246" s="3313">
        <v>6197.09</v>
      </c>
      <c r="I246" s="3305">
        <v>3415.2040000000002</v>
      </c>
      <c r="J246" s="3306">
        <v>441.07900000000001</v>
      </c>
      <c r="K246" s="3307">
        <v>389.5</v>
      </c>
      <c r="L246" s="3305">
        <v>2177.5500000000002</v>
      </c>
      <c r="M246" s="3309">
        <v>243.59</v>
      </c>
      <c r="N246" s="3310">
        <v>12864.012999999999</v>
      </c>
      <c r="O246" s="3311">
        <v>1355918.29</v>
      </c>
      <c r="P246" s="3312">
        <v>1789297.22</v>
      </c>
    </row>
    <row r="247" spans="1:16" ht="12.75" customHeight="1">
      <c r="A247" s="3252">
        <f t="shared" si="1"/>
        <v>2025.1</v>
      </c>
      <c r="B247" s="3292" t="e">
        <v>#N/A</v>
      </c>
      <c r="C247" s="3275" t="e">
        <v>#N/A</v>
      </c>
      <c r="D247" s="3315" t="e">
        <v>#N/A</v>
      </c>
      <c r="E247" s="3277" t="e">
        <v>#N/A</v>
      </c>
      <c r="F247" s="3275" t="e">
        <v>#N/A</v>
      </c>
      <c r="G247" s="3276" t="e">
        <v>#N/A</v>
      </c>
      <c r="H247" s="3313">
        <v>6193.6390000000001</v>
      </c>
      <c r="I247" s="3305">
        <v>3412.8249999999998</v>
      </c>
      <c r="J247" s="3306">
        <v>439.54500000000002</v>
      </c>
      <c r="K247" s="3307">
        <v>389.52600000000001</v>
      </c>
      <c r="L247" s="3305">
        <v>2177.7979999999998</v>
      </c>
      <c r="M247" s="3309">
        <v>240.46</v>
      </c>
      <c r="N247" s="3310">
        <v>12853.792999999998</v>
      </c>
      <c r="O247" s="3311">
        <v>1392201.23</v>
      </c>
      <c r="P247" s="3312">
        <v>1832584.47</v>
      </c>
    </row>
    <row r="248" spans="1:16" ht="12.75" customHeight="1">
      <c r="A248" s="3252">
        <f t="shared" si="1"/>
        <v>2025.11</v>
      </c>
      <c r="B248" s="3292" t="e">
        <v>#N/A</v>
      </c>
      <c r="C248" s="3275" t="e">
        <v>#N/A</v>
      </c>
      <c r="D248" s="3315" t="e">
        <v>#N/A</v>
      </c>
      <c r="E248" s="3277" t="e">
        <v>#N/A</v>
      </c>
      <c r="F248" s="3275" t="e">
        <v>#N/A</v>
      </c>
      <c r="G248" s="3276" t="e">
        <v>#N/A</v>
      </c>
      <c r="H248" s="3313">
        <v>6193.1909999999998</v>
      </c>
      <c r="I248" s="3305">
        <v>3413.23</v>
      </c>
      <c r="J248" s="3306">
        <v>440.286</v>
      </c>
      <c r="K248" s="3307">
        <v>389.18700000000001</v>
      </c>
      <c r="L248" s="3305">
        <v>2186.627</v>
      </c>
      <c r="M248" s="3309">
        <v>248.88300000000001</v>
      </c>
      <c r="N248" s="3310">
        <v>12871.404</v>
      </c>
      <c r="O248" s="3311">
        <v>1394400</v>
      </c>
      <c r="P248" s="3312">
        <v>1845742.58</v>
      </c>
    </row>
    <row r="249" spans="1:16" ht="12.75" customHeight="1">
      <c r="A249" s="3252">
        <f t="shared" si="1"/>
        <v>2025.12</v>
      </c>
      <c r="B249" s="3292" t="e">
        <v>#N/A</v>
      </c>
      <c r="C249" s="3275" t="e">
        <v>#N/A</v>
      </c>
      <c r="D249" s="3315" t="e">
        <v>#N/A</v>
      </c>
      <c r="E249" s="3277" t="e">
        <v>#N/A</v>
      </c>
      <c r="F249" s="3275" t="e">
        <v>#N/A</v>
      </c>
      <c r="G249" s="3276" t="e">
        <v>#N/A</v>
      </c>
      <c r="H249" s="3313">
        <v>6196.8710000000001</v>
      </c>
      <c r="I249" s="3305">
        <v>3428.28</v>
      </c>
      <c r="J249" s="3306">
        <v>445.88799999999998</v>
      </c>
      <c r="K249" s="3307">
        <v>398.20699999999999</v>
      </c>
      <c r="L249" s="3305">
        <v>2197.2629999999999</v>
      </c>
      <c r="M249" s="3309">
        <v>253.01400000000001</v>
      </c>
      <c r="N249" s="3310">
        <v>12919.523000000001</v>
      </c>
      <c r="O249" s="3311">
        <v>2151087.7366156518</v>
      </c>
      <c r="P249" s="3312">
        <v>2774423.0180106019</v>
      </c>
    </row>
    <row r="250" spans="1:16" ht="12.75" customHeight="1">
      <c r="A250" s="3252">
        <f t="shared" si="1"/>
        <v>2026.01</v>
      </c>
      <c r="B250" s="3292" t="e">
        <v>#N/A</v>
      </c>
      <c r="C250" s="3275" t="e">
        <v>#N/A</v>
      </c>
      <c r="D250" s="3315" t="e">
        <v>#N/A</v>
      </c>
      <c r="E250" s="3277" t="e">
        <v>#N/A</v>
      </c>
      <c r="F250" s="3275" t="e">
        <v>#N/A</v>
      </c>
      <c r="G250" s="3276" t="e">
        <v>#N/A</v>
      </c>
      <c r="H250" s="3316" t="e">
        <v>#N/A</v>
      </c>
      <c r="I250" s="3317" t="e">
        <v>#N/A</v>
      </c>
      <c r="J250" s="3316" t="e">
        <v>#N/A</v>
      </c>
      <c r="K250" s="3318" t="e">
        <v>#N/A</v>
      </c>
      <c r="L250" s="3316" t="e">
        <v>#N/A</v>
      </c>
      <c r="M250" s="3319" t="e">
        <v>#N/A</v>
      </c>
      <c r="N250" s="3320" t="e">
        <v>#N/A</v>
      </c>
      <c r="O250" s="3279" t="e">
        <v>#N/A</v>
      </c>
      <c r="P250" s="3280" t="e">
        <v>#N/A</v>
      </c>
    </row>
    <row r="251" spans="1:16" ht="12.75" customHeight="1">
      <c r="A251" s="3252">
        <f t="shared" si="1"/>
        <v>2026.02</v>
      </c>
      <c r="B251" s="3292" t="e">
        <v>#N/A</v>
      </c>
      <c r="C251" s="3275" t="e">
        <v>#N/A</v>
      </c>
      <c r="D251" s="3315" t="e">
        <v>#N/A</v>
      </c>
      <c r="E251" s="3277" t="e">
        <v>#N/A</v>
      </c>
      <c r="F251" s="3275" t="e">
        <v>#N/A</v>
      </c>
      <c r="G251" s="3276" t="e">
        <v>#N/A</v>
      </c>
      <c r="H251" s="3316" t="e">
        <v>#N/A</v>
      </c>
      <c r="I251" s="3317" t="e">
        <v>#N/A</v>
      </c>
      <c r="J251" s="3316" t="e">
        <v>#N/A</v>
      </c>
      <c r="K251" s="3318" t="e">
        <v>#N/A</v>
      </c>
      <c r="L251" s="3316" t="e">
        <v>#N/A</v>
      </c>
      <c r="M251" s="3319" t="e">
        <v>#N/A</v>
      </c>
      <c r="N251" s="3320" t="e">
        <v>#N/A</v>
      </c>
      <c r="O251" s="3279" t="e">
        <v>#N/A</v>
      </c>
      <c r="P251" s="3280" t="e">
        <v>#N/A</v>
      </c>
    </row>
    <row r="252" spans="1:16" ht="12.75" customHeight="1">
      <c r="A252" s="3252">
        <f t="shared" si="1"/>
        <v>2026.03</v>
      </c>
      <c r="B252" s="3292" t="e">
        <v>#N/A</v>
      </c>
      <c r="C252" s="3275" t="e">
        <v>#N/A</v>
      </c>
      <c r="D252" s="3315" t="e">
        <v>#N/A</v>
      </c>
      <c r="E252" s="3277" t="e">
        <v>#N/A</v>
      </c>
      <c r="F252" s="3275" t="e">
        <v>#N/A</v>
      </c>
      <c r="G252" s="3276" t="e">
        <v>#N/A</v>
      </c>
      <c r="H252" s="3316" t="e">
        <v>#N/A</v>
      </c>
      <c r="I252" s="3317" t="e">
        <v>#N/A</v>
      </c>
      <c r="J252" s="3316" t="e">
        <v>#N/A</v>
      </c>
      <c r="K252" s="3318" t="e">
        <v>#N/A</v>
      </c>
      <c r="L252" s="3316" t="e">
        <v>#N/A</v>
      </c>
      <c r="M252" s="3319" t="e">
        <v>#N/A</v>
      </c>
      <c r="N252" s="3320" t="e">
        <v>#N/A</v>
      </c>
      <c r="O252" s="3279" t="e">
        <v>#N/A</v>
      </c>
      <c r="P252" s="3280" t="e">
        <v>#N/A</v>
      </c>
    </row>
    <row r="253" spans="1:16" ht="12.75" customHeight="1">
      <c r="A253" s="3252">
        <f t="shared" si="1"/>
        <v>2026.04</v>
      </c>
      <c r="B253" s="3292" t="e">
        <v>#N/A</v>
      </c>
      <c r="C253" s="3275" t="e">
        <v>#N/A</v>
      </c>
      <c r="D253" s="3315" t="e">
        <v>#N/A</v>
      </c>
      <c r="E253" s="3277" t="e">
        <v>#N/A</v>
      </c>
      <c r="F253" s="3275" t="e">
        <v>#N/A</v>
      </c>
      <c r="G253" s="3276" t="e">
        <v>#N/A</v>
      </c>
      <c r="H253" s="3316" t="e">
        <v>#N/A</v>
      </c>
      <c r="I253" s="3317" t="e">
        <v>#N/A</v>
      </c>
      <c r="J253" s="3316" t="e">
        <v>#N/A</v>
      </c>
      <c r="K253" s="3318" t="e">
        <v>#N/A</v>
      </c>
      <c r="L253" s="3316" t="e">
        <v>#N/A</v>
      </c>
      <c r="M253" s="3319" t="e">
        <v>#N/A</v>
      </c>
      <c r="N253" s="3320" t="e">
        <v>#N/A</v>
      </c>
      <c r="O253" s="3279" t="e">
        <v>#N/A</v>
      </c>
      <c r="P253" s="3280" t="e">
        <v>#N/A</v>
      </c>
    </row>
    <row r="254" spans="1:16" ht="12.75" customHeight="1">
      <c r="A254" s="3252">
        <f t="shared" ref="A254:A309" si="2">A242+1</f>
        <v>2026.05</v>
      </c>
      <c r="B254" s="3292" t="e">
        <v>#N/A</v>
      </c>
      <c r="C254" s="3275" t="e">
        <v>#N/A</v>
      </c>
      <c r="D254" s="3315" t="e">
        <v>#N/A</v>
      </c>
      <c r="E254" s="3277" t="e">
        <v>#N/A</v>
      </c>
      <c r="F254" s="3275" t="e">
        <v>#N/A</v>
      </c>
      <c r="G254" s="3276" t="e">
        <v>#N/A</v>
      </c>
      <c r="H254" s="3316" t="e">
        <v>#N/A</v>
      </c>
      <c r="I254" s="3317" t="e">
        <v>#N/A</v>
      </c>
      <c r="J254" s="3316" t="e">
        <v>#N/A</v>
      </c>
      <c r="K254" s="3318" t="e">
        <v>#N/A</v>
      </c>
      <c r="L254" s="3316" t="e">
        <v>#N/A</v>
      </c>
      <c r="M254" s="3319" t="e">
        <v>#N/A</v>
      </c>
      <c r="N254" s="3320" t="e">
        <v>#N/A</v>
      </c>
      <c r="O254" s="3279" t="e">
        <v>#N/A</v>
      </c>
      <c r="P254" s="3280" t="e">
        <v>#N/A</v>
      </c>
    </row>
    <row r="255" spans="1:16" ht="12.75" customHeight="1">
      <c r="A255" s="3252">
        <f t="shared" si="2"/>
        <v>2026.06</v>
      </c>
      <c r="B255" s="3292" t="e">
        <v>#N/A</v>
      </c>
      <c r="C255" s="3275" t="e">
        <v>#N/A</v>
      </c>
      <c r="D255" s="3315" t="e">
        <v>#N/A</v>
      </c>
      <c r="E255" s="3277" t="e">
        <v>#N/A</v>
      </c>
      <c r="F255" s="3275" t="e">
        <v>#N/A</v>
      </c>
      <c r="G255" s="3276" t="e">
        <v>#N/A</v>
      </c>
      <c r="H255" s="3316" t="e">
        <v>#N/A</v>
      </c>
      <c r="I255" s="3317" t="e">
        <v>#N/A</v>
      </c>
      <c r="J255" s="3316" t="e">
        <v>#N/A</v>
      </c>
      <c r="K255" s="3318" t="e">
        <v>#N/A</v>
      </c>
      <c r="L255" s="3316" t="e">
        <v>#N/A</v>
      </c>
      <c r="M255" s="3319" t="e">
        <v>#N/A</v>
      </c>
      <c r="N255" s="3320" t="e">
        <v>#N/A</v>
      </c>
      <c r="O255" s="3279" t="e">
        <v>#N/A</v>
      </c>
      <c r="P255" s="3280" t="e">
        <v>#N/A</v>
      </c>
    </row>
    <row r="256" spans="1:16" ht="12.75" customHeight="1">
      <c r="A256" s="3252">
        <f t="shared" si="2"/>
        <v>2026.07</v>
      </c>
      <c r="B256" s="3292" t="e">
        <v>#N/A</v>
      </c>
      <c r="C256" s="3275" t="e">
        <v>#N/A</v>
      </c>
      <c r="D256" s="3315" t="e">
        <v>#N/A</v>
      </c>
      <c r="E256" s="3277" t="e">
        <v>#N/A</v>
      </c>
      <c r="F256" s="3275" t="e">
        <v>#N/A</v>
      </c>
      <c r="G256" s="3276" t="e">
        <v>#N/A</v>
      </c>
      <c r="H256" s="3316" t="e">
        <v>#N/A</v>
      </c>
      <c r="I256" s="3317" t="e">
        <v>#N/A</v>
      </c>
      <c r="J256" s="3316" t="e">
        <v>#N/A</v>
      </c>
      <c r="K256" s="3318" t="e">
        <v>#N/A</v>
      </c>
      <c r="L256" s="3316" t="e">
        <v>#N/A</v>
      </c>
      <c r="M256" s="3319" t="e">
        <v>#N/A</v>
      </c>
      <c r="N256" s="3320" t="e">
        <v>#N/A</v>
      </c>
      <c r="O256" s="3279" t="e">
        <v>#N/A</v>
      </c>
      <c r="P256" s="3280" t="e">
        <v>#N/A</v>
      </c>
    </row>
    <row r="257" spans="1:16" ht="12.75" customHeight="1">
      <c r="A257" s="3252">
        <f t="shared" si="2"/>
        <v>2026.08</v>
      </c>
      <c r="B257" s="3292" t="e">
        <v>#N/A</v>
      </c>
      <c r="C257" s="3275" t="e">
        <v>#N/A</v>
      </c>
      <c r="D257" s="3315" t="e">
        <v>#N/A</v>
      </c>
      <c r="E257" s="3277" t="e">
        <v>#N/A</v>
      </c>
      <c r="F257" s="3275" t="e">
        <v>#N/A</v>
      </c>
      <c r="G257" s="3276" t="e">
        <v>#N/A</v>
      </c>
      <c r="H257" s="3316" t="e">
        <v>#N/A</v>
      </c>
      <c r="I257" s="3317" t="e">
        <v>#N/A</v>
      </c>
      <c r="J257" s="3316" t="e">
        <v>#N/A</v>
      </c>
      <c r="K257" s="3318" t="e">
        <v>#N/A</v>
      </c>
      <c r="L257" s="3316" t="e">
        <v>#N/A</v>
      </c>
      <c r="M257" s="3319" t="e">
        <v>#N/A</v>
      </c>
      <c r="N257" s="3320" t="e">
        <v>#N/A</v>
      </c>
      <c r="O257" s="3279" t="e">
        <v>#N/A</v>
      </c>
      <c r="P257" s="3280" t="e">
        <v>#N/A</v>
      </c>
    </row>
    <row r="258" spans="1:16" ht="12.75" customHeight="1">
      <c r="A258" s="3252">
        <f t="shared" si="2"/>
        <v>2026.09</v>
      </c>
      <c r="B258" s="3292" t="e">
        <v>#N/A</v>
      </c>
      <c r="C258" s="3275" t="e">
        <v>#N/A</v>
      </c>
      <c r="D258" s="3315" t="e">
        <v>#N/A</v>
      </c>
      <c r="E258" s="3277" t="e">
        <v>#N/A</v>
      </c>
      <c r="F258" s="3275" t="e">
        <v>#N/A</v>
      </c>
      <c r="G258" s="3276" t="e">
        <v>#N/A</v>
      </c>
      <c r="H258" s="3316" t="e">
        <v>#N/A</v>
      </c>
      <c r="I258" s="3317" t="e">
        <v>#N/A</v>
      </c>
      <c r="J258" s="3316" t="e">
        <v>#N/A</v>
      </c>
      <c r="K258" s="3318" t="e">
        <v>#N/A</v>
      </c>
      <c r="L258" s="3316" t="e">
        <v>#N/A</v>
      </c>
      <c r="M258" s="3319" t="e">
        <v>#N/A</v>
      </c>
      <c r="N258" s="3320" t="e">
        <v>#N/A</v>
      </c>
      <c r="O258" s="3279" t="e">
        <v>#N/A</v>
      </c>
      <c r="P258" s="3280" t="e">
        <v>#N/A</v>
      </c>
    </row>
    <row r="259" spans="1:16" ht="12.75" customHeight="1">
      <c r="A259" s="3252">
        <f t="shared" si="2"/>
        <v>2026.1</v>
      </c>
      <c r="B259" s="3292" t="e">
        <v>#N/A</v>
      </c>
      <c r="C259" s="3275" t="e">
        <v>#N/A</v>
      </c>
      <c r="D259" s="3315" t="e">
        <v>#N/A</v>
      </c>
      <c r="E259" s="3277" t="e">
        <v>#N/A</v>
      </c>
      <c r="F259" s="3275" t="e">
        <v>#N/A</v>
      </c>
      <c r="G259" s="3276" t="e">
        <v>#N/A</v>
      </c>
      <c r="H259" s="3316" t="e">
        <v>#N/A</v>
      </c>
      <c r="I259" s="3317" t="e">
        <v>#N/A</v>
      </c>
      <c r="J259" s="3316" t="e">
        <v>#N/A</v>
      </c>
      <c r="K259" s="3318" t="e">
        <v>#N/A</v>
      </c>
      <c r="L259" s="3316" t="e">
        <v>#N/A</v>
      </c>
      <c r="M259" s="3319" t="e">
        <v>#N/A</v>
      </c>
      <c r="N259" s="3320" t="e">
        <v>#N/A</v>
      </c>
      <c r="O259" s="3279" t="e">
        <v>#N/A</v>
      </c>
      <c r="P259" s="3280" t="e">
        <v>#N/A</v>
      </c>
    </row>
    <row r="260" spans="1:16" ht="12.75" customHeight="1">
      <c r="A260" s="3252">
        <f t="shared" si="2"/>
        <v>2026.11</v>
      </c>
      <c r="B260" s="3292" t="e">
        <v>#N/A</v>
      </c>
      <c r="C260" s="3275" t="e">
        <v>#N/A</v>
      </c>
      <c r="D260" s="3315" t="e">
        <v>#N/A</v>
      </c>
      <c r="E260" s="3277" t="e">
        <v>#N/A</v>
      </c>
      <c r="F260" s="3275" t="e">
        <v>#N/A</v>
      </c>
      <c r="G260" s="3276" t="e">
        <v>#N/A</v>
      </c>
      <c r="H260" s="3316" t="e">
        <v>#N/A</v>
      </c>
      <c r="I260" s="3317" t="e">
        <v>#N/A</v>
      </c>
      <c r="J260" s="3316" t="e">
        <v>#N/A</v>
      </c>
      <c r="K260" s="3318" t="e">
        <v>#N/A</v>
      </c>
      <c r="L260" s="3316" t="e">
        <v>#N/A</v>
      </c>
      <c r="M260" s="3319" t="e">
        <v>#N/A</v>
      </c>
      <c r="N260" s="3320" t="e">
        <v>#N/A</v>
      </c>
      <c r="O260" s="3279" t="e">
        <v>#N/A</v>
      </c>
      <c r="P260" s="3280" t="e">
        <v>#N/A</v>
      </c>
    </row>
    <row r="261" spans="1:16" ht="12.75" customHeight="1">
      <c r="A261" s="3252">
        <f t="shared" si="2"/>
        <v>2026.12</v>
      </c>
      <c r="B261" s="3292" t="e">
        <v>#N/A</v>
      </c>
      <c r="C261" s="3275" t="e">
        <v>#N/A</v>
      </c>
      <c r="D261" s="3315" t="e">
        <v>#N/A</v>
      </c>
      <c r="E261" s="3277" t="e">
        <v>#N/A</v>
      </c>
      <c r="F261" s="3275" t="e">
        <v>#N/A</v>
      </c>
      <c r="G261" s="3276" t="e">
        <v>#N/A</v>
      </c>
      <c r="H261" s="3316" t="e">
        <v>#N/A</v>
      </c>
      <c r="I261" s="3317" t="e">
        <v>#N/A</v>
      </c>
      <c r="J261" s="3316" t="e">
        <v>#N/A</v>
      </c>
      <c r="K261" s="3318" t="e">
        <v>#N/A</v>
      </c>
      <c r="L261" s="3316" t="e">
        <v>#N/A</v>
      </c>
      <c r="M261" s="3319" t="e">
        <v>#N/A</v>
      </c>
      <c r="N261" s="3320" t="e">
        <v>#N/A</v>
      </c>
      <c r="O261" s="3279" t="e">
        <v>#N/A</v>
      </c>
      <c r="P261" s="3280" t="e">
        <v>#N/A</v>
      </c>
    </row>
    <row r="262" spans="1:16" ht="12.75" customHeight="1">
      <c r="A262" s="3252">
        <f t="shared" si="2"/>
        <v>2027.01</v>
      </c>
      <c r="B262" s="3292" t="e">
        <v>#N/A</v>
      </c>
      <c r="C262" s="3275" t="e">
        <v>#N/A</v>
      </c>
      <c r="D262" s="3315" t="e">
        <v>#N/A</v>
      </c>
      <c r="E262" s="3277" t="e">
        <v>#N/A</v>
      </c>
      <c r="F262" s="3275" t="e">
        <v>#N/A</v>
      </c>
      <c r="G262" s="3276" t="e">
        <v>#N/A</v>
      </c>
      <c r="H262" s="3316" t="e">
        <v>#N/A</v>
      </c>
      <c r="I262" s="3317" t="e">
        <v>#N/A</v>
      </c>
      <c r="J262" s="3316" t="e">
        <v>#N/A</v>
      </c>
      <c r="K262" s="3318" t="e">
        <v>#N/A</v>
      </c>
      <c r="L262" s="3316" t="e">
        <v>#N/A</v>
      </c>
      <c r="M262" s="3319" t="e">
        <v>#N/A</v>
      </c>
      <c r="N262" s="3320" t="e">
        <v>#N/A</v>
      </c>
      <c r="O262" s="3279" t="e">
        <v>#N/A</v>
      </c>
      <c r="P262" s="3280" t="e">
        <v>#N/A</v>
      </c>
    </row>
    <row r="263" spans="1:16" ht="12.75" customHeight="1">
      <c r="A263" s="3252">
        <f t="shared" si="2"/>
        <v>2027.02</v>
      </c>
      <c r="B263" s="3292" t="e">
        <v>#N/A</v>
      </c>
      <c r="C263" s="3275" t="e">
        <v>#N/A</v>
      </c>
      <c r="D263" s="3315" t="e">
        <v>#N/A</v>
      </c>
      <c r="E263" s="3277" t="e">
        <v>#N/A</v>
      </c>
      <c r="F263" s="3275" t="e">
        <v>#N/A</v>
      </c>
      <c r="G263" s="3276" t="e">
        <v>#N/A</v>
      </c>
      <c r="H263" s="3316" t="e">
        <v>#N/A</v>
      </c>
      <c r="I263" s="3317" t="e">
        <v>#N/A</v>
      </c>
      <c r="J263" s="3316" t="e">
        <v>#N/A</v>
      </c>
      <c r="K263" s="3318" t="e">
        <v>#N/A</v>
      </c>
      <c r="L263" s="3316" t="e">
        <v>#N/A</v>
      </c>
      <c r="M263" s="3319" t="e">
        <v>#N/A</v>
      </c>
      <c r="N263" s="3320" t="e">
        <v>#N/A</v>
      </c>
      <c r="O263" s="3279" t="e">
        <v>#N/A</v>
      </c>
      <c r="P263" s="3280" t="e">
        <v>#N/A</v>
      </c>
    </row>
    <row r="264" spans="1:16" ht="12.75" customHeight="1">
      <c r="A264" s="3252">
        <f t="shared" si="2"/>
        <v>2027.03</v>
      </c>
      <c r="B264" s="3292" t="e">
        <v>#N/A</v>
      </c>
      <c r="C264" s="3275" t="e">
        <v>#N/A</v>
      </c>
      <c r="D264" s="3315" t="e">
        <v>#N/A</v>
      </c>
      <c r="E264" s="3277" t="e">
        <v>#N/A</v>
      </c>
      <c r="F264" s="3275" t="e">
        <v>#N/A</v>
      </c>
      <c r="G264" s="3276" t="e">
        <v>#N/A</v>
      </c>
      <c r="H264" s="3316" t="e">
        <v>#N/A</v>
      </c>
      <c r="I264" s="3317" t="e">
        <v>#N/A</v>
      </c>
      <c r="J264" s="3316" t="e">
        <v>#N/A</v>
      </c>
      <c r="K264" s="3318" t="e">
        <v>#N/A</v>
      </c>
      <c r="L264" s="3316" t="e">
        <v>#N/A</v>
      </c>
      <c r="M264" s="3319" t="e">
        <v>#N/A</v>
      </c>
      <c r="N264" s="3320" t="e">
        <v>#N/A</v>
      </c>
      <c r="O264" s="3279" t="e">
        <v>#N/A</v>
      </c>
      <c r="P264" s="3280" t="e">
        <v>#N/A</v>
      </c>
    </row>
    <row r="265" spans="1:16" ht="12.75" customHeight="1">
      <c r="A265" s="3252">
        <f t="shared" si="2"/>
        <v>2027.04</v>
      </c>
      <c r="B265" s="3292" t="e">
        <v>#N/A</v>
      </c>
      <c r="C265" s="3275" t="e">
        <v>#N/A</v>
      </c>
      <c r="D265" s="3315" t="e">
        <v>#N/A</v>
      </c>
      <c r="E265" s="3277" t="e">
        <v>#N/A</v>
      </c>
      <c r="F265" s="3275" t="e">
        <v>#N/A</v>
      </c>
      <c r="G265" s="3276" t="e">
        <v>#N/A</v>
      </c>
      <c r="H265" s="3316" t="e">
        <v>#N/A</v>
      </c>
      <c r="I265" s="3317" t="e">
        <v>#N/A</v>
      </c>
      <c r="J265" s="3316" t="e">
        <v>#N/A</v>
      </c>
      <c r="K265" s="3318" t="e">
        <v>#N/A</v>
      </c>
      <c r="L265" s="3316" t="e">
        <v>#N/A</v>
      </c>
      <c r="M265" s="3319" t="e">
        <v>#N/A</v>
      </c>
      <c r="N265" s="3320" t="e">
        <v>#N/A</v>
      </c>
      <c r="O265" s="3279" t="e">
        <v>#N/A</v>
      </c>
      <c r="P265" s="3280" t="e">
        <v>#N/A</v>
      </c>
    </row>
    <row r="266" spans="1:16" ht="12.75" customHeight="1">
      <c r="A266" s="3252">
        <f t="shared" si="2"/>
        <v>2027.05</v>
      </c>
      <c r="B266" s="3292" t="e">
        <v>#N/A</v>
      </c>
      <c r="C266" s="3275" t="e">
        <v>#N/A</v>
      </c>
      <c r="D266" s="3315" t="e">
        <v>#N/A</v>
      </c>
      <c r="E266" s="3277" t="e">
        <v>#N/A</v>
      </c>
      <c r="F266" s="3275" t="e">
        <v>#N/A</v>
      </c>
      <c r="G266" s="3276" t="e">
        <v>#N/A</v>
      </c>
      <c r="H266" s="3316" t="e">
        <v>#N/A</v>
      </c>
      <c r="I266" s="3317" t="e">
        <v>#N/A</v>
      </c>
      <c r="J266" s="3316" t="e">
        <v>#N/A</v>
      </c>
      <c r="K266" s="3318" t="e">
        <v>#N/A</v>
      </c>
      <c r="L266" s="3316" t="e">
        <v>#N/A</v>
      </c>
      <c r="M266" s="3319" t="e">
        <v>#N/A</v>
      </c>
      <c r="N266" s="3320" t="e">
        <v>#N/A</v>
      </c>
      <c r="O266" s="3279" t="e">
        <v>#N/A</v>
      </c>
      <c r="P266" s="3280" t="e">
        <v>#N/A</v>
      </c>
    </row>
    <row r="267" spans="1:16" ht="12.75" customHeight="1">
      <c r="A267" s="3252">
        <f t="shared" si="2"/>
        <v>2027.06</v>
      </c>
      <c r="B267" s="3292" t="e">
        <v>#N/A</v>
      </c>
      <c r="C267" s="3275" t="e">
        <v>#N/A</v>
      </c>
      <c r="D267" s="3315" t="e">
        <v>#N/A</v>
      </c>
      <c r="E267" s="3277" t="e">
        <v>#N/A</v>
      </c>
      <c r="F267" s="3275" t="e">
        <v>#N/A</v>
      </c>
      <c r="G267" s="3276" t="e">
        <v>#N/A</v>
      </c>
      <c r="H267" s="3316" t="e">
        <v>#N/A</v>
      </c>
      <c r="I267" s="3317" t="e">
        <v>#N/A</v>
      </c>
      <c r="J267" s="3316" t="e">
        <v>#N/A</v>
      </c>
      <c r="K267" s="3318" t="e">
        <v>#N/A</v>
      </c>
      <c r="L267" s="3316" t="e">
        <v>#N/A</v>
      </c>
      <c r="M267" s="3319" t="e">
        <v>#N/A</v>
      </c>
      <c r="N267" s="3320" t="e">
        <v>#N/A</v>
      </c>
      <c r="O267" s="3279" t="e">
        <v>#N/A</v>
      </c>
      <c r="P267" s="3280" t="e">
        <v>#N/A</v>
      </c>
    </row>
    <row r="268" spans="1:16" ht="12.75" customHeight="1">
      <c r="A268" s="3252">
        <f t="shared" si="2"/>
        <v>2027.07</v>
      </c>
      <c r="B268" s="3292" t="e">
        <v>#N/A</v>
      </c>
      <c r="C268" s="3275" t="e">
        <v>#N/A</v>
      </c>
      <c r="D268" s="3315" t="e">
        <v>#N/A</v>
      </c>
      <c r="E268" s="3277" t="e">
        <v>#N/A</v>
      </c>
      <c r="F268" s="3275" t="e">
        <v>#N/A</v>
      </c>
      <c r="G268" s="3276" t="e">
        <v>#N/A</v>
      </c>
      <c r="H268" s="3316" t="e">
        <v>#N/A</v>
      </c>
      <c r="I268" s="3317" t="e">
        <v>#N/A</v>
      </c>
      <c r="J268" s="3316" t="e">
        <v>#N/A</v>
      </c>
      <c r="K268" s="3318" t="e">
        <v>#N/A</v>
      </c>
      <c r="L268" s="3316" t="e">
        <v>#N/A</v>
      </c>
      <c r="M268" s="3319" t="e">
        <v>#N/A</v>
      </c>
      <c r="N268" s="3320" t="e">
        <v>#N/A</v>
      </c>
      <c r="O268" s="3279" t="e">
        <v>#N/A</v>
      </c>
      <c r="P268" s="3280" t="e">
        <v>#N/A</v>
      </c>
    </row>
    <row r="269" spans="1:16" ht="12.75" customHeight="1">
      <c r="A269" s="3252">
        <f t="shared" si="2"/>
        <v>2027.08</v>
      </c>
      <c r="B269" s="3292" t="e">
        <v>#N/A</v>
      </c>
      <c r="C269" s="3275" t="e">
        <v>#N/A</v>
      </c>
      <c r="D269" s="3315" t="e">
        <v>#N/A</v>
      </c>
      <c r="E269" s="3277" t="e">
        <v>#N/A</v>
      </c>
      <c r="F269" s="3275" t="e">
        <v>#N/A</v>
      </c>
      <c r="G269" s="3276" t="e">
        <v>#N/A</v>
      </c>
      <c r="H269" s="3316" t="e">
        <v>#N/A</v>
      </c>
      <c r="I269" s="3317" t="e">
        <v>#N/A</v>
      </c>
      <c r="J269" s="3316" t="e">
        <v>#N/A</v>
      </c>
      <c r="K269" s="3318" t="e">
        <v>#N/A</v>
      </c>
      <c r="L269" s="3316" t="e">
        <v>#N/A</v>
      </c>
      <c r="M269" s="3319" t="e">
        <v>#N/A</v>
      </c>
      <c r="N269" s="3320" t="e">
        <v>#N/A</v>
      </c>
      <c r="O269" s="3279" t="e">
        <v>#N/A</v>
      </c>
      <c r="P269" s="3280" t="e">
        <v>#N/A</v>
      </c>
    </row>
    <row r="270" spans="1:16" ht="12.75" customHeight="1">
      <c r="A270" s="3252">
        <f t="shared" si="2"/>
        <v>2027.09</v>
      </c>
      <c r="B270" s="3292" t="e">
        <v>#N/A</v>
      </c>
      <c r="C270" s="3275" t="e">
        <v>#N/A</v>
      </c>
      <c r="D270" s="3315" t="e">
        <v>#N/A</v>
      </c>
      <c r="E270" s="3277" t="e">
        <v>#N/A</v>
      </c>
      <c r="F270" s="3275" t="e">
        <v>#N/A</v>
      </c>
      <c r="G270" s="3276" t="e">
        <v>#N/A</v>
      </c>
      <c r="H270" s="3316" t="e">
        <v>#N/A</v>
      </c>
      <c r="I270" s="3317" t="e">
        <v>#N/A</v>
      </c>
      <c r="J270" s="3316" t="e">
        <v>#N/A</v>
      </c>
      <c r="K270" s="3318" t="e">
        <v>#N/A</v>
      </c>
      <c r="L270" s="3316" t="e">
        <v>#N/A</v>
      </c>
      <c r="M270" s="3319" t="e">
        <v>#N/A</v>
      </c>
      <c r="N270" s="3320" t="e">
        <v>#N/A</v>
      </c>
      <c r="O270" s="3279" t="e">
        <v>#N/A</v>
      </c>
      <c r="P270" s="3280" t="e">
        <v>#N/A</v>
      </c>
    </row>
    <row r="271" spans="1:16" ht="12.75" customHeight="1">
      <c r="A271" s="3252">
        <f t="shared" si="2"/>
        <v>2027.1</v>
      </c>
      <c r="B271" s="3292" t="e">
        <v>#N/A</v>
      </c>
      <c r="C271" s="3275" t="e">
        <v>#N/A</v>
      </c>
      <c r="D271" s="3315" t="e">
        <v>#N/A</v>
      </c>
      <c r="E271" s="3277" t="e">
        <v>#N/A</v>
      </c>
      <c r="F271" s="3275" t="e">
        <v>#N/A</v>
      </c>
      <c r="G271" s="3276" t="e">
        <v>#N/A</v>
      </c>
      <c r="H271" s="3316" t="e">
        <v>#N/A</v>
      </c>
      <c r="I271" s="3317" t="e">
        <v>#N/A</v>
      </c>
      <c r="J271" s="3316" t="e">
        <v>#N/A</v>
      </c>
      <c r="K271" s="3318" t="e">
        <v>#N/A</v>
      </c>
      <c r="L271" s="3316" t="e">
        <v>#N/A</v>
      </c>
      <c r="M271" s="3319" t="e">
        <v>#N/A</v>
      </c>
      <c r="N271" s="3320" t="e">
        <v>#N/A</v>
      </c>
      <c r="O271" s="3279" t="e">
        <v>#N/A</v>
      </c>
      <c r="P271" s="3280" t="e">
        <v>#N/A</v>
      </c>
    </row>
    <row r="272" spans="1:16" ht="12.75" customHeight="1">
      <c r="A272" s="3252">
        <f t="shared" si="2"/>
        <v>2027.11</v>
      </c>
      <c r="B272" s="3292" t="e">
        <v>#N/A</v>
      </c>
      <c r="C272" s="3275" t="e">
        <v>#N/A</v>
      </c>
      <c r="D272" s="3315" t="e">
        <v>#N/A</v>
      </c>
      <c r="E272" s="3277" t="e">
        <v>#N/A</v>
      </c>
      <c r="F272" s="3275" t="e">
        <v>#N/A</v>
      </c>
      <c r="G272" s="3276" t="e">
        <v>#N/A</v>
      </c>
      <c r="H272" s="3316" t="e">
        <v>#N/A</v>
      </c>
      <c r="I272" s="3317" t="e">
        <v>#N/A</v>
      </c>
      <c r="J272" s="3316" t="e">
        <v>#N/A</v>
      </c>
      <c r="K272" s="3318" t="e">
        <v>#N/A</v>
      </c>
      <c r="L272" s="3316" t="e">
        <v>#N/A</v>
      </c>
      <c r="M272" s="3319" t="e">
        <v>#N/A</v>
      </c>
      <c r="N272" s="3320" t="e">
        <v>#N/A</v>
      </c>
      <c r="O272" s="3279" t="e">
        <v>#N/A</v>
      </c>
      <c r="P272" s="3280" t="e">
        <v>#N/A</v>
      </c>
    </row>
    <row r="273" spans="1:16" ht="12.75" customHeight="1">
      <c r="A273" s="3252">
        <f t="shared" si="2"/>
        <v>2027.12</v>
      </c>
      <c r="B273" s="3292" t="e">
        <v>#N/A</v>
      </c>
      <c r="C273" s="3275" t="e">
        <v>#N/A</v>
      </c>
      <c r="D273" s="3315" t="e">
        <v>#N/A</v>
      </c>
      <c r="E273" s="3277" t="e">
        <v>#N/A</v>
      </c>
      <c r="F273" s="3275" t="e">
        <v>#N/A</v>
      </c>
      <c r="G273" s="3276" t="e">
        <v>#N/A</v>
      </c>
      <c r="H273" s="3316" t="e">
        <v>#N/A</v>
      </c>
      <c r="I273" s="3317" t="e">
        <v>#N/A</v>
      </c>
      <c r="J273" s="3316" t="e">
        <v>#N/A</v>
      </c>
      <c r="K273" s="3318" t="e">
        <v>#N/A</v>
      </c>
      <c r="L273" s="3316" t="e">
        <v>#N/A</v>
      </c>
      <c r="M273" s="3319" t="e">
        <v>#N/A</v>
      </c>
      <c r="N273" s="3320" t="e">
        <v>#N/A</v>
      </c>
      <c r="O273" s="3279" t="e">
        <v>#N/A</v>
      </c>
      <c r="P273" s="3280" t="e">
        <v>#N/A</v>
      </c>
    </row>
    <row r="274" spans="1:16" ht="12.75" customHeight="1">
      <c r="A274" s="3252">
        <f t="shared" si="2"/>
        <v>2028.01</v>
      </c>
      <c r="B274" s="3292" t="e">
        <v>#N/A</v>
      </c>
      <c r="C274" s="3275" t="e">
        <v>#N/A</v>
      </c>
      <c r="D274" s="3315" t="e">
        <v>#N/A</v>
      </c>
      <c r="E274" s="3277" t="e">
        <v>#N/A</v>
      </c>
      <c r="F274" s="3275" t="e">
        <v>#N/A</v>
      </c>
      <c r="G274" s="3276" t="e">
        <v>#N/A</v>
      </c>
      <c r="H274" s="3316" t="e">
        <v>#N/A</v>
      </c>
      <c r="I274" s="3317" t="e">
        <v>#N/A</v>
      </c>
      <c r="J274" s="3316" t="e">
        <v>#N/A</v>
      </c>
      <c r="K274" s="3318" t="e">
        <v>#N/A</v>
      </c>
      <c r="L274" s="3316" t="e">
        <v>#N/A</v>
      </c>
      <c r="M274" s="3319" t="e">
        <v>#N/A</v>
      </c>
      <c r="N274" s="3320" t="e">
        <v>#N/A</v>
      </c>
      <c r="O274" s="3279" t="e">
        <v>#N/A</v>
      </c>
      <c r="P274" s="3280" t="e">
        <v>#N/A</v>
      </c>
    </row>
    <row r="275" spans="1:16" ht="12.75" customHeight="1">
      <c r="A275" s="3252">
        <f t="shared" si="2"/>
        <v>2028.02</v>
      </c>
      <c r="B275" s="3292" t="e">
        <v>#N/A</v>
      </c>
      <c r="C275" s="3275" t="e">
        <v>#N/A</v>
      </c>
      <c r="D275" s="3315" t="e">
        <v>#N/A</v>
      </c>
      <c r="E275" s="3277" t="e">
        <v>#N/A</v>
      </c>
      <c r="F275" s="3275" t="e">
        <v>#N/A</v>
      </c>
      <c r="G275" s="3276" t="e">
        <v>#N/A</v>
      </c>
      <c r="H275" s="3316" t="e">
        <v>#N/A</v>
      </c>
      <c r="I275" s="3317" t="e">
        <v>#N/A</v>
      </c>
      <c r="J275" s="3316" t="e">
        <v>#N/A</v>
      </c>
      <c r="K275" s="3318" t="e">
        <v>#N/A</v>
      </c>
      <c r="L275" s="3316" t="e">
        <v>#N/A</v>
      </c>
      <c r="M275" s="3319" t="e">
        <v>#N/A</v>
      </c>
      <c r="N275" s="3320" t="e">
        <v>#N/A</v>
      </c>
      <c r="O275" s="3279" t="e">
        <v>#N/A</v>
      </c>
      <c r="P275" s="3280" t="e">
        <v>#N/A</v>
      </c>
    </row>
    <row r="276" spans="1:16" ht="12.75" customHeight="1">
      <c r="A276" s="3252">
        <f t="shared" si="2"/>
        <v>2028.03</v>
      </c>
      <c r="B276" s="3292" t="e">
        <v>#N/A</v>
      </c>
      <c r="C276" s="3275" t="e">
        <v>#N/A</v>
      </c>
      <c r="D276" s="3315" t="e">
        <v>#N/A</v>
      </c>
      <c r="E276" s="3277" t="e">
        <v>#N/A</v>
      </c>
      <c r="F276" s="3275" t="e">
        <v>#N/A</v>
      </c>
      <c r="G276" s="3276" t="e">
        <v>#N/A</v>
      </c>
      <c r="H276" s="3316" t="e">
        <v>#N/A</v>
      </c>
      <c r="I276" s="3317" t="e">
        <v>#N/A</v>
      </c>
      <c r="J276" s="3316" t="e">
        <v>#N/A</v>
      </c>
      <c r="K276" s="3318" t="e">
        <v>#N/A</v>
      </c>
      <c r="L276" s="3316" t="e">
        <v>#N/A</v>
      </c>
      <c r="M276" s="3319" t="e">
        <v>#N/A</v>
      </c>
      <c r="N276" s="3320" t="e">
        <v>#N/A</v>
      </c>
      <c r="O276" s="3279" t="e">
        <v>#N/A</v>
      </c>
      <c r="P276" s="3280" t="e">
        <v>#N/A</v>
      </c>
    </row>
    <row r="277" spans="1:16" ht="12.75" customHeight="1">
      <c r="A277" s="3252">
        <f t="shared" si="2"/>
        <v>2028.04</v>
      </c>
      <c r="B277" s="3292" t="e">
        <v>#N/A</v>
      </c>
      <c r="C277" s="3275" t="e">
        <v>#N/A</v>
      </c>
      <c r="D277" s="3315" t="e">
        <v>#N/A</v>
      </c>
      <c r="E277" s="3277" t="e">
        <v>#N/A</v>
      </c>
      <c r="F277" s="3275" t="e">
        <v>#N/A</v>
      </c>
      <c r="G277" s="3276" t="e">
        <v>#N/A</v>
      </c>
      <c r="H277" s="3316" t="e">
        <v>#N/A</v>
      </c>
      <c r="I277" s="3317" t="e">
        <v>#N/A</v>
      </c>
      <c r="J277" s="3316" t="e">
        <v>#N/A</v>
      </c>
      <c r="K277" s="3318" t="e">
        <v>#N/A</v>
      </c>
      <c r="L277" s="3316" t="e">
        <v>#N/A</v>
      </c>
      <c r="M277" s="3319" t="e">
        <v>#N/A</v>
      </c>
      <c r="N277" s="3320" t="e">
        <v>#N/A</v>
      </c>
      <c r="O277" s="3279" t="e">
        <v>#N/A</v>
      </c>
      <c r="P277" s="3280" t="e">
        <v>#N/A</v>
      </c>
    </row>
    <row r="278" spans="1:16" ht="12.75" customHeight="1">
      <c r="A278" s="3252">
        <f t="shared" si="2"/>
        <v>2028.05</v>
      </c>
      <c r="B278" s="3292" t="e">
        <v>#N/A</v>
      </c>
      <c r="C278" s="3275" t="e">
        <v>#N/A</v>
      </c>
      <c r="D278" s="3315" t="e">
        <v>#N/A</v>
      </c>
      <c r="E278" s="3277" t="e">
        <v>#N/A</v>
      </c>
      <c r="F278" s="3275" t="e">
        <v>#N/A</v>
      </c>
      <c r="G278" s="3276" t="e">
        <v>#N/A</v>
      </c>
      <c r="H278" s="3316" t="e">
        <v>#N/A</v>
      </c>
      <c r="I278" s="3317" t="e">
        <v>#N/A</v>
      </c>
      <c r="J278" s="3316" t="e">
        <v>#N/A</v>
      </c>
      <c r="K278" s="3318" t="e">
        <v>#N/A</v>
      </c>
      <c r="L278" s="3316" t="e">
        <v>#N/A</v>
      </c>
      <c r="M278" s="3319" t="e">
        <v>#N/A</v>
      </c>
      <c r="N278" s="3320" t="e">
        <v>#N/A</v>
      </c>
      <c r="O278" s="3279" t="e">
        <v>#N/A</v>
      </c>
      <c r="P278" s="3280" t="e">
        <v>#N/A</v>
      </c>
    </row>
    <row r="279" spans="1:16" ht="12.75" customHeight="1">
      <c r="A279" s="3252">
        <f t="shared" si="2"/>
        <v>2028.06</v>
      </c>
      <c r="B279" s="3292" t="e">
        <v>#N/A</v>
      </c>
      <c r="C279" s="3275" t="e">
        <v>#N/A</v>
      </c>
      <c r="D279" s="3315" t="e">
        <v>#N/A</v>
      </c>
      <c r="E279" s="3277" t="e">
        <v>#N/A</v>
      </c>
      <c r="F279" s="3275" t="e">
        <v>#N/A</v>
      </c>
      <c r="G279" s="3276" t="e">
        <v>#N/A</v>
      </c>
      <c r="H279" s="3316" t="e">
        <v>#N/A</v>
      </c>
      <c r="I279" s="3317" t="e">
        <v>#N/A</v>
      </c>
      <c r="J279" s="3316" t="e">
        <v>#N/A</v>
      </c>
      <c r="K279" s="3318" t="e">
        <v>#N/A</v>
      </c>
      <c r="L279" s="3316" t="e">
        <v>#N/A</v>
      </c>
      <c r="M279" s="3319" t="e">
        <v>#N/A</v>
      </c>
      <c r="N279" s="3320" t="e">
        <v>#N/A</v>
      </c>
      <c r="O279" s="3279" t="e">
        <v>#N/A</v>
      </c>
      <c r="P279" s="3280" t="e">
        <v>#N/A</v>
      </c>
    </row>
    <row r="280" spans="1:16" ht="12.75" customHeight="1">
      <c r="A280" s="3252">
        <f t="shared" si="2"/>
        <v>2028.07</v>
      </c>
      <c r="B280" s="3292" t="e">
        <v>#N/A</v>
      </c>
      <c r="C280" s="3275" t="e">
        <v>#N/A</v>
      </c>
      <c r="D280" s="3315" t="e">
        <v>#N/A</v>
      </c>
      <c r="E280" s="3277" t="e">
        <v>#N/A</v>
      </c>
      <c r="F280" s="3275" t="e">
        <v>#N/A</v>
      </c>
      <c r="G280" s="3276" t="e">
        <v>#N/A</v>
      </c>
      <c r="H280" s="3316" t="e">
        <v>#N/A</v>
      </c>
      <c r="I280" s="3317" t="e">
        <v>#N/A</v>
      </c>
      <c r="J280" s="3316" t="e">
        <v>#N/A</v>
      </c>
      <c r="K280" s="3318" t="e">
        <v>#N/A</v>
      </c>
      <c r="L280" s="3316" t="e">
        <v>#N/A</v>
      </c>
      <c r="M280" s="3319" t="e">
        <v>#N/A</v>
      </c>
      <c r="N280" s="3320" t="e">
        <v>#N/A</v>
      </c>
      <c r="O280" s="3279" t="e">
        <v>#N/A</v>
      </c>
      <c r="P280" s="3280" t="e">
        <v>#N/A</v>
      </c>
    </row>
    <row r="281" spans="1:16" ht="12.75" customHeight="1">
      <c r="A281" s="3252">
        <f t="shared" si="2"/>
        <v>2028.08</v>
      </c>
      <c r="B281" s="3292" t="e">
        <v>#N/A</v>
      </c>
      <c r="C281" s="3275" t="e">
        <v>#N/A</v>
      </c>
      <c r="D281" s="3315" t="e">
        <v>#N/A</v>
      </c>
      <c r="E281" s="3277" t="e">
        <v>#N/A</v>
      </c>
      <c r="F281" s="3275" t="e">
        <v>#N/A</v>
      </c>
      <c r="G281" s="3276" t="e">
        <v>#N/A</v>
      </c>
      <c r="H281" s="3316" t="e">
        <v>#N/A</v>
      </c>
      <c r="I281" s="3317" t="e">
        <v>#N/A</v>
      </c>
      <c r="J281" s="3316" t="e">
        <v>#N/A</v>
      </c>
      <c r="K281" s="3318" t="e">
        <v>#N/A</v>
      </c>
      <c r="L281" s="3316" t="e">
        <v>#N/A</v>
      </c>
      <c r="M281" s="3319" t="e">
        <v>#N/A</v>
      </c>
      <c r="N281" s="3320" t="e">
        <v>#N/A</v>
      </c>
      <c r="O281" s="3279" t="e">
        <v>#N/A</v>
      </c>
      <c r="P281" s="3280" t="e">
        <v>#N/A</v>
      </c>
    </row>
    <row r="282" spans="1:16" ht="12.75" customHeight="1">
      <c r="A282" s="3252">
        <f t="shared" si="2"/>
        <v>2028.09</v>
      </c>
      <c r="B282" s="3292" t="e">
        <v>#N/A</v>
      </c>
      <c r="C282" s="3275" t="e">
        <v>#N/A</v>
      </c>
      <c r="D282" s="3315" t="e">
        <v>#N/A</v>
      </c>
      <c r="E282" s="3277" t="e">
        <v>#N/A</v>
      </c>
      <c r="F282" s="3275" t="e">
        <v>#N/A</v>
      </c>
      <c r="G282" s="3276" t="e">
        <v>#N/A</v>
      </c>
      <c r="H282" s="3316" t="e">
        <v>#N/A</v>
      </c>
      <c r="I282" s="3317" t="e">
        <v>#N/A</v>
      </c>
      <c r="J282" s="3316" t="e">
        <v>#N/A</v>
      </c>
      <c r="K282" s="3318" t="e">
        <v>#N/A</v>
      </c>
      <c r="L282" s="3316" t="e">
        <v>#N/A</v>
      </c>
      <c r="M282" s="3319" t="e">
        <v>#N/A</v>
      </c>
      <c r="N282" s="3320" t="e">
        <v>#N/A</v>
      </c>
      <c r="O282" s="3279" t="e">
        <v>#N/A</v>
      </c>
      <c r="P282" s="3280" t="e">
        <v>#N/A</v>
      </c>
    </row>
    <row r="283" spans="1:16" ht="12.75" customHeight="1">
      <c r="A283" s="3252">
        <f t="shared" si="2"/>
        <v>2028.1</v>
      </c>
      <c r="B283" s="3292" t="e">
        <v>#N/A</v>
      </c>
      <c r="C283" s="3275" t="e">
        <v>#N/A</v>
      </c>
      <c r="D283" s="3315" t="e">
        <v>#N/A</v>
      </c>
      <c r="E283" s="3277" t="e">
        <v>#N/A</v>
      </c>
      <c r="F283" s="3275" t="e">
        <v>#N/A</v>
      </c>
      <c r="G283" s="3276" t="e">
        <v>#N/A</v>
      </c>
      <c r="H283" s="3316" t="e">
        <v>#N/A</v>
      </c>
      <c r="I283" s="3317" t="e">
        <v>#N/A</v>
      </c>
      <c r="J283" s="3316" t="e">
        <v>#N/A</v>
      </c>
      <c r="K283" s="3318" t="e">
        <v>#N/A</v>
      </c>
      <c r="L283" s="3316" t="e">
        <v>#N/A</v>
      </c>
      <c r="M283" s="3319" t="e">
        <v>#N/A</v>
      </c>
      <c r="N283" s="3320" t="e">
        <v>#N/A</v>
      </c>
      <c r="O283" s="3279" t="e">
        <v>#N/A</v>
      </c>
      <c r="P283" s="3280" t="e">
        <v>#N/A</v>
      </c>
    </row>
    <row r="284" spans="1:16" ht="12.75" customHeight="1">
      <c r="A284" s="3252">
        <f t="shared" si="2"/>
        <v>2028.11</v>
      </c>
      <c r="B284" s="3292" t="e">
        <v>#N/A</v>
      </c>
      <c r="C284" s="3275" t="e">
        <v>#N/A</v>
      </c>
      <c r="D284" s="3315" t="e">
        <v>#N/A</v>
      </c>
      <c r="E284" s="3277" t="e">
        <v>#N/A</v>
      </c>
      <c r="F284" s="3275" t="e">
        <v>#N/A</v>
      </c>
      <c r="G284" s="3276" t="e">
        <v>#N/A</v>
      </c>
      <c r="H284" s="3316" t="e">
        <v>#N/A</v>
      </c>
      <c r="I284" s="3317" t="e">
        <v>#N/A</v>
      </c>
      <c r="J284" s="3316" t="e">
        <v>#N/A</v>
      </c>
      <c r="K284" s="3318" t="e">
        <v>#N/A</v>
      </c>
      <c r="L284" s="3316" t="e">
        <v>#N/A</v>
      </c>
      <c r="M284" s="3319" t="e">
        <v>#N/A</v>
      </c>
      <c r="N284" s="3320" t="e">
        <v>#N/A</v>
      </c>
      <c r="O284" s="3279" t="e">
        <v>#N/A</v>
      </c>
      <c r="P284" s="3280" t="e">
        <v>#N/A</v>
      </c>
    </row>
    <row r="285" spans="1:16" ht="12.75" customHeight="1">
      <c r="A285" s="3252">
        <f t="shared" si="2"/>
        <v>2028.12</v>
      </c>
      <c r="B285" s="3292" t="e">
        <v>#N/A</v>
      </c>
      <c r="C285" s="3275" t="e">
        <v>#N/A</v>
      </c>
      <c r="D285" s="3315" t="e">
        <v>#N/A</v>
      </c>
      <c r="E285" s="3277" t="e">
        <v>#N/A</v>
      </c>
      <c r="F285" s="3275" t="e">
        <v>#N/A</v>
      </c>
      <c r="G285" s="3276" t="e">
        <v>#N/A</v>
      </c>
      <c r="H285" s="3316" t="e">
        <v>#N/A</v>
      </c>
      <c r="I285" s="3317" t="e">
        <v>#N/A</v>
      </c>
      <c r="J285" s="3316" t="e">
        <v>#N/A</v>
      </c>
      <c r="K285" s="3318" t="e">
        <v>#N/A</v>
      </c>
      <c r="L285" s="3316" t="e">
        <v>#N/A</v>
      </c>
      <c r="M285" s="3319" t="e">
        <v>#N/A</v>
      </c>
      <c r="N285" s="3320" t="e">
        <v>#N/A</v>
      </c>
      <c r="O285" s="3279" t="e">
        <v>#N/A</v>
      </c>
      <c r="P285" s="3280" t="e">
        <v>#N/A</v>
      </c>
    </row>
    <row r="286" spans="1:16" ht="12.75" customHeight="1">
      <c r="A286" s="3252">
        <f t="shared" si="2"/>
        <v>2029.01</v>
      </c>
      <c r="B286" s="3292" t="e">
        <v>#N/A</v>
      </c>
      <c r="C286" s="3275" t="e">
        <v>#N/A</v>
      </c>
      <c r="D286" s="3315" t="e">
        <v>#N/A</v>
      </c>
      <c r="E286" s="3277" t="e">
        <v>#N/A</v>
      </c>
      <c r="F286" s="3275" t="e">
        <v>#N/A</v>
      </c>
      <c r="G286" s="3276" t="e">
        <v>#N/A</v>
      </c>
      <c r="H286" s="3316" t="e">
        <v>#N/A</v>
      </c>
      <c r="I286" s="3317" t="e">
        <v>#N/A</v>
      </c>
      <c r="J286" s="3316" t="e">
        <v>#N/A</v>
      </c>
      <c r="K286" s="3318" t="e">
        <v>#N/A</v>
      </c>
      <c r="L286" s="3316" t="e">
        <v>#N/A</v>
      </c>
      <c r="M286" s="3319" t="e">
        <v>#N/A</v>
      </c>
      <c r="N286" s="3320" t="e">
        <v>#N/A</v>
      </c>
      <c r="O286" s="3279" t="e">
        <v>#N/A</v>
      </c>
      <c r="P286" s="3280" t="e">
        <v>#N/A</v>
      </c>
    </row>
    <row r="287" spans="1:16" ht="12.75" customHeight="1">
      <c r="A287" s="3252">
        <f t="shared" si="2"/>
        <v>2029.02</v>
      </c>
      <c r="B287" s="3292" t="e">
        <v>#N/A</v>
      </c>
      <c r="C287" s="3275" t="e">
        <v>#N/A</v>
      </c>
      <c r="D287" s="3315" t="e">
        <v>#N/A</v>
      </c>
      <c r="E287" s="3277" t="e">
        <v>#N/A</v>
      </c>
      <c r="F287" s="3275" t="e">
        <v>#N/A</v>
      </c>
      <c r="G287" s="3276" t="e">
        <v>#N/A</v>
      </c>
      <c r="H287" s="3316" t="e">
        <v>#N/A</v>
      </c>
      <c r="I287" s="3317" t="e">
        <v>#N/A</v>
      </c>
      <c r="J287" s="3316" t="e">
        <v>#N/A</v>
      </c>
      <c r="K287" s="3318" t="e">
        <v>#N/A</v>
      </c>
      <c r="L287" s="3316" t="e">
        <v>#N/A</v>
      </c>
      <c r="M287" s="3319" t="e">
        <v>#N/A</v>
      </c>
      <c r="N287" s="3320" t="e">
        <v>#N/A</v>
      </c>
      <c r="O287" s="3279" t="e">
        <v>#N/A</v>
      </c>
      <c r="P287" s="3280" t="e">
        <v>#N/A</v>
      </c>
    </row>
    <row r="288" spans="1:16" ht="12.75" customHeight="1">
      <c r="A288" s="3252">
        <f t="shared" si="2"/>
        <v>2029.03</v>
      </c>
      <c r="B288" s="3292" t="e">
        <v>#N/A</v>
      </c>
      <c r="C288" s="3275" t="e">
        <v>#N/A</v>
      </c>
      <c r="D288" s="3315" t="e">
        <v>#N/A</v>
      </c>
      <c r="E288" s="3277" t="e">
        <v>#N/A</v>
      </c>
      <c r="F288" s="3275" t="e">
        <v>#N/A</v>
      </c>
      <c r="G288" s="3276" t="e">
        <v>#N/A</v>
      </c>
      <c r="H288" s="3316" t="e">
        <v>#N/A</v>
      </c>
      <c r="I288" s="3317" t="e">
        <v>#N/A</v>
      </c>
      <c r="J288" s="3316" t="e">
        <v>#N/A</v>
      </c>
      <c r="K288" s="3318" t="e">
        <v>#N/A</v>
      </c>
      <c r="L288" s="3316" t="e">
        <v>#N/A</v>
      </c>
      <c r="M288" s="3319" t="e">
        <v>#N/A</v>
      </c>
      <c r="N288" s="3320" t="e">
        <v>#N/A</v>
      </c>
      <c r="O288" s="3279" t="e">
        <v>#N/A</v>
      </c>
      <c r="P288" s="3280" t="e">
        <v>#N/A</v>
      </c>
    </row>
    <row r="289" spans="1:16" ht="12.75" customHeight="1">
      <c r="A289" s="3252">
        <f t="shared" si="2"/>
        <v>2029.04</v>
      </c>
      <c r="B289" s="3292" t="e">
        <v>#N/A</v>
      </c>
      <c r="C289" s="3275" t="e">
        <v>#N/A</v>
      </c>
      <c r="D289" s="3315" t="e">
        <v>#N/A</v>
      </c>
      <c r="E289" s="3277" t="e">
        <v>#N/A</v>
      </c>
      <c r="F289" s="3275" t="e">
        <v>#N/A</v>
      </c>
      <c r="G289" s="3276" t="e">
        <v>#N/A</v>
      </c>
      <c r="H289" s="3316" t="e">
        <v>#N/A</v>
      </c>
      <c r="I289" s="3317" t="e">
        <v>#N/A</v>
      </c>
      <c r="J289" s="3316" t="e">
        <v>#N/A</v>
      </c>
      <c r="K289" s="3318" t="e">
        <v>#N/A</v>
      </c>
      <c r="L289" s="3316" t="e">
        <v>#N/A</v>
      </c>
      <c r="M289" s="3319" t="e">
        <v>#N/A</v>
      </c>
      <c r="N289" s="3320" t="e">
        <v>#N/A</v>
      </c>
      <c r="O289" s="3279" t="e">
        <v>#N/A</v>
      </c>
      <c r="P289" s="3280" t="e">
        <v>#N/A</v>
      </c>
    </row>
    <row r="290" spans="1:16" ht="12.75" customHeight="1">
      <c r="A290" s="3252">
        <f t="shared" si="2"/>
        <v>2029.05</v>
      </c>
      <c r="B290" s="3292" t="e">
        <v>#N/A</v>
      </c>
      <c r="C290" s="3275" t="e">
        <v>#N/A</v>
      </c>
      <c r="D290" s="3315" t="e">
        <v>#N/A</v>
      </c>
      <c r="E290" s="3277" t="e">
        <v>#N/A</v>
      </c>
      <c r="F290" s="3275" t="e">
        <v>#N/A</v>
      </c>
      <c r="G290" s="3276" t="e">
        <v>#N/A</v>
      </c>
      <c r="H290" s="3316" t="e">
        <v>#N/A</v>
      </c>
      <c r="I290" s="3317" t="e">
        <v>#N/A</v>
      </c>
      <c r="J290" s="3316" t="e">
        <v>#N/A</v>
      </c>
      <c r="K290" s="3318" t="e">
        <v>#N/A</v>
      </c>
      <c r="L290" s="3316" t="e">
        <v>#N/A</v>
      </c>
      <c r="M290" s="3319" t="e">
        <v>#N/A</v>
      </c>
      <c r="N290" s="3320" t="e">
        <v>#N/A</v>
      </c>
      <c r="O290" s="3279" t="e">
        <v>#N/A</v>
      </c>
      <c r="P290" s="3280" t="e">
        <v>#N/A</v>
      </c>
    </row>
    <row r="291" spans="1:16" ht="12.75" customHeight="1">
      <c r="A291" s="3252">
        <f t="shared" si="2"/>
        <v>2029.06</v>
      </c>
      <c r="B291" s="3292" t="e">
        <v>#N/A</v>
      </c>
      <c r="C291" s="3275" t="e">
        <v>#N/A</v>
      </c>
      <c r="D291" s="3315" t="e">
        <v>#N/A</v>
      </c>
      <c r="E291" s="3277" t="e">
        <v>#N/A</v>
      </c>
      <c r="F291" s="3275" t="e">
        <v>#N/A</v>
      </c>
      <c r="G291" s="3276" t="e">
        <v>#N/A</v>
      </c>
      <c r="H291" s="3316" t="e">
        <v>#N/A</v>
      </c>
      <c r="I291" s="3317" t="e">
        <v>#N/A</v>
      </c>
      <c r="J291" s="3316" t="e">
        <v>#N/A</v>
      </c>
      <c r="K291" s="3318" t="e">
        <v>#N/A</v>
      </c>
      <c r="L291" s="3316" t="e">
        <v>#N/A</v>
      </c>
      <c r="M291" s="3319" t="e">
        <v>#N/A</v>
      </c>
      <c r="N291" s="3320" t="e">
        <v>#N/A</v>
      </c>
      <c r="O291" s="3279" t="e">
        <v>#N/A</v>
      </c>
      <c r="P291" s="3280" t="e">
        <v>#N/A</v>
      </c>
    </row>
    <row r="292" spans="1:16" ht="12.75" customHeight="1">
      <c r="A292" s="3252">
        <f t="shared" si="2"/>
        <v>2029.07</v>
      </c>
      <c r="B292" s="3292" t="e">
        <v>#N/A</v>
      </c>
      <c r="C292" s="3275" t="e">
        <v>#N/A</v>
      </c>
      <c r="D292" s="3315" t="e">
        <v>#N/A</v>
      </c>
      <c r="E292" s="3277" t="e">
        <v>#N/A</v>
      </c>
      <c r="F292" s="3275" t="e">
        <v>#N/A</v>
      </c>
      <c r="G292" s="3276" t="e">
        <v>#N/A</v>
      </c>
      <c r="H292" s="3316" t="e">
        <v>#N/A</v>
      </c>
      <c r="I292" s="3317" t="e">
        <v>#N/A</v>
      </c>
      <c r="J292" s="3316" t="e">
        <v>#N/A</v>
      </c>
      <c r="K292" s="3318" t="e">
        <v>#N/A</v>
      </c>
      <c r="L292" s="3316" t="e">
        <v>#N/A</v>
      </c>
      <c r="M292" s="3319" t="e">
        <v>#N/A</v>
      </c>
      <c r="N292" s="3320" t="e">
        <v>#N/A</v>
      </c>
      <c r="O292" s="3279" t="e">
        <v>#N/A</v>
      </c>
      <c r="P292" s="3280" t="e">
        <v>#N/A</v>
      </c>
    </row>
    <row r="293" spans="1:16" ht="12.75" customHeight="1">
      <c r="A293" s="3252">
        <f t="shared" si="2"/>
        <v>2029.08</v>
      </c>
      <c r="B293" s="3292" t="e">
        <v>#N/A</v>
      </c>
      <c r="C293" s="3275" t="e">
        <v>#N/A</v>
      </c>
      <c r="D293" s="3315" t="e">
        <v>#N/A</v>
      </c>
      <c r="E293" s="3277" t="e">
        <v>#N/A</v>
      </c>
      <c r="F293" s="3275" t="e">
        <v>#N/A</v>
      </c>
      <c r="G293" s="3276" t="e">
        <v>#N/A</v>
      </c>
      <c r="H293" s="3316" t="e">
        <v>#N/A</v>
      </c>
      <c r="I293" s="3317" t="e">
        <v>#N/A</v>
      </c>
      <c r="J293" s="3316" t="e">
        <v>#N/A</v>
      </c>
      <c r="K293" s="3318" t="e">
        <v>#N/A</v>
      </c>
      <c r="L293" s="3316" t="e">
        <v>#N/A</v>
      </c>
      <c r="M293" s="3319" t="e">
        <v>#N/A</v>
      </c>
      <c r="N293" s="3320" t="e">
        <v>#N/A</v>
      </c>
      <c r="O293" s="3279" t="e">
        <v>#N/A</v>
      </c>
      <c r="P293" s="3280" t="e">
        <v>#N/A</v>
      </c>
    </row>
    <row r="294" spans="1:16" ht="12.75" customHeight="1">
      <c r="A294" s="3252">
        <f t="shared" si="2"/>
        <v>2029.09</v>
      </c>
      <c r="B294" s="3292" t="e">
        <v>#N/A</v>
      </c>
      <c r="C294" s="3275" t="e">
        <v>#N/A</v>
      </c>
      <c r="D294" s="3315" t="e">
        <v>#N/A</v>
      </c>
      <c r="E294" s="3277" t="e">
        <v>#N/A</v>
      </c>
      <c r="F294" s="3275" t="e">
        <v>#N/A</v>
      </c>
      <c r="G294" s="3276" t="e">
        <v>#N/A</v>
      </c>
      <c r="H294" s="3316" t="e">
        <v>#N/A</v>
      </c>
      <c r="I294" s="3317" t="e">
        <v>#N/A</v>
      </c>
      <c r="J294" s="3316" t="e">
        <v>#N/A</v>
      </c>
      <c r="K294" s="3318" t="e">
        <v>#N/A</v>
      </c>
      <c r="L294" s="3316" t="e">
        <v>#N/A</v>
      </c>
      <c r="M294" s="3319" t="e">
        <v>#N/A</v>
      </c>
      <c r="N294" s="3320" t="e">
        <v>#N/A</v>
      </c>
      <c r="O294" s="3279" t="e">
        <v>#N/A</v>
      </c>
      <c r="P294" s="3280" t="e">
        <v>#N/A</v>
      </c>
    </row>
    <row r="295" spans="1:16" ht="12.75" customHeight="1">
      <c r="A295" s="3252">
        <f t="shared" si="2"/>
        <v>2029.1</v>
      </c>
      <c r="B295" s="3292" t="e">
        <v>#N/A</v>
      </c>
      <c r="C295" s="3275" t="e">
        <v>#N/A</v>
      </c>
      <c r="D295" s="3315" t="e">
        <v>#N/A</v>
      </c>
      <c r="E295" s="3277" t="e">
        <v>#N/A</v>
      </c>
      <c r="F295" s="3275" t="e">
        <v>#N/A</v>
      </c>
      <c r="G295" s="3276" t="e">
        <v>#N/A</v>
      </c>
      <c r="H295" s="3316" t="e">
        <v>#N/A</v>
      </c>
      <c r="I295" s="3317" t="e">
        <v>#N/A</v>
      </c>
      <c r="J295" s="3316" t="e">
        <v>#N/A</v>
      </c>
      <c r="K295" s="3318" t="e">
        <v>#N/A</v>
      </c>
      <c r="L295" s="3316" t="e">
        <v>#N/A</v>
      </c>
      <c r="M295" s="3319" t="e">
        <v>#N/A</v>
      </c>
      <c r="N295" s="3320" t="e">
        <v>#N/A</v>
      </c>
      <c r="O295" s="3279" t="e">
        <v>#N/A</v>
      </c>
      <c r="P295" s="3280" t="e">
        <v>#N/A</v>
      </c>
    </row>
    <row r="296" spans="1:16" ht="12.75" customHeight="1">
      <c r="A296" s="3252">
        <f t="shared" si="2"/>
        <v>2029.11</v>
      </c>
      <c r="B296" s="3292" t="e">
        <v>#N/A</v>
      </c>
      <c r="C296" s="3275" t="e">
        <v>#N/A</v>
      </c>
      <c r="D296" s="3315" t="e">
        <v>#N/A</v>
      </c>
      <c r="E296" s="3277" t="e">
        <v>#N/A</v>
      </c>
      <c r="F296" s="3275" t="e">
        <v>#N/A</v>
      </c>
      <c r="G296" s="3276" t="e">
        <v>#N/A</v>
      </c>
      <c r="H296" s="3316" t="e">
        <v>#N/A</v>
      </c>
      <c r="I296" s="3317" t="e">
        <v>#N/A</v>
      </c>
      <c r="J296" s="3316" t="e">
        <v>#N/A</v>
      </c>
      <c r="K296" s="3318" t="e">
        <v>#N/A</v>
      </c>
      <c r="L296" s="3316" t="e">
        <v>#N/A</v>
      </c>
      <c r="M296" s="3319" t="e">
        <v>#N/A</v>
      </c>
      <c r="N296" s="3320" t="e">
        <v>#N/A</v>
      </c>
      <c r="O296" s="3279" t="e">
        <v>#N/A</v>
      </c>
      <c r="P296" s="3280" t="e">
        <v>#N/A</v>
      </c>
    </row>
    <row r="297" spans="1:16" ht="12.75" customHeight="1">
      <c r="A297" s="3252">
        <f t="shared" si="2"/>
        <v>2029.12</v>
      </c>
      <c r="B297" s="3292" t="e">
        <v>#N/A</v>
      </c>
      <c r="C297" s="3275" t="e">
        <v>#N/A</v>
      </c>
      <c r="D297" s="3315" t="e">
        <v>#N/A</v>
      </c>
      <c r="E297" s="3277" t="e">
        <v>#N/A</v>
      </c>
      <c r="F297" s="3275" t="e">
        <v>#N/A</v>
      </c>
      <c r="G297" s="3276" t="e">
        <v>#N/A</v>
      </c>
      <c r="H297" s="3316" t="e">
        <v>#N/A</v>
      </c>
      <c r="I297" s="3317" t="e">
        <v>#N/A</v>
      </c>
      <c r="J297" s="3316" t="e">
        <v>#N/A</v>
      </c>
      <c r="K297" s="3318" t="e">
        <v>#N/A</v>
      </c>
      <c r="L297" s="3316" t="e">
        <v>#N/A</v>
      </c>
      <c r="M297" s="3319" t="e">
        <v>#N/A</v>
      </c>
      <c r="N297" s="3320" t="e">
        <v>#N/A</v>
      </c>
      <c r="O297" s="3279" t="e">
        <v>#N/A</v>
      </c>
      <c r="P297" s="3280" t="e">
        <v>#N/A</v>
      </c>
    </row>
    <row r="298" spans="1:16" ht="12.75" customHeight="1">
      <c r="A298" s="3252">
        <f t="shared" si="2"/>
        <v>2030.01</v>
      </c>
      <c r="B298" s="3292" t="e">
        <v>#N/A</v>
      </c>
      <c r="C298" s="3275" t="e">
        <v>#N/A</v>
      </c>
      <c r="D298" s="3315" t="e">
        <v>#N/A</v>
      </c>
      <c r="E298" s="3277" t="e">
        <v>#N/A</v>
      </c>
      <c r="F298" s="3275" t="e">
        <v>#N/A</v>
      </c>
      <c r="G298" s="3276" t="e">
        <v>#N/A</v>
      </c>
      <c r="H298" s="3316" t="e">
        <v>#N/A</v>
      </c>
      <c r="I298" s="3317" t="e">
        <v>#N/A</v>
      </c>
      <c r="J298" s="3316" t="e">
        <v>#N/A</v>
      </c>
      <c r="K298" s="3318" t="e">
        <v>#N/A</v>
      </c>
      <c r="L298" s="3316" t="e">
        <v>#N/A</v>
      </c>
      <c r="M298" s="3319" t="e">
        <v>#N/A</v>
      </c>
      <c r="N298" s="3320" t="e">
        <v>#N/A</v>
      </c>
      <c r="O298" s="3279" t="e">
        <v>#N/A</v>
      </c>
      <c r="P298" s="3280" t="e">
        <v>#N/A</v>
      </c>
    </row>
    <row r="299" spans="1:16" ht="12.75" customHeight="1">
      <c r="A299" s="3252">
        <f t="shared" si="2"/>
        <v>2030.02</v>
      </c>
      <c r="B299" s="3292" t="e">
        <v>#N/A</v>
      </c>
      <c r="C299" s="3275" t="e">
        <v>#N/A</v>
      </c>
      <c r="D299" s="3315" t="e">
        <v>#N/A</v>
      </c>
      <c r="E299" s="3277" t="e">
        <v>#N/A</v>
      </c>
      <c r="F299" s="3275" t="e">
        <v>#N/A</v>
      </c>
      <c r="G299" s="3276" t="e">
        <v>#N/A</v>
      </c>
      <c r="H299" s="3316" t="e">
        <v>#N/A</v>
      </c>
      <c r="I299" s="3317" t="e">
        <v>#N/A</v>
      </c>
      <c r="J299" s="3316" t="e">
        <v>#N/A</v>
      </c>
      <c r="K299" s="3318" t="e">
        <v>#N/A</v>
      </c>
      <c r="L299" s="3316" t="e">
        <v>#N/A</v>
      </c>
      <c r="M299" s="3319" t="e">
        <v>#N/A</v>
      </c>
      <c r="N299" s="3320" t="e">
        <v>#N/A</v>
      </c>
      <c r="O299" s="3279" t="e">
        <v>#N/A</v>
      </c>
      <c r="P299" s="3280" t="e">
        <v>#N/A</v>
      </c>
    </row>
    <row r="300" spans="1:16" ht="12.75" customHeight="1">
      <c r="A300" s="3252">
        <f t="shared" si="2"/>
        <v>2030.03</v>
      </c>
      <c r="B300" s="3292" t="e">
        <v>#N/A</v>
      </c>
      <c r="C300" s="3275" t="e">
        <v>#N/A</v>
      </c>
      <c r="D300" s="3315" t="e">
        <v>#N/A</v>
      </c>
      <c r="E300" s="3277" t="e">
        <v>#N/A</v>
      </c>
      <c r="F300" s="3275" t="e">
        <v>#N/A</v>
      </c>
      <c r="G300" s="3276" t="e">
        <v>#N/A</v>
      </c>
      <c r="H300" s="3316" t="e">
        <v>#N/A</v>
      </c>
      <c r="I300" s="3317" t="e">
        <v>#N/A</v>
      </c>
      <c r="J300" s="3316" t="e">
        <v>#N/A</v>
      </c>
      <c r="K300" s="3318" t="e">
        <v>#N/A</v>
      </c>
      <c r="L300" s="3316" t="e">
        <v>#N/A</v>
      </c>
      <c r="M300" s="3319" t="e">
        <v>#N/A</v>
      </c>
      <c r="N300" s="3320" t="e">
        <v>#N/A</v>
      </c>
      <c r="O300" s="3279" t="e">
        <v>#N/A</v>
      </c>
      <c r="P300" s="3280" t="e">
        <v>#N/A</v>
      </c>
    </row>
    <row r="301" spans="1:16" ht="12.75" customHeight="1">
      <c r="A301" s="3252">
        <f t="shared" si="2"/>
        <v>2030.04</v>
      </c>
      <c r="B301" s="3292" t="e">
        <v>#N/A</v>
      </c>
      <c r="C301" s="3275" t="e">
        <v>#N/A</v>
      </c>
      <c r="D301" s="3315" t="e">
        <v>#N/A</v>
      </c>
      <c r="E301" s="3277" t="e">
        <v>#N/A</v>
      </c>
      <c r="F301" s="3275" t="e">
        <v>#N/A</v>
      </c>
      <c r="G301" s="3276" t="e">
        <v>#N/A</v>
      </c>
      <c r="H301" s="3316" t="e">
        <v>#N/A</v>
      </c>
      <c r="I301" s="3317" t="e">
        <v>#N/A</v>
      </c>
      <c r="J301" s="3316" t="e">
        <v>#N/A</v>
      </c>
      <c r="K301" s="3318" t="e">
        <v>#N/A</v>
      </c>
      <c r="L301" s="3316" t="e">
        <v>#N/A</v>
      </c>
      <c r="M301" s="3319" t="e">
        <v>#N/A</v>
      </c>
      <c r="N301" s="3320" t="e">
        <v>#N/A</v>
      </c>
      <c r="O301" s="3279" t="e">
        <v>#N/A</v>
      </c>
      <c r="P301" s="3280" t="e">
        <v>#N/A</v>
      </c>
    </row>
    <row r="302" spans="1:16" ht="12.75" customHeight="1">
      <c r="A302" s="3252">
        <f t="shared" si="2"/>
        <v>2030.05</v>
      </c>
      <c r="B302" s="3292" t="e">
        <v>#N/A</v>
      </c>
      <c r="C302" s="3275" t="e">
        <v>#N/A</v>
      </c>
      <c r="D302" s="3315" t="e">
        <v>#N/A</v>
      </c>
      <c r="E302" s="3277" t="e">
        <v>#N/A</v>
      </c>
      <c r="F302" s="3275" t="e">
        <v>#N/A</v>
      </c>
      <c r="G302" s="3276" t="e">
        <v>#N/A</v>
      </c>
      <c r="H302" s="3316" t="e">
        <v>#N/A</v>
      </c>
      <c r="I302" s="3317" t="e">
        <v>#N/A</v>
      </c>
      <c r="J302" s="3316" t="e">
        <v>#N/A</v>
      </c>
      <c r="K302" s="3318" t="e">
        <v>#N/A</v>
      </c>
      <c r="L302" s="3316" t="e">
        <v>#N/A</v>
      </c>
      <c r="M302" s="3319" t="e">
        <v>#N/A</v>
      </c>
      <c r="N302" s="3320" t="e">
        <v>#N/A</v>
      </c>
      <c r="O302" s="3279" t="e">
        <v>#N/A</v>
      </c>
      <c r="P302" s="3280" t="e">
        <v>#N/A</v>
      </c>
    </row>
    <row r="303" spans="1:16" ht="12.75" customHeight="1">
      <c r="A303" s="3252">
        <f t="shared" si="2"/>
        <v>2030.06</v>
      </c>
      <c r="B303" s="3292" t="e">
        <v>#N/A</v>
      </c>
      <c r="C303" s="3275" t="e">
        <v>#N/A</v>
      </c>
      <c r="D303" s="3315" t="e">
        <v>#N/A</v>
      </c>
      <c r="E303" s="3277" t="e">
        <v>#N/A</v>
      </c>
      <c r="F303" s="3275" t="e">
        <v>#N/A</v>
      </c>
      <c r="G303" s="3276" t="e">
        <v>#N/A</v>
      </c>
      <c r="H303" s="3316" t="e">
        <v>#N/A</v>
      </c>
      <c r="I303" s="3317" t="e">
        <v>#N/A</v>
      </c>
      <c r="J303" s="3316" t="e">
        <v>#N/A</v>
      </c>
      <c r="K303" s="3318" t="e">
        <v>#N/A</v>
      </c>
      <c r="L303" s="3316" t="e">
        <v>#N/A</v>
      </c>
      <c r="M303" s="3319" t="e">
        <v>#N/A</v>
      </c>
      <c r="N303" s="3320" t="e">
        <v>#N/A</v>
      </c>
      <c r="O303" s="3279" t="e">
        <v>#N/A</v>
      </c>
      <c r="P303" s="3280" t="e">
        <v>#N/A</v>
      </c>
    </row>
    <row r="304" spans="1:16" ht="12.75" customHeight="1">
      <c r="A304" s="3252">
        <f t="shared" si="2"/>
        <v>2030.07</v>
      </c>
      <c r="B304" s="3292" t="e">
        <v>#N/A</v>
      </c>
      <c r="C304" s="3275" t="e">
        <v>#N/A</v>
      </c>
      <c r="D304" s="3315" t="e">
        <v>#N/A</v>
      </c>
      <c r="E304" s="3277" t="e">
        <v>#N/A</v>
      </c>
      <c r="F304" s="3275" t="e">
        <v>#N/A</v>
      </c>
      <c r="G304" s="3276" t="e">
        <v>#N/A</v>
      </c>
      <c r="H304" s="3316" t="e">
        <v>#N/A</v>
      </c>
      <c r="I304" s="3317" t="e">
        <v>#N/A</v>
      </c>
      <c r="J304" s="3316" t="e">
        <v>#N/A</v>
      </c>
      <c r="K304" s="3318" t="e">
        <v>#N/A</v>
      </c>
      <c r="L304" s="3316" t="e">
        <v>#N/A</v>
      </c>
      <c r="M304" s="3319" t="e">
        <v>#N/A</v>
      </c>
      <c r="N304" s="3320" t="e">
        <v>#N/A</v>
      </c>
      <c r="O304" s="3279" t="e">
        <v>#N/A</v>
      </c>
      <c r="P304" s="3280" t="e">
        <v>#N/A</v>
      </c>
    </row>
    <row r="305" spans="1:16" ht="12.75" customHeight="1">
      <c r="A305" s="3252">
        <f t="shared" si="2"/>
        <v>2030.08</v>
      </c>
      <c r="B305" s="3292" t="e">
        <v>#N/A</v>
      </c>
      <c r="C305" s="3275" t="e">
        <v>#N/A</v>
      </c>
      <c r="D305" s="3315" t="e">
        <v>#N/A</v>
      </c>
      <c r="E305" s="3277" t="e">
        <v>#N/A</v>
      </c>
      <c r="F305" s="3275" t="e">
        <v>#N/A</v>
      </c>
      <c r="G305" s="3276" t="e">
        <v>#N/A</v>
      </c>
      <c r="H305" s="3316" t="e">
        <v>#N/A</v>
      </c>
      <c r="I305" s="3317" t="e">
        <v>#N/A</v>
      </c>
      <c r="J305" s="3316" t="e">
        <v>#N/A</v>
      </c>
      <c r="K305" s="3318" t="e">
        <v>#N/A</v>
      </c>
      <c r="L305" s="3316" t="e">
        <v>#N/A</v>
      </c>
      <c r="M305" s="3319" t="e">
        <v>#N/A</v>
      </c>
      <c r="N305" s="3320" t="e">
        <v>#N/A</v>
      </c>
      <c r="O305" s="3279" t="e">
        <v>#N/A</v>
      </c>
      <c r="P305" s="3280" t="e">
        <v>#N/A</v>
      </c>
    </row>
    <row r="306" spans="1:16" ht="12.75" customHeight="1">
      <c r="A306" s="3252">
        <f t="shared" si="2"/>
        <v>2030.09</v>
      </c>
      <c r="B306" s="3292" t="e">
        <v>#N/A</v>
      </c>
      <c r="C306" s="3275" t="e">
        <v>#N/A</v>
      </c>
      <c r="D306" s="3315" t="e">
        <v>#N/A</v>
      </c>
      <c r="E306" s="3277" t="e">
        <v>#N/A</v>
      </c>
      <c r="F306" s="3275" t="e">
        <v>#N/A</v>
      </c>
      <c r="G306" s="3276" t="e">
        <v>#N/A</v>
      </c>
      <c r="H306" s="3316" t="e">
        <v>#N/A</v>
      </c>
      <c r="I306" s="3317" t="e">
        <v>#N/A</v>
      </c>
      <c r="J306" s="3316" t="e">
        <v>#N/A</v>
      </c>
      <c r="K306" s="3318" t="e">
        <v>#N/A</v>
      </c>
      <c r="L306" s="3316" t="e">
        <v>#N/A</v>
      </c>
      <c r="M306" s="3319" t="e">
        <v>#N/A</v>
      </c>
      <c r="N306" s="3320" t="e">
        <v>#N/A</v>
      </c>
      <c r="O306" s="3279" t="e">
        <v>#N/A</v>
      </c>
      <c r="P306" s="3280" t="e">
        <v>#N/A</v>
      </c>
    </row>
    <row r="307" spans="1:16" ht="12.75" customHeight="1">
      <c r="A307" s="3252">
        <f t="shared" si="2"/>
        <v>2030.1</v>
      </c>
      <c r="B307" s="3292" t="e">
        <v>#N/A</v>
      </c>
      <c r="C307" s="3275" t="e">
        <v>#N/A</v>
      </c>
      <c r="D307" s="3315" t="e">
        <v>#N/A</v>
      </c>
      <c r="E307" s="3277" t="e">
        <v>#N/A</v>
      </c>
      <c r="F307" s="3275" t="e">
        <v>#N/A</v>
      </c>
      <c r="G307" s="3276" t="e">
        <v>#N/A</v>
      </c>
      <c r="H307" s="3316" t="e">
        <v>#N/A</v>
      </c>
      <c r="I307" s="3317" t="e">
        <v>#N/A</v>
      </c>
      <c r="J307" s="3316" t="e">
        <v>#N/A</v>
      </c>
      <c r="K307" s="3318" t="e">
        <v>#N/A</v>
      </c>
      <c r="L307" s="3316" t="e">
        <v>#N/A</v>
      </c>
      <c r="M307" s="3319" t="e">
        <v>#N/A</v>
      </c>
      <c r="N307" s="3320" t="e">
        <v>#N/A</v>
      </c>
      <c r="O307" s="3279" t="e">
        <v>#N/A</v>
      </c>
      <c r="P307" s="3280" t="e">
        <v>#N/A</v>
      </c>
    </row>
    <row r="308" spans="1:16" ht="12.75" customHeight="1">
      <c r="A308" s="3252">
        <f t="shared" si="2"/>
        <v>2030.11</v>
      </c>
      <c r="B308" s="3292" t="e">
        <v>#N/A</v>
      </c>
      <c r="C308" s="3275" t="e">
        <v>#N/A</v>
      </c>
      <c r="D308" s="3315" t="e">
        <v>#N/A</v>
      </c>
      <c r="E308" s="3277" t="e">
        <v>#N/A</v>
      </c>
      <c r="F308" s="3275" t="e">
        <v>#N/A</v>
      </c>
      <c r="G308" s="3276" t="e">
        <v>#N/A</v>
      </c>
      <c r="H308" s="3316" t="e">
        <v>#N/A</v>
      </c>
      <c r="I308" s="3317" t="e">
        <v>#N/A</v>
      </c>
      <c r="J308" s="3316" t="e">
        <v>#N/A</v>
      </c>
      <c r="K308" s="3318" t="e">
        <v>#N/A</v>
      </c>
      <c r="L308" s="3316" t="e">
        <v>#N/A</v>
      </c>
      <c r="M308" s="3319" t="e">
        <v>#N/A</v>
      </c>
      <c r="N308" s="3320" t="e">
        <v>#N/A</v>
      </c>
      <c r="O308" s="3279" t="e">
        <v>#N/A</v>
      </c>
      <c r="P308" s="3280" t="e">
        <v>#N/A</v>
      </c>
    </row>
    <row r="309" spans="1:16" ht="12.75" customHeight="1">
      <c r="A309" s="3252">
        <f t="shared" si="2"/>
        <v>2030.12</v>
      </c>
      <c r="B309" s="3292" t="e">
        <v>#N/A</v>
      </c>
      <c r="C309" s="3275" t="e">
        <v>#N/A</v>
      </c>
      <c r="D309" s="3315" t="e">
        <v>#N/A</v>
      </c>
      <c r="E309" s="3277" t="e">
        <v>#N/A</v>
      </c>
      <c r="F309" s="3275" t="e">
        <v>#N/A</v>
      </c>
      <c r="G309" s="3276" t="e">
        <v>#N/A</v>
      </c>
      <c r="H309" s="3316" t="e">
        <v>#N/A</v>
      </c>
      <c r="I309" s="3317" t="e">
        <v>#N/A</v>
      </c>
      <c r="J309" s="3316" t="e">
        <v>#N/A</v>
      </c>
      <c r="K309" s="3318" t="e">
        <v>#N/A</v>
      </c>
      <c r="L309" s="3316" t="e">
        <v>#N/A</v>
      </c>
      <c r="M309" s="3319" t="e">
        <v>#N/A</v>
      </c>
      <c r="N309" s="3320" t="e">
        <v>#N/A</v>
      </c>
      <c r="O309" s="3279" t="e">
        <v>#N/A</v>
      </c>
      <c r="P309" s="3280" t="e">
        <v>#N/A</v>
      </c>
    </row>
  </sheetData>
  <hyperlinks>
    <hyperlink ref="A5" location="INDICE!A13" display="VOLVER AL INDICE" xr:uid="{28113334-46AD-45BF-B7A4-25564C8225D5}"/>
  </hyperlink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34"/>
  <dimension ref="A1:I370"/>
  <sheetViews>
    <sheetView zoomScaleNormal="100"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5"/>
  <cols>
    <col min="1" max="1" width="12.140625" style="418" customWidth="1"/>
    <col min="2" max="6" width="14.85546875" style="418" bestFit="1" customWidth="1"/>
    <col min="7" max="7" width="11.42578125" style="418"/>
    <col min="8" max="8" width="10.42578125" style="418" bestFit="1" customWidth="1"/>
    <col min="9" max="9" width="15.5703125" style="418" customWidth="1"/>
    <col min="10" max="16384" width="11.42578125" style="418"/>
  </cols>
  <sheetData>
    <row r="1" spans="1:9" s="422" customFormat="1" ht="3.75" customHeight="1">
      <c r="A1" s="2761"/>
      <c r="B1" s="2838"/>
      <c r="C1" s="415"/>
      <c r="D1" s="415"/>
      <c r="E1" s="416"/>
      <c r="F1" s="417"/>
      <c r="H1" s="419"/>
      <c r="I1" s="419"/>
    </row>
    <row r="2" spans="1:9" s="422" customFormat="1" ht="15" customHeight="1">
      <c r="A2" s="2762" t="s">
        <v>99</v>
      </c>
      <c r="B2" s="2838" t="s">
        <v>686</v>
      </c>
      <c r="C2" s="415"/>
      <c r="D2" s="420"/>
      <c r="E2" s="421"/>
      <c r="F2" s="417"/>
      <c r="I2" s="423"/>
    </row>
    <row r="3" spans="1:9" s="422" customFormat="1" ht="15" customHeight="1">
      <c r="A3" s="2762" t="s">
        <v>104</v>
      </c>
      <c r="B3" s="424" t="s">
        <v>687</v>
      </c>
      <c r="C3" s="425"/>
      <c r="D3" s="425"/>
      <c r="E3" s="426"/>
      <c r="F3" s="427"/>
      <c r="H3" s="428"/>
      <c r="I3" s="429"/>
    </row>
    <row r="4" spans="1:9" s="422" customFormat="1" ht="22.5">
      <c r="A4" s="2762"/>
      <c r="B4" s="430" t="s">
        <v>688</v>
      </c>
      <c r="C4" s="431"/>
      <c r="D4" s="432"/>
      <c r="E4" s="2839" t="s">
        <v>689</v>
      </c>
      <c r="F4" s="1863" t="s">
        <v>690</v>
      </c>
      <c r="H4" s="428"/>
      <c r="I4" s="429"/>
    </row>
    <row r="5" spans="1:9" s="422" customFormat="1" ht="22.5">
      <c r="A5" s="2763" t="s">
        <v>140</v>
      </c>
      <c r="B5" s="557" t="s">
        <v>691</v>
      </c>
      <c r="C5" s="558" t="s">
        <v>692</v>
      </c>
      <c r="D5" s="433" t="s">
        <v>693</v>
      </c>
      <c r="E5" s="434"/>
      <c r="F5" s="435"/>
      <c r="H5" s="436"/>
      <c r="I5" s="423"/>
    </row>
    <row r="6" spans="1:9" s="422" customFormat="1" ht="22.5">
      <c r="A6" s="2762" t="s">
        <v>125</v>
      </c>
      <c r="B6" s="779" t="s">
        <v>694</v>
      </c>
      <c r="C6" s="780" t="s">
        <v>694</v>
      </c>
      <c r="D6" s="781" t="s">
        <v>694</v>
      </c>
      <c r="E6" s="2840" t="s">
        <v>694</v>
      </c>
      <c r="F6" s="782" t="s">
        <v>694</v>
      </c>
      <c r="H6" s="436"/>
      <c r="I6" s="437"/>
    </row>
    <row r="7" spans="1:9" s="422" customFormat="1" ht="24.75" customHeight="1">
      <c r="A7" s="2762" t="s">
        <v>695</v>
      </c>
      <c r="B7" s="2841">
        <v>50.16</v>
      </c>
      <c r="C7" s="559">
        <v>29.91</v>
      </c>
      <c r="D7" s="559"/>
      <c r="E7" s="2842">
        <v>19.93</v>
      </c>
      <c r="F7" s="2843">
        <v>100</v>
      </c>
    </row>
    <row r="8" spans="1:9" s="422" customFormat="1" ht="14.25" customHeight="1">
      <c r="A8" s="2751" t="s">
        <v>144</v>
      </c>
      <c r="B8" s="2188" t="s">
        <v>696</v>
      </c>
      <c r="C8" s="2189" t="s">
        <v>697</v>
      </c>
      <c r="D8" s="2190" t="s">
        <v>698</v>
      </c>
      <c r="E8" s="2190" t="s">
        <v>699</v>
      </c>
      <c r="F8" s="2844" t="s">
        <v>700</v>
      </c>
    </row>
    <row r="9" spans="1:9" s="422" customFormat="1" ht="12" thickBot="1">
      <c r="A9" s="2140"/>
      <c r="B9" s="2183"/>
      <c r="C9" s="2184"/>
      <c r="D9" s="2185"/>
      <c r="E9" s="2186"/>
      <c r="F9" s="2187"/>
    </row>
    <row r="10" spans="1:9" ht="12.75" customHeight="1">
      <c r="A10" s="881">
        <v>2001.01</v>
      </c>
      <c r="B10" s="1647"/>
      <c r="C10" s="3564"/>
      <c r="D10" s="1648"/>
      <c r="E10" s="1649"/>
      <c r="F10" s="1650"/>
    </row>
    <row r="11" spans="1:9" ht="12.75" customHeight="1">
      <c r="A11" s="881">
        <v>2001.02</v>
      </c>
      <c r="B11" s="1647"/>
      <c r="C11" s="3564"/>
      <c r="D11" s="1648"/>
      <c r="E11" s="1649"/>
      <c r="F11" s="1650"/>
    </row>
    <row r="12" spans="1:9" ht="12.75" customHeight="1">
      <c r="A12" s="881">
        <v>2001.03</v>
      </c>
      <c r="B12" s="1647"/>
      <c r="C12" s="3564"/>
      <c r="D12" s="1648"/>
      <c r="E12" s="1649"/>
      <c r="F12" s="1650"/>
    </row>
    <row r="13" spans="1:9" ht="12.75" customHeight="1">
      <c r="A13" s="881">
        <v>2001.04</v>
      </c>
      <c r="B13" s="1647"/>
      <c r="C13" s="3564"/>
      <c r="D13" s="1648"/>
      <c r="E13" s="1649"/>
      <c r="F13" s="1650"/>
    </row>
    <row r="14" spans="1:9" ht="12.75" customHeight="1">
      <c r="A14" s="881">
        <v>2001.05</v>
      </c>
      <c r="B14" s="1647"/>
      <c r="C14" s="3564"/>
      <c r="D14" s="1648"/>
      <c r="E14" s="1649"/>
      <c r="F14" s="1650"/>
    </row>
    <row r="15" spans="1:9" ht="12.75" customHeight="1">
      <c r="A15" s="881">
        <v>2001.06</v>
      </c>
      <c r="B15" s="1647"/>
      <c r="C15" s="3564"/>
      <c r="D15" s="1648"/>
      <c r="E15" s="1649"/>
      <c r="F15" s="1650"/>
    </row>
    <row r="16" spans="1:9" ht="12.75" customHeight="1">
      <c r="A16" s="881">
        <v>2001.07</v>
      </c>
      <c r="B16" s="1647"/>
      <c r="C16" s="3564"/>
      <c r="D16" s="1648"/>
      <c r="E16" s="1649"/>
      <c r="F16" s="1650"/>
    </row>
    <row r="17" spans="1:6" ht="12.75" customHeight="1">
      <c r="A17" s="881">
        <v>2001.08</v>
      </c>
      <c r="B17" s="1647"/>
      <c r="C17" s="3564"/>
      <c r="D17" s="1648"/>
      <c r="E17" s="1649"/>
      <c r="F17" s="1650"/>
    </row>
    <row r="18" spans="1:6" ht="12.75" customHeight="1">
      <c r="A18" s="881">
        <v>2001.09</v>
      </c>
      <c r="B18" s="1647"/>
      <c r="C18" s="3564"/>
      <c r="D18" s="1648"/>
      <c r="E18" s="1649"/>
      <c r="F18" s="1650"/>
    </row>
    <row r="19" spans="1:6" ht="12.75" customHeight="1">
      <c r="A19" s="881">
        <v>2001.1</v>
      </c>
      <c r="B19" s="1950">
        <v>4.371687962921273</v>
      </c>
      <c r="C19" s="3565">
        <v>8.6332709881748997</v>
      </c>
      <c r="D19" s="1951">
        <v>5.9633892228535021</v>
      </c>
      <c r="E19" s="1952">
        <v>4.6386108567215247</v>
      </c>
      <c r="F19" s="1953">
        <v>5.6995251785090231</v>
      </c>
    </row>
    <row r="20" spans="1:6" ht="12.75" customHeight="1">
      <c r="A20" s="881">
        <v>2001.11</v>
      </c>
      <c r="B20" s="1954">
        <v>4.3800008203367558</v>
      </c>
      <c r="C20" s="3566">
        <v>8.6057024150163741</v>
      </c>
      <c r="D20" s="1951">
        <v>5.9583003659495937</v>
      </c>
      <c r="E20" s="1952">
        <v>4.6187482529733641</v>
      </c>
      <c r="F20" s="1953">
        <v>5.6914905306299053</v>
      </c>
    </row>
    <row r="21" spans="1:6" ht="12.75" customHeight="1">
      <c r="A21" s="881">
        <v>2001.12</v>
      </c>
      <c r="B21" s="1954">
        <v>4.3738755569779793</v>
      </c>
      <c r="C21" s="3566">
        <v>8.6065639329275783</v>
      </c>
      <c r="D21" s="1951">
        <v>5.9547846653951551</v>
      </c>
      <c r="E21" s="1952">
        <v>4.6002714122774018</v>
      </c>
      <c r="F21" s="1953">
        <v>5.6849933441856795</v>
      </c>
    </row>
    <row r="22" spans="1:6" ht="12.75" customHeight="1">
      <c r="A22" s="881">
        <v>2002.01</v>
      </c>
      <c r="B22" s="1954">
        <v>4.3607499926377429</v>
      </c>
      <c r="C22" s="3566">
        <v>8.5988102717267427</v>
      </c>
      <c r="D22" s="1951">
        <v>5.9436655068774851</v>
      </c>
      <c r="E22" s="1952">
        <v>4.58087072954664</v>
      </c>
      <c r="F22" s="1953">
        <v>5.6722238849792053</v>
      </c>
    </row>
    <row r="23" spans="1:6" ht="12.75" customHeight="1">
      <c r="A23" s="881">
        <v>2002.02</v>
      </c>
      <c r="B23" s="1954">
        <v>4.3598749550150604</v>
      </c>
      <c r="C23" s="3566">
        <v>8.5988102717267427</v>
      </c>
      <c r="D23" s="1951">
        <v>5.9431172958068741</v>
      </c>
      <c r="E23" s="1952">
        <v>4.56147004681588</v>
      </c>
      <c r="F23" s="1953">
        <v>5.6679184100394275</v>
      </c>
    </row>
    <row r="24" spans="1:6" ht="12.75" customHeight="1">
      <c r="A24" s="881">
        <v>2002.03</v>
      </c>
      <c r="B24" s="1954">
        <v>4.3607499926377429</v>
      </c>
      <c r="C24" s="3566">
        <v>8.5988102717267427</v>
      </c>
      <c r="D24" s="1951">
        <v>5.9436655068774851</v>
      </c>
      <c r="E24" s="1952">
        <v>4.5429932061199167</v>
      </c>
      <c r="F24" s="1953">
        <v>5.6646748945602603</v>
      </c>
    </row>
    <row r="25" spans="1:6" ht="12.75" customHeight="1">
      <c r="A25" s="881">
        <v>2002.04</v>
      </c>
      <c r="B25" s="1954">
        <v>4.3686253312418843</v>
      </c>
      <c r="C25" s="3566">
        <v>8.5970872359043344</v>
      </c>
      <c r="D25" s="1951">
        <v>5.9479558526333101</v>
      </c>
      <c r="E25" s="1952">
        <v>4.5111206559193802</v>
      </c>
      <c r="F25" s="1953">
        <v>5.6617576051346479</v>
      </c>
    </row>
    <row r="26" spans="1:6" ht="12.75" customHeight="1">
      <c r="A26" s="881">
        <v>2002.05</v>
      </c>
      <c r="B26" s="1954">
        <v>4.3769381886573679</v>
      </c>
      <c r="C26" s="3566">
        <v>8.6186251836844328</v>
      </c>
      <c r="D26" s="1951">
        <v>5.9612082812999772</v>
      </c>
      <c r="E26" s="1952">
        <v>4.4801719477536412</v>
      </c>
      <c r="F26" s="1953">
        <v>5.6662012570578506</v>
      </c>
    </row>
    <row r="27" spans="1:6" ht="12.75" customHeight="1">
      <c r="A27" s="881">
        <v>2002.06</v>
      </c>
      <c r="B27" s="1954">
        <v>4.3988141292244274</v>
      </c>
      <c r="C27" s="3566">
        <v>8.6186251836844328</v>
      </c>
      <c r="D27" s="1951">
        <v>5.9749135580652384</v>
      </c>
      <c r="E27" s="1952">
        <v>4.4487613185705044</v>
      </c>
      <c r="F27" s="1953">
        <v>5.6709140904500881</v>
      </c>
    </row>
    <row r="28" spans="1:6" ht="12.75" customHeight="1">
      <c r="A28" s="881">
        <v>2002.07</v>
      </c>
      <c r="B28" s="1954">
        <v>4.9527129443823865</v>
      </c>
      <c r="C28" s="3566">
        <v>8.6186251836844328</v>
      </c>
      <c r="D28" s="1951">
        <v>6.3219311657617006</v>
      </c>
      <c r="E28" s="1952">
        <v>4.4173506893873666</v>
      </c>
      <c r="F28" s="1953">
        <v>5.9424895977371213</v>
      </c>
    </row>
    <row r="29" spans="1:6" ht="12.75" customHeight="1">
      <c r="A29" s="881">
        <v>2002.08</v>
      </c>
      <c r="B29" s="1954">
        <v>5.0095903898567427</v>
      </c>
      <c r="C29" s="3566">
        <v>8.6367170598197145</v>
      </c>
      <c r="D29" s="1951">
        <v>6.364322201087913</v>
      </c>
      <c r="E29" s="1952">
        <v>4.3891735073260234</v>
      </c>
      <c r="F29" s="1953">
        <v>5.9708148921542943</v>
      </c>
    </row>
    <row r="30" spans="1:6" ht="12.75" customHeight="1">
      <c r="A30" s="881">
        <v>2002.09</v>
      </c>
      <c r="B30" s="1954">
        <v>5.0270911423103906</v>
      </c>
      <c r="C30" s="3566">
        <v>8.6711777762678732</v>
      </c>
      <c r="D30" s="1951">
        <v>6.3881575000935102</v>
      </c>
      <c r="E30" s="1952">
        <v>4.3586867201776842</v>
      </c>
      <c r="F30" s="1953">
        <v>5.983824453196025</v>
      </c>
    </row>
    <row r="31" spans="1:6" ht="12.75" customHeight="1">
      <c r="A31" s="881">
        <v>2002.1</v>
      </c>
      <c r="B31" s="1954">
        <v>5.0441543759526981</v>
      </c>
      <c r="C31" s="3566">
        <v>8.6634241150670359</v>
      </c>
      <c r="D31" s="1951">
        <v>6.3959516235119027</v>
      </c>
      <c r="E31" s="1952">
        <v>4.3286618540467448</v>
      </c>
      <c r="F31" s="1953">
        <v>5.9840802953059402</v>
      </c>
    </row>
    <row r="32" spans="1:6" ht="12.75" customHeight="1">
      <c r="A32" s="881">
        <v>2002.11</v>
      </c>
      <c r="B32" s="1954">
        <v>5.0893500691642428</v>
      </c>
      <c r="C32" s="3566">
        <v>8.6634241150670359</v>
      </c>
      <c r="D32" s="1951">
        <v>6.4242667253089358</v>
      </c>
      <c r="E32" s="1952">
        <v>4.3383621954121265</v>
      </c>
      <c r="F32" s="1953">
        <v>6.0086837330549709</v>
      </c>
    </row>
    <row r="33" spans="1:6" ht="12.75" customHeight="1">
      <c r="A33" s="881">
        <v>2002.12</v>
      </c>
      <c r="B33" s="1954">
        <v>5.1128448293332669</v>
      </c>
      <c r="C33" s="3566">
        <v>8.6634241150670359</v>
      </c>
      <c r="D33" s="1951">
        <v>6.4389861925548306</v>
      </c>
      <c r="E33" s="1952">
        <v>4.3476006157601086</v>
      </c>
      <c r="F33" s="1953">
        <v>6.0223099219311074</v>
      </c>
    </row>
    <row r="34" spans="1:6" ht="12.75" customHeight="1">
      <c r="A34" s="881">
        <f>A22+1</f>
        <v>2003.01</v>
      </c>
      <c r="B34" s="1954">
        <v>5.2935400984171821</v>
      </c>
      <c r="C34" s="3566">
        <v>9.0571378004872454</v>
      </c>
      <c r="D34" s="1951">
        <v>6.6992438401403502</v>
      </c>
      <c r="E34" s="1952">
        <v>4.3573009571254886</v>
      </c>
      <c r="F34" s="1953">
        <v>6.2326397102469038</v>
      </c>
    </row>
    <row r="35" spans="1:6" ht="12.75" customHeight="1">
      <c r="A35" s="881">
        <f t="shared" ref="A35:A98" si="0">A23+1</f>
        <v>2003.02</v>
      </c>
      <c r="B35" s="1954">
        <v>5.3031655122666894</v>
      </c>
      <c r="C35" s="3566">
        <v>9.1105519109818918</v>
      </c>
      <c r="D35" s="1951">
        <v>6.7252243321868175</v>
      </c>
      <c r="E35" s="1952">
        <v>4.3670012984908695</v>
      </c>
      <c r="F35" s="1953">
        <v>6.2553772563168852</v>
      </c>
    </row>
    <row r="36" spans="1:6" ht="12.75" customHeight="1">
      <c r="A36" s="881">
        <f t="shared" si="0"/>
        <v>2003.03</v>
      </c>
      <c r="B36" s="1954">
        <v>5.3329167914378912</v>
      </c>
      <c r="C36" s="3566">
        <v>9.0278461915063115</v>
      </c>
      <c r="D36" s="1951">
        <v>6.7129729223634467</v>
      </c>
      <c r="E36" s="1952">
        <v>4.3767016398562495</v>
      </c>
      <c r="F36" s="1953">
        <v>6.2474964952881349</v>
      </c>
    </row>
    <row r="37" spans="1:6" ht="12.75" customHeight="1">
      <c r="A37" s="881">
        <f t="shared" si="0"/>
        <v>2003.04</v>
      </c>
      <c r="B37" s="1954">
        <v>5.3652931834771405</v>
      </c>
      <c r="C37" s="3566">
        <v>9.0304307452399222</v>
      </c>
      <c r="D37" s="1951">
        <v>6.7342220627955394</v>
      </c>
      <c r="E37" s="1952">
        <v>4.3859400602042307</v>
      </c>
      <c r="F37" s="1953">
        <v>6.266350750732097</v>
      </c>
    </row>
    <row r="38" spans="1:6" ht="12.75" customHeight="1">
      <c r="A38" s="881">
        <f t="shared" si="0"/>
        <v>2003.05</v>
      </c>
      <c r="B38" s="1954">
        <v>5.6548060487282985</v>
      </c>
      <c r="C38" s="3566">
        <v>9.0304307452399222</v>
      </c>
      <c r="D38" s="1951">
        <v>6.9156018728753903</v>
      </c>
      <c r="E38" s="1952">
        <v>4.3767016398562495</v>
      </c>
      <c r="F38" s="1953">
        <v>6.4097291867667261</v>
      </c>
    </row>
    <row r="39" spans="1:6" ht="12.75" customHeight="1">
      <c r="A39" s="881">
        <f t="shared" si="0"/>
        <v>2003.06</v>
      </c>
      <c r="B39" s="1954">
        <v>5.711280289991687</v>
      </c>
      <c r="C39" s="3566">
        <v>9.0304307452399222</v>
      </c>
      <c r="D39" s="1951">
        <v>6.9509829850269034</v>
      </c>
      <c r="E39" s="1952">
        <v>4.3734681927344567</v>
      </c>
      <c r="F39" s="1953">
        <v>6.4374122401730665</v>
      </c>
    </row>
    <row r="40" spans="1:6" ht="12.75" customHeight="1">
      <c r="A40" s="881">
        <f t="shared" si="0"/>
        <v>2003.07</v>
      </c>
      <c r="B40" s="1954">
        <v>5.7573027712514007</v>
      </c>
      <c r="C40" s="3566">
        <v>9.0803987840897538</v>
      </c>
      <c r="D40" s="1951">
        <v>6.9984791320465254</v>
      </c>
      <c r="E40" s="1952">
        <v>4.3734681927344567</v>
      </c>
      <c r="F40" s="1953">
        <v>6.4754425571929257</v>
      </c>
    </row>
    <row r="41" spans="1:6" ht="12.75" customHeight="1">
      <c r="A41" s="881">
        <f t="shared" si="0"/>
        <v>2003.08</v>
      </c>
      <c r="B41" s="1954">
        <v>5.7936240997801773</v>
      </c>
      <c r="C41" s="3566">
        <v>9.0803987840897538</v>
      </c>
      <c r="D41" s="1951">
        <v>7.0212344443698047</v>
      </c>
      <c r="E41" s="1952">
        <v>4.492181894206019</v>
      </c>
      <c r="F41" s="1953">
        <v>6.5173209762862419</v>
      </c>
    </row>
    <row r="42" spans="1:6" ht="12.75" customHeight="1">
      <c r="A42" s="881">
        <f t="shared" si="0"/>
        <v>2003.09</v>
      </c>
      <c r="B42" s="1954">
        <v>5.8115623710451674</v>
      </c>
      <c r="C42" s="3566">
        <v>9.1519047707196819</v>
      </c>
      <c r="D42" s="1951">
        <v>7.0591802573235984</v>
      </c>
      <c r="E42" s="1952">
        <v>4.6141290427993749</v>
      </c>
      <c r="F42" s="1953">
        <v>6.5720103204684275</v>
      </c>
    </row>
    <row r="43" spans="1:6" ht="12.75" customHeight="1">
      <c r="A43" s="881">
        <f t="shared" si="0"/>
        <v>2003.1</v>
      </c>
      <c r="B43" s="1954">
        <v>5.8483139511978273</v>
      </c>
      <c r="C43" s="3566">
        <v>9.1519047707196819</v>
      </c>
      <c r="D43" s="1951">
        <v>7.0822051222892402</v>
      </c>
      <c r="E43" s="1952">
        <v>4.7393096385145244</v>
      </c>
      <c r="F43" s="1953">
        <v>6.6153934057990309</v>
      </c>
    </row>
    <row r="44" spans="1:6" ht="12.75" customHeight="1">
      <c r="A44" s="881">
        <f t="shared" si="0"/>
        <v>2003.11</v>
      </c>
      <c r="B44" s="1954">
        <v>5.8846280125391477</v>
      </c>
      <c r="C44" s="3566">
        <v>9.1519047707196819</v>
      </c>
      <c r="D44" s="1951">
        <v>7.1049558817195768</v>
      </c>
      <c r="E44" s="1952">
        <v>4.7393096385145244</v>
      </c>
      <c r="F44" s="1953">
        <v>6.6336085389678381</v>
      </c>
    </row>
    <row r="45" spans="1:6" ht="12.75" customHeight="1">
      <c r="A45" s="881">
        <f t="shared" si="0"/>
        <v>2003.12</v>
      </c>
      <c r="B45" s="1954">
        <v>5.9205045550691251</v>
      </c>
      <c r="C45" s="3566">
        <v>9.1519047707196819</v>
      </c>
      <c r="D45" s="1951">
        <v>7.1274325356146075</v>
      </c>
      <c r="E45" s="1952">
        <v>4.8146027643505747</v>
      </c>
      <c r="F45" s="1953">
        <v>6.6666101326799989</v>
      </c>
    </row>
    <row r="46" spans="1:6" ht="12.75" customHeight="1">
      <c r="A46" s="881">
        <f t="shared" si="0"/>
        <v>2004.01</v>
      </c>
      <c r="B46" s="1954">
        <v>6.1725153904016574</v>
      </c>
      <c r="C46" s="3566">
        <v>9.1725812005885761</v>
      </c>
      <c r="D46" s="1951">
        <v>7.293039970506471</v>
      </c>
      <c r="E46" s="1952">
        <v>4.856637576933891</v>
      </c>
      <c r="F46" s="1953">
        <v>6.8075806260044383</v>
      </c>
    </row>
    <row r="47" spans="1:6" ht="12.75" customHeight="1">
      <c r="A47" s="881">
        <f t="shared" si="0"/>
        <v>2004.02</v>
      </c>
      <c r="B47" s="1954">
        <v>6.3282720872391236</v>
      </c>
      <c r="C47" s="3566">
        <v>9.1725812005885761</v>
      </c>
      <c r="D47" s="1951">
        <v>7.3906215410751441</v>
      </c>
      <c r="E47" s="1952">
        <v>4.9319307027699404</v>
      </c>
      <c r="F47" s="1953">
        <v>6.9007141051172356</v>
      </c>
    </row>
    <row r="48" spans="1:6" ht="12.75" customHeight="1">
      <c r="A48" s="881">
        <f t="shared" si="0"/>
        <v>2004.03</v>
      </c>
      <c r="B48" s="1954">
        <v>6.3750866000526329</v>
      </c>
      <c r="C48" s="3566">
        <v>9.1725812005885761</v>
      </c>
      <c r="D48" s="1951">
        <v>7.4199508333528073</v>
      </c>
      <c r="E48" s="1952">
        <v>5.0658877978156731</v>
      </c>
      <c r="F48" s="1953">
        <v>6.9508939137871071</v>
      </c>
    </row>
    <row r="49" spans="1:6" ht="12.75" customHeight="1">
      <c r="A49" s="881">
        <f t="shared" si="0"/>
        <v>2004.04</v>
      </c>
      <c r="B49" s="1954">
        <v>6.3921498336949387</v>
      </c>
      <c r="C49" s="3566">
        <v>9.1725812005885761</v>
      </c>
      <c r="D49" s="1951">
        <v>7.4306409492297121</v>
      </c>
      <c r="E49" s="1952">
        <v>5.1578100802780886</v>
      </c>
      <c r="F49" s="1953">
        <v>6.9777729426768467</v>
      </c>
    </row>
    <row r="50" spans="1:6" ht="12.75" customHeight="1">
      <c r="A50" s="881">
        <f t="shared" si="0"/>
        <v>2004.05</v>
      </c>
      <c r="B50" s="1954">
        <v>6.4197135188094343</v>
      </c>
      <c r="C50" s="3566">
        <v>9.2819939753114777</v>
      </c>
      <c r="D50" s="1951">
        <v>7.4887752693129483</v>
      </c>
      <c r="E50" s="1952">
        <v>5.0825169544420392</v>
      </c>
      <c r="F50" s="1953">
        <v>7.0093183280707736</v>
      </c>
    </row>
    <row r="51" spans="1:6" ht="12.75" customHeight="1">
      <c r="A51" s="881">
        <f t="shared" si="0"/>
        <v>2004.06</v>
      </c>
      <c r="B51" s="1954">
        <v>6.429776451470282</v>
      </c>
      <c r="C51" s="3566">
        <v>9.420698359015315</v>
      </c>
      <c r="D51" s="1951">
        <v>7.5468857839383521</v>
      </c>
      <c r="E51" s="1952">
        <v>4.9942900401188162</v>
      </c>
      <c r="F51" s="1953">
        <v>7.0382687522346545</v>
      </c>
    </row>
    <row r="52" spans="1:6" ht="12.75" customHeight="1">
      <c r="A52" s="881">
        <f t="shared" si="0"/>
        <v>2004.07</v>
      </c>
      <c r="B52" s="1954">
        <v>6.4499023167919765</v>
      </c>
      <c r="C52" s="3566">
        <v>9.5266650620934019</v>
      </c>
      <c r="D52" s="1951">
        <v>7.5990732021620593</v>
      </c>
      <c r="E52" s="1952">
        <v>5.0478728781371087</v>
      </c>
      <c r="F52" s="1953">
        <v>7.0907375867877178</v>
      </c>
    </row>
    <row r="53" spans="1:6" ht="12.75" customHeight="1">
      <c r="A53" s="881">
        <f t="shared" si="0"/>
        <v>2004.08</v>
      </c>
      <c r="B53" s="1954">
        <v>6.4704657009250131</v>
      </c>
      <c r="C53" s="3566">
        <v>9.5266650620934019</v>
      </c>
      <c r="D53" s="1951">
        <v>7.6119561623214063</v>
      </c>
      <c r="E53" s="1952">
        <v>5.2552754149492937</v>
      </c>
      <c r="F53" s="1953">
        <v>7.1423875058555177</v>
      </c>
    </row>
    <row r="54" spans="1:6" ht="12.75" customHeight="1">
      <c r="A54" s="881">
        <f t="shared" si="0"/>
        <v>2004.09</v>
      </c>
      <c r="B54" s="1954">
        <v>6.4892790098126847</v>
      </c>
      <c r="C54" s="3566">
        <v>9.5266650620934019</v>
      </c>
      <c r="D54" s="1951">
        <v>7.6237427003395331</v>
      </c>
      <c r="E54" s="1952">
        <v>5.3033152007587976</v>
      </c>
      <c r="F54" s="1953">
        <v>7.1613985909054074</v>
      </c>
    </row>
    <row r="55" spans="1:6" ht="12.75" customHeight="1">
      <c r="A55" s="881">
        <f t="shared" si="0"/>
        <v>2004.1</v>
      </c>
      <c r="B55" s="1954">
        <v>6.5269056275880279</v>
      </c>
      <c r="C55" s="3566">
        <v>9.5266650620934019</v>
      </c>
      <c r="D55" s="1951">
        <v>7.6473157763757857</v>
      </c>
      <c r="E55" s="1952">
        <v>5.2391081793403247</v>
      </c>
      <c r="F55" s="1953">
        <v>7.1674756430128177</v>
      </c>
    </row>
    <row r="56" spans="1:6" ht="12.75" customHeight="1">
      <c r="A56" s="881">
        <f t="shared" si="0"/>
        <v>2004.11</v>
      </c>
      <c r="B56" s="1954">
        <v>6.5422187859849696</v>
      </c>
      <c r="C56" s="3566">
        <v>9.5438954203174831</v>
      </c>
      <c r="D56" s="1951">
        <v>7.6633450089081636</v>
      </c>
      <c r="E56" s="1952">
        <v>5.3065486478805903</v>
      </c>
      <c r="F56" s="1953">
        <v>7.1937512087896209</v>
      </c>
    </row>
    <row r="57" spans="1:6" ht="12.75" customHeight="1">
      <c r="A57" s="881">
        <f t="shared" si="0"/>
        <v>2004.12</v>
      </c>
      <c r="B57" s="1954">
        <v>6.5719700651561714</v>
      </c>
      <c r="C57" s="3566">
        <v>9.5438954203174831</v>
      </c>
      <c r="D57" s="1951">
        <v>7.681984185308921</v>
      </c>
      <c r="E57" s="1952">
        <v>5.3698318272642638</v>
      </c>
      <c r="F57" s="1953">
        <v>7.221286788073062</v>
      </c>
    </row>
    <row r="58" spans="1:6" ht="12.75" customHeight="1">
      <c r="A58" s="881">
        <f t="shared" si="0"/>
        <v>2005.01</v>
      </c>
      <c r="B58" s="1954">
        <v>6.9276728587765666</v>
      </c>
      <c r="C58" s="3566">
        <v>9.6937995368669707</v>
      </c>
      <c r="D58" s="1951">
        <v>7.9608211730433318</v>
      </c>
      <c r="E58" s="1952">
        <v>5.4234146652825563</v>
      </c>
      <c r="F58" s="1953">
        <v>7.45522269023005</v>
      </c>
    </row>
    <row r="59" spans="1:6" ht="12.75" customHeight="1">
      <c r="A59" s="881">
        <f t="shared" si="0"/>
        <v>2005.02</v>
      </c>
      <c r="B59" s="1954">
        <v>7.054115795254174</v>
      </c>
      <c r="C59" s="3566">
        <v>10.121973938735339</v>
      </c>
      <c r="D59" s="1951">
        <v>8.1999608118443899</v>
      </c>
      <c r="E59" s="1952">
        <v>5.392927878134218</v>
      </c>
      <c r="F59" s="1953">
        <v>7.640637414087383</v>
      </c>
    </row>
    <row r="60" spans="1:6" ht="12.75" customHeight="1">
      <c r="A60" s="881">
        <f t="shared" si="0"/>
        <v>2005.03</v>
      </c>
      <c r="B60" s="1954">
        <v>7.1175560228986487</v>
      </c>
      <c r="C60" s="3566">
        <v>10.133173671580993</v>
      </c>
      <c r="D60" s="1951">
        <v>8.2438892146815039</v>
      </c>
      <c r="E60" s="1952">
        <v>5.431267322578341</v>
      </c>
      <c r="F60" s="1953">
        <v>7.6834499236457008</v>
      </c>
    </row>
    <row r="61" spans="1:6" ht="12.75" customHeight="1">
      <c r="A61" s="881">
        <f t="shared" si="0"/>
        <v>2005.04</v>
      </c>
      <c r="B61" s="1954">
        <v>7.2264982069226065</v>
      </c>
      <c r="C61" s="3566">
        <v>10.133173671580993</v>
      </c>
      <c r="D61" s="1951">
        <v>8.3121414929725148</v>
      </c>
      <c r="E61" s="1952">
        <v>5.5629148125370786</v>
      </c>
      <c r="F61" s="1953">
        <v>7.7643326679008942</v>
      </c>
    </row>
    <row r="62" spans="1:6" ht="12.75" customHeight="1">
      <c r="A62" s="881">
        <f t="shared" si="0"/>
        <v>2005.05</v>
      </c>
      <c r="B62" s="1954">
        <v>7.3678167829858152</v>
      </c>
      <c r="C62" s="3566">
        <v>10.133173671580993</v>
      </c>
      <c r="D62" s="1951">
        <v>8.4006775808761134</v>
      </c>
      <c r="E62" s="1952">
        <v>5.6913288553740209</v>
      </c>
      <c r="F62" s="1953">
        <v>7.8608109843916019</v>
      </c>
    </row>
    <row r="63" spans="1:6" ht="12.75" customHeight="1">
      <c r="A63" s="881">
        <f t="shared" si="0"/>
        <v>2005.06</v>
      </c>
      <c r="B63" s="1954">
        <v>7.4688836284056332</v>
      </c>
      <c r="C63" s="3566">
        <v>10.133173671580993</v>
      </c>
      <c r="D63" s="1951">
        <v>8.4639959595316299</v>
      </c>
      <c r="E63" s="1952">
        <v>5.7162725903135723</v>
      </c>
      <c r="F63" s="1953">
        <v>7.9164774004276346</v>
      </c>
    </row>
    <row r="64" spans="1:6" ht="12.75" customHeight="1">
      <c r="A64" s="881">
        <f t="shared" si="0"/>
        <v>2005.07</v>
      </c>
      <c r="B64" s="1954">
        <v>7.6172025054503001</v>
      </c>
      <c r="C64" s="3566">
        <v>10.328738237424293</v>
      </c>
      <c r="D64" s="1951">
        <v>8.6299611013425874</v>
      </c>
      <c r="E64" s="1952">
        <v>5.7176583533657697</v>
      </c>
      <c r="F64" s="1953">
        <v>8.0496436933732749</v>
      </c>
    </row>
    <row r="65" spans="1:6" ht="12.75" customHeight="1">
      <c r="A65" s="881">
        <f t="shared" si="0"/>
        <v>2005.08</v>
      </c>
      <c r="B65" s="1954">
        <v>7.7904599547414159</v>
      </c>
      <c r="C65" s="3566">
        <v>10.470027174861743</v>
      </c>
      <c r="D65" s="1951">
        <v>8.7912783114563577</v>
      </c>
      <c r="E65" s="1952">
        <v>5.6663851204344731</v>
      </c>
      <c r="F65" s="1953">
        <v>8.1685903958020329</v>
      </c>
    </row>
    <row r="66" spans="1:6" ht="12.75" customHeight="1">
      <c r="A66" s="881">
        <f t="shared" si="0"/>
        <v>2005.09</v>
      </c>
      <c r="B66" s="1954">
        <v>7.9120901842942706</v>
      </c>
      <c r="C66" s="3566">
        <v>10.687991206396344</v>
      </c>
      <c r="D66" s="1951">
        <v>8.9488892160493947</v>
      </c>
      <c r="E66" s="1952">
        <v>5.8155856090543745</v>
      </c>
      <c r="F66" s="1953">
        <v>8.3245288181596884</v>
      </c>
    </row>
    <row r="67" spans="1:6" ht="12.75" customHeight="1">
      <c r="A67" s="881">
        <f t="shared" si="0"/>
        <v>2005.1</v>
      </c>
      <c r="B67" s="1954">
        <v>8.0765972573585607</v>
      </c>
      <c r="C67" s="3566">
        <v>10.774142997516741</v>
      </c>
      <c r="D67" s="1951">
        <v>9.0841305913076411</v>
      </c>
      <c r="E67" s="1952">
        <v>5.8068091097237913</v>
      </c>
      <c r="F67" s="1953">
        <v>8.431064410416262</v>
      </c>
    </row>
    <row r="68" spans="1:6" ht="12.75" customHeight="1">
      <c r="A68" s="881">
        <f t="shared" si="0"/>
        <v>2005.11</v>
      </c>
      <c r="B68" s="1954">
        <v>8.151850492909249</v>
      </c>
      <c r="C68" s="3566">
        <v>10.774142997516741</v>
      </c>
      <c r="D68" s="1951">
        <v>9.1312767433801465</v>
      </c>
      <c r="E68" s="1952">
        <v>5.9592430454654863</v>
      </c>
      <c r="F68" s="1953">
        <v>8.4991915167618064</v>
      </c>
    </row>
    <row r="69" spans="1:6" ht="12.75" customHeight="1">
      <c r="A69" s="881">
        <f t="shared" si="0"/>
        <v>2005.12</v>
      </c>
      <c r="B69" s="1954">
        <v>8.2778559105755143</v>
      </c>
      <c r="C69" s="3566">
        <v>10.774142997516741</v>
      </c>
      <c r="D69" s="1951">
        <v>9.2102191375480622</v>
      </c>
      <c r="E69" s="1952">
        <v>6.0456222757191131</v>
      </c>
      <c r="F69" s="1953">
        <v>8.5796112148527541</v>
      </c>
    </row>
    <row r="70" spans="1:6" ht="12.75" customHeight="1">
      <c r="A70" s="881">
        <f t="shared" si="0"/>
        <v>2006.01</v>
      </c>
      <c r="B70" s="1954">
        <v>8.3990486213170268</v>
      </c>
      <c r="C70" s="3566">
        <v>10.837895322945833</v>
      </c>
      <c r="D70" s="1951">
        <v>9.3099578643753844</v>
      </c>
      <c r="E70" s="1952">
        <v>6.2909023359580232</v>
      </c>
      <c r="F70" s="1953">
        <v>8.7083541151021535</v>
      </c>
    </row>
    <row r="71" spans="1:6" ht="12.75" customHeight="1">
      <c r="A71" s="881">
        <f t="shared" si="0"/>
        <v>2006.02</v>
      </c>
      <c r="B71" s="1954">
        <v>8.5128035122657391</v>
      </c>
      <c r="C71" s="3566">
        <v>10.837895322945833</v>
      </c>
      <c r="D71" s="1951">
        <v>9.3812253035547535</v>
      </c>
      <c r="E71" s="1952">
        <v>6.3426374899067204</v>
      </c>
      <c r="F71" s="1953">
        <v>8.7757243845840023</v>
      </c>
    </row>
    <row r="72" spans="1:6" ht="12.75" customHeight="1">
      <c r="A72" s="881">
        <f t="shared" si="0"/>
        <v>2006.03</v>
      </c>
      <c r="B72" s="1954">
        <v>8.6134328388742141</v>
      </c>
      <c r="C72" s="3566">
        <v>10.854264163258707</v>
      </c>
      <c r="D72" s="1951">
        <v>9.4503833385318234</v>
      </c>
      <c r="E72" s="1952">
        <v>6.384210381472637</v>
      </c>
      <c r="F72" s="1953">
        <v>8.8393814522374807</v>
      </c>
    </row>
    <row r="73" spans="1:6" ht="12.75" customHeight="1">
      <c r="A73" s="881">
        <f t="shared" si="0"/>
        <v>2006.04</v>
      </c>
      <c r="B73" s="1954">
        <v>8.784940212919965</v>
      </c>
      <c r="C73" s="3566">
        <v>10.871494521482788</v>
      </c>
      <c r="D73" s="1951">
        <v>9.5642682471681795</v>
      </c>
      <c r="E73" s="1952">
        <v>6.5315631860229431</v>
      </c>
      <c r="F73" s="1953">
        <v>8.959930565150529</v>
      </c>
    </row>
    <row r="74" spans="1:6" ht="12.75" customHeight="1">
      <c r="A74" s="881">
        <f t="shared" si="0"/>
        <v>2006.05</v>
      </c>
      <c r="B74" s="1954">
        <v>8.9271338266058553</v>
      </c>
      <c r="C74" s="3566">
        <v>10.991245511140139</v>
      </c>
      <c r="D74" s="1951">
        <v>9.6980795407794105</v>
      </c>
      <c r="E74" s="1952">
        <v>6.6488911244423079</v>
      </c>
      <c r="F74" s="1953">
        <v>9.0904558609088646</v>
      </c>
    </row>
    <row r="75" spans="1:6" ht="12.75" customHeight="1">
      <c r="A75" s="881">
        <f t="shared" si="0"/>
        <v>2006.06</v>
      </c>
      <c r="B75" s="1954">
        <v>9.0554580939722324</v>
      </c>
      <c r="C75" s="3566">
        <v>11.078258820171738</v>
      </c>
      <c r="D75" s="1951">
        <v>9.8109741652077496</v>
      </c>
      <c r="E75" s="1952">
        <v>6.7186411980695677</v>
      </c>
      <c r="F75" s="1953">
        <v>9.1947501838251036</v>
      </c>
    </row>
    <row r="76" spans="1:6" ht="12.75" customHeight="1">
      <c r="A76" s="881">
        <f t="shared" si="0"/>
        <v>2006.07</v>
      </c>
      <c r="B76" s="1954">
        <v>9.2745237628107713</v>
      </c>
      <c r="C76" s="3566">
        <v>11.299668923351154</v>
      </c>
      <c r="D76" s="1951">
        <v>10.030915480272604</v>
      </c>
      <c r="E76" s="1952">
        <v>6.7107885407737848</v>
      </c>
      <c r="F76" s="1953">
        <v>9.3692922505764287</v>
      </c>
    </row>
    <row r="77" spans="1:6" ht="12.75" customHeight="1">
      <c r="A77" s="881">
        <f t="shared" si="0"/>
        <v>2006.08</v>
      </c>
      <c r="B77" s="1954">
        <v>9.4364057230070149</v>
      </c>
      <c r="C77" s="3566">
        <v>11.419419913008506</v>
      </c>
      <c r="D77" s="1951">
        <v>10.177061522972572</v>
      </c>
      <c r="E77" s="1952">
        <v>6.788853192714229</v>
      </c>
      <c r="F77" s="1953">
        <v>9.5018680479491096</v>
      </c>
    </row>
    <row r="78" spans="1:6" ht="12.75" customHeight="1">
      <c r="A78" s="881">
        <f t="shared" si="0"/>
        <v>2006.09</v>
      </c>
      <c r="B78" s="1954">
        <v>9.5365975308041495</v>
      </c>
      <c r="C78" s="3566">
        <v>11.853624940255301</v>
      </c>
      <c r="D78" s="1951">
        <v>10.402007268234154</v>
      </c>
      <c r="E78" s="1952">
        <v>6.9791646518826482</v>
      </c>
      <c r="F78" s="1953">
        <v>9.7199240562019344</v>
      </c>
    </row>
    <row r="79" spans="1:6" ht="12.75" customHeight="1">
      <c r="A79" s="881">
        <f t="shared" si="0"/>
        <v>2006.1</v>
      </c>
      <c r="B79" s="1954">
        <v>9.6766035504333328</v>
      </c>
      <c r="C79" s="3566">
        <v>12.20340121220411</v>
      </c>
      <c r="D79" s="1951">
        <v>10.620362477104718</v>
      </c>
      <c r="E79" s="1952">
        <v>7.0817111177452423</v>
      </c>
      <c r="F79" s="1953">
        <v>9.9152066692342355</v>
      </c>
    </row>
    <row r="80" spans="1:6" ht="12.75" customHeight="1">
      <c r="A80" s="881">
        <f t="shared" si="0"/>
        <v>2006.11</v>
      </c>
      <c r="B80" s="1954">
        <v>9.753606861229386</v>
      </c>
      <c r="C80" s="3566">
        <v>12.435149530317974</v>
      </c>
      <c r="D80" s="1951">
        <v>10.755163048133973</v>
      </c>
      <c r="E80" s="1952">
        <v>7.2771037081050522</v>
      </c>
      <c r="F80" s="1953">
        <v>10.062089195136103</v>
      </c>
    </row>
    <row r="81" spans="1:6" ht="12.75" customHeight="1">
      <c r="A81" s="881">
        <f t="shared" si="0"/>
        <v>2006.12</v>
      </c>
      <c r="B81" s="1954">
        <v>9.8870500986884515</v>
      </c>
      <c r="C81" s="3566">
        <v>12.52991650055041</v>
      </c>
      <c r="D81" s="1951">
        <v>10.874160699783893</v>
      </c>
      <c r="E81" s="1952">
        <v>7.2932709437140195</v>
      </c>
      <c r="F81" s="1953">
        <v>10.160591253898959</v>
      </c>
    </row>
    <row r="82" spans="1:6" ht="12.75" customHeight="1">
      <c r="A82" s="881">
        <f t="shared" si="0"/>
        <v>2007.01</v>
      </c>
      <c r="B82" s="1954">
        <v>9.979804086692786</v>
      </c>
      <c r="C82" s="3566">
        <v>12.627268024516454</v>
      </c>
      <c r="D82" s="1951">
        <v>10.968631867469925</v>
      </c>
      <c r="E82" s="1952">
        <v>7.5348556358137371</v>
      </c>
      <c r="F82" s="1953">
        <v>10.284382324235651</v>
      </c>
    </row>
    <row r="83" spans="1:6" ht="12.75" customHeight="1">
      <c r="A83" s="881">
        <f t="shared" si="0"/>
        <v>2007.02</v>
      </c>
      <c r="B83" s="1954">
        <v>10.06862040539505</v>
      </c>
      <c r="C83" s="3566">
        <v>12.73926535297297</v>
      </c>
      <c r="D83" s="1951">
        <v>11.066106293315404</v>
      </c>
      <c r="E83" s="1952">
        <v>7.730248226173547</v>
      </c>
      <c r="F83" s="1953">
        <v>10.401372733896761</v>
      </c>
    </row>
    <row r="84" spans="1:6" ht="12.75" customHeight="1">
      <c r="A84" s="881">
        <f t="shared" si="0"/>
        <v>2007.03</v>
      </c>
      <c r="B84" s="1954">
        <v>10.165749581512797</v>
      </c>
      <c r="C84" s="3566">
        <v>12.846390932620322</v>
      </c>
      <c r="D84" s="1951">
        <v>11.166969126151457</v>
      </c>
      <c r="E84" s="1952">
        <v>7.8337185340709397</v>
      </c>
      <c r="F84" s="1953">
        <v>10.502755621873895</v>
      </c>
    </row>
    <row r="85" spans="1:6" ht="12.75" customHeight="1">
      <c r="A85" s="881">
        <f t="shared" si="0"/>
        <v>2007.04</v>
      </c>
      <c r="B85" s="1954">
        <v>10.330256654577092</v>
      </c>
      <c r="C85" s="3566">
        <v>12.983936439754894</v>
      </c>
      <c r="D85" s="1951">
        <v>11.321406054341001</v>
      </c>
      <c r="E85" s="1952">
        <v>7.9815332596386437</v>
      </c>
      <c r="F85" s="1953">
        <v>10.655871705712538</v>
      </c>
    </row>
    <row r="86" spans="1:6" ht="12.75" customHeight="1">
      <c r="A86" s="881">
        <f t="shared" si="0"/>
        <v>2007.05</v>
      </c>
      <c r="B86" s="1954">
        <v>10.520577337510515</v>
      </c>
      <c r="C86" s="3566">
        <v>13.124363859281141</v>
      </c>
      <c r="D86" s="1951">
        <v>11.493091603391845</v>
      </c>
      <c r="E86" s="1952">
        <v>8.0018577844042031</v>
      </c>
      <c r="F86" s="1953">
        <v>10.797389079238021</v>
      </c>
    </row>
    <row r="87" spans="1:6" ht="12.75" customHeight="1">
      <c r="A87" s="881">
        <f t="shared" si="0"/>
        <v>2007.06</v>
      </c>
      <c r="B87" s="1954">
        <v>10.757275014446103</v>
      </c>
      <c r="C87" s="3566">
        <v>13.735180058324749</v>
      </c>
      <c r="D87" s="1951">
        <v>11.869522548334777</v>
      </c>
      <c r="E87" s="1952">
        <v>8.0623694376834827</v>
      </c>
      <c r="F87" s="1953">
        <v>11.110871731621417</v>
      </c>
    </row>
    <row r="88" spans="1:6" ht="12.75" customHeight="1">
      <c r="A88" s="881">
        <f t="shared" si="0"/>
        <v>2007.07</v>
      </c>
      <c r="B88" s="1954">
        <v>10.96072126171976</v>
      </c>
      <c r="C88" s="3566">
        <v>14.271905717004815</v>
      </c>
      <c r="D88" s="1951">
        <v>12.197448655768728</v>
      </c>
      <c r="E88" s="1952">
        <v>8.1755400869462562</v>
      </c>
      <c r="F88" s="1953">
        <v>11.39600992416316</v>
      </c>
    </row>
    <row r="89" spans="1:6" ht="12.75" customHeight="1">
      <c r="A89" s="881">
        <f t="shared" si="0"/>
        <v>2007.08</v>
      </c>
      <c r="B89" s="1954">
        <v>11.16941773472951</v>
      </c>
      <c r="C89" s="3566">
        <v>15.366033464233848</v>
      </c>
      <c r="D89" s="1951">
        <v>12.73685370969938</v>
      </c>
      <c r="E89" s="1952">
        <v>8.467012248925073</v>
      </c>
      <c r="F89" s="1953">
        <v>11.886036086103434</v>
      </c>
    </row>
    <row r="90" spans="1:6" ht="12.75" customHeight="1">
      <c r="A90" s="881">
        <f t="shared" si="0"/>
        <v>2007.09</v>
      </c>
      <c r="B90" s="1954">
        <v>11.361926011719637</v>
      </c>
      <c r="C90" s="3566">
        <v>15.411693913527655</v>
      </c>
      <c r="D90" s="1951">
        <v>12.874514323044933</v>
      </c>
      <c r="E90" s="1952">
        <v>8.593116686675021</v>
      </c>
      <c r="F90" s="1953">
        <v>12.021387892669022</v>
      </c>
    </row>
    <row r="91" spans="1:6" ht="12.75" customHeight="1">
      <c r="A91" s="881">
        <f t="shared" si="0"/>
        <v>2007.1</v>
      </c>
      <c r="B91" s="1954">
        <v>11.570622484729389</v>
      </c>
      <c r="C91" s="3566">
        <v>15.617596694305405</v>
      </c>
      <c r="D91" s="1951">
        <v>13.082167352006032</v>
      </c>
      <c r="E91" s="1952">
        <v>8.753403279712499</v>
      </c>
      <c r="F91" s="1953">
        <v>12.219600683253708</v>
      </c>
    </row>
    <row r="92" spans="1:6" ht="12.75" customHeight="1">
      <c r="A92" s="881">
        <f t="shared" si="0"/>
        <v>2007.11</v>
      </c>
      <c r="B92" s="1954">
        <v>11.713253617226622</v>
      </c>
      <c r="C92" s="3566">
        <v>15.891559390068265</v>
      </c>
      <c r="D92" s="1951">
        <v>13.273850823382976</v>
      </c>
      <c r="E92" s="1952">
        <v>8.8965987951062147</v>
      </c>
      <c r="F92" s="1953">
        <v>12.401625567834961</v>
      </c>
    </row>
    <row r="93" spans="1:6" ht="12.75" customHeight="1">
      <c r="A93" s="881">
        <f t="shared" si="0"/>
        <v>2007.12</v>
      </c>
      <c r="B93" s="1954">
        <v>11.869010314064086</v>
      </c>
      <c r="C93" s="3566">
        <v>16.091431545467582</v>
      </c>
      <c r="D93" s="1951">
        <v>13.44608464399329</v>
      </c>
      <c r="E93" s="1952">
        <v>9.0531900200045001</v>
      </c>
      <c r="F93" s="1953">
        <v>12.570743519770797</v>
      </c>
    </row>
    <row r="94" spans="1:6" ht="12.75" customHeight="1">
      <c r="A94" s="881">
        <f t="shared" si="0"/>
        <v>2008.01</v>
      </c>
      <c r="B94" s="1954">
        <v>11.514620076877716</v>
      </c>
      <c r="C94" s="3566">
        <v>16.091431545467582</v>
      </c>
      <c r="D94" s="1951">
        <v>13.224059160396031</v>
      </c>
      <c r="E94" s="1952">
        <v>9.2767597924256542</v>
      </c>
      <c r="F94" s="1953">
        <v>12.437538832441648</v>
      </c>
    </row>
    <row r="95" spans="1:6" ht="12.75" customHeight="1">
      <c r="A95" s="881">
        <f t="shared" si="0"/>
        <v>2008.02</v>
      </c>
      <c r="B95" s="1954">
        <v>11.613499328240826</v>
      </c>
      <c r="C95" s="3566">
        <v>16.617818989213202</v>
      </c>
      <c r="D95" s="1951">
        <v>13.482612721614009</v>
      </c>
      <c r="E95" s="1952">
        <v>9.6726261043366613</v>
      </c>
      <c r="F95" s="1953">
        <v>12.723475305313563</v>
      </c>
    </row>
    <row r="96" spans="1:6" ht="12.75" customHeight="1">
      <c r="A96" s="881">
        <f t="shared" si="0"/>
        <v>2008.03</v>
      </c>
      <c r="B96" s="1954">
        <v>11.747380084511233</v>
      </c>
      <c r="C96" s="3566">
        <v>16.642803008638118</v>
      </c>
      <c r="D96" s="1951">
        <v>13.575820546672626</v>
      </c>
      <c r="E96" s="1952">
        <v>9.9622505822458827</v>
      </c>
      <c r="F96" s="1953">
        <v>12.855824771316099</v>
      </c>
    </row>
    <row r="97" spans="1:6" ht="12.75" customHeight="1">
      <c r="A97" s="881">
        <f t="shared" si="0"/>
        <v>2008.04</v>
      </c>
      <c r="B97" s="1954">
        <v>12.127583931566736</v>
      </c>
      <c r="C97" s="3566">
        <v>16.704832298244803</v>
      </c>
      <c r="D97" s="1951">
        <v>13.837186196520992</v>
      </c>
      <c r="E97" s="1952">
        <v>10.280976084251247</v>
      </c>
      <c r="F97" s="1953">
        <v>13.128609974070168</v>
      </c>
    </row>
    <row r="98" spans="1:6" ht="12.75" customHeight="1">
      <c r="A98" s="881">
        <f t="shared" si="0"/>
        <v>2008.05</v>
      </c>
      <c r="B98" s="1954">
        <v>12.499037402395418</v>
      </c>
      <c r="C98" s="3566">
        <v>16.827167841635767</v>
      </c>
      <c r="D98" s="1951">
        <v>14.115594121451688</v>
      </c>
      <c r="E98" s="1952">
        <v>10.572448246230065</v>
      </c>
      <c r="F98" s="1953">
        <v>13.409611997948453</v>
      </c>
    </row>
    <row r="99" spans="1:6" ht="12.75" customHeight="1">
      <c r="A99" s="881">
        <f t="shared" ref="A99:A162" si="1">A87+1</f>
        <v>2008.06</v>
      </c>
      <c r="B99" s="1954">
        <v>12.692858235819568</v>
      </c>
      <c r="C99" s="3566">
        <v>17.325125194311656</v>
      </c>
      <c r="D99" s="1951">
        <v>14.423009944816362</v>
      </c>
      <c r="E99" s="1952">
        <v>10.854220066843501</v>
      </c>
      <c r="F99" s="1953">
        <v>13.711928696027622</v>
      </c>
    </row>
    <row r="100" spans="1:6" ht="12.75" customHeight="1">
      <c r="A100" s="881">
        <f t="shared" si="1"/>
        <v>2008.07</v>
      </c>
      <c r="B100" s="1954">
        <v>13.070874488818365</v>
      </c>
      <c r="C100" s="3566">
        <v>17.530166457178197</v>
      </c>
      <c r="D100" s="1951">
        <v>14.736420039000764</v>
      </c>
      <c r="E100" s="1952">
        <v>11.044069604994522</v>
      </c>
      <c r="F100" s="1953">
        <v>14.000706503208699</v>
      </c>
    </row>
    <row r="101" spans="1:6" ht="12.75" customHeight="1">
      <c r="A101" s="881">
        <f t="shared" si="1"/>
        <v>2008.08</v>
      </c>
      <c r="B101" s="1954">
        <v>13.374950062700499</v>
      </c>
      <c r="C101" s="3566">
        <v>19.091236912279776</v>
      </c>
      <c r="D101" s="1951">
        <v>15.509983201018358</v>
      </c>
      <c r="E101" s="1952">
        <v>11.404367998565801</v>
      </c>
      <c r="F101" s="1953">
        <v>14.691954454027615</v>
      </c>
    </row>
    <row r="102" spans="1:6" ht="12.75" customHeight="1">
      <c r="A102" s="881">
        <f t="shared" si="1"/>
        <v>2008.09</v>
      </c>
      <c r="B102" s="1954">
        <v>13.606397513899994</v>
      </c>
      <c r="C102" s="3566">
        <v>19.248894690030099</v>
      </c>
      <c r="D102" s="1951">
        <v>15.713870209184588</v>
      </c>
      <c r="E102" s="1952">
        <v>11.781295548763449</v>
      </c>
      <c r="F102" s="1953">
        <v>14.930325597628796</v>
      </c>
    </row>
    <row r="103" spans="1:6" ht="12.75" customHeight="1">
      <c r="A103" s="881">
        <f t="shared" si="1"/>
        <v>2008.1</v>
      </c>
      <c r="B103" s="1954">
        <v>13.827782032438643</v>
      </c>
      <c r="C103" s="3566">
        <v>19.248894690030099</v>
      </c>
      <c r="D103" s="1951">
        <v>15.852567610049052</v>
      </c>
      <c r="E103" s="1952">
        <v>12.191943333231228</v>
      </c>
      <c r="F103" s="1953">
        <v>15.123214175572208</v>
      </c>
    </row>
    <row r="104" spans="1:6" ht="12.75" customHeight="1">
      <c r="A104" s="881">
        <f t="shared" si="1"/>
        <v>2008.11</v>
      </c>
      <c r="B104" s="1954">
        <v>13.962100307520391</v>
      </c>
      <c r="C104" s="3566">
        <v>19.248894690030099</v>
      </c>
      <c r="D104" s="1951">
        <v>15.936718009387768</v>
      </c>
      <c r="E104" s="1952">
        <v>12.303266298424406</v>
      </c>
      <c r="F104" s="1953">
        <v>15.212774889316215</v>
      </c>
    </row>
    <row r="105" spans="1:6" ht="12.75" customHeight="1">
      <c r="A105" s="881">
        <f t="shared" si="1"/>
        <v>2008.12</v>
      </c>
      <c r="B105" s="1954">
        <v>14.071042491544352</v>
      </c>
      <c r="C105" s="3566">
        <v>19.498734884279248</v>
      </c>
      <c r="D105" s="1951">
        <v>16.098285600230835</v>
      </c>
      <c r="E105" s="1952">
        <v>12.450619102974713</v>
      </c>
      <c r="F105" s="1953">
        <v>15.371514904869427</v>
      </c>
    </row>
    <row r="106" spans="1:6" ht="12.75" customHeight="1">
      <c r="A106" s="881">
        <f t="shared" si="1"/>
        <v>2009.01</v>
      </c>
      <c r="B106" s="1954">
        <v>14.192235202285863</v>
      </c>
      <c r="C106" s="3566">
        <v>19.54439533357306</v>
      </c>
      <c r="D106" s="1951">
        <v>16.191267011321631</v>
      </c>
      <c r="E106" s="1952">
        <v>12.836995088837533</v>
      </c>
      <c r="F106" s="1953">
        <v>15.52296694294361</v>
      </c>
    </row>
    <row r="107" spans="1:6" ht="12.75" customHeight="1">
      <c r="A107" s="881">
        <f t="shared" si="1"/>
        <v>2009.02</v>
      </c>
      <c r="B107" s="1954">
        <v>14.256550467553021</v>
      </c>
      <c r="C107" s="3566">
        <v>19.544395333573057</v>
      </c>
      <c r="D107" s="1951">
        <v>16.231560525011506</v>
      </c>
      <c r="E107" s="1952">
        <v>13.349774404105503</v>
      </c>
      <c r="F107" s="1953">
        <v>15.657424397534523</v>
      </c>
    </row>
    <row r="108" spans="1:6" ht="12.75" customHeight="1">
      <c r="A108" s="881">
        <f t="shared" si="1"/>
        <v>2009.03</v>
      </c>
      <c r="B108" s="1954">
        <v>14.340991598141871</v>
      </c>
      <c r="C108" s="3566">
        <v>19.621931945581412</v>
      </c>
      <c r="D108" s="1951">
        <v>16.313422817910542</v>
      </c>
      <c r="E108" s="1952">
        <v>13.458068841922097</v>
      </c>
      <c r="F108" s="1953">
        <v>15.744554350746437</v>
      </c>
    </row>
    <row r="109" spans="1:6" ht="12.75" customHeight="1">
      <c r="A109" s="881">
        <f t="shared" si="1"/>
        <v>2009.04</v>
      </c>
      <c r="B109" s="1954">
        <v>14.527374611773226</v>
      </c>
      <c r="C109" s="3566">
        <v>19.652946590384758</v>
      </c>
      <c r="D109" s="1951">
        <v>16.441775745784636</v>
      </c>
      <c r="E109" s="1952">
        <v>13.855320916885301</v>
      </c>
      <c r="F109" s="1953">
        <v>15.92649288918477</v>
      </c>
    </row>
    <row r="110" spans="1:6" ht="12.75" customHeight="1">
      <c r="A110" s="881">
        <f t="shared" si="1"/>
        <v>2009.05</v>
      </c>
      <c r="B110" s="1954">
        <v>14.73344597191493</v>
      </c>
      <c r="C110" s="3566">
        <v>19.777005169598127</v>
      </c>
      <c r="D110" s="1951">
        <v>16.617215332249604</v>
      </c>
      <c r="E110" s="1952">
        <v>13.798042710727817</v>
      </c>
      <c r="F110" s="1953">
        <v>16.055548657987384</v>
      </c>
    </row>
    <row r="111" spans="1:6" ht="12.75" customHeight="1">
      <c r="A111" s="881">
        <f t="shared" si="1"/>
        <v>2009.06</v>
      </c>
      <c r="B111" s="1954">
        <v>15.018708236909394</v>
      </c>
      <c r="C111" s="3566">
        <v>19.955339377217346</v>
      </c>
      <c r="D111" s="1951">
        <v>16.862539967814413</v>
      </c>
      <c r="E111" s="1952">
        <v>13.931075963738749</v>
      </c>
      <c r="F111" s="1953">
        <v>16.278489498932593</v>
      </c>
    </row>
    <row r="112" spans="1:6" ht="12.75" customHeight="1">
      <c r="A112" s="881">
        <f t="shared" si="1"/>
        <v>2009.07</v>
      </c>
      <c r="B112" s="1954">
        <v>15.365660654302964</v>
      </c>
      <c r="C112" s="3566">
        <v>20.555817361326508</v>
      </c>
      <c r="D112" s="1951">
        <v>17.304184184376258</v>
      </c>
      <c r="E112" s="1952">
        <v>14.068728426923675</v>
      </c>
      <c r="F112" s="1953">
        <v>16.659557932457016</v>
      </c>
    </row>
    <row r="113" spans="1:6" ht="12.75" customHeight="1">
      <c r="A113" s="881">
        <f t="shared" si="1"/>
        <v>2009.08</v>
      </c>
      <c r="B113" s="1954">
        <v>15.625109309428298</v>
      </c>
      <c r="C113" s="3566">
        <v>20.792734786907598</v>
      </c>
      <c r="D113" s="1951">
        <v>17.555217425266815</v>
      </c>
      <c r="E113" s="1952">
        <v>14.242410729465728</v>
      </c>
      <c r="F113" s="1953">
        <v>16.895174262755816</v>
      </c>
    </row>
    <row r="114" spans="1:6" ht="12.75" customHeight="1">
      <c r="A114" s="881">
        <f t="shared" si="1"/>
        <v>2009.09</v>
      </c>
      <c r="B114" s="1954">
        <v>15.854806685382428</v>
      </c>
      <c r="C114" s="3566">
        <v>21.039990427423135</v>
      </c>
      <c r="D114" s="1951">
        <v>17.79147281303463</v>
      </c>
      <c r="E114" s="1952">
        <v>14.713108246195388</v>
      </c>
      <c r="F114" s="1953">
        <v>17.178154643696825</v>
      </c>
    </row>
    <row r="115" spans="1:6" ht="12.75" customHeight="1">
      <c r="A115" s="881">
        <f t="shared" si="1"/>
        <v>2009.1</v>
      </c>
      <c r="B115" s="1954">
        <v>16.154507071151151</v>
      </c>
      <c r="C115" s="3566">
        <v>21.730066274297503</v>
      </c>
      <c r="D115" s="1951">
        <v>18.236978433526314</v>
      </c>
      <c r="E115" s="1952">
        <v>14.543121311792527</v>
      </c>
      <c r="F115" s="1953">
        <v>17.501007646972049</v>
      </c>
    </row>
    <row r="116" spans="1:6" ht="12.75" customHeight="1">
      <c r="A116" s="881">
        <f t="shared" si="1"/>
        <v>2009.11</v>
      </c>
      <c r="B116" s="1954">
        <v>16.287512789798875</v>
      </c>
      <c r="C116" s="3566">
        <v>21.730066274297503</v>
      </c>
      <c r="D116" s="1951">
        <v>18.320306516259112</v>
      </c>
      <c r="E116" s="1952">
        <v>14.939911465738335</v>
      </c>
      <c r="F116" s="1953">
        <v>17.646803593127146</v>
      </c>
    </row>
    <row r="117" spans="1:6" ht="12.75" customHeight="1">
      <c r="A117" s="881">
        <f t="shared" si="1"/>
        <v>2009.12</v>
      </c>
      <c r="B117" s="1954">
        <v>16.504084601412771</v>
      </c>
      <c r="C117" s="3566">
        <v>21.730066274297503</v>
      </c>
      <c r="D117" s="1951">
        <v>18.455988756235218</v>
      </c>
      <c r="E117" s="1952">
        <v>15.130684845924153</v>
      </c>
      <c r="F117" s="1953">
        <v>17.793457148503713</v>
      </c>
    </row>
    <row r="118" spans="1:6" ht="12.75" customHeight="1">
      <c r="A118" s="881">
        <f t="shared" si="1"/>
        <v>2010.01</v>
      </c>
      <c r="B118" s="1954">
        <v>16.746470022895792</v>
      </c>
      <c r="C118" s="3566">
        <v>21.773142169857703</v>
      </c>
      <c r="D118" s="1951">
        <v>18.623932069786068</v>
      </c>
      <c r="E118" s="1952">
        <v>15.542856969749351</v>
      </c>
      <c r="F118" s="1953">
        <v>18.010067580560015</v>
      </c>
    </row>
    <row r="119" spans="1:6" ht="12.75" customHeight="1">
      <c r="A119" s="881">
        <f t="shared" si="1"/>
        <v>2010.02</v>
      </c>
      <c r="B119" s="1954">
        <v>16.998918377039665</v>
      </c>
      <c r="C119" s="3566">
        <v>21.854124853510875</v>
      </c>
      <c r="D119" s="1951">
        <v>18.812337996001663</v>
      </c>
      <c r="E119" s="1952">
        <v>15.745501720082327</v>
      </c>
      <c r="F119" s="1953">
        <v>18.201304694420607</v>
      </c>
    </row>
    <row r="120" spans="1:6" ht="12.75" customHeight="1">
      <c r="A120" s="881">
        <f t="shared" si="1"/>
        <v>2010.03</v>
      </c>
      <c r="B120" s="1954">
        <v>17.381747336963215</v>
      </c>
      <c r="C120" s="3566">
        <v>22.464079534643279</v>
      </c>
      <c r="D120" s="1951">
        <v>19.279998412796719</v>
      </c>
      <c r="E120" s="1952">
        <v>15.805089531326809</v>
      </c>
      <c r="F120" s="1953">
        <v>18.587644996625986</v>
      </c>
    </row>
    <row r="121" spans="1:6" ht="12.75" customHeight="1">
      <c r="A121" s="881">
        <f t="shared" si="1"/>
        <v>2010.04</v>
      </c>
      <c r="B121" s="1954">
        <v>17.75845103352799</v>
      </c>
      <c r="C121" s="3566">
        <v>22.464079534643279</v>
      </c>
      <c r="D121" s="1951">
        <v>19.516003278694551</v>
      </c>
      <c r="E121" s="1952">
        <v>15.988010254216842</v>
      </c>
      <c r="F121" s="1953">
        <v>18.813055670894858</v>
      </c>
    </row>
    <row r="122" spans="1:6" ht="12.75" customHeight="1">
      <c r="A122" s="881">
        <f t="shared" si="1"/>
        <v>2010.05</v>
      </c>
      <c r="B122" s="1954">
        <v>18.143467587508248</v>
      </c>
      <c r="C122" s="3566">
        <v>22.759580178186241</v>
      </c>
      <c r="D122" s="1951">
        <v>19.867585640126478</v>
      </c>
      <c r="E122" s="1952">
        <v>16.339070227440143</v>
      </c>
      <c r="F122" s="1953">
        <v>19.164530469518464</v>
      </c>
    </row>
    <row r="123" spans="1:6" ht="12.75" customHeight="1">
      <c r="A123" s="881">
        <f t="shared" si="1"/>
        <v>2010.06</v>
      </c>
      <c r="B123" s="1954">
        <v>18.577996162095214</v>
      </c>
      <c r="C123" s="3566">
        <v>24.54464529020084</v>
      </c>
      <c r="D123" s="1951">
        <v>20.806539611442666</v>
      </c>
      <c r="E123" s="1952">
        <v>16.839958711913198</v>
      </c>
      <c r="F123" s="1953">
        <v>20.016230052490329</v>
      </c>
    </row>
    <row r="124" spans="1:6" ht="12.75" customHeight="1">
      <c r="A124" s="881">
        <f t="shared" si="1"/>
        <v>2010.07</v>
      </c>
      <c r="B124" s="1954">
        <v>19.316018001902663</v>
      </c>
      <c r="C124" s="3566">
        <v>24.696272442572742</v>
      </c>
      <c r="D124" s="1951">
        <v>21.325543035492938</v>
      </c>
      <c r="E124" s="1952">
        <v>17.229078329858282</v>
      </c>
      <c r="F124" s="1953">
        <v>20.509325028468638</v>
      </c>
    </row>
    <row r="125" spans="1:6" ht="12.75" customHeight="1">
      <c r="A125" s="881">
        <f t="shared" si="1"/>
        <v>2010.08</v>
      </c>
      <c r="B125" s="1954">
        <v>19.900290926220563</v>
      </c>
      <c r="C125" s="3566">
        <v>25.270203932858536</v>
      </c>
      <c r="D125" s="1951">
        <v>21.905953434199844</v>
      </c>
      <c r="E125" s="1952">
        <v>17.38998011280604</v>
      </c>
      <c r="F125" s="1953">
        <v>21.006126961392464</v>
      </c>
    </row>
    <row r="126" spans="1:6" ht="12.75" customHeight="1">
      <c r="A126" s="881">
        <f t="shared" si="1"/>
        <v>2010.09</v>
      </c>
      <c r="B126" s="1954">
        <v>20.337129714787821</v>
      </c>
      <c r="C126" s="3566">
        <v>25.627319600268656</v>
      </c>
      <c r="D126" s="1951">
        <v>22.313015637014914</v>
      </c>
      <c r="E126" s="1952">
        <v>17.907164415138112</v>
      </c>
      <c r="F126" s="1953">
        <v>21.435133425314952</v>
      </c>
    </row>
    <row r="127" spans="1:6" ht="12.75" customHeight="1">
      <c r="A127" s="881">
        <f t="shared" si="1"/>
        <v>2010.1</v>
      </c>
      <c r="B127" s="1954">
        <v>20.779739486264145</v>
      </c>
      <c r="C127" s="3566">
        <v>26.463225237739721</v>
      </c>
      <c r="D127" s="1951">
        <v>22.902521414440272</v>
      </c>
      <c r="E127" s="1952">
        <v>17.842037502992593</v>
      </c>
      <c r="F127" s="1953">
        <v>21.894186069264471</v>
      </c>
    </row>
    <row r="128" spans="1:6" ht="12.75" customHeight="1">
      <c r="A128" s="881">
        <f t="shared" si="1"/>
        <v>2010.11</v>
      </c>
      <c r="B128" s="1954">
        <v>20.988539493032363</v>
      </c>
      <c r="C128" s="3566">
        <v>26.463225237739721</v>
      </c>
      <c r="D128" s="1951">
        <v>23.033334618680566</v>
      </c>
      <c r="E128" s="1952">
        <v>18.338972261212191</v>
      </c>
      <c r="F128" s="1953">
        <v>22.097959249972572</v>
      </c>
    </row>
    <row r="129" spans="1:6" ht="12.75" customHeight="1">
      <c r="A129" s="881">
        <f t="shared" si="1"/>
        <v>2010.12</v>
      </c>
      <c r="B129" s="1954">
        <v>21.332364474653676</v>
      </c>
      <c r="C129" s="3566">
        <v>26.463225237739721</v>
      </c>
      <c r="D129" s="1951">
        <v>23.248740969666315</v>
      </c>
      <c r="E129" s="1952">
        <v>18.641620852947259</v>
      </c>
      <c r="F129" s="1953">
        <v>22.330739725086623</v>
      </c>
    </row>
    <row r="130" spans="1:6" ht="12.75" customHeight="1">
      <c r="A130" s="881">
        <f t="shared" si="1"/>
        <v>2011.01</v>
      </c>
      <c r="B130" s="1954">
        <v>21.676941658514281</v>
      </c>
      <c r="C130" s="3566">
        <v>26.571512372263385</v>
      </c>
      <c r="D130" s="1951">
        <v>23.505063820099572</v>
      </c>
      <c r="E130" s="1952">
        <v>19.401252399652996</v>
      </c>
      <c r="F130" s="1953">
        <v>22.687362889705582</v>
      </c>
    </row>
    <row r="131" spans="1:6" ht="12.75" customHeight="1">
      <c r="A131" s="881">
        <f t="shared" si="1"/>
        <v>2011.02</v>
      </c>
      <c r="B131" s="1954">
        <v>21.890098773641292</v>
      </c>
      <c r="C131" s="3566">
        <v>26.594625508613955</v>
      </c>
      <c r="D131" s="1951">
        <v>23.647239509153582</v>
      </c>
      <c r="E131" s="1952">
        <v>19.933213396337418</v>
      </c>
      <c r="F131" s="1953">
        <v>22.907215464374953</v>
      </c>
    </row>
    <row r="132" spans="1:6" ht="12.75" customHeight="1">
      <c r="A132" s="881">
        <f t="shared" si="1"/>
        <v>2011.03</v>
      </c>
      <c r="B132" s="1954">
        <v>22.244270130375028</v>
      </c>
      <c r="C132" s="3566">
        <v>26.83269822349191</v>
      </c>
      <c r="D132" s="1951">
        <v>23.958048023154184</v>
      </c>
      <c r="E132" s="1952">
        <v>20.222727148648175</v>
      </c>
      <c r="F132" s="1953">
        <v>23.213775456768122</v>
      </c>
    </row>
    <row r="133" spans="1:6" ht="12.75" customHeight="1">
      <c r="A133" s="881">
        <f t="shared" si="1"/>
        <v>2011.04</v>
      </c>
      <c r="B133" s="1954">
        <v>22.757660109887798</v>
      </c>
      <c r="C133" s="3566">
        <v>26.856768578676739</v>
      </c>
      <c r="D133" s="1951">
        <v>24.288677122980467</v>
      </c>
      <c r="E133" s="1952">
        <v>20.690655803139101</v>
      </c>
      <c r="F133" s="1953">
        <v>23.571749494567552</v>
      </c>
    </row>
    <row r="134" spans="1:6" ht="12.75" customHeight="1">
      <c r="A134" s="881">
        <f t="shared" si="1"/>
        <v>2011.05</v>
      </c>
      <c r="B134" s="1954">
        <v>23.67775731803258</v>
      </c>
      <c r="C134" s="3566">
        <v>27.004204208644168</v>
      </c>
      <c r="D134" s="1951">
        <v>24.920185231676005</v>
      </c>
      <c r="E134" s="1952">
        <v>21.154753462797942</v>
      </c>
      <c r="F134" s="1953">
        <v>24.16986291466624</v>
      </c>
    </row>
    <row r="135" spans="1:6" ht="12.75" customHeight="1">
      <c r="A135" s="881">
        <f t="shared" si="1"/>
        <v>2011.06</v>
      </c>
      <c r="B135" s="1954">
        <v>24.697871978557259</v>
      </c>
      <c r="C135" s="3566">
        <v>27.454269735818745</v>
      </c>
      <c r="D135" s="1951">
        <v>25.727386540894422</v>
      </c>
      <c r="E135" s="1952">
        <v>22.031503994370414</v>
      </c>
      <c r="F135" s="1953">
        <v>24.990903408505734</v>
      </c>
    </row>
    <row r="136" spans="1:6" ht="12.75" customHeight="1">
      <c r="A136" s="881">
        <f t="shared" si="1"/>
        <v>2011.07</v>
      </c>
      <c r="B136" s="1954">
        <v>25.892440434932602</v>
      </c>
      <c r="C136" s="3566">
        <v>28.287751750832097</v>
      </c>
      <c r="D136" s="1951">
        <v>26.787089211421062</v>
      </c>
      <c r="E136" s="1952">
        <v>22.589734669903446</v>
      </c>
      <c r="F136" s="1953">
        <v>25.950648790547831</v>
      </c>
    </row>
    <row r="137" spans="1:6" ht="12.75" customHeight="1">
      <c r="A137" s="881">
        <f t="shared" si="1"/>
        <v>2011.08</v>
      </c>
      <c r="B137" s="1954">
        <v>26.64444050132035</v>
      </c>
      <c r="C137" s="3566">
        <v>28.498977394939612</v>
      </c>
      <c r="D137" s="1951">
        <v>27.337110031087139</v>
      </c>
      <c r="E137" s="1952">
        <v>22.815216080020715</v>
      </c>
      <c r="F137" s="1953">
        <v>26.435968059036853</v>
      </c>
    </row>
    <row r="138" spans="1:6" ht="12.75" customHeight="1">
      <c r="A138" s="881">
        <f t="shared" si="1"/>
        <v>2011.09</v>
      </c>
      <c r="B138" s="1954">
        <v>27.388947731322254</v>
      </c>
      <c r="C138" s="3566">
        <v>28.512546280103177</v>
      </c>
      <c r="D138" s="1951">
        <v>27.808611789291927</v>
      </c>
      <c r="E138" s="1952">
        <v>22.988705417416764</v>
      </c>
      <c r="F138" s="1953">
        <v>26.848047764101267</v>
      </c>
    </row>
    <row r="139" spans="1:6" ht="12.75" customHeight="1">
      <c r="A139" s="881">
        <f t="shared" si="1"/>
        <v>2011.1</v>
      </c>
      <c r="B139" s="1954">
        <v>27.697863783032648</v>
      </c>
      <c r="C139" s="3566">
        <v>28.974397702831919</v>
      </c>
      <c r="D139" s="1951">
        <v>28.174649202077674</v>
      </c>
      <c r="E139" s="1952">
        <v>23.236078226574541</v>
      </c>
      <c r="F139" s="1953">
        <v>27.190441217042508</v>
      </c>
    </row>
    <row r="140" spans="1:6" ht="12.75" customHeight="1">
      <c r="A140" s="881">
        <f t="shared" si="1"/>
        <v>2011.11</v>
      </c>
      <c r="B140" s="1954">
        <v>28.087492137956197</v>
      </c>
      <c r="C140" s="3566">
        <v>29.010514343720605</v>
      </c>
      <c r="D140" s="1951">
        <v>28.432240931809201</v>
      </c>
      <c r="E140" s="1952">
        <v>24.198752499381019</v>
      </c>
      <c r="F140" s="1953">
        <v>27.588542269732297</v>
      </c>
    </row>
    <row r="141" spans="1:6" ht="12.75" customHeight="1">
      <c r="A141" s="881">
        <f t="shared" si="1"/>
        <v>2011.12</v>
      </c>
      <c r="B141" s="1954">
        <v>28.966226274445049</v>
      </c>
      <c r="C141" s="3566">
        <v>29.025351086388611</v>
      </c>
      <c r="D141" s="1951">
        <v>28.988309391705972</v>
      </c>
      <c r="E141" s="1952">
        <v>24.749321185249869</v>
      </c>
      <c r="F141" s="1953">
        <v>28.143481321420769</v>
      </c>
    </row>
    <row r="142" spans="1:6" ht="12.75" customHeight="1">
      <c r="A142" s="881">
        <f t="shared" si="1"/>
        <v>2012.01</v>
      </c>
      <c r="B142" s="1954">
        <v>29.194455942402687</v>
      </c>
      <c r="C142" s="3566">
        <v>29.025351086388611</v>
      </c>
      <c r="D142" s="1951">
        <v>29.131295278681428</v>
      </c>
      <c r="E142" s="1952">
        <v>25.427954555505718</v>
      </c>
      <c r="F142" s="1953">
        <v>28.393212953560315</v>
      </c>
    </row>
    <row r="143" spans="1:6" ht="12.75" customHeight="1">
      <c r="A143" s="881">
        <f t="shared" si="1"/>
        <v>2012.02</v>
      </c>
      <c r="B143" s="1954">
        <v>29.578389050178011</v>
      </c>
      <c r="C143" s="3566">
        <v>29.04088010520584</v>
      </c>
      <c r="D143" s="1951">
        <v>29.377629459230903</v>
      </c>
      <c r="E143" s="1952">
        <v>25.993299935726917</v>
      </c>
      <c r="F143" s="1953">
        <v>28.703111864226731</v>
      </c>
    </row>
    <row r="144" spans="1:6" ht="12.75" customHeight="1">
      <c r="A144" s="881">
        <f t="shared" si="1"/>
        <v>2012.03</v>
      </c>
      <c r="B144" s="1954">
        <v>30.006200751304878</v>
      </c>
      <c r="C144" s="3566">
        <v>29.4118056128635</v>
      </c>
      <c r="D144" s="1951">
        <v>29.78419416709702</v>
      </c>
      <c r="E144" s="1952">
        <v>26.613921098525406</v>
      </c>
      <c r="F144" s="1953">
        <v>29.152335830598112</v>
      </c>
    </row>
    <row r="145" spans="1:6" ht="12.75" customHeight="1">
      <c r="A145" s="881">
        <f t="shared" si="1"/>
        <v>2012.04</v>
      </c>
      <c r="B145" s="1954">
        <v>30.743258393569718</v>
      </c>
      <c r="C145" s="3566">
        <v>30.848760291922975</v>
      </c>
      <c r="D145" s="1951">
        <v>30.782663352604658</v>
      </c>
      <c r="E145" s="1952">
        <v>27.153544084874003</v>
      </c>
      <c r="F145" s="1953">
        <v>30.059383949644122</v>
      </c>
    </row>
    <row r="146" spans="1:6" ht="12.75" customHeight="1">
      <c r="A146" s="881">
        <f t="shared" si="1"/>
        <v>2012.05</v>
      </c>
      <c r="B146" s="1954">
        <v>31.91137342053959</v>
      </c>
      <c r="C146" s="3566">
        <v>30.879220218326697</v>
      </c>
      <c r="D146" s="1951">
        <v>31.52586419951307</v>
      </c>
      <c r="E146" s="1952">
        <v>27.444108233215935</v>
      </c>
      <c r="F146" s="1953">
        <v>30.71233044592411</v>
      </c>
    </row>
    <row r="147" spans="1:6" ht="12.75" customHeight="1">
      <c r="A147" s="881">
        <f t="shared" si="1"/>
        <v>2012.06</v>
      </c>
      <c r="B147" s="1954">
        <v>32.535459047164785</v>
      </c>
      <c r="C147" s="3566">
        <v>31.573308584872503</v>
      </c>
      <c r="D147" s="1951">
        <v>32.176095849498616</v>
      </c>
      <c r="E147" s="1952">
        <v>27.878565274604533</v>
      </c>
      <c r="F147" s="1953">
        <v>31.319560915021903</v>
      </c>
    </row>
    <row r="148" spans="1:6" ht="12.75" customHeight="1">
      <c r="A148" s="881">
        <f t="shared" si="1"/>
        <v>2012.07</v>
      </c>
      <c r="B148" s="1954">
        <v>33.442381509501892</v>
      </c>
      <c r="C148" s="3566">
        <v>31.955828395768862</v>
      </c>
      <c r="D148" s="1951">
        <v>32.887153921522604</v>
      </c>
      <c r="E148" s="1952">
        <v>28.942985026006596</v>
      </c>
      <c r="F148" s="1953">
        <v>32.101023754023728</v>
      </c>
    </row>
    <row r="149" spans="1:6" ht="12.75" customHeight="1">
      <c r="A149" s="881">
        <f t="shared" si="1"/>
        <v>2012.08</v>
      </c>
      <c r="B149" s="1954">
        <v>34.103358897306904</v>
      </c>
      <c r="C149" s="3566">
        <v>32.628322902022127</v>
      </c>
      <c r="D149" s="1951">
        <v>33.552432953068042</v>
      </c>
      <c r="E149" s="1952">
        <v>29.741299839558142</v>
      </c>
      <c r="F149" s="1953">
        <v>32.792817260907896</v>
      </c>
    </row>
    <row r="150" spans="1:6" ht="12.75" customHeight="1">
      <c r="A150" s="881">
        <f t="shared" si="1"/>
        <v>2012.09</v>
      </c>
      <c r="B150" s="1954">
        <v>34.499945329989906</v>
      </c>
      <c r="C150" s="3566">
        <v>33.084878805350037</v>
      </c>
      <c r="D150" s="1951">
        <v>33.971417983036915</v>
      </c>
      <c r="E150" s="1952">
        <v>30.303378636854635</v>
      </c>
      <c r="F150" s="1953">
        <v>33.240323190528258</v>
      </c>
    </row>
    <row r="151" spans="1:6" ht="12.75" customHeight="1">
      <c r="A151" s="881">
        <f t="shared" si="1"/>
        <v>2012.1</v>
      </c>
      <c r="B151" s="1954">
        <v>34.951869404442633</v>
      </c>
      <c r="C151" s="3566">
        <v>33.467398616246385</v>
      </c>
      <c r="D151" s="1951">
        <v>34.397419565051329</v>
      </c>
      <c r="E151" s="1952">
        <v>30.838303869064344</v>
      </c>
      <c r="F151" s="1953">
        <v>33.688030580492239</v>
      </c>
    </row>
    <row r="152" spans="1:6" ht="12.75" customHeight="1">
      <c r="A152" s="881">
        <f t="shared" si="1"/>
        <v>2012.11</v>
      </c>
      <c r="B152" s="1954">
        <v>35.794231284715067</v>
      </c>
      <c r="C152" s="3566">
        <v>33.914700008020347</v>
      </c>
      <c r="D152" s="1951">
        <v>35.092226352869588</v>
      </c>
      <c r="E152" s="1952">
        <v>31.902723620466407</v>
      </c>
      <c r="F152" s="1953">
        <v>34.456486002370916</v>
      </c>
    </row>
    <row r="153" spans="1:6" ht="12.75" customHeight="1">
      <c r="A153" s="881">
        <f t="shared" si="1"/>
        <v>2012.12</v>
      </c>
      <c r="B153" s="1954">
        <v>36.138554389060005</v>
      </c>
      <c r="C153" s="3566">
        <v>34.18925051745402</v>
      </c>
      <c r="D153" s="1951">
        <v>35.410489393015169</v>
      </c>
      <c r="E153" s="1952">
        <v>33.0404579976028</v>
      </c>
      <c r="F153" s="1953">
        <v>34.938066990245233</v>
      </c>
    </row>
    <row r="154" spans="1:6" ht="12.75" customHeight="1">
      <c r="A154" s="881">
        <f t="shared" si="1"/>
        <v>2013.01</v>
      </c>
      <c r="B154" s="1954">
        <v>36.418316911340263</v>
      </c>
      <c r="C154" s="3566">
        <v>34.284880470178109</v>
      </c>
      <c r="D154" s="1951">
        <v>35.621478400566197</v>
      </c>
      <c r="E154" s="1952">
        <v>33.244109735753703</v>
      </c>
      <c r="F154" s="1953">
        <v>35.147586581694256</v>
      </c>
    </row>
    <row r="155" spans="1:6" ht="12.75" customHeight="1">
      <c r="A155" s="881">
        <f t="shared" si="1"/>
        <v>2013.02</v>
      </c>
      <c r="B155" s="1954">
        <v>36.704228060483828</v>
      </c>
      <c r="C155" s="3566">
        <v>34.340407539501768</v>
      </c>
      <c r="D155" s="1951">
        <v>35.821341095897033</v>
      </c>
      <c r="E155" s="1952">
        <v>33.638897068615982</v>
      </c>
      <c r="F155" s="1953">
        <v>35.386288875978835</v>
      </c>
    </row>
    <row r="156" spans="1:6" ht="12.75" customHeight="1">
      <c r="A156" s="881">
        <f t="shared" si="1"/>
        <v>2013.03</v>
      </c>
      <c r="B156" s="1954">
        <v>37.189969582684718</v>
      </c>
      <c r="C156" s="3566">
        <v>36.253006593983542</v>
      </c>
      <c r="D156" s="1951">
        <v>36.840013906404828</v>
      </c>
      <c r="E156" s="1952">
        <v>34.44285932020302</v>
      </c>
      <c r="F156" s="1953">
        <v>36.362224877451588</v>
      </c>
    </row>
    <row r="157" spans="1:6" ht="12.75" customHeight="1">
      <c r="A157" s="881">
        <f t="shared" si="1"/>
        <v>2013.04</v>
      </c>
      <c r="B157" s="1954">
        <v>37.801757955583305</v>
      </c>
      <c r="C157" s="3566">
        <v>37.169203237824007</v>
      </c>
      <c r="D157" s="1951">
        <v>37.565498768500213</v>
      </c>
      <c r="E157" s="1952">
        <v>35.527578981636303</v>
      </c>
      <c r="F157" s="1953">
        <v>37.15931696999386</v>
      </c>
    </row>
    <row r="158" spans="1:6" ht="12.75" customHeight="1">
      <c r="A158" s="881">
        <f t="shared" si="1"/>
        <v>2013.05</v>
      </c>
      <c r="B158" s="1954">
        <v>39.652494641437336</v>
      </c>
      <c r="C158" s="3566">
        <v>38.205708531865746</v>
      </c>
      <c r="D158" s="1951">
        <v>39.112120029512347</v>
      </c>
      <c r="E158" s="1952">
        <v>35.994413427248112</v>
      </c>
      <c r="F158" s="1953">
        <v>38.490705330076565</v>
      </c>
    </row>
    <row r="159" spans="1:6" ht="12.75" customHeight="1">
      <c r="A159" s="881">
        <f t="shared" si="1"/>
        <v>2013.06</v>
      </c>
      <c r="B159" s="1954">
        <v>40.71313277535701</v>
      </c>
      <c r="C159" s="3566">
        <v>38.582058668392804</v>
      </c>
      <c r="D159" s="1951">
        <v>39.917176596405881</v>
      </c>
      <c r="E159" s="1952">
        <v>36.638021056837175</v>
      </c>
      <c r="F159" s="1953">
        <v>39.263558744463012</v>
      </c>
    </row>
    <row r="160" spans="1:6" ht="12.75" customHeight="1">
      <c r="A160" s="881">
        <f t="shared" si="1"/>
        <v>2013.07</v>
      </c>
      <c r="B160" s="1954">
        <v>41.752250715255116</v>
      </c>
      <c r="C160" s="3566">
        <v>39.387201173585943</v>
      </c>
      <c r="D160" s="1951">
        <v>40.868904711441679</v>
      </c>
      <c r="E160" s="1952">
        <v>37.308998429245769</v>
      </c>
      <c r="F160" s="1953">
        <v>40.159324216740202</v>
      </c>
    </row>
    <row r="161" spans="1:6" ht="12.75" customHeight="1">
      <c r="A161" s="881">
        <f t="shared" si="1"/>
        <v>2013.08</v>
      </c>
      <c r="B161" s="1954">
        <v>42.542349267189479</v>
      </c>
      <c r="C161" s="3566">
        <v>40.392751070439914</v>
      </c>
      <c r="D161" s="1951">
        <v>41.739474340703516</v>
      </c>
      <c r="E161" s="1952">
        <v>37.676221459329078</v>
      </c>
      <c r="F161" s="1953">
        <v>40.929585174435104</v>
      </c>
    </row>
    <row r="162" spans="1:6" ht="12.75" customHeight="1">
      <c r="A162" s="881">
        <f t="shared" si="1"/>
        <v>2013.09</v>
      </c>
      <c r="B162" s="1954">
        <v>43.258664296764216</v>
      </c>
      <c r="C162" s="3566">
        <v>41.926022176551257</v>
      </c>
      <c r="D162" s="1951">
        <v>42.760922464864677</v>
      </c>
      <c r="E162" s="1952">
        <v>38.588546219979577</v>
      </c>
      <c r="F162" s="1953">
        <v>41.929316505905334</v>
      </c>
    </row>
    <row r="163" spans="1:6" ht="12.75" customHeight="1">
      <c r="A163" s="881">
        <f t="shared" ref="A163:A226" si="2">A151+1</f>
        <v>2013.1</v>
      </c>
      <c r="B163" s="1954">
        <v>43.808966401029778</v>
      </c>
      <c r="C163" s="3566">
        <v>42.231421057831412</v>
      </c>
      <c r="D163" s="1951">
        <v>43.219753215345193</v>
      </c>
      <c r="E163" s="1952">
        <v>39.487188845647317</v>
      </c>
      <c r="F163" s="1953">
        <v>42.475792322091422</v>
      </c>
    </row>
    <row r="164" spans="1:6" ht="12.75" customHeight="1">
      <c r="A164" s="881">
        <f t="shared" si="2"/>
        <v>2013.11</v>
      </c>
      <c r="B164" s="1954">
        <v>44.795821012589819</v>
      </c>
      <c r="C164" s="3566">
        <v>42.475123195418604</v>
      </c>
      <c r="D164" s="1951">
        <v>43.929040377876369</v>
      </c>
      <c r="E164" s="1952">
        <v>41.644040604329753</v>
      </c>
      <c r="F164" s="1953">
        <v>43.473550460107674</v>
      </c>
    </row>
    <row r="165" spans="1:6" ht="12.75" customHeight="1">
      <c r="A165" s="881">
        <f t="shared" si="2"/>
        <v>2013.12</v>
      </c>
      <c r="B165" s="1954">
        <v>45.235447833315938</v>
      </c>
      <c r="C165" s="3566">
        <v>43.138363190117929</v>
      </c>
      <c r="D165" s="1951">
        <v>44.452186719081482</v>
      </c>
      <c r="E165" s="1952">
        <v>42.183116722650531</v>
      </c>
      <c r="F165" s="1953">
        <v>43.999880226179791</v>
      </c>
    </row>
    <row r="166" spans="1:6" ht="12.75" customHeight="1">
      <c r="A166" s="881">
        <f t="shared" si="2"/>
        <v>2014.01</v>
      </c>
      <c r="B166" s="1954">
        <v>45.770378370423252</v>
      </c>
      <c r="C166" s="3566">
        <v>44.163835853943468</v>
      </c>
      <c r="D166" s="1951">
        <v>45.170334740518058</v>
      </c>
      <c r="E166" s="1952">
        <v>43.255796105298991</v>
      </c>
      <c r="F166" s="1953">
        <v>44.78870525830488</v>
      </c>
    </row>
    <row r="167" spans="1:6" ht="12.75" customHeight="1">
      <c r="A167" s="881">
        <f t="shared" si="2"/>
        <v>2014.02</v>
      </c>
      <c r="B167" s="1954">
        <v>46.474396146271374</v>
      </c>
      <c r="C167" s="3566">
        <v>45.64942065842142</v>
      </c>
      <c r="D167" s="1951">
        <v>46.166267801559414</v>
      </c>
      <c r="E167" s="1952">
        <v>44.198221562911556</v>
      </c>
      <c r="F167" s="1953">
        <v>45.774004383391841</v>
      </c>
    </row>
    <row r="168" spans="1:6" ht="12.75" customHeight="1">
      <c r="A168" s="881">
        <f t="shared" si="2"/>
        <v>2014.03</v>
      </c>
      <c r="B168" s="1954">
        <v>47.249123131047483</v>
      </c>
      <c r="C168" s="3566">
        <v>47.611377107857564</v>
      </c>
      <c r="D168" s="1951">
        <v>47.384424991386048</v>
      </c>
      <c r="E168" s="1952">
        <v>46.271885940898798</v>
      </c>
      <c r="F168" s="1953">
        <v>47.16270992351474</v>
      </c>
    </row>
    <row r="169" spans="1:6" ht="12.75" customHeight="1">
      <c r="A169" s="881">
        <f t="shared" si="2"/>
        <v>2014.04</v>
      </c>
      <c r="B169" s="1954">
        <v>50.344956756720251</v>
      </c>
      <c r="C169" s="3566">
        <v>48.965620631918043</v>
      </c>
      <c r="D169" s="1951">
        <v>49.829774714106627</v>
      </c>
      <c r="E169" s="1952">
        <v>47.745725521241809</v>
      </c>
      <c r="F169" s="1953">
        <v>49.414370536561051</v>
      </c>
    </row>
    <row r="170" spans="1:6" ht="12.75" customHeight="1">
      <c r="A170" s="881">
        <f t="shared" si="2"/>
        <v>2014.05</v>
      </c>
      <c r="B170" s="1954">
        <v>51.519344487611022</v>
      </c>
      <c r="C170" s="3566">
        <v>50.13056366507395</v>
      </c>
      <c r="D170" s="1951">
        <v>51.000634850393425</v>
      </c>
      <c r="E170" s="1952">
        <v>50.899183992068544</v>
      </c>
      <c r="F170" s="1953">
        <v>50.980362156828569</v>
      </c>
    </row>
    <row r="171" spans="1:6" ht="12.75" customHeight="1">
      <c r="A171" s="881">
        <f t="shared" si="2"/>
        <v>2014.06</v>
      </c>
      <c r="B171" s="1954">
        <v>52.607651442415545</v>
      </c>
      <c r="C171" s="3566">
        <v>52.340212032439723</v>
      </c>
      <c r="D171" s="1951">
        <v>52.507762822789573</v>
      </c>
      <c r="E171" s="1952">
        <v>52.785129478092308</v>
      </c>
      <c r="F171" s="1953">
        <v>52.563031687402152</v>
      </c>
    </row>
    <row r="172" spans="1:6" ht="12.75" customHeight="1">
      <c r="A172" s="881">
        <f t="shared" si="2"/>
        <v>2014.07</v>
      </c>
      <c r="B172" s="1954">
        <v>54.781191038592944</v>
      </c>
      <c r="C172" s="3566">
        <v>53.384150710573124</v>
      </c>
      <c r="D172" s="1951">
        <v>54.259396476077548</v>
      </c>
      <c r="E172" s="1952">
        <v>54.544104751476048</v>
      </c>
      <c r="F172" s="1953">
        <v>54.316084979459809</v>
      </c>
    </row>
    <row r="173" spans="1:6" ht="12.75" customHeight="1">
      <c r="A173" s="881">
        <f t="shared" si="2"/>
        <v>2014.08</v>
      </c>
      <c r="B173" s="1954">
        <v>55.9616538474544</v>
      </c>
      <c r="C173" s="3566">
        <v>56.107796858388376</v>
      </c>
      <c r="D173" s="1951">
        <v>56.016238262038243</v>
      </c>
      <c r="E173" s="1952">
        <v>53.961793086609738</v>
      </c>
      <c r="F173" s="1953">
        <v>55.606792972388412</v>
      </c>
    </row>
    <row r="174" spans="1:6" ht="12.75" customHeight="1">
      <c r="A174" s="881">
        <f t="shared" si="2"/>
        <v>2014.09</v>
      </c>
      <c r="B174" s="1954">
        <v>57.335620692387344</v>
      </c>
      <c r="C174" s="3566">
        <v>56.447003118190906</v>
      </c>
      <c r="D174" s="1951">
        <v>57.003722028424981</v>
      </c>
      <c r="E174" s="1952">
        <v>54.425891105224984</v>
      </c>
      <c r="F174" s="1953">
        <v>56.489926069223728</v>
      </c>
    </row>
    <row r="175" spans="1:6" ht="12.75" customHeight="1">
      <c r="A175" s="881">
        <f t="shared" si="2"/>
        <v>2014.1</v>
      </c>
      <c r="B175" s="1954">
        <v>58.384685231629511</v>
      </c>
      <c r="C175" s="3566">
        <v>56.808560374554887</v>
      </c>
      <c r="D175" s="1951">
        <v>57.796002597512143</v>
      </c>
      <c r="E175" s="1952">
        <v>55.529218470234831</v>
      </c>
      <c r="F175" s="1953">
        <v>57.344171761332539</v>
      </c>
    </row>
    <row r="176" spans="1:6" ht="12.75" customHeight="1">
      <c r="A176" s="881">
        <f t="shared" si="2"/>
        <v>2014.11</v>
      </c>
      <c r="B176" s="1954">
        <v>59.095726519281556</v>
      </c>
      <c r="C176" s="3566">
        <v>57.201162667305546</v>
      </c>
      <c r="D176" s="1951">
        <v>58.388106920568518</v>
      </c>
      <c r="E176" s="1952">
        <v>57.855181417304195</v>
      </c>
      <c r="F176" s="1953">
        <v>58.281821832331445</v>
      </c>
    </row>
    <row r="177" spans="1:6" ht="12.75" customHeight="1">
      <c r="A177" s="881">
        <f t="shared" si="2"/>
        <v>2014.12</v>
      </c>
      <c r="B177" s="1954">
        <v>59.4823686234947</v>
      </c>
      <c r="C177" s="3566">
        <v>57.756649329993479</v>
      </c>
      <c r="D177" s="1951">
        <v>58.837812467371997</v>
      </c>
      <c r="E177" s="1952">
        <v>59.064134864380939</v>
      </c>
      <c r="F177" s="1953">
        <v>58.882851994617106</v>
      </c>
    </row>
    <row r="178" spans="1:6" ht="12.75" customHeight="1">
      <c r="A178" s="881">
        <f t="shared" si="2"/>
        <v>2015.01</v>
      </c>
      <c r="B178" s="1954">
        <v>60.203322600064439</v>
      </c>
      <c r="C178" s="3566">
        <v>59.219621420323222</v>
      </c>
      <c r="D178" s="1951">
        <v>59.835910209431091</v>
      </c>
      <c r="E178" s="1952">
        <v>61.033267731099897</v>
      </c>
      <c r="F178" s="1953">
        <v>60.074505641819215</v>
      </c>
    </row>
    <row r="179" spans="1:6" ht="12.75" customHeight="1">
      <c r="A179" s="881">
        <f t="shared" si="2"/>
        <v>2015.02</v>
      </c>
      <c r="B179" s="1954">
        <v>60.673769528302792</v>
      </c>
      <c r="C179" s="3566">
        <v>59.957583612262013</v>
      </c>
      <c r="D179" s="1951">
        <v>60.406274088661554</v>
      </c>
      <c r="E179" s="1952">
        <v>61.575627561816539</v>
      </c>
      <c r="F179" s="1953">
        <v>60.639298626894281</v>
      </c>
    </row>
    <row r="180" spans="1:6" ht="12.75" customHeight="1">
      <c r="A180" s="881">
        <f t="shared" si="2"/>
        <v>2015.03</v>
      </c>
      <c r="B180" s="1954">
        <v>61.669255912051732</v>
      </c>
      <c r="C180" s="3566">
        <v>64.57085220067718</v>
      </c>
      <c r="D180" s="1951">
        <v>62.753002125853335</v>
      </c>
      <c r="E180" s="1952">
        <v>62.500539886651183</v>
      </c>
      <c r="F180" s="1953">
        <v>62.702798258117269</v>
      </c>
    </row>
    <row r="181" spans="1:6" ht="12.75" customHeight="1">
      <c r="A181" s="881">
        <f t="shared" si="2"/>
        <v>2015.04</v>
      </c>
      <c r="B181" s="1954">
        <v>62.452747840191314</v>
      </c>
      <c r="C181" s="3566">
        <v>66.240654659187967</v>
      </c>
      <c r="D181" s="1951">
        <v>63.867531037086565</v>
      </c>
      <c r="E181" s="1952">
        <v>62.529546012814627</v>
      </c>
      <c r="F181" s="1953">
        <v>63.601016645557038</v>
      </c>
    </row>
    <row r="182" spans="1:6" ht="12.75" customHeight="1">
      <c r="A182" s="881">
        <f t="shared" si="2"/>
        <v>2015.05</v>
      </c>
      <c r="B182" s="1954">
        <v>65.193580998937932</v>
      </c>
      <c r="C182" s="3566">
        <v>66.309604410372728</v>
      </c>
      <c r="D182" s="1951">
        <v>65.610415743108831</v>
      </c>
      <c r="E182" s="1952">
        <v>64.191651770520437</v>
      </c>
      <c r="F182" s="1953">
        <v>65.327699106074476</v>
      </c>
    </row>
    <row r="183" spans="1:6" ht="12.75" customHeight="1">
      <c r="A183" s="881">
        <f t="shared" si="2"/>
        <v>2015.06</v>
      </c>
      <c r="B183" s="1954">
        <v>67.509497090030194</v>
      </c>
      <c r="C183" s="3566">
        <v>69.150719233240963</v>
      </c>
      <c r="D183" s="1951">
        <v>68.122493560519416</v>
      </c>
      <c r="E183" s="1952">
        <v>67.055048979712637</v>
      </c>
      <c r="F183" s="1953">
        <v>67.909815124678232</v>
      </c>
    </row>
    <row r="184" spans="1:6" ht="12.75" customHeight="1">
      <c r="A184" s="881">
        <f t="shared" si="2"/>
        <v>2015.07</v>
      </c>
      <c r="B184" s="1954">
        <v>70.057087922541882</v>
      </c>
      <c r="C184" s="3566">
        <v>70.72297729524054</v>
      </c>
      <c r="D184" s="1951">
        <v>70.305797603244827</v>
      </c>
      <c r="E184" s="1952">
        <v>70.078800810902791</v>
      </c>
      <c r="F184" s="1953">
        <v>70.260582812566383</v>
      </c>
    </row>
    <row r="185" spans="1:6" ht="12.75" customHeight="1">
      <c r="A185" s="881">
        <f t="shared" si="2"/>
        <v>2015.08</v>
      </c>
      <c r="B185" s="1954">
        <v>71.930000000000007</v>
      </c>
      <c r="C185" s="3566">
        <v>73.22</v>
      </c>
      <c r="D185" s="1951">
        <v>72.410407505804585</v>
      </c>
      <c r="E185" s="1952">
        <v>71.05187425087675</v>
      </c>
      <c r="F185" s="1953">
        <v>72.139706280647587</v>
      </c>
    </row>
    <row r="186" spans="1:6" ht="12.75" customHeight="1">
      <c r="A186" s="881">
        <f t="shared" si="2"/>
        <v>2015.09</v>
      </c>
      <c r="B186" s="1954">
        <v>74.2</v>
      </c>
      <c r="C186" s="3566">
        <v>74.8</v>
      </c>
      <c r="D186" s="1951">
        <v>73.630868379854263</v>
      </c>
      <c r="E186" s="1952">
        <v>72.825626230041891</v>
      </c>
      <c r="F186" s="1953">
        <v>73.470448509503839</v>
      </c>
    </row>
    <row r="187" spans="1:6" ht="12.75" customHeight="1">
      <c r="A187" s="881">
        <f t="shared" si="2"/>
        <v>2015.1</v>
      </c>
      <c r="B187" s="1955">
        <v>73.97</v>
      </c>
      <c r="C187" s="1955">
        <v>75.239999999999995</v>
      </c>
      <c r="D187" s="1955">
        <v>74.44</v>
      </c>
      <c r="E187" s="1952">
        <v>73.97</v>
      </c>
      <c r="F187" s="1953">
        <v>74.349856999999986</v>
      </c>
    </row>
    <row r="188" spans="1:6" ht="12.75" customHeight="1">
      <c r="A188" s="881">
        <f t="shared" si="2"/>
        <v>2015.11</v>
      </c>
      <c r="B188" s="1954">
        <v>75.95</v>
      </c>
      <c r="C188" s="3566">
        <v>76.28</v>
      </c>
      <c r="D188" s="1956">
        <v>76.069999999999993</v>
      </c>
      <c r="E188" s="1952">
        <v>75.95</v>
      </c>
      <c r="F188" s="1953">
        <v>76.048702999999989</v>
      </c>
    </row>
    <row r="189" spans="1:6" ht="12.75" customHeight="1">
      <c r="A189" s="881">
        <f t="shared" si="2"/>
        <v>2015.12</v>
      </c>
      <c r="B189" s="1954">
        <v>77.36</v>
      </c>
      <c r="C189" s="3566">
        <v>77.180000000000007</v>
      </c>
      <c r="D189" s="1956">
        <v>77.290000000000006</v>
      </c>
      <c r="E189" s="1952">
        <v>77.36</v>
      </c>
      <c r="F189" s="1953">
        <v>77.306162</v>
      </c>
    </row>
    <row r="190" spans="1:6" ht="12.75" customHeight="1">
      <c r="A190" s="881">
        <f t="shared" si="2"/>
        <v>2016.01</v>
      </c>
      <c r="B190" s="1954">
        <v>78.930000000000007</v>
      </c>
      <c r="C190" s="3566">
        <v>77.459999999999994</v>
      </c>
      <c r="D190" s="1956">
        <v>78.38</v>
      </c>
      <c r="E190" s="1952">
        <v>78.930000000000007</v>
      </c>
      <c r="F190" s="1953">
        <v>78.490322999999989</v>
      </c>
    </row>
    <row r="191" spans="1:6" ht="12.75" customHeight="1">
      <c r="A191" s="881">
        <f t="shared" si="2"/>
        <v>2016.02</v>
      </c>
      <c r="B191" s="1954">
        <v>80.040000000000006</v>
      </c>
      <c r="C191" s="3566">
        <v>78.36</v>
      </c>
      <c r="D191" s="1956">
        <v>79.42</v>
      </c>
      <c r="E191" s="1952">
        <v>80.040000000000006</v>
      </c>
      <c r="F191" s="1953">
        <v>79.537512000000007</v>
      </c>
    </row>
    <row r="192" spans="1:6" ht="12.75" customHeight="1">
      <c r="A192" s="881">
        <f t="shared" si="2"/>
        <v>2016.03</v>
      </c>
      <c r="B192" s="1954">
        <v>80.8</v>
      </c>
      <c r="C192" s="3566">
        <v>83.8</v>
      </c>
      <c r="D192" s="1956">
        <v>81.92</v>
      </c>
      <c r="E192" s="1952">
        <v>80.8</v>
      </c>
      <c r="F192" s="1953">
        <v>81.697299999999998</v>
      </c>
    </row>
    <row r="193" spans="1:8" ht="12.75" customHeight="1">
      <c r="A193" s="881">
        <f t="shared" si="2"/>
        <v>2016.04</v>
      </c>
      <c r="B193" s="1954">
        <v>85.92</v>
      </c>
      <c r="C193" s="3566">
        <v>84.26</v>
      </c>
      <c r="D193" s="1956">
        <v>85.3</v>
      </c>
      <c r="E193" s="1952">
        <v>85.92</v>
      </c>
      <c r="F193" s="1953">
        <v>85.423493999999991</v>
      </c>
    </row>
    <row r="194" spans="1:8" ht="12.75" customHeight="1">
      <c r="A194" s="881">
        <f t="shared" si="2"/>
        <v>2016.05</v>
      </c>
      <c r="B194" s="1954">
        <v>88.74</v>
      </c>
      <c r="C194" s="3566">
        <v>87.11</v>
      </c>
      <c r="D194" s="1956">
        <v>88.13</v>
      </c>
      <c r="E194" s="1952">
        <v>88.74</v>
      </c>
      <c r="F194" s="1953">
        <v>88.252466999999996</v>
      </c>
    </row>
    <row r="195" spans="1:8" ht="12.75" customHeight="1">
      <c r="A195" s="881">
        <f t="shared" si="2"/>
        <v>2016.06</v>
      </c>
      <c r="B195" s="1954">
        <v>90.15</v>
      </c>
      <c r="C195" s="3566">
        <v>89.28</v>
      </c>
      <c r="D195" s="1956">
        <v>89.83</v>
      </c>
      <c r="E195" s="1952">
        <v>90.15</v>
      </c>
      <c r="F195" s="1953">
        <v>89.889783000000008</v>
      </c>
    </row>
    <row r="196" spans="1:8" ht="12.75" customHeight="1">
      <c r="A196" s="881">
        <f t="shared" si="2"/>
        <v>2016.07</v>
      </c>
      <c r="B196" s="1954">
        <v>93.35</v>
      </c>
      <c r="C196" s="3566">
        <v>94.66</v>
      </c>
      <c r="D196" s="1956">
        <v>93.84</v>
      </c>
      <c r="E196" s="1952">
        <v>93.35</v>
      </c>
      <c r="F196" s="1953">
        <v>93.741821000000002</v>
      </c>
    </row>
    <row r="197" spans="1:8" ht="12.75" customHeight="1">
      <c r="A197" s="881">
        <f t="shared" si="2"/>
        <v>2016.08</v>
      </c>
      <c r="B197" s="1954">
        <v>95.05</v>
      </c>
      <c r="C197" s="3566">
        <v>98.73</v>
      </c>
      <c r="D197" s="1956">
        <v>96.42</v>
      </c>
      <c r="E197" s="1952">
        <v>95.05</v>
      </c>
      <c r="F197" s="1953">
        <v>96.150687999999988</v>
      </c>
    </row>
    <row r="198" spans="1:8" ht="12.75" customHeight="1">
      <c r="A198" s="881">
        <f t="shared" si="2"/>
        <v>2016.09</v>
      </c>
      <c r="B198" s="1954">
        <v>96.63</v>
      </c>
      <c r="C198" s="3566">
        <v>99.46</v>
      </c>
      <c r="D198" s="1956">
        <v>97.69</v>
      </c>
      <c r="E198" s="1952">
        <v>96.63</v>
      </c>
      <c r="F198" s="1953">
        <v>97.476453000000006</v>
      </c>
    </row>
    <row r="199" spans="1:8" ht="12.75" customHeight="1">
      <c r="A199" s="881">
        <f t="shared" si="2"/>
        <v>2016.1</v>
      </c>
      <c r="B199" s="1954">
        <v>100</v>
      </c>
      <c r="C199" s="3566">
        <v>100</v>
      </c>
      <c r="D199" s="1956">
        <v>100</v>
      </c>
      <c r="E199" s="1950">
        <v>100</v>
      </c>
      <c r="F199" s="1957">
        <v>100</v>
      </c>
    </row>
    <row r="200" spans="1:8" ht="12.75" customHeight="1">
      <c r="A200" s="881">
        <f t="shared" si="2"/>
        <v>2016.11</v>
      </c>
      <c r="B200" s="1954">
        <v>101.8</v>
      </c>
      <c r="C200" s="3566">
        <v>101.22</v>
      </c>
      <c r="D200" s="1956">
        <v>101.58</v>
      </c>
      <c r="E200" s="1958">
        <v>100.73</v>
      </c>
      <c r="F200" s="1959">
        <v>101.41</v>
      </c>
      <c r="H200" s="438"/>
    </row>
    <row r="201" spans="1:8" ht="12.75" customHeight="1">
      <c r="A201" s="881">
        <f t="shared" si="2"/>
        <v>2016.12</v>
      </c>
      <c r="B201" s="1954">
        <v>102.89</v>
      </c>
      <c r="C201" s="3566">
        <v>102.37</v>
      </c>
      <c r="D201" s="1956">
        <v>102.69</v>
      </c>
      <c r="E201" s="1958">
        <v>103.2</v>
      </c>
      <c r="F201" s="1959">
        <v>102.79</v>
      </c>
      <c r="H201" s="438"/>
    </row>
    <row r="202" spans="1:8" ht="12.75" customHeight="1">
      <c r="A202" s="881">
        <f t="shared" si="2"/>
        <v>2017.01</v>
      </c>
      <c r="B202" s="1954">
        <v>106.34</v>
      </c>
      <c r="C202" s="3566">
        <v>102.68</v>
      </c>
      <c r="D202" s="1956">
        <v>104.98</v>
      </c>
      <c r="E202" s="1958">
        <v>102</v>
      </c>
      <c r="F202" s="1959">
        <v>104.38</v>
      </c>
      <c r="H202" s="438"/>
    </row>
    <row r="203" spans="1:8" ht="12.75" customHeight="1">
      <c r="A203" s="881">
        <f t="shared" si="2"/>
        <v>2017.02</v>
      </c>
      <c r="B203" s="1954">
        <v>107.69</v>
      </c>
      <c r="C203" s="3566">
        <v>103.08</v>
      </c>
      <c r="D203" s="1956">
        <v>105.97</v>
      </c>
      <c r="E203" s="1958">
        <v>104.94</v>
      </c>
      <c r="F203" s="1959">
        <v>105.76</v>
      </c>
      <c r="H203" s="438"/>
    </row>
    <row r="204" spans="1:8" ht="12.75" customHeight="1">
      <c r="A204" s="881">
        <f t="shared" si="2"/>
        <v>2017.03</v>
      </c>
      <c r="B204" s="1954">
        <v>109.26</v>
      </c>
      <c r="C204" s="3566">
        <v>107.24</v>
      </c>
      <c r="D204" s="1956">
        <v>108.5</v>
      </c>
      <c r="E204" s="1958">
        <v>110.08</v>
      </c>
      <c r="F204" s="1959">
        <v>108.82</v>
      </c>
      <c r="H204" s="438"/>
    </row>
    <row r="205" spans="1:8" ht="12.75" customHeight="1">
      <c r="A205" s="881">
        <f t="shared" si="2"/>
        <v>2017.04</v>
      </c>
      <c r="B205" s="1954">
        <v>112.93</v>
      </c>
      <c r="C205" s="3566">
        <v>110.81</v>
      </c>
      <c r="D205" s="1956">
        <v>112.14</v>
      </c>
      <c r="E205" s="1958">
        <v>114.61</v>
      </c>
      <c r="F205" s="1959">
        <v>112.63</v>
      </c>
      <c r="H205" s="438"/>
    </row>
    <row r="206" spans="1:8" ht="12.75" customHeight="1">
      <c r="A206" s="881">
        <f t="shared" si="2"/>
        <v>2017.05</v>
      </c>
      <c r="B206" s="1954">
        <v>115.18</v>
      </c>
      <c r="C206" s="3566">
        <v>112.28</v>
      </c>
      <c r="D206" s="1956">
        <v>114.09</v>
      </c>
      <c r="E206" s="1958">
        <v>115.79</v>
      </c>
      <c r="F206" s="1959">
        <v>114.43</v>
      </c>
      <c r="H206" s="438"/>
    </row>
    <row r="207" spans="1:8" ht="12.75" customHeight="1">
      <c r="A207" s="881">
        <f t="shared" si="2"/>
        <v>2017.06</v>
      </c>
      <c r="B207" s="1954">
        <v>117.23</v>
      </c>
      <c r="C207" s="3566">
        <v>115.3</v>
      </c>
      <c r="D207" s="1956">
        <v>116.51</v>
      </c>
      <c r="E207" s="1958">
        <v>116.24</v>
      </c>
      <c r="F207" s="1959">
        <v>116.45</v>
      </c>
      <c r="H207" s="438"/>
    </row>
    <row r="208" spans="1:8" ht="12.75" customHeight="1">
      <c r="A208" s="881">
        <f t="shared" si="2"/>
        <v>2017.07</v>
      </c>
      <c r="B208" s="1954">
        <v>122.8</v>
      </c>
      <c r="C208" s="3566">
        <v>118.49</v>
      </c>
      <c r="D208" s="1956">
        <v>121.19</v>
      </c>
      <c r="E208" s="1958">
        <v>120.74</v>
      </c>
      <c r="F208" s="1959">
        <v>121.1</v>
      </c>
      <c r="H208" s="438"/>
    </row>
    <row r="209" spans="1:8" ht="12.75" customHeight="1">
      <c r="A209" s="881">
        <f t="shared" si="2"/>
        <v>2017.08</v>
      </c>
      <c r="B209" s="1954">
        <v>124.55</v>
      </c>
      <c r="C209" s="3566">
        <v>121.54</v>
      </c>
      <c r="D209" s="1956">
        <v>123.43</v>
      </c>
      <c r="E209" s="1958">
        <v>126.06</v>
      </c>
      <c r="F209" s="1959">
        <v>123.95</v>
      </c>
      <c r="H209" s="438"/>
    </row>
    <row r="210" spans="1:8" ht="12.75" customHeight="1">
      <c r="A210" s="881">
        <f t="shared" si="2"/>
        <v>2017.09</v>
      </c>
      <c r="B210" s="1954">
        <v>126</v>
      </c>
      <c r="C210" s="3566">
        <v>123.89</v>
      </c>
      <c r="D210" s="1956">
        <v>125.21</v>
      </c>
      <c r="E210" s="1958">
        <v>127.7</v>
      </c>
      <c r="F210" s="1959">
        <v>125.71</v>
      </c>
      <c r="H210" s="438"/>
    </row>
    <row r="211" spans="1:8" ht="12.75" customHeight="1">
      <c r="A211" s="881">
        <f t="shared" si="2"/>
        <v>2017.1</v>
      </c>
      <c r="B211" s="1954">
        <v>128.22999999999999</v>
      </c>
      <c r="C211" s="3566">
        <v>126.03</v>
      </c>
      <c r="D211" s="1956">
        <v>127.4</v>
      </c>
      <c r="E211" s="1958">
        <v>128.5</v>
      </c>
      <c r="F211" s="1959">
        <v>127.62</v>
      </c>
      <c r="H211" s="438"/>
    </row>
    <row r="212" spans="1:8" ht="12.75" customHeight="1">
      <c r="A212" s="881">
        <f t="shared" si="2"/>
        <v>2017.11</v>
      </c>
      <c r="B212" s="1954">
        <v>130.04</v>
      </c>
      <c r="C212" s="3566">
        <v>127.32</v>
      </c>
      <c r="D212" s="1956">
        <v>129.03</v>
      </c>
      <c r="E212" s="1958">
        <v>131.94999999999999</v>
      </c>
      <c r="F212" s="1959">
        <v>129.61000000000001</v>
      </c>
      <c r="H212" s="438"/>
    </row>
    <row r="213" spans="1:8" ht="12.75" customHeight="1">
      <c r="A213" s="881">
        <f t="shared" si="2"/>
        <v>2017.12</v>
      </c>
      <c r="B213" s="1954">
        <v>131.01</v>
      </c>
      <c r="C213" s="3566">
        <v>127.94</v>
      </c>
      <c r="D213" s="1956">
        <v>129.86000000000001</v>
      </c>
      <c r="E213" s="1958">
        <v>135.71</v>
      </c>
      <c r="F213" s="1959">
        <v>131.03</v>
      </c>
      <c r="H213" s="438"/>
    </row>
    <row r="214" spans="1:8" ht="12.75" customHeight="1">
      <c r="A214" s="881">
        <f t="shared" si="2"/>
        <v>2018.01</v>
      </c>
      <c r="B214" s="1954">
        <v>133.25</v>
      </c>
      <c r="C214" s="3566">
        <v>128.44999999999999</v>
      </c>
      <c r="D214" s="1956">
        <v>131.46</v>
      </c>
      <c r="E214" s="1958">
        <v>136.57</v>
      </c>
      <c r="F214" s="1959">
        <v>132.47999999999999</v>
      </c>
      <c r="H214" s="438"/>
    </row>
    <row r="215" spans="1:8" ht="12.75" customHeight="1">
      <c r="A215" s="881">
        <f t="shared" si="2"/>
        <v>2018.02</v>
      </c>
      <c r="B215" s="1954">
        <v>134.31</v>
      </c>
      <c r="C215" s="3566">
        <v>129.32</v>
      </c>
      <c r="D215" s="1956">
        <v>132.44</v>
      </c>
      <c r="E215" s="1958">
        <v>138.19</v>
      </c>
      <c r="F215" s="1959">
        <v>133.59</v>
      </c>
      <c r="H215" s="438"/>
    </row>
    <row r="216" spans="1:8" ht="12.75" customHeight="1">
      <c r="A216" s="881">
        <f t="shared" si="2"/>
        <v>2018.03</v>
      </c>
      <c r="B216" s="1954">
        <v>136.22999999999999</v>
      </c>
      <c r="C216" s="3566">
        <v>132.97</v>
      </c>
      <c r="D216" s="1956">
        <v>135.01</v>
      </c>
      <c r="E216" s="1958">
        <v>140.69999999999999</v>
      </c>
      <c r="F216" s="1959">
        <v>136.13999999999999</v>
      </c>
      <c r="H216" s="438"/>
    </row>
    <row r="217" spans="1:8" ht="12.75" customHeight="1">
      <c r="A217" s="881">
        <f t="shared" si="2"/>
        <v>2018.04</v>
      </c>
      <c r="B217" s="1954">
        <v>141.01</v>
      </c>
      <c r="C217" s="3566">
        <v>135.01</v>
      </c>
      <c r="D217" s="1956">
        <v>138.77000000000001</v>
      </c>
      <c r="E217" s="1958">
        <v>144</v>
      </c>
      <c r="F217" s="1959">
        <v>139.81</v>
      </c>
      <c r="H217" s="438"/>
    </row>
    <row r="218" spans="1:8" ht="12.75" customHeight="1">
      <c r="A218" s="881">
        <f t="shared" si="2"/>
        <v>2018.05</v>
      </c>
      <c r="B218" s="1954">
        <v>144.47</v>
      </c>
      <c r="C218" s="3566">
        <v>137.16</v>
      </c>
      <c r="D218" s="1956">
        <v>141.74</v>
      </c>
      <c r="E218" s="1958">
        <v>142.72999999999999</v>
      </c>
      <c r="F218" s="1959">
        <v>141.93</v>
      </c>
      <c r="H218" s="438"/>
    </row>
    <row r="219" spans="1:8" ht="12.75" customHeight="1">
      <c r="A219" s="881">
        <f t="shared" si="2"/>
        <v>2018.06</v>
      </c>
      <c r="B219" s="1954">
        <v>146.47</v>
      </c>
      <c r="C219" s="3566">
        <v>138.97</v>
      </c>
      <c r="D219" s="1956">
        <v>143.66999999999999</v>
      </c>
      <c r="E219" s="1958">
        <v>141.02000000000001</v>
      </c>
      <c r="F219" s="1959">
        <v>143.13999999999999</v>
      </c>
      <c r="H219" s="438"/>
    </row>
    <row r="220" spans="1:8" ht="12.75" customHeight="1">
      <c r="A220" s="881">
        <f t="shared" si="2"/>
        <v>2018.07</v>
      </c>
      <c r="B220" s="1954">
        <v>149.94</v>
      </c>
      <c r="C220" s="3566">
        <v>143.01</v>
      </c>
      <c r="D220" s="1956">
        <v>147.36000000000001</v>
      </c>
      <c r="E220" s="1958">
        <v>145.09</v>
      </c>
      <c r="F220" s="1959">
        <v>146.9</v>
      </c>
      <c r="H220" s="438"/>
    </row>
    <row r="221" spans="1:8" ht="12.75" customHeight="1">
      <c r="A221" s="881">
        <f t="shared" si="2"/>
        <v>2018.08</v>
      </c>
      <c r="B221" s="1954">
        <v>154.19999999999999</v>
      </c>
      <c r="C221" s="3566">
        <v>147.26</v>
      </c>
      <c r="D221" s="1956">
        <v>151.61000000000001</v>
      </c>
      <c r="E221" s="1958">
        <v>148.81</v>
      </c>
      <c r="F221" s="1959">
        <v>151.05000000000001</v>
      </c>
      <c r="H221" s="438"/>
    </row>
    <row r="222" spans="1:8" ht="12.75" customHeight="1">
      <c r="A222" s="881">
        <f t="shared" si="2"/>
        <v>2018.09</v>
      </c>
      <c r="B222" s="1954">
        <v>157.82</v>
      </c>
      <c r="C222" s="3566">
        <v>152.41</v>
      </c>
      <c r="D222" s="1956">
        <v>155.80000000000001</v>
      </c>
      <c r="E222" s="1958">
        <v>154.02000000000001</v>
      </c>
      <c r="F222" s="1959">
        <v>155.44</v>
      </c>
      <c r="H222" s="438"/>
    </row>
    <row r="223" spans="1:8" ht="12.75" customHeight="1">
      <c r="A223" s="881">
        <f t="shared" si="2"/>
        <v>2018.1</v>
      </c>
      <c r="B223" s="1954">
        <v>163.86</v>
      </c>
      <c r="C223" s="3566">
        <v>159.53</v>
      </c>
      <c r="D223" s="1956">
        <v>162.24</v>
      </c>
      <c r="E223" s="1958">
        <v>156.63</v>
      </c>
      <c r="F223" s="1959">
        <v>161.12</v>
      </c>
      <c r="H223" s="438"/>
    </row>
    <row r="224" spans="1:8" ht="12.75" customHeight="1">
      <c r="A224" s="881">
        <f t="shared" si="2"/>
        <v>2018.11</v>
      </c>
      <c r="B224" s="1954">
        <v>168.06</v>
      </c>
      <c r="C224" s="3566">
        <v>162.69</v>
      </c>
      <c r="D224" s="1956">
        <v>166.05</v>
      </c>
      <c r="E224" s="1958">
        <v>164.93</v>
      </c>
      <c r="F224" s="1959">
        <v>165.83</v>
      </c>
      <c r="H224" s="438"/>
    </row>
    <row r="225" spans="1:8" ht="12.75" customHeight="1">
      <c r="A225" s="881">
        <f t="shared" si="2"/>
        <v>2018.12</v>
      </c>
      <c r="B225" s="1954">
        <v>170.85</v>
      </c>
      <c r="C225" s="3566">
        <v>166.66</v>
      </c>
      <c r="D225" s="1956">
        <v>169.29</v>
      </c>
      <c r="E225" s="1958">
        <v>172.61</v>
      </c>
      <c r="F225" s="1959">
        <v>169.94</v>
      </c>
      <c r="H225" s="438"/>
    </row>
    <row r="226" spans="1:8" ht="12.75" customHeight="1">
      <c r="A226" s="881">
        <f t="shared" si="2"/>
        <v>2019.01</v>
      </c>
      <c r="B226" s="1954">
        <v>176.91</v>
      </c>
      <c r="C226" s="3566">
        <v>170.98</v>
      </c>
      <c r="D226" s="1956">
        <v>174.7</v>
      </c>
      <c r="E226" s="1958">
        <v>177.16</v>
      </c>
      <c r="F226" s="1959">
        <v>175.19</v>
      </c>
      <c r="H226" s="438"/>
    </row>
    <row r="227" spans="1:8" ht="12.75" customHeight="1">
      <c r="A227" s="881">
        <f t="shared" ref="A227:A290" si="3">A215+1</f>
        <v>2019.02</v>
      </c>
      <c r="B227" s="1954">
        <v>181.76</v>
      </c>
      <c r="C227" s="3566">
        <v>175.37</v>
      </c>
      <c r="D227" s="1956">
        <v>179.37</v>
      </c>
      <c r="E227" s="1958">
        <v>181.72</v>
      </c>
      <c r="F227" s="1959">
        <v>179.84</v>
      </c>
      <c r="H227" s="438"/>
    </row>
    <row r="228" spans="1:8" ht="12.75" customHeight="1">
      <c r="A228" s="881">
        <f t="shared" si="3"/>
        <v>2019.03</v>
      </c>
      <c r="B228" s="1954">
        <v>188.26</v>
      </c>
      <c r="C228" s="3566">
        <v>184.99</v>
      </c>
      <c r="D228" s="1956">
        <v>187.04</v>
      </c>
      <c r="E228" s="1958">
        <v>186.59</v>
      </c>
      <c r="F228" s="1959">
        <v>186.94</v>
      </c>
      <c r="H228" s="438"/>
    </row>
    <row r="229" spans="1:8" ht="12.75" customHeight="1">
      <c r="A229" s="881">
        <f t="shared" si="3"/>
        <v>2019.04</v>
      </c>
      <c r="B229" s="1954">
        <v>193.47</v>
      </c>
      <c r="C229" s="3566">
        <v>188.65</v>
      </c>
      <c r="D229" s="1956">
        <v>191.67</v>
      </c>
      <c r="E229" s="1958">
        <v>188.85</v>
      </c>
      <c r="F229" s="1959">
        <v>191.11</v>
      </c>
      <c r="H229" s="438"/>
    </row>
    <row r="230" spans="1:8" ht="12.75" customHeight="1">
      <c r="A230" s="881">
        <f t="shared" si="3"/>
        <v>2019.05</v>
      </c>
      <c r="B230" s="1954">
        <v>201.66</v>
      </c>
      <c r="C230" s="3566">
        <v>193.23</v>
      </c>
      <c r="D230" s="1956">
        <v>198.51</v>
      </c>
      <c r="E230" s="1958">
        <v>188.44</v>
      </c>
      <c r="F230" s="1959">
        <v>196.51</v>
      </c>
      <c r="H230" s="438"/>
    </row>
    <row r="231" spans="1:8" ht="12.75" customHeight="1">
      <c r="A231" s="881">
        <f t="shared" si="3"/>
        <v>2019.06</v>
      </c>
      <c r="B231" s="1954">
        <v>206.99</v>
      </c>
      <c r="C231" s="3566">
        <v>197.23</v>
      </c>
      <c r="D231" s="1956">
        <v>203.34</v>
      </c>
      <c r="E231" s="1958">
        <v>188.78</v>
      </c>
      <c r="F231" s="1959">
        <v>200.44</v>
      </c>
      <c r="H231" s="438"/>
    </row>
    <row r="232" spans="1:8" ht="12.75" customHeight="1">
      <c r="A232" s="881">
        <f t="shared" si="3"/>
        <v>2019.07</v>
      </c>
      <c r="B232" s="1954">
        <v>215.86</v>
      </c>
      <c r="C232" s="3566">
        <v>209.52</v>
      </c>
      <c r="D232" s="1956">
        <v>213.49</v>
      </c>
      <c r="E232" s="1958">
        <v>195.49</v>
      </c>
      <c r="F232" s="1959">
        <v>209.9</v>
      </c>
      <c r="H232" s="438"/>
    </row>
    <row r="233" spans="1:8" ht="12.75" customHeight="1">
      <c r="A233" s="881">
        <f t="shared" si="3"/>
        <v>2019.08</v>
      </c>
      <c r="B233" s="1954">
        <v>221.87</v>
      </c>
      <c r="C233" s="3566">
        <v>213.21</v>
      </c>
      <c r="D233" s="1956">
        <v>218.63</v>
      </c>
      <c r="E233" s="1958">
        <v>200.52</v>
      </c>
      <c r="F233" s="1959">
        <v>215.02</v>
      </c>
      <c r="H233" s="438"/>
    </row>
    <row r="234" spans="1:8" ht="12.75" customHeight="1">
      <c r="A234" s="881">
        <f t="shared" si="3"/>
        <v>2019.09</v>
      </c>
      <c r="B234" s="1954">
        <v>227.72</v>
      </c>
      <c r="C234" s="3566">
        <v>220.8</v>
      </c>
      <c r="D234" s="1956">
        <v>225.13</v>
      </c>
      <c r="E234" s="1958">
        <v>203.25</v>
      </c>
      <c r="F234" s="1959">
        <v>220.77</v>
      </c>
      <c r="H234" s="438"/>
    </row>
    <row r="235" spans="1:8" ht="12.75" customHeight="1">
      <c r="A235" s="881">
        <f t="shared" si="3"/>
        <v>2019.1</v>
      </c>
      <c r="B235" s="1954">
        <v>236.31</v>
      </c>
      <c r="C235" s="3566">
        <v>227.45</v>
      </c>
      <c r="D235" s="1956">
        <v>233</v>
      </c>
      <c r="E235" s="1958">
        <v>207.5</v>
      </c>
      <c r="F235" s="1959">
        <v>227.92</v>
      </c>
      <c r="H235" s="438"/>
    </row>
    <row r="236" spans="1:8" ht="12.75" customHeight="1">
      <c r="A236" s="881">
        <f t="shared" si="3"/>
        <v>2019.11</v>
      </c>
      <c r="B236" s="1954">
        <v>242.85</v>
      </c>
      <c r="C236" s="3566">
        <v>231.39</v>
      </c>
      <c r="D236" s="1956">
        <v>238.57</v>
      </c>
      <c r="E236" s="1958">
        <v>212.21</v>
      </c>
      <c r="F236" s="1959">
        <v>233.32</v>
      </c>
      <c r="H236" s="438"/>
    </row>
    <row r="237" spans="1:8" ht="12.75" customHeight="1">
      <c r="A237" s="881">
        <f t="shared" si="3"/>
        <v>2019.12</v>
      </c>
      <c r="B237" s="1954">
        <v>246.54</v>
      </c>
      <c r="C237" s="3566">
        <v>238.13</v>
      </c>
      <c r="D237" s="1956">
        <v>243.4</v>
      </c>
      <c r="E237" s="1958">
        <v>223.54</v>
      </c>
      <c r="F237" s="1959">
        <v>239.44</v>
      </c>
      <c r="H237" s="438"/>
    </row>
    <row r="238" spans="1:8" ht="12.75" customHeight="1">
      <c r="A238" s="881">
        <f t="shared" si="3"/>
        <v>2020.01</v>
      </c>
      <c r="B238" s="1954">
        <v>267.60000000000002</v>
      </c>
      <c r="C238" s="3566">
        <v>244.59</v>
      </c>
      <c r="D238" s="1956">
        <v>259.01</v>
      </c>
      <c r="E238" s="1958">
        <v>232.76</v>
      </c>
      <c r="F238" s="1959">
        <v>253.78</v>
      </c>
      <c r="H238" s="438"/>
    </row>
    <row r="239" spans="1:8" ht="12.75" customHeight="1">
      <c r="A239" s="881">
        <f t="shared" si="3"/>
        <v>2020.02</v>
      </c>
      <c r="B239" s="1954">
        <v>279.97000000000003</v>
      </c>
      <c r="C239" s="3566">
        <v>251.57</v>
      </c>
      <c r="D239" s="1956">
        <v>269.36</v>
      </c>
      <c r="E239" s="1958">
        <v>240.22</v>
      </c>
      <c r="F239" s="1959">
        <v>263.55</v>
      </c>
      <c r="H239" s="438"/>
    </row>
    <row r="240" spans="1:8" ht="12.75" customHeight="1">
      <c r="A240" s="881">
        <f t="shared" si="3"/>
        <v>2020.03</v>
      </c>
      <c r="B240" s="1954">
        <v>286.39999999999998</v>
      </c>
      <c r="C240" s="3566">
        <v>262.08</v>
      </c>
      <c r="D240" s="1956">
        <v>277.31</v>
      </c>
      <c r="E240" s="1958">
        <v>248.53</v>
      </c>
      <c r="F240" s="1959">
        <v>271.58</v>
      </c>
      <c r="H240" s="438"/>
    </row>
    <row r="241" spans="1:8" ht="12.75" customHeight="1">
      <c r="A241" s="881">
        <f t="shared" si="3"/>
        <v>2020.04</v>
      </c>
      <c r="B241" s="1954">
        <v>285.74</v>
      </c>
      <c r="C241" s="3566">
        <v>263.54000000000002</v>
      </c>
      <c r="D241" s="1956">
        <v>277.45</v>
      </c>
      <c r="E241" s="1958">
        <v>250.23</v>
      </c>
      <c r="F241" s="1959">
        <v>272.02999999999997</v>
      </c>
      <c r="H241" s="438"/>
    </row>
    <row r="242" spans="1:8" ht="12.75" customHeight="1">
      <c r="A242" s="881">
        <f t="shared" si="3"/>
        <v>2020.05</v>
      </c>
      <c r="B242" s="1954">
        <v>285.06</v>
      </c>
      <c r="C242" s="3566">
        <v>264.92</v>
      </c>
      <c r="D242" s="1956">
        <v>277.54000000000002</v>
      </c>
      <c r="E242" s="1958">
        <v>248.98</v>
      </c>
      <c r="F242" s="1959">
        <v>271.83999999999997</v>
      </c>
      <c r="H242" s="438"/>
    </row>
    <row r="243" spans="1:8" ht="12.75" customHeight="1">
      <c r="A243" s="881">
        <f t="shared" si="3"/>
        <v>2020.06</v>
      </c>
      <c r="B243" s="1954">
        <v>285.44</v>
      </c>
      <c r="C243" s="3566">
        <v>267.19</v>
      </c>
      <c r="D243" s="1956">
        <v>278.62</v>
      </c>
      <c r="E243" s="1958">
        <v>252.74</v>
      </c>
      <c r="F243" s="1959">
        <v>273.47000000000003</v>
      </c>
      <c r="H243" s="438"/>
    </row>
    <row r="244" spans="1:8" ht="12.75" customHeight="1">
      <c r="A244" s="881">
        <f t="shared" si="3"/>
        <v>2020.07</v>
      </c>
      <c r="B244" s="1954">
        <v>289.19</v>
      </c>
      <c r="C244" s="3566">
        <v>270.14</v>
      </c>
      <c r="D244" s="1956">
        <v>282.07</v>
      </c>
      <c r="E244" s="1958">
        <v>263.49</v>
      </c>
      <c r="F244" s="1959">
        <v>278.37</v>
      </c>
      <c r="H244" s="438"/>
    </row>
    <row r="245" spans="1:8" ht="12.75" customHeight="1">
      <c r="A245" s="881">
        <f t="shared" si="3"/>
        <v>2020.08</v>
      </c>
      <c r="B245" s="1954">
        <v>295.13</v>
      </c>
      <c r="C245" s="3566">
        <v>272.2</v>
      </c>
      <c r="D245" s="1956">
        <v>286.56</v>
      </c>
      <c r="E245" s="1958">
        <v>273.32</v>
      </c>
      <c r="F245" s="1959">
        <v>283.92</v>
      </c>
      <c r="H245" s="438"/>
    </row>
    <row r="246" spans="1:8" ht="12.75" customHeight="1">
      <c r="A246" s="881">
        <f t="shared" si="3"/>
        <v>2020.09</v>
      </c>
      <c r="B246" s="1954">
        <v>301.54000000000002</v>
      </c>
      <c r="C246" s="3566">
        <v>280.93</v>
      </c>
      <c r="D246" s="1956">
        <v>293.83999999999997</v>
      </c>
      <c r="E246" s="1958">
        <v>279.69</v>
      </c>
      <c r="F246" s="1959">
        <v>291.02</v>
      </c>
      <c r="H246" s="438"/>
    </row>
    <row r="247" spans="1:8" ht="12.75" customHeight="1">
      <c r="A247" s="881">
        <f t="shared" si="3"/>
        <v>2020.1</v>
      </c>
      <c r="B247" s="1954">
        <v>317.66000000000003</v>
      </c>
      <c r="C247" s="3566">
        <v>289.72000000000003</v>
      </c>
      <c r="D247" s="1956">
        <v>307.22000000000003</v>
      </c>
      <c r="E247" s="1958">
        <v>285.74</v>
      </c>
      <c r="F247" s="1959">
        <v>302.94</v>
      </c>
      <c r="H247" s="438"/>
    </row>
    <row r="248" spans="1:8" ht="12.75" customHeight="1">
      <c r="A248" s="881">
        <f t="shared" si="3"/>
        <v>2020.11</v>
      </c>
      <c r="B248" s="1954">
        <v>326.04000000000002</v>
      </c>
      <c r="C248" s="3566">
        <v>294.87</v>
      </c>
      <c r="D248" s="1956">
        <v>314.39999999999998</v>
      </c>
      <c r="E248" s="1958">
        <v>306.95999999999998</v>
      </c>
      <c r="F248" s="1959">
        <v>312.92</v>
      </c>
      <c r="H248" s="438"/>
    </row>
    <row r="249" spans="1:8" ht="12.75" customHeight="1">
      <c r="A249" s="881">
        <f t="shared" si="3"/>
        <v>2020.12</v>
      </c>
      <c r="B249" s="1954">
        <v>331.26</v>
      </c>
      <c r="C249" s="3566">
        <v>301.97000000000003</v>
      </c>
      <c r="D249" s="1956">
        <v>320.32</v>
      </c>
      <c r="E249" s="1958">
        <v>310.77999999999997</v>
      </c>
      <c r="F249" s="1959">
        <v>318.42</v>
      </c>
      <c r="H249" s="438"/>
    </row>
    <row r="250" spans="1:8" ht="12.75" customHeight="1">
      <c r="A250" s="881">
        <f t="shared" si="3"/>
        <v>2021.01</v>
      </c>
      <c r="B250" s="1954">
        <v>344.61</v>
      </c>
      <c r="C250" s="3566">
        <v>309.32</v>
      </c>
      <c r="D250" s="1956">
        <v>331.43</v>
      </c>
      <c r="E250" s="1960">
        <v>318.42</v>
      </c>
      <c r="F250" s="1959">
        <v>328.84</v>
      </c>
      <c r="H250" s="438"/>
    </row>
    <row r="251" spans="1:8" ht="12.75" customHeight="1">
      <c r="A251" s="881">
        <f t="shared" si="3"/>
        <v>2021.02</v>
      </c>
      <c r="B251" s="1954">
        <v>362.33</v>
      </c>
      <c r="C251" s="3566">
        <v>321.14</v>
      </c>
      <c r="D251" s="1956">
        <v>346.94</v>
      </c>
      <c r="E251" s="1960">
        <v>327.43</v>
      </c>
      <c r="F251" s="1959">
        <v>343.06</v>
      </c>
      <c r="H251" s="438"/>
    </row>
    <row r="252" spans="1:8" ht="12.75" customHeight="1">
      <c r="A252" s="881">
        <f t="shared" si="3"/>
        <v>2021.03</v>
      </c>
      <c r="B252" s="1954">
        <v>376.68</v>
      </c>
      <c r="C252" s="3566">
        <v>345.37</v>
      </c>
      <c r="D252" s="1956">
        <v>364.98</v>
      </c>
      <c r="E252" s="1960">
        <v>341.36</v>
      </c>
      <c r="F252" s="1959">
        <v>360.28</v>
      </c>
      <c r="H252" s="438"/>
    </row>
    <row r="253" spans="1:8" ht="12.75" customHeight="1">
      <c r="A253" s="881">
        <f t="shared" si="3"/>
        <v>2021.04</v>
      </c>
      <c r="B253" s="1954">
        <v>394.54</v>
      </c>
      <c r="C253" s="3566">
        <v>350.74</v>
      </c>
      <c r="D253" s="1956">
        <v>378.18</v>
      </c>
      <c r="E253" s="1960">
        <v>346.34</v>
      </c>
      <c r="F253" s="1959">
        <v>371.84</v>
      </c>
      <c r="H253" s="438"/>
    </row>
    <row r="254" spans="1:8" ht="12.75" customHeight="1">
      <c r="A254" s="881">
        <f t="shared" si="3"/>
        <v>2021.05</v>
      </c>
      <c r="B254" s="1954">
        <v>408.38</v>
      </c>
      <c r="C254" s="3566">
        <v>360.83</v>
      </c>
      <c r="D254" s="1956">
        <v>390.62</v>
      </c>
      <c r="E254" s="1960">
        <v>349.47</v>
      </c>
      <c r="F254" s="1959">
        <v>382.42</v>
      </c>
      <c r="H254" s="438"/>
    </row>
    <row r="255" spans="1:8" ht="12.75" customHeight="1">
      <c r="A255" s="881">
        <f t="shared" si="3"/>
        <v>2021.06</v>
      </c>
      <c r="B255" s="1954">
        <v>415.55</v>
      </c>
      <c r="C255" s="3566">
        <v>375.32</v>
      </c>
      <c r="D255" s="1956">
        <v>400.52</v>
      </c>
      <c r="E255" s="1960">
        <v>353.54</v>
      </c>
      <c r="F255" s="1959">
        <v>391.16</v>
      </c>
      <c r="H255" s="438"/>
    </row>
    <row r="256" spans="1:8" ht="12.75" customHeight="1">
      <c r="A256" s="881">
        <f t="shared" si="3"/>
        <v>2021.07</v>
      </c>
      <c r="B256" s="1954">
        <v>437</v>
      </c>
      <c r="C256" s="3566">
        <v>397.93</v>
      </c>
      <c r="D256" s="1956">
        <v>422.41</v>
      </c>
      <c r="E256" s="1960">
        <v>362.03</v>
      </c>
      <c r="F256" s="1959">
        <v>410.37</v>
      </c>
      <c r="H256" s="438"/>
    </row>
    <row r="257" spans="1:8" ht="12.75" customHeight="1">
      <c r="A257" s="881">
        <f t="shared" si="3"/>
        <v>2021.08</v>
      </c>
      <c r="B257" s="1954">
        <v>451.64</v>
      </c>
      <c r="C257" s="3566">
        <v>410.82</v>
      </c>
      <c r="D257" s="1956">
        <v>436.4</v>
      </c>
      <c r="E257" s="1960">
        <v>371.24</v>
      </c>
      <c r="F257" s="1959">
        <v>423.41</v>
      </c>
      <c r="H257" s="438"/>
    </row>
    <row r="258" spans="1:8" ht="12.75" customHeight="1">
      <c r="A258" s="881">
        <f t="shared" si="3"/>
        <v>2021.09</v>
      </c>
      <c r="B258" s="1954">
        <v>467.91</v>
      </c>
      <c r="C258" s="3566">
        <v>438.07</v>
      </c>
      <c r="D258" s="1956">
        <v>456.77</v>
      </c>
      <c r="E258" s="1960">
        <v>374.34</v>
      </c>
      <c r="F258" s="1959">
        <v>440.34</v>
      </c>
      <c r="H258" s="438"/>
    </row>
    <row r="259" spans="1:8" ht="12.75" customHeight="1">
      <c r="A259" s="881">
        <f t="shared" si="3"/>
        <v>2021.1</v>
      </c>
      <c r="B259" s="1954">
        <v>485.29</v>
      </c>
      <c r="C259" s="3566">
        <v>454.12</v>
      </c>
      <c r="D259" s="1956">
        <v>473.64</v>
      </c>
      <c r="E259" s="1960">
        <v>395.51</v>
      </c>
      <c r="F259" s="1959">
        <v>458.07</v>
      </c>
      <c r="H259" s="438"/>
    </row>
    <row r="260" spans="1:8" ht="12.75" customHeight="1">
      <c r="A260" s="881">
        <f t="shared" si="3"/>
        <v>2021.11</v>
      </c>
      <c r="B260" s="1954">
        <v>507</v>
      </c>
      <c r="C260" s="3566">
        <v>466.54</v>
      </c>
      <c r="D260" s="1956">
        <v>491.89</v>
      </c>
      <c r="E260" s="1960">
        <v>412.7</v>
      </c>
      <c r="F260" s="1959">
        <v>476.11</v>
      </c>
      <c r="H260" s="438"/>
    </row>
    <row r="261" spans="1:8" ht="12.75" customHeight="1">
      <c r="A261" s="881">
        <f t="shared" si="3"/>
        <v>2021.12</v>
      </c>
      <c r="B261" s="1954">
        <v>514.34</v>
      </c>
      <c r="C261" s="3566">
        <v>479.05</v>
      </c>
      <c r="D261" s="1956">
        <v>501.16</v>
      </c>
      <c r="E261" s="1960">
        <v>436.8</v>
      </c>
      <c r="F261" s="1959">
        <v>488.33</v>
      </c>
      <c r="H261" s="438"/>
    </row>
    <row r="262" spans="1:8" ht="12.75" customHeight="1">
      <c r="A262" s="881">
        <f t="shared" si="3"/>
        <v>2022.01</v>
      </c>
      <c r="B262" s="1954">
        <v>538.16999999999996</v>
      </c>
      <c r="C262" s="3566">
        <v>493.03</v>
      </c>
      <c r="D262" s="1956">
        <v>521.29999999999995</v>
      </c>
      <c r="E262" s="1960">
        <v>447.94</v>
      </c>
      <c r="F262" s="1959">
        <v>506.68</v>
      </c>
      <c r="H262" s="438"/>
    </row>
    <row r="263" spans="1:8" ht="12.75" customHeight="1">
      <c r="A263" s="881">
        <f t="shared" si="3"/>
        <v>2022.02</v>
      </c>
      <c r="B263" s="1954">
        <v>559.01</v>
      </c>
      <c r="C263" s="3566">
        <v>504.7</v>
      </c>
      <c r="D263" s="1956">
        <v>538.72</v>
      </c>
      <c r="E263" s="1960">
        <v>457.61</v>
      </c>
      <c r="F263" s="1959">
        <v>522.55999999999995</v>
      </c>
      <c r="H263" s="438"/>
    </row>
    <row r="264" spans="1:8" ht="12.75" customHeight="1">
      <c r="A264" s="881">
        <f t="shared" si="3"/>
        <v>2022.03</v>
      </c>
      <c r="B264" s="1954">
        <v>589.30999999999995</v>
      </c>
      <c r="C264" s="3566">
        <v>565.82000000000005</v>
      </c>
      <c r="D264" s="1956">
        <v>580.53</v>
      </c>
      <c r="E264" s="1958">
        <v>483.35</v>
      </c>
      <c r="F264" s="1959">
        <v>561.16</v>
      </c>
      <c r="H264" s="438"/>
    </row>
    <row r="265" spans="1:8" ht="12.75" customHeight="1">
      <c r="A265" s="881">
        <f t="shared" si="3"/>
        <v>2022.04</v>
      </c>
      <c r="B265" s="1954">
        <v>622.29</v>
      </c>
      <c r="C265" s="3566">
        <v>580.87</v>
      </c>
      <c r="D265" s="1956">
        <v>606.82000000000005</v>
      </c>
      <c r="E265" s="1958">
        <v>517.48</v>
      </c>
      <c r="F265" s="1959">
        <v>589.01</v>
      </c>
      <c r="H265" s="438"/>
    </row>
    <row r="266" spans="1:8" ht="12.75" customHeight="1">
      <c r="A266" s="881">
        <f t="shared" si="3"/>
        <v>2022.05</v>
      </c>
      <c r="B266" s="1954">
        <v>665.66</v>
      </c>
      <c r="C266" s="3566">
        <v>619.44000000000005</v>
      </c>
      <c r="D266" s="1956">
        <v>648.39</v>
      </c>
      <c r="E266" s="1958">
        <v>534.16999999999996</v>
      </c>
      <c r="F266" s="1959">
        <v>625.63</v>
      </c>
      <c r="H266" s="438"/>
    </row>
    <row r="267" spans="1:8" ht="12.75" customHeight="1">
      <c r="A267" s="881">
        <f t="shared" si="3"/>
        <v>2022.06</v>
      </c>
      <c r="B267" s="1954">
        <v>699.36</v>
      </c>
      <c r="C267" s="3566">
        <v>647.9</v>
      </c>
      <c r="D267" s="1956">
        <v>680.14</v>
      </c>
      <c r="E267" s="1958">
        <v>558.71</v>
      </c>
      <c r="F267" s="1959">
        <v>655.94</v>
      </c>
      <c r="H267" s="438"/>
    </row>
    <row r="268" spans="1:8" ht="12.75" customHeight="1">
      <c r="A268" s="881">
        <f t="shared" si="3"/>
        <v>2022.07</v>
      </c>
      <c r="B268" s="1954">
        <v>737.01</v>
      </c>
      <c r="C268" s="3566">
        <v>695.34</v>
      </c>
      <c r="D268" s="1956">
        <v>721.44</v>
      </c>
      <c r="E268" s="1958">
        <v>575.30999999999995</v>
      </c>
      <c r="F268" s="1959">
        <v>692.32</v>
      </c>
      <c r="H268" s="438"/>
    </row>
    <row r="269" spans="1:8" ht="12.75" customHeight="1">
      <c r="A269" s="881">
        <f t="shared" si="3"/>
        <v>2022.08</v>
      </c>
      <c r="B269" s="1954">
        <v>797.04</v>
      </c>
      <c r="C269" s="3566">
        <v>724.84</v>
      </c>
      <c r="D269" s="1956">
        <v>770.07</v>
      </c>
      <c r="E269" s="1958">
        <v>606.44000000000005</v>
      </c>
      <c r="F269" s="1959">
        <v>737.46</v>
      </c>
      <c r="H269" s="438"/>
    </row>
    <row r="270" spans="1:8" ht="12.75" customHeight="1">
      <c r="A270" s="881">
        <f t="shared" si="3"/>
        <v>2022.09</v>
      </c>
      <c r="B270" s="1954">
        <v>843.4</v>
      </c>
      <c r="C270" s="3566">
        <v>780.81</v>
      </c>
      <c r="D270" s="1956">
        <v>820.02</v>
      </c>
      <c r="E270" s="1958">
        <v>654.74</v>
      </c>
      <c r="F270" s="1959">
        <v>787.08</v>
      </c>
      <c r="H270" s="438"/>
    </row>
    <row r="271" spans="1:8" ht="12.75" customHeight="1">
      <c r="A271" s="881">
        <f t="shared" si="3"/>
        <v>2022.1</v>
      </c>
      <c r="B271" s="1954">
        <v>888.1</v>
      </c>
      <c r="C271" s="3566">
        <v>827.5</v>
      </c>
      <c r="D271" s="1956">
        <v>865.46</v>
      </c>
      <c r="E271" s="1958">
        <v>675.21</v>
      </c>
      <c r="F271" s="1959">
        <v>827.54</v>
      </c>
      <c r="H271" s="438"/>
    </row>
    <row r="272" spans="1:8" ht="12.75" customHeight="1">
      <c r="A272" s="881">
        <f t="shared" si="3"/>
        <v>2022.11</v>
      </c>
      <c r="B272" s="1954">
        <v>953.34</v>
      </c>
      <c r="C272" s="3566">
        <v>874.76</v>
      </c>
      <c r="D272" s="1956">
        <v>923.98</v>
      </c>
      <c r="E272" s="1958">
        <v>718.67</v>
      </c>
      <c r="F272" s="1959">
        <v>883.06</v>
      </c>
      <c r="H272" s="438"/>
    </row>
    <row r="273" spans="1:8" ht="12.75" customHeight="1">
      <c r="A273" s="881">
        <f t="shared" si="3"/>
        <v>2022.12</v>
      </c>
      <c r="B273" s="1954">
        <v>996.62</v>
      </c>
      <c r="C273" s="3566">
        <v>955.04</v>
      </c>
      <c r="D273" s="1956">
        <v>981.09</v>
      </c>
      <c r="E273" s="1958">
        <v>722.55</v>
      </c>
      <c r="F273" s="1959">
        <v>929.56</v>
      </c>
      <c r="H273" s="438"/>
    </row>
    <row r="274" spans="1:8" ht="12.75" customHeight="1">
      <c r="A274" s="881">
        <f t="shared" si="3"/>
        <v>2023.01</v>
      </c>
      <c r="B274" s="1954">
        <v>1042.3699999999999</v>
      </c>
      <c r="C274" s="3566">
        <v>992.3</v>
      </c>
      <c r="D274" s="1956">
        <v>1023.66</v>
      </c>
      <c r="E274" s="1958">
        <v>771.21</v>
      </c>
      <c r="F274" s="1959">
        <v>973.35</v>
      </c>
      <c r="H274" s="438"/>
    </row>
    <row r="275" spans="1:8" ht="12.75" customHeight="1">
      <c r="A275" s="881">
        <f t="shared" si="3"/>
        <v>2023.02</v>
      </c>
      <c r="B275" s="1954">
        <v>1114.31</v>
      </c>
      <c r="C275" s="3566">
        <v>1030.47</v>
      </c>
      <c r="D275" s="1956">
        <v>1082.99</v>
      </c>
      <c r="E275" s="1958">
        <v>825.87</v>
      </c>
      <c r="F275" s="1959">
        <v>1031.74</v>
      </c>
      <c r="H275" s="438"/>
    </row>
    <row r="276" spans="1:8" ht="12.75" customHeight="1">
      <c r="A276" s="881">
        <f t="shared" si="3"/>
        <v>2023.03</v>
      </c>
      <c r="B276" s="1954">
        <v>1202.08</v>
      </c>
      <c r="C276" s="3566">
        <v>1198.55</v>
      </c>
      <c r="D276" s="1956">
        <v>1200.76</v>
      </c>
      <c r="E276" s="1958">
        <v>876.04</v>
      </c>
      <c r="F276" s="1959">
        <v>1136.04</v>
      </c>
      <c r="H276" s="438"/>
    </row>
    <row r="277" spans="1:8" ht="12.75" customHeight="1">
      <c r="A277" s="881">
        <f t="shared" si="3"/>
        <v>2023.04</v>
      </c>
      <c r="B277" s="1954">
        <v>1284.57</v>
      </c>
      <c r="C277" s="3566">
        <v>1247.3900000000001</v>
      </c>
      <c r="D277" s="1956">
        <v>1270.68</v>
      </c>
      <c r="E277" s="1958">
        <v>918.51</v>
      </c>
      <c r="F277" s="1959">
        <v>1200.49</v>
      </c>
      <c r="H277" s="438"/>
    </row>
    <row r="278" spans="1:8" ht="12.75" customHeight="1">
      <c r="A278" s="881">
        <f t="shared" si="3"/>
        <v>2023.05</v>
      </c>
      <c r="B278" s="1954">
        <v>1389.24</v>
      </c>
      <c r="C278" s="3566">
        <v>1353.08</v>
      </c>
      <c r="D278" s="1956">
        <v>1375.74</v>
      </c>
      <c r="E278" s="1958">
        <v>947.84</v>
      </c>
      <c r="F278" s="1959">
        <v>1290.46</v>
      </c>
      <c r="H278" s="438"/>
    </row>
    <row r="279" spans="1:8" ht="12.75" customHeight="1">
      <c r="A279" s="881">
        <f t="shared" si="3"/>
        <v>2023.06</v>
      </c>
      <c r="B279" s="1954">
        <v>1468.48</v>
      </c>
      <c r="C279" s="3566">
        <v>1434.49</v>
      </c>
      <c r="D279" s="1956">
        <v>1455.78</v>
      </c>
      <c r="E279" s="1958">
        <v>1018.88</v>
      </c>
      <c r="F279" s="1959">
        <v>1368.71</v>
      </c>
      <c r="H279" s="438"/>
    </row>
    <row r="280" spans="1:8" ht="12.75" customHeight="1">
      <c r="A280" s="881">
        <f t="shared" si="3"/>
        <v>2023.07</v>
      </c>
      <c r="B280" s="1954">
        <v>1626.81</v>
      </c>
      <c r="C280" s="3566">
        <v>1625.51</v>
      </c>
      <c r="D280" s="1956">
        <v>1626.33</v>
      </c>
      <c r="E280" s="1958">
        <v>1090.31</v>
      </c>
      <c r="F280" s="1959">
        <v>1519.5</v>
      </c>
      <c r="H280" s="438"/>
    </row>
    <row r="281" spans="1:8" ht="12.75" customHeight="1">
      <c r="A281" s="881">
        <f t="shared" si="3"/>
        <v>2023.08</v>
      </c>
      <c r="B281" s="1954">
        <v>1762.46</v>
      </c>
      <c r="C281" s="3566">
        <v>1723.25</v>
      </c>
      <c r="D281" s="1956">
        <v>1747.82</v>
      </c>
      <c r="E281" s="1958">
        <v>1183.42</v>
      </c>
      <c r="F281" s="1959">
        <v>1635.33</v>
      </c>
      <c r="H281" s="438"/>
    </row>
    <row r="282" spans="1:8" ht="12.75" customHeight="1">
      <c r="A282" s="881">
        <f t="shared" si="3"/>
        <v>2023.09</v>
      </c>
      <c r="B282" s="1954">
        <v>1995.58</v>
      </c>
      <c r="C282" s="3566">
        <v>1911.97</v>
      </c>
      <c r="D282" s="1956">
        <v>1964.34</v>
      </c>
      <c r="E282" s="1958">
        <v>1271.6300000000001</v>
      </c>
      <c r="F282" s="1959">
        <v>1826.29</v>
      </c>
      <c r="H282" s="438"/>
    </row>
    <row r="283" spans="1:8" ht="12.75" customHeight="1">
      <c r="A283" s="881">
        <f t="shared" si="3"/>
        <v>2023.1</v>
      </c>
      <c r="B283" s="1954">
        <v>2169.81</v>
      </c>
      <c r="C283" s="3566">
        <v>2086.8200000000002</v>
      </c>
      <c r="D283" s="1956">
        <v>2138.81</v>
      </c>
      <c r="E283" s="1958">
        <v>1334.03</v>
      </c>
      <c r="F283" s="1959">
        <v>1978.41</v>
      </c>
      <c r="H283" s="438"/>
    </row>
    <row r="284" spans="1:8" ht="12.75" customHeight="1">
      <c r="A284" s="881">
        <f t="shared" si="3"/>
        <v>2023.11</v>
      </c>
      <c r="B284" s="1954">
        <v>2385.5500000000002</v>
      </c>
      <c r="C284" s="3566">
        <v>2250.34</v>
      </c>
      <c r="D284" s="1956">
        <v>2335.04</v>
      </c>
      <c r="E284" s="1958">
        <v>1445.34</v>
      </c>
      <c r="F284" s="1959">
        <v>2157.73</v>
      </c>
      <c r="H284" s="438"/>
    </row>
    <row r="285" spans="1:8" ht="12.75" customHeight="1">
      <c r="A285" s="881">
        <f t="shared" si="3"/>
        <v>2023.12</v>
      </c>
      <c r="B285" s="1954">
        <v>2648.87</v>
      </c>
      <c r="C285" s="3566">
        <v>2374.02</v>
      </c>
      <c r="D285" s="1956">
        <v>2546.1999999999998</v>
      </c>
      <c r="E285" s="1958">
        <v>1555.65</v>
      </c>
      <c r="F285" s="1959">
        <v>2348.79</v>
      </c>
      <c r="H285" s="438"/>
    </row>
    <row r="286" spans="1:8" ht="12.75" customHeight="1">
      <c r="A286" s="881">
        <f t="shared" si="3"/>
        <v>2024.01</v>
      </c>
      <c r="B286" s="1954">
        <v>3178.28</v>
      </c>
      <c r="C286" s="3566">
        <v>2660.85</v>
      </c>
      <c r="D286" s="1956">
        <v>2985</v>
      </c>
      <c r="E286" s="1958">
        <v>1730.47</v>
      </c>
      <c r="F286" s="1959">
        <v>2734.97</v>
      </c>
      <c r="H286" s="438"/>
    </row>
    <row r="287" spans="1:8" ht="12.75" customHeight="1">
      <c r="A287" s="881">
        <f t="shared" si="3"/>
        <v>2024.02</v>
      </c>
      <c r="B287" s="1954">
        <v>3625.42</v>
      </c>
      <c r="C287" s="3566">
        <v>3062.83</v>
      </c>
      <c r="D287" s="1956">
        <v>3415.26</v>
      </c>
      <c r="E287" s="1958">
        <v>1829.42</v>
      </c>
      <c r="F287" s="1959">
        <v>3099.2</v>
      </c>
      <c r="H287" s="438"/>
    </row>
    <row r="288" spans="1:8" ht="12.75" customHeight="1">
      <c r="A288" s="881">
        <f t="shared" si="3"/>
        <v>2024.03</v>
      </c>
      <c r="B288" s="1954">
        <v>3987.49</v>
      </c>
      <c r="C288" s="3566">
        <v>3400.49</v>
      </c>
      <c r="D288" s="1956">
        <v>3768.21</v>
      </c>
      <c r="E288" s="1958">
        <v>2007.72</v>
      </c>
      <c r="F288" s="1959">
        <v>3417.34</v>
      </c>
      <c r="H288" s="438"/>
    </row>
    <row r="289" spans="1:8" ht="12.75" customHeight="1">
      <c r="A289" s="881">
        <f t="shared" si="3"/>
        <v>2024.04</v>
      </c>
      <c r="B289" s="1954">
        <v>4464.6000000000004</v>
      </c>
      <c r="C289" s="3566">
        <v>3656.07</v>
      </c>
      <c r="D289" s="1956">
        <v>4162.57</v>
      </c>
      <c r="E289" s="1958">
        <v>2163.7600000000002</v>
      </c>
      <c r="F289" s="1959">
        <v>3764.21</v>
      </c>
      <c r="H289" s="438"/>
    </row>
    <row r="290" spans="1:8" ht="12.75" customHeight="1">
      <c r="A290" s="881">
        <f t="shared" si="3"/>
        <v>2024.05</v>
      </c>
      <c r="B290" s="1954">
        <v>4807.34</v>
      </c>
      <c r="C290" s="3566">
        <v>3957.89</v>
      </c>
      <c r="D290" s="1956">
        <v>4490.03</v>
      </c>
      <c r="E290" s="1958">
        <v>2419.2399999999998</v>
      </c>
      <c r="F290" s="1959">
        <v>4077.32</v>
      </c>
      <c r="H290" s="438"/>
    </row>
    <row r="291" spans="1:8" ht="12.75" customHeight="1">
      <c r="A291" s="881">
        <f t="shared" ref="A291:A354" si="4">A279+1</f>
        <v>2024.06</v>
      </c>
      <c r="B291" s="1954">
        <v>5129.04</v>
      </c>
      <c r="C291" s="3566">
        <v>4113.99</v>
      </c>
      <c r="D291" s="1956">
        <v>4749.88</v>
      </c>
      <c r="E291" s="1958">
        <v>2642.13</v>
      </c>
      <c r="F291" s="1959">
        <v>4329.8</v>
      </c>
      <c r="H291" s="438"/>
    </row>
    <row r="292" spans="1:8" ht="12.75" customHeight="1">
      <c r="A292" s="881">
        <f t="shared" si="4"/>
        <v>2024.07</v>
      </c>
      <c r="B292" s="1954">
        <v>5450.78</v>
      </c>
      <c r="C292" s="3566">
        <v>4390.43</v>
      </c>
      <c r="D292" s="1956">
        <v>5054.6899999999996</v>
      </c>
      <c r="E292" s="1958">
        <v>3040.48</v>
      </c>
      <c r="F292" s="1959">
        <v>4653.26</v>
      </c>
      <c r="H292" s="438"/>
    </row>
    <row r="293" spans="1:8" ht="12.75" customHeight="1">
      <c r="A293" s="881">
        <f t="shared" si="4"/>
        <v>2024.08</v>
      </c>
      <c r="B293" s="1954">
        <v>5725.38</v>
      </c>
      <c r="C293" s="3566">
        <v>4594.7299999999996</v>
      </c>
      <c r="D293" s="1956">
        <v>5303.03</v>
      </c>
      <c r="E293" s="1958">
        <v>3362.05</v>
      </c>
      <c r="F293" s="1959">
        <v>4916.1899999999996</v>
      </c>
      <c r="H293" s="438"/>
    </row>
    <row r="294" spans="1:8" ht="12.75" customHeight="1">
      <c r="A294" s="881">
        <f t="shared" si="4"/>
        <v>2024.09</v>
      </c>
      <c r="B294" s="1954">
        <v>5941.03</v>
      </c>
      <c r="C294" s="3566">
        <v>4774.83</v>
      </c>
      <c r="D294" s="1956">
        <v>5505.4</v>
      </c>
      <c r="E294" s="1958">
        <v>3710.18</v>
      </c>
      <c r="F294" s="1959">
        <v>5147.6099999999997</v>
      </c>
      <c r="H294" s="438"/>
    </row>
    <row r="295" spans="1:8" ht="12.75" customHeight="1">
      <c r="A295" s="881">
        <f t="shared" si="4"/>
        <v>2024.1</v>
      </c>
      <c r="B295" s="1954">
        <v>6175.77</v>
      </c>
      <c r="C295" s="3566">
        <v>4982.0200000000004</v>
      </c>
      <c r="D295" s="1956">
        <v>5729.85</v>
      </c>
      <c r="E295" s="1958">
        <v>3994.36</v>
      </c>
      <c r="F295" s="1959">
        <v>5383.96</v>
      </c>
      <c r="H295" s="438"/>
    </row>
    <row r="296" spans="1:8" ht="12.75" customHeight="1">
      <c r="A296" s="881">
        <f t="shared" si="4"/>
        <v>2024.11</v>
      </c>
      <c r="B296" s="1954">
        <v>6378.33</v>
      </c>
      <c r="C296" s="3566">
        <v>5117.7</v>
      </c>
      <c r="D296" s="1956">
        <v>5907.43</v>
      </c>
      <c r="E296" s="1958">
        <v>4319.74</v>
      </c>
      <c r="F296" s="1959">
        <v>5591</v>
      </c>
      <c r="H296" s="438"/>
    </row>
    <row r="297" spans="1:8" ht="12.75" customHeight="1">
      <c r="A297" s="881">
        <f t="shared" si="4"/>
        <v>2024.12</v>
      </c>
      <c r="B297" s="1954">
        <v>6556.47</v>
      </c>
      <c r="C297" s="3566">
        <v>5205.72</v>
      </c>
      <c r="D297" s="1956">
        <v>6051.9</v>
      </c>
      <c r="E297" s="1958">
        <v>4615.04</v>
      </c>
      <c r="F297" s="1959">
        <v>5765.54</v>
      </c>
      <c r="H297" s="438"/>
    </row>
    <row r="298" spans="1:8" ht="12.75" customHeight="1">
      <c r="A298" s="881">
        <f t="shared" si="4"/>
        <v>2025.01</v>
      </c>
      <c r="B298" s="1954">
        <v>6707.3</v>
      </c>
      <c r="C298" s="3566">
        <v>5253.88</v>
      </c>
      <c r="D298" s="1956">
        <v>6164.38</v>
      </c>
      <c r="E298" s="1958">
        <v>5010.83</v>
      </c>
      <c r="F298" s="1959">
        <v>5934.47</v>
      </c>
      <c r="H298" s="438"/>
    </row>
    <row r="299" spans="1:8" ht="12.75" customHeight="1">
      <c r="A299" s="881">
        <f t="shared" si="4"/>
        <v>2025.02</v>
      </c>
      <c r="B299" s="1954">
        <v>6862.13</v>
      </c>
      <c r="C299" s="3566">
        <v>5488.58</v>
      </c>
      <c r="D299" s="1956">
        <v>6349.04</v>
      </c>
      <c r="E299" s="1958">
        <v>5408.11</v>
      </c>
      <c r="F299" s="1959">
        <v>6161.52</v>
      </c>
      <c r="H299" s="1874"/>
    </row>
    <row r="300" spans="1:8" ht="12.75" customHeight="1">
      <c r="A300" s="881">
        <f t="shared" si="4"/>
        <v>2025.03</v>
      </c>
      <c r="B300" s="1954">
        <v>7010.54</v>
      </c>
      <c r="C300" s="3566">
        <v>5668.51</v>
      </c>
      <c r="D300" s="1956">
        <v>6509.23</v>
      </c>
      <c r="E300" s="1958">
        <v>5684.22</v>
      </c>
      <c r="F300" s="1959">
        <v>6344.81</v>
      </c>
      <c r="H300" s="438"/>
    </row>
    <row r="301" spans="1:8" ht="12.75" customHeight="1">
      <c r="A301" s="881">
        <f t="shared" si="4"/>
        <v>2025.04</v>
      </c>
      <c r="B301" s="1954">
        <v>7187.95</v>
      </c>
      <c r="C301" s="3566">
        <v>5797.13</v>
      </c>
      <c r="D301" s="1956">
        <v>6668.41</v>
      </c>
      <c r="E301" s="1958">
        <v>6121</v>
      </c>
      <c r="F301" s="1959">
        <v>6559.31</v>
      </c>
      <c r="H301" s="438"/>
    </row>
    <row r="302" spans="1:8" ht="12.75" customHeight="1">
      <c r="A302" s="881">
        <f t="shared" si="4"/>
        <v>2025.05</v>
      </c>
      <c r="B302" s="1954">
        <v>7329.99</v>
      </c>
      <c r="C302" s="3566">
        <v>5987.03</v>
      </c>
      <c r="D302" s="1956">
        <v>6828.33</v>
      </c>
      <c r="E302" s="1958">
        <v>6461.52</v>
      </c>
      <c r="F302" s="1959">
        <v>6755.22</v>
      </c>
      <c r="H302" s="438"/>
    </row>
    <row r="303" spans="1:8" ht="12.75" customHeight="1">
      <c r="A303" s="881">
        <f t="shared" si="4"/>
        <v>2025.06</v>
      </c>
      <c r="B303" s="1954">
        <v>7457.02</v>
      </c>
      <c r="C303" s="3566">
        <v>6063.83</v>
      </c>
      <c r="D303" s="1956">
        <v>6936.6</v>
      </c>
      <c r="E303" s="1958">
        <v>7036.25</v>
      </c>
      <c r="F303" s="1959">
        <v>6956.46</v>
      </c>
      <c r="H303" s="438"/>
    </row>
    <row r="304" spans="1:8" ht="12.75" customHeight="1">
      <c r="A304" s="881">
        <f t="shared" si="4"/>
        <v>2025.07</v>
      </c>
      <c r="B304" s="1954">
        <v>7619.01</v>
      </c>
      <c r="C304" s="3566">
        <v>6202.12</v>
      </c>
      <c r="D304" s="1956">
        <v>7089.73</v>
      </c>
      <c r="E304" s="1958">
        <v>7287.87</v>
      </c>
      <c r="F304" s="1959">
        <v>7129.22</v>
      </c>
      <c r="H304" s="438"/>
    </row>
    <row r="305" spans="1:8" ht="12.75" customHeight="1">
      <c r="A305" s="881">
        <f t="shared" si="4"/>
        <v>2025.08</v>
      </c>
      <c r="B305" s="1954">
        <v>7789.94</v>
      </c>
      <c r="C305" s="3566">
        <v>6375.31</v>
      </c>
      <c r="D305" s="1956">
        <v>7261.51</v>
      </c>
      <c r="E305" s="1958">
        <v>7727.8</v>
      </c>
      <c r="F305" s="1959">
        <v>7354.44</v>
      </c>
      <c r="H305" s="438"/>
    </row>
    <row r="306" spans="1:8" ht="12.75" customHeight="1">
      <c r="A306" s="881">
        <f t="shared" si="4"/>
        <v>2025.09</v>
      </c>
      <c r="B306" s="1954">
        <v>7896.9</v>
      </c>
      <c r="C306" s="3566">
        <v>6447.94</v>
      </c>
      <c r="D306" s="1956">
        <v>7355.64</v>
      </c>
      <c r="E306" s="1958">
        <v>8170.41</v>
      </c>
      <c r="F306" s="1959">
        <v>7518.03</v>
      </c>
      <c r="H306" s="438"/>
    </row>
    <row r="307" spans="1:8" ht="12.75" customHeight="1">
      <c r="A307" s="881">
        <f t="shared" si="4"/>
        <v>2025.1</v>
      </c>
      <c r="B307" s="1954">
        <v>8061.11</v>
      </c>
      <c r="C307" s="3566">
        <v>6569.76</v>
      </c>
      <c r="D307" s="1956">
        <v>7504.02</v>
      </c>
      <c r="E307" s="1958">
        <v>8516.86</v>
      </c>
      <c r="F307" s="1959">
        <v>7705.88</v>
      </c>
      <c r="H307" s="438"/>
    </row>
    <row r="308" spans="1:8" ht="12.75" customHeight="1">
      <c r="A308" s="881">
        <f t="shared" si="4"/>
        <v>2025.11</v>
      </c>
      <c r="B308" s="1954">
        <v>8232.68</v>
      </c>
      <c r="C308" s="3566">
        <v>6645.32</v>
      </c>
      <c r="D308" s="1956">
        <v>7639.72</v>
      </c>
      <c r="E308" s="1958">
        <v>8660.3700000000008</v>
      </c>
      <c r="F308" s="1959">
        <v>7843.14</v>
      </c>
      <c r="H308" s="438"/>
    </row>
    <row r="309" spans="1:8" ht="12.75" customHeight="1">
      <c r="A309" s="881">
        <f t="shared" si="4"/>
        <v>2025.12</v>
      </c>
      <c r="B309" s="1954">
        <v>8441</v>
      </c>
      <c r="C309" s="3566">
        <v>6710.79</v>
      </c>
      <c r="D309" s="1956">
        <v>7794.68</v>
      </c>
      <c r="E309" s="1958">
        <v>8672.31</v>
      </c>
      <c r="F309" s="1959">
        <v>7969.6</v>
      </c>
      <c r="H309" s="438"/>
    </row>
    <row r="310" spans="1:8" ht="12.75" customHeight="1">
      <c r="A310" s="881">
        <f t="shared" si="4"/>
        <v>2026.01</v>
      </c>
      <c r="B310" s="1954">
        <v>8620.98</v>
      </c>
      <c r="C310" s="3566">
        <v>6832.27</v>
      </c>
      <c r="D310" s="1956">
        <v>7952.81</v>
      </c>
      <c r="E310" s="1958">
        <v>9050.9</v>
      </c>
      <c r="F310" s="1959">
        <v>8171.66</v>
      </c>
      <c r="H310" s="438"/>
    </row>
    <row r="311" spans="1:8" ht="12.75" customHeight="1">
      <c r="A311" s="881">
        <f t="shared" si="4"/>
        <v>2026.02</v>
      </c>
      <c r="B311" s="1954" t="e">
        <v>#N/A</v>
      </c>
      <c r="C311" s="3566" t="e">
        <v>#N/A</v>
      </c>
      <c r="D311" s="1956" t="e">
        <v>#N/A</v>
      </c>
      <c r="E311" s="1958" t="e">
        <v>#N/A</v>
      </c>
      <c r="F311" s="1959" t="e">
        <v>#N/A</v>
      </c>
      <c r="H311" s="438"/>
    </row>
    <row r="312" spans="1:8" ht="12.75" customHeight="1">
      <c r="A312" s="881">
        <f t="shared" si="4"/>
        <v>2026.03</v>
      </c>
      <c r="B312" s="1954" t="e">
        <v>#N/A</v>
      </c>
      <c r="C312" s="3566" t="e">
        <v>#N/A</v>
      </c>
      <c r="D312" s="1956" t="e">
        <v>#N/A</v>
      </c>
      <c r="E312" s="1958" t="e">
        <v>#N/A</v>
      </c>
      <c r="F312" s="1959" t="e">
        <v>#N/A</v>
      </c>
      <c r="H312" s="438"/>
    </row>
    <row r="313" spans="1:8" ht="12.75" customHeight="1">
      <c r="A313" s="881">
        <f t="shared" si="4"/>
        <v>2026.04</v>
      </c>
      <c r="B313" s="1954" t="e">
        <v>#N/A</v>
      </c>
      <c r="C313" s="3566" t="e">
        <v>#N/A</v>
      </c>
      <c r="D313" s="1956" t="e">
        <v>#N/A</v>
      </c>
      <c r="E313" s="1958" t="e">
        <v>#N/A</v>
      </c>
      <c r="F313" s="1959" t="e">
        <v>#N/A</v>
      </c>
      <c r="H313" s="438"/>
    </row>
    <row r="314" spans="1:8" ht="12.75" customHeight="1">
      <c r="A314" s="881">
        <f t="shared" si="4"/>
        <v>2026.05</v>
      </c>
      <c r="B314" s="1954" t="e">
        <v>#N/A</v>
      </c>
      <c r="C314" s="3566" t="e">
        <v>#N/A</v>
      </c>
      <c r="D314" s="1956" t="e">
        <v>#N/A</v>
      </c>
      <c r="E314" s="1958" t="e">
        <v>#N/A</v>
      </c>
      <c r="F314" s="1959" t="e">
        <v>#N/A</v>
      </c>
      <c r="H314" s="438"/>
    </row>
    <row r="315" spans="1:8" ht="12.75" customHeight="1">
      <c r="A315" s="881">
        <f t="shared" si="4"/>
        <v>2026.06</v>
      </c>
      <c r="B315" s="1954" t="e">
        <v>#N/A</v>
      </c>
      <c r="C315" s="3566" t="e">
        <v>#N/A</v>
      </c>
      <c r="D315" s="1956" t="e">
        <v>#N/A</v>
      </c>
      <c r="E315" s="1958" t="e">
        <v>#N/A</v>
      </c>
      <c r="F315" s="1959" t="e">
        <v>#N/A</v>
      </c>
      <c r="H315" s="438"/>
    </row>
    <row r="316" spans="1:8" ht="12.75" customHeight="1">
      <c r="A316" s="881">
        <f t="shared" si="4"/>
        <v>2026.07</v>
      </c>
      <c r="B316" s="1954" t="e">
        <v>#N/A</v>
      </c>
      <c r="C316" s="3566" t="e">
        <v>#N/A</v>
      </c>
      <c r="D316" s="1956" t="e">
        <v>#N/A</v>
      </c>
      <c r="E316" s="1958" t="e">
        <v>#N/A</v>
      </c>
      <c r="F316" s="1959" t="e">
        <v>#N/A</v>
      </c>
      <c r="H316" s="438"/>
    </row>
    <row r="317" spans="1:8" ht="12.75" customHeight="1">
      <c r="A317" s="881">
        <f t="shared" si="4"/>
        <v>2026.08</v>
      </c>
      <c r="B317" s="1954" t="e">
        <v>#N/A</v>
      </c>
      <c r="C317" s="3566" t="e">
        <v>#N/A</v>
      </c>
      <c r="D317" s="1956" t="e">
        <v>#N/A</v>
      </c>
      <c r="E317" s="1958" t="e">
        <v>#N/A</v>
      </c>
      <c r="F317" s="1959" t="e">
        <v>#N/A</v>
      </c>
      <c r="H317" s="438"/>
    </row>
    <row r="318" spans="1:8" ht="12.75" customHeight="1">
      <c r="A318" s="881">
        <f t="shared" si="4"/>
        <v>2026.09</v>
      </c>
      <c r="B318" s="1954" t="e">
        <v>#N/A</v>
      </c>
      <c r="C318" s="3566" t="e">
        <v>#N/A</v>
      </c>
      <c r="D318" s="1956" t="e">
        <v>#N/A</v>
      </c>
      <c r="E318" s="1958" t="e">
        <v>#N/A</v>
      </c>
      <c r="F318" s="1959" t="e">
        <v>#N/A</v>
      </c>
      <c r="H318" s="438"/>
    </row>
    <row r="319" spans="1:8" ht="12.75" customHeight="1">
      <c r="A319" s="881">
        <f t="shared" si="4"/>
        <v>2026.1</v>
      </c>
      <c r="B319" s="1954" t="e">
        <v>#N/A</v>
      </c>
      <c r="C319" s="3566" t="e">
        <v>#N/A</v>
      </c>
      <c r="D319" s="1956" t="e">
        <v>#N/A</v>
      </c>
      <c r="E319" s="1958" t="e">
        <v>#N/A</v>
      </c>
      <c r="F319" s="1959" t="e">
        <v>#N/A</v>
      </c>
      <c r="H319" s="438"/>
    </row>
    <row r="320" spans="1:8" ht="12.75" customHeight="1">
      <c r="A320" s="881">
        <f t="shared" si="4"/>
        <v>2026.11</v>
      </c>
      <c r="B320" s="1954" t="e">
        <v>#N/A</v>
      </c>
      <c r="C320" s="3566" t="e">
        <v>#N/A</v>
      </c>
      <c r="D320" s="1956" t="e">
        <v>#N/A</v>
      </c>
      <c r="E320" s="1958" t="e">
        <v>#N/A</v>
      </c>
      <c r="F320" s="1959" t="e">
        <v>#N/A</v>
      </c>
      <c r="H320" s="438"/>
    </row>
    <row r="321" spans="1:8" ht="12.75" customHeight="1">
      <c r="A321" s="881">
        <f t="shared" si="4"/>
        <v>2026.12</v>
      </c>
      <c r="B321" s="1954" t="e">
        <v>#N/A</v>
      </c>
      <c r="C321" s="3566" t="e">
        <v>#N/A</v>
      </c>
      <c r="D321" s="1956" t="e">
        <v>#N/A</v>
      </c>
      <c r="E321" s="1958" t="e">
        <v>#N/A</v>
      </c>
      <c r="F321" s="1959" t="e">
        <v>#N/A</v>
      </c>
      <c r="H321" s="438"/>
    </row>
    <row r="322" spans="1:8" ht="12.75" customHeight="1">
      <c r="A322" s="881">
        <f t="shared" si="4"/>
        <v>2027.01</v>
      </c>
      <c r="B322" s="1954" t="e">
        <v>#N/A</v>
      </c>
      <c r="C322" s="3566" t="e">
        <v>#N/A</v>
      </c>
      <c r="D322" s="1956" t="e">
        <v>#N/A</v>
      </c>
      <c r="E322" s="1958" t="e">
        <v>#N/A</v>
      </c>
      <c r="F322" s="1959" t="e">
        <v>#N/A</v>
      </c>
      <c r="H322" s="438"/>
    </row>
    <row r="323" spans="1:8" ht="12.75" customHeight="1">
      <c r="A323" s="881">
        <f t="shared" si="4"/>
        <v>2027.02</v>
      </c>
      <c r="B323" s="1954" t="e">
        <v>#N/A</v>
      </c>
      <c r="C323" s="3566" t="e">
        <v>#N/A</v>
      </c>
      <c r="D323" s="1956" t="e">
        <v>#N/A</v>
      </c>
      <c r="E323" s="1958" t="e">
        <v>#N/A</v>
      </c>
      <c r="F323" s="1959" t="e">
        <v>#N/A</v>
      </c>
      <c r="H323" s="438"/>
    </row>
    <row r="324" spans="1:8" ht="12.75" customHeight="1">
      <c r="A324" s="881">
        <f t="shared" si="4"/>
        <v>2027.03</v>
      </c>
      <c r="B324" s="1954" t="e">
        <v>#N/A</v>
      </c>
      <c r="C324" s="3566" t="e">
        <v>#N/A</v>
      </c>
      <c r="D324" s="1956" t="e">
        <v>#N/A</v>
      </c>
      <c r="E324" s="1958" t="e">
        <v>#N/A</v>
      </c>
      <c r="F324" s="1959" t="e">
        <v>#N/A</v>
      </c>
      <c r="H324" s="438"/>
    </row>
    <row r="325" spans="1:8" ht="12.75" customHeight="1">
      <c r="A325" s="881">
        <f t="shared" si="4"/>
        <v>2027.04</v>
      </c>
      <c r="B325" s="1954" t="e">
        <v>#N/A</v>
      </c>
      <c r="C325" s="3566" t="e">
        <v>#N/A</v>
      </c>
      <c r="D325" s="1956" t="e">
        <v>#N/A</v>
      </c>
      <c r="E325" s="1958" t="e">
        <v>#N/A</v>
      </c>
      <c r="F325" s="1959" t="e">
        <v>#N/A</v>
      </c>
      <c r="H325" s="438"/>
    </row>
    <row r="326" spans="1:8" ht="12.75" customHeight="1">
      <c r="A326" s="881">
        <f t="shared" si="4"/>
        <v>2027.05</v>
      </c>
      <c r="B326" s="1954" t="e">
        <v>#N/A</v>
      </c>
      <c r="C326" s="3566" t="e">
        <v>#N/A</v>
      </c>
      <c r="D326" s="1956" t="e">
        <v>#N/A</v>
      </c>
      <c r="E326" s="1958" t="e">
        <v>#N/A</v>
      </c>
      <c r="F326" s="1959" t="e">
        <v>#N/A</v>
      </c>
      <c r="H326" s="438"/>
    </row>
    <row r="327" spans="1:8" ht="12.75" customHeight="1">
      <c r="A327" s="881">
        <f t="shared" si="4"/>
        <v>2027.06</v>
      </c>
      <c r="B327" s="1954" t="e">
        <v>#N/A</v>
      </c>
      <c r="C327" s="3566" t="e">
        <v>#N/A</v>
      </c>
      <c r="D327" s="1956" t="e">
        <v>#N/A</v>
      </c>
      <c r="E327" s="1958" t="e">
        <v>#N/A</v>
      </c>
      <c r="F327" s="1959" t="e">
        <v>#N/A</v>
      </c>
      <c r="H327" s="438"/>
    </row>
    <row r="328" spans="1:8" ht="12.75" customHeight="1">
      <c r="A328" s="881">
        <f t="shared" si="4"/>
        <v>2027.07</v>
      </c>
      <c r="B328" s="1954" t="e">
        <v>#N/A</v>
      </c>
      <c r="C328" s="3566" t="e">
        <v>#N/A</v>
      </c>
      <c r="D328" s="1956" t="e">
        <v>#N/A</v>
      </c>
      <c r="E328" s="1958" t="e">
        <v>#N/A</v>
      </c>
      <c r="F328" s="1959" t="e">
        <v>#N/A</v>
      </c>
      <c r="H328" s="438"/>
    </row>
    <row r="329" spans="1:8" ht="12.75" customHeight="1">
      <c r="A329" s="881">
        <f t="shared" si="4"/>
        <v>2027.08</v>
      </c>
      <c r="B329" s="1954" t="e">
        <v>#N/A</v>
      </c>
      <c r="C329" s="3566" t="e">
        <v>#N/A</v>
      </c>
      <c r="D329" s="1956" t="e">
        <v>#N/A</v>
      </c>
      <c r="E329" s="1958" t="e">
        <v>#N/A</v>
      </c>
      <c r="F329" s="1959" t="e">
        <v>#N/A</v>
      </c>
      <c r="H329" s="438"/>
    </row>
    <row r="330" spans="1:8" ht="12.75" customHeight="1">
      <c r="A330" s="881">
        <f t="shared" si="4"/>
        <v>2027.09</v>
      </c>
      <c r="B330" s="1954" t="e">
        <v>#N/A</v>
      </c>
      <c r="C330" s="3566" t="e">
        <v>#N/A</v>
      </c>
      <c r="D330" s="1956" t="e">
        <v>#N/A</v>
      </c>
      <c r="E330" s="1958" t="e">
        <v>#N/A</v>
      </c>
      <c r="F330" s="1959" t="e">
        <v>#N/A</v>
      </c>
      <c r="H330" s="438"/>
    </row>
    <row r="331" spans="1:8" ht="12.75" customHeight="1">
      <c r="A331" s="881">
        <f t="shared" si="4"/>
        <v>2027.1</v>
      </c>
      <c r="B331" s="1954" t="e">
        <v>#N/A</v>
      </c>
      <c r="C331" s="3566" t="e">
        <v>#N/A</v>
      </c>
      <c r="D331" s="1956" t="e">
        <v>#N/A</v>
      </c>
      <c r="E331" s="1958" t="e">
        <v>#N/A</v>
      </c>
      <c r="F331" s="1959" t="e">
        <v>#N/A</v>
      </c>
      <c r="H331" s="438"/>
    </row>
    <row r="332" spans="1:8" ht="12.75" customHeight="1">
      <c r="A332" s="881">
        <f t="shared" si="4"/>
        <v>2027.11</v>
      </c>
      <c r="B332" s="1954" t="e">
        <v>#N/A</v>
      </c>
      <c r="C332" s="3566" t="e">
        <v>#N/A</v>
      </c>
      <c r="D332" s="1956" t="e">
        <v>#N/A</v>
      </c>
      <c r="E332" s="1958" t="e">
        <v>#N/A</v>
      </c>
      <c r="F332" s="1959" t="e">
        <v>#N/A</v>
      </c>
      <c r="H332" s="438"/>
    </row>
    <row r="333" spans="1:8" ht="12.75" customHeight="1">
      <c r="A333" s="881">
        <f t="shared" si="4"/>
        <v>2027.12</v>
      </c>
      <c r="B333" s="1954" t="e">
        <v>#N/A</v>
      </c>
      <c r="C333" s="3566" t="e">
        <v>#N/A</v>
      </c>
      <c r="D333" s="1956" t="e">
        <v>#N/A</v>
      </c>
      <c r="E333" s="1958" t="e">
        <v>#N/A</v>
      </c>
      <c r="F333" s="1959" t="e">
        <v>#N/A</v>
      </c>
      <c r="H333" s="438"/>
    </row>
    <row r="334" spans="1:8" ht="12.75" customHeight="1">
      <c r="A334" s="881">
        <f t="shared" si="4"/>
        <v>2028.01</v>
      </c>
      <c r="B334" s="1954" t="e">
        <v>#N/A</v>
      </c>
      <c r="C334" s="3566" t="e">
        <v>#N/A</v>
      </c>
      <c r="D334" s="1956" t="e">
        <v>#N/A</v>
      </c>
      <c r="E334" s="1958" t="e">
        <v>#N/A</v>
      </c>
      <c r="F334" s="1959" t="e">
        <v>#N/A</v>
      </c>
      <c r="H334" s="438"/>
    </row>
    <row r="335" spans="1:8" ht="12.75" customHeight="1">
      <c r="A335" s="881">
        <f t="shared" si="4"/>
        <v>2028.02</v>
      </c>
      <c r="B335" s="1954" t="e">
        <v>#N/A</v>
      </c>
      <c r="C335" s="3566" t="e">
        <v>#N/A</v>
      </c>
      <c r="D335" s="1956" t="e">
        <v>#N/A</v>
      </c>
      <c r="E335" s="1958" t="e">
        <v>#N/A</v>
      </c>
      <c r="F335" s="1959" t="e">
        <v>#N/A</v>
      </c>
      <c r="H335" s="438"/>
    </row>
    <row r="336" spans="1:8" ht="12.75" customHeight="1">
      <c r="A336" s="881">
        <f t="shared" si="4"/>
        <v>2028.03</v>
      </c>
      <c r="B336" s="1954" t="e">
        <v>#N/A</v>
      </c>
      <c r="C336" s="3566" t="e">
        <v>#N/A</v>
      </c>
      <c r="D336" s="1956" t="e">
        <v>#N/A</v>
      </c>
      <c r="E336" s="1958" t="e">
        <v>#N/A</v>
      </c>
      <c r="F336" s="1959" t="e">
        <v>#N/A</v>
      </c>
      <c r="H336" s="438"/>
    </row>
    <row r="337" spans="1:6" ht="12.75" customHeight="1">
      <c r="A337" s="881">
        <f t="shared" si="4"/>
        <v>2028.04</v>
      </c>
      <c r="B337" s="1954" t="e">
        <v>#N/A</v>
      </c>
      <c r="C337" s="3566" t="e">
        <v>#N/A</v>
      </c>
      <c r="D337" s="1956" t="e">
        <v>#N/A</v>
      </c>
      <c r="E337" s="1958" t="e">
        <v>#N/A</v>
      </c>
      <c r="F337" s="1959" t="e">
        <v>#N/A</v>
      </c>
    </row>
    <row r="338" spans="1:6" ht="12.75" customHeight="1">
      <c r="A338" s="881">
        <f t="shared" si="4"/>
        <v>2028.05</v>
      </c>
      <c r="B338" s="1954" t="e">
        <v>#N/A</v>
      </c>
      <c r="C338" s="3566" t="e">
        <v>#N/A</v>
      </c>
      <c r="D338" s="1956" t="e">
        <v>#N/A</v>
      </c>
      <c r="E338" s="1958" t="e">
        <v>#N/A</v>
      </c>
      <c r="F338" s="1959" t="e">
        <v>#N/A</v>
      </c>
    </row>
    <row r="339" spans="1:6" ht="12.75" customHeight="1">
      <c r="A339" s="881">
        <f t="shared" si="4"/>
        <v>2028.06</v>
      </c>
      <c r="B339" s="1954" t="e">
        <v>#N/A</v>
      </c>
      <c r="C339" s="3566" t="e">
        <v>#N/A</v>
      </c>
      <c r="D339" s="1956" t="e">
        <v>#N/A</v>
      </c>
      <c r="E339" s="1958" t="e">
        <v>#N/A</v>
      </c>
      <c r="F339" s="1959" t="e">
        <v>#N/A</v>
      </c>
    </row>
    <row r="340" spans="1:6" ht="12.75" customHeight="1">
      <c r="A340" s="881">
        <f t="shared" si="4"/>
        <v>2028.07</v>
      </c>
      <c r="B340" s="1954" t="e">
        <v>#N/A</v>
      </c>
      <c r="C340" s="3566" t="e">
        <v>#N/A</v>
      </c>
      <c r="D340" s="1956" t="e">
        <v>#N/A</v>
      </c>
      <c r="E340" s="1958" t="e">
        <v>#N/A</v>
      </c>
      <c r="F340" s="1959" t="e">
        <v>#N/A</v>
      </c>
    </row>
    <row r="341" spans="1:6" ht="12.75" customHeight="1">
      <c r="A341" s="881">
        <f t="shared" si="4"/>
        <v>2028.08</v>
      </c>
      <c r="B341" s="1954" t="e">
        <v>#N/A</v>
      </c>
      <c r="C341" s="3566" t="e">
        <v>#N/A</v>
      </c>
      <c r="D341" s="1956" t="e">
        <v>#N/A</v>
      </c>
      <c r="E341" s="1958" t="e">
        <v>#N/A</v>
      </c>
      <c r="F341" s="1959" t="e">
        <v>#N/A</v>
      </c>
    </row>
    <row r="342" spans="1:6" ht="12.75" customHeight="1">
      <c r="A342" s="881">
        <f t="shared" si="4"/>
        <v>2028.09</v>
      </c>
      <c r="B342" s="1954" t="e">
        <v>#N/A</v>
      </c>
      <c r="C342" s="3566" t="e">
        <v>#N/A</v>
      </c>
      <c r="D342" s="1956" t="e">
        <v>#N/A</v>
      </c>
      <c r="E342" s="1958" t="e">
        <v>#N/A</v>
      </c>
      <c r="F342" s="1959" t="e">
        <v>#N/A</v>
      </c>
    </row>
    <row r="343" spans="1:6" ht="12.75" customHeight="1">
      <c r="A343" s="881">
        <f t="shared" si="4"/>
        <v>2028.1</v>
      </c>
      <c r="B343" s="1954" t="e">
        <v>#N/A</v>
      </c>
      <c r="C343" s="3566" t="e">
        <v>#N/A</v>
      </c>
      <c r="D343" s="1956" t="e">
        <v>#N/A</v>
      </c>
      <c r="E343" s="1958" t="e">
        <v>#N/A</v>
      </c>
      <c r="F343" s="1959" t="e">
        <v>#N/A</v>
      </c>
    </row>
    <row r="344" spans="1:6" ht="12.75" customHeight="1">
      <c r="A344" s="881">
        <f t="shared" si="4"/>
        <v>2028.11</v>
      </c>
      <c r="B344" s="1954" t="e">
        <v>#N/A</v>
      </c>
      <c r="C344" s="3566" t="e">
        <v>#N/A</v>
      </c>
      <c r="D344" s="1956" t="e">
        <v>#N/A</v>
      </c>
      <c r="E344" s="1958" t="e">
        <v>#N/A</v>
      </c>
      <c r="F344" s="1959" t="e">
        <v>#N/A</v>
      </c>
    </row>
    <row r="345" spans="1:6" ht="12.75" customHeight="1">
      <c r="A345" s="881">
        <f t="shared" si="4"/>
        <v>2028.12</v>
      </c>
      <c r="B345" s="1954" t="e">
        <v>#N/A</v>
      </c>
      <c r="C345" s="3566" t="e">
        <v>#N/A</v>
      </c>
      <c r="D345" s="1956" t="e">
        <v>#N/A</v>
      </c>
      <c r="E345" s="1958" t="e">
        <v>#N/A</v>
      </c>
      <c r="F345" s="1959" t="e">
        <v>#N/A</v>
      </c>
    </row>
    <row r="346" spans="1:6" ht="12.75" customHeight="1">
      <c r="A346" s="881">
        <f t="shared" si="4"/>
        <v>2029.01</v>
      </c>
      <c r="B346" s="1954" t="e">
        <v>#N/A</v>
      </c>
      <c r="C346" s="3566" t="e">
        <v>#N/A</v>
      </c>
      <c r="D346" s="1956" t="e">
        <v>#N/A</v>
      </c>
      <c r="E346" s="1958" t="e">
        <v>#N/A</v>
      </c>
      <c r="F346" s="1959" t="e">
        <v>#N/A</v>
      </c>
    </row>
    <row r="347" spans="1:6" ht="12.75" customHeight="1">
      <c r="A347" s="881">
        <f t="shared" si="4"/>
        <v>2029.02</v>
      </c>
      <c r="B347" s="1954" t="e">
        <v>#N/A</v>
      </c>
      <c r="C347" s="3566" t="e">
        <v>#N/A</v>
      </c>
      <c r="D347" s="1956" t="e">
        <v>#N/A</v>
      </c>
      <c r="E347" s="1958" t="e">
        <v>#N/A</v>
      </c>
      <c r="F347" s="1959" t="e">
        <v>#N/A</v>
      </c>
    </row>
    <row r="348" spans="1:6" ht="12.75" customHeight="1">
      <c r="A348" s="881">
        <f t="shared" si="4"/>
        <v>2029.03</v>
      </c>
      <c r="B348" s="1954" t="e">
        <v>#N/A</v>
      </c>
      <c r="C348" s="3566" t="e">
        <v>#N/A</v>
      </c>
      <c r="D348" s="1956" t="e">
        <v>#N/A</v>
      </c>
      <c r="E348" s="1958" t="e">
        <v>#N/A</v>
      </c>
      <c r="F348" s="1959" t="e">
        <v>#N/A</v>
      </c>
    </row>
    <row r="349" spans="1:6" ht="12.75" customHeight="1">
      <c r="A349" s="881">
        <f t="shared" si="4"/>
        <v>2029.04</v>
      </c>
      <c r="B349" s="1954" t="e">
        <v>#N/A</v>
      </c>
      <c r="C349" s="3566" t="e">
        <v>#N/A</v>
      </c>
      <c r="D349" s="1956" t="e">
        <v>#N/A</v>
      </c>
      <c r="E349" s="1958" t="e">
        <v>#N/A</v>
      </c>
      <c r="F349" s="1959" t="e">
        <v>#N/A</v>
      </c>
    </row>
    <row r="350" spans="1:6" ht="12.75" customHeight="1">
      <c r="A350" s="881">
        <f t="shared" si="4"/>
        <v>2029.05</v>
      </c>
      <c r="B350" s="1954" t="e">
        <v>#N/A</v>
      </c>
      <c r="C350" s="3566" t="e">
        <v>#N/A</v>
      </c>
      <c r="D350" s="1956" t="e">
        <v>#N/A</v>
      </c>
      <c r="E350" s="1958" t="e">
        <v>#N/A</v>
      </c>
      <c r="F350" s="1959" t="e">
        <v>#N/A</v>
      </c>
    </row>
    <row r="351" spans="1:6" ht="12.75" customHeight="1">
      <c r="A351" s="881">
        <f t="shared" si="4"/>
        <v>2029.06</v>
      </c>
      <c r="B351" s="1954" t="e">
        <v>#N/A</v>
      </c>
      <c r="C351" s="3566" t="e">
        <v>#N/A</v>
      </c>
      <c r="D351" s="1956" t="e">
        <v>#N/A</v>
      </c>
      <c r="E351" s="1958" t="e">
        <v>#N/A</v>
      </c>
      <c r="F351" s="1959" t="e">
        <v>#N/A</v>
      </c>
    </row>
    <row r="352" spans="1:6" ht="12.75" customHeight="1">
      <c r="A352" s="881">
        <f t="shared" si="4"/>
        <v>2029.07</v>
      </c>
      <c r="B352" s="1954" t="e">
        <v>#N/A</v>
      </c>
      <c r="C352" s="3566" t="e">
        <v>#N/A</v>
      </c>
      <c r="D352" s="1956" t="e">
        <v>#N/A</v>
      </c>
      <c r="E352" s="1958" t="e">
        <v>#N/A</v>
      </c>
      <c r="F352" s="1959" t="e">
        <v>#N/A</v>
      </c>
    </row>
    <row r="353" spans="1:6" ht="12.75" customHeight="1">
      <c r="A353" s="881">
        <f t="shared" si="4"/>
        <v>2029.08</v>
      </c>
      <c r="B353" s="1954" t="e">
        <v>#N/A</v>
      </c>
      <c r="C353" s="3566" t="e">
        <v>#N/A</v>
      </c>
      <c r="D353" s="1956" t="e">
        <v>#N/A</v>
      </c>
      <c r="E353" s="1958" t="e">
        <v>#N/A</v>
      </c>
      <c r="F353" s="1959" t="e">
        <v>#N/A</v>
      </c>
    </row>
    <row r="354" spans="1:6" ht="12.75" customHeight="1">
      <c r="A354" s="881">
        <f t="shared" si="4"/>
        <v>2029.09</v>
      </c>
      <c r="B354" s="1954" t="e">
        <v>#N/A</v>
      </c>
      <c r="C354" s="3566" t="e">
        <v>#N/A</v>
      </c>
      <c r="D354" s="1956" t="e">
        <v>#N/A</v>
      </c>
      <c r="E354" s="1958" t="e">
        <v>#N/A</v>
      </c>
      <c r="F354" s="1959" t="e">
        <v>#N/A</v>
      </c>
    </row>
    <row r="355" spans="1:6" ht="12.75" customHeight="1">
      <c r="A355" s="881">
        <f t="shared" ref="A355:A369" si="5">A343+1</f>
        <v>2029.1</v>
      </c>
      <c r="B355" s="1954" t="e">
        <v>#N/A</v>
      </c>
      <c r="C355" s="3566" t="e">
        <v>#N/A</v>
      </c>
      <c r="D355" s="1956" t="e">
        <v>#N/A</v>
      </c>
      <c r="E355" s="1958" t="e">
        <v>#N/A</v>
      </c>
      <c r="F355" s="1959" t="e">
        <v>#N/A</v>
      </c>
    </row>
    <row r="356" spans="1:6" ht="12.75" customHeight="1">
      <c r="A356" s="881">
        <f t="shared" si="5"/>
        <v>2029.11</v>
      </c>
      <c r="B356" s="1954" t="e">
        <v>#N/A</v>
      </c>
      <c r="C356" s="3566" t="e">
        <v>#N/A</v>
      </c>
      <c r="D356" s="1956" t="e">
        <v>#N/A</v>
      </c>
      <c r="E356" s="1958" t="e">
        <v>#N/A</v>
      </c>
      <c r="F356" s="1959" t="e">
        <v>#N/A</v>
      </c>
    </row>
    <row r="357" spans="1:6" ht="12.75" customHeight="1">
      <c r="A357" s="881">
        <f t="shared" si="5"/>
        <v>2029.12</v>
      </c>
      <c r="B357" s="1954" t="e">
        <v>#N/A</v>
      </c>
      <c r="C357" s="3566" t="e">
        <v>#N/A</v>
      </c>
      <c r="D357" s="1956" t="e">
        <v>#N/A</v>
      </c>
      <c r="E357" s="1958" t="e">
        <v>#N/A</v>
      </c>
      <c r="F357" s="1959" t="e">
        <v>#N/A</v>
      </c>
    </row>
    <row r="358" spans="1:6" ht="12.75" customHeight="1">
      <c r="A358" s="881">
        <f t="shared" si="5"/>
        <v>2030.01</v>
      </c>
      <c r="B358" s="1954" t="e">
        <v>#N/A</v>
      </c>
      <c r="C358" s="3566" t="e">
        <v>#N/A</v>
      </c>
      <c r="D358" s="1956" t="e">
        <v>#N/A</v>
      </c>
      <c r="E358" s="1958" t="e">
        <v>#N/A</v>
      </c>
      <c r="F358" s="1959" t="e">
        <v>#N/A</v>
      </c>
    </row>
    <row r="359" spans="1:6" ht="12.75" customHeight="1">
      <c r="A359" s="881">
        <f t="shared" si="5"/>
        <v>2030.02</v>
      </c>
      <c r="B359" s="1954" t="e">
        <v>#N/A</v>
      </c>
      <c r="C359" s="3566" t="e">
        <v>#N/A</v>
      </c>
      <c r="D359" s="1956" t="e">
        <v>#N/A</v>
      </c>
      <c r="E359" s="1958" t="e">
        <v>#N/A</v>
      </c>
      <c r="F359" s="1959" t="e">
        <v>#N/A</v>
      </c>
    </row>
    <row r="360" spans="1:6" ht="12.75" customHeight="1">
      <c r="A360" s="881">
        <f t="shared" si="5"/>
        <v>2030.03</v>
      </c>
      <c r="B360" s="1954" t="e">
        <v>#N/A</v>
      </c>
      <c r="C360" s="3566" t="e">
        <v>#N/A</v>
      </c>
      <c r="D360" s="1956" t="e">
        <v>#N/A</v>
      </c>
      <c r="E360" s="1958" t="e">
        <v>#N/A</v>
      </c>
      <c r="F360" s="1959" t="e">
        <v>#N/A</v>
      </c>
    </row>
    <row r="361" spans="1:6" ht="12.75" customHeight="1">
      <c r="A361" s="881">
        <f t="shared" si="5"/>
        <v>2030.04</v>
      </c>
      <c r="B361" s="1954" t="e">
        <v>#N/A</v>
      </c>
      <c r="C361" s="3566" t="e">
        <v>#N/A</v>
      </c>
      <c r="D361" s="1956" t="e">
        <v>#N/A</v>
      </c>
      <c r="E361" s="1958" t="e">
        <v>#N/A</v>
      </c>
      <c r="F361" s="1959" t="e">
        <v>#N/A</v>
      </c>
    </row>
    <row r="362" spans="1:6" ht="12.75" customHeight="1">
      <c r="A362" s="881">
        <f t="shared" si="5"/>
        <v>2030.05</v>
      </c>
      <c r="B362" s="1954" t="e">
        <v>#N/A</v>
      </c>
      <c r="C362" s="3566" t="e">
        <v>#N/A</v>
      </c>
      <c r="D362" s="1956" t="e">
        <v>#N/A</v>
      </c>
      <c r="E362" s="1958" t="e">
        <v>#N/A</v>
      </c>
      <c r="F362" s="1959" t="e">
        <v>#N/A</v>
      </c>
    </row>
    <row r="363" spans="1:6" ht="12.75" customHeight="1">
      <c r="A363" s="881">
        <f t="shared" si="5"/>
        <v>2030.06</v>
      </c>
      <c r="B363" s="1954" t="e">
        <v>#N/A</v>
      </c>
      <c r="C363" s="3566" t="e">
        <v>#N/A</v>
      </c>
      <c r="D363" s="1956" t="e">
        <v>#N/A</v>
      </c>
      <c r="E363" s="1958" t="e">
        <v>#N/A</v>
      </c>
      <c r="F363" s="1959" t="e">
        <v>#N/A</v>
      </c>
    </row>
    <row r="364" spans="1:6" ht="12.75" customHeight="1">
      <c r="A364" s="881">
        <f t="shared" si="5"/>
        <v>2030.07</v>
      </c>
      <c r="B364" s="1954" t="e">
        <v>#N/A</v>
      </c>
      <c r="C364" s="3566" t="e">
        <v>#N/A</v>
      </c>
      <c r="D364" s="1956" t="e">
        <v>#N/A</v>
      </c>
      <c r="E364" s="1958" t="e">
        <v>#N/A</v>
      </c>
      <c r="F364" s="1959" t="e">
        <v>#N/A</v>
      </c>
    </row>
    <row r="365" spans="1:6" ht="12.75" customHeight="1">
      <c r="A365" s="881">
        <f t="shared" si="5"/>
        <v>2030.08</v>
      </c>
      <c r="B365" s="1954" t="e">
        <v>#N/A</v>
      </c>
      <c r="C365" s="3566" t="e">
        <v>#N/A</v>
      </c>
      <c r="D365" s="1956" t="e">
        <v>#N/A</v>
      </c>
      <c r="E365" s="1958" t="e">
        <v>#N/A</v>
      </c>
      <c r="F365" s="1959" t="e">
        <v>#N/A</v>
      </c>
    </row>
    <row r="366" spans="1:6" ht="12.75" customHeight="1">
      <c r="A366" s="881">
        <f t="shared" si="5"/>
        <v>2030.09</v>
      </c>
      <c r="B366" s="1954" t="e">
        <v>#N/A</v>
      </c>
      <c r="C366" s="3566" t="e">
        <v>#N/A</v>
      </c>
      <c r="D366" s="1956" t="e">
        <v>#N/A</v>
      </c>
      <c r="E366" s="1958" t="e">
        <v>#N/A</v>
      </c>
      <c r="F366" s="1959" t="e">
        <v>#N/A</v>
      </c>
    </row>
    <row r="367" spans="1:6" ht="12.75" customHeight="1">
      <c r="A367" s="881">
        <f t="shared" si="5"/>
        <v>2030.1</v>
      </c>
      <c r="B367" s="1954" t="e">
        <v>#N/A</v>
      </c>
      <c r="C367" s="3566" t="e">
        <v>#N/A</v>
      </c>
      <c r="D367" s="1956" t="e">
        <v>#N/A</v>
      </c>
      <c r="E367" s="1958" t="e">
        <v>#N/A</v>
      </c>
      <c r="F367" s="1959" t="e">
        <v>#N/A</v>
      </c>
    </row>
    <row r="368" spans="1:6" ht="12.75" customHeight="1">
      <c r="A368" s="881">
        <f t="shared" si="5"/>
        <v>2030.11</v>
      </c>
      <c r="B368" s="1954" t="e">
        <v>#N/A</v>
      </c>
      <c r="C368" s="3566" t="e">
        <v>#N/A</v>
      </c>
      <c r="D368" s="1956" t="e">
        <v>#N/A</v>
      </c>
      <c r="E368" s="1958" t="e">
        <v>#N/A</v>
      </c>
      <c r="F368" s="1959" t="e">
        <v>#N/A</v>
      </c>
    </row>
    <row r="369" spans="1:6" ht="12.75" customHeight="1">
      <c r="A369" s="881">
        <f t="shared" si="5"/>
        <v>2030.12</v>
      </c>
      <c r="B369" s="1954" t="e">
        <v>#N/A</v>
      </c>
      <c r="C369" s="3566" t="e">
        <v>#N/A</v>
      </c>
      <c r="D369" s="1956" t="e">
        <v>#N/A</v>
      </c>
      <c r="E369" s="1958" t="e">
        <v>#N/A</v>
      </c>
      <c r="F369" s="1959" t="e">
        <v>#N/A</v>
      </c>
    </row>
    <row r="370" spans="1:6">
      <c r="B370" s="982"/>
      <c r="C370" s="982"/>
      <c r="D370" s="982"/>
      <c r="E370" s="982"/>
      <c r="F370" s="982"/>
    </row>
  </sheetData>
  <hyperlinks>
    <hyperlink ref="A5" location="INDICE!A13" display="VOLVER AL INDICE" xr:uid="{00000000-0004-0000-0D00-000000000000}"/>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35"/>
  <dimension ref="A1:M225"/>
  <sheetViews>
    <sheetView zoomScaleNormal="100"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5"/>
  <cols>
    <col min="1" max="1" width="11.42578125" style="468"/>
    <col min="2" max="13" width="18.28515625" style="467" customWidth="1"/>
    <col min="14" max="16384" width="11.42578125" style="467"/>
  </cols>
  <sheetData>
    <row r="1" spans="1:13" s="464" customFormat="1" ht="3.75" customHeight="1">
      <c r="A1" s="2761"/>
      <c r="B1" s="462"/>
      <c r="C1" s="463"/>
      <c r="D1" s="463"/>
      <c r="E1" s="463"/>
      <c r="F1" s="463"/>
      <c r="G1" s="463"/>
      <c r="H1" s="3322"/>
      <c r="I1" s="462"/>
      <c r="J1" s="463"/>
      <c r="K1" s="463"/>
      <c r="L1" s="463"/>
      <c r="M1" s="3322"/>
    </row>
    <row r="2" spans="1:13" s="464" customFormat="1" ht="20.45" customHeight="1">
      <c r="A2" s="3323" t="s">
        <v>99</v>
      </c>
      <c r="B2" s="2845" t="s">
        <v>701</v>
      </c>
      <c r="C2" s="2845"/>
      <c r="D2" s="2845"/>
      <c r="E2" s="2845"/>
      <c r="F2" s="2845"/>
      <c r="G2" s="2845"/>
      <c r="H2" s="2845"/>
      <c r="I2" s="2845" t="s">
        <v>701</v>
      </c>
      <c r="J2" s="2845"/>
      <c r="K2" s="2845"/>
      <c r="L2" s="2845"/>
      <c r="M2" s="2846"/>
    </row>
    <row r="3" spans="1:13" s="464" customFormat="1" ht="20.45" customHeight="1">
      <c r="A3" s="3323" t="s">
        <v>104</v>
      </c>
      <c r="B3" s="2845" t="s">
        <v>702</v>
      </c>
      <c r="C3" s="2845"/>
      <c r="D3" s="2845"/>
      <c r="E3" s="2847"/>
      <c r="F3" s="2847"/>
      <c r="G3" s="2847"/>
      <c r="H3" s="2847"/>
      <c r="I3" s="2845" t="s">
        <v>702</v>
      </c>
      <c r="J3" s="2847"/>
      <c r="K3" s="2847"/>
      <c r="L3" s="2847"/>
      <c r="M3" s="2848"/>
    </row>
    <row r="4" spans="1:13" s="3329" customFormat="1" ht="15.75" customHeight="1">
      <c r="A4" s="3323"/>
      <c r="B4" s="2851" t="s">
        <v>703</v>
      </c>
      <c r="C4" s="471"/>
      <c r="D4" s="471"/>
      <c r="E4" s="3324"/>
      <c r="F4" s="3324"/>
      <c r="G4" s="3324"/>
      <c r="H4" s="3325"/>
      <c r="I4" s="3326" t="s">
        <v>704</v>
      </c>
      <c r="J4" s="3327"/>
      <c r="K4" s="3327"/>
      <c r="L4" s="3327"/>
      <c r="M4" s="3328"/>
    </row>
    <row r="5" spans="1:13" s="464" customFormat="1" ht="22.5">
      <c r="A5" s="3330" t="s">
        <v>140</v>
      </c>
      <c r="B5" s="2849" t="s">
        <v>705</v>
      </c>
      <c r="C5" s="3331"/>
      <c r="D5" s="3331"/>
      <c r="E5" s="3332" t="s">
        <v>706</v>
      </c>
      <c r="F5" s="3331"/>
      <c r="G5" s="3333"/>
      <c r="H5" s="3333" t="s">
        <v>554</v>
      </c>
      <c r="I5" s="3334" t="s">
        <v>705</v>
      </c>
      <c r="J5" s="3335"/>
      <c r="K5" s="3332" t="s">
        <v>706</v>
      </c>
      <c r="L5" s="3336"/>
      <c r="M5" s="763" t="s">
        <v>554</v>
      </c>
    </row>
    <row r="6" spans="1:13" s="464" customFormat="1" ht="22.5">
      <c r="A6" s="3323" t="s">
        <v>125</v>
      </c>
      <c r="B6" s="2850" t="s">
        <v>707</v>
      </c>
      <c r="C6" s="2850" t="s">
        <v>707</v>
      </c>
      <c r="D6" s="3337" t="s">
        <v>707</v>
      </c>
      <c r="E6" s="3338" t="s">
        <v>707</v>
      </c>
      <c r="F6" s="2850" t="s">
        <v>707</v>
      </c>
      <c r="G6" s="2055" t="s">
        <v>707</v>
      </c>
      <c r="H6" s="3339" t="s">
        <v>707</v>
      </c>
      <c r="I6" s="3340" t="s">
        <v>707</v>
      </c>
      <c r="J6" s="3337" t="s">
        <v>707</v>
      </c>
      <c r="K6" s="3338" t="s">
        <v>707</v>
      </c>
      <c r="L6" s="2055" t="s">
        <v>707</v>
      </c>
      <c r="M6" s="764" t="s">
        <v>707</v>
      </c>
    </row>
    <row r="7" spans="1:13" s="464" customFormat="1" ht="22.5">
      <c r="A7" s="3323" t="s">
        <v>708</v>
      </c>
      <c r="B7" s="3341" t="s">
        <v>554</v>
      </c>
      <c r="C7" s="2850" t="s">
        <v>709</v>
      </c>
      <c r="D7" s="3337" t="s">
        <v>710</v>
      </c>
      <c r="E7" s="3342" t="s">
        <v>554</v>
      </c>
      <c r="F7" s="2850" t="s">
        <v>709</v>
      </c>
      <c r="G7" s="2055" t="s">
        <v>710</v>
      </c>
      <c r="H7" s="3199"/>
      <c r="I7" s="3340" t="s">
        <v>709</v>
      </c>
      <c r="J7" s="3337" t="s">
        <v>710</v>
      </c>
      <c r="K7" s="3338" t="s">
        <v>709</v>
      </c>
      <c r="L7" s="2055" t="s">
        <v>710</v>
      </c>
      <c r="M7" s="469"/>
    </row>
    <row r="8" spans="1:13" s="464" customFormat="1" ht="11.25">
      <c r="A8" s="2751" t="s">
        <v>144</v>
      </c>
      <c r="B8" s="3343" t="s">
        <v>711</v>
      </c>
      <c r="C8" s="3344" t="s">
        <v>712</v>
      </c>
      <c r="D8" s="3345" t="s">
        <v>713</v>
      </c>
      <c r="E8" s="3346" t="s">
        <v>714</v>
      </c>
      <c r="F8" s="3344" t="s">
        <v>715</v>
      </c>
      <c r="G8" s="3347" t="s">
        <v>716</v>
      </c>
      <c r="H8" s="3348" t="s">
        <v>717</v>
      </c>
      <c r="I8" s="3349" t="s">
        <v>718</v>
      </c>
      <c r="J8" s="3345" t="s">
        <v>719</v>
      </c>
      <c r="K8" s="3350" t="s">
        <v>720</v>
      </c>
      <c r="L8" s="3347" t="s">
        <v>721</v>
      </c>
      <c r="M8" s="3351" t="s">
        <v>722</v>
      </c>
    </row>
    <row r="9" spans="1:13" s="464" customFormat="1" ht="11.25" hidden="1">
      <c r="A9" s="3002"/>
      <c r="B9" s="3352"/>
      <c r="C9" s="3353"/>
      <c r="D9" s="3354"/>
      <c r="E9" s="3355"/>
      <c r="F9" s="3356"/>
      <c r="G9" s="3357"/>
      <c r="H9" s="3358"/>
      <c r="I9" s="3359"/>
      <c r="J9" s="3360"/>
      <c r="K9" s="3355"/>
      <c r="L9" s="3357"/>
      <c r="M9" s="3361"/>
    </row>
    <row r="10" spans="1:13" ht="12.75">
      <c r="A10" s="466">
        <v>2013.01</v>
      </c>
      <c r="B10" s="470">
        <v>4330408</v>
      </c>
      <c r="C10" s="3362"/>
      <c r="D10" s="3363"/>
      <c r="E10" s="3364">
        <v>1560357</v>
      </c>
      <c r="F10" s="3362"/>
      <c r="G10" s="3365"/>
      <c r="H10" s="3366">
        <v>5890765</v>
      </c>
      <c r="I10" s="3367"/>
      <c r="J10" s="3368"/>
      <c r="K10" s="3369"/>
      <c r="L10" s="3370"/>
      <c r="M10" s="3371"/>
    </row>
    <row r="11" spans="1:13" ht="12.75">
      <c r="A11" s="466">
        <v>2013.02</v>
      </c>
      <c r="B11" s="762">
        <v>4331311</v>
      </c>
      <c r="C11" s="3372"/>
      <c r="D11" s="3373"/>
      <c r="E11" s="3374">
        <v>1560580</v>
      </c>
      <c r="F11" s="3372"/>
      <c r="G11" s="3375"/>
      <c r="H11" s="3376">
        <f t="shared" ref="H11:H74" si="0">B11+E11</f>
        <v>5891891</v>
      </c>
      <c r="I11" s="3367"/>
      <c r="J11" s="3368"/>
      <c r="K11" s="3369"/>
      <c r="L11" s="3370"/>
      <c r="M11" s="3371"/>
    </row>
    <row r="12" spans="1:13" ht="12.75">
      <c r="A12" s="466">
        <v>2013.03</v>
      </c>
      <c r="B12" s="762">
        <v>4329550</v>
      </c>
      <c r="C12" s="3372"/>
      <c r="D12" s="3373"/>
      <c r="E12" s="3374">
        <v>1560148</v>
      </c>
      <c r="F12" s="3372"/>
      <c r="G12" s="3375"/>
      <c r="H12" s="3376">
        <f t="shared" si="0"/>
        <v>5889698</v>
      </c>
      <c r="I12" s="3367"/>
      <c r="J12" s="3368"/>
      <c r="K12" s="3369"/>
      <c r="L12" s="3370"/>
      <c r="M12" s="3371"/>
    </row>
    <row r="13" spans="1:13" ht="12.75">
      <c r="A13" s="466">
        <v>2013.04</v>
      </c>
      <c r="B13" s="762">
        <v>4329811</v>
      </c>
      <c r="C13" s="3372"/>
      <c r="D13" s="3373"/>
      <c r="E13" s="3374">
        <v>1561061</v>
      </c>
      <c r="F13" s="3372"/>
      <c r="G13" s="3375"/>
      <c r="H13" s="3376">
        <f t="shared" si="0"/>
        <v>5890872</v>
      </c>
      <c r="I13" s="3367"/>
      <c r="J13" s="3368"/>
      <c r="K13" s="3369"/>
      <c r="L13" s="3370"/>
      <c r="M13" s="3371"/>
    </row>
    <row r="14" spans="1:13" ht="12.75">
      <c r="A14" s="466">
        <v>2013.05</v>
      </c>
      <c r="B14" s="762">
        <v>4330976</v>
      </c>
      <c r="C14" s="3372"/>
      <c r="D14" s="3373"/>
      <c r="E14" s="3374">
        <v>1563251</v>
      </c>
      <c r="F14" s="3372"/>
      <c r="G14" s="3375"/>
      <c r="H14" s="3376">
        <f t="shared" si="0"/>
        <v>5894227</v>
      </c>
      <c r="I14" s="3367"/>
      <c r="J14" s="3368"/>
      <c r="K14" s="3369"/>
      <c r="L14" s="3370"/>
      <c r="M14" s="3371"/>
    </row>
    <row r="15" spans="1:13" ht="12.75">
      <c r="A15" s="466">
        <v>2013.06</v>
      </c>
      <c r="B15" s="762">
        <v>4333649</v>
      </c>
      <c r="C15" s="3372"/>
      <c r="D15" s="3373"/>
      <c r="E15" s="3374">
        <v>1566201</v>
      </c>
      <c r="F15" s="3372"/>
      <c r="G15" s="3375"/>
      <c r="H15" s="3376">
        <f t="shared" si="0"/>
        <v>5899850</v>
      </c>
      <c r="I15" s="3367"/>
      <c r="J15" s="3368"/>
      <c r="K15" s="3369"/>
      <c r="L15" s="3370"/>
      <c r="M15" s="3371"/>
    </row>
    <row r="16" spans="1:13" ht="12.75">
      <c r="A16" s="466">
        <v>2013.07</v>
      </c>
      <c r="B16" s="762">
        <v>4336747</v>
      </c>
      <c r="C16" s="3372"/>
      <c r="D16" s="3373"/>
      <c r="E16" s="3374">
        <v>1568802</v>
      </c>
      <c r="F16" s="3372"/>
      <c r="G16" s="3375"/>
      <c r="H16" s="3376">
        <f t="shared" si="0"/>
        <v>5905549</v>
      </c>
      <c r="I16" s="3367"/>
      <c r="J16" s="3368"/>
      <c r="K16" s="3369"/>
      <c r="L16" s="3370"/>
      <c r="M16" s="3371"/>
    </row>
    <row r="17" spans="1:13" ht="12.75">
      <c r="A17" s="466">
        <v>2013.08</v>
      </c>
      <c r="B17" s="762">
        <v>4337708</v>
      </c>
      <c r="C17" s="3372"/>
      <c r="D17" s="3373"/>
      <c r="E17" s="3374">
        <v>1570096</v>
      </c>
      <c r="F17" s="3372"/>
      <c r="G17" s="3375"/>
      <c r="H17" s="3376">
        <f t="shared" si="0"/>
        <v>5907804</v>
      </c>
      <c r="I17" s="3367"/>
      <c r="J17" s="3368"/>
      <c r="K17" s="3369"/>
      <c r="L17" s="3370"/>
      <c r="M17" s="3371"/>
    </row>
    <row r="18" spans="1:13" ht="12.75">
      <c r="A18" s="466">
        <v>2013.09</v>
      </c>
      <c r="B18" s="762">
        <v>4336738</v>
      </c>
      <c r="C18" s="3372"/>
      <c r="D18" s="3373"/>
      <c r="E18" s="3374">
        <v>1569920</v>
      </c>
      <c r="F18" s="3372"/>
      <c r="G18" s="3375"/>
      <c r="H18" s="3376">
        <f t="shared" si="0"/>
        <v>5906658</v>
      </c>
      <c r="I18" s="3367"/>
      <c r="J18" s="3368"/>
      <c r="K18" s="3369"/>
      <c r="L18" s="3370"/>
      <c r="M18" s="3371"/>
    </row>
    <row r="19" spans="1:13" ht="12.75">
      <c r="A19" s="466">
        <v>2013.1</v>
      </c>
      <c r="B19" s="762">
        <v>4335948</v>
      </c>
      <c r="C19" s="3372"/>
      <c r="D19" s="3373"/>
      <c r="E19" s="3374">
        <v>1570813</v>
      </c>
      <c r="F19" s="3372"/>
      <c r="G19" s="3375"/>
      <c r="H19" s="3376">
        <f t="shared" si="0"/>
        <v>5906761</v>
      </c>
      <c r="I19" s="3367"/>
      <c r="J19" s="3368"/>
      <c r="K19" s="3369"/>
      <c r="L19" s="3370"/>
      <c r="M19" s="3371"/>
    </row>
    <row r="20" spans="1:13" ht="12.75">
      <c r="A20" s="466">
        <v>2013.11</v>
      </c>
      <c r="B20" s="762">
        <v>4336164</v>
      </c>
      <c r="C20" s="3372"/>
      <c r="D20" s="3373"/>
      <c r="E20" s="3374">
        <v>1571964</v>
      </c>
      <c r="F20" s="3372"/>
      <c r="G20" s="3375"/>
      <c r="H20" s="3376">
        <f t="shared" si="0"/>
        <v>5908128</v>
      </c>
      <c r="I20" s="3367"/>
      <c r="J20" s="3368"/>
      <c r="K20" s="3369"/>
      <c r="L20" s="3370"/>
      <c r="M20" s="3371"/>
    </row>
    <row r="21" spans="1:13" ht="12.75">
      <c r="A21" s="466">
        <v>2013.12</v>
      </c>
      <c r="B21" s="762">
        <v>4338596</v>
      </c>
      <c r="C21" s="3372"/>
      <c r="D21" s="3373"/>
      <c r="E21" s="3374">
        <v>1573533</v>
      </c>
      <c r="F21" s="3372"/>
      <c r="G21" s="3375"/>
      <c r="H21" s="3376">
        <f t="shared" si="0"/>
        <v>5912129</v>
      </c>
      <c r="I21" s="3367"/>
      <c r="J21" s="3368"/>
      <c r="K21" s="3369"/>
      <c r="L21" s="3370"/>
      <c r="M21" s="3371"/>
    </row>
    <row r="22" spans="1:13" ht="12.75">
      <c r="A22" s="466">
        <v>2014.01</v>
      </c>
      <c r="B22" s="762">
        <v>4342365</v>
      </c>
      <c r="C22" s="3372"/>
      <c r="D22" s="3373"/>
      <c r="E22" s="3374">
        <v>1575761</v>
      </c>
      <c r="F22" s="3372"/>
      <c r="G22" s="3375"/>
      <c r="H22" s="3376">
        <f t="shared" si="0"/>
        <v>5918126</v>
      </c>
      <c r="I22" s="3367"/>
      <c r="J22" s="3368"/>
      <c r="K22" s="3369"/>
      <c r="L22" s="3370"/>
      <c r="M22" s="3371"/>
    </row>
    <row r="23" spans="1:13" ht="12.75">
      <c r="A23" s="466">
        <v>2014.02</v>
      </c>
      <c r="B23" s="762">
        <v>4344522</v>
      </c>
      <c r="C23" s="3372"/>
      <c r="D23" s="3373"/>
      <c r="E23" s="3374">
        <v>1576347</v>
      </c>
      <c r="F23" s="3372"/>
      <c r="G23" s="3375"/>
      <c r="H23" s="3376">
        <f t="shared" si="0"/>
        <v>5920869</v>
      </c>
      <c r="I23" s="3367"/>
      <c r="J23" s="3368"/>
      <c r="K23" s="3369"/>
      <c r="L23" s="3370"/>
      <c r="M23" s="3371"/>
    </row>
    <row r="24" spans="1:13" ht="12.75">
      <c r="A24" s="466">
        <v>2014.03</v>
      </c>
      <c r="B24" s="762">
        <v>4344318</v>
      </c>
      <c r="C24" s="3372"/>
      <c r="D24" s="3373"/>
      <c r="E24" s="3374">
        <v>1576600</v>
      </c>
      <c r="F24" s="3372"/>
      <c r="G24" s="3375"/>
      <c r="H24" s="3376">
        <f t="shared" si="0"/>
        <v>5920918</v>
      </c>
      <c r="I24" s="3367"/>
      <c r="J24" s="3368"/>
      <c r="K24" s="3369"/>
      <c r="L24" s="3370"/>
      <c r="M24" s="3371"/>
    </row>
    <row r="25" spans="1:13" ht="12.75">
      <c r="A25" s="466">
        <v>2014.04</v>
      </c>
      <c r="B25" s="762">
        <v>4343679</v>
      </c>
      <c r="C25" s="3372"/>
      <c r="D25" s="3373"/>
      <c r="E25" s="3374">
        <v>1577160</v>
      </c>
      <c r="F25" s="3372"/>
      <c r="G25" s="3375"/>
      <c r="H25" s="3376">
        <f t="shared" si="0"/>
        <v>5920839</v>
      </c>
      <c r="I25" s="3367"/>
      <c r="J25" s="3368"/>
      <c r="K25" s="3369"/>
      <c r="L25" s="3370"/>
      <c r="M25" s="3371"/>
    </row>
    <row r="26" spans="1:13" ht="12.75">
      <c r="A26" s="466">
        <v>2014.05</v>
      </c>
      <c r="B26" s="762">
        <v>4345584</v>
      </c>
      <c r="C26" s="3372"/>
      <c r="D26" s="3373"/>
      <c r="E26" s="3374">
        <v>1577488</v>
      </c>
      <c r="F26" s="3372"/>
      <c r="G26" s="3375"/>
      <c r="H26" s="3376">
        <f t="shared" si="0"/>
        <v>5923072</v>
      </c>
      <c r="I26" s="3367"/>
      <c r="J26" s="3368"/>
      <c r="K26" s="3369"/>
      <c r="L26" s="3370"/>
      <c r="M26" s="3371"/>
    </row>
    <row r="27" spans="1:13" ht="12.75">
      <c r="A27" s="466">
        <v>2014.06</v>
      </c>
      <c r="B27" s="762">
        <v>4349723</v>
      </c>
      <c r="C27" s="3372"/>
      <c r="D27" s="3373"/>
      <c r="E27" s="3374">
        <v>1579324</v>
      </c>
      <c r="F27" s="3372"/>
      <c r="G27" s="3375"/>
      <c r="H27" s="3376">
        <f t="shared" si="0"/>
        <v>5929047</v>
      </c>
      <c r="I27" s="3367"/>
      <c r="J27" s="3368"/>
      <c r="K27" s="3369"/>
      <c r="L27" s="3370"/>
      <c r="M27" s="3371"/>
    </row>
    <row r="28" spans="1:13" ht="12.75">
      <c r="A28" s="466">
        <v>2014.07</v>
      </c>
      <c r="B28" s="762">
        <v>4354347</v>
      </c>
      <c r="C28" s="3372"/>
      <c r="D28" s="3373"/>
      <c r="E28" s="3374">
        <v>1582040</v>
      </c>
      <c r="F28" s="3372"/>
      <c r="G28" s="3375"/>
      <c r="H28" s="3376">
        <f t="shared" si="0"/>
        <v>5936387</v>
      </c>
      <c r="I28" s="3367"/>
      <c r="J28" s="3368"/>
      <c r="K28" s="3369"/>
      <c r="L28" s="3370"/>
      <c r="M28" s="3371"/>
    </row>
    <row r="29" spans="1:13" ht="12.75">
      <c r="A29" s="466">
        <v>2014.08</v>
      </c>
      <c r="B29" s="762">
        <v>4357337</v>
      </c>
      <c r="C29" s="3372"/>
      <c r="D29" s="3373"/>
      <c r="E29" s="3374">
        <v>1583406</v>
      </c>
      <c r="F29" s="3372"/>
      <c r="G29" s="3375"/>
      <c r="H29" s="3376">
        <f t="shared" si="0"/>
        <v>5940743</v>
      </c>
      <c r="I29" s="3367"/>
      <c r="J29" s="3368"/>
      <c r="K29" s="3369"/>
      <c r="L29" s="3370"/>
      <c r="M29" s="3371"/>
    </row>
    <row r="30" spans="1:13" ht="12.75">
      <c r="A30" s="466">
        <v>2014.09</v>
      </c>
      <c r="B30" s="762">
        <v>4358521</v>
      </c>
      <c r="C30" s="3372"/>
      <c r="D30" s="3373"/>
      <c r="E30" s="3374">
        <v>1584560</v>
      </c>
      <c r="F30" s="3372"/>
      <c r="G30" s="3375"/>
      <c r="H30" s="3376">
        <f t="shared" si="0"/>
        <v>5943081</v>
      </c>
      <c r="I30" s="3367"/>
      <c r="J30" s="3368"/>
      <c r="K30" s="3369"/>
      <c r="L30" s="3370"/>
      <c r="M30" s="3371"/>
    </row>
    <row r="31" spans="1:13" ht="12.75">
      <c r="A31" s="466">
        <v>2014.1</v>
      </c>
      <c r="B31" s="762">
        <v>4361950</v>
      </c>
      <c r="C31" s="3372"/>
      <c r="D31" s="3373"/>
      <c r="E31" s="3374">
        <v>1586272</v>
      </c>
      <c r="F31" s="3372"/>
      <c r="G31" s="3375"/>
      <c r="H31" s="3376">
        <f t="shared" si="0"/>
        <v>5948222</v>
      </c>
      <c r="I31" s="3367"/>
      <c r="J31" s="3368"/>
      <c r="K31" s="3369"/>
      <c r="L31" s="3370"/>
      <c r="M31" s="3371"/>
    </row>
    <row r="32" spans="1:13" ht="12.75">
      <c r="A32" s="466">
        <v>2014.11</v>
      </c>
      <c r="B32" s="762">
        <v>4403869</v>
      </c>
      <c r="C32" s="3372"/>
      <c r="D32" s="3373"/>
      <c r="E32" s="3374">
        <v>1587717</v>
      </c>
      <c r="F32" s="3372"/>
      <c r="G32" s="3375"/>
      <c r="H32" s="3376">
        <f t="shared" si="0"/>
        <v>5991586</v>
      </c>
      <c r="I32" s="3367"/>
      <c r="J32" s="3368"/>
      <c r="K32" s="3369"/>
      <c r="L32" s="3370"/>
      <c r="M32" s="3371"/>
    </row>
    <row r="33" spans="1:13" ht="12.75">
      <c r="A33" s="466">
        <v>2014.12</v>
      </c>
      <c r="B33" s="762">
        <v>4508689</v>
      </c>
      <c r="C33" s="3372"/>
      <c r="D33" s="3373"/>
      <c r="E33" s="3374">
        <v>1588019</v>
      </c>
      <c r="F33" s="3372"/>
      <c r="G33" s="3375"/>
      <c r="H33" s="3376">
        <f t="shared" si="0"/>
        <v>6096708</v>
      </c>
      <c r="I33" s="3367"/>
      <c r="J33" s="3368"/>
      <c r="K33" s="3369"/>
      <c r="L33" s="3370"/>
      <c r="M33" s="3371"/>
    </row>
    <row r="34" spans="1:13" ht="12.75">
      <c r="A34" s="466">
        <v>2015.01</v>
      </c>
      <c r="B34" s="762">
        <v>4555630</v>
      </c>
      <c r="C34" s="3372"/>
      <c r="D34" s="3373"/>
      <c r="E34" s="3374">
        <v>1586805</v>
      </c>
      <c r="F34" s="3372"/>
      <c r="G34" s="3375"/>
      <c r="H34" s="3376">
        <f t="shared" si="0"/>
        <v>6142435</v>
      </c>
      <c r="I34" s="3367"/>
      <c r="J34" s="3368"/>
      <c r="K34" s="3369"/>
      <c r="L34" s="3370"/>
      <c r="M34" s="3371"/>
    </row>
    <row r="35" spans="1:13" ht="12.75">
      <c r="A35" s="466">
        <v>2015.02</v>
      </c>
      <c r="B35" s="762">
        <v>4638626</v>
      </c>
      <c r="C35" s="3372"/>
      <c r="D35" s="3373"/>
      <c r="E35" s="3374">
        <v>1585859</v>
      </c>
      <c r="F35" s="3372"/>
      <c r="G35" s="3375"/>
      <c r="H35" s="3376">
        <f t="shared" si="0"/>
        <v>6224485</v>
      </c>
      <c r="I35" s="3367"/>
      <c r="J35" s="3368"/>
      <c r="K35" s="3369"/>
      <c r="L35" s="3370"/>
      <c r="M35" s="3371"/>
    </row>
    <row r="36" spans="1:13" ht="12.75">
      <c r="A36" s="466">
        <v>2015.03</v>
      </c>
      <c r="B36" s="762">
        <v>4692156</v>
      </c>
      <c r="C36" s="3372"/>
      <c r="D36" s="3373"/>
      <c r="E36" s="3374">
        <v>1586701</v>
      </c>
      <c r="F36" s="3372"/>
      <c r="G36" s="3375"/>
      <c r="H36" s="3376">
        <f t="shared" si="0"/>
        <v>6278857</v>
      </c>
      <c r="I36" s="3367"/>
      <c r="J36" s="3368"/>
      <c r="K36" s="3369"/>
      <c r="L36" s="3370"/>
      <c r="M36" s="3371"/>
    </row>
    <row r="37" spans="1:13" ht="12.75">
      <c r="A37" s="466">
        <v>2015.04</v>
      </c>
      <c r="B37" s="762">
        <v>4737361</v>
      </c>
      <c r="C37" s="3372"/>
      <c r="D37" s="3373"/>
      <c r="E37" s="3374">
        <v>1588077</v>
      </c>
      <c r="F37" s="3372"/>
      <c r="G37" s="3375"/>
      <c r="H37" s="3376">
        <f t="shared" si="0"/>
        <v>6325438</v>
      </c>
      <c r="I37" s="3367"/>
      <c r="J37" s="3368"/>
      <c r="K37" s="3369"/>
      <c r="L37" s="3370"/>
      <c r="M37" s="3371"/>
    </row>
    <row r="38" spans="1:13" ht="12.75">
      <c r="A38" s="466">
        <v>2015.05</v>
      </c>
      <c r="B38" s="762">
        <v>4778133</v>
      </c>
      <c r="C38" s="3372"/>
      <c r="D38" s="3373"/>
      <c r="E38" s="3374">
        <v>1589015</v>
      </c>
      <c r="F38" s="3372"/>
      <c r="G38" s="3375"/>
      <c r="H38" s="3376">
        <f t="shared" si="0"/>
        <v>6367148</v>
      </c>
      <c r="I38" s="3367"/>
      <c r="J38" s="3368"/>
      <c r="K38" s="3369"/>
      <c r="L38" s="3370"/>
      <c r="M38" s="3371"/>
    </row>
    <row r="39" spans="1:13" ht="12.75">
      <c r="A39" s="466">
        <v>2015.06</v>
      </c>
      <c r="B39" s="762">
        <v>4828901</v>
      </c>
      <c r="C39" s="3372"/>
      <c r="D39" s="3373"/>
      <c r="E39" s="3374">
        <v>1592778</v>
      </c>
      <c r="F39" s="3372"/>
      <c r="G39" s="3375"/>
      <c r="H39" s="3376">
        <f t="shared" si="0"/>
        <v>6421679</v>
      </c>
      <c r="I39" s="3367"/>
      <c r="J39" s="3368"/>
      <c r="K39" s="3369"/>
      <c r="L39" s="3370"/>
      <c r="M39" s="3371"/>
    </row>
    <row r="40" spans="1:13" ht="12.75">
      <c r="A40" s="466">
        <v>2015.07</v>
      </c>
      <c r="B40" s="762">
        <v>4859155</v>
      </c>
      <c r="C40" s="3372"/>
      <c r="D40" s="3373"/>
      <c r="E40" s="3374">
        <v>1594717</v>
      </c>
      <c r="F40" s="3372"/>
      <c r="G40" s="3375"/>
      <c r="H40" s="3376">
        <f t="shared" si="0"/>
        <v>6453872</v>
      </c>
      <c r="I40" s="3367"/>
      <c r="J40" s="3368"/>
      <c r="K40" s="3369"/>
      <c r="L40" s="3370"/>
      <c r="M40" s="3371"/>
    </row>
    <row r="41" spans="1:13" ht="12.75">
      <c r="A41" s="466">
        <v>2015.08</v>
      </c>
      <c r="B41" s="762">
        <v>4914358</v>
      </c>
      <c r="C41" s="3372"/>
      <c r="D41" s="3373"/>
      <c r="E41" s="3374">
        <v>1597192</v>
      </c>
      <c r="F41" s="3372"/>
      <c r="G41" s="3375"/>
      <c r="H41" s="3376">
        <f t="shared" si="0"/>
        <v>6511550</v>
      </c>
      <c r="I41" s="3367"/>
      <c r="J41" s="3368"/>
      <c r="K41" s="3369"/>
      <c r="L41" s="3370"/>
      <c r="M41" s="3371"/>
    </row>
    <row r="42" spans="1:13" ht="12.75">
      <c r="A42" s="466">
        <v>2015.09</v>
      </c>
      <c r="B42" s="762">
        <v>4950439</v>
      </c>
      <c r="C42" s="3372"/>
      <c r="D42" s="3373"/>
      <c r="E42" s="3374">
        <v>1599667</v>
      </c>
      <c r="F42" s="3372"/>
      <c r="G42" s="3375"/>
      <c r="H42" s="3376">
        <f t="shared" si="0"/>
        <v>6550106</v>
      </c>
      <c r="I42" s="3367"/>
      <c r="J42" s="3368"/>
      <c r="K42" s="3369"/>
      <c r="L42" s="3370"/>
      <c r="M42" s="3371"/>
    </row>
    <row r="43" spans="1:13" ht="12.75">
      <c r="A43" s="466">
        <v>2015.1</v>
      </c>
      <c r="B43" s="762">
        <v>4966274</v>
      </c>
      <c r="C43" s="3372"/>
      <c r="D43" s="3373"/>
      <c r="E43" s="3374">
        <v>1599818</v>
      </c>
      <c r="F43" s="3372"/>
      <c r="G43" s="3375"/>
      <c r="H43" s="3376">
        <f t="shared" si="0"/>
        <v>6566092</v>
      </c>
      <c r="I43" s="3367"/>
      <c r="J43" s="3368"/>
      <c r="K43" s="3369"/>
      <c r="L43" s="3370"/>
      <c r="M43" s="3371"/>
    </row>
    <row r="44" spans="1:13" ht="12.75">
      <c r="A44" s="466">
        <v>2015.11</v>
      </c>
      <c r="B44" s="762">
        <v>4982873</v>
      </c>
      <c r="C44" s="3372"/>
      <c r="D44" s="3373"/>
      <c r="E44" s="3374">
        <v>1601117</v>
      </c>
      <c r="F44" s="3372"/>
      <c r="G44" s="3375"/>
      <c r="H44" s="3376">
        <f t="shared" si="0"/>
        <v>6583990</v>
      </c>
      <c r="I44" s="3367"/>
      <c r="J44" s="3368"/>
      <c r="K44" s="3369"/>
      <c r="L44" s="3370"/>
      <c r="M44" s="3371"/>
    </row>
    <row r="45" spans="1:13" ht="12.75">
      <c r="A45" s="466">
        <v>2015.12</v>
      </c>
      <c r="B45" s="762">
        <v>5016497</v>
      </c>
      <c r="C45" s="3372"/>
      <c r="D45" s="3373"/>
      <c r="E45" s="3374">
        <v>1605614</v>
      </c>
      <c r="F45" s="3372"/>
      <c r="G45" s="3375"/>
      <c r="H45" s="3376">
        <f t="shared" si="0"/>
        <v>6622111</v>
      </c>
      <c r="I45" s="3367"/>
      <c r="J45" s="3368"/>
      <c r="K45" s="3369"/>
      <c r="L45" s="3370"/>
      <c r="M45" s="3371"/>
    </row>
    <row r="46" spans="1:13" ht="12.75">
      <c r="A46" s="466">
        <v>2016.01</v>
      </c>
      <c r="B46" s="762">
        <v>5027615</v>
      </c>
      <c r="C46" s="3372"/>
      <c r="D46" s="3373"/>
      <c r="E46" s="3374">
        <v>1606449</v>
      </c>
      <c r="F46" s="3372"/>
      <c r="G46" s="3375"/>
      <c r="H46" s="3376">
        <f t="shared" si="0"/>
        <v>6634064</v>
      </c>
      <c r="I46" s="3367"/>
      <c r="J46" s="3368"/>
      <c r="K46" s="3369"/>
      <c r="L46" s="3370"/>
      <c r="M46" s="3371"/>
    </row>
    <row r="47" spans="1:13" ht="12.75">
      <c r="A47" s="466">
        <v>2016.02</v>
      </c>
      <c r="B47" s="762">
        <v>5038654</v>
      </c>
      <c r="C47" s="3372"/>
      <c r="D47" s="3373"/>
      <c r="E47" s="3374">
        <v>1606477</v>
      </c>
      <c r="F47" s="3372"/>
      <c r="G47" s="3375"/>
      <c r="H47" s="3376">
        <f t="shared" si="0"/>
        <v>6645131</v>
      </c>
      <c r="I47" s="3367"/>
      <c r="J47" s="3368"/>
      <c r="K47" s="3369"/>
      <c r="L47" s="3370"/>
      <c r="M47" s="3371"/>
    </row>
    <row r="48" spans="1:13" ht="12.75">
      <c r="A48" s="466">
        <v>2016.03</v>
      </c>
      <c r="B48" s="762">
        <v>5052206</v>
      </c>
      <c r="C48" s="3372"/>
      <c r="D48" s="3373"/>
      <c r="E48" s="3374">
        <v>1608274</v>
      </c>
      <c r="F48" s="3372"/>
      <c r="G48" s="3375"/>
      <c r="H48" s="3376">
        <f t="shared" si="0"/>
        <v>6660480</v>
      </c>
      <c r="I48" s="3367"/>
      <c r="J48" s="3368"/>
      <c r="K48" s="3369"/>
      <c r="L48" s="3370"/>
      <c r="M48" s="3371"/>
    </row>
    <row r="49" spans="1:13" ht="12.75">
      <c r="A49" s="466">
        <v>2016.04</v>
      </c>
      <c r="B49" s="762">
        <v>5061017</v>
      </c>
      <c r="C49" s="3372"/>
      <c r="D49" s="3373"/>
      <c r="E49" s="3374">
        <v>1607770</v>
      </c>
      <c r="F49" s="3372"/>
      <c r="G49" s="3375"/>
      <c r="H49" s="3376">
        <f t="shared" si="0"/>
        <v>6668787</v>
      </c>
      <c r="I49" s="3367"/>
      <c r="J49" s="3368"/>
      <c r="K49" s="3369"/>
      <c r="L49" s="3370"/>
      <c r="M49" s="3371"/>
    </row>
    <row r="50" spans="1:13" ht="12.75">
      <c r="A50" s="466">
        <v>2016.05</v>
      </c>
      <c r="B50" s="762">
        <v>5080197</v>
      </c>
      <c r="C50" s="3372"/>
      <c r="D50" s="3373"/>
      <c r="E50" s="3374">
        <v>1609407</v>
      </c>
      <c r="F50" s="3372"/>
      <c r="G50" s="3375"/>
      <c r="H50" s="3376">
        <f t="shared" si="0"/>
        <v>6689604</v>
      </c>
      <c r="I50" s="3367"/>
      <c r="J50" s="3368"/>
      <c r="K50" s="3369"/>
      <c r="L50" s="3370"/>
      <c r="M50" s="3371"/>
    </row>
    <row r="51" spans="1:13" ht="12.75">
      <c r="A51" s="466">
        <v>2016.06</v>
      </c>
      <c r="B51" s="762">
        <v>5103213</v>
      </c>
      <c r="C51" s="3372"/>
      <c r="D51" s="3373"/>
      <c r="E51" s="3374">
        <v>1612784</v>
      </c>
      <c r="F51" s="3372"/>
      <c r="G51" s="3375"/>
      <c r="H51" s="3376">
        <f t="shared" si="0"/>
        <v>6715997</v>
      </c>
      <c r="I51" s="3367"/>
      <c r="J51" s="3368"/>
      <c r="K51" s="3369"/>
      <c r="L51" s="3370"/>
      <c r="M51" s="3371"/>
    </row>
    <row r="52" spans="1:13" ht="12.75">
      <c r="A52" s="466">
        <v>2016.07</v>
      </c>
      <c r="B52" s="762">
        <v>5121726</v>
      </c>
      <c r="C52" s="3372"/>
      <c r="D52" s="3373"/>
      <c r="E52" s="3374">
        <v>1615180</v>
      </c>
      <c r="F52" s="3372"/>
      <c r="G52" s="3375"/>
      <c r="H52" s="3376">
        <f t="shared" si="0"/>
        <v>6736906</v>
      </c>
      <c r="I52" s="3367"/>
      <c r="J52" s="3368"/>
      <c r="K52" s="3369"/>
      <c r="L52" s="3370"/>
      <c r="M52" s="3371"/>
    </row>
    <row r="53" spans="1:13" ht="12.75">
      <c r="A53" s="466">
        <v>2016.08</v>
      </c>
      <c r="B53" s="762">
        <v>5128650</v>
      </c>
      <c r="C53" s="3372"/>
      <c r="D53" s="3373"/>
      <c r="E53" s="3374">
        <v>1614686</v>
      </c>
      <c r="F53" s="3372"/>
      <c r="G53" s="3375"/>
      <c r="H53" s="3376">
        <f t="shared" si="0"/>
        <v>6743336</v>
      </c>
      <c r="I53" s="3367"/>
      <c r="J53" s="3368"/>
      <c r="K53" s="3369"/>
      <c r="L53" s="3370"/>
      <c r="M53" s="3371"/>
    </row>
    <row r="54" spans="1:13" ht="12.75">
      <c r="A54" s="466">
        <v>2016.09</v>
      </c>
      <c r="B54" s="762">
        <v>5149079</v>
      </c>
      <c r="C54" s="3372"/>
      <c r="D54" s="3373"/>
      <c r="E54" s="3374">
        <v>1617578</v>
      </c>
      <c r="F54" s="3372"/>
      <c r="G54" s="3375"/>
      <c r="H54" s="3376">
        <f t="shared" si="0"/>
        <v>6766657</v>
      </c>
      <c r="I54" s="3367"/>
      <c r="J54" s="3368"/>
      <c r="K54" s="3369"/>
      <c r="L54" s="3370"/>
      <c r="M54" s="3371"/>
    </row>
    <row r="55" spans="1:13" ht="12.75">
      <c r="A55" s="466">
        <v>2016.1</v>
      </c>
      <c r="B55" s="762">
        <v>5166624</v>
      </c>
      <c r="C55" s="3372"/>
      <c r="D55" s="3373"/>
      <c r="E55" s="3374">
        <v>1620418</v>
      </c>
      <c r="F55" s="3372"/>
      <c r="G55" s="3375"/>
      <c r="H55" s="3376">
        <f t="shared" si="0"/>
        <v>6787042</v>
      </c>
      <c r="I55" s="3367"/>
      <c r="J55" s="3368"/>
      <c r="K55" s="3369"/>
      <c r="L55" s="3370"/>
      <c r="M55" s="3371"/>
    </row>
    <row r="56" spans="1:13" ht="12.75">
      <c r="A56" s="466">
        <v>2016.11</v>
      </c>
      <c r="B56" s="762">
        <v>5189635</v>
      </c>
      <c r="C56" s="3372"/>
      <c r="D56" s="3373"/>
      <c r="E56" s="3374">
        <v>1625245</v>
      </c>
      <c r="F56" s="3372"/>
      <c r="G56" s="3375"/>
      <c r="H56" s="3376">
        <f t="shared" si="0"/>
        <v>6814880</v>
      </c>
      <c r="I56" s="3367"/>
      <c r="J56" s="3368"/>
      <c r="K56" s="3369"/>
      <c r="L56" s="3370"/>
      <c r="M56" s="3371"/>
    </row>
    <row r="57" spans="1:13" ht="12.75">
      <c r="A57" s="466">
        <v>2016.12</v>
      </c>
      <c r="B57" s="762">
        <v>5204516</v>
      </c>
      <c r="C57" s="3372"/>
      <c r="D57" s="3373"/>
      <c r="E57" s="3374">
        <v>1628902</v>
      </c>
      <c r="F57" s="3372"/>
      <c r="G57" s="3375"/>
      <c r="H57" s="3376">
        <f t="shared" si="0"/>
        <v>6833418</v>
      </c>
      <c r="I57" s="3367"/>
      <c r="J57" s="3368"/>
      <c r="K57" s="3369"/>
      <c r="L57" s="3370"/>
      <c r="M57" s="3371"/>
    </row>
    <row r="58" spans="1:13" ht="12.75">
      <c r="A58" s="466">
        <v>2017.01</v>
      </c>
      <c r="B58" s="762">
        <v>5222209</v>
      </c>
      <c r="C58" s="3372"/>
      <c r="D58" s="3373"/>
      <c r="E58" s="3374">
        <v>1632563</v>
      </c>
      <c r="F58" s="3372"/>
      <c r="G58" s="3375"/>
      <c r="H58" s="3376">
        <f t="shared" si="0"/>
        <v>6854772</v>
      </c>
      <c r="I58" s="3367"/>
      <c r="J58" s="3368"/>
      <c r="K58" s="3369"/>
      <c r="L58" s="3370"/>
      <c r="M58" s="3371"/>
    </row>
    <row r="59" spans="1:13" ht="12.75">
      <c r="A59" s="466">
        <v>2017.02</v>
      </c>
      <c r="B59" s="762">
        <v>5231782</v>
      </c>
      <c r="C59" s="3372"/>
      <c r="D59" s="3373"/>
      <c r="E59" s="3374">
        <v>1634881</v>
      </c>
      <c r="F59" s="3372"/>
      <c r="G59" s="3375"/>
      <c r="H59" s="3376">
        <f t="shared" si="0"/>
        <v>6866663</v>
      </c>
      <c r="I59" s="3367"/>
      <c r="J59" s="3368"/>
      <c r="K59" s="3369"/>
      <c r="L59" s="3370"/>
      <c r="M59" s="3371"/>
    </row>
    <row r="60" spans="1:13" ht="12.75">
      <c r="A60" s="466">
        <v>2017.03</v>
      </c>
      <c r="B60" s="762">
        <v>5236700</v>
      </c>
      <c r="C60" s="3372"/>
      <c r="D60" s="3373"/>
      <c r="E60" s="3374">
        <v>1636799</v>
      </c>
      <c r="F60" s="3372"/>
      <c r="G60" s="3375"/>
      <c r="H60" s="3376">
        <f t="shared" si="0"/>
        <v>6873499</v>
      </c>
      <c r="I60" s="3367"/>
      <c r="J60" s="3368"/>
      <c r="K60" s="3369"/>
      <c r="L60" s="3370"/>
      <c r="M60" s="3371"/>
    </row>
    <row r="61" spans="1:13" ht="12.75">
      <c r="A61" s="466">
        <v>2017.04</v>
      </c>
      <c r="B61" s="762">
        <v>5242040</v>
      </c>
      <c r="C61" s="3372"/>
      <c r="D61" s="3373"/>
      <c r="E61" s="3374">
        <v>1639368</v>
      </c>
      <c r="F61" s="3372"/>
      <c r="G61" s="3375"/>
      <c r="H61" s="3376">
        <f t="shared" si="0"/>
        <v>6881408</v>
      </c>
      <c r="I61" s="3367"/>
      <c r="J61" s="3368"/>
      <c r="K61" s="3369"/>
      <c r="L61" s="3370"/>
      <c r="M61" s="3371"/>
    </row>
    <row r="62" spans="1:13" ht="12.75">
      <c r="A62" s="466">
        <v>2017.05</v>
      </c>
      <c r="B62" s="762">
        <v>5247541</v>
      </c>
      <c r="C62" s="3372"/>
      <c r="D62" s="3373"/>
      <c r="E62" s="3374">
        <v>1641608</v>
      </c>
      <c r="F62" s="3372"/>
      <c r="G62" s="3375"/>
      <c r="H62" s="3376">
        <f t="shared" si="0"/>
        <v>6889149</v>
      </c>
      <c r="I62" s="3367"/>
      <c r="J62" s="3368"/>
      <c r="K62" s="3369"/>
      <c r="L62" s="3370"/>
      <c r="M62" s="3371"/>
    </row>
    <row r="63" spans="1:13" ht="12.75">
      <c r="A63" s="466">
        <v>2017.06</v>
      </c>
      <c r="B63" s="762">
        <v>5251452</v>
      </c>
      <c r="C63" s="3372"/>
      <c r="D63" s="3373"/>
      <c r="E63" s="3374">
        <v>1642936</v>
      </c>
      <c r="F63" s="3372"/>
      <c r="G63" s="3375"/>
      <c r="H63" s="3376">
        <f t="shared" si="0"/>
        <v>6894388</v>
      </c>
      <c r="I63" s="3367"/>
      <c r="J63" s="3368"/>
      <c r="K63" s="3369"/>
      <c r="L63" s="3370"/>
      <c r="M63" s="3371"/>
    </row>
    <row r="64" spans="1:13" ht="12.75">
      <c r="A64" s="466">
        <v>2017.07</v>
      </c>
      <c r="B64" s="762">
        <v>5255978</v>
      </c>
      <c r="C64" s="3372"/>
      <c r="D64" s="3373"/>
      <c r="E64" s="3374">
        <v>1645215</v>
      </c>
      <c r="F64" s="3372"/>
      <c r="G64" s="3375"/>
      <c r="H64" s="3376">
        <f t="shared" si="0"/>
        <v>6901193</v>
      </c>
      <c r="I64" s="3367"/>
      <c r="J64" s="3368"/>
      <c r="K64" s="3369"/>
      <c r="L64" s="3370"/>
      <c r="M64" s="3371"/>
    </row>
    <row r="65" spans="1:13" ht="12.75">
      <c r="A65" s="466">
        <v>2017.08</v>
      </c>
      <c r="B65" s="762">
        <v>5257709</v>
      </c>
      <c r="C65" s="3372"/>
      <c r="D65" s="3373"/>
      <c r="E65" s="3374">
        <v>1646806</v>
      </c>
      <c r="F65" s="3372"/>
      <c r="G65" s="3375"/>
      <c r="H65" s="3376">
        <f t="shared" si="0"/>
        <v>6904515</v>
      </c>
      <c r="I65" s="3367"/>
      <c r="J65" s="3368"/>
      <c r="K65" s="3369"/>
      <c r="L65" s="3370"/>
      <c r="M65" s="3371"/>
    </row>
    <row r="66" spans="1:13" ht="12.75">
      <c r="A66" s="466">
        <v>2017.09</v>
      </c>
      <c r="B66" s="762">
        <v>5257140</v>
      </c>
      <c r="C66" s="3372"/>
      <c r="D66" s="3373"/>
      <c r="E66" s="3374">
        <v>1647914</v>
      </c>
      <c r="F66" s="3372"/>
      <c r="G66" s="3375"/>
      <c r="H66" s="3376">
        <f t="shared" si="0"/>
        <v>6905054</v>
      </c>
      <c r="I66" s="3367"/>
      <c r="J66" s="3368"/>
      <c r="K66" s="3369"/>
      <c r="L66" s="3370"/>
      <c r="M66" s="3371"/>
    </row>
    <row r="67" spans="1:13" ht="12.75">
      <c r="A67" s="466">
        <v>2017.1</v>
      </c>
      <c r="B67" s="762">
        <v>5259296</v>
      </c>
      <c r="C67" s="3372"/>
      <c r="D67" s="3373"/>
      <c r="E67" s="3374">
        <v>1650288</v>
      </c>
      <c r="F67" s="3372"/>
      <c r="G67" s="3375"/>
      <c r="H67" s="3376">
        <f t="shared" si="0"/>
        <v>6909584</v>
      </c>
      <c r="I67" s="3367"/>
      <c r="J67" s="3368"/>
      <c r="K67" s="3369"/>
      <c r="L67" s="3370"/>
      <c r="M67" s="3371"/>
    </row>
    <row r="68" spans="1:13" ht="12.75">
      <c r="A68" s="466">
        <v>2017.11</v>
      </c>
      <c r="B68" s="762">
        <v>5260877</v>
      </c>
      <c r="C68" s="3372"/>
      <c r="D68" s="3373"/>
      <c r="E68" s="3374">
        <v>1651631</v>
      </c>
      <c r="F68" s="3372"/>
      <c r="G68" s="3375"/>
      <c r="H68" s="3376">
        <f t="shared" si="0"/>
        <v>6912508</v>
      </c>
      <c r="I68" s="3367"/>
      <c r="J68" s="3368"/>
      <c r="K68" s="3369"/>
      <c r="L68" s="3370"/>
      <c r="M68" s="3371"/>
    </row>
    <row r="69" spans="1:13" ht="12.75">
      <c r="A69" s="466">
        <v>2017.12</v>
      </c>
      <c r="B69" s="762">
        <v>5264821</v>
      </c>
      <c r="C69" s="3372"/>
      <c r="D69" s="3373"/>
      <c r="E69" s="3374">
        <v>1653070</v>
      </c>
      <c r="F69" s="3372"/>
      <c r="G69" s="3375"/>
      <c r="H69" s="3376">
        <f t="shared" si="0"/>
        <v>6917891</v>
      </c>
      <c r="I69" s="3367"/>
      <c r="J69" s="3368"/>
      <c r="K69" s="3369"/>
      <c r="L69" s="3370"/>
      <c r="M69" s="3371"/>
    </row>
    <row r="70" spans="1:13" ht="12.75">
      <c r="A70" s="466">
        <v>2018.01</v>
      </c>
      <c r="B70" s="762">
        <v>5265836</v>
      </c>
      <c r="C70" s="3372"/>
      <c r="D70" s="3373"/>
      <c r="E70" s="3374">
        <v>1653842</v>
      </c>
      <c r="F70" s="3372"/>
      <c r="G70" s="3375"/>
      <c r="H70" s="3376">
        <f t="shared" si="0"/>
        <v>6919678</v>
      </c>
      <c r="I70" s="3367"/>
      <c r="J70" s="3368"/>
      <c r="K70" s="3369"/>
      <c r="L70" s="3370"/>
      <c r="M70" s="3371"/>
    </row>
    <row r="71" spans="1:13" ht="12.75">
      <c r="A71" s="466">
        <v>2018.02</v>
      </c>
      <c r="B71" s="762">
        <v>5265929</v>
      </c>
      <c r="C71" s="3372"/>
      <c r="D71" s="3373"/>
      <c r="E71" s="3374">
        <v>1654237</v>
      </c>
      <c r="F71" s="3372"/>
      <c r="G71" s="3375"/>
      <c r="H71" s="3376">
        <f t="shared" si="0"/>
        <v>6920166</v>
      </c>
      <c r="I71" s="3367"/>
      <c r="J71" s="3368"/>
      <c r="K71" s="3369"/>
      <c r="L71" s="3370"/>
      <c r="M71" s="3371"/>
    </row>
    <row r="72" spans="1:13" ht="12.75">
      <c r="A72" s="466">
        <v>2018.03</v>
      </c>
      <c r="B72" s="762">
        <v>5265889</v>
      </c>
      <c r="C72" s="3372"/>
      <c r="D72" s="3373"/>
      <c r="E72" s="3374">
        <v>1654637</v>
      </c>
      <c r="F72" s="3372"/>
      <c r="G72" s="3375"/>
      <c r="H72" s="3376">
        <f t="shared" si="0"/>
        <v>6920526</v>
      </c>
      <c r="I72" s="3367"/>
      <c r="J72" s="3368"/>
      <c r="K72" s="3369"/>
      <c r="L72" s="3370"/>
      <c r="M72" s="3371"/>
    </row>
    <row r="73" spans="1:13" ht="12.75">
      <c r="A73" s="466">
        <v>2018.04</v>
      </c>
      <c r="B73" s="762">
        <v>5265048</v>
      </c>
      <c r="C73" s="3372"/>
      <c r="D73" s="3373"/>
      <c r="E73" s="3374">
        <v>1655214</v>
      </c>
      <c r="F73" s="3372"/>
      <c r="G73" s="3375"/>
      <c r="H73" s="3376">
        <f t="shared" si="0"/>
        <v>6920262</v>
      </c>
      <c r="I73" s="3367"/>
      <c r="J73" s="3368"/>
      <c r="K73" s="3369"/>
      <c r="L73" s="3370"/>
      <c r="M73" s="3371"/>
    </row>
    <row r="74" spans="1:13" ht="12.75">
      <c r="A74" s="466">
        <v>2018.05</v>
      </c>
      <c r="B74" s="762">
        <v>5266890</v>
      </c>
      <c r="C74" s="3372"/>
      <c r="D74" s="3373"/>
      <c r="E74" s="3374">
        <v>1656193</v>
      </c>
      <c r="F74" s="3372"/>
      <c r="G74" s="3375"/>
      <c r="H74" s="3376">
        <f t="shared" si="0"/>
        <v>6923083</v>
      </c>
      <c r="I74" s="3367"/>
      <c r="J74" s="3368"/>
      <c r="K74" s="3369"/>
      <c r="L74" s="3370"/>
      <c r="M74" s="3371"/>
    </row>
    <row r="75" spans="1:13" ht="12.75">
      <c r="A75" s="466">
        <v>2018.06</v>
      </c>
      <c r="B75" s="762">
        <v>5268016</v>
      </c>
      <c r="C75" s="3372"/>
      <c r="D75" s="3373"/>
      <c r="E75" s="3374">
        <v>1657503</v>
      </c>
      <c r="F75" s="3372"/>
      <c r="G75" s="3375"/>
      <c r="H75" s="3376">
        <f t="shared" ref="H75:H138" si="1">B75+E75</f>
        <v>6925519</v>
      </c>
      <c r="I75" s="3367"/>
      <c r="J75" s="3368"/>
      <c r="K75" s="3369"/>
      <c r="L75" s="3370"/>
      <c r="M75" s="3371"/>
    </row>
    <row r="76" spans="1:13" ht="12.75">
      <c r="A76" s="466">
        <v>2018.07</v>
      </c>
      <c r="B76" s="762">
        <v>5271081</v>
      </c>
      <c r="C76" s="3372"/>
      <c r="D76" s="3373"/>
      <c r="E76" s="3374">
        <v>1658714</v>
      </c>
      <c r="F76" s="3372"/>
      <c r="G76" s="3375"/>
      <c r="H76" s="3376">
        <f t="shared" si="1"/>
        <v>6929795</v>
      </c>
      <c r="I76" s="3367"/>
      <c r="J76" s="3368"/>
      <c r="K76" s="3369"/>
      <c r="L76" s="3370"/>
      <c r="M76" s="3371"/>
    </row>
    <row r="77" spans="1:13" ht="12.75">
      <c r="A77" s="466">
        <v>2018.08</v>
      </c>
      <c r="B77" s="762">
        <v>5267468</v>
      </c>
      <c r="C77" s="3372"/>
      <c r="D77" s="3373"/>
      <c r="E77" s="3374">
        <v>1659979</v>
      </c>
      <c r="F77" s="3372"/>
      <c r="G77" s="3375"/>
      <c r="H77" s="3376">
        <f t="shared" si="1"/>
        <v>6927447</v>
      </c>
      <c r="I77" s="3367"/>
      <c r="J77" s="3368"/>
      <c r="K77" s="3369"/>
      <c r="L77" s="3370"/>
      <c r="M77" s="3371"/>
    </row>
    <row r="78" spans="1:13" ht="12.75">
      <c r="A78" s="466">
        <v>2018.09</v>
      </c>
      <c r="B78" s="762">
        <v>5262777</v>
      </c>
      <c r="C78" s="3372"/>
      <c r="D78" s="3373"/>
      <c r="E78" s="3374">
        <v>1659851</v>
      </c>
      <c r="F78" s="3372"/>
      <c r="G78" s="3375"/>
      <c r="H78" s="3376">
        <f t="shared" si="1"/>
        <v>6922628</v>
      </c>
      <c r="I78" s="3367"/>
      <c r="J78" s="3368"/>
      <c r="K78" s="3369"/>
      <c r="L78" s="3370"/>
      <c r="M78" s="3371"/>
    </row>
    <row r="79" spans="1:13" ht="12.75">
      <c r="A79" s="466">
        <v>2018.1</v>
      </c>
      <c r="B79" s="762">
        <v>5261466</v>
      </c>
      <c r="C79" s="3372"/>
      <c r="D79" s="3373"/>
      <c r="E79" s="3374">
        <v>1659752</v>
      </c>
      <c r="F79" s="3372"/>
      <c r="G79" s="3375"/>
      <c r="H79" s="3376">
        <f t="shared" si="1"/>
        <v>6921218</v>
      </c>
      <c r="I79" s="3367"/>
      <c r="J79" s="3368"/>
      <c r="K79" s="3369"/>
      <c r="L79" s="3370"/>
      <c r="M79" s="3371"/>
    </row>
    <row r="80" spans="1:13" ht="12.75">
      <c r="A80" s="466">
        <v>2018.11</v>
      </c>
      <c r="B80" s="762">
        <v>5261079</v>
      </c>
      <c r="C80" s="3372"/>
      <c r="D80" s="3373"/>
      <c r="E80" s="3374">
        <v>1660250</v>
      </c>
      <c r="F80" s="3372"/>
      <c r="G80" s="3375"/>
      <c r="H80" s="3376">
        <f t="shared" si="1"/>
        <v>6921329</v>
      </c>
      <c r="I80" s="3367"/>
      <c r="J80" s="3368"/>
      <c r="K80" s="3369"/>
      <c r="L80" s="3370"/>
      <c r="M80" s="3371"/>
    </row>
    <row r="81" spans="1:13" ht="12.75">
      <c r="A81" s="466">
        <v>2018.12</v>
      </c>
      <c r="B81" s="762">
        <v>5261955</v>
      </c>
      <c r="C81" s="3372"/>
      <c r="D81" s="3373"/>
      <c r="E81" s="3374">
        <v>1660917</v>
      </c>
      <c r="F81" s="3372"/>
      <c r="G81" s="3375"/>
      <c r="H81" s="3376">
        <f t="shared" si="1"/>
        <v>6922872</v>
      </c>
      <c r="I81" s="3367"/>
      <c r="J81" s="3368"/>
      <c r="K81" s="3369"/>
      <c r="L81" s="3370"/>
      <c r="M81" s="3371"/>
    </row>
    <row r="82" spans="1:13" ht="12.75">
      <c r="A82" s="466">
        <v>2019.01</v>
      </c>
      <c r="B82" s="762">
        <v>5260557</v>
      </c>
      <c r="C82" s="3372"/>
      <c r="D82" s="3373"/>
      <c r="E82" s="3374">
        <v>1661163</v>
      </c>
      <c r="F82" s="3372"/>
      <c r="G82" s="3375"/>
      <c r="H82" s="3376">
        <f t="shared" si="1"/>
        <v>6921720</v>
      </c>
      <c r="I82" s="3367"/>
      <c r="J82" s="3368"/>
      <c r="K82" s="3369"/>
      <c r="L82" s="3370"/>
      <c r="M82" s="3371"/>
    </row>
    <row r="83" spans="1:13" ht="12.75">
      <c r="A83" s="466">
        <v>2019.02</v>
      </c>
      <c r="B83" s="762">
        <v>5260521</v>
      </c>
      <c r="C83" s="3372"/>
      <c r="D83" s="3373"/>
      <c r="E83" s="3374">
        <v>1660733</v>
      </c>
      <c r="F83" s="3372"/>
      <c r="G83" s="3375"/>
      <c r="H83" s="3376">
        <f t="shared" si="1"/>
        <v>6921254</v>
      </c>
      <c r="I83" s="3367"/>
      <c r="J83" s="3368"/>
      <c r="K83" s="3369"/>
      <c r="L83" s="3370"/>
      <c r="M83" s="3371"/>
    </row>
    <row r="84" spans="1:13" ht="12.75">
      <c r="A84" s="466">
        <v>2019.03</v>
      </c>
      <c r="B84" s="762">
        <v>5262281</v>
      </c>
      <c r="C84" s="3372"/>
      <c r="D84" s="3373"/>
      <c r="E84" s="3374">
        <v>1662363</v>
      </c>
      <c r="F84" s="3372"/>
      <c r="G84" s="3375"/>
      <c r="H84" s="3376">
        <f t="shared" si="1"/>
        <v>6924644</v>
      </c>
      <c r="I84" s="3367"/>
      <c r="J84" s="3368"/>
      <c r="K84" s="3369"/>
      <c r="L84" s="3370"/>
      <c r="M84" s="3371"/>
    </row>
    <row r="85" spans="1:13" ht="12.75">
      <c r="A85" s="466">
        <v>2019.04</v>
      </c>
      <c r="B85" s="762">
        <v>5263440</v>
      </c>
      <c r="C85" s="3372"/>
      <c r="D85" s="3373"/>
      <c r="E85" s="3374">
        <v>1663905</v>
      </c>
      <c r="F85" s="3372"/>
      <c r="G85" s="3375"/>
      <c r="H85" s="3376">
        <f t="shared" si="1"/>
        <v>6927345</v>
      </c>
      <c r="I85" s="3367"/>
      <c r="J85" s="3368"/>
      <c r="K85" s="3369"/>
      <c r="L85" s="3370"/>
      <c r="M85" s="3371"/>
    </row>
    <row r="86" spans="1:13" ht="12.75">
      <c r="A86" s="466">
        <v>2019.05</v>
      </c>
      <c r="B86" s="762">
        <v>5266366</v>
      </c>
      <c r="C86" s="3372"/>
      <c r="D86" s="3373"/>
      <c r="E86" s="3374">
        <v>1664998</v>
      </c>
      <c r="F86" s="3372"/>
      <c r="G86" s="3375"/>
      <c r="H86" s="3376">
        <f t="shared" si="1"/>
        <v>6931364</v>
      </c>
      <c r="I86" s="3367"/>
      <c r="J86" s="3368"/>
      <c r="K86" s="3369"/>
      <c r="L86" s="3370"/>
      <c r="M86" s="3371"/>
    </row>
    <row r="87" spans="1:13" ht="12.75">
      <c r="A87" s="466">
        <v>2019.06</v>
      </c>
      <c r="B87" s="762">
        <v>5271323</v>
      </c>
      <c r="C87" s="3372"/>
      <c r="D87" s="3373"/>
      <c r="E87" s="3374">
        <v>1666691</v>
      </c>
      <c r="F87" s="3372"/>
      <c r="G87" s="3375"/>
      <c r="H87" s="3376">
        <f t="shared" si="1"/>
        <v>6938014</v>
      </c>
      <c r="I87" s="3367"/>
      <c r="J87" s="3368"/>
      <c r="K87" s="3369"/>
      <c r="L87" s="3370"/>
      <c r="M87" s="3371"/>
    </row>
    <row r="88" spans="1:13" ht="12.75">
      <c r="A88" s="466">
        <v>2019.07</v>
      </c>
      <c r="B88" s="762">
        <v>5275463</v>
      </c>
      <c r="C88" s="3372"/>
      <c r="D88" s="3373"/>
      <c r="E88" s="3374">
        <v>1668261</v>
      </c>
      <c r="F88" s="3372"/>
      <c r="G88" s="3375"/>
      <c r="H88" s="3376">
        <f t="shared" si="1"/>
        <v>6943724</v>
      </c>
      <c r="I88" s="3367"/>
      <c r="J88" s="3368"/>
      <c r="K88" s="3369"/>
      <c r="L88" s="3370"/>
      <c r="M88" s="3371"/>
    </row>
    <row r="89" spans="1:13" ht="12.75">
      <c r="A89" s="466">
        <v>2019.08</v>
      </c>
      <c r="B89" s="762">
        <v>5268376</v>
      </c>
      <c r="C89" s="3372"/>
      <c r="D89" s="3373"/>
      <c r="E89" s="3374">
        <v>1663422</v>
      </c>
      <c r="F89" s="3372"/>
      <c r="G89" s="3375"/>
      <c r="H89" s="3376">
        <f t="shared" si="1"/>
        <v>6931798</v>
      </c>
      <c r="I89" s="3367"/>
      <c r="J89" s="3368"/>
      <c r="K89" s="3369"/>
      <c r="L89" s="3370"/>
      <c r="M89" s="3371"/>
    </row>
    <row r="90" spans="1:13" ht="12.75">
      <c r="A90" s="466">
        <v>2019.09</v>
      </c>
      <c r="B90" s="762">
        <v>5257133</v>
      </c>
      <c r="C90" s="3372"/>
      <c r="D90" s="3373"/>
      <c r="E90" s="3374">
        <v>1661534</v>
      </c>
      <c r="F90" s="3372"/>
      <c r="G90" s="3375"/>
      <c r="H90" s="3376">
        <f t="shared" si="1"/>
        <v>6918667</v>
      </c>
      <c r="I90" s="3367"/>
      <c r="J90" s="3368"/>
      <c r="K90" s="3369"/>
      <c r="L90" s="3370"/>
      <c r="M90" s="3371"/>
    </row>
    <row r="91" spans="1:13" ht="12.75">
      <c r="A91" s="466">
        <v>2019.1</v>
      </c>
      <c r="B91" s="762">
        <v>5272441</v>
      </c>
      <c r="C91" s="3372"/>
      <c r="D91" s="3373"/>
      <c r="E91" s="3374">
        <v>1666235</v>
      </c>
      <c r="F91" s="3372"/>
      <c r="G91" s="3375"/>
      <c r="H91" s="3376">
        <f t="shared" si="1"/>
        <v>6938676</v>
      </c>
      <c r="I91" s="3367"/>
      <c r="J91" s="3368"/>
      <c r="K91" s="3369"/>
      <c r="L91" s="3370"/>
      <c r="M91" s="3371"/>
    </row>
    <row r="92" spans="1:13" ht="12.75">
      <c r="A92" s="466">
        <v>2019.11</v>
      </c>
      <c r="B92" s="762">
        <v>5270489</v>
      </c>
      <c r="C92" s="3372"/>
      <c r="D92" s="3373"/>
      <c r="E92" s="3374">
        <v>1666112</v>
      </c>
      <c r="F92" s="3372"/>
      <c r="G92" s="3375"/>
      <c r="H92" s="3376">
        <f t="shared" si="1"/>
        <v>6936601</v>
      </c>
      <c r="I92" s="3367"/>
      <c r="J92" s="3368"/>
      <c r="K92" s="3369"/>
      <c r="L92" s="3370"/>
      <c r="M92" s="3371"/>
    </row>
    <row r="93" spans="1:13" ht="12.75">
      <c r="A93" s="466">
        <v>2019.12</v>
      </c>
      <c r="B93" s="762">
        <v>5268834</v>
      </c>
      <c r="C93" s="3372"/>
      <c r="D93" s="3373"/>
      <c r="E93" s="3374">
        <v>1669770</v>
      </c>
      <c r="F93" s="3372"/>
      <c r="G93" s="3375"/>
      <c r="H93" s="3376">
        <f t="shared" si="1"/>
        <v>6938604</v>
      </c>
      <c r="I93" s="3367"/>
      <c r="J93" s="3368"/>
      <c r="K93" s="3369"/>
      <c r="L93" s="3370"/>
      <c r="M93" s="3371"/>
    </row>
    <row r="94" spans="1:13" ht="12.75">
      <c r="A94" s="466">
        <v>2020.01</v>
      </c>
      <c r="B94" s="762">
        <v>5265263</v>
      </c>
      <c r="C94" s="3372"/>
      <c r="D94" s="3373"/>
      <c r="E94" s="3374">
        <v>1670964</v>
      </c>
      <c r="F94" s="3372"/>
      <c r="G94" s="3375"/>
      <c r="H94" s="3376">
        <f t="shared" si="1"/>
        <v>6936227</v>
      </c>
      <c r="I94" s="3367"/>
      <c r="J94" s="3368"/>
      <c r="K94" s="3369"/>
      <c r="L94" s="3370"/>
      <c r="M94" s="3371"/>
    </row>
    <row r="95" spans="1:13" ht="12.75">
      <c r="A95" s="466">
        <v>2020.02</v>
      </c>
      <c r="B95" s="762">
        <v>5261075</v>
      </c>
      <c r="C95" s="3372"/>
      <c r="D95" s="3373"/>
      <c r="E95" s="3374">
        <v>1671555</v>
      </c>
      <c r="F95" s="3372"/>
      <c r="G95" s="3375"/>
      <c r="H95" s="3376">
        <f t="shared" si="1"/>
        <v>6932630</v>
      </c>
      <c r="I95" s="3367"/>
      <c r="J95" s="3368"/>
      <c r="K95" s="3369"/>
      <c r="L95" s="3370"/>
      <c r="M95" s="3371"/>
    </row>
    <row r="96" spans="1:13" ht="12.75">
      <c r="A96" s="466">
        <v>2020.03</v>
      </c>
      <c r="B96" s="762">
        <v>5259333</v>
      </c>
      <c r="C96" s="3372"/>
      <c r="D96" s="3373"/>
      <c r="E96" s="3374">
        <v>1672850</v>
      </c>
      <c r="F96" s="3372"/>
      <c r="G96" s="3375"/>
      <c r="H96" s="3376">
        <f t="shared" si="1"/>
        <v>6932183</v>
      </c>
      <c r="I96" s="3367"/>
      <c r="J96" s="3368"/>
      <c r="K96" s="3369"/>
      <c r="L96" s="3370"/>
      <c r="M96" s="3371"/>
    </row>
    <row r="97" spans="1:13" ht="12.75">
      <c r="A97" s="466">
        <v>2020.04</v>
      </c>
      <c r="B97" s="762">
        <v>5256783</v>
      </c>
      <c r="C97" s="3372"/>
      <c r="D97" s="3373"/>
      <c r="E97" s="3374">
        <v>1673848</v>
      </c>
      <c r="F97" s="3372"/>
      <c r="G97" s="3375"/>
      <c r="H97" s="3376">
        <f t="shared" si="1"/>
        <v>6930631</v>
      </c>
      <c r="I97" s="3367"/>
      <c r="J97" s="3368"/>
      <c r="K97" s="3369"/>
      <c r="L97" s="3370"/>
      <c r="M97" s="3371"/>
    </row>
    <row r="98" spans="1:13" ht="12.75">
      <c r="A98" s="466">
        <v>2020.05</v>
      </c>
      <c r="B98" s="762">
        <v>5249344</v>
      </c>
      <c r="C98" s="3372"/>
      <c r="D98" s="3373"/>
      <c r="E98" s="3374">
        <v>1671806</v>
      </c>
      <c r="F98" s="3372"/>
      <c r="G98" s="3375"/>
      <c r="H98" s="3376">
        <f t="shared" si="1"/>
        <v>6921150</v>
      </c>
      <c r="I98" s="3367"/>
      <c r="J98" s="3368"/>
      <c r="K98" s="3369"/>
      <c r="L98" s="3370"/>
      <c r="M98" s="3371"/>
    </row>
    <row r="99" spans="1:13" ht="12.75">
      <c r="A99" s="466">
        <v>2020.06</v>
      </c>
      <c r="B99" s="762">
        <v>5242767</v>
      </c>
      <c r="C99" s="3372"/>
      <c r="D99" s="3373"/>
      <c r="E99" s="3374">
        <v>1669209</v>
      </c>
      <c r="F99" s="3372"/>
      <c r="G99" s="3375"/>
      <c r="H99" s="3376">
        <f t="shared" si="1"/>
        <v>6911976</v>
      </c>
      <c r="I99" s="3367"/>
      <c r="J99" s="3368"/>
      <c r="K99" s="3369"/>
      <c r="L99" s="3370"/>
      <c r="M99" s="3371"/>
    </row>
    <row r="100" spans="1:13" ht="12.75">
      <c r="A100" s="466">
        <v>2020.07</v>
      </c>
      <c r="B100" s="762">
        <v>5237979</v>
      </c>
      <c r="C100" s="3372"/>
      <c r="D100" s="3373"/>
      <c r="E100" s="3374">
        <v>1669611</v>
      </c>
      <c r="F100" s="3372"/>
      <c r="G100" s="3375"/>
      <c r="H100" s="3376">
        <f t="shared" si="1"/>
        <v>6907590</v>
      </c>
      <c r="I100" s="3367"/>
      <c r="J100" s="3368"/>
      <c r="K100" s="3369"/>
      <c r="L100" s="3370"/>
      <c r="M100" s="3371"/>
    </row>
    <row r="101" spans="1:13" ht="12.75">
      <c r="A101" s="466">
        <v>2020.08</v>
      </c>
      <c r="B101" s="762">
        <v>5231813</v>
      </c>
      <c r="C101" s="3372"/>
      <c r="D101" s="3373"/>
      <c r="E101" s="3374">
        <v>1669680</v>
      </c>
      <c r="F101" s="3372"/>
      <c r="G101" s="3375"/>
      <c r="H101" s="3376">
        <f t="shared" si="1"/>
        <v>6901493</v>
      </c>
      <c r="I101" s="3367"/>
      <c r="J101" s="3368"/>
      <c r="K101" s="3369"/>
      <c r="L101" s="3370"/>
      <c r="M101" s="3371"/>
    </row>
    <row r="102" spans="1:13" ht="12.75">
      <c r="A102" s="466">
        <v>2020.09</v>
      </c>
      <c r="B102" s="762">
        <v>5226067</v>
      </c>
      <c r="C102" s="3372"/>
      <c r="D102" s="3373"/>
      <c r="E102" s="3374">
        <v>1671338</v>
      </c>
      <c r="F102" s="3372"/>
      <c r="G102" s="3375"/>
      <c r="H102" s="3376">
        <f t="shared" si="1"/>
        <v>6897405</v>
      </c>
      <c r="I102" s="3367"/>
      <c r="J102" s="3368"/>
      <c r="K102" s="3369"/>
      <c r="L102" s="3370"/>
      <c r="M102" s="3371"/>
    </row>
    <row r="103" spans="1:13" ht="12.75">
      <c r="A103" s="466">
        <v>2020.1</v>
      </c>
      <c r="B103" s="762">
        <v>5217545</v>
      </c>
      <c r="C103" s="3372"/>
      <c r="D103" s="3373"/>
      <c r="E103" s="3374">
        <v>1670916</v>
      </c>
      <c r="F103" s="3372"/>
      <c r="G103" s="3375"/>
      <c r="H103" s="3376">
        <f t="shared" si="1"/>
        <v>6888461</v>
      </c>
      <c r="I103" s="3367"/>
      <c r="J103" s="3368"/>
      <c r="K103" s="3369"/>
      <c r="L103" s="3370"/>
      <c r="M103" s="3371"/>
    </row>
    <row r="104" spans="1:13" ht="12.75">
      <c r="A104" s="466">
        <v>2020.11</v>
      </c>
      <c r="B104" s="762">
        <v>5204501</v>
      </c>
      <c r="C104" s="3372"/>
      <c r="D104" s="3373"/>
      <c r="E104" s="3374">
        <v>1669945</v>
      </c>
      <c r="F104" s="3372"/>
      <c r="G104" s="3375"/>
      <c r="H104" s="3376">
        <f t="shared" si="1"/>
        <v>6874446</v>
      </c>
      <c r="I104" s="3367"/>
      <c r="J104" s="3368"/>
      <c r="K104" s="3369"/>
      <c r="L104" s="3370"/>
      <c r="M104" s="3371"/>
    </row>
    <row r="105" spans="1:13" ht="12.75">
      <c r="A105" s="466">
        <v>2020.12</v>
      </c>
      <c r="B105" s="762">
        <v>5192508</v>
      </c>
      <c r="C105" s="3372"/>
      <c r="D105" s="3373"/>
      <c r="E105" s="3374">
        <v>1668810</v>
      </c>
      <c r="F105" s="3372"/>
      <c r="G105" s="3375"/>
      <c r="H105" s="3376">
        <f t="shared" si="1"/>
        <v>6861318</v>
      </c>
      <c r="I105" s="3367"/>
      <c r="J105" s="3368"/>
      <c r="K105" s="3369"/>
      <c r="L105" s="3370"/>
      <c r="M105" s="3371"/>
    </row>
    <row r="106" spans="1:13" ht="12.75">
      <c r="A106" s="466">
        <f>A94+1</f>
        <v>2021.01</v>
      </c>
      <c r="B106" s="762">
        <v>5184688</v>
      </c>
      <c r="C106" s="3372"/>
      <c r="D106" s="3373"/>
      <c r="E106" s="3374">
        <v>1669838</v>
      </c>
      <c r="F106" s="3372"/>
      <c r="G106" s="3375"/>
      <c r="H106" s="3376">
        <f t="shared" si="1"/>
        <v>6854526</v>
      </c>
      <c r="I106" s="3367"/>
      <c r="J106" s="3368"/>
      <c r="K106" s="3369"/>
      <c r="L106" s="3370"/>
      <c r="M106" s="3371"/>
    </row>
    <row r="107" spans="1:13" ht="12.75">
      <c r="A107" s="466">
        <f t="shared" ref="A107:A170" si="2">A95+1</f>
        <v>2021.02</v>
      </c>
      <c r="B107" s="762">
        <v>5173153</v>
      </c>
      <c r="C107" s="3372"/>
      <c r="D107" s="3373"/>
      <c r="E107" s="3374">
        <v>1667421</v>
      </c>
      <c r="F107" s="3372"/>
      <c r="G107" s="3375"/>
      <c r="H107" s="3376">
        <f t="shared" si="1"/>
        <v>6840574</v>
      </c>
      <c r="I107" s="3367"/>
      <c r="J107" s="3368"/>
      <c r="K107" s="3369"/>
      <c r="L107" s="3370"/>
      <c r="M107" s="3371"/>
    </row>
    <row r="108" spans="1:13" ht="12.75">
      <c r="A108" s="466">
        <f t="shared" si="2"/>
        <v>2021.03</v>
      </c>
      <c r="B108" s="762">
        <v>5159630</v>
      </c>
      <c r="C108" s="3372"/>
      <c r="D108" s="3373"/>
      <c r="E108" s="3374">
        <v>1666655</v>
      </c>
      <c r="F108" s="3372"/>
      <c r="G108" s="3375"/>
      <c r="H108" s="3376">
        <f t="shared" si="1"/>
        <v>6826285</v>
      </c>
      <c r="I108" s="3367"/>
      <c r="J108" s="3368"/>
      <c r="K108" s="3369"/>
      <c r="L108" s="3370"/>
      <c r="M108" s="3371"/>
    </row>
    <row r="109" spans="1:13" ht="12.75">
      <c r="A109" s="466">
        <f t="shared" si="2"/>
        <v>2021.04</v>
      </c>
      <c r="B109" s="762">
        <v>5158948</v>
      </c>
      <c r="C109" s="3372"/>
      <c r="D109" s="3373"/>
      <c r="E109" s="3374">
        <v>1669079</v>
      </c>
      <c r="F109" s="3372"/>
      <c r="G109" s="3375"/>
      <c r="H109" s="3376">
        <f t="shared" si="1"/>
        <v>6828027</v>
      </c>
      <c r="I109" s="3367"/>
      <c r="J109" s="3368"/>
      <c r="K109" s="3369"/>
      <c r="L109" s="3370"/>
      <c r="M109" s="3371"/>
    </row>
    <row r="110" spans="1:13" ht="12.75">
      <c r="A110" s="466">
        <f t="shared" si="2"/>
        <v>2021.05</v>
      </c>
      <c r="B110" s="762">
        <v>5152919</v>
      </c>
      <c r="C110" s="3372"/>
      <c r="D110" s="3373"/>
      <c r="E110" s="3374">
        <v>1669139</v>
      </c>
      <c r="F110" s="3372"/>
      <c r="G110" s="3375"/>
      <c r="H110" s="3376">
        <f t="shared" si="1"/>
        <v>6822058</v>
      </c>
      <c r="I110" s="3367"/>
      <c r="J110" s="3368"/>
      <c r="K110" s="3369"/>
      <c r="L110" s="3370"/>
      <c r="M110" s="3371"/>
    </row>
    <row r="111" spans="1:13" ht="12.75">
      <c r="A111" s="466">
        <f t="shared" si="2"/>
        <v>2021.06</v>
      </c>
      <c r="B111" s="762">
        <v>5152060</v>
      </c>
      <c r="C111" s="3372"/>
      <c r="D111" s="3373"/>
      <c r="E111" s="3374">
        <v>1671375</v>
      </c>
      <c r="F111" s="3372"/>
      <c r="G111" s="3375"/>
      <c r="H111" s="3376">
        <f t="shared" si="1"/>
        <v>6823435</v>
      </c>
      <c r="I111" s="3367"/>
      <c r="J111" s="3368"/>
      <c r="K111" s="3369"/>
      <c r="L111" s="3370"/>
      <c r="M111" s="3371"/>
    </row>
    <row r="112" spans="1:13" ht="12.75">
      <c r="A112" s="466">
        <f t="shared" si="2"/>
        <v>2021.07</v>
      </c>
      <c r="B112" s="762">
        <v>5155272</v>
      </c>
      <c r="C112" s="3372"/>
      <c r="D112" s="3373"/>
      <c r="E112" s="3374">
        <v>1675989</v>
      </c>
      <c r="F112" s="3372"/>
      <c r="G112" s="3375"/>
      <c r="H112" s="3376">
        <f t="shared" si="1"/>
        <v>6831261</v>
      </c>
      <c r="I112" s="3367"/>
      <c r="J112" s="3368"/>
      <c r="K112" s="3369"/>
      <c r="L112" s="3370"/>
      <c r="M112" s="3371"/>
    </row>
    <row r="113" spans="1:13" ht="12.75">
      <c r="A113" s="466">
        <f t="shared" si="2"/>
        <v>2021.08</v>
      </c>
      <c r="B113" s="762">
        <v>5146958</v>
      </c>
      <c r="C113" s="3372"/>
      <c r="D113" s="3373"/>
      <c r="E113" s="3374">
        <v>1677634</v>
      </c>
      <c r="F113" s="3372"/>
      <c r="G113" s="3375"/>
      <c r="H113" s="3376">
        <f t="shared" si="1"/>
        <v>6824592</v>
      </c>
      <c r="I113" s="3367"/>
      <c r="J113" s="3368"/>
      <c r="K113" s="3369"/>
      <c r="L113" s="3370"/>
      <c r="M113" s="3371"/>
    </row>
    <row r="114" spans="1:13" ht="12.75">
      <c r="A114" s="466">
        <f t="shared" si="2"/>
        <v>2021.09</v>
      </c>
      <c r="B114" s="762">
        <v>5138940</v>
      </c>
      <c r="C114" s="3372"/>
      <c r="D114" s="3373"/>
      <c r="E114" s="3374">
        <v>1680572</v>
      </c>
      <c r="F114" s="3372"/>
      <c r="G114" s="3375"/>
      <c r="H114" s="3376">
        <f t="shared" si="1"/>
        <v>6819512</v>
      </c>
      <c r="I114" s="3367"/>
      <c r="J114" s="3368"/>
      <c r="K114" s="3369"/>
      <c r="L114" s="3370"/>
      <c r="M114" s="3371"/>
    </row>
    <row r="115" spans="1:13" ht="12.75">
      <c r="A115" s="466">
        <f t="shared" si="2"/>
        <v>2021.1</v>
      </c>
      <c r="B115" s="762">
        <v>5149989</v>
      </c>
      <c r="C115" s="3372"/>
      <c r="D115" s="3373"/>
      <c r="E115" s="3374">
        <v>1681113</v>
      </c>
      <c r="F115" s="3372"/>
      <c r="G115" s="3375"/>
      <c r="H115" s="3376">
        <f t="shared" si="1"/>
        <v>6831102</v>
      </c>
      <c r="I115" s="3367"/>
      <c r="J115" s="3368"/>
      <c r="K115" s="3369"/>
      <c r="L115" s="3370"/>
      <c r="M115" s="3371"/>
    </row>
    <row r="116" spans="1:13" ht="12.75">
      <c r="A116" s="466">
        <f t="shared" si="2"/>
        <v>2021.11</v>
      </c>
      <c r="B116" s="762">
        <v>5183427</v>
      </c>
      <c r="C116" s="3372"/>
      <c r="D116" s="3373"/>
      <c r="E116" s="3374">
        <v>1684250</v>
      </c>
      <c r="F116" s="3372"/>
      <c r="G116" s="3375"/>
      <c r="H116" s="3376">
        <f t="shared" si="1"/>
        <v>6867677</v>
      </c>
      <c r="I116" s="3367"/>
      <c r="J116" s="3368"/>
      <c r="K116" s="3369"/>
      <c r="L116" s="3370"/>
      <c r="M116" s="3371"/>
    </row>
    <row r="117" spans="1:13" ht="12.75">
      <c r="A117" s="466">
        <f t="shared" si="2"/>
        <v>2021.12</v>
      </c>
      <c r="B117" s="762">
        <v>5202492</v>
      </c>
      <c r="C117" s="3372"/>
      <c r="D117" s="3373"/>
      <c r="E117" s="3374">
        <v>1686926</v>
      </c>
      <c r="F117" s="3372"/>
      <c r="G117" s="3375"/>
      <c r="H117" s="3376">
        <f t="shared" si="1"/>
        <v>6889418</v>
      </c>
      <c r="I117" s="3367"/>
      <c r="J117" s="3368"/>
      <c r="K117" s="3369"/>
      <c r="L117" s="3370"/>
      <c r="M117" s="3371"/>
    </row>
    <row r="118" spans="1:13" ht="12.75">
      <c r="A118" s="466">
        <f t="shared" si="2"/>
        <v>2022.01</v>
      </c>
      <c r="B118" s="762">
        <v>5216472</v>
      </c>
      <c r="C118" s="3372"/>
      <c r="D118" s="3373"/>
      <c r="E118" s="3374">
        <v>1687384</v>
      </c>
      <c r="F118" s="3372"/>
      <c r="G118" s="3375"/>
      <c r="H118" s="3376">
        <f t="shared" si="1"/>
        <v>6903856</v>
      </c>
      <c r="I118" s="3367"/>
      <c r="J118" s="3368"/>
      <c r="K118" s="3369"/>
      <c r="L118" s="3370"/>
      <c r="M118" s="3371"/>
    </row>
    <row r="119" spans="1:13" ht="12.75">
      <c r="A119" s="466">
        <f t="shared" si="2"/>
        <v>2022.02</v>
      </c>
      <c r="B119" s="762">
        <v>5225456</v>
      </c>
      <c r="C119" s="3372"/>
      <c r="D119" s="3373"/>
      <c r="E119" s="3374">
        <v>1688230</v>
      </c>
      <c r="F119" s="3372"/>
      <c r="G119" s="3375"/>
      <c r="H119" s="3376">
        <f t="shared" si="1"/>
        <v>6913686</v>
      </c>
      <c r="I119" s="3367"/>
      <c r="J119" s="3368"/>
      <c r="K119" s="3369"/>
      <c r="L119" s="3370"/>
      <c r="M119" s="3371"/>
    </row>
    <row r="120" spans="1:13" ht="12.75">
      <c r="A120" s="466">
        <f t="shared" si="2"/>
        <v>2022.03</v>
      </c>
      <c r="B120" s="762">
        <v>5229189</v>
      </c>
      <c r="C120" s="3372"/>
      <c r="D120" s="3373"/>
      <c r="E120" s="3374">
        <v>1689415</v>
      </c>
      <c r="F120" s="3372"/>
      <c r="G120" s="3375"/>
      <c r="H120" s="3376">
        <f t="shared" si="1"/>
        <v>6918604</v>
      </c>
      <c r="I120" s="3367"/>
      <c r="J120" s="3368"/>
      <c r="K120" s="3369"/>
      <c r="L120" s="3370"/>
      <c r="M120" s="3371"/>
    </row>
    <row r="121" spans="1:13" ht="12.75">
      <c r="A121" s="466">
        <f t="shared" si="2"/>
        <v>2022.04</v>
      </c>
      <c r="B121" s="762">
        <v>5230002</v>
      </c>
      <c r="C121" s="3372"/>
      <c r="D121" s="3373"/>
      <c r="E121" s="3374">
        <v>1690442</v>
      </c>
      <c r="F121" s="3372"/>
      <c r="G121" s="3375"/>
      <c r="H121" s="3376">
        <f t="shared" si="1"/>
        <v>6920444</v>
      </c>
      <c r="I121" s="3367"/>
      <c r="J121" s="3368"/>
      <c r="K121" s="3369"/>
      <c r="L121" s="3370"/>
      <c r="M121" s="3371"/>
    </row>
    <row r="122" spans="1:13" ht="12.75">
      <c r="A122" s="466">
        <f t="shared" si="2"/>
        <v>2022.05</v>
      </c>
      <c r="B122" s="762">
        <v>5239882</v>
      </c>
      <c r="C122" s="3372"/>
      <c r="D122" s="3373"/>
      <c r="E122" s="3374">
        <v>1694554</v>
      </c>
      <c r="F122" s="3372"/>
      <c r="G122" s="3375"/>
      <c r="H122" s="3376">
        <f t="shared" si="1"/>
        <v>6934436</v>
      </c>
      <c r="I122" s="3367"/>
      <c r="J122" s="3368"/>
      <c r="K122" s="3369"/>
      <c r="L122" s="3370"/>
      <c r="M122" s="3371"/>
    </row>
    <row r="123" spans="1:13" ht="12.75">
      <c r="A123" s="466">
        <f t="shared" si="2"/>
        <v>2022.06</v>
      </c>
      <c r="B123" s="762">
        <v>5249231</v>
      </c>
      <c r="C123" s="3372"/>
      <c r="D123" s="3373"/>
      <c r="E123" s="3374">
        <v>1698081</v>
      </c>
      <c r="F123" s="3372"/>
      <c r="G123" s="3375"/>
      <c r="H123" s="3376">
        <f t="shared" si="1"/>
        <v>6947312</v>
      </c>
      <c r="I123" s="3367"/>
      <c r="J123" s="3368"/>
      <c r="K123" s="3369"/>
      <c r="L123" s="3370"/>
      <c r="M123" s="3371"/>
    </row>
    <row r="124" spans="1:13" ht="12.75">
      <c r="A124" s="466">
        <f t="shared" si="2"/>
        <v>2022.07</v>
      </c>
      <c r="B124" s="762">
        <v>5259926</v>
      </c>
      <c r="C124" s="3372"/>
      <c r="D124" s="3373"/>
      <c r="E124" s="3374">
        <v>1701720</v>
      </c>
      <c r="F124" s="3372"/>
      <c r="G124" s="3375"/>
      <c r="H124" s="3376">
        <f t="shared" si="1"/>
        <v>6961646</v>
      </c>
      <c r="I124" s="3367"/>
      <c r="J124" s="3368"/>
      <c r="K124" s="3369"/>
      <c r="L124" s="3370"/>
      <c r="M124" s="3371"/>
    </row>
    <row r="125" spans="1:13" ht="12.75">
      <c r="A125" s="466">
        <f t="shared" si="2"/>
        <v>2022.08</v>
      </c>
      <c r="B125" s="762">
        <v>5263949</v>
      </c>
      <c r="C125" s="3372"/>
      <c r="D125" s="3373"/>
      <c r="E125" s="3374">
        <v>1702783</v>
      </c>
      <c r="F125" s="3372"/>
      <c r="G125" s="3375"/>
      <c r="H125" s="3376">
        <f t="shared" si="1"/>
        <v>6966732</v>
      </c>
      <c r="I125" s="3367"/>
      <c r="J125" s="3368"/>
      <c r="K125" s="3369"/>
      <c r="L125" s="3370"/>
      <c r="M125" s="3371"/>
    </row>
    <row r="126" spans="1:13" ht="12.75">
      <c r="A126" s="466">
        <f t="shared" si="2"/>
        <v>2022.09</v>
      </c>
      <c r="B126" s="762">
        <v>5269819</v>
      </c>
      <c r="C126" s="3372"/>
      <c r="D126" s="3373"/>
      <c r="E126" s="3374">
        <v>1703589</v>
      </c>
      <c r="F126" s="3372"/>
      <c r="G126" s="3375"/>
      <c r="H126" s="3376">
        <f t="shared" si="1"/>
        <v>6973408</v>
      </c>
      <c r="I126" s="3367"/>
      <c r="J126" s="3368"/>
      <c r="K126" s="3369"/>
      <c r="L126" s="3370"/>
      <c r="M126" s="3371"/>
    </row>
    <row r="127" spans="1:13" ht="12.75">
      <c r="A127" s="466">
        <f t="shared" si="2"/>
        <v>2022.1</v>
      </c>
      <c r="B127" s="762">
        <v>5276668</v>
      </c>
      <c r="C127" s="3372"/>
      <c r="D127" s="3373"/>
      <c r="E127" s="3374">
        <v>1706930</v>
      </c>
      <c r="F127" s="3372"/>
      <c r="G127" s="3375"/>
      <c r="H127" s="3376">
        <f t="shared" si="1"/>
        <v>6983598</v>
      </c>
      <c r="I127" s="3367"/>
      <c r="J127" s="3368"/>
      <c r="K127" s="3369"/>
      <c r="L127" s="3370"/>
      <c r="M127" s="3371"/>
    </row>
    <row r="128" spans="1:13" ht="12.75">
      <c r="A128" s="466">
        <f t="shared" si="2"/>
        <v>2022.11</v>
      </c>
      <c r="B128" s="762">
        <v>5282124</v>
      </c>
      <c r="C128" s="3372"/>
      <c r="D128" s="3373"/>
      <c r="E128" s="3374">
        <v>1709687</v>
      </c>
      <c r="F128" s="3372"/>
      <c r="G128" s="3375"/>
      <c r="H128" s="3376">
        <f t="shared" si="1"/>
        <v>6991811</v>
      </c>
      <c r="I128" s="3367"/>
      <c r="J128" s="3368"/>
      <c r="K128" s="3369"/>
      <c r="L128" s="3370"/>
      <c r="M128" s="3371"/>
    </row>
    <row r="129" spans="1:13" ht="12.75">
      <c r="A129" s="466">
        <f t="shared" si="2"/>
        <v>2022.12</v>
      </c>
      <c r="B129" s="762">
        <v>5284476</v>
      </c>
      <c r="C129" s="3372"/>
      <c r="D129" s="3373"/>
      <c r="E129" s="3374">
        <v>1710839</v>
      </c>
      <c r="F129" s="3372"/>
      <c r="G129" s="3375"/>
      <c r="H129" s="3376">
        <f t="shared" si="1"/>
        <v>6995315</v>
      </c>
      <c r="I129" s="3367"/>
      <c r="J129" s="3368"/>
      <c r="K129" s="3369"/>
      <c r="L129" s="3370"/>
      <c r="M129" s="3371"/>
    </row>
    <row r="130" spans="1:13" ht="12.75">
      <c r="A130" s="466">
        <f t="shared" si="2"/>
        <v>2023.01</v>
      </c>
      <c r="B130" s="762">
        <v>5289537</v>
      </c>
      <c r="C130" s="3372"/>
      <c r="D130" s="3373"/>
      <c r="E130" s="3374">
        <v>1713385</v>
      </c>
      <c r="F130" s="3372"/>
      <c r="G130" s="3375"/>
      <c r="H130" s="3376">
        <f t="shared" si="1"/>
        <v>7002922</v>
      </c>
      <c r="I130" s="3367"/>
      <c r="J130" s="3368"/>
      <c r="K130" s="3369"/>
      <c r="L130" s="3370"/>
      <c r="M130" s="3371"/>
    </row>
    <row r="131" spans="1:13" ht="12.75">
      <c r="A131" s="466">
        <f t="shared" si="2"/>
        <v>2023.02</v>
      </c>
      <c r="B131" s="762">
        <v>5285556</v>
      </c>
      <c r="C131" s="3372"/>
      <c r="D131" s="3373"/>
      <c r="E131" s="3374">
        <v>1711204</v>
      </c>
      <c r="F131" s="3372"/>
      <c r="G131" s="3375"/>
      <c r="H131" s="3376">
        <f t="shared" si="1"/>
        <v>6996760</v>
      </c>
      <c r="I131" s="3367"/>
      <c r="J131" s="3368"/>
      <c r="K131" s="3369"/>
      <c r="L131" s="3370"/>
      <c r="M131" s="3371"/>
    </row>
    <row r="132" spans="1:13" ht="12.75">
      <c r="A132" s="466">
        <f t="shared" si="2"/>
        <v>2023.03</v>
      </c>
      <c r="B132" s="762">
        <v>5279990</v>
      </c>
      <c r="C132" s="3372"/>
      <c r="D132" s="3373"/>
      <c r="E132" s="3374">
        <v>1709843</v>
      </c>
      <c r="F132" s="3372"/>
      <c r="G132" s="3375"/>
      <c r="H132" s="3376">
        <f t="shared" si="1"/>
        <v>6989833</v>
      </c>
      <c r="I132" s="3367"/>
      <c r="J132" s="3368"/>
      <c r="K132" s="3369"/>
      <c r="L132" s="3370"/>
      <c r="M132" s="3371"/>
    </row>
    <row r="133" spans="1:13" ht="12.75">
      <c r="A133" s="466">
        <f t="shared" si="2"/>
        <v>2023.04</v>
      </c>
      <c r="B133" s="762">
        <v>5273858</v>
      </c>
      <c r="C133" s="3372"/>
      <c r="D133" s="3373"/>
      <c r="E133" s="3374">
        <v>1709663</v>
      </c>
      <c r="F133" s="3372"/>
      <c r="G133" s="3375"/>
      <c r="H133" s="3376">
        <f t="shared" si="1"/>
        <v>6983521</v>
      </c>
      <c r="I133" s="3367"/>
      <c r="J133" s="3368"/>
      <c r="K133" s="3369"/>
      <c r="L133" s="3370"/>
      <c r="M133" s="3371"/>
    </row>
    <row r="134" spans="1:13" ht="12.75">
      <c r="A134" s="466">
        <f t="shared" si="2"/>
        <v>2023.05</v>
      </c>
      <c r="B134" s="762">
        <v>5271761</v>
      </c>
      <c r="C134" s="3372"/>
      <c r="D134" s="3373"/>
      <c r="E134" s="3374">
        <v>1712358</v>
      </c>
      <c r="F134" s="3372"/>
      <c r="G134" s="3375"/>
      <c r="H134" s="3376">
        <f t="shared" si="1"/>
        <v>6984119</v>
      </c>
      <c r="I134" s="3367"/>
      <c r="J134" s="3368"/>
      <c r="K134" s="3369"/>
      <c r="L134" s="3370"/>
      <c r="M134" s="3371"/>
    </row>
    <row r="135" spans="1:13" ht="12.75">
      <c r="A135" s="466">
        <f t="shared" si="2"/>
        <v>2023.06</v>
      </c>
      <c r="B135" s="762">
        <v>5305761</v>
      </c>
      <c r="C135" s="3372"/>
      <c r="D135" s="3373"/>
      <c r="E135" s="3374">
        <v>1711037</v>
      </c>
      <c r="F135" s="3372"/>
      <c r="G135" s="3375"/>
      <c r="H135" s="3376">
        <f t="shared" si="1"/>
        <v>7016798</v>
      </c>
      <c r="I135" s="3367"/>
      <c r="J135" s="3368"/>
      <c r="K135" s="3369"/>
      <c r="L135" s="3370"/>
      <c r="M135" s="3371"/>
    </row>
    <row r="136" spans="1:13" ht="12.75">
      <c r="A136" s="466">
        <f t="shared" si="2"/>
        <v>2023.07</v>
      </c>
      <c r="B136" s="762">
        <v>5348366</v>
      </c>
      <c r="C136" s="3372"/>
      <c r="D136" s="3373"/>
      <c r="E136" s="3374">
        <v>1709590</v>
      </c>
      <c r="F136" s="3372"/>
      <c r="G136" s="3375"/>
      <c r="H136" s="3376">
        <f t="shared" si="1"/>
        <v>7057956</v>
      </c>
      <c r="I136" s="3367"/>
      <c r="J136" s="3368"/>
      <c r="K136" s="3369"/>
      <c r="L136" s="3370"/>
      <c r="M136" s="3371"/>
    </row>
    <row r="137" spans="1:13" ht="12.75">
      <c r="A137" s="466">
        <f t="shared" si="2"/>
        <v>2023.08</v>
      </c>
      <c r="B137" s="762">
        <v>5383035</v>
      </c>
      <c r="C137" s="3372"/>
      <c r="D137" s="3373"/>
      <c r="E137" s="3374">
        <v>1706572</v>
      </c>
      <c r="F137" s="3372"/>
      <c r="G137" s="3375"/>
      <c r="H137" s="3376">
        <f t="shared" si="1"/>
        <v>7089607</v>
      </c>
      <c r="I137" s="3367"/>
      <c r="J137" s="3368"/>
      <c r="K137" s="3369"/>
      <c r="L137" s="3370"/>
      <c r="M137" s="3371"/>
    </row>
    <row r="138" spans="1:13" ht="12.75">
      <c r="A138" s="466">
        <f t="shared" si="2"/>
        <v>2023.09</v>
      </c>
      <c r="B138" s="762">
        <v>5417649</v>
      </c>
      <c r="C138" s="3372"/>
      <c r="D138" s="3373"/>
      <c r="E138" s="3374">
        <v>1704831</v>
      </c>
      <c r="F138" s="3372"/>
      <c r="G138" s="3375"/>
      <c r="H138" s="3376">
        <f t="shared" si="1"/>
        <v>7122480</v>
      </c>
      <c r="I138" s="3367"/>
      <c r="J138" s="3368"/>
      <c r="K138" s="3369"/>
      <c r="L138" s="3370"/>
      <c r="M138" s="3371"/>
    </row>
    <row r="139" spans="1:13" ht="12.75">
      <c r="A139" s="466">
        <f t="shared" si="2"/>
        <v>2023.1</v>
      </c>
      <c r="B139" s="762">
        <v>5470976</v>
      </c>
      <c r="C139" s="3372"/>
      <c r="D139" s="3373"/>
      <c r="E139" s="3374">
        <v>1705514</v>
      </c>
      <c r="F139" s="3372"/>
      <c r="G139" s="3375"/>
      <c r="H139" s="3376">
        <f t="shared" ref="H139:H141" si="3">B139+E139</f>
        <v>7176490</v>
      </c>
      <c r="I139" s="3367"/>
      <c r="J139" s="3368"/>
      <c r="K139" s="3369"/>
      <c r="L139" s="3370"/>
      <c r="M139" s="3371"/>
    </row>
    <row r="140" spans="1:13" ht="12.75">
      <c r="A140" s="466">
        <f t="shared" si="2"/>
        <v>2023.11</v>
      </c>
      <c r="B140" s="762">
        <v>5490069</v>
      </c>
      <c r="C140" s="3372"/>
      <c r="D140" s="3373"/>
      <c r="E140" s="3374">
        <v>1711513</v>
      </c>
      <c r="F140" s="3372"/>
      <c r="G140" s="3375"/>
      <c r="H140" s="3376">
        <f t="shared" si="3"/>
        <v>7201582</v>
      </c>
      <c r="I140" s="3367"/>
      <c r="J140" s="3368"/>
      <c r="K140" s="3369"/>
      <c r="L140" s="3370"/>
      <c r="M140" s="3371"/>
    </row>
    <row r="141" spans="1:13" ht="12.75">
      <c r="A141" s="466">
        <f t="shared" si="2"/>
        <v>2023.12</v>
      </c>
      <c r="B141" s="762">
        <v>5515902</v>
      </c>
      <c r="C141" s="3372"/>
      <c r="D141" s="3373"/>
      <c r="E141" s="3374">
        <v>1711680</v>
      </c>
      <c r="F141" s="3372"/>
      <c r="G141" s="3375"/>
      <c r="H141" s="3376">
        <f t="shared" si="3"/>
        <v>7227582</v>
      </c>
      <c r="I141" s="3367"/>
      <c r="J141" s="3368"/>
      <c r="K141" s="3369"/>
      <c r="L141" s="3370"/>
      <c r="M141" s="3371"/>
    </row>
    <row r="142" spans="1:13" ht="12.75">
      <c r="A142" s="466">
        <f t="shared" si="2"/>
        <v>2024.01</v>
      </c>
      <c r="B142" s="3377">
        <f>C142+D142</f>
        <v>5543723</v>
      </c>
      <c r="C142" s="470">
        <v>1827500</v>
      </c>
      <c r="D142" s="3378">
        <v>3716223</v>
      </c>
      <c r="E142" s="3379">
        <f>F142+G142</f>
        <v>1710845</v>
      </c>
      <c r="F142" s="470">
        <v>1510397</v>
      </c>
      <c r="G142" s="3380">
        <v>200448</v>
      </c>
      <c r="H142" s="3376">
        <f>B142+E142</f>
        <v>7254568</v>
      </c>
      <c r="I142" s="3381">
        <v>135216</v>
      </c>
      <c r="J142" s="3378">
        <v>307820</v>
      </c>
      <c r="K142" s="3364">
        <v>132759</v>
      </c>
      <c r="L142" s="3378">
        <v>17928</v>
      </c>
      <c r="M142" s="3382">
        <f>+SUM(I142:L142)</f>
        <v>593723</v>
      </c>
    </row>
    <row r="143" spans="1:13" ht="12.75">
      <c r="A143" s="466">
        <f t="shared" si="2"/>
        <v>2024.02</v>
      </c>
      <c r="B143" s="3377">
        <f t="shared" ref="B143:B206" si="4">C143+D143</f>
        <v>5561360</v>
      </c>
      <c r="C143" s="762">
        <v>1829813</v>
      </c>
      <c r="D143" s="3383">
        <v>3731547</v>
      </c>
      <c r="E143" s="3379">
        <f t="shared" ref="E143:E206" si="5">F143+G143</f>
        <v>1709779</v>
      </c>
      <c r="F143" s="762">
        <v>1509815</v>
      </c>
      <c r="G143" s="3384">
        <v>199964</v>
      </c>
      <c r="H143" s="3376">
        <f t="shared" ref="H143:H206" si="6">B143+E143</f>
        <v>7271139</v>
      </c>
      <c r="I143" s="3385">
        <v>135177</v>
      </c>
      <c r="J143" s="3383">
        <v>308526</v>
      </c>
      <c r="K143" s="3374">
        <v>132480</v>
      </c>
      <c r="L143" s="3384">
        <v>17886</v>
      </c>
      <c r="M143" s="3397">
        <f>+SUM(I143:L143)</f>
        <v>594069</v>
      </c>
    </row>
    <row r="144" spans="1:13" ht="12.75">
      <c r="A144" s="466">
        <f t="shared" si="2"/>
        <v>2024.03</v>
      </c>
      <c r="B144" s="3377">
        <f t="shared" si="4"/>
        <v>5578146</v>
      </c>
      <c r="C144" s="1872">
        <v>1833137</v>
      </c>
      <c r="D144" s="3386">
        <v>3745009</v>
      </c>
      <c r="E144" s="3379">
        <f t="shared" si="5"/>
        <v>1709674</v>
      </c>
      <c r="F144" s="1872">
        <v>1510023</v>
      </c>
      <c r="G144" s="3387">
        <v>199651</v>
      </c>
      <c r="H144" s="3376">
        <f t="shared" si="6"/>
        <v>7287820</v>
      </c>
      <c r="I144" s="3388">
        <v>135322</v>
      </c>
      <c r="J144" s="3386">
        <v>309428</v>
      </c>
      <c r="K144" s="3389">
        <v>132751</v>
      </c>
      <c r="L144" s="3387">
        <v>17880</v>
      </c>
      <c r="M144" s="3397">
        <f t="shared" ref="M144:M207" si="7">+SUM(I144:L144)</f>
        <v>595381</v>
      </c>
    </row>
    <row r="145" spans="1:13" ht="12.75">
      <c r="A145" s="466">
        <f t="shared" si="2"/>
        <v>2024.04</v>
      </c>
      <c r="B145" s="3377">
        <f t="shared" si="4"/>
        <v>5591563</v>
      </c>
      <c r="C145" s="1872">
        <v>1835649</v>
      </c>
      <c r="D145" s="3386">
        <v>3755914</v>
      </c>
      <c r="E145" s="3379">
        <f t="shared" si="5"/>
        <v>1710014</v>
      </c>
      <c r="F145" s="1872">
        <v>1510671</v>
      </c>
      <c r="G145" s="3387">
        <v>199343</v>
      </c>
      <c r="H145" s="3376">
        <f t="shared" si="6"/>
        <v>7301577</v>
      </c>
      <c r="I145" s="3388">
        <v>135305</v>
      </c>
      <c r="J145" s="3386">
        <v>310211</v>
      </c>
      <c r="K145" s="3389">
        <v>132688</v>
      </c>
      <c r="L145" s="3387">
        <v>17863</v>
      </c>
      <c r="M145" s="3397">
        <f t="shared" si="7"/>
        <v>596067</v>
      </c>
    </row>
    <row r="146" spans="1:13" ht="12.75">
      <c r="A146" s="466">
        <f t="shared" si="2"/>
        <v>2024.05</v>
      </c>
      <c r="B146" s="3377">
        <f t="shared" si="4"/>
        <v>5610017</v>
      </c>
      <c r="C146" s="1872">
        <v>1839191</v>
      </c>
      <c r="D146" s="3386">
        <v>3770826</v>
      </c>
      <c r="E146" s="3379">
        <f t="shared" si="5"/>
        <v>1711474</v>
      </c>
      <c r="F146" s="1872">
        <v>1512396</v>
      </c>
      <c r="G146" s="3387">
        <v>199078</v>
      </c>
      <c r="H146" s="3376">
        <f t="shared" si="6"/>
        <v>7321491</v>
      </c>
      <c r="I146" s="3388">
        <v>135278</v>
      </c>
      <c r="J146" s="3386">
        <v>310837</v>
      </c>
      <c r="K146" s="3389">
        <v>132601</v>
      </c>
      <c r="L146" s="3387">
        <v>17828</v>
      </c>
      <c r="M146" s="3397">
        <f t="shared" si="7"/>
        <v>596544</v>
      </c>
    </row>
    <row r="147" spans="1:13" ht="12.75">
      <c r="A147" s="466">
        <f t="shared" si="2"/>
        <v>2024.06</v>
      </c>
      <c r="B147" s="3377">
        <f t="shared" si="4"/>
        <v>5624830</v>
      </c>
      <c r="C147" s="1872">
        <v>1841179</v>
      </c>
      <c r="D147" s="3386">
        <v>3783651</v>
      </c>
      <c r="E147" s="3379">
        <f t="shared" si="5"/>
        <v>1710939</v>
      </c>
      <c r="F147" s="1872">
        <v>1512210</v>
      </c>
      <c r="G147" s="3387">
        <v>198729</v>
      </c>
      <c r="H147" s="3376">
        <f t="shared" si="6"/>
        <v>7335769</v>
      </c>
      <c r="I147" s="3388">
        <v>135181</v>
      </c>
      <c r="J147" s="3386">
        <v>311738</v>
      </c>
      <c r="K147" s="3389">
        <v>132325</v>
      </c>
      <c r="L147" s="3387">
        <v>17778</v>
      </c>
      <c r="M147" s="3397">
        <f t="shared" si="7"/>
        <v>597022</v>
      </c>
    </row>
    <row r="148" spans="1:13" ht="12.75">
      <c r="A148" s="466">
        <f t="shared" si="2"/>
        <v>2024.07</v>
      </c>
      <c r="B148" s="3377">
        <f t="shared" si="4"/>
        <v>5643734</v>
      </c>
      <c r="C148" s="1872">
        <v>1843835</v>
      </c>
      <c r="D148" s="3386">
        <v>3799899</v>
      </c>
      <c r="E148" s="3379">
        <f t="shared" si="5"/>
        <v>1711845</v>
      </c>
      <c r="F148" s="1872">
        <v>1513378</v>
      </c>
      <c r="G148" s="3387">
        <v>198467</v>
      </c>
      <c r="H148" s="3376">
        <f t="shared" si="6"/>
        <v>7355579</v>
      </c>
      <c r="I148" s="3388">
        <v>135116</v>
      </c>
      <c r="J148" s="3386">
        <v>312792</v>
      </c>
      <c r="K148" s="3389">
        <v>132208</v>
      </c>
      <c r="L148" s="3387">
        <v>17765</v>
      </c>
      <c r="M148" s="3397">
        <f t="shared" si="7"/>
        <v>597881</v>
      </c>
    </row>
    <row r="149" spans="1:13" ht="12.75">
      <c r="A149" s="466">
        <f t="shared" si="2"/>
        <v>2024.08</v>
      </c>
      <c r="B149" s="3377">
        <f t="shared" si="4"/>
        <v>5654375</v>
      </c>
      <c r="C149" s="1872">
        <v>1844553</v>
      </c>
      <c r="D149" s="3386">
        <v>3809822</v>
      </c>
      <c r="E149" s="3379">
        <f t="shared" si="5"/>
        <v>1711214</v>
      </c>
      <c r="F149" s="1872">
        <v>1513163</v>
      </c>
      <c r="G149" s="3387">
        <v>198051</v>
      </c>
      <c r="H149" s="3376">
        <f t="shared" si="6"/>
        <v>7365589</v>
      </c>
      <c r="I149" s="3388">
        <v>134975</v>
      </c>
      <c r="J149" s="3386">
        <v>313308</v>
      </c>
      <c r="K149" s="3389">
        <v>131994</v>
      </c>
      <c r="L149" s="3387">
        <v>17726</v>
      </c>
      <c r="M149" s="3397">
        <f t="shared" si="7"/>
        <v>598003</v>
      </c>
    </row>
    <row r="150" spans="1:13" ht="12.75">
      <c r="A150" s="466">
        <f t="shared" si="2"/>
        <v>2024.09</v>
      </c>
      <c r="B150" s="3377">
        <f t="shared" si="4"/>
        <v>5666805</v>
      </c>
      <c r="C150" s="1872">
        <v>1845870</v>
      </c>
      <c r="D150" s="3386">
        <v>3820935</v>
      </c>
      <c r="E150" s="3379">
        <f t="shared" si="5"/>
        <v>1712673</v>
      </c>
      <c r="F150" s="1872">
        <v>1513947</v>
      </c>
      <c r="G150" s="3387">
        <v>198726</v>
      </c>
      <c r="H150" s="3376">
        <f t="shared" si="6"/>
        <v>7379478</v>
      </c>
      <c r="I150" s="3388">
        <v>134922</v>
      </c>
      <c r="J150" s="3386">
        <v>314541</v>
      </c>
      <c r="K150" s="3389">
        <v>132043</v>
      </c>
      <c r="L150" s="3387">
        <v>17777</v>
      </c>
      <c r="M150" s="3397">
        <f t="shared" si="7"/>
        <v>599283</v>
      </c>
    </row>
    <row r="151" spans="1:13" ht="12.75">
      <c r="A151" s="466">
        <f t="shared" si="2"/>
        <v>2024.1</v>
      </c>
      <c r="B151" s="3377">
        <f t="shared" si="4"/>
        <v>5681342</v>
      </c>
      <c r="C151" s="1872">
        <v>1848277</v>
      </c>
      <c r="D151" s="3386">
        <v>3833065</v>
      </c>
      <c r="E151" s="3379">
        <f t="shared" si="5"/>
        <v>1715001</v>
      </c>
      <c r="F151" s="1872">
        <v>1516219</v>
      </c>
      <c r="G151" s="3387">
        <v>198782</v>
      </c>
      <c r="H151" s="3376">
        <f t="shared" si="6"/>
        <v>7396343</v>
      </c>
      <c r="I151" s="3388">
        <v>134940</v>
      </c>
      <c r="J151" s="3386">
        <v>315582</v>
      </c>
      <c r="K151" s="3389">
        <v>132038</v>
      </c>
      <c r="L151" s="3387">
        <v>17752</v>
      </c>
      <c r="M151" s="3397">
        <f t="shared" si="7"/>
        <v>600312</v>
      </c>
    </row>
    <row r="152" spans="1:13" ht="12.75">
      <c r="A152" s="466">
        <f t="shared" si="2"/>
        <v>2024.11</v>
      </c>
      <c r="B152" s="3377">
        <f t="shared" si="4"/>
        <v>5696790</v>
      </c>
      <c r="C152" s="1872">
        <v>1849701</v>
      </c>
      <c r="D152" s="3386">
        <v>3847089</v>
      </c>
      <c r="E152" s="3379">
        <f t="shared" si="5"/>
        <v>1717496</v>
      </c>
      <c r="F152" s="1872">
        <v>1518633</v>
      </c>
      <c r="G152" s="3387">
        <v>198863</v>
      </c>
      <c r="H152" s="3376">
        <f t="shared" si="6"/>
        <v>7414286</v>
      </c>
      <c r="I152" s="3388">
        <v>134822</v>
      </c>
      <c r="J152" s="3386">
        <v>316372</v>
      </c>
      <c r="K152" s="3389">
        <v>132027</v>
      </c>
      <c r="L152" s="3387">
        <v>17747</v>
      </c>
      <c r="M152" s="3397">
        <f t="shared" si="7"/>
        <v>600968</v>
      </c>
    </row>
    <row r="153" spans="1:13" ht="12.75">
      <c r="A153" s="466">
        <f t="shared" si="2"/>
        <v>2024.12</v>
      </c>
      <c r="B153" s="3377">
        <f t="shared" si="4"/>
        <v>5715790</v>
      </c>
      <c r="C153" s="1872">
        <v>1852603</v>
      </c>
      <c r="D153" s="3386">
        <v>3863187</v>
      </c>
      <c r="E153" s="3379">
        <f t="shared" si="5"/>
        <v>1721647</v>
      </c>
      <c r="F153" s="1872">
        <v>1522613</v>
      </c>
      <c r="G153" s="3387">
        <v>199034</v>
      </c>
      <c r="H153" s="3376">
        <f t="shared" si="6"/>
        <v>7437437</v>
      </c>
      <c r="I153" s="3388">
        <v>134816</v>
      </c>
      <c r="J153" s="3386">
        <v>317440</v>
      </c>
      <c r="K153" s="3389">
        <v>132109</v>
      </c>
      <c r="L153" s="3387">
        <v>17777</v>
      </c>
      <c r="M153" s="3397">
        <f t="shared" si="7"/>
        <v>602142</v>
      </c>
    </row>
    <row r="154" spans="1:13" ht="12.75">
      <c r="A154" s="466">
        <f t="shared" si="2"/>
        <v>2025.01</v>
      </c>
      <c r="B154" s="3377">
        <f t="shared" si="4"/>
        <v>5733663</v>
      </c>
      <c r="C154" s="1872">
        <v>1856259</v>
      </c>
      <c r="D154" s="3386">
        <v>3877404</v>
      </c>
      <c r="E154" s="3379">
        <f t="shared" si="5"/>
        <v>1724601</v>
      </c>
      <c r="F154" s="1872">
        <v>1525489</v>
      </c>
      <c r="G154" s="3387">
        <v>199112</v>
      </c>
      <c r="H154" s="3376">
        <f t="shared" si="6"/>
        <v>7458264</v>
      </c>
      <c r="I154" s="3388">
        <v>134945</v>
      </c>
      <c r="J154" s="3386">
        <v>318669</v>
      </c>
      <c r="K154" s="3389">
        <v>132243</v>
      </c>
      <c r="L154" s="3387">
        <v>17781</v>
      </c>
      <c r="M154" s="3397">
        <f t="shared" si="7"/>
        <v>603638</v>
      </c>
    </row>
    <row r="155" spans="1:13" ht="12.75">
      <c r="A155" s="466">
        <f t="shared" si="2"/>
        <v>2025.02</v>
      </c>
      <c r="B155" s="3377">
        <f t="shared" si="4"/>
        <v>5744795</v>
      </c>
      <c r="C155" s="1872">
        <v>1857734</v>
      </c>
      <c r="D155" s="3386">
        <v>3887061</v>
      </c>
      <c r="E155" s="3379">
        <f t="shared" si="5"/>
        <v>1724776</v>
      </c>
      <c r="F155" s="1872">
        <v>1525754</v>
      </c>
      <c r="G155" s="3387">
        <v>199022</v>
      </c>
      <c r="H155" s="3376">
        <f t="shared" si="6"/>
        <v>7469571</v>
      </c>
      <c r="I155" s="3388">
        <v>134918</v>
      </c>
      <c r="J155" s="3386">
        <v>319343</v>
      </c>
      <c r="K155" s="3389">
        <v>132082</v>
      </c>
      <c r="L155" s="3387">
        <v>17776</v>
      </c>
      <c r="M155" s="3397">
        <f t="shared" si="7"/>
        <v>604119</v>
      </c>
    </row>
    <row r="156" spans="1:13" ht="12.75">
      <c r="A156" s="466">
        <f t="shared" si="2"/>
        <v>2025.03</v>
      </c>
      <c r="B156" s="3377">
        <f t="shared" si="4"/>
        <v>5754322</v>
      </c>
      <c r="C156" s="1872">
        <v>1859253</v>
      </c>
      <c r="D156" s="3386">
        <v>3895069</v>
      </c>
      <c r="E156" s="3379">
        <f t="shared" si="5"/>
        <v>1723586</v>
      </c>
      <c r="F156" s="1872">
        <v>1524723</v>
      </c>
      <c r="G156" s="3387">
        <v>198863</v>
      </c>
      <c r="H156" s="3376">
        <f t="shared" si="6"/>
        <v>7477908</v>
      </c>
      <c r="I156" s="3388">
        <v>134975</v>
      </c>
      <c r="J156" s="3386">
        <v>320189</v>
      </c>
      <c r="K156" s="3389">
        <v>131956</v>
      </c>
      <c r="L156" s="3387">
        <v>17788</v>
      </c>
      <c r="M156" s="3397">
        <f t="shared" si="7"/>
        <v>604908</v>
      </c>
    </row>
    <row r="157" spans="1:13" ht="12.75">
      <c r="A157" s="466">
        <f>A145+1</f>
        <v>2025.04</v>
      </c>
      <c r="B157" s="3377">
        <f t="shared" si="4"/>
        <v>5762432</v>
      </c>
      <c r="C157" s="1872">
        <v>1860135</v>
      </c>
      <c r="D157" s="3386">
        <v>3902297</v>
      </c>
      <c r="E157" s="3379">
        <f t="shared" si="5"/>
        <v>1721949</v>
      </c>
      <c r="F157" s="1872">
        <v>1523407</v>
      </c>
      <c r="G157" s="3387">
        <v>198542</v>
      </c>
      <c r="H157" s="3376">
        <f t="shared" si="6"/>
        <v>7484381</v>
      </c>
      <c r="I157" s="3388">
        <v>134980</v>
      </c>
      <c r="J157" s="3386">
        <v>320793</v>
      </c>
      <c r="K157" s="3389">
        <v>131845</v>
      </c>
      <c r="L157" s="3387">
        <v>17764</v>
      </c>
      <c r="M157" s="3397">
        <f t="shared" si="7"/>
        <v>605382</v>
      </c>
    </row>
    <row r="158" spans="1:13" ht="12.75">
      <c r="A158" s="466">
        <f t="shared" si="2"/>
        <v>2025.05</v>
      </c>
      <c r="B158" s="3377">
        <f t="shared" si="4"/>
        <v>5774649</v>
      </c>
      <c r="C158" s="1872">
        <v>1862244</v>
      </c>
      <c r="D158" s="3386">
        <v>3912405</v>
      </c>
      <c r="E158" s="3379">
        <f t="shared" si="5"/>
        <v>1720031</v>
      </c>
      <c r="F158" s="1872">
        <v>1521809</v>
      </c>
      <c r="G158" s="3387">
        <v>198222</v>
      </c>
      <c r="H158" s="3376">
        <f t="shared" si="6"/>
        <v>7494680</v>
      </c>
      <c r="I158" s="3388">
        <v>135016</v>
      </c>
      <c r="J158" s="3386">
        <v>321355</v>
      </c>
      <c r="K158" s="3389">
        <v>131605</v>
      </c>
      <c r="L158" s="3387">
        <v>17719</v>
      </c>
      <c r="M158" s="3397">
        <f t="shared" si="7"/>
        <v>605695</v>
      </c>
    </row>
    <row r="159" spans="1:13" ht="12.75">
      <c r="A159" s="466">
        <f t="shared" si="2"/>
        <v>2025.06</v>
      </c>
      <c r="B159" s="3377">
        <f t="shared" si="4"/>
        <v>5786296</v>
      </c>
      <c r="C159" s="1872">
        <v>1865406</v>
      </c>
      <c r="D159" s="3386">
        <v>3920890</v>
      </c>
      <c r="E159" s="3379">
        <f t="shared" si="5"/>
        <v>1720202</v>
      </c>
      <c r="F159" s="1872">
        <v>1522041</v>
      </c>
      <c r="G159" s="3387">
        <v>198161</v>
      </c>
      <c r="H159" s="3376">
        <f t="shared" si="6"/>
        <v>7506498</v>
      </c>
      <c r="I159" s="3388">
        <v>134921</v>
      </c>
      <c r="J159" s="3386">
        <v>321621</v>
      </c>
      <c r="K159" s="3389">
        <v>131344</v>
      </c>
      <c r="L159" s="3387">
        <v>17695</v>
      </c>
      <c r="M159" s="3397">
        <f t="shared" si="7"/>
        <v>605581</v>
      </c>
    </row>
    <row r="160" spans="1:13" ht="12.75">
      <c r="A160" s="466">
        <f t="shared" si="2"/>
        <v>2025.07</v>
      </c>
      <c r="B160" s="3377">
        <f t="shared" si="4"/>
        <v>5793629</v>
      </c>
      <c r="C160" s="1872">
        <v>1867443</v>
      </c>
      <c r="D160" s="3386">
        <v>3926186</v>
      </c>
      <c r="E160" s="3379">
        <f t="shared" si="5"/>
        <v>1720288</v>
      </c>
      <c r="F160" s="1872">
        <v>1522019</v>
      </c>
      <c r="G160" s="3387">
        <v>198269</v>
      </c>
      <c r="H160" s="3394">
        <f t="shared" si="6"/>
        <v>7513917</v>
      </c>
      <c r="I160" s="3388">
        <v>134791</v>
      </c>
      <c r="J160" s="3386">
        <v>321813</v>
      </c>
      <c r="K160" s="3389">
        <v>131110</v>
      </c>
      <c r="L160" s="3387">
        <v>17709</v>
      </c>
      <c r="M160" s="3398">
        <f t="shared" si="7"/>
        <v>605423</v>
      </c>
    </row>
    <row r="161" spans="1:13" ht="12.75">
      <c r="A161" s="466">
        <f t="shared" si="2"/>
        <v>2025.08</v>
      </c>
      <c r="B161" s="3377">
        <f t="shared" si="4"/>
        <v>5795596</v>
      </c>
      <c r="C161" s="1872">
        <v>1869544</v>
      </c>
      <c r="D161" s="3386">
        <v>3926052</v>
      </c>
      <c r="E161" s="3379">
        <f t="shared" si="5"/>
        <v>1719760</v>
      </c>
      <c r="F161" s="1872">
        <v>1521561</v>
      </c>
      <c r="G161" s="3387">
        <v>198199</v>
      </c>
      <c r="H161" s="3394">
        <f t="shared" si="6"/>
        <v>7515356</v>
      </c>
      <c r="I161" s="3388">
        <v>134767</v>
      </c>
      <c r="J161" s="3386">
        <v>321900</v>
      </c>
      <c r="K161" s="3389">
        <v>130977</v>
      </c>
      <c r="L161" s="3387">
        <v>17706</v>
      </c>
      <c r="M161" s="3398">
        <f t="shared" si="7"/>
        <v>605350</v>
      </c>
    </row>
    <row r="162" spans="1:13" ht="12.75">
      <c r="A162" s="466">
        <f t="shared" si="2"/>
        <v>2025.09</v>
      </c>
      <c r="B162" s="3377">
        <f t="shared" si="4"/>
        <v>5797493</v>
      </c>
      <c r="C162" s="1872">
        <v>1871626</v>
      </c>
      <c r="D162" s="3386">
        <v>3925867</v>
      </c>
      <c r="E162" s="3379">
        <f t="shared" si="5"/>
        <v>1721006</v>
      </c>
      <c r="F162" s="1872">
        <v>1522783</v>
      </c>
      <c r="G162" s="3387">
        <v>198223</v>
      </c>
      <c r="H162" s="3394">
        <f t="shared" si="6"/>
        <v>7518499</v>
      </c>
      <c r="I162" s="3388">
        <v>134597</v>
      </c>
      <c r="J162" s="3386">
        <v>322325</v>
      </c>
      <c r="K162" s="3389">
        <v>130960</v>
      </c>
      <c r="L162" s="3387">
        <v>17689</v>
      </c>
      <c r="M162" s="3398">
        <f t="shared" si="7"/>
        <v>605571</v>
      </c>
    </row>
    <row r="163" spans="1:13" ht="12.75">
      <c r="A163" s="466">
        <f>A151+1</f>
        <v>2025.1</v>
      </c>
      <c r="B163" s="3390" t="e">
        <f t="shared" si="4"/>
        <v>#N/A</v>
      </c>
      <c r="C163" s="983" t="e">
        <v>#N/A</v>
      </c>
      <c r="D163" s="3391" t="e">
        <v>#N/A</v>
      </c>
      <c r="E163" s="3392" t="e">
        <f t="shared" si="5"/>
        <v>#N/A</v>
      </c>
      <c r="F163" s="983" t="e">
        <v>#N/A</v>
      </c>
      <c r="G163" s="3393" t="e">
        <v>#N/A</v>
      </c>
      <c r="H163" s="3394" t="e">
        <f t="shared" si="6"/>
        <v>#N/A</v>
      </c>
      <c r="I163" s="3395" t="e">
        <v>#N/A</v>
      </c>
      <c r="J163" s="3391" t="e">
        <v>#N/A</v>
      </c>
      <c r="K163" s="3396" t="e">
        <v>#N/A</v>
      </c>
      <c r="L163" s="3393" t="e">
        <v>#N/A</v>
      </c>
      <c r="M163" s="3398" t="e">
        <f t="shared" si="7"/>
        <v>#N/A</v>
      </c>
    </row>
    <row r="164" spans="1:13" ht="12.75">
      <c r="A164" s="466">
        <f t="shared" si="2"/>
        <v>2025.11</v>
      </c>
      <c r="B164" s="3390" t="e">
        <f t="shared" si="4"/>
        <v>#N/A</v>
      </c>
      <c r="C164" s="983" t="e">
        <v>#N/A</v>
      </c>
      <c r="D164" s="3391" t="e">
        <v>#N/A</v>
      </c>
      <c r="E164" s="3392" t="e">
        <f t="shared" si="5"/>
        <v>#N/A</v>
      </c>
      <c r="F164" s="983" t="e">
        <v>#N/A</v>
      </c>
      <c r="G164" s="3393" t="e">
        <v>#N/A</v>
      </c>
      <c r="H164" s="3394" t="e">
        <f t="shared" si="6"/>
        <v>#N/A</v>
      </c>
      <c r="I164" s="3395" t="e">
        <v>#N/A</v>
      </c>
      <c r="J164" s="3391" t="e">
        <v>#N/A</v>
      </c>
      <c r="K164" s="3396" t="e">
        <v>#N/A</v>
      </c>
      <c r="L164" s="3393" t="e">
        <v>#N/A</v>
      </c>
      <c r="M164" s="3398" t="e">
        <f t="shared" si="7"/>
        <v>#N/A</v>
      </c>
    </row>
    <row r="165" spans="1:13" ht="12.75">
      <c r="A165" s="466">
        <f t="shared" si="2"/>
        <v>2025.12</v>
      </c>
      <c r="B165" s="3390" t="e">
        <f t="shared" si="4"/>
        <v>#N/A</v>
      </c>
      <c r="C165" s="983" t="e">
        <v>#N/A</v>
      </c>
      <c r="D165" s="3391" t="e">
        <v>#N/A</v>
      </c>
      <c r="E165" s="3392" t="e">
        <f t="shared" si="5"/>
        <v>#N/A</v>
      </c>
      <c r="F165" s="983" t="e">
        <v>#N/A</v>
      </c>
      <c r="G165" s="3393" t="e">
        <v>#N/A</v>
      </c>
      <c r="H165" s="3394" t="e">
        <f t="shared" si="6"/>
        <v>#N/A</v>
      </c>
      <c r="I165" s="3395" t="e">
        <v>#N/A</v>
      </c>
      <c r="J165" s="3391" t="e">
        <v>#N/A</v>
      </c>
      <c r="K165" s="3396" t="e">
        <v>#N/A</v>
      </c>
      <c r="L165" s="3393" t="e">
        <v>#N/A</v>
      </c>
      <c r="M165" s="3398" t="e">
        <f t="shared" si="7"/>
        <v>#N/A</v>
      </c>
    </row>
    <row r="166" spans="1:13" ht="12.75">
      <c r="A166" s="466">
        <f t="shared" si="2"/>
        <v>2026.01</v>
      </c>
      <c r="B166" s="3390" t="e">
        <f t="shared" si="4"/>
        <v>#N/A</v>
      </c>
      <c r="C166" s="983" t="e">
        <v>#N/A</v>
      </c>
      <c r="D166" s="3391" t="e">
        <v>#N/A</v>
      </c>
      <c r="E166" s="3392" t="e">
        <f t="shared" si="5"/>
        <v>#N/A</v>
      </c>
      <c r="F166" s="983" t="e">
        <v>#N/A</v>
      </c>
      <c r="G166" s="3393" t="e">
        <v>#N/A</v>
      </c>
      <c r="H166" s="3394" t="e">
        <f t="shared" si="6"/>
        <v>#N/A</v>
      </c>
      <c r="I166" s="3395" t="e">
        <v>#N/A</v>
      </c>
      <c r="J166" s="3391" t="e">
        <v>#N/A</v>
      </c>
      <c r="K166" s="3396" t="e">
        <v>#N/A</v>
      </c>
      <c r="L166" s="3393" t="e">
        <v>#N/A</v>
      </c>
      <c r="M166" s="3398" t="e">
        <f t="shared" si="7"/>
        <v>#N/A</v>
      </c>
    </row>
    <row r="167" spans="1:13" ht="12.75">
      <c r="A167" s="466">
        <f t="shared" si="2"/>
        <v>2026.02</v>
      </c>
      <c r="B167" s="3390" t="e">
        <f t="shared" si="4"/>
        <v>#N/A</v>
      </c>
      <c r="C167" s="983" t="e">
        <v>#N/A</v>
      </c>
      <c r="D167" s="3391" t="e">
        <v>#N/A</v>
      </c>
      <c r="E167" s="3392" t="e">
        <f t="shared" si="5"/>
        <v>#N/A</v>
      </c>
      <c r="F167" s="983" t="e">
        <v>#N/A</v>
      </c>
      <c r="G167" s="3393" t="e">
        <v>#N/A</v>
      </c>
      <c r="H167" s="3394" t="e">
        <f t="shared" si="6"/>
        <v>#N/A</v>
      </c>
      <c r="I167" s="3395" t="e">
        <v>#N/A</v>
      </c>
      <c r="J167" s="3391" t="e">
        <v>#N/A</v>
      </c>
      <c r="K167" s="3396" t="e">
        <v>#N/A</v>
      </c>
      <c r="L167" s="3393" t="e">
        <v>#N/A</v>
      </c>
      <c r="M167" s="3398" t="e">
        <f t="shared" si="7"/>
        <v>#N/A</v>
      </c>
    </row>
    <row r="168" spans="1:13" ht="12.75">
      <c r="A168" s="466">
        <f t="shared" si="2"/>
        <v>2026.03</v>
      </c>
      <c r="B168" s="3390" t="e">
        <f t="shared" si="4"/>
        <v>#N/A</v>
      </c>
      <c r="C168" s="983" t="e">
        <v>#N/A</v>
      </c>
      <c r="D168" s="3391" t="e">
        <v>#N/A</v>
      </c>
      <c r="E168" s="3392" t="e">
        <f t="shared" si="5"/>
        <v>#N/A</v>
      </c>
      <c r="F168" s="983" t="e">
        <v>#N/A</v>
      </c>
      <c r="G168" s="3393" t="e">
        <v>#N/A</v>
      </c>
      <c r="H168" s="3394" t="e">
        <f t="shared" si="6"/>
        <v>#N/A</v>
      </c>
      <c r="I168" s="3395" t="e">
        <v>#N/A</v>
      </c>
      <c r="J168" s="3391" t="e">
        <v>#N/A</v>
      </c>
      <c r="K168" s="3396" t="e">
        <v>#N/A</v>
      </c>
      <c r="L168" s="3393" t="e">
        <v>#N/A</v>
      </c>
      <c r="M168" s="3398" t="e">
        <f t="shared" si="7"/>
        <v>#N/A</v>
      </c>
    </row>
    <row r="169" spans="1:13" ht="12.75">
      <c r="A169" s="466">
        <f t="shared" si="2"/>
        <v>2026.04</v>
      </c>
      <c r="B169" s="3390" t="e">
        <f t="shared" si="4"/>
        <v>#N/A</v>
      </c>
      <c r="C169" s="983" t="e">
        <v>#N/A</v>
      </c>
      <c r="D169" s="3391" t="e">
        <v>#N/A</v>
      </c>
      <c r="E169" s="3392" t="e">
        <f t="shared" si="5"/>
        <v>#N/A</v>
      </c>
      <c r="F169" s="983" t="e">
        <v>#N/A</v>
      </c>
      <c r="G169" s="3393" t="e">
        <v>#N/A</v>
      </c>
      <c r="H169" s="3394" t="e">
        <f t="shared" si="6"/>
        <v>#N/A</v>
      </c>
      <c r="I169" s="3395" t="e">
        <v>#N/A</v>
      </c>
      <c r="J169" s="3391" t="e">
        <v>#N/A</v>
      </c>
      <c r="K169" s="3396" t="e">
        <v>#N/A</v>
      </c>
      <c r="L169" s="3393" t="e">
        <v>#N/A</v>
      </c>
      <c r="M169" s="3398" t="e">
        <f t="shared" si="7"/>
        <v>#N/A</v>
      </c>
    </row>
    <row r="170" spans="1:13" ht="12.75">
      <c r="A170" s="466">
        <f t="shared" si="2"/>
        <v>2026.05</v>
      </c>
      <c r="B170" s="3390" t="e">
        <f t="shared" si="4"/>
        <v>#N/A</v>
      </c>
      <c r="C170" s="983" t="e">
        <v>#N/A</v>
      </c>
      <c r="D170" s="3391" t="e">
        <v>#N/A</v>
      </c>
      <c r="E170" s="3392" t="e">
        <f t="shared" si="5"/>
        <v>#N/A</v>
      </c>
      <c r="F170" s="983" t="e">
        <v>#N/A</v>
      </c>
      <c r="G170" s="3393" t="e">
        <v>#N/A</v>
      </c>
      <c r="H170" s="3394" t="e">
        <f t="shared" si="6"/>
        <v>#N/A</v>
      </c>
      <c r="I170" s="3395" t="e">
        <v>#N/A</v>
      </c>
      <c r="J170" s="3391" t="e">
        <v>#N/A</v>
      </c>
      <c r="K170" s="3396" t="e">
        <v>#N/A</v>
      </c>
      <c r="L170" s="3393" t="e">
        <v>#N/A</v>
      </c>
      <c r="M170" s="3398" t="e">
        <f t="shared" si="7"/>
        <v>#N/A</v>
      </c>
    </row>
    <row r="171" spans="1:13" ht="12.75">
      <c r="A171" s="466">
        <f t="shared" ref="A171:A225" si="8">A159+1</f>
        <v>2026.06</v>
      </c>
      <c r="B171" s="3390" t="e">
        <f t="shared" si="4"/>
        <v>#N/A</v>
      </c>
      <c r="C171" s="983" t="e">
        <v>#N/A</v>
      </c>
      <c r="D171" s="3391" t="e">
        <v>#N/A</v>
      </c>
      <c r="E171" s="3392" t="e">
        <f t="shared" si="5"/>
        <v>#N/A</v>
      </c>
      <c r="F171" s="983" t="e">
        <v>#N/A</v>
      </c>
      <c r="G171" s="3393" t="e">
        <v>#N/A</v>
      </c>
      <c r="H171" s="3394" t="e">
        <f t="shared" si="6"/>
        <v>#N/A</v>
      </c>
      <c r="I171" s="3395" t="e">
        <v>#N/A</v>
      </c>
      <c r="J171" s="3391" t="e">
        <v>#N/A</v>
      </c>
      <c r="K171" s="3396" t="e">
        <v>#N/A</v>
      </c>
      <c r="L171" s="3393" t="e">
        <v>#N/A</v>
      </c>
      <c r="M171" s="3398" t="e">
        <f t="shared" si="7"/>
        <v>#N/A</v>
      </c>
    </row>
    <row r="172" spans="1:13" ht="12.75">
      <c r="A172" s="466">
        <f t="shared" si="8"/>
        <v>2026.07</v>
      </c>
      <c r="B172" s="3390" t="e">
        <f t="shared" si="4"/>
        <v>#N/A</v>
      </c>
      <c r="C172" s="983" t="e">
        <v>#N/A</v>
      </c>
      <c r="D172" s="3391" t="e">
        <v>#N/A</v>
      </c>
      <c r="E172" s="3392" t="e">
        <f t="shared" si="5"/>
        <v>#N/A</v>
      </c>
      <c r="F172" s="983" t="e">
        <v>#N/A</v>
      </c>
      <c r="G172" s="3393" t="e">
        <v>#N/A</v>
      </c>
      <c r="H172" s="3394" t="e">
        <f t="shared" si="6"/>
        <v>#N/A</v>
      </c>
      <c r="I172" s="3395" t="e">
        <v>#N/A</v>
      </c>
      <c r="J172" s="3391" t="e">
        <v>#N/A</v>
      </c>
      <c r="K172" s="3396" t="e">
        <v>#N/A</v>
      </c>
      <c r="L172" s="3393" t="e">
        <v>#N/A</v>
      </c>
      <c r="M172" s="3398" t="e">
        <f t="shared" si="7"/>
        <v>#N/A</v>
      </c>
    </row>
    <row r="173" spans="1:13" ht="12.75">
      <c r="A173" s="466">
        <f t="shared" si="8"/>
        <v>2026.08</v>
      </c>
      <c r="B173" s="3390" t="e">
        <f t="shared" si="4"/>
        <v>#N/A</v>
      </c>
      <c r="C173" s="983" t="e">
        <v>#N/A</v>
      </c>
      <c r="D173" s="3391" t="e">
        <v>#N/A</v>
      </c>
      <c r="E173" s="3392" t="e">
        <f t="shared" si="5"/>
        <v>#N/A</v>
      </c>
      <c r="F173" s="983" t="e">
        <v>#N/A</v>
      </c>
      <c r="G173" s="3393" t="e">
        <v>#N/A</v>
      </c>
      <c r="H173" s="3394" t="e">
        <f t="shared" si="6"/>
        <v>#N/A</v>
      </c>
      <c r="I173" s="3395" t="e">
        <v>#N/A</v>
      </c>
      <c r="J173" s="3391" t="e">
        <v>#N/A</v>
      </c>
      <c r="K173" s="3396" t="e">
        <v>#N/A</v>
      </c>
      <c r="L173" s="3393" t="e">
        <v>#N/A</v>
      </c>
      <c r="M173" s="3398" t="e">
        <f t="shared" si="7"/>
        <v>#N/A</v>
      </c>
    </row>
    <row r="174" spans="1:13" ht="12.75">
      <c r="A174" s="466">
        <f t="shared" si="8"/>
        <v>2026.09</v>
      </c>
      <c r="B174" s="3390" t="e">
        <f t="shared" si="4"/>
        <v>#N/A</v>
      </c>
      <c r="C174" s="983" t="e">
        <v>#N/A</v>
      </c>
      <c r="D174" s="3391" t="e">
        <v>#N/A</v>
      </c>
      <c r="E174" s="3392" t="e">
        <f t="shared" si="5"/>
        <v>#N/A</v>
      </c>
      <c r="F174" s="983" t="e">
        <v>#N/A</v>
      </c>
      <c r="G174" s="3393" t="e">
        <v>#N/A</v>
      </c>
      <c r="H174" s="3394" t="e">
        <f t="shared" si="6"/>
        <v>#N/A</v>
      </c>
      <c r="I174" s="3395" t="e">
        <v>#N/A</v>
      </c>
      <c r="J174" s="3391" t="e">
        <v>#N/A</v>
      </c>
      <c r="K174" s="3396" t="e">
        <v>#N/A</v>
      </c>
      <c r="L174" s="3393" t="e">
        <v>#N/A</v>
      </c>
      <c r="M174" s="3398" t="e">
        <f t="shared" si="7"/>
        <v>#N/A</v>
      </c>
    </row>
    <row r="175" spans="1:13" ht="12.75">
      <c r="A175" s="466">
        <f t="shared" si="8"/>
        <v>2026.1</v>
      </c>
      <c r="B175" s="3390" t="e">
        <f t="shared" si="4"/>
        <v>#N/A</v>
      </c>
      <c r="C175" s="983" t="e">
        <v>#N/A</v>
      </c>
      <c r="D175" s="3391" t="e">
        <v>#N/A</v>
      </c>
      <c r="E175" s="3392" t="e">
        <f t="shared" si="5"/>
        <v>#N/A</v>
      </c>
      <c r="F175" s="983" t="e">
        <v>#N/A</v>
      </c>
      <c r="G175" s="3393" t="e">
        <v>#N/A</v>
      </c>
      <c r="H175" s="3394" t="e">
        <f t="shared" si="6"/>
        <v>#N/A</v>
      </c>
      <c r="I175" s="3395" t="e">
        <v>#N/A</v>
      </c>
      <c r="J175" s="3391" t="e">
        <v>#N/A</v>
      </c>
      <c r="K175" s="3396" t="e">
        <v>#N/A</v>
      </c>
      <c r="L175" s="3393" t="e">
        <v>#N/A</v>
      </c>
      <c r="M175" s="3398" t="e">
        <f t="shared" si="7"/>
        <v>#N/A</v>
      </c>
    </row>
    <row r="176" spans="1:13" ht="12.75">
      <c r="A176" s="466">
        <f t="shared" si="8"/>
        <v>2026.11</v>
      </c>
      <c r="B176" s="3390" t="e">
        <f t="shared" si="4"/>
        <v>#N/A</v>
      </c>
      <c r="C176" s="983" t="e">
        <v>#N/A</v>
      </c>
      <c r="D176" s="3391" t="e">
        <v>#N/A</v>
      </c>
      <c r="E176" s="3392" t="e">
        <f t="shared" si="5"/>
        <v>#N/A</v>
      </c>
      <c r="F176" s="983" t="e">
        <v>#N/A</v>
      </c>
      <c r="G176" s="3393" t="e">
        <v>#N/A</v>
      </c>
      <c r="H176" s="3394" t="e">
        <f t="shared" si="6"/>
        <v>#N/A</v>
      </c>
      <c r="I176" s="3395" t="e">
        <v>#N/A</v>
      </c>
      <c r="J176" s="3391" t="e">
        <v>#N/A</v>
      </c>
      <c r="K176" s="3396" t="e">
        <v>#N/A</v>
      </c>
      <c r="L176" s="3393" t="e">
        <v>#N/A</v>
      </c>
      <c r="M176" s="3398" t="e">
        <f t="shared" si="7"/>
        <v>#N/A</v>
      </c>
    </row>
    <row r="177" spans="1:13" ht="12.75">
      <c r="A177" s="466">
        <f t="shared" si="8"/>
        <v>2026.12</v>
      </c>
      <c r="B177" s="3390" t="e">
        <f t="shared" si="4"/>
        <v>#N/A</v>
      </c>
      <c r="C177" s="983" t="e">
        <v>#N/A</v>
      </c>
      <c r="D177" s="3391" t="e">
        <v>#N/A</v>
      </c>
      <c r="E177" s="3392" t="e">
        <f t="shared" si="5"/>
        <v>#N/A</v>
      </c>
      <c r="F177" s="983" t="e">
        <v>#N/A</v>
      </c>
      <c r="G177" s="3393" t="e">
        <v>#N/A</v>
      </c>
      <c r="H177" s="3394" t="e">
        <f t="shared" si="6"/>
        <v>#N/A</v>
      </c>
      <c r="I177" s="3395" t="e">
        <v>#N/A</v>
      </c>
      <c r="J177" s="3391" t="e">
        <v>#N/A</v>
      </c>
      <c r="K177" s="3396" t="e">
        <v>#N/A</v>
      </c>
      <c r="L177" s="3393" t="e">
        <v>#N/A</v>
      </c>
      <c r="M177" s="3398" t="e">
        <f t="shared" si="7"/>
        <v>#N/A</v>
      </c>
    </row>
    <row r="178" spans="1:13" ht="12.75">
      <c r="A178" s="466">
        <f t="shared" si="8"/>
        <v>2027.01</v>
      </c>
      <c r="B178" s="3390" t="e">
        <f t="shared" si="4"/>
        <v>#N/A</v>
      </c>
      <c r="C178" s="983" t="e">
        <v>#N/A</v>
      </c>
      <c r="D178" s="3391" t="e">
        <v>#N/A</v>
      </c>
      <c r="E178" s="3392" t="e">
        <f t="shared" si="5"/>
        <v>#N/A</v>
      </c>
      <c r="F178" s="983" t="e">
        <v>#N/A</v>
      </c>
      <c r="G178" s="3393" t="e">
        <v>#N/A</v>
      </c>
      <c r="H178" s="3394" t="e">
        <f t="shared" si="6"/>
        <v>#N/A</v>
      </c>
      <c r="I178" s="3395" t="e">
        <v>#N/A</v>
      </c>
      <c r="J178" s="3391" t="e">
        <v>#N/A</v>
      </c>
      <c r="K178" s="3396" t="e">
        <v>#N/A</v>
      </c>
      <c r="L178" s="3393" t="e">
        <v>#N/A</v>
      </c>
      <c r="M178" s="3398" t="e">
        <f t="shared" si="7"/>
        <v>#N/A</v>
      </c>
    </row>
    <row r="179" spans="1:13" ht="12.75">
      <c r="A179" s="466">
        <f t="shared" si="8"/>
        <v>2027.02</v>
      </c>
      <c r="B179" s="3390" t="e">
        <f t="shared" si="4"/>
        <v>#N/A</v>
      </c>
      <c r="C179" s="983" t="e">
        <v>#N/A</v>
      </c>
      <c r="D179" s="3391" t="e">
        <v>#N/A</v>
      </c>
      <c r="E179" s="3392" t="e">
        <f t="shared" si="5"/>
        <v>#N/A</v>
      </c>
      <c r="F179" s="983" t="e">
        <v>#N/A</v>
      </c>
      <c r="G179" s="3393" t="e">
        <v>#N/A</v>
      </c>
      <c r="H179" s="3394" t="e">
        <f t="shared" si="6"/>
        <v>#N/A</v>
      </c>
      <c r="I179" s="3395" t="e">
        <v>#N/A</v>
      </c>
      <c r="J179" s="3391" t="e">
        <v>#N/A</v>
      </c>
      <c r="K179" s="3396" t="e">
        <v>#N/A</v>
      </c>
      <c r="L179" s="3393" t="e">
        <v>#N/A</v>
      </c>
      <c r="M179" s="3398" t="e">
        <f t="shared" si="7"/>
        <v>#N/A</v>
      </c>
    </row>
    <row r="180" spans="1:13" ht="12.75">
      <c r="A180" s="466">
        <f t="shared" si="8"/>
        <v>2027.03</v>
      </c>
      <c r="B180" s="3390" t="e">
        <f t="shared" si="4"/>
        <v>#N/A</v>
      </c>
      <c r="C180" s="983" t="e">
        <v>#N/A</v>
      </c>
      <c r="D180" s="3391" t="e">
        <v>#N/A</v>
      </c>
      <c r="E180" s="3392" t="e">
        <f t="shared" si="5"/>
        <v>#N/A</v>
      </c>
      <c r="F180" s="983" t="e">
        <v>#N/A</v>
      </c>
      <c r="G180" s="3393" t="e">
        <v>#N/A</v>
      </c>
      <c r="H180" s="3394" t="e">
        <f t="shared" si="6"/>
        <v>#N/A</v>
      </c>
      <c r="I180" s="3395" t="e">
        <v>#N/A</v>
      </c>
      <c r="J180" s="3391" t="e">
        <v>#N/A</v>
      </c>
      <c r="K180" s="3396" t="e">
        <v>#N/A</v>
      </c>
      <c r="L180" s="3393" t="e">
        <v>#N/A</v>
      </c>
      <c r="M180" s="3398" t="e">
        <f t="shared" si="7"/>
        <v>#N/A</v>
      </c>
    </row>
    <row r="181" spans="1:13" ht="12.75">
      <c r="A181" s="466">
        <f t="shared" si="8"/>
        <v>2027.04</v>
      </c>
      <c r="B181" s="3390" t="e">
        <f t="shared" si="4"/>
        <v>#N/A</v>
      </c>
      <c r="C181" s="983" t="e">
        <v>#N/A</v>
      </c>
      <c r="D181" s="3391" t="e">
        <v>#N/A</v>
      </c>
      <c r="E181" s="3392" t="e">
        <f t="shared" si="5"/>
        <v>#N/A</v>
      </c>
      <c r="F181" s="983" t="e">
        <v>#N/A</v>
      </c>
      <c r="G181" s="3393" t="e">
        <v>#N/A</v>
      </c>
      <c r="H181" s="3394" t="e">
        <f t="shared" si="6"/>
        <v>#N/A</v>
      </c>
      <c r="I181" s="3395" t="e">
        <v>#N/A</v>
      </c>
      <c r="J181" s="3391" t="e">
        <v>#N/A</v>
      </c>
      <c r="K181" s="3396" t="e">
        <v>#N/A</v>
      </c>
      <c r="L181" s="3393" t="e">
        <v>#N/A</v>
      </c>
      <c r="M181" s="3398" t="e">
        <f t="shared" si="7"/>
        <v>#N/A</v>
      </c>
    </row>
    <row r="182" spans="1:13" ht="12.75">
      <c r="A182" s="466">
        <f t="shared" si="8"/>
        <v>2027.05</v>
      </c>
      <c r="B182" s="3390" t="e">
        <f t="shared" si="4"/>
        <v>#N/A</v>
      </c>
      <c r="C182" s="983" t="e">
        <v>#N/A</v>
      </c>
      <c r="D182" s="3391" t="e">
        <v>#N/A</v>
      </c>
      <c r="E182" s="3392" t="e">
        <f t="shared" si="5"/>
        <v>#N/A</v>
      </c>
      <c r="F182" s="983" t="e">
        <v>#N/A</v>
      </c>
      <c r="G182" s="3393" t="e">
        <v>#N/A</v>
      </c>
      <c r="H182" s="3394" t="e">
        <f t="shared" si="6"/>
        <v>#N/A</v>
      </c>
      <c r="I182" s="3395" t="e">
        <v>#N/A</v>
      </c>
      <c r="J182" s="3391" t="e">
        <v>#N/A</v>
      </c>
      <c r="K182" s="3396" t="e">
        <v>#N/A</v>
      </c>
      <c r="L182" s="3393" t="e">
        <v>#N/A</v>
      </c>
      <c r="M182" s="3398" t="e">
        <f t="shared" si="7"/>
        <v>#N/A</v>
      </c>
    </row>
    <row r="183" spans="1:13" ht="12.75">
      <c r="A183" s="466">
        <f t="shared" si="8"/>
        <v>2027.06</v>
      </c>
      <c r="B183" s="3390" t="e">
        <f t="shared" si="4"/>
        <v>#N/A</v>
      </c>
      <c r="C183" s="983" t="e">
        <v>#N/A</v>
      </c>
      <c r="D183" s="3391" t="e">
        <v>#N/A</v>
      </c>
      <c r="E183" s="3392" t="e">
        <f t="shared" si="5"/>
        <v>#N/A</v>
      </c>
      <c r="F183" s="983" t="e">
        <v>#N/A</v>
      </c>
      <c r="G183" s="3393" t="e">
        <v>#N/A</v>
      </c>
      <c r="H183" s="3394" t="e">
        <f t="shared" si="6"/>
        <v>#N/A</v>
      </c>
      <c r="I183" s="3395" t="e">
        <v>#N/A</v>
      </c>
      <c r="J183" s="3391" t="e">
        <v>#N/A</v>
      </c>
      <c r="K183" s="3396" t="e">
        <v>#N/A</v>
      </c>
      <c r="L183" s="3393" t="e">
        <v>#N/A</v>
      </c>
      <c r="M183" s="3398" t="e">
        <f t="shared" si="7"/>
        <v>#N/A</v>
      </c>
    </row>
    <row r="184" spans="1:13" ht="12.75">
      <c r="A184" s="466">
        <f t="shared" si="8"/>
        <v>2027.07</v>
      </c>
      <c r="B184" s="3390" t="e">
        <f t="shared" si="4"/>
        <v>#N/A</v>
      </c>
      <c r="C184" s="983" t="e">
        <v>#N/A</v>
      </c>
      <c r="D184" s="3391" t="e">
        <v>#N/A</v>
      </c>
      <c r="E184" s="3392" t="e">
        <f t="shared" si="5"/>
        <v>#N/A</v>
      </c>
      <c r="F184" s="983" t="e">
        <v>#N/A</v>
      </c>
      <c r="G184" s="3393" t="e">
        <v>#N/A</v>
      </c>
      <c r="H184" s="3394" t="e">
        <f t="shared" si="6"/>
        <v>#N/A</v>
      </c>
      <c r="I184" s="3395" t="e">
        <v>#N/A</v>
      </c>
      <c r="J184" s="3391" t="e">
        <v>#N/A</v>
      </c>
      <c r="K184" s="3396" t="e">
        <v>#N/A</v>
      </c>
      <c r="L184" s="3393" t="e">
        <v>#N/A</v>
      </c>
      <c r="M184" s="3398" t="e">
        <f t="shared" si="7"/>
        <v>#N/A</v>
      </c>
    </row>
    <row r="185" spans="1:13" ht="12.75">
      <c r="A185" s="466">
        <f t="shared" si="8"/>
        <v>2027.08</v>
      </c>
      <c r="B185" s="3390" t="e">
        <f t="shared" si="4"/>
        <v>#N/A</v>
      </c>
      <c r="C185" s="983" t="e">
        <v>#N/A</v>
      </c>
      <c r="D185" s="3391" t="e">
        <v>#N/A</v>
      </c>
      <c r="E185" s="3392" t="e">
        <f t="shared" si="5"/>
        <v>#N/A</v>
      </c>
      <c r="F185" s="983" t="e">
        <v>#N/A</v>
      </c>
      <c r="G185" s="3393" t="e">
        <v>#N/A</v>
      </c>
      <c r="H185" s="3394" t="e">
        <f t="shared" si="6"/>
        <v>#N/A</v>
      </c>
      <c r="I185" s="3395" t="e">
        <v>#N/A</v>
      </c>
      <c r="J185" s="3391" t="e">
        <v>#N/A</v>
      </c>
      <c r="K185" s="3396" t="e">
        <v>#N/A</v>
      </c>
      <c r="L185" s="3393" t="e">
        <v>#N/A</v>
      </c>
      <c r="M185" s="3398" t="e">
        <f t="shared" si="7"/>
        <v>#N/A</v>
      </c>
    </row>
    <row r="186" spans="1:13" ht="12.75">
      <c r="A186" s="466">
        <f t="shared" si="8"/>
        <v>2027.09</v>
      </c>
      <c r="B186" s="3390" t="e">
        <f t="shared" si="4"/>
        <v>#N/A</v>
      </c>
      <c r="C186" s="983" t="e">
        <v>#N/A</v>
      </c>
      <c r="D186" s="3391" t="e">
        <v>#N/A</v>
      </c>
      <c r="E186" s="3392" t="e">
        <f t="shared" si="5"/>
        <v>#N/A</v>
      </c>
      <c r="F186" s="983" t="e">
        <v>#N/A</v>
      </c>
      <c r="G186" s="3393" t="e">
        <v>#N/A</v>
      </c>
      <c r="H186" s="3394" t="e">
        <f t="shared" si="6"/>
        <v>#N/A</v>
      </c>
      <c r="I186" s="3395" t="e">
        <v>#N/A</v>
      </c>
      <c r="J186" s="3391" t="e">
        <v>#N/A</v>
      </c>
      <c r="K186" s="3396" t="e">
        <v>#N/A</v>
      </c>
      <c r="L186" s="3393" t="e">
        <v>#N/A</v>
      </c>
      <c r="M186" s="3398" t="e">
        <f t="shared" si="7"/>
        <v>#N/A</v>
      </c>
    </row>
    <row r="187" spans="1:13" ht="12.75">
      <c r="A187" s="466">
        <f t="shared" si="8"/>
        <v>2027.1</v>
      </c>
      <c r="B187" s="3390" t="e">
        <f t="shared" si="4"/>
        <v>#N/A</v>
      </c>
      <c r="C187" s="983" t="e">
        <v>#N/A</v>
      </c>
      <c r="D187" s="3391" t="e">
        <v>#N/A</v>
      </c>
      <c r="E187" s="3392" t="e">
        <f t="shared" si="5"/>
        <v>#N/A</v>
      </c>
      <c r="F187" s="983" t="e">
        <v>#N/A</v>
      </c>
      <c r="G187" s="3393" t="e">
        <v>#N/A</v>
      </c>
      <c r="H187" s="3394" t="e">
        <f t="shared" si="6"/>
        <v>#N/A</v>
      </c>
      <c r="I187" s="3395" t="e">
        <v>#N/A</v>
      </c>
      <c r="J187" s="3391" t="e">
        <v>#N/A</v>
      </c>
      <c r="K187" s="3396" t="e">
        <v>#N/A</v>
      </c>
      <c r="L187" s="3393" t="e">
        <v>#N/A</v>
      </c>
      <c r="M187" s="3398" t="e">
        <f t="shared" si="7"/>
        <v>#N/A</v>
      </c>
    </row>
    <row r="188" spans="1:13" ht="12.75">
      <c r="A188" s="466">
        <f t="shared" si="8"/>
        <v>2027.11</v>
      </c>
      <c r="B188" s="3390" t="e">
        <f t="shared" si="4"/>
        <v>#N/A</v>
      </c>
      <c r="C188" s="983" t="e">
        <v>#N/A</v>
      </c>
      <c r="D188" s="3391" t="e">
        <v>#N/A</v>
      </c>
      <c r="E188" s="3392" t="e">
        <f t="shared" si="5"/>
        <v>#N/A</v>
      </c>
      <c r="F188" s="983" t="e">
        <v>#N/A</v>
      </c>
      <c r="G188" s="3393" t="e">
        <v>#N/A</v>
      </c>
      <c r="H188" s="3394" t="e">
        <f t="shared" si="6"/>
        <v>#N/A</v>
      </c>
      <c r="I188" s="3395" t="e">
        <v>#N/A</v>
      </c>
      <c r="J188" s="3391" t="e">
        <v>#N/A</v>
      </c>
      <c r="K188" s="3396" t="e">
        <v>#N/A</v>
      </c>
      <c r="L188" s="3393" t="e">
        <v>#N/A</v>
      </c>
      <c r="M188" s="3398" t="e">
        <f t="shared" si="7"/>
        <v>#N/A</v>
      </c>
    </row>
    <row r="189" spans="1:13" ht="12.75">
      <c r="A189" s="466">
        <f t="shared" si="8"/>
        <v>2027.12</v>
      </c>
      <c r="B189" s="3390" t="e">
        <f t="shared" si="4"/>
        <v>#N/A</v>
      </c>
      <c r="C189" s="983" t="e">
        <v>#N/A</v>
      </c>
      <c r="D189" s="3391" t="e">
        <v>#N/A</v>
      </c>
      <c r="E189" s="3392" t="e">
        <f t="shared" si="5"/>
        <v>#N/A</v>
      </c>
      <c r="F189" s="983" t="e">
        <v>#N/A</v>
      </c>
      <c r="G189" s="3393" t="e">
        <v>#N/A</v>
      </c>
      <c r="H189" s="3394" t="e">
        <f t="shared" si="6"/>
        <v>#N/A</v>
      </c>
      <c r="I189" s="3395" t="e">
        <v>#N/A</v>
      </c>
      <c r="J189" s="3391" t="e">
        <v>#N/A</v>
      </c>
      <c r="K189" s="3396" t="e">
        <v>#N/A</v>
      </c>
      <c r="L189" s="3393" t="e">
        <v>#N/A</v>
      </c>
      <c r="M189" s="3398" t="e">
        <f t="shared" si="7"/>
        <v>#N/A</v>
      </c>
    </row>
    <row r="190" spans="1:13" ht="12.75">
      <c r="A190" s="466">
        <f t="shared" si="8"/>
        <v>2028.01</v>
      </c>
      <c r="B190" s="3390" t="e">
        <f t="shared" si="4"/>
        <v>#N/A</v>
      </c>
      <c r="C190" s="983" t="e">
        <v>#N/A</v>
      </c>
      <c r="D190" s="3391" t="e">
        <v>#N/A</v>
      </c>
      <c r="E190" s="3392" t="e">
        <f t="shared" si="5"/>
        <v>#N/A</v>
      </c>
      <c r="F190" s="983" t="e">
        <v>#N/A</v>
      </c>
      <c r="G190" s="3393" t="e">
        <v>#N/A</v>
      </c>
      <c r="H190" s="3394" t="e">
        <f t="shared" si="6"/>
        <v>#N/A</v>
      </c>
      <c r="I190" s="3395" t="e">
        <v>#N/A</v>
      </c>
      <c r="J190" s="3391" t="e">
        <v>#N/A</v>
      </c>
      <c r="K190" s="3396" t="e">
        <v>#N/A</v>
      </c>
      <c r="L190" s="3393" t="e">
        <v>#N/A</v>
      </c>
      <c r="M190" s="3398" t="e">
        <f t="shared" si="7"/>
        <v>#N/A</v>
      </c>
    </row>
    <row r="191" spans="1:13" ht="12.75">
      <c r="A191" s="466">
        <f t="shared" si="8"/>
        <v>2028.02</v>
      </c>
      <c r="B191" s="3390" t="e">
        <f t="shared" si="4"/>
        <v>#N/A</v>
      </c>
      <c r="C191" s="983" t="e">
        <v>#N/A</v>
      </c>
      <c r="D191" s="3391" t="e">
        <v>#N/A</v>
      </c>
      <c r="E191" s="3392" t="e">
        <f t="shared" si="5"/>
        <v>#N/A</v>
      </c>
      <c r="F191" s="983" t="e">
        <v>#N/A</v>
      </c>
      <c r="G191" s="3393" t="e">
        <v>#N/A</v>
      </c>
      <c r="H191" s="3394" t="e">
        <f t="shared" si="6"/>
        <v>#N/A</v>
      </c>
      <c r="I191" s="3395" t="e">
        <v>#N/A</v>
      </c>
      <c r="J191" s="3391" t="e">
        <v>#N/A</v>
      </c>
      <c r="K191" s="3396" t="e">
        <v>#N/A</v>
      </c>
      <c r="L191" s="3393" t="e">
        <v>#N/A</v>
      </c>
      <c r="M191" s="3398" t="e">
        <f t="shared" si="7"/>
        <v>#N/A</v>
      </c>
    </row>
    <row r="192" spans="1:13" ht="12.75">
      <c r="A192" s="466">
        <f t="shared" si="8"/>
        <v>2028.03</v>
      </c>
      <c r="B192" s="3390" t="e">
        <f t="shared" si="4"/>
        <v>#N/A</v>
      </c>
      <c r="C192" s="983" t="e">
        <v>#N/A</v>
      </c>
      <c r="D192" s="3391" t="e">
        <v>#N/A</v>
      </c>
      <c r="E192" s="3392" t="e">
        <f t="shared" si="5"/>
        <v>#N/A</v>
      </c>
      <c r="F192" s="983" t="e">
        <v>#N/A</v>
      </c>
      <c r="G192" s="3393" t="e">
        <v>#N/A</v>
      </c>
      <c r="H192" s="3394" t="e">
        <f t="shared" si="6"/>
        <v>#N/A</v>
      </c>
      <c r="I192" s="3395" t="e">
        <v>#N/A</v>
      </c>
      <c r="J192" s="3391" t="e">
        <v>#N/A</v>
      </c>
      <c r="K192" s="3396" t="e">
        <v>#N/A</v>
      </c>
      <c r="L192" s="3393" t="e">
        <v>#N/A</v>
      </c>
      <c r="M192" s="3398" t="e">
        <f t="shared" si="7"/>
        <v>#N/A</v>
      </c>
    </row>
    <row r="193" spans="1:13" ht="12.75">
      <c r="A193" s="466">
        <f t="shared" si="8"/>
        <v>2028.04</v>
      </c>
      <c r="B193" s="3390" t="e">
        <f t="shared" si="4"/>
        <v>#N/A</v>
      </c>
      <c r="C193" s="983" t="e">
        <v>#N/A</v>
      </c>
      <c r="D193" s="3391" t="e">
        <v>#N/A</v>
      </c>
      <c r="E193" s="3392" t="e">
        <f t="shared" si="5"/>
        <v>#N/A</v>
      </c>
      <c r="F193" s="983" t="e">
        <v>#N/A</v>
      </c>
      <c r="G193" s="3393" t="e">
        <v>#N/A</v>
      </c>
      <c r="H193" s="3394" t="e">
        <f t="shared" si="6"/>
        <v>#N/A</v>
      </c>
      <c r="I193" s="3395" t="e">
        <v>#N/A</v>
      </c>
      <c r="J193" s="3391" t="e">
        <v>#N/A</v>
      </c>
      <c r="K193" s="3396" t="e">
        <v>#N/A</v>
      </c>
      <c r="L193" s="3393" t="e">
        <v>#N/A</v>
      </c>
      <c r="M193" s="3398" t="e">
        <f t="shared" si="7"/>
        <v>#N/A</v>
      </c>
    </row>
    <row r="194" spans="1:13" ht="12.75">
      <c r="A194" s="466">
        <f t="shared" si="8"/>
        <v>2028.05</v>
      </c>
      <c r="B194" s="3390" t="e">
        <f t="shared" si="4"/>
        <v>#N/A</v>
      </c>
      <c r="C194" s="983" t="e">
        <v>#N/A</v>
      </c>
      <c r="D194" s="3391" t="e">
        <v>#N/A</v>
      </c>
      <c r="E194" s="3392" t="e">
        <f t="shared" si="5"/>
        <v>#N/A</v>
      </c>
      <c r="F194" s="983" t="e">
        <v>#N/A</v>
      </c>
      <c r="G194" s="3393" t="e">
        <v>#N/A</v>
      </c>
      <c r="H194" s="3394" t="e">
        <f t="shared" si="6"/>
        <v>#N/A</v>
      </c>
      <c r="I194" s="3395" t="e">
        <v>#N/A</v>
      </c>
      <c r="J194" s="3391" t="e">
        <v>#N/A</v>
      </c>
      <c r="K194" s="3396" t="e">
        <v>#N/A</v>
      </c>
      <c r="L194" s="3393" t="e">
        <v>#N/A</v>
      </c>
      <c r="M194" s="3398" t="e">
        <f t="shared" si="7"/>
        <v>#N/A</v>
      </c>
    </row>
    <row r="195" spans="1:13" ht="12.75">
      <c r="A195" s="466">
        <f t="shared" si="8"/>
        <v>2028.06</v>
      </c>
      <c r="B195" s="3390" t="e">
        <f t="shared" si="4"/>
        <v>#N/A</v>
      </c>
      <c r="C195" s="983" t="e">
        <v>#N/A</v>
      </c>
      <c r="D195" s="3391" t="e">
        <v>#N/A</v>
      </c>
      <c r="E195" s="3392" t="e">
        <f t="shared" si="5"/>
        <v>#N/A</v>
      </c>
      <c r="F195" s="983" t="e">
        <v>#N/A</v>
      </c>
      <c r="G195" s="3393" t="e">
        <v>#N/A</v>
      </c>
      <c r="H195" s="3394" t="e">
        <f t="shared" si="6"/>
        <v>#N/A</v>
      </c>
      <c r="I195" s="3395" t="e">
        <v>#N/A</v>
      </c>
      <c r="J195" s="3391" t="e">
        <v>#N/A</v>
      </c>
      <c r="K195" s="3396" t="e">
        <v>#N/A</v>
      </c>
      <c r="L195" s="3393" t="e">
        <v>#N/A</v>
      </c>
      <c r="M195" s="3398" t="e">
        <f t="shared" si="7"/>
        <v>#N/A</v>
      </c>
    </row>
    <row r="196" spans="1:13" ht="12.75">
      <c r="A196" s="466">
        <f t="shared" si="8"/>
        <v>2028.07</v>
      </c>
      <c r="B196" s="3390" t="e">
        <f t="shared" si="4"/>
        <v>#N/A</v>
      </c>
      <c r="C196" s="983" t="e">
        <v>#N/A</v>
      </c>
      <c r="D196" s="3391" t="e">
        <v>#N/A</v>
      </c>
      <c r="E196" s="3392" t="e">
        <f t="shared" si="5"/>
        <v>#N/A</v>
      </c>
      <c r="F196" s="983" t="e">
        <v>#N/A</v>
      </c>
      <c r="G196" s="3393" t="e">
        <v>#N/A</v>
      </c>
      <c r="H196" s="3394" t="e">
        <f t="shared" si="6"/>
        <v>#N/A</v>
      </c>
      <c r="I196" s="3395" t="e">
        <v>#N/A</v>
      </c>
      <c r="J196" s="3391" t="e">
        <v>#N/A</v>
      </c>
      <c r="K196" s="3396" t="e">
        <v>#N/A</v>
      </c>
      <c r="L196" s="3393" t="e">
        <v>#N/A</v>
      </c>
      <c r="M196" s="3398" t="e">
        <f t="shared" si="7"/>
        <v>#N/A</v>
      </c>
    </row>
    <row r="197" spans="1:13" ht="12.75">
      <c r="A197" s="466">
        <f t="shared" si="8"/>
        <v>2028.08</v>
      </c>
      <c r="B197" s="3390" t="e">
        <f t="shared" si="4"/>
        <v>#N/A</v>
      </c>
      <c r="C197" s="983" t="e">
        <v>#N/A</v>
      </c>
      <c r="D197" s="3391" t="e">
        <v>#N/A</v>
      </c>
      <c r="E197" s="3392" t="e">
        <f t="shared" si="5"/>
        <v>#N/A</v>
      </c>
      <c r="F197" s="983" t="e">
        <v>#N/A</v>
      </c>
      <c r="G197" s="3393" t="e">
        <v>#N/A</v>
      </c>
      <c r="H197" s="3394" t="e">
        <f t="shared" si="6"/>
        <v>#N/A</v>
      </c>
      <c r="I197" s="3395" t="e">
        <v>#N/A</v>
      </c>
      <c r="J197" s="3391" t="e">
        <v>#N/A</v>
      </c>
      <c r="K197" s="3396" t="e">
        <v>#N/A</v>
      </c>
      <c r="L197" s="3393" t="e">
        <v>#N/A</v>
      </c>
      <c r="M197" s="3398" t="e">
        <f t="shared" si="7"/>
        <v>#N/A</v>
      </c>
    </row>
    <row r="198" spans="1:13" ht="12.75">
      <c r="A198" s="466">
        <f t="shared" si="8"/>
        <v>2028.09</v>
      </c>
      <c r="B198" s="3390" t="e">
        <f t="shared" si="4"/>
        <v>#N/A</v>
      </c>
      <c r="C198" s="983" t="e">
        <v>#N/A</v>
      </c>
      <c r="D198" s="3391" t="e">
        <v>#N/A</v>
      </c>
      <c r="E198" s="3392" t="e">
        <f t="shared" si="5"/>
        <v>#N/A</v>
      </c>
      <c r="F198" s="983" t="e">
        <v>#N/A</v>
      </c>
      <c r="G198" s="3393" t="e">
        <v>#N/A</v>
      </c>
      <c r="H198" s="3394" t="e">
        <f t="shared" si="6"/>
        <v>#N/A</v>
      </c>
      <c r="I198" s="3395" t="e">
        <v>#N/A</v>
      </c>
      <c r="J198" s="3391" t="e">
        <v>#N/A</v>
      </c>
      <c r="K198" s="3396" t="e">
        <v>#N/A</v>
      </c>
      <c r="L198" s="3393" t="e">
        <v>#N/A</v>
      </c>
      <c r="M198" s="3398" t="e">
        <f t="shared" si="7"/>
        <v>#N/A</v>
      </c>
    </row>
    <row r="199" spans="1:13" ht="12.75">
      <c r="A199" s="466">
        <f t="shared" si="8"/>
        <v>2028.1</v>
      </c>
      <c r="B199" s="3390" t="e">
        <f t="shared" si="4"/>
        <v>#N/A</v>
      </c>
      <c r="C199" s="983" t="e">
        <v>#N/A</v>
      </c>
      <c r="D199" s="3391" t="e">
        <v>#N/A</v>
      </c>
      <c r="E199" s="3392" t="e">
        <f t="shared" si="5"/>
        <v>#N/A</v>
      </c>
      <c r="F199" s="983" t="e">
        <v>#N/A</v>
      </c>
      <c r="G199" s="3393" t="e">
        <v>#N/A</v>
      </c>
      <c r="H199" s="3394" t="e">
        <f t="shared" si="6"/>
        <v>#N/A</v>
      </c>
      <c r="I199" s="3395" t="e">
        <v>#N/A</v>
      </c>
      <c r="J199" s="3391" t="e">
        <v>#N/A</v>
      </c>
      <c r="K199" s="3396" t="e">
        <v>#N/A</v>
      </c>
      <c r="L199" s="3393" t="e">
        <v>#N/A</v>
      </c>
      <c r="M199" s="3398" t="e">
        <f t="shared" si="7"/>
        <v>#N/A</v>
      </c>
    </row>
    <row r="200" spans="1:13" ht="12.75">
      <c r="A200" s="466">
        <f t="shared" si="8"/>
        <v>2028.11</v>
      </c>
      <c r="B200" s="3390" t="e">
        <f t="shared" si="4"/>
        <v>#N/A</v>
      </c>
      <c r="C200" s="983" t="e">
        <v>#N/A</v>
      </c>
      <c r="D200" s="3391" t="e">
        <v>#N/A</v>
      </c>
      <c r="E200" s="3392" t="e">
        <f t="shared" si="5"/>
        <v>#N/A</v>
      </c>
      <c r="F200" s="983" t="e">
        <v>#N/A</v>
      </c>
      <c r="G200" s="3393" t="e">
        <v>#N/A</v>
      </c>
      <c r="H200" s="3394" t="e">
        <f t="shared" si="6"/>
        <v>#N/A</v>
      </c>
      <c r="I200" s="3395" t="e">
        <v>#N/A</v>
      </c>
      <c r="J200" s="3391" t="e">
        <v>#N/A</v>
      </c>
      <c r="K200" s="3396" t="e">
        <v>#N/A</v>
      </c>
      <c r="L200" s="3393" t="e">
        <v>#N/A</v>
      </c>
      <c r="M200" s="3398" t="e">
        <f t="shared" si="7"/>
        <v>#N/A</v>
      </c>
    </row>
    <row r="201" spans="1:13" ht="12.75">
      <c r="A201" s="466">
        <f t="shared" si="8"/>
        <v>2028.12</v>
      </c>
      <c r="B201" s="3390" t="e">
        <f t="shared" si="4"/>
        <v>#N/A</v>
      </c>
      <c r="C201" s="983" t="e">
        <v>#N/A</v>
      </c>
      <c r="D201" s="3391" t="e">
        <v>#N/A</v>
      </c>
      <c r="E201" s="3392" t="e">
        <f t="shared" si="5"/>
        <v>#N/A</v>
      </c>
      <c r="F201" s="983" t="e">
        <v>#N/A</v>
      </c>
      <c r="G201" s="3393" t="e">
        <v>#N/A</v>
      </c>
      <c r="H201" s="3394" t="e">
        <f t="shared" si="6"/>
        <v>#N/A</v>
      </c>
      <c r="I201" s="3395" t="e">
        <v>#N/A</v>
      </c>
      <c r="J201" s="3391" t="e">
        <v>#N/A</v>
      </c>
      <c r="K201" s="3396" t="e">
        <v>#N/A</v>
      </c>
      <c r="L201" s="3393" t="e">
        <v>#N/A</v>
      </c>
      <c r="M201" s="3398" t="e">
        <f t="shared" si="7"/>
        <v>#N/A</v>
      </c>
    </row>
    <row r="202" spans="1:13" ht="12.75">
      <c r="A202" s="466">
        <f t="shared" si="8"/>
        <v>2029.01</v>
      </c>
      <c r="B202" s="3390" t="e">
        <f t="shared" si="4"/>
        <v>#N/A</v>
      </c>
      <c r="C202" s="983" t="e">
        <v>#N/A</v>
      </c>
      <c r="D202" s="3391" t="e">
        <v>#N/A</v>
      </c>
      <c r="E202" s="3392" t="e">
        <f t="shared" si="5"/>
        <v>#N/A</v>
      </c>
      <c r="F202" s="983" t="e">
        <v>#N/A</v>
      </c>
      <c r="G202" s="3393" t="e">
        <v>#N/A</v>
      </c>
      <c r="H202" s="3394" t="e">
        <f t="shared" si="6"/>
        <v>#N/A</v>
      </c>
      <c r="I202" s="3395" t="e">
        <v>#N/A</v>
      </c>
      <c r="J202" s="3391" t="e">
        <v>#N/A</v>
      </c>
      <c r="K202" s="3396" t="e">
        <v>#N/A</v>
      </c>
      <c r="L202" s="3393" t="e">
        <v>#N/A</v>
      </c>
      <c r="M202" s="3398" t="e">
        <f t="shared" si="7"/>
        <v>#N/A</v>
      </c>
    </row>
    <row r="203" spans="1:13" ht="12.75">
      <c r="A203" s="466">
        <f t="shared" si="8"/>
        <v>2029.02</v>
      </c>
      <c r="B203" s="3390" t="e">
        <f t="shared" si="4"/>
        <v>#N/A</v>
      </c>
      <c r="C203" s="983" t="e">
        <v>#N/A</v>
      </c>
      <c r="D203" s="3391" t="e">
        <v>#N/A</v>
      </c>
      <c r="E203" s="3392" t="e">
        <f t="shared" si="5"/>
        <v>#N/A</v>
      </c>
      <c r="F203" s="983" t="e">
        <v>#N/A</v>
      </c>
      <c r="G203" s="3393" t="e">
        <v>#N/A</v>
      </c>
      <c r="H203" s="3394" t="e">
        <f t="shared" si="6"/>
        <v>#N/A</v>
      </c>
      <c r="I203" s="3395" t="e">
        <v>#N/A</v>
      </c>
      <c r="J203" s="3391" t="e">
        <v>#N/A</v>
      </c>
      <c r="K203" s="3396" t="e">
        <v>#N/A</v>
      </c>
      <c r="L203" s="3393" t="e">
        <v>#N/A</v>
      </c>
      <c r="M203" s="3398" t="e">
        <f t="shared" si="7"/>
        <v>#N/A</v>
      </c>
    </row>
    <row r="204" spans="1:13" ht="12.75">
      <c r="A204" s="466">
        <f t="shared" si="8"/>
        <v>2029.03</v>
      </c>
      <c r="B204" s="3390" t="e">
        <f t="shared" si="4"/>
        <v>#N/A</v>
      </c>
      <c r="C204" s="983" t="e">
        <v>#N/A</v>
      </c>
      <c r="D204" s="3391" t="e">
        <v>#N/A</v>
      </c>
      <c r="E204" s="3392" t="e">
        <f t="shared" si="5"/>
        <v>#N/A</v>
      </c>
      <c r="F204" s="983" t="e">
        <v>#N/A</v>
      </c>
      <c r="G204" s="3393" t="e">
        <v>#N/A</v>
      </c>
      <c r="H204" s="3394" t="e">
        <f t="shared" si="6"/>
        <v>#N/A</v>
      </c>
      <c r="I204" s="3395" t="e">
        <v>#N/A</v>
      </c>
      <c r="J204" s="3391" t="e">
        <v>#N/A</v>
      </c>
      <c r="K204" s="3396" t="e">
        <v>#N/A</v>
      </c>
      <c r="L204" s="3393" t="e">
        <v>#N/A</v>
      </c>
      <c r="M204" s="3398" t="e">
        <f t="shared" si="7"/>
        <v>#N/A</v>
      </c>
    </row>
    <row r="205" spans="1:13" ht="12.75">
      <c r="A205" s="466">
        <f t="shared" si="8"/>
        <v>2029.04</v>
      </c>
      <c r="B205" s="3390" t="e">
        <f t="shared" si="4"/>
        <v>#N/A</v>
      </c>
      <c r="C205" s="983" t="e">
        <v>#N/A</v>
      </c>
      <c r="D205" s="3391" t="e">
        <v>#N/A</v>
      </c>
      <c r="E205" s="3392" t="e">
        <f t="shared" si="5"/>
        <v>#N/A</v>
      </c>
      <c r="F205" s="983" t="e">
        <v>#N/A</v>
      </c>
      <c r="G205" s="3393" t="e">
        <v>#N/A</v>
      </c>
      <c r="H205" s="3394" t="e">
        <f t="shared" si="6"/>
        <v>#N/A</v>
      </c>
      <c r="I205" s="3395" t="e">
        <v>#N/A</v>
      </c>
      <c r="J205" s="3391" t="e">
        <v>#N/A</v>
      </c>
      <c r="K205" s="3396" t="e">
        <v>#N/A</v>
      </c>
      <c r="L205" s="3393" t="e">
        <v>#N/A</v>
      </c>
      <c r="M205" s="3398" t="e">
        <f t="shared" si="7"/>
        <v>#N/A</v>
      </c>
    </row>
    <row r="206" spans="1:13" ht="12.75">
      <c r="A206" s="466">
        <f t="shared" si="8"/>
        <v>2029.05</v>
      </c>
      <c r="B206" s="3390" t="e">
        <f t="shared" si="4"/>
        <v>#N/A</v>
      </c>
      <c r="C206" s="983" t="e">
        <v>#N/A</v>
      </c>
      <c r="D206" s="3391" t="e">
        <v>#N/A</v>
      </c>
      <c r="E206" s="3392" t="e">
        <f t="shared" si="5"/>
        <v>#N/A</v>
      </c>
      <c r="F206" s="983" t="e">
        <v>#N/A</v>
      </c>
      <c r="G206" s="3393" t="e">
        <v>#N/A</v>
      </c>
      <c r="H206" s="3394" t="e">
        <f t="shared" si="6"/>
        <v>#N/A</v>
      </c>
      <c r="I206" s="3395" t="e">
        <v>#N/A</v>
      </c>
      <c r="J206" s="3391" t="e">
        <v>#N/A</v>
      </c>
      <c r="K206" s="3396" t="e">
        <v>#N/A</v>
      </c>
      <c r="L206" s="3393" t="e">
        <v>#N/A</v>
      </c>
      <c r="M206" s="3398" t="e">
        <f t="shared" si="7"/>
        <v>#N/A</v>
      </c>
    </row>
    <row r="207" spans="1:13" ht="12.75">
      <c r="A207" s="466">
        <f t="shared" si="8"/>
        <v>2029.06</v>
      </c>
      <c r="B207" s="3390" t="e">
        <f t="shared" ref="B207:B225" si="9">C207+D207</f>
        <v>#N/A</v>
      </c>
      <c r="C207" s="983" t="e">
        <v>#N/A</v>
      </c>
      <c r="D207" s="3391" t="e">
        <v>#N/A</v>
      </c>
      <c r="E207" s="3392" t="e">
        <f t="shared" ref="E207:E225" si="10">F207+G207</f>
        <v>#N/A</v>
      </c>
      <c r="F207" s="983" t="e">
        <v>#N/A</v>
      </c>
      <c r="G207" s="3393" t="e">
        <v>#N/A</v>
      </c>
      <c r="H207" s="3394" t="e">
        <f t="shared" ref="H207:H225" si="11">B207+E207</f>
        <v>#N/A</v>
      </c>
      <c r="I207" s="3395" t="e">
        <v>#N/A</v>
      </c>
      <c r="J207" s="3391" t="e">
        <v>#N/A</v>
      </c>
      <c r="K207" s="3396" t="e">
        <v>#N/A</v>
      </c>
      <c r="L207" s="3393" t="e">
        <v>#N/A</v>
      </c>
      <c r="M207" s="3398" t="e">
        <f t="shared" si="7"/>
        <v>#N/A</v>
      </c>
    </row>
    <row r="208" spans="1:13" ht="12.75">
      <c r="A208" s="466">
        <f t="shared" si="8"/>
        <v>2029.07</v>
      </c>
      <c r="B208" s="3390" t="e">
        <f t="shared" si="9"/>
        <v>#N/A</v>
      </c>
      <c r="C208" s="983" t="e">
        <v>#N/A</v>
      </c>
      <c r="D208" s="3391" t="e">
        <v>#N/A</v>
      </c>
      <c r="E208" s="3392" t="e">
        <f t="shared" si="10"/>
        <v>#N/A</v>
      </c>
      <c r="F208" s="983" t="e">
        <v>#N/A</v>
      </c>
      <c r="G208" s="3393" t="e">
        <v>#N/A</v>
      </c>
      <c r="H208" s="3394" t="e">
        <f t="shared" si="11"/>
        <v>#N/A</v>
      </c>
      <c r="I208" s="3395" t="e">
        <v>#N/A</v>
      </c>
      <c r="J208" s="3391" t="e">
        <v>#N/A</v>
      </c>
      <c r="K208" s="3396" t="e">
        <v>#N/A</v>
      </c>
      <c r="L208" s="3393" t="e">
        <v>#N/A</v>
      </c>
      <c r="M208" s="3398" t="e">
        <f t="shared" ref="M208:M225" si="12">+SUM(I208:L208)</f>
        <v>#N/A</v>
      </c>
    </row>
    <row r="209" spans="1:13" ht="12.75">
      <c r="A209" s="466">
        <f t="shared" si="8"/>
        <v>2029.08</v>
      </c>
      <c r="B209" s="3390" t="e">
        <f t="shared" si="9"/>
        <v>#N/A</v>
      </c>
      <c r="C209" s="983" t="e">
        <v>#N/A</v>
      </c>
      <c r="D209" s="3391" t="e">
        <v>#N/A</v>
      </c>
      <c r="E209" s="3392" t="e">
        <f t="shared" si="10"/>
        <v>#N/A</v>
      </c>
      <c r="F209" s="983" t="e">
        <v>#N/A</v>
      </c>
      <c r="G209" s="3393" t="e">
        <v>#N/A</v>
      </c>
      <c r="H209" s="3394" t="e">
        <f t="shared" si="11"/>
        <v>#N/A</v>
      </c>
      <c r="I209" s="3395" t="e">
        <v>#N/A</v>
      </c>
      <c r="J209" s="3391" t="e">
        <v>#N/A</v>
      </c>
      <c r="K209" s="3396" t="e">
        <v>#N/A</v>
      </c>
      <c r="L209" s="3393" t="e">
        <v>#N/A</v>
      </c>
      <c r="M209" s="3398" t="e">
        <f t="shared" si="12"/>
        <v>#N/A</v>
      </c>
    </row>
    <row r="210" spans="1:13" ht="12.75">
      <c r="A210" s="466">
        <f t="shared" si="8"/>
        <v>2029.09</v>
      </c>
      <c r="B210" s="3390" t="e">
        <f t="shared" si="9"/>
        <v>#N/A</v>
      </c>
      <c r="C210" s="983" t="e">
        <v>#N/A</v>
      </c>
      <c r="D210" s="3391" t="e">
        <v>#N/A</v>
      </c>
      <c r="E210" s="3392" t="e">
        <f t="shared" si="10"/>
        <v>#N/A</v>
      </c>
      <c r="F210" s="983" t="e">
        <v>#N/A</v>
      </c>
      <c r="G210" s="3393" t="e">
        <v>#N/A</v>
      </c>
      <c r="H210" s="3394" t="e">
        <f t="shared" si="11"/>
        <v>#N/A</v>
      </c>
      <c r="I210" s="3395" t="e">
        <v>#N/A</v>
      </c>
      <c r="J210" s="3391" t="e">
        <v>#N/A</v>
      </c>
      <c r="K210" s="3396" t="e">
        <v>#N/A</v>
      </c>
      <c r="L210" s="3393" t="e">
        <v>#N/A</v>
      </c>
      <c r="M210" s="3398" t="e">
        <f t="shared" si="12"/>
        <v>#N/A</v>
      </c>
    </row>
    <row r="211" spans="1:13" ht="12.75">
      <c r="A211" s="466">
        <f t="shared" si="8"/>
        <v>2029.1</v>
      </c>
      <c r="B211" s="3390" t="e">
        <f t="shared" si="9"/>
        <v>#N/A</v>
      </c>
      <c r="C211" s="983" t="e">
        <v>#N/A</v>
      </c>
      <c r="D211" s="3391" t="e">
        <v>#N/A</v>
      </c>
      <c r="E211" s="3392" t="e">
        <f t="shared" si="10"/>
        <v>#N/A</v>
      </c>
      <c r="F211" s="983" t="e">
        <v>#N/A</v>
      </c>
      <c r="G211" s="3393" t="e">
        <v>#N/A</v>
      </c>
      <c r="H211" s="3394" t="e">
        <f t="shared" si="11"/>
        <v>#N/A</v>
      </c>
      <c r="I211" s="3395" t="e">
        <v>#N/A</v>
      </c>
      <c r="J211" s="3391" t="e">
        <v>#N/A</v>
      </c>
      <c r="K211" s="3396" t="e">
        <v>#N/A</v>
      </c>
      <c r="L211" s="3393" t="e">
        <v>#N/A</v>
      </c>
      <c r="M211" s="3398" t="e">
        <f t="shared" si="12"/>
        <v>#N/A</v>
      </c>
    </row>
    <row r="212" spans="1:13" ht="12.75">
      <c r="A212" s="466">
        <f t="shared" si="8"/>
        <v>2029.11</v>
      </c>
      <c r="B212" s="3390" t="e">
        <f t="shared" si="9"/>
        <v>#N/A</v>
      </c>
      <c r="C212" s="983" t="e">
        <v>#N/A</v>
      </c>
      <c r="D212" s="3391" t="e">
        <v>#N/A</v>
      </c>
      <c r="E212" s="3392" t="e">
        <f t="shared" si="10"/>
        <v>#N/A</v>
      </c>
      <c r="F212" s="983" t="e">
        <v>#N/A</v>
      </c>
      <c r="G212" s="3393" t="e">
        <v>#N/A</v>
      </c>
      <c r="H212" s="3394" t="e">
        <f t="shared" si="11"/>
        <v>#N/A</v>
      </c>
      <c r="I212" s="3395" t="e">
        <v>#N/A</v>
      </c>
      <c r="J212" s="3391" t="e">
        <v>#N/A</v>
      </c>
      <c r="K212" s="3396" t="e">
        <v>#N/A</v>
      </c>
      <c r="L212" s="3393" t="e">
        <v>#N/A</v>
      </c>
      <c r="M212" s="3398" t="e">
        <f t="shared" si="12"/>
        <v>#N/A</v>
      </c>
    </row>
    <row r="213" spans="1:13" ht="12.75">
      <c r="A213" s="466">
        <f t="shared" si="8"/>
        <v>2029.12</v>
      </c>
      <c r="B213" s="3390" t="e">
        <f t="shared" si="9"/>
        <v>#N/A</v>
      </c>
      <c r="C213" s="983" t="e">
        <v>#N/A</v>
      </c>
      <c r="D213" s="3391" t="e">
        <v>#N/A</v>
      </c>
      <c r="E213" s="3392" t="e">
        <f t="shared" si="10"/>
        <v>#N/A</v>
      </c>
      <c r="F213" s="983" t="e">
        <v>#N/A</v>
      </c>
      <c r="G213" s="3393" t="e">
        <v>#N/A</v>
      </c>
      <c r="H213" s="3394" t="e">
        <f t="shared" si="11"/>
        <v>#N/A</v>
      </c>
      <c r="I213" s="3395" t="e">
        <v>#N/A</v>
      </c>
      <c r="J213" s="3391" t="e">
        <v>#N/A</v>
      </c>
      <c r="K213" s="3396" t="e">
        <v>#N/A</v>
      </c>
      <c r="L213" s="3393" t="e">
        <v>#N/A</v>
      </c>
      <c r="M213" s="3398" t="e">
        <f t="shared" si="12"/>
        <v>#N/A</v>
      </c>
    </row>
    <row r="214" spans="1:13" ht="12.75">
      <c r="A214" s="466">
        <f t="shared" si="8"/>
        <v>2030.01</v>
      </c>
      <c r="B214" s="3390" t="e">
        <f t="shared" si="9"/>
        <v>#N/A</v>
      </c>
      <c r="C214" s="983" t="e">
        <v>#N/A</v>
      </c>
      <c r="D214" s="3391" t="e">
        <v>#N/A</v>
      </c>
      <c r="E214" s="3392" t="e">
        <f t="shared" si="10"/>
        <v>#N/A</v>
      </c>
      <c r="F214" s="983" t="e">
        <v>#N/A</v>
      </c>
      <c r="G214" s="3393" t="e">
        <v>#N/A</v>
      </c>
      <c r="H214" s="3394" t="e">
        <f t="shared" si="11"/>
        <v>#N/A</v>
      </c>
      <c r="I214" s="3395" t="e">
        <v>#N/A</v>
      </c>
      <c r="J214" s="3391" t="e">
        <v>#N/A</v>
      </c>
      <c r="K214" s="3396" t="e">
        <v>#N/A</v>
      </c>
      <c r="L214" s="3393" t="e">
        <v>#N/A</v>
      </c>
      <c r="M214" s="3398" t="e">
        <f t="shared" si="12"/>
        <v>#N/A</v>
      </c>
    </row>
    <row r="215" spans="1:13" ht="12.75">
      <c r="A215" s="466">
        <f t="shared" si="8"/>
        <v>2030.02</v>
      </c>
      <c r="B215" s="3390" t="e">
        <f t="shared" si="9"/>
        <v>#N/A</v>
      </c>
      <c r="C215" s="983" t="e">
        <v>#N/A</v>
      </c>
      <c r="D215" s="3391" t="e">
        <v>#N/A</v>
      </c>
      <c r="E215" s="3392" t="e">
        <f t="shared" si="10"/>
        <v>#N/A</v>
      </c>
      <c r="F215" s="983" t="e">
        <v>#N/A</v>
      </c>
      <c r="G215" s="3393" t="e">
        <v>#N/A</v>
      </c>
      <c r="H215" s="3394" t="e">
        <f t="shared" si="11"/>
        <v>#N/A</v>
      </c>
      <c r="I215" s="3395" t="e">
        <v>#N/A</v>
      </c>
      <c r="J215" s="3391" t="e">
        <v>#N/A</v>
      </c>
      <c r="K215" s="3396" t="e">
        <v>#N/A</v>
      </c>
      <c r="L215" s="3393" t="e">
        <v>#N/A</v>
      </c>
      <c r="M215" s="3398" t="e">
        <f t="shared" si="12"/>
        <v>#N/A</v>
      </c>
    </row>
    <row r="216" spans="1:13" ht="12.75">
      <c r="A216" s="466">
        <f t="shared" si="8"/>
        <v>2030.03</v>
      </c>
      <c r="B216" s="3390" t="e">
        <f t="shared" si="9"/>
        <v>#N/A</v>
      </c>
      <c r="C216" s="983" t="e">
        <v>#N/A</v>
      </c>
      <c r="D216" s="3391" t="e">
        <v>#N/A</v>
      </c>
      <c r="E216" s="3392" t="e">
        <f t="shared" si="10"/>
        <v>#N/A</v>
      </c>
      <c r="F216" s="983" t="e">
        <v>#N/A</v>
      </c>
      <c r="G216" s="3393" t="e">
        <v>#N/A</v>
      </c>
      <c r="H216" s="3394" t="e">
        <f t="shared" si="11"/>
        <v>#N/A</v>
      </c>
      <c r="I216" s="3395" t="e">
        <v>#N/A</v>
      </c>
      <c r="J216" s="3391" t="e">
        <v>#N/A</v>
      </c>
      <c r="K216" s="3396" t="e">
        <v>#N/A</v>
      </c>
      <c r="L216" s="3393" t="e">
        <v>#N/A</v>
      </c>
      <c r="M216" s="3398" t="e">
        <f t="shared" si="12"/>
        <v>#N/A</v>
      </c>
    </row>
    <row r="217" spans="1:13" ht="12.75">
      <c r="A217" s="466">
        <f t="shared" si="8"/>
        <v>2030.04</v>
      </c>
      <c r="B217" s="3390" t="e">
        <f t="shared" si="9"/>
        <v>#N/A</v>
      </c>
      <c r="C217" s="983" t="e">
        <v>#N/A</v>
      </c>
      <c r="D217" s="3391" t="e">
        <v>#N/A</v>
      </c>
      <c r="E217" s="3392" t="e">
        <f t="shared" si="10"/>
        <v>#N/A</v>
      </c>
      <c r="F217" s="983" t="e">
        <v>#N/A</v>
      </c>
      <c r="G217" s="3393" t="e">
        <v>#N/A</v>
      </c>
      <c r="H217" s="3394" t="e">
        <f t="shared" si="11"/>
        <v>#N/A</v>
      </c>
      <c r="I217" s="3395" t="e">
        <v>#N/A</v>
      </c>
      <c r="J217" s="3391" t="e">
        <v>#N/A</v>
      </c>
      <c r="K217" s="3396" t="e">
        <v>#N/A</v>
      </c>
      <c r="L217" s="3393" t="e">
        <v>#N/A</v>
      </c>
      <c r="M217" s="3398" t="e">
        <f t="shared" si="12"/>
        <v>#N/A</v>
      </c>
    </row>
    <row r="218" spans="1:13" ht="12.75">
      <c r="A218" s="466">
        <f t="shared" si="8"/>
        <v>2030.05</v>
      </c>
      <c r="B218" s="3390" t="e">
        <f t="shared" si="9"/>
        <v>#N/A</v>
      </c>
      <c r="C218" s="983" t="e">
        <v>#N/A</v>
      </c>
      <c r="D218" s="3391" t="e">
        <v>#N/A</v>
      </c>
      <c r="E218" s="3392" t="e">
        <f t="shared" si="10"/>
        <v>#N/A</v>
      </c>
      <c r="F218" s="983" t="e">
        <v>#N/A</v>
      </c>
      <c r="G218" s="3393" t="e">
        <v>#N/A</v>
      </c>
      <c r="H218" s="3394" t="e">
        <f t="shared" si="11"/>
        <v>#N/A</v>
      </c>
      <c r="I218" s="3395" t="e">
        <v>#N/A</v>
      </c>
      <c r="J218" s="3391" t="e">
        <v>#N/A</v>
      </c>
      <c r="K218" s="3396" t="e">
        <v>#N/A</v>
      </c>
      <c r="L218" s="3393" t="e">
        <v>#N/A</v>
      </c>
      <c r="M218" s="3398" t="e">
        <f t="shared" si="12"/>
        <v>#N/A</v>
      </c>
    </row>
    <row r="219" spans="1:13" ht="12.75">
      <c r="A219" s="466">
        <f t="shared" si="8"/>
        <v>2030.06</v>
      </c>
      <c r="B219" s="3390" t="e">
        <f t="shared" si="9"/>
        <v>#N/A</v>
      </c>
      <c r="C219" s="983" t="e">
        <v>#N/A</v>
      </c>
      <c r="D219" s="3391" t="e">
        <v>#N/A</v>
      </c>
      <c r="E219" s="3392" t="e">
        <f t="shared" si="10"/>
        <v>#N/A</v>
      </c>
      <c r="F219" s="983" t="e">
        <v>#N/A</v>
      </c>
      <c r="G219" s="3393" t="e">
        <v>#N/A</v>
      </c>
      <c r="H219" s="3394" t="e">
        <f t="shared" si="11"/>
        <v>#N/A</v>
      </c>
      <c r="I219" s="3395" t="e">
        <v>#N/A</v>
      </c>
      <c r="J219" s="3391" t="e">
        <v>#N/A</v>
      </c>
      <c r="K219" s="3396" t="e">
        <v>#N/A</v>
      </c>
      <c r="L219" s="3393" t="e">
        <v>#N/A</v>
      </c>
      <c r="M219" s="3398" t="e">
        <f t="shared" si="12"/>
        <v>#N/A</v>
      </c>
    </row>
    <row r="220" spans="1:13" ht="12.75">
      <c r="A220" s="466">
        <f t="shared" si="8"/>
        <v>2030.07</v>
      </c>
      <c r="B220" s="3390" t="e">
        <f t="shared" si="9"/>
        <v>#N/A</v>
      </c>
      <c r="C220" s="983" t="e">
        <v>#N/A</v>
      </c>
      <c r="D220" s="3391" t="e">
        <v>#N/A</v>
      </c>
      <c r="E220" s="3392" t="e">
        <f t="shared" si="10"/>
        <v>#N/A</v>
      </c>
      <c r="F220" s="983" t="e">
        <v>#N/A</v>
      </c>
      <c r="G220" s="3393" t="e">
        <v>#N/A</v>
      </c>
      <c r="H220" s="3394" t="e">
        <f t="shared" si="11"/>
        <v>#N/A</v>
      </c>
      <c r="I220" s="3395" t="e">
        <v>#N/A</v>
      </c>
      <c r="J220" s="3391" t="e">
        <v>#N/A</v>
      </c>
      <c r="K220" s="3396" t="e">
        <v>#N/A</v>
      </c>
      <c r="L220" s="3393" t="e">
        <v>#N/A</v>
      </c>
      <c r="M220" s="3398" t="e">
        <f t="shared" si="12"/>
        <v>#N/A</v>
      </c>
    </row>
    <row r="221" spans="1:13" ht="12.75">
      <c r="A221" s="466">
        <f t="shared" si="8"/>
        <v>2030.08</v>
      </c>
      <c r="B221" s="3390" t="e">
        <f t="shared" si="9"/>
        <v>#N/A</v>
      </c>
      <c r="C221" s="983" t="e">
        <v>#N/A</v>
      </c>
      <c r="D221" s="3391" t="e">
        <v>#N/A</v>
      </c>
      <c r="E221" s="3392" t="e">
        <f t="shared" si="10"/>
        <v>#N/A</v>
      </c>
      <c r="F221" s="983" t="e">
        <v>#N/A</v>
      </c>
      <c r="G221" s="3393" t="e">
        <v>#N/A</v>
      </c>
      <c r="H221" s="3394" t="e">
        <f t="shared" si="11"/>
        <v>#N/A</v>
      </c>
      <c r="I221" s="3395" t="e">
        <v>#N/A</v>
      </c>
      <c r="J221" s="3391" t="e">
        <v>#N/A</v>
      </c>
      <c r="K221" s="3396" t="e">
        <v>#N/A</v>
      </c>
      <c r="L221" s="3393" t="e">
        <v>#N/A</v>
      </c>
      <c r="M221" s="3398" t="e">
        <f t="shared" si="12"/>
        <v>#N/A</v>
      </c>
    </row>
    <row r="222" spans="1:13" ht="12.75">
      <c r="A222" s="466">
        <f t="shared" si="8"/>
        <v>2030.09</v>
      </c>
      <c r="B222" s="3390" t="e">
        <f t="shared" si="9"/>
        <v>#N/A</v>
      </c>
      <c r="C222" s="983" t="e">
        <v>#N/A</v>
      </c>
      <c r="D222" s="3391" t="e">
        <v>#N/A</v>
      </c>
      <c r="E222" s="3392" t="e">
        <f t="shared" si="10"/>
        <v>#N/A</v>
      </c>
      <c r="F222" s="983" t="e">
        <v>#N/A</v>
      </c>
      <c r="G222" s="3393" t="e">
        <v>#N/A</v>
      </c>
      <c r="H222" s="3394" t="e">
        <f t="shared" si="11"/>
        <v>#N/A</v>
      </c>
      <c r="I222" s="3395" t="e">
        <v>#N/A</v>
      </c>
      <c r="J222" s="3391" t="e">
        <v>#N/A</v>
      </c>
      <c r="K222" s="3396" t="e">
        <v>#N/A</v>
      </c>
      <c r="L222" s="3393" t="e">
        <v>#N/A</v>
      </c>
      <c r="M222" s="3398" t="e">
        <f t="shared" si="12"/>
        <v>#N/A</v>
      </c>
    </row>
    <row r="223" spans="1:13" ht="12.75">
      <c r="A223" s="466">
        <f t="shared" si="8"/>
        <v>2030.1</v>
      </c>
      <c r="B223" s="3390" t="e">
        <f t="shared" si="9"/>
        <v>#N/A</v>
      </c>
      <c r="C223" s="983" t="e">
        <v>#N/A</v>
      </c>
      <c r="D223" s="3391" t="e">
        <v>#N/A</v>
      </c>
      <c r="E223" s="3392" t="e">
        <f t="shared" si="10"/>
        <v>#N/A</v>
      </c>
      <c r="F223" s="983" t="e">
        <v>#N/A</v>
      </c>
      <c r="G223" s="3393" t="e">
        <v>#N/A</v>
      </c>
      <c r="H223" s="3394" t="e">
        <f t="shared" si="11"/>
        <v>#N/A</v>
      </c>
      <c r="I223" s="3395" t="e">
        <v>#N/A</v>
      </c>
      <c r="J223" s="3391" t="e">
        <v>#N/A</v>
      </c>
      <c r="K223" s="3396" t="e">
        <v>#N/A</v>
      </c>
      <c r="L223" s="3393" t="e">
        <v>#N/A</v>
      </c>
      <c r="M223" s="3398" t="e">
        <f t="shared" si="12"/>
        <v>#N/A</v>
      </c>
    </row>
    <row r="224" spans="1:13" ht="12.75">
      <c r="A224" s="466">
        <f t="shared" si="8"/>
        <v>2030.11</v>
      </c>
      <c r="B224" s="3390" t="e">
        <f t="shared" si="9"/>
        <v>#N/A</v>
      </c>
      <c r="C224" s="983" t="e">
        <v>#N/A</v>
      </c>
      <c r="D224" s="3391" t="e">
        <v>#N/A</v>
      </c>
      <c r="E224" s="3392" t="e">
        <f t="shared" si="10"/>
        <v>#N/A</v>
      </c>
      <c r="F224" s="983" t="e">
        <v>#N/A</v>
      </c>
      <c r="G224" s="3393" t="e">
        <v>#N/A</v>
      </c>
      <c r="H224" s="3394" t="e">
        <f t="shared" si="11"/>
        <v>#N/A</v>
      </c>
      <c r="I224" s="3395" t="e">
        <v>#N/A</v>
      </c>
      <c r="J224" s="3391" t="e">
        <v>#N/A</v>
      </c>
      <c r="K224" s="3396" t="e">
        <v>#N/A</v>
      </c>
      <c r="L224" s="3393" t="e">
        <v>#N/A</v>
      </c>
      <c r="M224" s="3398" t="e">
        <f t="shared" si="12"/>
        <v>#N/A</v>
      </c>
    </row>
    <row r="225" spans="1:13" ht="12.75">
      <c r="A225" s="466">
        <f t="shared" si="8"/>
        <v>2030.12</v>
      </c>
      <c r="B225" s="3390" t="e">
        <f t="shared" si="9"/>
        <v>#N/A</v>
      </c>
      <c r="C225" s="983" t="e">
        <v>#N/A</v>
      </c>
      <c r="D225" s="3391" t="e">
        <v>#N/A</v>
      </c>
      <c r="E225" s="3392" t="e">
        <f t="shared" si="10"/>
        <v>#N/A</v>
      </c>
      <c r="F225" s="983" t="e">
        <v>#N/A</v>
      </c>
      <c r="G225" s="3393" t="e">
        <v>#N/A</v>
      </c>
      <c r="H225" s="3394" t="e">
        <f t="shared" si="11"/>
        <v>#N/A</v>
      </c>
      <c r="I225" s="3395" t="e">
        <v>#N/A</v>
      </c>
      <c r="J225" s="3391" t="e">
        <v>#N/A</v>
      </c>
      <c r="K225" s="3396" t="e">
        <v>#N/A</v>
      </c>
      <c r="L225" s="3393" t="e">
        <v>#N/A</v>
      </c>
      <c r="M225" s="3398" t="e">
        <f t="shared" si="12"/>
        <v>#N/A</v>
      </c>
    </row>
  </sheetData>
  <hyperlinks>
    <hyperlink ref="A5" location="INDICE!A13" display="VOLVER AL INDICE" xr:uid="{C936DC79-5134-4536-B385-AB85957E4274}"/>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B8C08-5D90-4744-AA5D-6B6AB18B8C44}">
  <dimension ref="A1:K225"/>
  <sheetViews>
    <sheetView topLeftCell="A2" zoomScaleNormal="100" workbookViewId="0">
      <pane xSplit="1" ySplit="8" topLeftCell="B10" activePane="bottomRight" state="frozen"/>
      <selection activeCell="A2" sqref="A2"/>
      <selection pane="topRight" activeCell="B2" sqref="B2"/>
      <selection pane="bottomLeft" activeCell="A10" sqref="A10"/>
      <selection pane="bottomRight" activeCell="B10" sqref="B10"/>
    </sheetView>
  </sheetViews>
  <sheetFormatPr baseColWidth="10" defaultColWidth="9.140625" defaultRowHeight="15"/>
  <cols>
    <col min="1" max="1" width="9.140625" style="2664"/>
    <col min="2" max="11" width="16.5703125" style="2664" customWidth="1"/>
    <col min="12" max="16384" width="9.140625" style="2663"/>
  </cols>
  <sheetData>
    <row r="1" spans="1:11" hidden="1">
      <c r="A1" s="2761"/>
      <c r="B1" s="2679"/>
      <c r="C1" s="2679"/>
      <c r="D1" s="2679"/>
      <c r="E1" s="2685"/>
      <c r="F1" s="2680"/>
      <c r="G1" s="2679"/>
      <c r="H1" s="2679"/>
      <c r="I1" s="2679"/>
      <c r="J1" s="2685"/>
      <c r="K1" s="2677"/>
    </row>
    <row r="2" spans="1:11">
      <c r="A2" s="2853" t="s">
        <v>99</v>
      </c>
      <c r="B2" s="2684" t="s">
        <v>723</v>
      </c>
      <c r="C2" s="2854"/>
      <c r="D2" s="2854"/>
      <c r="E2" s="2855"/>
      <c r="F2" s="2683"/>
      <c r="G2" s="2682"/>
      <c r="H2" s="2854"/>
      <c r="I2" s="2854"/>
      <c r="J2" s="2855"/>
      <c r="K2" s="2681"/>
    </row>
    <row r="3" spans="1:11">
      <c r="A3" s="2853" t="s">
        <v>104</v>
      </c>
      <c r="B3" s="2684" t="s">
        <v>702</v>
      </c>
      <c r="C3" s="2854"/>
      <c r="D3" s="2854"/>
      <c r="E3" s="2855"/>
      <c r="F3" s="2683"/>
      <c r="G3" s="2682"/>
      <c r="H3" s="2854"/>
      <c r="I3" s="2854"/>
      <c r="J3" s="2855"/>
      <c r="K3" s="2681"/>
    </row>
    <row r="4" spans="1:11">
      <c r="A4" s="2853"/>
      <c r="B4" s="2856" t="s">
        <v>724</v>
      </c>
      <c r="C4" s="2711"/>
      <c r="D4" s="2711"/>
      <c r="E4" s="2712"/>
      <c r="F4" s="2713"/>
      <c r="G4" s="2856" t="s">
        <v>703</v>
      </c>
      <c r="H4" s="2679"/>
      <c r="I4" s="2679"/>
      <c r="J4" s="2678"/>
      <c r="K4" s="2677"/>
    </row>
    <row r="5" spans="1:11" ht="22.5">
      <c r="A5" s="2857" t="s">
        <v>140</v>
      </c>
      <c r="B5" s="2676" t="s">
        <v>725</v>
      </c>
      <c r="C5" s="2675" t="s">
        <v>726</v>
      </c>
      <c r="D5" s="2671" t="s">
        <v>725</v>
      </c>
      <c r="E5" s="2695" t="s">
        <v>726</v>
      </c>
      <c r="F5" s="2858" t="s">
        <v>727</v>
      </c>
      <c r="G5" s="2672" t="s">
        <v>725</v>
      </c>
      <c r="H5" s="2671" t="s">
        <v>726</v>
      </c>
      <c r="I5" s="2671" t="s">
        <v>725</v>
      </c>
      <c r="J5" s="2695" t="s">
        <v>726</v>
      </c>
      <c r="K5" s="2859" t="s">
        <v>727</v>
      </c>
    </row>
    <row r="6" spans="1:11" ht="22.5">
      <c r="A6" s="2853" t="s">
        <v>125</v>
      </c>
      <c r="B6" s="2673" t="s">
        <v>728</v>
      </c>
      <c r="C6" s="2671" t="s">
        <v>728</v>
      </c>
      <c r="D6" s="2674" t="s">
        <v>238</v>
      </c>
      <c r="E6" s="2686" t="s">
        <v>238</v>
      </c>
      <c r="F6" s="2860" t="s">
        <v>728</v>
      </c>
      <c r="G6" s="2672" t="s">
        <v>728</v>
      </c>
      <c r="H6" s="2671" t="s">
        <v>728</v>
      </c>
      <c r="I6" s="2674" t="s">
        <v>238</v>
      </c>
      <c r="J6" s="2686" t="s">
        <v>238</v>
      </c>
      <c r="K6" s="2861" t="s">
        <v>728</v>
      </c>
    </row>
    <row r="7" spans="1:11" hidden="1">
      <c r="A7" s="2853"/>
      <c r="B7" s="2700"/>
      <c r="C7" s="2701"/>
      <c r="D7" s="2702"/>
      <c r="E7" s="2702"/>
      <c r="F7" s="2703"/>
      <c r="G7" s="2862"/>
      <c r="H7" s="2701"/>
      <c r="I7" s="2702"/>
      <c r="J7" s="2702"/>
      <c r="K7" s="2707"/>
    </row>
    <row r="8" spans="1:11">
      <c r="A8" s="2751" t="s">
        <v>144</v>
      </c>
      <c r="B8" s="3400" t="s">
        <v>729</v>
      </c>
      <c r="C8" s="3401" t="s">
        <v>730</v>
      </c>
      <c r="D8" s="3402" t="s">
        <v>731</v>
      </c>
      <c r="E8" s="3403" t="s">
        <v>732</v>
      </c>
      <c r="F8" s="3404" t="s">
        <v>733</v>
      </c>
      <c r="G8" s="3406" t="s">
        <v>734</v>
      </c>
      <c r="H8" s="3405" t="s">
        <v>735</v>
      </c>
      <c r="I8" s="2188" t="s">
        <v>736</v>
      </c>
      <c r="J8" s="3407" t="s">
        <v>737</v>
      </c>
      <c r="K8" s="2844" t="s">
        <v>738</v>
      </c>
    </row>
    <row r="9" spans="1:11" ht="15.75" hidden="1" thickBot="1">
      <c r="A9" s="2140"/>
      <c r="B9" s="2710"/>
      <c r="C9" s="2709"/>
      <c r="D9" s="2704"/>
      <c r="E9" s="2704"/>
      <c r="F9" s="2705"/>
      <c r="G9" s="2708"/>
      <c r="H9" s="2709"/>
      <c r="I9" s="2704"/>
      <c r="J9" s="2704"/>
      <c r="K9" s="2706"/>
    </row>
    <row r="10" spans="1:11">
      <c r="A10" s="2667">
        <v>2013.01</v>
      </c>
      <c r="B10" s="2669"/>
      <c r="C10" s="3567"/>
      <c r="D10" s="3567"/>
      <c r="E10" s="2687"/>
      <c r="F10" s="2691"/>
      <c r="G10" s="2670">
        <v>3292276</v>
      </c>
      <c r="H10" s="3568">
        <v>21903</v>
      </c>
      <c r="I10" s="3568">
        <v>895499.07200000004</v>
      </c>
      <c r="J10" s="2689">
        <v>21026.880000000001</v>
      </c>
      <c r="K10" s="2696"/>
    </row>
    <row r="11" spans="1:11">
      <c r="A11" s="2667">
        <v>2013.02</v>
      </c>
      <c r="B11" s="2669"/>
      <c r="C11" s="3569"/>
      <c r="D11" s="3569"/>
      <c r="E11" s="2688"/>
      <c r="F11" s="2692"/>
      <c r="G11" s="2665">
        <v>3290348</v>
      </c>
      <c r="H11" s="3570">
        <v>22271</v>
      </c>
      <c r="I11" s="3570">
        <v>894974.65599999996</v>
      </c>
      <c r="J11" s="2690">
        <v>21380.16</v>
      </c>
      <c r="K11" s="2697"/>
    </row>
    <row r="12" spans="1:11">
      <c r="A12" s="2667">
        <v>2013.03</v>
      </c>
      <c r="B12" s="2669"/>
      <c r="C12" s="3569"/>
      <c r="D12" s="3569"/>
      <c r="E12" s="2688"/>
      <c r="F12" s="2692"/>
      <c r="G12" s="2665">
        <v>3251184</v>
      </c>
      <c r="H12" s="3570">
        <v>22288</v>
      </c>
      <c r="I12" s="3570">
        <v>884322.04799999995</v>
      </c>
      <c r="J12" s="2690">
        <v>21396.48</v>
      </c>
      <c r="K12" s="2697"/>
    </row>
    <row r="13" spans="1:11">
      <c r="A13" s="2667">
        <v>2013.04</v>
      </c>
      <c r="B13" s="2669"/>
      <c r="C13" s="3569"/>
      <c r="D13" s="3569"/>
      <c r="E13" s="2688"/>
      <c r="F13" s="2692"/>
      <c r="G13" s="2665">
        <v>3266972</v>
      </c>
      <c r="H13" s="3570">
        <v>22191</v>
      </c>
      <c r="I13" s="3570">
        <v>888616.38399999996</v>
      </c>
      <c r="J13" s="2690">
        <v>21303.360000000001</v>
      </c>
      <c r="K13" s="2697"/>
    </row>
    <row r="14" spans="1:11">
      <c r="A14" s="2667">
        <v>2013.05</v>
      </c>
      <c r="B14" s="2669"/>
      <c r="C14" s="3569"/>
      <c r="D14" s="3569"/>
      <c r="E14" s="2688"/>
      <c r="F14" s="2692"/>
      <c r="G14" s="2665">
        <v>3261676</v>
      </c>
      <c r="H14" s="3570">
        <v>21980</v>
      </c>
      <c r="I14" s="3570">
        <v>887175.87199999997</v>
      </c>
      <c r="J14" s="2690">
        <v>21100.799999999999</v>
      </c>
      <c r="K14" s="2697"/>
    </row>
    <row r="15" spans="1:11">
      <c r="A15" s="2667">
        <v>2013.06</v>
      </c>
      <c r="B15" s="2669"/>
      <c r="C15" s="3569"/>
      <c r="D15" s="3569"/>
      <c r="E15" s="2688"/>
      <c r="F15" s="2692"/>
      <c r="G15" s="2665">
        <v>3273060</v>
      </c>
      <c r="H15" s="3570">
        <v>21856</v>
      </c>
      <c r="I15" s="3570">
        <v>1204486.08</v>
      </c>
      <c r="J15" s="2690">
        <v>26227.200000000001</v>
      </c>
      <c r="K15" s="2697"/>
    </row>
    <row r="16" spans="1:11">
      <c r="A16" s="2667">
        <v>2013.07</v>
      </c>
      <c r="B16" s="2669"/>
      <c r="C16" s="3569"/>
      <c r="D16" s="3569"/>
      <c r="E16" s="2688"/>
      <c r="F16" s="2692"/>
      <c r="G16" s="2665">
        <v>3272876</v>
      </c>
      <c r="H16" s="3570">
        <v>21884</v>
      </c>
      <c r="I16" s="3570">
        <v>1204418.368</v>
      </c>
      <c r="J16" s="2690">
        <v>26260.799999999999</v>
      </c>
      <c r="K16" s="2697"/>
    </row>
    <row r="17" spans="1:11">
      <c r="A17" s="2667">
        <v>2013.08</v>
      </c>
      <c r="B17" s="2669"/>
      <c r="C17" s="3569"/>
      <c r="D17" s="3569"/>
      <c r="E17" s="2688"/>
      <c r="F17" s="2692"/>
      <c r="G17" s="2665">
        <v>3309595</v>
      </c>
      <c r="H17" s="3570">
        <v>21679</v>
      </c>
      <c r="I17" s="3570">
        <v>1217930.96</v>
      </c>
      <c r="J17" s="2690">
        <v>26014.799999999999</v>
      </c>
      <c r="K17" s="2697"/>
    </row>
    <row r="18" spans="1:11">
      <c r="A18" s="2667">
        <v>2013.09</v>
      </c>
      <c r="B18" s="2669"/>
      <c r="C18" s="3569"/>
      <c r="D18" s="3569"/>
      <c r="E18" s="2688"/>
      <c r="F18" s="2692"/>
      <c r="G18" s="2665">
        <v>3332641</v>
      </c>
      <c r="H18" s="3570">
        <v>22378</v>
      </c>
      <c r="I18" s="3570">
        <v>1226411.888</v>
      </c>
      <c r="J18" s="2690">
        <v>26853.599999999999</v>
      </c>
      <c r="K18" s="2697"/>
    </row>
    <row r="19" spans="1:11">
      <c r="A19" s="2667">
        <v>2013.1</v>
      </c>
      <c r="B19" s="2669"/>
      <c r="C19" s="3569"/>
      <c r="D19" s="3569"/>
      <c r="E19" s="2688"/>
      <c r="F19" s="2692"/>
      <c r="G19" s="2665">
        <v>3403442</v>
      </c>
      <c r="H19" s="3570">
        <v>22683</v>
      </c>
      <c r="I19" s="3570">
        <v>1252466.656</v>
      </c>
      <c r="J19" s="2690">
        <v>27219.599999999999</v>
      </c>
      <c r="K19" s="2697"/>
    </row>
    <row r="20" spans="1:11">
      <c r="A20" s="2667">
        <v>2013.11</v>
      </c>
      <c r="B20" s="2669"/>
      <c r="C20" s="3569"/>
      <c r="D20" s="3569"/>
      <c r="E20" s="2688"/>
      <c r="F20" s="2692"/>
      <c r="G20" s="2665">
        <v>3416318</v>
      </c>
      <c r="H20" s="3570">
        <v>22828</v>
      </c>
      <c r="I20" s="3570">
        <v>1257205.024</v>
      </c>
      <c r="J20" s="2690">
        <v>27393.599999999999</v>
      </c>
      <c r="K20" s="2697"/>
    </row>
    <row r="21" spans="1:11">
      <c r="A21" s="2667">
        <v>2013.12</v>
      </c>
      <c r="B21" s="2669"/>
      <c r="C21" s="3569"/>
      <c r="D21" s="3569"/>
      <c r="E21" s="2688"/>
      <c r="F21" s="2692"/>
      <c r="G21" s="2665">
        <v>3436740</v>
      </c>
      <c r="H21" s="3570">
        <v>22834</v>
      </c>
      <c r="I21" s="3570">
        <v>1264720.32</v>
      </c>
      <c r="J21" s="2690">
        <v>27400.799999999999</v>
      </c>
      <c r="K21" s="2697"/>
    </row>
    <row r="22" spans="1:11">
      <c r="A22" s="2667">
        <v>2014.01</v>
      </c>
      <c r="B22" s="2669"/>
      <c r="C22" s="3569"/>
      <c r="D22" s="3569"/>
      <c r="E22" s="2688"/>
      <c r="F22" s="2692"/>
      <c r="G22" s="2665">
        <v>3455646</v>
      </c>
      <c r="H22" s="3570">
        <v>22621</v>
      </c>
      <c r="I22" s="3570">
        <v>1271677.7279999999</v>
      </c>
      <c r="J22" s="2690">
        <v>27145.200000000001</v>
      </c>
      <c r="K22" s="2697"/>
    </row>
    <row r="23" spans="1:11">
      <c r="A23" s="2667">
        <v>2014.02</v>
      </c>
      <c r="B23" s="2669"/>
      <c r="C23" s="3569"/>
      <c r="D23" s="3569"/>
      <c r="E23" s="2688"/>
      <c r="F23" s="2692"/>
      <c r="G23" s="2665">
        <v>3414759</v>
      </c>
      <c r="H23" s="3570">
        <v>22616</v>
      </c>
      <c r="I23" s="3570">
        <v>1256631.3119999999</v>
      </c>
      <c r="J23" s="2690">
        <v>27139.200000000001</v>
      </c>
      <c r="K23" s="2697"/>
    </row>
    <row r="24" spans="1:11">
      <c r="A24" s="2667">
        <v>2014.03</v>
      </c>
      <c r="B24" s="2669"/>
      <c r="C24" s="3569"/>
      <c r="D24" s="3569"/>
      <c r="E24" s="2688"/>
      <c r="F24" s="2692"/>
      <c r="G24" s="2665">
        <v>3387609</v>
      </c>
      <c r="H24" s="3570">
        <v>22452</v>
      </c>
      <c r="I24" s="3570">
        <v>1246640.112</v>
      </c>
      <c r="J24" s="2690">
        <v>26942.400000000001</v>
      </c>
      <c r="K24" s="2697"/>
    </row>
    <row r="25" spans="1:11">
      <c r="A25" s="2667">
        <v>2014.04</v>
      </c>
      <c r="B25" s="2669"/>
      <c r="C25" s="3569"/>
      <c r="D25" s="3569"/>
      <c r="E25" s="2688"/>
      <c r="F25" s="2692"/>
      <c r="G25" s="2665">
        <v>3393433</v>
      </c>
      <c r="H25" s="3570">
        <v>22066</v>
      </c>
      <c r="I25" s="3570">
        <v>1248783.344</v>
      </c>
      <c r="J25" s="2690">
        <v>26479.200000000001</v>
      </c>
      <c r="K25" s="2697"/>
    </row>
    <row r="26" spans="1:11">
      <c r="A26" s="2667">
        <v>2014.05</v>
      </c>
      <c r="B26" s="2669"/>
      <c r="C26" s="3569"/>
      <c r="D26" s="3569"/>
      <c r="E26" s="2688"/>
      <c r="F26" s="2692"/>
      <c r="G26" s="2665">
        <v>3326171</v>
      </c>
      <c r="H26" s="3570">
        <v>21861</v>
      </c>
      <c r="I26" s="3570">
        <v>1224030.9280000001</v>
      </c>
      <c r="J26" s="2690">
        <v>26233.200000000001</v>
      </c>
      <c r="K26" s="2697"/>
    </row>
    <row r="27" spans="1:11">
      <c r="A27" s="2667">
        <v>2014.06</v>
      </c>
      <c r="B27" s="2669"/>
      <c r="C27" s="3569"/>
      <c r="D27" s="3569"/>
      <c r="E27" s="2688"/>
      <c r="F27" s="2692"/>
      <c r="G27" s="2665">
        <v>3264979</v>
      </c>
      <c r="H27" s="3570">
        <v>21331</v>
      </c>
      <c r="I27" s="3570">
        <v>1684729.1640000001</v>
      </c>
      <c r="J27" s="2690">
        <v>35836.080000000002</v>
      </c>
      <c r="K27" s="2697"/>
    </row>
    <row r="28" spans="1:11">
      <c r="A28" s="2667">
        <v>2014.07</v>
      </c>
      <c r="B28" s="2669"/>
      <c r="C28" s="3569"/>
      <c r="D28" s="3569"/>
      <c r="E28" s="2688"/>
      <c r="F28" s="2692"/>
      <c r="G28" s="2665">
        <v>3238256</v>
      </c>
      <c r="H28" s="3570">
        <v>21535</v>
      </c>
      <c r="I28" s="3570">
        <v>1670940.0959999999</v>
      </c>
      <c r="J28" s="2690">
        <v>36178.800000000003</v>
      </c>
      <c r="K28" s="2697"/>
    </row>
    <row r="29" spans="1:11">
      <c r="A29" s="2667">
        <v>2014.08</v>
      </c>
      <c r="B29" s="2669"/>
      <c r="C29" s="3569"/>
      <c r="D29" s="3569"/>
      <c r="E29" s="2688"/>
      <c r="F29" s="2692"/>
      <c r="G29" s="2665">
        <v>3314788</v>
      </c>
      <c r="H29" s="3570">
        <v>21900</v>
      </c>
      <c r="I29" s="3570">
        <v>1710430.608</v>
      </c>
      <c r="J29" s="2690">
        <v>36792</v>
      </c>
      <c r="K29" s="2697"/>
    </row>
    <row r="30" spans="1:11">
      <c r="A30" s="2667">
        <v>2014.09</v>
      </c>
      <c r="B30" s="2669"/>
      <c r="C30" s="3569"/>
      <c r="D30" s="3569"/>
      <c r="E30" s="2688"/>
      <c r="F30" s="2692"/>
      <c r="G30" s="2665">
        <v>3415456</v>
      </c>
      <c r="H30" s="3570">
        <v>22602</v>
      </c>
      <c r="I30" s="3570">
        <v>1762375.2960000001</v>
      </c>
      <c r="J30" s="2690">
        <v>37971.360000000001</v>
      </c>
      <c r="K30" s="2697"/>
    </row>
    <row r="31" spans="1:11">
      <c r="A31" s="2667">
        <v>2014.1</v>
      </c>
      <c r="B31" s="2669"/>
      <c r="C31" s="3569"/>
      <c r="D31" s="3569"/>
      <c r="E31" s="2688"/>
      <c r="F31" s="2692"/>
      <c r="G31" s="2665">
        <v>3501697</v>
      </c>
      <c r="H31" s="3570">
        <v>23227</v>
      </c>
      <c r="I31" s="3570">
        <v>1806875.652</v>
      </c>
      <c r="J31" s="2690">
        <v>39021.360000000001</v>
      </c>
      <c r="K31" s="2697"/>
    </row>
    <row r="32" spans="1:11">
      <c r="A32" s="2667">
        <v>2014.11</v>
      </c>
      <c r="B32" s="2669"/>
      <c r="C32" s="3569"/>
      <c r="D32" s="3569"/>
      <c r="E32" s="2688"/>
      <c r="F32" s="2692"/>
      <c r="G32" s="2665">
        <v>3519236</v>
      </c>
      <c r="H32" s="3570">
        <v>23445</v>
      </c>
      <c r="I32" s="3570">
        <v>1815925.7760000001</v>
      </c>
      <c r="J32" s="2690">
        <v>39387.599999999999</v>
      </c>
      <c r="K32" s="2697"/>
    </row>
    <row r="33" spans="1:11">
      <c r="A33" s="2667">
        <v>2014.12</v>
      </c>
      <c r="B33" s="2669"/>
      <c r="C33" s="3569"/>
      <c r="D33" s="3569"/>
      <c r="E33" s="2688"/>
      <c r="F33" s="2692"/>
      <c r="G33" s="2665">
        <v>3550859</v>
      </c>
      <c r="H33" s="3570">
        <v>23906</v>
      </c>
      <c r="I33" s="3570">
        <v>1832243.2439999999</v>
      </c>
      <c r="J33" s="2690">
        <v>40162.080000000002</v>
      </c>
      <c r="K33" s="2697"/>
    </row>
    <row r="34" spans="1:11">
      <c r="A34" s="2667">
        <v>2015.01</v>
      </c>
      <c r="B34" s="2669"/>
      <c r="C34" s="3569"/>
      <c r="D34" s="3569"/>
      <c r="E34" s="2688"/>
      <c r="F34" s="2692"/>
      <c r="G34" s="2665">
        <v>3573598</v>
      </c>
      <c r="H34" s="3570">
        <v>23769</v>
      </c>
      <c r="I34" s="3570">
        <v>1843976.568</v>
      </c>
      <c r="J34" s="2690">
        <v>39931.919999999998</v>
      </c>
      <c r="K34" s="2697"/>
    </row>
    <row r="35" spans="1:11">
      <c r="A35" s="2667">
        <v>2015.02</v>
      </c>
      <c r="B35" s="2669"/>
      <c r="C35" s="3569"/>
      <c r="D35" s="3569"/>
      <c r="E35" s="2688"/>
      <c r="F35" s="2692"/>
      <c r="G35" s="2665">
        <v>3600408</v>
      </c>
      <c r="H35" s="3570">
        <v>23822</v>
      </c>
      <c r="I35" s="3570">
        <v>1857810.5279999999</v>
      </c>
      <c r="J35" s="2690">
        <v>40020.959999999999</v>
      </c>
      <c r="K35" s="2697"/>
    </row>
    <row r="36" spans="1:11">
      <c r="A36" s="2667">
        <v>2015.03</v>
      </c>
      <c r="B36" s="2669"/>
      <c r="C36" s="3569"/>
      <c r="D36" s="3569"/>
      <c r="E36" s="2688"/>
      <c r="F36" s="2692"/>
      <c r="G36" s="2665">
        <v>3597630</v>
      </c>
      <c r="H36" s="3570">
        <v>23499</v>
      </c>
      <c r="I36" s="3570">
        <v>1856377.08</v>
      </c>
      <c r="J36" s="2690">
        <v>39478.32</v>
      </c>
      <c r="K36" s="2697"/>
    </row>
    <row r="37" spans="1:11">
      <c r="A37" s="2667">
        <v>2015.04</v>
      </c>
      <c r="B37" s="2669"/>
      <c r="C37" s="3569"/>
      <c r="D37" s="3569"/>
      <c r="E37" s="2688"/>
      <c r="F37" s="2692"/>
      <c r="G37" s="2665">
        <v>3618753</v>
      </c>
      <c r="H37" s="3570">
        <v>23549</v>
      </c>
      <c r="I37" s="3570">
        <v>1867276.548</v>
      </c>
      <c r="J37" s="2690">
        <v>39562.32</v>
      </c>
      <c r="K37" s="2697"/>
    </row>
    <row r="38" spans="1:11">
      <c r="A38" s="2667">
        <v>2015.05</v>
      </c>
      <c r="B38" s="2669"/>
      <c r="C38" s="3569"/>
      <c r="D38" s="3569"/>
      <c r="E38" s="2688"/>
      <c r="F38" s="2692"/>
      <c r="G38" s="2665">
        <v>3593983</v>
      </c>
      <c r="H38" s="3570">
        <v>23204</v>
      </c>
      <c r="I38" s="3570">
        <v>1854495.2279999999</v>
      </c>
      <c r="J38" s="2690">
        <v>38982.720000000001</v>
      </c>
      <c r="K38" s="2697"/>
    </row>
    <row r="39" spans="1:11">
      <c r="A39" s="2667">
        <v>2015.06</v>
      </c>
      <c r="B39" s="2669"/>
      <c r="C39" s="3569"/>
      <c r="D39" s="3569"/>
      <c r="E39" s="2688"/>
      <c r="F39" s="2692"/>
      <c r="G39" s="2665">
        <v>3309094</v>
      </c>
      <c r="H39" s="3570">
        <v>21589</v>
      </c>
      <c r="I39" s="3570">
        <v>2217111.7687149998</v>
      </c>
      <c r="J39" s="2690">
        <v>47094.543285</v>
      </c>
      <c r="K39" s="2697"/>
    </row>
    <row r="40" spans="1:11">
      <c r="A40" s="2667">
        <v>2015.07</v>
      </c>
      <c r="B40" s="2669"/>
      <c r="C40" s="3569"/>
      <c r="D40" s="3569"/>
      <c r="E40" s="2688"/>
      <c r="F40" s="2692"/>
      <c r="G40" s="2665">
        <v>3363602</v>
      </c>
      <c r="H40" s="3570">
        <v>21888</v>
      </c>
      <c r="I40" s="3570">
        <v>2253613.34</v>
      </c>
      <c r="J40" s="2690">
        <v>47803.392</v>
      </c>
      <c r="K40" s="2697"/>
    </row>
    <row r="41" spans="1:11">
      <c r="A41" s="2667">
        <v>2015.08</v>
      </c>
      <c r="B41" s="2669"/>
      <c r="C41" s="3569"/>
      <c r="D41" s="3569"/>
      <c r="E41" s="2688"/>
      <c r="F41" s="2692"/>
      <c r="G41" s="2665">
        <v>3424650</v>
      </c>
      <c r="H41" s="3570">
        <v>22267</v>
      </c>
      <c r="I41" s="3570">
        <v>2294515.5</v>
      </c>
      <c r="J41" s="2690">
        <v>48631.127999999997</v>
      </c>
      <c r="K41" s="2697"/>
    </row>
    <row r="42" spans="1:11">
      <c r="A42" s="2667">
        <v>2015.09</v>
      </c>
      <c r="B42" s="2669"/>
      <c r="C42" s="3569"/>
      <c r="D42" s="3569"/>
      <c r="E42" s="2688"/>
      <c r="F42" s="2692"/>
      <c r="G42" s="2665">
        <v>3509557</v>
      </c>
      <c r="H42" s="3570">
        <v>22564</v>
      </c>
      <c r="I42" s="3570">
        <v>2382783.9130000002</v>
      </c>
      <c r="J42" s="2690">
        <v>50147.916000000005</v>
      </c>
      <c r="K42" s="2697"/>
    </row>
    <row r="43" spans="1:11">
      <c r="A43" s="2667">
        <v>2015.1</v>
      </c>
      <c r="B43" s="2669"/>
      <c r="C43" s="3569"/>
      <c r="D43" s="3569"/>
      <c r="E43" s="2688"/>
      <c r="F43" s="2692"/>
      <c r="G43" s="2665">
        <v>3575302</v>
      </c>
      <c r="H43" s="3570">
        <v>22652</v>
      </c>
      <c r="I43" s="3570">
        <v>2426088.9610000001</v>
      </c>
      <c r="J43" s="2690">
        <v>50304.727199999994</v>
      </c>
      <c r="K43" s="2697"/>
    </row>
    <row r="44" spans="1:11">
      <c r="A44" s="2667">
        <v>2015.11</v>
      </c>
      <c r="B44" s="2669"/>
      <c r="C44" s="3569"/>
      <c r="D44" s="3569"/>
      <c r="E44" s="2688"/>
      <c r="F44" s="2692"/>
      <c r="G44" s="2665">
        <v>3626064</v>
      </c>
      <c r="H44" s="3570">
        <v>22866</v>
      </c>
      <c r="I44" s="3570">
        <v>2460626.9249999998</v>
      </c>
      <c r="J44" s="2690">
        <v>50797.65600000001</v>
      </c>
      <c r="K44" s="2697"/>
    </row>
    <row r="45" spans="1:11">
      <c r="A45" s="2667">
        <v>2015.12</v>
      </c>
      <c r="B45" s="2669"/>
      <c r="C45" s="3569"/>
      <c r="D45" s="3569"/>
      <c r="E45" s="2688"/>
      <c r="F45" s="2692"/>
      <c r="G45" s="2665">
        <v>3661264</v>
      </c>
      <c r="H45" s="3570">
        <v>22874</v>
      </c>
      <c r="I45" s="3570">
        <v>2484583.378</v>
      </c>
      <c r="J45" s="2690">
        <v>50813.162399999994</v>
      </c>
      <c r="K45" s="2697"/>
    </row>
    <row r="46" spans="1:11">
      <c r="A46" s="2667">
        <v>2016.01</v>
      </c>
      <c r="B46" s="2669"/>
      <c r="C46" s="3569"/>
      <c r="D46" s="3569"/>
      <c r="E46" s="2688"/>
      <c r="F46" s="2692"/>
      <c r="G46" s="2665">
        <v>3700855</v>
      </c>
      <c r="H46" s="3570">
        <v>22908</v>
      </c>
      <c r="I46" s="3570">
        <v>2511478.7859999998</v>
      </c>
      <c r="J46" s="2690">
        <v>50895.936000000002</v>
      </c>
      <c r="K46" s="2697"/>
    </row>
    <row r="47" spans="1:11">
      <c r="A47" s="2667">
        <v>2016.02</v>
      </c>
      <c r="B47" s="2669"/>
      <c r="C47" s="3569"/>
      <c r="D47" s="3569"/>
      <c r="E47" s="2688"/>
      <c r="F47" s="2692"/>
      <c r="G47" s="2665">
        <v>3725699</v>
      </c>
      <c r="H47" s="3570">
        <v>22940</v>
      </c>
      <c r="I47" s="3570">
        <v>2528850.4789999998</v>
      </c>
      <c r="J47" s="2690">
        <v>50978.928000000007</v>
      </c>
      <c r="K47" s="2697"/>
    </row>
    <row r="48" spans="1:11">
      <c r="A48" s="2667">
        <v>2016.03</v>
      </c>
      <c r="B48" s="2669"/>
      <c r="C48" s="3569"/>
      <c r="D48" s="3569"/>
      <c r="E48" s="2688"/>
      <c r="F48" s="2692"/>
      <c r="G48" s="2665">
        <v>3743295</v>
      </c>
      <c r="H48" s="3570">
        <v>23305</v>
      </c>
      <c r="I48" s="3570">
        <v>2930174.0880000042</v>
      </c>
      <c r="J48" s="2690">
        <v>59743.152000000002</v>
      </c>
      <c r="K48" s="2697"/>
    </row>
    <row r="49" spans="1:11">
      <c r="A49" s="2667">
        <v>2016.04</v>
      </c>
      <c r="B49" s="2669"/>
      <c r="C49" s="3569"/>
      <c r="D49" s="3569"/>
      <c r="E49" s="2688"/>
      <c r="F49" s="2692"/>
      <c r="G49" s="2665">
        <v>3774899</v>
      </c>
      <c r="H49" s="3570">
        <v>23595</v>
      </c>
      <c r="I49" s="3570">
        <v>2954673.2911999999</v>
      </c>
      <c r="J49" s="2690">
        <v>60487.56</v>
      </c>
      <c r="K49" s="2697"/>
    </row>
    <row r="50" spans="1:11">
      <c r="A50" s="2667">
        <v>2016.05</v>
      </c>
      <c r="B50" s="2669"/>
      <c r="C50" s="3569"/>
      <c r="D50" s="3569"/>
      <c r="E50" s="2688"/>
      <c r="F50" s="2692"/>
      <c r="G50" s="2665">
        <v>3805351</v>
      </c>
      <c r="H50" s="3570">
        <v>24071</v>
      </c>
      <c r="I50" s="3570">
        <v>2978734.8607999999</v>
      </c>
      <c r="J50" s="2690">
        <v>61705.98</v>
      </c>
      <c r="K50" s="2697"/>
    </row>
    <row r="51" spans="1:11">
      <c r="A51" s="2667">
        <v>2016.06</v>
      </c>
      <c r="B51" s="2669"/>
      <c r="C51" s="3569"/>
      <c r="D51" s="3569"/>
      <c r="E51" s="2688"/>
      <c r="F51" s="2692"/>
      <c r="G51" s="2665">
        <v>3843026</v>
      </c>
      <c r="H51" s="3570">
        <v>24264</v>
      </c>
      <c r="I51" s="3570">
        <v>3008367.4608</v>
      </c>
      <c r="J51" s="2690">
        <v>62214.264000000003</v>
      </c>
      <c r="K51" s="2697"/>
    </row>
    <row r="52" spans="1:11">
      <c r="A52" s="2667">
        <v>2016.07</v>
      </c>
      <c r="B52" s="2669"/>
      <c r="C52" s="3569"/>
      <c r="D52" s="3569"/>
      <c r="E52" s="2688"/>
      <c r="F52" s="2692"/>
      <c r="G52" s="2665">
        <v>3897334</v>
      </c>
      <c r="H52" s="3570">
        <v>24822</v>
      </c>
      <c r="I52" s="3570">
        <v>3051662.5632000002</v>
      </c>
      <c r="J52" s="2690">
        <v>63670.32</v>
      </c>
      <c r="K52" s="2697"/>
    </row>
    <row r="53" spans="1:11">
      <c r="A53" s="2667">
        <v>2016.08</v>
      </c>
      <c r="B53" s="2669"/>
      <c r="C53" s="3569"/>
      <c r="D53" s="3569"/>
      <c r="E53" s="2688"/>
      <c r="F53" s="2692"/>
      <c r="G53" s="2665">
        <v>3890290</v>
      </c>
      <c r="H53" s="3570">
        <v>25032</v>
      </c>
      <c r="I53" s="3570">
        <v>3046340.9920000001</v>
      </c>
      <c r="J53" s="2690">
        <v>64219.175999999999</v>
      </c>
      <c r="K53" s="2697"/>
    </row>
    <row r="54" spans="1:11">
      <c r="A54" s="2667">
        <v>2016.09</v>
      </c>
      <c r="B54" s="2669"/>
      <c r="C54" s="3569"/>
      <c r="D54" s="3569"/>
      <c r="E54" s="2688"/>
      <c r="F54" s="2692"/>
      <c r="G54" s="2665">
        <v>3901340</v>
      </c>
      <c r="H54" s="3570">
        <v>25347</v>
      </c>
      <c r="I54" s="3570">
        <v>3488081.6608000002</v>
      </c>
      <c r="J54" s="2690">
        <v>74239.711200000049</v>
      </c>
      <c r="K54" s="2697"/>
    </row>
    <row r="55" spans="1:11">
      <c r="A55" s="2667">
        <v>2016.1</v>
      </c>
      <c r="B55" s="2669"/>
      <c r="C55" s="3569"/>
      <c r="D55" s="3569"/>
      <c r="E55" s="2688"/>
      <c r="F55" s="2692"/>
      <c r="G55" s="2665">
        <v>3911221</v>
      </c>
      <c r="H55" s="3570">
        <v>25337</v>
      </c>
      <c r="I55" s="3570">
        <v>3496214.9175999998</v>
      </c>
      <c r="J55" s="2690">
        <v>74181.559200000003</v>
      </c>
      <c r="K55" s="2697"/>
    </row>
    <row r="56" spans="1:11">
      <c r="A56" s="2667">
        <v>2016.11</v>
      </c>
      <c r="B56" s="2669"/>
      <c r="C56" s="3569"/>
      <c r="D56" s="3569"/>
      <c r="E56" s="2688"/>
      <c r="F56" s="2692"/>
      <c r="G56" s="2665">
        <v>3926588</v>
      </c>
      <c r="H56" s="3570">
        <v>25677</v>
      </c>
      <c r="I56" s="3570">
        <v>3509991.3648000001</v>
      </c>
      <c r="J56" s="2690">
        <v>75159.079199999993</v>
      </c>
      <c r="K56" s="2697"/>
    </row>
    <row r="57" spans="1:11">
      <c r="A57" s="2667">
        <v>2016.12</v>
      </c>
      <c r="B57" s="2669"/>
      <c r="C57" s="3569"/>
      <c r="D57" s="3569"/>
      <c r="E57" s="2688"/>
      <c r="F57" s="2692"/>
      <c r="G57" s="2665">
        <v>3932013</v>
      </c>
      <c r="H57" s="3570">
        <v>25813</v>
      </c>
      <c r="I57" s="3570">
        <v>3514984.6639999999</v>
      </c>
      <c r="J57" s="2690">
        <v>75566.848800000007</v>
      </c>
      <c r="K57" s="2697"/>
    </row>
    <row r="58" spans="1:11">
      <c r="A58" s="2667">
        <v>2017.01</v>
      </c>
      <c r="B58" s="2669"/>
      <c r="C58" s="3569"/>
      <c r="D58" s="3569"/>
      <c r="E58" s="2688"/>
      <c r="F58" s="2692"/>
      <c r="G58" s="2665">
        <v>3941618</v>
      </c>
      <c r="H58" s="3570">
        <v>26007</v>
      </c>
      <c r="I58" s="3570">
        <v>3522293.1423999998</v>
      </c>
      <c r="J58" s="2690">
        <v>76119.919200000004</v>
      </c>
      <c r="K58" s="2697"/>
    </row>
    <row r="59" spans="1:11">
      <c r="A59" s="2667">
        <v>2017.02</v>
      </c>
      <c r="B59" s="2669"/>
      <c r="C59" s="3569"/>
      <c r="D59" s="3569"/>
      <c r="E59" s="2688"/>
      <c r="F59" s="2692"/>
      <c r="G59" s="2665">
        <v>3954643</v>
      </c>
      <c r="H59" s="3570">
        <v>26112</v>
      </c>
      <c r="I59" s="3570">
        <v>3534213.26</v>
      </c>
      <c r="J59" s="2690">
        <v>76431.571200000006</v>
      </c>
      <c r="K59" s="2697"/>
    </row>
    <row r="60" spans="1:11">
      <c r="A60" s="2667">
        <v>2017.03</v>
      </c>
      <c r="B60" s="2669"/>
      <c r="C60" s="3569"/>
      <c r="D60" s="3569"/>
      <c r="E60" s="2688"/>
      <c r="F60" s="2692"/>
      <c r="G60" s="2665">
        <v>3707643</v>
      </c>
      <c r="H60" s="3570">
        <v>25148</v>
      </c>
      <c r="I60" s="3570">
        <v>3741713.5216000001</v>
      </c>
      <c r="J60" s="2690">
        <v>83171.497600000002</v>
      </c>
      <c r="K60" s="2697"/>
    </row>
    <row r="61" spans="1:11">
      <c r="A61" s="2667">
        <v>2017.04</v>
      </c>
      <c r="B61" s="2669"/>
      <c r="C61" s="3569"/>
      <c r="D61" s="3569"/>
      <c r="E61" s="2688"/>
      <c r="F61" s="2692"/>
      <c r="G61" s="2665">
        <v>3723847</v>
      </c>
      <c r="H61" s="3570">
        <v>25366</v>
      </c>
      <c r="I61" s="3570">
        <v>3758835.0767999999</v>
      </c>
      <c r="J61" s="2690">
        <v>83914.419200000004</v>
      </c>
      <c r="K61" s="2697"/>
    </row>
    <row r="62" spans="1:11">
      <c r="A62" s="2667">
        <v>2017.05</v>
      </c>
      <c r="B62" s="2669"/>
      <c r="C62" s="3569"/>
      <c r="D62" s="3569"/>
      <c r="E62" s="2688"/>
      <c r="F62" s="2692"/>
      <c r="G62" s="2665">
        <v>3776146</v>
      </c>
      <c r="H62" s="3570">
        <v>26083</v>
      </c>
      <c r="I62" s="3570">
        <v>3812534.5279999999</v>
      </c>
      <c r="J62" s="2690">
        <v>86293.353600000002</v>
      </c>
      <c r="K62" s="2697"/>
    </row>
    <row r="63" spans="1:11">
      <c r="A63" s="2667">
        <v>2017.06</v>
      </c>
      <c r="B63" s="2669"/>
      <c r="C63" s="3569"/>
      <c r="D63" s="3569"/>
      <c r="E63" s="2688"/>
      <c r="F63" s="2692"/>
      <c r="G63" s="2665">
        <v>3820230</v>
      </c>
      <c r="H63" s="3570">
        <v>26618</v>
      </c>
      <c r="I63" s="3570">
        <v>3857138.392</v>
      </c>
      <c r="J63" s="2690">
        <v>88048.361600000004</v>
      </c>
      <c r="K63" s="2697"/>
    </row>
    <row r="64" spans="1:11">
      <c r="A64" s="2667">
        <v>2017.07</v>
      </c>
      <c r="B64" s="2669"/>
      <c r="C64" s="3569"/>
      <c r="D64" s="3569"/>
      <c r="E64" s="2688"/>
      <c r="F64" s="2692"/>
      <c r="G64" s="2665">
        <v>3859662</v>
      </c>
      <c r="H64" s="3570">
        <v>27359</v>
      </c>
      <c r="I64" s="3570">
        <v>3897406.1376</v>
      </c>
      <c r="J64" s="2690">
        <v>90487.756800000003</v>
      </c>
      <c r="K64" s="2697"/>
    </row>
    <row r="65" spans="1:11">
      <c r="A65" s="2667">
        <v>2017.08</v>
      </c>
      <c r="B65" s="2669"/>
      <c r="C65" s="3569"/>
      <c r="D65" s="3569"/>
      <c r="E65" s="2688"/>
      <c r="F65" s="2692"/>
      <c r="G65" s="2665">
        <v>3879327</v>
      </c>
      <c r="H65" s="3570">
        <v>27781</v>
      </c>
      <c r="I65" s="3570">
        <v>3917378.9183999998</v>
      </c>
      <c r="J65" s="2690">
        <v>91886.1152</v>
      </c>
      <c r="K65" s="2697"/>
    </row>
    <row r="66" spans="1:11">
      <c r="A66" s="2667">
        <v>2017.09</v>
      </c>
      <c r="B66" s="2669"/>
      <c r="C66" s="3569"/>
      <c r="D66" s="3569"/>
      <c r="E66" s="2688"/>
      <c r="F66" s="2692"/>
      <c r="G66" s="2665">
        <v>3894879</v>
      </c>
      <c r="H66" s="3570">
        <v>28155</v>
      </c>
      <c r="I66" s="3570">
        <v>4457054.7423999999</v>
      </c>
      <c r="J66" s="2690">
        <v>105543.2496</v>
      </c>
      <c r="K66" s="2697"/>
    </row>
    <row r="67" spans="1:11">
      <c r="A67" s="2667">
        <v>2017.1</v>
      </c>
      <c r="B67" s="2669"/>
      <c r="C67" s="3569"/>
      <c r="D67" s="3569"/>
      <c r="E67" s="2688"/>
      <c r="F67" s="2692"/>
      <c r="G67" s="2665">
        <v>3913418</v>
      </c>
      <c r="H67" s="3570">
        <v>28475</v>
      </c>
      <c r="I67" s="3570">
        <v>4478279.6288000001</v>
      </c>
      <c r="J67" s="2690">
        <v>106747.8144</v>
      </c>
      <c r="K67" s="2697"/>
    </row>
    <row r="68" spans="1:11">
      <c r="A68" s="2667">
        <v>2017.11</v>
      </c>
      <c r="B68" s="2669"/>
      <c r="C68" s="3569"/>
      <c r="D68" s="3569"/>
      <c r="E68" s="2688"/>
      <c r="F68" s="2692"/>
      <c r="G68" s="2665">
        <v>3925614</v>
      </c>
      <c r="H68" s="3570">
        <v>28661</v>
      </c>
      <c r="I68" s="3570">
        <v>4492813.3247999996</v>
      </c>
      <c r="J68" s="2690">
        <v>107437.6096</v>
      </c>
      <c r="K68" s="2697"/>
    </row>
    <row r="69" spans="1:11">
      <c r="A69" s="2667">
        <v>2017.12</v>
      </c>
      <c r="B69" s="2669"/>
      <c r="C69" s="3569"/>
      <c r="D69" s="3569"/>
      <c r="E69" s="2688"/>
      <c r="F69" s="2692"/>
      <c r="G69" s="2665">
        <v>3927108</v>
      </c>
      <c r="H69" s="3570">
        <v>28934</v>
      </c>
      <c r="I69" s="3570">
        <v>4494164.1216000002</v>
      </c>
      <c r="J69" s="2690">
        <v>108444.66559999999</v>
      </c>
      <c r="K69" s="2697"/>
    </row>
    <row r="70" spans="1:11">
      <c r="A70" s="2667">
        <v>2018.01</v>
      </c>
      <c r="B70" s="2669"/>
      <c r="C70" s="3569"/>
      <c r="D70" s="3569"/>
      <c r="E70" s="2688"/>
      <c r="F70" s="2692"/>
      <c r="G70" s="2665">
        <v>3937689</v>
      </c>
      <c r="H70" s="3570">
        <v>29272</v>
      </c>
      <c r="I70" s="3570">
        <v>4505961.0656000003</v>
      </c>
      <c r="J70" s="2690">
        <v>109714.4512</v>
      </c>
      <c r="K70" s="2697"/>
    </row>
    <row r="71" spans="1:11">
      <c r="A71" s="2667">
        <v>2018.02</v>
      </c>
      <c r="B71" s="2669"/>
      <c r="C71" s="3569"/>
      <c r="D71" s="3569"/>
      <c r="E71" s="2688"/>
      <c r="F71" s="2692"/>
      <c r="G71" s="2665">
        <v>3958881</v>
      </c>
      <c r="H71" s="3570">
        <v>29677</v>
      </c>
      <c r="I71" s="3570">
        <v>4530729.2319999998</v>
      </c>
      <c r="J71" s="2690">
        <v>111232.224</v>
      </c>
      <c r="K71" s="2697"/>
    </row>
    <row r="72" spans="1:11">
      <c r="A72" s="2667">
        <v>2018.03</v>
      </c>
      <c r="B72" s="2669"/>
      <c r="C72" s="3569"/>
      <c r="D72" s="3569"/>
      <c r="E72" s="2688"/>
      <c r="F72" s="2692"/>
      <c r="G72" s="2665">
        <v>3776753</v>
      </c>
      <c r="H72" s="3570">
        <v>29094</v>
      </c>
      <c r="I72" s="3570">
        <v>4568650.8071999997</v>
      </c>
      <c r="J72" s="2690">
        <v>115247.28720000001</v>
      </c>
      <c r="K72" s="2697"/>
    </row>
    <row r="73" spans="1:11">
      <c r="A73" s="2667">
        <v>2018.04</v>
      </c>
      <c r="B73" s="2669"/>
      <c r="C73" s="3569"/>
      <c r="D73" s="3569"/>
      <c r="E73" s="2688"/>
      <c r="F73" s="2692"/>
      <c r="G73" s="2665">
        <v>3813735</v>
      </c>
      <c r="H73" s="3570">
        <v>29638</v>
      </c>
      <c r="I73" s="3570">
        <v>4613772.2264</v>
      </c>
      <c r="J73" s="2690">
        <v>117420.0408</v>
      </c>
      <c r="K73" s="2697"/>
    </row>
    <row r="74" spans="1:11">
      <c r="A74" s="2667">
        <v>2018.05</v>
      </c>
      <c r="B74" s="2669"/>
      <c r="C74" s="3569"/>
      <c r="D74" s="3569"/>
      <c r="E74" s="2688"/>
      <c r="F74" s="2692"/>
      <c r="G74" s="2665">
        <v>3841579</v>
      </c>
      <c r="H74" s="3570">
        <v>30464</v>
      </c>
      <c r="I74" s="3570">
        <v>4647938.3607999999</v>
      </c>
      <c r="J74" s="2690">
        <v>120694.7472</v>
      </c>
      <c r="K74" s="2697"/>
    </row>
    <row r="75" spans="1:11">
      <c r="A75" s="2667">
        <v>2018.06</v>
      </c>
      <c r="B75" s="2669"/>
      <c r="C75" s="3569"/>
      <c r="D75" s="3569"/>
      <c r="E75" s="2688"/>
      <c r="F75" s="2692"/>
      <c r="G75" s="2665">
        <v>3885003</v>
      </c>
      <c r="H75" s="3570">
        <v>31326</v>
      </c>
      <c r="I75" s="3570">
        <v>4968799.2624000004</v>
      </c>
      <c r="J75" s="2690">
        <v>131225.09760000001</v>
      </c>
      <c r="K75" s="2697"/>
    </row>
    <row r="76" spans="1:11">
      <c r="A76" s="2667">
        <v>2018.07</v>
      </c>
      <c r="B76" s="2669"/>
      <c r="C76" s="3569"/>
      <c r="D76" s="3569"/>
      <c r="E76" s="2688"/>
      <c r="F76" s="2692"/>
      <c r="G76" s="2665">
        <v>3931495</v>
      </c>
      <c r="H76" s="3570">
        <v>32223</v>
      </c>
      <c r="I76" s="3570">
        <v>5028351.9264000002</v>
      </c>
      <c r="J76" s="2690">
        <v>134966.78880000001</v>
      </c>
      <c r="K76" s="2697"/>
    </row>
    <row r="77" spans="1:11">
      <c r="A77" s="2667">
        <v>2018.08</v>
      </c>
      <c r="B77" s="2669"/>
      <c r="C77" s="3569"/>
      <c r="D77" s="3569"/>
      <c r="E77" s="2688"/>
      <c r="F77" s="2692"/>
      <c r="G77" s="2665">
        <v>3979864</v>
      </c>
      <c r="H77" s="3570">
        <v>33390</v>
      </c>
      <c r="I77" s="3570">
        <v>5090501.6352000004</v>
      </c>
      <c r="J77" s="2690">
        <v>139822.704</v>
      </c>
      <c r="K77" s="2697"/>
    </row>
    <row r="78" spans="1:11">
      <c r="A78" s="2667">
        <v>2018.09</v>
      </c>
      <c r="B78" s="2669"/>
      <c r="C78" s="3569"/>
      <c r="D78" s="3569"/>
      <c r="E78" s="2688"/>
      <c r="F78" s="2692"/>
      <c r="G78" s="2665">
        <v>3877670</v>
      </c>
      <c r="H78" s="3570">
        <v>32907</v>
      </c>
      <c r="I78" s="3570">
        <v>5292198.1327999998</v>
      </c>
      <c r="J78" s="2690">
        <v>146921.71599999999</v>
      </c>
      <c r="K78" s="2697"/>
    </row>
    <row r="79" spans="1:11">
      <c r="A79" s="2667">
        <v>2018.1</v>
      </c>
      <c r="B79" s="2669"/>
      <c r="C79" s="3569"/>
      <c r="D79" s="3569"/>
      <c r="E79" s="2688"/>
      <c r="F79" s="2692"/>
      <c r="G79" s="2665">
        <v>3909872</v>
      </c>
      <c r="H79" s="3570">
        <v>33300</v>
      </c>
      <c r="I79" s="3570">
        <v>5336105.2879999997</v>
      </c>
      <c r="J79" s="2690">
        <v>148646.76800000001</v>
      </c>
      <c r="K79" s="2697"/>
    </row>
    <row r="80" spans="1:11">
      <c r="A80" s="2667">
        <v>2018.11</v>
      </c>
      <c r="B80" s="2669"/>
      <c r="C80" s="3569"/>
      <c r="D80" s="3569"/>
      <c r="E80" s="2688"/>
      <c r="F80" s="2692"/>
      <c r="G80" s="2665">
        <v>3947641</v>
      </c>
      <c r="H80" s="3570">
        <v>33815</v>
      </c>
      <c r="I80" s="3570">
        <v>5387296.9519999996</v>
      </c>
      <c r="J80" s="2690">
        <v>150887.9656</v>
      </c>
      <c r="K80" s="2697"/>
    </row>
    <row r="81" spans="1:11">
      <c r="A81" s="2667">
        <v>2018.12</v>
      </c>
      <c r="B81" s="2669"/>
      <c r="C81" s="3569"/>
      <c r="D81" s="3569"/>
      <c r="E81" s="2688"/>
      <c r="F81" s="2692"/>
      <c r="G81" s="2665">
        <v>3960198</v>
      </c>
      <c r="H81" s="3570">
        <v>34226</v>
      </c>
      <c r="I81" s="3570">
        <v>5828349.3424000004</v>
      </c>
      <c r="J81" s="2690">
        <v>164597.4</v>
      </c>
      <c r="K81" s="2697"/>
    </row>
    <row r="82" spans="1:11">
      <c r="A82" s="2667">
        <v>2019.01</v>
      </c>
      <c r="B82" s="2669"/>
      <c r="C82" s="3569"/>
      <c r="D82" s="3569"/>
      <c r="E82" s="2688"/>
      <c r="F82" s="2692"/>
      <c r="G82" s="2665">
        <v>3989385</v>
      </c>
      <c r="H82" s="3570">
        <v>34779</v>
      </c>
      <c r="I82" s="3570">
        <v>5870984.6040000003</v>
      </c>
      <c r="J82" s="2690">
        <v>167260.0104</v>
      </c>
      <c r="K82" s="2697"/>
    </row>
    <row r="83" spans="1:11">
      <c r="A83" s="2667">
        <v>2019.02</v>
      </c>
      <c r="B83" s="2669"/>
      <c r="C83" s="3569"/>
      <c r="D83" s="3569"/>
      <c r="E83" s="2688"/>
      <c r="F83" s="2692"/>
      <c r="G83" s="2665">
        <v>4020149</v>
      </c>
      <c r="H83" s="3570">
        <v>35495</v>
      </c>
      <c r="I83" s="3570">
        <v>5916068.3272000002</v>
      </c>
      <c r="J83" s="2690">
        <v>170707.24559999999</v>
      </c>
      <c r="K83" s="2697"/>
    </row>
    <row r="84" spans="1:11">
      <c r="A84" s="2667">
        <v>2019.03</v>
      </c>
      <c r="B84" s="2669"/>
      <c r="C84" s="3569"/>
      <c r="D84" s="3569"/>
      <c r="E84" s="2688"/>
      <c r="F84" s="2692"/>
      <c r="G84" s="2665">
        <v>3877128</v>
      </c>
      <c r="H84" s="3570">
        <v>35214</v>
      </c>
      <c r="I84" s="3570">
        <v>8329883.1456000004</v>
      </c>
      <c r="J84" s="2690">
        <v>247195.65359999999</v>
      </c>
      <c r="K84" s="2697"/>
    </row>
    <row r="85" spans="1:11">
      <c r="A85" s="2667">
        <v>2019.04</v>
      </c>
      <c r="B85" s="2669"/>
      <c r="C85" s="3569"/>
      <c r="D85" s="3569"/>
      <c r="E85" s="2688"/>
      <c r="F85" s="2692"/>
      <c r="G85" s="2665">
        <v>3888989</v>
      </c>
      <c r="H85" s="3570">
        <v>35745</v>
      </c>
      <c r="I85" s="3570">
        <v>8355074.8256000001</v>
      </c>
      <c r="J85" s="2690">
        <v>250904.11439999999</v>
      </c>
      <c r="K85" s="2697"/>
    </row>
    <row r="86" spans="1:11">
      <c r="A86" s="2667">
        <v>2019.05</v>
      </c>
      <c r="B86" s="2669"/>
      <c r="C86" s="3569"/>
      <c r="D86" s="3569"/>
      <c r="E86" s="2688"/>
      <c r="F86" s="2692"/>
      <c r="G86" s="2665">
        <v>3932308</v>
      </c>
      <c r="H86" s="3570">
        <v>36655</v>
      </c>
      <c r="I86" s="3570">
        <v>8448927.7503999993</v>
      </c>
      <c r="J86" s="2690">
        <v>257288.83840000001</v>
      </c>
      <c r="K86" s="2697"/>
    </row>
    <row r="87" spans="1:11">
      <c r="A87" s="2667">
        <v>2019.06</v>
      </c>
      <c r="B87" s="2669"/>
      <c r="C87" s="3569"/>
      <c r="D87" s="3569"/>
      <c r="E87" s="2688"/>
      <c r="F87" s="2692"/>
      <c r="G87" s="2665">
        <v>3886635</v>
      </c>
      <c r="H87" s="3570">
        <v>36405</v>
      </c>
      <c r="I87" s="3570">
        <v>8349206.2527999999</v>
      </c>
      <c r="J87" s="2690">
        <v>255411.0816</v>
      </c>
      <c r="K87" s="2697"/>
    </row>
    <row r="88" spans="1:11">
      <c r="A88" s="2667">
        <v>2019.07</v>
      </c>
      <c r="B88" s="2669"/>
      <c r="C88" s="3569"/>
      <c r="D88" s="3569"/>
      <c r="E88" s="2688"/>
      <c r="F88" s="2692"/>
      <c r="G88" s="2665">
        <v>3881003</v>
      </c>
      <c r="H88" s="3570">
        <v>36963</v>
      </c>
      <c r="I88" s="3570">
        <v>8337280.3263983605</v>
      </c>
      <c r="J88" s="2690">
        <v>259366.36719999724</v>
      </c>
      <c r="K88" s="2697"/>
    </row>
    <row r="89" spans="1:11">
      <c r="A89" s="2667">
        <v>2019.08</v>
      </c>
      <c r="B89" s="2669"/>
      <c r="C89" s="3569"/>
      <c r="D89" s="3569"/>
      <c r="E89" s="2688"/>
      <c r="F89" s="2692"/>
      <c r="G89" s="2665">
        <v>4229181</v>
      </c>
      <c r="H89" s="3570">
        <v>41802</v>
      </c>
      <c r="I89" s="3570">
        <v>9090287.8079993092</v>
      </c>
      <c r="J89" s="2690">
        <v>293424.23440000479</v>
      </c>
      <c r="K89" s="2697"/>
    </row>
    <row r="90" spans="1:11">
      <c r="A90" s="2667">
        <v>2019.09</v>
      </c>
      <c r="B90" s="2669"/>
      <c r="C90" s="3569"/>
      <c r="D90" s="3569"/>
      <c r="E90" s="2688"/>
      <c r="F90" s="2692"/>
      <c r="G90" s="2665">
        <v>4058411</v>
      </c>
      <c r="H90" s="3570">
        <v>40217</v>
      </c>
      <c r="I90" s="3570">
        <v>8717998.1056000013</v>
      </c>
      <c r="J90" s="2690">
        <v>282159.86080000002</v>
      </c>
      <c r="K90" s="2697"/>
    </row>
    <row r="91" spans="1:11">
      <c r="A91" s="2667">
        <v>2019.1</v>
      </c>
      <c r="B91" s="2669"/>
      <c r="C91" s="3569"/>
      <c r="D91" s="3569"/>
      <c r="E91" s="2688"/>
      <c r="F91" s="2692"/>
      <c r="G91" s="2665">
        <v>4018413</v>
      </c>
      <c r="H91" s="3570">
        <v>40187</v>
      </c>
      <c r="I91" s="3570">
        <v>8632781.1040000003</v>
      </c>
      <c r="J91" s="2690">
        <v>281942.0808</v>
      </c>
      <c r="K91" s="2697"/>
    </row>
    <row r="92" spans="1:11">
      <c r="A92" s="2667">
        <v>2019.11</v>
      </c>
      <c r="B92" s="2669"/>
      <c r="C92" s="3569"/>
      <c r="D92" s="3569"/>
      <c r="E92" s="2688"/>
      <c r="F92" s="2692"/>
      <c r="G92" s="2665">
        <v>4121639</v>
      </c>
      <c r="H92" s="3570">
        <v>41873</v>
      </c>
      <c r="I92" s="3570">
        <v>8855157.8783999998</v>
      </c>
      <c r="J92" s="2690">
        <v>293799.62719999999</v>
      </c>
      <c r="K92" s="2697"/>
    </row>
    <row r="93" spans="1:11">
      <c r="A93" s="2667">
        <v>2019.12</v>
      </c>
      <c r="B93" s="2669"/>
      <c r="C93" s="3569"/>
      <c r="D93" s="3569"/>
      <c r="E93" s="2688"/>
      <c r="F93" s="2691"/>
      <c r="G93" s="2665">
        <v>4111785</v>
      </c>
      <c r="H93" s="3570">
        <v>42867</v>
      </c>
      <c r="I93" s="3570">
        <v>9148104.2383999992</v>
      </c>
      <c r="J93" s="2690">
        <v>311417.26319999999</v>
      </c>
      <c r="K93" s="2698">
        <v>114651</v>
      </c>
    </row>
    <row r="94" spans="1:11">
      <c r="A94" s="2667">
        <v>2020.01</v>
      </c>
      <c r="B94" s="2669"/>
      <c r="C94" s="3569"/>
      <c r="D94" s="3569"/>
      <c r="E94" s="2688"/>
      <c r="F94" s="2692"/>
      <c r="G94" s="2665">
        <v>4144406</v>
      </c>
      <c r="H94" s="3570">
        <v>44328</v>
      </c>
      <c r="I94" s="3570">
        <v>9220808.2464000005</v>
      </c>
      <c r="J94" s="2690">
        <v>322069.98480000003</v>
      </c>
      <c r="K94" s="2699">
        <v>118431</v>
      </c>
    </row>
    <row r="95" spans="1:11">
      <c r="A95" s="2667">
        <v>2020.02</v>
      </c>
      <c r="B95" s="2669"/>
      <c r="C95" s="3569"/>
      <c r="D95" s="3569"/>
      <c r="E95" s="2688"/>
      <c r="F95" s="2692"/>
      <c r="G95" s="2665">
        <v>4231199</v>
      </c>
      <c r="H95" s="3570">
        <v>46447</v>
      </c>
      <c r="I95" s="3570">
        <v>9411622.1103999987</v>
      </c>
      <c r="J95" s="2690">
        <v>337391.59519999998</v>
      </c>
      <c r="K95" s="2699">
        <v>117793</v>
      </c>
    </row>
    <row r="96" spans="1:11">
      <c r="A96" s="2667">
        <v>2020.03</v>
      </c>
      <c r="B96" s="2669"/>
      <c r="C96" s="3569"/>
      <c r="D96" s="3569"/>
      <c r="E96" s="2688"/>
      <c r="F96" s="2692"/>
      <c r="G96" s="2665">
        <v>4213520</v>
      </c>
      <c r="H96" s="3570">
        <v>46876</v>
      </c>
      <c r="I96" s="3570">
        <v>10589255.868000001</v>
      </c>
      <c r="J96" s="2690">
        <v>384760.43039999995</v>
      </c>
      <c r="K96" s="2699">
        <v>116113</v>
      </c>
    </row>
    <row r="97" spans="1:11">
      <c r="A97" s="2667">
        <v>2020.04</v>
      </c>
      <c r="B97" s="2669"/>
      <c r="C97" s="3569"/>
      <c r="D97" s="3569"/>
      <c r="E97" s="2688"/>
      <c r="F97" s="2692"/>
      <c r="G97" s="2665">
        <v>4234538</v>
      </c>
      <c r="H97" s="3570">
        <v>47764</v>
      </c>
      <c r="I97" s="3570">
        <v>10641637.260799998</v>
      </c>
      <c r="J97" s="2690">
        <v>392040.37280000001</v>
      </c>
      <c r="K97" s="2699">
        <v>103601</v>
      </c>
    </row>
    <row r="98" spans="1:11">
      <c r="A98" s="2667">
        <v>2020.05</v>
      </c>
      <c r="B98" s="2669"/>
      <c r="C98" s="3569"/>
      <c r="D98" s="3569"/>
      <c r="E98" s="2688"/>
      <c r="F98" s="2692"/>
      <c r="G98" s="2665">
        <v>4263867</v>
      </c>
      <c r="H98" s="3570">
        <v>48043</v>
      </c>
      <c r="I98" s="3570">
        <v>10716763.622399999</v>
      </c>
      <c r="J98" s="2690">
        <v>394377.24560000002</v>
      </c>
      <c r="K98" s="2699">
        <v>118261</v>
      </c>
    </row>
    <row r="99" spans="1:11">
      <c r="A99" s="2667">
        <v>2020.06</v>
      </c>
      <c r="B99" s="2669"/>
      <c r="C99" s="3569"/>
      <c r="D99" s="3569"/>
      <c r="E99" s="2688"/>
      <c r="F99" s="2692"/>
      <c r="G99" s="2665">
        <v>4344464</v>
      </c>
      <c r="H99" s="3570">
        <v>49912</v>
      </c>
      <c r="I99" s="3570">
        <v>11587020.495999999</v>
      </c>
      <c r="J99" s="2690">
        <v>434782.1752</v>
      </c>
      <c r="K99" s="2699">
        <v>119490</v>
      </c>
    </row>
    <row r="100" spans="1:11">
      <c r="A100" s="2667">
        <v>2020.07</v>
      </c>
      <c r="B100" s="2669"/>
      <c r="C100" s="3569"/>
      <c r="D100" s="3569"/>
      <c r="E100" s="2688"/>
      <c r="F100" s="2692"/>
      <c r="G100" s="2665">
        <v>4317691</v>
      </c>
      <c r="H100" s="3570">
        <v>49938</v>
      </c>
      <c r="I100" s="3570">
        <v>11515202.143200001</v>
      </c>
      <c r="J100" s="2690">
        <v>434987.33280000003</v>
      </c>
      <c r="K100" s="2699">
        <v>127796</v>
      </c>
    </row>
    <row r="101" spans="1:11">
      <c r="A101" s="2667">
        <v>2020.08</v>
      </c>
      <c r="B101" s="2669"/>
      <c r="C101" s="3569"/>
      <c r="D101" s="3569"/>
      <c r="E101" s="2688"/>
      <c r="F101" s="2692"/>
      <c r="G101" s="2665">
        <v>4327163</v>
      </c>
      <c r="H101" s="3570">
        <v>49710</v>
      </c>
      <c r="I101" s="3570">
        <v>11539448.5624</v>
      </c>
      <c r="J101" s="2690">
        <v>433004.42879999999</v>
      </c>
      <c r="K101" s="2699">
        <v>126213</v>
      </c>
    </row>
    <row r="102" spans="1:11">
      <c r="A102" s="2667">
        <v>2020.09</v>
      </c>
      <c r="B102" s="2669"/>
      <c r="C102" s="3569"/>
      <c r="D102" s="3569"/>
      <c r="E102" s="2688"/>
      <c r="F102" s="2692"/>
      <c r="G102" s="2665">
        <v>4299907</v>
      </c>
      <c r="H102" s="3570">
        <v>49274</v>
      </c>
      <c r="I102" s="3570">
        <v>12326603.6976</v>
      </c>
      <c r="J102" s="2690">
        <v>461459.1128</v>
      </c>
      <c r="K102" s="2699">
        <v>141264</v>
      </c>
    </row>
    <row r="103" spans="1:11">
      <c r="A103" s="2667">
        <v>2020.1</v>
      </c>
      <c r="B103" s="2669"/>
      <c r="C103" s="3569"/>
      <c r="D103" s="3569"/>
      <c r="E103" s="2688"/>
      <c r="F103" s="2692"/>
      <c r="G103" s="2665">
        <v>4258758</v>
      </c>
      <c r="H103" s="3570">
        <v>48745</v>
      </c>
      <c r="I103" s="3570">
        <v>12208438.4976</v>
      </c>
      <c r="J103" s="2690">
        <v>456533.2</v>
      </c>
      <c r="K103" s="2699">
        <v>143114</v>
      </c>
    </row>
    <row r="104" spans="1:11">
      <c r="A104" s="2667">
        <v>2020.11</v>
      </c>
      <c r="B104" s="2669"/>
      <c r="C104" s="3569"/>
      <c r="D104" s="3569"/>
      <c r="E104" s="2688"/>
      <c r="F104" s="2692"/>
      <c r="G104" s="2665">
        <v>4249301</v>
      </c>
      <c r="H104" s="3570">
        <v>48845</v>
      </c>
      <c r="I104" s="3570">
        <v>12180450.691200001</v>
      </c>
      <c r="J104" s="2690">
        <v>457370.16719999997</v>
      </c>
      <c r="K104" s="2699">
        <v>143631</v>
      </c>
    </row>
    <row r="105" spans="1:11">
      <c r="A105" s="2667">
        <v>2020.12</v>
      </c>
      <c r="B105" s="2669"/>
      <c r="C105" s="3569"/>
      <c r="D105" s="3569"/>
      <c r="E105" s="2688"/>
      <c r="F105" s="2692"/>
      <c r="G105" s="2665">
        <v>4304207</v>
      </c>
      <c r="H105" s="3570">
        <v>49515</v>
      </c>
      <c r="I105" s="3570">
        <v>12953221.135200001</v>
      </c>
      <c r="J105" s="2690">
        <v>486810.15360000002</v>
      </c>
      <c r="K105" s="2699">
        <v>143829</v>
      </c>
    </row>
    <row r="106" spans="1:11">
      <c r="A106" s="2667">
        <f t="shared" ref="A106:A137" si="0">A94+1</f>
        <v>2021.01</v>
      </c>
      <c r="B106" s="2669"/>
      <c r="C106" s="3569"/>
      <c r="D106" s="3569"/>
      <c r="E106" s="2688"/>
      <c r="F106" s="2692"/>
      <c r="G106" s="2665">
        <v>4304473</v>
      </c>
      <c r="H106" s="3570">
        <v>49367</v>
      </c>
      <c r="I106" s="3570">
        <v>12952636.308</v>
      </c>
      <c r="J106" s="2690">
        <v>485312.13439999998</v>
      </c>
      <c r="K106" s="2699">
        <v>143380</v>
      </c>
    </row>
    <row r="107" spans="1:11">
      <c r="A107" s="2667">
        <f t="shared" si="0"/>
        <v>2021.02</v>
      </c>
      <c r="B107" s="2669"/>
      <c r="C107" s="3569"/>
      <c r="D107" s="3569"/>
      <c r="E107" s="2688"/>
      <c r="F107" s="2692"/>
      <c r="G107" s="2665">
        <v>4309864</v>
      </c>
      <c r="H107" s="3570">
        <v>49453</v>
      </c>
      <c r="I107" s="3570">
        <v>12969408.0096</v>
      </c>
      <c r="J107" s="2690">
        <v>486235.56319999998</v>
      </c>
      <c r="K107" s="2699">
        <v>142022</v>
      </c>
    </row>
    <row r="108" spans="1:11">
      <c r="A108" s="2667">
        <f t="shared" si="0"/>
        <v>2021.03</v>
      </c>
      <c r="B108" s="2669"/>
      <c r="C108" s="3569"/>
      <c r="D108" s="3569"/>
      <c r="E108" s="2688"/>
      <c r="F108" s="2692"/>
      <c r="G108" s="2665">
        <v>4331667</v>
      </c>
      <c r="H108" s="3570">
        <v>50067</v>
      </c>
      <c r="I108" s="3570">
        <v>14087031.012</v>
      </c>
      <c r="J108" s="2690">
        <v>532001.68559999997</v>
      </c>
      <c r="K108" s="2699">
        <v>140158</v>
      </c>
    </row>
    <row r="109" spans="1:11">
      <c r="A109" s="2667">
        <f t="shared" si="0"/>
        <v>2021.04</v>
      </c>
      <c r="B109" s="2669"/>
      <c r="C109" s="3569"/>
      <c r="D109" s="3569"/>
      <c r="E109" s="2688"/>
      <c r="F109" s="2692"/>
      <c r="G109" s="2665">
        <v>4352114</v>
      </c>
      <c r="H109" s="3570">
        <v>48985</v>
      </c>
      <c r="I109" s="3570">
        <v>14152469.347200001</v>
      </c>
      <c r="J109" s="2690">
        <v>520275.14</v>
      </c>
      <c r="K109" s="2699">
        <v>138660</v>
      </c>
    </row>
    <row r="110" spans="1:11">
      <c r="A110" s="2667">
        <f t="shared" si="0"/>
        <v>2021.05</v>
      </c>
      <c r="B110" s="2669"/>
      <c r="C110" s="3569"/>
      <c r="D110" s="3569"/>
      <c r="E110" s="2688"/>
      <c r="F110" s="2692"/>
      <c r="G110" s="2665">
        <v>4328422</v>
      </c>
      <c r="H110" s="3570">
        <v>48851</v>
      </c>
      <c r="I110" s="3570">
        <v>14075179.800000001</v>
      </c>
      <c r="J110" s="2690">
        <v>518859.32560000004</v>
      </c>
      <c r="K110" s="2699">
        <v>140983</v>
      </c>
    </row>
    <row r="111" spans="1:11">
      <c r="A111" s="2667">
        <f t="shared" si="0"/>
        <v>2021.06</v>
      </c>
      <c r="B111" s="2669"/>
      <c r="C111" s="3569"/>
      <c r="D111" s="3569"/>
      <c r="E111" s="2688"/>
      <c r="F111" s="2692"/>
      <c r="G111" s="2665">
        <v>4315672</v>
      </c>
      <c r="H111" s="3570">
        <v>48672</v>
      </c>
      <c r="I111" s="3570">
        <v>15735572.326399999</v>
      </c>
      <c r="J111" s="2690">
        <v>579555.28320000006</v>
      </c>
      <c r="K111" s="2699">
        <v>140313</v>
      </c>
    </row>
    <row r="112" spans="1:11">
      <c r="A112" s="2667">
        <f t="shared" si="0"/>
        <v>2021.07</v>
      </c>
      <c r="B112" s="2669"/>
      <c r="C112" s="3569"/>
      <c r="D112" s="3569"/>
      <c r="E112" s="2688"/>
      <c r="F112" s="2692"/>
      <c r="G112" s="2665">
        <v>4327158</v>
      </c>
      <c r="H112" s="3570">
        <v>49039</v>
      </c>
      <c r="I112" s="3570">
        <v>15776694.771200001</v>
      </c>
      <c r="J112" s="2690">
        <v>583769.32400000002</v>
      </c>
      <c r="K112" s="2699">
        <v>142565</v>
      </c>
    </row>
    <row r="113" spans="1:11">
      <c r="A113" s="2667">
        <f t="shared" si="0"/>
        <v>2021.08</v>
      </c>
      <c r="B113" s="2669"/>
      <c r="C113" s="3569"/>
      <c r="D113" s="3569"/>
      <c r="E113" s="2688"/>
      <c r="F113" s="2692"/>
      <c r="G113" s="2665">
        <v>4350837</v>
      </c>
      <c r="H113" s="3570">
        <v>50003</v>
      </c>
      <c r="I113" s="3570">
        <v>15863202.5408</v>
      </c>
      <c r="J113" s="2690">
        <v>595260.86320000002</v>
      </c>
      <c r="K113" s="2699">
        <v>143023</v>
      </c>
    </row>
    <row r="114" spans="1:11">
      <c r="A114" s="2667">
        <f t="shared" si="0"/>
        <v>2021.09</v>
      </c>
      <c r="B114" s="2669"/>
      <c r="C114" s="3569"/>
      <c r="D114" s="3569"/>
      <c r="E114" s="2688"/>
      <c r="F114" s="2692"/>
      <c r="G114" s="2665">
        <v>4352796</v>
      </c>
      <c r="H114" s="3570">
        <v>50357</v>
      </c>
      <c r="I114" s="3570">
        <v>17842459.342400003</v>
      </c>
      <c r="J114" s="2690">
        <v>673649.49920000008</v>
      </c>
      <c r="K114" s="2699">
        <v>139730</v>
      </c>
    </row>
    <row r="115" spans="1:11">
      <c r="A115" s="2667">
        <f t="shared" si="0"/>
        <v>2021.1</v>
      </c>
      <c r="B115" s="2669"/>
      <c r="C115" s="3569"/>
      <c r="D115" s="3569"/>
      <c r="E115" s="2688"/>
      <c r="F115" s="2692"/>
      <c r="G115" s="2665">
        <v>4333674</v>
      </c>
      <c r="H115" s="3570">
        <v>50690</v>
      </c>
      <c r="I115" s="3570">
        <v>17762465.395199999</v>
      </c>
      <c r="J115" s="2690">
        <v>678012.36</v>
      </c>
      <c r="K115" s="2699" t="e">
        <v>#N/A</v>
      </c>
    </row>
    <row r="116" spans="1:11">
      <c r="A116" s="2667">
        <f t="shared" si="0"/>
        <v>2021.11</v>
      </c>
      <c r="B116" s="2669"/>
      <c r="C116" s="3569"/>
      <c r="D116" s="3569"/>
      <c r="E116" s="2688"/>
      <c r="F116" s="2692"/>
      <c r="G116" s="2665">
        <v>4333346</v>
      </c>
      <c r="H116" s="3570">
        <v>51423</v>
      </c>
      <c r="I116" s="3570">
        <v>17759689.560800001</v>
      </c>
      <c r="J116" s="2690">
        <v>687816.26800000004</v>
      </c>
      <c r="K116" s="2699" t="e">
        <v>#N/A</v>
      </c>
    </row>
    <row r="117" spans="1:11">
      <c r="A117" s="2667">
        <f t="shared" si="0"/>
        <v>2021.12</v>
      </c>
      <c r="B117" s="2669"/>
      <c r="C117" s="3569"/>
      <c r="D117" s="3569"/>
      <c r="E117" s="2688"/>
      <c r="F117" s="2692"/>
      <c r="G117" s="2665">
        <v>4339386</v>
      </c>
      <c r="H117" s="3570">
        <v>52126</v>
      </c>
      <c r="I117" s="3570">
        <v>19941181.646400001</v>
      </c>
      <c r="J117" s="2690">
        <v>781593.44479999994</v>
      </c>
      <c r="K117" s="2699">
        <v>129095</v>
      </c>
    </row>
    <row r="118" spans="1:11">
      <c r="A118" s="2667">
        <f t="shared" si="0"/>
        <v>2022.01</v>
      </c>
      <c r="B118" s="2669"/>
      <c r="C118" s="3569"/>
      <c r="D118" s="3569"/>
      <c r="E118" s="2688"/>
      <c r="F118" s="2692"/>
      <c r="G118" s="2665">
        <v>4321019</v>
      </c>
      <c r="H118" s="3570">
        <v>52567</v>
      </c>
      <c r="I118" s="3570">
        <v>19855226.437599998</v>
      </c>
      <c r="J118" s="2690">
        <v>788073.73600000003</v>
      </c>
      <c r="K118" s="2699">
        <v>41070</v>
      </c>
    </row>
    <row r="119" spans="1:11">
      <c r="A119" s="2667">
        <f t="shared" si="0"/>
        <v>2022.02</v>
      </c>
      <c r="B119" s="2669"/>
      <c r="C119" s="3569"/>
      <c r="D119" s="3569"/>
      <c r="E119" s="2688"/>
      <c r="F119" s="2692"/>
      <c r="G119" s="2665">
        <v>4320566</v>
      </c>
      <c r="H119" s="3570">
        <v>53167</v>
      </c>
      <c r="I119" s="3570">
        <v>19852362.078400001</v>
      </c>
      <c r="J119" s="2690">
        <v>796990.8088</v>
      </c>
      <c r="K119" s="2699">
        <v>40684</v>
      </c>
    </row>
    <row r="120" spans="1:11">
      <c r="A120" s="2667">
        <f t="shared" si="0"/>
        <v>2022.03</v>
      </c>
      <c r="B120" s="2669"/>
      <c r="C120" s="3569"/>
      <c r="D120" s="3569"/>
      <c r="E120" s="2688"/>
      <c r="F120" s="2692"/>
      <c r="G120" s="2665">
        <v>4343327</v>
      </c>
      <c r="H120" s="3570">
        <v>54064</v>
      </c>
      <c r="I120" s="3570">
        <v>22410358.2568</v>
      </c>
      <c r="J120" s="2690">
        <v>910006.37120000005</v>
      </c>
      <c r="K120" s="2699">
        <v>40873</v>
      </c>
    </row>
    <row r="121" spans="1:11">
      <c r="A121" s="2667">
        <f t="shared" si="0"/>
        <v>2022.04</v>
      </c>
      <c r="B121" s="2669"/>
      <c r="C121" s="3569"/>
      <c r="D121" s="3569"/>
      <c r="E121" s="2688"/>
      <c r="F121" s="2692"/>
      <c r="G121" s="2665">
        <v>4327669</v>
      </c>
      <c r="H121" s="3570">
        <v>54330</v>
      </c>
      <c r="I121" s="3570">
        <v>22330193.316</v>
      </c>
      <c r="J121" s="2690">
        <v>914664.60800000001</v>
      </c>
      <c r="K121" s="2699">
        <v>42587</v>
      </c>
    </row>
    <row r="122" spans="1:11">
      <c r="A122" s="2667">
        <f t="shared" si="0"/>
        <v>2022.05</v>
      </c>
      <c r="B122" s="2669"/>
      <c r="C122" s="3569"/>
      <c r="D122" s="3569"/>
      <c r="E122" s="2688"/>
      <c r="F122" s="2692"/>
      <c r="G122" s="2665">
        <v>4423581</v>
      </c>
      <c r="H122" s="3570">
        <v>57230</v>
      </c>
      <c r="I122" s="3570">
        <v>22823674.0176</v>
      </c>
      <c r="J122" s="2690">
        <v>963424.85600000003</v>
      </c>
      <c r="K122" s="2699">
        <v>44674</v>
      </c>
    </row>
    <row r="123" spans="1:11">
      <c r="A123" s="2667">
        <f t="shared" si="0"/>
        <v>2022.06</v>
      </c>
      <c r="B123" s="2669"/>
      <c r="C123" s="3569"/>
      <c r="D123" s="3569"/>
      <c r="E123" s="2688"/>
      <c r="F123" s="2692"/>
      <c r="G123" s="2665">
        <v>4314154</v>
      </c>
      <c r="H123" s="3570">
        <v>55052</v>
      </c>
      <c r="I123" s="3570">
        <v>25598217.382400002</v>
      </c>
      <c r="J123" s="2690">
        <v>1065330.8256000001</v>
      </c>
      <c r="K123" s="2699">
        <v>46039</v>
      </c>
    </row>
    <row r="124" spans="1:11">
      <c r="A124" s="2667">
        <f t="shared" si="0"/>
        <v>2022.07</v>
      </c>
      <c r="B124" s="2669"/>
      <c r="C124" s="3569"/>
      <c r="D124" s="3569"/>
      <c r="E124" s="2688"/>
      <c r="F124" s="2692"/>
      <c r="G124" s="2665">
        <v>4309520</v>
      </c>
      <c r="H124" s="3570">
        <v>55149</v>
      </c>
      <c r="I124" s="3570">
        <v>25570791.552000001</v>
      </c>
      <c r="J124" s="2690">
        <v>1067120.9392000001</v>
      </c>
      <c r="K124" s="2699">
        <v>47681</v>
      </c>
    </row>
    <row r="125" spans="1:11">
      <c r="A125" s="2667">
        <f t="shared" si="0"/>
        <v>2022.08</v>
      </c>
      <c r="B125" s="2669"/>
      <c r="C125" s="3569"/>
      <c r="D125" s="3569"/>
      <c r="E125" s="2688"/>
      <c r="F125" s="2692"/>
      <c r="G125" s="2665">
        <v>4304708</v>
      </c>
      <c r="H125" s="3570">
        <v>55325</v>
      </c>
      <c r="I125" s="3570">
        <v>25540517.6448</v>
      </c>
      <c r="J125" s="2690">
        <v>1070477.652</v>
      </c>
      <c r="K125" s="2699">
        <v>49909</v>
      </c>
    </row>
    <row r="126" spans="1:11">
      <c r="A126" s="2667">
        <f t="shared" si="0"/>
        <v>2022.09</v>
      </c>
      <c r="B126" s="2669"/>
      <c r="C126" s="3569"/>
      <c r="D126" s="3569"/>
      <c r="E126" s="2688"/>
      <c r="F126" s="2692"/>
      <c r="G126" s="2665">
        <v>4279101</v>
      </c>
      <c r="H126" s="3570">
        <v>55502</v>
      </c>
      <c r="I126" s="3570">
        <v>29331097.122400001</v>
      </c>
      <c r="J126" s="2690">
        <v>1240713.4712</v>
      </c>
      <c r="K126" s="2699">
        <v>53824</v>
      </c>
    </row>
    <row r="127" spans="1:11">
      <c r="A127" s="2667">
        <f t="shared" si="0"/>
        <v>2022.1</v>
      </c>
      <c r="B127" s="2669"/>
      <c r="C127" s="3569"/>
      <c r="D127" s="3569"/>
      <c r="E127" s="2688"/>
      <c r="F127" s="2692"/>
      <c r="G127" s="2665">
        <v>4271594</v>
      </c>
      <c r="H127" s="3570">
        <v>55944</v>
      </c>
      <c r="I127" s="3570">
        <v>29278692.384</v>
      </c>
      <c r="J127" s="2690">
        <v>1250383.2144000002</v>
      </c>
      <c r="K127" s="2699">
        <v>55427</v>
      </c>
    </row>
    <row r="128" spans="1:11">
      <c r="A128" s="2667">
        <f t="shared" si="0"/>
        <v>2022.11</v>
      </c>
      <c r="B128" s="2669"/>
      <c r="C128" s="3569"/>
      <c r="D128" s="3569"/>
      <c r="E128" s="2688"/>
      <c r="F128" s="2692"/>
      <c r="G128" s="2665">
        <v>4272045</v>
      </c>
      <c r="H128" s="3570">
        <v>56978</v>
      </c>
      <c r="I128" s="3570">
        <v>29283294.2568</v>
      </c>
      <c r="J128" s="2690">
        <v>1273430.7967999999</v>
      </c>
      <c r="K128" s="2699">
        <v>57110</v>
      </c>
    </row>
    <row r="129" spans="1:11">
      <c r="A129" s="2667">
        <f t="shared" si="0"/>
        <v>2022.12</v>
      </c>
      <c r="B129" s="2669"/>
      <c r="C129" s="3569"/>
      <c r="D129" s="3569"/>
      <c r="E129" s="2688"/>
      <c r="F129" s="2692"/>
      <c r="G129" s="2665">
        <v>4256558</v>
      </c>
      <c r="H129" s="3570">
        <v>49965</v>
      </c>
      <c r="I129" s="3570">
        <v>33737530.635200001</v>
      </c>
      <c r="J129" s="2690">
        <v>1291666.7279999999</v>
      </c>
      <c r="K129" s="2699">
        <v>58441</v>
      </c>
    </row>
    <row r="130" spans="1:11">
      <c r="A130" s="2667">
        <f t="shared" si="0"/>
        <v>2023.01</v>
      </c>
      <c r="B130" s="2669"/>
      <c r="C130" s="3569"/>
      <c r="D130" s="3569"/>
      <c r="E130" s="2688"/>
      <c r="F130" s="2692"/>
      <c r="G130" s="2665">
        <v>4240935</v>
      </c>
      <c r="H130" s="3570">
        <v>50320</v>
      </c>
      <c r="I130" s="3570">
        <v>33610262.983999997</v>
      </c>
      <c r="J130" s="2690">
        <v>1300665.08</v>
      </c>
      <c r="K130" s="2699">
        <v>58179</v>
      </c>
    </row>
    <row r="131" spans="1:11">
      <c r="A131" s="2667">
        <f t="shared" si="0"/>
        <v>2023.02</v>
      </c>
      <c r="B131" s="2669"/>
      <c r="C131" s="3569"/>
      <c r="D131" s="3569"/>
      <c r="E131" s="2688"/>
      <c r="F131" s="2692"/>
      <c r="G131" s="2665">
        <v>4238330</v>
      </c>
      <c r="H131" s="3570">
        <v>51103</v>
      </c>
      <c r="I131" s="3570">
        <v>33588399.513599999</v>
      </c>
      <c r="J131" s="2690">
        <v>1320800.3600000001</v>
      </c>
      <c r="K131" s="2699">
        <v>58972</v>
      </c>
    </row>
    <row r="132" spans="1:11">
      <c r="A132" s="2667">
        <f t="shared" si="0"/>
        <v>2023.03</v>
      </c>
      <c r="B132" s="2669"/>
      <c r="C132" s="3569"/>
      <c r="D132" s="3569"/>
      <c r="E132" s="2688"/>
      <c r="F132" s="2692"/>
      <c r="G132" s="2665">
        <v>4218897</v>
      </c>
      <c r="H132" s="3570">
        <v>51474</v>
      </c>
      <c r="I132" s="3570">
        <v>39130010.899999999</v>
      </c>
      <c r="J132" s="2690">
        <v>1556812.9783999999</v>
      </c>
      <c r="K132" s="2699">
        <v>59171</v>
      </c>
    </row>
    <row r="133" spans="1:11">
      <c r="A133" s="2667">
        <f t="shared" si="0"/>
        <v>2023.04</v>
      </c>
      <c r="B133" s="2669"/>
      <c r="C133" s="3569"/>
      <c r="D133" s="3569"/>
      <c r="E133" s="2688"/>
      <c r="F133" s="2692"/>
      <c r="G133" s="2665">
        <v>4187348</v>
      </c>
      <c r="H133" s="3570">
        <v>52312</v>
      </c>
      <c r="I133" s="3570">
        <v>38833647.887999997</v>
      </c>
      <c r="J133" s="2690">
        <v>1582120.8176</v>
      </c>
      <c r="K133" s="2699">
        <v>61896</v>
      </c>
    </row>
    <row r="134" spans="1:11">
      <c r="A134" s="2667">
        <f t="shared" si="0"/>
        <v>2023.05</v>
      </c>
      <c r="B134" s="2669"/>
      <c r="C134" s="3569"/>
      <c r="D134" s="3569"/>
      <c r="E134" s="2688"/>
      <c r="F134" s="2692"/>
      <c r="G134" s="2665">
        <v>4172706</v>
      </c>
      <c r="H134" s="3570">
        <v>53608</v>
      </c>
      <c r="I134" s="3570">
        <v>38698622.184</v>
      </c>
      <c r="J134" s="2690">
        <v>1621377.3912</v>
      </c>
      <c r="K134" s="2699">
        <v>63454</v>
      </c>
    </row>
    <row r="135" spans="1:11">
      <c r="A135" s="2667">
        <f t="shared" si="0"/>
        <v>2023.06</v>
      </c>
      <c r="B135" s="2669"/>
      <c r="C135" s="3569"/>
      <c r="D135" s="3569"/>
      <c r="E135" s="2688"/>
      <c r="F135" s="2692"/>
      <c r="G135" s="2665">
        <v>4169832</v>
      </c>
      <c r="H135" s="3570">
        <v>54973</v>
      </c>
      <c r="I135" s="3570">
        <v>46767745.126400001</v>
      </c>
      <c r="J135" s="2690">
        <v>2010610.6728000001</v>
      </c>
      <c r="K135" s="2699">
        <v>64513</v>
      </c>
    </row>
    <row r="136" spans="1:11">
      <c r="A136" s="2667">
        <f t="shared" si="0"/>
        <v>2023.07</v>
      </c>
      <c r="B136" s="2669"/>
      <c r="C136" s="3569"/>
      <c r="D136" s="3569"/>
      <c r="E136" s="2688"/>
      <c r="F136" s="2692"/>
      <c r="G136" s="2665">
        <v>4172002</v>
      </c>
      <c r="H136" s="3570">
        <v>56557</v>
      </c>
      <c r="I136" s="3570">
        <v>46792561.830399998</v>
      </c>
      <c r="J136" s="2690">
        <v>2068276.0632</v>
      </c>
      <c r="K136" s="2699">
        <v>65718</v>
      </c>
    </row>
    <row r="137" spans="1:11">
      <c r="A137" s="2667">
        <f t="shared" si="0"/>
        <v>2023.08</v>
      </c>
      <c r="B137" s="2669"/>
      <c r="C137" s="3569"/>
      <c r="D137" s="3569"/>
      <c r="E137" s="2688"/>
      <c r="F137" s="2692"/>
      <c r="G137" s="2665">
        <v>4166811</v>
      </c>
      <c r="H137" s="3570">
        <v>57922</v>
      </c>
      <c r="I137" s="3570">
        <v>46733912.467200004</v>
      </c>
      <c r="J137" s="2690">
        <v>2118248.4191999999</v>
      </c>
      <c r="K137" s="2699">
        <v>71483</v>
      </c>
    </row>
    <row r="138" spans="1:11">
      <c r="A138" s="2667">
        <f t="shared" ref="A138:A169" si="1">A126+1</f>
        <v>2023.09</v>
      </c>
      <c r="B138" s="2669"/>
      <c r="C138" s="3569"/>
      <c r="D138" s="3569"/>
      <c r="E138" s="2688"/>
      <c r="F138" s="2692"/>
      <c r="G138" s="2665">
        <v>4063065</v>
      </c>
      <c r="H138" s="3570">
        <v>57576</v>
      </c>
      <c r="I138" s="3570">
        <v>56171487.984800003</v>
      </c>
      <c r="J138" s="2690">
        <v>2595110.1368</v>
      </c>
      <c r="K138" s="2699">
        <v>67527</v>
      </c>
    </row>
    <row r="139" spans="1:11">
      <c r="A139" s="2667">
        <f t="shared" si="1"/>
        <v>2023.1</v>
      </c>
      <c r="B139" s="2669"/>
      <c r="C139" s="3569"/>
      <c r="D139" s="3569"/>
      <c r="E139" s="2688"/>
      <c r="F139" s="2692"/>
      <c r="G139" s="2665">
        <v>4057533</v>
      </c>
      <c r="H139" s="3570">
        <v>58640</v>
      </c>
      <c r="I139" s="3570">
        <v>56091718.292000003</v>
      </c>
      <c r="J139" s="2690">
        <v>2642556.4271999998</v>
      </c>
      <c r="K139" s="2699" t="e">
        <v>#N/A</v>
      </c>
    </row>
    <row r="140" spans="1:11">
      <c r="A140" s="2667">
        <f t="shared" si="1"/>
        <v>2023.11</v>
      </c>
      <c r="B140" s="2669"/>
      <c r="C140" s="3569"/>
      <c r="D140" s="3569"/>
      <c r="E140" s="2688"/>
      <c r="F140" s="2692"/>
      <c r="G140" s="2665">
        <v>4035436</v>
      </c>
      <c r="H140" s="3570">
        <v>59184</v>
      </c>
      <c r="I140" s="3570">
        <v>55778671.408</v>
      </c>
      <c r="J140" s="2690">
        <v>2666967.5584</v>
      </c>
      <c r="K140" s="2699" t="e">
        <v>#N/A</v>
      </c>
    </row>
    <row r="141" spans="1:11">
      <c r="A141" s="2667">
        <f t="shared" si="1"/>
        <v>2023.12</v>
      </c>
      <c r="B141" s="2669"/>
      <c r="C141" s="3569"/>
      <c r="D141" s="3569"/>
      <c r="E141" s="2688"/>
      <c r="F141" s="2693">
        <v>5652</v>
      </c>
      <c r="G141" s="2665">
        <v>4021443</v>
      </c>
      <c r="H141" s="3570">
        <v>60335</v>
      </c>
      <c r="I141" s="3570">
        <v>67195272.079999998</v>
      </c>
      <c r="J141" s="2690">
        <v>3286321.3768000002</v>
      </c>
      <c r="K141" s="2699">
        <v>71727</v>
      </c>
    </row>
    <row r="142" spans="1:11">
      <c r="A142" s="2667">
        <f t="shared" si="1"/>
        <v>2024.01</v>
      </c>
      <c r="B142" s="2668">
        <v>273730</v>
      </c>
      <c r="C142" s="3568">
        <v>4277</v>
      </c>
      <c r="D142" s="3568">
        <v>9050364.3232000005</v>
      </c>
      <c r="E142" s="2689">
        <v>460500.53600000002</v>
      </c>
      <c r="F142" s="2694">
        <v>5682</v>
      </c>
      <c r="G142" s="2665">
        <v>3965325</v>
      </c>
      <c r="H142" s="3570">
        <v>60223</v>
      </c>
      <c r="I142" s="3570">
        <v>132489421.8872</v>
      </c>
      <c r="J142" s="2690">
        <v>6559003.9312000005</v>
      </c>
      <c r="K142" s="2699">
        <v>73199</v>
      </c>
    </row>
    <row r="143" spans="1:11">
      <c r="A143" s="2667">
        <f t="shared" si="1"/>
        <v>2024.02</v>
      </c>
      <c r="B143" s="2666">
        <v>273661</v>
      </c>
      <c r="C143" s="3570">
        <v>4323</v>
      </c>
      <c r="D143" s="3570">
        <v>9048013.9255999997</v>
      </c>
      <c r="E143" s="2690">
        <v>465484.56479999999</v>
      </c>
      <c r="F143" s="2694">
        <v>5856</v>
      </c>
      <c r="G143" s="2665">
        <v>3961841</v>
      </c>
      <c r="H143" s="3570">
        <v>61109</v>
      </c>
      <c r="I143" s="3570">
        <v>132365125.0168</v>
      </c>
      <c r="J143" s="2690">
        <v>6655702.7120000003</v>
      </c>
      <c r="K143" s="2699">
        <v>77664</v>
      </c>
    </row>
    <row r="144" spans="1:11">
      <c r="A144" s="2667">
        <f t="shared" si="1"/>
        <v>2024.03</v>
      </c>
      <c r="B144" s="2666">
        <v>274234</v>
      </c>
      <c r="C144" s="3570">
        <v>4378</v>
      </c>
      <c r="D144" s="3570">
        <v>11531566.948799999</v>
      </c>
      <c r="E144" s="2690">
        <v>599574.57439999992</v>
      </c>
      <c r="F144" s="2694">
        <v>6787</v>
      </c>
      <c r="G144" s="2665">
        <v>3955557</v>
      </c>
      <c r="H144" s="3570">
        <v>62257</v>
      </c>
      <c r="I144" s="3570">
        <v>168075589.29679999</v>
      </c>
      <c r="J144" s="2690">
        <v>8623949.6056000013</v>
      </c>
      <c r="K144" s="2699">
        <v>93755</v>
      </c>
    </row>
    <row r="145" spans="1:11">
      <c r="A145" s="2667">
        <f t="shared" si="1"/>
        <v>2024.04</v>
      </c>
      <c r="B145" s="2666">
        <v>278478</v>
      </c>
      <c r="C145" s="3570">
        <v>4517</v>
      </c>
      <c r="D145" s="3570">
        <v>11710086.584799999</v>
      </c>
      <c r="E145" s="2690">
        <v>618604.34160000004</v>
      </c>
      <c r="F145" s="2694">
        <v>6747</v>
      </c>
      <c r="G145" s="2665">
        <v>3977525</v>
      </c>
      <c r="H145" s="3570">
        <v>64247</v>
      </c>
      <c r="I145" s="3570">
        <v>169007758.9488</v>
      </c>
      <c r="J145" s="2690">
        <v>8898608.0456000008</v>
      </c>
      <c r="K145" s="2699">
        <v>94891</v>
      </c>
    </row>
    <row r="146" spans="1:11">
      <c r="A146" s="2667">
        <f t="shared" si="1"/>
        <v>2024.05</v>
      </c>
      <c r="B146" s="2666">
        <v>277932</v>
      </c>
      <c r="C146" s="3570">
        <v>4575</v>
      </c>
      <c r="D146" s="3570">
        <v>11687206.679199999</v>
      </c>
      <c r="E146" s="2690">
        <v>626544.81999999995</v>
      </c>
      <c r="F146" s="2694">
        <v>7250</v>
      </c>
      <c r="G146" s="2665">
        <v>3995467</v>
      </c>
      <c r="H146" s="3570">
        <v>65876</v>
      </c>
      <c r="I146" s="3570">
        <v>169756497.60479999</v>
      </c>
      <c r="J146" s="2690">
        <v>9123392.0607999992</v>
      </c>
      <c r="K146" s="2699">
        <v>104411</v>
      </c>
    </row>
    <row r="147" spans="1:11">
      <c r="A147" s="2667">
        <f t="shared" si="1"/>
        <v>2024.06</v>
      </c>
      <c r="B147" s="2666">
        <v>279058</v>
      </c>
      <c r="C147" s="3570">
        <v>4662</v>
      </c>
      <c r="D147" s="3570">
        <v>16601957.5112</v>
      </c>
      <c r="E147" s="2690">
        <v>903173.88959999999</v>
      </c>
      <c r="F147" s="2694">
        <v>8608</v>
      </c>
      <c r="G147" s="2665">
        <v>4015891</v>
      </c>
      <c r="H147" s="3570">
        <v>68096</v>
      </c>
      <c r="I147" s="3570">
        <v>241313151.0336</v>
      </c>
      <c r="J147" s="2690">
        <v>13337297.628799999</v>
      </c>
      <c r="K147" s="2699">
        <v>123525</v>
      </c>
    </row>
    <row r="148" spans="1:11">
      <c r="A148" s="2667">
        <f t="shared" si="1"/>
        <v>2024.07</v>
      </c>
      <c r="B148" s="2666">
        <v>280175</v>
      </c>
      <c r="C148" s="3570">
        <v>4790</v>
      </c>
      <c r="D148" s="3570">
        <v>17365046.995200001</v>
      </c>
      <c r="E148" s="2690">
        <v>966697.09120000002</v>
      </c>
      <c r="F148" s="2694">
        <v>7946</v>
      </c>
      <c r="G148" s="2665">
        <v>4006855</v>
      </c>
      <c r="H148" s="3570">
        <v>70184</v>
      </c>
      <c r="I148" s="3570">
        <v>250786000.59439999</v>
      </c>
      <c r="J148" s="2690">
        <v>14316586.1632</v>
      </c>
      <c r="K148" s="2699">
        <v>112840</v>
      </c>
    </row>
    <row r="149" spans="1:11">
      <c r="A149" s="2667">
        <f t="shared" si="1"/>
        <v>2024.08</v>
      </c>
      <c r="B149" s="2666">
        <v>281249</v>
      </c>
      <c r="C149" s="3570">
        <v>4888</v>
      </c>
      <c r="D149" s="3570">
        <v>18230159.8792</v>
      </c>
      <c r="E149" s="2690">
        <v>1031718.2576</v>
      </c>
      <c r="F149" s="2694">
        <v>8657</v>
      </c>
      <c r="G149" s="2665">
        <v>4015604</v>
      </c>
      <c r="H149" s="3570">
        <v>72147</v>
      </c>
      <c r="I149" s="3570">
        <v>262822862.2216</v>
      </c>
      <c r="J149" s="2690">
        <v>15390876.8072</v>
      </c>
      <c r="K149" s="2699">
        <v>120880</v>
      </c>
    </row>
    <row r="150" spans="1:11">
      <c r="A150" s="2667">
        <f t="shared" si="1"/>
        <v>2024.09</v>
      </c>
      <c r="B150" s="2666">
        <v>282975</v>
      </c>
      <c r="C150" s="3570">
        <v>5041</v>
      </c>
      <c r="D150" s="3570">
        <v>19081269.139199998</v>
      </c>
      <c r="E150" s="2690">
        <v>1106886.6264</v>
      </c>
      <c r="F150" s="2694">
        <v>8383</v>
      </c>
      <c r="G150" s="2665">
        <v>4033144</v>
      </c>
      <c r="H150" s="3570">
        <v>74410</v>
      </c>
      <c r="I150" s="3570">
        <v>274591208.8976</v>
      </c>
      <c r="J150" s="2690">
        <v>16510589.5024</v>
      </c>
      <c r="K150" s="2699">
        <v>114109</v>
      </c>
    </row>
    <row r="151" spans="1:11">
      <c r="A151" s="2667">
        <f t="shared" si="1"/>
        <v>2024.1</v>
      </c>
      <c r="B151" s="2666">
        <v>282909</v>
      </c>
      <c r="C151" s="3570">
        <v>5175</v>
      </c>
      <c r="D151" s="3570">
        <v>19872383.1888</v>
      </c>
      <c r="E151" s="2690">
        <v>1183691.064</v>
      </c>
      <c r="F151" s="2694">
        <v>8212</v>
      </c>
      <c r="G151" s="2665">
        <v>4034191</v>
      </c>
      <c r="H151" s="3570">
        <v>76600</v>
      </c>
      <c r="I151" s="3570">
        <v>286111226.94800001</v>
      </c>
      <c r="J151" s="2690">
        <v>17704688.063999999</v>
      </c>
      <c r="K151" s="2699">
        <v>110908</v>
      </c>
    </row>
    <row r="152" spans="1:11">
      <c r="A152" s="2667">
        <f t="shared" si="1"/>
        <v>2024.11</v>
      </c>
      <c r="B152" s="2666">
        <v>283650</v>
      </c>
      <c r="C152" s="3570">
        <v>5293</v>
      </c>
      <c r="D152" s="3570">
        <v>20616045.883200001</v>
      </c>
      <c r="E152" s="2690">
        <v>1252689.2047999999</v>
      </c>
      <c r="F152" s="2694">
        <v>8100</v>
      </c>
      <c r="G152" s="2665">
        <v>4040476</v>
      </c>
      <c r="H152" s="3570">
        <v>78812</v>
      </c>
      <c r="I152" s="3570">
        <v>296494599.11040002</v>
      </c>
      <c r="J152" s="2690">
        <v>18848028.614399999</v>
      </c>
      <c r="K152" s="2699">
        <v>106814</v>
      </c>
    </row>
    <row r="153" spans="1:11">
      <c r="A153" s="2667">
        <f t="shared" si="1"/>
        <v>2024.12</v>
      </c>
      <c r="B153" s="2666">
        <v>282931</v>
      </c>
      <c r="C153" s="3570">
        <v>5377</v>
      </c>
      <c r="D153" s="3570">
        <v>21117027.4888</v>
      </c>
      <c r="E153" s="2690">
        <v>1306799.584</v>
      </c>
      <c r="F153" s="2694">
        <v>7885</v>
      </c>
      <c r="G153" s="2665">
        <v>4035058</v>
      </c>
      <c r="H153" s="3570">
        <v>80625</v>
      </c>
      <c r="I153" s="3570">
        <v>304058612.27039999</v>
      </c>
      <c r="J153" s="2690">
        <v>19800569.009599999</v>
      </c>
      <c r="K153" s="2699">
        <v>102603</v>
      </c>
    </row>
    <row r="154" spans="1:11">
      <c r="A154" s="2667">
        <f t="shared" si="1"/>
        <v>2025.01</v>
      </c>
      <c r="B154" s="2666">
        <v>283932</v>
      </c>
      <c r="C154" s="3570">
        <v>5506</v>
      </c>
      <c r="D154" s="3570">
        <v>21706701.724800002</v>
      </c>
      <c r="E154" s="2690">
        <v>1370663.0064000001</v>
      </c>
      <c r="F154" s="2694">
        <v>8133</v>
      </c>
      <c r="G154" s="2665">
        <v>4058686</v>
      </c>
      <c r="H154" s="3570">
        <v>83235</v>
      </c>
      <c r="I154" s="3570">
        <v>313270111.19840002</v>
      </c>
      <c r="J154" s="2690">
        <v>20935909.184</v>
      </c>
      <c r="K154" s="2699">
        <v>104999</v>
      </c>
    </row>
    <row r="155" spans="1:11">
      <c r="A155" s="2667">
        <f t="shared" si="1"/>
        <v>2025.02</v>
      </c>
      <c r="B155" s="2666">
        <v>282318</v>
      </c>
      <c r="C155" s="3570">
        <v>5579</v>
      </c>
      <c r="D155" s="3570">
        <v>22166031.936000001</v>
      </c>
      <c r="E155" s="2690">
        <v>1426334.0392</v>
      </c>
      <c r="F155" s="2694">
        <v>7529</v>
      </c>
      <c r="G155" s="2665">
        <v>4023666</v>
      </c>
      <c r="H155" s="3570">
        <v>84114</v>
      </c>
      <c r="I155" s="3570">
        <v>318922782.07679999</v>
      </c>
      <c r="J155" s="2690">
        <v>21725221.654399998</v>
      </c>
      <c r="K155" s="2699">
        <v>94743</v>
      </c>
    </row>
    <row r="156" spans="1:11">
      <c r="A156" s="2667">
        <f t="shared" si="1"/>
        <v>2025.03</v>
      </c>
      <c r="B156" s="2666">
        <v>281660</v>
      </c>
      <c r="C156" s="3570">
        <v>5653</v>
      </c>
      <c r="D156" s="3570">
        <v>22603236.927999999</v>
      </c>
      <c r="E156" s="2690">
        <v>1477192.1936000001</v>
      </c>
      <c r="F156" s="2694">
        <v>7345</v>
      </c>
      <c r="G156" s="2665">
        <v>4014807</v>
      </c>
      <c r="H156" s="3570">
        <v>85409</v>
      </c>
      <c r="I156" s="3570">
        <v>325248099.10320002</v>
      </c>
      <c r="J156" s="2690">
        <v>22545060.407200001</v>
      </c>
      <c r="K156" s="2699">
        <v>92843</v>
      </c>
    </row>
    <row r="157" spans="1:11">
      <c r="A157" s="2667">
        <f t="shared" si="1"/>
        <v>2025.04</v>
      </c>
      <c r="B157" s="2666">
        <v>281804</v>
      </c>
      <c r="C157" s="3570">
        <v>5678</v>
      </c>
      <c r="D157" s="3570">
        <v>23157718.048</v>
      </c>
      <c r="E157" s="2690">
        <v>1519337.4495999999</v>
      </c>
      <c r="F157" s="2694">
        <v>7413</v>
      </c>
      <c r="G157" s="2665">
        <v>4012845</v>
      </c>
      <c r="H157" s="3570">
        <v>86047</v>
      </c>
      <c r="I157" s="3570">
        <v>332902459.84719998</v>
      </c>
      <c r="J157" s="2690">
        <v>23261388.843199998</v>
      </c>
      <c r="K157" s="2699">
        <v>93417</v>
      </c>
    </row>
    <row r="158" spans="1:11">
      <c r="A158" s="2667">
        <f t="shared" si="1"/>
        <v>2025.05</v>
      </c>
      <c r="B158" s="2666">
        <v>282383</v>
      </c>
      <c r="C158" s="3570">
        <v>5698</v>
      </c>
      <c r="D158" s="3570">
        <v>24070718.2936</v>
      </c>
      <c r="E158" s="2690">
        <v>1581480.0319999999</v>
      </c>
      <c r="F158" s="2694">
        <v>7447</v>
      </c>
      <c r="G158" s="2665">
        <v>4017433</v>
      </c>
      <c r="H158" s="3570">
        <v>86624</v>
      </c>
      <c r="I158" s="3570">
        <v>345714761.28799999</v>
      </c>
      <c r="J158" s="2690">
        <v>24291314.058400001</v>
      </c>
      <c r="K158" s="2699">
        <v>95046</v>
      </c>
    </row>
    <row r="159" spans="1:11">
      <c r="A159" s="2667">
        <f t="shared" si="1"/>
        <v>2025.06</v>
      </c>
      <c r="B159" s="2666">
        <v>281880</v>
      </c>
      <c r="C159" s="3570">
        <v>5701</v>
      </c>
      <c r="D159" s="3570">
        <v>24696073.872000001</v>
      </c>
      <c r="E159" s="2690">
        <v>1626301.5784</v>
      </c>
      <c r="F159" s="2694">
        <v>8540</v>
      </c>
      <c r="G159" s="2665">
        <v>4021540</v>
      </c>
      <c r="H159" s="3570">
        <v>87264</v>
      </c>
      <c r="I159" s="3570">
        <v>355684623.05599999</v>
      </c>
      <c r="J159" s="2690">
        <v>25153965.743999999</v>
      </c>
      <c r="K159" s="2699">
        <v>110790</v>
      </c>
    </row>
    <row r="160" spans="1:11">
      <c r="A160" s="2667">
        <f t="shared" si="1"/>
        <v>2025.07</v>
      </c>
      <c r="B160" s="2666">
        <v>281720</v>
      </c>
      <c r="C160" s="3570">
        <v>5767</v>
      </c>
      <c r="D160" s="3570">
        <v>25052381.804000001</v>
      </c>
      <c r="E160" s="2690">
        <v>1669807.8688000001</v>
      </c>
      <c r="F160" s="2694">
        <v>8373</v>
      </c>
      <c r="G160" s="2665">
        <v>4020710</v>
      </c>
      <c r="H160" s="3570">
        <v>88137</v>
      </c>
      <c r="I160" s="3570">
        <v>360943557.91360003</v>
      </c>
      <c r="J160" s="2690">
        <v>25788249.971999999</v>
      </c>
      <c r="K160" s="2699">
        <v>109878</v>
      </c>
    </row>
    <row r="161" spans="1:11">
      <c r="A161" s="2667">
        <f t="shared" si="1"/>
        <v>2025.08</v>
      </c>
      <c r="B161" s="2666">
        <v>281221</v>
      </c>
      <c r="C161" s="3570">
        <v>5787</v>
      </c>
      <c r="D161" s="3570">
        <v>25413178.854400001</v>
      </c>
      <c r="E161" s="2690">
        <v>1702744.3319999999</v>
      </c>
      <c r="F161" s="2694">
        <v>7412</v>
      </c>
      <c r="G161" s="2665">
        <v>4023238</v>
      </c>
      <c r="H161" s="3570">
        <v>89047</v>
      </c>
      <c r="I161" s="3570">
        <v>367027216.14160001</v>
      </c>
      <c r="J161" s="2690">
        <v>26477123.509599999</v>
      </c>
      <c r="K161" s="2699">
        <v>98613</v>
      </c>
    </row>
    <row r="162" spans="1:11">
      <c r="A162" s="2667">
        <f t="shared" si="1"/>
        <v>2025.09</v>
      </c>
      <c r="B162" s="2666">
        <v>281176</v>
      </c>
      <c r="C162" s="3570">
        <v>5803</v>
      </c>
      <c r="D162" s="3570">
        <v>25891909.057599999</v>
      </c>
      <c r="E162" s="2690">
        <v>1739986.0056</v>
      </c>
      <c r="F162" s="2694">
        <v>7458</v>
      </c>
      <c r="G162" s="2665">
        <v>4022333</v>
      </c>
      <c r="H162" s="3570">
        <v>90052</v>
      </c>
      <c r="I162" s="3570">
        <v>373921103.16799998</v>
      </c>
      <c r="J162" s="2690">
        <v>27287822.9472</v>
      </c>
      <c r="K162" s="2699">
        <v>100409</v>
      </c>
    </row>
    <row r="163" spans="1:11">
      <c r="A163" s="2667">
        <f t="shared" si="1"/>
        <v>2025.1</v>
      </c>
      <c r="B163" s="2666" t="e">
        <v>#N/A</v>
      </c>
      <c r="C163" s="3570" t="e">
        <v>#N/A</v>
      </c>
      <c r="D163" s="3570" t="e">
        <v>#N/A</v>
      </c>
      <c r="E163" s="2690" t="e">
        <v>#N/A</v>
      </c>
      <c r="F163" s="2694" t="e">
        <v>#N/A</v>
      </c>
      <c r="G163" s="2665" t="e">
        <v>#N/A</v>
      </c>
      <c r="H163" s="3570" t="e">
        <v>#N/A</v>
      </c>
      <c r="I163" s="3570" t="e">
        <v>#N/A</v>
      </c>
      <c r="J163" s="2690" t="e">
        <v>#N/A</v>
      </c>
      <c r="K163" s="2699" t="e">
        <v>#N/A</v>
      </c>
    </row>
    <row r="164" spans="1:11">
      <c r="A164" s="2667">
        <f t="shared" si="1"/>
        <v>2025.11</v>
      </c>
      <c r="B164" s="2666" t="e">
        <v>#N/A</v>
      </c>
      <c r="C164" s="3570" t="e">
        <v>#N/A</v>
      </c>
      <c r="D164" s="3570" t="e">
        <v>#N/A</v>
      </c>
      <c r="E164" s="2690" t="e">
        <v>#N/A</v>
      </c>
      <c r="F164" s="2694" t="e">
        <v>#N/A</v>
      </c>
      <c r="G164" s="2665" t="e">
        <v>#N/A</v>
      </c>
      <c r="H164" s="3570" t="e">
        <v>#N/A</v>
      </c>
      <c r="I164" s="3570" t="e">
        <v>#N/A</v>
      </c>
      <c r="J164" s="2690" t="e">
        <v>#N/A</v>
      </c>
      <c r="K164" s="2699" t="e">
        <v>#N/A</v>
      </c>
    </row>
    <row r="165" spans="1:11">
      <c r="A165" s="2667">
        <f t="shared" si="1"/>
        <v>2025.12</v>
      </c>
      <c r="B165" s="2666" t="e">
        <v>#N/A</v>
      </c>
      <c r="C165" s="3570" t="e">
        <v>#N/A</v>
      </c>
      <c r="D165" s="3570" t="e">
        <v>#N/A</v>
      </c>
      <c r="E165" s="2690" t="e">
        <v>#N/A</v>
      </c>
      <c r="F165" s="2694" t="e">
        <v>#N/A</v>
      </c>
      <c r="G165" s="2665" t="e">
        <v>#N/A</v>
      </c>
      <c r="H165" s="3570" t="e">
        <v>#N/A</v>
      </c>
      <c r="I165" s="3570" t="e">
        <v>#N/A</v>
      </c>
      <c r="J165" s="2690" t="e">
        <v>#N/A</v>
      </c>
      <c r="K165" s="2699" t="e">
        <v>#N/A</v>
      </c>
    </row>
    <row r="166" spans="1:11">
      <c r="A166" s="2667">
        <f t="shared" si="1"/>
        <v>2026.01</v>
      </c>
      <c r="B166" s="2666" t="e">
        <v>#N/A</v>
      </c>
      <c r="C166" s="3570" t="e">
        <v>#N/A</v>
      </c>
      <c r="D166" s="3570" t="e">
        <v>#N/A</v>
      </c>
      <c r="E166" s="2690" t="e">
        <v>#N/A</v>
      </c>
      <c r="F166" s="2694" t="e">
        <v>#N/A</v>
      </c>
      <c r="G166" s="2665" t="e">
        <v>#N/A</v>
      </c>
      <c r="H166" s="3570" t="e">
        <v>#N/A</v>
      </c>
      <c r="I166" s="3570" t="e">
        <v>#N/A</v>
      </c>
      <c r="J166" s="2690" t="e">
        <v>#N/A</v>
      </c>
      <c r="K166" s="2699" t="e">
        <v>#N/A</v>
      </c>
    </row>
    <row r="167" spans="1:11">
      <c r="A167" s="2667">
        <f t="shared" si="1"/>
        <v>2026.02</v>
      </c>
      <c r="B167" s="2666" t="e">
        <v>#N/A</v>
      </c>
      <c r="C167" s="3570" t="e">
        <v>#N/A</v>
      </c>
      <c r="D167" s="3570" t="e">
        <v>#N/A</v>
      </c>
      <c r="E167" s="2690" t="e">
        <v>#N/A</v>
      </c>
      <c r="F167" s="2694" t="e">
        <v>#N/A</v>
      </c>
      <c r="G167" s="2665" t="e">
        <v>#N/A</v>
      </c>
      <c r="H167" s="3570" t="e">
        <v>#N/A</v>
      </c>
      <c r="I167" s="3570" t="e">
        <v>#N/A</v>
      </c>
      <c r="J167" s="2690" t="e">
        <v>#N/A</v>
      </c>
      <c r="K167" s="2699" t="e">
        <v>#N/A</v>
      </c>
    </row>
    <row r="168" spans="1:11">
      <c r="A168" s="2667">
        <f t="shared" si="1"/>
        <v>2026.03</v>
      </c>
      <c r="B168" s="2666" t="e">
        <v>#N/A</v>
      </c>
      <c r="C168" s="3570" t="e">
        <v>#N/A</v>
      </c>
      <c r="D168" s="3570" t="e">
        <v>#N/A</v>
      </c>
      <c r="E168" s="2690" t="e">
        <v>#N/A</v>
      </c>
      <c r="F168" s="2694" t="e">
        <v>#N/A</v>
      </c>
      <c r="G168" s="2665" t="e">
        <v>#N/A</v>
      </c>
      <c r="H168" s="3570" t="e">
        <v>#N/A</v>
      </c>
      <c r="I168" s="3570" t="e">
        <v>#N/A</v>
      </c>
      <c r="J168" s="2690" t="e">
        <v>#N/A</v>
      </c>
      <c r="K168" s="2699" t="e">
        <v>#N/A</v>
      </c>
    </row>
    <row r="169" spans="1:11">
      <c r="A169" s="2667">
        <f t="shared" si="1"/>
        <v>2026.04</v>
      </c>
      <c r="B169" s="2666" t="e">
        <v>#N/A</v>
      </c>
      <c r="C169" s="3570" t="e">
        <v>#N/A</v>
      </c>
      <c r="D169" s="3570" t="e">
        <v>#N/A</v>
      </c>
      <c r="E169" s="2690" t="e">
        <v>#N/A</v>
      </c>
      <c r="F169" s="2694" t="e">
        <v>#N/A</v>
      </c>
      <c r="G169" s="2665" t="e">
        <v>#N/A</v>
      </c>
      <c r="H169" s="3570" t="e">
        <v>#N/A</v>
      </c>
      <c r="I169" s="3570" t="e">
        <v>#N/A</v>
      </c>
      <c r="J169" s="2690" t="e">
        <v>#N/A</v>
      </c>
      <c r="K169" s="2699" t="e">
        <v>#N/A</v>
      </c>
    </row>
    <row r="170" spans="1:11">
      <c r="A170" s="2667">
        <f t="shared" ref="A170:A201" si="2">A158+1</f>
        <v>2026.05</v>
      </c>
      <c r="B170" s="2666" t="e">
        <v>#N/A</v>
      </c>
      <c r="C170" s="3570" t="e">
        <v>#N/A</v>
      </c>
      <c r="D170" s="3570" t="e">
        <v>#N/A</v>
      </c>
      <c r="E170" s="2690" t="e">
        <v>#N/A</v>
      </c>
      <c r="F170" s="2694" t="e">
        <v>#N/A</v>
      </c>
      <c r="G170" s="2665" t="e">
        <v>#N/A</v>
      </c>
      <c r="H170" s="3570" t="e">
        <v>#N/A</v>
      </c>
      <c r="I170" s="3570" t="e">
        <v>#N/A</v>
      </c>
      <c r="J170" s="2690" t="e">
        <v>#N/A</v>
      </c>
      <c r="K170" s="2699" t="e">
        <v>#N/A</v>
      </c>
    </row>
    <row r="171" spans="1:11">
      <c r="A171" s="2667">
        <f t="shared" si="2"/>
        <v>2026.06</v>
      </c>
      <c r="B171" s="2666" t="e">
        <v>#N/A</v>
      </c>
      <c r="C171" s="3570" t="e">
        <v>#N/A</v>
      </c>
      <c r="D171" s="3570" t="e">
        <v>#N/A</v>
      </c>
      <c r="E171" s="2690" t="e">
        <v>#N/A</v>
      </c>
      <c r="F171" s="2694" t="e">
        <v>#N/A</v>
      </c>
      <c r="G171" s="2665" t="e">
        <v>#N/A</v>
      </c>
      <c r="H171" s="3570" t="e">
        <v>#N/A</v>
      </c>
      <c r="I171" s="3570" t="e">
        <v>#N/A</v>
      </c>
      <c r="J171" s="2690" t="e">
        <v>#N/A</v>
      </c>
      <c r="K171" s="2699" t="e">
        <v>#N/A</v>
      </c>
    </row>
    <row r="172" spans="1:11">
      <c r="A172" s="2667">
        <f t="shared" si="2"/>
        <v>2026.07</v>
      </c>
      <c r="B172" s="2666" t="e">
        <v>#N/A</v>
      </c>
      <c r="C172" s="3570" t="e">
        <v>#N/A</v>
      </c>
      <c r="D172" s="3570" t="e">
        <v>#N/A</v>
      </c>
      <c r="E172" s="2690" t="e">
        <v>#N/A</v>
      </c>
      <c r="F172" s="2694" t="e">
        <v>#N/A</v>
      </c>
      <c r="G172" s="2665" t="e">
        <v>#N/A</v>
      </c>
      <c r="H172" s="3570" t="e">
        <v>#N/A</v>
      </c>
      <c r="I172" s="3570" t="e">
        <v>#N/A</v>
      </c>
      <c r="J172" s="2690" t="e">
        <v>#N/A</v>
      </c>
      <c r="K172" s="2699" t="e">
        <v>#N/A</v>
      </c>
    </row>
    <row r="173" spans="1:11">
      <c r="A173" s="2667">
        <f t="shared" si="2"/>
        <v>2026.08</v>
      </c>
      <c r="B173" s="2666" t="e">
        <v>#N/A</v>
      </c>
      <c r="C173" s="3570" t="e">
        <v>#N/A</v>
      </c>
      <c r="D173" s="3570" t="e">
        <v>#N/A</v>
      </c>
      <c r="E173" s="2690" t="e">
        <v>#N/A</v>
      </c>
      <c r="F173" s="2694" t="e">
        <v>#N/A</v>
      </c>
      <c r="G173" s="2665" t="e">
        <v>#N/A</v>
      </c>
      <c r="H173" s="3570" t="e">
        <v>#N/A</v>
      </c>
      <c r="I173" s="3570" t="e">
        <v>#N/A</v>
      </c>
      <c r="J173" s="2690" t="e">
        <v>#N/A</v>
      </c>
      <c r="K173" s="2699" t="e">
        <v>#N/A</v>
      </c>
    </row>
    <row r="174" spans="1:11">
      <c r="A174" s="2667">
        <f t="shared" si="2"/>
        <v>2026.09</v>
      </c>
      <c r="B174" s="2666" t="e">
        <v>#N/A</v>
      </c>
      <c r="C174" s="3570" t="e">
        <v>#N/A</v>
      </c>
      <c r="D174" s="3570" t="e">
        <v>#N/A</v>
      </c>
      <c r="E174" s="2690" t="e">
        <v>#N/A</v>
      </c>
      <c r="F174" s="2694" t="e">
        <v>#N/A</v>
      </c>
      <c r="G174" s="2665" t="e">
        <v>#N/A</v>
      </c>
      <c r="H174" s="3570" t="e">
        <v>#N/A</v>
      </c>
      <c r="I174" s="3570" t="e">
        <v>#N/A</v>
      </c>
      <c r="J174" s="2690" t="e">
        <v>#N/A</v>
      </c>
      <c r="K174" s="2699" t="e">
        <v>#N/A</v>
      </c>
    </row>
    <row r="175" spans="1:11">
      <c r="A175" s="2667">
        <f t="shared" si="2"/>
        <v>2026.1</v>
      </c>
      <c r="B175" s="2666" t="e">
        <v>#N/A</v>
      </c>
      <c r="C175" s="3570" t="e">
        <v>#N/A</v>
      </c>
      <c r="D175" s="3570" t="e">
        <v>#N/A</v>
      </c>
      <c r="E175" s="2690" t="e">
        <v>#N/A</v>
      </c>
      <c r="F175" s="2694" t="e">
        <v>#N/A</v>
      </c>
      <c r="G175" s="2665" t="e">
        <v>#N/A</v>
      </c>
      <c r="H175" s="3570" t="e">
        <v>#N/A</v>
      </c>
      <c r="I175" s="3570" t="e">
        <v>#N/A</v>
      </c>
      <c r="J175" s="2690" t="e">
        <v>#N/A</v>
      </c>
      <c r="K175" s="2699" t="e">
        <v>#N/A</v>
      </c>
    </row>
    <row r="176" spans="1:11">
      <c r="A176" s="2667">
        <f t="shared" si="2"/>
        <v>2026.11</v>
      </c>
      <c r="B176" s="2666" t="e">
        <v>#N/A</v>
      </c>
      <c r="C176" s="3570" t="e">
        <v>#N/A</v>
      </c>
      <c r="D176" s="3570" t="e">
        <v>#N/A</v>
      </c>
      <c r="E176" s="2690" t="e">
        <v>#N/A</v>
      </c>
      <c r="F176" s="2694" t="e">
        <v>#N/A</v>
      </c>
      <c r="G176" s="2665" t="e">
        <v>#N/A</v>
      </c>
      <c r="H176" s="3570" t="e">
        <v>#N/A</v>
      </c>
      <c r="I176" s="3570" t="e">
        <v>#N/A</v>
      </c>
      <c r="J176" s="2690" t="e">
        <v>#N/A</v>
      </c>
      <c r="K176" s="2699" t="e">
        <v>#N/A</v>
      </c>
    </row>
    <row r="177" spans="1:11">
      <c r="A177" s="2667">
        <f t="shared" si="2"/>
        <v>2026.12</v>
      </c>
      <c r="B177" s="2666" t="e">
        <v>#N/A</v>
      </c>
      <c r="C177" s="3570" t="e">
        <v>#N/A</v>
      </c>
      <c r="D177" s="3570" t="e">
        <v>#N/A</v>
      </c>
      <c r="E177" s="2690" t="e">
        <v>#N/A</v>
      </c>
      <c r="F177" s="2694" t="e">
        <v>#N/A</v>
      </c>
      <c r="G177" s="2665" t="e">
        <v>#N/A</v>
      </c>
      <c r="H177" s="3570" t="e">
        <v>#N/A</v>
      </c>
      <c r="I177" s="3570" t="e">
        <v>#N/A</v>
      </c>
      <c r="J177" s="2690" t="e">
        <v>#N/A</v>
      </c>
      <c r="K177" s="2699" t="e">
        <v>#N/A</v>
      </c>
    </row>
    <row r="178" spans="1:11">
      <c r="A178" s="2667">
        <f t="shared" si="2"/>
        <v>2027.01</v>
      </c>
      <c r="B178" s="2666" t="e">
        <v>#N/A</v>
      </c>
      <c r="C178" s="3570" t="e">
        <v>#N/A</v>
      </c>
      <c r="D178" s="3570" t="e">
        <v>#N/A</v>
      </c>
      <c r="E178" s="2690" t="e">
        <v>#N/A</v>
      </c>
      <c r="F178" s="2694" t="e">
        <v>#N/A</v>
      </c>
      <c r="G178" s="2665" t="e">
        <v>#N/A</v>
      </c>
      <c r="H178" s="3570" t="e">
        <v>#N/A</v>
      </c>
      <c r="I178" s="3570" t="e">
        <v>#N/A</v>
      </c>
      <c r="J178" s="2690" t="e">
        <v>#N/A</v>
      </c>
      <c r="K178" s="2699" t="e">
        <v>#N/A</v>
      </c>
    </row>
    <row r="179" spans="1:11">
      <c r="A179" s="2667">
        <f t="shared" si="2"/>
        <v>2027.02</v>
      </c>
      <c r="B179" s="2666" t="e">
        <v>#N/A</v>
      </c>
      <c r="C179" s="3570" t="e">
        <v>#N/A</v>
      </c>
      <c r="D179" s="3570" t="e">
        <v>#N/A</v>
      </c>
      <c r="E179" s="2690" t="e">
        <v>#N/A</v>
      </c>
      <c r="F179" s="2694" t="e">
        <v>#N/A</v>
      </c>
      <c r="G179" s="2665" t="e">
        <v>#N/A</v>
      </c>
      <c r="H179" s="3570" t="e">
        <v>#N/A</v>
      </c>
      <c r="I179" s="3570" t="e">
        <v>#N/A</v>
      </c>
      <c r="J179" s="2690" t="e">
        <v>#N/A</v>
      </c>
      <c r="K179" s="2699" t="e">
        <v>#N/A</v>
      </c>
    </row>
    <row r="180" spans="1:11">
      <c r="A180" s="2667">
        <f t="shared" si="2"/>
        <v>2027.03</v>
      </c>
      <c r="B180" s="2666" t="e">
        <v>#N/A</v>
      </c>
      <c r="C180" s="3570" t="e">
        <v>#N/A</v>
      </c>
      <c r="D180" s="3570" t="e">
        <v>#N/A</v>
      </c>
      <c r="E180" s="2690" t="e">
        <v>#N/A</v>
      </c>
      <c r="F180" s="2694" t="e">
        <v>#N/A</v>
      </c>
      <c r="G180" s="2665" t="e">
        <v>#N/A</v>
      </c>
      <c r="H180" s="3570" t="e">
        <v>#N/A</v>
      </c>
      <c r="I180" s="3570" t="e">
        <v>#N/A</v>
      </c>
      <c r="J180" s="2690" t="e">
        <v>#N/A</v>
      </c>
      <c r="K180" s="2699" t="e">
        <v>#N/A</v>
      </c>
    </row>
    <row r="181" spans="1:11">
      <c r="A181" s="2667">
        <f t="shared" si="2"/>
        <v>2027.04</v>
      </c>
      <c r="B181" s="2666" t="e">
        <v>#N/A</v>
      </c>
      <c r="C181" s="3570" t="e">
        <v>#N/A</v>
      </c>
      <c r="D181" s="3570" t="e">
        <v>#N/A</v>
      </c>
      <c r="E181" s="2690" t="e">
        <v>#N/A</v>
      </c>
      <c r="F181" s="2694" t="e">
        <v>#N/A</v>
      </c>
      <c r="G181" s="2665" t="e">
        <v>#N/A</v>
      </c>
      <c r="H181" s="3570" t="e">
        <v>#N/A</v>
      </c>
      <c r="I181" s="3570" t="e">
        <v>#N/A</v>
      </c>
      <c r="J181" s="2690" t="e">
        <v>#N/A</v>
      </c>
      <c r="K181" s="2699" t="e">
        <v>#N/A</v>
      </c>
    </row>
    <row r="182" spans="1:11">
      <c r="A182" s="2667">
        <f t="shared" si="2"/>
        <v>2027.05</v>
      </c>
      <c r="B182" s="2666" t="e">
        <v>#N/A</v>
      </c>
      <c r="C182" s="3570" t="e">
        <v>#N/A</v>
      </c>
      <c r="D182" s="3570" t="e">
        <v>#N/A</v>
      </c>
      <c r="E182" s="2690" t="e">
        <v>#N/A</v>
      </c>
      <c r="F182" s="2694" t="e">
        <v>#N/A</v>
      </c>
      <c r="G182" s="2665" t="e">
        <v>#N/A</v>
      </c>
      <c r="H182" s="3570" t="e">
        <v>#N/A</v>
      </c>
      <c r="I182" s="3570" t="e">
        <v>#N/A</v>
      </c>
      <c r="J182" s="2690" t="e">
        <v>#N/A</v>
      </c>
      <c r="K182" s="2699" t="e">
        <v>#N/A</v>
      </c>
    </row>
    <row r="183" spans="1:11">
      <c r="A183" s="2667">
        <f t="shared" si="2"/>
        <v>2027.06</v>
      </c>
      <c r="B183" s="2666" t="e">
        <v>#N/A</v>
      </c>
      <c r="C183" s="3570" t="e">
        <v>#N/A</v>
      </c>
      <c r="D183" s="3570" t="e">
        <v>#N/A</v>
      </c>
      <c r="E183" s="2690" t="e">
        <v>#N/A</v>
      </c>
      <c r="F183" s="2694" t="e">
        <v>#N/A</v>
      </c>
      <c r="G183" s="2665" t="e">
        <v>#N/A</v>
      </c>
      <c r="H183" s="3570" t="e">
        <v>#N/A</v>
      </c>
      <c r="I183" s="3570" t="e">
        <v>#N/A</v>
      </c>
      <c r="J183" s="2690" t="e">
        <v>#N/A</v>
      </c>
      <c r="K183" s="2699" t="e">
        <v>#N/A</v>
      </c>
    </row>
    <row r="184" spans="1:11">
      <c r="A184" s="2667">
        <f t="shared" si="2"/>
        <v>2027.07</v>
      </c>
      <c r="B184" s="2666" t="e">
        <v>#N/A</v>
      </c>
      <c r="C184" s="3570" t="e">
        <v>#N/A</v>
      </c>
      <c r="D184" s="3570" t="e">
        <v>#N/A</v>
      </c>
      <c r="E184" s="2690" t="e">
        <v>#N/A</v>
      </c>
      <c r="F184" s="2694" t="e">
        <v>#N/A</v>
      </c>
      <c r="G184" s="2665" t="e">
        <v>#N/A</v>
      </c>
      <c r="H184" s="3570" t="e">
        <v>#N/A</v>
      </c>
      <c r="I184" s="3570" t="e">
        <v>#N/A</v>
      </c>
      <c r="J184" s="2690" t="e">
        <v>#N/A</v>
      </c>
      <c r="K184" s="2699" t="e">
        <v>#N/A</v>
      </c>
    </row>
    <row r="185" spans="1:11">
      <c r="A185" s="2667">
        <f t="shared" si="2"/>
        <v>2027.08</v>
      </c>
      <c r="B185" s="2666" t="e">
        <v>#N/A</v>
      </c>
      <c r="C185" s="3570" t="e">
        <v>#N/A</v>
      </c>
      <c r="D185" s="3570" t="e">
        <v>#N/A</v>
      </c>
      <c r="E185" s="2690" t="e">
        <v>#N/A</v>
      </c>
      <c r="F185" s="2694" t="e">
        <v>#N/A</v>
      </c>
      <c r="G185" s="2665" t="e">
        <v>#N/A</v>
      </c>
      <c r="H185" s="3570" t="e">
        <v>#N/A</v>
      </c>
      <c r="I185" s="3570" t="e">
        <v>#N/A</v>
      </c>
      <c r="J185" s="2690" t="e">
        <v>#N/A</v>
      </c>
      <c r="K185" s="2699" t="e">
        <v>#N/A</v>
      </c>
    </row>
    <row r="186" spans="1:11">
      <c r="A186" s="2667">
        <f t="shared" si="2"/>
        <v>2027.09</v>
      </c>
      <c r="B186" s="2666" t="e">
        <v>#N/A</v>
      </c>
      <c r="C186" s="3570" t="e">
        <v>#N/A</v>
      </c>
      <c r="D186" s="3570" t="e">
        <v>#N/A</v>
      </c>
      <c r="E186" s="2690" t="e">
        <v>#N/A</v>
      </c>
      <c r="F186" s="2694" t="e">
        <v>#N/A</v>
      </c>
      <c r="G186" s="2665" t="e">
        <v>#N/A</v>
      </c>
      <c r="H186" s="3570" t="e">
        <v>#N/A</v>
      </c>
      <c r="I186" s="3570" t="e">
        <v>#N/A</v>
      </c>
      <c r="J186" s="2690" t="e">
        <v>#N/A</v>
      </c>
      <c r="K186" s="2699" t="e">
        <v>#N/A</v>
      </c>
    </row>
    <row r="187" spans="1:11">
      <c r="A187" s="2667">
        <f t="shared" si="2"/>
        <v>2027.1</v>
      </c>
      <c r="B187" s="2666" t="e">
        <v>#N/A</v>
      </c>
      <c r="C187" s="3570" t="e">
        <v>#N/A</v>
      </c>
      <c r="D187" s="3570" t="e">
        <v>#N/A</v>
      </c>
      <c r="E187" s="2690" t="e">
        <v>#N/A</v>
      </c>
      <c r="F187" s="2694" t="e">
        <v>#N/A</v>
      </c>
      <c r="G187" s="2665" t="e">
        <v>#N/A</v>
      </c>
      <c r="H187" s="3570" t="e">
        <v>#N/A</v>
      </c>
      <c r="I187" s="3570" t="e">
        <v>#N/A</v>
      </c>
      <c r="J187" s="2690" t="e">
        <v>#N/A</v>
      </c>
      <c r="K187" s="2699" t="e">
        <v>#N/A</v>
      </c>
    </row>
    <row r="188" spans="1:11">
      <c r="A188" s="2667">
        <f t="shared" si="2"/>
        <v>2027.11</v>
      </c>
      <c r="B188" s="2666" t="e">
        <v>#N/A</v>
      </c>
      <c r="C188" s="3570" t="e">
        <v>#N/A</v>
      </c>
      <c r="D188" s="3570" t="e">
        <v>#N/A</v>
      </c>
      <c r="E188" s="2690" t="e">
        <v>#N/A</v>
      </c>
      <c r="F188" s="2694" t="e">
        <v>#N/A</v>
      </c>
      <c r="G188" s="2665" t="e">
        <v>#N/A</v>
      </c>
      <c r="H188" s="3570" t="e">
        <v>#N/A</v>
      </c>
      <c r="I188" s="3570" t="e">
        <v>#N/A</v>
      </c>
      <c r="J188" s="2690" t="e">
        <v>#N/A</v>
      </c>
      <c r="K188" s="2699" t="e">
        <v>#N/A</v>
      </c>
    </row>
    <row r="189" spans="1:11">
      <c r="A189" s="2667">
        <f t="shared" si="2"/>
        <v>2027.12</v>
      </c>
      <c r="B189" s="2666" t="e">
        <v>#N/A</v>
      </c>
      <c r="C189" s="3570" t="e">
        <v>#N/A</v>
      </c>
      <c r="D189" s="3570" t="e">
        <v>#N/A</v>
      </c>
      <c r="E189" s="2690" t="e">
        <v>#N/A</v>
      </c>
      <c r="F189" s="2694" t="e">
        <v>#N/A</v>
      </c>
      <c r="G189" s="2665" t="e">
        <v>#N/A</v>
      </c>
      <c r="H189" s="3570" t="e">
        <v>#N/A</v>
      </c>
      <c r="I189" s="3570" t="e">
        <v>#N/A</v>
      </c>
      <c r="J189" s="2690" t="e">
        <v>#N/A</v>
      </c>
      <c r="K189" s="2699" t="e">
        <v>#N/A</v>
      </c>
    </row>
    <row r="190" spans="1:11">
      <c r="A190" s="2667">
        <f t="shared" si="2"/>
        <v>2028.01</v>
      </c>
      <c r="B190" s="2666" t="e">
        <v>#N/A</v>
      </c>
      <c r="C190" s="3570" t="e">
        <v>#N/A</v>
      </c>
      <c r="D190" s="3570" t="e">
        <v>#N/A</v>
      </c>
      <c r="E190" s="2690" t="e">
        <v>#N/A</v>
      </c>
      <c r="F190" s="2694" t="e">
        <v>#N/A</v>
      </c>
      <c r="G190" s="2665" t="e">
        <v>#N/A</v>
      </c>
      <c r="H190" s="3570" t="e">
        <v>#N/A</v>
      </c>
      <c r="I190" s="3570" t="e">
        <v>#N/A</v>
      </c>
      <c r="J190" s="2690" t="e">
        <v>#N/A</v>
      </c>
      <c r="K190" s="2699" t="e">
        <v>#N/A</v>
      </c>
    </row>
    <row r="191" spans="1:11">
      <c r="A191" s="2667">
        <f t="shared" si="2"/>
        <v>2028.02</v>
      </c>
      <c r="B191" s="2666" t="e">
        <v>#N/A</v>
      </c>
      <c r="C191" s="3570" t="e">
        <v>#N/A</v>
      </c>
      <c r="D191" s="3570" t="e">
        <v>#N/A</v>
      </c>
      <c r="E191" s="2690" t="e">
        <v>#N/A</v>
      </c>
      <c r="F191" s="2694" t="e">
        <v>#N/A</v>
      </c>
      <c r="G191" s="2665" t="e">
        <v>#N/A</v>
      </c>
      <c r="H191" s="3570" t="e">
        <v>#N/A</v>
      </c>
      <c r="I191" s="3570" t="e">
        <v>#N/A</v>
      </c>
      <c r="J191" s="2690" t="e">
        <v>#N/A</v>
      </c>
      <c r="K191" s="2699" t="e">
        <v>#N/A</v>
      </c>
    </row>
    <row r="192" spans="1:11">
      <c r="A192" s="2667">
        <f t="shared" si="2"/>
        <v>2028.03</v>
      </c>
      <c r="B192" s="2666" t="e">
        <v>#N/A</v>
      </c>
      <c r="C192" s="3570" t="e">
        <v>#N/A</v>
      </c>
      <c r="D192" s="3570" t="e">
        <v>#N/A</v>
      </c>
      <c r="E192" s="2690" t="e">
        <v>#N/A</v>
      </c>
      <c r="F192" s="2694" t="e">
        <v>#N/A</v>
      </c>
      <c r="G192" s="2665" t="e">
        <v>#N/A</v>
      </c>
      <c r="H192" s="3570" t="e">
        <v>#N/A</v>
      </c>
      <c r="I192" s="3570" t="e">
        <v>#N/A</v>
      </c>
      <c r="J192" s="2690" t="e">
        <v>#N/A</v>
      </c>
      <c r="K192" s="2699" t="e">
        <v>#N/A</v>
      </c>
    </row>
    <row r="193" spans="1:11">
      <c r="A193" s="2667">
        <f t="shared" si="2"/>
        <v>2028.04</v>
      </c>
      <c r="B193" s="2666" t="e">
        <v>#N/A</v>
      </c>
      <c r="C193" s="3570" t="e">
        <v>#N/A</v>
      </c>
      <c r="D193" s="3570" t="e">
        <v>#N/A</v>
      </c>
      <c r="E193" s="2690" t="e">
        <v>#N/A</v>
      </c>
      <c r="F193" s="2694" t="e">
        <v>#N/A</v>
      </c>
      <c r="G193" s="2665" t="e">
        <v>#N/A</v>
      </c>
      <c r="H193" s="3570" t="e">
        <v>#N/A</v>
      </c>
      <c r="I193" s="3570" t="e">
        <v>#N/A</v>
      </c>
      <c r="J193" s="2690" t="e">
        <v>#N/A</v>
      </c>
      <c r="K193" s="2699" t="e">
        <v>#N/A</v>
      </c>
    </row>
    <row r="194" spans="1:11">
      <c r="A194" s="2667">
        <f t="shared" si="2"/>
        <v>2028.05</v>
      </c>
      <c r="B194" s="2666" t="e">
        <v>#N/A</v>
      </c>
      <c r="C194" s="3570" t="e">
        <v>#N/A</v>
      </c>
      <c r="D194" s="3570" t="e">
        <v>#N/A</v>
      </c>
      <c r="E194" s="2690" t="e">
        <v>#N/A</v>
      </c>
      <c r="F194" s="2694" t="e">
        <v>#N/A</v>
      </c>
      <c r="G194" s="2665" t="e">
        <v>#N/A</v>
      </c>
      <c r="H194" s="3570" t="e">
        <v>#N/A</v>
      </c>
      <c r="I194" s="3570" t="e">
        <v>#N/A</v>
      </c>
      <c r="J194" s="2690" t="e">
        <v>#N/A</v>
      </c>
      <c r="K194" s="2699" t="e">
        <v>#N/A</v>
      </c>
    </row>
    <row r="195" spans="1:11">
      <c r="A195" s="2667">
        <f t="shared" si="2"/>
        <v>2028.06</v>
      </c>
      <c r="B195" s="2666" t="e">
        <v>#N/A</v>
      </c>
      <c r="C195" s="3570" t="e">
        <v>#N/A</v>
      </c>
      <c r="D195" s="3570" t="e">
        <v>#N/A</v>
      </c>
      <c r="E195" s="2690" t="e">
        <v>#N/A</v>
      </c>
      <c r="F195" s="2694" t="e">
        <v>#N/A</v>
      </c>
      <c r="G195" s="2665" t="e">
        <v>#N/A</v>
      </c>
      <c r="H195" s="3570" t="e">
        <v>#N/A</v>
      </c>
      <c r="I195" s="3570" t="e">
        <v>#N/A</v>
      </c>
      <c r="J195" s="2690" t="e">
        <v>#N/A</v>
      </c>
      <c r="K195" s="2699" t="e">
        <v>#N/A</v>
      </c>
    </row>
    <row r="196" spans="1:11">
      <c r="A196" s="2667">
        <f t="shared" si="2"/>
        <v>2028.07</v>
      </c>
      <c r="B196" s="2666" t="e">
        <v>#N/A</v>
      </c>
      <c r="C196" s="3570" t="e">
        <v>#N/A</v>
      </c>
      <c r="D196" s="3570" t="e">
        <v>#N/A</v>
      </c>
      <c r="E196" s="2690" t="e">
        <v>#N/A</v>
      </c>
      <c r="F196" s="2694" t="e">
        <v>#N/A</v>
      </c>
      <c r="G196" s="2665" t="e">
        <v>#N/A</v>
      </c>
      <c r="H196" s="3570" t="e">
        <v>#N/A</v>
      </c>
      <c r="I196" s="3570" t="e">
        <v>#N/A</v>
      </c>
      <c r="J196" s="2690" t="e">
        <v>#N/A</v>
      </c>
      <c r="K196" s="2699" t="e">
        <v>#N/A</v>
      </c>
    </row>
    <row r="197" spans="1:11">
      <c r="A197" s="2667">
        <f t="shared" si="2"/>
        <v>2028.08</v>
      </c>
      <c r="B197" s="2666" t="e">
        <v>#N/A</v>
      </c>
      <c r="C197" s="3570" t="e">
        <v>#N/A</v>
      </c>
      <c r="D197" s="3570" t="e">
        <v>#N/A</v>
      </c>
      <c r="E197" s="2690" t="e">
        <v>#N/A</v>
      </c>
      <c r="F197" s="2694" t="e">
        <v>#N/A</v>
      </c>
      <c r="G197" s="2665" t="e">
        <v>#N/A</v>
      </c>
      <c r="H197" s="3570" t="e">
        <v>#N/A</v>
      </c>
      <c r="I197" s="3570" t="e">
        <v>#N/A</v>
      </c>
      <c r="J197" s="2690" t="e">
        <v>#N/A</v>
      </c>
      <c r="K197" s="2699" t="e">
        <v>#N/A</v>
      </c>
    </row>
    <row r="198" spans="1:11">
      <c r="A198" s="2667">
        <f t="shared" si="2"/>
        <v>2028.09</v>
      </c>
      <c r="B198" s="2666" t="e">
        <v>#N/A</v>
      </c>
      <c r="C198" s="3570" t="e">
        <v>#N/A</v>
      </c>
      <c r="D198" s="3570" t="e">
        <v>#N/A</v>
      </c>
      <c r="E198" s="2690" t="e">
        <v>#N/A</v>
      </c>
      <c r="F198" s="2694" t="e">
        <v>#N/A</v>
      </c>
      <c r="G198" s="2665" t="e">
        <v>#N/A</v>
      </c>
      <c r="H198" s="3570" t="e">
        <v>#N/A</v>
      </c>
      <c r="I198" s="3570" t="e">
        <v>#N/A</v>
      </c>
      <c r="J198" s="2690" t="e">
        <v>#N/A</v>
      </c>
      <c r="K198" s="2699" t="e">
        <v>#N/A</v>
      </c>
    </row>
    <row r="199" spans="1:11">
      <c r="A199" s="2667">
        <f t="shared" si="2"/>
        <v>2028.1</v>
      </c>
      <c r="B199" s="2666" t="e">
        <v>#N/A</v>
      </c>
      <c r="C199" s="3570" t="e">
        <v>#N/A</v>
      </c>
      <c r="D199" s="3570" t="e">
        <v>#N/A</v>
      </c>
      <c r="E199" s="2690" t="e">
        <v>#N/A</v>
      </c>
      <c r="F199" s="2694" t="e">
        <v>#N/A</v>
      </c>
      <c r="G199" s="2665" t="e">
        <v>#N/A</v>
      </c>
      <c r="H199" s="3570" t="e">
        <v>#N/A</v>
      </c>
      <c r="I199" s="3570" t="e">
        <v>#N/A</v>
      </c>
      <c r="J199" s="2690" t="e">
        <v>#N/A</v>
      </c>
      <c r="K199" s="2699" t="e">
        <v>#N/A</v>
      </c>
    </row>
    <row r="200" spans="1:11">
      <c r="A200" s="2667">
        <f t="shared" si="2"/>
        <v>2028.11</v>
      </c>
      <c r="B200" s="2666" t="e">
        <v>#N/A</v>
      </c>
      <c r="C200" s="3570" t="e">
        <v>#N/A</v>
      </c>
      <c r="D200" s="3570" t="e">
        <v>#N/A</v>
      </c>
      <c r="E200" s="2690" t="e">
        <v>#N/A</v>
      </c>
      <c r="F200" s="2694" t="e">
        <v>#N/A</v>
      </c>
      <c r="G200" s="2665" t="e">
        <v>#N/A</v>
      </c>
      <c r="H200" s="3570" t="e">
        <v>#N/A</v>
      </c>
      <c r="I200" s="3570" t="e">
        <v>#N/A</v>
      </c>
      <c r="J200" s="2690" t="e">
        <v>#N/A</v>
      </c>
      <c r="K200" s="2699" t="e">
        <v>#N/A</v>
      </c>
    </row>
    <row r="201" spans="1:11">
      <c r="A201" s="2667">
        <f t="shared" si="2"/>
        <v>2028.12</v>
      </c>
      <c r="B201" s="2666" t="e">
        <v>#N/A</v>
      </c>
      <c r="C201" s="3570" t="e">
        <v>#N/A</v>
      </c>
      <c r="D201" s="3570" t="e">
        <v>#N/A</v>
      </c>
      <c r="E201" s="2690" t="e">
        <v>#N/A</v>
      </c>
      <c r="F201" s="2694" t="e">
        <v>#N/A</v>
      </c>
      <c r="G201" s="2665" t="e">
        <v>#N/A</v>
      </c>
      <c r="H201" s="3570" t="e">
        <v>#N/A</v>
      </c>
      <c r="I201" s="3570" t="e">
        <v>#N/A</v>
      </c>
      <c r="J201" s="2690" t="e">
        <v>#N/A</v>
      </c>
      <c r="K201" s="2699" t="e">
        <v>#N/A</v>
      </c>
    </row>
    <row r="202" spans="1:11">
      <c r="A202" s="2667">
        <f t="shared" ref="A202:A225" si="3">A190+1</f>
        <v>2029.01</v>
      </c>
      <c r="B202" s="2666" t="e">
        <v>#N/A</v>
      </c>
      <c r="C202" s="3570" t="e">
        <v>#N/A</v>
      </c>
      <c r="D202" s="3570" t="e">
        <v>#N/A</v>
      </c>
      <c r="E202" s="2690" t="e">
        <v>#N/A</v>
      </c>
      <c r="F202" s="2694" t="e">
        <v>#N/A</v>
      </c>
      <c r="G202" s="2665" t="e">
        <v>#N/A</v>
      </c>
      <c r="H202" s="3570" t="e">
        <v>#N/A</v>
      </c>
      <c r="I202" s="3570" t="e">
        <v>#N/A</v>
      </c>
      <c r="J202" s="2690" t="e">
        <v>#N/A</v>
      </c>
      <c r="K202" s="2699" t="e">
        <v>#N/A</v>
      </c>
    </row>
    <row r="203" spans="1:11">
      <c r="A203" s="2667">
        <f t="shared" si="3"/>
        <v>2029.02</v>
      </c>
      <c r="B203" s="2666" t="e">
        <v>#N/A</v>
      </c>
      <c r="C203" s="3570" t="e">
        <v>#N/A</v>
      </c>
      <c r="D203" s="3570" t="e">
        <v>#N/A</v>
      </c>
      <c r="E203" s="2690" t="e">
        <v>#N/A</v>
      </c>
      <c r="F203" s="2694" t="e">
        <v>#N/A</v>
      </c>
      <c r="G203" s="2665" t="e">
        <v>#N/A</v>
      </c>
      <c r="H203" s="3570" t="e">
        <v>#N/A</v>
      </c>
      <c r="I203" s="3570" t="e">
        <v>#N/A</v>
      </c>
      <c r="J203" s="2690" t="e">
        <v>#N/A</v>
      </c>
      <c r="K203" s="2699" t="e">
        <v>#N/A</v>
      </c>
    </row>
    <row r="204" spans="1:11">
      <c r="A204" s="2667">
        <f t="shared" si="3"/>
        <v>2029.03</v>
      </c>
      <c r="B204" s="2666" t="e">
        <v>#N/A</v>
      </c>
      <c r="C204" s="3570" t="e">
        <v>#N/A</v>
      </c>
      <c r="D204" s="3570" t="e">
        <v>#N/A</v>
      </c>
      <c r="E204" s="2690" t="e">
        <v>#N/A</v>
      </c>
      <c r="F204" s="2694" t="e">
        <v>#N/A</v>
      </c>
      <c r="G204" s="2665" t="e">
        <v>#N/A</v>
      </c>
      <c r="H204" s="3570" t="e">
        <v>#N/A</v>
      </c>
      <c r="I204" s="3570" t="e">
        <v>#N/A</v>
      </c>
      <c r="J204" s="2690" t="e">
        <v>#N/A</v>
      </c>
      <c r="K204" s="2699" t="e">
        <v>#N/A</v>
      </c>
    </row>
    <row r="205" spans="1:11">
      <c r="A205" s="2667">
        <f t="shared" si="3"/>
        <v>2029.04</v>
      </c>
      <c r="B205" s="2666" t="e">
        <v>#N/A</v>
      </c>
      <c r="C205" s="3570" t="e">
        <v>#N/A</v>
      </c>
      <c r="D205" s="3570" t="e">
        <v>#N/A</v>
      </c>
      <c r="E205" s="2690" t="e">
        <v>#N/A</v>
      </c>
      <c r="F205" s="2694" t="e">
        <v>#N/A</v>
      </c>
      <c r="G205" s="2665" t="e">
        <v>#N/A</v>
      </c>
      <c r="H205" s="3570" t="e">
        <v>#N/A</v>
      </c>
      <c r="I205" s="3570" t="e">
        <v>#N/A</v>
      </c>
      <c r="J205" s="2690" t="e">
        <v>#N/A</v>
      </c>
      <c r="K205" s="2699" t="e">
        <v>#N/A</v>
      </c>
    </row>
    <row r="206" spans="1:11">
      <c r="A206" s="2667">
        <f t="shared" si="3"/>
        <v>2029.05</v>
      </c>
      <c r="B206" s="2666" t="e">
        <v>#N/A</v>
      </c>
      <c r="C206" s="3570" t="e">
        <v>#N/A</v>
      </c>
      <c r="D206" s="3570" t="e">
        <v>#N/A</v>
      </c>
      <c r="E206" s="2690" t="e">
        <v>#N/A</v>
      </c>
      <c r="F206" s="2694" t="e">
        <v>#N/A</v>
      </c>
      <c r="G206" s="2665" t="e">
        <v>#N/A</v>
      </c>
      <c r="H206" s="3570" t="e">
        <v>#N/A</v>
      </c>
      <c r="I206" s="3570" t="e">
        <v>#N/A</v>
      </c>
      <c r="J206" s="2690" t="e">
        <v>#N/A</v>
      </c>
      <c r="K206" s="2699" t="e">
        <v>#N/A</v>
      </c>
    </row>
    <row r="207" spans="1:11">
      <c r="A207" s="2667">
        <f t="shared" si="3"/>
        <v>2029.06</v>
      </c>
      <c r="B207" s="2666" t="e">
        <v>#N/A</v>
      </c>
      <c r="C207" s="3570" t="e">
        <v>#N/A</v>
      </c>
      <c r="D207" s="3570" t="e">
        <v>#N/A</v>
      </c>
      <c r="E207" s="2690" t="e">
        <v>#N/A</v>
      </c>
      <c r="F207" s="2694" t="e">
        <v>#N/A</v>
      </c>
      <c r="G207" s="2665" t="e">
        <v>#N/A</v>
      </c>
      <c r="H207" s="3570" t="e">
        <v>#N/A</v>
      </c>
      <c r="I207" s="3570" t="e">
        <v>#N/A</v>
      </c>
      <c r="J207" s="2690" t="e">
        <v>#N/A</v>
      </c>
      <c r="K207" s="2699" t="e">
        <v>#N/A</v>
      </c>
    </row>
    <row r="208" spans="1:11">
      <c r="A208" s="2667">
        <f t="shared" si="3"/>
        <v>2029.07</v>
      </c>
      <c r="B208" s="2666" t="e">
        <v>#N/A</v>
      </c>
      <c r="C208" s="3570" t="e">
        <v>#N/A</v>
      </c>
      <c r="D208" s="3570" t="e">
        <v>#N/A</v>
      </c>
      <c r="E208" s="2690" t="e">
        <v>#N/A</v>
      </c>
      <c r="F208" s="2694" t="e">
        <v>#N/A</v>
      </c>
      <c r="G208" s="2665" t="e">
        <v>#N/A</v>
      </c>
      <c r="H208" s="3570" t="e">
        <v>#N/A</v>
      </c>
      <c r="I208" s="3570" t="e">
        <v>#N/A</v>
      </c>
      <c r="J208" s="2690" t="e">
        <v>#N/A</v>
      </c>
      <c r="K208" s="2699" t="e">
        <v>#N/A</v>
      </c>
    </row>
    <row r="209" spans="1:11">
      <c r="A209" s="2667">
        <f t="shared" si="3"/>
        <v>2029.08</v>
      </c>
      <c r="B209" s="2666" t="e">
        <v>#N/A</v>
      </c>
      <c r="C209" s="3570" t="e">
        <v>#N/A</v>
      </c>
      <c r="D209" s="3570" t="e">
        <v>#N/A</v>
      </c>
      <c r="E209" s="2690" t="e">
        <v>#N/A</v>
      </c>
      <c r="F209" s="2694" t="e">
        <v>#N/A</v>
      </c>
      <c r="G209" s="2665" t="e">
        <v>#N/A</v>
      </c>
      <c r="H209" s="3570" t="e">
        <v>#N/A</v>
      </c>
      <c r="I209" s="3570" t="e">
        <v>#N/A</v>
      </c>
      <c r="J209" s="2690" t="e">
        <v>#N/A</v>
      </c>
      <c r="K209" s="2699" t="e">
        <v>#N/A</v>
      </c>
    </row>
    <row r="210" spans="1:11">
      <c r="A210" s="2667">
        <f t="shared" si="3"/>
        <v>2029.09</v>
      </c>
      <c r="B210" s="2666" t="e">
        <v>#N/A</v>
      </c>
      <c r="C210" s="3570" t="e">
        <v>#N/A</v>
      </c>
      <c r="D210" s="3570" t="e">
        <v>#N/A</v>
      </c>
      <c r="E210" s="2690" t="e">
        <v>#N/A</v>
      </c>
      <c r="F210" s="2694" t="e">
        <v>#N/A</v>
      </c>
      <c r="G210" s="2665" t="e">
        <v>#N/A</v>
      </c>
      <c r="H210" s="3570" t="e">
        <v>#N/A</v>
      </c>
      <c r="I210" s="3570" t="e">
        <v>#N/A</v>
      </c>
      <c r="J210" s="2690" t="e">
        <v>#N/A</v>
      </c>
      <c r="K210" s="2699" t="e">
        <v>#N/A</v>
      </c>
    </row>
    <row r="211" spans="1:11">
      <c r="A211" s="2667">
        <f t="shared" si="3"/>
        <v>2029.1</v>
      </c>
      <c r="B211" s="2666" t="e">
        <v>#N/A</v>
      </c>
      <c r="C211" s="3570" t="e">
        <v>#N/A</v>
      </c>
      <c r="D211" s="3570" t="e">
        <v>#N/A</v>
      </c>
      <c r="E211" s="2690" t="e">
        <v>#N/A</v>
      </c>
      <c r="F211" s="2694" t="e">
        <v>#N/A</v>
      </c>
      <c r="G211" s="2665" t="e">
        <v>#N/A</v>
      </c>
      <c r="H211" s="3570" t="e">
        <v>#N/A</v>
      </c>
      <c r="I211" s="3570" t="e">
        <v>#N/A</v>
      </c>
      <c r="J211" s="2690" t="e">
        <v>#N/A</v>
      </c>
      <c r="K211" s="2699" t="e">
        <v>#N/A</v>
      </c>
    </row>
    <row r="212" spans="1:11">
      <c r="A212" s="2667">
        <f t="shared" si="3"/>
        <v>2029.11</v>
      </c>
      <c r="B212" s="2666" t="e">
        <v>#N/A</v>
      </c>
      <c r="C212" s="3570" t="e">
        <v>#N/A</v>
      </c>
      <c r="D212" s="3570" t="e">
        <v>#N/A</v>
      </c>
      <c r="E212" s="2690" t="e">
        <v>#N/A</v>
      </c>
      <c r="F212" s="2694" t="e">
        <v>#N/A</v>
      </c>
      <c r="G212" s="2665" t="e">
        <v>#N/A</v>
      </c>
      <c r="H212" s="3570" t="e">
        <v>#N/A</v>
      </c>
      <c r="I212" s="3570" t="e">
        <v>#N/A</v>
      </c>
      <c r="J212" s="2690" t="e">
        <v>#N/A</v>
      </c>
      <c r="K212" s="2699" t="e">
        <v>#N/A</v>
      </c>
    </row>
    <row r="213" spans="1:11">
      <c r="A213" s="2667">
        <f t="shared" si="3"/>
        <v>2029.12</v>
      </c>
      <c r="B213" s="2666" t="e">
        <v>#N/A</v>
      </c>
      <c r="C213" s="3570" t="e">
        <v>#N/A</v>
      </c>
      <c r="D213" s="3570" t="e">
        <v>#N/A</v>
      </c>
      <c r="E213" s="2690" t="e">
        <v>#N/A</v>
      </c>
      <c r="F213" s="2694" t="e">
        <v>#N/A</v>
      </c>
      <c r="G213" s="2665" t="e">
        <v>#N/A</v>
      </c>
      <c r="H213" s="3570" t="e">
        <v>#N/A</v>
      </c>
      <c r="I213" s="3570" t="e">
        <v>#N/A</v>
      </c>
      <c r="J213" s="2690" t="e">
        <v>#N/A</v>
      </c>
      <c r="K213" s="2699" t="e">
        <v>#N/A</v>
      </c>
    </row>
    <row r="214" spans="1:11">
      <c r="A214" s="2667">
        <f t="shared" si="3"/>
        <v>2030.01</v>
      </c>
      <c r="B214" s="2666" t="e">
        <v>#N/A</v>
      </c>
      <c r="C214" s="3570" t="e">
        <v>#N/A</v>
      </c>
      <c r="D214" s="3570" t="e">
        <v>#N/A</v>
      </c>
      <c r="E214" s="2690" t="e">
        <v>#N/A</v>
      </c>
      <c r="F214" s="2694" t="e">
        <v>#N/A</v>
      </c>
      <c r="G214" s="2665" t="e">
        <v>#N/A</v>
      </c>
      <c r="H214" s="3570" t="e">
        <v>#N/A</v>
      </c>
      <c r="I214" s="3570" t="e">
        <v>#N/A</v>
      </c>
      <c r="J214" s="2690" t="e">
        <v>#N/A</v>
      </c>
      <c r="K214" s="2699" t="e">
        <v>#N/A</v>
      </c>
    </row>
    <row r="215" spans="1:11">
      <c r="A215" s="2667">
        <f t="shared" si="3"/>
        <v>2030.02</v>
      </c>
      <c r="B215" s="2666" t="e">
        <v>#N/A</v>
      </c>
      <c r="C215" s="3570" t="e">
        <v>#N/A</v>
      </c>
      <c r="D215" s="3570" t="e">
        <v>#N/A</v>
      </c>
      <c r="E215" s="2690" t="e">
        <v>#N/A</v>
      </c>
      <c r="F215" s="2694" t="e">
        <v>#N/A</v>
      </c>
      <c r="G215" s="2665" t="e">
        <v>#N/A</v>
      </c>
      <c r="H215" s="3570" t="e">
        <v>#N/A</v>
      </c>
      <c r="I215" s="3570" t="e">
        <v>#N/A</v>
      </c>
      <c r="J215" s="2690" t="e">
        <v>#N/A</v>
      </c>
      <c r="K215" s="2699" t="e">
        <v>#N/A</v>
      </c>
    </row>
    <row r="216" spans="1:11">
      <c r="A216" s="2667">
        <f t="shared" si="3"/>
        <v>2030.03</v>
      </c>
      <c r="B216" s="2666" t="e">
        <v>#N/A</v>
      </c>
      <c r="C216" s="3570" t="e">
        <v>#N/A</v>
      </c>
      <c r="D216" s="3570" t="e">
        <v>#N/A</v>
      </c>
      <c r="E216" s="2690" t="e">
        <v>#N/A</v>
      </c>
      <c r="F216" s="2694" t="e">
        <v>#N/A</v>
      </c>
      <c r="G216" s="2665" t="e">
        <v>#N/A</v>
      </c>
      <c r="H216" s="3570" t="e">
        <v>#N/A</v>
      </c>
      <c r="I216" s="3570" t="e">
        <v>#N/A</v>
      </c>
      <c r="J216" s="2690" t="e">
        <v>#N/A</v>
      </c>
      <c r="K216" s="2699" t="e">
        <v>#N/A</v>
      </c>
    </row>
    <row r="217" spans="1:11">
      <c r="A217" s="2667">
        <f t="shared" si="3"/>
        <v>2030.04</v>
      </c>
      <c r="B217" s="2666" t="e">
        <v>#N/A</v>
      </c>
      <c r="C217" s="3570" t="e">
        <v>#N/A</v>
      </c>
      <c r="D217" s="3570" t="e">
        <v>#N/A</v>
      </c>
      <c r="E217" s="2690" t="e">
        <v>#N/A</v>
      </c>
      <c r="F217" s="2694" t="e">
        <v>#N/A</v>
      </c>
      <c r="G217" s="2665" t="e">
        <v>#N/A</v>
      </c>
      <c r="H217" s="3570" t="e">
        <v>#N/A</v>
      </c>
      <c r="I217" s="3570" t="e">
        <v>#N/A</v>
      </c>
      <c r="J217" s="2690" t="e">
        <v>#N/A</v>
      </c>
      <c r="K217" s="2699" t="e">
        <v>#N/A</v>
      </c>
    </row>
    <row r="218" spans="1:11">
      <c r="A218" s="2667">
        <f t="shared" si="3"/>
        <v>2030.05</v>
      </c>
      <c r="B218" s="2666" t="e">
        <v>#N/A</v>
      </c>
      <c r="C218" s="3570" t="e">
        <v>#N/A</v>
      </c>
      <c r="D218" s="3570" t="e">
        <v>#N/A</v>
      </c>
      <c r="E218" s="2690" t="e">
        <v>#N/A</v>
      </c>
      <c r="F218" s="2694" t="e">
        <v>#N/A</v>
      </c>
      <c r="G218" s="2665" t="e">
        <v>#N/A</v>
      </c>
      <c r="H218" s="3570" t="e">
        <v>#N/A</v>
      </c>
      <c r="I218" s="3570" t="e">
        <v>#N/A</v>
      </c>
      <c r="J218" s="2690" t="e">
        <v>#N/A</v>
      </c>
      <c r="K218" s="2699" t="e">
        <v>#N/A</v>
      </c>
    </row>
    <row r="219" spans="1:11">
      <c r="A219" s="2667">
        <f t="shared" si="3"/>
        <v>2030.06</v>
      </c>
      <c r="B219" s="2666" t="e">
        <v>#N/A</v>
      </c>
      <c r="C219" s="3570" t="e">
        <v>#N/A</v>
      </c>
      <c r="D219" s="3570" t="e">
        <v>#N/A</v>
      </c>
      <c r="E219" s="2690" t="e">
        <v>#N/A</v>
      </c>
      <c r="F219" s="2694" t="e">
        <v>#N/A</v>
      </c>
      <c r="G219" s="2665" t="e">
        <v>#N/A</v>
      </c>
      <c r="H219" s="3570" t="e">
        <v>#N/A</v>
      </c>
      <c r="I219" s="3570" t="e">
        <v>#N/A</v>
      </c>
      <c r="J219" s="2690" t="e">
        <v>#N/A</v>
      </c>
      <c r="K219" s="2699" t="e">
        <v>#N/A</v>
      </c>
    </row>
    <row r="220" spans="1:11">
      <c r="A220" s="2667">
        <f t="shared" si="3"/>
        <v>2030.07</v>
      </c>
      <c r="B220" s="2666" t="e">
        <v>#N/A</v>
      </c>
      <c r="C220" s="3570" t="e">
        <v>#N/A</v>
      </c>
      <c r="D220" s="3570" t="e">
        <v>#N/A</v>
      </c>
      <c r="E220" s="2690" t="e">
        <v>#N/A</v>
      </c>
      <c r="F220" s="2694" t="e">
        <v>#N/A</v>
      </c>
      <c r="G220" s="2665" t="e">
        <v>#N/A</v>
      </c>
      <c r="H220" s="3570" t="e">
        <v>#N/A</v>
      </c>
      <c r="I220" s="3570" t="e">
        <v>#N/A</v>
      </c>
      <c r="J220" s="2690" t="e">
        <v>#N/A</v>
      </c>
      <c r="K220" s="2699" t="e">
        <v>#N/A</v>
      </c>
    </row>
    <row r="221" spans="1:11">
      <c r="A221" s="2667">
        <f t="shared" si="3"/>
        <v>2030.08</v>
      </c>
      <c r="B221" s="2666" t="e">
        <v>#N/A</v>
      </c>
      <c r="C221" s="3570" t="e">
        <v>#N/A</v>
      </c>
      <c r="D221" s="3570" t="e">
        <v>#N/A</v>
      </c>
      <c r="E221" s="2690" t="e">
        <v>#N/A</v>
      </c>
      <c r="F221" s="2694" t="e">
        <v>#N/A</v>
      </c>
      <c r="G221" s="2665" t="e">
        <v>#N/A</v>
      </c>
      <c r="H221" s="3570" t="e">
        <v>#N/A</v>
      </c>
      <c r="I221" s="3570" t="e">
        <v>#N/A</v>
      </c>
      <c r="J221" s="2690" t="e">
        <v>#N/A</v>
      </c>
      <c r="K221" s="2699" t="e">
        <v>#N/A</v>
      </c>
    </row>
    <row r="222" spans="1:11">
      <c r="A222" s="2667">
        <f t="shared" si="3"/>
        <v>2030.09</v>
      </c>
      <c r="B222" s="2666" t="e">
        <v>#N/A</v>
      </c>
      <c r="C222" s="3570" t="e">
        <v>#N/A</v>
      </c>
      <c r="D222" s="3570" t="e">
        <v>#N/A</v>
      </c>
      <c r="E222" s="2690" t="e">
        <v>#N/A</v>
      </c>
      <c r="F222" s="2694" t="e">
        <v>#N/A</v>
      </c>
      <c r="G222" s="2665" t="e">
        <v>#N/A</v>
      </c>
      <c r="H222" s="3570" t="e">
        <v>#N/A</v>
      </c>
      <c r="I222" s="3570" t="e">
        <v>#N/A</v>
      </c>
      <c r="J222" s="2690" t="e">
        <v>#N/A</v>
      </c>
      <c r="K222" s="2699" t="e">
        <v>#N/A</v>
      </c>
    </row>
    <row r="223" spans="1:11">
      <c r="A223" s="2667">
        <f t="shared" si="3"/>
        <v>2030.1</v>
      </c>
      <c r="B223" s="2666" t="e">
        <v>#N/A</v>
      </c>
      <c r="C223" s="3570" t="e">
        <v>#N/A</v>
      </c>
      <c r="D223" s="3570" t="e">
        <v>#N/A</v>
      </c>
      <c r="E223" s="2690" t="e">
        <v>#N/A</v>
      </c>
      <c r="F223" s="2694" t="e">
        <v>#N/A</v>
      </c>
      <c r="G223" s="2665" t="e">
        <v>#N/A</v>
      </c>
      <c r="H223" s="3570" t="e">
        <v>#N/A</v>
      </c>
      <c r="I223" s="3570" t="e">
        <v>#N/A</v>
      </c>
      <c r="J223" s="2690" t="e">
        <v>#N/A</v>
      </c>
      <c r="K223" s="2699" t="e">
        <v>#N/A</v>
      </c>
    </row>
    <row r="224" spans="1:11">
      <c r="A224" s="2667">
        <f t="shared" si="3"/>
        <v>2030.11</v>
      </c>
      <c r="B224" s="2666" t="e">
        <v>#N/A</v>
      </c>
      <c r="C224" s="3570" t="e">
        <v>#N/A</v>
      </c>
      <c r="D224" s="3570" t="e">
        <v>#N/A</v>
      </c>
      <c r="E224" s="2690" t="e">
        <v>#N/A</v>
      </c>
      <c r="F224" s="2694" t="e">
        <v>#N/A</v>
      </c>
      <c r="G224" s="2665" t="e">
        <v>#N/A</v>
      </c>
      <c r="H224" s="3570" t="e">
        <v>#N/A</v>
      </c>
      <c r="I224" s="3570" t="e">
        <v>#N/A</v>
      </c>
      <c r="J224" s="2690" t="e">
        <v>#N/A</v>
      </c>
      <c r="K224" s="2699" t="e">
        <v>#N/A</v>
      </c>
    </row>
    <row r="225" spans="1:11">
      <c r="A225" s="2667">
        <f t="shared" si="3"/>
        <v>2030.12</v>
      </c>
      <c r="B225" s="2666" t="e">
        <v>#N/A</v>
      </c>
      <c r="C225" s="3570" t="e">
        <v>#N/A</v>
      </c>
      <c r="D225" s="3570" t="e">
        <v>#N/A</v>
      </c>
      <c r="E225" s="2690" t="e">
        <v>#N/A</v>
      </c>
      <c r="F225" s="2694" t="e">
        <v>#N/A</v>
      </c>
      <c r="G225" s="2665" t="e">
        <v>#N/A</v>
      </c>
      <c r="H225" s="3570" t="e">
        <v>#N/A</v>
      </c>
      <c r="I225" s="3570" t="e">
        <v>#N/A</v>
      </c>
      <c r="J225" s="2690" t="e">
        <v>#N/A</v>
      </c>
      <c r="K225" s="2699" t="e">
        <v>#N/A</v>
      </c>
    </row>
  </sheetData>
  <hyperlinks>
    <hyperlink ref="A5" location="INDICE!A13" display="VOLVER AL INDICE" xr:uid="{7EC491AE-4074-44A6-8FC0-88CAA3C87A16}"/>
  </hyperlink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3D14C-82BC-4A06-9607-E05C8AC36055}">
  <sheetPr codeName="Hoja40"/>
  <dimension ref="A1:AE139"/>
  <sheetViews>
    <sheetView zoomScaleNormal="100"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9.5703125" style="1058" bestFit="1" customWidth="1"/>
    <col min="2" max="6" width="8.85546875" style="1058" customWidth="1"/>
    <col min="7" max="7" width="9.42578125" style="1058" customWidth="1"/>
    <col min="8" max="13" width="10.5703125" style="1058" customWidth="1"/>
    <col min="14" max="14" width="9.42578125" style="1058" bestFit="1" customWidth="1"/>
    <col min="15" max="16" width="10.5703125" style="1058" customWidth="1"/>
    <col min="17" max="21" width="9.140625" style="1058" customWidth="1"/>
    <col min="22" max="26" width="9.42578125" style="1026" customWidth="1"/>
    <col min="27" max="31" width="10.42578125" style="1026" customWidth="1"/>
    <col min="32" max="16384" width="11.42578125" style="1026"/>
  </cols>
  <sheetData>
    <row r="1" spans="1:21" ht="3" customHeight="1">
      <c r="A1" s="2761"/>
      <c r="B1" s="1645"/>
      <c r="C1" s="1643"/>
      <c r="D1" s="1643"/>
      <c r="E1" s="1643"/>
      <c r="F1" s="1643"/>
      <c r="G1" s="1643"/>
      <c r="H1" s="1643"/>
      <c r="I1" s="1643"/>
      <c r="J1" s="1643"/>
      <c r="K1" s="1643"/>
      <c r="L1" s="1643"/>
      <c r="M1" s="1643"/>
      <c r="N1" s="1643"/>
      <c r="O1" s="1643"/>
      <c r="P1" s="1643"/>
      <c r="Q1" s="1643"/>
      <c r="R1" s="1643"/>
      <c r="S1" s="1643"/>
      <c r="T1" s="1643"/>
      <c r="U1" s="1644"/>
    </row>
    <row r="2" spans="1:21" ht="12.75" customHeight="1">
      <c r="A2" s="2762" t="s">
        <v>99</v>
      </c>
      <c r="B2" s="1027" t="s">
        <v>739</v>
      </c>
      <c r="C2" s="1028"/>
      <c r="D2" s="1028"/>
      <c r="E2" s="1028"/>
      <c r="F2" s="1028"/>
      <c r="G2" s="1028"/>
      <c r="H2" s="1028"/>
      <c r="I2" s="1028"/>
      <c r="J2" s="1028"/>
      <c r="K2" s="1028"/>
      <c r="L2" s="1028"/>
      <c r="M2" s="1028"/>
      <c r="N2" s="1028"/>
      <c r="O2" s="1028"/>
      <c r="P2" s="1028"/>
      <c r="Q2" s="1028"/>
      <c r="R2" s="1028"/>
      <c r="S2" s="1028"/>
      <c r="T2" s="1028"/>
      <c r="U2" s="1032"/>
    </row>
    <row r="3" spans="1:21" ht="12.75" customHeight="1">
      <c r="A3" s="2762" t="s">
        <v>104</v>
      </c>
      <c r="B3" s="1027" t="s">
        <v>740</v>
      </c>
      <c r="C3" s="1028"/>
      <c r="D3" s="1028"/>
      <c r="E3" s="1028"/>
      <c r="F3" s="1028"/>
      <c r="G3" s="1028"/>
      <c r="H3" s="1028"/>
      <c r="I3" s="1028"/>
      <c r="J3" s="1028"/>
      <c r="K3" s="1028"/>
      <c r="L3" s="1028"/>
      <c r="M3" s="1028"/>
      <c r="N3" s="1028"/>
      <c r="O3" s="1028"/>
      <c r="P3" s="1028"/>
      <c r="Q3" s="1028"/>
      <c r="R3" s="1028"/>
      <c r="S3" s="1028"/>
      <c r="T3" s="1028"/>
      <c r="U3" s="1032"/>
    </row>
    <row r="4" spans="1:21" ht="3" customHeight="1">
      <c r="A4" s="2762"/>
      <c r="B4" s="1030" t="s">
        <v>5</v>
      </c>
      <c r="C4" s="1030" t="s">
        <v>5</v>
      </c>
      <c r="D4" s="1030" t="s">
        <v>5</v>
      </c>
      <c r="E4" s="1030"/>
      <c r="F4" s="1030"/>
      <c r="G4" s="1030"/>
      <c r="H4" s="1030"/>
      <c r="I4" s="1030"/>
      <c r="J4" s="1030"/>
      <c r="K4" s="1030"/>
      <c r="L4" s="1030"/>
      <c r="M4" s="1030"/>
      <c r="N4" s="1030"/>
      <c r="O4" s="1030"/>
      <c r="P4" s="1030"/>
      <c r="Q4" s="1030"/>
      <c r="R4" s="1030"/>
      <c r="S4" s="1030"/>
      <c r="T4" s="1030"/>
      <c r="U4" s="1031"/>
    </row>
    <row r="5" spans="1:21" ht="24" customHeight="1">
      <c r="A5" s="2763" t="s">
        <v>140</v>
      </c>
      <c r="B5" s="2616" t="s">
        <v>741</v>
      </c>
      <c r="C5" s="2617"/>
      <c r="D5" s="2199"/>
      <c r="E5" s="2199"/>
      <c r="F5" s="2199"/>
      <c r="G5" s="2617"/>
      <c r="H5" s="2617"/>
      <c r="I5" s="2199"/>
      <c r="J5" s="2199"/>
      <c r="K5" s="2199"/>
      <c r="L5" s="2617"/>
      <c r="M5" s="2617"/>
      <c r="N5" s="2199"/>
      <c r="O5" s="2199"/>
      <c r="P5" s="2199"/>
      <c r="Q5" s="2617"/>
      <c r="R5" s="2617"/>
      <c r="S5" s="2199"/>
      <c r="T5" s="2199"/>
      <c r="U5" s="2618"/>
    </row>
    <row r="6" spans="1:21" ht="14.25" customHeight="1">
      <c r="A6" s="2762"/>
      <c r="B6" s="1627" t="s">
        <v>742</v>
      </c>
      <c r="C6" s="1619"/>
      <c r="D6" s="1619"/>
      <c r="E6" s="1619"/>
      <c r="F6" s="1619"/>
      <c r="G6" s="2863" t="s">
        <v>743</v>
      </c>
      <c r="H6" s="1619"/>
      <c r="I6" s="1619"/>
      <c r="J6" s="1619"/>
      <c r="K6" s="1620"/>
      <c r="L6" s="2864" t="s">
        <v>744</v>
      </c>
      <c r="M6" s="1619"/>
      <c r="N6" s="1619"/>
      <c r="O6" s="1619"/>
      <c r="P6" s="1619"/>
      <c r="Q6" s="2864" t="s">
        <v>745</v>
      </c>
      <c r="R6" s="1619"/>
      <c r="S6" s="1619"/>
      <c r="T6" s="1619"/>
      <c r="U6" s="1621"/>
    </row>
    <row r="7" spans="1:21" ht="22.5">
      <c r="A7" s="2762" t="s">
        <v>125</v>
      </c>
      <c r="B7" s="1033" t="s">
        <v>137</v>
      </c>
      <c r="C7" s="1034"/>
      <c r="D7" s="1034"/>
      <c r="E7" s="1034"/>
      <c r="F7" s="1034"/>
      <c r="G7" s="2864" t="s">
        <v>137</v>
      </c>
      <c r="H7" s="1034"/>
      <c r="I7" s="1034"/>
      <c r="J7" s="1034"/>
      <c r="K7" s="1035"/>
      <c r="L7" s="2864" t="s">
        <v>137</v>
      </c>
      <c r="M7" s="1034"/>
      <c r="N7" s="1034"/>
      <c r="O7" s="1034"/>
      <c r="P7" s="1034"/>
      <c r="Q7" s="2864" t="s">
        <v>137</v>
      </c>
      <c r="R7" s="1034"/>
      <c r="S7" s="1034"/>
      <c r="T7" s="1034"/>
      <c r="U7" s="1036"/>
    </row>
    <row r="8" spans="1:21" ht="14.25" customHeight="1">
      <c r="A8" s="2751" t="s">
        <v>144</v>
      </c>
      <c r="B8" s="2865" t="s">
        <v>746</v>
      </c>
      <c r="C8" s="2195" t="s">
        <v>747</v>
      </c>
      <c r="D8" s="2196" t="s">
        <v>748</v>
      </c>
      <c r="E8" s="2195" t="s">
        <v>749</v>
      </c>
      <c r="F8" s="2197" t="s">
        <v>750</v>
      </c>
      <c r="G8" s="2865" t="s">
        <v>751</v>
      </c>
      <c r="H8" s="2195" t="s">
        <v>752</v>
      </c>
      <c r="I8" s="2196" t="s">
        <v>753</v>
      </c>
      <c r="J8" s="2195" t="s">
        <v>754</v>
      </c>
      <c r="K8" s="2197" t="s">
        <v>755</v>
      </c>
      <c r="L8" s="2865" t="s">
        <v>756</v>
      </c>
      <c r="M8" s="2195" t="s">
        <v>757</v>
      </c>
      <c r="N8" s="2196" t="s">
        <v>758</v>
      </c>
      <c r="O8" s="2195" t="s">
        <v>759</v>
      </c>
      <c r="P8" s="2197" t="s">
        <v>760</v>
      </c>
      <c r="Q8" s="2865" t="s">
        <v>761</v>
      </c>
      <c r="R8" s="2195" t="s">
        <v>762</v>
      </c>
      <c r="S8" s="2196" t="s">
        <v>763</v>
      </c>
      <c r="T8" s="2195" t="s">
        <v>764</v>
      </c>
      <c r="U8" s="2198" t="s">
        <v>765</v>
      </c>
    </row>
    <row r="9" spans="1:21" ht="21.75" customHeight="1" thickBot="1">
      <c r="A9" s="2140" t="s">
        <v>766</v>
      </c>
      <c r="B9" s="1622" t="s">
        <v>767</v>
      </c>
      <c r="C9" s="1623" t="s">
        <v>768</v>
      </c>
      <c r="D9" s="1624" t="s">
        <v>769</v>
      </c>
      <c r="E9" s="1623" t="s">
        <v>770</v>
      </c>
      <c r="F9" s="1624" t="s">
        <v>771</v>
      </c>
      <c r="G9" s="1625" t="s">
        <v>767</v>
      </c>
      <c r="H9" s="1623" t="s">
        <v>768</v>
      </c>
      <c r="I9" s="1624" t="s">
        <v>769</v>
      </c>
      <c r="J9" s="1623" t="s">
        <v>770</v>
      </c>
      <c r="K9" s="1624" t="s">
        <v>771</v>
      </c>
      <c r="L9" s="1625" t="s">
        <v>767</v>
      </c>
      <c r="M9" s="1623" t="s">
        <v>768</v>
      </c>
      <c r="N9" s="1624" t="s">
        <v>769</v>
      </c>
      <c r="O9" s="1623" t="s">
        <v>770</v>
      </c>
      <c r="P9" s="1624" t="s">
        <v>771</v>
      </c>
      <c r="Q9" s="1625" t="s">
        <v>767</v>
      </c>
      <c r="R9" s="1623" t="s">
        <v>768</v>
      </c>
      <c r="S9" s="1624" t="s">
        <v>769</v>
      </c>
      <c r="T9" s="1623" t="s">
        <v>770</v>
      </c>
      <c r="U9" s="1626" t="s">
        <v>771</v>
      </c>
    </row>
    <row r="10" spans="1:21">
      <c r="A10" s="1642" t="s">
        <v>772</v>
      </c>
      <c r="B10" s="1037">
        <v>1196.9380000000001</v>
      </c>
      <c r="C10" s="1038">
        <v>484.66500000000002</v>
      </c>
      <c r="D10" s="1039">
        <v>421.096</v>
      </c>
      <c r="E10" s="1038">
        <v>63.569000000000003</v>
      </c>
      <c r="F10" s="1040"/>
      <c r="G10" s="1041">
        <v>404.791</v>
      </c>
      <c r="H10" s="1038">
        <v>169.62100000000001</v>
      </c>
      <c r="I10" s="1039">
        <v>140.9</v>
      </c>
      <c r="J10" s="1038">
        <v>28.721</v>
      </c>
      <c r="K10" s="1042"/>
      <c r="L10" s="1090">
        <f t="shared" ref="L10:L11" si="0">B10+G10</f>
        <v>1601.729</v>
      </c>
      <c r="M10" s="1091">
        <f t="shared" ref="M10:M11" si="1">C10+H10</f>
        <v>654.28600000000006</v>
      </c>
      <c r="N10" s="1092">
        <f t="shared" ref="N10:N11" si="2">D10+I10</f>
        <v>561.99599999999998</v>
      </c>
      <c r="O10" s="1091">
        <f t="shared" ref="O10:O11" si="3">E10+J10</f>
        <v>92.29</v>
      </c>
      <c r="P10" s="1043"/>
      <c r="Q10" s="1044">
        <v>19463.656000000003</v>
      </c>
      <c r="R10" s="1038">
        <v>8504.279138419457</v>
      </c>
      <c r="S10" s="1039">
        <v>7401.8880380158898</v>
      </c>
      <c r="T10" s="1038">
        <v>1102.3911004035672</v>
      </c>
      <c r="U10" s="1045"/>
    </row>
    <row r="11" spans="1:21">
      <c r="A11" s="1642" t="s">
        <v>773</v>
      </c>
      <c r="B11" s="1046">
        <v>1196.55</v>
      </c>
      <c r="C11" s="3571">
        <v>457.50799999999998</v>
      </c>
      <c r="D11" s="1047">
        <v>401.20299999999997</v>
      </c>
      <c r="E11" s="3571">
        <v>56.305</v>
      </c>
      <c r="F11" s="1048"/>
      <c r="G11" s="1049">
        <v>390.88400000000001</v>
      </c>
      <c r="H11" s="3571">
        <v>159.809</v>
      </c>
      <c r="I11" s="1047">
        <v>134.405</v>
      </c>
      <c r="J11" s="3571">
        <v>25.404</v>
      </c>
      <c r="K11" s="1042"/>
      <c r="L11" s="2359">
        <f t="shared" si="0"/>
        <v>1587.434</v>
      </c>
      <c r="M11" s="3572">
        <f t="shared" si="1"/>
        <v>617.31700000000001</v>
      </c>
      <c r="N11" s="2360">
        <f t="shared" si="2"/>
        <v>535.60799999999995</v>
      </c>
      <c r="O11" s="3572">
        <f t="shared" si="3"/>
        <v>81.709000000000003</v>
      </c>
      <c r="P11" s="1043"/>
      <c r="Q11" s="1049">
        <v>19552.965</v>
      </c>
      <c r="R11" s="3571">
        <v>8475.5130172181107</v>
      </c>
      <c r="S11" s="1047">
        <v>7253.190835368634</v>
      </c>
      <c r="T11" s="3571">
        <v>1222.3221818494767</v>
      </c>
      <c r="U11" s="1050"/>
    </row>
    <row r="12" spans="1:21">
      <c r="A12" s="1642" t="s">
        <v>774</v>
      </c>
      <c r="B12" s="1046">
        <v>1239.7560000000001</v>
      </c>
      <c r="C12" s="3571">
        <v>510.14400000000001</v>
      </c>
      <c r="D12" s="1047">
        <v>403.053</v>
      </c>
      <c r="E12" s="3571">
        <v>107.09099999999999</v>
      </c>
      <c r="F12" s="1048"/>
      <c r="G12" s="1049">
        <v>387.56400000000002</v>
      </c>
      <c r="H12" s="3571">
        <v>154.23500000000001</v>
      </c>
      <c r="I12" s="1047">
        <v>122.181</v>
      </c>
      <c r="J12" s="3571">
        <v>32.054000000000002</v>
      </c>
      <c r="K12" s="1042"/>
      <c r="L12" s="2359">
        <f t="shared" ref="L12:L75" si="4">B12+G12</f>
        <v>1627.3200000000002</v>
      </c>
      <c r="M12" s="3572">
        <f t="shared" ref="M12:M75" si="5">C12+H12</f>
        <v>664.37900000000002</v>
      </c>
      <c r="N12" s="2360">
        <f t="shared" ref="N12:N75" si="6">D12+I12</f>
        <v>525.23400000000004</v>
      </c>
      <c r="O12" s="3572">
        <f t="shared" ref="O12:O75" si="7">E12+J12</f>
        <v>139.14499999999998</v>
      </c>
      <c r="P12" s="1043"/>
      <c r="Q12" s="1049">
        <v>19680.464</v>
      </c>
      <c r="R12" s="3571">
        <v>8893.3145550173085</v>
      </c>
      <c r="S12" s="1047">
        <v>7077.0276044684852</v>
      </c>
      <c r="T12" s="3571">
        <v>1816.2869505488234</v>
      </c>
      <c r="U12" s="1050"/>
    </row>
    <row r="13" spans="1:21">
      <c r="A13" s="1642" t="s">
        <v>775</v>
      </c>
      <c r="B13" s="1046">
        <v>1194.77</v>
      </c>
      <c r="C13" s="3571">
        <v>471.61900000000003</v>
      </c>
      <c r="D13" s="1047">
        <v>386.14</v>
      </c>
      <c r="E13" s="3571">
        <v>85.478999999999999</v>
      </c>
      <c r="F13" s="1048"/>
      <c r="G13" s="1049">
        <v>430.084</v>
      </c>
      <c r="H13" s="3571">
        <v>168.15700000000001</v>
      </c>
      <c r="I13" s="1047">
        <v>133.51300000000001</v>
      </c>
      <c r="J13" s="3571">
        <v>34.643999999999998</v>
      </c>
      <c r="K13" s="1042"/>
      <c r="L13" s="2359">
        <f t="shared" si="4"/>
        <v>1624.854</v>
      </c>
      <c r="M13" s="3572">
        <f t="shared" si="5"/>
        <v>639.77600000000007</v>
      </c>
      <c r="N13" s="2360">
        <f t="shared" si="6"/>
        <v>519.65300000000002</v>
      </c>
      <c r="O13" s="3572">
        <f t="shared" si="7"/>
        <v>120.12299999999999</v>
      </c>
      <c r="P13" s="1043"/>
      <c r="Q13" s="1049">
        <v>20575.482</v>
      </c>
      <c r="R13" s="3571">
        <v>9057.5116060440341</v>
      </c>
      <c r="S13" s="1047">
        <v>7364.3897641031217</v>
      </c>
      <c r="T13" s="3571">
        <v>1693.1218419409124</v>
      </c>
      <c r="U13" s="1050"/>
    </row>
    <row r="14" spans="1:21">
      <c r="A14" s="1642" t="s">
        <v>776</v>
      </c>
      <c r="B14" s="1046">
        <v>1205.4680000000001</v>
      </c>
      <c r="C14" s="3571">
        <v>479.298</v>
      </c>
      <c r="D14" s="1047">
        <v>384.99900000000002</v>
      </c>
      <c r="E14" s="3571">
        <v>94.299000000000007</v>
      </c>
      <c r="F14" s="1048"/>
      <c r="G14" s="1049">
        <v>433.42</v>
      </c>
      <c r="H14" s="3571">
        <v>164.24700000000001</v>
      </c>
      <c r="I14" s="1047">
        <v>129.28800000000001</v>
      </c>
      <c r="J14" s="3571">
        <v>34.959000000000003</v>
      </c>
      <c r="K14" s="1042"/>
      <c r="L14" s="2359">
        <f t="shared" si="4"/>
        <v>1638.8880000000001</v>
      </c>
      <c r="M14" s="3572">
        <f t="shared" si="5"/>
        <v>643.54500000000007</v>
      </c>
      <c r="N14" s="2360">
        <f t="shared" si="6"/>
        <v>514.28700000000003</v>
      </c>
      <c r="O14" s="3572">
        <f t="shared" si="7"/>
        <v>129.25800000000001</v>
      </c>
      <c r="P14" s="1043"/>
      <c r="Q14" s="1049">
        <v>20710.228000000003</v>
      </c>
      <c r="R14" s="3571">
        <v>9022.9527358599662</v>
      </c>
      <c r="S14" s="1047">
        <v>7286.7781339499343</v>
      </c>
      <c r="T14" s="3571">
        <v>1736.1746019100319</v>
      </c>
      <c r="U14" s="1050"/>
    </row>
    <row r="15" spans="1:21">
      <c r="A15" s="1642" t="s">
        <v>777</v>
      </c>
      <c r="B15" s="1046">
        <v>1212.711</v>
      </c>
      <c r="C15" s="3571">
        <v>463.21899999999999</v>
      </c>
      <c r="D15" s="1047">
        <v>378.81599999999997</v>
      </c>
      <c r="E15" s="3571">
        <v>84.403000000000006</v>
      </c>
      <c r="F15" s="1048"/>
      <c r="G15" s="1049">
        <v>436.01100000000002</v>
      </c>
      <c r="H15" s="3571">
        <v>155.304</v>
      </c>
      <c r="I15" s="1047">
        <v>129.31700000000001</v>
      </c>
      <c r="J15" s="3571">
        <v>25.986999999999998</v>
      </c>
      <c r="K15" s="1042"/>
      <c r="L15" s="2359">
        <f t="shared" si="4"/>
        <v>1648.722</v>
      </c>
      <c r="M15" s="3572">
        <f t="shared" si="5"/>
        <v>618.52300000000002</v>
      </c>
      <c r="N15" s="2360">
        <f t="shared" si="6"/>
        <v>508.13299999999998</v>
      </c>
      <c r="O15" s="3572">
        <f t="shared" si="7"/>
        <v>110.39</v>
      </c>
      <c r="P15" s="1043"/>
      <c r="Q15" s="1049">
        <v>19574.98</v>
      </c>
      <c r="R15" s="3571">
        <v>8712.0622794160481</v>
      </c>
      <c r="S15" s="1047">
        <v>7019.0441244952162</v>
      </c>
      <c r="T15" s="3571">
        <v>1693.0181549208319</v>
      </c>
      <c r="U15" s="1050"/>
    </row>
    <row r="16" spans="1:21">
      <c r="A16" s="1642" t="s">
        <v>778</v>
      </c>
      <c r="B16" s="1046">
        <v>1223.42</v>
      </c>
      <c r="C16" s="3571">
        <v>482.38200000000001</v>
      </c>
      <c r="D16" s="1047">
        <v>404.79399999999998</v>
      </c>
      <c r="E16" s="3571">
        <v>77.587999999999994</v>
      </c>
      <c r="F16" s="1048"/>
      <c r="G16" s="1049">
        <v>450.59699999999998</v>
      </c>
      <c r="H16" s="3571">
        <v>169.696</v>
      </c>
      <c r="I16" s="1047">
        <v>138.44300000000001</v>
      </c>
      <c r="J16" s="3571">
        <v>31.253</v>
      </c>
      <c r="K16" s="1042"/>
      <c r="L16" s="2359">
        <f t="shared" si="4"/>
        <v>1674.0170000000001</v>
      </c>
      <c r="M16" s="3572">
        <f t="shared" si="5"/>
        <v>652.07799999999997</v>
      </c>
      <c r="N16" s="2360">
        <f t="shared" si="6"/>
        <v>543.23699999999997</v>
      </c>
      <c r="O16" s="3572">
        <f t="shared" si="7"/>
        <v>108.84099999999999</v>
      </c>
      <c r="P16" s="1043"/>
      <c r="Q16" s="1049">
        <v>20942.720999999998</v>
      </c>
      <c r="R16" s="3571">
        <v>9371.5501532168873</v>
      </c>
      <c r="S16" s="1047">
        <v>7654.2822376545037</v>
      </c>
      <c r="T16" s="3571">
        <v>1717.2679155623837</v>
      </c>
      <c r="U16" s="1050"/>
    </row>
    <row r="17" spans="1:21">
      <c r="A17" s="1642" t="s">
        <v>779</v>
      </c>
      <c r="B17" s="1046">
        <v>1231.5920000000001</v>
      </c>
      <c r="C17" s="3571">
        <v>483.40699999999998</v>
      </c>
      <c r="D17" s="1047">
        <v>419.78899999999999</v>
      </c>
      <c r="E17" s="3571">
        <v>63.618000000000002</v>
      </c>
      <c r="F17" s="1048"/>
      <c r="G17" s="1049">
        <v>442.899</v>
      </c>
      <c r="H17" s="3571">
        <v>167.56700000000001</v>
      </c>
      <c r="I17" s="1047">
        <v>140.40199999999999</v>
      </c>
      <c r="J17" s="3571">
        <v>27.164999999999999</v>
      </c>
      <c r="K17" s="1042"/>
      <c r="L17" s="2359">
        <f t="shared" si="4"/>
        <v>1674.491</v>
      </c>
      <c r="M17" s="3572">
        <f t="shared" si="5"/>
        <v>650.97399999999993</v>
      </c>
      <c r="N17" s="2360">
        <f t="shared" si="6"/>
        <v>560.19100000000003</v>
      </c>
      <c r="O17" s="3572">
        <f t="shared" si="7"/>
        <v>90.783000000000001</v>
      </c>
      <c r="P17" s="1043"/>
      <c r="Q17" s="1049">
        <v>21039.902999999998</v>
      </c>
      <c r="R17" s="3571">
        <v>9468.9419961486965</v>
      </c>
      <c r="S17" s="1047">
        <v>7961.9062508736088</v>
      </c>
      <c r="T17" s="3571">
        <v>1507.0357452750877</v>
      </c>
      <c r="U17" s="1050"/>
    </row>
    <row r="18" spans="1:21">
      <c r="A18" s="1642" t="s">
        <v>780</v>
      </c>
      <c r="B18" s="1046">
        <v>1241.326</v>
      </c>
      <c r="C18" s="3571">
        <v>500.72</v>
      </c>
      <c r="D18" s="1047">
        <v>431.59800000000001</v>
      </c>
      <c r="E18" s="3571">
        <v>69.122</v>
      </c>
      <c r="F18" s="1048"/>
      <c r="G18" s="1049">
        <v>448.51499999999999</v>
      </c>
      <c r="H18" s="3571">
        <v>170.95699999999999</v>
      </c>
      <c r="I18" s="1047">
        <v>144.41399999999999</v>
      </c>
      <c r="J18" s="3571">
        <v>26.542999999999999</v>
      </c>
      <c r="K18" s="1042"/>
      <c r="L18" s="2359">
        <f t="shared" si="4"/>
        <v>1689.8409999999999</v>
      </c>
      <c r="M18" s="3572">
        <f t="shared" si="5"/>
        <v>671.67700000000002</v>
      </c>
      <c r="N18" s="2360">
        <f t="shared" si="6"/>
        <v>576.01199999999994</v>
      </c>
      <c r="O18" s="3572">
        <f t="shared" si="7"/>
        <v>95.664999999999992</v>
      </c>
      <c r="P18" s="1043"/>
      <c r="Q18" s="1049">
        <v>21638.127</v>
      </c>
      <c r="R18" s="3571">
        <v>9779.1446742766711</v>
      </c>
      <c r="S18" s="1047">
        <v>8257.5895776605048</v>
      </c>
      <c r="T18" s="3571">
        <v>1521.5550966161663</v>
      </c>
      <c r="U18" s="1050"/>
    </row>
    <row r="19" spans="1:21">
      <c r="A19" s="1642" t="s">
        <v>781</v>
      </c>
      <c r="B19" s="1046">
        <v>1249.3050000000001</v>
      </c>
      <c r="C19" s="3571">
        <v>477.93900000000002</v>
      </c>
      <c r="D19" s="1047">
        <v>413.28300000000002</v>
      </c>
      <c r="E19" s="3571">
        <v>64.656000000000006</v>
      </c>
      <c r="F19" s="1048"/>
      <c r="G19" s="1049">
        <v>450.72699999999998</v>
      </c>
      <c r="H19" s="3571">
        <v>166.18199999999999</v>
      </c>
      <c r="I19" s="1047">
        <v>143.69900000000001</v>
      </c>
      <c r="J19" s="3571">
        <v>22.483000000000001</v>
      </c>
      <c r="K19" s="1042"/>
      <c r="L19" s="2359">
        <f t="shared" si="4"/>
        <v>1700.0320000000002</v>
      </c>
      <c r="M19" s="3572">
        <f t="shared" si="5"/>
        <v>644.12099999999998</v>
      </c>
      <c r="N19" s="2360">
        <f t="shared" si="6"/>
        <v>556.98199999999997</v>
      </c>
      <c r="O19" s="3572">
        <f t="shared" si="7"/>
        <v>87.13900000000001</v>
      </c>
      <c r="P19" s="1043"/>
      <c r="Q19" s="1049">
        <v>21743.636999999999</v>
      </c>
      <c r="R19" s="3571">
        <v>9753.1095255201726</v>
      </c>
      <c r="S19" s="1047">
        <v>8313.2803701983103</v>
      </c>
      <c r="T19" s="3571">
        <v>1439.8291553218623</v>
      </c>
      <c r="U19" s="1050"/>
    </row>
    <row r="20" spans="1:21">
      <c r="A20" s="1642" t="s">
        <v>782</v>
      </c>
      <c r="B20" s="1046">
        <v>1258.404</v>
      </c>
      <c r="C20" s="3571">
        <v>507.226</v>
      </c>
      <c r="D20" s="1047">
        <v>431.416</v>
      </c>
      <c r="E20" s="3571">
        <v>75.81</v>
      </c>
      <c r="F20" s="1048"/>
      <c r="G20" s="1049">
        <v>454.84500000000003</v>
      </c>
      <c r="H20" s="3571">
        <v>170.02500000000001</v>
      </c>
      <c r="I20" s="1047">
        <v>141.386</v>
      </c>
      <c r="J20" s="3571">
        <v>28.638999999999999</v>
      </c>
      <c r="K20" s="1042"/>
      <c r="L20" s="2359">
        <f t="shared" si="4"/>
        <v>1713.249</v>
      </c>
      <c r="M20" s="3572">
        <f t="shared" si="5"/>
        <v>677.25099999999998</v>
      </c>
      <c r="N20" s="2360">
        <f t="shared" si="6"/>
        <v>572.80200000000002</v>
      </c>
      <c r="O20" s="3572">
        <f t="shared" si="7"/>
        <v>104.449</v>
      </c>
      <c r="P20" s="1043"/>
      <c r="Q20" s="1049">
        <v>21894.374</v>
      </c>
      <c r="R20" s="3571">
        <v>9989.5512733293799</v>
      </c>
      <c r="S20" s="1047">
        <v>8313.6520352216667</v>
      </c>
      <c r="T20" s="3571">
        <v>1675.8992381077132</v>
      </c>
      <c r="U20" s="1050"/>
    </row>
    <row r="21" spans="1:21">
      <c r="A21" s="1642" t="s">
        <v>783</v>
      </c>
      <c r="B21" s="1046">
        <v>1266.712</v>
      </c>
      <c r="C21" s="3571">
        <v>500.05599999999998</v>
      </c>
      <c r="D21" s="1047">
        <v>416.25799999999998</v>
      </c>
      <c r="E21" s="3571">
        <v>83.798000000000002</v>
      </c>
      <c r="F21" s="1048"/>
      <c r="G21" s="1049">
        <v>469.80500000000001</v>
      </c>
      <c r="H21" s="3571">
        <v>169.554</v>
      </c>
      <c r="I21" s="1047">
        <v>146.80799999999999</v>
      </c>
      <c r="J21" s="3571">
        <v>22.745999999999999</v>
      </c>
      <c r="K21" s="1042"/>
      <c r="L21" s="2359">
        <f t="shared" si="4"/>
        <v>1736.5170000000001</v>
      </c>
      <c r="M21" s="3572">
        <f t="shared" si="5"/>
        <v>669.61</v>
      </c>
      <c r="N21" s="2360">
        <f t="shared" si="6"/>
        <v>563.06600000000003</v>
      </c>
      <c r="O21" s="3572">
        <f t="shared" si="7"/>
        <v>106.544</v>
      </c>
      <c r="P21" s="1043"/>
      <c r="Q21" s="1049">
        <v>22001.597000000002</v>
      </c>
      <c r="R21" s="3571">
        <v>10003.641753592919</v>
      </c>
      <c r="S21" s="1047">
        <v>8387.8617912444588</v>
      </c>
      <c r="T21" s="3571">
        <v>1615.7799623484607</v>
      </c>
      <c r="U21" s="1050"/>
    </row>
    <row r="22" spans="1:21">
      <c r="A22" s="1642" t="s">
        <v>784</v>
      </c>
      <c r="B22" s="1046">
        <v>1276.694</v>
      </c>
      <c r="C22" s="3571">
        <v>498.68799999999999</v>
      </c>
      <c r="D22" s="1047">
        <v>406.19099999999997</v>
      </c>
      <c r="E22" s="3571">
        <v>92.497</v>
      </c>
      <c r="F22" s="1048"/>
      <c r="G22" s="1049">
        <v>473.733</v>
      </c>
      <c r="H22" s="3571">
        <v>180.375</v>
      </c>
      <c r="I22" s="1047">
        <v>151.33099999999999</v>
      </c>
      <c r="J22" s="3571">
        <v>29.044</v>
      </c>
      <c r="K22" s="1042"/>
      <c r="L22" s="2359">
        <f t="shared" si="4"/>
        <v>1750.4269999999999</v>
      </c>
      <c r="M22" s="3572">
        <f t="shared" si="5"/>
        <v>679.06299999999999</v>
      </c>
      <c r="N22" s="2360">
        <f t="shared" si="6"/>
        <v>557.52199999999993</v>
      </c>
      <c r="O22" s="3572">
        <f t="shared" si="7"/>
        <v>121.541</v>
      </c>
      <c r="P22" s="1043"/>
      <c r="Q22" s="1049">
        <v>22154.794000000002</v>
      </c>
      <c r="R22" s="3571">
        <v>10000.737529880829</v>
      </c>
      <c r="S22" s="1047">
        <v>8239.5944458537706</v>
      </c>
      <c r="T22" s="3571">
        <v>1761.1430840270586</v>
      </c>
      <c r="U22" s="1050"/>
    </row>
    <row r="23" spans="1:21">
      <c r="A23" s="1642" t="s">
        <v>785</v>
      </c>
      <c r="B23" s="1046">
        <v>1284.981</v>
      </c>
      <c r="C23" s="3571">
        <v>535.80799999999999</v>
      </c>
      <c r="D23" s="1047">
        <v>440.18700000000001</v>
      </c>
      <c r="E23" s="3571">
        <v>95.620999999999995</v>
      </c>
      <c r="F23" s="1048"/>
      <c r="G23" s="1049">
        <v>476.83499999999998</v>
      </c>
      <c r="H23" s="3571">
        <v>186.51499999999999</v>
      </c>
      <c r="I23" s="1047">
        <v>157.30699999999999</v>
      </c>
      <c r="J23" s="3571">
        <v>29.207999999999998</v>
      </c>
      <c r="K23" s="1042"/>
      <c r="L23" s="2359">
        <f t="shared" si="4"/>
        <v>1761.816</v>
      </c>
      <c r="M23" s="3572">
        <f t="shared" si="5"/>
        <v>722.32299999999998</v>
      </c>
      <c r="N23" s="2360">
        <f t="shared" si="6"/>
        <v>597.49400000000003</v>
      </c>
      <c r="O23" s="3572">
        <f t="shared" si="7"/>
        <v>124.82899999999999</v>
      </c>
      <c r="P23" s="1043"/>
      <c r="Q23" s="1049">
        <v>22263.766000000003</v>
      </c>
      <c r="R23" s="3571">
        <v>10121.874361170972</v>
      </c>
      <c r="S23" s="1047">
        <v>8401.9193777454275</v>
      </c>
      <c r="T23" s="3571">
        <v>1719.9549834255449</v>
      </c>
      <c r="U23" s="1050"/>
    </row>
    <row r="24" spans="1:21">
      <c r="A24" s="1642" t="s">
        <v>786</v>
      </c>
      <c r="B24" s="1046">
        <v>1295.2329999999999</v>
      </c>
      <c r="C24" s="3571">
        <v>554.95000000000005</v>
      </c>
      <c r="D24" s="1047">
        <v>442.733</v>
      </c>
      <c r="E24" s="3571">
        <v>112.217</v>
      </c>
      <c r="F24" s="1048"/>
      <c r="G24" s="1049">
        <v>480.53699999999998</v>
      </c>
      <c r="H24" s="3571">
        <v>180.32900000000001</v>
      </c>
      <c r="I24" s="1047">
        <v>150.66499999999999</v>
      </c>
      <c r="J24" s="3571">
        <v>29.664000000000001</v>
      </c>
      <c r="K24" s="1042"/>
      <c r="L24" s="2359">
        <f t="shared" si="4"/>
        <v>1775.77</v>
      </c>
      <c r="M24" s="3572">
        <f t="shared" si="5"/>
        <v>735.279</v>
      </c>
      <c r="N24" s="2360">
        <f t="shared" si="6"/>
        <v>593.39800000000002</v>
      </c>
      <c r="O24" s="3572">
        <f t="shared" si="7"/>
        <v>141.881</v>
      </c>
      <c r="P24" s="1043"/>
      <c r="Q24" s="1049">
        <v>22444.063999999998</v>
      </c>
      <c r="R24" s="3571">
        <v>10207.020713332126</v>
      </c>
      <c r="S24" s="1047">
        <v>8315.4930044646535</v>
      </c>
      <c r="T24" s="3571">
        <v>1891.527708867472</v>
      </c>
      <c r="U24" s="1050"/>
    </row>
    <row r="25" spans="1:21">
      <c r="A25" s="1642" t="s">
        <v>787</v>
      </c>
      <c r="B25" s="1046">
        <v>1303.53</v>
      </c>
      <c r="C25" s="3571">
        <v>570.71699999999998</v>
      </c>
      <c r="D25" s="1047">
        <v>440.38600000000002</v>
      </c>
      <c r="E25" s="3571">
        <v>130.33099999999999</v>
      </c>
      <c r="F25" s="1048"/>
      <c r="G25" s="1049">
        <v>484.42399999999998</v>
      </c>
      <c r="H25" s="3571">
        <v>188.714</v>
      </c>
      <c r="I25" s="1047">
        <v>150.34700000000001</v>
      </c>
      <c r="J25" s="3571">
        <v>38.366999999999997</v>
      </c>
      <c r="K25" s="1042"/>
      <c r="L25" s="2359">
        <f t="shared" si="4"/>
        <v>1787.954</v>
      </c>
      <c r="M25" s="3572">
        <f t="shared" si="5"/>
        <v>759.43100000000004</v>
      </c>
      <c r="N25" s="2360">
        <f t="shared" si="6"/>
        <v>590.73300000000006</v>
      </c>
      <c r="O25" s="3572">
        <f t="shared" si="7"/>
        <v>168.69799999999998</v>
      </c>
      <c r="P25" s="1043"/>
      <c r="Q25" s="1049">
        <v>22499.792031599627</v>
      </c>
      <c r="R25" s="3571">
        <v>10085.361353105709</v>
      </c>
      <c r="S25" s="1047">
        <v>8015.7732929792201</v>
      </c>
      <c r="T25" s="3571">
        <v>2069.5880601264889</v>
      </c>
      <c r="U25" s="1050"/>
    </row>
    <row r="26" spans="1:21">
      <c r="A26" s="1642" t="s">
        <v>788</v>
      </c>
      <c r="B26" s="1046">
        <v>1313.38</v>
      </c>
      <c r="C26" s="3571">
        <v>542.68299999999999</v>
      </c>
      <c r="D26" s="1047">
        <v>410.85500000000002</v>
      </c>
      <c r="E26" s="3571">
        <v>131.828</v>
      </c>
      <c r="F26" s="1048"/>
      <c r="G26" s="1049">
        <v>488.423</v>
      </c>
      <c r="H26" s="3571">
        <v>182.453</v>
      </c>
      <c r="I26" s="1047">
        <v>139.732</v>
      </c>
      <c r="J26" s="3571">
        <v>42.720999999999997</v>
      </c>
      <c r="K26" s="1042"/>
      <c r="L26" s="2359">
        <f t="shared" si="4"/>
        <v>1801.8030000000001</v>
      </c>
      <c r="M26" s="3572">
        <f t="shared" si="5"/>
        <v>725.13599999999997</v>
      </c>
      <c r="N26" s="2360">
        <f t="shared" si="6"/>
        <v>550.58699999999999</v>
      </c>
      <c r="O26" s="3572">
        <f t="shared" si="7"/>
        <v>174.54900000000001</v>
      </c>
      <c r="P26" s="1043"/>
      <c r="Q26" s="1049">
        <v>22665.076999999997</v>
      </c>
      <c r="R26" s="3571">
        <v>10072.088384456121</v>
      </c>
      <c r="S26" s="1047">
        <v>7697.1613968040856</v>
      </c>
      <c r="T26" s="3571">
        <v>2374.9269876520357</v>
      </c>
      <c r="U26" s="1050"/>
    </row>
    <row r="27" spans="1:21">
      <c r="A27" s="1642" t="s">
        <v>789</v>
      </c>
      <c r="B27" s="1046">
        <v>1321.0260000000001</v>
      </c>
      <c r="C27" s="3571">
        <v>569.06299999999999</v>
      </c>
      <c r="D27" s="1047">
        <v>461.08499999999998</v>
      </c>
      <c r="E27" s="3571">
        <v>107.97799999999999</v>
      </c>
      <c r="F27" s="1048"/>
      <c r="G27" s="1049">
        <v>492.07600000000002</v>
      </c>
      <c r="H27" s="3571">
        <v>192.386</v>
      </c>
      <c r="I27" s="1047">
        <v>153.61099999999999</v>
      </c>
      <c r="J27" s="3571">
        <v>38.774999999999999</v>
      </c>
      <c r="K27" s="1042"/>
      <c r="L27" s="2359">
        <f t="shared" si="4"/>
        <v>1813.1020000000001</v>
      </c>
      <c r="M27" s="3572">
        <f t="shared" si="5"/>
        <v>761.44899999999996</v>
      </c>
      <c r="N27" s="2360">
        <f t="shared" si="6"/>
        <v>614.69599999999991</v>
      </c>
      <c r="O27" s="3572">
        <f t="shared" si="7"/>
        <v>146.75299999999999</v>
      </c>
      <c r="P27" s="1043"/>
      <c r="Q27" s="1049">
        <v>22775.296000000002</v>
      </c>
      <c r="R27" s="3571">
        <v>10476.725329691853</v>
      </c>
      <c r="S27" s="1047">
        <v>8290.0150532394982</v>
      </c>
      <c r="T27" s="3571">
        <v>2186.7102764523552</v>
      </c>
      <c r="U27" s="1050"/>
    </row>
    <row r="28" spans="1:21">
      <c r="A28" s="1051" t="s">
        <v>431</v>
      </c>
      <c r="B28" s="1046">
        <v>1199</v>
      </c>
      <c r="C28" s="3571">
        <v>528</v>
      </c>
      <c r="D28" s="1047">
        <v>410</v>
      </c>
      <c r="E28" s="3571">
        <v>119</v>
      </c>
      <c r="F28" s="1052">
        <v>86</v>
      </c>
      <c r="G28" s="1104">
        <v>490.24950000000001</v>
      </c>
      <c r="H28" s="3573">
        <v>187.4195</v>
      </c>
      <c r="I28" s="1105">
        <v>146.67149999999998</v>
      </c>
      <c r="J28" s="3573">
        <v>40.747999999999998</v>
      </c>
      <c r="K28" s="1042"/>
      <c r="L28" s="2359">
        <f t="shared" si="4"/>
        <v>1689.2494999999999</v>
      </c>
      <c r="M28" s="3572">
        <f t="shared" si="5"/>
        <v>715.41949999999997</v>
      </c>
      <c r="N28" s="2360">
        <f t="shared" si="6"/>
        <v>556.67149999999992</v>
      </c>
      <c r="O28" s="3572">
        <f t="shared" si="7"/>
        <v>159.74799999999999</v>
      </c>
      <c r="P28" s="1043"/>
      <c r="Q28" s="1049">
        <v>22830.207000000002</v>
      </c>
      <c r="R28" s="3571">
        <v>10414.543922280633</v>
      </c>
      <c r="S28" s="1047">
        <v>8289.198750503052</v>
      </c>
      <c r="T28" s="3571">
        <v>2125.3451717775806</v>
      </c>
      <c r="U28" s="1053"/>
    </row>
    <row r="29" spans="1:21">
      <c r="A29" s="1054" t="s">
        <v>432</v>
      </c>
      <c r="B29" s="1046">
        <v>1200</v>
      </c>
      <c r="C29" s="3571">
        <v>535</v>
      </c>
      <c r="D29" s="1047">
        <v>413</v>
      </c>
      <c r="E29" s="3571">
        <v>122</v>
      </c>
      <c r="F29" s="1055">
        <v>83</v>
      </c>
      <c r="G29" s="1104">
        <v>471.6465</v>
      </c>
      <c r="H29" s="3573">
        <v>206.85649999999998</v>
      </c>
      <c r="I29" s="1105">
        <v>171.78300000000002</v>
      </c>
      <c r="J29" s="3573">
        <v>35.073500000000003</v>
      </c>
      <c r="K29" s="1042"/>
      <c r="L29" s="2359">
        <f t="shared" si="4"/>
        <v>1671.6465000000001</v>
      </c>
      <c r="M29" s="3572">
        <f t="shared" si="5"/>
        <v>741.85649999999998</v>
      </c>
      <c r="N29" s="2360">
        <f t="shared" si="6"/>
        <v>584.78300000000002</v>
      </c>
      <c r="O29" s="3572">
        <f t="shared" si="7"/>
        <v>157.0735</v>
      </c>
      <c r="P29" s="1043"/>
      <c r="Q29" s="1049">
        <v>22413.55</v>
      </c>
      <c r="R29" s="3571">
        <v>10223.172116312051</v>
      </c>
      <c r="S29" s="1047">
        <v>8405.719910379099</v>
      </c>
      <c r="T29" s="3571">
        <v>1817.452205932952</v>
      </c>
      <c r="U29" s="1053"/>
    </row>
    <row r="30" spans="1:21">
      <c r="A30" s="1054" t="s">
        <v>433</v>
      </c>
      <c r="B30" s="1104">
        <v>1207.066</v>
      </c>
      <c r="C30" s="3573">
        <v>532.202</v>
      </c>
      <c r="D30" s="1105">
        <v>431</v>
      </c>
      <c r="E30" s="3573">
        <v>101.202</v>
      </c>
      <c r="F30" s="1105">
        <v>77.281999999999996</v>
      </c>
      <c r="G30" s="1104">
        <v>471.029</v>
      </c>
      <c r="H30" s="3573">
        <v>209.67699999999999</v>
      </c>
      <c r="I30" s="1105">
        <v>169.602</v>
      </c>
      <c r="J30" s="3573">
        <v>40.075000000000003</v>
      </c>
      <c r="K30" s="1108">
        <v>34.387999999999998</v>
      </c>
      <c r="L30" s="2359">
        <f t="shared" si="4"/>
        <v>1678.095</v>
      </c>
      <c r="M30" s="3572">
        <f t="shared" si="5"/>
        <v>741.87900000000002</v>
      </c>
      <c r="N30" s="2360">
        <f t="shared" si="6"/>
        <v>600.60199999999998</v>
      </c>
      <c r="O30" s="3572">
        <f t="shared" si="7"/>
        <v>141.27699999999999</v>
      </c>
      <c r="P30" s="1093">
        <f t="shared" ref="P30:P93" si="8">F30+K30</f>
        <v>111.66999999999999</v>
      </c>
      <c r="Q30" s="1104">
        <v>20350.478999999999</v>
      </c>
      <c r="R30" s="3573">
        <v>9451.0439999999999</v>
      </c>
      <c r="S30" s="1105">
        <v>7896.1210000000001</v>
      </c>
      <c r="T30" s="3573">
        <v>1554.923</v>
      </c>
      <c r="U30" s="1108">
        <v>1599.11</v>
      </c>
    </row>
    <row r="31" spans="1:21">
      <c r="A31" s="1054" t="s">
        <v>434</v>
      </c>
      <c r="B31" s="1104">
        <v>1208.885</v>
      </c>
      <c r="C31" s="3573">
        <v>530.36099999999999</v>
      </c>
      <c r="D31" s="1105">
        <v>441.28399999999999</v>
      </c>
      <c r="E31" s="3573">
        <v>89.076999999999998</v>
      </c>
      <c r="F31" s="1105">
        <v>64.557000000000002</v>
      </c>
      <c r="G31" s="1104">
        <v>472.26400000000001</v>
      </c>
      <c r="H31" s="3573">
        <v>204.036</v>
      </c>
      <c r="I31" s="1105">
        <v>173.964</v>
      </c>
      <c r="J31" s="3573">
        <v>30.071999999999999</v>
      </c>
      <c r="K31" s="1105">
        <v>28.373999999999999</v>
      </c>
      <c r="L31" s="2359">
        <f t="shared" si="4"/>
        <v>1681.1489999999999</v>
      </c>
      <c r="M31" s="3572">
        <f t="shared" si="5"/>
        <v>734.39699999999993</v>
      </c>
      <c r="N31" s="2360">
        <f t="shared" si="6"/>
        <v>615.24800000000005</v>
      </c>
      <c r="O31" s="3572">
        <f t="shared" si="7"/>
        <v>119.149</v>
      </c>
      <c r="P31" s="2360">
        <f t="shared" si="8"/>
        <v>92.930999999999997</v>
      </c>
      <c r="Q31" s="1104">
        <v>22994.239000000001</v>
      </c>
      <c r="R31" s="3573">
        <v>10639.74</v>
      </c>
      <c r="S31" s="1105">
        <v>9102.5990000000002</v>
      </c>
      <c r="T31" s="3573">
        <v>1537.1410000000001</v>
      </c>
      <c r="U31" s="2866">
        <v>1720.47</v>
      </c>
    </row>
    <row r="32" spans="1:21">
      <c r="A32" s="1054" t="s">
        <v>38</v>
      </c>
      <c r="B32" s="1104">
        <v>1210.9179999999999</v>
      </c>
      <c r="C32" s="3573">
        <v>542.88699999999994</v>
      </c>
      <c r="D32" s="1105">
        <v>450.11500000000001</v>
      </c>
      <c r="E32" s="3573">
        <v>92.772000000000006</v>
      </c>
      <c r="F32" s="1105">
        <v>57.3</v>
      </c>
      <c r="G32" s="1104">
        <v>473.46699999999998</v>
      </c>
      <c r="H32" s="3573">
        <v>191.19499999999999</v>
      </c>
      <c r="I32" s="1105">
        <v>162.298</v>
      </c>
      <c r="J32" s="3573">
        <v>28.896999999999998</v>
      </c>
      <c r="K32" s="1105">
        <v>27.152999999999999</v>
      </c>
      <c r="L32" s="2359">
        <f t="shared" si="4"/>
        <v>1684.3849999999998</v>
      </c>
      <c r="M32" s="3572">
        <f t="shared" si="5"/>
        <v>734.08199999999988</v>
      </c>
      <c r="N32" s="2360">
        <f t="shared" si="6"/>
        <v>612.41300000000001</v>
      </c>
      <c r="O32" s="3572">
        <f t="shared" si="7"/>
        <v>121.66900000000001</v>
      </c>
      <c r="P32" s="2360">
        <f t="shared" si="8"/>
        <v>84.453000000000003</v>
      </c>
      <c r="Q32" s="1104">
        <v>23050.146000000001</v>
      </c>
      <c r="R32" s="3573">
        <v>10624.54</v>
      </c>
      <c r="S32" s="1105">
        <v>9107.6820000000007</v>
      </c>
      <c r="T32" s="3573">
        <v>1516.8579999999999</v>
      </c>
      <c r="U32" s="2866">
        <v>1640.4280000000001</v>
      </c>
    </row>
    <row r="33" spans="1:21">
      <c r="A33" s="1054" t="s">
        <v>435</v>
      </c>
      <c r="B33" s="1104">
        <v>1212.7170000000001</v>
      </c>
      <c r="C33" s="3573">
        <v>545.88499999999999</v>
      </c>
      <c r="D33" s="1105">
        <v>462.245</v>
      </c>
      <c r="E33" s="3573">
        <v>83.64</v>
      </c>
      <c r="F33" s="1105">
        <v>71.638000000000005</v>
      </c>
      <c r="G33" s="1104">
        <v>474.66</v>
      </c>
      <c r="H33" s="3573">
        <v>201.077</v>
      </c>
      <c r="I33" s="1105">
        <v>166.83099999999999</v>
      </c>
      <c r="J33" s="3573">
        <v>34.246000000000002</v>
      </c>
      <c r="K33" s="1105">
        <v>30.888999999999999</v>
      </c>
      <c r="L33" s="2359">
        <f t="shared" si="4"/>
        <v>1687.3770000000002</v>
      </c>
      <c r="M33" s="3572">
        <f t="shared" si="5"/>
        <v>746.96199999999999</v>
      </c>
      <c r="N33" s="2360">
        <f t="shared" si="6"/>
        <v>629.07600000000002</v>
      </c>
      <c r="O33" s="3572">
        <f t="shared" si="7"/>
        <v>117.886</v>
      </c>
      <c r="P33" s="2360">
        <f t="shared" si="8"/>
        <v>102.527</v>
      </c>
      <c r="Q33" s="1104">
        <v>23103.272000000001</v>
      </c>
      <c r="R33" s="3573">
        <v>10778.772000000001</v>
      </c>
      <c r="S33" s="1105">
        <v>9199.3070000000007</v>
      </c>
      <c r="T33" s="3573">
        <v>1579.4649999999999</v>
      </c>
      <c r="U33" s="2866">
        <v>1628.1880000000001</v>
      </c>
    </row>
    <row r="34" spans="1:21">
      <c r="A34" s="1054" t="s">
        <v>436</v>
      </c>
      <c r="B34" s="1104">
        <v>1214.4960000000001</v>
      </c>
      <c r="C34" s="3573">
        <v>554.86</v>
      </c>
      <c r="D34" s="1105">
        <v>468.97300000000001</v>
      </c>
      <c r="E34" s="3573">
        <v>85.887</v>
      </c>
      <c r="F34" s="1105">
        <v>54.021999999999998</v>
      </c>
      <c r="G34" s="1104">
        <v>475.83600000000001</v>
      </c>
      <c r="H34" s="3573">
        <v>197.94499999999999</v>
      </c>
      <c r="I34" s="1105">
        <v>174.06100000000001</v>
      </c>
      <c r="J34" s="3573">
        <v>23.884</v>
      </c>
      <c r="K34" s="1105">
        <v>26.571000000000002</v>
      </c>
      <c r="L34" s="2359">
        <f t="shared" si="4"/>
        <v>1690.3320000000001</v>
      </c>
      <c r="M34" s="3572">
        <f t="shared" si="5"/>
        <v>752.80500000000006</v>
      </c>
      <c r="N34" s="2360">
        <f t="shared" si="6"/>
        <v>643.03399999999999</v>
      </c>
      <c r="O34" s="3572">
        <f t="shared" si="7"/>
        <v>109.771</v>
      </c>
      <c r="P34" s="2360">
        <f t="shared" si="8"/>
        <v>80.593000000000004</v>
      </c>
      <c r="Q34" s="1104">
        <v>23155.996999999999</v>
      </c>
      <c r="R34" s="3573">
        <v>10789.562</v>
      </c>
      <c r="S34" s="1105">
        <v>9372.7479999999996</v>
      </c>
      <c r="T34" s="3573">
        <v>1416.8140000000001</v>
      </c>
      <c r="U34" s="2866">
        <v>1621.826</v>
      </c>
    </row>
    <row r="35" spans="1:21">
      <c r="A35" s="1054" t="s">
        <v>437</v>
      </c>
      <c r="B35" s="1104">
        <v>1216.2570000000001</v>
      </c>
      <c r="C35" s="3573">
        <v>542.92200000000003</v>
      </c>
      <c r="D35" s="1105">
        <v>466.58499999999998</v>
      </c>
      <c r="E35" s="3573">
        <v>76.337000000000003</v>
      </c>
      <c r="F35" s="1105">
        <v>49.854999999999997</v>
      </c>
      <c r="G35" s="1104">
        <v>476.904</v>
      </c>
      <c r="H35" s="3573">
        <v>192.28299999999999</v>
      </c>
      <c r="I35" s="1105">
        <v>174.39500000000001</v>
      </c>
      <c r="J35" s="3573">
        <v>17.888000000000002</v>
      </c>
      <c r="K35" s="1105">
        <v>17.472000000000001</v>
      </c>
      <c r="L35" s="2359">
        <f t="shared" si="4"/>
        <v>1693.1610000000001</v>
      </c>
      <c r="M35" s="3572">
        <f t="shared" si="5"/>
        <v>735.20500000000004</v>
      </c>
      <c r="N35" s="2360">
        <f t="shared" si="6"/>
        <v>640.98</v>
      </c>
      <c r="O35" s="3572">
        <f t="shared" si="7"/>
        <v>94.225000000000009</v>
      </c>
      <c r="P35" s="2360">
        <f t="shared" si="8"/>
        <v>67.326999999999998</v>
      </c>
      <c r="Q35" s="1104">
        <v>23207</v>
      </c>
      <c r="R35" s="3573">
        <v>10771.102999999999</v>
      </c>
      <c r="S35" s="1105">
        <v>9476.2139999999999</v>
      </c>
      <c r="T35" s="3573">
        <v>1294.8889999999999</v>
      </c>
      <c r="U35" s="2866">
        <v>1520.7860000000001</v>
      </c>
    </row>
    <row r="36" spans="1:21">
      <c r="A36" s="1054" t="s">
        <v>438</v>
      </c>
      <c r="B36" s="1106">
        <v>1218.037</v>
      </c>
      <c r="C36" s="3573">
        <v>530.53599999999994</v>
      </c>
      <c r="D36" s="1105">
        <v>458.30900000000003</v>
      </c>
      <c r="E36" s="3573">
        <v>72.227000000000004</v>
      </c>
      <c r="F36" s="1107">
        <v>56.436</v>
      </c>
      <c r="G36" s="1104">
        <v>478.04</v>
      </c>
      <c r="H36" s="3573">
        <v>208.785</v>
      </c>
      <c r="I36" s="1105">
        <v>186.75399999999999</v>
      </c>
      <c r="J36" s="3573">
        <v>22.030999999999999</v>
      </c>
      <c r="K36" s="1105">
        <v>28.369</v>
      </c>
      <c r="L36" s="2359">
        <f t="shared" si="4"/>
        <v>1696.077</v>
      </c>
      <c r="M36" s="3572">
        <f t="shared" si="5"/>
        <v>739.32099999999991</v>
      </c>
      <c r="N36" s="2360">
        <f t="shared" si="6"/>
        <v>645.06299999999999</v>
      </c>
      <c r="O36" s="3572">
        <f t="shared" si="7"/>
        <v>94.25800000000001</v>
      </c>
      <c r="P36" s="2360">
        <f t="shared" si="8"/>
        <v>84.805000000000007</v>
      </c>
      <c r="Q36" s="1104">
        <v>23258.49</v>
      </c>
      <c r="R36" s="3573">
        <v>10696.790999999999</v>
      </c>
      <c r="S36" s="1105">
        <v>9314.93</v>
      </c>
      <c r="T36" s="3573">
        <v>1381.8610000000001</v>
      </c>
      <c r="U36" s="2866">
        <v>1333.2360000000001</v>
      </c>
    </row>
    <row r="37" spans="1:21">
      <c r="A37" s="1054" t="s">
        <v>439</v>
      </c>
      <c r="B37" s="1104">
        <v>1220.2170000000001</v>
      </c>
      <c r="C37" s="3573">
        <v>547.85900000000004</v>
      </c>
      <c r="D37" s="1105">
        <v>480.35500000000002</v>
      </c>
      <c r="E37" s="3573">
        <v>67.504000000000005</v>
      </c>
      <c r="F37" s="1105">
        <v>49.222999999999999</v>
      </c>
      <c r="G37" s="1104">
        <v>479.49299999999999</v>
      </c>
      <c r="H37" s="3573">
        <v>203.78399999999999</v>
      </c>
      <c r="I37" s="1105">
        <v>181.495</v>
      </c>
      <c r="J37" s="3573">
        <v>22.289000000000001</v>
      </c>
      <c r="K37" s="1105">
        <v>28.091999999999999</v>
      </c>
      <c r="L37" s="2359">
        <f t="shared" si="4"/>
        <v>1699.71</v>
      </c>
      <c r="M37" s="3572">
        <f t="shared" si="5"/>
        <v>751.64300000000003</v>
      </c>
      <c r="N37" s="2360">
        <f t="shared" si="6"/>
        <v>661.85</v>
      </c>
      <c r="O37" s="3572">
        <f t="shared" si="7"/>
        <v>89.793000000000006</v>
      </c>
      <c r="P37" s="2360">
        <f t="shared" si="8"/>
        <v>77.314999999999998</v>
      </c>
      <c r="Q37" s="1104">
        <v>23320.401999999998</v>
      </c>
      <c r="R37" s="3573">
        <v>10716.448</v>
      </c>
      <c r="S37" s="1105">
        <v>9434.277</v>
      </c>
      <c r="T37" s="3573">
        <v>1282.171</v>
      </c>
      <c r="U37" s="2866">
        <v>1366.604</v>
      </c>
    </row>
    <row r="38" spans="1:21">
      <c r="A38" s="1054" t="s">
        <v>440</v>
      </c>
      <c r="B38" s="1106">
        <v>1222.3910000000001</v>
      </c>
      <c r="C38" s="3573">
        <v>561.68700000000001</v>
      </c>
      <c r="D38" s="1105">
        <v>493.91199999999998</v>
      </c>
      <c r="E38" s="3573">
        <v>67.775000000000006</v>
      </c>
      <c r="F38" s="1107">
        <v>47.093000000000004</v>
      </c>
      <c r="G38" s="1104">
        <v>480.92099999999999</v>
      </c>
      <c r="H38" s="3573">
        <v>209.25700000000001</v>
      </c>
      <c r="I38" s="1105">
        <v>184.17500000000001</v>
      </c>
      <c r="J38" s="3573">
        <v>25.082000000000001</v>
      </c>
      <c r="K38" s="1105">
        <v>22.677</v>
      </c>
      <c r="L38" s="2359">
        <f t="shared" si="4"/>
        <v>1703.3120000000001</v>
      </c>
      <c r="M38" s="3572">
        <f t="shared" si="5"/>
        <v>770.94399999999996</v>
      </c>
      <c r="N38" s="2360">
        <f t="shared" si="6"/>
        <v>678.08699999999999</v>
      </c>
      <c r="O38" s="3572">
        <f t="shared" si="7"/>
        <v>92.856999999999999</v>
      </c>
      <c r="P38" s="2360">
        <f t="shared" si="8"/>
        <v>69.77000000000001</v>
      </c>
      <c r="Q38" s="1104">
        <v>23380.63</v>
      </c>
      <c r="R38" s="3573">
        <v>10912.906000000001</v>
      </c>
      <c r="S38" s="1105">
        <v>9699.1980000000003</v>
      </c>
      <c r="T38" s="3573">
        <v>1213.7080000000001</v>
      </c>
      <c r="U38" s="2866">
        <v>1415.336</v>
      </c>
    </row>
    <row r="39" spans="1:21">
      <c r="A39" s="1054" t="s">
        <v>441</v>
      </c>
      <c r="B39" s="1104">
        <v>1224.3489999999999</v>
      </c>
      <c r="C39" s="3573">
        <v>566.04999999999995</v>
      </c>
      <c r="D39" s="1105">
        <v>500.88900000000001</v>
      </c>
      <c r="E39" s="3573">
        <v>65.161000000000001</v>
      </c>
      <c r="F39" s="1105">
        <v>45.72</v>
      </c>
      <c r="G39" s="1104">
        <v>482.16300000000001</v>
      </c>
      <c r="H39" s="3573">
        <v>205.709</v>
      </c>
      <c r="I39" s="1105">
        <v>189.48599999999999</v>
      </c>
      <c r="J39" s="3573">
        <v>16.222999999999999</v>
      </c>
      <c r="K39" s="1105">
        <v>24.338000000000001</v>
      </c>
      <c r="L39" s="2359">
        <f t="shared" si="4"/>
        <v>1706.5119999999999</v>
      </c>
      <c r="M39" s="3572">
        <f t="shared" si="5"/>
        <v>771.75900000000001</v>
      </c>
      <c r="N39" s="2360">
        <f t="shared" si="6"/>
        <v>690.375</v>
      </c>
      <c r="O39" s="3572">
        <f t="shared" si="7"/>
        <v>81.384</v>
      </c>
      <c r="P39" s="2360">
        <f t="shared" si="8"/>
        <v>70.057999999999993</v>
      </c>
      <c r="Q39" s="1104">
        <v>23437.852999999999</v>
      </c>
      <c r="R39" s="3573">
        <v>10870.605</v>
      </c>
      <c r="S39" s="1105">
        <v>9779.6859999999997</v>
      </c>
      <c r="T39" s="3573">
        <v>1090.9190000000001</v>
      </c>
      <c r="U39" s="2866">
        <v>1285.2059999999999</v>
      </c>
    </row>
    <row r="40" spans="1:21">
      <c r="A40" s="1054" t="s">
        <v>442</v>
      </c>
      <c r="B40" s="1106">
        <v>1226.4110000000001</v>
      </c>
      <c r="C40" s="3573">
        <v>560.11400000000003</v>
      </c>
      <c r="D40" s="1105">
        <v>482.17700000000002</v>
      </c>
      <c r="E40" s="3573">
        <v>77.936999999999998</v>
      </c>
      <c r="F40" s="1107">
        <v>45.668999999999997</v>
      </c>
      <c r="G40" s="1104">
        <v>483.48599999999999</v>
      </c>
      <c r="H40" s="3573">
        <v>191.43700000000001</v>
      </c>
      <c r="I40" s="1105">
        <v>175.083</v>
      </c>
      <c r="J40" s="3573">
        <v>16.353999999999999</v>
      </c>
      <c r="K40" s="1105">
        <v>19.550999999999998</v>
      </c>
      <c r="L40" s="2359">
        <f t="shared" si="4"/>
        <v>1709.8969999999999</v>
      </c>
      <c r="M40" s="3572">
        <f t="shared" si="5"/>
        <v>751.55100000000004</v>
      </c>
      <c r="N40" s="2360">
        <f t="shared" si="6"/>
        <v>657.26</v>
      </c>
      <c r="O40" s="3572">
        <f t="shared" si="7"/>
        <v>94.290999999999997</v>
      </c>
      <c r="P40" s="2360">
        <f t="shared" si="8"/>
        <v>65.22</v>
      </c>
      <c r="Q40" s="1104">
        <v>23495.654999999999</v>
      </c>
      <c r="R40" s="3573">
        <v>10904.115</v>
      </c>
      <c r="S40" s="1105">
        <v>9671.0409999999993</v>
      </c>
      <c r="T40" s="3573">
        <v>1233.0740000000001</v>
      </c>
      <c r="U40" s="2866">
        <v>1196.7460000000001</v>
      </c>
    </row>
    <row r="41" spans="1:21">
      <c r="A41" s="1054" t="s">
        <v>443</v>
      </c>
      <c r="B41" s="1106">
        <v>1228.2929999999999</v>
      </c>
      <c r="C41" s="3573">
        <v>557.197</v>
      </c>
      <c r="D41" s="1105">
        <v>489.76400000000001</v>
      </c>
      <c r="E41" s="3573">
        <v>67.433000000000007</v>
      </c>
      <c r="F41" s="1107">
        <v>48.374000000000002</v>
      </c>
      <c r="G41" s="1104">
        <v>484.69799999999998</v>
      </c>
      <c r="H41" s="3573">
        <v>188.86500000000001</v>
      </c>
      <c r="I41" s="1105">
        <v>178.202</v>
      </c>
      <c r="J41" s="3573">
        <v>10.663</v>
      </c>
      <c r="K41" s="1105">
        <v>17.667999999999999</v>
      </c>
      <c r="L41" s="2359">
        <f t="shared" si="4"/>
        <v>1712.991</v>
      </c>
      <c r="M41" s="3572">
        <f t="shared" si="5"/>
        <v>746.06200000000001</v>
      </c>
      <c r="N41" s="2360">
        <f t="shared" si="6"/>
        <v>667.96600000000001</v>
      </c>
      <c r="O41" s="3572">
        <f t="shared" si="7"/>
        <v>78.096000000000004</v>
      </c>
      <c r="P41" s="2360">
        <f t="shared" si="8"/>
        <v>66.042000000000002</v>
      </c>
      <c r="Q41" s="1104">
        <v>23551.456999999999</v>
      </c>
      <c r="R41" s="3573">
        <v>11051.312</v>
      </c>
      <c r="S41" s="1105">
        <v>9910.2739999999994</v>
      </c>
      <c r="T41" s="3573">
        <v>1141.038</v>
      </c>
      <c r="U41" s="2866">
        <v>1331.8409999999999</v>
      </c>
    </row>
    <row r="42" spans="1:21">
      <c r="A42" s="1054" t="s">
        <v>444</v>
      </c>
      <c r="B42" s="1106">
        <v>1230.29</v>
      </c>
      <c r="C42" s="3573">
        <v>567.92499999999995</v>
      </c>
      <c r="D42" s="1105">
        <v>507.41500000000002</v>
      </c>
      <c r="E42" s="3573">
        <v>60.51</v>
      </c>
      <c r="F42" s="1107">
        <v>46.481999999999999</v>
      </c>
      <c r="G42" s="1104">
        <v>485.98099999999999</v>
      </c>
      <c r="H42" s="3573">
        <v>194.95599999999999</v>
      </c>
      <c r="I42" s="1105">
        <v>180.40700000000001</v>
      </c>
      <c r="J42" s="3573">
        <v>14.548999999999999</v>
      </c>
      <c r="K42" s="1105">
        <v>21.248000000000001</v>
      </c>
      <c r="L42" s="2359">
        <f t="shared" si="4"/>
        <v>1716.271</v>
      </c>
      <c r="M42" s="3572">
        <f t="shared" si="5"/>
        <v>762.88099999999997</v>
      </c>
      <c r="N42" s="2360">
        <f t="shared" si="6"/>
        <v>687.822</v>
      </c>
      <c r="O42" s="3572">
        <f t="shared" si="7"/>
        <v>75.058999999999997</v>
      </c>
      <c r="P42" s="2360">
        <f t="shared" si="8"/>
        <v>67.73</v>
      </c>
      <c r="Q42" s="1104">
        <v>23975.986000000001</v>
      </c>
      <c r="R42" s="3573">
        <v>11190.281999999999</v>
      </c>
      <c r="S42" s="1105">
        <v>10060.668</v>
      </c>
      <c r="T42" s="3573">
        <v>1129.614</v>
      </c>
      <c r="U42" s="2866">
        <v>1214.509</v>
      </c>
    </row>
    <row r="43" spans="1:21">
      <c r="A43" s="1054" t="s">
        <v>445</v>
      </c>
      <c r="B43" s="1106">
        <v>1232.319</v>
      </c>
      <c r="C43" s="3573">
        <v>565.99099999999999</v>
      </c>
      <c r="D43" s="1105">
        <v>513.31700000000001</v>
      </c>
      <c r="E43" s="3573">
        <v>52.673999999999999</v>
      </c>
      <c r="F43" s="1107">
        <v>44.435000000000002</v>
      </c>
      <c r="G43" s="1104">
        <v>487.29399999999998</v>
      </c>
      <c r="H43" s="3573">
        <v>206.38900000000001</v>
      </c>
      <c r="I43" s="1105">
        <v>188.36099999999999</v>
      </c>
      <c r="J43" s="3573">
        <v>18.027999999999999</v>
      </c>
      <c r="K43" s="1105">
        <v>19.187999999999999</v>
      </c>
      <c r="L43" s="2359">
        <f t="shared" si="4"/>
        <v>1719.6129999999998</v>
      </c>
      <c r="M43" s="3572">
        <f t="shared" si="5"/>
        <v>772.38</v>
      </c>
      <c r="N43" s="2360">
        <f t="shared" si="6"/>
        <v>701.678</v>
      </c>
      <c r="O43" s="3572">
        <f t="shared" si="7"/>
        <v>70.701999999999998</v>
      </c>
      <c r="P43" s="2360">
        <f t="shared" si="8"/>
        <v>63.623000000000005</v>
      </c>
      <c r="Q43" s="1104">
        <v>24039.305</v>
      </c>
      <c r="R43" s="3573">
        <v>11142.567999999999</v>
      </c>
      <c r="S43" s="1105">
        <v>10181.592000000001</v>
      </c>
      <c r="T43" s="3573">
        <v>960.976</v>
      </c>
      <c r="U43" s="2866">
        <v>1196.875</v>
      </c>
    </row>
    <row r="44" spans="1:21">
      <c r="A44" s="1054" t="s">
        <v>446</v>
      </c>
      <c r="B44" s="1106">
        <v>1234.31</v>
      </c>
      <c r="C44" s="3573">
        <v>565.71500000000003</v>
      </c>
      <c r="D44" s="1105">
        <v>508.49099999999999</v>
      </c>
      <c r="E44" s="3573">
        <v>57.223999999999997</v>
      </c>
      <c r="F44" s="1107">
        <v>38.841000000000001</v>
      </c>
      <c r="G44" s="1104">
        <v>488.62200000000001</v>
      </c>
      <c r="H44" s="3573">
        <v>195.79400000000001</v>
      </c>
      <c r="I44" s="1105">
        <v>179.02199999999999</v>
      </c>
      <c r="J44" s="3573">
        <v>16.771999999999998</v>
      </c>
      <c r="K44" s="1105">
        <v>19.367999999999999</v>
      </c>
      <c r="L44" s="2359">
        <f t="shared" si="4"/>
        <v>1722.932</v>
      </c>
      <c r="M44" s="3572">
        <f t="shared" si="5"/>
        <v>761.50900000000001</v>
      </c>
      <c r="N44" s="2360">
        <f t="shared" si="6"/>
        <v>687.51299999999992</v>
      </c>
      <c r="O44" s="3572">
        <f t="shared" si="7"/>
        <v>73.995999999999995</v>
      </c>
      <c r="P44" s="2360">
        <f t="shared" si="8"/>
        <v>58.209000000000003</v>
      </c>
      <c r="Q44" s="1104">
        <v>24098.608</v>
      </c>
      <c r="R44" s="3573">
        <v>11208.395</v>
      </c>
      <c r="S44" s="1105">
        <v>10122.376</v>
      </c>
      <c r="T44" s="3573">
        <v>1086.019</v>
      </c>
      <c r="U44" s="2866">
        <v>1039.183</v>
      </c>
    </row>
    <row r="45" spans="1:21">
      <c r="A45" s="1054" t="s">
        <v>447</v>
      </c>
      <c r="B45" s="1106">
        <v>1236.222</v>
      </c>
      <c r="C45" s="3573">
        <v>569.60599999999999</v>
      </c>
      <c r="D45" s="1105">
        <v>509.476</v>
      </c>
      <c r="E45" s="3573">
        <v>60.13</v>
      </c>
      <c r="F45" s="1107">
        <v>31.667999999999999</v>
      </c>
      <c r="G45" s="1104">
        <v>489.86599999999999</v>
      </c>
      <c r="H45" s="3573">
        <v>195.512</v>
      </c>
      <c r="I45" s="1105">
        <v>177.22200000000001</v>
      </c>
      <c r="J45" s="3573">
        <v>18.29</v>
      </c>
      <c r="K45" s="1105">
        <v>18.411999999999999</v>
      </c>
      <c r="L45" s="2359">
        <f t="shared" si="4"/>
        <v>1726.088</v>
      </c>
      <c r="M45" s="3572">
        <f t="shared" si="5"/>
        <v>765.11799999999994</v>
      </c>
      <c r="N45" s="2360">
        <f t="shared" si="6"/>
        <v>686.69799999999998</v>
      </c>
      <c r="O45" s="3572">
        <f t="shared" si="7"/>
        <v>78.42</v>
      </c>
      <c r="P45" s="2360">
        <f t="shared" si="8"/>
        <v>50.08</v>
      </c>
      <c r="Q45" s="1104">
        <v>24156.21</v>
      </c>
      <c r="R45" s="3573">
        <v>11188.709000000001</v>
      </c>
      <c r="S45" s="1105">
        <v>10261.413</v>
      </c>
      <c r="T45" s="3573">
        <v>927.29600000000005</v>
      </c>
      <c r="U45" s="2866">
        <v>1118.9970000000001</v>
      </c>
    </row>
    <row r="46" spans="1:21">
      <c r="A46" s="1054" t="s">
        <v>448</v>
      </c>
      <c r="B46" s="1106">
        <v>1238</v>
      </c>
      <c r="C46" s="3573">
        <v>579</v>
      </c>
      <c r="D46" s="1105">
        <v>519</v>
      </c>
      <c r="E46" s="3573">
        <v>60</v>
      </c>
      <c r="F46" s="1107">
        <v>42</v>
      </c>
      <c r="G46" s="1104">
        <v>491</v>
      </c>
      <c r="H46" s="3573">
        <v>196</v>
      </c>
      <c r="I46" s="1105">
        <v>181</v>
      </c>
      <c r="J46" s="3573">
        <v>14</v>
      </c>
      <c r="K46" s="1105">
        <v>15</v>
      </c>
      <c r="L46" s="2359">
        <f t="shared" si="4"/>
        <v>1729</v>
      </c>
      <c r="M46" s="3572">
        <f t="shared" si="5"/>
        <v>775</v>
      </c>
      <c r="N46" s="2360">
        <f t="shared" si="6"/>
        <v>700</v>
      </c>
      <c r="O46" s="3572">
        <f t="shared" si="7"/>
        <v>74</v>
      </c>
      <c r="P46" s="2360">
        <f t="shared" si="8"/>
        <v>57</v>
      </c>
      <c r="Q46" s="1104">
        <v>24215.391</v>
      </c>
      <c r="R46" s="3573">
        <v>11121.829914</v>
      </c>
      <c r="S46" s="1105">
        <v>10235.548365937</v>
      </c>
      <c r="T46" s="3573">
        <v>886.28154806299972</v>
      </c>
      <c r="U46" s="2866">
        <v>1063.1980000000001</v>
      </c>
    </row>
    <row r="47" spans="1:21">
      <c r="A47" s="1054" t="s">
        <v>449</v>
      </c>
      <c r="B47" s="1106">
        <v>1240.396</v>
      </c>
      <c r="C47" s="3573">
        <v>576.53300000000002</v>
      </c>
      <c r="D47" s="1105">
        <v>525.71400000000006</v>
      </c>
      <c r="E47" s="3573">
        <v>50.819000000000003</v>
      </c>
      <c r="F47" s="1107">
        <v>41.460999999999999</v>
      </c>
      <c r="G47" s="1104">
        <v>492.43799999999999</v>
      </c>
      <c r="H47" s="3573">
        <v>204.411</v>
      </c>
      <c r="I47" s="1105">
        <v>185.77</v>
      </c>
      <c r="J47" s="3573">
        <v>18.640999999999998</v>
      </c>
      <c r="K47" s="1105">
        <v>17.736999999999998</v>
      </c>
      <c r="L47" s="2359">
        <f t="shared" si="4"/>
        <v>1732.8339999999998</v>
      </c>
      <c r="M47" s="3572">
        <f t="shared" si="5"/>
        <v>780.94399999999996</v>
      </c>
      <c r="N47" s="2360">
        <f t="shared" si="6"/>
        <v>711.48400000000004</v>
      </c>
      <c r="O47" s="3572">
        <f t="shared" si="7"/>
        <v>69.460000000000008</v>
      </c>
      <c r="P47" s="2360">
        <f t="shared" si="8"/>
        <v>59.197999999999993</v>
      </c>
      <c r="Q47" s="1104">
        <v>24274.795999999998</v>
      </c>
      <c r="R47" s="3573">
        <v>11058.951999999999</v>
      </c>
      <c r="S47" s="1105">
        <v>10227.046</v>
      </c>
      <c r="T47" s="3573">
        <v>831.90599999999995</v>
      </c>
      <c r="U47" s="2866">
        <v>1007.399</v>
      </c>
    </row>
    <row r="48" spans="1:21">
      <c r="A48" s="1054" t="s">
        <v>450</v>
      </c>
      <c r="B48" s="1104">
        <v>1242.415</v>
      </c>
      <c r="C48" s="3573">
        <v>573.91999999999996</v>
      </c>
      <c r="D48" s="1105">
        <v>529.1</v>
      </c>
      <c r="E48" s="3573">
        <v>44.82</v>
      </c>
      <c r="F48" s="1105">
        <v>38.107999999999997</v>
      </c>
      <c r="G48" s="1104">
        <v>493.80200000000002</v>
      </c>
      <c r="H48" s="3573">
        <v>217.16200000000001</v>
      </c>
      <c r="I48" s="1105">
        <v>197.03</v>
      </c>
      <c r="J48" s="3573">
        <v>20.132000000000001</v>
      </c>
      <c r="K48" s="1105">
        <v>25.934000000000001</v>
      </c>
      <c r="L48" s="2359">
        <f t="shared" si="4"/>
        <v>1736.2170000000001</v>
      </c>
      <c r="M48" s="3572">
        <f t="shared" si="5"/>
        <v>791.08199999999999</v>
      </c>
      <c r="N48" s="2360">
        <f t="shared" si="6"/>
        <v>726.13</v>
      </c>
      <c r="O48" s="3572">
        <f t="shared" si="7"/>
        <v>64.951999999999998</v>
      </c>
      <c r="P48" s="2360">
        <f t="shared" si="8"/>
        <v>64.042000000000002</v>
      </c>
      <c r="Q48" s="1104">
        <v>24334.428</v>
      </c>
      <c r="R48" s="3573">
        <v>11132.002</v>
      </c>
      <c r="S48" s="1105">
        <v>10206.869000000001</v>
      </c>
      <c r="T48" s="3573">
        <v>925.13300000000004</v>
      </c>
      <c r="U48" s="2866">
        <v>920.09100000000001</v>
      </c>
    </row>
    <row r="49" spans="1:21">
      <c r="A49" s="1054" t="s">
        <v>451</v>
      </c>
      <c r="B49" s="1104">
        <v>1244.3879999999999</v>
      </c>
      <c r="C49" s="3573">
        <v>593.20399999999995</v>
      </c>
      <c r="D49" s="1105">
        <v>537.54600000000005</v>
      </c>
      <c r="E49" s="3573">
        <v>55.658000000000001</v>
      </c>
      <c r="F49" s="1105">
        <v>44.78</v>
      </c>
      <c r="G49" s="1104">
        <v>495.05099999999999</v>
      </c>
      <c r="H49" s="3573">
        <v>211.691</v>
      </c>
      <c r="I49" s="1105">
        <v>184.39500000000001</v>
      </c>
      <c r="J49" s="3573">
        <v>27.295999999999999</v>
      </c>
      <c r="K49" s="1105">
        <v>23.646999999999998</v>
      </c>
      <c r="L49" s="2359">
        <f t="shared" si="4"/>
        <v>1739.4389999999999</v>
      </c>
      <c r="M49" s="3572">
        <f t="shared" si="5"/>
        <v>804.89499999999998</v>
      </c>
      <c r="N49" s="2360">
        <f t="shared" si="6"/>
        <v>721.94100000000003</v>
      </c>
      <c r="O49" s="3572">
        <f t="shared" si="7"/>
        <v>82.954000000000008</v>
      </c>
      <c r="P49" s="2360">
        <f t="shared" si="8"/>
        <v>68.426999999999992</v>
      </c>
      <c r="Q49" s="1104">
        <v>24391.973000000002</v>
      </c>
      <c r="R49" s="3573">
        <v>11170.459000000001</v>
      </c>
      <c r="S49" s="1105">
        <v>10281.954</v>
      </c>
      <c r="T49" s="3573">
        <v>888.505</v>
      </c>
      <c r="U49" s="2866">
        <v>967.96900000000005</v>
      </c>
    </row>
    <row r="50" spans="1:21">
      <c r="A50" s="1054" t="s">
        <v>452</v>
      </c>
      <c r="B50" s="1104">
        <v>1246.386</v>
      </c>
      <c r="C50" s="3573">
        <v>575.75400000000002</v>
      </c>
      <c r="D50" s="1105">
        <v>521.88499999999999</v>
      </c>
      <c r="E50" s="3573">
        <v>53.869</v>
      </c>
      <c r="F50" s="1105">
        <v>45.902000000000001</v>
      </c>
      <c r="G50" s="1104">
        <v>496.38799999999998</v>
      </c>
      <c r="H50" s="3573">
        <v>210.52099999999999</v>
      </c>
      <c r="I50" s="1105">
        <v>185.518</v>
      </c>
      <c r="J50" s="3573">
        <v>25.003</v>
      </c>
      <c r="K50" s="1105">
        <v>23.841000000000001</v>
      </c>
      <c r="L50" s="2359">
        <f t="shared" si="4"/>
        <v>1742.7739999999999</v>
      </c>
      <c r="M50" s="3572">
        <f t="shared" si="5"/>
        <v>786.27499999999998</v>
      </c>
      <c r="N50" s="2360">
        <f t="shared" si="6"/>
        <v>707.40300000000002</v>
      </c>
      <c r="O50" s="3572">
        <f t="shared" si="7"/>
        <v>78.872</v>
      </c>
      <c r="P50" s="2360">
        <f t="shared" si="8"/>
        <v>69.742999999999995</v>
      </c>
      <c r="Q50" s="1104">
        <v>24451.330999999998</v>
      </c>
      <c r="R50" s="3573">
        <v>11126.999</v>
      </c>
      <c r="S50" s="1105">
        <v>10261.884</v>
      </c>
      <c r="T50" s="3573">
        <v>865.11500000000001</v>
      </c>
      <c r="U50" s="2866">
        <v>1044.241</v>
      </c>
    </row>
    <row r="51" spans="1:21">
      <c r="A51" s="1054" t="s">
        <v>453</v>
      </c>
      <c r="B51" s="1104">
        <v>1248.3989999999999</v>
      </c>
      <c r="C51" s="3573">
        <v>573.59400000000005</v>
      </c>
      <c r="D51" s="1105">
        <v>530.56299999999999</v>
      </c>
      <c r="E51" s="3573">
        <v>43.030999999999999</v>
      </c>
      <c r="F51" s="1105">
        <v>48.298000000000002</v>
      </c>
      <c r="G51" s="1104">
        <v>497.67</v>
      </c>
      <c r="H51" s="3573">
        <v>215.44399999999999</v>
      </c>
      <c r="I51" s="1105">
        <v>195.68700000000001</v>
      </c>
      <c r="J51" s="3573">
        <v>19.757000000000001</v>
      </c>
      <c r="K51" s="1105">
        <v>17.128</v>
      </c>
      <c r="L51" s="2359">
        <f t="shared" si="4"/>
        <v>1746.069</v>
      </c>
      <c r="M51" s="3572">
        <f t="shared" si="5"/>
        <v>789.03800000000001</v>
      </c>
      <c r="N51" s="2360">
        <f t="shared" si="6"/>
        <v>726.25</v>
      </c>
      <c r="O51" s="3572">
        <f t="shared" si="7"/>
        <v>62.787999999999997</v>
      </c>
      <c r="P51" s="2360">
        <f t="shared" si="8"/>
        <v>65.426000000000002</v>
      </c>
      <c r="Q51" s="1104">
        <v>24510.898000000001</v>
      </c>
      <c r="R51" s="3573">
        <v>11299.556</v>
      </c>
      <c r="S51" s="1105">
        <v>10477.103999999999</v>
      </c>
      <c r="T51" s="3573">
        <v>822.452</v>
      </c>
      <c r="U51" s="2866">
        <v>1031.1569999999999</v>
      </c>
    </row>
    <row r="52" spans="1:21" s="1056" customFormat="1">
      <c r="A52" s="1054" t="s">
        <v>454</v>
      </c>
      <c r="B52" s="1104">
        <v>1250.4559999999999</v>
      </c>
      <c r="C52" s="3573">
        <v>593.22699999999998</v>
      </c>
      <c r="D52" s="1105">
        <v>530.62199999999996</v>
      </c>
      <c r="E52" s="3573">
        <v>62.604999999999997</v>
      </c>
      <c r="F52" s="1105">
        <v>49.344000000000001</v>
      </c>
      <c r="G52" s="1104">
        <v>499.00099999999998</v>
      </c>
      <c r="H52" s="3573">
        <v>213.31299999999999</v>
      </c>
      <c r="I52" s="1105">
        <v>187.55600000000001</v>
      </c>
      <c r="J52" s="3573">
        <v>25.757000000000001</v>
      </c>
      <c r="K52" s="1105">
        <v>20.221</v>
      </c>
      <c r="L52" s="2359">
        <f t="shared" si="4"/>
        <v>1749.4569999999999</v>
      </c>
      <c r="M52" s="3572">
        <f t="shared" si="5"/>
        <v>806.54</v>
      </c>
      <c r="N52" s="2360">
        <f t="shared" si="6"/>
        <v>718.178</v>
      </c>
      <c r="O52" s="3572">
        <f t="shared" si="7"/>
        <v>88.361999999999995</v>
      </c>
      <c r="P52" s="2360">
        <f t="shared" si="8"/>
        <v>69.564999999999998</v>
      </c>
      <c r="Q52" s="1104">
        <v>24569.920999999998</v>
      </c>
      <c r="R52" s="3573">
        <v>11417.123</v>
      </c>
      <c r="S52" s="1105">
        <v>10462.531999999999</v>
      </c>
      <c r="T52" s="3573">
        <v>954.59100000000001</v>
      </c>
      <c r="U52" s="2866">
        <v>1032.213</v>
      </c>
    </row>
    <row r="53" spans="1:21" s="1056" customFormat="1">
      <c r="A53" s="1054" t="s">
        <v>455</v>
      </c>
      <c r="B53" s="1104">
        <v>1252.4390000000001</v>
      </c>
      <c r="C53" s="3573">
        <v>582.98099999999999</v>
      </c>
      <c r="D53" s="1105">
        <v>521.63499999999999</v>
      </c>
      <c r="E53" s="3573">
        <v>61.345999999999997</v>
      </c>
      <c r="F53" s="1105">
        <v>56.518000000000001</v>
      </c>
      <c r="G53" s="1104">
        <v>500.274</v>
      </c>
      <c r="H53" s="3573">
        <v>214.053</v>
      </c>
      <c r="I53" s="1105">
        <v>189.845</v>
      </c>
      <c r="J53" s="3573">
        <v>24.207999999999998</v>
      </c>
      <c r="K53" s="1105">
        <v>30.623000000000001</v>
      </c>
      <c r="L53" s="2359">
        <f t="shared" si="4"/>
        <v>1752.7130000000002</v>
      </c>
      <c r="M53" s="3572">
        <f t="shared" si="5"/>
        <v>797.03399999999999</v>
      </c>
      <c r="N53" s="2360">
        <f t="shared" si="6"/>
        <v>711.48</v>
      </c>
      <c r="O53" s="3572">
        <f t="shared" si="7"/>
        <v>85.554000000000002</v>
      </c>
      <c r="P53" s="2360">
        <f t="shared" si="8"/>
        <v>87.141000000000005</v>
      </c>
      <c r="Q53" s="1104">
        <v>24627.772000000001</v>
      </c>
      <c r="R53" s="3573">
        <v>11393.267</v>
      </c>
      <c r="S53" s="1105">
        <v>10397.589</v>
      </c>
      <c r="T53" s="3573">
        <v>995.678</v>
      </c>
      <c r="U53" s="2866">
        <v>1197.8040000000001</v>
      </c>
    </row>
    <row r="54" spans="1:21" s="1056" customFormat="1">
      <c r="A54" s="1054" t="s">
        <v>456</v>
      </c>
      <c r="B54" s="1104">
        <v>1254.423</v>
      </c>
      <c r="C54" s="3573">
        <v>578.59100000000001</v>
      </c>
      <c r="D54" s="1105">
        <v>518.98900000000003</v>
      </c>
      <c r="E54" s="3573">
        <v>59.601999999999997</v>
      </c>
      <c r="F54" s="1105">
        <v>52.448</v>
      </c>
      <c r="G54" s="1104">
        <v>501.56700000000001</v>
      </c>
      <c r="H54" s="3573">
        <v>217.27500000000001</v>
      </c>
      <c r="I54" s="1105">
        <v>188.93299999999999</v>
      </c>
      <c r="J54" s="3573">
        <v>28.341999999999999</v>
      </c>
      <c r="K54" s="1105">
        <v>28.93</v>
      </c>
      <c r="L54" s="2359">
        <f t="shared" si="4"/>
        <v>1755.99</v>
      </c>
      <c r="M54" s="3572">
        <f t="shared" si="5"/>
        <v>795.86599999999999</v>
      </c>
      <c r="N54" s="2360">
        <f t="shared" si="6"/>
        <v>707.92200000000003</v>
      </c>
      <c r="O54" s="3572">
        <f t="shared" si="7"/>
        <v>87.943999999999988</v>
      </c>
      <c r="P54" s="2360">
        <f t="shared" si="8"/>
        <v>81.378</v>
      </c>
      <c r="Q54" s="1104">
        <v>24686.553</v>
      </c>
      <c r="R54" s="3573">
        <v>11371.245000000001</v>
      </c>
      <c r="S54" s="1105">
        <v>10337.879999999999</v>
      </c>
      <c r="T54" s="3573">
        <v>1033.365</v>
      </c>
      <c r="U54" s="2866">
        <v>1202.675</v>
      </c>
    </row>
    <row r="55" spans="1:21" s="1056" customFormat="1">
      <c r="A55" s="1054" t="s">
        <v>457</v>
      </c>
      <c r="B55" s="1104">
        <v>1256.42</v>
      </c>
      <c r="C55" s="3573">
        <v>582.40800000000002</v>
      </c>
      <c r="D55" s="1105">
        <v>520.53099999999995</v>
      </c>
      <c r="E55" s="3573">
        <v>61.877000000000002</v>
      </c>
      <c r="F55" s="1105">
        <v>52.872</v>
      </c>
      <c r="G55" s="1104">
        <v>502.91899999999998</v>
      </c>
      <c r="H55" s="3573">
        <v>222.12</v>
      </c>
      <c r="I55" s="1105">
        <v>205.36199999999999</v>
      </c>
      <c r="J55" s="3573">
        <v>16.757999999999999</v>
      </c>
      <c r="K55" s="1105">
        <v>32.588999999999999</v>
      </c>
      <c r="L55" s="2359">
        <f t="shared" si="4"/>
        <v>1759.3389999999999</v>
      </c>
      <c r="M55" s="3572">
        <f t="shared" si="5"/>
        <v>804.52800000000002</v>
      </c>
      <c r="N55" s="2360">
        <f t="shared" si="6"/>
        <v>725.89299999999992</v>
      </c>
      <c r="O55" s="3572">
        <f t="shared" si="7"/>
        <v>78.635000000000005</v>
      </c>
      <c r="P55" s="2360">
        <f t="shared" si="8"/>
        <v>85.460999999999999</v>
      </c>
      <c r="Q55" s="1104">
        <v>24745.342000000001</v>
      </c>
      <c r="R55" s="3573">
        <v>11449.41</v>
      </c>
      <c r="S55" s="1105">
        <v>10490.844999999999</v>
      </c>
      <c r="T55" s="3573">
        <v>958.56500000000005</v>
      </c>
      <c r="U55" s="2866">
        <v>1178.711</v>
      </c>
    </row>
    <row r="56" spans="1:21" s="1056" customFormat="1">
      <c r="A56" s="1054" t="s">
        <v>458</v>
      </c>
      <c r="B56" s="1104">
        <v>1258.3969999999999</v>
      </c>
      <c r="C56" s="3573">
        <v>606.30799999999999</v>
      </c>
      <c r="D56" s="1105">
        <v>540.74699999999996</v>
      </c>
      <c r="E56" s="3573">
        <v>65.561000000000007</v>
      </c>
      <c r="F56" s="1105">
        <v>67.572000000000003</v>
      </c>
      <c r="G56" s="1104">
        <v>504.12700000000001</v>
      </c>
      <c r="H56" s="3573">
        <v>228.91300000000001</v>
      </c>
      <c r="I56" s="1105">
        <v>206.86</v>
      </c>
      <c r="J56" s="3573">
        <v>22.053000000000001</v>
      </c>
      <c r="K56" s="1105">
        <v>25.768999999999998</v>
      </c>
      <c r="L56" s="2359">
        <f t="shared" si="4"/>
        <v>1762.5239999999999</v>
      </c>
      <c r="M56" s="3572">
        <f t="shared" si="5"/>
        <v>835.221</v>
      </c>
      <c r="N56" s="2360">
        <f t="shared" si="6"/>
        <v>747.60699999999997</v>
      </c>
      <c r="O56" s="3572">
        <f t="shared" si="7"/>
        <v>87.614000000000004</v>
      </c>
      <c r="P56" s="2360">
        <f t="shared" si="8"/>
        <v>93.341000000000008</v>
      </c>
      <c r="Q56" s="1104">
        <v>24803.755000000001</v>
      </c>
      <c r="R56" s="3573">
        <v>11410.615</v>
      </c>
      <c r="S56" s="1105">
        <v>10466.933999999999</v>
      </c>
      <c r="T56" s="3573">
        <v>943.68100000000004</v>
      </c>
      <c r="U56" s="2866">
        <v>1054.085</v>
      </c>
    </row>
    <row r="57" spans="1:21" s="1056" customFormat="1">
      <c r="A57" s="1054" t="s">
        <v>459</v>
      </c>
      <c r="B57" s="1104">
        <v>1260.4159999999999</v>
      </c>
      <c r="C57" s="3573">
        <v>589.74400000000003</v>
      </c>
      <c r="D57" s="1105">
        <v>536.60400000000004</v>
      </c>
      <c r="E57" s="3573">
        <v>53.14</v>
      </c>
      <c r="F57" s="1105">
        <v>56.137</v>
      </c>
      <c r="G57" s="1104">
        <v>505.41899999999998</v>
      </c>
      <c r="H57" s="3573">
        <v>215.852</v>
      </c>
      <c r="I57" s="1105">
        <v>191.18100000000001</v>
      </c>
      <c r="J57" s="3573">
        <v>24.670999999999999</v>
      </c>
      <c r="K57" s="1105">
        <v>24.315999999999999</v>
      </c>
      <c r="L57" s="2359">
        <f t="shared" si="4"/>
        <v>1765.835</v>
      </c>
      <c r="M57" s="3572">
        <f t="shared" si="5"/>
        <v>805.596</v>
      </c>
      <c r="N57" s="2360">
        <f t="shared" si="6"/>
        <v>727.78500000000008</v>
      </c>
      <c r="O57" s="3572">
        <f t="shared" si="7"/>
        <v>77.811000000000007</v>
      </c>
      <c r="P57" s="2360">
        <f t="shared" si="8"/>
        <v>80.453000000000003</v>
      </c>
      <c r="Q57" s="1104">
        <v>24860.277999999998</v>
      </c>
      <c r="R57" s="3573">
        <v>11442.3</v>
      </c>
      <c r="S57" s="1105">
        <v>10544.008</v>
      </c>
      <c r="T57" s="3573">
        <v>898.29200000000003</v>
      </c>
      <c r="U57" s="2866">
        <v>1130.836</v>
      </c>
    </row>
    <row r="58" spans="1:21" s="1056" customFormat="1">
      <c r="A58" s="1054" t="s">
        <v>460</v>
      </c>
      <c r="B58" s="1104">
        <v>1262.345</v>
      </c>
      <c r="C58" s="3573">
        <v>580.19299999999998</v>
      </c>
      <c r="D58" s="1105">
        <v>533.779</v>
      </c>
      <c r="E58" s="3573">
        <v>46.414000000000001</v>
      </c>
      <c r="F58" s="1105">
        <v>49.146000000000001</v>
      </c>
      <c r="G58" s="1104">
        <v>506.65699999999998</v>
      </c>
      <c r="H58" s="3573">
        <v>216.76400000000001</v>
      </c>
      <c r="I58" s="1105">
        <v>202.74199999999999</v>
      </c>
      <c r="J58" s="3573">
        <v>14.022</v>
      </c>
      <c r="K58" s="1105">
        <v>26.765999999999998</v>
      </c>
      <c r="L58" s="2359">
        <f t="shared" si="4"/>
        <v>1769.002</v>
      </c>
      <c r="M58" s="3572">
        <f t="shared" si="5"/>
        <v>796.95699999999999</v>
      </c>
      <c r="N58" s="2360">
        <f t="shared" si="6"/>
        <v>736.52099999999996</v>
      </c>
      <c r="O58" s="3572">
        <f t="shared" si="7"/>
        <v>60.436</v>
      </c>
      <c r="P58" s="2360">
        <f t="shared" si="8"/>
        <v>75.912000000000006</v>
      </c>
      <c r="Q58" s="1104">
        <v>24919.083999999999</v>
      </c>
      <c r="R58" s="3573">
        <v>11435.732</v>
      </c>
      <c r="S58" s="1105">
        <v>10583.602999999999</v>
      </c>
      <c r="T58" s="3573">
        <v>852.12900000000002</v>
      </c>
      <c r="U58" s="2866">
        <v>1007.54</v>
      </c>
    </row>
    <row r="59" spans="1:21" s="1056" customFormat="1">
      <c r="A59" s="1054" t="s">
        <v>461</v>
      </c>
      <c r="B59" s="1104">
        <v>1264.3209999999999</v>
      </c>
      <c r="C59" s="3573">
        <v>580.09900000000005</v>
      </c>
      <c r="D59" s="1105">
        <v>535.12599999999998</v>
      </c>
      <c r="E59" s="3573">
        <v>44.972999999999999</v>
      </c>
      <c r="F59" s="1105">
        <v>56.165999999999997</v>
      </c>
      <c r="G59" s="1104">
        <v>507.90800000000002</v>
      </c>
      <c r="H59" s="3573">
        <v>220.85400000000001</v>
      </c>
      <c r="I59" s="1105">
        <v>201.517</v>
      </c>
      <c r="J59" s="3573">
        <v>19.337</v>
      </c>
      <c r="K59" s="1105">
        <v>27.812999999999999</v>
      </c>
      <c r="L59" s="2359">
        <f t="shared" si="4"/>
        <v>1772.2289999999998</v>
      </c>
      <c r="M59" s="3572">
        <f t="shared" si="5"/>
        <v>800.95300000000009</v>
      </c>
      <c r="N59" s="2360">
        <f t="shared" si="6"/>
        <v>736.64300000000003</v>
      </c>
      <c r="O59" s="3572">
        <f t="shared" si="7"/>
        <v>64.31</v>
      </c>
      <c r="P59" s="2360">
        <f t="shared" si="8"/>
        <v>83.978999999999999</v>
      </c>
      <c r="Q59" s="1104">
        <v>24977.17</v>
      </c>
      <c r="R59" s="3573">
        <v>11425.652</v>
      </c>
      <c r="S59" s="1105">
        <v>10592.712</v>
      </c>
      <c r="T59" s="3573">
        <v>832.94</v>
      </c>
      <c r="U59" s="2866">
        <v>955.072</v>
      </c>
    </row>
    <row r="60" spans="1:21" s="1056" customFormat="1">
      <c r="A60" s="1054" t="s">
        <v>462</v>
      </c>
      <c r="B60" s="1104">
        <v>1266.3800000000001</v>
      </c>
      <c r="C60" s="3573">
        <v>586.94399999999996</v>
      </c>
      <c r="D60" s="1105">
        <v>545.88400000000001</v>
      </c>
      <c r="E60" s="3573">
        <v>41.06</v>
      </c>
      <c r="F60" s="1105">
        <v>52.398000000000003</v>
      </c>
      <c r="G60" s="1104">
        <v>509.233</v>
      </c>
      <c r="H60" s="3573">
        <v>219.49199999999999</v>
      </c>
      <c r="I60" s="1105">
        <v>204.32300000000001</v>
      </c>
      <c r="J60" s="3573">
        <v>15.169</v>
      </c>
      <c r="K60" s="1105">
        <v>13.228999999999999</v>
      </c>
      <c r="L60" s="2359">
        <f t="shared" si="4"/>
        <v>1775.6130000000001</v>
      </c>
      <c r="M60" s="3572">
        <f t="shared" si="5"/>
        <v>806.43599999999992</v>
      </c>
      <c r="N60" s="2360">
        <f t="shared" si="6"/>
        <v>750.20699999999999</v>
      </c>
      <c r="O60" s="3572">
        <f t="shared" si="7"/>
        <v>56.228999999999999</v>
      </c>
      <c r="P60" s="2360">
        <f t="shared" si="8"/>
        <v>65.62700000000001</v>
      </c>
      <c r="Q60" s="1104">
        <v>25035.201000000001</v>
      </c>
      <c r="R60" s="3573">
        <v>11440.737999999999</v>
      </c>
      <c r="S60" s="1105">
        <v>10595.706</v>
      </c>
      <c r="T60" s="3573">
        <v>845.03200000000004</v>
      </c>
      <c r="U60" s="2866">
        <v>940.48900000000003</v>
      </c>
    </row>
    <row r="61" spans="1:21" s="1056" customFormat="1">
      <c r="A61" s="1054" t="s">
        <v>463</v>
      </c>
      <c r="B61" s="1104">
        <v>1268.2940000000001</v>
      </c>
      <c r="C61" s="3573">
        <v>595.86599999999999</v>
      </c>
      <c r="D61" s="1105">
        <v>551.67100000000005</v>
      </c>
      <c r="E61" s="3573">
        <v>44.195</v>
      </c>
      <c r="F61" s="1105">
        <v>40.569000000000003</v>
      </c>
      <c r="G61" s="1104">
        <v>510.47800000000001</v>
      </c>
      <c r="H61" s="3573">
        <v>226.89400000000001</v>
      </c>
      <c r="I61" s="1105">
        <v>208</v>
      </c>
      <c r="J61" s="3573">
        <v>19</v>
      </c>
      <c r="K61" s="1105">
        <v>20.744</v>
      </c>
      <c r="L61" s="2359">
        <f t="shared" si="4"/>
        <v>1778.7720000000002</v>
      </c>
      <c r="M61" s="3572">
        <f t="shared" si="5"/>
        <v>822.76</v>
      </c>
      <c r="N61" s="2360">
        <f t="shared" si="6"/>
        <v>759.67100000000005</v>
      </c>
      <c r="O61" s="3572">
        <f t="shared" si="7"/>
        <v>63.195</v>
      </c>
      <c r="P61" s="2360">
        <f t="shared" si="8"/>
        <v>61.313000000000002</v>
      </c>
      <c r="Q61" s="1104">
        <v>25091.832999999999</v>
      </c>
      <c r="R61" s="3573">
        <v>11681.916999999999</v>
      </c>
      <c r="S61" s="1105">
        <v>10823.455</v>
      </c>
      <c r="T61" s="3573">
        <v>858.46199999999999</v>
      </c>
      <c r="U61" s="2866">
        <v>981.44799999999998</v>
      </c>
    </row>
    <row r="62" spans="1:21" s="1056" customFormat="1">
      <c r="A62" s="1054" t="s">
        <v>464</v>
      </c>
      <c r="B62" s="1104">
        <v>1270.2349999999999</v>
      </c>
      <c r="C62" s="3573">
        <v>589.09100000000001</v>
      </c>
      <c r="D62" s="1105">
        <v>542.93299999999999</v>
      </c>
      <c r="E62" s="3573">
        <v>46.158000000000001</v>
      </c>
      <c r="F62" s="1105">
        <v>47.941000000000003</v>
      </c>
      <c r="G62" s="1104">
        <v>511.72899999999998</v>
      </c>
      <c r="H62" s="3573">
        <v>221.43899999999999</v>
      </c>
      <c r="I62" s="1105">
        <v>200.51300000000001</v>
      </c>
      <c r="J62" s="3573">
        <v>20.925999999999998</v>
      </c>
      <c r="K62" s="1105">
        <v>15.422000000000001</v>
      </c>
      <c r="L62" s="2359">
        <f t="shared" si="4"/>
        <v>1781.9639999999999</v>
      </c>
      <c r="M62" s="3572">
        <f t="shared" si="5"/>
        <v>810.53</v>
      </c>
      <c r="N62" s="2360">
        <f t="shared" si="6"/>
        <v>743.44600000000003</v>
      </c>
      <c r="O62" s="3572">
        <f t="shared" si="7"/>
        <v>67.084000000000003</v>
      </c>
      <c r="P62" s="2360">
        <f t="shared" si="8"/>
        <v>63.363</v>
      </c>
      <c r="Q62" s="1104">
        <v>25149.79</v>
      </c>
      <c r="R62" s="3573">
        <v>11730.245999999999</v>
      </c>
      <c r="S62" s="1105">
        <v>10882.434999999999</v>
      </c>
      <c r="T62" s="3573">
        <v>847.81100000000004</v>
      </c>
      <c r="U62" s="2866">
        <v>1032.0419999999999</v>
      </c>
    </row>
    <row r="63" spans="1:21" s="1056" customFormat="1">
      <c r="A63" s="1054" t="s">
        <v>465</v>
      </c>
      <c r="B63" s="1104">
        <v>1272.279</v>
      </c>
      <c r="C63" s="3573">
        <v>598.71400000000006</v>
      </c>
      <c r="D63" s="1105">
        <v>550.35400000000004</v>
      </c>
      <c r="E63" s="3573">
        <v>48.36</v>
      </c>
      <c r="F63" s="1105">
        <v>34.316000000000003</v>
      </c>
      <c r="G63" s="1104">
        <v>513.03099999999995</v>
      </c>
      <c r="H63" s="3573">
        <v>216.84399999999999</v>
      </c>
      <c r="I63" s="1105">
        <v>204.43899999999999</v>
      </c>
      <c r="J63" s="3573">
        <v>12.404999999999999</v>
      </c>
      <c r="K63" s="1105">
        <v>16.718</v>
      </c>
      <c r="L63" s="2359">
        <f t="shared" si="4"/>
        <v>1785.31</v>
      </c>
      <c r="M63" s="3572">
        <f t="shared" si="5"/>
        <v>815.55799999999999</v>
      </c>
      <c r="N63" s="2360">
        <f t="shared" si="6"/>
        <v>754.79300000000001</v>
      </c>
      <c r="O63" s="3572">
        <f t="shared" si="7"/>
        <v>60.765000000000001</v>
      </c>
      <c r="P63" s="2360">
        <f t="shared" si="8"/>
        <v>51.034000000000006</v>
      </c>
      <c r="Q63" s="1104">
        <v>25207.642</v>
      </c>
      <c r="R63" s="3573">
        <v>11605.231</v>
      </c>
      <c r="S63" s="1105">
        <v>10822.472</v>
      </c>
      <c r="T63" s="3573">
        <v>782.75900000000001</v>
      </c>
      <c r="U63" s="2866">
        <v>993.03800000000001</v>
      </c>
    </row>
    <row r="64" spans="1:21" s="1056" customFormat="1">
      <c r="A64" s="1054" t="s">
        <v>466</v>
      </c>
      <c r="B64" s="1104">
        <v>1274.192</v>
      </c>
      <c r="C64" s="3573">
        <v>606.64200000000005</v>
      </c>
      <c r="D64" s="1105">
        <v>547.41499999999996</v>
      </c>
      <c r="E64" s="3573">
        <v>59.226999999999997</v>
      </c>
      <c r="F64" s="1105">
        <v>45.220999999999997</v>
      </c>
      <c r="G64" s="1104">
        <v>514.37699999999995</v>
      </c>
      <c r="H64" s="3573">
        <v>230.97300000000001</v>
      </c>
      <c r="I64" s="1105">
        <v>215.69399999999999</v>
      </c>
      <c r="J64" s="3573">
        <v>15.279</v>
      </c>
      <c r="K64" s="1105">
        <v>20.146999999999998</v>
      </c>
      <c r="L64" s="2359">
        <f t="shared" si="4"/>
        <v>1788.569</v>
      </c>
      <c r="M64" s="3572">
        <f t="shared" si="5"/>
        <v>837.61500000000001</v>
      </c>
      <c r="N64" s="2360">
        <f t="shared" si="6"/>
        <v>763.10899999999992</v>
      </c>
      <c r="O64" s="3572">
        <f t="shared" si="7"/>
        <v>74.506</v>
      </c>
      <c r="P64" s="2360">
        <f t="shared" si="8"/>
        <v>65.367999999999995</v>
      </c>
      <c r="Q64" s="1104">
        <v>25265.772000000001</v>
      </c>
      <c r="R64" s="3573">
        <v>11484.643</v>
      </c>
      <c r="S64" s="1105">
        <v>10664.173000000001</v>
      </c>
      <c r="T64" s="3573">
        <v>820.47</v>
      </c>
      <c r="U64" s="2866">
        <v>852.77599999999995</v>
      </c>
    </row>
    <row r="65" spans="1:21" s="1056" customFormat="1">
      <c r="A65" s="1054" t="s">
        <v>467</v>
      </c>
      <c r="B65" s="1104">
        <v>1276.1099999999999</v>
      </c>
      <c r="C65" s="3573">
        <v>605.01400000000001</v>
      </c>
      <c r="D65" s="1105">
        <v>554.79100000000005</v>
      </c>
      <c r="E65" s="3573">
        <v>50.222999999999999</v>
      </c>
      <c r="F65" s="1105">
        <v>42.357999999999997</v>
      </c>
      <c r="G65" s="1104">
        <v>515.50199999999995</v>
      </c>
      <c r="H65" s="3573">
        <v>232.00399999999999</v>
      </c>
      <c r="I65" s="1105">
        <v>214.54599999999999</v>
      </c>
      <c r="J65" s="3573">
        <v>17.457999999999998</v>
      </c>
      <c r="K65" s="1105">
        <v>19.286000000000001</v>
      </c>
      <c r="L65" s="2359">
        <f t="shared" si="4"/>
        <v>1791.6119999999999</v>
      </c>
      <c r="M65" s="3572">
        <f t="shared" si="5"/>
        <v>837.01800000000003</v>
      </c>
      <c r="N65" s="2360">
        <f t="shared" si="6"/>
        <v>769.33699999999999</v>
      </c>
      <c r="O65" s="3572">
        <f t="shared" si="7"/>
        <v>67.680999999999997</v>
      </c>
      <c r="P65" s="2360">
        <f t="shared" si="8"/>
        <v>61.643999999999998</v>
      </c>
      <c r="Q65" s="1104">
        <v>25322.002</v>
      </c>
      <c r="R65" s="3573">
        <v>11674.255999999999</v>
      </c>
      <c r="S65" s="1105">
        <v>10832.084999999999</v>
      </c>
      <c r="T65" s="3573">
        <v>842.17100000000005</v>
      </c>
      <c r="U65" s="2866">
        <v>1095.7080000000001</v>
      </c>
    </row>
    <row r="66" spans="1:21" s="1056" customFormat="1">
      <c r="A66" s="1054" t="s">
        <v>468</v>
      </c>
      <c r="B66" s="1104">
        <v>1278.0709999999999</v>
      </c>
      <c r="C66" s="3573">
        <v>585.53399999999999</v>
      </c>
      <c r="D66" s="1105">
        <v>540.38699999999994</v>
      </c>
      <c r="E66" s="3573">
        <v>45.146999999999998</v>
      </c>
      <c r="F66" s="1105">
        <v>55.566000000000003</v>
      </c>
      <c r="G66" s="1104">
        <v>516.85400000000004</v>
      </c>
      <c r="H66" s="3573">
        <v>229.09399999999999</v>
      </c>
      <c r="I66" s="1105">
        <v>211.96199999999999</v>
      </c>
      <c r="J66" s="3573">
        <v>17.132000000000001</v>
      </c>
      <c r="K66" s="1105">
        <v>18.501000000000001</v>
      </c>
      <c r="L66" s="2359">
        <f t="shared" si="4"/>
        <v>1794.925</v>
      </c>
      <c r="M66" s="3572">
        <f t="shared" si="5"/>
        <v>814.62799999999993</v>
      </c>
      <c r="N66" s="2360">
        <f t="shared" si="6"/>
        <v>752.34899999999993</v>
      </c>
      <c r="O66" s="3572">
        <f t="shared" si="7"/>
        <v>62.278999999999996</v>
      </c>
      <c r="P66" s="2360">
        <f t="shared" si="8"/>
        <v>74.067000000000007</v>
      </c>
      <c r="Q66" s="1104">
        <v>25379.821</v>
      </c>
      <c r="R66" s="3573">
        <v>11889.038</v>
      </c>
      <c r="S66" s="1105">
        <v>10982.909</v>
      </c>
      <c r="T66" s="3573">
        <v>906.12900000000002</v>
      </c>
      <c r="U66" s="2866">
        <v>1059.001</v>
      </c>
    </row>
    <row r="67" spans="1:21" s="1056" customFormat="1">
      <c r="A67" s="1054" t="s">
        <v>469</v>
      </c>
      <c r="B67" s="1104">
        <v>1280.0899999999999</v>
      </c>
      <c r="C67" s="3573">
        <v>606.89200000000005</v>
      </c>
      <c r="D67" s="1105">
        <v>554.64499999999998</v>
      </c>
      <c r="E67" s="3573">
        <v>52.247</v>
      </c>
      <c r="F67" s="1105">
        <v>46.606999999999999</v>
      </c>
      <c r="G67" s="1104">
        <v>518.09699999999998</v>
      </c>
      <c r="H67" s="3573">
        <v>225.857</v>
      </c>
      <c r="I67" s="1105">
        <v>210.19499999999999</v>
      </c>
      <c r="J67" s="3573">
        <v>15.662000000000001</v>
      </c>
      <c r="K67" s="1105">
        <v>14.885999999999999</v>
      </c>
      <c r="L67" s="2359">
        <f t="shared" si="4"/>
        <v>1798.1869999999999</v>
      </c>
      <c r="M67" s="3572">
        <f t="shared" si="5"/>
        <v>832.74900000000002</v>
      </c>
      <c r="N67" s="2360">
        <f t="shared" si="6"/>
        <v>764.83999999999992</v>
      </c>
      <c r="O67" s="3572">
        <f t="shared" si="7"/>
        <v>67.909000000000006</v>
      </c>
      <c r="P67" s="2360">
        <f t="shared" si="8"/>
        <v>61.492999999999995</v>
      </c>
      <c r="Q67" s="1104">
        <v>25437.011999999999</v>
      </c>
      <c r="R67" s="3573">
        <v>11767.245999999999</v>
      </c>
      <c r="S67" s="1105">
        <v>10958.876</v>
      </c>
      <c r="T67" s="3573">
        <v>808.37</v>
      </c>
      <c r="U67" s="2866">
        <v>1061.367</v>
      </c>
    </row>
    <row r="68" spans="1:21" s="1056" customFormat="1">
      <c r="A68" s="1054" t="s">
        <v>470</v>
      </c>
      <c r="B68" s="1104">
        <v>1282.009</v>
      </c>
      <c r="C68" s="3573">
        <v>628.726</v>
      </c>
      <c r="D68" s="1105">
        <v>574.46600000000001</v>
      </c>
      <c r="E68" s="3573">
        <v>54.26</v>
      </c>
      <c r="F68" s="1105">
        <v>46.890999999999998</v>
      </c>
      <c r="G68" s="1104">
        <v>519.36900000000003</v>
      </c>
      <c r="H68" s="3573">
        <v>224.251</v>
      </c>
      <c r="I68" s="1105">
        <v>205.99199999999999</v>
      </c>
      <c r="J68" s="3573">
        <v>18.259</v>
      </c>
      <c r="K68" s="1105">
        <v>14.148</v>
      </c>
      <c r="L68" s="2359">
        <f t="shared" si="4"/>
        <v>1801.3780000000002</v>
      </c>
      <c r="M68" s="3572">
        <f t="shared" si="5"/>
        <v>852.97699999999998</v>
      </c>
      <c r="N68" s="2360">
        <f t="shared" si="6"/>
        <v>780.45799999999997</v>
      </c>
      <c r="O68" s="3572">
        <f t="shared" si="7"/>
        <v>72.519000000000005</v>
      </c>
      <c r="P68" s="2360">
        <f t="shared" si="8"/>
        <v>61.039000000000001</v>
      </c>
      <c r="Q68" s="1104">
        <v>25494.719000000001</v>
      </c>
      <c r="R68" s="3573">
        <v>11673.066000000001</v>
      </c>
      <c r="S68" s="1105">
        <v>10747.939</v>
      </c>
      <c r="T68" s="3573">
        <v>925.12699999999995</v>
      </c>
      <c r="U68" s="2866">
        <v>928.13499999999999</v>
      </c>
    </row>
    <row r="69" spans="1:21" s="1056" customFormat="1">
      <c r="A69" s="1054" t="s">
        <v>471</v>
      </c>
      <c r="B69" s="1104">
        <v>1283.9739999999999</v>
      </c>
      <c r="C69" s="3573">
        <v>624.06899999999996</v>
      </c>
      <c r="D69" s="1105">
        <v>572.98699999999997</v>
      </c>
      <c r="E69" s="3573">
        <v>51.082000000000001</v>
      </c>
      <c r="F69" s="1105">
        <v>48.718000000000004</v>
      </c>
      <c r="G69" s="1104">
        <v>520.60199999999998</v>
      </c>
      <c r="H69" s="3573">
        <v>229.59</v>
      </c>
      <c r="I69" s="1105">
        <v>211.95400000000001</v>
      </c>
      <c r="J69" s="3573">
        <v>17.635999999999999</v>
      </c>
      <c r="K69" s="1105">
        <v>13.243</v>
      </c>
      <c r="L69" s="2359">
        <f t="shared" si="4"/>
        <v>1804.576</v>
      </c>
      <c r="M69" s="3572">
        <f t="shared" si="5"/>
        <v>853.65899999999999</v>
      </c>
      <c r="N69" s="2360">
        <f t="shared" si="6"/>
        <v>784.94100000000003</v>
      </c>
      <c r="O69" s="3572">
        <f t="shared" si="7"/>
        <v>68.718000000000004</v>
      </c>
      <c r="P69" s="2360">
        <f t="shared" si="8"/>
        <v>61.961000000000006</v>
      </c>
      <c r="Q69" s="1104">
        <v>25550.272000000001</v>
      </c>
      <c r="R69" s="3573">
        <v>11843.325999999999</v>
      </c>
      <c r="S69" s="1105">
        <v>10985.307000000001</v>
      </c>
      <c r="T69" s="3573">
        <v>858.01900000000001</v>
      </c>
      <c r="U69" s="2866">
        <v>1150.759</v>
      </c>
    </row>
    <row r="70" spans="1:21" s="1056" customFormat="1">
      <c r="A70" s="1054" t="s">
        <v>472</v>
      </c>
      <c r="B70" s="1104">
        <v>1285.9110000000001</v>
      </c>
      <c r="C70" s="3573">
        <v>618.41099999999994</v>
      </c>
      <c r="D70" s="1105">
        <v>570.78</v>
      </c>
      <c r="E70" s="3573">
        <v>47.631</v>
      </c>
      <c r="F70" s="1105">
        <v>39.968000000000004</v>
      </c>
      <c r="G70" s="1104">
        <v>521.87199999999996</v>
      </c>
      <c r="H70" s="3573">
        <v>220.26</v>
      </c>
      <c r="I70" s="1105">
        <v>208.739</v>
      </c>
      <c r="J70" s="3573">
        <v>11.521000000000001</v>
      </c>
      <c r="K70" s="1105">
        <v>15.930999999999999</v>
      </c>
      <c r="L70" s="2359">
        <f t="shared" si="4"/>
        <v>1807.7829999999999</v>
      </c>
      <c r="M70" s="3572">
        <f t="shared" si="5"/>
        <v>838.67099999999994</v>
      </c>
      <c r="N70" s="2360">
        <f t="shared" si="6"/>
        <v>779.51900000000001</v>
      </c>
      <c r="O70" s="3572">
        <f t="shared" si="7"/>
        <v>59.152000000000001</v>
      </c>
      <c r="P70" s="2360">
        <f t="shared" si="8"/>
        <v>55.899000000000001</v>
      </c>
      <c r="Q70" s="1104">
        <v>25607.701000000001</v>
      </c>
      <c r="R70" s="3573">
        <v>11782.395</v>
      </c>
      <c r="S70" s="1105">
        <v>10978.296</v>
      </c>
      <c r="T70" s="3573">
        <v>804.09900000000005</v>
      </c>
      <c r="U70" s="2866">
        <v>1032.0160000000001</v>
      </c>
    </row>
    <row r="71" spans="1:21" s="1056" customFormat="1">
      <c r="A71" s="1054" t="s">
        <v>473</v>
      </c>
      <c r="B71" s="1104">
        <v>1342.5609999999999</v>
      </c>
      <c r="C71" s="3573">
        <v>637.66700000000003</v>
      </c>
      <c r="D71" s="1105">
        <v>587.37400000000002</v>
      </c>
      <c r="E71" s="3573">
        <v>50.292999999999999</v>
      </c>
      <c r="F71" s="1105">
        <v>49.427999999999997</v>
      </c>
      <c r="G71" s="1104">
        <v>521.71400000000006</v>
      </c>
      <c r="H71" s="3573">
        <v>209.90600000000001</v>
      </c>
      <c r="I71" s="1105">
        <v>196.608</v>
      </c>
      <c r="J71" s="3573">
        <v>13.298</v>
      </c>
      <c r="K71" s="1105">
        <v>13.023999999999999</v>
      </c>
      <c r="L71" s="2359">
        <f t="shared" si="4"/>
        <v>1864.2750000000001</v>
      </c>
      <c r="M71" s="3572">
        <f t="shared" si="5"/>
        <v>847.57300000000009</v>
      </c>
      <c r="N71" s="2360">
        <f t="shared" si="6"/>
        <v>783.98199999999997</v>
      </c>
      <c r="O71" s="3572">
        <f t="shared" si="7"/>
        <v>63.591000000000001</v>
      </c>
      <c r="P71" s="2360">
        <f t="shared" si="8"/>
        <v>62.451999999999998</v>
      </c>
      <c r="Q71" s="1104">
        <v>26062.870999999999</v>
      </c>
      <c r="R71" s="3573">
        <v>11869.536</v>
      </c>
      <c r="S71" s="1105">
        <v>11110.638999999999</v>
      </c>
      <c r="T71" s="3573">
        <v>758.89700000000005</v>
      </c>
      <c r="U71" s="2866">
        <v>923.779</v>
      </c>
    </row>
    <row r="72" spans="1:21" s="1056" customFormat="1">
      <c r="A72" s="1054" t="s">
        <v>65</v>
      </c>
      <c r="B72" s="1104">
        <v>1373.89</v>
      </c>
      <c r="C72" s="3573">
        <v>661.58399999999995</v>
      </c>
      <c r="D72" s="1105">
        <v>617.51599999999996</v>
      </c>
      <c r="E72" s="3573">
        <v>44.067999999999998</v>
      </c>
      <c r="F72" s="1105">
        <v>48.006999999999998</v>
      </c>
      <c r="G72" s="1104">
        <v>522.995</v>
      </c>
      <c r="H72" s="3573">
        <v>231.98</v>
      </c>
      <c r="I72" s="1105">
        <v>217.99199999999999</v>
      </c>
      <c r="J72" s="3573">
        <v>13.988</v>
      </c>
      <c r="K72" s="1105">
        <v>13.377000000000001</v>
      </c>
      <c r="L72" s="2359">
        <f t="shared" si="4"/>
        <v>1896.8850000000002</v>
      </c>
      <c r="M72" s="3572">
        <f t="shared" si="5"/>
        <v>893.56399999999996</v>
      </c>
      <c r="N72" s="2360">
        <f t="shared" si="6"/>
        <v>835.50799999999992</v>
      </c>
      <c r="O72" s="3572">
        <f t="shared" si="7"/>
        <v>58.055999999999997</v>
      </c>
      <c r="P72" s="2360">
        <f t="shared" si="8"/>
        <v>61.384</v>
      </c>
      <c r="Q72" s="1104">
        <v>26326.991000000002</v>
      </c>
      <c r="R72" s="3573">
        <v>11831.272000000001</v>
      </c>
      <c r="S72" s="1105">
        <v>10988.313</v>
      </c>
      <c r="T72" s="3573">
        <v>842.95899999999995</v>
      </c>
      <c r="U72" s="2866">
        <v>956.24</v>
      </c>
    </row>
    <row r="73" spans="1:21" s="1056" customFormat="1">
      <c r="A73" s="1054" t="s">
        <v>474</v>
      </c>
      <c r="B73" s="1104">
        <v>1406.376</v>
      </c>
      <c r="C73" s="3573">
        <v>670.30899999999997</v>
      </c>
      <c r="D73" s="1105">
        <v>607.08900000000006</v>
      </c>
      <c r="E73" s="3573">
        <v>63.22</v>
      </c>
      <c r="F73" s="1105">
        <v>52.625999999999998</v>
      </c>
      <c r="G73" s="1104">
        <v>523.82500000000005</v>
      </c>
      <c r="H73" s="3573">
        <v>232.45500000000001</v>
      </c>
      <c r="I73" s="1105">
        <v>212.072</v>
      </c>
      <c r="J73" s="3573">
        <v>20.382999999999999</v>
      </c>
      <c r="K73" s="1105">
        <v>12.615</v>
      </c>
      <c r="L73" s="2359">
        <f t="shared" si="4"/>
        <v>1930.201</v>
      </c>
      <c r="M73" s="3572">
        <f t="shared" si="5"/>
        <v>902.76400000000001</v>
      </c>
      <c r="N73" s="2360">
        <f t="shared" si="6"/>
        <v>819.16100000000006</v>
      </c>
      <c r="O73" s="3572">
        <f t="shared" si="7"/>
        <v>83.602999999999994</v>
      </c>
      <c r="P73" s="2360">
        <f t="shared" si="8"/>
        <v>65.241</v>
      </c>
      <c r="Q73" s="1104">
        <v>26593.564999999999</v>
      </c>
      <c r="R73" s="3573">
        <v>11884.038</v>
      </c>
      <c r="S73" s="1105">
        <v>10993.637000000001</v>
      </c>
      <c r="T73" s="3573">
        <v>890.40099999999995</v>
      </c>
      <c r="U73" s="2866">
        <v>1114.328</v>
      </c>
    </row>
    <row r="74" spans="1:21" s="1056" customFormat="1">
      <c r="A74" s="1054" t="s">
        <v>475</v>
      </c>
      <c r="B74" s="1104">
        <v>1411.078</v>
      </c>
      <c r="C74" s="3573">
        <v>665.65</v>
      </c>
      <c r="D74" s="1105">
        <v>604.02099999999996</v>
      </c>
      <c r="E74" s="3573">
        <v>61.628999999999998</v>
      </c>
      <c r="F74" s="1105">
        <v>57.581000000000003</v>
      </c>
      <c r="G74" s="1104">
        <v>525.11500000000001</v>
      </c>
      <c r="H74" s="3573">
        <v>228.65700000000001</v>
      </c>
      <c r="I74" s="1105">
        <v>211.80500000000001</v>
      </c>
      <c r="J74" s="3573">
        <v>16.852</v>
      </c>
      <c r="K74" s="1105">
        <v>14.404</v>
      </c>
      <c r="L74" s="2359">
        <f t="shared" si="4"/>
        <v>1936.193</v>
      </c>
      <c r="M74" s="3572">
        <f t="shared" si="5"/>
        <v>894.30700000000002</v>
      </c>
      <c r="N74" s="2360">
        <f t="shared" si="6"/>
        <v>815.82600000000002</v>
      </c>
      <c r="O74" s="3572">
        <f t="shared" si="7"/>
        <v>78.480999999999995</v>
      </c>
      <c r="P74" s="2360">
        <f t="shared" si="8"/>
        <v>71.984999999999999</v>
      </c>
      <c r="Q74" s="1104">
        <v>26659.772000000001</v>
      </c>
      <c r="R74" s="3573">
        <v>11897.200999999999</v>
      </c>
      <c r="S74" s="1105">
        <v>11001.92</v>
      </c>
      <c r="T74" s="3573">
        <v>895.28099999999995</v>
      </c>
      <c r="U74" s="2866">
        <v>1100.4780000000001</v>
      </c>
    </row>
    <row r="75" spans="1:21" s="1056" customFormat="1">
      <c r="A75" s="1054" t="s">
        <v>476</v>
      </c>
      <c r="B75" s="1104">
        <v>1415.6279999999999</v>
      </c>
      <c r="C75" s="3573">
        <v>691.16899999999998</v>
      </c>
      <c r="D75" s="1105">
        <v>631.36699999999996</v>
      </c>
      <c r="E75" s="3573">
        <v>59.802</v>
      </c>
      <c r="F75" s="1105">
        <v>62.15</v>
      </c>
      <c r="G75" s="1104">
        <v>526.36599999999999</v>
      </c>
      <c r="H75" s="3573">
        <v>226.245</v>
      </c>
      <c r="I75" s="1105">
        <v>211.209</v>
      </c>
      <c r="J75" s="3573">
        <v>15.036</v>
      </c>
      <c r="K75" s="1105">
        <v>11.991</v>
      </c>
      <c r="L75" s="2359">
        <f t="shared" si="4"/>
        <v>1941.9939999999999</v>
      </c>
      <c r="M75" s="3572">
        <f t="shared" si="5"/>
        <v>917.41399999999999</v>
      </c>
      <c r="N75" s="2360">
        <f t="shared" si="6"/>
        <v>842.57600000000002</v>
      </c>
      <c r="O75" s="3572">
        <f t="shared" si="7"/>
        <v>74.837999999999994</v>
      </c>
      <c r="P75" s="2360">
        <f t="shared" si="8"/>
        <v>74.140999999999991</v>
      </c>
      <c r="Q75" s="1104">
        <v>26725.119999999999</v>
      </c>
      <c r="R75" s="3573">
        <v>12072.839</v>
      </c>
      <c r="S75" s="1105">
        <v>11235.975</v>
      </c>
      <c r="T75" s="3573">
        <v>836.86400000000003</v>
      </c>
      <c r="U75" s="2866">
        <v>1095.6020000000001</v>
      </c>
    </row>
    <row r="76" spans="1:21" s="1056" customFormat="1">
      <c r="A76" s="1054" t="s">
        <v>477</v>
      </c>
      <c r="B76" s="1104">
        <v>1419.9349999999999</v>
      </c>
      <c r="C76" s="3573">
        <v>697.78200000000004</v>
      </c>
      <c r="D76" s="1105">
        <v>636.62599999999998</v>
      </c>
      <c r="E76" s="3573">
        <v>61.155999999999999</v>
      </c>
      <c r="F76" s="1105">
        <v>50.918999999999997</v>
      </c>
      <c r="G76" s="1104">
        <v>527.52499999999998</v>
      </c>
      <c r="H76" s="3573">
        <v>227.21899999999999</v>
      </c>
      <c r="I76" s="1105">
        <v>214.52699999999999</v>
      </c>
      <c r="J76" s="3573">
        <v>12.692</v>
      </c>
      <c r="K76" s="1105">
        <v>19.928000000000001</v>
      </c>
      <c r="L76" s="2359">
        <f t="shared" ref="L76:L139" si="9">B76+G76</f>
        <v>1947.46</v>
      </c>
      <c r="M76" s="3572">
        <f t="shared" ref="M76:M139" si="10">C76+H76</f>
        <v>925.00099999999998</v>
      </c>
      <c r="N76" s="2360">
        <f t="shared" ref="N76:N139" si="11">D76+I76</f>
        <v>851.15300000000002</v>
      </c>
      <c r="O76" s="3572">
        <f t="shared" ref="O76:P139" si="12">E76+J76</f>
        <v>73.847999999999999</v>
      </c>
      <c r="P76" s="2360">
        <f t="shared" si="8"/>
        <v>70.846999999999994</v>
      </c>
      <c r="Q76" s="1104">
        <v>26786.536</v>
      </c>
      <c r="R76" s="3573">
        <v>11917.843999999999</v>
      </c>
      <c r="S76" s="1105">
        <v>11069.985000000001</v>
      </c>
      <c r="T76" s="3573">
        <v>847.85900000000004</v>
      </c>
      <c r="U76" s="2866">
        <v>904.93600000000004</v>
      </c>
    </row>
    <row r="77" spans="1:21" s="1056" customFormat="1">
      <c r="A77" s="1054" t="s">
        <v>478</v>
      </c>
      <c r="B77" s="1104">
        <v>1424.231</v>
      </c>
      <c r="C77" s="3573">
        <v>692.63099999999997</v>
      </c>
      <c r="D77" s="1105">
        <v>635.154</v>
      </c>
      <c r="E77" s="3573">
        <v>57.476999999999997</v>
      </c>
      <c r="F77" s="1105">
        <v>62.125999999999998</v>
      </c>
      <c r="G77" s="1104">
        <v>528.76400000000001</v>
      </c>
      <c r="H77" s="3573">
        <v>226</v>
      </c>
      <c r="I77" s="1105">
        <v>212.13900000000001</v>
      </c>
      <c r="J77" s="3573">
        <v>13.861000000000001</v>
      </c>
      <c r="K77" s="1105">
        <v>15.542</v>
      </c>
      <c r="L77" s="2359">
        <f t="shared" si="9"/>
        <v>1952.9949999999999</v>
      </c>
      <c r="M77" s="3572">
        <f t="shared" si="10"/>
        <v>918.63099999999997</v>
      </c>
      <c r="N77" s="2360">
        <f t="shared" si="11"/>
        <v>847.29300000000001</v>
      </c>
      <c r="O77" s="3572">
        <f t="shared" si="12"/>
        <v>71.337999999999994</v>
      </c>
      <c r="P77" s="2360">
        <f t="shared" si="8"/>
        <v>77.667999999999992</v>
      </c>
      <c r="Q77" s="1104">
        <v>26848.141</v>
      </c>
      <c r="R77" s="3573">
        <v>11920.216</v>
      </c>
      <c r="S77" s="1105">
        <v>11136.718999999999</v>
      </c>
      <c r="T77" s="3573">
        <v>783.49699999999996</v>
      </c>
      <c r="U77" s="2866">
        <v>1077.0940000000001</v>
      </c>
    </row>
    <row r="78" spans="1:21">
      <c r="A78" s="1054" t="s">
        <v>479</v>
      </c>
      <c r="B78" s="1104">
        <f>AVERAGE(B76:B77)</f>
        <v>1422.0830000000001</v>
      </c>
      <c r="C78" s="3573">
        <f t="shared" ref="C78:E78" si="13">AVERAGE(C76:C77)</f>
        <v>695.20650000000001</v>
      </c>
      <c r="D78" s="1105">
        <f t="shared" si="13"/>
        <v>635.89</v>
      </c>
      <c r="E78" s="3573">
        <f t="shared" si="13"/>
        <v>59.316499999999998</v>
      </c>
      <c r="F78" s="1105">
        <f>AVERAGE(F76:F77)</f>
        <v>56.522499999999994</v>
      </c>
      <c r="G78" s="1104">
        <v>529.95500000000004</v>
      </c>
      <c r="H78" s="3573">
        <v>227.821</v>
      </c>
      <c r="I78" s="1105">
        <v>216.65799999999999</v>
      </c>
      <c r="J78" s="3573">
        <v>11.163</v>
      </c>
      <c r="K78" s="1105">
        <f>AVERAGE(K76:K77)</f>
        <v>17.734999999999999</v>
      </c>
      <c r="L78" s="2359">
        <f t="shared" si="9"/>
        <v>1952.038</v>
      </c>
      <c r="M78" s="3572">
        <f t="shared" si="10"/>
        <v>923.02750000000003</v>
      </c>
      <c r="N78" s="2360">
        <f t="shared" si="11"/>
        <v>852.548</v>
      </c>
      <c r="O78" s="3572">
        <f t="shared" si="12"/>
        <v>70.479500000000002</v>
      </c>
      <c r="P78" s="2360">
        <f t="shared" si="8"/>
        <v>74.257499999999993</v>
      </c>
      <c r="Q78" s="1109">
        <f t="shared" ref="Q78:T78" si="14">AVERAGE(Q76:Q77)</f>
        <v>26817.338499999998</v>
      </c>
      <c r="R78" s="3573">
        <f t="shared" si="14"/>
        <v>11919.029999999999</v>
      </c>
      <c r="S78" s="3573">
        <f t="shared" si="14"/>
        <v>11103.351999999999</v>
      </c>
      <c r="T78" s="3573">
        <f t="shared" si="14"/>
        <v>815.678</v>
      </c>
      <c r="U78" s="2866">
        <f>AVERAGE(U76:U77)</f>
        <v>991.0150000000001</v>
      </c>
    </row>
    <row r="79" spans="1:21">
      <c r="A79" s="1054" t="s">
        <v>480</v>
      </c>
      <c r="B79" s="1104">
        <f t="shared" ref="B79:E79" si="15">AVERAGE(B78,B80)</f>
        <v>1355.07575</v>
      </c>
      <c r="C79" s="3573">
        <f t="shared" si="15"/>
        <v>654.63750000000005</v>
      </c>
      <c r="D79" s="1105">
        <f t="shared" si="15"/>
        <v>592.72924999999998</v>
      </c>
      <c r="E79" s="3573">
        <f t="shared" si="15"/>
        <v>61.908249999999995</v>
      </c>
      <c r="F79" s="1105">
        <f>AVERAGE(F78,F80)</f>
        <v>56.261249999999997</v>
      </c>
      <c r="G79" s="1104">
        <f>AVERAGE(G77:G78)</f>
        <v>529.35950000000003</v>
      </c>
      <c r="H79" s="3573">
        <f>AVERAGE(H77:H78)</f>
        <v>226.91050000000001</v>
      </c>
      <c r="I79" s="1105">
        <f>AVERAGE(I77:I78)</f>
        <v>214.39850000000001</v>
      </c>
      <c r="J79" s="3573">
        <f>AVERAGE(J77:J78)</f>
        <v>12.512</v>
      </c>
      <c r="K79" s="1105">
        <f>AVERAGE(K78,K80)</f>
        <v>17.1175</v>
      </c>
      <c r="L79" s="2359">
        <f t="shared" si="9"/>
        <v>1884.43525</v>
      </c>
      <c r="M79" s="3572">
        <f t="shared" si="10"/>
        <v>881.548</v>
      </c>
      <c r="N79" s="2360">
        <f t="shared" si="11"/>
        <v>807.12774999999999</v>
      </c>
      <c r="O79" s="3572">
        <f t="shared" si="12"/>
        <v>74.420249999999996</v>
      </c>
      <c r="P79" s="2360">
        <f t="shared" si="8"/>
        <v>73.378749999999997</v>
      </c>
      <c r="Q79" s="1109">
        <f t="shared" ref="Q79:T79" si="16">AVERAGE(Q78,Q80)</f>
        <v>27026.919249999999</v>
      </c>
      <c r="R79" s="3573">
        <f t="shared" si="16"/>
        <v>12221.764999999999</v>
      </c>
      <c r="S79" s="3573">
        <f t="shared" si="16"/>
        <v>11255.425999999999</v>
      </c>
      <c r="T79" s="3573">
        <f t="shared" si="16"/>
        <v>966.33899999999994</v>
      </c>
      <c r="U79" s="2866">
        <f>AVERAGE(U78,U80)</f>
        <v>1164.2575000000002</v>
      </c>
    </row>
    <row r="80" spans="1:21">
      <c r="A80" s="1054" t="s">
        <v>481</v>
      </c>
      <c r="B80" s="1104">
        <f>AVERAGE(B81:B82)</f>
        <v>1288.0685000000001</v>
      </c>
      <c r="C80" s="3573">
        <f t="shared" ref="C80:F80" si="17">AVERAGE(C81:C82)</f>
        <v>614.06849999999997</v>
      </c>
      <c r="D80" s="1105">
        <f t="shared" si="17"/>
        <v>549.56849999999997</v>
      </c>
      <c r="E80" s="3573">
        <f>AVERAGE(E81:E82)</f>
        <v>64.5</v>
      </c>
      <c r="F80" s="1105">
        <f t="shared" si="17"/>
        <v>56</v>
      </c>
      <c r="G80" s="1104">
        <f>AVERAGE(G81:G82)</f>
        <v>516.30099999999993</v>
      </c>
      <c r="H80" s="3573">
        <f>AVERAGE(H81:H82)</f>
        <v>211.30099999999999</v>
      </c>
      <c r="I80" s="1105">
        <f>AVERAGE(I81:I82)</f>
        <v>202.30099999999999</v>
      </c>
      <c r="J80" s="3573">
        <f>AVERAGE(J81:J82)</f>
        <v>9.5</v>
      </c>
      <c r="K80" s="1105">
        <f>AVERAGE(K81:K82)</f>
        <v>16.5</v>
      </c>
      <c r="L80" s="2359">
        <f t="shared" si="9"/>
        <v>1804.3695</v>
      </c>
      <c r="M80" s="3572">
        <f t="shared" si="10"/>
        <v>825.36950000000002</v>
      </c>
      <c r="N80" s="2360">
        <f t="shared" si="11"/>
        <v>751.86950000000002</v>
      </c>
      <c r="O80" s="3572">
        <f t="shared" si="12"/>
        <v>74</v>
      </c>
      <c r="P80" s="2360">
        <f t="shared" si="8"/>
        <v>72.5</v>
      </c>
      <c r="Q80" s="1109">
        <f t="shared" ref="Q80:T80" si="18">AVERAGE(Q81:Q82)</f>
        <v>27236.5</v>
      </c>
      <c r="R80" s="3573">
        <f t="shared" si="18"/>
        <v>12524.5</v>
      </c>
      <c r="S80" s="3573">
        <f t="shared" si="18"/>
        <v>11407.5</v>
      </c>
      <c r="T80" s="3573">
        <f t="shared" si="18"/>
        <v>1117</v>
      </c>
      <c r="U80" s="2866">
        <f>AVERAGE(U81:U82)</f>
        <v>1337.5</v>
      </c>
    </row>
    <row r="81" spans="1:31">
      <c r="A81" s="1054" t="s">
        <v>482</v>
      </c>
      <c r="B81" s="1106">
        <v>1287.0340000000001</v>
      </c>
      <c r="C81" s="3573">
        <v>617.03399999999999</v>
      </c>
      <c r="D81" s="1105">
        <v>545.03399999999999</v>
      </c>
      <c r="E81" s="3571">
        <v>72</v>
      </c>
      <c r="F81" s="1055">
        <v>62</v>
      </c>
      <c r="G81" s="1104">
        <v>516.06200000000001</v>
      </c>
      <c r="H81" s="3573">
        <v>214.06200000000001</v>
      </c>
      <c r="I81" s="1105">
        <v>203.06200000000001</v>
      </c>
      <c r="J81" s="3571">
        <v>11</v>
      </c>
      <c r="K81" s="1047">
        <v>14</v>
      </c>
      <c r="L81" s="2359">
        <f t="shared" si="9"/>
        <v>1803.096</v>
      </c>
      <c r="M81" s="3572">
        <f t="shared" si="10"/>
        <v>831.096</v>
      </c>
      <c r="N81" s="2360">
        <f t="shared" si="11"/>
        <v>748.096</v>
      </c>
      <c r="O81" s="3572">
        <f t="shared" si="12"/>
        <v>83</v>
      </c>
      <c r="P81" s="2360">
        <f t="shared" si="8"/>
        <v>76</v>
      </c>
      <c r="Q81" s="1049">
        <v>27201</v>
      </c>
      <c r="R81" s="3571">
        <v>12503</v>
      </c>
      <c r="S81" s="1047">
        <v>11338</v>
      </c>
      <c r="T81" s="3571">
        <v>1165</v>
      </c>
      <c r="U81" s="1057">
        <v>1401</v>
      </c>
    </row>
    <row r="82" spans="1:31">
      <c r="A82" s="1054" t="s">
        <v>483</v>
      </c>
      <c r="B82" s="1106">
        <v>1289.1030000000001</v>
      </c>
      <c r="C82" s="3573">
        <v>611.10299999999995</v>
      </c>
      <c r="D82" s="1105">
        <v>554.10299999999995</v>
      </c>
      <c r="E82" s="3571">
        <v>57</v>
      </c>
      <c r="F82" s="1055">
        <v>50</v>
      </c>
      <c r="G82" s="1104">
        <v>516.54</v>
      </c>
      <c r="H82" s="3573">
        <v>208.54</v>
      </c>
      <c r="I82" s="1105">
        <v>201.54</v>
      </c>
      <c r="J82" s="3571">
        <v>8</v>
      </c>
      <c r="K82" s="1047">
        <v>19</v>
      </c>
      <c r="L82" s="2359">
        <f t="shared" si="9"/>
        <v>1805.643</v>
      </c>
      <c r="M82" s="3572">
        <f t="shared" si="10"/>
        <v>819.64299999999992</v>
      </c>
      <c r="N82" s="2360">
        <f t="shared" si="11"/>
        <v>755.64299999999992</v>
      </c>
      <c r="O82" s="3572">
        <f t="shared" si="12"/>
        <v>65</v>
      </c>
      <c r="P82" s="2360">
        <f t="shared" si="8"/>
        <v>69</v>
      </c>
      <c r="Q82" s="1049">
        <v>27272</v>
      </c>
      <c r="R82" s="3571">
        <v>12546</v>
      </c>
      <c r="S82" s="1047">
        <v>11477</v>
      </c>
      <c r="T82" s="3571">
        <v>1069</v>
      </c>
      <c r="U82" s="1057">
        <v>1274</v>
      </c>
    </row>
    <row r="83" spans="1:31">
      <c r="A83" s="1054" t="s">
        <v>484</v>
      </c>
      <c r="B83" s="1106">
        <v>1291.375</v>
      </c>
      <c r="C83" s="3573">
        <v>629.375</v>
      </c>
      <c r="D83" s="1105">
        <v>575.375</v>
      </c>
      <c r="E83" s="3571">
        <v>54</v>
      </c>
      <c r="F83" s="1055">
        <v>56</v>
      </c>
      <c r="G83" s="1104">
        <v>518.42100000000005</v>
      </c>
      <c r="H83" s="3573">
        <v>226.42099999999999</v>
      </c>
      <c r="I83" s="1105">
        <v>214.42099999999999</v>
      </c>
      <c r="J83" s="3571">
        <v>11</v>
      </c>
      <c r="K83" s="1047">
        <v>20</v>
      </c>
      <c r="L83" s="2359">
        <f t="shared" si="9"/>
        <v>1809.796</v>
      </c>
      <c r="M83" s="3572">
        <f t="shared" si="10"/>
        <v>855.79600000000005</v>
      </c>
      <c r="N83" s="2360">
        <f t="shared" si="11"/>
        <v>789.79600000000005</v>
      </c>
      <c r="O83" s="3572">
        <f t="shared" si="12"/>
        <v>65</v>
      </c>
      <c r="P83" s="2360">
        <f t="shared" si="8"/>
        <v>76</v>
      </c>
      <c r="Q83" s="1049">
        <v>27345</v>
      </c>
      <c r="R83" s="3571">
        <v>12397</v>
      </c>
      <c r="S83" s="1047">
        <v>11459</v>
      </c>
      <c r="T83" s="3571">
        <v>937</v>
      </c>
      <c r="U83" s="1057">
        <v>1278</v>
      </c>
    </row>
    <row r="84" spans="1:31">
      <c r="A84" s="1054" t="s">
        <v>485</v>
      </c>
      <c r="B84" s="1106">
        <v>1292.68</v>
      </c>
      <c r="C84" s="3573">
        <v>617.67999999999995</v>
      </c>
      <c r="D84" s="1105">
        <v>554.67999999999995</v>
      </c>
      <c r="E84" s="3571">
        <v>63</v>
      </c>
      <c r="F84" s="1055">
        <v>67</v>
      </c>
      <c r="G84" s="1104">
        <v>519.04399999999998</v>
      </c>
      <c r="H84" s="3573">
        <v>217.04400000000001</v>
      </c>
      <c r="I84" s="1105">
        <v>206.04400000000001</v>
      </c>
      <c r="J84" s="3571">
        <v>11</v>
      </c>
      <c r="K84" s="1047">
        <v>15</v>
      </c>
      <c r="L84" s="2359">
        <f t="shared" si="9"/>
        <v>1811.7240000000002</v>
      </c>
      <c r="M84" s="3572">
        <f t="shared" si="10"/>
        <v>834.72399999999993</v>
      </c>
      <c r="N84" s="2360">
        <f t="shared" si="11"/>
        <v>760.72399999999993</v>
      </c>
      <c r="O84" s="3572">
        <f t="shared" si="12"/>
        <v>74</v>
      </c>
      <c r="P84" s="2360">
        <f t="shared" si="8"/>
        <v>82</v>
      </c>
      <c r="Q84" s="1049">
        <v>27416</v>
      </c>
      <c r="R84" s="3571">
        <v>12478</v>
      </c>
      <c r="S84" s="1047">
        <v>11328</v>
      </c>
      <c r="T84" s="3571">
        <v>1149</v>
      </c>
      <c r="U84" s="1057">
        <v>1240</v>
      </c>
      <c r="AA84" s="2629"/>
      <c r="AB84" s="2629"/>
      <c r="AC84" s="2629"/>
      <c r="AD84" s="2629"/>
      <c r="AE84" s="2629"/>
    </row>
    <row r="85" spans="1:31">
      <c r="A85" s="1054" t="s">
        <v>486</v>
      </c>
      <c r="B85" s="1104">
        <v>1295.991</v>
      </c>
      <c r="C85" s="3573">
        <v>624.99099999999999</v>
      </c>
      <c r="D85" s="1105">
        <v>556.99099999999999</v>
      </c>
      <c r="E85" s="3571">
        <v>68</v>
      </c>
      <c r="F85" s="1055">
        <v>69</v>
      </c>
      <c r="G85" s="1104">
        <v>519.60799999999995</v>
      </c>
      <c r="H85" s="3573">
        <v>217.608</v>
      </c>
      <c r="I85" s="1105">
        <v>206.608</v>
      </c>
      <c r="J85" s="3571">
        <v>11</v>
      </c>
      <c r="K85" s="1047">
        <v>14</v>
      </c>
      <c r="L85" s="2359">
        <f t="shared" si="9"/>
        <v>1815.5989999999999</v>
      </c>
      <c r="M85" s="3572">
        <f t="shared" si="10"/>
        <v>842.59899999999993</v>
      </c>
      <c r="N85" s="2360">
        <f t="shared" si="11"/>
        <v>763.59899999999993</v>
      </c>
      <c r="O85" s="3572">
        <f t="shared" si="12"/>
        <v>79</v>
      </c>
      <c r="P85" s="2360">
        <f t="shared" si="8"/>
        <v>83</v>
      </c>
      <c r="Q85" s="1049">
        <v>27486</v>
      </c>
      <c r="R85" s="3571">
        <v>12483</v>
      </c>
      <c r="S85" s="1047">
        <v>11395</v>
      </c>
      <c r="T85" s="3571">
        <v>1088</v>
      </c>
      <c r="U85" s="1057">
        <v>1371</v>
      </c>
      <c r="AA85" s="2629"/>
      <c r="AB85" s="2629"/>
      <c r="AC85" s="2629"/>
      <c r="AD85" s="2629"/>
      <c r="AE85" s="2629"/>
    </row>
    <row r="86" spans="1:31">
      <c r="A86" s="1054" t="s">
        <v>487</v>
      </c>
      <c r="B86" s="1106">
        <v>1298.2670000000001</v>
      </c>
      <c r="C86" s="3573">
        <v>604.26700000000005</v>
      </c>
      <c r="D86" s="1105">
        <v>553.26700000000005</v>
      </c>
      <c r="E86" s="3571">
        <v>50</v>
      </c>
      <c r="F86" s="1055">
        <v>53</v>
      </c>
      <c r="G86" s="1104">
        <v>522.03200000000004</v>
      </c>
      <c r="H86" s="3573">
        <v>222.03200000000001</v>
      </c>
      <c r="I86" s="1105">
        <v>215.03200000000001</v>
      </c>
      <c r="J86" s="3571">
        <v>7</v>
      </c>
      <c r="K86" s="1047">
        <v>20</v>
      </c>
      <c r="L86" s="2359">
        <f t="shared" si="9"/>
        <v>1820.299</v>
      </c>
      <c r="M86" s="3572">
        <f t="shared" si="10"/>
        <v>826.29900000000009</v>
      </c>
      <c r="N86" s="2360">
        <f t="shared" si="11"/>
        <v>768.29900000000009</v>
      </c>
      <c r="O86" s="3572">
        <f t="shared" si="12"/>
        <v>57</v>
      </c>
      <c r="P86" s="2360">
        <f t="shared" si="8"/>
        <v>73</v>
      </c>
      <c r="Q86" s="1049">
        <v>27558</v>
      </c>
      <c r="R86" s="3571">
        <v>12752</v>
      </c>
      <c r="S86" s="1047">
        <v>11694</v>
      </c>
      <c r="T86" s="3571">
        <v>1058</v>
      </c>
      <c r="U86" s="1057">
        <v>1380</v>
      </c>
      <c r="AA86" s="2629"/>
      <c r="AB86" s="2629"/>
      <c r="AC86" s="2629"/>
      <c r="AD86" s="2629"/>
      <c r="AE86" s="2629"/>
    </row>
    <row r="87" spans="1:31">
      <c r="A87" s="1054" t="s">
        <v>488</v>
      </c>
      <c r="B87" s="1106">
        <v>1299.683</v>
      </c>
      <c r="C87" s="3573">
        <v>601.68299999999999</v>
      </c>
      <c r="D87" s="1105">
        <v>556.68299999999999</v>
      </c>
      <c r="E87" s="3571">
        <v>46</v>
      </c>
      <c r="F87" s="1055">
        <v>58</v>
      </c>
      <c r="G87" s="1104">
        <v>523.471</v>
      </c>
      <c r="H87" s="3573">
        <v>220.471</v>
      </c>
      <c r="I87" s="1105">
        <v>212.471</v>
      </c>
      <c r="J87" s="3571">
        <v>7</v>
      </c>
      <c r="K87" s="1047">
        <v>22</v>
      </c>
      <c r="L87" s="2359">
        <f t="shared" si="9"/>
        <v>1823.154</v>
      </c>
      <c r="M87" s="3572">
        <f t="shared" si="10"/>
        <v>822.154</v>
      </c>
      <c r="N87" s="2360">
        <f t="shared" si="11"/>
        <v>769.154</v>
      </c>
      <c r="O87" s="3572">
        <f t="shared" si="12"/>
        <v>53</v>
      </c>
      <c r="P87" s="2360">
        <f t="shared" si="8"/>
        <v>80</v>
      </c>
      <c r="Q87" s="1049">
        <v>27629</v>
      </c>
      <c r="R87" s="3571">
        <v>12818</v>
      </c>
      <c r="S87" s="1047">
        <v>11892</v>
      </c>
      <c r="T87" s="3571">
        <v>926</v>
      </c>
      <c r="U87" s="1057">
        <v>1305</v>
      </c>
      <c r="AA87" s="2629"/>
      <c r="AB87" s="2629"/>
      <c r="AC87" s="2629"/>
      <c r="AD87" s="2629"/>
      <c r="AE87" s="2629"/>
    </row>
    <row r="88" spans="1:31">
      <c r="A88" s="1054" t="s">
        <v>489</v>
      </c>
      <c r="B88" s="1106">
        <v>1301.8240000000001</v>
      </c>
      <c r="C88" s="3573">
        <v>633.82399999999996</v>
      </c>
      <c r="D88" s="1105">
        <v>575.82399999999996</v>
      </c>
      <c r="E88" s="3571">
        <v>58</v>
      </c>
      <c r="F88" s="1055">
        <v>57</v>
      </c>
      <c r="G88" s="1104">
        <v>523.57299999999998</v>
      </c>
      <c r="H88" s="3573">
        <v>226.57300000000001</v>
      </c>
      <c r="I88" s="1105">
        <v>211.57300000000001</v>
      </c>
      <c r="J88" s="3571">
        <v>15</v>
      </c>
      <c r="K88" s="1047">
        <v>19</v>
      </c>
      <c r="L88" s="2359">
        <f t="shared" si="9"/>
        <v>1825.3969999999999</v>
      </c>
      <c r="M88" s="3572">
        <f t="shared" si="10"/>
        <v>860.39699999999993</v>
      </c>
      <c r="N88" s="2360">
        <f t="shared" si="11"/>
        <v>787.39699999999993</v>
      </c>
      <c r="O88" s="3572">
        <f t="shared" si="12"/>
        <v>73</v>
      </c>
      <c r="P88" s="2360">
        <f t="shared" si="8"/>
        <v>76</v>
      </c>
      <c r="Q88" s="1049">
        <v>27700</v>
      </c>
      <c r="R88" s="3571">
        <v>12932</v>
      </c>
      <c r="S88" s="1047">
        <v>11749</v>
      </c>
      <c r="T88" s="3571">
        <v>1183</v>
      </c>
      <c r="U88" s="1057">
        <v>1266</v>
      </c>
      <c r="AA88" s="2629"/>
      <c r="AB88" s="2629"/>
      <c r="AC88" s="2629"/>
      <c r="AD88" s="2629"/>
      <c r="AE88" s="2629"/>
    </row>
    <row r="89" spans="1:31">
      <c r="A89" s="1054" t="s">
        <v>490</v>
      </c>
      <c r="B89" s="1106">
        <v>1303.941</v>
      </c>
      <c r="C89" s="3573">
        <v>619.94100000000003</v>
      </c>
      <c r="D89" s="1105">
        <v>569.94100000000003</v>
      </c>
      <c r="E89" s="3571">
        <v>50</v>
      </c>
      <c r="F89" s="1055">
        <v>79</v>
      </c>
      <c r="G89" s="1104">
        <v>525.41300000000001</v>
      </c>
      <c r="H89" s="3573">
        <v>216.41300000000001</v>
      </c>
      <c r="I89" s="1105">
        <v>200.41300000000001</v>
      </c>
      <c r="J89" s="3571">
        <v>15</v>
      </c>
      <c r="K89" s="1047">
        <v>17</v>
      </c>
      <c r="L89" s="2359">
        <f t="shared" si="9"/>
        <v>1829.354</v>
      </c>
      <c r="M89" s="3572">
        <f t="shared" si="10"/>
        <v>836.35400000000004</v>
      </c>
      <c r="N89" s="2360">
        <f t="shared" si="11"/>
        <v>770.35400000000004</v>
      </c>
      <c r="O89" s="3572">
        <f t="shared" si="12"/>
        <v>65</v>
      </c>
      <c r="P89" s="2360">
        <f t="shared" si="8"/>
        <v>96</v>
      </c>
      <c r="Q89" s="1049">
        <v>27768</v>
      </c>
      <c r="R89" s="3571">
        <v>12881</v>
      </c>
      <c r="S89" s="1047">
        <v>11642</v>
      </c>
      <c r="T89" s="3571">
        <v>1239</v>
      </c>
      <c r="U89" s="1057">
        <v>1447</v>
      </c>
      <c r="AA89" s="2629"/>
      <c r="AB89" s="2629"/>
      <c r="AC89" s="2629"/>
      <c r="AD89" s="2629"/>
      <c r="AE89" s="2629"/>
    </row>
    <row r="90" spans="1:31">
      <c r="A90" s="1054" t="s">
        <v>491</v>
      </c>
      <c r="B90" s="1106">
        <v>1306.1890000000001</v>
      </c>
      <c r="C90" s="3573">
        <v>620.18899999999996</v>
      </c>
      <c r="D90" s="1105">
        <v>571.18899999999996</v>
      </c>
      <c r="E90" s="3571">
        <v>49</v>
      </c>
      <c r="F90" s="1055">
        <v>53</v>
      </c>
      <c r="G90" s="1104">
        <v>526.101</v>
      </c>
      <c r="H90" s="3573">
        <v>214.101</v>
      </c>
      <c r="I90" s="1105">
        <v>206.101</v>
      </c>
      <c r="J90" s="3571">
        <v>8</v>
      </c>
      <c r="K90" s="1047">
        <v>15</v>
      </c>
      <c r="L90" s="2359">
        <f t="shared" si="9"/>
        <v>1832.29</v>
      </c>
      <c r="M90" s="3572">
        <f t="shared" si="10"/>
        <v>834.29</v>
      </c>
      <c r="N90" s="2360">
        <f t="shared" si="11"/>
        <v>777.29</v>
      </c>
      <c r="O90" s="3572">
        <f t="shared" si="12"/>
        <v>57</v>
      </c>
      <c r="P90" s="2360">
        <f t="shared" si="8"/>
        <v>68</v>
      </c>
      <c r="Q90" s="1049">
        <v>27842</v>
      </c>
      <c r="R90" s="3571">
        <v>12990</v>
      </c>
      <c r="S90" s="1047">
        <v>11822</v>
      </c>
      <c r="T90" s="3571">
        <v>1168</v>
      </c>
      <c r="U90" s="1057">
        <v>1537</v>
      </c>
      <c r="AA90" s="2629"/>
      <c r="AB90" s="2629"/>
      <c r="AC90" s="2629"/>
      <c r="AD90" s="2629"/>
      <c r="AE90" s="2629"/>
    </row>
    <row r="91" spans="1:31">
      <c r="A91" s="1054" t="s">
        <v>492</v>
      </c>
      <c r="B91" s="1106">
        <v>1307.9079999999999</v>
      </c>
      <c r="C91" s="3573">
        <v>609.90800000000002</v>
      </c>
      <c r="D91" s="1105">
        <v>531.90800000000002</v>
      </c>
      <c r="E91" s="3571">
        <v>78</v>
      </c>
      <c r="F91" s="1055">
        <v>78</v>
      </c>
      <c r="G91" s="1104">
        <v>526.82899999999995</v>
      </c>
      <c r="H91" s="3573">
        <v>221.82900000000001</v>
      </c>
      <c r="I91" s="1105">
        <v>215.82900000000001</v>
      </c>
      <c r="J91" s="3571">
        <v>7</v>
      </c>
      <c r="K91" s="1047">
        <v>15</v>
      </c>
      <c r="L91" s="2359">
        <f t="shared" si="9"/>
        <v>1834.7369999999999</v>
      </c>
      <c r="M91" s="3572">
        <f t="shared" si="10"/>
        <v>831.73700000000008</v>
      </c>
      <c r="N91" s="2360">
        <f t="shared" si="11"/>
        <v>747.73700000000008</v>
      </c>
      <c r="O91" s="3572">
        <f t="shared" si="12"/>
        <v>85</v>
      </c>
      <c r="P91" s="2360">
        <f t="shared" si="8"/>
        <v>93</v>
      </c>
      <c r="Q91" s="1049">
        <v>27914</v>
      </c>
      <c r="R91" s="3571">
        <v>12979</v>
      </c>
      <c r="S91" s="1047">
        <v>11793</v>
      </c>
      <c r="T91" s="3571">
        <v>1185</v>
      </c>
      <c r="U91" s="1057">
        <v>1557</v>
      </c>
      <c r="AA91" s="2629"/>
      <c r="AB91" s="2629"/>
      <c r="AC91" s="2629"/>
      <c r="AD91" s="2629"/>
      <c r="AE91" s="2629"/>
    </row>
    <row r="92" spans="1:31">
      <c r="A92" s="1054" t="s">
        <v>493</v>
      </c>
      <c r="B92" s="1106">
        <v>1309.9690000000001</v>
      </c>
      <c r="C92" s="3573">
        <v>619.96900000000005</v>
      </c>
      <c r="D92" s="1105">
        <v>546.96900000000005</v>
      </c>
      <c r="E92" s="3571">
        <v>73</v>
      </c>
      <c r="F92" s="1055">
        <v>73</v>
      </c>
      <c r="G92" s="1104">
        <v>527.96699999999998</v>
      </c>
      <c r="H92" s="3573">
        <v>216.96700000000001</v>
      </c>
      <c r="I92" s="1105">
        <v>204.96700000000001</v>
      </c>
      <c r="J92" s="3571">
        <v>12</v>
      </c>
      <c r="K92" s="1047">
        <v>13</v>
      </c>
      <c r="L92" s="2359">
        <f t="shared" si="9"/>
        <v>1837.9360000000001</v>
      </c>
      <c r="M92" s="3572">
        <f t="shared" si="10"/>
        <v>836.93600000000004</v>
      </c>
      <c r="N92" s="2360">
        <f t="shared" si="11"/>
        <v>751.93600000000004</v>
      </c>
      <c r="O92" s="3572">
        <f t="shared" si="12"/>
        <v>85</v>
      </c>
      <c r="P92" s="2360">
        <f t="shared" si="8"/>
        <v>86</v>
      </c>
      <c r="Q92" s="1049">
        <v>28261</v>
      </c>
      <c r="R92" s="3571">
        <v>13285</v>
      </c>
      <c r="S92" s="1047">
        <v>11947</v>
      </c>
      <c r="T92" s="3571">
        <v>1338</v>
      </c>
      <c r="U92" s="1057">
        <v>1562</v>
      </c>
      <c r="AA92" s="2629"/>
      <c r="AB92" s="2629"/>
      <c r="AC92" s="2629"/>
      <c r="AD92" s="2629"/>
      <c r="AE92" s="2629"/>
    </row>
    <row r="93" spans="1:31">
      <c r="A93" s="1054" t="s">
        <v>494</v>
      </c>
      <c r="B93" s="1106">
        <v>1311.847</v>
      </c>
      <c r="C93" s="3573">
        <v>624.84699999999998</v>
      </c>
      <c r="D93" s="1105">
        <v>558.84699999999998</v>
      </c>
      <c r="E93" s="3571">
        <v>66</v>
      </c>
      <c r="F93" s="1055">
        <v>65</v>
      </c>
      <c r="G93" s="1104">
        <v>529.36099999999999</v>
      </c>
      <c r="H93" s="3573">
        <v>219.36099999999999</v>
      </c>
      <c r="I93" s="1105">
        <v>202.36099999999999</v>
      </c>
      <c r="J93" s="3571">
        <v>16</v>
      </c>
      <c r="K93" s="1047">
        <v>16</v>
      </c>
      <c r="L93" s="2359">
        <f t="shared" si="9"/>
        <v>1841.2080000000001</v>
      </c>
      <c r="M93" s="3572">
        <f t="shared" si="10"/>
        <v>844.20799999999997</v>
      </c>
      <c r="N93" s="2360">
        <f t="shared" si="11"/>
        <v>761.20799999999997</v>
      </c>
      <c r="O93" s="3572">
        <f t="shared" si="12"/>
        <v>82</v>
      </c>
      <c r="P93" s="2360">
        <f t="shared" si="8"/>
        <v>81</v>
      </c>
      <c r="Q93" s="1049">
        <v>28330</v>
      </c>
      <c r="R93" s="3571">
        <v>13511</v>
      </c>
      <c r="S93" s="1047">
        <v>12073</v>
      </c>
      <c r="T93" s="3571">
        <v>1438</v>
      </c>
      <c r="U93" s="1057">
        <v>1775</v>
      </c>
      <c r="AA93" s="2629"/>
      <c r="AB93" s="2629"/>
      <c r="AC93" s="2629"/>
      <c r="AD93" s="2629"/>
      <c r="AE93" s="2629"/>
    </row>
    <row r="94" spans="1:31">
      <c r="A94" s="1054" t="s">
        <v>495</v>
      </c>
      <c r="B94" s="1106">
        <v>1315.328</v>
      </c>
      <c r="C94" s="3573">
        <v>608.32799999999997</v>
      </c>
      <c r="D94" s="1105">
        <v>555.32799999999997</v>
      </c>
      <c r="E94" s="3571">
        <v>53</v>
      </c>
      <c r="F94" s="1055">
        <v>64</v>
      </c>
      <c r="G94" s="1104">
        <v>530.654</v>
      </c>
      <c r="H94" s="3573">
        <v>223.654</v>
      </c>
      <c r="I94" s="1105">
        <v>212.654</v>
      </c>
      <c r="J94" s="3571">
        <v>11</v>
      </c>
      <c r="K94" s="1047">
        <v>17</v>
      </c>
      <c r="L94" s="2359">
        <f t="shared" si="9"/>
        <v>1845.982</v>
      </c>
      <c r="M94" s="3572">
        <f t="shared" si="10"/>
        <v>831.98199999999997</v>
      </c>
      <c r="N94" s="2360">
        <f t="shared" si="11"/>
        <v>767.98199999999997</v>
      </c>
      <c r="O94" s="3572">
        <f t="shared" si="12"/>
        <v>64</v>
      </c>
      <c r="P94" s="2360">
        <f t="shared" si="12"/>
        <v>81</v>
      </c>
      <c r="Q94" s="1049">
        <v>27989</v>
      </c>
      <c r="R94" s="3571">
        <v>13221</v>
      </c>
      <c r="S94" s="1047">
        <v>11934</v>
      </c>
      <c r="T94" s="3571">
        <v>1287</v>
      </c>
      <c r="U94" s="1057">
        <v>1688</v>
      </c>
      <c r="AA94" s="2629"/>
      <c r="AB94" s="2629"/>
      <c r="AC94" s="2629"/>
      <c r="AD94" s="2629"/>
      <c r="AE94" s="2629"/>
    </row>
    <row r="95" spans="1:31">
      <c r="A95" s="1054" t="s">
        <v>496</v>
      </c>
      <c r="B95" s="1106">
        <v>1316.655</v>
      </c>
      <c r="C95" s="3573">
        <v>607.65499999999997</v>
      </c>
      <c r="D95" s="1105">
        <v>555.65499999999997</v>
      </c>
      <c r="E95" s="3571">
        <v>53</v>
      </c>
      <c r="F95" s="1055">
        <v>68</v>
      </c>
      <c r="G95" s="1104">
        <v>531.63400000000001</v>
      </c>
      <c r="H95" s="3573">
        <v>231.63399999999999</v>
      </c>
      <c r="I95" s="1105">
        <v>219.63399999999999</v>
      </c>
      <c r="J95" s="3571">
        <v>13</v>
      </c>
      <c r="K95" s="1047">
        <v>17</v>
      </c>
      <c r="L95" s="2359">
        <f t="shared" si="9"/>
        <v>1848.289</v>
      </c>
      <c r="M95" s="3572">
        <f t="shared" si="10"/>
        <v>839.28899999999999</v>
      </c>
      <c r="N95" s="2360">
        <f t="shared" si="11"/>
        <v>775.28899999999999</v>
      </c>
      <c r="O95" s="3572">
        <f t="shared" si="12"/>
        <v>66</v>
      </c>
      <c r="P95" s="2360">
        <f t="shared" si="12"/>
        <v>85</v>
      </c>
      <c r="Q95" s="1049">
        <v>28469</v>
      </c>
      <c r="R95" s="3571">
        <v>13436</v>
      </c>
      <c r="S95" s="1047">
        <v>12240</v>
      </c>
      <c r="T95" s="3571">
        <v>1196</v>
      </c>
      <c r="U95" s="1057">
        <v>1754</v>
      </c>
      <c r="AA95" s="2629"/>
      <c r="AB95" s="2629"/>
      <c r="AC95" s="2629"/>
      <c r="AD95" s="2629"/>
      <c r="AE95" s="2629"/>
    </row>
    <row r="96" spans="1:31">
      <c r="A96" s="1054" t="s">
        <v>497</v>
      </c>
      <c r="B96" s="1106">
        <v>1319.394</v>
      </c>
      <c r="C96" s="3573">
        <v>635.39400000000001</v>
      </c>
      <c r="D96" s="1105">
        <v>553.39400000000001</v>
      </c>
      <c r="E96" s="3571">
        <v>82</v>
      </c>
      <c r="F96" s="1055">
        <v>82</v>
      </c>
      <c r="G96" s="1104">
        <v>532.64800000000002</v>
      </c>
      <c r="H96" s="3573">
        <v>227.648</v>
      </c>
      <c r="I96" s="1105">
        <v>213.648</v>
      </c>
      <c r="J96" s="3571">
        <v>14</v>
      </c>
      <c r="K96" s="1047">
        <v>25</v>
      </c>
      <c r="L96" s="2359">
        <f t="shared" si="9"/>
        <v>1852.0419999999999</v>
      </c>
      <c r="M96" s="3572">
        <f t="shared" si="10"/>
        <v>863.04200000000003</v>
      </c>
      <c r="N96" s="2360">
        <f t="shared" si="11"/>
        <v>767.04200000000003</v>
      </c>
      <c r="O96" s="3572">
        <f t="shared" si="12"/>
        <v>96</v>
      </c>
      <c r="P96" s="2360">
        <f t="shared" si="12"/>
        <v>107</v>
      </c>
      <c r="Q96" s="1049">
        <v>28537</v>
      </c>
      <c r="R96" s="3571">
        <v>13439</v>
      </c>
      <c r="S96" s="1047">
        <v>12045</v>
      </c>
      <c r="T96" s="3571">
        <v>1394</v>
      </c>
      <c r="U96" s="1057">
        <v>1569</v>
      </c>
      <c r="AA96" s="2629"/>
      <c r="AB96" s="2629"/>
      <c r="AC96" s="2629"/>
      <c r="AD96" s="2629"/>
      <c r="AE96" s="2629"/>
    </row>
    <row r="97" spans="1:31">
      <c r="A97" s="1054" t="s">
        <v>498</v>
      </c>
      <c r="B97" s="1106">
        <v>1321.058</v>
      </c>
      <c r="C97" s="3573">
        <v>569.05799999999999</v>
      </c>
      <c r="D97" s="1105">
        <v>467.05799999999999</v>
      </c>
      <c r="E97" s="3571">
        <v>102</v>
      </c>
      <c r="F97" s="1055">
        <v>49</v>
      </c>
      <c r="G97" s="1104">
        <v>533.53300000000002</v>
      </c>
      <c r="H97" s="3573">
        <v>203.53299999999999</v>
      </c>
      <c r="I97" s="1105">
        <v>162.53299999999999</v>
      </c>
      <c r="J97" s="3571">
        <v>41</v>
      </c>
      <c r="K97" s="1047">
        <v>13</v>
      </c>
      <c r="L97" s="2359">
        <f t="shared" si="9"/>
        <v>1854.5909999999999</v>
      </c>
      <c r="M97" s="3572">
        <f t="shared" si="10"/>
        <v>772.59100000000001</v>
      </c>
      <c r="N97" s="2360">
        <f t="shared" si="11"/>
        <v>629.59100000000001</v>
      </c>
      <c r="O97" s="3572">
        <f t="shared" si="12"/>
        <v>143</v>
      </c>
      <c r="P97" s="2360">
        <f t="shared" si="12"/>
        <v>62</v>
      </c>
      <c r="Q97" s="1049">
        <v>28605</v>
      </c>
      <c r="R97" s="3571">
        <v>10983</v>
      </c>
      <c r="S97" s="1047">
        <v>9546</v>
      </c>
      <c r="T97" s="3571">
        <v>1437</v>
      </c>
      <c r="U97" s="1057">
        <v>1054</v>
      </c>
      <c r="AA97" s="2629"/>
      <c r="AB97" s="2629"/>
      <c r="AC97" s="2629"/>
      <c r="AD97" s="2629"/>
      <c r="AE97" s="2629"/>
    </row>
    <row r="98" spans="1:31">
      <c r="A98" s="1054" t="s">
        <v>499</v>
      </c>
      <c r="B98" s="1106">
        <v>1322.71</v>
      </c>
      <c r="C98" s="3573">
        <v>615.36099999999999</v>
      </c>
      <c r="D98" s="1105">
        <v>546.97299999999996</v>
      </c>
      <c r="E98" s="3571">
        <v>68.388000000000005</v>
      </c>
      <c r="F98" s="1055">
        <v>76.289000000000001</v>
      </c>
      <c r="G98" s="1104">
        <v>534.64800000000002</v>
      </c>
      <c r="H98" s="3573">
        <v>234.45099999999999</v>
      </c>
      <c r="I98" s="1105">
        <v>212.15899999999999</v>
      </c>
      <c r="J98" s="3571">
        <v>22.292000000000002</v>
      </c>
      <c r="K98" s="1047">
        <v>31.478999999999999</v>
      </c>
      <c r="L98" s="2359">
        <f t="shared" si="9"/>
        <v>1857.3580000000002</v>
      </c>
      <c r="M98" s="3572">
        <f t="shared" si="10"/>
        <v>849.81200000000001</v>
      </c>
      <c r="N98" s="2360">
        <f t="shared" si="11"/>
        <v>759.13199999999995</v>
      </c>
      <c r="O98" s="3572">
        <f t="shared" si="12"/>
        <v>90.68</v>
      </c>
      <c r="P98" s="2360">
        <f t="shared" si="12"/>
        <v>107.768</v>
      </c>
      <c r="Q98" s="1049">
        <v>28506</v>
      </c>
      <c r="R98" s="3571">
        <v>12072</v>
      </c>
      <c r="S98" s="1047">
        <v>10658</v>
      </c>
      <c r="T98" s="3571">
        <v>1415</v>
      </c>
      <c r="U98" s="1057">
        <v>1620</v>
      </c>
      <c r="AA98" s="2629"/>
      <c r="AB98" s="2629"/>
      <c r="AC98" s="2629"/>
      <c r="AD98" s="2629"/>
      <c r="AE98" s="2629"/>
    </row>
    <row r="99" spans="1:31">
      <c r="A99" s="1054" t="s">
        <v>500</v>
      </c>
      <c r="B99" s="1106">
        <v>1324.86</v>
      </c>
      <c r="C99" s="3573">
        <v>618.61400000000003</v>
      </c>
      <c r="D99" s="1105">
        <v>534.41</v>
      </c>
      <c r="E99" s="3571">
        <v>84.203999999999994</v>
      </c>
      <c r="F99" s="1055">
        <v>75.762</v>
      </c>
      <c r="G99" s="1104">
        <v>535.79499999999996</v>
      </c>
      <c r="H99" s="3573">
        <v>240.52600000000001</v>
      </c>
      <c r="I99" s="1105">
        <v>221.74199999999999</v>
      </c>
      <c r="J99" s="3571">
        <v>18.783999999999999</v>
      </c>
      <c r="K99" s="1047">
        <v>28.882999999999999</v>
      </c>
      <c r="L99" s="2359">
        <f t="shared" si="9"/>
        <v>1860.6549999999997</v>
      </c>
      <c r="M99" s="3572">
        <f t="shared" si="10"/>
        <v>859.1400000000001</v>
      </c>
      <c r="N99" s="2360">
        <f t="shared" si="11"/>
        <v>756.15199999999993</v>
      </c>
      <c r="O99" s="3572">
        <f t="shared" si="12"/>
        <v>102.988</v>
      </c>
      <c r="P99" s="2360">
        <f t="shared" si="12"/>
        <v>104.645</v>
      </c>
      <c r="Q99" s="1049">
        <v>28740</v>
      </c>
      <c r="R99" s="3571">
        <v>12942</v>
      </c>
      <c r="S99" s="1047">
        <v>11524</v>
      </c>
      <c r="T99" s="3571">
        <v>1418</v>
      </c>
      <c r="U99" s="1057">
        <v>1955</v>
      </c>
      <c r="AA99" s="2629"/>
      <c r="AB99" s="2629"/>
      <c r="AC99" s="2629"/>
      <c r="AD99" s="2629"/>
      <c r="AE99" s="2629"/>
    </row>
    <row r="100" spans="1:31">
      <c r="A100" s="1054" t="s">
        <v>501</v>
      </c>
      <c r="B100" s="1106">
        <v>1327.4960000000001</v>
      </c>
      <c r="C100" s="3573">
        <v>655.49599999999998</v>
      </c>
      <c r="D100" s="1105">
        <v>583.49599999999998</v>
      </c>
      <c r="E100" s="3571">
        <v>71</v>
      </c>
      <c r="F100" s="1055">
        <v>62</v>
      </c>
      <c r="G100" s="1104">
        <v>536.52200000000005</v>
      </c>
      <c r="H100" s="3573">
        <v>247.52199999999999</v>
      </c>
      <c r="I100" s="1105">
        <v>225.52199999999999</v>
      </c>
      <c r="J100" s="3571">
        <v>22</v>
      </c>
      <c r="K100" s="1047">
        <v>28</v>
      </c>
      <c r="L100" s="2359">
        <f t="shared" si="9"/>
        <v>1864.018</v>
      </c>
      <c r="M100" s="3572">
        <f t="shared" si="10"/>
        <v>903.01800000000003</v>
      </c>
      <c r="N100" s="2360">
        <f t="shared" si="11"/>
        <v>809.01800000000003</v>
      </c>
      <c r="O100" s="3572">
        <f t="shared" si="12"/>
        <v>93</v>
      </c>
      <c r="P100" s="2360">
        <f t="shared" si="12"/>
        <v>90</v>
      </c>
      <c r="Q100" s="1049">
        <v>28807</v>
      </c>
      <c r="R100" s="3571">
        <v>13337</v>
      </c>
      <c r="S100" s="1047">
        <v>11982</v>
      </c>
      <c r="T100" s="3571">
        <v>1355</v>
      </c>
      <c r="U100" s="1057">
        <v>1592</v>
      </c>
      <c r="AA100" s="2629"/>
      <c r="AB100" s="2629"/>
      <c r="AC100" s="2629"/>
      <c r="AD100" s="2629"/>
      <c r="AE100" s="2629"/>
    </row>
    <row r="101" spans="1:31">
      <c r="A101" s="1054" t="s">
        <v>502</v>
      </c>
      <c r="B101" s="1106">
        <v>1329.221</v>
      </c>
      <c r="C101" s="3573">
        <v>663.221</v>
      </c>
      <c r="D101" s="1105">
        <v>585.221</v>
      </c>
      <c r="E101" s="3571">
        <v>78</v>
      </c>
      <c r="F101" s="1055">
        <v>68</v>
      </c>
      <c r="G101" s="1104">
        <v>537.61300000000006</v>
      </c>
      <c r="H101" s="3573">
        <v>246.613</v>
      </c>
      <c r="I101" s="1105">
        <v>224.613</v>
      </c>
      <c r="J101" s="3571">
        <v>22</v>
      </c>
      <c r="K101" s="1047">
        <v>36</v>
      </c>
      <c r="L101" s="2359">
        <f t="shared" si="9"/>
        <v>1866.8340000000001</v>
      </c>
      <c r="M101" s="3572">
        <f t="shared" si="10"/>
        <v>909.83400000000006</v>
      </c>
      <c r="N101" s="2360">
        <f t="shared" si="11"/>
        <v>809.83400000000006</v>
      </c>
      <c r="O101" s="3572">
        <f t="shared" si="12"/>
        <v>100</v>
      </c>
      <c r="P101" s="2360">
        <f t="shared" si="12"/>
        <v>104</v>
      </c>
      <c r="Q101" s="1049">
        <v>28872</v>
      </c>
      <c r="R101" s="3571">
        <v>13254</v>
      </c>
      <c r="S101" s="1047">
        <v>11981</v>
      </c>
      <c r="T101" s="3571">
        <v>1273</v>
      </c>
      <c r="U101" s="1057">
        <v>1645</v>
      </c>
      <c r="AA101" s="2629"/>
      <c r="AB101" s="2629"/>
      <c r="AC101" s="2629"/>
      <c r="AD101" s="2629"/>
      <c r="AE101" s="2629"/>
    </row>
    <row r="102" spans="1:31">
      <c r="A102" s="1054" t="s">
        <v>503</v>
      </c>
      <c r="B102" s="1106">
        <v>1330.6859999999999</v>
      </c>
      <c r="C102" s="3573">
        <v>663.68600000000004</v>
      </c>
      <c r="D102" s="1105">
        <v>611.68600000000004</v>
      </c>
      <c r="E102" s="3571">
        <v>52</v>
      </c>
      <c r="F102" s="1055">
        <v>69</v>
      </c>
      <c r="G102" s="1104">
        <v>538.72900000000004</v>
      </c>
      <c r="H102" s="3573">
        <v>252.72900000000001</v>
      </c>
      <c r="I102" s="1105">
        <v>231.72900000000001</v>
      </c>
      <c r="J102" s="3571">
        <v>22</v>
      </c>
      <c r="K102" s="1047">
        <v>35</v>
      </c>
      <c r="L102" s="2359">
        <f t="shared" si="9"/>
        <v>1869.415</v>
      </c>
      <c r="M102" s="3572">
        <f t="shared" si="10"/>
        <v>916.41500000000008</v>
      </c>
      <c r="N102" s="2360">
        <f t="shared" si="11"/>
        <v>843.41500000000008</v>
      </c>
      <c r="O102" s="3572">
        <f t="shared" si="12"/>
        <v>74</v>
      </c>
      <c r="P102" s="2360">
        <f t="shared" si="12"/>
        <v>104</v>
      </c>
      <c r="Q102" s="1049">
        <v>28940</v>
      </c>
      <c r="R102" s="3571">
        <v>13517</v>
      </c>
      <c r="S102" s="1047">
        <v>12404</v>
      </c>
      <c r="T102" s="3571">
        <v>1113</v>
      </c>
      <c r="U102" s="1057">
        <v>1648</v>
      </c>
      <c r="AA102" s="2629"/>
      <c r="AB102" s="2629"/>
      <c r="AC102" s="2629"/>
      <c r="AD102" s="2629"/>
      <c r="AE102" s="2629"/>
    </row>
    <row r="103" spans="1:31">
      <c r="A103" s="1054" t="s">
        <v>504</v>
      </c>
      <c r="B103" s="1106">
        <v>1332.875</v>
      </c>
      <c r="C103" s="3573">
        <v>659.875</v>
      </c>
      <c r="D103" s="1105">
        <v>613.875</v>
      </c>
      <c r="E103" s="3571">
        <v>46</v>
      </c>
      <c r="F103" s="1055">
        <v>79</v>
      </c>
      <c r="G103" s="1104">
        <v>539.86900000000003</v>
      </c>
      <c r="H103" s="3573">
        <v>244.869</v>
      </c>
      <c r="I103" s="1105">
        <v>229.869</v>
      </c>
      <c r="J103" s="3571">
        <v>15</v>
      </c>
      <c r="K103" s="1047">
        <v>28</v>
      </c>
      <c r="L103" s="2359">
        <f t="shared" si="9"/>
        <v>1872.7440000000001</v>
      </c>
      <c r="M103" s="3572">
        <f t="shared" si="10"/>
        <v>904.74400000000003</v>
      </c>
      <c r="N103" s="2360">
        <f t="shared" si="11"/>
        <v>843.74400000000003</v>
      </c>
      <c r="O103" s="3572">
        <f t="shared" si="12"/>
        <v>61</v>
      </c>
      <c r="P103" s="2360">
        <f t="shared" si="12"/>
        <v>107</v>
      </c>
      <c r="Q103" s="1049">
        <v>29006</v>
      </c>
      <c r="R103" s="3571">
        <v>13590</v>
      </c>
      <c r="S103" s="1047">
        <v>12644</v>
      </c>
      <c r="T103" s="3571">
        <v>947</v>
      </c>
      <c r="U103" s="1057">
        <v>1647</v>
      </c>
      <c r="AA103" s="2629"/>
      <c r="AB103" s="2629"/>
      <c r="AC103" s="2629"/>
      <c r="AD103" s="2629"/>
      <c r="AE103" s="2629"/>
    </row>
    <row r="104" spans="1:31">
      <c r="A104" s="1054" t="s">
        <v>505</v>
      </c>
      <c r="B104" s="1106">
        <v>1335.2840000000001</v>
      </c>
      <c r="C104" s="3573">
        <v>674.28399999999999</v>
      </c>
      <c r="D104" s="1105">
        <v>620.28399999999999</v>
      </c>
      <c r="E104" s="3571">
        <v>54</v>
      </c>
      <c r="F104" s="1055">
        <v>61</v>
      </c>
      <c r="G104" s="1104">
        <v>541.38599999999997</v>
      </c>
      <c r="H104" s="3573">
        <v>248.386</v>
      </c>
      <c r="I104" s="1105">
        <v>230.386</v>
      </c>
      <c r="J104" s="3571">
        <v>18</v>
      </c>
      <c r="K104" s="1047">
        <v>21</v>
      </c>
      <c r="L104" s="2359">
        <f t="shared" si="9"/>
        <v>1876.67</v>
      </c>
      <c r="M104" s="3572">
        <f t="shared" si="10"/>
        <v>922.67</v>
      </c>
      <c r="N104" s="2360">
        <f t="shared" si="11"/>
        <v>850.67</v>
      </c>
      <c r="O104" s="3572">
        <f t="shared" si="12"/>
        <v>72</v>
      </c>
      <c r="P104" s="2360">
        <f t="shared" si="12"/>
        <v>82</v>
      </c>
      <c r="Q104" s="1049">
        <v>29073</v>
      </c>
      <c r="R104" s="3571">
        <v>13527</v>
      </c>
      <c r="S104" s="1047">
        <v>12584</v>
      </c>
      <c r="T104" s="3571">
        <v>943</v>
      </c>
      <c r="U104" s="1057">
        <v>1355</v>
      </c>
      <c r="AA104" s="2629"/>
      <c r="AB104" s="2629"/>
      <c r="AC104" s="2629"/>
      <c r="AD104" s="2629"/>
      <c r="AE104" s="2629"/>
    </row>
    <row r="105" spans="1:31">
      <c r="A105" s="1054" t="s">
        <v>506</v>
      </c>
      <c r="B105" s="1106">
        <v>1336.702</v>
      </c>
      <c r="C105" s="3573">
        <v>676.702</v>
      </c>
      <c r="D105" s="1105">
        <v>647.702</v>
      </c>
      <c r="E105" s="3571">
        <v>29</v>
      </c>
      <c r="F105" s="1055">
        <v>58</v>
      </c>
      <c r="G105" s="1104">
        <v>541.58199999999999</v>
      </c>
      <c r="H105" s="3573">
        <v>258.58199999999999</v>
      </c>
      <c r="I105" s="1105">
        <v>239.58199999999999</v>
      </c>
      <c r="J105" s="3571">
        <v>19</v>
      </c>
      <c r="K105" s="1047">
        <v>37</v>
      </c>
      <c r="L105" s="2359">
        <f t="shared" si="9"/>
        <v>1878.2840000000001</v>
      </c>
      <c r="M105" s="3572">
        <f t="shared" si="10"/>
        <v>935.28399999999999</v>
      </c>
      <c r="N105" s="2360">
        <f t="shared" si="11"/>
        <v>887.28399999999999</v>
      </c>
      <c r="O105" s="3572">
        <f t="shared" si="12"/>
        <v>48</v>
      </c>
      <c r="P105" s="2360">
        <f t="shared" si="12"/>
        <v>95</v>
      </c>
      <c r="Q105" s="1049">
        <v>29137</v>
      </c>
      <c r="R105" s="3571">
        <v>13950</v>
      </c>
      <c r="S105" s="1047">
        <v>12993</v>
      </c>
      <c r="T105" s="3571">
        <v>957</v>
      </c>
      <c r="U105" s="1057">
        <v>1552</v>
      </c>
      <c r="AA105" s="2629"/>
      <c r="AB105" s="2629"/>
      <c r="AC105" s="2629"/>
      <c r="AD105" s="2629"/>
      <c r="AE105" s="2629"/>
    </row>
    <row r="106" spans="1:31">
      <c r="A106" s="1054" t="s">
        <v>507</v>
      </c>
      <c r="B106" s="1106">
        <v>1338.7049999999999</v>
      </c>
      <c r="C106" s="3573">
        <v>678.70500000000004</v>
      </c>
      <c r="D106" s="1105">
        <v>637.70500000000004</v>
      </c>
      <c r="E106" s="3571">
        <v>41</v>
      </c>
      <c r="F106" s="1055">
        <v>55</v>
      </c>
      <c r="G106" s="1104">
        <v>542.90099999999995</v>
      </c>
      <c r="H106" s="3573">
        <v>253.90100000000001</v>
      </c>
      <c r="I106" s="1105">
        <v>231.90100000000001</v>
      </c>
      <c r="J106" s="3571">
        <v>22</v>
      </c>
      <c r="K106" s="1047">
        <v>26</v>
      </c>
      <c r="L106" s="2359">
        <f t="shared" si="9"/>
        <v>1881.6059999999998</v>
      </c>
      <c r="M106" s="3572">
        <f t="shared" si="10"/>
        <v>932.60599999999999</v>
      </c>
      <c r="N106" s="2360">
        <f t="shared" si="11"/>
        <v>869.60599999999999</v>
      </c>
      <c r="O106" s="3572">
        <f t="shared" si="12"/>
        <v>63</v>
      </c>
      <c r="P106" s="2360">
        <f t="shared" si="12"/>
        <v>81</v>
      </c>
      <c r="Q106" s="1049">
        <v>29204</v>
      </c>
      <c r="R106" s="3571">
        <v>13911</v>
      </c>
      <c r="S106" s="1047">
        <v>12922</v>
      </c>
      <c r="T106" s="3571">
        <v>989</v>
      </c>
      <c r="U106" s="1057">
        <v>1535</v>
      </c>
      <c r="AA106" s="2629"/>
      <c r="AB106" s="2629"/>
      <c r="AC106" s="2629"/>
      <c r="AD106" s="2629"/>
      <c r="AE106" s="2629"/>
    </row>
    <row r="107" spans="1:31">
      <c r="A107" s="1054" t="s">
        <v>508</v>
      </c>
      <c r="B107" s="1106">
        <v>1340.825</v>
      </c>
      <c r="C107" s="3573">
        <v>661.68200000000002</v>
      </c>
      <c r="D107" s="1105">
        <v>619.79200000000003</v>
      </c>
      <c r="E107" s="3571">
        <v>41.89</v>
      </c>
      <c r="F107" s="1055">
        <v>50.115000000000002</v>
      </c>
      <c r="G107" s="1104">
        <v>544.13699999999994</v>
      </c>
      <c r="H107" s="3573">
        <v>251.99600000000001</v>
      </c>
      <c r="I107" s="1105">
        <v>234.67</v>
      </c>
      <c r="J107" s="3571">
        <v>17.326000000000001</v>
      </c>
      <c r="K107" s="1047">
        <v>28.654</v>
      </c>
      <c r="L107" s="2359">
        <f t="shared" si="9"/>
        <v>1884.962</v>
      </c>
      <c r="M107" s="3572">
        <f t="shared" si="10"/>
        <v>913.678</v>
      </c>
      <c r="N107" s="2360">
        <f t="shared" si="11"/>
        <v>854.46199999999999</v>
      </c>
      <c r="O107" s="3572">
        <f t="shared" si="12"/>
        <v>59.216000000000001</v>
      </c>
      <c r="P107" s="2360">
        <f t="shared" si="12"/>
        <v>78.769000000000005</v>
      </c>
      <c r="Q107" s="1049">
        <v>29269</v>
      </c>
      <c r="R107" s="3571">
        <v>13937</v>
      </c>
      <c r="S107" s="1047">
        <v>13061</v>
      </c>
      <c r="T107" s="3571">
        <v>875</v>
      </c>
      <c r="U107" s="1057">
        <v>1517</v>
      </c>
      <c r="AA107" s="2629"/>
      <c r="AB107" s="2629"/>
      <c r="AC107" s="2629"/>
      <c r="AD107" s="2629"/>
      <c r="AE107" s="2629"/>
    </row>
    <row r="108" spans="1:31">
      <c r="A108" s="1054" t="s">
        <v>509</v>
      </c>
      <c r="B108" s="1106">
        <v>1342.816</v>
      </c>
      <c r="C108" s="3573">
        <v>684.84199999999998</v>
      </c>
      <c r="D108" s="1105">
        <v>630.62400000000002</v>
      </c>
      <c r="E108" s="3571">
        <v>54.218000000000004</v>
      </c>
      <c r="F108" s="1055">
        <v>51.322000000000003</v>
      </c>
      <c r="G108" s="1104">
        <v>545.149</v>
      </c>
      <c r="H108" s="3573">
        <v>244.71799999999999</v>
      </c>
      <c r="I108" s="1105">
        <v>226.84299999999999</v>
      </c>
      <c r="J108" s="3571">
        <v>17.875</v>
      </c>
      <c r="K108" s="1047">
        <v>28.241</v>
      </c>
      <c r="L108" s="2359">
        <f t="shared" si="9"/>
        <v>1887.9650000000001</v>
      </c>
      <c r="M108" s="3572">
        <f t="shared" si="10"/>
        <v>929.56</v>
      </c>
      <c r="N108" s="2360">
        <f t="shared" si="11"/>
        <v>857.46699999999998</v>
      </c>
      <c r="O108" s="3572">
        <f t="shared" si="12"/>
        <v>72.093000000000004</v>
      </c>
      <c r="P108" s="2360">
        <f t="shared" si="12"/>
        <v>79.563000000000002</v>
      </c>
      <c r="Q108" s="1049">
        <v>29335</v>
      </c>
      <c r="R108" s="3571">
        <v>14165</v>
      </c>
      <c r="S108" s="1047">
        <v>13191</v>
      </c>
      <c r="T108" s="3571">
        <v>974</v>
      </c>
      <c r="U108" s="1057">
        <v>1332</v>
      </c>
      <c r="AA108" s="2629"/>
      <c r="AB108" s="2629"/>
      <c r="AC108" s="2629"/>
      <c r="AD108" s="2629"/>
      <c r="AE108" s="2629"/>
    </row>
    <row r="109" spans="1:31">
      <c r="A109" s="1054" t="s">
        <v>510</v>
      </c>
      <c r="B109" s="1106">
        <v>1345.4290000000001</v>
      </c>
      <c r="C109" s="3573">
        <v>675.42899999999997</v>
      </c>
      <c r="D109" s="1105">
        <v>639.42899999999997</v>
      </c>
      <c r="E109" s="3571">
        <v>36</v>
      </c>
      <c r="F109" s="1055">
        <v>42</v>
      </c>
      <c r="G109" s="1104">
        <v>546.14</v>
      </c>
      <c r="H109" s="3573">
        <v>255.14</v>
      </c>
      <c r="I109" s="1105">
        <v>234.14</v>
      </c>
      <c r="J109" s="3571">
        <v>21</v>
      </c>
      <c r="K109" s="1047">
        <v>25</v>
      </c>
      <c r="L109" s="2359">
        <f t="shared" si="9"/>
        <v>1891.569</v>
      </c>
      <c r="M109" s="3572">
        <f t="shared" si="10"/>
        <v>930.56899999999996</v>
      </c>
      <c r="N109" s="2360">
        <f t="shared" si="11"/>
        <v>873.56899999999996</v>
      </c>
      <c r="O109" s="3572">
        <f t="shared" si="12"/>
        <v>57</v>
      </c>
      <c r="P109" s="2360">
        <f t="shared" si="12"/>
        <v>67</v>
      </c>
      <c r="Q109" s="1049">
        <v>29399</v>
      </c>
      <c r="R109" s="3571">
        <v>13980</v>
      </c>
      <c r="S109" s="1047">
        <v>13108</v>
      </c>
      <c r="T109" s="3571">
        <v>872</v>
      </c>
      <c r="U109" s="1057">
        <v>1484</v>
      </c>
      <c r="AA109" s="2629"/>
      <c r="AB109" s="2629"/>
      <c r="AC109" s="2629"/>
      <c r="AD109" s="2629"/>
      <c r="AE109" s="2629"/>
    </row>
    <row r="110" spans="1:31">
      <c r="A110" s="1054" t="s">
        <v>511</v>
      </c>
      <c r="B110" s="1106">
        <v>1346.673</v>
      </c>
      <c r="C110" s="3573">
        <v>658.81700000000001</v>
      </c>
      <c r="D110" s="1105">
        <v>624.17100000000005</v>
      </c>
      <c r="E110" s="3571">
        <v>34.646000000000001</v>
      </c>
      <c r="F110" s="1055">
        <v>39.923999999999999</v>
      </c>
      <c r="G110" s="1104">
        <v>547.17100000000005</v>
      </c>
      <c r="H110" s="3573">
        <v>247.85499999999999</v>
      </c>
      <c r="I110" s="1105">
        <v>239.76900000000001</v>
      </c>
      <c r="J110" s="3571">
        <v>8.0860000000000003</v>
      </c>
      <c r="K110" s="1047">
        <v>26.084</v>
      </c>
      <c r="L110" s="2359">
        <f t="shared" si="9"/>
        <v>1893.8440000000001</v>
      </c>
      <c r="M110" s="3572">
        <f t="shared" si="10"/>
        <v>906.67200000000003</v>
      </c>
      <c r="N110" s="2360">
        <f t="shared" si="11"/>
        <v>863.94</v>
      </c>
      <c r="O110" s="3572">
        <f t="shared" si="12"/>
        <v>42.731999999999999</v>
      </c>
      <c r="P110" s="2360">
        <f t="shared" si="12"/>
        <v>66.007999999999996</v>
      </c>
      <c r="Q110" s="1049">
        <v>29464</v>
      </c>
      <c r="R110" s="3571">
        <v>14210</v>
      </c>
      <c r="S110" s="1047">
        <v>13396</v>
      </c>
      <c r="T110" s="3571">
        <v>814</v>
      </c>
      <c r="U110" s="1057">
        <v>1467</v>
      </c>
      <c r="AA110" s="2629"/>
      <c r="AB110" s="2629"/>
      <c r="AC110" s="2629"/>
      <c r="AD110" s="2629"/>
      <c r="AE110" s="2629"/>
    </row>
    <row r="111" spans="1:31">
      <c r="A111" s="1054" t="s">
        <v>512</v>
      </c>
      <c r="B111" s="1106">
        <v>1349.19</v>
      </c>
      <c r="C111" s="3573">
        <v>657.19</v>
      </c>
      <c r="D111" s="1105">
        <v>626.19000000000005</v>
      </c>
      <c r="E111" s="3571">
        <v>31</v>
      </c>
      <c r="F111" s="1055">
        <v>63</v>
      </c>
      <c r="G111" s="1104">
        <v>548.47799999999995</v>
      </c>
      <c r="H111" s="3573">
        <v>243.47800000000001</v>
      </c>
      <c r="I111" s="1105">
        <v>227.47800000000001</v>
      </c>
      <c r="J111" s="3571">
        <v>15</v>
      </c>
      <c r="K111" s="1047">
        <v>28</v>
      </c>
      <c r="L111" s="2359">
        <f t="shared" si="9"/>
        <v>1897.6680000000001</v>
      </c>
      <c r="M111" s="3572">
        <f t="shared" si="10"/>
        <v>900.66800000000012</v>
      </c>
      <c r="N111" s="2360">
        <f t="shared" si="11"/>
        <v>853.66800000000012</v>
      </c>
      <c r="O111" s="3572">
        <f t="shared" si="12"/>
        <v>46</v>
      </c>
      <c r="P111" s="2360">
        <f t="shared" si="12"/>
        <v>91</v>
      </c>
      <c r="Q111" s="1049">
        <v>29529</v>
      </c>
      <c r="R111" s="3571">
        <v>14340</v>
      </c>
      <c r="S111" s="1047">
        <v>13518</v>
      </c>
      <c r="T111" s="3571">
        <v>822</v>
      </c>
      <c r="U111" s="1057">
        <v>1502</v>
      </c>
      <c r="AA111" s="2629"/>
      <c r="AB111" s="2629"/>
      <c r="AC111" s="2629"/>
      <c r="AD111" s="2629"/>
      <c r="AE111" s="2629"/>
    </row>
    <row r="112" spans="1:31">
      <c r="A112" s="1054" t="s">
        <v>513</v>
      </c>
      <c r="B112" s="1106">
        <v>1351.2180000000001</v>
      </c>
      <c r="C112" s="3573">
        <v>657.21799999999996</v>
      </c>
      <c r="D112" s="1105">
        <v>620.21799999999996</v>
      </c>
      <c r="E112" s="3571">
        <v>37</v>
      </c>
      <c r="F112" s="1055">
        <v>53</v>
      </c>
      <c r="G112" s="1104">
        <v>548.846</v>
      </c>
      <c r="H112" s="3573">
        <v>248.846</v>
      </c>
      <c r="I112" s="1105">
        <v>229.846</v>
      </c>
      <c r="J112" s="3571">
        <v>19</v>
      </c>
      <c r="K112" s="1047">
        <v>32</v>
      </c>
      <c r="L112" s="2359">
        <f t="shared" si="9"/>
        <v>1900.0640000000001</v>
      </c>
      <c r="M112" s="3572">
        <f t="shared" si="10"/>
        <v>906.06399999999996</v>
      </c>
      <c r="N112" s="2360">
        <f t="shared" si="11"/>
        <v>850.06399999999996</v>
      </c>
      <c r="O112" s="3572">
        <f t="shared" si="12"/>
        <v>56</v>
      </c>
      <c r="P112" s="2360">
        <f t="shared" si="12"/>
        <v>85</v>
      </c>
      <c r="Q112" s="1049">
        <v>29593</v>
      </c>
      <c r="R112" s="3571">
        <v>14202</v>
      </c>
      <c r="S112" s="1047">
        <v>13114</v>
      </c>
      <c r="T112" s="3571">
        <v>1088</v>
      </c>
      <c r="U112" s="1057">
        <v>1444</v>
      </c>
      <c r="AA112" s="2629"/>
      <c r="AB112" s="2629"/>
      <c r="AC112" s="2629"/>
      <c r="AD112" s="2629"/>
      <c r="AE112" s="2629"/>
    </row>
    <row r="113" spans="1:31">
      <c r="A113" s="1054" t="s">
        <v>514</v>
      </c>
      <c r="B113" s="1106">
        <v>1352.5640000000001</v>
      </c>
      <c r="C113" s="3573">
        <v>687.64</v>
      </c>
      <c r="D113" s="1105">
        <v>637.87300000000005</v>
      </c>
      <c r="E113" s="3571">
        <v>49.767000000000003</v>
      </c>
      <c r="F113" s="1055">
        <v>51.670999999999999</v>
      </c>
      <c r="G113" s="1104">
        <v>550.23599999999999</v>
      </c>
      <c r="H113" s="3573">
        <v>250.084</v>
      </c>
      <c r="I113" s="1105">
        <v>229.727</v>
      </c>
      <c r="J113" s="3571">
        <v>20.356999999999999</v>
      </c>
      <c r="K113" s="1047">
        <v>31.091999999999999</v>
      </c>
      <c r="L113" s="2359">
        <f t="shared" si="9"/>
        <v>1902.8000000000002</v>
      </c>
      <c r="M113" s="3572">
        <f t="shared" si="10"/>
        <v>937.72399999999993</v>
      </c>
      <c r="N113" s="2360">
        <f t="shared" si="11"/>
        <v>867.6</v>
      </c>
      <c r="O113" s="3572">
        <f t="shared" si="12"/>
        <v>70.123999999999995</v>
      </c>
      <c r="P113" s="2360">
        <f t="shared" si="12"/>
        <v>82.763000000000005</v>
      </c>
      <c r="Q113" s="1049">
        <v>29656.342000000001</v>
      </c>
      <c r="R113" s="3571">
        <v>14386.127</v>
      </c>
      <c r="S113" s="1047">
        <v>13297.901</v>
      </c>
      <c r="T113" s="3571">
        <v>1088.2260000000001</v>
      </c>
      <c r="U113" s="1057">
        <v>1699.107</v>
      </c>
      <c r="AA113" s="2629"/>
      <c r="AB113" s="2629"/>
      <c r="AC113" s="2629"/>
      <c r="AD113" s="2629"/>
      <c r="AE113" s="2629"/>
    </row>
    <row r="114" spans="1:31">
      <c r="A114" s="1054" t="s">
        <v>515</v>
      </c>
      <c r="B114" s="1106">
        <v>1355.2750000000001</v>
      </c>
      <c r="C114" s="3573">
        <v>686.27499999999998</v>
      </c>
      <c r="D114" s="1105">
        <v>646.27499999999998</v>
      </c>
      <c r="E114" s="3571">
        <v>39</v>
      </c>
      <c r="F114" s="1055">
        <v>89</v>
      </c>
      <c r="G114" s="1104">
        <v>550.93899999999996</v>
      </c>
      <c r="H114" s="3573">
        <v>247.93899999999999</v>
      </c>
      <c r="I114" s="1105">
        <v>231.35899999999998</v>
      </c>
      <c r="J114" s="3571">
        <v>17</v>
      </c>
      <c r="K114" s="1047">
        <v>39</v>
      </c>
      <c r="L114" s="2359">
        <f t="shared" si="9"/>
        <v>1906.2139999999999</v>
      </c>
      <c r="M114" s="3572">
        <f t="shared" si="10"/>
        <v>934.21399999999994</v>
      </c>
      <c r="N114" s="2360">
        <f t="shared" si="11"/>
        <v>877.63400000000001</v>
      </c>
      <c r="O114" s="3572">
        <f t="shared" si="12"/>
        <v>56</v>
      </c>
      <c r="P114" s="2360">
        <f t="shared" si="12"/>
        <v>128</v>
      </c>
      <c r="Q114" s="1049">
        <v>29720</v>
      </c>
      <c r="R114" s="3571">
        <v>14362</v>
      </c>
      <c r="S114" s="1047">
        <v>13368.04</v>
      </c>
      <c r="T114" s="3571">
        <v>994</v>
      </c>
      <c r="U114" s="1057">
        <v>1632</v>
      </c>
      <c r="AA114" s="2629"/>
      <c r="AB114" s="2629"/>
      <c r="AC114" s="2629"/>
      <c r="AD114" s="2629"/>
      <c r="AE114" s="2629"/>
    </row>
    <row r="115" spans="1:31">
      <c r="A115" s="1054" t="s">
        <v>516</v>
      </c>
      <c r="B115" s="1106">
        <v>1355.7849999999999</v>
      </c>
      <c r="C115" s="3573">
        <v>680.56999999999994</v>
      </c>
      <c r="D115" s="1105">
        <v>638.78499999999997</v>
      </c>
      <c r="E115" s="3571">
        <v>41</v>
      </c>
      <c r="F115" s="1055">
        <v>57</v>
      </c>
      <c r="G115" s="1104">
        <v>551.98199999999997</v>
      </c>
      <c r="H115" s="3573">
        <v>243.982</v>
      </c>
      <c r="I115" s="1105">
        <v>231.982</v>
      </c>
      <c r="J115" s="3571">
        <v>12</v>
      </c>
      <c r="K115" s="1047">
        <v>33</v>
      </c>
      <c r="L115" s="2359">
        <f t="shared" si="9"/>
        <v>1907.7669999999998</v>
      </c>
      <c r="M115" s="3572">
        <f t="shared" si="10"/>
        <v>924.55199999999991</v>
      </c>
      <c r="N115" s="2360">
        <f t="shared" si="11"/>
        <v>870.76699999999994</v>
      </c>
      <c r="O115" s="3572">
        <f t="shared" si="12"/>
        <v>53</v>
      </c>
      <c r="P115" s="2360">
        <f t="shared" si="12"/>
        <v>90</v>
      </c>
      <c r="Q115" s="1049">
        <v>29784</v>
      </c>
      <c r="R115" s="3571">
        <v>14533</v>
      </c>
      <c r="S115" s="1047">
        <v>13596.484</v>
      </c>
      <c r="T115" s="3571">
        <v>937</v>
      </c>
      <c r="U115" s="1057">
        <v>1641</v>
      </c>
      <c r="AA115" s="2629"/>
      <c r="AB115" s="2629"/>
      <c r="AC115" s="2629"/>
      <c r="AD115" s="2629"/>
      <c r="AE115" s="2629"/>
    </row>
    <row r="116" spans="1:31">
      <c r="A116" s="1054" t="s">
        <v>517</v>
      </c>
      <c r="B116" s="1106">
        <v>1358.377</v>
      </c>
      <c r="C116" s="3573">
        <v>682.37699999999995</v>
      </c>
      <c r="D116" s="3573">
        <v>633.37699999999995</v>
      </c>
      <c r="E116" s="3571">
        <v>48</v>
      </c>
      <c r="F116" s="1055">
        <v>56</v>
      </c>
      <c r="G116" s="1104">
        <v>553.20600000000002</v>
      </c>
      <c r="H116" s="3573">
        <v>239.20599999999999</v>
      </c>
      <c r="I116" s="3573">
        <v>229.20599999999999</v>
      </c>
      <c r="J116" s="3571">
        <v>10</v>
      </c>
      <c r="K116" s="1047">
        <v>22</v>
      </c>
      <c r="L116" s="2359">
        <f t="shared" si="9"/>
        <v>1911.5830000000001</v>
      </c>
      <c r="M116" s="3572">
        <f t="shared" si="10"/>
        <v>921.58299999999997</v>
      </c>
      <c r="N116" s="2360">
        <f t="shared" si="11"/>
        <v>862.58299999999997</v>
      </c>
      <c r="O116" s="3572">
        <f t="shared" si="12"/>
        <v>58</v>
      </c>
      <c r="P116" s="2360">
        <f t="shared" si="12"/>
        <v>78</v>
      </c>
      <c r="Q116" s="1049">
        <v>29847.178</v>
      </c>
      <c r="R116" s="3571">
        <v>14394.475</v>
      </c>
      <c r="S116" s="1047">
        <v>13258.808999999999</v>
      </c>
      <c r="T116" s="3571">
        <v>1136</v>
      </c>
      <c r="U116" s="1057">
        <v>1437</v>
      </c>
      <c r="AA116" s="2629"/>
      <c r="AB116" s="2629"/>
      <c r="AC116" s="2629"/>
      <c r="AD116" s="2629"/>
      <c r="AE116" s="2629"/>
    </row>
    <row r="117" spans="1:31">
      <c r="A117" s="1054" t="s">
        <v>518</v>
      </c>
      <c r="B117" s="1106">
        <v>1360.223</v>
      </c>
      <c r="C117" s="3573">
        <v>718.86699999999996</v>
      </c>
      <c r="D117" s="1105">
        <v>663.47799999999995</v>
      </c>
      <c r="E117" s="3571">
        <v>55</v>
      </c>
      <c r="F117" s="1055">
        <v>71</v>
      </c>
      <c r="G117" s="1104">
        <v>554.23800000000006</v>
      </c>
      <c r="H117" s="3573">
        <v>242.76599999999999</v>
      </c>
      <c r="I117" s="3573">
        <v>229.358</v>
      </c>
      <c r="J117" s="3571">
        <v>13</v>
      </c>
      <c r="K117" s="1047">
        <v>24</v>
      </c>
      <c r="L117" s="2359">
        <f t="shared" ref="L117:O118" si="19">B117+G117</f>
        <v>1914.461</v>
      </c>
      <c r="M117" s="3572">
        <f t="shared" si="19"/>
        <v>961.63299999999992</v>
      </c>
      <c r="N117" s="2360">
        <f t="shared" si="19"/>
        <v>892.83600000000001</v>
      </c>
      <c r="O117" s="3572">
        <f t="shared" si="19"/>
        <v>68</v>
      </c>
      <c r="P117" s="2360">
        <f t="shared" si="12"/>
        <v>95</v>
      </c>
      <c r="Q117" s="1104">
        <v>29909.492999999999</v>
      </c>
      <c r="R117" s="3573">
        <v>14395.493</v>
      </c>
      <c r="S117" s="1105">
        <v>13302.493</v>
      </c>
      <c r="T117" s="3571">
        <v>1091</v>
      </c>
      <c r="U117" s="1057">
        <v>1668</v>
      </c>
      <c r="AA117" s="2629"/>
      <c r="AB117" s="2629"/>
      <c r="AC117" s="2629"/>
      <c r="AD117" s="2629"/>
      <c r="AE117" s="2629"/>
    </row>
    <row r="118" spans="1:31">
      <c r="A118" s="1054" t="s">
        <v>519</v>
      </c>
      <c r="B118" s="1106">
        <v>1362.0609999999999</v>
      </c>
      <c r="C118" s="3573">
        <v>726.06100000000004</v>
      </c>
      <c r="D118" s="1105">
        <v>662.06100000000004</v>
      </c>
      <c r="E118" s="3571">
        <v>64</v>
      </c>
      <c r="F118" s="1055">
        <v>70</v>
      </c>
      <c r="G118" s="1104">
        <v>555</v>
      </c>
      <c r="H118" s="3573">
        <v>247.45699999999999</v>
      </c>
      <c r="I118" s="1105">
        <v>231.45699999999999</v>
      </c>
      <c r="J118" s="3571">
        <v>15</v>
      </c>
      <c r="K118" s="1047">
        <v>23</v>
      </c>
      <c r="L118" s="2359">
        <f t="shared" si="19"/>
        <v>1917.0609999999999</v>
      </c>
      <c r="M118" s="3572">
        <f t="shared" si="19"/>
        <v>973.51800000000003</v>
      </c>
      <c r="N118" s="2360">
        <f t="shared" si="19"/>
        <v>893.51800000000003</v>
      </c>
      <c r="O118" s="3572">
        <f t="shared" si="19"/>
        <v>79</v>
      </c>
      <c r="P118" s="2360">
        <f t="shared" si="12"/>
        <v>93</v>
      </c>
      <c r="Q118" s="1104">
        <v>29970.273000000001</v>
      </c>
      <c r="R118" s="3573">
        <v>14564.272999999999</v>
      </c>
      <c r="S118" s="1105">
        <v>13606.272999999999</v>
      </c>
      <c r="T118" s="3571">
        <v>958</v>
      </c>
      <c r="U118" s="1057">
        <v>1581</v>
      </c>
      <c r="AA118" s="2629"/>
      <c r="AB118" s="2629"/>
      <c r="AC118" s="2629"/>
      <c r="AD118" s="2629"/>
      <c r="AE118" s="2629"/>
    </row>
    <row r="119" spans="1:31">
      <c r="A119" s="1054" t="s">
        <v>520</v>
      </c>
      <c r="B119" s="1046">
        <v>1364</v>
      </c>
      <c r="C119" s="3571">
        <v>717</v>
      </c>
      <c r="D119" s="1047">
        <v>670</v>
      </c>
      <c r="E119" s="3571">
        <v>46</v>
      </c>
      <c r="F119" s="1055">
        <v>93</v>
      </c>
      <c r="G119" s="1049">
        <v>556</v>
      </c>
      <c r="H119" s="3571">
        <v>255</v>
      </c>
      <c r="I119" s="1047">
        <v>243</v>
      </c>
      <c r="J119" s="3571">
        <v>12</v>
      </c>
      <c r="K119" s="1047">
        <v>23</v>
      </c>
      <c r="L119" s="2359">
        <f t="shared" si="9"/>
        <v>1920</v>
      </c>
      <c r="M119" s="3572">
        <f t="shared" si="10"/>
        <v>972</v>
      </c>
      <c r="N119" s="2360">
        <f t="shared" si="11"/>
        <v>913</v>
      </c>
      <c r="O119" s="3572">
        <f t="shared" si="12"/>
        <v>58</v>
      </c>
      <c r="P119" s="2360">
        <f t="shared" si="12"/>
        <v>116</v>
      </c>
      <c r="Q119" s="1049">
        <v>30033</v>
      </c>
      <c r="R119" s="3571">
        <v>14596</v>
      </c>
      <c r="S119" s="1047">
        <v>13503</v>
      </c>
      <c r="T119" s="3571">
        <v>1093</v>
      </c>
      <c r="U119" s="1057">
        <v>1654</v>
      </c>
      <c r="AA119" s="2629"/>
      <c r="AB119" s="2629"/>
      <c r="AC119" s="2629"/>
      <c r="AD119" s="2629"/>
      <c r="AE119" s="2629"/>
    </row>
    <row r="120" spans="1:31">
      <c r="A120" s="1054" t="s">
        <v>521</v>
      </c>
      <c r="B120" s="1046" t="e">
        <v>#N/A</v>
      </c>
      <c r="C120" s="3571" t="e">
        <v>#N/A</v>
      </c>
      <c r="D120" s="1047" t="e">
        <v>#N/A</v>
      </c>
      <c r="E120" s="3571" t="e">
        <v>#N/A</v>
      </c>
      <c r="F120" s="1055" t="e">
        <v>#N/A</v>
      </c>
      <c r="G120" s="1049" t="e">
        <v>#N/A</v>
      </c>
      <c r="H120" s="3571" t="e">
        <v>#N/A</v>
      </c>
      <c r="I120" s="1047" t="e">
        <v>#N/A</v>
      </c>
      <c r="J120" s="3571" t="e">
        <v>#N/A</v>
      </c>
      <c r="K120" s="1047" t="e">
        <v>#N/A</v>
      </c>
      <c r="L120" s="2359" t="e">
        <f t="shared" si="9"/>
        <v>#N/A</v>
      </c>
      <c r="M120" s="3572" t="e">
        <f t="shared" si="10"/>
        <v>#N/A</v>
      </c>
      <c r="N120" s="2360" t="e">
        <f t="shared" si="11"/>
        <v>#N/A</v>
      </c>
      <c r="O120" s="3572" t="e">
        <f t="shared" si="12"/>
        <v>#N/A</v>
      </c>
      <c r="P120" s="2360" t="e">
        <f t="shared" si="12"/>
        <v>#N/A</v>
      </c>
      <c r="Q120" s="1049" t="e">
        <v>#N/A</v>
      </c>
      <c r="R120" s="3571" t="e">
        <v>#N/A</v>
      </c>
      <c r="S120" s="1047" t="e">
        <v>#N/A</v>
      </c>
      <c r="T120" s="3571" t="e">
        <v>#N/A</v>
      </c>
      <c r="U120" s="1057" t="e">
        <v>#N/A</v>
      </c>
      <c r="AA120" s="2629"/>
      <c r="AB120" s="2629"/>
      <c r="AC120" s="2629"/>
      <c r="AD120" s="2629"/>
      <c r="AE120" s="2629"/>
    </row>
    <row r="121" spans="1:31">
      <c r="A121" s="1054" t="s">
        <v>522</v>
      </c>
      <c r="B121" s="1046" t="e">
        <v>#N/A</v>
      </c>
      <c r="C121" s="3571" t="e">
        <v>#N/A</v>
      </c>
      <c r="D121" s="1047" t="e">
        <v>#N/A</v>
      </c>
      <c r="E121" s="3571" t="e">
        <v>#N/A</v>
      </c>
      <c r="F121" s="1055" t="e">
        <v>#N/A</v>
      </c>
      <c r="G121" s="1049" t="e">
        <v>#N/A</v>
      </c>
      <c r="H121" s="3571" t="e">
        <v>#N/A</v>
      </c>
      <c r="I121" s="1047" t="e">
        <v>#N/A</v>
      </c>
      <c r="J121" s="3571" t="e">
        <v>#N/A</v>
      </c>
      <c r="K121" s="1047" t="e">
        <v>#N/A</v>
      </c>
      <c r="L121" s="2359" t="e">
        <f t="shared" si="9"/>
        <v>#N/A</v>
      </c>
      <c r="M121" s="3572" t="e">
        <f t="shared" si="10"/>
        <v>#N/A</v>
      </c>
      <c r="N121" s="2360" t="e">
        <f t="shared" si="11"/>
        <v>#N/A</v>
      </c>
      <c r="O121" s="3572" t="e">
        <f t="shared" si="12"/>
        <v>#N/A</v>
      </c>
      <c r="P121" s="2360" t="e">
        <f t="shared" si="12"/>
        <v>#N/A</v>
      </c>
      <c r="Q121" s="1049" t="e">
        <v>#N/A</v>
      </c>
      <c r="R121" s="3571" t="e">
        <v>#N/A</v>
      </c>
      <c r="S121" s="1047" t="e">
        <v>#N/A</v>
      </c>
      <c r="T121" s="3571" t="e">
        <v>#N/A</v>
      </c>
      <c r="U121" s="1057" t="e">
        <v>#N/A</v>
      </c>
      <c r="AA121" s="2629"/>
      <c r="AB121" s="2629"/>
      <c r="AC121" s="2629"/>
      <c r="AD121" s="2629"/>
      <c r="AE121" s="2629"/>
    </row>
    <row r="122" spans="1:31">
      <c r="A122" s="1054" t="s">
        <v>523</v>
      </c>
      <c r="B122" s="1046" t="e">
        <v>#N/A</v>
      </c>
      <c r="C122" s="3571" t="e">
        <v>#N/A</v>
      </c>
      <c r="D122" s="1047" t="e">
        <v>#N/A</v>
      </c>
      <c r="E122" s="3571" t="e">
        <v>#N/A</v>
      </c>
      <c r="F122" s="1055" t="e">
        <v>#N/A</v>
      </c>
      <c r="G122" s="1049" t="e">
        <v>#N/A</v>
      </c>
      <c r="H122" s="3571" t="e">
        <v>#N/A</v>
      </c>
      <c r="I122" s="1047" t="e">
        <v>#N/A</v>
      </c>
      <c r="J122" s="3571" t="e">
        <v>#N/A</v>
      </c>
      <c r="K122" s="1047" t="e">
        <v>#N/A</v>
      </c>
      <c r="L122" s="2359" t="e">
        <f t="shared" si="9"/>
        <v>#N/A</v>
      </c>
      <c r="M122" s="3572" t="e">
        <f t="shared" si="10"/>
        <v>#N/A</v>
      </c>
      <c r="N122" s="2360" t="e">
        <f t="shared" si="11"/>
        <v>#N/A</v>
      </c>
      <c r="O122" s="3572" t="e">
        <f t="shared" si="12"/>
        <v>#N/A</v>
      </c>
      <c r="P122" s="2360" t="e">
        <f t="shared" si="12"/>
        <v>#N/A</v>
      </c>
      <c r="Q122" s="1049" t="e">
        <v>#N/A</v>
      </c>
      <c r="R122" s="3571" t="e">
        <v>#N/A</v>
      </c>
      <c r="S122" s="1047" t="e">
        <v>#N/A</v>
      </c>
      <c r="T122" s="3571" t="e">
        <v>#N/A</v>
      </c>
      <c r="U122" s="1057" t="e">
        <v>#N/A</v>
      </c>
      <c r="AA122" s="2629"/>
      <c r="AB122" s="2629"/>
      <c r="AC122" s="2629"/>
      <c r="AD122" s="2629"/>
      <c r="AE122" s="2629"/>
    </row>
    <row r="123" spans="1:31">
      <c r="A123" s="1054" t="s">
        <v>524</v>
      </c>
      <c r="B123" s="1046" t="e">
        <v>#N/A</v>
      </c>
      <c r="C123" s="3571" t="e">
        <v>#N/A</v>
      </c>
      <c r="D123" s="1047" t="e">
        <v>#N/A</v>
      </c>
      <c r="E123" s="3571" t="e">
        <v>#N/A</v>
      </c>
      <c r="F123" s="1055" t="e">
        <v>#N/A</v>
      </c>
      <c r="G123" s="1049" t="e">
        <v>#N/A</v>
      </c>
      <c r="H123" s="3571" t="e">
        <v>#N/A</v>
      </c>
      <c r="I123" s="1047" t="e">
        <v>#N/A</v>
      </c>
      <c r="J123" s="3571" t="e">
        <v>#N/A</v>
      </c>
      <c r="K123" s="1047" t="e">
        <v>#N/A</v>
      </c>
      <c r="L123" s="2359" t="e">
        <f t="shared" si="9"/>
        <v>#N/A</v>
      </c>
      <c r="M123" s="3572" t="e">
        <f t="shared" si="10"/>
        <v>#N/A</v>
      </c>
      <c r="N123" s="2360" t="e">
        <f t="shared" si="11"/>
        <v>#N/A</v>
      </c>
      <c r="O123" s="3572" t="e">
        <f t="shared" si="12"/>
        <v>#N/A</v>
      </c>
      <c r="P123" s="2360" t="e">
        <f t="shared" si="12"/>
        <v>#N/A</v>
      </c>
      <c r="Q123" s="1049" t="e">
        <v>#N/A</v>
      </c>
      <c r="R123" s="3571" t="e">
        <v>#N/A</v>
      </c>
      <c r="S123" s="1047" t="e">
        <v>#N/A</v>
      </c>
      <c r="T123" s="3571" t="e">
        <v>#N/A</v>
      </c>
      <c r="U123" s="1057" t="e">
        <v>#N/A</v>
      </c>
      <c r="AA123" s="2629"/>
      <c r="AB123" s="2629"/>
      <c r="AC123" s="2629"/>
      <c r="AD123" s="2629"/>
      <c r="AE123" s="2629"/>
    </row>
    <row r="124" spans="1:31">
      <c r="A124" s="1054" t="s">
        <v>525</v>
      </c>
      <c r="B124" s="1046" t="e">
        <v>#N/A</v>
      </c>
      <c r="C124" s="3571" t="e">
        <v>#N/A</v>
      </c>
      <c r="D124" s="1047" t="e">
        <v>#N/A</v>
      </c>
      <c r="E124" s="3571" t="e">
        <v>#N/A</v>
      </c>
      <c r="F124" s="1055" t="e">
        <v>#N/A</v>
      </c>
      <c r="G124" s="1049" t="e">
        <v>#N/A</v>
      </c>
      <c r="H124" s="3571" t="e">
        <v>#N/A</v>
      </c>
      <c r="I124" s="1047" t="e">
        <v>#N/A</v>
      </c>
      <c r="J124" s="3571" t="e">
        <v>#N/A</v>
      </c>
      <c r="K124" s="1047" t="e">
        <v>#N/A</v>
      </c>
      <c r="L124" s="2359" t="e">
        <f t="shared" si="9"/>
        <v>#N/A</v>
      </c>
      <c r="M124" s="3572" t="e">
        <f t="shared" si="10"/>
        <v>#N/A</v>
      </c>
      <c r="N124" s="2360" t="e">
        <f t="shared" si="11"/>
        <v>#N/A</v>
      </c>
      <c r="O124" s="3572" t="e">
        <f t="shared" si="12"/>
        <v>#N/A</v>
      </c>
      <c r="P124" s="2360" t="e">
        <f t="shared" si="12"/>
        <v>#N/A</v>
      </c>
      <c r="Q124" s="1049" t="e">
        <v>#N/A</v>
      </c>
      <c r="R124" s="3571" t="e">
        <v>#N/A</v>
      </c>
      <c r="S124" s="1047" t="e">
        <v>#N/A</v>
      </c>
      <c r="T124" s="3571" t="e">
        <v>#N/A</v>
      </c>
      <c r="U124" s="1057" t="e">
        <v>#N/A</v>
      </c>
      <c r="AA124" s="2629"/>
      <c r="AB124" s="2629"/>
      <c r="AC124" s="2629"/>
      <c r="AD124" s="2629"/>
      <c r="AE124" s="2629"/>
    </row>
    <row r="125" spans="1:31">
      <c r="A125" s="1054" t="s">
        <v>526</v>
      </c>
      <c r="B125" s="1046" t="e">
        <v>#N/A</v>
      </c>
      <c r="C125" s="3571" t="e">
        <v>#N/A</v>
      </c>
      <c r="D125" s="1047" t="e">
        <v>#N/A</v>
      </c>
      <c r="E125" s="3571" t="e">
        <v>#N/A</v>
      </c>
      <c r="F125" s="1055" t="e">
        <v>#N/A</v>
      </c>
      <c r="G125" s="1049" t="e">
        <v>#N/A</v>
      </c>
      <c r="H125" s="3571" t="e">
        <v>#N/A</v>
      </c>
      <c r="I125" s="1047" t="e">
        <v>#N/A</v>
      </c>
      <c r="J125" s="3571" t="e">
        <v>#N/A</v>
      </c>
      <c r="K125" s="1047" t="e">
        <v>#N/A</v>
      </c>
      <c r="L125" s="2359" t="e">
        <f t="shared" si="9"/>
        <v>#N/A</v>
      </c>
      <c r="M125" s="3572" t="e">
        <f t="shared" si="10"/>
        <v>#N/A</v>
      </c>
      <c r="N125" s="2360" t="e">
        <f t="shared" si="11"/>
        <v>#N/A</v>
      </c>
      <c r="O125" s="3572" t="e">
        <f t="shared" si="12"/>
        <v>#N/A</v>
      </c>
      <c r="P125" s="2360" t="e">
        <f t="shared" si="12"/>
        <v>#N/A</v>
      </c>
      <c r="Q125" s="1049" t="e">
        <v>#N/A</v>
      </c>
      <c r="R125" s="3571" t="e">
        <v>#N/A</v>
      </c>
      <c r="S125" s="1047" t="e">
        <v>#N/A</v>
      </c>
      <c r="T125" s="3571" t="e">
        <v>#N/A</v>
      </c>
      <c r="U125" s="1057" t="e">
        <v>#N/A</v>
      </c>
      <c r="AA125" s="2629"/>
      <c r="AB125" s="2629"/>
      <c r="AC125" s="2629"/>
      <c r="AD125" s="2629"/>
      <c r="AE125" s="2629"/>
    </row>
    <row r="126" spans="1:31">
      <c r="A126" s="1054" t="s">
        <v>527</v>
      </c>
      <c r="B126" s="1046" t="e">
        <v>#N/A</v>
      </c>
      <c r="C126" s="3571" t="e">
        <v>#N/A</v>
      </c>
      <c r="D126" s="1047" t="e">
        <v>#N/A</v>
      </c>
      <c r="E126" s="3571" t="e">
        <v>#N/A</v>
      </c>
      <c r="F126" s="1055" t="e">
        <v>#N/A</v>
      </c>
      <c r="G126" s="1049" t="e">
        <v>#N/A</v>
      </c>
      <c r="H126" s="3571" t="e">
        <v>#N/A</v>
      </c>
      <c r="I126" s="1047" t="e">
        <v>#N/A</v>
      </c>
      <c r="J126" s="3571" t="e">
        <v>#N/A</v>
      </c>
      <c r="K126" s="1047" t="e">
        <v>#N/A</v>
      </c>
      <c r="L126" s="2359" t="e">
        <f t="shared" si="9"/>
        <v>#N/A</v>
      </c>
      <c r="M126" s="3572" t="e">
        <f t="shared" si="10"/>
        <v>#N/A</v>
      </c>
      <c r="N126" s="2360" t="e">
        <f t="shared" si="11"/>
        <v>#N/A</v>
      </c>
      <c r="O126" s="3572" t="e">
        <f t="shared" si="12"/>
        <v>#N/A</v>
      </c>
      <c r="P126" s="2360" t="e">
        <f t="shared" si="12"/>
        <v>#N/A</v>
      </c>
      <c r="Q126" s="1049" t="e">
        <v>#N/A</v>
      </c>
      <c r="R126" s="3571" t="e">
        <v>#N/A</v>
      </c>
      <c r="S126" s="1047" t="e">
        <v>#N/A</v>
      </c>
      <c r="T126" s="3571" t="e">
        <v>#N/A</v>
      </c>
      <c r="U126" s="1057" t="e">
        <v>#N/A</v>
      </c>
      <c r="AA126" s="2629"/>
      <c r="AB126" s="2629"/>
      <c r="AC126" s="2629"/>
      <c r="AD126" s="2629"/>
      <c r="AE126" s="2629"/>
    </row>
    <row r="127" spans="1:31">
      <c r="A127" s="1054" t="s">
        <v>528</v>
      </c>
      <c r="B127" s="1046" t="e">
        <v>#N/A</v>
      </c>
      <c r="C127" s="3571" t="e">
        <v>#N/A</v>
      </c>
      <c r="D127" s="1047" t="e">
        <v>#N/A</v>
      </c>
      <c r="E127" s="3571" t="e">
        <v>#N/A</v>
      </c>
      <c r="F127" s="1055" t="e">
        <v>#N/A</v>
      </c>
      <c r="G127" s="1049" t="e">
        <v>#N/A</v>
      </c>
      <c r="H127" s="3571" t="e">
        <v>#N/A</v>
      </c>
      <c r="I127" s="1047" t="e">
        <v>#N/A</v>
      </c>
      <c r="J127" s="3571" t="e">
        <v>#N/A</v>
      </c>
      <c r="K127" s="1047" t="e">
        <v>#N/A</v>
      </c>
      <c r="L127" s="2359" t="e">
        <f t="shared" si="9"/>
        <v>#N/A</v>
      </c>
      <c r="M127" s="3572" t="e">
        <f t="shared" si="10"/>
        <v>#N/A</v>
      </c>
      <c r="N127" s="2360" t="e">
        <f t="shared" si="11"/>
        <v>#N/A</v>
      </c>
      <c r="O127" s="3572" t="e">
        <f t="shared" si="12"/>
        <v>#N/A</v>
      </c>
      <c r="P127" s="2360" t="e">
        <f t="shared" si="12"/>
        <v>#N/A</v>
      </c>
      <c r="Q127" s="1049" t="e">
        <v>#N/A</v>
      </c>
      <c r="R127" s="3571" t="e">
        <v>#N/A</v>
      </c>
      <c r="S127" s="1047" t="e">
        <v>#N/A</v>
      </c>
      <c r="T127" s="3571" t="e">
        <v>#N/A</v>
      </c>
      <c r="U127" s="1057" t="e">
        <v>#N/A</v>
      </c>
      <c r="AA127" s="2629"/>
      <c r="AB127" s="2629"/>
      <c r="AC127" s="2629"/>
      <c r="AD127" s="2629"/>
      <c r="AE127" s="2629"/>
    </row>
    <row r="128" spans="1:31">
      <c r="A128" s="1054" t="s">
        <v>529</v>
      </c>
      <c r="B128" s="1046" t="e">
        <v>#N/A</v>
      </c>
      <c r="C128" s="3571" t="e">
        <v>#N/A</v>
      </c>
      <c r="D128" s="1047" t="e">
        <v>#N/A</v>
      </c>
      <c r="E128" s="3571" t="e">
        <v>#N/A</v>
      </c>
      <c r="F128" s="1055" t="e">
        <v>#N/A</v>
      </c>
      <c r="G128" s="1049" t="e">
        <v>#N/A</v>
      </c>
      <c r="H128" s="3571" t="e">
        <v>#N/A</v>
      </c>
      <c r="I128" s="1047" t="e">
        <v>#N/A</v>
      </c>
      <c r="J128" s="3571" t="e">
        <v>#N/A</v>
      </c>
      <c r="K128" s="1047" t="e">
        <v>#N/A</v>
      </c>
      <c r="L128" s="2359" t="e">
        <f t="shared" si="9"/>
        <v>#N/A</v>
      </c>
      <c r="M128" s="3572" t="e">
        <f t="shared" si="10"/>
        <v>#N/A</v>
      </c>
      <c r="N128" s="2360" t="e">
        <f t="shared" si="11"/>
        <v>#N/A</v>
      </c>
      <c r="O128" s="3572" t="e">
        <f t="shared" si="12"/>
        <v>#N/A</v>
      </c>
      <c r="P128" s="2360" t="e">
        <f t="shared" si="12"/>
        <v>#N/A</v>
      </c>
      <c r="Q128" s="1049" t="e">
        <v>#N/A</v>
      </c>
      <c r="R128" s="3571" t="e">
        <v>#N/A</v>
      </c>
      <c r="S128" s="1047" t="e">
        <v>#N/A</v>
      </c>
      <c r="T128" s="3571" t="e">
        <v>#N/A</v>
      </c>
      <c r="U128" s="1057" t="e">
        <v>#N/A</v>
      </c>
      <c r="AA128" s="2629"/>
      <c r="AB128" s="2629"/>
      <c r="AC128" s="2629"/>
      <c r="AD128" s="2629"/>
      <c r="AE128" s="2629"/>
    </row>
    <row r="129" spans="1:31">
      <c r="A129" s="1054" t="s">
        <v>530</v>
      </c>
      <c r="B129" s="1046" t="e">
        <v>#N/A</v>
      </c>
      <c r="C129" s="3571" t="e">
        <v>#N/A</v>
      </c>
      <c r="D129" s="1047" t="e">
        <v>#N/A</v>
      </c>
      <c r="E129" s="3571" t="e">
        <v>#N/A</v>
      </c>
      <c r="F129" s="1055" t="e">
        <v>#N/A</v>
      </c>
      <c r="G129" s="1049" t="e">
        <v>#N/A</v>
      </c>
      <c r="H129" s="3571" t="e">
        <v>#N/A</v>
      </c>
      <c r="I129" s="1047" t="e">
        <v>#N/A</v>
      </c>
      <c r="J129" s="3571" t="e">
        <v>#N/A</v>
      </c>
      <c r="K129" s="1047" t="e">
        <v>#N/A</v>
      </c>
      <c r="L129" s="2359" t="e">
        <f t="shared" si="9"/>
        <v>#N/A</v>
      </c>
      <c r="M129" s="3572" t="e">
        <f t="shared" si="10"/>
        <v>#N/A</v>
      </c>
      <c r="N129" s="2360" t="e">
        <f t="shared" si="11"/>
        <v>#N/A</v>
      </c>
      <c r="O129" s="3572" t="e">
        <f t="shared" si="12"/>
        <v>#N/A</v>
      </c>
      <c r="P129" s="2360" t="e">
        <f t="shared" si="12"/>
        <v>#N/A</v>
      </c>
      <c r="Q129" s="1049" t="e">
        <v>#N/A</v>
      </c>
      <c r="R129" s="3571" t="e">
        <v>#N/A</v>
      </c>
      <c r="S129" s="1047" t="e">
        <v>#N/A</v>
      </c>
      <c r="T129" s="3571" t="e">
        <v>#N/A</v>
      </c>
      <c r="U129" s="1057" t="e">
        <v>#N/A</v>
      </c>
      <c r="AA129" s="2629"/>
      <c r="AB129" s="2629"/>
      <c r="AC129" s="2629"/>
      <c r="AD129" s="2629"/>
      <c r="AE129" s="2629"/>
    </row>
    <row r="130" spans="1:31">
      <c r="A130" s="1054" t="s">
        <v>531</v>
      </c>
      <c r="B130" s="1046" t="e">
        <v>#N/A</v>
      </c>
      <c r="C130" s="3571" t="e">
        <v>#N/A</v>
      </c>
      <c r="D130" s="1047" t="e">
        <v>#N/A</v>
      </c>
      <c r="E130" s="3571" t="e">
        <v>#N/A</v>
      </c>
      <c r="F130" s="1055" t="e">
        <v>#N/A</v>
      </c>
      <c r="G130" s="1049" t="e">
        <v>#N/A</v>
      </c>
      <c r="H130" s="3571" t="e">
        <v>#N/A</v>
      </c>
      <c r="I130" s="1047" t="e">
        <v>#N/A</v>
      </c>
      <c r="J130" s="3571" t="e">
        <v>#N/A</v>
      </c>
      <c r="K130" s="1047" t="e">
        <v>#N/A</v>
      </c>
      <c r="L130" s="2359" t="e">
        <f t="shared" si="9"/>
        <v>#N/A</v>
      </c>
      <c r="M130" s="3572" t="e">
        <f t="shared" si="10"/>
        <v>#N/A</v>
      </c>
      <c r="N130" s="2360" t="e">
        <f t="shared" si="11"/>
        <v>#N/A</v>
      </c>
      <c r="O130" s="3572" t="e">
        <f t="shared" si="12"/>
        <v>#N/A</v>
      </c>
      <c r="P130" s="2360" t="e">
        <f t="shared" si="12"/>
        <v>#N/A</v>
      </c>
      <c r="Q130" s="1049" t="e">
        <v>#N/A</v>
      </c>
      <c r="R130" s="3571" t="e">
        <v>#N/A</v>
      </c>
      <c r="S130" s="1047" t="e">
        <v>#N/A</v>
      </c>
      <c r="T130" s="3571" t="e">
        <v>#N/A</v>
      </c>
      <c r="U130" s="1057" t="e">
        <v>#N/A</v>
      </c>
      <c r="AA130" s="2629"/>
      <c r="AB130" s="2629"/>
      <c r="AC130" s="2629"/>
      <c r="AD130" s="2629"/>
      <c r="AE130" s="2629"/>
    </row>
    <row r="131" spans="1:31">
      <c r="A131" s="1054" t="s">
        <v>532</v>
      </c>
      <c r="B131" s="1046" t="e">
        <v>#N/A</v>
      </c>
      <c r="C131" s="3571" t="e">
        <v>#N/A</v>
      </c>
      <c r="D131" s="1047" t="e">
        <v>#N/A</v>
      </c>
      <c r="E131" s="3571" t="e">
        <v>#N/A</v>
      </c>
      <c r="F131" s="1055" t="e">
        <v>#N/A</v>
      </c>
      <c r="G131" s="1049" t="e">
        <v>#N/A</v>
      </c>
      <c r="H131" s="3571" t="e">
        <v>#N/A</v>
      </c>
      <c r="I131" s="1047" t="e">
        <v>#N/A</v>
      </c>
      <c r="J131" s="3571" t="e">
        <v>#N/A</v>
      </c>
      <c r="K131" s="1047" t="e">
        <v>#N/A</v>
      </c>
      <c r="L131" s="2359" t="e">
        <f t="shared" si="9"/>
        <v>#N/A</v>
      </c>
      <c r="M131" s="3572" t="e">
        <f t="shared" si="10"/>
        <v>#N/A</v>
      </c>
      <c r="N131" s="2360" t="e">
        <f t="shared" si="11"/>
        <v>#N/A</v>
      </c>
      <c r="O131" s="3572" t="e">
        <f t="shared" si="12"/>
        <v>#N/A</v>
      </c>
      <c r="P131" s="2360" t="e">
        <f t="shared" si="12"/>
        <v>#N/A</v>
      </c>
      <c r="Q131" s="1049" t="e">
        <v>#N/A</v>
      </c>
      <c r="R131" s="3571" t="e">
        <v>#N/A</v>
      </c>
      <c r="S131" s="1047" t="e">
        <v>#N/A</v>
      </c>
      <c r="T131" s="3571" t="e">
        <v>#N/A</v>
      </c>
      <c r="U131" s="1057" t="e">
        <v>#N/A</v>
      </c>
      <c r="AA131" s="2629"/>
      <c r="AB131" s="2629"/>
      <c r="AC131" s="2629"/>
      <c r="AD131" s="2629"/>
      <c r="AE131" s="2629"/>
    </row>
    <row r="132" spans="1:31">
      <c r="A132" s="1054" t="s">
        <v>533</v>
      </c>
      <c r="B132" s="1046" t="e">
        <v>#N/A</v>
      </c>
      <c r="C132" s="3571" t="e">
        <v>#N/A</v>
      </c>
      <c r="D132" s="1047" t="e">
        <v>#N/A</v>
      </c>
      <c r="E132" s="3571" t="e">
        <v>#N/A</v>
      </c>
      <c r="F132" s="1055" t="e">
        <v>#N/A</v>
      </c>
      <c r="G132" s="1049" t="e">
        <v>#N/A</v>
      </c>
      <c r="H132" s="3571" t="e">
        <v>#N/A</v>
      </c>
      <c r="I132" s="1047" t="e">
        <v>#N/A</v>
      </c>
      <c r="J132" s="3571" t="e">
        <v>#N/A</v>
      </c>
      <c r="K132" s="1047" t="e">
        <v>#N/A</v>
      </c>
      <c r="L132" s="2359" t="e">
        <f t="shared" si="9"/>
        <v>#N/A</v>
      </c>
      <c r="M132" s="3572" t="e">
        <f t="shared" si="10"/>
        <v>#N/A</v>
      </c>
      <c r="N132" s="2360" t="e">
        <f t="shared" si="11"/>
        <v>#N/A</v>
      </c>
      <c r="O132" s="3572" t="e">
        <f t="shared" si="12"/>
        <v>#N/A</v>
      </c>
      <c r="P132" s="2360" t="e">
        <f t="shared" si="12"/>
        <v>#N/A</v>
      </c>
      <c r="Q132" s="1049" t="e">
        <v>#N/A</v>
      </c>
      <c r="R132" s="3571" t="e">
        <v>#N/A</v>
      </c>
      <c r="S132" s="1047" t="e">
        <v>#N/A</v>
      </c>
      <c r="T132" s="3571" t="e">
        <v>#N/A</v>
      </c>
      <c r="U132" s="1057" t="e">
        <v>#N/A</v>
      </c>
      <c r="AA132" s="2629"/>
      <c r="AB132" s="2629"/>
      <c r="AC132" s="2629"/>
      <c r="AD132" s="2629"/>
      <c r="AE132" s="2629"/>
    </row>
    <row r="133" spans="1:31">
      <c r="A133" s="1054" t="s">
        <v>534</v>
      </c>
      <c r="B133" s="1046" t="e">
        <v>#N/A</v>
      </c>
      <c r="C133" s="3571" t="e">
        <v>#N/A</v>
      </c>
      <c r="D133" s="1047" t="e">
        <v>#N/A</v>
      </c>
      <c r="E133" s="3571" t="e">
        <v>#N/A</v>
      </c>
      <c r="F133" s="1055" t="e">
        <v>#N/A</v>
      </c>
      <c r="G133" s="1049" t="e">
        <v>#N/A</v>
      </c>
      <c r="H133" s="3571" t="e">
        <v>#N/A</v>
      </c>
      <c r="I133" s="1047" t="e">
        <v>#N/A</v>
      </c>
      <c r="J133" s="3571" t="e">
        <v>#N/A</v>
      </c>
      <c r="K133" s="1047" t="e">
        <v>#N/A</v>
      </c>
      <c r="L133" s="2359" t="e">
        <f t="shared" si="9"/>
        <v>#N/A</v>
      </c>
      <c r="M133" s="3572" t="e">
        <f t="shared" si="10"/>
        <v>#N/A</v>
      </c>
      <c r="N133" s="2360" t="e">
        <f t="shared" si="11"/>
        <v>#N/A</v>
      </c>
      <c r="O133" s="3572" t="e">
        <f t="shared" si="12"/>
        <v>#N/A</v>
      </c>
      <c r="P133" s="2360" t="e">
        <f t="shared" si="12"/>
        <v>#N/A</v>
      </c>
      <c r="Q133" s="1049" t="e">
        <v>#N/A</v>
      </c>
      <c r="R133" s="3571" t="e">
        <v>#N/A</v>
      </c>
      <c r="S133" s="1047" t="e">
        <v>#N/A</v>
      </c>
      <c r="T133" s="3571" t="e">
        <v>#N/A</v>
      </c>
      <c r="U133" s="1057" t="e">
        <v>#N/A</v>
      </c>
      <c r="AA133" s="2629"/>
      <c r="AB133" s="2629"/>
      <c r="AC133" s="2629"/>
      <c r="AD133" s="2629"/>
      <c r="AE133" s="2629"/>
    </row>
    <row r="134" spans="1:31">
      <c r="A134" s="1054" t="s">
        <v>535</v>
      </c>
      <c r="B134" s="1046" t="e">
        <v>#N/A</v>
      </c>
      <c r="C134" s="3571" t="e">
        <v>#N/A</v>
      </c>
      <c r="D134" s="1047" t="e">
        <v>#N/A</v>
      </c>
      <c r="E134" s="3571" t="e">
        <v>#N/A</v>
      </c>
      <c r="F134" s="1055" t="e">
        <v>#N/A</v>
      </c>
      <c r="G134" s="1049" t="e">
        <v>#N/A</v>
      </c>
      <c r="H134" s="3571" t="e">
        <v>#N/A</v>
      </c>
      <c r="I134" s="1047" t="e">
        <v>#N/A</v>
      </c>
      <c r="J134" s="3571" t="e">
        <v>#N/A</v>
      </c>
      <c r="K134" s="1047" t="e">
        <v>#N/A</v>
      </c>
      <c r="L134" s="2359" t="e">
        <f t="shared" si="9"/>
        <v>#N/A</v>
      </c>
      <c r="M134" s="3572" t="e">
        <f t="shared" si="10"/>
        <v>#N/A</v>
      </c>
      <c r="N134" s="2360" t="e">
        <f t="shared" si="11"/>
        <v>#N/A</v>
      </c>
      <c r="O134" s="3572" t="e">
        <f t="shared" si="12"/>
        <v>#N/A</v>
      </c>
      <c r="P134" s="2360" t="e">
        <f t="shared" si="12"/>
        <v>#N/A</v>
      </c>
      <c r="Q134" s="1049" t="e">
        <v>#N/A</v>
      </c>
      <c r="R134" s="3571" t="e">
        <v>#N/A</v>
      </c>
      <c r="S134" s="1047" t="e">
        <v>#N/A</v>
      </c>
      <c r="T134" s="3571" t="e">
        <v>#N/A</v>
      </c>
      <c r="U134" s="1057" t="e">
        <v>#N/A</v>
      </c>
      <c r="AA134" s="2629"/>
      <c r="AB134" s="2629"/>
      <c r="AC134" s="2629"/>
      <c r="AD134" s="2629"/>
      <c r="AE134" s="2629"/>
    </row>
    <row r="135" spans="1:31">
      <c r="A135" s="1054" t="s">
        <v>536</v>
      </c>
      <c r="B135" s="1046" t="e">
        <v>#N/A</v>
      </c>
      <c r="C135" s="3571" t="e">
        <v>#N/A</v>
      </c>
      <c r="D135" s="1047" t="e">
        <v>#N/A</v>
      </c>
      <c r="E135" s="3571" t="e">
        <v>#N/A</v>
      </c>
      <c r="F135" s="1055" t="e">
        <v>#N/A</v>
      </c>
      <c r="G135" s="1049" t="e">
        <v>#N/A</v>
      </c>
      <c r="H135" s="3571" t="e">
        <v>#N/A</v>
      </c>
      <c r="I135" s="1047" t="e">
        <v>#N/A</v>
      </c>
      <c r="J135" s="3571" t="e">
        <v>#N/A</v>
      </c>
      <c r="K135" s="1047" t="e">
        <v>#N/A</v>
      </c>
      <c r="L135" s="2359" t="e">
        <f t="shared" si="9"/>
        <v>#N/A</v>
      </c>
      <c r="M135" s="3572" t="e">
        <f t="shared" si="10"/>
        <v>#N/A</v>
      </c>
      <c r="N135" s="2360" t="e">
        <f t="shared" si="11"/>
        <v>#N/A</v>
      </c>
      <c r="O135" s="3572" t="e">
        <f t="shared" si="12"/>
        <v>#N/A</v>
      </c>
      <c r="P135" s="2360" t="e">
        <f t="shared" si="12"/>
        <v>#N/A</v>
      </c>
      <c r="Q135" s="1049" t="e">
        <v>#N/A</v>
      </c>
      <c r="R135" s="3571" t="e">
        <v>#N/A</v>
      </c>
      <c r="S135" s="1047" t="e">
        <v>#N/A</v>
      </c>
      <c r="T135" s="3571" t="e">
        <v>#N/A</v>
      </c>
      <c r="U135" s="1057" t="e">
        <v>#N/A</v>
      </c>
      <c r="AA135" s="2629"/>
      <c r="AB135" s="2629"/>
      <c r="AC135" s="2629"/>
      <c r="AD135" s="2629"/>
      <c r="AE135" s="2629"/>
    </row>
    <row r="136" spans="1:31">
      <c r="A136" s="1054" t="s">
        <v>537</v>
      </c>
      <c r="B136" s="1046" t="e">
        <v>#N/A</v>
      </c>
      <c r="C136" s="3571" t="e">
        <v>#N/A</v>
      </c>
      <c r="D136" s="1047" t="e">
        <v>#N/A</v>
      </c>
      <c r="E136" s="3571" t="e">
        <v>#N/A</v>
      </c>
      <c r="F136" s="1055" t="e">
        <v>#N/A</v>
      </c>
      <c r="G136" s="1049" t="e">
        <v>#N/A</v>
      </c>
      <c r="H136" s="3571" t="e">
        <v>#N/A</v>
      </c>
      <c r="I136" s="1047" t="e">
        <v>#N/A</v>
      </c>
      <c r="J136" s="3571" t="e">
        <v>#N/A</v>
      </c>
      <c r="K136" s="1047" t="e">
        <v>#N/A</v>
      </c>
      <c r="L136" s="2359" t="e">
        <f t="shared" si="9"/>
        <v>#N/A</v>
      </c>
      <c r="M136" s="3572" t="e">
        <f t="shared" si="10"/>
        <v>#N/A</v>
      </c>
      <c r="N136" s="2360" t="e">
        <f t="shared" si="11"/>
        <v>#N/A</v>
      </c>
      <c r="O136" s="3572" t="e">
        <f t="shared" si="12"/>
        <v>#N/A</v>
      </c>
      <c r="P136" s="2360" t="e">
        <f t="shared" si="12"/>
        <v>#N/A</v>
      </c>
      <c r="Q136" s="1049" t="e">
        <v>#N/A</v>
      </c>
      <c r="R136" s="3571" t="e">
        <v>#N/A</v>
      </c>
      <c r="S136" s="1047" t="e">
        <v>#N/A</v>
      </c>
      <c r="T136" s="3571" t="e">
        <v>#N/A</v>
      </c>
      <c r="U136" s="1057" t="e">
        <v>#N/A</v>
      </c>
      <c r="AA136" s="2629"/>
      <c r="AB136" s="2629"/>
      <c r="AC136" s="2629"/>
      <c r="AD136" s="2629"/>
      <c r="AE136" s="2629"/>
    </row>
    <row r="137" spans="1:31">
      <c r="A137" s="1054" t="s">
        <v>538</v>
      </c>
      <c r="B137" s="1046" t="e">
        <v>#N/A</v>
      </c>
      <c r="C137" s="3571" t="e">
        <v>#N/A</v>
      </c>
      <c r="D137" s="1047" t="e">
        <v>#N/A</v>
      </c>
      <c r="E137" s="3571" t="e">
        <v>#N/A</v>
      </c>
      <c r="F137" s="1055" t="e">
        <v>#N/A</v>
      </c>
      <c r="G137" s="1049" t="e">
        <v>#N/A</v>
      </c>
      <c r="H137" s="3571" t="e">
        <v>#N/A</v>
      </c>
      <c r="I137" s="1047" t="e">
        <v>#N/A</v>
      </c>
      <c r="J137" s="3571" t="e">
        <v>#N/A</v>
      </c>
      <c r="K137" s="1047" t="e">
        <v>#N/A</v>
      </c>
      <c r="L137" s="2359" t="e">
        <f t="shared" si="9"/>
        <v>#N/A</v>
      </c>
      <c r="M137" s="3572" t="e">
        <f t="shared" si="10"/>
        <v>#N/A</v>
      </c>
      <c r="N137" s="2360" t="e">
        <f t="shared" si="11"/>
        <v>#N/A</v>
      </c>
      <c r="O137" s="3572" t="e">
        <f t="shared" si="12"/>
        <v>#N/A</v>
      </c>
      <c r="P137" s="2360" t="e">
        <f t="shared" si="12"/>
        <v>#N/A</v>
      </c>
      <c r="Q137" s="1049" t="e">
        <v>#N/A</v>
      </c>
      <c r="R137" s="3571" t="e">
        <v>#N/A</v>
      </c>
      <c r="S137" s="1047" t="e">
        <v>#N/A</v>
      </c>
      <c r="T137" s="3571" t="e">
        <v>#N/A</v>
      </c>
      <c r="U137" s="1057" t="e">
        <v>#N/A</v>
      </c>
      <c r="AA137" s="2629"/>
      <c r="AB137" s="2629"/>
      <c r="AC137" s="2629"/>
      <c r="AD137" s="2629"/>
      <c r="AE137" s="2629"/>
    </row>
    <row r="138" spans="1:31">
      <c r="A138" s="1054" t="s">
        <v>539</v>
      </c>
      <c r="B138" s="1046" t="e">
        <v>#N/A</v>
      </c>
      <c r="C138" s="3571" t="e">
        <v>#N/A</v>
      </c>
      <c r="D138" s="1047" t="e">
        <v>#N/A</v>
      </c>
      <c r="E138" s="3571" t="e">
        <v>#N/A</v>
      </c>
      <c r="F138" s="1055" t="e">
        <v>#N/A</v>
      </c>
      <c r="G138" s="1049" t="e">
        <v>#N/A</v>
      </c>
      <c r="H138" s="3571" t="e">
        <v>#N/A</v>
      </c>
      <c r="I138" s="1047" t="e">
        <v>#N/A</v>
      </c>
      <c r="J138" s="3571" t="e">
        <v>#N/A</v>
      </c>
      <c r="K138" s="1047" t="e">
        <v>#N/A</v>
      </c>
      <c r="L138" s="2359" t="e">
        <f t="shared" si="9"/>
        <v>#N/A</v>
      </c>
      <c r="M138" s="3572" t="e">
        <f t="shared" si="10"/>
        <v>#N/A</v>
      </c>
      <c r="N138" s="2360" t="e">
        <f t="shared" si="11"/>
        <v>#N/A</v>
      </c>
      <c r="O138" s="3572" t="e">
        <f t="shared" si="12"/>
        <v>#N/A</v>
      </c>
      <c r="P138" s="2360" t="e">
        <f t="shared" si="12"/>
        <v>#N/A</v>
      </c>
      <c r="Q138" s="1049" t="e">
        <v>#N/A</v>
      </c>
      <c r="R138" s="3571" t="e">
        <v>#N/A</v>
      </c>
      <c r="S138" s="1047" t="e">
        <v>#N/A</v>
      </c>
      <c r="T138" s="3571" t="e">
        <v>#N/A</v>
      </c>
      <c r="U138" s="1057" t="e">
        <v>#N/A</v>
      </c>
      <c r="AA138" s="2629"/>
      <c r="AB138" s="2629"/>
      <c r="AC138" s="2629"/>
      <c r="AD138" s="2629"/>
      <c r="AE138" s="2629"/>
    </row>
    <row r="139" spans="1:31">
      <c r="A139" s="1054" t="s">
        <v>540</v>
      </c>
      <c r="B139" s="1046" t="e">
        <v>#N/A</v>
      </c>
      <c r="C139" s="3571" t="e">
        <v>#N/A</v>
      </c>
      <c r="D139" s="1047" t="e">
        <v>#N/A</v>
      </c>
      <c r="E139" s="3571" t="e">
        <v>#N/A</v>
      </c>
      <c r="F139" s="1055" t="e">
        <v>#N/A</v>
      </c>
      <c r="G139" s="1049" t="e">
        <v>#N/A</v>
      </c>
      <c r="H139" s="3571" t="e">
        <v>#N/A</v>
      </c>
      <c r="I139" s="1047" t="e">
        <v>#N/A</v>
      </c>
      <c r="J139" s="3571" t="e">
        <v>#N/A</v>
      </c>
      <c r="K139" s="1047" t="e">
        <v>#N/A</v>
      </c>
      <c r="L139" s="2359" t="e">
        <f t="shared" si="9"/>
        <v>#N/A</v>
      </c>
      <c r="M139" s="3572" t="e">
        <f t="shared" si="10"/>
        <v>#N/A</v>
      </c>
      <c r="N139" s="2360" t="e">
        <f t="shared" si="11"/>
        <v>#N/A</v>
      </c>
      <c r="O139" s="3572" t="e">
        <f t="shared" si="12"/>
        <v>#N/A</v>
      </c>
      <c r="P139" s="2360" t="e">
        <f t="shared" si="12"/>
        <v>#N/A</v>
      </c>
      <c r="Q139" s="1049" t="e">
        <v>#N/A</v>
      </c>
      <c r="R139" s="3571" t="e">
        <v>#N/A</v>
      </c>
      <c r="S139" s="1047" t="e">
        <v>#N/A</v>
      </c>
      <c r="T139" s="3571" t="e">
        <v>#N/A</v>
      </c>
      <c r="U139" s="1057" t="e">
        <v>#N/A</v>
      </c>
      <c r="AA139" s="2629"/>
      <c r="AB139" s="2629"/>
      <c r="AC139" s="2629"/>
      <c r="AD139" s="2629"/>
      <c r="AE139" s="2629"/>
    </row>
  </sheetData>
  <hyperlinks>
    <hyperlink ref="A5" location="INDICE!A13" display="VOLVER AL INDICE" xr:uid="{9A57235F-FF8C-4A44-ABAD-C9014BC3DFBE}"/>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8805D-2CFF-453F-9A06-4865E127C96F}">
  <sheetPr codeName="Hoja41"/>
  <dimension ref="A1:AD142"/>
  <sheetViews>
    <sheetView zoomScaleNormal="100"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10.42578125" style="1058" customWidth="1"/>
    <col min="2" max="13" width="11.85546875" style="1058" customWidth="1"/>
    <col min="14" max="19" width="11.42578125" style="1058" customWidth="1"/>
    <col min="20" max="16384" width="11.42578125" style="1026"/>
  </cols>
  <sheetData>
    <row r="1" spans="1:30" ht="3.75" customHeight="1">
      <c r="A1" s="2761"/>
      <c r="B1" s="1059"/>
      <c r="C1" s="1059"/>
      <c r="D1" s="1059"/>
      <c r="E1" s="1059"/>
      <c r="F1" s="1060"/>
      <c r="G1" s="1060"/>
      <c r="H1" s="1059"/>
      <c r="I1" s="1059"/>
      <c r="J1" s="1059"/>
      <c r="K1" s="1059"/>
      <c r="L1" s="1060"/>
      <c r="M1" s="1060"/>
      <c r="N1" s="1059"/>
      <c r="O1" s="1059"/>
      <c r="P1" s="1059"/>
      <c r="Q1" s="1059"/>
      <c r="R1" s="1060"/>
      <c r="S1" s="1063"/>
    </row>
    <row r="2" spans="1:30" s="1064" customFormat="1">
      <c r="A2" s="2762" t="s">
        <v>99</v>
      </c>
      <c r="B2" s="1028" t="s">
        <v>790</v>
      </c>
      <c r="C2" s="1028"/>
      <c r="D2" s="1028"/>
      <c r="E2" s="1028"/>
      <c r="F2" s="1028"/>
      <c r="G2" s="1028"/>
      <c r="H2" s="1028"/>
      <c r="I2" s="1028"/>
      <c r="J2" s="1028"/>
      <c r="K2" s="1028"/>
      <c r="L2" s="1028"/>
      <c r="M2" s="1028"/>
      <c r="N2" s="1028"/>
      <c r="O2" s="1028"/>
      <c r="P2" s="1028"/>
      <c r="Q2" s="1028"/>
      <c r="R2" s="1028"/>
      <c r="S2" s="1032"/>
    </row>
    <row r="3" spans="1:30">
      <c r="A3" s="2762" t="s">
        <v>104</v>
      </c>
      <c r="B3" s="1028" t="s">
        <v>740</v>
      </c>
      <c r="C3" s="1028"/>
      <c r="D3" s="1028"/>
      <c r="E3" s="1028"/>
      <c r="F3" s="1030"/>
      <c r="G3" s="1028"/>
      <c r="H3" s="1028"/>
      <c r="I3" s="1028"/>
      <c r="J3" s="1028"/>
      <c r="K3" s="1028"/>
      <c r="L3" s="1030"/>
      <c r="M3" s="1028"/>
      <c r="N3" s="1028"/>
      <c r="O3" s="1028"/>
      <c r="P3" s="1028"/>
      <c r="Q3" s="1028"/>
      <c r="R3" s="1030"/>
      <c r="S3" s="1032"/>
    </row>
    <row r="4" spans="1:30" s="1069" customFormat="1" ht="3.75" customHeight="1">
      <c r="A4" s="2762"/>
      <c r="B4" s="1067"/>
      <c r="C4" s="1067"/>
      <c r="D4" s="1065"/>
      <c r="E4" s="1067"/>
      <c r="F4" s="1066"/>
      <c r="G4" s="1065"/>
      <c r="H4" s="1067"/>
      <c r="I4" s="1067"/>
      <c r="J4" s="1065"/>
      <c r="K4" s="1067"/>
      <c r="L4" s="1066"/>
      <c r="M4" s="1065"/>
      <c r="N4" s="1067"/>
      <c r="O4" s="1067"/>
      <c r="P4" s="1065"/>
      <c r="Q4" s="1067"/>
      <c r="R4" s="1066"/>
      <c r="S4" s="1068"/>
    </row>
    <row r="5" spans="1:30" ht="24.75" customHeight="1">
      <c r="A5" s="2867" t="s">
        <v>140</v>
      </c>
      <c r="B5" s="1627" t="s">
        <v>742</v>
      </c>
      <c r="C5" s="1619"/>
      <c r="D5" s="1619"/>
      <c r="E5" s="1619"/>
      <c r="F5" s="1619"/>
      <c r="G5" s="1061"/>
      <c r="H5" s="2863" t="s">
        <v>743</v>
      </c>
      <c r="I5" s="1059"/>
      <c r="J5" s="1059"/>
      <c r="K5" s="1059"/>
      <c r="L5" s="1059"/>
      <c r="M5" s="1059"/>
      <c r="N5" s="2868" t="s">
        <v>745</v>
      </c>
      <c r="O5" s="1059"/>
      <c r="P5" s="1059"/>
      <c r="Q5" s="1059"/>
      <c r="R5" s="1059"/>
      <c r="S5" s="1070"/>
    </row>
    <row r="6" spans="1:30" s="1058" customFormat="1" ht="3.75" customHeight="1">
      <c r="A6" s="2762"/>
      <c r="B6" s="2619"/>
      <c r="C6" s="1071"/>
      <c r="D6" s="1071"/>
      <c r="E6" s="1071"/>
      <c r="F6" s="1071"/>
      <c r="G6" s="1071"/>
      <c r="H6" s="2869"/>
      <c r="I6" s="1071"/>
      <c r="J6" s="1071"/>
      <c r="K6" s="1071"/>
      <c r="L6" s="1071"/>
      <c r="M6" s="1072"/>
      <c r="N6" s="1071"/>
      <c r="O6" s="1071"/>
      <c r="P6" s="1071"/>
      <c r="Q6" s="1071"/>
      <c r="R6" s="1071"/>
      <c r="S6" s="2626"/>
    </row>
    <row r="7" spans="1:30" s="1058" customFormat="1" ht="22.5">
      <c r="A7" s="2762" t="s">
        <v>125</v>
      </c>
      <c r="B7" s="2199" t="s">
        <v>791</v>
      </c>
      <c r="C7" s="1073"/>
      <c r="D7" s="1074"/>
      <c r="E7" s="1073"/>
      <c r="F7" s="1073"/>
      <c r="G7" s="2870"/>
      <c r="H7" s="2871" t="s">
        <v>791</v>
      </c>
      <c r="I7" s="2872"/>
      <c r="J7" s="2873"/>
      <c r="K7" s="2872"/>
      <c r="L7" s="2872"/>
      <c r="M7" s="2874"/>
      <c r="N7" s="2871" t="s">
        <v>791</v>
      </c>
      <c r="O7" s="2872"/>
      <c r="P7" s="2873"/>
      <c r="Q7" s="2872"/>
      <c r="R7" s="2875"/>
      <c r="S7" s="2876"/>
    </row>
    <row r="8" spans="1:30">
      <c r="A8" s="2751" t="s">
        <v>144</v>
      </c>
      <c r="B8" s="2196" t="s">
        <v>792</v>
      </c>
      <c r="C8" s="2195" t="s">
        <v>793</v>
      </c>
      <c r="D8" s="2196" t="s">
        <v>794</v>
      </c>
      <c r="E8" s="2195" t="s">
        <v>795</v>
      </c>
      <c r="F8" s="2195" t="s">
        <v>796</v>
      </c>
      <c r="G8" s="2197" t="s">
        <v>797</v>
      </c>
      <c r="H8" s="2865" t="s">
        <v>798</v>
      </c>
      <c r="I8" s="2195" t="s">
        <v>799</v>
      </c>
      <c r="J8" s="2196" t="s">
        <v>800</v>
      </c>
      <c r="K8" s="2195" t="s">
        <v>801</v>
      </c>
      <c r="L8" s="2195" t="s">
        <v>802</v>
      </c>
      <c r="M8" s="2196" t="s">
        <v>803</v>
      </c>
      <c r="N8" s="2865" t="s">
        <v>804</v>
      </c>
      <c r="O8" s="2195" t="s">
        <v>805</v>
      </c>
      <c r="P8" s="2196" t="s">
        <v>806</v>
      </c>
      <c r="Q8" s="2195" t="s">
        <v>807</v>
      </c>
      <c r="R8" s="2200" t="s">
        <v>808</v>
      </c>
      <c r="S8" s="2628" t="s">
        <v>809</v>
      </c>
      <c r="T8" s="2624"/>
      <c r="U8" s="1075"/>
      <c r="V8" s="1075"/>
      <c r="W8" s="1075"/>
      <c r="X8" s="1075"/>
      <c r="Y8" s="1075"/>
      <c r="Z8" s="1075"/>
      <c r="AA8" s="1075"/>
      <c r="AB8" s="1075"/>
      <c r="AC8" s="1075"/>
      <c r="AD8" s="1075"/>
    </row>
    <row r="9" spans="1:30" s="1058" customFormat="1" ht="45.75" thickBot="1">
      <c r="A9" s="2622" t="s">
        <v>766</v>
      </c>
      <c r="B9" s="1624" t="s">
        <v>810</v>
      </c>
      <c r="C9" s="1623" t="s">
        <v>811</v>
      </c>
      <c r="D9" s="1624" t="s">
        <v>812</v>
      </c>
      <c r="E9" s="1623" t="s">
        <v>813</v>
      </c>
      <c r="F9" s="1623" t="s">
        <v>814</v>
      </c>
      <c r="G9" s="2623" t="s">
        <v>815</v>
      </c>
      <c r="H9" s="1625" t="s">
        <v>810</v>
      </c>
      <c r="I9" s="1623" t="s">
        <v>811</v>
      </c>
      <c r="J9" s="1624" t="s">
        <v>812</v>
      </c>
      <c r="K9" s="1623" t="s">
        <v>813</v>
      </c>
      <c r="L9" s="1623" t="s">
        <v>814</v>
      </c>
      <c r="M9" s="1624" t="s">
        <v>815</v>
      </c>
      <c r="N9" s="1625" t="s">
        <v>810</v>
      </c>
      <c r="O9" s="1623" t="s">
        <v>811</v>
      </c>
      <c r="P9" s="1624" t="s">
        <v>812</v>
      </c>
      <c r="Q9" s="1623" t="s">
        <v>813</v>
      </c>
      <c r="R9" s="2625" t="s">
        <v>814</v>
      </c>
      <c r="S9" s="2627" t="s">
        <v>815</v>
      </c>
    </row>
    <row r="10" spans="1:30">
      <c r="A10" s="1642" t="s">
        <v>772</v>
      </c>
      <c r="B10" s="1076">
        <v>40.492072271078364</v>
      </c>
      <c r="C10" s="3574">
        <v>35.181103783153347</v>
      </c>
      <c r="D10" s="2620">
        <v>13.116069862688661</v>
      </c>
      <c r="E10" s="3575"/>
      <c r="F10" s="3576"/>
      <c r="G10" s="1080"/>
      <c r="H10" s="1076">
        <v>41.903352594301751</v>
      </c>
      <c r="I10" s="3574">
        <v>34.808086148160413</v>
      </c>
      <c r="J10" s="2620">
        <v>16.932455297398317</v>
      </c>
      <c r="K10" s="3575"/>
      <c r="L10" s="3576"/>
      <c r="M10" s="1081"/>
      <c r="N10" s="1216">
        <f>('2.6'!R10/'2.6'!Q10)*100</f>
        <v>43.69312290773869</v>
      </c>
      <c r="O10" s="3577">
        <f>('2.6'!S10/'2.6'!Q10)*100</f>
        <v>38.029278970075758</v>
      </c>
      <c r="P10" s="2621">
        <f>('2.6'!T10/'2.6'!R10)*100</f>
        <v>12.962781235899667</v>
      </c>
      <c r="Q10" s="3578"/>
      <c r="R10" s="3578"/>
      <c r="S10" s="1077"/>
    </row>
    <row r="11" spans="1:30">
      <c r="A11" s="1642" t="s">
        <v>773</v>
      </c>
      <c r="B11" s="1078">
        <v>38.235593999414988</v>
      </c>
      <c r="C11" s="3579">
        <v>33.5299820316744</v>
      </c>
      <c r="D11" s="1079">
        <v>12.306888622712609</v>
      </c>
      <c r="E11" s="3575"/>
      <c r="F11" s="3576"/>
      <c r="G11" s="1080"/>
      <c r="H11" s="1078">
        <v>40.883996275109745</v>
      </c>
      <c r="I11" s="3579">
        <v>34.384881448204581</v>
      </c>
      <c r="J11" s="1079">
        <v>15.896476418724854</v>
      </c>
      <c r="K11" s="3575"/>
      <c r="L11" s="3576"/>
      <c r="M11" s="1081"/>
      <c r="N11" s="1217">
        <f>('2.6'!R11/'2.6'!Q11)*100</f>
        <v>43.346433736357177</v>
      </c>
      <c r="O11" s="3580">
        <f>('2.6'!S11/'2.6'!Q11)*100</f>
        <v>37.095094454312346</v>
      </c>
      <c r="P11" s="1604">
        <f>('2.6'!T11/'2.6'!R11)*100</f>
        <v>14.421807616439427</v>
      </c>
      <c r="Q11" s="3578"/>
      <c r="R11" s="3578"/>
      <c r="S11" s="1077"/>
    </row>
    <row r="12" spans="1:30">
      <c r="A12" s="1642" t="s">
        <v>774</v>
      </c>
      <c r="B12" s="1078">
        <v>41.148742171846713</v>
      </c>
      <c r="C12" s="3579">
        <v>32.510671454705601</v>
      </c>
      <c r="D12" s="1079">
        <v>20.99230805419646</v>
      </c>
      <c r="E12" s="3575"/>
      <c r="F12" s="3576"/>
      <c r="G12" s="1080"/>
      <c r="H12" s="1078">
        <v>39.796007885149294</v>
      </c>
      <c r="I12" s="3579">
        <v>31.525373873734402</v>
      </c>
      <c r="J12" s="1079">
        <v>20.782572049145784</v>
      </c>
      <c r="K12" s="3575"/>
      <c r="L12" s="3576"/>
      <c r="M12" s="1081"/>
      <c r="N12" s="1217">
        <f>('2.6'!R12/'2.6'!Q12)*100</f>
        <v>45.188541057859752</v>
      </c>
      <c r="O12" s="3580">
        <f>('2.6'!S12/'2.6'!Q12)*100</f>
        <v>35.959658290924871</v>
      </c>
      <c r="P12" s="1604">
        <f>('2.6'!T12/'2.6'!R12)*100</f>
        <v>20.423059808720424</v>
      </c>
      <c r="Q12" s="3578"/>
      <c r="R12" s="3578"/>
      <c r="S12" s="1077"/>
    </row>
    <row r="13" spans="1:30">
      <c r="A13" s="1642" t="s">
        <v>775</v>
      </c>
      <c r="B13" s="1078">
        <v>39.473622538229122</v>
      </c>
      <c r="C13" s="3579">
        <v>32.319191141391229</v>
      </c>
      <c r="D13" s="1079">
        <v>18.124587855875184</v>
      </c>
      <c r="E13" s="3575"/>
      <c r="F13" s="3576"/>
      <c r="G13" s="1080"/>
      <c r="H13" s="1078">
        <v>39.098641195673409</v>
      </c>
      <c r="I13" s="3579">
        <v>31.043470577840608</v>
      </c>
      <c r="J13" s="1079">
        <v>20.602175348037843</v>
      </c>
      <c r="K13" s="3575"/>
      <c r="L13" s="3576"/>
      <c r="M13" s="1081"/>
      <c r="N13" s="1217">
        <f>('2.6'!R13/'2.6'!Q13)*100</f>
        <v>44.020896356372283</v>
      </c>
      <c r="O13" s="3580">
        <f>('2.6'!S13/'2.6'!Q13)*100</f>
        <v>35.792064380815582</v>
      </c>
      <c r="P13" s="1604">
        <f>('2.6'!T13/'2.6'!R13)*100</f>
        <v>18.693013220221548</v>
      </c>
      <c r="Q13" s="3578"/>
      <c r="R13" s="3578"/>
      <c r="S13" s="1077"/>
    </row>
    <row r="14" spans="1:30">
      <c r="A14" s="1642" t="s">
        <v>776</v>
      </c>
      <c r="B14" s="1078">
        <v>39.760325450364505</v>
      </c>
      <c r="C14" s="3579">
        <v>31.937720453798857</v>
      </c>
      <c r="D14" s="1079">
        <v>19.674398808257077</v>
      </c>
      <c r="E14" s="3575"/>
      <c r="F14" s="3576"/>
      <c r="G14" s="1080"/>
      <c r="H14" s="1078">
        <v>37.895574731207603</v>
      </c>
      <c r="I14" s="3579">
        <v>29.829726362419823</v>
      </c>
      <c r="J14" s="1079">
        <v>21.284407021132807</v>
      </c>
      <c r="K14" s="3575"/>
      <c r="L14" s="3576"/>
      <c r="M14" s="1081"/>
      <c r="N14" s="1217">
        <f>('2.6'!R14/'2.6'!Q14)*100</f>
        <v>43.567616618513156</v>
      </c>
      <c r="O14" s="3580">
        <f>('2.6'!S14/'2.6'!Q14)*100</f>
        <v>35.184441880359465</v>
      </c>
      <c r="P14" s="1604">
        <f>('2.6'!T14/'2.6'!R14)*100</f>
        <v>19.241756581633688</v>
      </c>
      <c r="Q14" s="3578"/>
      <c r="R14" s="3578"/>
      <c r="S14" s="1077"/>
    </row>
    <row r="15" spans="1:30">
      <c r="A15" s="1642" t="s">
        <v>777</v>
      </c>
      <c r="B15" s="1078">
        <v>38.196981803578922</v>
      </c>
      <c r="C15" s="3579">
        <v>31.237120797947739</v>
      </c>
      <c r="D15" s="1079">
        <v>18.220971074157148</v>
      </c>
      <c r="E15" s="3575"/>
      <c r="F15" s="3576"/>
      <c r="G15" s="1080"/>
      <c r="H15" s="1078">
        <v>35.619284834556922</v>
      </c>
      <c r="I15" s="3579">
        <v>29.659114104919372</v>
      </c>
      <c r="J15" s="1079">
        <v>16.73298820378097</v>
      </c>
      <c r="K15" s="3575"/>
      <c r="L15" s="3576"/>
      <c r="M15" s="1081"/>
      <c r="N15" s="1217">
        <f>('2.6'!R15/'2.6'!Q15)*100</f>
        <v>44.506110756772408</v>
      </c>
      <c r="O15" s="3580">
        <f>('2.6'!S15/'2.6'!Q15)*100</f>
        <v>35.857222456907827</v>
      </c>
      <c r="P15" s="1604">
        <f>('2.6'!T15/'2.6'!R15)*100</f>
        <v>19.43303549288116</v>
      </c>
      <c r="Q15" s="3578"/>
      <c r="R15" s="3578"/>
      <c r="S15" s="1077"/>
    </row>
    <row r="16" spans="1:30">
      <c r="A16" s="1642" t="s">
        <v>778</v>
      </c>
      <c r="B16" s="1078">
        <v>39.428977783590263</v>
      </c>
      <c r="C16" s="3579">
        <v>33.087083748835227</v>
      </c>
      <c r="D16" s="1079">
        <v>16.084348089273647</v>
      </c>
      <c r="E16" s="3575"/>
      <c r="F16" s="3576"/>
      <c r="G16" s="1080"/>
      <c r="H16" s="1078">
        <v>37.660259611138116</v>
      </c>
      <c r="I16" s="3579">
        <v>30.724350139925484</v>
      </c>
      <c r="J16" s="1079">
        <v>18.41705166886668</v>
      </c>
      <c r="K16" s="3575"/>
      <c r="L16" s="3576"/>
      <c r="M16" s="1081"/>
      <c r="N16" s="1217">
        <f>('2.6'!R16/'2.6'!Q16)*100</f>
        <v>44.748483987428799</v>
      </c>
      <c r="O16" s="3580">
        <f>('2.6'!S16/'2.6'!Q16)*100</f>
        <v>36.548652095658937</v>
      </c>
      <c r="P16" s="1604">
        <f>('2.6'!T16/'2.6'!R16)*100</f>
        <v>18.324267463616067</v>
      </c>
      <c r="Q16" s="3578"/>
      <c r="R16" s="3578"/>
      <c r="S16" s="1077"/>
    </row>
    <row r="17" spans="1:19">
      <c r="A17" s="1642" t="s">
        <v>779</v>
      </c>
      <c r="B17" s="1078">
        <v>39.250579737445513</v>
      </c>
      <c r="C17" s="3579">
        <v>34.085070380450667</v>
      </c>
      <c r="D17" s="1079">
        <v>13.160339010399106</v>
      </c>
      <c r="E17" s="3575"/>
      <c r="F17" s="3576"/>
      <c r="G17" s="1080"/>
      <c r="H17" s="1078">
        <v>37.834133741552819</v>
      </c>
      <c r="I17" s="3579">
        <v>31.700681193680722</v>
      </c>
      <c r="J17" s="1079">
        <v>16.211425877410228</v>
      </c>
      <c r="K17" s="3575"/>
      <c r="L17" s="3576"/>
      <c r="M17" s="1081"/>
      <c r="N17" s="1217">
        <f>('2.6'!R17/'2.6'!Q17)*100</f>
        <v>45.004684651581798</v>
      </c>
      <c r="O17" s="3580">
        <f>('2.6'!S17/'2.6'!Q17)*100</f>
        <v>37.841934208886848</v>
      </c>
      <c r="P17" s="1604">
        <f>('2.6'!T17/'2.6'!R17)*100</f>
        <v>15.915566341921247</v>
      </c>
      <c r="Q17" s="3578"/>
      <c r="R17" s="3578"/>
      <c r="S17" s="1077"/>
    </row>
    <row r="18" spans="1:19">
      <c r="A18" s="1642" t="s">
        <v>780</v>
      </c>
      <c r="B18" s="1078">
        <v>40.337510049737133</v>
      </c>
      <c r="C18" s="3579">
        <v>34.769109806771148</v>
      </c>
      <c r="D18" s="1079">
        <v>13.804521489055761</v>
      </c>
      <c r="E18" s="3575"/>
      <c r="F18" s="3576"/>
      <c r="G18" s="1080"/>
      <c r="H18" s="1078">
        <v>38.116227996833999</v>
      </c>
      <c r="I18" s="3579">
        <v>32.19825423898866</v>
      </c>
      <c r="J18" s="1079">
        <v>15.526126452850717</v>
      </c>
      <c r="K18" s="3575"/>
      <c r="L18" s="3576"/>
      <c r="M18" s="1081"/>
      <c r="N18" s="1217">
        <f>('2.6'!R18/'2.6'!Q18)*100</f>
        <v>45.194044171552697</v>
      </c>
      <c r="O18" s="3580">
        <f>('2.6'!S18/'2.6'!Q18)*100</f>
        <v>38.162219759873416</v>
      </c>
      <c r="P18" s="1604">
        <f>('2.6'!T18/'2.6'!R18)*100</f>
        <v>15.559183827380183</v>
      </c>
      <c r="Q18" s="3578"/>
      <c r="R18" s="3578"/>
      <c r="S18" s="1077"/>
    </row>
    <row r="19" spans="1:19">
      <c r="A19" s="1642" t="s">
        <v>781</v>
      </c>
      <c r="B19" s="1078">
        <v>38.256390553147554</v>
      </c>
      <c r="C19" s="3579">
        <v>33.081033054378231</v>
      </c>
      <c r="D19" s="1079">
        <v>13.528086220208019</v>
      </c>
      <c r="E19" s="3575"/>
      <c r="F19" s="3576"/>
      <c r="G19" s="1080"/>
      <c r="H19" s="1078">
        <v>36.869768174526932</v>
      </c>
      <c r="I19" s="3579">
        <v>31.881604607667175</v>
      </c>
      <c r="J19" s="1079">
        <v>13.529142747108594</v>
      </c>
      <c r="K19" s="3575"/>
      <c r="L19" s="3576"/>
      <c r="M19" s="1081"/>
      <c r="N19" s="1217">
        <f>('2.6'!R19/'2.6'!Q19)*100</f>
        <v>44.855005285087188</v>
      </c>
      <c r="O19" s="3580">
        <f>('2.6'!S19/'2.6'!Q19)*100</f>
        <v>38.233163891571181</v>
      </c>
      <c r="P19" s="1604">
        <f>('2.6'!T19/'2.6'!R19)*100</f>
        <v>14.762770289356208</v>
      </c>
      <c r="Q19" s="3578"/>
      <c r="R19" s="3578"/>
      <c r="S19" s="1077"/>
    </row>
    <row r="20" spans="1:19">
      <c r="A20" s="1642" t="s">
        <v>782</v>
      </c>
      <c r="B20" s="1078">
        <v>40.307087390059152</v>
      </c>
      <c r="C20" s="3579">
        <v>34.282789946630807</v>
      </c>
      <c r="D20" s="1079">
        <v>14.946000402187584</v>
      </c>
      <c r="E20" s="3575"/>
      <c r="F20" s="3576"/>
      <c r="G20" s="1080"/>
      <c r="H20" s="1078">
        <v>37.380866009299865</v>
      </c>
      <c r="I20" s="3579">
        <v>31.084435357099672</v>
      </c>
      <c r="J20" s="1079">
        <v>16.843993530363178</v>
      </c>
      <c r="K20" s="3575"/>
      <c r="L20" s="3576"/>
      <c r="M20" s="1081"/>
      <c r="N20" s="1217">
        <f>('2.6'!R20/'2.6'!Q20)*100</f>
        <v>45.626110494547042</v>
      </c>
      <c r="O20" s="3580">
        <f>('2.6'!S20/'2.6'!Q20)*100</f>
        <v>37.971636161973237</v>
      </c>
      <c r="P20" s="1604">
        <f>('2.6'!T20/'2.6'!R20)*100</f>
        <v>16.776521710060347</v>
      </c>
      <c r="Q20" s="3578"/>
      <c r="R20" s="3578"/>
      <c r="S20" s="1077"/>
    </row>
    <row r="21" spans="1:19">
      <c r="A21" s="1642" t="s">
        <v>783</v>
      </c>
      <c r="B21" s="1078">
        <v>39.476692413113632</v>
      </c>
      <c r="C21" s="3579">
        <v>32.861297595664993</v>
      </c>
      <c r="D21" s="1079">
        <v>16.757723135008881</v>
      </c>
      <c r="E21" s="3575"/>
      <c r="F21" s="3576"/>
      <c r="G21" s="1080"/>
      <c r="H21" s="1078">
        <v>36.090292781047459</v>
      </c>
      <c r="I21" s="3579">
        <v>31.248709570992219</v>
      </c>
      <c r="J21" s="1079">
        <v>13.415195159064369</v>
      </c>
      <c r="K21" s="3575"/>
      <c r="L21" s="3576"/>
      <c r="M21" s="1081"/>
      <c r="N21" s="1217">
        <f>('2.6'!R21/'2.6'!Q21)*100</f>
        <v>45.467798331152594</v>
      </c>
      <c r="O21" s="3580">
        <f>('2.6'!S21/'2.6'!Q21)*100</f>
        <v>38.123877058762865</v>
      </c>
      <c r="P21" s="1604">
        <f>('2.6'!T21/'2.6'!R21)*100</f>
        <v>16.151917493128291</v>
      </c>
      <c r="Q21" s="3578"/>
      <c r="R21" s="3578"/>
      <c r="S21" s="1077"/>
    </row>
    <row r="22" spans="1:19">
      <c r="A22" s="1642" t="s">
        <v>784</v>
      </c>
      <c r="B22" s="1078">
        <v>39.060886947067971</v>
      </c>
      <c r="C22" s="3579">
        <v>31.815846240367701</v>
      </c>
      <c r="D22" s="1079">
        <v>18.548070136036962</v>
      </c>
      <c r="E22" s="3575"/>
      <c r="F22" s="3576"/>
      <c r="G22" s="1080"/>
      <c r="H22" s="1078">
        <v>38.075244916440269</v>
      </c>
      <c r="I22" s="3579">
        <v>31.944365285931102</v>
      </c>
      <c r="J22" s="1079">
        <v>16.102009702009703</v>
      </c>
      <c r="K22" s="3575"/>
      <c r="L22" s="3576"/>
      <c r="M22" s="1081"/>
      <c r="N22" s="1217">
        <f>('2.6'!R22/'2.6'!Q22)*100</f>
        <v>45.140286702195596</v>
      </c>
      <c r="O22" s="3580">
        <f>('2.6'!S22/'2.6'!Q22)*100</f>
        <v>37.191022610518381</v>
      </c>
      <c r="P22" s="1604">
        <f>('2.6'!T22/'2.6'!R22)*100</f>
        <v>17.610132040412072</v>
      </c>
      <c r="Q22" s="3575"/>
      <c r="R22" s="3575"/>
      <c r="S22" s="1082"/>
    </row>
    <row r="23" spans="1:19">
      <c r="A23" s="1642" t="s">
        <v>785</v>
      </c>
      <c r="B23" s="1078">
        <v>41.697737164985313</v>
      </c>
      <c r="C23" s="3579">
        <v>34.256304178816656</v>
      </c>
      <c r="D23" s="1079">
        <v>17.846131450071667</v>
      </c>
      <c r="E23" s="3575"/>
      <c r="F23" s="3576"/>
      <c r="G23" s="1080"/>
      <c r="H23" s="1078">
        <v>39.115207566558666</v>
      </c>
      <c r="I23" s="3579">
        <v>32.989818280956726</v>
      </c>
      <c r="J23" s="1079">
        <v>15.659866498673027</v>
      </c>
      <c r="K23" s="3575"/>
      <c r="L23" s="3576"/>
      <c r="M23" s="1081"/>
      <c r="N23" s="1217">
        <f>('2.6'!R23/'2.6'!Q23)*100</f>
        <v>45.463442084196224</v>
      </c>
      <c r="O23" s="3580">
        <f>('2.6'!S23/'2.6'!Q23)*100</f>
        <v>37.738086978390925</v>
      </c>
      <c r="P23" s="1604">
        <f>('2.6'!T23/'2.6'!R23)*100</f>
        <v>16.992455369961419</v>
      </c>
      <c r="Q23" s="3575"/>
      <c r="R23" s="3575"/>
      <c r="S23" s="1082"/>
    </row>
    <row r="24" spans="1:19">
      <c r="A24" s="1642" t="s">
        <v>786</v>
      </c>
      <c r="B24" s="1078">
        <v>42.845572958687747</v>
      </c>
      <c r="C24" s="3579">
        <v>34.181726376644207</v>
      </c>
      <c r="D24" s="1079">
        <v>20.221101000090098</v>
      </c>
      <c r="E24" s="3575"/>
      <c r="F24" s="3576"/>
      <c r="G24" s="1080"/>
      <c r="H24" s="1078">
        <v>37.526558828976754</v>
      </c>
      <c r="I24" s="3579">
        <v>31.35346497772284</v>
      </c>
      <c r="J24" s="1079">
        <v>16.449933177691886</v>
      </c>
      <c r="K24" s="3575"/>
      <c r="L24" s="3576"/>
      <c r="M24" s="1081"/>
      <c r="N24" s="1217">
        <f>('2.6'!R24/'2.6'!Q24)*100</f>
        <v>45.477595828153611</v>
      </c>
      <c r="O24" s="3580">
        <f>('2.6'!S24/'2.6'!Q24)*100</f>
        <v>37.049854270887188</v>
      </c>
      <c r="P24" s="1604">
        <f>('2.6'!T24/'2.6'!R24)*100</f>
        <v>18.53163388212597</v>
      </c>
      <c r="Q24" s="3575"/>
      <c r="R24" s="3575"/>
      <c r="S24" s="1082"/>
    </row>
    <row r="25" spans="1:19">
      <c r="A25" s="1642" t="s">
        <v>787</v>
      </c>
      <c r="B25" s="1078">
        <v>43.782421578329611</v>
      </c>
      <c r="C25" s="3579">
        <v>33.784109303199777</v>
      </c>
      <c r="D25" s="1079">
        <v>22.836361979755289</v>
      </c>
      <c r="E25" s="3575"/>
      <c r="F25" s="3576"/>
      <c r="G25" s="1080"/>
      <c r="H25" s="1078">
        <v>38.95636880088518</v>
      </c>
      <c r="I25" s="3579">
        <v>31.036240978977098</v>
      </c>
      <c r="J25" s="1079">
        <v>20.33076507307354</v>
      </c>
      <c r="K25" s="3575"/>
      <c r="L25" s="3576"/>
      <c r="M25" s="1081"/>
      <c r="N25" s="1217">
        <f>('2.6'!R25/'2.6'!Q25)*100</f>
        <v>44.824242548292958</v>
      </c>
      <c r="O25" s="3580">
        <f>('2.6'!S25/'2.6'!Q25)*100</f>
        <v>35.625988372343798</v>
      </c>
      <c r="P25" s="1604">
        <f>('2.6'!T25/'2.6'!R25)*100</f>
        <v>20.520713018271529</v>
      </c>
      <c r="Q25" s="3575"/>
      <c r="R25" s="3575"/>
      <c r="S25" s="1082"/>
    </row>
    <row r="26" spans="1:19">
      <c r="A26" s="1642" t="s">
        <v>788</v>
      </c>
      <c r="B26" s="1078">
        <v>41.319572400980668</v>
      </c>
      <c r="C26" s="3579">
        <v>31.282264081986931</v>
      </c>
      <c r="D26" s="1079">
        <v>24.291897848283437</v>
      </c>
      <c r="E26" s="3575"/>
      <c r="F26" s="3576"/>
      <c r="G26" s="1080"/>
      <c r="H26" s="1078">
        <v>37.355529940236231</v>
      </c>
      <c r="I26" s="3579">
        <v>28.608808348501196</v>
      </c>
      <c r="J26" s="1079">
        <v>23.414797235452419</v>
      </c>
      <c r="K26" s="3575"/>
      <c r="L26" s="3576"/>
      <c r="M26" s="1081"/>
      <c r="N26" s="1217">
        <f>('2.6'!R26/'2.6'!Q26)*100</f>
        <v>44.438800646722363</v>
      </c>
      <c r="O26" s="3580">
        <f>('2.6'!S26/'2.6'!Q26)*100</f>
        <v>33.960446711935219</v>
      </c>
      <c r="P26" s="1604">
        <f>('2.6'!T26/'2.6'!R26)*100</f>
        <v>23.579290580066512</v>
      </c>
      <c r="Q26" s="3575"/>
      <c r="R26" s="3575"/>
      <c r="S26" s="1082"/>
    </row>
    <row r="27" spans="1:19">
      <c r="A27" s="1642" t="s">
        <v>789</v>
      </c>
      <c r="B27" s="1078">
        <v>43.077350483639229</v>
      </c>
      <c r="C27" s="3579">
        <v>34.90355223894155</v>
      </c>
      <c r="D27" s="1079">
        <v>18.974700516463027</v>
      </c>
      <c r="E27" s="3575"/>
      <c r="F27" s="3576"/>
      <c r="G27" s="1080"/>
      <c r="H27" s="1078">
        <v>39.096806184410539</v>
      </c>
      <c r="I27" s="3579">
        <v>31.216925840723786</v>
      </c>
      <c r="J27" s="1079">
        <v>20.154792968303305</v>
      </c>
      <c r="K27" s="3575"/>
      <c r="L27" s="3576"/>
      <c r="M27" s="1081"/>
      <c r="N27" s="1217">
        <f>('2.6'!R27/'2.6'!Q27)*100</f>
        <v>46.000391519354359</v>
      </c>
      <c r="O27" s="3580">
        <f>('2.6'!S27/'2.6'!Q27)*100</f>
        <v>36.399153948381162</v>
      </c>
      <c r="P27" s="1604">
        <f>('2.6'!T27/'2.6'!R27)*100</f>
        <v>20.872077940757389</v>
      </c>
      <c r="Q27" s="3575"/>
      <c r="R27" s="3575"/>
      <c r="S27" s="1082"/>
    </row>
    <row r="28" spans="1:19">
      <c r="A28" s="1051" t="s">
        <v>431</v>
      </c>
      <c r="B28" s="1083">
        <v>44.1</v>
      </c>
      <c r="C28" s="3579">
        <v>34.200000000000003</v>
      </c>
      <c r="D28" s="1079">
        <v>22.4</v>
      </c>
      <c r="E28" s="3581">
        <v>10.1</v>
      </c>
      <c r="F28" s="3581">
        <v>6.1</v>
      </c>
      <c r="G28" s="1088">
        <f t="shared" ref="G28:G91" si="0">E28+F28</f>
        <v>16.2</v>
      </c>
      <c r="H28" s="1102">
        <f>AVERAGE(H26:H27)</f>
        <v>38.226168062323381</v>
      </c>
      <c r="I28" s="3582">
        <f t="shared" ref="I28:J28" si="1">AVERAGE(I26:I27)</f>
        <v>29.912867094612491</v>
      </c>
      <c r="J28" s="3582">
        <f t="shared" si="1"/>
        <v>21.784795101877862</v>
      </c>
      <c r="K28" s="3583" t="e">
        <v>#N/A</v>
      </c>
      <c r="L28" s="3583" t="e">
        <v>#N/A</v>
      </c>
      <c r="M28" s="1084" t="e">
        <v>#N/A</v>
      </c>
      <c r="N28" s="1217">
        <f>('2.6'!R28/'2.6'!Q28)*100</f>
        <v>45.617387184797018</v>
      </c>
      <c r="O28" s="3580">
        <f>('2.6'!S28/'2.6'!Q28)*100</f>
        <v>36.308031506254196</v>
      </c>
      <c r="P28" s="1604">
        <f>('2.6'!T28/'2.6'!R28)*100</f>
        <v>20.407472354412629</v>
      </c>
      <c r="Q28" s="3574">
        <v>12</v>
      </c>
      <c r="R28" s="3574">
        <v>5.7</v>
      </c>
      <c r="S28" s="1089">
        <f t="shared" ref="S28:S91" si="2">Q28+R28</f>
        <v>17.7</v>
      </c>
    </row>
    <row r="29" spans="1:19">
      <c r="A29" s="1054" t="s">
        <v>432</v>
      </c>
      <c r="B29" s="1083">
        <v>44.6</v>
      </c>
      <c r="C29" s="3579">
        <v>34.4</v>
      </c>
      <c r="D29" s="1079">
        <v>22.9</v>
      </c>
      <c r="E29" s="3579">
        <v>8.5</v>
      </c>
      <c r="F29" s="3579">
        <v>7</v>
      </c>
      <c r="G29" s="2361">
        <f t="shared" si="0"/>
        <v>15.5</v>
      </c>
      <c r="H29" s="1102">
        <f>AVERAGE(H30:H31)</f>
        <v>43.85923510594818</v>
      </c>
      <c r="I29" s="3582">
        <f t="shared" ref="I29:J29" si="3">AVERAGE(I30:I31)</f>
        <v>36.421438300163828</v>
      </c>
      <c r="J29" s="3582">
        <f t="shared" si="3"/>
        <v>16.925653039322675</v>
      </c>
      <c r="K29" s="3583" t="e">
        <v>#N/A</v>
      </c>
      <c r="L29" s="3583" t="e">
        <v>#N/A</v>
      </c>
      <c r="M29" s="1084" t="e">
        <v>#N/A</v>
      </c>
      <c r="N29" s="1217">
        <f>('2.6'!R29/'2.6'!Q29)*100</f>
        <v>45.611570305962474</v>
      </c>
      <c r="O29" s="3580">
        <f>('2.6'!S29/'2.6'!Q29)*100</f>
        <v>37.502849438750665</v>
      </c>
      <c r="P29" s="1604">
        <f>('2.6'!T29/'2.6'!R29)*100</f>
        <v>17.777771764529255</v>
      </c>
      <c r="Q29" s="3579">
        <v>11.8</v>
      </c>
      <c r="R29" s="3579">
        <v>6</v>
      </c>
      <c r="S29" s="2362">
        <f t="shared" si="2"/>
        <v>17.8</v>
      </c>
    </row>
    <row r="30" spans="1:19">
      <c r="A30" s="1054" t="s">
        <v>433</v>
      </c>
      <c r="B30" s="1079">
        <v>44.4</v>
      </c>
      <c r="C30" s="3579">
        <v>35.799999999999997</v>
      </c>
      <c r="D30" s="3579">
        <v>19.399999999999999</v>
      </c>
      <c r="E30" s="3579">
        <v>10</v>
      </c>
      <c r="F30" s="3579">
        <v>4.7</v>
      </c>
      <c r="G30" s="2361">
        <f t="shared" si="0"/>
        <v>14.7</v>
      </c>
      <c r="H30" s="1102">
        <v>44.514668948196395</v>
      </c>
      <c r="I30" s="3582">
        <v>36.006700224402323</v>
      </c>
      <c r="J30" s="3582">
        <v>19.112730533153375</v>
      </c>
      <c r="K30" s="3584">
        <v>11.537746152415382</v>
      </c>
      <c r="L30" s="3584">
        <v>4.8627174177425276</v>
      </c>
      <c r="M30" s="1087">
        <f t="shared" ref="M30:M93" si="4">K30+L30</f>
        <v>16.40046357015791</v>
      </c>
      <c r="N30" s="1102">
        <v>46.441383517311799</v>
      </c>
      <c r="O30" s="3582">
        <v>38.800664102304424</v>
      </c>
      <c r="P30" s="3582">
        <v>16.452394042393621</v>
      </c>
      <c r="Q30" s="1102">
        <v>11.914588483558006</v>
      </c>
      <c r="R30" s="3582">
        <v>5.0053412088653912</v>
      </c>
      <c r="S30" s="2362">
        <f t="shared" si="2"/>
        <v>16.919929692423398</v>
      </c>
    </row>
    <row r="31" spans="1:19">
      <c r="A31" s="1054" t="s">
        <v>434</v>
      </c>
      <c r="B31" s="1079">
        <v>44.3</v>
      </c>
      <c r="C31" s="3579">
        <v>36.9</v>
      </c>
      <c r="D31" s="3579">
        <v>16.600000000000001</v>
      </c>
      <c r="E31" s="3579">
        <v>8.5</v>
      </c>
      <c r="F31" s="3579">
        <v>3.5</v>
      </c>
      <c r="G31" s="2361">
        <f t="shared" si="0"/>
        <v>12</v>
      </c>
      <c r="H31" s="1102">
        <v>43.203801263699965</v>
      </c>
      <c r="I31" s="3582">
        <v>36.836176375925326</v>
      </c>
      <c r="J31" s="3582">
        <v>14.738575545491972</v>
      </c>
      <c r="K31" s="3582">
        <v>8.7901154698190513</v>
      </c>
      <c r="L31" s="3582">
        <v>5.116253994393146</v>
      </c>
      <c r="M31" s="2361">
        <f t="shared" si="4"/>
        <v>13.906369464212197</v>
      </c>
      <c r="N31" s="1102">
        <v>46.271329092473991</v>
      </c>
      <c r="O31" s="3582">
        <v>39.586432932179228</v>
      </c>
      <c r="P31" s="3582">
        <v>14.447166942049336</v>
      </c>
      <c r="Q31" s="1102">
        <v>11.308988753484577</v>
      </c>
      <c r="R31" s="3582">
        <v>4.8612372106837203</v>
      </c>
      <c r="S31" s="2362">
        <f t="shared" si="2"/>
        <v>16.170225964168296</v>
      </c>
    </row>
    <row r="32" spans="1:19">
      <c r="A32" s="1054" t="s">
        <v>38</v>
      </c>
      <c r="B32" s="1079">
        <v>44.3</v>
      </c>
      <c r="C32" s="3579">
        <v>36.700000000000003</v>
      </c>
      <c r="D32" s="3579">
        <v>17.2</v>
      </c>
      <c r="E32" s="3579">
        <v>7.7</v>
      </c>
      <c r="F32" s="3579">
        <v>3</v>
      </c>
      <c r="G32" s="2361">
        <f t="shared" si="0"/>
        <v>10.7</v>
      </c>
      <c r="H32" s="1102">
        <v>40.381906236337485</v>
      </c>
      <c r="I32" s="3582">
        <v>34.278629767227706</v>
      </c>
      <c r="J32" s="3582">
        <v>15.113888961531421</v>
      </c>
      <c r="K32" s="3582">
        <v>8.8061926305604228</v>
      </c>
      <c r="L32" s="3582">
        <v>5.3955385862601002</v>
      </c>
      <c r="M32" s="2361">
        <f t="shared" si="4"/>
        <v>14.201731216820523</v>
      </c>
      <c r="N32" s="1102">
        <v>46.093157067204693</v>
      </c>
      <c r="O32" s="3582">
        <v>39.51246989932298</v>
      </c>
      <c r="P32" s="3582">
        <v>14.276928695265866</v>
      </c>
      <c r="Q32" s="1102">
        <v>10.317594926462698</v>
      </c>
      <c r="R32" s="3582">
        <v>5.1223958872572366</v>
      </c>
      <c r="S32" s="2362">
        <f t="shared" si="2"/>
        <v>15.439990813719934</v>
      </c>
    </row>
    <row r="33" spans="1:19">
      <c r="A33" s="1054" t="s">
        <v>435</v>
      </c>
      <c r="B33" s="1079">
        <v>44.7</v>
      </c>
      <c r="C33" s="3579">
        <v>37.700000000000003</v>
      </c>
      <c r="D33" s="3579">
        <v>15.7</v>
      </c>
      <c r="E33" s="3579">
        <v>9.4</v>
      </c>
      <c r="F33" s="3579">
        <v>3.7</v>
      </c>
      <c r="G33" s="2361">
        <f t="shared" si="0"/>
        <v>13.100000000000001</v>
      </c>
      <c r="H33" s="1102">
        <v>42.362322504529558</v>
      </c>
      <c r="I33" s="3582">
        <v>35.147473981376145</v>
      </c>
      <c r="J33" s="3582">
        <v>17.031286522078606</v>
      </c>
      <c r="K33" s="3582">
        <v>10.496973796107959</v>
      </c>
      <c r="L33" s="3582">
        <v>4.8648030356530088</v>
      </c>
      <c r="M33" s="2361">
        <f t="shared" si="4"/>
        <v>15.361776831760967</v>
      </c>
      <c r="N33" s="1102">
        <v>46.654742237376595</v>
      </c>
      <c r="O33" s="3582">
        <v>39.818199777070539</v>
      </c>
      <c r="P33" s="3582">
        <v>14.653478151314452</v>
      </c>
      <c r="Q33" s="1102">
        <v>10.617313363711562</v>
      </c>
      <c r="R33" s="3582">
        <v>4.4881921614076257</v>
      </c>
      <c r="S33" s="2362">
        <f t="shared" si="2"/>
        <v>15.105505525119188</v>
      </c>
    </row>
    <row r="34" spans="1:19">
      <c r="A34" s="1054" t="s">
        <v>436</v>
      </c>
      <c r="B34" s="1079">
        <v>46</v>
      </c>
      <c r="C34" s="3579">
        <v>38.5</v>
      </c>
      <c r="D34" s="3579">
        <v>16.2</v>
      </c>
      <c r="E34" s="3579">
        <v>7.3</v>
      </c>
      <c r="F34" s="3579">
        <v>2.4</v>
      </c>
      <c r="G34" s="2361">
        <f t="shared" si="0"/>
        <v>9.6999999999999993</v>
      </c>
      <c r="H34" s="1102">
        <v>41.599416605721302</v>
      </c>
      <c r="I34" s="3582">
        <v>36.580040181911414</v>
      </c>
      <c r="J34" s="3582">
        <v>12.065977923160474</v>
      </c>
      <c r="K34" s="3582">
        <v>9.2490338225264583</v>
      </c>
      <c r="L34" s="3582">
        <v>4.1743918765313595</v>
      </c>
      <c r="M34" s="2361">
        <f t="shared" si="4"/>
        <v>13.423425699057818</v>
      </c>
      <c r="N34" s="1102">
        <v>46.595108817815102</v>
      </c>
      <c r="O34" s="3582">
        <v>40.476546961031303</v>
      </c>
      <c r="P34" s="3582">
        <v>13.131339344451609</v>
      </c>
      <c r="Q34" s="1102">
        <v>10.453352972066893</v>
      </c>
      <c r="R34" s="3582">
        <v>4.5780820389187253</v>
      </c>
      <c r="S34" s="2362">
        <f t="shared" si="2"/>
        <v>15.031435010985618</v>
      </c>
    </row>
    <row r="35" spans="1:19">
      <c r="A35" s="1054" t="s">
        <v>437</v>
      </c>
      <c r="B35" s="1079">
        <v>44.3</v>
      </c>
      <c r="C35" s="3579">
        <v>38</v>
      </c>
      <c r="D35" s="3579">
        <v>14.4</v>
      </c>
      <c r="E35" s="3579">
        <v>6.4</v>
      </c>
      <c r="F35" s="3579">
        <v>2.8</v>
      </c>
      <c r="G35" s="2361">
        <f t="shared" si="0"/>
        <v>9.1999999999999993</v>
      </c>
      <c r="H35" s="1102">
        <v>40.319015986445912</v>
      </c>
      <c r="I35" s="3582">
        <v>36.568156274638078</v>
      </c>
      <c r="J35" s="3582">
        <v>9.3029544993577176</v>
      </c>
      <c r="K35" s="3582">
        <v>6.013012070749884</v>
      </c>
      <c r="L35" s="3582">
        <v>3.0735946495530029</v>
      </c>
      <c r="M35" s="2361">
        <f t="shared" si="4"/>
        <v>9.0866067203028873</v>
      </c>
      <c r="N35" s="1102">
        <v>46.41316413151204</v>
      </c>
      <c r="O35" s="3582">
        <v>40.833429568664627</v>
      </c>
      <c r="P35" s="3582">
        <v>12.021879282001109</v>
      </c>
      <c r="Q35" s="1102">
        <v>9.6459759042319071</v>
      </c>
      <c r="R35" s="3582">
        <v>4.4731537707883771</v>
      </c>
      <c r="S35" s="2362">
        <f t="shared" si="2"/>
        <v>14.119129675020284</v>
      </c>
    </row>
    <row r="36" spans="1:19">
      <c r="A36" s="1054" t="s">
        <v>438</v>
      </c>
      <c r="B36" s="1079">
        <v>43.4</v>
      </c>
      <c r="C36" s="3579">
        <v>37.299999999999997</v>
      </c>
      <c r="D36" s="3579">
        <v>14</v>
      </c>
      <c r="E36" s="3579">
        <v>8.6999999999999993</v>
      </c>
      <c r="F36" s="3579">
        <v>2</v>
      </c>
      <c r="G36" s="2361">
        <f t="shared" si="0"/>
        <v>10.7</v>
      </c>
      <c r="H36" s="1102">
        <v>43.675215463141157</v>
      </c>
      <c r="I36" s="3582">
        <v>39.066605304995399</v>
      </c>
      <c r="J36" s="3582">
        <v>10.552003256938956</v>
      </c>
      <c r="K36" s="3582">
        <v>9.855114112603875</v>
      </c>
      <c r="L36" s="3582">
        <v>3.7325478362909212</v>
      </c>
      <c r="M36" s="2361">
        <f t="shared" si="4"/>
        <v>13.587661948894796</v>
      </c>
      <c r="N36" s="1102">
        <v>45.990909126086862</v>
      </c>
      <c r="O36" s="3582">
        <v>40.049590493621899</v>
      </c>
      <c r="P36" s="3582">
        <v>12.91846311664872</v>
      </c>
      <c r="Q36" s="1102">
        <v>8.8231694907379232</v>
      </c>
      <c r="R36" s="3582">
        <v>3.6407180433832913</v>
      </c>
      <c r="S36" s="2362">
        <f t="shared" si="2"/>
        <v>12.463887534121215</v>
      </c>
    </row>
    <row r="37" spans="1:19">
      <c r="A37" s="1054" t="s">
        <v>439</v>
      </c>
      <c r="B37" s="1079">
        <v>46</v>
      </c>
      <c r="C37" s="3579">
        <v>40.200000000000003</v>
      </c>
      <c r="D37" s="3579">
        <v>12.4</v>
      </c>
      <c r="E37" s="3579">
        <v>7</v>
      </c>
      <c r="F37" s="3579">
        <v>1.8</v>
      </c>
      <c r="G37" s="2361">
        <f t="shared" si="0"/>
        <v>8.8000000000000007</v>
      </c>
      <c r="H37" s="1102">
        <v>42.4998905093505</v>
      </c>
      <c r="I37" s="3582">
        <v>37.851438915688028</v>
      </c>
      <c r="J37" s="3582">
        <v>10.937561339457465</v>
      </c>
      <c r="K37" s="3582">
        <v>8.2872060613198286</v>
      </c>
      <c r="L37" s="3582">
        <v>5.4979782514819613</v>
      </c>
      <c r="M37" s="2361">
        <f t="shared" si="4"/>
        <v>13.785184312801789</v>
      </c>
      <c r="N37" s="1102">
        <v>45.953101494562567</v>
      </c>
      <c r="O37" s="3582">
        <v>40.455035895178817</v>
      </c>
      <c r="P37" s="3582">
        <v>11.964514734733001</v>
      </c>
      <c r="Q37" s="1102">
        <v>8.9075876633750291</v>
      </c>
      <c r="R37" s="3582">
        <v>3.8448093995323824</v>
      </c>
      <c r="S37" s="2362">
        <f t="shared" si="2"/>
        <v>12.752397062907411</v>
      </c>
    </row>
    <row r="38" spans="1:19">
      <c r="A38" s="1054" t="s">
        <v>440</v>
      </c>
      <c r="B38" s="1079">
        <v>46.3</v>
      </c>
      <c r="C38" s="3579">
        <v>40.6</v>
      </c>
      <c r="D38" s="3579">
        <v>12.4</v>
      </c>
      <c r="E38" s="3579">
        <v>6.8</v>
      </c>
      <c r="F38" s="3579">
        <v>1.6</v>
      </c>
      <c r="G38" s="2361">
        <f t="shared" si="0"/>
        <v>8.4</v>
      </c>
      <c r="H38" s="1102">
        <v>43.511720220160896</v>
      </c>
      <c r="I38" s="3582">
        <v>38.29631062066327</v>
      </c>
      <c r="J38" s="3582">
        <v>11.986217904299497</v>
      </c>
      <c r="K38" s="3582">
        <v>7.611214917541588</v>
      </c>
      <c r="L38" s="3582">
        <v>3.2256985429400213</v>
      </c>
      <c r="M38" s="2361">
        <f t="shared" si="4"/>
        <v>10.836913460481609</v>
      </c>
      <c r="N38" s="1102">
        <v>46.674986944321006</v>
      </c>
      <c r="O38" s="3582">
        <v>41.483903556063289</v>
      </c>
      <c r="P38" s="3582">
        <v>11.121767199314279</v>
      </c>
      <c r="Q38" s="1102">
        <v>8.8665567173399999</v>
      </c>
      <c r="R38" s="3582">
        <v>4.1028210084463295</v>
      </c>
      <c r="S38" s="2362">
        <f t="shared" si="2"/>
        <v>12.96937772578633</v>
      </c>
    </row>
    <row r="39" spans="1:19">
      <c r="A39" s="1054" t="s">
        <v>441</v>
      </c>
      <c r="B39" s="1079">
        <v>45.6</v>
      </c>
      <c r="C39" s="3579">
        <v>40.299999999999997</v>
      </c>
      <c r="D39" s="3579">
        <v>11.7</v>
      </c>
      <c r="E39" s="3579">
        <v>6.7</v>
      </c>
      <c r="F39" s="3579">
        <v>1.6</v>
      </c>
      <c r="G39" s="2361">
        <f t="shared" si="0"/>
        <v>8.3000000000000007</v>
      </c>
      <c r="H39" s="1102">
        <v>42.663787972117312</v>
      </c>
      <c r="I39" s="3582">
        <v>39.299158168503183</v>
      </c>
      <c r="J39" s="3582">
        <v>7.886383191790344</v>
      </c>
      <c r="K39" s="3582">
        <v>10.213456873544667</v>
      </c>
      <c r="L39" s="3582">
        <v>1.6178193467471038</v>
      </c>
      <c r="M39" s="2361">
        <f t="shared" si="4"/>
        <v>11.83127622029177</v>
      </c>
      <c r="N39" s="1102">
        <v>46.380549447084597</v>
      </c>
      <c r="O39" s="3582">
        <v>41.726031816992794</v>
      </c>
      <c r="P39" s="3582">
        <v>10.035494804566996</v>
      </c>
      <c r="Q39" s="1102">
        <v>8.3816402122972917</v>
      </c>
      <c r="R39" s="3582">
        <v>3.4411240220760484</v>
      </c>
      <c r="S39" s="2362">
        <f t="shared" si="2"/>
        <v>11.82276423437334</v>
      </c>
    </row>
    <row r="40" spans="1:19">
      <c r="A40" s="1054" t="s">
        <v>442</v>
      </c>
      <c r="B40" s="1079">
        <v>45</v>
      </c>
      <c r="C40" s="3579">
        <v>38.4</v>
      </c>
      <c r="D40" s="3579">
        <v>14.6</v>
      </c>
      <c r="E40" s="3579">
        <v>7.2</v>
      </c>
      <c r="F40" s="3579">
        <v>1</v>
      </c>
      <c r="G40" s="2361">
        <f t="shared" si="0"/>
        <v>8.1999999999999993</v>
      </c>
      <c r="H40" s="1102">
        <v>39.59514856686647</v>
      </c>
      <c r="I40" s="3582">
        <v>36.212630769039848</v>
      </c>
      <c r="J40" s="3582">
        <v>8.542758191990055</v>
      </c>
      <c r="K40" s="3582">
        <v>7.1496105768477358</v>
      </c>
      <c r="L40" s="3582">
        <v>3.0631487121089442</v>
      </c>
      <c r="M40" s="2361">
        <f t="shared" si="4"/>
        <v>10.212759288956679</v>
      </c>
      <c r="N40" s="1102">
        <v>46.409070102535985</v>
      </c>
      <c r="O40" s="3582">
        <v>41.160976359246</v>
      </c>
      <c r="P40" s="3582">
        <v>11.30833634825018</v>
      </c>
      <c r="Q40" s="1102">
        <v>7.7388582200389484</v>
      </c>
      <c r="R40" s="3582">
        <v>3.2363194995650728</v>
      </c>
      <c r="S40" s="2362">
        <f t="shared" si="2"/>
        <v>10.975177719604021</v>
      </c>
    </row>
    <row r="41" spans="1:19">
      <c r="A41" s="1054" t="s">
        <v>443</v>
      </c>
      <c r="B41" s="1083">
        <v>45.9</v>
      </c>
      <c r="C41" s="3579">
        <v>40.1</v>
      </c>
      <c r="D41" s="1079">
        <v>12.8</v>
      </c>
      <c r="E41" s="3579">
        <v>6.5</v>
      </c>
      <c r="F41" s="3579">
        <v>2.1</v>
      </c>
      <c r="G41" s="2361">
        <f t="shared" si="0"/>
        <v>8.6</v>
      </c>
      <c r="H41" s="1103">
        <v>38.965500167114371</v>
      </c>
      <c r="I41" s="3582">
        <v>36.765573614910728</v>
      </c>
      <c r="J41" s="1102">
        <v>5.645831678712308</v>
      </c>
      <c r="K41" s="3582">
        <v>6.7873878166944639</v>
      </c>
      <c r="L41" s="3582">
        <v>2.567442353003468</v>
      </c>
      <c r="M41" s="2361">
        <f t="shared" si="4"/>
        <v>9.3548301696979319</v>
      </c>
      <c r="N41" s="1102">
        <v>46.924111743914615</v>
      </c>
      <c r="O41" s="3582">
        <v>42.079239513716708</v>
      </c>
      <c r="P41" s="3582">
        <v>10.324909838759416</v>
      </c>
      <c r="Q41" s="1102">
        <v>8.1049290799137701</v>
      </c>
      <c r="R41" s="3582">
        <v>3.9464997459125213</v>
      </c>
      <c r="S41" s="2362">
        <f t="shared" si="2"/>
        <v>12.051428825826292</v>
      </c>
    </row>
    <row r="42" spans="1:19">
      <c r="A42" s="1054" t="s">
        <v>444</v>
      </c>
      <c r="B42" s="1083">
        <v>47.3</v>
      </c>
      <c r="C42" s="3579">
        <v>42</v>
      </c>
      <c r="D42" s="1079">
        <v>11.2</v>
      </c>
      <c r="E42" s="3579">
        <v>6.4</v>
      </c>
      <c r="F42" s="3579">
        <v>1.9</v>
      </c>
      <c r="G42" s="2361">
        <f t="shared" si="0"/>
        <v>8.3000000000000007</v>
      </c>
      <c r="H42" s="1078">
        <v>39.6</v>
      </c>
      <c r="I42" s="3579">
        <v>36.700000000000003</v>
      </c>
      <c r="J42" s="1079">
        <v>7.3</v>
      </c>
      <c r="K42" s="3579">
        <v>9.6999999999999993</v>
      </c>
      <c r="L42" s="3579">
        <v>1.1000000000000001</v>
      </c>
      <c r="M42" s="2361">
        <f t="shared" si="4"/>
        <v>10.799999999999999</v>
      </c>
      <c r="N42" s="1102">
        <v>46.672875100944758</v>
      </c>
      <c r="O42" s="3582">
        <v>41.961435913417702</v>
      </c>
      <c r="P42" s="3582">
        <v>10.094598152218149</v>
      </c>
      <c r="Q42" s="1102">
        <v>7.3424244357738253</v>
      </c>
      <c r="R42" s="3582">
        <v>3.5108230516442749</v>
      </c>
      <c r="S42" s="2362">
        <f t="shared" si="2"/>
        <v>10.8532474874181</v>
      </c>
    </row>
    <row r="43" spans="1:19">
      <c r="A43" s="1054" t="s">
        <v>445</v>
      </c>
      <c r="B43" s="1083">
        <v>46.8</v>
      </c>
      <c r="C43" s="3579">
        <v>42.4</v>
      </c>
      <c r="D43" s="1079">
        <v>9.5</v>
      </c>
      <c r="E43" s="3579">
        <v>6.1</v>
      </c>
      <c r="F43" s="3579">
        <v>1.9</v>
      </c>
      <c r="G43" s="2361">
        <f t="shared" si="0"/>
        <v>8</v>
      </c>
      <c r="H43" s="1078">
        <v>41.7</v>
      </c>
      <c r="I43" s="3579">
        <v>38.200000000000003</v>
      </c>
      <c r="J43" s="1079">
        <v>8.4</v>
      </c>
      <c r="K43" s="3579">
        <v>7.8</v>
      </c>
      <c r="L43" s="3579">
        <v>1.7</v>
      </c>
      <c r="M43" s="2361">
        <f t="shared" si="4"/>
        <v>9.5</v>
      </c>
      <c r="N43" s="1102">
        <v>46.351456500094322</v>
      </c>
      <c r="O43" s="3582">
        <v>42.353936605072398</v>
      </c>
      <c r="P43" s="3582">
        <v>8.6243673810202459</v>
      </c>
      <c r="Q43" s="1102">
        <v>7.4578140335333831</v>
      </c>
      <c r="R43" s="3582">
        <v>3.2836505911384166</v>
      </c>
      <c r="S43" s="2362">
        <f t="shared" si="2"/>
        <v>10.741464624671799</v>
      </c>
    </row>
    <row r="44" spans="1:19">
      <c r="A44" s="1054" t="s">
        <v>446</v>
      </c>
      <c r="B44" s="1083">
        <v>45.9</v>
      </c>
      <c r="C44" s="3579">
        <v>41.1</v>
      </c>
      <c r="D44" s="1079">
        <v>10.4</v>
      </c>
      <c r="E44" s="3579">
        <v>4.7</v>
      </c>
      <c r="F44" s="3579">
        <v>2.2000000000000002</v>
      </c>
      <c r="G44" s="2361">
        <f t="shared" si="0"/>
        <v>6.9</v>
      </c>
      <c r="H44" s="1078">
        <v>39.9</v>
      </c>
      <c r="I44" s="3579">
        <v>36.5</v>
      </c>
      <c r="J44" s="1079">
        <v>8.5</v>
      </c>
      <c r="K44" s="3579">
        <v>8.4</v>
      </c>
      <c r="L44" s="3579">
        <v>1.3</v>
      </c>
      <c r="M44" s="2361">
        <f t="shared" si="4"/>
        <v>9.7000000000000011</v>
      </c>
      <c r="N44" s="1102">
        <v>46.51054948899953</v>
      </c>
      <c r="O44" s="3582">
        <v>42.003986288336655</v>
      </c>
      <c r="P44" s="3582">
        <v>9.6893355382282653</v>
      </c>
      <c r="Q44" s="1102">
        <v>6.4237832446126326</v>
      </c>
      <c r="R44" s="3582">
        <v>2.8476869346592446</v>
      </c>
      <c r="S44" s="2362">
        <f t="shared" si="2"/>
        <v>9.2714701792718763</v>
      </c>
    </row>
    <row r="45" spans="1:19">
      <c r="A45" s="1054" t="s">
        <v>447</v>
      </c>
      <c r="B45" s="1083">
        <v>46.5</v>
      </c>
      <c r="C45" s="3579">
        <v>41.3</v>
      </c>
      <c r="D45" s="1079">
        <v>11.2</v>
      </c>
      <c r="E45" s="3579">
        <v>4.5999999999999996</v>
      </c>
      <c r="F45" s="3579">
        <v>1</v>
      </c>
      <c r="G45" s="2361">
        <f t="shared" si="0"/>
        <v>5.6</v>
      </c>
      <c r="H45" s="1078">
        <v>41</v>
      </c>
      <c r="I45" s="3579">
        <v>37.200000000000003</v>
      </c>
      <c r="J45" s="1079">
        <v>9.4</v>
      </c>
      <c r="K45" s="3579">
        <v>8.3000000000000007</v>
      </c>
      <c r="L45" s="3579">
        <v>0.8</v>
      </c>
      <c r="M45" s="2361">
        <f t="shared" si="4"/>
        <v>9.1000000000000014</v>
      </c>
      <c r="N45" s="1102">
        <v>46.318147590205584</v>
      </c>
      <c r="O45" s="3582">
        <v>42.479399707156048</v>
      </c>
      <c r="P45" s="3582">
        <v>8.2877836933644442</v>
      </c>
      <c r="Q45" s="1102">
        <v>7.0951081130092852</v>
      </c>
      <c r="R45" s="3582">
        <v>2.9060189160340126</v>
      </c>
      <c r="S45" s="2362">
        <f t="shared" si="2"/>
        <v>10.001127029043298</v>
      </c>
    </row>
    <row r="46" spans="1:19">
      <c r="A46" s="1054" t="s">
        <v>448</v>
      </c>
      <c r="B46" s="1083">
        <v>46.7</v>
      </c>
      <c r="C46" s="3579">
        <v>41.9</v>
      </c>
      <c r="D46" s="1079">
        <v>10.4</v>
      </c>
      <c r="E46" s="3579">
        <v>5.7</v>
      </c>
      <c r="F46" s="3579">
        <v>1.6</v>
      </c>
      <c r="G46" s="2361">
        <f t="shared" si="0"/>
        <v>7.3000000000000007</v>
      </c>
      <c r="H46" s="1078">
        <v>39.799999999999997</v>
      </c>
      <c r="I46" s="3579">
        <v>36.9</v>
      </c>
      <c r="J46" s="1079">
        <v>7.3</v>
      </c>
      <c r="K46" s="3579">
        <v>7.6</v>
      </c>
      <c r="L46" s="3579">
        <v>0.3</v>
      </c>
      <c r="M46" s="2361">
        <f t="shared" si="4"/>
        <v>7.8999999999999995</v>
      </c>
      <c r="N46" s="1102">
        <f>('2.6'!R46/'2.6'!Q46)*100</f>
        <v>45.928764536570974</v>
      </c>
      <c r="O46" s="3582">
        <f>('2.6'!S46/'2.6'!Q46)*100</f>
        <v>42.268771815152604</v>
      </c>
      <c r="P46" s="3582">
        <f>('2.6'!T46/'2.6'!R46)*100</f>
        <v>7.9688464480774091</v>
      </c>
      <c r="Q46" s="1102">
        <v>6.7</v>
      </c>
      <c r="R46" s="3582">
        <v>2.6</v>
      </c>
      <c r="S46" s="2362">
        <f t="shared" si="2"/>
        <v>9.3000000000000007</v>
      </c>
    </row>
    <row r="47" spans="1:19">
      <c r="A47" s="1054" t="s">
        <v>449</v>
      </c>
      <c r="B47" s="1083">
        <v>47.4</v>
      </c>
      <c r="C47" s="3579">
        <v>43.1</v>
      </c>
      <c r="D47" s="1079">
        <v>9</v>
      </c>
      <c r="E47" s="3579">
        <v>6.1</v>
      </c>
      <c r="F47" s="3579">
        <v>1.2</v>
      </c>
      <c r="G47" s="2361">
        <f t="shared" si="0"/>
        <v>7.3</v>
      </c>
      <c r="H47" s="1078">
        <v>41.4</v>
      </c>
      <c r="I47" s="3579">
        <v>37.6</v>
      </c>
      <c r="J47" s="1079">
        <v>9.1</v>
      </c>
      <c r="K47" s="3579">
        <v>8.1</v>
      </c>
      <c r="L47" s="3579">
        <v>0.6</v>
      </c>
      <c r="M47" s="2361">
        <f t="shared" si="4"/>
        <v>8.6999999999999993</v>
      </c>
      <c r="N47" s="1102">
        <v>45.557342685804656</v>
      </c>
      <c r="O47" s="3582">
        <v>42.130306676933557</v>
      </c>
      <c r="P47" s="3582">
        <v>7.5224668666615067</v>
      </c>
      <c r="Q47" s="1102">
        <v>6.0654843243735934</v>
      </c>
      <c r="R47" s="3582">
        <v>3.043868894629437</v>
      </c>
      <c r="S47" s="2362">
        <f t="shared" si="2"/>
        <v>9.1093532190030295</v>
      </c>
    </row>
    <row r="48" spans="1:19">
      <c r="A48" s="1054" t="s">
        <v>450</v>
      </c>
      <c r="B48" s="1083">
        <v>46.3</v>
      </c>
      <c r="C48" s="3579">
        <v>42.5</v>
      </c>
      <c r="D48" s="3579">
        <v>8.3000000000000007</v>
      </c>
      <c r="E48" s="3579">
        <v>4.5</v>
      </c>
      <c r="F48" s="3579">
        <v>2.4</v>
      </c>
      <c r="G48" s="2361">
        <f t="shared" si="0"/>
        <v>6.9</v>
      </c>
      <c r="H48" s="1079">
        <v>44.1</v>
      </c>
      <c r="I48" s="3579">
        <v>40.1</v>
      </c>
      <c r="J48" s="3579">
        <v>9.1</v>
      </c>
      <c r="K48" s="3579">
        <v>9.6999999999999993</v>
      </c>
      <c r="L48" s="3579">
        <v>2</v>
      </c>
      <c r="M48" s="2361">
        <f t="shared" si="4"/>
        <v>11.7</v>
      </c>
      <c r="N48" s="1102">
        <v>45.745895486016771</v>
      </c>
      <c r="O48" s="3582">
        <v>41.944150074125432</v>
      </c>
      <c r="P48" s="3582">
        <v>8.3105716294337721</v>
      </c>
      <c r="Q48" s="1102">
        <v>5.9014631869451692</v>
      </c>
      <c r="R48" s="3582">
        <v>2.3638156011829676</v>
      </c>
      <c r="S48" s="2362">
        <f t="shared" si="2"/>
        <v>8.2652787881281373</v>
      </c>
    </row>
    <row r="49" spans="1:19">
      <c r="A49" s="1054" t="s">
        <v>451</v>
      </c>
      <c r="B49" s="1083">
        <v>48.2</v>
      </c>
      <c r="C49" s="3579">
        <v>43.5</v>
      </c>
      <c r="D49" s="3579">
        <v>9.6999999999999993</v>
      </c>
      <c r="E49" s="3579">
        <v>5.8</v>
      </c>
      <c r="F49" s="3579">
        <v>1.5</v>
      </c>
      <c r="G49" s="2361">
        <f t="shared" si="0"/>
        <v>7.3</v>
      </c>
      <c r="H49" s="1078">
        <v>43.8</v>
      </c>
      <c r="I49" s="3579">
        <v>38.299999999999997</v>
      </c>
      <c r="J49" s="3579">
        <v>12.6</v>
      </c>
      <c r="K49" s="3579">
        <v>9.8000000000000007</v>
      </c>
      <c r="L49" s="3579">
        <v>1.3</v>
      </c>
      <c r="M49" s="2361">
        <f t="shared" si="4"/>
        <v>11.100000000000001</v>
      </c>
      <c r="N49" s="1102">
        <v>45.795635310025965</v>
      </c>
      <c r="O49" s="3582">
        <v>42.153023045737221</v>
      </c>
      <c r="P49" s="3582">
        <v>7.9540599003138546</v>
      </c>
      <c r="Q49" s="1102">
        <v>6.2590713595564864</v>
      </c>
      <c r="R49" s="3582">
        <v>2.4063648593133014</v>
      </c>
      <c r="S49" s="2362">
        <f t="shared" si="2"/>
        <v>8.6654362188697878</v>
      </c>
    </row>
    <row r="50" spans="1:19">
      <c r="A50" s="1054" t="s">
        <v>452</v>
      </c>
      <c r="B50" s="1083">
        <v>46.1</v>
      </c>
      <c r="C50" s="3579">
        <v>41.7</v>
      </c>
      <c r="D50" s="3579">
        <v>9.4</v>
      </c>
      <c r="E50" s="3579">
        <v>5.9</v>
      </c>
      <c r="F50" s="3579">
        <v>1.5</v>
      </c>
      <c r="G50" s="2361">
        <f t="shared" si="0"/>
        <v>7.4</v>
      </c>
      <c r="H50" s="1078">
        <v>43.7</v>
      </c>
      <c r="I50" s="3579">
        <v>38.700000000000003</v>
      </c>
      <c r="J50" s="3579">
        <v>11.4</v>
      </c>
      <c r="K50" s="3579">
        <v>10</v>
      </c>
      <c r="L50" s="3579">
        <v>1.2</v>
      </c>
      <c r="M50" s="2361">
        <f t="shared" si="4"/>
        <v>11.2</v>
      </c>
      <c r="N50" s="1102">
        <v>45.506721086062754</v>
      </c>
      <c r="O50" s="3582">
        <v>41.968611033894227</v>
      </c>
      <c r="P50" s="3582">
        <v>7.774917567620883</v>
      </c>
      <c r="Q50" s="1102">
        <v>6.5786920624330056</v>
      </c>
      <c r="R50" s="3582">
        <v>2.8060575901912097</v>
      </c>
      <c r="S50" s="2362">
        <f t="shared" si="2"/>
        <v>9.3847496526242153</v>
      </c>
    </row>
    <row r="51" spans="1:19">
      <c r="A51" s="1054" t="s">
        <v>453</v>
      </c>
      <c r="B51" s="1083">
        <v>46.1</v>
      </c>
      <c r="C51" s="3579">
        <v>42.6</v>
      </c>
      <c r="D51" s="1079">
        <v>7.7</v>
      </c>
      <c r="E51" s="3579">
        <v>6.5</v>
      </c>
      <c r="F51" s="3579">
        <v>1.7</v>
      </c>
      <c r="G51" s="2361">
        <f t="shared" si="0"/>
        <v>8.1999999999999993</v>
      </c>
      <c r="H51" s="1078">
        <v>44.2</v>
      </c>
      <c r="I51" s="3579">
        <v>40.200000000000003</v>
      </c>
      <c r="J51" s="1079">
        <v>9.1</v>
      </c>
      <c r="K51" s="3579">
        <v>7.4</v>
      </c>
      <c r="L51" s="3579">
        <v>0.7</v>
      </c>
      <c r="M51" s="2361">
        <f t="shared" si="4"/>
        <v>8.1</v>
      </c>
      <c r="N51" s="1102">
        <v>46.100130643928267</v>
      </c>
      <c r="O51" s="3582">
        <v>42.744676266042966</v>
      </c>
      <c r="P51" s="3582">
        <v>7.2786222750699237</v>
      </c>
      <c r="Q51" s="1102">
        <v>6.0228207196813752</v>
      </c>
      <c r="R51" s="3582">
        <v>3.1028210311980402</v>
      </c>
      <c r="S51" s="2362">
        <f t="shared" si="2"/>
        <v>9.1256417508794154</v>
      </c>
    </row>
    <row r="52" spans="1:19" s="1056" customFormat="1">
      <c r="A52" s="1054" t="s">
        <v>454</v>
      </c>
      <c r="B52" s="1083">
        <v>48.1</v>
      </c>
      <c r="C52" s="3579">
        <v>42.9</v>
      </c>
      <c r="D52" s="1079">
        <v>10.8</v>
      </c>
      <c r="E52" s="3579">
        <v>5.7</v>
      </c>
      <c r="F52" s="3579">
        <v>2.6</v>
      </c>
      <c r="G52" s="2361">
        <f t="shared" si="0"/>
        <v>8.3000000000000007</v>
      </c>
      <c r="H52" s="1078">
        <v>42.9</v>
      </c>
      <c r="I52" s="3579">
        <v>37.799999999999997</v>
      </c>
      <c r="J52" s="1079">
        <v>11.9</v>
      </c>
      <c r="K52" s="3579">
        <v>8.6999999999999993</v>
      </c>
      <c r="L52" s="3579">
        <v>0.6</v>
      </c>
      <c r="M52" s="2361">
        <f t="shared" si="4"/>
        <v>9.2999999999999989</v>
      </c>
      <c r="N52" s="1102">
        <v>46.467886486081902</v>
      </c>
      <c r="O52" s="3582">
        <v>42.582684738790974</v>
      </c>
      <c r="P52" s="3582">
        <v>8.3610468241429992</v>
      </c>
      <c r="Q52" s="1102">
        <v>6.0288480731967242</v>
      </c>
      <c r="R52" s="3582">
        <v>3.0120723057814125</v>
      </c>
      <c r="S52" s="2362">
        <f t="shared" si="2"/>
        <v>9.0409203789781358</v>
      </c>
    </row>
    <row r="53" spans="1:19" s="1056" customFormat="1">
      <c r="A53" s="1054" t="s">
        <v>455</v>
      </c>
      <c r="B53" s="1083">
        <v>45.5</v>
      </c>
      <c r="C53" s="3579">
        <v>40.6</v>
      </c>
      <c r="D53" s="1079">
        <v>10.8</v>
      </c>
      <c r="E53" s="3579">
        <v>6.8</v>
      </c>
      <c r="F53" s="3579">
        <v>3.1</v>
      </c>
      <c r="G53" s="2361">
        <f t="shared" si="0"/>
        <v>9.9</v>
      </c>
      <c r="H53" s="1078">
        <v>43.2</v>
      </c>
      <c r="I53" s="3579">
        <v>38.4</v>
      </c>
      <c r="J53" s="1079">
        <v>11.1</v>
      </c>
      <c r="K53" s="3579">
        <v>11.6</v>
      </c>
      <c r="L53" s="3579">
        <v>2.6</v>
      </c>
      <c r="M53" s="2361">
        <f t="shared" si="4"/>
        <v>14.2</v>
      </c>
      <c r="N53" s="1102">
        <v>46.261866481466534</v>
      </c>
      <c r="O53" s="3582">
        <v>42.218959149045233</v>
      </c>
      <c r="P53" s="3582">
        <v>8.7391790256473403</v>
      </c>
      <c r="Q53" s="1102">
        <v>7.4251222235027061</v>
      </c>
      <c r="R53" s="3582">
        <v>3.0881396881157968</v>
      </c>
      <c r="S53" s="2362">
        <f t="shared" si="2"/>
        <v>10.513261911618503</v>
      </c>
    </row>
    <row r="54" spans="1:19" s="1056" customFormat="1">
      <c r="A54" s="1054" t="s">
        <v>456</v>
      </c>
      <c r="B54" s="1083">
        <v>46.1</v>
      </c>
      <c r="C54" s="3579">
        <v>41.4</v>
      </c>
      <c r="D54" s="1079">
        <v>10.3</v>
      </c>
      <c r="E54" s="3579">
        <v>6.1</v>
      </c>
      <c r="F54" s="3579">
        <v>3</v>
      </c>
      <c r="G54" s="2361">
        <f t="shared" si="0"/>
        <v>9.1</v>
      </c>
      <c r="H54" s="1078">
        <v>43.3</v>
      </c>
      <c r="I54" s="3579">
        <v>37.700000000000003</v>
      </c>
      <c r="J54" s="1079">
        <v>13</v>
      </c>
      <c r="K54" s="3579">
        <v>10.5</v>
      </c>
      <c r="L54" s="3579">
        <v>2.8</v>
      </c>
      <c r="M54" s="2361">
        <f t="shared" si="4"/>
        <v>13.3</v>
      </c>
      <c r="N54" s="1102">
        <v>46.1</v>
      </c>
      <c r="O54" s="3582">
        <v>41.9</v>
      </c>
      <c r="P54" s="3582">
        <v>9.1</v>
      </c>
      <c r="Q54" s="1102">
        <v>7.3</v>
      </c>
      <c r="R54" s="3582">
        <v>3.2</v>
      </c>
      <c r="S54" s="2362">
        <f t="shared" si="2"/>
        <v>10.5</v>
      </c>
    </row>
    <row r="55" spans="1:19" s="1056" customFormat="1">
      <c r="A55" s="1054" t="s">
        <v>457</v>
      </c>
      <c r="B55" s="1083">
        <v>46.4</v>
      </c>
      <c r="C55" s="3579">
        <v>41.5</v>
      </c>
      <c r="D55" s="1079">
        <v>10.6</v>
      </c>
      <c r="E55" s="3579">
        <v>5.3</v>
      </c>
      <c r="F55" s="3579">
        <v>3.8</v>
      </c>
      <c r="G55" s="2361">
        <f t="shared" si="0"/>
        <v>9.1</v>
      </c>
      <c r="H55" s="1078">
        <v>44.2</v>
      </c>
      <c r="I55" s="3579">
        <v>40.799999999999997</v>
      </c>
      <c r="J55" s="1079">
        <v>7.5</v>
      </c>
      <c r="K55" s="3579">
        <v>12.6</v>
      </c>
      <c r="L55" s="3579">
        <v>2.1</v>
      </c>
      <c r="M55" s="2361">
        <f t="shared" si="4"/>
        <v>14.7</v>
      </c>
      <c r="N55" s="1102">
        <v>46.26895033416794</v>
      </c>
      <c r="O55" s="3582">
        <v>42.395231393447702</v>
      </c>
      <c r="P55" s="3582">
        <v>8.3721781297027533</v>
      </c>
      <c r="Q55" s="1102">
        <v>6.8876736879891629</v>
      </c>
      <c r="R55" s="3582">
        <v>3.4072760081087146</v>
      </c>
      <c r="S55" s="2362">
        <f t="shared" si="2"/>
        <v>10.294949696097877</v>
      </c>
    </row>
    <row r="56" spans="1:19" s="1056" customFormat="1">
      <c r="A56" s="1054" t="s">
        <v>458</v>
      </c>
      <c r="B56" s="1083">
        <v>48.2</v>
      </c>
      <c r="C56" s="3579">
        <v>43</v>
      </c>
      <c r="D56" s="1079">
        <v>10.8</v>
      </c>
      <c r="E56" s="3579">
        <v>8.3000000000000007</v>
      </c>
      <c r="F56" s="3579">
        <v>2.8</v>
      </c>
      <c r="G56" s="2361">
        <f t="shared" si="0"/>
        <v>11.100000000000001</v>
      </c>
      <c r="H56" s="1078">
        <v>45.4</v>
      </c>
      <c r="I56" s="3579">
        <v>41.1</v>
      </c>
      <c r="J56" s="1079">
        <v>9.6</v>
      </c>
      <c r="K56" s="3579">
        <v>9.4</v>
      </c>
      <c r="L56" s="3579">
        <v>1.8</v>
      </c>
      <c r="M56" s="2361">
        <f t="shared" si="4"/>
        <v>11.200000000000001</v>
      </c>
      <c r="N56" s="1102">
        <v>46.00357889359897</v>
      </c>
      <c r="O56" s="3582">
        <v>42.198989628788055</v>
      </c>
      <c r="P56" s="3582">
        <v>8.2702027892449266</v>
      </c>
      <c r="Q56" s="1102">
        <v>6.5567719180780344</v>
      </c>
      <c r="R56" s="3582">
        <v>2.6809860818194289</v>
      </c>
      <c r="S56" s="2362">
        <f t="shared" si="2"/>
        <v>9.2377579998974628</v>
      </c>
    </row>
    <row r="57" spans="1:19" s="1056" customFormat="1">
      <c r="A57" s="1054" t="s">
        <v>459</v>
      </c>
      <c r="B57" s="1083">
        <v>46.8</v>
      </c>
      <c r="C57" s="3579">
        <v>42.6</v>
      </c>
      <c r="D57" s="1079">
        <v>9</v>
      </c>
      <c r="E57" s="3579">
        <v>6.6</v>
      </c>
      <c r="F57" s="3579">
        <v>2.9</v>
      </c>
      <c r="G57" s="2361">
        <f t="shared" si="0"/>
        <v>9.5</v>
      </c>
      <c r="H57" s="1078">
        <v>42.7</v>
      </c>
      <c r="I57" s="3579">
        <v>37.799999999999997</v>
      </c>
      <c r="J57" s="1079">
        <v>11.4</v>
      </c>
      <c r="K57" s="3579">
        <v>9.4</v>
      </c>
      <c r="L57" s="3579">
        <v>1.8</v>
      </c>
      <c r="M57" s="2361">
        <f t="shared" si="4"/>
        <v>11.200000000000001</v>
      </c>
      <c r="N57" s="1102">
        <v>46.1</v>
      </c>
      <c r="O57" s="3582">
        <v>42.5</v>
      </c>
      <c r="P57" s="3582">
        <v>7.9</v>
      </c>
      <c r="Q57" s="1102">
        <v>6.7</v>
      </c>
      <c r="R57" s="3582">
        <v>3.1</v>
      </c>
      <c r="S57" s="2362">
        <f t="shared" si="2"/>
        <v>9.8000000000000007</v>
      </c>
    </row>
    <row r="58" spans="1:19" s="1056" customFormat="1">
      <c r="A58" s="1054" t="s">
        <v>460</v>
      </c>
      <c r="B58" s="1083">
        <v>46</v>
      </c>
      <c r="C58" s="3579">
        <v>42.3</v>
      </c>
      <c r="D58" s="1079">
        <v>8</v>
      </c>
      <c r="E58" s="3579">
        <v>5.7</v>
      </c>
      <c r="F58" s="3579">
        <v>2.8</v>
      </c>
      <c r="G58" s="2361">
        <f t="shared" si="0"/>
        <v>8.5</v>
      </c>
      <c r="H58" s="1078">
        <v>42.8</v>
      </c>
      <c r="I58" s="3579">
        <v>40</v>
      </c>
      <c r="J58" s="1079">
        <v>6.5</v>
      </c>
      <c r="K58" s="3579">
        <v>11</v>
      </c>
      <c r="L58" s="3579">
        <v>1.3</v>
      </c>
      <c r="M58" s="2361">
        <f t="shared" si="4"/>
        <v>12.3</v>
      </c>
      <c r="N58" s="1102">
        <v>45.891462142027372</v>
      </c>
      <c r="O58" s="3582">
        <v>42.471878179791837</v>
      </c>
      <c r="P58" s="3582">
        <v>7.4514600377133711</v>
      </c>
      <c r="Q58" s="1102">
        <v>6.1401141614721295</v>
      </c>
      <c r="R58" s="3582">
        <v>2.6703406480669538</v>
      </c>
      <c r="S58" s="2362">
        <f t="shared" si="2"/>
        <v>8.8104548095390829</v>
      </c>
    </row>
    <row r="59" spans="1:19" s="1056" customFormat="1">
      <c r="A59" s="1054" t="s">
        <v>461</v>
      </c>
      <c r="B59" s="1083">
        <v>45.9</v>
      </c>
      <c r="C59" s="3579">
        <v>42.3</v>
      </c>
      <c r="D59" s="1079">
        <v>7.8</v>
      </c>
      <c r="E59" s="3579">
        <v>6.5</v>
      </c>
      <c r="F59" s="3579">
        <v>3.2</v>
      </c>
      <c r="G59" s="2361">
        <f t="shared" si="0"/>
        <v>9.6999999999999993</v>
      </c>
      <c r="H59" s="1078">
        <v>43.5</v>
      </c>
      <c r="I59" s="3579">
        <v>39.700000000000003</v>
      </c>
      <c r="J59" s="1079">
        <v>8.8000000000000007</v>
      </c>
      <c r="K59" s="3579">
        <v>11.7</v>
      </c>
      <c r="L59" s="3579">
        <v>0.9</v>
      </c>
      <c r="M59" s="2361">
        <f t="shared" si="4"/>
        <v>12.6</v>
      </c>
      <c r="N59" s="1102">
        <v>45.744381769431847</v>
      </c>
      <c r="O59" s="3582">
        <v>42.409576425191489</v>
      </c>
      <c r="P59" s="3582">
        <v>7.2900872527887257</v>
      </c>
      <c r="Q59" s="1102">
        <v>5.5282271856345702</v>
      </c>
      <c r="R59" s="3582">
        <v>2.830788124826487</v>
      </c>
      <c r="S59" s="2362">
        <f t="shared" si="2"/>
        <v>8.3590153104610572</v>
      </c>
    </row>
    <row r="60" spans="1:19" s="1056" customFormat="1">
      <c r="A60" s="1054" t="s">
        <v>462</v>
      </c>
      <c r="B60" s="1083">
        <v>46.4</v>
      </c>
      <c r="C60" s="3579">
        <v>43.2</v>
      </c>
      <c r="D60" s="3579">
        <v>7</v>
      </c>
      <c r="E60" s="3579">
        <v>6.9</v>
      </c>
      <c r="F60" s="3579">
        <v>2.1</v>
      </c>
      <c r="G60" s="2361">
        <f t="shared" si="0"/>
        <v>9</v>
      </c>
      <c r="H60" s="1079">
        <v>43.2</v>
      </c>
      <c r="I60" s="3579">
        <v>40.200000000000003</v>
      </c>
      <c r="J60" s="3579">
        <v>6.9</v>
      </c>
      <c r="K60" s="3579">
        <v>5.2</v>
      </c>
      <c r="L60" s="3579">
        <v>0.8</v>
      </c>
      <c r="M60" s="2361">
        <f t="shared" si="4"/>
        <v>6</v>
      </c>
      <c r="N60" s="1102">
        <v>45.698606534055784</v>
      </c>
      <c r="O60" s="3582">
        <v>42.323231197544608</v>
      </c>
      <c r="P60" s="3582">
        <v>7.3861668714028754</v>
      </c>
      <c r="Q60" s="1102">
        <v>5.7787356025459191</v>
      </c>
      <c r="R60" s="3582">
        <v>2.4417917795163215</v>
      </c>
      <c r="S60" s="2362">
        <f t="shared" si="2"/>
        <v>8.2205273820622402</v>
      </c>
    </row>
    <row r="61" spans="1:19" s="1056" customFormat="1">
      <c r="A61" s="1054" t="s">
        <v>463</v>
      </c>
      <c r="B61" s="1083">
        <v>47</v>
      </c>
      <c r="C61" s="3579">
        <v>43.5</v>
      </c>
      <c r="D61" s="3579">
        <v>7.4</v>
      </c>
      <c r="E61" s="3579">
        <v>4.5</v>
      </c>
      <c r="F61" s="3579">
        <v>2.2999999999999998</v>
      </c>
      <c r="G61" s="2361">
        <f t="shared" si="0"/>
        <v>6.8</v>
      </c>
      <c r="H61" s="1078">
        <v>44.4</v>
      </c>
      <c r="I61" s="3579">
        <v>40.700000000000003</v>
      </c>
      <c r="J61" s="3579">
        <v>8.3000000000000007</v>
      </c>
      <c r="K61" s="3579">
        <v>7.8</v>
      </c>
      <c r="L61" s="3579">
        <v>1.3</v>
      </c>
      <c r="M61" s="2361">
        <f t="shared" si="4"/>
        <v>9.1</v>
      </c>
      <c r="N61" s="1102">
        <v>46.55665052449536</v>
      </c>
      <c r="O61" s="3582">
        <v>43.135369982735021</v>
      </c>
      <c r="P61" s="3582">
        <v>7.3486397823233975</v>
      </c>
      <c r="Q61" s="1102">
        <v>5.713805362595882</v>
      </c>
      <c r="R61" s="3582">
        <v>2.6876239576090124</v>
      </c>
      <c r="S61" s="2362">
        <f t="shared" si="2"/>
        <v>8.401429320204894</v>
      </c>
    </row>
    <row r="62" spans="1:19" s="1056" customFormat="1">
      <c r="A62" s="1054" t="s">
        <v>464</v>
      </c>
      <c r="B62" s="1083">
        <v>46.4</v>
      </c>
      <c r="C62" s="3579">
        <v>42.7</v>
      </c>
      <c r="D62" s="3579">
        <v>7.8</v>
      </c>
      <c r="E62" s="3579">
        <v>4.9000000000000004</v>
      </c>
      <c r="F62" s="3579">
        <v>3.2</v>
      </c>
      <c r="G62" s="2361">
        <f t="shared" si="0"/>
        <v>8.1000000000000014</v>
      </c>
      <c r="H62" s="1078">
        <v>43.3</v>
      </c>
      <c r="I62" s="3579">
        <v>39.200000000000003</v>
      </c>
      <c r="J62" s="3579">
        <v>9.5</v>
      </c>
      <c r="K62" s="3579">
        <v>6.2</v>
      </c>
      <c r="L62" s="3579">
        <v>0.8</v>
      </c>
      <c r="M62" s="2361">
        <f t="shared" si="4"/>
        <v>7</v>
      </c>
      <c r="N62" s="1102">
        <v>46.641526629049388</v>
      </c>
      <c r="O62" s="3582">
        <v>43.270480588505912</v>
      </c>
      <c r="P62" s="3582">
        <v>7.2275636845126696</v>
      </c>
      <c r="Q62" s="1102">
        <v>6.0413055276078609</v>
      </c>
      <c r="R62" s="3582">
        <v>2.7568219796924973</v>
      </c>
      <c r="S62" s="2362">
        <f t="shared" si="2"/>
        <v>8.7981275073003573</v>
      </c>
    </row>
    <row r="63" spans="1:19" s="1056" customFormat="1">
      <c r="A63" s="1054" t="s">
        <v>465</v>
      </c>
      <c r="B63" s="1083">
        <v>47.1</v>
      </c>
      <c r="C63" s="3579">
        <v>43.3</v>
      </c>
      <c r="D63" s="1079">
        <v>8.1</v>
      </c>
      <c r="E63" s="3579">
        <v>4.0999999999999996</v>
      </c>
      <c r="F63" s="3579">
        <v>1.5</v>
      </c>
      <c r="G63" s="2361">
        <f t="shared" si="0"/>
        <v>5.6</v>
      </c>
      <c r="H63" s="1078">
        <v>42.3</v>
      </c>
      <c r="I63" s="3579">
        <v>39.799999999999997</v>
      </c>
      <c r="J63" s="1079">
        <v>5.7</v>
      </c>
      <c r="K63" s="3579">
        <v>6.2</v>
      </c>
      <c r="L63" s="3579">
        <v>1.5</v>
      </c>
      <c r="M63" s="2361">
        <f t="shared" si="4"/>
        <v>7.7</v>
      </c>
      <c r="N63" s="1102">
        <v>46.038542597518642</v>
      </c>
      <c r="O63" s="3582">
        <v>42.933297767399267</v>
      </c>
      <c r="P63" s="3582">
        <v>6.7448808214157916</v>
      </c>
      <c r="Q63" s="1102">
        <v>5.9216744586988401</v>
      </c>
      <c r="R63" s="3582">
        <v>2.6351392746943167</v>
      </c>
      <c r="S63" s="2362">
        <f t="shared" si="2"/>
        <v>8.556813733393156</v>
      </c>
    </row>
    <row r="64" spans="1:19" s="1056" customFormat="1">
      <c r="A64" s="1054" t="s">
        <v>466</v>
      </c>
      <c r="B64" s="1083">
        <v>47.7</v>
      </c>
      <c r="C64" s="3579">
        <v>43.1</v>
      </c>
      <c r="D64" s="3579">
        <v>9.8000000000000007</v>
      </c>
      <c r="E64" s="3579">
        <v>4.8</v>
      </c>
      <c r="F64" s="3579">
        <v>2.6</v>
      </c>
      <c r="G64" s="2361">
        <f t="shared" si="0"/>
        <v>7.4</v>
      </c>
      <c r="H64" s="1079">
        <v>44.9</v>
      </c>
      <c r="I64" s="3579">
        <v>41.9</v>
      </c>
      <c r="J64" s="3579">
        <v>6.6</v>
      </c>
      <c r="K64" s="3579">
        <v>6.4</v>
      </c>
      <c r="L64" s="3579">
        <v>2.2999999999999998</v>
      </c>
      <c r="M64" s="2361">
        <f t="shared" si="4"/>
        <v>8.6999999999999993</v>
      </c>
      <c r="N64" s="1102">
        <v>45.455341716849183</v>
      </c>
      <c r="O64" s="3582">
        <v>42.207983987190254</v>
      </c>
      <c r="P64" s="3582">
        <v>7.1440618572122787</v>
      </c>
      <c r="Q64" s="1102">
        <v>5.0460340822087373</v>
      </c>
      <c r="R64" s="3582">
        <v>2.3793251562107764</v>
      </c>
      <c r="S64" s="2362">
        <f t="shared" si="2"/>
        <v>7.4253592384195137</v>
      </c>
    </row>
    <row r="65" spans="1:19" s="1056" customFormat="1">
      <c r="A65" s="1054" t="s">
        <v>467</v>
      </c>
      <c r="B65" s="1083">
        <v>47.4</v>
      </c>
      <c r="C65" s="3579">
        <v>43.5</v>
      </c>
      <c r="D65" s="3579">
        <v>8.3000000000000007</v>
      </c>
      <c r="E65" s="3579">
        <v>4.2</v>
      </c>
      <c r="F65" s="3579">
        <v>2.8</v>
      </c>
      <c r="G65" s="2361">
        <f t="shared" si="0"/>
        <v>7</v>
      </c>
      <c r="H65" s="1078">
        <v>45</v>
      </c>
      <c r="I65" s="3579">
        <v>41.6</v>
      </c>
      <c r="J65" s="3579">
        <v>7.5</v>
      </c>
      <c r="K65" s="3579">
        <v>6.4</v>
      </c>
      <c r="L65" s="3579">
        <v>1.9</v>
      </c>
      <c r="M65" s="2361">
        <f t="shared" si="4"/>
        <v>8.3000000000000007</v>
      </c>
      <c r="N65" s="1102">
        <v>46.103210954647267</v>
      </c>
      <c r="O65" s="3582">
        <v>42.777364127844237</v>
      </c>
      <c r="P65" s="3582">
        <v>7.2139158161342367</v>
      </c>
      <c r="Q65" s="1102">
        <v>6.6979257607508353</v>
      </c>
      <c r="R65" s="3582">
        <v>2.6877515792012785</v>
      </c>
      <c r="S65" s="2362">
        <f t="shared" si="2"/>
        <v>9.3856773399521138</v>
      </c>
    </row>
    <row r="66" spans="1:19" s="1056" customFormat="1">
      <c r="A66" s="1054" t="s">
        <v>468</v>
      </c>
      <c r="B66" s="1083">
        <v>45.9</v>
      </c>
      <c r="C66" s="3579">
        <v>42.3</v>
      </c>
      <c r="D66" s="3579">
        <v>7.7</v>
      </c>
      <c r="E66" s="3579">
        <v>5</v>
      </c>
      <c r="F66" s="3579">
        <v>4.5</v>
      </c>
      <c r="G66" s="2361">
        <f t="shared" si="0"/>
        <v>9.5</v>
      </c>
      <c r="H66" s="1078">
        <v>44.3</v>
      </c>
      <c r="I66" s="3579">
        <v>41</v>
      </c>
      <c r="J66" s="3579">
        <v>7.5</v>
      </c>
      <c r="K66" s="3579">
        <v>7.6</v>
      </c>
      <c r="L66" s="3579">
        <v>0.5</v>
      </c>
      <c r="M66" s="2361">
        <f t="shared" si="4"/>
        <v>8.1</v>
      </c>
      <c r="N66" s="1102">
        <v>46.844451739829054</v>
      </c>
      <c r="O66" s="3582">
        <v>43.274178332463414</v>
      </c>
      <c r="P66" s="3582">
        <v>7.6215502044824817</v>
      </c>
      <c r="Q66" s="1102">
        <v>6.1828635756736583</v>
      </c>
      <c r="R66" s="3582">
        <v>2.7245097542795307</v>
      </c>
      <c r="S66" s="2362">
        <f t="shared" si="2"/>
        <v>8.9073733299531881</v>
      </c>
    </row>
    <row r="67" spans="1:19" s="1056" customFormat="1">
      <c r="A67" s="1054" t="s">
        <v>469</v>
      </c>
      <c r="B67" s="1083">
        <v>47.4</v>
      </c>
      <c r="C67" s="3579">
        <v>43.3</v>
      </c>
      <c r="D67" s="1079">
        <v>8.6</v>
      </c>
      <c r="E67" s="3579">
        <v>5.3</v>
      </c>
      <c r="F67" s="3579">
        <v>2.2999999999999998</v>
      </c>
      <c r="G67" s="2361">
        <f t="shared" si="0"/>
        <v>7.6</v>
      </c>
      <c r="H67" s="1078">
        <v>43.6</v>
      </c>
      <c r="I67" s="3579">
        <v>40.6</v>
      </c>
      <c r="J67" s="1079">
        <v>6.9</v>
      </c>
      <c r="K67" s="3579">
        <v>4.4000000000000004</v>
      </c>
      <c r="L67" s="3579">
        <v>2.2000000000000002</v>
      </c>
      <c r="M67" s="2361">
        <f t="shared" si="4"/>
        <v>6.6000000000000005</v>
      </c>
      <c r="N67" s="1102">
        <v>46.260331205567702</v>
      </c>
      <c r="O67" s="3582">
        <v>43.082402917449578</v>
      </c>
      <c r="P67" s="3582">
        <v>6.8696617713269532</v>
      </c>
      <c r="Q67" s="1102">
        <v>6.4398670683012833</v>
      </c>
      <c r="R67" s="3582">
        <v>2.5798049943036796</v>
      </c>
      <c r="S67" s="2362">
        <f t="shared" si="2"/>
        <v>9.0196720626049629</v>
      </c>
    </row>
    <row r="68" spans="1:19" s="1056" customFormat="1">
      <c r="A68" s="1054" t="s">
        <v>470</v>
      </c>
      <c r="B68" s="1083">
        <v>49</v>
      </c>
      <c r="C68" s="3579">
        <v>44.8</v>
      </c>
      <c r="D68" s="3579">
        <v>8.6</v>
      </c>
      <c r="E68" s="3579">
        <v>5.4</v>
      </c>
      <c r="F68" s="3579">
        <v>2</v>
      </c>
      <c r="G68" s="2361">
        <f t="shared" si="0"/>
        <v>7.4</v>
      </c>
      <c r="H68" s="1079">
        <v>43.2</v>
      </c>
      <c r="I68" s="3579">
        <v>39.700000000000003</v>
      </c>
      <c r="J68" s="3579">
        <v>8.1</v>
      </c>
      <c r="K68" s="3579">
        <v>3.6</v>
      </c>
      <c r="L68" s="3579">
        <v>2.7</v>
      </c>
      <c r="M68" s="2361">
        <f t="shared" si="4"/>
        <v>6.3000000000000007</v>
      </c>
      <c r="N68" s="1102">
        <v>45.786211646419794</v>
      </c>
      <c r="O68" s="3582">
        <v>42.157511130050111</v>
      </c>
      <c r="P68" s="3582">
        <v>7.9253128526815484</v>
      </c>
      <c r="Q68" s="1102">
        <v>5.4906483009690854</v>
      </c>
      <c r="R68" s="3582">
        <v>2.4604332743428334</v>
      </c>
      <c r="S68" s="2362">
        <f t="shared" si="2"/>
        <v>7.9510815753119193</v>
      </c>
    </row>
    <row r="69" spans="1:19" s="1056" customFormat="1">
      <c r="A69" s="1054" t="s">
        <v>471</v>
      </c>
      <c r="B69" s="1083">
        <v>48.6</v>
      </c>
      <c r="C69" s="3579">
        <v>44.6</v>
      </c>
      <c r="D69" s="3579">
        <v>8.1999999999999993</v>
      </c>
      <c r="E69" s="3579">
        <v>5.3</v>
      </c>
      <c r="F69" s="3579">
        <v>2.5</v>
      </c>
      <c r="G69" s="2361">
        <f t="shared" si="0"/>
        <v>7.8</v>
      </c>
      <c r="H69" s="1078">
        <v>44.1</v>
      </c>
      <c r="I69" s="3579">
        <v>40.700000000000003</v>
      </c>
      <c r="J69" s="3579">
        <v>7.7</v>
      </c>
      <c r="K69" s="3579">
        <v>3.6</v>
      </c>
      <c r="L69" s="3579">
        <v>2.2000000000000002</v>
      </c>
      <c r="M69" s="2361">
        <f t="shared" si="4"/>
        <v>5.8000000000000007</v>
      </c>
      <c r="N69" s="1102">
        <v>46.353032954013166</v>
      </c>
      <c r="O69" s="3582">
        <v>42.994873009571094</v>
      </c>
      <c r="P69" s="3582">
        <v>7.2447469570625689</v>
      </c>
      <c r="Q69" s="1102">
        <v>6.6941583808467318</v>
      </c>
      <c r="R69" s="3582">
        <v>3.0223604416529612</v>
      </c>
      <c r="S69" s="2362">
        <f t="shared" si="2"/>
        <v>9.7165188224996939</v>
      </c>
    </row>
    <row r="70" spans="1:19" s="1056" customFormat="1">
      <c r="A70" s="1054" t="s">
        <v>472</v>
      </c>
      <c r="B70" s="1083">
        <v>48.2</v>
      </c>
      <c r="C70" s="3579">
        <v>44.5</v>
      </c>
      <c r="D70" s="3579">
        <v>7.7</v>
      </c>
      <c r="E70" s="3579">
        <v>4.2</v>
      </c>
      <c r="F70" s="3579">
        <v>2.2999999999999998</v>
      </c>
      <c r="G70" s="2361">
        <f t="shared" si="0"/>
        <v>6.5</v>
      </c>
      <c r="H70" s="1078">
        <v>42.2</v>
      </c>
      <c r="I70" s="3579">
        <v>40</v>
      </c>
      <c r="J70" s="3579">
        <v>5.2</v>
      </c>
      <c r="K70" s="3579">
        <v>6.3</v>
      </c>
      <c r="L70" s="3579">
        <v>0.9</v>
      </c>
      <c r="M70" s="2361">
        <f t="shared" si="4"/>
        <v>7.2</v>
      </c>
      <c r="N70" s="1102">
        <v>46.011139383422197</v>
      </c>
      <c r="O70" s="3582">
        <v>42.871072260645342</v>
      </c>
      <c r="P70" s="3582">
        <v>6.8245802317780049</v>
      </c>
      <c r="Q70" s="1102">
        <v>5.8133936266777679</v>
      </c>
      <c r="R70" s="3582">
        <v>2.945572610661924</v>
      </c>
      <c r="S70" s="2362">
        <f t="shared" si="2"/>
        <v>8.7589662373396919</v>
      </c>
    </row>
    <row r="71" spans="1:19" s="1056" customFormat="1">
      <c r="A71" s="1054" t="s">
        <v>473</v>
      </c>
      <c r="B71" s="1083">
        <v>47.6</v>
      </c>
      <c r="C71" s="3579">
        <v>43.8</v>
      </c>
      <c r="D71" s="1079">
        <v>7.9</v>
      </c>
      <c r="E71" s="3579">
        <v>4.5</v>
      </c>
      <c r="F71" s="3579">
        <v>3.3</v>
      </c>
      <c r="G71" s="2361">
        <f t="shared" si="0"/>
        <v>7.8</v>
      </c>
      <c r="H71" s="1078">
        <v>40.200000000000003</v>
      </c>
      <c r="I71" s="3579">
        <v>37.700000000000003</v>
      </c>
      <c r="J71" s="1079">
        <v>6.3</v>
      </c>
      <c r="K71" s="3579">
        <v>5.0999999999999996</v>
      </c>
      <c r="L71" s="3579">
        <v>1.1000000000000001</v>
      </c>
      <c r="M71" s="2361">
        <f t="shared" si="4"/>
        <v>6.1999999999999993</v>
      </c>
      <c r="N71" s="1102">
        <v>45.541935882658514</v>
      </c>
      <c r="O71" s="3582">
        <v>42.630142320084389</v>
      </c>
      <c r="P71" s="3582">
        <v>6.3936534671616485</v>
      </c>
      <c r="Q71" s="1102">
        <v>5.072700398735047</v>
      </c>
      <c r="R71" s="3582">
        <v>2.710072238712617</v>
      </c>
      <c r="S71" s="2362">
        <f t="shared" si="2"/>
        <v>7.782772637447664</v>
      </c>
    </row>
    <row r="72" spans="1:19" s="1056" customFormat="1">
      <c r="A72" s="1054" t="s">
        <v>65</v>
      </c>
      <c r="B72" s="1083">
        <v>48.3</v>
      </c>
      <c r="C72" s="3579">
        <v>45</v>
      </c>
      <c r="D72" s="3579">
        <v>6.7</v>
      </c>
      <c r="E72" s="3579">
        <v>3.7</v>
      </c>
      <c r="F72" s="3579">
        <v>3.5</v>
      </c>
      <c r="G72" s="2361">
        <f t="shared" si="0"/>
        <v>7.2</v>
      </c>
      <c r="H72" s="1079">
        <v>44.4</v>
      </c>
      <c r="I72" s="3579">
        <v>41.7</v>
      </c>
      <c r="J72" s="3579">
        <v>6</v>
      </c>
      <c r="K72" s="3579">
        <v>4.5999999999999996</v>
      </c>
      <c r="L72" s="3579">
        <v>1.2</v>
      </c>
      <c r="M72" s="2361">
        <f t="shared" si="4"/>
        <v>5.8</v>
      </c>
      <c r="N72" s="1102">
        <v>44.939704655195875</v>
      </c>
      <c r="O72" s="3582">
        <v>41.737823361583551</v>
      </c>
      <c r="P72" s="3582">
        <v>7.1248383098622021</v>
      </c>
      <c r="Q72" s="1102">
        <v>5.4659380665071344</v>
      </c>
      <c r="R72" s="3582">
        <v>2.6163712574607363</v>
      </c>
      <c r="S72" s="2362">
        <f t="shared" si="2"/>
        <v>8.0823093239678698</v>
      </c>
    </row>
    <row r="73" spans="1:19" s="1056" customFormat="1">
      <c r="A73" s="1054" t="s">
        <v>474</v>
      </c>
      <c r="B73" s="1083">
        <v>47.7</v>
      </c>
      <c r="C73" s="3579">
        <v>43.2</v>
      </c>
      <c r="D73" s="3579">
        <v>9.4</v>
      </c>
      <c r="E73" s="3579">
        <v>5.8</v>
      </c>
      <c r="F73" s="3579">
        <v>2</v>
      </c>
      <c r="G73" s="2361">
        <f t="shared" si="0"/>
        <v>7.8</v>
      </c>
      <c r="H73" s="1078">
        <v>44.4</v>
      </c>
      <c r="I73" s="3579">
        <v>40.5</v>
      </c>
      <c r="J73" s="3579">
        <v>8.8000000000000007</v>
      </c>
      <c r="K73" s="3579">
        <v>4.0999999999999996</v>
      </c>
      <c r="L73" s="3579">
        <v>1.3</v>
      </c>
      <c r="M73" s="2361">
        <f t="shared" si="4"/>
        <v>5.3999999999999995</v>
      </c>
      <c r="N73" s="1102">
        <v>44.687645300658261</v>
      </c>
      <c r="O73" s="3582">
        <v>41.339463137040859</v>
      </c>
      <c r="P73" s="3582">
        <v>7.4924112494423198</v>
      </c>
      <c r="Q73" s="1102">
        <v>6.7537650081563187</v>
      </c>
      <c r="R73" s="3582">
        <v>2.6229131882614309</v>
      </c>
      <c r="S73" s="2362">
        <f t="shared" si="2"/>
        <v>9.3766781964177497</v>
      </c>
    </row>
    <row r="74" spans="1:19" s="1056" customFormat="1">
      <c r="A74" s="1054" t="s">
        <v>475</v>
      </c>
      <c r="B74" s="1083">
        <v>47.2</v>
      </c>
      <c r="C74" s="3579">
        <v>42.8</v>
      </c>
      <c r="D74" s="3579">
        <v>9.3000000000000007</v>
      </c>
      <c r="E74" s="3579">
        <v>5.5</v>
      </c>
      <c r="F74" s="3579">
        <v>3.2</v>
      </c>
      <c r="G74" s="2361">
        <f t="shared" si="0"/>
        <v>8.6999999999999993</v>
      </c>
      <c r="H74" s="1078">
        <v>43.6</v>
      </c>
      <c r="I74" s="3579">
        <v>40.4</v>
      </c>
      <c r="J74" s="3579">
        <v>7.4</v>
      </c>
      <c r="K74" s="3579">
        <v>4.8</v>
      </c>
      <c r="L74" s="3579">
        <v>1.5</v>
      </c>
      <c r="M74" s="2361">
        <f t="shared" si="4"/>
        <v>6.3</v>
      </c>
      <c r="N74" s="1102">
        <v>44.626041813110781</v>
      </c>
      <c r="O74" s="3582">
        <v>41.267869807738791</v>
      </c>
      <c r="P74" s="3582">
        <v>7.5251397366489821</v>
      </c>
      <c r="Q74" s="1102">
        <v>6.3309680991352506</v>
      </c>
      <c r="R74" s="3582">
        <v>2.9189218539722077</v>
      </c>
      <c r="S74" s="2362">
        <f t="shared" si="2"/>
        <v>9.2498899531074592</v>
      </c>
    </row>
    <row r="75" spans="1:19" s="1056" customFormat="1">
      <c r="A75" s="1054" t="s">
        <v>476</v>
      </c>
      <c r="B75" s="1083">
        <v>48.8</v>
      </c>
      <c r="C75" s="3579">
        <v>44.6</v>
      </c>
      <c r="D75" s="1079">
        <v>8.6999999999999993</v>
      </c>
      <c r="E75" s="3579">
        <v>6.6</v>
      </c>
      <c r="F75" s="3579">
        <v>2.4</v>
      </c>
      <c r="G75" s="2361">
        <f t="shared" si="0"/>
        <v>9</v>
      </c>
      <c r="H75" s="1078">
        <v>43.1</v>
      </c>
      <c r="I75" s="3579">
        <v>40.299999999999997</v>
      </c>
      <c r="J75" s="1079">
        <v>6.6</v>
      </c>
      <c r="K75" s="3579">
        <v>3.7</v>
      </c>
      <c r="L75" s="3579">
        <v>1.6</v>
      </c>
      <c r="M75" s="2361">
        <f t="shared" si="4"/>
        <v>5.3000000000000007</v>
      </c>
      <c r="N75" s="1102">
        <v>45.174124568944876</v>
      </c>
      <c r="O75" s="3582">
        <v>42.042748545188942</v>
      </c>
      <c r="P75" s="3582">
        <v>6.9317912712991534</v>
      </c>
      <c r="Q75" s="1102">
        <v>6.0958238571722854</v>
      </c>
      <c r="R75" s="3582">
        <v>2.9791087249651884</v>
      </c>
      <c r="S75" s="2362">
        <f t="shared" si="2"/>
        <v>9.0749325821374747</v>
      </c>
    </row>
    <row r="76" spans="1:19" s="1056" customFormat="1">
      <c r="A76" s="1054" t="s">
        <v>477</v>
      </c>
      <c r="B76" s="1083">
        <v>49.3</v>
      </c>
      <c r="C76" s="3579">
        <v>44.9</v>
      </c>
      <c r="D76" s="3579">
        <v>8.8000000000000007</v>
      </c>
      <c r="E76" s="3579">
        <v>5.3</v>
      </c>
      <c r="F76" s="3579">
        <v>2</v>
      </c>
      <c r="G76" s="2361">
        <f t="shared" si="0"/>
        <v>7.3</v>
      </c>
      <c r="H76" s="1079">
        <v>43.1</v>
      </c>
      <c r="I76" s="3579">
        <v>40.700000000000003</v>
      </c>
      <c r="J76" s="3579">
        <v>5.6</v>
      </c>
      <c r="K76" s="3579">
        <v>4.3</v>
      </c>
      <c r="L76" s="3579">
        <v>4.5</v>
      </c>
      <c r="M76" s="2361">
        <f t="shared" si="4"/>
        <v>8.8000000000000007</v>
      </c>
      <c r="N76" s="1102">
        <v>44.491919373225414</v>
      </c>
      <c r="O76" s="3582">
        <v>41.326676207778419</v>
      </c>
      <c r="P76" s="3582">
        <v>7.114197836454311</v>
      </c>
      <c r="Q76" s="1102">
        <v>5.1418780108214204</v>
      </c>
      <c r="R76" s="3582">
        <v>2.4512403417933646</v>
      </c>
      <c r="S76" s="2362">
        <f t="shared" si="2"/>
        <v>7.593118352614785</v>
      </c>
    </row>
    <row r="77" spans="1:19" s="1056" customFormat="1">
      <c r="A77" s="1054" t="s">
        <v>478</v>
      </c>
      <c r="B77" s="1083">
        <v>48.6</v>
      </c>
      <c r="C77" s="3579">
        <v>44.6</v>
      </c>
      <c r="D77" s="3579">
        <v>8.3000000000000007</v>
      </c>
      <c r="E77" s="3579">
        <v>7.1</v>
      </c>
      <c r="F77" s="3579">
        <v>1.9</v>
      </c>
      <c r="G77" s="2361">
        <f t="shared" si="0"/>
        <v>9</v>
      </c>
      <c r="H77" s="1078">
        <v>42.7</v>
      </c>
      <c r="I77" s="3579">
        <v>40.1</v>
      </c>
      <c r="J77" s="3579">
        <v>6.1</v>
      </c>
      <c r="K77" s="3579">
        <v>4</v>
      </c>
      <c r="L77" s="3579">
        <v>2.9</v>
      </c>
      <c r="M77" s="2361">
        <f t="shared" si="4"/>
        <v>6.9</v>
      </c>
      <c r="N77" s="1102">
        <v>44.398664324654732</v>
      </c>
      <c r="O77" s="3582">
        <v>41.480410133424137</v>
      </c>
      <c r="P77" s="3582">
        <v>6.5728423041998569</v>
      </c>
      <c r="Q77" s="1102">
        <v>6.2692488122698453</v>
      </c>
      <c r="R77" s="3582">
        <v>2.7666109406071162</v>
      </c>
      <c r="S77" s="2362">
        <f t="shared" si="2"/>
        <v>9.0358597528769611</v>
      </c>
    </row>
    <row r="78" spans="1:19">
      <c r="A78" s="1054" t="s">
        <v>479</v>
      </c>
      <c r="B78" s="1083">
        <v>47.6</v>
      </c>
      <c r="C78" s="3579">
        <v>43.4</v>
      </c>
      <c r="D78" s="3579">
        <v>8.8000000000000007</v>
      </c>
      <c r="E78" s="3579">
        <v>4.9000000000000004</v>
      </c>
      <c r="F78" s="3579">
        <v>2.1</v>
      </c>
      <c r="G78" s="2361">
        <f t="shared" si="0"/>
        <v>7</v>
      </c>
      <c r="H78" s="1078">
        <v>43</v>
      </c>
      <c r="I78" s="3579">
        <v>40.9</v>
      </c>
      <c r="J78" s="3579">
        <v>4.9000000000000004</v>
      </c>
      <c r="K78" s="3579">
        <v>7.6</v>
      </c>
      <c r="L78" s="3579">
        <v>2.8</v>
      </c>
      <c r="M78" s="2361">
        <f t="shared" si="4"/>
        <v>10.399999999999999</v>
      </c>
      <c r="N78" s="1102">
        <v>44.8</v>
      </c>
      <c r="O78" s="3582">
        <v>42.2</v>
      </c>
      <c r="P78" s="3582">
        <v>5.9</v>
      </c>
      <c r="Q78" s="1102">
        <v>5.9</v>
      </c>
      <c r="R78" s="3582">
        <v>2.7</v>
      </c>
      <c r="S78" s="2362">
        <f t="shared" si="2"/>
        <v>8.6000000000000014</v>
      </c>
    </row>
    <row r="79" spans="1:19">
      <c r="A79" s="1054" t="s">
        <v>480</v>
      </c>
      <c r="B79" s="3585">
        <f>AVERAGE(B77:B78)</f>
        <v>48.1</v>
      </c>
      <c r="C79" s="3585">
        <f>AVERAGE(C77:C78)</f>
        <v>44</v>
      </c>
      <c r="D79" s="3585">
        <f t="shared" ref="D79:F79" si="5">AVERAGE(D77:D78)</f>
        <v>8.5500000000000007</v>
      </c>
      <c r="E79" s="3585">
        <f t="shared" si="5"/>
        <v>6</v>
      </c>
      <c r="F79" s="3585">
        <f t="shared" si="5"/>
        <v>2</v>
      </c>
      <c r="G79" s="2361">
        <f t="shared" si="0"/>
        <v>8</v>
      </c>
      <c r="H79" s="3586">
        <f>AVERAGE(H77:H78)</f>
        <v>42.85</v>
      </c>
      <c r="I79" s="3586">
        <f>AVERAGE(I77:I78)</f>
        <v>40.5</v>
      </c>
      <c r="J79" s="3586">
        <f t="shared" ref="J79:L79" si="6">AVERAGE(J77:J78)</f>
        <v>5.5</v>
      </c>
      <c r="K79" s="3586">
        <f t="shared" si="6"/>
        <v>5.8</v>
      </c>
      <c r="L79" s="3586">
        <f t="shared" si="6"/>
        <v>2.8499999999999996</v>
      </c>
      <c r="M79" s="2361">
        <f t="shared" si="4"/>
        <v>8.6499999999999986</v>
      </c>
      <c r="N79" s="1102">
        <f>AVERAGE(N77:N78)</f>
        <v>44.599332162327364</v>
      </c>
      <c r="O79" s="3582">
        <f>AVERAGE(O77:O78)</f>
        <v>41.840205066712073</v>
      </c>
      <c r="P79" s="3582">
        <f t="shared" ref="P79:R79" si="7">AVERAGE(P77:P78)</f>
        <v>6.2364211520999291</v>
      </c>
      <c r="Q79" s="1102">
        <f t="shared" si="7"/>
        <v>6.0846244061349228</v>
      </c>
      <c r="R79" s="3582">
        <f t="shared" si="7"/>
        <v>2.7333054703035584</v>
      </c>
      <c r="S79" s="2362">
        <f t="shared" si="2"/>
        <v>8.8179298764384804</v>
      </c>
    </row>
    <row r="80" spans="1:19">
      <c r="A80" s="1054" t="s">
        <v>481</v>
      </c>
      <c r="B80" s="3585">
        <f>AVERAGE(B81:B82)</f>
        <v>47.65</v>
      </c>
      <c r="C80" s="3585">
        <f>AVERAGE(C81:C82)</f>
        <v>42.65</v>
      </c>
      <c r="D80" s="3585">
        <f t="shared" ref="D80:F80" si="8">AVERAGE(D81:D82)</f>
        <v>10.5</v>
      </c>
      <c r="E80" s="3585">
        <f t="shared" si="8"/>
        <v>7.1</v>
      </c>
      <c r="F80" s="3585">
        <f t="shared" si="8"/>
        <v>2</v>
      </c>
      <c r="G80" s="2361">
        <f t="shared" si="0"/>
        <v>9.1</v>
      </c>
      <c r="H80" s="3586">
        <f>AVERAGE(H81:H82)</f>
        <v>40.950000000000003</v>
      </c>
      <c r="I80" s="3586">
        <f>AVERAGE(I81:I82)</f>
        <v>39.15</v>
      </c>
      <c r="J80" s="3586">
        <f t="shared" ref="J80:L80" si="9">AVERAGE(J81:J82)</f>
        <v>4.4000000000000004</v>
      </c>
      <c r="K80" s="3586">
        <f t="shared" si="9"/>
        <v>5.5</v>
      </c>
      <c r="L80" s="3586">
        <f t="shared" si="9"/>
        <v>2.1</v>
      </c>
      <c r="M80" s="2361">
        <f t="shared" si="4"/>
        <v>7.6</v>
      </c>
      <c r="N80" s="1102">
        <f>AVERAGE(N81:N82)</f>
        <v>45.98422430977827</v>
      </c>
      <c r="O80" s="3582">
        <f>AVERAGE(O81:O82)</f>
        <v>41.882873325527079</v>
      </c>
      <c r="P80" s="3582">
        <f t="shared" ref="P80:R80" si="10">AVERAGE(P81:P82)</f>
        <v>8.9192038833364506</v>
      </c>
      <c r="Q80" s="1102">
        <f t="shared" si="10"/>
        <v>7.35</v>
      </c>
      <c r="R80" s="3582">
        <f t="shared" si="10"/>
        <v>3.35</v>
      </c>
      <c r="S80" s="2362">
        <f t="shared" si="2"/>
        <v>10.7</v>
      </c>
    </row>
    <row r="81" spans="1:19">
      <c r="A81" s="1054" t="s">
        <v>482</v>
      </c>
      <c r="B81" s="1083">
        <v>47.9</v>
      </c>
      <c r="C81" s="3579">
        <v>42.3</v>
      </c>
      <c r="D81" s="1079">
        <v>11.7</v>
      </c>
      <c r="E81" s="3579">
        <v>7.9</v>
      </c>
      <c r="F81" s="3579">
        <v>2.2000000000000002</v>
      </c>
      <c r="G81" s="2361">
        <f t="shared" si="0"/>
        <v>10.100000000000001</v>
      </c>
      <c r="H81" s="1078">
        <v>41.4</v>
      </c>
      <c r="I81" s="3579">
        <v>39.299999999999997</v>
      </c>
      <c r="J81" s="1079">
        <v>5</v>
      </c>
      <c r="K81" s="3579">
        <v>4.8</v>
      </c>
      <c r="L81" s="3579">
        <v>1.6</v>
      </c>
      <c r="M81" s="2361">
        <f t="shared" si="4"/>
        <v>6.4</v>
      </c>
      <c r="N81" s="1094">
        <f>('2.6'!R81/'2.6'!Q81)*100</f>
        <v>45.96522186684313</v>
      </c>
      <c r="O81" s="3587">
        <f>('2.6'!S81/'2.6'!Q81)*100</f>
        <v>41.682291092239254</v>
      </c>
      <c r="P81" s="168">
        <f>('2.6'!T81/'2.6'!R81)*100</f>
        <v>9.317763736703192</v>
      </c>
      <c r="Q81" s="3579">
        <v>7.7</v>
      </c>
      <c r="R81" s="3579">
        <v>3.5</v>
      </c>
      <c r="S81" s="2362">
        <f t="shared" si="2"/>
        <v>11.2</v>
      </c>
    </row>
    <row r="82" spans="1:19">
      <c r="A82" s="1054" t="s">
        <v>483</v>
      </c>
      <c r="B82" s="1083">
        <v>47.4</v>
      </c>
      <c r="C82" s="3579">
        <v>43</v>
      </c>
      <c r="D82" s="1079">
        <v>9.3000000000000007</v>
      </c>
      <c r="E82" s="3579">
        <v>6.3</v>
      </c>
      <c r="F82" s="3579">
        <v>1.8</v>
      </c>
      <c r="G82" s="2361">
        <f t="shared" si="0"/>
        <v>8.1</v>
      </c>
      <c r="H82" s="1078">
        <v>40.5</v>
      </c>
      <c r="I82" s="3579">
        <v>39</v>
      </c>
      <c r="J82" s="1079">
        <v>3.8</v>
      </c>
      <c r="K82" s="3579">
        <v>6.2</v>
      </c>
      <c r="L82" s="3579">
        <v>2.6</v>
      </c>
      <c r="M82" s="2361">
        <f t="shared" si="4"/>
        <v>8.8000000000000007</v>
      </c>
      <c r="N82" s="1094">
        <f>('2.6'!R82/'2.6'!Q82)*100</f>
        <v>46.003226752713402</v>
      </c>
      <c r="O82" s="3587">
        <f>('2.6'!S82/'2.6'!Q82)*100</f>
        <v>42.083455558814904</v>
      </c>
      <c r="P82" s="168">
        <f>('2.6'!T82/'2.6'!R82)*100</f>
        <v>8.520644029969711</v>
      </c>
      <c r="Q82" s="3579">
        <v>7</v>
      </c>
      <c r="R82" s="3579">
        <v>3.2</v>
      </c>
      <c r="S82" s="2362">
        <f t="shared" si="2"/>
        <v>10.199999999999999</v>
      </c>
    </row>
    <row r="83" spans="1:19">
      <c r="A83" s="1054" t="s">
        <v>484</v>
      </c>
      <c r="B83" s="1083">
        <v>48.7</v>
      </c>
      <c r="C83" s="3579">
        <v>44.6</v>
      </c>
      <c r="D83" s="1079">
        <v>8.6</v>
      </c>
      <c r="E83" s="3579">
        <v>6.6</v>
      </c>
      <c r="F83" s="3579">
        <v>2.2999999999999998</v>
      </c>
      <c r="G83" s="2361">
        <f t="shared" si="0"/>
        <v>8.8999999999999986</v>
      </c>
      <c r="H83" s="1078">
        <v>43.6</v>
      </c>
      <c r="I83" s="3579">
        <v>41.4</v>
      </c>
      <c r="J83" s="1079">
        <v>5.0999999999999996</v>
      </c>
      <c r="K83" s="3579">
        <v>6.4</v>
      </c>
      <c r="L83" s="3579">
        <v>2.4</v>
      </c>
      <c r="M83" s="2361">
        <f t="shared" si="4"/>
        <v>8.8000000000000007</v>
      </c>
      <c r="N83" s="1094">
        <f>('2.6'!R83/'2.6'!Q83)*100</f>
        <v>45.335527518742005</v>
      </c>
      <c r="O83" s="3587">
        <f>('2.6'!S83/'2.6'!Q83)*100</f>
        <v>41.905284329859207</v>
      </c>
      <c r="P83" s="168">
        <f>('2.6'!T83/'2.6'!R83)*100</f>
        <v>7.5582802290876829</v>
      </c>
      <c r="Q83" s="3579">
        <v>7.2</v>
      </c>
      <c r="R83" s="3579">
        <v>3.1</v>
      </c>
      <c r="S83" s="2362">
        <f t="shared" si="2"/>
        <v>10.3</v>
      </c>
    </row>
    <row r="84" spans="1:19">
      <c r="A84" s="1054" t="s">
        <v>485</v>
      </c>
      <c r="B84" s="1083">
        <v>47.8</v>
      </c>
      <c r="C84" s="3579">
        <v>42.9</v>
      </c>
      <c r="D84" s="1079">
        <v>10.3</v>
      </c>
      <c r="E84" s="3579">
        <v>7.3</v>
      </c>
      <c r="F84" s="3579">
        <v>3.5</v>
      </c>
      <c r="G84" s="2361">
        <f t="shared" si="0"/>
        <v>10.8</v>
      </c>
      <c r="H84" s="1078">
        <v>41.8</v>
      </c>
      <c r="I84" s="3579">
        <v>39.700000000000003</v>
      </c>
      <c r="J84" s="1079">
        <v>5.2</v>
      </c>
      <c r="K84" s="3579">
        <v>5</v>
      </c>
      <c r="L84" s="3579">
        <v>2</v>
      </c>
      <c r="M84" s="2361">
        <f t="shared" si="4"/>
        <v>7</v>
      </c>
      <c r="N84" s="1192">
        <v>45.5</v>
      </c>
      <c r="O84" s="3535">
        <v>41.3</v>
      </c>
      <c r="P84" s="615">
        <v>9.1999999999999993</v>
      </c>
      <c r="Q84" s="3579">
        <v>6.6</v>
      </c>
      <c r="R84" s="3579">
        <v>3.3</v>
      </c>
      <c r="S84" s="2362">
        <f t="shared" si="2"/>
        <v>9.8999999999999986</v>
      </c>
    </row>
    <row r="85" spans="1:19">
      <c r="A85" s="1054" t="s">
        <v>486</v>
      </c>
      <c r="B85" s="1083">
        <v>48.2</v>
      </c>
      <c r="C85" s="3579">
        <v>43</v>
      </c>
      <c r="D85" s="1079">
        <v>10.8</v>
      </c>
      <c r="E85" s="3579">
        <v>8.3000000000000007</v>
      </c>
      <c r="F85" s="3579">
        <v>2.8</v>
      </c>
      <c r="G85" s="2361">
        <f t="shared" si="0"/>
        <v>11.100000000000001</v>
      </c>
      <c r="H85" s="1078">
        <v>41.8</v>
      </c>
      <c r="I85" s="3579">
        <v>39.700000000000003</v>
      </c>
      <c r="J85" s="1079">
        <v>5.0999999999999996</v>
      </c>
      <c r="K85" s="3579">
        <v>4.3</v>
      </c>
      <c r="L85" s="3579">
        <v>2.2000000000000002</v>
      </c>
      <c r="M85" s="2361">
        <f t="shared" si="4"/>
        <v>6.5</v>
      </c>
      <c r="N85" s="1192">
        <v>45.4</v>
      </c>
      <c r="O85" s="3535">
        <v>41.5</v>
      </c>
      <c r="P85" s="615">
        <v>8.6999999999999993</v>
      </c>
      <c r="Q85" s="3579">
        <v>7.4</v>
      </c>
      <c r="R85" s="3579">
        <v>3.6</v>
      </c>
      <c r="S85" s="2362">
        <f t="shared" si="2"/>
        <v>11</v>
      </c>
    </row>
    <row r="86" spans="1:19">
      <c r="A86" s="1054" t="s">
        <v>487</v>
      </c>
      <c r="B86" s="1083">
        <v>46.5</v>
      </c>
      <c r="C86" s="3579">
        <v>42.6</v>
      </c>
      <c r="D86" s="1079">
        <v>8.4</v>
      </c>
      <c r="E86" s="3579">
        <v>6.9</v>
      </c>
      <c r="F86" s="3579">
        <v>1.9</v>
      </c>
      <c r="G86" s="2361">
        <f t="shared" si="0"/>
        <v>8.8000000000000007</v>
      </c>
      <c r="H86" s="1078">
        <v>42.6</v>
      </c>
      <c r="I86" s="3579">
        <v>41.2</v>
      </c>
      <c r="J86" s="1079">
        <v>3.1</v>
      </c>
      <c r="K86" s="3579">
        <v>5</v>
      </c>
      <c r="L86" s="3579">
        <v>4.0999999999999996</v>
      </c>
      <c r="M86" s="2361">
        <f t="shared" si="4"/>
        <v>9.1</v>
      </c>
      <c r="N86" s="1192">
        <v>46.3</v>
      </c>
      <c r="O86" s="3535">
        <v>42.4</v>
      </c>
      <c r="P86" s="615">
        <v>8.3000000000000007</v>
      </c>
      <c r="Q86" s="3579">
        <v>7.9</v>
      </c>
      <c r="R86" s="3579">
        <v>2.9</v>
      </c>
      <c r="S86" s="2362">
        <f t="shared" si="2"/>
        <v>10.8</v>
      </c>
    </row>
    <row r="87" spans="1:19">
      <c r="A87" s="1054" t="s">
        <v>488</v>
      </c>
      <c r="B87" s="1083">
        <v>46.4</v>
      </c>
      <c r="C87" s="3579">
        <v>42.8</v>
      </c>
      <c r="D87" s="1079">
        <v>7.6</v>
      </c>
      <c r="E87" s="3579">
        <v>8</v>
      </c>
      <c r="F87" s="3579">
        <v>1.6</v>
      </c>
      <c r="G87" s="2361">
        <f t="shared" si="0"/>
        <v>9.6</v>
      </c>
      <c r="H87" s="1078">
        <v>42</v>
      </c>
      <c r="I87" s="3579">
        <v>40.6</v>
      </c>
      <c r="J87" s="1079">
        <v>3.3</v>
      </c>
      <c r="K87" s="3579">
        <v>6.6</v>
      </c>
      <c r="L87" s="3579">
        <v>3.3</v>
      </c>
      <c r="M87" s="2361">
        <f t="shared" si="4"/>
        <v>9.8999999999999986</v>
      </c>
      <c r="N87" s="1192">
        <v>46.4</v>
      </c>
      <c r="O87" s="3535">
        <v>43</v>
      </c>
      <c r="P87" s="615">
        <v>7.2</v>
      </c>
      <c r="Q87" s="3579">
        <v>7.2</v>
      </c>
      <c r="R87" s="3579">
        <v>3</v>
      </c>
      <c r="S87" s="2362">
        <f t="shared" si="2"/>
        <v>10.199999999999999</v>
      </c>
    </row>
    <row r="88" spans="1:19">
      <c r="A88" s="1054" t="s">
        <v>489</v>
      </c>
      <c r="B88" s="1083">
        <v>48.7</v>
      </c>
      <c r="C88" s="3579">
        <v>44.2</v>
      </c>
      <c r="D88" s="1079">
        <v>9.1999999999999993</v>
      </c>
      <c r="E88" s="3579">
        <v>7</v>
      </c>
      <c r="F88" s="3579">
        <v>2</v>
      </c>
      <c r="G88" s="2361">
        <f t="shared" si="0"/>
        <v>9</v>
      </c>
      <c r="H88" s="1078">
        <v>43.3</v>
      </c>
      <c r="I88" s="3579">
        <v>40.4</v>
      </c>
      <c r="J88" s="1079">
        <v>6.7</v>
      </c>
      <c r="K88" s="3579">
        <v>5.3</v>
      </c>
      <c r="L88" s="3579">
        <v>3</v>
      </c>
      <c r="M88" s="2361">
        <f t="shared" si="4"/>
        <v>8.3000000000000007</v>
      </c>
      <c r="N88" s="1192">
        <v>46.7</v>
      </c>
      <c r="O88" s="3535">
        <v>42.4</v>
      </c>
      <c r="P88" s="615">
        <v>9.1</v>
      </c>
      <c r="Q88" s="3579">
        <v>6.8</v>
      </c>
      <c r="R88" s="3579">
        <v>3</v>
      </c>
      <c r="S88" s="2362">
        <f t="shared" si="2"/>
        <v>9.8000000000000007</v>
      </c>
    </row>
    <row r="89" spans="1:19">
      <c r="A89" s="1054" t="s">
        <v>490</v>
      </c>
      <c r="B89" s="1083">
        <v>47.5</v>
      </c>
      <c r="C89" s="3579">
        <v>43.7</v>
      </c>
      <c r="D89" s="1079">
        <v>8</v>
      </c>
      <c r="E89" s="3579">
        <v>8.5</v>
      </c>
      <c r="F89" s="3579">
        <v>4.2</v>
      </c>
      <c r="G89" s="2361">
        <f t="shared" si="0"/>
        <v>12.7</v>
      </c>
      <c r="H89" s="1078">
        <v>41.1</v>
      </c>
      <c r="I89" s="3579">
        <v>38.200000000000003</v>
      </c>
      <c r="J89" s="1079">
        <v>7</v>
      </c>
      <c r="K89" s="3579">
        <v>5.9</v>
      </c>
      <c r="L89" s="3579">
        <v>2.1</v>
      </c>
      <c r="M89" s="2361">
        <f t="shared" si="4"/>
        <v>8</v>
      </c>
      <c r="N89" s="1192">
        <v>46.4</v>
      </c>
      <c r="O89" s="3535">
        <v>41.9</v>
      </c>
      <c r="P89" s="615">
        <v>9.6</v>
      </c>
      <c r="Q89" s="3579">
        <v>7.7</v>
      </c>
      <c r="R89" s="3579">
        <v>3.5</v>
      </c>
      <c r="S89" s="2362">
        <f t="shared" si="2"/>
        <v>11.2</v>
      </c>
    </row>
    <row r="90" spans="1:19">
      <c r="A90" s="1054" t="s">
        <v>491</v>
      </c>
      <c r="B90" s="1083">
        <v>47.5</v>
      </c>
      <c r="C90" s="3579">
        <v>43.7</v>
      </c>
      <c r="D90" s="1079">
        <v>7.9</v>
      </c>
      <c r="E90" s="3579">
        <v>6.1</v>
      </c>
      <c r="F90" s="3579">
        <v>2.4</v>
      </c>
      <c r="G90" s="2361">
        <f t="shared" si="0"/>
        <v>8.5</v>
      </c>
      <c r="H90" s="1078">
        <v>40.700000000000003</v>
      </c>
      <c r="I90" s="3579">
        <v>39.200000000000003</v>
      </c>
      <c r="J90" s="1079">
        <v>3.6</v>
      </c>
      <c r="K90" s="3579">
        <v>5.3</v>
      </c>
      <c r="L90" s="3579">
        <v>1.9</v>
      </c>
      <c r="M90" s="2361">
        <f t="shared" si="4"/>
        <v>7.1999999999999993</v>
      </c>
      <c r="N90" s="1192">
        <v>46.7</v>
      </c>
      <c r="O90" s="3535">
        <v>42.5</v>
      </c>
      <c r="P90" s="615">
        <v>9</v>
      </c>
      <c r="Q90" s="3579">
        <v>8.3000000000000007</v>
      </c>
      <c r="R90" s="3579">
        <v>3.5</v>
      </c>
      <c r="S90" s="2362">
        <f t="shared" si="2"/>
        <v>11.8</v>
      </c>
    </row>
    <row r="91" spans="1:19">
      <c r="A91" s="1054" t="s">
        <v>492</v>
      </c>
      <c r="B91" s="1083">
        <v>46.6</v>
      </c>
      <c r="C91" s="3579">
        <v>40.700000000000003</v>
      </c>
      <c r="D91" s="1079">
        <v>12.8</v>
      </c>
      <c r="E91" s="3579">
        <v>9.9</v>
      </c>
      <c r="F91" s="3579">
        <v>2.9</v>
      </c>
      <c r="G91" s="2361">
        <f t="shared" si="0"/>
        <v>12.8</v>
      </c>
      <c r="H91" s="1078">
        <v>42.2</v>
      </c>
      <c r="I91" s="3579">
        <v>41</v>
      </c>
      <c r="J91" s="1079">
        <v>3</v>
      </c>
      <c r="K91" s="3579">
        <v>4.2</v>
      </c>
      <c r="L91" s="3579">
        <v>2.7</v>
      </c>
      <c r="M91" s="2361">
        <f t="shared" si="4"/>
        <v>6.9</v>
      </c>
      <c r="N91" s="1192">
        <v>46.5</v>
      </c>
      <c r="O91" s="3535">
        <v>42.2</v>
      </c>
      <c r="P91" s="615">
        <v>9.1</v>
      </c>
      <c r="Q91" s="3579">
        <v>8.6999999999999993</v>
      </c>
      <c r="R91" s="3579">
        <v>3.3</v>
      </c>
      <c r="S91" s="2362">
        <f t="shared" si="2"/>
        <v>12</v>
      </c>
    </row>
    <row r="92" spans="1:19">
      <c r="A92" s="1054" t="s">
        <v>493</v>
      </c>
      <c r="B92" s="1083">
        <v>47.3</v>
      </c>
      <c r="C92" s="3579">
        <v>41.7</v>
      </c>
      <c r="D92" s="1079">
        <v>11.7</v>
      </c>
      <c r="E92" s="3579">
        <v>8.4</v>
      </c>
      <c r="F92" s="3579">
        <v>3.4</v>
      </c>
      <c r="G92" s="2361">
        <f t="shared" ref="G92:G139" si="11">E92+F92</f>
        <v>11.8</v>
      </c>
      <c r="H92" s="1078">
        <v>41</v>
      </c>
      <c r="I92" s="3579">
        <v>38.799999999999997</v>
      </c>
      <c r="J92" s="1079">
        <v>5.5</v>
      </c>
      <c r="K92" s="3579">
        <v>4.2</v>
      </c>
      <c r="L92" s="3579">
        <v>1.5</v>
      </c>
      <c r="M92" s="2361">
        <f t="shared" si="4"/>
        <v>5.7</v>
      </c>
      <c r="N92" s="1192">
        <v>47</v>
      </c>
      <c r="O92" s="3535">
        <v>42.3</v>
      </c>
      <c r="P92" s="615">
        <v>10.1</v>
      </c>
      <c r="Q92" s="3579">
        <v>8.4</v>
      </c>
      <c r="R92" s="3579">
        <v>3.4</v>
      </c>
      <c r="S92" s="2362">
        <f t="shared" ref="S92:S139" si="12">Q92+R92</f>
        <v>11.8</v>
      </c>
    </row>
    <row r="93" spans="1:19">
      <c r="A93" s="1054" t="s">
        <v>494</v>
      </c>
      <c r="B93" s="1078">
        <v>47.6</v>
      </c>
      <c r="C93" s="3579">
        <v>42.6</v>
      </c>
      <c r="D93" s="1079">
        <v>10.6</v>
      </c>
      <c r="E93" s="3579">
        <v>8.1999999999999993</v>
      </c>
      <c r="F93" s="3579">
        <v>2.1</v>
      </c>
      <c r="G93" s="2361">
        <f t="shared" si="11"/>
        <v>10.299999999999999</v>
      </c>
      <c r="H93" s="1078">
        <v>41.3</v>
      </c>
      <c r="I93" s="3579">
        <v>38.200000000000003</v>
      </c>
      <c r="J93" s="1079">
        <v>7.4</v>
      </c>
      <c r="K93" s="3579">
        <v>5.6</v>
      </c>
      <c r="L93" s="3579">
        <v>1.7</v>
      </c>
      <c r="M93" s="2361">
        <f t="shared" si="4"/>
        <v>7.3</v>
      </c>
      <c r="N93" s="1192">
        <v>47.7</v>
      </c>
      <c r="O93" s="3535">
        <v>42.6</v>
      </c>
      <c r="P93" s="615">
        <v>10.6</v>
      </c>
      <c r="Q93" s="3579">
        <v>9.1999999999999993</v>
      </c>
      <c r="R93" s="3579">
        <v>3.9</v>
      </c>
      <c r="S93" s="2362">
        <f t="shared" si="12"/>
        <v>13.1</v>
      </c>
    </row>
    <row r="94" spans="1:19">
      <c r="A94" s="1054" t="s">
        <v>495</v>
      </c>
      <c r="B94" s="1083">
        <v>46.3</v>
      </c>
      <c r="C94" s="3579">
        <v>42.2</v>
      </c>
      <c r="D94" s="1079">
        <v>8.6999999999999993</v>
      </c>
      <c r="E94" s="3579">
        <v>8.6999999999999993</v>
      </c>
      <c r="F94" s="3579">
        <v>1.9</v>
      </c>
      <c r="G94" s="2361">
        <f t="shared" si="11"/>
        <v>10.6</v>
      </c>
      <c r="H94" s="1078">
        <v>42.2</v>
      </c>
      <c r="I94" s="3579">
        <v>40.1</v>
      </c>
      <c r="J94" s="1079">
        <v>5</v>
      </c>
      <c r="K94" s="3579">
        <v>5.3</v>
      </c>
      <c r="L94" s="3579">
        <v>2.4</v>
      </c>
      <c r="M94" s="2361">
        <f t="shared" ref="M94:M139" si="13">K94+L94</f>
        <v>7.6999999999999993</v>
      </c>
      <c r="N94" s="1192">
        <v>47.2</v>
      </c>
      <c r="O94" s="3535">
        <v>42.6</v>
      </c>
      <c r="P94" s="615">
        <v>9.6999999999999993</v>
      </c>
      <c r="Q94" s="3579">
        <v>9.5</v>
      </c>
      <c r="R94" s="3579">
        <v>3.3</v>
      </c>
      <c r="S94" s="2362">
        <f t="shared" si="12"/>
        <v>12.8</v>
      </c>
    </row>
    <row r="95" spans="1:19">
      <c r="A95" s="1054" t="s">
        <v>496</v>
      </c>
      <c r="B95" s="1083">
        <v>46.2</v>
      </c>
      <c r="C95" s="3579">
        <v>42.2</v>
      </c>
      <c r="D95" s="1079">
        <v>8.6999999999999993</v>
      </c>
      <c r="E95" s="3579">
        <v>10</v>
      </c>
      <c r="F95" s="3579">
        <v>1.3</v>
      </c>
      <c r="G95" s="2361">
        <f t="shared" si="11"/>
        <v>11.3</v>
      </c>
      <c r="H95" s="1078">
        <v>43.7</v>
      </c>
      <c r="I95" s="3579">
        <v>41.3</v>
      </c>
      <c r="J95" s="1079">
        <v>5.5</v>
      </c>
      <c r="K95" s="3579">
        <v>4.9000000000000004</v>
      </c>
      <c r="L95" s="3579">
        <v>2.6</v>
      </c>
      <c r="M95" s="2361">
        <f t="shared" si="13"/>
        <v>7.5</v>
      </c>
      <c r="N95" s="1192">
        <v>47.2</v>
      </c>
      <c r="O95" s="3535">
        <v>43</v>
      </c>
      <c r="P95" s="615">
        <v>8.9</v>
      </c>
      <c r="Q95" s="3579">
        <v>9.5</v>
      </c>
      <c r="R95" s="3579">
        <v>3.6</v>
      </c>
      <c r="S95" s="2362">
        <f t="shared" si="12"/>
        <v>13.1</v>
      </c>
    </row>
    <row r="96" spans="1:19">
      <c r="A96" s="1054" t="s">
        <v>497</v>
      </c>
      <c r="B96" s="1083">
        <v>48.2</v>
      </c>
      <c r="C96" s="3579">
        <v>42</v>
      </c>
      <c r="D96" s="1079">
        <v>12.9</v>
      </c>
      <c r="E96" s="3579">
        <v>10.3</v>
      </c>
      <c r="F96" s="3579">
        <v>2.6</v>
      </c>
      <c r="G96" s="2361">
        <f t="shared" si="11"/>
        <v>12.9</v>
      </c>
      <c r="H96" s="1078">
        <v>42.8</v>
      </c>
      <c r="I96" s="3579">
        <v>40.1</v>
      </c>
      <c r="J96" s="1079">
        <v>6.2</v>
      </c>
      <c r="K96" s="3579">
        <v>6.6</v>
      </c>
      <c r="L96" s="3579">
        <v>4.5999999999999996</v>
      </c>
      <c r="M96" s="2361">
        <f t="shared" si="13"/>
        <v>11.2</v>
      </c>
      <c r="N96" s="1192">
        <v>47.1</v>
      </c>
      <c r="O96" s="3535">
        <v>42.2</v>
      </c>
      <c r="P96" s="615">
        <v>10.4</v>
      </c>
      <c r="Q96" s="3579">
        <v>8.1999999999999993</v>
      </c>
      <c r="R96" s="3579">
        <v>3.5</v>
      </c>
      <c r="S96" s="2362">
        <f t="shared" si="12"/>
        <v>11.7</v>
      </c>
    </row>
    <row r="97" spans="1:19">
      <c r="A97" s="1054" t="s">
        <v>498</v>
      </c>
      <c r="B97" s="1083">
        <v>43</v>
      </c>
      <c r="C97" s="3579">
        <v>35.4</v>
      </c>
      <c r="D97" s="1079">
        <v>17.899999999999999</v>
      </c>
      <c r="E97" s="3579">
        <v>4.3</v>
      </c>
      <c r="F97" s="3579">
        <v>4.4000000000000004</v>
      </c>
      <c r="G97" s="2361">
        <f t="shared" si="11"/>
        <v>8.6999999999999993</v>
      </c>
      <c r="H97" s="1078">
        <v>38.200000000000003</v>
      </c>
      <c r="I97" s="3579">
        <v>30.5</v>
      </c>
      <c r="J97" s="1079">
        <v>20.3</v>
      </c>
      <c r="K97" s="3579">
        <v>1.8</v>
      </c>
      <c r="L97" s="3579">
        <v>4.8</v>
      </c>
      <c r="M97" s="2361">
        <f t="shared" si="13"/>
        <v>6.6</v>
      </c>
      <c r="N97" s="1192">
        <v>38.4</v>
      </c>
      <c r="O97" s="3535">
        <v>33.4</v>
      </c>
      <c r="P97" s="615">
        <v>13.1</v>
      </c>
      <c r="Q97" s="3579">
        <v>5</v>
      </c>
      <c r="R97" s="3579">
        <v>4.5999999999999996</v>
      </c>
      <c r="S97" s="2362">
        <f t="shared" si="12"/>
        <v>9.6</v>
      </c>
    </row>
    <row r="98" spans="1:19">
      <c r="A98" s="1054" t="s">
        <v>499</v>
      </c>
      <c r="B98" s="1083">
        <v>46.5227449705529</v>
      </c>
      <c r="C98" s="3579">
        <v>41.352450650558303</v>
      </c>
      <c r="D98" s="1079">
        <v>11.1134764796599</v>
      </c>
      <c r="E98" s="3579">
        <v>6.6073410567130502</v>
      </c>
      <c r="F98" s="3579">
        <v>5.7900971949798601</v>
      </c>
      <c r="G98" s="2361">
        <f t="shared" si="11"/>
        <v>12.397438251692911</v>
      </c>
      <c r="H98" s="1078">
        <v>43.851468629827501</v>
      </c>
      <c r="I98" s="3579">
        <v>39.681996378926002</v>
      </c>
      <c r="J98" s="3588">
        <v>9.5081701506924698</v>
      </c>
      <c r="K98" s="1085">
        <v>8.3181560326038309</v>
      </c>
      <c r="L98" s="3579">
        <v>5.1085301406264003</v>
      </c>
      <c r="M98" s="2361">
        <f t="shared" si="13"/>
        <v>13.42668617323023</v>
      </c>
      <c r="N98" s="1192">
        <v>42.308928043906597</v>
      </c>
      <c r="O98" s="3535">
        <v>37.374544805189998</v>
      </c>
      <c r="P98" s="615">
        <v>11.662747006012101</v>
      </c>
      <c r="Q98" s="3579">
        <v>8.0826647899998108</v>
      </c>
      <c r="R98" s="3579">
        <v>5.2919993995413499</v>
      </c>
      <c r="S98" s="2362">
        <f t="shared" si="12"/>
        <v>13.374664189541161</v>
      </c>
    </row>
    <row r="99" spans="1:19">
      <c r="A99" s="1054" t="s">
        <v>500</v>
      </c>
      <c r="B99" s="1083">
        <v>46.7</v>
      </c>
      <c r="C99" s="3579">
        <v>40.299999999999997</v>
      </c>
      <c r="D99" s="1079">
        <v>13.6</v>
      </c>
      <c r="E99" s="3579">
        <v>9</v>
      </c>
      <c r="F99" s="3579">
        <v>3.3</v>
      </c>
      <c r="G99" s="2361">
        <f t="shared" si="11"/>
        <v>12.3</v>
      </c>
      <c r="H99" s="1078">
        <v>44.9</v>
      </c>
      <c r="I99" s="3579">
        <v>41.4</v>
      </c>
      <c r="J99" s="1079">
        <v>7.8</v>
      </c>
      <c r="K99" s="3579">
        <v>6.7</v>
      </c>
      <c r="L99" s="3579">
        <v>5.3</v>
      </c>
      <c r="M99" s="2361">
        <f t="shared" si="13"/>
        <v>12</v>
      </c>
      <c r="N99" s="1192">
        <v>45.031156244554602</v>
      </c>
      <c r="O99" s="3535">
        <v>40.096672668128605</v>
      </c>
      <c r="P99" s="615">
        <v>10.957932213927201</v>
      </c>
      <c r="Q99" s="3579">
        <v>10.279587782320601</v>
      </c>
      <c r="R99" s="3579">
        <v>4.8226665171769305</v>
      </c>
      <c r="S99" s="2362">
        <f t="shared" si="12"/>
        <v>15.102254299497531</v>
      </c>
    </row>
    <row r="100" spans="1:19">
      <c r="A100" s="1054" t="s">
        <v>501</v>
      </c>
      <c r="B100" s="1083">
        <v>49.4</v>
      </c>
      <c r="C100" s="3579">
        <v>44</v>
      </c>
      <c r="D100" s="1079">
        <v>10.9</v>
      </c>
      <c r="E100" s="3579">
        <v>7.9</v>
      </c>
      <c r="F100" s="3579">
        <v>1.5</v>
      </c>
      <c r="G100" s="2361">
        <f t="shared" si="11"/>
        <v>9.4</v>
      </c>
      <c r="H100" s="1078">
        <v>46.2</v>
      </c>
      <c r="I100" s="3579">
        <v>42</v>
      </c>
      <c r="J100" s="1079">
        <v>9</v>
      </c>
      <c r="K100" s="3579">
        <v>7.8</v>
      </c>
      <c r="L100" s="3579">
        <v>3.4</v>
      </c>
      <c r="M100" s="2361">
        <f t="shared" si="13"/>
        <v>11.2</v>
      </c>
      <c r="N100" s="1192">
        <v>46.3</v>
      </c>
      <c r="O100" s="3535">
        <v>41.6</v>
      </c>
      <c r="P100" s="615">
        <v>10.199999999999999</v>
      </c>
      <c r="Q100" s="3579">
        <v>8.6999999999999993</v>
      </c>
      <c r="R100" s="3579">
        <v>3.2</v>
      </c>
      <c r="S100" s="2362">
        <f t="shared" si="12"/>
        <v>11.899999999999999</v>
      </c>
    </row>
    <row r="101" spans="1:19">
      <c r="A101" s="1054" t="s">
        <v>502</v>
      </c>
      <c r="B101" s="1083">
        <v>49.914433560707799</v>
      </c>
      <c r="C101" s="3579">
        <v>44.041580623603998</v>
      </c>
      <c r="D101" s="1079">
        <v>11.765841096766099</v>
      </c>
      <c r="E101" s="3579">
        <v>7.3692177565626702</v>
      </c>
      <c r="F101" s="3579">
        <v>2.8127775122538901</v>
      </c>
      <c r="G101" s="2361">
        <f t="shared" si="11"/>
        <v>10.181995268816561</v>
      </c>
      <c r="H101" s="1078">
        <v>45.838794537865901</v>
      </c>
      <c r="I101" s="3579">
        <v>41.758554337823099</v>
      </c>
      <c r="J101" s="1079">
        <v>8.9012816353017499</v>
      </c>
      <c r="K101" s="3579">
        <v>9.6422777417261507</v>
      </c>
      <c r="L101" s="3579">
        <v>4.93307916937054</v>
      </c>
      <c r="M101" s="2361">
        <f t="shared" si="13"/>
        <v>14.575356911096691</v>
      </c>
      <c r="N101" s="1192">
        <v>45.905307826609302</v>
      </c>
      <c r="O101" s="3535">
        <v>41.497983596051597</v>
      </c>
      <c r="P101" s="615">
        <v>9.6009033360691092</v>
      </c>
      <c r="Q101" s="3579">
        <v>8.49657861312925</v>
      </c>
      <c r="R101" s="3579">
        <v>3.9134201329079801</v>
      </c>
      <c r="S101" s="2362">
        <f t="shared" si="12"/>
        <v>12.40999874603723</v>
      </c>
    </row>
    <row r="102" spans="1:19">
      <c r="A102" s="1054" t="s">
        <v>503</v>
      </c>
      <c r="B102" s="1083">
        <v>49.9</v>
      </c>
      <c r="C102" s="3579">
        <v>46</v>
      </c>
      <c r="D102" s="1079">
        <v>7.8</v>
      </c>
      <c r="E102" s="3579">
        <v>7.5</v>
      </c>
      <c r="F102" s="3579">
        <v>2.9</v>
      </c>
      <c r="G102" s="2361">
        <f t="shared" si="11"/>
        <v>10.4</v>
      </c>
      <c r="H102" s="1078">
        <v>47</v>
      </c>
      <c r="I102" s="3579">
        <v>43</v>
      </c>
      <c r="J102" s="1079">
        <v>8.6</v>
      </c>
      <c r="K102" s="3579">
        <v>9</v>
      </c>
      <c r="L102" s="3579">
        <v>4.7</v>
      </c>
      <c r="M102" s="2361">
        <f t="shared" si="13"/>
        <v>13.7</v>
      </c>
      <c r="N102" s="1192">
        <v>46.707021599999997</v>
      </c>
      <c r="O102" s="3535">
        <v>42.860145699999997</v>
      </c>
      <c r="P102" s="615">
        <v>8.2361832899999996</v>
      </c>
      <c r="Q102" s="3579">
        <v>8.3336471400000001</v>
      </c>
      <c r="R102" s="3579">
        <v>3.85553334</v>
      </c>
      <c r="S102" s="2362">
        <f t="shared" si="12"/>
        <v>12.189180480000001</v>
      </c>
    </row>
    <row r="103" spans="1:19">
      <c r="A103" s="1054" t="s">
        <v>504</v>
      </c>
      <c r="B103" s="1083">
        <v>49.5</v>
      </c>
      <c r="C103" s="3579">
        <v>46.1</v>
      </c>
      <c r="D103" s="1079">
        <v>7</v>
      </c>
      <c r="E103" s="3579">
        <v>8.1999999999999993</v>
      </c>
      <c r="F103" s="3579">
        <v>3.7</v>
      </c>
      <c r="G103" s="2361">
        <f t="shared" si="11"/>
        <v>11.899999999999999</v>
      </c>
      <c r="H103" s="1078">
        <v>45.4</v>
      </c>
      <c r="I103" s="3579">
        <v>42.6</v>
      </c>
      <c r="J103" s="1079">
        <v>6.3</v>
      </c>
      <c r="K103" s="3579">
        <v>7.8</v>
      </c>
      <c r="L103" s="3579">
        <v>3.6</v>
      </c>
      <c r="M103" s="2361">
        <f t="shared" si="13"/>
        <v>11.4</v>
      </c>
      <c r="N103" s="1192">
        <v>46.9</v>
      </c>
      <c r="O103" s="3535">
        <v>43.6</v>
      </c>
      <c r="P103" s="615">
        <v>7</v>
      </c>
      <c r="Q103" s="3579">
        <v>8.6</v>
      </c>
      <c r="R103" s="3579">
        <v>3.5</v>
      </c>
      <c r="S103" s="2362">
        <f t="shared" si="12"/>
        <v>12.1</v>
      </c>
    </row>
    <row r="104" spans="1:19">
      <c r="A104" s="1054" t="s">
        <v>505</v>
      </c>
      <c r="B104" s="1083">
        <v>50.5</v>
      </c>
      <c r="C104" s="3579">
        <v>46.5</v>
      </c>
      <c r="D104" s="1079">
        <v>7.9</v>
      </c>
      <c r="E104" s="3579">
        <v>6.4</v>
      </c>
      <c r="F104" s="3579">
        <v>2.6</v>
      </c>
      <c r="G104" s="2361">
        <f t="shared" si="11"/>
        <v>9</v>
      </c>
      <c r="H104" s="1078">
        <v>45.8</v>
      </c>
      <c r="I104" s="3579">
        <v>42.6</v>
      </c>
      <c r="J104" s="1079">
        <v>7.1</v>
      </c>
      <c r="K104" s="3579">
        <v>6.1</v>
      </c>
      <c r="L104" s="3579">
        <v>2.4</v>
      </c>
      <c r="M104" s="2361">
        <f t="shared" si="13"/>
        <v>8.5</v>
      </c>
      <c r="N104" s="1192">
        <v>46.526264810000001</v>
      </c>
      <c r="O104" s="3535">
        <v>43.283747599999998</v>
      </c>
      <c r="P104" s="615">
        <v>6.9692188350000004</v>
      </c>
      <c r="Q104" s="3579">
        <v>6.8682628059999997</v>
      </c>
      <c r="R104" s="3579">
        <v>3.1458197320000001</v>
      </c>
      <c r="S104" s="2362">
        <f t="shared" si="12"/>
        <v>10.014082538</v>
      </c>
    </row>
    <row r="105" spans="1:19">
      <c r="A105" s="1054" t="s">
        <v>506</v>
      </c>
      <c r="B105" s="1083">
        <v>50.6</v>
      </c>
      <c r="C105" s="3579">
        <v>48.5</v>
      </c>
      <c r="D105" s="1079">
        <v>4.3</v>
      </c>
      <c r="E105" s="3579">
        <v>6</v>
      </c>
      <c r="F105" s="3579">
        <v>2.5</v>
      </c>
      <c r="G105" s="2361">
        <f t="shared" si="11"/>
        <v>8.5</v>
      </c>
      <c r="H105" s="1078">
        <v>47.7</v>
      </c>
      <c r="I105" s="3579">
        <v>44.2</v>
      </c>
      <c r="J105" s="1079">
        <v>7.3</v>
      </c>
      <c r="K105" s="3579">
        <v>9.9</v>
      </c>
      <c r="L105" s="3579">
        <v>4.5</v>
      </c>
      <c r="M105" s="2361">
        <f t="shared" si="13"/>
        <v>14.4</v>
      </c>
      <c r="N105" s="1192">
        <v>47.876797546724802</v>
      </c>
      <c r="O105" s="3535">
        <v>44.593370841383198</v>
      </c>
      <c r="P105" s="615">
        <v>6.8580750459284303</v>
      </c>
      <c r="Q105" s="3579">
        <v>7.6753172983098699</v>
      </c>
      <c r="R105" s="3579">
        <v>3.4517436747507002</v>
      </c>
      <c r="S105" s="2362">
        <f t="shared" si="12"/>
        <v>11.127060973060569</v>
      </c>
    </row>
    <row r="106" spans="1:19">
      <c r="A106" s="1054" t="s">
        <v>507</v>
      </c>
      <c r="B106" s="1083">
        <v>50.7</v>
      </c>
      <c r="C106" s="3579">
        <v>47.6</v>
      </c>
      <c r="D106" s="1079">
        <v>6</v>
      </c>
      <c r="E106" s="3579">
        <v>5.9</v>
      </c>
      <c r="F106" s="3579">
        <v>2.2999999999999998</v>
      </c>
      <c r="G106" s="2361">
        <f t="shared" si="11"/>
        <v>8.1999999999999993</v>
      </c>
      <c r="H106" s="1078">
        <v>46.7</v>
      </c>
      <c r="I106" s="3579">
        <v>42.7</v>
      </c>
      <c r="J106" s="1079">
        <v>8.6</v>
      </c>
      <c r="K106" s="3579">
        <v>8</v>
      </c>
      <c r="L106" s="3579">
        <v>2.4</v>
      </c>
      <c r="M106" s="2361">
        <f t="shared" si="13"/>
        <v>10.4</v>
      </c>
      <c r="N106" s="1192">
        <v>47.6</v>
      </c>
      <c r="O106" s="3535">
        <v>44.2</v>
      </c>
      <c r="P106" s="615">
        <v>7.1</v>
      </c>
      <c r="Q106" s="3579">
        <v>7.6</v>
      </c>
      <c r="R106" s="3579">
        <v>3.4</v>
      </c>
      <c r="S106" s="2362">
        <f t="shared" si="12"/>
        <v>11</v>
      </c>
    </row>
    <row r="107" spans="1:19">
      <c r="A107" s="1054" t="s">
        <v>508</v>
      </c>
      <c r="B107" s="1083">
        <v>49.348871030895197</v>
      </c>
      <c r="C107" s="3579">
        <v>46.224675106744002</v>
      </c>
      <c r="D107" s="1079">
        <v>6.33083565821648</v>
      </c>
      <c r="E107" s="3579">
        <v>5.3589186346311397</v>
      </c>
      <c r="F107" s="3579">
        <v>2.2149612653812598</v>
      </c>
      <c r="G107" s="2361">
        <f t="shared" si="11"/>
        <v>7.5738799000123995</v>
      </c>
      <c r="H107" s="1078">
        <v>46.311131204090103</v>
      </c>
      <c r="I107" s="3579">
        <v>43.127006617818701</v>
      </c>
      <c r="J107" s="1079">
        <v>6.8755059604120703</v>
      </c>
      <c r="K107" s="3579">
        <v>8.1148113462118392</v>
      </c>
      <c r="L107" s="3579">
        <v>3.2560040635565599</v>
      </c>
      <c r="M107" s="2361">
        <f t="shared" si="13"/>
        <v>11.370815409768399</v>
      </c>
      <c r="N107" s="1192">
        <v>47.6</v>
      </c>
      <c r="O107" s="3535">
        <v>44.6</v>
      </c>
      <c r="P107" s="615">
        <v>6.3</v>
      </c>
      <c r="Q107" s="3579">
        <v>7.1</v>
      </c>
      <c r="R107" s="3579">
        <v>3.8</v>
      </c>
      <c r="S107" s="2362">
        <f t="shared" si="12"/>
        <v>10.899999999999999</v>
      </c>
    </row>
    <row r="108" spans="1:19">
      <c r="A108" s="1054" t="s">
        <v>509</v>
      </c>
      <c r="B108" s="1083">
        <v>51.000434906941798</v>
      </c>
      <c r="C108" s="3579">
        <v>46.962800562400197</v>
      </c>
      <c r="D108" s="1079">
        <v>7.91686257560138</v>
      </c>
      <c r="E108" s="3579">
        <v>5.5398179434088402</v>
      </c>
      <c r="F108" s="3579">
        <v>1.95417337137617</v>
      </c>
      <c r="G108" s="2361">
        <f t="shared" si="11"/>
        <v>7.4939913147850099</v>
      </c>
      <c r="H108" s="1078">
        <v>44.890112611414501</v>
      </c>
      <c r="I108" s="3579">
        <v>41.611192536352398</v>
      </c>
      <c r="J108" s="1079">
        <v>7.3043257954053198</v>
      </c>
      <c r="K108" s="3579">
        <v>9.5178940658227003</v>
      </c>
      <c r="L108" s="3579">
        <v>2.0223277405013098</v>
      </c>
      <c r="M108" s="2361">
        <f t="shared" si="13"/>
        <v>11.540221806324009</v>
      </c>
      <c r="N108" s="1192">
        <v>48.3</v>
      </c>
      <c r="O108" s="3535">
        <v>45</v>
      </c>
      <c r="P108" s="615">
        <v>6.9</v>
      </c>
      <c r="Q108" s="3579">
        <v>6.3</v>
      </c>
      <c r="R108" s="3579">
        <v>3.1</v>
      </c>
      <c r="S108" s="2362">
        <f t="shared" si="12"/>
        <v>9.4</v>
      </c>
    </row>
    <row r="109" spans="1:19">
      <c r="A109" s="1054" t="s">
        <v>510</v>
      </c>
      <c r="B109" s="1083">
        <v>50.2</v>
      </c>
      <c r="C109" s="3579">
        <v>47.6</v>
      </c>
      <c r="D109" s="1079">
        <v>5.3</v>
      </c>
      <c r="E109" s="3579">
        <v>4.4000000000000004</v>
      </c>
      <c r="F109" s="3579">
        <v>1.8</v>
      </c>
      <c r="G109" s="2361">
        <f t="shared" si="11"/>
        <v>6.2</v>
      </c>
      <c r="H109" s="1078">
        <v>46.6</v>
      </c>
      <c r="I109" s="3579">
        <v>42.9</v>
      </c>
      <c r="J109" s="1079">
        <v>8.1</v>
      </c>
      <c r="K109" s="3579">
        <v>7.6</v>
      </c>
      <c r="L109" s="3579">
        <v>2.1</v>
      </c>
      <c r="M109" s="2361">
        <f t="shared" si="13"/>
        <v>9.6999999999999993</v>
      </c>
      <c r="N109" s="1192">
        <v>47.6</v>
      </c>
      <c r="O109" s="3535">
        <v>44.6</v>
      </c>
      <c r="P109" s="615">
        <v>6.2</v>
      </c>
      <c r="Q109" s="3579">
        <v>7.4</v>
      </c>
      <c r="R109" s="3579">
        <v>3.2</v>
      </c>
      <c r="S109" s="2362">
        <f t="shared" si="12"/>
        <v>10.600000000000001</v>
      </c>
    </row>
    <row r="110" spans="1:19">
      <c r="A110" s="1054" t="s">
        <v>511</v>
      </c>
      <c r="B110" s="1083">
        <v>48.9218243775586</v>
      </c>
      <c r="C110" s="3579">
        <v>46.349113704663303</v>
      </c>
      <c r="D110" s="1079">
        <v>5.2588199758051202</v>
      </c>
      <c r="E110" s="3579">
        <v>4.4991249466847396</v>
      </c>
      <c r="F110" s="3579">
        <v>1.5608279689200499</v>
      </c>
      <c r="G110" s="2361">
        <f t="shared" si="11"/>
        <v>6.0599529156047893</v>
      </c>
      <c r="H110" s="1078">
        <v>45.297539526034797</v>
      </c>
      <c r="I110" s="3579">
        <v>43.819756529494398</v>
      </c>
      <c r="J110" s="1079">
        <v>3.2623913175041901</v>
      </c>
      <c r="K110" s="3579">
        <v>7.5350507353089498</v>
      </c>
      <c r="L110" s="3579">
        <v>2.9888442839563498</v>
      </c>
      <c r="M110" s="2361">
        <f t="shared" si="13"/>
        <v>10.5238950192653</v>
      </c>
      <c r="N110" s="1192">
        <v>48.228177799999997</v>
      </c>
      <c r="O110" s="3535">
        <v>45.466617900000003</v>
      </c>
      <c r="P110" s="615">
        <v>5.7260298699999996</v>
      </c>
      <c r="Q110" s="3579">
        <v>6.7875460900000002</v>
      </c>
      <c r="R110" s="3579">
        <v>3.5343760899999999</v>
      </c>
      <c r="S110" s="2362">
        <f t="shared" si="12"/>
        <v>10.32192218</v>
      </c>
    </row>
    <row r="111" spans="1:19">
      <c r="A111" s="1054" t="s">
        <v>512</v>
      </c>
      <c r="B111" s="1083">
        <v>48.7</v>
      </c>
      <c r="C111" s="3579">
        <v>46.4</v>
      </c>
      <c r="D111" s="1079">
        <v>4.7</v>
      </c>
      <c r="E111" s="3579">
        <v>7.4</v>
      </c>
      <c r="F111" s="3579">
        <v>2.2000000000000002</v>
      </c>
      <c r="G111" s="2361">
        <f t="shared" si="11"/>
        <v>9.6000000000000014</v>
      </c>
      <c r="H111" s="1078">
        <v>44.3</v>
      </c>
      <c r="I111" s="3579">
        <v>41.5</v>
      </c>
      <c r="J111" s="1079">
        <v>6.3</v>
      </c>
      <c r="K111" s="3579">
        <v>8.1999999999999993</v>
      </c>
      <c r="L111" s="3579">
        <v>3.2</v>
      </c>
      <c r="M111" s="2361">
        <f t="shared" si="13"/>
        <v>11.399999999999999</v>
      </c>
      <c r="N111" s="1192">
        <v>48.6</v>
      </c>
      <c r="O111" s="3535">
        <v>45.8</v>
      </c>
      <c r="P111" s="615">
        <v>5.7</v>
      </c>
      <c r="Q111" s="3579">
        <v>6.8</v>
      </c>
      <c r="R111" s="3579">
        <v>3.7</v>
      </c>
      <c r="S111" s="2362">
        <f t="shared" si="12"/>
        <v>10.5</v>
      </c>
    </row>
    <row r="112" spans="1:19">
      <c r="A112" s="1054" t="s">
        <v>513</v>
      </c>
      <c r="B112" s="1083">
        <v>48.6</v>
      </c>
      <c r="C112" s="3579">
        <v>45.9</v>
      </c>
      <c r="D112" s="1079">
        <v>5.6</v>
      </c>
      <c r="E112" s="3579">
        <v>5.9</v>
      </c>
      <c r="F112" s="3579">
        <v>2.2000000000000002</v>
      </c>
      <c r="G112" s="2361">
        <f t="shared" si="11"/>
        <v>8.1000000000000014</v>
      </c>
      <c r="H112" s="1078">
        <v>45.3</v>
      </c>
      <c r="I112" s="3579">
        <v>41.8</v>
      </c>
      <c r="J112" s="1079">
        <v>7.6</v>
      </c>
      <c r="K112" s="3579">
        <v>8.9</v>
      </c>
      <c r="L112" s="3579">
        <v>3.9</v>
      </c>
      <c r="M112" s="2361">
        <f t="shared" si="13"/>
        <v>12.8</v>
      </c>
      <c r="N112" s="1192">
        <v>48</v>
      </c>
      <c r="O112" s="3535">
        <v>44.3</v>
      </c>
      <c r="P112" s="615">
        <v>7.7</v>
      </c>
      <c r="Q112" s="3579">
        <v>7</v>
      </c>
      <c r="R112" s="3579">
        <v>3.2</v>
      </c>
      <c r="S112" s="2362">
        <f t="shared" si="12"/>
        <v>10.199999999999999</v>
      </c>
    </row>
    <row r="113" spans="1:19">
      <c r="A113" s="1054" t="s">
        <v>514</v>
      </c>
      <c r="B113" s="1083">
        <v>50.839738452302399</v>
      </c>
      <c r="C113" s="3579">
        <v>47.160282249120897</v>
      </c>
      <c r="D113" s="1079">
        <v>7.2373625734395901</v>
      </c>
      <c r="E113" s="3579">
        <v>5.1572043511139496</v>
      </c>
      <c r="F113" s="3579">
        <v>2.3570472921877701</v>
      </c>
      <c r="G113" s="2361">
        <f t="shared" si="11"/>
        <v>7.5142516433017192</v>
      </c>
      <c r="H113" s="1078">
        <v>45.450315864465402</v>
      </c>
      <c r="I113" s="3579">
        <v>41.750630638489703</v>
      </c>
      <c r="J113" s="1079">
        <v>8.1400649381807693</v>
      </c>
      <c r="K113" s="3579">
        <v>10.2509556788919</v>
      </c>
      <c r="L113" s="3579">
        <v>2.1816669599014702</v>
      </c>
      <c r="M113" s="2361">
        <f t="shared" si="13"/>
        <v>12.43262263879337</v>
      </c>
      <c r="N113" s="1217">
        <f>('2.6'!R113/'2.6'!Q113)*100</f>
        <v>48.509445298412061</v>
      </c>
      <c r="O113" s="3580">
        <f>('2.6'!S113/'2.6'!Q113)*100</f>
        <v>44.839990717668414</v>
      </c>
      <c r="P113" s="1604">
        <f>('2.6'!T113/'2.6'!R113)*100</f>
        <v>7.5644125760880616</v>
      </c>
      <c r="Q113" s="3579">
        <v>8.0713801567301608</v>
      </c>
      <c r="R113" s="3579">
        <v>3.7393525025880798</v>
      </c>
      <c r="S113" s="2362">
        <f t="shared" si="12"/>
        <v>11.810732659318241</v>
      </c>
    </row>
    <row r="114" spans="1:19">
      <c r="A114" s="1054" t="s">
        <v>515</v>
      </c>
      <c r="B114" s="1083">
        <v>50.6</v>
      </c>
      <c r="C114" s="3579">
        <v>47.7</v>
      </c>
      <c r="D114" s="1079">
        <v>5.8</v>
      </c>
      <c r="E114" s="3579">
        <v>9.1999999999999993</v>
      </c>
      <c r="F114" s="3579">
        <v>3.9</v>
      </c>
      <c r="G114" s="2361">
        <f t="shared" si="11"/>
        <v>13.1</v>
      </c>
      <c r="H114" s="1078">
        <v>45</v>
      </c>
      <c r="I114" s="3579">
        <v>42</v>
      </c>
      <c r="J114" s="1079">
        <v>6.7</v>
      </c>
      <c r="K114" s="3579">
        <v>10.4</v>
      </c>
      <c r="L114" s="3579">
        <v>5.4</v>
      </c>
      <c r="M114" s="2361">
        <f t="shared" si="13"/>
        <v>15.8</v>
      </c>
      <c r="N114" s="1217">
        <f>('2.6'!R114/'2.6'!Q114)*100</f>
        <v>48.324360699865409</v>
      </c>
      <c r="O114" s="3580">
        <f>('2.6'!S114/'2.6'!Q114)*100</f>
        <v>44.979946164199198</v>
      </c>
      <c r="P114" s="1604">
        <f>('2.6'!T114/'2.6'!R114)*100</f>
        <v>6.9210416376549233</v>
      </c>
      <c r="Q114" s="3579">
        <v>8.1</v>
      </c>
      <c r="R114" s="3579">
        <v>3.3</v>
      </c>
      <c r="S114" s="2362">
        <f t="shared" si="12"/>
        <v>11.399999999999999</v>
      </c>
    </row>
    <row r="115" spans="1:19">
      <c r="A115" s="1054" t="s">
        <v>516</v>
      </c>
      <c r="B115" s="1083">
        <v>50.1</v>
      </c>
      <c r="C115" s="3579">
        <v>47.1</v>
      </c>
      <c r="D115" s="1079">
        <v>6</v>
      </c>
      <c r="E115" s="3579">
        <v>7.5</v>
      </c>
      <c r="F115" s="3579">
        <v>0.9</v>
      </c>
      <c r="G115" s="2361">
        <f t="shared" si="11"/>
        <v>8.4</v>
      </c>
      <c r="H115" s="1078">
        <v>44.3</v>
      </c>
      <c r="I115" s="3579">
        <v>42</v>
      </c>
      <c r="J115" s="1079">
        <v>5.0999999999999996</v>
      </c>
      <c r="K115" s="3579">
        <v>7.9</v>
      </c>
      <c r="L115" s="3579">
        <v>5.5</v>
      </c>
      <c r="M115" s="2361">
        <f t="shared" si="13"/>
        <v>13.4</v>
      </c>
      <c r="N115" s="1217">
        <f>('2.6'!R115/'2.6'!Q115)*100</f>
        <v>48.794654848240668</v>
      </c>
      <c r="O115" s="3580">
        <f>('2.6'!S115/'2.6'!Q115)*100</f>
        <v>45.650295460650014</v>
      </c>
      <c r="P115" s="1604">
        <f>('2.6'!T115/'2.6'!R115)*100</f>
        <v>6.4473955824674887</v>
      </c>
      <c r="Q115" s="3579">
        <v>7.6</v>
      </c>
      <c r="R115" s="3579">
        <v>3.6</v>
      </c>
      <c r="S115" s="2362">
        <f t="shared" si="12"/>
        <v>11.2</v>
      </c>
    </row>
    <row r="116" spans="1:19">
      <c r="A116" s="1054" t="s">
        <v>517</v>
      </c>
      <c r="B116" s="1083">
        <v>50.2</v>
      </c>
      <c r="C116" s="3579">
        <v>46.6</v>
      </c>
      <c r="D116" s="1079">
        <v>7.1</v>
      </c>
      <c r="E116" s="3579">
        <v>5</v>
      </c>
      <c r="F116" s="3579">
        <v>3.2</v>
      </c>
      <c r="G116" s="2361">
        <f t="shared" si="11"/>
        <v>8.1999999999999993</v>
      </c>
      <c r="H116" s="1078">
        <v>43.2</v>
      </c>
      <c r="I116" s="3579">
        <v>41.4</v>
      </c>
      <c r="J116" s="1079">
        <v>4.2</v>
      </c>
      <c r="K116" s="3579">
        <v>6.4</v>
      </c>
      <c r="L116" s="3579">
        <v>2.8</v>
      </c>
      <c r="M116" s="2361">
        <f t="shared" si="13"/>
        <v>9.1999999999999993</v>
      </c>
      <c r="N116" s="1217">
        <f>('2.6'!R116/'2.6'!Q116)*100</f>
        <v>48.227256191523367</v>
      </c>
      <c r="O116" s="3580">
        <f>('2.6'!S116/'2.6'!Q116)*100</f>
        <v>44.422320260897024</v>
      </c>
      <c r="P116" s="1604">
        <f>('2.6'!T116/'2.6'!R116)*100</f>
        <v>7.8919168639356414</v>
      </c>
      <c r="Q116" s="3579">
        <v>7</v>
      </c>
      <c r="R116" s="3579">
        <v>3</v>
      </c>
      <c r="S116" s="2362">
        <f t="shared" si="12"/>
        <v>10</v>
      </c>
    </row>
    <row r="117" spans="1:19">
      <c r="A117" s="1054" t="s">
        <v>518</v>
      </c>
      <c r="B117" s="1083">
        <v>52.849201932330203</v>
      </c>
      <c r="C117" s="3579">
        <v>48.777149041002801</v>
      </c>
      <c r="D117" s="1079">
        <v>7.7050414054338301</v>
      </c>
      <c r="E117" s="3579">
        <v>7.0907414027907798</v>
      </c>
      <c r="F117" s="3579">
        <v>2.7742266650159202</v>
      </c>
      <c r="G117" s="2361">
        <f t="shared" si="11"/>
        <v>9.8649680678067</v>
      </c>
      <c r="H117" s="1078">
        <v>43.8017602546199</v>
      </c>
      <c r="I117" s="3579">
        <v>41.382582933685498</v>
      </c>
      <c r="J117" s="1079">
        <v>5.5230139311106203</v>
      </c>
      <c r="K117" s="3579">
        <v>6.4193503208851297</v>
      </c>
      <c r="L117" s="3579">
        <v>3.5334437277048698</v>
      </c>
      <c r="M117" s="2361">
        <f t="shared" si="13"/>
        <v>9.9527940485900004</v>
      </c>
      <c r="N117" s="1217">
        <f>('2.6'!R117/'2.6'!Q117)*100</f>
        <v>48.130180608544585</v>
      </c>
      <c r="O117" s="3580">
        <f>('2.6'!S117/'2.6'!Q117)*100</f>
        <v>44.475822442058785</v>
      </c>
      <c r="P117" s="1604">
        <f>('2.6'!T117/'2.6'!R117)*100</f>
        <v>7.5787609358012267</v>
      </c>
      <c r="Q117" s="3579">
        <v>7.8852772206197699</v>
      </c>
      <c r="R117" s="3579">
        <v>3.7015753895854902</v>
      </c>
      <c r="S117" s="2362">
        <f t="shared" si="12"/>
        <v>11.586852610205259</v>
      </c>
    </row>
    <row r="118" spans="1:19">
      <c r="A118" s="1054" t="s">
        <v>519</v>
      </c>
      <c r="B118" s="1083">
        <v>53.3</v>
      </c>
      <c r="C118" s="3579">
        <v>48.6</v>
      </c>
      <c r="D118" s="1079">
        <v>8.9</v>
      </c>
      <c r="E118" s="3579">
        <v>6.5</v>
      </c>
      <c r="F118" s="3579">
        <v>3.2</v>
      </c>
      <c r="G118" s="2361">
        <f t="shared" si="11"/>
        <v>9.6999999999999993</v>
      </c>
      <c r="H118" s="1078">
        <v>44.5</v>
      </c>
      <c r="I118" s="3579">
        <v>41.7</v>
      </c>
      <c r="J118" s="1079">
        <v>6.2</v>
      </c>
      <c r="K118" s="3579">
        <v>7.6</v>
      </c>
      <c r="L118" s="3579">
        <v>1.8</v>
      </c>
      <c r="M118" s="2361">
        <f t="shared" si="13"/>
        <v>9.4</v>
      </c>
      <c r="N118" s="1217">
        <f>('2.6'!R118/'2.6'!Q118)*100</f>
        <v>48.59573017569776</v>
      </c>
      <c r="O118" s="3580">
        <f>('2.6'!S118/'2.6'!Q118)*100</f>
        <v>45.399229429775296</v>
      </c>
      <c r="P118" s="1604">
        <f>('2.6'!T118/'2.6'!R118)*100</f>
        <v>6.577739925638582</v>
      </c>
      <c r="Q118" s="3579">
        <v>7.3</v>
      </c>
      <c r="R118" s="3579">
        <v>3.6</v>
      </c>
      <c r="S118" s="2362">
        <f t="shared" si="12"/>
        <v>10.9</v>
      </c>
    </row>
    <row r="119" spans="1:19">
      <c r="A119" s="1054" t="s">
        <v>520</v>
      </c>
      <c r="B119" s="1083">
        <v>52.5</v>
      </c>
      <c r="C119" s="3579">
        <v>49.1</v>
      </c>
      <c r="D119" s="1079">
        <v>6.5</v>
      </c>
      <c r="E119" s="3579">
        <v>9.6</v>
      </c>
      <c r="F119" s="3579">
        <v>3.3</v>
      </c>
      <c r="G119" s="2361">
        <f t="shared" si="11"/>
        <v>12.899999999999999</v>
      </c>
      <c r="H119" s="1078">
        <v>45.9</v>
      </c>
      <c r="I119" s="3579">
        <v>43.7</v>
      </c>
      <c r="J119" s="1079">
        <v>4.8</v>
      </c>
      <c r="K119" s="3579">
        <v>5.7</v>
      </c>
      <c r="L119" s="3579">
        <v>3.4</v>
      </c>
      <c r="M119" s="2361">
        <f t="shared" si="13"/>
        <v>9.1</v>
      </c>
      <c r="N119" s="1217">
        <f>('2.6'!R119/'2.6'!Q119)*100</f>
        <v>48.599873472513565</v>
      </c>
      <c r="O119" s="3580">
        <f>('2.6'!S119/'2.6'!Q119)*100</f>
        <v>44.960543402257521</v>
      </c>
      <c r="P119" s="1604">
        <f>('2.6'!T119/'2.6'!R119)*100</f>
        <v>7.4883529734173742</v>
      </c>
      <c r="Q119" s="3579">
        <v>7.8</v>
      </c>
      <c r="R119" s="3579">
        <v>3.6</v>
      </c>
      <c r="S119" s="2362">
        <f t="shared" si="12"/>
        <v>11.4</v>
      </c>
    </row>
    <row r="120" spans="1:19">
      <c r="A120" s="1054" t="s">
        <v>521</v>
      </c>
      <c r="B120" s="1083" t="e">
        <v>#N/A</v>
      </c>
      <c r="C120" s="3579" t="e">
        <v>#N/A</v>
      </c>
      <c r="D120" s="1079" t="e">
        <v>#N/A</v>
      </c>
      <c r="E120" s="3579" t="e">
        <v>#N/A</v>
      </c>
      <c r="F120" s="3579" t="e">
        <v>#N/A</v>
      </c>
      <c r="G120" s="2361" t="e">
        <f t="shared" si="11"/>
        <v>#N/A</v>
      </c>
      <c r="H120" s="1078" t="e">
        <v>#N/A</v>
      </c>
      <c r="I120" s="3579" t="e">
        <v>#N/A</v>
      </c>
      <c r="J120" s="1079" t="e">
        <v>#N/A</v>
      </c>
      <c r="K120" s="3579" t="e">
        <v>#N/A</v>
      </c>
      <c r="L120" s="3579" t="e">
        <v>#N/A</v>
      </c>
      <c r="M120" s="2361" t="e">
        <f t="shared" si="13"/>
        <v>#N/A</v>
      </c>
      <c r="N120" s="1217" t="e">
        <f>('2.6'!R120/'2.6'!Q120)*100</f>
        <v>#N/A</v>
      </c>
      <c r="O120" s="3580" t="e">
        <f>('2.6'!S120/'2.6'!Q120)*100</f>
        <v>#N/A</v>
      </c>
      <c r="P120" s="1604" t="e">
        <f>('2.6'!T120/'2.6'!R120)*100</f>
        <v>#N/A</v>
      </c>
      <c r="Q120" s="3579" t="e">
        <v>#N/A</v>
      </c>
      <c r="R120" s="3579" t="e">
        <v>#N/A</v>
      </c>
      <c r="S120" s="2362" t="e">
        <f t="shared" si="12"/>
        <v>#N/A</v>
      </c>
    </row>
    <row r="121" spans="1:19">
      <c r="A121" s="1054" t="s">
        <v>522</v>
      </c>
      <c r="B121" s="1083" t="e">
        <v>#N/A</v>
      </c>
      <c r="C121" s="3579" t="e">
        <v>#N/A</v>
      </c>
      <c r="D121" s="1079" t="e">
        <v>#N/A</v>
      </c>
      <c r="E121" s="3579" t="e">
        <v>#N/A</v>
      </c>
      <c r="F121" s="3579" t="e">
        <v>#N/A</v>
      </c>
      <c r="G121" s="2361" t="e">
        <f t="shared" si="11"/>
        <v>#N/A</v>
      </c>
      <c r="H121" s="1078" t="e">
        <v>#N/A</v>
      </c>
      <c r="I121" s="3579" t="e">
        <v>#N/A</v>
      </c>
      <c r="J121" s="1079" t="e">
        <v>#N/A</v>
      </c>
      <c r="K121" s="3579" t="e">
        <v>#N/A</v>
      </c>
      <c r="L121" s="3579" t="e">
        <v>#N/A</v>
      </c>
      <c r="M121" s="2361" t="e">
        <f t="shared" si="13"/>
        <v>#N/A</v>
      </c>
      <c r="N121" s="1217" t="e">
        <f>('2.6'!R121/'2.6'!Q121)*100</f>
        <v>#N/A</v>
      </c>
      <c r="O121" s="3580" t="e">
        <f>('2.6'!S121/'2.6'!Q121)*100</f>
        <v>#N/A</v>
      </c>
      <c r="P121" s="1604" t="e">
        <f>('2.6'!T121/'2.6'!R121)*100</f>
        <v>#N/A</v>
      </c>
      <c r="Q121" s="3579" t="e">
        <v>#N/A</v>
      </c>
      <c r="R121" s="3579" t="e">
        <v>#N/A</v>
      </c>
      <c r="S121" s="2362" t="e">
        <f t="shared" si="12"/>
        <v>#N/A</v>
      </c>
    </row>
    <row r="122" spans="1:19">
      <c r="A122" s="1054" t="s">
        <v>523</v>
      </c>
      <c r="B122" s="1083" t="e">
        <v>#N/A</v>
      </c>
      <c r="C122" s="3579" t="e">
        <v>#N/A</v>
      </c>
      <c r="D122" s="1079" t="e">
        <v>#N/A</v>
      </c>
      <c r="E122" s="3579" t="e">
        <v>#N/A</v>
      </c>
      <c r="F122" s="3579" t="e">
        <v>#N/A</v>
      </c>
      <c r="G122" s="2361" t="e">
        <f t="shared" si="11"/>
        <v>#N/A</v>
      </c>
      <c r="H122" s="1078" t="e">
        <v>#N/A</v>
      </c>
      <c r="I122" s="3579" t="e">
        <v>#N/A</v>
      </c>
      <c r="J122" s="1079" t="e">
        <v>#N/A</v>
      </c>
      <c r="K122" s="3579" t="e">
        <v>#N/A</v>
      </c>
      <c r="L122" s="3579" t="e">
        <v>#N/A</v>
      </c>
      <c r="M122" s="2361" t="e">
        <f t="shared" si="13"/>
        <v>#N/A</v>
      </c>
      <c r="N122" s="1217" t="e">
        <f>('2.6'!R122/'2.6'!Q122)*100</f>
        <v>#N/A</v>
      </c>
      <c r="O122" s="3580" t="e">
        <f>('2.6'!S122/'2.6'!Q122)*100</f>
        <v>#N/A</v>
      </c>
      <c r="P122" s="1604" t="e">
        <f>('2.6'!T122/'2.6'!R122)*100</f>
        <v>#N/A</v>
      </c>
      <c r="Q122" s="3579" t="e">
        <v>#N/A</v>
      </c>
      <c r="R122" s="3579" t="e">
        <v>#N/A</v>
      </c>
      <c r="S122" s="2362" t="e">
        <f t="shared" si="12"/>
        <v>#N/A</v>
      </c>
    </row>
    <row r="123" spans="1:19">
      <c r="A123" s="1054" t="s">
        <v>524</v>
      </c>
      <c r="B123" s="1083" t="e">
        <v>#N/A</v>
      </c>
      <c r="C123" s="3579" t="e">
        <v>#N/A</v>
      </c>
      <c r="D123" s="1079" t="e">
        <v>#N/A</v>
      </c>
      <c r="E123" s="3579" t="e">
        <v>#N/A</v>
      </c>
      <c r="F123" s="3579" t="e">
        <v>#N/A</v>
      </c>
      <c r="G123" s="2361" t="e">
        <f t="shared" si="11"/>
        <v>#N/A</v>
      </c>
      <c r="H123" s="1078" t="e">
        <v>#N/A</v>
      </c>
      <c r="I123" s="3579" t="e">
        <v>#N/A</v>
      </c>
      <c r="J123" s="1079" t="e">
        <v>#N/A</v>
      </c>
      <c r="K123" s="3579" t="e">
        <v>#N/A</v>
      </c>
      <c r="L123" s="3579" t="e">
        <v>#N/A</v>
      </c>
      <c r="M123" s="2361" t="e">
        <f t="shared" si="13"/>
        <v>#N/A</v>
      </c>
      <c r="N123" s="1217" t="e">
        <f>('2.6'!R123/'2.6'!Q123)*100</f>
        <v>#N/A</v>
      </c>
      <c r="O123" s="3580" t="e">
        <f>('2.6'!S123/'2.6'!Q123)*100</f>
        <v>#N/A</v>
      </c>
      <c r="P123" s="1604" t="e">
        <f>('2.6'!T123/'2.6'!R123)*100</f>
        <v>#N/A</v>
      </c>
      <c r="Q123" s="3579" t="e">
        <v>#N/A</v>
      </c>
      <c r="R123" s="3579" t="e">
        <v>#N/A</v>
      </c>
      <c r="S123" s="2362" t="e">
        <f t="shared" si="12"/>
        <v>#N/A</v>
      </c>
    </row>
    <row r="124" spans="1:19">
      <c r="A124" s="1054" t="s">
        <v>525</v>
      </c>
      <c r="B124" s="1083" t="e">
        <v>#N/A</v>
      </c>
      <c r="C124" s="3579" t="e">
        <v>#N/A</v>
      </c>
      <c r="D124" s="1079" t="e">
        <v>#N/A</v>
      </c>
      <c r="E124" s="3579" t="e">
        <v>#N/A</v>
      </c>
      <c r="F124" s="3579" t="e">
        <v>#N/A</v>
      </c>
      <c r="G124" s="2361" t="e">
        <f t="shared" si="11"/>
        <v>#N/A</v>
      </c>
      <c r="H124" s="1078" t="e">
        <v>#N/A</v>
      </c>
      <c r="I124" s="3579" t="e">
        <v>#N/A</v>
      </c>
      <c r="J124" s="1079" t="e">
        <v>#N/A</v>
      </c>
      <c r="K124" s="3579" t="e">
        <v>#N/A</v>
      </c>
      <c r="L124" s="3579" t="e">
        <v>#N/A</v>
      </c>
      <c r="M124" s="2361" t="e">
        <f t="shared" si="13"/>
        <v>#N/A</v>
      </c>
      <c r="N124" s="1217" t="e">
        <f>('2.6'!R124/'2.6'!Q124)*100</f>
        <v>#N/A</v>
      </c>
      <c r="O124" s="3580" t="e">
        <f>('2.6'!S124/'2.6'!Q124)*100</f>
        <v>#N/A</v>
      </c>
      <c r="P124" s="1604" t="e">
        <f>('2.6'!T124/'2.6'!R124)*100</f>
        <v>#N/A</v>
      </c>
      <c r="Q124" s="3579" t="e">
        <v>#N/A</v>
      </c>
      <c r="R124" s="3579" t="e">
        <v>#N/A</v>
      </c>
      <c r="S124" s="2362" t="e">
        <f t="shared" si="12"/>
        <v>#N/A</v>
      </c>
    </row>
    <row r="125" spans="1:19">
      <c r="A125" s="1054" t="s">
        <v>526</v>
      </c>
      <c r="B125" s="1083" t="e">
        <v>#N/A</v>
      </c>
      <c r="C125" s="3579" t="e">
        <v>#N/A</v>
      </c>
      <c r="D125" s="1079" t="e">
        <v>#N/A</v>
      </c>
      <c r="E125" s="3579" t="e">
        <v>#N/A</v>
      </c>
      <c r="F125" s="3579" t="e">
        <v>#N/A</v>
      </c>
      <c r="G125" s="2361" t="e">
        <f t="shared" si="11"/>
        <v>#N/A</v>
      </c>
      <c r="H125" s="1078" t="e">
        <v>#N/A</v>
      </c>
      <c r="I125" s="3579" t="e">
        <v>#N/A</v>
      </c>
      <c r="J125" s="1079" t="e">
        <v>#N/A</v>
      </c>
      <c r="K125" s="3579" t="e">
        <v>#N/A</v>
      </c>
      <c r="L125" s="3579" t="e">
        <v>#N/A</v>
      </c>
      <c r="M125" s="2361" t="e">
        <f t="shared" si="13"/>
        <v>#N/A</v>
      </c>
      <c r="N125" s="1217" t="e">
        <f>('2.6'!R125/'2.6'!Q125)*100</f>
        <v>#N/A</v>
      </c>
      <c r="O125" s="3580" t="e">
        <f>('2.6'!S125/'2.6'!Q125)*100</f>
        <v>#N/A</v>
      </c>
      <c r="P125" s="1604" t="e">
        <f>('2.6'!T125/'2.6'!R125)*100</f>
        <v>#N/A</v>
      </c>
      <c r="Q125" s="3579" t="e">
        <v>#N/A</v>
      </c>
      <c r="R125" s="3579" t="e">
        <v>#N/A</v>
      </c>
      <c r="S125" s="2362" t="e">
        <f t="shared" si="12"/>
        <v>#N/A</v>
      </c>
    </row>
    <row r="126" spans="1:19">
      <c r="A126" s="1054" t="s">
        <v>527</v>
      </c>
      <c r="B126" s="1083" t="e">
        <v>#N/A</v>
      </c>
      <c r="C126" s="3579" t="e">
        <v>#N/A</v>
      </c>
      <c r="D126" s="1079" t="e">
        <v>#N/A</v>
      </c>
      <c r="E126" s="3579" t="e">
        <v>#N/A</v>
      </c>
      <c r="F126" s="3579" t="e">
        <v>#N/A</v>
      </c>
      <c r="G126" s="2361" t="e">
        <f t="shared" si="11"/>
        <v>#N/A</v>
      </c>
      <c r="H126" s="1078" t="e">
        <v>#N/A</v>
      </c>
      <c r="I126" s="3579" t="e">
        <v>#N/A</v>
      </c>
      <c r="J126" s="1079" t="e">
        <v>#N/A</v>
      </c>
      <c r="K126" s="3579" t="e">
        <v>#N/A</v>
      </c>
      <c r="L126" s="3579" t="e">
        <v>#N/A</v>
      </c>
      <c r="M126" s="2361" t="e">
        <f t="shared" si="13"/>
        <v>#N/A</v>
      </c>
      <c r="N126" s="1217" t="e">
        <f>('2.6'!R126/'2.6'!Q126)*100</f>
        <v>#N/A</v>
      </c>
      <c r="O126" s="3580" t="e">
        <f>('2.6'!S126/'2.6'!Q126)*100</f>
        <v>#N/A</v>
      </c>
      <c r="P126" s="1604" t="e">
        <f>('2.6'!T126/'2.6'!R126)*100</f>
        <v>#N/A</v>
      </c>
      <c r="Q126" s="3579" t="e">
        <v>#N/A</v>
      </c>
      <c r="R126" s="3579" t="e">
        <v>#N/A</v>
      </c>
      <c r="S126" s="2362" t="e">
        <f t="shared" si="12"/>
        <v>#N/A</v>
      </c>
    </row>
    <row r="127" spans="1:19">
      <c r="A127" s="1054" t="s">
        <v>528</v>
      </c>
      <c r="B127" s="1083" t="e">
        <v>#N/A</v>
      </c>
      <c r="C127" s="3579" t="e">
        <v>#N/A</v>
      </c>
      <c r="D127" s="1079" t="e">
        <v>#N/A</v>
      </c>
      <c r="E127" s="3579" t="e">
        <v>#N/A</v>
      </c>
      <c r="F127" s="3579" t="e">
        <v>#N/A</v>
      </c>
      <c r="G127" s="2361" t="e">
        <f t="shared" si="11"/>
        <v>#N/A</v>
      </c>
      <c r="H127" s="1078" t="e">
        <v>#N/A</v>
      </c>
      <c r="I127" s="3579" t="e">
        <v>#N/A</v>
      </c>
      <c r="J127" s="1079" t="e">
        <v>#N/A</v>
      </c>
      <c r="K127" s="3579" t="e">
        <v>#N/A</v>
      </c>
      <c r="L127" s="3579" t="e">
        <v>#N/A</v>
      </c>
      <c r="M127" s="2361" t="e">
        <f t="shared" si="13"/>
        <v>#N/A</v>
      </c>
      <c r="N127" s="1217" t="e">
        <f>('2.6'!R127/'2.6'!Q127)*100</f>
        <v>#N/A</v>
      </c>
      <c r="O127" s="3580" t="e">
        <f>('2.6'!S127/'2.6'!Q127)*100</f>
        <v>#N/A</v>
      </c>
      <c r="P127" s="1604" t="e">
        <f>('2.6'!T127/'2.6'!R127)*100</f>
        <v>#N/A</v>
      </c>
      <c r="Q127" s="3579" t="e">
        <v>#N/A</v>
      </c>
      <c r="R127" s="3579" t="e">
        <v>#N/A</v>
      </c>
      <c r="S127" s="2362" t="e">
        <f t="shared" si="12"/>
        <v>#N/A</v>
      </c>
    </row>
    <row r="128" spans="1:19">
      <c r="A128" s="1054" t="s">
        <v>529</v>
      </c>
      <c r="B128" s="1083" t="e">
        <v>#N/A</v>
      </c>
      <c r="C128" s="3579" t="e">
        <v>#N/A</v>
      </c>
      <c r="D128" s="1079" t="e">
        <v>#N/A</v>
      </c>
      <c r="E128" s="3579" t="e">
        <v>#N/A</v>
      </c>
      <c r="F128" s="3579" t="e">
        <v>#N/A</v>
      </c>
      <c r="G128" s="2361" t="e">
        <f t="shared" si="11"/>
        <v>#N/A</v>
      </c>
      <c r="H128" s="1078" t="e">
        <v>#N/A</v>
      </c>
      <c r="I128" s="3579" t="e">
        <v>#N/A</v>
      </c>
      <c r="J128" s="1079" t="e">
        <v>#N/A</v>
      </c>
      <c r="K128" s="3579" t="e">
        <v>#N/A</v>
      </c>
      <c r="L128" s="3579" t="e">
        <v>#N/A</v>
      </c>
      <c r="M128" s="2361" t="e">
        <f t="shared" si="13"/>
        <v>#N/A</v>
      </c>
      <c r="N128" s="1217" t="e">
        <f>('2.6'!R128/'2.6'!Q128)*100</f>
        <v>#N/A</v>
      </c>
      <c r="O128" s="3580" t="e">
        <f>('2.6'!S128/'2.6'!Q128)*100</f>
        <v>#N/A</v>
      </c>
      <c r="P128" s="1604" t="e">
        <f>('2.6'!T128/'2.6'!R128)*100</f>
        <v>#N/A</v>
      </c>
      <c r="Q128" s="3579" t="e">
        <v>#N/A</v>
      </c>
      <c r="R128" s="3579" t="e">
        <v>#N/A</v>
      </c>
      <c r="S128" s="2362" t="e">
        <f t="shared" si="12"/>
        <v>#N/A</v>
      </c>
    </row>
    <row r="129" spans="1:19">
      <c r="A129" s="1054" t="s">
        <v>530</v>
      </c>
      <c r="B129" s="1083" t="e">
        <v>#N/A</v>
      </c>
      <c r="C129" s="3579" t="e">
        <v>#N/A</v>
      </c>
      <c r="D129" s="1079" t="e">
        <v>#N/A</v>
      </c>
      <c r="E129" s="3579" t="e">
        <v>#N/A</v>
      </c>
      <c r="F129" s="3579" t="e">
        <v>#N/A</v>
      </c>
      <c r="G129" s="2361" t="e">
        <f t="shared" si="11"/>
        <v>#N/A</v>
      </c>
      <c r="H129" s="1078" t="e">
        <v>#N/A</v>
      </c>
      <c r="I129" s="3579" t="e">
        <v>#N/A</v>
      </c>
      <c r="J129" s="1079" t="e">
        <v>#N/A</v>
      </c>
      <c r="K129" s="3579" t="e">
        <v>#N/A</v>
      </c>
      <c r="L129" s="3579" t="e">
        <v>#N/A</v>
      </c>
      <c r="M129" s="2361" t="e">
        <f t="shared" si="13"/>
        <v>#N/A</v>
      </c>
      <c r="N129" s="1217" t="e">
        <f>('2.6'!R129/'2.6'!Q129)*100</f>
        <v>#N/A</v>
      </c>
      <c r="O129" s="3580" t="e">
        <f>('2.6'!S129/'2.6'!Q129)*100</f>
        <v>#N/A</v>
      </c>
      <c r="P129" s="1604" t="e">
        <f>('2.6'!T129/'2.6'!R129)*100</f>
        <v>#N/A</v>
      </c>
      <c r="Q129" s="3579" t="e">
        <v>#N/A</v>
      </c>
      <c r="R129" s="3579" t="e">
        <v>#N/A</v>
      </c>
      <c r="S129" s="2362" t="e">
        <f t="shared" si="12"/>
        <v>#N/A</v>
      </c>
    </row>
    <row r="130" spans="1:19">
      <c r="A130" s="1054" t="s">
        <v>531</v>
      </c>
      <c r="B130" s="1083" t="e">
        <v>#N/A</v>
      </c>
      <c r="C130" s="3579" t="e">
        <v>#N/A</v>
      </c>
      <c r="D130" s="1079" t="e">
        <v>#N/A</v>
      </c>
      <c r="E130" s="3579" t="e">
        <v>#N/A</v>
      </c>
      <c r="F130" s="3579" t="e">
        <v>#N/A</v>
      </c>
      <c r="G130" s="2361" t="e">
        <f t="shared" si="11"/>
        <v>#N/A</v>
      </c>
      <c r="H130" s="1078" t="e">
        <v>#N/A</v>
      </c>
      <c r="I130" s="3579" t="e">
        <v>#N/A</v>
      </c>
      <c r="J130" s="1079" t="e">
        <v>#N/A</v>
      </c>
      <c r="K130" s="3579" t="e">
        <v>#N/A</v>
      </c>
      <c r="L130" s="3579" t="e">
        <v>#N/A</v>
      </c>
      <c r="M130" s="2361" t="e">
        <f t="shared" si="13"/>
        <v>#N/A</v>
      </c>
      <c r="N130" s="1217" t="e">
        <f>('2.6'!R130/'2.6'!Q130)*100</f>
        <v>#N/A</v>
      </c>
      <c r="O130" s="3580" t="e">
        <f>('2.6'!S130/'2.6'!Q130)*100</f>
        <v>#N/A</v>
      </c>
      <c r="P130" s="1604" t="e">
        <f>('2.6'!T130/'2.6'!R130)*100</f>
        <v>#N/A</v>
      </c>
      <c r="Q130" s="3579" t="e">
        <v>#N/A</v>
      </c>
      <c r="R130" s="3579" t="e">
        <v>#N/A</v>
      </c>
      <c r="S130" s="2362" t="e">
        <f t="shared" si="12"/>
        <v>#N/A</v>
      </c>
    </row>
    <row r="131" spans="1:19">
      <c r="A131" s="1054" t="s">
        <v>532</v>
      </c>
      <c r="B131" s="1083" t="e">
        <v>#N/A</v>
      </c>
      <c r="C131" s="3579" t="e">
        <v>#N/A</v>
      </c>
      <c r="D131" s="1079" t="e">
        <v>#N/A</v>
      </c>
      <c r="E131" s="3579" t="e">
        <v>#N/A</v>
      </c>
      <c r="F131" s="3579" t="e">
        <v>#N/A</v>
      </c>
      <c r="G131" s="2361" t="e">
        <f t="shared" si="11"/>
        <v>#N/A</v>
      </c>
      <c r="H131" s="1078" t="e">
        <v>#N/A</v>
      </c>
      <c r="I131" s="3579" t="e">
        <v>#N/A</v>
      </c>
      <c r="J131" s="1079" t="e">
        <v>#N/A</v>
      </c>
      <c r="K131" s="3579" t="e">
        <v>#N/A</v>
      </c>
      <c r="L131" s="3579" t="e">
        <v>#N/A</v>
      </c>
      <c r="M131" s="2361" t="e">
        <f t="shared" si="13"/>
        <v>#N/A</v>
      </c>
      <c r="N131" s="1217" t="e">
        <f>('2.6'!R131/'2.6'!Q131)*100</f>
        <v>#N/A</v>
      </c>
      <c r="O131" s="3580" t="e">
        <f>('2.6'!S131/'2.6'!Q131)*100</f>
        <v>#N/A</v>
      </c>
      <c r="P131" s="1604" t="e">
        <f>('2.6'!T131/'2.6'!R131)*100</f>
        <v>#N/A</v>
      </c>
      <c r="Q131" s="3579" t="e">
        <v>#N/A</v>
      </c>
      <c r="R131" s="3579" t="e">
        <v>#N/A</v>
      </c>
      <c r="S131" s="2362" t="e">
        <f t="shared" si="12"/>
        <v>#N/A</v>
      </c>
    </row>
    <row r="132" spans="1:19">
      <c r="A132" s="1054" t="s">
        <v>533</v>
      </c>
      <c r="B132" s="1083" t="e">
        <v>#N/A</v>
      </c>
      <c r="C132" s="3579" t="e">
        <v>#N/A</v>
      </c>
      <c r="D132" s="1079" t="e">
        <v>#N/A</v>
      </c>
      <c r="E132" s="3579" t="e">
        <v>#N/A</v>
      </c>
      <c r="F132" s="3579" t="e">
        <v>#N/A</v>
      </c>
      <c r="G132" s="2361" t="e">
        <f t="shared" si="11"/>
        <v>#N/A</v>
      </c>
      <c r="H132" s="1078" t="e">
        <v>#N/A</v>
      </c>
      <c r="I132" s="3579" t="e">
        <v>#N/A</v>
      </c>
      <c r="J132" s="1079" t="e">
        <v>#N/A</v>
      </c>
      <c r="K132" s="3579" t="e">
        <v>#N/A</v>
      </c>
      <c r="L132" s="3579" t="e">
        <v>#N/A</v>
      </c>
      <c r="M132" s="2361" t="e">
        <f t="shared" si="13"/>
        <v>#N/A</v>
      </c>
      <c r="N132" s="1217" t="e">
        <f>('2.6'!R132/'2.6'!Q132)*100</f>
        <v>#N/A</v>
      </c>
      <c r="O132" s="3580" t="e">
        <f>('2.6'!S132/'2.6'!Q132)*100</f>
        <v>#N/A</v>
      </c>
      <c r="P132" s="1604" t="e">
        <f>('2.6'!T132/'2.6'!R132)*100</f>
        <v>#N/A</v>
      </c>
      <c r="Q132" s="3579" t="e">
        <v>#N/A</v>
      </c>
      <c r="R132" s="3579" t="e">
        <v>#N/A</v>
      </c>
      <c r="S132" s="2362" t="e">
        <f t="shared" si="12"/>
        <v>#N/A</v>
      </c>
    </row>
    <row r="133" spans="1:19">
      <c r="A133" s="1054" t="s">
        <v>534</v>
      </c>
      <c r="B133" s="1083" t="e">
        <v>#N/A</v>
      </c>
      <c r="C133" s="3579" t="e">
        <v>#N/A</v>
      </c>
      <c r="D133" s="1079" t="e">
        <v>#N/A</v>
      </c>
      <c r="E133" s="3579" t="e">
        <v>#N/A</v>
      </c>
      <c r="F133" s="3579" t="e">
        <v>#N/A</v>
      </c>
      <c r="G133" s="2361" t="e">
        <f t="shared" si="11"/>
        <v>#N/A</v>
      </c>
      <c r="H133" s="1078" t="e">
        <v>#N/A</v>
      </c>
      <c r="I133" s="3579" t="e">
        <v>#N/A</v>
      </c>
      <c r="J133" s="1079" t="e">
        <v>#N/A</v>
      </c>
      <c r="K133" s="3579" t="e">
        <v>#N/A</v>
      </c>
      <c r="L133" s="3579" t="e">
        <v>#N/A</v>
      </c>
      <c r="M133" s="2361" t="e">
        <f t="shared" si="13"/>
        <v>#N/A</v>
      </c>
      <c r="N133" s="1217" t="e">
        <f>('2.6'!R133/'2.6'!Q133)*100</f>
        <v>#N/A</v>
      </c>
      <c r="O133" s="3580" t="e">
        <f>('2.6'!S133/'2.6'!Q133)*100</f>
        <v>#N/A</v>
      </c>
      <c r="P133" s="1604" t="e">
        <f>('2.6'!T133/'2.6'!R133)*100</f>
        <v>#N/A</v>
      </c>
      <c r="Q133" s="3579" t="e">
        <v>#N/A</v>
      </c>
      <c r="R133" s="3579" t="e">
        <v>#N/A</v>
      </c>
      <c r="S133" s="2362" t="e">
        <f t="shared" si="12"/>
        <v>#N/A</v>
      </c>
    </row>
    <row r="134" spans="1:19">
      <c r="A134" s="1054" t="s">
        <v>535</v>
      </c>
      <c r="B134" s="1083" t="e">
        <v>#N/A</v>
      </c>
      <c r="C134" s="3579" t="e">
        <v>#N/A</v>
      </c>
      <c r="D134" s="1079" t="e">
        <v>#N/A</v>
      </c>
      <c r="E134" s="3579" t="e">
        <v>#N/A</v>
      </c>
      <c r="F134" s="3579" t="e">
        <v>#N/A</v>
      </c>
      <c r="G134" s="2361" t="e">
        <f t="shared" si="11"/>
        <v>#N/A</v>
      </c>
      <c r="H134" s="1078" t="e">
        <v>#N/A</v>
      </c>
      <c r="I134" s="3579" t="e">
        <v>#N/A</v>
      </c>
      <c r="J134" s="1079" t="e">
        <v>#N/A</v>
      </c>
      <c r="K134" s="3579" t="e">
        <v>#N/A</v>
      </c>
      <c r="L134" s="3579" t="e">
        <v>#N/A</v>
      </c>
      <c r="M134" s="2361" t="e">
        <f t="shared" si="13"/>
        <v>#N/A</v>
      </c>
      <c r="N134" s="1217" t="e">
        <f>('2.6'!R134/'2.6'!Q134)*100</f>
        <v>#N/A</v>
      </c>
      <c r="O134" s="3580" t="e">
        <f>('2.6'!S134/'2.6'!Q134)*100</f>
        <v>#N/A</v>
      </c>
      <c r="P134" s="1604" t="e">
        <f>('2.6'!T134/'2.6'!R134)*100</f>
        <v>#N/A</v>
      </c>
      <c r="Q134" s="3579" t="e">
        <v>#N/A</v>
      </c>
      <c r="R134" s="3579" t="e">
        <v>#N/A</v>
      </c>
      <c r="S134" s="2362" t="e">
        <f t="shared" si="12"/>
        <v>#N/A</v>
      </c>
    </row>
    <row r="135" spans="1:19">
      <c r="A135" s="1054" t="s">
        <v>536</v>
      </c>
      <c r="B135" s="1083" t="e">
        <v>#N/A</v>
      </c>
      <c r="C135" s="3579" t="e">
        <v>#N/A</v>
      </c>
      <c r="D135" s="1079" t="e">
        <v>#N/A</v>
      </c>
      <c r="E135" s="3579" t="e">
        <v>#N/A</v>
      </c>
      <c r="F135" s="3579" t="e">
        <v>#N/A</v>
      </c>
      <c r="G135" s="2361" t="e">
        <f t="shared" si="11"/>
        <v>#N/A</v>
      </c>
      <c r="H135" s="1078" t="e">
        <v>#N/A</v>
      </c>
      <c r="I135" s="3579" t="e">
        <v>#N/A</v>
      </c>
      <c r="J135" s="1079" t="e">
        <v>#N/A</v>
      </c>
      <c r="K135" s="3579" t="e">
        <v>#N/A</v>
      </c>
      <c r="L135" s="3579" t="e">
        <v>#N/A</v>
      </c>
      <c r="M135" s="2361" t="e">
        <f t="shared" si="13"/>
        <v>#N/A</v>
      </c>
      <c r="N135" s="1217" t="e">
        <f>('2.6'!R135/'2.6'!Q135)*100</f>
        <v>#N/A</v>
      </c>
      <c r="O135" s="3580" t="e">
        <f>('2.6'!S135/'2.6'!Q135)*100</f>
        <v>#N/A</v>
      </c>
      <c r="P135" s="1604" t="e">
        <f>('2.6'!T135/'2.6'!R135)*100</f>
        <v>#N/A</v>
      </c>
      <c r="Q135" s="3579" t="e">
        <v>#N/A</v>
      </c>
      <c r="R135" s="3579" t="e">
        <v>#N/A</v>
      </c>
      <c r="S135" s="2362" t="e">
        <f t="shared" si="12"/>
        <v>#N/A</v>
      </c>
    </row>
    <row r="136" spans="1:19">
      <c r="A136" s="1054" t="s">
        <v>537</v>
      </c>
      <c r="B136" s="1083" t="e">
        <v>#N/A</v>
      </c>
      <c r="C136" s="3579" t="e">
        <v>#N/A</v>
      </c>
      <c r="D136" s="1079" t="e">
        <v>#N/A</v>
      </c>
      <c r="E136" s="3579" t="e">
        <v>#N/A</v>
      </c>
      <c r="F136" s="3579" t="e">
        <v>#N/A</v>
      </c>
      <c r="G136" s="2361" t="e">
        <f t="shared" si="11"/>
        <v>#N/A</v>
      </c>
      <c r="H136" s="1078" t="e">
        <v>#N/A</v>
      </c>
      <c r="I136" s="3579" t="e">
        <v>#N/A</v>
      </c>
      <c r="J136" s="1079" t="e">
        <v>#N/A</v>
      </c>
      <c r="K136" s="3579" t="e">
        <v>#N/A</v>
      </c>
      <c r="L136" s="3579" t="e">
        <v>#N/A</v>
      </c>
      <c r="M136" s="2361" t="e">
        <f t="shared" si="13"/>
        <v>#N/A</v>
      </c>
      <c r="N136" s="1217" t="e">
        <f>('2.6'!R136/'2.6'!Q136)*100</f>
        <v>#N/A</v>
      </c>
      <c r="O136" s="3580" t="e">
        <f>('2.6'!S136/'2.6'!Q136)*100</f>
        <v>#N/A</v>
      </c>
      <c r="P136" s="1604" t="e">
        <f>('2.6'!T136/'2.6'!R136)*100</f>
        <v>#N/A</v>
      </c>
      <c r="Q136" s="3579" t="e">
        <v>#N/A</v>
      </c>
      <c r="R136" s="3579" t="e">
        <v>#N/A</v>
      </c>
      <c r="S136" s="2362" t="e">
        <f t="shared" si="12"/>
        <v>#N/A</v>
      </c>
    </row>
    <row r="137" spans="1:19">
      <c r="A137" s="1054" t="s">
        <v>538</v>
      </c>
      <c r="B137" s="1083" t="e">
        <v>#N/A</v>
      </c>
      <c r="C137" s="3579" t="e">
        <v>#N/A</v>
      </c>
      <c r="D137" s="1079" t="e">
        <v>#N/A</v>
      </c>
      <c r="E137" s="3579" t="e">
        <v>#N/A</v>
      </c>
      <c r="F137" s="3579" t="e">
        <v>#N/A</v>
      </c>
      <c r="G137" s="2361" t="e">
        <f t="shared" si="11"/>
        <v>#N/A</v>
      </c>
      <c r="H137" s="1078" t="e">
        <v>#N/A</v>
      </c>
      <c r="I137" s="3579" t="e">
        <v>#N/A</v>
      </c>
      <c r="J137" s="1079" t="e">
        <v>#N/A</v>
      </c>
      <c r="K137" s="3579" t="e">
        <v>#N/A</v>
      </c>
      <c r="L137" s="3579" t="e">
        <v>#N/A</v>
      </c>
      <c r="M137" s="2361" t="e">
        <f t="shared" si="13"/>
        <v>#N/A</v>
      </c>
      <c r="N137" s="1217" t="e">
        <f>('2.6'!R137/'2.6'!Q137)*100</f>
        <v>#N/A</v>
      </c>
      <c r="O137" s="3580" t="e">
        <f>('2.6'!S137/'2.6'!Q137)*100</f>
        <v>#N/A</v>
      </c>
      <c r="P137" s="1604" t="e">
        <f>('2.6'!T137/'2.6'!R137)*100</f>
        <v>#N/A</v>
      </c>
      <c r="Q137" s="3579" t="e">
        <v>#N/A</v>
      </c>
      <c r="R137" s="3579" t="e">
        <v>#N/A</v>
      </c>
      <c r="S137" s="2362" t="e">
        <f t="shared" si="12"/>
        <v>#N/A</v>
      </c>
    </row>
    <row r="138" spans="1:19">
      <c r="A138" s="1054" t="s">
        <v>539</v>
      </c>
      <c r="B138" s="1083" t="e">
        <v>#N/A</v>
      </c>
      <c r="C138" s="3579" t="e">
        <v>#N/A</v>
      </c>
      <c r="D138" s="1079" t="e">
        <v>#N/A</v>
      </c>
      <c r="E138" s="3579" t="e">
        <v>#N/A</v>
      </c>
      <c r="F138" s="3579" t="e">
        <v>#N/A</v>
      </c>
      <c r="G138" s="2361" t="e">
        <f t="shared" si="11"/>
        <v>#N/A</v>
      </c>
      <c r="H138" s="1078" t="e">
        <v>#N/A</v>
      </c>
      <c r="I138" s="3579" t="e">
        <v>#N/A</v>
      </c>
      <c r="J138" s="1079" t="e">
        <v>#N/A</v>
      </c>
      <c r="K138" s="3579" t="e">
        <v>#N/A</v>
      </c>
      <c r="L138" s="3579" t="e">
        <v>#N/A</v>
      </c>
      <c r="M138" s="2361" t="e">
        <f t="shared" si="13"/>
        <v>#N/A</v>
      </c>
      <c r="N138" s="1217" t="e">
        <f>('2.6'!R138/'2.6'!Q138)*100</f>
        <v>#N/A</v>
      </c>
      <c r="O138" s="3580" t="e">
        <f>('2.6'!S138/'2.6'!Q138)*100</f>
        <v>#N/A</v>
      </c>
      <c r="P138" s="1604" t="e">
        <f>('2.6'!T138/'2.6'!R138)*100</f>
        <v>#N/A</v>
      </c>
      <c r="Q138" s="3579" t="e">
        <v>#N/A</v>
      </c>
      <c r="R138" s="3579" t="e">
        <v>#N/A</v>
      </c>
      <c r="S138" s="2362" t="e">
        <f t="shared" si="12"/>
        <v>#N/A</v>
      </c>
    </row>
    <row r="139" spans="1:19">
      <c r="A139" s="1054" t="s">
        <v>540</v>
      </c>
      <c r="B139" s="1083" t="e">
        <v>#N/A</v>
      </c>
      <c r="C139" s="3579" t="e">
        <v>#N/A</v>
      </c>
      <c r="D139" s="1079" t="e">
        <v>#N/A</v>
      </c>
      <c r="E139" s="3579" t="e">
        <v>#N/A</v>
      </c>
      <c r="F139" s="3579" t="e">
        <v>#N/A</v>
      </c>
      <c r="G139" s="2361" t="e">
        <f t="shared" si="11"/>
        <v>#N/A</v>
      </c>
      <c r="H139" s="1078" t="e">
        <v>#N/A</v>
      </c>
      <c r="I139" s="3579" t="e">
        <v>#N/A</v>
      </c>
      <c r="J139" s="1079" t="e">
        <v>#N/A</v>
      </c>
      <c r="K139" s="3579" t="e">
        <v>#N/A</v>
      </c>
      <c r="L139" s="3579" t="e">
        <v>#N/A</v>
      </c>
      <c r="M139" s="2361" t="e">
        <f t="shared" si="13"/>
        <v>#N/A</v>
      </c>
      <c r="N139" s="1217" t="e">
        <f>('2.6'!R139/'2.6'!Q139)*100</f>
        <v>#N/A</v>
      </c>
      <c r="O139" s="3580" t="e">
        <f>('2.6'!S139/'2.6'!Q139)*100</f>
        <v>#N/A</v>
      </c>
      <c r="P139" s="1604" t="e">
        <f>('2.6'!T139/'2.6'!R139)*100</f>
        <v>#N/A</v>
      </c>
      <c r="Q139" s="3579" t="e">
        <v>#N/A</v>
      </c>
      <c r="R139" s="3579" t="e">
        <v>#N/A</v>
      </c>
      <c r="S139" s="2362" t="e">
        <f t="shared" si="12"/>
        <v>#N/A</v>
      </c>
    </row>
    <row r="141" spans="1:19">
      <c r="B141" s="1110" t="s">
        <v>816</v>
      </c>
    </row>
    <row r="142" spans="1:19">
      <c r="B142" s="1086"/>
    </row>
  </sheetData>
  <hyperlinks>
    <hyperlink ref="A5" location="INDICE!A13" display="VOLVER AL INDICE" xr:uid="{E1AF3974-A2DC-4688-8645-4C6AA68C5704}"/>
  </hyperlink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008FE-3834-4EF0-AAA9-A98F73BAAEE4}">
  <sheetPr codeName="Hoja43"/>
  <dimension ref="A1:AX117"/>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37" width="11.42578125" style="300"/>
    <col min="38" max="38" width="14.42578125" style="300" bestFit="1" customWidth="1"/>
    <col min="39" max="16384" width="11.42578125" style="300"/>
  </cols>
  <sheetData>
    <row r="1" spans="1:42" s="1056" customFormat="1" ht="3.75" customHeight="1">
      <c r="A1" s="2761"/>
      <c r="B1" s="1062"/>
      <c r="C1" s="1059"/>
      <c r="D1" s="1059"/>
      <c r="E1" s="1059"/>
      <c r="F1" s="1060"/>
      <c r="G1" s="1059"/>
      <c r="H1" s="1059"/>
      <c r="I1" s="1059"/>
      <c r="J1" s="1059"/>
      <c r="K1" s="1060"/>
      <c r="L1" s="1060"/>
      <c r="M1" s="1061"/>
      <c r="N1" s="1062"/>
      <c r="O1" s="1059"/>
      <c r="P1" s="1059"/>
      <c r="Q1" s="1059"/>
      <c r="R1" s="1060"/>
      <c r="S1" s="1059"/>
      <c r="T1" s="1059"/>
      <c r="U1" s="1059"/>
      <c r="V1" s="1059"/>
      <c r="W1" s="1059"/>
      <c r="X1" s="1060"/>
      <c r="Y1" s="1063"/>
      <c r="Z1" s="1062"/>
      <c r="AA1" s="1059"/>
      <c r="AB1" s="1059"/>
      <c r="AC1" s="1059"/>
      <c r="AD1" s="1060"/>
      <c r="AE1" s="1059"/>
      <c r="AF1" s="1059"/>
      <c r="AG1" s="1059"/>
      <c r="AH1" s="1059"/>
      <c r="AI1" s="1059"/>
      <c r="AJ1" s="1060"/>
      <c r="AK1" s="1063"/>
    </row>
    <row r="2" spans="1:42" s="1741" customFormat="1">
      <c r="A2" s="2762" t="s">
        <v>99</v>
      </c>
      <c r="B2" s="2877" t="s">
        <v>817</v>
      </c>
      <c r="C2" s="1028"/>
      <c r="D2" s="1028"/>
      <c r="E2" s="1028"/>
      <c r="F2" s="1028"/>
      <c r="G2" s="1028"/>
      <c r="H2" s="1028"/>
      <c r="I2" s="1028"/>
      <c r="J2" s="1028"/>
      <c r="K2" s="1028"/>
      <c r="L2" s="1028"/>
      <c r="M2" s="1029"/>
      <c r="N2" s="2877" t="s">
        <v>817</v>
      </c>
      <c r="O2" s="1028"/>
      <c r="P2" s="1028"/>
      <c r="Q2" s="1028"/>
      <c r="R2" s="1028"/>
      <c r="S2" s="1028"/>
      <c r="T2" s="1028"/>
      <c r="U2" s="1028"/>
      <c r="V2" s="1028"/>
      <c r="W2" s="1028"/>
      <c r="X2" s="1028"/>
      <c r="Y2" s="1032"/>
      <c r="Z2" s="2877" t="s">
        <v>817</v>
      </c>
      <c r="AA2" s="1028"/>
      <c r="AB2" s="1028"/>
      <c r="AC2" s="1028"/>
      <c r="AD2" s="1028"/>
      <c r="AE2" s="1028"/>
      <c r="AF2" s="1028"/>
      <c r="AG2" s="1028"/>
      <c r="AH2" s="1028"/>
      <c r="AI2" s="1028"/>
      <c r="AJ2" s="1028"/>
      <c r="AK2" s="1032"/>
    </row>
    <row r="3" spans="1:42" s="1056" customFormat="1">
      <c r="A3" s="2762" t="s">
        <v>104</v>
      </c>
      <c r="B3" s="2877" t="s">
        <v>818</v>
      </c>
      <c r="C3" s="1028"/>
      <c r="D3" s="1028"/>
      <c r="E3" s="1028"/>
      <c r="F3" s="1030"/>
      <c r="G3" s="1028"/>
      <c r="H3" s="1028"/>
      <c r="I3" s="1028"/>
      <c r="J3" s="1028"/>
      <c r="K3" s="1030"/>
      <c r="L3" s="1030"/>
      <c r="M3" s="1654"/>
      <c r="N3" s="2877" t="s">
        <v>818</v>
      </c>
      <c r="O3" s="1028"/>
      <c r="P3" s="1028"/>
      <c r="Q3" s="1028"/>
      <c r="R3" s="1030"/>
      <c r="S3" s="1028"/>
      <c r="T3" s="1028"/>
      <c r="U3" s="1028"/>
      <c r="V3" s="1028"/>
      <c r="W3" s="1028"/>
      <c r="X3" s="1030"/>
      <c r="Y3" s="1031"/>
      <c r="Z3" s="2877" t="s">
        <v>818</v>
      </c>
      <c r="AA3" s="1028"/>
      <c r="AB3" s="1028"/>
      <c r="AC3" s="1028"/>
      <c r="AD3" s="1030"/>
      <c r="AE3" s="1028"/>
      <c r="AF3" s="1028"/>
      <c r="AG3" s="1028"/>
      <c r="AH3" s="1028"/>
      <c r="AI3" s="1028"/>
      <c r="AJ3" s="1030"/>
      <c r="AK3" s="1031"/>
    </row>
    <row r="4" spans="1:42" s="1742" customFormat="1" ht="11.25">
      <c r="A4" s="2762"/>
      <c r="B4" s="2878"/>
      <c r="C4" s="1067"/>
      <c r="D4" s="1065"/>
      <c r="E4" s="1067"/>
      <c r="F4" s="1066"/>
      <c r="G4" s="1067"/>
      <c r="H4" s="1067"/>
      <c r="I4" s="1065"/>
      <c r="J4" s="1067"/>
      <c r="K4" s="1066"/>
      <c r="L4" s="1066"/>
      <c r="M4" s="1655"/>
      <c r="N4" s="2878"/>
      <c r="O4" s="1067"/>
      <c r="P4" s="1065"/>
      <c r="Q4" s="1067"/>
      <c r="R4" s="1066"/>
      <c r="S4" s="1067"/>
      <c r="T4" s="1067"/>
      <c r="U4" s="1065"/>
      <c r="V4" s="1067"/>
      <c r="W4" s="1067"/>
      <c r="X4" s="1066"/>
      <c r="Y4" s="1814"/>
      <c r="Z4" s="2878"/>
      <c r="AA4" s="1067"/>
      <c r="AB4" s="1065"/>
      <c r="AC4" s="1067"/>
      <c r="AD4" s="1066"/>
      <c r="AE4" s="1067"/>
      <c r="AF4" s="1067"/>
      <c r="AG4" s="1065"/>
      <c r="AH4" s="1067"/>
      <c r="AI4" s="1067"/>
      <c r="AJ4" s="1066"/>
      <c r="AK4" s="1814"/>
    </row>
    <row r="5" spans="1:42" s="1056" customFormat="1" ht="22.5">
      <c r="A5" s="2867" t="s">
        <v>140</v>
      </c>
      <c r="B5" s="1062" t="s">
        <v>819</v>
      </c>
      <c r="C5" s="1060"/>
      <c r="D5" s="1060"/>
      <c r="E5" s="1060"/>
      <c r="F5" s="1060"/>
      <c r="G5" s="1656"/>
      <c r="H5" s="1059"/>
      <c r="I5" s="1059"/>
      <c r="J5" s="1059"/>
      <c r="K5" s="1059"/>
      <c r="L5" s="1656"/>
      <c r="M5" s="1745"/>
      <c r="N5" s="1062" t="s">
        <v>820</v>
      </c>
      <c r="O5" s="1060"/>
      <c r="P5" s="1060"/>
      <c r="Q5" s="1060"/>
      <c r="R5" s="1060"/>
      <c r="S5" s="1656"/>
      <c r="T5" s="1059"/>
      <c r="U5" s="1059"/>
      <c r="V5" s="1059"/>
      <c r="W5" s="1059"/>
      <c r="X5" s="1656"/>
      <c r="Y5" s="1815"/>
      <c r="Z5" s="1062" t="s">
        <v>745</v>
      </c>
      <c r="AA5" s="1060"/>
      <c r="AB5" s="1060"/>
      <c r="AC5" s="1060"/>
      <c r="AD5" s="1060"/>
      <c r="AE5" s="1656"/>
      <c r="AF5" s="1059"/>
      <c r="AG5" s="1059"/>
      <c r="AH5" s="1059"/>
      <c r="AI5" s="1059"/>
      <c r="AJ5" s="1656"/>
      <c r="AK5" s="1815"/>
    </row>
    <row r="6" spans="1:42" s="1743" customFormat="1" ht="45">
      <c r="A6" s="2762"/>
      <c r="B6" s="2879" t="s">
        <v>821</v>
      </c>
      <c r="C6" s="2879" t="s">
        <v>822</v>
      </c>
      <c r="D6" s="1788" t="s">
        <v>823</v>
      </c>
      <c r="E6" s="1788" t="s">
        <v>824</v>
      </c>
      <c r="F6" s="1789" t="s">
        <v>825</v>
      </c>
      <c r="G6" s="2880" t="s">
        <v>826</v>
      </c>
      <c r="H6" s="1788" t="s">
        <v>827</v>
      </c>
      <c r="I6" s="1788" t="s">
        <v>828</v>
      </c>
      <c r="J6" s="1789" t="s">
        <v>829</v>
      </c>
      <c r="K6" s="2056" t="s">
        <v>830</v>
      </c>
      <c r="L6" s="2881" t="s">
        <v>831</v>
      </c>
      <c r="M6" s="1790" t="s">
        <v>832</v>
      </c>
      <c r="N6" s="2879" t="s">
        <v>821</v>
      </c>
      <c r="O6" s="2879" t="s">
        <v>822</v>
      </c>
      <c r="P6" s="1788" t="s">
        <v>823</v>
      </c>
      <c r="Q6" s="1791" t="s">
        <v>824</v>
      </c>
      <c r="R6" s="1789" t="s">
        <v>825</v>
      </c>
      <c r="S6" s="2880" t="s">
        <v>826</v>
      </c>
      <c r="T6" s="1788" t="s">
        <v>827</v>
      </c>
      <c r="U6" s="1791" t="s">
        <v>828</v>
      </c>
      <c r="V6" s="1789" t="s">
        <v>829</v>
      </c>
      <c r="W6" s="2056" t="s">
        <v>830</v>
      </c>
      <c r="X6" s="2881" t="s">
        <v>831</v>
      </c>
      <c r="Y6" s="1816" t="s">
        <v>832</v>
      </c>
      <c r="Z6" s="2879" t="s">
        <v>821</v>
      </c>
      <c r="AA6" s="2879" t="s">
        <v>822</v>
      </c>
      <c r="AB6" s="1788" t="s">
        <v>823</v>
      </c>
      <c r="AC6" s="1791" t="s">
        <v>824</v>
      </c>
      <c r="AD6" s="1789" t="s">
        <v>825</v>
      </c>
      <c r="AE6" s="2880" t="s">
        <v>826</v>
      </c>
      <c r="AF6" s="1788" t="s">
        <v>827</v>
      </c>
      <c r="AG6" s="1791" t="s">
        <v>828</v>
      </c>
      <c r="AH6" s="1789" t="s">
        <v>829</v>
      </c>
      <c r="AI6" s="2056" t="s">
        <v>830</v>
      </c>
      <c r="AJ6" s="2881" t="s">
        <v>831</v>
      </c>
      <c r="AK6" s="1816" t="s">
        <v>832</v>
      </c>
    </row>
    <row r="7" spans="1:42" s="1743" customFormat="1" ht="22.5">
      <c r="A7" s="2762" t="s">
        <v>125</v>
      </c>
      <c r="B7" s="2864" t="s">
        <v>833</v>
      </c>
      <c r="C7" s="2864" t="s">
        <v>833</v>
      </c>
      <c r="D7" s="1792" t="s">
        <v>833</v>
      </c>
      <c r="E7" s="1657" t="s">
        <v>833</v>
      </c>
      <c r="F7" s="1657" t="s">
        <v>833</v>
      </c>
      <c r="G7" s="2864" t="s">
        <v>833</v>
      </c>
      <c r="H7" s="1792" t="s">
        <v>833</v>
      </c>
      <c r="I7" s="1657" t="s">
        <v>833</v>
      </c>
      <c r="J7" s="1657" t="s">
        <v>833</v>
      </c>
      <c r="K7" s="2057" t="s">
        <v>833</v>
      </c>
      <c r="L7" s="2871" t="s">
        <v>833</v>
      </c>
      <c r="M7" s="2871" t="s">
        <v>833</v>
      </c>
      <c r="N7" s="2864" t="s">
        <v>833</v>
      </c>
      <c r="O7" s="2864" t="s">
        <v>833</v>
      </c>
      <c r="P7" s="1792" t="s">
        <v>833</v>
      </c>
      <c r="Q7" s="1793" t="s">
        <v>833</v>
      </c>
      <c r="R7" s="1657" t="s">
        <v>833</v>
      </c>
      <c r="S7" s="2864" t="s">
        <v>833</v>
      </c>
      <c r="T7" s="1792" t="s">
        <v>833</v>
      </c>
      <c r="U7" s="1793" t="s">
        <v>833</v>
      </c>
      <c r="V7" s="1657" t="s">
        <v>833</v>
      </c>
      <c r="W7" s="1657" t="s">
        <v>833</v>
      </c>
      <c r="X7" s="2871" t="s">
        <v>833</v>
      </c>
      <c r="Y7" s="2882" t="s">
        <v>833</v>
      </c>
      <c r="Z7" s="2864" t="s">
        <v>833</v>
      </c>
      <c r="AA7" s="2864" t="s">
        <v>833</v>
      </c>
      <c r="AB7" s="1792" t="s">
        <v>833</v>
      </c>
      <c r="AC7" s="1793" t="s">
        <v>833</v>
      </c>
      <c r="AD7" s="1657" t="s">
        <v>833</v>
      </c>
      <c r="AE7" s="2864" t="s">
        <v>833</v>
      </c>
      <c r="AF7" s="1792" t="s">
        <v>833</v>
      </c>
      <c r="AG7" s="1793" t="s">
        <v>833</v>
      </c>
      <c r="AH7" s="1657" t="s">
        <v>833</v>
      </c>
      <c r="AI7" s="1657" t="s">
        <v>833</v>
      </c>
      <c r="AJ7" s="2871" t="s">
        <v>833</v>
      </c>
      <c r="AK7" s="2882" t="s">
        <v>833</v>
      </c>
    </row>
    <row r="8" spans="1:42" s="1056" customFormat="1">
      <c r="A8" s="2751" t="s">
        <v>144</v>
      </c>
      <c r="B8" s="2865" t="s">
        <v>834</v>
      </c>
      <c r="C8" s="2865" t="s">
        <v>835</v>
      </c>
      <c r="D8" s="2195" t="s">
        <v>836</v>
      </c>
      <c r="E8" s="2195" t="s">
        <v>837</v>
      </c>
      <c r="F8" s="2195" t="s">
        <v>838</v>
      </c>
      <c r="G8" s="2865" t="s">
        <v>839</v>
      </c>
      <c r="H8" s="2195" t="s">
        <v>840</v>
      </c>
      <c r="I8" s="2196" t="s">
        <v>841</v>
      </c>
      <c r="J8" s="2195" t="s">
        <v>842</v>
      </c>
      <c r="K8" s="2200" t="s">
        <v>843</v>
      </c>
      <c r="L8" s="2883" t="s">
        <v>844</v>
      </c>
      <c r="M8" s="2883"/>
      <c r="N8" s="2865" t="s">
        <v>845</v>
      </c>
      <c r="O8" s="2865" t="s">
        <v>846</v>
      </c>
      <c r="P8" s="2195" t="s">
        <v>847</v>
      </c>
      <c r="Q8" s="2201" t="s">
        <v>848</v>
      </c>
      <c r="R8" s="2195" t="s">
        <v>849</v>
      </c>
      <c r="S8" s="2865" t="s">
        <v>850</v>
      </c>
      <c r="T8" s="2195" t="s">
        <v>851</v>
      </c>
      <c r="U8" s="2196" t="s">
        <v>852</v>
      </c>
      <c r="V8" s="2195" t="s">
        <v>853</v>
      </c>
      <c r="W8" s="2195" t="s">
        <v>854</v>
      </c>
      <c r="X8" s="2883" t="s">
        <v>855</v>
      </c>
      <c r="Y8" s="2884" t="s">
        <v>856</v>
      </c>
      <c r="Z8" s="2865" t="s">
        <v>857</v>
      </c>
      <c r="AA8" s="2865" t="s">
        <v>858</v>
      </c>
      <c r="AB8" s="2195" t="s">
        <v>859</v>
      </c>
      <c r="AC8" s="2201" t="s">
        <v>860</v>
      </c>
      <c r="AD8" s="2195" t="s">
        <v>861</v>
      </c>
      <c r="AE8" s="2865" t="s">
        <v>862</v>
      </c>
      <c r="AF8" s="2195" t="s">
        <v>863</v>
      </c>
      <c r="AG8" s="2196" t="s">
        <v>864</v>
      </c>
      <c r="AH8" s="2195" t="s">
        <v>865</v>
      </c>
      <c r="AI8" s="2195" t="s">
        <v>866</v>
      </c>
      <c r="AJ8" s="2883" t="s">
        <v>867</v>
      </c>
      <c r="AK8" s="2884" t="s">
        <v>868</v>
      </c>
    </row>
    <row r="9" spans="1:42" s="1056" customFormat="1" ht="13.5" thickBot="1">
      <c r="A9" s="2140" t="s">
        <v>766</v>
      </c>
      <c r="B9" s="1818"/>
      <c r="C9" s="1818"/>
      <c r="D9" s="1819"/>
      <c r="E9" s="1819"/>
      <c r="F9" s="1819"/>
      <c r="G9" s="1818"/>
      <c r="H9" s="1819"/>
      <c r="I9" s="1820"/>
      <c r="J9" s="1819"/>
      <c r="K9" s="1821"/>
      <c r="L9" s="1822"/>
      <c r="M9" s="1822"/>
      <c r="N9" s="1818"/>
      <c r="O9" s="1818"/>
      <c r="P9" s="1819"/>
      <c r="Q9" s="1823"/>
      <c r="R9" s="1819"/>
      <c r="S9" s="1818"/>
      <c r="T9" s="1819"/>
      <c r="U9" s="1820"/>
      <c r="V9" s="1819"/>
      <c r="W9" s="1819"/>
      <c r="X9" s="1822"/>
      <c r="Y9" s="1824"/>
      <c r="Z9" s="1818"/>
      <c r="AA9" s="1818"/>
      <c r="AB9" s="1819"/>
      <c r="AC9" s="1823"/>
      <c r="AD9" s="1819"/>
      <c r="AE9" s="1818"/>
      <c r="AF9" s="1819"/>
      <c r="AG9" s="1820"/>
      <c r="AH9" s="1819"/>
      <c r="AI9" s="1819"/>
      <c r="AJ9" s="1822"/>
      <c r="AK9" s="1824"/>
    </row>
    <row r="10" spans="1:42" s="1744" customFormat="1">
      <c r="A10" s="2203" t="s">
        <v>38</v>
      </c>
      <c r="B10" s="2202">
        <v>61655</v>
      </c>
      <c r="C10" s="1825">
        <v>187428</v>
      </c>
      <c r="D10" s="1826">
        <v>13512</v>
      </c>
      <c r="E10" s="1826">
        <v>54137</v>
      </c>
      <c r="F10" s="1827">
        <v>119779</v>
      </c>
      <c r="G10" s="1825">
        <v>184844</v>
      </c>
      <c r="H10" s="1826">
        <v>4752</v>
      </c>
      <c r="I10" s="1828">
        <v>50879</v>
      </c>
      <c r="J10" s="1826">
        <v>113943</v>
      </c>
      <c r="K10" s="1827">
        <v>15270</v>
      </c>
      <c r="L10" s="1829">
        <v>16188</v>
      </c>
      <c r="M10" s="2363">
        <f>+'2.6'!D32*1000-SUM(B10:C10,G10,L10)</f>
        <v>0</v>
      </c>
      <c r="N10" s="1830"/>
      <c r="O10" s="1831"/>
      <c r="P10" s="1831"/>
      <c r="Q10" s="1831"/>
      <c r="R10" s="1832"/>
      <c r="S10" s="1833"/>
      <c r="T10" s="1831"/>
      <c r="U10" s="1831"/>
      <c r="V10" s="1831"/>
      <c r="W10" s="1832"/>
      <c r="X10" s="1834"/>
      <c r="Y10" s="1835"/>
      <c r="Z10" s="1796">
        <v>1676447</v>
      </c>
      <c r="AA10" s="2885">
        <v>3345505</v>
      </c>
      <c r="AB10" s="3589">
        <v>243831</v>
      </c>
      <c r="AC10" s="1804">
        <v>734443</v>
      </c>
      <c r="AD10" s="1797">
        <v>2367231</v>
      </c>
      <c r="AE10" s="2885">
        <v>3914932</v>
      </c>
      <c r="AF10" s="3589">
        <v>84899</v>
      </c>
      <c r="AG10" s="1798">
        <v>1075757</v>
      </c>
      <c r="AH10" s="3589">
        <v>2593687</v>
      </c>
      <c r="AI10" s="2457">
        <v>160589</v>
      </c>
      <c r="AJ10" s="2886">
        <v>100415</v>
      </c>
      <c r="AK10" s="2887">
        <f>'2.6'!S32*1000-SUM(Z10:AA10,AE10,AJ10)</f>
        <v>70383</v>
      </c>
      <c r="AM10" s="3517"/>
      <c r="AN10" s="3517"/>
      <c r="AO10" s="3517"/>
      <c r="AP10" s="3517"/>
    </row>
    <row r="11" spans="1:42" s="1744" customFormat="1">
      <c r="A11" s="1301" t="s">
        <v>435</v>
      </c>
      <c r="B11" s="1839">
        <v>68596</v>
      </c>
      <c r="C11" s="1800">
        <v>193778</v>
      </c>
      <c r="D11" s="3590">
        <v>9184</v>
      </c>
      <c r="E11" s="3590">
        <v>60942</v>
      </c>
      <c r="F11" s="3590">
        <v>123652</v>
      </c>
      <c r="G11" s="1800">
        <v>187087</v>
      </c>
      <c r="H11" s="3590">
        <v>6299</v>
      </c>
      <c r="I11" s="1801">
        <v>52491</v>
      </c>
      <c r="J11" s="3590">
        <v>120280</v>
      </c>
      <c r="K11" s="2888">
        <v>8017</v>
      </c>
      <c r="L11" s="2888">
        <v>12784</v>
      </c>
      <c r="M11" s="2889">
        <f>+'2.6'!D33*1000-SUM(B11:C11,G11,L11)</f>
        <v>0</v>
      </c>
      <c r="N11" s="1795"/>
      <c r="O11" s="3591"/>
      <c r="P11" s="3591"/>
      <c r="Q11" s="3591"/>
      <c r="R11" s="2890"/>
      <c r="S11" s="1658"/>
      <c r="T11" s="3591"/>
      <c r="U11" s="3591"/>
      <c r="V11" s="3591"/>
      <c r="W11" s="2890"/>
      <c r="X11" s="1794"/>
      <c r="Y11" s="1817"/>
      <c r="Z11" s="1799">
        <v>1679817</v>
      </c>
      <c r="AA11" s="1800">
        <v>3392788</v>
      </c>
      <c r="AB11" s="3590">
        <v>239289</v>
      </c>
      <c r="AC11" s="1805">
        <v>780111</v>
      </c>
      <c r="AD11" s="3590">
        <v>2373388</v>
      </c>
      <c r="AE11" s="1800">
        <v>4012178</v>
      </c>
      <c r="AF11" s="3590">
        <v>122138</v>
      </c>
      <c r="AG11" s="1801">
        <v>1082377</v>
      </c>
      <c r="AH11" s="3590">
        <v>2685375</v>
      </c>
      <c r="AI11" s="1806">
        <v>122288</v>
      </c>
      <c r="AJ11" s="1807">
        <v>96783</v>
      </c>
      <c r="AK11" s="2891">
        <f>'2.6'!S33*1000-SUM(Z11:AA11,AE11,AJ11)</f>
        <v>17741</v>
      </c>
      <c r="AM11" s="3517"/>
      <c r="AN11" s="3517"/>
      <c r="AO11" s="3517"/>
    </row>
    <row r="12" spans="1:42" s="1744" customFormat="1">
      <c r="A12" s="1301" t="s">
        <v>436</v>
      </c>
      <c r="B12" s="1839">
        <v>67922</v>
      </c>
      <c r="C12" s="1800">
        <v>202718</v>
      </c>
      <c r="D12" s="3590">
        <v>14325</v>
      </c>
      <c r="E12" s="3590">
        <v>52762</v>
      </c>
      <c r="F12" s="3590">
        <v>135631</v>
      </c>
      <c r="G12" s="1800">
        <v>186517</v>
      </c>
      <c r="H12" s="3590">
        <v>13331</v>
      </c>
      <c r="I12" s="1801">
        <v>42448</v>
      </c>
      <c r="J12" s="3590">
        <v>122876</v>
      </c>
      <c r="K12" s="2888">
        <v>7862</v>
      </c>
      <c r="L12" s="2888">
        <v>11816</v>
      </c>
      <c r="M12" s="2889">
        <f>+'2.6'!D34*1000-SUM(B12:C12,G12,L12)</f>
        <v>0</v>
      </c>
      <c r="N12" s="1795"/>
      <c r="O12" s="3591"/>
      <c r="P12" s="3591"/>
      <c r="Q12" s="3591"/>
      <c r="R12" s="2890"/>
      <c r="S12" s="1658"/>
      <c r="T12" s="3591"/>
      <c r="U12" s="3591"/>
      <c r="V12" s="3591"/>
      <c r="W12" s="2890"/>
      <c r="X12" s="1794"/>
      <c r="Y12" s="1817"/>
      <c r="Z12" s="1799">
        <v>1772875</v>
      </c>
      <c r="AA12" s="1800">
        <v>3441382</v>
      </c>
      <c r="AB12" s="3590">
        <v>252767</v>
      </c>
      <c r="AC12" s="1805">
        <v>804911</v>
      </c>
      <c r="AD12" s="3590">
        <v>2383704</v>
      </c>
      <c r="AE12" s="1800">
        <v>4051557</v>
      </c>
      <c r="AF12" s="3590">
        <v>132270</v>
      </c>
      <c r="AG12" s="1801">
        <v>1128135</v>
      </c>
      <c r="AH12" s="3590">
        <v>2669010</v>
      </c>
      <c r="AI12" s="1806">
        <v>122142</v>
      </c>
      <c r="AJ12" s="1807">
        <v>102512</v>
      </c>
      <c r="AK12" s="2891">
        <f>'2.6'!S34*1000-SUM(Z12:AA12,AE12,AJ12)</f>
        <v>4422</v>
      </c>
      <c r="AM12" s="3517"/>
      <c r="AN12" s="3517"/>
      <c r="AO12" s="3517"/>
    </row>
    <row r="13" spans="1:42" s="1744" customFormat="1">
      <c r="A13" s="1301" t="s">
        <v>437</v>
      </c>
      <c r="B13" s="1839">
        <v>69420</v>
      </c>
      <c r="C13" s="1800">
        <v>196406</v>
      </c>
      <c r="D13" s="3590">
        <v>19249</v>
      </c>
      <c r="E13" s="3590">
        <v>43002</v>
      </c>
      <c r="F13" s="3590">
        <v>134155</v>
      </c>
      <c r="G13" s="1800">
        <v>189606</v>
      </c>
      <c r="H13" s="3590">
        <v>3195</v>
      </c>
      <c r="I13" s="1801">
        <v>41254</v>
      </c>
      <c r="J13" s="3590">
        <v>135362</v>
      </c>
      <c r="K13" s="2888">
        <v>9795</v>
      </c>
      <c r="L13" s="2888">
        <v>11153</v>
      </c>
      <c r="M13" s="2889">
        <f>+'2.6'!D35*1000-SUM(B13:C13,G13,L13)</f>
        <v>0</v>
      </c>
      <c r="N13" s="1795"/>
      <c r="O13" s="3591"/>
      <c r="P13" s="3591"/>
      <c r="Q13" s="3591"/>
      <c r="R13" s="2890"/>
      <c r="S13" s="1658"/>
      <c r="T13" s="3591"/>
      <c r="U13" s="3591"/>
      <c r="V13" s="3591"/>
      <c r="W13" s="2890"/>
      <c r="X13" s="1794"/>
      <c r="Y13" s="1817"/>
      <c r="Z13" s="1799">
        <v>1661201</v>
      </c>
      <c r="AA13" s="1800">
        <v>3537415</v>
      </c>
      <c r="AB13" s="3590">
        <v>263890</v>
      </c>
      <c r="AC13" s="1805">
        <v>821396</v>
      </c>
      <c r="AD13" s="3590">
        <v>2452129</v>
      </c>
      <c r="AE13" s="1800">
        <v>4160464</v>
      </c>
      <c r="AF13" s="3590">
        <v>127467</v>
      </c>
      <c r="AG13" s="1801">
        <v>1085541</v>
      </c>
      <c r="AH13" s="3590">
        <v>2816123</v>
      </c>
      <c r="AI13" s="1806">
        <v>131333</v>
      </c>
      <c r="AJ13" s="1807">
        <v>93616</v>
      </c>
      <c r="AK13" s="2891">
        <f>'2.6'!S35*1000-SUM(Z13:AA13,AE13,AJ13)</f>
        <v>23518</v>
      </c>
      <c r="AM13" s="3517"/>
      <c r="AN13" s="3517"/>
      <c r="AO13" s="3517"/>
    </row>
    <row r="14" spans="1:42" s="1744" customFormat="1">
      <c r="A14" s="1301" t="s">
        <v>438</v>
      </c>
      <c r="B14" s="1839">
        <v>63243</v>
      </c>
      <c r="C14" s="1800">
        <v>206403</v>
      </c>
      <c r="D14" s="3590">
        <v>15550</v>
      </c>
      <c r="E14" s="3590">
        <v>45356</v>
      </c>
      <c r="F14" s="3590">
        <v>145497</v>
      </c>
      <c r="G14" s="1800">
        <v>178421</v>
      </c>
      <c r="H14" s="3590">
        <v>7892</v>
      </c>
      <c r="I14" s="1801">
        <v>37987</v>
      </c>
      <c r="J14" s="3590">
        <v>124480</v>
      </c>
      <c r="K14" s="2888">
        <v>8062</v>
      </c>
      <c r="L14" s="2888">
        <v>10242</v>
      </c>
      <c r="M14" s="2889">
        <f>+'2.6'!D36*1000-SUM(B14:C14,G14,L14)</f>
        <v>0</v>
      </c>
      <c r="N14" s="1795"/>
      <c r="O14" s="3591"/>
      <c r="P14" s="3591"/>
      <c r="Q14" s="3591"/>
      <c r="R14" s="2890"/>
      <c r="S14" s="1658"/>
      <c r="T14" s="3591"/>
      <c r="U14" s="3591"/>
      <c r="V14" s="3591"/>
      <c r="W14" s="2890"/>
      <c r="X14" s="1794"/>
      <c r="Y14" s="1817"/>
      <c r="Z14" s="1799">
        <v>1569135</v>
      </c>
      <c r="AA14" s="1800">
        <v>3519877</v>
      </c>
      <c r="AB14" s="3590">
        <v>232759</v>
      </c>
      <c r="AC14" s="1805">
        <v>804436</v>
      </c>
      <c r="AD14" s="3590">
        <v>2482682</v>
      </c>
      <c r="AE14" s="1800">
        <v>3969484</v>
      </c>
      <c r="AF14" s="3590">
        <v>98778</v>
      </c>
      <c r="AG14" s="1801">
        <v>1045163</v>
      </c>
      <c r="AH14" s="3590">
        <v>2713884</v>
      </c>
      <c r="AI14" s="1806">
        <v>111659</v>
      </c>
      <c r="AJ14" s="1807">
        <v>84026</v>
      </c>
      <c r="AK14" s="2891">
        <f>'2.6'!S36*1000-SUM(Z14:AA14,AE14,AJ14)</f>
        <v>172408</v>
      </c>
      <c r="AM14" s="3517"/>
      <c r="AN14" s="3517"/>
      <c r="AO14" s="3517"/>
    </row>
    <row r="15" spans="1:42" s="1744" customFormat="1">
      <c r="A15" s="1301" t="s">
        <v>439</v>
      </c>
      <c r="B15" s="1839">
        <v>63349</v>
      </c>
      <c r="C15" s="1800">
        <v>221580</v>
      </c>
      <c r="D15" s="3590">
        <v>12104</v>
      </c>
      <c r="E15" s="3590">
        <v>58505</v>
      </c>
      <c r="F15" s="3590">
        <v>150971</v>
      </c>
      <c r="G15" s="1800">
        <v>183734</v>
      </c>
      <c r="H15" s="3590">
        <v>11318</v>
      </c>
      <c r="I15" s="1801">
        <v>38126</v>
      </c>
      <c r="J15" s="3590">
        <v>129999</v>
      </c>
      <c r="K15" s="2888">
        <v>4291</v>
      </c>
      <c r="L15" s="2888">
        <v>11692</v>
      </c>
      <c r="M15" s="2889">
        <f>+'2.6'!D37*1000-SUM(B15:C15,G15,L15)</f>
        <v>0</v>
      </c>
      <c r="N15" s="1795"/>
      <c r="O15" s="3591"/>
      <c r="P15" s="3591"/>
      <c r="Q15" s="3591"/>
      <c r="R15" s="2890"/>
      <c r="S15" s="1658"/>
      <c r="T15" s="3591"/>
      <c r="U15" s="3591"/>
      <c r="V15" s="3591"/>
      <c r="W15" s="2890"/>
      <c r="X15" s="1794"/>
      <c r="Y15" s="1817"/>
      <c r="Z15" s="1799">
        <v>1661199</v>
      </c>
      <c r="AA15" s="1800">
        <v>3599437</v>
      </c>
      <c r="AB15" s="3590">
        <v>248924</v>
      </c>
      <c r="AC15" s="1805">
        <v>848452</v>
      </c>
      <c r="AD15" s="3590">
        <v>2502061</v>
      </c>
      <c r="AE15" s="1800">
        <v>3990385</v>
      </c>
      <c r="AF15" s="3590">
        <v>118532</v>
      </c>
      <c r="AG15" s="1801">
        <v>1072545</v>
      </c>
      <c r="AH15" s="3590">
        <v>2711908</v>
      </c>
      <c r="AI15" s="1806">
        <v>87400</v>
      </c>
      <c r="AJ15" s="1807">
        <v>91500</v>
      </c>
      <c r="AK15" s="2891">
        <f>'2.6'!S37*1000-SUM(Z15:AA15,AE15,AJ15)</f>
        <v>91756</v>
      </c>
      <c r="AM15" s="3517"/>
      <c r="AN15" s="3517"/>
      <c r="AO15" s="3517"/>
    </row>
    <row r="16" spans="1:42" s="1744" customFormat="1">
      <c r="A16" s="1301" t="s">
        <v>440</v>
      </c>
      <c r="B16" s="1839">
        <v>73472</v>
      </c>
      <c r="C16" s="1800">
        <v>220366</v>
      </c>
      <c r="D16" s="3590">
        <v>16641</v>
      </c>
      <c r="E16" s="3590">
        <v>61491</v>
      </c>
      <c r="F16" s="3590">
        <v>142234</v>
      </c>
      <c r="G16" s="1800">
        <v>190427</v>
      </c>
      <c r="H16" s="3590">
        <v>4535</v>
      </c>
      <c r="I16" s="1801">
        <v>42100</v>
      </c>
      <c r="J16" s="3590">
        <v>141113</v>
      </c>
      <c r="K16" s="2888">
        <v>2679</v>
      </c>
      <c r="L16" s="2888">
        <v>9647</v>
      </c>
      <c r="M16" s="2889">
        <f>+'2.6'!D38*1000-SUM(B16:C16,G16,L16)</f>
        <v>0</v>
      </c>
      <c r="N16" s="1795"/>
      <c r="O16" s="3591"/>
      <c r="P16" s="3591"/>
      <c r="Q16" s="3591"/>
      <c r="R16" s="2890"/>
      <c r="S16" s="1658"/>
      <c r="T16" s="3591"/>
      <c r="U16" s="3591"/>
      <c r="V16" s="3591"/>
      <c r="W16" s="2890"/>
      <c r="X16" s="1794"/>
      <c r="Y16" s="1817"/>
      <c r="Z16" s="1799">
        <v>1658108</v>
      </c>
      <c r="AA16" s="1800">
        <v>3765545</v>
      </c>
      <c r="AB16" s="3590">
        <v>295507</v>
      </c>
      <c r="AC16" s="1805">
        <v>847809</v>
      </c>
      <c r="AD16" s="3590">
        <v>2622229</v>
      </c>
      <c r="AE16" s="1800">
        <v>4089519</v>
      </c>
      <c r="AF16" s="3590">
        <v>112126</v>
      </c>
      <c r="AG16" s="1801">
        <v>1102819</v>
      </c>
      <c r="AH16" s="3590">
        <v>2762230</v>
      </c>
      <c r="AI16" s="1806">
        <v>112344</v>
      </c>
      <c r="AJ16" s="1807">
        <v>85386</v>
      </c>
      <c r="AK16" s="2891">
        <f>'2.6'!S38*1000-SUM(Z16:AA16,AE16,AJ16)</f>
        <v>100640</v>
      </c>
      <c r="AM16" s="3517"/>
      <c r="AN16" s="3517"/>
      <c r="AO16" s="3517"/>
    </row>
    <row r="17" spans="1:44" s="1744" customFormat="1">
      <c r="A17" s="1301" t="s">
        <v>441</v>
      </c>
      <c r="B17" s="1839">
        <v>67400</v>
      </c>
      <c r="C17" s="1800">
        <v>229158</v>
      </c>
      <c r="D17" s="3590">
        <v>19123</v>
      </c>
      <c r="E17" s="3590">
        <v>63427</v>
      </c>
      <c r="F17" s="3590">
        <v>146608</v>
      </c>
      <c r="G17" s="1800">
        <v>190167</v>
      </c>
      <c r="H17" s="3590">
        <v>10360</v>
      </c>
      <c r="I17" s="1801">
        <v>29533</v>
      </c>
      <c r="J17" s="3590">
        <v>146581</v>
      </c>
      <c r="K17" s="2888">
        <v>3693</v>
      </c>
      <c r="L17" s="2888">
        <v>14164</v>
      </c>
      <c r="M17" s="2889">
        <f>+'2.6'!D39*1000-SUM(B17:C17,G17,L17)</f>
        <v>0</v>
      </c>
      <c r="N17" s="1795"/>
      <c r="O17" s="3591"/>
      <c r="P17" s="3591"/>
      <c r="Q17" s="3591"/>
      <c r="R17" s="2890"/>
      <c r="S17" s="1658"/>
      <c r="T17" s="3591"/>
      <c r="U17" s="3591"/>
      <c r="V17" s="3591"/>
      <c r="W17" s="2890"/>
      <c r="X17" s="1794"/>
      <c r="Y17" s="1817"/>
      <c r="Z17" s="1799">
        <v>1576359</v>
      </c>
      <c r="AA17" s="1800">
        <v>3845733</v>
      </c>
      <c r="AB17" s="3590">
        <v>258708</v>
      </c>
      <c r="AC17" s="1805">
        <v>865211</v>
      </c>
      <c r="AD17" s="3590">
        <v>2721814</v>
      </c>
      <c r="AE17" s="1800">
        <v>4135613</v>
      </c>
      <c r="AF17" s="3590">
        <v>124218</v>
      </c>
      <c r="AG17" s="1801">
        <v>1066148</v>
      </c>
      <c r="AH17" s="3590">
        <v>2822381</v>
      </c>
      <c r="AI17" s="1806">
        <v>122866</v>
      </c>
      <c r="AJ17" s="1807">
        <v>110256</v>
      </c>
      <c r="AK17" s="2891">
        <f>'2.6'!S39*1000-SUM(Z17:AA17,AE17,AJ17)</f>
        <v>111725</v>
      </c>
      <c r="AM17" s="3517"/>
      <c r="AN17" s="3517"/>
      <c r="AO17" s="3517"/>
    </row>
    <row r="18" spans="1:44" s="1056" customFormat="1">
      <c r="A18" s="1301" t="s">
        <v>442</v>
      </c>
      <c r="B18" s="1839">
        <v>54461</v>
      </c>
      <c r="C18" s="1800">
        <v>234538</v>
      </c>
      <c r="D18" s="3590">
        <v>19466</v>
      </c>
      <c r="E18" s="3590">
        <v>56854</v>
      </c>
      <c r="F18" s="3590">
        <v>158218</v>
      </c>
      <c r="G18" s="1800">
        <v>186120</v>
      </c>
      <c r="H18" s="3590">
        <v>7152</v>
      </c>
      <c r="I18" s="1801">
        <v>31146</v>
      </c>
      <c r="J18" s="3590">
        <v>138272</v>
      </c>
      <c r="K18" s="2888">
        <v>9550</v>
      </c>
      <c r="L18" s="2888">
        <v>7058</v>
      </c>
      <c r="M18" s="2889">
        <f>+'2.6'!D40*1000-SUM(B18:C18,G18,L18)</f>
        <v>0</v>
      </c>
      <c r="N18" s="1795"/>
      <c r="O18" s="3591"/>
      <c r="P18" s="3591"/>
      <c r="Q18" s="3591"/>
      <c r="R18" s="2890"/>
      <c r="S18" s="1658"/>
      <c r="T18" s="3591"/>
      <c r="U18" s="3591"/>
      <c r="V18" s="3591"/>
      <c r="W18" s="2890"/>
      <c r="X18" s="1794"/>
      <c r="Y18" s="1817"/>
      <c r="Z18" s="1799">
        <v>1611472</v>
      </c>
      <c r="AA18" s="1800">
        <v>3882470</v>
      </c>
      <c r="AB18" s="3590">
        <v>254567</v>
      </c>
      <c r="AC18" s="1805">
        <v>837017</v>
      </c>
      <c r="AD18" s="3590">
        <v>2790886</v>
      </c>
      <c r="AE18" s="1800">
        <v>3987058</v>
      </c>
      <c r="AF18" s="3590">
        <v>106578</v>
      </c>
      <c r="AG18" s="1801">
        <v>1025718</v>
      </c>
      <c r="AH18" s="3590">
        <v>2761002</v>
      </c>
      <c r="AI18" s="1806">
        <v>93760</v>
      </c>
      <c r="AJ18" s="1807">
        <v>79639</v>
      </c>
      <c r="AK18" s="2891">
        <f>'2.6'!S40*1000-SUM(Z18:AA18,AE18,AJ18)</f>
        <v>110402</v>
      </c>
      <c r="AM18" s="3517"/>
      <c r="AN18" s="3517"/>
      <c r="AO18" s="3517"/>
    </row>
    <row r="19" spans="1:44">
      <c r="A19" s="1301" t="s">
        <v>443</v>
      </c>
      <c r="B19" s="1839">
        <v>64203</v>
      </c>
      <c r="C19" s="1800">
        <v>241824</v>
      </c>
      <c r="D19" s="3590">
        <v>16169</v>
      </c>
      <c r="E19" s="3590">
        <v>55903</v>
      </c>
      <c r="F19" s="3590">
        <v>169752</v>
      </c>
      <c r="G19" s="1800">
        <v>178072</v>
      </c>
      <c r="H19" s="3590">
        <v>7002</v>
      </c>
      <c r="I19" s="1801">
        <v>42660</v>
      </c>
      <c r="J19" s="3590">
        <v>122102</v>
      </c>
      <c r="K19" s="2888">
        <v>6308</v>
      </c>
      <c r="L19" s="2888">
        <v>5665</v>
      </c>
      <c r="M19" s="2889">
        <f>+'2.6'!D41*1000-SUM(B19:C19,G19,L19)</f>
        <v>0</v>
      </c>
      <c r="N19" s="1795"/>
      <c r="O19" s="3591"/>
      <c r="P19" s="3591"/>
      <c r="Q19" s="3591"/>
      <c r="R19" s="2890"/>
      <c r="S19" s="1658"/>
      <c r="T19" s="3591"/>
      <c r="U19" s="3591"/>
      <c r="V19" s="3591"/>
      <c r="W19" s="2890"/>
      <c r="X19" s="1794"/>
      <c r="Y19" s="1817"/>
      <c r="Z19" s="1799">
        <v>1697677</v>
      </c>
      <c r="AA19" s="1800">
        <v>3960832</v>
      </c>
      <c r="AB19" s="3590">
        <v>279805</v>
      </c>
      <c r="AC19" s="1805">
        <v>850043</v>
      </c>
      <c r="AD19" s="3590">
        <v>2830984</v>
      </c>
      <c r="AE19" s="1800">
        <v>4111380</v>
      </c>
      <c r="AF19" s="3590">
        <v>123219</v>
      </c>
      <c r="AG19" s="1801">
        <v>1050772</v>
      </c>
      <c r="AH19" s="3590">
        <v>2824779</v>
      </c>
      <c r="AI19" s="1806">
        <v>112610</v>
      </c>
      <c r="AJ19" s="1807">
        <v>79962</v>
      </c>
      <c r="AK19" s="2891">
        <f>'2.6'!S41*1000-SUM(Z19:AA19,AE19,AJ19)</f>
        <v>60423</v>
      </c>
      <c r="AM19" s="3517"/>
      <c r="AN19" s="3517"/>
      <c r="AO19" s="3517"/>
    </row>
    <row r="20" spans="1:44">
      <c r="A20" s="1301" t="s">
        <v>444</v>
      </c>
      <c r="B20" s="1801">
        <v>64839</v>
      </c>
      <c r="C20" s="1800">
        <v>247933</v>
      </c>
      <c r="D20" s="3590">
        <v>16424</v>
      </c>
      <c r="E20" s="3590">
        <v>69596</v>
      </c>
      <c r="F20" s="3590">
        <v>161913</v>
      </c>
      <c r="G20" s="1800">
        <v>188752</v>
      </c>
      <c r="H20" s="3590">
        <v>1809</v>
      </c>
      <c r="I20" s="1801">
        <v>31639</v>
      </c>
      <c r="J20" s="3590">
        <v>146262</v>
      </c>
      <c r="K20" s="2888">
        <v>9042</v>
      </c>
      <c r="L20" s="2888">
        <v>5891</v>
      </c>
      <c r="M20" s="2889">
        <f>+'2.6'!D42*1000-SUM(B20:C20,G20,L20)</f>
        <v>0</v>
      </c>
      <c r="N20" s="1796">
        <v>47146</v>
      </c>
      <c r="O20" s="2885">
        <v>64856</v>
      </c>
      <c r="P20" s="3589">
        <v>7767</v>
      </c>
      <c r="Q20" s="1804">
        <v>16227</v>
      </c>
      <c r="R20" s="1797">
        <v>40862</v>
      </c>
      <c r="S20" s="2885">
        <v>62674</v>
      </c>
      <c r="T20" s="3589">
        <v>2907</v>
      </c>
      <c r="U20" s="1798">
        <v>17905</v>
      </c>
      <c r="V20" s="3589">
        <v>41605</v>
      </c>
      <c r="W20" s="2457">
        <v>257</v>
      </c>
      <c r="X20" s="2886">
        <v>5731</v>
      </c>
      <c r="Y20" s="2887">
        <f>'2.6'!I42*1000-SUM(N20:O20,S20,X20)</f>
        <v>0</v>
      </c>
      <c r="Z20" s="1799">
        <v>1648371</v>
      </c>
      <c r="AA20" s="1800">
        <v>4127186</v>
      </c>
      <c r="AB20" s="3590">
        <v>279456</v>
      </c>
      <c r="AC20" s="1805">
        <v>881640</v>
      </c>
      <c r="AD20" s="3590">
        <v>2966090</v>
      </c>
      <c r="AE20" s="1800">
        <v>4104408</v>
      </c>
      <c r="AF20" s="3590">
        <v>133779</v>
      </c>
      <c r="AG20" s="1801">
        <v>977242</v>
      </c>
      <c r="AH20" s="3590">
        <v>2890606</v>
      </c>
      <c r="AI20" s="1806">
        <v>102781</v>
      </c>
      <c r="AJ20" s="1807">
        <v>73715</v>
      </c>
      <c r="AK20" s="2891">
        <f>'2.6'!S42*1000-SUM(Z20:AA20,AE20,AJ20)</f>
        <v>106988</v>
      </c>
      <c r="AM20" s="3517"/>
      <c r="AN20" s="3517"/>
      <c r="AO20" s="3517"/>
    </row>
    <row r="21" spans="1:44">
      <c r="A21" s="1301" t="s">
        <v>445</v>
      </c>
      <c r="B21" s="1801">
        <v>57621</v>
      </c>
      <c r="C21" s="1800">
        <v>265114</v>
      </c>
      <c r="D21" s="3590">
        <v>17760</v>
      </c>
      <c r="E21" s="3590">
        <v>70346</v>
      </c>
      <c r="F21" s="3590">
        <v>177008</v>
      </c>
      <c r="G21" s="1800">
        <v>185205</v>
      </c>
      <c r="H21" s="3590">
        <v>6425</v>
      </c>
      <c r="I21" s="1801">
        <v>38464</v>
      </c>
      <c r="J21" s="3590">
        <v>131821</v>
      </c>
      <c r="K21" s="2888">
        <v>8495</v>
      </c>
      <c r="L21" s="2888">
        <v>5377</v>
      </c>
      <c r="M21" s="2889">
        <f>+'2.6'!D43*1000-SUM(B21:C21,G21,L21)</f>
        <v>0</v>
      </c>
      <c r="N21" s="1799">
        <v>47937</v>
      </c>
      <c r="O21" s="1800">
        <v>71542</v>
      </c>
      <c r="P21" s="3590">
        <v>12703</v>
      </c>
      <c r="Q21" s="1805">
        <v>17583</v>
      </c>
      <c r="R21" s="3590">
        <v>41256</v>
      </c>
      <c r="S21" s="1800">
        <v>63706</v>
      </c>
      <c r="T21" s="3590">
        <v>2945</v>
      </c>
      <c r="U21" s="1801">
        <v>16904</v>
      </c>
      <c r="V21" s="3590">
        <v>42805</v>
      </c>
      <c r="W21" s="1806">
        <v>1052</v>
      </c>
      <c r="X21" s="1807">
        <v>5176</v>
      </c>
      <c r="Y21" s="2891">
        <f>'2.6'!I43*1000-SUM(N21:O21,S21,X21)</f>
        <v>0</v>
      </c>
      <c r="Z21" s="1799">
        <v>1613806</v>
      </c>
      <c r="AA21" s="1800">
        <v>4211474</v>
      </c>
      <c r="AB21" s="3590">
        <v>295136</v>
      </c>
      <c r="AC21" s="1805">
        <v>922507</v>
      </c>
      <c r="AD21" s="3590">
        <v>2993831</v>
      </c>
      <c r="AE21" s="1800">
        <v>4191945</v>
      </c>
      <c r="AF21" s="3590">
        <v>118460</v>
      </c>
      <c r="AG21" s="1801">
        <v>1025237</v>
      </c>
      <c r="AH21" s="3590">
        <v>2927470</v>
      </c>
      <c r="AI21" s="1806">
        <v>120778</v>
      </c>
      <c r="AJ21" s="1807">
        <v>86331</v>
      </c>
      <c r="AK21" s="2891">
        <f>'2.6'!S43*1000-SUM(Z21:AA21,AE21,AJ21)</f>
        <v>78036</v>
      </c>
      <c r="AM21" s="3517"/>
      <c r="AN21" s="3517"/>
      <c r="AO21" s="3517"/>
      <c r="AP21" s="3517"/>
      <c r="AQ21" s="3517"/>
      <c r="AR21" s="3517"/>
    </row>
    <row r="22" spans="1:44">
      <c r="A22" s="1301" t="s">
        <v>446</v>
      </c>
      <c r="B22" s="1801">
        <v>57247</v>
      </c>
      <c r="C22" s="1800">
        <v>274574</v>
      </c>
      <c r="D22" s="3590">
        <v>15393</v>
      </c>
      <c r="E22" s="3590">
        <v>68369</v>
      </c>
      <c r="F22" s="3590">
        <v>190812</v>
      </c>
      <c r="G22" s="1800">
        <v>175164</v>
      </c>
      <c r="H22" s="3590">
        <v>6064</v>
      </c>
      <c r="I22" s="1801">
        <v>37717</v>
      </c>
      <c r="J22" s="3590">
        <v>125484</v>
      </c>
      <c r="K22" s="2888">
        <v>5899</v>
      </c>
      <c r="L22" s="2888">
        <v>1506</v>
      </c>
      <c r="M22" s="2889">
        <f>+'2.6'!D44*1000-SUM(B22:C22,G22,L22)</f>
        <v>0</v>
      </c>
      <c r="N22" s="1799">
        <v>40382</v>
      </c>
      <c r="O22" s="1800">
        <v>74903</v>
      </c>
      <c r="P22" s="3590">
        <v>8233</v>
      </c>
      <c r="Q22" s="1805">
        <v>19258</v>
      </c>
      <c r="R22" s="3590">
        <v>47412</v>
      </c>
      <c r="S22" s="1800">
        <v>59301</v>
      </c>
      <c r="T22" s="3590">
        <v>3449</v>
      </c>
      <c r="U22" s="1801">
        <v>18052</v>
      </c>
      <c r="V22" s="3590">
        <v>37800</v>
      </c>
      <c r="W22" s="1806">
        <v>0</v>
      </c>
      <c r="X22" s="1807">
        <v>4436</v>
      </c>
      <c r="Y22" s="2891">
        <f>'2.6'!I44*1000-SUM(N22:O22,S22,X22)</f>
        <v>0</v>
      </c>
      <c r="Z22" s="1799">
        <v>1553903</v>
      </c>
      <c r="AA22" s="1800">
        <v>4325779</v>
      </c>
      <c r="AB22" s="3590">
        <v>307481</v>
      </c>
      <c r="AC22" s="1805">
        <v>880439</v>
      </c>
      <c r="AD22" s="3590">
        <v>3137859</v>
      </c>
      <c r="AE22" s="1800">
        <v>4104715</v>
      </c>
      <c r="AF22" s="3590">
        <v>142821</v>
      </c>
      <c r="AG22" s="1801">
        <v>969970</v>
      </c>
      <c r="AH22" s="3590">
        <v>2877159</v>
      </c>
      <c r="AI22" s="1806">
        <v>114765</v>
      </c>
      <c r="AJ22" s="1807">
        <v>63523</v>
      </c>
      <c r="AK22" s="2891">
        <f>'2.6'!S44*1000-SUM(Z22:AA22,AE22,AJ22)</f>
        <v>74456</v>
      </c>
      <c r="AM22" s="3517"/>
      <c r="AN22" s="3517"/>
      <c r="AO22" s="3517"/>
    </row>
    <row r="23" spans="1:44">
      <c r="A23" s="1301" t="s">
        <v>447</v>
      </c>
      <c r="B23" s="1801">
        <v>72403</v>
      </c>
      <c r="C23" s="1800">
        <v>270671</v>
      </c>
      <c r="D23" s="3590">
        <v>24689</v>
      </c>
      <c r="E23" s="3590">
        <v>69399</v>
      </c>
      <c r="F23" s="3590">
        <v>176583</v>
      </c>
      <c r="G23" s="1800">
        <v>163593</v>
      </c>
      <c r="H23" s="3590">
        <v>4639</v>
      </c>
      <c r="I23" s="1801">
        <v>31566</v>
      </c>
      <c r="J23" s="3590">
        <v>124590</v>
      </c>
      <c r="K23" s="2888">
        <v>2798</v>
      </c>
      <c r="L23" s="2888">
        <v>2809</v>
      </c>
      <c r="M23" s="2889">
        <f>+'2.6'!D45*1000-SUM(B23:C23,G23,L23)</f>
        <v>0</v>
      </c>
      <c r="N23" s="1799">
        <v>39128</v>
      </c>
      <c r="O23" s="1800">
        <v>64085</v>
      </c>
      <c r="P23" s="3590">
        <v>8401</v>
      </c>
      <c r="Q23" s="1805">
        <v>13714</v>
      </c>
      <c r="R23" s="3590">
        <v>41970</v>
      </c>
      <c r="S23" s="1800">
        <v>69648</v>
      </c>
      <c r="T23" s="3590">
        <v>2666</v>
      </c>
      <c r="U23" s="1801">
        <v>18899</v>
      </c>
      <c r="V23" s="3590">
        <v>48083</v>
      </c>
      <c r="W23" s="1806">
        <v>0</v>
      </c>
      <c r="X23" s="1807">
        <v>4361</v>
      </c>
      <c r="Y23" s="2891">
        <f>'2.6'!I45*1000-SUM(N23:O23,S23,X23)</f>
        <v>0</v>
      </c>
      <c r="Z23" s="1799">
        <v>1623729</v>
      </c>
      <c r="AA23" s="1800">
        <v>4492978</v>
      </c>
      <c r="AB23" s="3590">
        <v>292595</v>
      </c>
      <c r="AC23" s="1805">
        <v>913844</v>
      </c>
      <c r="AD23" s="3590">
        <v>3286478</v>
      </c>
      <c r="AE23" s="1800">
        <v>4084257</v>
      </c>
      <c r="AF23" s="3590">
        <v>160507</v>
      </c>
      <c r="AG23" s="1801">
        <v>961114</v>
      </c>
      <c r="AH23" s="3590">
        <v>2868622</v>
      </c>
      <c r="AI23" s="1806">
        <v>94014</v>
      </c>
      <c r="AJ23" s="1807">
        <v>57472</v>
      </c>
      <c r="AK23" s="2891">
        <f>'2.6'!S45*1000-SUM(Z23:AA23,AE23,AJ23)</f>
        <v>2977</v>
      </c>
      <c r="AM23" s="3517"/>
      <c r="AN23" s="3517"/>
      <c r="AO23" s="3517"/>
    </row>
    <row r="24" spans="1:44">
      <c r="A24" s="1301" t="s">
        <v>448</v>
      </c>
      <c r="B24" s="1801">
        <v>60698</v>
      </c>
      <c r="C24" s="1799">
        <v>276724.5</v>
      </c>
      <c r="D24" s="3592">
        <v>22126.5</v>
      </c>
      <c r="E24" s="3592">
        <v>67635.5</v>
      </c>
      <c r="F24" s="3592">
        <v>186962.5</v>
      </c>
      <c r="G24" s="1799">
        <v>177488.5</v>
      </c>
      <c r="H24" s="3592">
        <v>3462.5</v>
      </c>
      <c r="I24" s="1839">
        <v>34702</v>
      </c>
      <c r="J24" s="3592">
        <v>135503</v>
      </c>
      <c r="K24" s="2892">
        <v>3821</v>
      </c>
      <c r="L24" s="2892">
        <v>2684</v>
      </c>
      <c r="M24" s="2893">
        <v>0</v>
      </c>
      <c r="N24" s="1799">
        <v>38631.5</v>
      </c>
      <c r="O24" s="1800">
        <v>70261</v>
      </c>
      <c r="P24" s="3590">
        <v>10782.5</v>
      </c>
      <c r="Q24" s="1805">
        <v>16363.5</v>
      </c>
      <c r="R24" s="3590">
        <v>43115</v>
      </c>
      <c r="S24" s="1800">
        <v>68738.5</v>
      </c>
      <c r="T24" s="3590">
        <v>2908</v>
      </c>
      <c r="U24" s="1801">
        <v>18244</v>
      </c>
      <c r="V24" s="3590">
        <v>47309.5</v>
      </c>
      <c r="W24" s="1806">
        <v>277</v>
      </c>
      <c r="X24" s="1807">
        <v>3865</v>
      </c>
      <c r="Y24" s="2894">
        <v>0</v>
      </c>
      <c r="Z24" s="1799">
        <f>+AVERAGE(Z23,Z25)</f>
        <v>1619725</v>
      </c>
      <c r="AA24" s="1800">
        <f t="shared" ref="AA24:AK24" si="0">+AVERAGE(AA23,AA25)</f>
        <v>4537197.5</v>
      </c>
      <c r="AB24" s="3590">
        <f t="shared" si="0"/>
        <v>307235</v>
      </c>
      <c r="AC24" s="1805">
        <f t="shared" si="0"/>
        <v>924802</v>
      </c>
      <c r="AD24" s="3590">
        <f t="shared" si="0"/>
        <v>3305130</v>
      </c>
      <c r="AE24" s="1800">
        <f t="shared" si="0"/>
        <v>4012035</v>
      </c>
      <c r="AF24" s="3590">
        <f t="shared" si="0"/>
        <v>143935</v>
      </c>
      <c r="AG24" s="1801">
        <f t="shared" si="0"/>
        <v>927956.5</v>
      </c>
      <c r="AH24" s="3590">
        <f t="shared" si="0"/>
        <v>2841696</v>
      </c>
      <c r="AI24" s="1806">
        <f t="shared" si="0"/>
        <v>98447.5</v>
      </c>
      <c r="AJ24" s="1807">
        <f t="shared" si="0"/>
        <v>71387.5</v>
      </c>
      <c r="AK24" s="2894">
        <f t="shared" si="0"/>
        <v>3884.5</v>
      </c>
      <c r="AM24" s="3517"/>
      <c r="AN24" s="3517"/>
      <c r="AO24" s="3517"/>
    </row>
    <row r="25" spans="1:44">
      <c r="A25" s="1301" t="s">
        <v>449</v>
      </c>
      <c r="B25" s="1803">
        <v>48993</v>
      </c>
      <c r="C25" s="1802">
        <v>282778</v>
      </c>
      <c r="D25" s="3593">
        <v>19564</v>
      </c>
      <c r="E25" s="3593">
        <v>65872</v>
      </c>
      <c r="F25" s="3593">
        <v>197342</v>
      </c>
      <c r="G25" s="1802">
        <v>191384</v>
      </c>
      <c r="H25" s="3593">
        <v>2286</v>
      </c>
      <c r="I25" s="1803">
        <v>37838</v>
      </c>
      <c r="J25" s="3593">
        <v>146416</v>
      </c>
      <c r="K25" s="2895">
        <v>4844</v>
      </c>
      <c r="L25" s="2895">
        <v>2559</v>
      </c>
      <c r="M25" s="2889">
        <f>+'2.6'!D47*1000-SUM(B25:C25,G25,L25)</f>
        <v>0</v>
      </c>
      <c r="N25" s="1802">
        <v>38135</v>
      </c>
      <c r="O25" s="1802">
        <v>76437</v>
      </c>
      <c r="P25" s="3593">
        <v>13164</v>
      </c>
      <c r="Q25" s="1808">
        <v>19013</v>
      </c>
      <c r="R25" s="3593">
        <v>44260</v>
      </c>
      <c r="S25" s="1802">
        <v>67829</v>
      </c>
      <c r="T25" s="3593">
        <v>3150</v>
      </c>
      <c r="U25" s="1803">
        <v>17589</v>
      </c>
      <c r="V25" s="3593">
        <v>46536</v>
      </c>
      <c r="W25" s="1809">
        <v>554</v>
      </c>
      <c r="X25" s="1810">
        <v>3369</v>
      </c>
      <c r="Y25" s="2891">
        <f>'2.6'!I47*1000-SUM(N25:O25,S25,X25)</f>
        <v>0</v>
      </c>
      <c r="Z25" s="1802">
        <v>1615721</v>
      </c>
      <c r="AA25" s="1802">
        <v>4581417</v>
      </c>
      <c r="AB25" s="3593">
        <v>321875</v>
      </c>
      <c r="AC25" s="1808">
        <v>935760</v>
      </c>
      <c r="AD25" s="3593">
        <v>3323782</v>
      </c>
      <c r="AE25" s="1802">
        <v>3939813</v>
      </c>
      <c r="AF25" s="3593">
        <v>127363</v>
      </c>
      <c r="AG25" s="1803">
        <v>894799</v>
      </c>
      <c r="AH25" s="3593">
        <v>2814770</v>
      </c>
      <c r="AI25" s="1809">
        <v>102881</v>
      </c>
      <c r="AJ25" s="1810">
        <v>85303</v>
      </c>
      <c r="AK25" s="2891">
        <f>'2.6'!S47*1000-SUM(Z25:AA25,AE25,AJ25)</f>
        <v>4792</v>
      </c>
      <c r="AM25" s="3517"/>
      <c r="AN25" s="3517"/>
      <c r="AO25" s="3517"/>
      <c r="AP25" s="3517"/>
      <c r="AQ25" s="3517"/>
      <c r="AR25" s="3517"/>
    </row>
    <row r="26" spans="1:44">
      <c r="A26" s="1301" t="s">
        <v>450</v>
      </c>
      <c r="B26" s="1803">
        <v>61350</v>
      </c>
      <c r="C26" s="1802">
        <v>292243</v>
      </c>
      <c r="D26" s="3593">
        <v>19190</v>
      </c>
      <c r="E26" s="3593">
        <v>61642</v>
      </c>
      <c r="F26" s="3593">
        <v>211411</v>
      </c>
      <c r="G26" s="1802">
        <v>174593</v>
      </c>
      <c r="H26" s="3593">
        <v>8828</v>
      </c>
      <c r="I26" s="1803">
        <v>24349</v>
      </c>
      <c r="J26" s="3593">
        <v>136200</v>
      </c>
      <c r="K26" s="2895">
        <v>5216</v>
      </c>
      <c r="L26" s="2895">
        <v>914</v>
      </c>
      <c r="M26" s="2889">
        <f>+'2.6'!D48*1000-SUM(B26:C26,G26,L26)</f>
        <v>0</v>
      </c>
      <c r="N26" s="1802">
        <v>39451</v>
      </c>
      <c r="O26" s="1802">
        <v>71583</v>
      </c>
      <c r="P26" s="3593">
        <v>7627</v>
      </c>
      <c r="Q26" s="1808">
        <v>18459</v>
      </c>
      <c r="R26" s="3593">
        <v>45497</v>
      </c>
      <c r="S26" s="1802">
        <v>81778</v>
      </c>
      <c r="T26" s="3593">
        <v>5762</v>
      </c>
      <c r="U26" s="1803">
        <v>20055</v>
      </c>
      <c r="V26" s="3593">
        <v>55660</v>
      </c>
      <c r="W26" s="1809">
        <v>301</v>
      </c>
      <c r="X26" s="1810">
        <v>4218</v>
      </c>
      <c r="Y26" s="2891">
        <f>'2.6'!I48*1000-SUM(N26:O26,S26,X26)</f>
        <v>0</v>
      </c>
      <c r="Z26" s="1802">
        <v>1616908</v>
      </c>
      <c r="AA26" s="1802">
        <v>4668468</v>
      </c>
      <c r="AB26" s="3593">
        <v>337668</v>
      </c>
      <c r="AC26" s="1808">
        <v>876937</v>
      </c>
      <c r="AD26" s="3593">
        <v>3453863</v>
      </c>
      <c r="AE26" s="1802">
        <v>3840707</v>
      </c>
      <c r="AF26" s="3593">
        <v>136118</v>
      </c>
      <c r="AG26" s="1803">
        <v>928139</v>
      </c>
      <c r="AH26" s="3593">
        <v>2694315</v>
      </c>
      <c r="AI26" s="1809">
        <v>82135</v>
      </c>
      <c r="AJ26" s="1810">
        <v>70472</v>
      </c>
      <c r="AK26" s="2891">
        <f>'2.6'!S48*1000-SUM(Z26:AA26,AE26,AJ26)</f>
        <v>10314</v>
      </c>
      <c r="AM26" s="3517"/>
      <c r="AN26" s="3517"/>
      <c r="AO26" s="3517"/>
    </row>
    <row r="27" spans="1:44">
      <c r="A27" s="1301" t="s">
        <v>451</v>
      </c>
      <c r="B27" s="1803">
        <v>50972</v>
      </c>
      <c r="C27" s="1802">
        <v>306237</v>
      </c>
      <c r="D27" s="3593">
        <v>17257</v>
      </c>
      <c r="E27" s="3593">
        <v>68181</v>
      </c>
      <c r="F27" s="3593">
        <v>220799</v>
      </c>
      <c r="G27" s="1802">
        <v>179795</v>
      </c>
      <c r="H27" s="3593">
        <v>5839</v>
      </c>
      <c r="I27" s="1803">
        <v>29090</v>
      </c>
      <c r="J27" s="3593">
        <v>139538</v>
      </c>
      <c r="K27" s="2895">
        <v>5328</v>
      </c>
      <c r="L27" s="2895">
        <v>542</v>
      </c>
      <c r="M27" s="2889">
        <f>+'2.6'!D49*1000-SUM(B27:C27,G27,L27)</f>
        <v>0</v>
      </c>
      <c r="N27" s="1802">
        <v>36088</v>
      </c>
      <c r="O27" s="1802">
        <v>72422</v>
      </c>
      <c r="P27" s="3593">
        <v>7319</v>
      </c>
      <c r="Q27" s="1808">
        <v>16333</v>
      </c>
      <c r="R27" s="3593">
        <v>48770</v>
      </c>
      <c r="S27" s="1802">
        <v>73335</v>
      </c>
      <c r="T27" s="3593">
        <v>5038</v>
      </c>
      <c r="U27" s="1803">
        <v>23572</v>
      </c>
      <c r="V27" s="3593">
        <v>44499</v>
      </c>
      <c r="W27" s="1809">
        <v>226</v>
      </c>
      <c r="X27" s="1810">
        <v>2550</v>
      </c>
      <c r="Y27" s="2891">
        <f>'2.6'!I49*1000-SUM(N27:O27,S27,X27)</f>
        <v>0</v>
      </c>
      <c r="Z27" s="1802">
        <v>1582281</v>
      </c>
      <c r="AA27" s="1802">
        <v>4793695</v>
      </c>
      <c r="AB27" s="3593">
        <v>303058</v>
      </c>
      <c r="AC27" s="1808">
        <v>965592</v>
      </c>
      <c r="AD27" s="3593">
        <v>3525045</v>
      </c>
      <c r="AE27" s="1802">
        <v>3824137</v>
      </c>
      <c r="AF27" s="3593">
        <v>161762</v>
      </c>
      <c r="AG27" s="1803">
        <v>934700</v>
      </c>
      <c r="AH27" s="3593">
        <v>2630118</v>
      </c>
      <c r="AI27" s="1809">
        <v>97557</v>
      </c>
      <c r="AJ27" s="1810">
        <v>62826</v>
      </c>
      <c r="AK27" s="2891">
        <f>'2.6'!S49*1000-SUM(Z27:AA27,AE27,AJ27)</f>
        <v>19015</v>
      </c>
      <c r="AM27" s="3517"/>
      <c r="AN27" s="3517"/>
      <c r="AO27" s="3517"/>
    </row>
    <row r="28" spans="1:44">
      <c r="A28" s="1301" t="s">
        <v>452</v>
      </c>
      <c r="B28" s="1803">
        <v>50491</v>
      </c>
      <c r="C28" s="1802">
        <v>280597</v>
      </c>
      <c r="D28" s="3593">
        <v>18905</v>
      </c>
      <c r="E28" s="3593">
        <v>66638</v>
      </c>
      <c r="F28" s="3593">
        <v>195054</v>
      </c>
      <c r="G28" s="1802">
        <v>187311</v>
      </c>
      <c r="H28" s="3593">
        <v>9783</v>
      </c>
      <c r="I28" s="1803">
        <v>30834</v>
      </c>
      <c r="J28" s="3593">
        <v>142797</v>
      </c>
      <c r="K28" s="2895">
        <v>3897</v>
      </c>
      <c r="L28" s="2895">
        <v>3486</v>
      </c>
      <c r="M28" s="2889">
        <f>+'2.6'!D50*1000-SUM(B28:C28,G28,L28)</f>
        <v>0</v>
      </c>
      <c r="N28" s="1802">
        <v>35364</v>
      </c>
      <c r="O28" s="1802">
        <v>73236</v>
      </c>
      <c r="P28" s="3593">
        <v>7119</v>
      </c>
      <c r="Q28" s="1808">
        <v>22210</v>
      </c>
      <c r="R28" s="3593">
        <v>43907</v>
      </c>
      <c r="S28" s="1802">
        <v>74334</v>
      </c>
      <c r="T28" s="3593">
        <v>3230</v>
      </c>
      <c r="U28" s="1803">
        <v>21991</v>
      </c>
      <c r="V28" s="3593">
        <v>49113</v>
      </c>
      <c r="W28" s="1809">
        <v>0</v>
      </c>
      <c r="X28" s="1810">
        <v>2584</v>
      </c>
      <c r="Y28" s="2891">
        <f>'2.6'!I50*1000-SUM(N28:O28,S28,X28)</f>
        <v>0</v>
      </c>
      <c r="Z28" s="1802">
        <v>1568342</v>
      </c>
      <c r="AA28" s="1802">
        <v>4816256</v>
      </c>
      <c r="AB28" s="3593">
        <v>315889</v>
      </c>
      <c r="AC28" s="1808">
        <v>1019566</v>
      </c>
      <c r="AD28" s="3593">
        <v>3479228</v>
      </c>
      <c r="AE28" s="1802">
        <v>3798212</v>
      </c>
      <c r="AF28" s="3593">
        <v>135169</v>
      </c>
      <c r="AG28" s="1803">
        <v>952616</v>
      </c>
      <c r="AH28" s="3593">
        <v>2648420</v>
      </c>
      <c r="AI28" s="1809">
        <v>62007</v>
      </c>
      <c r="AJ28" s="1810">
        <v>67895</v>
      </c>
      <c r="AK28" s="2891">
        <f>'2.6'!S50*1000-SUM(Z28:AA28,AE28,AJ28)</f>
        <v>11179</v>
      </c>
      <c r="AM28" s="3517"/>
      <c r="AN28" s="3517"/>
      <c r="AO28" s="3517"/>
    </row>
    <row r="29" spans="1:44">
      <c r="A29" s="1301" t="s">
        <v>453</v>
      </c>
      <c r="B29" s="1803">
        <v>53162</v>
      </c>
      <c r="C29" s="1802">
        <v>290531</v>
      </c>
      <c r="D29" s="3593">
        <v>19432</v>
      </c>
      <c r="E29" s="3593">
        <v>74169</v>
      </c>
      <c r="F29" s="3593">
        <v>196930</v>
      </c>
      <c r="G29" s="1802">
        <v>184615</v>
      </c>
      <c r="H29" s="3593">
        <v>5102</v>
      </c>
      <c r="I29" s="1803">
        <v>27989</v>
      </c>
      <c r="J29" s="3593">
        <v>147986</v>
      </c>
      <c r="K29" s="2895">
        <v>3538</v>
      </c>
      <c r="L29" s="2895">
        <v>2255</v>
      </c>
      <c r="M29" s="2889">
        <f>+'2.6'!D51*1000-SUM(B29:C29,G29,L29)</f>
        <v>0</v>
      </c>
      <c r="N29" s="1802">
        <v>38249</v>
      </c>
      <c r="O29" s="1802">
        <v>82639</v>
      </c>
      <c r="P29" s="3593">
        <v>8749</v>
      </c>
      <c r="Q29" s="1808">
        <v>21246</v>
      </c>
      <c r="R29" s="3593">
        <v>52644</v>
      </c>
      <c r="S29" s="1802">
        <v>70162</v>
      </c>
      <c r="T29" s="3593">
        <v>5978</v>
      </c>
      <c r="U29" s="1803">
        <v>14537</v>
      </c>
      <c r="V29" s="3593">
        <v>49647</v>
      </c>
      <c r="W29" s="1809">
        <v>0</v>
      </c>
      <c r="X29" s="1810">
        <v>4637</v>
      </c>
      <c r="Y29" s="2891">
        <f>'2.6'!I51*1000-SUM(N29:O29,S29,X29)</f>
        <v>0</v>
      </c>
      <c r="Z29" s="1802">
        <v>1594222</v>
      </c>
      <c r="AA29" s="1802">
        <v>4847054</v>
      </c>
      <c r="AB29" s="3593">
        <v>352893</v>
      </c>
      <c r="AC29" s="1808">
        <v>971161</v>
      </c>
      <c r="AD29" s="3593">
        <v>3523000</v>
      </c>
      <c r="AE29" s="1802">
        <v>3949714</v>
      </c>
      <c r="AF29" s="3593">
        <v>141202</v>
      </c>
      <c r="AG29" s="1803">
        <v>912976</v>
      </c>
      <c r="AH29" s="3593">
        <v>2812316</v>
      </c>
      <c r="AI29" s="1809">
        <v>83220</v>
      </c>
      <c r="AJ29" s="1810">
        <v>67529</v>
      </c>
      <c r="AK29" s="2891">
        <f>'2.6'!S51*1000-SUM(Z29:AA29,AE29,AJ29)</f>
        <v>18585</v>
      </c>
      <c r="AM29" s="3517"/>
      <c r="AN29" s="3517"/>
      <c r="AO29" s="3517"/>
      <c r="AP29" s="3517"/>
      <c r="AQ29" s="3517"/>
      <c r="AR29" s="3517"/>
    </row>
    <row r="30" spans="1:44">
      <c r="A30" s="1301" t="s">
        <v>454</v>
      </c>
      <c r="B30" s="1803">
        <v>47773</v>
      </c>
      <c r="C30" s="1802">
        <v>288020</v>
      </c>
      <c r="D30" s="3593">
        <v>17147</v>
      </c>
      <c r="E30" s="3593">
        <v>71733</v>
      </c>
      <c r="F30" s="3593">
        <v>199140</v>
      </c>
      <c r="G30" s="1802">
        <v>194435</v>
      </c>
      <c r="H30" s="3593">
        <v>5501</v>
      </c>
      <c r="I30" s="1803">
        <v>34502</v>
      </c>
      <c r="J30" s="3593">
        <v>150770</v>
      </c>
      <c r="K30" s="2895">
        <v>3662</v>
      </c>
      <c r="L30" s="2895">
        <v>394</v>
      </c>
      <c r="M30" s="2889">
        <f>+'2.6'!D52*1000-SUM(B30:C30,G30,L30)</f>
        <v>0</v>
      </c>
      <c r="N30" s="1802">
        <v>35512</v>
      </c>
      <c r="O30" s="1802">
        <v>82172</v>
      </c>
      <c r="P30" s="3593">
        <v>5781</v>
      </c>
      <c r="Q30" s="1808">
        <v>20378</v>
      </c>
      <c r="R30" s="3593">
        <v>56013</v>
      </c>
      <c r="S30" s="1802">
        <v>64617</v>
      </c>
      <c r="T30" s="3593">
        <v>6691</v>
      </c>
      <c r="U30" s="1803">
        <v>14683</v>
      </c>
      <c r="V30" s="3593">
        <v>43243</v>
      </c>
      <c r="W30" s="1809">
        <v>0</v>
      </c>
      <c r="X30" s="1810">
        <v>5255</v>
      </c>
      <c r="Y30" s="2891">
        <f>'2.6'!I52*1000-SUM(N30:O30,S30,X30)</f>
        <v>0</v>
      </c>
      <c r="Z30" s="1802">
        <v>1693811</v>
      </c>
      <c r="AA30" s="1802">
        <v>4871423</v>
      </c>
      <c r="AB30" s="3593">
        <v>322507</v>
      </c>
      <c r="AC30" s="1808">
        <v>1001373</v>
      </c>
      <c r="AD30" s="3593">
        <v>3547169</v>
      </c>
      <c r="AE30" s="1802">
        <v>3826472</v>
      </c>
      <c r="AF30" s="3593">
        <v>172226</v>
      </c>
      <c r="AG30" s="1803">
        <v>889522</v>
      </c>
      <c r="AH30" s="3593">
        <v>2676043</v>
      </c>
      <c r="AI30" s="1809">
        <v>88681</v>
      </c>
      <c r="AJ30" s="1810">
        <v>64815</v>
      </c>
      <c r="AK30" s="2891">
        <f>'2.6'!S52*1000-SUM(Z30:AA30,AE30,AJ30)</f>
        <v>6011</v>
      </c>
      <c r="AM30" s="3517"/>
      <c r="AN30" s="3517"/>
      <c r="AO30" s="3517"/>
    </row>
    <row r="31" spans="1:44">
      <c r="A31" s="1301" t="s">
        <v>455</v>
      </c>
      <c r="B31" s="1803">
        <v>56927</v>
      </c>
      <c r="C31" s="1802">
        <v>293355</v>
      </c>
      <c r="D31" s="3593">
        <v>16739</v>
      </c>
      <c r="E31" s="3593">
        <v>75822</v>
      </c>
      <c r="F31" s="3593">
        <v>200794</v>
      </c>
      <c r="G31" s="1802">
        <v>169467</v>
      </c>
      <c r="H31" s="3593">
        <v>5236</v>
      </c>
      <c r="I31" s="1803">
        <v>35772</v>
      </c>
      <c r="J31" s="3593">
        <v>124536</v>
      </c>
      <c r="K31" s="2895">
        <v>3923</v>
      </c>
      <c r="L31" s="2895">
        <v>1886</v>
      </c>
      <c r="M31" s="2889">
        <f>+'2.6'!D53*1000-SUM(B31:C31,G31,L31)</f>
        <v>0</v>
      </c>
      <c r="N31" s="1802">
        <v>42694</v>
      </c>
      <c r="O31" s="1802">
        <v>76665</v>
      </c>
      <c r="P31" s="3593">
        <v>8885</v>
      </c>
      <c r="Q31" s="1808">
        <v>20727</v>
      </c>
      <c r="R31" s="3593">
        <v>47053</v>
      </c>
      <c r="S31" s="1802">
        <v>68225</v>
      </c>
      <c r="T31" s="3593">
        <v>2592</v>
      </c>
      <c r="U31" s="1803">
        <v>23947</v>
      </c>
      <c r="V31" s="3593">
        <v>41426</v>
      </c>
      <c r="W31" s="1809">
        <v>260</v>
      </c>
      <c r="X31" s="1810">
        <v>2261</v>
      </c>
      <c r="Y31" s="2891">
        <f>'2.6'!I53*1000-SUM(N31:O31,S31,X31)</f>
        <v>0</v>
      </c>
      <c r="Z31" s="1802">
        <v>1687791</v>
      </c>
      <c r="AA31" s="1802">
        <v>4858444</v>
      </c>
      <c r="AB31" s="3593">
        <v>320531</v>
      </c>
      <c r="AC31" s="1808">
        <v>1023359</v>
      </c>
      <c r="AD31" s="3593">
        <v>3514554</v>
      </c>
      <c r="AE31" s="1802">
        <v>3773364</v>
      </c>
      <c r="AF31" s="3593">
        <v>132173</v>
      </c>
      <c r="AG31" s="1803">
        <v>969707</v>
      </c>
      <c r="AH31" s="3593">
        <v>2598639</v>
      </c>
      <c r="AI31" s="1809">
        <v>72845</v>
      </c>
      <c r="AJ31" s="1810">
        <v>70620</v>
      </c>
      <c r="AK31" s="2891">
        <f>'2.6'!S53*1000-SUM(Z31:AA31,AE31,AJ31)</f>
        <v>7370</v>
      </c>
      <c r="AM31" s="3517"/>
      <c r="AN31" s="3517"/>
      <c r="AO31" s="3517"/>
    </row>
    <row r="32" spans="1:44">
      <c r="A32" s="1301" t="s">
        <v>456</v>
      </c>
      <c r="B32" s="1803">
        <v>57208</v>
      </c>
      <c r="C32" s="1802">
        <v>280514</v>
      </c>
      <c r="D32" s="3593">
        <v>16030</v>
      </c>
      <c r="E32" s="3593">
        <v>51321</v>
      </c>
      <c r="F32" s="3593">
        <v>213163</v>
      </c>
      <c r="G32" s="1802">
        <v>178154</v>
      </c>
      <c r="H32" s="3593">
        <v>6111</v>
      </c>
      <c r="I32" s="1803">
        <v>35207</v>
      </c>
      <c r="J32" s="3593">
        <v>133676</v>
      </c>
      <c r="K32" s="2895">
        <v>3160</v>
      </c>
      <c r="L32" s="2895">
        <v>3113</v>
      </c>
      <c r="M32" s="2889">
        <f>+'2.6'!D54*1000-SUM(B32:C32,G32,L32)</f>
        <v>0</v>
      </c>
      <c r="N32" s="1802">
        <v>43215</v>
      </c>
      <c r="O32" s="1802">
        <v>71122</v>
      </c>
      <c r="P32" s="3593">
        <v>6255</v>
      </c>
      <c r="Q32" s="1808">
        <v>20046</v>
      </c>
      <c r="R32" s="3593">
        <v>44821</v>
      </c>
      <c r="S32" s="1802">
        <v>70050</v>
      </c>
      <c r="T32" s="3593">
        <v>3951</v>
      </c>
      <c r="U32" s="1803">
        <v>24041</v>
      </c>
      <c r="V32" s="3593">
        <v>40914</v>
      </c>
      <c r="W32" s="1809">
        <v>1144</v>
      </c>
      <c r="X32" s="1810">
        <v>4546</v>
      </c>
      <c r="Y32" s="2891">
        <f>'2.6'!I54*1000-SUM(N32:O32,S32,X32)</f>
        <v>0</v>
      </c>
      <c r="Z32" s="1802">
        <v>1615612</v>
      </c>
      <c r="AA32" s="1802">
        <v>4808823</v>
      </c>
      <c r="AB32" s="3593">
        <v>287647</v>
      </c>
      <c r="AC32" s="1808">
        <v>969743</v>
      </c>
      <c r="AD32" s="3593">
        <v>3551433</v>
      </c>
      <c r="AE32" s="1802">
        <v>3827542</v>
      </c>
      <c r="AF32" s="3593">
        <v>150702</v>
      </c>
      <c r="AG32" s="1803">
        <v>966065</v>
      </c>
      <c r="AH32" s="3593">
        <v>2622939</v>
      </c>
      <c r="AI32" s="1809">
        <v>87836</v>
      </c>
      <c r="AJ32" s="1810">
        <v>75765</v>
      </c>
      <c r="AK32" s="2891">
        <f>'2.6'!S54*1000-SUM(Z32:AA32,AE32,AJ32)</f>
        <v>10138</v>
      </c>
      <c r="AM32" s="3517"/>
      <c r="AN32" s="3517"/>
      <c r="AO32" s="3517"/>
    </row>
    <row r="33" spans="1:44">
      <c r="A33" s="1301" t="s">
        <v>457</v>
      </c>
      <c r="B33" s="1803">
        <v>57825</v>
      </c>
      <c r="C33" s="1802">
        <v>273279</v>
      </c>
      <c r="D33" s="3593">
        <v>12754</v>
      </c>
      <c r="E33" s="3593">
        <v>62766</v>
      </c>
      <c r="F33" s="3593">
        <v>197759</v>
      </c>
      <c r="G33" s="1802">
        <v>186889</v>
      </c>
      <c r="H33" s="3593">
        <v>3952</v>
      </c>
      <c r="I33" s="1803">
        <v>33901</v>
      </c>
      <c r="J33" s="3593">
        <v>141757</v>
      </c>
      <c r="K33" s="2895">
        <v>7279</v>
      </c>
      <c r="L33" s="2895">
        <v>2538</v>
      </c>
      <c r="M33" s="2889">
        <f>+'2.6'!D55*1000-SUM(B33:C33,G33,L33)</f>
        <v>0</v>
      </c>
      <c r="N33" s="1802">
        <v>38854</v>
      </c>
      <c r="O33" s="1802">
        <v>79780</v>
      </c>
      <c r="P33" s="3593">
        <v>8181</v>
      </c>
      <c r="Q33" s="1808">
        <v>22772</v>
      </c>
      <c r="R33" s="3593">
        <v>48827</v>
      </c>
      <c r="S33" s="1802">
        <v>82955</v>
      </c>
      <c r="T33" s="3593">
        <v>3568</v>
      </c>
      <c r="U33" s="1803">
        <v>28545</v>
      </c>
      <c r="V33" s="3593">
        <v>49384</v>
      </c>
      <c r="W33" s="1809">
        <v>1458</v>
      </c>
      <c r="X33" s="1810">
        <v>3773</v>
      </c>
      <c r="Y33" s="2891">
        <f>'2.6'!I55*1000-SUM(N33:O33,S33,X33)</f>
        <v>0</v>
      </c>
      <c r="Z33" s="1802">
        <v>1636348</v>
      </c>
      <c r="AA33" s="1802">
        <v>4934565</v>
      </c>
      <c r="AB33" s="3593">
        <v>324668</v>
      </c>
      <c r="AC33" s="1808">
        <v>1087699</v>
      </c>
      <c r="AD33" s="3593">
        <v>3522198</v>
      </c>
      <c r="AE33" s="1802">
        <v>3815166</v>
      </c>
      <c r="AF33" s="3593">
        <v>138381</v>
      </c>
      <c r="AG33" s="1803">
        <v>950209</v>
      </c>
      <c r="AH33" s="3593">
        <v>2641501</v>
      </c>
      <c r="AI33" s="1809">
        <v>85075</v>
      </c>
      <c r="AJ33" s="1810">
        <v>100313</v>
      </c>
      <c r="AK33" s="2891">
        <f>'2.6'!S55*1000-SUM(Z33:AA33,AE33,AJ33)</f>
        <v>4453</v>
      </c>
      <c r="AM33" s="3517"/>
      <c r="AN33" s="3517"/>
      <c r="AO33" s="3517"/>
      <c r="AP33" s="3517"/>
      <c r="AQ33" s="3517"/>
      <c r="AR33" s="3517"/>
    </row>
    <row r="34" spans="1:44">
      <c r="A34" s="1301" t="s">
        <v>458</v>
      </c>
      <c r="B34" s="1803">
        <v>50340</v>
      </c>
      <c r="C34" s="1802">
        <v>294750</v>
      </c>
      <c r="D34" s="3593">
        <v>18569</v>
      </c>
      <c r="E34" s="3593">
        <v>75159</v>
      </c>
      <c r="F34" s="3593">
        <v>201022</v>
      </c>
      <c r="G34" s="1802">
        <v>195657</v>
      </c>
      <c r="H34" s="3593">
        <v>3065</v>
      </c>
      <c r="I34" s="1803">
        <v>36657</v>
      </c>
      <c r="J34" s="3593">
        <v>148286</v>
      </c>
      <c r="K34" s="2895">
        <v>7649</v>
      </c>
      <c r="L34" s="2895">
        <v>0</v>
      </c>
      <c r="M34" s="2889">
        <f>+'2.6'!D56*1000-SUM(B34:C34,G34,L34)</f>
        <v>0</v>
      </c>
      <c r="N34" s="1802">
        <v>44001</v>
      </c>
      <c r="O34" s="1802">
        <v>81632</v>
      </c>
      <c r="P34" s="3593">
        <v>9963</v>
      </c>
      <c r="Q34" s="1808">
        <v>20647</v>
      </c>
      <c r="R34" s="3593">
        <v>51022</v>
      </c>
      <c r="S34" s="1802">
        <v>75453</v>
      </c>
      <c r="T34" s="3593">
        <v>3882</v>
      </c>
      <c r="U34" s="1803">
        <v>21461</v>
      </c>
      <c r="V34" s="3593">
        <v>49849</v>
      </c>
      <c r="W34" s="1809">
        <v>261</v>
      </c>
      <c r="X34" s="1810">
        <v>5774</v>
      </c>
      <c r="Y34" s="2891">
        <f>'2.6'!I56*1000-SUM(N34:O34,S34,X34)</f>
        <v>0</v>
      </c>
      <c r="Z34" s="1802">
        <v>1695867</v>
      </c>
      <c r="AA34" s="1802">
        <v>4925571</v>
      </c>
      <c r="AB34" s="3593">
        <v>321136</v>
      </c>
      <c r="AC34" s="1808">
        <v>993324</v>
      </c>
      <c r="AD34" s="3593">
        <v>3611111</v>
      </c>
      <c r="AE34" s="1802">
        <v>3751305</v>
      </c>
      <c r="AF34" s="3593">
        <v>156361</v>
      </c>
      <c r="AG34" s="1803">
        <v>958045</v>
      </c>
      <c r="AH34" s="3593">
        <v>2547268</v>
      </c>
      <c r="AI34" s="1809">
        <v>89631</v>
      </c>
      <c r="AJ34" s="1810">
        <v>89000</v>
      </c>
      <c r="AK34" s="2891">
        <f>'2.6'!S56*1000-SUM(Z34:AA34,AE34,AJ34)</f>
        <v>5191</v>
      </c>
      <c r="AM34" s="3517"/>
      <c r="AN34" s="3517"/>
      <c r="AO34" s="3517"/>
    </row>
    <row r="35" spans="1:44">
      <c r="A35" s="1301" t="s">
        <v>459</v>
      </c>
      <c r="B35" s="1803">
        <v>53219</v>
      </c>
      <c r="C35" s="1802">
        <v>298139</v>
      </c>
      <c r="D35" s="3593">
        <v>15486</v>
      </c>
      <c r="E35" s="3593">
        <v>73558</v>
      </c>
      <c r="F35" s="3593">
        <v>209095</v>
      </c>
      <c r="G35" s="1802">
        <v>183563</v>
      </c>
      <c r="H35" s="3593">
        <v>1997</v>
      </c>
      <c r="I35" s="1803">
        <v>44483</v>
      </c>
      <c r="J35" s="3593">
        <v>133841</v>
      </c>
      <c r="K35" s="2895">
        <v>3242</v>
      </c>
      <c r="L35" s="2895">
        <v>1683</v>
      </c>
      <c r="M35" s="2889">
        <f>+'2.6'!D57*1000-SUM(B35:C35,G35,L35)</f>
        <v>0</v>
      </c>
      <c r="N35" s="1802">
        <v>44777</v>
      </c>
      <c r="O35" s="1802">
        <v>71358</v>
      </c>
      <c r="P35" s="3593">
        <v>6834</v>
      </c>
      <c r="Q35" s="1808">
        <v>16529</v>
      </c>
      <c r="R35" s="3593">
        <v>47995</v>
      </c>
      <c r="S35" s="1802">
        <v>72058</v>
      </c>
      <c r="T35" s="3593">
        <v>2339</v>
      </c>
      <c r="U35" s="1803">
        <v>25305</v>
      </c>
      <c r="V35" s="3593">
        <v>44098</v>
      </c>
      <c r="W35" s="1809">
        <v>316</v>
      </c>
      <c r="X35" s="1810">
        <v>2988</v>
      </c>
      <c r="Y35" s="2891">
        <f>'2.6'!I57*1000-SUM(N35:O35,S35,X35)</f>
        <v>0</v>
      </c>
      <c r="Z35" s="1802">
        <v>1688529</v>
      </c>
      <c r="AA35" s="1802">
        <v>4856413</v>
      </c>
      <c r="AB35" s="3593">
        <v>361142</v>
      </c>
      <c r="AC35" s="1808">
        <v>979663</v>
      </c>
      <c r="AD35" s="3593">
        <v>3515608</v>
      </c>
      <c r="AE35" s="1802">
        <v>3879821</v>
      </c>
      <c r="AF35" s="3593">
        <v>122029</v>
      </c>
      <c r="AG35" s="1803">
        <v>988177</v>
      </c>
      <c r="AH35" s="3593">
        <v>2689025</v>
      </c>
      <c r="AI35" s="1809">
        <v>80590</v>
      </c>
      <c r="AJ35" s="1810">
        <v>116337</v>
      </c>
      <c r="AK35" s="2891">
        <f>'2.6'!S57*1000-SUM(Z35:AA35,AE35,AJ35)</f>
        <v>2908</v>
      </c>
      <c r="AM35" s="3517"/>
      <c r="AN35" s="3517"/>
      <c r="AO35" s="3517"/>
    </row>
    <row r="36" spans="1:44">
      <c r="A36" s="1301" t="s">
        <v>460</v>
      </c>
      <c r="B36" s="1803">
        <v>61631</v>
      </c>
      <c r="C36" s="1802">
        <v>296237</v>
      </c>
      <c r="D36" s="3593">
        <v>17870</v>
      </c>
      <c r="E36" s="3593">
        <v>59959</v>
      </c>
      <c r="F36" s="3593">
        <v>218408</v>
      </c>
      <c r="G36" s="1802">
        <v>173725</v>
      </c>
      <c r="H36" s="3593">
        <v>6335</v>
      </c>
      <c r="I36" s="1803">
        <v>33933</v>
      </c>
      <c r="J36" s="3593">
        <v>129895</v>
      </c>
      <c r="K36" s="2895">
        <v>3562</v>
      </c>
      <c r="L36" s="2895">
        <v>2186</v>
      </c>
      <c r="M36" s="2889">
        <f>+'2.6'!D58*1000-SUM(B36:C36,G36,L36)</f>
        <v>0</v>
      </c>
      <c r="N36" s="1802">
        <v>43288</v>
      </c>
      <c r="O36" s="1802">
        <v>75162</v>
      </c>
      <c r="P36" s="3593">
        <v>6014</v>
      </c>
      <c r="Q36" s="1808">
        <v>19260</v>
      </c>
      <c r="R36" s="3593">
        <v>49888</v>
      </c>
      <c r="S36" s="1802">
        <v>78697</v>
      </c>
      <c r="T36" s="3593">
        <v>3209</v>
      </c>
      <c r="U36" s="1803">
        <v>27634</v>
      </c>
      <c r="V36" s="3593">
        <v>47306</v>
      </c>
      <c r="W36" s="1809">
        <v>548</v>
      </c>
      <c r="X36" s="1810">
        <v>5595</v>
      </c>
      <c r="Y36" s="2891">
        <f>'2.6'!I58*1000-SUM(N36:O36,S36,X36)</f>
        <v>0</v>
      </c>
      <c r="Z36" s="1802">
        <v>1667414</v>
      </c>
      <c r="AA36" s="1802">
        <v>4959448</v>
      </c>
      <c r="AB36" s="3593">
        <v>350826</v>
      </c>
      <c r="AC36" s="1808">
        <v>947257</v>
      </c>
      <c r="AD36" s="3593">
        <v>3661365</v>
      </c>
      <c r="AE36" s="1802">
        <v>3809637</v>
      </c>
      <c r="AF36" s="3593">
        <v>153200</v>
      </c>
      <c r="AG36" s="1803">
        <v>924261</v>
      </c>
      <c r="AH36" s="3593">
        <v>2636594</v>
      </c>
      <c r="AI36" s="1809">
        <v>95582</v>
      </c>
      <c r="AJ36" s="1810">
        <v>136399</v>
      </c>
      <c r="AK36" s="2891">
        <f>'2.6'!S58*1000-SUM(Z36:AA36,AE36,AJ36)</f>
        <v>10705</v>
      </c>
      <c r="AM36" s="3517"/>
      <c r="AN36" s="3517"/>
      <c r="AO36" s="3517"/>
    </row>
    <row r="37" spans="1:44">
      <c r="A37" s="1301" t="s">
        <v>461</v>
      </c>
      <c r="B37" s="1803">
        <v>66129</v>
      </c>
      <c r="C37" s="1802">
        <v>291018</v>
      </c>
      <c r="D37" s="3593">
        <v>17606</v>
      </c>
      <c r="E37" s="3593">
        <v>60210</v>
      </c>
      <c r="F37" s="3593">
        <v>213202</v>
      </c>
      <c r="G37" s="1802">
        <v>176801</v>
      </c>
      <c r="H37" s="3593">
        <v>3151</v>
      </c>
      <c r="I37" s="1803">
        <v>36869</v>
      </c>
      <c r="J37" s="3593">
        <v>129685</v>
      </c>
      <c r="K37" s="2895">
        <v>7096</v>
      </c>
      <c r="L37" s="2895">
        <v>1178</v>
      </c>
      <c r="M37" s="2889">
        <f>+'2.6'!D59*1000-SUM(B37:C37,G37,L37)</f>
        <v>0</v>
      </c>
      <c r="N37" s="1802">
        <v>42023</v>
      </c>
      <c r="O37" s="1802">
        <v>75163</v>
      </c>
      <c r="P37" s="3593">
        <v>7566</v>
      </c>
      <c r="Q37" s="1808">
        <v>17626</v>
      </c>
      <c r="R37" s="3593">
        <v>49971</v>
      </c>
      <c r="S37" s="1802">
        <v>79056</v>
      </c>
      <c r="T37" s="3593">
        <v>4244</v>
      </c>
      <c r="U37" s="1803">
        <v>23008</v>
      </c>
      <c r="V37" s="3593">
        <v>51276</v>
      </c>
      <c r="W37" s="1809">
        <v>528</v>
      </c>
      <c r="X37" s="1810">
        <v>5275</v>
      </c>
      <c r="Y37" s="2891">
        <f>'2.6'!I59*1000-SUM(N37:O37,S37,X37)</f>
        <v>0</v>
      </c>
      <c r="Z37" s="1802">
        <v>1710202</v>
      </c>
      <c r="AA37" s="1802">
        <v>5110522</v>
      </c>
      <c r="AB37" s="3593">
        <v>313343</v>
      </c>
      <c r="AC37" s="1808">
        <v>972737</v>
      </c>
      <c r="AD37" s="3593">
        <v>3824442</v>
      </c>
      <c r="AE37" s="1802">
        <v>3636568</v>
      </c>
      <c r="AF37" s="3593">
        <v>116709</v>
      </c>
      <c r="AG37" s="1803">
        <v>932456</v>
      </c>
      <c r="AH37" s="3593">
        <v>2510405</v>
      </c>
      <c r="AI37" s="1809">
        <v>76998</v>
      </c>
      <c r="AJ37" s="1810">
        <v>124452</v>
      </c>
      <c r="AK37" s="2891">
        <f>'2.6'!S59*1000-SUM(Z37:AA37,AE37,AJ37)</f>
        <v>10968</v>
      </c>
      <c r="AM37" s="3517"/>
      <c r="AN37" s="3517"/>
      <c r="AO37" s="3517"/>
      <c r="AP37" s="3517"/>
      <c r="AQ37" s="3517"/>
      <c r="AR37" s="3517"/>
    </row>
    <row r="38" spans="1:44">
      <c r="A38" s="1301" t="s">
        <v>462</v>
      </c>
      <c r="B38" s="1803">
        <v>57183</v>
      </c>
      <c r="C38" s="1802">
        <v>313284</v>
      </c>
      <c r="D38" s="3593">
        <v>21828</v>
      </c>
      <c r="E38" s="3593">
        <v>65086</v>
      </c>
      <c r="F38" s="3593">
        <v>226370</v>
      </c>
      <c r="G38" s="1802">
        <v>171710</v>
      </c>
      <c r="H38" s="3593">
        <v>4091</v>
      </c>
      <c r="I38" s="1803">
        <v>37988</v>
      </c>
      <c r="J38" s="3593">
        <v>127584</v>
      </c>
      <c r="K38" s="2895">
        <v>2047</v>
      </c>
      <c r="L38" s="2895">
        <v>3707</v>
      </c>
      <c r="M38" s="2889">
        <f>+'2.6'!D60*1000-SUM(B38:C38,G38,L38)</f>
        <v>0</v>
      </c>
      <c r="N38" s="1802">
        <v>48478</v>
      </c>
      <c r="O38" s="1802">
        <v>81025</v>
      </c>
      <c r="P38" s="3593">
        <v>7807</v>
      </c>
      <c r="Q38" s="1808">
        <v>19486</v>
      </c>
      <c r="R38" s="3593">
        <v>53732</v>
      </c>
      <c r="S38" s="1802">
        <v>72726</v>
      </c>
      <c r="T38" s="3593">
        <v>3472</v>
      </c>
      <c r="U38" s="1803">
        <v>22840</v>
      </c>
      <c r="V38" s="3593">
        <v>46414</v>
      </c>
      <c r="W38" s="1809">
        <v>0</v>
      </c>
      <c r="X38" s="1810">
        <v>2094</v>
      </c>
      <c r="Y38" s="2891">
        <f>'2.6'!I60*1000-SUM(N38:O38,S38,X38)</f>
        <v>0</v>
      </c>
      <c r="Z38" s="1802">
        <v>1718926</v>
      </c>
      <c r="AA38" s="1802">
        <v>5053450</v>
      </c>
      <c r="AB38" s="3593">
        <v>326016</v>
      </c>
      <c r="AC38" s="1808">
        <v>1011299</v>
      </c>
      <c r="AD38" s="3593">
        <v>3716135</v>
      </c>
      <c r="AE38" s="1802">
        <v>3659530</v>
      </c>
      <c r="AF38" s="3593">
        <v>129313</v>
      </c>
      <c r="AG38" s="1803">
        <v>904879</v>
      </c>
      <c r="AH38" s="3593">
        <v>2537764</v>
      </c>
      <c r="AI38" s="1809">
        <v>87574</v>
      </c>
      <c r="AJ38" s="1810">
        <v>150572</v>
      </c>
      <c r="AK38" s="2891">
        <f>'2.6'!S60*1000-SUM(Z38:AA38,AE38,AJ38)</f>
        <v>13228</v>
      </c>
      <c r="AM38" s="3517"/>
      <c r="AN38" s="3517"/>
      <c r="AO38" s="3517"/>
    </row>
    <row r="39" spans="1:44">
      <c r="A39" s="1301" t="s">
        <v>463</v>
      </c>
      <c r="B39" s="1803">
        <v>54274</v>
      </c>
      <c r="C39" s="1802">
        <v>314394</v>
      </c>
      <c r="D39" s="3593">
        <v>16216</v>
      </c>
      <c r="E39" s="3593">
        <v>61313</v>
      </c>
      <c r="F39" s="3593">
        <v>236865</v>
      </c>
      <c r="G39" s="1802">
        <v>181360</v>
      </c>
      <c r="H39" s="3593">
        <v>3259</v>
      </c>
      <c r="I39" s="1803">
        <v>39268</v>
      </c>
      <c r="J39" s="3593">
        <v>131649</v>
      </c>
      <c r="K39" s="2895">
        <v>7184</v>
      </c>
      <c r="L39" s="2895">
        <v>1643</v>
      </c>
      <c r="M39" s="2889">
        <f>+'2.6'!D61*1000-SUM(B39:C39,G39,L39)</f>
        <v>0</v>
      </c>
      <c r="N39" s="1802">
        <v>51223</v>
      </c>
      <c r="O39" s="1802">
        <v>81906</v>
      </c>
      <c r="P39" s="3593">
        <v>8075</v>
      </c>
      <c r="Q39" s="1808">
        <v>19455</v>
      </c>
      <c r="R39" s="3593">
        <v>54376</v>
      </c>
      <c r="S39" s="1802">
        <v>67312</v>
      </c>
      <c r="T39" s="3593">
        <v>2850</v>
      </c>
      <c r="U39" s="1803">
        <v>20056</v>
      </c>
      <c r="V39" s="3593">
        <v>43481</v>
      </c>
      <c r="W39" s="1809">
        <v>925</v>
      </c>
      <c r="X39" s="1810">
        <v>7559</v>
      </c>
      <c r="Y39" s="2891">
        <f>'2.6'!I61*1000-SUM(N39:O39,S39,X39)</f>
        <v>0</v>
      </c>
      <c r="Z39" s="1802">
        <v>1717906</v>
      </c>
      <c r="AA39" s="1802">
        <v>5204776</v>
      </c>
      <c r="AB39" s="3593">
        <v>384038</v>
      </c>
      <c r="AC39" s="1808">
        <v>999357</v>
      </c>
      <c r="AD39" s="3593">
        <v>3821381</v>
      </c>
      <c r="AE39" s="1802">
        <v>3751569</v>
      </c>
      <c r="AF39" s="3593">
        <v>128646</v>
      </c>
      <c r="AG39" s="1803">
        <v>920274</v>
      </c>
      <c r="AH39" s="3593">
        <v>2609356</v>
      </c>
      <c r="AI39" s="1809">
        <v>93293</v>
      </c>
      <c r="AJ39" s="1810">
        <v>142972</v>
      </c>
      <c r="AK39" s="2891">
        <f>'2.6'!S61*1000-SUM(Z39:AA39,AE39,AJ39)</f>
        <v>6232</v>
      </c>
      <c r="AM39" s="3517"/>
      <c r="AN39" s="3517"/>
      <c r="AO39" s="3517"/>
    </row>
    <row r="40" spans="1:44">
      <c r="A40" s="1301" t="s">
        <v>464</v>
      </c>
      <c r="B40" s="1803">
        <v>58253</v>
      </c>
      <c r="C40" s="1802">
        <v>301481</v>
      </c>
      <c r="D40" s="3593">
        <v>13949</v>
      </c>
      <c r="E40" s="3593">
        <v>61641</v>
      </c>
      <c r="F40" s="3593">
        <v>225891</v>
      </c>
      <c r="G40" s="1802">
        <v>181025</v>
      </c>
      <c r="H40" s="3593">
        <v>6964</v>
      </c>
      <c r="I40" s="1803">
        <v>44558</v>
      </c>
      <c r="J40" s="3593">
        <v>123648</v>
      </c>
      <c r="K40" s="2895">
        <v>5855</v>
      </c>
      <c r="L40" s="2895">
        <v>2174</v>
      </c>
      <c r="M40" s="2889">
        <f>+'2.6'!D62*1000-SUM(B40:C40,G40,L40)</f>
        <v>0</v>
      </c>
      <c r="N40" s="1802">
        <v>42247</v>
      </c>
      <c r="O40" s="1802">
        <v>79225</v>
      </c>
      <c r="P40" s="3593">
        <v>4919</v>
      </c>
      <c r="Q40" s="1808">
        <v>19337</v>
      </c>
      <c r="R40" s="3593">
        <v>54969</v>
      </c>
      <c r="S40" s="1802">
        <v>73631</v>
      </c>
      <c r="T40" s="3593">
        <v>4015</v>
      </c>
      <c r="U40" s="1803">
        <v>25218</v>
      </c>
      <c r="V40" s="3593">
        <v>44398</v>
      </c>
      <c r="W40" s="1809">
        <v>0</v>
      </c>
      <c r="X40" s="1810">
        <v>5410</v>
      </c>
      <c r="Y40" s="2891">
        <f>'2.6'!I62*1000-SUM(N40:O40,S40,X40)</f>
        <v>0</v>
      </c>
      <c r="Z40" s="1802">
        <v>1742935</v>
      </c>
      <c r="AA40" s="1802">
        <v>5223395</v>
      </c>
      <c r="AB40" s="3593">
        <v>357823</v>
      </c>
      <c r="AC40" s="1808">
        <v>1003306</v>
      </c>
      <c r="AD40" s="3593">
        <v>3860612</v>
      </c>
      <c r="AE40" s="1802">
        <v>3779044</v>
      </c>
      <c r="AF40" s="3593">
        <v>136578</v>
      </c>
      <c r="AG40" s="1803">
        <v>949680</v>
      </c>
      <c r="AH40" s="3593">
        <v>2614911</v>
      </c>
      <c r="AI40" s="1809">
        <v>77875</v>
      </c>
      <c r="AJ40" s="1810">
        <v>131301</v>
      </c>
      <c r="AK40" s="2891">
        <f>'2.6'!S62*1000-SUM(Z40:AA40,AE40,AJ40)</f>
        <v>5760</v>
      </c>
      <c r="AM40" s="3517"/>
      <c r="AN40" s="3517"/>
      <c r="AO40" s="3517"/>
    </row>
    <row r="41" spans="1:44">
      <c r="A41" s="1301" t="s">
        <v>465</v>
      </c>
      <c r="B41" s="1803">
        <v>61528</v>
      </c>
      <c r="C41" s="1802">
        <f>309898-575</f>
        <v>309323</v>
      </c>
      <c r="D41" s="3593">
        <v>10542</v>
      </c>
      <c r="E41" s="3593">
        <v>76211</v>
      </c>
      <c r="F41" s="3593">
        <v>222570</v>
      </c>
      <c r="G41" s="1802">
        <v>176741</v>
      </c>
      <c r="H41" s="3593">
        <v>8500</v>
      </c>
      <c r="I41" s="1803">
        <v>40716</v>
      </c>
      <c r="J41" s="3593">
        <v>124319</v>
      </c>
      <c r="K41" s="2895">
        <v>3206</v>
      </c>
      <c r="L41" s="2895">
        <f>2187+575</f>
        <v>2762</v>
      </c>
      <c r="M41" s="2889">
        <f>+'2.6'!D63*1000-SUM(B41:C41,G41,L41)</f>
        <v>0</v>
      </c>
      <c r="N41" s="1802">
        <v>46849</v>
      </c>
      <c r="O41" s="1802">
        <v>72614</v>
      </c>
      <c r="P41" s="3593">
        <v>5337</v>
      </c>
      <c r="Q41" s="1808">
        <v>18067</v>
      </c>
      <c r="R41" s="3593">
        <v>49210</v>
      </c>
      <c r="S41" s="1802">
        <v>81065</v>
      </c>
      <c r="T41" s="3593">
        <v>3934</v>
      </c>
      <c r="U41" s="1803">
        <v>28575</v>
      </c>
      <c r="V41" s="3593">
        <v>48556</v>
      </c>
      <c r="W41" s="1809">
        <v>0</v>
      </c>
      <c r="X41" s="1810">
        <v>3911</v>
      </c>
      <c r="Y41" s="2891">
        <f>'2.6'!I63*1000-SUM(N41:O41,S41,X41)</f>
        <v>0</v>
      </c>
      <c r="Z41" s="1802">
        <v>1816353</v>
      </c>
      <c r="AA41" s="1802">
        <v>5164183</v>
      </c>
      <c r="AB41" s="3593">
        <v>337316</v>
      </c>
      <c r="AC41" s="1808">
        <v>997279</v>
      </c>
      <c r="AD41" s="3593">
        <v>3824789</v>
      </c>
      <c r="AE41" s="1802">
        <v>3700119</v>
      </c>
      <c r="AF41" s="3593">
        <v>119499</v>
      </c>
      <c r="AG41" s="1803">
        <v>915908</v>
      </c>
      <c r="AH41" s="3593">
        <v>2596507</v>
      </c>
      <c r="AI41" s="1809">
        <v>68205</v>
      </c>
      <c r="AJ41" s="1810">
        <v>137736</v>
      </c>
      <c r="AK41" s="2891">
        <f>'2.6'!S63*1000-SUM(Z41:AA41,AE41,AJ41)</f>
        <v>4081</v>
      </c>
      <c r="AM41" s="3517"/>
      <c r="AN41" s="3517"/>
      <c r="AO41" s="3517"/>
      <c r="AP41" s="3517"/>
      <c r="AQ41" s="3517"/>
      <c r="AR41" s="3517"/>
    </row>
    <row r="42" spans="1:44">
      <c r="A42" s="1301" t="s">
        <v>466</v>
      </c>
      <c r="B42" s="1803">
        <v>58355</v>
      </c>
      <c r="C42" s="1802">
        <v>319058</v>
      </c>
      <c r="D42" s="3593">
        <v>16037</v>
      </c>
      <c r="E42" s="3593">
        <v>76217</v>
      </c>
      <c r="F42" s="3593">
        <v>226804</v>
      </c>
      <c r="G42" s="1802">
        <v>168454</v>
      </c>
      <c r="H42" s="3593">
        <v>4065</v>
      </c>
      <c r="I42" s="1803">
        <v>37661</v>
      </c>
      <c r="J42" s="3593">
        <v>122251</v>
      </c>
      <c r="K42" s="2895">
        <v>4477</v>
      </c>
      <c r="L42" s="2895">
        <v>1548</v>
      </c>
      <c r="M42" s="2889">
        <f>+'2.6'!D64*1000-SUM(B42:C42,G42,L42)</f>
        <v>0</v>
      </c>
      <c r="N42" s="1802">
        <v>58259</v>
      </c>
      <c r="O42" s="1802">
        <v>81115</v>
      </c>
      <c r="P42" s="3593">
        <v>5603</v>
      </c>
      <c r="Q42" s="1808">
        <v>24356</v>
      </c>
      <c r="R42" s="3593">
        <v>51156</v>
      </c>
      <c r="S42" s="1802">
        <v>71810</v>
      </c>
      <c r="T42" s="3593">
        <v>2741</v>
      </c>
      <c r="U42" s="1803">
        <v>25908</v>
      </c>
      <c r="V42" s="3593">
        <v>43161</v>
      </c>
      <c r="W42" s="1809">
        <v>0</v>
      </c>
      <c r="X42" s="1810">
        <v>4510</v>
      </c>
      <c r="Y42" s="2891">
        <f>'2.6'!I64*1000-SUM(N42:O42,S42,X42)</f>
        <v>0</v>
      </c>
      <c r="Z42" s="1802">
        <v>1708044</v>
      </c>
      <c r="AA42" s="1802">
        <v>5220866</v>
      </c>
      <c r="AB42" s="3593">
        <v>256917</v>
      </c>
      <c r="AC42" s="1808">
        <v>1052193</v>
      </c>
      <c r="AD42" s="3593">
        <v>3909467</v>
      </c>
      <c r="AE42" s="1802">
        <v>3576096</v>
      </c>
      <c r="AF42" s="3593">
        <v>115176</v>
      </c>
      <c r="AG42" s="1803">
        <v>944022</v>
      </c>
      <c r="AH42" s="3593">
        <v>2461593</v>
      </c>
      <c r="AI42" s="1809">
        <v>55305</v>
      </c>
      <c r="AJ42" s="1810">
        <v>141593</v>
      </c>
      <c r="AK42" s="2891">
        <f>'2.6'!S64*1000-SUM(Z42:AA42,AE42,AJ42)</f>
        <v>17574</v>
      </c>
      <c r="AM42" s="3517"/>
      <c r="AN42" s="3517"/>
      <c r="AO42" s="3517"/>
    </row>
    <row r="43" spans="1:44">
      <c r="A43" s="1301" t="s">
        <v>467</v>
      </c>
      <c r="B43" s="1803">
        <v>54485</v>
      </c>
      <c r="C43" s="1802">
        <v>317946</v>
      </c>
      <c r="D43" s="3593">
        <v>12549</v>
      </c>
      <c r="E43" s="3593">
        <v>79566</v>
      </c>
      <c r="F43" s="3593">
        <v>225831</v>
      </c>
      <c r="G43" s="1802">
        <v>182360</v>
      </c>
      <c r="H43" s="3593">
        <v>8096</v>
      </c>
      <c r="I43" s="1803">
        <v>40887</v>
      </c>
      <c r="J43" s="3593">
        <v>129101</v>
      </c>
      <c r="K43" s="2895">
        <v>4276</v>
      </c>
      <c r="L43" s="2895">
        <v>0</v>
      </c>
      <c r="M43" s="2889">
        <f>+'2.6'!D65*1000-SUM(B43:C43,G43,L43)</f>
        <v>0</v>
      </c>
      <c r="N43" s="1802">
        <v>53977</v>
      </c>
      <c r="O43" s="1802">
        <v>93590</v>
      </c>
      <c r="P43" s="3593">
        <v>7667</v>
      </c>
      <c r="Q43" s="1808">
        <v>26292</v>
      </c>
      <c r="R43" s="3593">
        <v>59631</v>
      </c>
      <c r="S43" s="1802">
        <v>60116</v>
      </c>
      <c r="T43" s="3593">
        <v>1998</v>
      </c>
      <c r="U43" s="1803">
        <v>21351</v>
      </c>
      <c r="V43" s="3593">
        <v>36398</v>
      </c>
      <c r="W43" s="1809">
        <v>369</v>
      </c>
      <c r="X43" s="1810">
        <v>6863</v>
      </c>
      <c r="Y43" s="2891">
        <f>'2.6'!I65*1000-SUM(N43:O43,S43,X43)</f>
        <v>0</v>
      </c>
      <c r="Z43" s="1802">
        <v>1781988</v>
      </c>
      <c r="AA43" s="1802">
        <v>5094585</v>
      </c>
      <c r="AB43" s="3593">
        <v>309927</v>
      </c>
      <c r="AC43" s="1808">
        <v>1053232</v>
      </c>
      <c r="AD43" s="3593">
        <v>3729468</v>
      </c>
      <c r="AE43" s="1802">
        <v>3795259</v>
      </c>
      <c r="AF43" s="3593">
        <v>120985</v>
      </c>
      <c r="AG43" s="1803">
        <v>1005715</v>
      </c>
      <c r="AH43" s="3593">
        <v>2600736</v>
      </c>
      <c r="AI43" s="1809">
        <v>67823</v>
      </c>
      <c r="AJ43" s="1810">
        <v>145908</v>
      </c>
      <c r="AK43" s="2891">
        <f>'2.6'!S65*1000-SUM(Z43:AA43,AE43,AJ43)</f>
        <v>14345</v>
      </c>
      <c r="AM43" s="3517"/>
      <c r="AN43" s="3517"/>
      <c r="AO43" s="3517"/>
    </row>
    <row r="44" spans="1:44">
      <c r="A44" s="1301" t="s">
        <v>468</v>
      </c>
      <c r="B44" s="1803">
        <v>53389</v>
      </c>
      <c r="C44" s="1802">
        <v>314546</v>
      </c>
      <c r="D44" s="3593">
        <v>11524</v>
      </c>
      <c r="E44" s="3593">
        <v>77560</v>
      </c>
      <c r="F44" s="3593">
        <v>225462</v>
      </c>
      <c r="G44" s="1802">
        <v>171866</v>
      </c>
      <c r="H44" s="3593">
        <v>3398</v>
      </c>
      <c r="I44" s="1803">
        <v>39210</v>
      </c>
      <c r="J44" s="3593">
        <v>123185</v>
      </c>
      <c r="K44" s="2895">
        <v>6073</v>
      </c>
      <c r="L44" s="2895">
        <v>586</v>
      </c>
      <c r="M44" s="2889">
        <f>+'2.6'!D66*1000-SUM(B44:C44,G44,L44)</f>
        <v>0</v>
      </c>
      <c r="N44" s="1802">
        <v>47060</v>
      </c>
      <c r="O44" s="1802">
        <v>88207</v>
      </c>
      <c r="P44" s="3593">
        <v>5907</v>
      </c>
      <c r="Q44" s="1808">
        <v>25514</v>
      </c>
      <c r="R44" s="3593">
        <v>56786</v>
      </c>
      <c r="S44" s="1802">
        <v>70882</v>
      </c>
      <c r="T44" s="3593">
        <v>3781</v>
      </c>
      <c r="U44" s="1803">
        <v>25959</v>
      </c>
      <c r="V44" s="3593">
        <v>41142</v>
      </c>
      <c r="W44" s="1809">
        <v>0</v>
      </c>
      <c r="X44" s="1810">
        <v>5813</v>
      </c>
      <c r="Y44" s="2891">
        <f>'2.6'!I66*1000-SUM(N44:O44,S44,X44)</f>
        <v>0</v>
      </c>
      <c r="Z44" s="1802">
        <v>1845747</v>
      </c>
      <c r="AA44" s="1802">
        <v>5009134</v>
      </c>
      <c r="AB44" s="3593">
        <v>307397</v>
      </c>
      <c r="AC44" s="1808">
        <v>970112</v>
      </c>
      <c r="AD44" s="3593">
        <v>3731625</v>
      </c>
      <c r="AE44" s="1802">
        <v>3976592</v>
      </c>
      <c r="AF44" s="3593">
        <v>129019</v>
      </c>
      <c r="AG44" s="1803">
        <v>979958</v>
      </c>
      <c r="AH44" s="3593">
        <v>2797393</v>
      </c>
      <c r="AI44" s="1809">
        <v>70222</v>
      </c>
      <c r="AJ44" s="1810">
        <v>138038</v>
      </c>
      <c r="AK44" s="2891">
        <f>'2.6'!S66*1000-SUM(Z44:AA44,AE44,AJ44)</f>
        <v>13398</v>
      </c>
      <c r="AM44" s="3517"/>
      <c r="AN44" s="3517"/>
      <c r="AO44" s="3517"/>
    </row>
    <row r="45" spans="1:44">
      <c r="A45" s="1301" t="s">
        <v>469</v>
      </c>
      <c r="B45" s="1803">
        <v>62628</v>
      </c>
      <c r="C45" s="1802">
        <v>329818</v>
      </c>
      <c r="D45" s="3593">
        <v>13339</v>
      </c>
      <c r="E45" s="3593">
        <v>89251</v>
      </c>
      <c r="F45" s="3593">
        <v>227228</v>
      </c>
      <c r="G45" s="1802">
        <v>160682</v>
      </c>
      <c r="H45" s="3593">
        <v>6313</v>
      </c>
      <c r="I45" s="1803">
        <v>29703</v>
      </c>
      <c r="J45" s="3593">
        <v>122907</v>
      </c>
      <c r="K45" s="2895">
        <v>1759</v>
      </c>
      <c r="L45" s="2895">
        <v>1517</v>
      </c>
      <c r="M45" s="2889">
        <f>+'2.6'!D67*1000-SUM(B45:C45,G45,L45)</f>
        <v>0</v>
      </c>
      <c r="N45" s="1802">
        <v>49032</v>
      </c>
      <c r="O45" s="1802">
        <v>89865</v>
      </c>
      <c r="P45" s="3593">
        <v>5997</v>
      </c>
      <c r="Q45" s="1808">
        <v>28634</v>
      </c>
      <c r="R45" s="3593">
        <v>55234</v>
      </c>
      <c r="S45" s="1802">
        <v>68268</v>
      </c>
      <c r="T45" s="3593">
        <v>6307</v>
      </c>
      <c r="U45" s="1803">
        <v>20873</v>
      </c>
      <c r="V45" s="3593">
        <v>40362</v>
      </c>
      <c r="W45" s="1809">
        <v>726</v>
      </c>
      <c r="X45" s="1810">
        <v>3030</v>
      </c>
      <c r="Y45" s="2891">
        <f>'2.6'!I67*1000-SUM(N45:O45,S45,X45)</f>
        <v>0</v>
      </c>
      <c r="Z45" s="1802">
        <v>1899469</v>
      </c>
      <c r="AA45" s="1802">
        <v>5063444</v>
      </c>
      <c r="AB45" s="3593">
        <v>325012</v>
      </c>
      <c r="AC45" s="1808">
        <v>998274</v>
      </c>
      <c r="AD45" s="3593">
        <v>3740158</v>
      </c>
      <c r="AE45" s="1802">
        <v>3880374</v>
      </c>
      <c r="AF45" s="3593">
        <v>147965</v>
      </c>
      <c r="AG45" s="1803">
        <v>1000618</v>
      </c>
      <c r="AH45" s="3593">
        <v>2680118</v>
      </c>
      <c r="AI45" s="1809">
        <v>51673</v>
      </c>
      <c r="AJ45" s="1810">
        <v>106495</v>
      </c>
      <c r="AK45" s="2891">
        <f>'2.6'!S67*1000-SUM(Z45:AA45,AE45,AJ45)</f>
        <v>9094</v>
      </c>
      <c r="AM45" s="3517"/>
      <c r="AN45" s="3517"/>
      <c r="AO45" s="3517"/>
      <c r="AP45" s="3517"/>
      <c r="AQ45" s="3517"/>
      <c r="AR45" s="3517"/>
    </row>
    <row r="46" spans="1:44">
      <c r="A46" s="1301" t="s">
        <v>470</v>
      </c>
      <c r="B46" s="1803">
        <v>65510</v>
      </c>
      <c r="C46" s="1802">
        <v>340482</v>
      </c>
      <c r="D46" s="3593">
        <v>18815</v>
      </c>
      <c r="E46" s="3593">
        <v>86438</v>
      </c>
      <c r="F46" s="3593">
        <v>235229</v>
      </c>
      <c r="G46" s="1802">
        <v>166629</v>
      </c>
      <c r="H46" s="3593">
        <v>4256</v>
      </c>
      <c r="I46" s="1803">
        <v>33548</v>
      </c>
      <c r="J46" s="3593">
        <v>127328</v>
      </c>
      <c r="K46" s="2895">
        <v>1497</v>
      </c>
      <c r="L46" s="2895">
        <v>1845</v>
      </c>
      <c r="M46" s="2889">
        <f>+'2.6'!D68*1000-SUM(B46:C46,G46,L46)</f>
        <v>0</v>
      </c>
      <c r="N46" s="1802">
        <v>54016</v>
      </c>
      <c r="O46" s="1802">
        <v>88789</v>
      </c>
      <c r="P46" s="3593">
        <v>5814</v>
      </c>
      <c r="Q46" s="1808">
        <v>29516</v>
      </c>
      <c r="R46" s="3593">
        <v>53459</v>
      </c>
      <c r="S46" s="1802">
        <v>60373</v>
      </c>
      <c r="T46" s="3593">
        <v>3886</v>
      </c>
      <c r="U46" s="1803">
        <v>16930</v>
      </c>
      <c r="V46" s="3593">
        <v>39294</v>
      </c>
      <c r="W46" s="1809">
        <v>263</v>
      </c>
      <c r="X46" s="1810">
        <v>2814</v>
      </c>
      <c r="Y46" s="2891">
        <f>'2.6'!I68*1000-SUM(N46:O46,S46,X46)</f>
        <v>0</v>
      </c>
      <c r="Z46" s="1802">
        <v>1775900</v>
      </c>
      <c r="AA46" s="1802">
        <v>5233973</v>
      </c>
      <c r="AB46" s="3593">
        <v>283225</v>
      </c>
      <c r="AC46" s="1808">
        <v>1051652</v>
      </c>
      <c r="AD46" s="3593">
        <v>3899096</v>
      </c>
      <c r="AE46" s="1802">
        <v>3598804</v>
      </c>
      <c r="AF46" s="3593">
        <v>109282</v>
      </c>
      <c r="AG46" s="1803">
        <v>969508</v>
      </c>
      <c r="AH46" s="3593">
        <v>2439867</v>
      </c>
      <c r="AI46" s="1809">
        <v>80147</v>
      </c>
      <c r="AJ46" s="1810">
        <v>129764</v>
      </c>
      <c r="AK46" s="2891">
        <f>'2.6'!S68*1000-SUM(Z46:AA46,AE46,AJ46)</f>
        <v>9498</v>
      </c>
      <c r="AM46" s="3517"/>
      <c r="AN46" s="3517"/>
      <c r="AO46" s="3517"/>
    </row>
    <row r="47" spans="1:44">
      <c r="A47" s="1301" t="s">
        <v>471</v>
      </c>
      <c r="B47" s="1803">
        <v>54322</v>
      </c>
      <c r="C47" s="1802">
        <v>329749</v>
      </c>
      <c r="D47" s="3593">
        <v>12715</v>
      </c>
      <c r="E47" s="3593">
        <v>91096</v>
      </c>
      <c r="F47" s="3593">
        <v>225938</v>
      </c>
      <c r="G47" s="1802">
        <v>186602</v>
      </c>
      <c r="H47" s="3593">
        <v>8755</v>
      </c>
      <c r="I47" s="1803">
        <v>43449</v>
      </c>
      <c r="J47" s="3593">
        <v>130179</v>
      </c>
      <c r="K47" s="2895">
        <v>4219</v>
      </c>
      <c r="L47" s="2895">
        <v>2314</v>
      </c>
      <c r="M47" s="2889">
        <f>+'2.6'!D69*1000-SUM(B47:C47,G47,L47)</f>
        <v>0</v>
      </c>
      <c r="N47" s="1802">
        <v>51252</v>
      </c>
      <c r="O47" s="1802">
        <v>91875</v>
      </c>
      <c r="P47" s="3593">
        <v>6955</v>
      </c>
      <c r="Q47" s="1808">
        <v>27966</v>
      </c>
      <c r="R47" s="3593">
        <v>56954</v>
      </c>
      <c r="S47" s="1802">
        <v>65695</v>
      </c>
      <c r="T47" s="3593">
        <v>944</v>
      </c>
      <c r="U47" s="1803">
        <v>25422</v>
      </c>
      <c r="V47" s="3593">
        <v>39329</v>
      </c>
      <c r="W47" s="1809">
        <v>0</v>
      </c>
      <c r="X47" s="1810">
        <v>3132</v>
      </c>
      <c r="Y47" s="2891">
        <f>'2.6'!I69*1000-SUM(N47:O47,S47,X47)</f>
        <v>0</v>
      </c>
      <c r="Z47" s="1802">
        <v>1754566</v>
      </c>
      <c r="AA47" s="1802">
        <v>5236661</v>
      </c>
      <c r="AB47" s="3593">
        <v>311734</v>
      </c>
      <c r="AC47" s="1808">
        <v>1138570</v>
      </c>
      <c r="AD47" s="3593">
        <v>3786357</v>
      </c>
      <c r="AE47" s="1802">
        <v>3822578</v>
      </c>
      <c r="AF47" s="3593">
        <v>128244</v>
      </c>
      <c r="AG47" s="1803">
        <v>1019908</v>
      </c>
      <c r="AH47" s="3593">
        <v>2606835</v>
      </c>
      <c r="AI47" s="1809">
        <v>67591</v>
      </c>
      <c r="AJ47" s="1810">
        <v>159565</v>
      </c>
      <c r="AK47" s="2891">
        <f>'2.6'!S69*1000-SUM(Z47:AA47,AE47,AJ47)</f>
        <v>11937</v>
      </c>
      <c r="AM47" s="3517"/>
      <c r="AN47" s="3517"/>
      <c r="AO47" s="3517"/>
    </row>
    <row r="48" spans="1:44">
      <c r="A48" s="1301" t="s">
        <v>472</v>
      </c>
      <c r="B48" s="1803">
        <v>64351</v>
      </c>
      <c r="C48" s="1802">
        <v>309118</v>
      </c>
      <c r="D48" s="3593">
        <v>17296</v>
      </c>
      <c r="E48" s="3593">
        <v>72034</v>
      </c>
      <c r="F48" s="3593">
        <v>219788</v>
      </c>
      <c r="G48" s="1802">
        <v>197311</v>
      </c>
      <c r="H48" s="3593">
        <v>9318</v>
      </c>
      <c r="I48" s="1803">
        <v>50026</v>
      </c>
      <c r="J48" s="3593">
        <v>135010</v>
      </c>
      <c r="K48" s="2895">
        <v>2957</v>
      </c>
      <c r="L48" s="2895">
        <v>0</v>
      </c>
      <c r="M48" s="2889">
        <f>+'2.6'!D70*1000-SUM(B48:C48,G48,L48)</f>
        <v>0</v>
      </c>
      <c r="N48" s="1802">
        <v>48855</v>
      </c>
      <c r="O48" s="1802">
        <v>87797</v>
      </c>
      <c r="P48" s="3593">
        <v>8207</v>
      </c>
      <c r="Q48" s="1808">
        <v>24328</v>
      </c>
      <c r="R48" s="3593">
        <v>55262</v>
      </c>
      <c r="S48" s="1802">
        <v>69771</v>
      </c>
      <c r="T48" s="3593">
        <v>2045</v>
      </c>
      <c r="U48" s="1803">
        <v>28656</v>
      </c>
      <c r="V48" s="3593">
        <v>38498</v>
      </c>
      <c r="W48" s="1809">
        <v>572</v>
      </c>
      <c r="X48" s="1810">
        <v>2316</v>
      </c>
      <c r="Y48" s="2891">
        <f>'2.6'!I70*1000-SUM(N48:O48,S48,X48)</f>
        <v>0</v>
      </c>
      <c r="Z48" s="1802">
        <v>1828496</v>
      </c>
      <c r="AA48" s="1802">
        <v>5111397</v>
      </c>
      <c r="AB48" s="3593">
        <v>314140</v>
      </c>
      <c r="AC48" s="1808">
        <v>1064568</v>
      </c>
      <c r="AD48" s="3593">
        <v>3732689</v>
      </c>
      <c r="AE48" s="1802">
        <v>3842302</v>
      </c>
      <c r="AF48" s="3593">
        <v>142963</v>
      </c>
      <c r="AG48" s="1803">
        <v>987555</v>
      </c>
      <c r="AH48" s="3593">
        <v>2662121</v>
      </c>
      <c r="AI48" s="1809">
        <v>49663</v>
      </c>
      <c r="AJ48" s="1810">
        <v>151098</v>
      </c>
      <c r="AK48" s="2891">
        <f>'2.6'!S70*1000-SUM(Z48:AA48,AE48,AJ48)</f>
        <v>45003</v>
      </c>
      <c r="AM48" s="3517"/>
      <c r="AN48" s="3517"/>
      <c r="AO48" s="3517"/>
    </row>
    <row r="49" spans="1:50">
      <c r="A49" s="1301" t="s">
        <v>473</v>
      </c>
      <c r="B49" s="1803">
        <v>77575</v>
      </c>
      <c r="C49" s="1802">
        <v>319451</v>
      </c>
      <c r="D49" s="3593">
        <v>18510</v>
      </c>
      <c r="E49" s="3593">
        <v>88060</v>
      </c>
      <c r="F49" s="3593">
        <v>212881</v>
      </c>
      <c r="G49" s="1802">
        <v>188755</v>
      </c>
      <c r="H49" s="3593">
        <v>5239</v>
      </c>
      <c r="I49" s="1803">
        <v>39531</v>
      </c>
      <c r="J49" s="3593">
        <v>141752</v>
      </c>
      <c r="K49" s="2895">
        <v>2233</v>
      </c>
      <c r="L49" s="2895">
        <v>1593</v>
      </c>
      <c r="M49" s="2889">
        <f>+'2.6'!D71*1000-SUM(B49:C49,G49,L49)</f>
        <v>0</v>
      </c>
      <c r="N49" s="1802">
        <v>46384</v>
      </c>
      <c r="O49" s="1802">
        <v>83817</v>
      </c>
      <c r="P49" s="3593">
        <v>8089</v>
      </c>
      <c r="Q49" s="1808">
        <v>23935</v>
      </c>
      <c r="R49" s="3593">
        <v>51793</v>
      </c>
      <c r="S49" s="1802">
        <v>64776</v>
      </c>
      <c r="T49" s="3593">
        <v>3249</v>
      </c>
      <c r="U49" s="1803">
        <v>20776</v>
      </c>
      <c r="V49" s="3593">
        <v>40252</v>
      </c>
      <c r="W49" s="1809">
        <v>499</v>
      </c>
      <c r="X49" s="1810">
        <v>1631</v>
      </c>
      <c r="Y49" s="2891">
        <f>'2.6'!I71*1000-SUM(N49:O49,S49,X49)</f>
        <v>0</v>
      </c>
      <c r="Z49" s="1802">
        <v>1855727</v>
      </c>
      <c r="AA49" s="1802">
        <v>5253406</v>
      </c>
      <c r="AB49" s="3593">
        <v>273122</v>
      </c>
      <c r="AC49" s="1808">
        <v>1119449</v>
      </c>
      <c r="AD49" s="3593">
        <v>3860835</v>
      </c>
      <c r="AE49" s="1802">
        <v>3820126</v>
      </c>
      <c r="AF49" s="3593">
        <v>121665</v>
      </c>
      <c r="AG49" s="1803">
        <v>1008917</v>
      </c>
      <c r="AH49" s="3593">
        <v>2634517</v>
      </c>
      <c r="AI49" s="1809">
        <v>55027</v>
      </c>
      <c r="AJ49" s="1810">
        <v>146900</v>
      </c>
      <c r="AK49" s="2891">
        <f>'2.6'!S71*1000-SUM(Z49:AA49,AE49,AJ49)</f>
        <v>34480</v>
      </c>
      <c r="AM49" s="3517"/>
      <c r="AN49" s="3517"/>
      <c r="AO49" s="3517"/>
      <c r="AP49" s="3517"/>
      <c r="AQ49" s="3517"/>
      <c r="AR49" s="3517"/>
    </row>
    <row r="50" spans="1:50">
      <c r="A50" s="1301" t="s">
        <v>65</v>
      </c>
      <c r="B50" s="1803">
        <v>77807</v>
      </c>
      <c r="C50" s="1802">
        <v>351422</v>
      </c>
      <c r="D50" s="3593">
        <v>15887</v>
      </c>
      <c r="E50" s="3593">
        <v>76713</v>
      </c>
      <c r="F50" s="3593">
        <v>258822</v>
      </c>
      <c r="G50" s="1802">
        <v>184912</v>
      </c>
      <c r="H50" s="3593">
        <v>5866</v>
      </c>
      <c r="I50" s="1803">
        <v>37006</v>
      </c>
      <c r="J50" s="3593">
        <v>139203</v>
      </c>
      <c r="K50" s="2895">
        <v>2837</v>
      </c>
      <c r="L50" s="2895">
        <v>3375</v>
      </c>
      <c r="M50" s="2889">
        <f>+'2.6'!D72*1000-SUM(B50:C50,G50,L50)</f>
        <v>0</v>
      </c>
      <c r="N50" s="1802">
        <v>48182</v>
      </c>
      <c r="O50" s="1802">
        <v>81620</v>
      </c>
      <c r="P50" s="3593">
        <v>6774</v>
      </c>
      <c r="Q50" s="1808">
        <v>24091</v>
      </c>
      <c r="R50" s="3593">
        <v>50755</v>
      </c>
      <c r="S50" s="1802">
        <v>87046</v>
      </c>
      <c r="T50" s="3593">
        <v>3192</v>
      </c>
      <c r="U50" s="1803">
        <v>29073</v>
      </c>
      <c r="V50" s="3593">
        <v>54378</v>
      </c>
      <c r="W50" s="1809">
        <v>403</v>
      </c>
      <c r="X50" s="1810">
        <v>1144</v>
      </c>
      <c r="Y50" s="2891">
        <f>'2.6'!I72*1000-SUM(N50:O50,S50,X50)</f>
        <v>0</v>
      </c>
      <c r="Z50" s="1802">
        <v>1963065</v>
      </c>
      <c r="AA50" s="1802">
        <v>5161184</v>
      </c>
      <c r="AB50" s="3593">
        <v>241805</v>
      </c>
      <c r="AC50" s="1808">
        <v>1099634</v>
      </c>
      <c r="AD50" s="3593">
        <v>3819745</v>
      </c>
      <c r="AE50" s="1802">
        <v>3716763</v>
      </c>
      <c r="AF50" s="3593">
        <v>134494</v>
      </c>
      <c r="AG50" s="1803">
        <v>1012379</v>
      </c>
      <c r="AH50" s="3593">
        <v>2505118</v>
      </c>
      <c r="AI50" s="1809">
        <v>64772</v>
      </c>
      <c r="AJ50" s="1810">
        <v>131577</v>
      </c>
      <c r="AK50" s="2891">
        <f>'2.6'!S72*1000-SUM(Z50:AA50,AE50,AJ50)</f>
        <v>15724</v>
      </c>
      <c r="AM50" s="3517"/>
      <c r="AN50" s="3517"/>
      <c r="AO50" s="3517"/>
    </row>
    <row r="51" spans="1:50">
      <c r="A51" s="1301" t="s">
        <v>474</v>
      </c>
      <c r="B51" s="1803">
        <v>69646</v>
      </c>
      <c r="C51" s="1802">
        <v>358827</v>
      </c>
      <c r="D51" s="3593">
        <v>22028</v>
      </c>
      <c r="E51" s="3593">
        <v>83615</v>
      </c>
      <c r="F51" s="3593">
        <v>253184</v>
      </c>
      <c r="G51" s="1802">
        <v>173805</v>
      </c>
      <c r="H51" s="3593">
        <v>8127</v>
      </c>
      <c r="I51" s="1803">
        <v>37131</v>
      </c>
      <c r="J51" s="3593">
        <v>123339</v>
      </c>
      <c r="K51" s="2895">
        <v>5208</v>
      </c>
      <c r="L51" s="2895">
        <v>4811</v>
      </c>
      <c r="M51" s="2889">
        <f>+'2.6'!D73*1000-SUM(B51:C51,G51,L51)</f>
        <v>0</v>
      </c>
      <c r="N51" s="1802">
        <v>42801</v>
      </c>
      <c r="O51" s="1802">
        <v>85937</v>
      </c>
      <c r="P51" s="3593">
        <v>5539</v>
      </c>
      <c r="Q51" s="1808">
        <v>25337</v>
      </c>
      <c r="R51" s="3593">
        <v>55061</v>
      </c>
      <c r="S51" s="1802">
        <v>79367</v>
      </c>
      <c r="T51" s="3593">
        <v>3019</v>
      </c>
      <c r="U51" s="1803">
        <v>27141</v>
      </c>
      <c r="V51" s="3593">
        <v>49207</v>
      </c>
      <c r="W51" s="1809">
        <v>0</v>
      </c>
      <c r="X51" s="1810">
        <v>3967</v>
      </c>
      <c r="Y51" s="2891">
        <f>'2.6'!I73*1000-SUM(N51:O51,S51,X51)</f>
        <v>0</v>
      </c>
      <c r="Z51" s="1802">
        <v>1890484</v>
      </c>
      <c r="AA51" s="1802">
        <v>5197020</v>
      </c>
      <c r="AB51" s="3593">
        <v>244551</v>
      </c>
      <c r="AC51" s="1808">
        <v>1164429</v>
      </c>
      <c r="AD51" s="3593">
        <v>3788040</v>
      </c>
      <c r="AE51" s="1802">
        <v>3710784</v>
      </c>
      <c r="AF51" s="3593">
        <v>129784</v>
      </c>
      <c r="AG51" s="1803">
        <v>1022530</v>
      </c>
      <c r="AH51" s="3593">
        <v>2498709</v>
      </c>
      <c r="AI51" s="1809">
        <v>59761</v>
      </c>
      <c r="AJ51" s="1810">
        <v>174231</v>
      </c>
      <c r="AK51" s="2891">
        <f>'2.6'!S73*1000-SUM(Z51:AA51,AE51,AJ51)</f>
        <v>21118</v>
      </c>
      <c r="AM51" s="3517"/>
      <c r="AN51" s="3517"/>
      <c r="AO51" s="3517"/>
    </row>
    <row r="52" spans="1:50">
      <c r="A52" s="1301" t="s">
        <v>475</v>
      </c>
      <c r="B52" s="1803">
        <v>68831</v>
      </c>
      <c r="C52" s="1802">
        <v>338369</v>
      </c>
      <c r="D52" s="3593">
        <v>18707</v>
      </c>
      <c r="E52" s="3593">
        <v>107329</v>
      </c>
      <c r="F52" s="3593">
        <v>212333</v>
      </c>
      <c r="G52" s="1802">
        <v>193590</v>
      </c>
      <c r="H52" s="3593">
        <v>12544</v>
      </c>
      <c r="I52" s="1803">
        <v>46001</v>
      </c>
      <c r="J52" s="3593">
        <v>129590</v>
      </c>
      <c r="K52" s="2895">
        <v>5455</v>
      </c>
      <c r="L52" s="2895">
        <v>3231</v>
      </c>
      <c r="M52" s="2889">
        <f>+'2.6'!D74*1000-SUM(B52:C52,G52,L52)</f>
        <v>0</v>
      </c>
      <c r="N52" s="1802">
        <v>41173</v>
      </c>
      <c r="O52" s="1802">
        <v>94097</v>
      </c>
      <c r="P52" s="3593">
        <v>7346</v>
      </c>
      <c r="Q52" s="1808">
        <v>27142</v>
      </c>
      <c r="R52" s="3593">
        <v>59609</v>
      </c>
      <c r="S52" s="1802">
        <v>72420</v>
      </c>
      <c r="T52" s="3593">
        <v>2647</v>
      </c>
      <c r="U52" s="1803">
        <v>23948</v>
      </c>
      <c r="V52" s="3593">
        <v>45825</v>
      </c>
      <c r="W52" s="1809">
        <v>0</v>
      </c>
      <c r="X52" s="1810">
        <v>4115</v>
      </c>
      <c r="Y52" s="2891">
        <f>'2.6'!I74*1000-SUM(N52:O52,S52,X52)</f>
        <v>0</v>
      </c>
      <c r="Z52" s="1802">
        <v>1871439</v>
      </c>
      <c r="AA52" s="1802">
        <v>5179677</v>
      </c>
      <c r="AB52" s="3593">
        <v>272511</v>
      </c>
      <c r="AC52" s="1808">
        <v>1148233</v>
      </c>
      <c r="AD52" s="3593">
        <v>3758933</v>
      </c>
      <c r="AE52" s="1802">
        <v>3762123</v>
      </c>
      <c r="AF52" s="3593">
        <v>110111</v>
      </c>
      <c r="AG52" s="1803">
        <v>1009924</v>
      </c>
      <c r="AH52" s="3593">
        <v>2569080</v>
      </c>
      <c r="AI52" s="1809">
        <v>73008</v>
      </c>
      <c r="AJ52" s="1810">
        <v>167777</v>
      </c>
      <c r="AK52" s="2891">
        <f>'2.6'!S74*1000-SUM(Z52:AA52,AE52,AJ52)</f>
        <v>20904</v>
      </c>
      <c r="AM52" s="3517"/>
      <c r="AN52" s="3517"/>
      <c r="AO52" s="3517"/>
    </row>
    <row r="53" spans="1:50">
      <c r="A53" s="1301" t="s">
        <v>476</v>
      </c>
      <c r="B53" s="1803">
        <v>79746</v>
      </c>
      <c r="C53" s="1802">
        <v>336904</v>
      </c>
      <c r="D53" s="3593">
        <v>18998</v>
      </c>
      <c r="E53" s="3593">
        <v>89847</v>
      </c>
      <c r="F53" s="3593">
        <v>228059</v>
      </c>
      <c r="G53" s="1802">
        <v>209016</v>
      </c>
      <c r="H53" s="3593">
        <v>8967</v>
      </c>
      <c r="I53" s="1803">
        <v>54694</v>
      </c>
      <c r="J53" s="3593">
        <v>143605</v>
      </c>
      <c r="K53" s="2895">
        <v>1750</v>
      </c>
      <c r="L53" s="2895">
        <v>5701</v>
      </c>
      <c r="M53" s="2889">
        <f>+'2.6'!D75*1000-SUM(B53:C53,G53,L53)</f>
        <v>0</v>
      </c>
      <c r="N53" s="1802">
        <v>46762</v>
      </c>
      <c r="O53" s="1802">
        <v>88379</v>
      </c>
      <c r="P53" s="3593">
        <v>10312</v>
      </c>
      <c r="Q53" s="1808">
        <v>21747</v>
      </c>
      <c r="R53" s="3593">
        <v>56320</v>
      </c>
      <c r="S53" s="1802">
        <v>74787</v>
      </c>
      <c r="T53" s="3593">
        <v>4134</v>
      </c>
      <c r="U53" s="1803">
        <v>23250</v>
      </c>
      <c r="V53" s="3593">
        <v>45207</v>
      </c>
      <c r="W53" s="1809">
        <v>2196</v>
      </c>
      <c r="X53" s="1810">
        <v>1281</v>
      </c>
      <c r="Y53" s="2891">
        <f>'2.6'!I75*1000-SUM(N53:O53,S53,X53)</f>
        <v>0</v>
      </c>
      <c r="Z53" s="1802">
        <v>1880798</v>
      </c>
      <c r="AA53" s="1802">
        <v>5251370</v>
      </c>
      <c r="AB53" s="3593">
        <v>284237</v>
      </c>
      <c r="AC53" s="1808">
        <v>1128793</v>
      </c>
      <c r="AD53" s="3593">
        <v>3838340</v>
      </c>
      <c r="AE53" s="1802">
        <v>3903357</v>
      </c>
      <c r="AF53" s="3593">
        <v>110668</v>
      </c>
      <c r="AG53" s="1803">
        <v>1055825</v>
      </c>
      <c r="AH53" s="3593">
        <v>2664464</v>
      </c>
      <c r="AI53" s="1809">
        <v>72400</v>
      </c>
      <c r="AJ53" s="1810">
        <v>186512</v>
      </c>
      <c r="AK53" s="2891">
        <f>'2.6'!S75*1000-SUM(Z53:AA53,AE53,AJ53)</f>
        <v>13938</v>
      </c>
      <c r="AM53" s="3517"/>
      <c r="AN53" s="3517"/>
      <c r="AO53" s="3517"/>
      <c r="AP53" s="3517"/>
      <c r="AQ53" s="3517"/>
      <c r="AR53" s="3517"/>
    </row>
    <row r="54" spans="1:50">
      <c r="A54" s="1301" t="s">
        <v>477</v>
      </c>
      <c r="B54" s="1803">
        <v>76223</v>
      </c>
      <c r="C54" s="1802">
        <v>359582</v>
      </c>
      <c r="D54" s="3593">
        <v>15289</v>
      </c>
      <c r="E54" s="3593">
        <v>89126</v>
      </c>
      <c r="F54" s="3593">
        <v>255167</v>
      </c>
      <c r="G54" s="1802">
        <v>196596</v>
      </c>
      <c r="H54" s="3593">
        <v>13387</v>
      </c>
      <c r="I54" s="1803">
        <v>45881</v>
      </c>
      <c r="J54" s="3593">
        <v>133575</v>
      </c>
      <c r="K54" s="2895">
        <v>3753</v>
      </c>
      <c r="L54" s="2895">
        <v>4225</v>
      </c>
      <c r="M54" s="2889">
        <f>+'2.6'!D76*1000-SUM(B54:C54,G54,L54)</f>
        <v>0</v>
      </c>
      <c r="N54" s="1802">
        <v>49253</v>
      </c>
      <c r="O54" s="1802">
        <v>95958</v>
      </c>
      <c r="P54" s="3593">
        <v>7445</v>
      </c>
      <c r="Q54" s="1808">
        <v>23015</v>
      </c>
      <c r="R54" s="3593">
        <v>65498</v>
      </c>
      <c r="S54" s="1802">
        <v>67608</v>
      </c>
      <c r="T54" s="3593">
        <v>4201</v>
      </c>
      <c r="U54" s="1803">
        <v>18487</v>
      </c>
      <c r="V54" s="3593">
        <v>43216</v>
      </c>
      <c r="W54" s="1809">
        <v>1704</v>
      </c>
      <c r="X54" s="1810">
        <v>1708</v>
      </c>
      <c r="Y54" s="2891">
        <f>'2.6'!I76*1000-SUM(N54:O54,S54,X54)</f>
        <v>0</v>
      </c>
      <c r="Z54" s="1802">
        <v>1963900</v>
      </c>
      <c r="AA54" s="1802">
        <v>5300127</v>
      </c>
      <c r="AB54" s="3593">
        <v>255919</v>
      </c>
      <c r="AC54" s="1808">
        <v>1142884</v>
      </c>
      <c r="AD54" s="3593">
        <v>3901324</v>
      </c>
      <c r="AE54" s="1802">
        <v>3624478</v>
      </c>
      <c r="AF54" s="3593">
        <v>119719</v>
      </c>
      <c r="AG54" s="1803">
        <v>969061</v>
      </c>
      <c r="AH54" s="3593">
        <v>2478813</v>
      </c>
      <c r="AI54" s="1809">
        <v>56885</v>
      </c>
      <c r="AJ54" s="1810">
        <v>169597</v>
      </c>
      <c r="AK54" s="2891">
        <f>'2.6'!S76*1000-SUM(Z54:AA54,AE54,AJ54)</f>
        <v>11883</v>
      </c>
      <c r="AM54" s="3517"/>
      <c r="AN54" s="3517"/>
      <c r="AO54" s="3517"/>
    </row>
    <row r="55" spans="1:50">
      <c r="A55" s="1301" t="s">
        <v>478</v>
      </c>
      <c r="B55" s="1803">
        <v>67810</v>
      </c>
      <c r="C55" s="1802">
        <v>362479</v>
      </c>
      <c r="D55" s="3593">
        <v>15967</v>
      </c>
      <c r="E55" s="3593">
        <v>89287</v>
      </c>
      <c r="F55" s="3593">
        <v>257225</v>
      </c>
      <c r="G55" s="1802">
        <v>198820</v>
      </c>
      <c r="H55" s="3593">
        <v>12928</v>
      </c>
      <c r="I55" s="1803">
        <v>51667</v>
      </c>
      <c r="J55" s="3593">
        <v>131306</v>
      </c>
      <c r="K55" s="2895">
        <v>2919</v>
      </c>
      <c r="L55" s="2895">
        <v>6045</v>
      </c>
      <c r="M55" s="2889">
        <f>+'2.6'!D77*1000-SUM(B55:C55,G55,L55)</f>
        <v>0</v>
      </c>
      <c r="N55" s="1802">
        <v>43980</v>
      </c>
      <c r="O55" s="1802">
        <v>99608</v>
      </c>
      <c r="P55" s="3593">
        <v>6441</v>
      </c>
      <c r="Q55" s="1808">
        <v>26180</v>
      </c>
      <c r="R55" s="3593">
        <v>66987</v>
      </c>
      <c r="S55" s="1802">
        <v>65800</v>
      </c>
      <c r="T55" s="3593">
        <v>3451</v>
      </c>
      <c r="U55" s="1803">
        <v>20614</v>
      </c>
      <c r="V55" s="3593">
        <v>41472</v>
      </c>
      <c r="W55" s="1809">
        <v>263</v>
      </c>
      <c r="X55" s="1810">
        <v>2751</v>
      </c>
      <c r="Y55" s="2891">
        <f>'2.6'!I77*1000-SUM(N55:O55,S55,X55)</f>
        <v>0</v>
      </c>
      <c r="Z55" s="1802">
        <v>1923335</v>
      </c>
      <c r="AA55" s="1802">
        <v>5260109</v>
      </c>
      <c r="AB55" s="3593">
        <v>288547</v>
      </c>
      <c r="AC55" s="1808">
        <v>1126570</v>
      </c>
      <c r="AD55" s="3593">
        <v>3844992</v>
      </c>
      <c r="AE55" s="1802">
        <v>3752357</v>
      </c>
      <c r="AF55" s="3593">
        <v>104001</v>
      </c>
      <c r="AG55" s="1803">
        <v>1022868</v>
      </c>
      <c r="AH55" s="3593">
        <v>2572568</v>
      </c>
      <c r="AI55" s="1809">
        <v>52920</v>
      </c>
      <c r="AJ55" s="1810">
        <v>182501</v>
      </c>
      <c r="AK55" s="2891">
        <f>'2.6'!S77*1000-SUM(Z55:AA55,AE55,AJ55)</f>
        <v>18417</v>
      </c>
      <c r="AM55" s="3517"/>
      <c r="AN55" s="3517"/>
      <c r="AO55" s="3517"/>
    </row>
    <row r="56" spans="1:50">
      <c r="A56" s="1301" t="s">
        <v>479</v>
      </c>
      <c r="B56" s="1839">
        <v>66225.960002753505</v>
      </c>
      <c r="C56" s="1799">
        <v>340806.50444182992</v>
      </c>
      <c r="D56" s="3593" t="e">
        <v>#N/A</v>
      </c>
      <c r="E56" s="3593" t="e">
        <v>#N/A</v>
      </c>
      <c r="F56" s="3593" t="e">
        <v>#N/A</v>
      </c>
      <c r="G56" s="1799">
        <v>215841.37723283508</v>
      </c>
      <c r="H56" s="3593" t="e">
        <v>#N/A</v>
      </c>
      <c r="I56" s="1803" t="e">
        <v>#N/A</v>
      </c>
      <c r="J56" s="3593" t="e">
        <v>#N/A</v>
      </c>
      <c r="K56" s="2895" t="e">
        <v>#N/A</v>
      </c>
      <c r="L56" s="2895" t="e">
        <v>#N/A</v>
      </c>
      <c r="M56" s="2889" t="e">
        <f>+'2.6'!D78*1000-SUM(B56:C56,G56,L56)</f>
        <v>#N/A</v>
      </c>
      <c r="N56" s="1800">
        <v>44315</v>
      </c>
      <c r="O56" s="1799">
        <v>102126.4331490241</v>
      </c>
      <c r="P56" s="3593" t="e">
        <v>#N/A</v>
      </c>
      <c r="Q56" s="1808" t="e">
        <v>#N/A</v>
      </c>
      <c r="R56" s="3593" t="e">
        <v>#N/A</v>
      </c>
      <c r="S56" s="1799">
        <v>64961.517635219949</v>
      </c>
      <c r="T56" s="3593" t="e">
        <v>#N/A</v>
      </c>
      <c r="U56" s="1808" t="e">
        <v>#N/A</v>
      </c>
      <c r="V56" s="3593" t="e">
        <v>#N/A</v>
      </c>
      <c r="W56" s="1809" t="e">
        <v>#N/A</v>
      </c>
      <c r="X56" s="1810" t="e">
        <v>#N/A</v>
      </c>
      <c r="Y56" s="2891" t="e">
        <f>'2.6'!I78*1000-SUM(N56:O56,S56,X56)</f>
        <v>#N/A</v>
      </c>
      <c r="Z56" s="1800">
        <v>1932224.25</v>
      </c>
      <c r="AA56" s="1800">
        <v>5276698.5</v>
      </c>
      <c r="AB56" s="3593" t="e">
        <v>#N/A</v>
      </c>
      <c r="AC56" s="1808" t="e">
        <v>#N/A</v>
      </c>
      <c r="AD56" s="3593" t="e">
        <v>#N/A</v>
      </c>
      <c r="AE56" s="1800">
        <v>3784823.5</v>
      </c>
      <c r="AF56" s="3593" t="e">
        <v>#N/A</v>
      </c>
      <c r="AG56" s="1808" t="e">
        <v>#N/A</v>
      </c>
      <c r="AH56" s="3593" t="e">
        <v>#N/A</v>
      </c>
      <c r="AI56" s="1809" t="e">
        <v>#N/A</v>
      </c>
      <c r="AJ56" s="1810" t="e">
        <v>#N/A</v>
      </c>
      <c r="AK56" s="2891" t="e">
        <v>#N/A</v>
      </c>
      <c r="AM56" s="3517"/>
      <c r="AN56" s="3517"/>
      <c r="AO56" s="3517"/>
    </row>
    <row r="57" spans="1:50">
      <c r="A57" s="1301" t="s">
        <v>480</v>
      </c>
      <c r="B57" s="1839">
        <v>76727.861085551296</v>
      </c>
      <c r="C57" s="1799">
        <v>345764.85933210759</v>
      </c>
      <c r="D57" s="3593" t="e">
        <v>#N/A</v>
      </c>
      <c r="E57" s="3593" t="e">
        <v>#N/A</v>
      </c>
      <c r="F57" s="3593" t="e">
        <v>#N/A</v>
      </c>
      <c r="G57" s="1799">
        <v>219761.14861573308</v>
      </c>
      <c r="H57" s="3593" t="e">
        <v>#N/A</v>
      </c>
      <c r="I57" s="1803" t="e">
        <v>#N/A</v>
      </c>
      <c r="J57" s="3593" t="e">
        <v>#N/A</v>
      </c>
      <c r="K57" s="2895" t="e">
        <v>#N/A</v>
      </c>
      <c r="L57" s="2895" t="e">
        <v>#N/A</v>
      </c>
      <c r="M57" s="2889" t="e">
        <f>+'2.6'!D79*1000-SUM(B57:C57,G57,L57)</f>
        <v>#N/A</v>
      </c>
      <c r="N57" s="1800">
        <v>50540.389454254</v>
      </c>
      <c r="O57" s="1799">
        <v>96708.680721043784</v>
      </c>
      <c r="P57" s="3593" t="e">
        <v>#N/A</v>
      </c>
      <c r="Q57" s="1808" t="e">
        <v>#N/A</v>
      </c>
      <c r="R57" s="3593" t="e">
        <v>#N/A</v>
      </c>
      <c r="S57" s="1799">
        <v>63697.78850832874</v>
      </c>
      <c r="T57" s="3593" t="e">
        <v>#N/A</v>
      </c>
      <c r="U57" s="1808" t="e">
        <v>#N/A</v>
      </c>
      <c r="V57" s="3593" t="e">
        <v>#N/A</v>
      </c>
      <c r="W57" s="1809" t="e">
        <v>#N/A</v>
      </c>
      <c r="X57" s="1810" t="e">
        <v>#N/A</v>
      </c>
      <c r="Y57" s="2891" t="e">
        <f>'2.6'!I79*1000-SUM(N57:O57,S57,X57)</f>
        <v>#N/A</v>
      </c>
      <c r="Z57" s="1800">
        <v>1941113.5</v>
      </c>
      <c r="AA57" s="1800">
        <v>5293288</v>
      </c>
      <c r="AB57" s="3593" t="e">
        <v>#N/A</v>
      </c>
      <c r="AC57" s="1808" t="e">
        <v>#N/A</v>
      </c>
      <c r="AD57" s="3593" t="e">
        <v>#N/A</v>
      </c>
      <c r="AE57" s="1800">
        <v>3817290</v>
      </c>
      <c r="AF57" s="3593" t="e">
        <v>#N/A</v>
      </c>
      <c r="AG57" s="1808" t="e">
        <v>#N/A</v>
      </c>
      <c r="AH57" s="3593" t="e">
        <v>#N/A</v>
      </c>
      <c r="AI57" s="1809" t="e">
        <v>#N/A</v>
      </c>
      <c r="AJ57" s="1810" t="e">
        <v>#N/A</v>
      </c>
      <c r="AK57" s="2891" t="e">
        <v>#N/A</v>
      </c>
      <c r="AM57" s="3517"/>
      <c r="AN57" s="3517"/>
      <c r="AO57" s="3517"/>
      <c r="AP57" s="3517"/>
      <c r="AQ57" s="3517"/>
      <c r="AR57" s="3517"/>
      <c r="AS57" s="3517"/>
      <c r="AT57" s="3517"/>
      <c r="AU57" s="3517"/>
      <c r="AV57" s="3517"/>
      <c r="AW57" s="3517"/>
      <c r="AX57" s="3517"/>
    </row>
    <row r="58" spans="1:50">
      <c r="A58" s="1301" t="s">
        <v>481</v>
      </c>
      <c r="B58" s="1839">
        <v>63168.025026543299</v>
      </c>
      <c r="C58" s="1799">
        <v>374704.34428068204</v>
      </c>
      <c r="D58" s="3593" t="e">
        <v>#N/A</v>
      </c>
      <c r="E58" s="3593" t="e">
        <v>#N/A</v>
      </c>
      <c r="F58" s="3593" t="e">
        <v>#N/A</v>
      </c>
      <c r="G58" s="1799">
        <v>210994.76499034936</v>
      </c>
      <c r="H58" s="3593" t="e">
        <v>#N/A</v>
      </c>
      <c r="I58" s="1803" t="e">
        <v>#N/A</v>
      </c>
      <c r="J58" s="3593" t="e">
        <v>#N/A</v>
      </c>
      <c r="K58" s="2895" t="e">
        <v>#N/A</v>
      </c>
      <c r="L58" s="2895" t="e">
        <v>#N/A</v>
      </c>
      <c r="M58" s="2889" t="e">
        <f>+'2.6'!D80*1000-SUM(B58:C58,G58,L58)</f>
        <v>#N/A</v>
      </c>
      <c r="N58" s="1800">
        <v>44566.25</v>
      </c>
      <c r="O58" s="1799">
        <v>99587.881873788327</v>
      </c>
      <c r="P58" s="3593" t="e">
        <v>#N/A</v>
      </c>
      <c r="Q58" s="1808" t="e">
        <v>#N/A</v>
      </c>
      <c r="R58" s="3593" t="e">
        <v>#N/A</v>
      </c>
      <c r="S58" s="1799">
        <v>71590.185086773447</v>
      </c>
      <c r="T58" s="3593" t="e">
        <v>#N/A</v>
      </c>
      <c r="U58" s="1808" t="e">
        <v>#N/A</v>
      </c>
      <c r="V58" s="3593" t="e">
        <v>#N/A</v>
      </c>
      <c r="W58" s="1809" t="e">
        <v>#N/A</v>
      </c>
      <c r="X58" s="1810" t="e">
        <v>#N/A</v>
      </c>
      <c r="Y58" s="2891" t="e">
        <f>'2.6'!I80*1000-SUM(N58:O58,S58,X58)</f>
        <v>#N/A</v>
      </c>
      <c r="Z58" s="1800">
        <v>1950002.75</v>
      </c>
      <c r="AA58" s="1800">
        <v>5309877.5</v>
      </c>
      <c r="AB58" s="3593" t="e">
        <v>#N/A</v>
      </c>
      <c r="AC58" s="1808" t="e">
        <v>#N/A</v>
      </c>
      <c r="AD58" s="3593" t="e">
        <v>#N/A</v>
      </c>
      <c r="AE58" s="1800">
        <v>3849756.5</v>
      </c>
      <c r="AF58" s="3593" t="e">
        <v>#N/A</v>
      </c>
      <c r="AG58" s="1808" t="e">
        <v>#N/A</v>
      </c>
      <c r="AH58" s="3593" t="e">
        <v>#N/A</v>
      </c>
      <c r="AI58" s="1809" t="e">
        <v>#N/A</v>
      </c>
      <c r="AJ58" s="1810" t="e">
        <v>#N/A</v>
      </c>
      <c r="AK58" s="2891" t="e">
        <v>#N/A</v>
      </c>
      <c r="AM58" s="3517"/>
      <c r="AN58" s="3517"/>
      <c r="AO58" s="3517"/>
      <c r="AP58" s="3517"/>
      <c r="AQ58" s="3517"/>
      <c r="AR58" s="3517"/>
      <c r="AS58" s="3517"/>
      <c r="AT58" s="3517"/>
      <c r="AU58" s="3517"/>
      <c r="AV58" s="3517"/>
      <c r="AW58" s="3517"/>
      <c r="AX58" s="3517"/>
    </row>
    <row r="59" spans="1:50">
      <c r="A59" s="1301" t="s">
        <v>482</v>
      </c>
      <c r="B59" s="1803">
        <v>57755</v>
      </c>
      <c r="C59" s="1802">
        <v>298598</v>
      </c>
      <c r="D59" s="3593">
        <v>14479</v>
      </c>
      <c r="E59" s="3593">
        <v>88410</v>
      </c>
      <c r="F59" s="3593">
        <v>195709</v>
      </c>
      <c r="G59" s="1802">
        <v>186559</v>
      </c>
      <c r="H59" s="3593">
        <v>4402</v>
      </c>
      <c r="I59" s="1803">
        <v>46216</v>
      </c>
      <c r="J59" s="3593">
        <v>130378</v>
      </c>
      <c r="K59" s="2895">
        <v>5563</v>
      </c>
      <c r="L59" s="2895">
        <v>2122</v>
      </c>
      <c r="M59" s="2889">
        <f>+'2.6'!D81*1000-SUM(B59:C59,G59,L59)</f>
        <v>0</v>
      </c>
      <c r="N59" s="1802">
        <v>44650</v>
      </c>
      <c r="O59" s="1802">
        <v>95267</v>
      </c>
      <c r="P59" s="3593">
        <v>6984</v>
      </c>
      <c r="Q59" s="1808">
        <v>27110</v>
      </c>
      <c r="R59" s="3593">
        <v>61173</v>
      </c>
      <c r="S59" s="1802">
        <v>60527</v>
      </c>
      <c r="T59" s="3593">
        <v>3657</v>
      </c>
      <c r="U59" s="1803">
        <v>16298</v>
      </c>
      <c r="V59" s="3593">
        <v>40156</v>
      </c>
      <c r="W59" s="1809">
        <v>416</v>
      </c>
      <c r="X59" s="1810">
        <v>2618</v>
      </c>
      <c r="Y59" s="2891">
        <f>'2.6'!I81*1000-SUM(N59:O59,S59,X59)</f>
        <v>0</v>
      </c>
      <c r="Z59" s="1802">
        <v>1958892</v>
      </c>
      <c r="AA59" s="1802">
        <v>5326467</v>
      </c>
      <c r="AB59" s="3593">
        <v>271912</v>
      </c>
      <c r="AC59" s="1808">
        <v>1219789</v>
      </c>
      <c r="AD59" s="3593">
        <v>3834766</v>
      </c>
      <c r="AE59" s="1802">
        <v>3882223</v>
      </c>
      <c r="AF59" s="3593">
        <v>134005</v>
      </c>
      <c r="AG59" s="1803">
        <v>1078260</v>
      </c>
      <c r="AH59" s="3593">
        <v>2608773</v>
      </c>
      <c r="AI59" s="1809">
        <v>61185</v>
      </c>
      <c r="AJ59" s="1810">
        <v>155946</v>
      </c>
      <c r="AK59" s="2891">
        <f>'2.6'!S81*1000-SUM(Z59:AA59,AE59,AJ59)</f>
        <v>14472</v>
      </c>
      <c r="AL59" s="323"/>
      <c r="AM59" s="3517"/>
      <c r="AN59" s="3517"/>
      <c r="AO59" s="3517"/>
      <c r="AP59" s="3517"/>
      <c r="AQ59" s="3517"/>
      <c r="AR59" s="3517"/>
      <c r="AS59" s="3517"/>
      <c r="AT59" s="3517"/>
      <c r="AU59" s="3517"/>
      <c r="AV59" s="3517"/>
      <c r="AW59" s="3517"/>
      <c r="AX59" s="3517"/>
    </row>
    <row r="60" spans="1:50">
      <c r="A60" s="1301" t="s">
        <v>483</v>
      </c>
      <c r="B60" s="1803">
        <v>52019</v>
      </c>
      <c r="C60" s="1802">
        <v>316880</v>
      </c>
      <c r="D60" s="3593">
        <v>9482</v>
      </c>
      <c r="E60" s="3593">
        <v>90366</v>
      </c>
      <c r="F60" s="3593">
        <v>217032</v>
      </c>
      <c r="G60" s="1802">
        <v>183760</v>
      </c>
      <c r="H60" s="3593">
        <v>10653</v>
      </c>
      <c r="I60" s="1803">
        <v>42578</v>
      </c>
      <c r="J60" s="3593">
        <v>127954</v>
      </c>
      <c r="K60" s="2895">
        <v>2575</v>
      </c>
      <c r="L60" s="2895">
        <v>1444</v>
      </c>
      <c r="M60" s="2889">
        <f>+'2.6'!D82*1000-SUM(B60:C60,G60,L60)</f>
        <v>0</v>
      </c>
      <c r="N60" s="1802">
        <v>43651</v>
      </c>
      <c r="O60" s="1802">
        <v>85922</v>
      </c>
      <c r="P60" s="3593">
        <v>8402</v>
      </c>
      <c r="Q60" s="1808">
        <v>22130</v>
      </c>
      <c r="R60" s="3593">
        <v>55390</v>
      </c>
      <c r="S60" s="1802">
        <v>70291</v>
      </c>
      <c r="T60" s="3593">
        <v>3714</v>
      </c>
      <c r="U60" s="1803">
        <v>24875</v>
      </c>
      <c r="V60" s="3593">
        <v>41342</v>
      </c>
      <c r="W60" s="1809">
        <v>360</v>
      </c>
      <c r="X60" s="1810">
        <v>1676</v>
      </c>
      <c r="Y60" s="2891">
        <f>'2.6'!I82*1000-SUM(N60:O60,S60,X60)</f>
        <v>0</v>
      </c>
      <c r="Z60" s="1802">
        <v>1943341</v>
      </c>
      <c r="AA60" s="1802">
        <v>5373367</v>
      </c>
      <c r="AB60" s="3593">
        <v>259037</v>
      </c>
      <c r="AC60" s="1808">
        <v>1238365</v>
      </c>
      <c r="AD60" s="3593">
        <v>3875965</v>
      </c>
      <c r="AE60" s="1802">
        <v>4017862</v>
      </c>
      <c r="AF60" s="3593">
        <v>139429</v>
      </c>
      <c r="AG60" s="1803">
        <v>1103906</v>
      </c>
      <c r="AH60" s="3593">
        <v>2699734</v>
      </c>
      <c r="AI60" s="1809">
        <v>74793</v>
      </c>
      <c r="AJ60" s="1810">
        <v>131752</v>
      </c>
      <c r="AK60" s="2891">
        <f>'2.6'!S82*1000-SUM(Z60:AA60,AE60,AJ60)</f>
        <v>10678</v>
      </c>
      <c r="AL60" s="323"/>
      <c r="AM60" s="3517"/>
      <c r="AN60" s="3517"/>
      <c r="AO60" s="3517"/>
      <c r="AP60" s="3517"/>
      <c r="AQ60" s="3517"/>
      <c r="AR60" s="3517"/>
      <c r="AS60" s="3517"/>
      <c r="AT60" s="3517"/>
      <c r="AU60" s="3517"/>
      <c r="AV60" s="3517"/>
      <c r="AW60" s="3517"/>
      <c r="AX60" s="3517"/>
    </row>
    <row r="61" spans="1:50">
      <c r="A61" s="1301" t="s">
        <v>484</v>
      </c>
      <c r="B61" s="1803">
        <v>70200</v>
      </c>
      <c r="C61" s="1802">
        <v>335545</v>
      </c>
      <c r="D61" s="3593">
        <v>11937</v>
      </c>
      <c r="E61" s="3593">
        <v>105154</v>
      </c>
      <c r="F61" s="3593">
        <v>218454</v>
      </c>
      <c r="G61" s="1802">
        <v>165582</v>
      </c>
      <c r="H61" s="3593">
        <v>6306</v>
      </c>
      <c r="I61" s="1803">
        <v>28303</v>
      </c>
      <c r="J61" s="3593">
        <v>129095</v>
      </c>
      <c r="K61" s="2895">
        <v>1878</v>
      </c>
      <c r="L61" s="2895">
        <v>4048</v>
      </c>
      <c r="M61" s="2889">
        <f>+'2.6'!D83*1000-SUM(B61:C61,G61,L61)</f>
        <v>0</v>
      </c>
      <c r="N61" s="1802">
        <v>53878</v>
      </c>
      <c r="O61" s="1802">
        <v>84925</v>
      </c>
      <c r="P61" s="3593">
        <v>6615</v>
      </c>
      <c r="Q61" s="1808">
        <v>22522</v>
      </c>
      <c r="R61" s="3593">
        <v>55788</v>
      </c>
      <c r="S61" s="1802">
        <v>72597</v>
      </c>
      <c r="T61" s="3593">
        <v>2661</v>
      </c>
      <c r="U61" s="1803">
        <v>25287</v>
      </c>
      <c r="V61" s="3593">
        <v>43766</v>
      </c>
      <c r="W61" s="1809">
        <v>883</v>
      </c>
      <c r="X61" s="1810">
        <v>3021</v>
      </c>
      <c r="Y61" s="2891">
        <f>'2.6'!I83*1000-SUM(N61:O61,S61,X61)</f>
        <v>0</v>
      </c>
      <c r="Z61" s="1802">
        <v>2040384</v>
      </c>
      <c r="AA61" s="1802">
        <v>5295358</v>
      </c>
      <c r="AB61" s="3593">
        <v>293673</v>
      </c>
      <c r="AC61" s="1808">
        <v>1194077</v>
      </c>
      <c r="AD61" s="3593">
        <v>3807608</v>
      </c>
      <c r="AE61" s="1802">
        <v>3989664</v>
      </c>
      <c r="AF61" s="3593">
        <v>138443</v>
      </c>
      <c r="AG61" s="1803">
        <v>1133305</v>
      </c>
      <c r="AH61" s="3593">
        <v>2660934</v>
      </c>
      <c r="AI61" s="1809">
        <v>56982</v>
      </c>
      <c r="AJ61" s="1810">
        <v>127979</v>
      </c>
      <c r="AK61" s="2891">
        <f>'2.6'!S83*1000-SUM(Z61:AA61,AE61,AJ61)</f>
        <v>5615</v>
      </c>
      <c r="AL61" s="323"/>
      <c r="AM61" s="3517"/>
      <c r="AN61" s="3517"/>
      <c r="AO61" s="3517"/>
      <c r="AP61" s="3517"/>
      <c r="AQ61" s="3517"/>
      <c r="AR61" s="3517"/>
      <c r="AS61" s="3517"/>
      <c r="AT61" s="3517"/>
      <c r="AU61" s="3517"/>
      <c r="AV61" s="3517"/>
      <c r="AW61" s="3517"/>
      <c r="AX61" s="3517"/>
    </row>
    <row r="62" spans="1:50">
      <c r="A62" s="1301" t="s">
        <v>485</v>
      </c>
      <c r="B62" s="1803">
        <v>67321</v>
      </c>
      <c r="C62" s="1802">
        <v>315165</v>
      </c>
      <c r="D62" s="3593">
        <v>14422</v>
      </c>
      <c r="E62" s="3593">
        <v>94204</v>
      </c>
      <c r="F62" s="3593">
        <v>206539</v>
      </c>
      <c r="G62" s="1802">
        <v>171329</v>
      </c>
      <c r="H62" s="3593">
        <v>6565</v>
      </c>
      <c r="I62" s="1803">
        <v>42511</v>
      </c>
      <c r="J62" s="3593">
        <v>119160</v>
      </c>
      <c r="K62" s="2895">
        <v>3093</v>
      </c>
      <c r="L62" s="2895">
        <v>865</v>
      </c>
      <c r="M62" s="2889">
        <f>+'2.6'!D84*1000-SUM(B62:C62,G62,L62)</f>
        <v>0</v>
      </c>
      <c r="N62" s="1802">
        <v>55911</v>
      </c>
      <c r="O62" s="1802">
        <v>86890</v>
      </c>
      <c r="P62" s="3593">
        <v>5138</v>
      </c>
      <c r="Q62" s="1808">
        <v>25236</v>
      </c>
      <c r="R62" s="3593">
        <v>56516</v>
      </c>
      <c r="S62" s="1802">
        <v>60973</v>
      </c>
      <c r="T62" s="3593">
        <v>1226</v>
      </c>
      <c r="U62" s="1803">
        <v>19876</v>
      </c>
      <c r="V62" s="3593">
        <v>39871</v>
      </c>
      <c r="W62" s="1809">
        <v>0</v>
      </c>
      <c r="X62" s="1810">
        <v>2270</v>
      </c>
      <c r="Y62" s="2891">
        <f>'2.6'!I84*1000-SUM(N62:O62,S62,X62)</f>
        <v>0</v>
      </c>
      <c r="Z62" s="1802">
        <v>1990372</v>
      </c>
      <c r="AA62" s="1802">
        <v>5233209</v>
      </c>
      <c r="AB62" s="3593">
        <v>318561</v>
      </c>
      <c r="AC62" s="1808">
        <v>1212966</v>
      </c>
      <c r="AD62" s="3593">
        <v>3701682</v>
      </c>
      <c r="AE62" s="1802">
        <v>3970315</v>
      </c>
      <c r="AF62" s="3593">
        <v>137181</v>
      </c>
      <c r="AG62" s="1803">
        <v>1156251</v>
      </c>
      <c r="AH62" s="3593">
        <v>2585816</v>
      </c>
      <c r="AI62" s="1809">
        <v>91067</v>
      </c>
      <c r="AJ62" s="1810">
        <v>123455</v>
      </c>
      <c r="AK62" s="2891">
        <f>'2.6'!S84*1000-SUM(Z62:AA62,AE62,AJ62)</f>
        <v>10649</v>
      </c>
      <c r="AL62" s="323"/>
      <c r="AM62" s="3517"/>
      <c r="AN62" s="3517"/>
      <c r="AO62" s="3517"/>
      <c r="AP62" s="3517"/>
      <c r="AQ62" s="3517"/>
      <c r="AR62" s="3517"/>
      <c r="AS62" s="3517"/>
      <c r="AT62" s="3517"/>
      <c r="AU62" s="3517"/>
      <c r="AV62" s="3517"/>
      <c r="AW62" s="3517"/>
      <c r="AX62" s="3517"/>
    </row>
    <row r="63" spans="1:50">
      <c r="A63" s="1301" t="s">
        <v>486</v>
      </c>
      <c r="B63" s="1803">
        <v>64595</v>
      </c>
      <c r="C63" s="1802">
        <v>293215</v>
      </c>
      <c r="D63" s="3593">
        <v>12020</v>
      </c>
      <c r="E63" s="3593">
        <v>74337</v>
      </c>
      <c r="F63" s="3593">
        <v>206858</v>
      </c>
      <c r="G63" s="1802">
        <v>196137</v>
      </c>
      <c r="H63" s="3593">
        <v>13450</v>
      </c>
      <c r="I63" s="1803">
        <v>47785</v>
      </c>
      <c r="J63" s="3593">
        <v>133728</v>
      </c>
      <c r="K63" s="2895">
        <v>1174</v>
      </c>
      <c r="L63" s="2895">
        <v>3044</v>
      </c>
      <c r="M63" s="2889">
        <f>+'2.6'!D85*1000-SUM(B63:C63,G63,L63)</f>
        <v>0</v>
      </c>
      <c r="N63" s="1802">
        <v>47518</v>
      </c>
      <c r="O63" s="1802">
        <v>89474</v>
      </c>
      <c r="P63" s="3593">
        <v>5834</v>
      </c>
      <c r="Q63" s="1808">
        <v>24059</v>
      </c>
      <c r="R63" s="3593">
        <v>59581</v>
      </c>
      <c r="S63" s="1802">
        <v>67704</v>
      </c>
      <c r="T63" s="3593">
        <v>3296</v>
      </c>
      <c r="U63" s="1803">
        <v>24137</v>
      </c>
      <c r="V63" s="3593">
        <v>40271</v>
      </c>
      <c r="W63" s="1809">
        <v>0</v>
      </c>
      <c r="X63" s="1810">
        <v>1912</v>
      </c>
      <c r="Y63" s="2891">
        <f>'2.6'!I85*1000-SUM(N63:O63,S63,X63)</f>
        <v>0</v>
      </c>
      <c r="Z63" s="1802">
        <v>2000458</v>
      </c>
      <c r="AA63" s="1802">
        <v>5281771</v>
      </c>
      <c r="AB63" s="3593">
        <v>315165</v>
      </c>
      <c r="AC63" s="1808">
        <v>1190450</v>
      </c>
      <c r="AD63" s="3593">
        <v>3776156</v>
      </c>
      <c r="AE63" s="1802">
        <v>3974065</v>
      </c>
      <c r="AF63" s="3593">
        <v>118337</v>
      </c>
      <c r="AG63" s="1803">
        <v>1130948</v>
      </c>
      <c r="AH63" s="3593">
        <v>2649522</v>
      </c>
      <c r="AI63" s="1809">
        <v>75258</v>
      </c>
      <c r="AJ63" s="1810">
        <v>135940</v>
      </c>
      <c r="AK63" s="2891">
        <f>'2.6'!S85*1000-SUM(Z63:AA63,AE63,AJ63)</f>
        <v>2766</v>
      </c>
      <c r="AL63" s="323"/>
      <c r="AM63" s="3517"/>
      <c r="AN63" s="3517"/>
      <c r="AO63" s="3517"/>
      <c r="AP63" s="3517"/>
      <c r="AQ63" s="3517"/>
      <c r="AR63" s="3517"/>
      <c r="AS63" s="3517"/>
      <c r="AT63" s="3517"/>
      <c r="AU63" s="3517"/>
      <c r="AV63" s="3517"/>
      <c r="AW63" s="3517"/>
      <c r="AX63" s="3517"/>
    </row>
    <row r="64" spans="1:50">
      <c r="A64" s="1301" t="s">
        <v>487</v>
      </c>
      <c r="B64" s="1803">
        <v>61524</v>
      </c>
      <c r="C64" s="1802">
        <v>315244</v>
      </c>
      <c r="D64" s="3593">
        <v>9377</v>
      </c>
      <c r="E64" s="3593">
        <v>91672</v>
      </c>
      <c r="F64" s="3593">
        <v>214195</v>
      </c>
      <c r="G64" s="1802">
        <v>171817</v>
      </c>
      <c r="H64" s="3593">
        <v>4505</v>
      </c>
      <c r="I64" s="1803">
        <v>31913</v>
      </c>
      <c r="J64" s="3593">
        <v>134181</v>
      </c>
      <c r="K64" s="2895">
        <v>1218</v>
      </c>
      <c r="L64" s="2895">
        <v>4682</v>
      </c>
      <c r="M64" s="2889">
        <f>+'2.6'!D86*1000-SUM(B64:C64,G64,L64)</f>
        <v>0</v>
      </c>
      <c r="N64" s="1802">
        <v>48053</v>
      </c>
      <c r="O64" s="1802">
        <v>87112</v>
      </c>
      <c r="P64" s="3593">
        <v>7032</v>
      </c>
      <c r="Q64" s="1808">
        <v>22277</v>
      </c>
      <c r="R64" s="3593">
        <v>57803</v>
      </c>
      <c r="S64" s="1802">
        <v>77328</v>
      </c>
      <c r="T64" s="3593">
        <v>3379</v>
      </c>
      <c r="U64" s="1803">
        <v>29490</v>
      </c>
      <c r="V64" s="3593">
        <v>43890</v>
      </c>
      <c r="W64" s="1809">
        <v>569</v>
      </c>
      <c r="X64" s="1810">
        <v>2539</v>
      </c>
      <c r="Y64" s="2891">
        <f>'2.6'!I86*1000-SUM(N64:O64,S64,X64)</f>
        <v>0</v>
      </c>
      <c r="Z64" s="1802">
        <v>1976304</v>
      </c>
      <c r="AA64" s="1802">
        <v>5523895</v>
      </c>
      <c r="AB64" s="3593">
        <v>311240</v>
      </c>
      <c r="AC64" s="1808">
        <v>1362734</v>
      </c>
      <c r="AD64" s="3593">
        <v>3849921</v>
      </c>
      <c r="AE64" s="1802">
        <v>4075051</v>
      </c>
      <c r="AF64" s="3593">
        <v>137329</v>
      </c>
      <c r="AG64" s="1803">
        <v>1103832</v>
      </c>
      <c r="AH64" s="3593">
        <v>2771352</v>
      </c>
      <c r="AI64" s="1809">
        <v>62538</v>
      </c>
      <c r="AJ64" s="1810">
        <v>109761</v>
      </c>
      <c r="AK64" s="2891">
        <f>'2.6'!S86*1000-SUM(Z64:AA64,AE64,AJ64)</f>
        <v>8989</v>
      </c>
      <c r="AL64" s="323"/>
      <c r="AM64" s="3517"/>
      <c r="AN64" s="3517"/>
      <c r="AO64" s="3517"/>
      <c r="AP64" s="3517"/>
      <c r="AQ64" s="3517"/>
      <c r="AR64" s="3517"/>
      <c r="AS64" s="3517"/>
      <c r="AT64" s="3517"/>
      <c r="AU64" s="3517"/>
      <c r="AV64" s="3517"/>
      <c r="AW64" s="3517"/>
      <c r="AX64" s="3517"/>
    </row>
    <row r="65" spans="1:50">
      <c r="A65" s="1301" t="s">
        <v>488</v>
      </c>
      <c r="B65" s="1803">
        <v>67722</v>
      </c>
      <c r="C65" s="1802">
        <v>327515</v>
      </c>
      <c r="D65" s="3593">
        <v>15563</v>
      </c>
      <c r="E65" s="3593">
        <v>103835</v>
      </c>
      <c r="F65" s="3593">
        <v>208117</v>
      </c>
      <c r="G65" s="1802">
        <v>159256</v>
      </c>
      <c r="H65" s="3593">
        <v>3915</v>
      </c>
      <c r="I65" s="1803">
        <v>37543</v>
      </c>
      <c r="J65" s="3593">
        <v>117798</v>
      </c>
      <c r="K65" s="2895">
        <v>0</v>
      </c>
      <c r="L65" s="2895">
        <v>2190</v>
      </c>
      <c r="M65" s="2889">
        <f>+'2.6'!D87*1000-SUM(B65:C65,G65,L65)</f>
        <v>0</v>
      </c>
      <c r="N65" s="1802">
        <v>52985</v>
      </c>
      <c r="O65" s="1802">
        <v>85925</v>
      </c>
      <c r="P65" s="3593">
        <v>6154</v>
      </c>
      <c r="Q65" s="1808">
        <v>22666</v>
      </c>
      <c r="R65" s="3593">
        <v>57105</v>
      </c>
      <c r="S65" s="1802">
        <v>70704</v>
      </c>
      <c r="T65" s="3593">
        <v>917</v>
      </c>
      <c r="U65" s="1803">
        <v>27918</v>
      </c>
      <c r="V65" s="3593">
        <v>40738</v>
      </c>
      <c r="W65" s="1809">
        <v>1131</v>
      </c>
      <c r="X65" s="1810">
        <v>2857</v>
      </c>
      <c r="Y65" s="2891">
        <f>'2.6'!I87*1000-SUM(N65:O65,S65,X65)</f>
        <v>0</v>
      </c>
      <c r="Z65" s="1802">
        <v>2158375</v>
      </c>
      <c r="AA65" s="1802">
        <v>5485951</v>
      </c>
      <c r="AB65" s="3593">
        <v>294136</v>
      </c>
      <c r="AC65" s="1808">
        <v>1358119</v>
      </c>
      <c r="AD65" s="3593">
        <v>3833696</v>
      </c>
      <c r="AE65" s="1802">
        <v>4130988</v>
      </c>
      <c r="AF65" s="3593">
        <v>132226</v>
      </c>
      <c r="AG65" s="1803">
        <v>1152654</v>
      </c>
      <c r="AH65" s="3593">
        <v>2797949</v>
      </c>
      <c r="AI65" s="1809">
        <v>48159</v>
      </c>
      <c r="AJ65" s="1810">
        <v>111385</v>
      </c>
      <c r="AK65" s="2891">
        <f>'2.6'!S87*1000-SUM(Z65:AA65,AE65,AJ65)</f>
        <v>5301</v>
      </c>
      <c r="AL65" s="323"/>
      <c r="AM65" s="3517"/>
      <c r="AN65" s="3517"/>
      <c r="AO65" s="3517"/>
      <c r="AP65" s="3517"/>
      <c r="AQ65" s="3517"/>
      <c r="AR65" s="3517"/>
      <c r="AS65" s="3517"/>
      <c r="AT65" s="3517"/>
      <c r="AU65" s="3517"/>
      <c r="AV65" s="3517"/>
      <c r="AW65" s="3517"/>
      <c r="AX65" s="3517"/>
    </row>
    <row r="66" spans="1:50">
      <c r="A66" s="1301" t="s">
        <v>489</v>
      </c>
      <c r="B66" s="1803">
        <v>59717</v>
      </c>
      <c r="C66" s="1802">
        <v>324057</v>
      </c>
      <c r="D66" s="3593">
        <v>16016</v>
      </c>
      <c r="E66" s="3593">
        <v>83408</v>
      </c>
      <c r="F66" s="3593">
        <v>224633</v>
      </c>
      <c r="G66" s="1802">
        <v>189021</v>
      </c>
      <c r="H66" s="3593">
        <v>9871</v>
      </c>
      <c r="I66" s="1803">
        <v>43939</v>
      </c>
      <c r="J66" s="3593">
        <v>133653</v>
      </c>
      <c r="K66" s="2895">
        <v>1558</v>
      </c>
      <c r="L66" s="2895">
        <v>3029</v>
      </c>
      <c r="M66" s="2889">
        <f>+'2.6'!D88*1000-SUM(B66:C66,G66,L66)</f>
        <v>0</v>
      </c>
      <c r="N66" s="1802">
        <v>53805</v>
      </c>
      <c r="O66" s="1802">
        <v>83698</v>
      </c>
      <c r="P66" s="3593">
        <v>5760</v>
      </c>
      <c r="Q66" s="1808">
        <v>23336</v>
      </c>
      <c r="R66" s="3593">
        <v>54602</v>
      </c>
      <c r="S66" s="1802">
        <v>70836</v>
      </c>
      <c r="T66" s="3593">
        <v>3159</v>
      </c>
      <c r="U66" s="1803">
        <v>27111</v>
      </c>
      <c r="V66" s="3593">
        <v>38170</v>
      </c>
      <c r="W66" s="1809">
        <v>2396</v>
      </c>
      <c r="X66" s="1810">
        <v>3234</v>
      </c>
      <c r="Y66" s="2891">
        <f>'2.6'!I88*1000-SUM(N66:O66,S66,X66)</f>
        <v>0</v>
      </c>
      <c r="Z66" s="1802">
        <v>2058215</v>
      </c>
      <c r="AA66" s="1802">
        <v>5495382</v>
      </c>
      <c r="AB66" s="3593">
        <v>294572</v>
      </c>
      <c r="AC66" s="1808">
        <v>1267978</v>
      </c>
      <c r="AD66" s="3593">
        <v>3932832</v>
      </c>
      <c r="AE66" s="1802">
        <v>4051599</v>
      </c>
      <c r="AF66" s="3593">
        <v>138408</v>
      </c>
      <c r="AG66" s="1803">
        <v>1132050</v>
      </c>
      <c r="AH66" s="3593">
        <v>2711499</v>
      </c>
      <c r="AI66" s="1809">
        <v>69642</v>
      </c>
      <c r="AJ66" s="1810">
        <v>142904</v>
      </c>
      <c r="AK66" s="2891">
        <f>'2.6'!S88*1000-SUM(Z66:AA66,AE66,AJ66)</f>
        <v>900</v>
      </c>
      <c r="AL66" s="323"/>
      <c r="AM66" s="3517"/>
      <c r="AN66" s="3517"/>
      <c r="AO66" s="3517"/>
      <c r="AP66" s="3517"/>
      <c r="AQ66" s="3517"/>
      <c r="AR66" s="3517"/>
      <c r="AS66" s="3517"/>
      <c r="AT66" s="3517"/>
      <c r="AU66" s="3517"/>
      <c r="AV66" s="3517"/>
      <c r="AW66" s="3517"/>
      <c r="AX66" s="3517"/>
    </row>
    <row r="67" spans="1:50">
      <c r="A67" s="1301" t="s">
        <v>490</v>
      </c>
      <c r="B67" s="1803">
        <v>60997</v>
      </c>
      <c r="C67" s="1802">
        <v>304316</v>
      </c>
      <c r="D67" s="3593">
        <v>14571</v>
      </c>
      <c r="E67" s="3593">
        <v>83303</v>
      </c>
      <c r="F67" s="3593">
        <v>206442</v>
      </c>
      <c r="G67" s="1802">
        <v>203006</v>
      </c>
      <c r="H67" s="3593">
        <v>8454</v>
      </c>
      <c r="I67" s="1803">
        <v>53612</v>
      </c>
      <c r="J67" s="3593">
        <v>137110</v>
      </c>
      <c r="K67" s="2895">
        <v>3830</v>
      </c>
      <c r="L67" s="2895">
        <v>1622</v>
      </c>
      <c r="M67" s="2889">
        <f>+'2.6'!D89*1000-SUM(B67:C67,G67,L67)</f>
        <v>0</v>
      </c>
      <c r="N67" s="1802">
        <v>51089</v>
      </c>
      <c r="O67" s="1802">
        <v>80547</v>
      </c>
      <c r="P67" s="3593">
        <v>6067</v>
      </c>
      <c r="Q67" s="1808">
        <v>21254</v>
      </c>
      <c r="R67" s="3593">
        <v>53226</v>
      </c>
      <c r="S67" s="1802">
        <v>65703</v>
      </c>
      <c r="T67" s="3593">
        <v>3969</v>
      </c>
      <c r="U67" s="1803">
        <v>23553</v>
      </c>
      <c r="V67" s="3593">
        <v>38181</v>
      </c>
      <c r="W67" s="1809">
        <v>0</v>
      </c>
      <c r="X67" s="1810">
        <v>3074</v>
      </c>
      <c r="Y67" s="2891">
        <f>'2.6'!I89*1000-SUM(N67:O67,S67,X67)</f>
        <v>0</v>
      </c>
      <c r="Z67" s="1802">
        <v>1991692</v>
      </c>
      <c r="AA67" s="1802">
        <v>5480336</v>
      </c>
      <c r="AB67" s="3593">
        <v>338935</v>
      </c>
      <c r="AC67" s="1808">
        <v>1328385</v>
      </c>
      <c r="AD67" s="3593">
        <v>3813016</v>
      </c>
      <c r="AE67" s="1802">
        <v>4021093</v>
      </c>
      <c r="AF67" s="3593">
        <v>131411</v>
      </c>
      <c r="AG67" s="1803">
        <v>1149235</v>
      </c>
      <c r="AH67" s="3593">
        <v>2662056</v>
      </c>
      <c r="AI67" s="1809">
        <v>78391</v>
      </c>
      <c r="AJ67" s="1810">
        <v>138899</v>
      </c>
      <c r="AK67" s="2891">
        <f>'2.6'!S89*1000-SUM(Z67:AA67,AE67,AJ67)</f>
        <v>9980</v>
      </c>
      <c r="AL67" s="323"/>
      <c r="AM67" s="3517"/>
      <c r="AN67" s="3517"/>
      <c r="AO67" s="3517"/>
      <c r="AP67" s="3517"/>
      <c r="AQ67" s="3517"/>
      <c r="AR67" s="3517"/>
      <c r="AS67" s="3517"/>
      <c r="AT67" s="3517"/>
      <c r="AU67" s="3517"/>
      <c r="AV67" s="3517"/>
      <c r="AW67" s="3517"/>
      <c r="AX67" s="3517"/>
    </row>
    <row r="68" spans="1:50">
      <c r="A68" s="1301" t="s">
        <v>491</v>
      </c>
      <c r="B68" s="1803">
        <v>62056</v>
      </c>
      <c r="C68" s="1802">
        <v>326080</v>
      </c>
      <c r="D68" s="3593">
        <v>14479</v>
      </c>
      <c r="E68" s="3593">
        <v>98664</v>
      </c>
      <c r="F68" s="3593">
        <v>212937</v>
      </c>
      <c r="G68" s="1802">
        <v>181525</v>
      </c>
      <c r="H68" s="3593">
        <v>9174</v>
      </c>
      <c r="I68" s="1803">
        <v>44909</v>
      </c>
      <c r="J68" s="3593">
        <v>126134</v>
      </c>
      <c r="K68" s="2895">
        <v>1308</v>
      </c>
      <c r="L68" s="2895">
        <v>1528</v>
      </c>
      <c r="M68" s="2889">
        <f>+'2.6'!D90*1000-SUM(B68:C68,G68,L68)</f>
        <v>0</v>
      </c>
      <c r="N68" s="1802">
        <v>53311</v>
      </c>
      <c r="O68" s="1802">
        <v>84243</v>
      </c>
      <c r="P68" s="3593">
        <v>8075</v>
      </c>
      <c r="Q68" s="1808">
        <v>21861</v>
      </c>
      <c r="R68" s="3593">
        <v>54307</v>
      </c>
      <c r="S68" s="1802">
        <v>65884</v>
      </c>
      <c r="T68" s="3593">
        <v>1674</v>
      </c>
      <c r="U68" s="1803">
        <v>20792</v>
      </c>
      <c r="V68" s="3593">
        <v>43418</v>
      </c>
      <c r="W68" s="1809">
        <v>0</v>
      </c>
      <c r="X68" s="1810">
        <v>2663</v>
      </c>
      <c r="Y68" s="2891">
        <f>'2.6'!I90*1000-SUM(N68:O68,S68,X68)</f>
        <v>0</v>
      </c>
      <c r="Z68" s="1802">
        <v>1982447</v>
      </c>
      <c r="AA68" s="1802">
        <v>5630359</v>
      </c>
      <c r="AB68" s="3593">
        <v>323529</v>
      </c>
      <c r="AC68" s="1808">
        <v>1381436</v>
      </c>
      <c r="AD68" s="3593">
        <v>3925394</v>
      </c>
      <c r="AE68" s="1802">
        <v>4110281</v>
      </c>
      <c r="AF68" s="3593">
        <v>145197</v>
      </c>
      <c r="AG68" s="1803">
        <v>1147009</v>
      </c>
      <c r="AH68" s="3593">
        <v>2757650</v>
      </c>
      <c r="AI68" s="1809">
        <v>60425</v>
      </c>
      <c r="AJ68" s="1810">
        <v>97492</v>
      </c>
      <c r="AK68" s="2891">
        <f>'2.6'!S90*1000-SUM(Z68:AA68,AE68,AJ68)</f>
        <v>1421</v>
      </c>
      <c r="AL68" s="323"/>
      <c r="AM68" s="3517"/>
      <c r="AN68" s="3517"/>
      <c r="AO68" s="3517"/>
      <c r="AP68" s="3517"/>
      <c r="AQ68" s="3517"/>
      <c r="AR68" s="3517"/>
    </row>
    <row r="69" spans="1:50">
      <c r="A69" s="1301" t="s">
        <v>492</v>
      </c>
      <c r="B69" s="1803">
        <v>68644</v>
      </c>
      <c r="C69" s="1802">
        <v>287232</v>
      </c>
      <c r="D69" s="3593">
        <v>13512</v>
      </c>
      <c r="E69" s="3593">
        <v>82901</v>
      </c>
      <c r="F69" s="3593">
        <v>190819</v>
      </c>
      <c r="G69" s="1802">
        <v>174433</v>
      </c>
      <c r="H69" s="3593">
        <v>7252</v>
      </c>
      <c r="I69" s="1803">
        <v>53409</v>
      </c>
      <c r="J69" s="3593">
        <v>112158</v>
      </c>
      <c r="K69" s="2895">
        <v>1614</v>
      </c>
      <c r="L69" s="2895">
        <v>1599</v>
      </c>
      <c r="M69" s="2889">
        <f>+'2.6'!D91*1000-SUM(B69:C69,G69,L69)</f>
        <v>0</v>
      </c>
      <c r="N69" s="1802">
        <v>57045</v>
      </c>
      <c r="O69" s="1802">
        <v>92858</v>
      </c>
      <c r="P69" s="3593">
        <v>11348</v>
      </c>
      <c r="Q69" s="1808">
        <v>25011</v>
      </c>
      <c r="R69" s="3593">
        <v>56499</v>
      </c>
      <c r="S69" s="1802">
        <v>63259</v>
      </c>
      <c r="T69" s="3593">
        <v>2610</v>
      </c>
      <c r="U69" s="1803">
        <v>19336</v>
      </c>
      <c r="V69" s="3593">
        <v>40965</v>
      </c>
      <c r="W69" s="1809">
        <v>348</v>
      </c>
      <c r="X69" s="1810">
        <v>2667</v>
      </c>
      <c r="Y69" s="2891">
        <f>'2.6'!I91*1000-SUM(N69:O69,S69,X69)</f>
        <v>0</v>
      </c>
      <c r="Z69" s="1802">
        <v>2060328</v>
      </c>
      <c r="AA69" s="1802">
        <v>5396915</v>
      </c>
      <c r="AB69" s="3593">
        <v>323717</v>
      </c>
      <c r="AC69" s="1808">
        <v>1300621</v>
      </c>
      <c r="AD69" s="3593">
        <v>3772577</v>
      </c>
      <c r="AE69" s="1802">
        <v>4196663</v>
      </c>
      <c r="AF69" s="3593">
        <v>135797</v>
      </c>
      <c r="AG69" s="1803">
        <v>1186058</v>
      </c>
      <c r="AH69" s="3593">
        <v>2822083</v>
      </c>
      <c r="AI69" s="1809">
        <v>52725</v>
      </c>
      <c r="AJ69" s="1810">
        <v>138345</v>
      </c>
      <c r="AK69" s="2891">
        <f>'2.6'!S91*1000-SUM(Z69:AA69,AE69,AJ69)</f>
        <v>749</v>
      </c>
      <c r="AL69" s="323"/>
      <c r="AM69" s="3517"/>
      <c r="AN69" s="3517"/>
      <c r="AO69" s="3517"/>
      <c r="AP69" s="3517"/>
      <c r="AQ69" s="3517"/>
      <c r="AR69" s="3517"/>
    </row>
    <row r="70" spans="1:50">
      <c r="A70" s="1301" t="s">
        <v>493</v>
      </c>
      <c r="B70" s="1803">
        <v>67255</v>
      </c>
      <c r="C70" s="1802">
        <v>285117</v>
      </c>
      <c r="D70" s="3593">
        <v>15100</v>
      </c>
      <c r="E70" s="3593">
        <v>88526</v>
      </c>
      <c r="F70" s="3593">
        <v>181491</v>
      </c>
      <c r="G70" s="1802">
        <v>192638</v>
      </c>
      <c r="H70" s="3593">
        <v>5499</v>
      </c>
      <c r="I70" s="1803">
        <v>63544</v>
      </c>
      <c r="J70" s="3593">
        <v>118801</v>
      </c>
      <c r="K70" s="2895">
        <v>4794</v>
      </c>
      <c r="L70" s="2895">
        <v>1959</v>
      </c>
      <c r="M70" s="2889">
        <f>+'2.6'!D92*1000-SUM(B70:C70,G70,L70)</f>
        <v>0</v>
      </c>
      <c r="N70" s="1802">
        <v>58277</v>
      </c>
      <c r="O70" s="1802">
        <v>89564</v>
      </c>
      <c r="P70" s="3593">
        <v>7145</v>
      </c>
      <c r="Q70" s="1808">
        <v>25901</v>
      </c>
      <c r="R70" s="3593">
        <v>56518</v>
      </c>
      <c r="S70" s="1802">
        <v>55230</v>
      </c>
      <c r="T70" s="3593">
        <v>2343</v>
      </c>
      <c r="U70" s="1803">
        <v>20825</v>
      </c>
      <c r="V70" s="3593">
        <v>30524</v>
      </c>
      <c r="W70" s="1809">
        <v>1538</v>
      </c>
      <c r="X70" s="1810">
        <v>1896</v>
      </c>
      <c r="Y70" s="2891">
        <f>'2.6'!I92*1000-SUM(N70:O70,S70,X70)</f>
        <v>0</v>
      </c>
      <c r="Z70" s="1802">
        <v>2061397</v>
      </c>
      <c r="AA70" s="1802">
        <v>5491772</v>
      </c>
      <c r="AB70" s="3593">
        <v>283578</v>
      </c>
      <c r="AC70" s="1808">
        <v>1323767</v>
      </c>
      <c r="AD70" s="3593">
        <v>3884427</v>
      </c>
      <c r="AE70" s="1802">
        <v>4273704</v>
      </c>
      <c r="AF70" s="3593">
        <v>145172</v>
      </c>
      <c r="AG70" s="1803">
        <v>1217733</v>
      </c>
      <c r="AH70" s="3593">
        <v>2841385</v>
      </c>
      <c r="AI70" s="1809">
        <v>69414</v>
      </c>
      <c r="AJ70" s="1810">
        <v>119261</v>
      </c>
      <c r="AK70" s="2891">
        <f>'2.6'!S92*1000-SUM(Z70:AA70,AE70,AJ70)</f>
        <v>866</v>
      </c>
      <c r="AL70" s="323"/>
      <c r="AM70" s="3517"/>
      <c r="AN70" s="3517"/>
      <c r="AO70" s="3517"/>
      <c r="AP70" s="3517"/>
      <c r="AQ70" s="3517"/>
      <c r="AR70" s="3517"/>
    </row>
    <row r="71" spans="1:50">
      <c r="A71" s="1301" t="s">
        <v>494</v>
      </c>
      <c r="B71" s="1803">
        <v>68767</v>
      </c>
      <c r="C71" s="1802">
        <v>294649</v>
      </c>
      <c r="D71" s="3593">
        <v>19195</v>
      </c>
      <c r="E71" s="3593">
        <v>87654</v>
      </c>
      <c r="F71" s="3593">
        <v>187800</v>
      </c>
      <c r="G71" s="1802">
        <v>192737</v>
      </c>
      <c r="H71" s="3593">
        <v>3322</v>
      </c>
      <c r="I71" s="1803">
        <v>58211</v>
      </c>
      <c r="J71" s="3593">
        <v>128515</v>
      </c>
      <c r="K71" s="2895">
        <v>2689</v>
      </c>
      <c r="L71" s="2895">
        <v>2694</v>
      </c>
      <c r="M71" s="2889">
        <f>+'2.6'!D93*1000-SUM(B71:C71,G71,L71)</f>
        <v>0</v>
      </c>
      <c r="N71" s="1802">
        <v>51191</v>
      </c>
      <c r="O71" s="1802">
        <v>86820</v>
      </c>
      <c r="P71" s="3593">
        <v>6588</v>
      </c>
      <c r="Q71" s="1808">
        <v>26984</v>
      </c>
      <c r="R71" s="3593">
        <v>53248</v>
      </c>
      <c r="S71" s="1802">
        <v>60865</v>
      </c>
      <c r="T71" s="3593">
        <v>3579</v>
      </c>
      <c r="U71" s="1803">
        <v>21105</v>
      </c>
      <c r="V71" s="3593">
        <v>35712</v>
      </c>
      <c r="W71" s="1809">
        <v>469</v>
      </c>
      <c r="X71" s="1810">
        <v>3485</v>
      </c>
      <c r="Y71" s="2891">
        <f>'2.6'!I93*1000-SUM(N71:O71,S71,X71)</f>
        <v>0</v>
      </c>
      <c r="Z71" s="1802">
        <v>1990504</v>
      </c>
      <c r="AA71" s="1802">
        <v>5758818</v>
      </c>
      <c r="AB71" s="3593">
        <v>301984</v>
      </c>
      <c r="AC71" s="1808">
        <v>1459933</v>
      </c>
      <c r="AD71" s="3593">
        <v>3996901</v>
      </c>
      <c r="AE71" s="1802">
        <v>4169097</v>
      </c>
      <c r="AF71" s="3593">
        <v>113076</v>
      </c>
      <c r="AG71" s="1803">
        <v>1161182</v>
      </c>
      <c r="AH71" s="3593">
        <v>2818467</v>
      </c>
      <c r="AI71" s="1809">
        <v>76372</v>
      </c>
      <c r="AJ71" s="1810">
        <v>154974</v>
      </c>
      <c r="AK71" s="2891">
        <f>'2.6'!S93*1000-SUM(Z71:AA71,AE71,AJ71)</f>
        <v>-393</v>
      </c>
      <c r="AL71" s="323"/>
      <c r="AM71" s="3517"/>
      <c r="AN71" s="3517"/>
      <c r="AO71" s="3517"/>
      <c r="AP71" s="3517"/>
      <c r="AQ71" s="3517"/>
      <c r="AR71" s="3517"/>
    </row>
    <row r="72" spans="1:50">
      <c r="A72" s="1301" t="s">
        <v>495</v>
      </c>
      <c r="B72" s="1803">
        <v>77802</v>
      </c>
      <c r="C72" s="1802">
        <v>293701</v>
      </c>
      <c r="D72" s="3593">
        <v>12379</v>
      </c>
      <c r="E72" s="3593">
        <v>78413</v>
      </c>
      <c r="F72" s="3593">
        <v>202909</v>
      </c>
      <c r="G72" s="1802">
        <v>178853</v>
      </c>
      <c r="H72" s="3593">
        <v>7028</v>
      </c>
      <c r="I72" s="1803">
        <v>54301</v>
      </c>
      <c r="J72" s="3593">
        <v>116410</v>
      </c>
      <c r="K72" s="2895">
        <v>1114</v>
      </c>
      <c r="L72" s="2895">
        <v>4972</v>
      </c>
      <c r="M72" s="2889">
        <f>+'2.6'!D94*1000-SUM(B72:C72,G72,L72)</f>
        <v>0</v>
      </c>
      <c r="N72" s="1802">
        <v>56535</v>
      </c>
      <c r="O72" s="1802">
        <v>85782</v>
      </c>
      <c r="P72" s="3593">
        <v>5414</v>
      </c>
      <c r="Q72" s="1808">
        <v>28674</v>
      </c>
      <c r="R72" s="3593">
        <v>51694</v>
      </c>
      <c r="S72" s="1802">
        <v>66823</v>
      </c>
      <c r="T72" s="3593">
        <v>2124</v>
      </c>
      <c r="U72" s="1803">
        <v>23901</v>
      </c>
      <c r="V72" s="3593">
        <v>40798</v>
      </c>
      <c r="W72" s="1809">
        <v>0</v>
      </c>
      <c r="X72" s="1810">
        <v>3514</v>
      </c>
      <c r="Y72" s="2891">
        <f>'2.6'!I94*1000-SUM(N72:O72,S72,X72)</f>
        <v>0</v>
      </c>
      <c r="Z72" s="1802">
        <v>1974458</v>
      </c>
      <c r="AA72" s="1802">
        <v>5608468</v>
      </c>
      <c r="AB72" s="3593">
        <v>346709</v>
      </c>
      <c r="AC72" s="1808">
        <v>1473065</v>
      </c>
      <c r="AD72" s="3593">
        <v>3788694</v>
      </c>
      <c r="AE72" s="1802">
        <v>4200196</v>
      </c>
      <c r="AF72" s="3593">
        <v>122840</v>
      </c>
      <c r="AG72" s="1803">
        <v>1252054</v>
      </c>
      <c r="AH72" s="3593">
        <v>2757719</v>
      </c>
      <c r="AI72" s="1809">
        <v>67583</v>
      </c>
      <c r="AJ72" s="1810">
        <v>139388</v>
      </c>
      <c r="AK72" s="2891">
        <f>'2.6'!S94*1000-SUM(Z72:AA72,AE72,AJ72)</f>
        <v>11490</v>
      </c>
      <c r="AL72" s="323"/>
      <c r="AM72" s="3517"/>
      <c r="AN72" s="3517"/>
      <c r="AO72" s="3517"/>
      <c r="AP72" s="3517"/>
      <c r="AQ72" s="3517"/>
      <c r="AR72" s="3517"/>
    </row>
    <row r="73" spans="1:50">
      <c r="A73" s="1301" t="s">
        <v>496</v>
      </c>
      <c r="B73" s="1803">
        <v>65900</v>
      </c>
      <c r="C73" s="1802">
        <v>292276</v>
      </c>
      <c r="D73" s="3593">
        <v>9107</v>
      </c>
      <c r="E73" s="3593">
        <v>81472</v>
      </c>
      <c r="F73" s="3593">
        <v>201697</v>
      </c>
      <c r="G73" s="1802">
        <v>191494</v>
      </c>
      <c r="H73" s="3593">
        <v>8065</v>
      </c>
      <c r="I73" s="1803">
        <v>65993</v>
      </c>
      <c r="J73" s="3593">
        <v>114785</v>
      </c>
      <c r="K73" s="2895">
        <v>2651</v>
      </c>
      <c r="L73" s="2895">
        <v>5985</v>
      </c>
      <c r="M73" s="2889">
        <f>+'2.6'!D95*1000-SUM(B73:C73,G73,L73)</f>
        <v>0</v>
      </c>
      <c r="N73" s="1802">
        <v>62113</v>
      </c>
      <c r="O73" s="1802">
        <v>87960</v>
      </c>
      <c r="P73" s="3593">
        <v>4385</v>
      </c>
      <c r="Q73" s="1808">
        <v>25283</v>
      </c>
      <c r="R73" s="3593">
        <v>58292</v>
      </c>
      <c r="S73" s="1802">
        <v>66726</v>
      </c>
      <c r="T73" s="3593">
        <v>4043</v>
      </c>
      <c r="U73" s="1803">
        <v>20141</v>
      </c>
      <c r="V73" s="3593">
        <v>41844</v>
      </c>
      <c r="W73" s="1809">
        <v>698</v>
      </c>
      <c r="X73" s="1810">
        <v>2835</v>
      </c>
      <c r="Y73" s="2891">
        <f>'2.6'!I95*1000-SUM(N73:O73,S73,X73)</f>
        <v>0</v>
      </c>
      <c r="Z73" s="1802">
        <v>2104211</v>
      </c>
      <c r="AA73" s="1802">
        <v>5527534</v>
      </c>
      <c r="AB73" s="3593">
        <v>352044</v>
      </c>
      <c r="AC73" s="1808">
        <v>1446393</v>
      </c>
      <c r="AD73" s="3593">
        <v>3729097</v>
      </c>
      <c r="AE73" s="1802">
        <v>4459055</v>
      </c>
      <c r="AF73" s="3593">
        <v>157254</v>
      </c>
      <c r="AG73" s="1803">
        <v>1328529</v>
      </c>
      <c r="AH73" s="3593">
        <v>2905301</v>
      </c>
      <c r="AI73" s="1809">
        <v>67971</v>
      </c>
      <c r="AJ73" s="1810">
        <v>140801</v>
      </c>
      <c r="AK73" s="2891">
        <f>'2.6'!S95*1000-SUM(Z73:AA73,AE73,AJ73)</f>
        <v>8399</v>
      </c>
      <c r="AL73" s="323"/>
      <c r="AM73" s="3517"/>
      <c r="AN73" s="3517"/>
      <c r="AO73" s="3517"/>
      <c r="AP73" s="3517"/>
      <c r="AQ73" s="3517"/>
      <c r="AR73" s="3517"/>
    </row>
    <row r="74" spans="1:50">
      <c r="A74" s="1301" t="s">
        <v>497</v>
      </c>
      <c r="B74" s="1803">
        <v>67304</v>
      </c>
      <c r="C74" s="1802">
        <v>280810</v>
      </c>
      <c r="D74" s="3593">
        <v>12444</v>
      </c>
      <c r="E74" s="3593">
        <v>92673</v>
      </c>
      <c r="F74" s="3593">
        <v>175693</v>
      </c>
      <c r="G74" s="1802">
        <v>202100</v>
      </c>
      <c r="H74" s="3593">
        <v>6371</v>
      </c>
      <c r="I74" s="1803">
        <v>64749</v>
      </c>
      <c r="J74" s="3593">
        <v>129182</v>
      </c>
      <c r="K74" s="2895">
        <v>1798</v>
      </c>
      <c r="L74" s="2895">
        <v>3180</v>
      </c>
      <c r="M74" s="2889">
        <f>+'2.6'!D96*1000-SUM(B74:C74,G74,L74)</f>
        <v>0</v>
      </c>
      <c r="N74" s="1802">
        <v>53270</v>
      </c>
      <c r="O74" s="1802">
        <v>94997</v>
      </c>
      <c r="P74" s="3593">
        <v>3851</v>
      </c>
      <c r="Q74" s="1808">
        <v>28247</v>
      </c>
      <c r="R74" s="3593">
        <v>62899</v>
      </c>
      <c r="S74" s="1802">
        <v>61185</v>
      </c>
      <c r="T74" s="3593">
        <v>3914</v>
      </c>
      <c r="U74" s="1803">
        <v>17696</v>
      </c>
      <c r="V74" s="3593">
        <v>39223</v>
      </c>
      <c r="W74" s="1809">
        <v>352</v>
      </c>
      <c r="X74" s="1810">
        <v>4196</v>
      </c>
      <c r="Y74" s="2891">
        <f>'2.6'!I96*1000-SUM(N74:O74,S74,X74)</f>
        <v>0</v>
      </c>
      <c r="Z74" s="1802">
        <v>2112575</v>
      </c>
      <c r="AA74" s="1802">
        <v>5414443</v>
      </c>
      <c r="AB74" s="3593">
        <v>321520</v>
      </c>
      <c r="AC74" s="1808">
        <v>1399790</v>
      </c>
      <c r="AD74" s="3593">
        <v>3693133</v>
      </c>
      <c r="AE74" s="1802">
        <v>4330966</v>
      </c>
      <c r="AF74" s="3593">
        <v>101599</v>
      </c>
      <c r="AG74" s="1803">
        <v>1282908</v>
      </c>
      <c r="AH74" s="3593">
        <v>2866650</v>
      </c>
      <c r="AI74" s="1809">
        <v>79809</v>
      </c>
      <c r="AJ74" s="1810">
        <v>177132</v>
      </c>
      <c r="AK74" s="2891">
        <f>'2.6'!S96*1000-SUM(Z74:AA74,AE74,AJ74)</f>
        <v>9884</v>
      </c>
      <c r="AL74" s="323"/>
      <c r="AM74" s="3517"/>
      <c r="AN74" s="3517"/>
      <c r="AO74" s="3517"/>
      <c r="AP74" s="3517"/>
      <c r="AQ74" s="3517"/>
      <c r="AR74" s="3517"/>
    </row>
    <row r="75" spans="1:50">
      <c r="A75" s="1301" t="s">
        <v>498</v>
      </c>
      <c r="B75" s="1803">
        <v>70755</v>
      </c>
      <c r="C75" s="1802">
        <v>256914</v>
      </c>
      <c r="D75" s="3593">
        <v>13022</v>
      </c>
      <c r="E75" s="3593">
        <v>54467</v>
      </c>
      <c r="F75" s="3593">
        <v>189425</v>
      </c>
      <c r="G75" s="1802">
        <v>137864</v>
      </c>
      <c r="H75" s="3593">
        <v>9555</v>
      </c>
      <c r="I75" s="1803">
        <v>47073</v>
      </c>
      <c r="J75" s="3593">
        <v>79054</v>
      </c>
      <c r="K75" s="2895">
        <v>2182</v>
      </c>
      <c r="L75" s="2895">
        <v>1525</v>
      </c>
      <c r="M75" s="2889">
        <f>+'2.6'!D97*1000-SUM(B75:C75,G75,L75)</f>
        <v>0</v>
      </c>
      <c r="N75" s="1802">
        <v>48455</v>
      </c>
      <c r="O75" s="1802">
        <v>76449</v>
      </c>
      <c r="P75" s="3593">
        <v>2474</v>
      </c>
      <c r="Q75" s="1808">
        <v>17607</v>
      </c>
      <c r="R75" s="3593">
        <v>56368</v>
      </c>
      <c r="S75" s="1802">
        <v>33184</v>
      </c>
      <c r="T75" s="3593">
        <v>1757</v>
      </c>
      <c r="U75" s="1803">
        <v>14855</v>
      </c>
      <c r="V75" s="3593">
        <v>16572</v>
      </c>
      <c r="W75" s="1809">
        <v>0</v>
      </c>
      <c r="X75" s="1810">
        <v>4445</v>
      </c>
      <c r="Y75" s="2891">
        <f>'2.6'!I97*1000-SUM(N75:O75,S75,X75)</f>
        <v>0</v>
      </c>
      <c r="Z75" s="1802">
        <v>2094825</v>
      </c>
      <c r="AA75" s="1802">
        <v>4683002</v>
      </c>
      <c r="AB75" s="3593">
        <v>173819</v>
      </c>
      <c r="AC75" s="1808">
        <v>901997</v>
      </c>
      <c r="AD75" s="3593">
        <v>3607186</v>
      </c>
      <c r="AE75" s="1802">
        <v>2632686</v>
      </c>
      <c r="AF75" s="3593">
        <v>68745</v>
      </c>
      <c r="AG75" s="1803">
        <v>991294</v>
      </c>
      <c r="AH75" s="3593">
        <v>1509725</v>
      </c>
      <c r="AI75" s="1809">
        <v>62922</v>
      </c>
      <c r="AJ75" s="1810">
        <v>133471</v>
      </c>
      <c r="AK75" s="2891">
        <f>'2.6'!S97*1000-SUM(Z75:AA75,AE75,AJ75)</f>
        <v>2016</v>
      </c>
      <c r="AL75" s="323"/>
      <c r="AM75" s="3517"/>
      <c r="AN75" s="3517"/>
      <c r="AO75" s="3517"/>
      <c r="AP75" s="3517"/>
      <c r="AQ75" s="3517"/>
      <c r="AR75" s="3517"/>
    </row>
    <row r="76" spans="1:50">
      <c r="A76" s="1301" t="s">
        <v>499</v>
      </c>
      <c r="B76" s="1803">
        <v>72930</v>
      </c>
      <c r="C76" s="1802">
        <v>306755</v>
      </c>
      <c r="D76" s="3593">
        <v>10960</v>
      </c>
      <c r="E76" s="3593">
        <v>98733</v>
      </c>
      <c r="F76" s="3593">
        <v>197062</v>
      </c>
      <c r="G76" s="1802">
        <v>163457</v>
      </c>
      <c r="H76" s="3593">
        <v>6919</v>
      </c>
      <c r="I76" s="1803">
        <v>67438</v>
      </c>
      <c r="J76" s="3593">
        <v>82945</v>
      </c>
      <c r="K76" s="2895">
        <v>6155</v>
      </c>
      <c r="L76" s="2895">
        <v>3831</v>
      </c>
      <c r="M76" s="2889">
        <f>+'2.6'!D98*1000-SUM(B76:C76,G76,L76)</f>
        <v>0</v>
      </c>
      <c r="N76" s="1802">
        <v>49068</v>
      </c>
      <c r="O76" s="1802">
        <v>81448</v>
      </c>
      <c r="P76" s="3593">
        <v>3101</v>
      </c>
      <c r="Q76" s="1808">
        <v>33608</v>
      </c>
      <c r="R76" s="3593">
        <v>44739</v>
      </c>
      <c r="S76" s="1802">
        <v>75790</v>
      </c>
      <c r="T76" s="3593">
        <v>2909</v>
      </c>
      <c r="U76" s="1803">
        <v>32089</v>
      </c>
      <c r="V76" s="3593">
        <v>39747</v>
      </c>
      <c r="W76" s="1809">
        <v>1045</v>
      </c>
      <c r="X76" s="1810">
        <v>5853</v>
      </c>
      <c r="Y76" s="2891">
        <f>'2.6'!I98*1000-SUM(N76:O76,S76,X76)</f>
        <v>0</v>
      </c>
      <c r="Z76" s="1802">
        <v>2145244</v>
      </c>
      <c r="AA76" s="1802">
        <v>4906114</v>
      </c>
      <c r="AB76" s="3593">
        <v>194018</v>
      </c>
      <c r="AC76" s="1808">
        <v>1274659</v>
      </c>
      <c r="AD76" s="3593">
        <v>3437437</v>
      </c>
      <c r="AE76" s="1802">
        <v>3479652</v>
      </c>
      <c r="AF76" s="3593">
        <v>122151</v>
      </c>
      <c r="AG76" s="1803">
        <v>1365753</v>
      </c>
      <c r="AH76" s="3593">
        <v>1927496</v>
      </c>
      <c r="AI76" s="1809">
        <v>64252</v>
      </c>
      <c r="AJ76" s="1810">
        <v>112420</v>
      </c>
      <c r="AK76" s="2891">
        <f>'2.6'!S98*1000-SUM(Z76:AA76,AE76,AJ76)</f>
        <v>14570</v>
      </c>
      <c r="AL76" s="323"/>
      <c r="AM76" s="3517"/>
      <c r="AN76" s="3517"/>
      <c r="AO76" s="3517"/>
      <c r="AP76" s="3517"/>
      <c r="AQ76" s="3517"/>
      <c r="AR76" s="3517"/>
    </row>
    <row r="77" spans="1:50">
      <c r="A77" s="1301" t="s">
        <v>500</v>
      </c>
      <c r="B77" s="1803">
        <v>66714</v>
      </c>
      <c r="C77" s="1802">
        <v>287002</v>
      </c>
      <c r="D77" s="3593">
        <v>7916</v>
      </c>
      <c r="E77" s="3593">
        <v>94770</v>
      </c>
      <c r="F77" s="3593">
        <v>184316</v>
      </c>
      <c r="G77" s="1802">
        <v>180020</v>
      </c>
      <c r="H77" s="3593">
        <v>6792</v>
      </c>
      <c r="I77" s="1803">
        <v>75625</v>
      </c>
      <c r="J77" s="3593">
        <v>96318</v>
      </c>
      <c r="K77" s="2895">
        <v>1285</v>
      </c>
      <c r="L77" s="2895">
        <v>674</v>
      </c>
      <c r="M77" s="2889">
        <f>+'2.6'!D99*1000-SUM(B77:C77,G77,L77)</f>
        <v>0</v>
      </c>
      <c r="N77" s="1802">
        <v>53828</v>
      </c>
      <c r="O77" s="1802">
        <v>88796</v>
      </c>
      <c r="P77" s="3593">
        <v>3270</v>
      </c>
      <c r="Q77" s="1808">
        <v>31162</v>
      </c>
      <c r="R77" s="3593">
        <v>54364</v>
      </c>
      <c r="S77" s="1802">
        <v>74809</v>
      </c>
      <c r="T77" s="3593">
        <v>2911</v>
      </c>
      <c r="U77" s="1803">
        <v>26026</v>
      </c>
      <c r="V77" s="3593">
        <v>45872</v>
      </c>
      <c r="W77" s="1809">
        <v>0</v>
      </c>
      <c r="X77" s="1810">
        <v>4309</v>
      </c>
      <c r="Y77" s="2891">
        <f>'2.6'!I99*1000-SUM(N77:O77,S77,X77)</f>
        <v>0</v>
      </c>
      <c r="Z77" s="1802">
        <v>2129788</v>
      </c>
      <c r="AA77" s="1802">
        <v>5063791</v>
      </c>
      <c r="AB77" s="3593">
        <v>200706</v>
      </c>
      <c r="AC77" s="1808">
        <v>1347692</v>
      </c>
      <c r="AD77" s="3593">
        <v>3515393</v>
      </c>
      <c r="AE77" s="1802">
        <v>4220687</v>
      </c>
      <c r="AF77" s="3593">
        <v>94138</v>
      </c>
      <c r="AG77" s="1803">
        <v>1687914</v>
      </c>
      <c r="AH77" s="3593">
        <v>2374023</v>
      </c>
      <c r="AI77" s="1809">
        <v>64612</v>
      </c>
      <c r="AJ77" s="1810">
        <v>105637</v>
      </c>
      <c r="AK77" s="2891">
        <f>'2.6'!S99*1000-SUM(Z77:AA77,AE77,AJ77)</f>
        <v>4097</v>
      </c>
      <c r="AL77" s="323"/>
      <c r="AM77" s="3517"/>
      <c r="AN77" s="3517"/>
      <c r="AO77" s="3517"/>
      <c r="AP77" s="3517"/>
      <c r="AQ77" s="3517"/>
      <c r="AR77" s="3517"/>
    </row>
    <row r="78" spans="1:50">
      <c r="A78" s="1301" t="s">
        <v>501</v>
      </c>
      <c r="B78" s="1803">
        <v>75119</v>
      </c>
      <c r="C78" s="1802">
        <v>300125</v>
      </c>
      <c r="D78" s="3593">
        <v>11046</v>
      </c>
      <c r="E78" s="3593">
        <v>90923</v>
      </c>
      <c r="F78" s="3593">
        <v>198156</v>
      </c>
      <c r="G78" s="1802">
        <v>206268</v>
      </c>
      <c r="H78" s="3593">
        <v>10333</v>
      </c>
      <c r="I78" s="1803">
        <v>66415</v>
      </c>
      <c r="J78" s="3593">
        <v>126205</v>
      </c>
      <c r="K78" s="2895">
        <v>3315</v>
      </c>
      <c r="L78" s="2895">
        <v>1984</v>
      </c>
      <c r="M78" s="2889">
        <f>+'2.6'!D100*1000-SUM(B78:C78,G78,L78)</f>
        <v>0</v>
      </c>
      <c r="N78" s="1802">
        <v>49391</v>
      </c>
      <c r="O78" s="1802">
        <v>96617</v>
      </c>
      <c r="P78" s="3593">
        <v>7616</v>
      </c>
      <c r="Q78" s="1808">
        <v>28592</v>
      </c>
      <c r="R78" s="3593">
        <v>60409</v>
      </c>
      <c r="S78" s="1802">
        <v>74937</v>
      </c>
      <c r="T78" s="3593">
        <v>4161</v>
      </c>
      <c r="U78" s="1803">
        <v>26930</v>
      </c>
      <c r="V78" s="3593">
        <v>43527</v>
      </c>
      <c r="W78" s="1809">
        <v>319</v>
      </c>
      <c r="X78" s="1810">
        <v>4577</v>
      </c>
      <c r="Y78" s="2891">
        <f>'2.6'!I100*1000-SUM(N78:O78,S78,X78)</f>
        <v>0</v>
      </c>
      <c r="Z78" s="1802">
        <v>2291812</v>
      </c>
      <c r="AA78" s="1802">
        <v>5335375</v>
      </c>
      <c r="AB78" s="3593">
        <v>243827</v>
      </c>
      <c r="AC78" s="1808">
        <v>1421828</v>
      </c>
      <c r="AD78" s="3593">
        <v>3669720</v>
      </c>
      <c r="AE78" s="1802">
        <v>4211838</v>
      </c>
      <c r="AF78" s="3593">
        <v>123356</v>
      </c>
      <c r="AG78" s="1803">
        <v>1496252</v>
      </c>
      <c r="AH78" s="3593">
        <v>2504588</v>
      </c>
      <c r="AI78" s="1809">
        <v>87642</v>
      </c>
      <c r="AJ78" s="1810">
        <v>138074</v>
      </c>
      <c r="AK78" s="2891">
        <f>'2.6'!S100*1000-SUM(Z78:AA78,AE78,AJ78)</f>
        <v>4901</v>
      </c>
      <c r="AL78" s="323"/>
      <c r="AM78" s="3517"/>
      <c r="AN78" s="3517"/>
      <c r="AO78" s="3517"/>
      <c r="AP78" s="3517"/>
      <c r="AQ78" s="3517"/>
      <c r="AR78" s="3517"/>
    </row>
    <row r="79" spans="1:50">
      <c r="A79" s="1301" t="s">
        <v>502</v>
      </c>
      <c r="B79" s="1803">
        <v>70535</v>
      </c>
      <c r="C79" s="1802">
        <v>318876</v>
      </c>
      <c r="D79" s="3593">
        <v>15012</v>
      </c>
      <c r="E79" s="3593">
        <v>91156</v>
      </c>
      <c r="F79" s="3593">
        <v>212708</v>
      </c>
      <c r="G79" s="1802">
        <v>188803</v>
      </c>
      <c r="H79" s="3593">
        <v>8771</v>
      </c>
      <c r="I79" s="1803">
        <v>60332</v>
      </c>
      <c r="J79" s="3593">
        <v>117773</v>
      </c>
      <c r="K79" s="2895">
        <v>1927</v>
      </c>
      <c r="L79" s="2895">
        <v>7007</v>
      </c>
      <c r="M79" s="2889">
        <f>+'2.6'!D101*1000-SUM(B79:C79,G79,L79)</f>
        <v>0</v>
      </c>
      <c r="N79" s="1802">
        <v>49029</v>
      </c>
      <c r="O79" s="1802">
        <v>88033</v>
      </c>
      <c r="P79" s="3593">
        <v>6993</v>
      </c>
      <c r="Q79" s="1808">
        <v>25314</v>
      </c>
      <c r="R79" s="3593">
        <v>55726</v>
      </c>
      <c r="S79" s="1802">
        <v>83357</v>
      </c>
      <c r="T79" s="3593">
        <v>3380</v>
      </c>
      <c r="U79" s="1803">
        <v>37358</v>
      </c>
      <c r="V79" s="3593">
        <v>41127</v>
      </c>
      <c r="W79" s="1809">
        <v>1492</v>
      </c>
      <c r="X79" s="1810">
        <v>4194</v>
      </c>
      <c r="Y79" s="2891">
        <f>'2.6'!I101*1000-SUM(N79:O79,S79,X79)</f>
        <v>0</v>
      </c>
      <c r="Z79" s="1802">
        <v>2425281</v>
      </c>
      <c r="AA79" s="1802">
        <v>5472754</v>
      </c>
      <c r="AB79" s="3593">
        <v>274677</v>
      </c>
      <c r="AC79" s="1808">
        <v>1485304</v>
      </c>
      <c r="AD79" s="3593">
        <v>3712773</v>
      </c>
      <c r="AE79" s="1802">
        <v>3883352</v>
      </c>
      <c r="AF79" s="3593">
        <v>159089</v>
      </c>
      <c r="AG79" s="1803">
        <v>1295653</v>
      </c>
      <c r="AH79" s="3593">
        <v>2373733</v>
      </c>
      <c r="AI79" s="1809">
        <v>54877</v>
      </c>
      <c r="AJ79" s="1810">
        <v>192395</v>
      </c>
      <c r="AK79" s="2891">
        <f>'2.6'!S101*1000-SUM(Z79:AA79,AE79,AJ79)</f>
        <v>7218</v>
      </c>
      <c r="AL79" s="323"/>
      <c r="AM79" s="3517"/>
      <c r="AN79" s="3517"/>
      <c r="AO79" s="3517"/>
      <c r="AP79" s="3517"/>
      <c r="AQ79" s="3517"/>
      <c r="AR79" s="3517"/>
    </row>
    <row r="80" spans="1:50">
      <c r="A80" s="1301" t="s">
        <v>503</v>
      </c>
      <c r="B80" s="1803">
        <v>73632</v>
      </c>
      <c r="C80" s="1802">
        <v>327007</v>
      </c>
      <c r="D80" s="3593">
        <v>14037</v>
      </c>
      <c r="E80" s="3593">
        <v>103631</v>
      </c>
      <c r="F80" s="3593">
        <v>209339</v>
      </c>
      <c r="G80" s="1802">
        <v>205667</v>
      </c>
      <c r="H80" s="3593">
        <v>11920</v>
      </c>
      <c r="I80" s="1803">
        <v>52088</v>
      </c>
      <c r="J80" s="3593">
        <v>140866</v>
      </c>
      <c r="K80" s="2895">
        <v>793</v>
      </c>
      <c r="L80" s="2895">
        <v>5380</v>
      </c>
      <c r="M80" s="2889">
        <f>+'2.6'!D102*1000-SUM(B80:C80,G80,L80)</f>
        <v>0</v>
      </c>
      <c r="N80" s="1802">
        <v>54484</v>
      </c>
      <c r="O80" s="1802">
        <v>96158</v>
      </c>
      <c r="P80" s="3593">
        <v>7673</v>
      </c>
      <c r="Q80" s="1808">
        <v>32077</v>
      </c>
      <c r="R80" s="3593">
        <v>56408</v>
      </c>
      <c r="S80" s="1802">
        <v>78522</v>
      </c>
      <c r="T80" s="3593">
        <v>3583</v>
      </c>
      <c r="U80" s="1803">
        <v>35643</v>
      </c>
      <c r="V80" s="3593">
        <v>39296</v>
      </c>
      <c r="W80" s="1809">
        <v>0</v>
      </c>
      <c r="X80" s="1810">
        <v>2565</v>
      </c>
      <c r="Y80" s="2891">
        <f>'2.6'!I102*1000-SUM(N80:O80,S80,X80)</f>
        <v>0</v>
      </c>
      <c r="Z80" s="1802">
        <v>2441282</v>
      </c>
      <c r="AA80" s="1802">
        <v>5515827</v>
      </c>
      <c r="AB80" s="3593">
        <v>329901</v>
      </c>
      <c r="AC80" s="1808">
        <v>1493778</v>
      </c>
      <c r="AD80" s="3593">
        <v>3692148</v>
      </c>
      <c r="AE80" s="1802">
        <v>4245056</v>
      </c>
      <c r="AF80" s="3593">
        <v>157771</v>
      </c>
      <c r="AG80" s="1803">
        <v>1394714</v>
      </c>
      <c r="AH80" s="3593">
        <v>2609601</v>
      </c>
      <c r="AI80" s="1809">
        <v>82970</v>
      </c>
      <c r="AJ80" s="1810">
        <v>195164</v>
      </c>
      <c r="AK80" s="2891">
        <f>'2.6'!S102*1000-SUM(Z80:AA80,AE80,AJ80)</f>
        <v>6671</v>
      </c>
      <c r="AL80" s="323"/>
      <c r="AM80" s="3517"/>
      <c r="AN80" s="3517"/>
      <c r="AO80" s="3517"/>
      <c r="AP80" s="3517"/>
      <c r="AQ80" s="3517"/>
      <c r="AR80" s="3517"/>
    </row>
    <row r="81" spans="1:44">
      <c r="A81" s="1301" t="s">
        <v>504</v>
      </c>
      <c r="B81" s="1803">
        <v>71538</v>
      </c>
      <c r="C81" s="1802">
        <v>348079</v>
      </c>
      <c r="D81" s="3593">
        <v>12639</v>
      </c>
      <c r="E81" s="3593">
        <v>94860</v>
      </c>
      <c r="F81" s="3593">
        <v>240580</v>
      </c>
      <c r="G81" s="1802">
        <v>185900</v>
      </c>
      <c r="H81" s="3593">
        <v>9686</v>
      </c>
      <c r="I81" s="1803">
        <v>56038</v>
      </c>
      <c r="J81" s="3593">
        <v>117785</v>
      </c>
      <c r="K81" s="2895">
        <v>2391</v>
      </c>
      <c r="L81" s="2895">
        <v>8358</v>
      </c>
      <c r="M81" s="2889">
        <f>+'2.6'!D103*1000-SUM(B81:C81,G81,L81)</f>
        <v>0</v>
      </c>
      <c r="N81" s="1802">
        <v>58759</v>
      </c>
      <c r="O81" s="1802">
        <v>91528</v>
      </c>
      <c r="P81" s="3593">
        <v>9860</v>
      </c>
      <c r="Q81" s="1808">
        <v>25576</v>
      </c>
      <c r="R81" s="3593">
        <v>56092</v>
      </c>
      <c r="S81" s="1802">
        <v>73120</v>
      </c>
      <c r="T81" s="3593">
        <v>4236</v>
      </c>
      <c r="U81" s="1803">
        <v>29560</v>
      </c>
      <c r="V81" s="3593">
        <v>38185</v>
      </c>
      <c r="W81" s="1809">
        <v>1139</v>
      </c>
      <c r="X81" s="1810">
        <v>6462</v>
      </c>
      <c r="Y81" s="2891">
        <f>'2.6'!I103*1000-SUM(N81:O81,S81,X81)</f>
        <v>0</v>
      </c>
      <c r="Z81" s="1802">
        <v>2295216</v>
      </c>
      <c r="AA81" s="1802">
        <v>5809245</v>
      </c>
      <c r="AB81" s="3593">
        <v>331118</v>
      </c>
      <c r="AC81" s="1808">
        <v>1492079</v>
      </c>
      <c r="AD81" s="3593">
        <v>3986048</v>
      </c>
      <c r="AE81" s="1802">
        <v>4328895</v>
      </c>
      <c r="AF81" s="3593">
        <v>115466</v>
      </c>
      <c r="AG81" s="1803">
        <v>1407967</v>
      </c>
      <c r="AH81" s="3593">
        <v>2750175</v>
      </c>
      <c r="AI81" s="1809">
        <v>55287</v>
      </c>
      <c r="AJ81" s="1810">
        <v>201004</v>
      </c>
      <c r="AK81" s="2891">
        <f>'2.6'!S103*1000-SUM(Z81:AA81,AE81,AJ81)</f>
        <v>9640</v>
      </c>
      <c r="AL81" s="323"/>
      <c r="AM81" s="3517"/>
      <c r="AN81" s="3517"/>
      <c r="AO81" s="3517"/>
      <c r="AP81" s="3517"/>
      <c r="AQ81" s="3517"/>
      <c r="AR81" s="3517"/>
    </row>
    <row r="82" spans="1:44">
      <c r="A82" s="1301" t="s">
        <v>505</v>
      </c>
      <c r="B82" s="1803">
        <v>79132</v>
      </c>
      <c r="C82" s="1802">
        <v>333690</v>
      </c>
      <c r="D82" s="3593">
        <v>10219</v>
      </c>
      <c r="E82" s="3593">
        <v>102997</v>
      </c>
      <c r="F82" s="3593">
        <v>220474</v>
      </c>
      <c r="G82" s="1802">
        <v>205218</v>
      </c>
      <c r="H82" s="3593">
        <v>6709</v>
      </c>
      <c r="I82" s="1803">
        <v>52576</v>
      </c>
      <c r="J82" s="3593">
        <v>143955</v>
      </c>
      <c r="K82" s="2895">
        <v>1978</v>
      </c>
      <c r="L82" s="2895">
        <v>2244</v>
      </c>
      <c r="M82" s="2889">
        <f>+'2.6'!D104*1000-SUM(B82:C82,G82,L82)</f>
        <v>0</v>
      </c>
      <c r="N82" s="1802">
        <v>51099</v>
      </c>
      <c r="O82" s="1802">
        <v>95906</v>
      </c>
      <c r="P82" s="3593">
        <v>4864</v>
      </c>
      <c r="Q82" s="1808">
        <v>30230</v>
      </c>
      <c r="R82" s="3593">
        <v>60812</v>
      </c>
      <c r="S82" s="1802">
        <v>76726</v>
      </c>
      <c r="T82" s="3593">
        <v>1624</v>
      </c>
      <c r="U82" s="1803">
        <v>35854</v>
      </c>
      <c r="V82" s="3593">
        <v>39248</v>
      </c>
      <c r="W82" s="1809">
        <v>0</v>
      </c>
      <c r="X82" s="1810">
        <v>6655</v>
      </c>
      <c r="Y82" s="2891">
        <f>'2.6'!I104*1000-SUM(N82:O82,S82,X82)</f>
        <v>0</v>
      </c>
      <c r="Z82" s="1802">
        <v>2187192</v>
      </c>
      <c r="AA82" s="1802">
        <v>5548517</v>
      </c>
      <c r="AB82" s="3593">
        <v>249262</v>
      </c>
      <c r="AC82" s="1808">
        <v>1406774</v>
      </c>
      <c r="AD82" s="3593">
        <v>3892481</v>
      </c>
      <c r="AE82" s="1802">
        <v>4640146</v>
      </c>
      <c r="AF82" s="3593">
        <v>128235</v>
      </c>
      <c r="AG82" s="1803">
        <v>1494923</v>
      </c>
      <c r="AH82" s="3593">
        <v>2960203</v>
      </c>
      <c r="AI82" s="1809">
        <v>56785</v>
      </c>
      <c r="AJ82" s="1810">
        <v>205903</v>
      </c>
      <c r="AK82" s="2891">
        <f>'2.6'!S104*1000-SUM(Z82:AA82,AE82,AJ82)</f>
        <v>2242</v>
      </c>
      <c r="AL82" s="323"/>
      <c r="AM82" s="3517"/>
      <c r="AN82" s="3517"/>
      <c r="AO82" s="3517"/>
      <c r="AP82" s="3517"/>
      <c r="AQ82" s="3517"/>
      <c r="AR82" s="3517"/>
    </row>
    <row r="83" spans="1:44">
      <c r="A83" s="1301" t="s">
        <v>506</v>
      </c>
      <c r="B83" s="1803">
        <v>86477</v>
      </c>
      <c r="C83" s="1802">
        <v>342148</v>
      </c>
      <c r="D83" s="3593">
        <v>18710</v>
      </c>
      <c r="E83" s="3593">
        <v>101062</v>
      </c>
      <c r="F83" s="3593">
        <v>222376</v>
      </c>
      <c r="G83" s="1802">
        <v>213262</v>
      </c>
      <c r="H83" s="3593">
        <v>4271</v>
      </c>
      <c r="I83" s="1803">
        <v>55472</v>
      </c>
      <c r="J83" s="3593">
        <v>152996</v>
      </c>
      <c r="K83" s="2895">
        <v>523</v>
      </c>
      <c r="L83" s="2895">
        <v>5815</v>
      </c>
      <c r="M83" s="2889">
        <f>+'2.6'!D105*1000-SUM(B83:C83,G83,L83)</f>
        <v>0</v>
      </c>
      <c r="N83" s="1802">
        <v>48786</v>
      </c>
      <c r="O83" s="1802">
        <v>92486</v>
      </c>
      <c r="P83" s="3593">
        <v>4797</v>
      </c>
      <c r="Q83" s="1808">
        <v>32903</v>
      </c>
      <c r="R83" s="3593">
        <v>54786</v>
      </c>
      <c r="S83" s="1802">
        <v>91187</v>
      </c>
      <c r="T83" s="3593">
        <v>4480</v>
      </c>
      <c r="U83" s="1803">
        <v>29716</v>
      </c>
      <c r="V83" s="3593">
        <v>56991</v>
      </c>
      <c r="W83" s="1809">
        <v>0</v>
      </c>
      <c r="X83" s="1810">
        <v>7123</v>
      </c>
      <c r="Y83" s="2891">
        <f>'2.6'!I105*1000-SUM(N83:O83,S83,X83)</f>
        <v>0</v>
      </c>
      <c r="Z83" s="1802">
        <v>2304914</v>
      </c>
      <c r="AA83" s="1802">
        <v>5641990</v>
      </c>
      <c r="AB83" s="3593">
        <v>310231</v>
      </c>
      <c r="AC83" s="1808">
        <v>1462970</v>
      </c>
      <c r="AD83" s="3593">
        <v>3868789</v>
      </c>
      <c r="AE83" s="1802">
        <v>4851824</v>
      </c>
      <c r="AF83" s="3593">
        <v>154747</v>
      </c>
      <c r="AG83" s="1803">
        <v>1427567</v>
      </c>
      <c r="AH83" s="3593">
        <v>3198119</v>
      </c>
      <c r="AI83" s="1809">
        <v>71391</v>
      </c>
      <c r="AJ83" s="1810">
        <v>187677</v>
      </c>
      <c r="AK83" s="2891">
        <f>'2.6'!S105*1000-SUM(Z83:AA83,AE83,AJ83)</f>
        <v>6595</v>
      </c>
      <c r="AL83" s="323"/>
      <c r="AM83" s="3517"/>
      <c r="AN83" s="3517"/>
      <c r="AO83" s="3517"/>
      <c r="AP83" s="3517"/>
      <c r="AQ83" s="3517"/>
      <c r="AR83" s="3517"/>
    </row>
    <row r="84" spans="1:44">
      <c r="A84" s="1301" t="s">
        <v>507</v>
      </c>
      <c r="B84" s="1803">
        <v>91623</v>
      </c>
      <c r="C84" s="1802">
        <v>329742</v>
      </c>
      <c r="D84" s="3593">
        <v>18051</v>
      </c>
      <c r="E84" s="3593">
        <v>83832</v>
      </c>
      <c r="F84" s="3593">
        <v>227859</v>
      </c>
      <c r="G84" s="1802">
        <v>215168</v>
      </c>
      <c r="H84" s="3593">
        <v>8277</v>
      </c>
      <c r="I84" s="1803">
        <v>55831</v>
      </c>
      <c r="J84" s="3593">
        <v>149335</v>
      </c>
      <c r="K84" s="2895">
        <v>1725</v>
      </c>
      <c r="L84" s="2895">
        <v>1172</v>
      </c>
      <c r="M84" s="2889">
        <f>+'2.6'!D106*1000-SUM(B84:C84,G84,L84)</f>
        <v>0</v>
      </c>
      <c r="N84" s="1802">
        <v>58929</v>
      </c>
      <c r="O84" s="1802">
        <v>90384</v>
      </c>
      <c r="P84" s="3593">
        <v>4300</v>
      </c>
      <c r="Q84" s="1808">
        <v>29359</v>
      </c>
      <c r="R84" s="3593">
        <v>56725</v>
      </c>
      <c r="S84" s="1802">
        <v>75475</v>
      </c>
      <c r="T84" s="3593">
        <v>1955</v>
      </c>
      <c r="U84" s="1803">
        <v>25800</v>
      </c>
      <c r="V84" s="3593">
        <v>47469</v>
      </c>
      <c r="W84" s="1809">
        <v>251</v>
      </c>
      <c r="X84" s="1810">
        <v>7113</v>
      </c>
      <c r="Y84" s="2891">
        <f>'2.6'!I106*1000-SUM(N84:O84,S84,X84)</f>
        <v>0</v>
      </c>
      <c r="Z84" s="1802">
        <v>2307379</v>
      </c>
      <c r="AA84" s="1802">
        <v>5609057</v>
      </c>
      <c r="AB84" s="3593">
        <v>300663</v>
      </c>
      <c r="AC84" s="1808">
        <v>1548696</v>
      </c>
      <c r="AD84" s="3593">
        <v>3759698</v>
      </c>
      <c r="AE84" s="1802">
        <v>4787585</v>
      </c>
      <c r="AF84" s="3593">
        <v>150590</v>
      </c>
      <c r="AG84" s="1803">
        <v>1481036</v>
      </c>
      <c r="AH84" s="3593">
        <v>3089008</v>
      </c>
      <c r="AI84" s="1809">
        <v>66951</v>
      </c>
      <c r="AJ84" s="1810">
        <v>205755</v>
      </c>
      <c r="AK84" s="2891">
        <f>'2.6'!S106*1000-SUM(Z84:AA84,AE84,AJ84)</f>
        <v>12224</v>
      </c>
      <c r="AL84" s="323"/>
      <c r="AM84" s="3517"/>
      <c r="AN84" s="3517"/>
      <c r="AO84" s="3517"/>
      <c r="AP84" s="3517"/>
      <c r="AQ84" s="3517"/>
      <c r="AR84" s="3517"/>
    </row>
    <row r="85" spans="1:44">
      <c r="A85" s="1301" t="s">
        <v>508</v>
      </c>
      <c r="B85" s="1803">
        <v>83511</v>
      </c>
      <c r="C85" s="1802">
        <v>305407</v>
      </c>
      <c r="D85" s="3593">
        <v>18766</v>
      </c>
      <c r="E85" s="3593">
        <v>74240</v>
      </c>
      <c r="F85" s="3593">
        <v>212401</v>
      </c>
      <c r="G85" s="1802">
        <v>223640</v>
      </c>
      <c r="H85" s="3593">
        <v>5060</v>
      </c>
      <c r="I85" s="1803">
        <v>47409</v>
      </c>
      <c r="J85" s="3593">
        <v>168809</v>
      </c>
      <c r="K85" s="2895">
        <v>2362</v>
      </c>
      <c r="L85" s="2895">
        <v>7234</v>
      </c>
      <c r="M85" s="2889">
        <f>+'2.6'!D107*1000-SUM(B85:C85,G85,L85)</f>
        <v>0</v>
      </c>
      <c r="N85" s="1802">
        <v>51654</v>
      </c>
      <c r="O85" s="1802">
        <v>93156</v>
      </c>
      <c r="P85" s="3593">
        <v>5637</v>
      </c>
      <c r="Q85" s="1808">
        <v>25879</v>
      </c>
      <c r="R85" s="3593">
        <v>61640</v>
      </c>
      <c r="S85" s="1802">
        <v>82884</v>
      </c>
      <c r="T85" s="3593">
        <v>5394</v>
      </c>
      <c r="U85" s="1803">
        <v>31281</v>
      </c>
      <c r="V85" s="3593">
        <v>45930</v>
      </c>
      <c r="W85" s="1809">
        <v>279</v>
      </c>
      <c r="X85" s="1810">
        <v>6976</v>
      </c>
      <c r="Y85" s="2891">
        <f>'2.6'!I107*1000-SUM(N85:O85,S85,X85)</f>
        <v>0</v>
      </c>
      <c r="Z85" s="1802">
        <v>2378606</v>
      </c>
      <c r="AA85" s="1802">
        <v>5807136</v>
      </c>
      <c r="AB85" s="3593">
        <v>333538</v>
      </c>
      <c r="AC85" s="1808">
        <v>1484508</v>
      </c>
      <c r="AD85" s="3593">
        <v>3989090</v>
      </c>
      <c r="AE85" s="1802">
        <v>4682459</v>
      </c>
      <c r="AF85" s="3593">
        <v>134896</v>
      </c>
      <c r="AG85" s="1803">
        <v>1433094</v>
      </c>
      <c r="AH85" s="3593">
        <v>3056452</v>
      </c>
      <c r="AI85" s="1809">
        <v>58017</v>
      </c>
      <c r="AJ85" s="1810">
        <v>192901</v>
      </c>
      <c r="AK85" s="2891">
        <f>'2.6'!S107*1000-SUM(Z85:AA85,AE85,AJ85)</f>
        <v>-102</v>
      </c>
      <c r="AL85" s="323"/>
      <c r="AM85" s="3517"/>
      <c r="AN85" s="3517"/>
      <c r="AO85" s="3517"/>
      <c r="AP85" s="3517"/>
      <c r="AQ85" s="3517"/>
      <c r="AR85" s="3517"/>
    </row>
    <row r="86" spans="1:44">
      <c r="A86" s="1301" t="s">
        <v>509</v>
      </c>
      <c r="B86" s="1803">
        <v>70960</v>
      </c>
      <c r="C86" s="1802">
        <v>324625</v>
      </c>
      <c r="D86" s="3593">
        <v>14287</v>
      </c>
      <c r="E86" s="3593">
        <v>80936</v>
      </c>
      <c r="F86" s="3593">
        <v>229402</v>
      </c>
      <c r="G86" s="1802">
        <v>226867</v>
      </c>
      <c r="H86" s="3593">
        <v>15542</v>
      </c>
      <c r="I86" s="1803">
        <v>46155</v>
      </c>
      <c r="J86" s="3593">
        <v>164396</v>
      </c>
      <c r="K86" s="2895">
        <v>774</v>
      </c>
      <c r="L86" s="2895">
        <v>8172</v>
      </c>
      <c r="M86" s="2889">
        <f>+'2.6'!D108*1000-SUM(B86:C86,G86,L86)</f>
        <v>0</v>
      </c>
      <c r="N86" s="1802">
        <v>41524</v>
      </c>
      <c r="O86" s="1802">
        <v>96275</v>
      </c>
      <c r="P86" s="3593">
        <v>7517</v>
      </c>
      <c r="Q86" s="1808">
        <v>22463</v>
      </c>
      <c r="R86" s="3593">
        <v>66295</v>
      </c>
      <c r="S86" s="1802">
        <v>81745</v>
      </c>
      <c r="T86" s="3593">
        <v>1365</v>
      </c>
      <c r="U86" s="1803">
        <v>32919</v>
      </c>
      <c r="V86" s="3593">
        <v>47461</v>
      </c>
      <c r="W86" s="1809">
        <v>0</v>
      </c>
      <c r="X86" s="1810">
        <v>7299</v>
      </c>
      <c r="Y86" s="2891">
        <f>'2.6'!I108*1000-SUM(N86:O86,S86,X86)</f>
        <v>0</v>
      </c>
      <c r="Z86" s="1802">
        <v>2339083</v>
      </c>
      <c r="AA86" s="1802">
        <v>5852470</v>
      </c>
      <c r="AB86" s="3593">
        <v>302326</v>
      </c>
      <c r="AC86" s="1808">
        <v>1462723</v>
      </c>
      <c r="AD86" s="3593">
        <v>4087421</v>
      </c>
      <c r="AE86" s="1802">
        <v>4794632</v>
      </c>
      <c r="AF86" s="3593">
        <v>145753</v>
      </c>
      <c r="AG86" s="1803">
        <v>1428427</v>
      </c>
      <c r="AH86" s="3593">
        <v>3175028</v>
      </c>
      <c r="AI86" s="1809">
        <v>45424</v>
      </c>
      <c r="AJ86" s="1810">
        <v>190534</v>
      </c>
      <c r="AK86" s="2891">
        <f>'2.6'!S108*1000-SUM(Z86:AA86,AE86,AJ86)</f>
        <v>14281</v>
      </c>
      <c r="AL86" s="323"/>
      <c r="AM86" s="3517"/>
      <c r="AN86" s="3517"/>
      <c r="AO86" s="3517"/>
      <c r="AP86" s="3517"/>
      <c r="AQ86" s="3517"/>
      <c r="AR86" s="3517"/>
    </row>
    <row r="87" spans="1:44">
      <c r="A87" s="1301" t="s">
        <v>510</v>
      </c>
      <c r="B87" s="1803">
        <v>88168</v>
      </c>
      <c r="C87" s="1802">
        <v>325422</v>
      </c>
      <c r="D87" s="3593">
        <v>14326</v>
      </c>
      <c r="E87" s="3593">
        <v>79594</v>
      </c>
      <c r="F87" s="3593">
        <v>231502</v>
      </c>
      <c r="G87" s="1802">
        <v>220115</v>
      </c>
      <c r="H87" s="3593">
        <v>9703</v>
      </c>
      <c r="I87" s="1803">
        <v>59876</v>
      </c>
      <c r="J87" s="3593">
        <v>149377</v>
      </c>
      <c r="K87" s="2895">
        <v>1159</v>
      </c>
      <c r="L87" s="2895">
        <v>5724</v>
      </c>
      <c r="M87" s="2889">
        <f>+'2.6'!D109*1000-SUM(B87:C87,G87,L87)</f>
        <v>0</v>
      </c>
      <c r="N87" s="1802">
        <v>43751</v>
      </c>
      <c r="O87" s="1802">
        <v>94864</v>
      </c>
      <c r="P87" s="3593">
        <v>3360</v>
      </c>
      <c r="Q87" s="1808">
        <v>27388</v>
      </c>
      <c r="R87" s="3593">
        <v>64116</v>
      </c>
      <c r="S87" s="1802">
        <v>86530</v>
      </c>
      <c r="T87" s="3593">
        <v>2791</v>
      </c>
      <c r="U87" s="1803">
        <v>31299</v>
      </c>
      <c r="V87" s="3593">
        <v>52440</v>
      </c>
      <c r="W87" s="1809">
        <v>0</v>
      </c>
      <c r="X87" s="1810">
        <v>8995</v>
      </c>
      <c r="Y87" s="2891">
        <f>'2.6'!I109*1000-SUM(N87:O87,S87,X87)</f>
        <v>0</v>
      </c>
      <c r="Z87" s="1802">
        <v>2333017</v>
      </c>
      <c r="AA87" s="1802">
        <v>5883250</v>
      </c>
      <c r="AB87" s="3593">
        <v>295736</v>
      </c>
      <c r="AC87" s="1808">
        <v>1544374</v>
      </c>
      <c r="AD87" s="3593">
        <v>4043140</v>
      </c>
      <c r="AE87" s="1802">
        <v>4686153</v>
      </c>
      <c r="AF87" s="3593">
        <v>118720</v>
      </c>
      <c r="AG87" s="1803">
        <v>1379474</v>
      </c>
      <c r="AH87" s="3593">
        <v>3145554</v>
      </c>
      <c r="AI87" s="1809">
        <v>42405</v>
      </c>
      <c r="AJ87" s="1810">
        <v>200531</v>
      </c>
      <c r="AK87" s="2891">
        <f>'2.6'!S109*1000-SUM(Z87:AA87,AE87,AJ87)</f>
        <v>5049</v>
      </c>
      <c r="AL87" s="323"/>
      <c r="AM87" s="3517"/>
      <c r="AN87" s="3517"/>
      <c r="AO87" s="3517"/>
      <c r="AP87" s="3517"/>
      <c r="AQ87" s="3517"/>
      <c r="AR87" s="3517"/>
    </row>
    <row r="88" spans="1:44">
      <c r="A88" s="1301" t="s">
        <v>511</v>
      </c>
      <c r="B88" s="1803">
        <v>99067</v>
      </c>
      <c r="C88" s="1802">
        <v>321243</v>
      </c>
      <c r="D88" s="3593">
        <v>16993</v>
      </c>
      <c r="E88" s="3593">
        <v>83444</v>
      </c>
      <c r="F88" s="3593">
        <v>220806</v>
      </c>
      <c r="G88" s="1802">
        <v>200998</v>
      </c>
      <c r="H88" s="3593">
        <v>2034</v>
      </c>
      <c r="I88" s="1803">
        <v>40007</v>
      </c>
      <c r="J88" s="3593">
        <v>156607</v>
      </c>
      <c r="K88" s="2895">
        <v>2350</v>
      </c>
      <c r="L88" s="2895">
        <v>2863</v>
      </c>
      <c r="M88" s="2889">
        <f>+'2.6'!D110*1000-SUM(B88:C88,G88,L88)</f>
        <v>0</v>
      </c>
      <c r="N88" s="1802">
        <v>46819</v>
      </c>
      <c r="O88" s="1802">
        <v>98771</v>
      </c>
      <c r="P88" s="3593">
        <v>5865</v>
      </c>
      <c r="Q88" s="1808">
        <v>28934</v>
      </c>
      <c r="R88" s="3593">
        <v>63972</v>
      </c>
      <c r="S88" s="1802">
        <v>87103</v>
      </c>
      <c r="T88" s="3593">
        <v>6133</v>
      </c>
      <c r="U88" s="1803">
        <v>29963</v>
      </c>
      <c r="V88" s="3593">
        <v>51007</v>
      </c>
      <c r="W88" s="1809">
        <v>0</v>
      </c>
      <c r="X88" s="1810">
        <v>7076</v>
      </c>
      <c r="Y88" s="2891">
        <f>'2.6'!I110*1000-SUM(N88:O88,S88,X88)</f>
        <v>0</v>
      </c>
      <c r="Z88" s="1802">
        <v>2517667</v>
      </c>
      <c r="AA88" s="1802">
        <v>5849227</v>
      </c>
      <c r="AB88" s="3593">
        <v>301350</v>
      </c>
      <c r="AC88" s="1808">
        <v>1455811</v>
      </c>
      <c r="AD88" s="3593">
        <v>4092066</v>
      </c>
      <c r="AE88" s="1802">
        <v>4805626</v>
      </c>
      <c r="AF88" s="3593">
        <v>129095</v>
      </c>
      <c r="AG88" s="1803">
        <v>1426893</v>
      </c>
      <c r="AH88" s="3593">
        <v>3198888</v>
      </c>
      <c r="AI88" s="1809">
        <v>50750</v>
      </c>
      <c r="AJ88" s="1810">
        <v>211595</v>
      </c>
      <c r="AK88" s="2891">
        <f>'2.6'!S110*1000-SUM(Z88:AA88,AE88,AJ88)</f>
        <v>11885</v>
      </c>
      <c r="AL88" s="323"/>
      <c r="AM88" s="3517"/>
      <c r="AN88" s="3517"/>
      <c r="AO88" s="3517"/>
      <c r="AP88" s="3517"/>
      <c r="AQ88" s="3517"/>
      <c r="AR88" s="3517"/>
    </row>
    <row r="89" spans="1:44">
      <c r="A89" s="1301" t="s">
        <v>512</v>
      </c>
      <c r="B89" s="1803">
        <v>89526</v>
      </c>
      <c r="C89" s="1802">
        <v>338900</v>
      </c>
      <c r="D89" s="3593">
        <v>18333</v>
      </c>
      <c r="E89" s="3593">
        <v>85311</v>
      </c>
      <c r="F89" s="3593">
        <v>235256</v>
      </c>
      <c r="G89" s="1802">
        <v>193143</v>
      </c>
      <c r="H89" s="3593">
        <v>7905</v>
      </c>
      <c r="I89" s="1803">
        <v>50431</v>
      </c>
      <c r="J89" s="3593">
        <v>133884</v>
      </c>
      <c r="K89" s="2895">
        <v>923</v>
      </c>
      <c r="L89" s="2895">
        <v>4621</v>
      </c>
      <c r="M89" s="2889">
        <f>+'2.6'!D111*1000-SUM(B89:C89,G89,L89)</f>
        <v>0</v>
      </c>
      <c r="N89" s="1802">
        <v>45535</v>
      </c>
      <c r="O89" s="1802">
        <v>94481</v>
      </c>
      <c r="P89" s="3593">
        <v>5831</v>
      </c>
      <c r="Q89" s="1808">
        <v>26175</v>
      </c>
      <c r="R89" s="3593">
        <v>62475</v>
      </c>
      <c r="S89" s="1802">
        <v>82518</v>
      </c>
      <c r="T89" s="3593">
        <v>1447</v>
      </c>
      <c r="U89" s="1803">
        <v>27102</v>
      </c>
      <c r="V89" s="3593">
        <v>53622</v>
      </c>
      <c r="W89" s="1809">
        <v>347</v>
      </c>
      <c r="X89" s="1810">
        <v>4944</v>
      </c>
      <c r="Y89" s="2891">
        <f>'2.6'!I111*1000-SUM(N89:O89,S89,X89)</f>
        <v>0</v>
      </c>
      <c r="Z89" s="1802">
        <v>2459872</v>
      </c>
      <c r="AA89" s="1802">
        <v>6091781</v>
      </c>
      <c r="AB89" s="3593">
        <v>340808</v>
      </c>
      <c r="AC89" s="1808">
        <v>1585606</v>
      </c>
      <c r="AD89" s="3593">
        <v>4165367</v>
      </c>
      <c r="AE89" s="1802">
        <v>4809637</v>
      </c>
      <c r="AF89" s="3593">
        <v>118225</v>
      </c>
      <c r="AG89" s="1803">
        <v>1459723</v>
      </c>
      <c r="AH89" s="3593">
        <v>3188872</v>
      </c>
      <c r="AI89" s="1809">
        <v>42817</v>
      </c>
      <c r="AJ89" s="1810">
        <v>156647</v>
      </c>
      <c r="AK89" s="2891">
        <f>'2.6'!S111*1000-SUM(Z89:AA89,AE89,AJ89)</f>
        <v>63</v>
      </c>
      <c r="AL89" s="2630"/>
      <c r="AM89" s="3517"/>
      <c r="AN89" s="3517"/>
      <c r="AO89" s="3517"/>
      <c r="AP89" s="3517"/>
      <c r="AQ89" s="3517"/>
      <c r="AR89" s="3517"/>
    </row>
    <row r="90" spans="1:44">
      <c r="A90" s="1301" t="s">
        <v>513</v>
      </c>
      <c r="B90" s="1803">
        <v>69779</v>
      </c>
      <c r="C90" s="1802">
        <v>335070</v>
      </c>
      <c r="D90" s="3593">
        <v>21409</v>
      </c>
      <c r="E90" s="3593">
        <v>95263</v>
      </c>
      <c r="F90" s="3593">
        <v>218398</v>
      </c>
      <c r="G90" s="1802">
        <v>210215</v>
      </c>
      <c r="H90" s="3593">
        <v>8101</v>
      </c>
      <c r="I90" s="1803">
        <v>45731</v>
      </c>
      <c r="J90" s="3593">
        <v>156383</v>
      </c>
      <c r="K90" s="2895">
        <v>0</v>
      </c>
      <c r="L90" s="2895">
        <v>5154</v>
      </c>
      <c r="M90" s="2889">
        <f>+'2.6'!D112*1000-SUM(B90:C90,G90,L90)</f>
        <v>0</v>
      </c>
      <c r="N90" s="1802">
        <v>42418</v>
      </c>
      <c r="O90" s="1802">
        <v>94508</v>
      </c>
      <c r="P90" s="3593">
        <v>3416</v>
      </c>
      <c r="Q90" s="1808">
        <v>23130</v>
      </c>
      <c r="R90" s="3593">
        <v>67962</v>
      </c>
      <c r="S90" s="1802">
        <v>86718</v>
      </c>
      <c r="T90" s="3593">
        <v>2822</v>
      </c>
      <c r="U90" s="1803">
        <v>30988</v>
      </c>
      <c r="V90" s="3593">
        <v>52908</v>
      </c>
      <c r="W90" s="1809">
        <v>0</v>
      </c>
      <c r="X90" s="1810">
        <v>6202</v>
      </c>
      <c r="Y90" s="2891">
        <f>'2.6'!I112*1000-SUM(N90:O90,S90,X90)</f>
        <v>0</v>
      </c>
      <c r="Z90" s="1802">
        <v>2330104</v>
      </c>
      <c r="AA90" s="1802">
        <v>6067960</v>
      </c>
      <c r="AB90" s="3593">
        <v>294598</v>
      </c>
      <c r="AC90" s="1808">
        <v>1595967</v>
      </c>
      <c r="AD90" s="3593">
        <v>4177395</v>
      </c>
      <c r="AE90" s="1802">
        <v>4569388</v>
      </c>
      <c r="AF90" s="3593">
        <v>121582</v>
      </c>
      <c r="AG90" s="1803">
        <v>1267312</v>
      </c>
      <c r="AH90" s="3593">
        <v>3144375</v>
      </c>
      <c r="AI90" s="1809">
        <v>36119</v>
      </c>
      <c r="AJ90" s="1810">
        <v>146476</v>
      </c>
      <c r="AK90" s="2891">
        <f>'2.6'!S112*1000-SUM(Z90:AA90,AE90,AJ90)</f>
        <v>72</v>
      </c>
      <c r="AL90" s="2630"/>
      <c r="AM90" s="3517"/>
      <c r="AN90" s="3517"/>
      <c r="AO90" s="3517"/>
      <c r="AP90" s="3517"/>
      <c r="AQ90" s="3517"/>
      <c r="AR90" s="3517"/>
    </row>
    <row r="91" spans="1:44">
      <c r="A91" s="1301" t="s">
        <v>514</v>
      </c>
      <c r="B91" s="1803">
        <v>78684</v>
      </c>
      <c r="C91" s="1802">
        <v>322848</v>
      </c>
      <c r="D91" s="3593">
        <v>17690</v>
      </c>
      <c r="E91" s="3593">
        <v>105877</v>
      </c>
      <c r="F91" s="3593">
        <v>199281</v>
      </c>
      <c r="G91" s="1802">
        <v>233918</v>
      </c>
      <c r="H91" s="3593">
        <v>15640</v>
      </c>
      <c r="I91" s="1803">
        <v>68452</v>
      </c>
      <c r="J91" s="3593">
        <v>149826</v>
      </c>
      <c r="K91" s="2895">
        <v>0</v>
      </c>
      <c r="L91" s="2895">
        <v>2423</v>
      </c>
      <c r="M91" s="2889">
        <f>+'2.6'!D113*1000-SUM(B91:C91,G91,L91)</f>
        <v>0</v>
      </c>
      <c r="N91" s="1802">
        <v>48256</v>
      </c>
      <c r="O91" s="1802">
        <v>86553</v>
      </c>
      <c r="P91" s="3593">
        <v>2717</v>
      </c>
      <c r="Q91" s="1808">
        <v>25155</v>
      </c>
      <c r="R91" s="3593">
        <v>58681</v>
      </c>
      <c r="S91" s="1802">
        <v>86566</v>
      </c>
      <c r="T91" s="3593">
        <v>4258</v>
      </c>
      <c r="U91" s="1803">
        <v>31635</v>
      </c>
      <c r="V91" s="3593">
        <v>50483</v>
      </c>
      <c r="W91" s="1809">
        <v>190</v>
      </c>
      <c r="X91" s="1810">
        <v>8352</v>
      </c>
      <c r="Y91" s="2891">
        <f>'2.6'!I113*1000-SUM(N91:O91,S91,X91)</f>
        <v>0</v>
      </c>
      <c r="Z91" s="1802">
        <v>2271100</v>
      </c>
      <c r="AA91" s="1802">
        <v>6036805</v>
      </c>
      <c r="AB91" s="3593">
        <v>268673</v>
      </c>
      <c r="AC91" s="1808">
        <v>1628345</v>
      </c>
      <c r="AD91" s="3593">
        <v>4139787</v>
      </c>
      <c r="AE91" s="1802">
        <v>4836802</v>
      </c>
      <c r="AF91" s="3593">
        <v>123771</v>
      </c>
      <c r="AG91" s="1803">
        <v>1429685</v>
      </c>
      <c r="AH91" s="3593">
        <v>3248426</v>
      </c>
      <c r="AI91" s="1809">
        <v>34920</v>
      </c>
      <c r="AJ91" s="1810">
        <v>153194</v>
      </c>
      <c r="AK91" s="2891">
        <f>'2.6'!S113*1000-SUM(Z91:AA91,AE91,AJ91)</f>
        <v>0</v>
      </c>
      <c r="AL91" s="2630"/>
      <c r="AM91" s="3517"/>
      <c r="AN91" s="3517"/>
      <c r="AO91" s="3517"/>
      <c r="AP91" s="3517"/>
      <c r="AQ91" s="3517"/>
      <c r="AR91" s="3517"/>
    </row>
    <row r="92" spans="1:44">
      <c r="A92" s="1301" t="s">
        <v>515</v>
      </c>
      <c r="B92" s="2406">
        <v>95838</v>
      </c>
      <c r="C92" s="1808">
        <v>325352</v>
      </c>
      <c r="D92" s="1803">
        <v>20455</v>
      </c>
      <c r="E92" s="3593">
        <v>83846</v>
      </c>
      <c r="F92" s="1809">
        <v>221051</v>
      </c>
      <c r="G92" s="2405">
        <v>217826</v>
      </c>
      <c r="H92" s="1803">
        <v>4182</v>
      </c>
      <c r="I92" s="3593">
        <v>65146</v>
      </c>
      <c r="J92" s="1803">
        <v>146279</v>
      </c>
      <c r="K92" s="2895">
        <v>2219</v>
      </c>
      <c r="L92" s="2404">
        <v>7259</v>
      </c>
      <c r="M92" s="2889">
        <f>+'2.6'!D114*1000-SUM(B92:C92,G92,L92)</f>
        <v>0</v>
      </c>
      <c r="N92" s="1802">
        <v>46223</v>
      </c>
      <c r="O92" s="1802">
        <v>96169</v>
      </c>
      <c r="P92" s="3593">
        <v>2902</v>
      </c>
      <c r="Q92" s="1808">
        <v>33427</v>
      </c>
      <c r="R92" s="3593">
        <v>59840</v>
      </c>
      <c r="S92" s="1802">
        <v>82840</v>
      </c>
      <c r="T92" s="3593">
        <v>5090</v>
      </c>
      <c r="U92" s="1803">
        <v>35197</v>
      </c>
      <c r="V92" s="3593">
        <v>42553</v>
      </c>
      <c r="W92" s="1809">
        <v>0</v>
      </c>
      <c r="X92" s="1810">
        <v>6127</v>
      </c>
      <c r="Y92" s="2891">
        <f>'2.6'!I114*1000-SUM(N92:O92,S92,X92)</f>
        <v>0</v>
      </c>
      <c r="Z92" s="1802">
        <v>2337390</v>
      </c>
      <c r="AA92" s="1802">
        <v>5995320</v>
      </c>
      <c r="AB92" s="3593">
        <v>332563</v>
      </c>
      <c r="AC92" s="1808">
        <v>1649206</v>
      </c>
      <c r="AD92" s="3593">
        <v>4013551</v>
      </c>
      <c r="AE92" s="1802">
        <v>4851907</v>
      </c>
      <c r="AF92" s="3593">
        <v>106431</v>
      </c>
      <c r="AG92" s="1803">
        <v>1456113</v>
      </c>
      <c r="AH92" s="3593">
        <v>3242700</v>
      </c>
      <c r="AI92" s="1809">
        <v>46663</v>
      </c>
      <c r="AJ92" s="1810">
        <v>183423</v>
      </c>
      <c r="AK92" s="2891">
        <f>'2.6'!S114*1000-SUM(Z92:AA92,AE92,AJ92)</f>
        <v>0</v>
      </c>
      <c r="AL92" s="2630"/>
      <c r="AM92" s="3517"/>
      <c r="AN92" s="3517"/>
      <c r="AO92" s="3517"/>
      <c r="AP92" s="3517"/>
      <c r="AQ92" s="3517"/>
      <c r="AR92" s="3517"/>
    </row>
    <row r="93" spans="1:44">
      <c r="A93" s="1301" t="s">
        <v>516</v>
      </c>
      <c r="B93" s="2406">
        <v>89752</v>
      </c>
      <c r="C93" s="1808">
        <v>344852</v>
      </c>
      <c r="D93" s="1803">
        <v>18183</v>
      </c>
      <c r="E93" s="3593">
        <v>93223</v>
      </c>
      <c r="F93" s="1809">
        <v>233446</v>
      </c>
      <c r="G93" s="2405">
        <v>201979</v>
      </c>
      <c r="H93" s="1803">
        <v>10987</v>
      </c>
      <c r="I93" s="3593">
        <v>53611</v>
      </c>
      <c r="J93" s="1803">
        <v>135586</v>
      </c>
      <c r="K93" s="2895">
        <v>1795</v>
      </c>
      <c r="L93" s="2404">
        <v>2202</v>
      </c>
      <c r="M93" s="2889">
        <f>+'2.6'!D115*1000-SUM(B93:C93,G93,L93)</f>
        <v>0</v>
      </c>
      <c r="N93" s="1802">
        <v>49692</v>
      </c>
      <c r="O93" s="1802">
        <v>94588</v>
      </c>
      <c r="P93" s="3593">
        <v>9220</v>
      </c>
      <c r="Q93" s="1808">
        <v>26213</v>
      </c>
      <c r="R93" s="3593">
        <v>59155</v>
      </c>
      <c r="S93" s="1802">
        <v>82611</v>
      </c>
      <c r="T93" s="3593">
        <v>6041</v>
      </c>
      <c r="U93" s="1803">
        <v>33633</v>
      </c>
      <c r="V93" s="3593">
        <v>41955</v>
      </c>
      <c r="W93" s="1809">
        <v>982</v>
      </c>
      <c r="X93" s="1810">
        <v>5091</v>
      </c>
      <c r="Y93" s="2891">
        <f>'2.6'!I115*1000-SUM(N93:O93,S93,X93)</f>
        <v>0</v>
      </c>
      <c r="Z93" s="1802">
        <v>2240731</v>
      </c>
      <c r="AA93" s="1802">
        <v>6287570</v>
      </c>
      <c r="AB93" s="3593">
        <v>358924</v>
      </c>
      <c r="AC93" s="1808">
        <v>1763911</v>
      </c>
      <c r="AD93" s="3593">
        <v>4164735</v>
      </c>
      <c r="AE93" s="1802">
        <v>4896214</v>
      </c>
      <c r="AF93" s="3593">
        <v>123343</v>
      </c>
      <c r="AG93" s="1803">
        <v>1467596</v>
      </c>
      <c r="AH93" s="3593">
        <v>3259456</v>
      </c>
      <c r="AI93" s="1809">
        <v>45819</v>
      </c>
      <c r="AJ93" s="1810">
        <v>171969</v>
      </c>
      <c r="AK93" s="2891">
        <f>'2.6'!S115*1000-SUM(Z93:AA93,AE93,AJ93)</f>
        <v>0</v>
      </c>
      <c r="AL93" s="2630"/>
      <c r="AM93" s="3517"/>
      <c r="AN93" s="3517"/>
      <c r="AO93" s="3517"/>
      <c r="AP93" s="3517"/>
      <c r="AQ93" s="3517"/>
      <c r="AR93" s="3517"/>
    </row>
    <row r="94" spans="1:44">
      <c r="A94" s="1301" t="s">
        <v>517</v>
      </c>
      <c r="B94" s="2406">
        <v>77378</v>
      </c>
      <c r="C94" s="1808">
        <v>332281</v>
      </c>
      <c r="D94" s="1803">
        <v>17057</v>
      </c>
      <c r="E94" s="3593">
        <v>92464</v>
      </c>
      <c r="F94" s="1809">
        <v>222760</v>
      </c>
      <c r="G94" s="2405">
        <v>218523</v>
      </c>
      <c r="H94" s="1803">
        <v>5444</v>
      </c>
      <c r="I94" s="3593">
        <v>53783</v>
      </c>
      <c r="J94" s="1803">
        <v>155387</v>
      </c>
      <c r="K94" s="2895">
        <v>3909</v>
      </c>
      <c r="L94" s="2404">
        <v>5195</v>
      </c>
      <c r="M94" s="2889">
        <f>+'2.6'!D116*1000-SUM(B94:C94,G94,L94)</f>
        <v>0</v>
      </c>
      <c r="N94" s="1802">
        <v>51943</v>
      </c>
      <c r="O94" s="1802">
        <v>93383</v>
      </c>
      <c r="P94" s="3593">
        <v>9265</v>
      </c>
      <c r="Q94" s="1808">
        <v>23056</v>
      </c>
      <c r="R94" s="3593">
        <v>61062</v>
      </c>
      <c r="S94" s="1802">
        <v>79522</v>
      </c>
      <c r="T94" s="3593">
        <v>2813</v>
      </c>
      <c r="U94" s="1803">
        <v>28770</v>
      </c>
      <c r="V94" s="3593">
        <v>47344</v>
      </c>
      <c r="W94" s="1809">
        <v>595</v>
      </c>
      <c r="X94" s="1810">
        <v>4358</v>
      </c>
      <c r="Y94" s="2891">
        <f>'2.6'!I116*1000-SUM(N94:O94,S94,X94)</f>
        <v>0</v>
      </c>
      <c r="Z94" s="1802">
        <v>2052836</v>
      </c>
      <c r="AA94" s="1802">
        <v>6176096</v>
      </c>
      <c r="AB94" s="3593">
        <v>307783</v>
      </c>
      <c r="AC94" s="1808">
        <v>1671420</v>
      </c>
      <c r="AD94" s="3593">
        <v>4196893</v>
      </c>
      <c r="AE94" s="1802">
        <v>4842780</v>
      </c>
      <c r="AF94" s="3593">
        <v>138460</v>
      </c>
      <c r="AG94" s="1803">
        <v>1440533</v>
      </c>
      <c r="AH94" s="3593">
        <v>3208832</v>
      </c>
      <c r="AI94" s="1809">
        <v>54955</v>
      </c>
      <c r="AJ94" s="1810">
        <v>187097</v>
      </c>
      <c r="AK94" s="2891">
        <f>'2.6'!S116*1000-SUM(Z94:AA94,AE94,AJ94)</f>
        <v>0</v>
      </c>
      <c r="AL94" s="2630"/>
      <c r="AM94" s="3517"/>
      <c r="AN94" s="3517"/>
      <c r="AO94" s="3517"/>
      <c r="AP94" s="3517"/>
      <c r="AQ94" s="3517"/>
      <c r="AR94" s="3517"/>
    </row>
    <row r="95" spans="1:44">
      <c r="A95" s="1301" t="s">
        <v>518</v>
      </c>
      <c r="B95" s="2406">
        <v>81338</v>
      </c>
      <c r="C95" s="1808">
        <v>317285</v>
      </c>
      <c r="D95" s="1803">
        <v>21628</v>
      </c>
      <c r="E95" s="3593">
        <v>91213</v>
      </c>
      <c r="F95" s="1809">
        <v>204444</v>
      </c>
      <c r="G95" s="2405">
        <v>259799</v>
      </c>
      <c r="H95" s="1803">
        <v>9843</v>
      </c>
      <c r="I95" s="3593">
        <v>77382</v>
      </c>
      <c r="J95" s="1803">
        <v>170805</v>
      </c>
      <c r="K95" s="2895">
        <v>1769</v>
      </c>
      <c r="L95" s="2404">
        <v>5056</v>
      </c>
      <c r="M95" s="2889">
        <f>+'2.6'!D117*1000-SUM(B95:C95,G95,L95)</f>
        <v>0</v>
      </c>
      <c r="N95" s="1802">
        <v>55609</v>
      </c>
      <c r="O95" s="1802">
        <v>93705</v>
      </c>
      <c r="P95" s="3593">
        <v>7688</v>
      </c>
      <c r="Q95" s="1808">
        <v>27241</v>
      </c>
      <c r="R95" s="3593">
        <v>58776</v>
      </c>
      <c r="S95" s="1802">
        <v>74938</v>
      </c>
      <c r="T95" s="3593">
        <v>4109</v>
      </c>
      <c r="U95" s="1803">
        <v>26544</v>
      </c>
      <c r="V95" s="3593">
        <v>43600</v>
      </c>
      <c r="W95" s="1809">
        <v>685</v>
      </c>
      <c r="X95" s="1810">
        <v>5106</v>
      </c>
      <c r="Y95" s="2891">
        <f>'2.6'!I117*1000-SUM(N95:O95,S95,X95)</f>
        <v>0</v>
      </c>
      <c r="Z95" s="1802">
        <v>2101936</v>
      </c>
      <c r="AA95" s="1802">
        <v>6025569</v>
      </c>
      <c r="AB95" s="3593">
        <v>349472</v>
      </c>
      <c r="AC95" s="1808">
        <v>1653262</v>
      </c>
      <c r="AD95" s="3593">
        <v>4022835</v>
      </c>
      <c r="AE95" s="1802">
        <v>5011312</v>
      </c>
      <c r="AF95" s="3593">
        <v>114153</v>
      </c>
      <c r="AG95" s="1803">
        <v>1495010</v>
      </c>
      <c r="AH95" s="3593">
        <v>3354000</v>
      </c>
      <c r="AI95" s="1809">
        <v>48149</v>
      </c>
      <c r="AJ95" s="1810">
        <v>163676</v>
      </c>
      <c r="AK95" s="2891">
        <f>'2.6'!S117*1000-SUM(Z95:AA95,AE95,AJ95)</f>
        <v>0</v>
      </c>
      <c r="AL95" s="2630"/>
      <c r="AM95" s="3517"/>
      <c r="AN95" s="3517"/>
      <c r="AO95" s="3517"/>
      <c r="AP95" s="3517"/>
      <c r="AQ95" s="3517"/>
      <c r="AR95" s="3517"/>
    </row>
    <row r="96" spans="1:44">
      <c r="A96" s="1301" t="s">
        <v>519</v>
      </c>
      <c r="B96" s="1803">
        <v>78735</v>
      </c>
      <c r="C96" s="1802">
        <v>355915</v>
      </c>
      <c r="D96" s="3593">
        <v>15542</v>
      </c>
      <c r="E96" s="3593">
        <v>109931</v>
      </c>
      <c r="F96" s="3593">
        <v>230442</v>
      </c>
      <c r="G96" s="1802">
        <v>223724</v>
      </c>
      <c r="H96" s="3593">
        <v>9191</v>
      </c>
      <c r="I96" s="1803">
        <v>72688</v>
      </c>
      <c r="J96" s="3593">
        <v>140954</v>
      </c>
      <c r="K96" s="2895">
        <v>891</v>
      </c>
      <c r="L96" s="2895">
        <v>3687</v>
      </c>
      <c r="M96" s="2889">
        <f>+'2.6'!D118*1000-SUM(B96:C96,G96,L96)</f>
        <v>0</v>
      </c>
      <c r="N96" s="1802">
        <v>44919</v>
      </c>
      <c r="O96" s="1802">
        <v>95890</v>
      </c>
      <c r="P96" s="3593">
        <v>6113</v>
      </c>
      <c r="Q96" s="1808">
        <v>32744</v>
      </c>
      <c r="R96" s="3593">
        <v>57033</v>
      </c>
      <c r="S96" s="1802">
        <v>86256</v>
      </c>
      <c r="T96" s="3593">
        <v>3440</v>
      </c>
      <c r="U96" s="1803">
        <v>36166</v>
      </c>
      <c r="V96" s="3593">
        <v>46175</v>
      </c>
      <c r="W96" s="1809">
        <v>475</v>
      </c>
      <c r="X96" s="1810">
        <v>4392</v>
      </c>
      <c r="Y96" s="2891">
        <f>'2.6'!I118*1000-SUM(N96:O96,S96,X96)</f>
        <v>0</v>
      </c>
      <c r="Z96" s="1802">
        <v>2205627</v>
      </c>
      <c r="AA96" s="1802">
        <v>6183290</v>
      </c>
      <c r="AB96" s="3593">
        <v>305277</v>
      </c>
      <c r="AC96" s="1808">
        <v>1733793</v>
      </c>
      <c r="AD96" s="3593">
        <v>4144220</v>
      </c>
      <c r="AE96" s="1802">
        <v>5068213</v>
      </c>
      <c r="AF96" s="3593">
        <v>127253</v>
      </c>
      <c r="AG96" s="1803">
        <v>1591405</v>
      </c>
      <c r="AH96" s="3593">
        <v>3297168</v>
      </c>
      <c r="AI96" s="1809">
        <v>52387</v>
      </c>
      <c r="AJ96" s="1810">
        <v>149143</v>
      </c>
      <c r="AK96" s="2891">
        <f>'2.6'!S118*1000-SUM(Z96:AA96,AE96,AJ96)</f>
        <v>0</v>
      </c>
      <c r="AL96" s="323"/>
      <c r="AM96" s="3517"/>
      <c r="AN96" s="3517"/>
      <c r="AO96" s="3517"/>
      <c r="AP96" s="3517"/>
      <c r="AQ96" s="3517"/>
      <c r="AR96" s="3517"/>
    </row>
    <row r="97" spans="1:38">
      <c r="A97" s="1301" t="s">
        <v>520</v>
      </c>
      <c r="B97" s="1803" t="e">
        <v>#N/A</v>
      </c>
      <c r="C97" s="1802" t="e">
        <v>#N/A</v>
      </c>
      <c r="D97" s="3593" t="e">
        <v>#N/A</v>
      </c>
      <c r="E97" s="3593" t="e">
        <v>#N/A</v>
      </c>
      <c r="F97" s="3593" t="e">
        <v>#N/A</v>
      </c>
      <c r="G97" s="1802" t="e">
        <v>#N/A</v>
      </c>
      <c r="H97" s="3593" t="e">
        <v>#N/A</v>
      </c>
      <c r="I97" s="1803" t="e">
        <v>#N/A</v>
      </c>
      <c r="J97" s="3593" t="e">
        <v>#N/A</v>
      </c>
      <c r="K97" s="2895" t="e">
        <v>#N/A</v>
      </c>
      <c r="L97" s="2895" t="e">
        <v>#N/A</v>
      </c>
      <c r="M97" s="2889" t="e">
        <f>+'2.6'!D119*1000-SUM(B97:C97,G97,L97)</f>
        <v>#N/A</v>
      </c>
      <c r="N97" s="1802" t="e">
        <v>#N/A</v>
      </c>
      <c r="O97" s="1802" t="e">
        <v>#N/A</v>
      </c>
      <c r="P97" s="3593" t="e">
        <v>#N/A</v>
      </c>
      <c r="Q97" s="1808" t="e">
        <v>#N/A</v>
      </c>
      <c r="R97" s="3593" t="e">
        <v>#N/A</v>
      </c>
      <c r="S97" s="1802" t="e">
        <v>#N/A</v>
      </c>
      <c r="T97" s="3593" t="e">
        <v>#N/A</v>
      </c>
      <c r="U97" s="1803" t="e">
        <v>#N/A</v>
      </c>
      <c r="V97" s="3593" t="e">
        <v>#N/A</v>
      </c>
      <c r="W97" s="1809" t="e">
        <v>#N/A</v>
      </c>
      <c r="X97" s="1810" t="e">
        <v>#N/A</v>
      </c>
      <c r="Y97" s="2891" t="e">
        <f>'2.6'!I119*1000-SUM(N97:O97,S97,X97)</f>
        <v>#N/A</v>
      </c>
      <c r="Z97" s="1802" t="e">
        <v>#N/A</v>
      </c>
      <c r="AA97" s="1802" t="e">
        <v>#N/A</v>
      </c>
      <c r="AB97" s="3593" t="e">
        <v>#N/A</v>
      </c>
      <c r="AC97" s="1808" t="e">
        <v>#N/A</v>
      </c>
      <c r="AD97" s="3593" t="e">
        <v>#N/A</v>
      </c>
      <c r="AE97" s="1811" t="e">
        <v>#N/A</v>
      </c>
      <c r="AF97" s="3594" t="e">
        <v>#N/A</v>
      </c>
      <c r="AG97" s="1812" t="e">
        <v>#N/A</v>
      </c>
      <c r="AH97" s="3594" t="e">
        <v>#N/A</v>
      </c>
      <c r="AI97" s="1813" t="e">
        <v>#N/A</v>
      </c>
      <c r="AJ97" s="1810" t="e">
        <v>#N/A</v>
      </c>
      <c r="AK97" s="2891" t="e">
        <f>'2.6'!U119*1000-SUM(Z97:AA97,AE97,AJ97)</f>
        <v>#N/A</v>
      </c>
      <c r="AL97" s="323"/>
    </row>
    <row r="98" spans="1:38">
      <c r="A98" s="1301" t="s">
        <v>521</v>
      </c>
      <c r="B98" s="1803" t="e">
        <v>#N/A</v>
      </c>
      <c r="C98" s="1802" t="e">
        <v>#N/A</v>
      </c>
      <c r="D98" s="3593" t="e">
        <v>#N/A</v>
      </c>
      <c r="E98" s="3593" t="e">
        <v>#N/A</v>
      </c>
      <c r="F98" s="3593" t="e">
        <v>#N/A</v>
      </c>
      <c r="G98" s="1802" t="e">
        <v>#N/A</v>
      </c>
      <c r="H98" s="3593" t="e">
        <v>#N/A</v>
      </c>
      <c r="I98" s="1803" t="e">
        <v>#N/A</v>
      </c>
      <c r="J98" s="3593" t="e">
        <v>#N/A</v>
      </c>
      <c r="K98" s="2895" t="e">
        <v>#N/A</v>
      </c>
      <c r="L98" s="2895" t="e">
        <v>#N/A</v>
      </c>
      <c r="M98" s="2889" t="e">
        <f>+'2.6'!D120*1000-SUM(B98:C98,G98,L98)</f>
        <v>#N/A</v>
      </c>
      <c r="N98" s="1802" t="e">
        <v>#N/A</v>
      </c>
      <c r="O98" s="1802" t="e">
        <v>#N/A</v>
      </c>
      <c r="P98" s="3593" t="e">
        <v>#N/A</v>
      </c>
      <c r="Q98" s="1808" t="e">
        <v>#N/A</v>
      </c>
      <c r="R98" s="3593" t="e">
        <v>#N/A</v>
      </c>
      <c r="S98" s="1802" t="e">
        <v>#N/A</v>
      </c>
      <c r="T98" s="3593" t="e">
        <v>#N/A</v>
      </c>
      <c r="U98" s="1803" t="e">
        <v>#N/A</v>
      </c>
      <c r="V98" s="3593" t="e">
        <v>#N/A</v>
      </c>
      <c r="W98" s="1809" t="e">
        <v>#N/A</v>
      </c>
      <c r="X98" s="1810" t="e">
        <v>#N/A</v>
      </c>
      <c r="Y98" s="2891" t="e">
        <f>'2.6'!I120*1000-SUM(N98:O98,S98,X98)</f>
        <v>#N/A</v>
      </c>
      <c r="Z98" s="1802" t="e">
        <v>#N/A</v>
      </c>
      <c r="AA98" s="1802" t="e">
        <v>#N/A</v>
      </c>
      <c r="AB98" s="3593" t="e">
        <v>#N/A</v>
      </c>
      <c r="AC98" s="1808" t="e">
        <v>#N/A</v>
      </c>
      <c r="AD98" s="3593" t="e">
        <v>#N/A</v>
      </c>
      <c r="AE98" s="1811" t="e">
        <v>#N/A</v>
      </c>
      <c r="AF98" s="3594" t="e">
        <v>#N/A</v>
      </c>
      <c r="AG98" s="1812" t="e">
        <v>#N/A</v>
      </c>
      <c r="AH98" s="3594" t="e">
        <v>#N/A</v>
      </c>
      <c r="AI98" s="1813" t="e">
        <v>#N/A</v>
      </c>
      <c r="AJ98" s="1810" t="e">
        <v>#N/A</v>
      </c>
      <c r="AK98" s="2891" t="e">
        <f>'2.6'!U120*1000-SUM(Z98:AA98,AE98,AJ98)</f>
        <v>#N/A</v>
      </c>
      <c r="AL98" s="323"/>
    </row>
    <row r="99" spans="1:38">
      <c r="A99" s="1301" t="s">
        <v>522</v>
      </c>
      <c r="B99" s="1803" t="e">
        <v>#N/A</v>
      </c>
      <c r="C99" s="1802" t="e">
        <v>#N/A</v>
      </c>
      <c r="D99" s="3593" t="e">
        <v>#N/A</v>
      </c>
      <c r="E99" s="3593" t="e">
        <v>#N/A</v>
      </c>
      <c r="F99" s="3593" t="e">
        <v>#N/A</v>
      </c>
      <c r="G99" s="1802" t="e">
        <v>#N/A</v>
      </c>
      <c r="H99" s="3593" t="e">
        <v>#N/A</v>
      </c>
      <c r="I99" s="1803" t="e">
        <v>#N/A</v>
      </c>
      <c r="J99" s="3593" t="e">
        <v>#N/A</v>
      </c>
      <c r="K99" s="2895" t="e">
        <v>#N/A</v>
      </c>
      <c r="L99" s="2895" t="e">
        <v>#N/A</v>
      </c>
      <c r="M99" s="2889" t="e">
        <f>+'2.6'!D121*1000-SUM(B99:C99,G99,L99)</f>
        <v>#N/A</v>
      </c>
      <c r="N99" s="1802" t="e">
        <v>#N/A</v>
      </c>
      <c r="O99" s="1802" t="e">
        <v>#N/A</v>
      </c>
      <c r="P99" s="3593" t="e">
        <v>#N/A</v>
      </c>
      <c r="Q99" s="1808" t="e">
        <v>#N/A</v>
      </c>
      <c r="R99" s="3593" t="e">
        <v>#N/A</v>
      </c>
      <c r="S99" s="1802" t="e">
        <v>#N/A</v>
      </c>
      <c r="T99" s="3593" t="e">
        <v>#N/A</v>
      </c>
      <c r="U99" s="1803" t="e">
        <v>#N/A</v>
      </c>
      <c r="V99" s="3593" t="e">
        <v>#N/A</v>
      </c>
      <c r="W99" s="1809" t="e">
        <v>#N/A</v>
      </c>
      <c r="X99" s="1810" t="e">
        <v>#N/A</v>
      </c>
      <c r="Y99" s="2891" t="e">
        <f>'2.6'!I121*1000-SUM(N99:O99,S99,X99)</f>
        <v>#N/A</v>
      </c>
      <c r="Z99" s="1802" t="e">
        <v>#N/A</v>
      </c>
      <c r="AA99" s="1802" t="e">
        <v>#N/A</v>
      </c>
      <c r="AB99" s="3593" t="e">
        <v>#N/A</v>
      </c>
      <c r="AC99" s="1808" t="e">
        <v>#N/A</v>
      </c>
      <c r="AD99" s="3593" t="e">
        <v>#N/A</v>
      </c>
      <c r="AE99" s="1811" t="e">
        <v>#N/A</v>
      </c>
      <c r="AF99" s="3594" t="e">
        <v>#N/A</v>
      </c>
      <c r="AG99" s="1812" t="e">
        <v>#N/A</v>
      </c>
      <c r="AH99" s="3594" t="e">
        <v>#N/A</v>
      </c>
      <c r="AI99" s="1813" t="e">
        <v>#N/A</v>
      </c>
      <c r="AJ99" s="1810" t="e">
        <v>#N/A</v>
      </c>
      <c r="AK99" s="2891" t="e">
        <f>'2.6'!U121*1000-SUM(Z99:AA99,AE99,AJ99)</f>
        <v>#N/A</v>
      </c>
      <c r="AL99" s="323"/>
    </row>
    <row r="100" spans="1:38">
      <c r="A100" s="1301" t="s">
        <v>523</v>
      </c>
      <c r="B100" s="1803" t="e">
        <v>#N/A</v>
      </c>
      <c r="C100" s="1802" t="e">
        <v>#N/A</v>
      </c>
      <c r="D100" s="3593" t="e">
        <v>#N/A</v>
      </c>
      <c r="E100" s="3593" t="e">
        <v>#N/A</v>
      </c>
      <c r="F100" s="3593" t="e">
        <v>#N/A</v>
      </c>
      <c r="G100" s="1802" t="e">
        <v>#N/A</v>
      </c>
      <c r="H100" s="3593" t="e">
        <v>#N/A</v>
      </c>
      <c r="I100" s="1803" t="e">
        <v>#N/A</v>
      </c>
      <c r="J100" s="3593" t="e">
        <v>#N/A</v>
      </c>
      <c r="K100" s="2895" t="e">
        <v>#N/A</v>
      </c>
      <c r="L100" s="2895" t="e">
        <v>#N/A</v>
      </c>
      <c r="M100" s="2889" t="e">
        <f>+'2.6'!D122*1000-SUM(B100:C100,G100,L100)</f>
        <v>#N/A</v>
      </c>
      <c r="N100" s="1802" t="e">
        <v>#N/A</v>
      </c>
      <c r="O100" s="1802" t="e">
        <v>#N/A</v>
      </c>
      <c r="P100" s="3593" t="e">
        <v>#N/A</v>
      </c>
      <c r="Q100" s="1808" t="e">
        <v>#N/A</v>
      </c>
      <c r="R100" s="3593" t="e">
        <v>#N/A</v>
      </c>
      <c r="S100" s="1802" t="e">
        <v>#N/A</v>
      </c>
      <c r="T100" s="3593" t="e">
        <v>#N/A</v>
      </c>
      <c r="U100" s="1803" t="e">
        <v>#N/A</v>
      </c>
      <c r="V100" s="3593" t="e">
        <v>#N/A</v>
      </c>
      <c r="W100" s="1809" t="e">
        <v>#N/A</v>
      </c>
      <c r="X100" s="1810" t="e">
        <v>#N/A</v>
      </c>
      <c r="Y100" s="2891" t="e">
        <f>'2.6'!I122*1000-SUM(N100:O100,S100,X100)</f>
        <v>#N/A</v>
      </c>
      <c r="Z100" s="1802" t="e">
        <v>#N/A</v>
      </c>
      <c r="AA100" s="1802" t="e">
        <v>#N/A</v>
      </c>
      <c r="AB100" s="3593" t="e">
        <v>#N/A</v>
      </c>
      <c r="AC100" s="1808" t="e">
        <v>#N/A</v>
      </c>
      <c r="AD100" s="3593" t="e">
        <v>#N/A</v>
      </c>
      <c r="AE100" s="1811" t="e">
        <v>#N/A</v>
      </c>
      <c r="AF100" s="3594" t="e">
        <v>#N/A</v>
      </c>
      <c r="AG100" s="1812" t="e">
        <v>#N/A</v>
      </c>
      <c r="AH100" s="3594" t="e">
        <v>#N/A</v>
      </c>
      <c r="AI100" s="1813" t="e">
        <v>#N/A</v>
      </c>
      <c r="AJ100" s="1810" t="e">
        <v>#N/A</v>
      </c>
      <c r="AK100" s="2891" t="e">
        <f>'2.6'!U122*1000-SUM(Z100:AA100,AE100,AJ100)</f>
        <v>#N/A</v>
      </c>
      <c r="AL100" s="323"/>
    </row>
    <row r="101" spans="1:38">
      <c r="A101" s="1301" t="s">
        <v>524</v>
      </c>
      <c r="B101" s="1803" t="e">
        <v>#N/A</v>
      </c>
      <c r="C101" s="1802" t="e">
        <v>#N/A</v>
      </c>
      <c r="D101" s="3593" t="e">
        <v>#N/A</v>
      </c>
      <c r="E101" s="3593" t="e">
        <v>#N/A</v>
      </c>
      <c r="F101" s="3593" t="e">
        <v>#N/A</v>
      </c>
      <c r="G101" s="1802" t="e">
        <v>#N/A</v>
      </c>
      <c r="H101" s="3593" t="e">
        <v>#N/A</v>
      </c>
      <c r="I101" s="1803" t="e">
        <v>#N/A</v>
      </c>
      <c r="J101" s="3593" t="e">
        <v>#N/A</v>
      </c>
      <c r="K101" s="2895" t="e">
        <v>#N/A</v>
      </c>
      <c r="L101" s="2895" t="e">
        <v>#N/A</v>
      </c>
      <c r="M101" s="2889" t="e">
        <f>+'2.6'!D123*1000-SUM(B101:C101,G101,L101)</f>
        <v>#N/A</v>
      </c>
      <c r="N101" s="1802" t="e">
        <v>#N/A</v>
      </c>
      <c r="O101" s="1802" t="e">
        <v>#N/A</v>
      </c>
      <c r="P101" s="3593" t="e">
        <v>#N/A</v>
      </c>
      <c r="Q101" s="1808" t="e">
        <v>#N/A</v>
      </c>
      <c r="R101" s="3593" t="e">
        <v>#N/A</v>
      </c>
      <c r="S101" s="1802" t="e">
        <v>#N/A</v>
      </c>
      <c r="T101" s="3593" t="e">
        <v>#N/A</v>
      </c>
      <c r="U101" s="1803" t="e">
        <v>#N/A</v>
      </c>
      <c r="V101" s="3593" t="e">
        <v>#N/A</v>
      </c>
      <c r="W101" s="1809" t="e">
        <v>#N/A</v>
      </c>
      <c r="X101" s="1810" t="e">
        <v>#N/A</v>
      </c>
      <c r="Y101" s="2891" t="e">
        <f>'2.6'!I123*1000-SUM(N101:O101,S101,X101)</f>
        <v>#N/A</v>
      </c>
      <c r="Z101" s="1802" t="e">
        <v>#N/A</v>
      </c>
      <c r="AA101" s="1802" t="e">
        <v>#N/A</v>
      </c>
      <c r="AB101" s="3593" t="e">
        <v>#N/A</v>
      </c>
      <c r="AC101" s="1808" t="e">
        <v>#N/A</v>
      </c>
      <c r="AD101" s="3593" t="e">
        <v>#N/A</v>
      </c>
      <c r="AE101" s="1811" t="e">
        <v>#N/A</v>
      </c>
      <c r="AF101" s="3594" t="e">
        <v>#N/A</v>
      </c>
      <c r="AG101" s="1812" t="e">
        <v>#N/A</v>
      </c>
      <c r="AH101" s="3594" t="e">
        <v>#N/A</v>
      </c>
      <c r="AI101" s="1813" t="e">
        <v>#N/A</v>
      </c>
      <c r="AJ101" s="1810" t="e">
        <v>#N/A</v>
      </c>
      <c r="AK101" s="2891" t="e">
        <f>'2.6'!U123*1000-SUM(Z101:AA101,AE101,AJ101)</f>
        <v>#N/A</v>
      </c>
      <c r="AL101" s="323"/>
    </row>
    <row r="102" spans="1:38">
      <c r="A102" s="1301" t="s">
        <v>525</v>
      </c>
      <c r="B102" s="1803" t="e">
        <v>#N/A</v>
      </c>
      <c r="C102" s="1802" t="e">
        <v>#N/A</v>
      </c>
      <c r="D102" s="3593" t="e">
        <v>#N/A</v>
      </c>
      <c r="E102" s="3593" t="e">
        <v>#N/A</v>
      </c>
      <c r="F102" s="3593" t="e">
        <v>#N/A</v>
      </c>
      <c r="G102" s="1802" t="e">
        <v>#N/A</v>
      </c>
      <c r="H102" s="3593" t="e">
        <v>#N/A</v>
      </c>
      <c r="I102" s="1803" t="e">
        <v>#N/A</v>
      </c>
      <c r="J102" s="3593" t="e">
        <v>#N/A</v>
      </c>
      <c r="K102" s="2895" t="e">
        <v>#N/A</v>
      </c>
      <c r="L102" s="2895" t="e">
        <v>#N/A</v>
      </c>
      <c r="M102" s="2889" t="e">
        <f>+'2.6'!D124*1000-SUM(B102:C102,G102,L102)</f>
        <v>#N/A</v>
      </c>
      <c r="N102" s="1802" t="e">
        <v>#N/A</v>
      </c>
      <c r="O102" s="1802" t="e">
        <v>#N/A</v>
      </c>
      <c r="P102" s="3593" t="e">
        <v>#N/A</v>
      </c>
      <c r="Q102" s="1808" t="e">
        <v>#N/A</v>
      </c>
      <c r="R102" s="3593" t="e">
        <v>#N/A</v>
      </c>
      <c r="S102" s="1802" t="e">
        <v>#N/A</v>
      </c>
      <c r="T102" s="3593" t="e">
        <v>#N/A</v>
      </c>
      <c r="U102" s="1803" t="e">
        <v>#N/A</v>
      </c>
      <c r="V102" s="3593" t="e">
        <v>#N/A</v>
      </c>
      <c r="W102" s="1809" t="e">
        <v>#N/A</v>
      </c>
      <c r="X102" s="1810" t="e">
        <v>#N/A</v>
      </c>
      <c r="Y102" s="2891" t="e">
        <f>'2.6'!I124*1000-SUM(N102:O102,S102,X102)</f>
        <v>#N/A</v>
      </c>
      <c r="Z102" s="1802" t="e">
        <v>#N/A</v>
      </c>
      <c r="AA102" s="1802" t="e">
        <v>#N/A</v>
      </c>
      <c r="AB102" s="3593" t="e">
        <v>#N/A</v>
      </c>
      <c r="AC102" s="1808" t="e">
        <v>#N/A</v>
      </c>
      <c r="AD102" s="3593" t="e">
        <v>#N/A</v>
      </c>
      <c r="AE102" s="1811" t="e">
        <v>#N/A</v>
      </c>
      <c r="AF102" s="3594" t="e">
        <v>#N/A</v>
      </c>
      <c r="AG102" s="1812" t="e">
        <v>#N/A</v>
      </c>
      <c r="AH102" s="3594" t="e">
        <v>#N/A</v>
      </c>
      <c r="AI102" s="1813" t="e">
        <v>#N/A</v>
      </c>
      <c r="AJ102" s="1810" t="e">
        <v>#N/A</v>
      </c>
      <c r="AK102" s="2891" t="e">
        <f>'2.6'!U124*1000-SUM(Z102:AA102,AE102,AJ102)</f>
        <v>#N/A</v>
      </c>
      <c r="AL102" s="323"/>
    </row>
    <row r="103" spans="1:38">
      <c r="A103" s="1301" t="s">
        <v>526</v>
      </c>
      <c r="B103" s="1803" t="e">
        <v>#N/A</v>
      </c>
      <c r="C103" s="1802" t="e">
        <v>#N/A</v>
      </c>
      <c r="D103" s="3593" t="e">
        <v>#N/A</v>
      </c>
      <c r="E103" s="3593" t="e">
        <v>#N/A</v>
      </c>
      <c r="F103" s="3593" t="e">
        <v>#N/A</v>
      </c>
      <c r="G103" s="1802" t="e">
        <v>#N/A</v>
      </c>
      <c r="H103" s="3593" t="e">
        <v>#N/A</v>
      </c>
      <c r="I103" s="1803" t="e">
        <v>#N/A</v>
      </c>
      <c r="J103" s="3593" t="e">
        <v>#N/A</v>
      </c>
      <c r="K103" s="2895" t="e">
        <v>#N/A</v>
      </c>
      <c r="L103" s="2895" t="e">
        <v>#N/A</v>
      </c>
      <c r="M103" s="2889" t="e">
        <f>+'2.6'!D125*1000-SUM(B103:C103,G103,L103)</f>
        <v>#N/A</v>
      </c>
      <c r="N103" s="1802" t="e">
        <v>#N/A</v>
      </c>
      <c r="O103" s="1802" t="e">
        <v>#N/A</v>
      </c>
      <c r="P103" s="3593" t="e">
        <v>#N/A</v>
      </c>
      <c r="Q103" s="1808" t="e">
        <v>#N/A</v>
      </c>
      <c r="R103" s="3593" t="e">
        <v>#N/A</v>
      </c>
      <c r="S103" s="1802" t="e">
        <v>#N/A</v>
      </c>
      <c r="T103" s="3593" t="e">
        <v>#N/A</v>
      </c>
      <c r="U103" s="1803" t="e">
        <v>#N/A</v>
      </c>
      <c r="V103" s="3593" t="e">
        <v>#N/A</v>
      </c>
      <c r="W103" s="1809" t="e">
        <v>#N/A</v>
      </c>
      <c r="X103" s="1810" t="e">
        <v>#N/A</v>
      </c>
      <c r="Y103" s="2891" t="e">
        <f>'2.6'!I125*1000-SUM(N103:O103,S103,X103)</f>
        <v>#N/A</v>
      </c>
      <c r="Z103" s="1802" t="e">
        <v>#N/A</v>
      </c>
      <c r="AA103" s="1802" t="e">
        <v>#N/A</v>
      </c>
      <c r="AB103" s="3593" t="e">
        <v>#N/A</v>
      </c>
      <c r="AC103" s="1808" t="e">
        <v>#N/A</v>
      </c>
      <c r="AD103" s="3593" t="e">
        <v>#N/A</v>
      </c>
      <c r="AE103" s="1811" t="e">
        <v>#N/A</v>
      </c>
      <c r="AF103" s="3594" t="e">
        <v>#N/A</v>
      </c>
      <c r="AG103" s="1812" t="e">
        <v>#N/A</v>
      </c>
      <c r="AH103" s="3594" t="e">
        <v>#N/A</v>
      </c>
      <c r="AI103" s="1813" t="e">
        <v>#N/A</v>
      </c>
      <c r="AJ103" s="1810" t="e">
        <v>#N/A</v>
      </c>
      <c r="AK103" s="2891" t="e">
        <f>'2.6'!U125*1000-SUM(Z103:AA103,AE103,AJ103)</f>
        <v>#N/A</v>
      </c>
      <c r="AL103" s="323"/>
    </row>
    <row r="104" spans="1:38">
      <c r="A104" s="1301" t="s">
        <v>527</v>
      </c>
      <c r="B104" s="1803" t="e">
        <v>#N/A</v>
      </c>
      <c r="C104" s="1802" t="e">
        <v>#N/A</v>
      </c>
      <c r="D104" s="3593" t="e">
        <v>#N/A</v>
      </c>
      <c r="E104" s="3593" t="e">
        <v>#N/A</v>
      </c>
      <c r="F104" s="3593" t="e">
        <v>#N/A</v>
      </c>
      <c r="G104" s="1802" t="e">
        <v>#N/A</v>
      </c>
      <c r="H104" s="3593" t="e">
        <v>#N/A</v>
      </c>
      <c r="I104" s="1803" t="e">
        <v>#N/A</v>
      </c>
      <c r="J104" s="3593" t="e">
        <v>#N/A</v>
      </c>
      <c r="K104" s="2895" t="e">
        <v>#N/A</v>
      </c>
      <c r="L104" s="2895" t="e">
        <v>#N/A</v>
      </c>
      <c r="M104" s="2889" t="e">
        <f>+'2.6'!D126*1000-SUM(B104:C104,G104,L104)</f>
        <v>#N/A</v>
      </c>
      <c r="N104" s="1802" t="e">
        <v>#N/A</v>
      </c>
      <c r="O104" s="1802" t="e">
        <v>#N/A</v>
      </c>
      <c r="P104" s="3593" t="e">
        <v>#N/A</v>
      </c>
      <c r="Q104" s="1808" t="e">
        <v>#N/A</v>
      </c>
      <c r="R104" s="3593" t="e">
        <v>#N/A</v>
      </c>
      <c r="S104" s="1802" t="e">
        <v>#N/A</v>
      </c>
      <c r="T104" s="3593" t="e">
        <v>#N/A</v>
      </c>
      <c r="U104" s="1803" t="e">
        <v>#N/A</v>
      </c>
      <c r="V104" s="3593" t="e">
        <v>#N/A</v>
      </c>
      <c r="W104" s="1809" t="e">
        <v>#N/A</v>
      </c>
      <c r="X104" s="1810" t="e">
        <v>#N/A</v>
      </c>
      <c r="Y104" s="2891" t="e">
        <f>'2.6'!I126*1000-SUM(N104:O104,S104,X104)</f>
        <v>#N/A</v>
      </c>
      <c r="Z104" s="1802" t="e">
        <v>#N/A</v>
      </c>
      <c r="AA104" s="1802" t="e">
        <v>#N/A</v>
      </c>
      <c r="AB104" s="3593" t="e">
        <v>#N/A</v>
      </c>
      <c r="AC104" s="1808" t="e">
        <v>#N/A</v>
      </c>
      <c r="AD104" s="3593" t="e">
        <v>#N/A</v>
      </c>
      <c r="AE104" s="1811" t="e">
        <v>#N/A</v>
      </c>
      <c r="AF104" s="3594" t="e">
        <v>#N/A</v>
      </c>
      <c r="AG104" s="1812" t="e">
        <v>#N/A</v>
      </c>
      <c r="AH104" s="3594" t="e">
        <v>#N/A</v>
      </c>
      <c r="AI104" s="1813" t="e">
        <v>#N/A</v>
      </c>
      <c r="AJ104" s="1810" t="e">
        <v>#N/A</v>
      </c>
      <c r="AK104" s="2891" t="e">
        <f>'2.6'!U126*1000-SUM(Z104:AA104,AE104,AJ104)</f>
        <v>#N/A</v>
      </c>
      <c r="AL104" s="323"/>
    </row>
    <row r="105" spans="1:38">
      <c r="A105" s="1301" t="s">
        <v>528</v>
      </c>
      <c r="B105" s="1803" t="e">
        <v>#N/A</v>
      </c>
      <c r="C105" s="1802" t="e">
        <v>#N/A</v>
      </c>
      <c r="D105" s="3593" t="e">
        <v>#N/A</v>
      </c>
      <c r="E105" s="3593" t="e">
        <v>#N/A</v>
      </c>
      <c r="F105" s="3593" t="e">
        <v>#N/A</v>
      </c>
      <c r="G105" s="1802" t="e">
        <v>#N/A</v>
      </c>
      <c r="H105" s="3593" t="e">
        <v>#N/A</v>
      </c>
      <c r="I105" s="1803" t="e">
        <v>#N/A</v>
      </c>
      <c r="J105" s="3593" t="e">
        <v>#N/A</v>
      </c>
      <c r="K105" s="2895" t="e">
        <v>#N/A</v>
      </c>
      <c r="L105" s="2895" t="e">
        <v>#N/A</v>
      </c>
      <c r="M105" s="2889" t="e">
        <f>+'2.6'!D127*1000-SUM(B105:C105,G105,L105)</f>
        <v>#N/A</v>
      </c>
      <c r="N105" s="1802" t="e">
        <v>#N/A</v>
      </c>
      <c r="O105" s="1802" t="e">
        <v>#N/A</v>
      </c>
      <c r="P105" s="3593" t="e">
        <v>#N/A</v>
      </c>
      <c r="Q105" s="1808" t="e">
        <v>#N/A</v>
      </c>
      <c r="R105" s="3593" t="e">
        <v>#N/A</v>
      </c>
      <c r="S105" s="1802" t="e">
        <v>#N/A</v>
      </c>
      <c r="T105" s="3593" t="e">
        <v>#N/A</v>
      </c>
      <c r="U105" s="1803" t="e">
        <v>#N/A</v>
      </c>
      <c r="V105" s="3593" t="e">
        <v>#N/A</v>
      </c>
      <c r="W105" s="1809" t="e">
        <v>#N/A</v>
      </c>
      <c r="X105" s="1810" t="e">
        <v>#N/A</v>
      </c>
      <c r="Y105" s="2891" t="e">
        <f>'2.6'!I127*1000-SUM(N105:O105,S105,X105)</f>
        <v>#N/A</v>
      </c>
      <c r="Z105" s="1802" t="e">
        <v>#N/A</v>
      </c>
      <c r="AA105" s="1802" t="e">
        <v>#N/A</v>
      </c>
      <c r="AB105" s="3593" t="e">
        <v>#N/A</v>
      </c>
      <c r="AC105" s="1808" t="e">
        <v>#N/A</v>
      </c>
      <c r="AD105" s="3593" t="e">
        <v>#N/A</v>
      </c>
      <c r="AE105" s="1811" t="e">
        <v>#N/A</v>
      </c>
      <c r="AF105" s="3594" t="e">
        <v>#N/A</v>
      </c>
      <c r="AG105" s="1812" t="e">
        <v>#N/A</v>
      </c>
      <c r="AH105" s="3594" t="e">
        <v>#N/A</v>
      </c>
      <c r="AI105" s="1813" t="e">
        <v>#N/A</v>
      </c>
      <c r="AJ105" s="1810" t="e">
        <v>#N/A</v>
      </c>
      <c r="AK105" s="2891" t="e">
        <f>'2.6'!U127*1000-SUM(Z105:AA105,AE105,AJ105)</f>
        <v>#N/A</v>
      </c>
      <c r="AL105" s="323"/>
    </row>
    <row r="106" spans="1:38">
      <c r="A106" s="1301" t="s">
        <v>529</v>
      </c>
      <c r="B106" s="1803" t="e">
        <v>#N/A</v>
      </c>
      <c r="C106" s="1802" t="e">
        <v>#N/A</v>
      </c>
      <c r="D106" s="3593" t="e">
        <v>#N/A</v>
      </c>
      <c r="E106" s="3593" t="e">
        <v>#N/A</v>
      </c>
      <c r="F106" s="3593" t="e">
        <v>#N/A</v>
      </c>
      <c r="G106" s="1802" t="e">
        <v>#N/A</v>
      </c>
      <c r="H106" s="3593" t="e">
        <v>#N/A</v>
      </c>
      <c r="I106" s="1803" t="e">
        <v>#N/A</v>
      </c>
      <c r="J106" s="3593" t="e">
        <v>#N/A</v>
      </c>
      <c r="K106" s="2895" t="e">
        <v>#N/A</v>
      </c>
      <c r="L106" s="2895" t="e">
        <v>#N/A</v>
      </c>
      <c r="M106" s="2889" t="e">
        <f>+'2.6'!D128*1000-SUM(B106:C106,G106,L106)</f>
        <v>#N/A</v>
      </c>
      <c r="N106" s="1802" t="e">
        <v>#N/A</v>
      </c>
      <c r="O106" s="1802" t="e">
        <v>#N/A</v>
      </c>
      <c r="P106" s="3593" t="e">
        <v>#N/A</v>
      </c>
      <c r="Q106" s="1808" t="e">
        <v>#N/A</v>
      </c>
      <c r="R106" s="3593" t="e">
        <v>#N/A</v>
      </c>
      <c r="S106" s="1802" t="e">
        <v>#N/A</v>
      </c>
      <c r="T106" s="3593" t="e">
        <v>#N/A</v>
      </c>
      <c r="U106" s="1803" t="e">
        <v>#N/A</v>
      </c>
      <c r="V106" s="3593" t="e">
        <v>#N/A</v>
      </c>
      <c r="W106" s="1809" t="e">
        <v>#N/A</v>
      </c>
      <c r="X106" s="1810" t="e">
        <v>#N/A</v>
      </c>
      <c r="Y106" s="2891" t="e">
        <f>'2.6'!I128*1000-SUM(N106:O106,S106,X106)</f>
        <v>#N/A</v>
      </c>
      <c r="Z106" s="1802" t="e">
        <v>#N/A</v>
      </c>
      <c r="AA106" s="1802" t="e">
        <v>#N/A</v>
      </c>
      <c r="AB106" s="3593" t="e">
        <v>#N/A</v>
      </c>
      <c r="AC106" s="1808" t="e">
        <v>#N/A</v>
      </c>
      <c r="AD106" s="3593" t="e">
        <v>#N/A</v>
      </c>
      <c r="AE106" s="1811" t="e">
        <v>#N/A</v>
      </c>
      <c r="AF106" s="3594" t="e">
        <v>#N/A</v>
      </c>
      <c r="AG106" s="1812" t="e">
        <v>#N/A</v>
      </c>
      <c r="AH106" s="3594" t="e">
        <v>#N/A</v>
      </c>
      <c r="AI106" s="1813" t="e">
        <v>#N/A</v>
      </c>
      <c r="AJ106" s="1810" t="e">
        <v>#N/A</v>
      </c>
      <c r="AK106" s="2891" t="e">
        <f>'2.6'!U128*1000-SUM(Z106:AA106,AE106,AJ106)</f>
        <v>#N/A</v>
      </c>
      <c r="AL106" s="323"/>
    </row>
    <row r="107" spans="1:38">
      <c r="A107" s="1301" t="s">
        <v>530</v>
      </c>
      <c r="B107" s="1803" t="e">
        <v>#N/A</v>
      </c>
      <c r="C107" s="1802" t="e">
        <v>#N/A</v>
      </c>
      <c r="D107" s="3593" t="e">
        <v>#N/A</v>
      </c>
      <c r="E107" s="3593" t="e">
        <v>#N/A</v>
      </c>
      <c r="F107" s="3593" t="e">
        <v>#N/A</v>
      </c>
      <c r="G107" s="1802" t="e">
        <v>#N/A</v>
      </c>
      <c r="H107" s="3593" t="e">
        <v>#N/A</v>
      </c>
      <c r="I107" s="1803" t="e">
        <v>#N/A</v>
      </c>
      <c r="J107" s="3593" t="e">
        <v>#N/A</v>
      </c>
      <c r="K107" s="2895" t="e">
        <v>#N/A</v>
      </c>
      <c r="L107" s="2895" t="e">
        <v>#N/A</v>
      </c>
      <c r="M107" s="2889" t="e">
        <f>+'2.6'!D129*1000-SUM(B107:C107,G107,L107)</f>
        <v>#N/A</v>
      </c>
      <c r="N107" s="1802" t="e">
        <v>#N/A</v>
      </c>
      <c r="O107" s="1802" t="e">
        <v>#N/A</v>
      </c>
      <c r="P107" s="3593" t="e">
        <v>#N/A</v>
      </c>
      <c r="Q107" s="1808" t="e">
        <v>#N/A</v>
      </c>
      <c r="R107" s="3593" t="e">
        <v>#N/A</v>
      </c>
      <c r="S107" s="1802" t="e">
        <v>#N/A</v>
      </c>
      <c r="T107" s="3593" t="e">
        <v>#N/A</v>
      </c>
      <c r="U107" s="1803" t="e">
        <v>#N/A</v>
      </c>
      <c r="V107" s="3593" t="e">
        <v>#N/A</v>
      </c>
      <c r="W107" s="1809" t="e">
        <v>#N/A</v>
      </c>
      <c r="X107" s="1810" t="e">
        <v>#N/A</v>
      </c>
      <c r="Y107" s="2891" t="e">
        <f>'2.6'!I129*1000-SUM(N107:O107,S107,X107)</f>
        <v>#N/A</v>
      </c>
      <c r="Z107" s="1802" t="e">
        <v>#N/A</v>
      </c>
      <c r="AA107" s="1802" t="e">
        <v>#N/A</v>
      </c>
      <c r="AB107" s="3593" t="e">
        <v>#N/A</v>
      </c>
      <c r="AC107" s="1808" t="e">
        <v>#N/A</v>
      </c>
      <c r="AD107" s="3593" t="e">
        <v>#N/A</v>
      </c>
      <c r="AE107" s="1811" t="e">
        <v>#N/A</v>
      </c>
      <c r="AF107" s="3594" t="e">
        <v>#N/A</v>
      </c>
      <c r="AG107" s="1812" t="e">
        <v>#N/A</v>
      </c>
      <c r="AH107" s="3594" t="e">
        <v>#N/A</v>
      </c>
      <c r="AI107" s="1813" t="e">
        <v>#N/A</v>
      </c>
      <c r="AJ107" s="1810" t="e">
        <v>#N/A</v>
      </c>
      <c r="AK107" s="2891" t="e">
        <f>'2.6'!U129*1000-SUM(Z107:AA107,AE107,AJ107)</f>
        <v>#N/A</v>
      </c>
      <c r="AL107" s="323"/>
    </row>
    <row r="108" spans="1:38">
      <c r="A108" s="1301" t="s">
        <v>531</v>
      </c>
      <c r="B108" s="1803" t="e">
        <v>#N/A</v>
      </c>
      <c r="C108" s="1802" t="e">
        <v>#N/A</v>
      </c>
      <c r="D108" s="3593" t="e">
        <v>#N/A</v>
      </c>
      <c r="E108" s="3593" t="e">
        <v>#N/A</v>
      </c>
      <c r="F108" s="3593" t="e">
        <v>#N/A</v>
      </c>
      <c r="G108" s="1802" t="e">
        <v>#N/A</v>
      </c>
      <c r="H108" s="3593" t="e">
        <v>#N/A</v>
      </c>
      <c r="I108" s="1803" t="e">
        <v>#N/A</v>
      </c>
      <c r="J108" s="3593" t="e">
        <v>#N/A</v>
      </c>
      <c r="K108" s="2895" t="e">
        <v>#N/A</v>
      </c>
      <c r="L108" s="2895" t="e">
        <v>#N/A</v>
      </c>
      <c r="M108" s="2889" t="e">
        <f>+'2.6'!D130*1000-SUM(B108:C108,G108,L108)</f>
        <v>#N/A</v>
      </c>
      <c r="N108" s="1802" t="e">
        <v>#N/A</v>
      </c>
      <c r="O108" s="1802" t="e">
        <v>#N/A</v>
      </c>
      <c r="P108" s="3593" t="e">
        <v>#N/A</v>
      </c>
      <c r="Q108" s="1808" t="e">
        <v>#N/A</v>
      </c>
      <c r="R108" s="3593" t="e">
        <v>#N/A</v>
      </c>
      <c r="S108" s="1802" t="e">
        <v>#N/A</v>
      </c>
      <c r="T108" s="3593" t="e">
        <v>#N/A</v>
      </c>
      <c r="U108" s="1803" t="e">
        <v>#N/A</v>
      </c>
      <c r="V108" s="3593" t="e">
        <v>#N/A</v>
      </c>
      <c r="W108" s="1809" t="e">
        <v>#N/A</v>
      </c>
      <c r="X108" s="1810" t="e">
        <v>#N/A</v>
      </c>
      <c r="Y108" s="2891" t="e">
        <f>'2.6'!I130*1000-SUM(N108:O108,S108,X108)</f>
        <v>#N/A</v>
      </c>
      <c r="Z108" s="1802" t="e">
        <v>#N/A</v>
      </c>
      <c r="AA108" s="1802" t="e">
        <v>#N/A</v>
      </c>
      <c r="AB108" s="3593" t="e">
        <v>#N/A</v>
      </c>
      <c r="AC108" s="1808" t="e">
        <v>#N/A</v>
      </c>
      <c r="AD108" s="3593" t="e">
        <v>#N/A</v>
      </c>
      <c r="AE108" s="1811" t="e">
        <v>#N/A</v>
      </c>
      <c r="AF108" s="3594" t="e">
        <v>#N/A</v>
      </c>
      <c r="AG108" s="1812" t="e">
        <v>#N/A</v>
      </c>
      <c r="AH108" s="3594" t="e">
        <v>#N/A</v>
      </c>
      <c r="AI108" s="1813" t="e">
        <v>#N/A</v>
      </c>
      <c r="AJ108" s="1810" t="e">
        <v>#N/A</v>
      </c>
      <c r="AK108" s="2891" t="e">
        <f>'2.6'!U130*1000-SUM(Z108:AA108,AE108,AJ108)</f>
        <v>#N/A</v>
      </c>
      <c r="AL108" s="323"/>
    </row>
    <row r="109" spans="1:38">
      <c r="A109" s="1301" t="s">
        <v>532</v>
      </c>
      <c r="B109" s="1803" t="e">
        <v>#N/A</v>
      </c>
      <c r="C109" s="1802" t="e">
        <v>#N/A</v>
      </c>
      <c r="D109" s="3593" t="e">
        <v>#N/A</v>
      </c>
      <c r="E109" s="3593" t="e">
        <v>#N/A</v>
      </c>
      <c r="F109" s="3593" t="e">
        <v>#N/A</v>
      </c>
      <c r="G109" s="1802" t="e">
        <v>#N/A</v>
      </c>
      <c r="H109" s="3593" t="e">
        <v>#N/A</v>
      </c>
      <c r="I109" s="1803" t="e">
        <v>#N/A</v>
      </c>
      <c r="J109" s="3593" t="e">
        <v>#N/A</v>
      </c>
      <c r="K109" s="2895" t="e">
        <v>#N/A</v>
      </c>
      <c r="L109" s="2895" t="e">
        <v>#N/A</v>
      </c>
      <c r="M109" s="2889" t="e">
        <f>+'2.6'!D131*1000-SUM(B109:C109,G109,L109)</f>
        <v>#N/A</v>
      </c>
      <c r="N109" s="1802" t="e">
        <v>#N/A</v>
      </c>
      <c r="O109" s="1802" t="e">
        <v>#N/A</v>
      </c>
      <c r="P109" s="3593" t="e">
        <v>#N/A</v>
      </c>
      <c r="Q109" s="1808" t="e">
        <v>#N/A</v>
      </c>
      <c r="R109" s="3593" t="e">
        <v>#N/A</v>
      </c>
      <c r="S109" s="1802" t="e">
        <v>#N/A</v>
      </c>
      <c r="T109" s="3593" t="e">
        <v>#N/A</v>
      </c>
      <c r="U109" s="1803" t="e">
        <v>#N/A</v>
      </c>
      <c r="V109" s="3593" t="e">
        <v>#N/A</v>
      </c>
      <c r="W109" s="1809" t="e">
        <v>#N/A</v>
      </c>
      <c r="X109" s="1810" t="e">
        <v>#N/A</v>
      </c>
      <c r="Y109" s="2891" t="e">
        <f>'2.6'!I131*1000-SUM(N109:O109,S109,X109)</f>
        <v>#N/A</v>
      </c>
      <c r="Z109" s="1802" t="e">
        <v>#N/A</v>
      </c>
      <c r="AA109" s="1802" t="e">
        <v>#N/A</v>
      </c>
      <c r="AB109" s="3593" t="e">
        <v>#N/A</v>
      </c>
      <c r="AC109" s="1808" t="e">
        <v>#N/A</v>
      </c>
      <c r="AD109" s="3593" t="e">
        <v>#N/A</v>
      </c>
      <c r="AE109" s="1811" t="e">
        <v>#N/A</v>
      </c>
      <c r="AF109" s="3594" t="e">
        <v>#N/A</v>
      </c>
      <c r="AG109" s="1812" t="e">
        <v>#N/A</v>
      </c>
      <c r="AH109" s="3594" t="e">
        <v>#N/A</v>
      </c>
      <c r="AI109" s="1813" t="e">
        <v>#N/A</v>
      </c>
      <c r="AJ109" s="1810" t="e">
        <v>#N/A</v>
      </c>
      <c r="AK109" s="2891" t="e">
        <f>'2.6'!U131*1000-SUM(Z109:AA109,AE109,AJ109)</f>
        <v>#N/A</v>
      </c>
      <c r="AL109" s="323"/>
    </row>
    <row r="110" spans="1:38">
      <c r="A110" s="1301" t="s">
        <v>533</v>
      </c>
      <c r="B110" s="1803" t="e">
        <v>#N/A</v>
      </c>
      <c r="C110" s="1802" t="e">
        <v>#N/A</v>
      </c>
      <c r="D110" s="3593" t="e">
        <v>#N/A</v>
      </c>
      <c r="E110" s="3593" t="e">
        <v>#N/A</v>
      </c>
      <c r="F110" s="3593" t="e">
        <v>#N/A</v>
      </c>
      <c r="G110" s="1802" t="e">
        <v>#N/A</v>
      </c>
      <c r="H110" s="3593" t="e">
        <v>#N/A</v>
      </c>
      <c r="I110" s="1803" t="e">
        <v>#N/A</v>
      </c>
      <c r="J110" s="3593" t="e">
        <v>#N/A</v>
      </c>
      <c r="K110" s="2895" t="e">
        <v>#N/A</v>
      </c>
      <c r="L110" s="2895" t="e">
        <v>#N/A</v>
      </c>
      <c r="M110" s="2889" t="e">
        <f>+'2.6'!D132*1000-SUM(B110:C110,G110,L110)</f>
        <v>#N/A</v>
      </c>
      <c r="N110" s="1802" t="e">
        <v>#N/A</v>
      </c>
      <c r="O110" s="1802" t="e">
        <v>#N/A</v>
      </c>
      <c r="P110" s="3593" t="e">
        <v>#N/A</v>
      </c>
      <c r="Q110" s="1808" t="e">
        <v>#N/A</v>
      </c>
      <c r="R110" s="3593" t="e">
        <v>#N/A</v>
      </c>
      <c r="S110" s="1802" t="e">
        <v>#N/A</v>
      </c>
      <c r="T110" s="3593" t="e">
        <v>#N/A</v>
      </c>
      <c r="U110" s="1803" t="e">
        <v>#N/A</v>
      </c>
      <c r="V110" s="3593" t="e">
        <v>#N/A</v>
      </c>
      <c r="W110" s="1809" t="e">
        <v>#N/A</v>
      </c>
      <c r="X110" s="1810" t="e">
        <v>#N/A</v>
      </c>
      <c r="Y110" s="2891" t="e">
        <f>'2.6'!I132*1000-SUM(N110:O110,S110,X110)</f>
        <v>#N/A</v>
      </c>
      <c r="Z110" s="1802" t="e">
        <v>#N/A</v>
      </c>
      <c r="AA110" s="1802" t="e">
        <v>#N/A</v>
      </c>
      <c r="AB110" s="3593" t="e">
        <v>#N/A</v>
      </c>
      <c r="AC110" s="1808" t="e">
        <v>#N/A</v>
      </c>
      <c r="AD110" s="3593" t="e">
        <v>#N/A</v>
      </c>
      <c r="AE110" s="1811" t="e">
        <v>#N/A</v>
      </c>
      <c r="AF110" s="3594" t="e">
        <v>#N/A</v>
      </c>
      <c r="AG110" s="1812" t="e">
        <v>#N/A</v>
      </c>
      <c r="AH110" s="3594" t="e">
        <v>#N/A</v>
      </c>
      <c r="AI110" s="1813" t="e">
        <v>#N/A</v>
      </c>
      <c r="AJ110" s="1810" t="e">
        <v>#N/A</v>
      </c>
      <c r="AK110" s="2891" t="e">
        <f>'2.6'!U132*1000-SUM(Z110:AA110,AE110,AJ110)</f>
        <v>#N/A</v>
      </c>
      <c r="AL110" s="323"/>
    </row>
    <row r="111" spans="1:38">
      <c r="A111" s="1301" t="s">
        <v>534</v>
      </c>
      <c r="B111" s="1803" t="e">
        <v>#N/A</v>
      </c>
      <c r="C111" s="1802" t="e">
        <v>#N/A</v>
      </c>
      <c r="D111" s="3593" t="e">
        <v>#N/A</v>
      </c>
      <c r="E111" s="3593" t="e">
        <v>#N/A</v>
      </c>
      <c r="F111" s="3593" t="e">
        <v>#N/A</v>
      </c>
      <c r="G111" s="1802" t="e">
        <v>#N/A</v>
      </c>
      <c r="H111" s="3593" t="e">
        <v>#N/A</v>
      </c>
      <c r="I111" s="1803" t="e">
        <v>#N/A</v>
      </c>
      <c r="J111" s="3593" t="e">
        <v>#N/A</v>
      </c>
      <c r="K111" s="2895" t="e">
        <v>#N/A</v>
      </c>
      <c r="L111" s="2895" t="e">
        <v>#N/A</v>
      </c>
      <c r="M111" s="2889" t="e">
        <f>+'2.6'!D133*1000-SUM(B111:C111,G111,L111)</f>
        <v>#N/A</v>
      </c>
      <c r="N111" s="1802" t="e">
        <v>#N/A</v>
      </c>
      <c r="O111" s="1802" t="e">
        <v>#N/A</v>
      </c>
      <c r="P111" s="3593" t="e">
        <v>#N/A</v>
      </c>
      <c r="Q111" s="1808" t="e">
        <v>#N/A</v>
      </c>
      <c r="R111" s="3593" t="e">
        <v>#N/A</v>
      </c>
      <c r="S111" s="1802" t="e">
        <v>#N/A</v>
      </c>
      <c r="T111" s="3593" t="e">
        <v>#N/A</v>
      </c>
      <c r="U111" s="1803" t="e">
        <v>#N/A</v>
      </c>
      <c r="V111" s="3593" t="e">
        <v>#N/A</v>
      </c>
      <c r="W111" s="1809" t="e">
        <v>#N/A</v>
      </c>
      <c r="X111" s="1810" t="e">
        <v>#N/A</v>
      </c>
      <c r="Y111" s="2891" t="e">
        <f>'2.6'!I133*1000-SUM(N111:O111,S111,X111)</f>
        <v>#N/A</v>
      </c>
      <c r="Z111" s="1802" t="e">
        <v>#N/A</v>
      </c>
      <c r="AA111" s="1802" t="e">
        <v>#N/A</v>
      </c>
      <c r="AB111" s="3593" t="e">
        <v>#N/A</v>
      </c>
      <c r="AC111" s="1808" t="e">
        <v>#N/A</v>
      </c>
      <c r="AD111" s="3593" t="e">
        <v>#N/A</v>
      </c>
      <c r="AE111" s="1811" t="e">
        <v>#N/A</v>
      </c>
      <c r="AF111" s="3594" t="e">
        <v>#N/A</v>
      </c>
      <c r="AG111" s="1812" t="e">
        <v>#N/A</v>
      </c>
      <c r="AH111" s="3594" t="e">
        <v>#N/A</v>
      </c>
      <c r="AI111" s="1813" t="e">
        <v>#N/A</v>
      </c>
      <c r="AJ111" s="1810" t="e">
        <v>#N/A</v>
      </c>
      <c r="AK111" s="2891" t="e">
        <f>'2.6'!U133*1000-SUM(Z111:AA111,AE111,AJ111)</f>
        <v>#N/A</v>
      </c>
      <c r="AL111" s="323"/>
    </row>
    <row r="112" spans="1:38">
      <c r="A112" s="1301" t="s">
        <v>535</v>
      </c>
      <c r="B112" s="1803" t="e">
        <v>#N/A</v>
      </c>
      <c r="C112" s="1802" t="e">
        <v>#N/A</v>
      </c>
      <c r="D112" s="3593" t="e">
        <v>#N/A</v>
      </c>
      <c r="E112" s="3593" t="e">
        <v>#N/A</v>
      </c>
      <c r="F112" s="3593" t="e">
        <v>#N/A</v>
      </c>
      <c r="G112" s="1802" t="e">
        <v>#N/A</v>
      </c>
      <c r="H112" s="3593" t="e">
        <v>#N/A</v>
      </c>
      <c r="I112" s="1803" t="e">
        <v>#N/A</v>
      </c>
      <c r="J112" s="3593" t="e">
        <v>#N/A</v>
      </c>
      <c r="K112" s="2895" t="e">
        <v>#N/A</v>
      </c>
      <c r="L112" s="2895" t="e">
        <v>#N/A</v>
      </c>
      <c r="M112" s="2889" t="e">
        <f>+'2.6'!D134*1000-SUM(B112:C112,G112,L112)</f>
        <v>#N/A</v>
      </c>
      <c r="N112" s="1802" t="e">
        <v>#N/A</v>
      </c>
      <c r="O112" s="1802" t="e">
        <v>#N/A</v>
      </c>
      <c r="P112" s="3593" t="e">
        <v>#N/A</v>
      </c>
      <c r="Q112" s="1808" t="e">
        <v>#N/A</v>
      </c>
      <c r="R112" s="3593" t="e">
        <v>#N/A</v>
      </c>
      <c r="S112" s="1802" t="e">
        <v>#N/A</v>
      </c>
      <c r="T112" s="3593" t="e">
        <v>#N/A</v>
      </c>
      <c r="U112" s="1803" t="e">
        <v>#N/A</v>
      </c>
      <c r="V112" s="3593" t="e">
        <v>#N/A</v>
      </c>
      <c r="W112" s="1809" t="e">
        <v>#N/A</v>
      </c>
      <c r="X112" s="1810" t="e">
        <v>#N/A</v>
      </c>
      <c r="Y112" s="2891" t="e">
        <f>'2.6'!I134*1000-SUM(N112:O112,S112,X112)</f>
        <v>#N/A</v>
      </c>
      <c r="Z112" s="1802" t="e">
        <v>#N/A</v>
      </c>
      <c r="AA112" s="1802" t="e">
        <v>#N/A</v>
      </c>
      <c r="AB112" s="3593" t="e">
        <v>#N/A</v>
      </c>
      <c r="AC112" s="1808" t="e">
        <v>#N/A</v>
      </c>
      <c r="AD112" s="3593" t="e">
        <v>#N/A</v>
      </c>
      <c r="AE112" s="1811" t="e">
        <v>#N/A</v>
      </c>
      <c r="AF112" s="3594" t="e">
        <v>#N/A</v>
      </c>
      <c r="AG112" s="1812" t="e">
        <v>#N/A</v>
      </c>
      <c r="AH112" s="3594" t="e">
        <v>#N/A</v>
      </c>
      <c r="AI112" s="1813" t="e">
        <v>#N/A</v>
      </c>
      <c r="AJ112" s="1810" t="e">
        <v>#N/A</v>
      </c>
      <c r="AK112" s="2891" t="e">
        <f>'2.6'!U134*1000-SUM(Z112:AA112,AE112,AJ112)</f>
        <v>#N/A</v>
      </c>
      <c r="AL112" s="323"/>
    </row>
    <row r="113" spans="1:38">
      <c r="A113" s="1301" t="s">
        <v>536</v>
      </c>
      <c r="B113" s="1803" t="e">
        <v>#N/A</v>
      </c>
      <c r="C113" s="1802" t="e">
        <v>#N/A</v>
      </c>
      <c r="D113" s="3593" t="e">
        <v>#N/A</v>
      </c>
      <c r="E113" s="3593" t="e">
        <v>#N/A</v>
      </c>
      <c r="F113" s="3593" t="e">
        <v>#N/A</v>
      </c>
      <c r="G113" s="1802" t="e">
        <v>#N/A</v>
      </c>
      <c r="H113" s="3593" t="e">
        <v>#N/A</v>
      </c>
      <c r="I113" s="1803" t="e">
        <v>#N/A</v>
      </c>
      <c r="J113" s="3593" t="e">
        <v>#N/A</v>
      </c>
      <c r="K113" s="2895" t="e">
        <v>#N/A</v>
      </c>
      <c r="L113" s="2895" t="e">
        <v>#N/A</v>
      </c>
      <c r="M113" s="2889" t="e">
        <f>+'2.6'!D135*1000-SUM(B113:C113,G113,L113)</f>
        <v>#N/A</v>
      </c>
      <c r="N113" s="1802" t="e">
        <v>#N/A</v>
      </c>
      <c r="O113" s="1802" t="e">
        <v>#N/A</v>
      </c>
      <c r="P113" s="3593" t="e">
        <v>#N/A</v>
      </c>
      <c r="Q113" s="1808" t="e">
        <v>#N/A</v>
      </c>
      <c r="R113" s="3593" t="e">
        <v>#N/A</v>
      </c>
      <c r="S113" s="1802" t="e">
        <v>#N/A</v>
      </c>
      <c r="T113" s="3593" t="e">
        <v>#N/A</v>
      </c>
      <c r="U113" s="1803" t="e">
        <v>#N/A</v>
      </c>
      <c r="V113" s="3593" t="e">
        <v>#N/A</v>
      </c>
      <c r="W113" s="1809" t="e">
        <v>#N/A</v>
      </c>
      <c r="X113" s="1810" t="e">
        <v>#N/A</v>
      </c>
      <c r="Y113" s="2891" t="e">
        <f>'2.6'!I135*1000-SUM(N113:O113,S113,X113)</f>
        <v>#N/A</v>
      </c>
      <c r="Z113" s="1802" t="e">
        <v>#N/A</v>
      </c>
      <c r="AA113" s="1802" t="e">
        <v>#N/A</v>
      </c>
      <c r="AB113" s="3593" t="e">
        <v>#N/A</v>
      </c>
      <c r="AC113" s="1808" t="e">
        <v>#N/A</v>
      </c>
      <c r="AD113" s="3593" t="e">
        <v>#N/A</v>
      </c>
      <c r="AE113" s="1811" t="e">
        <v>#N/A</v>
      </c>
      <c r="AF113" s="3594" t="e">
        <v>#N/A</v>
      </c>
      <c r="AG113" s="1812" t="e">
        <v>#N/A</v>
      </c>
      <c r="AH113" s="3594" t="e">
        <v>#N/A</v>
      </c>
      <c r="AI113" s="1813" t="e">
        <v>#N/A</v>
      </c>
      <c r="AJ113" s="1810" t="e">
        <v>#N/A</v>
      </c>
      <c r="AK113" s="2891" t="e">
        <f>'2.6'!U135*1000-SUM(Z113:AA113,AE113,AJ113)</f>
        <v>#N/A</v>
      </c>
      <c r="AL113" s="323"/>
    </row>
    <row r="114" spans="1:38">
      <c r="A114" s="1301" t="s">
        <v>537</v>
      </c>
      <c r="B114" s="1803" t="e">
        <v>#N/A</v>
      </c>
      <c r="C114" s="1802" t="e">
        <v>#N/A</v>
      </c>
      <c r="D114" s="3593" t="e">
        <v>#N/A</v>
      </c>
      <c r="E114" s="3593" t="e">
        <v>#N/A</v>
      </c>
      <c r="F114" s="3593" t="e">
        <v>#N/A</v>
      </c>
      <c r="G114" s="1802" t="e">
        <v>#N/A</v>
      </c>
      <c r="H114" s="3593" t="e">
        <v>#N/A</v>
      </c>
      <c r="I114" s="1803" t="e">
        <v>#N/A</v>
      </c>
      <c r="J114" s="3593" t="e">
        <v>#N/A</v>
      </c>
      <c r="K114" s="2895" t="e">
        <v>#N/A</v>
      </c>
      <c r="L114" s="2895" t="e">
        <v>#N/A</v>
      </c>
      <c r="M114" s="2889" t="e">
        <f>+'2.6'!D136*1000-SUM(B114:C114,G114,L114)</f>
        <v>#N/A</v>
      </c>
      <c r="N114" s="1802" t="e">
        <v>#N/A</v>
      </c>
      <c r="O114" s="1802" t="e">
        <v>#N/A</v>
      </c>
      <c r="P114" s="3593" t="e">
        <v>#N/A</v>
      </c>
      <c r="Q114" s="1808" t="e">
        <v>#N/A</v>
      </c>
      <c r="R114" s="3593" t="e">
        <v>#N/A</v>
      </c>
      <c r="S114" s="1802" t="e">
        <v>#N/A</v>
      </c>
      <c r="T114" s="3593" t="e">
        <v>#N/A</v>
      </c>
      <c r="U114" s="1803" t="e">
        <v>#N/A</v>
      </c>
      <c r="V114" s="3593" t="e">
        <v>#N/A</v>
      </c>
      <c r="W114" s="1809" t="e">
        <v>#N/A</v>
      </c>
      <c r="X114" s="1810" t="e">
        <v>#N/A</v>
      </c>
      <c r="Y114" s="2891" t="e">
        <f>'2.6'!I136*1000-SUM(N114:O114,S114,X114)</f>
        <v>#N/A</v>
      </c>
      <c r="Z114" s="1802" t="e">
        <v>#N/A</v>
      </c>
      <c r="AA114" s="1802" t="e">
        <v>#N/A</v>
      </c>
      <c r="AB114" s="3593" t="e">
        <v>#N/A</v>
      </c>
      <c r="AC114" s="1808" t="e">
        <v>#N/A</v>
      </c>
      <c r="AD114" s="3593" t="e">
        <v>#N/A</v>
      </c>
      <c r="AE114" s="1811" t="e">
        <v>#N/A</v>
      </c>
      <c r="AF114" s="3594" t="e">
        <v>#N/A</v>
      </c>
      <c r="AG114" s="1812" t="e">
        <v>#N/A</v>
      </c>
      <c r="AH114" s="3594" t="e">
        <v>#N/A</v>
      </c>
      <c r="AI114" s="1813" t="e">
        <v>#N/A</v>
      </c>
      <c r="AJ114" s="1810" t="e">
        <v>#N/A</v>
      </c>
      <c r="AK114" s="2891" t="e">
        <f>'2.6'!U136*1000-SUM(Z114:AA114,AE114,AJ114)</f>
        <v>#N/A</v>
      </c>
      <c r="AL114" s="323"/>
    </row>
    <row r="115" spans="1:38">
      <c r="A115" s="1301" t="s">
        <v>538</v>
      </c>
      <c r="B115" s="1803" t="e">
        <v>#N/A</v>
      </c>
      <c r="C115" s="1802" t="e">
        <v>#N/A</v>
      </c>
      <c r="D115" s="3593" t="e">
        <v>#N/A</v>
      </c>
      <c r="E115" s="3593" t="e">
        <v>#N/A</v>
      </c>
      <c r="F115" s="3593" t="e">
        <v>#N/A</v>
      </c>
      <c r="G115" s="1802" t="e">
        <v>#N/A</v>
      </c>
      <c r="H115" s="3593" t="e">
        <v>#N/A</v>
      </c>
      <c r="I115" s="1803" t="e">
        <v>#N/A</v>
      </c>
      <c r="J115" s="3593" t="e">
        <v>#N/A</v>
      </c>
      <c r="K115" s="2895" t="e">
        <v>#N/A</v>
      </c>
      <c r="L115" s="2895" t="e">
        <v>#N/A</v>
      </c>
      <c r="M115" s="2889" t="e">
        <f>+'2.6'!D137*1000-SUM(B115:C115,G115,L115)</f>
        <v>#N/A</v>
      </c>
      <c r="N115" s="1802" t="e">
        <v>#N/A</v>
      </c>
      <c r="O115" s="1802" t="e">
        <v>#N/A</v>
      </c>
      <c r="P115" s="3593" t="e">
        <v>#N/A</v>
      </c>
      <c r="Q115" s="1808" t="e">
        <v>#N/A</v>
      </c>
      <c r="R115" s="3593" t="e">
        <v>#N/A</v>
      </c>
      <c r="S115" s="1802" t="e">
        <v>#N/A</v>
      </c>
      <c r="T115" s="3593" t="e">
        <v>#N/A</v>
      </c>
      <c r="U115" s="1803" t="e">
        <v>#N/A</v>
      </c>
      <c r="V115" s="3593" t="e">
        <v>#N/A</v>
      </c>
      <c r="W115" s="1809" t="e">
        <v>#N/A</v>
      </c>
      <c r="X115" s="1810" t="e">
        <v>#N/A</v>
      </c>
      <c r="Y115" s="2891" t="e">
        <f>'2.6'!I137*1000-SUM(N115:O115,S115,X115)</f>
        <v>#N/A</v>
      </c>
      <c r="Z115" s="1802" t="e">
        <v>#N/A</v>
      </c>
      <c r="AA115" s="1802" t="e">
        <v>#N/A</v>
      </c>
      <c r="AB115" s="3593" t="e">
        <v>#N/A</v>
      </c>
      <c r="AC115" s="1808" t="e">
        <v>#N/A</v>
      </c>
      <c r="AD115" s="3593" t="e">
        <v>#N/A</v>
      </c>
      <c r="AE115" s="1811" t="e">
        <v>#N/A</v>
      </c>
      <c r="AF115" s="3594" t="e">
        <v>#N/A</v>
      </c>
      <c r="AG115" s="1812" t="e">
        <v>#N/A</v>
      </c>
      <c r="AH115" s="3594" t="e">
        <v>#N/A</v>
      </c>
      <c r="AI115" s="1813" t="e">
        <v>#N/A</v>
      </c>
      <c r="AJ115" s="1810" t="e">
        <v>#N/A</v>
      </c>
      <c r="AK115" s="2891" t="e">
        <f>'2.6'!U137*1000-SUM(Z115:AA115,AE115,AJ115)</f>
        <v>#N/A</v>
      </c>
      <c r="AL115" s="323"/>
    </row>
    <row r="116" spans="1:38">
      <c r="A116" s="1301" t="s">
        <v>539</v>
      </c>
      <c r="B116" s="1803" t="e">
        <v>#N/A</v>
      </c>
      <c r="C116" s="1802" t="e">
        <v>#N/A</v>
      </c>
      <c r="D116" s="3593" t="e">
        <v>#N/A</v>
      </c>
      <c r="E116" s="3593" t="e">
        <v>#N/A</v>
      </c>
      <c r="F116" s="3593" t="e">
        <v>#N/A</v>
      </c>
      <c r="G116" s="1802" t="e">
        <v>#N/A</v>
      </c>
      <c r="H116" s="3593" t="e">
        <v>#N/A</v>
      </c>
      <c r="I116" s="1803" t="e">
        <v>#N/A</v>
      </c>
      <c r="J116" s="3593" t="e">
        <v>#N/A</v>
      </c>
      <c r="K116" s="2895" t="e">
        <v>#N/A</v>
      </c>
      <c r="L116" s="2895" t="e">
        <v>#N/A</v>
      </c>
      <c r="M116" s="2889" t="e">
        <f>+'2.6'!D138*1000-SUM(B116:C116,G116,L116)</f>
        <v>#N/A</v>
      </c>
      <c r="N116" s="1802" t="e">
        <v>#N/A</v>
      </c>
      <c r="O116" s="1802" t="e">
        <v>#N/A</v>
      </c>
      <c r="P116" s="3593" t="e">
        <v>#N/A</v>
      </c>
      <c r="Q116" s="1808" t="e">
        <v>#N/A</v>
      </c>
      <c r="R116" s="3593" t="e">
        <v>#N/A</v>
      </c>
      <c r="S116" s="1802" t="e">
        <v>#N/A</v>
      </c>
      <c r="T116" s="3593" t="e">
        <v>#N/A</v>
      </c>
      <c r="U116" s="1803" t="e">
        <v>#N/A</v>
      </c>
      <c r="V116" s="3593" t="e">
        <v>#N/A</v>
      </c>
      <c r="W116" s="1809" t="e">
        <v>#N/A</v>
      </c>
      <c r="X116" s="1810" t="e">
        <v>#N/A</v>
      </c>
      <c r="Y116" s="2891" t="e">
        <f>'2.6'!I138*1000-SUM(N116:O116,S116,X116)</f>
        <v>#N/A</v>
      </c>
      <c r="Z116" s="1802" t="e">
        <v>#N/A</v>
      </c>
      <c r="AA116" s="1802" t="e">
        <v>#N/A</v>
      </c>
      <c r="AB116" s="3593" t="e">
        <v>#N/A</v>
      </c>
      <c r="AC116" s="1808" t="e">
        <v>#N/A</v>
      </c>
      <c r="AD116" s="3593" t="e">
        <v>#N/A</v>
      </c>
      <c r="AE116" s="1811" t="e">
        <v>#N/A</v>
      </c>
      <c r="AF116" s="3594" t="e">
        <v>#N/A</v>
      </c>
      <c r="AG116" s="1812" t="e">
        <v>#N/A</v>
      </c>
      <c r="AH116" s="3594" t="e">
        <v>#N/A</v>
      </c>
      <c r="AI116" s="1813" t="e">
        <v>#N/A</v>
      </c>
      <c r="AJ116" s="1810" t="e">
        <v>#N/A</v>
      </c>
      <c r="AK116" s="2891" t="e">
        <f>'2.6'!U138*1000-SUM(Z116:AA116,AE116,AJ116)</f>
        <v>#N/A</v>
      </c>
      <c r="AL116" s="323"/>
    </row>
    <row r="117" spans="1:38">
      <c r="A117" s="1301" t="s">
        <v>540</v>
      </c>
      <c r="B117" s="1803" t="e">
        <v>#N/A</v>
      </c>
      <c r="C117" s="1802" t="e">
        <v>#N/A</v>
      </c>
      <c r="D117" s="3593" t="e">
        <v>#N/A</v>
      </c>
      <c r="E117" s="3593" t="e">
        <v>#N/A</v>
      </c>
      <c r="F117" s="3593" t="e">
        <v>#N/A</v>
      </c>
      <c r="G117" s="1802" t="e">
        <v>#N/A</v>
      </c>
      <c r="H117" s="3593" t="e">
        <v>#N/A</v>
      </c>
      <c r="I117" s="1803" t="e">
        <v>#N/A</v>
      </c>
      <c r="J117" s="3593" t="e">
        <v>#N/A</v>
      </c>
      <c r="K117" s="2895" t="e">
        <v>#N/A</v>
      </c>
      <c r="L117" s="2895" t="e">
        <v>#N/A</v>
      </c>
      <c r="M117" s="2889" t="e">
        <f>+'2.6'!D139*1000-SUM(B117:C117,G117,L117)</f>
        <v>#N/A</v>
      </c>
      <c r="N117" s="1802" t="e">
        <v>#N/A</v>
      </c>
      <c r="O117" s="1802" t="e">
        <v>#N/A</v>
      </c>
      <c r="P117" s="3593" t="e">
        <v>#N/A</v>
      </c>
      <c r="Q117" s="1808" t="e">
        <v>#N/A</v>
      </c>
      <c r="R117" s="3593" t="e">
        <v>#N/A</v>
      </c>
      <c r="S117" s="1802" t="e">
        <v>#N/A</v>
      </c>
      <c r="T117" s="3593" t="e">
        <v>#N/A</v>
      </c>
      <c r="U117" s="1803" t="e">
        <v>#N/A</v>
      </c>
      <c r="V117" s="3593" t="e">
        <v>#N/A</v>
      </c>
      <c r="W117" s="1809" t="e">
        <v>#N/A</v>
      </c>
      <c r="X117" s="1810" t="e">
        <v>#N/A</v>
      </c>
      <c r="Y117" s="2891" t="e">
        <f>'2.6'!I139*1000-SUM(N117:O117,S117,X117)</f>
        <v>#N/A</v>
      </c>
      <c r="Z117" s="1802" t="e">
        <v>#N/A</v>
      </c>
      <c r="AA117" s="1802" t="e">
        <v>#N/A</v>
      </c>
      <c r="AB117" s="3593" t="e">
        <v>#N/A</v>
      </c>
      <c r="AC117" s="1808" t="e">
        <v>#N/A</v>
      </c>
      <c r="AD117" s="3593" t="e">
        <v>#N/A</v>
      </c>
      <c r="AE117" s="1811" t="e">
        <v>#N/A</v>
      </c>
      <c r="AF117" s="3594" t="e">
        <v>#N/A</v>
      </c>
      <c r="AG117" s="1812" t="e">
        <v>#N/A</v>
      </c>
      <c r="AH117" s="3594" t="e">
        <v>#N/A</v>
      </c>
      <c r="AI117" s="1813" t="e">
        <v>#N/A</v>
      </c>
      <c r="AJ117" s="1810" t="e">
        <v>#N/A</v>
      </c>
      <c r="AK117" s="2891" t="e">
        <f>'2.6'!U139*1000-SUM(Z117:AA117,AE117,AJ117)</f>
        <v>#N/A</v>
      </c>
      <c r="AL117" s="323"/>
    </row>
  </sheetData>
  <phoneticPr fontId="71" type="noConversion"/>
  <hyperlinks>
    <hyperlink ref="A5" location="INDICE!A13" display="VOLVER AL INDICE" xr:uid="{AEA4619D-A460-4D81-9DC3-03F13961819A}"/>
  </hyperlink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pageSetUpPr autoPageBreaks="0" fitToPage="1"/>
  </sheetPr>
  <dimension ref="A1:X454"/>
  <sheetViews>
    <sheetView zoomScaleNormal="100"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9.5703125" style="371" bestFit="1" customWidth="1"/>
    <col min="2" max="3" width="14.85546875" style="371" customWidth="1"/>
    <col min="4" max="4" width="14.85546875" style="1227" customWidth="1"/>
    <col min="5" max="23" width="11.42578125" style="300"/>
    <col min="24" max="16384" width="11.42578125" style="226"/>
  </cols>
  <sheetData>
    <row r="1" spans="1:4" s="1223" customFormat="1" ht="3" customHeight="1">
      <c r="A1" s="2734"/>
      <c r="B1" s="63"/>
      <c r="C1" s="64"/>
      <c r="D1" s="97"/>
    </row>
    <row r="2" spans="1:4" s="1223" customFormat="1" ht="37.5" customHeight="1">
      <c r="A2" s="2735" t="s">
        <v>99</v>
      </c>
      <c r="B2" s="56" t="s">
        <v>138</v>
      </c>
      <c r="C2" s="2736"/>
      <c r="D2" s="2737"/>
    </row>
    <row r="3" spans="1:4" s="1223" customFormat="1" ht="22.5">
      <c r="A3" s="2735" t="s">
        <v>104</v>
      </c>
      <c r="B3" s="56" t="s">
        <v>139</v>
      </c>
      <c r="C3" s="2736"/>
      <c r="D3" s="2737"/>
    </row>
    <row r="4" spans="1:4" s="1223" customFormat="1">
      <c r="A4" s="2735"/>
      <c r="B4" s="63"/>
      <c r="C4" s="64"/>
      <c r="D4" s="97"/>
    </row>
    <row r="5" spans="1:4" s="1223" customFormat="1" ht="22.5">
      <c r="A5" s="2738" t="s">
        <v>140</v>
      </c>
      <c r="B5" s="4" t="s">
        <v>141</v>
      </c>
      <c r="C5" s="952" t="s">
        <v>142</v>
      </c>
      <c r="D5" s="1240" t="s">
        <v>143</v>
      </c>
    </row>
    <row r="6" spans="1:4" s="1223" customFormat="1">
      <c r="A6" s="2735"/>
      <c r="B6" s="63"/>
      <c r="C6" s="64"/>
      <c r="D6" s="97"/>
    </row>
    <row r="7" spans="1:4" s="1223" customFormat="1" ht="22.5">
      <c r="A7" s="2735" t="s">
        <v>125</v>
      </c>
      <c r="B7" s="4" t="s">
        <v>133</v>
      </c>
      <c r="C7" s="1241" t="s">
        <v>126</v>
      </c>
      <c r="D7" s="1242" t="s">
        <v>126</v>
      </c>
    </row>
    <row r="8" spans="1:4" s="1223" customFormat="1">
      <c r="A8" s="2739" t="s">
        <v>144</v>
      </c>
      <c r="B8" s="2127" t="s">
        <v>145</v>
      </c>
      <c r="C8" s="2128" t="s">
        <v>146</v>
      </c>
      <c r="D8" s="2129" t="s">
        <v>147</v>
      </c>
    </row>
    <row r="9" spans="1:4" s="1224" customFormat="1" ht="13.5" thickBot="1">
      <c r="A9" s="2126"/>
      <c r="B9" s="1243"/>
      <c r="C9" s="1244"/>
      <c r="D9" s="1245"/>
    </row>
    <row r="10" spans="1:4">
      <c r="A10" s="388">
        <v>1994.01</v>
      </c>
      <c r="B10" s="475">
        <v>99.505769027021842</v>
      </c>
      <c r="C10" s="3521"/>
      <c r="D10" s="478"/>
    </row>
    <row r="11" spans="1:4">
      <c r="A11" s="388">
        <v>1994.02</v>
      </c>
      <c r="B11" s="474">
        <v>98.962371403558464</v>
      </c>
      <c r="C11" s="3522">
        <v>-5.4759316042971747E-3</v>
      </c>
      <c r="D11" s="389"/>
    </row>
    <row r="12" spans="1:4">
      <c r="A12" s="388">
        <v>1994.03</v>
      </c>
      <c r="B12" s="474">
        <v>99.23481480106733</v>
      </c>
      <c r="C12" s="3480">
        <v>2.7492173256784152E-3</v>
      </c>
      <c r="D12" s="389"/>
    </row>
    <row r="13" spans="1:4">
      <c r="A13" s="388">
        <v>1994.04</v>
      </c>
      <c r="B13" s="474">
        <v>99.465993893217302</v>
      </c>
      <c r="C13" s="3480">
        <v>2.3269074542676431E-3</v>
      </c>
      <c r="D13" s="389"/>
    </row>
    <row r="14" spans="1:4">
      <c r="A14" s="388">
        <v>1994.05</v>
      </c>
      <c r="B14" s="474">
        <v>99.890946224205052</v>
      </c>
      <c r="C14" s="3480">
        <v>4.2632373306872862E-3</v>
      </c>
      <c r="D14" s="389"/>
    </row>
    <row r="15" spans="1:4">
      <c r="A15" s="388">
        <v>1994.06</v>
      </c>
      <c r="B15" s="474">
        <v>100.02771230053122</v>
      </c>
      <c r="C15" s="3480">
        <v>1.3682174407445269E-3</v>
      </c>
      <c r="D15" s="389"/>
    </row>
    <row r="16" spans="1:4">
      <c r="A16" s="388">
        <v>1994.07</v>
      </c>
      <c r="B16" s="474">
        <v>100.20896971777479</v>
      </c>
      <c r="C16" s="3480">
        <v>1.8104321838034922E-3</v>
      </c>
      <c r="D16" s="389"/>
    </row>
    <row r="17" spans="1:4">
      <c r="A17" s="388">
        <v>1994.08</v>
      </c>
      <c r="B17" s="474">
        <v>99.576666500147098</v>
      </c>
      <c r="C17" s="3480">
        <v>-6.3298377280356609E-3</v>
      </c>
      <c r="D17" s="389"/>
    </row>
    <row r="18" spans="1:4">
      <c r="A18" s="388">
        <v>1994.09</v>
      </c>
      <c r="B18" s="474">
        <v>100.620957712235</v>
      </c>
      <c r="C18" s="3480">
        <v>1.0432698070259131E-2</v>
      </c>
      <c r="D18" s="389"/>
    </row>
    <row r="19" spans="1:4">
      <c r="A19" s="388">
        <v>1994.1</v>
      </c>
      <c r="B19" s="474">
        <v>101.07110071866724</v>
      </c>
      <c r="C19" s="3480">
        <v>4.4636735559716824E-3</v>
      </c>
      <c r="D19" s="389"/>
    </row>
    <row r="20" spans="1:4">
      <c r="A20" s="388">
        <v>1994.11</v>
      </c>
      <c r="B20" s="474">
        <v>100.88788489264145</v>
      </c>
      <c r="C20" s="3480">
        <v>-1.8143869730125844E-3</v>
      </c>
      <c r="D20" s="389"/>
    </row>
    <row r="21" spans="1:4">
      <c r="A21" s="388">
        <v>1994.12</v>
      </c>
      <c r="B21" s="474">
        <v>100.54681280893335</v>
      </c>
      <c r="C21" s="3480">
        <v>-3.3864315686292241E-3</v>
      </c>
      <c r="D21" s="389"/>
    </row>
    <row r="22" spans="1:4">
      <c r="A22" s="388">
        <v>1995.01</v>
      </c>
      <c r="B22" s="474">
        <v>99.747815712407245</v>
      </c>
      <c r="C22" s="3480">
        <v>-7.9782602320339537E-3</v>
      </c>
      <c r="D22" s="476">
        <v>2.4295352554032762E-3</v>
      </c>
    </row>
    <row r="23" spans="1:4">
      <c r="A23" s="388">
        <v>1995.02</v>
      </c>
      <c r="B23" s="474">
        <v>98.717368885213588</v>
      </c>
      <c r="C23" s="3480">
        <v>-1.0384250405609176E-2</v>
      </c>
      <c r="D23" s="477">
        <v>-2.4787835459087358E-3</v>
      </c>
    </row>
    <row r="24" spans="1:4">
      <c r="A24" s="388">
        <v>1995.03</v>
      </c>
      <c r="B24" s="474">
        <v>97.373163423161415</v>
      </c>
      <c r="C24" s="3480">
        <v>-1.3710264357707291E-2</v>
      </c>
      <c r="D24" s="477">
        <v>-1.8938265229294381E-2</v>
      </c>
    </row>
    <row r="25" spans="1:4">
      <c r="A25" s="388">
        <v>1995.04</v>
      </c>
      <c r="B25" s="474">
        <v>96.011249642891755</v>
      </c>
      <c r="C25" s="3480">
        <v>-1.4085274764446593E-2</v>
      </c>
      <c r="D25" s="477">
        <v>-3.5350447448008526E-2</v>
      </c>
    </row>
    <row r="26" spans="1:4">
      <c r="A26" s="388">
        <v>1995.05</v>
      </c>
      <c r="B26" s="474">
        <v>95.074494716325006</v>
      </c>
      <c r="C26" s="3480">
        <v>-9.8046291620802646E-3</v>
      </c>
      <c r="D26" s="477">
        <v>-4.9418313940776053E-2</v>
      </c>
    </row>
    <row r="27" spans="1:4">
      <c r="A27" s="388">
        <v>1995.06</v>
      </c>
      <c r="B27" s="474">
        <v>94.650678372663123</v>
      </c>
      <c r="C27" s="3480">
        <v>-4.4676944205087766E-3</v>
      </c>
      <c r="D27" s="477">
        <v>-5.5254225802029301E-2</v>
      </c>
    </row>
    <row r="28" spans="1:4">
      <c r="A28" s="388">
        <v>1995.07</v>
      </c>
      <c r="B28" s="474">
        <v>93.873399726142125</v>
      </c>
      <c r="C28" s="3480">
        <v>-8.245981719559814E-3</v>
      </c>
      <c r="D28" s="477">
        <v>-6.531063970539272E-2</v>
      </c>
    </row>
    <row r="29" spans="1:4">
      <c r="A29" s="388">
        <v>1995.08</v>
      </c>
      <c r="B29" s="474">
        <v>93.107235752264089</v>
      </c>
      <c r="C29" s="3480">
        <v>-8.1951615997059527E-3</v>
      </c>
      <c r="D29" s="477">
        <v>-6.7175963577062889E-2</v>
      </c>
    </row>
    <row r="30" spans="1:4">
      <c r="A30" s="388">
        <v>1995.09</v>
      </c>
      <c r="B30" s="474">
        <v>92.442520431025031</v>
      </c>
      <c r="C30" s="3480">
        <v>-7.1648508573800007E-3</v>
      </c>
      <c r="D30" s="477">
        <v>-8.4773512504701984E-2</v>
      </c>
    </row>
    <row r="31" spans="1:4">
      <c r="A31" s="388">
        <v>1995.1</v>
      </c>
      <c r="B31" s="474">
        <v>91.931513251153945</v>
      </c>
      <c r="C31" s="3480">
        <v>-5.5431719763460634E-3</v>
      </c>
      <c r="D31" s="477">
        <v>-9.4780358037019605E-2</v>
      </c>
    </row>
    <row r="32" spans="1:4">
      <c r="A32" s="388">
        <v>1995.11</v>
      </c>
      <c r="B32" s="474">
        <v>91.597562073479054</v>
      </c>
      <c r="C32" s="3480">
        <v>-3.6392222393445989E-3</v>
      </c>
      <c r="D32" s="477">
        <v>-9.6605193303351725E-2</v>
      </c>
    </row>
    <row r="33" spans="1:4">
      <c r="A33" s="388">
        <v>1995.12</v>
      </c>
      <c r="B33" s="474">
        <v>91.392544863589137</v>
      </c>
      <c r="C33" s="3480">
        <v>-2.2407473180193101E-3</v>
      </c>
      <c r="D33" s="477">
        <v>-9.5459509052741767E-2</v>
      </c>
    </row>
    <row r="34" spans="1:4">
      <c r="A34" s="388">
        <v>1996.01</v>
      </c>
      <c r="B34" s="474">
        <v>92.162916699952504</v>
      </c>
      <c r="C34" s="3480">
        <v>8.3939355772263864E-3</v>
      </c>
      <c r="D34" s="477">
        <v>-7.9087313243481436E-2</v>
      </c>
    </row>
    <row r="35" spans="1:4">
      <c r="A35" s="388">
        <v>1996.02</v>
      </c>
      <c r="B35" s="474">
        <v>93.336604224101649</v>
      </c>
      <c r="C35" s="3480">
        <v>1.2654514478543629E-2</v>
      </c>
      <c r="D35" s="477">
        <v>-5.6048548359328633E-2</v>
      </c>
    </row>
    <row r="36" spans="1:4">
      <c r="A36" s="388">
        <v>1996.03</v>
      </c>
      <c r="B36" s="474">
        <v>93.513439601042904</v>
      </c>
      <c r="C36" s="3480">
        <v>1.8928058684600417E-3</v>
      </c>
      <c r="D36" s="477">
        <v>-4.0445478133161072E-2</v>
      </c>
    </row>
    <row r="37" spans="1:4">
      <c r="A37" s="388">
        <v>1996.04</v>
      </c>
      <c r="B37" s="474">
        <v>94.436991804447672</v>
      </c>
      <c r="C37" s="3480">
        <v>9.827693714951298E-3</v>
      </c>
      <c r="D37" s="477">
        <v>-1.6532509653763277E-2</v>
      </c>
    </row>
    <row r="38" spans="1:4">
      <c r="A38" s="388">
        <v>1996.05</v>
      </c>
      <c r="B38" s="474">
        <v>95.107071145795459</v>
      </c>
      <c r="C38" s="3480">
        <v>7.0704629038256112E-3</v>
      </c>
      <c r="D38" s="477">
        <v>3.4258241214257524E-4</v>
      </c>
    </row>
    <row r="39" spans="1:4">
      <c r="A39" s="388">
        <v>1996.06</v>
      </c>
      <c r="B39" s="474">
        <v>95.625314129673541</v>
      </c>
      <c r="C39" s="3480">
        <v>5.4342555249598263E-3</v>
      </c>
      <c r="D39" s="477">
        <v>1.0244532357611372E-2</v>
      </c>
    </row>
    <row r="40" spans="1:4">
      <c r="A40" s="388">
        <v>1996.07</v>
      </c>
      <c r="B40" s="474">
        <v>95.843791269062478</v>
      </c>
      <c r="C40" s="3480">
        <v>2.2821147438265741E-3</v>
      </c>
      <c r="D40" s="477">
        <v>2.0772628820997809E-2</v>
      </c>
    </row>
    <row r="41" spans="1:4">
      <c r="A41" s="388">
        <v>1996.08</v>
      </c>
      <c r="B41" s="474">
        <v>96.841207340468458</v>
      </c>
      <c r="C41" s="3480">
        <v>1.0352907464509217E-2</v>
      </c>
      <c r="D41" s="477">
        <v>3.9320697885212842E-2</v>
      </c>
    </row>
    <row r="42" spans="1:4">
      <c r="A42" s="388">
        <v>1996.09</v>
      </c>
      <c r="B42" s="474">
        <v>96.86045661714283</v>
      </c>
      <c r="C42" s="3480">
        <v>1.9875179535845224E-4</v>
      </c>
      <c r="D42" s="477">
        <v>4.6684300537951057E-2</v>
      </c>
    </row>
    <row r="43" spans="1:4">
      <c r="A43" s="388">
        <v>1996.1</v>
      </c>
      <c r="B43" s="474">
        <v>97.322656012084636</v>
      </c>
      <c r="C43" s="3480">
        <v>4.7604579156787031E-3</v>
      </c>
      <c r="D43" s="477">
        <v>5.6987930429976061E-2</v>
      </c>
    </row>
    <row r="44" spans="1:4">
      <c r="A44" s="388">
        <v>1996.11</v>
      </c>
      <c r="B44" s="474">
        <v>97.854018499752613</v>
      </c>
      <c r="C44" s="3480">
        <v>5.4449518805854188E-3</v>
      </c>
      <c r="D44" s="477">
        <v>6.6072104549906155E-2</v>
      </c>
    </row>
    <row r="45" spans="1:4">
      <c r="A45" s="388">
        <v>1996.12</v>
      </c>
      <c r="B45" s="474">
        <v>98.449346047138221</v>
      </c>
      <c r="C45" s="3480">
        <v>6.0654016184477771E-3</v>
      </c>
      <c r="D45" s="477">
        <v>7.4378253486373114E-2</v>
      </c>
    </row>
    <row r="46" spans="1:4">
      <c r="A46" s="388">
        <v>1997.01</v>
      </c>
      <c r="B46" s="474">
        <v>98.514202845360032</v>
      </c>
      <c r="C46" s="3480">
        <v>6.5856653102142157E-4</v>
      </c>
      <c r="D46" s="477">
        <v>6.664288444016811E-2</v>
      </c>
    </row>
    <row r="47" spans="1:4">
      <c r="A47" s="388">
        <v>1997.02</v>
      </c>
      <c r="B47" s="474">
        <v>98.885190285583661</v>
      </c>
      <c r="C47" s="3480">
        <v>3.7587539771257563E-3</v>
      </c>
      <c r="D47" s="477">
        <v>5.7747123938750061E-2</v>
      </c>
    </row>
    <row r="48" spans="1:4">
      <c r="A48" s="388">
        <v>1997.03</v>
      </c>
      <c r="B48" s="474">
        <v>99.742364319822343</v>
      </c>
      <c r="C48" s="3480">
        <v>8.6310215837535637E-3</v>
      </c>
      <c r="D48" s="477">
        <v>6.4485339654043627E-2</v>
      </c>
    </row>
    <row r="49" spans="1:4">
      <c r="A49" s="388">
        <v>1997.04</v>
      </c>
      <c r="B49" s="474">
        <v>100.02620424278851</v>
      </c>
      <c r="C49" s="3480">
        <v>2.8416894210511016E-3</v>
      </c>
      <c r="D49" s="477">
        <v>5.7499335360143435E-2</v>
      </c>
    </row>
    <row r="50" spans="1:4">
      <c r="A50" s="388">
        <v>1997.05</v>
      </c>
      <c r="B50" s="474">
        <v>100.72260107754043</v>
      </c>
      <c r="C50" s="3480">
        <v>6.9380201503612291E-3</v>
      </c>
      <c r="D50" s="477">
        <v>5.7366892606679036E-2</v>
      </c>
    </row>
    <row r="51" spans="1:4">
      <c r="A51" s="388">
        <v>1997.06</v>
      </c>
      <c r="B51" s="474">
        <v>101.52224585022722</v>
      </c>
      <c r="C51" s="3480">
        <v>7.9077311663826901E-3</v>
      </c>
      <c r="D51" s="477">
        <v>5.9840368248101718E-2</v>
      </c>
    </row>
    <row r="52" spans="1:4">
      <c r="A52" s="388">
        <v>1997.07</v>
      </c>
      <c r="B52" s="474">
        <v>101.55221374473838</v>
      </c>
      <c r="C52" s="3480">
        <v>2.951419374790794E-4</v>
      </c>
      <c r="D52" s="477">
        <v>5.7853395441754323E-2</v>
      </c>
    </row>
    <row r="53" spans="1:4">
      <c r="A53" s="388">
        <v>1997.08</v>
      </c>
      <c r="B53" s="474">
        <v>102.18444516877352</v>
      </c>
      <c r="C53" s="3480">
        <v>6.2063789287892714E-3</v>
      </c>
      <c r="D53" s="477">
        <v>5.3706866906034406E-2</v>
      </c>
    </row>
    <row r="54" spans="1:4">
      <c r="A54" s="388">
        <v>1997.09</v>
      </c>
      <c r="B54" s="474">
        <v>102.2135470292037</v>
      </c>
      <c r="C54" s="3480">
        <v>2.8475681501453426E-4</v>
      </c>
      <c r="D54" s="477">
        <v>5.3792871925690412E-2</v>
      </c>
    </row>
    <row r="55" spans="1:4">
      <c r="A55" s="388">
        <v>1997.1</v>
      </c>
      <c r="B55" s="474">
        <v>103.02678593298971</v>
      </c>
      <c r="C55" s="3480">
        <v>7.9247889354780408E-3</v>
      </c>
      <c r="D55" s="477">
        <v>5.6957202945489699E-2</v>
      </c>
    </row>
    <row r="56" spans="1:4">
      <c r="A56" s="388">
        <v>1997.11</v>
      </c>
      <c r="B56" s="474">
        <v>103.45147561997656</v>
      </c>
      <c r="C56" s="3480">
        <v>4.1136561561653118E-3</v>
      </c>
      <c r="D56" s="477">
        <v>5.5625907221069588E-2</v>
      </c>
    </row>
    <row r="57" spans="1:4">
      <c r="A57" s="388">
        <v>1997.12</v>
      </c>
      <c r="B57" s="474">
        <v>103.81378348749089</v>
      </c>
      <c r="C57" s="3480">
        <v>3.4960826344263151E-3</v>
      </c>
      <c r="D57" s="477">
        <v>5.3056588237048292E-2</v>
      </c>
    </row>
    <row r="58" spans="1:4">
      <c r="A58" s="388">
        <v>1998.01</v>
      </c>
      <c r="B58" s="474">
        <v>104.02250058757144</v>
      </c>
      <c r="C58" s="3480">
        <v>2.0084767313153736E-3</v>
      </c>
      <c r="D58" s="477">
        <v>5.4406498437342368E-2</v>
      </c>
    </row>
    <row r="59" spans="1:4">
      <c r="A59" s="388">
        <v>1998.02</v>
      </c>
      <c r="B59" s="474">
        <v>104.79188559947802</v>
      </c>
      <c r="C59" s="3480">
        <v>7.3691138591146241E-3</v>
      </c>
      <c r="D59" s="477">
        <v>5.8016858319331233E-2</v>
      </c>
    </row>
    <row r="60" spans="1:4">
      <c r="A60" s="388">
        <v>1998.03</v>
      </c>
      <c r="B60" s="474">
        <v>105.56867439917738</v>
      </c>
      <c r="C60" s="3480">
        <v>7.3853419140757293E-3</v>
      </c>
      <c r="D60" s="477">
        <v>5.6771178649653316E-2</v>
      </c>
    </row>
    <row r="61" spans="1:4">
      <c r="A61" s="388">
        <v>1998.04</v>
      </c>
      <c r="B61" s="474">
        <v>105.98305709858896</v>
      </c>
      <c r="C61" s="3480">
        <v>3.9175593264867397E-3</v>
      </c>
      <c r="D61" s="477">
        <v>5.7847048555088883E-2</v>
      </c>
    </row>
    <row r="62" spans="1:4">
      <c r="A62" s="388">
        <v>1998.05</v>
      </c>
      <c r="B62" s="474">
        <v>106.6166866343262</v>
      </c>
      <c r="C62" s="3480">
        <v>5.9607918686722383E-3</v>
      </c>
      <c r="D62" s="477">
        <v>5.6869820273399929E-2</v>
      </c>
    </row>
    <row r="63" spans="1:4">
      <c r="A63" s="388">
        <v>1998.06</v>
      </c>
      <c r="B63" s="474">
        <v>106.27279108814663</v>
      </c>
      <c r="C63" s="3480">
        <v>-3.2307453518344484E-3</v>
      </c>
      <c r="D63" s="477">
        <v>4.5731343755182785E-2</v>
      </c>
    </row>
    <row r="64" spans="1:4">
      <c r="A64" s="388">
        <v>1998.07</v>
      </c>
      <c r="B64" s="474">
        <v>106.92432132024344</v>
      </c>
      <c r="C64" s="3480">
        <v>6.112017681575245E-3</v>
      </c>
      <c r="D64" s="477">
        <v>5.1548219499278736E-2</v>
      </c>
    </row>
    <row r="65" spans="1:4">
      <c r="A65" s="388">
        <v>1998.08</v>
      </c>
      <c r="B65" s="474">
        <v>107.29296081908707</v>
      </c>
      <c r="C65" s="3480">
        <v>3.4417378379291764E-3</v>
      </c>
      <c r="D65" s="477">
        <v>4.8783578408418758E-2</v>
      </c>
    </row>
    <row r="66" spans="1:4">
      <c r="A66" s="388">
        <v>1998.09</v>
      </c>
      <c r="B66" s="474">
        <v>107.96456378558531</v>
      </c>
      <c r="C66" s="3480">
        <v>6.2400155066206116E-3</v>
      </c>
      <c r="D66" s="477">
        <v>5.4738837100025077E-2</v>
      </c>
    </row>
    <row r="67" spans="1:4">
      <c r="A67" s="388">
        <v>1998.1</v>
      </c>
      <c r="B67" s="474">
        <v>107.92299175604398</v>
      </c>
      <c r="C67" s="3480">
        <v>-3.8512669200288421E-4</v>
      </c>
      <c r="D67" s="477">
        <v>4.6428921472543919E-2</v>
      </c>
    </row>
    <row r="68" spans="1:4">
      <c r="A68" s="388">
        <v>1998.11</v>
      </c>
      <c r="B68" s="474">
        <v>108.18978264991891</v>
      </c>
      <c r="C68" s="3480">
        <v>2.4689982361011625E-3</v>
      </c>
      <c r="D68" s="477">
        <v>4.4784263552479983E-2</v>
      </c>
    </row>
    <row r="69" spans="1:4">
      <c r="A69" s="388">
        <v>1998.12</v>
      </c>
      <c r="B69" s="474">
        <v>108.33520898116629</v>
      </c>
      <c r="C69" s="3480">
        <v>1.3432754530460472E-3</v>
      </c>
      <c r="D69" s="477">
        <v>4.263145637109958E-2</v>
      </c>
    </row>
    <row r="70" spans="1:4">
      <c r="A70" s="388">
        <v>1999.01</v>
      </c>
      <c r="B70" s="474">
        <v>108.81050747535231</v>
      </c>
      <c r="C70" s="3480">
        <v>4.377698634846116E-3</v>
      </c>
      <c r="D70" s="477">
        <v>4.5000678274630279E-2</v>
      </c>
    </row>
    <row r="71" spans="1:4">
      <c r="A71" s="388">
        <v>1999.02</v>
      </c>
      <c r="B71" s="474">
        <v>109.25452649236634</v>
      </c>
      <c r="C71" s="3480">
        <v>4.0723597229080392E-3</v>
      </c>
      <c r="D71" s="477">
        <v>4.170392413842363E-2</v>
      </c>
    </row>
    <row r="72" spans="1:4">
      <c r="A72" s="388">
        <v>1999.03</v>
      </c>
      <c r="B72" s="474">
        <v>110.04546362599606</v>
      </c>
      <c r="C72" s="3480">
        <v>7.2133205542127951E-3</v>
      </c>
      <c r="D72" s="477">
        <v>4.1531902778560725E-2</v>
      </c>
    </row>
    <row r="73" spans="1:4">
      <c r="A73" s="388">
        <v>1999.04</v>
      </c>
      <c r="B73" s="474">
        <v>111.04158243480624</v>
      </c>
      <c r="C73" s="3480">
        <v>9.0111615948482559E-3</v>
      </c>
      <c r="D73" s="477">
        <v>4.6625505046922401E-2</v>
      </c>
    </row>
    <row r="74" spans="1:4">
      <c r="A74" s="388">
        <v>1999.05</v>
      </c>
      <c r="B74" s="474">
        <v>111.54728211536823</v>
      </c>
      <c r="C74" s="3480">
        <v>4.5438081698118164E-3</v>
      </c>
      <c r="D74" s="477">
        <v>4.5208521348061914E-2</v>
      </c>
    </row>
    <row r="75" spans="1:4">
      <c r="A75" s="388">
        <v>1999.06</v>
      </c>
      <c r="B75" s="474">
        <v>111.81184459292668</v>
      </c>
      <c r="C75" s="3480">
        <v>2.36894372916009E-3</v>
      </c>
      <c r="D75" s="477">
        <v>5.0808210429056616E-2</v>
      </c>
    </row>
    <row r="76" spans="1:4">
      <c r="A76" s="388">
        <v>1999.07</v>
      </c>
      <c r="B76" s="474">
        <v>112.96719610307262</v>
      </c>
      <c r="C76" s="3480">
        <v>1.0279977004498838E-2</v>
      </c>
      <c r="D76" s="477">
        <v>5.497616975198031E-2</v>
      </c>
    </row>
    <row r="77" spans="1:4">
      <c r="A77" s="388">
        <v>1999.08</v>
      </c>
      <c r="B77" s="474">
        <v>113.0512428795479</v>
      </c>
      <c r="C77" s="3480">
        <v>7.4371613862613591E-4</v>
      </c>
      <c r="D77" s="477">
        <v>5.2278148052677158E-2</v>
      </c>
    </row>
    <row r="78" spans="1:4">
      <c r="A78" s="388">
        <v>1999.09</v>
      </c>
      <c r="B78" s="474">
        <v>113.65615202395283</v>
      </c>
      <c r="C78" s="3480">
        <v>5.3364874155682543E-3</v>
      </c>
      <c r="D78" s="477">
        <v>5.1374619961624825E-2</v>
      </c>
    </row>
    <row r="79" spans="1:4">
      <c r="A79" s="388">
        <v>1999.1</v>
      </c>
      <c r="B79" s="474">
        <v>113.98035407992404</v>
      </c>
      <c r="C79" s="3480">
        <v>2.8484207627433866E-3</v>
      </c>
      <c r="D79" s="477">
        <v>5.4608167416370895E-2</v>
      </c>
    </row>
    <row r="80" spans="1:4">
      <c r="A80" s="388">
        <v>1999.11</v>
      </c>
      <c r="B80" s="474">
        <v>113.97693129036426</v>
      </c>
      <c r="C80" s="3480">
        <v>-3.0030095809203472E-5</v>
      </c>
      <c r="D80" s="477">
        <v>5.2109139084460583E-2</v>
      </c>
    </row>
    <row r="81" spans="1:4">
      <c r="A81" s="388">
        <v>1999.12</v>
      </c>
      <c r="B81" s="474">
        <v>113.93838432384219</v>
      </c>
      <c r="C81" s="3480">
        <v>-3.3825692482083308E-4</v>
      </c>
      <c r="D81" s="477">
        <v>5.0427606706593721E-2</v>
      </c>
    </row>
    <row r="82" spans="1:4">
      <c r="A82" s="388">
        <v>2000.01</v>
      </c>
      <c r="B82" s="474">
        <v>114.49879058978212</v>
      </c>
      <c r="C82" s="3480">
        <v>4.9064465132105514E-3</v>
      </c>
      <c r="D82" s="477">
        <v>5.0956354584958181E-2</v>
      </c>
    </row>
    <row r="83" spans="1:4">
      <c r="A83" s="388">
        <v>2000.02</v>
      </c>
      <c r="B83" s="474">
        <v>115.00637681250437</v>
      </c>
      <c r="C83" s="3480">
        <v>4.4233169655854476E-3</v>
      </c>
      <c r="D83" s="477">
        <v>5.1307311827635489E-2</v>
      </c>
    </row>
    <row r="84" spans="1:4">
      <c r="A84" s="388">
        <v>2000.03</v>
      </c>
      <c r="B84" s="474">
        <v>115.28888504247929</v>
      </c>
      <c r="C84" s="3480">
        <v>2.4534449333435421E-3</v>
      </c>
      <c r="D84" s="477">
        <v>4.6547436206766303E-2</v>
      </c>
    </row>
    <row r="85" spans="1:4">
      <c r="A85" s="388">
        <v>2000.04</v>
      </c>
      <c r="B85" s="474">
        <v>115.3698181433799</v>
      </c>
      <c r="C85" s="3480">
        <v>7.0175634479981586E-4</v>
      </c>
      <c r="D85" s="477">
        <v>3.8238030956717774E-2</v>
      </c>
    </row>
    <row r="86" spans="1:4">
      <c r="A86" s="388">
        <v>2000.05</v>
      </c>
      <c r="B86" s="474">
        <v>114.47770863105907</v>
      </c>
      <c r="C86" s="3480">
        <v>-7.7626590516661686E-3</v>
      </c>
      <c r="D86" s="477">
        <v>2.5931563735239752E-2</v>
      </c>
    </row>
    <row r="87" spans="1:4">
      <c r="A87" s="388">
        <v>2000.06</v>
      </c>
      <c r="B87" s="474">
        <v>114.39359256112645</v>
      </c>
      <c r="C87" s="3480">
        <v>-7.3505129985093566E-4</v>
      </c>
      <c r="D87" s="477">
        <v>2.2827568706228676E-2</v>
      </c>
    </row>
    <row r="88" spans="1:4">
      <c r="A88" s="388">
        <v>2000.07</v>
      </c>
      <c r="B88" s="474">
        <v>114.84993394820107</v>
      </c>
      <c r="C88" s="3480">
        <v>3.9812857252569051E-3</v>
      </c>
      <c r="D88" s="477">
        <v>1.6528877426986516E-2</v>
      </c>
    </row>
    <row r="89" spans="1:4">
      <c r="A89" s="388">
        <v>2000.08</v>
      </c>
      <c r="B89" s="474">
        <v>115.01373370184159</v>
      </c>
      <c r="C89" s="3480">
        <v>1.4251907057821513E-3</v>
      </c>
      <c r="D89" s="477">
        <v>1.721035199414277E-2</v>
      </c>
    </row>
    <row r="90" spans="1:4">
      <c r="A90" s="388">
        <v>2000.09</v>
      </c>
      <c r="B90" s="474">
        <v>115.03882383495186</v>
      </c>
      <c r="C90" s="3480">
        <v>2.181252273689264E-4</v>
      </c>
      <c r="D90" s="477">
        <v>1.2091989805943176E-2</v>
      </c>
    </row>
    <row r="91" spans="1:4">
      <c r="A91" s="388">
        <v>2000.1</v>
      </c>
      <c r="B91" s="474">
        <v>115.00112362005022</v>
      </c>
      <c r="C91" s="3480">
        <v>-3.2777102982543133E-4</v>
      </c>
      <c r="D91" s="477">
        <v>8.9157980133745107E-3</v>
      </c>
    </row>
    <row r="92" spans="1:4">
      <c r="A92" s="388">
        <v>2000.11</v>
      </c>
      <c r="B92" s="474">
        <v>115.02351304804796</v>
      </c>
      <c r="C92" s="3480">
        <v>1.9466982661306079E-4</v>
      </c>
      <c r="D92" s="477">
        <v>9.1404979357966078E-3</v>
      </c>
    </row>
    <row r="93" spans="1:4">
      <c r="A93" s="388">
        <v>2000.12</v>
      </c>
      <c r="B93" s="474">
        <v>115.40793333229162</v>
      </c>
      <c r="C93" s="3480">
        <v>3.3365293401550833E-3</v>
      </c>
      <c r="D93" s="477">
        <v>1.2815284200772587E-2</v>
      </c>
    </row>
    <row r="94" spans="1:4">
      <c r="A94" s="388">
        <v>2001.01</v>
      </c>
      <c r="B94" s="474">
        <v>115.46552360686873</v>
      </c>
      <c r="C94" s="3480">
        <v>4.9889040113233697E-4</v>
      </c>
      <c r="D94" s="477">
        <v>8.4077280886942114E-3</v>
      </c>
    </row>
    <row r="95" spans="1:4">
      <c r="A95" s="388">
        <v>2001.02</v>
      </c>
      <c r="B95" s="474">
        <v>115.12341212645612</v>
      </c>
      <c r="C95" s="3480">
        <v>-2.9672866162714509E-3</v>
      </c>
      <c r="D95" s="477">
        <v>1.0171245068374131E-3</v>
      </c>
    </row>
    <row r="96" spans="1:4">
      <c r="A96" s="388">
        <v>2001.03</v>
      </c>
      <c r="B96" s="474">
        <v>114.73568999715719</v>
      </c>
      <c r="C96" s="3480">
        <v>-3.3735666191797688E-3</v>
      </c>
      <c r="D96" s="477">
        <v>-4.8098870456857118E-3</v>
      </c>
    </row>
    <row r="97" spans="1:4">
      <c r="A97" s="388">
        <v>2001.04</v>
      </c>
      <c r="B97" s="474">
        <v>113.89933963524467</v>
      </c>
      <c r="C97" s="3480">
        <v>-7.3160625798160293E-3</v>
      </c>
      <c r="D97" s="477">
        <v>-1.2827705970301509E-2</v>
      </c>
    </row>
    <row r="98" spans="1:4">
      <c r="A98" s="388">
        <v>2001.05</v>
      </c>
      <c r="B98" s="474">
        <v>113.1260484285056</v>
      </c>
      <c r="C98" s="3480">
        <v>-6.8124028238471628E-3</v>
      </c>
      <c r="D98" s="477">
        <v>-1.1877449742482641E-2</v>
      </c>
    </row>
    <row r="99" spans="1:4">
      <c r="A99" s="388">
        <v>2001.06</v>
      </c>
      <c r="B99" s="474">
        <v>112.58823902560532</v>
      </c>
      <c r="C99" s="3480">
        <v>-4.7654087539683284E-3</v>
      </c>
      <c r="D99" s="477">
        <v>-1.590780719660002E-2</v>
      </c>
    </row>
    <row r="100" spans="1:4">
      <c r="A100" s="388">
        <v>2001.07</v>
      </c>
      <c r="B100" s="474">
        <v>111.72783237231168</v>
      </c>
      <c r="C100" s="3480">
        <v>-7.6714153163353824E-3</v>
      </c>
      <c r="D100" s="477">
        <v>-2.7560508238192113E-2</v>
      </c>
    </row>
    <row r="101" spans="1:4">
      <c r="A101" s="388">
        <v>2001.08</v>
      </c>
      <c r="B101" s="474">
        <v>110.29102139509509</v>
      </c>
      <c r="C101" s="3480">
        <v>-1.2943324513353865E-2</v>
      </c>
      <c r="D101" s="477">
        <v>-4.1929023457328206E-2</v>
      </c>
    </row>
    <row r="102" spans="1:4">
      <c r="A102" s="388">
        <v>2001.09</v>
      </c>
      <c r="B102" s="474">
        <v>108.39260828578909</v>
      </c>
      <c r="C102" s="3480">
        <v>-1.7362623834713178E-2</v>
      </c>
      <c r="D102" s="477">
        <v>-5.9509772519410309E-2</v>
      </c>
    </row>
    <row r="103" spans="1:4">
      <c r="A103" s="388">
        <v>2001.1</v>
      </c>
      <c r="B103" s="474">
        <v>106.02968033473334</v>
      </c>
      <c r="C103" s="3480">
        <v>-2.2040839358704836E-2</v>
      </c>
      <c r="D103" s="477">
        <v>-8.1222840848289651E-2</v>
      </c>
    </row>
    <row r="104" spans="1:4">
      <c r="A104" s="388">
        <v>2001.11</v>
      </c>
      <c r="B104" s="474">
        <v>104.04494366665145</v>
      </c>
      <c r="C104" s="3480">
        <v>-1.889610164430372E-2</v>
      </c>
      <c r="D104" s="477">
        <v>-0.1003136123192063</v>
      </c>
    </row>
    <row r="105" spans="1:4">
      <c r="A105" s="388">
        <v>2001.12</v>
      </c>
      <c r="B105" s="474">
        <v>102.50478981091831</v>
      </c>
      <c r="C105" s="3480">
        <v>-1.4913429082782498E-2</v>
      </c>
      <c r="D105" s="477">
        <v>-0.11856357074214385</v>
      </c>
    </row>
    <row r="106" spans="1:4">
      <c r="A106" s="388">
        <v>2002.01</v>
      </c>
      <c r="B106" s="474">
        <v>100.64877701408464</v>
      </c>
      <c r="C106" s="3480">
        <v>-1.8272526215740176E-2</v>
      </c>
      <c r="D106" s="477">
        <v>-0.13733498735901636</v>
      </c>
    </row>
    <row r="107" spans="1:4">
      <c r="A107" s="388">
        <v>2002.02</v>
      </c>
      <c r="B107" s="474">
        <v>99.125028498061852</v>
      </c>
      <c r="C107" s="3480">
        <v>-1.5255033682353243E-2</v>
      </c>
      <c r="D107" s="477">
        <v>-0.14962273442509813</v>
      </c>
    </row>
    <row r="108" spans="1:4">
      <c r="A108" s="388">
        <v>2002.03</v>
      </c>
      <c r="B108" s="474">
        <v>97.844741974717394</v>
      </c>
      <c r="C108" s="3480">
        <v>-1.3000010620431041E-2</v>
      </c>
      <c r="D108" s="477">
        <v>-0.15924917842634961</v>
      </c>
    </row>
    <row r="109" spans="1:4">
      <c r="A109" s="388">
        <v>2002.04</v>
      </c>
      <c r="B109" s="474">
        <v>96.372147458544106</v>
      </c>
      <c r="C109" s="3480">
        <v>-1.5164723740221346E-2</v>
      </c>
      <c r="D109" s="477">
        <v>-0.16709783958675478</v>
      </c>
    </row>
    <row r="110" spans="1:4">
      <c r="A110" s="388">
        <v>2002.05</v>
      </c>
      <c r="B110" s="474">
        <v>94.995299031439856</v>
      </c>
      <c r="C110" s="3480">
        <v>-1.4389826593935853E-2</v>
      </c>
      <c r="D110" s="477">
        <v>-0.17467526335684347</v>
      </c>
    </row>
    <row r="111" spans="1:4">
      <c r="A111" s="388">
        <v>2002.06</v>
      </c>
      <c r="B111" s="474">
        <v>93.53151445034699</v>
      </c>
      <c r="C111" s="3480">
        <v>-1.5528974046647376E-2</v>
      </c>
      <c r="D111" s="477">
        <v>-0.18543882864952241</v>
      </c>
    </row>
    <row r="112" spans="1:4">
      <c r="A112" s="388">
        <v>2002.07</v>
      </c>
      <c r="B112" s="474">
        <v>92.381898723185131</v>
      </c>
      <c r="C112" s="3480">
        <v>-1.2367374257696217E-2</v>
      </c>
      <c r="D112" s="477">
        <v>-0.1901347875908834</v>
      </c>
    </row>
    <row r="113" spans="1:4">
      <c r="A113" s="388">
        <v>2002.08</v>
      </c>
      <c r="B113" s="474">
        <v>92.383830118651659</v>
      </c>
      <c r="C113" s="3480">
        <v>2.0906425436301367E-5</v>
      </c>
      <c r="D113" s="477">
        <v>-0.17717055665209328</v>
      </c>
    </row>
    <row r="114" spans="1:4">
      <c r="A114" s="388">
        <v>2002.09</v>
      </c>
      <c r="B114" s="474">
        <v>92.499728264462135</v>
      </c>
      <c r="C114" s="3480">
        <v>1.2537422148886281E-3</v>
      </c>
      <c r="D114" s="477">
        <v>-0.15855419060249135</v>
      </c>
    </row>
    <row r="115" spans="1:4">
      <c r="A115" s="388">
        <v>2002.1</v>
      </c>
      <c r="B115" s="474">
        <v>93.124533353955002</v>
      </c>
      <c r="C115" s="3480">
        <v>6.7319588903528875E-3</v>
      </c>
      <c r="D115" s="477">
        <v>-0.12978139235343358</v>
      </c>
    </row>
    <row r="116" spans="1:4">
      <c r="A116" s="388">
        <v>2002.11</v>
      </c>
      <c r="B116" s="474">
        <v>93.735580731362091</v>
      </c>
      <c r="C116" s="3480">
        <v>6.5401817661717267E-3</v>
      </c>
      <c r="D116" s="477">
        <v>-0.10434510894295833</v>
      </c>
    </row>
    <row r="117" spans="1:4">
      <c r="A117" s="388">
        <v>2002.12</v>
      </c>
      <c r="B117" s="474">
        <v>94.376103190711433</v>
      </c>
      <c r="C117" s="3480">
        <v>6.8100494497711061E-3</v>
      </c>
      <c r="D117" s="477">
        <v>-8.2621630410404726E-2</v>
      </c>
    </row>
    <row r="118" spans="1:4">
      <c r="A118" s="388">
        <v>2003.01</v>
      </c>
      <c r="B118" s="474">
        <v>95.26120755550231</v>
      </c>
      <c r="C118" s="3480">
        <v>9.3347747706977492E-3</v>
      </c>
      <c r="D118" s="477">
        <v>-5.5014329423966786E-2</v>
      </c>
    </row>
    <row r="119" spans="1:4">
      <c r="A119" s="388">
        <v>2003.02</v>
      </c>
      <c r="B119" s="474">
        <v>95.11889329314306</v>
      </c>
      <c r="C119" s="3480">
        <v>-1.495054243937374E-3</v>
      </c>
      <c r="D119" s="477">
        <v>-4.1254349985551012E-2</v>
      </c>
    </row>
    <row r="120" spans="1:4">
      <c r="A120" s="388">
        <v>2003.03</v>
      </c>
      <c r="B120" s="474">
        <v>95.272579566884318</v>
      </c>
      <c r="C120" s="3480">
        <v>1.6144242681967547E-3</v>
      </c>
      <c r="D120" s="477">
        <v>-2.6639915096923084E-2</v>
      </c>
    </row>
    <row r="121" spans="1:4">
      <c r="A121" s="388">
        <v>2003.04</v>
      </c>
      <c r="B121" s="474">
        <v>96.487547072411601</v>
      </c>
      <c r="C121" s="3480">
        <v>1.267191240223212E-2</v>
      </c>
      <c r="D121" s="477">
        <v>1.1967210455304466E-3</v>
      </c>
    </row>
    <row r="122" spans="1:4">
      <c r="A122" s="388">
        <v>2003.05</v>
      </c>
      <c r="B122" s="474">
        <v>98.751782104542457</v>
      </c>
      <c r="C122" s="3480">
        <v>2.3195496110611936E-2</v>
      </c>
      <c r="D122" s="477">
        <v>3.8782043750078064E-2</v>
      </c>
    </row>
    <row r="123" spans="1:4">
      <c r="A123" s="388">
        <v>2003.06</v>
      </c>
      <c r="B123" s="474">
        <v>100.79256614730252</v>
      </c>
      <c r="C123" s="3480">
        <v>2.0455154132374666E-2</v>
      </c>
      <c r="D123" s="477">
        <v>7.4766171929100136E-2</v>
      </c>
    </row>
    <row r="124" spans="1:4">
      <c r="A124" s="388">
        <v>2003.07</v>
      </c>
      <c r="B124" s="474">
        <v>102.6504751102928</v>
      </c>
      <c r="C124" s="3480">
        <v>1.8265167524214483E-2</v>
      </c>
      <c r="D124" s="477">
        <v>0.10539871371101094</v>
      </c>
    </row>
    <row r="125" spans="1:4">
      <c r="A125" s="388">
        <v>2003.08</v>
      </c>
      <c r="B125" s="474">
        <v>104.77257195429813</v>
      </c>
      <c r="C125" s="3480">
        <v>2.0462247736212424E-2</v>
      </c>
      <c r="D125" s="477">
        <v>0.12584005502178708</v>
      </c>
    </row>
    <row r="126" spans="1:4">
      <c r="A126" s="388">
        <v>2003.09</v>
      </c>
      <c r="B126" s="474">
        <v>106.73972179476273</v>
      </c>
      <c r="C126" s="3480">
        <v>1.8601344880717924E-2</v>
      </c>
      <c r="D126" s="477">
        <v>0.14318765768761646</v>
      </c>
    </row>
    <row r="127" spans="1:4">
      <c r="A127" s="388">
        <v>2003.1</v>
      </c>
      <c r="B127" s="474">
        <v>108.86671805217436</v>
      </c>
      <c r="C127" s="3480">
        <v>1.973099935200423E-2</v>
      </c>
      <c r="D127" s="477">
        <v>0.15618669814926761</v>
      </c>
    </row>
    <row r="128" spans="1:4">
      <c r="A128" s="388">
        <v>2003.11</v>
      </c>
      <c r="B128" s="474">
        <v>110.64502330969387</v>
      </c>
      <c r="C128" s="3480">
        <v>1.6202724746622179E-2</v>
      </c>
      <c r="D128" s="477">
        <v>0.16584924112971819</v>
      </c>
    </row>
    <row r="129" spans="1:4">
      <c r="A129" s="388">
        <v>2003.12</v>
      </c>
      <c r="B129" s="474">
        <v>111.62233098990637</v>
      </c>
      <c r="C129" s="3480">
        <v>8.7940397872274586E-3</v>
      </c>
      <c r="D129" s="477">
        <v>0.16783323146717458</v>
      </c>
    </row>
    <row r="130" spans="1:4">
      <c r="A130" s="388">
        <v>2004.01</v>
      </c>
      <c r="B130" s="474">
        <v>112.30244990965915</v>
      </c>
      <c r="C130" s="3480">
        <v>6.0745488587113407E-3</v>
      </c>
      <c r="D130" s="477">
        <v>0.16457300555518803</v>
      </c>
    </row>
    <row r="131" spans="1:4">
      <c r="A131" s="388">
        <v>2004.02</v>
      </c>
      <c r="B131" s="474">
        <v>113.44434188207053</v>
      </c>
      <c r="C131" s="3480">
        <v>1.0116659487507887E-2</v>
      </c>
      <c r="D131" s="477">
        <v>0.17618471928663343</v>
      </c>
    </row>
    <row r="132" spans="1:4">
      <c r="A132" s="388">
        <v>2004.03</v>
      </c>
      <c r="B132" s="474">
        <v>115.07897258979183</v>
      </c>
      <c r="C132" s="3480">
        <v>1.4306274100057812E-2</v>
      </c>
      <c r="D132" s="477">
        <v>0.18887656911849457</v>
      </c>
    </row>
    <row r="133" spans="1:4">
      <c r="A133" s="388">
        <v>2004.04</v>
      </c>
      <c r="B133" s="474">
        <v>116.23897848439411</v>
      </c>
      <c r="C133" s="3480">
        <v>1.0029620384117229E-2</v>
      </c>
      <c r="D133" s="477">
        <v>0.18623427710037968</v>
      </c>
    </row>
    <row r="134" spans="1:4">
      <c r="A134" s="388">
        <v>2004.05</v>
      </c>
      <c r="B134" s="474">
        <v>117.04575106228641</v>
      </c>
      <c r="C134" s="3480">
        <v>6.9166618475628586E-3</v>
      </c>
      <c r="D134" s="477">
        <v>0.16995544283733066</v>
      </c>
    </row>
    <row r="135" spans="1:4">
      <c r="A135" s="388">
        <v>2004.06</v>
      </c>
      <c r="B135" s="474">
        <v>117.63451626307145</v>
      </c>
      <c r="C135" s="3480">
        <v>5.0176049545341264E-3</v>
      </c>
      <c r="D135" s="477">
        <v>0.15451789365948984</v>
      </c>
    </row>
    <row r="136" spans="1:4">
      <c r="A136" s="388">
        <v>2004.07</v>
      </c>
      <c r="B136" s="474">
        <v>117.77398869657372</v>
      </c>
      <c r="C136" s="3480">
        <v>1.184939769660565E-3</v>
      </c>
      <c r="D136" s="477">
        <v>0.137437665904936</v>
      </c>
    </row>
    <row r="137" spans="1:4">
      <c r="A137" s="388">
        <v>2004.08</v>
      </c>
      <c r="B137" s="474">
        <v>117.56551439975381</v>
      </c>
      <c r="C137" s="3480">
        <v>-1.7716902484153794E-3</v>
      </c>
      <c r="D137" s="477">
        <v>0.1152037279203082</v>
      </c>
    </row>
    <row r="138" spans="1:4">
      <c r="A138" s="388">
        <v>2004.09</v>
      </c>
      <c r="B138" s="474">
        <v>117.96088219975181</v>
      </c>
      <c r="C138" s="3480">
        <v>3.3573151635996157E-3</v>
      </c>
      <c r="D138" s="477">
        <v>9.9959698203189951E-2</v>
      </c>
    </row>
    <row r="139" spans="1:4">
      <c r="A139" s="388">
        <v>2004.1</v>
      </c>
      <c r="B139" s="474">
        <v>118.56804602511183</v>
      </c>
      <c r="C139" s="3480">
        <v>5.1339611059761916E-3</v>
      </c>
      <c r="D139" s="477">
        <v>8.5362659957161899E-2</v>
      </c>
    </row>
    <row r="140" spans="1:4">
      <c r="A140" s="388">
        <v>2004.11</v>
      </c>
      <c r="B140" s="474">
        <v>119.52622328834919</v>
      </c>
      <c r="C140" s="3480">
        <v>8.0487652118990376E-3</v>
      </c>
      <c r="D140" s="477">
        <v>7.7208700422438742E-2</v>
      </c>
    </row>
    <row r="141" spans="1:4">
      <c r="A141" s="388">
        <v>2004.12</v>
      </c>
      <c r="B141" s="474">
        <v>120.42463528784351</v>
      </c>
      <c r="C141" s="3480">
        <v>7.4883349285580656E-3</v>
      </c>
      <c r="D141" s="477">
        <v>7.5902995563769171E-2</v>
      </c>
    </row>
    <row r="142" spans="1:4">
      <c r="A142" s="388">
        <v>2005.01</v>
      </c>
      <c r="B142" s="474">
        <v>121.97130232008219</v>
      </c>
      <c r="C142" s="3480">
        <v>1.2761666208687876E-2</v>
      </c>
      <c r="D142" s="477">
        <v>8.2590112913745892E-2</v>
      </c>
    </row>
    <row r="143" spans="1:4">
      <c r="A143" s="388">
        <v>2005.02</v>
      </c>
      <c r="B143" s="474">
        <v>123.23879828292282</v>
      </c>
      <c r="C143" s="3480">
        <v>1.0338132471288203E-2</v>
      </c>
      <c r="D143" s="477">
        <v>8.2811585897526213E-2</v>
      </c>
    </row>
    <row r="144" spans="1:4">
      <c r="A144" s="388">
        <v>2005.03</v>
      </c>
      <c r="B144" s="474">
        <v>123.95388065944329</v>
      </c>
      <c r="C144" s="3480">
        <v>5.7856436062883147E-3</v>
      </c>
      <c r="D144" s="477">
        <v>7.4290955403756617E-2</v>
      </c>
    </row>
    <row r="145" spans="1:4">
      <c r="A145" s="388">
        <v>2005.04</v>
      </c>
      <c r="B145" s="474">
        <v>125.52763099950928</v>
      </c>
      <c r="C145" s="3480">
        <v>1.2616335409258748E-2</v>
      </c>
      <c r="D145" s="477">
        <v>7.687767042889819E-2</v>
      </c>
    </row>
    <row r="146" spans="1:4">
      <c r="A146" s="388">
        <v>2005.05</v>
      </c>
      <c r="B146" s="474">
        <v>126.50867168224138</v>
      </c>
      <c r="C146" s="3480">
        <v>7.7849550004941634E-3</v>
      </c>
      <c r="D146" s="477">
        <v>7.7745963581829503E-2</v>
      </c>
    </row>
    <row r="147" spans="1:4">
      <c r="A147" s="388">
        <v>2005.06</v>
      </c>
      <c r="B147" s="474">
        <v>127.08778187632869</v>
      </c>
      <c r="C147" s="3480">
        <v>4.5671869035107011E-3</v>
      </c>
      <c r="D147" s="477">
        <v>7.7295545530806087E-2</v>
      </c>
    </row>
    <row r="148" spans="1:4">
      <c r="A148" s="388">
        <v>2005.07</v>
      </c>
      <c r="B148" s="474">
        <v>127.86678780737678</v>
      </c>
      <c r="C148" s="3480">
        <v>6.1109581700545239E-3</v>
      </c>
      <c r="D148" s="477">
        <v>8.2221563931199948E-2</v>
      </c>
    </row>
    <row r="149" spans="1:4">
      <c r="A149" s="388">
        <v>2005.08</v>
      </c>
      <c r="B149" s="474">
        <v>128.65491465548797</v>
      </c>
      <c r="C149" s="3480">
        <v>6.1447380114128623E-3</v>
      </c>
      <c r="D149" s="477">
        <v>9.0137992191028304E-2</v>
      </c>
    </row>
    <row r="150" spans="1:4">
      <c r="A150" s="388">
        <v>2005.09</v>
      </c>
      <c r="B150" s="474">
        <v>130.00760141115745</v>
      </c>
      <c r="C150" s="3480">
        <v>1.0459181388848535E-2</v>
      </c>
      <c r="D150" s="477">
        <v>9.7239858416277067E-2</v>
      </c>
    </row>
    <row r="151" spans="1:4">
      <c r="A151" s="388">
        <v>2005.1</v>
      </c>
      <c r="B151" s="474">
        <v>130.96000471143714</v>
      </c>
      <c r="C151" s="3480">
        <v>7.2990478993754685E-3</v>
      </c>
      <c r="D151" s="477">
        <v>9.9404945209676229E-2</v>
      </c>
    </row>
    <row r="152" spans="1:4">
      <c r="A152" s="388">
        <v>2005.11</v>
      </c>
      <c r="B152" s="474">
        <v>131.37256581010587</v>
      </c>
      <c r="C152" s="3480">
        <v>3.1453314239591806E-3</v>
      </c>
      <c r="D152" s="477">
        <v>9.4501511421736434E-2</v>
      </c>
    </row>
    <row r="153" spans="1:4">
      <c r="A153" s="388">
        <v>2005.12</v>
      </c>
      <c r="B153" s="474">
        <v>132.52675642851653</v>
      </c>
      <c r="C153" s="3480">
        <v>8.7472598866534367E-3</v>
      </c>
      <c r="D153" s="477">
        <v>9.576043637983192E-2</v>
      </c>
    </row>
    <row r="154" spans="1:4">
      <c r="A154" s="388">
        <v>2006.01</v>
      </c>
      <c r="B154" s="474">
        <v>133.14584722974908</v>
      </c>
      <c r="C154" s="3480">
        <v>4.6605627626281898E-3</v>
      </c>
      <c r="D154" s="477">
        <v>8.7659332933772163E-2</v>
      </c>
    </row>
    <row r="155" spans="1:4">
      <c r="A155" s="388">
        <v>2006.02</v>
      </c>
      <c r="B155" s="474">
        <v>133.93344325393903</v>
      </c>
      <c r="C155" s="3480">
        <v>5.8978613114555314E-3</v>
      </c>
      <c r="D155" s="477">
        <v>8.3219061773939562E-2</v>
      </c>
    </row>
    <row r="156" spans="1:4">
      <c r="A156" s="388">
        <v>2006.03</v>
      </c>
      <c r="B156" s="474">
        <v>134.9147739842758</v>
      </c>
      <c r="C156" s="3480">
        <v>7.3002908383568606E-3</v>
      </c>
      <c r="D156" s="477">
        <v>8.4733709006008184E-2</v>
      </c>
    </row>
    <row r="157" spans="1:4">
      <c r="A157" s="388">
        <v>2006.04</v>
      </c>
      <c r="B157" s="474">
        <v>136.16673839790832</v>
      </c>
      <c r="C157" s="3480">
        <v>9.2368771597472147E-3</v>
      </c>
      <c r="D157" s="477">
        <v>8.1354250756496771E-2</v>
      </c>
    </row>
    <row r="158" spans="1:4">
      <c r="A158" s="388">
        <v>2006.05</v>
      </c>
      <c r="B158" s="474">
        <v>136.54681368197407</v>
      </c>
      <c r="C158" s="3480">
        <v>2.7873607838417775E-3</v>
      </c>
      <c r="D158" s="477">
        <v>7.6356656539844373E-2</v>
      </c>
    </row>
    <row r="159" spans="1:4">
      <c r="A159" s="388">
        <v>2006.06</v>
      </c>
      <c r="B159" s="474">
        <v>137.51709434832384</v>
      </c>
      <c r="C159" s="3480">
        <v>7.0807187068093061E-3</v>
      </c>
      <c r="D159" s="477">
        <v>7.8870188343143105E-2</v>
      </c>
    </row>
    <row r="160" spans="1:4">
      <c r="A160" s="388">
        <v>2006.07</v>
      </c>
      <c r="B160" s="474">
        <v>138.26427911770557</v>
      </c>
      <c r="C160" s="3480">
        <v>5.4186879138202245E-3</v>
      </c>
      <c r="D160" s="477">
        <v>7.8177918086908757E-2</v>
      </c>
    </row>
    <row r="161" spans="1:4">
      <c r="A161" s="388">
        <v>2006.08</v>
      </c>
      <c r="B161" s="474">
        <v>138.99526746126207</v>
      </c>
      <c r="C161" s="3480">
        <v>5.2729656834932777E-3</v>
      </c>
      <c r="D161" s="477">
        <v>7.7306145758989114E-2</v>
      </c>
    </row>
    <row r="162" spans="1:4">
      <c r="A162" s="388">
        <v>2006.09</v>
      </c>
      <c r="B162" s="474">
        <v>139.45767763317002</v>
      </c>
      <c r="C162" s="3480">
        <v>3.3212835785860202E-3</v>
      </c>
      <c r="D162" s="477">
        <v>7.0168247948726489E-2</v>
      </c>
    </row>
    <row r="163" spans="1:4">
      <c r="A163" s="388">
        <v>2006.1</v>
      </c>
      <c r="B163" s="474">
        <v>139.62802758137974</v>
      </c>
      <c r="C163" s="3480">
        <v>1.2207717284164429E-3</v>
      </c>
      <c r="D163" s="477">
        <v>6.4089971777767402E-2</v>
      </c>
    </row>
    <row r="164" spans="1:4">
      <c r="A164" s="388">
        <v>2006.11</v>
      </c>
      <c r="B164" s="474">
        <v>139.80386799662833</v>
      </c>
      <c r="C164" s="3480">
        <v>1.2585566733194871E-3</v>
      </c>
      <c r="D164" s="477">
        <v>6.220319702712776E-2</v>
      </c>
    </row>
    <row r="165" spans="1:4">
      <c r="A165" s="388">
        <v>2006.12</v>
      </c>
      <c r="B165" s="474">
        <v>140.42395790203003</v>
      </c>
      <c r="C165" s="3480">
        <v>4.4256198720353411E-3</v>
      </c>
      <c r="D165" s="477">
        <v>5.7881557012509709E-2</v>
      </c>
    </row>
    <row r="166" spans="1:4">
      <c r="A166" s="388">
        <v>2007.01</v>
      </c>
      <c r="B166" s="474">
        <v>141.35445436762745</v>
      </c>
      <c r="C166" s="3480">
        <v>6.6044793168400055E-3</v>
      </c>
      <c r="D166" s="477">
        <v>5.982547356672157E-2</v>
      </c>
    </row>
    <row r="167" spans="1:4">
      <c r="A167" s="388">
        <v>2007.02</v>
      </c>
      <c r="B167" s="474">
        <v>142.84149547021221</v>
      </c>
      <c r="C167" s="3480">
        <v>1.0464995540278356E-2</v>
      </c>
      <c r="D167" s="477">
        <v>6.4392607795544315E-2</v>
      </c>
    </row>
    <row r="168" spans="1:4">
      <c r="A168" s="388">
        <v>2007.03</v>
      </c>
      <c r="B168" s="474">
        <v>143.12516411595956</v>
      </c>
      <c r="C168" s="3480">
        <v>1.9839287502992826E-3</v>
      </c>
      <c r="D168" s="477">
        <v>5.9076245707486631E-2</v>
      </c>
    </row>
    <row r="169" spans="1:4">
      <c r="A169" s="388">
        <v>2007.04</v>
      </c>
      <c r="B169" s="474">
        <v>143.44479328350187</v>
      </c>
      <c r="C169" s="3480">
        <v>2.2307244135839595E-3</v>
      </c>
      <c r="D169" s="477">
        <v>5.2070092961323387E-2</v>
      </c>
    </row>
    <row r="170" spans="1:4">
      <c r="A170" s="388">
        <v>2007.05</v>
      </c>
      <c r="B170" s="474">
        <v>144.54293390854681</v>
      </c>
      <c r="C170" s="3480">
        <v>7.6263385121555383E-3</v>
      </c>
      <c r="D170" s="477">
        <v>5.6909070689637152E-2</v>
      </c>
    </row>
    <row r="171" spans="1:4">
      <c r="A171" s="388">
        <v>2007.06</v>
      </c>
      <c r="B171" s="474">
        <v>145.21431002344917</v>
      </c>
      <c r="C171" s="3480">
        <v>4.6340675197725136E-3</v>
      </c>
      <c r="D171" s="477">
        <v>5.4462419502600438E-2</v>
      </c>
    </row>
    <row r="172" spans="1:4">
      <c r="A172" s="388">
        <v>2007.07</v>
      </c>
      <c r="B172" s="474">
        <v>145.59324618060717</v>
      </c>
      <c r="C172" s="3480">
        <v>2.606097149427512E-3</v>
      </c>
      <c r="D172" s="477">
        <v>5.1649828738207691E-2</v>
      </c>
    </row>
    <row r="173" spans="1:4">
      <c r="A173" s="388">
        <v>2007.08</v>
      </c>
      <c r="B173" s="474">
        <v>146.4169649983632</v>
      </c>
      <c r="C173" s="3480">
        <v>5.6417273853589895E-3</v>
      </c>
      <c r="D173" s="477">
        <v>5.201859044007346E-2</v>
      </c>
    </row>
    <row r="174" spans="1:4">
      <c r="A174" s="388">
        <v>2007.09</v>
      </c>
      <c r="B174" s="474">
        <v>147.33128661650775</v>
      </c>
      <c r="C174" s="3480">
        <v>6.2252256200656716E-3</v>
      </c>
      <c r="D174" s="477">
        <v>5.4922532481553182E-2</v>
      </c>
    </row>
    <row r="175" spans="1:4">
      <c r="A175" s="388">
        <v>2007.1</v>
      </c>
      <c r="B175" s="474">
        <v>148.59201150449383</v>
      </c>
      <c r="C175" s="3480">
        <v>8.520670887085113E-3</v>
      </c>
      <c r="D175" s="477">
        <v>6.2222431640222141E-2</v>
      </c>
    </row>
    <row r="176" spans="1:4">
      <c r="A176" s="388">
        <v>2007.11</v>
      </c>
      <c r="B176" s="474">
        <v>150.70561050578493</v>
      </c>
      <c r="C176" s="3480">
        <v>1.4123962116031114E-2</v>
      </c>
      <c r="D176" s="477">
        <v>7.5087837082933637E-2</v>
      </c>
    </row>
    <row r="177" spans="1:4">
      <c r="A177" s="388">
        <v>2007.12</v>
      </c>
      <c r="B177" s="474">
        <v>152.30646851194018</v>
      </c>
      <c r="C177" s="3480">
        <v>1.0566396599094698E-2</v>
      </c>
      <c r="D177" s="477">
        <v>8.1228613809993008E-2</v>
      </c>
    </row>
    <row r="178" spans="1:4">
      <c r="A178" s="388">
        <f t="shared" ref="A178:A241" si="0">A166+1</f>
        <v>2008.01</v>
      </c>
      <c r="B178" s="474">
        <v>152.90167866627561</v>
      </c>
      <c r="C178" s="3480">
        <v>3.9003605533245865E-3</v>
      </c>
      <c r="D178" s="477">
        <v>7.8524495046477724E-2</v>
      </c>
    </row>
    <row r="179" spans="1:4">
      <c r="A179" s="388">
        <f t="shared" si="0"/>
        <v>2008.02</v>
      </c>
      <c r="B179" s="474">
        <v>152.86767387068537</v>
      </c>
      <c r="C179" s="3480">
        <v>-2.2242121683092159E-4</v>
      </c>
      <c r="D179" s="477">
        <v>6.7837078289368427E-2</v>
      </c>
    </row>
    <row r="180" spans="1:4">
      <c r="A180" s="388">
        <f t="shared" si="0"/>
        <v>2008.03</v>
      </c>
      <c r="B180" s="474">
        <v>152.97086854212455</v>
      </c>
      <c r="C180" s="3480">
        <v>6.7483106963090388E-4</v>
      </c>
      <c r="D180" s="477">
        <v>6.6527980608699966E-2</v>
      </c>
    </row>
    <row r="181" spans="1:4">
      <c r="A181" s="388">
        <f t="shared" si="0"/>
        <v>2008.04</v>
      </c>
      <c r="B181" s="474">
        <v>152.87008598564384</v>
      </c>
      <c r="C181" s="3480">
        <v>-6.5905208989569986E-4</v>
      </c>
      <c r="D181" s="477">
        <v>6.3638204105220364E-2</v>
      </c>
    </row>
    <row r="182" spans="1:4">
      <c r="A182" s="388">
        <f t="shared" si="0"/>
        <v>2008.05</v>
      </c>
      <c r="B182" s="474">
        <v>152.81670358258191</v>
      </c>
      <c r="C182" s="3480">
        <v>-3.4926209065152554E-4</v>
      </c>
      <c r="D182" s="477">
        <v>5.5662603502413179E-2</v>
      </c>
    </row>
    <row r="183" spans="1:4">
      <c r="A183" s="388">
        <f t="shared" si="0"/>
        <v>2008.06</v>
      </c>
      <c r="B183" s="474">
        <v>152.78379621231346</v>
      </c>
      <c r="C183" s="3480">
        <v>-2.1536201948445379E-4</v>
      </c>
      <c r="D183" s="477">
        <v>5.0813173963156072E-2</v>
      </c>
    </row>
    <row r="184" spans="1:4">
      <c r="A184" s="388">
        <f t="shared" si="0"/>
        <v>2008.07</v>
      </c>
      <c r="B184" s="474">
        <v>153.2223321124396</v>
      </c>
      <c r="C184" s="3480">
        <v>2.866192273621363E-3</v>
      </c>
      <c r="D184" s="477">
        <v>5.1073269087349868E-2</v>
      </c>
    </row>
    <row r="185" spans="1:4">
      <c r="A185" s="388">
        <f t="shared" si="0"/>
        <v>2008.08</v>
      </c>
      <c r="B185" s="474">
        <v>153.11906741225542</v>
      </c>
      <c r="C185" s="3480">
        <v>-6.7418053358586616E-4</v>
      </c>
      <c r="D185" s="477">
        <v>4.4757361168405105E-2</v>
      </c>
    </row>
    <row r="186" spans="1:4">
      <c r="A186" s="388">
        <f t="shared" si="0"/>
        <v>2008.09</v>
      </c>
      <c r="B186" s="474">
        <v>152.16175629303095</v>
      </c>
      <c r="C186" s="3480">
        <v>-6.2716959783002237E-3</v>
      </c>
      <c r="D186" s="477">
        <v>3.2260439570039302E-2</v>
      </c>
    </row>
    <row r="187" spans="1:4">
      <c r="A187" s="388">
        <f t="shared" si="0"/>
        <v>2008.1</v>
      </c>
      <c r="B187" s="474">
        <v>150.75778393632206</v>
      </c>
      <c r="C187" s="3480">
        <v>-9.2696721305706373E-3</v>
      </c>
      <c r="D187" s="477">
        <v>1.4470096552383413E-2</v>
      </c>
    </row>
    <row r="188" spans="1:4">
      <c r="A188" s="388">
        <f t="shared" si="0"/>
        <v>2008.11</v>
      </c>
      <c r="B188" s="474">
        <v>148.99809146291662</v>
      </c>
      <c r="C188" s="3480">
        <v>-1.1740972119696201E-2</v>
      </c>
      <c r="D188" s="477">
        <v>-1.1394837683343947E-2</v>
      </c>
    </row>
    <row r="189" spans="1:4">
      <c r="A189" s="388">
        <f t="shared" si="0"/>
        <v>2008.12</v>
      </c>
      <c r="B189" s="474">
        <v>147.58438894027879</v>
      </c>
      <c r="C189" s="3480">
        <v>-9.5333563042249957E-3</v>
      </c>
      <c r="D189" s="477">
        <v>-3.1494590586663679E-2</v>
      </c>
    </row>
    <row r="190" spans="1:4">
      <c r="A190" s="388">
        <f t="shared" si="0"/>
        <v>2009.01</v>
      </c>
      <c r="B190" s="474">
        <v>147.1981460052103</v>
      </c>
      <c r="C190" s="3480">
        <v>-2.6205294433268565E-3</v>
      </c>
      <c r="D190" s="477">
        <v>-3.8015480583315255E-2</v>
      </c>
    </row>
    <row r="191" spans="1:4">
      <c r="A191" s="388">
        <f t="shared" si="0"/>
        <v>2009.02</v>
      </c>
      <c r="B191" s="474">
        <v>146.36846952446018</v>
      </c>
      <c r="C191" s="3480">
        <v>-5.6524049115297195E-3</v>
      </c>
      <c r="D191" s="477">
        <v>-4.3445464278014094E-2</v>
      </c>
    </row>
    <row r="192" spans="1:4">
      <c r="A192" s="388">
        <f t="shared" si="0"/>
        <v>2009.03</v>
      </c>
      <c r="B192" s="474">
        <v>145.7927188603841</v>
      </c>
      <c r="C192" s="3480">
        <v>-3.9413271322649391E-3</v>
      </c>
      <c r="D192" s="477">
        <v>-4.8061622479909936E-2</v>
      </c>
    </row>
    <row r="193" spans="1:4">
      <c r="A193" s="388">
        <f t="shared" si="0"/>
        <v>2009.04</v>
      </c>
      <c r="B193" s="474">
        <v>145.03490902175051</v>
      </c>
      <c r="C193" s="3480">
        <v>-5.2114137797289592E-3</v>
      </c>
      <c r="D193" s="477">
        <v>-5.2613984169743139E-2</v>
      </c>
    </row>
    <row r="194" spans="1:4">
      <c r="A194" s="388">
        <f t="shared" si="0"/>
        <v>2009.05</v>
      </c>
      <c r="B194" s="474">
        <v>144.91627482443167</v>
      </c>
      <c r="C194" s="3480">
        <v>-8.1830467022185735E-4</v>
      </c>
      <c r="D194" s="477">
        <v>-5.3083026749313478E-2</v>
      </c>
    </row>
    <row r="195" spans="1:4">
      <c r="A195" s="388">
        <f t="shared" si="0"/>
        <v>2009.06</v>
      </c>
      <c r="B195" s="474">
        <v>144.82426855750691</v>
      </c>
      <c r="C195" s="3480">
        <v>-6.3509420492796067E-4</v>
      </c>
      <c r="D195" s="477">
        <v>-5.350275893475713E-2</v>
      </c>
    </row>
    <row r="196" spans="1:4">
      <c r="A196" s="388">
        <f t="shared" si="0"/>
        <v>2009.07</v>
      </c>
      <c r="B196" s="474">
        <v>144.80075687106461</v>
      </c>
      <c r="C196" s="3480">
        <v>-1.6235949541415734E-4</v>
      </c>
      <c r="D196" s="477">
        <v>-5.6531310703792581E-2</v>
      </c>
    </row>
    <row r="197" spans="1:4">
      <c r="A197" s="388">
        <f t="shared" si="0"/>
        <v>2009.08</v>
      </c>
      <c r="B197" s="474">
        <v>144.60552324142324</v>
      </c>
      <c r="C197" s="3480">
        <v>-1.3492012625400869E-3</v>
      </c>
      <c r="D197" s="477">
        <v>-5.7206331432746838E-2</v>
      </c>
    </row>
    <row r="198" spans="1:4">
      <c r="A198" s="388">
        <f t="shared" si="0"/>
        <v>2009.09</v>
      </c>
      <c r="B198" s="474">
        <v>144.54559549954266</v>
      </c>
      <c r="C198" s="3480">
        <v>-4.1450811603000679E-4</v>
      </c>
      <c r="D198" s="477">
        <v>-5.1349143570476513E-2</v>
      </c>
    </row>
    <row r="199" spans="1:4">
      <c r="A199" s="388">
        <f t="shared" si="0"/>
        <v>2009.1</v>
      </c>
      <c r="B199" s="474">
        <v>145.55983448838521</v>
      </c>
      <c r="C199" s="3480">
        <v>6.992238105835308E-3</v>
      </c>
      <c r="D199" s="477">
        <v>-3.5087233334070558E-2</v>
      </c>
    </row>
    <row r="200" spans="1:4">
      <c r="A200" s="388">
        <f t="shared" si="0"/>
        <v>2009.11</v>
      </c>
      <c r="B200" s="474">
        <v>146.07932959603912</v>
      </c>
      <c r="C200" s="3480">
        <v>3.5625918675221929E-3</v>
      </c>
      <c r="D200" s="477">
        <v>-1.9783669346852113E-2</v>
      </c>
    </row>
    <row r="201" spans="1:4">
      <c r="A201" s="388">
        <f t="shared" si="0"/>
        <v>2009.12</v>
      </c>
      <c r="B201" s="474">
        <v>146.21017045671618</v>
      </c>
      <c r="C201" s="3480">
        <v>8.9528272067852669E-4</v>
      </c>
      <c r="D201" s="477">
        <v>-9.3550303219486295E-3</v>
      </c>
    </row>
    <row r="202" spans="1:4">
      <c r="A202" s="388">
        <f t="shared" si="0"/>
        <v>2010.01</v>
      </c>
      <c r="B202" s="474">
        <v>146.84725240112076</v>
      </c>
      <c r="C202" s="3480">
        <v>4.3478369651334609E-3</v>
      </c>
      <c r="D202" s="477">
        <v>-2.3866639134883178E-3</v>
      </c>
    </row>
    <row r="203" spans="1:4">
      <c r="A203" s="388">
        <f t="shared" si="0"/>
        <v>2010.02</v>
      </c>
      <c r="B203" s="474">
        <v>147.87965384035854</v>
      </c>
      <c r="C203" s="3480">
        <v>7.0058460225680859E-3</v>
      </c>
      <c r="D203" s="477">
        <v>1.0271587020609547E-2</v>
      </c>
    </row>
    <row r="204" spans="1:4">
      <c r="A204" s="388">
        <f t="shared" si="0"/>
        <v>2010.03</v>
      </c>
      <c r="B204" s="474">
        <v>149.78808784843915</v>
      </c>
      <c r="C204" s="3480">
        <v>1.2822754299069037E-2</v>
      </c>
      <c r="D204" s="477">
        <v>2.7035668451943599E-2</v>
      </c>
    </row>
    <row r="205" spans="1:4">
      <c r="A205" s="388">
        <f t="shared" si="0"/>
        <v>2010.04</v>
      </c>
      <c r="B205" s="474">
        <v>151.53595235411598</v>
      </c>
      <c r="C205" s="3480">
        <v>1.1601358513819106E-2</v>
      </c>
      <c r="D205" s="477">
        <v>4.3848440745491685E-2</v>
      </c>
    </row>
    <row r="206" spans="1:4">
      <c r="A206" s="388">
        <f t="shared" si="0"/>
        <v>2010.05</v>
      </c>
      <c r="B206" s="474">
        <v>153.04161491037004</v>
      </c>
      <c r="C206" s="3480">
        <v>9.8869712231883563E-3</v>
      </c>
      <c r="D206" s="477">
        <v>5.45537166389021E-2</v>
      </c>
    </row>
    <row r="207" spans="1:4">
      <c r="A207" s="388">
        <f t="shared" si="0"/>
        <v>2010.06</v>
      </c>
      <c r="B207" s="474">
        <v>154.60466776976</v>
      </c>
      <c r="C207" s="3480">
        <v>1.0161450970117728E-2</v>
      </c>
      <c r="D207" s="477">
        <v>6.5350261813947805E-2</v>
      </c>
    </row>
    <row r="208" spans="1:4">
      <c r="A208" s="388">
        <f t="shared" si="0"/>
        <v>2010.07</v>
      </c>
      <c r="B208" s="474">
        <v>155.90929730930893</v>
      </c>
      <c r="C208" s="3480">
        <v>8.4030823931563938E-3</v>
      </c>
      <c r="D208" s="477">
        <v>7.3915703702518445E-2</v>
      </c>
    </row>
    <row r="209" spans="1:4">
      <c r="A209" s="388">
        <f t="shared" si="0"/>
        <v>2010.08</v>
      </c>
      <c r="B209" s="474">
        <v>156.67142640417219</v>
      </c>
      <c r="C209" s="3480">
        <v>4.8763762271304932E-3</v>
      </c>
      <c r="D209" s="477">
        <v>8.0141281192189023E-2</v>
      </c>
    </row>
    <row r="210" spans="1:4">
      <c r="A210" s="388">
        <f t="shared" si="0"/>
        <v>2010.09</v>
      </c>
      <c r="B210" s="474">
        <v>157.49887407532236</v>
      </c>
      <c r="C210" s="3480">
        <v>5.267522634304537E-3</v>
      </c>
      <c r="D210" s="477">
        <v>8.58233119425236E-2</v>
      </c>
    </row>
    <row r="211" spans="1:4">
      <c r="A211" s="388">
        <f t="shared" si="0"/>
        <v>2010.1</v>
      </c>
      <c r="B211" s="474">
        <v>158.01762125401146</v>
      </c>
      <c r="C211" s="3480">
        <v>3.2882442204014298E-3</v>
      </c>
      <c r="D211" s="477">
        <v>8.2119318057089635E-2</v>
      </c>
    </row>
    <row r="212" spans="1:4">
      <c r="A212" s="388">
        <f t="shared" si="0"/>
        <v>2010.11</v>
      </c>
      <c r="B212" s="474">
        <v>159.08389417338353</v>
      </c>
      <c r="C212" s="3480">
        <v>6.725145647301943E-3</v>
      </c>
      <c r="D212" s="477">
        <v>8.5281871836869347E-2</v>
      </c>
    </row>
    <row r="213" spans="1:4">
      <c r="A213" s="388">
        <f t="shared" si="0"/>
        <v>2010.12</v>
      </c>
      <c r="B213" s="474">
        <v>160.34248076801649</v>
      </c>
      <c r="C213" s="3480">
        <v>7.8803330376579252E-3</v>
      </c>
      <c r="D213" s="477">
        <v>9.2266922153848893E-2</v>
      </c>
    </row>
    <row r="214" spans="1:4">
      <c r="A214" s="388">
        <f t="shared" si="0"/>
        <v>2011.01</v>
      </c>
      <c r="B214" s="474">
        <v>161.37582300169365</v>
      </c>
      <c r="C214" s="3480">
        <v>6.423916669452993E-3</v>
      </c>
      <c r="D214" s="477">
        <v>9.4343001858168282E-2</v>
      </c>
    </row>
    <row r="215" spans="1:4">
      <c r="A215" s="388">
        <f t="shared" si="0"/>
        <v>2011.02</v>
      </c>
      <c r="B215" s="474">
        <v>161.92171038606125</v>
      </c>
      <c r="C215" s="3480">
        <v>3.3770001114957668E-3</v>
      </c>
      <c r="D215" s="477">
        <v>9.0714155947095976E-2</v>
      </c>
    </row>
    <row r="216" spans="1:4">
      <c r="A216" s="388">
        <f t="shared" si="0"/>
        <v>2011.03</v>
      </c>
      <c r="B216" s="474">
        <v>163.14275668923315</v>
      </c>
      <c r="C216" s="3480">
        <v>7.5126762218669166E-3</v>
      </c>
      <c r="D216" s="477">
        <v>8.5404077869893943E-2</v>
      </c>
    </row>
    <row r="217" spans="1:4">
      <c r="A217" s="388">
        <f t="shared" si="0"/>
        <v>2011.04</v>
      </c>
      <c r="B217" s="474">
        <v>164.46858293158274</v>
      </c>
      <c r="C217" s="3480">
        <v>8.09394132688495E-3</v>
      </c>
      <c r="D217" s="477">
        <v>8.1896660682959713E-2</v>
      </c>
    </row>
    <row r="218" spans="1:4">
      <c r="A218" s="388">
        <f t="shared" si="0"/>
        <v>2011.05</v>
      </c>
      <c r="B218" s="474">
        <v>165.13978150073928</v>
      </c>
      <c r="C218" s="3480">
        <v>4.0727091260213608E-3</v>
      </c>
      <c r="D218" s="477">
        <v>7.6082398585792604E-2</v>
      </c>
    </row>
    <row r="219" spans="1:4">
      <c r="A219" s="388">
        <f t="shared" si="0"/>
        <v>2011.06</v>
      </c>
      <c r="B219" s="474">
        <v>165.81528501246538</v>
      </c>
      <c r="C219" s="3480">
        <v>4.0821520388849061E-3</v>
      </c>
      <c r="D219" s="477">
        <v>7.0003099654559753E-2</v>
      </c>
    </row>
    <row r="220" spans="1:4">
      <c r="A220" s="388">
        <f t="shared" si="0"/>
        <v>2011.07</v>
      </c>
      <c r="B220" s="474">
        <v>166.23636916776462</v>
      </c>
      <c r="C220" s="3480">
        <v>2.5362582942775277E-3</v>
      </c>
      <c r="D220" s="477">
        <v>6.4136275555680855E-2</v>
      </c>
    </row>
    <row r="221" spans="1:4">
      <c r="A221" s="388">
        <f t="shared" si="0"/>
        <v>2011.08</v>
      </c>
      <c r="B221" s="474">
        <v>166.60512555421585</v>
      </c>
      <c r="C221" s="3480">
        <v>2.2158086847684014E-3</v>
      </c>
      <c r="D221" s="477">
        <v>6.1475708013318787E-2</v>
      </c>
    </row>
    <row r="222" spans="1:4">
      <c r="A222" s="388">
        <f t="shared" si="0"/>
        <v>2011.09</v>
      </c>
      <c r="B222" s="474">
        <v>167.37898538158561</v>
      </c>
      <c r="C222" s="3480">
        <v>4.6341199291903817E-3</v>
      </c>
      <c r="D222" s="477">
        <v>6.0842305308204572E-2</v>
      </c>
    </row>
    <row r="223" spans="1:4">
      <c r="A223" s="388">
        <f t="shared" si="0"/>
        <v>2011.1</v>
      </c>
      <c r="B223" s="474">
        <v>167.54396943622132</v>
      </c>
      <c r="C223" s="3480">
        <v>9.8520609356476572E-4</v>
      </c>
      <c r="D223" s="477">
        <v>5.8539267181367816E-2</v>
      </c>
    </row>
    <row r="224" spans="1:4">
      <c r="A224" s="388">
        <f t="shared" si="0"/>
        <v>2011.11</v>
      </c>
      <c r="B224" s="474">
        <v>167.08178811048484</v>
      </c>
      <c r="C224" s="3480">
        <v>-2.7623792204381254E-3</v>
      </c>
      <c r="D224" s="477">
        <v>4.9051742313627605E-2</v>
      </c>
    </row>
    <row r="225" spans="1:4">
      <c r="A225" s="388">
        <f t="shared" si="0"/>
        <v>2011.12</v>
      </c>
      <c r="B225" s="474">
        <v>167.01508014175448</v>
      </c>
      <c r="C225" s="3480">
        <v>-3.9933310339486307E-4</v>
      </c>
      <c r="D225" s="477">
        <v>4.0772076172574959E-2</v>
      </c>
    </row>
    <row r="226" spans="1:4">
      <c r="A226" s="388">
        <f t="shared" si="0"/>
        <v>2012.01</v>
      </c>
      <c r="B226" s="474">
        <v>166.60159978563127</v>
      </c>
      <c r="C226" s="3480">
        <v>-2.4787763485122458E-3</v>
      </c>
      <c r="D226" s="477">
        <v>3.1869383154609895E-2</v>
      </c>
    </row>
    <row r="227" spans="1:4">
      <c r="A227" s="388">
        <f t="shared" si="0"/>
        <v>2012.02</v>
      </c>
      <c r="B227" s="474">
        <v>166.64032115637929</v>
      </c>
      <c r="C227" s="3480">
        <v>2.323919560470608E-4</v>
      </c>
      <c r="D227" s="477">
        <v>2.8724774999161085E-2</v>
      </c>
    </row>
    <row r="228" spans="1:4">
      <c r="A228" s="388">
        <f t="shared" si="0"/>
        <v>2012.03</v>
      </c>
      <c r="B228" s="474">
        <v>166.25640326080972</v>
      </c>
      <c r="C228" s="3480">
        <v>-2.306529548753016E-3</v>
      </c>
      <c r="D228" s="477">
        <v>1.8905569228541037E-2</v>
      </c>
    </row>
    <row r="229" spans="1:4">
      <c r="A229" s="388">
        <f t="shared" si="0"/>
        <v>2012.04</v>
      </c>
      <c r="B229" s="474">
        <v>164.92860104365391</v>
      </c>
      <c r="C229" s="3480">
        <v>-8.0185353464396324E-3</v>
      </c>
      <c r="D229" s="477">
        <v>2.7930925552165416E-3</v>
      </c>
    </row>
    <row r="230" spans="1:4">
      <c r="A230" s="388">
        <f t="shared" si="0"/>
        <v>2012.05</v>
      </c>
      <c r="B230" s="474">
        <v>164.06407588472601</v>
      </c>
      <c r="C230" s="3480">
        <v>-5.2556011698749114E-3</v>
      </c>
      <c r="D230" s="477">
        <v>-6.5352177406796403E-3</v>
      </c>
    </row>
    <row r="231" spans="1:4">
      <c r="A231" s="388">
        <f t="shared" si="0"/>
        <v>2012.06</v>
      </c>
      <c r="B231" s="474">
        <v>163.07459860164738</v>
      </c>
      <c r="C231" s="3480">
        <v>-6.049301887315563E-3</v>
      </c>
      <c r="D231" s="477">
        <v>-1.6666671666880181E-2</v>
      </c>
    </row>
    <row r="232" spans="1:4">
      <c r="A232" s="388">
        <f t="shared" si="0"/>
        <v>2012.07</v>
      </c>
      <c r="B232" s="474">
        <v>162.16064572932538</v>
      </c>
      <c r="C232" s="3480">
        <v>-5.6202720586947842E-3</v>
      </c>
      <c r="D232" s="477">
        <v>-2.4823202019852428E-2</v>
      </c>
    </row>
    <row r="233" spans="1:4">
      <c r="A233" s="388">
        <f t="shared" si="0"/>
        <v>2012.08</v>
      </c>
      <c r="B233" s="474">
        <v>161.59247389249686</v>
      </c>
      <c r="C233" s="3480">
        <v>-3.5099116313722784E-3</v>
      </c>
      <c r="D233" s="477">
        <v>-3.0548922335993229E-2</v>
      </c>
    </row>
    <row r="234" spans="1:4">
      <c r="A234" s="388">
        <f t="shared" si="0"/>
        <v>2012.09</v>
      </c>
      <c r="B234" s="474">
        <v>161.49917714446039</v>
      </c>
      <c r="C234" s="3480">
        <v>-5.7752498605381937E-4</v>
      </c>
      <c r="D234" s="477">
        <v>-3.5760567251237406E-2</v>
      </c>
    </row>
    <row r="235" spans="1:4">
      <c r="A235" s="388">
        <f t="shared" si="0"/>
        <v>2012.1</v>
      </c>
      <c r="B235" s="474">
        <v>161.7946923685827</v>
      </c>
      <c r="C235" s="3480">
        <v>1.8281528621124036E-3</v>
      </c>
      <c r="D235" s="477">
        <v>-3.4917620482689843E-2</v>
      </c>
    </row>
    <row r="236" spans="1:4">
      <c r="A236" s="388">
        <f t="shared" si="0"/>
        <v>2012.11</v>
      </c>
      <c r="B236" s="474">
        <v>162.8071190539039</v>
      </c>
      <c r="C236" s="3480">
        <v>6.2379810135929472E-3</v>
      </c>
      <c r="D236" s="477">
        <v>-2.5917260248658661E-2</v>
      </c>
    </row>
    <row r="237" spans="1:4">
      <c r="A237" s="388">
        <f t="shared" si="0"/>
        <v>2012.12</v>
      </c>
      <c r="B237" s="474">
        <v>163.57966003518135</v>
      </c>
      <c r="C237" s="3480">
        <v>4.7339075813401894E-3</v>
      </c>
      <c r="D237" s="477">
        <v>-2.0784019563923561E-2</v>
      </c>
    </row>
    <row r="238" spans="1:4">
      <c r="A238" s="388">
        <f t="shared" si="0"/>
        <v>2013.01</v>
      </c>
      <c r="B238" s="474">
        <v>164.44963473412798</v>
      </c>
      <c r="C238" s="3480">
        <v>5.3042624702174506E-3</v>
      </c>
      <c r="D238" s="477">
        <v>-1.3000980745193796E-2</v>
      </c>
    </row>
    <row r="239" spans="1:4">
      <c r="A239" s="388">
        <f t="shared" si="0"/>
        <v>2013.02</v>
      </c>
      <c r="B239" s="474">
        <v>165.84478497606997</v>
      </c>
      <c r="C239" s="3480">
        <v>8.447969182168287E-3</v>
      </c>
      <c r="D239" s="477">
        <v>-4.7854035190724497E-3</v>
      </c>
    </row>
    <row r="240" spans="1:4">
      <c r="A240" s="388">
        <f t="shared" si="0"/>
        <v>2013.03</v>
      </c>
      <c r="B240" s="474">
        <v>166.55952974548183</v>
      </c>
      <c r="C240" s="3480">
        <v>4.3004608502082414E-3</v>
      </c>
      <c r="D240" s="477">
        <v>1.8215868798887591E-3</v>
      </c>
    </row>
    <row r="241" spans="1:4">
      <c r="A241" s="388">
        <f t="shared" si="0"/>
        <v>2013.04</v>
      </c>
      <c r="B241" s="474">
        <v>167.7523313034053</v>
      </c>
      <c r="C241" s="3480">
        <v>7.1358917133596041E-3</v>
      </c>
      <c r="D241" s="477">
        <v>1.6976013939687798E-2</v>
      </c>
    </row>
    <row r="242" spans="1:4">
      <c r="A242" s="388">
        <f t="shared" ref="A242:A306" si="1">A230+1</f>
        <v>2013.05</v>
      </c>
      <c r="B242" s="474">
        <v>168.39630563285627</v>
      </c>
      <c r="C242" s="3480">
        <v>3.8314902784223667E-3</v>
      </c>
      <c r="D242" s="477">
        <v>2.6063105387984977E-2</v>
      </c>
    </row>
    <row r="243" spans="1:4">
      <c r="A243" s="388">
        <f t="shared" si="1"/>
        <v>2013.06</v>
      </c>
      <c r="B243" s="474">
        <v>169.05683930170053</v>
      </c>
      <c r="C243" s="3480">
        <v>3.9148220863342194E-3</v>
      </c>
      <c r="D243" s="477">
        <v>3.6027229361634917E-2</v>
      </c>
    </row>
    <row r="244" spans="1:4">
      <c r="A244" s="388">
        <f t="shared" si="1"/>
        <v>2013.07</v>
      </c>
      <c r="B244" s="474">
        <v>169.16950813102406</v>
      </c>
      <c r="C244" s="3480">
        <v>6.6623333366096357E-4</v>
      </c>
      <c r="D244" s="477">
        <v>4.231373475399041E-2</v>
      </c>
    </row>
    <row r="245" spans="1:4">
      <c r="A245" s="388">
        <f t="shared" si="1"/>
        <v>2013.08</v>
      </c>
      <c r="B245" s="474">
        <v>169.7355630437803</v>
      </c>
      <c r="C245" s="3480">
        <v>3.340495538609612E-3</v>
      </c>
      <c r="D245" s="477">
        <v>4.9164141923972442E-2</v>
      </c>
    </row>
    <row r="246" spans="1:4">
      <c r="A246" s="388">
        <f t="shared" si="1"/>
        <v>2013.09</v>
      </c>
      <c r="B246" s="474">
        <v>169.95704437826262</v>
      </c>
      <c r="C246" s="3480">
        <v>1.3040105143757739E-3</v>
      </c>
      <c r="D246" s="477">
        <v>5.1045677424402094E-2</v>
      </c>
    </row>
    <row r="247" spans="1:4">
      <c r="A247" s="388">
        <f t="shared" si="1"/>
        <v>2013.1</v>
      </c>
      <c r="B247" s="474">
        <v>169.52173265654801</v>
      </c>
      <c r="C247" s="3480">
        <v>-2.5645901290700778E-3</v>
      </c>
      <c r="D247" s="477">
        <v>4.6652934433219558E-2</v>
      </c>
    </row>
    <row r="248" spans="1:4">
      <c r="A248" s="388">
        <f t="shared" si="1"/>
        <v>2013.11</v>
      </c>
      <c r="B248" s="474">
        <v>168.86482480520456</v>
      </c>
      <c r="C248" s="3480">
        <v>-3.8825932181555424E-3</v>
      </c>
      <c r="D248" s="477">
        <v>3.6532360201471062E-2</v>
      </c>
    </row>
    <row r="249" spans="1:4">
      <c r="A249" s="388">
        <f t="shared" si="1"/>
        <v>2013.12</v>
      </c>
      <c r="B249" s="474">
        <v>168.46809076430731</v>
      </c>
      <c r="C249" s="3480">
        <v>-2.3521821056031989E-3</v>
      </c>
      <c r="D249" s="477">
        <v>2.9446270514527598E-2</v>
      </c>
    </row>
    <row r="250" spans="1:4">
      <c r="A250" s="388">
        <f t="shared" si="1"/>
        <v>2014.01</v>
      </c>
      <c r="B250" s="474">
        <v>167.70258454090725</v>
      </c>
      <c r="C250" s="3480">
        <v>-4.5542791372122551E-3</v>
      </c>
      <c r="D250" s="477">
        <v>1.958772890709767E-2</v>
      </c>
    </row>
    <row r="251" spans="1:4">
      <c r="A251" s="388">
        <f t="shared" si="1"/>
        <v>2014.02</v>
      </c>
      <c r="B251" s="474">
        <v>166.55700405804751</v>
      </c>
      <c r="C251" s="3480">
        <v>-6.8544628619633206E-3</v>
      </c>
      <c r="D251" s="477">
        <v>4.2852968629660329E-3</v>
      </c>
    </row>
    <row r="252" spans="1:4">
      <c r="A252" s="388">
        <f t="shared" si="1"/>
        <v>2014.03</v>
      </c>
      <c r="B252" s="474">
        <v>165.33374819563775</v>
      </c>
      <c r="C252" s="3480">
        <v>-7.3714702399096371E-3</v>
      </c>
      <c r="D252" s="477">
        <v>-7.3866342271516538E-3</v>
      </c>
    </row>
    <row r="253" spans="1:4">
      <c r="A253" s="388">
        <f t="shared" si="1"/>
        <v>2014.04</v>
      </c>
      <c r="B253" s="474">
        <v>165.01184487963121</v>
      </c>
      <c r="C253" s="3480">
        <v>-1.9488888281920737E-3</v>
      </c>
      <c r="D253" s="477">
        <v>-1.6471414768703178E-2</v>
      </c>
    </row>
    <row r="254" spans="1:4">
      <c r="A254" s="388">
        <f t="shared" si="1"/>
        <v>2014.05</v>
      </c>
      <c r="B254" s="474">
        <v>165.19736594915727</v>
      </c>
      <c r="C254" s="3480">
        <v>1.1236578687822945E-3</v>
      </c>
      <c r="D254" s="477">
        <v>-1.9179247178343233E-2</v>
      </c>
    </row>
    <row r="255" spans="1:4">
      <c r="A255" s="388">
        <f t="shared" si="1"/>
        <v>2014.06</v>
      </c>
      <c r="B255" s="474">
        <v>165.53172519380061</v>
      </c>
      <c r="C255" s="3480">
        <v>2.021953118191467E-3</v>
      </c>
      <c r="D255" s="477">
        <v>-2.1072116146485971E-2</v>
      </c>
    </row>
    <row r="256" spans="1:4">
      <c r="A256" s="388">
        <f t="shared" si="1"/>
        <v>2014.07</v>
      </c>
      <c r="B256" s="474">
        <v>166.08527388532576</v>
      </c>
      <c r="C256" s="3480">
        <v>3.3384851029522179E-3</v>
      </c>
      <c r="D256" s="477">
        <v>-1.8399864377194729E-2</v>
      </c>
    </row>
    <row r="257" spans="1:4">
      <c r="A257" s="388">
        <f t="shared" si="1"/>
        <v>2014.08</v>
      </c>
      <c r="B257" s="474">
        <v>167.02943045634544</v>
      </c>
      <c r="C257" s="3480">
        <v>5.6686726043290057E-3</v>
      </c>
      <c r="D257" s="477">
        <v>-1.6071687311475475E-2</v>
      </c>
    </row>
    <row r="258" spans="1:4">
      <c r="A258" s="388">
        <f t="shared" si="1"/>
        <v>2014.09</v>
      </c>
      <c r="B258" s="474">
        <v>167.06930296947854</v>
      </c>
      <c r="C258" s="3480">
        <v>2.3868700676326303E-4</v>
      </c>
      <c r="D258" s="477">
        <v>-1.713701081908791E-2</v>
      </c>
    </row>
    <row r="259" spans="1:4">
      <c r="A259" s="388">
        <f t="shared" si="1"/>
        <v>2014.1</v>
      </c>
      <c r="B259" s="474">
        <v>167.69797873756988</v>
      </c>
      <c r="C259" s="3480">
        <v>3.7559017352926018E-3</v>
      </c>
      <c r="D259" s="477">
        <v>-1.0816518954725282E-2</v>
      </c>
    </row>
    <row r="260" spans="1:4">
      <c r="A260" s="388">
        <f t="shared" si="1"/>
        <v>2014.11</v>
      </c>
      <c r="B260" s="474">
        <v>167.86440401556376</v>
      </c>
      <c r="C260" s="3480">
        <v>9.9191864281057414E-4</v>
      </c>
      <c r="D260" s="477">
        <v>-5.9420070937590431E-3</v>
      </c>
    </row>
    <row r="261" spans="1:4">
      <c r="A261" s="388">
        <f t="shared" si="1"/>
        <v>2014.12</v>
      </c>
      <c r="B261" s="474">
        <v>167.63036840473453</v>
      </c>
      <c r="C261" s="3480">
        <v>-1.3951671860830757E-3</v>
      </c>
      <c r="D261" s="477">
        <v>-4.9849921742389216E-3</v>
      </c>
    </row>
    <row r="262" spans="1:4">
      <c r="A262" s="388">
        <f t="shared" si="1"/>
        <v>2015.01</v>
      </c>
      <c r="B262" s="474">
        <v>168.14496105149291</v>
      </c>
      <c r="C262" s="3480">
        <v>3.0651033860574972E-3</v>
      </c>
      <c r="D262" s="477">
        <v>2.6343903490308883E-3</v>
      </c>
    </row>
    <row r="263" spans="1:4">
      <c r="A263" s="388">
        <f t="shared" si="1"/>
        <v>2015.02</v>
      </c>
      <c r="B263" s="474">
        <v>169.07803246839345</v>
      </c>
      <c r="C263" s="3480">
        <v>5.5338681881369383E-3</v>
      </c>
      <c r="D263" s="477">
        <v>1.5022721399131179E-2</v>
      </c>
    </row>
    <row r="264" spans="1:4">
      <c r="A264" s="388">
        <f t="shared" si="1"/>
        <v>2015.03</v>
      </c>
      <c r="B264" s="474">
        <v>169.83326353559693</v>
      </c>
      <c r="C264" s="3480">
        <v>4.4568140762263802E-3</v>
      </c>
      <c r="D264" s="477">
        <v>2.685100571526727E-2</v>
      </c>
    </row>
    <row r="265" spans="1:4">
      <c r="A265" s="388">
        <f t="shared" si="1"/>
        <v>2015.04</v>
      </c>
      <c r="B265" s="474">
        <v>170.93156130770251</v>
      </c>
      <c r="C265" s="3480">
        <v>6.4460971032585419E-3</v>
      </c>
      <c r="D265" s="477">
        <v>3.5245991646717816E-2</v>
      </c>
    </row>
    <row r="266" spans="1:4">
      <c r="A266" s="388">
        <f t="shared" si="1"/>
        <v>2015.05</v>
      </c>
      <c r="B266" s="474">
        <v>172.02653508021007</v>
      </c>
      <c r="C266" s="3480">
        <v>6.3854885166332561E-3</v>
      </c>
      <c r="D266" s="477">
        <v>4.0507822294568868E-2</v>
      </c>
    </row>
    <row r="267" spans="1:4">
      <c r="A267" s="388">
        <f t="shared" si="1"/>
        <v>2015.06</v>
      </c>
      <c r="B267" s="474">
        <v>172.8571340099009</v>
      </c>
      <c r="C267" s="3480">
        <v>4.8166997164429239E-3</v>
      </c>
      <c r="D267" s="477">
        <v>4.3302568892820283E-2</v>
      </c>
    </row>
    <row r="268" spans="1:4">
      <c r="A268" s="388">
        <f t="shared" si="1"/>
        <v>2015.07</v>
      </c>
      <c r="B268" s="474">
        <v>173.15120046102618</v>
      </c>
      <c r="C268" s="3480">
        <v>1.6997655410607572E-3</v>
      </c>
      <c r="D268" s="477">
        <v>4.1663849330928836E-2</v>
      </c>
    </row>
    <row r="269" spans="1:4">
      <c r="A269" s="388">
        <f t="shared" si="1"/>
        <v>2015.08</v>
      </c>
      <c r="B269" s="474">
        <v>172.14635400228786</v>
      </c>
      <c r="C269" s="3480">
        <v>-5.8201935247832919E-3</v>
      </c>
      <c r="D269" s="477">
        <v>3.0174983201816663E-2</v>
      </c>
    </row>
    <row r="270" spans="1:4">
      <c r="A270" s="388">
        <f t="shared" si="1"/>
        <v>2015.09</v>
      </c>
      <c r="B270" s="474">
        <v>171.71839932077168</v>
      </c>
      <c r="C270" s="3480">
        <v>-2.4890885054783436E-3</v>
      </c>
      <c r="D270" s="477">
        <v>2.7447207689575013E-2</v>
      </c>
    </row>
    <row r="271" spans="1:4">
      <c r="A271" s="388">
        <f t="shared" si="1"/>
        <v>2015.1</v>
      </c>
      <c r="B271" s="474">
        <v>171.56846369096354</v>
      </c>
      <c r="C271" s="3480">
        <v>-8.7352972395621318E-4</v>
      </c>
      <c r="D271" s="477">
        <v>2.2817776230326114E-2</v>
      </c>
    </row>
    <row r="272" spans="1:4">
      <c r="A272" s="388">
        <f t="shared" si="1"/>
        <v>2015.11</v>
      </c>
      <c r="B272" s="474">
        <v>170.72079041333254</v>
      </c>
      <c r="C272" s="3480">
        <v>-4.9529747159156182E-3</v>
      </c>
      <c r="D272" s="477">
        <v>1.6872882871599902E-2</v>
      </c>
    </row>
    <row r="273" spans="1:4">
      <c r="A273" s="388">
        <f t="shared" si="1"/>
        <v>2015.12</v>
      </c>
      <c r="B273" s="474">
        <v>169.65683616399502</v>
      </c>
      <c r="C273" s="3480">
        <v>-6.2516313145187796E-3</v>
      </c>
      <c r="D273" s="477">
        <v>1.2016418743164035E-2</v>
      </c>
    </row>
    <row r="274" spans="1:4">
      <c r="A274" s="388">
        <f t="shared" si="1"/>
        <v>2016.01</v>
      </c>
      <c r="B274" s="474">
        <v>168.6782490671628</v>
      </c>
      <c r="C274" s="3480">
        <v>-5.7847374891616512E-3</v>
      </c>
      <c r="D274" s="477">
        <v>3.1665778679449107E-3</v>
      </c>
    </row>
    <row r="275" spans="1:4">
      <c r="A275" s="388">
        <f t="shared" si="1"/>
        <v>2016.02</v>
      </c>
      <c r="B275" s="474">
        <v>167.49565012485726</v>
      </c>
      <c r="C275" s="3480">
        <v>-7.0356670962543723E-3</v>
      </c>
      <c r="D275" s="477">
        <v>-9.4029574164464311E-3</v>
      </c>
    </row>
    <row r="276" spans="1:4">
      <c r="A276" s="388">
        <f t="shared" si="1"/>
        <v>2016.03</v>
      </c>
      <c r="B276" s="474">
        <v>167.09344512542071</v>
      </c>
      <c r="C276" s="3480">
        <v>-2.404173948742535E-3</v>
      </c>
      <c r="D276" s="477">
        <v>-1.6263945441415344E-2</v>
      </c>
    </row>
    <row r="277" spans="1:4">
      <c r="A277" s="388">
        <f t="shared" si="1"/>
        <v>2016.04</v>
      </c>
      <c r="B277" s="474">
        <v>165.96337607928436</v>
      </c>
      <c r="C277" s="3480">
        <v>-6.7860695886973041E-3</v>
      </c>
      <c r="D277" s="477">
        <v>-2.9496112133371225E-2</v>
      </c>
    </row>
    <row r="278" spans="1:4">
      <c r="A278" s="388">
        <f t="shared" si="1"/>
        <v>2016.05</v>
      </c>
      <c r="B278" s="474">
        <v>165.26254115265382</v>
      </c>
      <c r="C278" s="3480">
        <v>-4.231770136584421E-3</v>
      </c>
      <c r="D278" s="477">
        <v>-4.011337078658888E-2</v>
      </c>
    </row>
    <row r="279" spans="1:4">
      <c r="A279" s="388">
        <f t="shared" si="1"/>
        <v>2016.06</v>
      </c>
      <c r="B279" s="474">
        <v>164.2772750097545</v>
      </c>
      <c r="C279" s="3480">
        <v>-5.9796663733667323E-3</v>
      </c>
      <c r="D279" s="477">
        <v>-5.0909736876398645E-2</v>
      </c>
    </row>
    <row r="280" spans="1:4">
      <c r="A280" s="388">
        <f t="shared" si="1"/>
        <v>2016.07</v>
      </c>
      <c r="B280" s="474">
        <v>164.68044747170029</v>
      </c>
      <c r="C280" s="3480">
        <v>2.4512126407878632E-3</v>
      </c>
      <c r="D280" s="477">
        <v>-5.0158289776671389E-2</v>
      </c>
    </row>
    <row r="281" spans="1:4">
      <c r="A281" s="388">
        <f t="shared" si="1"/>
        <v>2016.08</v>
      </c>
      <c r="B281" s="474">
        <v>165.74588278727742</v>
      </c>
      <c r="C281" s="3480">
        <v>6.448874744224369E-3</v>
      </c>
      <c r="D281" s="477">
        <v>-3.7889221507663648E-2</v>
      </c>
    </row>
    <row r="282" spans="1:4">
      <c r="A282" s="388">
        <f t="shared" si="1"/>
        <v>2016.09</v>
      </c>
      <c r="B282" s="474">
        <v>166.50222926294094</v>
      </c>
      <c r="C282" s="3480">
        <v>4.5529094357850399E-3</v>
      </c>
      <c r="D282" s="477">
        <v>-3.0847223566400309E-2</v>
      </c>
    </row>
    <row r="283" spans="1:4">
      <c r="A283" s="388">
        <f t="shared" si="1"/>
        <v>2016.1</v>
      </c>
      <c r="B283" s="474">
        <v>166.93354786654353</v>
      </c>
      <c r="C283" s="3480">
        <v>2.5871179625062391E-3</v>
      </c>
      <c r="D283" s="477">
        <v>-2.7386575879937858E-2</v>
      </c>
    </row>
    <row r="284" spans="1:4">
      <c r="A284" s="388">
        <f t="shared" si="1"/>
        <v>2016.11</v>
      </c>
      <c r="B284" s="474">
        <v>167.82530699838185</v>
      </c>
      <c r="C284" s="3480">
        <v>5.3277828399736658E-3</v>
      </c>
      <c r="D284" s="477">
        <v>-1.7105818324048522E-2</v>
      </c>
    </row>
    <row r="285" spans="1:4">
      <c r="A285" s="388">
        <f t="shared" si="1"/>
        <v>2016.12</v>
      </c>
      <c r="B285" s="474">
        <v>169.07289212915225</v>
      </c>
      <c r="C285" s="3480">
        <v>7.4063372074890102E-3</v>
      </c>
      <c r="D285" s="477">
        <v>-3.447849802040704E-3</v>
      </c>
    </row>
    <row r="286" spans="1:4">
      <c r="A286" s="388">
        <f t="shared" si="1"/>
        <v>2017.01</v>
      </c>
      <c r="B286" s="474">
        <v>169.63029280400303</v>
      </c>
      <c r="C286" s="3480">
        <v>3.2913843320601724E-3</v>
      </c>
      <c r="D286" s="477">
        <v>5.6282720191811767E-3</v>
      </c>
    </row>
    <row r="287" spans="1:4">
      <c r="A287" s="388">
        <f t="shared" si="1"/>
        <v>2017.02</v>
      </c>
      <c r="B287" s="474">
        <v>169.75748557304667</v>
      </c>
      <c r="C287" s="3480">
        <v>7.4954245911123705E-4</v>
      </c>
      <c r="D287" s="477">
        <v>1.3413481574546849E-2</v>
      </c>
    </row>
    <row r="288" spans="1:4">
      <c r="A288" s="388">
        <f t="shared" si="1"/>
        <v>2017.03</v>
      </c>
      <c r="B288" s="474">
        <v>170.47946339011241</v>
      </c>
      <c r="C288" s="3480">
        <v>4.2439770454951219E-3</v>
      </c>
      <c r="D288" s="477">
        <v>2.0061632568784675E-2</v>
      </c>
    </row>
    <row r="289" spans="1:4">
      <c r="A289" s="388">
        <f t="shared" si="1"/>
        <v>2017.04</v>
      </c>
      <c r="B289" s="474">
        <v>171.5374101562229</v>
      </c>
      <c r="C289" s="3480">
        <v>6.1865376956027384E-3</v>
      </c>
      <c r="D289" s="477">
        <v>3.3034239853084756E-2</v>
      </c>
    </row>
    <row r="290" spans="1:4">
      <c r="A290" s="388">
        <f t="shared" si="1"/>
        <v>2017.05</v>
      </c>
      <c r="B290" s="474">
        <v>171.62039231945809</v>
      </c>
      <c r="C290" s="3480">
        <v>4.83638514141551E-4</v>
      </c>
      <c r="D290" s="477">
        <v>3.7749648503810594E-2</v>
      </c>
    </row>
    <row r="291" spans="1:4">
      <c r="A291" s="388">
        <f t="shared" si="1"/>
        <v>2017.06</v>
      </c>
      <c r="B291" s="474">
        <v>172.25168350724184</v>
      </c>
      <c r="C291" s="3480">
        <v>3.6716671190951808E-3</v>
      </c>
      <c r="D291" s="477">
        <v>4.7400981996272566E-2</v>
      </c>
    </row>
    <row r="292" spans="1:4">
      <c r="A292" s="388">
        <f t="shared" si="1"/>
        <v>2017.07</v>
      </c>
      <c r="B292" s="474">
        <v>172.20561810902879</v>
      </c>
      <c r="C292" s="3480">
        <v>-2.6746652355176922E-4</v>
      </c>
      <c r="D292" s="477">
        <v>4.4682302831932863E-2</v>
      </c>
    </row>
    <row r="293" spans="1:4">
      <c r="A293" s="388">
        <f t="shared" si="1"/>
        <v>2017.08</v>
      </c>
      <c r="B293" s="474">
        <v>172.7797366865056</v>
      </c>
      <c r="C293" s="3480">
        <v>3.3283679988429476E-3</v>
      </c>
      <c r="D293" s="477">
        <v>4.1561796086551264E-2</v>
      </c>
    </row>
    <row r="294" spans="1:4">
      <c r="A294" s="388">
        <f t="shared" si="1"/>
        <v>2017.09</v>
      </c>
      <c r="B294" s="474">
        <v>173.72643047263156</v>
      </c>
      <c r="C294" s="3480">
        <v>5.4642383390197833E-3</v>
      </c>
      <c r="D294" s="477">
        <v>4.2473124989786004E-2</v>
      </c>
    </row>
    <row r="295" spans="1:4">
      <c r="A295" s="388">
        <f t="shared" si="1"/>
        <v>2017.1</v>
      </c>
      <c r="B295" s="474">
        <v>174.05914257687627</v>
      </c>
      <c r="C295" s="3480">
        <v>1.9133180414951771E-3</v>
      </c>
      <c r="D295" s="477">
        <v>4.1799325068774963E-2</v>
      </c>
    </row>
    <row r="296" spans="1:4">
      <c r="A296" s="388">
        <f t="shared" si="1"/>
        <v>2017.11</v>
      </c>
      <c r="B296" s="474">
        <v>174.6782106943422</v>
      </c>
      <c r="C296" s="3480">
        <v>3.5503439017086861E-3</v>
      </c>
      <c r="D296" s="477">
        <v>4.0021886130510019E-2</v>
      </c>
    </row>
    <row r="297" spans="1:4">
      <c r="A297" s="388">
        <f t="shared" si="1"/>
        <v>2017.12</v>
      </c>
      <c r="B297" s="474">
        <v>175.3505562917378</v>
      </c>
      <c r="C297" s="3480">
        <v>3.8416638156857723E-3</v>
      </c>
      <c r="D297" s="477">
        <v>3.6457212738706682E-2</v>
      </c>
    </row>
    <row r="298" spans="1:4">
      <c r="A298" s="388">
        <f t="shared" si="1"/>
        <v>2018.01</v>
      </c>
      <c r="B298" s="474">
        <v>175.25531619754159</v>
      </c>
      <c r="C298" s="3480">
        <v>-5.4328865550726008E-4</v>
      </c>
      <c r="D298" s="477">
        <v>3.2622539751139275E-2</v>
      </c>
    </row>
    <row r="299" spans="1:4">
      <c r="A299" s="388">
        <f t="shared" si="1"/>
        <v>2018.02</v>
      </c>
      <c r="B299" s="474">
        <v>175.08585408815475</v>
      </c>
      <c r="C299" s="3480">
        <v>-9.6741197995702021E-4</v>
      </c>
      <c r="D299" s="477">
        <v>3.0905585312071045E-2</v>
      </c>
    </row>
    <row r="300" spans="1:4">
      <c r="A300" s="388">
        <f t="shared" si="1"/>
        <v>2018.03</v>
      </c>
      <c r="B300" s="474">
        <v>174.76405791260754</v>
      </c>
      <c r="C300" s="3480">
        <v>-1.8396246805338129E-3</v>
      </c>
      <c r="D300" s="477">
        <v>2.4821983586042012E-2</v>
      </c>
    </row>
    <row r="301" spans="1:4">
      <c r="A301" s="388">
        <f t="shared" si="1"/>
        <v>2018.04</v>
      </c>
      <c r="B301" s="474">
        <v>173.59524612010253</v>
      </c>
      <c r="C301" s="3480">
        <v>-6.7104059796504103E-3</v>
      </c>
      <c r="D301" s="477">
        <v>1.1925039910788604E-2</v>
      </c>
    </row>
    <row r="302" spans="1:4">
      <c r="A302" s="388">
        <f t="shared" si="1"/>
        <v>2018.05</v>
      </c>
      <c r="B302" s="474">
        <v>172.08379287246183</v>
      </c>
      <c r="C302" s="3480">
        <v>-8.7448917016406773E-3</v>
      </c>
      <c r="D302" s="477">
        <v>2.6965096950066214E-3</v>
      </c>
    </row>
    <row r="303" spans="1:4">
      <c r="A303" s="388">
        <f t="shared" si="1"/>
        <v>2018.06</v>
      </c>
      <c r="B303" s="474">
        <v>170.50208627930971</v>
      </c>
      <c r="C303" s="3480">
        <v>-9.2339931578709761E-3</v>
      </c>
      <c r="D303" s="477">
        <v>-1.0209150581959708E-2</v>
      </c>
    </row>
    <row r="304" spans="1:4">
      <c r="A304" s="388">
        <f t="shared" si="1"/>
        <v>2018.07</v>
      </c>
      <c r="B304" s="474">
        <v>167.44876851192026</v>
      </c>
      <c r="C304" s="3480">
        <v>-1.8070088040797325E-2</v>
      </c>
      <c r="D304" s="477">
        <v>-2.801177209920519E-2</v>
      </c>
    </row>
    <row r="305" spans="1:4">
      <c r="A305" s="388">
        <f t="shared" si="1"/>
        <v>2018.08</v>
      </c>
      <c r="B305" s="474">
        <v>165.0202451394409</v>
      </c>
      <c r="C305" s="3480">
        <v>-1.460928066158498E-2</v>
      </c>
      <c r="D305" s="477">
        <v>-4.5949420759632938E-2</v>
      </c>
    </row>
    <row r="306" spans="1:4">
      <c r="A306" s="388">
        <f t="shared" si="1"/>
        <v>2018.09</v>
      </c>
      <c r="B306" s="474">
        <v>163.08544491747239</v>
      </c>
      <c r="C306" s="3480">
        <v>-1.1793898780012116E-2</v>
      </c>
      <c r="D306" s="477">
        <v>-6.3207557878664819E-2</v>
      </c>
    </row>
    <row r="307" spans="1:4">
      <c r="A307" s="388">
        <f t="shared" ref="A307:A370" si="2">A295+1</f>
        <v>2018.1</v>
      </c>
      <c r="B307" s="474">
        <v>161.45957780192799</v>
      </c>
      <c r="C307" s="3480">
        <v>-1.0019446322345608E-2</v>
      </c>
      <c r="D307" s="477">
        <v>-7.5140322242505678E-2</v>
      </c>
    </row>
    <row r="308" spans="1:4">
      <c r="A308" s="388">
        <f t="shared" si="2"/>
        <v>2018.11</v>
      </c>
      <c r="B308" s="474">
        <v>160.01766387741182</v>
      </c>
      <c r="C308" s="3480">
        <v>-8.970610712151144E-3</v>
      </c>
      <c r="D308" s="477">
        <v>-8.766127685636553E-2</v>
      </c>
    </row>
    <row r="309" spans="1:4">
      <c r="A309" s="388">
        <f t="shared" si="2"/>
        <v>2018.12</v>
      </c>
      <c r="B309" s="474">
        <v>159.58756152983446</v>
      </c>
      <c r="C309" s="3480">
        <v>-2.6914616722333844E-3</v>
      </c>
      <c r="D309" s="477">
        <v>-9.4194402344284681E-2</v>
      </c>
    </row>
    <row r="310" spans="1:4">
      <c r="A310" s="388">
        <f t="shared" si="2"/>
        <v>2019.01</v>
      </c>
      <c r="B310" s="474">
        <v>159.64919053479747</v>
      </c>
      <c r="C310" s="3480">
        <v>3.8610219738194936E-4</v>
      </c>
      <c r="D310" s="477">
        <v>-9.3265011491395475E-2</v>
      </c>
    </row>
    <row r="311" spans="1:4">
      <c r="A311" s="388">
        <f t="shared" si="2"/>
        <v>2019.02</v>
      </c>
      <c r="B311" s="474">
        <v>159.77738453953461</v>
      </c>
      <c r="C311" s="3480">
        <v>8.0265088519768059E-4</v>
      </c>
      <c r="D311" s="477">
        <v>-9.149494862624076E-2</v>
      </c>
    </row>
    <row r="312" spans="1:4">
      <c r="A312" s="388">
        <f t="shared" si="2"/>
        <v>2019.03</v>
      </c>
      <c r="B312" s="474">
        <v>159.61830630993651</v>
      </c>
      <c r="C312" s="3480">
        <v>-9.9612015634188505E-4</v>
      </c>
      <c r="D312" s="477">
        <v>-9.0651444102048784E-2</v>
      </c>
    </row>
    <row r="313" spans="1:4">
      <c r="A313" s="388">
        <f t="shared" si="2"/>
        <v>2019.04</v>
      </c>
      <c r="B313" s="474">
        <v>159.31316844678034</v>
      </c>
      <c r="C313" s="3480">
        <v>-1.9135016792797693E-3</v>
      </c>
      <c r="D313" s="477">
        <v>-8.5854539801678037E-2</v>
      </c>
    </row>
    <row r="314" spans="1:4">
      <c r="A314" s="388">
        <f t="shared" si="2"/>
        <v>2019.05</v>
      </c>
      <c r="B314" s="474">
        <v>159.74569557758295</v>
      </c>
      <c r="C314" s="3480">
        <v>2.7112702045347073E-3</v>
      </c>
      <c r="D314" s="477">
        <v>-7.4398377895502618E-2</v>
      </c>
    </row>
    <row r="315" spans="1:4">
      <c r="A315" s="388">
        <f t="shared" si="2"/>
        <v>2019.06</v>
      </c>
      <c r="B315" s="474">
        <v>159.75642827679508</v>
      </c>
      <c r="C315" s="3480">
        <v>6.7183899040690307E-5</v>
      </c>
      <c r="D315" s="477">
        <v>-6.5097200838590899E-2</v>
      </c>
    </row>
    <row r="316" spans="1:4">
      <c r="A316" s="388">
        <f t="shared" si="2"/>
        <v>2019.07</v>
      </c>
      <c r="B316" s="474">
        <v>160.04648173110704</v>
      </c>
      <c r="C316" s="3480">
        <v>1.8139518107445744E-3</v>
      </c>
      <c r="D316" s="477">
        <v>-4.5213160987048993E-2</v>
      </c>
    </row>
    <row r="317" spans="1:4">
      <c r="A317" s="388">
        <f t="shared" si="2"/>
        <v>2019.08</v>
      </c>
      <c r="B317" s="474">
        <v>159.22263162104076</v>
      </c>
      <c r="C317" s="3480">
        <v>-5.1608621327943506E-3</v>
      </c>
      <c r="D317" s="477">
        <v>-3.5764742458258399E-2</v>
      </c>
    </row>
    <row r="318" spans="1:4">
      <c r="A318" s="388">
        <f t="shared" si="2"/>
        <v>2019.09</v>
      </c>
      <c r="B318" s="474">
        <v>157.60309374472331</v>
      </c>
      <c r="C318" s="3480">
        <v>-1.0223614139329058E-2</v>
      </c>
      <c r="D318" s="477">
        <v>-3.4194457817575304E-2</v>
      </c>
    </row>
    <row r="319" spans="1:4">
      <c r="A319" s="388">
        <f t="shared" si="2"/>
        <v>2019.1</v>
      </c>
      <c r="B319" s="474">
        <v>155.93052743086932</v>
      </c>
      <c r="C319" s="3480">
        <v>-1.0669236515059058E-2</v>
      </c>
      <c r="D319" s="477">
        <v>-3.4844248010288771E-2</v>
      </c>
    </row>
    <row r="320" spans="1:4">
      <c r="A320" s="388">
        <f t="shared" si="2"/>
        <v>2019.11</v>
      </c>
      <c r="B320" s="474">
        <v>155.13101584146625</v>
      </c>
      <c r="C320" s="3480">
        <v>-5.1405476973978006E-3</v>
      </c>
      <c r="D320" s="477">
        <v>-3.1014184995535474E-2</v>
      </c>
    </row>
    <row r="321" spans="1:4">
      <c r="A321" s="388">
        <f t="shared" si="2"/>
        <v>2019.12</v>
      </c>
      <c r="B321" s="474">
        <v>153.86418879196185</v>
      </c>
      <c r="C321" s="3480">
        <v>-8.199701020835861E-3</v>
      </c>
      <c r="D321" s="477">
        <v>-3.6522424344137924E-2</v>
      </c>
    </row>
    <row r="322" spans="1:4">
      <c r="A322" s="388">
        <f t="shared" si="2"/>
        <v>2020.01</v>
      </c>
      <c r="B322" s="474">
        <v>152.8148939349264</v>
      </c>
      <c r="C322" s="3480">
        <v>-6.8429769794200223E-3</v>
      </c>
      <c r="D322" s="477">
        <v>-4.3751503520939948E-2</v>
      </c>
    </row>
    <row r="323" spans="1:4">
      <c r="A323" s="388">
        <f t="shared" si="2"/>
        <v>2020.02</v>
      </c>
      <c r="B323" s="474">
        <v>151.58703065097822</v>
      </c>
      <c r="C323" s="3480">
        <v>-8.0674256252918838E-3</v>
      </c>
      <c r="D323" s="477">
        <v>-5.2621580031429527E-2</v>
      </c>
    </row>
    <row r="324" spans="1:4">
      <c r="A324" s="388">
        <f t="shared" si="2"/>
        <v>2020.03</v>
      </c>
      <c r="B324" s="474">
        <v>149.19317720230771</v>
      </c>
      <c r="C324" s="3480">
        <v>-1.5917962236025051E-2</v>
      </c>
      <c r="D324" s="477">
        <v>-6.7543422111112777E-2</v>
      </c>
    </row>
    <row r="325" spans="1:4">
      <c r="A325" s="388">
        <f t="shared" si="2"/>
        <v>2020.04</v>
      </c>
      <c r="B325" s="474">
        <v>147.91800657263974</v>
      </c>
      <c r="C325" s="3480">
        <v>-8.58384691725321E-3</v>
      </c>
      <c r="D325" s="477">
        <v>-7.4213767349086177E-2</v>
      </c>
    </row>
    <row r="326" spans="1:4">
      <c r="A326" s="388">
        <f t="shared" si="2"/>
        <v>2020.05</v>
      </c>
      <c r="B326" s="474">
        <v>147.65664683548729</v>
      </c>
      <c r="C326" s="3480">
        <v>-1.7684859121486227E-3</v>
      </c>
      <c r="D326" s="477">
        <v>-7.869352346576973E-2</v>
      </c>
    </row>
    <row r="327" spans="1:4">
      <c r="A327" s="388">
        <f t="shared" si="2"/>
        <v>2020.06</v>
      </c>
      <c r="B327" s="474">
        <v>148.61999470067474</v>
      </c>
      <c r="C327" s="3480">
        <v>6.5030523848506137E-3</v>
      </c>
      <c r="D327" s="477">
        <v>-7.2257654979959812E-2</v>
      </c>
    </row>
    <row r="328" spans="1:4">
      <c r="A328" s="388">
        <f t="shared" si="2"/>
        <v>2020.07</v>
      </c>
      <c r="B328" s="474">
        <v>150.42244592920738</v>
      </c>
      <c r="C328" s="3480">
        <v>1.2054964858464039E-2</v>
      </c>
      <c r="D328" s="477">
        <v>-6.2016641932240539E-2</v>
      </c>
    </row>
    <row r="329" spans="1:4">
      <c r="A329" s="388">
        <f t="shared" si="2"/>
        <v>2020.08</v>
      </c>
      <c r="B329" s="474">
        <v>152.22582871984855</v>
      </c>
      <c r="C329" s="3480">
        <v>1.191749159455735E-2</v>
      </c>
      <c r="D329" s="477">
        <v>-4.4938288204888696E-2</v>
      </c>
    </row>
    <row r="330" spans="1:4">
      <c r="A330" s="388">
        <f t="shared" si="2"/>
        <v>2020.09</v>
      </c>
      <c r="B330" s="474">
        <v>153.80581556670083</v>
      </c>
      <c r="C330" s="3480">
        <v>1.0325735358515943E-2</v>
      </c>
      <c r="D330" s="477">
        <v>-2.4388938707043593E-2</v>
      </c>
    </row>
    <row r="331" spans="1:4">
      <c r="A331" s="388">
        <f t="shared" si="2"/>
        <v>2020.1</v>
      </c>
      <c r="B331" s="474">
        <v>155.95786242843133</v>
      </c>
      <c r="C331" s="3480">
        <v>1.389498924030546E-2</v>
      </c>
      <c r="D331" s="477">
        <v>1.7528704832093546E-4</v>
      </c>
    </row>
    <row r="332" spans="1:4">
      <c r="A332" s="388">
        <f t="shared" si="2"/>
        <v>2020.11</v>
      </c>
      <c r="B332" s="474">
        <v>157.35358603997614</v>
      </c>
      <c r="C332" s="3480">
        <v>8.9095553391852437E-3</v>
      </c>
      <c r="D332" s="477">
        <v>1.4225390084904135E-2</v>
      </c>
    </row>
    <row r="333" spans="1:4">
      <c r="A333" s="388">
        <f t="shared" si="2"/>
        <v>2020.12</v>
      </c>
      <c r="B333" s="474">
        <v>157.44655824398552</v>
      </c>
      <c r="C333" s="3480">
        <v>5.906744860235631E-4</v>
      </c>
      <c r="D333" s="477">
        <v>2.3015765591763319E-2</v>
      </c>
    </row>
    <row r="334" spans="1:4">
      <c r="A334" s="388">
        <f t="shared" si="2"/>
        <v>2021.01</v>
      </c>
      <c r="B334" s="474">
        <v>158.17906731959758</v>
      </c>
      <c r="C334" s="3480">
        <v>4.6416408012003463E-3</v>
      </c>
      <c r="D334" s="477">
        <v>3.4500383372383897E-2</v>
      </c>
    </row>
    <row r="335" spans="1:4">
      <c r="A335" s="388">
        <f t="shared" si="2"/>
        <v>2021.02</v>
      </c>
      <c r="B335" s="474">
        <v>159.89226231987089</v>
      </c>
      <c r="C335" s="3480">
        <v>1.0772499173319877E-2</v>
      </c>
      <c r="D335" s="477">
        <v>5.3340308170995561E-2</v>
      </c>
    </row>
    <row r="336" spans="1:4">
      <c r="A336" s="388">
        <f t="shared" si="2"/>
        <v>2021.03</v>
      </c>
      <c r="B336" s="474">
        <v>161.63712282465733</v>
      </c>
      <c r="C336" s="3480">
        <v>1.0853612230888833E-2</v>
      </c>
      <c r="D336" s="477">
        <v>8.0111882637909401E-2</v>
      </c>
    </row>
    <row r="337" spans="1:4">
      <c r="A337" s="388">
        <f t="shared" si="2"/>
        <v>2021.04</v>
      </c>
      <c r="B337" s="474">
        <v>161.57825956479795</v>
      </c>
      <c r="C337" s="3480">
        <v>-3.6423551425670577E-4</v>
      </c>
      <c r="D337" s="477">
        <v>8.8331494040905928E-2</v>
      </c>
    </row>
    <row r="338" spans="1:4">
      <c r="A338" s="388">
        <f t="shared" si="2"/>
        <v>2021.05</v>
      </c>
      <c r="B338" s="474">
        <v>161.41393634750904</v>
      </c>
      <c r="C338" s="3480">
        <v>-1.0175058936145334E-3</v>
      </c>
      <c r="D338" s="477">
        <v>8.9082474059439906E-2</v>
      </c>
    </row>
    <row r="339" spans="1:4">
      <c r="A339" s="388">
        <f t="shared" si="2"/>
        <v>2021.06</v>
      </c>
      <c r="B339" s="474">
        <v>160.91335889628647</v>
      </c>
      <c r="C339" s="3480">
        <v>-3.1060221150803493E-3</v>
      </c>
      <c r="D339" s="477">
        <v>7.9473399559509023E-2</v>
      </c>
    </row>
    <row r="340" spans="1:4">
      <c r="A340" s="388">
        <f t="shared" si="2"/>
        <v>2021.07</v>
      </c>
      <c r="B340" s="474">
        <v>160.88104788527778</v>
      </c>
      <c r="C340" s="3480">
        <v>-2.0081772980726022E-4</v>
      </c>
      <c r="D340" s="477">
        <v>6.7217616971237737E-2</v>
      </c>
    </row>
    <row r="341" spans="1:4">
      <c r="A341" s="388">
        <f t="shared" si="2"/>
        <v>2021.08</v>
      </c>
      <c r="B341" s="474">
        <v>161.26323774213498</v>
      </c>
      <c r="C341" s="3480">
        <v>2.372787929032782E-3</v>
      </c>
      <c r="D341" s="477">
        <v>5.7672913305713294E-2</v>
      </c>
    </row>
    <row r="342" spans="1:4">
      <c r="A342" s="388">
        <f t="shared" si="2"/>
        <v>2021.09</v>
      </c>
      <c r="B342" s="474">
        <v>162.06162618691422</v>
      </c>
      <c r="C342" s="3480">
        <v>4.9386246254119305E-3</v>
      </c>
      <c r="D342" s="477">
        <v>5.2285802572609202E-2</v>
      </c>
    </row>
    <row r="343" spans="1:4">
      <c r="A343" s="388">
        <f t="shared" si="2"/>
        <v>2021.1</v>
      </c>
      <c r="B343" s="474">
        <v>162.30357855068385</v>
      </c>
      <c r="C343" s="3480">
        <v>1.4918518084569667E-3</v>
      </c>
      <c r="D343" s="477">
        <v>3.988266514076072E-2</v>
      </c>
    </row>
    <row r="344" spans="1:4">
      <c r="A344" s="388">
        <f t="shared" si="2"/>
        <v>2021.11</v>
      </c>
      <c r="B344" s="474">
        <v>162.85869447369984</v>
      </c>
      <c r="C344" s="3480">
        <v>3.4143964928806878E-3</v>
      </c>
      <c r="D344" s="477">
        <v>3.4387506294456124E-2</v>
      </c>
    </row>
    <row r="345" spans="1:4">
      <c r="A345" s="388">
        <f t="shared" si="2"/>
        <v>2021.12</v>
      </c>
      <c r="B345" s="474">
        <v>163.84525027843262</v>
      </c>
      <c r="C345" s="3480">
        <v>6.0394667362283407E-3</v>
      </c>
      <c r="D345" s="477">
        <v>3.9836298544661031E-2</v>
      </c>
    </row>
    <row r="346" spans="1:4">
      <c r="A346" s="388">
        <f t="shared" si="2"/>
        <v>2022.01</v>
      </c>
      <c r="B346" s="474">
        <v>164.20843865553806</v>
      </c>
      <c r="C346" s="3480">
        <v>2.2142017464821663E-3</v>
      </c>
      <c r="D346" s="477">
        <v>3.7408859489942665E-2</v>
      </c>
    </row>
    <row r="347" spans="1:4">
      <c r="A347" s="388">
        <f t="shared" si="2"/>
        <v>2022.02</v>
      </c>
      <c r="B347" s="474">
        <v>164.45143474708561</v>
      </c>
      <c r="C347" s="3480">
        <v>1.4787088749796463E-3</v>
      </c>
      <c r="D347" s="477">
        <v>2.8115069191602601E-2</v>
      </c>
    </row>
    <row r="348" spans="1:4">
      <c r="A348" s="388">
        <f t="shared" si="2"/>
        <v>2022.03</v>
      </c>
      <c r="B348" s="474">
        <v>165.01589871211584</v>
      </c>
      <c r="C348" s="3480">
        <v>3.4265279740419981E-3</v>
      </c>
      <c r="D348" s="477">
        <v>2.0687984934755925E-2</v>
      </c>
    </row>
    <row r="349" spans="1:4">
      <c r="A349" s="388">
        <f t="shared" si="2"/>
        <v>2022.04</v>
      </c>
      <c r="B349" s="474">
        <v>166.41427920039149</v>
      </c>
      <c r="C349" s="3480">
        <v>8.4385121181180436E-3</v>
      </c>
      <c r="D349" s="477">
        <v>2.9490732567130629E-2</v>
      </c>
    </row>
    <row r="350" spans="1:4">
      <c r="A350" s="388">
        <f t="shared" si="2"/>
        <v>2022.05</v>
      </c>
      <c r="B350" s="474">
        <v>166.54720381860952</v>
      </c>
      <c r="C350" s="3480">
        <v>7.9843845044450814E-4</v>
      </c>
      <c r="D350" s="477">
        <v>3.1306676911189546E-2</v>
      </c>
    </row>
    <row r="351" spans="1:4">
      <c r="A351" s="388">
        <f t="shared" si="2"/>
        <v>2022.06</v>
      </c>
      <c r="B351" s="474">
        <v>166.28667632618246</v>
      </c>
      <c r="C351" s="3480">
        <v>-1.5655109721561503E-3</v>
      </c>
      <c r="D351" s="477">
        <v>3.2847188054113866E-2</v>
      </c>
    </row>
    <row r="352" spans="1:4">
      <c r="A352" s="388">
        <f t="shared" si="2"/>
        <v>2022.07</v>
      </c>
      <c r="B352" s="474">
        <v>165.10119358340367</v>
      </c>
      <c r="C352" s="3480">
        <v>-7.1546843287962686E-3</v>
      </c>
      <c r="D352" s="477">
        <v>2.5893321455124903E-2</v>
      </c>
    </row>
    <row r="353" spans="1:4">
      <c r="A353" s="388">
        <f t="shared" si="2"/>
        <v>2022.08</v>
      </c>
      <c r="B353" s="474">
        <v>163.94407383119477</v>
      </c>
      <c r="C353" s="3480">
        <v>-7.0332239157262577E-3</v>
      </c>
      <c r="D353" s="477">
        <v>1.6487309610365607E-2</v>
      </c>
    </row>
    <row r="354" spans="1:4">
      <c r="A354" s="388">
        <f t="shared" si="2"/>
        <v>2022.09</v>
      </c>
      <c r="B354" s="474">
        <v>163.20840188132598</v>
      </c>
      <c r="C354" s="3480">
        <v>-4.4974331207284215E-3</v>
      </c>
      <c r="D354" s="477">
        <v>7.0512518642252423E-3</v>
      </c>
    </row>
    <row r="355" spans="1:4">
      <c r="A355" s="388">
        <f t="shared" si="2"/>
        <v>2022.1</v>
      </c>
      <c r="B355" s="474">
        <v>163.4197095069579</v>
      </c>
      <c r="C355" s="3480">
        <v>1.2938730485450177E-3</v>
      </c>
      <c r="D355" s="477">
        <v>6.8532731043132377E-3</v>
      </c>
    </row>
    <row r="356" spans="1:4">
      <c r="A356" s="388">
        <f t="shared" si="2"/>
        <v>2022.11</v>
      </c>
      <c r="B356" s="474">
        <v>163.30792972263285</v>
      </c>
      <c r="C356" s="3480">
        <v>-6.8423833961362573E-4</v>
      </c>
      <c r="D356" s="477">
        <v>2.7546382718188216E-3</v>
      </c>
    </row>
    <row r="357" spans="1:4">
      <c r="A357" s="388">
        <f t="shared" si="2"/>
        <v>2022.12</v>
      </c>
      <c r="B357" s="474">
        <v>163.56853045824394</v>
      </c>
      <c r="C357" s="3480">
        <v>1.5944910237925692E-3</v>
      </c>
      <c r="D357" s="477">
        <v>-1.6903374406171269E-3</v>
      </c>
    </row>
    <row r="358" spans="1:4">
      <c r="A358" s="388">
        <f t="shared" si="2"/>
        <v>2023.01</v>
      </c>
      <c r="B358" s="474">
        <v>163.08084963048489</v>
      </c>
      <c r="C358" s="3480">
        <v>-2.9859612161023327E-3</v>
      </c>
      <c r="D358" s="477">
        <v>-6.8905004032015623E-3</v>
      </c>
    </row>
    <row r="359" spans="1:4">
      <c r="A359" s="388">
        <f t="shared" si="2"/>
        <v>2023.02</v>
      </c>
      <c r="B359" s="474">
        <v>163.22481687318154</v>
      </c>
      <c r="C359" s="3480">
        <v>8.8240730589105856E-4</v>
      </c>
      <c r="D359" s="477">
        <v>-7.48680197229026E-3</v>
      </c>
    </row>
    <row r="360" spans="1:4">
      <c r="A360" s="388">
        <f t="shared" si="2"/>
        <v>2023.03</v>
      </c>
      <c r="B360" s="474">
        <v>163.65859288303204</v>
      </c>
      <c r="C360" s="3480">
        <v>2.6540121127134604E-3</v>
      </c>
      <c r="D360" s="477">
        <v>-8.2593178336186623E-3</v>
      </c>
    </row>
    <row r="361" spans="1:4">
      <c r="A361" s="388">
        <f t="shared" si="2"/>
        <v>2023.04</v>
      </c>
      <c r="B361" s="474">
        <v>163.62785442727491</v>
      </c>
      <c r="C361" s="3480">
        <v>-1.8783824444989572E-4</v>
      </c>
      <c r="D361" s="477">
        <v>-1.6885668196186567E-2</v>
      </c>
    </row>
    <row r="362" spans="1:4">
      <c r="A362" s="388">
        <f t="shared" si="2"/>
        <v>2023.05</v>
      </c>
      <c r="B362" s="474">
        <v>162.61940626284994</v>
      </c>
      <c r="C362" s="3480">
        <v>-6.1821293094677906E-3</v>
      </c>
      <c r="D362" s="477">
        <v>-2.3866235956098835E-2</v>
      </c>
    </row>
    <row r="363" spans="1:4">
      <c r="A363" s="388">
        <f t="shared" si="2"/>
        <v>2023.06</v>
      </c>
      <c r="B363" s="474">
        <v>162.34526524440199</v>
      </c>
      <c r="C363" s="3480">
        <v>-1.6872054565725994E-3</v>
      </c>
      <c r="D363" s="477">
        <v>-2.3987930440515347E-2</v>
      </c>
    </row>
    <row r="364" spans="1:4">
      <c r="A364" s="388">
        <f t="shared" si="2"/>
        <v>2023.07</v>
      </c>
      <c r="B364" s="474">
        <v>162.16420525079945</v>
      </c>
      <c r="C364" s="3480">
        <v>-1.1158997123548327E-3</v>
      </c>
      <c r="D364" s="477">
        <v>-1.7949145824073892E-2</v>
      </c>
    </row>
    <row r="365" spans="1:4">
      <c r="A365" s="388">
        <f t="shared" si="2"/>
        <v>2023.08</v>
      </c>
      <c r="B365" s="474">
        <v>161.04325486088607</v>
      </c>
      <c r="C365" s="3480">
        <v>-6.9364419001600617E-3</v>
      </c>
      <c r="D365" s="477">
        <v>-1.7852363808507587E-2</v>
      </c>
    </row>
    <row r="366" spans="1:4">
      <c r="A366" s="388">
        <f t="shared" si="2"/>
        <v>2023.09</v>
      </c>
      <c r="B366" s="474">
        <v>159.72196322072577</v>
      </c>
      <c r="C366" s="3480">
        <v>-8.2384188736519294E-3</v>
      </c>
      <c r="D366" s="477">
        <v>-2.1593349561431135E-2</v>
      </c>
    </row>
    <row r="367" spans="1:4">
      <c r="A367" s="388">
        <f t="shared" si="2"/>
        <v>2023.1</v>
      </c>
      <c r="B367" s="474">
        <v>157.46703744688639</v>
      </c>
      <c r="C367" s="3480">
        <v>-1.4218423448593837E-2</v>
      </c>
      <c r="D367" s="477">
        <v>-3.710564605856994E-2</v>
      </c>
    </row>
    <row r="368" spans="1:4">
      <c r="A368" s="388">
        <f t="shared" si="2"/>
        <v>2023.11</v>
      </c>
      <c r="B368" s="474">
        <v>155.08821242818044</v>
      </c>
      <c r="C368" s="3480">
        <v>-1.5222082834738271E-2</v>
      </c>
      <c r="D368" s="477">
        <v>-5.1643490553694771E-2</v>
      </c>
    </row>
    <row r="369" spans="1:24">
      <c r="A369" s="388">
        <f t="shared" si="2"/>
        <v>2023.12</v>
      </c>
      <c r="B369" s="474">
        <v>152.7410442400359</v>
      </c>
      <c r="C369" s="3480">
        <v>-1.5250101322961866E-2</v>
      </c>
      <c r="D369" s="477">
        <v>-6.8488082900449027E-2</v>
      </c>
      <c r="X369" s="1246"/>
    </row>
    <row r="370" spans="1:24">
      <c r="A370" s="388">
        <f t="shared" si="2"/>
        <v>2024.01</v>
      </c>
      <c r="B370" s="474">
        <v>151.30166578293736</v>
      </c>
      <c r="C370" s="3480">
        <v>-9.4683356180835874E-3</v>
      </c>
      <c r="D370" s="477">
        <v>-7.4970457302430349E-2</v>
      </c>
      <c r="X370" s="1246"/>
    </row>
    <row r="371" spans="1:24">
      <c r="A371" s="388">
        <f t="shared" ref="A371:A434" si="3">A359+1</f>
        <v>2024.02</v>
      </c>
      <c r="B371" s="474">
        <v>150.26998748414704</v>
      </c>
      <c r="C371" s="3480">
        <v>-6.8420377864749464E-3</v>
      </c>
      <c r="D371" s="477">
        <v>-8.2694902394796307E-2</v>
      </c>
      <c r="X371" s="1246"/>
    </row>
    <row r="372" spans="1:24">
      <c r="A372" s="388">
        <f t="shared" si="3"/>
        <v>2024.03</v>
      </c>
      <c r="B372" s="474">
        <v>150.57744411441362</v>
      </c>
      <c r="C372" s="3480">
        <v>2.0439379234245933E-3</v>
      </c>
      <c r="D372" s="477">
        <v>-8.3304976584085352E-2</v>
      </c>
      <c r="X372" s="1246"/>
    </row>
    <row r="373" spans="1:24">
      <c r="A373" s="388">
        <f t="shared" si="3"/>
        <v>2024.04</v>
      </c>
      <c r="B373" s="474">
        <v>151.18151637620468</v>
      </c>
      <c r="C373" s="3480">
        <v>4.0036794116788824E-3</v>
      </c>
      <c r="D373" s="477">
        <v>-7.9113458927956418E-2</v>
      </c>
      <c r="X373" s="1246"/>
    </row>
    <row r="374" spans="1:24">
      <c r="A374" s="388">
        <f t="shared" si="3"/>
        <v>2024.05</v>
      </c>
      <c r="B374" s="474">
        <v>152.38765895853018</v>
      </c>
      <c r="C374" s="3480">
        <v>7.9464519276175906E-3</v>
      </c>
      <c r="D374" s="477">
        <v>-6.4984877690871121E-2</v>
      </c>
      <c r="X374" s="1246"/>
    </row>
    <row r="375" spans="1:24">
      <c r="A375" s="388">
        <f t="shared" si="3"/>
        <v>2024.06</v>
      </c>
      <c r="B375" s="474">
        <v>153.5512915252819</v>
      </c>
      <c r="C375" s="3480">
        <v>7.6069959459157946E-3</v>
      </c>
      <c r="D375" s="477">
        <v>-5.569067628838275E-2</v>
      </c>
      <c r="X375" s="1246"/>
    </row>
    <row r="376" spans="1:24">
      <c r="A376" s="388">
        <f t="shared" si="3"/>
        <v>2024.07</v>
      </c>
      <c r="B376" s="474">
        <v>154.13465541819014</v>
      </c>
      <c r="C376" s="3480">
        <v>3.7919482362630055E-3</v>
      </c>
      <c r="D376" s="477">
        <v>-5.0782828339764878E-2</v>
      </c>
      <c r="X376" s="1246"/>
    </row>
    <row r="377" spans="1:24">
      <c r="A377" s="388">
        <f t="shared" si="3"/>
        <v>2024.08</v>
      </c>
      <c r="B377" s="474">
        <v>155.03046884043385</v>
      </c>
      <c r="C377" s="3480">
        <v>5.7950645719310225E-3</v>
      </c>
      <c r="D377" s="477">
        <v>-3.8051321867673744E-2</v>
      </c>
      <c r="X377" s="1246"/>
    </row>
    <row r="378" spans="1:24">
      <c r="A378" s="388">
        <f t="shared" si="3"/>
        <v>2024.09</v>
      </c>
      <c r="B378" s="474">
        <v>155.82704804664814</v>
      </c>
      <c r="C378" s="3480">
        <v>5.12505509136265E-3</v>
      </c>
      <c r="D378" s="477">
        <v>-2.4687847902659082E-2</v>
      </c>
      <c r="X378" s="1246"/>
    </row>
    <row r="379" spans="1:24">
      <c r="A379" s="388">
        <f>A367+1</f>
        <v>2024.1</v>
      </c>
      <c r="B379" s="474">
        <v>156.85942575047412</v>
      </c>
      <c r="C379" s="3480">
        <v>6.6033010163002292E-3</v>
      </c>
      <c r="D379" s="477">
        <v>-3.8661234377650698E-3</v>
      </c>
      <c r="X379" s="1266"/>
    </row>
    <row r="380" spans="1:24">
      <c r="A380" s="388">
        <f t="shared" si="3"/>
        <v>2024.11</v>
      </c>
      <c r="B380" s="474">
        <v>158.35495459887051</v>
      </c>
      <c r="C380" s="3480">
        <v>9.4890345319583753E-3</v>
      </c>
      <c r="D380" s="477">
        <v>2.0844993928931545E-2</v>
      </c>
      <c r="G380" s="3505"/>
      <c r="H380" s="3505"/>
      <c r="I380" s="3506"/>
      <c r="J380" s="3506"/>
      <c r="X380" s="1246"/>
    </row>
    <row r="381" spans="1:24">
      <c r="A381" s="388">
        <f t="shared" si="3"/>
        <v>2024.12</v>
      </c>
      <c r="B381" s="474">
        <v>159.95982063197093</v>
      </c>
      <c r="C381" s="3480">
        <v>1.0083601242490406E-2</v>
      </c>
      <c r="D381" s="477">
        <v>4.6178696494383643E-2</v>
      </c>
      <c r="G381" s="3505"/>
      <c r="H381" s="3505"/>
      <c r="I381" s="3506"/>
      <c r="J381" s="3506"/>
      <c r="X381" s="1246"/>
    </row>
    <row r="382" spans="1:24">
      <c r="A382" s="388">
        <f t="shared" si="3"/>
        <v>2025.01</v>
      </c>
      <c r="B382" s="2344">
        <v>161.5121137681767</v>
      </c>
      <c r="C382" s="3479">
        <v>9.6574850547757468E-3</v>
      </c>
      <c r="D382" s="2345">
        <v>6.530451716724292E-2</v>
      </c>
      <c r="G382" s="3505"/>
      <c r="H382" s="3505"/>
      <c r="I382" s="3506"/>
      <c r="J382" s="3506"/>
      <c r="X382" s="1246"/>
    </row>
    <row r="383" spans="1:24">
      <c r="A383" s="388">
        <f t="shared" si="3"/>
        <v>2025.02</v>
      </c>
      <c r="B383" s="2344">
        <v>161.68643816181381</v>
      </c>
      <c r="C383" s="3479">
        <v>1.0787449974703866E-3</v>
      </c>
      <c r="D383" s="2345">
        <v>7.322529995118833E-2</v>
      </c>
      <c r="G383" s="3505"/>
      <c r="H383" s="3505"/>
      <c r="I383" s="3506"/>
      <c r="J383" s="3506"/>
      <c r="X383" s="1246"/>
    </row>
    <row r="384" spans="1:24">
      <c r="A384" s="388">
        <f t="shared" si="3"/>
        <v>2025.03</v>
      </c>
      <c r="B384" s="2344">
        <v>160.91845788523165</v>
      </c>
      <c r="C384" s="3479">
        <v>-4.7611287784460107E-3</v>
      </c>
      <c r="D384" s="2345">
        <v>6.6420233249317825E-2</v>
      </c>
      <c r="G384" s="3505"/>
      <c r="H384" s="3505"/>
      <c r="I384" s="3506"/>
      <c r="J384" s="3506"/>
      <c r="X384" s="1246"/>
    </row>
    <row r="385" spans="1:10">
      <c r="A385" s="388">
        <f t="shared" si="3"/>
        <v>2025.04</v>
      </c>
      <c r="B385" s="2344">
        <v>160.21287321838034</v>
      </c>
      <c r="C385" s="3479">
        <v>-4.3943753470635817E-3</v>
      </c>
      <c r="D385" s="2345">
        <v>5.80221784905754E-2</v>
      </c>
      <c r="G385" s="3505"/>
      <c r="H385" s="3505"/>
      <c r="I385" s="3506"/>
      <c r="J385" s="3506"/>
    </row>
    <row r="386" spans="1:10">
      <c r="A386" s="388">
        <f t="shared" si="3"/>
        <v>2025.05</v>
      </c>
      <c r="B386" s="2344">
        <v>159.66039137571906</v>
      </c>
      <c r="C386" s="3479">
        <v>-3.4543830522907239E-3</v>
      </c>
      <c r="D386" s="2345">
        <v>4.6621343510667101E-2</v>
      </c>
      <c r="G386" s="3505"/>
      <c r="H386" s="3505"/>
      <c r="I386" s="3506"/>
      <c r="J386" s="3506"/>
    </row>
    <row r="387" spans="1:10">
      <c r="A387" s="388">
        <f t="shared" si="3"/>
        <v>2025.06</v>
      </c>
      <c r="B387" s="2344">
        <v>158.76748455949311</v>
      </c>
      <c r="C387" s="3479">
        <v>-5.6082348565321596E-3</v>
      </c>
      <c r="D387" s="2345">
        <v>3.3406112708219214E-2</v>
      </c>
      <c r="G387" s="3505"/>
      <c r="H387" s="3505"/>
      <c r="I387" s="3506"/>
      <c r="J387" s="3506"/>
    </row>
    <row r="388" spans="1:10">
      <c r="A388" s="388">
        <f t="shared" si="3"/>
        <v>2025.07</v>
      </c>
      <c r="B388" s="2344">
        <v>158.73327752314492</v>
      </c>
      <c r="C388" s="3479">
        <v>-2.1547687795250788E-4</v>
      </c>
      <c r="D388" s="2345">
        <v>2.939868759400387E-2</v>
      </c>
      <c r="G388" s="3505"/>
      <c r="H388" s="3505"/>
      <c r="I388" s="3506"/>
      <c r="J388" s="3506"/>
    </row>
    <row r="389" spans="1:10">
      <c r="A389" s="388">
        <f t="shared" si="3"/>
        <v>2025.08</v>
      </c>
      <c r="B389" s="2344">
        <v>159.06507763617455</v>
      </c>
      <c r="C389" s="3479">
        <v>2.0881180044110782E-3</v>
      </c>
      <c r="D389" s="2345">
        <v>2.5691741026483764E-2</v>
      </c>
      <c r="G389" s="3505"/>
      <c r="H389" s="3505"/>
      <c r="I389" s="3506"/>
      <c r="J389" s="3506"/>
    </row>
    <row r="390" spans="1:10">
      <c r="A390" s="388">
        <f t="shared" si="3"/>
        <v>2025.09</v>
      </c>
      <c r="B390" s="2344">
        <v>159.26738969747333</v>
      </c>
      <c r="C390" s="3479">
        <v>1.2710741711758245E-3</v>
      </c>
      <c r="D390" s="2345">
        <v>2.1837760106297031E-2</v>
      </c>
      <c r="G390" s="3505"/>
      <c r="H390" s="3505"/>
      <c r="I390" s="3506"/>
      <c r="J390" s="3506"/>
    </row>
    <row r="391" spans="1:10">
      <c r="A391" s="388">
        <f t="shared" si="3"/>
        <v>2025.1</v>
      </c>
      <c r="B391" s="2344">
        <v>159.27702048121566</v>
      </c>
      <c r="C391" s="3479">
        <v>6.046744778772067E-5</v>
      </c>
      <c r="D391" s="2345">
        <v>1.5294926537784425E-2</v>
      </c>
      <c r="F391" s="3505"/>
      <c r="G391" s="3505"/>
      <c r="H391" s="3505"/>
      <c r="I391" s="3506"/>
      <c r="J391" s="3506"/>
    </row>
    <row r="392" spans="1:10">
      <c r="A392" s="388">
        <f t="shared" si="3"/>
        <v>2025.11</v>
      </c>
      <c r="B392" s="2344">
        <v>159.23606270055234</v>
      </c>
      <c r="C392" s="3479">
        <v>-2.5718115237168226E-4</v>
      </c>
      <c r="D392" s="2345">
        <v>5.5487108534543438E-3</v>
      </c>
    </row>
    <row r="393" spans="1:10">
      <c r="A393" s="388">
        <f t="shared" si="3"/>
        <v>2025.12</v>
      </c>
      <c r="B393" s="2344">
        <v>159.46598386233444</v>
      </c>
      <c r="C393" s="3479">
        <v>1.4428599009643904E-3</v>
      </c>
      <c r="D393" s="2345">
        <v>-3.0920304880715024E-3</v>
      </c>
    </row>
    <row r="394" spans="1:10">
      <c r="A394" s="388">
        <f t="shared" si="3"/>
        <v>2026.01</v>
      </c>
      <c r="B394" s="474" t="e">
        <v>#N/A</v>
      </c>
      <c r="C394" s="3480" t="e">
        <v>#N/A</v>
      </c>
      <c r="D394" s="477" t="e">
        <v>#N/A</v>
      </c>
    </row>
    <row r="395" spans="1:10">
      <c r="A395" s="388">
        <f t="shared" si="3"/>
        <v>2026.02</v>
      </c>
      <c r="B395" s="474" t="e">
        <v>#N/A</v>
      </c>
      <c r="C395" s="3480" t="e">
        <v>#N/A</v>
      </c>
      <c r="D395" s="477" t="e">
        <v>#N/A</v>
      </c>
    </row>
    <row r="396" spans="1:10">
      <c r="A396" s="388">
        <f t="shared" si="3"/>
        <v>2026.03</v>
      </c>
      <c r="B396" s="474" t="e">
        <v>#N/A</v>
      </c>
      <c r="C396" s="3480" t="e">
        <v>#N/A</v>
      </c>
      <c r="D396" s="477" t="e">
        <v>#N/A</v>
      </c>
    </row>
    <row r="397" spans="1:10">
      <c r="A397" s="388">
        <f t="shared" si="3"/>
        <v>2026.04</v>
      </c>
      <c r="B397" s="474" t="e">
        <v>#N/A</v>
      </c>
      <c r="C397" s="3480" t="e">
        <v>#N/A</v>
      </c>
      <c r="D397" s="477" t="e">
        <v>#N/A</v>
      </c>
    </row>
    <row r="398" spans="1:10">
      <c r="A398" s="388">
        <f t="shared" si="3"/>
        <v>2026.05</v>
      </c>
      <c r="B398" s="474" t="e">
        <v>#N/A</v>
      </c>
      <c r="C398" s="3480" t="e">
        <v>#N/A</v>
      </c>
      <c r="D398" s="477" t="e">
        <v>#N/A</v>
      </c>
    </row>
    <row r="399" spans="1:10">
      <c r="A399" s="388">
        <f t="shared" si="3"/>
        <v>2026.06</v>
      </c>
      <c r="B399" s="474" t="e">
        <v>#N/A</v>
      </c>
      <c r="C399" s="3480" t="e">
        <v>#N/A</v>
      </c>
      <c r="D399" s="477" t="e">
        <v>#N/A</v>
      </c>
    </row>
    <row r="400" spans="1:10">
      <c r="A400" s="388">
        <f t="shared" si="3"/>
        <v>2026.07</v>
      </c>
      <c r="B400" s="474" t="e">
        <v>#N/A</v>
      </c>
      <c r="C400" s="3480" t="e">
        <v>#N/A</v>
      </c>
      <c r="D400" s="477" t="e">
        <v>#N/A</v>
      </c>
    </row>
    <row r="401" spans="1:4">
      <c r="A401" s="388">
        <f t="shared" si="3"/>
        <v>2026.08</v>
      </c>
      <c r="B401" s="474" t="e">
        <v>#N/A</v>
      </c>
      <c r="C401" s="3480" t="e">
        <v>#N/A</v>
      </c>
      <c r="D401" s="477" t="e">
        <v>#N/A</v>
      </c>
    </row>
    <row r="402" spans="1:4">
      <c r="A402" s="388">
        <f t="shared" si="3"/>
        <v>2026.09</v>
      </c>
      <c r="B402" s="474" t="e">
        <v>#N/A</v>
      </c>
      <c r="C402" s="3480" t="e">
        <v>#N/A</v>
      </c>
      <c r="D402" s="477" t="e">
        <v>#N/A</v>
      </c>
    </row>
    <row r="403" spans="1:4">
      <c r="A403" s="388">
        <f t="shared" si="3"/>
        <v>2026.1</v>
      </c>
      <c r="B403" s="474" t="e">
        <v>#N/A</v>
      </c>
      <c r="C403" s="3480" t="e">
        <v>#N/A</v>
      </c>
      <c r="D403" s="477" t="e">
        <v>#N/A</v>
      </c>
    </row>
    <row r="404" spans="1:4">
      <c r="A404" s="388">
        <f t="shared" si="3"/>
        <v>2026.11</v>
      </c>
      <c r="B404" s="474" t="e">
        <v>#N/A</v>
      </c>
      <c r="C404" s="3480" t="e">
        <v>#N/A</v>
      </c>
      <c r="D404" s="477" t="e">
        <v>#N/A</v>
      </c>
    </row>
    <row r="405" spans="1:4">
      <c r="A405" s="388">
        <f t="shared" si="3"/>
        <v>2026.12</v>
      </c>
      <c r="B405" s="474" t="e">
        <v>#N/A</v>
      </c>
      <c r="C405" s="3480" t="e">
        <v>#N/A</v>
      </c>
      <c r="D405" s="477" t="e">
        <v>#N/A</v>
      </c>
    </row>
    <row r="406" spans="1:4">
      <c r="A406" s="388">
        <f t="shared" si="3"/>
        <v>2027.01</v>
      </c>
      <c r="B406" s="474" t="e">
        <v>#N/A</v>
      </c>
      <c r="C406" s="3480" t="e">
        <v>#N/A</v>
      </c>
      <c r="D406" s="477" t="e">
        <v>#N/A</v>
      </c>
    </row>
    <row r="407" spans="1:4">
      <c r="A407" s="388">
        <f t="shared" si="3"/>
        <v>2027.02</v>
      </c>
      <c r="B407" s="474" t="e">
        <v>#N/A</v>
      </c>
      <c r="C407" s="3480" t="e">
        <v>#N/A</v>
      </c>
      <c r="D407" s="477" t="e">
        <v>#N/A</v>
      </c>
    </row>
    <row r="408" spans="1:4">
      <c r="A408" s="388">
        <f t="shared" si="3"/>
        <v>2027.03</v>
      </c>
      <c r="B408" s="474" t="e">
        <v>#N/A</v>
      </c>
      <c r="C408" s="3480" t="e">
        <v>#N/A</v>
      </c>
      <c r="D408" s="477" t="e">
        <v>#N/A</v>
      </c>
    </row>
    <row r="409" spans="1:4">
      <c r="A409" s="388">
        <f t="shared" si="3"/>
        <v>2027.04</v>
      </c>
      <c r="B409" s="474" t="e">
        <v>#N/A</v>
      </c>
      <c r="C409" s="3480" t="e">
        <v>#N/A</v>
      </c>
      <c r="D409" s="477" t="e">
        <v>#N/A</v>
      </c>
    </row>
    <row r="410" spans="1:4">
      <c r="A410" s="388">
        <f t="shared" si="3"/>
        <v>2027.05</v>
      </c>
      <c r="B410" s="474" t="e">
        <v>#N/A</v>
      </c>
      <c r="C410" s="3480" t="e">
        <v>#N/A</v>
      </c>
      <c r="D410" s="477" t="e">
        <v>#N/A</v>
      </c>
    </row>
    <row r="411" spans="1:4">
      <c r="A411" s="388">
        <f t="shared" si="3"/>
        <v>2027.06</v>
      </c>
      <c r="B411" s="474" t="e">
        <v>#N/A</v>
      </c>
      <c r="C411" s="3480" t="e">
        <v>#N/A</v>
      </c>
      <c r="D411" s="477" t="e">
        <v>#N/A</v>
      </c>
    </row>
    <row r="412" spans="1:4">
      <c r="A412" s="388">
        <f t="shared" si="3"/>
        <v>2027.07</v>
      </c>
      <c r="B412" s="474" t="e">
        <v>#N/A</v>
      </c>
      <c r="C412" s="3480" t="e">
        <v>#N/A</v>
      </c>
      <c r="D412" s="477" t="e">
        <v>#N/A</v>
      </c>
    </row>
    <row r="413" spans="1:4">
      <c r="A413" s="388">
        <f t="shared" si="3"/>
        <v>2027.08</v>
      </c>
      <c r="B413" s="474" t="e">
        <v>#N/A</v>
      </c>
      <c r="C413" s="3480" t="e">
        <v>#N/A</v>
      </c>
      <c r="D413" s="477" t="e">
        <v>#N/A</v>
      </c>
    </row>
    <row r="414" spans="1:4">
      <c r="A414" s="388">
        <f t="shared" si="3"/>
        <v>2027.09</v>
      </c>
      <c r="B414" s="474" t="e">
        <v>#N/A</v>
      </c>
      <c r="C414" s="3480" t="e">
        <v>#N/A</v>
      </c>
      <c r="D414" s="477" t="e">
        <v>#N/A</v>
      </c>
    </row>
    <row r="415" spans="1:4">
      <c r="A415" s="388">
        <f t="shared" si="3"/>
        <v>2027.1</v>
      </c>
      <c r="B415" s="474" t="e">
        <v>#N/A</v>
      </c>
      <c r="C415" s="3480" t="e">
        <v>#N/A</v>
      </c>
      <c r="D415" s="477" t="e">
        <v>#N/A</v>
      </c>
    </row>
    <row r="416" spans="1:4">
      <c r="A416" s="388">
        <f t="shared" si="3"/>
        <v>2027.11</v>
      </c>
      <c r="B416" s="474" t="e">
        <v>#N/A</v>
      </c>
      <c r="C416" s="3480" t="e">
        <v>#N/A</v>
      </c>
      <c r="D416" s="477" t="e">
        <v>#N/A</v>
      </c>
    </row>
    <row r="417" spans="1:4">
      <c r="A417" s="388">
        <f t="shared" si="3"/>
        <v>2027.12</v>
      </c>
      <c r="B417" s="474" t="e">
        <v>#N/A</v>
      </c>
      <c r="C417" s="3480" t="e">
        <v>#N/A</v>
      </c>
      <c r="D417" s="477" t="e">
        <v>#N/A</v>
      </c>
    </row>
    <row r="418" spans="1:4">
      <c r="A418" s="388">
        <f t="shared" si="3"/>
        <v>2028.01</v>
      </c>
      <c r="B418" s="474" t="e">
        <v>#N/A</v>
      </c>
      <c r="C418" s="3480" t="e">
        <v>#N/A</v>
      </c>
      <c r="D418" s="477" t="e">
        <v>#N/A</v>
      </c>
    </row>
    <row r="419" spans="1:4">
      <c r="A419" s="388">
        <f t="shared" si="3"/>
        <v>2028.02</v>
      </c>
      <c r="B419" s="474" t="e">
        <v>#N/A</v>
      </c>
      <c r="C419" s="3480" t="e">
        <v>#N/A</v>
      </c>
      <c r="D419" s="477" t="e">
        <v>#N/A</v>
      </c>
    </row>
    <row r="420" spans="1:4">
      <c r="A420" s="388">
        <f t="shared" si="3"/>
        <v>2028.03</v>
      </c>
      <c r="B420" s="474" t="e">
        <v>#N/A</v>
      </c>
      <c r="C420" s="3480" t="e">
        <v>#N/A</v>
      </c>
      <c r="D420" s="477" t="e">
        <v>#N/A</v>
      </c>
    </row>
    <row r="421" spans="1:4">
      <c r="A421" s="388">
        <f t="shared" si="3"/>
        <v>2028.04</v>
      </c>
      <c r="B421" s="474" t="e">
        <v>#N/A</v>
      </c>
      <c r="C421" s="3480" t="e">
        <v>#N/A</v>
      </c>
      <c r="D421" s="477" t="e">
        <v>#N/A</v>
      </c>
    </row>
    <row r="422" spans="1:4">
      <c r="A422" s="388">
        <f t="shared" si="3"/>
        <v>2028.05</v>
      </c>
      <c r="B422" s="474" t="e">
        <v>#N/A</v>
      </c>
      <c r="C422" s="3480" t="e">
        <v>#N/A</v>
      </c>
      <c r="D422" s="477" t="e">
        <v>#N/A</v>
      </c>
    </row>
    <row r="423" spans="1:4">
      <c r="A423" s="388">
        <f t="shared" si="3"/>
        <v>2028.06</v>
      </c>
      <c r="B423" s="474" t="e">
        <v>#N/A</v>
      </c>
      <c r="C423" s="3480" t="e">
        <v>#N/A</v>
      </c>
      <c r="D423" s="477" t="e">
        <v>#N/A</v>
      </c>
    </row>
    <row r="424" spans="1:4">
      <c r="A424" s="388">
        <f t="shared" si="3"/>
        <v>2028.07</v>
      </c>
      <c r="B424" s="474" t="e">
        <v>#N/A</v>
      </c>
      <c r="C424" s="3480" t="e">
        <v>#N/A</v>
      </c>
      <c r="D424" s="477" t="e">
        <v>#N/A</v>
      </c>
    </row>
    <row r="425" spans="1:4">
      <c r="A425" s="388">
        <f t="shared" si="3"/>
        <v>2028.08</v>
      </c>
      <c r="B425" s="474" t="e">
        <v>#N/A</v>
      </c>
      <c r="C425" s="3480" t="e">
        <v>#N/A</v>
      </c>
      <c r="D425" s="477" t="e">
        <v>#N/A</v>
      </c>
    </row>
    <row r="426" spans="1:4">
      <c r="A426" s="388">
        <f t="shared" si="3"/>
        <v>2028.09</v>
      </c>
      <c r="B426" s="474" t="e">
        <v>#N/A</v>
      </c>
      <c r="C426" s="3480" t="e">
        <v>#N/A</v>
      </c>
      <c r="D426" s="477" t="e">
        <v>#N/A</v>
      </c>
    </row>
    <row r="427" spans="1:4">
      <c r="A427" s="388">
        <f t="shared" si="3"/>
        <v>2028.1</v>
      </c>
      <c r="B427" s="474" t="e">
        <v>#N/A</v>
      </c>
      <c r="C427" s="3480" t="e">
        <v>#N/A</v>
      </c>
      <c r="D427" s="477" t="e">
        <v>#N/A</v>
      </c>
    </row>
    <row r="428" spans="1:4">
      <c r="A428" s="388">
        <f t="shared" si="3"/>
        <v>2028.11</v>
      </c>
      <c r="B428" s="474" t="e">
        <v>#N/A</v>
      </c>
      <c r="C428" s="3480" t="e">
        <v>#N/A</v>
      </c>
      <c r="D428" s="477" t="e">
        <v>#N/A</v>
      </c>
    </row>
    <row r="429" spans="1:4">
      <c r="A429" s="388">
        <f t="shared" si="3"/>
        <v>2028.12</v>
      </c>
      <c r="B429" s="474" t="e">
        <v>#N/A</v>
      </c>
      <c r="C429" s="3480" t="e">
        <v>#N/A</v>
      </c>
      <c r="D429" s="477" t="e">
        <v>#N/A</v>
      </c>
    </row>
    <row r="430" spans="1:4">
      <c r="A430" s="388">
        <f t="shared" si="3"/>
        <v>2029.01</v>
      </c>
      <c r="B430" s="474" t="e">
        <v>#N/A</v>
      </c>
      <c r="C430" s="3480" t="e">
        <v>#N/A</v>
      </c>
      <c r="D430" s="477" t="e">
        <v>#N/A</v>
      </c>
    </row>
    <row r="431" spans="1:4">
      <c r="A431" s="388">
        <f t="shared" si="3"/>
        <v>2029.02</v>
      </c>
      <c r="B431" s="474" t="e">
        <v>#N/A</v>
      </c>
      <c r="C431" s="3480" t="e">
        <v>#N/A</v>
      </c>
      <c r="D431" s="477" t="e">
        <v>#N/A</v>
      </c>
    </row>
    <row r="432" spans="1:4">
      <c r="A432" s="388">
        <f t="shared" si="3"/>
        <v>2029.03</v>
      </c>
      <c r="B432" s="474" t="e">
        <v>#N/A</v>
      </c>
      <c r="C432" s="3480" t="e">
        <v>#N/A</v>
      </c>
      <c r="D432" s="477" t="e">
        <v>#N/A</v>
      </c>
    </row>
    <row r="433" spans="1:4">
      <c r="A433" s="388">
        <f t="shared" si="3"/>
        <v>2029.04</v>
      </c>
      <c r="B433" s="474" t="e">
        <v>#N/A</v>
      </c>
      <c r="C433" s="3480" t="e">
        <v>#N/A</v>
      </c>
      <c r="D433" s="477" t="e">
        <v>#N/A</v>
      </c>
    </row>
    <row r="434" spans="1:4">
      <c r="A434" s="388">
        <f t="shared" si="3"/>
        <v>2029.05</v>
      </c>
      <c r="B434" s="474" t="e">
        <v>#N/A</v>
      </c>
      <c r="C434" s="3480" t="e">
        <v>#N/A</v>
      </c>
      <c r="D434" s="477" t="e">
        <v>#N/A</v>
      </c>
    </row>
    <row r="435" spans="1:4">
      <c r="A435" s="388">
        <f t="shared" ref="A435:A453" si="4">A423+1</f>
        <v>2029.06</v>
      </c>
      <c r="B435" s="474" t="e">
        <v>#N/A</v>
      </c>
      <c r="C435" s="3480" t="e">
        <v>#N/A</v>
      </c>
      <c r="D435" s="477" t="e">
        <v>#N/A</v>
      </c>
    </row>
    <row r="436" spans="1:4">
      <c r="A436" s="388">
        <f t="shared" si="4"/>
        <v>2029.07</v>
      </c>
      <c r="B436" s="474" t="e">
        <v>#N/A</v>
      </c>
      <c r="C436" s="3480" t="e">
        <v>#N/A</v>
      </c>
      <c r="D436" s="477" t="e">
        <v>#N/A</v>
      </c>
    </row>
    <row r="437" spans="1:4">
      <c r="A437" s="388">
        <f t="shared" si="4"/>
        <v>2029.08</v>
      </c>
      <c r="B437" s="474" t="e">
        <v>#N/A</v>
      </c>
      <c r="C437" s="3480" t="e">
        <v>#N/A</v>
      </c>
      <c r="D437" s="477" t="e">
        <v>#N/A</v>
      </c>
    </row>
    <row r="438" spans="1:4">
      <c r="A438" s="388">
        <f t="shared" si="4"/>
        <v>2029.09</v>
      </c>
      <c r="B438" s="474" t="e">
        <v>#N/A</v>
      </c>
      <c r="C438" s="3480" t="e">
        <v>#N/A</v>
      </c>
      <c r="D438" s="477" t="e">
        <v>#N/A</v>
      </c>
    </row>
    <row r="439" spans="1:4">
      <c r="A439" s="388">
        <f t="shared" si="4"/>
        <v>2029.1</v>
      </c>
      <c r="B439" s="474" t="e">
        <v>#N/A</v>
      </c>
      <c r="C439" s="3480" t="e">
        <v>#N/A</v>
      </c>
      <c r="D439" s="477" t="e">
        <v>#N/A</v>
      </c>
    </row>
    <row r="440" spans="1:4">
      <c r="A440" s="388">
        <f t="shared" si="4"/>
        <v>2029.11</v>
      </c>
      <c r="B440" s="474" t="e">
        <v>#N/A</v>
      </c>
      <c r="C440" s="3480" t="e">
        <v>#N/A</v>
      </c>
      <c r="D440" s="477" t="e">
        <v>#N/A</v>
      </c>
    </row>
    <row r="441" spans="1:4">
      <c r="A441" s="388">
        <f t="shared" si="4"/>
        <v>2029.12</v>
      </c>
      <c r="B441" s="474" t="e">
        <v>#N/A</v>
      </c>
      <c r="C441" s="3480" t="e">
        <v>#N/A</v>
      </c>
      <c r="D441" s="477" t="e">
        <v>#N/A</v>
      </c>
    </row>
    <row r="442" spans="1:4">
      <c r="A442" s="388">
        <f t="shared" si="4"/>
        <v>2030.01</v>
      </c>
      <c r="B442" s="474" t="e">
        <v>#N/A</v>
      </c>
      <c r="C442" s="3480" t="e">
        <v>#N/A</v>
      </c>
      <c r="D442" s="477" t="e">
        <v>#N/A</v>
      </c>
    </row>
    <row r="443" spans="1:4">
      <c r="A443" s="388">
        <f t="shared" si="4"/>
        <v>2030.02</v>
      </c>
      <c r="B443" s="474" t="e">
        <v>#N/A</v>
      </c>
      <c r="C443" s="3480" t="e">
        <v>#N/A</v>
      </c>
      <c r="D443" s="477" t="e">
        <v>#N/A</v>
      </c>
    </row>
    <row r="444" spans="1:4">
      <c r="A444" s="388">
        <f t="shared" si="4"/>
        <v>2030.03</v>
      </c>
      <c r="B444" s="474" t="e">
        <v>#N/A</v>
      </c>
      <c r="C444" s="3480" t="e">
        <v>#N/A</v>
      </c>
      <c r="D444" s="477" t="e">
        <v>#N/A</v>
      </c>
    </row>
    <row r="445" spans="1:4">
      <c r="A445" s="388">
        <f t="shared" si="4"/>
        <v>2030.04</v>
      </c>
      <c r="B445" s="474" t="e">
        <v>#N/A</v>
      </c>
      <c r="C445" s="3480" t="e">
        <v>#N/A</v>
      </c>
      <c r="D445" s="477" t="e">
        <v>#N/A</v>
      </c>
    </row>
    <row r="446" spans="1:4">
      <c r="A446" s="388">
        <f t="shared" si="4"/>
        <v>2030.05</v>
      </c>
      <c r="B446" s="474" t="e">
        <v>#N/A</v>
      </c>
      <c r="C446" s="3480" t="e">
        <v>#N/A</v>
      </c>
      <c r="D446" s="477" t="e">
        <v>#N/A</v>
      </c>
    </row>
    <row r="447" spans="1:4">
      <c r="A447" s="388">
        <f t="shared" si="4"/>
        <v>2030.06</v>
      </c>
      <c r="B447" s="474" t="e">
        <v>#N/A</v>
      </c>
      <c r="C447" s="3480" t="e">
        <v>#N/A</v>
      </c>
      <c r="D447" s="477" t="e">
        <v>#N/A</v>
      </c>
    </row>
    <row r="448" spans="1:4">
      <c r="A448" s="388">
        <f t="shared" si="4"/>
        <v>2030.07</v>
      </c>
      <c r="B448" s="474" t="e">
        <v>#N/A</v>
      </c>
      <c r="C448" s="3480" t="e">
        <v>#N/A</v>
      </c>
      <c r="D448" s="477" t="e">
        <v>#N/A</v>
      </c>
    </row>
    <row r="449" spans="1:4">
      <c r="A449" s="388">
        <f t="shared" si="4"/>
        <v>2030.08</v>
      </c>
      <c r="B449" s="474" t="e">
        <v>#N/A</v>
      </c>
      <c r="C449" s="3480" t="e">
        <v>#N/A</v>
      </c>
      <c r="D449" s="477" t="e">
        <v>#N/A</v>
      </c>
    </row>
    <row r="450" spans="1:4">
      <c r="A450" s="388">
        <f t="shared" si="4"/>
        <v>2030.09</v>
      </c>
      <c r="B450" s="474" t="e">
        <v>#N/A</v>
      </c>
      <c r="C450" s="3480" t="e">
        <v>#N/A</v>
      </c>
      <c r="D450" s="477" t="e">
        <v>#N/A</v>
      </c>
    </row>
    <row r="451" spans="1:4">
      <c r="A451" s="388">
        <f t="shared" si="4"/>
        <v>2030.1</v>
      </c>
      <c r="B451" s="474" t="e">
        <v>#N/A</v>
      </c>
      <c r="C451" s="3480" t="e">
        <v>#N/A</v>
      </c>
      <c r="D451" s="477" t="e">
        <v>#N/A</v>
      </c>
    </row>
    <row r="452" spans="1:4">
      <c r="A452" s="388">
        <f t="shared" si="4"/>
        <v>2030.11</v>
      </c>
      <c r="B452" s="474" t="e">
        <v>#N/A</v>
      </c>
      <c r="C452" s="3480" t="e">
        <v>#N/A</v>
      </c>
      <c r="D452" s="477" t="e">
        <v>#N/A</v>
      </c>
    </row>
    <row r="453" spans="1:4">
      <c r="A453" s="388">
        <f t="shared" si="4"/>
        <v>2030.12</v>
      </c>
      <c r="B453" s="474" t="e">
        <v>#N/A</v>
      </c>
      <c r="C453" s="3480" t="e">
        <v>#N/A</v>
      </c>
      <c r="D453" s="477" t="e">
        <v>#N/A</v>
      </c>
    </row>
    <row r="454" spans="1:4">
      <c r="A454" s="1247"/>
      <c r="B454" s="1248"/>
      <c r="C454" s="1248"/>
      <c r="D454" s="1249"/>
    </row>
  </sheetData>
  <phoneticPr fontId="0" type="noConversion"/>
  <hyperlinks>
    <hyperlink ref="A5" location="INDICE!A13" display="VOLVER AL INDICE" xr:uid="{00000000-0004-0000-0200-000000000000}"/>
  </hyperlinks>
  <printOptions gridLines="1"/>
  <pageMargins left="0.39370078740157483" right="0.39370078740157483" top="0.59055118110236227" bottom="0.59055118110236227" header="0" footer="0"/>
  <pageSetup paperSize="9" scale="50"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1"/>
  <dimension ref="A1:W71"/>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11" style="21" customWidth="1"/>
    <col min="2" max="3" width="9.42578125" style="21" customWidth="1"/>
    <col min="4" max="7" width="10" style="21" customWidth="1"/>
    <col min="8" max="9" width="10.42578125" style="21" customWidth="1"/>
    <col min="10" max="13" width="10" style="21" customWidth="1"/>
    <col min="14" max="14" width="9.5703125" style="21" bestFit="1" customWidth="1"/>
    <col min="15" max="15" width="8.5703125" style="21" bestFit="1" customWidth="1"/>
    <col min="16" max="16" width="8" style="21" bestFit="1" customWidth="1"/>
    <col min="17" max="18" width="9.42578125" style="21" bestFit="1" customWidth="1"/>
    <col min="19" max="19" width="8.42578125" style="21" bestFit="1" customWidth="1"/>
    <col min="20" max="21" width="9.5703125" style="21" bestFit="1" customWidth="1"/>
    <col min="22" max="22" width="8.5703125" style="21" bestFit="1" customWidth="1"/>
    <col min="23" max="16384" width="11.42578125" style="7"/>
  </cols>
  <sheetData>
    <row r="1" spans="1:23" s="6" customFormat="1">
      <c r="A1" s="2761"/>
      <c r="B1" s="1305"/>
      <c r="C1" s="1306"/>
      <c r="D1" s="1306"/>
      <c r="E1" s="1306"/>
      <c r="F1" s="1306"/>
      <c r="G1" s="1306"/>
      <c r="H1" s="1307"/>
      <c r="I1" s="1306"/>
      <c r="J1" s="1306"/>
      <c r="K1" s="1306"/>
      <c r="L1" s="1306"/>
      <c r="M1" s="1306"/>
      <c r="N1" s="3786"/>
      <c r="O1" s="3787"/>
      <c r="P1" s="3787"/>
      <c r="Q1" s="3787"/>
      <c r="R1" s="3787"/>
      <c r="S1" s="3787"/>
      <c r="T1" s="3787"/>
      <c r="U1" s="3787"/>
      <c r="V1" s="3788"/>
      <c r="W1" s="166"/>
    </row>
    <row r="2" spans="1:23" s="6" customFormat="1" ht="12.75" customHeight="1">
      <c r="A2" s="2762" t="s">
        <v>99</v>
      </c>
      <c r="B2" s="321" t="s">
        <v>869</v>
      </c>
      <c r="C2" s="320"/>
      <c r="D2" s="320"/>
      <c r="E2" s="320"/>
      <c r="F2" s="320"/>
      <c r="G2" s="320"/>
      <c r="H2" s="2742" t="s">
        <v>870</v>
      </c>
      <c r="I2" s="320"/>
      <c r="J2" s="320"/>
      <c r="K2" s="320"/>
      <c r="L2" s="320"/>
      <c r="M2" s="320"/>
      <c r="N2" s="2742" t="s">
        <v>869</v>
      </c>
      <c r="O2" s="320"/>
      <c r="P2" s="320"/>
      <c r="Q2" s="320"/>
      <c r="R2" s="320"/>
      <c r="S2" s="320"/>
      <c r="T2" s="320"/>
      <c r="U2" s="320"/>
      <c r="V2" s="316"/>
      <c r="W2" s="166"/>
    </row>
    <row r="3" spans="1:23" s="6" customFormat="1">
      <c r="A3" s="2762" t="s">
        <v>104</v>
      </c>
      <c r="B3" s="2896" t="str">
        <f>'2.6'!B3</f>
        <v>Encuesta Permanente de Hogares (EPH) - INDEC</v>
      </c>
      <c r="C3" s="2897"/>
      <c r="D3" s="2897"/>
      <c r="E3" s="2897"/>
      <c r="F3" s="2897"/>
      <c r="G3" s="2897"/>
      <c r="H3" s="2898"/>
      <c r="I3" s="2897"/>
      <c r="J3" s="2897"/>
      <c r="K3" s="2897"/>
      <c r="L3" s="2897"/>
      <c r="M3" s="2897"/>
      <c r="N3" s="2898"/>
      <c r="O3" s="2897"/>
      <c r="P3" s="2897"/>
      <c r="Q3" s="2897"/>
      <c r="R3" s="2897"/>
      <c r="S3" s="2897"/>
      <c r="T3" s="2897"/>
      <c r="U3" s="2897"/>
      <c r="V3" s="1864"/>
      <c r="W3" s="166"/>
    </row>
    <row r="4" spans="1:23" s="6" customFormat="1">
      <c r="A4" s="2762"/>
      <c r="B4" s="1308"/>
      <c r="C4" s="1309"/>
      <c r="D4" s="1309"/>
      <c r="E4" s="1309"/>
      <c r="F4" s="1309"/>
      <c r="G4" s="1309"/>
      <c r="H4" s="2899"/>
      <c r="I4" s="107"/>
      <c r="J4" s="107"/>
      <c r="K4" s="107"/>
      <c r="L4" s="107"/>
      <c r="M4" s="107"/>
      <c r="N4" s="2899"/>
      <c r="O4" s="107"/>
      <c r="P4" s="107"/>
      <c r="Q4" s="107"/>
      <c r="R4" s="107"/>
      <c r="S4" s="107"/>
      <c r="T4" s="107"/>
      <c r="U4" s="107"/>
      <c r="V4" s="108"/>
      <c r="W4" s="166"/>
    </row>
    <row r="5" spans="1:23" s="6" customFormat="1" ht="24" customHeight="1">
      <c r="A5" s="2867" t="s">
        <v>140</v>
      </c>
      <c r="B5" s="3789" t="s">
        <v>871</v>
      </c>
      <c r="C5" s="3784"/>
      <c r="D5" s="3782" t="s">
        <v>872</v>
      </c>
      <c r="E5" s="3783"/>
      <c r="F5" s="3784" t="s">
        <v>873</v>
      </c>
      <c r="G5" s="3784"/>
      <c r="H5" s="3782" t="s">
        <v>871</v>
      </c>
      <c r="I5" s="3784"/>
      <c r="J5" s="3782" t="s">
        <v>872</v>
      </c>
      <c r="K5" s="3783"/>
      <c r="L5" s="3784" t="s">
        <v>873</v>
      </c>
      <c r="M5" s="3784"/>
      <c r="N5" s="3782" t="s">
        <v>871</v>
      </c>
      <c r="O5" s="3784"/>
      <c r="P5" s="3784"/>
      <c r="Q5" s="3782" t="s">
        <v>872</v>
      </c>
      <c r="R5" s="3784"/>
      <c r="S5" s="3783"/>
      <c r="T5" s="3784" t="s">
        <v>873</v>
      </c>
      <c r="U5" s="3784"/>
      <c r="V5" s="3785"/>
      <c r="W5" s="166"/>
    </row>
    <row r="6" spans="1:23" s="6" customFormat="1" ht="3" hidden="1" customHeight="1">
      <c r="A6" s="2762"/>
      <c r="B6" s="3789"/>
      <c r="C6" s="3784"/>
      <c r="D6" s="3782"/>
      <c r="E6" s="3783"/>
      <c r="F6" s="3784"/>
      <c r="G6" s="3784"/>
      <c r="H6" s="3782"/>
      <c r="I6" s="3784"/>
      <c r="J6" s="3782"/>
      <c r="K6" s="3783"/>
      <c r="L6" s="3784"/>
      <c r="M6" s="3784"/>
      <c r="N6" s="3782"/>
      <c r="O6" s="3784"/>
      <c r="P6" s="3784"/>
      <c r="Q6" s="3782"/>
      <c r="R6" s="3784"/>
      <c r="S6" s="3783"/>
      <c r="T6" s="3784"/>
      <c r="U6" s="3784"/>
      <c r="V6" s="3785"/>
      <c r="W6" s="166"/>
    </row>
    <row r="7" spans="1:23" s="6" customFormat="1" ht="22.5">
      <c r="A7" s="2762" t="s">
        <v>125</v>
      </c>
      <c r="B7" s="148" t="s">
        <v>791</v>
      </c>
      <c r="C7" s="106"/>
      <c r="D7" s="3782" t="str">
        <f>B7</f>
        <v>Tasas</v>
      </c>
      <c r="E7" s="3783"/>
      <c r="F7" s="3784" t="str">
        <f>B7</f>
        <v>Tasas</v>
      </c>
      <c r="G7" s="3784"/>
      <c r="H7" s="2824" t="str">
        <f>B7</f>
        <v>Tasas</v>
      </c>
      <c r="I7" s="106"/>
      <c r="J7" s="3782" t="str">
        <f>B7</f>
        <v>Tasas</v>
      </c>
      <c r="K7" s="3783"/>
      <c r="L7" s="3784" t="str">
        <f>B7</f>
        <v>Tasas</v>
      </c>
      <c r="M7" s="3784"/>
      <c r="N7" s="3782" t="s">
        <v>874</v>
      </c>
      <c r="O7" s="3784"/>
      <c r="P7" s="3784"/>
      <c r="Q7" s="3782" t="str">
        <f>N7</f>
        <v>Miles personas</v>
      </c>
      <c r="R7" s="3784"/>
      <c r="S7" s="3783"/>
      <c r="T7" s="3784" t="str">
        <f>N7</f>
        <v>Miles personas</v>
      </c>
      <c r="U7" s="3784"/>
      <c r="V7" s="3785"/>
      <c r="W7" s="166"/>
    </row>
    <row r="8" spans="1:23" s="6" customFormat="1" ht="15.75" customHeight="1">
      <c r="A8" s="2751" t="s">
        <v>144</v>
      </c>
      <c r="B8" s="2204" t="s">
        <v>875</v>
      </c>
      <c r="C8" s="1751" t="s">
        <v>876</v>
      </c>
      <c r="D8" s="2204" t="s">
        <v>877</v>
      </c>
      <c r="E8" s="1751" t="s">
        <v>878</v>
      </c>
      <c r="F8" s="2204" t="s">
        <v>879</v>
      </c>
      <c r="G8" s="1751" t="s">
        <v>880</v>
      </c>
      <c r="H8" s="2204" t="s">
        <v>881</v>
      </c>
      <c r="I8" s="1751" t="s">
        <v>882</v>
      </c>
      <c r="J8" s="2204" t="s">
        <v>883</v>
      </c>
      <c r="K8" s="1751" t="s">
        <v>884</v>
      </c>
      <c r="L8" s="2204" t="s">
        <v>885</v>
      </c>
      <c r="M8" s="1751" t="s">
        <v>886</v>
      </c>
      <c r="N8" s="2797" t="s">
        <v>887</v>
      </c>
      <c r="O8" s="2157" t="s">
        <v>888</v>
      </c>
      <c r="P8" s="1751" t="s">
        <v>889</v>
      </c>
      <c r="Q8" s="2797" t="s">
        <v>890</v>
      </c>
      <c r="R8" s="2157" t="s">
        <v>891</v>
      </c>
      <c r="S8" s="1751" t="s">
        <v>892</v>
      </c>
      <c r="T8" s="2797" t="s">
        <v>893</v>
      </c>
      <c r="U8" s="2157" t="s">
        <v>894</v>
      </c>
      <c r="V8" s="2141" t="s">
        <v>895</v>
      </c>
      <c r="W8" s="1024"/>
    </row>
    <row r="9" spans="1:23" s="6" customFormat="1" ht="13.5" thickBot="1">
      <c r="A9" s="2140" t="s">
        <v>766</v>
      </c>
      <c r="B9" s="1310" t="s">
        <v>896</v>
      </c>
      <c r="C9" s="1311" t="s">
        <v>897</v>
      </c>
      <c r="D9" s="1312" t="s">
        <v>896</v>
      </c>
      <c r="E9" s="1313" t="s">
        <v>897</v>
      </c>
      <c r="F9" s="1314" t="s">
        <v>896</v>
      </c>
      <c r="G9" s="1313" t="s">
        <v>897</v>
      </c>
      <c r="H9" s="1312" t="s">
        <v>896</v>
      </c>
      <c r="I9" s="1313" t="s">
        <v>897</v>
      </c>
      <c r="J9" s="1312" t="s">
        <v>896</v>
      </c>
      <c r="K9" s="1313" t="s">
        <v>897</v>
      </c>
      <c r="L9" s="1312" t="s">
        <v>896</v>
      </c>
      <c r="M9" s="1313" t="s">
        <v>897</v>
      </c>
      <c r="N9" s="1315" t="s">
        <v>898</v>
      </c>
      <c r="O9" s="1316" t="s">
        <v>899</v>
      </c>
      <c r="P9" s="1313" t="s">
        <v>900</v>
      </c>
      <c r="Q9" s="1315" t="s">
        <v>898</v>
      </c>
      <c r="R9" s="1316" t="s">
        <v>899</v>
      </c>
      <c r="S9" s="1313" t="s">
        <v>900</v>
      </c>
      <c r="T9" s="1315" t="s">
        <v>898</v>
      </c>
      <c r="U9" s="1316" t="s">
        <v>899</v>
      </c>
      <c r="V9" s="1317" t="s">
        <v>900</v>
      </c>
      <c r="W9" s="1023"/>
    </row>
    <row r="10" spans="1:23" s="6" customFormat="1">
      <c r="A10" s="1646" t="s">
        <v>786</v>
      </c>
      <c r="B10" s="565">
        <v>43.7</v>
      </c>
      <c r="C10" s="564">
        <v>15.7</v>
      </c>
      <c r="D10" s="566">
        <v>35.799999999999997</v>
      </c>
      <c r="E10" s="564">
        <v>14.6</v>
      </c>
      <c r="F10" s="566">
        <v>35.9</v>
      </c>
      <c r="G10" s="564">
        <v>11.6</v>
      </c>
      <c r="H10" s="566">
        <v>30.8</v>
      </c>
      <c r="I10" s="564">
        <v>10</v>
      </c>
      <c r="J10" s="566">
        <v>27.3</v>
      </c>
      <c r="K10" s="564">
        <v>10.6</v>
      </c>
      <c r="L10" s="566">
        <v>26.2</v>
      </c>
      <c r="M10" s="564">
        <v>8.3000000000000007</v>
      </c>
      <c r="N10" s="1838">
        <f>AVERAGE('2.6'!G32:G33)</f>
        <v>474.06349999999998</v>
      </c>
      <c r="O10" s="1838">
        <f>N10*(B10/100)</f>
        <v>207.1657495</v>
      </c>
      <c r="P10" s="1838">
        <f t="shared" ref="P10:P22" si="0">N10*(C10/100)</f>
        <v>74.427969500000003</v>
      </c>
      <c r="Q10" s="1836">
        <f>AVERAGE('2.6'!B32:B33)</f>
        <v>1211.8175000000001</v>
      </c>
      <c r="R10" s="1836">
        <f t="shared" ref="R10:R23" si="1">Q10*(D10/100)</f>
        <v>433.83066500000001</v>
      </c>
      <c r="S10" s="1837">
        <f t="shared" ref="S10:S22" si="2">Q10*(E10/100)</f>
        <v>176.925355</v>
      </c>
      <c r="T10" s="1836">
        <f>AVERAGE('2.6'!Q32:Q33)</f>
        <v>23076.709000000003</v>
      </c>
      <c r="U10" s="1836">
        <f t="shared" ref="U10:U23" si="3">T10*(F10/100)</f>
        <v>8284.5385310000001</v>
      </c>
      <c r="V10" s="346">
        <f t="shared" ref="V10:V23" si="4">T10*(G10/100)</f>
        <v>2676.898244</v>
      </c>
      <c r="W10" s="166"/>
    </row>
    <row r="11" spans="1:23" s="6" customFormat="1">
      <c r="A11" s="1646" t="s">
        <v>787</v>
      </c>
      <c r="B11" s="1318">
        <v>44.6</v>
      </c>
      <c r="C11" s="358">
        <v>16.100000000000001</v>
      </c>
      <c r="D11" s="1267">
        <v>41.2</v>
      </c>
      <c r="E11" s="358">
        <v>15.7</v>
      </c>
      <c r="F11" s="1267">
        <v>38.299999999999997</v>
      </c>
      <c r="G11" s="358">
        <v>13.6</v>
      </c>
      <c r="H11" s="1267">
        <v>33</v>
      </c>
      <c r="I11" s="358">
        <v>10.6</v>
      </c>
      <c r="J11" s="1267">
        <v>31.8</v>
      </c>
      <c r="K11" s="358">
        <v>10.6</v>
      </c>
      <c r="L11" s="1267">
        <v>28</v>
      </c>
      <c r="M11" s="358">
        <v>9.4</v>
      </c>
      <c r="N11" s="1204">
        <f>AVERAGE('2.6'!G33:G34)</f>
        <v>475.24800000000005</v>
      </c>
      <c r="O11" s="3519">
        <f t="shared" ref="O11:O22" si="5">N11*(B11/100)</f>
        <v>211.96060800000004</v>
      </c>
      <c r="P11" s="2364">
        <f t="shared" si="0"/>
        <v>76.514928000000012</v>
      </c>
      <c r="Q11" s="1204">
        <f>AVERAGE('2.6'!B33:B34)</f>
        <v>1213.6065000000001</v>
      </c>
      <c r="R11" s="3519">
        <f t="shared" si="1"/>
        <v>500.00587800000005</v>
      </c>
      <c r="S11" s="2364">
        <f t="shared" si="2"/>
        <v>190.53622050000001</v>
      </c>
      <c r="T11" s="1204">
        <f>AVERAGE('2.6'!Q33:Q34)</f>
        <v>23129.6345</v>
      </c>
      <c r="U11" s="3519">
        <f t="shared" si="3"/>
        <v>8858.6500134999987</v>
      </c>
      <c r="V11" s="2365">
        <f t="shared" si="4"/>
        <v>3145.6302920000003</v>
      </c>
      <c r="W11" s="166"/>
    </row>
    <row r="12" spans="1:23" s="6" customFormat="1">
      <c r="A12" s="1646" t="s">
        <v>788</v>
      </c>
      <c r="B12" s="1319">
        <v>57.8</v>
      </c>
      <c r="C12" s="358">
        <v>29</v>
      </c>
      <c r="D12" s="1267">
        <v>56.2</v>
      </c>
      <c r="E12" s="358">
        <v>28</v>
      </c>
      <c r="F12" s="1267">
        <v>53</v>
      </c>
      <c r="G12" s="358">
        <v>24.8</v>
      </c>
      <c r="H12" s="1267">
        <v>46.4</v>
      </c>
      <c r="I12" s="358">
        <v>20</v>
      </c>
      <c r="J12" s="1267">
        <v>45.7</v>
      </c>
      <c r="K12" s="358">
        <v>21</v>
      </c>
      <c r="L12" s="1267">
        <v>41.4</v>
      </c>
      <c r="M12" s="358">
        <v>18</v>
      </c>
      <c r="N12" s="1204">
        <f>AVERAGE('2.6'!G34:G35)</f>
        <v>476.37</v>
      </c>
      <c r="O12" s="3519">
        <f t="shared" si="5"/>
        <v>275.34186</v>
      </c>
      <c r="P12" s="2364">
        <f t="shared" si="0"/>
        <v>138.1473</v>
      </c>
      <c r="Q12" s="1204">
        <f>AVERAGE('2.6'!B34:B35)</f>
        <v>1215.3765000000001</v>
      </c>
      <c r="R12" s="3519">
        <f t="shared" si="1"/>
        <v>683.04159300000015</v>
      </c>
      <c r="S12" s="2364">
        <f t="shared" si="2"/>
        <v>340.30542000000003</v>
      </c>
      <c r="T12" s="1204">
        <f>AVERAGE('2.6'!Q34:Q35)</f>
        <v>23181.498500000002</v>
      </c>
      <c r="U12" s="3519">
        <f t="shared" si="3"/>
        <v>12286.194205000002</v>
      </c>
      <c r="V12" s="2365">
        <f t="shared" si="4"/>
        <v>5749.0116280000002</v>
      </c>
      <c r="W12" s="166"/>
    </row>
    <row r="13" spans="1:23" s="6" customFormat="1">
      <c r="A13" s="1646" t="s">
        <v>789</v>
      </c>
      <c r="B13" s="1319">
        <v>63.7</v>
      </c>
      <c r="C13" s="358">
        <v>33.799999999999997</v>
      </c>
      <c r="D13" s="1267">
        <v>60.9</v>
      </c>
      <c r="E13" s="358">
        <v>29.6</v>
      </c>
      <c r="F13" s="1267">
        <v>57.5</v>
      </c>
      <c r="G13" s="358">
        <v>27.5</v>
      </c>
      <c r="H13" s="1267">
        <v>52.6</v>
      </c>
      <c r="I13" s="358">
        <v>24.4</v>
      </c>
      <c r="J13" s="1267">
        <v>49.4</v>
      </c>
      <c r="K13" s="358">
        <v>21.3</v>
      </c>
      <c r="L13" s="1267">
        <v>45.7</v>
      </c>
      <c r="M13" s="358">
        <v>19.5</v>
      </c>
      <c r="N13" s="1204">
        <f>AVERAGE('2.6'!G35:G36)</f>
        <v>477.47199999999998</v>
      </c>
      <c r="O13" s="3519">
        <f t="shared" si="5"/>
        <v>304.14966399999997</v>
      </c>
      <c r="P13" s="2364">
        <f t="shared" si="0"/>
        <v>161.38553599999997</v>
      </c>
      <c r="Q13" s="1204">
        <f>AVERAGE('2.6'!B35:B36)</f>
        <v>1217.1469999999999</v>
      </c>
      <c r="R13" s="3519">
        <f t="shared" si="1"/>
        <v>741.24252299999989</v>
      </c>
      <c r="S13" s="2364">
        <f t="shared" si="2"/>
        <v>360.27551200000005</v>
      </c>
      <c r="T13" s="1204">
        <f>AVERAGE('2.6'!Q35:Q36)</f>
        <v>23232.745000000003</v>
      </c>
      <c r="U13" s="3519">
        <f t="shared" si="3"/>
        <v>13358.828375000001</v>
      </c>
      <c r="V13" s="2365">
        <f t="shared" si="4"/>
        <v>6389.0048750000014</v>
      </c>
      <c r="W13" s="166"/>
    </row>
    <row r="14" spans="1:23" s="6" customFormat="1">
      <c r="A14" s="1320" t="s">
        <v>901</v>
      </c>
      <c r="B14" s="1319">
        <v>38.9</v>
      </c>
      <c r="C14" s="358">
        <v>17.5</v>
      </c>
      <c r="D14" s="1267">
        <v>54.6</v>
      </c>
      <c r="E14" s="358">
        <v>29.3</v>
      </c>
      <c r="F14" s="1267">
        <v>54</v>
      </c>
      <c r="G14" s="358">
        <v>27.7</v>
      </c>
      <c r="H14" s="1267">
        <v>38.9</v>
      </c>
      <c r="I14" s="358">
        <v>17.5</v>
      </c>
      <c r="J14" s="1267">
        <v>42.4</v>
      </c>
      <c r="K14" s="358">
        <v>20.7</v>
      </c>
      <c r="L14" s="1267">
        <v>42.7</v>
      </c>
      <c r="M14" s="358">
        <v>20.399999999999999</v>
      </c>
      <c r="N14" s="1204">
        <f>AVERAGE('2.6'!G36:G37)</f>
        <v>478.76650000000001</v>
      </c>
      <c r="O14" s="3519">
        <f>N14*(B14/100)</f>
        <v>186.24016850000001</v>
      </c>
      <c r="P14" s="2364">
        <f t="shared" si="0"/>
        <v>83.7841375</v>
      </c>
      <c r="Q14" s="1204">
        <f>AVERAGE('2.6'!B36:B37)</f>
        <v>1219.127</v>
      </c>
      <c r="R14" s="3519">
        <f t="shared" si="1"/>
        <v>665.64334200000008</v>
      </c>
      <c r="S14" s="2364">
        <f t="shared" si="2"/>
        <v>357.20421099999999</v>
      </c>
      <c r="T14" s="1204">
        <f>AVERAGE('2.6'!Q36:Q37)</f>
        <v>23289.446</v>
      </c>
      <c r="U14" s="3519">
        <f t="shared" si="3"/>
        <v>12576.30084</v>
      </c>
      <c r="V14" s="2365">
        <f t="shared" si="4"/>
        <v>6451.1765419999992</v>
      </c>
      <c r="W14" s="166"/>
    </row>
    <row r="15" spans="1:23" s="6" customFormat="1">
      <c r="A15" s="1301" t="s">
        <v>902</v>
      </c>
      <c r="B15" s="1319">
        <v>36</v>
      </c>
      <c r="C15" s="358">
        <v>17.100000000000001</v>
      </c>
      <c r="D15" s="1267">
        <v>47.9</v>
      </c>
      <c r="E15" s="358">
        <v>23.9</v>
      </c>
      <c r="F15" s="1267">
        <v>47.8</v>
      </c>
      <c r="G15" s="358">
        <v>20.5</v>
      </c>
      <c r="H15" s="1267">
        <v>25.2</v>
      </c>
      <c r="I15" s="358">
        <v>10.6</v>
      </c>
      <c r="J15" s="1267">
        <v>37.5</v>
      </c>
      <c r="K15" s="358">
        <v>16.5</v>
      </c>
      <c r="L15" s="1267">
        <v>36.5</v>
      </c>
      <c r="M15" s="358">
        <v>15.1</v>
      </c>
      <c r="N15" s="1204">
        <f>AVERAGE('2.6'!G37:G38)</f>
        <v>480.20699999999999</v>
      </c>
      <c r="O15" s="3519">
        <f t="shared" si="5"/>
        <v>172.87451999999999</v>
      </c>
      <c r="P15" s="2364">
        <f t="shared" si="0"/>
        <v>82.115397000000002</v>
      </c>
      <c r="Q15" s="1204">
        <f>AVERAGE('2.6'!B37:B38)</f>
        <v>1221.3040000000001</v>
      </c>
      <c r="R15" s="3519">
        <f t="shared" si="1"/>
        <v>585.00461600000006</v>
      </c>
      <c r="S15" s="2364">
        <f t="shared" si="2"/>
        <v>291.89165600000001</v>
      </c>
      <c r="T15" s="1204">
        <f>AVERAGE('2.6'!Q37:Q38)</f>
        <v>23350.516</v>
      </c>
      <c r="U15" s="3519">
        <f t="shared" si="3"/>
        <v>11161.546648</v>
      </c>
      <c r="V15" s="2365">
        <f t="shared" si="4"/>
        <v>4786.8557799999999</v>
      </c>
      <c r="W15" s="166"/>
    </row>
    <row r="16" spans="1:23" s="6" customFormat="1">
      <c r="A16" s="1301" t="s">
        <v>903</v>
      </c>
      <c r="B16" s="1319">
        <v>46.1</v>
      </c>
      <c r="C16" s="358">
        <v>19.2</v>
      </c>
      <c r="D16" s="1267">
        <v>42</v>
      </c>
      <c r="E16" s="358">
        <v>16.5</v>
      </c>
      <c r="F16" s="1267">
        <v>44.3</v>
      </c>
      <c r="G16" s="358">
        <v>17</v>
      </c>
      <c r="H16" s="1267">
        <v>34.1</v>
      </c>
      <c r="I16" s="358">
        <v>12.5</v>
      </c>
      <c r="J16" s="1267">
        <v>31</v>
      </c>
      <c r="K16" s="358">
        <v>11.3</v>
      </c>
      <c r="L16" s="1267">
        <v>33.5</v>
      </c>
      <c r="M16" s="358">
        <v>12.1</v>
      </c>
      <c r="N16" s="1204">
        <f>AVERAGE('2.6'!G38:G39)</f>
        <v>481.54200000000003</v>
      </c>
      <c r="O16" s="3519">
        <f t="shared" si="5"/>
        <v>221.99086200000002</v>
      </c>
      <c r="P16" s="2364">
        <f t="shared" si="0"/>
        <v>92.456064000000012</v>
      </c>
      <c r="Q16" s="1204">
        <f>AVERAGE('2.6'!B38:B39)</f>
        <v>1223.3699999999999</v>
      </c>
      <c r="R16" s="3519">
        <f t="shared" si="1"/>
        <v>513.81539999999995</v>
      </c>
      <c r="S16" s="2364">
        <f t="shared" si="2"/>
        <v>201.85604999999998</v>
      </c>
      <c r="T16" s="1204">
        <f>AVERAGE('2.6'!Q38:Q39)</f>
        <v>23409.2415</v>
      </c>
      <c r="U16" s="3519">
        <f t="shared" si="3"/>
        <v>10370.293984499998</v>
      </c>
      <c r="V16" s="2365">
        <f t="shared" si="4"/>
        <v>3979.5710550000003</v>
      </c>
      <c r="W16" s="166"/>
    </row>
    <row r="17" spans="1:22" s="6" customFormat="1">
      <c r="A17" s="1301" t="s">
        <v>904</v>
      </c>
      <c r="B17" s="1319">
        <v>46.6</v>
      </c>
      <c r="C17" s="358">
        <v>17.100000000000001</v>
      </c>
      <c r="D17" s="1267">
        <v>36.5</v>
      </c>
      <c r="E17" s="358">
        <v>14.2</v>
      </c>
      <c r="F17" s="1267">
        <v>40.200000000000003</v>
      </c>
      <c r="G17" s="358">
        <v>15</v>
      </c>
      <c r="H17" s="1267">
        <v>32.700000000000003</v>
      </c>
      <c r="I17" s="358">
        <v>10.5</v>
      </c>
      <c r="J17" s="1267">
        <v>27.5</v>
      </c>
      <c r="K17" s="358">
        <v>9.6</v>
      </c>
      <c r="L17" s="1267">
        <v>29.8</v>
      </c>
      <c r="M17" s="358">
        <v>10.7</v>
      </c>
      <c r="N17" s="1204">
        <f>AVERAGE('2.6'!G39:G40)</f>
        <v>482.8245</v>
      </c>
      <c r="O17" s="3519">
        <f t="shared" si="5"/>
        <v>224.996217</v>
      </c>
      <c r="P17" s="2364">
        <f t="shared" si="0"/>
        <v>82.5629895</v>
      </c>
      <c r="Q17" s="1204">
        <f>AVERAGE('2.6'!B39:B40)</f>
        <v>1225.3800000000001</v>
      </c>
      <c r="R17" s="3519">
        <f t="shared" si="1"/>
        <v>447.26370000000003</v>
      </c>
      <c r="S17" s="2364">
        <f t="shared" si="2"/>
        <v>174.00396000000001</v>
      </c>
      <c r="T17" s="1204">
        <f>AVERAGE('2.6'!Q39:Q40)</f>
        <v>23466.754000000001</v>
      </c>
      <c r="U17" s="3519">
        <f t="shared" si="3"/>
        <v>9433.6351080000004</v>
      </c>
      <c r="V17" s="2365">
        <f t="shared" si="4"/>
        <v>3520.0131000000001</v>
      </c>
    </row>
    <row r="18" spans="1:22" s="6" customFormat="1">
      <c r="A18" s="1301" t="s">
        <v>905</v>
      </c>
      <c r="B18" s="1319">
        <v>41</v>
      </c>
      <c r="C18" s="358">
        <v>17.3</v>
      </c>
      <c r="D18" s="1267">
        <v>32.9</v>
      </c>
      <c r="E18" s="358">
        <v>12.3</v>
      </c>
      <c r="F18" s="1267">
        <v>38.9</v>
      </c>
      <c r="G18" s="358">
        <v>13.8</v>
      </c>
      <c r="H18" s="1267">
        <v>28</v>
      </c>
      <c r="I18" s="358">
        <v>10.6</v>
      </c>
      <c r="J18" s="1267">
        <v>25.6</v>
      </c>
      <c r="K18" s="358">
        <v>9.5</v>
      </c>
      <c r="L18" s="1267">
        <v>28.8</v>
      </c>
      <c r="M18" s="358">
        <v>9.6999999999999993</v>
      </c>
      <c r="N18" s="1204">
        <f>AVERAGE('2.6'!G40:G41)</f>
        <v>484.09199999999998</v>
      </c>
      <c r="O18" s="3519">
        <f t="shared" si="5"/>
        <v>198.47771999999998</v>
      </c>
      <c r="P18" s="2364">
        <f t="shared" si="0"/>
        <v>83.747916000000004</v>
      </c>
      <c r="Q18" s="1204">
        <f>AVERAGE('2.6'!B40:B41)</f>
        <v>1227.3519999999999</v>
      </c>
      <c r="R18" s="3519">
        <f t="shared" si="1"/>
        <v>403.79880799999989</v>
      </c>
      <c r="S18" s="2364">
        <f t="shared" si="2"/>
        <v>150.96429599999999</v>
      </c>
      <c r="T18" s="1204">
        <f>AVERAGE('2.6'!Q40:Q41)</f>
        <v>23523.555999999997</v>
      </c>
      <c r="U18" s="3519">
        <f t="shared" si="3"/>
        <v>9150.6632839999984</v>
      </c>
      <c r="V18" s="2365">
        <f t="shared" si="4"/>
        <v>3246.250728</v>
      </c>
    </row>
    <row r="19" spans="1:22" s="6" customFormat="1">
      <c r="A19" s="1301" t="s">
        <v>906</v>
      </c>
      <c r="B19" s="1319">
        <v>36.9</v>
      </c>
      <c r="C19" s="358">
        <v>18.100000000000001</v>
      </c>
      <c r="D19" s="1267">
        <v>28.5</v>
      </c>
      <c r="E19" s="358">
        <v>11.9</v>
      </c>
      <c r="F19" s="1267">
        <v>33.799999999999997</v>
      </c>
      <c r="G19" s="358">
        <v>12.2</v>
      </c>
      <c r="H19" s="1267">
        <v>25.9</v>
      </c>
      <c r="I19" s="358">
        <v>11.4</v>
      </c>
      <c r="J19" s="1267">
        <v>21.4</v>
      </c>
      <c r="K19" s="358">
        <v>8.8000000000000007</v>
      </c>
      <c r="L19" s="1267">
        <v>24.7</v>
      </c>
      <c r="M19" s="358">
        <v>8.4</v>
      </c>
      <c r="N19" s="1204">
        <f>AVERAGE('2.6'!G41:G42)</f>
        <v>485.33949999999999</v>
      </c>
      <c r="O19" s="3519">
        <f t="shared" si="5"/>
        <v>179.09027549999999</v>
      </c>
      <c r="P19" s="2364">
        <f t="shared" si="0"/>
        <v>87.846449500000006</v>
      </c>
      <c r="Q19" s="1204">
        <f>AVERAGE('2.6'!B41:B42)</f>
        <v>1229.2914999999998</v>
      </c>
      <c r="R19" s="3519">
        <f t="shared" si="1"/>
        <v>350.34807749999993</v>
      </c>
      <c r="S19" s="2364">
        <f t="shared" si="2"/>
        <v>146.28568849999999</v>
      </c>
      <c r="T19" s="1204">
        <f>AVERAGE('2.6'!Q41:Q42)</f>
        <v>23763.7215</v>
      </c>
      <c r="U19" s="3519">
        <f t="shared" si="3"/>
        <v>8032.1378669999995</v>
      </c>
      <c r="V19" s="2365">
        <f t="shared" si="4"/>
        <v>2899.174023</v>
      </c>
    </row>
    <row r="20" spans="1:22" s="6" customFormat="1">
      <c r="A20" s="1301" t="s">
        <v>907</v>
      </c>
      <c r="B20" s="1319">
        <v>33.4</v>
      </c>
      <c r="C20" s="358">
        <v>14.8</v>
      </c>
      <c r="D20" s="1267">
        <v>27.4</v>
      </c>
      <c r="E20" s="358">
        <v>10.199999999999999</v>
      </c>
      <c r="F20" s="1267">
        <v>31.4</v>
      </c>
      <c r="G20" s="358">
        <v>11.2</v>
      </c>
      <c r="H20" s="1267">
        <v>23.9</v>
      </c>
      <c r="I20" s="358">
        <v>9.1999999999999993</v>
      </c>
      <c r="J20" s="1267">
        <v>20.399999999999999</v>
      </c>
      <c r="K20" s="358">
        <v>7.7</v>
      </c>
      <c r="L20" s="1267">
        <v>23.1</v>
      </c>
      <c r="M20" s="358">
        <v>8</v>
      </c>
      <c r="N20" s="1204">
        <f>AVERAGE('2.6'!G42:G43)</f>
        <v>486.63749999999999</v>
      </c>
      <c r="O20" s="3519">
        <f t="shared" si="5"/>
        <v>162.53692499999997</v>
      </c>
      <c r="P20" s="2364">
        <f t="shared" si="0"/>
        <v>72.022350000000003</v>
      </c>
      <c r="Q20" s="1204">
        <f>AVERAGE('2.6'!B42:B43)</f>
        <v>1231.3045</v>
      </c>
      <c r="R20" s="3519">
        <f t="shared" si="1"/>
        <v>337.37743299999994</v>
      </c>
      <c r="S20" s="2364">
        <f t="shared" si="2"/>
        <v>125.59305899999998</v>
      </c>
      <c r="T20" s="1204">
        <f>AVERAGE('2.6'!Q42:Q43)</f>
        <v>24007.645499999999</v>
      </c>
      <c r="U20" s="3519">
        <f t="shared" si="3"/>
        <v>7538.4006869999994</v>
      </c>
      <c r="V20" s="2365">
        <f t="shared" si="4"/>
        <v>2688.8562959999995</v>
      </c>
    </row>
    <row r="21" spans="1:22" s="6" customFormat="1">
      <c r="A21" s="1301" t="s">
        <v>908</v>
      </c>
      <c r="B21" s="1319">
        <v>28.6</v>
      </c>
      <c r="C21" s="358">
        <v>11.5</v>
      </c>
      <c r="D21" s="1267">
        <v>22.9</v>
      </c>
      <c r="E21" s="358">
        <v>7.5</v>
      </c>
      <c r="F21" s="1267">
        <v>26.9</v>
      </c>
      <c r="G21" s="358">
        <v>8.6999999999999993</v>
      </c>
      <c r="H21" s="1267">
        <v>19.600000000000001</v>
      </c>
      <c r="I21" s="358">
        <v>7.3</v>
      </c>
      <c r="J21" s="1267">
        <v>16.600000000000001</v>
      </c>
      <c r="K21" s="358">
        <v>6.2</v>
      </c>
      <c r="L21" s="1267">
        <v>19.2</v>
      </c>
      <c r="M21" s="358">
        <v>6.3</v>
      </c>
      <c r="N21" s="1204">
        <f>AVERAGE('2.6'!G43:G44)</f>
        <v>487.95799999999997</v>
      </c>
      <c r="O21" s="3519">
        <f>N21*(B21/100)</f>
        <v>139.55598800000001</v>
      </c>
      <c r="P21" s="2364">
        <f t="shared" si="0"/>
        <v>56.115169999999999</v>
      </c>
      <c r="Q21" s="1204">
        <f>AVERAGE('2.6'!B43:B44)</f>
        <v>1233.3145</v>
      </c>
      <c r="R21" s="3519">
        <f t="shared" si="1"/>
        <v>282.42902049999998</v>
      </c>
      <c r="S21" s="2364">
        <f t="shared" si="2"/>
        <v>92.498587499999999</v>
      </c>
      <c r="T21" s="1204">
        <f>AVERAGE('2.6'!Q43:Q44)</f>
        <v>24068.9565</v>
      </c>
      <c r="U21" s="3519">
        <f t="shared" si="3"/>
        <v>6474.5492984999992</v>
      </c>
      <c r="V21" s="2365">
        <f t="shared" si="4"/>
        <v>2093.9992155</v>
      </c>
    </row>
    <row r="22" spans="1:22" s="6" customFormat="1">
      <c r="A22" s="1301" t="s">
        <v>909</v>
      </c>
      <c r="B22" s="1319">
        <v>23.3</v>
      </c>
      <c r="C22" s="358">
        <v>8.5</v>
      </c>
      <c r="D22" s="1267">
        <v>18.3</v>
      </c>
      <c r="E22" s="358">
        <v>5.5</v>
      </c>
      <c r="F22" s="1267">
        <v>23.4</v>
      </c>
      <c r="G22" s="358">
        <v>8.1999999999999993</v>
      </c>
      <c r="H22" s="1267">
        <v>16.600000000000001</v>
      </c>
      <c r="I22" s="358">
        <v>5.7</v>
      </c>
      <c r="J22" s="1267">
        <v>12</v>
      </c>
      <c r="K22" s="358">
        <v>3.6</v>
      </c>
      <c r="L22" s="1267">
        <v>16.3</v>
      </c>
      <c r="M22" s="358">
        <v>5.7</v>
      </c>
      <c r="N22" s="1204">
        <f>AVERAGE('2.6'!G44:G45)</f>
        <v>489.24400000000003</v>
      </c>
      <c r="O22" s="3519">
        <f t="shared" si="5"/>
        <v>113.99385200000002</v>
      </c>
      <c r="P22" s="2364">
        <f t="shared" si="0"/>
        <v>41.585740000000008</v>
      </c>
      <c r="Q22" s="1204">
        <f>AVERAGE('2.6'!B44:B45)</f>
        <v>1235.2660000000001</v>
      </c>
      <c r="R22" s="3519">
        <f t="shared" si="1"/>
        <v>226.05367800000002</v>
      </c>
      <c r="S22" s="2364">
        <f t="shared" si="2"/>
        <v>67.939630000000008</v>
      </c>
      <c r="T22" s="1204">
        <f>AVERAGE('2.6'!Q44:Q45)</f>
        <v>24127.409</v>
      </c>
      <c r="U22" s="3519">
        <f t="shared" si="3"/>
        <v>5645.8137059999999</v>
      </c>
      <c r="V22" s="2365">
        <f t="shared" si="4"/>
        <v>1978.4475379999997</v>
      </c>
    </row>
    <row r="23" spans="1:22" s="6" customFormat="1">
      <c r="A23" s="1301" t="s">
        <v>910</v>
      </c>
      <c r="B23" s="1319">
        <v>18</v>
      </c>
      <c r="C23" s="358">
        <v>5.9</v>
      </c>
      <c r="D23" s="1267">
        <v>13.6</v>
      </c>
      <c r="E23" s="358">
        <v>4.9000000000000004</v>
      </c>
      <c r="F23" s="1267">
        <v>20.6</v>
      </c>
      <c r="G23" s="358">
        <v>5.9</v>
      </c>
      <c r="H23" s="1267">
        <v>13.2</v>
      </c>
      <c r="I23" s="358">
        <v>4.7</v>
      </c>
      <c r="J23" s="1267">
        <v>9.6999999999999993</v>
      </c>
      <c r="K23" s="358">
        <v>3.5</v>
      </c>
      <c r="L23" s="1267">
        <v>14</v>
      </c>
      <c r="M23" s="358">
        <v>4.4000000000000004</v>
      </c>
      <c r="N23" s="1204">
        <f>AVERAGE('2.6'!G46:G47)</f>
        <v>491.71899999999999</v>
      </c>
      <c r="O23" s="3519">
        <f>N23*(B23/100)</f>
        <v>88.509419999999992</v>
      </c>
      <c r="P23" s="2364">
        <f>N23*(C23/100)</f>
        <v>29.011421000000002</v>
      </c>
      <c r="Q23" s="1204">
        <f>AVERAGE('2.6'!B46:B47)</f>
        <v>1239.1979999999999</v>
      </c>
      <c r="R23" s="3519">
        <f t="shared" si="1"/>
        <v>168.53092799999999</v>
      </c>
      <c r="S23" s="2364">
        <f>Q23*(E23/100)</f>
        <v>60.720701999999996</v>
      </c>
      <c r="T23" s="1204">
        <f>AVERAGE('2.6'!Q46:Q47)</f>
        <v>24245.093499999999</v>
      </c>
      <c r="U23" s="3519">
        <f t="shared" si="3"/>
        <v>4994.4892610000006</v>
      </c>
      <c r="V23" s="2365">
        <f t="shared" si="4"/>
        <v>1430.4605165</v>
      </c>
    </row>
    <row r="24" spans="1:22" s="6" customFormat="1">
      <c r="A24" s="1301" t="s">
        <v>911</v>
      </c>
      <c r="B24" s="1020"/>
      <c r="C24" s="1021"/>
      <c r="D24" s="1022"/>
      <c r="E24" s="1021"/>
      <c r="F24" s="1022"/>
      <c r="G24" s="1021"/>
      <c r="H24" s="1020"/>
      <c r="I24" s="1021"/>
      <c r="J24" s="1022"/>
      <c r="K24" s="1021"/>
      <c r="L24" s="1022"/>
      <c r="M24" s="1021"/>
      <c r="N24" s="1204">
        <f>AVERAGE('2.6'!G48:G49)</f>
        <v>494.42650000000003</v>
      </c>
      <c r="O24" s="3595"/>
      <c r="P24" s="1021"/>
      <c r="Q24" s="1204">
        <f>AVERAGE('2.6'!B48:B49)</f>
        <v>1243.4014999999999</v>
      </c>
      <c r="R24" s="3595"/>
      <c r="S24" s="1021"/>
      <c r="T24" s="1204">
        <f>AVERAGE('2.6'!Q47:Q48)</f>
        <v>24304.612000000001</v>
      </c>
      <c r="U24" s="1020"/>
      <c r="V24" s="2900"/>
    </row>
    <row r="25" spans="1:22" s="6" customFormat="1">
      <c r="A25" s="1301" t="s">
        <v>912</v>
      </c>
      <c r="B25" s="1020"/>
      <c r="C25" s="1021"/>
      <c r="D25" s="1022"/>
      <c r="E25" s="1021"/>
      <c r="F25" s="1022"/>
      <c r="G25" s="1021"/>
      <c r="H25" s="1020"/>
      <c r="I25" s="1021"/>
      <c r="J25" s="1022"/>
      <c r="K25" s="1021"/>
      <c r="L25" s="1022"/>
      <c r="M25" s="1021"/>
      <c r="N25" s="1204">
        <f>AVERAGE('2.6'!G50:G51)</f>
        <v>497.029</v>
      </c>
      <c r="O25" s="3595"/>
      <c r="P25" s="1021"/>
      <c r="Q25" s="1204">
        <f>AVERAGE('2.6'!B50:B51)</f>
        <v>1247.3924999999999</v>
      </c>
      <c r="R25" s="3595"/>
      <c r="S25" s="1021"/>
      <c r="T25" s="1204">
        <f>AVERAGE('2.6'!Q48:Q49)</f>
        <v>24363.200499999999</v>
      </c>
      <c r="U25" s="1020"/>
      <c r="V25" s="2900"/>
    </row>
    <row r="26" spans="1:22" s="6" customFormat="1">
      <c r="A26" s="1301" t="s">
        <v>913</v>
      </c>
      <c r="B26" s="1020"/>
      <c r="C26" s="1021"/>
      <c r="D26" s="1022"/>
      <c r="E26" s="1021"/>
      <c r="F26" s="1022"/>
      <c r="G26" s="1021"/>
      <c r="H26" s="1020"/>
      <c r="I26" s="1021"/>
      <c r="J26" s="1022"/>
      <c r="K26" s="1021"/>
      <c r="L26" s="1022"/>
      <c r="M26" s="1021"/>
      <c r="N26" s="1204">
        <f>AVERAGE('2.6'!G52:G53)</f>
        <v>499.63749999999999</v>
      </c>
      <c r="O26" s="3595"/>
      <c r="P26" s="1021"/>
      <c r="Q26" s="1204">
        <f>AVERAGE('2.6'!B52:B53)</f>
        <v>1251.4475</v>
      </c>
      <c r="R26" s="3595"/>
      <c r="S26" s="1021"/>
      <c r="T26" s="1204">
        <f>AVERAGE('2.6'!Q49:Q50)</f>
        <v>24421.652000000002</v>
      </c>
      <c r="U26" s="1020"/>
      <c r="V26" s="2900"/>
    </row>
    <row r="27" spans="1:22" s="6" customFormat="1">
      <c r="A27" s="1301" t="s">
        <v>914</v>
      </c>
      <c r="B27" s="1020"/>
      <c r="C27" s="1021"/>
      <c r="D27" s="1022"/>
      <c r="E27" s="1021"/>
      <c r="F27" s="1022"/>
      <c r="G27" s="1021"/>
      <c r="H27" s="1020"/>
      <c r="I27" s="1021"/>
      <c r="J27" s="1022"/>
      <c r="K27" s="1021"/>
      <c r="L27" s="1022"/>
      <c r="M27" s="1021"/>
      <c r="N27" s="1204">
        <f>AVERAGE('2.6'!G54:G55)</f>
        <v>502.24299999999999</v>
      </c>
      <c r="O27" s="3595"/>
      <c r="P27" s="1021"/>
      <c r="Q27" s="1204">
        <f>AVERAGE('2.6'!B54:B55)</f>
        <v>1255.4214999999999</v>
      </c>
      <c r="R27" s="3595"/>
      <c r="S27" s="1021"/>
      <c r="T27" s="1204">
        <f>AVERAGE('2.6'!Q50:Q51)</f>
        <v>24481.1145</v>
      </c>
      <c r="U27" s="1020"/>
      <c r="V27" s="2900"/>
    </row>
    <row r="28" spans="1:22" s="6" customFormat="1">
      <c r="A28" s="1301" t="s">
        <v>915</v>
      </c>
      <c r="B28" s="1020"/>
      <c r="C28" s="1021"/>
      <c r="D28" s="1022"/>
      <c r="E28" s="1021"/>
      <c r="F28" s="1022"/>
      <c r="G28" s="1021"/>
      <c r="H28" s="1020"/>
      <c r="I28" s="1021"/>
      <c r="J28" s="1022"/>
      <c r="K28" s="1021"/>
      <c r="L28" s="1022"/>
      <c r="M28" s="1021"/>
      <c r="N28" s="1204">
        <f>AVERAGE('2.6'!G56:G57)</f>
        <v>504.77300000000002</v>
      </c>
      <c r="O28" s="3595"/>
      <c r="P28" s="1021"/>
      <c r="Q28" s="1204">
        <f>AVERAGE('2.6'!B56:B57)</f>
        <v>1259.4065000000001</v>
      </c>
      <c r="R28" s="3595"/>
      <c r="S28" s="1021"/>
      <c r="T28" s="1204">
        <f>AVERAGE('2.6'!Q51:Q52)</f>
        <v>24540.409500000002</v>
      </c>
      <c r="U28" s="1020"/>
      <c r="V28" s="2900"/>
    </row>
    <row r="29" spans="1:22" s="6" customFormat="1">
      <c r="A29" s="1301" t="s">
        <v>916</v>
      </c>
      <c r="B29" s="1020"/>
      <c r="C29" s="1021"/>
      <c r="D29" s="1022"/>
      <c r="E29" s="1021"/>
      <c r="F29" s="1022"/>
      <c r="G29" s="1021"/>
      <c r="H29" s="1020"/>
      <c r="I29" s="1021"/>
      <c r="J29" s="1022"/>
      <c r="K29" s="1021"/>
      <c r="L29" s="1022"/>
      <c r="M29" s="1021"/>
      <c r="N29" s="1204">
        <f>AVERAGE('2.6'!G58:G59)</f>
        <v>507.28250000000003</v>
      </c>
      <c r="O29" s="3595"/>
      <c r="P29" s="1021"/>
      <c r="Q29" s="1204">
        <f>AVERAGE('2.6'!B58:B59)</f>
        <v>1263.3330000000001</v>
      </c>
      <c r="R29" s="3595"/>
      <c r="S29" s="1021"/>
      <c r="T29" s="1204">
        <f>AVERAGE('2.6'!Q52:Q53)</f>
        <v>24598.8465</v>
      </c>
      <c r="U29" s="1020"/>
      <c r="V29" s="2900"/>
    </row>
    <row r="30" spans="1:22" s="6" customFormat="1">
      <c r="A30" s="1301" t="s">
        <v>917</v>
      </c>
      <c r="B30" s="1020"/>
      <c r="C30" s="1021"/>
      <c r="D30" s="1022"/>
      <c r="E30" s="1021"/>
      <c r="F30" s="1022"/>
      <c r="G30" s="1021"/>
      <c r="H30" s="1020"/>
      <c r="I30" s="1021"/>
      <c r="J30" s="1022"/>
      <c r="K30" s="1021"/>
      <c r="L30" s="1022"/>
      <c r="M30" s="1021"/>
      <c r="N30" s="1204">
        <f>AVERAGE('2.6'!G60:G61)</f>
        <v>509.85550000000001</v>
      </c>
      <c r="O30" s="3595"/>
      <c r="P30" s="1021"/>
      <c r="Q30" s="1204">
        <f>AVERAGE('2.6'!B60:B61)</f>
        <v>1267.337</v>
      </c>
      <c r="R30" s="3595"/>
      <c r="S30" s="1021"/>
      <c r="T30" s="1204">
        <f>AVERAGE('2.6'!Q53:Q54)</f>
        <v>24657.162499999999</v>
      </c>
      <c r="U30" s="1020"/>
      <c r="V30" s="2900"/>
    </row>
    <row r="31" spans="1:22" s="6" customFormat="1">
      <c r="A31" s="1301" t="s">
        <v>918</v>
      </c>
      <c r="B31" s="1020"/>
      <c r="C31" s="1021"/>
      <c r="D31" s="1022"/>
      <c r="E31" s="1021"/>
      <c r="F31" s="1022"/>
      <c r="G31" s="1021"/>
      <c r="H31" s="1020"/>
      <c r="I31" s="1021"/>
      <c r="J31" s="1022"/>
      <c r="K31" s="1021"/>
      <c r="L31" s="1022"/>
      <c r="M31" s="1021"/>
      <c r="N31" s="1204">
        <f>AVERAGE('2.6'!G62:G63)</f>
        <v>512.38</v>
      </c>
      <c r="O31" s="3595"/>
      <c r="P31" s="1021"/>
      <c r="Q31" s="1204">
        <f>AVERAGE('2.6'!B62:B63)</f>
        <v>1271.2570000000001</v>
      </c>
      <c r="R31" s="3595"/>
      <c r="S31" s="1021"/>
      <c r="T31" s="1204">
        <f>AVERAGE('2.6'!Q54:Q55)</f>
        <v>24715.947500000002</v>
      </c>
      <c r="U31" s="1020"/>
      <c r="V31" s="2900"/>
    </row>
    <row r="32" spans="1:22" s="6" customFormat="1">
      <c r="A32" s="1301" t="s">
        <v>919</v>
      </c>
      <c r="B32" s="1020"/>
      <c r="C32" s="1021"/>
      <c r="D32" s="1022"/>
      <c r="E32" s="1021"/>
      <c r="F32" s="1022"/>
      <c r="G32" s="1021"/>
      <c r="H32" s="1020"/>
      <c r="I32" s="1021"/>
      <c r="J32" s="1022"/>
      <c r="K32" s="1021"/>
      <c r="L32" s="1022"/>
      <c r="M32" s="1021"/>
      <c r="N32" s="1204">
        <f>AVERAGE('2.6'!G64:G65)</f>
        <v>514.93949999999995</v>
      </c>
      <c r="O32" s="3595"/>
      <c r="P32" s="1021"/>
      <c r="Q32" s="1204">
        <f>AVERAGE('2.6'!B64:B65)</f>
        <v>1275.1509999999998</v>
      </c>
      <c r="R32" s="3595"/>
      <c r="S32" s="1021"/>
      <c r="T32" s="1204">
        <f>AVERAGE('2.6'!Q55:Q56)</f>
        <v>24774.548500000001</v>
      </c>
      <c r="U32" s="1020"/>
      <c r="V32" s="2900"/>
    </row>
    <row r="33" spans="1:22" s="6" customFormat="1">
      <c r="A33" s="1301" t="s">
        <v>920</v>
      </c>
      <c r="B33" s="1020"/>
      <c r="C33" s="1021"/>
      <c r="D33" s="1022"/>
      <c r="E33" s="1021"/>
      <c r="F33" s="1022"/>
      <c r="G33" s="1021"/>
      <c r="H33" s="1020"/>
      <c r="I33" s="1021"/>
      <c r="J33" s="1022"/>
      <c r="K33" s="1021"/>
      <c r="L33" s="1022"/>
      <c r="M33" s="1021"/>
      <c r="N33" s="1204">
        <f>AVERAGE('2.6'!G66:G67)</f>
        <v>517.47550000000001</v>
      </c>
      <c r="O33" s="3595"/>
      <c r="P33" s="1021"/>
      <c r="Q33" s="1204">
        <f>AVERAGE('2.6'!B66:B67)</f>
        <v>1279.0805</v>
      </c>
      <c r="R33" s="3595"/>
      <c r="S33" s="1021"/>
      <c r="T33" s="1204">
        <f>AVERAGE('2.6'!Q56:Q57)</f>
        <v>24832.016499999998</v>
      </c>
      <c r="U33" s="1020"/>
      <c r="V33" s="2900"/>
    </row>
    <row r="34" spans="1:22" s="6" customFormat="1">
      <c r="A34" s="1301" t="s">
        <v>921</v>
      </c>
      <c r="B34" s="1020"/>
      <c r="C34" s="1021"/>
      <c r="D34" s="1022"/>
      <c r="E34" s="1021"/>
      <c r="F34" s="1022"/>
      <c r="G34" s="1021"/>
      <c r="H34" s="1020"/>
      <c r="I34" s="1021"/>
      <c r="J34" s="1022"/>
      <c r="K34" s="1021"/>
      <c r="L34" s="1022"/>
      <c r="M34" s="1021"/>
      <c r="N34" s="1204">
        <f>AVERAGE('2.6'!G68:G69)</f>
        <v>519.9855</v>
      </c>
      <c r="O34" s="3595"/>
      <c r="P34" s="1021"/>
      <c r="Q34" s="1204">
        <f>AVERAGE('2.6'!B68:B69)</f>
        <v>1282.9915000000001</v>
      </c>
      <c r="R34" s="3595"/>
      <c r="S34" s="1021"/>
      <c r="T34" s="1204">
        <f>AVERAGE('2.6'!Q57:Q58)</f>
        <v>24889.680999999997</v>
      </c>
      <c r="U34" s="1020"/>
      <c r="V34" s="2900"/>
    </row>
    <row r="35" spans="1:22" s="6" customFormat="1">
      <c r="A35" s="1301" t="s">
        <v>922</v>
      </c>
      <c r="B35" s="1020"/>
      <c r="C35" s="1021"/>
      <c r="D35" s="1022"/>
      <c r="E35" s="1021"/>
      <c r="F35" s="1022"/>
      <c r="G35" s="1021"/>
      <c r="H35" s="1020"/>
      <c r="I35" s="1021"/>
      <c r="J35" s="1022"/>
      <c r="K35" s="1021"/>
      <c r="L35" s="1022"/>
      <c r="M35" s="1021"/>
      <c r="N35" s="1204">
        <f>AVERAGE('2.6'!G70:G71)</f>
        <v>521.79300000000001</v>
      </c>
      <c r="O35" s="3595"/>
      <c r="P35" s="1021"/>
      <c r="Q35" s="1204">
        <f>AVERAGE('2.6'!B70:B71)</f>
        <v>1314.2359999999999</v>
      </c>
      <c r="R35" s="3595"/>
      <c r="S35" s="1021"/>
      <c r="T35" s="1204">
        <f>AVERAGE('2.6'!Q58:Q59)</f>
        <v>24948.127</v>
      </c>
      <c r="U35" s="1020"/>
      <c r="V35" s="2900"/>
    </row>
    <row r="36" spans="1:22" s="6" customFormat="1">
      <c r="A36" s="1301" t="s">
        <v>923</v>
      </c>
      <c r="B36" s="1020"/>
      <c r="C36" s="1021"/>
      <c r="D36" s="1022"/>
      <c r="E36" s="1021"/>
      <c r="F36" s="1022"/>
      <c r="G36" s="1021"/>
      <c r="H36" s="1020"/>
      <c r="I36" s="1021"/>
      <c r="J36" s="1022"/>
      <c r="K36" s="1021"/>
      <c r="L36" s="1022"/>
      <c r="M36" s="1021"/>
      <c r="N36" s="1204">
        <f>AVERAGE('2.6'!G72:G73)</f>
        <v>523.41000000000008</v>
      </c>
      <c r="O36" s="3595"/>
      <c r="P36" s="1021"/>
      <c r="Q36" s="1204">
        <f>AVERAGE('2.6'!B72:B73)</f>
        <v>1390.133</v>
      </c>
      <c r="R36" s="3595"/>
      <c r="S36" s="1021"/>
      <c r="T36" s="1204">
        <f>AVERAGE('2.6'!Q59:Q60)</f>
        <v>25006.1855</v>
      </c>
      <c r="U36" s="1020"/>
      <c r="V36" s="2900"/>
    </row>
    <row r="37" spans="1:22" s="6" customFormat="1">
      <c r="A37" s="1301" t="s">
        <v>924</v>
      </c>
      <c r="B37" s="1020"/>
      <c r="C37" s="1021"/>
      <c r="D37" s="1022"/>
      <c r="E37" s="1021"/>
      <c r="F37" s="1022"/>
      <c r="G37" s="1021"/>
      <c r="H37" s="1020"/>
      <c r="I37" s="1021"/>
      <c r="J37" s="1022"/>
      <c r="K37" s="1021"/>
      <c r="L37" s="1022"/>
      <c r="M37" s="1021"/>
      <c r="N37" s="1204">
        <f>AVERAGE('2.6'!G74:G75)</f>
        <v>525.7405</v>
      </c>
      <c r="O37" s="3595"/>
      <c r="P37" s="1021"/>
      <c r="Q37" s="1204">
        <f>AVERAGE('2.6'!B74:B75)</f>
        <v>1413.3530000000001</v>
      </c>
      <c r="R37" s="3595"/>
      <c r="S37" s="1021"/>
      <c r="T37" s="1204">
        <f>AVERAGE('2.6'!Q60:Q61)</f>
        <v>25063.517</v>
      </c>
      <c r="U37" s="1020"/>
      <c r="V37" s="2900"/>
    </row>
    <row r="38" spans="1:22" s="6" customFormat="1">
      <c r="A38" s="1301" t="s">
        <v>925</v>
      </c>
      <c r="B38" s="1020"/>
      <c r="C38" s="1021"/>
      <c r="D38" s="1022"/>
      <c r="E38" s="1021"/>
      <c r="F38" s="1022"/>
      <c r="G38" s="1021"/>
      <c r="H38" s="1020"/>
      <c r="I38" s="1021"/>
      <c r="J38" s="1022"/>
      <c r="K38" s="1021"/>
      <c r="L38" s="1022"/>
      <c r="M38" s="1021"/>
      <c r="N38" s="1204">
        <f>AVERAGE('2.6'!G76:G77)</f>
        <v>528.14449999999999</v>
      </c>
      <c r="O38" s="3595"/>
      <c r="P38" s="1021"/>
      <c r="Q38" s="1204">
        <f>AVERAGE('2.6'!B76:B77)</f>
        <v>1422.0830000000001</v>
      </c>
      <c r="R38" s="3595"/>
      <c r="S38" s="1021"/>
      <c r="T38" s="1204">
        <f>AVERAGE('2.6'!Q61:Q62)</f>
        <v>25120.8115</v>
      </c>
      <c r="U38" s="1020"/>
      <c r="V38" s="2900"/>
    </row>
    <row r="39" spans="1:22" s="6" customFormat="1">
      <c r="A39" s="1301" t="s">
        <v>926</v>
      </c>
      <c r="B39" s="1020"/>
      <c r="C39" s="1021"/>
      <c r="D39" s="1022"/>
      <c r="E39" s="1021"/>
      <c r="F39" s="1022"/>
      <c r="G39" s="1021"/>
      <c r="H39" s="1020"/>
      <c r="I39" s="1021"/>
      <c r="J39" s="1022"/>
      <c r="K39" s="1021"/>
      <c r="L39" s="1022"/>
      <c r="M39" s="1021"/>
      <c r="N39" s="1204">
        <f>AVERAGE('2.6'!G78:G79)</f>
        <v>529.65724999999998</v>
      </c>
      <c r="O39" s="3595"/>
      <c r="P39" s="1021"/>
      <c r="Q39" s="1204">
        <f>AVERAGE('2.6'!B78:B79)</f>
        <v>1388.579375</v>
      </c>
      <c r="R39" s="3595"/>
      <c r="S39" s="1021"/>
      <c r="T39" s="1204">
        <f>AVERAGE('2.6'!Q62:Q63)</f>
        <v>25178.716</v>
      </c>
      <c r="U39" s="1020"/>
      <c r="V39" s="2900"/>
    </row>
    <row r="40" spans="1:22">
      <c r="A40" s="1301" t="s">
        <v>927</v>
      </c>
      <c r="B40" s="1020"/>
      <c r="C40" s="1021"/>
      <c r="D40" s="1022"/>
      <c r="E40" s="1021"/>
      <c r="F40" s="1022"/>
      <c r="G40" s="1021"/>
      <c r="H40" s="1020"/>
      <c r="I40" s="1021"/>
      <c r="J40" s="1022"/>
      <c r="K40" s="1021"/>
      <c r="L40" s="1022"/>
      <c r="M40" s="1021"/>
      <c r="N40" s="1204">
        <f>AVERAGE('2.6'!G80:G81)</f>
        <v>516.18149999999991</v>
      </c>
      <c r="O40" s="3595"/>
      <c r="P40" s="1021"/>
      <c r="Q40" s="1204">
        <f>AVERAGE('2.6'!B80:B81)</f>
        <v>1287.55125</v>
      </c>
      <c r="R40" s="3595"/>
      <c r="S40" s="1021"/>
      <c r="T40" s="1204">
        <f>AVERAGE('2.6'!Q63:Q64)</f>
        <v>25236.707000000002</v>
      </c>
      <c r="U40" s="1020"/>
      <c r="V40" s="2900"/>
    </row>
    <row r="41" spans="1:22">
      <c r="A41" s="1301" t="s">
        <v>928</v>
      </c>
      <c r="B41" s="1319">
        <v>29.3</v>
      </c>
      <c r="C41" s="358">
        <v>6.2</v>
      </c>
      <c r="D41" s="1267">
        <v>26.7</v>
      </c>
      <c r="E41" s="358">
        <v>3.8</v>
      </c>
      <c r="F41" s="1267">
        <v>30.3</v>
      </c>
      <c r="G41" s="358">
        <v>6.1</v>
      </c>
      <c r="H41" s="1267">
        <v>20.100000000000001</v>
      </c>
      <c r="I41" s="358">
        <v>4.0999999999999996</v>
      </c>
      <c r="J41" s="1267">
        <v>19.100000000000001</v>
      </c>
      <c r="K41" s="358">
        <v>3.2</v>
      </c>
      <c r="L41" s="1267">
        <v>21.5</v>
      </c>
      <c r="M41" s="358">
        <v>4.5</v>
      </c>
      <c r="N41" s="1204">
        <f>AVERAGE('2.6'!G82:G83)</f>
        <v>517.48050000000001</v>
      </c>
      <c r="O41" s="3596">
        <f>N41*(B41/100)</f>
        <v>151.62178649999998</v>
      </c>
      <c r="P41" s="161">
        <f t="shared" ref="P41:P49" si="6">N41*(C41/100)</f>
        <v>32.083790999999998</v>
      </c>
      <c r="Q41" s="1204">
        <f>AVERAGE('2.6'!B82:B83)</f>
        <v>1290.239</v>
      </c>
      <c r="R41" s="3596">
        <f>Q41*(D41/100)</f>
        <v>344.49381300000005</v>
      </c>
      <c r="S41" s="161">
        <f>Q41*(E41/100)</f>
        <v>49.029082000000002</v>
      </c>
      <c r="T41" s="1204">
        <f>AVERAGE('2.6'!Q82:Q83)</f>
        <v>27308.5</v>
      </c>
      <c r="U41" s="3596">
        <f t="shared" ref="U41:U49" si="7">T41*(F41/100)</f>
        <v>8274.4755000000005</v>
      </c>
      <c r="V41" s="2901">
        <f>T41*(G41/100)</f>
        <v>1665.8184999999999</v>
      </c>
    </row>
    <row r="42" spans="1:22">
      <c r="A42" s="1301" t="s">
        <v>929</v>
      </c>
      <c r="B42" s="1319">
        <v>26.9</v>
      </c>
      <c r="C42" s="358">
        <v>3.4</v>
      </c>
      <c r="D42" s="1267">
        <v>26.3</v>
      </c>
      <c r="E42" s="358">
        <v>7</v>
      </c>
      <c r="F42" s="1267">
        <v>28.6</v>
      </c>
      <c r="G42" s="358">
        <v>6.2</v>
      </c>
      <c r="H42" s="1267">
        <v>18.3</v>
      </c>
      <c r="I42" s="358">
        <v>2.4</v>
      </c>
      <c r="J42" s="1267">
        <v>19</v>
      </c>
      <c r="K42" s="358">
        <v>5.3</v>
      </c>
      <c r="L42" s="1267">
        <v>20.399999999999999</v>
      </c>
      <c r="M42" s="358">
        <v>4.5</v>
      </c>
      <c r="N42" s="1204">
        <f>AVERAGE('2.6'!G84:G85)</f>
        <v>519.32600000000002</v>
      </c>
      <c r="O42" s="3596">
        <f>N42*(B42/100)</f>
        <v>139.69869399999999</v>
      </c>
      <c r="P42" s="161">
        <f>N42*(C42/100)</f>
        <v>17.657084000000001</v>
      </c>
      <c r="Q42" s="1204">
        <f>AVERAGE('2.6'!B84:B85)</f>
        <v>1294.3355000000001</v>
      </c>
      <c r="R42" s="3596">
        <f>Q42*(D42/100)</f>
        <v>340.41023650000005</v>
      </c>
      <c r="S42" s="161">
        <f>Q42*(E42/100)</f>
        <v>90.60348500000002</v>
      </c>
      <c r="T42" s="1204">
        <f>AVERAGE('2.6'!Q84:Q85)</f>
        <v>27451</v>
      </c>
      <c r="U42" s="3596">
        <f>T42*(F42/100)</f>
        <v>7850.9860000000008</v>
      </c>
      <c r="V42" s="171">
        <f>T42*(G42/100)</f>
        <v>1701.962</v>
      </c>
    </row>
    <row r="43" spans="1:22">
      <c r="A43" s="1301" t="s">
        <v>930</v>
      </c>
      <c r="B43" s="1319">
        <v>26.4</v>
      </c>
      <c r="C43" s="358">
        <v>3.1</v>
      </c>
      <c r="D43" s="1267">
        <v>19.8</v>
      </c>
      <c r="E43" s="358">
        <v>4.5999999999999996</v>
      </c>
      <c r="F43" s="1267">
        <v>25.7</v>
      </c>
      <c r="G43" s="358">
        <v>4.8</v>
      </c>
      <c r="H43" s="1267">
        <v>18.100000000000001</v>
      </c>
      <c r="I43" s="358">
        <v>2.2999999999999998</v>
      </c>
      <c r="J43" s="1267">
        <v>14.6</v>
      </c>
      <c r="K43" s="358">
        <v>4.5999999999999996</v>
      </c>
      <c r="L43" s="1267">
        <v>17.899999999999999</v>
      </c>
      <c r="M43" s="358">
        <v>3.5</v>
      </c>
      <c r="N43" s="1204">
        <f>AVERAGE('2.6'!G86:G87)</f>
        <v>522.75150000000008</v>
      </c>
      <c r="O43" s="3596">
        <f t="shared" ref="O43:O49" si="8">N43*(B43/100)</f>
        <v>138.00639600000002</v>
      </c>
      <c r="P43" s="161">
        <f t="shared" si="6"/>
        <v>16.205296500000003</v>
      </c>
      <c r="Q43" s="1204">
        <f>AVERAGE('2.6'!B86:B87)</f>
        <v>1298.9749999999999</v>
      </c>
      <c r="R43" s="3596">
        <f t="shared" ref="R43:R59" si="9">Q43*(D43/100)</f>
        <v>257.19704999999999</v>
      </c>
      <c r="S43" s="161">
        <f t="shared" ref="S43:S59" si="10">Q43*(E43/100)</f>
        <v>59.752849999999995</v>
      </c>
      <c r="T43" s="1204">
        <f>AVERAGE('2.6'!Q86:Q87)</f>
        <v>27593.5</v>
      </c>
      <c r="U43" s="3596">
        <f t="shared" si="7"/>
        <v>7091.5295000000006</v>
      </c>
      <c r="V43" s="171">
        <f t="shared" ref="V43:V49" si="11">T43*(G43/100)</f>
        <v>1324.4880000000001</v>
      </c>
    </row>
    <row r="44" spans="1:22">
      <c r="A44" s="1301" t="s">
        <v>931</v>
      </c>
      <c r="B44" s="1319">
        <v>30.3</v>
      </c>
      <c r="C44" s="358">
        <v>3.5</v>
      </c>
      <c r="D44" s="1267">
        <v>24.9</v>
      </c>
      <c r="E44" s="358">
        <v>5</v>
      </c>
      <c r="F44" s="1267">
        <v>27.3</v>
      </c>
      <c r="G44" s="358">
        <v>4.9000000000000004</v>
      </c>
      <c r="H44" s="1267">
        <v>20.399999999999999</v>
      </c>
      <c r="I44" s="358">
        <v>2.2999999999999998</v>
      </c>
      <c r="J44" s="1267">
        <v>17.899999999999999</v>
      </c>
      <c r="K44" s="358">
        <v>4.3</v>
      </c>
      <c r="L44" s="1267">
        <v>19.600000000000001</v>
      </c>
      <c r="M44" s="358">
        <v>3.8</v>
      </c>
      <c r="N44" s="1204">
        <f>AVERAGE('2.6'!G88:G89)</f>
        <v>524.49299999999994</v>
      </c>
      <c r="O44" s="3596">
        <f t="shared" si="8"/>
        <v>158.92137899999997</v>
      </c>
      <c r="P44" s="161">
        <f t="shared" si="6"/>
        <v>18.357254999999999</v>
      </c>
      <c r="Q44" s="1204">
        <f>AVERAGE('2.6'!B88:B89)</f>
        <v>1302.8825000000002</v>
      </c>
      <c r="R44" s="3596">
        <f t="shared" si="9"/>
        <v>324.41774250000003</v>
      </c>
      <c r="S44" s="161">
        <f t="shared" si="10"/>
        <v>65.144125000000017</v>
      </c>
      <c r="T44" s="1204">
        <f>AVERAGE('2.6'!Q88:Q89)</f>
        <v>27734</v>
      </c>
      <c r="U44" s="3596">
        <f t="shared" si="7"/>
        <v>7571.3820000000005</v>
      </c>
      <c r="V44" s="171">
        <f t="shared" si="11"/>
        <v>1358.9660000000001</v>
      </c>
    </row>
    <row r="45" spans="1:22">
      <c r="A45" s="1301" t="s">
        <v>932</v>
      </c>
      <c r="B45" s="1319">
        <v>34.4</v>
      </c>
      <c r="C45" s="358">
        <v>3.7</v>
      </c>
      <c r="D45" s="1267">
        <v>31.8</v>
      </c>
      <c r="E45" s="358">
        <v>6</v>
      </c>
      <c r="F45" s="1267">
        <v>32</v>
      </c>
      <c r="G45" s="358">
        <v>6.7</v>
      </c>
      <c r="H45" s="1267">
        <v>23.1</v>
      </c>
      <c r="I45" s="358">
        <v>2.4</v>
      </c>
      <c r="J45" s="1267">
        <v>23.5</v>
      </c>
      <c r="K45" s="358">
        <v>4.9000000000000004</v>
      </c>
      <c r="L45" s="1267">
        <v>23.4</v>
      </c>
      <c r="M45" s="358">
        <v>4.8</v>
      </c>
      <c r="N45" s="1204">
        <f>AVERAGE('2.6'!G90:G91)</f>
        <v>526.46499999999992</v>
      </c>
      <c r="O45" s="3596">
        <f t="shared" si="8"/>
        <v>181.10395999999994</v>
      </c>
      <c r="P45" s="161">
        <f t="shared" si="6"/>
        <v>19.479205</v>
      </c>
      <c r="Q45" s="1204">
        <f>AVERAGE('2.6'!B90:B91)</f>
        <v>1307.0484999999999</v>
      </c>
      <c r="R45" s="3596">
        <f t="shared" si="9"/>
        <v>415.64142299999997</v>
      </c>
      <c r="S45" s="161">
        <f t="shared" si="10"/>
        <v>78.422909999999987</v>
      </c>
      <c r="T45" s="1204">
        <f>AVERAGE('2.6'!Q90:Q91)</f>
        <v>27878</v>
      </c>
      <c r="U45" s="3596">
        <f t="shared" si="7"/>
        <v>8920.9600000000009</v>
      </c>
      <c r="V45" s="171">
        <f t="shared" si="11"/>
        <v>1867.826</v>
      </c>
    </row>
    <row r="46" spans="1:22">
      <c r="A46" s="1301" t="s">
        <v>933</v>
      </c>
      <c r="B46" s="1319">
        <v>38.200000000000003</v>
      </c>
      <c r="C46" s="358">
        <v>5.9</v>
      </c>
      <c r="D46" s="1267">
        <v>35.5</v>
      </c>
      <c r="E46" s="358">
        <v>5.7</v>
      </c>
      <c r="F46" s="1267">
        <v>35.4</v>
      </c>
      <c r="G46" s="358">
        <v>7.7</v>
      </c>
      <c r="H46" s="1267">
        <v>26.2</v>
      </c>
      <c r="I46" s="358">
        <v>3.6</v>
      </c>
      <c r="J46" s="1267">
        <v>25.5</v>
      </c>
      <c r="K46" s="358">
        <v>4.4000000000000004</v>
      </c>
      <c r="L46" s="1267">
        <v>25.4</v>
      </c>
      <c r="M46" s="358">
        <v>5.5</v>
      </c>
      <c r="N46" s="1204">
        <f>AVERAGE('2.6'!G92:G93)</f>
        <v>528.66399999999999</v>
      </c>
      <c r="O46" s="3596">
        <f t="shared" si="8"/>
        <v>201.949648</v>
      </c>
      <c r="P46" s="161">
        <f t="shared" si="6"/>
        <v>31.191176000000002</v>
      </c>
      <c r="Q46" s="1204">
        <f>AVERAGE('2.6'!B92:B93)</f>
        <v>1310.9079999999999</v>
      </c>
      <c r="R46" s="3596">
        <f t="shared" si="9"/>
        <v>465.37233999999995</v>
      </c>
      <c r="S46" s="161">
        <f t="shared" si="10"/>
        <v>74.721755999999999</v>
      </c>
      <c r="T46" s="1204">
        <f>AVERAGE('2.6'!Q92:Q93)</f>
        <v>28295.5</v>
      </c>
      <c r="U46" s="3596">
        <f t="shared" si="7"/>
        <v>10016.607</v>
      </c>
      <c r="V46" s="171">
        <f t="shared" si="11"/>
        <v>2178.7534999999998</v>
      </c>
    </row>
    <row r="47" spans="1:22">
      <c r="A47" s="1301" t="s">
        <v>934</v>
      </c>
      <c r="B47" s="1319">
        <v>34.4</v>
      </c>
      <c r="C47" s="358">
        <v>7</v>
      </c>
      <c r="D47" s="1267">
        <v>35</v>
      </c>
      <c r="E47" s="358">
        <v>7.3</v>
      </c>
      <c r="F47" s="1267">
        <v>35.5</v>
      </c>
      <c r="G47" s="358">
        <v>8</v>
      </c>
      <c r="H47" s="1267">
        <v>23</v>
      </c>
      <c r="I47" s="358">
        <v>4.2</v>
      </c>
      <c r="J47" s="1267">
        <v>25.5</v>
      </c>
      <c r="K47" s="358">
        <v>5.4</v>
      </c>
      <c r="L47" s="1267">
        <v>25.9</v>
      </c>
      <c r="M47" s="358">
        <v>5.7</v>
      </c>
      <c r="N47" s="1204">
        <f>AVERAGE('2.6'!G94:G95)</f>
        <v>531.14400000000001</v>
      </c>
      <c r="O47" s="3596">
        <f t="shared" si="8"/>
        <v>182.71353599999998</v>
      </c>
      <c r="P47" s="161">
        <f t="shared" si="6"/>
        <v>37.180080000000004</v>
      </c>
      <c r="Q47" s="1204">
        <f>AVERAGE('2.6'!B94:B95)</f>
        <v>1315.9915000000001</v>
      </c>
      <c r="R47" s="3596">
        <f t="shared" si="9"/>
        <v>460.59702499999997</v>
      </c>
      <c r="S47" s="161">
        <f t="shared" si="10"/>
        <v>96.067379500000001</v>
      </c>
      <c r="T47" s="1204">
        <f>AVERAGE('2.6'!Q94:Q95)</f>
        <v>28229</v>
      </c>
      <c r="U47" s="3596">
        <f t="shared" si="7"/>
        <v>10021.295</v>
      </c>
      <c r="V47" s="171">
        <f t="shared" si="11"/>
        <v>2258.3200000000002</v>
      </c>
    </row>
    <row r="48" spans="1:22">
      <c r="A48" s="1301" t="s">
        <v>935</v>
      </c>
      <c r="B48" s="1319">
        <v>42.6</v>
      </c>
      <c r="C48" s="358">
        <v>10.9</v>
      </c>
      <c r="D48" s="1267">
        <v>41.8</v>
      </c>
      <c r="E48" s="358">
        <v>13.3</v>
      </c>
      <c r="F48" s="1267">
        <v>40.9</v>
      </c>
      <c r="G48" s="358">
        <v>10.5</v>
      </c>
      <c r="H48" s="1267">
        <v>30.4</v>
      </c>
      <c r="I48" s="358">
        <v>7.1</v>
      </c>
      <c r="J48" s="1267">
        <v>30.6</v>
      </c>
      <c r="K48" s="358">
        <v>9.6999999999999993</v>
      </c>
      <c r="L48" s="1267">
        <v>30.4</v>
      </c>
      <c r="M48" s="358">
        <v>8.1</v>
      </c>
      <c r="N48" s="1204">
        <f>AVERAGE('2.6'!G96:G97)</f>
        <v>533.09050000000002</v>
      </c>
      <c r="O48" s="3596">
        <f t="shared" si="8"/>
        <v>227.096553</v>
      </c>
      <c r="P48" s="161">
        <f t="shared" si="6"/>
        <v>58.1068645</v>
      </c>
      <c r="Q48" s="1204">
        <f>AVERAGE('2.6'!B96:B97)</f>
        <v>1320.2260000000001</v>
      </c>
      <c r="R48" s="3596">
        <f t="shared" si="9"/>
        <v>551.854468</v>
      </c>
      <c r="S48" s="161">
        <f t="shared" si="10"/>
        <v>175.59005800000003</v>
      </c>
      <c r="T48" s="1204">
        <f>AVERAGE('2.6'!Q96:Q97)</f>
        <v>28571</v>
      </c>
      <c r="U48" s="3596">
        <f t="shared" si="7"/>
        <v>11685.538999999999</v>
      </c>
      <c r="V48" s="171">
        <f>T48*(G48/100)</f>
        <v>2999.9549999999999</v>
      </c>
    </row>
    <row r="49" spans="1:22">
      <c r="A49" s="1301" t="s">
        <v>936</v>
      </c>
      <c r="B49" s="1319">
        <v>39.799999999999997</v>
      </c>
      <c r="C49" s="358">
        <v>9.1</v>
      </c>
      <c r="D49" s="1267">
        <v>38.299999999999997</v>
      </c>
      <c r="E49" s="358">
        <v>7.4</v>
      </c>
      <c r="F49" s="1267">
        <v>42</v>
      </c>
      <c r="G49" s="358">
        <v>10.5</v>
      </c>
      <c r="H49" s="1267">
        <v>28</v>
      </c>
      <c r="I49" s="358">
        <v>6</v>
      </c>
      <c r="J49" s="1267">
        <v>29.1</v>
      </c>
      <c r="K49" s="358">
        <v>5.8</v>
      </c>
      <c r="L49" s="1267">
        <v>31.6</v>
      </c>
      <c r="M49" s="358">
        <v>7.8</v>
      </c>
      <c r="N49" s="1204">
        <f>AVERAGE('2.6'!G98:G99)</f>
        <v>535.22149999999999</v>
      </c>
      <c r="O49" s="3596">
        <f t="shared" si="8"/>
        <v>213.01815699999997</v>
      </c>
      <c r="P49" s="161">
        <f t="shared" si="6"/>
        <v>48.705156500000001</v>
      </c>
      <c r="Q49" s="1204">
        <f>AVERAGE('2.6'!B98:B99)</f>
        <v>1323.7849999999999</v>
      </c>
      <c r="R49" s="3596">
        <f t="shared" si="9"/>
        <v>507.0096549999999</v>
      </c>
      <c r="S49" s="161">
        <f t="shared" si="10"/>
        <v>97.960090000000008</v>
      </c>
      <c r="T49" s="1204">
        <f>AVERAGE('2.6'!Q98:Q99)</f>
        <v>28623</v>
      </c>
      <c r="U49" s="3596">
        <f t="shared" si="7"/>
        <v>12021.66</v>
      </c>
      <c r="V49" s="171">
        <f t="shared" si="11"/>
        <v>3005.415</v>
      </c>
    </row>
    <row r="50" spans="1:22">
      <c r="A50" s="1301" t="s">
        <v>937</v>
      </c>
      <c r="B50" s="1319">
        <v>50.5</v>
      </c>
      <c r="C50" s="358">
        <v>10.4</v>
      </c>
      <c r="D50" s="1267">
        <v>39.4</v>
      </c>
      <c r="E50" s="358">
        <v>10.6</v>
      </c>
      <c r="F50" s="1267">
        <v>40.6</v>
      </c>
      <c r="G50" s="358">
        <v>10.7</v>
      </c>
      <c r="H50" s="1267">
        <v>36.799999999999997</v>
      </c>
      <c r="I50" s="358">
        <v>7.2</v>
      </c>
      <c r="J50" s="1267">
        <v>28.3</v>
      </c>
      <c r="K50" s="358">
        <v>7.9</v>
      </c>
      <c r="L50" s="1267">
        <v>31.2</v>
      </c>
      <c r="M50" s="358">
        <v>8.1999999999999993</v>
      </c>
      <c r="N50" s="1204">
        <f>AVERAGE('2.6'!G100:G101)</f>
        <v>537.06750000000011</v>
      </c>
      <c r="O50" s="3596">
        <f t="shared" ref="O50:O59" si="12">N50*(B50/100)</f>
        <v>271.21908750000006</v>
      </c>
      <c r="P50" s="161">
        <f t="shared" ref="P50:P59" si="13">N50*(C50/100)</f>
        <v>55.855020000000017</v>
      </c>
      <c r="Q50" s="1204">
        <f>AVERAGE('2.6'!B100:B101)</f>
        <v>1328.3585</v>
      </c>
      <c r="R50" s="3596">
        <f t="shared" si="9"/>
        <v>523.37324899999999</v>
      </c>
      <c r="S50" s="161">
        <f t="shared" si="10"/>
        <v>140.80600100000001</v>
      </c>
      <c r="T50" s="1204">
        <f>AVERAGE('2.6'!Q100:Q101)</f>
        <v>28839.5</v>
      </c>
      <c r="U50" s="3596">
        <f t="shared" ref="U50:U59" si="14">T50*(F50/100)</f>
        <v>11708.837000000001</v>
      </c>
      <c r="V50" s="171">
        <f t="shared" ref="V50:V59" si="15">T50*(G50/100)</f>
        <v>3085.8265000000001</v>
      </c>
    </row>
    <row r="51" spans="1:22">
      <c r="A51" s="1301" t="s">
        <v>938</v>
      </c>
      <c r="B51" s="1319">
        <v>38.6</v>
      </c>
      <c r="C51" s="358">
        <v>8.8000000000000007</v>
      </c>
      <c r="D51" s="1267">
        <v>33</v>
      </c>
      <c r="E51" s="358">
        <v>7.2</v>
      </c>
      <c r="F51" s="1267">
        <v>37.299999999999997</v>
      </c>
      <c r="G51" s="358">
        <v>8.1999999999999993</v>
      </c>
      <c r="H51" s="1267">
        <v>27.9</v>
      </c>
      <c r="I51" s="358">
        <v>5.5</v>
      </c>
      <c r="J51" s="1267">
        <v>24.8</v>
      </c>
      <c r="K51" s="358">
        <v>5.6</v>
      </c>
      <c r="L51" s="1267">
        <v>27.9</v>
      </c>
      <c r="M51" s="358">
        <v>6.1</v>
      </c>
      <c r="N51" s="1204">
        <f>AVERAGE('2.6'!G102:G103)</f>
        <v>539.29899999999998</v>
      </c>
      <c r="O51" s="3596">
        <f t="shared" si="12"/>
        <v>208.16941399999999</v>
      </c>
      <c r="P51" s="161">
        <f t="shared" si="13"/>
        <v>47.458311999999999</v>
      </c>
      <c r="Q51" s="1204">
        <f>AVERAGE('2.6'!B102:B103)</f>
        <v>1331.7804999999998</v>
      </c>
      <c r="R51" s="3596">
        <f t="shared" si="9"/>
        <v>439.48756499999996</v>
      </c>
      <c r="S51" s="161">
        <f t="shared" si="10"/>
        <v>95.888195999999994</v>
      </c>
      <c r="T51" s="1204">
        <f>AVERAGE('2.6'!Q102:Q103)</f>
        <v>28973</v>
      </c>
      <c r="U51" s="3596">
        <f t="shared" si="14"/>
        <v>10806.929</v>
      </c>
      <c r="V51" s="171">
        <f t="shared" si="15"/>
        <v>2375.7859999999996</v>
      </c>
    </row>
    <row r="52" spans="1:22">
      <c r="A52" s="1301" t="s">
        <v>939</v>
      </c>
      <c r="B52" s="1321">
        <v>39.1</v>
      </c>
      <c r="C52" s="358">
        <v>7.8</v>
      </c>
      <c r="D52" s="1267">
        <v>31.2</v>
      </c>
      <c r="E52" s="358">
        <v>3.6</v>
      </c>
      <c r="F52" s="1267">
        <v>36.5</v>
      </c>
      <c r="G52" s="358">
        <v>8.8000000000000007</v>
      </c>
      <c r="H52" s="1267">
        <v>27.8</v>
      </c>
      <c r="I52" s="358">
        <v>5.7</v>
      </c>
      <c r="J52" s="1267">
        <v>22.8</v>
      </c>
      <c r="K52" s="358">
        <v>3.7</v>
      </c>
      <c r="L52" s="1267">
        <v>27.7</v>
      </c>
      <c r="M52" s="358">
        <v>6.8</v>
      </c>
      <c r="N52" s="1204">
        <f>AVERAGE('2.6'!G104:G105)</f>
        <v>541.48399999999992</v>
      </c>
      <c r="O52" s="3596">
        <f t="shared" si="12"/>
        <v>211.72024399999998</v>
      </c>
      <c r="P52" s="161">
        <f t="shared" si="13"/>
        <v>42.235751999999991</v>
      </c>
      <c r="Q52" s="1204">
        <f>AVERAGE('2.6'!B104:B105)</f>
        <v>1335.9929999999999</v>
      </c>
      <c r="R52" s="3596">
        <f t="shared" si="9"/>
        <v>416.82981599999999</v>
      </c>
      <c r="S52" s="161">
        <f t="shared" si="10"/>
        <v>48.095748</v>
      </c>
      <c r="T52" s="1204">
        <f>AVERAGE('2.6'!Q104:Q105)</f>
        <v>29105</v>
      </c>
      <c r="U52" s="3596">
        <f t="shared" si="14"/>
        <v>10623.324999999999</v>
      </c>
      <c r="V52" s="171">
        <f t="shared" si="15"/>
        <v>2561.2400000000002</v>
      </c>
    </row>
    <row r="53" spans="1:22">
      <c r="A53" s="1301" t="s">
        <v>940</v>
      </c>
      <c r="B53" s="1319">
        <v>39.5</v>
      </c>
      <c r="C53" s="358">
        <v>6</v>
      </c>
      <c r="D53" s="1267">
        <v>33.200000000000003</v>
      </c>
      <c r="E53" s="358">
        <v>6.3</v>
      </c>
      <c r="F53" s="1267">
        <v>39.200000000000003</v>
      </c>
      <c r="G53" s="358">
        <v>8.1</v>
      </c>
      <c r="H53" s="1267">
        <v>29.8</v>
      </c>
      <c r="I53" s="358">
        <v>4</v>
      </c>
      <c r="J53" s="1267">
        <v>24.6</v>
      </c>
      <c r="K53" s="358">
        <v>4.8</v>
      </c>
      <c r="L53" s="1267">
        <v>29.9</v>
      </c>
      <c r="M53" s="358">
        <v>6.2</v>
      </c>
      <c r="N53" s="1204">
        <f>AVERAGE('2.6'!G106:G107)</f>
        <v>543.51900000000001</v>
      </c>
      <c r="O53" s="3596">
        <f t="shared" si="12"/>
        <v>214.69000500000001</v>
      </c>
      <c r="P53" s="161">
        <f t="shared" si="13"/>
        <v>32.611139999999999</v>
      </c>
      <c r="Q53" s="1204">
        <f>AVERAGE('2.6'!B106:B107)</f>
        <v>1339.7649999999999</v>
      </c>
      <c r="R53" s="3596">
        <f t="shared" si="9"/>
        <v>444.80197999999996</v>
      </c>
      <c r="S53" s="161">
        <f t="shared" si="10"/>
        <v>84.405194999999992</v>
      </c>
      <c r="T53" s="1204">
        <f>AVERAGE('2.6'!Q106:Q107)</f>
        <v>29236.5</v>
      </c>
      <c r="U53" s="3596">
        <f t="shared" si="14"/>
        <v>11460.708000000001</v>
      </c>
      <c r="V53" s="171">
        <f t="shared" si="15"/>
        <v>2368.1565000000001</v>
      </c>
    </row>
    <row r="54" spans="1:22">
      <c r="A54" s="1301" t="s">
        <v>941</v>
      </c>
      <c r="B54" s="1319">
        <v>43</v>
      </c>
      <c r="C54" s="358">
        <v>10</v>
      </c>
      <c r="D54" s="1267">
        <v>33.5</v>
      </c>
      <c r="E54" s="358">
        <v>6.2</v>
      </c>
      <c r="F54" s="1267">
        <v>40.1</v>
      </c>
      <c r="G54" s="358">
        <v>9.3000000000000007</v>
      </c>
      <c r="H54" s="1267">
        <v>32.4</v>
      </c>
      <c r="I54" s="358">
        <v>6.6</v>
      </c>
      <c r="J54" s="1267">
        <v>24.4</v>
      </c>
      <c r="K54" s="358">
        <v>5.4</v>
      </c>
      <c r="L54" s="1267">
        <v>29.6</v>
      </c>
      <c r="M54" s="358">
        <v>6.8</v>
      </c>
      <c r="N54" s="1204">
        <f>AVERAGE('2.6'!G108:G109)</f>
        <v>545.64449999999999</v>
      </c>
      <c r="O54" s="3596">
        <f>N54*(B54/100)</f>
        <v>234.62713499999998</v>
      </c>
      <c r="P54" s="161">
        <f t="shared" si="13"/>
        <v>54.564450000000001</v>
      </c>
      <c r="Q54" s="1204">
        <f>AVERAGE('2.6'!B108:B109)</f>
        <v>1344.1224999999999</v>
      </c>
      <c r="R54" s="3596">
        <f t="shared" si="9"/>
        <v>450.28103750000002</v>
      </c>
      <c r="S54" s="161">
        <f t="shared" si="10"/>
        <v>83.335594999999998</v>
      </c>
      <c r="T54" s="1204">
        <f>AVERAGE('2.6'!Q108:Q109)</f>
        <v>29367</v>
      </c>
      <c r="U54" s="3596">
        <f t="shared" si="14"/>
        <v>11776.167000000001</v>
      </c>
      <c r="V54" s="171">
        <f t="shared" si="15"/>
        <v>2731.1310000000003</v>
      </c>
    </row>
    <row r="55" spans="1:22">
      <c r="A55" s="1301" t="s">
        <v>942</v>
      </c>
      <c r="B55" s="1319">
        <v>48.9</v>
      </c>
      <c r="C55" s="358">
        <v>15.3</v>
      </c>
      <c r="D55" s="1267">
        <v>36.6</v>
      </c>
      <c r="E55" s="358">
        <v>10.8</v>
      </c>
      <c r="F55" s="1267">
        <v>41.7</v>
      </c>
      <c r="G55" s="358">
        <v>11.9</v>
      </c>
      <c r="H55" s="1267">
        <v>36.200000000000003</v>
      </c>
      <c r="I55" s="358">
        <v>9.6</v>
      </c>
      <c r="J55" s="1267">
        <v>28.6</v>
      </c>
      <c r="K55" s="358">
        <v>8.6999999999999993</v>
      </c>
      <c r="L55" s="1267">
        <v>31.8</v>
      </c>
      <c r="M55" s="358">
        <v>8.6999999999999993</v>
      </c>
      <c r="N55" s="1204">
        <f>AVERAGE('2.6'!G110:G111)</f>
        <v>547.82449999999994</v>
      </c>
      <c r="O55" s="3596">
        <f t="shared" si="12"/>
        <v>267.88618049999997</v>
      </c>
      <c r="P55" s="161">
        <f t="shared" si="13"/>
        <v>83.817148499999988</v>
      </c>
      <c r="Q55" s="1204">
        <f>AVERAGE('2.6'!B110:B111)</f>
        <v>1347.9315000000001</v>
      </c>
      <c r="R55" s="3596">
        <f t="shared" si="9"/>
        <v>493.34292900000003</v>
      </c>
      <c r="S55" s="161">
        <f t="shared" si="10"/>
        <v>145.57660200000004</v>
      </c>
      <c r="T55" s="1204">
        <f>AVERAGE('2.6'!Q110:Q111)</f>
        <v>29496.5</v>
      </c>
      <c r="U55" s="3596">
        <f t="shared" si="14"/>
        <v>12300.040500000001</v>
      </c>
      <c r="V55" s="171">
        <f t="shared" si="15"/>
        <v>3510.0835000000002</v>
      </c>
    </row>
    <row r="56" spans="1:22">
      <c r="A56" s="1301" t="s">
        <v>943</v>
      </c>
      <c r="B56" s="1319">
        <v>59.8</v>
      </c>
      <c r="C56" s="358">
        <v>16.399999999999999</v>
      </c>
      <c r="D56" s="1267">
        <v>46.8</v>
      </c>
      <c r="E56" s="358">
        <v>18.2</v>
      </c>
      <c r="F56" s="1267">
        <v>52.9</v>
      </c>
      <c r="G56" s="358">
        <v>18.100000000000001</v>
      </c>
      <c r="H56" s="1267">
        <v>48.4</v>
      </c>
      <c r="I56" s="358">
        <v>12.1</v>
      </c>
      <c r="J56" s="1267">
        <v>37.1</v>
      </c>
      <c r="K56" s="358">
        <v>13.6</v>
      </c>
      <c r="L56" s="1267">
        <v>42.5</v>
      </c>
      <c r="M56" s="358">
        <v>13.6</v>
      </c>
      <c r="N56" s="1204">
        <f>AVERAGE('2.6'!G112:G113)</f>
        <v>549.54099999999994</v>
      </c>
      <c r="O56" s="3596">
        <f t="shared" si="12"/>
        <v>328.62551799999994</v>
      </c>
      <c r="P56" s="161">
        <f t="shared" si="13"/>
        <v>90.124723999999972</v>
      </c>
      <c r="Q56" s="1204">
        <f>AVERAGE('2.6'!B112:B113)</f>
        <v>1351.8910000000001</v>
      </c>
      <c r="R56" s="3596">
        <f t="shared" si="9"/>
        <v>632.68498799999998</v>
      </c>
      <c r="S56" s="161">
        <f t="shared" si="10"/>
        <v>246.044162</v>
      </c>
      <c r="T56" s="1204">
        <f>AVERAGE('2.6'!Q112:Q113)</f>
        <v>29624.671000000002</v>
      </c>
      <c r="U56" s="3596">
        <f t="shared" si="14"/>
        <v>15671.450959000002</v>
      </c>
      <c r="V56" s="171">
        <f t="shared" si="15"/>
        <v>5362.0654510000013</v>
      </c>
    </row>
    <row r="57" spans="1:22">
      <c r="A57" s="1301" t="s">
        <v>944</v>
      </c>
      <c r="B57" s="1319">
        <v>43.4</v>
      </c>
      <c r="C57" s="358">
        <v>7.9</v>
      </c>
      <c r="D57" s="1267">
        <v>32.4</v>
      </c>
      <c r="E57" s="358">
        <v>8.5</v>
      </c>
      <c r="F57" s="1267">
        <v>38.1</v>
      </c>
      <c r="G57" s="358">
        <v>8.1999999999999993</v>
      </c>
      <c r="H57" s="1267">
        <v>31.2</v>
      </c>
      <c r="I57" s="358">
        <v>5</v>
      </c>
      <c r="J57" s="1267">
        <v>23.8</v>
      </c>
      <c r="K57" s="358">
        <v>6.4</v>
      </c>
      <c r="L57" s="1267">
        <v>28.6</v>
      </c>
      <c r="M57" s="358">
        <v>6.4</v>
      </c>
      <c r="N57" s="1204">
        <f>AVERAGE('2.6'!G114:G115)</f>
        <v>551.46049999999991</v>
      </c>
      <c r="O57" s="3596">
        <f t="shared" si="12"/>
        <v>239.33385699999997</v>
      </c>
      <c r="P57" s="161">
        <f t="shared" si="13"/>
        <v>43.565379499999992</v>
      </c>
      <c r="Q57" s="1204">
        <f>AVERAGE('2.6'!B114:B115)</f>
        <v>1355.53</v>
      </c>
      <c r="R57" s="3596">
        <f t="shared" si="9"/>
        <v>439.19172000000003</v>
      </c>
      <c r="S57" s="161">
        <f t="shared" si="10"/>
        <v>115.22005</v>
      </c>
      <c r="T57" s="1204">
        <f>AVERAGE('2.6'!Q114:Q115)</f>
        <v>29752</v>
      </c>
      <c r="U57" s="3596">
        <f t="shared" si="14"/>
        <v>11335.512000000001</v>
      </c>
      <c r="V57" s="171">
        <f t="shared" si="15"/>
        <v>2439.6639999999998</v>
      </c>
    </row>
    <row r="58" spans="1:22">
      <c r="A58" s="1301" t="s">
        <v>945</v>
      </c>
      <c r="B58" s="1319">
        <v>35.799999999999997</v>
      </c>
      <c r="C58" s="358">
        <v>6.3</v>
      </c>
      <c r="D58" s="1267">
        <v>28.1</v>
      </c>
      <c r="E58" s="358">
        <v>6.2</v>
      </c>
      <c r="F58" s="1267">
        <v>31.6</v>
      </c>
      <c r="G58" s="358">
        <v>6.9</v>
      </c>
      <c r="H58" s="1267">
        <v>26.5</v>
      </c>
      <c r="I58" s="358">
        <v>4.5999999999999996</v>
      </c>
      <c r="J58" s="1267">
        <v>21.7</v>
      </c>
      <c r="K58" s="358">
        <v>6</v>
      </c>
      <c r="L58" s="1267">
        <v>24.1</v>
      </c>
      <c r="M58" s="358">
        <v>5.6</v>
      </c>
      <c r="N58" s="1204">
        <f>AVERAGE('2.6'!G116:G117)</f>
        <v>553.72199999999998</v>
      </c>
      <c r="O58" s="3596">
        <f t="shared" si="12"/>
        <v>198.23247599999999</v>
      </c>
      <c r="P58" s="161">
        <f t="shared" si="13"/>
        <v>34.884485999999995</v>
      </c>
      <c r="Q58" s="1204">
        <f>AVERAGE('2.6'!B116:B117)</f>
        <v>1359.3</v>
      </c>
      <c r="R58" s="3596">
        <f t="shared" si="9"/>
        <v>381.9633</v>
      </c>
      <c r="S58" s="161">
        <f t="shared" si="10"/>
        <v>84.276600000000002</v>
      </c>
      <c r="T58" s="1204">
        <f>AVERAGE('2.6'!Q116:Q117)</f>
        <v>29878.335500000001</v>
      </c>
      <c r="U58" s="3596">
        <f t="shared" si="14"/>
        <v>9441.5540180000007</v>
      </c>
      <c r="V58" s="171">
        <f t="shared" si="15"/>
        <v>2061.6051495000002</v>
      </c>
    </row>
    <row r="59" spans="1:22">
      <c r="A59" s="1301" t="s">
        <v>946</v>
      </c>
      <c r="B59" s="1319" t="e">
        <v>#N/A</v>
      </c>
      <c r="C59" s="358" t="e">
        <v>#N/A</v>
      </c>
      <c r="D59" s="1267" t="e">
        <v>#N/A</v>
      </c>
      <c r="E59" s="358" t="e">
        <v>#N/A</v>
      </c>
      <c r="F59" s="1267" t="e">
        <v>#N/A</v>
      </c>
      <c r="G59" s="358" t="e">
        <v>#N/A</v>
      </c>
      <c r="H59" s="1267" t="e">
        <v>#N/A</v>
      </c>
      <c r="I59" s="358" t="e">
        <v>#N/A</v>
      </c>
      <c r="J59" s="1267" t="e">
        <v>#N/A</v>
      </c>
      <c r="K59" s="358" t="e">
        <v>#N/A</v>
      </c>
      <c r="L59" s="1267" t="e">
        <v>#N/A</v>
      </c>
      <c r="M59" s="358" t="e">
        <v>#N/A</v>
      </c>
      <c r="N59" s="1204">
        <f>AVERAGE('2.6'!G118:G119)</f>
        <v>555.5</v>
      </c>
      <c r="O59" s="3596" t="e">
        <f t="shared" si="12"/>
        <v>#N/A</v>
      </c>
      <c r="P59" s="161" t="e">
        <f t="shared" si="13"/>
        <v>#N/A</v>
      </c>
      <c r="Q59" s="1204">
        <f>AVERAGE('2.6'!B118:B119)</f>
        <v>1363.0304999999998</v>
      </c>
      <c r="R59" s="3596" t="e">
        <f t="shared" si="9"/>
        <v>#N/A</v>
      </c>
      <c r="S59" s="161" t="e">
        <f t="shared" si="10"/>
        <v>#N/A</v>
      </c>
      <c r="T59" s="1204">
        <f>AVERAGE('2.6'!Q118:Q119)</f>
        <v>30001.636500000001</v>
      </c>
      <c r="U59" s="3596" t="e">
        <f t="shared" si="14"/>
        <v>#N/A</v>
      </c>
      <c r="V59" s="171" t="e">
        <f t="shared" si="15"/>
        <v>#N/A</v>
      </c>
    </row>
    <row r="60" spans="1:22">
      <c r="A60" s="1301" t="s">
        <v>947</v>
      </c>
      <c r="B60" s="1319" t="e">
        <v>#N/A</v>
      </c>
      <c r="C60" s="358" t="e">
        <v>#N/A</v>
      </c>
      <c r="D60" s="1267" t="e">
        <v>#N/A</v>
      </c>
      <c r="E60" s="358" t="e">
        <v>#N/A</v>
      </c>
      <c r="F60" s="1267" t="e">
        <v>#N/A</v>
      </c>
      <c r="G60" s="358" t="e">
        <v>#N/A</v>
      </c>
      <c r="H60" s="1267" t="e">
        <v>#N/A</v>
      </c>
      <c r="I60" s="358" t="e">
        <v>#N/A</v>
      </c>
      <c r="J60" s="1267" t="e">
        <v>#N/A</v>
      </c>
      <c r="K60" s="358" t="e">
        <v>#N/A</v>
      </c>
      <c r="L60" s="1267" t="e">
        <v>#N/A</v>
      </c>
      <c r="M60" s="358" t="e">
        <v>#N/A</v>
      </c>
      <c r="N60" s="1204" t="e">
        <f>AVERAGE('2.6'!G120:G121)</f>
        <v>#N/A</v>
      </c>
      <c r="O60" s="3596" t="e">
        <f t="shared" ref="O60:O66" si="16">N60*(B60/100)</f>
        <v>#N/A</v>
      </c>
      <c r="P60" s="161" t="e">
        <f t="shared" ref="P60:P66" si="17">N60*(C60/100)</f>
        <v>#N/A</v>
      </c>
      <c r="Q60" s="1204" t="e">
        <f>AVERAGE('2.6'!B120:B121)</f>
        <v>#N/A</v>
      </c>
      <c r="R60" s="3596" t="e">
        <f t="shared" ref="R60:R66" si="18">Q60*(D60/100)</f>
        <v>#N/A</v>
      </c>
      <c r="S60" s="161" t="e">
        <f t="shared" ref="S60:S66" si="19">Q60*(E60/100)</f>
        <v>#N/A</v>
      </c>
      <c r="T60" s="1204" t="e">
        <f>AVERAGE('2.6'!Q120:Q121)</f>
        <v>#N/A</v>
      </c>
      <c r="U60" s="3596" t="e">
        <f t="shared" ref="U60:U66" si="20">T60*(F60/100)</f>
        <v>#N/A</v>
      </c>
      <c r="V60" s="171" t="e">
        <f t="shared" ref="V60:V66" si="21">T60*(G60/100)</f>
        <v>#N/A</v>
      </c>
    </row>
    <row r="61" spans="1:22">
      <c r="A61" s="1301" t="s">
        <v>948</v>
      </c>
      <c r="B61" s="1319" t="e">
        <v>#N/A</v>
      </c>
      <c r="C61" s="358" t="e">
        <v>#N/A</v>
      </c>
      <c r="D61" s="1267" t="e">
        <v>#N/A</v>
      </c>
      <c r="E61" s="358" t="e">
        <v>#N/A</v>
      </c>
      <c r="F61" s="1267" t="e">
        <v>#N/A</v>
      </c>
      <c r="G61" s="358" t="e">
        <v>#N/A</v>
      </c>
      <c r="H61" s="1267" t="e">
        <v>#N/A</v>
      </c>
      <c r="I61" s="358" t="e">
        <v>#N/A</v>
      </c>
      <c r="J61" s="1267" t="e">
        <v>#N/A</v>
      </c>
      <c r="K61" s="358" t="e">
        <v>#N/A</v>
      </c>
      <c r="L61" s="1267" t="e">
        <v>#N/A</v>
      </c>
      <c r="M61" s="358" t="e">
        <v>#N/A</v>
      </c>
      <c r="N61" s="1204" t="e">
        <f>AVERAGE('2.6'!G122:G123)</f>
        <v>#N/A</v>
      </c>
      <c r="O61" s="3596" t="e">
        <f t="shared" si="16"/>
        <v>#N/A</v>
      </c>
      <c r="P61" s="161" t="e">
        <f t="shared" si="17"/>
        <v>#N/A</v>
      </c>
      <c r="Q61" s="1204" t="e">
        <f>AVERAGE('2.6'!B122:B123)</f>
        <v>#N/A</v>
      </c>
      <c r="R61" s="3596" t="e">
        <f t="shared" si="18"/>
        <v>#N/A</v>
      </c>
      <c r="S61" s="161" t="e">
        <f t="shared" si="19"/>
        <v>#N/A</v>
      </c>
      <c r="T61" s="1204" t="e">
        <f>AVERAGE('2.6'!Q122:Q123)</f>
        <v>#N/A</v>
      </c>
      <c r="U61" s="3596" t="e">
        <f t="shared" si="20"/>
        <v>#N/A</v>
      </c>
      <c r="V61" s="171" t="e">
        <f t="shared" si="21"/>
        <v>#N/A</v>
      </c>
    </row>
    <row r="62" spans="1:22">
      <c r="A62" s="1301" t="s">
        <v>949</v>
      </c>
      <c r="B62" s="1319" t="e">
        <v>#N/A</v>
      </c>
      <c r="C62" s="358" t="e">
        <v>#N/A</v>
      </c>
      <c r="D62" s="1267" t="e">
        <v>#N/A</v>
      </c>
      <c r="E62" s="358" t="e">
        <v>#N/A</v>
      </c>
      <c r="F62" s="1267" t="e">
        <v>#N/A</v>
      </c>
      <c r="G62" s="358" t="e">
        <v>#N/A</v>
      </c>
      <c r="H62" s="1267" t="e">
        <v>#N/A</v>
      </c>
      <c r="I62" s="358" t="e">
        <v>#N/A</v>
      </c>
      <c r="J62" s="1267" t="e">
        <v>#N/A</v>
      </c>
      <c r="K62" s="358" t="e">
        <v>#N/A</v>
      </c>
      <c r="L62" s="1267" t="e">
        <v>#N/A</v>
      </c>
      <c r="M62" s="358" t="e">
        <v>#N/A</v>
      </c>
      <c r="N62" s="1204" t="e">
        <f>AVERAGE('2.6'!G124:G125)</f>
        <v>#N/A</v>
      </c>
      <c r="O62" s="3596" t="e">
        <f t="shared" si="16"/>
        <v>#N/A</v>
      </c>
      <c r="P62" s="161" t="e">
        <f t="shared" si="17"/>
        <v>#N/A</v>
      </c>
      <c r="Q62" s="1204" t="e">
        <f>AVERAGE('2.6'!B124:B125)</f>
        <v>#N/A</v>
      </c>
      <c r="R62" s="3596" t="e">
        <f t="shared" si="18"/>
        <v>#N/A</v>
      </c>
      <c r="S62" s="161" t="e">
        <f t="shared" si="19"/>
        <v>#N/A</v>
      </c>
      <c r="T62" s="1204" t="e">
        <f>AVERAGE('2.6'!Q124:Q125)</f>
        <v>#N/A</v>
      </c>
      <c r="U62" s="3596" t="e">
        <f t="shared" si="20"/>
        <v>#N/A</v>
      </c>
      <c r="V62" s="171" t="e">
        <f t="shared" si="21"/>
        <v>#N/A</v>
      </c>
    </row>
    <row r="63" spans="1:22">
      <c r="A63" s="1301" t="s">
        <v>950</v>
      </c>
      <c r="B63" s="1319" t="e">
        <v>#N/A</v>
      </c>
      <c r="C63" s="358" t="e">
        <v>#N/A</v>
      </c>
      <c r="D63" s="1267" t="e">
        <v>#N/A</v>
      </c>
      <c r="E63" s="358" t="e">
        <v>#N/A</v>
      </c>
      <c r="F63" s="1267" t="e">
        <v>#N/A</v>
      </c>
      <c r="G63" s="358" t="e">
        <v>#N/A</v>
      </c>
      <c r="H63" s="1267" t="e">
        <v>#N/A</v>
      </c>
      <c r="I63" s="358" t="e">
        <v>#N/A</v>
      </c>
      <c r="J63" s="1267" t="e">
        <v>#N/A</v>
      </c>
      <c r="K63" s="358" t="e">
        <v>#N/A</v>
      </c>
      <c r="L63" s="1267" t="e">
        <v>#N/A</v>
      </c>
      <c r="M63" s="358" t="e">
        <v>#N/A</v>
      </c>
      <c r="N63" s="1204" t="e">
        <f>AVERAGE('2.6'!G126:G127)</f>
        <v>#N/A</v>
      </c>
      <c r="O63" s="3596" t="e">
        <f t="shared" si="16"/>
        <v>#N/A</v>
      </c>
      <c r="P63" s="161" t="e">
        <f t="shared" si="17"/>
        <v>#N/A</v>
      </c>
      <c r="Q63" s="1204" t="e">
        <f>AVERAGE('2.6'!B126:B127)</f>
        <v>#N/A</v>
      </c>
      <c r="R63" s="3596" t="e">
        <f t="shared" si="18"/>
        <v>#N/A</v>
      </c>
      <c r="S63" s="161" t="e">
        <f t="shared" si="19"/>
        <v>#N/A</v>
      </c>
      <c r="T63" s="1204" t="e">
        <f>AVERAGE('2.6'!Q126:Q127)</f>
        <v>#N/A</v>
      </c>
      <c r="U63" s="3596" t="e">
        <f t="shared" si="20"/>
        <v>#N/A</v>
      </c>
      <c r="V63" s="171" t="e">
        <f t="shared" si="21"/>
        <v>#N/A</v>
      </c>
    </row>
    <row r="64" spans="1:22">
      <c r="A64" s="1301" t="s">
        <v>951</v>
      </c>
      <c r="B64" s="1319" t="e">
        <v>#N/A</v>
      </c>
      <c r="C64" s="358" t="e">
        <v>#N/A</v>
      </c>
      <c r="D64" s="1267" t="e">
        <v>#N/A</v>
      </c>
      <c r="E64" s="358" t="e">
        <v>#N/A</v>
      </c>
      <c r="F64" s="1267" t="e">
        <v>#N/A</v>
      </c>
      <c r="G64" s="358" t="e">
        <v>#N/A</v>
      </c>
      <c r="H64" s="1267" t="e">
        <v>#N/A</v>
      </c>
      <c r="I64" s="358" t="e">
        <v>#N/A</v>
      </c>
      <c r="J64" s="1267" t="e">
        <v>#N/A</v>
      </c>
      <c r="K64" s="358" t="e">
        <v>#N/A</v>
      </c>
      <c r="L64" s="1267" t="e">
        <v>#N/A</v>
      </c>
      <c r="M64" s="358" t="e">
        <v>#N/A</v>
      </c>
      <c r="N64" s="1204" t="e">
        <f>AVERAGE('2.6'!G128:G129)</f>
        <v>#N/A</v>
      </c>
      <c r="O64" s="3596" t="e">
        <f t="shared" si="16"/>
        <v>#N/A</v>
      </c>
      <c r="P64" s="161" t="e">
        <f t="shared" si="17"/>
        <v>#N/A</v>
      </c>
      <c r="Q64" s="1204" t="e">
        <f>AVERAGE('2.6'!B128:B129)</f>
        <v>#N/A</v>
      </c>
      <c r="R64" s="3596" t="e">
        <f t="shared" si="18"/>
        <v>#N/A</v>
      </c>
      <c r="S64" s="161" t="e">
        <f t="shared" si="19"/>
        <v>#N/A</v>
      </c>
      <c r="T64" s="1204" t="e">
        <f>AVERAGE('2.6'!Q128:Q129)</f>
        <v>#N/A</v>
      </c>
      <c r="U64" s="3596" t="e">
        <f t="shared" si="20"/>
        <v>#N/A</v>
      </c>
      <c r="V64" s="171" t="e">
        <f t="shared" si="21"/>
        <v>#N/A</v>
      </c>
    </row>
    <row r="65" spans="1:22">
      <c r="A65" s="1301" t="s">
        <v>952</v>
      </c>
      <c r="B65" s="1319" t="e">
        <v>#N/A</v>
      </c>
      <c r="C65" s="358" t="e">
        <v>#N/A</v>
      </c>
      <c r="D65" s="1267" t="e">
        <v>#N/A</v>
      </c>
      <c r="E65" s="358" t="e">
        <v>#N/A</v>
      </c>
      <c r="F65" s="1267" t="e">
        <v>#N/A</v>
      </c>
      <c r="G65" s="358" t="e">
        <v>#N/A</v>
      </c>
      <c r="H65" s="1267" t="e">
        <v>#N/A</v>
      </c>
      <c r="I65" s="358" t="e">
        <v>#N/A</v>
      </c>
      <c r="J65" s="1267" t="e">
        <v>#N/A</v>
      </c>
      <c r="K65" s="358" t="e">
        <v>#N/A</v>
      </c>
      <c r="L65" s="1267" t="e">
        <v>#N/A</v>
      </c>
      <c r="M65" s="358" t="e">
        <v>#N/A</v>
      </c>
      <c r="N65" s="1204" t="e">
        <f>AVERAGE('2.6'!G130:G131)</f>
        <v>#N/A</v>
      </c>
      <c r="O65" s="3596" t="e">
        <f t="shared" si="16"/>
        <v>#N/A</v>
      </c>
      <c r="P65" s="161" t="e">
        <f t="shared" si="17"/>
        <v>#N/A</v>
      </c>
      <c r="Q65" s="1204" t="e">
        <f>AVERAGE('2.6'!B130:B131)</f>
        <v>#N/A</v>
      </c>
      <c r="R65" s="3596" t="e">
        <f t="shared" si="18"/>
        <v>#N/A</v>
      </c>
      <c r="S65" s="161" t="e">
        <f t="shared" si="19"/>
        <v>#N/A</v>
      </c>
      <c r="T65" s="1204" t="e">
        <f>AVERAGE('2.6'!Q130:Q131)</f>
        <v>#N/A</v>
      </c>
      <c r="U65" s="3596" t="e">
        <f t="shared" si="20"/>
        <v>#N/A</v>
      </c>
      <c r="V65" s="171" t="e">
        <f t="shared" si="21"/>
        <v>#N/A</v>
      </c>
    </row>
    <row r="66" spans="1:22">
      <c r="A66" s="1301" t="s">
        <v>953</v>
      </c>
      <c r="B66" s="1319" t="e">
        <v>#N/A</v>
      </c>
      <c r="C66" s="358" t="e">
        <v>#N/A</v>
      </c>
      <c r="D66" s="1267" t="e">
        <v>#N/A</v>
      </c>
      <c r="E66" s="358" t="e">
        <v>#N/A</v>
      </c>
      <c r="F66" s="1267" t="e">
        <v>#N/A</v>
      </c>
      <c r="G66" s="358" t="e">
        <v>#N/A</v>
      </c>
      <c r="H66" s="1267" t="e">
        <v>#N/A</v>
      </c>
      <c r="I66" s="358" t="e">
        <v>#N/A</v>
      </c>
      <c r="J66" s="1267" t="e">
        <v>#N/A</v>
      </c>
      <c r="K66" s="358" t="e">
        <v>#N/A</v>
      </c>
      <c r="L66" s="1267" t="e">
        <v>#N/A</v>
      </c>
      <c r="M66" s="358" t="e">
        <v>#N/A</v>
      </c>
      <c r="N66" s="1204" t="e">
        <f>AVERAGE('2.6'!G132:G133)</f>
        <v>#N/A</v>
      </c>
      <c r="O66" s="3596" t="e">
        <f t="shared" si="16"/>
        <v>#N/A</v>
      </c>
      <c r="P66" s="161" t="e">
        <f t="shared" si="17"/>
        <v>#N/A</v>
      </c>
      <c r="Q66" s="1204" t="e">
        <f>AVERAGE('2.6'!B132:B133)</f>
        <v>#N/A</v>
      </c>
      <c r="R66" s="3596" t="e">
        <f t="shared" si="18"/>
        <v>#N/A</v>
      </c>
      <c r="S66" s="161" t="e">
        <f t="shared" si="19"/>
        <v>#N/A</v>
      </c>
      <c r="T66" s="1204" t="e">
        <f>AVERAGE('2.6'!Q132:Q133)</f>
        <v>#N/A</v>
      </c>
      <c r="U66" s="3596" t="e">
        <f t="shared" si="20"/>
        <v>#N/A</v>
      </c>
      <c r="V66" s="171" t="e">
        <f t="shared" si="21"/>
        <v>#N/A</v>
      </c>
    </row>
    <row r="67" spans="1:22">
      <c r="A67" s="1301" t="s">
        <v>954</v>
      </c>
      <c r="B67" s="1319" t="e">
        <v>#N/A</v>
      </c>
      <c r="C67" s="358" t="e">
        <v>#N/A</v>
      </c>
      <c r="D67" s="1267" t="e">
        <v>#N/A</v>
      </c>
      <c r="E67" s="358" t="e">
        <v>#N/A</v>
      </c>
      <c r="F67" s="1267" t="e">
        <v>#N/A</v>
      </c>
      <c r="G67" s="358" t="e">
        <v>#N/A</v>
      </c>
      <c r="H67" s="1267" t="e">
        <v>#N/A</v>
      </c>
      <c r="I67" s="358" t="e">
        <v>#N/A</v>
      </c>
      <c r="J67" s="1267" t="e">
        <v>#N/A</v>
      </c>
      <c r="K67" s="358" t="e">
        <v>#N/A</v>
      </c>
      <c r="L67" s="1267" t="e">
        <v>#N/A</v>
      </c>
      <c r="M67" s="358" t="e">
        <v>#N/A</v>
      </c>
      <c r="N67" s="1204" t="e">
        <f>AVERAGE('2.6'!G134:G135)</f>
        <v>#N/A</v>
      </c>
      <c r="O67" s="3596" t="e">
        <f t="shared" ref="O67:O69" si="22">N67*(B67/100)</f>
        <v>#N/A</v>
      </c>
      <c r="P67" s="161" t="e">
        <f t="shared" ref="P67:P69" si="23">N67*(C67/100)</f>
        <v>#N/A</v>
      </c>
      <c r="Q67" s="1204" t="e">
        <f>AVERAGE('2.6'!B134:B135)</f>
        <v>#N/A</v>
      </c>
      <c r="R67" s="3596" t="e">
        <f t="shared" ref="R67:R69" si="24">Q67*(D67/100)</f>
        <v>#N/A</v>
      </c>
      <c r="S67" s="161" t="e">
        <f t="shared" ref="S67:S69" si="25">Q67*(E67/100)</f>
        <v>#N/A</v>
      </c>
      <c r="T67" s="1204" t="e">
        <f>AVERAGE('2.6'!Q134:Q135)</f>
        <v>#N/A</v>
      </c>
      <c r="U67" s="3596" t="e">
        <f t="shared" ref="U67:U69" si="26">T67*(F67/100)</f>
        <v>#N/A</v>
      </c>
      <c r="V67" s="171" t="e">
        <f t="shared" ref="V67:V69" si="27">T67*(G67/100)</f>
        <v>#N/A</v>
      </c>
    </row>
    <row r="68" spans="1:22">
      <c r="A68" s="1301" t="s">
        <v>955</v>
      </c>
      <c r="B68" s="1319" t="e">
        <v>#N/A</v>
      </c>
      <c r="C68" s="358" t="e">
        <v>#N/A</v>
      </c>
      <c r="D68" s="1267" t="e">
        <v>#N/A</v>
      </c>
      <c r="E68" s="358" t="e">
        <v>#N/A</v>
      </c>
      <c r="F68" s="1267" t="e">
        <v>#N/A</v>
      </c>
      <c r="G68" s="358" t="e">
        <v>#N/A</v>
      </c>
      <c r="H68" s="1267" t="e">
        <v>#N/A</v>
      </c>
      <c r="I68" s="358" t="e">
        <v>#N/A</v>
      </c>
      <c r="J68" s="1267" t="e">
        <v>#N/A</v>
      </c>
      <c r="K68" s="358" t="e">
        <v>#N/A</v>
      </c>
      <c r="L68" s="1267" t="e">
        <v>#N/A</v>
      </c>
      <c r="M68" s="358" t="e">
        <v>#N/A</v>
      </c>
      <c r="N68" s="1204" t="e">
        <f>AVERAGE('2.6'!G136:G137)</f>
        <v>#N/A</v>
      </c>
      <c r="O68" s="3596" t="e">
        <f t="shared" si="22"/>
        <v>#N/A</v>
      </c>
      <c r="P68" s="161" t="e">
        <f t="shared" si="23"/>
        <v>#N/A</v>
      </c>
      <c r="Q68" s="1204" t="e">
        <f>AVERAGE('2.6'!B136:B137)</f>
        <v>#N/A</v>
      </c>
      <c r="R68" s="3596" t="e">
        <f t="shared" si="24"/>
        <v>#N/A</v>
      </c>
      <c r="S68" s="161" t="e">
        <f t="shared" si="25"/>
        <v>#N/A</v>
      </c>
      <c r="T68" s="1204" t="e">
        <f>AVERAGE('2.6'!Q136:Q137)</f>
        <v>#N/A</v>
      </c>
      <c r="U68" s="3596" t="e">
        <f t="shared" si="26"/>
        <v>#N/A</v>
      </c>
      <c r="V68" s="171" t="e">
        <f t="shared" si="27"/>
        <v>#N/A</v>
      </c>
    </row>
    <row r="69" spans="1:22">
      <c r="A69" s="1301" t="s">
        <v>956</v>
      </c>
      <c r="B69" s="1319" t="e">
        <v>#N/A</v>
      </c>
      <c r="C69" s="358" t="e">
        <v>#N/A</v>
      </c>
      <c r="D69" s="1267" t="e">
        <v>#N/A</v>
      </c>
      <c r="E69" s="358" t="e">
        <v>#N/A</v>
      </c>
      <c r="F69" s="1267" t="e">
        <v>#N/A</v>
      </c>
      <c r="G69" s="358" t="e">
        <v>#N/A</v>
      </c>
      <c r="H69" s="1267" t="e">
        <v>#N/A</v>
      </c>
      <c r="I69" s="358" t="e">
        <v>#N/A</v>
      </c>
      <c r="J69" s="1267" t="e">
        <v>#N/A</v>
      </c>
      <c r="K69" s="358" t="e">
        <v>#N/A</v>
      </c>
      <c r="L69" s="1267" t="e">
        <v>#N/A</v>
      </c>
      <c r="M69" s="358" t="e">
        <v>#N/A</v>
      </c>
      <c r="N69" s="1204" t="e">
        <f>AVERAGE('2.6'!G138:G139)</f>
        <v>#N/A</v>
      </c>
      <c r="O69" s="3596" t="e">
        <f t="shared" si="22"/>
        <v>#N/A</v>
      </c>
      <c r="P69" s="161" t="e">
        <f t="shared" si="23"/>
        <v>#N/A</v>
      </c>
      <c r="Q69" s="1204" t="e">
        <f>AVERAGE('2.6'!B138:B139)</f>
        <v>#N/A</v>
      </c>
      <c r="R69" s="3596" t="e">
        <f t="shared" si="24"/>
        <v>#N/A</v>
      </c>
      <c r="S69" s="161" t="e">
        <f t="shared" si="25"/>
        <v>#N/A</v>
      </c>
      <c r="T69" s="1204" t="e">
        <f>AVERAGE('2.6'!Q138:Q139)</f>
        <v>#N/A</v>
      </c>
      <c r="U69" s="3596" t="e">
        <f t="shared" si="26"/>
        <v>#N/A</v>
      </c>
      <c r="V69" s="171" t="e">
        <f t="shared" si="27"/>
        <v>#N/A</v>
      </c>
    </row>
    <row r="71" spans="1:22">
      <c r="A71" s="52"/>
      <c r="B71" s="1025"/>
      <c r="C71" s="52"/>
      <c r="D71" s="52"/>
      <c r="E71" s="52"/>
      <c r="F71" s="52"/>
      <c r="G71" s="52"/>
      <c r="H71" s="52"/>
      <c r="I71" s="52"/>
      <c r="J71" s="52"/>
      <c r="K71" s="52"/>
      <c r="L71" s="52"/>
      <c r="M71" s="52"/>
      <c r="N71" s="52"/>
      <c r="O71" s="52"/>
      <c r="P71" s="52"/>
      <c r="Q71" s="52"/>
      <c r="R71" s="52"/>
      <c r="S71" s="52"/>
      <c r="T71" s="52"/>
      <c r="U71" s="52"/>
      <c r="V71" s="52"/>
    </row>
  </sheetData>
  <mergeCells count="26">
    <mergeCell ref="H6:I6"/>
    <mergeCell ref="J5:K5"/>
    <mergeCell ref="L5:M5"/>
    <mergeCell ref="N5:P5"/>
    <mergeCell ref="B5:C5"/>
    <mergeCell ref="D5:E5"/>
    <mergeCell ref="F5:G5"/>
    <mergeCell ref="H5:I5"/>
    <mergeCell ref="J6:K6"/>
    <mergeCell ref="L6:M6"/>
    <mergeCell ref="D7:E7"/>
    <mergeCell ref="F6:G6"/>
    <mergeCell ref="F7:G7"/>
    <mergeCell ref="B6:C6"/>
    <mergeCell ref="D6:E6"/>
    <mergeCell ref="J7:K7"/>
    <mergeCell ref="L7:M7"/>
    <mergeCell ref="T6:V6"/>
    <mergeCell ref="T7:V7"/>
    <mergeCell ref="N1:V1"/>
    <mergeCell ref="N6:P6"/>
    <mergeCell ref="N7:P7"/>
    <mergeCell ref="Q6:S6"/>
    <mergeCell ref="Q7:S7"/>
    <mergeCell ref="Q5:S5"/>
    <mergeCell ref="T5:V5"/>
  </mergeCells>
  <phoneticPr fontId="71" type="noConversion"/>
  <hyperlinks>
    <hyperlink ref="A5" location="INDICE!A13" display="VOLVER AL INDICE" xr:uid="{00000000-0004-0000-1300-000000000000}"/>
  </hyperlinks>
  <pageMargins left="0.75" right="0.75" top="1" bottom="1" header="0" footer="0"/>
  <pageSetup paperSize="9" orientation="portrait" r:id="rId1"/>
  <headerFooter alignWithMargins="0"/>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48"/>
  <dimension ref="A1:G963"/>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5703125" defaultRowHeight="12.75"/>
  <cols>
    <col min="1" max="1" width="9.5703125" style="21" bestFit="1" customWidth="1"/>
    <col min="2" max="2" width="14.5703125" style="21" bestFit="1" customWidth="1"/>
    <col min="3" max="3" width="15.5703125" style="21" customWidth="1"/>
    <col min="4" max="4" width="15.5703125" style="98" customWidth="1"/>
    <col min="5" max="5" width="11.5703125" style="300"/>
    <col min="6" max="6" width="14" style="300" bestFit="1" customWidth="1"/>
    <col min="7" max="7" width="11.5703125" style="300"/>
    <col min="8" max="8" width="12.42578125" style="300" bestFit="1" customWidth="1"/>
    <col min="9" max="16384" width="11.5703125" style="300"/>
  </cols>
  <sheetData>
    <row r="1" spans="1:4" ht="5.0999999999999996" customHeight="1">
      <c r="A1" s="2761"/>
      <c r="B1" s="64"/>
      <c r="C1" s="64"/>
      <c r="D1" s="97"/>
    </row>
    <row r="2" spans="1:4">
      <c r="A2" s="2762" t="s">
        <v>99</v>
      </c>
      <c r="B2" s="1199" t="s">
        <v>957</v>
      </c>
      <c r="C2" s="2736"/>
      <c r="D2" s="2737"/>
    </row>
    <row r="3" spans="1:4" ht="33.75">
      <c r="A3" s="2762" t="s">
        <v>193</v>
      </c>
      <c r="B3" s="1199" t="s">
        <v>958</v>
      </c>
      <c r="C3" s="2736"/>
      <c r="D3" s="2737"/>
    </row>
    <row r="4" spans="1:4" ht="4.3499999999999996" hidden="1" customHeight="1">
      <c r="A4" s="2762"/>
      <c r="B4" s="64"/>
      <c r="C4" s="64"/>
      <c r="D4" s="97"/>
    </row>
    <row r="5" spans="1:4" ht="45">
      <c r="A5" s="2867" t="s">
        <v>140</v>
      </c>
      <c r="B5" s="3" t="s">
        <v>959</v>
      </c>
      <c r="C5" s="2902" t="s">
        <v>960</v>
      </c>
      <c r="D5" s="2759" t="s">
        <v>961</v>
      </c>
    </row>
    <row r="6" spans="1:4" ht="2.4500000000000002" hidden="1" customHeight="1">
      <c r="A6" s="2762"/>
      <c r="B6" s="64"/>
      <c r="C6" s="64"/>
      <c r="D6" s="97"/>
    </row>
    <row r="7" spans="1:4" ht="22.5">
      <c r="A7" s="2762" t="s">
        <v>125</v>
      </c>
      <c r="B7" s="3" t="s">
        <v>707</v>
      </c>
      <c r="C7" s="3" t="s">
        <v>707</v>
      </c>
      <c r="D7" s="2903" t="s">
        <v>126</v>
      </c>
    </row>
    <row r="8" spans="1:4">
      <c r="A8" s="2751" t="s">
        <v>144</v>
      </c>
      <c r="B8" s="2205" t="s">
        <v>962</v>
      </c>
      <c r="C8" s="2904" t="s">
        <v>963</v>
      </c>
      <c r="D8" s="2905" t="s">
        <v>964</v>
      </c>
    </row>
    <row r="9" spans="1:4" ht="13.5" thickBot="1">
      <c r="A9" s="2140"/>
      <c r="B9" s="1322"/>
      <c r="C9" s="1394"/>
      <c r="D9" s="1245"/>
    </row>
    <row r="10" spans="1:4">
      <c r="A10" s="1746">
        <v>1810</v>
      </c>
      <c r="B10" s="2454">
        <v>618003.40760920069</v>
      </c>
      <c r="C10" s="1747"/>
      <c r="D10" s="1748"/>
    </row>
    <row r="11" spans="1:4">
      <c r="A11" s="1628">
        <f>A10+1</f>
        <v>1811</v>
      </c>
      <c r="B11" s="141">
        <v>626934.03121566621</v>
      </c>
      <c r="C11" s="1323"/>
      <c r="D11" s="1324"/>
    </row>
    <row r="12" spans="1:4">
      <c r="A12" s="1628">
        <f t="shared" ref="A12:A75" si="0">A11+1</f>
        <v>1812</v>
      </c>
      <c r="B12" s="141">
        <v>635993.70918820531</v>
      </c>
      <c r="C12" s="1323"/>
      <c r="D12" s="1324"/>
    </row>
    <row r="13" spans="1:4">
      <c r="A13" s="1628">
        <f t="shared" si="0"/>
        <v>1813</v>
      </c>
      <c r="B13" s="141">
        <v>645184.30646146729</v>
      </c>
      <c r="C13" s="1323"/>
      <c r="D13" s="1324"/>
    </row>
    <row r="14" spans="1:4">
      <c r="A14" s="1628">
        <f t="shared" si="0"/>
        <v>1814</v>
      </c>
      <c r="B14" s="141">
        <v>654507.71491983847</v>
      </c>
      <c r="C14" s="1323"/>
      <c r="D14" s="1324"/>
    </row>
    <row r="15" spans="1:4">
      <c r="A15" s="1628">
        <f t="shared" si="0"/>
        <v>1815</v>
      </c>
      <c r="B15" s="141">
        <v>663965.85378688679</v>
      </c>
      <c r="C15" s="1323"/>
      <c r="D15" s="1324"/>
    </row>
    <row r="16" spans="1:4">
      <c r="A16" s="1628">
        <f t="shared" si="0"/>
        <v>1816</v>
      </c>
      <c r="B16" s="141">
        <v>673560.67002043384</v>
      </c>
      <c r="C16" s="1323"/>
      <c r="D16" s="1324"/>
    </row>
    <row r="17" spans="1:4">
      <c r="A17" s="1628">
        <f t="shared" si="0"/>
        <v>1817</v>
      </c>
      <c r="B17" s="141">
        <v>683294.13871333632</v>
      </c>
      <c r="C17" s="1323"/>
      <c r="D17" s="1324"/>
    </row>
    <row r="18" spans="1:4">
      <c r="A18" s="1628">
        <f t="shared" si="0"/>
        <v>1818</v>
      </c>
      <c r="B18" s="141">
        <v>693168.26350005856</v>
      </c>
      <c r="C18" s="1323"/>
      <c r="D18" s="1324"/>
    </row>
    <row r="19" spans="1:4">
      <c r="A19" s="1628">
        <f t="shared" si="0"/>
        <v>1819</v>
      </c>
      <c r="B19" s="141">
        <v>703185.076969121</v>
      </c>
      <c r="C19" s="1323"/>
      <c r="D19" s="1324"/>
    </row>
    <row r="20" spans="1:4">
      <c r="A20" s="1628">
        <f t="shared" si="0"/>
        <v>1820</v>
      </c>
      <c r="B20" s="141">
        <v>713346.64108150825</v>
      </c>
      <c r="C20" s="1323"/>
      <c r="D20" s="1324"/>
    </row>
    <row r="21" spans="1:4">
      <c r="A21" s="1628">
        <f t="shared" si="0"/>
        <v>1821</v>
      </c>
      <c r="B21" s="141">
        <v>723655.04759512388</v>
      </c>
      <c r="C21" s="1323"/>
      <c r="D21" s="1324"/>
    </row>
    <row r="22" spans="1:4">
      <c r="A22" s="1628">
        <f t="shared" si="0"/>
        <v>1822</v>
      </c>
      <c r="B22" s="141">
        <v>734112.41849537892</v>
      </c>
      <c r="C22" s="1323"/>
      <c r="D22" s="1324"/>
    </row>
    <row r="23" spans="1:4">
      <c r="A23" s="1628">
        <f t="shared" si="0"/>
        <v>1823</v>
      </c>
      <c r="B23" s="141">
        <v>744720.9064320022</v>
      </c>
      <c r="C23" s="1323"/>
      <c r="D23" s="1324"/>
    </row>
    <row r="24" spans="1:4">
      <c r="A24" s="1628">
        <f t="shared" si="0"/>
        <v>1824</v>
      </c>
      <c r="B24" s="190">
        <v>755482.69516216358</v>
      </c>
      <c r="C24" s="1325"/>
      <c r="D24" s="1326"/>
    </row>
    <row r="25" spans="1:4">
      <c r="A25" s="1628">
        <f t="shared" si="0"/>
        <v>1825</v>
      </c>
      <c r="B25" s="190">
        <v>766400</v>
      </c>
      <c r="C25" s="1325"/>
      <c r="D25" s="1326"/>
    </row>
    <row r="26" spans="1:4">
      <c r="A26" s="1628">
        <f t="shared" si="0"/>
        <v>1826</v>
      </c>
      <c r="B26" s="190">
        <v>776843.96063977352</v>
      </c>
      <c r="C26" s="1325"/>
      <c r="D26" s="1326"/>
    </row>
    <row r="27" spans="1:4">
      <c r="A27" s="1628">
        <f t="shared" si="0"/>
        <v>1827</v>
      </c>
      <c r="B27" s="190">
        <v>787430.24423602549</v>
      </c>
      <c r="C27" s="1325"/>
      <c r="D27" s="1326"/>
    </row>
    <row r="28" spans="1:4">
      <c r="A28" s="1628">
        <f t="shared" si="0"/>
        <v>1828</v>
      </c>
      <c r="B28" s="190">
        <v>798160.7902659945</v>
      </c>
      <c r="C28" s="1325"/>
      <c r="D28" s="1326"/>
    </row>
    <row r="29" spans="1:4">
      <c r="A29" s="1628">
        <f t="shared" si="0"/>
        <v>1829</v>
      </c>
      <c r="B29" s="190">
        <v>809037.56463675201</v>
      </c>
      <c r="C29" s="1325"/>
      <c r="D29" s="1326"/>
    </row>
    <row r="30" spans="1:4">
      <c r="A30" s="1628">
        <f t="shared" si="0"/>
        <v>1830</v>
      </c>
      <c r="B30" s="190">
        <v>820062.56004536955</v>
      </c>
      <c r="C30" s="1325"/>
      <c r="D30" s="1326"/>
    </row>
    <row r="31" spans="1:4">
      <c r="A31" s="1628">
        <f t="shared" si="0"/>
        <v>1831</v>
      </c>
      <c r="B31" s="190">
        <v>831237.79634399398</v>
      </c>
      <c r="C31" s="1325"/>
      <c r="D31" s="1326"/>
    </row>
    <row r="32" spans="1:4">
      <c r="A32" s="1628">
        <f t="shared" si="0"/>
        <v>1832</v>
      </c>
      <c r="B32" s="190">
        <v>842565.32090989791</v>
      </c>
      <c r="C32" s="1325"/>
      <c r="D32" s="1326"/>
    </row>
    <row r="33" spans="1:4">
      <c r="A33" s="1628">
        <f t="shared" si="0"/>
        <v>1833</v>
      </c>
      <c r="B33" s="190">
        <v>854047.2090205726</v>
      </c>
      <c r="C33" s="1325"/>
      <c r="D33" s="1326"/>
    </row>
    <row r="34" spans="1:4">
      <c r="A34" s="1628">
        <f t="shared" si="0"/>
        <v>1834</v>
      </c>
      <c r="B34" s="190">
        <v>865685.56423393276</v>
      </c>
      <c r="C34" s="1325"/>
      <c r="D34" s="1326"/>
    </row>
    <row r="35" spans="1:4">
      <c r="A35" s="1628">
        <f t="shared" si="0"/>
        <v>1835</v>
      </c>
      <c r="B35" s="190">
        <v>877482.51877370221</v>
      </c>
      <c r="C35" s="1325"/>
      <c r="D35" s="1326"/>
    </row>
    <row r="36" spans="1:4">
      <c r="A36" s="1628">
        <f t="shared" si="0"/>
        <v>1836</v>
      </c>
      <c r="B36" s="190">
        <v>889440.23392005113</v>
      </c>
      <c r="C36" s="1325"/>
      <c r="D36" s="1326"/>
    </row>
    <row r="37" spans="1:4">
      <c r="A37" s="1628">
        <f t="shared" si="0"/>
        <v>1837</v>
      </c>
      <c r="B37" s="190">
        <v>901560.90040555736</v>
      </c>
      <c r="C37" s="1325"/>
      <c r="D37" s="1326"/>
    </row>
    <row r="38" spans="1:4">
      <c r="A38" s="1628">
        <f t="shared" si="0"/>
        <v>1838</v>
      </c>
      <c r="B38" s="190">
        <v>913846.73881656257</v>
      </c>
      <c r="C38" s="1325"/>
      <c r="D38" s="1326"/>
    </row>
    <row r="39" spans="1:4">
      <c r="A39" s="1628">
        <f t="shared" si="0"/>
        <v>1839</v>
      </c>
      <c r="B39" s="190">
        <v>926300</v>
      </c>
      <c r="C39" s="1325"/>
      <c r="D39" s="1326"/>
    </row>
    <row r="40" spans="1:4">
      <c r="A40" s="1628">
        <f t="shared" si="0"/>
        <v>1840</v>
      </c>
      <c r="B40" s="190">
        <v>943890.36966073688</v>
      </c>
      <c r="C40" s="1325"/>
      <c r="D40" s="1326"/>
    </row>
    <row r="41" spans="1:4">
      <c r="A41" s="1628">
        <f t="shared" si="0"/>
        <v>1841</v>
      </c>
      <c r="B41" s="190">
        <v>961814.7791625635</v>
      </c>
      <c r="C41" s="1325"/>
      <c r="D41" s="1326"/>
    </row>
    <row r="42" spans="1:4">
      <c r="A42" s="1628">
        <f t="shared" si="0"/>
        <v>1842</v>
      </c>
      <c r="B42" s="190">
        <v>980079.57189777831</v>
      </c>
      <c r="C42" s="1325"/>
      <c r="D42" s="1326"/>
    </row>
    <row r="43" spans="1:4">
      <c r="A43" s="1628">
        <f t="shared" si="0"/>
        <v>1843</v>
      </c>
      <c r="B43" s="190">
        <v>998691.21171923866</v>
      </c>
      <c r="C43" s="1325"/>
      <c r="D43" s="1326"/>
    </row>
    <row r="44" spans="1:4">
      <c r="A44" s="1628">
        <f t="shared" si="0"/>
        <v>1844</v>
      </c>
      <c r="B44" s="190">
        <v>1017656.2852278975</v>
      </c>
      <c r="C44" s="1325"/>
      <c r="D44" s="1326"/>
    </row>
    <row r="45" spans="1:4">
      <c r="A45" s="1628">
        <f t="shared" si="0"/>
        <v>1845</v>
      </c>
      <c r="B45" s="190">
        <v>1036981.5041037811</v>
      </c>
      <c r="C45" s="1325"/>
      <c r="D45" s="1326"/>
    </row>
    <row r="46" spans="1:4">
      <c r="A46" s="1628">
        <f t="shared" si="0"/>
        <v>1846</v>
      </c>
      <c r="B46" s="190">
        <v>1056673.7074812315</v>
      </c>
      <c r="C46" s="1325"/>
      <c r="D46" s="1326"/>
    </row>
    <row r="47" spans="1:4">
      <c r="A47" s="1628">
        <f t="shared" si="0"/>
        <v>1847</v>
      </c>
      <c r="B47" s="190">
        <v>1076739.864369255</v>
      </c>
      <c r="C47" s="1325"/>
      <c r="D47" s="1326"/>
    </row>
    <row r="48" spans="1:4">
      <c r="A48" s="1628">
        <f t="shared" si="0"/>
        <v>1848</v>
      </c>
      <c r="B48" s="190">
        <v>1097187.076117832</v>
      </c>
      <c r="C48" s="1325"/>
      <c r="D48" s="1326"/>
    </row>
    <row r="49" spans="1:4">
      <c r="A49" s="1628">
        <f t="shared" si="0"/>
        <v>1849</v>
      </c>
      <c r="B49" s="190">
        <v>1118022.5789310627</v>
      </c>
      <c r="C49" s="1325"/>
      <c r="D49" s="1326"/>
    </row>
    <row r="50" spans="1:4">
      <c r="A50" s="1628">
        <f t="shared" si="0"/>
        <v>1850</v>
      </c>
      <c r="B50" s="190">
        <v>1139253.7464280375</v>
      </c>
      <c r="C50" s="1325"/>
      <c r="D50" s="1326"/>
    </row>
    <row r="51" spans="1:4">
      <c r="A51" s="1628">
        <f t="shared" si="0"/>
        <v>1851</v>
      </c>
      <c r="B51" s="190">
        <v>1160888.0922523369</v>
      </c>
      <c r="C51" s="1325"/>
      <c r="D51" s="1326"/>
    </row>
    <row r="52" spans="1:4">
      <c r="A52" s="1628">
        <f t="shared" si="0"/>
        <v>1852</v>
      </c>
      <c r="B52" s="190">
        <v>1182933.2727310869</v>
      </c>
      <c r="C52" s="1325"/>
      <c r="D52" s="1326"/>
    </row>
    <row r="53" spans="1:4">
      <c r="A53" s="1628">
        <f t="shared" si="0"/>
        <v>1853</v>
      </c>
      <c r="B53" s="190">
        <v>1205397.0895845094</v>
      </c>
      <c r="C53" s="1325"/>
      <c r="D53" s="1326"/>
    </row>
    <row r="54" spans="1:4">
      <c r="A54" s="1628">
        <f t="shared" si="0"/>
        <v>1854</v>
      </c>
      <c r="B54" s="190">
        <v>1228287.4926869252</v>
      </c>
      <c r="C54" s="1325"/>
      <c r="D54" s="1326"/>
    </row>
    <row r="55" spans="1:4">
      <c r="A55" s="1628">
        <f t="shared" si="0"/>
        <v>1855</v>
      </c>
      <c r="B55" s="190">
        <v>1251612.5828801917</v>
      </c>
      <c r="C55" s="1325"/>
      <c r="D55" s="1326"/>
    </row>
    <row r="56" spans="1:4">
      <c r="A56" s="1628">
        <f t="shared" si="0"/>
        <v>1856</v>
      </c>
      <c r="B56" s="190">
        <v>1275380.6148405634</v>
      </c>
      <c r="C56" s="1325"/>
      <c r="D56" s="1326"/>
    </row>
    <row r="57" spans="1:4">
      <c r="A57" s="1628">
        <f t="shared" si="0"/>
        <v>1857</v>
      </c>
      <c r="B57" s="190">
        <v>1299600</v>
      </c>
      <c r="C57" s="1325"/>
      <c r="D57" s="1326"/>
    </row>
    <row r="58" spans="1:4">
      <c r="A58" s="1628">
        <f t="shared" si="0"/>
        <v>1858</v>
      </c>
      <c r="B58" s="190">
        <v>1337213.3905741514</v>
      </c>
      <c r="C58" s="1325"/>
      <c r="D58" s="1326"/>
    </row>
    <row r="59" spans="1:4">
      <c r="A59" s="1628">
        <f t="shared" si="0"/>
        <v>1859</v>
      </c>
      <c r="B59" s="190">
        <v>1375915.3985309466</v>
      </c>
      <c r="C59" s="1325"/>
      <c r="D59" s="1326"/>
    </row>
    <row r="60" spans="1:4">
      <c r="A60" s="1628">
        <f t="shared" si="0"/>
        <v>1860</v>
      </c>
      <c r="B60" s="190">
        <v>1415737.5309424067</v>
      </c>
      <c r="C60" s="1325"/>
      <c r="D60" s="1326"/>
    </row>
    <row r="61" spans="1:4">
      <c r="A61" s="1628">
        <f t="shared" si="0"/>
        <v>1861</v>
      </c>
      <c r="B61" s="190">
        <v>1456712.2067671386</v>
      </c>
      <c r="C61" s="1325"/>
      <c r="D61" s="1326"/>
    </row>
    <row r="62" spans="1:4">
      <c r="A62" s="1628">
        <f t="shared" si="0"/>
        <v>1862</v>
      </c>
      <c r="B62" s="190">
        <v>1498872.7832424128</v>
      </c>
      <c r="C62" s="1325"/>
      <c r="D62" s="1326"/>
    </row>
    <row r="63" spans="1:4">
      <c r="A63" s="1628">
        <f t="shared" si="0"/>
        <v>1863</v>
      </c>
      <c r="B63" s="190">
        <v>1542253.5830400907</v>
      </c>
      <c r="C63" s="1325"/>
      <c r="D63" s="1326"/>
    </row>
    <row r="64" spans="1:4">
      <c r="A64" s="1628">
        <f t="shared" si="0"/>
        <v>1864</v>
      </c>
      <c r="B64" s="190">
        <v>1586889.9222085052</v>
      </c>
      <c r="C64" s="1325"/>
      <c r="D64" s="1326"/>
    </row>
    <row r="65" spans="1:6">
      <c r="A65" s="1628">
        <f t="shared" si="0"/>
        <v>1865</v>
      </c>
      <c r="B65" s="190">
        <v>1632818.1389230429</v>
      </c>
      <c r="C65" s="1325"/>
      <c r="D65" s="1326"/>
    </row>
    <row r="66" spans="1:6">
      <c r="A66" s="1628">
        <f t="shared" si="0"/>
        <v>1866</v>
      </c>
      <c r="B66" s="190">
        <v>1680075.6230688351</v>
      </c>
      <c r="C66" s="1325"/>
      <c r="D66" s="1326"/>
    </row>
    <row r="67" spans="1:6">
      <c r="A67" s="1628">
        <f t="shared" si="0"/>
        <v>1867</v>
      </c>
      <c r="B67" s="190">
        <v>1728700.8466796377</v>
      </c>
      <c r="C67" s="1325"/>
      <c r="D67" s="1326"/>
    </row>
    <row r="68" spans="1:6">
      <c r="A68" s="1628">
        <f t="shared" si="0"/>
        <v>1868</v>
      </c>
      <c r="B68" s="190">
        <v>1778733.3952576828</v>
      </c>
      <c r="C68" s="1325"/>
      <c r="D68" s="1326"/>
    </row>
    <row r="69" spans="1:6">
      <c r="A69" s="1628">
        <f t="shared" si="0"/>
        <v>1869</v>
      </c>
      <c r="B69" s="190">
        <v>1830214</v>
      </c>
      <c r="C69" s="230">
        <v>93881.443523316048</v>
      </c>
      <c r="D69" s="229">
        <f>C69/B69</f>
        <v>5.129533678756476E-2</v>
      </c>
      <c r="F69" s="330"/>
    </row>
    <row r="70" spans="1:6">
      <c r="A70" s="1628">
        <f t="shared" si="0"/>
        <v>1870</v>
      </c>
      <c r="B70" s="190">
        <v>1886897.4602614511</v>
      </c>
      <c r="C70" s="228">
        <v>99725.238295729345</v>
      </c>
      <c r="D70" s="1327">
        <f>C70/B70</f>
        <v>5.2851434906224994E-2</v>
      </c>
      <c r="F70" s="330"/>
    </row>
    <row r="71" spans="1:6">
      <c r="A71" s="1628">
        <f t="shared" si="0"/>
        <v>1871</v>
      </c>
      <c r="B71" s="190">
        <v>1945336.4609499841</v>
      </c>
      <c r="C71" s="228">
        <v>105907.47601737504</v>
      </c>
      <c r="D71" s="1327">
        <f t="shared" ref="D71:D134" si="1">C71/B71</f>
        <v>5.4441726736389993E-2</v>
      </c>
      <c r="F71" s="330"/>
    </row>
    <row r="72" spans="1:6">
      <c r="A72" s="1628">
        <f t="shared" si="0"/>
        <v>1872</v>
      </c>
      <c r="B72" s="190">
        <v>2005585.3728146134</v>
      </c>
      <c r="C72" s="228">
        <v>112445.96796401161</v>
      </c>
      <c r="D72" s="1327">
        <f t="shared" si="1"/>
        <v>5.6066408086236863E-2</v>
      </c>
      <c r="F72" s="330"/>
    </row>
    <row r="73" spans="1:6">
      <c r="A73" s="1628">
        <f t="shared" si="0"/>
        <v>1873</v>
      </c>
      <c r="B73" s="190">
        <v>2067700.2505179229</v>
      </c>
      <c r="C73" s="228">
        <v>119359.34819162312</v>
      </c>
      <c r="D73" s="1327">
        <f t="shared" si="1"/>
        <v>5.7725653494371677E-2</v>
      </c>
      <c r="F73" s="330"/>
    </row>
    <row r="74" spans="1:6">
      <c r="A74" s="1628">
        <f t="shared" si="0"/>
        <v>1874</v>
      </c>
      <c r="B74" s="190">
        <v>2131738.8847884648</v>
      </c>
      <c r="C74" s="228">
        <v>126667.10519401106</v>
      </c>
      <c r="D74" s="1327">
        <f t="shared" si="1"/>
        <v>5.9419615647054447E-2</v>
      </c>
      <c r="F74" s="330"/>
    </row>
    <row r="75" spans="1:6">
      <c r="A75" s="1628">
        <f t="shared" si="0"/>
        <v>1875</v>
      </c>
      <c r="B75" s="190">
        <v>2197760.8561883653</v>
      </c>
      <c r="C75" s="228">
        <v>134389.61449783569</v>
      </c>
      <c r="D75" s="1327">
        <f t="shared" si="1"/>
        <v>6.1148424824942579E-2</v>
      </c>
      <c r="F75" s="330"/>
    </row>
    <row r="76" spans="1:6">
      <c r="A76" s="1628">
        <f t="shared" ref="A76:A139" si="2">A75+1</f>
        <v>1876</v>
      </c>
      <c r="B76" s="190">
        <v>2265827.5905461651</v>
      </c>
      <c r="C76" s="228">
        <v>142548.17221419085</v>
      </c>
      <c r="D76" s="1327">
        <f t="shared" si="1"/>
        <v>6.2912188380507106E-2</v>
      </c>
      <c r="F76" s="330"/>
    </row>
    <row r="77" spans="1:6">
      <c r="A77" s="1628">
        <f t="shared" si="2"/>
        <v>1877</v>
      </c>
      <c r="B77" s="190">
        <v>2336002.4161064676</v>
      </c>
      <c r="C77" s="228">
        <v>151165.02956581282</v>
      </c>
      <c r="D77" s="1327">
        <f t="shared" si="1"/>
        <v>6.4710990247076522E-2</v>
      </c>
      <c r="F77" s="330"/>
    </row>
    <row r="78" spans="1:6">
      <c r="A78" s="1628">
        <f t="shared" si="2"/>
        <v>1878</v>
      </c>
      <c r="B78" s="190">
        <v>2408350.6224495647</v>
      </c>
      <c r="C78" s="228">
        <v>160263.42840894149</v>
      </c>
      <c r="D78" s="1327">
        <f t="shared" si="1"/>
        <v>6.6544890480247212E-2</v>
      </c>
      <c r="F78" s="330"/>
    </row>
    <row r="79" spans="1:6">
      <c r="A79" s="1628">
        <f t="shared" si="2"/>
        <v>1879</v>
      </c>
      <c r="B79" s="190">
        <v>2482939.5212358604</v>
      </c>
      <c r="C79" s="228">
        <v>169867.63776865372</v>
      </c>
      <c r="D79" s="1327">
        <f t="shared" si="1"/>
        <v>6.8413924832169751E-2</v>
      </c>
      <c r="F79" s="330"/>
    </row>
    <row r="80" spans="1:6">
      <c r="A80" s="1628">
        <f t="shared" si="2"/>
        <v>1880</v>
      </c>
      <c r="B80" s="190">
        <v>2559838.5088316058</v>
      </c>
      <c r="C80" s="228">
        <v>180002.99140614306</v>
      </c>
      <c r="D80" s="1327">
        <f t="shared" si="1"/>
        <v>7.0318104358974703E-2</v>
      </c>
      <c r="F80" s="330"/>
    </row>
    <row r="81" spans="1:6">
      <c r="A81" s="1628">
        <f t="shared" si="2"/>
        <v>1881</v>
      </c>
      <c r="B81" s="190">
        <v>2639119.1308742133</v>
      </c>
      <c r="C81" s="228">
        <v>190695.92643591278</v>
      </c>
      <c r="D81" s="1327">
        <f t="shared" si="1"/>
        <v>7.2257415061344504E-2</v>
      </c>
      <c r="F81" s="330"/>
    </row>
    <row r="82" spans="1:6">
      <c r="A82" s="1628">
        <f t="shared" si="2"/>
        <v>1882</v>
      </c>
      <c r="B82" s="190">
        <v>2720855.1488372185</v>
      </c>
      <c r="C82" s="228">
        <v>201974.02301013566</v>
      </c>
      <c r="D82" s="1327">
        <f t="shared" si="1"/>
        <v>7.4231817557965568E-2</v>
      </c>
      <c r="F82" s="330"/>
    </row>
    <row r="83" spans="1:6">
      <c r="A83" s="1628">
        <f t="shared" si="2"/>
        <v>1883</v>
      </c>
      <c r="B83" s="190">
        <v>2805122.6086568241</v>
      </c>
      <c r="C83" s="228">
        <v>213866.04508649843</v>
      </c>
      <c r="D83" s="1327">
        <f t="shared" si="1"/>
        <v>7.6241246791313638E-2</v>
      </c>
      <c r="F83" s="330"/>
    </row>
    <row r="84" spans="1:6">
      <c r="A84" s="1628">
        <f t="shared" si="2"/>
        <v>1884</v>
      </c>
      <c r="B84" s="190">
        <v>2891999.911483869</v>
      </c>
      <c r="C84" s="228">
        <v>226401.98229464429</v>
      </c>
      <c r="D84" s="1327">
        <f t="shared" si="1"/>
        <v>7.8285611764932136E-2</v>
      </c>
      <c r="F84" s="330"/>
    </row>
    <row r="85" spans="1:6">
      <c r="A85" s="1628">
        <f t="shared" si="2"/>
        <v>1885</v>
      </c>
      <c r="B85" s="190">
        <v>2981567.8866270576</v>
      </c>
      <c r="C85" s="228">
        <v>239613.09291480988</v>
      </c>
      <c r="D85" s="1327">
        <f t="shared" si="1"/>
        <v>8.0364795311058876E-2</v>
      </c>
      <c r="F85" s="330"/>
    </row>
    <row r="86" spans="1:6">
      <c r="A86" s="1628">
        <f t="shared" si="2"/>
        <v>1886</v>
      </c>
      <c r="B86" s="190">
        <v>3073909.8667553067</v>
      </c>
      <c r="C86" s="228">
        <v>253531.94798040262</v>
      </c>
      <c r="D86" s="1327">
        <f t="shared" si="1"/>
        <v>8.2478653887148798E-2</v>
      </c>
      <c r="F86" s="330"/>
    </row>
    <row r="87" spans="1:6">
      <c r="A87" s="1628">
        <f t="shared" si="2"/>
        <v>1887</v>
      </c>
      <c r="B87" s="190">
        <v>3169111.7654291815</v>
      </c>
      <c r="C87" s="228">
        <v>268192.47651399707</v>
      </c>
      <c r="D87" s="1327">
        <f t="shared" si="1"/>
        <v>8.462701739951943E-2</v>
      </c>
      <c r="F87" s="330"/>
    </row>
    <row r="88" spans="1:6">
      <c r="A88" s="1628">
        <f t="shared" si="2"/>
        <v>1888</v>
      </c>
      <c r="B88" s="190">
        <v>3267262.1570335524</v>
      </c>
      <c r="C88" s="228">
        <v>283630.01190352417</v>
      </c>
      <c r="D88" s="1327">
        <f t="shared" si="1"/>
        <v>8.6809689052022854E-2</v>
      </c>
      <c r="F88" s="330"/>
    </row>
    <row r="89" spans="1:6">
      <c r="A89" s="1628">
        <f t="shared" si="2"/>
        <v>1889</v>
      </c>
      <c r="B89" s="190">
        <v>3368452.3591858442</v>
      </c>
      <c r="C89" s="228">
        <v>299881.33942220826</v>
      </c>
      <c r="D89" s="1327">
        <f t="shared" si="1"/>
        <v>8.9026445217319228E-2</v>
      </c>
      <c r="F89" s="330"/>
    </row>
    <row r="90" spans="1:6">
      <c r="A90" s="1628">
        <f t="shared" si="2"/>
        <v>1890</v>
      </c>
      <c r="B90" s="190">
        <v>3472776.5176965441</v>
      </c>
      <c r="C90" s="228">
        <v>316984.7448920121</v>
      </c>
      <c r="D90" s="1327">
        <f t="shared" si="1"/>
        <v>9.1277035327993042E-2</v>
      </c>
      <c r="F90" s="330"/>
    </row>
    <row r="91" spans="1:6">
      <c r="A91" s="1628">
        <f t="shared" si="2"/>
        <v>1891</v>
      </c>
      <c r="B91" s="190">
        <v>3580331.6941610193</v>
      </c>
      <c r="C91" s="228">
        <v>334980.06448591739</v>
      </c>
      <c r="D91" s="1327">
        <f t="shared" si="1"/>
        <v>9.3561181784419398E-2</v>
      </c>
      <c r="F91" s="330"/>
    </row>
    <row r="92" spans="1:6">
      <c r="A92" s="1628">
        <f t="shared" si="2"/>
        <v>1892</v>
      </c>
      <c r="B92" s="190">
        <v>3691217.956264134</v>
      </c>
      <c r="C92" s="228">
        <v>353908.73565920943</v>
      </c>
      <c r="D92" s="1327">
        <f t="shared" si="1"/>
        <v>9.5878579875949388E-2</v>
      </c>
      <c r="F92" s="330"/>
    </row>
    <row r="93" spans="1:6">
      <c r="A93" s="1628">
        <f t="shared" si="2"/>
        <v>1893</v>
      </c>
      <c r="B93" s="190">
        <v>3805538.4708816884</v>
      </c>
      <c r="C93" s="228">
        <v>373813.84919397719</v>
      </c>
      <c r="D93" s="1327">
        <f t="shared" si="1"/>
        <v>9.8228897711647598E-2</v>
      </c>
      <c r="F93" s="330"/>
    </row>
    <row r="94" spans="1:6">
      <c r="A94" s="1628">
        <f t="shared" si="2"/>
        <v>1894</v>
      </c>
      <c r="B94" s="190">
        <v>3923399.6000652951</v>
      </c>
      <c r="C94" s="228">
        <v>394740.20233418059</v>
      </c>
      <c r="D94" s="1327">
        <f t="shared" si="1"/>
        <v>0.10061177615647693</v>
      </c>
      <c r="F94" s="330"/>
    </row>
    <row r="95" spans="1:6">
      <c r="A95" s="1628">
        <f t="shared" si="2"/>
        <v>1895</v>
      </c>
      <c r="B95" s="190">
        <v>4044911</v>
      </c>
      <c r="C95" s="228">
        <v>406236.88724138803</v>
      </c>
      <c r="D95" s="1327">
        <f t="shared" si="1"/>
        <v>0.10043160090330493</v>
      </c>
      <c r="F95" s="330"/>
    </row>
    <row r="96" spans="1:6">
      <c r="A96" s="1628">
        <f t="shared" si="2"/>
        <v>1896</v>
      </c>
      <c r="B96" s="190">
        <v>4170606.0480347686</v>
      </c>
      <c r="C96" s="228">
        <v>422349.82248286624</v>
      </c>
      <c r="D96" s="1327">
        <f t="shared" si="1"/>
        <v>0.10126821320893679</v>
      </c>
      <c r="F96" s="330"/>
    </row>
    <row r="97" spans="1:6">
      <c r="A97" s="1628">
        <f t="shared" si="2"/>
        <v>1897</v>
      </c>
      <c r="B97" s="190">
        <v>4295418.8026690716</v>
      </c>
      <c r="C97" s="228">
        <v>438535.00514896092</v>
      </c>
      <c r="D97" s="1327">
        <f t="shared" si="1"/>
        <v>0.10209365496013233</v>
      </c>
      <c r="F97" s="330"/>
    </row>
    <row r="98" spans="1:6">
      <c r="A98" s="1628">
        <f t="shared" si="2"/>
        <v>1898</v>
      </c>
      <c r="B98" s="190">
        <v>4423966.7995055821</v>
      </c>
      <c r="C98" s="228">
        <v>455259.74380618939</v>
      </c>
      <c r="D98" s="1327">
        <f t="shared" si="1"/>
        <v>0.1029075859830297</v>
      </c>
      <c r="F98" s="330"/>
    </row>
    <row r="99" spans="1:6">
      <c r="A99" s="1628">
        <f t="shared" si="2"/>
        <v>1899</v>
      </c>
      <c r="B99" s="190">
        <v>4556361.8222666457</v>
      </c>
      <c r="C99" s="228">
        <v>472538.77179875498</v>
      </c>
      <c r="D99" s="1327">
        <f t="shared" si="1"/>
        <v>0.10370966798323358</v>
      </c>
      <c r="F99" s="330"/>
    </row>
    <row r="100" spans="1:6">
      <c r="A100" s="1628">
        <f t="shared" si="2"/>
        <v>1900</v>
      </c>
      <c r="B100" s="190">
        <v>4692719</v>
      </c>
      <c r="C100" s="228">
        <v>490387.09108680999</v>
      </c>
      <c r="D100" s="1327">
        <f t="shared" si="1"/>
        <v>0.10449956434357352</v>
      </c>
      <c r="F100" s="330"/>
    </row>
    <row r="101" spans="1:6">
      <c r="A101" s="1628">
        <f t="shared" si="2"/>
        <v>1901</v>
      </c>
      <c r="B101" s="190">
        <v>4825716.2957140077</v>
      </c>
      <c r="C101" s="228">
        <v>508036.64442146849</v>
      </c>
      <c r="D101" s="1327">
        <f t="shared" si="1"/>
        <v>0.10527693989650504</v>
      </c>
      <c r="F101" s="330"/>
    </row>
    <row r="102" spans="1:6">
      <c r="A102" s="1628">
        <f t="shared" si="2"/>
        <v>1902</v>
      </c>
      <c r="B102" s="190">
        <v>4962482.8946117861</v>
      </c>
      <c r="C102" s="228">
        <v>526228.93470010697</v>
      </c>
      <c r="D102" s="1327">
        <f t="shared" si="1"/>
        <v>0.10604146067112515</v>
      </c>
      <c r="F102" s="330"/>
    </row>
    <row r="103" spans="1:6">
      <c r="A103" s="1628">
        <f t="shared" si="2"/>
        <v>1903</v>
      </c>
      <c r="B103" s="190">
        <v>5103125.623275145</v>
      </c>
      <c r="C103" s="228">
        <v>544977.04147687403</v>
      </c>
      <c r="D103" s="1327">
        <f t="shared" si="1"/>
        <v>0.10679279361481056</v>
      </c>
      <c r="F103" s="330"/>
    </row>
    <row r="104" spans="1:6">
      <c r="A104" s="1628">
        <f t="shared" si="2"/>
        <v>1904</v>
      </c>
      <c r="B104" s="190">
        <v>5247754.3358795978</v>
      </c>
      <c r="C104" s="228">
        <v>564294.20539562963</v>
      </c>
      <c r="D104" s="1327">
        <f t="shared" si="1"/>
        <v>0.10753060628952744</v>
      </c>
      <c r="F104" s="330"/>
    </row>
    <row r="105" spans="1:6">
      <c r="A105" s="1628">
        <f t="shared" si="2"/>
        <v>1905</v>
      </c>
      <c r="B105" s="190">
        <v>5396482</v>
      </c>
      <c r="C105" s="228">
        <v>584193.8197665374</v>
      </c>
      <c r="D105" s="1327">
        <f t="shared" si="1"/>
        <v>0.10825456654289543</v>
      </c>
      <c r="F105" s="330"/>
    </row>
    <row r="106" spans="1:6">
      <c r="A106" s="1628">
        <f t="shared" si="2"/>
        <v>1906</v>
      </c>
      <c r="B106" s="190">
        <v>5646864.2357462365</v>
      </c>
      <c r="C106" s="228">
        <v>615306.84668178181</v>
      </c>
      <c r="D106" s="1327">
        <f t="shared" si="1"/>
        <v>0.1089643421541316</v>
      </c>
      <c r="F106" s="330"/>
    </row>
    <row r="107" spans="1:6">
      <c r="A107" s="1628">
        <f t="shared" si="2"/>
        <v>1907</v>
      </c>
      <c r="B107" s="190">
        <v>5908863.5331221214</v>
      </c>
      <c r="C107" s="228">
        <v>647963.61418553384</v>
      </c>
      <c r="D107" s="1327">
        <f t="shared" si="1"/>
        <v>0.10965960045504101</v>
      </c>
      <c r="F107" s="330"/>
    </row>
    <row r="108" spans="1:6">
      <c r="A108" s="1628">
        <f t="shared" si="2"/>
        <v>1908</v>
      </c>
      <c r="B108" s="190">
        <v>6183018.8925104272</v>
      </c>
      <c r="C108" s="228">
        <v>682234.35360782244</v>
      </c>
      <c r="D108" s="1327">
        <f t="shared" si="1"/>
        <v>0.11034000792626106</v>
      </c>
      <c r="F108" s="330"/>
    </row>
    <row r="109" spans="1:6">
      <c r="A109" s="1628">
        <f t="shared" si="2"/>
        <v>1909</v>
      </c>
      <c r="B109" s="190">
        <v>6469894.3224605285</v>
      </c>
      <c r="C109" s="228">
        <v>718192.10584599245</v>
      </c>
      <c r="D109" s="1327">
        <f t="shared" si="1"/>
        <v>0.11100522976901746</v>
      </c>
      <c r="F109" s="330"/>
    </row>
    <row r="110" spans="1:6">
      <c r="A110" s="1628">
        <f t="shared" si="2"/>
        <v>1910</v>
      </c>
      <c r="B110" s="190">
        <v>6770080</v>
      </c>
      <c r="C110" s="228">
        <v>755912.80478912487</v>
      </c>
      <c r="D110" s="1327">
        <f t="shared" si="1"/>
        <v>0.11165492945269848</v>
      </c>
      <c r="F110" s="330"/>
    </row>
    <row r="111" spans="1:6">
      <c r="A111" s="1628">
        <f t="shared" si="2"/>
        <v>1911</v>
      </c>
      <c r="B111" s="190">
        <v>7040680.3464432163</v>
      </c>
      <c r="C111" s="228">
        <v>790589.32366390352</v>
      </c>
      <c r="D111" s="1327">
        <f t="shared" si="1"/>
        <v>0.11228876823861068</v>
      </c>
      <c r="F111" s="330"/>
    </row>
    <row r="112" spans="1:6">
      <c r="A112" s="1628">
        <f t="shared" si="2"/>
        <v>1912</v>
      </c>
      <c r="B112" s="190">
        <v>7322096.5986800408</v>
      </c>
      <c r="C112" s="228">
        <v>826711.60167911346</v>
      </c>
      <c r="D112" s="1327">
        <f t="shared" si="1"/>
        <v>0.11290640468034051</v>
      </c>
      <c r="F112" s="330"/>
    </row>
    <row r="113" spans="1:6">
      <c r="A113" s="1628">
        <f t="shared" si="2"/>
        <v>1913</v>
      </c>
      <c r="B113" s="190">
        <v>7614761.0688625965</v>
      </c>
      <c r="C113" s="228">
        <v>864332.44710610295</v>
      </c>
      <c r="D113" s="1327">
        <f t="shared" si="1"/>
        <v>0.11350749410121765</v>
      </c>
      <c r="F113" s="330"/>
    </row>
    <row r="114" spans="1:6">
      <c r="A114" s="1628">
        <f t="shared" si="2"/>
        <v>1914</v>
      </c>
      <c r="B114" s="190">
        <v>7919123.3486756179</v>
      </c>
      <c r="C114" s="228">
        <v>903506.15072223358</v>
      </c>
      <c r="D114" s="1327">
        <f t="shared" si="1"/>
        <v>0.11409168804945241</v>
      </c>
      <c r="F114" s="330"/>
    </row>
    <row r="115" spans="1:6">
      <c r="A115" s="1628">
        <f t="shared" si="2"/>
        <v>1915</v>
      </c>
      <c r="B115" s="190">
        <v>8235651</v>
      </c>
      <c r="C115" s="228">
        <v>938531.39512059663</v>
      </c>
      <c r="D115" s="1327">
        <f t="shared" si="1"/>
        <v>0.11395958803021117</v>
      </c>
      <c r="F115" s="330"/>
    </row>
    <row r="116" spans="1:6">
      <c r="A116" s="1628">
        <f t="shared" si="2"/>
        <v>1916</v>
      </c>
      <c r="B116" s="190">
        <v>8378004.4344554739</v>
      </c>
      <c r="C116" s="228">
        <v>953616.20389510889</v>
      </c>
      <c r="D116" s="1327">
        <f t="shared" si="1"/>
        <v>0.11382378839204911</v>
      </c>
      <c r="F116" s="330"/>
    </row>
    <row r="117" spans="1:6">
      <c r="A117" s="1628">
        <f t="shared" si="2"/>
        <v>1917</v>
      </c>
      <c r="B117" s="190">
        <v>8522818.4516021367</v>
      </c>
      <c r="C117" s="228">
        <v>968909.8154257288</v>
      </c>
      <c r="D117" s="1327">
        <f t="shared" si="1"/>
        <v>0.1136842021131626</v>
      </c>
      <c r="F117" s="330"/>
    </row>
    <row r="118" spans="1:6">
      <c r="A118" s="1628">
        <f t="shared" si="2"/>
        <v>1918</v>
      </c>
      <c r="B118" s="190">
        <v>8670135.5826736279</v>
      </c>
      <c r="C118" s="228">
        <v>984413.60060695605</v>
      </c>
      <c r="D118" s="1327">
        <f t="shared" si="1"/>
        <v>0.11354073892156948</v>
      </c>
      <c r="F118" s="330"/>
    </row>
    <row r="119" spans="1:6">
      <c r="A119" s="1628">
        <f t="shared" si="2"/>
        <v>1919</v>
      </c>
      <c r="B119" s="190">
        <v>8819999.0940570273</v>
      </c>
      <c r="C119" s="228">
        <v>1000128.8490800337</v>
      </c>
      <c r="D119" s="1327">
        <f t="shared" si="1"/>
        <v>0.11339330519363965</v>
      </c>
      <c r="F119" s="330"/>
    </row>
    <row r="120" spans="1:6">
      <c r="A120" s="1628">
        <f t="shared" si="2"/>
        <v>1920</v>
      </c>
      <c r="B120" s="190">
        <v>8972453</v>
      </c>
      <c r="C120" s="228">
        <v>1016056.7626887012</v>
      </c>
      <c r="D120" s="1327">
        <f t="shared" si="1"/>
        <v>0.11324180385104288</v>
      </c>
      <c r="F120" s="330"/>
    </row>
    <row r="121" spans="1:6">
      <c r="A121" s="1628">
        <f t="shared" si="2"/>
        <v>1921</v>
      </c>
      <c r="B121" s="190">
        <v>9245755.2268240955</v>
      </c>
      <c r="C121" s="228">
        <v>1045566.716881134</v>
      </c>
      <c r="D121" s="1327">
        <f t="shared" si="1"/>
        <v>0.11308613425625856</v>
      </c>
      <c r="F121" s="330"/>
    </row>
    <row r="122" spans="1:6">
      <c r="A122" s="1628">
        <f t="shared" si="2"/>
        <v>1922</v>
      </c>
      <c r="B122" s="190">
        <v>9527382.2793326508</v>
      </c>
      <c r="C122" s="228">
        <v>1075891.0015509275</v>
      </c>
      <c r="D122" s="1327">
        <f t="shared" si="1"/>
        <v>0.11292619210680908</v>
      </c>
      <c r="F122" s="330"/>
    </row>
    <row r="123" spans="1:6">
      <c r="A123" s="1628">
        <f t="shared" si="2"/>
        <v>1923</v>
      </c>
      <c r="B123" s="190">
        <v>9817587.7329300158</v>
      </c>
      <c r="C123" s="228">
        <v>1107049.5450607983</v>
      </c>
      <c r="D123" s="1327">
        <f t="shared" si="1"/>
        <v>0.11276186932840418</v>
      </c>
      <c r="F123" s="330"/>
    </row>
    <row r="124" spans="1:6">
      <c r="A124" s="1628">
        <f t="shared" si="2"/>
        <v>1924</v>
      </c>
      <c r="B124" s="190">
        <v>10116632.886964334</v>
      </c>
      <c r="C124" s="228">
        <v>1139062.5926084011</v>
      </c>
      <c r="D124" s="1327">
        <f t="shared" si="1"/>
        <v>0.11259305396720747</v>
      </c>
      <c r="F124" s="330"/>
    </row>
    <row r="125" spans="1:6">
      <c r="A125" s="1628">
        <f t="shared" si="2"/>
        <v>1925</v>
      </c>
      <c r="B125" s="190">
        <v>10424787</v>
      </c>
      <c r="C125" s="228">
        <v>1171950.6982180539</v>
      </c>
      <c r="D125" s="1327">
        <f t="shared" si="1"/>
        <v>0.11241963008146391</v>
      </c>
      <c r="F125" s="330"/>
    </row>
    <row r="126" spans="1:6">
      <c r="A126" s="1628">
        <f t="shared" si="2"/>
        <v>1926</v>
      </c>
      <c r="B126" s="190">
        <v>10710841.868658403</v>
      </c>
      <c r="C126" s="228">
        <v>1202200.7180290206</v>
      </c>
      <c r="D126" s="1327">
        <f t="shared" si="1"/>
        <v>0.11224147763275712</v>
      </c>
      <c r="F126" s="330"/>
    </row>
    <row r="127" spans="1:6">
      <c r="A127" s="1628">
        <f t="shared" si="2"/>
        <v>1927</v>
      </c>
      <c r="B127" s="190">
        <v>11004746.047608055</v>
      </c>
      <c r="C127" s="228">
        <v>1233175.0309939429</v>
      </c>
      <c r="D127" s="1327">
        <f t="shared" si="1"/>
        <v>0.11205847237719589</v>
      </c>
      <c r="F127" s="330"/>
    </row>
    <row r="128" spans="1:6">
      <c r="A128" s="1628">
        <f t="shared" si="2"/>
        <v>1928</v>
      </c>
      <c r="B128" s="190">
        <v>11306714.920954591</v>
      </c>
      <c r="C128" s="228">
        <v>1264887.6905215681</v>
      </c>
      <c r="D128" s="1327">
        <f t="shared" si="1"/>
        <v>0.11187048575686363</v>
      </c>
      <c r="F128" s="330"/>
    </row>
    <row r="129" spans="1:6">
      <c r="A129" s="1628">
        <f t="shared" si="2"/>
        <v>1929</v>
      </c>
      <c r="B129" s="190">
        <v>11616969.782916918</v>
      </c>
      <c r="C129" s="228">
        <v>1297352.8045627219</v>
      </c>
      <c r="D129" s="1327">
        <f t="shared" si="1"/>
        <v>0.11167738479190294</v>
      </c>
      <c r="F129" s="330"/>
    </row>
    <row r="130" spans="1:6">
      <c r="A130" s="1628">
        <f t="shared" si="2"/>
        <v>1930</v>
      </c>
      <c r="B130" s="190">
        <v>11935738</v>
      </c>
      <c r="C130" s="228">
        <v>1330584.5181310382</v>
      </c>
      <c r="D130" s="1327">
        <f t="shared" si="1"/>
        <v>0.11147903197364405</v>
      </c>
      <c r="F130" s="330"/>
    </row>
    <row r="131" spans="1:6">
      <c r="A131" s="1628">
        <f t="shared" si="2"/>
        <v>1931</v>
      </c>
      <c r="B131" s="190">
        <v>12158616.964790491</v>
      </c>
      <c r="C131" s="228">
        <v>1352953.5698989232</v>
      </c>
      <c r="D131" s="1327">
        <f t="shared" si="1"/>
        <v>0.1112752851592308</v>
      </c>
      <c r="F131" s="330"/>
    </row>
    <row r="132" spans="1:6">
      <c r="A132" s="1628">
        <f t="shared" si="2"/>
        <v>1932</v>
      </c>
      <c r="B132" s="190">
        <v>12385657.803186627</v>
      </c>
      <c r="C132" s="228">
        <v>1375625.4382112231</v>
      </c>
      <c r="D132" s="1327">
        <f t="shared" si="1"/>
        <v>0.11106599746824082</v>
      </c>
      <c r="F132" s="330"/>
    </row>
    <row r="133" spans="1:6">
      <c r="A133" s="1628">
        <f t="shared" si="2"/>
        <v>1933</v>
      </c>
      <c r="B133" s="190">
        <v>12616938.230875598</v>
      </c>
      <c r="C133" s="228">
        <v>1398600.436613084</v>
      </c>
      <c r="D133" s="1327">
        <f t="shared" si="1"/>
        <v>0.11085101718184627</v>
      </c>
      <c r="F133" s="330"/>
    </row>
    <row r="134" spans="1:6">
      <c r="A134" s="1628">
        <f t="shared" si="2"/>
        <v>1934</v>
      </c>
      <c r="B134" s="190">
        <v>12852537.414748697</v>
      </c>
      <c r="C134" s="228">
        <v>1421878.6259094591</v>
      </c>
      <c r="D134" s="1327">
        <f t="shared" si="1"/>
        <v>0.11063018764511108</v>
      </c>
      <c r="F134" s="330"/>
    </row>
    <row r="135" spans="1:6">
      <c r="A135" s="1628">
        <f t="shared" si="2"/>
        <v>1935</v>
      </c>
      <c r="B135" s="190">
        <v>13092536</v>
      </c>
      <c r="C135" s="228">
        <v>1445459.7973840127</v>
      </c>
      <c r="D135" s="1327">
        <f t="shared" ref="D135:D198" si="3">C135/B135</f>
        <v>0.1104033471730773</v>
      </c>
      <c r="F135" s="330"/>
    </row>
    <row r="136" spans="1:6">
      <c r="A136" s="1628">
        <f t="shared" si="2"/>
        <v>1936</v>
      </c>
      <c r="B136" s="190">
        <v>13298008.098787645</v>
      </c>
      <c r="C136" s="228">
        <v>1465045.9267740985</v>
      </c>
      <c r="D136" s="1327">
        <f t="shared" si="3"/>
        <v>0.11017032896134754</v>
      </c>
      <c r="F136" s="330"/>
    </row>
    <row r="137" spans="1:6">
      <c r="A137" s="1628">
        <f t="shared" si="2"/>
        <v>1937</v>
      </c>
      <c r="B137" s="190">
        <v>13506704.842776205</v>
      </c>
      <c r="C137" s="228">
        <v>1484805.0433358725</v>
      </c>
      <c r="D137" s="1327">
        <f t="shared" si="3"/>
        <v>0.10993096100193461</v>
      </c>
      <c r="F137" s="330"/>
    </row>
    <row r="138" spans="1:6">
      <c r="A138" s="1628">
        <f t="shared" si="2"/>
        <v>1938</v>
      </c>
      <c r="B138" s="190">
        <v>13718676.839015167</v>
      </c>
      <c r="C138" s="228">
        <v>1504733.9745915406</v>
      </c>
      <c r="D138" s="1327">
        <f t="shared" si="3"/>
        <v>0.10968506600521119</v>
      </c>
      <c r="F138" s="330"/>
    </row>
    <row r="139" spans="1:6">
      <c r="A139" s="1628">
        <f t="shared" si="2"/>
        <v>1939</v>
      </c>
      <c r="B139" s="190">
        <v>13933975.488772701</v>
      </c>
      <c r="C139" s="228">
        <v>1524829.2338324164</v>
      </c>
      <c r="D139" s="1327">
        <f t="shared" si="3"/>
        <v>0.10943246132886104</v>
      </c>
      <c r="F139" s="330"/>
    </row>
    <row r="140" spans="1:6">
      <c r="A140" s="1628">
        <f t="shared" ref="A140:A186" si="4">A139+1</f>
        <v>1940</v>
      </c>
      <c r="B140" s="190">
        <v>14152653</v>
      </c>
      <c r="C140" s="228">
        <v>1545087.0045044648</v>
      </c>
      <c r="D140" s="1327">
        <f t="shared" si="3"/>
        <v>0.10917295891480309</v>
      </c>
      <c r="F140" s="330"/>
    </row>
    <row r="141" spans="1:6">
      <c r="A141" s="1628">
        <f t="shared" si="4"/>
        <v>1941</v>
      </c>
      <c r="B141" s="190">
        <v>14373250.652338</v>
      </c>
      <c r="C141" s="228">
        <v>1565338.4851596579</v>
      </c>
      <c r="D141" s="1327">
        <f t="shared" si="3"/>
        <v>0.10890636523513453</v>
      </c>
      <c r="F141" s="330"/>
    </row>
    <row r="142" spans="1:6">
      <c r="A142" s="1628">
        <f t="shared" si="4"/>
        <v>1942</v>
      </c>
      <c r="B142" s="190">
        <v>14597286.764180167</v>
      </c>
      <c r="C142" s="228">
        <v>1585739.4806846143</v>
      </c>
      <c r="D142" s="1327">
        <f t="shared" si="3"/>
        <v>0.10863248124821467</v>
      </c>
      <c r="F142" s="330"/>
    </row>
    <row r="143" spans="1:6">
      <c r="A143" s="1628">
        <f t="shared" si="4"/>
        <v>1943</v>
      </c>
      <c r="B143" s="190">
        <v>14824814.930855539</v>
      </c>
      <c r="C143" s="228">
        <v>1606285.0401314935</v>
      </c>
      <c r="D143" s="1327">
        <f t="shared" si="3"/>
        <v>0.10835110236609172</v>
      </c>
      <c r="F143" s="330"/>
    </row>
    <row r="144" spans="1:6">
      <c r="A144" s="1628">
        <f t="shared" si="4"/>
        <v>1944</v>
      </c>
      <c r="B144" s="190">
        <v>15055889.583084492</v>
      </c>
      <c r="C144" s="228">
        <v>1626969.8176759332</v>
      </c>
      <c r="D144" s="1327">
        <f t="shared" si="3"/>
        <v>0.10806201843455715</v>
      </c>
      <c r="F144" s="330"/>
    </row>
    <row r="145" spans="1:6">
      <c r="A145" s="1628">
        <f t="shared" si="4"/>
        <v>1945</v>
      </c>
      <c r="B145" s="190">
        <v>15290566</v>
      </c>
      <c r="C145" s="228">
        <v>1647788.0548865895</v>
      </c>
      <c r="D145" s="1327">
        <f t="shared" si="3"/>
        <v>0.10776501372719555</v>
      </c>
      <c r="F145" s="330"/>
    </row>
    <row r="146" spans="1:6">
      <c r="A146" s="1628">
        <f t="shared" si="4"/>
        <v>1946</v>
      </c>
      <c r="B146" s="190">
        <v>15645641.543607164</v>
      </c>
      <c r="C146" s="228">
        <v>1681278.5586998751</v>
      </c>
      <c r="D146" s="1327">
        <f t="shared" si="3"/>
        <v>0.10745986695488677</v>
      </c>
      <c r="F146" s="330"/>
    </row>
    <row r="147" spans="1:6">
      <c r="A147" s="1628">
        <f t="shared" si="4"/>
        <v>1947</v>
      </c>
      <c r="B147" s="190">
        <v>16008962.605507629</v>
      </c>
      <c r="C147" s="228">
        <v>1715301.9311550588</v>
      </c>
      <c r="D147" s="1327">
        <f t="shared" si="3"/>
        <v>0.10714635129230275</v>
      </c>
      <c r="F147" s="330"/>
    </row>
    <row r="148" spans="1:6">
      <c r="A148" s="1628">
        <f t="shared" si="4"/>
        <v>1948</v>
      </c>
      <c r="B148" s="190">
        <v>16380720.662059452</v>
      </c>
      <c r="C148" s="228">
        <v>1740011.2942383008</v>
      </c>
      <c r="D148" s="1327">
        <f t="shared" si="3"/>
        <v>0.10622312229940312</v>
      </c>
      <c r="F148" s="330"/>
    </row>
    <row r="149" spans="1:6">
      <c r="A149" s="1628">
        <f t="shared" si="4"/>
        <v>1949</v>
      </c>
      <c r="B149" s="190">
        <v>16761111.636059882</v>
      </c>
      <c r="C149" s="228">
        <v>1764705.680262222</v>
      </c>
      <c r="D149" s="1327">
        <f t="shared" si="3"/>
        <v>0.10528571842846218</v>
      </c>
      <c r="F149" s="330"/>
    </row>
    <row r="150" spans="1:6">
      <c r="A150" s="1628">
        <f t="shared" si="4"/>
        <v>1950</v>
      </c>
      <c r="B150" s="190">
        <v>17150336</v>
      </c>
      <c r="C150" s="228">
        <v>1789373.5839928843</v>
      </c>
      <c r="D150" s="1327">
        <f t="shared" si="3"/>
        <v>0.10433460802125884</v>
      </c>
      <c r="F150" s="330"/>
    </row>
    <row r="151" spans="1:6">
      <c r="A151" s="1628">
        <f t="shared" si="4"/>
        <v>1951</v>
      </c>
      <c r="B151" s="190">
        <v>17517342</v>
      </c>
      <c r="C151" s="228">
        <v>1810772.4148598092</v>
      </c>
      <c r="D151" s="1327">
        <f t="shared" si="3"/>
        <v>0.10337027243401477</v>
      </c>
      <c r="F151" s="330"/>
    </row>
    <row r="152" spans="1:6">
      <c r="A152" s="1628">
        <f t="shared" si="4"/>
        <v>1952</v>
      </c>
      <c r="B152" s="190">
        <v>17876956</v>
      </c>
      <c r="C152" s="228">
        <v>1830478.8266193613</v>
      </c>
      <c r="D152" s="1327">
        <f t="shared" si="3"/>
        <v>0.10239320534320055</v>
      </c>
      <c r="F152" s="330"/>
    </row>
    <row r="153" spans="1:6">
      <c r="A153" s="1628">
        <f t="shared" si="4"/>
        <v>1953</v>
      </c>
      <c r="B153" s="190">
        <v>18230816</v>
      </c>
      <c r="C153" s="228">
        <v>1848676.0617227673</v>
      </c>
      <c r="D153" s="1327">
        <f t="shared" si="3"/>
        <v>0.10140391202032686</v>
      </c>
      <c r="F153" s="330"/>
    </row>
    <row r="154" spans="1:6">
      <c r="A154" s="1628">
        <f t="shared" si="4"/>
        <v>1954</v>
      </c>
      <c r="B154" s="190">
        <v>18580559</v>
      </c>
      <c r="C154" s="228">
        <v>1865542.1666032516</v>
      </c>
      <c r="D154" s="1327">
        <f t="shared" si="3"/>
        <v>0.10040290857789863</v>
      </c>
      <c r="F154" s="330"/>
    </row>
    <row r="155" spans="1:6">
      <c r="A155" s="1628">
        <f t="shared" si="4"/>
        <v>1955</v>
      </c>
      <c r="B155" s="190">
        <v>18927821</v>
      </c>
      <c r="C155" s="228">
        <v>1881249.7797233539</v>
      </c>
      <c r="D155" s="1327">
        <f t="shared" si="3"/>
        <v>9.93907211888444E-2</v>
      </c>
      <c r="F155" s="330"/>
    </row>
    <row r="156" spans="1:6">
      <c r="A156" s="1628">
        <f t="shared" si="4"/>
        <v>1956</v>
      </c>
      <c r="B156" s="190">
        <v>19271511</v>
      </c>
      <c r="C156" s="228">
        <v>1895697.7832560483</v>
      </c>
      <c r="D156" s="1327">
        <f t="shared" si="3"/>
        <v>9.8367885281857165E-2</v>
      </c>
      <c r="F156" s="330"/>
    </row>
    <row r="157" spans="1:6">
      <c r="A157" s="1628">
        <f t="shared" si="4"/>
        <v>1957</v>
      </c>
      <c r="B157" s="190">
        <v>19610538</v>
      </c>
      <c r="C157" s="228">
        <v>1908790.6320651297</v>
      </c>
      <c r="D157" s="1327">
        <f t="shared" si="3"/>
        <v>9.7334944715189844E-2</v>
      </c>
      <c r="F157" s="330"/>
    </row>
    <row r="158" spans="1:6">
      <c r="A158" s="1628">
        <f t="shared" si="4"/>
        <v>1958</v>
      </c>
      <c r="B158" s="190">
        <v>19946539</v>
      </c>
      <c r="C158" s="228">
        <v>1920701.1279116857</v>
      </c>
      <c r="D158" s="1327">
        <f t="shared" si="3"/>
        <v>9.6292450931546855E-2</v>
      </c>
      <c r="F158" s="330"/>
    </row>
    <row r="159" spans="1:6">
      <c r="A159" s="1628">
        <f t="shared" si="4"/>
        <v>1959</v>
      </c>
      <c r="B159" s="190">
        <v>20281151</v>
      </c>
      <c r="C159" s="228">
        <v>1931596.3336703472</v>
      </c>
      <c r="D159" s="1327">
        <f t="shared" si="3"/>
        <v>9.5240962096793585E-2</v>
      </c>
      <c r="F159" s="330"/>
    </row>
    <row r="160" spans="1:6">
      <c r="A160" s="1628">
        <f t="shared" si="4"/>
        <v>1960</v>
      </c>
      <c r="B160" s="190">
        <v>20616009</v>
      </c>
      <c r="C160" s="228">
        <v>1941637.2141455787</v>
      </c>
      <c r="D160" s="1327">
        <f t="shared" si="3"/>
        <v>9.4181042225271572E-2</v>
      </c>
      <c r="F160" s="330"/>
    </row>
    <row r="161" spans="1:6">
      <c r="A161" s="1628">
        <f t="shared" si="4"/>
        <v>1961</v>
      </c>
      <c r="B161" s="190">
        <v>20950583</v>
      </c>
      <c r="C161" s="228">
        <v>1968272.124307299</v>
      </c>
      <c r="D161" s="1327">
        <f t="shared" si="3"/>
        <v>9.394832231195184E-2</v>
      </c>
      <c r="F161" s="330"/>
    </row>
    <row r="162" spans="1:6">
      <c r="A162" s="1628">
        <f t="shared" si="4"/>
        <v>1962</v>
      </c>
      <c r="B162" s="190">
        <v>21283782</v>
      </c>
      <c r="C162" s="228">
        <v>1994403.1584279533</v>
      </c>
      <c r="D162" s="1327">
        <f t="shared" si="3"/>
        <v>9.3705299106519382E-2</v>
      </c>
      <c r="F162" s="330"/>
    </row>
    <row r="163" spans="1:6">
      <c r="A163" s="1628">
        <f t="shared" si="4"/>
        <v>1963</v>
      </c>
      <c r="B163" s="190">
        <v>21616402</v>
      </c>
      <c r="C163" s="228">
        <v>2020097.6394842996</v>
      </c>
      <c r="D163" s="1327">
        <f t="shared" si="3"/>
        <v>9.3452075858151587E-2</v>
      </c>
      <c r="F163" s="330"/>
    </row>
    <row r="164" spans="1:6">
      <c r="A164" s="1628">
        <f t="shared" si="4"/>
        <v>1964</v>
      </c>
      <c r="B164" s="190">
        <v>21949243</v>
      </c>
      <c r="C164" s="228">
        <v>2045422.7512945251</v>
      </c>
      <c r="D164" s="1327">
        <f t="shared" si="3"/>
        <v>9.318876060074259E-2</v>
      </c>
      <c r="F164" s="330"/>
    </row>
    <row r="165" spans="1:6">
      <c r="A165" s="1628">
        <f t="shared" si="4"/>
        <v>1965</v>
      </c>
      <c r="B165" s="190">
        <v>22283099</v>
      </c>
      <c r="C165" s="228">
        <v>2070444.5282673773</v>
      </c>
      <c r="D165" s="1327">
        <f t="shared" si="3"/>
        <v>9.2915466034027727E-2</v>
      </c>
      <c r="F165" s="330"/>
    </row>
    <row r="166" spans="1:6">
      <c r="A166" s="1628">
        <f t="shared" si="4"/>
        <v>1966</v>
      </c>
      <c r="B166" s="190">
        <v>22611641</v>
      </c>
      <c r="C166" s="228">
        <v>2094568.5251508958</v>
      </c>
      <c r="D166" s="1327">
        <f t="shared" si="3"/>
        <v>9.2632309399874865E-2</v>
      </c>
      <c r="F166" s="330"/>
    </row>
    <row r="167" spans="1:6">
      <c r="A167" s="1628">
        <f t="shared" si="4"/>
        <v>1967</v>
      </c>
      <c r="B167" s="190">
        <v>22934336</v>
      </c>
      <c r="C167" s="228">
        <v>2117743.1089691333</v>
      </c>
      <c r="D167" s="1327">
        <f t="shared" si="3"/>
        <v>9.233941235399766E-2</v>
      </c>
      <c r="F167" s="330"/>
    </row>
    <row r="168" spans="1:6">
      <c r="A168" s="1628">
        <f t="shared" si="4"/>
        <v>1968</v>
      </c>
      <c r="B168" s="190">
        <v>23260682</v>
      </c>
      <c r="C168" s="228">
        <v>2140841.0825501112</v>
      </c>
      <c r="D168" s="1327">
        <f t="shared" si="3"/>
        <v>9.2036900833350935E-2</v>
      </c>
      <c r="F168" s="330"/>
    </row>
    <row r="169" spans="1:6">
      <c r="A169" s="1628">
        <f t="shared" si="4"/>
        <v>1969</v>
      </c>
      <c r="B169" s="190">
        <v>23600175</v>
      </c>
      <c r="C169" s="228">
        <v>2164723.807958052</v>
      </c>
      <c r="D169" s="1327">
        <f t="shared" si="3"/>
        <v>9.1724904919478434E-2</v>
      </c>
      <c r="F169" s="330"/>
    </row>
    <row r="170" spans="1:6">
      <c r="A170" s="1628">
        <f t="shared" si="4"/>
        <v>1970</v>
      </c>
      <c r="B170" s="190">
        <v>23962313</v>
      </c>
      <c r="C170" s="228">
        <v>2190240.6828373987</v>
      </c>
      <c r="D170" s="1327">
        <f t="shared" si="3"/>
        <v>9.1403558698085557E-2</v>
      </c>
      <c r="F170" s="330"/>
    </row>
    <row r="171" spans="1:6">
      <c r="A171" s="1628">
        <f t="shared" si="4"/>
        <v>1971</v>
      </c>
      <c r="B171" s="190">
        <v>24354307</v>
      </c>
      <c r="C171" s="228">
        <v>2218936.5443980303</v>
      </c>
      <c r="D171" s="1327">
        <f t="shared" si="3"/>
        <v>9.1110641924569247E-2</v>
      </c>
      <c r="F171" s="330"/>
    </row>
    <row r="172" spans="1:6">
      <c r="A172" s="1628">
        <f t="shared" si="4"/>
        <v>1972</v>
      </c>
      <c r="B172" s="190">
        <v>24769825</v>
      </c>
      <c r="C172" s="228">
        <v>2249388.9832210736</v>
      </c>
      <c r="D172" s="1327">
        <f t="shared" si="3"/>
        <v>9.0811662303672866E-2</v>
      </c>
      <c r="F172" s="330"/>
    </row>
    <row r="173" spans="1:6">
      <c r="A173" s="1628">
        <f t="shared" si="4"/>
        <v>1973</v>
      </c>
      <c r="B173" s="190">
        <v>25198051</v>
      </c>
      <c r="C173" s="228">
        <v>2280593.1318512773</v>
      </c>
      <c r="D173" s="1327">
        <f t="shared" si="3"/>
        <v>9.0506727359638939E-2</v>
      </c>
      <c r="F173" s="330"/>
    </row>
    <row r="174" spans="1:6">
      <c r="A174" s="1628">
        <f t="shared" si="4"/>
        <v>1974</v>
      </c>
      <c r="B174" s="190">
        <v>25628167</v>
      </c>
      <c r="C174" s="228">
        <v>2311556.7225941485</v>
      </c>
      <c r="D174" s="1327">
        <f t="shared" si="3"/>
        <v>9.0195944274678266E-2</v>
      </c>
      <c r="F174" s="330"/>
    </row>
    <row r="175" spans="1:6">
      <c r="A175" s="1628">
        <f t="shared" si="4"/>
        <v>1975</v>
      </c>
      <c r="B175" s="190">
        <v>26049356</v>
      </c>
      <c r="C175" s="228">
        <v>2341301.0040904512</v>
      </c>
      <c r="D175" s="1327">
        <f t="shared" si="3"/>
        <v>8.9879419824829873E-2</v>
      </c>
      <c r="F175" s="330"/>
    </row>
    <row r="176" spans="1:6">
      <c r="A176" s="1628">
        <f t="shared" si="4"/>
        <v>1976</v>
      </c>
      <c r="B176" s="190">
        <v>26458254</v>
      </c>
      <c r="C176" s="228">
        <v>2369528.7410404286</v>
      </c>
      <c r="D176" s="1327">
        <f t="shared" si="3"/>
        <v>8.9557260318100684E-2</v>
      </c>
      <c r="F176" s="330"/>
    </row>
    <row r="177" spans="1:7">
      <c r="A177" s="1628">
        <f t="shared" si="4"/>
        <v>1977</v>
      </c>
      <c r="B177" s="190">
        <v>26862074</v>
      </c>
      <c r="C177" s="228">
        <v>2396891.353558253</v>
      </c>
      <c r="D177" s="1327">
        <f t="shared" si="3"/>
        <v>8.9229571534880481E-2</v>
      </c>
      <c r="F177" s="330"/>
    </row>
    <row r="178" spans="1:7">
      <c r="A178" s="1628">
        <f t="shared" si="4"/>
        <v>1978</v>
      </c>
      <c r="B178" s="190">
        <v>27265859</v>
      </c>
      <c r="C178" s="228">
        <v>2423838.3077126811</v>
      </c>
      <c r="D178" s="1327">
        <f t="shared" si="3"/>
        <v>8.8896458670628384E-2</v>
      </c>
      <c r="F178" s="330"/>
    </row>
    <row r="179" spans="1:7">
      <c r="A179" s="1628">
        <f t="shared" si="4"/>
        <v>1979</v>
      </c>
      <c r="B179" s="190">
        <v>27674655</v>
      </c>
      <c r="C179" s="228">
        <v>2450812.824802632</v>
      </c>
      <c r="D179" s="1327">
        <f t="shared" si="3"/>
        <v>8.8558026280820198E-2</v>
      </c>
      <c r="F179" s="330"/>
    </row>
    <row r="180" spans="1:7">
      <c r="A180" s="1628">
        <f t="shared" si="4"/>
        <v>1980</v>
      </c>
      <c r="B180" s="190">
        <v>28093507</v>
      </c>
      <c r="C180" s="228">
        <v>2478251.2522530649</v>
      </c>
      <c r="D180" s="1327">
        <f t="shared" si="3"/>
        <v>8.8214378228145915E-2</v>
      </c>
      <c r="F180" s="330"/>
    </row>
    <row r="181" spans="1:7">
      <c r="A181" s="1628">
        <f t="shared" si="4"/>
        <v>1981</v>
      </c>
      <c r="B181" s="190">
        <v>28524921</v>
      </c>
      <c r="C181" s="228">
        <v>2510570.8139027162</v>
      </c>
      <c r="D181" s="1327">
        <f t="shared" si="3"/>
        <v>8.8013243363678939E-2</v>
      </c>
      <c r="F181" s="330"/>
    </row>
    <row r="182" spans="1:7">
      <c r="A182" s="1628">
        <f t="shared" si="4"/>
        <v>1982</v>
      </c>
      <c r="B182" s="190">
        <v>28907602.932</v>
      </c>
      <c r="C182" s="228">
        <v>2538333.4046779471</v>
      </c>
      <c r="D182" s="1327">
        <f t="shared" si="3"/>
        <v>8.7808505279698398E-2</v>
      </c>
      <c r="F182" s="330"/>
    </row>
    <row r="183" spans="1:7">
      <c r="A183" s="1628">
        <f t="shared" si="4"/>
        <v>1983</v>
      </c>
      <c r="B183" s="190">
        <v>29323351.241999999</v>
      </c>
      <c r="C183" s="228">
        <v>2568729.8523432016</v>
      </c>
      <c r="D183" s="1327">
        <f t="shared" si="3"/>
        <v>8.7600146079619842E-2</v>
      </c>
      <c r="F183" s="330"/>
    </row>
    <row r="184" spans="1:7">
      <c r="A184" s="1628">
        <f t="shared" si="4"/>
        <v>1984</v>
      </c>
      <c r="B184" s="190">
        <v>29710021.41</v>
      </c>
      <c r="C184" s="228">
        <v>2596303.7051331806</v>
      </c>
      <c r="D184" s="1327">
        <f t="shared" si="3"/>
        <v>8.7388146555131704E-2</v>
      </c>
      <c r="F184" s="330"/>
    </row>
    <row r="185" spans="1:7">
      <c r="A185" s="1628">
        <f t="shared" si="4"/>
        <v>1985</v>
      </c>
      <c r="B185" s="190">
        <v>30123140.18</v>
      </c>
      <c r="C185" s="228">
        <v>2625909.0190790966</v>
      </c>
      <c r="D185" s="1327">
        <f t="shared" si="3"/>
        <v>8.717248611492856E-2</v>
      </c>
      <c r="F185" s="330"/>
    </row>
    <row r="186" spans="1:7">
      <c r="A186" s="1628">
        <f t="shared" si="4"/>
        <v>1986</v>
      </c>
      <c r="B186" s="190">
        <v>30502417.760000002</v>
      </c>
      <c r="C186" s="228">
        <v>2652281.0844887258</v>
      </c>
      <c r="D186" s="1327">
        <f t="shared" si="3"/>
        <v>8.6953142710111703E-2</v>
      </c>
      <c r="F186" s="330"/>
    </row>
    <row r="187" spans="1:7">
      <c r="A187" s="1628">
        <f>A186+1</f>
        <v>1987</v>
      </c>
      <c r="B187" s="190">
        <v>30911399.839000002</v>
      </c>
      <c r="C187" s="228">
        <v>2680948.5752581214</v>
      </c>
      <c r="D187" s="1327">
        <f t="shared" si="3"/>
        <v>8.6730092756124477E-2</v>
      </c>
      <c r="F187" s="330"/>
    </row>
    <row r="188" spans="1:7">
      <c r="A188" s="1628">
        <f t="shared" ref="A188:A204" si="5">A187+1</f>
        <v>1988</v>
      </c>
      <c r="B188" s="190">
        <v>31319984.52</v>
      </c>
      <c r="C188" s="228">
        <v>2709282.3630488948</v>
      </c>
      <c r="D188" s="1327">
        <f t="shared" si="3"/>
        <v>8.6503311051090354E-2</v>
      </c>
      <c r="F188" s="330"/>
    </row>
    <row r="189" spans="1:7">
      <c r="A189" s="1628">
        <f t="shared" si="5"/>
        <v>1989</v>
      </c>
      <c r="B189" s="190">
        <v>31760455.32</v>
      </c>
      <c r="C189" s="228">
        <v>2740062.4788457472</v>
      </c>
      <c r="D189" s="1327">
        <f t="shared" si="3"/>
        <v>8.6272770690421802E-2</v>
      </c>
      <c r="F189" s="330"/>
    </row>
    <row r="190" spans="1:7">
      <c r="A190" s="1628">
        <f t="shared" si="5"/>
        <v>1990</v>
      </c>
      <c r="B190" s="190">
        <v>32201824.050000001</v>
      </c>
      <c r="C190" s="228">
        <v>2770594.8022995857</v>
      </c>
      <c r="D190" s="1327">
        <f t="shared" si="3"/>
        <v>8.6038442977567464E-2</v>
      </c>
      <c r="F190" s="945"/>
      <c r="G190" s="945"/>
    </row>
    <row r="191" spans="1:7">
      <c r="A191" s="1629">
        <f t="shared" si="5"/>
        <v>1991</v>
      </c>
      <c r="B191" s="1328">
        <v>32615528</v>
      </c>
      <c r="C191" s="944">
        <v>2798422</v>
      </c>
      <c r="D191" s="2367">
        <f t="shared" si="3"/>
        <v>8.5800297330768341E-2</v>
      </c>
      <c r="F191" s="945"/>
      <c r="G191" s="945"/>
    </row>
    <row r="192" spans="1:7">
      <c r="A192" s="1628">
        <f t="shared" si="5"/>
        <v>1992</v>
      </c>
      <c r="B192" s="190">
        <v>32962861.665310036</v>
      </c>
      <c r="C192" s="228">
        <v>2818629.3972762167</v>
      </c>
      <c r="D192" s="1327">
        <f t="shared" si="3"/>
        <v>8.5509244491431075E-2</v>
      </c>
      <c r="F192" s="945"/>
      <c r="G192" s="945"/>
    </row>
    <row r="193" spans="1:7">
      <c r="A193" s="1628">
        <f t="shared" si="5"/>
        <v>1993</v>
      </c>
      <c r="B193" s="190">
        <v>33313894.202981044</v>
      </c>
      <c r="C193" s="228">
        <v>2838845.0288502183</v>
      </c>
      <c r="D193" s="1327">
        <f t="shared" si="3"/>
        <v>8.5215046057154992E-2</v>
      </c>
      <c r="F193" s="945"/>
      <c r="G193" s="945"/>
    </row>
    <row r="194" spans="1:7">
      <c r="A194" s="1628">
        <f t="shared" si="5"/>
        <v>1994</v>
      </c>
      <c r="B194" s="190">
        <v>33668665.003541812</v>
      </c>
      <c r="C194" s="228">
        <v>2859067.5345733506</v>
      </c>
      <c r="D194" s="1327">
        <f t="shared" si="3"/>
        <v>8.4917757632284735E-2</v>
      </c>
      <c r="F194" s="945"/>
      <c r="G194" s="945"/>
    </row>
    <row r="195" spans="1:7">
      <c r="A195" s="1628">
        <f t="shared" si="5"/>
        <v>1995</v>
      </c>
      <c r="B195" s="190">
        <v>34027213.877004042</v>
      </c>
      <c r="C195" s="228">
        <v>2879295.5436092531</v>
      </c>
      <c r="D195" s="1327">
        <f t="shared" si="3"/>
        <v>8.4617434563313221E-2</v>
      </c>
      <c r="F195" s="945"/>
      <c r="G195" s="945"/>
    </row>
    <row r="196" spans="1:7">
      <c r="A196" s="1628">
        <f t="shared" si="5"/>
        <v>1996</v>
      </c>
      <c r="B196" s="190">
        <v>34389581.057329573</v>
      </c>
      <c r="C196" s="228">
        <v>2899527.674220046</v>
      </c>
      <c r="D196" s="1327">
        <f t="shared" si="3"/>
        <v>8.4314131928107897E-2</v>
      </c>
      <c r="F196" s="945"/>
      <c r="G196" s="945"/>
    </row>
    <row r="197" spans="1:7">
      <c r="A197" s="1628">
        <f t="shared" si="5"/>
        <v>1997</v>
      </c>
      <c r="B197" s="190">
        <v>34755807.206945144</v>
      </c>
      <c r="C197" s="228">
        <v>2919762.533552275</v>
      </c>
      <c r="D197" s="1327">
        <f t="shared" si="3"/>
        <v>8.40079045256307E-2</v>
      </c>
      <c r="F197" s="945"/>
      <c r="G197" s="945"/>
    </row>
    <row r="198" spans="1:7">
      <c r="A198" s="1628">
        <f t="shared" si="5"/>
        <v>1998</v>
      </c>
      <c r="B198" s="190">
        <v>35125933.421305284</v>
      </c>
      <c r="C198" s="228">
        <v>2939998.717422843</v>
      </c>
      <c r="D198" s="1327">
        <f t="shared" si="3"/>
        <v>8.3698806866143408E-2</v>
      </c>
      <c r="F198" s="945"/>
      <c r="G198" s="945"/>
    </row>
    <row r="199" spans="1:7">
      <c r="A199" s="1628">
        <f t="shared" si="5"/>
        <v>1999</v>
      </c>
      <c r="B199" s="190">
        <v>35500001.233503766</v>
      </c>
      <c r="C199" s="228">
        <v>2960234.8101051068</v>
      </c>
      <c r="D199" s="1327">
        <f t="shared" ref="D199:D204" si="6">C199/B199</f>
        <v>8.338689316188902E-2</v>
      </c>
      <c r="F199" s="945"/>
      <c r="G199" s="945"/>
    </row>
    <row r="200" spans="1:7">
      <c r="A200" s="1628">
        <f t="shared" si="5"/>
        <v>2000</v>
      </c>
      <c r="B200" s="190">
        <v>35878052.618934155</v>
      </c>
      <c r="C200" s="228">
        <v>2980469.3841153737</v>
      </c>
      <c r="D200" s="1327">
        <f t="shared" si="6"/>
        <v>8.3072217318240715E-2</v>
      </c>
      <c r="F200" s="945"/>
      <c r="G200" s="945"/>
    </row>
    <row r="201" spans="1:7">
      <c r="A201" s="1629">
        <f t="shared" si="5"/>
        <v>2001</v>
      </c>
      <c r="B201" s="942">
        <v>36260130</v>
      </c>
      <c r="C201" s="943">
        <v>3000700.9999999991</v>
      </c>
      <c r="D201" s="2366">
        <f t="shared" si="6"/>
        <v>8.2754832925309399E-2</v>
      </c>
      <c r="F201" s="945"/>
      <c r="G201" s="945"/>
    </row>
    <row r="202" spans="1:7">
      <c r="A202" s="1628">
        <f t="shared" si="5"/>
        <v>2002</v>
      </c>
      <c r="B202" s="370">
        <f>B201*1.013261</f>
        <v>36740975.583930001</v>
      </c>
      <c r="C202" s="370">
        <f>C201*1.00918</f>
        <v>3028247.4351799991</v>
      </c>
      <c r="D202" s="1327">
        <f t="shared" si="6"/>
        <v>8.2421530377231281E-2</v>
      </c>
      <c r="F202" s="945"/>
      <c r="G202" s="945"/>
    </row>
    <row r="203" spans="1:7">
      <c r="A203" s="1628">
        <f t="shared" si="5"/>
        <v>2003</v>
      </c>
      <c r="B203" s="370">
        <f t="shared" ref="B203:B209" si="7">B202*1.013261</f>
        <v>37228197.661148496</v>
      </c>
      <c r="C203" s="370">
        <f t="shared" ref="C203:C208" si="8">C202*1.00918</f>
        <v>3056046.7466349513</v>
      </c>
      <c r="D203" s="1327">
        <f t="shared" si="6"/>
        <v>8.2089570235205203E-2</v>
      </c>
      <c r="F203" s="945"/>
      <c r="G203" s="945"/>
    </row>
    <row r="204" spans="1:7">
      <c r="A204" s="1628">
        <f t="shared" si="5"/>
        <v>2004</v>
      </c>
      <c r="B204" s="370">
        <f t="shared" si="7"/>
        <v>37721880.790332988</v>
      </c>
      <c r="C204" s="370">
        <f t="shared" si="8"/>
        <v>3084101.25576906</v>
      </c>
      <c r="D204" s="1327">
        <f t="shared" si="6"/>
        <v>8.1758947092569798E-2</v>
      </c>
      <c r="F204" s="945"/>
      <c r="G204" s="945"/>
    </row>
    <row r="205" spans="1:7">
      <c r="A205" s="1628">
        <f>A204+1</f>
        <v>2005</v>
      </c>
      <c r="B205" s="370">
        <f t="shared" si="7"/>
        <v>38222110.651493594</v>
      </c>
      <c r="C205" s="370">
        <f t="shared" si="8"/>
        <v>3112413.3052970199</v>
      </c>
      <c r="D205" s="1327">
        <f t="shared" ref="D205:D240" si="9">C205/B205</f>
        <v>8.1429655564439554E-2</v>
      </c>
      <c r="F205" s="945"/>
      <c r="G205" s="945"/>
    </row>
    <row r="206" spans="1:7">
      <c r="A206" s="1628">
        <f t="shared" ref="A206:A255" si="10">A205+1</f>
        <v>2006</v>
      </c>
      <c r="B206" s="370">
        <f t="shared" si="7"/>
        <v>38728974.06084305</v>
      </c>
      <c r="C206" s="370">
        <f t="shared" si="8"/>
        <v>3140985.2594396463</v>
      </c>
      <c r="D206" s="1327">
        <f t="shared" si="9"/>
        <v>8.1101690287617018E-2</v>
      </c>
      <c r="F206" s="945"/>
      <c r="G206" s="945"/>
    </row>
    <row r="207" spans="1:7">
      <c r="A207" s="1628">
        <f t="shared" si="10"/>
        <v>2007</v>
      </c>
      <c r="B207" s="370">
        <f t="shared" si="7"/>
        <v>39242558.985863887</v>
      </c>
      <c r="C207" s="370">
        <f t="shared" si="8"/>
        <v>3169819.5041213022</v>
      </c>
      <c r="D207" s="1327">
        <f t="shared" si="9"/>
        <v>8.0775045920505523E-2</v>
      </c>
      <c r="F207" s="945"/>
      <c r="G207" s="945"/>
    </row>
    <row r="208" spans="1:7">
      <c r="A208" s="1628">
        <f t="shared" si="10"/>
        <v>2008</v>
      </c>
      <c r="B208" s="370">
        <f t="shared" si="7"/>
        <v>39762954.560575426</v>
      </c>
      <c r="C208" s="370">
        <f t="shared" si="8"/>
        <v>3198918.4471691358</v>
      </c>
      <c r="D208" s="1327">
        <f t="shared" si="9"/>
        <v>8.0449717143022154E-2</v>
      </c>
      <c r="F208" s="945"/>
      <c r="G208" s="945"/>
    </row>
    <row r="209" spans="1:7">
      <c r="A209" s="1628">
        <f t="shared" si="10"/>
        <v>2009</v>
      </c>
      <c r="B209" s="370">
        <f t="shared" si="7"/>
        <v>40290251.101003215</v>
      </c>
      <c r="C209" s="370">
        <f>C208*1.00918</f>
        <v>3228284.5185141484</v>
      </c>
      <c r="D209" s="1327">
        <f t="shared" si="9"/>
        <v>8.0125698656511105E-2</v>
      </c>
      <c r="F209" s="945"/>
      <c r="G209" s="945"/>
    </row>
    <row r="210" spans="1:7">
      <c r="A210" s="1629">
        <f t="shared" si="10"/>
        <v>2010</v>
      </c>
      <c r="B210" s="942">
        <v>40788453</v>
      </c>
      <c r="C210" s="943">
        <v>3257907</v>
      </c>
      <c r="D210" s="2366">
        <f t="shared" si="9"/>
        <v>7.9873267073894666E-2</v>
      </c>
      <c r="F210" s="945"/>
      <c r="G210" s="946"/>
    </row>
    <row r="211" spans="1:7">
      <c r="A211" s="1628">
        <f t="shared" si="10"/>
        <v>2011</v>
      </c>
      <c r="B211" s="370">
        <v>41209321.345557228</v>
      </c>
      <c r="C211" s="370">
        <v>3290416.7348031406</v>
      </c>
      <c r="D211" s="1327">
        <f t="shared" si="9"/>
        <v>7.9846418901481864E-2</v>
      </c>
      <c r="F211" s="941"/>
      <c r="G211" s="941"/>
    </row>
    <row r="212" spans="1:7">
      <c r="A212" s="1628">
        <f t="shared" si="10"/>
        <v>2012</v>
      </c>
      <c r="B212" s="370">
        <v>41634532.345744975</v>
      </c>
      <c r="C212" s="370">
        <v>3323250.8750779447</v>
      </c>
      <c r="D212" s="1327">
        <f t="shared" si="9"/>
        <v>7.9819579753670003E-2</v>
      </c>
      <c r="F212" s="941"/>
      <c r="G212" s="941"/>
    </row>
    <row r="213" spans="1:7">
      <c r="A213" s="1628">
        <f t="shared" si="10"/>
        <v>2013</v>
      </c>
      <c r="B213" s="370">
        <v>42064130.809467115</v>
      </c>
      <c r="C213" s="370">
        <v>3356412.6579750897</v>
      </c>
      <c r="D213" s="1327">
        <f t="shared" si="9"/>
        <v>7.9792749627425621E-2</v>
      </c>
      <c r="F213" s="941"/>
      <c r="G213" s="941"/>
    </row>
    <row r="214" spans="1:7">
      <c r="A214" s="1628">
        <f t="shared" si="10"/>
        <v>2014</v>
      </c>
      <c r="B214" s="370">
        <v>42498162.007980168</v>
      </c>
      <c r="C214" s="370">
        <v>3389905.3529478665</v>
      </c>
      <c r="D214" s="1327">
        <f t="shared" si="9"/>
        <v>7.9765928519716242E-2</v>
      </c>
      <c r="F214" s="941"/>
      <c r="G214" s="941"/>
    </row>
    <row r="215" spans="1:7">
      <c r="A215" s="1628">
        <f t="shared" si="10"/>
        <v>2015</v>
      </c>
      <c r="B215" s="370">
        <v>42936671.679664008</v>
      </c>
      <c r="C215" s="370">
        <v>3423732.262074518</v>
      </c>
      <c r="D215" s="1327">
        <f t="shared" si="9"/>
        <v>7.9739116427510429E-2</v>
      </c>
      <c r="F215" s="941"/>
      <c r="G215" s="941"/>
    </row>
    <row r="216" spans="1:7">
      <c r="A216" s="1628">
        <f t="shared" si="10"/>
        <v>2016</v>
      </c>
      <c r="B216" s="370">
        <v>43379706.034841791</v>
      </c>
      <c r="C216" s="370">
        <v>3457896.720383794</v>
      </c>
      <c r="D216" s="1327">
        <f t="shared" si="9"/>
        <v>7.9712313347777744E-2</v>
      </c>
      <c r="F216" s="941"/>
      <c r="G216" s="941"/>
    </row>
    <row r="217" spans="1:7">
      <c r="A217" s="1628">
        <f t="shared" si="10"/>
        <v>2017</v>
      </c>
      <c r="B217" s="370">
        <v>43827311.760649607</v>
      </c>
      <c r="C217" s="370">
        <v>3492402.0961837559</v>
      </c>
      <c r="D217" s="1327">
        <f t="shared" si="9"/>
        <v>7.9685519277488806E-2</v>
      </c>
      <c r="F217" s="941"/>
      <c r="G217" s="941"/>
    </row>
    <row r="218" spans="1:7">
      <c r="A218" s="1628">
        <f t="shared" si="10"/>
        <v>2018</v>
      </c>
      <c r="B218" s="370">
        <v>44279536.0259564</v>
      </c>
      <c r="C218" s="370">
        <v>3527251.7913938602</v>
      </c>
      <c r="D218" s="1327">
        <f t="shared" si="9"/>
        <v>7.9658734213615204E-2</v>
      </c>
      <c r="F218" s="941"/>
      <c r="G218" s="941"/>
    </row>
    <row r="219" spans="1:7">
      <c r="A219" s="1628">
        <f t="shared" si="10"/>
        <v>2019</v>
      </c>
      <c r="B219" s="370">
        <v>44736426.486334637</v>
      </c>
      <c r="C219" s="370">
        <v>3562449.2418803587</v>
      </c>
      <c r="D219" s="1327">
        <f t="shared" si="9"/>
        <v>7.9631958153129609E-2</v>
      </c>
      <c r="F219" s="941"/>
      <c r="G219" s="941"/>
    </row>
    <row r="220" spans="1:7">
      <c r="A220" s="1628">
        <f t="shared" si="10"/>
        <v>2020</v>
      </c>
      <c r="B220" s="370">
        <v>45198031.289082274</v>
      </c>
      <c r="C220" s="370">
        <v>3597997.9177950425</v>
      </c>
      <c r="D220" s="1327">
        <f t="shared" si="9"/>
        <v>7.9605191093005637E-2</v>
      </c>
      <c r="F220" s="941"/>
      <c r="G220" s="941"/>
    </row>
    <row r="221" spans="1:7">
      <c r="A221" s="1628">
        <f t="shared" si="10"/>
        <v>2021</v>
      </c>
      <c r="B221" s="370">
        <v>45664399.078296542</v>
      </c>
      <c r="C221" s="370">
        <v>3633901.3239173684</v>
      </c>
      <c r="D221" s="1327">
        <f t="shared" si="9"/>
        <v>7.9578433030217971E-2</v>
      </c>
      <c r="F221" s="941"/>
      <c r="G221" s="941"/>
    </row>
    <row r="222" spans="1:7">
      <c r="A222" s="1629">
        <f t="shared" si="10"/>
        <v>2022</v>
      </c>
      <c r="B222" s="2508">
        <v>46135579</v>
      </c>
      <c r="C222" s="943">
        <v>3670163</v>
      </c>
      <c r="D222" s="2366">
        <f>C222/B222</f>
        <v>7.9551683961742406E-2</v>
      </c>
      <c r="F222" s="945"/>
      <c r="G222" s="945"/>
    </row>
    <row r="223" spans="1:7">
      <c r="A223" s="1628">
        <f t="shared" si="10"/>
        <v>2023</v>
      </c>
      <c r="B223" s="190">
        <v>46214462</v>
      </c>
      <c r="C223" s="190">
        <v>3674361</v>
      </c>
      <c r="D223" s="1327">
        <f t="shared" si="9"/>
        <v>7.9506735359160946E-2</v>
      </c>
      <c r="F223" s="1609"/>
      <c r="G223" s="945"/>
    </row>
    <row r="224" spans="1:7">
      <c r="A224" s="1628">
        <f t="shared" si="10"/>
        <v>2024</v>
      </c>
      <c r="B224" s="190">
        <v>46301743</v>
      </c>
      <c r="C224" s="190">
        <v>3679597</v>
      </c>
      <c r="D224" s="1327">
        <f t="shared" si="9"/>
        <v>7.9469945656257479E-2</v>
      </c>
      <c r="F224" s="945"/>
      <c r="G224" s="945"/>
    </row>
    <row r="225" spans="1:7">
      <c r="A225" s="1628">
        <f t="shared" si="10"/>
        <v>2025</v>
      </c>
      <c r="B225" s="190">
        <v>46387098</v>
      </c>
      <c r="C225" s="190">
        <v>3684529</v>
      </c>
      <c r="D225" s="1327">
        <f t="shared" si="9"/>
        <v>7.9430038930221505E-2</v>
      </c>
      <c r="F225" s="945"/>
      <c r="G225" s="945"/>
    </row>
    <row r="226" spans="1:7">
      <c r="A226" s="1628">
        <f t="shared" si="10"/>
        <v>2026</v>
      </c>
      <c r="B226" s="190">
        <v>46466688</v>
      </c>
      <c r="C226" s="190">
        <v>3688683</v>
      </c>
      <c r="D226" s="1327">
        <f t="shared" si="9"/>
        <v>7.9383385362003844E-2</v>
      </c>
      <c r="F226" s="945"/>
      <c r="G226" s="945"/>
    </row>
    <row r="227" spans="1:7">
      <c r="A227" s="1628">
        <f t="shared" si="10"/>
        <v>2027</v>
      </c>
      <c r="B227" s="190">
        <v>46540071</v>
      </c>
      <c r="C227" s="190">
        <v>3692001</v>
      </c>
      <c r="D227" s="1327">
        <f>C227/B227</f>
        <v>7.9329509402768214E-2</v>
      </c>
      <c r="F227" s="945"/>
      <c r="G227" s="945"/>
    </row>
    <row r="228" spans="1:7">
      <c r="A228" s="1628">
        <f t="shared" si="10"/>
        <v>2028</v>
      </c>
      <c r="B228" s="190">
        <v>46609533</v>
      </c>
      <c r="C228" s="190">
        <v>3695020</v>
      </c>
      <c r="D228" s="1327">
        <f t="shared" si="9"/>
        <v>7.9276057110462789E-2</v>
      </c>
      <c r="F228" s="945"/>
      <c r="G228" s="945"/>
    </row>
    <row r="229" spans="1:7">
      <c r="A229" s="1628">
        <f t="shared" si="10"/>
        <v>2029</v>
      </c>
      <c r="B229" s="190">
        <v>46676999</v>
      </c>
      <c r="C229" s="190">
        <v>3697955</v>
      </c>
      <c r="D229" s="1327">
        <f t="shared" si="9"/>
        <v>7.9224352019717462E-2</v>
      </c>
      <c r="F229" s="945"/>
      <c r="G229" s="945"/>
    </row>
    <row r="230" spans="1:7">
      <c r="A230" s="1628">
        <f t="shared" si="10"/>
        <v>2030</v>
      </c>
      <c r="B230" s="190">
        <v>46744389</v>
      </c>
      <c r="C230" s="190">
        <v>3700705</v>
      </c>
      <c r="D230" s="1327">
        <f t="shared" si="9"/>
        <v>7.9168967210160771E-2</v>
      </c>
      <c r="F230" s="945"/>
      <c r="G230" s="945"/>
    </row>
    <row r="231" spans="1:7">
      <c r="A231" s="1628">
        <f t="shared" si="10"/>
        <v>2031</v>
      </c>
      <c r="B231" s="190">
        <v>46814264</v>
      </c>
      <c r="C231" s="190">
        <v>3703416</v>
      </c>
      <c r="D231" s="1327">
        <f t="shared" si="9"/>
        <v>7.9108709260066551E-2</v>
      </c>
      <c r="F231" s="945"/>
      <c r="G231" s="945"/>
    </row>
    <row r="232" spans="1:7">
      <c r="A232" s="1628">
        <f t="shared" si="10"/>
        <v>2032</v>
      </c>
      <c r="B232" s="190">
        <v>46886737</v>
      </c>
      <c r="C232" s="190">
        <v>3706100</v>
      </c>
      <c r="D232" s="1327">
        <f t="shared" si="9"/>
        <v>7.9043674973585817E-2</v>
      </c>
      <c r="F232" s="945"/>
      <c r="G232" s="945"/>
    </row>
    <row r="233" spans="1:7">
      <c r="A233" s="1628">
        <f t="shared" si="10"/>
        <v>2033</v>
      </c>
      <c r="B233" s="190">
        <v>46961803</v>
      </c>
      <c r="C233" s="190">
        <v>3708721</v>
      </c>
      <c r="D233" s="1327">
        <f t="shared" si="9"/>
        <v>7.897313908497082E-2</v>
      </c>
      <c r="F233" s="945"/>
      <c r="G233" s="945"/>
    </row>
    <row r="234" spans="1:7">
      <c r="A234" s="1628">
        <f t="shared" si="10"/>
        <v>2034</v>
      </c>
      <c r="B234" s="190">
        <v>47039274</v>
      </c>
      <c r="C234" s="190">
        <v>3711266</v>
      </c>
      <c r="D234" s="1327">
        <f t="shared" si="9"/>
        <v>7.8897178557645262E-2</v>
      </c>
      <c r="F234" s="945"/>
      <c r="G234" s="945"/>
    </row>
    <row r="235" spans="1:7">
      <c r="A235" s="1628">
        <f t="shared" si="10"/>
        <v>2035</v>
      </c>
      <c r="B235" s="190">
        <v>47118716</v>
      </c>
      <c r="C235" s="190">
        <v>3713752</v>
      </c>
      <c r="D235" s="1327">
        <f t="shared" si="9"/>
        <v>7.8816918525538765E-2</v>
      </c>
      <c r="F235" s="945"/>
      <c r="G235" s="945"/>
    </row>
    <row r="236" spans="1:7">
      <c r="A236" s="1628">
        <f t="shared" si="10"/>
        <v>2036</v>
      </c>
      <c r="B236" s="190">
        <v>47199436</v>
      </c>
      <c r="C236" s="190">
        <v>3716208</v>
      </c>
      <c r="D236" s="1327">
        <f t="shared" si="9"/>
        <v>7.8734161145484871E-2</v>
      </c>
      <c r="F236" s="945"/>
      <c r="G236" s="945"/>
    </row>
    <row r="237" spans="1:7">
      <c r="A237" s="1628">
        <f t="shared" si="10"/>
        <v>2037</v>
      </c>
      <c r="B237" s="190">
        <v>47280504</v>
      </c>
      <c r="C237" s="190">
        <v>3718567</v>
      </c>
      <c r="D237" s="1327">
        <f t="shared" si="9"/>
        <v>7.8649055856088168E-2</v>
      </c>
      <c r="F237" s="945"/>
      <c r="G237" s="945"/>
    </row>
    <row r="238" spans="1:7">
      <c r="A238" s="1628">
        <f t="shared" si="10"/>
        <v>2038</v>
      </c>
      <c r="B238" s="190">
        <v>47360804</v>
      </c>
      <c r="C238" s="190">
        <v>3720759</v>
      </c>
      <c r="D238" s="1327">
        <f t="shared" si="9"/>
        <v>7.8561989783788297E-2</v>
      </c>
      <c r="F238" s="945"/>
      <c r="G238" s="945"/>
    </row>
    <row r="239" spans="1:7">
      <c r="A239" s="1628">
        <f t="shared" si="10"/>
        <v>2039</v>
      </c>
      <c r="B239" s="190">
        <v>47439108</v>
      </c>
      <c r="C239" s="190">
        <v>3722719</v>
      </c>
      <c r="D239" s="1327">
        <f t="shared" si="9"/>
        <v>7.8473629816142407E-2</v>
      </c>
      <c r="F239" s="945"/>
      <c r="G239" s="945"/>
    </row>
    <row r="240" spans="1:7">
      <c r="A240" s="1628">
        <f t="shared" si="10"/>
        <v>2040</v>
      </c>
      <c r="B240" s="190">
        <v>47514116</v>
      </c>
      <c r="C240" s="190">
        <v>3724386</v>
      </c>
      <c r="D240" s="1327">
        <f t="shared" si="9"/>
        <v>7.8384831993927873E-2</v>
      </c>
      <c r="F240" s="945"/>
      <c r="G240" s="945"/>
    </row>
    <row r="241" spans="1:4">
      <c r="A241" s="1628">
        <f t="shared" si="10"/>
        <v>2041</v>
      </c>
      <c r="B241" s="190" t="e">
        <v>#N/A</v>
      </c>
      <c r="C241" s="228" t="e">
        <v>#N/A</v>
      </c>
      <c r="D241" s="1327" t="e">
        <v>#N/A</v>
      </c>
    </row>
    <row r="242" spans="1:4">
      <c r="A242" s="1628">
        <f t="shared" si="10"/>
        <v>2042</v>
      </c>
      <c r="B242" s="190" t="e">
        <v>#N/A</v>
      </c>
      <c r="C242" s="228" t="e">
        <v>#N/A</v>
      </c>
      <c r="D242" s="1327" t="e">
        <v>#N/A</v>
      </c>
    </row>
    <row r="243" spans="1:4">
      <c r="A243" s="1628">
        <f t="shared" si="10"/>
        <v>2043</v>
      </c>
      <c r="B243" s="190" t="e">
        <v>#N/A</v>
      </c>
      <c r="C243" s="228" t="e">
        <v>#N/A</v>
      </c>
      <c r="D243" s="1327" t="e">
        <v>#N/A</v>
      </c>
    </row>
    <row r="244" spans="1:4">
      <c r="A244" s="1628">
        <f t="shared" si="10"/>
        <v>2044</v>
      </c>
      <c r="B244" s="190" t="e">
        <v>#N/A</v>
      </c>
      <c r="C244" s="228" t="e">
        <v>#N/A</v>
      </c>
      <c r="D244" s="1327" t="e">
        <v>#N/A</v>
      </c>
    </row>
    <row r="245" spans="1:4">
      <c r="A245" s="1628">
        <f t="shared" si="10"/>
        <v>2045</v>
      </c>
      <c r="B245" s="190" t="e">
        <v>#N/A</v>
      </c>
      <c r="C245" s="228" t="e">
        <v>#N/A</v>
      </c>
      <c r="D245" s="1327" t="e">
        <v>#N/A</v>
      </c>
    </row>
    <row r="246" spans="1:4">
      <c r="A246" s="1628">
        <f t="shared" si="10"/>
        <v>2046</v>
      </c>
      <c r="B246" s="190" t="e">
        <v>#N/A</v>
      </c>
      <c r="C246" s="228" t="e">
        <v>#N/A</v>
      </c>
      <c r="D246" s="1327" t="e">
        <v>#N/A</v>
      </c>
    </row>
    <row r="247" spans="1:4">
      <c r="A247" s="1628">
        <f t="shared" si="10"/>
        <v>2047</v>
      </c>
      <c r="B247" s="190" t="e">
        <v>#N/A</v>
      </c>
      <c r="C247" s="228" t="e">
        <v>#N/A</v>
      </c>
      <c r="D247" s="1327" t="e">
        <v>#N/A</v>
      </c>
    </row>
    <row r="248" spans="1:4">
      <c r="A248" s="1628">
        <f t="shared" si="10"/>
        <v>2048</v>
      </c>
      <c r="B248" s="190" t="e">
        <v>#N/A</v>
      </c>
      <c r="C248" s="228" t="e">
        <v>#N/A</v>
      </c>
      <c r="D248" s="1327" t="e">
        <v>#N/A</v>
      </c>
    </row>
    <row r="249" spans="1:4">
      <c r="A249" s="1628">
        <f t="shared" si="10"/>
        <v>2049</v>
      </c>
      <c r="B249" s="190" t="e">
        <v>#N/A</v>
      </c>
      <c r="C249" s="228" t="e">
        <v>#N/A</v>
      </c>
      <c r="D249" s="1327" t="e">
        <v>#N/A</v>
      </c>
    </row>
    <row r="250" spans="1:4">
      <c r="A250" s="1628">
        <f t="shared" si="10"/>
        <v>2050</v>
      </c>
      <c r="B250" s="190" t="e">
        <v>#N/A</v>
      </c>
      <c r="C250" s="228" t="e">
        <v>#N/A</v>
      </c>
      <c r="D250" s="1327" t="e">
        <v>#N/A</v>
      </c>
    </row>
    <row r="251" spans="1:4">
      <c r="A251" s="1628">
        <f t="shared" si="10"/>
        <v>2051</v>
      </c>
      <c r="B251" s="190" t="e">
        <v>#N/A</v>
      </c>
      <c r="C251" s="228" t="e">
        <v>#N/A</v>
      </c>
      <c r="D251" s="1327" t="e">
        <v>#N/A</v>
      </c>
    </row>
    <row r="252" spans="1:4">
      <c r="A252" s="1628">
        <f t="shared" si="10"/>
        <v>2052</v>
      </c>
      <c r="B252" s="190" t="e">
        <v>#N/A</v>
      </c>
      <c r="C252" s="228" t="e">
        <v>#N/A</v>
      </c>
      <c r="D252" s="1327" t="e">
        <v>#N/A</v>
      </c>
    </row>
    <row r="253" spans="1:4">
      <c r="A253" s="1628">
        <f t="shared" si="10"/>
        <v>2053</v>
      </c>
      <c r="B253" s="190" t="e">
        <v>#N/A</v>
      </c>
      <c r="C253" s="228" t="e">
        <v>#N/A</v>
      </c>
      <c r="D253" s="1327" t="e">
        <v>#N/A</v>
      </c>
    </row>
    <row r="254" spans="1:4">
      <c r="A254" s="1628">
        <f t="shared" si="10"/>
        <v>2054</v>
      </c>
      <c r="B254" s="190" t="e">
        <v>#N/A</v>
      </c>
      <c r="C254" s="228" t="e">
        <v>#N/A</v>
      </c>
      <c r="D254" s="1327" t="e">
        <v>#N/A</v>
      </c>
    </row>
    <row r="255" spans="1:4">
      <c r="A255" s="1628">
        <f t="shared" si="10"/>
        <v>2055</v>
      </c>
      <c r="B255" s="190" t="e">
        <v>#N/A</v>
      </c>
      <c r="C255" s="228" t="e">
        <v>#N/A</v>
      </c>
      <c r="D255" s="1327" t="e">
        <v>#N/A</v>
      </c>
    </row>
    <row r="960" spans="1:2">
      <c r="A960" s="1248"/>
      <c r="B960" s="1248"/>
    </row>
    <row r="961" spans="1:2">
      <c r="A961" s="1248"/>
      <c r="B961" s="1248"/>
    </row>
    <row r="962" spans="1:2">
      <c r="A962" s="1248"/>
      <c r="B962" s="1248"/>
    </row>
    <row r="963" spans="1:2">
      <c r="A963" s="1248"/>
      <c r="B963" s="1248"/>
    </row>
  </sheetData>
  <hyperlinks>
    <hyperlink ref="A5" location="INDICE!A13" display="VOLVER AL INDICE" xr:uid="{00000000-0004-0000-1400-000000000000}"/>
  </hyperlinks>
  <pageMargins left="0.7" right="0.7" top="0.75" bottom="0.75" header="0.3" footer="0.3"/>
  <pageSetup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2"/>
  <dimension ref="A1:M489"/>
  <sheetViews>
    <sheetView workbookViewId="0">
      <pane xSplit="1" ySplit="9" topLeftCell="B420" activePane="bottomRight" state="frozen"/>
      <selection pane="topRight" activeCell="B1" sqref="B1"/>
      <selection pane="bottomLeft" activeCell="A10" sqref="A10"/>
      <selection pane="bottomRight" activeCell="F435" sqref="F435"/>
    </sheetView>
  </sheetViews>
  <sheetFormatPr baseColWidth="10" defaultColWidth="11.42578125" defaultRowHeight="12.75"/>
  <cols>
    <col min="1" max="1" width="10.42578125" style="21" bestFit="1" customWidth="1"/>
    <col min="2" max="6" width="23.5703125" style="21" customWidth="1"/>
    <col min="7" max="7" width="12.5703125" style="6" bestFit="1" customWidth="1"/>
    <col min="8" max="8" width="14.85546875" style="6" bestFit="1" customWidth="1"/>
    <col min="9" max="9" width="16.5703125" style="6" bestFit="1" customWidth="1"/>
    <col min="10" max="16384" width="11.42578125" style="6"/>
  </cols>
  <sheetData>
    <row r="1" spans="1:6" ht="3" customHeight="1">
      <c r="A1" s="2761"/>
      <c r="B1" s="72"/>
      <c r="C1" s="1522"/>
      <c r="D1" s="1329"/>
      <c r="E1" s="1330"/>
      <c r="F1" s="1100"/>
    </row>
    <row r="2" spans="1:6" ht="45">
      <c r="A2" s="2762" t="s">
        <v>99</v>
      </c>
      <c r="B2" s="1199" t="s">
        <v>965</v>
      </c>
      <c r="C2" s="2742" t="s">
        <v>966</v>
      </c>
      <c r="D2" s="2742"/>
      <c r="E2" s="2906" t="s">
        <v>967</v>
      </c>
      <c r="F2" s="316" t="s">
        <v>968</v>
      </c>
    </row>
    <row r="3" spans="1:6" ht="33.75">
      <c r="A3" s="2762" t="s">
        <v>193</v>
      </c>
      <c r="B3" s="1199" t="s">
        <v>969</v>
      </c>
      <c r="C3" s="2742"/>
      <c r="D3" s="2742"/>
      <c r="E3" s="2907" t="s">
        <v>970</v>
      </c>
      <c r="F3" s="316" t="s">
        <v>971</v>
      </c>
    </row>
    <row r="4" spans="1:6" ht="3" hidden="1" customHeight="1">
      <c r="A4" s="2762"/>
      <c r="B4" s="73"/>
      <c r="C4" s="332" t="s">
        <v>5</v>
      </c>
      <c r="D4" s="332"/>
      <c r="E4" s="2908"/>
      <c r="F4" s="74"/>
    </row>
    <row r="5" spans="1:6" ht="22.5">
      <c r="A5" s="2867" t="s">
        <v>140</v>
      </c>
      <c r="B5" s="3" t="s">
        <v>972</v>
      </c>
      <c r="C5" s="2758" t="s">
        <v>973</v>
      </c>
      <c r="D5" s="2060" t="s">
        <v>973</v>
      </c>
      <c r="E5" s="2902" t="s">
        <v>974</v>
      </c>
      <c r="F5" s="1" t="s">
        <v>975</v>
      </c>
    </row>
    <row r="6" spans="1:6" ht="3" hidden="1" customHeight="1">
      <c r="A6" s="2762"/>
      <c r="B6" s="73"/>
      <c r="C6" s="73"/>
      <c r="D6" s="2207"/>
      <c r="E6" s="2908"/>
      <c r="F6" s="74"/>
    </row>
    <row r="7" spans="1:6" ht="22.5">
      <c r="A7" s="2762" t="s">
        <v>125</v>
      </c>
      <c r="B7" s="2206" t="s">
        <v>976</v>
      </c>
      <c r="C7" s="2909" t="s">
        <v>594</v>
      </c>
      <c r="D7" s="2208" t="s">
        <v>977</v>
      </c>
      <c r="E7" s="2816" t="s">
        <v>132</v>
      </c>
      <c r="F7" s="331" t="s">
        <v>978</v>
      </c>
    </row>
    <row r="8" spans="1:6">
      <c r="A8" s="2751" t="s">
        <v>144</v>
      </c>
      <c r="B8" s="1751" t="s">
        <v>979</v>
      </c>
      <c r="C8" s="2797" t="s">
        <v>980</v>
      </c>
      <c r="D8" s="2210" t="s">
        <v>981</v>
      </c>
      <c r="E8" s="2819" t="s">
        <v>982</v>
      </c>
      <c r="F8" s="2141" t="s">
        <v>983</v>
      </c>
    </row>
    <row r="9" spans="1:6" ht="13.5" thickBot="1">
      <c r="A9" s="2140"/>
      <c r="B9" s="1372"/>
      <c r="C9" s="1322"/>
      <c r="D9" s="1363"/>
      <c r="E9" s="1332"/>
      <c r="F9" s="1333"/>
    </row>
    <row r="10" spans="1:6">
      <c r="A10" s="57">
        <v>1991.01</v>
      </c>
      <c r="B10" s="561">
        <v>128926860</v>
      </c>
      <c r="C10" s="162"/>
      <c r="D10" s="2209"/>
      <c r="E10" s="354"/>
      <c r="F10" s="352"/>
    </row>
    <row r="11" spans="1:6">
      <c r="A11" s="53">
        <v>1991.02</v>
      </c>
      <c r="B11" s="643">
        <v>108608079</v>
      </c>
      <c r="C11" s="349"/>
      <c r="D11" s="2910"/>
      <c r="E11" s="355"/>
      <c r="F11" s="92"/>
    </row>
    <row r="12" spans="1:6">
      <c r="A12" s="53">
        <v>1991.03</v>
      </c>
      <c r="B12" s="643">
        <v>105015628</v>
      </c>
      <c r="C12" s="349"/>
      <c r="D12" s="2910"/>
      <c r="E12" s="355"/>
      <c r="F12" s="92"/>
    </row>
    <row r="13" spans="1:6">
      <c r="A13" s="53">
        <v>1991.04</v>
      </c>
      <c r="B13" s="643">
        <v>99343516</v>
      </c>
      <c r="C13" s="349"/>
      <c r="D13" s="2910"/>
      <c r="E13" s="355"/>
      <c r="F13" s="92"/>
    </row>
    <row r="14" spans="1:6">
      <c r="A14" s="53">
        <v>1991.05</v>
      </c>
      <c r="B14" s="643">
        <v>100696627</v>
      </c>
      <c r="C14" s="349"/>
      <c r="D14" s="2910"/>
      <c r="E14" s="355"/>
      <c r="F14" s="92"/>
    </row>
    <row r="15" spans="1:6">
      <c r="A15" s="53">
        <v>1991.06</v>
      </c>
      <c r="B15" s="643">
        <v>96864242</v>
      </c>
      <c r="C15" s="349"/>
      <c r="D15" s="2910"/>
      <c r="E15" s="355"/>
      <c r="F15" s="92"/>
    </row>
    <row r="16" spans="1:6">
      <c r="A16" s="53">
        <v>1991.07</v>
      </c>
      <c r="B16" s="643">
        <v>112008590</v>
      </c>
      <c r="C16" s="349"/>
      <c r="D16" s="2910"/>
      <c r="E16" s="355"/>
      <c r="F16" s="92"/>
    </row>
    <row r="17" spans="1:6">
      <c r="A17" s="53">
        <v>1991.08</v>
      </c>
      <c r="B17" s="643">
        <v>117656877</v>
      </c>
      <c r="C17" s="349"/>
      <c r="D17" s="2910"/>
      <c r="E17" s="355"/>
      <c r="F17" s="92"/>
    </row>
    <row r="18" spans="1:6">
      <c r="A18" s="53">
        <v>1991.09</v>
      </c>
      <c r="B18" s="643">
        <v>122702739</v>
      </c>
      <c r="C18" s="349"/>
      <c r="D18" s="2910"/>
      <c r="E18" s="355"/>
      <c r="F18" s="92"/>
    </row>
    <row r="19" spans="1:6">
      <c r="A19" s="53">
        <v>1991.1</v>
      </c>
      <c r="B19" s="643">
        <v>141539355</v>
      </c>
      <c r="C19" s="349"/>
      <c r="D19" s="2910"/>
      <c r="E19" s="355"/>
      <c r="F19" s="92"/>
    </row>
    <row r="20" spans="1:6">
      <c r="A20" s="53">
        <v>1991.11</v>
      </c>
      <c r="B20" s="643">
        <v>141261703</v>
      </c>
      <c r="C20" s="349"/>
      <c r="D20" s="2910"/>
      <c r="E20" s="355"/>
      <c r="F20" s="92"/>
    </row>
    <row r="21" spans="1:6">
      <c r="A21" s="53">
        <v>1991.12</v>
      </c>
      <c r="B21" s="643">
        <v>139349960</v>
      </c>
      <c r="C21" s="349"/>
      <c r="D21" s="2910"/>
      <c r="E21" s="355"/>
      <c r="F21" s="92"/>
    </row>
    <row r="22" spans="1:6">
      <c r="A22" s="53">
        <v>1992.01</v>
      </c>
      <c r="B22" s="643">
        <v>131027567</v>
      </c>
      <c r="C22" s="349"/>
      <c r="D22" s="2910"/>
      <c r="E22" s="355"/>
      <c r="F22" s="92"/>
    </row>
    <row r="23" spans="1:6">
      <c r="A23" s="53">
        <v>1992.02</v>
      </c>
      <c r="B23" s="643">
        <v>112415384</v>
      </c>
      <c r="C23" s="349"/>
      <c r="D23" s="2910"/>
      <c r="E23" s="355"/>
      <c r="F23" s="92"/>
    </row>
    <row r="24" spans="1:6">
      <c r="A24" s="53">
        <v>1992.03</v>
      </c>
      <c r="B24" s="643">
        <v>107799234</v>
      </c>
      <c r="C24" s="349"/>
      <c r="D24" s="2910"/>
      <c r="E24" s="355"/>
      <c r="F24" s="92"/>
    </row>
    <row r="25" spans="1:6">
      <c r="A25" s="53">
        <v>1992.04</v>
      </c>
      <c r="B25" s="643">
        <v>98644955</v>
      </c>
      <c r="C25" s="349"/>
      <c r="D25" s="2910"/>
      <c r="E25" s="355"/>
      <c r="F25" s="92"/>
    </row>
    <row r="26" spans="1:6">
      <c r="A26" s="53">
        <v>1992.05</v>
      </c>
      <c r="B26" s="643">
        <v>102394433</v>
      </c>
      <c r="C26" s="349"/>
      <c r="D26" s="2910"/>
      <c r="E26" s="355"/>
      <c r="F26" s="92"/>
    </row>
    <row r="27" spans="1:6">
      <c r="A27" s="53">
        <v>1992.06</v>
      </c>
      <c r="B27" s="643">
        <v>108394385</v>
      </c>
      <c r="C27" s="349"/>
      <c r="D27" s="2910"/>
      <c r="E27" s="355"/>
      <c r="F27" s="92"/>
    </row>
    <row r="28" spans="1:6">
      <c r="A28" s="53">
        <v>1992.07</v>
      </c>
      <c r="B28" s="643">
        <v>119005241</v>
      </c>
      <c r="C28" s="349"/>
      <c r="D28" s="2910"/>
      <c r="E28" s="355"/>
      <c r="F28" s="92"/>
    </row>
    <row r="29" spans="1:6">
      <c r="A29" s="53">
        <v>1992.08</v>
      </c>
      <c r="B29" s="643">
        <v>122338331</v>
      </c>
      <c r="C29" s="349"/>
      <c r="D29" s="2910"/>
      <c r="E29" s="355"/>
      <c r="F29" s="92"/>
    </row>
    <row r="30" spans="1:6">
      <c r="A30" s="53">
        <v>1992.09</v>
      </c>
      <c r="B30" s="643">
        <v>131262183</v>
      </c>
      <c r="C30" s="349"/>
      <c r="D30" s="2910"/>
      <c r="E30" s="355"/>
      <c r="F30" s="92"/>
    </row>
    <row r="31" spans="1:6">
      <c r="A31" s="53">
        <v>1992.1</v>
      </c>
      <c r="B31" s="643">
        <v>154309183</v>
      </c>
      <c r="C31" s="349"/>
      <c r="D31" s="2910"/>
      <c r="E31" s="355"/>
      <c r="F31" s="92"/>
    </row>
    <row r="32" spans="1:6">
      <c r="A32" s="53">
        <v>1992.11</v>
      </c>
      <c r="B32" s="643">
        <v>153920132</v>
      </c>
      <c r="C32" s="349"/>
      <c r="D32" s="2910"/>
      <c r="E32" s="355"/>
      <c r="F32" s="92"/>
    </row>
    <row r="33" spans="1:6">
      <c r="A33" s="53">
        <v>1992.12</v>
      </c>
      <c r="B33" s="643">
        <v>153561364</v>
      </c>
      <c r="C33" s="349"/>
      <c r="D33" s="2910"/>
      <c r="E33" s="355"/>
      <c r="F33" s="92"/>
    </row>
    <row r="34" spans="1:6">
      <c r="A34" s="53">
        <v>1993.01</v>
      </c>
      <c r="B34" s="643">
        <v>131383178</v>
      </c>
      <c r="C34" s="349"/>
      <c r="D34" s="2910"/>
      <c r="E34" s="355"/>
      <c r="F34" s="92"/>
    </row>
    <row r="35" spans="1:6">
      <c r="A35" s="53">
        <v>1993.02</v>
      </c>
      <c r="B35" s="643">
        <v>118816277</v>
      </c>
      <c r="C35" s="349"/>
      <c r="D35" s="2910"/>
      <c r="E35" s="355"/>
      <c r="F35" s="92"/>
    </row>
    <row r="36" spans="1:6">
      <c r="A36" s="53">
        <v>1993.03</v>
      </c>
      <c r="B36" s="643">
        <v>116251172</v>
      </c>
      <c r="C36" s="349"/>
      <c r="D36" s="2910"/>
      <c r="E36" s="355"/>
      <c r="F36" s="92"/>
    </row>
    <row r="37" spans="1:6">
      <c r="A37" s="53">
        <v>1993.04</v>
      </c>
      <c r="B37" s="643">
        <v>109624355</v>
      </c>
      <c r="C37" s="349"/>
      <c r="D37" s="2910"/>
      <c r="E37" s="355"/>
      <c r="F37" s="92"/>
    </row>
    <row r="38" spans="1:6">
      <c r="A38" s="53">
        <v>1993.05</v>
      </c>
      <c r="B38" s="643">
        <v>115191255</v>
      </c>
      <c r="C38" s="349"/>
      <c r="D38" s="2910"/>
      <c r="E38" s="355"/>
      <c r="F38" s="92"/>
    </row>
    <row r="39" spans="1:6">
      <c r="A39" s="53">
        <v>1993.06</v>
      </c>
      <c r="B39" s="643">
        <v>117679189</v>
      </c>
      <c r="C39" s="349"/>
      <c r="D39" s="2910"/>
      <c r="E39" s="355"/>
      <c r="F39" s="92"/>
    </row>
    <row r="40" spans="1:6">
      <c r="A40" s="53">
        <v>1993.07</v>
      </c>
      <c r="B40" s="643">
        <v>128152942</v>
      </c>
      <c r="C40" s="349"/>
      <c r="D40" s="2910"/>
      <c r="E40" s="355"/>
      <c r="F40" s="92"/>
    </row>
    <row r="41" spans="1:6">
      <c r="A41" s="53">
        <v>1993.08</v>
      </c>
      <c r="B41" s="643">
        <v>132739100</v>
      </c>
      <c r="C41" s="349"/>
      <c r="D41" s="2910"/>
      <c r="E41" s="355"/>
      <c r="F41" s="92"/>
    </row>
    <row r="42" spans="1:6">
      <c r="A42" s="53">
        <v>1993.09</v>
      </c>
      <c r="B42" s="643">
        <v>137813132</v>
      </c>
      <c r="C42" s="349"/>
      <c r="D42" s="2910"/>
      <c r="E42" s="355"/>
      <c r="F42" s="92"/>
    </row>
    <row r="43" spans="1:6">
      <c r="A43" s="53">
        <v>1993.1</v>
      </c>
      <c r="B43" s="643">
        <v>148619046</v>
      </c>
      <c r="C43" s="349"/>
      <c r="D43" s="2910"/>
      <c r="E43" s="355"/>
      <c r="F43" s="92"/>
    </row>
    <row r="44" spans="1:6">
      <c r="A44" s="53">
        <v>1993.11</v>
      </c>
      <c r="B44" s="643">
        <v>147923346</v>
      </c>
      <c r="C44" s="349"/>
      <c r="D44" s="2910"/>
      <c r="E44" s="355"/>
      <c r="F44" s="92"/>
    </row>
    <row r="45" spans="1:6">
      <c r="A45" s="53">
        <v>1993.12</v>
      </c>
      <c r="B45" s="643">
        <v>153727914</v>
      </c>
      <c r="C45" s="349"/>
      <c r="D45" s="2910"/>
      <c r="E45" s="355"/>
      <c r="F45" s="92"/>
    </row>
    <row r="46" spans="1:6">
      <c r="A46" s="53">
        <v>1994.01</v>
      </c>
      <c r="B46" s="643">
        <v>151521451</v>
      </c>
      <c r="C46" s="349"/>
      <c r="D46" s="2910"/>
      <c r="E46" s="355"/>
      <c r="F46" s="92"/>
    </row>
    <row r="47" spans="1:6">
      <c r="A47" s="53">
        <v>1994.02</v>
      </c>
      <c r="B47" s="643">
        <v>129500344</v>
      </c>
      <c r="C47" s="349"/>
      <c r="D47" s="2910"/>
      <c r="E47" s="355"/>
      <c r="F47" s="92"/>
    </row>
    <row r="48" spans="1:6">
      <c r="A48" s="53">
        <v>1994.03</v>
      </c>
      <c r="B48" s="643">
        <v>130473173</v>
      </c>
      <c r="C48" s="349"/>
      <c r="D48" s="2910"/>
      <c r="E48" s="355"/>
      <c r="F48" s="92"/>
    </row>
    <row r="49" spans="1:6">
      <c r="A49" s="53">
        <v>1994.04</v>
      </c>
      <c r="B49" s="643">
        <v>124023923</v>
      </c>
      <c r="C49" s="349"/>
      <c r="D49" s="2910"/>
      <c r="E49" s="355"/>
      <c r="F49" s="92"/>
    </row>
    <row r="50" spans="1:6">
      <c r="A50" s="53">
        <v>1994.05</v>
      </c>
      <c r="B50" s="643">
        <v>135229265</v>
      </c>
      <c r="C50" s="349"/>
      <c r="D50" s="2910"/>
      <c r="E50" s="355"/>
      <c r="F50" s="92"/>
    </row>
    <row r="51" spans="1:6">
      <c r="A51" s="53">
        <v>1994.06</v>
      </c>
      <c r="B51" s="643">
        <v>137742463</v>
      </c>
      <c r="C51" s="349"/>
      <c r="D51" s="2910"/>
      <c r="E51" s="355"/>
      <c r="F51" s="92"/>
    </row>
    <row r="52" spans="1:6">
      <c r="A52" s="53">
        <v>1994.07</v>
      </c>
      <c r="B52" s="643">
        <v>142824446</v>
      </c>
      <c r="C52" s="349"/>
      <c r="D52" s="2910"/>
      <c r="E52" s="355"/>
      <c r="F52" s="92"/>
    </row>
    <row r="53" spans="1:6">
      <c r="A53" s="53">
        <v>1994.08</v>
      </c>
      <c r="B53" s="643">
        <v>151176958</v>
      </c>
      <c r="C53" s="349"/>
      <c r="D53" s="2910"/>
      <c r="E53" s="355"/>
      <c r="F53" s="92"/>
    </row>
    <row r="54" spans="1:6">
      <c r="A54" s="53">
        <v>1994.09</v>
      </c>
      <c r="B54" s="643">
        <v>154010998</v>
      </c>
      <c r="C54" s="349"/>
      <c r="D54" s="2910"/>
      <c r="E54" s="355"/>
      <c r="F54" s="92"/>
    </row>
    <row r="55" spans="1:6">
      <c r="A55" s="53">
        <v>1994.1</v>
      </c>
      <c r="B55" s="643">
        <v>165808423</v>
      </c>
      <c r="C55" s="349"/>
      <c r="D55" s="2910"/>
      <c r="E55" s="355"/>
      <c r="F55" s="92"/>
    </row>
    <row r="56" spans="1:6">
      <c r="A56" s="53">
        <v>1994.11</v>
      </c>
      <c r="B56" s="643">
        <v>168944455</v>
      </c>
      <c r="C56" s="349"/>
      <c r="D56" s="2910"/>
      <c r="E56" s="355"/>
      <c r="F56" s="92"/>
    </row>
    <row r="57" spans="1:6">
      <c r="A57" s="53">
        <v>1994.12</v>
      </c>
      <c r="B57" s="643">
        <v>173188513</v>
      </c>
      <c r="C57" s="349"/>
      <c r="D57" s="2910"/>
      <c r="E57" s="355"/>
      <c r="F57" s="92"/>
    </row>
    <row r="58" spans="1:6">
      <c r="A58" s="53">
        <v>1995.01</v>
      </c>
      <c r="B58" s="643">
        <v>171811607</v>
      </c>
      <c r="C58" s="349"/>
      <c r="D58" s="2910"/>
      <c r="E58" s="355"/>
      <c r="F58" s="314">
        <v>1750</v>
      </c>
    </row>
    <row r="59" spans="1:6">
      <c r="A59" s="53">
        <v>1995.02</v>
      </c>
      <c r="B59" s="643">
        <v>148235585</v>
      </c>
      <c r="C59" s="349"/>
      <c r="D59" s="2910"/>
      <c r="E59" s="355"/>
      <c r="F59" s="353">
        <v>1925</v>
      </c>
    </row>
    <row r="60" spans="1:6">
      <c r="A60" s="53">
        <v>1995.03</v>
      </c>
      <c r="B60" s="643">
        <v>157395538</v>
      </c>
      <c r="C60" s="349"/>
      <c r="D60" s="2910"/>
      <c r="E60" s="355"/>
      <c r="F60" s="353">
        <v>2050</v>
      </c>
    </row>
    <row r="61" spans="1:6">
      <c r="A61" s="53">
        <v>1995.04</v>
      </c>
      <c r="B61" s="141">
        <v>152699648</v>
      </c>
      <c r="C61" s="1334"/>
      <c r="D61" s="2911"/>
      <c r="E61" s="1335"/>
      <c r="F61" s="353">
        <v>2200</v>
      </c>
    </row>
    <row r="62" spans="1:6">
      <c r="A62" s="53">
        <v>1995.05</v>
      </c>
      <c r="B62" s="141">
        <v>164324764</v>
      </c>
      <c r="C62" s="1334"/>
      <c r="D62" s="2911"/>
      <c r="E62" s="1335"/>
      <c r="F62" s="353">
        <v>2175</v>
      </c>
    </row>
    <row r="63" spans="1:6">
      <c r="A63" s="53">
        <v>1995.06</v>
      </c>
      <c r="B63" s="141">
        <v>171092648</v>
      </c>
      <c r="C63" s="1334"/>
      <c r="D63" s="2911"/>
      <c r="E63" s="1335"/>
      <c r="F63" s="353">
        <v>2200</v>
      </c>
    </row>
    <row r="64" spans="1:6">
      <c r="A64" s="53">
        <v>1995.07</v>
      </c>
      <c r="B64" s="141">
        <v>169254307</v>
      </c>
      <c r="C64" s="1334"/>
      <c r="D64" s="2911"/>
      <c r="E64" s="1335"/>
      <c r="F64" s="353">
        <v>2275</v>
      </c>
    </row>
    <row r="65" spans="1:6">
      <c r="A65" s="53">
        <v>1995.08</v>
      </c>
      <c r="B65" s="141">
        <v>164524904</v>
      </c>
      <c r="C65" s="1334"/>
      <c r="D65" s="2911"/>
      <c r="E65" s="1335"/>
      <c r="F65" s="353">
        <v>2300</v>
      </c>
    </row>
    <row r="66" spans="1:6">
      <c r="A66" s="53">
        <v>1995.09</v>
      </c>
      <c r="B66" s="141">
        <v>166172751</v>
      </c>
      <c r="C66" s="1334"/>
      <c r="D66" s="2911"/>
      <c r="E66" s="1335"/>
      <c r="F66" s="353">
        <v>2300</v>
      </c>
    </row>
    <row r="67" spans="1:6">
      <c r="A67" s="53">
        <v>1995.1</v>
      </c>
      <c r="B67" s="141">
        <v>170586886</v>
      </c>
      <c r="C67" s="1334"/>
      <c r="D67" s="2911"/>
      <c r="E67" s="1335"/>
      <c r="F67" s="353">
        <v>2275</v>
      </c>
    </row>
    <row r="68" spans="1:6">
      <c r="A68" s="53">
        <v>1995.11</v>
      </c>
      <c r="B68" s="141">
        <v>180806332</v>
      </c>
      <c r="C68" s="1334"/>
      <c r="D68" s="2911"/>
      <c r="E68" s="1335"/>
      <c r="F68" s="353">
        <v>2275</v>
      </c>
    </row>
    <row r="69" spans="1:6">
      <c r="A69" s="53">
        <v>1995.12</v>
      </c>
      <c r="B69" s="141">
        <v>182930636</v>
      </c>
      <c r="C69" s="1334"/>
      <c r="D69" s="2911"/>
      <c r="E69" s="1335"/>
      <c r="F69" s="353">
        <v>2200</v>
      </c>
    </row>
    <row r="70" spans="1:6">
      <c r="A70" s="53">
        <v>1996.01</v>
      </c>
      <c r="B70" s="141">
        <v>176466230</v>
      </c>
      <c r="C70" s="1334"/>
      <c r="D70" s="2911"/>
      <c r="E70" s="1335"/>
      <c r="F70" s="353">
        <v>2225</v>
      </c>
    </row>
    <row r="71" spans="1:6">
      <c r="A71" s="53">
        <v>1996.02</v>
      </c>
      <c r="B71" s="141">
        <v>157305371</v>
      </c>
      <c r="C71" s="1334"/>
      <c r="D71" s="2911"/>
      <c r="E71" s="1335"/>
      <c r="F71" s="353">
        <v>2125</v>
      </c>
    </row>
    <row r="72" spans="1:6">
      <c r="A72" s="53">
        <v>1996.03</v>
      </c>
      <c r="B72" s="141">
        <v>158439722</v>
      </c>
      <c r="C72" s="1334"/>
      <c r="D72" s="2911"/>
      <c r="E72" s="1335"/>
      <c r="F72" s="353">
        <v>1900</v>
      </c>
    </row>
    <row r="73" spans="1:6">
      <c r="A73" s="53">
        <v>1996.04</v>
      </c>
      <c r="B73" s="141">
        <v>145673509</v>
      </c>
      <c r="C73" s="1334"/>
      <c r="D73" s="2911"/>
      <c r="E73" s="1335"/>
      <c r="F73" s="353">
        <v>1925</v>
      </c>
    </row>
    <row r="74" spans="1:6">
      <c r="A74" s="53">
        <v>1996.05</v>
      </c>
      <c r="B74" s="141">
        <v>155479654</v>
      </c>
      <c r="C74" s="1334"/>
      <c r="D74" s="2911"/>
      <c r="E74" s="1335"/>
      <c r="F74" s="353">
        <v>1900</v>
      </c>
    </row>
    <row r="75" spans="1:6">
      <c r="A75" s="53">
        <v>1996.06</v>
      </c>
      <c r="B75" s="643">
        <v>153233162</v>
      </c>
      <c r="C75" s="349"/>
      <c r="D75" s="2910"/>
      <c r="E75" s="355"/>
      <c r="F75" s="353">
        <v>1862.5</v>
      </c>
    </row>
    <row r="76" spans="1:6">
      <c r="A76" s="53">
        <v>1996.07</v>
      </c>
      <c r="B76" s="643">
        <v>161258391</v>
      </c>
      <c r="C76" s="349"/>
      <c r="D76" s="2910"/>
      <c r="E76" s="355"/>
      <c r="F76" s="353">
        <v>1850</v>
      </c>
    </row>
    <row r="77" spans="1:6">
      <c r="A77" s="53">
        <v>1996.08</v>
      </c>
      <c r="B77" s="643">
        <v>166487994</v>
      </c>
      <c r="C77" s="350">
        <v>0.18720000000000001</v>
      </c>
      <c r="D77" s="2912">
        <f>C77/'8.1'!B65</f>
        <v>1.4737437758837579E-2</v>
      </c>
      <c r="E77" s="355"/>
      <c r="F77" s="353">
        <v>1850</v>
      </c>
    </row>
    <row r="78" spans="1:6">
      <c r="A78" s="53">
        <v>1996.09</v>
      </c>
      <c r="B78" s="643">
        <v>166621116</v>
      </c>
      <c r="C78" s="351">
        <v>0.18149999999999999</v>
      </c>
      <c r="D78" s="2730">
        <f>C78/'8.1'!B66</f>
        <v>1.4248204113302024E-2</v>
      </c>
      <c r="E78" s="355"/>
      <c r="F78" s="353">
        <v>1850</v>
      </c>
    </row>
    <row r="79" spans="1:6">
      <c r="A79" s="53">
        <v>1996.1</v>
      </c>
      <c r="B79" s="643">
        <v>180728308</v>
      </c>
      <c r="C79" s="351">
        <v>0.17749999999999999</v>
      </c>
      <c r="D79" s="2730">
        <f>C79/'8.1'!B67</f>
        <v>1.3941206737033172E-2</v>
      </c>
      <c r="E79" s="355"/>
      <c r="F79" s="353">
        <v>1850</v>
      </c>
    </row>
    <row r="80" spans="1:6">
      <c r="A80" s="53">
        <v>1996.11</v>
      </c>
      <c r="B80" s="643">
        <v>182331563</v>
      </c>
      <c r="C80" s="351">
        <v>0.17119999999999999</v>
      </c>
      <c r="D80" s="2730">
        <f>C80/'8.1'!B68</f>
        <v>1.3488694518831161E-2</v>
      </c>
      <c r="E80" s="355"/>
      <c r="F80" s="353">
        <v>1850</v>
      </c>
    </row>
    <row r="81" spans="1:6">
      <c r="A81" s="53">
        <v>1996.12</v>
      </c>
      <c r="B81" s="643">
        <v>187514982</v>
      </c>
      <c r="C81" s="351">
        <v>0.17119999999999999</v>
      </c>
      <c r="D81" s="2730">
        <f>C81/'8.1'!B69</f>
        <v>1.3608133030357433E-2</v>
      </c>
      <c r="E81" s="355"/>
      <c r="F81" s="353">
        <v>1890</v>
      </c>
    </row>
    <row r="82" spans="1:6">
      <c r="A82" s="53">
        <v>1997.01</v>
      </c>
      <c r="B82" s="643">
        <v>172310618</v>
      </c>
      <c r="C82" s="351">
        <v>0.17199999999999999</v>
      </c>
      <c r="D82" s="2730">
        <f>C82/'8.1'!B70</f>
        <v>1.3863609573889438E-2</v>
      </c>
      <c r="E82" s="355"/>
      <c r="F82" s="353">
        <v>1875</v>
      </c>
    </row>
    <row r="83" spans="1:6">
      <c r="A83" s="53">
        <v>1997.02</v>
      </c>
      <c r="B83" s="643">
        <v>155960884</v>
      </c>
      <c r="C83" s="351">
        <v>0.17899999999999999</v>
      </c>
      <c r="D83" s="2730">
        <f>C83/'8.1'!B71</f>
        <v>1.4583989672435134E-2</v>
      </c>
      <c r="E83" s="355"/>
      <c r="F83" s="353">
        <v>1975</v>
      </c>
    </row>
    <row r="84" spans="1:6">
      <c r="A84" s="53">
        <v>1997.03</v>
      </c>
      <c r="B84" s="643">
        <v>166632426</v>
      </c>
      <c r="C84" s="351">
        <v>0.187</v>
      </c>
      <c r="D84" s="2730">
        <f>C84/'8.1'!B72</f>
        <v>1.5406769114971125E-2</v>
      </c>
      <c r="E84" s="355"/>
      <c r="F84" s="353">
        <v>1840</v>
      </c>
    </row>
    <row r="85" spans="1:6">
      <c r="A85" s="53">
        <v>1997.04</v>
      </c>
      <c r="B85" s="643">
        <v>154689738</v>
      </c>
      <c r="C85" s="351">
        <v>0.1943</v>
      </c>
      <c r="D85" s="2730">
        <f>C85/'8.1'!B73</f>
        <v>1.5987242290079241E-2</v>
      </c>
      <c r="E85" s="355"/>
      <c r="F85" s="353">
        <v>1825</v>
      </c>
    </row>
    <row r="86" spans="1:6">
      <c r="A86" s="53">
        <v>1997.05</v>
      </c>
      <c r="B86" s="643">
        <v>160346453</v>
      </c>
      <c r="C86" s="351">
        <v>0.17699999999999999</v>
      </c>
      <c r="D86" s="2730">
        <f>C86/'8.1'!B74</f>
        <v>1.4604810187483372E-2</v>
      </c>
      <c r="E86" s="355"/>
      <c r="F86" s="353">
        <v>1775</v>
      </c>
    </row>
    <row r="87" spans="1:6">
      <c r="A87" s="53">
        <v>1997.06</v>
      </c>
      <c r="B87" s="643">
        <v>157048276</v>
      </c>
      <c r="C87" s="351">
        <v>0.17899999999999999</v>
      </c>
      <c r="D87" s="2730">
        <f>C87/'8.1'!B75</f>
        <v>1.491479122781594E-2</v>
      </c>
      <c r="E87" s="355"/>
      <c r="F87" s="353">
        <v>1725</v>
      </c>
    </row>
    <row r="88" spans="1:6">
      <c r="A88" s="53">
        <v>1997.07</v>
      </c>
      <c r="B88" s="643">
        <v>176382146</v>
      </c>
      <c r="C88" s="351">
        <v>0.19900000000000001</v>
      </c>
      <c r="D88" s="2730">
        <f>C88/'8.1'!B76</f>
        <v>1.6499965802085736E-2</v>
      </c>
      <c r="E88" s="355"/>
      <c r="F88" s="353">
        <v>1762.5</v>
      </c>
    </row>
    <row r="89" spans="1:6">
      <c r="A89" s="53">
        <v>1997.08</v>
      </c>
      <c r="B89" s="643">
        <v>192730926</v>
      </c>
      <c r="C89" s="351">
        <v>0.19500000000000001</v>
      </c>
      <c r="D89" s="2730">
        <f>C89/'8.1'!B77</f>
        <v>1.6110668604419408E-2</v>
      </c>
      <c r="E89" s="355"/>
      <c r="F89" s="353">
        <v>1675</v>
      </c>
    </row>
    <row r="90" spans="1:6">
      <c r="A90" s="53">
        <v>1997.09</v>
      </c>
      <c r="B90" s="643">
        <v>191083435</v>
      </c>
      <c r="C90" s="351">
        <v>0.17949999999999999</v>
      </c>
      <c r="D90" s="2730">
        <f>C90/'8.1'!B78</f>
        <v>1.4847481717996255E-2</v>
      </c>
      <c r="E90" s="355"/>
      <c r="F90" s="353">
        <v>1725</v>
      </c>
    </row>
    <row r="91" spans="1:6">
      <c r="A91" s="53">
        <v>1997.1</v>
      </c>
      <c r="B91" s="643">
        <v>195818606</v>
      </c>
      <c r="C91" s="351">
        <v>0.17199999999999999</v>
      </c>
      <c r="D91" s="2730">
        <f>C91/'8.1'!B79</f>
        <v>1.4429860163466018E-2</v>
      </c>
      <c r="E91" s="355"/>
      <c r="F91" s="353">
        <v>1750</v>
      </c>
    </row>
    <row r="92" spans="1:6">
      <c r="A92" s="53">
        <v>1997.11</v>
      </c>
      <c r="B92" s="643">
        <v>185246533</v>
      </c>
      <c r="C92" s="351">
        <v>0.16500000000000001</v>
      </c>
      <c r="D92" s="2730">
        <f>C92/'8.1'!B80</f>
        <v>1.3900327654775625E-2</v>
      </c>
      <c r="E92" s="355"/>
      <c r="F92" s="353">
        <v>1787.5</v>
      </c>
    </row>
    <row r="93" spans="1:6">
      <c r="A93" s="53">
        <v>1997.12</v>
      </c>
      <c r="B93" s="643">
        <v>182562546</v>
      </c>
      <c r="C93" s="351">
        <v>0.17</v>
      </c>
      <c r="D93" s="2730">
        <f>C93/'8.1'!B81</f>
        <v>1.4455027414998848E-2</v>
      </c>
      <c r="E93" s="355"/>
      <c r="F93" s="353">
        <v>1775</v>
      </c>
    </row>
    <row r="94" spans="1:6">
      <c r="A94" s="53">
        <v>1998.01</v>
      </c>
      <c r="B94" s="643">
        <v>177190748</v>
      </c>
      <c r="C94" s="351">
        <v>0.17</v>
      </c>
      <c r="D94" s="2730">
        <f>C94/'8.1'!B82</f>
        <v>1.4432212361899486E-2</v>
      </c>
      <c r="E94" s="355"/>
      <c r="F94" s="353">
        <v>1800</v>
      </c>
    </row>
    <row r="95" spans="1:6">
      <c r="A95" s="53">
        <v>1998.02</v>
      </c>
      <c r="B95" s="643">
        <v>152698690</v>
      </c>
      <c r="C95" s="351">
        <v>0.17499999999999999</v>
      </c>
      <c r="D95" s="2730">
        <f>C95/'8.1'!B83</f>
        <v>1.4891929551427912E-2</v>
      </c>
      <c r="E95" s="355"/>
      <c r="F95" s="353">
        <v>1762.5</v>
      </c>
    </row>
    <row r="96" spans="1:6">
      <c r="A96" s="53">
        <v>1998.03</v>
      </c>
      <c r="B96" s="643">
        <v>153794690</v>
      </c>
      <c r="C96" s="351">
        <v>0.18</v>
      </c>
      <c r="D96" s="2730">
        <f>C96/'8.1'!B84</f>
        <v>1.5384984774273495E-2</v>
      </c>
      <c r="E96" s="355"/>
      <c r="F96" s="353">
        <v>1650</v>
      </c>
    </row>
    <row r="97" spans="1:6">
      <c r="A97" s="53">
        <v>1998.04</v>
      </c>
      <c r="B97" s="643">
        <v>143463497</v>
      </c>
      <c r="C97" s="351">
        <v>0.184</v>
      </c>
      <c r="D97" s="2730">
        <f>C97/'8.1'!B85</f>
        <v>1.5761637217287128E-2</v>
      </c>
      <c r="E97" s="355"/>
      <c r="F97" s="353">
        <v>1725</v>
      </c>
    </row>
    <row r="98" spans="1:6">
      <c r="A98" s="53">
        <v>1998.05</v>
      </c>
      <c r="B98" s="643">
        <v>149879095</v>
      </c>
      <c r="C98" s="351">
        <v>0.19600000000000001</v>
      </c>
      <c r="D98" s="2730">
        <f>C98/'8.1'!B86</f>
        <v>1.6782695327137255E-2</v>
      </c>
      <c r="E98" s="355"/>
      <c r="F98" s="353">
        <v>1725</v>
      </c>
    </row>
    <row r="99" spans="1:6">
      <c r="A99" s="53">
        <v>1998.06</v>
      </c>
      <c r="B99" s="643">
        <v>156888191</v>
      </c>
      <c r="C99" s="351">
        <v>0.188</v>
      </c>
      <c r="D99" s="2730">
        <f>C99/'8.1'!B87</f>
        <v>1.6096799322414364E-2</v>
      </c>
      <c r="E99" s="355"/>
      <c r="F99" s="353">
        <v>1725</v>
      </c>
    </row>
    <row r="100" spans="1:6">
      <c r="A100" s="53">
        <v>1998.07</v>
      </c>
      <c r="B100" s="643">
        <v>175856559</v>
      </c>
      <c r="C100" s="351">
        <v>0.188</v>
      </c>
      <c r="D100" s="2730">
        <f>C100/'8.1'!B88</f>
        <v>1.6160526394518097E-2</v>
      </c>
      <c r="E100" s="355"/>
      <c r="F100" s="353">
        <v>1725</v>
      </c>
    </row>
    <row r="101" spans="1:6">
      <c r="A101" s="53">
        <v>1998.08</v>
      </c>
      <c r="B101" s="643">
        <v>191930119</v>
      </c>
      <c r="C101" s="351">
        <v>0.184</v>
      </c>
      <c r="D101" s="2730">
        <f>C101/'8.1'!B89</f>
        <v>1.5921252324950879E-2</v>
      </c>
      <c r="E101" s="355"/>
      <c r="F101" s="353">
        <v>1725</v>
      </c>
    </row>
    <row r="102" spans="1:6">
      <c r="A102" s="53">
        <v>1998.09</v>
      </c>
      <c r="B102" s="643">
        <v>198827892</v>
      </c>
      <c r="C102" s="351">
        <v>0.17299999999999999</v>
      </c>
      <c r="D102" s="2730">
        <f>C102/'8.1'!B90</f>
        <v>1.5010085972104795E-2</v>
      </c>
      <c r="E102" s="355"/>
      <c r="F102" s="353">
        <v>1675</v>
      </c>
    </row>
    <row r="103" spans="1:6">
      <c r="A103" s="53">
        <v>1998.1</v>
      </c>
      <c r="B103" s="643">
        <v>208468167</v>
      </c>
      <c r="C103" s="351">
        <v>0.17100000000000001</v>
      </c>
      <c r="D103" s="2730">
        <f>C103/'8.1'!B91</f>
        <v>1.4858837649540671E-2</v>
      </c>
      <c r="E103" s="355"/>
      <c r="F103" s="353">
        <v>1640</v>
      </c>
    </row>
    <row r="104" spans="1:6">
      <c r="A104" s="53">
        <v>1998.11</v>
      </c>
      <c r="B104" s="643">
        <v>205005580</v>
      </c>
      <c r="C104" s="351">
        <v>0.16600000000000001</v>
      </c>
      <c r="D104" s="2730">
        <f>C104/'8.1'!B92</f>
        <v>1.4388791240714908E-2</v>
      </c>
      <c r="E104" s="355"/>
      <c r="F104" s="353">
        <v>1625</v>
      </c>
    </row>
    <row r="105" spans="1:6">
      <c r="A105" s="53">
        <v>1998.12</v>
      </c>
      <c r="B105" s="643">
        <v>214900701</v>
      </c>
      <c r="C105" s="351">
        <v>0.16200000000000001</v>
      </c>
      <c r="D105" s="2730">
        <f>C105/'8.1'!B93</f>
        <v>1.4118548409423443E-2</v>
      </c>
      <c r="E105" s="355"/>
      <c r="F105" s="353">
        <v>1625</v>
      </c>
    </row>
    <row r="106" spans="1:6">
      <c r="A106" s="53">
        <v>1999.01</v>
      </c>
      <c r="B106" s="643">
        <v>217527053</v>
      </c>
      <c r="C106" s="351">
        <v>0.16</v>
      </c>
      <c r="D106" s="2730">
        <f>C106/'8.1'!B94</f>
        <v>1.4098569384113585E-2</v>
      </c>
      <c r="E106" s="355"/>
      <c r="F106" s="353">
        <v>1650</v>
      </c>
    </row>
    <row r="107" spans="1:6">
      <c r="A107" s="53">
        <v>1999.02</v>
      </c>
      <c r="B107" s="643">
        <v>178214918</v>
      </c>
      <c r="C107" s="351">
        <v>0.15</v>
      </c>
      <c r="D107" s="2730">
        <f>C107/'8.1'!B95</f>
        <v>1.3330867453053299E-2</v>
      </c>
      <c r="E107" s="355"/>
      <c r="F107" s="353">
        <v>1600</v>
      </c>
    </row>
    <row r="108" spans="1:6">
      <c r="A108" s="53">
        <v>1999.03</v>
      </c>
      <c r="B108" s="643">
        <v>177123454</v>
      </c>
      <c r="C108" s="351">
        <v>0.14699999999999999</v>
      </c>
      <c r="D108" s="2730">
        <f>C108/'8.1'!B96</f>
        <v>1.3119926202255525E-2</v>
      </c>
      <c r="E108" s="355"/>
      <c r="F108" s="353">
        <v>1550</v>
      </c>
    </row>
    <row r="109" spans="1:6">
      <c r="A109" s="53">
        <v>1999.04</v>
      </c>
      <c r="B109" s="643">
        <v>161992517</v>
      </c>
      <c r="C109" s="351">
        <v>0.15</v>
      </c>
      <c r="D109" s="2730">
        <f>C109/'8.1'!B97</f>
        <v>1.3343464905292403E-2</v>
      </c>
      <c r="E109" s="355"/>
      <c r="F109" s="353">
        <v>1525</v>
      </c>
    </row>
    <row r="110" spans="1:6">
      <c r="A110" s="53">
        <v>1999.05</v>
      </c>
      <c r="B110" s="643">
        <v>172727779</v>
      </c>
      <c r="C110" s="351">
        <v>0.15</v>
      </c>
      <c r="D110" s="2730">
        <f>C110/'8.1'!B98</f>
        <v>1.3404412023358247E-2</v>
      </c>
      <c r="E110" s="355"/>
      <c r="F110" s="353">
        <v>1450</v>
      </c>
    </row>
    <row r="111" spans="1:6">
      <c r="A111" s="53">
        <v>1999.06</v>
      </c>
      <c r="B111" s="643">
        <v>176481344</v>
      </c>
      <c r="C111" s="351">
        <v>0.15</v>
      </c>
      <c r="D111" s="2730">
        <f>C111/'8.1'!B99</f>
        <v>1.3473013029588407E-2</v>
      </c>
      <c r="E111" s="355"/>
      <c r="F111" s="353">
        <v>1450</v>
      </c>
    </row>
    <row r="112" spans="1:6">
      <c r="A112" s="53">
        <v>1999.07</v>
      </c>
      <c r="B112" s="643">
        <v>184806339</v>
      </c>
      <c r="C112" s="351">
        <v>0.15</v>
      </c>
      <c r="D112" s="2730">
        <f>C112/'8.1'!B100</f>
        <v>1.3471450970756761E-2</v>
      </c>
      <c r="E112" s="355"/>
      <c r="F112" s="353">
        <v>1450</v>
      </c>
    </row>
    <row r="113" spans="1:6">
      <c r="A113" s="53">
        <v>1999.08</v>
      </c>
      <c r="B113" s="643">
        <v>206463993</v>
      </c>
      <c r="C113" s="351">
        <v>0.14000000000000001</v>
      </c>
      <c r="D113" s="2730">
        <f>C113/'8.1'!B101</f>
        <v>1.2618802134399977E-2</v>
      </c>
      <c r="E113" s="355"/>
      <c r="F113" s="353">
        <v>1450</v>
      </c>
    </row>
    <row r="114" spans="1:6">
      <c r="A114" s="53">
        <v>1999.09</v>
      </c>
      <c r="B114" s="643">
        <v>205205498</v>
      </c>
      <c r="C114" s="351">
        <v>0.13</v>
      </c>
      <c r="D114" s="2730">
        <f>C114/'8.1'!B102</f>
        <v>1.1779479333233022E-2</v>
      </c>
      <c r="E114" s="355"/>
      <c r="F114" s="353">
        <v>1450</v>
      </c>
    </row>
    <row r="115" spans="1:6">
      <c r="A115" s="53">
        <v>1999.1</v>
      </c>
      <c r="B115" s="643">
        <v>213930951</v>
      </c>
      <c r="C115" s="351">
        <v>0.13</v>
      </c>
      <c r="D115" s="2730">
        <f>C115/'8.1'!B103</f>
        <v>1.1956250206064339E-2</v>
      </c>
      <c r="E115" s="355"/>
      <c r="F115" s="353">
        <v>1450</v>
      </c>
    </row>
    <row r="116" spans="1:6">
      <c r="A116" s="53">
        <v>1999.11</v>
      </c>
      <c r="B116" s="643">
        <v>203454132</v>
      </c>
      <c r="C116" s="351">
        <v>0.13</v>
      </c>
      <c r="D116" s="2730">
        <f>C116/'8.1'!B104</f>
        <v>1.1980616777611419E-2</v>
      </c>
      <c r="E116" s="355"/>
      <c r="F116" s="353">
        <v>1487.5</v>
      </c>
    </row>
    <row r="117" spans="1:6">
      <c r="A117" s="53">
        <v>1999.12</v>
      </c>
      <c r="B117" s="643">
        <v>202734084</v>
      </c>
      <c r="C117" s="351">
        <v>0.13</v>
      </c>
      <c r="D117" s="2730">
        <f>C117/'8.1'!B105</f>
        <v>1.2094061368133648E-2</v>
      </c>
      <c r="E117" s="355"/>
      <c r="F117" s="353">
        <v>1487.5</v>
      </c>
    </row>
    <row r="118" spans="1:6">
      <c r="A118" s="53">
        <v>2000.01</v>
      </c>
      <c r="B118" s="643">
        <v>189074253</v>
      </c>
      <c r="C118" s="351">
        <v>0.13</v>
      </c>
      <c r="D118" s="2730">
        <f>C118/'8.1'!B106</f>
        <v>1.2162795158281847E-2</v>
      </c>
      <c r="E118" s="355"/>
      <c r="F118" s="353">
        <v>1562.5</v>
      </c>
    </row>
    <row r="119" spans="1:6">
      <c r="A119" s="53">
        <v>2000.02</v>
      </c>
      <c r="B119" s="643">
        <v>172008152</v>
      </c>
      <c r="C119" s="351">
        <v>0.13</v>
      </c>
      <c r="D119" s="2730">
        <f>C119/'8.1'!B107</f>
        <v>1.2133747324447353E-2</v>
      </c>
      <c r="E119" s="355"/>
      <c r="F119" s="353">
        <v>1600</v>
      </c>
    </row>
    <row r="120" spans="1:6">
      <c r="A120" s="53">
        <v>2000.03</v>
      </c>
      <c r="B120" s="643">
        <v>170236977</v>
      </c>
      <c r="C120" s="351">
        <v>0.14000000000000001</v>
      </c>
      <c r="D120" s="2730">
        <f>C120/'8.1'!B108</f>
        <v>1.2916830894076803E-2</v>
      </c>
      <c r="E120" s="355"/>
      <c r="F120" s="353">
        <v>1600</v>
      </c>
    </row>
    <row r="121" spans="1:6">
      <c r="A121" s="53">
        <v>2000.04</v>
      </c>
      <c r="B121" s="643">
        <v>153980744</v>
      </c>
      <c r="C121" s="351">
        <v>0.14399999999999999</v>
      </c>
      <c r="D121" s="2730">
        <f>C121/'8.1'!B109</f>
        <v>1.3457329952545349E-2</v>
      </c>
      <c r="E121" s="355"/>
      <c r="F121" s="353">
        <v>1687.5</v>
      </c>
    </row>
    <row r="122" spans="1:6">
      <c r="A122" s="53">
        <v>2000.05</v>
      </c>
      <c r="B122" s="643">
        <v>158364551</v>
      </c>
      <c r="C122" s="351">
        <v>0.15</v>
      </c>
      <c r="D122" s="2730">
        <f>C122/'8.1'!B110</f>
        <v>1.4197960763263153E-2</v>
      </c>
      <c r="E122" s="355"/>
      <c r="F122" s="353">
        <v>1675</v>
      </c>
    </row>
    <row r="123" spans="1:6">
      <c r="A123" s="53">
        <v>2000.06</v>
      </c>
      <c r="B123" s="643">
        <v>163713513</v>
      </c>
      <c r="C123" s="351">
        <v>0.16</v>
      </c>
      <c r="D123" s="2730">
        <f>C123/'8.1'!B111</f>
        <v>1.5101042967278237E-2</v>
      </c>
      <c r="E123" s="355"/>
      <c r="F123" s="353">
        <v>1900</v>
      </c>
    </row>
    <row r="124" spans="1:6">
      <c r="A124" s="53">
        <v>2000.07</v>
      </c>
      <c r="B124" s="643">
        <v>172133805</v>
      </c>
      <c r="C124" s="351">
        <v>0.16</v>
      </c>
      <c r="D124" s="2730">
        <f>C124/'8.1'!B112</f>
        <v>1.520573446688763E-2</v>
      </c>
      <c r="E124" s="355"/>
      <c r="F124" s="353">
        <v>1900</v>
      </c>
    </row>
    <row r="125" spans="1:6">
      <c r="A125" s="53">
        <v>2000.08</v>
      </c>
      <c r="B125" s="643">
        <v>183847994</v>
      </c>
      <c r="C125" s="351">
        <v>0.156</v>
      </c>
      <c r="D125" s="2730">
        <f>C125/'8.1'!B113</f>
        <v>1.4787511018741567E-2</v>
      </c>
      <c r="E125" s="355"/>
      <c r="F125" s="353">
        <v>2010</v>
      </c>
    </row>
    <row r="126" spans="1:6">
      <c r="A126" s="53">
        <v>2000.09</v>
      </c>
      <c r="B126" s="643">
        <v>196074217</v>
      </c>
      <c r="C126" s="351">
        <v>0.153</v>
      </c>
      <c r="D126" s="2730">
        <f>C126/'8.1'!B114</f>
        <v>1.4526170880021604E-2</v>
      </c>
      <c r="E126" s="355"/>
      <c r="F126" s="353">
        <v>1975</v>
      </c>
    </row>
    <row r="127" spans="1:6">
      <c r="A127" s="53">
        <v>2000.1</v>
      </c>
      <c r="B127" s="643">
        <v>205000878</v>
      </c>
      <c r="C127" s="351">
        <v>0.14699999999999999</v>
      </c>
      <c r="D127" s="2730">
        <f>C127/'8.1'!B115</f>
        <v>1.3986505386926258E-2</v>
      </c>
      <c r="E127" s="355"/>
      <c r="F127" s="353">
        <v>2000</v>
      </c>
    </row>
    <row r="128" spans="1:6">
      <c r="A128" s="53">
        <v>2000.11</v>
      </c>
      <c r="B128" s="643">
        <v>193080735</v>
      </c>
      <c r="C128" s="351">
        <v>0.14399999999999999</v>
      </c>
      <c r="D128" s="2730">
        <f>C128/'8.1'!B116</f>
        <v>1.3804000037033184E-2</v>
      </c>
      <c r="E128" s="355"/>
      <c r="F128" s="353">
        <v>2050</v>
      </c>
    </row>
    <row r="129" spans="1:6">
      <c r="A129" s="53">
        <v>2000.12</v>
      </c>
      <c r="B129" s="643">
        <v>196370406</v>
      </c>
      <c r="C129" s="351">
        <v>0.14299999999999999</v>
      </c>
      <c r="D129" s="2730">
        <f>C129/'8.1'!B117</f>
        <v>1.3873898053591592E-2</v>
      </c>
      <c r="E129" s="355"/>
      <c r="F129" s="353">
        <v>2075</v>
      </c>
    </row>
    <row r="130" spans="1:6">
      <c r="A130" s="53">
        <v>2001.01</v>
      </c>
      <c r="B130" s="643">
        <v>185717550</v>
      </c>
      <c r="C130" s="351">
        <v>0.14499999999999999</v>
      </c>
      <c r="D130" s="2730">
        <f>C130/'8.1'!B118</f>
        <v>1.4135770390298501E-2</v>
      </c>
      <c r="E130" s="355"/>
      <c r="F130" s="353">
        <v>2075</v>
      </c>
    </row>
    <row r="131" spans="1:6">
      <c r="A131" s="53">
        <v>2001.02</v>
      </c>
      <c r="B131" s="643">
        <v>149053835</v>
      </c>
      <c r="C131" s="351">
        <v>0.14899999999999999</v>
      </c>
      <c r="D131" s="2730">
        <f>C131/'8.1'!B119</f>
        <v>1.4525081238638075E-2</v>
      </c>
      <c r="E131" s="355"/>
      <c r="F131" s="353">
        <v>2025</v>
      </c>
    </row>
    <row r="132" spans="1:6">
      <c r="A132" s="53">
        <v>2001.03</v>
      </c>
      <c r="B132" s="643">
        <v>148527081</v>
      </c>
      <c r="C132" s="351">
        <v>0.158</v>
      </c>
      <c r="D132" s="2730">
        <f>C132/'8.1'!B120</f>
        <v>1.5285576064795166E-2</v>
      </c>
      <c r="E132" s="355"/>
      <c r="F132" s="353">
        <v>2075</v>
      </c>
    </row>
    <row r="133" spans="1:6">
      <c r="A133" s="53">
        <v>2001.04</v>
      </c>
      <c r="B133" s="643">
        <v>145602072</v>
      </c>
      <c r="C133" s="351">
        <v>0.16300000000000001</v>
      </c>
      <c r="D133" s="2730">
        <f>C133/'8.1'!B121</f>
        <v>1.5706690569168295E-2</v>
      </c>
      <c r="E133" s="355"/>
      <c r="F133" s="353">
        <v>2062.5</v>
      </c>
    </row>
    <row r="134" spans="1:6">
      <c r="A134" s="53">
        <v>2001.05</v>
      </c>
      <c r="B134" s="643">
        <v>159242452</v>
      </c>
      <c r="C134" s="351">
        <v>0.16700000000000001</v>
      </c>
      <c r="D134" s="2730">
        <f>C134/'8.1'!B122</f>
        <v>1.6145756543459601E-2</v>
      </c>
      <c r="E134" s="355"/>
      <c r="F134" s="353">
        <v>2090</v>
      </c>
    </row>
    <row r="135" spans="1:6">
      <c r="A135" s="53">
        <v>2001.06</v>
      </c>
      <c r="B135" s="643">
        <v>161753187</v>
      </c>
      <c r="C135" s="351">
        <v>0.16600000000000001</v>
      </c>
      <c r="D135" s="2730">
        <f>C135/'8.1'!B123</f>
        <v>1.6219870004265318E-2</v>
      </c>
      <c r="E135" s="355"/>
      <c r="F135" s="353">
        <v>2100</v>
      </c>
    </row>
    <row r="136" spans="1:6">
      <c r="A136" s="53">
        <v>2001.07</v>
      </c>
      <c r="B136" s="643">
        <v>183322776</v>
      </c>
      <c r="C136" s="351">
        <v>0.159</v>
      </c>
      <c r="D136" s="2730">
        <f>C136/'8.1'!B124</f>
        <v>1.5572687801201973E-2</v>
      </c>
      <c r="E136" s="355"/>
      <c r="F136" s="353">
        <v>2100</v>
      </c>
    </row>
    <row r="137" spans="1:6">
      <c r="A137" s="53">
        <v>2001.08</v>
      </c>
      <c r="B137" s="643">
        <v>194049070</v>
      </c>
      <c r="C137" s="351">
        <v>0.14729999999999999</v>
      </c>
      <c r="D137" s="2730">
        <f>C137/'8.1'!B125</f>
        <v>1.4438732788725938E-2</v>
      </c>
      <c r="E137" s="355"/>
      <c r="F137" s="353">
        <v>2050</v>
      </c>
    </row>
    <row r="138" spans="1:6">
      <c r="A138" s="53">
        <v>2001.09</v>
      </c>
      <c r="B138" s="643">
        <v>199153408</v>
      </c>
      <c r="C138" s="351">
        <v>0.14050000000000001</v>
      </c>
      <c r="D138" s="2730">
        <f>C138/'8.1'!B126</f>
        <v>1.3716785664107663E-2</v>
      </c>
      <c r="E138" s="355"/>
      <c r="F138" s="353">
        <v>2025</v>
      </c>
    </row>
    <row r="139" spans="1:6">
      <c r="A139" s="53">
        <v>2001.1</v>
      </c>
      <c r="B139" s="643">
        <v>204058619</v>
      </c>
      <c r="C139" s="351">
        <v>0.12570000000000001</v>
      </c>
      <c r="D139" s="2730">
        <f>C139/'8.1'!B127</f>
        <v>1.232546617211604E-2</v>
      </c>
      <c r="E139" s="355"/>
      <c r="F139" s="353">
        <v>1950</v>
      </c>
    </row>
    <row r="140" spans="1:6">
      <c r="A140" s="53">
        <v>2001.11</v>
      </c>
      <c r="B140" s="643">
        <v>189759033</v>
      </c>
      <c r="C140" s="351">
        <v>0.12559999999999999</v>
      </c>
      <c r="D140" s="2730">
        <f>C140/'8.1'!B128</f>
        <v>1.2255345851369007E-2</v>
      </c>
      <c r="E140" s="355"/>
      <c r="F140" s="353">
        <v>1800</v>
      </c>
    </row>
    <row r="141" spans="1:6">
      <c r="A141" s="53">
        <v>2001.12</v>
      </c>
      <c r="B141" s="643">
        <v>192017122</v>
      </c>
      <c r="C141" s="351">
        <v>0.1265</v>
      </c>
      <c r="D141" s="2730">
        <f>C141/'8.1'!B129</f>
        <v>1.2373097926910432E-2</v>
      </c>
      <c r="E141" s="355"/>
      <c r="F141" s="353">
        <v>1662.5</v>
      </c>
    </row>
    <row r="142" spans="1:6">
      <c r="A142" s="53">
        <v>2002.01</v>
      </c>
      <c r="B142" s="643">
        <v>174357051</v>
      </c>
      <c r="C142" s="351">
        <v>0.13</v>
      </c>
      <c r="D142" s="2730">
        <f>C142/'8.1'!B130</f>
        <v>1.2030195992133751E-2</v>
      </c>
      <c r="E142" s="355"/>
      <c r="F142" s="353">
        <v>1600</v>
      </c>
    </row>
    <row r="143" spans="1:6">
      <c r="A143" s="53">
        <v>2002.02</v>
      </c>
      <c r="B143" s="643">
        <v>150066889</v>
      </c>
      <c r="C143" s="351">
        <v>0.13900000000000001</v>
      </c>
      <c r="D143" s="2730">
        <f>C143/'8.1'!B131</f>
        <v>1.2209208613584162E-2</v>
      </c>
      <c r="E143" s="355"/>
      <c r="F143" s="353">
        <v>1475</v>
      </c>
    </row>
    <row r="144" spans="1:6">
      <c r="A144" s="53">
        <v>2002.03</v>
      </c>
      <c r="B144" s="643">
        <v>145688488</v>
      </c>
      <c r="C144" s="351">
        <v>0.185</v>
      </c>
      <c r="D144" s="2730">
        <f>C144/'8.1'!B132</f>
        <v>1.4767476124681558E-2</v>
      </c>
      <c r="E144" s="355"/>
      <c r="F144" s="353">
        <v>1325</v>
      </c>
    </row>
    <row r="145" spans="1:6">
      <c r="A145" s="53">
        <v>2002.04</v>
      </c>
      <c r="B145" s="643">
        <v>138436135</v>
      </c>
      <c r="C145" s="351">
        <v>0.22500000000000001</v>
      </c>
      <c r="D145" s="2730">
        <f>C145/'8.1'!B133</f>
        <v>1.5406110521011662E-2</v>
      </c>
      <c r="E145" s="355"/>
      <c r="F145" s="353">
        <v>1312.5</v>
      </c>
    </row>
    <row r="146" spans="1:6">
      <c r="A146" s="53">
        <v>2002.05</v>
      </c>
      <c r="B146" s="643">
        <v>148958489</v>
      </c>
      <c r="C146" s="351">
        <v>0.25600000000000001</v>
      </c>
      <c r="D146" s="2730">
        <f>C146/'8.1'!B134</f>
        <v>1.6293306062420132E-2</v>
      </c>
      <c r="E146" s="355"/>
      <c r="F146" s="353">
        <v>1287.5</v>
      </c>
    </row>
    <row r="147" spans="1:6">
      <c r="A147" s="53">
        <v>2002.06</v>
      </c>
      <c r="B147" s="643">
        <v>154513879</v>
      </c>
      <c r="C147" s="351">
        <v>0.27300000000000002</v>
      </c>
      <c r="D147" s="2730">
        <f>C147/'8.1'!B135</f>
        <v>1.6269235947763819E-2</v>
      </c>
      <c r="E147" s="355"/>
      <c r="F147" s="353">
        <v>1237.5</v>
      </c>
    </row>
    <row r="148" spans="1:6">
      <c r="A148" s="53">
        <v>2002.07</v>
      </c>
      <c r="B148" s="643">
        <v>160489504</v>
      </c>
      <c r="C148" s="351">
        <v>0.28050000000000003</v>
      </c>
      <c r="D148" s="2730">
        <f>C148/'8.1'!B136</f>
        <v>1.5898103961008336E-2</v>
      </c>
      <c r="E148" s="355"/>
      <c r="F148" s="353">
        <v>1237.5</v>
      </c>
    </row>
    <row r="149" spans="1:6">
      <c r="A149" s="53">
        <v>2002.08</v>
      </c>
      <c r="B149" s="643">
        <v>181593906</v>
      </c>
      <c r="C149" s="351">
        <v>0.28670000000000001</v>
      </c>
      <c r="D149" s="2730">
        <f>C149/'8.1'!B137</f>
        <v>1.5650125053855241E-2</v>
      </c>
      <c r="E149" s="355"/>
      <c r="F149" s="353">
        <v>1225</v>
      </c>
    </row>
    <row r="150" spans="1:6">
      <c r="A150" s="53">
        <v>2002.09</v>
      </c>
      <c r="B150" s="643">
        <v>187052745</v>
      </c>
      <c r="C150" s="351">
        <v>0.2908</v>
      </c>
      <c r="D150" s="2730">
        <f>C150/'8.1'!B138</f>
        <v>1.5653208301007665E-2</v>
      </c>
      <c r="E150" s="355"/>
      <c r="F150" s="353">
        <v>1300</v>
      </c>
    </row>
    <row r="151" spans="1:6">
      <c r="A151" s="53">
        <v>2002.1</v>
      </c>
      <c r="B151" s="643">
        <v>184286430</v>
      </c>
      <c r="C151" s="351">
        <v>0.3</v>
      </c>
      <c r="D151" s="2730">
        <f>C151/'8.1'!B139</f>
        <v>1.5944621967655288E-2</v>
      </c>
      <c r="E151" s="355"/>
      <c r="F151" s="353">
        <v>1425</v>
      </c>
    </row>
    <row r="152" spans="1:6">
      <c r="A152" s="53">
        <v>2002.11</v>
      </c>
      <c r="B152" s="643">
        <v>174960329</v>
      </c>
      <c r="C152" s="351">
        <v>0.3145</v>
      </c>
      <c r="D152" s="2730">
        <f>C152/'8.1'!B140</f>
        <v>1.6739728122374106E-2</v>
      </c>
      <c r="E152" s="355"/>
      <c r="F152" s="353">
        <v>1500</v>
      </c>
    </row>
    <row r="153" spans="1:6">
      <c r="A153" s="53">
        <v>2002.12</v>
      </c>
      <c r="B153" s="643">
        <v>171145739</v>
      </c>
      <c r="C153" s="351">
        <v>0.33</v>
      </c>
      <c r="D153" s="2730">
        <f>C153/'8.1'!B141</f>
        <v>1.746137423111431E-2</v>
      </c>
      <c r="E153" s="355"/>
      <c r="F153" s="353">
        <v>1587.5</v>
      </c>
    </row>
    <row r="154" spans="1:6">
      <c r="A154" s="53">
        <v>2003.01</v>
      </c>
      <c r="B154" s="141">
        <v>148699121</v>
      </c>
      <c r="C154" s="351">
        <v>0.36580000000000001</v>
      </c>
      <c r="D154" s="2730">
        <f>C154/'8.1'!B142</f>
        <v>1.8858529605338525E-2</v>
      </c>
      <c r="E154" s="355"/>
      <c r="F154" s="353">
        <v>1775</v>
      </c>
    </row>
    <row r="155" spans="1:6">
      <c r="A155" s="53">
        <v>2003.02</v>
      </c>
      <c r="B155" s="643">
        <v>124831462</v>
      </c>
      <c r="C155" s="351">
        <v>0.37490000000000001</v>
      </c>
      <c r="D155" s="2730">
        <f>C155/'8.1'!B143</f>
        <v>1.901194528760736E-2</v>
      </c>
      <c r="E155" s="355"/>
      <c r="F155" s="353">
        <v>1800</v>
      </c>
    </row>
    <row r="156" spans="1:6">
      <c r="A156" s="53">
        <v>2003.03</v>
      </c>
      <c r="B156" s="643">
        <v>123506564</v>
      </c>
      <c r="C156" s="351">
        <v>0.42799999999999999</v>
      </c>
      <c r="D156" s="2730">
        <f>C156/'8.1'!B144</f>
        <v>2.1517676358842462E-2</v>
      </c>
      <c r="E156" s="355"/>
      <c r="F156" s="353">
        <v>1825</v>
      </c>
    </row>
    <row r="157" spans="1:6">
      <c r="A157" s="53">
        <v>2003.04</v>
      </c>
      <c r="B157" s="643">
        <v>109101726</v>
      </c>
      <c r="C157" s="351">
        <v>0.46600000000000003</v>
      </c>
      <c r="D157" s="2730">
        <f>C157/'8.1'!B145</f>
        <v>2.3659077918296544E-2</v>
      </c>
      <c r="E157" s="355"/>
      <c r="F157" s="353">
        <v>1762.5</v>
      </c>
    </row>
    <row r="158" spans="1:6">
      <c r="A158" s="53">
        <v>2003.05</v>
      </c>
      <c r="B158" s="643">
        <v>111488636</v>
      </c>
      <c r="C158" s="351">
        <v>0.50360000000000005</v>
      </c>
      <c r="D158" s="2730">
        <f>C158/'8.1'!B146</f>
        <v>2.5672975256047854E-2</v>
      </c>
      <c r="E158" s="355"/>
      <c r="F158" s="353">
        <v>1737.5</v>
      </c>
    </row>
    <row r="159" spans="1:6">
      <c r="A159" s="53">
        <v>2003.06</v>
      </c>
      <c r="B159" s="643">
        <v>121200149</v>
      </c>
      <c r="C159" s="351">
        <v>0.50960000000000005</v>
      </c>
      <c r="D159" s="2730">
        <f>C159/'8.1'!B147</f>
        <v>2.6199630799258435E-2</v>
      </c>
      <c r="E159" s="355"/>
      <c r="F159" s="353">
        <v>1737.5</v>
      </c>
    </row>
    <row r="160" spans="1:6">
      <c r="A160" s="53">
        <v>2003.07</v>
      </c>
      <c r="B160" s="643">
        <v>136906879</v>
      </c>
      <c r="C160" s="351">
        <v>0.48349999999999999</v>
      </c>
      <c r="D160" s="2730">
        <f>C160/'8.1'!B148</f>
        <v>2.5113710282723745E-2</v>
      </c>
      <c r="E160" s="355"/>
      <c r="F160" s="353">
        <v>1700</v>
      </c>
    </row>
    <row r="161" spans="1:6">
      <c r="A161" s="53">
        <v>2003.08</v>
      </c>
      <c r="B161" s="643">
        <v>137507085</v>
      </c>
      <c r="C161" s="351">
        <v>0.4466</v>
      </c>
      <c r="D161" s="2730">
        <f>C161/'8.1'!B149</f>
        <v>2.3383949097214723E-2</v>
      </c>
      <c r="E161" s="355"/>
      <c r="F161" s="353">
        <v>1700</v>
      </c>
    </row>
    <row r="162" spans="1:6">
      <c r="A162" s="53">
        <v>2003.09</v>
      </c>
      <c r="B162" s="643">
        <v>156141749</v>
      </c>
      <c r="C162" s="351">
        <v>0.43530000000000002</v>
      </c>
      <c r="D162" s="2730">
        <f>C162/'8.1'!B150</f>
        <v>2.2886420135689547E-2</v>
      </c>
      <c r="E162" s="355"/>
      <c r="F162" s="353">
        <v>1750</v>
      </c>
    </row>
    <row r="163" spans="1:6">
      <c r="A163" s="53">
        <v>2003.1</v>
      </c>
      <c r="B163" s="643">
        <v>173357553</v>
      </c>
      <c r="C163" s="351">
        <v>0.43640000000000001</v>
      </c>
      <c r="D163" s="2730">
        <f>C163/'8.1'!B151</f>
        <v>2.2864193397059803E-2</v>
      </c>
      <c r="E163" s="355"/>
      <c r="F163" s="353">
        <v>1800</v>
      </c>
    </row>
    <row r="164" spans="1:6">
      <c r="A164" s="53">
        <v>2003.11</v>
      </c>
      <c r="B164" s="643">
        <v>165486220</v>
      </c>
      <c r="C164" s="351">
        <v>0.44290000000000002</v>
      </c>
      <c r="D164" s="2730">
        <f>C164/'8.1'!B152</f>
        <v>2.3036639226050169E-2</v>
      </c>
      <c r="E164" s="355"/>
      <c r="F164" s="353">
        <v>1800</v>
      </c>
    </row>
    <row r="165" spans="1:6">
      <c r="A165" s="53">
        <v>2003.12</v>
      </c>
      <c r="B165" s="643">
        <v>176345008</v>
      </c>
      <c r="C165" s="351">
        <v>0.4458333333333333</v>
      </c>
      <c r="D165" s="2730">
        <f>C165/'8.1'!B153</f>
        <v>2.2896477377712433E-2</v>
      </c>
      <c r="E165" s="355"/>
      <c r="F165" s="353">
        <v>1825</v>
      </c>
    </row>
    <row r="166" spans="1:6">
      <c r="A166" s="53">
        <v>2004.01</v>
      </c>
      <c r="B166" s="141">
        <v>163229794</v>
      </c>
      <c r="C166" s="351">
        <v>0.44690000000000002</v>
      </c>
      <c r="D166" s="2730">
        <f>C166/'8.1'!B154</f>
        <v>2.2926594914346166E-2</v>
      </c>
      <c r="E166" s="355"/>
      <c r="F166" s="353">
        <v>1850</v>
      </c>
    </row>
    <row r="167" spans="1:6">
      <c r="A167" s="53">
        <v>2004.02</v>
      </c>
      <c r="B167" s="643">
        <v>148355360</v>
      </c>
      <c r="C167" s="351">
        <v>0.45400000000000001</v>
      </c>
      <c r="D167" s="2730">
        <f>C167/'8.1'!B155</f>
        <v>2.3061835556747925E-2</v>
      </c>
      <c r="E167" s="355"/>
      <c r="F167" s="353">
        <v>1850</v>
      </c>
    </row>
    <row r="168" spans="1:6">
      <c r="A168" s="53">
        <v>2004.03</v>
      </c>
      <c r="B168" s="643">
        <v>149303670</v>
      </c>
      <c r="C168" s="351">
        <v>0.44700000000000001</v>
      </c>
      <c r="D168" s="2730">
        <f>C168/'8.1'!B156</f>
        <v>2.2511554840634756E-2</v>
      </c>
      <c r="E168" s="355"/>
      <c r="F168" s="353">
        <v>1875</v>
      </c>
    </row>
    <row r="169" spans="1:6">
      <c r="A169" s="53">
        <v>2004.04</v>
      </c>
      <c r="B169" s="643">
        <v>136827945</v>
      </c>
      <c r="C169" s="351">
        <v>0.45229999999999998</v>
      </c>
      <c r="D169" s="2730">
        <f>C169/'8.1'!B157</f>
        <v>2.2695394449212637E-2</v>
      </c>
      <c r="E169" s="355"/>
      <c r="F169" s="353">
        <v>1875</v>
      </c>
    </row>
    <row r="170" spans="1:6">
      <c r="A170" s="53">
        <v>2004.05</v>
      </c>
      <c r="B170" s="643">
        <v>149204224</v>
      </c>
      <c r="C170" s="351">
        <v>0.44479999999999997</v>
      </c>
      <c r="D170" s="2730">
        <f>C170/'8.1'!B158</f>
        <v>2.2217593641028523E-2</v>
      </c>
      <c r="E170" s="355"/>
      <c r="F170" s="353">
        <v>1950</v>
      </c>
    </row>
    <row r="171" spans="1:6">
      <c r="A171" s="53">
        <v>2004.06</v>
      </c>
      <c r="B171" s="643">
        <v>151525875</v>
      </c>
      <c r="C171" s="351">
        <v>0.43869999999999998</v>
      </c>
      <c r="D171" s="2730">
        <f>C171/'8.1'!B159</f>
        <v>2.177591896131232E-2</v>
      </c>
      <c r="E171" s="355"/>
      <c r="F171" s="353">
        <v>2050</v>
      </c>
    </row>
    <row r="172" spans="1:6">
      <c r="A172" s="53">
        <v>2004.07</v>
      </c>
      <c r="B172" s="643">
        <v>167333813</v>
      </c>
      <c r="C172" s="351">
        <v>0.43840000000000001</v>
      </c>
      <c r="D172" s="2730">
        <f>C172/'8.1'!B160</f>
        <v>2.1654282812612717E-2</v>
      </c>
      <c r="E172" s="355"/>
      <c r="F172" s="353">
        <v>2100</v>
      </c>
    </row>
    <row r="173" spans="1:6">
      <c r="A173" s="53">
        <v>2004.08</v>
      </c>
      <c r="B173" s="643">
        <v>178804579</v>
      </c>
      <c r="C173" s="351">
        <v>0.43049999999999999</v>
      </c>
      <c r="D173" s="2730">
        <f>C173/'8.1'!B161</f>
        <v>2.09326748177577E-2</v>
      </c>
      <c r="E173" s="355"/>
      <c r="F173" s="353">
        <v>2100</v>
      </c>
    </row>
    <row r="174" spans="1:6">
      <c r="A174" s="53">
        <v>2004.09</v>
      </c>
      <c r="B174" s="643">
        <v>176966773</v>
      </c>
      <c r="C174" s="351">
        <v>0.42009999999999997</v>
      </c>
      <c r="D174" s="2730">
        <f>C174/'8.1'!B162</f>
        <v>2.0324269648787485E-2</v>
      </c>
      <c r="E174" s="355"/>
      <c r="F174" s="353">
        <v>2100</v>
      </c>
    </row>
    <row r="175" spans="1:6">
      <c r="A175" s="53">
        <v>2004.1</v>
      </c>
      <c r="B175" s="643">
        <v>185844751</v>
      </c>
      <c r="C175" s="351">
        <v>0.42120000000000002</v>
      </c>
      <c r="D175" s="2730">
        <f>C175/'8.1'!B163</f>
        <v>2.0490309273828753E-2</v>
      </c>
      <c r="E175" s="355"/>
      <c r="F175" s="353">
        <v>2125</v>
      </c>
    </row>
    <row r="176" spans="1:6">
      <c r="A176" s="53">
        <v>2004.11</v>
      </c>
      <c r="B176" s="643">
        <v>178215537</v>
      </c>
      <c r="C176" s="351">
        <v>0.42130000000000001</v>
      </c>
      <c r="D176" s="2730">
        <f>C176/'8.1'!B164</f>
        <v>2.0660142134763474E-2</v>
      </c>
      <c r="E176" s="355"/>
      <c r="F176" s="353">
        <v>2225</v>
      </c>
    </row>
    <row r="177" spans="1:6">
      <c r="A177" s="53">
        <v>2004.12</v>
      </c>
      <c r="B177" s="643">
        <v>182365692</v>
      </c>
      <c r="C177" s="351">
        <v>0.42420000000000002</v>
      </c>
      <c r="D177" s="2730">
        <f>C177/'8.1'!B165</f>
        <v>2.0767393447403405E-2</v>
      </c>
      <c r="E177" s="355"/>
      <c r="F177" s="353">
        <v>2225</v>
      </c>
    </row>
    <row r="178" spans="1:6">
      <c r="A178" s="53">
        <v>2005.01</v>
      </c>
      <c r="B178" s="643">
        <v>167074394</v>
      </c>
      <c r="C178" s="351">
        <v>0.43290000000000001</v>
      </c>
      <c r="D178" s="2730">
        <f>C178/'8.1'!B166</f>
        <v>2.1120042767593779E-2</v>
      </c>
      <c r="E178" s="355"/>
      <c r="F178" s="353">
        <v>2275</v>
      </c>
    </row>
    <row r="179" spans="1:6">
      <c r="A179" s="53">
        <v>2005.02</v>
      </c>
      <c r="B179" s="643">
        <v>150635142</v>
      </c>
      <c r="C179" s="351">
        <v>0.45269999999999999</v>
      </c>
      <c r="D179" s="2730">
        <f>C179/'8.1'!B167</f>
        <v>2.1645308181969657E-2</v>
      </c>
      <c r="E179" s="355"/>
      <c r="F179" s="353">
        <v>2275</v>
      </c>
    </row>
    <row r="180" spans="1:6">
      <c r="A180" s="53">
        <v>2005.03</v>
      </c>
      <c r="B180" s="643">
        <v>149304264</v>
      </c>
      <c r="C180" s="351">
        <v>0.48259999999999997</v>
      </c>
      <c r="D180" s="2730">
        <f>C180/'8.1'!B168</f>
        <v>2.2459983859779639E-2</v>
      </c>
      <c r="E180" s="355"/>
      <c r="F180" s="353">
        <v>2250</v>
      </c>
    </row>
    <row r="181" spans="1:6">
      <c r="A181" s="53">
        <v>2005.04</v>
      </c>
      <c r="B181" s="643">
        <v>146166122</v>
      </c>
      <c r="C181" s="351">
        <v>0.49480000000000002</v>
      </c>
      <c r="D181" s="2730">
        <f>C181/'8.1'!B169</f>
        <v>2.2958217452376778E-2</v>
      </c>
      <c r="E181" s="355"/>
      <c r="F181" s="353">
        <v>2225</v>
      </c>
    </row>
    <row r="182" spans="1:6">
      <c r="A182" s="53">
        <v>2005.05</v>
      </c>
      <c r="B182" s="643">
        <v>156310742</v>
      </c>
      <c r="C182" s="351">
        <v>0.51239999999999997</v>
      </c>
      <c r="D182" s="2730">
        <f>C182/'8.1'!B170</f>
        <v>2.3891235488819107E-2</v>
      </c>
      <c r="E182" s="355"/>
      <c r="F182" s="353">
        <v>2225</v>
      </c>
    </row>
    <row r="183" spans="1:6">
      <c r="A183" s="53">
        <v>2005.06</v>
      </c>
      <c r="B183" s="643">
        <v>157366539</v>
      </c>
      <c r="C183" s="351">
        <v>0.53211666666666668</v>
      </c>
      <c r="D183" s="2730">
        <f>C183/'8.1'!B171</f>
        <v>2.4680234053359399E-2</v>
      </c>
      <c r="E183" s="355"/>
      <c r="F183" s="353">
        <v>2225</v>
      </c>
    </row>
    <row r="184" spans="1:6">
      <c r="A184" s="53">
        <v>2005.07</v>
      </c>
      <c r="B184" s="643">
        <v>173409158</v>
      </c>
      <c r="C184" s="351">
        <v>0.53280000000000005</v>
      </c>
      <c r="D184" s="2730">
        <f>C184/'8.1'!B172</f>
        <v>2.437761466107425E-2</v>
      </c>
      <c r="E184" s="355"/>
      <c r="F184" s="353">
        <v>2250</v>
      </c>
    </row>
    <row r="185" spans="1:6">
      <c r="A185" s="53">
        <v>2005.08</v>
      </c>
      <c r="B185" s="643">
        <v>192085695</v>
      </c>
      <c r="C185" s="351">
        <v>0.53080000000000005</v>
      </c>
      <c r="D185" s="2730">
        <f>C185/'8.1'!B173</f>
        <v>2.397620016403073E-2</v>
      </c>
      <c r="E185" s="355"/>
      <c r="F185" s="353">
        <v>2300</v>
      </c>
    </row>
    <row r="186" spans="1:6">
      <c r="A186" s="53">
        <v>2005.09</v>
      </c>
      <c r="B186" s="643">
        <v>196413094</v>
      </c>
      <c r="C186" s="351">
        <v>0.51900000000000002</v>
      </c>
      <c r="D186" s="2730">
        <f>C186/'8.1'!B174</f>
        <v>2.3210267978211747E-2</v>
      </c>
      <c r="E186" s="355"/>
      <c r="F186" s="353">
        <v>2325</v>
      </c>
    </row>
    <row r="187" spans="1:6">
      <c r="A187" s="53">
        <v>2005.1</v>
      </c>
      <c r="B187" s="643">
        <v>203713404</v>
      </c>
      <c r="C187" s="351">
        <v>0.51500000000000001</v>
      </c>
      <c r="D187" s="2730">
        <f>C187/'8.1'!B175</f>
        <v>2.2940939478051571E-2</v>
      </c>
      <c r="E187" s="355"/>
      <c r="F187" s="353">
        <v>2300</v>
      </c>
    </row>
    <row r="188" spans="1:6">
      <c r="A188" s="53">
        <v>2005.11</v>
      </c>
      <c r="B188" s="643">
        <v>192853615</v>
      </c>
      <c r="C188" s="351">
        <v>0.50119999999999998</v>
      </c>
      <c r="D188" s="2730">
        <f>C188/'8.1'!B176</f>
        <v>2.2069197276526079E-2</v>
      </c>
      <c r="E188" s="355"/>
      <c r="F188" s="353">
        <v>2275</v>
      </c>
    </row>
    <row r="189" spans="1:6">
      <c r="A189" s="53">
        <v>2005.12</v>
      </c>
      <c r="B189" s="643">
        <v>199042174</v>
      </c>
      <c r="C189" s="351">
        <v>0.48499999999999999</v>
      </c>
      <c r="D189" s="2730">
        <f>C189/'8.1'!B177</f>
        <v>2.1196187180350688E-2</v>
      </c>
      <c r="E189" s="355"/>
      <c r="F189" s="353">
        <v>2250</v>
      </c>
    </row>
    <row r="190" spans="1:6">
      <c r="A190" s="53">
        <v>2006.01</v>
      </c>
      <c r="B190" s="643">
        <v>186032989</v>
      </c>
      <c r="C190" s="351">
        <v>0.48309999999999997</v>
      </c>
      <c r="D190" s="2730">
        <f>C190/'8.1'!B178</f>
        <v>2.0629603615496032E-2</v>
      </c>
      <c r="E190" s="355"/>
      <c r="F190" s="353">
        <v>2175</v>
      </c>
    </row>
    <row r="191" spans="1:6">
      <c r="A191" s="53">
        <v>2006.02</v>
      </c>
      <c r="B191" s="643">
        <v>158721778</v>
      </c>
      <c r="C191" s="351">
        <v>0.48559999999999998</v>
      </c>
      <c r="D191" s="2730">
        <f>C191/'8.1'!B179</f>
        <v>2.0705765369840465E-2</v>
      </c>
      <c r="E191" s="355"/>
      <c r="F191" s="353">
        <v>2200</v>
      </c>
    </row>
    <row r="192" spans="1:6">
      <c r="A192" s="53">
        <v>2006.03</v>
      </c>
      <c r="B192" s="643">
        <v>167970381</v>
      </c>
      <c r="C192" s="351">
        <v>0.49009999999999998</v>
      </c>
      <c r="D192" s="2730">
        <f>C192/'8.1'!B180</f>
        <v>2.0719321316099101E-2</v>
      </c>
      <c r="E192" s="355"/>
      <c r="F192" s="353">
        <v>2150</v>
      </c>
    </row>
    <row r="193" spans="1:6">
      <c r="A193" s="53">
        <v>2006.04</v>
      </c>
      <c r="B193" s="643">
        <v>155958914</v>
      </c>
      <c r="C193" s="351">
        <v>0.49559999999999998</v>
      </c>
      <c r="D193" s="2730">
        <f>C193/'8.1'!B181</f>
        <v>2.0732799564485538E-2</v>
      </c>
      <c r="E193" s="355"/>
      <c r="F193" s="353">
        <v>2100</v>
      </c>
    </row>
    <row r="194" spans="1:6">
      <c r="A194" s="53">
        <v>2006.05</v>
      </c>
      <c r="B194" s="643">
        <v>169986654</v>
      </c>
      <c r="C194" s="351">
        <v>0.49619999999999997</v>
      </c>
      <c r="D194" s="2730">
        <f>C194/'8.1'!B182</f>
        <v>2.067311261322418E-2</v>
      </c>
      <c r="E194" s="355"/>
      <c r="F194" s="353">
        <v>2100</v>
      </c>
    </row>
    <row r="195" spans="1:6">
      <c r="A195" s="53">
        <v>2006.06</v>
      </c>
      <c r="B195" s="643">
        <v>171140278</v>
      </c>
      <c r="C195" s="351">
        <v>0.50439999999999996</v>
      </c>
      <c r="D195" s="2730">
        <f>C195/'8.1'!B183</f>
        <v>2.09727555469605E-2</v>
      </c>
      <c r="E195" s="355"/>
      <c r="F195" s="353">
        <v>2075</v>
      </c>
    </row>
    <row r="196" spans="1:6">
      <c r="A196" s="53">
        <v>2006.07</v>
      </c>
      <c r="B196" s="643">
        <v>194238703</v>
      </c>
      <c r="C196" s="351">
        <v>0.49009999999999998</v>
      </c>
      <c r="D196" s="2730">
        <f>C196/'8.1'!B184</f>
        <v>2.0314840541402351E-2</v>
      </c>
      <c r="E196" s="355"/>
      <c r="F196" s="353">
        <v>2100</v>
      </c>
    </row>
    <row r="197" spans="1:6">
      <c r="A197" s="53">
        <v>2006.08</v>
      </c>
      <c r="B197" s="643">
        <v>197740863</v>
      </c>
      <c r="C197" s="351">
        <v>0.49030000000000001</v>
      </c>
      <c r="D197" s="2730">
        <f>C197/'8.1'!B185</f>
        <v>2.0205600039296993E-2</v>
      </c>
      <c r="E197" s="355"/>
      <c r="F197" s="353">
        <v>2100</v>
      </c>
    </row>
    <row r="198" spans="1:6">
      <c r="A198" s="53">
        <v>2006.09</v>
      </c>
      <c r="B198" s="88">
        <v>199758653</v>
      </c>
      <c r="C198" s="351">
        <v>0.49330000000000002</v>
      </c>
      <c r="D198" s="2730">
        <f>C198/'8.1'!B186</f>
        <v>2.0188490033651418E-2</v>
      </c>
      <c r="E198" s="355"/>
      <c r="F198" s="353">
        <v>2075</v>
      </c>
    </row>
    <row r="199" spans="1:6">
      <c r="A199" s="53">
        <v>2006.1</v>
      </c>
      <c r="B199" s="88">
        <v>207393276</v>
      </c>
      <c r="C199" s="351">
        <v>0.49049999999999999</v>
      </c>
      <c r="D199" s="2730">
        <f>C199/'8.1'!B187</f>
        <v>1.9785928179085952E-2</v>
      </c>
      <c r="E199" s="355"/>
      <c r="F199" s="353">
        <v>2200</v>
      </c>
    </row>
    <row r="200" spans="1:6">
      <c r="A200" s="53">
        <v>2006.11</v>
      </c>
      <c r="B200" s="88">
        <v>197507285</v>
      </c>
      <c r="C200" s="351">
        <v>0.49459999999999998</v>
      </c>
      <c r="D200" s="2730">
        <f>C200/'8.1'!B188</f>
        <v>1.9750683969996567E-2</v>
      </c>
      <c r="E200" s="355"/>
      <c r="F200" s="353">
        <v>2500</v>
      </c>
    </row>
    <row r="201" spans="1:6">
      <c r="A201" s="53">
        <v>2006.12</v>
      </c>
      <c r="B201" s="88">
        <v>196204543</v>
      </c>
      <c r="C201" s="351">
        <v>0.50460000000000005</v>
      </c>
      <c r="D201" s="2730">
        <f>C201/'8.1'!B189</f>
        <v>1.9911566801901644E-2</v>
      </c>
      <c r="E201" s="355"/>
      <c r="F201" s="353">
        <v>2800</v>
      </c>
    </row>
    <row r="202" spans="1:6">
      <c r="A202" s="53">
        <v>2007.01</v>
      </c>
      <c r="B202" s="88">
        <v>161729620</v>
      </c>
      <c r="C202" s="351">
        <v>0.53290000000000004</v>
      </c>
      <c r="D202" s="2730">
        <f>C202/'8.1'!B190</f>
        <v>2.0763681829387037E-2</v>
      </c>
      <c r="E202" s="355"/>
      <c r="F202" s="353">
        <v>2850</v>
      </c>
    </row>
    <row r="203" spans="1:6">
      <c r="A203" s="53">
        <v>2007.02</v>
      </c>
      <c r="B203" s="88">
        <v>138345039</v>
      </c>
      <c r="C203" s="351">
        <v>0.55659999999999998</v>
      </c>
      <c r="D203" s="2730">
        <f>C203/'8.1'!B191</f>
        <v>2.1503506537360131E-2</v>
      </c>
      <c r="E203" s="355"/>
      <c r="F203" s="353">
        <v>3050</v>
      </c>
    </row>
    <row r="204" spans="1:6">
      <c r="A204" s="53">
        <v>2007.03</v>
      </c>
      <c r="B204" s="88">
        <v>136198826</v>
      </c>
      <c r="C204" s="351">
        <v>0.57589999999999997</v>
      </c>
      <c r="D204" s="2730">
        <f>C204/'8.1'!B192</f>
        <v>2.1945983731238704E-2</v>
      </c>
      <c r="E204" s="355"/>
      <c r="F204" s="353">
        <v>3375</v>
      </c>
    </row>
    <row r="205" spans="1:6">
      <c r="A205" s="53">
        <v>2007.04</v>
      </c>
      <c r="B205" s="88">
        <v>118424085</v>
      </c>
      <c r="C205" s="351">
        <v>0.64600000000000002</v>
      </c>
      <c r="D205" s="2730">
        <f>C205/'8.1'!B193</f>
        <v>2.4195465452669804E-2</v>
      </c>
      <c r="E205" s="355"/>
      <c r="F205" s="353">
        <v>4000</v>
      </c>
    </row>
    <row r="206" spans="1:6">
      <c r="A206" s="53">
        <v>2007.05</v>
      </c>
      <c r="B206" s="88">
        <v>130043414</v>
      </c>
      <c r="C206" s="351">
        <v>0.69</v>
      </c>
      <c r="D206" s="2730">
        <f>C206/'8.1'!B194</f>
        <v>2.5656878483942561E-2</v>
      </c>
      <c r="E206" s="355"/>
      <c r="F206" s="353">
        <v>4050</v>
      </c>
    </row>
    <row r="207" spans="1:6">
      <c r="A207" s="53">
        <v>2007.06</v>
      </c>
      <c r="B207" s="88">
        <v>132571219</v>
      </c>
      <c r="C207" s="351">
        <v>0.79200000000000004</v>
      </c>
      <c r="D207" s="2730">
        <f>C207/'8.1'!B195</f>
        <v>2.9203316255178715E-2</v>
      </c>
      <c r="E207" s="355"/>
      <c r="F207" s="353">
        <v>4525</v>
      </c>
    </row>
    <row r="208" spans="1:6">
      <c r="A208" s="53">
        <v>2007.07</v>
      </c>
      <c r="B208" s="88">
        <v>144931596</v>
      </c>
      <c r="C208" s="351">
        <v>0.80200000000000005</v>
      </c>
      <c r="D208" s="2730">
        <f>C208/'8.1'!B196</f>
        <v>2.929175109179143E-2</v>
      </c>
      <c r="E208" s="355"/>
      <c r="F208" s="353">
        <v>4650</v>
      </c>
    </row>
    <row r="209" spans="1:6">
      <c r="A209" s="53">
        <v>2007.08</v>
      </c>
      <c r="B209" s="88">
        <v>153404085</v>
      </c>
      <c r="C209" s="351">
        <v>0.80200000000000005</v>
      </c>
      <c r="D209" s="2730">
        <f>C209/'8.1'!B197</f>
        <v>2.8976414140879665E-2</v>
      </c>
      <c r="E209" s="355"/>
      <c r="F209" s="353">
        <v>4750</v>
      </c>
    </row>
    <row r="210" spans="1:6">
      <c r="A210" s="53">
        <v>2007.09</v>
      </c>
      <c r="B210" s="88">
        <v>162809206</v>
      </c>
      <c r="C210" s="351">
        <v>0.80200000000000005</v>
      </c>
      <c r="D210" s="2730">
        <f>C210/'8.1'!B198</f>
        <v>2.8685534295956088E-2</v>
      </c>
      <c r="E210" s="355"/>
      <c r="F210" s="353">
        <v>4750</v>
      </c>
    </row>
    <row r="211" spans="1:6">
      <c r="A211" s="53">
        <v>2007.1</v>
      </c>
      <c r="B211" s="88">
        <v>174983186</v>
      </c>
      <c r="C211" s="351">
        <v>0.79800000000000004</v>
      </c>
      <c r="D211" s="2730">
        <f>C211/'8.1'!B199</f>
        <v>2.8270335111104314E-2</v>
      </c>
      <c r="E211" s="355"/>
      <c r="F211" s="353">
        <v>5050</v>
      </c>
    </row>
    <row r="212" spans="1:6">
      <c r="A212" s="53">
        <v>2007.11</v>
      </c>
      <c r="B212" s="88">
        <v>166571185</v>
      </c>
      <c r="C212" s="351">
        <v>0.79600000000000004</v>
      </c>
      <c r="D212" s="2730">
        <f>C212/'8.1'!B200</f>
        <v>2.8338433873322678E-2</v>
      </c>
      <c r="E212" s="355"/>
      <c r="F212" s="353">
        <v>4850</v>
      </c>
    </row>
    <row r="213" spans="1:6">
      <c r="A213" s="53">
        <v>2007.12</v>
      </c>
      <c r="B213" s="88">
        <v>166436684</v>
      </c>
      <c r="C213" s="351">
        <v>0.80200000000000005</v>
      </c>
      <c r="D213" s="2730">
        <f>C213/'8.1'!B201</f>
        <v>2.8134224209345568E-2</v>
      </c>
      <c r="E213" s="355"/>
      <c r="F213" s="353">
        <v>4800</v>
      </c>
    </row>
    <row r="214" spans="1:6">
      <c r="A214" s="53">
        <v>2008.01</v>
      </c>
      <c r="B214" s="88">
        <v>161288480</v>
      </c>
      <c r="C214" s="351">
        <v>0.81</v>
      </c>
      <c r="D214" s="2730">
        <f>C214/'8.1'!B202</f>
        <v>2.8036731043864841E-2</v>
      </c>
      <c r="E214" s="355"/>
      <c r="F214" s="353">
        <v>4400</v>
      </c>
    </row>
    <row r="215" spans="1:6">
      <c r="A215" s="53">
        <v>2008.02</v>
      </c>
      <c r="B215" s="88">
        <v>146562800</v>
      </c>
      <c r="C215" s="351">
        <v>0.81799999999999995</v>
      </c>
      <c r="D215" s="2730">
        <f>C215/'8.1'!B203</f>
        <v>2.7932627735073112E-2</v>
      </c>
      <c r="E215" s="355"/>
      <c r="F215" s="353">
        <v>4550</v>
      </c>
    </row>
    <row r="216" spans="1:6">
      <c r="A216" s="53">
        <v>2008.03</v>
      </c>
      <c r="B216" s="88">
        <v>143005625</v>
      </c>
      <c r="C216" s="351">
        <v>0.82199999999999995</v>
      </c>
      <c r="D216" s="2730">
        <f>C216/'8.1'!B204</f>
        <v>2.6925663430831397E-2</v>
      </c>
      <c r="E216" s="355"/>
      <c r="F216" s="353">
        <v>4750</v>
      </c>
    </row>
    <row r="217" spans="1:6">
      <c r="A217" s="53">
        <v>2008.04</v>
      </c>
      <c r="B217" s="88">
        <v>137258076</v>
      </c>
      <c r="C217" s="351">
        <v>0.83899999999999997</v>
      </c>
      <c r="D217" s="2730">
        <f>C217/'8.1'!B205</f>
        <v>2.6564205938404393E-2</v>
      </c>
      <c r="E217" s="355"/>
      <c r="F217" s="353">
        <v>4550</v>
      </c>
    </row>
    <row r="218" spans="1:6">
      <c r="A218" s="53">
        <v>2008.05</v>
      </c>
      <c r="B218" s="88">
        <v>142529903</v>
      </c>
      <c r="C218" s="351">
        <v>0.85199999999999998</v>
      </c>
      <c r="D218" s="2730">
        <f>C218/'8.1'!B206</f>
        <v>2.6517442632643617E-2</v>
      </c>
      <c r="E218" s="355"/>
      <c r="F218" s="353">
        <v>4500</v>
      </c>
    </row>
    <row r="219" spans="1:6">
      <c r="A219" s="53">
        <v>2008.06</v>
      </c>
      <c r="B219" s="88">
        <v>141123079</v>
      </c>
      <c r="C219" s="351">
        <v>0.85699999999999998</v>
      </c>
      <c r="D219" s="2730">
        <f>C219/'8.1'!B207</f>
        <v>2.6103024105519495E-2</v>
      </c>
      <c r="E219" s="355"/>
      <c r="F219" s="353">
        <v>4400</v>
      </c>
    </row>
    <row r="220" spans="1:6">
      <c r="A220" s="53">
        <v>2008.07</v>
      </c>
      <c r="B220" s="88">
        <v>152248387</v>
      </c>
      <c r="C220" s="351">
        <v>0.94199999999999995</v>
      </c>
      <c r="D220" s="2730">
        <f>C220/'8.1'!B208</f>
        <v>2.8266656772780424E-2</v>
      </c>
      <c r="E220" s="355"/>
      <c r="F220" s="353">
        <v>4400</v>
      </c>
    </row>
    <row r="221" spans="1:6">
      <c r="A221" s="53">
        <v>2008.08</v>
      </c>
      <c r="B221" s="88">
        <v>163630873</v>
      </c>
      <c r="C221" s="351">
        <v>0.94399999999999995</v>
      </c>
      <c r="D221" s="2730">
        <f>C221/'8.1'!B209</f>
        <v>2.8053194334612182E-2</v>
      </c>
      <c r="E221" s="355"/>
      <c r="F221" s="353">
        <v>3600</v>
      </c>
    </row>
    <row r="222" spans="1:6">
      <c r="A222" s="53">
        <v>2008.09</v>
      </c>
      <c r="B222" s="88">
        <v>168425193</v>
      </c>
      <c r="C222" s="351">
        <v>0.93799999999999994</v>
      </c>
      <c r="D222" s="2730">
        <f>C222/'8.1'!B210</f>
        <v>2.7408299263269778E-2</v>
      </c>
      <c r="E222" s="355"/>
      <c r="F222" s="353">
        <v>3050</v>
      </c>
    </row>
    <row r="223" spans="1:6">
      <c r="A223" s="53">
        <v>2008.1</v>
      </c>
      <c r="B223" s="88">
        <v>185769379</v>
      </c>
      <c r="C223" s="351">
        <v>0.88600000000000001</v>
      </c>
      <c r="D223" s="2730">
        <f>C223/'8.1'!B211</f>
        <v>2.5714094030791508E-2</v>
      </c>
      <c r="E223" s="355"/>
      <c r="F223" s="353">
        <v>2850</v>
      </c>
    </row>
    <row r="224" spans="1:6">
      <c r="A224" s="53">
        <v>2008.11</v>
      </c>
      <c r="B224" s="88">
        <v>185829282</v>
      </c>
      <c r="C224" s="351">
        <v>0.79600000000000004</v>
      </c>
      <c r="D224" s="2730">
        <f>C224/'8.1'!B212</f>
        <v>2.2902721004258352E-2</v>
      </c>
      <c r="E224" s="355"/>
      <c r="F224" s="353">
        <v>2450</v>
      </c>
    </row>
    <row r="225" spans="1:6">
      <c r="A225" s="53">
        <v>2008.12</v>
      </c>
      <c r="B225" s="88">
        <v>188689119</v>
      </c>
      <c r="C225" s="351">
        <v>0.76500000000000001</v>
      </c>
      <c r="D225" s="2730">
        <f>C225/'8.1'!B213</f>
        <v>2.1907785193106884E-2</v>
      </c>
      <c r="E225" s="355"/>
      <c r="F225" s="353">
        <v>2100</v>
      </c>
    </row>
    <row r="226" spans="1:6">
      <c r="A226" s="53">
        <f t="shared" ref="A226:A289" si="0">A214+1</f>
        <v>2009.01</v>
      </c>
      <c r="B226" s="88">
        <v>181393569</v>
      </c>
      <c r="C226" s="351">
        <v>0.73599999999999999</v>
      </c>
      <c r="D226" s="2730">
        <f>C226/'8.1'!B214</f>
        <v>2.0912663607332689E-2</v>
      </c>
      <c r="E226" s="355"/>
      <c r="F226" s="353">
        <v>1850</v>
      </c>
    </row>
    <row r="227" spans="1:6">
      <c r="A227" s="53">
        <f t="shared" si="0"/>
        <v>2009.02</v>
      </c>
      <c r="B227" s="88">
        <v>159259635</v>
      </c>
      <c r="C227" s="351">
        <v>0.73499999999999999</v>
      </c>
      <c r="D227" s="2730">
        <f>C227/'8.1'!B215</f>
        <v>2.0813763898520115E-2</v>
      </c>
      <c r="E227" s="355"/>
      <c r="F227" s="353">
        <v>1850</v>
      </c>
    </row>
    <row r="228" spans="1:6">
      <c r="A228" s="53">
        <f t="shared" si="0"/>
        <v>2009.03</v>
      </c>
      <c r="B228" s="88">
        <v>167365393</v>
      </c>
      <c r="C228" s="351">
        <v>0.73099999999999998</v>
      </c>
      <c r="D228" s="2730">
        <f>C228/'8.1'!B216</f>
        <v>2.0366773755389905E-2</v>
      </c>
      <c r="E228" s="355"/>
      <c r="F228" s="353">
        <v>1950</v>
      </c>
    </row>
    <row r="229" spans="1:6">
      <c r="A229" s="53">
        <f t="shared" si="0"/>
        <v>2009.04</v>
      </c>
      <c r="B229" s="88">
        <v>155759229</v>
      </c>
      <c r="C229" s="351">
        <v>0.73299999999999998</v>
      </c>
      <c r="D229" s="2730">
        <f>C229/'8.1'!B217</f>
        <v>2.008789578555209E-2</v>
      </c>
      <c r="E229" s="355"/>
      <c r="F229" s="353">
        <v>2075</v>
      </c>
    </row>
    <row r="230" spans="1:6">
      <c r="A230" s="53">
        <f t="shared" si="0"/>
        <v>2009.05</v>
      </c>
      <c r="B230" s="88">
        <v>159819157</v>
      </c>
      <c r="C230" s="351">
        <v>0.74099999999999999</v>
      </c>
      <c r="D230" s="2730">
        <f>C230/'8.1'!B218</f>
        <v>2.0195423998491589E-2</v>
      </c>
      <c r="E230" s="355"/>
      <c r="F230" s="353">
        <v>2200</v>
      </c>
    </row>
    <row r="231" spans="1:6">
      <c r="A231" s="53">
        <f t="shared" si="0"/>
        <v>2009.06</v>
      </c>
      <c r="B231" s="88">
        <v>155527859</v>
      </c>
      <c r="C231" s="351">
        <v>0.76180000000000003</v>
      </c>
      <c r="D231" s="2730">
        <f>C231/'8.1'!B219</f>
        <v>2.0684287802580664E-2</v>
      </c>
      <c r="E231" s="355"/>
      <c r="F231" s="353">
        <v>2050</v>
      </c>
    </row>
    <row r="232" spans="1:6">
      <c r="A232" s="53">
        <f t="shared" si="0"/>
        <v>2009.07</v>
      </c>
      <c r="B232" s="88">
        <v>163334988</v>
      </c>
      <c r="C232" s="351">
        <v>0.79</v>
      </c>
      <c r="D232" s="2730">
        <f>C232/'8.1'!B220</f>
        <v>2.1289953930145402E-2</v>
      </c>
      <c r="E232" s="355"/>
      <c r="F232" s="353">
        <v>2000</v>
      </c>
    </row>
    <row r="233" spans="1:6">
      <c r="A233" s="53">
        <f t="shared" si="0"/>
        <v>2009.08</v>
      </c>
      <c r="B233" s="88">
        <v>173578442</v>
      </c>
      <c r="C233" s="351">
        <v>0.80320000000000003</v>
      </c>
      <c r="D233" s="2730">
        <f>C233/'8.1'!B221</f>
        <v>2.1330746059274267E-2</v>
      </c>
      <c r="E233" s="355"/>
      <c r="F233" s="353">
        <v>2225</v>
      </c>
    </row>
    <row r="234" spans="1:6">
      <c r="A234" s="53">
        <f t="shared" si="0"/>
        <v>2009.09</v>
      </c>
      <c r="B234" s="88">
        <v>181491227</v>
      </c>
      <c r="C234" s="351">
        <v>0.80379999999999996</v>
      </c>
      <c r="D234" s="2730">
        <f>C234/'8.1'!B222</f>
        <v>2.1173727735132864E-2</v>
      </c>
      <c r="E234" s="355"/>
      <c r="F234" s="353">
        <v>2800</v>
      </c>
    </row>
    <row r="235" spans="1:6">
      <c r="A235" s="53">
        <f t="shared" si="0"/>
        <v>2009.1</v>
      </c>
      <c r="B235" s="88">
        <v>196588419</v>
      </c>
      <c r="C235" s="351">
        <v>0.86509999999999998</v>
      </c>
      <c r="D235" s="2730">
        <f>C235/'8.1'!B223</f>
        <v>2.246877971974387E-2</v>
      </c>
      <c r="E235" s="355"/>
      <c r="F235" s="353">
        <v>3150</v>
      </c>
    </row>
    <row r="236" spans="1:6">
      <c r="A236" s="53">
        <f t="shared" si="0"/>
        <v>2009.11</v>
      </c>
      <c r="B236" s="88">
        <v>186085492</v>
      </c>
      <c r="C236" s="351">
        <v>0.92179999999999995</v>
      </c>
      <c r="D236" s="2730">
        <f>C236/'8.1'!B224</f>
        <v>2.3618316069882635E-2</v>
      </c>
      <c r="E236" s="355"/>
      <c r="F236" s="353">
        <v>3550</v>
      </c>
    </row>
    <row r="237" spans="1:6">
      <c r="A237" s="53">
        <f t="shared" si="0"/>
        <v>2009.12</v>
      </c>
      <c r="B237" s="88">
        <v>184157449</v>
      </c>
      <c r="C237" s="351">
        <v>0.99299999999999999</v>
      </c>
      <c r="D237" s="2730">
        <f>C237/'8.1'!B225</f>
        <v>2.4884916161565376E-2</v>
      </c>
      <c r="E237" s="355"/>
      <c r="F237" s="353">
        <v>3550</v>
      </c>
    </row>
    <row r="238" spans="1:6">
      <c r="A238" s="53">
        <f t="shared" si="0"/>
        <v>2010.01</v>
      </c>
      <c r="B238" s="88">
        <v>159960053</v>
      </c>
      <c r="C238" s="351">
        <v>1.0531999999999999</v>
      </c>
      <c r="D238" s="2730">
        <f>C238/'8.1'!B226</f>
        <v>2.5763062193979339E-2</v>
      </c>
      <c r="E238" s="355"/>
      <c r="F238" s="353">
        <v>3250</v>
      </c>
    </row>
    <row r="239" spans="1:6">
      <c r="A239" s="53">
        <f t="shared" si="0"/>
        <v>2010.02</v>
      </c>
      <c r="B239" s="88">
        <v>134001785</v>
      </c>
      <c r="C239" s="351">
        <v>1.1153999999999999</v>
      </c>
      <c r="D239" s="2730">
        <f>C239/'8.1'!B227</f>
        <v>2.6339546804985247E-2</v>
      </c>
      <c r="E239" s="355"/>
      <c r="F239" s="353">
        <v>3125</v>
      </c>
    </row>
    <row r="240" spans="1:6">
      <c r="A240" s="53">
        <f t="shared" si="0"/>
        <v>2010.03</v>
      </c>
      <c r="B240" s="88">
        <v>142015182</v>
      </c>
      <c r="C240" s="351">
        <v>1.1884999999999999</v>
      </c>
      <c r="D240" s="2730">
        <f>C240/'8.1'!B228</f>
        <v>2.7444099780082939E-2</v>
      </c>
      <c r="E240" s="355"/>
      <c r="F240" s="353">
        <v>3175</v>
      </c>
    </row>
    <row r="241" spans="1:6">
      <c r="A241" s="53">
        <f t="shared" si="0"/>
        <v>2010.04</v>
      </c>
      <c r="B241" s="88">
        <v>139315180</v>
      </c>
      <c r="C241" s="351">
        <v>1.2929999999999999</v>
      </c>
      <c r="D241" s="2730">
        <f>C241/'8.1'!B229</f>
        <v>2.9238071804020618E-2</v>
      </c>
      <c r="E241" s="355"/>
      <c r="F241" s="353">
        <v>3700</v>
      </c>
    </row>
    <row r="242" spans="1:6">
      <c r="A242" s="53">
        <f t="shared" si="0"/>
        <v>2010.05</v>
      </c>
      <c r="B242" s="88">
        <v>154380116</v>
      </c>
      <c r="C242" s="351">
        <v>1.3979999999999999</v>
      </c>
      <c r="D242" s="2730">
        <f>C242/'8.1'!B230</f>
        <v>3.1115997993791566E-2</v>
      </c>
      <c r="E242" s="355"/>
      <c r="F242" s="353">
        <v>3900</v>
      </c>
    </row>
    <row r="243" spans="1:6">
      <c r="A243" s="53">
        <f t="shared" si="0"/>
        <v>2010.06</v>
      </c>
      <c r="B243" s="88">
        <v>162117361</v>
      </c>
      <c r="C243" s="351">
        <v>1.4044000000000001</v>
      </c>
      <c r="D243" s="2730">
        <f>C243/'8.1'!B231</f>
        <v>3.094990049384384E-2</v>
      </c>
      <c r="E243" s="355"/>
      <c r="F243" s="353">
        <v>3850</v>
      </c>
    </row>
    <row r="244" spans="1:6">
      <c r="A244" s="53">
        <f t="shared" si="0"/>
        <v>2010.07</v>
      </c>
      <c r="B244" s="88">
        <v>179433227</v>
      </c>
      <c r="C244" s="351">
        <v>1.3428</v>
      </c>
      <c r="D244" s="2730">
        <f>C244/'8.1'!B232</f>
        <v>2.9238120074993424E-2</v>
      </c>
      <c r="E244" s="355"/>
      <c r="F244" s="353">
        <v>3250</v>
      </c>
    </row>
    <row r="245" spans="1:6">
      <c r="A245" s="53">
        <f t="shared" si="0"/>
        <v>2010.08</v>
      </c>
      <c r="B245" s="88">
        <v>184952664</v>
      </c>
      <c r="C245" s="351">
        <v>1.3012999999999999</v>
      </c>
      <c r="D245" s="2730">
        <f>C245/'8.1'!B233</f>
        <v>2.8000476615714892E-2</v>
      </c>
      <c r="E245" s="355"/>
      <c r="F245" s="353">
        <v>3150</v>
      </c>
    </row>
    <row r="246" spans="1:6">
      <c r="A246" s="53">
        <f t="shared" si="0"/>
        <v>2010.09</v>
      </c>
      <c r="B246" s="88">
        <v>188536846</v>
      </c>
      <c r="C246" s="351">
        <v>1.3073999999999999</v>
      </c>
      <c r="D246" s="2730">
        <f>C246/'8.1'!B234</f>
        <v>2.787918663478749E-2</v>
      </c>
      <c r="E246" s="355"/>
      <c r="F246" s="353">
        <v>3400</v>
      </c>
    </row>
    <row r="247" spans="1:6">
      <c r="A247" s="53">
        <f t="shared" si="0"/>
        <v>2010.1</v>
      </c>
      <c r="B247" s="88">
        <v>203033187</v>
      </c>
      <c r="C247" s="351">
        <v>1.3143</v>
      </c>
      <c r="D247" s="2730">
        <f>C247/'8.1'!B235</f>
        <v>2.7241300312994841E-2</v>
      </c>
      <c r="E247" s="355"/>
      <c r="F247" s="353">
        <v>3500</v>
      </c>
    </row>
    <row r="248" spans="1:6">
      <c r="A248" s="53">
        <f t="shared" si="0"/>
        <v>2010.11</v>
      </c>
      <c r="B248" s="88">
        <v>185925783</v>
      </c>
      <c r="C248" s="351">
        <v>1.3494999999999999</v>
      </c>
      <c r="D248" s="2730">
        <f>C248/'8.1'!B236</f>
        <v>2.7399917392378324E-2</v>
      </c>
      <c r="E248" s="355"/>
      <c r="F248" s="353">
        <v>3525</v>
      </c>
    </row>
    <row r="249" spans="1:6">
      <c r="A249" s="53">
        <f t="shared" si="0"/>
        <v>2010.12</v>
      </c>
      <c r="B249" s="88">
        <v>177937388</v>
      </c>
      <c r="C249" s="351">
        <v>1.3735999999999999</v>
      </c>
      <c r="D249" s="2730">
        <f>C249/'8.1'!B237</f>
        <v>2.7401547874925252E-2</v>
      </c>
      <c r="E249" s="355"/>
      <c r="F249" s="353">
        <v>3550</v>
      </c>
    </row>
    <row r="250" spans="1:6">
      <c r="A250" s="53">
        <f t="shared" si="0"/>
        <v>2011.01</v>
      </c>
      <c r="B250" s="88">
        <v>176973759</v>
      </c>
      <c r="C250" s="351">
        <v>1.4147000000000001</v>
      </c>
      <c r="D250" s="2730">
        <f>C250/'8.1'!B238</f>
        <v>2.7927990853541709E-2</v>
      </c>
      <c r="E250" s="355"/>
      <c r="F250" s="353">
        <v>3862.5</v>
      </c>
    </row>
    <row r="251" spans="1:6">
      <c r="A251" s="53">
        <f t="shared" si="0"/>
        <v>2011.02</v>
      </c>
      <c r="B251" s="88">
        <v>156445493</v>
      </c>
      <c r="C251" s="351">
        <v>1.4986999999999999</v>
      </c>
      <c r="D251" s="2730">
        <f>C251/'8.1'!B239</f>
        <v>2.9195157938481094E-2</v>
      </c>
      <c r="E251" s="355"/>
      <c r="F251" s="353">
        <v>4250</v>
      </c>
    </row>
    <row r="252" spans="1:6">
      <c r="A252" s="53">
        <f t="shared" si="0"/>
        <v>2011.03</v>
      </c>
      <c r="B252" s="88">
        <v>163196423</v>
      </c>
      <c r="C252" s="351">
        <v>1.5651999999999999</v>
      </c>
      <c r="D252" s="2730">
        <f>C252/'8.1'!B240</f>
        <v>2.9692253093142506E-2</v>
      </c>
      <c r="E252" s="355"/>
      <c r="F252" s="353">
        <v>4650</v>
      </c>
    </row>
    <row r="253" spans="1:6">
      <c r="A253" s="53">
        <f t="shared" si="0"/>
        <v>2011.04</v>
      </c>
      <c r="B253" s="88">
        <v>161940953</v>
      </c>
      <c r="C253" s="351">
        <v>1.5485</v>
      </c>
      <c r="D253" s="2730">
        <f>C253/'8.1'!B241</f>
        <v>2.8751600187363845E-2</v>
      </c>
      <c r="E253" s="355"/>
      <c r="F253" s="353">
        <v>4125</v>
      </c>
    </row>
    <row r="254" spans="1:6">
      <c r="A254" s="53">
        <f t="shared" si="0"/>
        <v>2011.05</v>
      </c>
      <c r="B254" s="88">
        <v>175508836</v>
      </c>
      <c r="C254" s="351">
        <v>1.5610999999999999</v>
      </c>
      <c r="D254" s="2730">
        <f>C254/'8.1'!B242</f>
        <v>2.8656202902025515E-2</v>
      </c>
      <c r="E254" s="355"/>
      <c r="F254" s="353">
        <v>4100</v>
      </c>
    </row>
    <row r="255" spans="1:6">
      <c r="A255" s="53">
        <f t="shared" si="0"/>
        <v>2011.06</v>
      </c>
      <c r="B255" s="88">
        <v>179601836</v>
      </c>
      <c r="C255" s="351">
        <v>1.5249999999999999</v>
      </c>
      <c r="D255" s="2730">
        <f>C255/'8.1'!B243</f>
        <v>2.7655876713592865E-2</v>
      </c>
      <c r="E255" s="355"/>
      <c r="F255" s="353">
        <v>3950</v>
      </c>
    </row>
    <row r="256" spans="1:6">
      <c r="A256" s="53">
        <f t="shared" si="0"/>
        <v>2011.07</v>
      </c>
      <c r="B256" s="88">
        <v>193452778</v>
      </c>
      <c r="C256" s="351">
        <v>1.4979</v>
      </c>
      <c r="D256" s="2730">
        <f>C256/'8.1'!B244</f>
        <v>2.6752200212291466E-2</v>
      </c>
      <c r="E256" s="355"/>
      <c r="F256" s="353">
        <v>3787</v>
      </c>
    </row>
    <row r="257" spans="1:6">
      <c r="A257" s="53">
        <f t="shared" si="0"/>
        <v>2011.08</v>
      </c>
      <c r="B257" s="88">
        <v>211786006</v>
      </c>
      <c r="C257" s="351">
        <v>1.4812000000000001</v>
      </c>
      <c r="D257" s="2730">
        <f>C257/'8.1'!B245</f>
        <v>2.5983811752634801E-2</v>
      </c>
      <c r="E257" s="355"/>
      <c r="F257" s="353">
        <v>3529.5</v>
      </c>
    </row>
    <row r="258" spans="1:6">
      <c r="A258" s="53">
        <f t="shared" si="0"/>
        <v>2011.09</v>
      </c>
      <c r="B258" s="88">
        <v>222126650</v>
      </c>
      <c r="C258" s="351">
        <v>1.4832000000000001</v>
      </c>
      <c r="D258" s="2730">
        <f>C258/'8.1'!B246</f>
        <v>2.5542568236736427E-2</v>
      </c>
      <c r="E258" s="355"/>
      <c r="F258" s="353">
        <v>3487.5</v>
      </c>
    </row>
    <row r="259" spans="1:6">
      <c r="A259" s="53">
        <f t="shared" si="0"/>
        <v>2011.1</v>
      </c>
      <c r="B259" s="88">
        <v>225221234</v>
      </c>
      <c r="C259" s="351">
        <v>1.4783999999999999</v>
      </c>
      <c r="D259" s="2730">
        <f>C259/'8.1'!B247</f>
        <v>2.5281636643405055E-2</v>
      </c>
      <c r="E259" s="355"/>
      <c r="F259" s="353">
        <v>3500</v>
      </c>
    </row>
    <row r="260" spans="1:6">
      <c r="A260" s="53">
        <f t="shared" si="0"/>
        <v>2011.11</v>
      </c>
      <c r="B260" s="88">
        <v>210042361</v>
      </c>
      <c r="C260" s="351">
        <v>1.4756</v>
      </c>
      <c r="D260" s="2730">
        <f>C260/'8.1'!B248</f>
        <v>2.478562543339138E-2</v>
      </c>
      <c r="E260" s="355"/>
      <c r="F260" s="353">
        <v>3575</v>
      </c>
    </row>
    <row r="261" spans="1:6">
      <c r="A261" s="53">
        <f t="shared" si="0"/>
        <v>2011.12</v>
      </c>
      <c r="B261" s="88">
        <v>212261101</v>
      </c>
      <c r="C261" s="351">
        <v>1.4748000000000001</v>
      </c>
      <c r="D261" s="2730">
        <f>C261/'8.1'!B249</f>
        <v>2.4304462322319746E-2</v>
      </c>
      <c r="E261" s="355"/>
      <c r="F261" s="353">
        <v>3675</v>
      </c>
    </row>
    <row r="262" spans="1:6">
      <c r="A262" s="53">
        <f t="shared" si="0"/>
        <v>2012.01</v>
      </c>
      <c r="B262" s="88">
        <v>204823057</v>
      </c>
      <c r="C262" s="351">
        <v>1.4838</v>
      </c>
      <c r="D262" s="2730">
        <f>C262/'8.1'!B250</f>
        <v>2.418007894967222E-2</v>
      </c>
      <c r="E262" s="355"/>
      <c r="F262" s="353">
        <v>3600</v>
      </c>
    </row>
    <row r="263" spans="1:6">
      <c r="A263" s="53">
        <f t="shared" si="0"/>
        <v>2012.02</v>
      </c>
      <c r="B263" s="88">
        <v>174210812</v>
      </c>
      <c r="C263" s="351">
        <v>1.5046999999999999</v>
      </c>
      <c r="D263" s="2730">
        <f>C263/'8.1'!B251</f>
        <v>2.4304437453660618E-2</v>
      </c>
      <c r="E263" s="355"/>
      <c r="F263" s="353">
        <v>3550</v>
      </c>
    </row>
    <row r="264" spans="1:6">
      <c r="A264" s="53">
        <f t="shared" si="0"/>
        <v>2012.03</v>
      </c>
      <c r="B264" s="88">
        <v>179658661</v>
      </c>
      <c r="C264" s="351">
        <v>1.5468999999999999</v>
      </c>
      <c r="D264" s="2730">
        <f>C264/'8.1'!B252</f>
        <v>2.4139106624604067E-2</v>
      </c>
      <c r="E264" s="355"/>
      <c r="F264" s="353">
        <v>3450</v>
      </c>
    </row>
    <row r="265" spans="1:6">
      <c r="A265" s="53">
        <f t="shared" si="0"/>
        <v>2012.04</v>
      </c>
      <c r="B265" s="88">
        <v>171487463</v>
      </c>
      <c r="C265" s="351">
        <v>1.5693999999999999</v>
      </c>
      <c r="D265" s="2730">
        <f>C265/'8.1'!B253</f>
        <v>2.3788048218255545E-2</v>
      </c>
      <c r="E265" s="355"/>
      <c r="F265" s="353">
        <v>3175</v>
      </c>
    </row>
    <row r="266" spans="1:6">
      <c r="A266" s="53">
        <f t="shared" si="0"/>
        <v>2012.05</v>
      </c>
      <c r="B266" s="88">
        <v>183893164</v>
      </c>
      <c r="C266" s="351">
        <v>1.569</v>
      </c>
      <c r="D266" s="2730">
        <f>C266/'8.1'!B254</f>
        <v>2.3576583201352939E-2</v>
      </c>
      <c r="E266" s="355"/>
      <c r="F266" s="353">
        <v>2925</v>
      </c>
    </row>
    <row r="267" spans="1:6">
      <c r="A267" s="53">
        <f t="shared" si="0"/>
        <v>2012.06</v>
      </c>
      <c r="B267" s="88">
        <v>186163236</v>
      </c>
      <c r="C267" s="351">
        <v>1.5637000000000001</v>
      </c>
      <c r="D267" s="2730">
        <f>C267/'8.1'!B255</f>
        <v>2.3280405842972605E-2</v>
      </c>
      <c r="E267" s="355"/>
      <c r="F267" s="353">
        <v>2850</v>
      </c>
    </row>
    <row r="268" spans="1:6">
      <c r="A268" s="53">
        <f t="shared" si="0"/>
        <v>2012.07</v>
      </c>
      <c r="B268" s="88">
        <v>202264898</v>
      </c>
      <c r="C268" s="351">
        <v>1.5662</v>
      </c>
      <c r="D268" s="2730">
        <f>C268/'8.1'!B256</f>
        <v>2.3127658874400672E-2</v>
      </c>
      <c r="E268" s="355"/>
      <c r="F268" s="353">
        <v>2800</v>
      </c>
    </row>
    <row r="269" spans="1:6">
      <c r="A269" s="53">
        <f t="shared" si="0"/>
        <v>2012.08</v>
      </c>
      <c r="B269" s="88">
        <v>195849793</v>
      </c>
      <c r="C269" s="351">
        <v>1.5465</v>
      </c>
      <c r="D269" s="2730">
        <f>C269/'8.1'!B257</f>
        <v>2.2603202332965509E-2</v>
      </c>
      <c r="E269" s="355"/>
      <c r="F269" s="353">
        <v>2900</v>
      </c>
    </row>
    <row r="270" spans="1:6">
      <c r="A270" s="53">
        <f t="shared" si="0"/>
        <v>2012.09</v>
      </c>
      <c r="B270" s="88">
        <v>216625710</v>
      </c>
      <c r="C270" s="351">
        <v>1.5357000000000001</v>
      </c>
      <c r="D270" s="2730">
        <f>C270/'8.1'!B258</f>
        <v>2.2148520623161121E-2</v>
      </c>
      <c r="E270" s="355"/>
      <c r="F270" s="353">
        <v>3237.5</v>
      </c>
    </row>
    <row r="271" spans="1:6">
      <c r="A271" s="53">
        <f t="shared" si="0"/>
        <v>2012.1</v>
      </c>
      <c r="B271" s="88">
        <v>216596985</v>
      </c>
      <c r="C271" s="351">
        <v>1.5442</v>
      </c>
      <c r="D271" s="2730">
        <f>C271/'8.1'!B259</f>
        <v>2.2041342068000382E-2</v>
      </c>
      <c r="E271" s="355"/>
      <c r="F271" s="353">
        <v>3300</v>
      </c>
    </row>
    <row r="272" spans="1:6">
      <c r="A272" s="53">
        <f t="shared" si="0"/>
        <v>2012.11</v>
      </c>
      <c r="B272" s="88">
        <v>205233177</v>
      </c>
      <c r="C272" s="351">
        <v>1.5792999999999999</v>
      </c>
      <c r="D272" s="2730">
        <f>C272/'8.1'!B260</f>
        <v>2.2304279189665287E-2</v>
      </c>
      <c r="E272" s="355"/>
      <c r="F272" s="353">
        <v>3375</v>
      </c>
    </row>
    <row r="273" spans="1:6">
      <c r="A273" s="53">
        <f t="shared" si="0"/>
        <v>2012.12</v>
      </c>
      <c r="B273" s="88">
        <v>200694219</v>
      </c>
      <c r="C273" s="351">
        <v>1.629</v>
      </c>
      <c r="D273" s="2730">
        <f>C273/'8.1'!B261</f>
        <v>2.2799448027377888E-2</v>
      </c>
      <c r="E273" s="355"/>
      <c r="F273" s="353">
        <v>3300</v>
      </c>
    </row>
    <row r="274" spans="1:6">
      <c r="A274" s="53">
        <f t="shared" si="0"/>
        <v>2013.01</v>
      </c>
      <c r="B274" s="88">
        <v>187984200</v>
      </c>
      <c r="C274" s="351">
        <v>1.7141</v>
      </c>
      <c r="D274" s="2730">
        <f>C274/'8.1'!B262</f>
        <v>2.3709195076898053E-2</v>
      </c>
      <c r="E274" s="355"/>
      <c r="F274" s="353">
        <v>3350</v>
      </c>
    </row>
    <row r="275" spans="1:6">
      <c r="A275" s="53">
        <f t="shared" si="0"/>
        <v>2013.02</v>
      </c>
      <c r="B275" s="88">
        <v>159111381</v>
      </c>
      <c r="C275" s="351">
        <v>1.8193999999999999</v>
      </c>
      <c r="D275" s="2730">
        <f>C275/'8.1'!B263</f>
        <v>2.4952713990472726E-2</v>
      </c>
      <c r="E275" s="355"/>
      <c r="F275" s="353">
        <v>3475</v>
      </c>
    </row>
    <row r="276" spans="1:6">
      <c r="A276" s="53">
        <f t="shared" si="0"/>
        <v>2013.03</v>
      </c>
      <c r="B276" s="88">
        <v>174516556</v>
      </c>
      <c r="C276" s="351">
        <v>1.9172</v>
      </c>
      <c r="D276" s="2730">
        <f>C276/'8.1'!B264</f>
        <v>2.5985728162218853E-2</v>
      </c>
      <c r="E276" s="355"/>
      <c r="F276" s="353">
        <v>4950</v>
      </c>
    </row>
    <row r="277" spans="1:6">
      <c r="A277" s="53">
        <f t="shared" si="0"/>
        <v>2013.04</v>
      </c>
      <c r="B277" s="88">
        <v>168662468</v>
      </c>
      <c r="C277" s="351">
        <v>2.0969000000000002</v>
      </c>
      <c r="D277" s="2730">
        <f>C277/'8.1'!B265</f>
        <v>2.8120250506963523E-2</v>
      </c>
      <c r="E277" s="355"/>
      <c r="F277" s="353">
        <v>5600</v>
      </c>
    </row>
    <row r="278" spans="1:6">
      <c r="A278" s="53">
        <f t="shared" si="0"/>
        <v>2013.05</v>
      </c>
      <c r="B278" s="88">
        <v>187781810</v>
      </c>
      <c r="C278" s="351">
        <v>2.0907</v>
      </c>
      <c r="D278" s="2730">
        <f>C278/'8.1'!B266</f>
        <v>2.7822649830411387E-2</v>
      </c>
      <c r="E278" s="355"/>
      <c r="F278" s="353">
        <v>5262.5</v>
      </c>
    </row>
    <row r="279" spans="1:6">
      <c r="A279" s="53">
        <f t="shared" si="0"/>
        <v>2013.06</v>
      </c>
      <c r="B279" s="88">
        <v>194379088</v>
      </c>
      <c r="C279" s="351">
        <v>2.0891000000000002</v>
      </c>
      <c r="D279" s="2730">
        <f>C279/'8.1'!B267</f>
        <v>2.7462033655755422E-2</v>
      </c>
      <c r="E279" s="355"/>
      <c r="F279" s="353">
        <v>4750</v>
      </c>
    </row>
    <row r="280" spans="1:6">
      <c r="A280" s="53">
        <f t="shared" si="0"/>
        <v>2013.07</v>
      </c>
      <c r="B280" s="88">
        <v>212213739</v>
      </c>
      <c r="C280" s="351">
        <v>2.0992999999999999</v>
      </c>
      <c r="D280" s="2730">
        <f>C280/'8.1'!B268</f>
        <v>2.7284475288769015E-2</v>
      </c>
      <c r="E280" s="355"/>
      <c r="F280" s="353">
        <v>4912</v>
      </c>
    </row>
    <row r="281" spans="1:6">
      <c r="A281" s="53">
        <f t="shared" si="0"/>
        <v>2013.08</v>
      </c>
      <c r="B281" s="88">
        <v>216365690</v>
      </c>
      <c r="C281" s="351">
        <v>2.1025</v>
      </c>
      <c r="D281" s="2730">
        <f>C281/'8.1'!B269</f>
        <v>2.6976932428683709E-2</v>
      </c>
      <c r="E281" s="355"/>
      <c r="F281" s="353">
        <v>5000</v>
      </c>
    </row>
    <row r="282" spans="1:6">
      <c r="A282" s="53">
        <f t="shared" si="0"/>
        <v>2013.09</v>
      </c>
      <c r="B282" s="88">
        <v>214519356</v>
      </c>
      <c r="C282" s="351">
        <v>2.1434000000000002</v>
      </c>
      <c r="D282" s="2730">
        <f>C282/'8.1'!B270</f>
        <v>2.7171976459167264E-2</v>
      </c>
      <c r="E282" s="355"/>
      <c r="F282" s="353">
        <v>5025</v>
      </c>
    </row>
    <row r="283" spans="1:6">
      <c r="A283" s="53">
        <f t="shared" si="0"/>
        <v>2013.1</v>
      </c>
      <c r="B283" s="88">
        <v>225685353</v>
      </c>
      <c r="C283" s="351">
        <v>2.1909000000000001</v>
      </c>
      <c r="D283" s="2730">
        <f>C283/'8.1'!B271</f>
        <v>2.7392964310327061E-2</v>
      </c>
      <c r="E283" s="355"/>
      <c r="F283" s="353">
        <v>5125</v>
      </c>
    </row>
    <row r="284" spans="1:6">
      <c r="A284" s="53">
        <f t="shared" si="0"/>
        <v>2013.11</v>
      </c>
      <c r="B284" s="88">
        <v>216681331</v>
      </c>
      <c r="C284" s="351">
        <v>2.2395999999999998</v>
      </c>
      <c r="D284" s="2730">
        <f>C284/'8.1'!B272</f>
        <v>2.748397110633842E-2</v>
      </c>
      <c r="E284" s="355"/>
      <c r="F284" s="353">
        <v>4950</v>
      </c>
    </row>
    <row r="285" spans="1:6">
      <c r="A285" s="53">
        <f t="shared" si="0"/>
        <v>2013.12</v>
      </c>
      <c r="B285" s="88">
        <v>203912652</v>
      </c>
      <c r="C285" s="351">
        <v>2.3308</v>
      </c>
      <c r="D285" s="2730">
        <f>C285/'8.1'!B273</f>
        <v>2.8095467695274833E-2</v>
      </c>
      <c r="E285" s="355"/>
      <c r="F285" s="353">
        <v>5137.5</v>
      </c>
    </row>
    <row r="286" spans="1:6">
      <c r="A286" s="53">
        <f t="shared" si="0"/>
        <v>2014.01</v>
      </c>
      <c r="B286" s="88">
        <v>192051334</v>
      </c>
      <c r="C286" s="351">
        <v>2.4424999999999999</v>
      </c>
      <c r="D286" s="2730">
        <f>C286/'8.1'!B274</f>
        <v>2.8654387611450022E-2</v>
      </c>
      <c r="E286" s="355"/>
      <c r="F286" s="353">
        <v>5137.5</v>
      </c>
    </row>
    <row r="287" spans="1:6">
      <c r="A287" s="53">
        <f t="shared" si="0"/>
        <v>2014.02</v>
      </c>
      <c r="B287" s="88">
        <v>163062382</v>
      </c>
      <c r="C287" s="351">
        <v>2.6724000000000001</v>
      </c>
      <c r="D287" s="2730">
        <f>C287/'8.1'!B275</f>
        <v>2.9597962122051166E-2</v>
      </c>
      <c r="E287" s="355"/>
      <c r="F287" s="353">
        <v>5125</v>
      </c>
    </row>
    <row r="288" spans="1:6">
      <c r="A288" s="53">
        <f t="shared" si="0"/>
        <v>2014.03</v>
      </c>
      <c r="B288" s="88">
        <v>163280618</v>
      </c>
      <c r="C288" s="351">
        <v>2.7826</v>
      </c>
      <c r="D288" s="2730">
        <f>C288/'8.1'!B276</f>
        <v>2.9798672092525166E-2</v>
      </c>
      <c r="E288" s="355"/>
      <c r="F288" s="353">
        <v>4725</v>
      </c>
    </row>
    <row r="289" spans="1:7">
      <c r="A289" s="53">
        <f t="shared" si="0"/>
        <v>2014.04</v>
      </c>
      <c r="B289" s="88">
        <v>151215613</v>
      </c>
      <c r="C289" s="351">
        <v>2.9842</v>
      </c>
      <c r="D289" s="2730">
        <f>C289/'8.1'!B277</f>
        <v>3.1340054610375971E-2</v>
      </c>
      <c r="E289" s="355"/>
      <c r="F289" s="353">
        <v>4337.5</v>
      </c>
      <c r="G289" s="166"/>
    </row>
    <row r="290" spans="1:7">
      <c r="A290" s="53">
        <f t="shared" ref="A290:A353" si="1">A278+1</f>
        <v>2014.05</v>
      </c>
      <c r="B290" s="88">
        <v>168454825</v>
      </c>
      <c r="C290" s="351">
        <v>3.016</v>
      </c>
      <c r="D290" s="2730">
        <f>C290/'8.1'!B278</f>
        <v>3.1099195710455763E-2</v>
      </c>
      <c r="E290" s="355"/>
      <c r="F290" s="353">
        <v>4112.5</v>
      </c>
      <c r="G290" s="166"/>
    </row>
    <row r="291" spans="1:7">
      <c r="A291" s="53">
        <f t="shared" si="1"/>
        <v>2014.06</v>
      </c>
      <c r="B291" s="88">
        <v>179766407</v>
      </c>
      <c r="C291" s="351">
        <v>3.052</v>
      </c>
      <c r="D291" s="2730">
        <f>C291/'8.1'!B279</f>
        <v>3.0809610337169391E-2</v>
      </c>
      <c r="E291" s="355"/>
      <c r="F291" s="353">
        <v>3975</v>
      </c>
      <c r="G291" s="166"/>
    </row>
    <row r="292" spans="1:7">
      <c r="A292" s="53">
        <f t="shared" si="1"/>
        <v>2014.07</v>
      </c>
      <c r="B292" s="88">
        <v>199826397</v>
      </c>
      <c r="C292" s="351">
        <v>3.1196000000000002</v>
      </c>
      <c r="D292" s="2730">
        <f>C292/'8.1'!B280</f>
        <v>3.0982222663621016E-2</v>
      </c>
      <c r="E292" s="355"/>
      <c r="F292" s="353">
        <v>3500</v>
      </c>
      <c r="G292" s="166"/>
    </row>
    <row r="293" spans="1:7">
      <c r="A293" s="53">
        <f t="shared" si="1"/>
        <v>2014.08</v>
      </c>
      <c r="B293" s="88">
        <v>213240407</v>
      </c>
      <c r="C293" s="351">
        <v>3.1151</v>
      </c>
      <c r="D293" s="2730">
        <f>C293/'8.1'!B281</f>
        <v>3.0305477186496739E-2</v>
      </c>
      <c r="E293" s="355"/>
      <c r="F293" s="353">
        <v>3012.5</v>
      </c>
      <c r="G293" s="166"/>
    </row>
    <row r="294" spans="1:7">
      <c r="A294" s="53">
        <f t="shared" si="1"/>
        <v>2014.09</v>
      </c>
      <c r="B294" s="88">
        <v>213393489</v>
      </c>
      <c r="C294" s="351">
        <v>3.1335999999999999</v>
      </c>
      <c r="D294" s="2730">
        <f>C294/'8.1'!B282</f>
        <v>2.9634953659920561E-2</v>
      </c>
      <c r="E294" s="355"/>
      <c r="F294" s="353">
        <v>2875</v>
      </c>
      <c r="G294" s="166"/>
    </row>
    <row r="295" spans="1:7">
      <c r="A295" s="53">
        <f t="shared" si="1"/>
        <v>2014.1</v>
      </c>
      <c r="B295" s="88">
        <v>213982985</v>
      </c>
      <c r="C295" s="351">
        <v>3.1716000000000002</v>
      </c>
      <c r="D295" s="2730">
        <f>C295/'8.1'!B283</f>
        <v>2.9344929681717247E-2</v>
      </c>
      <c r="E295" s="355"/>
      <c r="F295" s="353">
        <v>2725</v>
      </c>
      <c r="G295" s="166"/>
    </row>
    <row r="296" spans="1:7">
      <c r="A296" s="53">
        <f t="shared" si="1"/>
        <v>2014.11</v>
      </c>
      <c r="B296" s="88">
        <v>202397863</v>
      </c>
      <c r="C296" s="351">
        <v>3.2385000000000002</v>
      </c>
      <c r="D296" s="2730">
        <f>C296/'8.1'!B284</f>
        <v>2.9336896458012504E-2</v>
      </c>
      <c r="E296" s="355"/>
      <c r="F296" s="353">
        <v>2550</v>
      </c>
      <c r="G296" s="166"/>
    </row>
    <row r="297" spans="1:7">
      <c r="A297" s="53">
        <f t="shared" si="1"/>
        <v>2014.12</v>
      </c>
      <c r="B297" s="88">
        <v>210403710</v>
      </c>
      <c r="C297" s="351">
        <v>3.2238000000000002</v>
      </c>
      <c r="D297" s="2730">
        <f>C297/'8.1'!B285</f>
        <v>2.8745430227374053E-2</v>
      </c>
      <c r="E297" s="355"/>
      <c r="F297" s="353">
        <v>2450</v>
      </c>
      <c r="G297" s="166"/>
    </row>
    <row r="298" spans="1:7">
      <c r="A298" s="53">
        <f t="shared" si="1"/>
        <v>2015.01</v>
      </c>
      <c r="B298" s="88">
        <v>183054305</v>
      </c>
      <c r="C298" s="351">
        <v>3.1410999999999998</v>
      </c>
      <c r="D298" s="2730">
        <f>C298/'8.1'!B286</f>
        <v>2.7682206750682999E-2</v>
      </c>
      <c r="E298" s="356">
        <v>973.79013632348392</v>
      </c>
      <c r="F298" s="353">
        <v>2500</v>
      </c>
      <c r="G298" s="166"/>
    </row>
    <row r="299" spans="1:7">
      <c r="A299" s="53">
        <f t="shared" si="1"/>
        <v>2015.02</v>
      </c>
      <c r="B299" s="88">
        <v>156799303</v>
      </c>
      <c r="C299" s="351">
        <v>3.2002999999999999</v>
      </c>
      <c r="D299" s="2730">
        <f>C299/'8.1'!B287</f>
        <v>2.7727430254721883E-2</v>
      </c>
      <c r="E299" s="357">
        <v>746.72200440490212</v>
      </c>
      <c r="F299" s="353">
        <v>3200</v>
      </c>
      <c r="G299" s="166"/>
    </row>
    <row r="300" spans="1:7">
      <c r="A300" s="53">
        <f t="shared" si="1"/>
        <v>2015.03</v>
      </c>
      <c r="B300" s="88">
        <v>157852868</v>
      </c>
      <c r="C300" s="351">
        <v>3.2195</v>
      </c>
      <c r="D300" s="2730">
        <f>C300/'8.1'!B288</f>
        <v>2.7437361513550366E-2</v>
      </c>
      <c r="E300" s="357">
        <v>863.9697897568816</v>
      </c>
      <c r="F300" s="353">
        <v>3125</v>
      </c>
      <c r="G300" s="166"/>
    </row>
    <row r="301" spans="1:7">
      <c r="A301" s="53">
        <f t="shared" si="1"/>
        <v>2015.04</v>
      </c>
      <c r="B301" s="88">
        <v>162400778</v>
      </c>
      <c r="C301" s="351">
        <v>3.2387999999999999</v>
      </c>
      <c r="D301" s="2730">
        <f>C301/'8.1'!B289</f>
        <v>2.6951818257468584E-2</v>
      </c>
      <c r="E301" s="357">
        <v>879.36105084103986</v>
      </c>
      <c r="F301" s="353">
        <v>2687.5</v>
      </c>
      <c r="G301" s="166"/>
    </row>
    <row r="302" spans="1:7">
      <c r="A302" s="53">
        <f t="shared" si="1"/>
        <v>2015.05</v>
      </c>
      <c r="B302" s="88">
        <v>180010237</v>
      </c>
      <c r="C302" s="351">
        <v>3.2229999999999999</v>
      </c>
      <c r="D302" s="2730">
        <f>C302/'8.1'!B290</f>
        <v>2.6355384741188974E-2</v>
      </c>
      <c r="E302" s="357">
        <v>949.40321824260104</v>
      </c>
      <c r="F302" s="353">
        <v>2387.5</v>
      </c>
      <c r="G302" s="166"/>
    </row>
    <row r="303" spans="1:7">
      <c r="A303" s="53">
        <f t="shared" si="1"/>
        <v>2015.06</v>
      </c>
      <c r="B303" s="88">
        <v>187249031</v>
      </c>
      <c r="C303" s="351">
        <v>3.1431</v>
      </c>
      <c r="D303" s="2730">
        <f>C303/'8.1'!B291</f>
        <v>2.5404946653734238E-2</v>
      </c>
      <c r="E303" s="357">
        <v>986.14223052906129</v>
      </c>
      <c r="F303" s="353">
        <v>2325</v>
      </c>
      <c r="G303" s="829"/>
    </row>
    <row r="304" spans="1:7">
      <c r="A304" s="53">
        <f t="shared" si="1"/>
        <v>2015.07</v>
      </c>
      <c r="B304" s="88">
        <v>198223480</v>
      </c>
      <c r="C304" s="351">
        <v>2.9047999999999998</v>
      </c>
      <c r="D304" s="2730">
        <f>C304/'8.1'!B292</f>
        <v>2.2984649469852823E-2</v>
      </c>
      <c r="E304" s="357">
        <v>1049.7610967197841</v>
      </c>
      <c r="F304" s="353">
        <v>1887.5</v>
      </c>
      <c r="G304" s="829"/>
    </row>
    <row r="305" spans="1:7">
      <c r="A305" s="53">
        <f t="shared" si="1"/>
        <v>2015.08</v>
      </c>
      <c r="B305" s="88">
        <v>209693046</v>
      </c>
      <c r="C305" s="351">
        <v>2.738</v>
      </c>
      <c r="D305" s="2730">
        <f>C305/'8.1'!B293</f>
        <v>2.114122461585978E-2</v>
      </c>
      <c r="E305" s="357">
        <v>1093.0513023879746</v>
      </c>
      <c r="F305" s="353">
        <v>1850</v>
      </c>
      <c r="G305" s="829"/>
    </row>
    <row r="306" spans="1:7">
      <c r="A306" s="53">
        <f t="shared" si="1"/>
        <v>2015.09</v>
      </c>
      <c r="B306" s="88">
        <v>219385798</v>
      </c>
      <c r="C306" s="351">
        <v>2.5232000000000001</v>
      </c>
      <c r="D306" s="2730">
        <f>C306/'8.1'!B294</f>
        <v>1.9148516354253624E-2</v>
      </c>
      <c r="E306" s="357">
        <v>1148.9362733844948</v>
      </c>
      <c r="F306" s="353">
        <v>2300</v>
      </c>
      <c r="G306" s="829"/>
    </row>
    <row r="307" spans="1:7">
      <c r="A307" s="53">
        <f t="shared" si="1"/>
        <v>2015.1</v>
      </c>
      <c r="B307" s="88">
        <v>227165787</v>
      </c>
      <c r="C307" s="351">
        <v>2.4790000000000001</v>
      </c>
      <c r="D307" s="2730">
        <f>C307/'8.1'!B295</f>
        <v>1.8517965190109807E-2</v>
      </c>
      <c r="E307" s="357">
        <v>1193.0071805524919</v>
      </c>
      <c r="F307" s="353">
        <v>2800</v>
      </c>
      <c r="G307" s="829"/>
    </row>
    <row r="308" spans="1:7">
      <c r="A308" s="53">
        <f t="shared" si="1"/>
        <v>2015.11</v>
      </c>
      <c r="B308" s="88">
        <v>208267289</v>
      </c>
      <c r="C308" s="351">
        <v>2.4727999999999999</v>
      </c>
      <c r="D308" s="2730">
        <f>C308/'8.1'!B296</f>
        <v>1.814366424535916E-2</v>
      </c>
      <c r="E308" s="357">
        <v>1111.5235298538996</v>
      </c>
      <c r="F308" s="353">
        <v>2275</v>
      </c>
      <c r="G308" s="829"/>
    </row>
    <row r="309" spans="1:7">
      <c r="A309" s="53">
        <f t="shared" si="1"/>
        <v>2015.12</v>
      </c>
      <c r="B309" s="88">
        <v>200511953</v>
      </c>
      <c r="C309" s="351">
        <v>2.4866000000000001</v>
      </c>
      <c r="D309" s="2730">
        <f>C309/'8.1'!B297</f>
        <v>1.7224993072873371E-2</v>
      </c>
      <c r="E309" s="357">
        <v>1065.2304595363987</v>
      </c>
      <c r="F309" s="353">
        <v>2250</v>
      </c>
      <c r="G309" s="829"/>
    </row>
    <row r="310" spans="1:7">
      <c r="A310" s="53">
        <f t="shared" si="1"/>
        <v>2016.01</v>
      </c>
      <c r="B310" s="88">
        <v>176247046</v>
      </c>
      <c r="C310" s="351">
        <v>2.7176</v>
      </c>
      <c r="D310" s="2730">
        <f>C310/'8.1'!B298</f>
        <v>1.8125792036283599E-2</v>
      </c>
      <c r="E310" s="357">
        <v>905.82853245908507</v>
      </c>
      <c r="F310" s="353">
        <v>2100</v>
      </c>
      <c r="G310" s="829"/>
    </row>
    <row r="311" spans="1:7">
      <c r="A311" s="53">
        <f t="shared" si="1"/>
        <v>2016.02</v>
      </c>
      <c r="B311" s="88">
        <v>155086887</v>
      </c>
      <c r="C311" s="351">
        <v>2.7418999999999998</v>
      </c>
      <c r="D311" s="2730">
        <f>C311/'8.1'!B299</f>
        <v>1.7707956600361664E-2</v>
      </c>
      <c r="E311" s="357">
        <v>777.83842919894039</v>
      </c>
      <c r="F311" s="353">
        <v>1967.5</v>
      </c>
      <c r="G311" s="829"/>
    </row>
    <row r="312" spans="1:7">
      <c r="A312" s="53">
        <f t="shared" si="1"/>
        <v>2016.03</v>
      </c>
      <c r="B312" s="88">
        <v>159016611</v>
      </c>
      <c r="C312" s="351">
        <v>2.7746</v>
      </c>
      <c r="D312" s="2730">
        <f>C312/'8.1'!B300</f>
        <v>1.7481098790322582E-2</v>
      </c>
      <c r="E312" s="357">
        <v>813.35177376910701</v>
      </c>
      <c r="F312" s="353">
        <v>2062.5</v>
      </c>
      <c r="G312" s="829"/>
    </row>
    <row r="313" spans="1:7">
      <c r="A313" s="53">
        <f t="shared" si="1"/>
        <v>2016.04</v>
      </c>
      <c r="B313" s="88">
        <v>119367683</v>
      </c>
      <c r="C313" s="351">
        <v>3.4264000000000001</v>
      </c>
      <c r="D313" s="2730">
        <f>C313/'8.1'!B301</f>
        <v>2.0673343791480631E-2</v>
      </c>
      <c r="E313" s="357">
        <v>696.74703382737755</v>
      </c>
      <c r="F313" s="353">
        <v>2050</v>
      </c>
      <c r="G313" s="829"/>
    </row>
    <row r="314" spans="1:7">
      <c r="A314" s="53">
        <f t="shared" si="1"/>
        <v>2016.05</v>
      </c>
      <c r="B314" s="88">
        <v>124134595</v>
      </c>
      <c r="C314" s="351">
        <v>4.1041999999999996</v>
      </c>
      <c r="D314" s="2730">
        <f>C314/'8.1'!B302</f>
        <v>2.3867178413584551E-2</v>
      </c>
      <c r="E314" s="357">
        <v>740.65727679334475</v>
      </c>
      <c r="F314" s="353">
        <v>2062.5</v>
      </c>
      <c r="G314" s="166"/>
    </row>
    <row r="315" spans="1:7">
      <c r="A315" s="53">
        <f t="shared" si="1"/>
        <v>2016.06</v>
      </c>
      <c r="B315" s="88">
        <v>136406537</v>
      </c>
      <c r="C315" s="351">
        <v>4.0907</v>
      </c>
      <c r="D315" s="2730">
        <f>C315/'8.1'!B303</f>
        <v>2.3082609186322087E-2</v>
      </c>
      <c r="E315" s="357">
        <v>775.19692886902442</v>
      </c>
      <c r="F315" s="353">
        <v>2100</v>
      </c>
      <c r="G315" s="166"/>
    </row>
    <row r="316" spans="1:7">
      <c r="A316" s="53">
        <f t="shared" si="1"/>
        <v>2016.07</v>
      </c>
      <c r="B316" s="88">
        <v>152066715</v>
      </c>
      <c r="C316" s="351">
        <v>4.2206000000000001</v>
      </c>
      <c r="D316" s="2730">
        <f>C316/'8.1'!B304</f>
        <v>2.3337572573956317E-2</v>
      </c>
      <c r="E316" s="357">
        <v>840.87137301154303</v>
      </c>
      <c r="F316" s="353">
        <v>2212.5</v>
      </c>
      <c r="G316" s="166"/>
    </row>
    <row r="317" spans="1:7">
      <c r="A317" s="53">
        <f t="shared" si="1"/>
        <v>2016.08</v>
      </c>
      <c r="B317" s="88">
        <v>167997697</v>
      </c>
      <c r="C317" s="351">
        <v>4.3331</v>
      </c>
      <c r="D317" s="2730">
        <f>C317/'8.1'!B305</f>
        <v>2.3873829201101929E-2</v>
      </c>
      <c r="E317" s="357">
        <v>936.36971622474402</v>
      </c>
      <c r="F317" s="353">
        <v>2662.5</v>
      </c>
      <c r="G317" s="166"/>
    </row>
    <row r="318" spans="1:7">
      <c r="A318" s="53">
        <f t="shared" si="1"/>
        <v>2016.09</v>
      </c>
      <c r="B318" s="88">
        <v>180102897</v>
      </c>
      <c r="C318" s="351">
        <v>4.3836000000000004</v>
      </c>
      <c r="D318" s="2730">
        <f>C318/'8.1'!B306</f>
        <v>2.3986867305061561E-2</v>
      </c>
      <c r="E318" s="357">
        <v>976.49204341799441</v>
      </c>
      <c r="F318" s="353">
        <v>2850</v>
      </c>
      <c r="G318" s="166"/>
    </row>
    <row r="319" spans="1:7">
      <c r="A319" s="53">
        <f t="shared" si="1"/>
        <v>2016.1</v>
      </c>
      <c r="B319" s="88">
        <v>183727491</v>
      </c>
      <c r="C319" s="351">
        <v>4.4180000000000001</v>
      </c>
      <c r="D319" s="2730">
        <f>C319/'8.1'!B307</f>
        <v>2.3582790648019644E-2</v>
      </c>
      <c r="E319" s="357">
        <v>1002.7932987553244</v>
      </c>
      <c r="F319" s="353">
        <v>2825</v>
      </c>
      <c r="G319" s="166"/>
    </row>
    <row r="320" spans="1:7">
      <c r="A320" s="53">
        <f t="shared" si="1"/>
        <v>2016.11</v>
      </c>
      <c r="B320" s="88">
        <v>171735822</v>
      </c>
      <c r="C320" s="351">
        <v>4.5328999999999997</v>
      </c>
      <c r="D320" s="2730">
        <f>C320/'8.1'!B308</f>
        <v>2.401027596800678E-2</v>
      </c>
      <c r="E320" s="357">
        <v>917.25944499524951</v>
      </c>
      <c r="F320" s="353">
        <v>3150</v>
      </c>
      <c r="G320" s="166"/>
    </row>
    <row r="321" spans="1:9">
      <c r="A321" s="53">
        <f t="shared" si="1"/>
        <v>2016.12</v>
      </c>
      <c r="B321" s="88">
        <v>168433120</v>
      </c>
      <c r="C321" s="351">
        <v>4.7178000000000004</v>
      </c>
      <c r="D321" s="2730">
        <f>C321/'8.1'!B309</f>
        <v>2.4592368640533779E-2</v>
      </c>
      <c r="E321" s="357">
        <v>908.79559944927291</v>
      </c>
      <c r="F321" s="353">
        <v>3287.5</v>
      </c>
      <c r="G321" s="166"/>
      <c r="H321" s="166"/>
      <c r="I321" s="166"/>
    </row>
    <row r="322" spans="1:9">
      <c r="A322" s="53">
        <f t="shared" si="1"/>
        <v>2017.01</v>
      </c>
      <c r="B322" s="88">
        <v>141288873</v>
      </c>
      <c r="C322" s="351">
        <v>4.9692999999999996</v>
      </c>
      <c r="D322" s="2730">
        <f>C322/'8.1'!B310</f>
        <v>2.53768767235216E-2</v>
      </c>
      <c r="E322" s="357">
        <v>811.98887649631718</v>
      </c>
      <c r="F322" s="353">
        <v>3187.5</v>
      </c>
      <c r="G322" s="1012"/>
      <c r="H322" s="166"/>
      <c r="I322" s="166"/>
    </row>
    <row r="323" spans="1:9">
      <c r="A323" s="53">
        <f t="shared" si="1"/>
        <v>2017.02</v>
      </c>
      <c r="B323" s="88">
        <v>118331652</v>
      </c>
      <c r="C323" s="351">
        <v>5.1045999999999996</v>
      </c>
      <c r="D323" s="2730">
        <f>C323/'8.1'!B311</f>
        <v>2.538465363767467E-2</v>
      </c>
      <c r="E323" s="357">
        <v>681.55738577130273</v>
      </c>
      <c r="F323" s="353">
        <v>3300</v>
      </c>
      <c r="G323" s="1012"/>
      <c r="H323" s="166"/>
      <c r="I323" s="166"/>
    </row>
    <row r="324" spans="1:9">
      <c r="A324" s="53">
        <f t="shared" si="1"/>
        <v>2017.03</v>
      </c>
      <c r="B324" s="88">
        <v>117635793</v>
      </c>
      <c r="C324" s="351">
        <v>5.2145999999999999</v>
      </c>
      <c r="D324" s="2730">
        <f>C324/'8.1'!B312</f>
        <v>2.5220545560069647E-2</v>
      </c>
      <c r="E324" s="357">
        <v>731.66221149187754</v>
      </c>
      <c r="F324" s="353">
        <v>2962.5</v>
      </c>
      <c r="G324" s="1012"/>
      <c r="H324" s="166"/>
      <c r="I324" s="166"/>
    </row>
    <row r="325" spans="1:9">
      <c r="A325" s="53">
        <f t="shared" si="1"/>
        <v>2017.04</v>
      </c>
      <c r="B325" s="88">
        <v>119035740</v>
      </c>
      <c r="C325" s="351">
        <v>5.3075999999999999</v>
      </c>
      <c r="D325" s="2730">
        <f>C325/'8.1'!B313</f>
        <v>2.5068959002456075E-2</v>
      </c>
      <c r="E325" s="357">
        <v>710.91506057351148</v>
      </c>
      <c r="F325" s="353">
        <v>3075</v>
      </c>
      <c r="G325" s="1012"/>
      <c r="H325" s="166"/>
      <c r="I325" s="166"/>
    </row>
    <row r="326" spans="1:9">
      <c r="A326" s="53">
        <f t="shared" si="1"/>
        <v>2017.05</v>
      </c>
      <c r="B326" s="88">
        <v>123830278</v>
      </c>
      <c r="C326" s="351">
        <v>5.5018000000000002</v>
      </c>
      <c r="D326" s="2730">
        <f>C326/'8.1'!B314</f>
        <v>2.550199313989061E-2</v>
      </c>
      <c r="E326" s="357">
        <v>782.04042521641952</v>
      </c>
      <c r="F326" s="353">
        <v>3225</v>
      </c>
      <c r="G326" s="1012"/>
      <c r="H326" s="166"/>
      <c r="I326" s="166"/>
    </row>
    <row r="327" spans="1:9">
      <c r="A327" s="53">
        <f t="shared" si="1"/>
        <v>2017.06</v>
      </c>
      <c r="B327" s="88">
        <v>129514145</v>
      </c>
      <c r="C327" s="351">
        <v>5.5907</v>
      </c>
      <c r="D327" s="2730">
        <f>C327/'8.1'!B315</f>
        <v>2.558438586857038E-2</v>
      </c>
      <c r="E327" s="357">
        <v>795.64695192034264</v>
      </c>
      <c r="F327" s="353">
        <v>3125</v>
      </c>
      <c r="G327" s="1012"/>
      <c r="H327" s="166"/>
      <c r="I327" s="166"/>
    </row>
    <row r="328" spans="1:9">
      <c r="A328" s="53">
        <f t="shared" si="1"/>
        <v>2017.07</v>
      </c>
      <c r="B328" s="88">
        <v>142934585</v>
      </c>
      <c r="C328" s="351">
        <v>5.6436000000000002</v>
      </c>
      <c r="D328" s="2730">
        <f>C328/'8.1'!B316</f>
        <v>2.5314434376962413E-2</v>
      </c>
      <c r="E328" s="357">
        <v>861.42034438680696</v>
      </c>
      <c r="F328" s="353">
        <v>3200</v>
      </c>
      <c r="G328" s="1012"/>
      <c r="H328" s="166"/>
      <c r="I328" s="166"/>
    </row>
    <row r="329" spans="1:9">
      <c r="A329" s="53">
        <f t="shared" si="1"/>
        <v>2017.08</v>
      </c>
      <c r="B329" s="88">
        <v>151324430</v>
      </c>
      <c r="C329" s="351">
        <v>5.7092000000000001</v>
      </c>
      <c r="D329" s="2730">
        <f>C329/'8.1'!B317</f>
        <v>2.5258593991947971E-2</v>
      </c>
      <c r="E329" s="357">
        <v>911.06693689061683</v>
      </c>
      <c r="F329" s="353">
        <v>3200</v>
      </c>
      <c r="G329" s="1012"/>
      <c r="H329" s="166"/>
      <c r="I329" s="166"/>
    </row>
    <row r="330" spans="1:9">
      <c r="A330" s="53">
        <f t="shared" si="1"/>
        <v>2017.09</v>
      </c>
      <c r="B330" s="88">
        <v>156565498</v>
      </c>
      <c r="C330" s="351">
        <v>5.7605000000000004</v>
      </c>
      <c r="D330" s="2730">
        <f>C330/'8.1'!B318</f>
        <v>2.5098030672708261E-2</v>
      </c>
      <c r="E330" s="357">
        <v>938.86429552372419</v>
      </c>
      <c r="F330" s="353">
        <v>3175</v>
      </c>
      <c r="G330" s="1012"/>
      <c r="H330" s="166"/>
      <c r="I330" s="166"/>
    </row>
    <row r="331" spans="1:9">
      <c r="A331" s="53">
        <f t="shared" si="1"/>
        <v>2017.1</v>
      </c>
      <c r="B331" s="88">
        <v>166359731</v>
      </c>
      <c r="C331" s="351">
        <v>5.7420999999999998</v>
      </c>
      <c r="D331" s="2730">
        <f>C331/'8.1'!B319</f>
        <v>2.4706768211350628E-2</v>
      </c>
      <c r="E331" s="357">
        <v>990.97534608128046</v>
      </c>
      <c r="F331" s="353">
        <v>3012.5</v>
      </c>
      <c r="G331" s="1012"/>
      <c r="H331" s="166"/>
      <c r="I331" s="166"/>
    </row>
    <row r="332" spans="1:9">
      <c r="A332" s="53">
        <f t="shared" si="1"/>
        <v>2017.11</v>
      </c>
      <c r="B332" s="88">
        <v>159832644</v>
      </c>
      <c r="C332" s="351">
        <v>5.7759</v>
      </c>
      <c r="D332" s="2730">
        <f>C332/'8.1'!B320</f>
        <v>2.4481413978722503E-2</v>
      </c>
      <c r="E332" s="357">
        <v>951.49471414387449</v>
      </c>
      <c r="F332" s="353">
        <v>2825</v>
      </c>
      <c r="G332" s="1012"/>
      <c r="H332" s="1246"/>
      <c r="I332" s="166"/>
    </row>
    <row r="333" spans="1:9">
      <c r="A333" s="53">
        <f t="shared" si="1"/>
        <v>2017.12</v>
      </c>
      <c r="B333" s="88">
        <v>135494620</v>
      </c>
      <c r="C333" s="351">
        <v>5.7694999999999999</v>
      </c>
      <c r="D333" s="2730">
        <f>C333/'8.1'!B321</f>
        <v>2.3855695679139963E-2</v>
      </c>
      <c r="E333" s="357">
        <v>929.84505385764248</v>
      </c>
      <c r="F333" s="353">
        <v>2750</v>
      </c>
      <c r="G333" s="1012"/>
      <c r="H333" s="1246"/>
      <c r="I333" s="166"/>
    </row>
    <row r="334" spans="1:9">
      <c r="A334" s="53">
        <f t="shared" si="1"/>
        <v>2018.01</v>
      </c>
      <c r="B334" s="88">
        <v>151650893</v>
      </c>
      <c r="C334" s="351">
        <v>5.7827999999999999</v>
      </c>
      <c r="D334" s="2730">
        <f>C334/'8.1'!B322</f>
        <v>2.3493946534492566E-2</v>
      </c>
      <c r="E334" s="357">
        <v>884.62691814202128</v>
      </c>
      <c r="F334" s="353">
        <v>2938</v>
      </c>
      <c r="G334" s="1012"/>
      <c r="H334" s="364"/>
      <c r="I334" s="954"/>
    </row>
    <row r="335" spans="1:9">
      <c r="A335" s="53">
        <f t="shared" si="1"/>
        <v>2018.02</v>
      </c>
      <c r="B335" s="88">
        <v>125316156</v>
      </c>
      <c r="C335" s="351">
        <v>5.8311999999999999</v>
      </c>
      <c r="D335" s="2730">
        <f>C335/'8.1'!B323</f>
        <v>2.3034564487458029E-2</v>
      </c>
      <c r="E335" s="357">
        <v>741.30308808159123</v>
      </c>
      <c r="F335" s="353">
        <v>3100</v>
      </c>
      <c r="G335" s="1012"/>
      <c r="H335" s="365"/>
      <c r="I335" s="954"/>
    </row>
    <row r="336" spans="1:9">
      <c r="A336" s="53">
        <f t="shared" si="1"/>
        <v>2018.03</v>
      </c>
      <c r="B336" s="88">
        <v>133800373</v>
      </c>
      <c r="C336" s="351">
        <v>5.9843999999999999</v>
      </c>
      <c r="D336" s="2730">
        <f>C336/'8.1'!B324</f>
        <v>2.3151379163604009E-2</v>
      </c>
      <c r="E336" s="357">
        <v>809.86212386120633</v>
      </c>
      <c r="F336" s="353">
        <v>3238</v>
      </c>
      <c r="G336" s="1012"/>
      <c r="H336" s="365"/>
      <c r="I336" s="954"/>
    </row>
    <row r="337" spans="1:12">
      <c r="A337" s="53">
        <f t="shared" si="1"/>
        <v>2018.04</v>
      </c>
      <c r="B337" s="88">
        <v>125414828</v>
      </c>
      <c r="C337" s="351">
        <v>6.1978999999999997</v>
      </c>
      <c r="D337" s="2730">
        <f>C337/'8.1'!B325</f>
        <v>2.3336345494935806E-2</v>
      </c>
      <c r="E337" s="357">
        <v>775.70350741690379</v>
      </c>
      <c r="F337" s="353">
        <v>3313</v>
      </c>
      <c r="G337" s="1012"/>
      <c r="H337" s="366"/>
      <c r="I337" s="954"/>
      <c r="J337" s="166"/>
      <c r="K337" s="166"/>
      <c r="L337" s="166"/>
    </row>
    <row r="338" spans="1:12">
      <c r="A338" s="53">
        <f t="shared" si="1"/>
        <v>2018.05</v>
      </c>
      <c r="B338" s="88">
        <v>128044201</v>
      </c>
      <c r="C338" s="351">
        <v>6.4061000000000003</v>
      </c>
      <c r="D338" s="2730">
        <f>C338/'8.1'!B326</f>
        <v>2.348621498753483E-2</v>
      </c>
      <c r="E338" s="357">
        <v>798.19958201925988</v>
      </c>
      <c r="F338" s="353">
        <v>3269</v>
      </c>
      <c r="G338" s="1012"/>
      <c r="H338" s="366"/>
      <c r="I338" s="954"/>
      <c r="J338" s="166"/>
      <c r="K338" s="166"/>
      <c r="L338" s="166"/>
    </row>
    <row r="339" spans="1:12">
      <c r="A339" s="53">
        <f t="shared" si="1"/>
        <v>2018.06</v>
      </c>
      <c r="B339" s="88">
        <v>134850760</v>
      </c>
      <c r="C339" s="351">
        <v>6.8216000000000001</v>
      </c>
      <c r="D339" s="2730">
        <f>C339/'8.1'!B327</f>
        <v>2.4119934940951843E-2</v>
      </c>
      <c r="E339" s="357">
        <v>833.67134054216501</v>
      </c>
      <c r="F339" s="353">
        <v>3231</v>
      </c>
      <c r="G339" s="1012"/>
      <c r="H339" s="366"/>
      <c r="I339" s="954"/>
      <c r="J339" s="166"/>
      <c r="K339" s="166"/>
      <c r="L339" s="166"/>
    </row>
    <row r="340" spans="1:12">
      <c r="A340" s="53">
        <f t="shared" si="1"/>
        <v>2018.07</v>
      </c>
      <c r="B340" s="88">
        <v>150895535</v>
      </c>
      <c r="C340" s="351">
        <v>7.2571000000000003</v>
      </c>
      <c r="D340" s="2730">
        <f>C340/'8.1'!B328</f>
        <v>2.4815688688277937E-2</v>
      </c>
      <c r="E340" s="357">
        <v>897.00223735873112</v>
      </c>
      <c r="F340" s="353">
        <v>3013</v>
      </c>
      <c r="G340" s="1012"/>
      <c r="H340" s="366"/>
      <c r="I340" s="954"/>
      <c r="J340" s="166"/>
      <c r="K340" s="166"/>
      <c r="L340" s="166"/>
    </row>
    <row r="341" spans="1:12">
      <c r="A341" s="53">
        <f t="shared" si="1"/>
        <v>2018.08</v>
      </c>
      <c r="B341" s="88">
        <v>161328751</v>
      </c>
      <c r="C341" s="351">
        <v>7.5689000000000002</v>
      </c>
      <c r="D341" s="2730">
        <f>C341/'8.1'!B329</f>
        <v>2.490015462052176E-2</v>
      </c>
      <c r="E341" s="357">
        <v>947.51726339131642</v>
      </c>
      <c r="F341" s="353">
        <v>3004</v>
      </c>
      <c r="G341" s="1012"/>
      <c r="H341" s="367"/>
      <c r="I341" s="954"/>
      <c r="J341" s="166"/>
      <c r="K341" s="166"/>
      <c r="L341" s="166"/>
    </row>
    <row r="342" spans="1:12">
      <c r="A342" s="53">
        <f t="shared" si="1"/>
        <v>2018.09</v>
      </c>
      <c r="B342" s="88">
        <v>165190486</v>
      </c>
      <c r="C342" s="351">
        <v>8.1470000000000002</v>
      </c>
      <c r="D342" s="2730">
        <f>C342/'8.1'!B330</f>
        <v>2.521900634576691E-2</v>
      </c>
      <c r="E342" s="357">
        <v>974.13464110908421</v>
      </c>
      <c r="F342" s="353">
        <v>2819</v>
      </c>
      <c r="G342" s="1012"/>
      <c r="H342" s="366"/>
      <c r="I342" s="954"/>
      <c r="J342" s="166"/>
      <c r="K342" s="166"/>
      <c r="L342" s="166"/>
    </row>
    <row r="343" spans="1:12">
      <c r="A343" s="53">
        <f t="shared" si="1"/>
        <v>2018.1</v>
      </c>
      <c r="B343" s="88">
        <v>169743432</v>
      </c>
      <c r="C343" s="351">
        <v>8.5875000000000004</v>
      </c>
      <c r="D343" s="2730">
        <f>C343/'8.1'!B331</f>
        <v>2.5178115929281382E-2</v>
      </c>
      <c r="E343" s="357">
        <v>1011.5253565929336</v>
      </c>
      <c r="F343" s="353">
        <v>2725</v>
      </c>
      <c r="G343" s="1012"/>
      <c r="H343" s="366"/>
      <c r="I343" s="954"/>
      <c r="J343" s="166"/>
      <c r="K343" s="166"/>
      <c r="L343" s="166"/>
    </row>
    <row r="344" spans="1:12">
      <c r="A344" s="53">
        <f t="shared" si="1"/>
        <v>2018.11</v>
      </c>
      <c r="B344" s="88">
        <v>154985707</v>
      </c>
      <c r="C344" s="351">
        <v>9.1113</v>
      </c>
      <c r="D344" s="2730">
        <f>C344/'8.1'!B332</f>
        <v>2.5893938102139996E-2</v>
      </c>
      <c r="E344" s="357">
        <v>942.6</v>
      </c>
      <c r="F344" s="353">
        <v>2654</v>
      </c>
      <c r="G344" s="1012"/>
      <c r="H344" s="366"/>
      <c r="I344" s="954"/>
      <c r="J344" s="166"/>
      <c r="K344" s="166"/>
      <c r="L344" s="166" t="s">
        <v>5</v>
      </c>
    </row>
    <row r="345" spans="1:12">
      <c r="A345" s="53">
        <f t="shared" si="1"/>
        <v>2018.12</v>
      </c>
      <c r="B345" s="88">
        <v>152510872</v>
      </c>
      <c r="C345" s="351">
        <v>9.4381000000000004</v>
      </c>
      <c r="D345" s="2730">
        <f>C345/'8.1'!B333</f>
        <v>2.6139976735168671E-2</v>
      </c>
      <c r="E345" s="357">
        <v>910.55797451465844</v>
      </c>
      <c r="F345" s="353">
        <v>2644</v>
      </c>
      <c r="G345" s="1012"/>
      <c r="H345" s="366"/>
      <c r="I345" s="954"/>
      <c r="J345" s="166"/>
      <c r="K345" s="166"/>
      <c r="L345" s="166"/>
    </row>
    <row r="346" spans="1:12">
      <c r="A346" s="53">
        <f t="shared" si="1"/>
        <v>2019.01</v>
      </c>
      <c r="B346" s="88">
        <v>138630039</v>
      </c>
      <c r="C346" s="351">
        <v>9.7840000000000007</v>
      </c>
      <c r="D346" s="2730">
        <f>C346/'8.1'!B334</f>
        <v>2.6201060468105618E-2</v>
      </c>
      <c r="E346" s="357">
        <v>819.92089979597256</v>
      </c>
      <c r="F346" s="353">
        <v>2738</v>
      </c>
      <c r="G346" s="166"/>
      <c r="H346" s="1246"/>
      <c r="I346" s="166"/>
      <c r="J346" s="166"/>
      <c r="K346" s="166"/>
      <c r="L346" s="166"/>
    </row>
    <row r="347" spans="1:12">
      <c r="A347" s="53">
        <f t="shared" si="1"/>
        <v>2019.02</v>
      </c>
      <c r="B347" s="88">
        <v>110664611</v>
      </c>
      <c r="C347" s="351">
        <v>10.758699999999999</v>
      </c>
      <c r="D347" s="2730">
        <f>C347/'8.1'!B335</f>
        <v>2.7739332216062909E-2</v>
      </c>
      <c r="E347" s="357">
        <v>668.29091999426385</v>
      </c>
      <c r="F347" s="353">
        <v>2919</v>
      </c>
      <c r="G347" s="166"/>
      <c r="H347" s="1246"/>
      <c r="I347" s="166"/>
      <c r="J347" s="166"/>
      <c r="K347" s="166"/>
      <c r="L347" s="166"/>
    </row>
    <row r="348" spans="1:12">
      <c r="A348" s="53">
        <f t="shared" si="1"/>
        <v>2019.03</v>
      </c>
      <c r="B348" s="88">
        <v>119402540</v>
      </c>
      <c r="C348" s="351">
        <v>12.1797</v>
      </c>
      <c r="D348" s="2730">
        <f>C348/'8.1'!B336</f>
        <v>3.0237586891757696E-2</v>
      </c>
      <c r="E348" s="357">
        <v>745.50222796594608</v>
      </c>
      <c r="F348" s="353">
        <v>3188</v>
      </c>
      <c r="G348" s="166"/>
      <c r="H348" s="1246"/>
      <c r="I348" s="166"/>
      <c r="J348" s="166"/>
      <c r="K348" s="166"/>
      <c r="L348" s="166"/>
    </row>
    <row r="349" spans="1:12">
      <c r="A349" s="53">
        <f t="shared" si="1"/>
        <v>2019.04</v>
      </c>
      <c r="B349" s="88">
        <v>115192681</v>
      </c>
      <c r="C349" s="351">
        <v>13.724399999999999</v>
      </c>
      <c r="D349" s="2730">
        <f>C349/'8.1'!B337</f>
        <v>3.2939087025392402E-2</v>
      </c>
      <c r="E349" s="357">
        <v>736.86310977334062</v>
      </c>
      <c r="F349" s="353">
        <v>3319</v>
      </c>
      <c r="G349" s="166"/>
      <c r="H349" s="166"/>
      <c r="I349" s="166"/>
      <c r="J349" s="166"/>
      <c r="K349" s="166"/>
      <c r="L349" s="166"/>
    </row>
    <row r="350" spans="1:12">
      <c r="A350" s="53">
        <f t="shared" si="1"/>
        <v>2019.05</v>
      </c>
      <c r="B350" s="88">
        <v>122245897</v>
      </c>
      <c r="C350" s="351">
        <v>14.814399999999999</v>
      </c>
      <c r="D350" s="2730">
        <f>C350/'8.1'!B338</f>
        <v>3.4450490674852334E-2</v>
      </c>
      <c r="E350" s="357">
        <v>784.88578080260697</v>
      </c>
      <c r="F350" s="353">
        <v>3231</v>
      </c>
      <c r="G350" s="166"/>
      <c r="H350" s="166"/>
      <c r="I350" s="166"/>
      <c r="J350" s="166"/>
      <c r="K350" s="166"/>
      <c r="L350" s="166"/>
    </row>
    <row r="351" spans="1:12">
      <c r="A351" s="53">
        <f t="shared" si="1"/>
        <v>2019.06</v>
      </c>
      <c r="B351" s="88">
        <v>142227157</v>
      </c>
      <c r="C351" s="351">
        <v>15.319100000000001</v>
      </c>
      <c r="D351" s="2730">
        <f>C351/'8.1'!B339</f>
        <v>3.4660949838224313E-2</v>
      </c>
      <c r="E351" s="357">
        <v>807.91592064604265</v>
      </c>
      <c r="F351" s="353">
        <v>3069</v>
      </c>
      <c r="G351" s="166"/>
      <c r="H351" s="166"/>
      <c r="I351" s="166"/>
      <c r="J351" s="166"/>
      <c r="K351" s="166"/>
      <c r="L351" s="166"/>
    </row>
    <row r="352" spans="1:12">
      <c r="A352" s="53">
        <f t="shared" si="1"/>
        <v>2019.07</v>
      </c>
      <c r="B352" s="88">
        <v>145944240</v>
      </c>
      <c r="C352" s="351">
        <v>15.417199999999999</v>
      </c>
      <c r="D352" s="2730">
        <f>C352/'8.1'!B340</f>
        <v>3.4105076872027427E-2</v>
      </c>
      <c r="E352" s="357">
        <v>897.36647576994596</v>
      </c>
      <c r="F352" s="353">
        <v>3069</v>
      </c>
      <c r="G352" s="166"/>
      <c r="H352" s="166"/>
      <c r="I352" s="166"/>
      <c r="J352" s="166"/>
      <c r="K352" s="166"/>
      <c r="L352" s="166"/>
    </row>
    <row r="353" spans="1:13">
      <c r="A353" s="53">
        <f t="shared" si="1"/>
        <v>2019.08</v>
      </c>
      <c r="B353" s="88">
        <v>162968814</v>
      </c>
      <c r="C353" s="351">
        <v>15.5107</v>
      </c>
      <c r="D353" s="2730">
        <f>C353/'8.1'!B341</f>
        <v>3.3082435747040631E-2</v>
      </c>
      <c r="E353" s="357">
        <v>967.05183259332784</v>
      </c>
      <c r="F353" s="353">
        <v>3154</v>
      </c>
      <c r="G353" s="166"/>
      <c r="H353" s="166"/>
      <c r="I353" s="166"/>
      <c r="J353" s="166"/>
      <c r="K353" s="166"/>
      <c r="L353" s="166"/>
      <c r="M353" s="166"/>
    </row>
    <row r="354" spans="1:13">
      <c r="A354" s="53">
        <f t="shared" ref="A354:A417" si="2">A342+1</f>
        <v>2019.09</v>
      </c>
      <c r="B354" s="88">
        <v>170319790</v>
      </c>
      <c r="C354" s="351">
        <v>15.7704</v>
      </c>
      <c r="D354" s="2730">
        <f>C354/'8.1'!B342</f>
        <v>3.181889716118879E-2</v>
      </c>
      <c r="E354" s="357">
        <v>986.53278723073583</v>
      </c>
      <c r="F354" s="353">
        <v>3150</v>
      </c>
      <c r="G354" s="166"/>
      <c r="H354" s="166"/>
      <c r="I354" s="166"/>
      <c r="J354" s="166"/>
      <c r="K354" s="166"/>
      <c r="L354" s="166"/>
      <c r="M354" s="166"/>
    </row>
    <row r="355" spans="1:13">
      <c r="A355" s="53">
        <f t="shared" si="2"/>
        <v>2019.1</v>
      </c>
      <c r="B355" s="88">
        <v>174649381</v>
      </c>
      <c r="C355" s="351">
        <v>16.339600000000001</v>
      </c>
      <c r="D355" s="2730">
        <f>C355/'8.1'!B343</f>
        <v>3.196947759733907E-2</v>
      </c>
      <c r="E355" s="357">
        <v>1020.6612792094955</v>
      </c>
      <c r="F355" s="353">
        <v>3175</v>
      </c>
      <c r="G355" s="166"/>
      <c r="H355" s="166"/>
      <c r="I355" s="166"/>
      <c r="J355" s="166"/>
      <c r="K355" s="166"/>
      <c r="L355" s="166"/>
      <c r="M355" s="166"/>
    </row>
    <row r="356" spans="1:13">
      <c r="A356" s="53">
        <f t="shared" si="2"/>
        <v>2019.11</v>
      </c>
      <c r="B356" s="88">
        <v>160201110</v>
      </c>
      <c r="C356" s="351">
        <v>16.699000000000002</v>
      </c>
      <c r="D356" s="2730">
        <f>C356/'8.1'!B344</f>
        <v>3.1373764701461693E-2</v>
      </c>
      <c r="E356" s="357">
        <v>961.3515208455176</v>
      </c>
      <c r="F356" s="353">
        <v>3294</v>
      </c>
      <c r="G356" s="166"/>
      <c r="H356" s="166"/>
      <c r="I356" s="166"/>
      <c r="J356" s="166"/>
      <c r="K356" s="166"/>
      <c r="L356" s="166"/>
      <c r="M356" s="166"/>
    </row>
    <row r="357" spans="1:13">
      <c r="A357" s="53">
        <f t="shared" si="2"/>
        <v>2019.12</v>
      </c>
      <c r="B357" s="88">
        <v>151943275</v>
      </c>
      <c r="C357" s="351">
        <v>16.959900000000001</v>
      </c>
      <c r="D357" s="2730">
        <f>C357/'8.1'!B345</f>
        <v>3.0684433347807207E-2</v>
      </c>
      <c r="E357" s="357">
        <v>943.59194570602222</v>
      </c>
      <c r="F357" s="353">
        <v>3250</v>
      </c>
      <c r="G357" s="166"/>
      <c r="H357" s="166"/>
      <c r="I357" s="166"/>
      <c r="J357" s="166"/>
      <c r="K357" s="166"/>
      <c r="L357" s="166"/>
      <c r="M357" s="166"/>
    </row>
    <row r="358" spans="1:13">
      <c r="A358" s="53">
        <f t="shared" si="2"/>
        <v>2020.01</v>
      </c>
      <c r="B358" s="88">
        <v>148016182</v>
      </c>
      <c r="C358" s="351">
        <v>17.459800000000001</v>
      </c>
      <c r="D358" s="2730">
        <f>C358/'8.1'!B346</f>
        <v>3.0714210322626043E-2</v>
      </c>
      <c r="E358" s="357">
        <v>864.87561474082577</v>
      </c>
      <c r="F358" s="353">
        <v>3171</v>
      </c>
      <c r="G358" s="166"/>
      <c r="H358" s="166"/>
      <c r="I358" s="166"/>
      <c r="J358" s="166"/>
      <c r="K358" s="166"/>
      <c r="L358" s="219"/>
      <c r="M358" s="219"/>
    </row>
    <row r="359" spans="1:13">
      <c r="A359" s="53">
        <f t="shared" si="2"/>
        <v>2020.02</v>
      </c>
      <c r="B359" s="88">
        <v>128320751</v>
      </c>
      <c r="C359" s="351">
        <v>18.060400000000001</v>
      </c>
      <c r="D359" s="2730">
        <f>C359/'8.1'!B347</f>
        <v>3.1208031656615575E-2</v>
      </c>
      <c r="E359" s="357">
        <v>771.18492994555857</v>
      </c>
      <c r="F359" s="353">
        <v>3006</v>
      </c>
      <c r="G359" s="166"/>
      <c r="H359" s="166"/>
      <c r="I359" s="166"/>
      <c r="J359" s="166"/>
      <c r="K359" s="166"/>
      <c r="L359" s="166"/>
      <c r="M359" s="166"/>
    </row>
    <row r="360" spans="1:13">
      <c r="A360" s="53">
        <f t="shared" si="2"/>
        <v>2020.03</v>
      </c>
      <c r="B360" s="88">
        <v>130760887</v>
      </c>
      <c r="C360" s="351">
        <v>18.273800000000001</v>
      </c>
      <c r="D360" s="2730">
        <f>C360/'8.1'!B348</f>
        <v>3.0842897650553605E-2</v>
      </c>
      <c r="E360" s="357">
        <v>793.66984819439301</v>
      </c>
      <c r="F360" s="353">
        <v>2875</v>
      </c>
      <c r="G360" s="166"/>
      <c r="H360" s="166"/>
      <c r="I360" s="166"/>
      <c r="J360" s="166"/>
      <c r="K360" s="166"/>
      <c r="L360" s="166"/>
      <c r="M360" s="166"/>
    </row>
    <row r="361" spans="1:13">
      <c r="A361" s="53">
        <f t="shared" si="2"/>
        <v>2020.04</v>
      </c>
      <c r="B361" s="88">
        <v>130016778</v>
      </c>
      <c r="C361" s="351">
        <v>18.4177</v>
      </c>
      <c r="D361" s="2730">
        <f>C361/'8.1'!B349</f>
        <v>3.0455064076064488E-2</v>
      </c>
      <c r="E361" s="357">
        <v>793.59683418365523</v>
      </c>
      <c r="F361" s="353">
        <v>2781</v>
      </c>
      <c r="G361" s="166"/>
      <c r="H361" s="166"/>
      <c r="I361" s="166"/>
      <c r="J361" s="166"/>
      <c r="K361" s="166"/>
      <c r="L361" s="166"/>
      <c r="M361" s="166"/>
    </row>
    <row r="362" spans="1:13">
      <c r="A362" s="53">
        <f t="shared" si="2"/>
        <v>2020.05</v>
      </c>
      <c r="B362" s="88">
        <v>143751806</v>
      </c>
      <c r="C362" s="351">
        <v>18.450700000000001</v>
      </c>
      <c r="D362" s="2730">
        <f>C362/'8.1'!B350</f>
        <v>3.0025060617402486E-2</v>
      </c>
      <c r="E362" s="357">
        <v>870.51610688506628</v>
      </c>
      <c r="F362" s="353">
        <v>2694</v>
      </c>
      <c r="G362" s="166"/>
      <c r="H362" s="166"/>
      <c r="I362" s="166"/>
      <c r="J362" s="166"/>
      <c r="K362" s="166"/>
      <c r="L362" s="166"/>
      <c r="M362" s="166"/>
    </row>
    <row r="363" spans="1:13">
      <c r="A363" s="53">
        <f t="shared" si="2"/>
        <v>2020.06</v>
      </c>
      <c r="B363" s="88">
        <v>150681340</v>
      </c>
      <c r="C363" s="351">
        <v>18.4617</v>
      </c>
      <c r="D363" s="2730">
        <f>C363/'8.1'!B351</f>
        <v>2.949718795935323E-2</v>
      </c>
      <c r="E363" s="357">
        <v>893.8825852456788</v>
      </c>
      <c r="F363" s="353">
        <v>2794</v>
      </c>
      <c r="G363" s="166"/>
      <c r="H363" s="166"/>
      <c r="I363" s="166"/>
      <c r="J363" s="166"/>
      <c r="K363" s="166"/>
      <c r="L363" s="166"/>
      <c r="M363" s="166"/>
    </row>
    <row r="364" spans="1:13">
      <c r="A364" s="53">
        <f t="shared" si="2"/>
        <v>2020.07</v>
      </c>
      <c r="B364" s="88">
        <v>168049560</v>
      </c>
      <c r="C364" s="351">
        <v>18.5169</v>
      </c>
      <c r="D364" s="2730">
        <f>C364/'8.1'!B352</f>
        <v>2.8867703916188574E-2</v>
      </c>
      <c r="E364" s="357">
        <v>965.40131564506157</v>
      </c>
      <c r="F364" s="353">
        <v>3113</v>
      </c>
      <c r="G364" s="166"/>
      <c r="H364" s="166"/>
      <c r="I364" s="166"/>
      <c r="J364" s="166"/>
      <c r="K364" s="166"/>
      <c r="L364" s="166"/>
      <c r="M364" s="166"/>
    </row>
    <row r="365" spans="1:13">
      <c r="A365" s="53">
        <f t="shared" si="2"/>
        <v>2020.08</v>
      </c>
      <c r="B365" s="88">
        <v>176870972</v>
      </c>
      <c r="C365" s="351">
        <v>18.7654</v>
      </c>
      <c r="D365" s="2730">
        <f>C365/'8.1'!B353</f>
        <v>2.8456569210238987E-2</v>
      </c>
      <c r="E365" s="357">
        <v>1015.8516984409009</v>
      </c>
      <c r="F365" s="353">
        <v>3025</v>
      </c>
      <c r="G365" s="166"/>
      <c r="H365" s="166"/>
      <c r="I365" s="166"/>
      <c r="J365" s="166"/>
      <c r="K365" s="166"/>
      <c r="L365" s="166"/>
      <c r="M365" s="166"/>
    </row>
    <row r="366" spans="1:13">
      <c r="A366" s="53">
        <f t="shared" si="2"/>
        <v>2020.09</v>
      </c>
      <c r="B366" s="88">
        <v>175791525</v>
      </c>
      <c r="C366" s="351">
        <v>19.216899999999999</v>
      </c>
      <c r="D366" s="2730">
        <f>C366/'8.1'!B354</f>
        <v>2.8369034086715185E-2</v>
      </c>
      <c r="E366" s="357">
        <v>1022.3012993385237</v>
      </c>
      <c r="F366" s="353">
        <v>2956</v>
      </c>
      <c r="G366" s="166"/>
      <c r="H366" s="166"/>
      <c r="I366" s="166"/>
      <c r="J366" s="166"/>
      <c r="K366" s="166"/>
      <c r="L366" s="166"/>
      <c r="M366" s="166"/>
    </row>
    <row r="367" spans="1:13">
      <c r="A367" s="53">
        <f t="shared" si="2"/>
        <v>2020.1</v>
      </c>
      <c r="B367" s="88">
        <v>183650342</v>
      </c>
      <c r="C367" s="351">
        <v>19.777999999999999</v>
      </c>
      <c r="D367" s="2730">
        <f>C367/'8.1'!B355</f>
        <v>2.8151732972742153E-2</v>
      </c>
      <c r="E367" s="357">
        <v>1079.2406235194237</v>
      </c>
      <c r="F367" s="353">
        <v>3038</v>
      </c>
      <c r="G367" s="166"/>
      <c r="H367" s="166"/>
      <c r="I367" s="166"/>
      <c r="J367" s="166"/>
      <c r="K367" s="166"/>
      <c r="L367" s="166"/>
      <c r="M367" s="166"/>
    </row>
    <row r="368" spans="1:13">
      <c r="A368" s="53">
        <f t="shared" si="2"/>
        <v>2020.11</v>
      </c>
      <c r="B368" s="88">
        <v>174735573</v>
      </c>
      <c r="C368" s="351">
        <v>20.690899999999999</v>
      </c>
      <c r="D368" s="2730">
        <f>C368/'8.1'!B356</f>
        <v>2.8416491560572972E-2</v>
      </c>
      <c r="E368" s="357">
        <v>1030.4165375386092</v>
      </c>
      <c r="F368" s="353">
        <v>3019</v>
      </c>
      <c r="G368" s="166"/>
      <c r="H368" s="166"/>
      <c r="I368" s="166"/>
      <c r="J368" s="166"/>
      <c r="K368" s="166"/>
      <c r="L368" s="166"/>
      <c r="M368" s="166"/>
    </row>
    <row r="369" spans="1:6">
      <c r="A369" s="53">
        <f t="shared" si="2"/>
        <v>2020.12</v>
      </c>
      <c r="B369" s="88">
        <v>174220252</v>
      </c>
      <c r="C369" s="351">
        <v>21.627199999999998</v>
      </c>
      <c r="D369" s="2730">
        <f>C369/'8.1'!B357</f>
        <v>2.8638470298471889E-2</v>
      </c>
      <c r="E369" s="357">
        <v>1012.250191799375</v>
      </c>
      <c r="F369" s="353">
        <v>3163</v>
      </c>
    </row>
    <row r="370" spans="1:6">
      <c r="A370" s="53">
        <f t="shared" si="2"/>
        <v>2021.01</v>
      </c>
      <c r="B370" s="88">
        <v>158211746</v>
      </c>
      <c r="C370" s="351">
        <v>23.081299999999999</v>
      </c>
      <c r="D370" s="2730">
        <f>C370/'8.1'!B358</f>
        <v>2.9150416771912099E-2</v>
      </c>
      <c r="E370" s="357">
        <v>931.34263347781075</v>
      </c>
      <c r="F370" s="353">
        <v>3338</v>
      </c>
    </row>
    <row r="371" spans="1:6">
      <c r="A371" s="53">
        <f t="shared" si="2"/>
        <v>2021.02</v>
      </c>
      <c r="B371" s="88">
        <v>126976250</v>
      </c>
      <c r="C371" s="351">
        <v>24.605699999999999</v>
      </c>
      <c r="D371" s="2730">
        <f>C371/'8.1'!B359</f>
        <v>2.9966386963987769E-2</v>
      </c>
      <c r="E371" s="357">
        <v>787.60326176063938</v>
      </c>
      <c r="F371" s="353">
        <v>3494</v>
      </c>
    </row>
    <row r="372" spans="1:6">
      <c r="A372" s="53">
        <f t="shared" si="2"/>
        <v>2021.03</v>
      </c>
      <c r="B372" s="88">
        <v>131527470</v>
      </c>
      <c r="C372" s="351">
        <v>26.31</v>
      </c>
      <c r="D372" s="2730">
        <f>C372/'8.1'!B360</f>
        <v>3.0728801681850031E-2</v>
      </c>
      <c r="E372" s="357">
        <v>828.32366281380234</v>
      </c>
      <c r="F372" s="353">
        <v>4113</v>
      </c>
    </row>
    <row r="373" spans="1:6">
      <c r="A373" s="53">
        <f t="shared" si="2"/>
        <v>2021.04</v>
      </c>
      <c r="B373" s="88">
        <v>129136804</v>
      </c>
      <c r="C373" s="351">
        <v>28.467099999999999</v>
      </c>
      <c r="D373" s="2730">
        <f>C373/'8.1'!B361</f>
        <v>3.1869843153499097E-2</v>
      </c>
      <c r="E373" s="357">
        <v>821.17372</v>
      </c>
      <c r="F373" s="353">
        <v>4067</v>
      </c>
    </row>
    <row r="374" spans="1:6">
      <c r="A374" s="53">
        <f t="shared" si="2"/>
        <v>2021.05</v>
      </c>
      <c r="B374" s="88">
        <v>140685226</v>
      </c>
      <c r="C374" s="351">
        <v>30.045300000000001</v>
      </c>
      <c r="D374" s="2730">
        <f>C374/'8.1'!B362</f>
        <v>3.2474032922255487E-2</v>
      </c>
      <c r="E374" s="357">
        <v>900.21173115402667</v>
      </c>
      <c r="F374" s="353">
        <v>4150</v>
      </c>
    </row>
    <row r="375" spans="1:6">
      <c r="A375" s="53">
        <f t="shared" si="2"/>
        <v>2021.06</v>
      </c>
      <c r="B375" s="88">
        <v>150652935</v>
      </c>
      <c r="C375" s="351">
        <v>31.607099999999999</v>
      </c>
      <c r="D375" s="2730">
        <f>C375/'8.1'!B363</f>
        <v>3.309817267919786E-2</v>
      </c>
      <c r="E375" s="357">
        <v>920.71312599999999</v>
      </c>
      <c r="F375" s="353">
        <v>4063</v>
      </c>
    </row>
    <row r="376" spans="1:6">
      <c r="A376" s="53">
        <f t="shared" si="2"/>
        <v>2021.07</v>
      </c>
      <c r="B376" s="88">
        <v>165534013</v>
      </c>
      <c r="C376" s="351">
        <v>32.579799999999999</v>
      </c>
      <c r="D376" s="2730">
        <f>C376/'8.1'!B364</f>
        <v>3.3126722183245381E-2</v>
      </c>
      <c r="E376" s="357">
        <v>999.25784363658761</v>
      </c>
      <c r="F376" s="353">
        <v>3931</v>
      </c>
    </row>
    <row r="377" spans="1:6">
      <c r="A377" s="53">
        <f t="shared" si="2"/>
        <v>2021.08</v>
      </c>
      <c r="B377" s="88">
        <v>171963580</v>
      </c>
      <c r="C377" s="351">
        <v>32.926299999999998</v>
      </c>
      <c r="D377" s="2730">
        <f>C377/'8.1'!B365</f>
        <v>3.2582554054722677E-2</v>
      </c>
      <c r="E377" s="357">
        <v>1055.0738320763428</v>
      </c>
      <c r="F377" s="353">
        <v>3675</v>
      </c>
    </row>
    <row r="378" spans="1:6">
      <c r="A378" s="53">
        <f t="shared" si="2"/>
        <v>2021.09</v>
      </c>
      <c r="B378" s="88">
        <v>175291676</v>
      </c>
      <c r="C378" s="351">
        <v>33.459600000000002</v>
      </c>
      <c r="D378" s="2730">
        <f>C378/'8.1'!B366</f>
        <v>3.214147798772346E-2</v>
      </c>
      <c r="E378" s="357">
        <v>1069.3952866315219</v>
      </c>
      <c r="F378" s="353">
        <v>3625</v>
      </c>
    </row>
    <row r="379" spans="1:6">
      <c r="A379" s="53">
        <f t="shared" si="2"/>
        <v>2021.1</v>
      </c>
      <c r="B379" s="88">
        <v>182990607</v>
      </c>
      <c r="C379" s="351">
        <v>33.655200000000001</v>
      </c>
      <c r="D379" s="2730">
        <f>C379/'8.1'!B367</f>
        <v>3.1338939017236077E-2</v>
      </c>
      <c r="E379" s="357">
        <v>1116.356738</v>
      </c>
      <c r="F379" s="353">
        <v>3800</v>
      </c>
    </row>
    <row r="380" spans="1:6">
      <c r="A380" s="53">
        <f t="shared" si="2"/>
        <v>2021.11</v>
      </c>
      <c r="B380" s="88">
        <v>172408268</v>
      </c>
      <c r="C380" s="351">
        <v>34.070300000000003</v>
      </c>
      <c r="D380" s="2730">
        <f>C380/'8.1'!B368</f>
        <v>3.0852953960951935E-2</v>
      </c>
      <c r="E380" s="357">
        <v>1077.0217453240068</v>
      </c>
      <c r="F380" s="353">
        <v>3944</v>
      </c>
    </row>
    <row r="381" spans="1:6">
      <c r="A381" s="53">
        <f t="shared" si="2"/>
        <v>2021.12</v>
      </c>
      <c r="B381" s="88">
        <v>169151155</v>
      </c>
      <c r="C381" s="351">
        <v>34.654600000000002</v>
      </c>
      <c r="D381" s="2730">
        <f>C381/'8.1'!B369</f>
        <v>3.0446845897030398E-2</v>
      </c>
      <c r="E381" s="357">
        <v>1046.8323780256612</v>
      </c>
      <c r="F381" s="353">
        <v>3963</v>
      </c>
    </row>
    <row r="382" spans="1:6">
      <c r="A382" s="53">
        <f t="shared" si="2"/>
        <v>2022.01</v>
      </c>
      <c r="B382" s="88">
        <v>142265354</v>
      </c>
      <c r="C382" s="351">
        <v>36.092100000000002</v>
      </c>
      <c r="D382" s="2730">
        <f>C382/'8.1'!B370</f>
        <v>3.0479588562163255E-2</v>
      </c>
      <c r="E382" s="357">
        <v>922.79606746666479</v>
      </c>
      <c r="F382" s="353">
        <v>3956</v>
      </c>
    </row>
    <row r="383" spans="1:6">
      <c r="A383" s="53">
        <f t="shared" si="2"/>
        <v>2022.02</v>
      </c>
      <c r="B383" s="88">
        <v>127465518</v>
      </c>
      <c r="C383" s="351">
        <v>37.928199999999997</v>
      </c>
      <c r="D383" s="2730">
        <f>C383/'8.1'!B371</f>
        <v>3.0531120198344978E-2</v>
      </c>
      <c r="E383" s="357">
        <v>815.85451077095513</v>
      </c>
      <c r="F383" s="353">
        <v>4331</v>
      </c>
    </row>
    <row r="384" spans="1:6">
      <c r="A384" s="53">
        <f t="shared" si="2"/>
        <v>2022.03</v>
      </c>
      <c r="B384" s="88">
        <v>127207773</v>
      </c>
      <c r="C384" s="351">
        <v>40.547199999999997</v>
      </c>
      <c r="D384" s="2730">
        <f>C384/'8.1'!B372</f>
        <v>3.0784041301294456E-2</v>
      </c>
      <c r="E384" s="357">
        <v>848.94792292527416</v>
      </c>
      <c r="F384" s="353">
        <v>4625</v>
      </c>
    </row>
    <row r="385" spans="1:6">
      <c r="A385" s="53">
        <f t="shared" si="2"/>
        <v>2022.04</v>
      </c>
      <c r="B385" s="88">
        <v>126122058</v>
      </c>
      <c r="C385" s="351">
        <v>43.6477</v>
      </c>
      <c r="D385" s="2730">
        <f>C385/'8.1'!B373</f>
        <v>3.1277911542981623E-2</v>
      </c>
      <c r="E385" s="357">
        <v>837.38449990583501</v>
      </c>
      <c r="F385" s="353">
        <v>4408</v>
      </c>
    </row>
    <row r="386" spans="1:6">
      <c r="A386" s="53">
        <f t="shared" si="2"/>
        <v>2022.05</v>
      </c>
      <c r="B386" s="88">
        <v>139527830</v>
      </c>
      <c r="C386" s="351">
        <v>45.819400000000002</v>
      </c>
      <c r="D386" s="2730">
        <f>C386/'8.1'!B374</f>
        <v>3.1196612038972445E-2</v>
      </c>
      <c r="E386" s="357">
        <v>903.9173197845123</v>
      </c>
      <c r="F386" s="353">
        <v>3844</v>
      </c>
    </row>
    <row r="387" spans="1:6">
      <c r="A387" s="53">
        <f t="shared" si="2"/>
        <v>2022.06</v>
      </c>
      <c r="B387" s="88">
        <v>145008346</v>
      </c>
      <c r="C387" s="351">
        <v>48.010599999999997</v>
      </c>
      <c r="D387" s="2730">
        <f>C387/'8.1'!B375</f>
        <v>3.1111874335778528E-2</v>
      </c>
      <c r="E387" s="357">
        <v>914.18313985132443</v>
      </c>
      <c r="F387" s="353">
        <v>4063</v>
      </c>
    </row>
    <row r="388" spans="1:6">
      <c r="A388" s="53">
        <f t="shared" si="2"/>
        <v>2022.07</v>
      </c>
      <c r="B388" s="88">
        <v>158136481</v>
      </c>
      <c r="C388" s="351">
        <v>50.4527</v>
      </c>
      <c r="D388" s="2730">
        <f>C388/'8.1'!B376</f>
        <v>3.0478201248059347E-2</v>
      </c>
      <c r="E388" s="357">
        <v>989.39382650891253</v>
      </c>
      <c r="F388" s="353">
        <v>3938</v>
      </c>
    </row>
    <row r="389" spans="1:6">
      <c r="A389" s="53">
        <f t="shared" si="2"/>
        <v>2022.08</v>
      </c>
      <c r="B389" s="88">
        <v>171296605</v>
      </c>
      <c r="C389" s="351">
        <v>53.294899999999998</v>
      </c>
      <c r="D389" s="2730">
        <f>C389/'8.1'!B377</f>
        <v>3.0186346309606746E-2</v>
      </c>
      <c r="E389" s="357">
        <v>1061.7972100777479</v>
      </c>
      <c r="F389" s="353">
        <v>3525</v>
      </c>
    </row>
    <row r="390" spans="1:6">
      <c r="A390" s="53">
        <f t="shared" si="2"/>
        <v>2022.09</v>
      </c>
      <c r="B390" s="88">
        <v>174425758</v>
      </c>
      <c r="C390" s="351">
        <v>55.820099999999996</v>
      </c>
      <c r="D390" s="2730">
        <f>C390/'8.1'!B378</f>
        <v>2.9790421398684996E-2</v>
      </c>
      <c r="E390" s="357">
        <v>1073.0982083719618</v>
      </c>
      <c r="F390" s="353">
        <v>3542</v>
      </c>
    </row>
    <row r="391" spans="1:6">
      <c r="A391" s="53">
        <f t="shared" si="2"/>
        <v>2022.1</v>
      </c>
      <c r="B391" s="88">
        <v>182060232</v>
      </c>
      <c r="C391" s="351">
        <v>58.846299999999999</v>
      </c>
      <c r="D391" s="2730">
        <f>C391/'8.1'!B379</f>
        <v>2.9693509403115367E-2</v>
      </c>
      <c r="E391" s="357">
        <v>1114.1505089099103</v>
      </c>
      <c r="F391" s="353">
        <v>3475</v>
      </c>
    </row>
    <row r="392" spans="1:6">
      <c r="A392" s="53">
        <f t="shared" si="2"/>
        <v>2022.11</v>
      </c>
      <c r="B392" s="88">
        <v>168994697</v>
      </c>
      <c r="C392" s="351">
        <v>62.0533</v>
      </c>
      <c r="D392" s="2730">
        <f>C392/'8.1'!B380</f>
        <v>2.9845083157783361E-2</v>
      </c>
      <c r="E392" s="357">
        <v>1045.6709512080477</v>
      </c>
      <c r="F392" s="353">
        <v>3313</v>
      </c>
    </row>
    <row r="393" spans="1:6">
      <c r="A393" s="53">
        <f t="shared" si="2"/>
        <v>2022.12</v>
      </c>
      <c r="B393" s="88">
        <v>168198157</v>
      </c>
      <c r="C393" s="351">
        <v>66.39</v>
      </c>
      <c r="D393" s="2730">
        <f>C393/'8.1'!B381</f>
        <v>3.0278154031386392E-2</v>
      </c>
      <c r="E393" s="357">
        <v>1030.2248364729714</v>
      </c>
      <c r="F393" s="353">
        <v>3338</v>
      </c>
    </row>
    <row r="394" spans="1:6">
      <c r="A394" s="53">
        <f t="shared" si="2"/>
        <v>2023.01</v>
      </c>
      <c r="B394" s="88">
        <v>154590032</v>
      </c>
      <c r="C394" s="351">
        <v>70.297899999999998</v>
      </c>
      <c r="D394" s="2730">
        <f>C394/'8.1'!B382</f>
        <v>3.0331673599005887E-2</v>
      </c>
      <c r="E394" s="357">
        <v>954.99660012424931</v>
      </c>
      <c r="F394" s="353">
        <v>3213</v>
      </c>
    </row>
    <row r="395" spans="1:6">
      <c r="A395" s="53">
        <f t="shared" si="2"/>
        <v>2023.02</v>
      </c>
      <c r="B395" s="88">
        <v>126622023</v>
      </c>
      <c r="C395" s="351">
        <v>74.239999999999995</v>
      </c>
      <c r="D395" s="2730">
        <f>C395/'8.1'!B383</f>
        <v>3.0086401141208318E-2</v>
      </c>
      <c r="E395" s="357">
        <v>805.21184744095876</v>
      </c>
      <c r="F395" s="353">
        <v>3244</v>
      </c>
    </row>
    <row r="396" spans="1:6">
      <c r="A396" s="53">
        <f t="shared" si="2"/>
        <v>2023.03</v>
      </c>
      <c r="B396" s="88">
        <v>122997322</v>
      </c>
      <c r="C396" s="351">
        <v>82.192800000000005</v>
      </c>
      <c r="D396" s="2730">
        <f>C396/'8.1'!B384</f>
        <v>3.0912797213843528E-2</v>
      </c>
      <c r="E396" s="357">
        <v>822.33563195882698</v>
      </c>
      <c r="F396" s="353">
        <v>3263</v>
      </c>
    </row>
    <row r="397" spans="1:6">
      <c r="A397" s="53">
        <f t="shared" si="2"/>
        <v>2023.04</v>
      </c>
      <c r="B397" s="88">
        <v>129413685</v>
      </c>
      <c r="C397" s="351">
        <v>89.700800000000001</v>
      </c>
      <c r="D397" s="2730">
        <f>C397/'8.1'!B385</f>
        <v>3.1093748375132159E-2</v>
      </c>
      <c r="E397" s="357">
        <v>852.72197686359311</v>
      </c>
      <c r="F397" s="353">
        <v>3056</v>
      </c>
    </row>
    <row r="398" spans="1:6">
      <c r="A398" s="53">
        <f t="shared" si="2"/>
        <v>2023.05</v>
      </c>
      <c r="B398" s="88">
        <v>131087346</v>
      </c>
      <c r="C398" s="351">
        <v>96.750799999999998</v>
      </c>
      <c r="D398" s="2730">
        <f>C398/'8.1'!B386</f>
        <v>3.1270661090246218E-2</v>
      </c>
      <c r="E398" s="357">
        <v>882.28767110143883</v>
      </c>
      <c r="F398" s="353">
        <v>3250</v>
      </c>
    </row>
    <row r="399" spans="1:6">
      <c r="A399" s="53">
        <f t="shared" si="2"/>
        <v>2023.06</v>
      </c>
      <c r="B399" s="88">
        <v>139358281</v>
      </c>
      <c r="C399" s="351">
        <v>102.1476</v>
      </c>
      <c r="D399" s="2730">
        <f>C399/'8.1'!B387</f>
        <v>3.1242479759964029E-2</v>
      </c>
      <c r="E399" s="357">
        <v>906.28333199999997</v>
      </c>
      <c r="F399" s="353">
        <v>3175</v>
      </c>
    </row>
    <row r="400" spans="1:6">
      <c r="A400" s="53">
        <f t="shared" si="2"/>
        <v>2023.07</v>
      </c>
      <c r="B400" s="88">
        <v>155414242</v>
      </c>
      <c r="C400" s="351">
        <v>107.09220000000001</v>
      </c>
      <c r="D400" s="2730">
        <f>C400/'8.1'!B388</f>
        <v>3.0637074418325222E-2</v>
      </c>
      <c r="E400" s="357">
        <v>987.80988100000002</v>
      </c>
      <c r="F400" s="353">
        <v>3200</v>
      </c>
    </row>
    <row r="401" spans="1:9">
      <c r="A401" s="53">
        <f t="shared" si="2"/>
        <v>2023.08</v>
      </c>
      <c r="B401" s="88">
        <v>165184265</v>
      </c>
      <c r="C401" s="351">
        <v>112.8279</v>
      </c>
      <c r="D401" s="2730">
        <f>C401/'8.1'!B389</f>
        <v>2.8697121841045052E-2</v>
      </c>
      <c r="E401" s="357">
        <v>1057.997023272831</v>
      </c>
      <c r="F401" s="353">
        <v>2844</v>
      </c>
      <c r="G401" s="166"/>
      <c r="H401" s="166"/>
      <c r="I401" s="166"/>
    </row>
    <row r="402" spans="1:9">
      <c r="A402" s="53">
        <f t="shared" si="2"/>
        <v>2023.09</v>
      </c>
      <c r="B402" s="88">
        <v>162480961</v>
      </c>
      <c r="C402" s="351">
        <v>118.602</v>
      </c>
      <c r="D402" s="2730">
        <f>C402/'8.1'!B390</f>
        <v>2.6806891922130229E-2</v>
      </c>
      <c r="E402" s="357">
        <v>1034.269851</v>
      </c>
      <c r="F402" s="353">
        <v>2708</v>
      </c>
      <c r="G402" s="166"/>
      <c r="H402" s="166"/>
      <c r="I402" s="166"/>
    </row>
    <row r="403" spans="1:9">
      <c r="A403" s="53">
        <f t="shared" si="2"/>
        <v>2023.1</v>
      </c>
      <c r="B403" s="88">
        <v>163519709</v>
      </c>
      <c r="C403" s="351">
        <v>130.99600000000001</v>
      </c>
      <c r="D403" s="2730">
        <f>C403/'8.1'!B391</f>
        <v>2.7248257930317214E-2</v>
      </c>
      <c r="E403" s="357">
        <v>1066.4538274426991</v>
      </c>
      <c r="F403" s="353">
        <v>2988</v>
      </c>
      <c r="G403" s="166"/>
      <c r="H403" s="166"/>
      <c r="I403" s="166"/>
    </row>
    <row r="404" spans="1:9">
      <c r="A404" s="53">
        <f t="shared" si="2"/>
        <v>2023.11</v>
      </c>
      <c r="B404" s="88">
        <v>147815928</v>
      </c>
      <c r="C404" s="351">
        <v>152.6942</v>
      </c>
      <c r="D404" s="2730">
        <f>C404/'8.1'!B392</f>
        <v>2.8236858359130264E-2</v>
      </c>
      <c r="E404" s="357">
        <v>1004.076114</v>
      </c>
      <c r="F404" s="353">
        <v>3006</v>
      </c>
      <c r="G404" s="166"/>
      <c r="H404" s="166"/>
      <c r="I404" s="166"/>
    </row>
    <row r="405" spans="1:9">
      <c r="A405" s="53">
        <f t="shared" si="2"/>
        <v>2023.12</v>
      </c>
      <c r="B405" s="88">
        <v>141243186</v>
      </c>
      <c r="C405" s="351">
        <v>197.53720000000001</v>
      </c>
      <c r="D405" s="2730">
        <f>C405/'8.1'!B393</f>
        <v>2.8564124143056903E-2</v>
      </c>
      <c r="E405" s="357">
        <v>951.1919811026338</v>
      </c>
      <c r="F405" s="353">
        <v>3106</v>
      </c>
      <c r="G405" s="166"/>
      <c r="H405" s="166"/>
      <c r="I405" s="166"/>
    </row>
    <row r="406" spans="1:9">
      <c r="A406" s="53">
        <f t="shared" si="2"/>
        <v>2024.01</v>
      </c>
      <c r="B406" s="88">
        <v>123451269</v>
      </c>
      <c r="C406" s="351">
        <v>245.50708</v>
      </c>
      <c r="D406" s="2730">
        <f>C406/'8.1'!B394</f>
        <v>2.9417511721731543E-2</v>
      </c>
      <c r="E406" s="357">
        <v>834.31595347365749</v>
      </c>
      <c r="F406" s="353">
        <v>3256</v>
      </c>
      <c r="G406" s="166"/>
      <c r="H406" s="166"/>
      <c r="I406" s="166"/>
    </row>
    <row r="407" spans="1:9">
      <c r="A407" s="53">
        <f t="shared" si="2"/>
        <v>2024.02</v>
      </c>
      <c r="B407" s="88">
        <v>97891866</v>
      </c>
      <c r="C407" s="351">
        <v>298.31799999999998</v>
      </c>
      <c r="D407" s="2730">
        <f>C407/'8.1'!B395</f>
        <v>3.1825780634066145E-2</v>
      </c>
      <c r="E407" s="357">
        <v>685.78768400000001</v>
      </c>
      <c r="F407" s="353">
        <v>3375</v>
      </c>
      <c r="G407" s="166"/>
      <c r="H407" s="166"/>
      <c r="I407" s="166"/>
    </row>
    <row r="408" spans="1:9">
      <c r="A408" s="53">
        <f t="shared" si="2"/>
        <v>2024.03</v>
      </c>
      <c r="B408" s="88">
        <v>96546305</v>
      </c>
      <c r="C408" s="351">
        <v>334.64800000000002</v>
      </c>
      <c r="D408" s="2730">
        <f>C408/'8.1'!B396</f>
        <v>3.1762911442024873E-2</v>
      </c>
      <c r="E408" s="357">
        <v>704.30779900000005</v>
      </c>
      <c r="F408" s="353">
        <v>3291</v>
      </c>
      <c r="G408" s="166"/>
      <c r="H408" s="166"/>
      <c r="I408" s="166"/>
    </row>
    <row r="409" spans="1:9">
      <c r="A409" s="53">
        <f t="shared" si="2"/>
        <v>2024.04</v>
      </c>
      <c r="B409" s="88">
        <v>99570877</v>
      </c>
      <c r="C409" s="351">
        <v>356.83530000000002</v>
      </c>
      <c r="D409" s="2730">
        <f>C409/'8.1'!B397</f>
        <v>3.1632091695624427E-2</v>
      </c>
      <c r="E409" s="357">
        <v>714.27084500000001</v>
      </c>
      <c r="F409" s="353">
        <v>3244</v>
      </c>
      <c r="G409" s="166"/>
      <c r="H409" s="166"/>
      <c r="I409" s="166"/>
    </row>
    <row r="410" spans="1:9">
      <c r="A410" s="53">
        <f t="shared" si="2"/>
        <v>2024.05</v>
      </c>
      <c r="B410" s="88">
        <v>110921728</v>
      </c>
      <c r="C410" s="351">
        <v>390.6474</v>
      </c>
      <c r="D410" s="2730">
        <f>C410/'8.1'!B398</f>
        <v>3.3032703989825878E-2</v>
      </c>
      <c r="E410" s="357">
        <v>787.13741190092321</v>
      </c>
      <c r="F410" s="353">
        <v>3375</v>
      </c>
      <c r="G410" s="166"/>
      <c r="H410" s="166"/>
      <c r="I410" s="166"/>
    </row>
    <row r="411" spans="1:9">
      <c r="A411" s="53">
        <f t="shared" si="2"/>
        <v>2024.06</v>
      </c>
      <c r="B411" s="88">
        <v>120181773</v>
      </c>
      <c r="C411" s="351">
        <v>410.75490000000002</v>
      </c>
      <c r="D411" s="2730">
        <f>C411/'8.1'!B399</f>
        <v>3.3308592419598118E-2</v>
      </c>
      <c r="E411" s="357">
        <v>841.53949299999999</v>
      </c>
      <c r="F411" s="353">
        <v>3388</v>
      </c>
      <c r="G411" s="166"/>
      <c r="H411" s="166"/>
      <c r="I411" s="166"/>
    </row>
    <row r="412" spans="1:9">
      <c r="A412" s="53">
        <f t="shared" si="2"/>
        <v>2024.07</v>
      </c>
      <c r="B412" s="88">
        <v>134925275</v>
      </c>
      <c r="C412" s="351">
        <v>413.08600000000001</v>
      </c>
      <c r="D412" s="2730">
        <f>C412/'8.1'!B400</f>
        <v>3.2055418721123149E-2</v>
      </c>
      <c r="E412" s="357">
        <v>940.74686699999995</v>
      </c>
      <c r="F412" s="353">
        <v>3225</v>
      </c>
      <c r="G412" s="166"/>
      <c r="H412" s="166"/>
      <c r="I412" s="166"/>
    </row>
    <row r="413" spans="1:9">
      <c r="A413" s="53">
        <f t="shared" si="2"/>
        <v>2024.08</v>
      </c>
      <c r="B413" s="88">
        <v>137529853</v>
      </c>
      <c r="C413" s="351">
        <v>424.19229999999999</v>
      </c>
      <c r="D413" s="2730">
        <f>C413/'8.1'!B401</f>
        <v>3.1661505344562101E-2</v>
      </c>
      <c r="E413" s="357">
        <v>992.79956100000004</v>
      </c>
      <c r="F413" s="353">
        <v>3304</v>
      </c>
      <c r="G413" s="7"/>
      <c r="H413" s="7"/>
      <c r="I413" s="7"/>
    </row>
    <row r="414" spans="1:9">
      <c r="A414" s="53">
        <f t="shared" si="2"/>
        <v>2024.09</v>
      </c>
      <c r="B414" s="88">
        <v>137444577</v>
      </c>
      <c r="C414" s="351">
        <v>433.45060000000001</v>
      </c>
      <c r="D414" s="2730">
        <f>C414/'8.1'!B402</f>
        <v>3.13360737750428E-2</v>
      </c>
      <c r="E414" s="357">
        <v>1014.95151</v>
      </c>
      <c r="F414" s="353">
        <v>3475</v>
      </c>
      <c r="G414" s="7"/>
      <c r="H414" s="1616"/>
      <c r="I414" s="1616"/>
    </row>
    <row r="415" spans="1:9">
      <c r="A415" s="53">
        <f t="shared" si="2"/>
        <v>2024.1</v>
      </c>
      <c r="B415" s="88">
        <v>144603198</v>
      </c>
      <c r="C415" s="351">
        <v>444.2149</v>
      </c>
      <c r="D415" s="2730">
        <f>C415/'8.1'!B403</f>
        <v>3.1292171161448661E-2</v>
      </c>
      <c r="E415" s="357">
        <v>1062.1447109999999</v>
      </c>
      <c r="F415" s="353">
        <v>3550</v>
      </c>
      <c r="G415" s="7"/>
      <c r="H415" s="1616"/>
      <c r="I415" s="1616"/>
    </row>
    <row r="416" spans="1:9">
      <c r="A416" s="53">
        <f t="shared" si="2"/>
        <v>2024.11</v>
      </c>
      <c r="B416" s="88">
        <v>140922030</v>
      </c>
      <c r="C416" s="351">
        <v>449.92</v>
      </c>
      <c r="D416" s="2730">
        <f>C416/'8.1'!B404</f>
        <v>3.1045087552363401E-2</v>
      </c>
      <c r="E416" s="357">
        <v>1018.817998</v>
      </c>
      <c r="F416" s="353">
        <v>3706</v>
      </c>
      <c r="G416" s="166"/>
      <c r="H416" s="1616"/>
      <c r="I416" s="1616"/>
    </row>
    <row r="417" spans="1:9">
      <c r="A417" s="53">
        <f t="shared" si="2"/>
        <v>2024.12</v>
      </c>
      <c r="B417" s="88">
        <v>142087326</v>
      </c>
      <c r="C417" s="351">
        <v>451.09199999999998</v>
      </c>
      <c r="D417" s="2730">
        <f>C417/'8.1'!B405</f>
        <v>3.0398858152544186E-2</v>
      </c>
      <c r="E417" s="357">
        <v>993.50950399999999</v>
      </c>
      <c r="F417" s="353">
        <v>3919</v>
      </c>
      <c r="G417" s="166"/>
      <c r="H417" s="1865"/>
      <c r="I417" s="1865"/>
    </row>
    <row r="418" spans="1:9">
      <c r="A418" s="53">
        <f t="shared" ref="A418:A481" si="3">A406+1</f>
        <v>2025.01</v>
      </c>
      <c r="B418" s="88">
        <v>139886113</v>
      </c>
      <c r="C418" s="351">
        <v>452.72570000000002</v>
      </c>
      <c r="D418" s="2730">
        <f>C418/'8.1'!B406</f>
        <v>2.9577716641045425E-2</v>
      </c>
      <c r="E418" s="357">
        <v>880.71757600000001</v>
      </c>
      <c r="F418" s="353">
        <v>3863</v>
      </c>
      <c r="G418" s="166"/>
      <c r="H418" s="1865"/>
      <c r="I418" s="1865"/>
    </row>
    <row r="419" spans="1:9">
      <c r="A419" s="53">
        <f t="shared" si="3"/>
        <v>2025.02</v>
      </c>
      <c r="B419" s="88">
        <v>95817285</v>
      </c>
      <c r="C419" s="351">
        <v>453.0179</v>
      </c>
      <c r="D419" s="2730">
        <f>C419/'8.1'!B407</f>
        <v>2.8855837980553335E-2</v>
      </c>
      <c r="E419" s="357">
        <v>742.44267000000002</v>
      </c>
      <c r="F419" s="353">
        <v>4125</v>
      </c>
      <c r="G419" s="166"/>
      <c r="H419" s="1865"/>
      <c r="I419" s="1865"/>
    </row>
    <row r="420" spans="1:9">
      <c r="A420" s="53">
        <f t="shared" si="3"/>
        <v>2025.03</v>
      </c>
      <c r="B420" s="88">
        <v>104829543</v>
      </c>
      <c r="C420" s="351">
        <v>455.09500000000003</v>
      </c>
      <c r="D420" s="2730">
        <f>C420/'8.1'!B408</f>
        <v>2.8001331477632528E-2</v>
      </c>
      <c r="E420" s="357">
        <v>816.44605899999999</v>
      </c>
      <c r="F420" s="353">
        <v>3994</v>
      </c>
      <c r="G420" s="166"/>
      <c r="H420" s="829"/>
      <c r="I420" s="166"/>
    </row>
    <row r="421" spans="1:9">
      <c r="A421" s="53">
        <f t="shared" si="3"/>
        <v>2025.04</v>
      </c>
      <c r="B421" s="88">
        <v>104492337</v>
      </c>
      <c r="C421" s="351">
        <v>464.37099999999998</v>
      </c>
      <c r="D421" s="2730">
        <f>C421/'8.1'!B409</f>
        <v>2.7777239425566227E-2</v>
      </c>
      <c r="E421" s="357">
        <v>823.04557699999998</v>
      </c>
      <c r="F421" s="353">
        <v>4063</v>
      </c>
      <c r="G421" s="166"/>
      <c r="H421" s="166"/>
      <c r="I421" s="166"/>
    </row>
    <row r="422" spans="1:9">
      <c r="A422" s="53">
        <f t="shared" si="3"/>
        <v>2025.05</v>
      </c>
      <c r="B422" s="88">
        <v>117880095</v>
      </c>
      <c r="C422" s="351">
        <v>473.6</v>
      </c>
      <c r="D422" s="2730">
        <f>C422/'8.1'!B410</f>
        <v>2.7924775278083243E-2</v>
      </c>
      <c r="E422" s="357">
        <v>897.87150999999994</v>
      </c>
      <c r="F422" s="353">
        <v>4319</v>
      </c>
      <c r="G422" s="166"/>
      <c r="H422" s="166"/>
      <c r="I422" s="166"/>
    </row>
    <row r="423" spans="1:9">
      <c r="A423" s="53">
        <f t="shared" si="3"/>
        <v>2025.06</v>
      </c>
      <c r="B423" s="88">
        <v>124832741</v>
      </c>
      <c r="C423" s="351">
        <v>474.78</v>
      </c>
      <c r="D423" s="2730">
        <f>C423/'8.1'!B411</f>
        <v>2.7479033910371049E-2</v>
      </c>
      <c r="E423" s="357">
        <v>928.59828500000003</v>
      </c>
      <c r="F423" s="353">
        <v>4119</v>
      </c>
      <c r="G423" s="166"/>
      <c r="H423" s="166"/>
      <c r="I423" s="166"/>
    </row>
    <row r="424" spans="1:9">
      <c r="A424" s="53">
        <f t="shared" si="3"/>
        <v>2025.07</v>
      </c>
      <c r="B424" s="88">
        <v>137898396</v>
      </c>
      <c r="C424" s="351">
        <v>482.20710000000003</v>
      </c>
      <c r="D424" s="2730">
        <f>C424/'8.1'!B412</f>
        <v>2.7397819342962013E-2</v>
      </c>
      <c r="E424" s="357">
        <v>1013.47364</v>
      </c>
      <c r="F424" s="353">
        <v>3981</v>
      </c>
      <c r="G424" s="166"/>
      <c r="H424" s="166"/>
      <c r="I424" s="166"/>
    </row>
    <row r="425" spans="1:9">
      <c r="A425" s="53">
        <f t="shared" si="3"/>
        <v>2025.08</v>
      </c>
      <c r="B425" s="88">
        <v>147403092</v>
      </c>
      <c r="C425" s="351">
        <v>483.11610000000002</v>
      </c>
      <c r="D425" s="2730">
        <f>C425/'8.1'!B413</f>
        <v>2.7005114646334785E-2</v>
      </c>
      <c r="E425" s="357">
        <v>1090.445698</v>
      </c>
      <c r="F425" s="353">
        <v>4008</v>
      </c>
      <c r="G425" s="166"/>
      <c r="H425" s="166"/>
      <c r="I425" s="166"/>
    </row>
    <row r="426" spans="1:9">
      <c r="A426" s="53">
        <f t="shared" si="3"/>
        <v>2025.09</v>
      </c>
      <c r="B426" s="88">
        <v>151322581</v>
      </c>
      <c r="C426" s="351">
        <v>482.67630000000003</v>
      </c>
      <c r="D426" s="2730">
        <f>C426/'8.1'!B414</f>
        <v>2.6370321523926491E-2</v>
      </c>
      <c r="E426" s="357">
        <v>1115.400793</v>
      </c>
      <c r="F426" s="353">
        <v>3819</v>
      </c>
      <c r="G426" s="166"/>
      <c r="H426" s="166"/>
      <c r="I426" s="166"/>
    </row>
    <row r="427" spans="1:9">
      <c r="A427" s="53">
        <f t="shared" si="3"/>
        <v>2025.1</v>
      </c>
      <c r="B427" s="88">
        <v>158305126</v>
      </c>
      <c r="C427" s="351">
        <v>481.98309999999998</v>
      </c>
      <c r="D427" s="2730">
        <f>C427/'8.1'!B415</f>
        <v>2.5633758397078713E-2</v>
      </c>
      <c r="E427" s="357">
        <v>1162.3232849999999</v>
      </c>
      <c r="F427" s="353">
        <v>3669</v>
      </c>
      <c r="G427" s="166"/>
      <c r="H427" s="166"/>
      <c r="I427" s="166"/>
    </row>
    <row r="428" spans="1:9">
      <c r="A428" s="53">
        <f t="shared" si="3"/>
        <v>2025.11</v>
      </c>
      <c r="B428" s="88">
        <v>146065454</v>
      </c>
      <c r="C428" s="351">
        <v>481.1891</v>
      </c>
      <c r="D428" s="2730">
        <f>C428/'8.1'!B416</f>
        <v>2.5001070311128012E-2</v>
      </c>
      <c r="E428" s="357">
        <v>1101.556184</v>
      </c>
      <c r="F428" s="353">
        <v>3500</v>
      </c>
      <c r="G428" s="166"/>
      <c r="H428" s="166"/>
      <c r="I428" s="166"/>
    </row>
    <row r="429" spans="1:9">
      <c r="A429" s="53">
        <f t="shared" si="3"/>
        <v>2025.12</v>
      </c>
      <c r="B429" s="88">
        <v>135564336</v>
      </c>
      <c r="C429" s="351">
        <v>479.99009999999998</v>
      </c>
      <c r="D429" s="2730">
        <f>C429/'8.1'!B417</f>
        <v>2.4311950025756E-2</v>
      </c>
      <c r="E429" s="357">
        <v>1045.27061</v>
      </c>
      <c r="F429" s="353">
        <v>3313</v>
      </c>
      <c r="G429" s="166"/>
      <c r="H429" s="166"/>
      <c r="I429" s="166"/>
    </row>
    <row r="430" spans="1:9">
      <c r="A430" s="53">
        <f t="shared" si="3"/>
        <v>2026.01</v>
      </c>
      <c r="B430" s="88">
        <v>125524204</v>
      </c>
      <c r="C430" s="351">
        <v>478.84100000000001</v>
      </c>
      <c r="D430" s="2730">
        <f>C430/'8.1'!B418</f>
        <v>2.3631916543244726E-2</v>
      </c>
      <c r="E430" s="357">
        <v>965.99007400000005</v>
      </c>
      <c r="F430" s="353">
        <v>3313</v>
      </c>
      <c r="G430" s="166"/>
      <c r="H430" s="166"/>
      <c r="I430" s="166"/>
    </row>
    <row r="431" spans="1:9">
      <c r="A431" s="53">
        <f t="shared" si="3"/>
        <v>2026.02</v>
      </c>
      <c r="B431" s="88">
        <v>103436453</v>
      </c>
      <c r="C431" s="351">
        <v>481.78399999999999</v>
      </c>
      <c r="D431" s="2730">
        <f>C431/'8.1'!B419</f>
        <v>2.3144076903529036E-2</v>
      </c>
      <c r="E431" s="357">
        <v>820.78702099999998</v>
      </c>
      <c r="F431" s="353">
        <v>3500</v>
      </c>
      <c r="G431" s="166"/>
      <c r="H431" s="166"/>
      <c r="I431" s="166"/>
    </row>
    <row r="432" spans="1:9">
      <c r="A432" s="53">
        <f t="shared" si="3"/>
        <v>2026.03</v>
      </c>
      <c r="B432" s="88" t="e">
        <v>#N/A</v>
      </c>
      <c r="C432" s="351" t="e">
        <v>#N/A</v>
      </c>
      <c r="D432" s="2730" t="e">
        <f>C432/'8.1'!B420</f>
        <v>#N/A</v>
      </c>
      <c r="E432" s="357" t="e">
        <v>#N/A</v>
      </c>
      <c r="F432" s="353" t="e">
        <v>#N/A</v>
      </c>
      <c r="G432" s="166"/>
      <c r="H432" s="166"/>
      <c r="I432" s="166"/>
    </row>
    <row r="433" spans="1:6">
      <c r="A433" s="53">
        <f t="shared" si="3"/>
        <v>2026.04</v>
      </c>
      <c r="B433" s="88" t="e">
        <v>#N/A</v>
      </c>
      <c r="C433" s="351" t="e">
        <v>#N/A</v>
      </c>
      <c r="D433" s="2730" t="e">
        <f>C433/'8.1'!B421</f>
        <v>#N/A</v>
      </c>
      <c r="E433" s="357" t="e">
        <v>#N/A</v>
      </c>
      <c r="F433" s="353" t="e">
        <v>#N/A</v>
      </c>
    </row>
    <row r="434" spans="1:6">
      <c r="A434" s="53">
        <f t="shared" si="3"/>
        <v>2026.05</v>
      </c>
      <c r="B434" s="88" t="e">
        <v>#N/A</v>
      </c>
      <c r="C434" s="351" t="e">
        <v>#N/A</v>
      </c>
      <c r="D434" s="2730" t="e">
        <f>C434/'8.1'!B422</f>
        <v>#N/A</v>
      </c>
      <c r="E434" s="357" t="e">
        <v>#N/A</v>
      </c>
      <c r="F434" s="353" t="e">
        <v>#N/A</v>
      </c>
    </row>
    <row r="435" spans="1:6">
      <c r="A435" s="53">
        <f t="shared" si="3"/>
        <v>2026.06</v>
      </c>
      <c r="B435" s="88" t="e">
        <v>#N/A</v>
      </c>
      <c r="C435" s="351" t="e">
        <v>#N/A</v>
      </c>
      <c r="D435" s="2730" t="e">
        <f>C435/'8.1'!B423</f>
        <v>#N/A</v>
      </c>
      <c r="E435" s="357" t="e">
        <v>#N/A</v>
      </c>
      <c r="F435" s="353" t="e">
        <v>#N/A</v>
      </c>
    </row>
    <row r="436" spans="1:6">
      <c r="A436" s="53">
        <f t="shared" si="3"/>
        <v>2026.07</v>
      </c>
      <c r="B436" s="88" t="e">
        <v>#N/A</v>
      </c>
      <c r="C436" s="351" t="e">
        <v>#N/A</v>
      </c>
      <c r="D436" s="2730" t="e">
        <f>C436/'8.1'!B424</f>
        <v>#N/A</v>
      </c>
      <c r="E436" s="357" t="e">
        <v>#N/A</v>
      </c>
      <c r="F436" s="353" t="e">
        <v>#N/A</v>
      </c>
    </row>
    <row r="437" spans="1:6">
      <c r="A437" s="53">
        <f t="shared" si="3"/>
        <v>2026.08</v>
      </c>
      <c r="B437" s="88" t="e">
        <v>#N/A</v>
      </c>
      <c r="C437" s="351" t="e">
        <v>#N/A</v>
      </c>
      <c r="D437" s="2730" t="e">
        <f>C437/'8.1'!B425</f>
        <v>#N/A</v>
      </c>
      <c r="E437" s="357" t="e">
        <v>#N/A</v>
      </c>
      <c r="F437" s="353" t="e">
        <v>#N/A</v>
      </c>
    </row>
    <row r="438" spans="1:6">
      <c r="A438" s="53">
        <f t="shared" si="3"/>
        <v>2026.09</v>
      </c>
      <c r="B438" s="88" t="e">
        <v>#N/A</v>
      </c>
      <c r="C438" s="351" t="e">
        <v>#N/A</v>
      </c>
      <c r="D438" s="2730" t="e">
        <f>C438/'8.1'!B426</f>
        <v>#N/A</v>
      </c>
      <c r="E438" s="357" t="e">
        <v>#N/A</v>
      </c>
      <c r="F438" s="353" t="e">
        <v>#N/A</v>
      </c>
    </row>
    <row r="439" spans="1:6">
      <c r="A439" s="53">
        <f t="shared" si="3"/>
        <v>2026.1</v>
      </c>
      <c r="B439" s="88" t="e">
        <v>#N/A</v>
      </c>
      <c r="C439" s="351" t="e">
        <v>#N/A</v>
      </c>
      <c r="D439" s="2730" t="e">
        <f>C439/'8.1'!B427</f>
        <v>#N/A</v>
      </c>
      <c r="E439" s="357" t="e">
        <v>#N/A</v>
      </c>
      <c r="F439" s="353" t="e">
        <v>#N/A</v>
      </c>
    </row>
    <row r="440" spans="1:6">
      <c r="A440" s="53">
        <f t="shared" si="3"/>
        <v>2026.11</v>
      </c>
      <c r="B440" s="88" t="e">
        <v>#N/A</v>
      </c>
      <c r="C440" s="351" t="e">
        <v>#N/A</v>
      </c>
      <c r="D440" s="2730" t="e">
        <f>C440/'8.1'!B428</f>
        <v>#N/A</v>
      </c>
      <c r="E440" s="357" t="e">
        <v>#N/A</v>
      </c>
      <c r="F440" s="353" t="e">
        <v>#N/A</v>
      </c>
    </row>
    <row r="441" spans="1:6">
      <c r="A441" s="53">
        <f t="shared" si="3"/>
        <v>2026.12</v>
      </c>
      <c r="B441" s="88" t="e">
        <v>#N/A</v>
      </c>
      <c r="C441" s="351" t="e">
        <v>#N/A</v>
      </c>
      <c r="D441" s="2730" t="e">
        <f>C441/'8.1'!B429</f>
        <v>#N/A</v>
      </c>
      <c r="E441" s="357" t="e">
        <v>#N/A</v>
      </c>
      <c r="F441" s="353" t="e">
        <v>#N/A</v>
      </c>
    </row>
    <row r="442" spans="1:6">
      <c r="A442" s="53">
        <f t="shared" si="3"/>
        <v>2027.01</v>
      </c>
      <c r="B442" s="88" t="e">
        <v>#N/A</v>
      </c>
      <c r="C442" s="351" t="e">
        <v>#N/A</v>
      </c>
      <c r="D442" s="2730" t="e">
        <f>C442/'8.1'!B430</f>
        <v>#N/A</v>
      </c>
      <c r="E442" s="357" t="e">
        <v>#N/A</v>
      </c>
      <c r="F442" s="353" t="e">
        <v>#N/A</v>
      </c>
    </row>
    <row r="443" spans="1:6">
      <c r="A443" s="53">
        <f t="shared" si="3"/>
        <v>2027.02</v>
      </c>
      <c r="B443" s="88" t="e">
        <v>#N/A</v>
      </c>
      <c r="C443" s="351" t="e">
        <v>#N/A</v>
      </c>
      <c r="D443" s="2730" t="e">
        <f>C443/'8.1'!B431</f>
        <v>#N/A</v>
      </c>
      <c r="E443" s="357" t="e">
        <v>#N/A</v>
      </c>
      <c r="F443" s="353" t="e">
        <v>#N/A</v>
      </c>
    </row>
    <row r="444" spans="1:6">
      <c r="A444" s="53">
        <f t="shared" si="3"/>
        <v>2027.03</v>
      </c>
      <c r="B444" s="88" t="e">
        <v>#N/A</v>
      </c>
      <c r="C444" s="351" t="e">
        <v>#N/A</v>
      </c>
      <c r="D444" s="2730" t="e">
        <f>C444/'8.1'!B432</f>
        <v>#N/A</v>
      </c>
      <c r="E444" s="357" t="e">
        <v>#N/A</v>
      </c>
      <c r="F444" s="353" t="e">
        <v>#N/A</v>
      </c>
    </row>
    <row r="445" spans="1:6">
      <c r="A445" s="53">
        <f t="shared" si="3"/>
        <v>2027.04</v>
      </c>
      <c r="B445" s="88" t="e">
        <v>#N/A</v>
      </c>
      <c r="C445" s="351" t="e">
        <v>#N/A</v>
      </c>
      <c r="D445" s="2730" t="e">
        <f>C445/'8.1'!B433</f>
        <v>#N/A</v>
      </c>
      <c r="E445" s="357" t="e">
        <v>#N/A</v>
      </c>
      <c r="F445" s="353" t="e">
        <v>#N/A</v>
      </c>
    </row>
    <row r="446" spans="1:6">
      <c r="A446" s="53">
        <f t="shared" si="3"/>
        <v>2027.05</v>
      </c>
      <c r="B446" s="88" t="e">
        <v>#N/A</v>
      </c>
      <c r="C446" s="351" t="e">
        <v>#N/A</v>
      </c>
      <c r="D446" s="2730" t="e">
        <f>C446/'8.1'!B434</f>
        <v>#N/A</v>
      </c>
      <c r="E446" s="357" t="e">
        <v>#N/A</v>
      </c>
      <c r="F446" s="353" t="e">
        <v>#N/A</v>
      </c>
    </row>
    <row r="447" spans="1:6">
      <c r="A447" s="53">
        <f t="shared" si="3"/>
        <v>2027.06</v>
      </c>
      <c r="B447" s="88" t="e">
        <v>#N/A</v>
      </c>
      <c r="C447" s="351" t="e">
        <v>#N/A</v>
      </c>
      <c r="D447" s="2730" t="e">
        <f>C447/'8.1'!B435</f>
        <v>#N/A</v>
      </c>
      <c r="E447" s="357" t="e">
        <v>#N/A</v>
      </c>
      <c r="F447" s="353" t="e">
        <v>#N/A</v>
      </c>
    </row>
    <row r="448" spans="1:6">
      <c r="A448" s="53">
        <f t="shared" si="3"/>
        <v>2027.07</v>
      </c>
      <c r="B448" s="88" t="e">
        <v>#N/A</v>
      </c>
      <c r="C448" s="351" t="e">
        <v>#N/A</v>
      </c>
      <c r="D448" s="2730" t="e">
        <f>C448/'8.1'!B436</f>
        <v>#N/A</v>
      </c>
      <c r="E448" s="357" t="e">
        <v>#N/A</v>
      </c>
      <c r="F448" s="353" t="e">
        <v>#N/A</v>
      </c>
    </row>
    <row r="449" spans="1:6">
      <c r="A449" s="53">
        <f t="shared" si="3"/>
        <v>2027.08</v>
      </c>
      <c r="B449" s="88" t="e">
        <v>#N/A</v>
      </c>
      <c r="C449" s="351" t="e">
        <v>#N/A</v>
      </c>
      <c r="D449" s="2730" t="e">
        <f>C449/'8.1'!B437</f>
        <v>#N/A</v>
      </c>
      <c r="E449" s="357" t="e">
        <v>#N/A</v>
      </c>
      <c r="F449" s="353" t="e">
        <v>#N/A</v>
      </c>
    </row>
    <row r="450" spans="1:6">
      <c r="A450" s="53">
        <f t="shared" si="3"/>
        <v>2027.09</v>
      </c>
      <c r="B450" s="88" t="e">
        <v>#N/A</v>
      </c>
      <c r="C450" s="351" t="e">
        <v>#N/A</v>
      </c>
      <c r="D450" s="2730" t="e">
        <f>C450/'8.1'!B438</f>
        <v>#N/A</v>
      </c>
      <c r="E450" s="357" t="e">
        <v>#N/A</v>
      </c>
      <c r="F450" s="353" t="e">
        <v>#N/A</v>
      </c>
    </row>
    <row r="451" spans="1:6">
      <c r="A451" s="53">
        <f t="shared" si="3"/>
        <v>2027.1</v>
      </c>
      <c r="B451" s="88" t="e">
        <v>#N/A</v>
      </c>
      <c r="C451" s="351" t="e">
        <v>#N/A</v>
      </c>
      <c r="D451" s="2730" t="e">
        <f>C451/'8.1'!B439</f>
        <v>#N/A</v>
      </c>
      <c r="E451" s="357" t="e">
        <v>#N/A</v>
      </c>
      <c r="F451" s="353" t="e">
        <v>#N/A</v>
      </c>
    </row>
    <row r="452" spans="1:6">
      <c r="A452" s="53">
        <f t="shared" si="3"/>
        <v>2027.11</v>
      </c>
      <c r="B452" s="88" t="e">
        <v>#N/A</v>
      </c>
      <c r="C452" s="351" t="e">
        <v>#N/A</v>
      </c>
      <c r="D452" s="2730" t="e">
        <f>C452/'8.1'!B440</f>
        <v>#N/A</v>
      </c>
      <c r="E452" s="357" t="e">
        <v>#N/A</v>
      </c>
      <c r="F452" s="353" t="e">
        <v>#N/A</v>
      </c>
    </row>
    <row r="453" spans="1:6">
      <c r="A453" s="53">
        <f t="shared" si="3"/>
        <v>2027.12</v>
      </c>
      <c r="B453" s="88" t="e">
        <v>#N/A</v>
      </c>
      <c r="C453" s="351" t="e">
        <v>#N/A</v>
      </c>
      <c r="D453" s="2730" t="e">
        <f>C453/'8.1'!B441</f>
        <v>#N/A</v>
      </c>
      <c r="E453" s="357" t="e">
        <v>#N/A</v>
      </c>
      <c r="F453" s="353" t="e">
        <v>#N/A</v>
      </c>
    </row>
    <row r="454" spans="1:6">
      <c r="A454" s="53">
        <f t="shared" si="3"/>
        <v>2028.01</v>
      </c>
      <c r="B454" s="88" t="e">
        <v>#N/A</v>
      </c>
      <c r="C454" s="351" t="e">
        <v>#N/A</v>
      </c>
      <c r="D454" s="2730" t="e">
        <f>C454/'8.1'!B442</f>
        <v>#N/A</v>
      </c>
      <c r="E454" s="357" t="e">
        <v>#N/A</v>
      </c>
      <c r="F454" s="353" t="e">
        <v>#N/A</v>
      </c>
    </row>
    <row r="455" spans="1:6">
      <c r="A455" s="53">
        <f t="shared" si="3"/>
        <v>2028.02</v>
      </c>
      <c r="B455" s="88" t="e">
        <v>#N/A</v>
      </c>
      <c r="C455" s="351" t="e">
        <v>#N/A</v>
      </c>
      <c r="D455" s="2730" t="e">
        <f>C455/'8.1'!B443</f>
        <v>#N/A</v>
      </c>
      <c r="E455" s="357" t="e">
        <v>#N/A</v>
      </c>
      <c r="F455" s="353" t="e">
        <v>#N/A</v>
      </c>
    </row>
    <row r="456" spans="1:6">
      <c r="A456" s="53">
        <f t="shared" si="3"/>
        <v>2028.03</v>
      </c>
      <c r="B456" s="88" t="e">
        <v>#N/A</v>
      </c>
      <c r="C456" s="351" t="e">
        <v>#N/A</v>
      </c>
      <c r="D456" s="2730" t="e">
        <f>C456/'8.1'!B444</f>
        <v>#N/A</v>
      </c>
      <c r="E456" s="357" t="e">
        <v>#N/A</v>
      </c>
      <c r="F456" s="353" t="e">
        <v>#N/A</v>
      </c>
    </row>
    <row r="457" spans="1:6">
      <c r="A457" s="53">
        <f t="shared" si="3"/>
        <v>2028.04</v>
      </c>
      <c r="B457" s="88" t="e">
        <v>#N/A</v>
      </c>
      <c r="C457" s="351" t="e">
        <v>#N/A</v>
      </c>
      <c r="D457" s="2730" t="e">
        <f>C457/'8.1'!B445</f>
        <v>#N/A</v>
      </c>
      <c r="E457" s="357" t="e">
        <v>#N/A</v>
      </c>
      <c r="F457" s="353" t="e">
        <v>#N/A</v>
      </c>
    </row>
    <row r="458" spans="1:6">
      <c r="A458" s="53">
        <f t="shared" si="3"/>
        <v>2028.05</v>
      </c>
      <c r="B458" s="88" t="e">
        <v>#N/A</v>
      </c>
      <c r="C458" s="351" t="e">
        <v>#N/A</v>
      </c>
      <c r="D458" s="2730" t="e">
        <f>C458/'8.1'!B446</f>
        <v>#N/A</v>
      </c>
      <c r="E458" s="357" t="e">
        <v>#N/A</v>
      </c>
      <c r="F458" s="353" t="e">
        <v>#N/A</v>
      </c>
    </row>
    <row r="459" spans="1:6">
      <c r="A459" s="53">
        <f t="shared" si="3"/>
        <v>2028.06</v>
      </c>
      <c r="B459" s="88" t="e">
        <v>#N/A</v>
      </c>
      <c r="C459" s="351" t="e">
        <v>#N/A</v>
      </c>
      <c r="D459" s="2730" t="e">
        <f>C459/'8.1'!B447</f>
        <v>#N/A</v>
      </c>
      <c r="E459" s="357" t="e">
        <v>#N/A</v>
      </c>
      <c r="F459" s="353" t="e">
        <v>#N/A</v>
      </c>
    </row>
    <row r="460" spans="1:6">
      <c r="A460" s="53">
        <f t="shared" si="3"/>
        <v>2028.07</v>
      </c>
      <c r="B460" s="88" t="e">
        <v>#N/A</v>
      </c>
      <c r="C460" s="351" t="e">
        <v>#N/A</v>
      </c>
      <c r="D460" s="2730" t="e">
        <f>C460/'8.1'!B448</f>
        <v>#N/A</v>
      </c>
      <c r="E460" s="357" t="e">
        <v>#N/A</v>
      </c>
      <c r="F460" s="353" t="e">
        <v>#N/A</v>
      </c>
    </row>
    <row r="461" spans="1:6">
      <c r="A461" s="53">
        <f t="shared" si="3"/>
        <v>2028.08</v>
      </c>
      <c r="B461" s="88" t="e">
        <v>#N/A</v>
      </c>
      <c r="C461" s="351" t="e">
        <v>#N/A</v>
      </c>
      <c r="D461" s="2730" t="e">
        <f>C461/'8.1'!B449</f>
        <v>#N/A</v>
      </c>
      <c r="E461" s="357" t="e">
        <v>#N/A</v>
      </c>
      <c r="F461" s="353" t="e">
        <v>#N/A</v>
      </c>
    </row>
    <row r="462" spans="1:6">
      <c r="A462" s="53">
        <f t="shared" si="3"/>
        <v>2028.09</v>
      </c>
      <c r="B462" s="88" t="e">
        <v>#N/A</v>
      </c>
      <c r="C462" s="351" t="e">
        <v>#N/A</v>
      </c>
      <c r="D462" s="2730" t="e">
        <f>C462/'8.1'!B450</f>
        <v>#N/A</v>
      </c>
      <c r="E462" s="357" t="e">
        <v>#N/A</v>
      </c>
      <c r="F462" s="353" t="e">
        <v>#N/A</v>
      </c>
    </row>
    <row r="463" spans="1:6">
      <c r="A463" s="53">
        <f t="shared" si="3"/>
        <v>2028.1</v>
      </c>
      <c r="B463" s="88" t="e">
        <v>#N/A</v>
      </c>
      <c r="C463" s="351" t="e">
        <v>#N/A</v>
      </c>
      <c r="D463" s="2730" t="e">
        <f>C463/'8.1'!B451</f>
        <v>#N/A</v>
      </c>
      <c r="E463" s="357" t="e">
        <v>#N/A</v>
      </c>
      <c r="F463" s="353" t="e">
        <v>#N/A</v>
      </c>
    </row>
    <row r="464" spans="1:6">
      <c r="A464" s="53">
        <f t="shared" si="3"/>
        <v>2028.11</v>
      </c>
      <c r="B464" s="88" t="e">
        <v>#N/A</v>
      </c>
      <c r="C464" s="351" t="e">
        <v>#N/A</v>
      </c>
      <c r="D464" s="2730" t="e">
        <f>C464/'8.1'!B452</f>
        <v>#N/A</v>
      </c>
      <c r="E464" s="357" t="e">
        <v>#N/A</v>
      </c>
      <c r="F464" s="353" t="e">
        <v>#N/A</v>
      </c>
    </row>
    <row r="465" spans="1:6">
      <c r="A465" s="53">
        <f t="shared" si="3"/>
        <v>2028.12</v>
      </c>
      <c r="B465" s="88" t="e">
        <v>#N/A</v>
      </c>
      <c r="C465" s="351" t="e">
        <v>#N/A</v>
      </c>
      <c r="D465" s="2730" t="e">
        <f>C465/'8.1'!B453</f>
        <v>#N/A</v>
      </c>
      <c r="E465" s="357" t="e">
        <v>#N/A</v>
      </c>
      <c r="F465" s="353" t="e">
        <v>#N/A</v>
      </c>
    </row>
    <row r="466" spans="1:6">
      <c r="A466" s="53">
        <f t="shared" si="3"/>
        <v>2029.01</v>
      </c>
      <c r="B466" s="88" t="e">
        <v>#N/A</v>
      </c>
      <c r="C466" s="351" t="e">
        <v>#N/A</v>
      </c>
      <c r="D466" s="2730" t="e">
        <f>C466/'8.1'!B454</f>
        <v>#N/A</v>
      </c>
      <c r="E466" s="357" t="e">
        <v>#N/A</v>
      </c>
      <c r="F466" s="353" t="e">
        <v>#N/A</v>
      </c>
    </row>
    <row r="467" spans="1:6">
      <c r="A467" s="53">
        <f t="shared" si="3"/>
        <v>2029.02</v>
      </c>
      <c r="B467" s="88" t="e">
        <v>#N/A</v>
      </c>
      <c r="C467" s="351" t="e">
        <v>#N/A</v>
      </c>
      <c r="D467" s="2730" t="e">
        <f>C467/'8.1'!B455</f>
        <v>#N/A</v>
      </c>
      <c r="E467" s="357" t="e">
        <v>#N/A</v>
      </c>
      <c r="F467" s="353" t="e">
        <v>#N/A</v>
      </c>
    </row>
    <row r="468" spans="1:6">
      <c r="A468" s="53">
        <f t="shared" si="3"/>
        <v>2029.03</v>
      </c>
      <c r="B468" s="88" t="e">
        <v>#N/A</v>
      </c>
      <c r="C468" s="351" t="e">
        <v>#N/A</v>
      </c>
      <c r="D468" s="2730" t="e">
        <f>C468/'8.1'!B456</f>
        <v>#N/A</v>
      </c>
      <c r="E468" s="357" t="e">
        <v>#N/A</v>
      </c>
      <c r="F468" s="353" t="e">
        <v>#N/A</v>
      </c>
    </row>
    <row r="469" spans="1:6">
      <c r="A469" s="53">
        <f t="shared" si="3"/>
        <v>2029.04</v>
      </c>
      <c r="B469" s="88" t="e">
        <v>#N/A</v>
      </c>
      <c r="C469" s="351" t="e">
        <v>#N/A</v>
      </c>
      <c r="D469" s="2730" t="e">
        <f>C469/'8.1'!B457</f>
        <v>#N/A</v>
      </c>
      <c r="E469" s="357" t="e">
        <v>#N/A</v>
      </c>
      <c r="F469" s="353" t="e">
        <v>#N/A</v>
      </c>
    </row>
    <row r="470" spans="1:6">
      <c r="A470" s="53">
        <f t="shared" si="3"/>
        <v>2029.05</v>
      </c>
      <c r="B470" s="88" t="e">
        <v>#N/A</v>
      </c>
      <c r="C470" s="351" t="e">
        <v>#N/A</v>
      </c>
      <c r="D470" s="2730" t="e">
        <f>C470/'8.1'!B458</f>
        <v>#N/A</v>
      </c>
      <c r="E470" s="357" t="e">
        <v>#N/A</v>
      </c>
      <c r="F470" s="353" t="e">
        <v>#N/A</v>
      </c>
    </row>
    <row r="471" spans="1:6">
      <c r="A471" s="53">
        <f t="shared" si="3"/>
        <v>2029.06</v>
      </c>
      <c r="B471" s="88" t="e">
        <v>#N/A</v>
      </c>
      <c r="C471" s="351" t="e">
        <v>#N/A</v>
      </c>
      <c r="D471" s="2730" t="e">
        <f>C471/'8.1'!B459</f>
        <v>#N/A</v>
      </c>
      <c r="E471" s="357" t="e">
        <v>#N/A</v>
      </c>
      <c r="F471" s="353" t="e">
        <v>#N/A</v>
      </c>
    </row>
    <row r="472" spans="1:6">
      <c r="A472" s="53">
        <f t="shared" si="3"/>
        <v>2029.07</v>
      </c>
      <c r="B472" s="88" t="e">
        <v>#N/A</v>
      </c>
      <c r="C472" s="351" t="e">
        <v>#N/A</v>
      </c>
      <c r="D472" s="2730" t="e">
        <f>C472/'8.1'!B460</f>
        <v>#N/A</v>
      </c>
      <c r="E472" s="357" t="e">
        <v>#N/A</v>
      </c>
      <c r="F472" s="353" t="e">
        <v>#N/A</v>
      </c>
    </row>
    <row r="473" spans="1:6">
      <c r="A473" s="53">
        <f t="shared" si="3"/>
        <v>2029.08</v>
      </c>
      <c r="B473" s="88" t="e">
        <v>#N/A</v>
      </c>
      <c r="C473" s="351" t="e">
        <v>#N/A</v>
      </c>
      <c r="D473" s="2730" t="e">
        <f>C473/'8.1'!B461</f>
        <v>#N/A</v>
      </c>
      <c r="E473" s="357" t="e">
        <v>#N/A</v>
      </c>
      <c r="F473" s="353" t="e">
        <v>#N/A</v>
      </c>
    </row>
    <row r="474" spans="1:6">
      <c r="A474" s="53">
        <f t="shared" si="3"/>
        <v>2029.09</v>
      </c>
      <c r="B474" s="88" t="e">
        <v>#N/A</v>
      </c>
      <c r="C474" s="351" t="e">
        <v>#N/A</v>
      </c>
      <c r="D474" s="2730" t="e">
        <f>C474/'8.1'!B462</f>
        <v>#N/A</v>
      </c>
      <c r="E474" s="357" t="e">
        <v>#N/A</v>
      </c>
      <c r="F474" s="353" t="e">
        <v>#N/A</v>
      </c>
    </row>
    <row r="475" spans="1:6">
      <c r="A475" s="53">
        <f t="shared" si="3"/>
        <v>2029.1</v>
      </c>
      <c r="B475" s="88" t="e">
        <v>#N/A</v>
      </c>
      <c r="C475" s="351" t="e">
        <v>#N/A</v>
      </c>
      <c r="D475" s="2730" t="e">
        <f>C475/'8.1'!B463</f>
        <v>#N/A</v>
      </c>
      <c r="E475" s="357" t="e">
        <v>#N/A</v>
      </c>
      <c r="F475" s="353" t="e">
        <v>#N/A</v>
      </c>
    </row>
    <row r="476" spans="1:6">
      <c r="A476" s="53">
        <f t="shared" si="3"/>
        <v>2029.11</v>
      </c>
      <c r="B476" s="88" t="e">
        <v>#N/A</v>
      </c>
      <c r="C476" s="351" t="e">
        <v>#N/A</v>
      </c>
      <c r="D476" s="2730" t="e">
        <f>C476/'8.1'!B464</f>
        <v>#N/A</v>
      </c>
      <c r="E476" s="357" t="e">
        <v>#N/A</v>
      </c>
      <c r="F476" s="353" t="e">
        <v>#N/A</v>
      </c>
    </row>
    <row r="477" spans="1:6">
      <c r="A477" s="53">
        <f t="shared" si="3"/>
        <v>2029.12</v>
      </c>
      <c r="B477" s="88" t="e">
        <v>#N/A</v>
      </c>
      <c r="C477" s="351" t="e">
        <v>#N/A</v>
      </c>
      <c r="D477" s="2730" t="e">
        <f>C477/'8.1'!B465</f>
        <v>#N/A</v>
      </c>
      <c r="E477" s="357" t="e">
        <v>#N/A</v>
      </c>
      <c r="F477" s="353" t="e">
        <v>#N/A</v>
      </c>
    </row>
    <row r="478" spans="1:6">
      <c r="A478" s="53">
        <f t="shared" si="3"/>
        <v>2030.01</v>
      </c>
      <c r="B478" s="88" t="e">
        <v>#N/A</v>
      </c>
      <c r="C478" s="351" t="e">
        <v>#N/A</v>
      </c>
      <c r="D478" s="2730" t="e">
        <f>C478/'8.1'!B466</f>
        <v>#N/A</v>
      </c>
      <c r="E478" s="357" t="e">
        <v>#N/A</v>
      </c>
      <c r="F478" s="353" t="e">
        <v>#N/A</v>
      </c>
    </row>
    <row r="479" spans="1:6">
      <c r="A479" s="53">
        <f t="shared" si="3"/>
        <v>2030.02</v>
      </c>
      <c r="B479" s="88" t="e">
        <v>#N/A</v>
      </c>
      <c r="C479" s="351" t="e">
        <v>#N/A</v>
      </c>
      <c r="D479" s="2730" t="e">
        <f>C479/'8.1'!B467</f>
        <v>#N/A</v>
      </c>
      <c r="E479" s="357" t="e">
        <v>#N/A</v>
      </c>
      <c r="F479" s="353" t="e">
        <v>#N/A</v>
      </c>
    </row>
    <row r="480" spans="1:6">
      <c r="A480" s="53">
        <f t="shared" si="3"/>
        <v>2030.03</v>
      </c>
      <c r="B480" s="88" t="e">
        <v>#N/A</v>
      </c>
      <c r="C480" s="351" t="e">
        <v>#N/A</v>
      </c>
      <c r="D480" s="2730" t="e">
        <f>C480/'8.1'!B468</f>
        <v>#N/A</v>
      </c>
      <c r="E480" s="357" t="e">
        <v>#N/A</v>
      </c>
      <c r="F480" s="353" t="e">
        <v>#N/A</v>
      </c>
    </row>
    <row r="481" spans="1:6">
      <c r="A481" s="53">
        <f t="shared" si="3"/>
        <v>2030.04</v>
      </c>
      <c r="B481" s="88" t="e">
        <v>#N/A</v>
      </c>
      <c r="C481" s="351" t="e">
        <v>#N/A</v>
      </c>
      <c r="D481" s="2730" t="e">
        <f>C481/'8.1'!B469</f>
        <v>#N/A</v>
      </c>
      <c r="E481" s="357" t="e">
        <v>#N/A</v>
      </c>
      <c r="F481" s="353" t="e">
        <v>#N/A</v>
      </c>
    </row>
    <row r="482" spans="1:6">
      <c r="A482" s="53">
        <f t="shared" ref="A482:A489" si="4">A470+1</f>
        <v>2030.05</v>
      </c>
      <c r="B482" s="88" t="e">
        <v>#N/A</v>
      </c>
      <c r="C482" s="351" t="e">
        <v>#N/A</v>
      </c>
      <c r="D482" s="2730" t="e">
        <f>C482/'8.1'!B470</f>
        <v>#N/A</v>
      </c>
      <c r="E482" s="357" t="e">
        <v>#N/A</v>
      </c>
      <c r="F482" s="353" t="e">
        <v>#N/A</v>
      </c>
    </row>
    <row r="483" spans="1:6">
      <c r="A483" s="53">
        <f t="shared" si="4"/>
        <v>2030.06</v>
      </c>
      <c r="B483" s="88" t="e">
        <v>#N/A</v>
      </c>
      <c r="C483" s="351" t="e">
        <v>#N/A</v>
      </c>
      <c r="D483" s="2730" t="e">
        <f>C483/'8.1'!B471</f>
        <v>#N/A</v>
      </c>
      <c r="E483" s="357" t="e">
        <v>#N/A</v>
      </c>
      <c r="F483" s="353" t="e">
        <v>#N/A</v>
      </c>
    </row>
    <row r="484" spans="1:6">
      <c r="A484" s="53">
        <f t="shared" si="4"/>
        <v>2030.07</v>
      </c>
      <c r="B484" s="88" t="e">
        <v>#N/A</v>
      </c>
      <c r="C484" s="351" t="e">
        <v>#N/A</v>
      </c>
      <c r="D484" s="2730" t="e">
        <f>C484/'8.1'!B472</f>
        <v>#N/A</v>
      </c>
      <c r="E484" s="357" t="e">
        <v>#N/A</v>
      </c>
      <c r="F484" s="353" t="e">
        <v>#N/A</v>
      </c>
    </row>
    <row r="485" spans="1:6">
      <c r="A485" s="53">
        <f t="shared" si="4"/>
        <v>2030.08</v>
      </c>
      <c r="B485" s="88" t="e">
        <v>#N/A</v>
      </c>
      <c r="C485" s="351" t="e">
        <v>#N/A</v>
      </c>
      <c r="D485" s="2730" t="e">
        <f>C485/'8.1'!B473</f>
        <v>#N/A</v>
      </c>
      <c r="E485" s="357" t="e">
        <v>#N/A</v>
      </c>
      <c r="F485" s="353" t="e">
        <v>#N/A</v>
      </c>
    </row>
    <row r="486" spans="1:6">
      <c r="A486" s="53">
        <f t="shared" si="4"/>
        <v>2030.09</v>
      </c>
      <c r="B486" s="88" t="e">
        <v>#N/A</v>
      </c>
      <c r="C486" s="351" t="e">
        <v>#N/A</v>
      </c>
      <c r="D486" s="2730" t="e">
        <f>C486/'8.1'!B474</f>
        <v>#N/A</v>
      </c>
      <c r="E486" s="357" t="e">
        <v>#N/A</v>
      </c>
      <c r="F486" s="353" t="e">
        <v>#N/A</v>
      </c>
    </row>
    <row r="487" spans="1:6">
      <c r="A487" s="53">
        <f t="shared" si="4"/>
        <v>2030.1</v>
      </c>
      <c r="B487" s="88" t="e">
        <v>#N/A</v>
      </c>
      <c r="C487" s="351" t="e">
        <v>#N/A</v>
      </c>
      <c r="D487" s="2730" t="e">
        <f>C487/'8.1'!B475</f>
        <v>#N/A</v>
      </c>
      <c r="E487" s="357" t="e">
        <v>#N/A</v>
      </c>
      <c r="F487" s="353" t="e">
        <v>#N/A</v>
      </c>
    </row>
    <row r="488" spans="1:6">
      <c r="A488" s="53">
        <f t="shared" si="4"/>
        <v>2030.11</v>
      </c>
      <c r="B488" s="88" t="e">
        <v>#N/A</v>
      </c>
      <c r="C488" s="351" t="e">
        <v>#N/A</v>
      </c>
      <c r="D488" s="2730" t="e">
        <f>C488/'8.1'!B476</f>
        <v>#N/A</v>
      </c>
      <c r="E488" s="357" t="e">
        <v>#N/A</v>
      </c>
      <c r="F488" s="353" t="e">
        <v>#N/A</v>
      </c>
    </row>
    <row r="489" spans="1:6">
      <c r="A489" s="53">
        <f t="shared" si="4"/>
        <v>2030.12</v>
      </c>
      <c r="B489" s="88" t="e">
        <v>#N/A</v>
      </c>
      <c r="C489" s="351" t="e">
        <v>#N/A</v>
      </c>
      <c r="D489" s="2730" t="e">
        <f>C489/'8.1'!B477</f>
        <v>#N/A</v>
      </c>
      <c r="E489" s="357" t="e">
        <v>#N/A</v>
      </c>
      <c r="F489" s="353" t="e">
        <v>#N/A</v>
      </c>
    </row>
  </sheetData>
  <phoneticPr fontId="71" type="noConversion"/>
  <hyperlinks>
    <hyperlink ref="A5" location="INDICE!A13" display="VOLVER AL INDICE" xr:uid="{00000000-0004-0000-1500-000000000000}"/>
  </hyperlinks>
  <pageMargins left="0.75" right="0.75" top="1" bottom="1" header="0" footer="0"/>
  <pageSetup paperSize="9" orientation="portrait" horizontalDpi="300" verticalDpi="300" r:id="rId1"/>
  <headerFooter alignWithMargins="0"/>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3"/>
  <dimension ref="A1:AU465"/>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10" style="52" customWidth="1"/>
    <col min="2" max="21" width="11" style="52" customWidth="1"/>
    <col min="22" max="25" width="17.5703125" style="2428" customWidth="1"/>
    <col min="26" max="34" width="11.42578125" style="300"/>
    <col min="35" max="35" width="12.42578125" style="300" bestFit="1" customWidth="1"/>
    <col min="36" max="16384" width="11.42578125" style="300"/>
  </cols>
  <sheetData>
    <row r="1" spans="1:46">
      <c r="A1" s="2761"/>
      <c r="B1" s="66"/>
      <c r="C1" s="67"/>
      <c r="D1" s="67"/>
      <c r="E1" s="67"/>
      <c r="F1" s="72"/>
      <c r="G1" s="67"/>
      <c r="H1" s="67"/>
      <c r="I1" s="72"/>
      <c r="J1" s="72"/>
      <c r="K1" s="72"/>
      <c r="L1" s="72"/>
      <c r="M1" s="72"/>
      <c r="N1" s="72"/>
      <c r="O1" s="72"/>
      <c r="P1" s="72"/>
      <c r="Q1" s="72"/>
      <c r="R1" s="67"/>
      <c r="S1" s="67"/>
      <c r="T1" s="67"/>
      <c r="U1" s="72"/>
      <c r="V1" s="2754"/>
      <c r="W1" s="64"/>
      <c r="X1" s="64"/>
      <c r="Y1" s="65"/>
    </row>
    <row r="2" spans="1:46" ht="45">
      <c r="A2" s="2762" t="s">
        <v>99</v>
      </c>
      <c r="B2" s="321" t="s">
        <v>984</v>
      </c>
      <c r="C2" s="69"/>
      <c r="D2" s="69"/>
      <c r="E2" s="69"/>
      <c r="F2" s="2736" t="s">
        <v>985</v>
      </c>
      <c r="G2" s="69"/>
      <c r="H2" s="69"/>
      <c r="I2" s="133"/>
      <c r="J2" s="2736" t="s">
        <v>986</v>
      </c>
      <c r="K2" s="2816"/>
      <c r="L2" s="2824"/>
      <c r="M2" s="133"/>
      <c r="N2" s="2736" t="s">
        <v>987</v>
      </c>
      <c r="O2" s="2816"/>
      <c r="P2" s="2824"/>
      <c r="Q2" s="133"/>
      <c r="R2" s="320" t="s">
        <v>988</v>
      </c>
      <c r="S2" s="69"/>
      <c r="T2" s="69"/>
      <c r="U2" s="69"/>
      <c r="V2" s="2736" t="s">
        <v>989</v>
      </c>
      <c r="W2" s="2736" t="s">
        <v>990</v>
      </c>
      <c r="X2" s="2736" t="s">
        <v>991</v>
      </c>
      <c r="Y2" s="2913" t="s">
        <v>992</v>
      </c>
    </row>
    <row r="3" spans="1:46">
      <c r="A3" s="2762" t="s">
        <v>104</v>
      </c>
      <c r="B3" s="321" t="s">
        <v>993</v>
      </c>
      <c r="C3" s="69"/>
      <c r="D3" s="69"/>
      <c r="E3" s="69"/>
      <c r="F3" s="2736"/>
      <c r="G3" s="69"/>
      <c r="H3" s="69"/>
      <c r="I3" s="133"/>
      <c r="J3" s="2736"/>
      <c r="K3" s="2816"/>
      <c r="L3" s="2824"/>
      <c r="M3" s="133"/>
      <c r="N3" s="2736"/>
      <c r="O3" s="2816"/>
      <c r="P3" s="2824"/>
      <c r="Q3" s="69"/>
      <c r="R3" s="2742"/>
      <c r="S3" s="69"/>
      <c r="T3" s="69"/>
      <c r="U3" s="69"/>
      <c r="V3" s="2736" t="s">
        <v>993</v>
      </c>
      <c r="W3" s="2736"/>
      <c r="X3" s="2816"/>
      <c r="Y3" s="2913"/>
    </row>
    <row r="4" spans="1:46" ht="3" hidden="1" customHeight="1">
      <c r="A4" s="2762"/>
      <c r="B4" s="1331"/>
      <c r="C4" s="73"/>
      <c r="D4" s="73"/>
      <c r="E4" s="73"/>
      <c r="F4" s="2914"/>
      <c r="G4" s="73"/>
      <c r="H4" s="73"/>
      <c r="I4" s="332"/>
      <c r="J4" s="2914"/>
      <c r="K4" s="73"/>
      <c r="L4" s="73"/>
      <c r="M4" s="332"/>
      <c r="N4" s="2914"/>
      <c r="O4" s="73"/>
      <c r="P4" s="73"/>
      <c r="Q4" s="73"/>
      <c r="R4" s="2914"/>
      <c r="S4" s="73"/>
      <c r="T4" s="73"/>
      <c r="U4" s="73"/>
      <c r="V4" s="2915"/>
      <c r="W4" s="2915"/>
      <c r="X4" s="2915"/>
      <c r="Y4" s="2916"/>
    </row>
    <row r="5" spans="1:46" s="2509" customFormat="1" ht="22.5">
      <c r="A5" s="2867" t="s">
        <v>140</v>
      </c>
      <c r="B5" s="1336" t="s">
        <v>994</v>
      </c>
      <c r="C5" s="655" t="s">
        <v>995</v>
      </c>
      <c r="D5" s="655" t="s">
        <v>996</v>
      </c>
      <c r="E5" s="651" t="s">
        <v>997</v>
      </c>
      <c r="F5" s="2917" t="s">
        <v>994</v>
      </c>
      <c r="G5" s="655" t="s">
        <v>995</v>
      </c>
      <c r="H5" s="655" t="s">
        <v>996</v>
      </c>
      <c r="I5" s="651" t="s">
        <v>997</v>
      </c>
      <c r="J5" s="2917" t="s">
        <v>994</v>
      </c>
      <c r="K5" s="655" t="s">
        <v>995</v>
      </c>
      <c r="L5" s="655" t="s">
        <v>996</v>
      </c>
      <c r="M5" s="651" t="s">
        <v>997</v>
      </c>
      <c r="N5" s="2917" t="s">
        <v>994</v>
      </c>
      <c r="O5" s="655" t="s">
        <v>995</v>
      </c>
      <c r="P5" s="655" t="s">
        <v>996</v>
      </c>
      <c r="Q5" s="651" t="s">
        <v>997</v>
      </c>
      <c r="R5" s="2917" t="s">
        <v>994</v>
      </c>
      <c r="S5" s="655" t="s">
        <v>995</v>
      </c>
      <c r="T5" s="655" t="s">
        <v>996</v>
      </c>
      <c r="U5" s="651" t="s">
        <v>997</v>
      </c>
      <c r="V5" s="2902"/>
      <c r="W5" s="2902"/>
      <c r="X5" s="2918"/>
      <c r="Y5" s="2919"/>
      <c r="AI5" s="2510"/>
      <c r="AJ5" s="2510"/>
      <c r="AK5" s="2510"/>
      <c r="AL5" s="2510"/>
      <c r="AM5" s="2510"/>
      <c r="AN5" s="2510"/>
      <c r="AO5" s="2510"/>
      <c r="AP5" s="2510"/>
      <c r="AQ5" s="2510"/>
      <c r="AR5" s="2510"/>
      <c r="AS5" s="2510"/>
      <c r="AT5" s="2510"/>
    </row>
    <row r="6" spans="1:46" s="2509" customFormat="1" ht="3" hidden="1" customHeight="1">
      <c r="A6" s="2762"/>
      <c r="B6" s="1331"/>
      <c r="C6" s="73"/>
      <c r="D6" s="73"/>
      <c r="E6" s="73"/>
      <c r="F6" s="2914"/>
      <c r="G6" s="73"/>
      <c r="H6" s="73"/>
      <c r="I6" s="73"/>
      <c r="J6" s="2914"/>
      <c r="K6" s="73"/>
      <c r="L6" s="73"/>
      <c r="M6" s="73"/>
      <c r="N6" s="2914"/>
      <c r="O6" s="73"/>
      <c r="P6" s="73"/>
      <c r="Q6" s="73"/>
      <c r="R6" s="2914"/>
      <c r="S6" s="73"/>
      <c r="T6" s="73"/>
      <c r="U6" s="73"/>
      <c r="V6" s="2915"/>
      <c r="W6" s="2915"/>
      <c r="X6" s="2915"/>
      <c r="Y6" s="2916"/>
    </row>
    <row r="7" spans="1:46" s="2509" customFormat="1" ht="22.5">
      <c r="A7" s="2762" t="s">
        <v>125</v>
      </c>
      <c r="B7" s="1336" t="s">
        <v>998</v>
      </c>
      <c r="C7" s="655" t="s">
        <v>998</v>
      </c>
      <c r="D7" s="655" t="s">
        <v>998</v>
      </c>
      <c r="E7" s="651" t="s">
        <v>998</v>
      </c>
      <c r="F7" s="2917" t="s">
        <v>998</v>
      </c>
      <c r="G7" s="655" t="s">
        <v>998</v>
      </c>
      <c r="H7" s="655" t="s">
        <v>998</v>
      </c>
      <c r="I7" s="651" t="s">
        <v>998</v>
      </c>
      <c r="J7" s="2917" t="s">
        <v>998</v>
      </c>
      <c r="K7" s="655" t="s">
        <v>998</v>
      </c>
      <c r="L7" s="655" t="s">
        <v>998</v>
      </c>
      <c r="M7" s="651" t="s">
        <v>998</v>
      </c>
      <c r="N7" s="2917" t="s">
        <v>998</v>
      </c>
      <c r="O7" s="655" t="s">
        <v>998</v>
      </c>
      <c r="P7" s="655" t="s">
        <v>998</v>
      </c>
      <c r="Q7" s="651" t="s">
        <v>998</v>
      </c>
      <c r="R7" s="2917" t="s">
        <v>998</v>
      </c>
      <c r="S7" s="655" t="s">
        <v>998</v>
      </c>
      <c r="T7" s="655" t="s">
        <v>998</v>
      </c>
      <c r="U7" s="651" t="s">
        <v>998</v>
      </c>
      <c r="V7" s="2902" t="s">
        <v>998</v>
      </c>
      <c r="W7" s="2902" t="s">
        <v>998</v>
      </c>
      <c r="X7" s="2902" t="s">
        <v>998</v>
      </c>
      <c r="Y7" s="2920" t="s">
        <v>998</v>
      </c>
    </row>
    <row r="8" spans="1:46" s="2509" customFormat="1">
      <c r="A8" s="2751" t="s">
        <v>144</v>
      </c>
      <c r="B8" s="2797" t="s">
        <v>999</v>
      </c>
      <c r="C8" s="2157" t="s">
        <v>1000</v>
      </c>
      <c r="D8" s="2157" t="s">
        <v>1001</v>
      </c>
      <c r="E8" s="1751" t="s">
        <v>1002</v>
      </c>
      <c r="F8" s="2797" t="s">
        <v>1003</v>
      </c>
      <c r="G8" s="2157" t="s">
        <v>1004</v>
      </c>
      <c r="H8" s="2157" t="s">
        <v>1005</v>
      </c>
      <c r="I8" s="1751" t="s">
        <v>1006</v>
      </c>
      <c r="J8" s="2797" t="s">
        <v>1007</v>
      </c>
      <c r="K8" s="2157" t="s">
        <v>1008</v>
      </c>
      <c r="L8" s="2157" t="s">
        <v>1009</v>
      </c>
      <c r="M8" s="1751" t="s">
        <v>1010</v>
      </c>
      <c r="N8" s="2797" t="s">
        <v>1011</v>
      </c>
      <c r="O8" s="2157" t="s">
        <v>1012</v>
      </c>
      <c r="P8" s="2157" t="s">
        <v>1013</v>
      </c>
      <c r="Q8" s="1751" t="s">
        <v>1014</v>
      </c>
      <c r="R8" s="2797" t="s">
        <v>1015</v>
      </c>
      <c r="S8" s="2157" t="s">
        <v>1016</v>
      </c>
      <c r="T8" s="2157" t="s">
        <v>1017</v>
      </c>
      <c r="U8" s="1750" t="s">
        <v>1018</v>
      </c>
      <c r="V8" s="2773" t="s">
        <v>1019</v>
      </c>
      <c r="W8" s="2773" t="s">
        <v>1020</v>
      </c>
      <c r="X8" s="2773" t="s">
        <v>1021</v>
      </c>
      <c r="Y8" s="2760" t="s">
        <v>1022</v>
      </c>
    </row>
    <row r="9" spans="1:46" s="2511" customFormat="1" ht="13.5" thickBot="1">
      <c r="A9" s="2140"/>
      <c r="B9" s="1337"/>
      <c r="C9" s="2215"/>
      <c r="D9" s="2215"/>
      <c r="E9" s="2215"/>
      <c r="F9" s="2215"/>
      <c r="G9" s="2215"/>
      <c r="H9" s="2215"/>
      <c r="I9" s="2215"/>
      <c r="J9" s="2215"/>
      <c r="K9" s="2215"/>
      <c r="L9" s="2215"/>
      <c r="M9" s="2215"/>
      <c r="N9" s="2215"/>
      <c r="O9" s="2215"/>
      <c r="P9" s="2215"/>
      <c r="Q9" s="2215"/>
      <c r="R9" s="2215"/>
      <c r="S9" s="2215"/>
      <c r="T9" s="2215"/>
      <c r="U9" s="2215"/>
      <c r="V9" s="1332"/>
      <c r="W9" s="1394"/>
      <c r="X9" s="2528">
        <v>0.75336376038661645</v>
      </c>
      <c r="Y9" s="2529">
        <v>0.80040414036904728</v>
      </c>
      <c r="AF9" s="2509"/>
      <c r="AG9" s="2509"/>
      <c r="AH9" s="2509"/>
      <c r="AI9" s="2509"/>
    </row>
    <row r="10" spans="1:46" s="2512" customFormat="1">
      <c r="A10" s="53">
        <v>1993.01</v>
      </c>
      <c r="B10" s="2211">
        <v>439294</v>
      </c>
      <c r="C10" s="3597">
        <v>81821</v>
      </c>
      <c r="D10" s="3597">
        <v>20443</v>
      </c>
      <c r="E10" s="2212">
        <v>0</v>
      </c>
      <c r="F10" s="2213">
        <v>75458</v>
      </c>
      <c r="G10" s="3597">
        <v>32736</v>
      </c>
      <c r="H10" s="3597">
        <v>6784</v>
      </c>
      <c r="I10" s="2212">
        <v>0</v>
      </c>
      <c r="J10" s="2213">
        <v>347068</v>
      </c>
      <c r="K10" s="3597">
        <v>33767</v>
      </c>
      <c r="L10" s="3597">
        <v>0</v>
      </c>
      <c r="M10" s="2212">
        <v>0</v>
      </c>
      <c r="N10" s="2213">
        <v>5963</v>
      </c>
      <c r="O10" s="3597">
        <v>0</v>
      </c>
      <c r="P10" s="3597">
        <v>12695</v>
      </c>
      <c r="Q10" s="2212">
        <v>0</v>
      </c>
      <c r="R10" s="2213">
        <v>513190</v>
      </c>
      <c r="S10" s="3597">
        <v>180863</v>
      </c>
      <c r="T10" s="3597">
        <v>30650</v>
      </c>
      <c r="U10" s="333">
        <v>0</v>
      </c>
      <c r="V10" s="2518"/>
      <c r="W10" s="2518"/>
      <c r="X10" s="2518"/>
      <c r="Y10" s="2519"/>
      <c r="AF10" s="300"/>
      <c r="AG10" s="300"/>
      <c r="AH10" s="300"/>
      <c r="AI10" s="300"/>
    </row>
    <row r="11" spans="1:46">
      <c r="A11" s="53">
        <f t="shared" ref="A11:A21" si="0">A10+0.01</f>
        <v>1993.02</v>
      </c>
      <c r="B11" s="214">
        <v>326454</v>
      </c>
      <c r="C11" s="3598">
        <v>157439</v>
      </c>
      <c r="D11" s="3598">
        <v>18240</v>
      </c>
      <c r="E11" s="111">
        <v>0</v>
      </c>
      <c r="F11" s="456">
        <v>54755</v>
      </c>
      <c r="G11" s="3598">
        <v>60794</v>
      </c>
      <c r="H11" s="3598">
        <v>5933</v>
      </c>
      <c r="I11" s="71">
        <v>0</v>
      </c>
      <c r="J11" s="456">
        <v>257466</v>
      </c>
      <c r="K11" s="3598">
        <v>71221</v>
      </c>
      <c r="L11" s="3598">
        <v>0</v>
      </c>
      <c r="M11" s="71">
        <v>0</v>
      </c>
      <c r="N11" s="456">
        <v>3885</v>
      </c>
      <c r="O11" s="3598">
        <v>0</v>
      </c>
      <c r="P11" s="3598">
        <v>11611</v>
      </c>
      <c r="Q11" s="71">
        <v>0</v>
      </c>
      <c r="R11" s="111">
        <v>375875</v>
      </c>
      <c r="S11" s="3598">
        <v>288323</v>
      </c>
      <c r="T11" s="3598">
        <v>25217</v>
      </c>
      <c r="U11" s="71">
        <v>0</v>
      </c>
      <c r="V11" s="2518"/>
      <c r="W11" s="2518"/>
      <c r="X11" s="2518"/>
      <c r="Y11" s="2519"/>
    </row>
    <row r="12" spans="1:46">
      <c r="A12" s="53">
        <f t="shared" si="0"/>
        <v>1993.03</v>
      </c>
      <c r="B12" s="214">
        <v>142181</v>
      </c>
      <c r="C12" s="3598">
        <v>128443</v>
      </c>
      <c r="D12" s="3598">
        <v>8375</v>
      </c>
      <c r="E12" s="111">
        <v>14811</v>
      </c>
      <c r="F12" s="456">
        <v>24601</v>
      </c>
      <c r="G12" s="3598">
        <v>50568</v>
      </c>
      <c r="H12" s="3598">
        <v>2731</v>
      </c>
      <c r="I12" s="71">
        <v>3625</v>
      </c>
      <c r="J12" s="456">
        <v>109311</v>
      </c>
      <c r="K12" s="3598">
        <v>55155</v>
      </c>
      <c r="L12" s="3598">
        <v>0</v>
      </c>
      <c r="M12" s="71">
        <v>6847</v>
      </c>
      <c r="N12" s="456">
        <v>4734</v>
      </c>
      <c r="O12" s="3598">
        <v>0</v>
      </c>
      <c r="P12" s="3598">
        <v>5477</v>
      </c>
      <c r="Q12" s="71">
        <v>0</v>
      </c>
      <c r="R12" s="111">
        <v>172072</v>
      </c>
      <c r="S12" s="3598">
        <v>487179</v>
      </c>
      <c r="T12" s="3598">
        <v>9946</v>
      </c>
      <c r="U12" s="71">
        <v>25832</v>
      </c>
      <c r="V12" s="2518"/>
      <c r="W12" s="2518"/>
      <c r="X12" s="2518"/>
      <c r="Y12" s="2519"/>
    </row>
    <row r="13" spans="1:46">
      <c r="A13" s="53">
        <f t="shared" si="0"/>
        <v>1993.04</v>
      </c>
      <c r="B13" s="214">
        <v>391717</v>
      </c>
      <c r="C13" s="3598">
        <v>45062</v>
      </c>
      <c r="D13" s="3598">
        <v>13782</v>
      </c>
      <c r="E13" s="111">
        <v>41522</v>
      </c>
      <c r="F13" s="456">
        <v>71298</v>
      </c>
      <c r="G13" s="3598">
        <v>17689</v>
      </c>
      <c r="H13" s="3598">
        <v>4588</v>
      </c>
      <c r="I13" s="71">
        <v>9605</v>
      </c>
      <c r="J13" s="456">
        <v>310104</v>
      </c>
      <c r="K13" s="3598">
        <v>19353</v>
      </c>
      <c r="L13" s="3598">
        <v>0</v>
      </c>
      <c r="M13" s="71">
        <v>19122</v>
      </c>
      <c r="N13" s="456">
        <v>5092</v>
      </c>
      <c r="O13" s="3598">
        <v>0</v>
      </c>
      <c r="P13" s="3598">
        <v>8722</v>
      </c>
      <c r="Q13" s="71">
        <v>0</v>
      </c>
      <c r="R13" s="111">
        <v>419365</v>
      </c>
      <c r="S13" s="3598">
        <v>405513</v>
      </c>
      <c r="T13" s="3598">
        <v>19586</v>
      </c>
      <c r="U13" s="71">
        <v>62251</v>
      </c>
      <c r="V13" s="2518"/>
      <c r="W13" s="2518"/>
      <c r="X13" s="2518"/>
      <c r="Y13" s="2519"/>
    </row>
    <row r="14" spans="1:46">
      <c r="A14" s="53">
        <f t="shared" si="0"/>
        <v>1993.05</v>
      </c>
      <c r="B14" s="214">
        <v>733836</v>
      </c>
      <c r="C14" s="3598">
        <v>30124</v>
      </c>
      <c r="D14" s="3598">
        <v>7188</v>
      </c>
      <c r="E14" s="111">
        <v>23431</v>
      </c>
      <c r="F14" s="456">
        <v>130903</v>
      </c>
      <c r="G14" s="3598">
        <v>11744</v>
      </c>
      <c r="H14" s="3598">
        <v>2473</v>
      </c>
      <c r="I14" s="71">
        <v>4328</v>
      </c>
      <c r="J14" s="456">
        <v>585011</v>
      </c>
      <c r="K14" s="3598">
        <v>12758</v>
      </c>
      <c r="L14" s="3598">
        <v>0</v>
      </c>
      <c r="M14" s="71">
        <v>11114</v>
      </c>
      <c r="N14" s="456">
        <v>2858</v>
      </c>
      <c r="O14" s="3598">
        <v>0</v>
      </c>
      <c r="P14" s="3598">
        <v>4555</v>
      </c>
      <c r="Q14" s="71">
        <v>0</v>
      </c>
      <c r="R14" s="111">
        <v>854279</v>
      </c>
      <c r="S14" s="3598">
        <v>365678</v>
      </c>
      <c r="T14" s="3598">
        <v>7990</v>
      </c>
      <c r="U14" s="71">
        <v>45061</v>
      </c>
      <c r="V14" s="2518"/>
      <c r="W14" s="2518"/>
      <c r="X14" s="2518"/>
      <c r="Y14" s="2519"/>
    </row>
    <row r="15" spans="1:46">
      <c r="A15" s="53">
        <f t="shared" si="0"/>
        <v>1993.06</v>
      </c>
      <c r="B15" s="214">
        <v>765899</v>
      </c>
      <c r="C15" s="3598">
        <v>24553</v>
      </c>
      <c r="D15" s="3598">
        <v>7663</v>
      </c>
      <c r="E15" s="111">
        <v>23089</v>
      </c>
      <c r="F15" s="456">
        <v>135740</v>
      </c>
      <c r="G15" s="3598">
        <v>9652</v>
      </c>
      <c r="H15" s="3598">
        <v>2644</v>
      </c>
      <c r="I15" s="71">
        <v>3975</v>
      </c>
      <c r="J15" s="456">
        <v>608690</v>
      </c>
      <c r="K15" s="3598">
        <v>10536</v>
      </c>
      <c r="L15" s="3598">
        <v>0</v>
      </c>
      <c r="M15" s="71">
        <v>10892</v>
      </c>
      <c r="N15" s="456">
        <v>6059</v>
      </c>
      <c r="O15" s="3598">
        <v>0</v>
      </c>
      <c r="P15" s="3598">
        <v>4794</v>
      </c>
      <c r="Q15" s="71">
        <v>0</v>
      </c>
      <c r="R15" s="111">
        <v>979155</v>
      </c>
      <c r="S15" s="3598">
        <v>266697</v>
      </c>
      <c r="T15" s="3598">
        <v>7663</v>
      </c>
      <c r="U15" s="71">
        <v>23089</v>
      </c>
      <c r="V15" s="2518"/>
      <c r="W15" s="2518"/>
      <c r="X15" s="2518"/>
      <c r="Y15" s="2519"/>
    </row>
    <row r="16" spans="1:46">
      <c r="A16" s="53">
        <f t="shared" si="0"/>
        <v>1993.07</v>
      </c>
      <c r="B16" s="214">
        <v>736614</v>
      </c>
      <c r="C16" s="3598">
        <v>7971</v>
      </c>
      <c r="D16" s="3598">
        <v>5612</v>
      </c>
      <c r="E16" s="111">
        <v>28110</v>
      </c>
      <c r="F16" s="456">
        <v>130284</v>
      </c>
      <c r="G16" s="3598">
        <v>4358</v>
      </c>
      <c r="H16" s="3598">
        <v>1986</v>
      </c>
      <c r="I16" s="71">
        <v>4778</v>
      </c>
      <c r="J16" s="456">
        <v>587619</v>
      </c>
      <c r="K16" s="3598">
        <v>3301</v>
      </c>
      <c r="L16" s="3598">
        <v>0</v>
      </c>
      <c r="M16" s="71">
        <v>13358</v>
      </c>
      <c r="N16" s="456">
        <v>4405</v>
      </c>
      <c r="O16" s="3598">
        <v>0</v>
      </c>
      <c r="P16" s="3598">
        <v>3478</v>
      </c>
      <c r="Q16" s="71">
        <v>0</v>
      </c>
      <c r="R16" s="111">
        <v>981837</v>
      </c>
      <c r="S16" s="3598">
        <v>199080</v>
      </c>
      <c r="T16" s="3598">
        <v>5612</v>
      </c>
      <c r="U16" s="71">
        <v>28110</v>
      </c>
      <c r="V16" s="2518"/>
      <c r="W16" s="2518"/>
      <c r="X16" s="2518"/>
      <c r="Y16" s="2519"/>
    </row>
    <row r="17" spans="1:25">
      <c r="A17" s="53">
        <f t="shared" si="0"/>
        <v>1993.08</v>
      </c>
      <c r="B17" s="214">
        <v>753553</v>
      </c>
      <c r="C17" s="3598">
        <v>0</v>
      </c>
      <c r="D17" s="3598">
        <v>2151</v>
      </c>
      <c r="E17" s="111">
        <v>29183</v>
      </c>
      <c r="F17" s="456">
        <v>134477</v>
      </c>
      <c r="G17" s="3598">
        <v>0</v>
      </c>
      <c r="H17" s="3598">
        <v>740</v>
      </c>
      <c r="I17" s="71">
        <v>4426</v>
      </c>
      <c r="J17" s="456">
        <v>599587</v>
      </c>
      <c r="K17" s="3598">
        <v>0</v>
      </c>
      <c r="L17" s="3598">
        <v>1376</v>
      </c>
      <c r="M17" s="71">
        <v>13938</v>
      </c>
      <c r="N17" s="456">
        <v>2790</v>
      </c>
      <c r="O17" s="3598">
        <v>0</v>
      </c>
      <c r="P17" s="3598">
        <v>0</v>
      </c>
      <c r="Q17" s="71">
        <v>0</v>
      </c>
      <c r="R17" s="111">
        <v>987468</v>
      </c>
      <c r="S17" s="3598">
        <v>189738</v>
      </c>
      <c r="T17" s="3598">
        <v>4421</v>
      </c>
      <c r="U17" s="71">
        <v>29183</v>
      </c>
      <c r="V17" s="2518"/>
      <c r="W17" s="2518"/>
      <c r="X17" s="2518"/>
      <c r="Y17" s="2519"/>
    </row>
    <row r="18" spans="1:25">
      <c r="A18" s="53">
        <f t="shared" si="0"/>
        <v>1993.09</v>
      </c>
      <c r="B18" s="214">
        <v>565909</v>
      </c>
      <c r="C18" s="3598">
        <v>16625</v>
      </c>
      <c r="D18" s="3598">
        <v>0</v>
      </c>
      <c r="E18" s="111">
        <v>0</v>
      </c>
      <c r="F18" s="456">
        <v>101385</v>
      </c>
      <c r="G18" s="3598">
        <v>6839</v>
      </c>
      <c r="H18" s="3598">
        <v>0</v>
      </c>
      <c r="I18" s="71">
        <v>0</v>
      </c>
      <c r="J18" s="456">
        <v>449488</v>
      </c>
      <c r="K18" s="3598">
        <v>7367</v>
      </c>
      <c r="L18" s="3598">
        <v>0</v>
      </c>
      <c r="M18" s="71">
        <v>0</v>
      </c>
      <c r="N18" s="456">
        <v>3981</v>
      </c>
      <c r="O18" s="3598">
        <v>0</v>
      </c>
      <c r="P18" s="3598">
        <v>0</v>
      </c>
      <c r="Q18" s="71">
        <v>0</v>
      </c>
      <c r="R18" s="111">
        <v>773050</v>
      </c>
      <c r="S18" s="3598">
        <v>187394</v>
      </c>
      <c r="T18" s="3598">
        <v>4139</v>
      </c>
      <c r="U18" s="71">
        <v>0</v>
      </c>
      <c r="V18" s="2518"/>
      <c r="W18" s="2518"/>
      <c r="X18" s="2518"/>
      <c r="Y18" s="2519"/>
    </row>
    <row r="19" spans="1:25">
      <c r="A19" s="53">
        <f t="shared" si="0"/>
        <v>1993.1</v>
      </c>
      <c r="B19" s="214">
        <v>666348</v>
      </c>
      <c r="C19" s="3598">
        <v>19659</v>
      </c>
      <c r="D19" s="3598">
        <v>0</v>
      </c>
      <c r="E19" s="111">
        <v>0</v>
      </c>
      <c r="F19" s="456">
        <v>120004</v>
      </c>
      <c r="G19" s="3598">
        <v>7728</v>
      </c>
      <c r="H19" s="3598">
        <v>0</v>
      </c>
      <c r="I19" s="71">
        <v>0</v>
      </c>
      <c r="J19" s="456">
        <v>529878</v>
      </c>
      <c r="K19" s="3598">
        <v>8195</v>
      </c>
      <c r="L19" s="3598">
        <v>0</v>
      </c>
      <c r="M19" s="71">
        <v>0</v>
      </c>
      <c r="N19" s="456">
        <v>4156</v>
      </c>
      <c r="O19" s="3598">
        <v>0</v>
      </c>
      <c r="P19" s="3598">
        <v>0</v>
      </c>
      <c r="Q19" s="71">
        <v>0</v>
      </c>
      <c r="R19" s="111">
        <v>855567</v>
      </c>
      <c r="S19" s="3598">
        <v>132675</v>
      </c>
      <c r="T19" s="3598">
        <v>2391</v>
      </c>
      <c r="U19" s="71">
        <v>0</v>
      </c>
      <c r="V19" s="2518"/>
      <c r="W19" s="2518"/>
      <c r="X19" s="2518"/>
      <c r="Y19" s="2519"/>
    </row>
    <row r="20" spans="1:25">
      <c r="A20" s="53">
        <f t="shared" si="0"/>
        <v>1993.11</v>
      </c>
      <c r="B20" s="214">
        <v>662304</v>
      </c>
      <c r="C20" s="3598">
        <v>24429</v>
      </c>
      <c r="D20" s="3598">
        <v>0</v>
      </c>
      <c r="E20" s="111">
        <v>0</v>
      </c>
      <c r="F20" s="456">
        <v>119017</v>
      </c>
      <c r="G20" s="3598">
        <v>9406</v>
      </c>
      <c r="H20" s="3598">
        <v>0</v>
      </c>
      <c r="I20" s="71">
        <v>0</v>
      </c>
      <c r="J20" s="456">
        <v>526772</v>
      </c>
      <c r="K20" s="3598">
        <v>10704</v>
      </c>
      <c r="L20" s="3598">
        <v>0</v>
      </c>
      <c r="M20" s="71">
        <v>0</v>
      </c>
      <c r="N20" s="456">
        <v>3941</v>
      </c>
      <c r="O20" s="3598">
        <v>0</v>
      </c>
      <c r="P20" s="3598">
        <v>0</v>
      </c>
      <c r="Q20" s="71">
        <v>0</v>
      </c>
      <c r="R20" s="111">
        <v>831711</v>
      </c>
      <c r="S20" s="3598">
        <v>132498</v>
      </c>
      <c r="T20" s="3598">
        <v>542</v>
      </c>
      <c r="U20" s="71">
        <v>0</v>
      </c>
      <c r="V20" s="2518"/>
      <c r="W20" s="2518"/>
      <c r="X20" s="2518"/>
      <c r="Y20" s="2519"/>
    </row>
    <row r="21" spans="1:25">
      <c r="A21" s="53">
        <f t="shared" si="0"/>
        <v>1993.12</v>
      </c>
      <c r="B21" s="214">
        <v>433076</v>
      </c>
      <c r="C21" s="3598">
        <v>15012</v>
      </c>
      <c r="D21" s="3598">
        <v>0</v>
      </c>
      <c r="E21" s="111">
        <v>0</v>
      </c>
      <c r="F21" s="456">
        <v>77491</v>
      </c>
      <c r="G21" s="3598">
        <v>6161</v>
      </c>
      <c r="H21" s="3598">
        <v>0</v>
      </c>
      <c r="I21" s="71">
        <v>0</v>
      </c>
      <c r="J21" s="456">
        <v>339198</v>
      </c>
      <c r="K21" s="3598">
        <v>6669</v>
      </c>
      <c r="L21" s="3598">
        <v>0</v>
      </c>
      <c r="M21" s="71">
        <v>0</v>
      </c>
      <c r="N21" s="456">
        <v>3190</v>
      </c>
      <c r="O21" s="3598">
        <v>0</v>
      </c>
      <c r="P21" s="3598">
        <v>0</v>
      </c>
      <c r="Q21" s="71">
        <v>0</v>
      </c>
      <c r="R21" s="111">
        <v>542317</v>
      </c>
      <c r="S21" s="3598">
        <v>94445</v>
      </c>
      <c r="T21" s="3598">
        <v>0</v>
      </c>
      <c r="U21" s="71">
        <v>0</v>
      </c>
      <c r="V21" s="2518"/>
      <c r="W21" s="2518"/>
      <c r="X21" s="2518"/>
      <c r="Y21" s="2519"/>
    </row>
    <row r="22" spans="1:25">
      <c r="A22" s="53">
        <f t="shared" ref="A22:A85" si="1">A10+1</f>
        <v>1994.01</v>
      </c>
      <c r="B22" s="214">
        <v>495831</v>
      </c>
      <c r="C22" s="3598">
        <v>44314</v>
      </c>
      <c r="D22" s="3598">
        <v>11389</v>
      </c>
      <c r="E22" s="111">
        <v>0</v>
      </c>
      <c r="F22" s="456">
        <v>88430</v>
      </c>
      <c r="G22" s="3598">
        <v>17894</v>
      </c>
      <c r="H22" s="3598">
        <v>3469</v>
      </c>
      <c r="I22" s="71">
        <v>0</v>
      </c>
      <c r="J22" s="456">
        <v>394646</v>
      </c>
      <c r="K22" s="3598">
        <v>18624</v>
      </c>
      <c r="L22" s="3598">
        <v>0</v>
      </c>
      <c r="M22" s="71">
        <v>0</v>
      </c>
      <c r="N22" s="456">
        <v>2515</v>
      </c>
      <c r="O22" s="3598">
        <v>0</v>
      </c>
      <c r="P22" s="3598">
        <v>7169</v>
      </c>
      <c r="Q22" s="71">
        <v>0</v>
      </c>
      <c r="R22" s="111">
        <v>652926</v>
      </c>
      <c r="S22" s="3598">
        <v>116191</v>
      </c>
      <c r="T22" s="3598">
        <v>11389</v>
      </c>
      <c r="U22" s="71">
        <v>0</v>
      </c>
      <c r="V22" s="2518"/>
      <c r="W22" s="2518"/>
      <c r="X22" s="2518"/>
      <c r="Y22" s="2519"/>
    </row>
    <row r="23" spans="1:25">
      <c r="A23" s="53">
        <f t="shared" si="1"/>
        <v>1994.02</v>
      </c>
      <c r="B23" s="214">
        <v>458697</v>
      </c>
      <c r="C23" s="3598">
        <v>103667</v>
      </c>
      <c r="D23" s="3598">
        <v>12097</v>
      </c>
      <c r="E23" s="111">
        <v>0</v>
      </c>
      <c r="F23" s="456">
        <v>84399</v>
      </c>
      <c r="G23" s="3598">
        <v>41801</v>
      </c>
      <c r="H23" s="3598">
        <v>3840</v>
      </c>
      <c r="I23" s="71">
        <v>0</v>
      </c>
      <c r="J23" s="456">
        <v>374935</v>
      </c>
      <c r="K23" s="3598">
        <v>44597</v>
      </c>
      <c r="L23" s="3598">
        <v>0</v>
      </c>
      <c r="M23" s="71">
        <v>0</v>
      </c>
      <c r="N23" s="456">
        <v>3573</v>
      </c>
      <c r="O23" s="3598">
        <v>0</v>
      </c>
      <c r="P23" s="3598">
        <v>7563</v>
      </c>
      <c r="Q23" s="71">
        <v>0</v>
      </c>
      <c r="R23" s="111">
        <v>578503</v>
      </c>
      <c r="S23" s="3598">
        <v>151579</v>
      </c>
      <c r="T23" s="3598">
        <v>14702</v>
      </c>
      <c r="U23" s="71">
        <v>0</v>
      </c>
      <c r="V23" s="2518"/>
      <c r="W23" s="2518"/>
      <c r="X23" s="2518"/>
      <c r="Y23" s="2519"/>
    </row>
    <row r="24" spans="1:25">
      <c r="A24" s="53">
        <f t="shared" si="1"/>
        <v>1994.03</v>
      </c>
      <c r="B24" s="214">
        <v>191766</v>
      </c>
      <c r="C24" s="3598">
        <v>133097</v>
      </c>
      <c r="D24" s="3598">
        <v>15523</v>
      </c>
      <c r="E24" s="111">
        <v>29948</v>
      </c>
      <c r="F24" s="456">
        <v>34930</v>
      </c>
      <c r="G24" s="3598">
        <v>53834</v>
      </c>
      <c r="H24" s="3598">
        <v>4763</v>
      </c>
      <c r="I24" s="71">
        <v>4704</v>
      </c>
      <c r="J24" s="456">
        <v>152105</v>
      </c>
      <c r="K24" s="3598">
        <v>60770</v>
      </c>
      <c r="L24" s="3598">
        <v>0</v>
      </c>
      <c r="M24" s="71">
        <v>13712</v>
      </c>
      <c r="N24" s="456">
        <v>2896</v>
      </c>
      <c r="O24" s="3598">
        <v>0</v>
      </c>
      <c r="P24" s="3598">
        <v>10218</v>
      </c>
      <c r="Q24" s="71">
        <v>0</v>
      </c>
      <c r="R24" s="111">
        <v>283493</v>
      </c>
      <c r="S24" s="3598">
        <v>449810</v>
      </c>
      <c r="T24" s="3598">
        <v>17597</v>
      </c>
      <c r="U24" s="71">
        <v>29948</v>
      </c>
      <c r="V24" s="2518"/>
      <c r="W24" s="2518"/>
      <c r="X24" s="2518"/>
      <c r="Y24" s="2519"/>
    </row>
    <row r="25" spans="1:25">
      <c r="A25" s="53">
        <f t="shared" si="1"/>
        <v>1994.04</v>
      </c>
      <c r="B25" s="214">
        <v>332837</v>
      </c>
      <c r="C25" s="3598">
        <v>94221</v>
      </c>
      <c r="D25" s="3598">
        <v>9978</v>
      </c>
      <c r="E25" s="111">
        <v>49080</v>
      </c>
      <c r="F25" s="456">
        <v>60201</v>
      </c>
      <c r="G25" s="3598">
        <v>38158</v>
      </c>
      <c r="H25" s="3598">
        <v>2994</v>
      </c>
      <c r="I25" s="71">
        <v>7876</v>
      </c>
      <c r="J25" s="456">
        <v>264533</v>
      </c>
      <c r="K25" s="3598">
        <v>41469</v>
      </c>
      <c r="L25" s="3598">
        <v>0</v>
      </c>
      <c r="M25" s="71">
        <v>32778</v>
      </c>
      <c r="N25" s="456">
        <v>3303</v>
      </c>
      <c r="O25" s="3598">
        <v>0</v>
      </c>
      <c r="P25" s="3598">
        <v>6839</v>
      </c>
      <c r="Q25" s="71">
        <v>0</v>
      </c>
      <c r="R25" s="111">
        <v>392086</v>
      </c>
      <c r="S25" s="3598">
        <v>493393</v>
      </c>
      <c r="T25" s="3598">
        <v>12342</v>
      </c>
      <c r="U25" s="71">
        <v>49080</v>
      </c>
      <c r="V25" s="2518"/>
      <c r="W25" s="2518"/>
      <c r="X25" s="2518"/>
      <c r="Y25" s="2519"/>
    </row>
    <row r="26" spans="1:25">
      <c r="A26" s="53">
        <f t="shared" si="1"/>
        <v>1994.05</v>
      </c>
      <c r="B26" s="214">
        <v>664623</v>
      </c>
      <c r="C26" s="3598">
        <v>70558</v>
      </c>
      <c r="D26" s="3598">
        <v>9347</v>
      </c>
      <c r="E26" s="111">
        <v>55369</v>
      </c>
      <c r="F26" s="456">
        <v>121721</v>
      </c>
      <c r="G26" s="3598">
        <v>28734</v>
      </c>
      <c r="H26" s="3598">
        <v>2732</v>
      </c>
      <c r="I26" s="71">
        <v>8472</v>
      </c>
      <c r="J26" s="456">
        <v>555241</v>
      </c>
      <c r="K26" s="3598">
        <v>30254</v>
      </c>
      <c r="L26" s="3598">
        <v>0</v>
      </c>
      <c r="M26" s="71">
        <v>26158</v>
      </c>
      <c r="N26" s="456">
        <v>4418</v>
      </c>
      <c r="O26" s="3598">
        <v>0</v>
      </c>
      <c r="P26" s="3598">
        <v>6042</v>
      </c>
      <c r="Q26" s="71">
        <v>0</v>
      </c>
      <c r="R26" s="111">
        <v>796918</v>
      </c>
      <c r="S26" s="3598">
        <v>432952</v>
      </c>
      <c r="T26" s="3598">
        <v>10958</v>
      </c>
      <c r="U26" s="71">
        <v>55369</v>
      </c>
      <c r="V26" s="2518"/>
      <c r="W26" s="2518"/>
      <c r="X26" s="2518"/>
      <c r="Y26" s="2519"/>
    </row>
    <row r="27" spans="1:25">
      <c r="A27" s="53">
        <f t="shared" si="1"/>
        <v>1994.06</v>
      </c>
      <c r="B27" s="214">
        <v>736413</v>
      </c>
      <c r="C27" s="3598">
        <v>27923</v>
      </c>
      <c r="D27" s="3598">
        <v>8899</v>
      </c>
      <c r="E27" s="111">
        <v>51731</v>
      </c>
      <c r="F27" s="456">
        <v>125242</v>
      </c>
      <c r="G27" s="3598">
        <v>11295</v>
      </c>
      <c r="H27" s="3598">
        <v>2497</v>
      </c>
      <c r="I27" s="71">
        <v>8051</v>
      </c>
      <c r="J27" s="456">
        <v>589962</v>
      </c>
      <c r="K27" s="3598">
        <v>11612</v>
      </c>
      <c r="L27" s="3598">
        <v>0</v>
      </c>
      <c r="M27" s="71">
        <v>25240</v>
      </c>
      <c r="N27" s="456">
        <v>4237</v>
      </c>
      <c r="O27" s="3598">
        <v>0</v>
      </c>
      <c r="P27" s="3598">
        <v>5263</v>
      </c>
      <c r="Q27" s="71">
        <v>0</v>
      </c>
      <c r="R27" s="111">
        <v>954752</v>
      </c>
      <c r="S27" s="3598">
        <v>277142</v>
      </c>
      <c r="T27" s="3598">
        <v>9549</v>
      </c>
      <c r="U27" s="71">
        <v>51731</v>
      </c>
      <c r="V27" s="2518"/>
      <c r="W27" s="2518"/>
      <c r="X27" s="2518"/>
      <c r="Y27" s="2519"/>
    </row>
    <row r="28" spans="1:25">
      <c r="A28" s="53">
        <f t="shared" si="1"/>
        <v>1994.07</v>
      </c>
      <c r="B28" s="214">
        <v>751246</v>
      </c>
      <c r="C28" s="3598">
        <v>40827</v>
      </c>
      <c r="D28" s="3598">
        <v>8625</v>
      </c>
      <c r="E28" s="111">
        <v>52618</v>
      </c>
      <c r="F28" s="456">
        <v>128524</v>
      </c>
      <c r="G28" s="3598">
        <v>16800</v>
      </c>
      <c r="H28" s="3598">
        <v>2770</v>
      </c>
      <c r="I28" s="71">
        <v>8147</v>
      </c>
      <c r="J28" s="456">
        <v>602968</v>
      </c>
      <c r="K28" s="3598">
        <v>17448</v>
      </c>
      <c r="L28" s="3598">
        <v>0</v>
      </c>
      <c r="M28" s="71">
        <v>25118</v>
      </c>
      <c r="N28" s="456">
        <v>3873</v>
      </c>
      <c r="O28" s="3598">
        <v>0</v>
      </c>
      <c r="P28" s="3598">
        <v>5392</v>
      </c>
      <c r="Q28" s="71">
        <v>0</v>
      </c>
      <c r="R28" s="111">
        <v>960490</v>
      </c>
      <c r="S28" s="3598">
        <v>313411</v>
      </c>
      <c r="T28" s="3598">
        <v>9669</v>
      </c>
      <c r="U28" s="71">
        <v>52618</v>
      </c>
      <c r="V28" s="2518"/>
      <c r="W28" s="2518"/>
      <c r="X28" s="2518"/>
      <c r="Y28" s="2519"/>
    </row>
    <row r="29" spans="1:25">
      <c r="A29" s="53">
        <f t="shared" si="1"/>
        <v>1994.08</v>
      </c>
      <c r="B29" s="214">
        <v>742737</v>
      </c>
      <c r="C29" s="3598">
        <v>30760</v>
      </c>
      <c r="D29" s="3598">
        <v>7610</v>
      </c>
      <c r="E29" s="111">
        <v>44935</v>
      </c>
      <c r="F29" s="456">
        <v>127694</v>
      </c>
      <c r="G29" s="3598">
        <v>12642</v>
      </c>
      <c r="H29" s="3598">
        <v>2250</v>
      </c>
      <c r="I29" s="71">
        <v>10533</v>
      </c>
      <c r="J29" s="456">
        <v>595581</v>
      </c>
      <c r="K29" s="3598">
        <v>13016</v>
      </c>
      <c r="L29" s="3598">
        <v>0</v>
      </c>
      <c r="M29" s="71">
        <v>21621</v>
      </c>
      <c r="N29" s="456">
        <v>4861</v>
      </c>
      <c r="O29" s="3598">
        <v>0</v>
      </c>
      <c r="P29" s="3598">
        <v>5157</v>
      </c>
      <c r="Q29" s="71">
        <v>0</v>
      </c>
      <c r="R29" s="111">
        <v>919079</v>
      </c>
      <c r="S29" s="3598">
        <v>263798</v>
      </c>
      <c r="T29" s="3598">
        <v>7872</v>
      </c>
      <c r="U29" s="71">
        <v>44935</v>
      </c>
      <c r="V29" s="2518"/>
      <c r="W29" s="2518"/>
      <c r="X29" s="2518"/>
      <c r="Y29" s="2519"/>
    </row>
    <row r="30" spans="1:25">
      <c r="A30" s="53">
        <f t="shared" si="1"/>
        <v>1994.09</v>
      </c>
      <c r="B30" s="214">
        <v>784628</v>
      </c>
      <c r="C30" s="3598">
        <v>32129</v>
      </c>
      <c r="D30" s="3598">
        <v>6715</v>
      </c>
      <c r="E30" s="111">
        <v>0</v>
      </c>
      <c r="F30" s="456">
        <v>134183</v>
      </c>
      <c r="G30" s="3598">
        <v>12339</v>
      </c>
      <c r="H30" s="3598">
        <v>2175</v>
      </c>
      <c r="I30" s="71">
        <v>0</v>
      </c>
      <c r="J30" s="456">
        <v>630420</v>
      </c>
      <c r="K30" s="3598">
        <v>13179</v>
      </c>
      <c r="L30" s="3598">
        <v>0</v>
      </c>
      <c r="M30" s="71">
        <v>0</v>
      </c>
      <c r="N30" s="456">
        <v>4330</v>
      </c>
      <c r="O30" s="3598">
        <v>0</v>
      </c>
      <c r="P30" s="3598">
        <v>4278</v>
      </c>
      <c r="Q30" s="71">
        <v>0</v>
      </c>
      <c r="R30" s="111">
        <v>1012037</v>
      </c>
      <c r="S30" s="3598">
        <v>238232</v>
      </c>
      <c r="T30" s="3598">
        <v>6715</v>
      </c>
      <c r="U30" s="71">
        <v>0</v>
      </c>
      <c r="V30" s="2518"/>
      <c r="W30" s="2518"/>
      <c r="X30" s="2518"/>
      <c r="Y30" s="2519"/>
    </row>
    <row r="31" spans="1:25">
      <c r="A31" s="53">
        <f t="shared" si="1"/>
        <v>1994.1</v>
      </c>
      <c r="B31" s="214">
        <v>787544</v>
      </c>
      <c r="C31" s="3598">
        <v>31606</v>
      </c>
      <c r="D31" s="3598">
        <v>3855</v>
      </c>
      <c r="E31" s="111">
        <v>0</v>
      </c>
      <c r="F31" s="456">
        <v>134990</v>
      </c>
      <c r="G31" s="3598">
        <v>13049</v>
      </c>
      <c r="H31" s="3598">
        <v>1148</v>
      </c>
      <c r="I31" s="71">
        <v>0</v>
      </c>
      <c r="J31" s="456">
        <v>634419</v>
      </c>
      <c r="K31" s="3598">
        <v>13148</v>
      </c>
      <c r="L31" s="3598">
        <v>0</v>
      </c>
      <c r="M31" s="71">
        <v>0</v>
      </c>
      <c r="N31" s="456">
        <v>3669</v>
      </c>
      <c r="O31" s="3598">
        <v>0</v>
      </c>
      <c r="P31" s="3598">
        <v>2440</v>
      </c>
      <c r="Q31" s="71">
        <v>0</v>
      </c>
      <c r="R31" s="111">
        <v>937688</v>
      </c>
      <c r="S31" s="3598">
        <v>302370</v>
      </c>
      <c r="T31" s="3598">
        <v>4623</v>
      </c>
      <c r="U31" s="71">
        <v>0</v>
      </c>
      <c r="V31" s="2518"/>
      <c r="W31" s="2518"/>
      <c r="X31" s="2518"/>
      <c r="Y31" s="2519"/>
    </row>
    <row r="32" spans="1:25">
      <c r="A32" s="53">
        <f t="shared" si="1"/>
        <v>1994.11</v>
      </c>
      <c r="B32" s="214">
        <v>734824</v>
      </c>
      <c r="C32" s="3598">
        <v>32522</v>
      </c>
      <c r="D32" s="3598">
        <v>5398</v>
      </c>
      <c r="E32" s="111">
        <v>0</v>
      </c>
      <c r="F32" s="456">
        <v>126698</v>
      </c>
      <c r="G32" s="3598">
        <v>13096</v>
      </c>
      <c r="H32" s="3598">
        <v>1578</v>
      </c>
      <c r="I32" s="71">
        <v>0</v>
      </c>
      <c r="J32" s="456">
        <v>588704</v>
      </c>
      <c r="K32" s="3598">
        <v>13982</v>
      </c>
      <c r="L32" s="3598">
        <v>0</v>
      </c>
      <c r="M32" s="71">
        <v>0</v>
      </c>
      <c r="N32" s="456">
        <v>6149</v>
      </c>
      <c r="O32" s="3598">
        <v>0</v>
      </c>
      <c r="P32" s="3598">
        <v>2968</v>
      </c>
      <c r="Q32" s="71">
        <v>0</v>
      </c>
      <c r="R32" s="111">
        <v>897102</v>
      </c>
      <c r="S32" s="3598">
        <v>182923</v>
      </c>
      <c r="T32" s="3598">
        <v>5398</v>
      </c>
      <c r="U32" s="71">
        <v>0</v>
      </c>
      <c r="V32" s="2518"/>
      <c r="W32" s="2518"/>
      <c r="X32" s="2518"/>
      <c r="Y32" s="2519"/>
    </row>
    <row r="33" spans="1:25">
      <c r="A33" s="53">
        <f t="shared" si="1"/>
        <v>1994.12</v>
      </c>
      <c r="B33" s="214">
        <v>414647</v>
      </c>
      <c r="C33" s="3598">
        <v>8175</v>
      </c>
      <c r="D33" s="3598">
        <v>7036</v>
      </c>
      <c r="E33" s="111">
        <v>0</v>
      </c>
      <c r="F33" s="456">
        <v>69846</v>
      </c>
      <c r="G33" s="3598">
        <v>3330</v>
      </c>
      <c r="H33" s="3598">
        <v>2176</v>
      </c>
      <c r="I33" s="71">
        <v>0</v>
      </c>
      <c r="J33" s="456">
        <v>332641</v>
      </c>
      <c r="K33" s="3598">
        <v>3482</v>
      </c>
      <c r="L33" s="3598">
        <v>0</v>
      </c>
      <c r="M33" s="71">
        <v>0</v>
      </c>
      <c r="N33" s="456">
        <v>4139</v>
      </c>
      <c r="O33" s="3598">
        <v>0</v>
      </c>
      <c r="P33" s="3598">
        <v>4192</v>
      </c>
      <c r="Q33" s="71">
        <v>0</v>
      </c>
      <c r="R33" s="111">
        <v>520343</v>
      </c>
      <c r="S33" s="3598">
        <v>131236</v>
      </c>
      <c r="T33" s="3598">
        <v>10803</v>
      </c>
      <c r="U33" s="71">
        <v>0</v>
      </c>
      <c r="V33" s="2518"/>
      <c r="W33" s="2518"/>
      <c r="X33" s="2518"/>
      <c r="Y33" s="2519"/>
    </row>
    <row r="34" spans="1:25">
      <c r="A34" s="53">
        <f t="shared" si="1"/>
        <v>1995.01</v>
      </c>
      <c r="B34" s="214">
        <v>566521</v>
      </c>
      <c r="C34" s="3598">
        <v>113984</v>
      </c>
      <c r="D34" s="3598">
        <v>14415</v>
      </c>
      <c r="E34" s="111">
        <v>0</v>
      </c>
      <c r="F34" s="456">
        <v>93841</v>
      </c>
      <c r="G34" s="3598">
        <v>44797</v>
      </c>
      <c r="H34" s="3598">
        <v>4806</v>
      </c>
      <c r="I34" s="71">
        <v>0</v>
      </c>
      <c r="J34" s="456">
        <v>435834</v>
      </c>
      <c r="K34" s="3598">
        <v>50766</v>
      </c>
      <c r="L34" s="3598">
        <v>0</v>
      </c>
      <c r="M34" s="71">
        <v>0</v>
      </c>
      <c r="N34" s="456">
        <v>3212</v>
      </c>
      <c r="O34" s="3598">
        <v>0</v>
      </c>
      <c r="P34" s="3598">
        <v>9624</v>
      </c>
      <c r="Q34" s="71">
        <v>0</v>
      </c>
      <c r="R34" s="111">
        <v>666081</v>
      </c>
      <c r="S34" s="3598">
        <v>152262</v>
      </c>
      <c r="T34" s="3598">
        <v>24368</v>
      </c>
      <c r="U34" s="71">
        <v>0</v>
      </c>
      <c r="V34" s="2518"/>
      <c r="W34" s="2518"/>
      <c r="X34" s="2518"/>
      <c r="Y34" s="2519"/>
    </row>
    <row r="35" spans="1:25">
      <c r="A35" s="53">
        <f t="shared" si="1"/>
        <v>1995.02</v>
      </c>
      <c r="B35" s="214">
        <v>385956</v>
      </c>
      <c r="C35" s="3598">
        <v>164283</v>
      </c>
      <c r="D35" s="3598">
        <v>11367</v>
      </c>
      <c r="E35" s="111">
        <v>0</v>
      </c>
      <c r="F35" s="456">
        <v>66503</v>
      </c>
      <c r="G35" s="3598">
        <v>65029</v>
      </c>
      <c r="H35" s="3598">
        <v>3753</v>
      </c>
      <c r="I35" s="71">
        <v>0</v>
      </c>
      <c r="J35" s="456">
        <v>307496</v>
      </c>
      <c r="K35" s="3598">
        <v>75247</v>
      </c>
      <c r="L35" s="3598">
        <v>0</v>
      </c>
      <c r="M35" s="71">
        <v>0</v>
      </c>
      <c r="N35" s="456">
        <v>4263</v>
      </c>
      <c r="O35" s="3598">
        <v>0</v>
      </c>
      <c r="P35" s="3598">
        <v>7437</v>
      </c>
      <c r="Q35" s="71">
        <v>0</v>
      </c>
      <c r="R35" s="111">
        <v>471777</v>
      </c>
      <c r="S35" s="3598">
        <v>296323</v>
      </c>
      <c r="T35" s="3598">
        <v>20304</v>
      </c>
      <c r="U35" s="71">
        <v>0</v>
      </c>
      <c r="V35" s="2518"/>
      <c r="W35" s="2518"/>
      <c r="X35" s="2518"/>
      <c r="Y35" s="2519"/>
    </row>
    <row r="36" spans="1:25">
      <c r="A36" s="53">
        <f t="shared" si="1"/>
        <v>1995.03</v>
      </c>
      <c r="B36" s="214">
        <v>148630</v>
      </c>
      <c r="C36" s="3598">
        <v>240431</v>
      </c>
      <c r="D36" s="3598">
        <v>10722</v>
      </c>
      <c r="E36" s="111">
        <v>38908</v>
      </c>
      <c r="F36" s="456">
        <v>25385</v>
      </c>
      <c r="G36" s="3598">
        <v>96442</v>
      </c>
      <c r="H36" s="3598">
        <v>3630</v>
      </c>
      <c r="I36" s="71">
        <v>6128</v>
      </c>
      <c r="J36" s="456">
        <v>115555</v>
      </c>
      <c r="K36" s="3598">
        <v>120874</v>
      </c>
      <c r="L36" s="3598">
        <v>0</v>
      </c>
      <c r="M36" s="71">
        <v>18003</v>
      </c>
      <c r="N36" s="456">
        <v>5714</v>
      </c>
      <c r="O36" s="3598">
        <v>23</v>
      </c>
      <c r="P36" s="3598">
        <v>7027</v>
      </c>
      <c r="Q36" s="71">
        <v>0</v>
      </c>
      <c r="R36" s="111">
        <v>243223</v>
      </c>
      <c r="S36" s="3598">
        <v>664903</v>
      </c>
      <c r="T36" s="3598">
        <v>15478</v>
      </c>
      <c r="U36" s="71">
        <v>38908</v>
      </c>
      <c r="V36" s="2518"/>
      <c r="W36" s="2518"/>
      <c r="X36" s="2518"/>
      <c r="Y36" s="2519"/>
    </row>
    <row r="37" spans="1:25">
      <c r="A37" s="53">
        <f t="shared" si="1"/>
        <v>1995.04</v>
      </c>
      <c r="B37" s="214">
        <v>354996</v>
      </c>
      <c r="C37" s="3598">
        <v>155609</v>
      </c>
      <c r="D37" s="3598">
        <v>6815</v>
      </c>
      <c r="E37" s="111">
        <v>57751</v>
      </c>
      <c r="F37" s="456">
        <v>63976</v>
      </c>
      <c r="G37" s="3598">
        <v>68479</v>
      </c>
      <c r="H37" s="3598">
        <v>2328</v>
      </c>
      <c r="I37" s="71">
        <v>8876</v>
      </c>
      <c r="J37" s="456">
        <v>279113</v>
      </c>
      <c r="K37" s="3598">
        <v>83828</v>
      </c>
      <c r="L37" s="3598">
        <v>0</v>
      </c>
      <c r="M37" s="71">
        <v>26546</v>
      </c>
      <c r="N37" s="456">
        <v>4828</v>
      </c>
      <c r="O37" s="3598">
        <v>647</v>
      </c>
      <c r="P37" s="3598">
        <v>4442</v>
      </c>
      <c r="Q37" s="71">
        <v>0</v>
      </c>
      <c r="R37" s="111">
        <v>426228</v>
      </c>
      <c r="S37" s="3598">
        <v>573203</v>
      </c>
      <c r="T37" s="3598">
        <v>9906</v>
      </c>
      <c r="U37" s="71">
        <v>57751</v>
      </c>
      <c r="V37" s="2518"/>
      <c r="W37" s="2518"/>
      <c r="X37" s="2518"/>
      <c r="Y37" s="2519"/>
    </row>
    <row r="38" spans="1:25">
      <c r="A38" s="53">
        <f t="shared" si="1"/>
        <v>1995.05</v>
      </c>
      <c r="B38" s="214">
        <v>743167</v>
      </c>
      <c r="C38" s="3598">
        <v>105841</v>
      </c>
      <c r="D38" s="3598">
        <v>10059</v>
      </c>
      <c r="E38" s="111">
        <v>65085</v>
      </c>
      <c r="F38" s="456">
        <v>131844</v>
      </c>
      <c r="G38" s="3598">
        <v>41964</v>
      </c>
      <c r="H38" s="3598">
        <v>3150</v>
      </c>
      <c r="I38" s="71">
        <v>10056</v>
      </c>
      <c r="J38" s="456">
        <v>590389</v>
      </c>
      <c r="K38" s="3598">
        <v>47126</v>
      </c>
      <c r="L38" s="3598">
        <v>0</v>
      </c>
      <c r="M38" s="71">
        <v>26944</v>
      </c>
      <c r="N38" s="456">
        <v>6172</v>
      </c>
      <c r="O38" s="3598">
        <v>673</v>
      </c>
      <c r="P38" s="3598">
        <v>6662</v>
      </c>
      <c r="Q38" s="71">
        <v>0</v>
      </c>
      <c r="R38" s="111">
        <v>844169</v>
      </c>
      <c r="S38" s="3598">
        <v>536068</v>
      </c>
      <c r="T38" s="3598">
        <v>16332</v>
      </c>
      <c r="U38" s="71">
        <v>65085</v>
      </c>
      <c r="V38" s="2518"/>
      <c r="W38" s="2518"/>
      <c r="X38" s="2518"/>
      <c r="Y38" s="2519"/>
    </row>
    <row r="39" spans="1:25">
      <c r="A39" s="53">
        <f t="shared" si="1"/>
        <v>1995.06</v>
      </c>
      <c r="B39" s="214">
        <v>760299</v>
      </c>
      <c r="C39" s="3598">
        <v>78447</v>
      </c>
      <c r="D39" s="3598">
        <v>8066</v>
      </c>
      <c r="E39" s="111">
        <v>64145</v>
      </c>
      <c r="F39" s="456">
        <v>132409</v>
      </c>
      <c r="G39" s="3598">
        <v>31163</v>
      </c>
      <c r="H39" s="3598">
        <v>2684</v>
      </c>
      <c r="I39" s="71">
        <v>9710</v>
      </c>
      <c r="J39" s="456">
        <v>608156</v>
      </c>
      <c r="K39" s="3598">
        <v>35038</v>
      </c>
      <c r="L39" s="3598">
        <v>0</v>
      </c>
      <c r="M39" s="71">
        <v>29356</v>
      </c>
      <c r="N39" s="456">
        <v>5393</v>
      </c>
      <c r="O39" s="3598">
        <v>333</v>
      </c>
      <c r="P39" s="3598">
        <v>5441</v>
      </c>
      <c r="Q39" s="71">
        <v>0</v>
      </c>
      <c r="R39" s="111">
        <v>853598</v>
      </c>
      <c r="S39" s="3598">
        <v>498207</v>
      </c>
      <c r="T39" s="3598">
        <v>11675</v>
      </c>
      <c r="U39" s="71">
        <v>64145</v>
      </c>
      <c r="V39" s="2518"/>
      <c r="W39" s="2518"/>
      <c r="X39" s="2518"/>
      <c r="Y39" s="2519"/>
    </row>
    <row r="40" spans="1:25">
      <c r="A40" s="53">
        <f t="shared" si="1"/>
        <v>1995.07</v>
      </c>
      <c r="B40" s="214">
        <v>793848</v>
      </c>
      <c r="C40" s="3598">
        <v>87839</v>
      </c>
      <c r="D40" s="3598">
        <v>5810</v>
      </c>
      <c r="E40" s="111">
        <v>77310</v>
      </c>
      <c r="F40" s="456">
        <v>140667</v>
      </c>
      <c r="G40" s="3598">
        <v>35180</v>
      </c>
      <c r="H40" s="3598">
        <v>1891</v>
      </c>
      <c r="I40" s="71">
        <v>11633</v>
      </c>
      <c r="J40" s="456">
        <v>634716</v>
      </c>
      <c r="K40" s="3598">
        <v>38998</v>
      </c>
      <c r="L40" s="3598">
        <v>0</v>
      </c>
      <c r="M40" s="71">
        <v>0</v>
      </c>
      <c r="N40" s="456">
        <v>4843</v>
      </c>
      <c r="O40" s="3598">
        <v>0</v>
      </c>
      <c r="P40" s="3598">
        <v>3740</v>
      </c>
      <c r="Q40" s="71">
        <v>0</v>
      </c>
      <c r="R40" s="111">
        <v>879421</v>
      </c>
      <c r="S40" s="3598">
        <v>470079</v>
      </c>
      <c r="T40" s="3598">
        <v>11367</v>
      </c>
      <c r="U40" s="71">
        <v>77310</v>
      </c>
      <c r="V40" s="2518"/>
      <c r="W40" s="2518"/>
      <c r="X40" s="2518"/>
      <c r="Y40" s="2519"/>
    </row>
    <row r="41" spans="1:25">
      <c r="A41" s="53">
        <f t="shared" si="1"/>
        <v>1995.08</v>
      </c>
      <c r="B41" s="214">
        <v>801939</v>
      </c>
      <c r="C41" s="3598">
        <v>80899</v>
      </c>
      <c r="D41" s="3598">
        <v>2610</v>
      </c>
      <c r="E41" s="111">
        <v>62599</v>
      </c>
      <c r="F41" s="456">
        <v>141101</v>
      </c>
      <c r="G41" s="3598">
        <v>31648</v>
      </c>
      <c r="H41" s="3598">
        <v>845</v>
      </c>
      <c r="I41" s="71">
        <v>9496</v>
      </c>
      <c r="J41" s="456">
        <v>640711</v>
      </c>
      <c r="K41" s="3598">
        <v>33861</v>
      </c>
      <c r="L41" s="3598">
        <v>0</v>
      </c>
      <c r="M41" s="71">
        <v>29869</v>
      </c>
      <c r="N41" s="456">
        <v>4934</v>
      </c>
      <c r="O41" s="3598">
        <v>1084</v>
      </c>
      <c r="P41" s="3598">
        <v>1723</v>
      </c>
      <c r="Q41" s="71">
        <v>0</v>
      </c>
      <c r="R41" s="111">
        <v>965592</v>
      </c>
      <c r="S41" s="3598">
        <v>398724</v>
      </c>
      <c r="T41" s="3598">
        <v>5974</v>
      </c>
      <c r="U41" s="71">
        <v>62599</v>
      </c>
      <c r="V41" s="2518"/>
      <c r="W41" s="2518"/>
      <c r="X41" s="2518"/>
      <c r="Y41" s="2519"/>
    </row>
    <row r="42" spans="1:25">
      <c r="A42" s="53">
        <f t="shared" si="1"/>
        <v>1995.09</v>
      </c>
      <c r="B42" s="214">
        <v>805874</v>
      </c>
      <c r="C42" s="3598">
        <v>57267</v>
      </c>
      <c r="D42" s="3598">
        <v>5050</v>
      </c>
      <c r="E42" s="111">
        <v>53818</v>
      </c>
      <c r="F42" s="456">
        <v>141913</v>
      </c>
      <c r="G42" s="3598">
        <v>21642</v>
      </c>
      <c r="H42" s="3598">
        <v>1575</v>
      </c>
      <c r="I42" s="71">
        <v>9003</v>
      </c>
      <c r="J42" s="456">
        <v>645424</v>
      </c>
      <c r="K42" s="3598">
        <v>24401</v>
      </c>
      <c r="L42" s="3598">
        <v>0</v>
      </c>
      <c r="M42" s="71">
        <v>27298</v>
      </c>
      <c r="N42" s="456">
        <v>4349</v>
      </c>
      <c r="O42" s="3598">
        <v>817</v>
      </c>
      <c r="P42" s="3598">
        <v>3353</v>
      </c>
      <c r="Q42" s="71">
        <v>0</v>
      </c>
      <c r="R42" s="111">
        <v>989442</v>
      </c>
      <c r="S42" s="3598">
        <v>362556</v>
      </c>
      <c r="T42" s="3598">
        <v>6981</v>
      </c>
      <c r="U42" s="71">
        <v>53818</v>
      </c>
      <c r="V42" s="2518"/>
      <c r="W42" s="2518"/>
      <c r="X42" s="2518"/>
      <c r="Y42" s="2519"/>
    </row>
    <row r="43" spans="1:25">
      <c r="A43" s="53">
        <f t="shared" si="1"/>
        <v>1995.1</v>
      </c>
      <c r="B43" s="214">
        <v>814107</v>
      </c>
      <c r="C43" s="3598">
        <v>60077</v>
      </c>
      <c r="D43" s="3598">
        <v>4648</v>
      </c>
      <c r="E43" s="111">
        <v>0</v>
      </c>
      <c r="F43" s="456">
        <v>146953</v>
      </c>
      <c r="G43" s="3598">
        <v>23609</v>
      </c>
      <c r="H43" s="3598">
        <v>1861</v>
      </c>
      <c r="I43" s="71">
        <v>0</v>
      </c>
      <c r="J43" s="456">
        <v>672262</v>
      </c>
      <c r="K43" s="3598">
        <v>26657</v>
      </c>
      <c r="L43" s="3598">
        <v>0</v>
      </c>
      <c r="M43" s="71">
        <v>0</v>
      </c>
      <c r="N43" s="456">
        <v>3120</v>
      </c>
      <c r="O43" s="3598">
        <v>0</v>
      </c>
      <c r="P43" s="3598">
        <v>3674</v>
      </c>
      <c r="Q43" s="71">
        <v>0</v>
      </c>
      <c r="R43" s="111">
        <v>946091</v>
      </c>
      <c r="S43" s="3598">
        <v>423397</v>
      </c>
      <c r="T43" s="3598">
        <v>6189</v>
      </c>
      <c r="U43" s="71">
        <v>0</v>
      </c>
      <c r="V43" s="2518"/>
      <c r="W43" s="2518"/>
      <c r="X43" s="2518"/>
      <c r="Y43" s="2519"/>
    </row>
    <row r="44" spans="1:25">
      <c r="A44" s="53">
        <f t="shared" si="1"/>
        <v>1995.11</v>
      </c>
      <c r="B44" s="214">
        <v>791441</v>
      </c>
      <c r="C44" s="3598">
        <v>61564</v>
      </c>
      <c r="D44" s="3598">
        <v>3322</v>
      </c>
      <c r="E44" s="111">
        <v>0</v>
      </c>
      <c r="F44" s="456">
        <v>144660</v>
      </c>
      <c r="G44" s="3598">
        <v>24725</v>
      </c>
      <c r="H44" s="3598">
        <v>1103</v>
      </c>
      <c r="I44" s="71">
        <v>0</v>
      </c>
      <c r="J44" s="456">
        <v>652603</v>
      </c>
      <c r="K44" s="3598">
        <v>27040</v>
      </c>
      <c r="L44" s="3598">
        <v>0</v>
      </c>
      <c r="M44" s="71">
        <v>0</v>
      </c>
      <c r="N44" s="456">
        <v>3168</v>
      </c>
      <c r="O44" s="3598">
        <v>0</v>
      </c>
      <c r="P44" s="3598">
        <v>2057</v>
      </c>
      <c r="Q44" s="71">
        <v>0</v>
      </c>
      <c r="R44" s="111">
        <v>961652</v>
      </c>
      <c r="S44" s="3598">
        <v>300520</v>
      </c>
      <c r="T44" s="3598">
        <v>3322</v>
      </c>
      <c r="U44" s="71">
        <v>0</v>
      </c>
      <c r="V44" s="2518"/>
      <c r="W44" s="2518"/>
      <c r="X44" s="2518"/>
      <c r="Y44" s="2519"/>
    </row>
    <row r="45" spans="1:25">
      <c r="A45" s="53">
        <f t="shared" si="1"/>
        <v>1995.12</v>
      </c>
      <c r="B45" s="214">
        <v>731471</v>
      </c>
      <c r="C45" s="3598">
        <v>13282</v>
      </c>
      <c r="D45" s="3598">
        <v>2933</v>
      </c>
      <c r="E45" s="111">
        <v>0</v>
      </c>
      <c r="F45" s="456">
        <v>134666</v>
      </c>
      <c r="G45" s="3598">
        <v>5153</v>
      </c>
      <c r="H45" s="3598">
        <v>937</v>
      </c>
      <c r="I45" s="71">
        <v>0</v>
      </c>
      <c r="J45" s="456">
        <v>605200</v>
      </c>
      <c r="K45" s="3598">
        <v>6066</v>
      </c>
      <c r="L45" s="3598">
        <v>0</v>
      </c>
      <c r="M45" s="71">
        <v>0</v>
      </c>
      <c r="N45" s="456">
        <v>2960</v>
      </c>
      <c r="O45" s="3598">
        <v>0</v>
      </c>
      <c r="P45" s="3598">
        <v>1907</v>
      </c>
      <c r="Q45" s="71">
        <v>0</v>
      </c>
      <c r="R45" s="111">
        <v>855772</v>
      </c>
      <c r="S45" s="3598">
        <v>268544</v>
      </c>
      <c r="T45" s="3598">
        <v>10128</v>
      </c>
      <c r="U45" s="71">
        <v>0</v>
      </c>
      <c r="V45" s="2518"/>
      <c r="W45" s="2518"/>
      <c r="X45" s="2518"/>
      <c r="Y45" s="2519"/>
    </row>
    <row r="46" spans="1:25">
      <c r="A46" s="53">
        <f t="shared" si="1"/>
        <v>1996.01</v>
      </c>
      <c r="B46" s="214">
        <v>656988</v>
      </c>
      <c r="C46" s="3598">
        <v>89649</v>
      </c>
      <c r="D46" s="3598">
        <v>16436</v>
      </c>
      <c r="E46" s="111">
        <v>0</v>
      </c>
      <c r="F46" s="456">
        <v>122093</v>
      </c>
      <c r="G46" s="3598">
        <v>36139</v>
      </c>
      <c r="H46" s="3598">
        <v>5364</v>
      </c>
      <c r="I46" s="71">
        <v>0</v>
      </c>
      <c r="J46" s="456">
        <v>544940</v>
      </c>
      <c r="K46" s="3598">
        <v>39338</v>
      </c>
      <c r="L46" s="3598">
        <v>0</v>
      </c>
      <c r="M46" s="71">
        <v>0</v>
      </c>
      <c r="N46" s="456">
        <v>2112</v>
      </c>
      <c r="O46" s="3598">
        <v>0</v>
      </c>
      <c r="P46" s="3598">
        <v>10272</v>
      </c>
      <c r="Q46" s="71">
        <v>0</v>
      </c>
      <c r="R46" s="111">
        <v>719476</v>
      </c>
      <c r="S46" s="3598">
        <v>207623</v>
      </c>
      <c r="T46" s="3598">
        <v>25186</v>
      </c>
      <c r="U46" s="71">
        <v>0</v>
      </c>
      <c r="V46" s="2518"/>
      <c r="W46" s="2518"/>
      <c r="X46" s="2518"/>
      <c r="Y46" s="2519"/>
    </row>
    <row r="47" spans="1:25">
      <c r="A47" s="53">
        <f t="shared" si="1"/>
        <v>1996.02</v>
      </c>
      <c r="B47" s="214">
        <v>553571</v>
      </c>
      <c r="C47" s="3598">
        <v>134192</v>
      </c>
      <c r="D47" s="3598">
        <v>13578</v>
      </c>
      <c r="E47" s="111">
        <v>0</v>
      </c>
      <c r="F47" s="456">
        <v>100543</v>
      </c>
      <c r="G47" s="3598">
        <v>53035</v>
      </c>
      <c r="H47" s="3598">
        <v>4293</v>
      </c>
      <c r="I47" s="71">
        <v>0</v>
      </c>
      <c r="J47" s="456">
        <v>449909</v>
      </c>
      <c r="K47" s="3598">
        <v>60765</v>
      </c>
      <c r="L47" s="3598">
        <v>0</v>
      </c>
      <c r="M47" s="71">
        <v>0</v>
      </c>
      <c r="N47" s="456">
        <v>3253</v>
      </c>
      <c r="O47" s="3598">
        <v>0</v>
      </c>
      <c r="P47" s="3598">
        <v>8582</v>
      </c>
      <c r="Q47" s="71">
        <v>0</v>
      </c>
      <c r="R47" s="111">
        <v>591688</v>
      </c>
      <c r="S47" s="3598">
        <v>294498</v>
      </c>
      <c r="T47" s="3598">
        <v>23672</v>
      </c>
      <c r="U47" s="71">
        <v>0</v>
      </c>
      <c r="V47" s="2518"/>
      <c r="W47" s="2518"/>
      <c r="X47" s="2518"/>
      <c r="Y47" s="2519"/>
    </row>
    <row r="48" spans="1:25">
      <c r="A48" s="53">
        <f t="shared" si="1"/>
        <v>1996.03</v>
      </c>
      <c r="B48" s="214">
        <v>263063</v>
      </c>
      <c r="C48" s="3598">
        <v>228897</v>
      </c>
      <c r="D48" s="3598">
        <v>9926</v>
      </c>
      <c r="E48" s="111">
        <v>30768</v>
      </c>
      <c r="F48" s="456">
        <v>48361</v>
      </c>
      <c r="G48" s="3598">
        <v>90933</v>
      </c>
      <c r="H48" s="3598">
        <v>3235</v>
      </c>
      <c r="I48" s="71">
        <v>4928</v>
      </c>
      <c r="J48" s="456">
        <v>205364</v>
      </c>
      <c r="K48" s="3598">
        <v>105523</v>
      </c>
      <c r="L48" s="3598">
        <v>0</v>
      </c>
      <c r="M48" s="71">
        <v>14259</v>
      </c>
      <c r="N48" s="456">
        <v>3109</v>
      </c>
      <c r="O48" s="3598">
        <v>0</v>
      </c>
      <c r="P48" s="3598">
        <v>6335</v>
      </c>
      <c r="Q48" s="71">
        <v>0</v>
      </c>
      <c r="R48" s="111">
        <v>319033</v>
      </c>
      <c r="S48" s="3598">
        <v>720321</v>
      </c>
      <c r="T48" s="3598">
        <v>15111</v>
      </c>
      <c r="U48" s="71">
        <v>30768</v>
      </c>
      <c r="V48" s="2518"/>
      <c r="W48" s="2518"/>
      <c r="X48" s="2518"/>
      <c r="Y48" s="2519"/>
    </row>
    <row r="49" spans="1:25">
      <c r="A49" s="53">
        <f t="shared" si="1"/>
        <v>1996.04</v>
      </c>
      <c r="B49" s="214">
        <v>467936</v>
      </c>
      <c r="C49" s="3598">
        <v>164038</v>
      </c>
      <c r="D49" s="3598">
        <v>6225</v>
      </c>
      <c r="E49" s="111">
        <v>62874</v>
      </c>
      <c r="F49" s="456">
        <v>84864</v>
      </c>
      <c r="G49" s="3598">
        <v>64010</v>
      </c>
      <c r="H49" s="3598">
        <v>1976</v>
      </c>
      <c r="I49" s="71">
        <v>9185</v>
      </c>
      <c r="J49" s="456">
        <v>366708</v>
      </c>
      <c r="K49" s="3598">
        <v>76026</v>
      </c>
      <c r="L49" s="3598">
        <v>0</v>
      </c>
      <c r="M49" s="71">
        <v>28360</v>
      </c>
      <c r="N49" s="456">
        <v>2793</v>
      </c>
      <c r="O49" s="3598">
        <v>0</v>
      </c>
      <c r="P49" s="3598">
        <v>4028</v>
      </c>
      <c r="Q49" s="71">
        <v>0</v>
      </c>
      <c r="R49" s="111">
        <v>568528</v>
      </c>
      <c r="S49" s="3598">
        <v>693055</v>
      </c>
      <c r="T49" s="3598">
        <v>12750</v>
      </c>
      <c r="U49" s="71">
        <v>62874</v>
      </c>
      <c r="V49" s="2518"/>
      <c r="W49" s="2518"/>
      <c r="X49" s="2518"/>
      <c r="Y49" s="2519"/>
    </row>
    <row r="50" spans="1:25">
      <c r="A50" s="53">
        <f t="shared" si="1"/>
        <v>1996.05</v>
      </c>
      <c r="B50" s="214">
        <v>778159</v>
      </c>
      <c r="C50" s="3598">
        <v>80940</v>
      </c>
      <c r="D50" s="3598">
        <v>4816</v>
      </c>
      <c r="E50" s="111">
        <v>69637</v>
      </c>
      <c r="F50" s="456">
        <v>139291</v>
      </c>
      <c r="G50" s="3598">
        <v>32070</v>
      </c>
      <c r="H50" s="3598">
        <v>1494</v>
      </c>
      <c r="I50" s="71">
        <v>10591</v>
      </c>
      <c r="J50" s="456">
        <v>616430</v>
      </c>
      <c r="K50" s="3598">
        <v>31346</v>
      </c>
      <c r="L50" s="3598">
        <v>0</v>
      </c>
      <c r="M50" s="71">
        <v>32379</v>
      </c>
      <c r="N50" s="456">
        <v>4018</v>
      </c>
      <c r="O50" s="3598">
        <v>0</v>
      </c>
      <c r="P50" s="3598">
        <v>3142</v>
      </c>
      <c r="Q50" s="71">
        <v>0</v>
      </c>
      <c r="R50" s="111">
        <v>913345</v>
      </c>
      <c r="S50" s="3598">
        <v>584447</v>
      </c>
      <c r="T50" s="3598">
        <v>10730</v>
      </c>
      <c r="U50" s="71">
        <v>69637</v>
      </c>
      <c r="V50" s="2518"/>
      <c r="W50" s="2518"/>
      <c r="X50" s="2518"/>
      <c r="Y50" s="2519"/>
    </row>
    <row r="51" spans="1:25">
      <c r="A51" s="53">
        <f t="shared" si="1"/>
        <v>1996.06</v>
      </c>
      <c r="B51" s="214">
        <v>814739</v>
      </c>
      <c r="C51" s="3598">
        <v>52057</v>
      </c>
      <c r="D51" s="3598">
        <v>1240</v>
      </c>
      <c r="E51" s="111">
        <v>71667</v>
      </c>
      <c r="F51" s="456">
        <v>143642</v>
      </c>
      <c r="G51" s="3598">
        <v>18645</v>
      </c>
      <c r="H51" s="3598">
        <v>391</v>
      </c>
      <c r="I51" s="71">
        <v>10930</v>
      </c>
      <c r="J51" s="456">
        <v>653385</v>
      </c>
      <c r="K51" s="3598">
        <v>19724</v>
      </c>
      <c r="L51" s="3598">
        <v>0</v>
      </c>
      <c r="M51" s="71">
        <v>33349</v>
      </c>
      <c r="N51" s="456">
        <v>3162</v>
      </c>
      <c r="O51" s="3598">
        <v>0</v>
      </c>
      <c r="P51" s="3598">
        <v>813</v>
      </c>
      <c r="Q51" s="71">
        <v>0</v>
      </c>
      <c r="R51" s="111">
        <v>1040193</v>
      </c>
      <c r="S51" s="3598">
        <v>368594</v>
      </c>
      <c r="T51" s="3598">
        <v>8657</v>
      </c>
      <c r="U51" s="71">
        <v>73917</v>
      </c>
      <c r="V51" s="2518"/>
      <c r="W51" s="2518"/>
      <c r="X51" s="2518"/>
      <c r="Y51" s="2519"/>
    </row>
    <row r="52" spans="1:25">
      <c r="A52" s="53">
        <f t="shared" si="1"/>
        <v>1996.07</v>
      </c>
      <c r="B52" s="214">
        <v>854131</v>
      </c>
      <c r="C52" s="3598">
        <v>61285</v>
      </c>
      <c r="D52" s="3598">
        <v>0</v>
      </c>
      <c r="E52" s="111">
        <v>76858</v>
      </c>
      <c r="F52" s="456">
        <v>149933</v>
      </c>
      <c r="G52" s="3598">
        <v>23977</v>
      </c>
      <c r="H52" s="3598">
        <v>0</v>
      </c>
      <c r="I52" s="71">
        <v>11895</v>
      </c>
      <c r="J52" s="456">
        <v>684356</v>
      </c>
      <c r="K52" s="3598">
        <v>23886</v>
      </c>
      <c r="L52" s="3598">
        <v>0</v>
      </c>
      <c r="M52" s="71">
        <v>36600</v>
      </c>
      <c r="N52" s="456">
        <v>2320</v>
      </c>
      <c r="O52" s="3598">
        <v>0</v>
      </c>
      <c r="P52" s="3598">
        <v>0</v>
      </c>
      <c r="Q52" s="71">
        <v>0</v>
      </c>
      <c r="R52" s="111">
        <v>1078131</v>
      </c>
      <c r="S52" s="3598">
        <v>437398</v>
      </c>
      <c r="T52" s="3598">
        <v>8055</v>
      </c>
      <c r="U52" s="71">
        <v>90256</v>
      </c>
      <c r="V52" s="2518"/>
      <c r="W52" s="2518"/>
      <c r="X52" s="2518"/>
      <c r="Y52" s="2519"/>
    </row>
    <row r="53" spans="1:25">
      <c r="A53" s="53">
        <f t="shared" si="1"/>
        <v>1996.08</v>
      </c>
      <c r="B53" s="214">
        <v>883591</v>
      </c>
      <c r="C53" s="3598">
        <v>49539</v>
      </c>
      <c r="D53" s="3598">
        <v>2519</v>
      </c>
      <c r="E53" s="111">
        <v>59713</v>
      </c>
      <c r="F53" s="456">
        <v>156513</v>
      </c>
      <c r="G53" s="3598">
        <v>19258</v>
      </c>
      <c r="H53" s="3598">
        <v>798</v>
      </c>
      <c r="I53" s="71">
        <v>9525</v>
      </c>
      <c r="J53" s="456">
        <v>705327</v>
      </c>
      <c r="K53" s="3598">
        <v>20894</v>
      </c>
      <c r="L53" s="3598">
        <v>0</v>
      </c>
      <c r="M53" s="71">
        <v>28764</v>
      </c>
      <c r="N53" s="456">
        <v>2215</v>
      </c>
      <c r="O53" s="3598">
        <v>0</v>
      </c>
      <c r="P53" s="3598">
        <v>1644</v>
      </c>
      <c r="Q53" s="71">
        <v>0</v>
      </c>
      <c r="R53" s="111">
        <v>1162199</v>
      </c>
      <c r="S53" s="3598">
        <v>340876</v>
      </c>
      <c r="T53" s="3598">
        <v>10454</v>
      </c>
      <c r="U53" s="71">
        <v>74657</v>
      </c>
      <c r="V53" s="2518"/>
      <c r="W53" s="2518"/>
      <c r="X53" s="2518"/>
      <c r="Y53" s="2519"/>
    </row>
    <row r="54" spans="1:25">
      <c r="A54" s="53">
        <f t="shared" si="1"/>
        <v>1996.09</v>
      </c>
      <c r="B54" s="214">
        <v>866967</v>
      </c>
      <c r="C54" s="3598">
        <v>53574</v>
      </c>
      <c r="D54" s="3598">
        <v>0</v>
      </c>
      <c r="E54" s="111">
        <v>30838</v>
      </c>
      <c r="F54" s="456">
        <v>153825</v>
      </c>
      <c r="G54" s="3598">
        <v>20906</v>
      </c>
      <c r="H54" s="3598">
        <v>0</v>
      </c>
      <c r="I54" s="71">
        <v>4454</v>
      </c>
      <c r="J54" s="456">
        <v>691501</v>
      </c>
      <c r="K54" s="3598">
        <v>21516</v>
      </c>
      <c r="L54" s="3598">
        <v>0</v>
      </c>
      <c r="M54" s="71">
        <v>15131</v>
      </c>
      <c r="N54" s="456">
        <v>2011</v>
      </c>
      <c r="O54" s="3598">
        <v>0</v>
      </c>
      <c r="P54" s="3598">
        <v>0</v>
      </c>
      <c r="Q54" s="71">
        <v>0</v>
      </c>
      <c r="R54" s="111">
        <v>1098941</v>
      </c>
      <c r="S54" s="3598">
        <v>354148</v>
      </c>
      <c r="T54" s="3598">
        <v>4684</v>
      </c>
      <c r="U54" s="71">
        <v>30838</v>
      </c>
      <c r="V54" s="2518"/>
      <c r="W54" s="2518"/>
      <c r="X54" s="2518"/>
      <c r="Y54" s="2519"/>
    </row>
    <row r="55" spans="1:25">
      <c r="A55" s="53">
        <f t="shared" si="1"/>
        <v>1996.1</v>
      </c>
      <c r="B55" s="214">
        <v>938250</v>
      </c>
      <c r="C55" s="3598">
        <v>24306</v>
      </c>
      <c r="D55" s="3598">
        <v>0</v>
      </c>
      <c r="E55" s="111">
        <v>0</v>
      </c>
      <c r="F55" s="456">
        <v>167137</v>
      </c>
      <c r="G55" s="3598">
        <v>9532</v>
      </c>
      <c r="H55" s="3598">
        <v>0</v>
      </c>
      <c r="I55" s="71">
        <v>0</v>
      </c>
      <c r="J55" s="456">
        <v>747362</v>
      </c>
      <c r="K55" s="3598">
        <v>10933</v>
      </c>
      <c r="L55" s="3598">
        <v>0</v>
      </c>
      <c r="M55" s="71">
        <v>0</v>
      </c>
      <c r="N55" s="456">
        <v>2428</v>
      </c>
      <c r="O55" s="3598">
        <v>0</v>
      </c>
      <c r="P55" s="3598">
        <v>0</v>
      </c>
      <c r="Q55" s="71">
        <v>0</v>
      </c>
      <c r="R55" s="111">
        <v>1095301</v>
      </c>
      <c r="S55" s="3598">
        <v>416808</v>
      </c>
      <c r="T55" s="3598">
        <v>1648</v>
      </c>
      <c r="U55" s="71">
        <v>0</v>
      </c>
      <c r="V55" s="2518"/>
      <c r="W55" s="2518"/>
      <c r="X55" s="2518"/>
      <c r="Y55" s="2519"/>
    </row>
    <row r="56" spans="1:25">
      <c r="A56" s="53">
        <f t="shared" si="1"/>
        <v>1996.11</v>
      </c>
      <c r="B56" s="214">
        <v>900408</v>
      </c>
      <c r="C56" s="3598">
        <v>31457</v>
      </c>
      <c r="D56" s="3598">
        <v>0</v>
      </c>
      <c r="E56" s="111">
        <v>0</v>
      </c>
      <c r="F56" s="456">
        <v>160776</v>
      </c>
      <c r="G56" s="3598">
        <v>12454</v>
      </c>
      <c r="H56" s="3598">
        <v>0</v>
      </c>
      <c r="I56" s="71">
        <v>0</v>
      </c>
      <c r="J56" s="456">
        <v>710103</v>
      </c>
      <c r="K56" s="3598">
        <v>13979</v>
      </c>
      <c r="L56" s="3598">
        <v>0</v>
      </c>
      <c r="M56" s="71">
        <v>0</v>
      </c>
      <c r="N56" s="456">
        <v>3638</v>
      </c>
      <c r="O56" s="3598">
        <v>0</v>
      </c>
      <c r="P56" s="3598">
        <v>0</v>
      </c>
      <c r="Q56" s="71">
        <v>0</v>
      </c>
      <c r="R56" s="111">
        <v>1039995</v>
      </c>
      <c r="S56" s="3598">
        <v>365813</v>
      </c>
      <c r="T56" s="3598">
        <v>781</v>
      </c>
      <c r="U56" s="71">
        <v>0</v>
      </c>
      <c r="V56" s="2518"/>
      <c r="W56" s="2518"/>
      <c r="X56" s="2518"/>
      <c r="Y56" s="2519"/>
    </row>
    <row r="57" spans="1:25">
      <c r="A57" s="53">
        <f t="shared" si="1"/>
        <v>1996.12</v>
      </c>
      <c r="B57" s="214">
        <v>654368</v>
      </c>
      <c r="C57" s="3598">
        <v>24446</v>
      </c>
      <c r="D57" s="3598">
        <v>0</v>
      </c>
      <c r="E57" s="111">
        <v>0</v>
      </c>
      <c r="F57" s="456">
        <v>116729</v>
      </c>
      <c r="G57" s="3598">
        <v>9638</v>
      </c>
      <c r="H57" s="3598">
        <v>0</v>
      </c>
      <c r="I57" s="71">
        <v>0</v>
      </c>
      <c r="J57" s="456">
        <v>521359</v>
      </c>
      <c r="K57" s="3598">
        <v>10710</v>
      </c>
      <c r="L57" s="3598">
        <v>0</v>
      </c>
      <c r="M57" s="71">
        <v>0</v>
      </c>
      <c r="N57" s="456">
        <v>2373</v>
      </c>
      <c r="O57" s="3598">
        <v>0</v>
      </c>
      <c r="P57" s="3598">
        <v>0</v>
      </c>
      <c r="Q57" s="71">
        <v>0</v>
      </c>
      <c r="R57" s="111">
        <v>733107</v>
      </c>
      <c r="S57" s="3598">
        <v>259733</v>
      </c>
      <c r="T57" s="3598">
        <v>9160</v>
      </c>
      <c r="U57" s="71">
        <v>0</v>
      </c>
      <c r="V57" s="2518"/>
      <c r="W57" s="2518"/>
      <c r="X57" s="2518"/>
      <c r="Y57" s="2519"/>
    </row>
    <row r="58" spans="1:25">
      <c r="A58" s="53">
        <f t="shared" si="1"/>
        <v>1997.01</v>
      </c>
      <c r="B58" s="214">
        <v>478361</v>
      </c>
      <c r="C58" s="3598">
        <v>90625</v>
      </c>
      <c r="D58" s="3598">
        <v>685</v>
      </c>
      <c r="E58" s="111">
        <v>0</v>
      </c>
      <c r="F58" s="456">
        <v>85547</v>
      </c>
      <c r="G58" s="3598">
        <v>36139</v>
      </c>
      <c r="H58" s="3598">
        <v>208</v>
      </c>
      <c r="I58" s="71">
        <v>0</v>
      </c>
      <c r="J58" s="456">
        <v>381362</v>
      </c>
      <c r="K58" s="3598">
        <v>38735</v>
      </c>
      <c r="L58" s="3598">
        <v>0</v>
      </c>
      <c r="M58" s="71">
        <v>0</v>
      </c>
      <c r="N58" s="456">
        <v>1987</v>
      </c>
      <c r="O58" s="3598">
        <v>0</v>
      </c>
      <c r="P58" s="3598">
        <v>455</v>
      </c>
      <c r="Q58" s="71">
        <v>0</v>
      </c>
      <c r="R58" s="111">
        <v>511370</v>
      </c>
      <c r="S58" s="3598">
        <v>159665</v>
      </c>
      <c r="T58" s="3598">
        <v>11221</v>
      </c>
      <c r="U58" s="71">
        <v>0</v>
      </c>
      <c r="V58" s="2518"/>
      <c r="W58" s="2518"/>
      <c r="X58" s="2518"/>
      <c r="Y58" s="2519"/>
    </row>
    <row r="59" spans="1:25">
      <c r="A59" s="53">
        <f t="shared" si="1"/>
        <v>1997.02</v>
      </c>
      <c r="B59" s="214">
        <v>330950</v>
      </c>
      <c r="C59" s="3598">
        <v>188432</v>
      </c>
      <c r="D59" s="3598">
        <v>7055</v>
      </c>
      <c r="E59" s="111">
        <v>0</v>
      </c>
      <c r="F59" s="456">
        <v>59622</v>
      </c>
      <c r="G59" s="3598">
        <v>73411</v>
      </c>
      <c r="H59" s="3598">
        <v>2202</v>
      </c>
      <c r="I59" s="71">
        <v>0</v>
      </c>
      <c r="J59" s="456">
        <v>266656</v>
      </c>
      <c r="K59" s="3598">
        <v>86358</v>
      </c>
      <c r="L59" s="3598">
        <v>0</v>
      </c>
      <c r="M59" s="71">
        <v>0</v>
      </c>
      <c r="N59" s="456">
        <v>1831</v>
      </c>
      <c r="O59" s="3598">
        <v>0</v>
      </c>
      <c r="P59" s="3598">
        <v>4594</v>
      </c>
      <c r="Q59" s="71">
        <v>0</v>
      </c>
      <c r="R59" s="111">
        <v>357247</v>
      </c>
      <c r="S59" s="3598">
        <v>421711</v>
      </c>
      <c r="T59" s="3598">
        <v>12831</v>
      </c>
      <c r="U59" s="71">
        <v>0</v>
      </c>
      <c r="V59" s="2518"/>
      <c r="W59" s="2518"/>
      <c r="X59" s="2518"/>
      <c r="Y59" s="2519"/>
    </row>
    <row r="60" spans="1:25">
      <c r="A60" s="53">
        <f t="shared" si="1"/>
        <v>1997.03</v>
      </c>
      <c r="B60" s="214">
        <v>280130</v>
      </c>
      <c r="C60" s="3598">
        <v>198918</v>
      </c>
      <c r="D60" s="3598">
        <v>3732</v>
      </c>
      <c r="E60" s="111">
        <v>33112</v>
      </c>
      <c r="F60" s="456">
        <v>50401</v>
      </c>
      <c r="G60" s="3598">
        <v>78267</v>
      </c>
      <c r="H60" s="3598">
        <v>1203</v>
      </c>
      <c r="I60" s="71">
        <v>5419</v>
      </c>
      <c r="J60" s="456">
        <v>217934</v>
      </c>
      <c r="K60" s="3598">
        <v>96970</v>
      </c>
      <c r="L60" s="3598">
        <v>0</v>
      </c>
      <c r="M60" s="71">
        <v>16319</v>
      </c>
      <c r="N60" s="456">
        <v>3873</v>
      </c>
      <c r="O60" s="3598">
        <v>0</v>
      </c>
      <c r="P60" s="3598">
        <v>2363</v>
      </c>
      <c r="Q60" s="71">
        <v>0</v>
      </c>
      <c r="R60" s="111">
        <v>346153</v>
      </c>
      <c r="S60" s="3598">
        <v>759530</v>
      </c>
      <c r="T60" s="3598">
        <v>9997</v>
      </c>
      <c r="U60" s="71">
        <v>33112</v>
      </c>
      <c r="V60" s="2518"/>
      <c r="W60" s="2518"/>
      <c r="X60" s="2518"/>
      <c r="Y60" s="2519"/>
    </row>
    <row r="61" spans="1:25">
      <c r="A61" s="53">
        <f t="shared" si="1"/>
        <v>1997.04</v>
      </c>
      <c r="B61" s="214">
        <v>676235</v>
      </c>
      <c r="C61" s="3598">
        <v>112520</v>
      </c>
      <c r="D61" s="3598">
        <v>565</v>
      </c>
      <c r="E61" s="111">
        <v>63976</v>
      </c>
      <c r="F61" s="456">
        <v>123105</v>
      </c>
      <c r="G61" s="3598">
        <v>42700</v>
      </c>
      <c r="H61" s="3598">
        <v>180</v>
      </c>
      <c r="I61" s="71">
        <v>10097</v>
      </c>
      <c r="J61" s="456">
        <v>536527</v>
      </c>
      <c r="K61" s="3598">
        <v>46928</v>
      </c>
      <c r="L61" s="3598">
        <v>0</v>
      </c>
      <c r="M61" s="71">
        <v>30508</v>
      </c>
      <c r="N61" s="456">
        <v>4204</v>
      </c>
      <c r="O61" s="3598">
        <v>0</v>
      </c>
      <c r="P61" s="3598">
        <v>367</v>
      </c>
      <c r="Q61" s="71">
        <v>0</v>
      </c>
      <c r="R61" s="111">
        <v>802551</v>
      </c>
      <c r="S61" s="3598">
        <v>639215</v>
      </c>
      <c r="T61" s="3598">
        <v>5628</v>
      </c>
      <c r="U61" s="71">
        <v>63976</v>
      </c>
      <c r="V61" s="2518"/>
      <c r="W61" s="2518"/>
      <c r="X61" s="2518"/>
      <c r="Y61" s="2519"/>
    </row>
    <row r="62" spans="1:25">
      <c r="A62" s="53">
        <f t="shared" si="1"/>
        <v>1997.05</v>
      </c>
      <c r="B62" s="214">
        <v>923459</v>
      </c>
      <c r="C62" s="3598">
        <v>75199</v>
      </c>
      <c r="D62" s="3598">
        <v>0</v>
      </c>
      <c r="E62" s="111">
        <v>68007</v>
      </c>
      <c r="F62" s="456">
        <v>163885</v>
      </c>
      <c r="G62" s="3598">
        <v>28891</v>
      </c>
      <c r="H62" s="3598">
        <v>0</v>
      </c>
      <c r="I62" s="71">
        <v>10766</v>
      </c>
      <c r="J62" s="456">
        <v>735253</v>
      </c>
      <c r="K62" s="3598">
        <v>30749</v>
      </c>
      <c r="L62" s="3598">
        <v>0</v>
      </c>
      <c r="M62" s="71">
        <v>32715</v>
      </c>
      <c r="N62" s="456">
        <v>4749</v>
      </c>
      <c r="O62" s="3598">
        <v>0</v>
      </c>
      <c r="P62" s="3598">
        <v>0</v>
      </c>
      <c r="Q62" s="71">
        <v>0</v>
      </c>
      <c r="R62" s="111">
        <v>1120252</v>
      </c>
      <c r="S62" s="3598">
        <v>555987</v>
      </c>
      <c r="T62" s="3598">
        <v>396</v>
      </c>
      <c r="U62" s="71">
        <v>68007</v>
      </c>
      <c r="V62" s="2518"/>
      <c r="W62" s="2518"/>
      <c r="X62" s="2518"/>
      <c r="Y62" s="2519"/>
    </row>
    <row r="63" spans="1:25">
      <c r="A63" s="53">
        <f t="shared" si="1"/>
        <v>1997.06</v>
      </c>
      <c r="B63" s="214">
        <v>955655</v>
      </c>
      <c r="C63" s="3598">
        <v>83656</v>
      </c>
      <c r="D63" s="3598">
        <v>0</v>
      </c>
      <c r="E63" s="111">
        <v>46587</v>
      </c>
      <c r="F63" s="456">
        <v>169869</v>
      </c>
      <c r="G63" s="3598">
        <v>32269</v>
      </c>
      <c r="H63" s="3598">
        <v>0</v>
      </c>
      <c r="I63" s="71">
        <v>7697</v>
      </c>
      <c r="J63" s="456">
        <v>762946</v>
      </c>
      <c r="K63" s="3598">
        <v>31020</v>
      </c>
      <c r="L63" s="3598">
        <v>0</v>
      </c>
      <c r="M63" s="71">
        <v>23835</v>
      </c>
      <c r="N63" s="456">
        <v>4222</v>
      </c>
      <c r="O63" s="3598">
        <v>0</v>
      </c>
      <c r="P63" s="3598">
        <v>0</v>
      </c>
      <c r="Q63" s="71">
        <v>0</v>
      </c>
      <c r="R63" s="111">
        <v>1191460</v>
      </c>
      <c r="S63" s="3598">
        <v>486151</v>
      </c>
      <c r="T63" s="3598">
        <v>0</v>
      </c>
      <c r="U63" s="71">
        <v>46587</v>
      </c>
      <c r="V63" s="2518"/>
      <c r="W63" s="2518"/>
      <c r="X63" s="2518"/>
      <c r="Y63" s="2519"/>
    </row>
    <row r="64" spans="1:25">
      <c r="A64" s="53">
        <f t="shared" si="1"/>
        <v>1997.07</v>
      </c>
      <c r="B64" s="214">
        <v>1045724</v>
      </c>
      <c r="C64" s="3598">
        <v>55167</v>
      </c>
      <c r="D64" s="3598">
        <v>877</v>
      </c>
      <c r="E64" s="111">
        <v>6745</v>
      </c>
      <c r="F64" s="456">
        <v>187462</v>
      </c>
      <c r="G64" s="3598">
        <v>21206</v>
      </c>
      <c r="H64" s="3598">
        <v>284</v>
      </c>
      <c r="I64" s="71">
        <v>877</v>
      </c>
      <c r="J64" s="456">
        <v>835228</v>
      </c>
      <c r="K64" s="3598">
        <v>20040</v>
      </c>
      <c r="L64" s="3598">
        <v>0</v>
      </c>
      <c r="M64" s="71">
        <v>3035</v>
      </c>
      <c r="N64" s="456">
        <v>4852</v>
      </c>
      <c r="O64" s="3598">
        <v>0</v>
      </c>
      <c r="P64" s="3598">
        <v>567</v>
      </c>
      <c r="Q64" s="71">
        <v>0</v>
      </c>
      <c r="R64" s="111">
        <v>1289784</v>
      </c>
      <c r="S64" s="3598">
        <v>393638</v>
      </c>
      <c r="T64" s="3598">
        <v>1279</v>
      </c>
      <c r="U64" s="71">
        <v>26391</v>
      </c>
      <c r="V64" s="2518"/>
      <c r="W64" s="2518"/>
      <c r="X64" s="2518"/>
      <c r="Y64" s="2519"/>
    </row>
    <row r="65" spans="1:25">
      <c r="A65" s="53">
        <f t="shared" si="1"/>
        <v>1997.08</v>
      </c>
      <c r="B65" s="214">
        <v>1140156</v>
      </c>
      <c r="C65" s="3598">
        <v>87264</v>
      </c>
      <c r="D65" s="3598">
        <v>0</v>
      </c>
      <c r="E65" s="111">
        <v>6759</v>
      </c>
      <c r="F65" s="456">
        <v>203269</v>
      </c>
      <c r="G65" s="3598">
        <v>34151</v>
      </c>
      <c r="H65" s="3598">
        <v>0</v>
      </c>
      <c r="I65" s="71">
        <v>879</v>
      </c>
      <c r="J65" s="456">
        <v>908656</v>
      </c>
      <c r="K65" s="3598">
        <v>31351</v>
      </c>
      <c r="L65" s="3598">
        <v>0</v>
      </c>
      <c r="M65" s="71">
        <v>3042</v>
      </c>
      <c r="N65" s="456">
        <v>4978</v>
      </c>
      <c r="O65" s="3598">
        <v>0</v>
      </c>
      <c r="P65" s="3598">
        <v>0</v>
      </c>
      <c r="Q65" s="71">
        <v>0</v>
      </c>
      <c r="R65" s="111">
        <v>1304837</v>
      </c>
      <c r="S65" s="3598">
        <v>490330</v>
      </c>
      <c r="T65" s="3598">
        <v>0</v>
      </c>
      <c r="U65" s="71">
        <v>6759</v>
      </c>
      <c r="V65" s="2518"/>
      <c r="W65" s="2518"/>
      <c r="X65" s="2518"/>
      <c r="Y65" s="2519"/>
    </row>
    <row r="66" spans="1:25">
      <c r="A66" s="53">
        <f t="shared" si="1"/>
        <v>1997.09</v>
      </c>
      <c r="B66" s="214">
        <v>1052207</v>
      </c>
      <c r="C66" s="3598">
        <v>76757</v>
      </c>
      <c r="D66" s="3598">
        <v>0</v>
      </c>
      <c r="E66" s="111">
        <v>16238</v>
      </c>
      <c r="F66" s="456">
        <v>187781</v>
      </c>
      <c r="G66" s="3598">
        <v>29678</v>
      </c>
      <c r="H66" s="3598">
        <v>0</v>
      </c>
      <c r="I66" s="71">
        <v>2111</v>
      </c>
      <c r="J66" s="456">
        <v>836687</v>
      </c>
      <c r="K66" s="3598">
        <v>27088</v>
      </c>
      <c r="L66" s="3598">
        <v>0</v>
      </c>
      <c r="M66" s="71">
        <v>7307</v>
      </c>
      <c r="N66" s="456">
        <v>4411</v>
      </c>
      <c r="O66" s="3598">
        <v>0</v>
      </c>
      <c r="P66" s="3598">
        <v>0</v>
      </c>
      <c r="Q66" s="71">
        <v>0</v>
      </c>
      <c r="R66" s="111">
        <v>1253725</v>
      </c>
      <c r="S66" s="3598">
        <v>459265</v>
      </c>
      <c r="T66" s="3598">
        <v>0</v>
      </c>
      <c r="U66" s="71">
        <v>16245</v>
      </c>
      <c r="V66" s="2518"/>
      <c r="W66" s="2518"/>
      <c r="X66" s="2518"/>
      <c r="Y66" s="2519"/>
    </row>
    <row r="67" spans="1:25">
      <c r="A67" s="53">
        <f t="shared" si="1"/>
        <v>1997.1</v>
      </c>
      <c r="B67" s="214">
        <v>944422</v>
      </c>
      <c r="C67" s="3598">
        <v>96350</v>
      </c>
      <c r="D67" s="3598">
        <v>0</v>
      </c>
      <c r="E67" s="111">
        <v>0</v>
      </c>
      <c r="F67" s="456">
        <v>170215</v>
      </c>
      <c r="G67" s="3598">
        <v>37860</v>
      </c>
      <c r="H67" s="3598">
        <v>0</v>
      </c>
      <c r="I67" s="71">
        <v>0</v>
      </c>
      <c r="J67" s="456">
        <v>756423</v>
      </c>
      <c r="K67" s="3598">
        <v>37552</v>
      </c>
      <c r="L67" s="3598">
        <v>0</v>
      </c>
      <c r="M67" s="71">
        <v>0</v>
      </c>
      <c r="N67" s="456">
        <v>4097</v>
      </c>
      <c r="O67" s="3598">
        <v>0</v>
      </c>
      <c r="P67" s="3598">
        <v>0</v>
      </c>
      <c r="Q67" s="71">
        <v>0</v>
      </c>
      <c r="R67" s="111">
        <v>1097042</v>
      </c>
      <c r="S67" s="3598">
        <v>501175</v>
      </c>
      <c r="T67" s="3598">
        <v>0</v>
      </c>
      <c r="U67" s="71">
        <v>0</v>
      </c>
      <c r="V67" s="2518"/>
      <c r="W67" s="2518"/>
      <c r="X67" s="2518"/>
      <c r="Y67" s="2519"/>
    </row>
    <row r="68" spans="1:25">
      <c r="A68" s="53">
        <f t="shared" si="1"/>
        <v>1997.11</v>
      </c>
      <c r="B68" s="214">
        <v>526382</v>
      </c>
      <c r="C68" s="3598">
        <v>17008</v>
      </c>
      <c r="D68" s="3598">
        <v>0</v>
      </c>
      <c r="E68" s="111">
        <v>0</v>
      </c>
      <c r="F68" s="456">
        <v>95198</v>
      </c>
      <c r="G68" s="3598">
        <v>6955</v>
      </c>
      <c r="H68" s="3598">
        <v>0</v>
      </c>
      <c r="I68" s="71">
        <v>0</v>
      </c>
      <c r="J68" s="456">
        <v>423227</v>
      </c>
      <c r="K68" s="3598">
        <v>7361</v>
      </c>
      <c r="L68" s="3598">
        <v>0</v>
      </c>
      <c r="M68" s="71">
        <v>0</v>
      </c>
      <c r="N68" s="456">
        <v>3946</v>
      </c>
      <c r="O68" s="3598">
        <v>0</v>
      </c>
      <c r="P68" s="3598">
        <v>0</v>
      </c>
      <c r="Q68" s="71">
        <v>0</v>
      </c>
      <c r="R68" s="111">
        <v>580703</v>
      </c>
      <c r="S68" s="3598">
        <v>372785</v>
      </c>
      <c r="T68" s="3598">
        <v>0</v>
      </c>
      <c r="U68" s="71">
        <v>0</v>
      </c>
      <c r="V68" s="2518"/>
      <c r="W68" s="2518"/>
      <c r="X68" s="2518"/>
      <c r="Y68" s="2519"/>
    </row>
    <row r="69" spans="1:25">
      <c r="A69" s="53">
        <f t="shared" si="1"/>
        <v>1997.12</v>
      </c>
      <c r="B69" s="214">
        <v>531655</v>
      </c>
      <c r="C69" s="3598">
        <v>22150</v>
      </c>
      <c r="D69" s="3598">
        <v>0</v>
      </c>
      <c r="E69" s="111">
        <v>0</v>
      </c>
      <c r="F69" s="456">
        <v>94826</v>
      </c>
      <c r="G69" s="3598">
        <v>9037</v>
      </c>
      <c r="H69" s="3598">
        <v>0</v>
      </c>
      <c r="I69" s="71">
        <v>0</v>
      </c>
      <c r="J69" s="456">
        <v>421692</v>
      </c>
      <c r="K69" s="3598">
        <v>7786</v>
      </c>
      <c r="L69" s="3598">
        <v>0</v>
      </c>
      <c r="M69" s="71">
        <v>0</v>
      </c>
      <c r="N69" s="456">
        <v>3812</v>
      </c>
      <c r="O69" s="3598">
        <v>0</v>
      </c>
      <c r="P69" s="3598">
        <v>0</v>
      </c>
      <c r="Q69" s="71">
        <v>0</v>
      </c>
      <c r="R69" s="111">
        <v>615185</v>
      </c>
      <c r="S69" s="3598">
        <v>221388</v>
      </c>
      <c r="T69" s="3598">
        <v>8842</v>
      </c>
      <c r="U69" s="71">
        <v>0</v>
      </c>
      <c r="V69" s="2518"/>
      <c r="W69" s="2518"/>
      <c r="X69" s="2518"/>
      <c r="Y69" s="2519"/>
    </row>
    <row r="70" spans="1:25">
      <c r="A70" s="53">
        <f t="shared" si="1"/>
        <v>1998.01</v>
      </c>
      <c r="B70" s="214">
        <v>496298</v>
      </c>
      <c r="C70" s="3598">
        <v>113108</v>
      </c>
      <c r="D70" s="3598">
        <v>0</v>
      </c>
      <c r="E70" s="111">
        <v>0</v>
      </c>
      <c r="F70" s="456">
        <v>88057</v>
      </c>
      <c r="G70" s="3598">
        <v>43760</v>
      </c>
      <c r="H70" s="3598">
        <v>0</v>
      </c>
      <c r="I70" s="71">
        <v>0</v>
      </c>
      <c r="J70" s="456">
        <v>392828</v>
      </c>
      <c r="K70" s="3598">
        <v>45774</v>
      </c>
      <c r="L70" s="3598">
        <v>0</v>
      </c>
      <c r="M70" s="71">
        <v>0</v>
      </c>
      <c r="N70" s="456">
        <v>4008</v>
      </c>
      <c r="O70" s="3598">
        <v>0</v>
      </c>
      <c r="P70" s="3598">
        <v>0</v>
      </c>
      <c r="Q70" s="71">
        <v>0</v>
      </c>
      <c r="R70" s="111">
        <v>543041</v>
      </c>
      <c r="S70" s="3599">
        <v>163693</v>
      </c>
      <c r="T70" s="3598">
        <v>9738</v>
      </c>
      <c r="U70" s="71">
        <v>0</v>
      </c>
      <c r="V70" s="2518"/>
      <c r="W70" s="2518"/>
      <c r="X70" s="2518"/>
      <c r="Y70" s="2519"/>
    </row>
    <row r="71" spans="1:25">
      <c r="A71" s="53">
        <f t="shared" si="1"/>
        <v>1998.02</v>
      </c>
      <c r="B71" s="214">
        <v>241353</v>
      </c>
      <c r="C71" s="3598">
        <v>155083</v>
      </c>
      <c r="D71" s="3598">
        <v>6969</v>
      </c>
      <c r="E71" s="111">
        <v>0</v>
      </c>
      <c r="F71" s="456">
        <v>42688</v>
      </c>
      <c r="G71" s="3598">
        <v>57968</v>
      </c>
      <c r="H71" s="3598">
        <v>2106</v>
      </c>
      <c r="I71" s="71">
        <v>0</v>
      </c>
      <c r="J71" s="456">
        <v>191137</v>
      </c>
      <c r="K71" s="3598">
        <v>76768</v>
      </c>
      <c r="L71" s="3598">
        <v>0</v>
      </c>
      <c r="M71" s="71">
        <v>0</v>
      </c>
      <c r="N71" s="456">
        <v>3617</v>
      </c>
      <c r="O71" s="3598">
        <v>0</v>
      </c>
      <c r="P71" s="3598">
        <v>4744</v>
      </c>
      <c r="Q71" s="71">
        <v>0</v>
      </c>
      <c r="R71" s="111">
        <v>255597</v>
      </c>
      <c r="S71" s="3598">
        <v>295165</v>
      </c>
      <c r="T71" s="3598">
        <v>16941</v>
      </c>
      <c r="U71" s="71">
        <v>0</v>
      </c>
      <c r="V71" s="2518"/>
      <c r="W71" s="2518"/>
      <c r="X71" s="2518"/>
      <c r="Y71" s="2519"/>
    </row>
    <row r="72" spans="1:25">
      <c r="A72" s="53">
        <f t="shared" si="1"/>
        <v>1998.03</v>
      </c>
      <c r="B72" s="214">
        <v>330831</v>
      </c>
      <c r="C72" s="3598">
        <v>257288</v>
      </c>
      <c r="D72" s="3598">
        <v>6592</v>
      </c>
      <c r="E72" s="111">
        <v>28633</v>
      </c>
      <c r="F72" s="456">
        <v>60399</v>
      </c>
      <c r="G72" s="3598">
        <v>97583</v>
      </c>
      <c r="H72" s="3598">
        <v>2116</v>
      </c>
      <c r="I72" s="71">
        <v>3722</v>
      </c>
      <c r="J72" s="456">
        <v>262006</v>
      </c>
      <c r="K72" s="3598">
        <v>133971</v>
      </c>
      <c r="L72" s="3598">
        <v>0</v>
      </c>
      <c r="M72" s="71">
        <v>12885</v>
      </c>
      <c r="N72" s="456">
        <v>4699</v>
      </c>
      <c r="O72" s="3598">
        <v>0</v>
      </c>
      <c r="P72" s="3598">
        <v>4177</v>
      </c>
      <c r="Q72" s="71">
        <v>0</v>
      </c>
      <c r="R72" s="111">
        <v>369302</v>
      </c>
      <c r="S72" s="3598">
        <v>822151</v>
      </c>
      <c r="T72" s="3598">
        <v>14436</v>
      </c>
      <c r="U72" s="71">
        <v>28633</v>
      </c>
      <c r="V72" s="2518"/>
      <c r="W72" s="2518"/>
      <c r="X72" s="2518"/>
      <c r="Y72" s="2519"/>
    </row>
    <row r="73" spans="1:25">
      <c r="A73" s="53">
        <f t="shared" si="1"/>
        <v>1998.04</v>
      </c>
      <c r="B73" s="214">
        <v>1033458</v>
      </c>
      <c r="C73" s="3598">
        <v>130729</v>
      </c>
      <c r="D73" s="3598">
        <v>0</v>
      </c>
      <c r="E73" s="111">
        <v>31044</v>
      </c>
      <c r="F73" s="456">
        <v>186876</v>
      </c>
      <c r="G73" s="3598">
        <v>50196</v>
      </c>
      <c r="H73" s="3598">
        <v>0</v>
      </c>
      <c r="I73" s="71">
        <v>3841</v>
      </c>
      <c r="J73" s="456">
        <v>817081</v>
      </c>
      <c r="K73" s="3598">
        <v>57432</v>
      </c>
      <c r="L73" s="3598">
        <v>0</v>
      </c>
      <c r="M73" s="71">
        <v>14258</v>
      </c>
      <c r="N73" s="456">
        <v>5617</v>
      </c>
      <c r="O73" s="3598">
        <v>0</v>
      </c>
      <c r="P73" s="3598">
        <v>0</v>
      </c>
      <c r="Q73" s="71">
        <v>0</v>
      </c>
      <c r="R73" s="111">
        <v>1161016</v>
      </c>
      <c r="S73" s="3598">
        <v>664661</v>
      </c>
      <c r="T73" s="3598">
        <v>1430</v>
      </c>
      <c r="U73" s="71">
        <v>31044</v>
      </c>
      <c r="V73" s="2518"/>
      <c r="W73" s="2518"/>
      <c r="X73" s="2518"/>
      <c r="Y73" s="2519"/>
    </row>
    <row r="74" spans="1:25">
      <c r="A74" s="53">
        <f t="shared" si="1"/>
        <v>1998.05</v>
      </c>
      <c r="B74" s="214">
        <v>1247989</v>
      </c>
      <c r="C74" s="3598">
        <v>80350</v>
      </c>
      <c r="D74" s="3598">
        <v>330</v>
      </c>
      <c r="E74" s="111">
        <v>33089</v>
      </c>
      <c r="F74" s="456">
        <v>222368</v>
      </c>
      <c r="G74" s="3598">
        <v>30687</v>
      </c>
      <c r="H74" s="3598">
        <v>109</v>
      </c>
      <c r="I74" s="71">
        <v>4302</v>
      </c>
      <c r="J74" s="456">
        <v>994853</v>
      </c>
      <c r="K74" s="3598">
        <v>30259</v>
      </c>
      <c r="L74" s="3598">
        <v>0</v>
      </c>
      <c r="M74" s="71">
        <v>14890</v>
      </c>
      <c r="N74" s="456">
        <v>5856</v>
      </c>
      <c r="O74" s="3598">
        <v>0</v>
      </c>
      <c r="P74" s="3598">
        <v>203</v>
      </c>
      <c r="Q74" s="71">
        <v>0</v>
      </c>
      <c r="R74" s="111">
        <v>1460967</v>
      </c>
      <c r="S74" s="3598">
        <v>589933</v>
      </c>
      <c r="T74" s="3598">
        <v>2236</v>
      </c>
      <c r="U74" s="71">
        <v>33089</v>
      </c>
      <c r="V74" s="2518"/>
      <c r="W74" s="2518"/>
      <c r="X74" s="2518"/>
      <c r="Y74" s="2519"/>
    </row>
    <row r="75" spans="1:25">
      <c r="A75" s="53">
        <f t="shared" si="1"/>
        <v>1998.06</v>
      </c>
      <c r="B75" s="214">
        <v>1369662</v>
      </c>
      <c r="C75" s="3598">
        <v>54915</v>
      </c>
      <c r="D75" s="3598">
        <v>0</v>
      </c>
      <c r="E75" s="111">
        <v>34077</v>
      </c>
      <c r="F75" s="456">
        <v>240045</v>
      </c>
      <c r="G75" s="3598">
        <v>21138</v>
      </c>
      <c r="H75" s="3598">
        <v>0</v>
      </c>
      <c r="I75" s="71">
        <v>4430</v>
      </c>
      <c r="J75" s="456">
        <v>1094433</v>
      </c>
      <c r="K75" s="3598">
        <v>23293</v>
      </c>
      <c r="L75" s="3598">
        <v>0</v>
      </c>
      <c r="M75" s="71">
        <v>15335</v>
      </c>
      <c r="N75" s="456">
        <v>5890</v>
      </c>
      <c r="O75" s="3598">
        <v>0</v>
      </c>
      <c r="P75" s="3598">
        <v>0</v>
      </c>
      <c r="Q75" s="71">
        <v>0</v>
      </c>
      <c r="R75" s="111">
        <v>1570656</v>
      </c>
      <c r="S75" s="3598">
        <v>554382</v>
      </c>
      <c r="T75" s="3598">
        <v>4420</v>
      </c>
      <c r="U75" s="71">
        <v>34077</v>
      </c>
      <c r="V75" s="2518"/>
      <c r="W75" s="2518"/>
      <c r="X75" s="2518"/>
      <c r="Y75" s="2519"/>
    </row>
    <row r="76" spans="1:25">
      <c r="A76" s="53">
        <f t="shared" si="1"/>
        <v>1998.07</v>
      </c>
      <c r="B76" s="214">
        <v>1519291</v>
      </c>
      <c r="C76" s="3598">
        <v>47176</v>
      </c>
      <c r="D76" s="3598">
        <v>0</v>
      </c>
      <c r="E76" s="111">
        <v>34366</v>
      </c>
      <c r="F76" s="456">
        <v>267673</v>
      </c>
      <c r="G76" s="3598">
        <v>17930</v>
      </c>
      <c r="H76" s="3598">
        <v>0</v>
      </c>
      <c r="I76" s="71">
        <v>4460</v>
      </c>
      <c r="J76" s="456">
        <v>1221847</v>
      </c>
      <c r="K76" s="3598">
        <v>18967</v>
      </c>
      <c r="L76" s="3598">
        <v>0</v>
      </c>
      <c r="M76" s="71">
        <v>15465</v>
      </c>
      <c r="N76" s="456">
        <v>5077</v>
      </c>
      <c r="O76" s="3598">
        <v>0</v>
      </c>
      <c r="P76" s="3598">
        <v>0</v>
      </c>
      <c r="Q76" s="71">
        <v>0</v>
      </c>
      <c r="R76" s="111">
        <v>1713358</v>
      </c>
      <c r="S76" s="3598">
        <v>520542</v>
      </c>
      <c r="T76" s="3598">
        <v>1250</v>
      </c>
      <c r="U76" s="71">
        <v>34366</v>
      </c>
      <c r="V76" s="2518"/>
      <c r="W76" s="2518"/>
      <c r="X76" s="2518"/>
      <c r="Y76" s="2519"/>
    </row>
    <row r="77" spans="1:25">
      <c r="A77" s="53">
        <f t="shared" si="1"/>
        <v>1998.08</v>
      </c>
      <c r="B77" s="214">
        <v>1450350</v>
      </c>
      <c r="C77" s="3598">
        <v>53648</v>
      </c>
      <c r="D77" s="3598">
        <v>501</v>
      </c>
      <c r="E77" s="111">
        <v>64421</v>
      </c>
      <c r="F77" s="456">
        <v>254888</v>
      </c>
      <c r="G77" s="3598">
        <v>20176</v>
      </c>
      <c r="H77" s="3598">
        <v>164</v>
      </c>
      <c r="I77" s="71">
        <v>9176</v>
      </c>
      <c r="J77" s="456">
        <v>1155278</v>
      </c>
      <c r="K77" s="3598">
        <v>22387</v>
      </c>
      <c r="L77" s="3598">
        <v>0</v>
      </c>
      <c r="M77" s="71">
        <v>28497</v>
      </c>
      <c r="N77" s="456">
        <v>5807</v>
      </c>
      <c r="O77" s="3598">
        <v>0</v>
      </c>
      <c r="P77" s="3598">
        <v>308</v>
      </c>
      <c r="Q77" s="71">
        <v>0</v>
      </c>
      <c r="R77" s="111">
        <v>1720233</v>
      </c>
      <c r="S77" s="3598">
        <v>405934</v>
      </c>
      <c r="T77" s="3598">
        <v>1351</v>
      </c>
      <c r="U77" s="71">
        <v>64421</v>
      </c>
      <c r="V77" s="2518"/>
      <c r="W77" s="2518"/>
      <c r="X77" s="2518"/>
      <c r="Y77" s="2519"/>
    </row>
    <row r="78" spans="1:25">
      <c r="A78" s="53">
        <f t="shared" si="1"/>
        <v>1998.09</v>
      </c>
      <c r="B78" s="214">
        <v>1491394</v>
      </c>
      <c r="C78" s="3598">
        <v>59980</v>
      </c>
      <c r="D78" s="3598">
        <v>1398</v>
      </c>
      <c r="E78" s="111">
        <v>54699</v>
      </c>
      <c r="F78" s="456">
        <v>263588</v>
      </c>
      <c r="G78" s="3598">
        <v>23215</v>
      </c>
      <c r="H78" s="3598">
        <v>425</v>
      </c>
      <c r="I78" s="71">
        <v>8092</v>
      </c>
      <c r="J78" s="456">
        <v>1201812</v>
      </c>
      <c r="K78" s="3598">
        <v>23883</v>
      </c>
      <c r="L78" s="3598">
        <v>0</v>
      </c>
      <c r="M78" s="71">
        <v>23384</v>
      </c>
      <c r="N78" s="456">
        <v>5147</v>
      </c>
      <c r="O78" s="3598">
        <v>0</v>
      </c>
      <c r="P78" s="3598">
        <v>897</v>
      </c>
      <c r="Q78" s="71">
        <v>0</v>
      </c>
      <c r="R78" s="111">
        <v>1799139</v>
      </c>
      <c r="S78" s="3598">
        <v>396330</v>
      </c>
      <c r="T78" s="3598">
        <v>3452</v>
      </c>
      <c r="U78" s="71">
        <v>54699</v>
      </c>
      <c r="V78" s="2518"/>
      <c r="W78" s="2518"/>
      <c r="X78" s="2518"/>
      <c r="Y78" s="2519"/>
    </row>
    <row r="79" spans="1:25">
      <c r="A79" s="53">
        <f t="shared" si="1"/>
        <v>1998.1</v>
      </c>
      <c r="B79" s="214">
        <v>1387716</v>
      </c>
      <c r="C79" s="3598">
        <v>37205</v>
      </c>
      <c r="D79" s="3598">
        <v>0</v>
      </c>
      <c r="E79" s="111">
        <v>61741</v>
      </c>
      <c r="F79" s="456">
        <v>244490</v>
      </c>
      <c r="G79" s="3598">
        <v>14398</v>
      </c>
      <c r="H79" s="3598">
        <v>0</v>
      </c>
      <c r="I79" s="71">
        <v>9336</v>
      </c>
      <c r="J79" s="456">
        <v>1112858</v>
      </c>
      <c r="K79" s="3598">
        <v>15992</v>
      </c>
      <c r="L79" s="3598">
        <v>0</v>
      </c>
      <c r="M79" s="71">
        <v>27661</v>
      </c>
      <c r="N79" s="456">
        <v>5495</v>
      </c>
      <c r="O79" s="3598">
        <v>0</v>
      </c>
      <c r="P79" s="3598">
        <v>0</v>
      </c>
      <c r="Q79" s="71">
        <v>0</v>
      </c>
      <c r="R79" s="111">
        <v>1676215</v>
      </c>
      <c r="S79" s="3598">
        <v>395045</v>
      </c>
      <c r="T79" s="3598">
        <v>2705</v>
      </c>
      <c r="U79" s="71">
        <v>61741</v>
      </c>
      <c r="V79" s="2518"/>
      <c r="W79" s="2518"/>
      <c r="X79" s="2518"/>
      <c r="Y79" s="2519"/>
    </row>
    <row r="80" spans="1:25">
      <c r="A80" s="53">
        <f t="shared" si="1"/>
        <v>1998.11</v>
      </c>
      <c r="B80" s="214">
        <v>1367955</v>
      </c>
      <c r="C80" s="3598">
        <v>37810</v>
      </c>
      <c r="D80" s="3598">
        <v>0</v>
      </c>
      <c r="E80" s="111">
        <v>9836</v>
      </c>
      <c r="F80" s="456">
        <v>240037</v>
      </c>
      <c r="G80" s="3598">
        <v>14652</v>
      </c>
      <c r="H80" s="3598">
        <v>0</v>
      </c>
      <c r="I80" s="71">
        <v>1759</v>
      </c>
      <c r="J80" s="456">
        <v>1095182</v>
      </c>
      <c r="K80" s="3598">
        <v>16030</v>
      </c>
      <c r="L80" s="3598">
        <v>0</v>
      </c>
      <c r="M80" s="71">
        <v>4641</v>
      </c>
      <c r="N80" s="456">
        <v>5592</v>
      </c>
      <c r="O80" s="3598">
        <v>0</v>
      </c>
      <c r="P80" s="3598">
        <v>0</v>
      </c>
      <c r="Q80" s="71">
        <v>0</v>
      </c>
      <c r="R80" s="111">
        <v>1660790</v>
      </c>
      <c r="S80" s="3598">
        <v>269170</v>
      </c>
      <c r="T80" s="3598">
        <v>1061</v>
      </c>
      <c r="U80" s="71">
        <v>9836</v>
      </c>
      <c r="V80" s="2518"/>
      <c r="W80" s="2518"/>
      <c r="X80" s="2518"/>
      <c r="Y80" s="2519"/>
    </row>
    <row r="81" spans="1:25">
      <c r="A81" s="53">
        <f t="shared" si="1"/>
        <v>1998.12</v>
      </c>
      <c r="B81" s="214">
        <v>1139957</v>
      </c>
      <c r="C81" s="3598">
        <v>13028</v>
      </c>
      <c r="D81" s="3598">
        <v>574</v>
      </c>
      <c r="E81" s="111">
        <v>0</v>
      </c>
      <c r="F81" s="456">
        <v>201099</v>
      </c>
      <c r="G81" s="3598">
        <v>4977</v>
      </c>
      <c r="H81" s="3598">
        <v>198</v>
      </c>
      <c r="I81" s="71">
        <v>0</v>
      </c>
      <c r="J81" s="456">
        <v>911204</v>
      </c>
      <c r="K81" s="3598">
        <v>5206</v>
      </c>
      <c r="L81" s="3598">
        <v>0</v>
      </c>
      <c r="M81" s="71">
        <v>0</v>
      </c>
      <c r="N81" s="456">
        <v>4495</v>
      </c>
      <c r="O81" s="3598">
        <v>0</v>
      </c>
      <c r="P81" s="3598">
        <v>354</v>
      </c>
      <c r="Q81" s="71">
        <v>0</v>
      </c>
      <c r="R81" s="111">
        <v>1377126</v>
      </c>
      <c r="S81" s="3598">
        <v>83195</v>
      </c>
      <c r="T81" s="3598">
        <v>3244</v>
      </c>
      <c r="U81" s="71">
        <v>0</v>
      </c>
      <c r="V81" s="2518"/>
      <c r="W81" s="2518"/>
      <c r="X81" s="2518"/>
      <c r="Y81" s="2519"/>
    </row>
    <row r="82" spans="1:25">
      <c r="A82" s="53">
        <f t="shared" si="1"/>
        <v>1999.01</v>
      </c>
      <c r="B82" s="214">
        <v>980792</v>
      </c>
      <c r="C82" s="3598">
        <v>156717</v>
      </c>
      <c r="D82" s="3598">
        <v>1421</v>
      </c>
      <c r="E82" s="111">
        <v>0</v>
      </c>
      <c r="F82" s="456">
        <v>174367</v>
      </c>
      <c r="G82" s="3598">
        <v>62421</v>
      </c>
      <c r="H82" s="3598">
        <v>471</v>
      </c>
      <c r="I82" s="71">
        <v>0</v>
      </c>
      <c r="J82" s="456">
        <v>783227</v>
      </c>
      <c r="K82" s="3598">
        <v>70450</v>
      </c>
      <c r="L82" s="3598">
        <v>0</v>
      </c>
      <c r="M82" s="71">
        <v>0</v>
      </c>
      <c r="N82" s="456">
        <v>4701</v>
      </c>
      <c r="O82" s="3598">
        <v>0</v>
      </c>
      <c r="P82" s="3598">
        <v>901</v>
      </c>
      <c r="Q82" s="71">
        <v>0</v>
      </c>
      <c r="R82" s="111">
        <v>1160945</v>
      </c>
      <c r="S82" s="3598">
        <v>230580</v>
      </c>
      <c r="T82" s="3598">
        <v>10539</v>
      </c>
      <c r="U82" s="71">
        <v>0</v>
      </c>
      <c r="V82" s="2518"/>
      <c r="W82" s="2518"/>
      <c r="X82" s="2518"/>
      <c r="Y82" s="2519"/>
    </row>
    <row r="83" spans="1:25">
      <c r="A83" s="53">
        <f t="shared" si="1"/>
        <v>1999.02</v>
      </c>
      <c r="B83" s="214">
        <v>660988</v>
      </c>
      <c r="C83" s="3598">
        <v>210179</v>
      </c>
      <c r="D83" s="3598">
        <v>1160</v>
      </c>
      <c r="E83" s="111">
        <v>0</v>
      </c>
      <c r="F83" s="456">
        <v>117695</v>
      </c>
      <c r="G83" s="3598">
        <v>81967</v>
      </c>
      <c r="H83" s="3598">
        <v>369</v>
      </c>
      <c r="I83" s="71">
        <v>0</v>
      </c>
      <c r="J83" s="456">
        <v>526732</v>
      </c>
      <c r="K83" s="3598">
        <v>97913</v>
      </c>
      <c r="L83" s="3598">
        <v>0</v>
      </c>
      <c r="M83" s="71">
        <v>0</v>
      </c>
      <c r="N83" s="456">
        <v>4592</v>
      </c>
      <c r="O83" s="3598">
        <v>0</v>
      </c>
      <c r="P83" s="3598">
        <v>746</v>
      </c>
      <c r="Q83" s="71">
        <v>0</v>
      </c>
      <c r="R83" s="111">
        <v>822854</v>
      </c>
      <c r="S83" s="3598">
        <v>459254</v>
      </c>
      <c r="T83" s="3598">
        <v>10091</v>
      </c>
      <c r="U83" s="71">
        <v>0</v>
      </c>
      <c r="V83" s="2518"/>
      <c r="W83" s="2518"/>
      <c r="X83" s="2518"/>
      <c r="Y83" s="2519"/>
    </row>
    <row r="84" spans="1:25">
      <c r="A84" s="53">
        <f t="shared" si="1"/>
        <v>1999.03</v>
      </c>
      <c r="B84" s="214">
        <v>590872</v>
      </c>
      <c r="C84" s="3598">
        <v>239697</v>
      </c>
      <c r="D84" s="3598">
        <v>0</v>
      </c>
      <c r="E84" s="111">
        <v>0</v>
      </c>
      <c r="F84" s="456">
        <v>106463</v>
      </c>
      <c r="G84" s="3598">
        <v>95619</v>
      </c>
      <c r="H84" s="3598">
        <v>0</v>
      </c>
      <c r="I84" s="71">
        <v>0</v>
      </c>
      <c r="J84" s="456">
        <v>468287</v>
      </c>
      <c r="K84" s="3598">
        <v>112776</v>
      </c>
      <c r="L84" s="3598">
        <v>0</v>
      </c>
      <c r="M84" s="71">
        <v>0</v>
      </c>
      <c r="N84" s="456">
        <v>3980</v>
      </c>
      <c r="O84" s="3598">
        <v>0</v>
      </c>
      <c r="P84" s="3598">
        <v>0</v>
      </c>
      <c r="Q84" s="71">
        <v>0</v>
      </c>
      <c r="R84" s="111">
        <v>619126</v>
      </c>
      <c r="S84" s="3598">
        <v>870991</v>
      </c>
      <c r="T84" s="3598">
        <v>7256</v>
      </c>
      <c r="U84" s="71">
        <v>0</v>
      </c>
      <c r="V84" s="2518"/>
      <c r="W84" s="2518"/>
      <c r="X84" s="2518"/>
      <c r="Y84" s="2519"/>
    </row>
    <row r="85" spans="1:25">
      <c r="A85" s="53">
        <f t="shared" si="1"/>
        <v>1999.04</v>
      </c>
      <c r="B85" s="214">
        <v>1243221</v>
      </c>
      <c r="C85" s="3598">
        <v>177555</v>
      </c>
      <c r="D85" s="3598">
        <v>0</v>
      </c>
      <c r="E85" s="111">
        <v>0</v>
      </c>
      <c r="F85" s="456">
        <v>231564</v>
      </c>
      <c r="G85" s="3598">
        <v>70872</v>
      </c>
      <c r="H85" s="3598">
        <v>0</v>
      </c>
      <c r="I85" s="71">
        <v>0</v>
      </c>
      <c r="J85" s="456">
        <v>978053</v>
      </c>
      <c r="K85" s="3598">
        <v>84225</v>
      </c>
      <c r="L85" s="3598">
        <v>0</v>
      </c>
      <c r="M85" s="71">
        <v>0</v>
      </c>
      <c r="N85" s="456">
        <v>4453</v>
      </c>
      <c r="O85" s="3598">
        <v>0</v>
      </c>
      <c r="P85" s="3598">
        <v>0</v>
      </c>
      <c r="Q85" s="71">
        <v>0</v>
      </c>
      <c r="R85" s="111">
        <v>1355129</v>
      </c>
      <c r="S85" s="3598">
        <v>763339</v>
      </c>
      <c r="T85" s="3598">
        <v>7125</v>
      </c>
      <c r="U85" s="71">
        <v>0</v>
      </c>
      <c r="V85" s="2518"/>
      <c r="W85" s="2518"/>
      <c r="X85" s="2518"/>
      <c r="Y85" s="2519"/>
    </row>
    <row r="86" spans="1:25">
      <c r="A86" s="53">
        <f t="shared" ref="A86:A149" si="2">A74+1</f>
        <v>1999.05</v>
      </c>
      <c r="B86" s="214">
        <v>1533893</v>
      </c>
      <c r="C86" s="3598">
        <v>100444</v>
      </c>
      <c r="D86" s="3598">
        <v>3523</v>
      </c>
      <c r="E86" s="111">
        <v>0</v>
      </c>
      <c r="F86" s="456">
        <v>281404</v>
      </c>
      <c r="G86" s="3598">
        <v>39547</v>
      </c>
      <c r="H86" s="3598">
        <v>1264</v>
      </c>
      <c r="I86" s="71">
        <v>0</v>
      </c>
      <c r="J86" s="456">
        <v>1200604</v>
      </c>
      <c r="K86" s="3598">
        <v>39162</v>
      </c>
      <c r="L86" s="3598">
        <v>2231</v>
      </c>
      <c r="M86" s="71">
        <v>0</v>
      </c>
      <c r="N86" s="456">
        <v>6300</v>
      </c>
      <c r="O86" s="3598">
        <v>0</v>
      </c>
      <c r="P86" s="3598">
        <v>0</v>
      </c>
      <c r="Q86" s="71">
        <v>0</v>
      </c>
      <c r="R86" s="111">
        <v>1776405</v>
      </c>
      <c r="S86" s="3598">
        <v>630913</v>
      </c>
      <c r="T86" s="3598">
        <v>11302</v>
      </c>
      <c r="U86" s="71">
        <v>0</v>
      </c>
      <c r="V86" s="2518"/>
      <c r="W86" s="2518"/>
      <c r="X86" s="2518"/>
      <c r="Y86" s="2519"/>
    </row>
    <row r="87" spans="1:25">
      <c r="A87" s="53">
        <f t="shared" si="2"/>
        <v>1999.06</v>
      </c>
      <c r="B87" s="214">
        <v>1542375</v>
      </c>
      <c r="C87" s="3598">
        <v>73743</v>
      </c>
      <c r="D87" s="3598">
        <v>0</v>
      </c>
      <c r="E87" s="111">
        <v>0</v>
      </c>
      <c r="F87" s="456">
        <v>276623</v>
      </c>
      <c r="G87" s="3598">
        <v>29341</v>
      </c>
      <c r="H87" s="3598">
        <v>0</v>
      </c>
      <c r="I87" s="71">
        <v>0</v>
      </c>
      <c r="J87" s="456">
        <v>1205854</v>
      </c>
      <c r="K87" s="3598">
        <v>29791</v>
      </c>
      <c r="L87" s="3598">
        <v>0</v>
      </c>
      <c r="M87" s="71">
        <v>0</v>
      </c>
      <c r="N87" s="456">
        <v>5732</v>
      </c>
      <c r="O87" s="3598">
        <v>0</v>
      </c>
      <c r="P87" s="3598">
        <v>0</v>
      </c>
      <c r="Q87" s="71">
        <v>0</v>
      </c>
      <c r="R87" s="111">
        <v>1825033</v>
      </c>
      <c r="S87" s="3598">
        <v>538975</v>
      </c>
      <c r="T87" s="3598">
        <v>5610</v>
      </c>
      <c r="U87" s="71">
        <v>0</v>
      </c>
      <c r="V87" s="2518"/>
      <c r="W87" s="2518"/>
      <c r="X87" s="2518"/>
      <c r="Y87" s="2519"/>
    </row>
    <row r="88" spans="1:25">
      <c r="A88" s="53">
        <f t="shared" si="2"/>
        <v>1999.07</v>
      </c>
      <c r="B88" s="214">
        <v>1528017</v>
      </c>
      <c r="C88" s="3598">
        <v>100420</v>
      </c>
      <c r="D88" s="3598">
        <v>130</v>
      </c>
      <c r="E88" s="111">
        <v>0</v>
      </c>
      <c r="F88" s="456">
        <v>278929</v>
      </c>
      <c r="G88" s="3598">
        <v>39839</v>
      </c>
      <c r="H88" s="3598">
        <v>17</v>
      </c>
      <c r="I88" s="71">
        <v>0</v>
      </c>
      <c r="J88" s="456">
        <v>1196363</v>
      </c>
      <c r="K88" s="3598">
        <v>38335</v>
      </c>
      <c r="L88" s="3598">
        <v>0</v>
      </c>
      <c r="M88" s="71">
        <v>0</v>
      </c>
      <c r="N88" s="456">
        <v>6300</v>
      </c>
      <c r="O88" s="3598">
        <v>0</v>
      </c>
      <c r="P88" s="3598">
        <v>80</v>
      </c>
      <c r="Q88" s="71">
        <v>0</v>
      </c>
      <c r="R88" s="111">
        <v>1709025</v>
      </c>
      <c r="S88" s="3598">
        <v>623961</v>
      </c>
      <c r="T88" s="3598">
        <v>1846</v>
      </c>
      <c r="U88" s="71">
        <v>0</v>
      </c>
      <c r="V88" s="2518"/>
      <c r="W88" s="2518"/>
      <c r="X88" s="2518"/>
      <c r="Y88" s="2519"/>
    </row>
    <row r="89" spans="1:25">
      <c r="A89" s="53">
        <f t="shared" si="2"/>
        <v>1999.08</v>
      </c>
      <c r="B89" s="214">
        <v>1535746</v>
      </c>
      <c r="C89" s="3598">
        <v>101613</v>
      </c>
      <c r="D89" s="3598">
        <v>370</v>
      </c>
      <c r="E89" s="111">
        <v>0</v>
      </c>
      <c r="F89" s="456">
        <v>279205</v>
      </c>
      <c r="G89" s="3598">
        <v>40228</v>
      </c>
      <c r="H89" s="3598">
        <v>120</v>
      </c>
      <c r="I89" s="71">
        <v>0</v>
      </c>
      <c r="J89" s="456">
        <v>1205361</v>
      </c>
      <c r="K89" s="3598">
        <v>38032</v>
      </c>
      <c r="L89" s="3598">
        <v>0</v>
      </c>
      <c r="M89" s="71">
        <v>0</v>
      </c>
      <c r="N89" s="456">
        <v>3965</v>
      </c>
      <c r="O89" s="3598">
        <v>0</v>
      </c>
      <c r="P89" s="3598">
        <v>230</v>
      </c>
      <c r="Q89" s="71">
        <v>0</v>
      </c>
      <c r="R89" s="111">
        <v>1829138</v>
      </c>
      <c r="S89" s="3598">
        <v>461216</v>
      </c>
      <c r="T89" s="3598">
        <v>1001</v>
      </c>
      <c r="U89" s="71">
        <v>0</v>
      </c>
      <c r="V89" s="2518"/>
      <c r="W89" s="2518"/>
      <c r="X89" s="2518"/>
      <c r="Y89" s="2519"/>
    </row>
    <row r="90" spans="1:25">
      <c r="A90" s="53">
        <f t="shared" si="2"/>
        <v>1999.09</v>
      </c>
      <c r="B90" s="214">
        <v>1453455</v>
      </c>
      <c r="C90" s="3598">
        <v>58645</v>
      </c>
      <c r="D90" s="3598">
        <v>0</v>
      </c>
      <c r="E90" s="111">
        <v>0</v>
      </c>
      <c r="F90" s="456">
        <v>265924</v>
      </c>
      <c r="G90" s="3598">
        <v>23158</v>
      </c>
      <c r="H90" s="3598">
        <v>0</v>
      </c>
      <c r="I90" s="71">
        <v>0</v>
      </c>
      <c r="J90" s="456">
        <v>1143478</v>
      </c>
      <c r="K90" s="3598">
        <v>23597</v>
      </c>
      <c r="L90" s="3598">
        <v>0</v>
      </c>
      <c r="M90" s="71">
        <v>0</v>
      </c>
      <c r="N90" s="456">
        <v>3527</v>
      </c>
      <c r="O90" s="3598">
        <v>0</v>
      </c>
      <c r="P90" s="3598">
        <v>0</v>
      </c>
      <c r="Q90" s="71">
        <v>0</v>
      </c>
      <c r="R90" s="111">
        <v>1694839</v>
      </c>
      <c r="S90" s="3598">
        <v>492436</v>
      </c>
      <c r="T90" s="3598">
        <v>2473</v>
      </c>
      <c r="U90" s="71">
        <v>0</v>
      </c>
      <c r="V90" s="2518"/>
      <c r="W90" s="2518"/>
      <c r="X90" s="2518"/>
      <c r="Y90" s="2519"/>
    </row>
    <row r="91" spans="1:25">
      <c r="A91" s="53">
        <f t="shared" si="2"/>
        <v>1999.1</v>
      </c>
      <c r="B91" s="214">
        <v>1380616</v>
      </c>
      <c r="C91" s="3598">
        <v>92809</v>
      </c>
      <c r="D91" s="3598">
        <v>0</v>
      </c>
      <c r="E91" s="111">
        <v>0</v>
      </c>
      <c r="F91" s="456">
        <v>254643</v>
      </c>
      <c r="G91" s="3598">
        <v>37500</v>
      </c>
      <c r="H91" s="3598">
        <v>0</v>
      </c>
      <c r="I91" s="71">
        <v>0</v>
      </c>
      <c r="J91" s="456">
        <v>1085333</v>
      </c>
      <c r="K91" s="3598">
        <v>36455</v>
      </c>
      <c r="L91" s="3598">
        <v>0</v>
      </c>
      <c r="M91" s="71">
        <v>0</v>
      </c>
      <c r="N91" s="456">
        <v>3072</v>
      </c>
      <c r="O91" s="3598">
        <v>0</v>
      </c>
      <c r="P91" s="3598">
        <v>0</v>
      </c>
      <c r="Q91" s="71">
        <v>0</v>
      </c>
      <c r="R91" s="111">
        <v>1656054</v>
      </c>
      <c r="S91" s="3598">
        <v>453236</v>
      </c>
      <c r="T91" s="3598">
        <v>488</v>
      </c>
      <c r="U91" s="71">
        <v>0</v>
      </c>
      <c r="V91" s="2518"/>
      <c r="W91" s="2518"/>
      <c r="X91" s="2518"/>
      <c r="Y91" s="2519"/>
    </row>
    <row r="92" spans="1:25">
      <c r="A92" s="53">
        <f t="shared" si="2"/>
        <v>1999.11</v>
      </c>
      <c r="B92" s="214">
        <v>1262725</v>
      </c>
      <c r="C92" s="3598">
        <v>41633</v>
      </c>
      <c r="D92" s="3598">
        <v>254</v>
      </c>
      <c r="E92" s="111">
        <v>0</v>
      </c>
      <c r="F92" s="456">
        <v>231562</v>
      </c>
      <c r="G92" s="3598">
        <v>17245</v>
      </c>
      <c r="H92" s="3598">
        <v>24</v>
      </c>
      <c r="I92" s="71">
        <v>0</v>
      </c>
      <c r="J92" s="456">
        <v>942735</v>
      </c>
      <c r="K92" s="3598">
        <v>17751</v>
      </c>
      <c r="L92" s="3598">
        <v>0</v>
      </c>
      <c r="M92" s="71">
        <v>0</v>
      </c>
      <c r="N92" s="456">
        <v>3005</v>
      </c>
      <c r="O92" s="3598">
        <v>0</v>
      </c>
      <c r="P92" s="3598">
        <v>224</v>
      </c>
      <c r="Q92" s="71">
        <v>0</v>
      </c>
      <c r="R92" s="111">
        <v>1472559</v>
      </c>
      <c r="S92" s="3598">
        <v>371681</v>
      </c>
      <c r="T92" s="3598">
        <v>842</v>
      </c>
      <c r="U92" s="71">
        <v>0</v>
      </c>
      <c r="V92" s="2518"/>
      <c r="W92" s="2518"/>
      <c r="X92" s="2518"/>
      <c r="Y92" s="2519"/>
    </row>
    <row r="93" spans="1:25">
      <c r="A93" s="53">
        <f t="shared" si="2"/>
        <v>1999.12</v>
      </c>
      <c r="B93" s="214">
        <v>989496</v>
      </c>
      <c r="C93" s="3598">
        <v>18655</v>
      </c>
      <c r="D93" s="3598">
        <v>3252</v>
      </c>
      <c r="E93" s="111">
        <v>0</v>
      </c>
      <c r="F93" s="456">
        <v>180549</v>
      </c>
      <c r="G93" s="3598">
        <v>7519</v>
      </c>
      <c r="H93" s="3598">
        <v>878</v>
      </c>
      <c r="I93" s="71">
        <v>0</v>
      </c>
      <c r="J93" s="456">
        <v>773901</v>
      </c>
      <c r="K93" s="3598">
        <v>8039</v>
      </c>
      <c r="L93" s="3598">
        <v>0</v>
      </c>
      <c r="M93" s="71">
        <v>0</v>
      </c>
      <c r="N93" s="456">
        <v>2333</v>
      </c>
      <c r="O93" s="3598">
        <v>0</v>
      </c>
      <c r="P93" s="3598">
        <v>2279</v>
      </c>
      <c r="Q93" s="71">
        <v>0</v>
      </c>
      <c r="R93" s="111">
        <v>1136608</v>
      </c>
      <c r="S93" s="3598">
        <v>187153</v>
      </c>
      <c r="T93" s="3598">
        <v>6269</v>
      </c>
      <c r="U93" s="71">
        <v>0</v>
      </c>
      <c r="V93" s="2518"/>
      <c r="W93" s="2518"/>
      <c r="X93" s="2518"/>
      <c r="Y93" s="2519"/>
    </row>
    <row r="94" spans="1:25">
      <c r="A94" s="53">
        <f t="shared" si="2"/>
        <v>2000.01</v>
      </c>
      <c r="B94" s="214">
        <v>1000086</v>
      </c>
      <c r="C94" s="3598">
        <v>189688</v>
      </c>
      <c r="D94" s="3598">
        <v>2547</v>
      </c>
      <c r="E94" s="111">
        <v>0</v>
      </c>
      <c r="F94" s="456">
        <v>184705</v>
      </c>
      <c r="G94" s="3598">
        <v>77751</v>
      </c>
      <c r="H94" s="3598">
        <v>840</v>
      </c>
      <c r="I94" s="71">
        <v>0</v>
      </c>
      <c r="J94" s="456">
        <v>784861</v>
      </c>
      <c r="K94" s="3598">
        <v>83551</v>
      </c>
      <c r="L94" s="3598">
        <v>0</v>
      </c>
      <c r="M94" s="71">
        <v>0</v>
      </c>
      <c r="N94" s="456">
        <v>3399</v>
      </c>
      <c r="O94" s="3598">
        <v>0</v>
      </c>
      <c r="P94" s="3598">
        <v>2064</v>
      </c>
      <c r="Q94" s="71">
        <v>0</v>
      </c>
      <c r="R94" s="111">
        <v>1107800</v>
      </c>
      <c r="S94" s="3598">
        <v>340035</v>
      </c>
      <c r="T94" s="3598">
        <v>10651</v>
      </c>
      <c r="U94" s="71">
        <v>0</v>
      </c>
      <c r="V94" s="2518"/>
      <c r="W94" s="2518"/>
      <c r="X94" s="2518"/>
      <c r="Y94" s="2519"/>
    </row>
    <row r="95" spans="1:25">
      <c r="A95" s="53">
        <f t="shared" si="2"/>
        <v>2000.02</v>
      </c>
      <c r="B95" s="214">
        <v>666381</v>
      </c>
      <c r="C95" s="3598">
        <v>243355</v>
      </c>
      <c r="D95" s="3598">
        <v>2619</v>
      </c>
      <c r="E95" s="111">
        <v>0</v>
      </c>
      <c r="F95" s="456">
        <v>122703</v>
      </c>
      <c r="G95" s="3598">
        <v>100263</v>
      </c>
      <c r="H95" s="3598">
        <v>773</v>
      </c>
      <c r="I95" s="71">
        <v>0</v>
      </c>
      <c r="J95" s="456">
        <v>519581</v>
      </c>
      <c r="K95" s="3598">
        <v>112124</v>
      </c>
      <c r="L95" s="3598">
        <v>0</v>
      </c>
      <c r="M95" s="71">
        <v>0</v>
      </c>
      <c r="N95" s="456">
        <v>2324</v>
      </c>
      <c r="O95" s="3598">
        <v>0</v>
      </c>
      <c r="P95" s="3598">
        <v>1494</v>
      </c>
      <c r="Q95" s="71">
        <v>0</v>
      </c>
      <c r="R95" s="111">
        <v>843549</v>
      </c>
      <c r="S95" s="3598">
        <v>461190</v>
      </c>
      <c r="T95" s="3598">
        <v>14316</v>
      </c>
      <c r="U95" s="71">
        <v>0</v>
      </c>
      <c r="V95" s="2518"/>
      <c r="W95" s="2518"/>
      <c r="X95" s="2518"/>
      <c r="Y95" s="2519"/>
    </row>
    <row r="96" spans="1:25">
      <c r="A96" s="53">
        <f t="shared" si="2"/>
        <v>2000.03</v>
      </c>
      <c r="B96" s="214">
        <v>650722</v>
      </c>
      <c r="C96" s="3598">
        <v>231523</v>
      </c>
      <c r="D96" s="3598">
        <v>1317</v>
      </c>
      <c r="E96" s="111">
        <v>0</v>
      </c>
      <c r="F96" s="456">
        <v>121616</v>
      </c>
      <c r="G96" s="3598">
        <v>94503</v>
      </c>
      <c r="H96" s="3598">
        <v>345</v>
      </c>
      <c r="I96" s="71">
        <v>0</v>
      </c>
      <c r="J96" s="456">
        <v>502053</v>
      </c>
      <c r="K96" s="3598">
        <v>106952</v>
      </c>
      <c r="L96" s="3598">
        <v>0</v>
      </c>
      <c r="M96" s="71">
        <v>0</v>
      </c>
      <c r="N96" s="456">
        <v>3930</v>
      </c>
      <c r="O96" s="3598">
        <v>0</v>
      </c>
      <c r="P96" s="3598">
        <v>775</v>
      </c>
      <c r="Q96" s="71">
        <v>0</v>
      </c>
      <c r="R96" s="111">
        <v>702347</v>
      </c>
      <c r="S96" s="3598">
        <v>778651</v>
      </c>
      <c r="T96" s="3598">
        <v>6134</v>
      </c>
      <c r="U96" s="71">
        <v>0</v>
      </c>
      <c r="V96" s="2518"/>
      <c r="W96" s="2518"/>
      <c r="X96" s="2518"/>
      <c r="Y96" s="2519"/>
    </row>
    <row r="97" spans="1:25">
      <c r="A97" s="53">
        <f t="shared" si="2"/>
        <v>2000.04</v>
      </c>
      <c r="B97" s="214">
        <v>1386458</v>
      </c>
      <c r="C97" s="3598">
        <v>131145</v>
      </c>
      <c r="D97" s="3598">
        <v>780</v>
      </c>
      <c r="E97" s="111">
        <v>0</v>
      </c>
      <c r="F97" s="456">
        <v>259763</v>
      </c>
      <c r="G97" s="3598">
        <v>51921</v>
      </c>
      <c r="H97" s="3598">
        <v>216</v>
      </c>
      <c r="I97" s="71">
        <v>0</v>
      </c>
      <c r="J97" s="456">
        <v>1091357</v>
      </c>
      <c r="K97" s="3598">
        <v>55393</v>
      </c>
      <c r="L97" s="3598">
        <v>0</v>
      </c>
      <c r="M97" s="71">
        <v>0</v>
      </c>
      <c r="N97" s="456">
        <v>4162</v>
      </c>
      <c r="O97" s="3598">
        <v>0</v>
      </c>
      <c r="P97" s="3598">
        <v>536</v>
      </c>
      <c r="Q97" s="71">
        <v>0</v>
      </c>
      <c r="R97" s="111">
        <v>1584894</v>
      </c>
      <c r="S97" s="3598">
        <v>575171</v>
      </c>
      <c r="T97" s="3598">
        <v>1296</v>
      </c>
      <c r="U97" s="71">
        <v>0</v>
      </c>
      <c r="V97" s="2518"/>
      <c r="W97" s="2518"/>
      <c r="X97" s="2518"/>
      <c r="Y97" s="2519"/>
    </row>
    <row r="98" spans="1:25">
      <c r="A98" s="53">
        <f t="shared" si="2"/>
        <v>2000.05</v>
      </c>
      <c r="B98" s="214">
        <v>1536833</v>
      </c>
      <c r="C98" s="3598">
        <v>74121</v>
      </c>
      <c r="D98" s="3598">
        <v>0</v>
      </c>
      <c r="E98" s="111">
        <v>0</v>
      </c>
      <c r="F98" s="456">
        <v>280627</v>
      </c>
      <c r="G98" s="3598">
        <v>29836</v>
      </c>
      <c r="H98" s="3598">
        <v>0</v>
      </c>
      <c r="I98" s="71">
        <v>0</v>
      </c>
      <c r="J98" s="456">
        <v>1207533</v>
      </c>
      <c r="K98" s="3598">
        <v>28081</v>
      </c>
      <c r="L98" s="3598">
        <v>0</v>
      </c>
      <c r="M98" s="71">
        <v>0</v>
      </c>
      <c r="N98" s="456">
        <v>4166</v>
      </c>
      <c r="O98" s="3598">
        <v>0</v>
      </c>
      <c r="P98" s="3598">
        <v>0</v>
      </c>
      <c r="Q98" s="71">
        <v>0</v>
      </c>
      <c r="R98" s="111">
        <v>1791916</v>
      </c>
      <c r="S98" s="3598">
        <v>431995</v>
      </c>
      <c r="T98" s="3598">
        <v>0</v>
      </c>
      <c r="U98" s="71">
        <v>0</v>
      </c>
      <c r="V98" s="2518"/>
      <c r="W98" s="2518"/>
      <c r="X98" s="2518"/>
      <c r="Y98" s="2519"/>
    </row>
    <row r="99" spans="1:25">
      <c r="A99" s="53">
        <f t="shared" si="2"/>
        <v>2000.06</v>
      </c>
      <c r="B99" s="214">
        <v>1367226</v>
      </c>
      <c r="C99" s="3598">
        <v>61418</v>
      </c>
      <c r="D99" s="3598">
        <v>0</v>
      </c>
      <c r="E99" s="111">
        <v>0</v>
      </c>
      <c r="F99" s="456">
        <v>248080</v>
      </c>
      <c r="G99" s="3598">
        <v>24679</v>
      </c>
      <c r="H99" s="3598">
        <v>0</v>
      </c>
      <c r="I99" s="71">
        <v>0</v>
      </c>
      <c r="J99" s="456">
        <v>1080052</v>
      </c>
      <c r="K99" s="3598">
        <v>25557</v>
      </c>
      <c r="L99" s="3598">
        <v>0</v>
      </c>
      <c r="M99" s="71">
        <v>0</v>
      </c>
      <c r="N99" s="456">
        <v>3842</v>
      </c>
      <c r="O99" s="3598">
        <v>0</v>
      </c>
      <c r="P99" s="3598">
        <v>0</v>
      </c>
      <c r="Q99" s="71">
        <v>0</v>
      </c>
      <c r="R99" s="111">
        <v>1589279</v>
      </c>
      <c r="S99" s="3598">
        <v>418152</v>
      </c>
      <c r="T99" s="3598">
        <v>0</v>
      </c>
      <c r="U99" s="71">
        <v>0</v>
      </c>
      <c r="V99" s="2518"/>
      <c r="W99" s="2518"/>
      <c r="X99" s="2518"/>
      <c r="Y99" s="2519"/>
    </row>
    <row r="100" spans="1:25">
      <c r="A100" s="53">
        <f t="shared" si="2"/>
        <v>2000.07</v>
      </c>
      <c r="B100" s="214">
        <v>1450314</v>
      </c>
      <c r="C100" s="3598">
        <v>57437</v>
      </c>
      <c r="D100" s="3598">
        <v>0</v>
      </c>
      <c r="E100" s="111">
        <v>0</v>
      </c>
      <c r="F100" s="456">
        <v>264219</v>
      </c>
      <c r="G100" s="3598">
        <v>23090</v>
      </c>
      <c r="H100" s="3598">
        <v>0</v>
      </c>
      <c r="I100" s="71">
        <v>0</v>
      </c>
      <c r="J100" s="456">
        <v>1146627</v>
      </c>
      <c r="K100" s="3598">
        <v>23316</v>
      </c>
      <c r="L100" s="3598">
        <v>0</v>
      </c>
      <c r="M100" s="71">
        <v>0</v>
      </c>
      <c r="N100" s="456">
        <v>4073</v>
      </c>
      <c r="O100" s="3598">
        <v>0</v>
      </c>
      <c r="P100" s="3598">
        <v>0</v>
      </c>
      <c r="Q100" s="71">
        <v>0</v>
      </c>
      <c r="R100" s="111">
        <v>1719366</v>
      </c>
      <c r="S100" s="3598">
        <v>345889</v>
      </c>
      <c r="T100" s="3598">
        <v>0</v>
      </c>
      <c r="U100" s="71">
        <v>0</v>
      </c>
      <c r="V100" s="2518"/>
      <c r="W100" s="2518"/>
      <c r="X100" s="2518"/>
      <c r="Y100" s="2519"/>
    </row>
    <row r="101" spans="1:25">
      <c r="A101" s="53">
        <f t="shared" si="2"/>
        <v>2000.08</v>
      </c>
      <c r="B101" s="214">
        <v>1486917</v>
      </c>
      <c r="C101" s="3598">
        <v>89320</v>
      </c>
      <c r="D101" s="3598">
        <v>0</v>
      </c>
      <c r="E101" s="111">
        <v>0</v>
      </c>
      <c r="F101" s="456">
        <v>271672</v>
      </c>
      <c r="G101" s="3598">
        <v>36626</v>
      </c>
      <c r="H101" s="3598">
        <v>0</v>
      </c>
      <c r="I101" s="71">
        <v>0</v>
      </c>
      <c r="J101" s="456">
        <v>1175890</v>
      </c>
      <c r="K101" s="3598">
        <v>37688</v>
      </c>
      <c r="L101" s="3598">
        <v>0</v>
      </c>
      <c r="M101" s="71">
        <v>0</v>
      </c>
      <c r="N101" s="456">
        <v>5116</v>
      </c>
      <c r="O101" s="3598">
        <v>0</v>
      </c>
      <c r="P101" s="3598">
        <v>0</v>
      </c>
      <c r="Q101" s="71">
        <v>0</v>
      </c>
      <c r="R101" s="111">
        <v>1797276</v>
      </c>
      <c r="S101" s="3598">
        <v>417682</v>
      </c>
      <c r="T101" s="3598">
        <v>307</v>
      </c>
      <c r="U101" s="71">
        <v>0</v>
      </c>
      <c r="V101" s="2518"/>
      <c r="W101" s="2518"/>
      <c r="X101" s="2518"/>
      <c r="Y101" s="2519"/>
    </row>
    <row r="102" spans="1:25">
      <c r="A102" s="53">
        <f t="shared" si="2"/>
        <v>2000.09</v>
      </c>
      <c r="B102" s="214">
        <v>1398503</v>
      </c>
      <c r="C102" s="3598">
        <v>70735</v>
      </c>
      <c r="D102" s="3598">
        <v>0</v>
      </c>
      <c r="E102" s="111">
        <v>0</v>
      </c>
      <c r="F102" s="456">
        <v>256235</v>
      </c>
      <c r="G102" s="3598">
        <v>28766</v>
      </c>
      <c r="H102" s="3598">
        <v>0</v>
      </c>
      <c r="I102" s="71">
        <v>0</v>
      </c>
      <c r="J102" s="456">
        <v>1098624</v>
      </c>
      <c r="K102" s="3598">
        <v>29936</v>
      </c>
      <c r="L102" s="3598">
        <v>0</v>
      </c>
      <c r="M102" s="71">
        <v>0</v>
      </c>
      <c r="N102" s="456">
        <v>4811</v>
      </c>
      <c r="O102" s="3598">
        <v>0</v>
      </c>
      <c r="P102" s="3598">
        <v>0</v>
      </c>
      <c r="Q102" s="71">
        <v>0</v>
      </c>
      <c r="R102" s="111">
        <v>1671860</v>
      </c>
      <c r="S102" s="3598">
        <v>371443</v>
      </c>
      <c r="T102" s="3598">
        <v>1069</v>
      </c>
      <c r="U102" s="71">
        <v>0</v>
      </c>
      <c r="V102" s="2518"/>
      <c r="W102" s="2518"/>
      <c r="X102" s="2518"/>
      <c r="Y102" s="2519"/>
    </row>
    <row r="103" spans="1:25">
      <c r="A103" s="53">
        <f t="shared" si="2"/>
        <v>2000.1</v>
      </c>
      <c r="B103" s="214">
        <v>1305026</v>
      </c>
      <c r="C103" s="3598">
        <v>48475</v>
      </c>
      <c r="D103" s="3598">
        <v>0</v>
      </c>
      <c r="E103" s="111">
        <v>0</v>
      </c>
      <c r="F103" s="456">
        <v>238860</v>
      </c>
      <c r="G103" s="3598">
        <v>20016</v>
      </c>
      <c r="H103" s="3598">
        <v>0</v>
      </c>
      <c r="I103" s="71">
        <v>0</v>
      </c>
      <c r="J103" s="456">
        <v>1025055</v>
      </c>
      <c r="K103" s="3598">
        <v>20974</v>
      </c>
      <c r="L103" s="3598">
        <v>0</v>
      </c>
      <c r="M103" s="71">
        <v>0</v>
      </c>
      <c r="N103" s="456">
        <v>4458</v>
      </c>
      <c r="O103" s="3598">
        <v>0</v>
      </c>
      <c r="P103" s="3598">
        <v>0</v>
      </c>
      <c r="Q103" s="71">
        <v>0</v>
      </c>
      <c r="R103" s="111">
        <v>1506751</v>
      </c>
      <c r="S103" s="3598">
        <v>393554</v>
      </c>
      <c r="T103" s="3598">
        <v>0</v>
      </c>
      <c r="U103" s="71">
        <v>0</v>
      </c>
      <c r="V103" s="2518"/>
      <c r="W103" s="2518"/>
      <c r="X103" s="2518"/>
      <c r="Y103" s="2519"/>
    </row>
    <row r="104" spans="1:25">
      <c r="A104" s="53">
        <f t="shared" si="2"/>
        <v>2000.11</v>
      </c>
      <c r="B104" s="214">
        <v>1277367</v>
      </c>
      <c r="C104" s="3598">
        <v>53360</v>
      </c>
      <c r="D104" s="3598">
        <v>499</v>
      </c>
      <c r="E104" s="111">
        <v>0</v>
      </c>
      <c r="F104" s="456">
        <v>233588</v>
      </c>
      <c r="G104" s="3598">
        <v>21913</v>
      </c>
      <c r="H104" s="3598">
        <v>115</v>
      </c>
      <c r="I104" s="71">
        <v>0</v>
      </c>
      <c r="J104" s="456">
        <v>1006068</v>
      </c>
      <c r="K104" s="3598">
        <v>23101</v>
      </c>
      <c r="L104" s="3598">
        <v>0</v>
      </c>
      <c r="M104" s="71">
        <v>0</v>
      </c>
      <c r="N104" s="456">
        <v>5384</v>
      </c>
      <c r="O104" s="3598">
        <v>0</v>
      </c>
      <c r="P104" s="3598">
        <v>457</v>
      </c>
      <c r="Q104" s="71">
        <v>0</v>
      </c>
      <c r="R104" s="111">
        <v>1508319</v>
      </c>
      <c r="S104" s="3598">
        <v>344902</v>
      </c>
      <c r="T104" s="3598">
        <v>548</v>
      </c>
      <c r="U104" s="71">
        <v>0</v>
      </c>
      <c r="V104" s="2518"/>
      <c r="W104" s="2518"/>
      <c r="X104" s="2518"/>
      <c r="Y104" s="2519"/>
    </row>
    <row r="105" spans="1:25">
      <c r="A105" s="53">
        <f t="shared" si="2"/>
        <v>2000.12</v>
      </c>
      <c r="B105" s="214">
        <v>1054630</v>
      </c>
      <c r="C105" s="3598">
        <v>16877</v>
      </c>
      <c r="D105" s="3598">
        <v>631</v>
      </c>
      <c r="E105" s="111">
        <v>0</v>
      </c>
      <c r="F105" s="456">
        <v>193043</v>
      </c>
      <c r="G105" s="3598">
        <v>6972</v>
      </c>
      <c r="H105" s="3598">
        <v>220</v>
      </c>
      <c r="I105" s="71">
        <v>0</v>
      </c>
      <c r="J105" s="456">
        <v>829309</v>
      </c>
      <c r="K105" s="3598">
        <v>7248</v>
      </c>
      <c r="L105" s="3598">
        <v>0</v>
      </c>
      <c r="M105" s="71">
        <v>0</v>
      </c>
      <c r="N105" s="456">
        <v>4782</v>
      </c>
      <c r="O105" s="3598">
        <v>0</v>
      </c>
      <c r="P105" s="3598">
        <v>703</v>
      </c>
      <c r="Q105" s="71">
        <v>0</v>
      </c>
      <c r="R105" s="111">
        <v>1207575</v>
      </c>
      <c r="S105" s="3598">
        <v>270710</v>
      </c>
      <c r="T105" s="3598">
        <v>970</v>
      </c>
      <c r="U105" s="71">
        <v>0</v>
      </c>
      <c r="V105" s="2518"/>
      <c r="W105" s="2518"/>
      <c r="X105" s="2518"/>
      <c r="Y105" s="2519"/>
    </row>
    <row r="106" spans="1:25">
      <c r="A106" s="53">
        <f t="shared" si="2"/>
        <v>2001.01</v>
      </c>
      <c r="B106" s="214">
        <v>818443</v>
      </c>
      <c r="C106" s="3598">
        <v>116149</v>
      </c>
      <c r="D106" s="3598">
        <v>1501</v>
      </c>
      <c r="E106" s="111">
        <v>0</v>
      </c>
      <c r="F106" s="456">
        <v>151037</v>
      </c>
      <c r="G106" s="3598">
        <v>45005</v>
      </c>
      <c r="H106" s="3598">
        <v>467</v>
      </c>
      <c r="I106" s="71">
        <v>0</v>
      </c>
      <c r="J106" s="456">
        <v>648163</v>
      </c>
      <c r="K106" s="3598">
        <v>49099</v>
      </c>
      <c r="L106" s="3598">
        <v>0</v>
      </c>
      <c r="M106" s="71">
        <v>0</v>
      </c>
      <c r="N106" s="456">
        <v>3413</v>
      </c>
      <c r="O106" s="3598">
        <v>0</v>
      </c>
      <c r="P106" s="3598">
        <v>1011</v>
      </c>
      <c r="Q106" s="71">
        <v>0</v>
      </c>
      <c r="R106" s="111">
        <v>904738</v>
      </c>
      <c r="S106" s="3598">
        <v>201699</v>
      </c>
      <c r="T106" s="3598">
        <v>5307</v>
      </c>
      <c r="U106" s="71">
        <v>0</v>
      </c>
      <c r="V106" s="2518"/>
      <c r="W106" s="2518"/>
      <c r="X106" s="2518"/>
      <c r="Y106" s="2519"/>
    </row>
    <row r="107" spans="1:25">
      <c r="A107" s="53">
        <f t="shared" si="2"/>
        <v>2001.02</v>
      </c>
      <c r="B107" s="214">
        <v>334851</v>
      </c>
      <c r="C107" s="3598">
        <v>105409</v>
      </c>
      <c r="D107" s="3598">
        <v>418</v>
      </c>
      <c r="E107" s="111">
        <v>0</v>
      </c>
      <c r="F107" s="456">
        <v>60945</v>
      </c>
      <c r="G107" s="3598">
        <v>42956</v>
      </c>
      <c r="H107" s="3598">
        <v>123</v>
      </c>
      <c r="I107" s="71">
        <v>0</v>
      </c>
      <c r="J107" s="456">
        <v>262044</v>
      </c>
      <c r="K107" s="3598">
        <v>44539</v>
      </c>
      <c r="L107" s="3598">
        <v>0</v>
      </c>
      <c r="M107" s="71">
        <v>0</v>
      </c>
      <c r="N107" s="456">
        <v>3267</v>
      </c>
      <c r="O107" s="3598">
        <v>0</v>
      </c>
      <c r="P107" s="3598">
        <v>280</v>
      </c>
      <c r="Q107" s="71">
        <v>0</v>
      </c>
      <c r="R107" s="111">
        <v>362038</v>
      </c>
      <c r="S107" s="3598">
        <v>274807</v>
      </c>
      <c r="T107" s="3598">
        <v>1333</v>
      </c>
      <c r="U107" s="71">
        <v>0</v>
      </c>
      <c r="V107" s="2518"/>
      <c r="W107" s="2518"/>
      <c r="X107" s="2518"/>
      <c r="Y107" s="2519"/>
    </row>
    <row r="108" spans="1:25">
      <c r="A108" s="53">
        <f t="shared" si="2"/>
        <v>2001.03</v>
      </c>
      <c r="B108" s="214">
        <v>798504</v>
      </c>
      <c r="C108" s="3598">
        <v>120055</v>
      </c>
      <c r="D108" s="3598">
        <v>1136</v>
      </c>
      <c r="E108" s="111">
        <v>15384</v>
      </c>
      <c r="F108" s="456">
        <v>147104</v>
      </c>
      <c r="G108" s="3598">
        <v>50148</v>
      </c>
      <c r="H108" s="3598">
        <v>335</v>
      </c>
      <c r="I108" s="71">
        <v>2542</v>
      </c>
      <c r="J108" s="456">
        <v>626417</v>
      </c>
      <c r="K108" s="3598">
        <v>51183</v>
      </c>
      <c r="L108" s="3598">
        <v>0</v>
      </c>
      <c r="M108" s="71">
        <v>8000</v>
      </c>
      <c r="N108" s="456">
        <v>3947</v>
      </c>
      <c r="O108" s="3598">
        <v>0</v>
      </c>
      <c r="P108" s="3598">
        <v>866</v>
      </c>
      <c r="Q108" s="71">
        <v>0</v>
      </c>
      <c r="R108" s="111">
        <v>870377</v>
      </c>
      <c r="S108" s="3598">
        <v>490321</v>
      </c>
      <c r="T108" s="3598">
        <v>1136</v>
      </c>
      <c r="U108" s="71">
        <v>15384</v>
      </c>
      <c r="V108" s="2518"/>
      <c r="W108" s="2518"/>
      <c r="X108" s="2518"/>
      <c r="Y108" s="2519"/>
    </row>
    <row r="109" spans="1:25">
      <c r="A109" s="53">
        <f t="shared" si="2"/>
        <v>2001.04</v>
      </c>
      <c r="B109" s="214">
        <v>1425353</v>
      </c>
      <c r="C109" s="3598">
        <v>59473</v>
      </c>
      <c r="D109" s="3598">
        <v>0</v>
      </c>
      <c r="E109" s="111">
        <v>25551</v>
      </c>
      <c r="F109" s="456">
        <v>270285</v>
      </c>
      <c r="G109" s="3598">
        <v>26182</v>
      </c>
      <c r="H109" s="3598">
        <v>0</v>
      </c>
      <c r="I109" s="71">
        <v>4331</v>
      </c>
      <c r="J109" s="456">
        <v>1127778</v>
      </c>
      <c r="K109" s="3598">
        <v>27580</v>
      </c>
      <c r="L109" s="3598">
        <v>0</v>
      </c>
      <c r="M109" s="71">
        <v>12468</v>
      </c>
      <c r="N109" s="456">
        <v>4656</v>
      </c>
      <c r="O109" s="3598">
        <v>0</v>
      </c>
      <c r="P109" s="3598">
        <v>0</v>
      </c>
      <c r="Q109" s="71">
        <v>0</v>
      </c>
      <c r="R109" s="111">
        <v>1704680</v>
      </c>
      <c r="S109" s="3598">
        <v>305416</v>
      </c>
      <c r="T109" s="3598">
        <v>676</v>
      </c>
      <c r="U109" s="71">
        <v>25551</v>
      </c>
      <c r="V109" s="2518"/>
      <c r="W109" s="2518"/>
      <c r="X109" s="2518"/>
      <c r="Y109" s="2519"/>
    </row>
    <row r="110" spans="1:25">
      <c r="A110" s="53">
        <f t="shared" si="2"/>
        <v>2001.05</v>
      </c>
      <c r="B110" s="214">
        <v>1491045</v>
      </c>
      <c r="C110" s="3598">
        <v>44879</v>
      </c>
      <c r="D110" s="3598">
        <v>685</v>
      </c>
      <c r="E110" s="111">
        <v>33678</v>
      </c>
      <c r="F110" s="456">
        <v>276668</v>
      </c>
      <c r="G110" s="3598">
        <v>18756</v>
      </c>
      <c r="H110" s="3598">
        <v>212</v>
      </c>
      <c r="I110" s="71">
        <v>5108</v>
      </c>
      <c r="J110" s="456">
        <v>1178164</v>
      </c>
      <c r="K110" s="3598">
        <v>19223</v>
      </c>
      <c r="L110" s="3598">
        <v>0</v>
      </c>
      <c r="M110" s="71">
        <v>16838</v>
      </c>
      <c r="N110" s="456">
        <v>4465</v>
      </c>
      <c r="O110" s="3598">
        <v>0</v>
      </c>
      <c r="P110" s="3598">
        <v>463</v>
      </c>
      <c r="Q110" s="71">
        <v>0</v>
      </c>
      <c r="R110" s="111">
        <v>1871926</v>
      </c>
      <c r="S110" s="3598">
        <v>240620</v>
      </c>
      <c r="T110" s="3598">
        <v>837</v>
      </c>
      <c r="U110" s="71">
        <v>33678</v>
      </c>
      <c r="V110" s="2518"/>
      <c r="W110" s="2518"/>
      <c r="X110" s="2518"/>
      <c r="Y110" s="2519"/>
    </row>
    <row r="111" spans="1:25">
      <c r="A111" s="53">
        <f t="shared" si="2"/>
        <v>2001.06</v>
      </c>
      <c r="B111" s="214">
        <v>1417487</v>
      </c>
      <c r="C111" s="3598">
        <v>14668</v>
      </c>
      <c r="D111" s="3598">
        <v>181</v>
      </c>
      <c r="E111" s="111">
        <v>23967</v>
      </c>
      <c r="F111" s="456">
        <v>259823</v>
      </c>
      <c r="G111" s="3598">
        <v>5988</v>
      </c>
      <c r="H111" s="3598">
        <v>54</v>
      </c>
      <c r="I111" s="71">
        <v>4114</v>
      </c>
      <c r="J111" s="456">
        <v>1119809</v>
      </c>
      <c r="K111" s="3598">
        <v>6483</v>
      </c>
      <c r="L111" s="3598">
        <v>0</v>
      </c>
      <c r="M111" s="71">
        <v>11984</v>
      </c>
      <c r="N111" s="456">
        <v>5288</v>
      </c>
      <c r="O111" s="3598">
        <v>0</v>
      </c>
      <c r="P111" s="3598">
        <v>127</v>
      </c>
      <c r="Q111" s="71">
        <v>0</v>
      </c>
      <c r="R111" s="111">
        <v>1792080</v>
      </c>
      <c r="S111" s="3598">
        <v>223591</v>
      </c>
      <c r="T111" s="3598">
        <v>181</v>
      </c>
      <c r="U111" s="71">
        <v>23967</v>
      </c>
      <c r="V111" s="2518"/>
      <c r="W111" s="2518"/>
      <c r="X111" s="2518"/>
      <c r="Y111" s="2519"/>
    </row>
    <row r="112" spans="1:25">
      <c r="A112" s="53">
        <f t="shared" si="2"/>
        <v>2001.07</v>
      </c>
      <c r="B112" s="214">
        <v>1558903</v>
      </c>
      <c r="C112" s="3598">
        <v>20794</v>
      </c>
      <c r="D112" s="3598">
        <v>531</v>
      </c>
      <c r="E112" s="111">
        <v>0</v>
      </c>
      <c r="F112" s="456">
        <v>287221</v>
      </c>
      <c r="G112" s="3598">
        <v>8377</v>
      </c>
      <c r="H112" s="3598">
        <v>164</v>
      </c>
      <c r="I112" s="71">
        <v>0</v>
      </c>
      <c r="J112" s="456">
        <v>1239995</v>
      </c>
      <c r="K112" s="3598">
        <v>9327</v>
      </c>
      <c r="L112" s="3598">
        <v>0</v>
      </c>
      <c r="M112" s="71">
        <v>0</v>
      </c>
      <c r="N112" s="456">
        <v>5389</v>
      </c>
      <c r="O112" s="3598">
        <v>0</v>
      </c>
      <c r="P112" s="3598">
        <v>396</v>
      </c>
      <c r="Q112" s="71">
        <v>0</v>
      </c>
      <c r="R112" s="111">
        <v>1923557</v>
      </c>
      <c r="S112" s="3598">
        <v>231665</v>
      </c>
      <c r="T112" s="3598">
        <v>531</v>
      </c>
      <c r="U112" s="71">
        <v>0</v>
      </c>
      <c r="V112" s="2518"/>
      <c r="W112" s="2518"/>
      <c r="X112" s="2518"/>
      <c r="Y112" s="2519"/>
    </row>
    <row r="113" spans="1:25">
      <c r="A113" s="53">
        <f t="shared" si="2"/>
        <v>2001.08</v>
      </c>
      <c r="B113" s="214">
        <v>1563280</v>
      </c>
      <c r="C113" s="3598">
        <v>29837</v>
      </c>
      <c r="D113" s="3598">
        <v>1195</v>
      </c>
      <c r="E113" s="111">
        <v>26791</v>
      </c>
      <c r="F113" s="456">
        <v>289570</v>
      </c>
      <c r="G113" s="3598">
        <v>12040</v>
      </c>
      <c r="H113" s="3598">
        <v>355</v>
      </c>
      <c r="I113" s="71">
        <v>3841</v>
      </c>
      <c r="J113" s="456">
        <v>1244872</v>
      </c>
      <c r="K113" s="3598">
        <v>13447</v>
      </c>
      <c r="L113" s="3598">
        <v>0</v>
      </c>
      <c r="M113" s="71">
        <v>13244</v>
      </c>
      <c r="N113" s="456">
        <v>5316</v>
      </c>
      <c r="O113" s="3598">
        <v>0</v>
      </c>
      <c r="P113" s="3598">
        <v>897</v>
      </c>
      <c r="Q113" s="71">
        <v>0</v>
      </c>
      <c r="R113" s="111">
        <v>1948630</v>
      </c>
      <c r="S113" s="3598">
        <v>242368</v>
      </c>
      <c r="T113" s="3598">
        <v>1417</v>
      </c>
      <c r="U113" s="71">
        <v>26791</v>
      </c>
      <c r="V113" s="2518"/>
      <c r="W113" s="2518"/>
      <c r="X113" s="2518"/>
      <c r="Y113" s="2519"/>
    </row>
    <row r="114" spans="1:25">
      <c r="A114" s="53">
        <f t="shared" si="2"/>
        <v>2001.09</v>
      </c>
      <c r="B114" s="214">
        <v>1392964</v>
      </c>
      <c r="C114" s="3598">
        <v>10257</v>
      </c>
      <c r="D114" s="3598">
        <v>84</v>
      </c>
      <c r="E114" s="111">
        <v>11095</v>
      </c>
      <c r="F114" s="456">
        <v>259356</v>
      </c>
      <c r="G114" s="3598">
        <v>4145</v>
      </c>
      <c r="H114" s="3598">
        <v>26</v>
      </c>
      <c r="I114" s="71">
        <v>2055</v>
      </c>
      <c r="J114" s="456">
        <v>1100123</v>
      </c>
      <c r="K114" s="3598">
        <v>4554</v>
      </c>
      <c r="L114" s="3598">
        <v>0</v>
      </c>
      <c r="M114" s="71">
        <v>6000</v>
      </c>
      <c r="N114" s="456">
        <v>5131</v>
      </c>
      <c r="O114" s="3598">
        <v>0</v>
      </c>
      <c r="P114" s="3598">
        <v>62</v>
      </c>
      <c r="Q114" s="71">
        <v>0</v>
      </c>
      <c r="R114" s="111">
        <v>1699771</v>
      </c>
      <c r="S114" s="3598">
        <v>276361</v>
      </c>
      <c r="T114" s="3598">
        <v>206</v>
      </c>
      <c r="U114" s="71">
        <v>11095</v>
      </c>
      <c r="V114" s="2518"/>
      <c r="W114" s="2518"/>
      <c r="X114" s="2518"/>
      <c r="Y114" s="2519"/>
    </row>
    <row r="115" spans="1:25">
      <c r="A115" s="53">
        <f t="shared" si="2"/>
        <v>2001.1</v>
      </c>
      <c r="B115" s="214">
        <v>1467560</v>
      </c>
      <c r="C115" s="3598">
        <v>44273</v>
      </c>
      <c r="D115" s="3598">
        <v>0</v>
      </c>
      <c r="E115" s="111">
        <v>0</v>
      </c>
      <c r="F115" s="456">
        <v>271727</v>
      </c>
      <c r="G115" s="3598">
        <v>17712</v>
      </c>
      <c r="H115" s="3598">
        <v>0</v>
      </c>
      <c r="I115" s="71">
        <v>0</v>
      </c>
      <c r="J115" s="456">
        <v>1155229</v>
      </c>
      <c r="K115" s="3598">
        <v>19829</v>
      </c>
      <c r="L115" s="3598">
        <v>0</v>
      </c>
      <c r="M115" s="71">
        <v>0</v>
      </c>
      <c r="N115" s="456">
        <v>5237</v>
      </c>
      <c r="O115" s="3598">
        <v>0</v>
      </c>
      <c r="P115" s="3598">
        <v>0</v>
      </c>
      <c r="Q115" s="71">
        <v>0</v>
      </c>
      <c r="R115" s="111">
        <v>1830550</v>
      </c>
      <c r="S115" s="3598">
        <v>234161</v>
      </c>
      <c r="T115" s="3598">
        <v>32</v>
      </c>
      <c r="U115" s="71">
        <v>0</v>
      </c>
      <c r="V115" s="2518"/>
      <c r="W115" s="2518"/>
      <c r="X115" s="2518"/>
      <c r="Y115" s="2519"/>
    </row>
    <row r="116" spans="1:25">
      <c r="A116" s="53">
        <f t="shared" si="2"/>
        <v>2001.11</v>
      </c>
      <c r="B116" s="214">
        <v>1446285</v>
      </c>
      <c r="C116" s="3598">
        <v>43065</v>
      </c>
      <c r="D116" s="3598">
        <v>0</v>
      </c>
      <c r="E116" s="111">
        <v>0</v>
      </c>
      <c r="F116" s="456">
        <v>271911</v>
      </c>
      <c r="G116" s="3598">
        <v>16888</v>
      </c>
      <c r="H116" s="3598">
        <v>0</v>
      </c>
      <c r="I116" s="71">
        <v>0</v>
      </c>
      <c r="J116" s="456">
        <v>1144994</v>
      </c>
      <c r="K116" s="3598">
        <v>19743</v>
      </c>
      <c r="L116" s="3598">
        <v>0</v>
      </c>
      <c r="M116" s="71">
        <v>0</v>
      </c>
      <c r="N116" s="456">
        <v>4966</v>
      </c>
      <c r="O116" s="3598">
        <v>0</v>
      </c>
      <c r="P116" s="3598">
        <v>0</v>
      </c>
      <c r="Q116" s="71">
        <v>0</v>
      </c>
      <c r="R116" s="111">
        <v>1765385</v>
      </c>
      <c r="S116" s="3598">
        <v>196486</v>
      </c>
      <c r="T116" s="3598">
        <v>0</v>
      </c>
      <c r="U116" s="71">
        <v>0</v>
      </c>
      <c r="V116" s="2518"/>
      <c r="W116" s="2518"/>
      <c r="X116" s="2518"/>
      <c r="Y116" s="2519"/>
    </row>
    <row r="117" spans="1:25">
      <c r="A117" s="53">
        <f t="shared" si="2"/>
        <v>2001.12</v>
      </c>
      <c r="B117" s="214">
        <v>1307214</v>
      </c>
      <c r="C117" s="3598">
        <v>43178</v>
      </c>
      <c r="D117" s="3598">
        <v>0</v>
      </c>
      <c r="E117" s="111">
        <v>0</v>
      </c>
      <c r="F117" s="456">
        <v>244563</v>
      </c>
      <c r="G117" s="3598">
        <v>17239</v>
      </c>
      <c r="H117" s="3598">
        <v>0</v>
      </c>
      <c r="I117" s="71">
        <v>0</v>
      </c>
      <c r="J117" s="456">
        <v>1041813</v>
      </c>
      <c r="K117" s="3598">
        <v>18474</v>
      </c>
      <c r="L117" s="3598">
        <v>0</v>
      </c>
      <c r="M117" s="71">
        <v>0</v>
      </c>
      <c r="N117" s="456">
        <v>3932</v>
      </c>
      <c r="O117" s="3598">
        <v>0</v>
      </c>
      <c r="P117" s="3598">
        <v>0</v>
      </c>
      <c r="Q117" s="71">
        <v>0</v>
      </c>
      <c r="R117" s="111">
        <v>1600480</v>
      </c>
      <c r="S117" s="3598">
        <v>218808</v>
      </c>
      <c r="T117" s="3598">
        <v>0</v>
      </c>
      <c r="U117" s="71">
        <v>0</v>
      </c>
      <c r="V117" s="2518"/>
      <c r="W117" s="2518"/>
      <c r="X117" s="2518"/>
      <c r="Y117" s="2519"/>
    </row>
    <row r="118" spans="1:25">
      <c r="A118" s="53">
        <f t="shared" si="2"/>
        <v>2002.01</v>
      </c>
      <c r="B118" s="214">
        <v>1131812</v>
      </c>
      <c r="C118" s="3598">
        <v>77263</v>
      </c>
      <c r="D118" s="3598">
        <v>272</v>
      </c>
      <c r="E118" s="111">
        <v>0</v>
      </c>
      <c r="F118" s="456">
        <v>212347</v>
      </c>
      <c r="G118" s="3598">
        <v>31533</v>
      </c>
      <c r="H118" s="3598">
        <v>86</v>
      </c>
      <c r="I118" s="71">
        <v>0</v>
      </c>
      <c r="J118" s="456">
        <v>903005</v>
      </c>
      <c r="K118" s="3598">
        <v>32533</v>
      </c>
      <c r="L118" s="3598">
        <v>0</v>
      </c>
      <c r="M118" s="71">
        <v>0</v>
      </c>
      <c r="N118" s="456">
        <v>2871</v>
      </c>
      <c r="O118" s="3598">
        <v>0</v>
      </c>
      <c r="P118" s="3598">
        <v>171</v>
      </c>
      <c r="Q118" s="71">
        <v>0</v>
      </c>
      <c r="R118" s="111">
        <v>1376856</v>
      </c>
      <c r="S118" s="3598">
        <v>103439</v>
      </c>
      <c r="T118" s="3598">
        <v>1511</v>
      </c>
      <c r="U118" s="71">
        <v>0</v>
      </c>
      <c r="V118" s="2518"/>
      <c r="W118" s="2518"/>
      <c r="X118" s="2518"/>
      <c r="Y118" s="2519"/>
    </row>
    <row r="119" spans="1:25">
      <c r="A119" s="53">
        <f t="shared" si="2"/>
        <v>2002.02</v>
      </c>
      <c r="B119" s="214">
        <v>708454</v>
      </c>
      <c r="C119" s="3598">
        <v>93410</v>
      </c>
      <c r="D119" s="3598">
        <v>303</v>
      </c>
      <c r="E119" s="111">
        <v>0</v>
      </c>
      <c r="F119" s="456">
        <v>131148</v>
      </c>
      <c r="G119" s="3598">
        <v>38748</v>
      </c>
      <c r="H119" s="3598">
        <v>95</v>
      </c>
      <c r="I119" s="71">
        <v>0</v>
      </c>
      <c r="J119" s="456">
        <v>565087</v>
      </c>
      <c r="K119" s="3598">
        <v>39059</v>
      </c>
      <c r="L119" s="3598">
        <v>0</v>
      </c>
      <c r="M119" s="71">
        <v>0</v>
      </c>
      <c r="N119" s="456">
        <v>3811</v>
      </c>
      <c r="O119" s="3598">
        <v>0</v>
      </c>
      <c r="P119" s="3598">
        <v>192</v>
      </c>
      <c r="Q119" s="71">
        <v>0</v>
      </c>
      <c r="R119" s="111">
        <v>879947</v>
      </c>
      <c r="S119" s="3598">
        <v>178447</v>
      </c>
      <c r="T119" s="3598">
        <v>533</v>
      </c>
      <c r="U119" s="71">
        <v>0</v>
      </c>
      <c r="V119" s="2518"/>
      <c r="W119" s="2518"/>
      <c r="X119" s="2518"/>
      <c r="Y119" s="2519"/>
    </row>
    <row r="120" spans="1:25">
      <c r="A120" s="53">
        <f t="shared" si="2"/>
        <v>2002.03</v>
      </c>
      <c r="B120" s="214">
        <v>980609</v>
      </c>
      <c r="C120" s="3598">
        <v>101059</v>
      </c>
      <c r="D120" s="3598">
        <v>0</v>
      </c>
      <c r="E120" s="111">
        <v>0</v>
      </c>
      <c r="F120" s="456">
        <v>187236</v>
      </c>
      <c r="G120" s="3598">
        <v>42511</v>
      </c>
      <c r="H120" s="3598">
        <v>0</v>
      </c>
      <c r="I120" s="71">
        <v>0</v>
      </c>
      <c r="J120" s="456">
        <v>779326</v>
      </c>
      <c r="K120" s="3598">
        <v>41672</v>
      </c>
      <c r="L120" s="3598">
        <v>0</v>
      </c>
      <c r="M120" s="71">
        <v>0</v>
      </c>
      <c r="N120" s="456">
        <v>5302</v>
      </c>
      <c r="O120" s="3598">
        <v>0</v>
      </c>
      <c r="P120" s="3598">
        <v>0</v>
      </c>
      <c r="Q120" s="71">
        <v>0</v>
      </c>
      <c r="R120" s="111">
        <v>1112699</v>
      </c>
      <c r="S120" s="3598">
        <v>469520</v>
      </c>
      <c r="T120" s="3598">
        <v>634</v>
      </c>
      <c r="U120" s="71">
        <v>0</v>
      </c>
      <c r="V120" s="2518"/>
      <c r="W120" s="2518"/>
      <c r="X120" s="2518"/>
      <c r="Y120" s="2519"/>
    </row>
    <row r="121" spans="1:25">
      <c r="A121" s="53">
        <f t="shared" si="2"/>
        <v>2002.04</v>
      </c>
      <c r="B121" s="214">
        <v>1400878</v>
      </c>
      <c r="C121" s="3598">
        <v>35937</v>
      </c>
      <c r="D121" s="3598">
        <v>0</v>
      </c>
      <c r="E121" s="111">
        <v>15920</v>
      </c>
      <c r="F121" s="456">
        <v>267844</v>
      </c>
      <c r="G121" s="3598">
        <v>14565</v>
      </c>
      <c r="H121" s="3598">
        <v>0</v>
      </c>
      <c r="I121" s="71">
        <v>2575</v>
      </c>
      <c r="J121" s="456">
        <v>1099640</v>
      </c>
      <c r="K121" s="3598">
        <v>15222</v>
      </c>
      <c r="L121" s="3598">
        <v>0</v>
      </c>
      <c r="M121" s="71">
        <v>7511</v>
      </c>
      <c r="N121" s="456">
        <v>5138</v>
      </c>
      <c r="O121" s="3598">
        <v>0</v>
      </c>
      <c r="P121" s="3598">
        <v>0</v>
      </c>
      <c r="Q121" s="71">
        <v>0</v>
      </c>
      <c r="R121" s="111">
        <v>1592562</v>
      </c>
      <c r="S121" s="3598">
        <v>391546</v>
      </c>
      <c r="T121" s="3598">
        <v>0</v>
      </c>
      <c r="U121" s="71">
        <v>15920</v>
      </c>
      <c r="V121" s="2518"/>
      <c r="W121" s="2518"/>
      <c r="X121" s="2518"/>
      <c r="Y121" s="2519"/>
    </row>
    <row r="122" spans="1:25">
      <c r="A122" s="53">
        <f t="shared" si="2"/>
        <v>2002.05</v>
      </c>
      <c r="B122" s="214">
        <v>1718262</v>
      </c>
      <c r="C122" s="3598">
        <v>33722</v>
      </c>
      <c r="D122" s="3598">
        <v>0</v>
      </c>
      <c r="E122" s="111">
        <v>400</v>
      </c>
      <c r="F122" s="456">
        <v>319493</v>
      </c>
      <c r="G122" s="3598">
        <v>13800</v>
      </c>
      <c r="H122" s="3598">
        <v>0</v>
      </c>
      <c r="I122" s="71">
        <v>72</v>
      </c>
      <c r="J122" s="456">
        <v>1350622</v>
      </c>
      <c r="K122" s="3598">
        <v>14078</v>
      </c>
      <c r="L122" s="3598">
        <v>0</v>
      </c>
      <c r="M122" s="71">
        <v>196</v>
      </c>
      <c r="N122" s="456">
        <v>6064</v>
      </c>
      <c r="O122" s="3598">
        <v>0</v>
      </c>
      <c r="P122" s="3598">
        <v>0</v>
      </c>
      <c r="Q122" s="71">
        <v>0</v>
      </c>
      <c r="R122" s="111">
        <v>2039294</v>
      </c>
      <c r="S122" s="3598">
        <v>361368</v>
      </c>
      <c r="T122" s="3598">
        <v>251</v>
      </c>
      <c r="U122" s="71">
        <v>400</v>
      </c>
      <c r="V122" s="2518"/>
      <c r="W122" s="2518"/>
      <c r="X122" s="2518"/>
      <c r="Y122" s="2519"/>
    </row>
    <row r="123" spans="1:25">
      <c r="A123" s="53">
        <f t="shared" si="2"/>
        <v>2002.06</v>
      </c>
      <c r="B123" s="214">
        <v>1709511</v>
      </c>
      <c r="C123" s="3598">
        <v>46893</v>
      </c>
      <c r="D123" s="3598">
        <v>0</v>
      </c>
      <c r="E123" s="111">
        <v>350</v>
      </c>
      <c r="F123" s="456">
        <v>311649</v>
      </c>
      <c r="G123" s="3598">
        <v>18878</v>
      </c>
      <c r="H123" s="3598">
        <v>0</v>
      </c>
      <c r="I123" s="71">
        <v>63</v>
      </c>
      <c r="J123" s="456">
        <v>1350085</v>
      </c>
      <c r="K123" s="3598">
        <v>18975</v>
      </c>
      <c r="L123" s="3598">
        <v>0</v>
      </c>
      <c r="M123" s="71">
        <v>200</v>
      </c>
      <c r="N123" s="456">
        <v>4917</v>
      </c>
      <c r="O123" s="3598">
        <v>0</v>
      </c>
      <c r="P123" s="3598">
        <v>0</v>
      </c>
      <c r="Q123" s="71">
        <v>0</v>
      </c>
      <c r="R123" s="111">
        <v>2053985</v>
      </c>
      <c r="S123" s="3598">
        <v>277939</v>
      </c>
      <c r="T123" s="3598">
        <v>222</v>
      </c>
      <c r="U123" s="71">
        <v>350</v>
      </c>
      <c r="V123" s="2518"/>
      <c r="W123" s="2518"/>
      <c r="X123" s="2518"/>
      <c r="Y123" s="2519"/>
    </row>
    <row r="124" spans="1:25">
      <c r="A124" s="53">
        <f t="shared" si="2"/>
        <v>2002.07</v>
      </c>
      <c r="B124" s="214">
        <v>1815306</v>
      </c>
      <c r="C124" s="3598">
        <v>29547</v>
      </c>
      <c r="D124" s="3598">
        <v>0</v>
      </c>
      <c r="E124" s="111">
        <v>33560</v>
      </c>
      <c r="F124" s="456">
        <v>333487</v>
      </c>
      <c r="G124" s="3598">
        <v>11907</v>
      </c>
      <c r="H124" s="3598">
        <v>0</v>
      </c>
      <c r="I124" s="71">
        <v>5521</v>
      </c>
      <c r="J124" s="456">
        <v>1430667</v>
      </c>
      <c r="K124" s="3598">
        <v>11160</v>
      </c>
      <c r="L124" s="3598">
        <v>0</v>
      </c>
      <c r="M124" s="71">
        <v>16647</v>
      </c>
      <c r="N124" s="456">
        <v>5389</v>
      </c>
      <c r="O124" s="3598">
        <v>0</v>
      </c>
      <c r="P124" s="3598">
        <v>0</v>
      </c>
      <c r="Q124" s="71">
        <v>0</v>
      </c>
      <c r="R124" s="111">
        <v>2181887</v>
      </c>
      <c r="S124" s="3598">
        <v>290656</v>
      </c>
      <c r="T124" s="3598">
        <v>0</v>
      </c>
      <c r="U124" s="71">
        <v>33560</v>
      </c>
      <c r="V124" s="2518"/>
      <c r="W124" s="2518"/>
      <c r="X124" s="2518"/>
      <c r="Y124" s="2519"/>
    </row>
    <row r="125" spans="1:25">
      <c r="A125" s="53">
        <f t="shared" si="2"/>
        <v>2002.08</v>
      </c>
      <c r="B125" s="214">
        <v>1783716</v>
      </c>
      <c r="C125" s="3598">
        <v>42420</v>
      </c>
      <c r="D125" s="3598">
        <v>0</v>
      </c>
      <c r="E125" s="111">
        <v>17075</v>
      </c>
      <c r="F125" s="456">
        <v>328548</v>
      </c>
      <c r="G125" s="3598">
        <v>17132</v>
      </c>
      <c r="H125" s="3598">
        <v>0</v>
      </c>
      <c r="I125" s="71">
        <v>2771</v>
      </c>
      <c r="J125" s="456">
        <v>1405138</v>
      </c>
      <c r="K125" s="3598">
        <v>17445</v>
      </c>
      <c r="L125" s="3598">
        <v>0</v>
      </c>
      <c r="M125" s="71">
        <v>8473</v>
      </c>
      <c r="N125" s="456">
        <v>5460</v>
      </c>
      <c r="O125" s="3598">
        <v>0</v>
      </c>
      <c r="P125" s="3598">
        <v>0</v>
      </c>
      <c r="Q125" s="71">
        <v>0</v>
      </c>
      <c r="R125" s="111">
        <v>2228747</v>
      </c>
      <c r="S125" s="3598">
        <v>186508</v>
      </c>
      <c r="T125" s="3598">
        <v>0</v>
      </c>
      <c r="U125" s="71">
        <v>17075</v>
      </c>
      <c r="V125" s="2518"/>
      <c r="W125" s="2518"/>
      <c r="X125" s="2518"/>
      <c r="Y125" s="2519"/>
    </row>
    <row r="126" spans="1:25">
      <c r="A126" s="53">
        <f t="shared" si="2"/>
        <v>2002.09</v>
      </c>
      <c r="B126" s="214">
        <v>1795354</v>
      </c>
      <c r="C126" s="3598">
        <v>25523</v>
      </c>
      <c r="D126" s="3598">
        <v>0</v>
      </c>
      <c r="E126" s="111">
        <v>0</v>
      </c>
      <c r="F126" s="456">
        <v>334122</v>
      </c>
      <c r="G126" s="3598">
        <v>10489</v>
      </c>
      <c r="H126" s="3598">
        <v>0</v>
      </c>
      <c r="I126" s="71">
        <v>0</v>
      </c>
      <c r="J126" s="456">
        <v>1410345</v>
      </c>
      <c r="K126" s="3598">
        <v>10573</v>
      </c>
      <c r="L126" s="3598">
        <v>0</v>
      </c>
      <c r="M126" s="71">
        <v>0</v>
      </c>
      <c r="N126" s="456">
        <v>5719</v>
      </c>
      <c r="O126" s="3598">
        <v>0</v>
      </c>
      <c r="P126" s="3598">
        <v>0</v>
      </c>
      <c r="Q126" s="71">
        <v>0</v>
      </c>
      <c r="R126" s="111">
        <v>2196670</v>
      </c>
      <c r="S126" s="3598">
        <v>184710</v>
      </c>
      <c r="T126" s="3598">
        <v>0</v>
      </c>
      <c r="U126" s="71">
        <v>0</v>
      </c>
      <c r="V126" s="2518"/>
      <c r="W126" s="2518"/>
      <c r="X126" s="2518"/>
      <c r="Y126" s="2519"/>
    </row>
    <row r="127" spans="1:25">
      <c r="A127" s="53">
        <f t="shared" si="2"/>
        <v>2002.1</v>
      </c>
      <c r="B127" s="214">
        <v>1778381</v>
      </c>
      <c r="C127" s="3598">
        <v>31231</v>
      </c>
      <c r="D127" s="3598">
        <v>0</v>
      </c>
      <c r="E127" s="111">
        <v>0</v>
      </c>
      <c r="F127" s="456">
        <v>330350</v>
      </c>
      <c r="G127" s="3598">
        <v>12743</v>
      </c>
      <c r="H127" s="3598">
        <v>0</v>
      </c>
      <c r="I127" s="71">
        <v>0</v>
      </c>
      <c r="J127" s="456">
        <v>1412243</v>
      </c>
      <c r="K127" s="3598">
        <v>13145</v>
      </c>
      <c r="L127" s="3598">
        <v>0</v>
      </c>
      <c r="M127" s="71">
        <v>0</v>
      </c>
      <c r="N127" s="456">
        <v>5548</v>
      </c>
      <c r="O127" s="3598">
        <v>0</v>
      </c>
      <c r="P127" s="3598">
        <v>0</v>
      </c>
      <c r="Q127" s="71">
        <v>0</v>
      </c>
      <c r="R127" s="111">
        <v>2185255</v>
      </c>
      <c r="S127" s="3598">
        <v>187402</v>
      </c>
      <c r="T127" s="3598">
        <v>0</v>
      </c>
      <c r="U127" s="71">
        <v>0</v>
      </c>
      <c r="V127" s="2518"/>
      <c r="W127" s="2518"/>
      <c r="X127" s="2518"/>
      <c r="Y127" s="2519"/>
    </row>
    <row r="128" spans="1:25">
      <c r="A128" s="53">
        <f t="shared" si="2"/>
        <v>2002.11</v>
      </c>
      <c r="B128" s="214">
        <v>1533279</v>
      </c>
      <c r="C128" s="3598">
        <v>34247</v>
      </c>
      <c r="D128" s="3598">
        <v>0</v>
      </c>
      <c r="E128" s="111">
        <v>0</v>
      </c>
      <c r="F128" s="456">
        <v>286957</v>
      </c>
      <c r="G128" s="3598">
        <v>13747</v>
      </c>
      <c r="H128" s="3598">
        <v>0</v>
      </c>
      <c r="I128" s="71">
        <v>0</v>
      </c>
      <c r="J128" s="456">
        <v>1218009</v>
      </c>
      <c r="K128" s="3598">
        <v>14364</v>
      </c>
      <c r="L128" s="3598">
        <v>0</v>
      </c>
      <c r="M128" s="71">
        <v>0</v>
      </c>
      <c r="N128" s="456">
        <v>5549</v>
      </c>
      <c r="O128" s="3598">
        <v>0</v>
      </c>
      <c r="P128" s="3598">
        <v>0</v>
      </c>
      <c r="Q128" s="71">
        <v>0</v>
      </c>
      <c r="R128" s="111">
        <v>1818467</v>
      </c>
      <c r="S128" s="3598">
        <v>207683</v>
      </c>
      <c r="T128" s="3598">
        <v>0</v>
      </c>
      <c r="U128" s="71">
        <v>0</v>
      </c>
      <c r="V128" s="2518"/>
      <c r="W128" s="2518"/>
      <c r="X128" s="2518"/>
      <c r="Y128" s="2519"/>
    </row>
    <row r="129" spans="1:25">
      <c r="A129" s="53">
        <f t="shared" si="2"/>
        <v>2002.12</v>
      </c>
      <c r="B129" s="214">
        <v>1503589</v>
      </c>
      <c r="C129" s="3598">
        <v>24083</v>
      </c>
      <c r="D129" s="3598">
        <v>0</v>
      </c>
      <c r="E129" s="111">
        <v>0</v>
      </c>
      <c r="F129" s="456">
        <v>281666</v>
      </c>
      <c r="G129" s="3598">
        <v>9469</v>
      </c>
      <c r="H129" s="3598">
        <v>0</v>
      </c>
      <c r="I129" s="71">
        <v>0</v>
      </c>
      <c r="J129" s="456">
        <v>1196352</v>
      </c>
      <c r="K129" s="3598">
        <v>9740</v>
      </c>
      <c r="L129" s="3598">
        <v>0</v>
      </c>
      <c r="M129" s="71">
        <v>0</v>
      </c>
      <c r="N129" s="456">
        <v>4673</v>
      </c>
      <c r="O129" s="3598">
        <v>0</v>
      </c>
      <c r="P129" s="3598">
        <v>0</v>
      </c>
      <c r="Q129" s="71">
        <v>0</v>
      </c>
      <c r="R129" s="111">
        <v>1727159</v>
      </c>
      <c r="S129" s="3598">
        <v>149784</v>
      </c>
      <c r="T129" s="3598">
        <v>84</v>
      </c>
      <c r="U129" s="71">
        <v>0</v>
      </c>
      <c r="V129" s="2518"/>
      <c r="W129" s="2518"/>
      <c r="X129" s="2518"/>
      <c r="Y129" s="2519"/>
    </row>
    <row r="130" spans="1:25">
      <c r="A130" s="53">
        <f t="shared" si="2"/>
        <v>2003.01</v>
      </c>
      <c r="B130" s="214">
        <v>1307026</v>
      </c>
      <c r="C130" s="3598">
        <v>157157</v>
      </c>
      <c r="D130" s="3598">
        <v>136</v>
      </c>
      <c r="E130" s="111">
        <v>0</v>
      </c>
      <c r="F130" s="456">
        <v>247800</v>
      </c>
      <c r="G130" s="3598">
        <v>62312</v>
      </c>
      <c r="H130" s="3598">
        <v>44</v>
      </c>
      <c r="I130" s="71">
        <v>0</v>
      </c>
      <c r="J130" s="456">
        <v>1030839</v>
      </c>
      <c r="K130" s="3598">
        <v>65261</v>
      </c>
      <c r="L130" s="3598">
        <v>0</v>
      </c>
      <c r="M130" s="71">
        <v>0</v>
      </c>
      <c r="N130" s="456">
        <v>5012</v>
      </c>
      <c r="O130" s="3598">
        <v>0</v>
      </c>
      <c r="P130" s="3598">
        <v>0</v>
      </c>
      <c r="Q130" s="71">
        <v>0</v>
      </c>
      <c r="R130" s="111">
        <v>1520110</v>
      </c>
      <c r="S130" s="3598">
        <v>390842</v>
      </c>
      <c r="T130" s="3598">
        <v>779</v>
      </c>
      <c r="U130" s="71">
        <v>0</v>
      </c>
      <c r="V130" s="2518"/>
      <c r="W130" s="2518"/>
      <c r="X130" s="2518"/>
      <c r="Y130" s="2519"/>
    </row>
    <row r="131" spans="1:25">
      <c r="A131" s="53">
        <f t="shared" si="2"/>
        <v>2003.02</v>
      </c>
      <c r="B131" s="214">
        <v>1139489</v>
      </c>
      <c r="C131" s="3598">
        <v>120580</v>
      </c>
      <c r="D131" s="3598">
        <v>0</v>
      </c>
      <c r="E131" s="111">
        <v>0</v>
      </c>
      <c r="F131" s="456">
        <v>216674</v>
      </c>
      <c r="G131" s="3598">
        <v>47628</v>
      </c>
      <c r="H131" s="3598">
        <v>0</v>
      </c>
      <c r="I131" s="71">
        <v>0</v>
      </c>
      <c r="J131" s="456">
        <v>901144</v>
      </c>
      <c r="K131" s="3598">
        <v>49975</v>
      </c>
      <c r="L131" s="3598">
        <v>0</v>
      </c>
      <c r="M131" s="71">
        <v>0</v>
      </c>
      <c r="N131" s="456">
        <v>4980</v>
      </c>
      <c r="O131" s="3598">
        <v>0</v>
      </c>
      <c r="P131" s="3598">
        <v>0</v>
      </c>
      <c r="Q131" s="71">
        <v>0</v>
      </c>
      <c r="R131" s="111">
        <v>1351618</v>
      </c>
      <c r="S131" s="3598">
        <v>298069</v>
      </c>
      <c r="T131" s="3598">
        <v>1189</v>
      </c>
      <c r="U131" s="71">
        <v>0</v>
      </c>
      <c r="V131" s="2518"/>
      <c r="W131" s="2518"/>
      <c r="X131" s="2518"/>
      <c r="Y131" s="2519"/>
    </row>
    <row r="132" spans="1:25">
      <c r="A132" s="53">
        <f t="shared" si="2"/>
        <v>2003.03</v>
      </c>
      <c r="B132" s="214">
        <v>1394286</v>
      </c>
      <c r="C132" s="3598">
        <v>119646</v>
      </c>
      <c r="D132" s="3598">
        <v>0</v>
      </c>
      <c r="E132" s="111">
        <v>0</v>
      </c>
      <c r="F132" s="456">
        <v>262531</v>
      </c>
      <c r="G132" s="3598">
        <v>47291</v>
      </c>
      <c r="H132" s="3598">
        <v>0</v>
      </c>
      <c r="I132" s="71">
        <v>0</v>
      </c>
      <c r="J132" s="456">
        <v>1086415</v>
      </c>
      <c r="K132" s="3598">
        <v>50883</v>
      </c>
      <c r="L132" s="3598">
        <v>0</v>
      </c>
      <c r="M132" s="71">
        <v>0</v>
      </c>
      <c r="N132" s="456">
        <v>5284</v>
      </c>
      <c r="O132" s="3598">
        <v>0</v>
      </c>
      <c r="P132" s="3598">
        <v>0</v>
      </c>
      <c r="Q132" s="71">
        <v>0</v>
      </c>
      <c r="R132" s="111">
        <v>1501341</v>
      </c>
      <c r="S132" s="3598">
        <v>503306</v>
      </c>
      <c r="T132" s="3598">
        <v>70</v>
      </c>
      <c r="U132" s="71">
        <v>0</v>
      </c>
      <c r="V132" s="2518"/>
      <c r="W132" s="2518"/>
      <c r="X132" s="2518"/>
      <c r="Y132" s="2519"/>
    </row>
    <row r="133" spans="1:25">
      <c r="A133" s="53">
        <f t="shared" si="2"/>
        <v>2003.04</v>
      </c>
      <c r="B133" s="214">
        <v>1727381</v>
      </c>
      <c r="C133" s="3598">
        <v>53832</v>
      </c>
      <c r="D133" s="3598">
        <v>0</v>
      </c>
      <c r="E133" s="111">
        <v>0</v>
      </c>
      <c r="F133" s="456">
        <v>327588</v>
      </c>
      <c r="G133" s="3598">
        <v>22456</v>
      </c>
      <c r="H133" s="3598">
        <v>0</v>
      </c>
      <c r="I133" s="71">
        <v>0</v>
      </c>
      <c r="J133" s="456">
        <v>1360147</v>
      </c>
      <c r="K133" s="3598">
        <v>24704</v>
      </c>
      <c r="L133" s="3598">
        <v>0</v>
      </c>
      <c r="M133" s="71">
        <v>0</v>
      </c>
      <c r="N133" s="456">
        <v>4921</v>
      </c>
      <c r="O133" s="3598">
        <v>0</v>
      </c>
      <c r="P133" s="3598">
        <v>0</v>
      </c>
      <c r="Q133" s="71">
        <v>0</v>
      </c>
      <c r="R133" s="111">
        <v>1968633</v>
      </c>
      <c r="S133" s="3598">
        <v>331022</v>
      </c>
      <c r="T133" s="3598">
        <v>0</v>
      </c>
      <c r="U133" s="71">
        <v>0</v>
      </c>
      <c r="V133" s="2518"/>
      <c r="W133" s="2518"/>
      <c r="X133" s="2518"/>
      <c r="Y133" s="2519"/>
    </row>
    <row r="134" spans="1:25">
      <c r="A134" s="53">
        <f t="shared" si="2"/>
        <v>2003.05</v>
      </c>
      <c r="B134" s="214">
        <v>1863632</v>
      </c>
      <c r="C134" s="3598">
        <v>43945</v>
      </c>
      <c r="D134" s="3598">
        <v>0</v>
      </c>
      <c r="E134" s="111">
        <v>0</v>
      </c>
      <c r="F134" s="456">
        <v>338181</v>
      </c>
      <c r="G134" s="3598">
        <v>17190</v>
      </c>
      <c r="H134" s="3598">
        <v>0</v>
      </c>
      <c r="I134" s="71">
        <v>0</v>
      </c>
      <c r="J134" s="456">
        <v>1473745</v>
      </c>
      <c r="K134" s="3598">
        <v>18145</v>
      </c>
      <c r="L134" s="3598">
        <v>0</v>
      </c>
      <c r="M134" s="71">
        <v>0</v>
      </c>
      <c r="N134" s="456">
        <v>5583</v>
      </c>
      <c r="O134" s="3598">
        <v>0</v>
      </c>
      <c r="P134" s="3598">
        <v>0</v>
      </c>
      <c r="Q134" s="71">
        <v>0</v>
      </c>
      <c r="R134" s="111">
        <v>2277943</v>
      </c>
      <c r="S134" s="3598">
        <v>232394</v>
      </c>
      <c r="T134" s="3598">
        <v>0</v>
      </c>
      <c r="U134" s="71">
        <v>0</v>
      </c>
      <c r="V134" s="2518"/>
      <c r="W134" s="2518"/>
      <c r="X134" s="2518"/>
      <c r="Y134" s="2519"/>
    </row>
    <row r="135" spans="1:25">
      <c r="A135" s="53">
        <f t="shared" si="2"/>
        <v>2003.06</v>
      </c>
      <c r="B135" s="214">
        <v>1840910</v>
      </c>
      <c r="C135" s="3598">
        <v>27649</v>
      </c>
      <c r="D135" s="3598">
        <v>0</v>
      </c>
      <c r="E135" s="111">
        <v>0</v>
      </c>
      <c r="F135" s="456">
        <v>342810</v>
      </c>
      <c r="G135" s="3598">
        <v>10781</v>
      </c>
      <c r="H135" s="3598">
        <v>0</v>
      </c>
      <c r="I135" s="71">
        <v>0</v>
      </c>
      <c r="J135" s="456">
        <v>1449476</v>
      </c>
      <c r="K135" s="3598">
        <v>11557</v>
      </c>
      <c r="L135" s="3598">
        <v>0</v>
      </c>
      <c r="M135" s="71">
        <v>0</v>
      </c>
      <c r="N135" s="456">
        <v>5400</v>
      </c>
      <c r="O135" s="3598">
        <v>0</v>
      </c>
      <c r="P135" s="3598">
        <v>0</v>
      </c>
      <c r="Q135" s="71">
        <v>0</v>
      </c>
      <c r="R135" s="111">
        <v>2220114</v>
      </c>
      <c r="S135" s="3598">
        <v>283543</v>
      </c>
      <c r="T135" s="3598">
        <v>0</v>
      </c>
      <c r="U135" s="71">
        <v>0</v>
      </c>
      <c r="V135" s="2518"/>
      <c r="W135" s="2518"/>
      <c r="X135" s="2518"/>
      <c r="Y135" s="2519"/>
    </row>
    <row r="136" spans="1:25">
      <c r="A136" s="53">
        <f t="shared" si="2"/>
        <v>2003.07</v>
      </c>
      <c r="B136" s="214">
        <v>1960100</v>
      </c>
      <c r="C136" s="3598">
        <v>36971</v>
      </c>
      <c r="D136" s="3598">
        <v>0</v>
      </c>
      <c r="E136" s="111">
        <v>0</v>
      </c>
      <c r="F136" s="456">
        <v>366495</v>
      </c>
      <c r="G136" s="3598">
        <v>14542</v>
      </c>
      <c r="H136" s="3598">
        <v>0</v>
      </c>
      <c r="I136" s="71">
        <v>0</v>
      </c>
      <c r="J136" s="456">
        <v>1545919</v>
      </c>
      <c r="K136" s="3598">
        <v>15417</v>
      </c>
      <c r="L136" s="3598">
        <v>0</v>
      </c>
      <c r="M136" s="71">
        <v>0</v>
      </c>
      <c r="N136" s="456">
        <v>5810</v>
      </c>
      <c r="O136" s="3598">
        <v>0</v>
      </c>
      <c r="P136" s="3598">
        <v>0</v>
      </c>
      <c r="Q136" s="71">
        <v>0</v>
      </c>
      <c r="R136" s="111">
        <v>2405385</v>
      </c>
      <c r="S136" s="3598">
        <v>236055</v>
      </c>
      <c r="T136" s="3598">
        <v>0</v>
      </c>
      <c r="U136" s="71">
        <v>0</v>
      </c>
      <c r="V136" s="2518"/>
      <c r="W136" s="2518"/>
      <c r="X136" s="2518"/>
      <c r="Y136" s="2519"/>
    </row>
    <row r="137" spans="1:25">
      <c r="A137" s="53">
        <f t="shared" si="2"/>
        <v>2003.08</v>
      </c>
      <c r="B137" s="214">
        <v>1793671</v>
      </c>
      <c r="C137" s="3598">
        <v>55382</v>
      </c>
      <c r="D137" s="3598">
        <v>0</v>
      </c>
      <c r="E137" s="111">
        <v>15255</v>
      </c>
      <c r="F137" s="456">
        <v>337558</v>
      </c>
      <c r="G137" s="3598">
        <v>22320</v>
      </c>
      <c r="H137" s="3598">
        <v>0</v>
      </c>
      <c r="I137" s="71">
        <v>2675</v>
      </c>
      <c r="J137" s="456">
        <v>1426693</v>
      </c>
      <c r="K137" s="3598">
        <v>22986</v>
      </c>
      <c r="L137" s="3598">
        <v>0</v>
      </c>
      <c r="M137" s="71">
        <v>7342</v>
      </c>
      <c r="N137" s="456">
        <v>7428</v>
      </c>
      <c r="O137" s="3598">
        <v>0</v>
      </c>
      <c r="P137" s="3598">
        <v>0</v>
      </c>
      <c r="Q137" s="71">
        <v>0</v>
      </c>
      <c r="R137" s="111">
        <v>2251363</v>
      </c>
      <c r="S137" s="3598">
        <v>222147</v>
      </c>
      <c r="T137" s="3598">
        <v>0</v>
      </c>
      <c r="U137" s="71">
        <v>15255</v>
      </c>
      <c r="V137" s="2518"/>
      <c r="W137" s="2518"/>
      <c r="X137" s="2518"/>
      <c r="Y137" s="2519"/>
    </row>
    <row r="138" spans="1:25">
      <c r="A138" s="53">
        <f t="shared" si="2"/>
        <v>2003.09</v>
      </c>
      <c r="B138" s="214">
        <v>1885382</v>
      </c>
      <c r="C138" s="3598">
        <v>0</v>
      </c>
      <c r="D138" s="3598">
        <v>0</v>
      </c>
      <c r="E138" s="111">
        <v>24220</v>
      </c>
      <c r="F138" s="456">
        <v>353312</v>
      </c>
      <c r="G138" s="3598">
        <v>0</v>
      </c>
      <c r="H138" s="3598">
        <v>0</v>
      </c>
      <c r="I138" s="71">
        <v>4344</v>
      </c>
      <c r="J138" s="456">
        <v>1486153</v>
      </c>
      <c r="K138" s="3598">
        <v>0</v>
      </c>
      <c r="L138" s="3598">
        <v>0</v>
      </c>
      <c r="M138" s="71">
        <v>11718</v>
      </c>
      <c r="N138" s="456">
        <v>7234</v>
      </c>
      <c r="O138" s="3598">
        <v>0</v>
      </c>
      <c r="P138" s="3598">
        <v>0</v>
      </c>
      <c r="Q138" s="71">
        <v>0</v>
      </c>
      <c r="R138" s="111">
        <v>2305171</v>
      </c>
      <c r="S138" s="3598">
        <v>182658</v>
      </c>
      <c r="T138" s="3598">
        <v>0</v>
      </c>
      <c r="U138" s="71">
        <v>24220</v>
      </c>
      <c r="V138" s="2518"/>
      <c r="W138" s="2518"/>
      <c r="X138" s="2518"/>
      <c r="Y138" s="2519"/>
    </row>
    <row r="139" spans="1:25">
      <c r="A139" s="53">
        <f t="shared" si="2"/>
        <v>2003.1</v>
      </c>
      <c r="B139" s="214">
        <v>1994994</v>
      </c>
      <c r="C139" s="3598">
        <v>2269</v>
      </c>
      <c r="D139" s="3598">
        <v>0</v>
      </c>
      <c r="E139" s="111">
        <v>0</v>
      </c>
      <c r="F139" s="456">
        <v>376788</v>
      </c>
      <c r="G139" s="3598">
        <v>916</v>
      </c>
      <c r="H139" s="3598">
        <v>0</v>
      </c>
      <c r="I139" s="71">
        <v>0</v>
      </c>
      <c r="J139" s="456">
        <v>1574220</v>
      </c>
      <c r="K139" s="3598">
        <v>1045</v>
      </c>
      <c r="L139" s="3598">
        <v>0</v>
      </c>
      <c r="M139" s="71">
        <v>0</v>
      </c>
      <c r="N139" s="456">
        <v>6811</v>
      </c>
      <c r="O139" s="3598">
        <v>0</v>
      </c>
      <c r="P139" s="3598">
        <v>0</v>
      </c>
      <c r="Q139" s="71">
        <v>0</v>
      </c>
      <c r="R139" s="111">
        <v>2428875</v>
      </c>
      <c r="S139" s="3598">
        <v>215374</v>
      </c>
      <c r="T139" s="3598">
        <v>0</v>
      </c>
      <c r="U139" s="71">
        <v>0</v>
      </c>
      <c r="V139" s="2518"/>
      <c r="W139" s="2518"/>
      <c r="X139" s="2518"/>
      <c r="Y139" s="2519"/>
    </row>
    <row r="140" spans="1:25">
      <c r="A140" s="53">
        <f t="shared" si="2"/>
        <v>2003.11</v>
      </c>
      <c r="B140" s="214">
        <v>1801097</v>
      </c>
      <c r="C140" s="3598">
        <v>25579</v>
      </c>
      <c r="D140" s="3598">
        <v>0</v>
      </c>
      <c r="E140" s="111">
        <v>0</v>
      </c>
      <c r="F140" s="456">
        <v>341134</v>
      </c>
      <c r="G140" s="3598">
        <v>10153</v>
      </c>
      <c r="H140" s="3598">
        <v>0</v>
      </c>
      <c r="I140" s="71">
        <v>0</v>
      </c>
      <c r="J140" s="456">
        <v>1435782</v>
      </c>
      <c r="K140" s="3598">
        <v>10630</v>
      </c>
      <c r="L140" s="3598">
        <v>0</v>
      </c>
      <c r="M140" s="71">
        <v>0</v>
      </c>
      <c r="N140" s="456">
        <v>6202</v>
      </c>
      <c r="O140" s="3598">
        <v>0</v>
      </c>
      <c r="P140" s="3598">
        <v>0</v>
      </c>
      <c r="Q140" s="71">
        <v>0</v>
      </c>
      <c r="R140" s="111">
        <v>2174013</v>
      </c>
      <c r="S140" s="3598">
        <v>221274</v>
      </c>
      <c r="T140" s="3598">
        <v>0</v>
      </c>
      <c r="U140" s="71">
        <v>0</v>
      </c>
      <c r="V140" s="2518"/>
      <c r="W140" s="2518"/>
      <c r="X140" s="2518"/>
      <c r="Y140" s="2519"/>
    </row>
    <row r="141" spans="1:25">
      <c r="A141" s="53">
        <f t="shared" si="2"/>
        <v>2003.12</v>
      </c>
      <c r="B141" s="214">
        <v>1662395</v>
      </c>
      <c r="C141" s="3598">
        <v>2250</v>
      </c>
      <c r="D141" s="3598">
        <v>0</v>
      </c>
      <c r="E141" s="111">
        <v>0</v>
      </c>
      <c r="F141" s="456">
        <v>318045</v>
      </c>
      <c r="G141" s="3598">
        <v>895</v>
      </c>
      <c r="H141" s="3598">
        <v>0</v>
      </c>
      <c r="I141" s="71">
        <v>0</v>
      </c>
      <c r="J141" s="456">
        <v>1303322</v>
      </c>
      <c r="K141" s="3598">
        <v>920</v>
      </c>
      <c r="L141" s="3598">
        <v>0</v>
      </c>
      <c r="M141" s="71">
        <v>0</v>
      </c>
      <c r="N141" s="456">
        <v>1325</v>
      </c>
      <c r="O141" s="3598">
        <v>0</v>
      </c>
      <c r="P141" s="3598">
        <v>0</v>
      </c>
      <c r="Q141" s="71">
        <v>0</v>
      </c>
      <c r="R141" s="111">
        <v>1915321</v>
      </c>
      <c r="S141" s="3598">
        <v>169569</v>
      </c>
      <c r="T141" s="3598">
        <v>757</v>
      </c>
      <c r="U141" s="71">
        <v>0</v>
      </c>
      <c r="V141" s="2518"/>
      <c r="W141" s="2518"/>
      <c r="X141" s="2518"/>
      <c r="Y141" s="2519"/>
    </row>
    <row r="142" spans="1:25">
      <c r="A142" s="53">
        <f t="shared" si="2"/>
        <v>2004.01</v>
      </c>
      <c r="B142" s="214">
        <v>1708020</v>
      </c>
      <c r="C142" s="3598">
        <v>87086</v>
      </c>
      <c r="D142" s="3598">
        <v>257</v>
      </c>
      <c r="E142" s="111">
        <v>0</v>
      </c>
      <c r="F142" s="456">
        <v>324821</v>
      </c>
      <c r="G142" s="3598">
        <v>35699</v>
      </c>
      <c r="H142" s="3598">
        <v>74</v>
      </c>
      <c r="I142" s="71">
        <v>0</v>
      </c>
      <c r="J142" s="456">
        <v>1341644</v>
      </c>
      <c r="K142" s="3598">
        <v>35580</v>
      </c>
      <c r="L142" s="3598">
        <v>0</v>
      </c>
      <c r="M142" s="71">
        <v>0</v>
      </c>
      <c r="N142" s="456">
        <v>5425</v>
      </c>
      <c r="O142" s="3598">
        <v>0</v>
      </c>
      <c r="P142" s="3598">
        <v>162</v>
      </c>
      <c r="Q142" s="71">
        <v>0</v>
      </c>
      <c r="R142" s="111">
        <v>1971086</v>
      </c>
      <c r="S142" s="3598">
        <v>193184</v>
      </c>
      <c r="T142" s="3598">
        <v>836</v>
      </c>
      <c r="U142" s="71">
        <v>0</v>
      </c>
      <c r="V142" s="2518"/>
      <c r="W142" s="2518"/>
      <c r="X142" s="2518"/>
      <c r="Y142" s="2519"/>
    </row>
    <row r="143" spans="1:25">
      <c r="A143" s="53">
        <f t="shared" si="2"/>
        <v>2004.02</v>
      </c>
      <c r="B143" s="214">
        <v>1189448</v>
      </c>
      <c r="C143" s="3598">
        <v>157074</v>
      </c>
      <c r="D143" s="3598">
        <v>325</v>
      </c>
      <c r="E143" s="111">
        <v>0</v>
      </c>
      <c r="F143" s="456">
        <v>228554</v>
      </c>
      <c r="G143" s="3598">
        <v>65708</v>
      </c>
      <c r="H143" s="3598">
        <v>22</v>
      </c>
      <c r="I143" s="71">
        <v>0</v>
      </c>
      <c r="J143" s="456">
        <v>937567</v>
      </c>
      <c r="K143" s="3598">
        <v>59995</v>
      </c>
      <c r="L143" s="3598">
        <v>0</v>
      </c>
      <c r="M143" s="71">
        <v>0</v>
      </c>
      <c r="N143" s="456">
        <v>5985</v>
      </c>
      <c r="O143" s="3598">
        <v>0</v>
      </c>
      <c r="P143" s="3598">
        <v>44</v>
      </c>
      <c r="Q143" s="71">
        <v>0</v>
      </c>
      <c r="R143" s="111">
        <v>1371680</v>
      </c>
      <c r="S143" s="3598">
        <v>239109</v>
      </c>
      <c r="T143" s="3598">
        <v>2979</v>
      </c>
      <c r="U143" s="71">
        <v>0</v>
      </c>
      <c r="V143" s="2518"/>
      <c r="W143" s="2518"/>
      <c r="X143" s="2518"/>
      <c r="Y143" s="2519"/>
    </row>
    <row r="144" spans="1:25">
      <c r="A144" s="53">
        <f t="shared" si="2"/>
        <v>2004.03</v>
      </c>
      <c r="B144" s="214">
        <v>1327763</v>
      </c>
      <c r="C144" s="3598">
        <v>101858</v>
      </c>
      <c r="D144" s="3598">
        <v>0</v>
      </c>
      <c r="E144" s="111">
        <v>0</v>
      </c>
      <c r="F144" s="456">
        <v>264339</v>
      </c>
      <c r="G144" s="3598">
        <v>42914</v>
      </c>
      <c r="H144" s="3598">
        <v>0</v>
      </c>
      <c r="I144" s="71">
        <v>0</v>
      </c>
      <c r="J144" s="456">
        <v>1066276</v>
      </c>
      <c r="K144" s="3598">
        <v>40077</v>
      </c>
      <c r="L144" s="3598">
        <v>0</v>
      </c>
      <c r="M144" s="71">
        <v>0</v>
      </c>
      <c r="N144" s="456">
        <v>5160</v>
      </c>
      <c r="O144" s="3598">
        <v>0</v>
      </c>
      <c r="P144" s="3598">
        <v>0</v>
      </c>
      <c r="Q144" s="71">
        <v>0</v>
      </c>
      <c r="R144" s="111">
        <v>1525764</v>
      </c>
      <c r="S144" s="3598">
        <v>416807</v>
      </c>
      <c r="T144" s="3598">
        <v>1000</v>
      </c>
      <c r="U144" s="71">
        <v>0</v>
      </c>
      <c r="V144" s="2518"/>
      <c r="W144" s="2518"/>
      <c r="X144" s="2518"/>
      <c r="Y144" s="2519"/>
    </row>
    <row r="145" spans="1:25">
      <c r="A145" s="53">
        <f t="shared" si="2"/>
        <v>2004.04</v>
      </c>
      <c r="B145" s="214">
        <v>1795846</v>
      </c>
      <c r="C145" s="3598">
        <v>87773</v>
      </c>
      <c r="D145" s="3598">
        <v>0</v>
      </c>
      <c r="E145" s="111">
        <v>0</v>
      </c>
      <c r="F145" s="456">
        <v>343185</v>
      </c>
      <c r="G145" s="3598">
        <v>36043</v>
      </c>
      <c r="H145" s="3598">
        <v>0</v>
      </c>
      <c r="I145" s="71">
        <v>0</v>
      </c>
      <c r="J145" s="456">
        <v>1412917</v>
      </c>
      <c r="K145" s="3598">
        <v>34517</v>
      </c>
      <c r="L145" s="3598">
        <v>0</v>
      </c>
      <c r="M145" s="71">
        <v>0</v>
      </c>
      <c r="N145" s="456">
        <v>7339</v>
      </c>
      <c r="O145" s="3598">
        <v>0</v>
      </c>
      <c r="P145" s="3598">
        <v>0</v>
      </c>
      <c r="Q145" s="71">
        <v>0</v>
      </c>
      <c r="R145" s="111">
        <v>2195563</v>
      </c>
      <c r="S145" s="3598">
        <v>281895</v>
      </c>
      <c r="T145" s="3598">
        <v>111</v>
      </c>
      <c r="U145" s="71">
        <v>0</v>
      </c>
      <c r="V145" s="2518"/>
      <c r="W145" s="2518"/>
      <c r="X145" s="2518"/>
      <c r="Y145" s="2519"/>
    </row>
    <row r="146" spans="1:25">
      <c r="A146" s="53">
        <f t="shared" si="2"/>
        <v>2004.05</v>
      </c>
      <c r="B146" s="214">
        <v>2074373</v>
      </c>
      <c r="C146" s="3598">
        <v>9046</v>
      </c>
      <c r="D146" s="3598">
        <v>0</v>
      </c>
      <c r="E146" s="111">
        <v>0</v>
      </c>
      <c r="F146" s="456">
        <v>386282</v>
      </c>
      <c r="G146" s="3598">
        <v>3593</v>
      </c>
      <c r="H146" s="3598">
        <v>0</v>
      </c>
      <c r="I146" s="71">
        <v>0</v>
      </c>
      <c r="J146" s="456">
        <v>1609553</v>
      </c>
      <c r="K146" s="3598">
        <v>3692</v>
      </c>
      <c r="L146" s="3598">
        <v>0</v>
      </c>
      <c r="M146" s="71">
        <v>0</v>
      </c>
      <c r="N146" s="456">
        <v>8045</v>
      </c>
      <c r="O146" s="3598">
        <v>0</v>
      </c>
      <c r="P146" s="3598">
        <v>0</v>
      </c>
      <c r="Q146" s="71">
        <v>0</v>
      </c>
      <c r="R146" s="111">
        <v>2517329</v>
      </c>
      <c r="S146" s="3598">
        <v>193537</v>
      </c>
      <c r="T146" s="3598">
        <v>57</v>
      </c>
      <c r="U146" s="71">
        <v>0</v>
      </c>
      <c r="V146" s="2518"/>
      <c r="W146" s="2518"/>
      <c r="X146" s="2518"/>
      <c r="Y146" s="2519"/>
    </row>
    <row r="147" spans="1:25">
      <c r="A147" s="53">
        <f t="shared" si="2"/>
        <v>2004.06</v>
      </c>
      <c r="B147" s="214">
        <v>1965091</v>
      </c>
      <c r="C147" s="3598">
        <v>25198</v>
      </c>
      <c r="D147" s="3598">
        <v>0</v>
      </c>
      <c r="E147" s="111">
        <v>0</v>
      </c>
      <c r="F147" s="456">
        <v>365668</v>
      </c>
      <c r="G147" s="3598">
        <v>10451</v>
      </c>
      <c r="H147" s="3598">
        <v>0</v>
      </c>
      <c r="I147" s="71">
        <v>0</v>
      </c>
      <c r="J147" s="456">
        <v>1548110</v>
      </c>
      <c r="K147" s="3598">
        <v>9733</v>
      </c>
      <c r="L147" s="3598">
        <v>0</v>
      </c>
      <c r="M147" s="71">
        <v>0</v>
      </c>
      <c r="N147" s="456">
        <v>8413</v>
      </c>
      <c r="O147" s="3598">
        <v>135</v>
      </c>
      <c r="P147" s="3598">
        <v>0</v>
      </c>
      <c r="Q147" s="71">
        <v>0</v>
      </c>
      <c r="R147" s="111">
        <v>2403436</v>
      </c>
      <c r="S147" s="3598">
        <v>208058</v>
      </c>
      <c r="T147" s="3598">
        <v>0</v>
      </c>
      <c r="U147" s="71">
        <v>0</v>
      </c>
      <c r="V147" s="2518"/>
      <c r="W147" s="2518"/>
      <c r="X147" s="2518"/>
      <c r="Y147" s="2519"/>
    </row>
    <row r="148" spans="1:25">
      <c r="A148" s="53">
        <f t="shared" si="2"/>
        <v>2004.07</v>
      </c>
      <c r="B148" s="214">
        <v>1853384</v>
      </c>
      <c r="C148" s="3598">
        <v>39142</v>
      </c>
      <c r="D148" s="3598">
        <v>0</v>
      </c>
      <c r="E148" s="111">
        <v>32467</v>
      </c>
      <c r="F148" s="456">
        <v>346346</v>
      </c>
      <c r="G148" s="3598">
        <v>16090</v>
      </c>
      <c r="H148" s="3598">
        <v>0</v>
      </c>
      <c r="I148" s="71">
        <v>5067</v>
      </c>
      <c r="J148" s="456">
        <v>1445963</v>
      </c>
      <c r="K148" s="3598">
        <v>15749</v>
      </c>
      <c r="L148" s="3598">
        <v>0</v>
      </c>
      <c r="M148" s="71">
        <v>16071</v>
      </c>
      <c r="N148" s="456">
        <v>7731</v>
      </c>
      <c r="O148" s="3598">
        <v>0</v>
      </c>
      <c r="P148" s="3598">
        <v>0</v>
      </c>
      <c r="Q148" s="71">
        <v>0</v>
      </c>
      <c r="R148" s="111">
        <v>2269980</v>
      </c>
      <c r="S148" s="3598">
        <v>248730</v>
      </c>
      <c r="T148" s="3598">
        <v>0</v>
      </c>
      <c r="U148" s="71">
        <v>32467</v>
      </c>
      <c r="V148" s="2518"/>
      <c r="W148" s="2518"/>
      <c r="X148" s="2518"/>
      <c r="Y148" s="2519"/>
    </row>
    <row r="149" spans="1:25">
      <c r="A149" s="53">
        <f t="shared" si="2"/>
        <v>2004.08</v>
      </c>
      <c r="B149" s="214">
        <v>1840434</v>
      </c>
      <c r="C149" s="3598">
        <v>34287</v>
      </c>
      <c r="D149" s="3598">
        <v>0</v>
      </c>
      <c r="E149" s="111">
        <v>30693</v>
      </c>
      <c r="F149" s="456">
        <v>346073</v>
      </c>
      <c r="G149" s="3598">
        <v>14087</v>
      </c>
      <c r="H149" s="3598">
        <v>0</v>
      </c>
      <c r="I149" s="71">
        <v>4988</v>
      </c>
      <c r="J149" s="456">
        <v>1436988</v>
      </c>
      <c r="K149" s="3598">
        <v>14965</v>
      </c>
      <c r="L149" s="3598">
        <v>0</v>
      </c>
      <c r="M149" s="71">
        <v>16035</v>
      </c>
      <c r="N149" s="456">
        <v>6947</v>
      </c>
      <c r="O149" s="3598">
        <v>0</v>
      </c>
      <c r="P149" s="3598">
        <v>0</v>
      </c>
      <c r="Q149" s="71">
        <v>0</v>
      </c>
      <c r="R149" s="111">
        <v>2145475</v>
      </c>
      <c r="S149" s="3598">
        <v>247761</v>
      </c>
      <c r="T149" s="3598">
        <v>0</v>
      </c>
      <c r="U149" s="71">
        <v>30693</v>
      </c>
      <c r="V149" s="2518"/>
      <c r="W149" s="2518"/>
      <c r="X149" s="2518"/>
      <c r="Y149" s="2519"/>
    </row>
    <row r="150" spans="1:25">
      <c r="A150" s="53">
        <f t="shared" ref="A150:A213" si="3">A138+1</f>
        <v>2004.09</v>
      </c>
      <c r="B150" s="214">
        <v>1712007</v>
      </c>
      <c r="C150" s="3598">
        <v>41694</v>
      </c>
      <c r="D150" s="3598">
        <v>0</v>
      </c>
      <c r="E150" s="111">
        <v>0</v>
      </c>
      <c r="F150" s="456">
        <v>323970</v>
      </c>
      <c r="G150" s="3598">
        <v>17262</v>
      </c>
      <c r="H150" s="3598">
        <v>0</v>
      </c>
      <c r="I150" s="71">
        <v>0</v>
      </c>
      <c r="J150" s="456">
        <v>1346560</v>
      </c>
      <c r="K150" s="3598">
        <v>17074</v>
      </c>
      <c r="L150" s="3598">
        <v>0</v>
      </c>
      <c r="M150" s="71">
        <v>0</v>
      </c>
      <c r="N150" s="456">
        <v>6624</v>
      </c>
      <c r="O150" s="3598">
        <v>0</v>
      </c>
      <c r="P150" s="3598">
        <v>0</v>
      </c>
      <c r="Q150" s="71">
        <v>0</v>
      </c>
      <c r="R150" s="111">
        <v>2121037</v>
      </c>
      <c r="S150" s="3598">
        <v>198596</v>
      </c>
      <c r="T150" s="3598">
        <v>200</v>
      </c>
      <c r="U150" s="71">
        <v>0</v>
      </c>
      <c r="V150" s="2518"/>
      <c r="W150" s="2518"/>
      <c r="X150" s="2518"/>
      <c r="Y150" s="2519"/>
    </row>
    <row r="151" spans="1:25">
      <c r="A151" s="53">
        <f t="shared" si="3"/>
        <v>2004.1</v>
      </c>
      <c r="B151" s="214">
        <v>1753331</v>
      </c>
      <c r="C151" s="3598">
        <v>16460</v>
      </c>
      <c r="D151" s="3598">
        <v>0</v>
      </c>
      <c r="E151" s="111">
        <v>0</v>
      </c>
      <c r="F151" s="456">
        <v>328202</v>
      </c>
      <c r="G151" s="3598">
        <v>7498</v>
      </c>
      <c r="H151" s="3598">
        <v>0</v>
      </c>
      <c r="I151" s="71">
        <v>0</v>
      </c>
      <c r="J151" s="456">
        <v>1366137</v>
      </c>
      <c r="K151" s="3598">
        <v>6888</v>
      </c>
      <c r="L151" s="3598">
        <v>0</v>
      </c>
      <c r="M151" s="71">
        <v>0</v>
      </c>
      <c r="N151" s="456">
        <v>8775</v>
      </c>
      <c r="O151" s="3598">
        <v>0</v>
      </c>
      <c r="P151" s="3598">
        <v>0</v>
      </c>
      <c r="Q151" s="71">
        <v>0</v>
      </c>
      <c r="R151" s="111">
        <v>2122414</v>
      </c>
      <c r="S151" s="3598">
        <v>240933</v>
      </c>
      <c r="T151" s="3598">
        <v>0</v>
      </c>
      <c r="U151" s="71">
        <v>0</v>
      </c>
      <c r="V151" s="2518"/>
      <c r="W151" s="2518"/>
      <c r="X151" s="2518"/>
      <c r="Y151" s="2519"/>
    </row>
    <row r="152" spans="1:25">
      <c r="A152" s="53">
        <f t="shared" si="3"/>
        <v>2004.11</v>
      </c>
      <c r="B152" s="214">
        <v>1625981</v>
      </c>
      <c r="C152" s="3598">
        <v>26110</v>
      </c>
      <c r="D152" s="3598">
        <v>0</v>
      </c>
      <c r="E152" s="111">
        <v>0</v>
      </c>
      <c r="F152" s="456">
        <v>306775</v>
      </c>
      <c r="G152" s="3598">
        <v>11338</v>
      </c>
      <c r="H152" s="3598">
        <v>0</v>
      </c>
      <c r="I152" s="71">
        <v>0</v>
      </c>
      <c r="J152" s="456">
        <v>1273980</v>
      </c>
      <c r="K152" s="3598">
        <v>10696</v>
      </c>
      <c r="L152" s="3598">
        <v>0</v>
      </c>
      <c r="M152" s="71">
        <v>0</v>
      </c>
      <c r="N152" s="456">
        <v>8168</v>
      </c>
      <c r="O152" s="3598">
        <v>0</v>
      </c>
      <c r="P152" s="3598">
        <v>0</v>
      </c>
      <c r="Q152" s="71">
        <v>0</v>
      </c>
      <c r="R152" s="111">
        <v>1926535</v>
      </c>
      <c r="S152" s="3598">
        <v>231105</v>
      </c>
      <c r="T152" s="3598">
        <v>1172</v>
      </c>
      <c r="U152" s="71">
        <v>0</v>
      </c>
      <c r="V152" s="2518"/>
      <c r="W152" s="2518"/>
      <c r="X152" s="2518"/>
      <c r="Y152" s="2519"/>
    </row>
    <row r="153" spans="1:25">
      <c r="A153" s="53">
        <f t="shared" si="3"/>
        <v>2004.12</v>
      </c>
      <c r="B153" s="214">
        <v>1370071</v>
      </c>
      <c r="C153" s="3598">
        <v>8350</v>
      </c>
      <c r="D153" s="3598">
        <v>0</v>
      </c>
      <c r="E153" s="111">
        <v>0</v>
      </c>
      <c r="F153" s="456">
        <v>257967</v>
      </c>
      <c r="G153" s="3598">
        <v>3464</v>
      </c>
      <c r="H153" s="3598">
        <v>0</v>
      </c>
      <c r="I153" s="71">
        <v>0</v>
      </c>
      <c r="J153" s="456">
        <v>1069304</v>
      </c>
      <c r="K153" s="3598">
        <v>3305</v>
      </c>
      <c r="L153" s="3598">
        <v>0</v>
      </c>
      <c r="M153" s="71">
        <v>0</v>
      </c>
      <c r="N153" s="456">
        <v>8454</v>
      </c>
      <c r="O153" s="3598">
        <v>0</v>
      </c>
      <c r="P153" s="3598">
        <v>0</v>
      </c>
      <c r="Q153" s="71">
        <v>0</v>
      </c>
      <c r="R153" s="111">
        <v>1659187</v>
      </c>
      <c r="S153" s="3598">
        <v>142763</v>
      </c>
      <c r="T153" s="3598">
        <v>2279</v>
      </c>
      <c r="U153" s="71">
        <v>0</v>
      </c>
      <c r="V153" s="2518"/>
      <c r="W153" s="2518"/>
      <c r="X153" s="2518"/>
      <c r="Y153" s="2519"/>
    </row>
    <row r="154" spans="1:25">
      <c r="A154" s="53">
        <f t="shared" si="3"/>
        <v>2005.01</v>
      </c>
      <c r="B154" s="214">
        <v>1733221</v>
      </c>
      <c r="C154" s="3598">
        <v>146073</v>
      </c>
      <c r="D154" s="3598">
        <v>0</v>
      </c>
      <c r="E154" s="111">
        <v>0</v>
      </c>
      <c r="F154" s="456">
        <v>331699</v>
      </c>
      <c r="G154" s="3598">
        <v>59665</v>
      </c>
      <c r="H154" s="3598">
        <v>0</v>
      </c>
      <c r="I154" s="71">
        <v>0</v>
      </c>
      <c r="J154" s="456">
        <v>1366648</v>
      </c>
      <c r="K154" s="3598">
        <v>61106</v>
      </c>
      <c r="L154" s="3598">
        <v>0</v>
      </c>
      <c r="M154" s="71">
        <v>0</v>
      </c>
      <c r="N154" s="456">
        <v>7990</v>
      </c>
      <c r="O154" s="3598">
        <v>0</v>
      </c>
      <c r="P154" s="3598">
        <v>0</v>
      </c>
      <c r="Q154" s="71">
        <v>0</v>
      </c>
      <c r="R154" s="111">
        <v>1986404</v>
      </c>
      <c r="S154" s="3598">
        <v>213898</v>
      </c>
      <c r="T154" s="3598">
        <v>2227</v>
      </c>
      <c r="U154" s="71">
        <v>0</v>
      </c>
      <c r="V154" s="2518"/>
      <c r="W154" s="2518"/>
      <c r="X154" s="2518"/>
      <c r="Y154" s="2519"/>
    </row>
    <row r="155" spans="1:25">
      <c r="A155" s="53">
        <f t="shared" si="3"/>
        <v>2005.02</v>
      </c>
      <c r="B155" s="214">
        <v>1601148</v>
      </c>
      <c r="C155" s="3598">
        <v>141348</v>
      </c>
      <c r="D155" s="3598">
        <v>0</v>
      </c>
      <c r="E155" s="111">
        <v>0</v>
      </c>
      <c r="F155" s="456">
        <v>304185.75</v>
      </c>
      <c r="G155" s="3598">
        <v>56877</v>
      </c>
      <c r="H155" s="3598">
        <v>0</v>
      </c>
      <c r="I155" s="71">
        <v>0</v>
      </c>
      <c r="J155" s="456">
        <v>1262998</v>
      </c>
      <c r="K155" s="3598">
        <v>57907</v>
      </c>
      <c r="L155" s="3598">
        <v>0</v>
      </c>
      <c r="M155" s="71">
        <v>0</v>
      </c>
      <c r="N155" s="456">
        <v>7912</v>
      </c>
      <c r="O155" s="3598">
        <v>0</v>
      </c>
      <c r="P155" s="3598">
        <v>0</v>
      </c>
      <c r="Q155" s="71">
        <v>0</v>
      </c>
      <c r="R155" s="111">
        <v>1799936</v>
      </c>
      <c r="S155" s="3598">
        <v>235302</v>
      </c>
      <c r="T155" s="3598">
        <v>3918</v>
      </c>
      <c r="U155" s="71">
        <v>0</v>
      </c>
      <c r="V155" s="2518"/>
      <c r="W155" s="2518"/>
      <c r="X155" s="2518"/>
      <c r="Y155" s="2519"/>
    </row>
    <row r="156" spans="1:25">
      <c r="A156" s="53">
        <f t="shared" si="3"/>
        <v>2005.03</v>
      </c>
      <c r="B156" s="214">
        <v>1709170</v>
      </c>
      <c r="C156" s="3598">
        <v>146112</v>
      </c>
      <c r="D156" s="3598">
        <v>0</v>
      </c>
      <c r="E156" s="111">
        <v>8236</v>
      </c>
      <c r="F156" s="456">
        <v>330421.19</v>
      </c>
      <c r="G156" s="3598">
        <v>59740</v>
      </c>
      <c r="H156" s="3598">
        <v>0</v>
      </c>
      <c r="I156" s="71">
        <v>1194</v>
      </c>
      <c r="J156" s="456">
        <v>1315592.53</v>
      </c>
      <c r="K156" s="3598">
        <v>59795</v>
      </c>
      <c r="L156" s="3598">
        <v>0</v>
      </c>
      <c r="M156" s="71">
        <v>7042</v>
      </c>
      <c r="N156" s="456">
        <v>8614</v>
      </c>
      <c r="O156" s="3598">
        <v>0</v>
      </c>
      <c r="P156" s="3598">
        <v>0</v>
      </c>
      <c r="Q156" s="71">
        <v>0</v>
      </c>
      <c r="R156" s="111">
        <v>1924887</v>
      </c>
      <c r="S156" s="3598">
        <v>551689</v>
      </c>
      <c r="T156" s="3598">
        <v>4488</v>
      </c>
      <c r="U156" s="71">
        <v>8236</v>
      </c>
      <c r="V156" s="2518"/>
      <c r="W156" s="2518"/>
      <c r="X156" s="2518"/>
      <c r="Y156" s="2519"/>
    </row>
    <row r="157" spans="1:25">
      <c r="A157" s="53">
        <f t="shared" si="3"/>
        <v>2005.04</v>
      </c>
      <c r="B157" s="214">
        <v>1927413</v>
      </c>
      <c r="C157" s="3598">
        <v>31147</v>
      </c>
      <c r="D157" s="3598">
        <v>0</v>
      </c>
      <c r="E157" s="111">
        <v>28833</v>
      </c>
      <c r="F157" s="456">
        <v>368414</v>
      </c>
      <c r="G157" s="3598">
        <v>12766</v>
      </c>
      <c r="H157" s="3598">
        <v>0</v>
      </c>
      <c r="I157" s="71">
        <v>4326</v>
      </c>
      <c r="J157" s="456">
        <v>1505788</v>
      </c>
      <c r="K157" s="3598">
        <v>13925</v>
      </c>
      <c r="L157" s="3598">
        <v>0</v>
      </c>
      <c r="M157" s="71">
        <v>24048</v>
      </c>
      <c r="N157" s="456">
        <v>9871</v>
      </c>
      <c r="O157" s="3598">
        <v>0</v>
      </c>
      <c r="P157" s="3598">
        <v>0</v>
      </c>
      <c r="Q157" s="71">
        <v>0</v>
      </c>
      <c r="R157" s="111">
        <v>2247994</v>
      </c>
      <c r="S157" s="3598">
        <v>343878</v>
      </c>
      <c r="T157" s="3598">
        <v>820</v>
      </c>
      <c r="U157" s="71">
        <v>28833</v>
      </c>
      <c r="V157" s="2518"/>
      <c r="W157" s="2518"/>
      <c r="X157" s="2518"/>
      <c r="Y157" s="2519"/>
    </row>
    <row r="158" spans="1:25">
      <c r="A158" s="53">
        <f t="shared" si="3"/>
        <v>2005.05</v>
      </c>
      <c r="B158" s="214">
        <v>2328722</v>
      </c>
      <c r="C158" s="3598">
        <v>44121</v>
      </c>
      <c r="D158" s="3598">
        <v>0</v>
      </c>
      <c r="E158" s="111">
        <v>16592</v>
      </c>
      <c r="F158" s="456">
        <v>414927</v>
      </c>
      <c r="G158" s="3598">
        <v>17186</v>
      </c>
      <c r="H158" s="3598">
        <v>0</v>
      </c>
      <c r="I158" s="71">
        <v>2390</v>
      </c>
      <c r="J158" s="456">
        <v>1839466</v>
      </c>
      <c r="K158" s="3598">
        <v>17332</v>
      </c>
      <c r="L158" s="3598">
        <v>0</v>
      </c>
      <c r="M158" s="71">
        <v>13870</v>
      </c>
      <c r="N158" s="456">
        <v>10083</v>
      </c>
      <c r="O158" s="3598">
        <v>0</v>
      </c>
      <c r="P158" s="3598">
        <v>0</v>
      </c>
      <c r="Q158" s="71">
        <v>0</v>
      </c>
      <c r="R158" s="111">
        <v>2749303</v>
      </c>
      <c r="S158" s="3598">
        <v>264859</v>
      </c>
      <c r="T158" s="3598">
        <v>1470</v>
      </c>
      <c r="U158" s="71">
        <v>16592</v>
      </c>
      <c r="V158" s="2518"/>
      <c r="W158" s="2518"/>
      <c r="X158" s="2518"/>
      <c r="Y158" s="2519"/>
    </row>
    <row r="159" spans="1:25">
      <c r="A159" s="53">
        <f t="shared" si="3"/>
        <v>2005.06</v>
      </c>
      <c r="B159" s="214">
        <v>2279287</v>
      </c>
      <c r="C159" s="3598">
        <v>99303</v>
      </c>
      <c r="D159" s="3598">
        <v>0</v>
      </c>
      <c r="E159" s="111">
        <v>0</v>
      </c>
      <c r="F159" s="456">
        <v>421927</v>
      </c>
      <c r="G159" s="3598">
        <v>40534</v>
      </c>
      <c r="H159" s="3598">
        <v>0</v>
      </c>
      <c r="I159" s="71">
        <v>0</v>
      </c>
      <c r="J159" s="456">
        <v>1787114</v>
      </c>
      <c r="K159" s="3598">
        <v>40665</v>
      </c>
      <c r="L159" s="3598">
        <v>0</v>
      </c>
      <c r="M159" s="71">
        <v>0</v>
      </c>
      <c r="N159" s="456">
        <v>7953</v>
      </c>
      <c r="O159" s="3598">
        <v>0</v>
      </c>
      <c r="P159" s="3598">
        <v>0</v>
      </c>
      <c r="Q159" s="71">
        <v>0</v>
      </c>
      <c r="R159" s="111">
        <v>2669452</v>
      </c>
      <c r="S159" s="3598">
        <v>376105</v>
      </c>
      <c r="T159" s="3598">
        <v>1</v>
      </c>
      <c r="U159" s="71">
        <v>0</v>
      </c>
      <c r="V159" s="2518"/>
      <c r="W159" s="2518"/>
      <c r="X159" s="2518"/>
      <c r="Y159" s="2519"/>
    </row>
    <row r="160" spans="1:25">
      <c r="A160" s="53">
        <f t="shared" si="3"/>
        <v>2005.07</v>
      </c>
      <c r="B160" s="214">
        <v>2455082</v>
      </c>
      <c r="C160" s="3598">
        <v>77216</v>
      </c>
      <c r="D160" s="3598">
        <v>0</v>
      </c>
      <c r="E160" s="111">
        <v>0</v>
      </c>
      <c r="F160" s="456">
        <v>462772.96799999999</v>
      </c>
      <c r="G160" s="3598">
        <v>31378</v>
      </c>
      <c r="H160" s="3598">
        <v>0</v>
      </c>
      <c r="I160" s="71">
        <v>0</v>
      </c>
      <c r="J160" s="456">
        <v>2010968</v>
      </c>
      <c r="K160" s="3598">
        <v>31809</v>
      </c>
      <c r="L160" s="3598">
        <v>0</v>
      </c>
      <c r="M160" s="71">
        <v>0</v>
      </c>
      <c r="N160" s="456">
        <v>10677</v>
      </c>
      <c r="O160" s="3598">
        <v>0</v>
      </c>
      <c r="P160" s="3598">
        <v>0</v>
      </c>
      <c r="Q160" s="71">
        <v>0</v>
      </c>
      <c r="R160" s="111">
        <v>2860824</v>
      </c>
      <c r="S160" s="3598">
        <v>332407</v>
      </c>
      <c r="T160" s="3598">
        <v>378</v>
      </c>
      <c r="U160" s="71">
        <v>0</v>
      </c>
      <c r="V160" s="2518"/>
      <c r="W160" s="2518"/>
      <c r="X160" s="2518"/>
      <c r="Y160" s="2519"/>
    </row>
    <row r="161" spans="1:25">
      <c r="A161" s="53">
        <f t="shared" si="3"/>
        <v>2005.08</v>
      </c>
      <c r="B161" s="214">
        <v>2270189</v>
      </c>
      <c r="C161" s="3598">
        <v>57545</v>
      </c>
      <c r="D161" s="3598">
        <v>0</v>
      </c>
      <c r="E161" s="111">
        <v>6313</v>
      </c>
      <c r="F161" s="456">
        <v>427487</v>
      </c>
      <c r="G161" s="3598">
        <v>24022</v>
      </c>
      <c r="H161" s="3598">
        <v>0</v>
      </c>
      <c r="I161" s="71">
        <v>666</v>
      </c>
      <c r="J161" s="456">
        <v>1757892</v>
      </c>
      <c r="K161" s="3598">
        <v>24102</v>
      </c>
      <c r="L161" s="3598">
        <v>0</v>
      </c>
      <c r="M161" s="71">
        <v>5521</v>
      </c>
      <c r="N161" s="456">
        <v>8494</v>
      </c>
      <c r="O161" s="3598">
        <v>0</v>
      </c>
      <c r="P161" s="3598">
        <v>0</v>
      </c>
      <c r="Q161" s="71">
        <v>0</v>
      </c>
      <c r="R161" s="111">
        <v>2591338</v>
      </c>
      <c r="S161" s="3598">
        <v>332116</v>
      </c>
      <c r="T161" s="3598">
        <v>0</v>
      </c>
      <c r="U161" s="71">
        <v>6313</v>
      </c>
      <c r="V161" s="2518"/>
      <c r="W161" s="2518"/>
      <c r="X161" s="2518"/>
      <c r="Y161" s="2519"/>
    </row>
    <row r="162" spans="1:25">
      <c r="A162" s="53">
        <f t="shared" si="3"/>
        <v>2005.09</v>
      </c>
      <c r="B162" s="214">
        <v>2324396</v>
      </c>
      <c r="C162" s="3598">
        <v>79012</v>
      </c>
      <c r="D162" s="3598">
        <v>0</v>
      </c>
      <c r="E162" s="111">
        <v>0</v>
      </c>
      <c r="F162" s="456">
        <v>436615</v>
      </c>
      <c r="G162" s="3598">
        <v>33231</v>
      </c>
      <c r="H162" s="3598">
        <v>0</v>
      </c>
      <c r="I162" s="71">
        <v>0</v>
      </c>
      <c r="J162" s="456">
        <v>1809961</v>
      </c>
      <c r="K162" s="3598">
        <v>32862</v>
      </c>
      <c r="L162" s="3598">
        <v>0</v>
      </c>
      <c r="M162" s="71">
        <v>0</v>
      </c>
      <c r="N162" s="456">
        <v>8987</v>
      </c>
      <c r="O162" s="3598">
        <v>0</v>
      </c>
      <c r="P162" s="3598">
        <v>0</v>
      </c>
      <c r="Q162" s="71">
        <v>0</v>
      </c>
      <c r="R162" s="111">
        <v>2774658</v>
      </c>
      <c r="S162" s="3598">
        <v>262481</v>
      </c>
      <c r="T162" s="3598">
        <v>770</v>
      </c>
      <c r="U162" s="71">
        <v>0</v>
      </c>
      <c r="V162" s="2518"/>
      <c r="W162" s="2518"/>
      <c r="X162" s="2518"/>
      <c r="Y162" s="2519"/>
    </row>
    <row r="163" spans="1:25">
      <c r="A163" s="53">
        <f t="shared" si="3"/>
        <v>2005.1</v>
      </c>
      <c r="B163" s="214">
        <v>1991119</v>
      </c>
      <c r="C163" s="3598">
        <v>0</v>
      </c>
      <c r="D163" s="3598">
        <v>0</v>
      </c>
      <c r="E163" s="111">
        <v>0</v>
      </c>
      <c r="F163" s="456">
        <v>376190</v>
      </c>
      <c r="G163" s="3598">
        <v>0</v>
      </c>
      <c r="H163" s="3598">
        <v>0</v>
      </c>
      <c r="I163" s="71">
        <v>0</v>
      </c>
      <c r="J163" s="456">
        <v>1556159</v>
      </c>
      <c r="K163" s="3598">
        <v>0</v>
      </c>
      <c r="L163" s="3598">
        <v>0</v>
      </c>
      <c r="M163" s="71">
        <v>0</v>
      </c>
      <c r="N163" s="456">
        <v>9642</v>
      </c>
      <c r="O163" s="3598">
        <v>0</v>
      </c>
      <c r="P163" s="3598">
        <v>0</v>
      </c>
      <c r="Q163" s="71">
        <v>0</v>
      </c>
      <c r="R163" s="111">
        <v>2421991</v>
      </c>
      <c r="S163" s="3598">
        <v>225971</v>
      </c>
      <c r="T163" s="3598">
        <v>76</v>
      </c>
      <c r="U163" s="71">
        <v>0</v>
      </c>
      <c r="V163" s="2518"/>
      <c r="W163" s="2518"/>
      <c r="X163" s="2518"/>
      <c r="Y163" s="2519"/>
    </row>
    <row r="164" spans="1:25">
      <c r="A164" s="53">
        <f t="shared" si="3"/>
        <v>2005.11</v>
      </c>
      <c r="B164" s="214">
        <v>1688682</v>
      </c>
      <c r="C164" s="3598">
        <v>0</v>
      </c>
      <c r="D164" s="3598">
        <v>0</v>
      </c>
      <c r="E164" s="111">
        <v>0</v>
      </c>
      <c r="F164" s="456">
        <v>319520</v>
      </c>
      <c r="G164" s="3598">
        <v>0</v>
      </c>
      <c r="H164" s="3598">
        <v>0</v>
      </c>
      <c r="I164" s="71">
        <v>0</v>
      </c>
      <c r="J164" s="456">
        <v>1306118</v>
      </c>
      <c r="K164" s="3598">
        <v>0</v>
      </c>
      <c r="L164" s="3598">
        <v>0</v>
      </c>
      <c r="M164" s="71">
        <v>0</v>
      </c>
      <c r="N164" s="456">
        <v>10467</v>
      </c>
      <c r="O164" s="3598">
        <v>0</v>
      </c>
      <c r="P164" s="3598">
        <v>0</v>
      </c>
      <c r="Q164" s="71">
        <v>0</v>
      </c>
      <c r="R164" s="111">
        <v>2078839</v>
      </c>
      <c r="S164" s="3598">
        <v>221549</v>
      </c>
      <c r="T164" s="3598">
        <v>0</v>
      </c>
      <c r="U164" s="71">
        <v>0</v>
      </c>
      <c r="V164" s="2518"/>
      <c r="W164" s="2518"/>
      <c r="X164" s="2518"/>
      <c r="Y164" s="2519"/>
    </row>
    <row r="165" spans="1:25">
      <c r="A165" s="53">
        <f t="shared" si="3"/>
        <v>2005.12</v>
      </c>
      <c r="B165" s="214">
        <v>2176678</v>
      </c>
      <c r="C165" s="3598">
        <v>49521</v>
      </c>
      <c r="D165" s="3598">
        <v>0</v>
      </c>
      <c r="E165" s="111">
        <v>0</v>
      </c>
      <c r="F165" s="456">
        <v>413623</v>
      </c>
      <c r="G165" s="3598">
        <v>21370</v>
      </c>
      <c r="H165" s="3598">
        <v>0</v>
      </c>
      <c r="I165" s="71">
        <v>0</v>
      </c>
      <c r="J165" s="456">
        <v>1708911</v>
      </c>
      <c r="K165" s="3598">
        <v>22245</v>
      </c>
      <c r="L165" s="3598">
        <v>0</v>
      </c>
      <c r="M165" s="71">
        <v>0</v>
      </c>
      <c r="N165" s="456">
        <v>8402</v>
      </c>
      <c r="O165" s="3598">
        <v>0</v>
      </c>
      <c r="P165" s="3598">
        <v>0</v>
      </c>
      <c r="Q165" s="71">
        <v>0</v>
      </c>
      <c r="R165" s="111">
        <v>2585185</v>
      </c>
      <c r="S165" s="3598">
        <v>203007</v>
      </c>
      <c r="T165" s="3598">
        <v>4983</v>
      </c>
      <c r="U165" s="71">
        <v>0</v>
      </c>
      <c r="V165" s="2518"/>
      <c r="W165" s="2518"/>
      <c r="X165" s="2518"/>
      <c r="Y165" s="2519"/>
    </row>
    <row r="166" spans="1:25">
      <c r="A166" s="53">
        <f t="shared" si="3"/>
        <v>2006.01</v>
      </c>
      <c r="B166" s="214">
        <v>2193463</v>
      </c>
      <c r="C166" s="3598">
        <v>176970</v>
      </c>
      <c r="D166" s="3598">
        <v>0</v>
      </c>
      <c r="E166" s="111">
        <v>0</v>
      </c>
      <c r="F166" s="456">
        <v>416962</v>
      </c>
      <c r="G166" s="3598">
        <v>73168</v>
      </c>
      <c r="H166" s="3598">
        <v>0</v>
      </c>
      <c r="I166" s="71">
        <v>0</v>
      </c>
      <c r="J166" s="456">
        <v>1712631</v>
      </c>
      <c r="K166" s="3598">
        <v>72220</v>
      </c>
      <c r="L166" s="3598">
        <v>0</v>
      </c>
      <c r="M166" s="71">
        <v>0</v>
      </c>
      <c r="N166" s="456">
        <v>9234</v>
      </c>
      <c r="O166" s="3598">
        <v>0</v>
      </c>
      <c r="P166" s="3598">
        <v>0</v>
      </c>
      <c r="Q166" s="71">
        <v>0</v>
      </c>
      <c r="R166" s="111">
        <v>2372189</v>
      </c>
      <c r="S166" s="3598">
        <v>269243</v>
      </c>
      <c r="T166" s="3598">
        <v>8217</v>
      </c>
      <c r="U166" s="71">
        <v>0</v>
      </c>
      <c r="V166" s="2518"/>
      <c r="W166" s="2518"/>
      <c r="X166" s="2518"/>
      <c r="Y166" s="2519"/>
    </row>
    <row r="167" spans="1:25">
      <c r="A167" s="53">
        <f t="shared" si="3"/>
        <v>2006.02</v>
      </c>
      <c r="B167" s="214">
        <v>1767369</v>
      </c>
      <c r="C167" s="3598">
        <v>144248</v>
      </c>
      <c r="D167" s="3598">
        <v>0</v>
      </c>
      <c r="E167" s="111">
        <v>0</v>
      </c>
      <c r="F167" s="456">
        <v>340470</v>
      </c>
      <c r="G167" s="3598">
        <v>58524</v>
      </c>
      <c r="H167" s="3598">
        <v>0</v>
      </c>
      <c r="I167" s="71">
        <v>0</v>
      </c>
      <c r="J167" s="456">
        <v>1387700</v>
      </c>
      <c r="K167" s="3598">
        <v>64862</v>
      </c>
      <c r="L167" s="3598">
        <v>0</v>
      </c>
      <c r="M167" s="71">
        <v>0</v>
      </c>
      <c r="N167" s="456">
        <v>7876</v>
      </c>
      <c r="O167" s="3598">
        <v>0</v>
      </c>
      <c r="P167" s="3598">
        <v>0</v>
      </c>
      <c r="Q167" s="71">
        <v>0</v>
      </c>
      <c r="R167" s="111">
        <v>2372189</v>
      </c>
      <c r="S167" s="3598">
        <v>269243</v>
      </c>
      <c r="T167" s="3598">
        <v>8217</v>
      </c>
      <c r="U167" s="71">
        <v>0</v>
      </c>
      <c r="V167" s="2518"/>
      <c r="W167" s="2518"/>
      <c r="X167" s="2518"/>
      <c r="Y167" s="2519"/>
    </row>
    <row r="168" spans="1:25">
      <c r="A168" s="53">
        <f t="shared" si="3"/>
        <v>2006.03</v>
      </c>
      <c r="B168" s="214">
        <v>2033101</v>
      </c>
      <c r="C168" s="3598">
        <v>164559</v>
      </c>
      <c r="D168" s="3598">
        <v>0</v>
      </c>
      <c r="E168" s="111">
        <v>0</v>
      </c>
      <c r="F168" s="456">
        <v>389168</v>
      </c>
      <c r="G168" s="3598">
        <v>67915</v>
      </c>
      <c r="H168" s="3598">
        <v>0</v>
      </c>
      <c r="I168" s="71">
        <v>0</v>
      </c>
      <c r="J168" s="456">
        <v>1596667</v>
      </c>
      <c r="K168" s="3598">
        <v>67879</v>
      </c>
      <c r="L168" s="3598">
        <v>0</v>
      </c>
      <c r="M168" s="71">
        <v>0</v>
      </c>
      <c r="N168" s="456">
        <v>8274</v>
      </c>
      <c r="O168" s="3598">
        <v>0</v>
      </c>
      <c r="P168" s="3598">
        <v>0</v>
      </c>
      <c r="Q168" s="71">
        <v>0</v>
      </c>
      <c r="R168" s="111">
        <v>2272583</v>
      </c>
      <c r="S168" s="3598">
        <v>341563</v>
      </c>
      <c r="T168" s="3598">
        <v>4804</v>
      </c>
      <c r="U168" s="71">
        <v>0</v>
      </c>
      <c r="V168" s="2518"/>
      <c r="W168" s="2518"/>
      <c r="X168" s="2518"/>
      <c r="Y168" s="2519"/>
    </row>
    <row r="169" spans="1:25">
      <c r="A169" s="53">
        <f t="shared" si="3"/>
        <v>2006.04</v>
      </c>
      <c r="B169" s="214">
        <v>2582850</v>
      </c>
      <c r="C169" s="3598">
        <v>163129</v>
      </c>
      <c r="D169" s="3598">
        <v>0</v>
      </c>
      <c r="E169" s="111">
        <v>0</v>
      </c>
      <c r="F169" s="456">
        <v>487895</v>
      </c>
      <c r="G169" s="3598">
        <v>67241</v>
      </c>
      <c r="H169" s="3598">
        <v>0</v>
      </c>
      <c r="I169" s="71">
        <v>0</v>
      </c>
      <c r="J169" s="456">
        <v>2001580</v>
      </c>
      <c r="K169" s="3598">
        <v>72176</v>
      </c>
      <c r="L169" s="3598">
        <v>0</v>
      </c>
      <c r="M169" s="71">
        <v>0</v>
      </c>
      <c r="N169" s="456">
        <v>10607</v>
      </c>
      <c r="O169" s="3598">
        <v>0</v>
      </c>
      <c r="P169" s="3598">
        <v>0</v>
      </c>
      <c r="Q169" s="71">
        <v>0</v>
      </c>
      <c r="R169" s="111">
        <v>2961181</v>
      </c>
      <c r="S169" s="3598">
        <v>558842</v>
      </c>
      <c r="T169" s="3598">
        <v>4147</v>
      </c>
      <c r="U169" s="71">
        <v>0</v>
      </c>
      <c r="V169" s="2518"/>
      <c r="W169" s="2518"/>
      <c r="X169" s="2518"/>
      <c r="Y169" s="2519"/>
    </row>
    <row r="170" spans="1:25">
      <c r="A170" s="53">
        <f t="shared" si="3"/>
        <v>2006.05</v>
      </c>
      <c r="B170" s="214">
        <v>2862943</v>
      </c>
      <c r="C170" s="3598">
        <v>147362</v>
      </c>
      <c r="D170" s="3598">
        <v>0</v>
      </c>
      <c r="E170" s="111">
        <v>829</v>
      </c>
      <c r="F170" s="456">
        <v>533861</v>
      </c>
      <c r="G170" s="3598">
        <v>60088</v>
      </c>
      <c r="H170" s="3598">
        <v>0</v>
      </c>
      <c r="I170" s="71">
        <v>141</v>
      </c>
      <c r="J170" s="456">
        <v>2227743</v>
      </c>
      <c r="K170" s="3598">
        <v>69244</v>
      </c>
      <c r="L170" s="3598">
        <v>0</v>
      </c>
      <c r="M170" s="71">
        <v>671</v>
      </c>
      <c r="N170" s="456">
        <v>10883</v>
      </c>
      <c r="O170" s="3598">
        <v>0</v>
      </c>
      <c r="P170" s="3598">
        <v>0</v>
      </c>
      <c r="Q170" s="71">
        <v>0</v>
      </c>
      <c r="R170" s="111">
        <v>3343470</v>
      </c>
      <c r="S170" s="3598">
        <v>426113</v>
      </c>
      <c r="T170" s="3598">
        <v>2308</v>
      </c>
      <c r="U170" s="71">
        <v>829</v>
      </c>
      <c r="V170" s="2518"/>
      <c r="W170" s="2518"/>
      <c r="X170" s="2518"/>
      <c r="Y170" s="2519"/>
    </row>
    <row r="171" spans="1:25">
      <c r="A171" s="53">
        <f t="shared" si="3"/>
        <v>2006.06</v>
      </c>
      <c r="B171" s="214">
        <v>2668353</v>
      </c>
      <c r="C171" s="3598">
        <v>123349</v>
      </c>
      <c r="D171" s="3598">
        <v>0</v>
      </c>
      <c r="E171" s="111">
        <v>27482</v>
      </c>
      <c r="F171" s="456">
        <v>494643</v>
      </c>
      <c r="G171" s="3598">
        <v>50538</v>
      </c>
      <c r="H171" s="3598">
        <v>0</v>
      </c>
      <c r="I171" s="71">
        <v>4672</v>
      </c>
      <c r="J171" s="456">
        <v>2074055</v>
      </c>
      <c r="K171" s="3598">
        <v>51767</v>
      </c>
      <c r="L171" s="3598">
        <v>0</v>
      </c>
      <c r="M171" s="71">
        <v>22260</v>
      </c>
      <c r="N171" s="456">
        <v>10503</v>
      </c>
      <c r="O171" s="3598">
        <v>0</v>
      </c>
      <c r="P171" s="3598">
        <v>0</v>
      </c>
      <c r="Q171" s="71">
        <v>0</v>
      </c>
      <c r="R171" s="111">
        <v>3047458</v>
      </c>
      <c r="S171" s="3598">
        <v>333815</v>
      </c>
      <c r="T171" s="3598">
        <v>3364</v>
      </c>
      <c r="U171" s="71">
        <v>27482</v>
      </c>
      <c r="V171" s="2518"/>
      <c r="W171" s="2518"/>
      <c r="X171" s="2518"/>
      <c r="Y171" s="2519"/>
    </row>
    <row r="172" spans="1:25">
      <c r="A172" s="53">
        <f t="shared" si="3"/>
        <v>2006.07</v>
      </c>
      <c r="B172" s="214">
        <v>2664044</v>
      </c>
      <c r="C172" s="3598">
        <v>110022</v>
      </c>
      <c r="D172" s="3598">
        <v>0</v>
      </c>
      <c r="E172" s="111">
        <v>3346</v>
      </c>
      <c r="F172" s="456">
        <v>494423</v>
      </c>
      <c r="G172" s="3598">
        <v>45059</v>
      </c>
      <c r="H172" s="3598">
        <v>0</v>
      </c>
      <c r="I172" s="71">
        <v>249</v>
      </c>
      <c r="J172" s="456">
        <v>2043033</v>
      </c>
      <c r="K172" s="3598">
        <v>47261</v>
      </c>
      <c r="L172" s="3598">
        <v>0</v>
      </c>
      <c r="M172" s="71">
        <v>2038</v>
      </c>
      <c r="N172" s="456">
        <v>10027</v>
      </c>
      <c r="O172" s="3598">
        <v>0</v>
      </c>
      <c r="P172" s="3598">
        <v>0</v>
      </c>
      <c r="Q172" s="71">
        <v>0</v>
      </c>
      <c r="R172" s="111">
        <v>3047582</v>
      </c>
      <c r="S172" s="3598">
        <v>386116</v>
      </c>
      <c r="T172" s="3598">
        <v>0</v>
      </c>
      <c r="U172" s="71">
        <v>3346</v>
      </c>
      <c r="V172" s="2518"/>
      <c r="W172" s="2518"/>
      <c r="X172" s="2518"/>
      <c r="Y172" s="2519"/>
    </row>
    <row r="173" spans="1:25">
      <c r="A173" s="53">
        <f t="shared" si="3"/>
        <v>2006.08</v>
      </c>
      <c r="B173" s="214">
        <v>2425168</v>
      </c>
      <c r="C173" s="3598">
        <v>100266</v>
      </c>
      <c r="D173" s="3598">
        <v>0</v>
      </c>
      <c r="E173" s="111">
        <v>0</v>
      </c>
      <c r="F173" s="456">
        <v>456713</v>
      </c>
      <c r="G173" s="3598">
        <v>44217</v>
      </c>
      <c r="H173" s="3598">
        <v>0</v>
      </c>
      <c r="I173" s="71">
        <v>0</v>
      </c>
      <c r="J173" s="456">
        <v>1904980</v>
      </c>
      <c r="K173" s="3598">
        <v>41810</v>
      </c>
      <c r="L173" s="3598">
        <v>0</v>
      </c>
      <c r="M173" s="71">
        <v>0</v>
      </c>
      <c r="N173" s="456">
        <v>8549</v>
      </c>
      <c r="O173" s="3598">
        <v>0</v>
      </c>
      <c r="P173" s="3598">
        <v>0</v>
      </c>
      <c r="Q173" s="71">
        <v>0</v>
      </c>
      <c r="R173" s="111">
        <v>2763436</v>
      </c>
      <c r="S173" s="3598">
        <v>287409</v>
      </c>
      <c r="T173" s="3598">
        <v>1995</v>
      </c>
      <c r="U173" s="71">
        <v>0</v>
      </c>
      <c r="V173" s="2518"/>
      <c r="W173" s="2518"/>
      <c r="X173" s="2518"/>
      <c r="Y173" s="2519"/>
    </row>
    <row r="174" spans="1:25">
      <c r="A174" s="53">
        <f t="shared" si="3"/>
        <v>2006.09</v>
      </c>
      <c r="B174" s="214">
        <v>2649679</v>
      </c>
      <c r="C174" s="3598">
        <v>10288</v>
      </c>
      <c r="D174" s="3598">
        <v>0</v>
      </c>
      <c r="E174" s="111">
        <v>5049</v>
      </c>
      <c r="F174" s="456">
        <v>499901</v>
      </c>
      <c r="G174" s="3598">
        <v>4267</v>
      </c>
      <c r="H174" s="3598">
        <v>0</v>
      </c>
      <c r="I174" s="71">
        <v>811</v>
      </c>
      <c r="J174" s="456">
        <v>2059347</v>
      </c>
      <c r="K174" s="3598">
        <v>4312</v>
      </c>
      <c r="L174" s="3598">
        <v>0</v>
      </c>
      <c r="M174" s="71">
        <v>2818</v>
      </c>
      <c r="N174" s="456">
        <v>11798</v>
      </c>
      <c r="O174" s="3598">
        <v>0</v>
      </c>
      <c r="P174" s="3598">
        <v>0</v>
      </c>
      <c r="Q174" s="71">
        <v>0</v>
      </c>
      <c r="R174" s="111">
        <v>3057683</v>
      </c>
      <c r="S174" s="3598">
        <v>347549</v>
      </c>
      <c r="T174" s="3598">
        <v>1435</v>
      </c>
      <c r="U174" s="71">
        <v>5049</v>
      </c>
      <c r="V174" s="2518"/>
      <c r="W174" s="2518"/>
      <c r="X174" s="2518"/>
      <c r="Y174" s="2519"/>
    </row>
    <row r="175" spans="1:25">
      <c r="A175" s="53">
        <f t="shared" si="3"/>
        <v>2006.1</v>
      </c>
      <c r="B175" s="214">
        <v>2358565</v>
      </c>
      <c r="C175" s="3598">
        <v>40403</v>
      </c>
      <c r="D175" s="3598">
        <v>0</v>
      </c>
      <c r="E175" s="111">
        <v>2293</v>
      </c>
      <c r="F175" s="456">
        <v>445098</v>
      </c>
      <c r="G175" s="3598">
        <v>16085</v>
      </c>
      <c r="H175" s="3598">
        <v>0</v>
      </c>
      <c r="I175" s="71">
        <v>636</v>
      </c>
      <c r="J175" s="456">
        <v>1832924</v>
      </c>
      <c r="K175" s="3598">
        <v>19713</v>
      </c>
      <c r="L175" s="3598">
        <v>0</v>
      </c>
      <c r="M175" s="71">
        <v>2721</v>
      </c>
      <c r="N175" s="456">
        <v>9773</v>
      </c>
      <c r="O175" s="3598">
        <v>0</v>
      </c>
      <c r="P175" s="3598">
        <v>0</v>
      </c>
      <c r="Q175" s="71">
        <v>0</v>
      </c>
      <c r="R175" s="111">
        <v>2636081</v>
      </c>
      <c r="S175" s="3598">
        <v>246494</v>
      </c>
      <c r="T175" s="3598">
        <v>120</v>
      </c>
      <c r="U175" s="71">
        <v>2293</v>
      </c>
      <c r="V175" s="2518"/>
      <c r="W175" s="2518"/>
      <c r="X175" s="2518"/>
      <c r="Y175" s="2519"/>
    </row>
    <row r="176" spans="1:25">
      <c r="A176" s="53">
        <f t="shared" si="3"/>
        <v>2006.11</v>
      </c>
      <c r="B176" s="214">
        <v>2313550</v>
      </c>
      <c r="C176" s="3598">
        <v>11104</v>
      </c>
      <c r="D176" s="3598">
        <v>0</v>
      </c>
      <c r="E176" s="111">
        <v>0</v>
      </c>
      <c r="F176" s="456">
        <v>439167</v>
      </c>
      <c r="G176" s="3598">
        <v>4594</v>
      </c>
      <c r="H176" s="3598">
        <v>0</v>
      </c>
      <c r="I176" s="71">
        <v>0</v>
      </c>
      <c r="J176" s="456">
        <v>1800837</v>
      </c>
      <c r="K176" s="3598">
        <v>4914</v>
      </c>
      <c r="L176" s="3598">
        <v>0</v>
      </c>
      <c r="M176" s="71">
        <v>0</v>
      </c>
      <c r="N176" s="456">
        <v>9166</v>
      </c>
      <c r="O176" s="3598">
        <v>0</v>
      </c>
      <c r="P176" s="3598">
        <v>0</v>
      </c>
      <c r="Q176" s="71">
        <v>0</v>
      </c>
      <c r="R176" s="111">
        <v>2682960</v>
      </c>
      <c r="S176" s="3598">
        <v>259761</v>
      </c>
      <c r="T176" s="3598">
        <v>850</v>
      </c>
      <c r="U176" s="71">
        <v>0</v>
      </c>
      <c r="V176" s="2518"/>
      <c r="W176" s="2518"/>
      <c r="X176" s="2518"/>
      <c r="Y176" s="2519"/>
    </row>
    <row r="177" spans="1:25">
      <c r="A177" s="53">
        <f t="shared" si="3"/>
        <v>2006.12</v>
      </c>
      <c r="B177" s="214">
        <v>2284849</v>
      </c>
      <c r="C177" s="3598">
        <v>96283</v>
      </c>
      <c r="D177" s="3598">
        <v>0</v>
      </c>
      <c r="E177" s="111">
        <v>0</v>
      </c>
      <c r="F177" s="456">
        <v>437967</v>
      </c>
      <c r="G177" s="3598">
        <v>37820</v>
      </c>
      <c r="H177" s="3598">
        <v>0</v>
      </c>
      <c r="I177" s="71">
        <v>0</v>
      </c>
      <c r="J177" s="456">
        <v>1776521</v>
      </c>
      <c r="K177" s="3598">
        <v>40586</v>
      </c>
      <c r="L177" s="3598">
        <v>0</v>
      </c>
      <c r="M177" s="71">
        <v>0</v>
      </c>
      <c r="N177" s="456">
        <v>9491</v>
      </c>
      <c r="O177" s="3598">
        <v>0</v>
      </c>
      <c r="P177" s="3598">
        <v>0</v>
      </c>
      <c r="Q177" s="71">
        <v>0</v>
      </c>
      <c r="R177" s="111">
        <v>2610711</v>
      </c>
      <c r="S177" s="3598">
        <v>108733</v>
      </c>
      <c r="T177" s="3598">
        <v>0</v>
      </c>
      <c r="U177" s="71">
        <v>0</v>
      </c>
      <c r="V177" s="2518"/>
      <c r="W177" s="2518"/>
      <c r="X177" s="2518"/>
      <c r="Y177" s="2519"/>
    </row>
    <row r="178" spans="1:25">
      <c r="A178" s="53">
        <f t="shared" si="3"/>
        <v>2007.01</v>
      </c>
      <c r="B178" s="214">
        <v>2155118</v>
      </c>
      <c r="C178" s="3598">
        <v>166276</v>
      </c>
      <c r="D178" s="3598">
        <v>0</v>
      </c>
      <c r="E178" s="111">
        <v>0</v>
      </c>
      <c r="F178" s="456">
        <v>411691</v>
      </c>
      <c r="G178" s="3598">
        <v>66844</v>
      </c>
      <c r="H178" s="3598">
        <v>0</v>
      </c>
      <c r="I178" s="71">
        <v>0</v>
      </c>
      <c r="J178" s="456">
        <v>1650183</v>
      </c>
      <c r="K178" s="3598">
        <v>69094</v>
      </c>
      <c r="L178" s="3598">
        <v>0</v>
      </c>
      <c r="M178" s="71">
        <v>0</v>
      </c>
      <c r="N178" s="456">
        <v>6663</v>
      </c>
      <c r="O178" s="3598">
        <v>0</v>
      </c>
      <c r="P178" s="3598">
        <v>0</v>
      </c>
      <c r="Q178" s="71">
        <v>0</v>
      </c>
      <c r="R178" s="111">
        <v>2359169</v>
      </c>
      <c r="S178" s="3598">
        <v>189188</v>
      </c>
      <c r="T178" s="3598">
        <v>0</v>
      </c>
      <c r="U178" s="71">
        <v>0</v>
      </c>
      <c r="V178" s="2518"/>
      <c r="W178" s="2518"/>
      <c r="X178" s="2518"/>
      <c r="Y178" s="2519"/>
    </row>
    <row r="179" spans="1:25">
      <c r="A179" s="53">
        <f t="shared" si="3"/>
        <v>2007.02</v>
      </c>
      <c r="B179" s="214">
        <v>1797926</v>
      </c>
      <c r="C179" s="3598">
        <v>139068</v>
      </c>
      <c r="D179" s="3598">
        <v>0</v>
      </c>
      <c r="E179" s="111">
        <v>0</v>
      </c>
      <c r="F179" s="456">
        <v>343909</v>
      </c>
      <c r="G179" s="3598">
        <v>55490</v>
      </c>
      <c r="H179" s="3598">
        <v>0</v>
      </c>
      <c r="I179" s="71">
        <v>0</v>
      </c>
      <c r="J179" s="456">
        <v>1393290</v>
      </c>
      <c r="K179" s="3598">
        <v>57732</v>
      </c>
      <c r="L179" s="3598">
        <v>0</v>
      </c>
      <c r="M179" s="71">
        <v>0</v>
      </c>
      <c r="N179" s="456">
        <v>7869</v>
      </c>
      <c r="O179" s="3598">
        <v>0</v>
      </c>
      <c r="P179" s="3598">
        <v>0</v>
      </c>
      <c r="Q179" s="71">
        <v>0</v>
      </c>
      <c r="R179" s="111">
        <v>1874825</v>
      </c>
      <c r="S179" s="3598">
        <v>269363</v>
      </c>
      <c r="T179" s="3598">
        <v>2911</v>
      </c>
      <c r="U179" s="71">
        <v>0</v>
      </c>
      <c r="V179" s="2518"/>
      <c r="W179" s="2518"/>
      <c r="X179" s="2518"/>
      <c r="Y179" s="2519"/>
    </row>
    <row r="180" spans="1:25">
      <c r="A180" s="53">
        <f t="shared" si="3"/>
        <v>2007.03</v>
      </c>
      <c r="B180" s="214">
        <v>2200671</v>
      </c>
      <c r="C180" s="3598">
        <v>161222</v>
      </c>
      <c r="D180" s="3598">
        <v>0</v>
      </c>
      <c r="E180" s="111">
        <v>0</v>
      </c>
      <c r="F180" s="456">
        <v>427360</v>
      </c>
      <c r="G180" s="3598">
        <v>63813</v>
      </c>
      <c r="H180" s="3598">
        <v>0</v>
      </c>
      <c r="I180" s="71">
        <v>0</v>
      </c>
      <c r="J180" s="456">
        <v>1701101</v>
      </c>
      <c r="K180" s="3598">
        <v>67808</v>
      </c>
      <c r="L180" s="3598">
        <v>0</v>
      </c>
      <c r="M180" s="71">
        <v>0</v>
      </c>
      <c r="N180" s="456">
        <v>8868</v>
      </c>
      <c r="O180" s="3598">
        <v>0</v>
      </c>
      <c r="P180" s="3598">
        <v>0</v>
      </c>
      <c r="Q180" s="71">
        <v>0</v>
      </c>
      <c r="R180" s="111">
        <v>2362293</v>
      </c>
      <c r="S180" s="3598">
        <v>290873</v>
      </c>
      <c r="T180" s="3598">
        <v>3289</v>
      </c>
      <c r="U180" s="71">
        <v>0</v>
      </c>
      <c r="V180" s="2518"/>
      <c r="W180" s="2518"/>
      <c r="X180" s="2518"/>
      <c r="Y180" s="2519"/>
    </row>
    <row r="181" spans="1:25">
      <c r="A181" s="53">
        <f t="shared" si="3"/>
        <v>2007.04</v>
      </c>
      <c r="B181" s="214">
        <v>2723659</v>
      </c>
      <c r="C181" s="3598">
        <v>91734</v>
      </c>
      <c r="D181" s="3598">
        <v>0</v>
      </c>
      <c r="E181" s="111">
        <v>0</v>
      </c>
      <c r="F181" s="456">
        <v>531204</v>
      </c>
      <c r="G181" s="3598">
        <v>37107</v>
      </c>
      <c r="H181" s="3598">
        <v>0</v>
      </c>
      <c r="I181" s="71">
        <v>0</v>
      </c>
      <c r="J181" s="456">
        <v>2082917</v>
      </c>
      <c r="K181" s="3598">
        <v>37720</v>
      </c>
      <c r="L181" s="3598">
        <v>0</v>
      </c>
      <c r="M181" s="71">
        <v>0</v>
      </c>
      <c r="N181" s="456">
        <v>9533</v>
      </c>
      <c r="O181" s="3598">
        <v>0</v>
      </c>
      <c r="P181" s="3598">
        <v>0</v>
      </c>
      <c r="Q181" s="71">
        <v>0</v>
      </c>
      <c r="R181" s="111">
        <v>2979279</v>
      </c>
      <c r="S181" s="3598">
        <v>521222</v>
      </c>
      <c r="T181" s="3598">
        <v>3981</v>
      </c>
      <c r="U181" s="71">
        <v>0</v>
      </c>
      <c r="V181" s="2518"/>
      <c r="W181" s="2518"/>
      <c r="X181" s="2518"/>
      <c r="Y181" s="2519"/>
    </row>
    <row r="182" spans="1:25">
      <c r="A182" s="53">
        <f t="shared" si="3"/>
        <v>2007.05</v>
      </c>
      <c r="B182" s="214">
        <v>2993642</v>
      </c>
      <c r="C182" s="3598">
        <v>122432</v>
      </c>
      <c r="D182" s="3598">
        <v>0</v>
      </c>
      <c r="E182" s="71">
        <v>9071</v>
      </c>
      <c r="F182" s="456">
        <v>572692</v>
      </c>
      <c r="G182" s="3598">
        <v>48369</v>
      </c>
      <c r="H182" s="3598">
        <v>0</v>
      </c>
      <c r="I182" s="71">
        <v>5058</v>
      </c>
      <c r="J182" s="456">
        <v>2302082</v>
      </c>
      <c r="K182" s="3598">
        <v>51579</v>
      </c>
      <c r="L182" s="3598">
        <v>0</v>
      </c>
      <c r="M182" s="71">
        <v>428</v>
      </c>
      <c r="N182" s="456">
        <v>11137</v>
      </c>
      <c r="O182" s="3598">
        <v>0</v>
      </c>
      <c r="P182" s="3598">
        <v>0</v>
      </c>
      <c r="Q182" s="71">
        <v>0</v>
      </c>
      <c r="R182" s="111">
        <v>3441014</v>
      </c>
      <c r="S182" s="3598">
        <v>256293</v>
      </c>
      <c r="T182" s="3598">
        <v>2457</v>
      </c>
      <c r="U182" s="71">
        <v>9071</v>
      </c>
      <c r="V182" s="2518"/>
      <c r="W182" s="2518"/>
      <c r="X182" s="2518"/>
      <c r="Y182" s="2519"/>
    </row>
    <row r="183" spans="1:25">
      <c r="A183" s="53">
        <f t="shared" si="3"/>
        <v>2007.06</v>
      </c>
      <c r="B183" s="214">
        <v>2858824</v>
      </c>
      <c r="C183" s="3598">
        <v>69899</v>
      </c>
      <c r="D183" s="3598">
        <v>0</v>
      </c>
      <c r="E183" s="71">
        <v>28884</v>
      </c>
      <c r="F183" s="456">
        <v>546978</v>
      </c>
      <c r="G183" s="3598">
        <v>27009</v>
      </c>
      <c r="H183" s="3598">
        <v>0</v>
      </c>
      <c r="I183" s="71">
        <v>4044</v>
      </c>
      <c r="J183" s="456">
        <v>2198938</v>
      </c>
      <c r="K183" s="3598">
        <v>30589</v>
      </c>
      <c r="L183" s="3598">
        <v>0</v>
      </c>
      <c r="M183" s="71">
        <v>15885</v>
      </c>
      <c r="N183" s="456">
        <v>9237</v>
      </c>
      <c r="O183" s="3598">
        <v>0</v>
      </c>
      <c r="P183" s="3598">
        <v>0</v>
      </c>
      <c r="Q183" s="71">
        <v>0</v>
      </c>
      <c r="R183" s="111">
        <v>3252083</v>
      </c>
      <c r="S183" s="3598">
        <v>263691</v>
      </c>
      <c r="T183" s="3598">
        <v>654</v>
      </c>
      <c r="U183" s="71">
        <v>28884</v>
      </c>
      <c r="V183" s="2518"/>
      <c r="W183" s="2518"/>
      <c r="X183" s="2518"/>
      <c r="Y183" s="2519"/>
    </row>
    <row r="184" spans="1:25">
      <c r="A184" s="53">
        <f t="shared" si="3"/>
        <v>2007.07</v>
      </c>
      <c r="B184" s="214">
        <v>2499480</v>
      </c>
      <c r="C184" s="3598">
        <v>96177</v>
      </c>
      <c r="D184" s="3598">
        <v>0</v>
      </c>
      <c r="E184" s="71">
        <v>410</v>
      </c>
      <c r="F184" s="456">
        <v>481097</v>
      </c>
      <c r="G184" s="3598">
        <v>37221</v>
      </c>
      <c r="H184" s="3598">
        <v>0</v>
      </c>
      <c r="I184" s="71">
        <v>57</v>
      </c>
      <c r="J184" s="456">
        <v>1902927</v>
      </c>
      <c r="K184" s="3598">
        <v>40902</v>
      </c>
      <c r="L184" s="3598">
        <v>0</v>
      </c>
      <c r="M184" s="71">
        <v>225</v>
      </c>
      <c r="N184" s="456">
        <v>8530</v>
      </c>
      <c r="O184" s="3598">
        <v>0</v>
      </c>
      <c r="P184" s="3598">
        <v>0</v>
      </c>
      <c r="Q184" s="71">
        <v>0</v>
      </c>
      <c r="R184" s="111">
        <v>2798413</v>
      </c>
      <c r="S184" s="3598">
        <v>322488</v>
      </c>
      <c r="T184" s="3598">
        <v>0</v>
      </c>
      <c r="U184" s="71">
        <v>410</v>
      </c>
      <c r="V184" s="2518"/>
      <c r="W184" s="2518"/>
      <c r="X184" s="2518"/>
      <c r="Y184" s="2519"/>
    </row>
    <row r="185" spans="1:25">
      <c r="A185" s="53">
        <f t="shared" si="3"/>
        <v>2007.08</v>
      </c>
      <c r="B185" s="214">
        <v>2672478</v>
      </c>
      <c r="C185" s="3598">
        <v>21814</v>
      </c>
      <c r="D185" s="3598">
        <v>0</v>
      </c>
      <c r="E185" s="71">
        <v>14699</v>
      </c>
      <c r="F185" s="456">
        <v>513782</v>
      </c>
      <c r="G185" s="3598">
        <v>8538</v>
      </c>
      <c r="H185" s="3598">
        <v>0</v>
      </c>
      <c r="I185" s="71">
        <v>2478</v>
      </c>
      <c r="J185" s="456">
        <v>2056156</v>
      </c>
      <c r="K185" s="3598">
        <v>9283</v>
      </c>
      <c r="L185" s="3598">
        <v>0</v>
      </c>
      <c r="M185" s="71">
        <v>8345</v>
      </c>
      <c r="N185" s="456">
        <v>11526</v>
      </c>
      <c r="O185" s="3598">
        <v>0</v>
      </c>
      <c r="P185" s="3598">
        <v>0</v>
      </c>
      <c r="Q185" s="71">
        <v>0</v>
      </c>
      <c r="R185" s="111">
        <v>3014169</v>
      </c>
      <c r="S185" s="3598">
        <v>256753</v>
      </c>
      <c r="T185" s="3598">
        <v>180</v>
      </c>
      <c r="U185" s="71">
        <v>14699</v>
      </c>
      <c r="V185" s="2518"/>
      <c r="W185" s="2518"/>
      <c r="X185" s="2518"/>
      <c r="Y185" s="2519"/>
    </row>
    <row r="186" spans="1:25">
      <c r="A186" s="53">
        <f t="shared" si="3"/>
        <v>2007.09</v>
      </c>
      <c r="B186" s="214">
        <v>3120813</v>
      </c>
      <c r="C186" s="3598">
        <v>31624</v>
      </c>
      <c r="D186" s="3598">
        <v>0</v>
      </c>
      <c r="E186" s="71">
        <v>0</v>
      </c>
      <c r="F186" s="456">
        <v>602935</v>
      </c>
      <c r="G186" s="3598">
        <v>12561</v>
      </c>
      <c r="H186" s="3598">
        <v>0</v>
      </c>
      <c r="I186" s="71">
        <v>0</v>
      </c>
      <c r="J186" s="456">
        <v>2411814</v>
      </c>
      <c r="K186" s="3598">
        <v>14086</v>
      </c>
      <c r="L186" s="3598">
        <v>0</v>
      </c>
      <c r="M186" s="71">
        <v>0</v>
      </c>
      <c r="N186" s="456">
        <v>11578</v>
      </c>
      <c r="O186" s="3598">
        <v>0</v>
      </c>
      <c r="P186" s="3598">
        <v>0</v>
      </c>
      <c r="Q186" s="71">
        <v>0</v>
      </c>
      <c r="R186" s="111">
        <v>3579232</v>
      </c>
      <c r="S186" s="3598">
        <v>192318</v>
      </c>
      <c r="T186" s="3598">
        <v>411</v>
      </c>
      <c r="U186" s="71">
        <v>0</v>
      </c>
      <c r="V186" s="2518"/>
      <c r="W186" s="2518"/>
      <c r="X186" s="2518"/>
      <c r="Y186" s="2519"/>
    </row>
    <row r="187" spans="1:25">
      <c r="A187" s="53">
        <f t="shared" si="3"/>
        <v>2007.1</v>
      </c>
      <c r="B187" s="214">
        <v>3192195</v>
      </c>
      <c r="C187" s="3598">
        <v>39669</v>
      </c>
      <c r="D187" s="3598">
        <v>0</v>
      </c>
      <c r="E187" s="71">
        <v>0</v>
      </c>
      <c r="F187" s="456">
        <v>611309</v>
      </c>
      <c r="G187" s="3598">
        <v>15605</v>
      </c>
      <c r="H187" s="3598">
        <v>0</v>
      </c>
      <c r="I187" s="71">
        <v>0</v>
      </c>
      <c r="J187" s="456">
        <v>2472363</v>
      </c>
      <c r="K187" s="3598">
        <v>17327</v>
      </c>
      <c r="L187" s="3598">
        <v>0</v>
      </c>
      <c r="M187" s="71">
        <v>0</v>
      </c>
      <c r="N187" s="456">
        <v>10390</v>
      </c>
      <c r="O187" s="3598">
        <v>0</v>
      </c>
      <c r="P187" s="3598">
        <v>0</v>
      </c>
      <c r="Q187" s="71">
        <v>0</v>
      </c>
      <c r="R187" s="111">
        <v>3580250</v>
      </c>
      <c r="S187" s="3598">
        <v>185343</v>
      </c>
      <c r="T187" s="3598">
        <v>0</v>
      </c>
      <c r="U187" s="71">
        <v>0</v>
      </c>
      <c r="V187" s="2518"/>
      <c r="W187" s="2518"/>
      <c r="X187" s="2518"/>
      <c r="Y187" s="2519"/>
    </row>
    <row r="188" spans="1:25">
      <c r="A188" s="53">
        <f t="shared" si="3"/>
        <v>2007.11</v>
      </c>
      <c r="B188" s="214">
        <v>3021078</v>
      </c>
      <c r="C188" s="3598">
        <v>0</v>
      </c>
      <c r="D188" s="3598">
        <v>0</v>
      </c>
      <c r="E188" s="71">
        <v>0</v>
      </c>
      <c r="F188" s="456">
        <v>587216</v>
      </c>
      <c r="G188" s="3598">
        <v>0</v>
      </c>
      <c r="H188" s="3598">
        <v>0</v>
      </c>
      <c r="I188" s="71">
        <v>0</v>
      </c>
      <c r="J188" s="456">
        <v>2333339</v>
      </c>
      <c r="K188" s="3598">
        <v>0</v>
      </c>
      <c r="L188" s="3598">
        <v>0</v>
      </c>
      <c r="M188" s="71">
        <v>0</v>
      </c>
      <c r="N188" s="456">
        <v>10649</v>
      </c>
      <c r="O188" s="3598">
        <v>0</v>
      </c>
      <c r="P188" s="3598">
        <v>0</v>
      </c>
      <c r="Q188" s="71">
        <v>0</v>
      </c>
      <c r="R188" s="111">
        <v>3426008</v>
      </c>
      <c r="S188" s="3598">
        <v>120010</v>
      </c>
      <c r="T188" s="3598">
        <v>630</v>
      </c>
      <c r="U188" s="71">
        <v>0</v>
      </c>
      <c r="V188" s="2518"/>
      <c r="W188" s="2518"/>
      <c r="X188" s="2518"/>
      <c r="Y188" s="2519"/>
    </row>
    <row r="189" spans="1:25">
      <c r="A189" s="53">
        <f t="shared" si="3"/>
        <v>2007.12</v>
      </c>
      <c r="B189" s="214">
        <v>3173124</v>
      </c>
      <c r="C189" s="3598">
        <v>16107</v>
      </c>
      <c r="D189" s="3598">
        <v>0</v>
      </c>
      <c r="E189" s="71">
        <v>0</v>
      </c>
      <c r="F189" s="456">
        <v>611310</v>
      </c>
      <c r="G189" s="3598">
        <v>6230</v>
      </c>
      <c r="H189" s="3598">
        <v>0</v>
      </c>
      <c r="I189" s="71">
        <v>0</v>
      </c>
      <c r="J189" s="456">
        <v>2439520</v>
      </c>
      <c r="K189" s="3598">
        <v>6713</v>
      </c>
      <c r="L189" s="3598">
        <v>0</v>
      </c>
      <c r="M189" s="71">
        <v>0</v>
      </c>
      <c r="N189" s="456">
        <v>8313</v>
      </c>
      <c r="O189" s="3598">
        <v>0</v>
      </c>
      <c r="P189" s="3598">
        <v>0</v>
      </c>
      <c r="Q189" s="71">
        <v>0</v>
      </c>
      <c r="R189" s="111">
        <v>3599303</v>
      </c>
      <c r="S189" s="3598">
        <v>43115</v>
      </c>
      <c r="T189" s="3598">
        <v>0</v>
      </c>
      <c r="U189" s="71">
        <v>0</v>
      </c>
      <c r="V189" s="2518"/>
      <c r="W189" s="2518"/>
      <c r="X189" s="2518"/>
      <c r="Y189" s="2519"/>
    </row>
    <row r="190" spans="1:25">
      <c r="A190" s="53">
        <f t="shared" si="3"/>
        <v>2008.01</v>
      </c>
      <c r="B190" s="214">
        <v>2602520</v>
      </c>
      <c r="C190" s="3598">
        <v>167226</v>
      </c>
      <c r="D190" s="3598">
        <v>0</v>
      </c>
      <c r="E190" s="71">
        <v>0</v>
      </c>
      <c r="F190" s="456">
        <v>509249</v>
      </c>
      <c r="G190" s="3598">
        <v>68440</v>
      </c>
      <c r="H190" s="3598">
        <v>0</v>
      </c>
      <c r="I190" s="71">
        <v>0</v>
      </c>
      <c r="J190" s="456">
        <v>2000671</v>
      </c>
      <c r="K190" s="3598">
        <v>69544</v>
      </c>
      <c r="L190" s="3598">
        <v>0</v>
      </c>
      <c r="M190" s="71">
        <v>0</v>
      </c>
      <c r="N190" s="456">
        <v>9790</v>
      </c>
      <c r="O190" s="3598">
        <v>0</v>
      </c>
      <c r="P190" s="3598">
        <v>0</v>
      </c>
      <c r="Q190" s="71">
        <v>0</v>
      </c>
      <c r="R190" s="111">
        <v>2942092</v>
      </c>
      <c r="S190" s="3598">
        <v>239943</v>
      </c>
      <c r="T190" s="3598">
        <v>210</v>
      </c>
      <c r="U190" s="71">
        <v>0</v>
      </c>
      <c r="V190" s="2518"/>
      <c r="W190" s="2518"/>
      <c r="X190" s="2518"/>
      <c r="Y190" s="2519"/>
    </row>
    <row r="191" spans="1:25">
      <c r="A191" s="53">
        <f t="shared" si="3"/>
        <v>2008.02</v>
      </c>
      <c r="B191" s="214">
        <v>1925063</v>
      </c>
      <c r="C191" s="3598">
        <v>172461</v>
      </c>
      <c r="D191" s="3598">
        <v>0</v>
      </c>
      <c r="E191" s="71">
        <v>0</v>
      </c>
      <c r="F191" s="456">
        <v>375471</v>
      </c>
      <c r="G191" s="3598">
        <v>71151</v>
      </c>
      <c r="H191" s="3598">
        <v>0</v>
      </c>
      <c r="I191" s="71">
        <v>0</v>
      </c>
      <c r="J191" s="456">
        <v>1496146</v>
      </c>
      <c r="K191" s="3598">
        <v>72753</v>
      </c>
      <c r="L191" s="3598">
        <v>0</v>
      </c>
      <c r="M191" s="71">
        <v>0</v>
      </c>
      <c r="N191" s="456">
        <v>8095</v>
      </c>
      <c r="O191" s="3598">
        <v>0</v>
      </c>
      <c r="P191" s="3598">
        <v>0</v>
      </c>
      <c r="Q191" s="71">
        <v>0</v>
      </c>
      <c r="R191" s="111">
        <v>2177204</v>
      </c>
      <c r="S191" s="3598">
        <v>255468</v>
      </c>
      <c r="T191" s="3598">
        <v>1671</v>
      </c>
      <c r="U191" s="71">
        <v>0</v>
      </c>
      <c r="V191" s="2518"/>
      <c r="W191" s="2518"/>
      <c r="X191" s="2518"/>
      <c r="Y191" s="2519"/>
    </row>
    <row r="192" spans="1:25">
      <c r="A192" s="53">
        <f t="shared" si="3"/>
        <v>2008.03</v>
      </c>
      <c r="B192" s="214">
        <v>1152908</v>
      </c>
      <c r="C192" s="3598">
        <v>178838</v>
      </c>
      <c r="D192" s="3598">
        <v>0</v>
      </c>
      <c r="E192" s="71">
        <v>0</v>
      </c>
      <c r="F192" s="456">
        <v>221304</v>
      </c>
      <c r="G192" s="3598">
        <v>74492</v>
      </c>
      <c r="H192" s="3598">
        <v>0</v>
      </c>
      <c r="I192" s="71">
        <v>0</v>
      </c>
      <c r="J192" s="456">
        <v>888695</v>
      </c>
      <c r="K192" s="3598">
        <v>74075</v>
      </c>
      <c r="L192" s="3598">
        <v>0</v>
      </c>
      <c r="M192" s="71">
        <v>0</v>
      </c>
      <c r="N192" s="456">
        <v>8283</v>
      </c>
      <c r="O192" s="3598">
        <v>0</v>
      </c>
      <c r="P192" s="3598">
        <v>0</v>
      </c>
      <c r="Q192" s="71">
        <v>0</v>
      </c>
      <c r="R192" s="111">
        <v>1179405</v>
      </c>
      <c r="S192" s="3598">
        <v>510405</v>
      </c>
      <c r="T192" s="3598">
        <v>1663</v>
      </c>
      <c r="U192" s="71">
        <v>0</v>
      </c>
      <c r="V192" s="2518"/>
      <c r="W192" s="2518"/>
      <c r="X192" s="2518"/>
      <c r="Y192" s="2519"/>
    </row>
    <row r="193" spans="1:25">
      <c r="A193" s="53">
        <f t="shared" si="3"/>
        <v>2008.04</v>
      </c>
      <c r="B193" s="214">
        <v>2665207</v>
      </c>
      <c r="C193" s="3598">
        <v>163109</v>
      </c>
      <c r="D193" s="3598">
        <v>0</v>
      </c>
      <c r="E193" s="71">
        <v>5011</v>
      </c>
      <c r="F193" s="456">
        <v>508122</v>
      </c>
      <c r="G193" s="3598">
        <v>68282</v>
      </c>
      <c r="H193" s="3598">
        <v>0</v>
      </c>
      <c r="I193" s="71">
        <v>0</v>
      </c>
      <c r="J193" s="456">
        <v>2079141</v>
      </c>
      <c r="K193" s="3598">
        <v>64390</v>
      </c>
      <c r="L193" s="3598">
        <v>0</v>
      </c>
      <c r="M193" s="71">
        <v>0</v>
      </c>
      <c r="N193" s="456">
        <v>14238</v>
      </c>
      <c r="O193" s="3598">
        <v>0</v>
      </c>
      <c r="P193" s="3598">
        <v>0</v>
      </c>
      <c r="Q193" s="71">
        <v>0</v>
      </c>
      <c r="R193" s="111">
        <v>2796236</v>
      </c>
      <c r="S193" s="3598">
        <v>550804</v>
      </c>
      <c r="T193" s="3598">
        <v>1114</v>
      </c>
      <c r="U193" s="71">
        <v>5011</v>
      </c>
      <c r="V193" s="2518"/>
      <c r="W193" s="2518"/>
      <c r="X193" s="2518"/>
      <c r="Y193" s="2519"/>
    </row>
    <row r="194" spans="1:25">
      <c r="A194" s="53">
        <f t="shared" si="3"/>
        <v>2008.05</v>
      </c>
      <c r="B194" s="214">
        <v>3063751</v>
      </c>
      <c r="C194" s="3598">
        <v>168732</v>
      </c>
      <c r="D194" s="3598">
        <v>0</v>
      </c>
      <c r="E194" s="71">
        <v>0</v>
      </c>
      <c r="F194" s="456">
        <v>578627</v>
      </c>
      <c r="G194" s="3598">
        <v>69914</v>
      </c>
      <c r="H194" s="3598">
        <v>0</v>
      </c>
      <c r="I194" s="71">
        <v>0</v>
      </c>
      <c r="J194" s="456">
        <v>2401796</v>
      </c>
      <c r="K194" s="3598">
        <v>68385</v>
      </c>
      <c r="L194" s="3598">
        <v>0</v>
      </c>
      <c r="M194" s="71">
        <v>0</v>
      </c>
      <c r="N194" s="456">
        <v>14547</v>
      </c>
      <c r="O194" s="3598">
        <v>0</v>
      </c>
      <c r="P194" s="3598">
        <v>0</v>
      </c>
      <c r="Q194" s="71">
        <v>0</v>
      </c>
      <c r="R194" s="111">
        <v>3300346</v>
      </c>
      <c r="S194" s="3598">
        <v>470001</v>
      </c>
      <c r="T194" s="3598">
        <v>420</v>
      </c>
      <c r="U194" s="71">
        <v>0</v>
      </c>
      <c r="V194" s="2518"/>
      <c r="W194" s="2518"/>
      <c r="X194" s="2518"/>
      <c r="Y194" s="2519"/>
    </row>
    <row r="195" spans="1:25">
      <c r="A195" s="53">
        <f t="shared" si="3"/>
        <v>2008.06</v>
      </c>
      <c r="B195" s="214">
        <v>1747920</v>
      </c>
      <c r="C195" s="3598">
        <v>135401</v>
      </c>
      <c r="D195" s="3598">
        <v>0</v>
      </c>
      <c r="E195" s="71">
        <v>0</v>
      </c>
      <c r="F195" s="456">
        <v>335895</v>
      </c>
      <c r="G195" s="3598">
        <v>55607</v>
      </c>
      <c r="H195" s="3598">
        <v>0</v>
      </c>
      <c r="I195" s="71">
        <v>0</v>
      </c>
      <c r="J195" s="456">
        <v>1383934</v>
      </c>
      <c r="K195" s="3598">
        <v>54822</v>
      </c>
      <c r="L195" s="3598">
        <v>0</v>
      </c>
      <c r="M195" s="71">
        <v>0</v>
      </c>
      <c r="N195" s="456">
        <v>8864</v>
      </c>
      <c r="O195" s="3598">
        <v>0</v>
      </c>
      <c r="P195" s="3598">
        <v>0</v>
      </c>
      <c r="Q195" s="71">
        <v>0</v>
      </c>
      <c r="R195" s="111">
        <v>1899191</v>
      </c>
      <c r="S195" s="3598">
        <v>307556</v>
      </c>
      <c r="T195" s="3598">
        <v>1226</v>
      </c>
      <c r="U195" s="71">
        <v>0</v>
      </c>
      <c r="V195" s="2518"/>
      <c r="W195" s="2518"/>
      <c r="X195" s="2518"/>
      <c r="Y195" s="2519"/>
    </row>
    <row r="196" spans="1:25">
      <c r="A196" s="53">
        <f t="shared" si="3"/>
        <v>2008.07</v>
      </c>
      <c r="B196" s="214">
        <v>3183098</v>
      </c>
      <c r="C196" s="3598">
        <v>112564</v>
      </c>
      <c r="D196" s="3598">
        <v>0</v>
      </c>
      <c r="E196" s="71">
        <v>2331</v>
      </c>
      <c r="F196" s="456">
        <v>605451</v>
      </c>
      <c r="G196" s="3598">
        <v>45630</v>
      </c>
      <c r="H196" s="3598">
        <v>0</v>
      </c>
      <c r="I196" s="71">
        <v>373</v>
      </c>
      <c r="J196" s="456">
        <v>2499209</v>
      </c>
      <c r="K196" s="3598">
        <v>46114</v>
      </c>
      <c r="L196" s="3598">
        <v>0</v>
      </c>
      <c r="M196" s="71">
        <v>1349</v>
      </c>
      <c r="N196" s="456">
        <v>9836</v>
      </c>
      <c r="O196" s="3598">
        <v>0</v>
      </c>
      <c r="P196" s="3598">
        <v>0</v>
      </c>
      <c r="Q196" s="71">
        <v>0</v>
      </c>
      <c r="R196" s="111">
        <v>3453937</v>
      </c>
      <c r="S196" s="3598">
        <v>410738</v>
      </c>
      <c r="T196" s="3598">
        <v>910</v>
      </c>
      <c r="U196" s="71">
        <v>2331</v>
      </c>
      <c r="V196" s="2518"/>
      <c r="W196" s="2518"/>
      <c r="X196" s="2518"/>
      <c r="Y196" s="2519"/>
    </row>
    <row r="197" spans="1:25">
      <c r="A197" s="53">
        <f t="shared" si="3"/>
        <v>2008.08</v>
      </c>
      <c r="B197" s="214">
        <v>2776840</v>
      </c>
      <c r="C197" s="3598">
        <v>75726</v>
      </c>
      <c r="D197" s="3598">
        <v>0</v>
      </c>
      <c r="E197" s="71">
        <v>22703</v>
      </c>
      <c r="F197" s="456">
        <v>526598</v>
      </c>
      <c r="G197" s="3598">
        <v>30451</v>
      </c>
      <c r="H197" s="3598">
        <v>0</v>
      </c>
      <c r="I197" s="71">
        <v>3726</v>
      </c>
      <c r="J197" s="456">
        <v>2171410</v>
      </c>
      <c r="K197" s="3598">
        <v>30199</v>
      </c>
      <c r="L197" s="3598">
        <v>0</v>
      </c>
      <c r="M197" s="71">
        <v>12605</v>
      </c>
      <c r="N197" s="456">
        <v>14181</v>
      </c>
      <c r="O197" s="3598">
        <v>0</v>
      </c>
      <c r="P197" s="3598">
        <v>0</v>
      </c>
      <c r="Q197" s="71">
        <v>0</v>
      </c>
      <c r="R197" s="111">
        <v>3033116</v>
      </c>
      <c r="S197" s="3598">
        <v>370998</v>
      </c>
      <c r="T197" s="3598">
        <v>840</v>
      </c>
      <c r="U197" s="71">
        <v>22703</v>
      </c>
      <c r="V197" s="2518"/>
      <c r="W197" s="2518"/>
      <c r="X197" s="2518"/>
      <c r="Y197" s="2519"/>
    </row>
    <row r="198" spans="1:25">
      <c r="A198" s="53">
        <f t="shared" si="3"/>
        <v>2008.09</v>
      </c>
      <c r="B198" s="214">
        <v>2918183</v>
      </c>
      <c r="C198" s="3598">
        <v>85025</v>
      </c>
      <c r="D198" s="3598">
        <v>0</v>
      </c>
      <c r="E198" s="71">
        <v>0</v>
      </c>
      <c r="F198" s="456">
        <v>560751</v>
      </c>
      <c r="G198" s="3598">
        <v>35117</v>
      </c>
      <c r="H198" s="3598">
        <v>0</v>
      </c>
      <c r="I198" s="71">
        <v>0</v>
      </c>
      <c r="J198" s="456">
        <v>2266445</v>
      </c>
      <c r="K198" s="3598">
        <v>35550</v>
      </c>
      <c r="L198" s="3598">
        <v>0</v>
      </c>
      <c r="M198" s="71">
        <v>0</v>
      </c>
      <c r="N198" s="456">
        <v>11768</v>
      </c>
      <c r="O198" s="3598">
        <v>0</v>
      </c>
      <c r="P198" s="3598">
        <v>0</v>
      </c>
      <c r="Q198" s="71">
        <v>0</v>
      </c>
      <c r="R198" s="111">
        <v>3217285</v>
      </c>
      <c r="S198" s="3598">
        <v>340442</v>
      </c>
      <c r="T198" s="3598">
        <v>70</v>
      </c>
      <c r="U198" s="71">
        <v>0</v>
      </c>
      <c r="V198" s="2518"/>
      <c r="W198" s="2518"/>
      <c r="X198" s="2518"/>
      <c r="Y198" s="2519"/>
    </row>
    <row r="199" spans="1:25">
      <c r="A199" s="53">
        <f t="shared" si="3"/>
        <v>2008.1</v>
      </c>
      <c r="B199" s="214">
        <v>2507675</v>
      </c>
      <c r="C199" s="3598">
        <v>45111</v>
      </c>
      <c r="D199" s="3598">
        <v>0</v>
      </c>
      <c r="E199" s="71">
        <v>0</v>
      </c>
      <c r="F199" s="456">
        <v>478778</v>
      </c>
      <c r="G199" s="3598">
        <v>19065</v>
      </c>
      <c r="H199" s="3598">
        <v>0</v>
      </c>
      <c r="I199" s="71">
        <v>0</v>
      </c>
      <c r="J199" s="456">
        <v>1953838</v>
      </c>
      <c r="K199" s="3598">
        <v>19992</v>
      </c>
      <c r="L199" s="3598">
        <v>0</v>
      </c>
      <c r="M199" s="71">
        <v>0</v>
      </c>
      <c r="N199" s="456">
        <v>13930</v>
      </c>
      <c r="O199" s="3598">
        <v>0</v>
      </c>
      <c r="P199" s="3598">
        <v>0</v>
      </c>
      <c r="Q199" s="71">
        <v>0</v>
      </c>
      <c r="R199" s="111">
        <v>2767180</v>
      </c>
      <c r="S199" s="3598">
        <v>297314</v>
      </c>
      <c r="T199" s="3598">
        <v>0</v>
      </c>
      <c r="U199" s="71">
        <v>0</v>
      </c>
      <c r="V199" s="2518"/>
      <c r="W199" s="2518"/>
      <c r="X199" s="2518"/>
      <c r="Y199" s="2519"/>
    </row>
    <row r="200" spans="1:25">
      <c r="A200" s="53">
        <f t="shared" si="3"/>
        <v>2008.11</v>
      </c>
      <c r="B200" s="214">
        <v>2209837</v>
      </c>
      <c r="C200" s="3598">
        <v>18090</v>
      </c>
      <c r="D200" s="3598">
        <v>0</v>
      </c>
      <c r="E200" s="71">
        <v>0</v>
      </c>
      <c r="F200" s="456">
        <v>427326</v>
      </c>
      <c r="G200" s="3598">
        <v>6720</v>
      </c>
      <c r="H200" s="3598">
        <v>0</v>
      </c>
      <c r="I200" s="71">
        <v>0</v>
      </c>
      <c r="J200" s="456">
        <v>1726922</v>
      </c>
      <c r="K200" s="3598">
        <v>7204</v>
      </c>
      <c r="L200" s="3598">
        <v>0</v>
      </c>
      <c r="M200" s="71">
        <v>0</v>
      </c>
      <c r="N200" s="456">
        <v>11558</v>
      </c>
      <c r="O200" s="3598">
        <v>0</v>
      </c>
      <c r="P200" s="3598">
        <v>0</v>
      </c>
      <c r="Q200" s="71">
        <v>0</v>
      </c>
      <c r="R200" s="111">
        <v>2602112</v>
      </c>
      <c r="S200" s="3598">
        <v>200146</v>
      </c>
      <c r="T200" s="3598">
        <v>93</v>
      </c>
      <c r="U200" s="71">
        <v>0</v>
      </c>
      <c r="V200" s="2518"/>
      <c r="W200" s="2518"/>
      <c r="X200" s="2518"/>
      <c r="Y200" s="2519"/>
    </row>
    <row r="201" spans="1:25">
      <c r="A201" s="53">
        <f t="shared" si="3"/>
        <v>2008.12</v>
      </c>
      <c r="B201" s="214">
        <v>2071662</v>
      </c>
      <c r="C201" s="3598">
        <v>80918</v>
      </c>
      <c r="D201" s="3598">
        <v>0</v>
      </c>
      <c r="E201" s="71">
        <v>0</v>
      </c>
      <c r="F201" s="456">
        <v>397286</v>
      </c>
      <c r="G201" s="3598">
        <v>31937</v>
      </c>
      <c r="H201" s="3598">
        <v>0</v>
      </c>
      <c r="I201" s="71">
        <v>0</v>
      </c>
      <c r="J201" s="456">
        <v>1605129</v>
      </c>
      <c r="K201" s="3598">
        <v>33996</v>
      </c>
      <c r="L201" s="3598">
        <v>0</v>
      </c>
      <c r="M201" s="71">
        <v>0</v>
      </c>
      <c r="N201" s="456">
        <v>12441</v>
      </c>
      <c r="O201" s="3598">
        <v>0</v>
      </c>
      <c r="P201" s="3598">
        <v>0</v>
      </c>
      <c r="Q201" s="71">
        <v>0</v>
      </c>
      <c r="R201" s="111">
        <v>2338139</v>
      </c>
      <c r="S201" s="3598">
        <v>249089</v>
      </c>
      <c r="T201" s="3598">
        <v>210</v>
      </c>
      <c r="U201" s="71">
        <v>0</v>
      </c>
      <c r="V201" s="2518"/>
      <c r="W201" s="2518"/>
      <c r="X201" s="2518"/>
      <c r="Y201" s="2519"/>
    </row>
    <row r="202" spans="1:25">
      <c r="A202" s="53">
        <f t="shared" si="3"/>
        <v>2009.01</v>
      </c>
      <c r="B202" s="214">
        <v>2203830</v>
      </c>
      <c r="C202" s="3598">
        <v>90596</v>
      </c>
      <c r="D202" s="3598">
        <v>0</v>
      </c>
      <c r="E202" s="71">
        <v>0</v>
      </c>
      <c r="F202" s="456">
        <v>419434</v>
      </c>
      <c r="G202" s="3598">
        <v>35931</v>
      </c>
      <c r="H202" s="3598">
        <v>0</v>
      </c>
      <c r="I202" s="71">
        <v>0</v>
      </c>
      <c r="J202" s="456">
        <v>1712399</v>
      </c>
      <c r="K202" s="3598">
        <v>39754</v>
      </c>
      <c r="L202" s="3598">
        <v>0</v>
      </c>
      <c r="M202" s="71">
        <v>0</v>
      </c>
      <c r="N202" s="456">
        <v>11920</v>
      </c>
      <c r="O202" s="3598">
        <v>0</v>
      </c>
      <c r="P202" s="3598">
        <v>0</v>
      </c>
      <c r="Q202" s="71">
        <v>0</v>
      </c>
      <c r="R202" s="111">
        <v>2314057</v>
      </c>
      <c r="S202" s="3598">
        <v>216789</v>
      </c>
      <c r="T202" s="3598">
        <v>306</v>
      </c>
      <c r="U202" s="71">
        <v>0</v>
      </c>
      <c r="V202" s="2518"/>
      <c r="W202" s="2518"/>
      <c r="X202" s="2518"/>
      <c r="Y202" s="2519"/>
    </row>
    <row r="203" spans="1:25">
      <c r="A203" s="53">
        <f t="shared" si="3"/>
        <v>2009.02</v>
      </c>
      <c r="B203" s="214">
        <v>1883818</v>
      </c>
      <c r="C203" s="3598">
        <v>102132</v>
      </c>
      <c r="D203" s="3598">
        <v>0</v>
      </c>
      <c r="E203" s="71">
        <v>0</v>
      </c>
      <c r="F203" s="456">
        <v>353610</v>
      </c>
      <c r="G203" s="3598">
        <v>41084</v>
      </c>
      <c r="H203" s="3598">
        <v>0</v>
      </c>
      <c r="I203" s="71">
        <v>0</v>
      </c>
      <c r="J203" s="456">
        <v>1452942</v>
      </c>
      <c r="K203" s="3598">
        <v>43829</v>
      </c>
      <c r="L203" s="3598">
        <v>0</v>
      </c>
      <c r="M203" s="71">
        <v>0</v>
      </c>
      <c r="N203" s="456">
        <v>10772</v>
      </c>
      <c r="O203" s="3598">
        <v>0</v>
      </c>
      <c r="P203" s="3598">
        <v>0</v>
      </c>
      <c r="Q203" s="71">
        <v>0</v>
      </c>
      <c r="R203" s="111">
        <v>2084034</v>
      </c>
      <c r="S203" s="3598">
        <v>327550</v>
      </c>
      <c r="T203" s="3598">
        <v>0</v>
      </c>
      <c r="U203" s="71">
        <v>0</v>
      </c>
      <c r="V203" s="2518"/>
      <c r="W203" s="2518"/>
      <c r="X203" s="2518"/>
      <c r="Y203" s="2519"/>
    </row>
    <row r="204" spans="1:25">
      <c r="A204" s="53">
        <f t="shared" si="3"/>
        <v>2009.03</v>
      </c>
      <c r="B204" s="214">
        <v>1930031</v>
      </c>
      <c r="C204" s="3598">
        <v>135420</v>
      </c>
      <c r="D204" s="3598">
        <v>0</v>
      </c>
      <c r="E204" s="71">
        <v>0</v>
      </c>
      <c r="F204" s="456">
        <v>373489</v>
      </c>
      <c r="G204" s="3598">
        <v>53934</v>
      </c>
      <c r="H204" s="3598">
        <v>0</v>
      </c>
      <c r="I204" s="71">
        <v>0</v>
      </c>
      <c r="J204" s="456">
        <v>1501984</v>
      </c>
      <c r="K204" s="3598">
        <v>59357</v>
      </c>
      <c r="L204" s="3598">
        <v>0</v>
      </c>
      <c r="M204" s="71">
        <v>0</v>
      </c>
      <c r="N204" s="456">
        <v>11478</v>
      </c>
      <c r="O204" s="3598">
        <v>0</v>
      </c>
      <c r="P204" s="3598">
        <v>0</v>
      </c>
      <c r="Q204" s="71">
        <v>0</v>
      </c>
      <c r="R204" s="111">
        <v>2074538</v>
      </c>
      <c r="S204" s="3598">
        <v>493931</v>
      </c>
      <c r="T204" s="3598">
        <v>743</v>
      </c>
      <c r="U204" s="71">
        <v>0</v>
      </c>
      <c r="V204" s="2518"/>
      <c r="W204" s="2518"/>
      <c r="X204" s="2518"/>
      <c r="Y204" s="2519"/>
    </row>
    <row r="205" spans="1:25">
      <c r="A205" s="53">
        <f t="shared" si="3"/>
        <v>2009.04</v>
      </c>
      <c r="B205" s="1631">
        <f>F205/0.19</f>
        <v>2961694.7368421052</v>
      </c>
      <c r="C205" s="3598">
        <v>118090</v>
      </c>
      <c r="D205" s="3598">
        <v>0</v>
      </c>
      <c r="E205" s="71">
        <v>0</v>
      </c>
      <c r="F205" s="456">
        <v>562722</v>
      </c>
      <c r="G205" s="3598">
        <v>45898</v>
      </c>
      <c r="H205" s="3598">
        <v>0</v>
      </c>
      <c r="I205" s="71">
        <v>0</v>
      </c>
      <c r="J205" s="456">
        <v>2318143</v>
      </c>
      <c r="K205" s="3598">
        <v>50759</v>
      </c>
      <c r="L205" s="3598">
        <v>0</v>
      </c>
      <c r="M205" s="71">
        <v>0</v>
      </c>
      <c r="N205" s="456">
        <v>12717</v>
      </c>
      <c r="O205" s="3598">
        <v>0</v>
      </c>
      <c r="P205" s="3598">
        <v>0</v>
      </c>
      <c r="Q205" s="71">
        <v>0</v>
      </c>
      <c r="R205" s="111">
        <v>3182545</v>
      </c>
      <c r="S205" s="3598">
        <v>318734</v>
      </c>
      <c r="T205" s="3598">
        <v>0</v>
      </c>
      <c r="U205" s="71">
        <v>0</v>
      </c>
      <c r="V205" s="2518"/>
      <c r="W205" s="2518"/>
      <c r="X205" s="2518"/>
      <c r="Y205" s="2519"/>
    </row>
    <row r="206" spans="1:25">
      <c r="A206" s="53">
        <f t="shared" si="3"/>
        <v>2009.05</v>
      </c>
      <c r="B206" s="214">
        <v>3298255</v>
      </c>
      <c r="C206" s="3598">
        <v>85707</v>
      </c>
      <c r="D206" s="3598">
        <v>0</v>
      </c>
      <c r="E206" s="71">
        <v>15642</v>
      </c>
      <c r="F206" s="456">
        <v>627085</v>
      </c>
      <c r="G206" s="3598">
        <v>33765</v>
      </c>
      <c r="H206" s="3598">
        <v>0</v>
      </c>
      <c r="I206" s="71">
        <v>2144</v>
      </c>
      <c r="J206" s="456">
        <v>2563096</v>
      </c>
      <c r="K206" s="3598">
        <v>36579</v>
      </c>
      <c r="L206" s="3598">
        <v>0</v>
      </c>
      <c r="M206" s="71">
        <v>13157</v>
      </c>
      <c r="N206" s="456">
        <v>11592</v>
      </c>
      <c r="O206" s="3598">
        <v>0</v>
      </c>
      <c r="P206" s="3598">
        <v>0</v>
      </c>
      <c r="Q206" s="71">
        <v>0</v>
      </c>
      <c r="R206" s="111">
        <v>3566404</v>
      </c>
      <c r="S206" s="3598">
        <v>348345</v>
      </c>
      <c r="T206" s="3598">
        <v>0</v>
      </c>
      <c r="U206" s="71">
        <v>15642</v>
      </c>
      <c r="V206" s="2518"/>
      <c r="W206" s="2518"/>
      <c r="X206" s="2518"/>
      <c r="Y206" s="2519"/>
    </row>
    <row r="207" spans="1:25">
      <c r="A207" s="53">
        <f t="shared" si="3"/>
        <v>2009.06</v>
      </c>
      <c r="B207" s="214">
        <v>2820313</v>
      </c>
      <c r="C207" s="3598">
        <v>78457</v>
      </c>
      <c r="D207" s="3598">
        <v>0</v>
      </c>
      <c r="E207" s="71">
        <v>269</v>
      </c>
      <c r="F207" s="456">
        <v>531432</v>
      </c>
      <c r="G207" s="3598">
        <v>31232</v>
      </c>
      <c r="H207" s="3598">
        <v>0</v>
      </c>
      <c r="I207" s="71">
        <v>38</v>
      </c>
      <c r="J207" s="456">
        <v>2233872</v>
      </c>
      <c r="K207" s="3598">
        <v>32918</v>
      </c>
      <c r="L207" s="3598">
        <v>0</v>
      </c>
      <c r="M207" s="71">
        <v>218</v>
      </c>
      <c r="N207" s="456">
        <v>11252</v>
      </c>
      <c r="O207" s="3598">
        <v>0</v>
      </c>
      <c r="P207" s="3598">
        <v>0</v>
      </c>
      <c r="Q207" s="71">
        <v>0</v>
      </c>
      <c r="R207" s="111">
        <v>3024434</v>
      </c>
      <c r="S207" s="3598">
        <v>327368</v>
      </c>
      <c r="T207" s="3598">
        <v>380</v>
      </c>
      <c r="U207" s="71">
        <v>269</v>
      </c>
      <c r="V207" s="2518"/>
      <c r="W207" s="2518"/>
      <c r="X207" s="2518"/>
      <c r="Y207" s="2519"/>
    </row>
    <row r="208" spans="1:25">
      <c r="A208" s="53">
        <f t="shared" si="3"/>
        <v>2009.07</v>
      </c>
      <c r="B208" s="214">
        <v>2477476</v>
      </c>
      <c r="C208" s="3598">
        <v>116246</v>
      </c>
      <c r="D208" s="3598">
        <v>0</v>
      </c>
      <c r="E208" s="71">
        <v>3847</v>
      </c>
      <c r="F208" s="456">
        <v>470355</v>
      </c>
      <c r="G208" s="3598">
        <v>51472</v>
      </c>
      <c r="H208" s="3598">
        <v>0</v>
      </c>
      <c r="I208" s="71">
        <v>539</v>
      </c>
      <c r="J208" s="456">
        <v>1932394</v>
      </c>
      <c r="K208" s="3598">
        <v>58159</v>
      </c>
      <c r="L208" s="3598">
        <v>0</v>
      </c>
      <c r="M208" s="71">
        <v>3232</v>
      </c>
      <c r="N208" s="456">
        <v>11077</v>
      </c>
      <c r="O208" s="3598">
        <v>0</v>
      </c>
      <c r="P208" s="3598">
        <v>0</v>
      </c>
      <c r="Q208" s="71">
        <v>0</v>
      </c>
      <c r="R208" s="111">
        <v>2748733</v>
      </c>
      <c r="S208" s="3598">
        <v>304982</v>
      </c>
      <c r="T208" s="3598">
        <v>490</v>
      </c>
      <c r="U208" s="71">
        <v>3847</v>
      </c>
      <c r="V208" s="2518"/>
      <c r="W208" s="2518"/>
      <c r="X208" s="2518"/>
      <c r="Y208" s="2519"/>
    </row>
    <row r="209" spans="1:25">
      <c r="A209" s="53">
        <f t="shared" si="3"/>
        <v>2009.08</v>
      </c>
      <c r="B209" s="214">
        <v>1956384</v>
      </c>
      <c r="C209" s="3598">
        <v>55364</v>
      </c>
      <c r="D209" s="3598">
        <v>0</v>
      </c>
      <c r="E209" s="71">
        <v>7225</v>
      </c>
      <c r="F209" s="456">
        <v>375094</v>
      </c>
      <c r="G209" s="3598">
        <v>24488</v>
      </c>
      <c r="H209" s="3598">
        <v>0</v>
      </c>
      <c r="I209" s="71">
        <v>1002</v>
      </c>
      <c r="J209" s="456">
        <v>1536239</v>
      </c>
      <c r="K209" s="3598">
        <v>25297</v>
      </c>
      <c r="L209" s="3598">
        <v>0</v>
      </c>
      <c r="M209" s="71">
        <v>6079</v>
      </c>
      <c r="N209" s="456">
        <v>12340</v>
      </c>
      <c r="O209" s="3598">
        <v>0</v>
      </c>
      <c r="P209" s="3598">
        <v>0</v>
      </c>
      <c r="Q209" s="71">
        <v>0</v>
      </c>
      <c r="R209" s="111">
        <v>2211410</v>
      </c>
      <c r="S209" s="3598">
        <v>261986</v>
      </c>
      <c r="T209" s="3598">
        <v>583</v>
      </c>
      <c r="U209" s="71">
        <v>7225</v>
      </c>
      <c r="V209" s="2518"/>
      <c r="W209" s="2518"/>
      <c r="X209" s="2518"/>
      <c r="Y209" s="2519"/>
    </row>
    <row r="210" spans="1:25">
      <c r="A210" s="53">
        <f t="shared" si="3"/>
        <v>2009.09</v>
      </c>
      <c r="B210" s="214">
        <v>2059999</v>
      </c>
      <c r="C210" s="3598">
        <v>69606</v>
      </c>
      <c r="D210" s="3598">
        <v>0</v>
      </c>
      <c r="E210" s="71">
        <v>272</v>
      </c>
      <c r="F210" s="456">
        <v>395766</v>
      </c>
      <c r="G210" s="3598">
        <v>27472</v>
      </c>
      <c r="H210" s="3598">
        <v>0</v>
      </c>
      <c r="I210" s="71">
        <v>38</v>
      </c>
      <c r="J210" s="456">
        <v>1611434</v>
      </c>
      <c r="K210" s="3598">
        <v>30699</v>
      </c>
      <c r="L210" s="3598">
        <v>0</v>
      </c>
      <c r="M210" s="71">
        <v>229</v>
      </c>
      <c r="N210" s="456">
        <v>13785</v>
      </c>
      <c r="O210" s="3598">
        <v>0</v>
      </c>
      <c r="P210" s="3598">
        <v>0</v>
      </c>
      <c r="Q210" s="71">
        <v>0</v>
      </c>
      <c r="R210" s="111">
        <v>2350691</v>
      </c>
      <c r="S210" s="3598">
        <v>273892</v>
      </c>
      <c r="T210" s="3598">
        <v>0</v>
      </c>
      <c r="U210" s="71">
        <v>272</v>
      </c>
      <c r="V210" s="2518"/>
      <c r="W210" s="2518"/>
      <c r="X210" s="2518"/>
      <c r="Y210" s="2519"/>
    </row>
    <row r="211" spans="1:25">
      <c r="A211" s="53">
        <f t="shared" si="3"/>
        <v>2009.1</v>
      </c>
      <c r="B211" s="214">
        <v>2144398</v>
      </c>
      <c r="C211" s="3598">
        <v>47341</v>
      </c>
      <c r="D211" s="3598">
        <v>0</v>
      </c>
      <c r="E211" s="71">
        <v>7778</v>
      </c>
      <c r="F211" s="456">
        <v>411397</v>
      </c>
      <c r="G211" s="3598">
        <v>19204</v>
      </c>
      <c r="H211" s="3598">
        <v>0</v>
      </c>
      <c r="I211" s="71">
        <v>1089</v>
      </c>
      <c r="J211" s="456">
        <v>1688220</v>
      </c>
      <c r="K211" s="3598">
        <v>21917</v>
      </c>
      <c r="L211" s="3598">
        <v>0</v>
      </c>
      <c r="M211" s="71">
        <v>6534</v>
      </c>
      <c r="N211" s="456">
        <v>10972</v>
      </c>
      <c r="O211" s="3598">
        <v>0</v>
      </c>
      <c r="P211" s="3598">
        <v>0</v>
      </c>
      <c r="Q211" s="71">
        <v>0</v>
      </c>
      <c r="R211" s="111">
        <v>2419401</v>
      </c>
      <c r="S211" s="3598">
        <v>269833</v>
      </c>
      <c r="T211" s="3598">
        <v>77</v>
      </c>
      <c r="U211" s="71">
        <v>7778</v>
      </c>
      <c r="V211" s="2518"/>
      <c r="W211" s="2518"/>
      <c r="X211" s="2518"/>
      <c r="Y211" s="2519"/>
    </row>
    <row r="212" spans="1:25">
      <c r="A212" s="53">
        <f t="shared" si="3"/>
        <v>2009.11</v>
      </c>
      <c r="B212" s="214">
        <v>2051707</v>
      </c>
      <c r="C212" s="3598">
        <v>0</v>
      </c>
      <c r="D212" s="3598">
        <v>0</v>
      </c>
      <c r="E212" s="71">
        <v>6606</v>
      </c>
      <c r="F212" s="456">
        <v>395745</v>
      </c>
      <c r="G212" s="3598">
        <v>0</v>
      </c>
      <c r="H212" s="3598">
        <v>0</v>
      </c>
      <c r="I212" s="71">
        <v>972</v>
      </c>
      <c r="J212" s="456">
        <v>1614229</v>
      </c>
      <c r="K212" s="3598">
        <v>0</v>
      </c>
      <c r="L212" s="3598">
        <v>0</v>
      </c>
      <c r="M212" s="71">
        <v>5518</v>
      </c>
      <c r="N212" s="456">
        <v>9755</v>
      </c>
      <c r="O212" s="3598">
        <v>0</v>
      </c>
      <c r="P212" s="3598">
        <v>0</v>
      </c>
      <c r="Q212" s="71">
        <v>0</v>
      </c>
      <c r="R212" s="111">
        <v>2349613</v>
      </c>
      <c r="S212" s="3598">
        <v>178424</v>
      </c>
      <c r="T212" s="3598">
        <v>490</v>
      </c>
      <c r="U212" s="71">
        <v>6606</v>
      </c>
      <c r="V212" s="2518"/>
      <c r="W212" s="2518"/>
      <c r="X212" s="2518"/>
      <c r="Y212" s="2519"/>
    </row>
    <row r="213" spans="1:25">
      <c r="A213" s="53">
        <f t="shared" si="3"/>
        <v>2009.12</v>
      </c>
      <c r="B213" s="214">
        <v>1769471</v>
      </c>
      <c r="C213" s="3598">
        <v>12005</v>
      </c>
      <c r="D213" s="3598">
        <v>0</v>
      </c>
      <c r="E213" s="71">
        <v>0</v>
      </c>
      <c r="F213" s="456">
        <v>339403</v>
      </c>
      <c r="G213" s="3598">
        <v>4790</v>
      </c>
      <c r="H213" s="3598">
        <v>0</v>
      </c>
      <c r="I213" s="71">
        <v>0</v>
      </c>
      <c r="J213" s="456">
        <v>1380711</v>
      </c>
      <c r="K213" s="3598">
        <v>5836</v>
      </c>
      <c r="L213" s="3598">
        <v>0</v>
      </c>
      <c r="M213" s="71">
        <v>0</v>
      </c>
      <c r="N213" s="456">
        <v>9407</v>
      </c>
      <c r="O213" s="3598">
        <v>0</v>
      </c>
      <c r="P213" s="3598">
        <v>0</v>
      </c>
      <c r="Q213" s="71">
        <v>0</v>
      </c>
      <c r="R213" s="111">
        <v>1981080</v>
      </c>
      <c r="S213" s="3598">
        <v>141519</v>
      </c>
      <c r="T213" s="3598">
        <v>280</v>
      </c>
      <c r="U213" s="71">
        <v>0</v>
      </c>
      <c r="V213" s="2518"/>
      <c r="W213" s="2518"/>
      <c r="X213" s="2518"/>
      <c r="Y213" s="2519"/>
    </row>
    <row r="214" spans="1:25">
      <c r="A214" s="53">
        <f t="shared" ref="A214:A277" si="4">A202+1</f>
        <v>2010.01</v>
      </c>
      <c r="B214" s="214">
        <v>1494065</v>
      </c>
      <c r="C214" s="3598">
        <v>34892</v>
      </c>
      <c r="D214" s="3598">
        <v>0</v>
      </c>
      <c r="E214" s="71">
        <v>0</v>
      </c>
      <c r="F214" s="456">
        <v>287432</v>
      </c>
      <c r="G214" s="3598">
        <v>13672</v>
      </c>
      <c r="H214" s="3598">
        <v>0</v>
      </c>
      <c r="I214" s="71">
        <v>0</v>
      </c>
      <c r="J214" s="456">
        <v>1161354</v>
      </c>
      <c r="K214" s="3598">
        <v>15350</v>
      </c>
      <c r="L214" s="3598">
        <v>0</v>
      </c>
      <c r="M214" s="71">
        <v>0</v>
      </c>
      <c r="N214" s="456">
        <v>6981</v>
      </c>
      <c r="O214" s="3598">
        <v>0</v>
      </c>
      <c r="P214" s="3598">
        <v>0</v>
      </c>
      <c r="Q214" s="71">
        <v>0</v>
      </c>
      <c r="R214" s="111">
        <v>1628176</v>
      </c>
      <c r="S214" s="3598">
        <v>113919</v>
      </c>
      <c r="T214" s="3598">
        <v>350</v>
      </c>
      <c r="U214" s="71">
        <v>0</v>
      </c>
      <c r="V214" s="2518"/>
      <c r="W214" s="2518"/>
      <c r="X214" s="2518"/>
      <c r="Y214" s="2519"/>
    </row>
    <row r="215" spans="1:25">
      <c r="A215" s="53">
        <f t="shared" si="4"/>
        <v>2010.02</v>
      </c>
      <c r="B215" s="214">
        <v>1153769</v>
      </c>
      <c r="C215" s="3598">
        <v>74676</v>
      </c>
      <c r="D215" s="3598">
        <v>0</v>
      </c>
      <c r="E215" s="71">
        <v>0</v>
      </c>
      <c r="F215" s="456">
        <v>222008</v>
      </c>
      <c r="G215" s="3598">
        <v>29323</v>
      </c>
      <c r="H215" s="3598">
        <v>0</v>
      </c>
      <c r="I215" s="71">
        <v>0</v>
      </c>
      <c r="J215" s="456">
        <v>906928</v>
      </c>
      <c r="K215" s="3598">
        <v>32368</v>
      </c>
      <c r="L215" s="3598">
        <v>0</v>
      </c>
      <c r="M215" s="71">
        <v>0</v>
      </c>
      <c r="N215" s="456">
        <v>6520</v>
      </c>
      <c r="O215" s="3598">
        <v>0</v>
      </c>
      <c r="P215" s="3598">
        <v>0</v>
      </c>
      <c r="Q215" s="71">
        <v>0</v>
      </c>
      <c r="R215" s="111">
        <v>1401766</v>
      </c>
      <c r="S215" s="3598">
        <v>248953</v>
      </c>
      <c r="T215" s="3598">
        <v>1572</v>
      </c>
      <c r="U215" s="71">
        <v>0</v>
      </c>
      <c r="V215" s="2518"/>
      <c r="W215" s="2518"/>
      <c r="X215" s="2518"/>
      <c r="Y215" s="2519"/>
    </row>
    <row r="216" spans="1:25">
      <c r="A216" s="53">
        <f t="shared" si="4"/>
        <v>2010.03</v>
      </c>
      <c r="B216" s="214">
        <v>1551161</v>
      </c>
      <c r="C216" s="3598">
        <v>99071</v>
      </c>
      <c r="D216" s="3598">
        <v>0</v>
      </c>
      <c r="E216" s="71">
        <v>0</v>
      </c>
      <c r="F216" s="456">
        <v>299941</v>
      </c>
      <c r="G216" s="3598">
        <v>39074</v>
      </c>
      <c r="H216" s="3598">
        <v>0</v>
      </c>
      <c r="I216" s="71">
        <v>0</v>
      </c>
      <c r="J216" s="456">
        <v>1203648</v>
      </c>
      <c r="K216" s="3598">
        <v>41504</v>
      </c>
      <c r="L216" s="3598">
        <v>0</v>
      </c>
      <c r="M216" s="71">
        <v>0</v>
      </c>
      <c r="N216" s="456">
        <v>20043</v>
      </c>
      <c r="O216" s="3598">
        <v>0</v>
      </c>
      <c r="P216" s="3598">
        <v>0</v>
      </c>
      <c r="Q216" s="71">
        <v>0</v>
      </c>
      <c r="R216" s="111">
        <v>1708403</v>
      </c>
      <c r="S216" s="3598">
        <v>429657</v>
      </c>
      <c r="T216" s="3598">
        <v>350</v>
      </c>
      <c r="U216" s="71">
        <v>0</v>
      </c>
      <c r="V216" s="2518"/>
      <c r="W216" s="2518"/>
      <c r="X216" s="2518"/>
      <c r="Y216" s="2519"/>
    </row>
    <row r="217" spans="1:25">
      <c r="A217" s="53">
        <f t="shared" si="4"/>
        <v>2010.04</v>
      </c>
      <c r="B217" s="214">
        <v>3244912</v>
      </c>
      <c r="C217" s="3598">
        <v>85295</v>
      </c>
      <c r="D217" s="3598">
        <v>0</v>
      </c>
      <c r="E217" s="71">
        <v>0</v>
      </c>
      <c r="F217" s="456">
        <v>620109</v>
      </c>
      <c r="G217" s="3598">
        <v>36925</v>
      </c>
      <c r="H217" s="3598">
        <v>0</v>
      </c>
      <c r="I217" s="71">
        <v>0</v>
      </c>
      <c r="J217" s="456">
        <v>2514533</v>
      </c>
      <c r="K217" s="3598">
        <v>43682</v>
      </c>
      <c r="L217" s="3598">
        <v>0</v>
      </c>
      <c r="M217" s="71">
        <v>0</v>
      </c>
      <c r="N217" s="456">
        <v>10185</v>
      </c>
      <c r="O217" s="3598">
        <v>0</v>
      </c>
      <c r="P217" s="3598">
        <v>0</v>
      </c>
      <c r="Q217" s="71">
        <v>0</v>
      </c>
      <c r="R217" s="111">
        <v>3616827</v>
      </c>
      <c r="S217" s="3598">
        <v>320939</v>
      </c>
      <c r="T217" s="3598">
        <v>140</v>
      </c>
      <c r="U217" s="71">
        <v>0</v>
      </c>
      <c r="V217" s="2518"/>
      <c r="W217" s="2518"/>
      <c r="X217" s="2518"/>
      <c r="Y217" s="2519"/>
    </row>
    <row r="218" spans="1:25">
      <c r="A218" s="53">
        <f t="shared" si="4"/>
        <v>2010.05</v>
      </c>
      <c r="B218" s="214">
        <v>3514579</v>
      </c>
      <c r="C218" s="3598">
        <v>47580</v>
      </c>
      <c r="D218" s="3598">
        <v>0</v>
      </c>
      <c r="E218" s="71">
        <v>8968</v>
      </c>
      <c r="F218" s="456">
        <v>655096</v>
      </c>
      <c r="G218" s="3598">
        <v>18836</v>
      </c>
      <c r="H218" s="3598">
        <v>0</v>
      </c>
      <c r="I218" s="71">
        <v>1491</v>
      </c>
      <c r="J218" s="456">
        <v>2703540</v>
      </c>
      <c r="K218" s="3598">
        <v>21289</v>
      </c>
      <c r="L218" s="3598">
        <v>0</v>
      </c>
      <c r="M218" s="71">
        <v>7298</v>
      </c>
      <c r="N218" s="456">
        <v>9916</v>
      </c>
      <c r="O218" s="3598">
        <v>0</v>
      </c>
      <c r="P218" s="3598">
        <v>0</v>
      </c>
      <c r="Q218" s="71">
        <v>0</v>
      </c>
      <c r="R218" s="111">
        <v>3960757</v>
      </c>
      <c r="S218" s="3598">
        <v>229986</v>
      </c>
      <c r="T218" s="3598">
        <v>420</v>
      </c>
      <c r="U218" s="71">
        <v>8968</v>
      </c>
      <c r="V218" s="2518"/>
      <c r="W218" s="2518"/>
      <c r="X218" s="2518"/>
      <c r="Y218" s="2519"/>
    </row>
    <row r="219" spans="1:25">
      <c r="A219" s="53">
        <f t="shared" si="4"/>
        <v>2010.06</v>
      </c>
      <c r="B219" s="214">
        <v>3042356</v>
      </c>
      <c r="C219" s="3598">
        <v>28412</v>
      </c>
      <c r="D219" s="3598">
        <v>0</v>
      </c>
      <c r="E219" s="71">
        <v>9817</v>
      </c>
      <c r="F219" s="456">
        <v>574001</v>
      </c>
      <c r="G219" s="3598">
        <v>10959</v>
      </c>
      <c r="H219" s="3598">
        <v>0</v>
      </c>
      <c r="I219" s="71">
        <v>1422</v>
      </c>
      <c r="J219" s="456">
        <v>2340290</v>
      </c>
      <c r="K219" s="3598">
        <v>13039</v>
      </c>
      <c r="L219" s="3598">
        <v>0</v>
      </c>
      <c r="M219" s="71">
        <v>8200</v>
      </c>
      <c r="N219" s="456">
        <v>11883</v>
      </c>
      <c r="O219" s="3598">
        <v>0</v>
      </c>
      <c r="P219" s="3598">
        <v>0</v>
      </c>
      <c r="Q219" s="71">
        <v>0</v>
      </c>
      <c r="R219" s="111">
        <v>3435659</v>
      </c>
      <c r="S219" s="3598">
        <v>212444</v>
      </c>
      <c r="T219" s="3598">
        <v>350</v>
      </c>
      <c r="U219" s="71">
        <v>9817</v>
      </c>
      <c r="V219" s="2518"/>
      <c r="W219" s="2518"/>
      <c r="X219" s="2518"/>
      <c r="Y219" s="2519"/>
    </row>
    <row r="220" spans="1:25">
      <c r="A220" s="53">
        <f t="shared" si="4"/>
        <v>2010.07</v>
      </c>
      <c r="B220" s="214">
        <v>2908450</v>
      </c>
      <c r="C220" s="3598">
        <v>31123</v>
      </c>
      <c r="D220" s="3598">
        <v>0</v>
      </c>
      <c r="E220" s="71">
        <v>26310</v>
      </c>
      <c r="F220" s="456">
        <v>549227</v>
      </c>
      <c r="G220" s="3598">
        <v>12114</v>
      </c>
      <c r="H220" s="3598">
        <v>0</v>
      </c>
      <c r="I220" s="71">
        <v>3887</v>
      </c>
      <c r="J220" s="456">
        <v>2245039</v>
      </c>
      <c r="K220" s="3598">
        <v>14270</v>
      </c>
      <c r="L220" s="3598">
        <v>0</v>
      </c>
      <c r="M220" s="71">
        <v>21897</v>
      </c>
      <c r="N220" s="456">
        <v>11916</v>
      </c>
      <c r="O220" s="3598">
        <v>0</v>
      </c>
      <c r="P220" s="3598">
        <v>0</v>
      </c>
      <c r="Q220" s="71">
        <v>0</v>
      </c>
      <c r="R220" s="111">
        <v>3359074</v>
      </c>
      <c r="S220" s="3598">
        <v>202739</v>
      </c>
      <c r="T220" s="3598">
        <v>540</v>
      </c>
      <c r="U220" s="71">
        <v>26310</v>
      </c>
      <c r="V220" s="2518"/>
      <c r="W220" s="2518"/>
      <c r="X220" s="2518"/>
      <c r="Y220" s="2519"/>
    </row>
    <row r="221" spans="1:25">
      <c r="A221" s="53">
        <f t="shared" si="4"/>
        <v>2010.08</v>
      </c>
      <c r="B221" s="214">
        <v>3355217</v>
      </c>
      <c r="C221" s="3598">
        <v>28872</v>
      </c>
      <c r="D221" s="3598">
        <v>0</v>
      </c>
      <c r="E221" s="71">
        <v>23862</v>
      </c>
      <c r="F221" s="456">
        <v>640789</v>
      </c>
      <c r="G221" s="3598">
        <v>11832</v>
      </c>
      <c r="H221" s="3598">
        <v>0</v>
      </c>
      <c r="I221" s="71">
        <v>3453</v>
      </c>
      <c r="J221" s="456">
        <v>2610232</v>
      </c>
      <c r="K221" s="3598">
        <v>12920</v>
      </c>
      <c r="L221" s="3598">
        <v>0</v>
      </c>
      <c r="M221" s="71">
        <v>19931</v>
      </c>
      <c r="N221" s="456">
        <v>11143</v>
      </c>
      <c r="O221" s="3598">
        <v>0</v>
      </c>
      <c r="P221" s="3598">
        <v>0</v>
      </c>
      <c r="Q221" s="71">
        <v>0</v>
      </c>
      <c r="R221" s="111">
        <v>3799353</v>
      </c>
      <c r="S221" s="3598">
        <v>227116</v>
      </c>
      <c r="T221" s="3598">
        <v>350</v>
      </c>
      <c r="U221" s="71">
        <v>23862</v>
      </c>
      <c r="V221" s="2518"/>
      <c r="W221" s="2518"/>
      <c r="X221" s="2518"/>
      <c r="Y221" s="2519"/>
    </row>
    <row r="222" spans="1:25">
      <c r="A222" s="53">
        <f t="shared" si="4"/>
        <v>2010.09</v>
      </c>
      <c r="B222" s="214">
        <v>3144024</v>
      </c>
      <c r="C222" s="3598">
        <v>42295</v>
      </c>
      <c r="D222" s="3598">
        <v>0</v>
      </c>
      <c r="E222" s="71">
        <v>2482</v>
      </c>
      <c r="F222" s="456">
        <v>600542</v>
      </c>
      <c r="G222" s="3598">
        <v>16876</v>
      </c>
      <c r="H222" s="3598">
        <v>0</v>
      </c>
      <c r="I222" s="71">
        <v>1200</v>
      </c>
      <c r="J222" s="456">
        <v>2416159</v>
      </c>
      <c r="K222" s="3598">
        <v>18308</v>
      </c>
      <c r="L222" s="3598">
        <v>0</v>
      </c>
      <c r="M222" s="71">
        <v>6969</v>
      </c>
      <c r="N222" s="456">
        <v>10532</v>
      </c>
      <c r="O222" s="3598">
        <v>0</v>
      </c>
      <c r="P222" s="3598">
        <v>0</v>
      </c>
      <c r="Q222" s="71">
        <v>0</v>
      </c>
      <c r="R222" s="111">
        <v>3607395</v>
      </c>
      <c r="S222" s="3598">
        <v>207818</v>
      </c>
      <c r="T222" s="3598">
        <v>640</v>
      </c>
      <c r="U222" s="71">
        <v>2482</v>
      </c>
      <c r="V222" s="2518"/>
      <c r="W222" s="2518"/>
      <c r="X222" s="2518"/>
      <c r="Y222" s="2519"/>
    </row>
    <row r="223" spans="1:25">
      <c r="A223" s="53">
        <f t="shared" si="4"/>
        <v>2010.1</v>
      </c>
      <c r="B223" s="214">
        <v>3141269</v>
      </c>
      <c r="C223" s="3598">
        <v>10957</v>
      </c>
      <c r="D223" s="3598">
        <v>0</v>
      </c>
      <c r="E223" s="111">
        <v>21201</v>
      </c>
      <c r="F223" s="456">
        <v>605262</v>
      </c>
      <c r="G223" s="3598">
        <v>4263</v>
      </c>
      <c r="H223" s="3598">
        <v>0</v>
      </c>
      <c r="I223" s="71">
        <v>3068</v>
      </c>
      <c r="J223" s="456">
        <v>2425370</v>
      </c>
      <c r="K223" s="3598">
        <v>5126</v>
      </c>
      <c r="L223" s="3598">
        <v>0</v>
      </c>
      <c r="M223" s="71">
        <v>17709</v>
      </c>
      <c r="N223" s="456">
        <v>12071</v>
      </c>
      <c r="O223" s="3598">
        <v>0</v>
      </c>
      <c r="P223" s="3598">
        <v>0</v>
      </c>
      <c r="Q223" s="71">
        <v>0</v>
      </c>
      <c r="R223" s="111">
        <v>3564164</v>
      </c>
      <c r="S223" s="3598">
        <v>207474</v>
      </c>
      <c r="T223" s="3598">
        <v>280</v>
      </c>
      <c r="U223" s="71">
        <v>21201</v>
      </c>
      <c r="V223" s="2518"/>
      <c r="W223" s="2518"/>
      <c r="X223" s="2518"/>
      <c r="Y223" s="2519"/>
    </row>
    <row r="224" spans="1:25">
      <c r="A224" s="53">
        <f t="shared" si="4"/>
        <v>2010.11</v>
      </c>
      <c r="B224" s="214">
        <v>2685278</v>
      </c>
      <c r="C224" s="3598">
        <v>6700</v>
      </c>
      <c r="D224" s="3598">
        <v>0</v>
      </c>
      <c r="E224" s="111">
        <v>29346</v>
      </c>
      <c r="F224" s="456">
        <v>520604</v>
      </c>
      <c r="G224" s="3598">
        <v>2665</v>
      </c>
      <c r="H224" s="3598">
        <v>0</v>
      </c>
      <c r="I224" s="71">
        <v>4255</v>
      </c>
      <c r="J224" s="456">
        <v>2086915</v>
      </c>
      <c r="K224" s="3598">
        <v>2816</v>
      </c>
      <c r="L224" s="3598">
        <v>0</v>
      </c>
      <c r="M224" s="71">
        <v>24506</v>
      </c>
      <c r="N224" s="456">
        <v>12261</v>
      </c>
      <c r="O224" s="3598">
        <v>0</v>
      </c>
      <c r="P224" s="3598">
        <v>0</v>
      </c>
      <c r="Q224" s="71">
        <v>0</v>
      </c>
      <c r="R224" s="111">
        <v>3142342</v>
      </c>
      <c r="S224" s="3598">
        <v>131252</v>
      </c>
      <c r="T224" s="3598">
        <v>1270</v>
      </c>
      <c r="U224" s="71">
        <v>29346</v>
      </c>
      <c r="V224" s="2518"/>
      <c r="W224" s="2518"/>
      <c r="X224" s="2518"/>
      <c r="Y224" s="2519"/>
    </row>
    <row r="225" spans="1:25">
      <c r="A225" s="53">
        <f t="shared" si="4"/>
        <v>2010.12</v>
      </c>
      <c r="B225" s="214">
        <v>2314331</v>
      </c>
      <c r="C225" s="3598">
        <v>5713</v>
      </c>
      <c r="D225" s="3598">
        <v>0</v>
      </c>
      <c r="E225" s="111">
        <v>8051</v>
      </c>
      <c r="F225" s="456">
        <v>447304</v>
      </c>
      <c r="G225" s="3598">
        <v>2170</v>
      </c>
      <c r="H225" s="3598">
        <v>0</v>
      </c>
      <c r="I225" s="71">
        <v>1167</v>
      </c>
      <c r="J225" s="456">
        <v>1784184</v>
      </c>
      <c r="K225" s="3598">
        <v>2751</v>
      </c>
      <c r="L225" s="3598">
        <v>0</v>
      </c>
      <c r="M225" s="71">
        <v>6723</v>
      </c>
      <c r="N225" s="456">
        <v>10451</v>
      </c>
      <c r="O225" s="3598">
        <v>0</v>
      </c>
      <c r="P225" s="3598">
        <v>0</v>
      </c>
      <c r="Q225" s="71">
        <v>0</v>
      </c>
      <c r="R225" s="111">
        <v>2680163</v>
      </c>
      <c r="S225" s="3598">
        <v>176645</v>
      </c>
      <c r="T225" s="3598">
        <v>800</v>
      </c>
      <c r="U225" s="71">
        <v>8051</v>
      </c>
      <c r="V225" s="2518"/>
      <c r="W225" s="2518"/>
      <c r="X225" s="2518"/>
      <c r="Y225" s="2519"/>
    </row>
    <row r="226" spans="1:25">
      <c r="A226" s="53">
        <f t="shared" si="4"/>
        <v>2011.01</v>
      </c>
      <c r="B226" s="214">
        <v>1996061</v>
      </c>
      <c r="C226" s="3598">
        <v>99572</v>
      </c>
      <c r="D226" s="3598">
        <v>0</v>
      </c>
      <c r="E226" s="111">
        <v>0</v>
      </c>
      <c r="F226" s="456">
        <v>386219</v>
      </c>
      <c r="G226" s="3598">
        <v>39950</v>
      </c>
      <c r="H226" s="3598">
        <v>0</v>
      </c>
      <c r="I226" s="71">
        <v>0</v>
      </c>
      <c r="J226" s="456">
        <v>1554593</v>
      </c>
      <c r="K226" s="3598">
        <v>42629</v>
      </c>
      <c r="L226" s="3598">
        <v>0</v>
      </c>
      <c r="M226" s="71">
        <v>0</v>
      </c>
      <c r="N226" s="456">
        <v>4043</v>
      </c>
      <c r="O226" s="3598">
        <v>0</v>
      </c>
      <c r="P226" s="3598">
        <v>0</v>
      </c>
      <c r="Q226" s="71">
        <v>0</v>
      </c>
      <c r="R226" s="111">
        <v>2304419</v>
      </c>
      <c r="S226" s="3598">
        <v>178855</v>
      </c>
      <c r="T226" s="3598">
        <v>0</v>
      </c>
      <c r="U226" s="71">
        <v>0</v>
      </c>
      <c r="V226" s="2518"/>
      <c r="W226" s="2518"/>
      <c r="X226" s="2518"/>
      <c r="Y226" s="2519"/>
    </row>
    <row r="227" spans="1:25">
      <c r="A227" s="53">
        <f t="shared" si="4"/>
        <v>2011.02</v>
      </c>
      <c r="B227" s="214">
        <v>1663572</v>
      </c>
      <c r="C227" s="3598">
        <v>135914</v>
      </c>
      <c r="D227" s="3598">
        <v>0</v>
      </c>
      <c r="E227" s="111">
        <v>0</v>
      </c>
      <c r="F227" s="456">
        <v>320648</v>
      </c>
      <c r="G227" s="3598">
        <v>59575</v>
      </c>
      <c r="H227" s="3598">
        <v>0</v>
      </c>
      <c r="I227" s="71">
        <v>0</v>
      </c>
      <c r="J227" s="456">
        <v>1297282</v>
      </c>
      <c r="K227" s="3598">
        <v>64852</v>
      </c>
      <c r="L227" s="3598">
        <v>0</v>
      </c>
      <c r="M227" s="71">
        <v>0</v>
      </c>
      <c r="N227" s="456">
        <v>8654</v>
      </c>
      <c r="O227" s="3598">
        <v>0</v>
      </c>
      <c r="P227" s="3598">
        <v>0</v>
      </c>
      <c r="Q227" s="71">
        <v>0</v>
      </c>
      <c r="R227" s="111">
        <v>2019596</v>
      </c>
      <c r="S227" s="3598">
        <v>216518</v>
      </c>
      <c r="T227" s="3598">
        <v>0</v>
      </c>
      <c r="U227" s="71">
        <v>0</v>
      </c>
      <c r="V227" s="2518"/>
      <c r="W227" s="2518"/>
      <c r="X227" s="2518"/>
      <c r="Y227" s="2519"/>
    </row>
    <row r="228" spans="1:25">
      <c r="A228" s="53">
        <f t="shared" si="4"/>
        <v>2011.03</v>
      </c>
      <c r="B228" s="214">
        <v>2538860</v>
      </c>
      <c r="C228" s="3598">
        <v>172309</v>
      </c>
      <c r="D228" s="3598">
        <v>0</v>
      </c>
      <c r="E228" s="111">
        <v>0</v>
      </c>
      <c r="F228" s="456">
        <v>491161</v>
      </c>
      <c r="G228" s="3598">
        <v>71266</v>
      </c>
      <c r="H228" s="3598">
        <v>0</v>
      </c>
      <c r="I228" s="71">
        <v>0</v>
      </c>
      <c r="J228" s="456">
        <v>1976395</v>
      </c>
      <c r="K228" s="3598">
        <v>80072</v>
      </c>
      <c r="L228" s="3598">
        <v>0</v>
      </c>
      <c r="M228" s="71">
        <v>0</v>
      </c>
      <c r="N228" s="456">
        <v>8285</v>
      </c>
      <c r="O228" s="3598">
        <v>0</v>
      </c>
      <c r="P228" s="3598">
        <v>0</v>
      </c>
      <c r="Q228" s="71">
        <v>0</v>
      </c>
      <c r="R228" s="111">
        <v>2750251</v>
      </c>
      <c r="S228" s="3598">
        <v>528336</v>
      </c>
      <c r="T228" s="3598">
        <v>940</v>
      </c>
      <c r="U228" s="71">
        <v>0</v>
      </c>
      <c r="V228" s="2518"/>
      <c r="W228" s="2518"/>
      <c r="X228" s="2518"/>
      <c r="Y228" s="2519"/>
    </row>
    <row r="229" spans="1:25">
      <c r="A229" s="53">
        <f t="shared" si="4"/>
        <v>2011.04</v>
      </c>
      <c r="B229" s="214">
        <v>3302936</v>
      </c>
      <c r="C229" s="3598">
        <v>85904</v>
      </c>
      <c r="D229" s="3598">
        <v>0</v>
      </c>
      <c r="E229" s="111">
        <v>0</v>
      </c>
      <c r="F229" s="456">
        <v>639170</v>
      </c>
      <c r="G229" s="3598">
        <v>35132</v>
      </c>
      <c r="H229" s="3598">
        <v>0</v>
      </c>
      <c r="I229" s="71">
        <v>0</v>
      </c>
      <c r="J229" s="456">
        <v>2582678</v>
      </c>
      <c r="K229" s="3598">
        <v>42845</v>
      </c>
      <c r="L229" s="3598">
        <v>0</v>
      </c>
      <c r="M229" s="71">
        <v>0</v>
      </c>
      <c r="N229" s="456">
        <v>11802</v>
      </c>
      <c r="O229" s="3598">
        <v>0</v>
      </c>
      <c r="P229" s="3598">
        <v>0</v>
      </c>
      <c r="Q229" s="71">
        <v>0</v>
      </c>
      <c r="R229" s="111">
        <v>3742495</v>
      </c>
      <c r="S229" s="3598">
        <v>314222</v>
      </c>
      <c r="T229" s="3598">
        <v>862</v>
      </c>
      <c r="U229" s="71">
        <v>0</v>
      </c>
      <c r="V229" s="2518"/>
      <c r="W229" s="2518"/>
      <c r="X229" s="2518"/>
      <c r="Y229" s="2519"/>
    </row>
    <row r="230" spans="1:25">
      <c r="A230" s="53">
        <f t="shared" si="4"/>
        <v>2011.05</v>
      </c>
      <c r="B230" s="214">
        <v>3480090</v>
      </c>
      <c r="C230" s="3598">
        <v>67897</v>
      </c>
      <c r="D230" s="3598">
        <v>0</v>
      </c>
      <c r="E230" s="111">
        <v>22405</v>
      </c>
      <c r="F230" s="456">
        <v>657478</v>
      </c>
      <c r="G230" s="3598">
        <v>27604</v>
      </c>
      <c r="H230" s="3598">
        <v>0</v>
      </c>
      <c r="I230" s="71">
        <v>3363</v>
      </c>
      <c r="J230" s="456">
        <v>2688328</v>
      </c>
      <c r="K230" s="3598">
        <v>34997</v>
      </c>
      <c r="L230" s="3598">
        <v>0</v>
      </c>
      <c r="M230" s="71">
        <v>18594</v>
      </c>
      <c r="N230" s="456">
        <v>11863</v>
      </c>
      <c r="O230" s="3598">
        <v>0</v>
      </c>
      <c r="P230" s="3598">
        <v>0</v>
      </c>
      <c r="Q230" s="71">
        <v>0</v>
      </c>
      <c r="R230" s="111">
        <v>3963056</v>
      </c>
      <c r="S230" s="3598">
        <v>268969</v>
      </c>
      <c r="T230" s="3598">
        <v>150</v>
      </c>
      <c r="U230" s="71">
        <v>22405</v>
      </c>
      <c r="V230" s="2518"/>
      <c r="W230" s="2518"/>
      <c r="X230" s="2518"/>
      <c r="Y230" s="2519"/>
    </row>
    <row r="231" spans="1:25">
      <c r="A231" s="53">
        <f t="shared" si="4"/>
        <v>2011.06</v>
      </c>
      <c r="B231" s="214">
        <v>2859165</v>
      </c>
      <c r="C231" s="3598">
        <v>123127</v>
      </c>
      <c r="D231" s="3598">
        <v>0</v>
      </c>
      <c r="E231" s="111">
        <v>25796</v>
      </c>
      <c r="F231" s="456">
        <v>541410</v>
      </c>
      <c r="G231" s="3598">
        <v>50670</v>
      </c>
      <c r="H231" s="3598">
        <v>0</v>
      </c>
      <c r="I231" s="71">
        <v>3723</v>
      </c>
      <c r="J231" s="456">
        <v>2217835</v>
      </c>
      <c r="K231" s="3598">
        <v>57721</v>
      </c>
      <c r="L231" s="3598">
        <v>0</v>
      </c>
      <c r="M231" s="71">
        <v>21556</v>
      </c>
      <c r="N231" s="456">
        <v>12639</v>
      </c>
      <c r="O231" s="3598">
        <v>0</v>
      </c>
      <c r="P231" s="3598">
        <v>0</v>
      </c>
      <c r="Q231" s="71">
        <v>0</v>
      </c>
      <c r="R231" s="111">
        <v>3265023</v>
      </c>
      <c r="S231" s="3598">
        <v>394674</v>
      </c>
      <c r="T231" s="3598">
        <v>1137</v>
      </c>
      <c r="U231" s="71">
        <v>25796</v>
      </c>
      <c r="V231" s="2518"/>
      <c r="W231" s="2518"/>
      <c r="X231" s="2518"/>
      <c r="Y231" s="2519"/>
    </row>
    <row r="232" spans="1:25">
      <c r="A232" s="53">
        <f t="shared" si="4"/>
        <v>2011.07</v>
      </c>
      <c r="B232" s="214">
        <v>2744956</v>
      </c>
      <c r="C232" s="3598">
        <v>105720</v>
      </c>
      <c r="D232" s="3598">
        <v>0</v>
      </c>
      <c r="E232" s="111">
        <v>31740</v>
      </c>
      <c r="F232" s="456">
        <v>523124</v>
      </c>
      <c r="G232" s="3598">
        <v>43650</v>
      </c>
      <c r="H232" s="3598">
        <v>0</v>
      </c>
      <c r="I232" s="71">
        <v>4444</v>
      </c>
      <c r="J232" s="456">
        <v>2137138</v>
      </c>
      <c r="K232" s="3598">
        <v>49592</v>
      </c>
      <c r="L232" s="3598">
        <v>0</v>
      </c>
      <c r="M232" s="71">
        <v>26661</v>
      </c>
      <c r="N232" s="456">
        <v>12821</v>
      </c>
      <c r="O232" s="3598">
        <v>0</v>
      </c>
      <c r="P232" s="3598">
        <v>0</v>
      </c>
      <c r="Q232" s="71">
        <v>0</v>
      </c>
      <c r="R232" s="111">
        <v>3228883</v>
      </c>
      <c r="S232" s="3598">
        <v>314022</v>
      </c>
      <c r="T232" s="3598">
        <v>1216</v>
      </c>
      <c r="U232" s="71">
        <v>31740</v>
      </c>
      <c r="V232" s="2518"/>
      <c r="W232" s="2518"/>
      <c r="X232" s="2518"/>
      <c r="Y232" s="2519"/>
    </row>
    <row r="233" spans="1:25">
      <c r="A233" s="53">
        <f t="shared" si="4"/>
        <v>2011.08</v>
      </c>
      <c r="B233" s="214">
        <v>2573611</v>
      </c>
      <c r="C233" s="3598">
        <v>107255</v>
      </c>
      <c r="D233" s="3598">
        <v>0</v>
      </c>
      <c r="E233" s="111">
        <v>30804</v>
      </c>
      <c r="F233" s="456">
        <v>485803</v>
      </c>
      <c r="G233" s="3598">
        <v>44567</v>
      </c>
      <c r="H233" s="3598">
        <v>0</v>
      </c>
      <c r="I233" s="71">
        <v>4405</v>
      </c>
      <c r="J233" s="456">
        <v>1966167</v>
      </c>
      <c r="K233" s="3598">
        <v>51468</v>
      </c>
      <c r="L233" s="3598">
        <v>0</v>
      </c>
      <c r="M233" s="71">
        <v>25783</v>
      </c>
      <c r="N233" s="456">
        <v>12922</v>
      </c>
      <c r="O233" s="3598">
        <v>0</v>
      </c>
      <c r="P233" s="3598">
        <v>0</v>
      </c>
      <c r="Q233" s="71">
        <v>0</v>
      </c>
      <c r="R233" s="111">
        <v>3011541</v>
      </c>
      <c r="S233" s="3598">
        <v>352275</v>
      </c>
      <c r="T233" s="3598">
        <v>77</v>
      </c>
      <c r="U233" s="71">
        <v>30804</v>
      </c>
      <c r="V233" s="2518"/>
      <c r="W233" s="2518"/>
      <c r="X233" s="2518"/>
      <c r="Y233" s="2519"/>
    </row>
    <row r="234" spans="1:25">
      <c r="A234" s="53">
        <f t="shared" si="4"/>
        <v>2011.09</v>
      </c>
      <c r="B234" s="214">
        <v>3273214</v>
      </c>
      <c r="C234" s="3598">
        <v>54343</v>
      </c>
      <c r="D234" s="3598">
        <v>0</v>
      </c>
      <c r="E234" s="111">
        <v>30404</v>
      </c>
      <c r="F234" s="456">
        <v>624547</v>
      </c>
      <c r="G234" s="3598">
        <v>22498</v>
      </c>
      <c r="H234" s="3598">
        <v>0</v>
      </c>
      <c r="I234" s="71">
        <v>4363</v>
      </c>
      <c r="J234" s="456">
        <v>2528579</v>
      </c>
      <c r="K234" s="3598">
        <v>28127</v>
      </c>
      <c r="L234" s="3598">
        <v>0</v>
      </c>
      <c r="M234" s="71">
        <v>25433</v>
      </c>
      <c r="N234" s="456">
        <v>12851</v>
      </c>
      <c r="O234" s="3598">
        <v>0</v>
      </c>
      <c r="P234" s="3598">
        <v>0</v>
      </c>
      <c r="Q234" s="71">
        <v>0</v>
      </c>
      <c r="R234" s="111">
        <v>3717074</v>
      </c>
      <c r="S234" s="3598">
        <v>284145</v>
      </c>
      <c r="T234" s="3598">
        <v>383</v>
      </c>
      <c r="U234" s="71">
        <v>30404</v>
      </c>
      <c r="V234" s="2518"/>
      <c r="W234" s="2518"/>
      <c r="X234" s="2518"/>
      <c r="Y234" s="2519"/>
    </row>
    <row r="235" spans="1:25">
      <c r="A235" s="53">
        <f t="shared" si="4"/>
        <v>2011.1</v>
      </c>
      <c r="B235" s="214">
        <v>2880412</v>
      </c>
      <c r="C235" s="3598">
        <v>52550</v>
      </c>
      <c r="D235" s="3598">
        <v>0</v>
      </c>
      <c r="E235" s="111">
        <v>12529</v>
      </c>
      <c r="F235" s="456">
        <v>552026</v>
      </c>
      <c r="G235" s="3598">
        <v>21854</v>
      </c>
      <c r="H235" s="3598">
        <v>0</v>
      </c>
      <c r="I235" s="71">
        <v>2496</v>
      </c>
      <c r="J235" s="456">
        <v>2206352</v>
      </c>
      <c r="K235" s="3598">
        <v>23798</v>
      </c>
      <c r="L235" s="3598">
        <v>0</v>
      </c>
      <c r="M235" s="71">
        <v>0</v>
      </c>
      <c r="N235" s="456">
        <v>11966</v>
      </c>
      <c r="O235" s="3598">
        <v>0</v>
      </c>
      <c r="P235" s="3598">
        <v>0</v>
      </c>
      <c r="Q235" s="71">
        <v>0</v>
      </c>
      <c r="R235" s="111">
        <v>3316838</v>
      </c>
      <c r="S235" s="3598">
        <v>248004</v>
      </c>
      <c r="T235" s="3598">
        <v>300</v>
      </c>
      <c r="U235" s="71">
        <v>12529</v>
      </c>
      <c r="V235" s="2518"/>
      <c r="W235" s="2518"/>
      <c r="X235" s="2518"/>
      <c r="Y235" s="2519"/>
    </row>
    <row r="236" spans="1:25">
      <c r="A236" s="53">
        <f t="shared" si="4"/>
        <v>2011.11</v>
      </c>
      <c r="B236" s="214">
        <v>2600324</v>
      </c>
      <c r="C236" s="3598">
        <v>14387</v>
      </c>
      <c r="D236" s="3598">
        <v>0</v>
      </c>
      <c r="E236" s="111">
        <v>3952</v>
      </c>
      <c r="F236" s="456">
        <v>502606</v>
      </c>
      <c r="G236" s="3598">
        <v>6000</v>
      </c>
      <c r="H236" s="3598">
        <v>0</v>
      </c>
      <c r="I236" s="71">
        <v>566</v>
      </c>
      <c r="J236" s="456">
        <v>2018395</v>
      </c>
      <c r="K236" s="3598">
        <v>7843</v>
      </c>
      <c r="L236" s="3598">
        <v>0</v>
      </c>
      <c r="M236" s="71">
        <v>0</v>
      </c>
      <c r="N236" s="456">
        <v>12873</v>
      </c>
      <c r="O236" s="3598">
        <v>0</v>
      </c>
      <c r="P236" s="3598">
        <v>0</v>
      </c>
      <c r="Q236" s="71">
        <v>0</v>
      </c>
      <c r="R236" s="111">
        <v>2977055</v>
      </c>
      <c r="S236" s="3598">
        <v>184877</v>
      </c>
      <c r="T236" s="3598">
        <v>80</v>
      </c>
      <c r="U236" s="71">
        <v>3952</v>
      </c>
      <c r="V236" s="2518"/>
      <c r="W236" s="2518"/>
      <c r="X236" s="2518"/>
      <c r="Y236" s="2519"/>
    </row>
    <row r="237" spans="1:25">
      <c r="A237" s="53">
        <f t="shared" si="4"/>
        <v>2011.12</v>
      </c>
      <c r="B237" s="214">
        <v>2422645</v>
      </c>
      <c r="C237" s="3598">
        <v>21132</v>
      </c>
      <c r="D237" s="3598">
        <v>0</v>
      </c>
      <c r="E237" s="111">
        <v>0</v>
      </c>
      <c r="F237" s="456">
        <v>464209</v>
      </c>
      <c r="G237" s="3598">
        <v>8420</v>
      </c>
      <c r="H237" s="3598">
        <v>0</v>
      </c>
      <c r="I237" s="71">
        <v>0</v>
      </c>
      <c r="J237" s="456">
        <v>1865659</v>
      </c>
      <c r="K237" s="3598">
        <v>10125</v>
      </c>
      <c r="L237" s="3598">
        <v>0</v>
      </c>
      <c r="M237" s="71">
        <v>0</v>
      </c>
      <c r="N237" s="456">
        <v>13745</v>
      </c>
      <c r="O237" s="3598">
        <v>0</v>
      </c>
      <c r="P237" s="3598">
        <v>0</v>
      </c>
      <c r="Q237" s="71">
        <v>0</v>
      </c>
      <c r="R237" s="111">
        <v>2845965</v>
      </c>
      <c r="S237" s="3598">
        <v>246870</v>
      </c>
      <c r="T237" s="3598">
        <v>267</v>
      </c>
      <c r="U237" s="71">
        <v>0</v>
      </c>
      <c r="V237" s="2518"/>
      <c r="W237" s="2518"/>
      <c r="X237" s="2518"/>
      <c r="Y237" s="2519"/>
    </row>
    <row r="238" spans="1:25">
      <c r="A238" s="53">
        <f t="shared" si="4"/>
        <v>2012.01</v>
      </c>
      <c r="B238" s="214">
        <v>2243816</v>
      </c>
      <c r="C238" s="3598">
        <v>147360</v>
      </c>
      <c r="D238" s="3598">
        <v>0</v>
      </c>
      <c r="E238" s="111">
        <v>0</v>
      </c>
      <c r="F238" s="456">
        <v>428443</v>
      </c>
      <c r="G238" s="3598">
        <v>52971</v>
      </c>
      <c r="H238" s="3598">
        <v>0</v>
      </c>
      <c r="I238" s="71">
        <v>0</v>
      </c>
      <c r="J238" s="456">
        <v>1736705</v>
      </c>
      <c r="K238" s="3598">
        <v>54691</v>
      </c>
      <c r="L238" s="3598">
        <v>0</v>
      </c>
      <c r="M238" s="71">
        <v>0</v>
      </c>
      <c r="N238" s="456">
        <v>10974</v>
      </c>
      <c r="O238" s="3598">
        <v>0</v>
      </c>
      <c r="P238" s="3598">
        <v>0</v>
      </c>
      <c r="Q238" s="71">
        <v>0</v>
      </c>
      <c r="R238" s="111">
        <v>2697485</v>
      </c>
      <c r="S238" s="3598">
        <v>216838</v>
      </c>
      <c r="T238" s="3598">
        <v>1080</v>
      </c>
      <c r="U238" s="71">
        <v>0</v>
      </c>
      <c r="V238" s="2518"/>
      <c r="W238" s="2518"/>
      <c r="X238" s="2518"/>
      <c r="Y238" s="2519"/>
    </row>
    <row r="239" spans="1:25">
      <c r="A239" s="53">
        <f t="shared" si="4"/>
        <v>2012.02</v>
      </c>
      <c r="B239" s="214">
        <v>1910375</v>
      </c>
      <c r="C239" s="3598">
        <v>200864</v>
      </c>
      <c r="D239" s="3598">
        <v>0</v>
      </c>
      <c r="E239" s="111">
        <v>0</v>
      </c>
      <c r="F239" s="456">
        <v>369542</v>
      </c>
      <c r="G239" s="3598">
        <v>72625</v>
      </c>
      <c r="H239" s="3598">
        <v>0</v>
      </c>
      <c r="I239" s="71">
        <v>0</v>
      </c>
      <c r="J239" s="456">
        <v>1487426</v>
      </c>
      <c r="K239" s="3598">
        <v>73478</v>
      </c>
      <c r="L239" s="3598">
        <v>0</v>
      </c>
      <c r="M239" s="71">
        <v>0</v>
      </c>
      <c r="N239" s="456">
        <v>11288</v>
      </c>
      <c r="O239" s="3598">
        <v>0</v>
      </c>
      <c r="P239" s="3598">
        <v>0</v>
      </c>
      <c r="Q239" s="71">
        <v>0</v>
      </c>
      <c r="R239" s="111">
        <v>2265447</v>
      </c>
      <c r="S239" s="3598">
        <v>323945</v>
      </c>
      <c r="T239" s="3598">
        <v>600</v>
      </c>
      <c r="U239" s="71">
        <v>0</v>
      </c>
      <c r="V239" s="2518"/>
      <c r="W239" s="2518"/>
      <c r="X239" s="2518"/>
      <c r="Y239" s="2519"/>
    </row>
    <row r="240" spans="1:25">
      <c r="A240" s="53">
        <f t="shared" si="4"/>
        <v>2012.03</v>
      </c>
      <c r="B240" s="214">
        <v>2062809</v>
      </c>
      <c r="C240" s="3598">
        <v>180018</v>
      </c>
      <c r="D240" s="3598">
        <v>0</v>
      </c>
      <c r="E240" s="111">
        <v>0</v>
      </c>
      <c r="F240" s="456">
        <v>401362</v>
      </c>
      <c r="G240" s="3598">
        <v>73995</v>
      </c>
      <c r="H240" s="3598">
        <v>0</v>
      </c>
      <c r="I240" s="71">
        <v>0</v>
      </c>
      <c r="J240" s="456">
        <v>1591089</v>
      </c>
      <c r="K240" s="3598">
        <v>80872</v>
      </c>
      <c r="L240" s="3598">
        <v>0</v>
      </c>
      <c r="M240" s="71">
        <v>0</v>
      </c>
      <c r="N240" s="456">
        <v>13127</v>
      </c>
      <c r="O240" s="3598">
        <v>0</v>
      </c>
      <c r="P240" s="3598">
        <v>0</v>
      </c>
      <c r="Q240" s="71">
        <v>0</v>
      </c>
      <c r="R240" s="111">
        <v>2436638</v>
      </c>
      <c r="S240" s="3598">
        <v>566052</v>
      </c>
      <c r="T240" s="3598">
        <v>220</v>
      </c>
      <c r="U240" s="71">
        <v>0</v>
      </c>
      <c r="V240" s="2518"/>
      <c r="W240" s="2518"/>
      <c r="X240" s="2518"/>
      <c r="Y240" s="2519"/>
    </row>
    <row r="241" spans="1:35">
      <c r="A241" s="53">
        <f t="shared" si="4"/>
        <v>2012.04</v>
      </c>
      <c r="B241" s="214">
        <v>3167072</v>
      </c>
      <c r="C241" s="3598">
        <v>140386</v>
      </c>
      <c r="D241" s="3598">
        <v>0</v>
      </c>
      <c r="E241" s="111">
        <v>0</v>
      </c>
      <c r="F241" s="456">
        <v>616109</v>
      </c>
      <c r="G241" s="3598">
        <v>57842</v>
      </c>
      <c r="H241" s="3598">
        <v>0</v>
      </c>
      <c r="I241" s="71">
        <v>0</v>
      </c>
      <c r="J241" s="456">
        <v>2461016</v>
      </c>
      <c r="K241" s="3598">
        <v>64511</v>
      </c>
      <c r="L241" s="3598">
        <v>0</v>
      </c>
      <c r="M241" s="71">
        <v>0</v>
      </c>
      <c r="N241" s="456">
        <v>8828</v>
      </c>
      <c r="O241" s="3598">
        <v>0</v>
      </c>
      <c r="P241" s="3598">
        <v>0</v>
      </c>
      <c r="Q241" s="71">
        <v>0</v>
      </c>
      <c r="R241" s="111">
        <v>3505040</v>
      </c>
      <c r="S241" s="3598">
        <v>479905</v>
      </c>
      <c r="T241" s="3598">
        <v>0</v>
      </c>
      <c r="U241" s="71">
        <v>0</v>
      </c>
      <c r="V241" s="2518"/>
      <c r="W241" s="2518"/>
      <c r="X241" s="2518"/>
      <c r="Y241" s="2519"/>
    </row>
    <row r="242" spans="1:35">
      <c r="A242" s="53">
        <f t="shared" si="4"/>
        <v>2012.05</v>
      </c>
      <c r="B242" s="214">
        <v>3275086</v>
      </c>
      <c r="C242" s="3598">
        <v>96929</v>
      </c>
      <c r="D242" s="3598">
        <v>0</v>
      </c>
      <c r="E242" s="111">
        <v>27184</v>
      </c>
      <c r="F242" s="456">
        <v>615550</v>
      </c>
      <c r="G242" s="3598">
        <v>30153</v>
      </c>
      <c r="H242" s="3598">
        <v>0</v>
      </c>
      <c r="I242" s="71">
        <v>4185</v>
      </c>
      <c r="J242" s="456">
        <v>2549974</v>
      </c>
      <c r="K242" s="3598">
        <v>36228</v>
      </c>
      <c r="L242" s="3598">
        <v>0</v>
      </c>
      <c r="M242" s="71">
        <v>22456</v>
      </c>
      <c r="N242" s="456">
        <v>11218</v>
      </c>
      <c r="O242" s="3598">
        <v>0</v>
      </c>
      <c r="P242" s="3598">
        <v>0</v>
      </c>
      <c r="Q242" s="71">
        <v>0</v>
      </c>
      <c r="R242" s="111">
        <v>3766583</v>
      </c>
      <c r="S242" s="3598">
        <v>287994</v>
      </c>
      <c r="T242" s="3598">
        <v>175</v>
      </c>
      <c r="U242" s="71">
        <v>27184</v>
      </c>
      <c r="V242" s="2518"/>
      <c r="W242" s="2518"/>
      <c r="X242" s="2518"/>
      <c r="Y242" s="2519"/>
    </row>
    <row r="243" spans="1:35">
      <c r="A243" s="53">
        <f t="shared" si="4"/>
        <v>2012.06</v>
      </c>
      <c r="B243" s="214">
        <v>2731818</v>
      </c>
      <c r="C243" s="3598">
        <v>108025</v>
      </c>
      <c r="D243" s="3598">
        <v>0</v>
      </c>
      <c r="E243" s="111">
        <v>16399</v>
      </c>
      <c r="F243" s="456">
        <v>522568</v>
      </c>
      <c r="G243" s="3598">
        <v>44042</v>
      </c>
      <c r="H243" s="3598">
        <v>0</v>
      </c>
      <c r="I243" s="71">
        <v>2614</v>
      </c>
      <c r="J243" s="456">
        <v>2119871</v>
      </c>
      <c r="K243" s="3598">
        <v>50594</v>
      </c>
      <c r="L243" s="3598">
        <v>0</v>
      </c>
      <c r="M243" s="71">
        <v>13457</v>
      </c>
      <c r="N243" s="456">
        <v>13360</v>
      </c>
      <c r="O243" s="3598">
        <v>0</v>
      </c>
      <c r="P243" s="3598">
        <v>0</v>
      </c>
      <c r="Q243" s="71">
        <v>0</v>
      </c>
      <c r="R243" s="111">
        <v>3213159</v>
      </c>
      <c r="S243" s="3598">
        <v>369608</v>
      </c>
      <c r="T243" s="3598">
        <v>260</v>
      </c>
      <c r="U243" s="71">
        <v>16399</v>
      </c>
      <c r="V243" s="2518"/>
      <c r="W243" s="2518"/>
      <c r="X243" s="2518"/>
      <c r="Y243" s="2519"/>
      <c r="AI243" s="2513"/>
    </row>
    <row r="244" spans="1:35">
      <c r="A244" s="53">
        <f t="shared" si="4"/>
        <v>2012.07</v>
      </c>
      <c r="B244" s="214">
        <v>2466046</v>
      </c>
      <c r="C244" s="3598">
        <v>86638</v>
      </c>
      <c r="D244" s="3598">
        <v>0</v>
      </c>
      <c r="E244" s="111">
        <v>25183</v>
      </c>
      <c r="F244" s="456">
        <v>467201</v>
      </c>
      <c r="G244" s="3598">
        <v>35679</v>
      </c>
      <c r="H244" s="3598">
        <v>0</v>
      </c>
      <c r="I244" s="71">
        <v>3903</v>
      </c>
      <c r="J244" s="456">
        <v>1909155</v>
      </c>
      <c r="K244" s="3598">
        <v>42139</v>
      </c>
      <c r="L244" s="3598">
        <v>0</v>
      </c>
      <c r="M244" s="71">
        <v>20776</v>
      </c>
      <c r="N244" s="456">
        <v>12775</v>
      </c>
      <c r="O244" s="3598">
        <v>0</v>
      </c>
      <c r="P244" s="3598">
        <v>0</v>
      </c>
      <c r="Q244" s="71">
        <v>0</v>
      </c>
      <c r="R244" s="111">
        <v>2963372</v>
      </c>
      <c r="S244" s="3598">
        <v>332219</v>
      </c>
      <c r="T244" s="3598">
        <v>200</v>
      </c>
      <c r="U244" s="71">
        <v>25183</v>
      </c>
      <c r="V244" s="2518"/>
      <c r="W244" s="2518"/>
      <c r="X244" s="2518"/>
      <c r="Y244" s="2519"/>
    </row>
    <row r="245" spans="1:35">
      <c r="A245" s="53">
        <f t="shared" si="4"/>
        <v>2012.08</v>
      </c>
      <c r="B245" s="214">
        <v>2304062</v>
      </c>
      <c r="C245" s="3598">
        <v>53430</v>
      </c>
      <c r="D245" s="3598">
        <v>0</v>
      </c>
      <c r="E245" s="111">
        <v>12204</v>
      </c>
      <c r="F245" s="456">
        <v>437058</v>
      </c>
      <c r="G245" s="3598">
        <v>22499</v>
      </c>
      <c r="H245" s="3598">
        <v>0</v>
      </c>
      <c r="I245" s="71">
        <v>1824</v>
      </c>
      <c r="J245" s="456">
        <v>1785949</v>
      </c>
      <c r="K245" s="3598">
        <v>24222</v>
      </c>
      <c r="L245" s="3598">
        <v>0</v>
      </c>
      <c r="M245" s="71">
        <v>10137</v>
      </c>
      <c r="N245" s="456">
        <v>11986</v>
      </c>
      <c r="O245" s="3598">
        <v>0</v>
      </c>
      <c r="P245" s="3598">
        <v>0</v>
      </c>
      <c r="Q245" s="71">
        <v>0</v>
      </c>
      <c r="R245" s="111">
        <v>2812108</v>
      </c>
      <c r="S245" s="3598">
        <v>294938</v>
      </c>
      <c r="T245" s="3598">
        <v>70</v>
      </c>
      <c r="U245" s="71">
        <v>12204</v>
      </c>
      <c r="V245" s="2518"/>
      <c r="W245" s="2518"/>
      <c r="X245" s="2518"/>
      <c r="Y245" s="2519"/>
    </row>
    <row r="246" spans="1:35">
      <c r="A246" s="53">
        <f t="shared" si="4"/>
        <v>2012.09</v>
      </c>
      <c r="B246" s="214">
        <v>2554620</v>
      </c>
      <c r="C246" s="3598">
        <v>51606</v>
      </c>
      <c r="D246" s="3598">
        <v>0</v>
      </c>
      <c r="E246" s="111">
        <v>28237</v>
      </c>
      <c r="F246" s="456">
        <v>487638</v>
      </c>
      <c r="G246" s="3598">
        <v>21512</v>
      </c>
      <c r="H246" s="3598">
        <v>0</v>
      </c>
      <c r="I246" s="71">
        <v>4240</v>
      </c>
      <c r="J246" s="456">
        <v>1981466</v>
      </c>
      <c r="K246" s="3598">
        <v>25890</v>
      </c>
      <c r="L246" s="3598">
        <v>0</v>
      </c>
      <c r="M246" s="71">
        <v>23432</v>
      </c>
      <c r="N246" s="456">
        <v>11406</v>
      </c>
      <c r="O246" s="3598">
        <v>0</v>
      </c>
      <c r="P246" s="3598">
        <v>0</v>
      </c>
      <c r="Q246" s="71">
        <v>0</v>
      </c>
      <c r="R246" s="111">
        <v>3079868</v>
      </c>
      <c r="S246" s="3598">
        <v>233503</v>
      </c>
      <c r="T246" s="3598">
        <v>430</v>
      </c>
      <c r="U246" s="71">
        <v>28237</v>
      </c>
      <c r="V246" s="2518"/>
      <c r="W246" s="2518"/>
      <c r="X246" s="2518"/>
      <c r="Y246" s="2519"/>
    </row>
    <row r="247" spans="1:35">
      <c r="A247" s="53">
        <f t="shared" si="4"/>
        <v>2012.1</v>
      </c>
      <c r="B247" s="214">
        <v>1945648</v>
      </c>
      <c r="C247" s="3598">
        <v>48933</v>
      </c>
      <c r="D247" s="3598">
        <v>0</v>
      </c>
      <c r="E247" s="111">
        <v>1827</v>
      </c>
      <c r="F247" s="456">
        <v>378599</v>
      </c>
      <c r="G247" s="3598">
        <v>20456</v>
      </c>
      <c r="H247" s="3598">
        <v>0</v>
      </c>
      <c r="I247" s="71">
        <v>275</v>
      </c>
      <c r="J247" s="456">
        <v>1508324</v>
      </c>
      <c r="K247" s="3598">
        <v>24418</v>
      </c>
      <c r="L247" s="3598">
        <v>0</v>
      </c>
      <c r="M247" s="71">
        <v>1516</v>
      </c>
      <c r="N247" s="456">
        <v>11367</v>
      </c>
      <c r="O247" s="3598">
        <v>0</v>
      </c>
      <c r="P247" s="3598">
        <v>0</v>
      </c>
      <c r="Q247" s="71">
        <v>0</v>
      </c>
      <c r="R247" s="111">
        <v>2409273</v>
      </c>
      <c r="S247" s="3598">
        <v>260610</v>
      </c>
      <c r="T247" s="3598">
        <v>255</v>
      </c>
      <c r="U247" s="71">
        <v>1827</v>
      </c>
      <c r="V247" s="2518"/>
      <c r="W247" s="2518"/>
      <c r="X247" s="2518"/>
      <c r="Y247" s="2519"/>
    </row>
    <row r="248" spans="1:35">
      <c r="A248" s="53">
        <f t="shared" si="4"/>
        <v>2012.11</v>
      </c>
      <c r="B248" s="214">
        <v>1836983</v>
      </c>
      <c r="C248" s="3598">
        <v>19611</v>
      </c>
      <c r="D248" s="3598">
        <v>0</v>
      </c>
      <c r="E248" s="111">
        <v>0</v>
      </c>
      <c r="F248" s="456">
        <v>348703</v>
      </c>
      <c r="G248" s="3598">
        <v>8537</v>
      </c>
      <c r="H248" s="3598">
        <v>0</v>
      </c>
      <c r="I248" s="71">
        <v>0</v>
      </c>
      <c r="J248" s="456">
        <v>1420935</v>
      </c>
      <c r="K248" s="3598">
        <v>10169</v>
      </c>
      <c r="L248" s="3598">
        <v>0</v>
      </c>
      <c r="M248" s="71">
        <v>0</v>
      </c>
      <c r="N248" s="456">
        <v>12122</v>
      </c>
      <c r="O248" s="3598">
        <v>0</v>
      </c>
      <c r="P248" s="3598">
        <v>0</v>
      </c>
      <c r="Q248" s="71">
        <v>0</v>
      </c>
      <c r="R248" s="111">
        <v>2236196</v>
      </c>
      <c r="S248" s="3598">
        <v>189350</v>
      </c>
      <c r="T248" s="3598">
        <v>28</v>
      </c>
      <c r="U248" s="71">
        <v>0</v>
      </c>
      <c r="V248" s="2518"/>
      <c r="W248" s="2518"/>
      <c r="X248" s="2518"/>
      <c r="Y248" s="2519"/>
    </row>
    <row r="249" spans="1:35">
      <c r="A249" s="53">
        <f t="shared" si="4"/>
        <v>2012.12</v>
      </c>
      <c r="B249" s="214">
        <v>1538074</v>
      </c>
      <c r="C249" s="3598">
        <v>65502</v>
      </c>
      <c r="D249" s="3598">
        <v>0</v>
      </c>
      <c r="E249" s="111">
        <v>0</v>
      </c>
      <c r="F249" s="456">
        <v>297386</v>
      </c>
      <c r="G249" s="3598">
        <v>25756</v>
      </c>
      <c r="H249" s="3598">
        <v>0</v>
      </c>
      <c r="I249" s="71">
        <v>0</v>
      </c>
      <c r="J249" s="456">
        <v>1190121</v>
      </c>
      <c r="K249" s="3598">
        <v>28768</v>
      </c>
      <c r="L249" s="3598">
        <v>0</v>
      </c>
      <c r="M249" s="71">
        <v>0</v>
      </c>
      <c r="N249" s="456">
        <v>10210</v>
      </c>
      <c r="O249" s="3598">
        <v>0</v>
      </c>
      <c r="P249" s="3598">
        <v>0</v>
      </c>
      <c r="Q249" s="71">
        <v>0</v>
      </c>
      <c r="R249" s="111">
        <v>1957999</v>
      </c>
      <c r="S249" s="3598">
        <v>154272</v>
      </c>
      <c r="T249" s="3598">
        <v>100</v>
      </c>
      <c r="U249" s="71">
        <v>0</v>
      </c>
      <c r="V249" s="2518"/>
      <c r="W249" s="2518"/>
      <c r="X249" s="2518"/>
      <c r="Y249" s="2519"/>
    </row>
    <row r="250" spans="1:35">
      <c r="A250" s="53">
        <f t="shared" si="4"/>
        <v>2013.01</v>
      </c>
      <c r="B250" s="214">
        <v>1451685</v>
      </c>
      <c r="C250" s="3598">
        <v>176787</v>
      </c>
      <c r="D250" s="3598">
        <v>0</v>
      </c>
      <c r="E250" s="111">
        <v>0</v>
      </c>
      <c r="F250" s="456">
        <v>278912</v>
      </c>
      <c r="G250" s="3598">
        <v>70085</v>
      </c>
      <c r="H250" s="3598">
        <v>0</v>
      </c>
      <c r="I250" s="71">
        <v>0</v>
      </c>
      <c r="J250" s="456">
        <v>1127653</v>
      </c>
      <c r="K250" s="3598">
        <v>82705</v>
      </c>
      <c r="L250" s="3598">
        <v>0</v>
      </c>
      <c r="M250" s="71">
        <v>0</v>
      </c>
      <c r="N250" s="456">
        <v>10671</v>
      </c>
      <c r="O250" s="3598">
        <v>0</v>
      </c>
      <c r="P250" s="3598">
        <v>0</v>
      </c>
      <c r="Q250" s="71">
        <v>0</v>
      </c>
      <c r="R250" s="111">
        <v>1708802</v>
      </c>
      <c r="S250" s="3598">
        <v>331824</v>
      </c>
      <c r="T250" s="3598">
        <v>500</v>
      </c>
      <c r="U250" s="71">
        <v>0</v>
      </c>
      <c r="V250" s="2518"/>
      <c r="W250" s="2518"/>
      <c r="X250" s="2518"/>
      <c r="Y250" s="2519"/>
    </row>
    <row r="251" spans="1:35">
      <c r="A251" s="53">
        <f t="shared" si="4"/>
        <v>2013.02</v>
      </c>
      <c r="B251" s="214">
        <v>973744</v>
      </c>
      <c r="C251" s="3598">
        <v>161114</v>
      </c>
      <c r="D251" s="3598">
        <v>0</v>
      </c>
      <c r="E251" s="111">
        <v>0</v>
      </c>
      <c r="F251" s="456">
        <v>187174</v>
      </c>
      <c r="G251" s="3598">
        <v>64010</v>
      </c>
      <c r="H251" s="3598">
        <v>0</v>
      </c>
      <c r="I251" s="71">
        <v>0</v>
      </c>
      <c r="J251" s="456">
        <v>754313</v>
      </c>
      <c r="K251" s="3598">
        <v>73611</v>
      </c>
      <c r="L251" s="3598">
        <v>0</v>
      </c>
      <c r="M251" s="71">
        <v>0</v>
      </c>
      <c r="N251" s="456">
        <v>9263</v>
      </c>
      <c r="O251" s="3598">
        <v>0</v>
      </c>
      <c r="P251" s="3598">
        <v>0</v>
      </c>
      <c r="Q251" s="71">
        <v>0</v>
      </c>
      <c r="R251" s="111">
        <v>1212383</v>
      </c>
      <c r="S251" s="3598">
        <v>276254</v>
      </c>
      <c r="T251" s="3598">
        <v>295</v>
      </c>
      <c r="U251" s="71">
        <v>0</v>
      </c>
      <c r="V251" s="2518"/>
      <c r="W251" s="2518"/>
      <c r="X251" s="2518"/>
      <c r="Y251" s="2519"/>
    </row>
    <row r="252" spans="1:35">
      <c r="A252" s="53">
        <f t="shared" si="4"/>
        <v>2013.03</v>
      </c>
      <c r="B252" s="214">
        <v>1478890</v>
      </c>
      <c r="C252" s="3598">
        <v>112941</v>
      </c>
      <c r="D252" s="3598">
        <v>0</v>
      </c>
      <c r="E252" s="111">
        <v>0</v>
      </c>
      <c r="F252" s="456">
        <v>287250</v>
      </c>
      <c r="G252" s="3598">
        <v>46515</v>
      </c>
      <c r="H252" s="3598">
        <v>0</v>
      </c>
      <c r="I252" s="71">
        <v>0</v>
      </c>
      <c r="J252" s="456">
        <v>1136603</v>
      </c>
      <c r="K252" s="3598">
        <v>51955</v>
      </c>
      <c r="L252" s="3598">
        <v>0</v>
      </c>
      <c r="M252" s="71">
        <v>0</v>
      </c>
      <c r="N252" s="456">
        <v>11925</v>
      </c>
      <c r="O252" s="3598">
        <v>0</v>
      </c>
      <c r="P252" s="3598">
        <v>0</v>
      </c>
      <c r="Q252" s="71">
        <v>0</v>
      </c>
      <c r="R252" s="111">
        <v>1721068</v>
      </c>
      <c r="S252" s="3598">
        <v>411044</v>
      </c>
      <c r="T252" s="3598">
        <v>82</v>
      </c>
      <c r="U252" s="71">
        <v>3107</v>
      </c>
      <c r="V252" s="2518"/>
      <c r="W252" s="2518"/>
      <c r="X252" s="2518"/>
      <c r="Y252" s="2519"/>
    </row>
    <row r="253" spans="1:35">
      <c r="A253" s="53">
        <f t="shared" si="4"/>
        <v>2013.04</v>
      </c>
      <c r="B253" s="214">
        <v>3044899</v>
      </c>
      <c r="C253" s="3598">
        <v>70902</v>
      </c>
      <c r="D253" s="3598">
        <v>0</v>
      </c>
      <c r="E253" s="111">
        <v>0</v>
      </c>
      <c r="F253" s="456">
        <v>594210</v>
      </c>
      <c r="G253" s="3598">
        <v>28925</v>
      </c>
      <c r="H253" s="3598">
        <v>0</v>
      </c>
      <c r="I253" s="71">
        <v>0</v>
      </c>
      <c r="J253" s="456">
        <v>2338356</v>
      </c>
      <c r="K253" s="3598">
        <v>34520</v>
      </c>
      <c r="L253" s="3598">
        <v>0</v>
      </c>
      <c r="M253" s="71">
        <v>0</v>
      </c>
      <c r="N253" s="456">
        <v>14879</v>
      </c>
      <c r="O253" s="3598">
        <v>0</v>
      </c>
      <c r="P253" s="3598">
        <v>0</v>
      </c>
      <c r="Q253" s="71">
        <v>0</v>
      </c>
      <c r="R253" s="111">
        <v>3587628</v>
      </c>
      <c r="S253" s="3598">
        <v>284528</v>
      </c>
      <c r="T253" s="3598">
        <v>50</v>
      </c>
      <c r="U253" s="71">
        <v>0</v>
      </c>
      <c r="V253" s="2518"/>
      <c r="W253" s="2518"/>
      <c r="X253" s="2518"/>
      <c r="Y253" s="2519"/>
    </row>
    <row r="254" spans="1:35">
      <c r="A254" s="53">
        <f t="shared" si="4"/>
        <v>2013.05</v>
      </c>
      <c r="B254" s="214">
        <v>3324968</v>
      </c>
      <c r="C254" s="3598">
        <v>73592</v>
      </c>
      <c r="D254" s="3598">
        <v>0</v>
      </c>
      <c r="E254" s="111">
        <v>25796</v>
      </c>
      <c r="F254" s="456">
        <v>621742</v>
      </c>
      <c r="G254" s="3598">
        <v>29571</v>
      </c>
      <c r="H254" s="3598">
        <v>0</v>
      </c>
      <c r="I254" s="71">
        <v>3953</v>
      </c>
      <c r="J254" s="456">
        <v>2564450</v>
      </c>
      <c r="K254" s="3598">
        <v>35336</v>
      </c>
      <c r="L254" s="3598">
        <v>0</v>
      </c>
      <c r="M254" s="71">
        <v>21326</v>
      </c>
      <c r="N254" s="456">
        <v>14367</v>
      </c>
      <c r="O254" s="3598">
        <v>0</v>
      </c>
      <c r="P254" s="3598">
        <v>0</v>
      </c>
      <c r="Q254" s="71">
        <v>0</v>
      </c>
      <c r="R254" s="111">
        <v>3933147</v>
      </c>
      <c r="S254" s="3598">
        <v>202431</v>
      </c>
      <c r="T254" s="3598">
        <v>0</v>
      </c>
      <c r="U254" s="71">
        <v>25796</v>
      </c>
      <c r="V254" s="2518"/>
      <c r="W254" s="2518"/>
      <c r="X254" s="2518"/>
      <c r="Y254" s="2519"/>
    </row>
    <row r="255" spans="1:35">
      <c r="A255" s="53">
        <f t="shared" si="4"/>
        <v>2013.06</v>
      </c>
      <c r="B255" s="214">
        <v>3394774</v>
      </c>
      <c r="C255" s="3598">
        <v>58565</v>
      </c>
      <c r="D255" s="3598">
        <v>0</v>
      </c>
      <c r="E255" s="111">
        <v>22270</v>
      </c>
      <c r="F255" s="456">
        <v>635638</v>
      </c>
      <c r="G255" s="3598">
        <v>23831</v>
      </c>
      <c r="H255" s="3598">
        <v>0</v>
      </c>
      <c r="I255" s="71">
        <v>3627</v>
      </c>
      <c r="J255" s="456">
        <v>2610701</v>
      </c>
      <c r="K255" s="3598">
        <v>28844</v>
      </c>
      <c r="L255" s="3598">
        <v>0</v>
      </c>
      <c r="M255" s="71">
        <v>18197</v>
      </c>
      <c r="N255" s="456">
        <v>13931</v>
      </c>
      <c r="O255" s="3598">
        <v>0</v>
      </c>
      <c r="P255" s="3598">
        <v>0</v>
      </c>
      <c r="Q255" s="71">
        <v>0</v>
      </c>
      <c r="R255" s="111">
        <v>3925034</v>
      </c>
      <c r="S255" s="3598">
        <v>213761</v>
      </c>
      <c r="T255" s="3598">
        <v>0</v>
      </c>
      <c r="U255" s="71">
        <v>22270</v>
      </c>
      <c r="V255" s="2518"/>
      <c r="W255" s="2518"/>
      <c r="X255" s="2518"/>
      <c r="Y255" s="2519"/>
    </row>
    <row r="256" spans="1:35">
      <c r="A256" s="53">
        <f t="shared" si="4"/>
        <v>2013.07</v>
      </c>
      <c r="B256" s="214">
        <v>3133681</v>
      </c>
      <c r="C256" s="3598">
        <v>65763</v>
      </c>
      <c r="D256" s="3598">
        <v>0</v>
      </c>
      <c r="E256" s="111">
        <v>10892</v>
      </c>
      <c r="F256" s="456">
        <v>591396</v>
      </c>
      <c r="G256" s="3598">
        <v>26967</v>
      </c>
      <c r="H256" s="3598">
        <v>0</v>
      </c>
      <c r="I256" s="71">
        <v>1941</v>
      </c>
      <c r="J256" s="456">
        <v>2420311</v>
      </c>
      <c r="K256" s="3598">
        <v>31606</v>
      </c>
      <c r="L256" s="3598">
        <v>0</v>
      </c>
      <c r="M256" s="71">
        <v>8733</v>
      </c>
      <c r="N256" s="456">
        <v>15040</v>
      </c>
      <c r="O256" s="3598">
        <v>0</v>
      </c>
      <c r="P256" s="3598">
        <v>0</v>
      </c>
      <c r="Q256" s="71">
        <v>0</v>
      </c>
      <c r="R256" s="111">
        <v>3641364</v>
      </c>
      <c r="S256" s="3598">
        <v>176382</v>
      </c>
      <c r="T256" s="3598">
        <v>64</v>
      </c>
      <c r="U256" s="71">
        <v>10892</v>
      </c>
      <c r="V256" s="2518"/>
      <c r="W256" s="2518"/>
      <c r="X256" s="2518"/>
      <c r="Y256" s="2519"/>
    </row>
    <row r="257" spans="1:25">
      <c r="A257" s="53">
        <f t="shared" si="4"/>
        <v>2013.08</v>
      </c>
      <c r="B257" s="214">
        <v>3094712</v>
      </c>
      <c r="C257" s="3598">
        <v>40301</v>
      </c>
      <c r="D257" s="3598">
        <v>0</v>
      </c>
      <c r="E257" s="111">
        <v>22982</v>
      </c>
      <c r="F257" s="456">
        <v>578223</v>
      </c>
      <c r="G257" s="3598">
        <v>16791</v>
      </c>
      <c r="H257" s="3598">
        <v>0</v>
      </c>
      <c r="I257" s="71">
        <v>4596</v>
      </c>
      <c r="J257" s="456">
        <v>2377826</v>
      </c>
      <c r="K257" s="3598">
        <v>19688</v>
      </c>
      <c r="L257" s="3598">
        <v>0</v>
      </c>
      <c r="M257" s="71">
        <v>17926</v>
      </c>
      <c r="N257" s="456">
        <v>16728</v>
      </c>
      <c r="O257" s="3598">
        <v>0</v>
      </c>
      <c r="P257" s="3598">
        <v>0</v>
      </c>
      <c r="Q257" s="71">
        <v>0</v>
      </c>
      <c r="R257" s="111">
        <v>3678455</v>
      </c>
      <c r="S257" s="3598">
        <v>155861</v>
      </c>
      <c r="T257" s="3598">
        <v>0</v>
      </c>
      <c r="U257" s="71">
        <v>22982</v>
      </c>
      <c r="V257" s="2518"/>
      <c r="W257" s="2518"/>
      <c r="X257" s="2518"/>
      <c r="Y257" s="2519"/>
    </row>
    <row r="258" spans="1:25">
      <c r="A258" s="53">
        <f t="shared" si="4"/>
        <v>2013.09</v>
      </c>
      <c r="B258" s="214">
        <v>3117419</v>
      </c>
      <c r="C258" s="3598">
        <v>50011</v>
      </c>
      <c r="D258" s="3598">
        <v>0</v>
      </c>
      <c r="E258" s="111">
        <v>2440</v>
      </c>
      <c r="F258" s="456">
        <v>594240</v>
      </c>
      <c r="G258" s="3598">
        <v>20447</v>
      </c>
      <c r="H258" s="3598">
        <v>0</v>
      </c>
      <c r="I258" s="71">
        <v>415</v>
      </c>
      <c r="J258" s="456">
        <v>2378638</v>
      </c>
      <c r="K258" s="3598">
        <v>24640</v>
      </c>
      <c r="L258" s="3598">
        <v>0</v>
      </c>
      <c r="M258" s="71">
        <v>1977</v>
      </c>
      <c r="N258" s="456">
        <v>15405</v>
      </c>
      <c r="O258" s="3598">
        <v>0</v>
      </c>
      <c r="P258" s="3598">
        <v>0</v>
      </c>
      <c r="Q258" s="71">
        <v>0</v>
      </c>
      <c r="R258" s="111">
        <v>3582271</v>
      </c>
      <c r="S258" s="3598">
        <v>190218</v>
      </c>
      <c r="T258" s="3598">
        <v>0</v>
      </c>
      <c r="U258" s="71">
        <v>2440</v>
      </c>
      <c r="V258" s="2518"/>
      <c r="W258" s="2518"/>
      <c r="X258" s="2518"/>
      <c r="Y258" s="2519"/>
    </row>
    <row r="259" spans="1:25">
      <c r="A259" s="53">
        <f t="shared" si="4"/>
        <v>2013.1</v>
      </c>
      <c r="B259" s="214">
        <v>2494526</v>
      </c>
      <c r="C259" s="3598">
        <v>51692</v>
      </c>
      <c r="D259" s="3598">
        <v>0</v>
      </c>
      <c r="E259" s="111">
        <v>0</v>
      </c>
      <c r="F259" s="456">
        <v>473307</v>
      </c>
      <c r="G259" s="3598">
        <v>21285</v>
      </c>
      <c r="H259" s="3598">
        <v>0</v>
      </c>
      <c r="I259" s="71">
        <v>0</v>
      </c>
      <c r="J259" s="456">
        <v>1932962</v>
      </c>
      <c r="K259" s="3598">
        <v>23136</v>
      </c>
      <c r="L259" s="3598">
        <v>0</v>
      </c>
      <c r="M259" s="71">
        <v>0</v>
      </c>
      <c r="N259" s="456">
        <v>17613</v>
      </c>
      <c r="O259" s="3598">
        <v>0</v>
      </c>
      <c r="P259" s="3598">
        <v>0</v>
      </c>
      <c r="Q259" s="71">
        <v>0</v>
      </c>
      <c r="R259" s="111">
        <v>2963012</v>
      </c>
      <c r="S259" s="3598">
        <v>201893</v>
      </c>
      <c r="T259" s="3598">
        <v>0</v>
      </c>
      <c r="U259" s="71">
        <v>0</v>
      </c>
      <c r="V259" s="2518"/>
      <c r="W259" s="2518"/>
      <c r="X259" s="2518"/>
      <c r="Y259" s="2519"/>
    </row>
    <row r="260" spans="1:25">
      <c r="A260" s="53">
        <f t="shared" si="4"/>
        <v>2013.11</v>
      </c>
      <c r="B260" s="214">
        <v>2038608</v>
      </c>
      <c r="C260" s="3598">
        <v>0</v>
      </c>
      <c r="D260" s="3598">
        <v>0</v>
      </c>
      <c r="E260" s="111">
        <v>0</v>
      </c>
      <c r="F260" s="456">
        <v>390223</v>
      </c>
      <c r="G260" s="3598">
        <v>0</v>
      </c>
      <c r="H260" s="3598">
        <v>0</v>
      </c>
      <c r="I260" s="71">
        <v>0</v>
      </c>
      <c r="J260" s="456">
        <v>1607056</v>
      </c>
      <c r="K260" s="3598">
        <v>0</v>
      </c>
      <c r="L260" s="3598">
        <v>0</v>
      </c>
      <c r="M260" s="71">
        <v>0</v>
      </c>
      <c r="N260" s="456">
        <v>13907</v>
      </c>
      <c r="O260" s="3598">
        <v>0</v>
      </c>
      <c r="P260" s="3598">
        <v>0</v>
      </c>
      <c r="Q260" s="71">
        <v>0</v>
      </c>
      <c r="R260" s="111">
        <v>2318967</v>
      </c>
      <c r="S260" s="3598">
        <v>58460</v>
      </c>
      <c r="T260" s="3598">
        <v>0</v>
      </c>
      <c r="U260" s="71">
        <v>0</v>
      </c>
      <c r="V260" s="2518"/>
      <c r="W260" s="2518"/>
      <c r="X260" s="2518"/>
      <c r="Y260" s="2519"/>
    </row>
    <row r="261" spans="1:25">
      <c r="A261" s="53">
        <f t="shared" si="4"/>
        <v>2013.12</v>
      </c>
      <c r="B261" s="214">
        <v>1417314</v>
      </c>
      <c r="C261" s="3598">
        <v>22388</v>
      </c>
      <c r="D261" s="3598">
        <v>0</v>
      </c>
      <c r="E261" s="111">
        <v>0</v>
      </c>
      <c r="F261" s="456">
        <v>268820</v>
      </c>
      <c r="G261" s="3598">
        <v>9116</v>
      </c>
      <c r="H261" s="3598">
        <v>0</v>
      </c>
      <c r="I261" s="71">
        <v>0</v>
      </c>
      <c r="J261" s="456">
        <v>1093675</v>
      </c>
      <c r="K261" s="3598">
        <v>10204</v>
      </c>
      <c r="L261" s="3598">
        <v>0</v>
      </c>
      <c r="M261" s="71">
        <v>0</v>
      </c>
      <c r="N261" s="456">
        <v>13022</v>
      </c>
      <c r="O261" s="3598">
        <v>0</v>
      </c>
      <c r="P261" s="3598">
        <v>0</v>
      </c>
      <c r="Q261" s="71">
        <v>0</v>
      </c>
      <c r="R261" s="111">
        <v>1768668</v>
      </c>
      <c r="S261" s="3598">
        <v>81755</v>
      </c>
      <c r="T261" s="3598">
        <v>0</v>
      </c>
      <c r="U261" s="71">
        <v>0</v>
      </c>
      <c r="V261" s="2518"/>
      <c r="W261" s="2518"/>
      <c r="X261" s="2518"/>
      <c r="Y261" s="2519"/>
    </row>
    <row r="262" spans="1:25">
      <c r="A262" s="53">
        <f t="shared" si="4"/>
        <v>2014.01</v>
      </c>
      <c r="B262" s="214">
        <v>1597188</v>
      </c>
      <c r="C262" s="3598">
        <v>101164</v>
      </c>
      <c r="D262" s="3598">
        <v>0</v>
      </c>
      <c r="E262" s="111">
        <v>0</v>
      </c>
      <c r="F262" s="456">
        <v>307178</v>
      </c>
      <c r="G262" s="3598">
        <v>38675</v>
      </c>
      <c r="H262" s="3598">
        <v>0</v>
      </c>
      <c r="I262" s="71">
        <v>0</v>
      </c>
      <c r="J262" s="456">
        <v>1214323</v>
      </c>
      <c r="K262" s="3598">
        <v>49381</v>
      </c>
      <c r="L262" s="3598">
        <v>0</v>
      </c>
      <c r="M262" s="71">
        <v>0</v>
      </c>
      <c r="N262" s="456">
        <v>14073</v>
      </c>
      <c r="O262" s="3598">
        <v>0</v>
      </c>
      <c r="P262" s="3598">
        <v>0</v>
      </c>
      <c r="Q262" s="71">
        <v>0</v>
      </c>
      <c r="R262" s="111">
        <v>1968357</v>
      </c>
      <c r="S262" s="3598">
        <v>180816</v>
      </c>
      <c r="T262" s="3598">
        <v>1000</v>
      </c>
      <c r="U262" s="71">
        <v>0</v>
      </c>
      <c r="V262" s="2518"/>
      <c r="W262" s="2518"/>
      <c r="X262" s="2518"/>
      <c r="Y262" s="2519"/>
    </row>
    <row r="263" spans="1:25">
      <c r="A263" s="53">
        <f t="shared" si="4"/>
        <v>2014.02</v>
      </c>
      <c r="B263" s="214">
        <v>1283810</v>
      </c>
      <c r="C263" s="3598">
        <v>89431</v>
      </c>
      <c r="D263" s="3598">
        <v>0</v>
      </c>
      <c r="E263" s="111">
        <v>0</v>
      </c>
      <c r="F263" s="456">
        <v>247469</v>
      </c>
      <c r="G263" s="3598">
        <v>35833</v>
      </c>
      <c r="H263" s="3598">
        <v>0</v>
      </c>
      <c r="I263" s="71">
        <v>0</v>
      </c>
      <c r="J263" s="456">
        <v>982482</v>
      </c>
      <c r="K263" s="3598">
        <v>37567</v>
      </c>
      <c r="L263" s="3598">
        <v>0</v>
      </c>
      <c r="M263" s="71">
        <v>0</v>
      </c>
      <c r="N263" s="456">
        <v>11295</v>
      </c>
      <c r="O263" s="3598">
        <v>0</v>
      </c>
      <c r="P263" s="3598">
        <v>0</v>
      </c>
      <c r="Q263" s="71">
        <v>0</v>
      </c>
      <c r="R263" s="111">
        <v>1533689</v>
      </c>
      <c r="S263" s="3598">
        <v>186811</v>
      </c>
      <c r="T263" s="3598">
        <v>100</v>
      </c>
      <c r="U263" s="71">
        <v>0</v>
      </c>
      <c r="V263" s="2518"/>
      <c r="W263" s="2518"/>
      <c r="X263" s="2518"/>
      <c r="Y263" s="2519"/>
    </row>
    <row r="264" spans="1:25">
      <c r="A264" s="53">
        <f t="shared" si="4"/>
        <v>2014.03</v>
      </c>
      <c r="B264" s="214">
        <v>1812063</v>
      </c>
      <c r="C264" s="3598">
        <v>74463</v>
      </c>
      <c r="D264" s="3598">
        <v>0</v>
      </c>
      <c r="E264" s="111">
        <v>0</v>
      </c>
      <c r="F264" s="456">
        <v>352923</v>
      </c>
      <c r="G264" s="3598">
        <v>30344</v>
      </c>
      <c r="H264" s="3598">
        <v>0</v>
      </c>
      <c r="I264" s="71">
        <v>0</v>
      </c>
      <c r="J264" s="456">
        <v>1377051</v>
      </c>
      <c r="K264" s="3598">
        <v>35235</v>
      </c>
      <c r="L264" s="3598">
        <v>0</v>
      </c>
      <c r="M264" s="71">
        <v>0</v>
      </c>
      <c r="N264" s="456">
        <v>12653</v>
      </c>
      <c r="O264" s="3598">
        <v>0</v>
      </c>
      <c r="P264" s="3598">
        <v>0</v>
      </c>
      <c r="Q264" s="71">
        <v>0</v>
      </c>
      <c r="R264" s="111">
        <v>2108432</v>
      </c>
      <c r="S264" s="3598">
        <v>320204</v>
      </c>
      <c r="T264" s="3598">
        <v>150</v>
      </c>
      <c r="U264" s="71">
        <v>0</v>
      </c>
      <c r="V264" s="2518"/>
      <c r="W264" s="2518"/>
      <c r="X264" s="2518"/>
      <c r="Y264" s="2519"/>
    </row>
    <row r="265" spans="1:25">
      <c r="A265" s="53">
        <f t="shared" si="4"/>
        <v>2014.04</v>
      </c>
      <c r="B265" s="214">
        <v>3432145</v>
      </c>
      <c r="C265" s="3598">
        <v>60386</v>
      </c>
      <c r="D265" s="3598">
        <v>0</v>
      </c>
      <c r="E265" s="111">
        <v>1155</v>
      </c>
      <c r="F265" s="456">
        <v>646166</v>
      </c>
      <c r="G265" s="3598">
        <v>24900</v>
      </c>
      <c r="H265" s="3598">
        <v>0</v>
      </c>
      <c r="I265" s="71">
        <v>191</v>
      </c>
      <c r="J265" s="456">
        <v>2598037</v>
      </c>
      <c r="K265" s="3598">
        <v>29409</v>
      </c>
      <c r="L265" s="3598">
        <v>0</v>
      </c>
      <c r="M265" s="71">
        <v>942</v>
      </c>
      <c r="N265" s="456">
        <v>15988</v>
      </c>
      <c r="O265" s="3598">
        <v>0</v>
      </c>
      <c r="P265" s="3598">
        <v>0</v>
      </c>
      <c r="Q265" s="71">
        <v>0</v>
      </c>
      <c r="R265" s="111">
        <v>3902595</v>
      </c>
      <c r="S265" s="3598">
        <v>278019</v>
      </c>
      <c r="T265" s="3598">
        <v>100</v>
      </c>
      <c r="U265" s="71">
        <v>1155</v>
      </c>
      <c r="V265" s="2518"/>
      <c r="W265" s="2518"/>
      <c r="X265" s="2518"/>
      <c r="Y265" s="2519"/>
    </row>
    <row r="266" spans="1:25">
      <c r="A266" s="53">
        <f t="shared" si="4"/>
        <v>2014.05</v>
      </c>
      <c r="B266" s="214">
        <v>4040546</v>
      </c>
      <c r="C266" s="3598">
        <v>52270</v>
      </c>
      <c r="D266" s="3598">
        <v>0</v>
      </c>
      <c r="E266" s="111">
        <v>21084</v>
      </c>
      <c r="F266" s="456">
        <v>744510</v>
      </c>
      <c r="G266" s="3598">
        <v>21574</v>
      </c>
      <c r="H266" s="3598">
        <v>0</v>
      </c>
      <c r="I266" s="71">
        <v>3479</v>
      </c>
      <c r="J266" s="456">
        <v>3099433</v>
      </c>
      <c r="K266" s="3598">
        <v>25695</v>
      </c>
      <c r="L266" s="3598">
        <v>0</v>
      </c>
      <c r="M266" s="71">
        <v>17184</v>
      </c>
      <c r="N266" s="456">
        <v>17523</v>
      </c>
      <c r="O266" s="3598">
        <v>0</v>
      </c>
      <c r="P266" s="3598">
        <v>0</v>
      </c>
      <c r="Q266" s="71">
        <v>0</v>
      </c>
      <c r="R266" s="111">
        <v>4658613</v>
      </c>
      <c r="S266" s="3598">
        <v>185215</v>
      </c>
      <c r="T266" s="3598">
        <v>220</v>
      </c>
      <c r="U266" s="71">
        <v>21084</v>
      </c>
      <c r="V266" s="2518"/>
      <c r="W266" s="2518"/>
      <c r="X266" s="2518"/>
      <c r="Y266" s="2519"/>
    </row>
    <row r="267" spans="1:25">
      <c r="A267" s="53">
        <f t="shared" si="4"/>
        <v>2014.06</v>
      </c>
      <c r="B267" s="214">
        <v>3632853</v>
      </c>
      <c r="C267" s="3598">
        <v>77457</v>
      </c>
      <c r="D267" s="3598">
        <v>0</v>
      </c>
      <c r="E267" s="111">
        <v>25197</v>
      </c>
      <c r="F267" s="456">
        <v>677815</v>
      </c>
      <c r="G267" s="3598">
        <v>31851</v>
      </c>
      <c r="H267" s="3598">
        <v>0</v>
      </c>
      <c r="I267" s="71">
        <v>3917</v>
      </c>
      <c r="J267" s="456">
        <v>2765012</v>
      </c>
      <c r="K267" s="3598">
        <v>33415</v>
      </c>
      <c r="L267" s="3598">
        <v>0</v>
      </c>
      <c r="M267" s="71">
        <v>20776</v>
      </c>
      <c r="N267" s="456">
        <v>15327</v>
      </c>
      <c r="O267" s="3598">
        <v>0</v>
      </c>
      <c r="P267" s="3598">
        <v>0</v>
      </c>
      <c r="Q267" s="71">
        <v>0</v>
      </c>
      <c r="R267" s="111">
        <v>4186684</v>
      </c>
      <c r="S267" s="3598">
        <v>243046</v>
      </c>
      <c r="T267" s="3598">
        <v>270</v>
      </c>
      <c r="U267" s="71">
        <v>25197</v>
      </c>
      <c r="V267" s="2518"/>
      <c r="W267" s="2518"/>
      <c r="X267" s="2518"/>
      <c r="Y267" s="2519"/>
    </row>
    <row r="268" spans="1:25">
      <c r="A268" s="53">
        <f t="shared" si="4"/>
        <v>2014.07</v>
      </c>
      <c r="B268" s="214">
        <v>3293488</v>
      </c>
      <c r="C268" s="3598">
        <v>27671</v>
      </c>
      <c r="D268" s="3598">
        <v>0</v>
      </c>
      <c r="E268" s="111">
        <v>32393</v>
      </c>
      <c r="F268" s="456">
        <v>620446</v>
      </c>
      <c r="G268" s="3598">
        <v>11600</v>
      </c>
      <c r="H268" s="3598">
        <v>0</v>
      </c>
      <c r="I268" s="71">
        <v>4836</v>
      </c>
      <c r="J268" s="456">
        <v>2526818</v>
      </c>
      <c r="K268" s="3598">
        <v>12166</v>
      </c>
      <c r="L268" s="3598">
        <v>0</v>
      </c>
      <c r="M268" s="71">
        <v>26909</v>
      </c>
      <c r="N268" s="456">
        <v>15946</v>
      </c>
      <c r="O268" s="3598">
        <v>0</v>
      </c>
      <c r="P268" s="3598">
        <v>0</v>
      </c>
      <c r="Q268" s="71">
        <v>0</v>
      </c>
      <c r="R268" s="111">
        <v>3907983</v>
      </c>
      <c r="S268" s="3598">
        <v>139863</v>
      </c>
      <c r="T268" s="3598">
        <v>0</v>
      </c>
      <c r="U268" s="71">
        <v>32393</v>
      </c>
      <c r="V268" s="2518"/>
      <c r="W268" s="2518"/>
      <c r="X268" s="2518"/>
      <c r="Y268" s="2519"/>
    </row>
    <row r="269" spans="1:25">
      <c r="A269" s="53">
        <f t="shared" si="4"/>
        <v>2014.08</v>
      </c>
      <c r="B269" s="214">
        <v>2965883</v>
      </c>
      <c r="C269" s="3598">
        <v>43157</v>
      </c>
      <c r="D269" s="3598">
        <v>0</v>
      </c>
      <c r="E269" s="111">
        <v>28527</v>
      </c>
      <c r="F269" s="456">
        <v>557876</v>
      </c>
      <c r="G269" s="3598">
        <v>18225</v>
      </c>
      <c r="H269" s="3598">
        <v>0</v>
      </c>
      <c r="I269" s="71">
        <v>4136</v>
      </c>
      <c r="J269" s="456">
        <v>2266332</v>
      </c>
      <c r="K269" s="3598">
        <v>21847</v>
      </c>
      <c r="L269" s="3598">
        <v>0</v>
      </c>
      <c r="M269" s="71">
        <v>23820</v>
      </c>
      <c r="N269" s="456">
        <v>17018</v>
      </c>
      <c r="O269" s="3598">
        <v>0</v>
      </c>
      <c r="P269" s="3598">
        <v>0</v>
      </c>
      <c r="Q269" s="71">
        <v>0</v>
      </c>
      <c r="R269" s="111">
        <v>3494906</v>
      </c>
      <c r="S269" s="3598">
        <v>145759</v>
      </c>
      <c r="T269" s="3598">
        <v>543</v>
      </c>
      <c r="U269" s="71">
        <v>28527</v>
      </c>
      <c r="V269" s="2518"/>
      <c r="W269" s="2518"/>
      <c r="X269" s="2518"/>
      <c r="Y269" s="2519"/>
    </row>
    <row r="270" spans="1:25">
      <c r="A270" s="53">
        <f t="shared" si="4"/>
        <v>2014.09</v>
      </c>
      <c r="B270" s="214">
        <v>2853120</v>
      </c>
      <c r="C270" s="3598">
        <v>6190</v>
      </c>
      <c r="D270" s="3598">
        <v>0</v>
      </c>
      <c r="E270" s="111">
        <v>26796</v>
      </c>
      <c r="F270" s="456">
        <v>535692</v>
      </c>
      <c r="G270" s="3598">
        <v>2490</v>
      </c>
      <c r="H270" s="3598">
        <v>0</v>
      </c>
      <c r="I270" s="71">
        <v>4116</v>
      </c>
      <c r="J270" s="456">
        <v>2153844</v>
      </c>
      <c r="K270" s="3598">
        <v>3421</v>
      </c>
      <c r="L270" s="3598">
        <v>0</v>
      </c>
      <c r="M270" s="71">
        <v>22144</v>
      </c>
      <c r="N270" s="456">
        <v>18428</v>
      </c>
      <c r="O270" s="3598">
        <v>0</v>
      </c>
      <c r="P270" s="3598">
        <v>0</v>
      </c>
      <c r="Q270" s="71">
        <v>0</v>
      </c>
      <c r="R270" s="111">
        <v>3357760</v>
      </c>
      <c r="S270" s="3598">
        <v>120788</v>
      </c>
      <c r="T270" s="3598">
        <v>500</v>
      </c>
      <c r="U270" s="71">
        <v>26796</v>
      </c>
      <c r="V270" s="2518"/>
      <c r="W270" s="2518"/>
      <c r="X270" s="2518"/>
      <c r="Y270" s="2519"/>
    </row>
    <row r="271" spans="1:25">
      <c r="A271" s="53">
        <f t="shared" si="4"/>
        <v>2014.1</v>
      </c>
      <c r="B271" s="214">
        <v>2529528</v>
      </c>
      <c r="C271" s="3598">
        <v>62979</v>
      </c>
      <c r="D271" s="3598">
        <v>0</v>
      </c>
      <c r="E271" s="111">
        <v>29016</v>
      </c>
      <c r="F271" s="456">
        <v>475352</v>
      </c>
      <c r="G271" s="3598">
        <v>27014</v>
      </c>
      <c r="H271" s="3598">
        <v>0</v>
      </c>
      <c r="I271" s="71">
        <v>4263</v>
      </c>
      <c r="J271" s="456">
        <v>1924261</v>
      </c>
      <c r="K271" s="3598">
        <v>30668</v>
      </c>
      <c r="L271" s="3598">
        <v>0</v>
      </c>
      <c r="M271" s="71">
        <v>24172</v>
      </c>
      <c r="N271" s="456">
        <v>17623</v>
      </c>
      <c r="O271" s="3598">
        <v>0</v>
      </c>
      <c r="P271" s="3598">
        <v>0</v>
      </c>
      <c r="Q271" s="71">
        <v>0</v>
      </c>
      <c r="R271" s="111">
        <v>3137103</v>
      </c>
      <c r="S271" s="3598">
        <v>201357</v>
      </c>
      <c r="T271" s="3598">
        <v>56</v>
      </c>
      <c r="U271" s="71">
        <v>29016</v>
      </c>
      <c r="V271" s="2518"/>
      <c r="W271" s="2518"/>
      <c r="X271" s="2518"/>
      <c r="Y271" s="2519"/>
    </row>
    <row r="272" spans="1:25">
      <c r="A272" s="53">
        <f t="shared" si="4"/>
        <v>2014.11</v>
      </c>
      <c r="B272" s="214">
        <v>2599085</v>
      </c>
      <c r="C272" s="3598">
        <v>14649</v>
      </c>
      <c r="D272" s="3598">
        <v>0</v>
      </c>
      <c r="E272" s="71">
        <v>11496</v>
      </c>
      <c r="F272" s="456">
        <v>488379</v>
      </c>
      <c r="G272" s="3598">
        <v>6138</v>
      </c>
      <c r="H272" s="3598">
        <v>0</v>
      </c>
      <c r="I272" s="71">
        <v>1715</v>
      </c>
      <c r="J272" s="456">
        <v>1983322</v>
      </c>
      <c r="K272" s="3598">
        <v>7432</v>
      </c>
      <c r="L272" s="3598">
        <v>0</v>
      </c>
      <c r="M272" s="71">
        <v>9550</v>
      </c>
      <c r="N272" s="456">
        <v>15597</v>
      </c>
      <c r="O272" s="3598">
        <v>0</v>
      </c>
      <c r="P272" s="3598">
        <v>0</v>
      </c>
      <c r="Q272" s="71">
        <v>0</v>
      </c>
      <c r="R272" s="111">
        <v>3192368</v>
      </c>
      <c r="S272" s="3598">
        <v>104469</v>
      </c>
      <c r="T272" s="3598">
        <v>120</v>
      </c>
      <c r="U272" s="71">
        <v>11496</v>
      </c>
      <c r="V272" s="2518"/>
      <c r="W272" s="2518"/>
      <c r="X272" s="2518"/>
      <c r="Y272" s="2519"/>
    </row>
    <row r="273" spans="1:25" ht="13.5" thickBot="1">
      <c r="A273" s="53">
        <f t="shared" si="4"/>
        <v>2014.12</v>
      </c>
      <c r="B273" s="214">
        <v>2050934</v>
      </c>
      <c r="C273" s="3598">
        <v>16973</v>
      </c>
      <c r="D273" s="3598">
        <v>0</v>
      </c>
      <c r="E273" s="111">
        <v>0</v>
      </c>
      <c r="F273" s="456">
        <v>385928</v>
      </c>
      <c r="G273" s="3598">
        <v>7157</v>
      </c>
      <c r="H273" s="3598">
        <v>0</v>
      </c>
      <c r="I273" s="71">
        <v>0</v>
      </c>
      <c r="J273" s="456">
        <v>1563085</v>
      </c>
      <c r="K273" s="3598">
        <v>8350</v>
      </c>
      <c r="L273" s="3598">
        <v>0</v>
      </c>
      <c r="M273" s="71">
        <v>0</v>
      </c>
      <c r="N273" s="456">
        <v>14500</v>
      </c>
      <c r="O273" s="3598">
        <v>0</v>
      </c>
      <c r="P273" s="3598">
        <v>0</v>
      </c>
      <c r="Q273" s="71">
        <v>0</v>
      </c>
      <c r="R273" s="111">
        <v>2484742</v>
      </c>
      <c r="S273" s="3598">
        <v>110244</v>
      </c>
      <c r="T273" s="3598">
        <v>500</v>
      </c>
      <c r="U273" s="71">
        <v>0</v>
      </c>
      <c r="V273" s="2518"/>
      <c r="W273" s="2518"/>
      <c r="X273" s="2518"/>
      <c r="Y273" s="2519"/>
    </row>
    <row r="274" spans="1:25">
      <c r="A274" s="53">
        <f t="shared" si="4"/>
        <v>2015.01</v>
      </c>
      <c r="B274" s="214">
        <v>1465302</v>
      </c>
      <c r="C274" s="3598">
        <v>117285</v>
      </c>
      <c r="D274" s="3598">
        <v>0</v>
      </c>
      <c r="E274" s="111">
        <v>0</v>
      </c>
      <c r="F274" s="456">
        <v>274839</v>
      </c>
      <c r="G274" s="3598">
        <v>47875</v>
      </c>
      <c r="H274" s="3598">
        <v>0</v>
      </c>
      <c r="I274" s="71">
        <v>0</v>
      </c>
      <c r="J274" s="456">
        <v>1115444</v>
      </c>
      <c r="K274" s="3598">
        <v>62184</v>
      </c>
      <c r="L274" s="3598">
        <v>0</v>
      </c>
      <c r="M274" s="71">
        <v>0</v>
      </c>
      <c r="N274" s="456">
        <v>15220</v>
      </c>
      <c r="O274" s="3598">
        <v>0</v>
      </c>
      <c r="P274" s="3598">
        <v>0</v>
      </c>
      <c r="Q274" s="71">
        <v>0</v>
      </c>
      <c r="R274" s="111">
        <v>1789755</v>
      </c>
      <c r="S274" s="3598">
        <v>195625</v>
      </c>
      <c r="T274" s="3598">
        <v>50</v>
      </c>
      <c r="U274" s="71">
        <v>0</v>
      </c>
      <c r="V274" s="2517">
        <v>64476</v>
      </c>
      <c r="W274" s="446">
        <v>455915</v>
      </c>
      <c r="X274" s="2518"/>
      <c r="Y274" s="2519"/>
    </row>
    <row r="275" spans="1:25">
      <c r="A275" s="53">
        <f t="shared" si="4"/>
        <v>2015.02</v>
      </c>
      <c r="B275" s="214">
        <v>1693807</v>
      </c>
      <c r="C275" s="3598">
        <v>107206</v>
      </c>
      <c r="D275" s="3598">
        <v>0</v>
      </c>
      <c r="E275" s="111">
        <v>0</v>
      </c>
      <c r="F275" s="456">
        <v>323179</v>
      </c>
      <c r="G275" s="3598">
        <v>44047</v>
      </c>
      <c r="H275" s="3598">
        <v>0</v>
      </c>
      <c r="I275" s="71">
        <v>0</v>
      </c>
      <c r="J275" s="456">
        <v>1289479</v>
      </c>
      <c r="K275" s="3598">
        <v>57581</v>
      </c>
      <c r="L275" s="3598">
        <v>0</v>
      </c>
      <c r="M275" s="71">
        <v>0</v>
      </c>
      <c r="N275" s="456">
        <v>11647</v>
      </c>
      <c r="O275" s="3598">
        <v>0</v>
      </c>
      <c r="P275" s="3598">
        <v>0</v>
      </c>
      <c r="Q275" s="71">
        <v>0</v>
      </c>
      <c r="R275" s="111">
        <v>2109169</v>
      </c>
      <c r="S275" s="3598">
        <v>166264</v>
      </c>
      <c r="T275" s="3598">
        <v>370</v>
      </c>
      <c r="U275" s="71">
        <v>0</v>
      </c>
      <c r="V275" s="2520">
        <v>56517</v>
      </c>
      <c r="W275" s="2520">
        <v>430553</v>
      </c>
      <c r="X275" s="2518"/>
      <c r="Y275" s="2519"/>
    </row>
    <row r="276" spans="1:25">
      <c r="A276" s="53">
        <f t="shared" si="4"/>
        <v>2015.03</v>
      </c>
      <c r="B276" s="214">
        <v>1989102</v>
      </c>
      <c r="C276" s="3598">
        <v>118860</v>
      </c>
      <c r="D276" s="3598">
        <v>0</v>
      </c>
      <c r="E276" s="111">
        <v>0</v>
      </c>
      <c r="F276" s="456">
        <v>385844</v>
      </c>
      <c r="G276" s="3598">
        <v>49523</v>
      </c>
      <c r="H276" s="3598">
        <v>0</v>
      </c>
      <c r="I276" s="71">
        <v>0</v>
      </c>
      <c r="J276" s="456">
        <v>1485033</v>
      </c>
      <c r="K276" s="3598">
        <v>59858</v>
      </c>
      <c r="L276" s="3598">
        <v>0</v>
      </c>
      <c r="M276" s="71">
        <v>0</v>
      </c>
      <c r="N276" s="456">
        <v>13725</v>
      </c>
      <c r="O276" s="3598">
        <v>0</v>
      </c>
      <c r="P276" s="3598">
        <v>0</v>
      </c>
      <c r="Q276" s="71">
        <v>0</v>
      </c>
      <c r="R276" s="111">
        <v>2273176</v>
      </c>
      <c r="S276" s="3598">
        <v>428639</v>
      </c>
      <c r="T276" s="3598">
        <v>400</v>
      </c>
      <c r="U276" s="71">
        <v>0</v>
      </c>
      <c r="V276" s="2520">
        <v>59188</v>
      </c>
      <c r="W276" s="2520">
        <v>467548</v>
      </c>
      <c r="X276" s="2518"/>
      <c r="Y276" s="2519"/>
    </row>
    <row r="277" spans="1:25">
      <c r="A277" s="53">
        <f t="shared" si="4"/>
        <v>2015.04</v>
      </c>
      <c r="B277" s="214">
        <v>3761219</v>
      </c>
      <c r="C277" s="3598">
        <v>54578</v>
      </c>
      <c r="D277" s="3598">
        <v>0</v>
      </c>
      <c r="E277" s="111">
        <v>0</v>
      </c>
      <c r="F277" s="456">
        <v>740431</v>
      </c>
      <c r="G277" s="3598">
        <v>23271</v>
      </c>
      <c r="H277" s="3598">
        <v>0</v>
      </c>
      <c r="I277" s="71">
        <v>0</v>
      </c>
      <c r="J277" s="456">
        <v>2875780</v>
      </c>
      <c r="K277" s="3598">
        <v>26615</v>
      </c>
      <c r="L277" s="3598">
        <v>0</v>
      </c>
      <c r="M277" s="71">
        <v>0</v>
      </c>
      <c r="N277" s="456">
        <v>15476</v>
      </c>
      <c r="O277" s="3598">
        <v>0</v>
      </c>
      <c r="P277" s="3598">
        <v>0</v>
      </c>
      <c r="Q277" s="71">
        <v>0</v>
      </c>
      <c r="R277" s="111">
        <v>4245041</v>
      </c>
      <c r="S277" s="3598">
        <v>345134</v>
      </c>
      <c r="T277" s="3598">
        <v>200</v>
      </c>
      <c r="U277" s="71">
        <v>0</v>
      </c>
      <c r="V277" s="2520">
        <v>66968</v>
      </c>
      <c r="W277" s="2520">
        <v>474726</v>
      </c>
      <c r="X277" s="2518"/>
      <c r="Y277" s="2519"/>
    </row>
    <row r="278" spans="1:25">
      <c r="A278" s="53">
        <f t="shared" ref="A278:A343" si="5">A266+1</f>
        <v>2015.05</v>
      </c>
      <c r="B278" s="214">
        <v>3119129</v>
      </c>
      <c r="C278" s="3598">
        <v>26940</v>
      </c>
      <c r="D278" s="3598">
        <v>0</v>
      </c>
      <c r="E278" s="71">
        <v>0</v>
      </c>
      <c r="F278" s="456">
        <v>605401</v>
      </c>
      <c r="G278" s="3598">
        <v>11337</v>
      </c>
      <c r="H278" s="3598">
        <v>0</v>
      </c>
      <c r="I278" s="71">
        <v>0</v>
      </c>
      <c r="J278" s="456">
        <v>2400239</v>
      </c>
      <c r="K278" s="3598">
        <v>14240</v>
      </c>
      <c r="L278" s="3598">
        <v>0</v>
      </c>
      <c r="M278" s="71">
        <v>0</v>
      </c>
      <c r="N278" s="456">
        <v>16710</v>
      </c>
      <c r="O278" s="3598">
        <v>0</v>
      </c>
      <c r="P278" s="3598">
        <v>0</v>
      </c>
      <c r="Q278" s="71">
        <v>0</v>
      </c>
      <c r="R278" s="111">
        <v>3588586</v>
      </c>
      <c r="S278" s="3598">
        <v>95740</v>
      </c>
      <c r="T278" s="3598">
        <v>360</v>
      </c>
      <c r="U278" s="71">
        <v>330</v>
      </c>
      <c r="V278" s="2520">
        <v>61806</v>
      </c>
      <c r="W278" s="2520">
        <v>479147</v>
      </c>
      <c r="X278" s="2518"/>
      <c r="Y278" s="2519"/>
    </row>
    <row r="279" spans="1:25">
      <c r="A279" s="53">
        <f t="shared" si="5"/>
        <v>2015.06</v>
      </c>
      <c r="B279" s="214">
        <v>3962340</v>
      </c>
      <c r="C279" s="3598">
        <v>28750</v>
      </c>
      <c r="D279" s="3598">
        <v>0</v>
      </c>
      <c r="E279" s="111">
        <v>22965</v>
      </c>
      <c r="F279" s="456">
        <v>767330</v>
      </c>
      <c r="G279" s="3598">
        <v>11959</v>
      </c>
      <c r="H279" s="3598">
        <v>0</v>
      </c>
      <c r="I279" s="71">
        <v>3726</v>
      </c>
      <c r="J279" s="456">
        <v>3031076</v>
      </c>
      <c r="K279" s="3598">
        <v>13733</v>
      </c>
      <c r="L279" s="3598">
        <v>0</v>
      </c>
      <c r="M279" s="71">
        <v>18780</v>
      </c>
      <c r="N279" s="456">
        <v>17286</v>
      </c>
      <c r="O279" s="3598">
        <v>0</v>
      </c>
      <c r="P279" s="3598">
        <v>0</v>
      </c>
      <c r="Q279" s="71">
        <v>0</v>
      </c>
      <c r="R279" s="111">
        <v>4531328</v>
      </c>
      <c r="S279" s="3598">
        <v>245595</v>
      </c>
      <c r="T279" s="3598">
        <v>0</v>
      </c>
      <c r="U279" s="71">
        <v>23301</v>
      </c>
      <c r="V279" s="2520">
        <v>66831</v>
      </c>
      <c r="W279" s="2520">
        <v>486041</v>
      </c>
      <c r="X279" s="2518"/>
      <c r="Y279" s="2519"/>
    </row>
    <row r="280" spans="1:25">
      <c r="A280" s="53">
        <f t="shared" si="5"/>
        <v>2015.07</v>
      </c>
      <c r="B280" s="214">
        <v>4192574</v>
      </c>
      <c r="C280" s="3598">
        <v>39810</v>
      </c>
      <c r="D280" s="3598">
        <v>0</v>
      </c>
      <c r="E280" s="111">
        <v>20339</v>
      </c>
      <c r="F280" s="456">
        <v>811611</v>
      </c>
      <c r="G280" s="3598">
        <v>17097</v>
      </c>
      <c r="H280" s="3598">
        <v>0</v>
      </c>
      <c r="I280" s="71">
        <v>3356</v>
      </c>
      <c r="J280" s="456">
        <v>3235315</v>
      </c>
      <c r="K280" s="3598">
        <v>19172</v>
      </c>
      <c r="L280" s="3598">
        <v>0</v>
      </c>
      <c r="M280" s="71">
        <v>16576</v>
      </c>
      <c r="N280" s="456">
        <v>17330</v>
      </c>
      <c r="O280" s="3598">
        <v>0</v>
      </c>
      <c r="P280" s="3598">
        <v>0</v>
      </c>
      <c r="Q280" s="71">
        <v>0</v>
      </c>
      <c r="R280" s="111">
        <v>4768200</v>
      </c>
      <c r="S280" s="3598">
        <v>283996</v>
      </c>
      <c r="T280" s="3598">
        <v>140</v>
      </c>
      <c r="U280" s="71">
        <v>20835</v>
      </c>
      <c r="V280" s="2520">
        <v>76265</v>
      </c>
      <c r="W280" s="2520">
        <v>520472</v>
      </c>
      <c r="X280" s="2518"/>
      <c r="Y280" s="2519"/>
    </row>
    <row r="281" spans="1:25">
      <c r="A281" s="53">
        <f t="shared" si="5"/>
        <v>2015.08</v>
      </c>
      <c r="B281" s="214">
        <v>3662972</v>
      </c>
      <c r="C281" s="3598">
        <v>57280</v>
      </c>
      <c r="D281" s="3598">
        <v>0</v>
      </c>
      <c r="E281" s="111">
        <v>17960</v>
      </c>
      <c r="F281" s="456">
        <v>701191</v>
      </c>
      <c r="G281" s="3598">
        <v>24952</v>
      </c>
      <c r="H281" s="3598">
        <v>0</v>
      </c>
      <c r="I281" s="71">
        <v>3037</v>
      </c>
      <c r="J281" s="456">
        <v>2800187</v>
      </c>
      <c r="K281" s="3598">
        <v>26329</v>
      </c>
      <c r="L281" s="3598">
        <v>0</v>
      </c>
      <c r="M281" s="71">
        <v>14565</v>
      </c>
      <c r="N281" s="456">
        <v>17063</v>
      </c>
      <c r="O281" s="3598">
        <v>0</v>
      </c>
      <c r="P281" s="3598">
        <v>0</v>
      </c>
      <c r="Q281" s="71">
        <v>0</v>
      </c>
      <c r="R281" s="111">
        <v>4270805</v>
      </c>
      <c r="S281" s="3598">
        <v>265382</v>
      </c>
      <c r="T281" s="3598">
        <v>50</v>
      </c>
      <c r="U281" s="71">
        <v>18449</v>
      </c>
      <c r="V281" s="2520">
        <v>63689</v>
      </c>
      <c r="W281" s="2520">
        <v>484165</v>
      </c>
      <c r="X281" s="2518"/>
      <c r="Y281" s="2519"/>
    </row>
    <row r="282" spans="1:25">
      <c r="A282" s="53">
        <f t="shared" si="5"/>
        <v>2015.09</v>
      </c>
      <c r="B282" s="214">
        <v>3275494</v>
      </c>
      <c r="C282" s="3598">
        <v>43412</v>
      </c>
      <c r="D282" s="3598">
        <v>0</v>
      </c>
      <c r="E282" s="111">
        <v>11780</v>
      </c>
      <c r="F282" s="456">
        <v>636013</v>
      </c>
      <c r="G282" s="3598">
        <v>18685</v>
      </c>
      <c r="H282" s="3598">
        <v>0</v>
      </c>
      <c r="I282" s="71">
        <v>1887</v>
      </c>
      <c r="J282" s="456">
        <v>2478329</v>
      </c>
      <c r="K282" s="3598">
        <v>22043</v>
      </c>
      <c r="L282" s="3598">
        <v>0</v>
      </c>
      <c r="M282" s="71">
        <v>9657</v>
      </c>
      <c r="N282" s="456">
        <v>15721</v>
      </c>
      <c r="O282" s="3598">
        <v>0</v>
      </c>
      <c r="P282" s="3598">
        <v>0</v>
      </c>
      <c r="Q282" s="71">
        <v>0</v>
      </c>
      <c r="R282" s="111">
        <v>3830531</v>
      </c>
      <c r="S282" s="3598">
        <v>191515</v>
      </c>
      <c r="T282" s="3598">
        <v>500</v>
      </c>
      <c r="U282" s="71">
        <v>12270</v>
      </c>
      <c r="V282" s="2520">
        <v>63528</v>
      </c>
      <c r="W282" s="2520">
        <v>469082</v>
      </c>
      <c r="X282" s="2518"/>
      <c r="Y282" s="2519"/>
    </row>
    <row r="283" spans="1:25">
      <c r="A283" s="53">
        <f t="shared" si="5"/>
        <v>2015.1</v>
      </c>
      <c r="B283" s="214">
        <v>3305788</v>
      </c>
      <c r="C283" s="3598">
        <v>16229</v>
      </c>
      <c r="D283" s="3598">
        <v>0</v>
      </c>
      <c r="E283" s="111">
        <v>20064</v>
      </c>
      <c r="F283" s="456">
        <v>643099</v>
      </c>
      <c r="G283" s="3598">
        <v>7061</v>
      </c>
      <c r="H283" s="3598">
        <v>0</v>
      </c>
      <c r="I283" s="71">
        <v>2881</v>
      </c>
      <c r="J283" s="456">
        <v>2529356</v>
      </c>
      <c r="K283" s="3598">
        <v>8347</v>
      </c>
      <c r="L283" s="3598">
        <v>0</v>
      </c>
      <c r="M283" s="71">
        <v>16781</v>
      </c>
      <c r="N283" s="456">
        <v>13856</v>
      </c>
      <c r="O283" s="3598">
        <v>0</v>
      </c>
      <c r="P283" s="3598">
        <v>0</v>
      </c>
      <c r="Q283" s="71">
        <v>0</v>
      </c>
      <c r="R283" s="111">
        <v>3892371</v>
      </c>
      <c r="S283" s="3598">
        <v>123299</v>
      </c>
      <c r="T283" s="3598">
        <v>550</v>
      </c>
      <c r="U283" s="71">
        <v>20476</v>
      </c>
      <c r="V283" s="2520">
        <v>64546</v>
      </c>
      <c r="W283" s="2520">
        <v>468872</v>
      </c>
      <c r="X283" s="2518"/>
      <c r="Y283" s="2519"/>
    </row>
    <row r="284" spans="1:25">
      <c r="A284" s="53">
        <f t="shared" si="5"/>
        <v>2015.11</v>
      </c>
      <c r="B284" s="214">
        <v>2650686</v>
      </c>
      <c r="C284" s="3598">
        <v>7589</v>
      </c>
      <c r="D284" s="3598">
        <v>0</v>
      </c>
      <c r="E284" s="111">
        <v>16723</v>
      </c>
      <c r="F284" s="456">
        <v>522396</v>
      </c>
      <c r="G284" s="3598">
        <v>3288</v>
      </c>
      <c r="H284" s="3598">
        <v>0</v>
      </c>
      <c r="I284" s="71">
        <v>2341</v>
      </c>
      <c r="J284" s="456">
        <v>2022174</v>
      </c>
      <c r="K284" s="3598">
        <v>3261</v>
      </c>
      <c r="L284" s="3598">
        <v>0</v>
      </c>
      <c r="M284" s="71">
        <v>14048</v>
      </c>
      <c r="N284" s="456">
        <v>12780</v>
      </c>
      <c r="O284" s="3598">
        <v>0</v>
      </c>
      <c r="P284" s="3598">
        <v>0</v>
      </c>
      <c r="Q284" s="71">
        <v>0</v>
      </c>
      <c r="R284" s="111">
        <v>3006109</v>
      </c>
      <c r="S284" s="3598">
        <v>129689</v>
      </c>
      <c r="T284" s="3598">
        <v>341</v>
      </c>
      <c r="U284" s="71">
        <v>17113</v>
      </c>
      <c r="V284" s="2520">
        <v>73809</v>
      </c>
      <c r="W284" s="2520">
        <v>462873</v>
      </c>
      <c r="X284" s="2518"/>
      <c r="Y284" s="2519"/>
    </row>
    <row r="285" spans="1:25">
      <c r="A285" s="53">
        <f t="shared" si="5"/>
        <v>2015.12</v>
      </c>
      <c r="B285" s="214">
        <v>2323623</v>
      </c>
      <c r="C285" s="3598">
        <v>50807</v>
      </c>
      <c r="D285" s="3598">
        <v>0</v>
      </c>
      <c r="E285" s="111">
        <v>5130</v>
      </c>
      <c r="F285" s="456">
        <v>458666</v>
      </c>
      <c r="G285" s="3598">
        <v>19749</v>
      </c>
      <c r="H285" s="3598">
        <v>0</v>
      </c>
      <c r="I285" s="71">
        <v>804</v>
      </c>
      <c r="J285" s="456">
        <v>1784827</v>
      </c>
      <c r="K285" s="3598">
        <v>20777</v>
      </c>
      <c r="L285" s="3598">
        <v>0</v>
      </c>
      <c r="M285" s="71">
        <v>17417</v>
      </c>
      <c r="N285" s="456">
        <v>13786</v>
      </c>
      <c r="O285" s="3598">
        <v>0</v>
      </c>
      <c r="P285" s="3598">
        <v>0</v>
      </c>
      <c r="Q285" s="71">
        <v>0</v>
      </c>
      <c r="R285" s="111">
        <v>2620964</v>
      </c>
      <c r="S285" s="3598">
        <v>159828</v>
      </c>
      <c r="T285" s="3598">
        <v>0</v>
      </c>
      <c r="U285" s="71">
        <v>5541</v>
      </c>
      <c r="V285" s="2520">
        <v>53823</v>
      </c>
      <c r="W285" s="2520">
        <v>400048</v>
      </c>
      <c r="X285" s="2518"/>
      <c r="Y285" s="2519"/>
    </row>
    <row r="286" spans="1:25">
      <c r="A286" s="53">
        <f t="shared" si="5"/>
        <v>2016.01</v>
      </c>
      <c r="B286" s="214">
        <v>3386549</v>
      </c>
      <c r="C286" s="3598">
        <v>124752</v>
      </c>
      <c r="D286" s="3598">
        <v>0</v>
      </c>
      <c r="E286" s="111">
        <v>0</v>
      </c>
      <c r="F286" s="456">
        <v>668352</v>
      </c>
      <c r="G286" s="3598">
        <v>49993</v>
      </c>
      <c r="H286" s="3598">
        <v>0</v>
      </c>
      <c r="I286" s="71">
        <v>0</v>
      </c>
      <c r="J286" s="456">
        <v>2595341</v>
      </c>
      <c r="K286" s="3598">
        <v>53903</v>
      </c>
      <c r="L286" s="3598">
        <v>0</v>
      </c>
      <c r="M286" s="71">
        <v>0</v>
      </c>
      <c r="N286" s="456">
        <v>14185</v>
      </c>
      <c r="O286" s="3598">
        <v>0</v>
      </c>
      <c r="P286" s="3598">
        <v>0</v>
      </c>
      <c r="Q286" s="71">
        <v>0</v>
      </c>
      <c r="R286" s="111">
        <v>3910467</v>
      </c>
      <c r="S286" s="3598">
        <v>200356</v>
      </c>
      <c r="T286" s="3598">
        <v>0</v>
      </c>
      <c r="U286" s="71">
        <v>308</v>
      </c>
      <c r="V286" s="2520">
        <v>52075</v>
      </c>
      <c r="W286" s="2520">
        <v>371533</v>
      </c>
      <c r="X286" s="2518"/>
      <c r="Y286" s="2519"/>
    </row>
    <row r="287" spans="1:25">
      <c r="A287" s="53">
        <f t="shared" si="5"/>
        <v>2016.02</v>
      </c>
      <c r="B287" s="214">
        <v>2793951</v>
      </c>
      <c r="C287" s="3598">
        <v>116325</v>
      </c>
      <c r="D287" s="3598">
        <v>0</v>
      </c>
      <c r="E287" s="111">
        <v>0</v>
      </c>
      <c r="F287" s="456">
        <v>548186</v>
      </c>
      <c r="G287" s="3598">
        <v>44707</v>
      </c>
      <c r="H287" s="3598">
        <v>0</v>
      </c>
      <c r="I287" s="71">
        <v>0</v>
      </c>
      <c r="J287" s="456">
        <v>2147221</v>
      </c>
      <c r="K287" s="3598">
        <v>49745</v>
      </c>
      <c r="L287" s="3598">
        <v>0</v>
      </c>
      <c r="M287" s="71">
        <v>0</v>
      </c>
      <c r="N287" s="456">
        <v>10365</v>
      </c>
      <c r="O287" s="3598">
        <v>0</v>
      </c>
      <c r="P287" s="3598">
        <v>0</v>
      </c>
      <c r="Q287" s="71">
        <v>0</v>
      </c>
      <c r="R287" s="111">
        <v>3205307</v>
      </c>
      <c r="S287" s="3598">
        <v>278630</v>
      </c>
      <c r="T287" s="3598">
        <v>0</v>
      </c>
      <c r="U287" s="71">
        <v>167</v>
      </c>
      <c r="V287" s="2520">
        <v>51721</v>
      </c>
      <c r="W287" s="2520">
        <v>403725</v>
      </c>
      <c r="X287" s="2518"/>
      <c r="Y287" s="2519"/>
    </row>
    <row r="288" spans="1:25">
      <c r="A288" s="53">
        <f t="shared" si="5"/>
        <v>2016.03</v>
      </c>
      <c r="B288" s="214">
        <v>2884414</v>
      </c>
      <c r="C288" s="3598">
        <v>123771</v>
      </c>
      <c r="D288" s="3598">
        <v>0</v>
      </c>
      <c r="E288" s="111">
        <v>0</v>
      </c>
      <c r="F288" s="456">
        <v>572999</v>
      </c>
      <c r="G288" s="3598">
        <v>49495</v>
      </c>
      <c r="H288" s="3598">
        <v>0</v>
      </c>
      <c r="I288" s="71">
        <v>0</v>
      </c>
      <c r="J288" s="456">
        <v>2195375</v>
      </c>
      <c r="K288" s="3598">
        <v>55224</v>
      </c>
      <c r="L288" s="3598">
        <v>0</v>
      </c>
      <c r="M288" s="71">
        <v>0</v>
      </c>
      <c r="N288" s="456">
        <v>13452</v>
      </c>
      <c r="O288" s="3598">
        <v>0</v>
      </c>
      <c r="P288" s="3598">
        <v>0</v>
      </c>
      <c r="Q288" s="71">
        <v>0</v>
      </c>
      <c r="R288" s="111">
        <v>3230589</v>
      </c>
      <c r="S288" s="3598">
        <v>411584</v>
      </c>
      <c r="T288" s="3598">
        <v>0</v>
      </c>
      <c r="U288" s="71">
        <v>210</v>
      </c>
      <c r="V288" s="2520">
        <v>65950</v>
      </c>
      <c r="W288" s="2520">
        <v>465317</v>
      </c>
      <c r="X288" s="2518"/>
      <c r="Y288" s="2519"/>
    </row>
    <row r="289" spans="1:25">
      <c r="A289" s="53">
        <f t="shared" si="5"/>
        <v>2016.04</v>
      </c>
      <c r="B289" s="214">
        <v>3300647</v>
      </c>
      <c r="C289" s="3598">
        <v>121682</v>
      </c>
      <c r="D289" s="3598">
        <v>0</v>
      </c>
      <c r="E289" s="111">
        <v>0</v>
      </c>
      <c r="F289" s="456">
        <v>653292</v>
      </c>
      <c r="G289" s="3598">
        <v>48914</v>
      </c>
      <c r="H289" s="3598">
        <v>0</v>
      </c>
      <c r="I289" s="71">
        <v>0</v>
      </c>
      <c r="J289" s="456">
        <v>2513017</v>
      </c>
      <c r="K289" s="3598">
        <v>54404</v>
      </c>
      <c r="L289" s="3598">
        <v>0</v>
      </c>
      <c r="M289" s="71">
        <v>0</v>
      </c>
      <c r="N289" s="456">
        <v>10564</v>
      </c>
      <c r="O289" s="3598">
        <v>0</v>
      </c>
      <c r="P289" s="3598">
        <v>0</v>
      </c>
      <c r="Q289" s="71">
        <v>0</v>
      </c>
      <c r="R289" s="111">
        <v>3728116</v>
      </c>
      <c r="S289" s="3598">
        <v>387656</v>
      </c>
      <c r="T289" s="3598">
        <v>147</v>
      </c>
      <c r="U289" s="71">
        <v>349</v>
      </c>
      <c r="V289" s="2520">
        <v>60778</v>
      </c>
      <c r="W289" s="2520">
        <v>471310</v>
      </c>
      <c r="X289" s="2518"/>
      <c r="Y289" s="2519"/>
    </row>
    <row r="290" spans="1:25">
      <c r="A290" s="53">
        <f t="shared" si="5"/>
        <v>2016.05</v>
      </c>
      <c r="B290" s="214">
        <v>3754595</v>
      </c>
      <c r="C290" s="3598">
        <v>83447</v>
      </c>
      <c r="D290" s="3598">
        <v>0</v>
      </c>
      <c r="E290" s="111">
        <v>9724</v>
      </c>
      <c r="F290" s="456">
        <v>732900</v>
      </c>
      <c r="G290" s="3598">
        <v>34279</v>
      </c>
      <c r="H290" s="3598">
        <v>0</v>
      </c>
      <c r="I290" s="71">
        <v>1466</v>
      </c>
      <c r="J290" s="456">
        <v>2823234</v>
      </c>
      <c r="K290" s="3598">
        <v>37940</v>
      </c>
      <c r="L290" s="3598">
        <v>0</v>
      </c>
      <c r="M290" s="71">
        <v>6542</v>
      </c>
      <c r="N290" s="456">
        <v>14103</v>
      </c>
      <c r="O290" s="3598">
        <v>0</v>
      </c>
      <c r="P290" s="3598">
        <v>0</v>
      </c>
      <c r="Q290" s="71">
        <v>0</v>
      </c>
      <c r="R290" s="111">
        <v>4351900</v>
      </c>
      <c r="S290" s="3598">
        <v>217533</v>
      </c>
      <c r="T290" s="3598">
        <v>211</v>
      </c>
      <c r="U290" s="71">
        <v>10319</v>
      </c>
      <c r="V290" s="2520">
        <v>63856</v>
      </c>
      <c r="W290" s="2520">
        <v>488888</v>
      </c>
      <c r="X290" s="2518"/>
      <c r="Y290" s="2519"/>
    </row>
    <row r="291" spans="1:25">
      <c r="A291" s="53">
        <f t="shared" si="5"/>
        <v>2016.06</v>
      </c>
      <c r="B291" s="214">
        <v>3574352</v>
      </c>
      <c r="C291" s="3598">
        <v>95850</v>
      </c>
      <c r="D291" s="3598">
        <v>0</v>
      </c>
      <c r="E291" s="111">
        <v>8646</v>
      </c>
      <c r="F291" s="456">
        <v>703710</v>
      </c>
      <c r="G291" s="3598">
        <v>39605</v>
      </c>
      <c r="H291" s="3598">
        <v>0</v>
      </c>
      <c r="I291" s="71">
        <v>1485</v>
      </c>
      <c r="J291" s="456">
        <v>2740501</v>
      </c>
      <c r="K291" s="3598">
        <v>41330</v>
      </c>
      <c r="L291" s="3598">
        <v>0</v>
      </c>
      <c r="M291" s="71">
        <v>6195</v>
      </c>
      <c r="N291" s="456">
        <v>14793</v>
      </c>
      <c r="O291" s="3598">
        <v>0</v>
      </c>
      <c r="P291" s="3598">
        <v>0</v>
      </c>
      <c r="Q291" s="71">
        <v>0</v>
      </c>
      <c r="R291" s="111">
        <v>4045934</v>
      </c>
      <c r="S291" s="3598">
        <v>309359</v>
      </c>
      <c r="T291" s="3598">
        <v>71</v>
      </c>
      <c r="U291" s="71">
        <v>9121</v>
      </c>
      <c r="V291" s="2520">
        <v>63544</v>
      </c>
      <c r="W291" s="2520">
        <v>471927</v>
      </c>
      <c r="X291" s="2518"/>
      <c r="Y291" s="2519"/>
    </row>
    <row r="292" spans="1:25">
      <c r="A292" s="53">
        <f t="shared" si="5"/>
        <v>2016.07</v>
      </c>
      <c r="B292" s="214">
        <v>3455037</v>
      </c>
      <c r="C292" s="3598">
        <v>53006</v>
      </c>
      <c r="D292" s="3598">
        <v>0</v>
      </c>
      <c r="E292" s="111">
        <v>10438</v>
      </c>
      <c r="F292" s="456">
        <v>682106</v>
      </c>
      <c r="G292" s="3598">
        <v>21597</v>
      </c>
      <c r="H292" s="3598">
        <v>0</v>
      </c>
      <c r="I292" s="71">
        <v>1637</v>
      </c>
      <c r="J292" s="456">
        <v>2635287</v>
      </c>
      <c r="K292" s="3598">
        <v>22714</v>
      </c>
      <c r="L292" s="3598">
        <v>0</v>
      </c>
      <c r="M292" s="71">
        <v>7513</v>
      </c>
      <c r="N292" s="456">
        <v>13620</v>
      </c>
      <c r="O292" s="3598">
        <v>0</v>
      </c>
      <c r="P292" s="3598">
        <v>0</v>
      </c>
      <c r="Q292" s="71">
        <v>0</v>
      </c>
      <c r="R292" s="111">
        <v>3975717</v>
      </c>
      <c r="S292" s="3598">
        <v>222617</v>
      </c>
      <c r="T292" s="3598">
        <v>373</v>
      </c>
      <c r="U292" s="71">
        <v>11165</v>
      </c>
      <c r="V292" s="2520">
        <v>61868</v>
      </c>
      <c r="W292" s="2520">
        <v>472164</v>
      </c>
      <c r="X292" s="2518"/>
      <c r="Y292" s="2519"/>
    </row>
    <row r="293" spans="1:25">
      <c r="A293" s="53">
        <f t="shared" si="5"/>
        <v>2016.08</v>
      </c>
      <c r="B293" s="214">
        <v>3195019</v>
      </c>
      <c r="C293" s="3598">
        <v>65915</v>
      </c>
      <c r="D293" s="3598">
        <v>0</v>
      </c>
      <c r="E293" s="111">
        <v>18083</v>
      </c>
      <c r="F293" s="456">
        <v>618095</v>
      </c>
      <c r="G293" s="3598">
        <v>26712</v>
      </c>
      <c r="H293" s="3598">
        <v>0</v>
      </c>
      <c r="I293" s="71">
        <v>2796</v>
      </c>
      <c r="J293" s="456">
        <v>2441783</v>
      </c>
      <c r="K293" s="3598">
        <v>29621</v>
      </c>
      <c r="L293" s="3598">
        <v>0</v>
      </c>
      <c r="M293" s="71">
        <v>9933</v>
      </c>
      <c r="N293" s="456">
        <v>13858</v>
      </c>
      <c r="O293" s="3598">
        <v>0</v>
      </c>
      <c r="P293" s="3598">
        <v>0</v>
      </c>
      <c r="Q293" s="71">
        <v>0</v>
      </c>
      <c r="R293" s="111">
        <v>3756860</v>
      </c>
      <c r="S293" s="3598">
        <v>229743</v>
      </c>
      <c r="T293" s="3598">
        <v>480</v>
      </c>
      <c r="U293" s="71">
        <v>18735</v>
      </c>
      <c r="V293" s="2520">
        <v>67757</v>
      </c>
      <c r="W293" s="2520">
        <v>491424</v>
      </c>
      <c r="X293" s="2518"/>
      <c r="Y293" s="2519"/>
    </row>
    <row r="294" spans="1:25">
      <c r="A294" s="53">
        <f t="shared" si="5"/>
        <v>2016.09</v>
      </c>
      <c r="B294" s="214">
        <v>2955564</v>
      </c>
      <c r="C294" s="3598">
        <v>27576</v>
      </c>
      <c r="D294" s="3598">
        <v>0</v>
      </c>
      <c r="E294" s="111">
        <v>4365</v>
      </c>
      <c r="F294" s="456">
        <v>592380</v>
      </c>
      <c r="G294" s="3598">
        <v>10799</v>
      </c>
      <c r="H294" s="3598">
        <v>0</v>
      </c>
      <c r="I294" s="71">
        <v>758</v>
      </c>
      <c r="J294" s="456">
        <v>2262728</v>
      </c>
      <c r="K294" s="3598">
        <v>13864</v>
      </c>
      <c r="L294" s="3598">
        <v>0</v>
      </c>
      <c r="M294" s="71">
        <v>3481</v>
      </c>
      <c r="N294" s="456">
        <v>11964</v>
      </c>
      <c r="O294" s="3598">
        <v>0</v>
      </c>
      <c r="P294" s="3598">
        <v>0</v>
      </c>
      <c r="Q294" s="71">
        <v>0</v>
      </c>
      <c r="R294" s="111">
        <v>3540968</v>
      </c>
      <c r="S294" s="3598">
        <v>122460</v>
      </c>
      <c r="T294" s="3598">
        <v>917</v>
      </c>
      <c r="U294" s="71">
        <v>5047</v>
      </c>
      <c r="V294" s="2520">
        <v>65898</v>
      </c>
      <c r="W294" s="2520">
        <v>483799</v>
      </c>
      <c r="X294" s="2518"/>
      <c r="Y294" s="2519"/>
    </row>
    <row r="295" spans="1:25">
      <c r="A295" s="53">
        <f t="shared" si="5"/>
        <v>2016.1</v>
      </c>
      <c r="B295" s="214">
        <v>3118618</v>
      </c>
      <c r="C295" s="3598">
        <v>15182</v>
      </c>
      <c r="D295" s="3598">
        <v>0</v>
      </c>
      <c r="E295" s="111">
        <v>0</v>
      </c>
      <c r="F295" s="456">
        <v>619305</v>
      </c>
      <c r="G295" s="3598">
        <v>6559</v>
      </c>
      <c r="H295" s="3598">
        <v>0</v>
      </c>
      <c r="I295" s="71">
        <v>0</v>
      </c>
      <c r="J295" s="456">
        <v>2386741</v>
      </c>
      <c r="K295" s="3598">
        <v>8141</v>
      </c>
      <c r="L295" s="3598">
        <v>0</v>
      </c>
      <c r="M295" s="71">
        <v>0</v>
      </c>
      <c r="N295" s="456">
        <v>13161</v>
      </c>
      <c r="O295" s="3598">
        <v>0</v>
      </c>
      <c r="P295" s="3598">
        <v>0</v>
      </c>
      <c r="Q295" s="71">
        <v>0</v>
      </c>
      <c r="R295" s="111">
        <v>3705761</v>
      </c>
      <c r="S295" s="3598">
        <v>129406</v>
      </c>
      <c r="T295" s="3598">
        <v>430</v>
      </c>
      <c r="U295" s="71">
        <v>489</v>
      </c>
      <c r="V295" s="2520">
        <v>56541</v>
      </c>
      <c r="W295" s="2520">
        <v>440312</v>
      </c>
      <c r="X295" s="2518"/>
      <c r="Y295" s="2519"/>
    </row>
    <row r="296" spans="1:25">
      <c r="A296" s="53">
        <f t="shared" si="5"/>
        <v>2016.11</v>
      </c>
      <c r="B296" s="214">
        <v>3267947</v>
      </c>
      <c r="C296" s="3598">
        <v>2099</v>
      </c>
      <c r="D296" s="3598">
        <v>0</v>
      </c>
      <c r="E296" s="111">
        <v>0</v>
      </c>
      <c r="F296" s="456">
        <v>641919</v>
      </c>
      <c r="G296" s="3598">
        <v>919</v>
      </c>
      <c r="H296" s="3598">
        <v>0</v>
      </c>
      <c r="I296" s="71">
        <v>0</v>
      </c>
      <c r="J296" s="456">
        <v>2498235</v>
      </c>
      <c r="K296" s="3598">
        <v>1118</v>
      </c>
      <c r="L296" s="3598">
        <v>0</v>
      </c>
      <c r="M296" s="71">
        <v>0</v>
      </c>
      <c r="N296" s="456">
        <v>12454</v>
      </c>
      <c r="O296" s="3598">
        <v>0</v>
      </c>
      <c r="P296" s="3598">
        <v>0</v>
      </c>
      <c r="Q296" s="71">
        <v>0</v>
      </c>
      <c r="R296" s="111">
        <v>3645433</v>
      </c>
      <c r="S296" s="3598">
        <v>93321</v>
      </c>
      <c r="T296" s="3598">
        <v>560</v>
      </c>
      <c r="U296" s="71">
        <v>330</v>
      </c>
      <c r="V296" s="2520">
        <v>62412</v>
      </c>
      <c r="W296" s="2520">
        <v>455098</v>
      </c>
      <c r="X296" s="2518"/>
      <c r="Y296" s="2519"/>
    </row>
    <row r="297" spans="1:25">
      <c r="A297" s="53">
        <f t="shared" si="5"/>
        <v>2016.12</v>
      </c>
      <c r="B297" s="214">
        <v>2852057</v>
      </c>
      <c r="C297" s="3598">
        <v>42979</v>
      </c>
      <c r="D297" s="3598">
        <v>0</v>
      </c>
      <c r="E297" s="111">
        <v>0</v>
      </c>
      <c r="F297" s="456">
        <v>558803</v>
      </c>
      <c r="G297" s="3598">
        <v>16924</v>
      </c>
      <c r="H297" s="3598">
        <v>0</v>
      </c>
      <c r="I297" s="71">
        <v>0</v>
      </c>
      <c r="J297" s="456">
        <v>2186113</v>
      </c>
      <c r="K297" s="3598">
        <v>19410</v>
      </c>
      <c r="L297" s="3598">
        <v>0</v>
      </c>
      <c r="M297" s="71">
        <v>0</v>
      </c>
      <c r="N297" s="456">
        <v>12056</v>
      </c>
      <c r="O297" s="3598">
        <v>0</v>
      </c>
      <c r="P297" s="3598">
        <v>0</v>
      </c>
      <c r="Q297" s="71">
        <v>0</v>
      </c>
      <c r="R297" s="111">
        <v>3388459</v>
      </c>
      <c r="S297" s="3598">
        <v>139675</v>
      </c>
      <c r="T297" s="3598">
        <v>90</v>
      </c>
      <c r="U297" s="71">
        <v>0</v>
      </c>
      <c r="V297" s="2520">
        <v>59582</v>
      </c>
      <c r="W297" s="2520">
        <v>431699</v>
      </c>
      <c r="X297" s="2518"/>
      <c r="Y297" s="2519"/>
    </row>
    <row r="298" spans="1:25">
      <c r="A298" s="53">
        <f t="shared" si="5"/>
        <v>2017.01</v>
      </c>
      <c r="B298" s="214">
        <v>2509684</v>
      </c>
      <c r="C298" s="3598">
        <v>174626</v>
      </c>
      <c r="D298" s="3598">
        <v>0</v>
      </c>
      <c r="E298" s="111">
        <v>0</v>
      </c>
      <c r="F298" s="456">
        <v>495510</v>
      </c>
      <c r="G298" s="3598">
        <v>69803</v>
      </c>
      <c r="H298" s="3598">
        <v>0</v>
      </c>
      <c r="I298" s="71">
        <v>0</v>
      </c>
      <c r="J298" s="456">
        <v>1929504</v>
      </c>
      <c r="K298" s="3598">
        <v>80627</v>
      </c>
      <c r="L298" s="3598">
        <v>0</v>
      </c>
      <c r="M298" s="71">
        <v>0</v>
      </c>
      <c r="N298" s="456">
        <v>11297</v>
      </c>
      <c r="O298" s="3598">
        <v>0</v>
      </c>
      <c r="P298" s="3598">
        <v>0</v>
      </c>
      <c r="Q298" s="71">
        <v>0</v>
      </c>
      <c r="R298" s="111">
        <v>2966406</v>
      </c>
      <c r="S298" s="3598">
        <v>308973</v>
      </c>
      <c r="T298" s="3598">
        <v>671</v>
      </c>
      <c r="U298" s="71">
        <v>0</v>
      </c>
      <c r="V298" s="2520">
        <v>60067</v>
      </c>
      <c r="W298" s="2520">
        <v>436050</v>
      </c>
      <c r="X298" s="2518"/>
      <c r="Y298" s="2519"/>
    </row>
    <row r="299" spans="1:25">
      <c r="A299" s="53">
        <f t="shared" si="5"/>
        <v>2017.02</v>
      </c>
      <c r="B299" s="214">
        <v>2270106</v>
      </c>
      <c r="C299" s="3598">
        <v>155736</v>
      </c>
      <c r="D299" s="3598">
        <v>0</v>
      </c>
      <c r="E299" s="111">
        <v>0</v>
      </c>
      <c r="F299" s="456">
        <v>441980</v>
      </c>
      <c r="G299" s="3598">
        <v>62142</v>
      </c>
      <c r="H299" s="3598">
        <v>0</v>
      </c>
      <c r="I299" s="71">
        <v>0</v>
      </c>
      <c r="J299" s="456">
        <v>1738711</v>
      </c>
      <c r="K299" s="3598">
        <v>71482</v>
      </c>
      <c r="L299" s="3598">
        <v>0</v>
      </c>
      <c r="M299" s="71">
        <v>0</v>
      </c>
      <c r="N299" s="456">
        <v>10669</v>
      </c>
      <c r="O299" s="3598">
        <v>0</v>
      </c>
      <c r="P299" s="3598">
        <v>0</v>
      </c>
      <c r="Q299" s="71">
        <v>0</v>
      </c>
      <c r="R299" s="111">
        <v>2623432</v>
      </c>
      <c r="S299" s="3598">
        <v>203940</v>
      </c>
      <c r="T299" s="3598">
        <v>520</v>
      </c>
      <c r="U299" s="71">
        <v>0</v>
      </c>
      <c r="V299" s="2520">
        <v>58649</v>
      </c>
      <c r="W299" s="2520">
        <v>418870</v>
      </c>
      <c r="X299" s="2518"/>
      <c r="Y299" s="2519"/>
    </row>
    <row r="300" spans="1:25">
      <c r="A300" s="53">
        <f t="shared" si="5"/>
        <v>2017.03</v>
      </c>
      <c r="B300" s="214">
        <v>2936368</v>
      </c>
      <c r="C300" s="3598">
        <v>170030</v>
      </c>
      <c r="D300" s="3598">
        <v>0</v>
      </c>
      <c r="E300" s="111">
        <v>0</v>
      </c>
      <c r="F300" s="456">
        <v>576883</v>
      </c>
      <c r="G300" s="3598">
        <v>68337</v>
      </c>
      <c r="H300" s="3598">
        <v>0</v>
      </c>
      <c r="I300" s="71">
        <v>0</v>
      </c>
      <c r="J300" s="456">
        <v>2279974</v>
      </c>
      <c r="K300" s="3598">
        <v>77063</v>
      </c>
      <c r="L300" s="3598">
        <v>0</v>
      </c>
      <c r="M300" s="71">
        <v>0</v>
      </c>
      <c r="N300" s="456">
        <v>12036</v>
      </c>
      <c r="O300" s="3598">
        <v>0</v>
      </c>
      <c r="P300" s="3598">
        <v>0</v>
      </c>
      <c r="Q300" s="71">
        <v>0</v>
      </c>
      <c r="R300" s="111">
        <v>3358121</v>
      </c>
      <c r="S300" s="3598">
        <v>416095</v>
      </c>
      <c r="T300" s="3598">
        <v>433</v>
      </c>
      <c r="U300" s="71">
        <v>94</v>
      </c>
      <c r="V300" s="2520">
        <v>63657</v>
      </c>
      <c r="W300" s="2520">
        <v>504646</v>
      </c>
      <c r="X300" s="2518"/>
      <c r="Y300" s="2519"/>
    </row>
    <row r="301" spans="1:25">
      <c r="A301" s="53">
        <f t="shared" si="5"/>
        <v>2017.04</v>
      </c>
      <c r="B301" s="214">
        <v>3560752</v>
      </c>
      <c r="C301" s="3598">
        <v>148585</v>
      </c>
      <c r="D301" s="3598">
        <v>0</v>
      </c>
      <c r="E301" s="111">
        <v>0</v>
      </c>
      <c r="F301" s="456">
        <v>698094</v>
      </c>
      <c r="G301" s="3598">
        <v>59994</v>
      </c>
      <c r="H301" s="3598">
        <v>0</v>
      </c>
      <c r="I301" s="71">
        <v>0</v>
      </c>
      <c r="J301" s="456">
        <v>2689740</v>
      </c>
      <c r="K301" s="3598">
        <v>65978</v>
      </c>
      <c r="L301" s="3598">
        <v>0</v>
      </c>
      <c r="M301" s="71">
        <v>0</v>
      </c>
      <c r="N301" s="456">
        <v>13416</v>
      </c>
      <c r="O301" s="3598">
        <v>0</v>
      </c>
      <c r="P301" s="3598">
        <v>0</v>
      </c>
      <c r="Q301" s="71">
        <v>0</v>
      </c>
      <c r="R301" s="111">
        <v>3997905</v>
      </c>
      <c r="S301" s="3598">
        <v>433761</v>
      </c>
      <c r="T301" s="3598">
        <v>50</v>
      </c>
      <c r="U301" s="71">
        <v>121</v>
      </c>
      <c r="V301" s="2520">
        <v>59793</v>
      </c>
      <c r="W301" s="2520">
        <v>474278</v>
      </c>
      <c r="X301" s="2518"/>
      <c r="Y301" s="2519"/>
    </row>
    <row r="302" spans="1:25">
      <c r="A302" s="53">
        <f t="shared" si="5"/>
        <v>2017.05</v>
      </c>
      <c r="B302" s="214">
        <v>3972738</v>
      </c>
      <c r="C302" s="3598">
        <v>91255</v>
      </c>
      <c r="D302" s="3598">
        <v>0</v>
      </c>
      <c r="E302" s="111">
        <v>10248</v>
      </c>
      <c r="F302" s="456">
        <v>767842</v>
      </c>
      <c r="G302" s="3598">
        <v>36960</v>
      </c>
      <c r="H302" s="3598">
        <v>0</v>
      </c>
      <c r="I302" s="71">
        <v>1639</v>
      </c>
      <c r="J302" s="456">
        <v>3012678</v>
      </c>
      <c r="K302" s="3598">
        <v>41505</v>
      </c>
      <c r="L302" s="3598">
        <v>0</v>
      </c>
      <c r="M302" s="71">
        <v>7601</v>
      </c>
      <c r="N302" s="456">
        <v>14301</v>
      </c>
      <c r="O302" s="3598">
        <v>0</v>
      </c>
      <c r="P302" s="3598">
        <v>0</v>
      </c>
      <c r="Q302" s="71">
        <v>0</v>
      </c>
      <c r="R302" s="111">
        <v>4523524</v>
      </c>
      <c r="S302" s="3598">
        <v>315786</v>
      </c>
      <c r="T302" s="3598">
        <v>252</v>
      </c>
      <c r="U302" s="71">
        <v>10419</v>
      </c>
      <c r="V302" s="2520">
        <v>71320</v>
      </c>
      <c r="W302" s="2520">
        <v>511351</v>
      </c>
      <c r="X302" s="2518"/>
      <c r="Y302" s="2519"/>
    </row>
    <row r="303" spans="1:25">
      <c r="A303" s="53">
        <f t="shared" si="5"/>
        <v>2017.06</v>
      </c>
      <c r="B303" s="214">
        <v>3259934</v>
      </c>
      <c r="C303" s="3598">
        <v>84267</v>
      </c>
      <c r="D303" s="3598">
        <v>0</v>
      </c>
      <c r="E303" s="111">
        <v>12295</v>
      </c>
      <c r="F303" s="456">
        <v>629762</v>
      </c>
      <c r="G303" s="3598">
        <v>34590</v>
      </c>
      <c r="H303" s="3598">
        <v>0</v>
      </c>
      <c r="I303" s="71">
        <v>1968</v>
      </c>
      <c r="J303" s="456">
        <v>2468416</v>
      </c>
      <c r="K303" s="3598">
        <v>35532</v>
      </c>
      <c r="L303" s="3598">
        <v>0</v>
      </c>
      <c r="M303" s="71">
        <v>9042</v>
      </c>
      <c r="N303" s="456">
        <v>14906</v>
      </c>
      <c r="O303" s="3598">
        <v>0</v>
      </c>
      <c r="P303" s="3598">
        <v>0</v>
      </c>
      <c r="Q303" s="71">
        <v>0</v>
      </c>
      <c r="R303" s="111">
        <v>3864808</v>
      </c>
      <c r="S303" s="3598">
        <v>251376</v>
      </c>
      <c r="T303" s="3598">
        <v>701</v>
      </c>
      <c r="U303" s="71">
        <v>12717</v>
      </c>
      <c r="V303" s="2520">
        <v>68816</v>
      </c>
      <c r="W303" s="2520">
        <v>499301</v>
      </c>
      <c r="X303" s="2518"/>
      <c r="Y303" s="2519"/>
    </row>
    <row r="304" spans="1:25">
      <c r="A304" s="53">
        <f t="shared" si="5"/>
        <v>2017.07</v>
      </c>
      <c r="B304" s="214">
        <v>3744394</v>
      </c>
      <c r="C304" s="3598">
        <v>76696</v>
      </c>
      <c r="D304" s="3598">
        <v>0</v>
      </c>
      <c r="E304" s="111">
        <v>0</v>
      </c>
      <c r="F304" s="456">
        <v>723317</v>
      </c>
      <c r="G304" s="3598">
        <v>31783</v>
      </c>
      <c r="H304" s="3598">
        <v>0</v>
      </c>
      <c r="I304" s="71">
        <v>0</v>
      </c>
      <c r="J304" s="456">
        <v>2842121</v>
      </c>
      <c r="K304" s="3598">
        <v>31946</v>
      </c>
      <c r="L304" s="3598">
        <v>0</v>
      </c>
      <c r="M304" s="71">
        <v>0</v>
      </c>
      <c r="N304" s="456">
        <v>14527</v>
      </c>
      <c r="O304" s="3598">
        <v>0</v>
      </c>
      <c r="P304" s="3598">
        <v>0</v>
      </c>
      <c r="Q304" s="71">
        <v>0</v>
      </c>
      <c r="R304" s="111">
        <v>4304897</v>
      </c>
      <c r="S304" s="3598">
        <v>317867</v>
      </c>
      <c r="T304" s="3598">
        <v>672</v>
      </c>
      <c r="U304" s="71">
        <v>494</v>
      </c>
      <c r="V304" s="2520">
        <v>62538</v>
      </c>
      <c r="W304" s="2520">
        <v>486502</v>
      </c>
      <c r="X304" s="2518"/>
      <c r="Y304" s="2519"/>
    </row>
    <row r="305" spans="1:25">
      <c r="A305" s="53">
        <f t="shared" si="5"/>
        <v>2017.08</v>
      </c>
      <c r="B305" s="214">
        <v>3170909</v>
      </c>
      <c r="C305" s="3598">
        <v>82570</v>
      </c>
      <c r="D305" s="3598">
        <v>0</v>
      </c>
      <c r="E305" s="111">
        <v>21163</v>
      </c>
      <c r="F305" s="456">
        <v>621226</v>
      </c>
      <c r="G305" s="3598">
        <v>34092</v>
      </c>
      <c r="H305" s="3598">
        <v>0</v>
      </c>
      <c r="I305" s="71">
        <v>3213</v>
      </c>
      <c r="J305" s="456">
        <v>2409865</v>
      </c>
      <c r="K305" s="3598">
        <v>37676</v>
      </c>
      <c r="L305" s="3598">
        <v>0</v>
      </c>
      <c r="M305" s="71">
        <v>15560</v>
      </c>
      <c r="N305" s="456">
        <v>18018</v>
      </c>
      <c r="O305" s="3598">
        <v>0</v>
      </c>
      <c r="P305" s="3598">
        <v>0</v>
      </c>
      <c r="Q305" s="71">
        <v>0</v>
      </c>
      <c r="R305" s="111">
        <v>3726921</v>
      </c>
      <c r="S305" s="3598">
        <v>300018</v>
      </c>
      <c r="T305" s="3598">
        <v>1152</v>
      </c>
      <c r="U305" s="71">
        <v>21838</v>
      </c>
      <c r="V305" s="2520">
        <v>66936</v>
      </c>
      <c r="W305" s="2520">
        <v>492051</v>
      </c>
      <c r="X305" s="2518"/>
      <c r="Y305" s="2519"/>
    </row>
    <row r="306" spans="1:25">
      <c r="A306" s="53">
        <f t="shared" si="5"/>
        <v>2017.09</v>
      </c>
      <c r="B306" s="214">
        <v>2898390</v>
      </c>
      <c r="C306" s="3598">
        <v>52889</v>
      </c>
      <c r="D306" s="3598">
        <v>0</v>
      </c>
      <c r="E306" s="111">
        <v>568</v>
      </c>
      <c r="F306" s="456">
        <v>566690</v>
      </c>
      <c r="G306" s="3598">
        <v>22093</v>
      </c>
      <c r="H306" s="3598">
        <v>0</v>
      </c>
      <c r="I306" s="71">
        <v>99</v>
      </c>
      <c r="J306" s="456">
        <v>2209112</v>
      </c>
      <c r="K306" s="3598">
        <v>23897</v>
      </c>
      <c r="L306" s="3598">
        <v>0</v>
      </c>
      <c r="M306" s="71">
        <v>442</v>
      </c>
      <c r="N306" s="456">
        <v>14079</v>
      </c>
      <c r="O306" s="3598">
        <v>0</v>
      </c>
      <c r="P306" s="3598">
        <v>0</v>
      </c>
      <c r="Q306" s="71">
        <v>0</v>
      </c>
      <c r="R306" s="111">
        <v>3244205</v>
      </c>
      <c r="S306" s="3598">
        <v>208766</v>
      </c>
      <c r="T306" s="3598">
        <v>500</v>
      </c>
      <c r="U306" s="71">
        <v>1252</v>
      </c>
      <c r="V306" s="2520">
        <v>65317</v>
      </c>
      <c r="W306" s="2520">
        <v>481753</v>
      </c>
      <c r="X306" s="2518"/>
      <c r="Y306" s="2519"/>
    </row>
    <row r="307" spans="1:25">
      <c r="A307" s="53">
        <f t="shared" si="5"/>
        <v>2017.1</v>
      </c>
      <c r="B307" s="214">
        <v>3051844</v>
      </c>
      <c r="C307" s="3598">
        <v>50955</v>
      </c>
      <c r="D307" s="3598">
        <v>0</v>
      </c>
      <c r="E307" s="111">
        <v>0</v>
      </c>
      <c r="F307" s="456">
        <v>587732</v>
      </c>
      <c r="G307" s="3598">
        <v>19262</v>
      </c>
      <c r="H307" s="3598">
        <v>0</v>
      </c>
      <c r="I307" s="71">
        <v>0</v>
      </c>
      <c r="J307" s="456">
        <v>2294366</v>
      </c>
      <c r="K307" s="3598">
        <v>24928</v>
      </c>
      <c r="L307" s="3598">
        <v>0</v>
      </c>
      <c r="M307" s="71">
        <v>0</v>
      </c>
      <c r="N307" s="456">
        <v>14867</v>
      </c>
      <c r="O307" s="3598">
        <v>0</v>
      </c>
      <c r="P307" s="3598">
        <v>0</v>
      </c>
      <c r="Q307" s="71">
        <v>0</v>
      </c>
      <c r="R307" s="111">
        <v>3580292</v>
      </c>
      <c r="S307" s="3598">
        <v>182890</v>
      </c>
      <c r="T307" s="3598">
        <v>900</v>
      </c>
      <c r="U307" s="71">
        <v>475</v>
      </c>
      <c r="V307" s="2520">
        <v>65811</v>
      </c>
      <c r="W307" s="2520">
        <v>461805</v>
      </c>
      <c r="X307" s="2518"/>
      <c r="Y307" s="2519"/>
    </row>
    <row r="308" spans="1:25">
      <c r="A308" s="53">
        <f t="shared" si="5"/>
        <v>2017.11</v>
      </c>
      <c r="B308" s="214">
        <v>2672896</v>
      </c>
      <c r="C308" s="3598">
        <v>9591</v>
      </c>
      <c r="D308" s="3598">
        <v>0</v>
      </c>
      <c r="E308" s="111">
        <v>0</v>
      </c>
      <c r="F308" s="456">
        <v>521114</v>
      </c>
      <c r="G308" s="3598">
        <v>4141</v>
      </c>
      <c r="H308" s="3598">
        <v>0</v>
      </c>
      <c r="I308" s="71">
        <v>0</v>
      </c>
      <c r="J308" s="456">
        <v>2014546</v>
      </c>
      <c r="K308" s="3598">
        <v>5144</v>
      </c>
      <c r="L308" s="3598">
        <v>0</v>
      </c>
      <c r="M308" s="71">
        <v>0</v>
      </c>
      <c r="N308" s="456">
        <v>16148</v>
      </c>
      <c r="O308" s="3598">
        <v>0</v>
      </c>
      <c r="P308" s="3598">
        <v>0</v>
      </c>
      <c r="Q308" s="71">
        <v>0</v>
      </c>
      <c r="R308" s="111">
        <v>3352362</v>
      </c>
      <c r="S308" s="3598">
        <v>107100</v>
      </c>
      <c r="T308" s="3598">
        <v>700</v>
      </c>
      <c r="U308" s="71">
        <v>403</v>
      </c>
      <c r="V308" s="2520">
        <v>65957</v>
      </c>
      <c r="W308" s="2520">
        <v>457147</v>
      </c>
      <c r="X308" s="2518"/>
      <c r="Y308" s="2519"/>
    </row>
    <row r="309" spans="1:25">
      <c r="A309" s="53">
        <f t="shared" si="5"/>
        <v>2017.12</v>
      </c>
      <c r="B309" s="214">
        <v>1728576</v>
      </c>
      <c r="C309" s="3598">
        <v>28858</v>
      </c>
      <c r="D309" s="3598">
        <v>0</v>
      </c>
      <c r="E309" s="111">
        <v>0</v>
      </c>
      <c r="F309" s="456">
        <v>343371</v>
      </c>
      <c r="G309" s="3598">
        <v>11468</v>
      </c>
      <c r="H309" s="3598">
        <v>0</v>
      </c>
      <c r="I309" s="71">
        <v>0</v>
      </c>
      <c r="J309" s="456">
        <v>1306754</v>
      </c>
      <c r="K309" s="3598">
        <v>13153</v>
      </c>
      <c r="L309" s="3598">
        <v>0</v>
      </c>
      <c r="M309" s="71">
        <v>0</v>
      </c>
      <c r="N309" s="456">
        <v>14170</v>
      </c>
      <c r="O309" s="3598">
        <v>0</v>
      </c>
      <c r="P309" s="3598">
        <v>0</v>
      </c>
      <c r="Q309" s="71">
        <v>0</v>
      </c>
      <c r="R309" s="111">
        <v>2178912</v>
      </c>
      <c r="S309" s="3598">
        <v>108423</v>
      </c>
      <c r="T309" s="3598">
        <v>650</v>
      </c>
      <c r="U309" s="71">
        <v>298</v>
      </c>
      <c r="V309" s="2520">
        <v>62860</v>
      </c>
      <c r="W309" s="2520">
        <v>410301</v>
      </c>
      <c r="X309" s="2518"/>
      <c r="Y309" s="2519"/>
    </row>
    <row r="310" spans="1:25">
      <c r="A310" s="53">
        <f t="shared" si="5"/>
        <v>2018.01</v>
      </c>
      <c r="B310" s="214">
        <v>2427064</v>
      </c>
      <c r="C310" s="3598">
        <v>151716</v>
      </c>
      <c r="D310" s="3598">
        <v>0</v>
      </c>
      <c r="E310" s="111">
        <v>0</v>
      </c>
      <c r="F310" s="456">
        <v>474334</v>
      </c>
      <c r="G310" s="3598">
        <v>61865</v>
      </c>
      <c r="H310" s="3598">
        <v>0</v>
      </c>
      <c r="I310" s="71">
        <v>0</v>
      </c>
      <c r="J310" s="456">
        <v>1847535</v>
      </c>
      <c r="K310" s="3598">
        <v>67974</v>
      </c>
      <c r="L310" s="3598">
        <v>0</v>
      </c>
      <c r="M310" s="71">
        <v>0</v>
      </c>
      <c r="N310" s="456">
        <v>12152</v>
      </c>
      <c r="O310" s="3598">
        <v>0</v>
      </c>
      <c r="P310" s="3598">
        <v>0</v>
      </c>
      <c r="Q310" s="71">
        <v>0</v>
      </c>
      <c r="R310" s="111">
        <v>2730605</v>
      </c>
      <c r="S310" s="3598">
        <v>229902</v>
      </c>
      <c r="T310" s="3598">
        <v>342</v>
      </c>
      <c r="U310" s="71">
        <v>0</v>
      </c>
      <c r="V310" s="2520">
        <v>67311</v>
      </c>
      <c r="W310" s="2520">
        <v>446216</v>
      </c>
      <c r="X310" s="2518"/>
      <c r="Y310" s="2519"/>
    </row>
    <row r="311" spans="1:25">
      <c r="A311" s="53">
        <f t="shared" si="5"/>
        <v>2018.02</v>
      </c>
      <c r="B311" s="214">
        <v>2019689</v>
      </c>
      <c r="C311" s="3598">
        <v>157544</v>
      </c>
      <c r="D311" s="3598">
        <v>0</v>
      </c>
      <c r="E311" s="111">
        <v>0</v>
      </c>
      <c r="F311" s="456">
        <v>400726</v>
      </c>
      <c r="G311" s="3598">
        <v>64295</v>
      </c>
      <c r="H311" s="3598">
        <v>0</v>
      </c>
      <c r="I311" s="71">
        <v>0</v>
      </c>
      <c r="J311" s="456">
        <v>1543302</v>
      </c>
      <c r="K311" s="3598">
        <v>69444</v>
      </c>
      <c r="L311" s="3598">
        <v>0</v>
      </c>
      <c r="M311" s="71">
        <v>0</v>
      </c>
      <c r="N311" s="456">
        <v>11104</v>
      </c>
      <c r="O311" s="3598">
        <v>0</v>
      </c>
      <c r="P311" s="3598">
        <v>0</v>
      </c>
      <c r="Q311" s="71">
        <v>0</v>
      </c>
      <c r="R311" s="111">
        <v>2376064</v>
      </c>
      <c r="S311" s="3598">
        <v>196424</v>
      </c>
      <c r="T311" s="3598">
        <v>261</v>
      </c>
      <c r="U311" s="71">
        <v>0</v>
      </c>
      <c r="V311" s="2520">
        <v>62075</v>
      </c>
      <c r="W311" s="2520">
        <v>411349</v>
      </c>
      <c r="X311" s="2518"/>
      <c r="Y311" s="2519"/>
    </row>
    <row r="312" spans="1:25">
      <c r="A312" s="53">
        <f t="shared" si="5"/>
        <v>2018.03</v>
      </c>
      <c r="B312" s="214">
        <v>2674920</v>
      </c>
      <c r="C312" s="3598">
        <v>166404</v>
      </c>
      <c r="D312" s="3598">
        <v>0</v>
      </c>
      <c r="E312" s="111">
        <v>0</v>
      </c>
      <c r="F312" s="456">
        <v>537800</v>
      </c>
      <c r="G312" s="3598">
        <v>68363</v>
      </c>
      <c r="H312" s="3598">
        <v>0</v>
      </c>
      <c r="I312" s="71">
        <v>0</v>
      </c>
      <c r="J312" s="456">
        <v>1993894</v>
      </c>
      <c r="K312" s="3598">
        <v>72084</v>
      </c>
      <c r="L312" s="3598">
        <v>0</v>
      </c>
      <c r="M312" s="71">
        <v>0</v>
      </c>
      <c r="N312" s="456">
        <v>12356</v>
      </c>
      <c r="O312" s="3598">
        <v>0</v>
      </c>
      <c r="P312" s="3598">
        <v>0</v>
      </c>
      <c r="Q312" s="71">
        <v>0</v>
      </c>
      <c r="R312" s="111">
        <v>3043963</v>
      </c>
      <c r="S312" s="3598">
        <v>392512</v>
      </c>
      <c r="T312" s="3598">
        <v>1200</v>
      </c>
      <c r="U312" s="71">
        <v>346</v>
      </c>
      <c r="V312" s="2520">
        <v>72871</v>
      </c>
      <c r="W312" s="2520">
        <v>495562</v>
      </c>
      <c r="X312" s="2518"/>
      <c r="Y312" s="2519"/>
    </row>
    <row r="313" spans="1:25">
      <c r="A313" s="53">
        <f t="shared" si="5"/>
        <v>2018.04</v>
      </c>
      <c r="B313" s="214">
        <v>2965070</v>
      </c>
      <c r="C313" s="3598">
        <v>128975</v>
      </c>
      <c r="D313" s="3598">
        <v>0</v>
      </c>
      <c r="E313" s="111">
        <v>5572</v>
      </c>
      <c r="F313" s="456">
        <v>577676.5</v>
      </c>
      <c r="G313" s="3598">
        <v>53257</v>
      </c>
      <c r="H313" s="3598">
        <v>0</v>
      </c>
      <c r="I313" s="71">
        <v>891</v>
      </c>
      <c r="J313" s="456">
        <v>2116337</v>
      </c>
      <c r="K313" s="3598">
        <v>56806</v>
      </c>
      <c r="L313" s="3598">
        <v>0</v>
      </c>
      <c r="M313" s="71">
        <v>4060</v>
      </c>
      <c r="N313" s="456">
        <v>13278.3</v>
      </c>
      <c r="O313" s="3598">
        <v>0</v>
      </c>
      <c r="P313" s="3598">
        <v>0</v>
      </c>
      <c r="Q313" s="71">
        <v>0</v>
      </c>
      <c r="R313" s="111">
        <v>3363231</v>
      </c>
      <c r="S313" s="3598">
        <v>384683</v>
      </c>
      <c r="T313" s="3598">
        <v>270</v>
      </c>
      <c r="U313" s="71">
        <v>5946</v>
      </c>
      <c r="V313" s="2520">
        <v>71660</v>
      </c>
      <c r="W313" s="2520">
        <v>494936</v>
      </c>
      <c r="X313" s="2518"/>
      <c r="Y313" s="2519"/>
    </row>
    <row r="314" spans="1:25">
      <c r="A314" s="53">
        <f t="shared" si="5"/>
        <v>2018.05</v>
      </c>
      <c r="B314" s="214">
        <v>3256708</v>
      </c>
      <c r="C314" s="3598">
        <v>98948</v>
      </c>
      <c r="D314" s="3598">
        <v>0</v>
      </c>
      <c r="E314" s="111">
        <v>14504</v>
      </c>
      <c r="F314" s="456">
        <v>642596</v>
      </c>
      <c r="G314" s="3598">
        <v>40623</v>
      </c>
      <c r="H314" s="3598">
        <v>0</v>
      </c>
      <c r="I314" s="71">
        <v>2321</v>
      </c>
      <c r="J314" s="456">
        <v>2402210</v>
      </c>
      <c r="K314" s="3598">
        <v>44495</v>
      </c>
      <c r="L314" s="3598">
        <v>0</v>
      </c>
      <c r="M314" s="71">
        <v>0</v>
      </c>
      <c r="N314" s="456">
        <v>11229</v>
      </c>
      <c r="O314" s="3598">
        <v>0</v>
      </c>
      <c r="P314" s="3598">
        <v>0</v>
      </c>
      <c r="Q314" s="71">
        <v>0</v>
      </c>
      <c r="R314" s="111">
        <v>3665804</v>
      </c>
      <c r="S314" s="3598">
        <v>353091</v>
      </c>
      <c r="T314" s="3598">
        <v>600</v>
      </c>
      <c r="U314" s="71">
        <v>15049</v>
      </c>
      <c r="V314" s="2520">
        <v>73593</v>
      </c>
      <c r="W314" s="2520">
        <v>500989</v>
      </c>
      <c r="X314" s="2518"/>
      <c r="Y314" s="2519"/>
    </row>
    <row r="315" spans="1:25">
      <c r="A315" s="53">
        <f t="shared" si="5"/>
        <v>2018.06</v>
      </c>
      <c r="B315" s="214">
        <v>2849025</v>
      </c>
      <c r="C315" s="3598">
        <v>81793</v>
      </c>
      <c r="D315" s="3598">
        <v>0</v>
      </c>
      <c r="E315" s="111">
        <v>18482</v>
      </c>
      <c r="F315" s="456">
        <v>568811</v>
      </c>
      <c r="G315" s="3598">
        <v>33482</v>
      </c>
      <c r="H315" s="3598">
        <v>0</v>
      </c>
      <c r="I315" s="71">
        <v>3088</v>
      </c>
      <c r="J315" s="456">
        <v>2148120</v>
      </c>
      <c r="K315" s="3598">
        <v>36700</v>
      </c>
      <c r="L315" s="3598">
        <v>0</v>
      </c>
      <c r="M315" s="71">
        <v>13335</v>
      </c>
      <c r="N315" s="456">
        <v>11061</v>
      </c>
      <c r="O315" s="3598">
        <v>0</v>
      </c>
      <c r="P315" s="3598">
        <v>0</v>
      </c>
      <c r="Q315" s="71">
        <v>0</v>
      </c>
      <c r="R315" s="111">
        <v>3267533</v>
      </c>
      <c r="S315" s="3598">
        <v>262815</v>
      </c>
      <c r="T315" s="3598">
        <v>500</v>
      </c>
      <c r="U315" s="71">
        <v>18952</v>
      </c>
      <c r="V315" s="2520">
        <v>59950</v>
      </c>
      <c r="W315" s="2520">
        <v>434674</v>
      </c>
      <c r="X315" s="2518"/>
      <c r="Y315" s="2519"/>
    </row>
    <row r="316" spans="1:25">
      <c r="A316" s="53">
        <f t="shared" si="5"/>
        <v>2018.07</v>
      </c>
      <c r="B316" s="214">
        <v>2990714</v>
      </c>
      <c r="C316" s="3598">
        <v>69989</v>
      </c>
      <c r="D316" s="3598">
        <v>0</v>
      </c>
      <c r="E316" s="111">
        <v>18960</v>
      </c>
      <c r="F316" s="456">
        <v>595096</v>
      </c>
      <c r="G316" s="3598">
        <v>28373</v>
      </c>
      <c r="H316" s="3598">
        <v>0</v>
      </c>
      <c r="I316" s="71">
        <v>3345</v>
      </c>
      <c r="J316" s="456">
        <v>2252311</v>
      </c>
      <c r="K316" s="3598">
        <v>28525</v>
      </c>
      <c r="L316" s="3598">
        <v>0</v>
      </c>
      <c r="M316" s="71">
        <v>13705</v>
      </c>
      <c r="N316" s="456">
        <v>12592</v>
      </c>
      <c r="O316" s="3598">
        <v>0</v>
      </c>
      <c r="P316" s="3598">
        <v>0</v>
      </c>
      <c r="Q316" s="71">
        <v>0</v>
      </c>
      <c r="R316" s="111">
        <v>3438094</v>
      </c>
      <c r="S316" s="3598">
        <v>231670</v>
      </c>
      <c r="T316" s="3598">
        <v>770</v>
      </c>
      <c r="U316" s="71">
        <v>19548</v>
      </c>
      <c r="V316" s="2520">
        <v>69132</v>
      </c>
      <c r="W316" s="2520">
        <v>465100</v>
      </c>
      <c r="X316" s="2518"/>
      <c r="Y316" s="2519"/>
    </row>
    <row r="317" spans="1:25">
      <c r="A317" s="53">
        <f t="shared" si="5"/>
        <v>2018.08</v>
      </c>
      <c r="B317" s="214">
        <v>2631763</v>
      </c>
      <c r="C317" s="3598">
        <v>78334</v>
      </c>
      <c r="D317" s="3598">
        <v>0</v>
      </c>
      <c r="E317" s="111">
        <v>15655</v>
      </c>
      <c r="F317" s="456">
        <v>524037</v>
      </c>
      <c r="G317" s="3598">
        <v>32216</v>
      </c>
      <c r="H317" s="3598">
        <v>0</v>
      </c>
      <c r="I317" s="71">
        <v>2897</v>
      </c>
      <c r="J317" s="456">
        <v>1926822</v>
      </c>
      <c r="K317" s="3598">
        <v>32973</v>
      </c>
      <c r="L317" s="3598">
        <v>0</v>
      </c>
      <c r="M317" s="71">
        <v>11372</v>
      </c>
      <c r="N317" s="456">
        <v>12227</v>
      </c>
      <c r="O317" s="3598">
        <v>0</v>
      </c>
      <c r="P317" s="3598">
        <v>0</v>
      </c>
      <c r="Q317" s="71">
        <v>0</v>
      </c>
      <c r="R317" s="111">
        <v>3038351</v>
      </c>
      <c r="S317" s="3598">
        <v>246767</v>
      </c>
      <c r="T317" s="3598">
        <v>755</v>
      </c>
      <c r="U317" s="71">
        <v>23876</v>
      </c>
      <c r="V317" s="2520">
        <v>74313</v>
      </c>
      <c r="W317" s="2520">
        <v>486029</v>
      </c>
      <c r="X317" s="2518"/>
      <c r="Y317" s="2519"/>
    </row>
    <row r="318" spans="1:25">
      <c r="A318" s="53">
        <f t="shared" si="5"/>
        <v>2018.09</v>
      </c>
      <c r="B318" s="214">
        <v>2523541</v>
      </c>
      <c r="C318" s="3598">
        <v>85188</v>
      </c>
      <c r="D318" s="3598">
        <v>0</v>
      </c>
      <c r="E318" s="111">
        <v>12821</v>
      </c>
      <c r="F318" s="456">
        <v>508191</v>
      </c>
      <c r="G318" s="3598">
        <v>35528</v>
      </c>
      <c r="H318" s="3598">
        <v>0</v>
      </c>
      <c r="I318" s="71">
        <v>2308</v>
      </c>
      <c r="J318" s="456">
        <v>1903549</v>
      </c>
      <c r="K318" s="3598">
        <v>39379</v>
      </c>
      <c r="L318" s="3598">
        <v>0</v>
      </c>
      <c r="M318" s="71">
        <v>9356</v>
      </c>
      <c r="N318" s="456">
        <v>11792</v>
      </c>
      <c r="O318" s="3598">
        <v>0</v>
      </c>
      <c r="P318" s="3598">
        <v>0</v>
      </c>
      <c r="Q318" s="71">
        <v>0</v>
      </c>
      <c r="R318" s="111">
        <v>2909598</v>
      </c>
      <c r="S318" s="3598">
        <v>264204</v>
      </c>
      <c r="T318" s="3598">
        <v>810</v>
      </c>
      <c r="U318" s="71">
        <v>13477</v>
      </c>
      <c r="V318" s="2520">
        <v>65337</v>
      </c>
      <c r="W318" s="2520">
        <v>420329</v>
      </c>
      <c r="X318" s="2518"/>
      <c r="Y318" s="2519"/>
    </row>
    <row r="319" spans="1:25">
      <c r="A319" s="53">
        <f t="shared" si="5"/>
        <v>2018.1</v>
      </c>
      <c r="B319" s="214">
        <v>2887707</v>
      </c>
      <c r="C319" s="3598">
        <v>60712</v>
      </c>
      <c r="D319" s="3598">
        <v>0</v>
      </c>
      <c r="E319" s="111">
        <v>15330</v>
      </c>
      <c r="F319" s="456">
        <v>578684</v>
      </c>
      <c r="G319" s="3598">
        <v>25494</v>
      </c>
      <c r="H319" s="3598">
        <v>0</v>
      </c>
      <c r="I319" s="71">
        <v>2742</v>
      </c>
      <c r="J319" s="456">
        <v>2167972</v>
      </c>
      <c r="K319" s="3598">
        <v>29389</v>
      </c>
      <c r="L319" s="3598">
        <v>0</v>
      </c>
      <c r="M319" s="71">
        <v>10946</v>
      </c>
      <c r="N319" s="456">
        <v>11041</v>
      </c>
      <c r="O319" s="3598">
        <v>0</v>
      </c>
      <c r="P319" s="3598">
        <v>0</v>
      </c>
      <c r="Q319" s="71">
        <v>0</v>
      </c>
      <c r="R319" s="111">
        <v>3304948</v>
      </c>
      <c r="S319" s="3598">
        <v>207300</v>
      </c>
      <c r="T319" s="3598">
        <v>188</v>
      </c>
      <c r="U319" s="71">
        <v>15852</v>
      </c>
      <c r="V319" s="2520">
        <v>62006</v>
      </c>
      <c r="W319" s="2520">
        <v>429146</v>
      </c>
      <c r="X319" s="2518"/>
      <c r="Y319" s="2519"/>
    </row>
    <row r="320" spans="1:25">
      <c r="A320" s="53">
        <f t="shared" si="5"/>
        <v>2018.11</v>
      </c>
      <c r="B320" s="214">
        <v>2882527</v>
      </c>
      <c r="C320" s="3598">
        <v>33605</v>
      </c>
      <c r="D320" s="3598">
        <v>0</v>
      </c>
      <c r="E320" s="111">
        <v>0</v>
      </c>
      <c r="F320" s="456">
        <v>576813</v>
      </c>
      <c r="G320" s="3598">
        <v>14258</v>
      </c>
      <c r="H320" s="3598">
        <v>0</v>
      </c>
      <c r="I320" s="71">
        <v>2021</v>
      </c>
      <c r="J320" s="456">
        <v>2153637</v>
      </c>
      <c r="K320" s="3598">
        <v>17422</v>
      </c>
      <c r="L320" s="3598">
        <v>0</v>
      </c>
      <c r="M320" s="71">
        <v>10042</v>
      </c>
      <c r="N320" s="456">
        <v>10183</v>
      </c>
      <c r="O320" s="3598">
        <v>0</v>
      </c>
      <c r="P320" s="3598">
        <v>0</v>
      </c>
      <c r="Q320" s="71">
        <v>0</v>
      </c>
      <c r="R320" s="111">
        <v>3166194</v>
      </c>
      <c r="S320" s="3598">
        <v>188737</v>
      </c>
      <c r="T320" s="3598">
        <v>0</v>
      </c>
      <c r="U320" s="71">
        <v>14697</v>
      </c>
      <c r="V320" s="2520">
        <v>61275</v>
      </c>
      <c r="W320" s="2520">
        <v>413861</v>
      </c>
      <c r="X320" s="2518"/>
      <c r="Y320" s="2519"/>
    </row>
    <row r="321" spans="1:47">
      <c r="A321" s="53">
        <f t="shared" si="5"/>
        <v>2018.12</v>
      </c>
      <c r="B321" s="214">
        <v>2372851</v>
      </c>
      <c r="C321" s="3598">
        <v>44125</v>
      </c>
      <c r="D321" s="3598">
        <v>0</v>
      </c>
      <c r="E321" s="111">
        <v>0</v>
      </c>
      <c r="F321" s="456">
        <v>467317</v>
      </c>
      <c r="G321" s="3598">
        <v>17876</v>
      </c>
      <c r="H321" s="3598">
        <v>0</v>
      </c>
      <c r="I321" s="71">
        <v>0</v>
      </c>
      <c r="J321" s="456">
        <v>1787634</v>
      </c>
      <c r="K321" s="3598">
        <v>19301</v>
      </c>
      <c r="L321" s="3598">
        <v>0</v>
      </c>
      <c r="M321" s="71">
        <v>0</v>
      </c>
      <c r="N321" s="456">
        <v>9426</v>
      </c>
      <c r="O321" s="3598">
        <v>0</v>
      </c>
      <c r="P321" s="3598">
        <v>0</v>
      </c>
      <c r="Q321" s="71">
        <v>0</v>
      </c>
      <c r="R321" s="111">
        <v>2454742</v>
      </c>
      <c r="S321" s="3598">
        <v>113991</v>
      </c>
      <c r="T321" s="3598">
        <v>0</v>
      </c>
      <c r="U321" s="71">
        <v>321</v>
      </c>
      <c r="V321" s="2520">
        <v>65134</v>
      </c>
      <c r="W321" s="2520">
        <v>416150</v>
      </c>
      <c r="X321" s="2518"/>
      <c r="Y321" s="2519"/>
      <c r="AI321" s="874"/>
      <c r="AJ321" s="874"/>
      <c r="AK321" s="874"/>
      <c r="AL321" s="874"/>
      <c r="AM321" s="874"/>
      <c r="AN321" s="874"/>
      <c r="AO321" s="874"/>
      <c r="AP321" s="874"/>
      <c r="AQ321" s="874"/>
      <c r="AR321" s="874"/>
      <c r="AS321" s="874"/>
      <c r="AT321" s="874"/>
      <c r="AU321" s="874"/>
    </row>
    <row r="322" spans="1:47">
      <c r="A322" s="53">
        <f t="shared" si="5"/>
        <v>2019.01</v>
      </c>
      <c r="B322" s="214">
        <v>2183629</v>
      </c>
      <c r="C322" s="3598">
        <v>150076</v>
      </c>
      <c r="D322" s="3598">
        <v>0</v>
      </c>
      <c r="E322" s="111">
        <v>0</v>
      </c>
      <c r="F322" s="456">
        <v>433735</v>
      </c>
      <c r="G322" s="3598">
        <v>63357</v>
      </c>
      <c r="H322" s="3598">
        <v>0</v>
      </c>
      <c r="I322" s="71">
        <v>0</v>
      </c>
      <c r="J322" s="456">
        <v>1620325</v>
      </c>
      <c r="K322" s="3598">
        <v>63674</v>
      </c>
      <c r="L322" s="3598">
        <v>0</v>
      </c>
      <c r="M322" s="71">
        <v>0</v>
      </c>
      <c r="N322" s="456">
        <v>9847</v>
      </c>
      <c r="O322" s="3598">
        <v>0</v>
      </c>
      <c r="P322" s="3598">
        <v>0</v>
      </c>
      <c r="Q322" s="71">
        <v>0</v>
      </c>
      <c r="R322" s="111">
        <v>2495737</v>
      </c>
      <c r="S322" s="3598">
        <v>282559</v>
      </c>
      <c r="T322" s="3598">
        <v>0</v>
      </c>
      <c r="U322" s="71">
        <v>316</v>
      </c>
      <c r="V322" s="2520">
        <v>67905</v>
      </c>
      <c r="W322" s="2520">
        <v>448769</v>
      </c>
      <c r="X322" s="2518"/>
      <c r="Y322" s="2519"/>
      <c r="AI322" s="874"/>
      <c r="AJ322" s="874"/>
      <c r="AK322" s="874"/>
      <c r="AL322" s="874"/>
      <c r="AM322" s="874"/>
      <c r="AN322" s="874"/>
      <c r="AO322" s="874"/>
      <c r="AP322" s="874"/>
      <c r="AQ322" s="874"/>
      <c r="AR322" s="874"/>
      <c r="AS322" s="874"/>
      <c r="AT322" s="874"/>
    </row>
    <row r="323" spans="1:47">
      <c r="A323" s="53">
        <f t="shared" si="5"/>
        <v>2019.02</v>
      </c>
      <c r="B323" s="214">
        <v>1935022</v>
      </c>
      <c r="C323" s="3598">
        <v>144450</v>
      </c>
      <c r="D323" s="3598">
        <v>0</v>
      </c>
      <c r="E323" s="111">
        <v>0</v>
      </c>
      <c r="F323" s="456">
        <v>386736</v>
      </c>
      <c r="G323" s="3598">
        <v>61464</v>
      </c>
      <c r="H323" s="3598">
        <v>0</v>
      </c>
      <c r="I323" s="71">
        <v>0</v>
      </c>
      <c r="J323" s="456">
        <v>1451084</v>
      </c>
      <c r="K323" s="3598">
        <v>62003</v>
      </c>
      <c r="L323" s="3598">
        <v>0</v>
      </c>
      <c r="M323" s="71">
        <v>0</v>
      </c>
      <c r="N323" s="456">
        <v>9866</v>
      </c>
      <c r="O323" s="3598">
        <v>0</v>
      </c>
      <c r="P323" s="3598">
        <v>0</v>
      </c>
      <c r="Q323" s="71">
        <v>0</v>
      </c>
      <c r="R323" s="111">
        <v>2346028</v>
      </c>
      <c r="S323" s="3598">
        <v>252497</v>
      </c>
      <c r="T323" s="3598">
        <v>0</v>
      </c>
      <c r="U323" s="71">
        <v>377</v>
      </c>
      <c r="V323" s="2520">
        <v>62807</v>
      </c>
      <c r="W323" s="2520">
        <v>430166</v>
      </c>
      <c r="X323" s="2518"/>
      <c r="Y323" s="2519"/>
      <c r="AI323" s="874"/>
      <c r="AJ323" s="874"/>
      <c r="AK323" s="874"/>
      <c r="AL323" s="874"/>
      <c r="AM323" s="874"/>
      <c r="AN323" s="874"/>
      <c r="AO323" s="874"/>
      <c r="AP323" s="874"/>
      <c r="AQ323" s="874"/>
      <c r="AR323" s="874"/>
      <c r="AS323" s="874"/>
      <c r="AT323" s="874"/>
    </row>
    <row r="324" spans="1:47">
      <c r="A324" s="53">
        <f t="shared" si="5"/>
        <v>2019.03</v>
      </c>
      <c r="B324" s="214">
        <v>2606154</v>
      </c>
      <c r="C324" s="3598">
        <v>122303</v>
      </c>
      <c r="D324" s="3598">
        <v>0</v>
      </c>
      <c r="E324" s="111">
        <v>0</v>
      </c>
      <c r="F324" s="456">
        <v>527546</v>
      </c>
      <c r="G324" s="3598">
        <v>53144</v>
      </c>
      <c r="H324" s="3598">
        <v>0</v>
      </c>
      <c r="I324" s="71">
        <v>0</v>
      </c>
      <c r="J324" s="456">
        <v>1955799</v>
      </c>
      <c r="K324" s="3598">
        <v>54574</v>
      </c>
      <c r="L324" s="3598">
        <v>0</v>
      </c>
      <c r="M324" s="71">
        <v>0</v>
      </c>
      <c r="N324" s="456">
        <v>9978</v>
      </c>
      <c r="O324" s="3598">
        <v>0</v>
      </c>
      <c r="P324" s="3598">
        <v>0</v>
      </c>
      <c r="Q324" s="71">
        <v>0</v>
      </c>
      <c r="R324" s="111">
        <v>2901255</v>
      </c>
      <c r="S324" s="3598">
        <v>342187</v>
      </c>
      <c r="T324" s="3598">
        <v>0</v>
      </c>
      <c r="U324" s="71">
        <v>236</v>
      </c>
      <c r="V324" s="2520">
        <v>69443</v>
      </c>
      <c r="W324" s="2520">
        <v>490466</v>
      </c>
      <c r="X324" s="2518"/>
      <c r="Y324" s="2519"/>
      <c r="AI324" s="323"/>
      <c r="AJ324" s="323"/>
      <c r="AK324" s="323"/>
      <c r="AL324" s="323"/>
      <c r="AM324" s="323"/>
      <c r="AN324" s="323"/>
      <c r="AO324" s="323"/>
      <c r="AP324" s="323"/>
      <c r="AQ324" s="323"/>
      <c r="AR324" s="323"/>
      <c r="AS324" s="323"/>
      <c r="AT324" s="323"/>
    </row>
    <row r="325" spans="1:47">
      <c r="A325" s="53">
        <f t="shared" si="5"/>
        <v>2019.04</v>
      </c>
      <c r="B325" s="214">
        <v>3423835</v>
      </c>
      <c r="C325" s="3598">
        <v>76101</v>
      </c>
      <c r="D325" s="3598">
        <v>0</v>
      </c>
      <c r="E325" s="111">
        <v>0</v>
      </c>
      <c r="F325" s="456">
        <v>676338</v>
      </c>
      <c r="G325" s="3598">
        <v>32454</v>
      </c>
      <c r="H325" s="3598">
        <v>0</v>
      </c>
      <c r="I325" s="71">
        <v>3.6840000000000002</v>
      </c>
      <c r="J325" s="456">
        <v>2568720</v>
      </c>
      <c r="K325" s="3598">
        <v>35382</v>
      </c>
      <c r="L325" s="3598">
        <v>0</v>
      </c>
      <c r="M325" s="71">
        <v>15754</v>
      </c>
      <c r="N325" s="456">
        <v>11285</v>
      </c>
      <c r="O325" s="3598">
        <v>0</v>
      </c>
      <c r="P325" s="3598">
        <v>0</v>
      </c>
      <c r="Q325" s="71">
        <v>0</v>
      </c>
      <c r="R325" s="111">
        <v>3820747</v>
      </c>
      <c r="S325" s="3598">
        <v>386458</v>
      </c>
      <c r="T325" s="3598">
        <v>0</v>
      </c>
      <c r="U325" s="71">
        <v>22145</v>
      </c>
      <c r="V325" s="2520">
        <v>72550</v>
      </c>
      <c r="W325" s="2520">
        <v>518895</v>
      </c>
      <c r="X325" s="2518"/>
      <c r="Y325" s="2519"/>
    </row>
    <row r="326" spans="1:47">
      <c r="A326" s="53">
        <f t="shared" si="5"/>
        <v>2019.05</v>
      </c>
      <c r="B326" s="214">
        <v>3543993</v>
      </c>
      <c r="C326" s="3598">
        <v>100335</v>
      </c>
      <c r="D326" s="3598">
        <v>0</v>
      </c>
      <c r="E326" s="111">
        <v>7898</v>
      </c>
      <c r="F326" s="456">
        <v>686094</v>
      </c>
      <c r="G326" s="3598">
        <v>42855</v>
      </c>
      <c r="H326" s="3598">
        <v>0</v>
      </c>
      <c r="I326" s="71">
        <v>1342</v>
      </c>
      <c r="J326" s="456">
        <v>2644676</v>
      </c>
      <c r="K326" s="3598">
        <v>45017</v>
      </c>
      <c r="L326" s="3598">
        <v>0</v>
      </c>
      <c r="M326" s="71">
        <v>5699</v>
      </c>
      <c r="N326" s="456">
        <v>14277</v>
      </c>
      <c r="O326" s="3598">
        <v>0</v>
      </c>
      <c r="P326" s="3598">
        <v>0</v>
      </c>
      <c r="Q326" s="71">
        <v>0</v>
      </c>
      <c r="R326" s="111">
        <v>3970321</v>
      </c>
      <c r="S326" s="3598">
        <v>386269</v>
      </c>
      <c r="T326" s="3598">
        <v>0</v>
      </c>
      <c r="U326" s="71">
        <v>22356</v>
      </c>
      <c r="V326" s="2520">
        <v>78668</v>
      </c>
      <c r="W326" s="2520">
        <v>558375</v>
      </c>
      <c r="X326" s="2518"/>
      <c r="Y326" s="2519"/>
    </row>
    <row r="327" spans="1:47">
      <c r="A327" s="53">
        <f t="shared" si="5"/>
        <v>2019.06</v>
      </c>
      <c r="B327" s="214">
        <v>3832187</v>
      </c>
      <c r="C327" s="3598">
        <v>80969</v>
      </c>
      <c r="D327" s="3598">
        <v>0</v>
      </c>
      <c r="E327" s="111">
        <v>15614</v>
      </c>
      <c r="F327" s="456">
        <v>746699</v>
      </c>
      <c r="G327" s="3598">
        <v>34665</v>
      </c>
      <c r="H327" s="3598">
        <v>0</v>
      </c>
      <c r="I327" s="71">
        <v>2279</v>
      </c>
      <c r="J327" s="456">
        <v>2864475</v>
      </c>
      <c r="K327" s="3598">
        <v>37343</v>
      </c>
      <c r="L327" s="3598">
        <v>0</v>
      </c>
      <c r="M327" s="71">
        <v>11307</v>
      </c>
      <c r="N327" s="456">
        <v>13818</v>
      </c>
      <c r="O327" s="3598">
        <v>0</v>
      </c>
      <c r="P327" s="3598">
        <v>0</v>
      </c>
      <c r="Q327" s="71">
        <v>0</v>
      </c>
      <c r="R327" s="111">
        <v>4294195</v>
      </c>
      <c r="S327" s="3598">
        <v>288505</v>
      </c>
      <c r="T327" s="3598">
        <v>0</v>
      </c>
      <c r="U327" s="71">
        <v>7718</v>
      </c>
      <c r="V327" s="2520">
        <v>76806</v>
      </c>
      <c r="W327" s="2520">
        <v>536419</v>
      </c>
      <c r="X327" s="2518"/>
      <c r="Y327" s="2519"/>
    </row>
    <row r="328" spans="1:47">
      <c r="A328" s="53">
        <f t="shared" si="5"/>
        <v>2019.07</v>
      </c>
      <c r="B328" s="214">
        <v>3982476</v>
      </c>
      <c r="C328" s="3598">
        <v>85493</v>
      </c>
      <c r="D328" s="3598">
        <v>0</v>
      </c>
      <c r="E328" s="111">
        <v>18875</v>
      </c>
      <c r="F328" s="456">
        <v>780168</v>
      </c>
      <c r="G328" s="3598">
        <v>47889</v>
      </c>
      <c r="H328" s="3598">
        <v>0</v>
      </c>
      <c r="I328" s="71">
        <v>2769</v>
      </c>
      <c r="J328" s="456">
        <v>2971732</v>
      </c>
      <c r="K328" s="3598">
        <v>39130</v>
      </c>
      <c r="L328" s="3598">
        <v>0</v>
      </c>
      <c r="M328" s="71">
        <v>13550</v>
      </c>
      <c r="N328" s="456">
        <v>15294</v>
      </c>
      <c r="O328" s="3598">
        <v>0</v>
      </c>
      <c r="P328" s="3598">
        <v>0</v>
      </c>
      <c r="Q328" s="71">
        <v>0</v>
      </c>
      <c r="R328" s="111">
        <v>4443797</v>
      </c>
      <c r="S328" s="3598">
        <v>331435</v>
      </c>
      <c r="T328" s="3598">
        <v>0</v>
      </c>
      <c r="U328" s="71">
        <v>20347</v>
      </c>
      <c r="V328" s="2520">
        <v>81140</v>
      </c>
      <c r="W328" s="2520">
        <v>558541</v>
      </c>
      <c r="X328" s="2518"/>
      <c r="Y328" s="2519"/>
    </row>
    <row r="329" spans="1:47" ht="13.5" thickBot="1">
      <c r="A329" s="53">
        <f t="shared" si="5"/>
        <v>2019.08</v>
      </c>
      <c r="B329" s="214">
        <v>3782090</v>
      </c>
      <c r="C329" s="3598">
        <v>121418</v>
      </c>
      <c r="D329" s="3598">
        <v>0</v>
      </c>
      <c r="E329" s="111">
        <v>1187</v>
      </c>
      <c r="F329" s="456">
        <v>741219</v>
      </c>
      <c r="G329" s="3598">
        <v>51653</v>
      </c>
      <c r="H329" s="3598">
        <v>0</v>
      </c>
      <c r="I329" s="71">
        <v>188</v>
      </c>
      <c r="J329" s="456">
        <v>2834048</v>
      </c>
      <c r="K329" s="3598">
        <v>53394</v>
      </c>
      <c r="L329" s="3598">
        <v>0</v>
      </c>
      <c r="M329" s="71">
        <v>834</v>
      </c>
      <c r="N329" s="456">
        <v>15733</v>
      </c>
      <c r="O329" s="3598">
        <v>0</v>
      </c>
      <c r="P329" s="3598">
        <v>0</v>
      </c>
      <c r="Q329" s="71">
        <v>0</v>
      </c>
      <c r="R329" s="111">
        <v>4152116</v>
      </c>
      <c r="S329" s="3598">
        <v>364712</v>
      </c>
      <c r="T329" s="3598">
        <v>78</v>
      </c>
      <c r="U329" s="71">
        <v>1948</v>
      </c>
      <c r="V329" s="2520">
        <v>80909</v>
      </c>
      <c r="W329" s="2520">
        <v>537444</v>
      </c>
      <c r="X329" s="2518"/>
      <c r="Y329" s="2519"/>
    </row>
    <row r="330" spans="1:47">
      <c r="A330" s="53">
        <f t="shared" si="5"/>
        <v>2019.09</v>
      </c>
      <c r="B330" s="214">
        <v>2762280</v>
      </c>
      <c r="C330" s="3598">
        <v>27254</v>
      </c>
      <c r="D330" s="3598">
        <v>0</v>
      </c>
      <c r="E330" s="111">
        <v>20127</v>
      </c>
      <c r="F330" s="456">
        <v>540044</v>
      </c>
      <c r="G330" s="3598">
        <v>11703</v>
      </c>
      <c r="H330" s="3598">
        <v>0</v>
      </c>
      <c r="I330" s="71">
        <v>3052</v>
      </c>
      <c r="J330" s="456">
        <v>2047755</v>
      </c>
      <c r="K330" s="3598">
        <v>14270</v>
      </c>
      <c r="L330" s="3598">
        <v>0</v>
      </c>
      <c r="M330" s="71">
        <v>14477</v>
      </c>
      <c r="N330" s="456">
        <v>12878</v>
      </c>
      <c r="O330" s="3598">
        <v>0</v>
      </c>
      <c r="P330" s="3598">
        <v>0</v>
      </c>
      <c r="Q330" s="71">
        <v>0</v>
      </c>
      <c r="R330" s="111">
        <v>3148516</v>
      </c>
      <c r="S330" s="3598">
        <v>176629</v>
      </c>
      <c r="T330" s="3598">
        <v>112</v>
      </c>
      <c r="U330" s="71">
        <v>20658</v>
      </c>
      <c r="V330" s="2520">
        <v>73407</v>
      </c>
      <c r="W330" s="2520">
        <v>497617</v>
      </c>
      <c r="X330" s="2517">
        <v>53575</v>
      </c>
      <c r="Y330" s="2521">
        <v>389249</v>
      </c>
    </row>
    <row r="331" spans="1:47">
      <c r="A331" s="53">
        <f t="shared" si="5"/>
        <v>2019.1</v>
      </c>
      <c r="B331" s="214">
        <v>3563090</v>
      </c>
      <c r="C331" s="3598">
        <v>1809</v>
      </c>
      <c r="D331" s="3598">
        <v>0</v>
      </c>
      <c r="E331" s="111">
        <v>9607</v>
      </c>
      <c r="F331" s="456">
        <v>699895</v>
      </c>
      <c r="G331" s="3598">
        <v>738</v>
      </c>
      <c r="H331" s="3598">
        <v>0</v>
      </c>
      <c r="I331" s="71">
        <v>1480</v>
      </c>
      <c r="J331" s="456">
        <v>2650340</v>
      </c>
      <c r="K331" s="3598">
        <v>979</v>
      </c>
      <c r="L331" s="3598">
        <v>0</v>
      </c>
      <c r="M331" s="71">
        <v>6811</v>
      </c>
      <c r="N331" s="456">
        <v>15167</v>
      </c>
      <c r="O331" s="3598">
        <v>0</v>
      </c>
      <c r="P331" s="3598">
        <v>0</v>
      </c>
      <c r="Q331" s="71">
        <v>0</v>
      </c>
      <c r="R331" s="111">
        <v>3928342</v>
      </c>
      <c r="S331" s="3598">
        <v>189885</v>
      </c>
      <c r="T331" s="3598">
        <v>170</v>
      </c>
      <c r="U331" s="71">
        <v>10206</v>
      </c>
      <c r="V331" s="2520">
        <v>74306</v>
      </c>
      <c r="W331" s="2520">
        <v>506363</v>
      </c>
      <c r="X331" s="2520">
        <v>52997</v>
      </c>
      <c r="Y331" s="2522">
        <v>396134</v>
      </c>
    </row>
    <row r="332" spans="1:47">
      <c r="A332" s="53">
        <f t="shared" si="5"/>
        <v>2019.11</v>
      </c>
      <c r="B332" s="214">
        <v>2646407</v>
      </c>
      <c r="C332" s="3598">
        <v>29954</v>
      </c>
      <c r="D332" s="3598">
        <v>0</v>
      </c>
      <c r="E332" s="111">
        <v>0</v>
      </c>
      <c r="F332" s="456">
        <v>525323</v>
      </c>
      <c r="G332" s="3598">
        <v>12999</v>
      </c>
      <c r="H332" s="3598">
        <v>0</v>
      </c>
      <c r="I332" s="71">
        <v>0</v>
      </c>
      <c r="J332" s="456">
        <v>1946805</v>
      </c>
      <c r="K332" s="3598">
        <v>16076</v>
      </c>
      <c r="L332" s="3598">
        <v>0</v>
      </c>
      <c r="M332" s="71">
        <v>0</v>
      </c>
      <c r="N332" s="456">
        <v>11859</v>
      </c>
      <c r="O332" s="3598">
        <v>0</v>
      </c>
      <c r="P332" s="3598">
        <v>0</v>
      </c>
      <c r="Q332" s="71">
        <v>0</v>
      </c>
      <c r="R332" s="111">
        <v>2928889</v>
      </c>
      <c r="S332" s="3598">
        <v>157571</v>
      </c>
      <c r="T332" s="3598">
        <v>170</v>
      </c>
      <c r="U332" s="71">
        <v>541</v>
      </c>
      <c r="V332" s="2520">
        <v>76810</v>
      </c>
      <c r="W332" s="2520">
        <v>485566</v>
      </c>
      <c r="X332" s="2523">
        <f>+V332*$X$9</f>
        <v>57865.870435296012</v>
      </c>
      <c r="Y332" s="2522">
        <v>373793</v>
      </c>
    </row>
    <row r="333" spans="1:47">
      <c r="A333" s="53">
        <f t="shared" si="5"/>
        <v>2019.12</v>
      </c>
      <c r="B333" s="214">
        <v>2347419</v>
      </c>
      <c r="C333" s="3598">
        <v>44898</v>
      </c>
      <c r="D333" s="3598">
        <v>0</v>
      </c>
      <c r="E333" s="111">
        <v>0</v>
      </c>
      <c r="F333" s="456">
        <v>468819</v>
      </c>
      <c r="G333" s="3598">
        <v>11272</v>
      </c>
      <c r="H333" s="3598">
        <v>0</v>
      </c>
      <c r="I333" s="71">
        <v>0</v>
      </c>
      <c r="J333" s="456">
        <v>1733175</v>
      </c>
      <c r="K333" s="3598">
        <v>13849</v>
      </c>
      <c r="L333" s="3598">
        <v>0</v>
      </c>
      <c r="M333" s="71">
        <v>0</v>
      </c>
      <c r="N333" s="456">
        <v>11486</v>
      </c>
      <c r="O333" s="3598">
        <v>0</v>
      </c>
      <c r="P333" s="3598">
        <v>0</v>
      </c>
      <c r="Q333" s="71">
        <v>0</v>
      </c>
      <c r="R333" s="111">
        <v>2745010</v>
      </c>
      <c r="S333" s="3598">
        <v>122470</v>
      </c>
      <c r="T333" s="3598">
        <v>261</v>
      </c>
      <c r="U333" s="71">
        <v>386</v>
      </c>
      <c r="V333" s="2520">
        <v>73393</v>
      </c>
      <c r="W333" s="2520">
        <v>483687</v>
      </c>
      <c r="X333" s="2523">
        <f>+V333*$X$9</f>
        <v>55291.626466054942</v>
      </c>
      <c r="Y333" s="2522">
        <v>366777</v>
      </c>
    </row>
    <row r="334" spans="1:47">
      <c r="A334" s="53">
        <f t="shared" si="5"/>
        <v>2020.01</v>
      </c>
      <c r="B334" s="214">
        <v>2002063</v>
      </c>
      <c r="C334" s="3598">
        <v>97888</v>
      </c>
      <c r="D334" s="3598">
        <v>0</v>
      </c>
      <c r="E334" s="111">
        <v>0</v>
      </c>
      <c r="F334" s="456">
        <v>392730</v>
      </c>
      <c r="G334" s="3598">
        <v>42771</v>
      </c>
      <c r="H334" s="3598">
        <v>0</v>
      </c>
      <c r="I334" s="71">
        <v>2457</v>
      </c>
      <c r="J334" s="456">
        <v>1467836</v>
      </c>
      <c r="K334" s="3598">
        <v>49434</v>
      </c>
      <c r="L334" s="3598">
        <v>0</v>
      </c>
      <c r="M334" s="71">
        <v>12</v>
      </c>
      <c r="N334" s="456">
        <v>12103</v>
      </c>
      <c r="O334" s="3598">
        <v>0</v>
      </c>
      <c r="P334" s="3598">
        <v>0</v>
      </c>
      <c r="Q334" s="71">
        <v>3656</v>
      </c>
      <c r="R334" s="111">
        <v>2315940</v>
      </c>
      <c r="S334" s="3598">
        <v>174450</v>
      </c>
      <c r="T334" s="3598">
        <v>0</v>
      </c>
      <c r="U334" s="71">
        <v>0</v>
      </c>
      <c r="V334" s="2520">
        <v>82456.059999999983</v>
      </c>
      <c r="W334" s="2520">
        <v>531839.53000000049</v>
      </c>
      <c r="X334" s="2520">
        <v>56723</v>
      </c>
      <c r="Y334" s="2522">
        <v>402495</v>
      </c>
    </row>
    <row r="335" spans="1:47">
      <c r="A335" s="53">
        <f t="shared" si="5"/>
        <v>2020.02</v>
      </c>
      <c r="B335" s="214">
        <v>2351546</v>
      </c>
      <c r="C335" s="3598">
        <v>103173</v>
      </c>
      <c r="D335" s="3598">
        <v>0</v>
      </c>
      <c r="E335" s="111">
        <v>0</v>
      </c>
      <c r="F335" s="456">
        <v>463188</v>
      </c>
      <c r="G335" s="3598">
        <v>45645</v>
      </c>
      <c r="H335" s="3598">
        <v>0</v>
      </c>
      <c r="I335" s="71">
        <v>2265</v>
      </c>
      <c r="J335" s="456">
        <v>1727736</v>
      </c>
      <c r="K335" s="3598">
        <v>50067</v>
      </c>
      <c r="L335" s="3598">
        <v>0</v>
      </c>
      <c r="M335" s="71">
        <v>12</v>
      </c>
      <c r="N335" s="456">
        <v>12156</v>
      </c>
      <c r="O335" s="3598">
        <v>0</v>
      </c>
      <c r="P335" s="3598">
        <v>0</v>
      </c>
      <c r="Q335" s="71">
        <v>3677</v>
      </c>
      <c r="R335" s="111">
        <v>2630170</v>
      </c>
      <c r="S335" s="3598">
        <v>211339</v>
      </c>
      <c r="T335" s="3598">
        <v>0</v>
      </c>
      <c r="U335" s="71">
        <v>0</v>
      </c>
      <c r="V335" s="2520">
        <v>70691.960000000006</v>
      </c>
      <c r="W335" s="2520">
        <v>482345.25999999995</v>
      </c>
      <c r="X335" s="2520">
        <v>48091</v>
      </c>
      <c r="Y335" s="2522">
        <v>370971</v>
      </c>
    </row>
    <row r="336" spans="1:47">
      <c r="A336" s="53">
        <f t="shared" si="5"/>
        <v>2020.03</v>
      </c>
      <c r="B336" s="214">
        <v>2450467</v>
      </c>
      <c r="C336" s="3598">
        <v>79360</v>
      </c>
      <c r="D336" s="3598">
        <v>0</v>
      </c>
      <c r="E336" s="111">
        <v>0</v>
      </c>
      <c r="F336" s="456">
        <v>499625</v>
      </c>
      <c r="G336" s="3598">
        <v>35210</v>
      </c>
      <c r="H336" s="3598">
        <v>0</v>
      </c>
      <c r="I336" s="71">
        <v>0</v>
      </c>
      <c r="J336" s="456">
        <v>1804828</v>
      </c>
      <c r="K336" s="3598">
        <v>39011</v>
      </c>
      <c r="L336" s="3598">
        <v>0</v>
      </c>
      <c r="M336" s="71">
        <v>0</v>
      </c>
      <c r="N336" s="456">
        <v>12604</v>
      </c>
      <c r="O336" s="3598">
        <v>0</v>
      </c>
      <c r="P336" s="3598">
        <v>0</v>
      </c>
      <c r="Q336" s="71">
        <v>0</v>
      </c>
      <c r="R336" s="111">
        <v>2740944</v>
      </c>
      <c r="S336" s="3598">
        <v>337835</v>
      </c>
      <c r="T336" s="3598">
        <v>149</v>
      </c>
      <c r="U336" s="71">
        <v>350</v>
      </c>
      <c r="V336" s="2520">
        <v>72185.01999999999</v>
      </c>
      <c r="W336" s="2520">
        <v>498277.1700000001</v>
      </c>
      <c r="X336" s="2520">
        <v>48163</v>
      </c>
      <c r="Y336" s="2522">
        <v>387594</v>
      </c>
    </row>
    <row r="337" spans="1:25">
      <c r="A337" s="53">
        <f t="shared" si="5"/>
        <v>2020.04</v>
      </c>
      <c r="B337" s="214">
        <v>3300360</v>
      </c>
      <c r="C337" s="3598">
        <v>45832</v>
      </c>
      <c r="D337" s="3598">
        <v>0</v>
      </c>
      <c r="E337" s="111">
        <v>15455</v>
      </c>
      <c r="F337" s="456">
        <v>668037</v>
      </c>
      <c r="G337" s="3598">
        <v>21168</v>
      </c>
      <c r="H337" s="3598">
        <v>0</v>
      </c>
      <c r="I337" s="71">
        <v>2473</v>
      </c>
      <c r="J337" s="456">
        <v>2441173</v>
      </c>
      <c r="K337" s="3598">
        <v>23880</v>
      </c>
      <c r="L337" s="3598">
        <v>0</v>
      </c>
      <c r="M337" s="71">
        <v>10879</v>
      </c>
      <c r="N337" s="456">
        <v>13960</v>
      </c>
      <c r="O337" s="3598">
        <v>0</v>
      </c>
      <c r="P337" s="3598">
        <v>0</v>
      </c>
      <c r="Q337" s="71">
        <v>0</v>
      </c>
      <c r="R337" s="111">
        <v>3661211</v>
      </c>
      <c r="S337" s="3598">
        <v>311796</v>
      </c>
      <c r="T337" s="3598">
        <v>0</v>
      </c>
      <c r="U337" s="71">
        <v>11248</v>
      </c>
      <c r="V337" s="2520">
        <v>84059.530000000013</v>
      </c>
      <c r="W337" s="2520">
        <v>553008.70999999973</v>
      </c>
      <c r="X337" s="2520">
        <v>56695</v>
      </c>
      <c r="Y337" s="2522">
        <v>424582</v>
      </c>
    </row>
    <row r="338" spans="1:25">
      <c r="A338" s="53">
        <f t="shared" si="5"/>
        <v>2020.05</v>
      </c>
      <c r="B338" s="214">
        <v>3591764</v>
      </c>
      <c r="C338" s="3598">
        <v>41142</v>
      </c>
      <c r="D338" s="3598">
        <v>0</v>
      </c>
      <c r="E338" s="111">
        <v>29200</v>
      </c>
      <c r="F338" s="456">
        <v>714707</v>
      </c>
      <c r="G338" s="3598">
        <v>18232</v>
      </c>
      <c r="H338" s="3598">
        <v>0</v>
      </c>
      <c r="I338" s="71">
        <v>4906</v>
      </c>
      <c r="J338" s="456">
        <v>2701191</v>
      </c>
      <c r="K338" s="3598">
        <v>21590</v>
      </c>
      <c r="L338" s="3598">
        <v>0</v>
      </c>
      <c r="M338" s="71">
        <v>20364</v>
      </c>
      <c r="N338" s="456">
        <v>13371</v>
      </c>
      <c r="O338" s="3598">
        <v>0</v>
      </c>
      <c r="P338" s="3598">
        <v>0</v>
      </c>
      <c r="Q338" s="71">
        <v>0</v>
      </c>
      <c r="R338" s="111">
        <v>4026609</v>
      </c>
      <c r="S338" s="3598">
        <v>275739</v>
      </c>
      <c r="T338" s="3598">
        <v>0</v>
      </c>
      <c r="U338" s="71">
        <v>29791</v>
      </c>
      <c r="V338" s="2520">
        <v>83037.160000000018</v>
      </c>
      <c r="W338" s="2520">
        <v>569665.94000000006</v>
      </c>
      <c r="X338" s="2520">
        <v>59329</v>
      </c>
      <c r="Y338" s="2522">
        <v>446663</v>
      </c>
    </row>
    <row r="339" spans="1:25">
      <c r="A339" s="53">
        <f t="shared" si="5"/>
        <v>2020.06</v>
      </c>
      <c r="B339" s="214">
        <v>3164173</v>
      </c>
      <c r="C339" s="3598">
        <v>49931</v>
      </c>
      <c r="D339" s="3598">
        <v>0</v>
      </c>
      <c r="E339" s="111">
        <v>14611</v>
      </c>
      <c r="F339" s="456">
        <v>632001</v>
      </c>
      <c r="G339" s="3598">
        <v>22501</v>
      </c>
      <c r="H339" s="3598">
        <v>0</v>
      </c>
      <c r="I339" s="71">
        <v>22528</v>
      </c>
      <c r="J339" s="456">
        <v>2364571</v>
      </c>
      <c r="K339" s="3598">
        <v>24819</v>
      </c>
      <c r="L339" s="3598">
        <v>0</v>
      </c>
      <c r="M339" s="71">
        <v>10176</v>
      </c>
      <c r="N339" s="456">
        <v>14009</v>
      </c>
      <c r="O339" s="3598">
        <v>0</v>
      </c>
      <c r="P339" s="3598">
        <v>0</v>
      </c>
      <c r="Q339" s="71">
        <v>0</v>
      </c>
      <c r="R339" s="111">
        <v>3642380</v>
      </c>
      <c r="S339" s="3598">
        <v>267976</v>
      </c>
      <c r="T339" s="3598">
        <v>0</v>
      </c>
      <c r="U339" s="71">
        <v>15341</v>
      </c>
      <c r="V339" s="2520">
        <v>75550</v>
      </c>
      <c r="W339" s="2520">
        <v>530281</v>
      </c>
      <c r="X339" s="2520">
        <v>54757</v>
      </c>
      <c r="Y339" s="2522">
        <v>414750</v>
      </c>
    </row>
    <row r="340" spans="1:25">
      <c r="A340" s="53">
        <f t="shared" si="5"/>
        <v>2020.07</v>
      </c>
      <c r="B340" s="214">
        <v>2993140</v>
      </c>
      <c r="C340" s="3598">
        <v>37648</v>
      </c>
      <c r="D340" s="3598">
        <v>0</v>
      </c>
      <c r="E340" s="111">
        <v>21913</v>
      </c>
      <c r="F340" s="456">
        <v>600691</v>
      </c>
      <c r="G340" s="3598">
        <v>16647</v>
      </c>
      <c r="H340" s="3598">
        <v>0</v>
      </c>
      <c r="I340" s="71">
        <v>3835</v>
      </c>
      <c r="J340" s="456">
        <v>2241486</v>
      </c>
      <c r="K340" s="3598">
        <v>19731</v>
      </c>
      <c r="L340" s="3598">
        <v>0</v>
      </c>
      <c r="M340" s="71">
        <v>15004</v>
      </c>
      <c r="N340" s="456">
        <v>15549</v>
      </c>
      <c r="O340" s="3598">
        <v>786</v>
      </c>
      <c r="P340" s="3598">
        <v>0</v>
      </c>
      <c r="Q340" s="71">
        <v>0</v>
      </c>
      <c r="R340" s="111">
        <v>3507676</v>
      </c>
      <c r="S340" s="3598">
        <v>204083</v>
      </c>
      <c r="T340" s="3598">
        <v>70</v>
      </c>
      <c r="U340" s="71">
        <v>22522</v>
      </c>
      <c r="V340" s="2520">
        <v>86408</v>
      </c>
      <c r="W340" s="2520">
        <v>584786</v>
      </c>
      <c r="X340" s="2520">
        <v>62322</v>
      </c>
      <c r="Y340" s="2522">
        <v>466166</v>
      </c>
    </row>
    <row r="341" spans="1:25">
      <c r="A341" s="53">
        <f t="shared" si="5"/>
        <v>2020.08</v>
      </c>
      <c r="B341" s="214">
        <v>2934657</v>
      </c>
      <c r="C341" s="3598">
        <v>32744</v>
      </c>
      <c r="D341" s="3598">
        <v>0</v>
      </c>
      <c r="E341" s="111">
        <v>26966</v>
      </c>
      <c r="F341" s="456">
        <v>589577</v>
      </c>
      <c r="G341" s="3598">
        <v>14403</v>
      </c>
      <c r="H341" s="3598">
        <v>0</v>
      </c>
      <c r="I341" s="71">
        <v>4613</v>
      </c>
      <c r="J341" s="456">
        <v>2212727</v>
      </c>
      <c r="K341" s="3598">
        <v>17255</v>
      </c>
      <c r="L341" s="3598">
        <v>0</v>
      </c>
      <c r="M341" s="71">
        <v>17968</v>
      </c>
      <c r="N341" s="456">
        <v>15392</v>
      </c>
      <c r="O341" s="3598">
        <v>0</v>
      </c>
      <c r="P341" s="3598">
        <v>0</v>
      </c>
      <c r="Q341" s="71">
        <v>0</v>
      </c>
      <c r="R341" s="111">
        <v>3297111</v>
      </c>
      <c r="S341" s="3598">
        <v>271243</v>
      </c>
      <c r="T341" s="3598">
        <v>70</v>
      </c>
      <c r="U341" s="71">
        <v>27651</v>
      </c>
      <c r="V341" s="2520">
        <v>74515</v>
      </c>
      <c r="W341" s="2520">
        <v>517367</v>
      </c>
      <c r="X341" s="2520">
        <v>55349</v>
      </c>
      <c r="Y341" s="2522">
        <v>413973</v>
      </c>
    </row>
    <row r="342" spans="1:25">
      <c r="A342" s="53">
        <f>A330+1</f>
        <v>2020.09</v>
      </c>
      <c r="B342" s="214">
        <v>2903759</v>
      </c>
      <c r="C342" s="3598">
        <v>15854</v>
      </c>
      <c r="D342" s="3598">
        <v>0</v>
      </c>
      <c r="E342" s="111">
        <v>5575</v>
      </c>
      <c r="F342" s="456">
        <v>595006</v>
      </c>
      <c r="G342" s="3598">
        <v>6792</v>
      </c>
      <c r="H342" s="3598">
        <v>0</v>
      </c>
      <c r="I342" s="71">
        <v>1243</v>
      </c>
      <c r="J342" s="456">
        <v>2183820</v>
      </c>
      <c r="K342" s="3598">
        <v>36618</v>
      </c>
      <c r="L342" s="3598">
        <v>0</v>
      </c>
      <c r="M342" s="71">
        <v>3707</v>
      </c>
      <c r="N342" s="456">
        <v>15351</v>
      </c>
      <c r="O342" s="3598">
        <v>0</v>
      </c>
      <c r="P342" s="3598">
        <v>0</v>
      </c>
      <c r="Q342" s="71">
        <v>0</v>
      </c>
      <c r="R342" s="111">
        <v>3127112</v>
      </c>
      <c r="S342" s="3598">
        <v>145136</v>
      </c>
      <c r="T342" s="3598">
        <v>0</v>
      </c>
      <c r="U342" s="71">
        <v>6253</v>
      </c>
      <c r="V342" s="2520">
        <v>72455</v>
      </c>
      <c r="W342" s="2520">
        <v>499037</v>
      </c>
      <c r="X342" s="2520">
        <v>53144</v>
      </c>
      <c r="Y342" s="2522">
        <v>397783</v>
      </c>
    </row>
    <row r="343" spans="1:25">
      <c r="A343" s="53">
        <f t="shared" si="5"/>
        <v>2020.1</v>
      </c>
      <c r="B343" s="214">
        <v>2707576</v>
      </c>
      <c r="C343" s="3598">
        <v>20614</v>
      </c>
      <c r="D343" s="3598">
        <v>0</v>
      </c>
      <c r="E343" s="111">
        <v>0</v>
      </c>
      <c r="F343" s="456">
        <v>546550</v>
      </c>
      <c r="G343" s="3598">
        <v>9083</v>
      </c>
      <c r="H343" s="3598">
        <v>0</v>
      </c>
      <c r="I343" s="71">
        <v>0</v>
      </c>
      <c r="J343" s="456">
        <v>2020423</v>
      </c>
      <c r="K343" s="3598">
        <v>10866</v>
      </c>
      <c r="L343" s="3598">
        <v>0</v>
      </c>
      <c r="M343" s="71">
        <v>0</v>
      </c>
      <c r="N343" s="456">
        <v>14448</v>
      </c>
      <c r="O343" s="3598">
        <v>0</v>
      </c>
      <c r="P343" s="3598">
        <v>0</v>
      </c>
      <c r="Q343" s="71">
        <v>0</v>
      </c>
      <c r="R343" s="111">
        <v>3107674</v>
      </c>
      <c r="S343" s="3598">
        <v>153621</v>
      </c>
      <c r="T343" s="3598">
        <v>417</v>
      </c>
      <c r="U343" s="71">
        <v>576</v>
      </c>
      <c r="V343" s="2520">
        <v>74153</v>
      </c>
      <c r="W343" s="2520">
        <v>495884</v>
      </c>
      <c r="X343" s="2520">
        <v>54703</v>
      </c>
      <c r="Y343" s="2522">
        <v>398094</v>
      </c>
    </row>
    <row r="344" spans="1:25">
      <c r="A344" s="53">
        <f>A332+1</f>
        <v>2020.11</v>
      </c>
      <c r="B344" s="214">
        <v>2579902</v>
      </c>
      <c r="C344" s="3598">
        <v>24750</v>
      </c>
      <c r="D344" s="3598">
        <v>0</v>
      </c>
      <c r="E344" s="111">
        <v>0</v>
      </c>
      <c r="F344" s="456">
        <v>517531</v>
      </c>
      <c r="G344" s="3598">
        <v>10857</v>
      </c>
      <c r="H344" s="3598">
        <v>0</v>
      </c>
      <c r="I344" s="71">
        <v>0</v>
      </c>
      <c r="J344" s="456">
        <v>1919032</v>
      </c>
      <c r="K344" s="3598">
        <v>13212</v>
      </c>
      <c r="L344" s="3598">
        <v>0</v>
      </c>
      <c r="M344" s="71">
        <v>0</v>
      </c>
      <c r="N344" s="456">
        <v>13291</v>
      </c>
      <c r="O344" s="3598">
        <v>0</v>
      </c>
      <c r="P344" s="3598">
        <v>0</v>
      </c>
      <c r="Q344" s="71">
        <v>0</v>
      </c>
      <c r="R344" s="111">
        <v>2971344</v>
      </c>
      <c r="S344" s="3598">
        <v>120731</v>
      </c>
      <c r="T344" s="3598">
        <v>0</v>
      </c>
      <c r="U344" s="71">
        <v>586</v>
      </c>
      <c r="V344" s="2520">
        <v>62234</v>
      </c>
      <c r="W344" s="2520">
        <v>425688</v>
      </c>
      <c r="X344" s="2520">
        <v>45346</v>
      </c>
      <c r="Y344" s="2522">
        <v>336661</v>
      </c>
    </row>
    <row r="345" spans="1:25">
      <c r="A345" s="53">
        <f>A333+1</f>
        <v>2020.12</v>
      </c>
      <c r="B345" s="214">
        <v>550228</v>
      </c>
      <c r="C345" s="3598">
        <v>0</v>
      </c>
      <c r="D345" s="3598">
        <v>0</v>
      </c>
      <c r="E345" s="111">
        <v>0</v>
      </c>
      <c r="F345" s="456">
        <v>109024</v>
      </c>
      <c r="G345" s="3598">
        <v>0</v>
      </c>
      <c r="H345" s="3598">
        <v>0</v>
      </c>
      <c r="I345" s="71">
        <v>0</v>
      </c>
      <c r="J345" s="456">
        <v>400538</v>
      </c>
      <c r="K345" s="3598">
        <v>0</v>
      </c>
      <c r="L345" s="3598">
        <v>0</v>
      </c>
      <c r="M345" s="71">
        <v>0</v>
      </c>
      <c r="N345" s="456">
        <v>15423</v>
      </c>
      <c r="O345" s="3598">
        <v>0</v>
      </c>
      <c r="P345" s="3598">
        <v>0</v>
      </c>
      <c r="Q345" s="71">
        <v>0</v>
      </c>
      <c r="R345" s="111">
        <v>808184</v>
      </c>
      <c r="S345" s="3598">
        <v>14614</v>
      </c>
      <c r="T345" s="3598">
        <v>75</v>
      </c>
      <c r="U345" s="71">
        <v>180</v>
      </c>
      <c r="V345" s="2520">
        <v>58111</v>
      </c>
      <c r="W345" s="2520">
        <v>397876</v>
      </c>
      <c r="X345" s="2520">
        <v>42040</v>
      </c>
      <c r="Y345" s="2522">
        <v>305894</v>
      </c>
    </row>
    <row r="346" spans="1:25">
      <c r="A346" s="53">
        <f t="shared" ref="A346:A409" si="6">A334+1</f>
        <v>2021.01</v>
      </c>
      <c r="B346" s="214">
        <v>2909725</v>
      </c>
      <c r="C346" s="3598">
        <v>74267</v>
      </c>
      <c r="D346" s="3598">
        <v>0</v>
      </c>
      <c r="E346" s="111">
        <v>0</v>
      </c>
      <c r="F346" s="456">
        <v>584815</v>
      </c>
      <c r="G346" s="3598">
        <v>32368</v>
      </c>
      <c r="H346" s="3598">
        <v>0</v>
      </c>
      <c r="I346" s="71">
        <v>0</v>
      </c>
      <c r="J346" s="456">
        <v>2196017</v>
      </c>
      <c r="K346" s="3598">
        <v>36142</v>
      </c>
      <c r="L346" s="3598">
        <v>0</v>
      </c>
      <c r="M346" s="71">
        <v>0</v>
      </c>
      <c r="N346" s="456">
        <v>13938</v>
      </c>
      <c r="O346" s="3598">
        <v>0</v>
      </c>
      <c r="P346" s="3598">
        <v>0</v>
      </c>
      <c r="Q346" s="71">
        <v>0</v>
      </c>
      <c r="R346" s="111">
        <v>3215852</v>
      </c>
      <c r="S346" s="3598">
        <v>164823</v>
      </c>
      <c r="T346" s="3598">
        <v>30</v>
      </c>
      <c r="U346" s="71">
        <v>207</v>
      </c>
      <c r="V346" s="2520">
        <v>63623</v>
      </c>
      <c r="W346" s="2520">
        <v>449606</v>
      </c>
      <c r="X346" s="2520">
        <v>46847</v>
      </c>
      <c r="Y346" s="2522">
        <v>348086</v>
      </c>
    </row>
    <row r="347" spans="1:25">
      <c r="A347" s="53">
        <f t="shared" si="6"/>
        <v>2021.02</v>
      </c>
      <c r="B347" s="214">
        <v>2540386</v>
      </c>
      <c r="C347" s="3598">
        <v>86901</v>
      </c>
      <c r="D347" s="3598">
        <v>0</v>
      </c>
      <c r="E347" s="111">
        <v>0</v>
      </c>
      <c r="F347" s="456">
        <v>513891</v>
      </c>
      <c r="G347" s="3598">
        <v>38116</v>
      </c>
      <c r="H347" s="3598">
        <v>0</v>
      </c>
      <c r="I347" s="71">
        <v>0</v>
      </c>
      <c r="J347" s="456">
        <v>1886251</v>
      </c>
      <c r="K347" s="3598">
        <v>41293</v>
      </c>
      <c r="L347" s="3598">
        <v>0</v>
      </c>
      <c r="M347" s="71">
        <v>0</v>
      </c>
      <c r="N347" s="456">
        <v>11542</v>
      </c>
      <c r="O347" s="3598">
        <v>0</v>
      </c>
      <c r="P347" s="3598">
        <v>0</v>
      </c>
      <c r="Q347" s="71">
        <v>0</v>
      </c>
      <c r="R347" s="111">
        <v>2849225</v>
      </c>
      <c r="S347" s="3598">
        <v>202482</v>
      </c>
      <c r="T347" s="3598">
        <v>149</v>
      </c>
      <c r="U347" s="71">
        <v>203</v>
      </c>
      <c r="V347" s="2520">
        <v>59561</v>
      </c>
      <c r="W347" s="2520">
        <v>439220</v>
      </c>
      <c r="X347" s="2520">
        <v>44113</v>
      </c>
      <c r="Y347" s="2522">
        <v>349181</v>
      </c>
    </row>
    <row r="348" spans="1:25">
      <c r="A348" s="53">
        <f t="shared" si="6"/>
        <v>2021.03</v>
      </c>
      <c r="B348" s="214">
        <v>3066587</v>
      </c>
      <c r="C348" s="3598">
        <v>102693</v>
      </c>
      <c r="D348" s="3598">
        <v>0</v>
      </c>
      <c r="E348" s="111">
        <v>0</v>
      </c>
      <c r="F348" s="456">
        <v>621396</v>
      </c>
      <c r="G348" s="3598">
        <v>44456</v>
      </c>
      <c r="H348" s="3598">
        <v>0</v>
      </c>
      <c r="I348" s="71">
        <v>0</v>
      </c>
      <c r="J348" s="456">
        <v>2284076</v>
      </c>
      <c r="K348" s="3598">
        <v>45699</v>
      </c>
      <c r="L348" s="3598">
        <v>0</v>
      </c>
      <c r="M348" s="71">
        <v>0</v>
      </c>
      <c r="N348" s="456">
        <v>14077</v>
      </c>
      <c r="O348" s="3598">
        <v>0</v>
      </c>
      <c r="P348" s="3598">
        <v>0</v>
      </c>
      <c r="Q348" s="71">
        <v>0</v>
      </c>
      <c r="R348" s="111">
        <v>3393667</v>
      </c>
      <c r="S348" s="3598">
        <v>388663</v>
      </c>
      <c r="T348" s="3598">
        <v>263</v>
      </c>
      <c r="U348" s="71">
        <v>177</v>
      </c>
      <c r="V348" s="2520">
        <v>69189</v>
      </c>
      <c r="W348" s="2520">
        <v>512363</v>
      </c>
      <c r="X348" s="2520">
        <v>50861</v>
      </c>
      <c r="Y348" s="2522">
        <v>415519</v>
      </c>
    </row>
    <row r="349" spans="1:25">
      <c r="A349" s="53">
        <f t="shared" si="6"/>
        <v>2021.04</v>
      </c>
      <c r="B349" s="214">
        <v>3886918</v>
      </c>
      <c r="C349" s="3598">
        <v>58201</v>
      </c>
      <c r="D349" s="3598">
        <v>0</v>
      </c>
      <c r="E349" s="111">
        <v>3949</v>
      </c>
      <c r="F349" s="456">
        <v>785419</v>
      </c>
      <c r="G349" s="3598">
        <v>25521</v>
      </c>
      <c r="H349" s="3598">
        <v>0</v>
      </c>
      <c r="I349" s="71">
        <v>652</v>
      </c>
      <c r="J349" s="456">
        <v>2870820</v>
      </c>
      <c r="K349" s="3598">
        <v>27677</v>
      </c>
      <c r="L349" s="3598">
        <v>0</v>
      </c>
      <c r="M349" s="71">
        <v>2707</v>
      </c>
      <c r="N349" s="456">
        <v>13343</v>
      </c>
      <c r="O349" s="3598">
        <v>0</v>
      </c>
      <c r="P349" s="3598">
        <v>0</v>
      </c>
      <c r="Q349" s="71">
        <v>0</v>
      </c>
      <c r="R349" s="111">
        <v>4206624</v>
      </c>
      <c r="S349" s="3598">
        <v>395543</v>
      </c>
      <c r="T349" s="3598">
        <v>150</v>
      </c>
      <c r="U349" s="71">
        <v>4416</v>
      </c>
      <c r="V349" s="2520">
        <v>69228</v>
      </c>
      <c r="W349" s="2520">
        <v>499302</v>
      </c>
      <c r="X349" s="2520">
        <v>50967</v>
      </c>
      <c r="Y349" s="2522">
        <v>395943</v>
      </c>
    </row>
    <row r="350" spans="1:25">
      <c r="A350" s="53">
        <f t="shared" si="6"/>
        <v>2021.05</v>
      </c>
      <c r="B350" s="214">
        <v>3927520</v>
      </c>
      <c r="C350" s="3598">
        <v>38394</v>
      </c>
      <c r="D350" s="3598">
        <v>0</v>
      </c>
      <c r="E350" s="111">
        <v>24326</v>
      </c>
      <c r="F350" s="456">
        <v>781805</v>
      </c>
      <c r="G350" s="3598">
        <v>17205</v>
      </c>
      <c r="H350" s="3598">
        <v>0</v>
      </c>
      <c r="I350" s="71">
        <v>4098</v>
      </c>
      <c r="J350" s="456">
        <v>2913997</v>
      </c>
      <c r="K350" s="3598">
        <v>19246</v>
      </c>
      <c r="L350" s="3598">
        <v>0</v>
      </c>
      <c r="M350" s="71">
        <v>17295</v>
      </c>
      <c r="N350" s="456">
        <v>12852</v>
      </c>
      <c r="O350" s="3598">
        <v>0</v>
      </c>
      <c r="P350" s="3598">
        <v>0</v>
      </c>
      <c r="Q350" s="71">
        <v>0</v>
      </c>
      <c r="R350" s="111">
        <v>4297568</v>
      </c>
      <c r="S350" s="3598">
        <v>334791</v>
      </c>
      <c r="T350" s="3598">
        <v>50</v>
      </c>
      <c r="U350" s="71">
        <v>24908</v>
      </c>
      <c r="V350" s="2520">
        <v>71869</v>
      </c>
      <c r="W350" s="2520">
        <v>523807</v>
      </c>
      <c r="X350" s="2520">
        <v>52864</v>
      </c>
      <c r="Y350" s="2522">
        <v>413641</v>
      </c>
    </row>
    <row r="351" spans="1:25">
      <c r="A351" s="53">
        <f t="shared" si="6"/>
        <v>2021.06</v>
      </c>
      <c r="B351" s="214">
        <v>3781098</v>
      </c>
      <c r="C351" s="3598">
        <v>64980</v>
      </c>
      <c r="D351" s="3598">
        <v>0</v>
      </c>
      <c r="E351" s="111">
        <v>28136</v>
      </c>
      <c r="F351" s="456">
        <v>762456</v>
      </c>
      <c r="G351" s="3598">
        <v>28434</v>
      </c>
      <c r="H351" s="3598">
        <v>0</v>
      </c>
      <c r="I351" s="71">
        <v>4783</v>
      </c>
      <c r="J351" s="456">
        <v>2860018</v>
      </c>
      <c r="K351" s="3598">
        <v>30360</v>
      </c>
      <c r="L351" s="3598">
        <v>0</v>
      </c>
      <c r="M351" s="71">
        <v>19315</v>
      </c>
      <c r="N351" s="456">
        <v>14978</v>
      </c>
      <c r="O351" s="3598">
        <v>0</v>
      </c>
      <c r="P351" s="3598">
        <v>0</v>
      </c>
      <c r="Q351" s="71">
        <v>0</v>
      </c>
      <c r="R351" s="111">
        <v>4092647</v>
      </c>
      <c r="S351" s="3598">
        <v>365178</v>
      </c>
      <c r="T351" s="3598">
        <v>200</v>
      </c>
      <c r="U351" s="71">
        <v>28766</v>
      </c>
      <c r="V351" s="2520">
        <v>70331</v>
      </c>
      <c r="W351" s="2520">
        <v>516376</v>
      </c>
      <c r="X351" s="2520">
        <v>50932</v>
      </c>
      <c r="Y351" s="2522">
        <v>402215</v>
      </c>
    </row>
    <row r="352" spans="1:25">
      <c r="A352" s="53">
        <f t="shared" si="6"/>
        <v>2021.07</v>
      </c>
      <c r="B352" s="214">
        <v>3441848</v>
      </c>
      <c r="C352" s="3598">
        <v>71893</v>
      </c>
      <c r="D352" s="3598">
        <v>0</v>
      </c>
      <c r="E352" s="111">
        <v>26753</v>
      </c>
      <c r="F352" s="456">
        <v>681160</v>
      </c>
      <c r="G352" s="3598">
        <v>31403</v>
      </c>
      <c r="H352" s="3598">
        <v>0</v>
      </c>
      <c r="I352" s="71">
        <v>4548</v>
      </c>
      <c r="J352" s="456">
        <v>2524403</v>
      </c>
      <c r="K352" s="3598">
        <v>33688</v>
      </c>
      <c r="L352" s="3598">
        <v>0</v>
      </c>
      <c r="M352" s="71">
        <v>18327</v>
      </c>
      <c r="N352" s="456">
        <v>15301</v>
      </c>
      <c r="O352" s="3598">
        <v>0</v>
      </c>
      <c r="P352" s="3598">
        <v>0</v>
      </c>
      <c r="Q352" s="71">
        <v>0</v>
      </c>
      <c r="R352" s="111">
        <v>3851350</v>
      </c>
      <c r="S352" s="3598">
        <v>325984</v>
      </c>
      <c r="T352" s="3598">
        <v>65</v>
      </c>
      <c r="U352" s="71">
        <v>27323</v>
      </c>
      <c r="V352" s="2520">
        <v>76984</v>
      </c>
      <c r="W352" s="2520">
        <v>543862</v>
      </c>
      <c r="X352" s="2520">
        <v>55599</v>
      </c>
      <c r="Y352" s="2522">
        <v>428668</v>
      </c>
    </row>
    <row r="353" spans="1:25">
      <c r="A353" s="53">
        <f t="shared" si="6"/>
        <v>2021.08</v>
      </c>
      <c r="B353" s="214">
        <v>3202173</v>
      </c>
      <c r="C353" s="3598">
        <v>45004</v>
      </c>
      <c r="D353" s="3598">
        <v>0</v>
      </c>
      <c r="E353" s="111">
        <v>13793</v>
      </c>
      <c r="F353" s="456">
        <v>635425</v>
      </c>
      <c r="G353" s="3598">
        <v>19695</v>
      </c>
      <c r="H353" s="3598">
        <v>0</v>
      </c>
      <c r="I353" s="71">
        <v>2345</v>
      </c>
      <c r="J353" s="456">
        <v>2348590</v>
      </c>
      <c r="K353" s="3598">
        <v>22573</v>
      </c>
      <c r="L353" s="3598">
        <v>0</v>
      </c>
      <c r="M353" s="71">
        <v>9744</v>
      </c>
      <c r="N353" s="456">
        <v>16762</v>
      </c>
      <c r="O353" s="3598">
        <v>0</v>
      </c>
      <c r="P353" s="3598">
        <v>0</v>
      </c>
      <c r="Q353" s="71">
        <v>0</v>
      </c>
      <c r="R353" s="111">
        <v>3569891</v>
      </c>
      <c r="S353" s="3598">
        <v>299808</v>
      </c>
      <c r="T353" s="3598">
        <v>0</v>
      </c>
      <c r="U353" s="71">
        <v>14358</v>
      </c>
      <c r="V353" s="2520">
        <v>74184</v>
      </c>
      <c r="W353" s="2520">
        <v>521742</v>
      </c>
      <c r="X353" s="2520">
        <v>54268</v>
      </c>
      <c r="Y353" s="2522">
        <v>415449</v>
      </c>
    </row>
    <row r="354" spans="1:25">
      <c r="A354" s="53">
        <f t="shared" si="6"/>
        <v>2021.09</v>
      </c>
      <c r="B354" s="214">
        <v>3240968</v>
      </c>
      <c r="C354" s="3598">
        <v>37983</v>
      </c>
      <c r="D354" s="3598">
        <v>0</v>
      </c>
      <c r="E354" s="111">
        <v>16777</v>
      </c>
      <c r="F354" s="456">
        <v>629861</v>
      </c>
      <c r="G354" s="3598">
        <v>16962</v>
      </c>
      <c r="H354" s="3598">
        <v>0</v>
      </c>
      <c r="I354" s="71">
        <v>2968</v>
      </c>
      <c r="J354" s="456">
        <v>2407448</v>
      </c>
      <c r="K354" s="3598">
        <v>19538</v>
      </c>
      <c r="L354" s="3598">
        <v>0</v>
      </c>
      <c r="M354" s="71">
        <v>11517</v>
      </c>
      <c r="N354" s="456">
        <v>17457</v>
      </c>
      <c r="O354" s="3598">
        <v>0</v>
      </c>
      <c r="P354" s="3598">
        <v>0</v>
      </c>
      <c r="Q354" s="71">
        <v>0</v>
      </c>
      <c r="R354" s="111">
        <v>3697468</v>
      </c>
      <c r="S354" s="3598">
        <v>202457</v>
      </c>
      <c r="T354" s="3598">
        <v>30</v>
      </c>
      <c r="U354" s="71">
        <v>17509</v>
      </c>
      <c r="V354" s="2520">
        <v>71996</v>
      </c>
      <c r="W354" s="2520">
        <v>513434</v>
      </c>
      <c r="X354" s="2520">
        <v>52636</v>
      </c>
      <c r="Y354" s="2522">
        <v>405682</v>
      </c>
    </row>
    <row r="355" spans="1:25">
      <c r="A355" s="53">
        <f t="shared" si="6"/>
        <v>2021.1</v>
      </c>
      <c r="B355" s="214">
        <v>3067193</v>
      </c>
      <c r="C355" s="3598">
        <v>12177</v>
      </c>
      <c r="D355" s="3598">
        <v>0</v>
      </c>
      <c r="E355" s="111">
        <v>0</v>
      </c>
      <c r="F355" s="456">
        <v>613355</v>
      </c>
      <c r="G355" s="3598">
        <v>5373</v>
      </c>
      <c r="H355" s="3598">
        <v>0</v>
      </c>
      <c r="I355" s="71">
        <v>0</v>
      </c>
      <c r="J355" s="456">
        <v>2299797</v>
      </c>
      <c r="K355" s="3598">
        <v>6267</v>
      </c>
      <c r="L355" s="3598">
        <v>0</v>
      </c>
      <c r="M355" s="71">
        <v>0</v>
      </c>
      <c r="N355" s="456">
        <v>14987</v>
      </c>
      <c r="O355" s="3598">
        <v>0</v>
      </c>
      <c r="P355" s="3598">
        <v>0</v>
      </c>
      <c r="Q355" s="71">
        <v>0</v>
      </c>
      <c r="R355" s="111">
        <v>3327002</v>
      </c>
      <c r="S355" s="3598">
        <v>153150</v>
      </c>
      <c r="T355" s="3598">
        <v>30</v>
      </c>
      <c r="U355" s="71">
        <v>664</v>
      </c>
      <c r="V355" s="2520">
        <v>70086</v>
      </c>
      <c r="W355" s="2520">
        <v>478038</v>
      </c>
      <c r="X355" s="2520">
        <v>51521</v>
      </c>
      <c r="Y355" s="2522">
        <v>377091</v>
      </c>
    </row>
    <row r="356" spans="1:25">
      <c r="A356" s="53">
        <f t="shared" si="6"/>
        <v>2021.11</v>
      </c>
      <c r="B356" s="214">
        <v>2515583</v>
      </c>
      <c r="C356" s="3598">
        <v>20615</v>
      </c>
      <c r="D356" s="3598">
        <v>0</v>
      </c>
      <c r="E356" s="111">
        <v>0</v>
      </c>
      <c r="F356" s="456">
        <v>504598</v>
      </c>
      <c r="G356" s="3598">
        <v>9275</v>
      </c>
      <c r="H356" s="3598">
        <v>0</v>
      </c>
      <c r="I356" s="71">
        <v>0</v>
      </c>
      <c r="J356" s="456">
        <v>1837077</v>
      </c>
      <c r="K356" s="3598">
        <v>10326</v>
      </c>
      <c r="L356" s="3598">
        <v>0</v>
      </c>
      <c r="M356" s="71">
        <v>0</v>
      </c>
      <c r="N356" s="456">
        <v>14855</v>
      </c>
      <c r="O356" s="3598">
        <v>0</v>
      </c>
      <c r="P356" s="3598">
        <v>0</v>
      </c>
      <c r="Q356" s="71">
        <v>0</v>
      </c>
      <c r="R356" s="111">
        <v>2909133</v>
      </c>
      <c r="S356" s="3598">
        <v>147237</v>
      </c>
      <c r="T356" s="3598">
        <v>0</v>
      </c>
      <c r="U356" s="71">
        <v>714</v>
      </c>
      <c r="V356" s="2520">
        <v>72497</v>
      </c>
      <c r="W356" s="2520">
        <v>459140</v>
      </c>
      <c r="X356" s="2520">
        <v>52567</v>
      </c>
      <c r="Y356" s="2522">
        <v>362712</v>
      </c>
    </row>
    <row r="357" spans="1:25">
      <c r="A357" s="53">
        <f t="shared" si="6"/>
        <v>2021.12</v>
      </c>
      <c r="B357" s="214">
        <v>2516638</v>
      </c>
      <c r="C357" s="3598">
        <v>42405</v>
      </c>
      <c r="D357" s="3598">
        <v>0</v>
      </c>
      <c r="E357" s="111">
        <v>0</v>
      </c>
      <c r="F357" s="456">
        <v>503685</v>
      </c>
      <c r="G357" s="3598">
        <v>19023</v>
      </c>
      <c r="H357" s="3598">
        <v>0</v>
      </c>
      <c r="I357" s="71">
        <v>0</v>
      </c>
      <c r="J357" s="456">
        <v>1860880</v>
      </c>
      <c r="K357" s="3598">
        <v>19943</v>
      </c>
      <c r="L357" s="3598">
        <v>0</v>
      </c>
      <c r="M357" s="71">
        <v>0</v>
      </c>
      <c r="N357" s="456">
        <v>14528</v>
      </c>
      <c r="O357" s="3598">
        <v>0</v>
      </c>
      <c r="P357" s="3598">
        <v>0</v>
      </c>
      <c r="Q357" s="71">
        <v>0</v>
      </c>
      <c r="R357" s="111">
        <v>2950093</v>
      </c>
      <c r="S357" s="3598">
        <v>119990</v>
      </c>
      <c r="T357" s="3598">
        <v>20</v>
      </c>
      <c r="U357" s="71">
        <v>0</v>
      </c>
      <c r="V357" s="2520">
        <v>67919</v>
      </c>
      <c r="W357" s="2520">
        <v>452723</v>
      </c>
      <c r="X357" s="2520">
        <v>50366</v>
      </c>
      <c r="Y357" s="2522">
        <v>356626</v>
      </c>
    </row>
    <row r="358" spans="1:25">
      <c r="A358" s="53">
        <f t="shared" si="6"/>
        <v>2022.01</v>
      </c>
      <c r="B358" s="214">
        <v>2161154</v>
      </c>
      <c r="C358" s="3598">
        <v>125809</v>
      </c>
      <c r="D358" s="3598">
        <v>0</v>
      </c>
      <c r="E358" s="111">
        <v>0</v>
      </c>
      <c r="F358" s="456">
        <v>431346</v>
      </c>
      <c r="G358" s="3598">
        <v>54700</v>
      </c>
      <c r="H358" s="3598">
        <v>0</v>
      </c>
      <c r="I358" s="71">
        <v>0</v>
      </c>
      <c r="J358" s="456">
        <v>1596426</v>
      </c>
      <c r="K358" s="3598">
        <v>57131</v>
      </c>
      <c r="L358" s="3598">
        <v>0</v>
      </c>
      <c r="M358" s="71">
        <v>0</v>
      </c>
      <c r="N358" s="456">
        <v>14264</v>
      </c>
      <c r="O358" s="3598">
        <v>0</v>
      </c>
      <c r="P358" s="3598">
        <v>0</v>
      </c>
      <c r="Q358" s="71">
        <v>0</v>
      </c>
      <c r="R358" s="111">
        <v>2517871</v>
      </c>
      <c r="S358" s="3598">
        <v>165313</v>
      </c>
      <c r="T358" s="3598">
        <v>20</v>
      </c>
      <c r="U358" s="71">
        <v>209</v>
      </c>
      <c r="V358" s="2520">
        <v>62069</v>
      </c>
      <c r="W358" s="2520">
        <v>423495</v>
      </c>
      <c r="X358" s="2520">
        <v>46188</v>
      </c>
      <c r="Y358" s="2522">
        <v>331382</v>
      </c>
    </row>
    <row r="359" spans="1:25">
      <c r="A359" s="53">
        <f t="shared" si="6"/>
        <v>2022.02</v>
      </c>
      <c r="B359" s="214">
        <v>2326122</v>
      </c>
      <c r="C359" s="3598">
        <v>135953</v>
      </c>
      <c r="D359" s="3598">
        <v>0</v>
      </c>
      <c r="E359" s="111">
        <v>0</v>
      </c>
      <c r="F359" s="456">
        <v>462088</v>
      </c>
      <c r="G359" s="3598">
        <v>58713</v>
      </c>
      <c r="H359" s="3598">
        <v>0</v>
      </c>
      <c r="I359" s="71">
        <v>0</v>
      </c>
      <c r="J359" s="456">
        <v>1725249</v>
      </c>
      <c r="K359" s="3598">
        <v>63997</v>
      </c>
      <c r="L359" s="3598">
        <v>0</v>
      </c>
      <c r="M359" s="71">
        <v>0</v>
      </c>
      <c r="N359" s="456">
        <v>13204</v>
      </c>
      <c r="O359" s="3598">
        <v>0</v>
      </c>
      <c r="P359" s="3598">
        <v>0</v>
      </c>
      <c r="Q359" s="71">
        <v>0</v>
      </c>
      <c r="R359" s="111">
        <v>2643817</v>
      </c>
      <c r="S359" s="3598">
        <v>236135</v>
      </c>
      <c r="T359" s="3598">
        <v>100</v>
      </c>
      <c r="U359" s="71">
        <v>426</v>
      </c>
      <c r="V359" s="2520">
        <v>64809</v>
      </c>
      <c r="W359" s="2520">
        <v>460397</v>
      </c>
      <c r="X359" s="2520">
        <v>46852</v>
      </c>
      <c r="Y359" s="2522">
        <v>354393</v>
      </c>
    </row>
    <row r="360" spans="1:25">
      <c r="A360" s="53">
        <f t="shared" si="6"/>
        <v>2022.03</v>
      </c>
      <c r="B360" s="214">
        <v>2692235</v>
      </c>
      <c r="C360" s="3598">
        <v>137589</v>
      </c>
      <c r="D360" s="3598">
        <v>0</v>
      </c>
      <c r="E360" s="111">
        <v>0</v>
      </c>
      <c r="F360" s="456">
        <v>538260</v>
      </c>
      <c r="G360" s="3598">
        <v>61067</v>
      </c>
      <c r="H360" s="3598">
        <v>0</v>
      </c>
      <c r="I360" s="71">
        <v>0</v>
      </c>
      <c r="J360" s="456">
        <v>1982395</v>
      </c>
      <c r="K360" s="3598">
        <v>53678</v>
      </c>
      <c r="L360" s="3598">
        <v>0</v>
      </c>
      <c r="M360" s="71">
        <v>83</v>
      </c>
      <c r="N360" s="456">
        <v>14249</v>
      </c>
      <c r="O360" s="3598">
        <v>0</v>
      </c>
      <c r="P360" s="3598">
        <v>0</v>
      </c>
      <c r="Q360" s="71">
        <v>0</v>
      </c>
      <c r="R360" s="111">
        <v>2934752</v>
      </c>
      <c r="S360" s="3598">
        <v>400691</v>
      </c>
      <c r="T360" s="3598">
        <v>50</v>
      </c>
      <c r="U360" s="71">
        <v>474</v>
      </c>
      <c r="V360" s="2520">
        <v>73350</v>
      </c>
      <c r="W360" s="2520">
        <v>552742</v>
      </c>
      <c r="X360" s="2520">
        <v>52751</v>
      </c>
      <c r="Y360" s="2522">
        <v>428620</v>
      </c>
    </row>
    <row r="361" spans="1:25">
      <c r="A361" s="53">
        <f t="shared" si="6"/>
        <v>2022.04</v>
      </c>
      <c r="B361" s="214">
        <v>3586350</v>
      </c>
      <c r="C361" s="3598">
        <v>118864</v>
      </c>
      <c r="D361" s="3598">
        <v>0</v>
      </c>
      <c r="E361" s="111">
        <v>0</v>
      </c>
      <c r="F361" s="456">
        <v>720141</v>
      </c>
      <c r="G361" s="3598">
        <v>53225</v>
      </c>
      <c r="H361" s="3598">
        <v>0</v>
      </c>
      <c r="I361" s="71">
        <v>0</v>
      </c>
      <c r="J361" s="456">
        <v>2640310</v>
      </c>
      <c r="K361" s="3598">
        <v>53958</v>
      </c>
      <c r="L361" s="3598">
        <v>0</v>
      </c>
      <c r="M361" s="71">
        <v>0</v>
      </c>
      <c r="N361" s="456">
        <v>14586</v>
      </c>
      <c r="O361" s="3598">
        <v>729</v>
      </c>
      <c r="P361" s="3598">
        <v>0</v>
      </c>
      <c r="Q361" s="71">
        <v>0</v>
      </c>
      <c r="R361" s="111">
        <v>3927838</v>
      </c>
      <c r="S361" s="3598">
        <v>429264</v>
      </c>
      <c r="T361" s="3598">
        <v>0</v>
      </c>
      <c r="U361" s="71">
        <v>565</v>
      </c>
      <c r="V361" s="2520">
        <v>69127</v>
      </c>
      <c r="W361" s="2520">
        <v>499060</v>
      </c>
      <c r="X361" s="2520">
        <v>51405</v>
      </c>
      <c r="Y361" s="2522">
        <v>398892</v>
      </c>
    </row>
    <row r="362" spans="1:25">
      <c r="A362" s="53">
        <f t="shared" si="6"/>
        <v>2022.05</v>
      </c>
      <c r="B362" s="214">
        <v>3788758</v>
      </c>
      <c r="C362" s="3598">
        <v>95686</v>
      </c>
      <c r="D362" s="3598">
        <v>0</v>
      </c>
      <c r="E362" s="111">
        <v>20267</v>
      </c>
      <c r="F362" s="456">
        <v>731497</v>
      </c>
      <c r="G362" s="3598">
        <v>41630</v>
      </c>
      <c r="H362" s="3598">
        <v>0</v>
      </c>
      <c r="I362" s="71">
        <v>3313</v>
      </c>
      <c r="J362" s="456">
        <v>2818386</v>
      </c>
      <c r="K362" s="3598">
        <v>44041</v>
      </c>
      <c r="L362" s="3598">
        <v>0</v>
      </c>
      <c r="M362" s="71">
        <v>14473</v>
      </c>
      <c r="N362" s="456">
        <v>16519</v>
      </c>
      <c r="O362" s="3598">
        <v>712</v>
      </c>
      <c r="P362" s="3598">
        <v>0</v>
      </c>
      <c r="Q362" s="71">
        <v>0</v>
      </c>
      <c r="R362" s="111">
        <v>4142910</v>
      </c>
      <c r="S362" s="3598">
        <v>361566</v>
      </c>
      <c r="T362" s="3598">
        <v>70</v>
      </c>
      <c r="U362" s="71">
        <v>38900</v>
      </c>
      <c r="V362" s="2520">
        <v>69647</v>
      </c>
      <c r="W362" s="2520">
        <v>516972</v>
      </c>
      <c r="X362" s="2520">
        <v>51972</v>
      </c>
      <c r="Y362" s="2522">
        <v>414530</v>
      </c>
    </row>
    <row r="363" spans="1:25">
      <c r="A363" s="53">
        <f t="shared" si="6"/>
        <v>2022.06</v>
      </c>
      <c r="B363" s="214">
        <v>3584654</v>
      </c>
      <c r="C363" s="3598">
        <v>102181</v>
      </c>
      <c r="D363" s="3598">
        <v>0</v>
      </c>
      <c r="E363" s="111">
        <v>19987</v>
      </c>
      <c r="F363" s="456">
        <v>690370</v>
      </c>
      <c r="G363" s="3598">
        <v>47795</v>
      </c>
      <c r="H363" s="3598">
        <v>0</v>
      </c>
      <c r="I363" s="71">
        <v>3306</v>
      </c>
      <c r="J363" s="456">
        <v>2654522</v>
      </c>
      <c r="K363" s="3598">
        <v>46442</v>
      </c>
      <c r="L363" s="3598">
        <v>0</v>
      </c>
      <c r="M363" s="71">
        <v>13660</v>
      </c>
      <c r="N363" s="456">
        <v>17081</v>
      </c>
      <c r="O363" s="3598">
        <v>889</v>
      </c>
      <c r="P363" s="3598">
        <v>0</v>
      </c>
      <c r="Q363" s="71">
        <v>0</v>
      </c>
      <c r="R363" s="111">
        <v>3931703</v>
      </c>
      <c r="S363" s="3598">
        <v>408529</v>
      </c>
      <c r="T363" s="3598">
        <v>85</v>
      </c>
      <c r="U363" s="71">
        <v>20460</v>
      </c>
      <c r="V363" s="2520">
        <v>66383</v>
      </c>
      <c r="W363" s="2520">
        <v>520320</v>
      </c>
      <c r="X363" s="2520">
        <v>49014</v>
      </c>
      <c r="Y363" s="2522">
        <v>413686</v>
      </c>
    </row>
    <row r="364" spans="1:25">
      <c r="A364" s="53">
        <f t="shared" si="6"/>
        <v>2022.07</v>
      </c>
      <c r="B364" s="214">
        <v>3101789</v>
      </c>
      <c r="C364" s="3598">
        <v>91136</v>
      </c>
      <c r="D364" s="3598">
        <v>0</v>
      </c>
      <c r="E364" s="111">
        <v>27608</v>
      </c>
      <c r="F364" s="456">
        <v>598844</v>
      </c>
      <c r="G364" s="3598">
        <v>39501</v>
      </c>
      <c r="H364" s="3598">
        <v>0</v>
      </c>
      <c r="I364" s="71">
        <v>4555</v>
      </c>
      <c r="J364" s="456">
        <v>2287091</v>
      </c>
      <c r="K364" s="3598">
        <v>41691</v>
      </c>
      <c r="L364" s="3598">
        <v>0</v>
      </c>
      <c r="M364" s="71">
        <v>19349</v>
      </c>
      <c r="N364" s="456">
        <v>16661</v>
      </c>
      <c r="O364" s="3598">
        <v>956</v>
      </c>
      <c r="P364" s="3598">
        <v>0</v>
      </c>
      <c r="Q364" s="71">
        <v>0</v>
      </c>
      <c r="R364" s="111">
        <v>3479766</v>
      </c>
      <c r="S364" s="3598">
        <v>377426</v>
      </c>
      <c r="T364" s="3598">
        <v>0</v>
      </c>
      <c r="U364" s="71">
        <v>27953</v>
      </c>
      <c r="V364" s="2520">
        <v>71111</v>
      </c>
      <c r="W364" s="2520">
        <v>542581</v>
      </c>
      <c r="X364" s="2520">
        <v>53512.960396495371</v>
      </c>
      <c r="Y364" s="2522">
        <v>454800</v>
      </c>
    </row>
    <row r="365" spans="1:25">
      <c r="A365" s="53">
        <f t="shared" si="6"/>
        <v>2022.08</v>
      </c>
      <c r="B365" s="214">
        <v>2731382</v>
      </c>
      <c r="C365" s="3598">
        <v>46028</v>
      </c>
      <c r="D365" s="3598">
        <v>0</v>
      </c>
      <c r="E365" s="111">
        <v>21962</v>
      </c>
      <c r="F365" s="456">
        <v>527782</v>
      </c>
      <c r="G365" s="3598">
        <v>20246</v>
      </c>
      <c r="H365" s="3598">
        <v>0</v>
      </c>
      <c r="I365" s="71">
        <v>3721</v>
      </c>
      <c r="J365" s="456">
        <v>2013223</v>
      </c>
      <c r="K365" s="3598">
        <v>23209</v>
      </c>
      <c r="L365" s="3598">
        <v>0</v>
      </c>
      <c r="M365" s="71">
        <v>15726</v>
      </c>
      <c r="N365" s="456">
        <v>20169</v>
      </c>
      <c r="O365" s="3598">
        <v>861</v>
      </c>
      <c r="P365" s="3598">
        <v>0</v>
      </c>
      <c r="Q365" s="71">
        <v>0</v>
      </c>
      <c r="R365" s="111">
        <v>3146980</v>
      </c>
      <c r="S365" s="3598">
        <v>312395</v>
      </c>
      <c r="T365" s="3598">
        <v>63</v>
      </c>
      <c r="U365" s="71">
        <v>22708</v>
      </c>
      <c r="V365" s="2520">
        <v>68752</v>
      </c>
      <c r="W365" s="2520">
        <v>525861</v>
      </c>
      <c r="X365" s="2520">
        <v>48272</v>
      </c>
      <c r="Y365" s="2522">
        <v>415118</v>
      </c>
    </row>
    <row r="366" spans="1:25">
      <c r="A366" s="53">
        <f t="shared" si="6"/>
        <v>2022.09</v>
      </c>
      <c r="B366" s="214">
        <v>2658635</v>
      </c>
      <c r="C366" s="3598">
        <v>48437</v>
      </c>
      <c r="D366" s="3598">
        <v>0</v>
      </c>
      <c r="E366" s="111">
        <v>23237</v>
      </c>
      <c r="F366" s="456">
        <v>516647</v>
      </c>
      <c r="G366" s="3598">
        <v>21822</v>
      </c>
      <c r="H366" s="3598">
        <v>0</v>
      </c>
      <c r="I366" s="71">
        <v>3732</v>
      </c>
      <c r="J366" s="456">
        <v>1960253</v>
      </c>
      <c r="K366" s="3598">
        <v>24460</v>
      </c>
      <c r="L366" s="3598">
        <v>0</v>
      </c>
      <c r="M366" s="71">
        <v>16368</v>
      </c>
      <c r="N366" s="456">
        <v>17781</v>
      </c>
      <c r="O366" s="3598">
        <v>556</v>
      </c>
      <c r="P366" s="3598">
        <v>0</v>
      </c>
      <c r="Q366" s="71">
        <v>0</v>
      </c>
      <c r="R366" s="111">
        <v>2873464</v>
      </c>
      <c r="S366" s="3598">
        <v>202234</v>
      </c>
      <c r="T366" s="3598">
        <v>0</v>
      </c>
      <c r="U366" s="71">
        <v>23919</v>
      </c>
      <c r="V366" s="2520">
        <v>65187</v>
      </c>
      <c r="W366" s="2520">
        <v>503392</v>
      </c>
      <c r="X366" s="2520">
        <v>48967</v>
      </c>
      <c r="Y366" s="2522">
        <v>400680</v>
      </c>
    </row>
    <row r="367" spans="1:25">
      <c r="A367" s="53">
        <f t="shared" si="6"/>
        <v>2022.1</v>
      </c>
      <c r="B367" s="214">
        <v>2493611</v>
      </c>
      <c r="C367" s="3598">
        <v>33897</v>
      </c>
      <c r="D367" s="3598">
        <v>0</v>
      </c>
      <c r="E367" s="111">
        <v>10537</v>
      </c>
      <c r="F367" s="456">
        <v>488740</v>
      </c>
      <c r="G367" s="3598">
        <v>14780</v>
      </c>
      <c r="H367" s="3598">
        <v>0</v>
      </c>
      <c r="I367" s="71">
        <v>1686</v>
      </c>
      <c r="J367" s="456">
        <v>1843616</v>
      </c>
      <c r="K367" s="3598">
        <v>17206</v>
      </c>
      <c r="L367" s="3598">
        <v>0</v>
      </c>
      <c r="M367" s="71">
        <v>7870</v>
      </c>
      <c r="N367" s="456">
        <v>16334</v>
      </c>
      <c r="O367" s="3598">
        <v>400</v>
      </c>
      <c r="P367" s="3598">
        <v>0</v>
      </c>
      <c r="Q367" s="71">
        <v>0</v>
      </c>
      <c r="R367" s="111">
        <v>2916139</v>
      </c>
      <c r="S367" s="3598">
        <v>150518</v>
      </c>
      <c r="T367" s="3598">
        <v>78</v>
      </c>
      <c r="U367" s="71">
        <v>11327</v>
      </c>
      <c r="V367" s="2520">
        <v>60741</v>
      </c>
      <c r="W367" s="2520">
        <v>469650</v>
      </c>
      <c r="X367" s="2520">
        <v>44865</v>
      </c>
      <c r="Y367" s="2522">
        <v>429567</v>
      </c>
    </row>
    <row r="368" spans="1:25">
      <c r="A368" s="53">
        <f t="shared" si="6"/>
        <v>2022.11</v>
      </c>
      <c r="B368" s="214">
        <v>2900448</v>
      </c>
      <c r="C368" s="3598">
        <v>15626</v>
      </c>
      <c r="D368" s="3598">
        <v>0</v>
      </c>
      <c r="E368" s="111">
        <v>2374</v>
      </c>
      <c r="F368" s="456">
        <v>569045</v>
      </c>
      <c r="G368" s="3598">
        <v>7015</v>
      </c>
      <c r="H368" s="3598">
        <v>0</v>
      </c>
      <c r="I368" s="71">
        <v>311</v>
      </c>
      <c r="J368" s="456">
        <v>2141567</v>
      </c>
      <c r="K368" s="3598">
        <v>8724</v>
      </c>
      <c r="L368" s="3598">
        <v>0</v>
      </c>
      <c r="M368" s="71">
        <v>1613</v>
      </c>
      <c r="N368" s="456">
        <v>16738</v>
      </c>
      <c r="O368" s="3598">
        <v>324</v>
      </c>
      <c r="P368" s="3598">
        <v>0</v>
      </c>
      <c r="Q368" s="71">
        <v>0</v>
      </c>
      <c r="R368" s="111">
        <v>3323050</v>
      </c>
      <c r="S368" s="3598">
        <v>150460</v>
      </c>
      <c r="T368" s="3598">
        <v>0</v>
      </c>
      <c r="U368" s="71">
        <v>2897</v>
      </c>
      <c r="V368" s="2520">
        <v>64522</v>
      </c>
      <c r="W368" s="2520">
        <v>480287</v>
      </c>
      <c r="X368" s="2520">
        <v>48076</v>
      </c>
      <c r="Y368" s="2522">
        <v>447898</v>
      </c>
    </row>
    <row r="369" spans="1:25">
      <c r="A369" s="53">
        <f t="shared" si="6"/>
        <v>2022.12</v>
      </c>
      <c r="B369" s="214">
        <v>2276268</v>
      </c>
      <c r="C369" s="3598">
        <v>40448</v>
      </c>
      <c r="D369" s="3598">
        <v>0</v>
      </c>
      <c r="E369" s="111">
        <v>19</v>
      </c>
      <c r="F369" s="456">
        <v>444965</v>
      </c>
      <c r="G369" s="3598">
        <v>17895</v>
      </c>
      <c r="H369" s="3598">
        <v>0</v>
      </c>
      <c r="I369" s="71">
        <v>0</v>
      </c>
      <c r="J369" s="456">
        <v>1670781</v>
      </c>
      <c r="K369" s="3598">
        <v>20863</v>
      </c>
      <c r="L369" s="3598">
        <v>0</v>
      </c>
      <c r="M369" s="71">
        <v>0</v>
      </c>
      <c r="N369" s="456">
        <v>15023</v>
      </c>
      <c r="O369" s="3598">
        <v>131</v>
      </c>
      <c r="P369" s="3598">
        <v>0</v>
      </c>
      <c r="Q369" s="71">
        <v>0</v>
      </c>
      <c r="R369" s="111">
        <v>2622045</v>
      </c>
      <c r="S369" s="3598">
        <v>189318</v>
      </c>
      <c r="T369" s="3598">
        <v>0</v>
      </c>
      <c r="U369" s="71">
        <v>623</v>
      </c>
      <c r="V369" s="2520">
        <v>58424</v>
      </c>
      <c r="W369" s="2520">
        <v>447361</v>
      </c>
      <c r="X369" s="2520">
        <v>43553</v>
      </c>
      <c r="Y369" s="2522">
        <v>347836</v>
      </c>
    </row>
    <row r="370" spans="1:25">
      <c r="A370" s="53">
        <f t="shared" si="6"/>
        <v>2023.01</v>
      </c>
      <c r="B370" s="214">
        <v>1554443</v>
      </c>
      <c r="C370" s="3598">
        <v>136735</v>
      </c>
      <c r="D370" s="3598">
        <v>0</v>
      </c>
      <c r="E370" s="111">
        <v>0</v>
      </c>
      <c r="F370" s="456">
        <v>306356</v>
      </c>
      <c r="G370" s="3598">
        <v>57799</v>
      </c>
      <c r="H370" s="3598">
        <v>0</v>
      </c>
      <c r="I370" s="71">
        <v>0</v>
      </c>
      <c r="J370" s="456">
        <v>1162810</v>
      </c>
      <c r="K370" s="3598">
        <v>67364</v>
      </c>
      <c r="L370" s="3598">
        <v>0</v>
      </c>
      <c r="M370" s="71">
        <v>0</v>
      </c>
      <c r="N370" s="456">
        <v>13159</v>
      </c>
      <c r="O370" s="3598">
        <v>439</v>
      </c>
      <c r="P370" s="3598">
        <v>0</v>
      </c>
      <c r="Q370" s="71">
        <v>0</v>
      </c>
      <c r="R370" s="111">
        <v>1885017</v>
      </c>
      <c r="S370" s="3598">
        <v>204410</v>
      </c>
      <c r="T370" s="3598">
        <v>50</v>
      </c>
      <c r="U370" s="71">
        <v>474</v>
      </c>
      <c r="V370" s="2520">
        <v>64076</v>
      </c>
      <c r="W370" s="2520">
        <v>457331</v>
      </c>
      <c r="X370" s="2520">
        <v>47844</v>
      </c>
      <c r="Y370" s="2522">
        <v>356844</v>
      </c>
    </row>
    <row r="371" spans="1:25">
      <c r="A371" s="53">
        <f t="shared" si="6"/>
        <v>2023.02</v>
      </c>
      <c r="B371" s="214">
        <v>1307195</v>
      </c>
      <c r="C371" s="3598">
        <v>135054</v>
      </c>
      <c r="D371" s="3598">
        <v>0</v>
      </c>
      <c r="E371" s="111">
        <v>0</v>
      </c>
      <c r="F371" s="456">
        <v>258162</v>
      </c>
      <c r="G371" s="3598">
        <v>56926</v>
      </c>
      <c r="H371" s="3598">
        <v>0</v>
      </c>
      <c r="I371" s="71">
        <v>0</v>
      </c>
      <c r="J371" s="456">
        <v>969675</v>
      </c>
      <c r="K371" s="3598">
        <v>65796</v>
      </c>
      <c r="L371" s="3598">
        <v>0</v>
      </c>
      <c r="M371" s="71">
        <v>0</v>
      </c>
      <c r="N371" s="456">
        <v>14011</v>
      </c>
      <c r="O371" s="3598">
        <v>353</v>
      </c>
      <c r="P371" s="3598">
        <v>0</v>
      </c>
      <c r="Q371" s="71">
        <v>0</v>
      </c>
      <c r="R371" s="111">
        <v>1554451</v>
      </c>
      <c r="S371" s="3598">
        <v>224359</v>
      </c>
      <c r="T371" s="3598">
        <v>275</v>
      </c>
      <c r="U371" s="71">
        <v>270</v>
      </c>
      <c r="V371" s="2520">
        <v>57912</v>
      </c>
      <c r="W371" s="2520">
        <v>446403</v>
      </c>
      <c r="X371" s="2520">
        <v>43099</v>
      </c>
      <c r="Y371" s="2522">
        <v>352082</v>
      </c>
    </row>
    <row r="372" spans="1:25">
      <c r="A372" s="53">
        <f t="shared" si="6"/>
        <v>2023.03</v>
      </c>
      <c r="B372" s="214">
        <v>1996644</v>
      </c>
      <c r="C372" s="3598">
        <v>163486</v>
      </c>
      <c r="D372" s="3598">
        <v>0</v>
      </c>
      <c r="E372" s="111">
        <v>0</v>
      </c>
      <c r="F372" s="456">
        <v>397586</v>
      </c>
      <c r="G372" s="3598">
        <v>68510</v>
      </c>
      <c r="H372" s="3598">
        <v>0</v>
      </c>
      <c r="I372" s="71">
        <v>0</v>
      </c>
      <c r="J372" s="456">
        <v>1513491</v>
      </c>
      <c r="K372" s="3598">
        <v>79550</v>
      </c>
      <c r="L372" s="3598">
        <v>0</v>
      </c>
      <c r="M372" s="71">
        <v>0</v>
      </c>
      <c r="N372" s="456">
        <v>19165</v>
      </c>
      <c r="O372" s="3598">
        <v>633</v>
      </c>
      <c r="P372" s="3598">
        <v>0</v>
      </c>
      <c r="Q372" s="71">
        <v>0</v>
      </c>
      <c r="R372" s="111">
        <v>2111736</v>
      </c>
      <c r="S372" s="3598">
        <v>443656</v>
      </c>
      <c r="T372" s="3598">
        <v>0</v>
      </c>
      <c r="U372" s="71">
        <v>412</v>
      </c>
      <c r="V372" s="2520">
        <v>74651</v>
      </c>
      <c r="W372" s="2520">
        <v>539554</v>
      </c>
      <c r="X372" s="2520">
        <v>54264</v>
      </c>
      <c r="Y372" s="2522">
        <v>423058</v>
      </c>
    </row>
    <row r="373" spans="1:25">
      <c r="A373" s="53">
        <f t="shared" si="6"/>
        <v>2023.04</v>
      </c>
      <c r="B373" s="214">
        <v>2685803</v>
      </c>
      <c r="C373" s="3598">
        <v>113461</v>
      </c>
      <c r="D373" s="3598">
        <v>0</v>
      </c>
      <c r="E373" s="111">
        <v>5938</v>
      </c>
      <c r="F373" s="456">
        <v>517716</v>
      </c>
      <c r="G373" s="3598">
        <v>48170</v>
      </c>
      <c r="H373" s="3598">
        <v>0</v>
      </c>
      <c r="I373" s="71">
        <v>1009</v>
      </c>
      <c r="J373" s="456">
        <v>2037643</v>
      </c>
      <c r="K373" s="3598">
        <v>54746</v>
      </c>
      <c r="L373" s="3598">
        <v>0</v>
      </c>
      <c r="M373" s="71">
        <v>4043</v>
      </c>
      <c r="N373" s="456">
        <v>14557</v>
      </c>
      <c r="O373" s="3598">
        <v>412</v>
      </c>
      <c r="P373" s="3598">
        <v>0</v>
      </c>
      <c r="Q373" s="71">
        <v>0</v>
      </c>
      <c r="R373" s="111">
        <v>2878991</v>
      </c>
      <c r="S373" s="3598">
        <v>419324</v>
      </c>
      <c r="T373" s="3598">
        <v>250</v>
      </c>
      <c r="U373" s="71">
        <v>6339</v>
      </c>
      <c r="V373" s="2520">
        <v>75083</v>
      </c>
      <c r="W373" s="2520">
        <v>545196</v>
      </c>
      <c r="X373" s="2520">
        <v>56846</v>
      </c>
      <c r="Y373" s="2522">
        <v>428990</v>
      </c>
    </row>
    <row r="374" spans="1:25">
      <c r="A374" s="53">
        <f t="shared" si="6"/>
        <v>2023.05</v>
      </c>
      <c r="B374" s="214">
        <v>3129930</v>
      </c>
      <c r="C374" s="3598">
        <v>111178</v>
      </c>
      <c r="D374" s="3598">
        <v>0</v>
      </c>
      <c r="E374" s="111">
        <v>9617</v>
      </c>
      <c r="F374" s="456">
        <v>621853</v>
      </c>
      <c r="G374" s="3598">
        <v>47500</v>
      </c>
      <c r="H374" s="3598">
        <v>0</v>
      </c>
      <c r="I374" s="71">
        <v>1635</v>
      </c>
      <c r="J374" s="456">
        <v>2392188</v>
      </c>
      <c r="K374" s="3598">
        <v>54058</v>
      </c>
      <c r="L374" s="3598">
        <v>0</v>
      </c>
      <c r="M374" s="71">
        <v>7010</v>
      </c>
      <c r="N374" s="456">
        <v>15096</v>
      </c>
      <c r="O374" s="3598">
        <v>626</v>
      </c>
      <c r="P374" s="3598">
        <v>0</v>
      </c>
      <c r="Q374" s="71">
        <v>0</v>
      </c>
      <c r="R374" s="111">
        <v>3493949</v>
      </c>
      <c r="S374" s="3598">
        <v>419980</v>
      </c>
      <c r="T374" s="3598">
        <v>0</v>
      </c>
      <c r="U374" s="71">
        <v>9978</v>
      </c>
      <c r="V374" s="2520">
        <v>76551</v>
      </c>
      <c r="W374" s="2520">
        <v>576251</v>
      </c>
      <c r="X374" s="2520">
        <v>56722</v>
      </c>
      <c r="Y374" s="2522">
        <v>454326</v>
      </c>
    </row>
    <row r="375" spans="1:25">
      <c r="A375" s="53">
        <f t="shared" si="6"/>
        <v>2023.06</v>
      </c>
      <c r="B375" s="214">
        <v>2762246</v>
      </c>
      <c r="C375" s="3598">
        <v>68883</v>
      </c>
      <c r="D375" s="3598">
        <v>0</v>
      </c>
      <c r="E375" s="111">
        <v>23264</v>
      </c>
      <c r="F375" s="456">
        <v>535715</v>
      </c>
      <c r="G375" s="3598">
        <v>29708</v>
      </c>
      <c r="H375" s="3598">
        <v>0</v>
      </c>
      <c r="I375" s="71">
        <v>3955</v>
      </c>
      <c r="J375" s="456">
        <v>2036680</v>
      </c>
      <c r="K375" s="3598">
        <v>34532</v>
      </c>
      <c r="L375" s="3598">
        <v>0</v>
      </c>
      <c r="M375" s="71">
        <v>15956</v>
      </c>
      <c r="N375" s="456">
        <v>76534</v>
      </c>
      <c r="O375" s="3598">
        <v>403</v>
      </c>
      <c r="P375" s="3598">
        <v>0</v>
      </c>
      <c r="Q375" s="71">
        <v>0</v>
      </c>
      <c r="R375" s="111">
        <v>3017678</v>
      </c>
      <c r="S375" s="3598">
        <v>348134</v>
      </c>
      <c r="T375" s="3598">
        <v>0</v>
      </c>
      <c r="U375" s="71">
        <v>23603</v>
      </c>
      <c r="V375" s="2520">
        <v>74202</v>
      </c>
      <c r="W375" s="2520">
        <v>570284</v>
      </c>
      <c r="X375" s="2520">
        <v>55513</v>
      </c>
      <c r="Y375" s="2522">
        <v>457614</v>
      </c>
    </row>
    <row r="376" spans="1:25">
      <c r="A376" s="53">
        <f t="shared" si="6"/>
        <v>2023.07</v>
      </c>
      <c r="B376" s="214">
        <v>2430394</v>
      </c>
      <c r="C376" s="3598">
        <v>81927</v>
      </c>
      <c r="D376" s="3598">
        <v>0</v>
      </c>
      <c r="E376" s="111">
        <v>25393</v>
      </c>
      <c r="F376" s="456">
        <v>476331</v>
      </c>
      <c r="G376" s="3598">
        <v>35670</v>
      </c>
      <c r="H376" s="3598">
        <v>0</v>
      </c>
      <c r="I376" s="71">
        <v>4209</v>
      </c>
      <c r="J376" s="456">
        <v>1805587</v>
      </c>
      <c r="K376" s="3598">
        <v>41513</v>
      </c>
      <c r="L376" s="3598">
        <v>0</v>
      </c>
      <c r="M376" s="71">
        <v>17887</v>
      </c>
      <c r="N376" s="456">
        <v>51925</v>
      </c>
      <c r="O376" s="3598">
        <v>443</v>
      </c>
      <c r="P376" s="3598">
        <v>0</v>
      </c>
      <c r="Q376" s="71">
        <v>0</v>
      </c>
      <c r="R376" s="111">
        <v>2551641</v>
      </c>
      <c r="S376" s="3598">
        <v>402141</v>
      </c>
      <c r="T376" s="3598">
        <v>0</v>
      </c>
      <c r="U376" s="71">
        <v>25995</v>
      </c>
      <c r="V376" s="2520">
        <v>75735</v>
      </c>
      <c r="W376" s="2520">
        <v>571304</v>
      </c>
      <c r="X376" s="2520">
        <v>57019</v>
      </c>
      <c r="Y376" s="2522">
        <v>450750</v>
      </c>
    </row>
    <row r="377" spans="1:25">
      <c r="A377" s="53">
        <f t="shared" si="6"/>
        <v>2023.08</v>
      </c>
      <c r="B377" s="214">
        <v>1735216</v>
      </c>
      <c r="C377" s="3598">
        <v>121084</v>
      </c>
      <c r="D377" s="3598">
        <v>0</v>
      </c>
      <c r="E377" s="111">
        <v>15856</v>
      </c>
      <c r="F377" s="456">
        <v>344215</v>
      </c>
      <c r="G377" s="3598">
        <v>51946</v>
      </c>
      <c r="H377" s="3598">
        <v>0</v>
      </c>
      <c r="I377" s="71">
        <v>2569</v>
      </c>
      <c r="J377" s="456">
        <v>1313553</v>
      </c>
      <c r="K377" s="3598">
        <v>59203</v>
      </c>
      <c r="L377" s="3598">
        <v>0</v>
      </c>
      <c r="M377" s="71">
        <v>11661</v>
      </c>
      <c r="N377" s="456">
        <v>21872</v>
      </c>
      <c r="O377" s="3598">
        <v>934</v>
      </c>
      <c r="P377" s="3598">
        <v>0</v>
      </c>
      <c r="Q377" s="71">
        <v>0</v>
      </c>
      <c r="R377" s="111">
        <v>2078639</v>
      </c>
      <c r="S377" s="3598">
        <v>405950</v>
      </c>
      <c r="T377" s="3598">
        <v>100</v>
      </c>
      <c r="U377" s="71">
        <v>16894</v>
      </c>
      <c r="V377" s="2520">
        <v>73933</v>
      </c>
      <c r="W377" s="2520">
        <v>570016</v>
      </c>
      <c r="X377" s="2523">
        <f>+V377*X9</f>
        <v>55698.442896663713</v>
      </c>
      <c r="Y377" s="2524">
        <f>+W377*Y9</f>
        <v>456243.16647660284</v>
      </c>
    </row>
    <row r="378" spans="1:25">
      <c r="A378" s="53">
        <f t="shared" si="6"/>
        <v>2023.09</v>
      </c>
      <c r="B378" s="214">
        <v>1760242</v>
      </c>
      <c r="C378" s="3598">
        <v>68237</v>
      </c>
      <c r="D378" s="3598">
        <v>0</v>
      </c>
      <c r="E378" s="111">
        <v>19085</v>
      </c>
      <c r="F378" s="456">
        <v>348401</v>
      </c>
      <c r="G378" s="3598">
        <v>29518</v>
      </c>
      <c r="H378" s="3598">
        <v>0</v>
      </c>
      <c r="I378" s="71">
        <v>3092</v>
      </c>
      <c r="J378" s="456">
        <v>1333715</v>
      </c>
      <c r="K378" s="3598">
        <v>35487</v>
      </c>
      <c r="L378" s="3598">
        <v>0</v>
      </c>
      <c r="M378" s="71">
        <v>13639</v>
      </c>
      <c r="N378" s="456">
        <v>19853</v>
      </c>
      <c r="O378" s="3598">
        <v>819</v>
      </c>
      <c r="P378" s="3598">
        <v>0</v>
      </c>
      <c r="Q378" s="71">
        <v>0</v>
      </c>
      <c r="R378" s="111">
        <v>1907363</v>
      </c>
      <c r="S378" s="3598">
        <v>353168</v>
      </c>
      <c r="T378" s="3598">
        <v>0</v>
      </c>
      <c r="U378" s="71">
        <v>20149</v>
      </c>
      <c r="V378" s="2520">
        <v>66408</v>
      </c>
      <c r="W378" s="2520">
        <v>539094</v>
      </c>
      <c r="X378" s="2520">
        <v>49712</v>
      </c>
      <c r="Y378" s="2522">
        <v>426820</v>
      </c>
    </row>
    <row r="379" spans="1:25">
      <c r="A379" s="53">
        <f t="shared" si="6"/>
        <v>2023.1</v>
      </c>
      <c r="B379" s="214">
        <v>1669953</v>
      </c>
      <c r="C379" s="3598">
        <v>67365</v>
      </c>
      <c r="D379" s="3598">
        <v>0</v>
      </c>
      <c r="E379" s="111">
        <v>26428</v>
      </c>
      <c r="F379" s="456">
        <v>331552</v>
      </c>
      <c r="G379" s="3598">
        <v>29562</v>
      </c>
      <c r="H379" s="3598">
        <v>0</v>
      </c>
      <c r="I379" s="71">
        <v>4281</v>
      </c>
      <c r="J379" s="456">
        <v>1270218</v>
      </c>
      <c r="K379" s="3598">
        <v>33596</v>
      </c>
      <c r="L379" s="3598">
        <v>0</v>
      </c>
      <c r="M379" s="71">
        <v>18451</v>
      </c>
      <c r="N379" s="456">
        <v>19340</v>
      </c>
      <c r="O379" s="3598">
        <v>869</v>
      </c>
      <c r="P379" s="3598">
        <v>0</v>
      </c>
      <c r="Q379" s="71">
        <v>0</v>
      </c>
      <c r="R379" s="111">
        <v>1860826</v>
      </c>
      <c r="S379" s="3598">
        <v>256492</v>
      </c>
      <c r="T379" s="3598">
        <v>150</v>
      </c>
      <c r="U379" s="71">
        <v>27285</v>
      </c>
      <c r="V379" s="2520">
        <v>67044</v>
      </c>
      <c r="W379" s="2520">
        <v>490962</v>
      </c>
      <c r="X379" s="2520">
        <v>49762</v>
      </c>
      <c r="Y379" s="2522">
        <v>386020</v>
      </c>
    </row>
    <row r="380" spans="1:25">
      <c r="A380" s="53">
        <f t="shared" si="6"/>
        <v>2023.11</v>
      </c>
      <c r="B380" s="214">
        <v>1705181</v>
      </c>
      <c r="C380" s="3598">
        <v>11303</v>
      </c>
      <c r="D380" s="3598">
        <v>0</v>
      </c>
      <c r="E380" s="111">
        <v>6837</v>
      </c>
      <c r="F380" s="456">
        <v>338852</v>
      </c>
      <c r="G380" s="3598">
        <v>4887</v>
      </c>
      <c r="H380" s="3598">
        <v>0</v>
      </c>
      <c r="I380" s="71">
        <v>1380</v>
      </c>
      <c r="J380" s="456">
        <v>1284095</v>
      </c>
      <c r="K380" s="3598">
        <v>5322</v>
      </c>
      <c r="L380" s="3598">
        <v>0</v>
      </c>
      <c r="M380" s="71">
        <v>6296</v>
      </c>
      <c r="N380" s="456">
        <v>17794</v>
      </c>
      <c r="O380" s="3598">
        <v>743</v>
      </c>
      <c r="P380" s="3598">
        <v>0</v>
      </c>
      <c r="Q380" s="71">
        <v>0</v>
      </c>
      <c r="R380" s="111">
        <v>1898983</v>
      </c>
      <c r="S380" s="3598">
        <v>231580</v>
      </c>
      <c r="T380" s="3598">
        <v>0</v>
      </c>
      <c r="U380" s="71">
        <v>7531</v>
      </c>
      <c r="V380" s="2520">
        <v>69231</v>
      </c>
      <c r="W380" s="2520">
        <v>518665</v>
      </c>
      <c r="X380" s="2520">
        <v>53146</v>
      </c>
      <c r="Y380" s="2522">
        <v>407295</v>
      </c>
    </row>
    <row r="381" spans="1:25">
      <c r="A381" s="53">
        <f t="shared" si="6"/>
        <v>2023.12</v>
      </c>
      <c r="B381" s="214">
        <v>1605023</v>
      </c>
      <c r="C381" s="3598">
        <v>51926</v>
      </c>
      <c r="D381" s="3598">
        <v>0</v>
      </c>
      <c r="E381" s="111">
        <v>0</v>
      </c>
      <c r="F381" s="456">
        <v>319926</v>
      </c>
      <c r="G381" s="3598">
        <v>22447</v>
      </c>
      <c r="H381" s="3598">
        <v>0</v>
      </c>
      <c r="I381" s="71">
        <v>0</v>
      </c>
      <c r="J381" s="456">
        <v>1199398</v>
      </c>
      <c r="K381" s="3598">
        <v>26535</v>
      </c>
      <c r="L381" s="3598">
        <v>0</v>
      </c>
      <c r="M381" s="71">
        <v>0</v>
      </c>
      <c r="N381" s="456">
        <v>17537</v>
      </c>
      <c r="O381" s="3598">
        <v>481</v>
      </c>
      <c r="P381" s="3598">
        <v>0</v>
      </c>
      <c r="Q381" s="71">
        <v>0</v>
      </c>
      <c r="R381" s="111">
        <v>1901089</v>
      </c>
      <c r="S381" s="3598">
        <v>217242</v>
      </c>
      <c r="T381" s="3598">
        <v>300</v>
      </c>
      <c r="U381" s="71">
        <v>349</v>
      </c>
      <c r="V381" s="2520">
        <v>66245</v>
      </c>
      <c r="W381" s="2520">
        <v>450712</v>
      </c>
      <c r="X381" s="2520">
        <v>48787</v>
      </c>
      <c r="Y381" s="2522">
        <v>344985</v>
      </c>
    </row>
    <row r="382" spans="1:25">
      <c r="A382" s="53">
        <f t="shared" si="6"/>
        <v>2024.01</v>
      </c>
      <c r="B382" s="214">
        <v>1854879</v>
      </c>
      <c r="C382" s="3598">
        <v>151680</v>
      </c>
      <c r="D382" s="3598">
        <v>0</v>
      </c>
      <c r="E382" s="111">
        <v>0</v>
      </c>
      <c r="F382" s="456">
        <v>368546</v>
      </c>
      <c r="G382" s="3598">
        <v>66015</v>
      </c>
      <c r="H382" s="3598">
        <v>0</v>
      </c>
      <c r="I382" s="71">
        <v>0</v>
      </c>
      <c r="J382" s="456">
        <v>1412424</v>
      </c>
      <c r="K382" s="3598">
        <v>71945</v>
      </c>
      <c r="L382" s="3598">
        <v>0</v>
      </c>
      <c r="M382" s="71">
        <v>0</v>
      </c>
      <c r="N382" s="456">
        <v>17011</v>
      </c>
      <c r="O382" s="3598">
        <v>742</v>
      </c>
      <c r="P382" s="3598">
        <v>0</v>
      </c>
      <c r="Q382" s="71">
        <v>0</v>
      </c>
      <c r="R382" s="111">
        <v>2130427</v>
      </c>
      <c r="S382" s="3598">
        <v>218598</v>
      </c>
      <c r="T382" s="3598">
        <v>0</v>
      </c>
      <c r="U382" s="71">
        <v>530</v>
      </c>
      <c r="V382" s="2520">
        <v>66200</v>
      </c>
      <c r="W382" s="2520">
        <v>466864</v>
      </c>
      <c r="X382" s="2520">
        <v>47927</v>
      </c>
      <c r="Y382" s="2522">
        <v>363638</v>
      </c>
    </row>
    <row r="383" spans="1:25">
      <c r="A383" s="53">
        <f t="shared" si="6"/>
        <v>2024.02</v>
      </c>
      <c r="B383" s="214">
        <v>2153136</v>
      </c>
      <c r="C383" s="3598">
        <v>165855</v>
      </c>
      <c r="D383" s="3598">
        <v>0</v>
      </c>
      <c r="E383" s="111">
        <v>0</v>
      </c>
      <c r="F383" s="456">
        <v>431540</v>
      </c>
      <c r="G383" s="3598">
        <v>72492</v>
      </c>
      <c r="H383" s="3598">
        <v>0</v>
      </c>
      <c r="I383" s="71">
        <v>0</v>
      </c>
      <c r="J383" s="456">
        <v>1622819</v>
      </c>
      <c r="K383" s="3598">
        <v>77786</v>
      </c>
      <c r="L383" s="3598">
        <v>0</v>
      </c>
      <c r="M383" s="71">
        <v>250</v>
      </c>
      <c r="N383" s="456">
        <v>15437</v>
      </c>
      <c r="O383" s="3598">
        <v>372</v>
      </c>
      <c r="P383" s="3598">
        <v>0</v>
      </c>
      <c r="Q383" s="71">
        <v>0</v>
      </c>
      <c r="R383" s="111">
        <v>2362125</v>
      </c>
      <c r="S383" s="3598">
        <v>286602</v>
      </c>
      <c r="T383" s="3598">
        <v>0</v>
      </c>
      <c r="U383" s="71">
        <v>356</v>
      </c>
      <c r="V383" s="2520">
        <v>58839</v>
      </c>
      <c r="W383" s="2520">
        <v>462684</v>
      </c>
      <c r="X383" s="2520">
        <v>43197</v>
      </c>
      <c r="Y383" s="2522">
        <v>353395</v>
      </c>
    </row>
    <row r="384" spans="1:25">
      <c r="A384" s="53">
        <f t="shared" si="6"/>
        <v>2024.03</v>
      </c>
      <c r="B384" s="214">
        <v>2671240</v>
      </c>
      <c r="C384" s="3598">
        <v>112953</v>
      </c>
      <c r="D384" s="3598">
        <v>0</v>
      </c>
      <c r="E384" s="111">
        <v>0</v>
      </c>
      <c r="F384" s="456">
        <v>535808</v>
      </c>
      <c r="G384" s="3598">
        <v>49306</v>
      </c>
      <c r="H384" s="3598">
        <v>0</v>
      </c>
      <c r="I384" s="71">
        <v>0</v>
      </c>
      <c r="J384" s="456">
        <v>2016723</v>
      </c>
      <c r="K384" s="3598">
        <v>55306</v>
      </c>
      <c r="L384" s="3598">
        <v>0</v>
      </c>
      <c r="M384" s="71">
        <v>30</v>
      </c>
      <c r="N384" s="456">
        <v>14004</v>
      </c>
      <c r="O384" s="3598">
        <v>497</v>
      </c>
      <c r="P384" s="3598">
        <v>0</v>
      </c>
      <c r="Q384" s="71">
        <v>0</v>
      </c>
      <c r="R384" s="111">
        <v>2907942</v>
      </c>
      <c r="S384" s="3598">
        <v>374493</v>
      </c>
      <c r="T384" s="3598">
        <v>0</v>
      </c>
      <c r="U384" s="71">
        <v>382</v>
      </c>
      <c r="V384" s="2520">
        <v>67823</v>
      </c>
      <c r="W384" s="2520">
        <v>515087</v>
      </c>
      <c r="X384" s="2520">
        <v>50414</v>
      </c>
      <c r="Y384" s="2522">
        <v>396935</v>
      </c>
    </row>
    <row r="385" spans="1:25">
      <c r="A385" s="53">
        <f t="shared" si="6"/>
        <v>2024.04</v>
      </c>
      <c r="B385" s="214">
        <v>3556860</v>
      </c>
      <c r="C385" s="3598">
        <v>111858</v>
      </c>
      <c r="D385" s="3598">
        <v>0</v>
      </c>
      <c r="E385" s="111">
        <v>10657</v>
      </c>
      <c r="F385" s="456">
        <v>722881</v>
      </c>
      <c r="G385" s="3598">
        <v>49364</v>
      </c>
      <c r="H385" s="3598">
        <v>0</v>
      </c>
      <c r="I385" s="71">
        <v>1773</v>
      </c>
      <c r="J385" s="456">
        <v>2670781</v>
      </c>
      <c r="K385" s="3598">
        <v>49669</v>
      </c>
      <c r="L385" s="3598">
        <v>0</v>
      </c>
      <c r="M385" s="71">
        <v>8439</v>
      </c>
      <c r="N385" s="456">
        <v>15874</v>
      </c>
      <c r="O385" s="3598">
        <v>611</v>
      </c>
      <c r="P385" s="3598">
        <v>0</v>
      </c>
      <c r="Q385" s="71">
        <v>0</v>
      </c>
      <c r="R385" s="111">
        <v>3826521</v>
      </c>
      <c r="S385" s="3598">
        <v>385978</v>
      </c>
      <c r="T385" s="3598">
        <v>0</v>
      </c>
      <c r="U385" s="71">
        <v>11100</v>
      </c>
      <c r="V385" s="2520">
        <v>72287.66</v>
      </c>
      <c r="W385" s="2520">
        <v>537817.63</v>
      </c>
      <c r="X385" s="2520">
        <v>54275</v>
      </c>
      <c r="Y385" s="2522">
        <v>413229</v>
      </c>
    </row>
    <row r="386" spans="1:25">
      <c r="A386" s="53">
        <f t="shared" si="6"/>
        <v>2024.05</v>
      </c>
      <c r="B386" s="214">
        <v>3588212</v>
      </c>
      <c r="C386" s="3598">
        <v>86148</v>
      </c>
      <c r="D386" s="3598">
        <v>0</v>
      </c>
      <c r="E386" s="111">
        <v>13161</v>
      </c>
      <c r="F386" s="456">
        <v>712333</v>
      </c>
      <c r="G386" s="3598">
        <v>38925</v>
      </c>
      <c r="H386" s="3598">
        <v>0</v>
      </c>
      <c r="I386" s="71">
        <v>1891</v>
      </c>
      <c r="J386" s="456">
        <v>2706156</v>
      </c>
      <c r="K386" s="3598">
        <v>37402</v>
      </c>
      <c r="L386" s="3598">
        <v>0</v>
      </c>
      <c r="M386" s="71">
        <v>9987</v>
      </c>
      <c r="N386" s="456">
        <v>18446</v>
      </c>
      <c r="O386" s="3598">
        <v>746</v>
      </c>
      <c r="P386" s="3598">
        <v>0</v>
      </c>
      <c r="Q386" s="71">
        <v>0</v>
      </c>
      <c r="R386" s="111">
        <v>3976076</v>
      </c>
      <c r="S386" s="3598">
        <v>371638</v>
      </c>
      <c r="T386" s="3598">
        <v>0</v>
      </c>
      <c r="U386" s="71">
        <v>13599</v>
      </c>
      <c r="V386" s="2520">
        <v>80380.149999999994</v>
      </c>
      <c r="W386" s="2520">
        <v>588763.41</v>
      </c>
      <c r="X386" s="2520">
        <v>58771</v>
      </c>
      <c r="Y386" s="2522">
        <v>463683</v>
      </c>
    </row>
    <row r="387" spans="1:25">
      <c r="A387" s="53">
        <f t="shared" si="6"/>
        <v>2024.06</v>
      </c>
      <c r="B387" s="214">
        <v>3616510</v>
      </c>
      <c r="C387" s="3598">
        <v>96071</v>
      </c>
      <c r="D387" s="3598">
        <v>0</v>
      </c>
      <c r="E387" s="111">
        <v>15748</v>
      </c>
      <c r="F387" s="456">
        <v>714476</v>
      </c>
      <c r="G387" s="3598">
        <v>42142</v>
      </c>
      <c r="H387" s="3598">
        <v>0</v>
      </c>
      <c r="I387" s="71">
        <v>2068</v>
      </c>
      <c r="J387" s="456">
        <v>2774747</v>
      </c>
      <c r="K387" s="3598">
        <v>42629</v>
      </c>
      <c r="L387" s="3598">
        <v>0</v>
      </c>
      <c r="M387" s="71">
        <v>11156</v>
      </c>
      <c r="N387" s="456">
        <v>18197</v>
      </c>
      <c r="O387" s="3598">
        <v>444</v>
      </c>
      <c r="P387" s="3598">
        <v>0</v>
      </c>
      <c r="Q387" s="71">
        <v>0</v>
      </c>
      <c r="R387" s="111">
        <v>3968846</v>
      </c>
      <c r="S387" s="3598">
        <v>356801</v>
      </c>
      <c r="T387" s="3598">
        <v>600</v>
      </c>
      <c r="U387" s="71">
        <v>16403</v>
      </c>
      <c r="V387" s="2520">
        <v>65165</v>
      </c>
      <c r="W387" s="2520">
        <v>505489</v>
      </c>
      <c r="X387" s="2520">
        <v>47343</v>
      </c>
      <c r="Y387" s="2522">
        <v>396328</v>
      </c>
    </row>
    <row r="388" spans="1:25">
      <c r="A388" s="53">
        <f t="shared" si="6"/>
        <v>2024.07</v>
      </c>
      <c r="B388" s="214">
        <v>3957880</v>
      </c>
      <c r="C388" s="3598">
        <v>71305</v>
      </c>
      <c r="D388" s="3598">
        <v>0</v>
      </c>
      <c r="E388" s="111">
        <v>15184</v>
      </c>
      <c r="F388" s="456">
        <v>790200</v>
      </c>
      <c r="G388" s="3598">
        <v>31897</v>
      </c>
      <c r="H388" s="3598">
        <v>0</v>
      </c>
      <c r="I388" s="71">
        <v>2126</v>
      </c>
      <c r="J388" s="456">
        <v>2982941</v>
      </c>
      <c r="K388" s="3598">
        <v>34567</v>
      </c>
      <c r="L388" s="3598">
        <v>0</v>
      </c>
      <c r="M388" s="71">
        <v>10663</v>
      </c>
      <c r="N388" s="456">
        <v>19340</v>
      </c>
      <c r="O388" s="3598">
        <v>691</v>
      </c>
      <c r="P388" s="3598">
        <v>0</v>
      </c>
      <c r="Q388" s="71">
        <v>0</v>
      </c>
      <c r="R388" s="111">
        <v>4405351</v>
      </c>
      <c r="S388" s="3598">
        <v>355644</v>
      </c>
      <c r="T388" s="3598">
        <v>410</v>
      </c>
      <c r="U388" s="71">
        <v>15977</v>
      </c>
      <c r="V388" s="2520">
        <v>77643</v>
      </c>
      <c r="W388" s="2520">
        <v>575535</v>
      </c>
      <c r="X388" s="2520">
        <v>57943</v>
      </c>
      <c r="Y388" s="2522">
        <v>454758</v>
      </c>
    </row>
    <row r="389" spans="1:25">
      <c r="A389" s="53">
        <f t="shared" si="6"/>
        <v>2024.08</v>
      </c>
      <c r="B389" s="214">
        <v>2862543</v>
      </c>
      <c r="C389" s="3598">
        <v>61132</v>
      </c>
      <c r="D389" s="3598">
        <v>0</v>
      </c>
      <c r="E389" s="111">
        <v>7487</v>
      </c>
      <c r="F389" s="456">
        <v>574863</v>
      </c>
      <c r="G389" s="3598">
        <v>26844</v>
      </c>
      <c r="H389" s="3598">
        <v>0</v>
      </c>
      <c r="I389" s="71">
        <v>1048</v>
      </c>
      <c r="J389" s="456">
        <v>2171594</v>
      </c>
      <c r="K389" s="3598">
        <v>29178</v>
      </c>
      <c r="L389" s="3598">
        <v>0</v>
      </c>
      <c r="M389" s="71">
        <v>5278</v>
      </c>
      <c r="N389" s="456">
        <v>21920</v>
      </c>
      <c r="O389" s="3598">
        <v>661</v>
      </c>
      <c r="P389" s="3598">
        <v>0</v>
      </c>
      <c r="Q389" s="71">
        <v>0</v>
      </c>
      <c r="R389" s="111">
        <v>3233433</v>
      </c>
      <c r="S389" s="3598">
        <v>330297</v>
      </c>
      <c r="T389" s="3598">
        <v>450</v>
      </c>
      <c r="U389" s="71">
        <v>8382</v>
      </c>
      <c r="V389" s="2520">
        <v>76317</v>
      </c>
      <c r="W389" s="2520">
        <v>568998</v>
      </c>
      <c r="X389" s="2520">
        <v>57154</v>
      </c>
      <c r="Y389" s="2522">
        <v>449445</v>
      </c>
    </row>
    <row r="390" spans="1:25">
      <c r="A390" s="53">
        <f t="shared" si="6"/>
        <v>2024.09</v>
      </c>
      <c r="B390" s="214">
        <v>3721262</v>
      </c>
      <c r="C390" s="3598">
        <v>44045</v>
      </c>
      <c r="D390" s="3598">
        <v>0</v>
      </c>
      <c r="E390" s="111">
        <v>14777</v>
      </c>
      <c r="F390" s="456">
        <v>746862</v>
      </c>
      <c r="G390" s="3598">
        <v>19385</v>
      </c>
      <c r="H390" s="3598">
        <v>0</v>
      </c>
      <c r="I390" s="71">
        <v>2053</v>
      </c>
      <c r="J390" s="456">
        <v>2817058</v>
      </c>
      <c r="K390" s="3598">
        <v>22270</v>
      </c>
      <c r="L390" s="3598">
        <v>0</v>
      </c>
      <c r="M390" s="71">
        <v>11215</v>
      </c>
      <c r="N390" s="456">
        <v>19659</v>
      </c>
      <c r="O390" s="3598">
        <v>649</v>
      </c>
      <c r="P390" s="3598">
        <v>0</v>
      </c>
      <c r="Q390" s="71">
        <v>0</v>
      </c>
      <c r="R390" s="111">
        <v>4114660</v>
      </c>
      <c r="S390" s="3598">
        <v>300058</v>
      </c>
      <c r="T390" s="3598">
        <v>80</v>
      </c>
      <c r="U390" s="71">
        <v>15600</v>
      </c>
      <c r="V390" s="2520">
        <v>73099</v>
      </c>
      <c r="W390" s="2520">
        <v>523600</v>
      </c>
      <c r="X390" s="2520">
        <v>54211</v>
      </c>
      <c r="Y390" s="2522">
        <v>413170</v>
      </c>
    </row>
    <row r="391" spans="1:25">
      <c r="A391" s="53">
        <f t="shared" si="6"/>
        <v>2024.1</v>
      </c>
      <c r="B391" s="214">
        <v>3709388</v>
      </c>
      <c r="C391" s="3598">
        <v>29748</v>
      </c>
      <c r="D391" s="3598">
        <v>0</v>
      </c>
      <c r="E391" s="111">
        <v>12735</v>
      </c>
      <c r="F391" s="456">
        <v>737835</v>
      </c>
      <c r="G391" s="3598">
        <v>12933</v>
      </c>
      <c r="H391" s="3598">
        <v>0</v>
      </c>
      <c r="I391" s="71">
        <v>897</v>
      </c>
      <c r="J391" s="456">
        <v>2810273</v>
      </c>
      <c r="K391" s="3598">
        <v>15023</v>
      </c>
      <c r="L391" s="3598">
        <v>0</v>
      </c>
      <c r="M391" s="71">
        <v>9719</v>
      </c>
      <c r="N391" s="456">
        <v>21471</v>
      </c>
      <c r="O391" s="3598">
        <v>686</v>
      </c>
      <c r="P391" s="3598">
        <v>0</v>
      </c>
      <c r="Q391" s="71">
        <v>0</v>
      </c>
      <c r="R391" s="111">
        <v>4146668</v>
      </c>
      <c r="S391" s="3598">
        <v>333544</v>
      </c>
      <c r="T391" s="3598">
        <v>500</v>
      </c>
      <c r="U391" s="71">
        <v>13432</v>
      </c>
      <c r="V391" s="2520">
        <v>75402</v>
      </c>
      <c r="W391" s="2520">
        <v>524977</v>
      </c>
      <c r="X391" s="2520">
        <v>55987</v>
      </c>
      <c r="Y391" s="2522">
        <v>413811</v>
      </c>
    </row>
    <row r="392" spans="1:25">
      <c r="A392" s="53">
        <f t="shared" si="6"/>
        <v>2024.11</v>
      </c>
      <c r="B392" s="214">
        <v>3205128</v>
      </c>
      <c r="C392" s="3598">
        <v>24289</v>
      </c>
      <c r="D392" s="3598">
        <v>0</v>
      </c>
      <c r="E392" s="111">
        <v>0</v>
      </c>
      <c r="F392" s="456">
        <v>639702</v>
      </c>
      <c r="G392" s="3598">
        <v>10493</v>
      </c>
      <c r="H392" s="3598">
        <v>0</v>
      </c>
      <c r="I392" s="71">
        <v>0</v>
      </c>
      <c r="J392" s="456">
        <v>2427791</v>
      </c>
      <c r="K392" s="3598">
        <v>12298</v>
      </c>
      <c r="L392" s="3598">
        <v>0</v>
      </c>
      <c r="M392" s="71">
        <v>0</v>
      </c>
      <c r="N392" s="456">
        <v>17347</v>
      </c>
      <c r="O392" s="3598">
        <v>672</v>
      </c>
      <c r="P392" s="3598">
        <v>0</v>
      </c>
      <c r="Q392" s="71">
        <v>0</v>
      </c>
      <c r="R392" s="111">
        <v>3437203</v>
      </c>
      <c r="S392" s="3598">
        <v>280629</v>
      </c>
      <c r="T392" s="3598">
        <v>688</v>
      </c>
      <c r="U392" s="71">
        <v>471</v>
      </c>
      <c r="V392" s="2520">
        <v>69148</v>
      </c>
      <c r="W392" s="2520">
        <v>503826</v>
      </c>
      <c r="X392" s="2520">
        <v>51285</v>
      </c>
      <c r="Y392" s="2522">
        <v>390757</v>
      </c>
    </row>
    <row r="393" spans="1:25">
      <c r="A393" s="53">
        <f t="shared" si="6"/>
        <v>2024.12</v>
      </c>
      <c r="B393" s="214">
        <v>3312065</v>
      </c>
      <c r="C393" s="3598">
        <v>45538</v>
      </c>
      <c r="D393" s="3598">
        <v>0</v>
      </c>
      <c r="E393" s="111">
        <v>0</v>
      </c>
      <c r="F393" s="456">
        <v>665437</v>
      </c>
      <c r="G393" s="3598">
        <v>19594</v>
      </c>
      <c r="H393" s="3598">
        <v>0</v>
      </c>
      <c r="I393" s="71">
        <v>0</v>
      </c>
      <c r="J393" s="456">
        <v>2484440</v>
      </c>
      <c r="K393" s="3598">
        <v>23717</v>
      </c>
      <c r="L393" s="3598">
        <v>0</v>
      </c>
      <c r="M393" s="71">
        <v>0</v>
      </c>
      <c r="N393" s="456">
        <v>16559</v>
      </c>
      <c r="O393" s="3598">
        <v>645</v>
      </c>
      <c r="P393" s="3598">
        <v>0</v>
      </c>
      <c r="Q393" s="71">
        <v>0</v>
      </c>
      <c r="R393" s="111">
        <v>3659773</v>
      </c>
      <c r="S393" s="3598">
        <v>186883</v>
      </c>
      <c r="T393" s="3598">
        <v>420</v>
      </c>
      <c r="U393" s="71">
        <v>329</v>
      </c>
      <c r="V393" s="2520">
        <v>68911</v>
      </c>
      <c r="W393" s="2520">
        <v>474625</v>
      </c>
      <c r="X393" s="2520">
        <v>51124</v>
      </c>
      <c r="Y393" s="2522">
        <v>361794</v>
      </c>
    </row>
    <row r="394" spans="1:25">
      <c r="A394" s="53">
        <f t="shared" si="6"/>
        <v>2025.01</v>
      </c>
      <c r="B394" s="214">
        <v>2527379</v>
      </c>
      <c r="C394" s="3598">
        <v>130117</v>
      </c>
      <c r="D394" s="3598">
        <v>0</v>
      </c>
      <c r="E394" s="111">
        <v>0</v>
      </c>
      <c r="F394" s="456">
        <v>506727</v>
      </c>
      <c r="G394" s="3598">
        <v>57245</v>
      </c>
      <c r="H394" s="3598">
        <v>0</v>
      </c>
      <c r="I394" s="71">
        <v>0</v>
      </c>
      <c r="J394" s="456">
        <v>1927254</v>
      </c>
      <c r="K394" s="3598">
        <v>65785</v>
      </c>
      <c r="L394" s="3598">
        <v>0</v>
      </c>
      <c r="M394" s="71">
        <v>0</v>
      </c>
      <c r="N394" s="456">
        <v>16230</v>
      </c>
      <c r="O394" s="3598">
        <v>654</v>
      </c>
      <c r="P394" s="3598">
        <v>0</v>
      </c>
      <c r="Q394" s="71">
        <v>0</v>
      </c>
      <c r="R394" s="111">
        <v>2905671</v>
      </c>
      <c r="S394" s="3598">
        <v>181272</v>
      </c>
      <c r="T394" s="3598">
        <v>390</v>
      </c>
      <c r="U394" s="71">
        <v>337</v>
      </c>
      <c r="V394" s="2520">
        <v>69505</v>
      </c>
      <c r="W394" s="2520">
        <v>506086</v>
      </c>
      <c r="X394" s="2424">
        <f>+V394*$X$9</f>
        <v>52362.548165671775</v>
      </c>
      <c r="Y394" s="2525">
        <f>+W394*$Y$9</f>
        <v>405073.32978280965</v>
      </c>
    </row>
    <row r="395" spans="1:25">
      <c r="A395" s="53">
        <f t="shared" si="6"/>
        <v>2025.02</v>
      </c>
      <c r="B395" s="214">
        <v>2307124</v>
      </c>
      <c r="C395" s="3598">
        <v>180450</v>
      </c>
      <c r="D395" s="3598">
        <v>0</v>
      </c>
      <c r="E395" s="111">
        <v>0</v>
      </c>
      <c r="F395" s="456">
        <v>457096</v>
      </c>
      <c r="G395" s="3598">
        <v>78106</v>
      </c>
      <c r="H395" s="3598">
        <v>0</v>
      </c>
      <c r="I395" s="71">
        <v>0</v>
      </c>
      <c r="J395" s="456">
        <v>1720150</v>
      </c>
      <c r="K395" s="3598">
        <v>85422</v>
      </c>
      <c r="L395" s="3598">
        <v>0</v>
      </c>
      <c r="M395" s="71">
        <v>0</v>
      </c>
      <c r="N395" s="456">
        <v>12720</v>
      </c>
      <c r="O395" s="3598">
        <v>1151</v>
      </c>
      <c r="P395" s="3598">
        <v>0</v>
      </c>
      <c r="Q395" s="71">
        <v>0</v>
      </c>
      <c r="R395" s="111">
        <v>2644364</v>
      </c>
      <c r="S395" s="3598">
        <v>304882</v>
      </c>
      <c r="T395" s="3598">
        <v>100</v>
      </c>
      <c r="U395" s="71">
        <v>234</v>
      </c>
      <c r="V395" s="2520">
        <v>69056</v>
      </c>
      <c r="W395" s="2520">
        <v>512477</v>
      </c>
      <c r="X395" s="2424">
        <f t="shared" ref="X395:X400" si="7">+V395*$X$9</f>
        <v>52024.287837258184</v>
      </c>
      <c r="Y395" s="2525">
        <f t="shared" ref="Y395:Y400" si="8">+W395*$Y$9</f>
        <v>410188.71264390822</v>
      </c>
    </row>
    <row r="396" spans="1:25">
      <c r="A396" s="53">
        <f t="shared" si="6"/>
        <v>2025.03</v>
      </c>
      <c r="B396" s="214">
        <v>2902056</v>
      </c>
      <c r="C396" s="3598">
        <v>149614</v>
      </c>
      <c r="D396" s="3598">
        <v>0</v>
      </c>
      <c r="E396" s="111">
        <v>62</v>
      </c>
      <c r="F396" s="456">
        <v>584580</v>
      </c>
      <c r="G396" s="3598">
        <v>65681</v>
      </c>
      <c r="H396" s="3598">
        <v>0</v>
      </c>
      <c r="I396" s="71">
        <v>6</v>
      </c>
      <c r="J396" s="456">
        <v>2207028</v>
      </c>
      <c r="K396" s="3598">
        <v>71298</v>
      </c>
      <c r="L396" s="3598">
        <v>0</v>
      </c>
      <c r="M396" s="71">
        <v>0</v>
      </c>
      <c r="N396" s="456">
        <v>12927</v>
      </c>
      <c r="O396" s="3598">
        <v>1171</v>
      </c>
      <c r="P396" s="3598">
        <v>0</v>
      </c>
      <c r="Q396" s="71">
        <v>0</v>
      </c>
      <c r="R396" s="111">
        <v>3231778</v>
      </c>
      <c r="S396" s="3598">
        <v>372027</v>
      </c>
      <c r="T396" s="3598">
        <v>450</v>
      </c>
      <c r="U396" s="71">
        <v>372</v>
      </c>
      <c r="V396" s="2520">
        <v>65648</v>
      </c>
      <c r="W396" s="2520">
        <v>512367</v>
      </c>
      <c r="X396" s="2424">
        <f t="shared" si="7"/>
        <v>49456.824141860598</v>
      </c>
      <c r="Y396" s="2525">
        <f t="shared" si="8"/>
        <v>410100.66818846762</v>
      </c>
    </row>
    <row r="397" spans="1:25">
      <c r="A397" s="53">
        <f t="shared" si="6"/>
        <v>2025.04</v>
      </c>
      <c r="B397" s="214">
        <v>3061443</v>
      </c>
      <c r="C397" s="3598">
        <v>128985</v>
      </c>
      <c r="D397" s="3598">
        <v>0</v>
      </c>
      <c r="E397" s="111">
        <v>6028</v>
      </c>
      <c r="F397" s="456">
        <v>617381</v>
      </c>
      <c r="G397" s="3598">
        <v>57556</v>
      </c>
      <c r="H397" s="3598">
        <v>0</v>
      </c>
      <c r="I397" s="71">
        <v>1054</v>
      </c>
      <c r="J397" s="456">
        <v>2315529</v>
      </c>
      <c r="K397" s="3598">
        <v>61415</v>
      </c>
      <c r="L397" s="3598">
        <v>0</v>
      </c>
      <c r="M397" s="71">
        <v>4302</v>
      </c>
      <c r="N397" s="456">
        <v>14538</v>
      </c>
      <c r="O397" s="3598">
        <v>2033</v>
      </c>
      <c r="P397" s="3598">
        <v>0</v>
      </c>
      <c r="Q397" s="71">
        <v>0</v>
      </c>
      <c r="R397" s="111">
        <v>3400222</v>
      </c>
      <c r="S397" s="3598">
        <v>420185</v>
      </c>
      <c r="T397" s="3598">
        <v>450</v>
      </c>
      <c r="U397" s="71">
        <v>6496</v>
      </c>
      <c r="V397" s="2520">
        <v>74265</v>
      </c>
      <c r="W397" s="2520">
        <v>558454</v>
      </c>
      <c r="X397" s="2424">
        <f t="shared" si="7"/>
        <v>55948.559665112072</v>
      </c>
      <c r="Y397" s="2525">
        <f t="shared" si="8"/>
        <v>446988.89380565594</v>
      </c>
    </row>
    <row r="398" spans="1:25">
      <c r="A398" s="53">
        <f t="shared" si="6"/>
        <v>2025.05</v>
      </c>
      <c r="B398" s="214">
        <v>3479110</v>
      </c>
      <c r="C398" s="3598">
        <v>153261</v>
      </c>
      <c r="D398" s="3598">
        <v>0</v>
      </c>
      <c r="E398" s="111">
        <v>7670</v>
      </c>
      <c r="F398" s="456">
        <v>688322</v>
      </c>
      <c r="G398" s="3598">
        <v>68786</v>
      </c>
      <c r="H398" s="3598">
        <v>0</v>
      </c>
      <c r="I398" s="71">
        <v>1350</v>
      </c>
      <c r="J398" s="456">
        <v>2602449</v>
      </c>
      <c r="K398" s="3598">
        <v>72607</v>
      </c>
      <c r="L398" s="3598">
        <v>0</v>
      </c>
      <c r="M398" s="71">
        <v>6178</v>
      </c>
      <c r="N398" s="456">
        <v>15300</v>
      </c>
      <c r="O398" s="3598">
        <v>1086</v>
      </c>
      <c r="P398" s="3598">
        <v>0</v>
      </c>
      <c r="Q398" s="71">
        <v>0</v>
      </c>
      <c r="R398" s="111">
        <v>3884691</v>
      </c>
      <c r="S398" s="3598">
        <v>468143</v>
      </c>
      <c r="T398" s="3598">
        <v>0</v>
      </c>
      <c r="U398" s="71">
        <v>8168</v>
      </c>
      <c r="V398" s="2520">
        <v>75731</v>
      </c>
      <c r="W398" s="2520">
        <v>582472</v>
      </c>
      <c r="X398" s="2424">
        <f t="shared" si="7"/>
        <v>57052.990937838847</v>
      </c>
      <c r="Y398" s="2525">
        <f t="shared" si="8"/>
        <v>466213.00044903968</v>
      </c>
    </row>
    <row r="399" spans="1:25">
      <c r="A399" s="53">
        <f t="shared" si="6"/>
        <v>2025.06</v>
      </c>
      <c r="B399" s="214">
        <v>3664066</v>
      </c>
      <c r="C399" s="3598">
        <v>165493</v>
      </c>
      <c r="D399" s="3598">
        <v>0</v>
      </c>
      <c r="E399" s="111">
        <v>15488</v>
      </c>
      <c r="F399" s="456">
        <v>709536</v>
      </c>
      <c r="G399" s="3598">
        <v>74743</v>
      </c>
      <c r="H399" s="3598">
        <v>0</v>
      </c>
      <c r="I399" s="71">
        <v>2526</v>
      </c>
      <c r="J399" s="456">
        <v>2802526</v>
      </c>
      <c r="K399" s="3598">
        <v>76640</v>
      </c>
      <c r="L399" s="3598">
        <v>0</v>
      </c>
      <c r="M399" s="71">
        <v>11561</v>
      </c>
      <c r="N399" s="456">
        <v>15746</v>
      </c>
      <c r="O399" s="3598">
        <v>1218</v>
      </c>
      <c r="P399" s="3598">
        <v>0</v>
      </c>
      <c r="Q399" s="71">
        <v>0</v>
      </c>
      <c r="R399" s="111">
        <v>4063340</v>
      </c>
      <c r="S399" s="3598">
        <v>490556</v>
      </c>
      <c r="T399" s="3598">
        <v>50</v>
      </c>
      <c r="U399" s="71">
        <v>16031</v>
      </c>
      <c r="V399" s="2520">
        <v>69519</v>
      </c>
      <c r="W399" s="2520">
        <v>506160</v>
      </c>
      <c r="X399" s="2424">
        <f t="shared" si="7"/>
        <v>52373.095258317189</v>
      </c>
      <c r="Y399" s="2525">
        <f t="shared" si="8"/>
        <v>405132.55968919699</v>
      </c>
    </row>
    <row r="400" spans="1:25">
      <c r="A400" s="53">
        <f t="shared" si="6"/>
        <v>2025.07</v>
      </c>
      <c r="B400" s="214">
        <v>3384714</v>
      </c>
      <c r="C400" s="3598">
        <v>176357</v>
      </c>
      <c r="D400" s="3598">
        <v>0</v>
      </c>
      <c r="E400" s="111">
        <v>6531</v>
      </c>
      <c r="F400" s="456">
        <v>665807</v>
      </c>
      <c r="G400" s="3598">
        <v>80692</v>
      </c>
      <c r="H400" s="3598">
        <v>0</v>
      </c>
      <c r="I400" s="71">
        <v>1102</v>
      </c>
      <c r="J400" s="456">
        <v>2560880</v>
      </c>
      <c r="K400" s="3598">
        <v>83422</v>
      </c>
      <c r="L400" s="3598">
        <v>0</v>
      </c>
      <c r="M400" s="71">
        <v>4955</v>
      </c>
      <c r="N400" s="456">
        <v>18640</v>
      </c>
      <c r="O400" s="3598">
        <v>1607</v>
      </c>
      <c r="P400" s="3598">
        <v>0</v>
      </c>
      <c r="Q400" s="71">
        <v>0</v>
      </c>
      <c r="R400" s="111">
        <v>3794737</v>
      </c>
      <c r="S400" s="3598">
        <v>491235</v>
      </c>
      <c r="T400" s="3598">
        <v>300</v>
      </c>
      <c r="U400" s="71">
        <v>7354</v>
      </c>
      <c r="V400" s="2520">
        <v>85920</v>
      </c>
      <c r="W400" s="2520">
        <v>579800</v>
      </c>
      <c r="X400" s="2424">
        <f t="shared" si="7"/>
        <v>64729.014292418084</v>
      </c>
      <c r="Y400" s="2525">
        <f t="shared" si="8"/>
        <v>464074.32058597362</v>
      </c>
    </row>
    <row r="401" spans="1:25">
      <c r="A401" s="53">
        <f t="shared" si="6"/>
        <v>2025.08</v>
      </c>
      <c r="B401" s="214">
        <v>3476676</v>
      </c>
      <c r="C401" s="3598">
        <v>177514</v>
      </c>
      <c r="D401" s="3598">
        <v>0</v>
      </c>
      <c r="E401" s="111">
        <v>13969</v>
      </c>
      <c r="F401" s="456">
        <v>680801</v>
      </c>
      <c r="G401" s="3598">
        <v>79861</v>
      </c>
      <c r="H401" s="3598">
        <v>0</v>
      </c>
      <c r="I401" s="71">
        <v>2315</v>
      </c>
      <c r="J401" s="456">
        <v>2597083</v>
      </c>
      <c r="K401" s="3598">
        <v>82370</v>
      </c>
      <c r="L401" s="3598">
        <v>0</v>
      </c>
      <c r="M401" s="71">
        <v>10004</v>
      </c>
      <c r="N401" s="456">
        <v>17103</v>
      </c>
      <c r="O401" s="3598">
        <v>1288</v>
      </c>
      <c r="P401" s="3598">
        <v>0</v>
      </c>
      <c r="Q401" s="71">
        <v>0</v>
      </c>
      <c r="R401" s="111">
        <v>3907939</v>
      </c>
      <c r="S401" s="3598">
        <v>487683</v>
      </c>
      <c r="T401" s="3598">
        <v>661</v>
      </c>
      <c r="U401" s="71">
        <v>14905</v>
      </c>
      <c r="V401" s="2520">
        <v>76585</v>
      </c>
      <c r="W401" s="2520">
        <v>531177</v>
      </c>
      <c r="X401" s="2520">
        <v>57241</v>
      </c>
      <c r="Y401" s="2522">
        <v>418219</v>
      </c>
    </row>
    <row r="402" spans="1:25">
      <c r="A402" s="53">
        <f t="shared" si="6"/>
        <v>2025.09</v>
      </c>
      <c r="B402" s="214">
        <v>3767735</v>
      </c>
      <c r="C402" s="3598">
        <v>150314</v>
      </c>
      <c r="D402" s="3598">
        <v>0</v>
      </c>
      <c r="E402" s="111">
        <v>14894</v>
      </c>
      <c r="F402" s="456">
        <v>748433</v>
      </c>
      <c r="G402" s="3598">
        <v>68195</v>
      </c>
      <c r="H402" s="3598">
        <v>0</v>
      </c>
      <c r="I402" s="71">
        <v>2138</v>
      </c>
      <c r="J402" s="456">
        <v>2866843</v>
      </c>
      <c r="K402" s="3598">
        <v>69939</v>
      </c>
      <c r="L402" s="3598">
        <v>0</v>
      </c>
      <c r="M402" s="71">
        <v>11098</v>
      </c>
      <c r="N402" s="456">
        <v>17545</v>
      </c>
      <c r="O402" s="3598">
        <v>1458</v>
      </c>
      <c r="P402" s="3598">
        <v>0</v>
      </c>
      <c r="Q402" s="71">
        <v>0</v>
      </c>
      <c r="R402" s="111">
        <v>4159691</v>
      </c>
      <c r="S402" s="3598">
        <v>403168</v>
      </c>
      <c r="T402" s="3598">
        <v>61</v>
      </c>
      <c r="U402" s="71">
        <v>15597</v>
      </c>
      <c r="V402" s="2520">
        <v>75410</v>
      </c>
      <c r="W402" s="2520">
        <v>501811</v>
      </c>
      <c r="X402" s="2520">
        <v>55587</v>
      </c>
      <c r="Y402" s="2522">
        <v>391199</v>
      </c>
    </row>
    <row r="403" spans="1:25">
      <c r="A403" s="53">
        <f t="shared" si="6"/>
        <v>2025.1</v>
      </c>
      <c r="B403" s="214">
        <v>3630074</v>
      </c>
      <c r="C403" s="3598">
        <v>136165</v>
      </c>
      <c r="D403" s="3598">
        <v>0</v>
      </c>
      <c r="E403" s="111">
        <v>8578</v>
      </c>
      <c r="F403" s="456">
        <v>720436</v>
      </c>
      <c r="G403" s="3598">
        <v>61050</v>
      </c>
      <c r="H403" s="3598">
        <v>0</v>
      </c>
      <c r="I403" s="71">
        <v>458</v>
      </c>
      <c r="J403" s="456">
        <v>2747110</v>
      </c>
      <c r="K403" s="3598">
        <v>65328</v>
      </c>
      <c r="L403" s="3598">
        <v>0</v>
      </c>
      <c r="M403" s="71">
        <v>6448</v>
      </c>
      <c r="N403" s="456">
        <v>16700</v>
      </c>
      <c r="O403" s="3598">
        <v>657</v>
      </c>
      <c r="P403" s="3598">
        <v>0</v>
      </c>
      <c r="Q403" s="71">
        <v>0</v>
      </c>
      <c r="R403" s="111">
        <v>4044484</v>
      </c>
      <c r="S403" s="3598">
        <v>448346</v>
      </c>
      <c r="T403" s="3598">
        <v>200</v>
      </c>
      <c r="U403" s="71">
        <v>8947</v>
      </c>
      <c r="V403" s="2520">
        <v>76676</v>
      </c>
      <c r="W403" s="2520">
        <v>501680</v>
      </c>
      <c r="X403" s="2520">
        <v>56176</v>
      </c>
      <c r="Y403" s="2522">
        <v>388313</v>
      </c>
    </row>
    <row r="404" spans="1:25">
      <c r="A404" s="53">
        <f t="shared" si="6"/>
        <v>2025.11</v>
      </c>
      <c r="B404" s="214">
        <v>3277933</v>
      </c>
      <c r="C404" s="3598">
        <v>38595</v>
      </c>
      <c r="D404" s="3598">
        <v>0</v>
      </c>
      <c r="E404" s="111">
        <v>6</v>
      </c>
      <c r="F404" s="456">
        <v>650548</v>
      </c>
      <c r="G404" s="3598">
        <v>17405</v>
      </c>
      <c r="H404" s="3598">
        <v>0</v>
      </c>
      <c r="I404" s="71">
        <v>0</v>
      </c>
      <c r="J404" s="456">
        <v>2479408</v>
      </c>
      <c r="K404" s="3598">
        <v>19228</v>
      </c>
      <c r="L404" s="3598">
        <v>0</v>
      </c>
      <c r="M404" s="71">
        <v>24</v>
      </c>
      <c r="N404" s="456">
        <v>14928</v>
      </c>
      <c r="O404" s="3598">
        <v>736</v>
      </c>
      <c r="P404" s="3598">
        <v>0</v>
      </c>
      <c r="Q404" s="71">
        <v>0</v>
      </c>
      <c r="R404" s="111">
        <v>3496682</v>
      </c>
      <c r="S404" s="3598">
        <v>309603</v>
      </c>
      <c r="T404" s="3598">
        <v>0</v>
      </c>
      <c r="U404" s="71">
        <v>358</v>
      </c>
      <c r="V404" s="2520">
        <v>67544</v>
      </c>
      <c r="W404" s="2520">
        <v>443082</v>
      </c>
      <c r="X404" s="2520">
        <v>66675</v>
      </c>
      <c r="Y404" s="2522">
        <v>442325</v>
      </c>
    </row>
    <row r="405" spans="1:25">
      <c r="A405" s="53">
        <f t="shared" si="6"/>
        <v>2025.12</v>
      </c>
      <c r="B405" s="214">
        <v>2740896</v>
      </c>
      <c r="C405" s="3598">
        <v>66609</v>
      </c>
      <c r="D405" s="3598">
        <v>0</v>
      </c>
      <c r="E405" s="111">
        <v>19</v>
      </c>
      <c r="F405" s="456">
        <v>545651</v>
      </c>
      <c r="G405" s="3598">
        <v>29330</v>
      </c>
      <c r="H405" s="3598">
        <v>0</v>
      </c>
      <c r="I405" s="71">
        <v>1</v>
      </c>
      <c r="J405" s="456">
        <v>2071711</v>
      </c>
      <c r="K405" s="3598">
        <v>34314</v>
      </c>
      <c r="L405" s="3598">
        <v>0</v>
      </c>
      <c r="M405" s="71">
        <v>16</v>
      </c>
      <c r="N405" s="456">
        <v>15757</v>
      </c>
      <c r="O405" s="3598">
        <v>664</v>
      </c>
      <c r="P405" s="3598">
        <v>0</v>
      </c>
      <c r="Q405" s="71">
        <v>0</v>
      </c>
      <c r="R405" s="111">
        <v>3111287</v>
      </c>
      <c r="S405" s="3598">
        <v>250874</v>
      </c>
      <c r="T405" s="3598">
        <v>42</v>
      </c>
      <c r="U405" s="71">
        <v>406</v>
      </c>
      <c r="V405" s="2520">
        <v>76512</v>
      </c>
      <c r="W405" s="2520">
        <v>515468</v>
      </c>
      <c r="X405" s="2520">
        <v>52646</v>
      </c>
      <c r="Y405" s="2522">
        <v>359598</v>
      </c>
    </row>
    <row r="406" spans="1:25">
      <c r="A406" s="53">
        <f t="shared" si="6"/>
        <v>2026.01</v>
      </c>
      <c r="B406" s="214">
        <v>2335193</v>
      </c>
      <c r="C406" s="3598">
        <v>209388</v>
      </c>
      <c r="D406" s="3598">
        <v>0</v>
      </c>
      <c r="E406" s="111">
        <v>0</v>
      </c>
      <c r="F406" s="456">
        <v>465182</v>
      </c>
      <c r="G406" s="3598">
        <v>92340</v>
      </c>
      <c r="H406" s="3598">
        <v>0</v>
      </c>
      <c r="I406" s="71">
        <v>0</v>
      </c>
      <c r="J406" s="456">
        <v>1778909</v>
      </c>
      <c r="K406" s="3598">
        <v>107616</v>
      </c>
      <c r="L406" s="3598">
        <v>0</v>
      </c>
      <c r="M406" s="71">
        <v>0</v>
      </c>
      <c r="N406" s="456">
        <v>14047</v>
      </c>
      <c r="O406" s="3598">
        <v>692</v>
      </c>
      <c r="P406" s="3598">
        <v>0</v>
      </c>
      <c r="Q406" s="71">
        <v>0</v>
      </c>
      <c r="R406" s="111">
        <v>2720025</v>
      </c>
      <c r="S406" s="3598">
        <v>322745</v>
      </c>
      <c r="T406" s="3598">
        <v>0</v>
      </c>
      <c r="U406" s="71">
        <v>0</v>
      </c>
      <c r="V406" s="2520">
        <v>77688</v>
      </c>
      <c r="W406" s="2520">
        <v>558562</v>
      </c>
      <c r="X406" s="2520">
        <v>52782</v>
      </c>
      <c r="Y406" s="2522">
        <v>386288</v>
      </c>
    </row>
    <row r="407" spans="1:25">
      <c r="A407" s="53">
        <f t="shared" si="6"/>
        <v>2026.02</v>
      </c>
      <c r="B407" s="214" t="e">
        <v>#N/A</v>
      </c>
      <c r="C407" s="3598" t="e">
        <v>#N/A</v>
      </c>
      <c r="D407" s="3598" t="e">
        <v>#N/A</v>
      </c>
      <c r="E407" s="111" t="e">
        <v>#N/A</v>
      </c>
      <c r="F407" s="456" t="e">
        <v>#N/A</v>
      </c>
      <c r="G407" s="3598" t="e">
        <v>#N/A</v>
      </c>
      <c r="H407" s="3598" t="e">
        <v>#N/A</v>
      </c>
      <c r="I407" s="71" t="e">
        <v>#N/A</v>
      </c>
      <c r="J407" s="456" t="e">
        <v>#N/A</v>
      </c>
      <c r="K407" s="3598" t="e">
        <v>#N/A</v>
      </c>
      <c r="L407" s="3598" t="e">
        <v>#N/A</v>
      </c>
      <c r="M407" s="71" t="e">
        <v>#N/A</v>
      </c>
      <c r="N407" s="456" t="e">
        <v>#N/A</v>
      </c>
      <c r="O407" s="3598" t="e">
        <v>#N/A</v>
      </c>
      <c r="P407" s="3598" t="e">
        <v>#N/A</v>
      </c>
      <c r="Q407" s="71" t="e">
        <v>#N/A</v>
      </c>
      <c r="R407" s="111" t="e">
        <v>#N/A</v>
      </c>
      <c r="S407" s="3598" t="e">
        <v>#N/A</v>
      </c>
      <c r="T407" s="3598" t="e">
        <v>#N/A</v>
      </c>
      <c r="U407" s="71" t="e">
        <v>#N/A</v>
      </c>
      <c r="V407" s="2526" t="e">
        <v>#N/A</v>
      </c>
      <c r="W407" s="2526" t="e">
        <v>#N/A</v>
      </c>
      <c r="X407" s="2526" t="e">
        <v>#N/A</v>
      </c>
      <c r="Y407" s="2527" t="e">
        <v>#N/A</v>
      </c>
    </row>
    <row r="408" spans="1:25">
      <c r="A408" s="53">
        <f t="shared" si="6"/>
        <v>2026.03</v>
      </c>
      <c r="B408" s="214" t="e">
        <v>#N/A</v>
      </c>
      <c r="C408" s="3598" t="e">
        <v>#N/A</v>
      </c>
      <c r="D408" s="3598" t="e">
        <v>#N/A</v>
      </c>
      <c r="E408" s="111" t="e">
        <v>#N/A</v>
      </c>
      <c r="F408" s="456" t="e">
        <v>#N/A</v>
      </c>
      <c r="G408" s="3598" t="e">
        <v>#N/A</v>
      </c>
      <c r="H408" s="3598" t="e">
        <v>#N/A</v>
      </c>
      <c r="I408" s="71" t="e">
        <v>#N/A</v>
      </c>
      <c r="J408" s="456" t="e">
        <v>#N/A</v>
      </c>
      <c r="K408" s="3598" t="e">
        <v>#N/A</v>
      </c>
      <c r="L408" s="3598" t="e">
        <v>#N/A</v>
      </c>
      <c r="M408" s="71" t="e">
        <v>#N/A</v>
      </c>
      <c r="N408" s="456" t="e">
        <v>#N/A</v>
      </c>
      <c r="O408" s="3598" t="e">
        <v>#N/A</v>
      </c>
      <c r="P408" s="3598" t="e">
        <v>#N/A</v>
      </c>
      <c r="Q408" s="71" t="e">
        <v>#N/A</v>
      </c>
      <c r="R408" s="111" t="e">
        <v>#N/A</v>
      </c>
      <c r="S408" s="3598" t="e">
        <v>#N/A</v>
      </c>
      <c r="T408" s="3598" t="e">
        <v>#N/A</v>
      </c>
      <c r="U408" s="71" t="e">
        <v>#N/A</v>
      </c>
      <c r="V408" s="2526" t="e">
        <v>#N/A</v>
      </c>
      <c r="W408" s="2526" t="e">
        <v>#N/A</v>
      </c>
      <c r="X408" s="2526" t="e">
        <v>#N/A</v>
      </c>
      <c r="Y408" s="2527" t="e">
        <v>#N/A</v>
      </c>
    </row>
    <row r="409" spans="1:25">
      <c r="A409" s="53">
        <f t="shared" si="6"/>
        <v>2026.04</v>
      </c>
      <c r="B409" s="214" t="e">
        <v>#N/A</v>
      </c>
      <c r="C409" s="3598" t="e">
        <v>#N/A</v>
      </c>
      <c r="D409" s="3598" t="e">
        <v>#N/A</v>
      </c>
      <c r="E409" s="111" t="e">
        <v>#N/A</v>
      </c>
      <c r="F409" s="456" t="e">
        <v>#N/A</v>
      </c>
      <c r="G409" s="3598" t="e">
        <v>#N/A</v>
      </c>
      <c r="H409" s="3598" t="e">
        <v>#N/A</v>
      </c>
      <c r="I409" s="71" t="e">
        <v>#N/A</v>
      </c>
      <c r="J409" s="456" t="e">
        <v>#N/A</v>
      </c>
      <c r="K409" s="3598" t="e">
        <v>#N/A</v>
      </c>
      <c r="L409" s="3598" t="e">
        <v>#N/A</v>
      </c>
      <c r="M409" s="71" t="e">
        <v>#N/A</v>
      </c>
      <c r="N409" s="456" t="e">
        <v>#N/A</v>
      </c>
      <c r="O409" s="3598" t="e">
        <v>#N/A</v>
      </c>
      <c r="P409" s="3598" t="e">
        <v>#N/A</v>
      </c>
      <c r="Q409" s="71" t="e">
        <v>#N/A</v>
      </c>
      <c r="R409" s="111" t="e">
        <v>#N/A</v>
      </c>
      <c r="S409" s="3598" t="e">
        <v>#N/A</v>
      </c>
      <c r="T409" s="3598" t="e">
        <v>#N/A</v>
      </c>
      <c r="U409" s="71" t="e">
        <v>#N/A</v>
      </c>
      <c r="V409" s="2526" t="e">
        <v>#N/A</v>
      </c>
      <c r="W409" s="2526" t="e">
        <v>#N/A</v>
      </c>
      <c r="X409" s="2526" t="e">
        <v>#N/A</v>
      </c>
      <c r="Y409" s="2527" t="e">
        <v>#N/A</v>
      </c>
    </row>
    <row r="410" spans="1:25">
      <c r="A410" s="53">
        <f t="shared" ref="A410:A465" si="9">A398+1</f>
        <v>2026.05</v>
      </c>
      <c r="B410" s="214" t="e">
        <v>#N/A</v>
      </c>
      <c r="C410" s="3598" t="e">
        <v>#N/A</v>
      </c>
      <c r="D410" s="3598" t="e">
        <v>#N/A</v>
      </c>
      <c r="E410" s="111" t="e">
        <v>#N/A</v>
      </c>
      <c r="F410" s="456" t="e">
        <v>#N/A</v>
      </c>
      <c r="G410" s="3598" t="e">
        <v>#N/A</v>
      </c>
      <c r="H410" s="3598" t="e">
        <v>#N/A</v>
      </c>
      <c r="I410" s="71" t="e">
        <v>#N/A</v>
      </c>
      <c r="J410" s="456" t="e">
        <v>#N/A</v>
      </c>
      <c r="K410" s="3598" t="e">
        <v>#N/A</v>
      </c>
      <c r="L410" s="3598" t="e">
        <v>#N/A</v>
      </c>
      <c r="M410" s="71" t="e">
        <v>#N/A</v>
      </c>
      <c r="N410" s="456" t="e">
        <v>#N/A</v>
      </c>
      <c r="O410" s="3598" t="e">
        <v>#N/A</v>
      </c>
      <c r="P410" s="3598" t="e">
        <v>#N/A</v>
      </c>
      <c r="Q410" s="71" t="e">
        <v>#N/A</v>
      </c>
      <c r="R410" s="111" t="e">
        <v>#N/A</v>
      </c>
      <c r="S410" s="3598" t="e">
        <v>#N/A</v>
      </c>
      <c r="T410" s="3598" t="e">
        <v>#N/A</v>
      </c>
      <c r="U410" s="71" t="e">
        <v>#N/A</v>
      </c>
      <c r="V410" s="2526" t="e">
        <v>#N/A</v>
      </c>
      <c r="W410" s="2526" t="e">
        <v>#N/A</v>
      </c>
      <c r="X410" s="2526" t="e">
        <v>#N/A</v>
      </c>
      <c r="Y410" s="2527" t="e">
        <v>#N/A</v>
      </c>
    </row>
    <row r="411" spans="1:25">
      <c r="A411" s="53">
        <f t="shared" si="9"/>
        <v>2026.06</v>
      </c>
      <c r="B411" s="214" t="e">
        <v>#N/A</v>
      </c>
      <c r="C411" s="3598" t="e">
        <v>#N/A</v>
      </c>
      <c r="D411" s="3598" t="e">
        <v>#N/A</v>
      </c>
      <c r="E411" s="111" t="e">
        <v>#N/A</v>
      </c>
      <c r="F411" s="456" t="e">
        <v>#N/A</v>
      </c>
      <c r="G411" s="3598" t="e">
        <v>#N/A</v>
      </c>
      <c r="H411" s="3598" t="e">
        <v>#N/A</v>
      </c>
      <c r="I411" s="71" t="e">
        <v>#N/A</v>
      </c>
      <c r="J411" s="456" t="e">
        <v>#N/A</v>
      </c>
      <c r="K411" s="3598" t="e">
        <v>#N/A</v>
      </c>
      <c r="L411" s="3598" t="e">
        <v>#N/A</v>
      </c>
      <c r="M411" s="71" t="e">
        <v>#N/A</v>
      </c>
      <c r="N411" s="456" t="e">
        <v>#N/A</v>
      </c>
      <c r="O411" s="3598" t="e">
        <v>#N/A</v>
      </c>
      <c r="P411" s="3598" t="e">
        <v>#N/A</v>
      </c>
      <c r="Q411" s="71" t="e">
        <v>#N/A</v>
      </c>
      <c r="R411" s="111" t="e">
        <v>#N/A</v>
      </c>
      <c r="S411" s="3598" t="e">
        <v>#N/A</v>
      </c>
      <c r="T411" s="3598" t="e">
        <v>#N/A</v>
      </c>
      <c r="U411" s="71" t="e">
        <v>#N/A</v>
      </c>
      <c r="V411" s="2526" t="e">
        <v>#N/A</v>
      </c>
      <c r="W411" s="2526" t="e">
        <v>#N/A</v>
      </c>
      <c r="X411" s="2526" t="e">
        <v>#N/A</v>
      </c>
      <c r="Y411" s="2527" t="e">
        <v>#N/A</v>
      </c>
    </row>
    <row r="412" spans="1:25">
      <c r="A412" s="53">
        <f t="shared" si="9"/>
        <v>2026.07</v>
      </c>
      <c r="B412" s="214" t="e">
        <v>#N/A</v>
      </c>
      <c r="C412" s="3598" t="e">
        <v>#N/A</v>
      </c>
      <c r="D412" s="3598" t="e">
        <v>#N/A</v>
      </c>
      <c r="E412" s="111" t="e">
        <v>#N/A</v>
      </c>
      <c r="F412" s="456" t="e">
        <v>#N/A</v>
      </c>
      <c r="G412" s="3598" t="e">
        <v>#N/A</v>
      </c>
      <c r="H412" s="3598" t="e">
        <v>#N/A</v>
      </c>
      <c r="I412" s="71" t="e">
        <v>#N/A</v>
      </c>
      <c r="J412" s="456" t="e">
        <v>#N/A</v>
      </c>
      <c r="K412" s="3598" t="e">
        <v>#N/A</v>
      </c>
      <c r="L412" s="3598" t="e">
        <v>#N/A</v>
      </c>
      <c r="M412" s="71" t="e">
        <v>#N/A</v>
      </c>
      <c r="N412" s="456" t="e">
        <v>#N/A</v>
      </c>
      <c r="O412" s="3598" t="e">
        <v>#N/A</v>
      </c>
      <c r="P412" s="3598" t="e">
        <v>#N/A</v>
      </c>
      <c r="Q412" s="71" t="e">
        <v>#N/A</v>
      </c>
      <c r="R412" s="111" t="e">
        <v>#N/A</v>
      </c>
      <c r="S412" s="3598" t="e">
        <v>#N/A</v>
      </c>
      <c r="T412" s="3598" t="e">
        <v>#N/A</v>
      </c>
      <c r="U412" s="71" t="e">
        <v>#N/A</v>
      </c>
      <c r="V412" s="2526" t="e">
        <v>#N/A</v>
      </c>
      <c r="W412" s="2526" t="e">
        <v>#N/A</v>
      </c>
      <c r="X412" s="2526" t="e">
        <v>#N/A</v>
      </c>
      <c r="Y412" s="2527" t="e">
        <v>#N/A</v>
      </c>
    </row>
    <row r="413" spans="1:25">
      <c r="A413" s="53">
        <f t="shared" si="9"/>
        <v>2026.08</v>
      </c>
      <c r="B413" s="214" t="e">
        <v>#N/A</v>
      </c>
      <c r="C413" s="3598" t="e">
        <v>#N/A</v>
      </c>
      <c r="D413" s="3598" t="e">
        <v>#N/A</v>
      </c>
      <c r="E413" s="111" t="e">
        <v>#N/A</v>
      </c>
      <c r="F413" s="456" t="e">
        <v>#N/A</v>
      </c>
      <c r="G413" s="3598" t="e">
        <v>#N/A</v>
      </c>
      <c r="H413" s="3598" t="e">
        <v>#N/A</v>
      </c>
      <c r="I413" s="71" t="e">
        <v>#N/A</v>
      </c>
      <c r="J413" s="456" t="e">
        <v>#N/A</v>
      </c>
      <c r="K413" s="3598" t="e">
        <v>#N/A</v>
      </c>
      <c r="L413" s="3598" t="e">
        <v>#N/A</v>
      </c>
      <c r="M413" s="71" t="e">
        <v>#N/A</v>
      </c>
      <c r="N413" s="456" t="e">
        <v>#N/A</v>
      </c>
      <c r="O413" s="3598" t="e">
        <v>#N/A</v>
      </c>
      <c r="P413" s="3598" t="e">
        <v>#N/A</v>
      </c>
      <c r="Q413" s="71" t="e">
        <v>#N/A</v>
      </c>
      <c r="R413" s="111" t="e">
        <v>#N/A</v>
      </c>
      <c r="S413" s="3598" t="e">
        <v>#N/A</v>
      </c>
      <c r="T413" s="3598" t="e">
        <v>#N/A</v>
      </c>
      <c r="U413" s="71" t="e">
        <v>#N/A</v>
      </c>
      <c r="V413" s="2526" t="e">
        <v>#N/A</v>
      </c>
      <c r="W413" s="2526" t="e">
        <v>#N/A</v>
      </c>
      <c r="X413" s="2526" t="e">
        <v>#N/A</v>
      </c>
      <c r="Y413" s="2527" t="e">
        <v>#N/A</v>
      </c>
    </row>
    <row r="414" spans="1:25">
      <c r="A414" s="53">
        <f t="shared" si="9"/>
        <v>2026.09</v>
      </c>
      <c r="B414" s="214" t="e">
        <v>#N/A</v>
      </c>
      <c r="C414" s="3598" t="e">
        <v>#N/A</v>
      </c>
      <c r="D414" s="3598" t="e">
        <v>#N/A</v>
      </c>
      <c r="E414" s="111" t="e">
        <v>#N/A</v>
      </c>
      <c r="F414" s="456" t="e">
        <v>#N/A</v>
      </c>
      <c r="G414" s="3598" t="e">
        <v>#N/A</v>
      </c>
      <c r="H414" s="3598" t="e">
        <v>#N/A</v>
      </c>
      <c r="I414" s="71" t="e">
        <v>#N/A</v>
      </c>
      <c r="J414" s="456" t="e">
        <v>#N/A</v>
      </c>
      <c r="K414" s="3598" t="e">
        <v>#N/A</v>
      </c>
      <c r="L414" s="3598" t="e">
        <v>#N/A</v>
      </c>
      <c r="M414" s="71" t="e">
        <v>#N/A</v>
      </c>
      <c r="N414" s="456" t="e">
        <v>#N/A</v>
      </c>
      <c r="O414" s="3598" t="e">
        <v>#N/A</v>
      </c>
      <c r="P414" s="3598" t="e">
        <v>#N/A</v>
      </c>
      <c r="Q414" s="71" t="e">
        <v>#N/A</v>
      </c>
      <c r="R414" s="111" t="e">
        <v>#N/A</v>
      </c>
      <c r="S414" s="3598" t="e">
        <v>#N/A</v>
      </c>
      <c r="T414" s="3598" t="e">
        <v>#N/A</v>
      </c>
      <c r="U414" s="71" t="e">
        <v>#N/A</v>
      </c>
      <c r="V414" s="2526" t="e">
        <v>#N/A</v>
      </c>
      <c r="W414" s="2526" t="e">
        <v>#N/A</v>
      </c>
      <c r="X414" s="2526" t="e">
        <v>#N/A</v>
      </c>
      <c r="Y414" s="2527" t="e">
        <v>#N/A</v>
      </c>
    </row>
    <row r="415" spans="1:25">
      <c r="A415" s="53">
        <f t="shared" si="9"/>
        <v>2026.1</v>
      </c>
      <c r="B415" s="214" t="e">
        <v>#N/A</v>
      </c>
      <c r="C415" s="3598" t="e">
        <v>#N/A</v>
      </c>
      <c r="D415" s="3598" t="e">
        <v>#N/A</v>
      </c>
      <c r="E415" s="111" t="e">
        <v>#N/A</v>
      </c>
      <c r="F415" s="456" t="e">
        <v>#N/A</v>
      </c>
      <c r="G415" s="3598" t="e">
        <v>#N/A</v>
      </c>
      <c r="H415" s="3598" t="e">
        <v>#N/A</v>
      </c>
      <c r="I415" s="71" t="e">
        <v>#N/A</v>
      </c>
      <c r="J415" s="456" t="e">
        <v>#N/A</v>
      </c>
      <c r="K415" s="3598" t="e">
        <v>#N/A</v>
      </c>
      <c r="L415" s="3598" t="e">
        <v>#N/A</v>
      </c>
      <c r="M415" s="71" t="e">
        <v>#N/A</v>
      </c>
      <c r="N415" s="456" t="e">
        <v>#N/A</v>
      </c>
      <c r="O415" s="3598" t="e">
        <v>#N/A</v>
      </c>
      <c r="P415" s="3598" t="e">
        <v>#N/A</v>
      </c>
      <c r="Q415" s="71" t="e">
        <v>#N/A</v>
      </c>
      <c r="R415" s="111" t="e">
        <v>#N/A</v>
      </c>
      <c r="S415" s="3598" t="e">
        <v>#N/A</v>
      </c>
      <c r="T415" s="3598" t="e">
        <v>#N/A</v>
      </c>
      <c r="U415" s="71" t="e">
        <v>#N/A</v>
      </c>
      <c r="V415" s="2526" t="e">
        <v>#N/A</v>
      </c>
      <c r="W415" s="2526" t="e">
        <v>#N/A</v>
      </c>
      <c r="X415" s="2526" t="e">
        <v>#N/A</v>
      </c>
      <c r="Y415" s="2527" t="e">
        <v>#N/A</v>
      </c>
    </row>
    <row r="416" spans="1:25">
      <c r="A416" s="53">
        <f t="shared" si="9"/>
        <v>2026.11</v>
      </c>
      <c r="B416" s="214" t="e">
        <v>#N/A</v>
      </c>
      <c r="C416" s="3598" t="e">
        <v>#N/A</v>
      </c>
      <c r="D416" s="3598" t="e">
        <v>#N/A</v>
      </c>
      <c r="E416" s="111" t="e">
        <v>#N/A</v>
      </c>
      <c r="F416" s="456" t="e">
        <v>#N/A</v>
      </c>
      <c r="G416" s="3598" t="e">
        <v>#N/A</v>
      </c>
      <c r="H416" s="3598" t="e">
        <v>#N/A</v>
      </c>
      <c r="I416" s="71" t="e">
        <v>#N/A</v>
      </c>
      <c r="J416" s="456" t="e">
        <v>#N/A</v>
      </c>
      <c r="K416" s="3598" t="e">
        <v>#N/A</v>
      </c>
      <c r="L416" s="3598" t="e">
        <v>#N/A</v>
      </c>
      <c r="M416" s="71" t="e">
        <v>#N/A</v>
      </c>
      <c r="N416" s="456" t="e">
        <v>#N/A</v>
      </c>
      <c r="O416" s="3598" t="e">
        <v>#N/A</v>
      </c>
      <c r="P416" s="3598" t="e">
        <v>#N/A</v>
      </c>
      <c r="Q416" s="71" t="e">
        <v>#N/A</v>
      </c>
      <c r="R416" s="111" t="e">
        <v>#N/A</v>
      </c>
      <c r="S416" s="3598" t="e">
        <v>#N/A</v>
      </c>
      <c r="T416" s="3598" t="e">
        <v>#N/A</v>
      </c>
      <c r="U416" s="71" t="e">
        <v>#N/A</v>
      </c>
      <c r="V416" s="2526" t="e">
        <v>#N/A</v>
      </c>
      <c r="W416" s="2526" t="e">
        <v>#N/A</v>
      </c>
      <c r="X416" s="2526" t="e">
        <v>#N/A</v>
      </c>
      <c r="Y416" s="2527" t="e">
        <v>#N/A</v>
      </c>
    </row>
    <row r="417" spans="1:25">
      <c r="A417" s="53">
        <f t="shared" si="9"/>
        <v>2026.12</v>
      </c>
      <c r="B417" s="214" t="e">
        <v>#N/A</v>
      </c>
      <c r="C417" s="3598" t="e">
        <v>#N/A</v>
      </c>
      <c r="D417" s="3598" t="e">
        <v>#N/A</v>
      </c>
      <c r="E417" s="111" t="e">
        <v>#N/A</v>
      </c>
      <c r="F417" s="456" t="e">
        <v>#N/A</v>
      </c>
      <c r="G417" s="3598" t="e">
        <v>#N/A</v>
      </c>
      <c r="H417" s="3598" t="e">
        <v>#N/A</v>
      </c>
      <c r="I417" s="71" t="e">
        <v>#N/A</v>
      </c>
      <c r="J417" s="456" t="e">
        <v>#N/A</v>
      </c>
      <c r="K417" s="3598" t="e">
        <v>#N/A</v>
      </c>
      <c r="L417" s="3598" t="e">
        <v>#N/A</v>
      </c>
      <c r="M417" s="71" t="e">
        <v>#N/A</v>
      </c>
      <c r="N417" s="456" t="e">
        <v>#N/A</v>
      </c>
      <c r="O417" s="3598" t="e">
        <v>#N/A</v>
      </c>
      <c r="P417" s="3598" t="e">
        <v>#N/A</v>
      </c>
      <c r="Q417" s="71" t="e">
        <v>#N/A</v>
      </c>
      <c r="R417" s="111" t="e">
        <v>#N/A</v>
      </c>
      <c r="S417" s="3598" t="e">
        <v>#N/A</v>
      </c>
      <c r="T417" s="3598" t="e">
        <v>#N/A</v>
      </c>
      <c r="U417" s="71" t="e">
        <v>#N/A</v>
      </c>
      <c r="V417" s="2526" t="e">
        <v>#N/A</v>
      </c>
      <c r="W417" s="2526" t="e">
        <v>#N/A</v>
      </c>
      <c r="X417" s="2526" t="e">
        <v>#N/A</v>
      </c>
      <c r="Y417" s="2527" t="e">
        <v>#N/A</v>
      </c>
    </row>
    <row r="418" spans="1:25">
      <c r="A418" s="53">
        <f t="shared" si="9"/>
        <v>2027.01</v>
      </c>
      <c r="B418" s="214" t="e">
        <v>#N/A</v>
      </c>
      <c r="C418" s="3598" t="e">
        <v>#N/A</v>
      </c>
      <c r="D418" s="3598" t="e">
        <v>#N/A</v>
      </c>
      <c r="E418" s="111" t="e">
        <v>#N/A</v>
      </c>
      <c r="F418" s="456" t="e">
        <v>#N/A</v>
      </c>
      <c r="G418" s="3598" t="e">
        <v>#N/A</v>
      </c>
      <c r="H418" s="3598" t="e">
        <v>#N/A</v>
      </c>
      <c r="I418" s="71" t="e">
        <v>#N/A</v>
      </c>
      <c r="J418" s="456" t="e">
        <v>#N/A</v>
      </c>
      <c r="K418" s="3598" t="e">
        <v>#N/A</v>
      </c>
      <c r="L418" s="3598" t="e">
        <v>#N/A</v>
      </c>
      <c r="M418" s="71" t="e">
        <v>#N/A</v>
      </c>
      <c r="N418" s="456" t="e">
        <v>#N/A</v>
      </c>
      <c r="O418" s="3598" t="e">
        <v>#N/A</v>
      </c>
      <c r="P418" s="3598" t="e">
        <v>#N/A</v>
      </c>
      <c r="Q418" s="71" t="e">
        <v>#N/A</v>
      </c>
      <c r="R418" s="111" t="e">
        <v>#N/A</v>
      </c>
      <c r="S418" s="3598" t="e">
        <v>#N/A</v>
      </c>
      <c r="T418" s="3598" t="e">
        <v>#N/A</v>
      </c>
      <c r="U418" s="71" t="e">
        <v>#N/A</v>
      </c>
      <c r="V418" s="2526" t="e">
        <v>#N/A</v>
      </c>
      <c r="W418" s="2526" t="e">
        <v>#N/A</v>
      </c>
      <c r="X418" s="2526" t="e">
        <v>#N/A</v>
      </c>
      <c r="Y418" s="2527" t="e">
        <v>#N/A</v>
      </c>
    </row>
    <row r="419" spans="1:25">
      <c r="A419" s="53">
        <f t="shared" si="9"/>
        <v>2027.02</v>
      </c>
      <c r="B419" s="214" t="e">
        <v>#N/A</v>
      </c>
      <c r="C419" s="3598" t="e">
        <v>#N/A</v>
      </c>
      <c r="D419" s="3598" t="e">
        <v>#N/A</v>
      </c>
      <c r="E419" s="111" t="e">
        <v>#N/A</v>
      </c>
      <c r="F419" s="456" t="e">
        <v>#N/A</v>
      </c>
      <c r="G419" s="3598" t="e">
        <v>#N/A</v>
      </c>
      <c r="H419" s="3598" t="e">
        <v>#N/A</v>
      </c>
      <c r="I419" s="71" t="e">
        <v>#N/A</v>
      </c>
      <c r="J419" s="456" t="e">
        <v>#N/A</v>
      </c>
      <c r="K419" s="3598" t="e">
        <v>#N/A</v>
      </c>
      <c r="L419" s="3598" t="e">
        <v>#N/A</v>
      </c>
      <c r="M419" s="71" t="e">
        <v>#N/A</v>
      </c>
      <c r="N419" s="456" t="e">
        <v>#N/A</v>
      </c>
      <c r="O419" s="3598" t="e">
        <v>#N/A</v>
      </c>
      <c r="P419" s="3598" t="e">
        <v>#N/A</v>
      </c>
      <c r="Q419" s="71" t="e">
        <v>#N/A</v>
      </c>
      <c r="R419" s="111" t="e">
        <v>#N/A</v>
      </c>
      <c r="S419" s="3598" t="e">
        <v>#N/A</v>
      </c>
      <c r="T419" s="3598" t="e">
        <v>#N/A</v>
      </c>
      <c r="U419" s="71" t="e">
        <v>#N/A</v>
      </c>
      <c r="V419" s="2526" t="e">
        <v>#N/A</v>
      </c>
      <c r="W419" s="2526" t="e">
        <v>#N/A</v>
      </c>
      <c r="X419" s="2526" t="e">
        <v>#N/A</v>
      </c>
      <c r="Y419" s="2527" t="e">
        <v>#N/A</v>
      </c>
    </row>
    <row r="420" spans="1:25">
      <c r="A420" s="53">
        <f t="shared" si="9"/>
        <v>2027.03</v>
      </c>
      <c r="B420" s="214" t="e">
        <v>#N/A</v>
      </c>
      <c r="C420" s="3598" t="e">
        <v>#N/A</v>
      </c>
      <c r="D420" s="3598" t="e">
        <v>#N/A</v>
      </c>
      <c r="E420" s="111" t="e">
        <v>#N/A</v>
      </c>
      <c r="F420" s="456" t="e">
        <v>#N/A</v>
      </c>
      <c r="G420" s="3598" t="e">
        <v>#N/A</v>
      </c>
      <c r="H420" s="3598" t="e">
        <v>#N/A</v>
      </c>
      <c r="I420" s="71" t="e">
        <v>#N/A</v>
      </c>
      <c r="J420" s="456" t="e">
        <v>#N/A</v>
      </c>
      <c r="K420" s="3598" t="e">
        <v>#N/A</v>
      </c>
      <c r="L420" s="3598" t="e">
        <v>#N/A</v>
      </c>
      <c r="M420" s="71" t="e">
        <v>#N/A</v>
      </c>
      <c r="N420" s="456" t="e">
        <v>#N/A</v>
      </c>
      <c r="O420" s="3598" t="e">
        <v>#N/A</v>
      </c>
      <c r="P420" s="3598" t="e">
        <v>#N/A</v>
      </c>
      <c r="Q420" s="71" t="e">
        <v>#N/A</v>
      </c>
      <c r="R420" s="111" t="e">
        <v>#N/A</v>
      </c>
      <c r="S420" s="3598" t="e">
        <v>#N/A</v>
      </c>
      <c r="T420" s="3598" t="e">
        <v>#N/A</v>
      </c>
      <c r="U420" s="71" t="e">
        <v>#N/A</v>
      </c>
      <c r="V420" s="2526" t="e">
        <v>#N/A</v>
      </c>
      <c r="W420" s="2526" t="e">
        <v>#N/A</v>
      </c>
      <c r="X420" s="2526" t="e">
        <v>#N/A</v>
      </c>
      <c r="Y420" s="2527" t="e">
        <v>#N/A</v>
      </c>
    </row>
    <row r="421" spans="1:25">
      <c r="A421" s="53">
        <f t="shared" si="9"/>
        <v>2027.04</v>
      </c>
      <c r="B421" s="214" t="e">
        <v>#N/A</v>
      </c>
      <c r="C421" s="3598" t="e">
        <v>#N/A</v>
      </c>
      <c r="D421" s="3598" t="e">
        <v>#N/A</v>
      </c>
      <c r="E421" s="111" t="e">
        <v>#N/A</v>
      </c>
      <c r="F421" s="456" t="e">
        <v>#N/A</v>
      </c>
      <c r="G421" s="3598" t="e">
        <v>#N/A</v>
      </c>
      <c r="H421" s="3598" t="e">
        <v>#N/A</v>
      </c>
      <c r="I421" s="71" t="e">
        <v>#N/A</v>
      </c>
      <c r="J421" s="456" t="e">
        <v>#N/A</v>
      </c>
      <c r="K421" s="3598" t="e">
        <v>#N/A</v>
      </c>
      <c r="L421" s="3598" t="e">
        <v>#N/A</v>
      </c>
      <c r="M421" s="71" t="e">
        <v>#N/A</v>
      </c>
      <c r="N421" s="456" t="e">
        <v>#N/A</v>
      </c>
      <c r="O421" s="3598" t="e">
        <v>#N/A</v>
      </c>
      <c r="P421" s="3598" t="e">
        <v>#N/A</v>
      </c>
      <c r="Q421" s="71" t="e">
        <v>#N/A</v>
      </c>
      <c r="R421" s="111" t="e">
        <v>#N/A</v>
      </c>
      <c r="S421" s="3598" t="e">
        <v>#N/A</v>
      </c>
      <c r="T421" s="3598" t="e">
        <v>#N/A</v>
      </c>
      <c r="U421" s="71" t="e">
        <v>#N/A</v>
      </c>
      <c r="V421" s="2526" t="e">
        <v>#N/A</v>
      </c>
      <c r="W421" s="2526" t="e">
        <v>#N/A</v>
      </c>
      <c r="X421" s="2526" t="e">
        <v>#N/A</v>
      </c>
      <c r="Y421" s="2527" t="e">
        <v>#N/A</v>
      </c>
    </row>
    <row r="422" spans="1:25">
      <c r="A422" s="53">
        <f t="shared" si="9"/>
        <v>2027.05</v>
      </c>
      <c r="B422" s="214" t="e">
        <v>#N/A</v>
      </c>
      <c r="C422" s="3598" t="e">
        <v>#N/A</v>
      </c>
      <c r="D422" s="3598" t="e">
        <v>#N/A</v>
      </c>
      <c r="E422" s="111" t="e">
        <v>#N/A</v>
      </c>
      <c r="F422" s="456" t="e">
        <v>#N/A</v>
      </c>
      <c r="G422" s="3598" t="e">
        <v>#N/A</v>
      </c>
      <c r="H422" s="3598" t="e">
        <v>#N/A</v>
      </c>
      <c r="I422" s="71" t="e">
        <v>#N/A</v>
      </c>
      <c r="J422" s="456" t="e">
        <v>#N/A</v>
      </c>
      <c r="K422" s="3598" t="e">
        <v>#N/A</v>
      </c>
      <c r="L422" s="3598" t="e">
        <v>#N/A</v>
      </c>
      <c r="M422" s="71" t="e">
        <v>#N/A</v>
      </c>
      <c r="N422" s="456" t="e">
        <v>#N/A</v>
      </c>
      <c r="O422" s="3598" t="e">
        <v>#N/A</v>
      </c>
      <c r="P422" s="3598" t="e">
        <v>#N/A</v>
      </c>
      <c r="Q422" s="71" t="e">
        <v>#N/A</v>
      </c>
      <c r="R422" s="111" t="e">
        <v>#N/A</v>
      </c>
      <c r="S422" s="3598" t="e">
        <v>#N/A</v>
      </c>
      <c r="T422" s="3598" t="e">
        <v>#N/A</v>
      </c>
      <c r="U422" s="71" t="e">
        <v>#N/A</v>
      </c>
      <c r="V422" s="2526" t="e">
        <v>#N/A</v>
      </c>
      <c r="W422" s="2526" t="e">
        <v>#N/A</v>
      </c>
      <c r="X422" s="2526" t="e">
        <v>#N/A</v>
      </c>
      <c r="Y422" s="2527" t="e">
        <v>#N/A</v>
      </c>
    </row>
    <row r="423" spans="1:25">
      <c r="A423" s="53">
        <f t="shared" si="9"/>
        <v>2027.06</v>
      </c>
      <c r="B423" s="214" t="e">
        <v>#N/A</v>
      </c>
      <c r="C423" s="3598" t="e">
        <v>#N/A</v>
      </c>
      <c r="D423" s="3598" t="e">
        <v>#N/A</v>
      </c>
      <c r="E423" s="111" t="e">
        <v>#N/A</v>
      </c>
      <c r="F423" s="456" t="e">
        <v>#N/A</v>
      </c>
      <c r="G423" s="3598" t="e">
        <v>#N/A</v>
      </c>
      <c r="H423" s="3598" t="e">
        <v>#N/A</v>
      </c>
      <c r="I423" s="71" t="e">
        <v>#N/A</v>
      </c>
      <c r="J423" s="456" t="e">
        <v>#N/A</v>
      </c>
      <c r="K423" s="3598" t="e">
        <v>#N/A</v>
      </c>
      <c r="L423" s="3598" t="e">
        <v>#N/A</v>
      </c>
      <c r="M423" s="71" t="e">
        <v>#N/A</v>
      </c>
      <c r="N423" s="456" t="e">
        <v>#N/A</v>
      </c>
      <c r="O423" s="3598" t="e">
        <v>#N/A</v>
      </c>
      <c r="P423" s="3598" t="e">
        <v>#N/A</v>
      </c>
      <c r="Q423" s="71" t="e">
        <v>#N/A</v>
      </c>
      <c r="R423" s="111" t="e">
        <v>#N/A</v>
      </c>
      <c r="S423" s="3598" t="e">
        <v>#N/A</v>
      </c>
      <c r="T423" s="3598" t="e">
        <v>#N/A</v>
      </c>
      <c r="U423" s="71" t="e">
        <v>#N/A</v>
      </c>
      <c r="V423" s="2526" t="e">
        <v>#N/A</v>
      </c>
      <c r="W423" s="2526" t="e">
        <v>#N/A</v>
      </c>
      <c r="X423" s="2526" t="e">
        <v>#N/A</v>
      </c>
      <c r="Y423" s="2527" t="e">
        <v>#N/A</v>
      </c>
    </row>
    <row r="424" spans="1:25">
      <c r="A424" s="53">
        <f t="shared" si="9"/>
        <v>2027.07</v>
      </c>
      <c r="B424" s="214" t="e">
        <v>#N/A</v>
      </c>
      <c r="C424" s="3598" t="e">
        <v>#N/A</v>
      </c>
      <c r="D424" s="3598" t="e">
        <v>#N/A</v>
      </c>
      <c r="E424" s="111" t="e">
        <v>#N/A</v>
      </c>
      <c r="F424" s="456" t="e">
        <v>#N/A</v>
      </c>
      <c r="G424" s="3598" t="e">
        <v>#N/A</v>
      </c>
      <c r="H424" s="3598" t="e">
        <v>#N/A</v>
      </c>
      <c r="I424" s="71" t="e">
        <v>#N/A</v>
      </c>
      <c r="J424" s="456" t="e">
        <v>#N/A</v>
      </c>
      <c r="K424" s="3598" t="e">
        <v>#N/A</v>
      </c>
      <c r="L424" s="3598" t="e">
        <v>#N/A</v>
      </c>
      <c r="M424" s="71" t="e">
        <v>#N/A</v>
      </c>
      <c r="N424" s="456" t="e">
        <v>#N/A</v>
      </c>
      <c r="O424" s="3598" t="e">
        <v>#N/A</v>
      </c>
      <c r="P424" s="3598" t="e">
        <v>#N/A</v>
      </c>
      <c r="Q424" s="71" t="e">
        <v>#N/A</v>
      </c>
      <c r="R424" s="111" t="e">
        <v>#N/A</v>
      </c>
      <c r="S424" s="3598" t="e">
        <v>#N/A</v>
      </c>
      <c r="T424" s="3598" t="e">
        <v>#N/A</v>
      </c>
      <c r="U424" s="71" t="e">
        <v>#N/A</v>
      </c>
      <c r="V424" s="2526" t="e">
        <v>#N/A</v>
      </c>
      <c r="W424" s="2526" t="e">
        <v>#N/A</v>
      </c>
      <c r="X424" s="2526" t="e">
        <v>#N/A</v>
      </c>
      <c r="Y424" s="2527" t="e">
        <v>#N/A</v>
      </c>
    </row>
    <row r="425" spans="1:25">
      <c r="A425" s="53">
        <f t="shared" si="9"/>
        <v>2027.08</v>
      </c>
      <c r="B425" s="214" t="e">
        <v>#N/A</v>
      </c>
      <c r="C425" s="3598" t="e">
        <v>#N/A</v>
      </c>
      <c r="D425" s="3598" t="e">
        <v>#N/A</v>
      </c>
      <c r="E425" s="111" t="e">
        <v>#N/A</v>
      </c>
      <c r="F425" s="456" t="e">
        <v>#N/A</v>
      </c>
      <c r="G425" s="3598" t="e">
        <v>#N/A</v>
      </c>
      <c r="H425" s="3598" t="e">
        <v>#N/A</v>
      </c>
      <c r="I425" s="71" t="e">
        <v>#N/A</v>
      </c>
      <c r="J425" s="456" t="e">
        <v>#N/A</v>
      </c>
      <c r="K425" s="3598" t="e">
        <v>#N/A</v>
      </c>
      <c r="L425" s="3598" t="e">
        <v>#N/A</v>
      </c>
      <c r="M425" s="71" t="e">
        <v>#N/A</v>
      </c>
      <c r="N425" s="456" t="e">
        <v>#N/A</v>
      </c>
      <c r="O425" s="3598" t="e">
        <v>#N/A</v>
      </c>
      <c r="P425" s="3598" t="e">
        <v>#N/A</v>
      </c>
      <c r="Q425" s="71" t="e">
        <v>#N/A</v>
      </c>
      <c r="R425" s="111" t="e">
        <v>#N/A</v>
      </c>
      <c r="S425" s="3598" t="e">
        <v>#N/A</v>
      </c>
      <c r="T425" s="3598" t="e">
        <v>#N/A</v>
      </c>
      <c r="U425" s="71" t="e">
        <v>#N/A</v>
      </c>
      <c r="V425" s="2526" t="e">
        <v>#N/A</v>
      </c>
      <c r="W425" s="2526" t="e">
        <v>#N/A</v>
      </c>
      <c r="X425" s="2526" t="e">
        <v>#N/A</v>
      </c>
      <c r="Y425" s="2527" t="e">
        <v>#N/A</v>
      </c>
    </row>
    <row r="426" spans="1:25">
      <c r="A426" s="53">
        <f t="shared" si="9"/>
        <v>2027.09</v>
      </c>
      <c r="B426" s="214" t="e">
        <v>#N/A</v>
      </c>
      <c r="C426" s="3598" t="e">
        <v>#N/A</v>
      </c>
      <c r="D426" s="3598" t="e">
        <v>#N/A</v>
      </c>
      <c r="E426" s="111" t="e">
        <v>#N/A</v>
      </c>
      <c r="F426" s="456" t="e">
        <v>#N/A</v>
      </c>
      <c r="G426" s="3598" t="e">
        <v>#N/A</v>
      </c>
      <c r="H426" s="3598" t="e">
        <v>#N/A</v>
      </c>
      <c r="I426" s="71" t="e">
        <v>#N/A</v>
      </c>
      <c r="J426" s="456" t="e">
        <v>#N/A</v>
      </c>
      <c r="K426" s="3598" t="e">
        <v>#N/A</v>
      </c>
      <c r="L426" s="3598" t="e">
        <v>#N/A</v>
      </c>
      <c r="M426" s="71" t="e">
        <v>#N/A</v>
      </c>
      <c r="N426" s="456" t="e">
        <v>#N/A</v>
      </c>
      <c r="O426" s="3598" t="e">
        <v>#N/A</v>
      </c>
      <c r="P426" s="3598" t="e">
        <v>#N/A</v>
      </c>
      <c r="Q426" s="71" t="e">
        <v>#N/A</v>
      </c>
      <c r="R426" s="111" t="e">
        <v>#N/A</v>
      </c>
      <c r="S426" s="3598" t="e">
        <v>#N/A</v>
      </c>
      <c r="T426" s="3598" t="e">
        <v>#N/A</v>
      </c>
      <c r="U426" s="71" t="e">
        <v>#N/A</v>
      </c>
      <c r="V426" s="2526" t="e">
        <v>#N/A</v>
      </c>
      <c r="W426" s="2526" t="e">
        <v>#N/A</v>
      </c>
      <c r="X426" s="2526" t="e">
        <v>#N/A</v>
      </c>
      <c r="Y426" s="2527" t="e">
        <v>#N/A</v>
      </c>
    </row>
    <row r="427" spans="1:25">
      <c r="A427" s="53">
        <f t="shared" si="9"/>
        <v>2027.1</v>
      </c>
      <c r="B427" s="214" t="e">
        <v>#N/A</v>
      </c>
      <c r="C427" s="3598" t="e">
        <v>#N/A</v>
      </c>
      <c r="D427" s="3598" t="e">
        <v>#N/A</v>
      </c>
      <c r="E427" s="111" t="e">
        <v>#N/A</v>
      </c>
      <c r="F427" s="456" t="e">
        <v>#N/A</v>
      </c>
      <c r="G427" s="3598" t="e">
        <v>#N/A</v>
      </c>
      <c r="H427" s="3598" t="e">
        <v>#N/A</v>
      </c>
      <c r="I427" s="71" t="e">
        <v>#N/A</v>
      </c>
      <c r="J427" s="456" t="e">
        <v>#N/A</v>
      </c>
      <c r="K427" s="3598" t="e">
        <v>#N/A</v>
      </c>
      <c r="L427" s="3598" t="e">
        <v>#N/A</v>
      </c>
      <c r="M427" s="71" t="e">
        <v>#N/A</v>
      </c>
      <c r="N427" s="456" t="e">
        <v>#N/A</v>
      </c>
      <c r="O427" s="3598" t="e">
        <v>#N/A</v>
      </c>
      <c r="P427" s="3598" t="e">
        <v>#N/A</v>
      </c>
      <c r="Q427" s="71" t="e">
        <v>#N/A</v>
      </c>
      <c r="R427" s="111" t="e">
        <v>#N/A</v>
      </c>
      <c r="S427" s="3598" t="e">
        <v>#N/A</v>
      </c>
      <c r="T427" s="3598" t="e">
        <v>#N/A</v>
      </c>
      <c r="U427" s="71" t="e">
        <v>#N/A</v>
      </c>
      <c r="V427" s="2526" t="e">
        <v>#N/A</v>
      </c>
      <c r="W427" s="2526" t="e">
        <v>#N/A</v>
      </c>
      <c r="X427" s="2526" t="e">
        <v>#N/A</v>
      </c>
      <c r="Y427" s="2527" t="e">
        <v>#N/A</v>
      </c>
    </row>
    <row r="428" spans="1:25">
      <c r="A428" s="53">
        <f t="shared" si="9"/>
        <v>2027.11</v>
      </c>
      <c r="B428" s="214" t="e">
        <v>#N/A</v>
      </c>
      <c r="C428" s="3598" t="e">
        <v>#N/A</v>
      </c>
      <c r="D428" s="3598" t="e">
        <v>#N/A</v>
      </c>
      <c r="E428" s="111" t="e">
        <v>#N/A</v>
      </c>
      <c r="F428" s="456" t="e">
        <v>#N/A</v>
      </c>
      <c r="G428" s="3598" t="e">
        <v>#N/A</v>
      </c>
      <c r="H428" s="3598" t="e">
        <v>#N/A</v>
      </c>
      <c r="I428" s="71" t="e">
        <v>#N/A</v>
      </c>
      <c r="J428" s="456" t="e">
        <v>#N/A</v>
      </c>
      <c r="K428" s="3598" t="e">
        <v>#N/A</v>
      </c>
      <c r="L428" s="3598" t="e">
        <v>#N/A</v>
      </c>
      <c r="M428" s="71" t="e">
        <v>#N/A</v>
      </c>
      <c r="N428" s="456" t="e">
        <v>#N/A</v>
      </c>
      <c r="O428" s="3598" t="e">
        <v>#N/A</v>
      </c>
      <c r="P428" s="3598" t="e">
        <v>#N/A</v>
      </c>
      <c r="Q428" s="71" t="e">
        <v>#N/A</v>
      </c>
      <c r="R428" s="111" t="e">
        <v>#N/A</v>
      </c>
      <c r="S428" s="3598" t="e">
        <v>#N/A</v>
      </c>
      <c r="T428" s="3598" t="e">
        <v>#N/A</v>
      </c>
      <c r="U428" s="71" t="e">
        <v>#N/A</v>
      </c>
      <c r="V428" s="2526" t="e">
        <v>#N/A</v>
      </c>
      <c r="W428" s="2526" t="e">
        <v>#N/A</v>
      </c>
      <c r="X428" s="2526" t="e">
        <v>#N/A</v>
      </c>
      <c r="Y428" s="2527" t="e">
        <v>#N/A</v>
      </c>
    </row>
    <row r="429" spans="1:25">
      <c r="A429" s="53">
        <f t="shared" si="9"/>
        <v>2027.12</v>
      </c>
      <c r="B429" s="214" t="e">
        <v>#N/A</v>
      </c>
      <c r="C429" s="3598" t="e">
        <v>#N/A</v>
      </c>
      <c r="D429" s="3598" t="e">
        <v>#N/A</v>
      </c>
      <c r="E429" s="111" t="e">
        <v>#N/A</v>
      </c>
      <c r="F429" s="456" t="e">
        <v>#N/A</v>
      </c>
      <c r="G429" s="3598" t="e">
        <v>#N/A</v>
      </c>
      <c r="H429" s="3598" t="e">
        <v>#N/A</v>
      </c>
      <c r="I429" s="71" t="e">
        <v>#N/A</v>
      </c>
      <c r="J429" s="456" t="e">
        <v>#N/A</v>
      </c>
      <c r="K429" s="3598" t="e">
        <v>#N/A</v>
      </c>
      <c r="L429" s="3598" t="e">
        <v>#N/A</v>
      </c>
      <c r="M429" s="71" t="e">
        <v>#N/A</v>
      </c>
      <c r="N429" s="456" t="e">
        <v>#N/A</v>
      </c>
      <c r="O429" s="3598" t="e">
        <v>#N/A</v>
      </c>
      <c r="P429" s="3598" t="e">
        <v>#N/A</v>
      </c>
      <c r="Q429" s="71" t="e">
        <v>#N/A</v>
      </c>
      <c r="R429" s="111" t="e">
        <v>#N/A</v>
      </c>
      <c r="S429" s="3598" t="e">
        <v>#N/A</v>
      </c>
      <c r="T429" s="3598" t="e">
        <v>#N/A</v>
      </c>
      <c r="U429" s="71" t="e">
        <v>#N/A</v>
      </c>
      <c r="V429" s="2526" t="e">
        <v>#N/A</v>
      </c>
      <c r="W429" s="2526" t="e">
        <v>#N/A</v>
      </c>
      <c r="X429" s="2526" t="e">
        <v>#N/A</v>
      </c>
      <c r="Y429" s="2527" t="e">
        <v>#N/A</v>
      </c>
    </row>
    <row r="430" spans="1:25">
      <c r="A430" s="53">
        <f t="shared" si="9"/>
        <v>2028.01</v>
      </c>
      <c r="B430" s="214" t="e">
        <v>#N/A</v>
      </c>
      <c r="C430" s="3598" t="e">
        <v>#N/A</v>
      </c>
      <c r="D430" s="3598" t="e">
        <v>#N/A</v>
      </c>
      <c r="E430" s="111" t="e">
        <v>#N/A</v>
      </c>
      <c r="F430" s="456" t="e">
        <v>#N/A</v>
      </c>
      <c r="G430" s="3598" t="e">
        <v>#N/A</v>
      </c>
      <c r="H430" s="3598" t="e">
        <v>#N/A</v>
      </c>
      <c r="I430" s="71" t="e">
        <v>#N/A</v>
      </c>
      <c r="J430" s="456" t="e">
        <v>#N/A</v>
      </c>
      <c r="K430" s="3598" t="e">
        <v>#N/A</v>
      </c>
      <c r="L430" s="3598" t="e">
        <v>#N/A</v>
      </c>
      <c r="M430" s="71" t="e">
        <v>#N/A</v>
      </c>
      <c r="N430" s="456" t="e">
        <v>#N/A</v>
      </c>
      <c r="O430" s="3598" t="e">
        <v>#N/A</v>
      </c>
      <c r="P430" s="3598" t="e">
        <v>#N/A</v>
      </c>
      <c r="Q430" s="71" t="e">
        <v>#N/A</v>
      </c>
      <c r="R430" s="111" t="e">
        <v>#N/A</v>
      </c>
      <c r="S430" s="3598" t="e">
        <v>#N/A</v>
      </c>
      <c r="T430" s="3598" t="e">
        <v>#N/A</v>
      </c>
      <c r="U430" s="71" t="e">
        <v>#N/A</v>
      </c>
      <c r="V430" s="2526" t="e">
        <v>#N/A</v>
      </c>
      <c r="W430" s="2526" t="e">
        <v>#N/A</v>
      </c>
      <c r="X430" s="2526" t="e">
        <v>#N/A</v>
      </c>
      <c r="Y430" s="2527" t="e">
        <v>#N/A</v>
      </c>
    </row>
    <row r="431" spans="1:25">
      <c r="A431" s="53">
        <f t="shared" si="9"/>
        <v>2028.02</v>
      </c>
      <c r="B431" s="214" t="e">
        <v>#N/A</v>
      </c>
      <c r="C431" s="3598" t="e">
        <v>#N/A</v>
      </c>
      <c r="D431" s="3598" t="e">
        <v>#N/A</v>
      </c>
      <c r="E431" s="111" t="e">
        <v>#N/A</v>
      </c>
      <c r="F431" s="456" t="e">
        <v>#N/A</v>
      </c>
      <c r="G431" s="3598" t="e">
        <v>#N/A</v>
      </c>
      <c r="H431" s="3598" t="e">
        <v>#N/A</v>
      </c>
      <c r="I431" s="71" t="e">
        <v>#N/A</v>
      </c>
      <c r="J431" s="456" t="e">
        <v>#N/A</v>
      </c>
      <c r="K431" s="3598" t="e">
        <v>#N/A</v>
      </c>
      <c r="L431" s="3598" t="e">
        <v>#N/A</v>
      </c>
      <c r="M431" s="71" t="e">
        <v>#N/A</v>
      </c>
      <c r="N431" s="456" t="e">
        <v>#N/A</v>
      </c>
      <c r="O431" s="3598" t="e">
        <v>#N/A</v>
      </c>
      <c r="P431" s="3598" t="e">
        <v>#N/A</v>
      </c>
      <c r="Q431" s="71" t="e">
        <v>#N/A</v>
      </c>
      <c r="R431" s="111" t="e">
        <v>#N/A</v>
      </c>
      <c r="S431" s="3598" t="e">
        <v>#N/A</v>
      </c>
      <c r="T431" s="3598" t="e">
        <v>#N/A</v>
      </c>
      <c r="U431" s="71" t="e">
        <v>#N/A</v>
      </c>
      <c r="V431" s="2526" t="e">
        <v>#N/A</v>
      </c>
      <c r="W431" s="2526" t="e">
        <v>#N/A</v>
      </c>
      <c r="X431" s="2526" t="e">
        <v>#N/A</v>
      </c>
      <c r="Y431" s="2527" t="e">
        <v>#N/A</v>
      </c>
    </row>
    <row r="432" spans="1:25">
      <c r="A432" s="53">
        <f t="shared" si="9"/>
        <v>2028.03</v>
      </c>
      <c r="B432" s="214" t="e">
        <v>#N/A</v>
      </c>
      <c r="C432" s="3598" t="e">
        <v>#N/A</v>
      </c>
      <c r="D432" s="3598" t="e">
        <v>#N/A</v>
      </c>
      <c r="E432" s="111" t="e">
        <v>#N/A</v>
      </c>
      <c r="F432" s="456" t="e">
        <v>#N/A</v>
      </c>
      <c r="G432" s="3598" t="e">
        <v>#N/A</v>
      </c>
      <c r="H432" s="3598" t="e">
        <v>#N/A</v>
      </c>
      <c r="I432" s="71" t="e">
        <v>#N/A</v>
      </c>
      <c r="J432" s="456" t="e">
        <v>#N/A</v>
      </c>
      <c r="K432" s="3598" t="e">
        <v>#N/A</v>
      </c>
      <c r="L432" s="3598" t="e">
        <v>#N/A</v>
      </c>
      <c r="M432" s="71" t="e">
        <v>#N/A</v>
      </c>
      <c r="N432" s="456" t="e">
        <v>#N/A</v>
      </c>
      <c r="O432" s="3598" t="e">
        <v>#N/A</v>
      </c>
      <c r="P432" s="3598" t="e">
        <v>#N/A</v>
      </c>
      <c r="Q432" s="71" t="e">
        <v>#N/A</v>
      </c>
      <c r="R432" s="111" t="e">
        <v>#N/A</v>
      </c>
      <c r="S432" s="3598" t="e">
        <v>#N/A</v>
      </c>
      <c r="T432" s="3598" t="e">
        <v>#N/A</v>
      </c>
      <c r="U432" s="71" t="e">
        <v>#N/A</v>
      </c>
      <c r="V432" s="2526" t="e">
        <v>#N/A</v>
      </c>
      <c r="W432" s="2526" t="e">
        <v>#N/A</v>
      </c>
      <c r="X432" s="2526" t="e">
        <v>#N/A</v>
      </c>
      <c r="Y432" s="2527" t="e">
        <v>#N/A</v>
      </c>
    </row>
    <row r="433" spans="1:25">
      <c r="A433" s="53">
        <f t="shared" si="9"/>
        <v>2028.04</v>
      </c>
      <c r="B433" s="214" t="e">
        <v>#N/A</v>
      </c>
      <c r="C433" s="3598" t="e">
        <v>#N/A</v>
      </c>
      <c r="D433" s="3598" t="e">
        <v>#N/A</v>
      </c>
      <c r="E433" s="111" t="e">
        <v>#N/A</v>
      </c>
      <c r="F433" s="456" t="e">
        <v>#N/A</v>
      </c>
      <c r="G433" s="3598" t="e">
        <v>#N/A</v>
      </c>
      <c r="H433" s="3598" t="e">
        <v>#N/A</v>
      </c>
      <c r="I433" s="71" t="e">
        <v>#N/A</v>
      </c>
      <c r="J433" s="456" t="e">
        <v>#N/A</v>
      </c>
      <c r="K433" s="3598" t="e">
        <v>#N/A</v>
      </c>
      <c r="L433" s="3598" t="e">
        <v>#N/A</v>
      </c>
      <c r="M433" s="71" t="e">
        <v>#N/A</v>
      </c>
      <c r="N433" s="456" t="e">
        <v>#N/A</v>
      </c>
      <c r="O433" s="3598" t="e">
        <v>#N/A</v>
      </c>
      <c r="P433" s="3598" t="e">
        <v>#N/A</v>
      </c>
      <c r="Q433" s="71" t="e">
        <v>#N/A</v>
      </c>
      <c r="R433" s="111" t="e">
        <v>#N/A</v>
      </c>
      <c r="S433" s="3598" t="e">
        <v>#N/A</v>
      </c>
      <c r="T433" s="3598" t="e">
        <v>#N/A</v>
      </c>
      <c r="U433" s="71" t="e">
        <v>#N/A</v>
      </c>
      <c r="V433" s="2526" t="e">
        <v>#N/A</v>
      </c>
      <c r="W433" s="2526" t="e">
        <v>#N/A</v>
      </c>
      <c r="X433" s="2526" t="e">
        <v>#N/A</v>
      </c>
      <c r="Y433" s="2527" t="e">
        <v>#N/A</v>
      </c>
    </row>
    <row r="434" spans="1:25">
      <c r="A434" s="53">
        <f t="shared" si="9"/>
        <v>2028.05</v>
      </c>
      <c r="B434" s="214" t="e">
        <v>#N/A</v>
      </c>
      <c r="C434" s="3598" t="e">
        <v>#N/A</v>
      </c>
      <c r="D434" s="3598" t="e">
        <v>#N/A</v>
      </c>
      <c r="E434" s="111" t="e">
        <v>#N/A</v>
      </c>
      <c r="F434" s="456" t="e">
        <v>#N/A</v>
      </c>
      <c r="G434" s="3598" t="e">
        <v>#N/A</v>
      </c>
      <c r="H434" s="3598" t="e">
        <v>#N/A</v>
      </c>
      <c r="I434" s="71" t="e">
        <v>#N/A</v>
      </c>
      <c r="J434" s="456" t="e">
        <v>#N/A</v>
      </c>
      <c r="K434" s="3598" t="e">
        <v>#N/A</v>
      </c>
      <c r="L434" s="3598" t="e">
        <v>#N/A</v>
      </c>
      <c r="M434" s="71" t="e">
        <v>#N/A</v>
      </c>
      <c r="N434" s="456" t="e">
        <v>#N/A</v>
      </c>
      <c r="O434" s="3598" t="e">
        <v>#N/A</v>
      </c>
      <c r="P434" s="3598" t="e">
        <v>#N/A</v>
      </c>
      <c r="Q434" s="71" t="e">
        <v>#N/A</v>
      </c>
      <c r="R434" s="111" t="e">
        <v>#N/A</v>
      </c>
      <c r="S434" s="3598" t="e">
        <v>#N/A</v>
      </c>
      <c r="T434" s="3598" t="e">
        <v>#N/A</v>
      </c>
      <c r="U434" s="71" t="e">
        <v>#N/A</v>
      </c>
      <c r="V434" s="2526" t="e">
        <v>#N/A</v>
      </c>
      <c r="W434" s="2526" t="e">
        <v>#N/A</v>
      </c>
      <c r="X434" s="2526" t="e">
        <v>#N/A</v>
      </c>
      <c r="Y434" s="2527" t="e">
        <v>#N/A</v>
      </c>
    </row>
    <row r="435" spans="1:25">
      <c r="A435" s="53">
        <f t="shared" si="9"/>
        <v>2028.06</v>
      </c>
      <c r="B435" s="214" t="e">
        <v>#N/A</v>
      </c>
      <c r="C435" s="3598" t="e">
        <v>#N/A</v>
      </c>
      <c r="D435" s="3598" t="e">
        <v>#N/A</v>
      </c>
      <c r="E435" s="111" t="e">
        <v>#N/A</v>
      </c>
      <c r="F435" s="456" t="e">
        <v>#N/A</v>
      </c>
      <c r="G435" s="3598" t="e">
        <v>#N/A</v>
      </c>
      <c r="H435" s="3598" t="e">
        <v>#N/A</v>
      </c>
      <c r="I435" s="71" t="e">
        <v>#N/A</v>
      </c>
      <c r="J435" s="456" t="e">
        <v>#N/A</v>
      </c>
      <c r="K435" s="3598" t="e">
        <v>#N/A</v>
      </c>
      <c r="L435" s="3598" t="e">
        <v>#N/A</v>
      </c>
      <c r="M435" s="71" t="e">
        <v>#N/A</v>
      </c>
      <c r="N435" s="456" t="e">
        <v>#N/A</v>
      </c>
      <c r="O435" s="3598" t="e">
        <v>#N/A</v>
      </c>
      <c r="P435" s="3598" t="e">
        <v>#N/A</v>
      </c>
      <c r="Q435" s="71" t="e">
        <v>#N/A</v>
      </c>
      <c r="R435" s="111" t="e">
        <v>#N/A</v>
      </c>
      <c r="S435" s="3598" t="e">
        <v>#N/A</v>
      </c>
      <c r="T435" s="3598" t="e">
        <v>#N/A</v>
      </c>
      <c r="U435" s="71" t="e">
        <v>#N/A</v>
      </c>
      <c r="V435" s="2526" t="e">
        <v>#N/A</v>
      </c>
      <c r="W435" s="2526" t="e">
        <v>#N/A</v>
      </c>
      <c r="X435" s="2526" t="e">
        <v>#N/A</v>
      </c>
      <c r="Y435" s="2527" t="e">
        <v>#N/A</v>
      </c>
    </row>
    <row r="436" spans="1:25">
      <c r="A436" s="53">
        <f t="shared" si="9"/>
        <v>2028.07</v>
      </c>
      <c r="B436" s="214" t="e">
        <v>#N/A</v>
      </c>
      <c r="C436" s="3598" t="e">
        <v>#N/A</v>
      </c>
      <c r="D436" s="3598" t="e">
        <v>#N/A</v>
      </c>
      <c r="E436" s="111" t="e">
        <v>#N/A</v>
      </c>
      <c r="F436" s="456" t="e">
        <v>#N/A</v>
      </c>
      <c r="G436" s="3598" t="e">
        <v>#N/A</v>
      </c>
      <c r="H436" s="3598" t="e">
        <v>#N/A</v>
      </c>
      <c r="I436" s="71" t="e">
        <v>#N/A</v>
      </c>
      <c r="J436" s="456" t="e">
        <v>#N/A</v>
      </c>
      <c r="K436" s="3598" t="e">
        <v>#N/A</v>
      </c>
      <c r="L436" s="3598" t="e">
        <v>#N/A</v>
      </c>
      <c r="M436" s="71" t="e">
        <v>#N/A</v>
      </c>
      <c r="N436" s="456" t="e">
        <v>#N/A</v>
      </c>
      <c r="O436" s="3598" t="e">
        <v>#N/A</v>
      </c>
      <c r="P436" s="3598" t="e">
        <v>#N/A</v>
      </c>
      <c r="Q436" s="71" t="e">
        <v>#N/A</v>
      </c>
      <c r="R436" s="111" t="e">
        <v>#N/A</v>
      </c>
      <c r="S436" s="3598" t="e">
        <v>#N/A</v>
      </c>
      <c r="T436" s="3598" t="e">
        <v>#N/A</v>
      </c>
      <c r="U436" s="71" t="e">
        <v>#N/A</v>
      </c>
      <c r="V436" s="2526" t="e">
        <v>#N/A</v>
      </c>
      <c r="W436" s="2526" t="e">
        <v>#N/A</v>
      </c>
      <c r="X436" s="2526" t="e">
        <v>#N/A</v>
      </c>
      <c r="Y436" s="2527" t="e">
        <v>#N/A</v>
      </c>
    </row>
    <row r="437" spans="1:25">
      <c r="A437" s="53">
        <f t="shared" si="9"/>
        <v>2028.08</v>
      </c>
      <c r="B437" s="214" t="e">
        <v>#N/A</v>
      </c>
      <c r="C437" s="3598" t="e">
        <v>#N/A</v>
      </c>
      <c r="D437" s="3598" t="e">
        <v>#N/A</v>
      </c>
      <c r="E437" s="111" t="e">
        <v>#N/A</v>
      </c>
      <c r="F437" s="456" t="e">
        <v>#N/A</v>
      </c>
      <c r="G437" s="3598" t="e">
        <v>#N/A</v>
      </c>
      <c r="H437" s="3598" t="e">
        <v>#N/A</v>
      </c>
      <c r="I437" s="71" t="e">
        <v>#N/A</v>
      </c>
      <c r="J437" s="456" t="e">
        <v>#N/A</v>
      </c>
      <c r="K437" s="3598" t="e">
        <v>#N/A</v>
      </c>
      <c r="L437" s="3598" t="e">
        <v>#N/A</v>
      </c>
      <c r="M437" s="71" t="e">
        <v>#N/A</v>
      </c>
      <c r="N437" s="456" t="e">
        <v>#N/A</v>
      </c>
      <c r="O437" s="3598" t="e">
        <v>#N/A</v>
      </c>
      <c r="P437" s="3598" t="e">
        <v>#N/A</v>
      </c>
      <c r="Q437" s="71" t="e">
        <v>#N/A</v>
      </c>
      <c r="R437" s="111" t="e">
        <v>#N/A</v>
      </c>
      <c r="S437" s="3598" t="e">
        <v>#N/A</v>
      </c>
      <c r="T437" s="3598" t="e">
        <v>#N/A</v>
      </c>
      <c r="U437" s="71" t="e">
        <v>#N/A</v>
      </c>
      <c r="V437" s="2526" t="e">
        <v>#N/A</v>
      </c>
      <c r="W437" s="2526" t="e">
        <v>#N/A</v>
      </c>
      <c r="X437" s="2526" t="e">
        <v>#N/A</v>
      </c>
      <c r="Y437" s="2527" t="e">
        <v>#N/A</v>
      </c>
    </row>
    <row r="438" spans="1:25">
      <c r="A438" s="53">
        <f t="shared" si="9"/>
        <v>2028.09</v>
      </c>
      <c r="B438" s="214" t="e">
        <v>#N/A</v>
      </c>
      <c r="C438" s="3598" t="e">
        <v>#N/A</v>
      </c>
      <c r="D438" s="3598" t="e">
        <v>#N/A</v>
      </c>
      <c r="E438" s="111" t="e">
        <v>#N/A</v>
      </c>
      <c r="F438" s="456" t="e">
        <v>#N/A</v>
      </c>
      <c r="G438" s="3598" t="e">
        <v>#N/A</v>
      </c>
      <c r="H438" s="3598" t="e">
        <v>#N/A</v>
      </c>
      <c r="I438" s="71" t="e">
        <v>#N/A</v>
      </c>
      <c r="J438" s="456" t="e">
        <v>#N/A</v>
      </c>
      <c r="K438" s="3598" t="e">
        <v>#N/A</v>
      </c>
      <c r="L438" s="3598" t="e">
        <v>#N/A</v>
      </c>
      <c r="M438" s="71" t="e">
        <v>#N/A</v>
      </c>
      <c r="N438" s="456" t="e">
        <v>#N/A</v>
      </c>
      <c r="O438" s="3598" t="e">
        <v>#N/A</v>
      </c>
      <c r="P438" s="3598" t="e">
        <v>#N/A</v>
      </c>
      <c r="Q438" s="71" t="e">
        <v>#N/A</v>
      </c>
      <c r="R438" s="111" t="e">
        <v>#N/A</v>
      </c>
      <c r="S438" s="3598" t="e">
        <v>#N/A</v>
      </c>
      <c r="T438" s="3598" t="e">
        <v>#N/A</v>
      </c>
      <c r="U438" s="71" t="e">
        <v>#N/A</v>
      </c>
      <c r="V438" s="2526" t="e">
        <v>#N/A</v>
      </c>
      <c r="W438" s="2526" t="e">
        <v>#N/A</v>
      </c>
      <c r="X438" s="2526" t="e">
        <v>#N/A</v>
      </c>
      <c r="Y438" s="2527" t="e">
        <v>#N/A</v>
      </c>
    </row>
    <row r="439" spans="1:25">
      <c r="A439" s="53">
        <f t="shared" si="9"/>
        <v>2028.1</v>
      </c>
      <c r="B439" s="214" t="e">
        <v>#N/A</v>
      </c>
      <c r="C439" s="3598" t="e">
        <v>#N/A</v>
      </c>
      <c r="D439" s="3598" t="e">
        <v>#N/A</v>
      </c>
      <c r="E439" s="111" t="e">
        <v>#N/A</v>
      </c>
      <c r="F439" s="456" t="e">
        <v>#N/A</v>
      </c>
      <c r="G439" s="3598" t="e">
        <v>#N/A</v>
      </c>
      <c r="H439" s="3598" t="e">
        <v>#N/A</v>
      </c>
      <c r="I439" s="71" t="e">
        <v>#N/A</v>
      </c>
      <c r="J439" s="456" t="e">
        <v>#N/A</v>
      </c>
      <c r="K439" s="3598" t="e">
        <v>#N/A</v>
      </c>
      <c r="L439" s="3598" t="e">
        <v>#N/A</v>
      </c>
      <c r="M439" s="71" t="e">
        <v>#N/A</v>
      </c>
      <c r="N439" s="456" t="e">
        <v>#N/A</v>
      </c>
      <c r="O439" s="3598" t="e">
        <v>#N/A</v>
      </c>
      <c r="P439" s="3598" t="e">
        <v>#N/A</v>
      </c>
      <c r="Q439" s="71" t="e">
        <v>#N/A</v>
      </c>
      <c r="R439" s="111" t="e">
        <v>#N/A</v>
      </c>
      <c r="S439" s="3598" t="e">
        <v>#N/A</v>
      </c>
      <c r="T439" s="3598" t="e">
        <v>#N/A</v>
      </c>
      <c r="U439" s="71" t="e">
        <v>#N/A</v>
      </c>
      <c r="V439" s="2526" t="e">
        <v>#N/A</v>
      </c>
      <c r="W439" s="2526" t="e">
        <v>#N/A</v>
      </c>
      <c r="X439" s="2526" t="e">
        <v>#N/A</v>
      </c>
      <c r="Y439" s="2527" t="e">
        <v>#N/A</v>
      </c>
    </row>
    <row r="440" spans="1:25">
      <c r="A440" s="53">
        <f t="shared" si="9"/>
        <v>2028.11</v>
      </c>
      <c r="B440" s="214" t="e">
        <v>#N/A</v>
      </c>
      <c r="C440" s="3598" t="e">
        <v>#N/A</v>
      </c>
      <c r="D440" s="3598" t="e">
        <v>#N/A</v>
      </c>
      <c r="E440" s="111" t="e">
        <v>#N/A</v>
      </c>
      <c r="F440" s="456" t="e">
        <v>#N/A</v>
      </c>
      <c r="G440" s="3598" t="e">
        <v>#N/A</v>
      </c>
      <c r="H440" s="3598" t="e">
        <v>#N/A</v>
      </c>
      <c r="I440" s="71" t="e">
        <v>#N/A</v>
      </c>
      <c r="J440" s="456" t="e">
        <v>#N/A</v>
      </c>
      <c r="K440" s="3598" t="e">
        <v>#N/A</v>
      </c>
      <c r="L440" s="3598" t="e">
        <v>#N/A</v>
      </c>
      <c r="M440" s="71" t="e">
        <v>#N/A</v>
      </c>
      <c r="N440" s="456" t="e">
        <v>#N/A</v>
      </c>
      <c r="O440" s="3598" t="e">
        <v>#N/A</v>
      </c>
      <c r="P440" s="3598" t="e">
        <v>#N/A</v>
      </c>
      <c r="Q440" s="71" t="e">
        <v>#N/A</v>
      </c>
      <c r="R440" s="111" t="e">
        <v>#N/A</v>
      </c>
      <c r="S440" s="3598" t="e">
        <v>#N/A</v>
      </c>
      <c r="T440" s="3598" t="e">
        <v>#N/A</v>
      </c>
      <c r="U440" s="71" t="e">
        <v>#N/A</v>
      </c>
      <c r="V440" s="2526" t="e">
        <v>#N/A</v>
      </c>
      <c r="W440" s="2526" t="e">
        <v>#N/A</v>
      </c>
      <c r="X440" s="2526" t="e">
        <v>#N/A</v>
      </c>
      <c r="Y440" s="2527" t="e">
        <v>#N/A</v>
      </c>
    </row>
    <row r="441" spans="1:25">
      <c r="A441" s="53">
        <f t="shared" si="9"/>
        <v>2028.12</v>
      </c>
      <c r="B441" s="214" t="e">
        <v>#N/A</v>
      </c>
      <c r="C441" s="3598" t="e">
        <v>#N/A</v>
      </c>
      <c r="D441" s="3598" t="e">
        <v>#N/A</v>
      </c>
      <c r="E441" s="111" t="e">
        <v>#N/A</v>
      </c>
      <c r="F441" s="456" t="e">
        <v>#N/A</v>
      </c>
      <c r="G441" s="3598" t="e">
        <v>#N/A</v>
      </c>
      <c r="H441" s="3598" t="e">
        <v>#N/A</v>
      </c>
      <c r="I441" s="71" t="e">
        <v>#N/A</v>
      </c>
      <c r="J441" s="456" t="e">
        <v>#N/A</v>
      </c>
      <c r="K441" s="3598" t="e">
        <v>#N/A</v>
      </c>
      <c r="L441" s="3598" t="e">
        <v>#N/A</v>
      </c>
      <c r="M441" s="71" t="e">
        <v>#N/A</v>
      </c>
      <c r="N441" s="456" t="e">
        <v>#N/A</v>
      </c>
      <c r="O441" s="3598" t="e">
        <v>#N/A</v>
      </c>
      <c r="P441" s="3598" t="e">
        <v>#N/A</v>
      </c>
      <c r="Q441" s="71" t="e">
        <v>#N/A</v>
      </c>
      <c r="R441" s="111" t="e">
        <v>#N/A</v>
      </c>
      <c r="S441" s="3598" t="e">
        <v>#N/A</v>
      </c>
      <c r="T441" s="3598" t="e">
        <v>#N/A</v>
      </c>
      <c r="U441" s="71" t="e">
        <v>#N/A</v>
      </c>
      <c r="V441" s="2526" t="e">
        <v>#N/A</v>
      </c>
      <c r="W441" s="2526" t="e">
        <v>#N/A</v>
      </c>
      <c r="X441" s="2526" t="e">
        <v>#N/A</v>
      </c>
      <c r="Y441" s="2527" t="e">
        <v>#N/A</v>
      </c>
    </row>
    <row r="442" spans="1:25">
      <c r="A442" s="53">
        <f t="shared" si="9"/>
        <v>2029.01</v>
      </c>
      <c r="B442" s="214" t="e">
        <v>#N/A</v>
      </c>
      <c r="C442" s="3598" t="e">
        <v>#N/A</v>
      </c>
      <c r="D442" s="3598" t="e">
        <v>#N/A</v>
      </c>
      <c r="E442" s="111" t="e">
        <v>#N/A</v>
      </c>
      <c r="F442" s="456" t="e">
        <v>#N/A</v>
      </c>
      <c r="G442" s="3598" t="e">
        <v>#N/A</v>
      </c>
      <c r="H442" s="3598" t="e">
        <v>#N/A</v>
      </c>
      <c r="I442" s="71" t="e">
        <v>#N/A</v>
      </c>
      <c r="J442" s="456" t="e">
        <v>#N/A</v>
      </c>
      <c r="K442" s="3598" t="e">
        <v>#N/A</v>
      </c>
      <c r="L442" s="3598" t="e">
        <v>#N/A</v>
      </c>
      <c r="M442" s="71" t="e">
        <v>#N/A</v>
      </c>
      <c r="N442" s="456" t="e">
        <v>#N/A</v>
      </c>
      <c r="O442" s="3598" t="e">
        <v>#N/A</v>
      </c>
      <c r="P442" s="3598" t="e">
        <v>#N/A</v>
      </c>
      <c r="Q442" s="71" t="e">
        <v>#N/A</v>
      </c>
      <c r="R442" s="111" t="e">
        <v>#N/A</v>
      </c>
      <c r="S442" s="3598" t="e">
        <v>#N/A</v>
      </c>
      <c r="T442" s="3598" t="e">
        <v>#N/A</v>
      </c>
      <c r="U442" s="71" t="e">
        <v>#N/A</v>
      </c>
      <c r="V442" s="2526" t="e">
        <v>#N/A</v>
      </c>
      <c r="W442" s="2526" t="e">
        <v>#N/A</v>
      </c>
      <c r="X442" s="2526" t="e">
        <v>#N/A</v>
      </c>
      <c r="Y442" s="2527" t="e">
        <v>#N/A</v>
      </c>
    </row>
    <row r="443" spans="1:25">
      <c r="A443" s="53">
        <f t="shared" si="9"/>
        <v>2029.02</v>
      </c>
      <c r="B443" s="214" t="e">
        <v>#N/A</v>
      </c>
      <c r="C443" s="3598" t="e">
        <v>#N/A</v>
      </c>
      <c r="D443" s="3598" t="e">
        <v>#N/A</v>
      </c>
      <c r="E443" s="111" t="e">
        <v>#N/A</v>
      </c>
      <c r="F443" s="456" t="e">
        <v>#N/A</v>
      </c>
      <c r="G443" s="3598" t="e">
        <v>#N/A</v>
      </c>
      <c r="H443" s="3598" t="e">
        <v>#N/A</v>
      </c>
      <c r="I443" s="71" t="e">
        <v>#N/A</v>
      </c>
      <c r="J443" s="456" t="e">
        <v>#N/A</v>
      </c>
      <c r="K443" s="3598" t="e">
        <v>#N/A</v>
      </c>
      <c r="L443" s="3598" t="e">
        <v>#N/A</v>
      </c>
      <c r="M443" s="71" t="e">
        <v>#N/A</v>
      </c>
      <c r="N443" s="456" t="e">
        <v>#N/A</v>
      </c>
      <c r="O443" s="3598" t="e">
        <v>#N/A</v>
      </c>
      <c r="P443" s="3598" t="e">
        <v>#N/A</v>
      </c>
      <c r="Q443" s="71" t="e">
        <v>#N/A</v>
      </c>
      <c r="R443" s="111" t="e">
        <v>#N/A</v>
      </c>
      <c r="S443" s="3598" t="e">
        <v>#N/A</v>
      </c>
      <c r="T443" s="3598" t="e">
        <v>#N/A</v>
      </c>
      <c r="U443" s="71" t="e">
        <v>#N/A</v>
      </c>
      <c r="V443" s="2526" t="e">
        <v>#N/A</v>
      </c>
      <c r="W443" s="2526" t="e">
        <v>#N/A</v>
      </c>
      <c r="X443" s="2526" t="e">
        <v>#N/A</v>
      </c>
      <c r="Y443" s="2527" t="e">
        <v>#N/A</v>
      </c>
    </row>
    <row r="444" spans="1:25">
      <c r="A444" s="53">
        <f t="shared" si="9"/>
        <v>2029.03</v>
      </c>
      <c r="B444" s="214" t="e">
        <v>#N/A</v>
      </c>
      <c r="C444" s="3598" t="e">
        <v>#N/A</v>
      </c>
      <c r="D444" s="3598" t="e">
        <v>#N/A</v>
      </c>
      <c r="E444" s="111" t="e">
        <v>#N/A</v>
      </c>
      <c r="F444" s="456" t="e">
        <v>#N/A</v>
      </c>
      <c r="G444" s="3598" t="e">
        <v>#N/A</v>
      </c>
      <c r="H444" s="3598" t="e">
        <v>#N/A</v>
      </c>
      <c r="I444" s="71" t="e">
        <v>#N/A</v>
      </c>
      <c r="J444" s="456" t="e">
        <v>#N/A</v>
      </c>
      <c r="K444" s="3598" t="e">
        <v>#N/A</v>
      </c>
      <c r="L444" s="3598" t="e">
        <v>#N/A</v>
      </c>
      <c r="M444" s="71" t="e">
        <v>#N/A</v>
      </c>
      <c r="N444" s="456" t="e">
        <v>#N/A</v>
      </c>
      <c r="O444" s="3598" t="e">
        <v>#N/A</v>
      </c>
      <c r="P444" s="3598" t="e">
        <v>#N/A</v>
      </c>
      <c r="Q444" s="71" t="e">
        <v>#N/A</v>
      </c>
      <c r="R444" s="111" t="e">
        <v>#N/A</v>
      </c>
      <c r="S444" s="3598" t="e">
        <v>#N/A</v>
      </c>
      <c r="T444" s="3598" t="e">
        <v>#N/A</v>
      </c>
      <c r="U444" s="71" t="e">
        <v>#N/A</v>
      </c>
      <c r="V444" s="2526" t="e">
        <v>#N/A</v>
      </c>
      <c r="W444" s="2526" t="e">
        <v>#N/A</v>
      </c>
      <c r="X444" s="2526" t="e">
        <v>#N/A</v>
      </c>
      <c r="Y444" s="2527" t="e">
        <v>#N/A</v>
      </c>
    </row>
    <row r="445" spans="1:25">
      <c r="A445" s="53">
        <f t="shared" si="9"/>
        <v>2029.04</v>
      </c>
      <c r="B445" s="214" t="e">
        <v>#N/A</v>
      </c>
      <c r="C445" s="3598" t="e">
        <v>#N/A</v>
      </c>
      <c r="D445" s="3598" t="e">
        <v>#N/A</v>
      </c>
      <c r="E445" s="111" t="e">
        <v>#N/A</v>
      </c>
      <c r="F445" s="456" t="e">
        <v>#N/A</v>
      </c>
      <c r="G445" s="3598" t="e">
        <v>#N/A</v>
      </c>
      <c r="H445" s="3598" t="e">
        <v>#N/A</v>
      </c>
      <c r="I445" s="71" t="e">
        <v>#N/A</v>
      </c>
      <c r="J445" s="456" t="e">
        <v>#N/A</v>
      </c>
      <c r="K445" s="3598" t="e">
        <v>#N/A</v>
      </c>
      <c r="L445" s="3598" t="e">
        <v>#N/A</v>
      </c>
      <c r="M445" s="71" t="e">
        <v>#N/A</v>
      </c>
      <c r="N445" s="456" t="e">
        <v>#N/A</v>
      </c>
      <c r="O445" s="3598" t="e">
        <v>#N/A</v>
      </c>
      <c r="P445" s="3598" t="e">
        <v>#N/A</v>
      </c>
      <c r="Q445" s="71" t="e">
        <v>#N/A</v>
      </c>
      <c r="R445" s="111" t="e">
        <v>#N/A</v>
      </c>
      <c r="S445" s="3598" t="e">
        <v>#N/A</v>
      </c>
      <c r="T445" s="3598" t="e">
        <v>#N/A</v>
      </c>
      <c r="U445" s="71" t="e">
        <v>#N/A</v>
      </c>
      <c r="V445" s="2526" t="e">
        <v>#N/A</v>
      </c>
      <c r="W445" s="2526" t="e">
        <v>#N/A</v>
      </c>
      <c r="X445" s="2526" t="e">
        <v>#N/A</v>
      </c>
      <c r="Y445" s="2527" t="e">
        <v>#N/A</v>
      </c>
    </row>
    <row r="446" spans="1:25">
      <c r="A446" s="53">
        <f t="shared" si="9"/>
        <v>2029.05</v>
      </c>
      <c r="B446" s="214" t="e">
        <v>#N/A</v>
      </c>
      <c r="C446" s="3598" t="e">
        <v>#N/A</v>
      </c>
      <c r="D446" s="3598" t="e">
        <v>#N/A</v>
      </c>
      <c r="E446" s="111" t="e">
        <v>#N/A</v>
      </c>
      <c r="F446" s="456" t="e">
        <v>#N/A</v>
      </c>
      <c r="G446" s="3598" t="e">
        <v>#N/A</v>
      </c>
      <c r="H446" s="3598" t="e">
        <v>#N/A</v>
      </c>
      <c r="I446" s="71" t="e">
        <v>#N/A</v>
      </c>
      <c r="J446" s="456" t="e">
        <v>#N/A</v>
      </c>
      <c r="K446" s="3598" t="e">
        <v>#N/A</v>
      </c>
      <c r="L446" s="3598" t="e">
        <v>#N/A</v>
      </c>
      <c r="M446" s="71" t="e">
        <v>#N/A</v>
      </c>
      <c r="N446" s="456" t="e">
        <v>#N/A</v>
      </c>
      <c r="O446" s="3598" t="e">
        <v>#N/A</v>
      </c>
      <c r="P446" s="3598" t="e">
        <v>#N/A</v>
      </c>
      <c r="Q446" s="71" t="e">
        <v>#N/A</v>
      </c>
      <c r="R446" s="111" t="e">
        <v>#N/A</v>
      </c>
      <c r="S446" s="3598" t="e">
        <v>#N/A</v>
      </c>
      <c r="T446" s="3598" t="e">
        <v>#N/A</v>
      </c>
      <c r="U446" s="71" t="e">
        <v>#N/A</v>
      </c>
      <c r="V446" s="2526" t="e">
        <v>#N/A</v>
      </c>
      <c r="W446" s="2526" t="e">
        <v>#N/A</v>
      </c>
      <c r="X446" s="2526" t="e">
        <v>#N/A</v>
      </c>
      <c r="Y446" s="2527" t="e">
        <v>#N/A</v>
      </c>
    </row>
    <row r="447" spans="1:25">
      <c r="A447" s="53">
        <f t="shared" si="9"/>
        <v>2029.06</v>
      </c>
      <c r="B447" s="214" t="e">
        <v>#N/A</v>
      </c>
      <c r="C447" s="3598" t="e">
        <v>#N/A</v>
      </c>
      <c r="D447" s="3598" t="e">
        <v>#N/A</v>
      </c>
      <c r="E447" s="111" t="e">
        <v>#N/A</v>
      </c>
      <c r="F447" s="456" t="e">
        <v>#N/A</v>
      </c>
      <c r="G447" s="3598" t="e">
        <v>#N/A</v>
      </c>
      <c r="H447" s="3598" t="e">
        <v>#N/A</v>
      </c>
      <c r="I447" s="71" t="e">
        <v>#N/A</v>
      </c>
      <c r="J447" s="456" t="e">
        <v>#N/A</v>
      </c>
      <c r="K447" s="3598" t="e">
        <v>#N/A</v>
      </c>
      <c r="L447" s="3598" t="e">
        <v>#N/A</v>
      </c>
      <c r="M447" s="71" t="e">
        <v>#N/A</v>
      </c>
      <c r="N447" s="456" t="e">
        <v>#N/A</v>
      </c>
      <c r="O447" s="3598" t="e">
        <v>#N/A</v>
      </c>
      <c r="P447" s="3598" t="e">
        <v>#N/A</v>
      </c>
      <c r="Q447" s="71" t="e">
        <v>#N/A</v>
      </c>
      <c r="R447" s="111" t="e">
        <v>#N/A</v>
      </c>
      <c r="S447" s="3598" t="e">
        <v>#N/A</v>
      </c>
      <c r="T447" s="3598" t="e">
        <v>#N/A</v>
      </c>
      <c r="U447" s="71" t="e">
        <v>#N/A</v>
      </c>
      <c r="V447" s="2526" t="e">
        <v>#N/A</v>
      </c>
      <c r="W447" s="2526" t="e">
        <v>#N/A</v>
      </c>
      <c r="X447" s="2526" t="e">
        <v>#N/A</v>
      </c>
      <c r="Y447" s="2527" t="e">
        <v>#N/A</v>
      </c>
    </row>
    <row r="448" spans="1:25">
      <c r="A448" s="53">
        <f t="shared" si="9"/>
        <v>2029.07</v>
      </c>
      <c r="B448" s="214" t="e">
        <v>#N/A</v>
      </c>
      <c r="C448" s="3598" t="e">
        <v>#N/A</v>
      </c>
      <c r="D448" s="3598" t="e">
        <v>#N/A</v>
      </c>
      <c r="E448" s="111" t="e">
        <v>#N/A</v>
      </c>
      <c r="F448" s="456" t="e">
        <v>#N/A</v>
      </c>
      <c r="G448" s="3598" t="e">
        <v>#N/A</v>
      </c>
      <c r="H448" s="3598" t="e">
        <v>#N/A</v>
      </c>
      <c r="I448" s="71" t="e">
        <v>#N/A</v>
      </c>
      <c r="J448" s="456" t="e">
        <v>#N/A</v>
      </c>
      <c r="K448" s="3598" t="e">
        <v>#N/A</v>
      </c>
      <c r="L448" s="3598" t="e">
        <v>#N/A</v>
      </c>
      <c r="M448" s="71" t="e">
        <v>#N/A</v>
      </c>
      <c r="N448" s="456" t="e">
        <v>#N/A</v>
      </c>
      <c r="O448" s="3598" t="e">
        <v>#N/A</v>
      </c>
      <c r="P448" s="3598" t="e">
        <v>#N/A</v>
      </c>
      <c r="Q448" s="71" t="e">
        <v>#N/A</v>
      </c>
      <c r="R448" s="111" t="e">
        <v>#N/A</v>
      </c>
      <c r="S448" s="3598" t="e">
        <v>#N/A</v>
      </c>
      <c r="T448" s="3598" t="e">
        <v>#N/A</v>
      </c>
      <c r="U448" s="71" t="e">
        <v>#N/A</v>
      </c>
      <c r="V448" s="2526" t="e">
        <v>#N/A</v>
      </c>
      <c r="W448" s="2526" t="e">
        <v>#N/A</v>
      </c>
      <c r="X448" s="2526" t="e">
        <v>#N/A</v>
      </c>
      <c r="Y448" s="2527" t="e">
        <v>#N/A</v>
      </c>
    </row>
    <row r="449" spans="1:25">
      <c r="A449" s="53">
        <f t="shared" si="9"/>
        <v>2029.08</v>
      </c>
      <c r="B449" s="214" t="e">
        <v>#N/A</v>
      </c>
      <c r="C449" s="3598" t="e">
        <v>#N/A</v>
      </c>
      <c r="D449" s="3598" t="e">
        <v>#N/A</v>
      </c>
      <c r="E449" s="111" t="e">
        <v>#N/A</v>
      </c>
      <c r="F449" s="456" t="e">
        <v>#N/A</v>
      </c>
      <c r="G449" s="3598" t="e">
        <v>#N/A</v>
      </c>
      <c r="H449" s="3598" t="e">
        <v>#N/A</v>
      </c>
      <c r="I449" s="71" t="e">
        <v>#N/A</v>
      </c>
      <c r="J449" s="456" t="e">
        <v>#N/A</v>
      </c>
      <c r="K449" s="3598" t="e">
        <v>#N/A</v>
      </c>
      <c r="L449" s="3598" t="e">
        <v>#N/A</v>
      </c>
      <c r="M449" s="71" t="e">
        <v>#N/A</v>
      </c>
      <c r="N449" s="456" t="e">
        <v>#N/A</v>
      </c>
      <c r="O449" s="3598" t="e">
        <v>#N/A</v>
      </c>
      <c r="P449" s="3598" t="e">
        <v>#N/A</v>
      </c>
      <c r="Q449" s="71" t="e">
        <v>#N/A</v>
      </c>
      <c r="R449" s="111" t="e">
        <v>#N/A</v>
      </c>
      <c r="S449" s="3598" t="e">
        <v>#N/A</v>
      </c>
      <c r="T449" s="3598" t="e">
        <v>#N/A</v>
      </c>
      <c r="U449" s="71" t="e">
        <v>#N/A</v>
      </c>
      <c r="V449" s="2526" t="e">
        <v>#N/A</v>
      </c>
      <c r="W449" s="2526" t="e">
        <v>#N/A</v>
      </c>
      <c r="X449" s="2526" t="e">
        <v>#N/A</v>
      </c>
      <c r="Y449" s="2527" t="e">
        <v>#N/A</v>
      </c>
    </row>
    <row r="450" spans="1:25">
      <c r="A450" s="53">
        <f t="shared" si="9"/>
        <v>2029.09</v>
      </c>
      <c r="B450" s="214" t="e">
        <v>#N/A</v>
      </c>
      <c r="C450" s="3598" t="e">
        <v>#N/A</v>
      </c>
      <c r="D450" s="3598" t="e">
        <v>#N/A</v>
      </c>
      <c r="E450" s="111" t="e">
        <v>#N/A</v>
      </c>
      <c r="F450" s="456" t="e">
        <v>#N/A</v>
      </c>
      <c r="G450" s="3598" t="e">
        <v>#N/A</v>
      </c>
      <c r="H450" s="3598" t="e">
        <v>#N/A</v>
      </c>
      <c r="I450" s="71" t="e">
        <v>#N/A</v>
      </c>
      <c r="J450" s="456" t="e">
        <v>#N/A</v>
      </c>
      <c r="K450" s="3598" t="e">
        <v>#N/A</v>
      </c>
      <c r="L450" s="3598" t="e">
        <v>#N/A</v>
      </c>
      <c r="M450" s="71" t="e">
        <v>#N/A</v>
      </c>
      <c r="N450" s="456" t="e">
        <v>#N/A</v>
      </c>
      <c r="O450" s="3598" t="e">
        <v>#N/A</v>
      </c>
      <c r="P450" s="3598" t="e">
        <v>#N/A</v>
      </c>
      <c r="Q450" s="71" t="e">
        <v>#N/A</v>
      </c>
      <c r="R450" s="111" t="e">
        <v>#N/A</v>
      </c>
      <c r="S450" s="3598" t="e">
        <v>#N/A</v>
      </c>
      <c r="T450" s="3598" t="e">
        <v>#N/A</v>
      </c>
      <c r="U450" s="71" t="e">
        <v>#N/A</v>
      </c>
      <c r="V450" s="2526" t="e">
        <v>#N/A</v>
      </c>
      <c r="W450" s="2526" t="e">
        <v>#N/A</v>
      </c>
      <c r="X450" s="2526" t="e">
        <v>#N/A</v>
      </c>
      <c r="Y450" s="2527" t="e">
        <v>#N/A</v>
      </c>
    </row>
    <row r="451" spans="1:25">
      <c r="A451" s="53">
        <f t="shared" si="9"/>
        <v>2029.1</v>
      </c>
      <c r="B451" s="214" t="e">
        <v>#N/A</v>
      </c>
      <c r="C451" s="3598" t="e">
        <v>#N/A</v>
      </c>
      <c r="D451" s="3598" t="e">
        <v>#N/A</v>
      </c>
      <c r="E451" s="111" t="e">
        <v>#N/A</v>
      </c>
      <c r="F451" s="456" t="e">
        <v>#N/A</v>
      </c>
      <c r="G451" s="3598" t="e">
        <v>#N/A</v>
      </c>
      <c r="H451" s="3598" t="e">
        <v>#N/A</v>
      </c>
      <c r="I451" s="71" t="e">
        <v>#N/A</v>
      </c>
      <c r="J451" s="456" t="e">
        <v>#N/A</v>
      </c>
      <c r="K451" s="3598" t="e">
        <v>#N/A</v>
      </c>
      <c r="L451" s="3598" t="e">
        <v>#N/A</v>
      </c>
      <c r="M451" s="71" t="e">
        <v>#N/A</v>
      </c>
      <c r="N451" s="456" t="e">
        <v>#N/A</v>
      </c>
      <c r="O451" s="3598" t="e">
        <v>#N/A</v>
      </c>
      <c r="P451" s="3598" t="e">
        <v>#N/A</v>
      </c>
      <c r="Q451" s="71" t="e">
        <v>#N/A</v>
      </c>
      <c r="R451" s="111" t="e">
        <v>#N/A</v>
      </c>
      <c r="S451" s="3598" t="e">
        <v>#N/A</v>
      </c>
      <c r="T451" s="3598" t="e">
        <v>#N/A</v>
      </c>
      <c r="U451" s="71" t="e">
        <v>#N/A</v>
      </c>
      <c r="V451" s="2526" t="e">
        <v>#N/A</v>
      </c>
      <c r="W451" s="2526" t="e">
        <v>#N/A</v>
      </c>
      <c r="X451" s="2526" t="e">
        <v>#N/A</v>
      </c>
      <c r="Y451" s="2527" t="e">
        <v>#N/A</v>
      </c>
    </row>
    <row r="452" spans="1:25">
      <c r="A452" s="53">
        <f t="shared" si="9"/>
        <v>2029.11</v>
      </c>
      <c r="B452" s="214" t="e">
        <v>#N/A</v>
      </c>
      <c r="C452" s="3598" t="e">
        <v>#N/A</v>
      </c>
      <c r="D452" s="3598" t="e">
        <v>#N/A</v>
      </c>
      <c r="E452" s="111" t="e">
        <v>#N/A</v>
      </c>
      <c r="F452" s="456" t="e">
        <v>#N/A</v>
      </c>
      <c r="G452" s="3598" t="e">
        <v>#N/A</v>
      </c>
      <c r="H452" s="3598" t="e">
        <v>#N/A</v>
      </c>
      <c r="I452" s="71" t="e">
        <v>#N/A</v>
      </c>
      <c r="J452" s="456" t="e">
        <v>#N/A</v>
      </c>
      <c r="K452" s="3598" t="e">
        <v>#N/A</v>
      </c>
      <c r="L452" s="3598" t="e">
        <v>#N/A</v>
      </c>
      <c r="M452" s="71" t="e">
        <v>#N/A</v>
      </c>
      <c r="N452" s="456" t="e">
        <v>#N/A</v>
      </c>
      <c r="O452" s="3598" t="e">
        <v>#N/A</v>
      </c>
      <c r="P452" s="3598" t="e">
        <v>#N/A</v>
      </c>
      <c r="Q452" s="71" t="e">
        <v>#N/A</v>
      </c>
      <c r="R452" s="111" t="e">
        <v>#N/A</v>
      </c>
      <c r="S452" s="3598" t="e">
        <v>#N/A</v>
      </c>
      <c r="T452" s="3598" t="e">
        <v>#N/A</v>
      </c>
      <c r="U452" s="71" t="e">
        <v>#N/A</v>
      </c>
      <c r="V452" s="2526" t="e">
        <v>#N/A</v>
      </c>
      <c r="W452" s="2526" t="e">
        <v>#N/A</v>
      </c>
      <c r="X452" s="2526" t="e">
        <v>#N/A</v>
      </c>
      <c r="Y452" s="2527" t="e">
        <v>#N/A</v>
      </c>
    </row>
    <row r="453" spans="1:25">
      <c r="A453" s="53">
        <f t="shared" si="9"/>
        <v>2029.12</v>
      </c>
      <c r="B453" s="214" t="e">
        <v>#N/A</v>
      </c>
      <c r="C453" s="3598" t="e">
        <v>#N/A</v>
      </c>
      <c r="D453" s="3598" t="e">
        <v>#N/A</v>
      </c>
      <c r="E453" s="111" t="e">
        <v>#N/A</v>
      </c>
      <c r="F453" s="456" t="e">
        <v>#N/A</v>
      </c>
      <c r="G453" s="3598" t="e">
        <v>#N/A</v>
      </c>
      <c r="H453" s="3598" t="e">
        <v>#N/A</v>
      </c>
      <c r="I453" s="71" t="e">
        <v>#N/A</v>
      </c>
      <c r="J453" s="456" t="e">
        <v>#N/A</v>
      </c>
      <c r="K453" s="3598" t="e">
        <v>#N/A</v>
      </c>
      <c r="L453" s="3598" t="e">
        <v>#N/A</v>
      </c>
      <c r="M453" s="71" t="e">
        <v>#N/A</v>
      </c>
      <c r="N453" s="456" t="e">
        <v>#N/A</v>
      </c>
      <c r="O453" s="3598" t="e">
        <v>#N/A</v>
      </c>
      <c r="P453" s="3598" t="e">
        <v>#N/A</v>
      </c>
      <c r="Q453" s="71" t="e">
        <v>#N/A</v>
      </c>
      <c r="R453" s="111" t="e">
        <v>#N/A</v>
      </c>
      <c r="S453" s="3598" t="e">
        <v>#N/A</v>
      </c>
      <c r="T453" s="3598" t="e">
        <v>#N/A</v>
      </c>
      <c r="U453" s="71" t="e">
        <v>#N/A</v>
      </c>
      <c r="V453" s="2526" t="e">
        <v>#N/A</v>
      </c>
      <c r="W453" s="2526" t="e">
        <v>#N/A</v>
      </c>
      <c r="X453" s="2526" t="e">
        <v>#N/A</v>
      </c>
      <c r="Y453" s="2527" t="e">
        <v>#N/A</v>
      </c>
    </row>
    <row r="454" spans="1:25">
      <c r="A454" s="53">
        <f t="shared" si="9"/>
        <v>2030.01</v>
      </c>
      <c r="B454" s="214" t="e">
        <v>#N/A</v>
      </c>
      <c r="C454" s="3598" t="e">
        <v>#N/A</v>
      </c>
      <c r="D454" s="3598" t="e">
        <v>#N/A</v>
      </c>
      <c r="E454" s="111" t="e">
        <v>#N/A</v>
      </c>
      <c r="F454" s="456" t="e">
        <v>#N/A</v>
      </c>
      <c r="G454" s="3598" t="e">
        <v>#N/A</v>
      </c>
      <c r="H454" s="3598" t="e">
        <v>#N/A</v>
      </c>
      <c r="I454" s="71" t="e">
        <v>#N/A</v>
      </c>
      <c r="J454" s="456" t="e">
        <v>#N/A</v>
      </c>
      <c r="K454" s="3598" t="e">
        <v>#N/A</v>
      </c>
      <c r="L454" s="3598" t="e">
        <v>#N/A</v>
      </c>
      <c r="M454" s="71" t="e">
        <v>#N/A</v>
      </c>
      <c r="N454" s="456" t="e">
        <v>#N/A</v>
      </c>
      <c r="O454" s="3598" t="e">
        <v>#N/A</v>
      </c>
      <c r="P454" s="3598" t="e">
        <v>#N/A</v>
      </c>
      <c r="Q454" s="71" t="e">
        <v>#N/A</v>
      </c>
      <c r="R454" s="111" t="e">
        <v>#N/A</v>
      </c>
      <c r="S454" s="3598" t="e">
        <v>#N/A</v>
      </c>
      <c r="T454" s="3598" t="e">
        <v>#N/A</v>
      </c>
      <c r="U454" s="71" t="e">
        <v>#N/A</v>
      </c>
      <c r="V454" s="2526" t="e">
        <v>#N/A</v>
      </c>
      <c r="W454" s="2526" t="e">
        <v>#N/A</v>
      </c>
      <c r="X454" s="2526" t="e">
        <v>#N/A</v>
      </c>
      <c r="Y454" s="2527" t="e">
        <v>#N/A</v>
      </c>
    </row>
    <row r="455" spans="1:25">
      <c r="A455" s="53">
        <f t="shared" si="9"/>
        <v>2030.02</v>
      </c>
      <c r="B455" s="214" t="e">
        <v>#N/A</v>
      </c>
      <c r="C455" s="3598" t="e">
        <v>#N/A</v>
      </c>
      <c r="D455" s="3598" t="e">
        <v>#N/A</v>
      </c>
      <c r="E455" s="111" t="e">
        <v>#N/A</v>
      </c>
      <c r="F455" s="456" t="e">
        <v>#N/A</v>
      </c>
      <c r="G455" s="3598" t="e">
        <v>#N/A</v>
      </c>
      <c r="H455" s="3598" t="e">
        <v>#N/A</v>
      </c>
      <c r="I455" s="71" t="e">
        <v>#N/A</v>
      </c>
      <c r="J455" s="456" t="e">
        <v>#N/A</v>
      </c>
      <c r="K455" s="3598" t="e">
        <v>#N/A</v>
      </c>
      <c r="L455" s="3598" t="e">
        <v>#N/A</v>
      </c>
      <c r="M455" s="71" t="e">
        <v>#N/A</v>
      </c>
      <c r="N455" s="456" t="e">
        <v>#N/A</v>
      </c>
      <c r="O455" s="3598" t="e">
        <v>#N/A</v>
      </c>
      <c r="P455" s="3598" t="e">
        <v>#N/A</v>
      </c>
      <c r="Q455" s="71" t="e">
        <v>#N/A</v>
      </c>
      <c r="R455" s="111" t="e">
        <v>#N/A</v>
      </c>
      <c r="S455" s="3598" t="e">
        <v>#N/A</v>
      </c>
      <c r="T455" s="3598" t="e">
        <v>#N/A</v>
      </c>
      <c r="U455" s="71" t="e">
        <v>#N/A</v>
      </c>
      <c r="V455" s="2526" t="e">
        <v>#N/A</v>
      </c>
      <c r="W455" s="2526" t="e">
        <v>#N/A</v>
      </c>
      <c r="X455" s="2526" t="e">
        <v>#N/A</v>
      </c>
      <c r="Y455" s="2527" t="e">
        <v>#N/A</v>
      </c>
    </row>
    <row r="456" spans="1:25">
      <c r="A456" s="53">
        <f t="shared" si="9"/>
        <v>2030.03</v>
      </c>
      <c r="B456" s="214" t="e">
        <v>#N/A</v>
      </c>
      <c r="C456" s="3598" t="e">
        <v>#N/A</v>
      </c>
      <c r="D456" s="3598" t="e">
        <v>#N/A</v>
      </c>
      <c r="E456" s="111" t="e">
        <v>#N/A</v>
      </c>
      <c r="F456" s="456" t="e">
        <v>#N/A</v>
      </c>
      <c r="G456" s="3598" t="e">
        <v>#N/A</v>
      </c>
      <c r="H456" s="3598" t="e">
        <v>#N/A</v>
      </c>
      <c r="I456" s="71" t="e">
        <v>#N/A</v>
      </c>
      <c r="J456" s="456" t="e">
        <v>#N/A</v>
      </c>
      <c r="K456" s="3598" t="e">
        <v>#N/A</v>
      </c>
      <c r="L456" s="3598" t="e">
        <v>#N/A</v>
      </c>
      <c r="M456" s="71" t="e">
        <v>#N/A</v>
      </c>
      <c r="N456" s="456" t="e">
        <v>#N/A</v>
      </c>
      <c r="O456" s="3598" t="e">
        <v>#N/A</v>
      </c>
      <c r="P456" s="3598" t="e">
        <v>#N/A</v>
      </c>
      <c r="Q456" s="71" t="e">
        <v>#N/A</v>
      </c>
      <c r="R456" s="111" t="e">
        <v>#N/A</v>
      </c>
      <c r="S456" s="3598" t="e">
        <v>#N/A</v>
      </c>
      <c r="T456" s="3598" t="e">
        <v>#N/A</v>
      </c>
      <c r="U456" s="71" t="e">
        <v>#N/A</v>
      </c>
      <c r="V456" s="2526" t="e">
        <v>#N/A</v>
      </c>
      <c r="W456" s="2526" t="e">
        <v>#N/A</v>
      </c>
      <c r="X456" s="2526" t="e">
        <v>#N/A</v>
      </c>
      <c r="Y456" s="2527" t="e">
        <v>#N/A</v>
      </c>
    </row>
    <row r="457" spans="1:25">
      <c r="A457" s="53">
        <f t="shared" si="9"/>
        <v>2030.04</v>
      </c>
      <c r="B457" s="214" t="e">
        <v>#N/A</v>
      </c>
      <c r="C457" s="3598" t="e">
        <v>#N/A</v>
      </c>
      <c r="D457" s="3598" t="e">
        <v>#N/A</v>
      </c>
      <c r="E457" s="111" t="e">
        <v>#N/A</v>
      </c>
      <c r="F457" s="456" t="e">
        <v>#N/A</v>
      </c>
      <c r="G457" s="3598" t="e">
        <v>#N/A</v>
      </c>
      <c r="H457" s="3598" t="e">
        <v>#N/A</v>
      </c>
      <c r="I457" s="71" t="e">
        <v>#N/A</v>
      </c>
      <c r="J457" s="456" t="e">
        <v>#N/A</v>
      </c>
      <c r="K457" s="3598" t="e">
        <v>#N/A</v>
      </c>
      <c r="L457" s="3598" t="e">
        <v>#N/A</v>
      </c>
      <c r="M457" s="71" t="e">
        <v>#N/A</v>
      </c>
      <c r="N457" s="456" t="e">
        <v>#N/A</v>
      </c>
      <c r="O457" s="3598" t="e">
        <v>#N/A</v>
      </c>
      <c r="P457" s="3598" t="e">
        <v>#N/A</v>
      </c>
      <c r="Q457" s="71" t="e">
        <v>#N/A</v>
      </c>
      <c r="R457" s="111" t="e">
        <v>#N/A</v>
      </c>
      <c r="S457" s="3598" t="e">
        <v>#N/A</v>
      </c>
      <c r="T457" s="3598" t="e">
        <v>#N/A</v>
      </c>
      <c r="U457" s="71" t="e">
        <v>#N/A</v>
      </c>
      <c r="V457" s="2526" t="e">
        <v>#N/A</v>
      </c>
      <c r="W457" s="2526" t="e">
        <v>#N/A</v>
      </c>
      <c r="X457" s="2526" t="e">
        <v>#N/A</v>
      </c>
      <c r="Y457" s="2527" t="e">
        <v>#N/A</v>
      </c>
    </row>
    <row r="458" spans="1:25">
      <c r="A458" s="53">
        <f t="shared" si="9"/>
        <v>2030.05</v>
      </c>
      <c r="B458" s="214" t="e">
        <v>#N/A</v>
      </c>
      <c r="C458" s="3598" t="e">
        <v>#N/A</v>
      </c>
      <c r="D458" s="3598" t="e">
        <v>#N/A</v>
      </c>
      <c r="E458" s="111" t="e">
        <v>#N/A</v>
      </c>
      <c r="F458" s="456" t="e">
        <v>#N/A</v>
      </c>
      <c r="G458" s="3598" t="e">
        <v>#N/A</v>
      </c>
      <c r="H458" s="3598" t="e">
        <v>#N/A</v>
      </c>
      <c r="I458" s="71" t="e">
        <v>#N/A</v>
      </c>
      <c r="J458" s="456" t="e">
        <v>#N/A</v>
      </c>
      <c r="K458" s="3598" t="e">
        <v>#N/A</v>
      </c>
      <c r="L458" s="3598" t="e">
        <v>#N/A</v>
      </c>
      <c r="M458" s="71" t="e">
        <v>#N/A</v>
      </c>
      <c r="N458" s="456" t="e">
        <v>#N/A</v>
      </c>
      <c r="O458" s="3598" t="e">
        <v>#N/A</v>
      </c>
      <c r="P458" s="3598" t="e">
        <v>#N/A</v>
      </c>
      <c r="Q458" s="71" t="e">
        <v>#N/A</v>
      </c>
      <c r="R458" s="111" t="e">
        <v>#N/A</v>
      </c>
      <c r="S458" s="3598" t="e">
        <v>#N/A</v>
      </c>
      <c r="T458" s="3598" t="e">
        <v>#N/A</v>
      </c>
      <c r="U458" s="71" t="e">
        <v>#N/A</v>
      </c>
      <c r="V458" s="2526" t="e">
        <v>#N/A</v>
      </c>
      <c r="W458" s="2526" t="e">
        <v>#N/A</v>
      </c>
      <c r="X458" s="2526" t="e">
        <v>#N/A</v>
      </c>
      <c r="Y458" s="2527" t="e">
        <v>#N/A</v>
      </c>
    </row>
    <row r="459" spans="1:25">
      <c r="A459" s="53">
        <f t="shared" si="9"/>
        <v>2030.06</v>
      </c>
      <c r="B459" s="214" t="e">
        <v>#N/A</v>
      </c>
      <c r="C459" s="3598" t="e">
        <v>#N/A</v>
      </c>
      <c r="D459" s="3598" t="e">
        <v>#N/A</v>
      </c>
      <c r="E459" s="111" t="e">
        <v>#N/A</v>
      </c>
      <c r="F459" s="456" t="e">
        <v>#N/A</v>
      </c>
      <c r="G459" s="3598" t="e">
        <v>#N/A</v>
      </c>
      <c r="H459" s="3598" t="e">
        <v>#N/A</v>
      </c>
      <c r="I459" s="71" t="e">
        <v>#N/A</v>
      </c>
      <c r="J459" s="456" t="e">
        <v>#N/A</v>
      </c>
      <c r="K459" s="3598" t="e">
        <v>#N/A</v>
      </c>
      <c r="L459" s="3598" t="e">
        <v>#N/A</v>
      </c>
      <c r="M459" s="71" t="e">
        <v>#N/A</v>
      </c>
      <c r="N459" s="456" t="e">
        <v>#N/A</v>
      </c>
      <c r="O459" s="3598" t="e">
        <v>#N/A</v>
      </c>
      <c r="P459" s="3598" t="e">
        <v>#N/A</v>
      </c>
      <c r="Q459" s="71" t="e">
        <v>#N/A</v>
      </c>
      <c r="R459" s="111" t="e">
        <v>#N/A</v>
      </c>
      <c r="S459" s="3598" t="e">
        <v>#N/A</v>
      </c>
      <c r="T459" s="3598" t="e">
        <v>#N/A</v>
      </c>
      <c r="U459" s="71" t="e">
        <v>#N/A</v>
      </c>
      <c r="V459" s="2526" t="e">
        <v>#N/A</v>
      </c>
      <c r="W459" s="2526" t="e">
        <v>#N/A</v>
      </c>
      <c r="X459" s="2526" t="e">
        <v>#N/A</v>
      </c>
      <c r="Y459" s="2527" t="e">
        <v>#N/A</v>
      </c>
    </row>
    <row r="460" spans="1:25">
      <c r="A460" s="53">
        <f t="shared" si="9"/>
        <v>2030.07</v>
      </c>
      <c r="B460" s="214" t="e">
        <v>#N/A</v>
      </c>
      <c r="C460" s="3598" t="e">
        <v>#N/A</v>
      </c>
      <c r="D460" s="3598" t="e">
        <v>#N/A</v>
      </c>
      <c r="E460" s="111" t="e">
        <v>#N/A</v>
      </c>
      <c r="F460" s="456" t="e">
        <v>#N/A</v>
      </c>
      <c r="G460" s="3598" t="e">
        <v>#N/A</v>
      </c>
      <c r="H460" s="3598" t="e">
        <v>#N/A</v>
      </c>
      <c r="I460" s="71" t="e">
        <v>#N/A</v>
      </c>
      <c r="J460" s="456" t="e">
        <v>#N/A</v>
      </c>
      <c r="K460" s="3598" t="e">
        <v>#N/A</v>
      </c>
      <c r="L460" s="3598" t="e">
        <v>#N/A</v>
      </c>
      <c r="M460" s="71" t="e">
        <v>#N/A</v>
      </c>
      <c r="N460" s="456" t="e">
        <v>#N/A</v>
      </c>
      <c r="O460" s="3598" t="e">
        <v>#N/A</v>
      </c>
      <c r="P460" s="3598" t="e">
        <v>#N/A</v>
      </c>
      <c r="Q460" s="71" t="e">
        <v>#N/A</v>
      </c>
      <c r="R460" s="111" t="e">
        <v>#N/A</v>
      </c>
      <c r="S460" s="3598" t="e">
        <v>#N/A</v>
      </c>
      <c r="T460" s="3598" t="e">
        <v>#N/A</v>
      </c>
      <c r="U460" s="71" t="e">
        <v>#N/A</v>
      </c>
      <c r="V460" s="2526" t="e">
        <v>#N/A</v>
      </c>
      <c r="W460" s="2526" t="e">
        <v>#N/A</v>
      </c>
      <c r="X460" s="2526" t="e">
        <v>#N/A</v>
      </c>
      <c r="Y460" s="2527" t="e">
        <v>#N/A</v>
      </c>
    </row>
    <row r="461" spans="1:25">
      <c r="A461" s="53">
        <f t="shared" si="9"/>
        <v>2030.08</v>
      </c>
      <c r="B461" s="214" t="e">
        <v>#N/A</v>
      </c>
      <c r="C461" s="3598" t="e">
        <v>#N/A</v>
      </c>
      <c r="D461" s="3598" t="e">
        <v>#N/A</v>
      </c>
      <c r="E461" s="111" t="e">
        <v>#N/A</v>
      </c>
      <c r="F461" s="456" t="e">
        <v>#N/A</v>
      </c>
      <c r="G461" s="3598" t="e">
        <v>#N/A</v>
      </c>
      <c r="H461" s="3598" t="e">
        <v>#N/A</v>
      </c>
      <c r="I461" s="71" t="e">
        <v>#N/A</v>
      </c>
      <c r="J461" s="456" t="e">
        <v>#N/A</v>
      </c>
      <c r="K461" s="3598" t="e">
        <v>#N/A</v>
      </c>
      <c r="L461" s="3598" t="e">
        <v>#N/A</v>
      </c>
      <c r="M461" s="71" t="e">
        <v>#N/A</v>
      </c>
      <c r="N461" s="456" t="e">
        <v>#N/A</v>
      </c>
      <c r="O461" s="3598" t="e">
        <v>#N/A</v>
      </c>
      <c r="P461" s="3598" t="e">
        <v>#N/A</v>
      </c>
      <c r="Q461" s="71" t="e">
        <v>#N/A</v>
      </c>
      <c r="R461" s="111" t="e">
        <v>#N/A</v>
      </c>
      <c r="S461" s="3598" t="e">
        <v>#N/A</v>
      </c>
      <c r="T461" s="3598" t="e">
        <v>#N/A</v>
      </c>
      <c r="U461" s="71" t="e">
        <v>#N/A</v>
      </c>
      <c r="V461" s="2526" t="e">
        <v>#N/A</v>
      </c>
      <c r="W461" s="2526" t="e">
        <v>#N/A</v>
      </c>
      <c r="X461" s="2526" t="e">
        <v>#N/A</v>
      </c>
      <c r="Y461" s="2527" t="e">
        <v>#N/A</v>
      </c>
    </row>
    <row r="462" spans="1:25">
      <c r="A462" s="53">
        <f t="shared" si="9"/>
        <v>2030.09</v>
      </c>
      <c r="B462" s="214" t="e">
        <v>#N/A</v>
      </c>
      <c r="C462" s="3598" t="e">
        <v>#N/A</v>
      </c>
      <c r="D462" s="3598" t="e">
        <v>#N/A</v>
      </c>
      <c r="E462" s="111" t="e">
        <v>#N/A</v>
      </c>
      <c r="F462" s="456" t="e">
        <v>#N/A</v>
      </c>
      <c r="G462" s="3598" t="e">
        <v>#N/A</v>
      </c>
      <c r="H462" s="3598" t="e">
        <v>#N/A</v>
      </c>
      <c r="I462" s="71" t="e">
        <v>#N/A</v>
      </c>
      <c r="J462" s="456" t="e">
        <v>#N/A</v>
      </c>
      <c r="K462" s="3598" t="e">
        <v>#N/A</v>
      </c>
      <c r="L462" s="3598" t="e">
        <v>#N/A</v>
      </c>
      <c r="M462" s="71" t="e">
        <v>#N/A</v>
      </c>
      <c r="N462" s="456" t="e">
        <v>#N/A</v>
      </c>
      <c r="O462" s="3598" t="e">
        <v>#N/A</v>
      </c>
      <c r="P462" s="3598" t="e">
        <v>#N/A</v>
      </c>
      <c r="Q462" s="71" t="e">
        <v>#N/A</v>
      </c>
      <c r="R462" s="111" t="e">
        <v>#N/A</v>
      </c>
      <c r="S462" s="3598" t="e">
        <v>#N/A</v>
      </c>
      <c r="T462" s="3598" t="e">
        <v>#N/A</v>
      </c>
      <c r="U462" s="71" t="e">
        <v>#N/A</v>
      </c>
      <c r="V462" s="2526" t="e">
        <v>#N/A</v>
      </c>
      <c r="W462" s="2526" t="e">
        <v>#N/A</v>
      </c>
      <c r="X462" s="2526" t="e">
        <v>#N/A</v>
      </c>
      <c r="Y462" s="2527" t="e">
        <v>#N/A</v>
      </c>
    </row>
    <row r="463" spans="1:25">
      <c r="A463" s="53">
        <f t="shared" si="9"/>
        <v>2030.1</v>
      </c>
      <c r="B463" s="214" t="e">
        <v>#N/A</v>
      </c>
      <c r="C463" s="3598" t="e">
        <v>#N/A</v>
      </c>
      <c r="D463" s="3598" t="e">
        <v>#N/A</v>
      </c>
      <c r="E463" s="111" t="e">
        <v>#N/A</v>
      </c>
      <c r="F463" s="456" t="e">
        <v>#N/A</v>
      </c>
      <c r="G463" s="3598" t="e">
        <v>#N/A</v>
      </c>
      <c r="H463" s="3598" t="e">
        <v>#N/A</v>
      </c>
      <c r="I463" s="71" t="e">
        <v>#N/A</v>
      </c>
      <c r="J463" s="456" t="e">
        <v>#N/A</v>
      </c>
      <c r="K463" s="3598" t="e">
        <v>#N/A</v>
      </c>
      <c r="L463" s="3598" t="e">
        <v>#N/A</v>
      </c>
      <c r="M463" s="71" t="e">
        <v>#N/A</v>
      </c>
      <c r="N463" s="456" t="e">
        <v>#N/A</v>
      </c>
      <c r="O463" s="3598" t="e">
        <v>#N/A</v>
      </c>
      <c r="P463" s="3598" t="e">
        <v>#N/A</v>
      </c>
      <c r="Q463" s="71" t="e">
        <v>#N/A</v>
      </c>
      <c r="R463" s="111" t="e">
        <v>#N/A</v>
      </c>
      <c r="S463" s="3598" t="e">
        <v>#N/A</v>
      </c>
      <c r="T463" s="3598" t="e">
        <v>#N/A</v>
      </c>
      <c r="U463" s="71" t="e">
        <v>#N/A</v>
      </c>
      <c r="V463" s="2526" t="e">
        <v>#N/A</v>
      </c>
      <c r="W463" s="2526" t="e">
        <v>#N/A</v>
      </c>
      <c r="X463" s="2526" t="e">
        <v>#N/A</v>
      </c>
      <c r="Y463" s="2527" t="e">
        <v>#N/A</v>
      </c>
    </row>
    <row r="464" spans="1:25">
      <c r="A464" s="53">
        <f t="shared" si="9"/>
        <v>2030.11</v>
      </c>
      <c r="B464" s="214" t="e">
        <v>#N/A</v>
      </c>
      <c r="C464" s="3598" t="e">
        <v>#N/A</v>
      </c>
      <c r="D464" s="3598" t="e">
        <v>#N/A</v>
      </c>
      <c r="E464" s="111" t="e">
        <v>#N/A</v>
      </c>
      <c r="F464" s="456" t="e">
        <v>#N/A</v>
      </c>
      <c r="G464" s="3598" t="e">
        <v>#N/A</v>
      </c>
      <c r="H464" s="3598" t="e">
        <v>#N/A</v>
      </c>
      <c r="I464" s="71" t="e">
        <v>#N/A</v>
      </c>
      <c r="J464" s="456" t="e">
        <v>#N/A</v>
      </c>
      <c r="K464" s="3598" t="e">
        <v>#N/A</v>
      </c>
      <c r="L464" s="3598" t="e">
        <v>#N/A</v>
      </c>
      <c r="M464" s="71" t="e">
        <v>#N/A</v>
      </c>
      <c r="N464" s="456" t="e">
        <v>#N/A</v>
      </c>
      <c r="O464" s="3598" t="e">
        <v>#N/A</v>
      </c>
      <c r="P464" s="3598" t="e">
        <v>#N/A</v>
      </c>
      <c r="Q464" s="71" t="e">
        <v>#N/A</v>
      </c>
      <c r="R464" s="111" t="e">
        <v>#N/A</v>
      </c>
      <c r="S464" s="3598" t="e">
        <v>#N/A</v>
      </c>
      <c r="T464" s="3598" t="e">
        <v>#N/A</v>
      </c>
      <c r="U464" s="71" t="e">
        <v>#N/A</v>
      </c>
      <c r="V464" s="2526" t="e">
        <v>#N/A</v>
      </c>
      <c r="W464" s="2526" t="e">
        <v>#N/A</v>
      </c>
      <c r="X464" s="2526" t="e">
        <v>#N/A</v>
      </c>
      <c r="Y464" s="2527" t="e">
        <v>#N/A</v>
      </c>
    </row>
    <row r="465" spans="1:25">
      <c r="A465" s="53">
        <f t="shared" si="9"/>
        <v>2030.12</v>
      </c>
      <c r="B465" s="214" t="e">
        <v>#N/A</v>
      </c>
      <c r="C465" s="3598" t="e">
        <v>#N/A</v>
      </c>
      <c r="D465" s="3598" t="e">
        <v>#N/A</v>
      </c>
      <c r="E465" s="111" t="e">
        <v>#N/A</v>
      </c>
      <c r="F465" s="456" t="e">
        <v>#N/A</v>
      </c>
      <c r="G465" s="3598" t="e">
        <v>#N/A</v>
      </c>
      <c r="H465" s="3598" t="e">
        <v>#N/A</v>
      </c>
      <c r="I465" s="71" t="e">
        <v>#N/A</v>
      </c>
      <c r="J465" s="456" t="e">
        <v>#N/A</v>
      </c>
      <c r="K465" s="3598" t="e">
        <v>#N/A</v>
      </c>
      <c r="L465" s="3598" t="e">
        <v>#N/A</v>
      </c>
      <c r="M465" s="71" t="e">
        <v>#N/A</v>
      </c>
      <c r="N465" s="456" t="e">
        <v>#N/A</v>
      </c>
      <c r="O465" s="3598" t="e">
        <v>#N/A</v>
      </c>
      <c r="P465" s="3598" t="e">
        <v>#N/A</v>
      </c>
      <c r="Q465" s="71" t="e">
        <v>#N/A</v>
      </c>
      <c r="R465" s="111" t="e">
        <v>#N/A</v>
      </c>
      <c r="S465" s="3598" t="e">
        <v>#N/A</v>
      </c>
      <c r="T465" s="3598" t="e">
        <v>#N/A</v>
      </c>
      <c r="U465" s="71" t="e">
        <v>#N/A</v>
      </c>
      <c r="V465" s="2526" t="e">
        <v>#N/A</v>
      </c>
      <c r="W465" s="2526" t="e">
        <v>#N/A</v>
      </c>
      <c r="X465" s="2526" t="e">
        <v>#N/A</v>
      </c>
      <c r="Y465" s="2527" t="e">
        <v>#N/A</v>
      </c>
    </row>
  </sheetData>
  <phoneticPr fontId="71" type="noConversion"/>
  <hyperlinks>
    <hyperlink ref="A5" location="INDICE!A13" display="VOLVER AL INDICE" xr:uid="{00000000-0004-0000-1600-000000000000}"/>
  </hyperlinks>
  <pageMargins left="0.75" right="0.75" top="1" bottom="1" header="0" footer="0"/>
  <pageSetup paperSize="9" orientation="portrait" horizontalDpi="300" verticalDpi="300" r:id="rId1"/>
  <headerFooter alignWithMargins="0"/>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66B0E-9BC0-449F-8B4B-56F6D198FF0F}">
  <dimension ref="A1:U483"/>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12" style="21" bestFit="1" customWidth="1"/>
    <col min="2" max="8" width="16.42578125" style="21" customWidth="1"/>
    <col min="9" max="9" width="16.42578125" style="300" customWidth="1"/>
    <col min="10" max="11" width="15.85546875" style="2427" customWidth="1"/>
    <col min="12" max="15" width="17" style="2428" customWidth="1"/>
    <col min="16" max="16384" width="11.42578125" style="6"/>
  </cols>
  <sheetData>
    <row r="1" spans="1:15" ht="3" customHeight="1">
      <c r="A1" s="2761"/>
      <c r="B1" s="2216"/>
      <c r="C1" s="457"/>
      <c r="D1" s="457"/>
      <c r="E1" s="457"/>
      <c r="F1" s="458"/>
      <c r="G1" s="457"/>
      <c r="H1" s="457"/>
      <c r="I1" s="2429"/>
      <c r="J1" s="2430"/>
      <c r="K1" s="2410"/>
      <c r="L1" s="2411"/>
      <c r="M1" s="2411"/>
      <c r="N1" s="2411"/>
      <c r="O1" s="2435"/>
    </row>
    <row r="2" spans="1:15">
      <c r="A2" s="2762" t="s">
        <v>99</v>
      </c>
      <c r="B2" s="2217" t="s">
        <v>1023</v>
      </c>
      <c r="C2" s="315"/>
      <c r="D2" s="2906"/>
      <c r="E2" s="2906"/>
      <c r="F2" s="2906" t="s">
        <v>1024</v>
      </c>
      <c r="G2" s="315"/>
      <c r="H2" s="2906"/>
      <c r="I2" s="315"/>
      <c r="J2" s="2412" t="s">
        <v>1025</v>
      </c>
      <c r="K2" s="2412"/>
      <c r="L2" s="2412"/>
      <c r="M2" s="2412"/>
      <c r="N2" s="2412"/>
      <c r="O2" s="2436"/>
    </row>
    <row r="3" spans="1:15">
      <c r="A3" s="2762" t="s">
        <v>104</v>
      </c>
      <c r="B3" s="2218" t="s">
        <v>115</v>
      </c>
      <c r="C3" s="2020"/>
      <c r="D3" s="2921"/>
      <c r="E3" s="2921"/>
      <c r="F3" s="2921" t="s">
        <v>115</v>
      </c>
      <c r="G3" s="2020"/>
      <c r="H3" s="2921"/>
      <c r="I3" s="2921"/>
      <c r="J3" s="2922" t="s">
        <v>1026</v>
      </c>
      <c r="K3" s="2921" t="s">
        <v>118</v>
      </c>
      <c r="L3" s="2921"/>
      <c r="M3" s="2921"/>
      <c r="N3" s="2921"/>
      <c r="O3" s="2923"/>
    </row>
    <row r="4" spans="1:15" ht="3.75" customHeight="1">
      <c r="A4" s="2762"/>
      <c r="B4" s="2408"/>
      <c r="C4" s="2017"/>
      <c r="D4" s="2017"/>
      <c r="E4" s="2017"/>
      <c r="F4" s="2924"/>
      <c r="G4" s="2017"/>
      <c r="H4" s="2017"/>
      <c r="I4" s="2431"/>
      <c r="J4" s="2925"/>
      <c r="K4" s="1381"/>
      <c r="L4" s="1381"/>
      <c r="M4" s="2413"/>
      <c r="N4" s="2413"/>
      <c r="O4" s="2437"/>
    </row>
    <row r="5" spans="1:15" ht="45">
      <c r="A5" s="2867" t="s">
        <v>140</v>
      </c>
      <c r="B5" s="2219" t="s">
        <v>704</v>
      </c>
      <c r="C5" s="2024" t="s">
        <v>703</v>
      </c>
      <c r="D5" s="2442" t="s">
        <v>1027</v>
      </c>
      <c r="E5" s="877" t="s">
        <v>1028</v>
      </c>
      <c r="F5" s="2750" t="s">
        <v>704</v>
      </c>
      <c r="G5" s="2024" t="s">
        <v>703</v>
      </c>
      <c r="H5" s="2025" t="s">
        <v>1027</v>
      </c>
      <c r="I5" s="877" t="s">
        <v>1028</v>
      </c>
      <c r="J5" s="2926" t="s">
        <v>704</v>
      </c>
      <c r="K5" s="2414" t="s">
        <v>704</v>
      </c>
      <c r="L5" s="2025" t="s">
        <v>703</v>
      </c>
      <c r="M5" s="2025" t="s">
        <v>1027</v>
      </c>
      <c r="N5" s="2025" t="s">
        <v>1029</v>
      </c>
      <c r="O5" s="2105" t="s">
        <v>1030</v>
      </c>
    </row>
    <row r="6" spans="1:15">
      <c r="A6" s="2762"/>
      <c r="B6" s="55"/>
      <c r="C6" s="1664"/>
      <c r="D6" s="1664"/>
      <c r="E6" s="54"/>
      <c r="F6" s="2927"/>
      <c r="G6" s="627"/>
      <c r="H6" s="1664"/>
      <c r="I6" s="54"/>
      <c r="J6" s="2928"/>
      <c r="K6" s="2415"/>
      <c r="L6" s="2416"/>
      <c r="M6" s="2416"/>
      <c r="N6" s="2416"/>
      <c r="O6" s="2438"/>
    </row>
    <row r="7" spans="1:15" ht="22.5">
      <c r="A7" s="2762" t="s">
        <v>125</v>
      </c>
      <c r="B7" s="2929" t="s">
        <v>1031</v>
      </c>
      <c r="C7" s="2417" t="s">
        <v>1031</v>
      </c>
      <c r="D7" s="2443" t="s">
        <v>1032</v>
      </c>
      <c r="E7" s="1866" t="s">
        <v>594</v>
      </c>
      <c r="F7" s="2758" t="s">
        <v>1031</v>
      </c>
      <c r="G7" s="2417" t="s">
        <v>1031</v>
      </c>
      <c r="H7" s="2417" t="s">
        <v>1032</v>
      </c>
      <c r="I7" s="3" t="s">
        <v>594</v>
      </c>
      <c r="J7" s="2930" t="s">
        <v>1031</v>
      </c>
      <c r="K7" s="2931" t="s">
        <v>1031</v>
      </c>
      <c r="L7" s="2417" t="s">
        <v>1031</v>
      </c>
      <c r="M7" s="2417" t="s">
        <v>1032</v>
      </c>
      <c r="N7" s="2417" t="s">
        <v>594</v>
      </c>
      <c r="O7" s="2932" t="s">
        <v>594</v>
      </c>
    </row>
    <row r="8" spans="1:15">
      <c r="A8" s="2751" t="s">
        <v>144</v>
      </c>
      <c r="B8" s="1749" t="s">
        <v>1033</v>
      </c>
      <c r="C8" s="2157" t="s">
        <v>1034</v>
      </c>
      <c r="D8" s="2157" t="s">
        <v>1035</v>
      </c>
      <c r="E8" s="1751" t="s">
        <v>1036</v>
      </c>
      <c r="F8" s="2797" t="s">
        <v>1037</v>
      </c>
      <c r="G8" s="2157" t="s">
        <v>1038</v>
      </c>
      <c r="H8" s="2157" t="s">
        <v>1039</v>
      </c>
      <c r="I8" s="1751" t="s">
        <v>1040</v>
      </c>
      <c r="J8" s="2819" t="s">
        <v>1041</v>
      </c>
      <c r="K8" s="2204" t="s">
        <v>1042</v>
      </c>
      <c r="L8" s="2157" t="s">
        <v>1043</v>
      </c>
      <c r="M8" s="2157" t="s">
        <v>1044</v>
      </c>
      <c r="N8" s="2157" t="s">
        <v>1045</v>
      </c>
      <c r="O8" s="2166" t="s">
        <v>1046</v>
      </c>
    </row>
    <row r="9" spans="1:15" ht="13.5" thickBot="1">
      <c r="A9" s="2140"/>
      <c r="B9" s="1425"/>
      <c r="C9" s="1244"/>
      <c r="D9" s="1244"/>
      <c r="E9" s="2021"/>
      <c r="F9" s="573"/>
      <c r="G9" s="1244"/>
      <c r="H9" s="1244"/>
      <c r="I9" s="2021"/>
      <c r="J9" s="1394"/>
      <c r="K9" s="2418"/>
      <c r="L9" s="1244"/>
      <c r="M9" s="1244"/>
      <c r="N9" s="1244"/>
      <c r="O9" s="2107"/>
    </row>
    <row r="10" spans="1:15">
      <c r="A10" s="1683">
        <v>1994.01</v>
      </c>
      <c r="B10" s="2220">
        <v>170491.82350689804</v>
      </c>
      <c r="C10" s="2026">
        <v>1032357</v>
      </c>
      <c r="D10" s="2027">
        <v>209</v>
      </c>
      <c r="E10" s="2022">
        <v>0.63900000000000001</v>
      </c>
      <c r="F10" s="2028">
        <v>52497.775111568029</v>
      </c>
      <c r="G10" s="2030"/>
      <c r="H10" s="2027">
        <v>86.45</v>
      </c>
      <c r="I10" s="2432">
        <v>0.98</v>
      </c>
      <c r="J10" s="2419">
        <v>733119.42025013617</v>
      </c>
      <c r="K10" s="2420"/>
      <c r="L10" s="2421">
        <v>21828368.452424891</v>
      </c>
      <c r="M10" s="2422">
        <v>2.4691668112284373</v>
      </c>
      <c r="N10" s="2423"/>
      <c r="O10" s="2439"/>
    </row>
    <row r="11" spans="1:15">
      <c r="A11" s="388">
        <v>1994.02</v>
      </c>
      <c r="B11" s="568">
        <v>161579.05095065094</v>
      </c>
      <c r="C11" s="3600">
        <v>996918</v>
      </c>
      <c r="D11" s="3601">
        <v>209</v>
      </c>
      <c r="E11" s="461">
        <v>0.63600000000000001</v>
      </c>
      <c r="F11" s="2029">
        <v>52564.030117526112</v>
      </c>
      <c r="G11" s="3602"/>
      <c r="H11" s="3601">
        <v>85.66</v>
      </c>
      <c r="I11" s="2433">
        <v>0.99</v>
      </c>
      <c r="J11" s="2424">
        <v>707949.25363932585</v>
      </c>
      <c r="K11" s="2420"/>
      <c r="L11" s="3603">
        <v>19751017.658606891</v>
      </c>
      <c r="M11" s="3604">
        <v>2.4457672606190033</v>
      </c>
      <c r="N11" s="3605"/>
      <c r="O11" s="2933"/>
    </row>
    <row r="12" spans="1:15">
      <c r="A12" s="388">
        <v>1994.03</v>
      </c>
      <c r="B12" s="568">
        <v>188786.52001106984</v>
      </c>
      <c r="C12" s="3600">
        <v>1162789</v>
      </c>
      <c r="D12" s="3601">
        <v>209</v>
      </c>
      <c r="E12" s="461">
        <v>0.621</v>
      </c>
      <c r="F12" s="2029">
        <v>59051.844529077782</v>
      </c>
      <c r="G12" s="3602"/>
      <c r="H12" s="3601">
        <v>81.47</v>
      </c>
      <c r="I12" s="2433">
        <v>1.05</v>
      </c>
      <c r="J12" s="2424">
        <v>857727.92066409602</v>
      </c>
      <c r="K12" s="2420"/>
      <c r="L12" s="3603">
        <v>21378054.299650226</v>
      </c>
      <c r="M12" s="3604">
        <v>2.4956965057678855</v>
      </c>
      <c r="N12" s="3605"/>
      <c r="O12" s="2933"/>
    </row>
    <row r="13" spans="1:15">
      <c r="A13" s="388">
        <v>1994.04</v>
      </c>
      <c r="B13" s="568">
        <v>168378.98641590757</v>
      </c>
      <c r="C13" s="3600">
        <v>1060222</v>
      </c>
      <c r="D13" s="3601">
        <v>209</v>
      </c>
      <c r="E13" s="461">
        <v>0.624</v>
      </c>
      <c r="F13" s="2029">
        <v>55966.845814154534</v>
      </c>
      <c r="G13" s="3602"/>
      <c r="H13" s="3601">
        <v>85.73</v>
      </c>
      <c r="I13" s="2433">
        <v>1.07</v>
      </c>
      <c r="J13" s="2424">
        <v>775655.91775394266</v>
      </c>
      <c r="K13" s="2420"/>
      <c r="L13" s="3603">
        <v>21773008.985142611</v>
      </c>
      <c r="M13" s="3604">
        <v>2.555127306647742</v>
      </c>
      <c r="N13" s="3605"/>
      <c r="O13" s="2933"/>
    </row>
    <row r="14" spans="1:15">
      <c r="A14" s="388">
        <v>1994.05</v>
      </c>
      <c r="B14" s="568">
        <v>182598.13718343529</v>
      </c>
      <c r="C14" s="3600">
        <v>1137106</v>
      </c>
      <c r="D14" s="3601">
        <v>209</v>
      </c>
      <c r="E14" s="461">
        <v>0.61199999999999999</v>
      </c>
      <c r="F14" s="2029">
        <v>56453.406014159213</v>
      </c>
      <c r="G14" s="3602"/>
      <c r="H14" s="3601">
        <v>87.35</v>
      </c>
      <c r="I14" s="2433">
        <v>0.94</v>
      </c>
      <c r="J14" s="2424">
        <v>811444.94645199808</v>
      </c>
      <c r="K14" s="2420"/>
      <c r="L14" s="3603">
        <v>22009391.184287254</v>
      </c>
      <c r="M14" s="3604">
        <v>2.5799787398233707</v>
      </c>
      <c r="N14" s="3605"/>
      <c r="O14" s="2933"/>
    </row>
    <row r="15" spans="1:15">
      <c r="A15" s="388">
        <v>1994.06</v>
      </c>
      <c r="B15" s="568">
        <v>180440.0407817183</v>
      </c>
      <c r="C15" s="3600">
        <v>1111680</v>
      </c>
      <c r="D15" s="3601">
        <v>209</v>
      </c>
      <c r="E15" s="461">
        <v>0.72899999999999998</v>
      </c>
      <c r="F15" s="2029">
        <v>53010.216173275076</v>
      </c>
      <c r="G15" s="3602"/>
      <c r="H15" s="3601">
        <v>89.5</v>
      </c>
      <c r="I15" s="2433">
        <v>0.93</v>
      </c>
      <c r="J15" s="2424">
        <v>822995.84302619577</v>
      </c>
      <c r="K15" s="2420"/>
      <c r="L15" s="3603">
        <v>21269065.993581746</v>
      </c>
      <c r="M15" s="3604">
        <v>2.5887583223003592</v>
      </c>
      <c r="N15" s="3605"/>
      <c r="O15" s="2933"/>
    </row>
    <row r="16" spans="1:15">
      <c r="A16" s="388">
        <v>1994.07</v>
      </c>
      <c r="B16" s="568">
        <v>181453.40778774192</v>
      </c>
      <c r="C16" s="3600">
        <v>1111911</v>
      </c>
      <c r="D16" s="3601">
        <v>209</v>
      </c>
      <c r="E16" s="461">
        <v>0.71499999999999997</v>
      </c>
      <c r="F16" s="2029">
        <v>50804.131521764524</v>
      </c>
      <c r="G16" s="3602"/>
      <c r="H16" s="3601">
        <v>89.12</v>
      </c>
      <c r="I16" s="2433">
        <v>0.95</v>
      </c>
      <c r="J16" s="2424">
        <v>858483.84186805203</v>
      </c>
      <c r="K16" s="2420"/>
      <c r="L16" s="3603">
        <v>22123972.628300555</v>
      </c>
      <c r="M16" s="3604">
        <v>2.5695334207173608</v>
      </c>
      <c r="N16" s="3605"/>
      <c r="O16" s="2933"/>
    </row>
    <row r="17" spans="1:15">
      <c r="A17" s="388">
        <v>1994.08</v>
      </c>
      <c r="B17" s="568">
        <v>190440.14068102997</v>
      </c>
      <c r="C17" s="3600">
        <v>1111422</v>
      </c>
      <c r="D17" s="3601">
        <v>209</v>
      </c>
      <c r="E17" s="461">
        <v>0.75</v>
      </c>
      <c r="F17" s="2029">
        <v>57707.074955022312</v>
      </c>
      <c r="G17" s="3602"/>
      <c r="H17" s="3601">
        <v>88.27</v>
      </c>
      <c r="I17" s="2433">
        <v>0.94599999999999995</v>
      </c>
      <c r="J17" s="2424">
        <v>835837.75866057759</v>
      </c>
      <c r="K17" s="2420"/>
      <c r="L17" s="3603">
        <v>21124878.591693833</v>
      </c>
      <c r="M17" s="3604">
        <v>2.5493857611356967</v>
      </c>
      <c r="N17" s="3605"/>
      <c r="O17" s="2933"/>
    </row>
    <row r="18" spans="1:15">
      <c r="A18" s="388">
        <v>1994.09</v>
      </c>
      <c r="B18" s="568">
        <v>193989.13297336764</v>
      </c>
      <c r="C18" s="3600">
        <v>1082229</v>
      </c>
      <c r="D18" s="3601">
        <v>209</v>
      </c>
      <c r="E18" s="461">
        <v>0.70299999999999996</v>
      </c>
      <c r="F18" s="2029">
        <v>60383.156055048014</v>
      </c>
      <c r="G18" s="3602"/>
      <c r="H18" s="3601">
        <v>88.74</v>
      </c>
      <c r="I18" s="2433">
        <v>0.87</v>
      </c>
      <c r="J18" s="2424">
        <v>842714.90491956426</v>
      </c>
      <c r="K18" s="2420"/>
      <c r="L18" s="3603">
        <v>21793806.563505433</v>
      </c>
      <c r="M18" s="3604">
        <v>2.5813705044314239</v>
      </c>
      <c r="N18" s="3605"/>
      <c r="O18" s="2933"/>
    </row>
    <row r="19" spans="1:15">
      <c r="A19" s="388">
        <v>1994.1</v>
      </c>
      <c r="B19" s="568">
        <v>190769.09859801803</v>
      </c>
      <c r="C19" s="3600">
        <v>1091885</v>
      </c>
      <c r="D19" s="3601">
        <v>209</v>
      </c>
      <c r="E19" s="461">
        <v>0.70499999999999996</v>
      </c>
      <c r="F19" s="2029">
        <v>61808.673917614899</v>
      </c>
      <c r="G19" s="3602"/>
      <c r="H19" s="3601">
        <v>89.73</v>
      </c>
      <c r="I19" s="2433">
        <v>0.85</v>
      </c>
      <c r="J19" s="2424">
        <v>817563.65022107097</v>
      </c>
      <c r="K19" s="2420"/>
      <c r="L19" s="3603">
        <v>23183039.985008087</v>
      </c>
      <c r="M19" s="3604">
        <v>2.5900941255330499</v>
      </c>
      <c r="N19" s="3605"/>
      <c r="O19" s="2933"/>
    </row>
    <row r="20" spans="1:15">
      <c r="A20" s="388">
        <v>1994.11</v>
      </c>
      <c r="B20" s="568">
        <v>201920.55120678793</v>
      </c>
      <c r="C20" s="3600">
        <v>1181884</v>
      </c>
      <c r="D20" s="3601">
        <v>209</v>
      </c>
      <c r="E20" s="461">
        <v>0.67800000000000005</v>
      </c>
      <c r="F20" s="2029">
        <v>72378.417836865352</v>
      </c>
      <c r="G20" s="3602"/>
      <c r="H20" s="3601">
        <v>89.28</v>
      </c>
      <c r="I20" s="2433">
        <v>0.83</v>
      </c>
      <c r="J20" s="2424">
        <v>843080.73460914905</v>
      </c>
      <c r="K20" s="2420"/>
      <c r="L20" s="3603">
        <v>23291198.705049265</v>
      </c>
      <c r="M20" s="3604">
        <v>2.5516477550523073</v>
      </c>
      <c r="N20" s="3605"/>
      <c r="O20" s="2933"/>
    </row>
    <row r="21" spans="1:15">
      <c r="A21" s="388">
        <v>1994.12</v>
      </c>
      <c r="B21" s="568">
        <v>195620.67593077823</v>
      </c>
      <c r="C21" s="3600">
        <v>1119949</v>
      </c>
      <c r="D21" s="3601">
        <v>209</v>
      </c>
      <c r="E21" s="461">
        <v>0.69699999999999995</v>
      </c>
      <c r="F21" s="2029">
        <v>72569.936213462934</v>
      </c>
      <c r="G21" s="3602"/>
      <c r="H21" s="3601">
        <v>87.02</v>
      </c>
      <c r="I21" s="2433">
        <v>1.08</v>
      </c>
      <c r="J21" s="2424">
        <v>931677.5272326346</v>
      </c>
      <c r="K21" s="2420"/>
      <c r="L21" s="3603">
        <v>27133196.952749185</v>
      </c>
      <c r="M21" s="3604">
        <v>2.506899885252321</v>
      </c>
      <c r="N21" s="3605"/>
      <c r="O21" s="2933"/>
    </row>
    <row r="22" spans="1:15">
      <c r="A22" s="388">
        <v>1995.01</v>
      </c>
      <c r="B22" s="568">
        <v>204533.44848702534</v>
      </c>
      <c r="C22" s="3600">
        <v>1097434</v>
      </c>
      <c r="D22" s="3601">
        <v>209</v>
      </c>
      <c r="E22" s="461">
        <v>0.75600000000000001</v>
      </c>
      <c r="F22" s="2029">
        <v>63412.252108694127</v>
      </c>
      <c r="G22" s="3602"/>
      <c r="H22" s="3601">
        <v>86.45</v>
      </c>
      <c r="I22" s="2433">
        <v>1.01</v>
      </c>
      <c r="J22" s="2424">
        <v>797691.68604058365</v>
      </c>
      <c r="K22" s="2420"/>
      <c r="L22" s="3603">
        <v>23750984.564546004</v>
      </c>
      <c r="M22" s="3604">
        <v>2.4883837497284649</v>
      </c>
      <c r="N22" s="3605"/>
      <c r="O22" s="2933"/>
    </row>
    <row r="23" spans="1:15">
      <c r="A23" s="388">
        <v>1995.02</v>
      </c>
      <c r="B23" s="568">
        <v>195943.01053400146</v>
      </c>
      <c r="C23" s="3600">
        <v>987285</v>
      </c>
      <c r="D23" s="3601">
        <v>209</v>
      </c>
      <c r="E23" s="461">
        <v>0.71399999999999997</v>
      </c>
      <c r="F23" s="2029">
        <v>58445.197130774082</v>
      </c>
      <c r="G23" s="3602"/>
      <c r="H23" s="3601">
        <v>85.66</v>
      </c>
      <c r="I23" s="2433">
        <v>1.08</v>
      </c>
      <c r="J23" s="2424">
        <v>770304.56180528621</v>
      </c>
      <c r="K23" s="2420"/>
      <c r="L23" s="3603">
        <v>21490663.2424713</v>
      </c>
      <c r="M23" s="3604">
        <v>2.4648020859774866</v>
      </c>
      <c r="N23" s="3605"/>
      <c r="O23" s="2933"/>
    </row>
    <row r="24" spans="1:15">
      <c r="A24" s="388">
        <v>1995.03</v>
      </c>
      <c r="B24" s="568">
        <v>227992.12195653326</v>
      </c>
      <c r="C24" s="3600">
        <v>1187208</v>
      </c>
      <c r="D24" s="3601">
        <v>209</v>
      </c>
      <c r="E24" s="461">
        <v>0.66800000000000004</v>
      </c>
      <c r="F24" s="2029">
        <v>61614.049837613027</v>
      </c>
      <c r="G24" s="3602"/>
      <c r="H24" s="3601">
        <v>81.47</v>
      </c>
      <c r="I24" s="2433">
        <v>1.1100000000000001</v>
      </c>
      <c r="J24" s="2424">
        <v>933275.55143087171</v>
      </c>
      <c r="K24" s="2420"/>
      <c r="L24" s="3603">
        <v>23261007.289558254</v>
      </c>
      <c r="M24" s="3604">
        <v>2.5151199185757926</v>
      </c>
      <c r="N24" s="3605"/>
      <c r="O24" s="2933"/>
    </row>
    <row r="25" spans="1:15">
      <c r="A25" s="388">
        <v>1995.04</v>
      </c>
      <c r="B25" s="568">
        <v>195166.97893788532</v>
      </c>
      <c r="C25" s="3600">
        <v>1012913</v>
      </c>
      <c r="D25" s="3601">
        <v>209</v>
      </c>
      <c r="E25" s="461">
        <v>0.65700000000000003</v>
      </c>
      <c r="F25" s="2029">
        <v>48110.451435781208</v>
      </c>
      <c r="G25" s="3602"/>
      <c r="H25" s="3601">
        <v>85.73</v>
      </c>
      <c r="I25" s="2433">
        <v>0.97</v>
      </c>
      <c r="J25" s="2424">
        <v>843974.74644634326</v>
      </c>
      <c r="K25" s="2420"/>
      <c r="L25" s="3603">
        <v>23690749.102798659</v>
      </c>
      <c r="M25" s="3604">
        <v>2.5750132552553056</v>
      </c>
      <c r="N25" s="3605"/>
      <c r="O25" s="2933"/>
    </row>
    <row r="26" spans="1:15">
      <c r="A26" s="388">
        <v>1995.05</v>
      </c>
      <c r="B26" s="568">
        <v>222857.949903139</v>
      </c>
      <c r="C26" s="3600">
        <v>1154423</v>
      </c>
      <c r="D26" s="3601">
        <v>209</v>
      </c>
      <c r="E26" s="461">
        <v>0.65600000000000003</v>
      </c>
      <c r="F26" s="2029">
        <v>59370.696745251058</v>
      </c>
      <c r="G26" s="3602"/>
      <c r="H26" s="3601">
        <v>87.35</v>
      </c>
      <c r="I26" s="2433">
        <v>0.92</v>
      </c>
      <c r="J26" s="2424">
        <v>882916.02921057027</v>
      </c>
      <c r="K26" s="2420"/>
      <c r="L26" s="3603">
        <v>23947951.558193084</v>
      </c>
      <c r="M26" s="3604">
        <v>2.6000581012294548</v>
      </c>
      <c r="N26" s="3605"/>
      <c r="O26" s="2933"/>
    </row>
    <row r="27" spans="1:15">
      <c r="A27" s="388">
        <v>1995.06</v>
      </c>
      <c r="B27" s="568">
        <v>218563.83481225453</v>
      </c>
      <c r="C27" s="3600">
        <v>1097922</v>
      </c>
      <c r="D27" s="3601">
        <v>209</v>
      </c>
      <c r="E27" s="461">
        <v>0.64500000000000002</v>
      </c>
      <c r="F27" s="2029">
        <v>57609.762915021376</v>
      </c>
      <c r="G27" s="3602"/>
      <c r="H27" s="3601">
        <v>89.5</v>
      </c>
      <c r="I27" s="2433">
        <v>0.89</v>
      </c>
      <c r="J27" s="2424">
        <v>895484.31468909211</v>
      </c>
      <c r="K27" s="2420"/>
      <c r="L27" s="3603">
        <v>23142419.426210139</v>
      </c>
      <c r="M27" s="3604">
        <v>2.6089060131104143</v>
      </c>
      <c r="N27" s="3605"/>
      <c r="O27" s="2933"/>
    </row>
    <row r="28" spans="1:15">
      <c r="A28" s="388">
        <v>1995.07</v>
      </c>
      <c r="B28" s="568">
        <v>212325.77713138354</v>
      </c>
      <c r="C28" s="3600">
        <v>1081237</v>
      </c>
      <c r="D28" s="3601">
        <v>209</v>
      </c>
      <c r="E28" s="461">
        <v>0.628</v>
      </c>
      <c r="F28" s="2029">
        <v>52488.458001355175</v>
      </c>
      <c r="G28" s="3602"/>
      <c r="H28" s="3601">
        <v>89.12</v>
      </c>
      <c r="I28" s="2433">
        <v>0.89</v>
      </c>
      <c r="J28" s="2424">
        <v>934098.05325396033</v>
      </c>
      <c r="K28" s="2420"/>
      <c r="L28" s="3603">
        <v>24072625.196265239</v>
      </c>
      <c r="M28" s="3604">
        <v>2.5895314886871486</v>
      </c>
      <c r="N28" s="3605"/>
      <c r="O28" s="2933"/>
    </row>
    <row r="29" spans="1:15">
      <c r="A29" s="388">
        <v>1995.08</v>
      </c>
      <c r="B29" s="568">
        <v>228973.47627936007</v>
      </c>
      <c r="C29" s="3600">
        <v>1145915</v>
      </c>
      <c r="D29" s="3601">
        <v>209</v>
      </c>
      <c r="E29" s="461">
        <v>0.64400000000000002</v>
      </c>
      <c r="F29" s="2029">
        <v>57627.361900978998</v>
      </c>
      <c r="G29" s="3602"/>
      <c r="H29" s="3601">
        <v>88.27</v>
      </c>
      <c r="I29" s="2433">
        <v>0.95</v>
      </c>
      <c r="J29" s="2424">
        <v>909457.33061449998</v>
      </c>
      <c r="K29" s="2420"/>
      <c r="L29" s="3603">
        <v>22985532.173545986</v>
      </c>
      <c r="M29" s="3604">
        <v>2.5692270246590052</v>
      </c>
      <c r="N29" s="3605"/>
      <c r="O29" s="2933"/>
    </row>
    <row r="30" spans="1:15">
      <c r="A30" s="388">
        <v>1995.09</v>
      </c>
      <c r="B30" s="568">
        <v>210937.08901201782</v>
      </c>
      <c r="C30" s="3600">
        <v>1030983</v>
      </c>
      <c r="D30" s="3601">
        <v>209</v>
      </c>
      <c r="E30" s="461">
        <v>0.747</v>
      </c>
      <c r="F30" s="2029">
        <v>54552.715530736699</v>
      </c>
      <c r="G30" s="3602"/>
      <c r="H30" s="3601">
        <v>88.74</v>
      </c>
      <c r="I30" s="2433">
        <v>0.92</v>
      </c>
      <c r="J30" s="2424">
        <v>916940.20754143642</v>
      </c>
      <c r="K30" s="2420"/>
      <c r="L30" s="3603">
        <v>23713378.506537743</v>
      </c>
      <c r="M30" s="3604">
        <v>2.6014606976107029</v>
      </c>
      <c r="N30" s="3605"/>
      <c r="O30" s="2933"/>
    </row>
    <row r="31" spans="1:15">
      <c r="A31" s="388">
        <v>1995.1</v>
      </c>
      <c r="B31" s="568">
        <v>199071.42240227049</v>
      </c>
      <c r="C31" s="3600">
        <v>1023800</v>
      </c>
      <c r="D31" s="3601">
        <v>209</v>
      </c>
      <c r="E31" s="461">
        <v>0.78400000000000003</v>
      </c>
      <c r="F31" s="2029">
        <v>57099.392322250518</v>
      </c>
      <c r="G31" s="3602"/>
      <c r="H31" s="3601">
        <v>89.73</v>
      </c>
      <c r="I31" s="2433">
        <v>0.91</v>
      </c>
      <c r="J31" s="2424">
        <v>889573.6609566632</v>
      </c>
      <c r="K31" s="2420"/>
      <c r="L31" s="3603">
        <v>25224973.916088175</v>
      </c>
      <c r="M31" s="3604">
        <v>2.6102522125822145</v>
      </c>
      <c r="N31" s="3605"/>
      <c r="O31" s="2933"/>
    </row>
    <row r="32" spans="1:15">
      <c r="A32" s="388">
        <v>1995.11</v>
      </c>
      <c r="B32" s="568">
        <v>208697.30507386755</v>
      </c>
      <c r="C32" s="3600">
        <v>1063022</v>
      </c>
      <c r="D32" s="3601">
        <v>209</v>
      </c>
      <c r="E32" s="461">
        <v>0.77600000000000002</v>
      </c>
      <c r="F32" s="2029">
        <v>56535.189537138722</v>
      </c>
      <c r="G32" s="3602"/>
      <c r="H32" s="3601">
        <v>89.28</v>
      </c>
      <c r="I32" s="2433">
        <v>0.97</v>
      </c>
      <c r="J32" s="2424">
        <v>917338.25906459626</v>
      </c>
      <c r="K32" s="2420"/>
      <c r="L32" s="3603">
        <v>25342659.12448192</v>
      </c>
      <c r="M32" s="3604">
        <v>2.571506623136711</v>
      </c>
      <c r="N32" s="3605"/>
      <c r="O32" s="2933"/>
    </row>
    <row r="33" spans="1:15">
      <c r="A33" s="388">
        <v>1995.12</v>
      </c>
      <c r="B33" s="568">
        <v>183588.32259128193</v>
      </c>
      <c r="C33" s="3600">
        <v>975261</v>
      </c>
      <c r="D33" s="3601">
        <v>209</v>
      </c>
      <c r="E33" s="461">
        <v>0.77700000000000002</v>
      </c>
      <c r="F33" s="2029">
        <v>56416.137573307788</v>
      </c>
      <c r="G33" s="3602"/>
      <c r="H33" s="3601">
        <v>87.02</v>
      </c>
      <c r="I33" s="2433">
        <v>1.01</v>
      </c>
      <c r="J33" s="2424">
        <v>1013738.5492949422</v>
      </c>
      <c r="K33" s="2420"/>
      <c r="L33" s="3603">
        <v>29523055.899303474</v>
      </c>
      <c r="M33" s="3604">
        <v>2.5264104913002989</v>
      </c>
      <c r="N33" s="3605"/>
      <c r="O33" s="2933"/>
    </row>
    <row r="34" spans="1:15">
      <c r="A34" s="388">
        <v>1996.01</v>
      </c>
      <c r="B34" s="568">
        <v>216092.23489233415</v>
      </c>
      <c r="C34" s="3600">
        <v>1048122</v>
      </c>
      <c r="D34" s="3601">
        <v>209</v>
      </c>
      <c r="E34" s="461">
        <v>0.74199999999999999</v>
      </c>
      <c r="F34" s="2029">
        <v>56032.065585644523</v>
      </c>
      <c r="G34" s="3602"/>
      <c r="H34" s="3601">
        <v>86.45</v>
      </c>
      <c r="I34" s="2433">
        <v>1.07</v>
      </c>
      <c r="J34" s="2424">
        <v>771551.56158298708</v>
      </c>
      <c r="K34" s="2420"/>
      <c r="L34" s="3603">
        <v>22972671.71088025</v>
      </c>
      <c r="M34" s="3604">
        <v>2.4928552345298396</v>
      </c>
      <c r="N34" s="3605"/>
      <c r="O34" s="2933"/>
    </row>
    <row r="35" spans="1:15">
      <c r="A35" s="388">
        <v>1996.02</v>
      </c>
      <c r="B35" s="568">
        <v>211942.72881864914</v>
      </c>
      <c r="C35" s="3600">
        <v>1018604</v>
      </c>
      <c r="D35" s="3601">
        <v>209</v>
      </c>
      <c r="E35" s="461">
        <v>0.73399999999999999</v>
      </c>
      <c r="F35" s="2029">
        <v>51076.398186873528</v>
      </c>
      <c r="G35" s="3602"/>
      <c r="H35" s="3601">
        <v>85.66</v>
      </c>
      <c r="I35" s="2433">
        <v>1.06</v>
      </c>
      <c r="J35" s="2424">
        <v>745061.90544040571</v>
      </c>
      <c r="K35" s="2420"/>
      <c r="L35" s="3603">
        <v>20786420.460873701</v>
      </c>
      <c r="M35" s="3604">
        <v>2.4692311958633906</v>
      </c>
      <c r="N35" s="3605"/>
      <c r="O35" s="2933"/>
    </row>
    <row r="36" spans="1:15">
      <c r="A36" s="388">
        <v>1996.03</v>
      </c>
      <c r="B36" s="568">
        <v>217962.21714527972</v>
      </c>
      <c r="C36" s="3600">
        <v>1080415</v>
      </c>
      <c r="D36" s="3601">
        <v>209</v>
      </c>
      <c r="E36" s="461">
        <v>0.72499999999999998</v>
      </c>
      <c r="F36" s="2029">
        <v>51296.903128577767</v>
      </c>
      <c r="G36" s="3602"/>
      <c r="H36" s="3601">
        <v>81.47</v>
      </c>
      <c r="I36" s="2433">
        <v>1.03</v>
      </c>
      <c r="J36" s="2424">
        <v>902692.38315350551</v>
      </c>
      <c r="K36" s="2420"/>
      <c r="L36" s="3603">
        <v>22498750.84863155</v>
      </c>
      <c r="M36" s="3604">
        <v>2.5196394467598093</v>
      </c>
      <c r="N36" s="3605"/>
      <c r="O36" s="2933"/>
    </row>
    <row r="37" spans="1:15">
      <c r="A37" s="388">
        <v>1996.04</v>
      </c>
      <c r="B37" s="568">
        <v>210422.67830961366</v>
      </c>
      <c r="C37" s="3600">
        <v>1071631</v>
      </c>
      <c r="D37" s="3601">
        <v>209</v>
      </c>
      <c r="E37" s="461">
        <v>0.7</v>
      </c>
      <c r="F37" s="2029">
        <v>47553.49529194607</v>
      </c>
      <c r="G37" s="3602"/>
      <c r="H37" s="3601">
        <v>85.73</v>
      </c>
      <c r="I37" s="2433">
        <v>1.06</v>
      </c>
      <c r="J37" s="2424">
        <v>816317.93956562877</v>
      </c>
      <c r="K37" s="2420"/>
      <c r="L37" s="3603">
        <v>22914410.147688441</v>
      </c>
      <c r="M37" s="3604">
        <v>2.5796404083764704</v>
      </c>
      <c r="N37" s="3605"/>
      <c r="O37" s="2933"/>
    </row>
    <row r="38" spans="1:15">
      <c r="A38" s="388">
        <v>1996.05</v>
      </c>
      <c r="B38" s="568">
        <v>213747.58181957356</v>
      </c>
      <c r="C38" s="3600">
        <v>1101575</v>
      </c>
      <c r="D38" s="3601">
        <v>209</v>
      </c>
      <c r="E38" s="461">
        <v>0.68200000000000005</v>
      </c>
      <c r="F38" s="2029">
        <v>41992.21572933947</v>
      </c>
      <c r="G38" s="3602"/>
      <c r="H38" s="3601">
        <v>87.35</v>
      </c>
      <c r="I38" s="2433">
        <v>1.1100000000000001</v>
      </c>
      <c r="J38" s="2424">
        <v>853983.12782390951</v>
      </c>
      <c r="K38" s="2420"/>
      <c r="L38" s="3603">
        <v>23163184.153454438</v>
      </c>
      <c r="M38" s="3604">
        <v>2.6047302585217564</v>
      </c>
      <c r="N38" s="3605"/>
      <c r="O38" s="2933"/>
    </row>
    <row r="39" spans="1:15">
      <c r="A39" s="388">
        <v>1996.06</v>
      </c>
      <c r="B39" s="568">
        <v>193425.04741772704</v>
      </c>
      <c r="C39" s="3600">
        <v>1013796</v>
      </c>
      <c r="D39" s="3601">
        <v>209</v>
      </c>
      <c r="E39" s="461">
        <v>0.65800000000000003</v>
      </c>
      <c r="F39" s="2029">
        <v>35042.68674501741</v>
      </c>
      <c r="G39" s="3602"/>
      <c r="H39" s="3601">
        <v>89.5</v>
      </c>
      <c r="I39" s="2433">
        <v>1.1200000000000001</v>
      </c>
      <c r="J39" s="2424">
        <v>866139.55424413038</v>
      </c>
      <c r="K39" s="2420"/>
      <c r="L39" s="3603">
        <v>22384049.075061388</v>
      </c>
      <c r="M39" s="3604">
        <v>2.6135940695997362</v>
      </c>
      <c r="N39" s="3605"/>
      <c r="O39" s="2933"/>
    </row>
    <row r="40" spans="1:15">
      <c r="A40" s="388">
        <v>1996.07</v>
      </c>
      <c r="B40" s="568">
        <v>218625.65240739324</v>
      </c>
      <c r="C40" s="3600">
        <v>1147922</v>
      </c>
      <c r="D40" s="3601">
        <v>209</v>
      </c>
      <c r="E40" s="461">
        <v>0.65</v>
      </c>
      <c r="F40" s="2029">
        <v>41777.922194443796</v>
      </c>
      <c r="G40" s="3602"/>
      <c r="H40" s="3601">
        <v>89.12</v>
      </c>
      <c r="I40" s="2433">
        <v>1.1299999999999999</v>
      </c>
      <c r="J40" s="2424">
        <v>903487.93183116417</v>
      </c>
      <c r="K40" s="2420"/>
      <c r="L40" s="3603">
        <v>23283772.272681631</v>
      </c>
      <c r="M40" s="3604">
        <v>2.5941847302523251</v>
      </c>
      <c r="N40" s="3605"/>
      <c r="O40" s="2933"/>
    </row>
    <row r="41" spans="1:15">
      <c r="A41" s="388">
        <v>1996.08</v>
      </c>
      <c r="B41" s="568">
        <v>213321.48196736755</v>
      </c>
      <c r="C41" s="3600">
        <v>1087215</v>
      </c>
      <c r="D41" s="3601">
        <v>209</v>
      </c>
      <c r="E41" s="461">
        <v>0.70899999999999996</v>
      </c>
      <c r="F41" s="2029">
        <v>42032.589873595178</v>
      </c>
      <c r="G41" s="3602"/>
      <c r="H41" s="3601">
        <v>88.27</v>
      </c>
      <c r="I41" s="2433">
        <v>1.17</v>
      </c>
      <c r="J41" s="2424">
        <v>879654.67850320891</v>
      </c>
      <c r="K41" s="2420"/>
      <c r="L41" s="3603">
        <v>22232302.972019598</v>
      </c>
      <c r="M41" s="3604">
        <v>2.5738437802511833</v>
      </c>
      <c r="N41" s="3605"/>
      <c r="O41" s="2933"/>
    </row>
    <row r="42" spans="1:15">
      <c r="A42" s="388">
        <v>1996.09</v>
      </c>
      <c r="B42" s="568">
        <v>202518.85721688031</v>
      </c>
      <c r="C42" s="3600">
        <v>1066607</v>
      </c>
      <c r="D42" s="3601">
        <v>209</v>
      </c>
      <c r="E42" s="461">
        <v>0.72199999999999998</v>
      </c>
      <c r="F42" s="2029">
        <v>41676.469216570484</v>
      </c>
      <c r="G42" s="3602"/>
      <c r="H42" s="3601">
        <v>88.74</v>
      </c>
      <c r="I42" s="2433">
        <v>1.17</v>
      </c>
      <c r="J42" s="2424">
        <v>886892.3437304449</v>
      </c>
      <c r="K42" s="2420"/>
      <c r="L42" s="3603">
        <v>22936297.992451176</v>
      </c>
      <c r="M42" s="3604">
        <v>2.6061353752893406</v>
      </c>
      <c r="N42" s="3605"/>
      <c r="O42" s="2933"/>
    </row>
    <row r="43" spans="1:15">
      <c r="A43" s="388">
        <v>1996.1</v>
      </c>
      <c r="B43" s="568">
        <v>223127.29799624332</v>
      </c>
      <c r="C43" s="3600">
        <v>1157875</v>
      </c>
      <c r="D43" s="3601">
        <v>209</v>
      </c>
      <c r="E43" s="461">
        <v>0.71699999999999997</v>
      </c>
      <c r="F43" s="2029">
        <v>45529.611906820253</v>
      </c>
      <c r="G43" s="3602"/>
      <c r="H43" s="3601">
        <v>89.73</v>
      </c>
      <c r="I43" s="2433">
        <v>1.1200000000000001</v>
      </c>
      <c r="J43" s="2424">
        <v>860422.59091476735</v>
      </c>
      <c r="K43" s="2420"/>
      <c r="L43" s="3603">
        <v>24398358.860239856</v>
      </c>
      <c r="M43" s="3604">
        <v>2.6149426881158173</v>
      </c>
      <c r="N43" s="3605"/>
      <c r="O43" s="2933"/>
    </row>
    <row r="44" spans="1:15">
      <c r="A44" s="388">
        <v>1996.11</v>
      </c>
      <c r="B44" s="568">
        <v>207781.08000306186</v>
      </c>
      <c r="C44" s="3600">
        <v>1062404</v>
      </c>
      <c r="D44" s="3601">
        <v>209</v>
      </c>
      <c r="E44" s="461">
        <v>0.747</v>
      </c>
      <c r="F44" s="2029">
        <v>48224.327227271664</v>
      </c>
      <c r="G44" s="3602"/>
      <c r="H44" s="3601">
        <v>89.28</v>
      </c>
      <c r="I44" s="2433">
        <v>1.08</v>
      </c>
      <c r="J44" s="2424">
        <v>887277.3512210066</v>
      </c>
      <c r="K44" s="2420"/>
      <c r="L44" s="3603">
        <v>24512187.55859587</v>
      </c>
      <c r="M44" s="3604">
        <v>2.57612747503837</v>
      </c>
      <c r="N44" s="3605"/>
      <c r="O44" s="2933"/>
    </row>
    <row r="45" spans="1:15">
      <c r="A45" s="388">
        <v>1996.12</v>
      </c>
      <c r="B45" s="568">
        <v>199706.1566380696</v>
      </c>
      <c r="C45" s="3600">
        <v>1060549</v>
      </c>
      <c r="D45" s="3601">
        <v>209</v>
      </c>
      <c r="E45" s="461">
        <v>0.71099999999999997</v>
      </c>
      <c r="F45" s="2029">
        <v>53812.52288604874</v>
      </c>
      <c r="G45" s="3602"/>
      <c r="H45" s="3601">
        <v>87.02</v>
      </c>
      <c r="I45" s="2433">
        <v>1.07</v>
      </c>
      <c r="J45" s="2424">
        <v>980518.63198884018</v>
      </c>
      <c r="K45" s="2420"/>
      <c r="L45" s="3603">
        <v>28555593.947422087</v>
      </c>
      <c r="M45" s="3604">
        <v>2.530950308004662</v>
      </c>
      <c r="N45" s="3605"/>
      <c r="O45" s="2933"/>
    </row>
    <row r="46" spans="1:15">
      <c r="A46" s="388">
        <v>1997.01</v>
      </c>
      <c r="B46" s="568">
        <v>215424.38408771073</v>
      </c>
      <c r="C46" s="3600">
        <v>1046797</v>
      </c>
      <c r="D46" s="3601">
        <v>212</v>
      </c>
      <c r="E46" s="461">
        <v>0.752</v>
      </c>
      <c r="F46" s="2029">
        <v>44705.565270216597</v>
      </c>
      <c r="G46" s="3602"/>
      <c r="H46" s="3601">
        <v>86.45</v>
      </c>
      <c r="I46" s="2433">
        <v>1.07</v>
      </c>
      <c r="J46" s="2424">
        <v>787498.25215462688</v>
      </c>
      <c r="K46" s="2420"/>
      <c r="L46" s="3603">
        <v>24173621.214049187</v>
      </c>
      <c r="M46" s="3604">
        <v>2.4731192844402936</v>
      </c>
      <c r="N46" s="3605"/>
      <c r="O46" s="2933"/>
    </row>
    <row r="47" spans="1:15">
      <c r="A47" s="388">
        <v>1997.02</v>
      </c>
      <c r="B47" s="568">
        <v>205822.78689991817</v>
      </c>
      <c r="C47" s="3600">
        <v>996988</v>
      </c>
      <c r="D47" s="3601">
        <v>212</v>
      </c>
      <c r="E47" s="461">
        <v>0.77200000000000002</v>
      </c>
      <c r="F47" s="2029">
        <v>39658.797238253232</v>
      </c>
      <c r="G47" s="3602"/>
      <c r="H47" s="3601">
        <v>85.66</v>
      </c>
      <c r="I47" s="2433">
        <v>1.0900000000000001</v>
      </c>
      <c r="J47" s="2424">
        <v>760461.09877286141</v>
      </c>
      <c r="K47" s="2420"/>
      <c r="L47" s="3603">
        <v>21873078.627556324</v>
      </c>
      <c r="M47" s="3604">
        <v>2.4496822774319913</v>
      </c>
      <c r="N47" s="3605"/>
      <c r="O47" s="2933"/>
    </row>
    <row r="48" spans="1:15">
      <c r="A48" s="388">
        <v>1997.03</v>
      </c>
      <c r="B48" s="568">
        <v>213971.67060195137</v>
      </c>
      <c r="C48" s="3600">
        <v>1076010</v>
      </c>
      <c r="D48" s="3601">
        <v>212</v>
      </c>
      <c r="E48" s="461">
        <v>0.73799999999999999</v>
      </c>
      <c r="F48" s="2029">
        <v>37705.309796957874</v>
      </c>
      <c r="G48" s="3602"/>
      <c r="H48" s="3601">
        <v>81.47</v>
      </c>
      <c r="I48" s="2433">
        <v>1.18</v>
      </c>
      <c r="J48" s="2424">
        <v>921349.53691001015</v>
      </c>
      <c r="K48" s="2420"/>
      <c r="L48" s="3603">
        <v>23674925.043502782</v>
      </c>
      <c r="M48" s="3604">
        <v>2.4996914458987476</v>
      </c>
      <c r="N48" s="3605"/>
      <c r="O48" s="2933"/>
    </row>
    <row r="49" spans="1:15">
      <c r="A49" s="388">
        <v>1997.04</v>
      </c>
      <c r="B49" s="568">
        <v>246602.5297501634</v>
      </c>
      <c r="C49" s="3600">
        <v>1218636</v>
      </c>
      <c r="D49" s="3601">
        <v>212</v>
      </c>
      <c r="E49" s="461">
        <v>0.73</v>
      </c>
      <c r="F49" s="2029">
        <v>40624.670996985908</v>
      </c>
      <c r="G49" s="3602"/>
      <c r="H49" s="3601">
        <v>85.73</v>
      </c>
      <c r="I49" s="2433">
        <v>1.24</v>
      </c>
      <c r="J49" s="2424">
        <v>833189.87689101452</v>
      </c>
      <c r="K49" s="2420"/>
      <c r="L49" s="3603">
        <v>24112313.892999969</v>
      </c>
      <c r="M49" s="3604">
        <v>2.5592173795364919</v>
      </c>
      <c r="N49" s="3605"/>
      <c r="O49" s="2933"/>
    </row>
    <row r="50" spans="1:15">
      <c r="A50" s="388">
        <v>1997.05</v>
      </c>
      <c r="B50" s="568">
        <v>242804.05930601599</v>
      </c>
      <c r="C50" s="3600">
        <v>1143246</v>
      </c>
      <c r="D50" s="3601">
        <v>212</v>
      </c>
      <c r="E50" s="461">
        <v>0.752</v>
      </c>
      <c r="F50" s="2029">
        <v>37195.97443865511</v>
      </c>
      <c r="G50" s="3602"/>
      <c r="H50" s="3601">
        <v>87.35</v>
      </c>
      <c r="I50" s="2433">
        <v>1.3</v>
      </c>
      <c r="J50" s="2424">
        <v>871633.54209417372</v>
      </c>
      <c r="K50" s="2420"/>
      <c r="L50" s="3603">
        <v>24374093.134830195</v>
      </c>
      <c r="M50" s="3604">
        <v>2.5841085931852166</v>
      </c>
      <c r="N50" s="3605"/>
      <c r="O50" s="2933"/>
    </row>
    <row r="51" spans="1:15">
      <c r="A51" s="388">
        <v>1997.06</v>
      </c>
      <c r="B51" s="568">
        <v>222987.10452155379</v>
      </c>
      <c r="C51" s="3600">
        <v>1039182</v>
      </c>
      <c r="D51" s="3601">
        <v>212</v>
      </c>
      <c r="E51" s="461">
        <v>0.81499999999999995</v>
      </c>
      <c r="F51" s="2029">
        <v>38144.249211430171</v>
      </c>
      <c r="G51" s="3602"/>
      <c r="H51" s="3601">
        <v>89.5</v>
      </c>
      <c r="I51" s="2433">
        <v>1.34</v>
      </c>
      <c r="J51" s="2424">
        <v>884041.22167780274</v>
      </c>
      <c r="K51" s="2420"/>
      <c r="L51" s="3603">
        <v>23554226.969645247</v>
      </c>
      <c r="M51" s="3604">
        <v>2.5929022294168536</v>
      </c>
      <c r="N51" s="3605"/>
      <c r="O51" s="2933"/>
    </row>
    <row r="52" spans="1:15">
      <c r="A52" s="388">
        <v>1997.07</v>
      </c>
      <c r="B52" s="568">
        <v>224982.92973603171</v>
      </c>
      <c r="C52" s="3600">
        <v>1090037</v>
      </c>
      <c r="D52" s="3601">
        <v>212</v>
      </c>
      <c r="E52" s="461">
        <v>0.84399999999999997</v>
      </c>
      <c r="F52" s="2029">
        <v>37693.922217808824</v>
      </c>
      <c r="G52" s="3602"/>
      <c r="H52" s="3601">
        <v>89.12</v>
      </c>
      <c r="I52" s="2433">
        <v>1.34</v>
      </c>
      <c r="J52" s="2424">
        <v>922161.52825881226</v>
      </c>
      <c r="K52" s="2420"/>
      <c r="L52" s="3603">
        <v>24500985.276667234</v>
      </c>
      <c r="M52" s="3604">
        <v>2.5736465539273854</v>
      </c>
      <c r="N52" s="3605"/>
      <c r="O52" s="2933"/>
    </row>
    <row r="53" spans="1:15">
      <c r="A53" s="388">
        <v>1997.08</v>
      </c>
      <c r="B53" s="568">
        <v>200766.99072607476</v>
      </c>
      <c r="C53" s="3600">
        <v>1004227</v>
      </c>
      <c r="D53" s="3601">
        <v>212</v>
      </c>
      <c r="E53" s="461">
        <v>0.95299999999999996</v>
      </c>
      <c r="F53" s="2029">
        <v>33288.999556064395</v>
      </c>
      <c r="G53" s="3602"/>
      <c r="H53" s="3601">
        <v>88.27</v>
      </c>
      <c r="I53" s="2433">
        <v>1.31</v>
      </c>
      <c r="J53" s="2424">
        <v>897835.68113018281</v>
      </c>
      <c r="K53" s="2420"/>
      <c r="L53" s="3603">
        <v>23394547.988384094</v>
      </c>
      <c r="M53" s="3604">
        <v>2.5534666433514119</v>
      </c>
      <c r="N53" s="3605"/>
      <c r="O53" s="2933"/>
    </row>
    <row r="54" spans="1:15">
      <c r="A54" s="388">
        <v>1997.09</v>
      </c>
      <c r="B54" s="568">
        <v>210501.05418916451</v>
      </c>
      <c r="C54" s="3600">
        <v>1064479</v>
      </c>
      <c r="D54" s="3601">
        <v>212</v>
      </c>
      <c r="E54" s="461">
        <v>0.93</v>
      </c>
      <c r="F54" s="2029">
        <v>35844.993457791068</v>
      </c>
      <c r="G54" s="3602"/>
      <c r="H54" s="3601">
        <v>88.74</v>
      </c>
      <c r="I54" s="2433">
        <v>1.23</v>
      </c>
      <c r="J54" s="2424">
        <v>905222.93688848196</v>
      </c>
      <c r="K54" s="2420"/>
      <c r="L54" s="3603">
        <v>24135345.975430142</v>
      </c>
      <c r="M54" s="3604">
        <v>2.5855025856347851</v>
      </c>
      <c r="N54" s="3605"/>
      <c r="O54" s="2933"/>
    </row>
    <row r="55" spans="1:15">
      <c r="A55" s="388">
        <v>1997.1</v>
      </c>
      <c r="B55" s="568">
        <v>202014.38148512345</v>
      </c>
      <c r="C55" s="3600">
        <v>1070150</v>
      </c>
      <c r="D55" s="3601">
        <v>212</v>
      </c>
      <c r="E55" s="461">
        <v>0.93400000000000005</v>
      </c>
      <c r="F55" s="2029">
        <v>35916.424636089629</v>
      </c>
      <c r="G55" s="3602"/>
      <c r="H55" s="3601">
        <v>89.73</v>
      </c>
      <c r="I55" s="2433">
        <v>1.1200000000000001</v>
      </c>
      <c r="J55" s="2424">
        <v>878206.09820236242</v>
      </c>
      <c r="K55" s="2420"/>
      <c r="L55" s="3603">
        <v>25673839.453882124</v>
      </c>
      <c r="M55" s="3604">
        <v>2.5942401709119207</v>
      </c>
      <c r="N55" s="3605"/>
      <c r="O55" s="2933"/>
    </row>
    <row r="56" spans="1:15">
      <c r="A56" s="388">
        <v>1997.11</v>
      </c>
      <c r="B56" s="568">
        <v>181041.65844869311</v>
      </c>
      <c r="C56" s="3600">
        <v>955432</v>
      </c>
      <c r="D56" s="3601">
        <v>212</v>
      </c>
      <c r="E56" s="461">
        <v>0.94199999999999995</v>
      </c>
      <c r="F56" s="2029">
        <v>35571.691558213977</v>
      </c>
      <c r="G56" s="3602"/>
      <c r="H56" s="3601">
        <v>89.28</v>
      </c>
      <c r="I56" s="2433">
        <v>1.04</v>
      </c>
      <c r="J56" s="2424">
        <v>905615.90184504527</v>
      </c>
      <c r="K56" s="2420"/>
      <c r="L56" s="3603">
        <v>25793618.810501028</v>
      </c>
      <c r="M56" s="3604">
        <v>2.5557322581130459</v>
      </c>
      <c r="N56" s="3605"/>
      <c r="O56" s="2933"/>
    </row>
    <row r="57" spans="1:15">
      <c r="A57" s="388">
        <v>1997.12</v>
      </c>
      <c r="B57" s="568">
        <v>187496.07771254954</v>
      </c>
      <c r="C57" s="3600">
        <v>1089533</v>
      </c>
      <c r="D57" s="3601">
        <v>212</v>
      </c>
      <c r="E57" s="461">
        <v>0.96899999999999997</v>
      </c>
      <c r="F57" s="2029">
        <v>42360.759199981308</v>
      </c>
      <c r="G57" s="3602"/>
      <c r="H57" s="3601">
        <v>87.02</v>
      </c>
      <c r="I57" s="2433">
        <v>1.03</v>
      </c>
      <c r="J57" s="2424">
        <v>1000784.3251746246</v>
      </c>
      <c r="K57" s="2420"/>
      <c r="L57" s="3603">
        <v>30048403.612551644</v>
      </c>
      <c r="M57" s="3604">
        <v>2.5109127589861675</v>
      </c>
      <c r="N57" s="3605"/>
      <c r="O57" s="2933"/>
    </row>
    <row r="58" spans="1:15">
      <c r="A58" s="388">
        <v>1998.01</v>
      </c>
      <c r="B58" s="568">
        <v>187474</v>
      </c>
      <c r="C58" s="3600">
        <v>981503</v>
      </c>
      <c r="D58" s="3606">
        <v>218.94203852450562</v>
      </c>
      <c r="E58" s="461">
        <v>0.96699999999999997</v>
      </c>
      <c r="F58" s="2029">
        <v>35093.413233954067</v>
      </c>
      <c r="G58" s="3602"/>
      <c r="H58" s="3601">
        <v>86.45</v>
      </c>
      <c r="I58" s="2433">
        <v>1.04</v>
      </c>
      <c r="J58" s="2424">
        <v>844951.0485599275</v>
      </c>
      <c r="K58" s="2420"/>
      <c r="L58" s="3603">
        <v>27300051.885068968</v>
      </c>
      <c r="M58" s="3604">
        <v>2.4922199009910457</v>
      </c>
      <c r="N58" s="3605"/>
      <c r="O58" s="2933"/>
    </row>
    <row r="59" spans="1:15">
      <c r="A59" s="388">
        <v>1998.02</v>
      </c>
      <c r="B59" s="568">
        <v>167361</v>
      </c>
      <c r="C59" s="3600">
        <v>889530</v>
      </c>
      <c r="D59" s="3600">
        <v>215.4932489888204</v>
      </c>
      <c r="E59" s="461">
        <v>1.022</v>
      </c>
      <c r="F59" s="2029">
        <v>31389.344307109979</v>
      </c>
      <c r="G59" s="3602"/>
      <c r="H59" s="3601">
        <v>85.66</v>
      </c>
      <c r="I59" s="2433">
        <v>1.04</v>
      </c>
      <c r="J59" s="2424">
        <v>815941.37007811083</v>
      </c>
      <c r="K59" s="2420"/>
      <c r="L59" s="3603">
        <v>24701974.773702424</v>
      </c>
      <c r="M59" s="3604">
        <v>2.4686018831892977</v>
      </c>
      <c r="N59" s="3605"/>
      <c r="O59" s="2933"/>
    </row>
    <row r="60" spans="1:15">
      <c r="A60" s="388">
        <v>1998.03</v>
      </c>
      <c r="B60" s="568">
        <v>193905</v>
      </c>
      <c r="C60" s="3600">
        <v>992968</v>
      </c>
      <c r="D60" s="3600">
        <v>212.82380493618959</v>
      </c>
      <c r="E60" s="461">
        <v>1.0209999999999999</v>
      </c>
      <c r="F60" s="2029">
        <v>37035.513096100374</v>
      </c>
      <c r="G60" s="3602"/>
      <c r="H60" s="3601">
        <v>81.47</v>
      </c>
      <c r="I60" s="2433">
        <v>1.05</v>
      </c>
      <c r="J60" s="2424">
        <v>988567.60021031473</v>
      </c>
      <c r="K60" s="2420"/>
      <c r="L60" s="3603">
        <v>26736858.178579945</v>
      </c>
      <c r="M60" s="3604">
        <v>2.5189972869488342</v>
      </c>
      <c r="N60" s="3605"/>
      <c r="O60" s="2933"/>
    </row>
    <row r="61" spans="1:15">
      <c r="A61" s="388">
        <v>1998.04</v>
      </c>
      <c r="B61" s="568">
        <v>186803</v>
      </c>
      <c r="C61" s="3600">
        <v>936164</v>
      </c>
      <c r="D61" s="3600">
        <v>213.56698968286844</v>
      </c>
      <c r="E61" s="461">
        <v>1.044</v>
      </c>
      <c r="F61" s="2029">
        <v>39323.381270590435</v>
      </c>
      <c r="G61" s="3602"/>
      <c r="H61" s="3601">
        <v>85.73</v>
      </c>
      <c r="I61" s="2433">
        <v>1.06</v>
      </c>
      <c r="J61" s="2424">
        <v>893976.15575957741</v>
      </c>
      <c r="K61" s="2420"/>
      <c r="L61" s="3603">
        <v>27230815.5455583</v>
      </c>
      <c r="M61" s="3604">
        <v>2.5789829566132205</v>
      </c>
      <c r="N61" s="3605"/>
      <c r="O61" s="2933"/>
    </row>
    <row r="62" spans="1:15">
      <c r="A62" s="388">
        <v>1998.05</v>
      </c>
      <c r="B62" s="568">
        <v>182810</v>
      </c>
      <c r="C62" s="3600">
        <v>912879</v>
      </c>
      <c r="D62" s="3600">
        <v>211.80683713796799</v>
      </c>
      <c r="E62" s="461">
        <v>1.0469999999999999</v>
      </c>
      <c r="F62" s="2029">
        <v>38193.940465898733</v>
      </c>
      <c r="G62" s="3602"/>
      <c r="H62" s="3601">
        <v>87.35</v>
      </c>
      <c r="I62" s="2433">
        <v>1.056</v>
      </c>
      <c r="J62" s="2424">
        <v>935224.52060993912</v>
      </c>
      <c r="K62" s="2420"/>
      <c r="L62" s="3603">
        <v>27526451.305758171</v>
      </c>
      <c r="M62" s="3604">
        <v>2.6040664123144728</v>
      </c>
      <c r="N62" s="3605"/>
      <c r="O62" s="2933"/>
    </row>
    <row r="63" spans="1:15">
      <c r="A63" s="388">
        <v>1998.06</v>
      </c>
      <c r="B63" s="568">
        <v>170352</v>
      </c>
      <c r="C63" s="3600">
        <v>909223</v>
      </c>
      <c r="D63" s="3600">
        <v>214.79276625603188</v>
      </c>
      <c r="E63" s="461">
        <v>1.1319999999999999</v>
      </c>
      <c r="F63" s="2029">
        <v>42351.442089768454</v>
      </c>
      <c r="G63" s="3602"/>
      <c r="H63" s="3601">
        <v>89.5</v>
      </c>
      <c r="I63" s="2433">
        <v>1.05</v>
      </c>
      <c r="J63" s="2424">
        <v>948537.41602995887</v>
      </c>
      <c r="K63" s="2420"/>
      <c r="L63" s="3603">
        <v>26600549.942028958</v>
      </c>
      <c r="M63" s="3604">
        <v>2.6129279643457255</v>
      </c>
      <c r="N63" s="3605"/>
      <c r="O63" s="2933"/>
    </row>
    <row r="64" spans="1:15">
      <c r="A64" s="388">
        <v>1998.07</v>
      </c>
      <c r="B64" s="568">
        <v>162730</v>
      </c>
      <c r="C64" s="3600">
        <v>895015</v>
      </c>
      <c r="D64" s="3600">
        <v>218.32939744595376</v>
      </c>
      <c r="E64" s="461">
        <v>1.194</v>
      </c>
      <c r="F64" s="2029">
        <v>38940.344517395264</v>
      </c>
      <c r="G64" s="3602"/>
      <c r="H64" s="3601">
        <v>89.12</v>
      </c>
      <c r="I64" s="2433">
        <v>1.08</v>
      </c>
      <c r="J64" s="2424">
        <v>989438.83127618022</v>
      </c>
      <c r="K64" s="2420"/>
      <c r="L64" s="3603">
        <v>27669754.703510817</v>
      </c>
      <c r="M64" s="3604">
        <v>2.5935235716972169</v>
      </c>
      <c r="N64" s="3605"/>
      <c r="O64" s="2933"/>
    </row>
    <row r="65" spans="1:15">
      <c r="A65" s="388">
        <v>1998.08</v>
      </c>
      <c r="B65" s="568">
        <v>162278</v>
      </c>
      <c r="C65" s="3600">
        <v>871195</v>
      </c>
      <c r="D65" s="3600">
        <v>223.02892686659251</v>
      </c>
      <c r="E65" s="461">
        <v>1.17</v>
      </c>
      <c r="F65" s="2029">
        <v>38394.775952709177</v>
      </c>
      <c r="G65" s="3602"/>
      <c r="H65" s="3601">
        <v>88.27</v>
      </c>
      <c r="I65" s="2433">
        <v>1.054</v>
      </c>
      <c r="J65" s="2424">
        <v>963338.26536100893</v>
      </c>
      <c r="K65" s="2420"/>
      <c r="L65" s="3603">
        <v>26420219.306631606</v>
      </c>
      <c r="M65" s="3604">
        <v>2.5731878058269331</v>
      </c>
      <c r="N65" s="3605"/>
      <c r="O65" s="2933"/>
    </row>
    <row r="66" spans="1:15">
      <c r="A66" s="388">
        <v>1998.09</v>
      </c>
      <c r="B66" s="568">
        <v>184044</v>
      </c>
      <c r="C66" s="3600">
        <v>908890</v>
      </c>
      <c r="D66" s="3600">
        <v>225.60768713045942</v>
      </c>
      <c r="E66" s="461">
        <v>0.96499999999999997</v>
      </c>
      <c r="F66" s="2029">
        <v>37081.06341269656</v>
      </c>
      <c r="G66" s="3602"/>
      <c r="H66" s="3601">
        <v>88.74</v>
      </c>
      <c r="I66" s="2433">
        <v>1.0325</v>
      </c>
      <c r="J66" s="2424">
        <v>971264.4664438396</v>
      </c>
      <c r="K66" s="2420"/>
      <c r="L66" s="3603">
        <v>27256826.420792807</v>
      </c>
      <c r="M66" s="3604">
        <v>2.6054711709714868</v>
      </c>
      <c r="N66" s="3605"/>
      <c r="O66" s="2933"/>
    </row>
    <row r="67" spans="1:15">
      <c r="A67" s="388">
        <v>1998.1</v>
      </c>
      <c r="B67" s="568">
        <v>188619</v>
      </c>
      <c r="C67" s="3600">
        <v>953602</v>
      </c>
      <c r="D67" s="3600">
        <v>225.20267998834808</v>
      </c>
      <c r="E67" s="461">
        <v>0.89200000000000002</v>
      </c>
      <c r="F67" s="2029">
        <v>39306.817519100914</v>
      </c>
      <c r="G67" s="3602"/>
      <c r="H67" s="3601">
        <v>89.73</v>
      </c>
      <c r="I67" s="2433">
        <v>0.97235000000000005</v>
      </c>
      <c r="J67" s="2424">
        <v>942276.58473851136</v>
      </c>
      <c r="K67" s="2420"/>
      <c r="L67" s="3603">
        <v>28994296.84008478</v>
      </c>
      <c r="M67" s="3604">
        <v>2.6142762391504819</v>
      </c>
      <c r="N67" s="3605"/>
      <c r="O67" s="2933"/>
    </row>
    <row r="68" spans="1:15">
      <c r="A68" s="388">
        <v>1998.11</v>
      </c>
      <c r="B68" s="568">
        <v>192104</v>
      </c>
      <c r="C68" s="3600">
        <v>965913</v>
      </c>
      <c r="D68" s="3600">
        <v>226.32357687067031</v>
      </c>
      <c r="E68" s="461">
        <v>0.83299999999999996</v>
      </c>
      <c r="F68" s="2029">
        <v>39277.830953994249</v>
      </c>
      <c r="G68" s="3602"/>
      <c r="H68" s="3601">
        <v>89.28</v>
      </c>
      <c r="I68" s="2433">
        <v>0.91800000000000004</v>
      </c>
      <c r="J68" s="2424">
        <v>971686.1005886608</v>
      </c>
      <c r="K68" s="2420"/>
      <c r="L68" s="3603">
        <v>29129567.53955929</v>
      </c>
      <c r="M68" s="3604">
        <v>2.5754709185875866</v>
      </c>
      <c r="N68" s="3605"/>
      <c r="O68" s="2933"/>
    </row>
    <row r="69" spans="1:15">
      <c r="A69" s="388">
        <v>1998.12</v>
      </c>
      <c r="B69" s="568">
        <v>194014</v>
      </c>
      <c r="C69" s="3600">
        <v>1050844</v>
      </c>
      <c r="D69" s="3600">
        <v>223.11545652103209</v>
      </c>
      <c r="E69" s="461">
        <v>0.79800000000000004</v>
      </c>
      <c r="F69" s="2029">
        <v>48941.744713661537</v>
      </c>
      <c r="G69" s="3602"/>
      <c r="H69" s="3601">
        <v>87.02</v>
      </c>
      <c r="I69" s="2433">
        <v>0.86750000000000005</v>
      </c>
      <c r="J69" s="2424">
        <v>1073797.6403439695</v>
      </c>
      <c r="K69" s="2420"/>
      <c r="L69" s="3603">
        <v>33934633.558723912</v>
      </c>
      <c r="M69" s="3604">
        <v>2.5303052654873821</v>
      </c>
      <c r="N69" s="3605"/>
      <c r="O69" s="2933"/>
    </row>
    <row r="70" spans="1:15">
      <c r="A70" s="388">
        <v>1999.01</v>
      </c>
      <c r="B70" s="214">
        <v>186743</v>
      </c>
      <c r="C70" s="3598">
        <v>948672</v>
      </c>
      <c r="D70" s="3600">
        <v>231.11636369419895</v>
      </c>
      <c r="E70" s="461">
        <v>0.76300000000000001</v>
      </c>
      <c r="F70" s="456">
        <v>44307</v>
      </c>
      <c r="G70" s="3597">
        <v>163488</v>
      </c>
      <c r="H70" s="3601">
        <v>86.45</v>
      </c>
      <c r="I70" s="2433">
        <v>0.85</v>
      </c>
      <c r="J70" s="2424">
        <v>944312.29655375087</v>
      </c>
      <c r="K70" s="2420"/>
      <c r="L70" s="3603">
        <v>28118802.953891523</v>
      </c>
      <c r="M70" s="3604">
        <v>2.5581649707289968</v>
      </c>
      <c r="N70" s="3605"/>
      <c r="O70" s="2933"/>
    </row>
    <row r="71" spans="1:15">
      <c r="A71" s="388">
        <v>1999.02</v>
      </c>
      <c r="B71" s="214">
        <v>171279</v>
      </c>
      <c r="C71" s="3598">
        <v>927260</v>
      </c>
      <c r="D71" s="3600">
        <v>223.99124305348286</v>
      </c>
      <c r="E71" s="461">
        <v>0.76300000000000001</v>
      </c>
      <c r="F71" s="456">
        <v>44728</v>
      </c>
      <c r="G71" s="3598">
        <v>164539</v>
      </c>
      <c r="H71" s="3601">
        <v>85.66</v>
      </c>
      <c r="I71" s="2433">
        <v>0.8175</v>
      </c>
      <c r="J71" s="2424">
        <v>911891.25138653209</v>
      </c>
      <c r="K71" s="2420"/>
      <c r="L71" s="3603">
        <v>25442807.367469694</v>
      </c>
      <c r="M71" s="3604">
        <v>2.5339220113519132</v>
      </c>
      <c r="N71" s="3605"/>
      <c r="O71" s="2933"/>
    </row>
    <row r="72" spans="1:15">
      <c r="A72" s="388">
        <v>1999.03</v>
      </c>
      <c r="B72" s="214">
        <v>193437</v>
      </c>
      <c r="C72" s="3598">
        <v>1074506</v>
      </c>
      <c r="D72" s="3600">
        <v>221.15428687947846</v>
      </c>
      <c r="E72" s="461">
        <v>0.77400000000000002</v>
      </c>
      <c r="F72" s="456">
        <v>49318</v>
      </c>
      <c r="G72" s="3598">
        <v>194890</v>
      </c>
      <c r="H72" s="3601">
        <v>81.47</v>
      </c>
      <c r="I72" s="2433">
        <v>0.81</v>
      </c>
      <c r="J72" s="2424">
        <v>1104817.3056229108</v>
      </c>
      <c r="K72" s="2420"/>
      <c r="L72" s="3603">
        <v>27538718.6037113</v>
      </c>
      <c r="M72" s="3604">
        <v>2.5856508963239513</v>
      </c>
      <c r="N72" s="3605"/>
      <c r="O72" s="2933"/>
    </row>
    <row r="73" spans="1:15">
      <c r="A73" s="388">
        <v>1999.04</v>
      </c>
      <c r="B73" s="214">
        <v>178197</v>
      </c>
      <c r="C73" s="3598">
        <v>963026</v>
      </c>
      <c r="D73" s="3600">
        <v>220.37354438705717</v>
      </c>
      <c r="E73" s="461">
        <v>0.79300000000000004</v>
      </c>
      <c r="F73" s="456">
        <v>46168</v>
      </c>
      <c r="G73" s="3598">
        <v>174853</v>
      </c>
      <c r="H73" s="3601">
        <v>85.73</v>
      </c>
      <c r="I73" s="2433">
        <v>0.78500000000000003</v>
      </c>
      <c r="J73" s="2424">
        <v>999102.46652560541</v>
      </c>
      <c r="K73" s="2420"/>
      <c r="L73" s="3603">
        <v>28047490.159463689</v>
      </c>
      <c r="M73" s="3604">
        <v>2.6472238092198528</v>
      </c>
      <c r="N73" s="3605"/>
      <c r="O73" s="2933"/>
    </row>
    <row r="74" spans="1:15">
      <c r="A74" s="388">
        <v>1999.05</v>
      </c>
      <c r="B74" s="214">
        <v>185773</v>
      </c>
      <c r="C74" s="3598">
        <v>1006152</v>
      </c>
      <c r="D74" s="3600">
        <v>222.63401271285525</v>
      </c>
      <c r="E74" s="461">
        <v>0.753</v>
      </c>
      <c r="F74" s="456">
        <v>47855</v>
      </c>
      <c r="G74" s="3598">
        <v>195503</v>
      </c>
      <c r="H74" s="3601">
        <v>87.35</v>
      </c>
      <c r="I74" s="2433">
        <v>0.78800000000000003</v>
      </c>
      <c r="J74" s="2424">
        <v>1045201.3952236854</v>
      </c>
      <c r="K74" s="2420"/>
      <c r="L74" s="3603">
        <v>28351992.27990583</v>
      </c>
      <c r="M74" s="3604">
        <v>2.6729709825307872</v>
      </c>
      <c r="N74" s="3605"/>
      <c r="O74" s="2933"/>
    </row>
    <row r="75" spans="1:15">
      <c r="A75" s="388">
        <v>1999.06</v>
      </c>
      <c r="B75" s="214">
        <v>178069</v>
      </c>
      <c r="C75" s="3598">
        <v>977610</v>
      </c>
      <c r="D75" s="3600">
        <v>222.17444371917222</v>
      </c>
      <c r="E75" s="461">
        <v>0.75</v>
      </c>
      <c r="F75" s="456">
        <v>41246</v>
      </c>
      <c r="G75" s="3598">
        <v>190309</v>
      </c>
      <c r="H75" s="3601">
        <v>89.5</v>
      </c>
      <c r="I75" s="2433">
        <v>0.78500000000000003</v>
      </c>
      <c r="J75" s="2424">
        <v>1060079.808439794</v>
      </c>
      <c r="K75" s="2420"/>
      <c r="L75" s="3603">
        <v>27398322.370740552</v>
      </c>
      <c r="M75" s="3604">
        <v>2.6820670145396917</v>
      </c>
      <c r="N75" s="3605"/>
      <c r="O75" s="2933"/>
    </row>
    <row r="76" spans="1:15">
      <c r="A76" s="388">
        <v>1999.07</v>
      </c>
      <c r="B76" s="214">
        <v>175495</v>
      </c>
      <c r="C76" s="3598">
        <v>981162</v>
      </c>
      <c r="D76" s="3600">
        <v>222.39949250932975</v>
      </c>
      <c r="E76" s="461">
        <v>0.77</v>
      </c>
      <c r="F76" s="456">
        <v>39820</v>
      </c>
      <c r="G76" s="3598">
        <v>186240</v>
      </c>
      <c r="H76" s="3601">
        <v>89.12</v>
      </c>
      <c r="I76" s="2433">
        <v>0.78500000000000003</v>
      </c>
      <c r="J76" s="2424">
        <v>1105790.9883114391</v>
      </c>
      <c r="K76" s="2420"/>
      <c r="L76" s="3603">
        <v>28499593.464731187</v>
      </c>
      <c r="M76" s="3604">
        <v>2.6621491744117209</v>
      </c>
      <c r="N76" s="3605"/>
      <c r="O76" s="2933"/>
    </row>
    <row r="77" spans="1:15">
      <c r="A77" s="388">
        <v>1999.08</v>
      </c>
      <c r="B77" s="214">
        <v>179057</v>
      </c>
      <c r="C77" s="3598">
        <v>1021676</v>
      </c>
      <c r="D77" s="3600">
        <v>224.75619944552949</v>
      </c>
      <c r="E77" s="461">
        <v>0.749</v>
      </c>
      <c r="F77" s="456">
        <v>46503</v>
      </c>
      <c r="G77" s="3598">
        <v>204648</v>
      </c>
      <c r="H77" s="3601">
        <v>88.27</v>
      </c>
      <c r="I77" s="2433">
        <v>0.73750000000000004</v>
      </c>
      <c r="J77" s="2424">
        <v>1076621.1501501459</v>
      </c>
      <c r="K77" s="2420"/>
      <c r="L77" s="3603">
        <v>27212583.470879283</v>
      </c>
      <c r="M77" s="3604">
        <v>2.6412753165785423</v>
      </c>
      <c r="N77" s="3605"/>
      <c r="O77" s="2933"/>
    </row>
    <row r="78" spans="1:15">
      <c r="A78" s="388">
        <v>1999.09</v>
      </c>
      <c r="B78" s="214">
        <v>186070</v>
      </c>
      <c r="C78" s="3598">
        <v>1025461</v>
      </c>
      <c r="D78" s="3600">
        <v>225.41867158954753</v>
      </c>
      <c r="E78" s="461">
        <v>0.77100000000000002</v>
      </c>
      <c r="F78" s="456">
        <v>44353</v>
      </c>
      <c r="G78" s="3598">
        <v>206946</v>
      </c>
      <c r="H78" s="3601">
        <v>88.74</v>
      </c>
      <c r="I78" s="2433">
        <v>0.69750000000000001</v>
      </c>
      <c r="J78" s="2424">
        <v>1085479.4256209335</v>
      </c>
      <c r="K78" s="2420"/>
      <c r="L78" s="3603">
        <v>28074281.122296154</v>
      </c>
      <c r="M78" s="3604">
        <v>2.6744129116267201</v>
      </c>
      <c r="N78" s="3605"/>
      <c r="O78" s="2933"/>
    </row>
    <row r="79" spans="1:15">
      <c r="A79" s="388">
        <v>1999.1</v>
      </c>
      <c r="B79" s="214">
        <v>176384</v>
      </c>
      <c r="C79" s="3598">
        <v>1021556</v>
      </c>
      <c r="D79" s="3600">
        <v>232.98948237168682</v>
      </c>
      <c r="E79" s="461">
        <v>0.73099999999999998</v>
      </c>
      <c r="F79" s="456">
        <v>46127</v>
      </c>
      <c r="G79" s="3598">
        <v>239120</v>
      </c>
      <c r="H79" s="3601">
        <v>89.73</v>
      </c>
      <c r="I79" s="2433">
        <v>0.68799999999999994</v>
      </c>
      <c r="J79" s="2424">
        <v>1053082.7404022566</v>
      </c>
      <c r="K79" s="2420"/>
      <c r="L79" s="3603">
        <v>29863859.712255046</v>
      </c>
      <c r="M79" s="3604">
        <v>2.6834509651995324</v>
      </c>
      <c r="N79" s="3605"/>
      <c r="O79" s="2933"/>
    </row>
    <row r="80" spans="1:15">
      <c r="A80" s="388">
        <v>1999.11</v>
      </c>
      <c r="B80" s="214">
        <v>195754</v>
      </c>
      <c r="C80" s="3598">
        <v>1098031</v>
      </c>
      <c r="D80" s="3600">
        <v>227.70476501264412</v>
      </c>
      <c r="E80" s="461">
        <v>0.71099999999999997</v>
      </c>
      <c r="F80" s="456">
        <v>54712</v>
      </c>
      <c r="G80" s="3598">
        <v>273579</v>
      </c>
      <c r="H80" s="3601">
        <v>89.28</v>
      </c>
      <c r="I80" s="2433">
        <v>0.68300000000000005</v>
      </c>
      <c r="J80" s="2424">
        <v>1085950.6414485015</v>
      </c>
      <c r="K80" s="2420"/>
      <c r="L80" s="3603">
        <v>30003187.291556794</v>
      </c>
      <c r="M80" s="3604">
        <v>2.6436188413558726</v>
      </c>
      <c r="N80" s="3605"/>
      <c r="O80" s="2933"/>
    </row>
    <row r="81" spans="1:15">
      <c r="A81" s="388">
        <v>1999.12</v>
      </c>
      <c r="B81" s="214">
        <v>187560</v>
      </c>
      <c r="C81" s="3598">
        <v>1099917</v>
      </c>
      <c r="D81" s="3600">
        <v>223.37874322911932</v>
      </c>
      <c r="E81" s="461">
        <v>0.71399999999999997</v>
      </c>
      <c r="F81" s="456">
        <v>59858</v>
      </c>
      <c r="G81" s="3598">
        <v>303768</v>
      </c>
      <c r="H81" s="3601">
        <v>87.02</v>
      </c>
      <c r="I81" s="2433">
        <v>0.68300000000000005</v>
      </c>
      <c r="J81" s="2424">
        <v>1200069.8945996929</v>
      </c>
      <c r="K81" s="2420"/>
      <c r="L81" s="3603">
        <v>34952361.203098923</v>
      </c>
      <c r="M81" s="3604">
        <v>2.5972580881995819</v>
      </c>
      <c r="N81" s="3605"/>
      <c r="O81" s="2933"/>
    </row>
    <row r="82" spans="1:15">
      <c r="A82" s="388">
        <v>2000.01</v>
      </c>
      <c r="B82" s="214">
        <v>191342</v>
      </c>
      <c r="C82" s="3598">
        <v>1041838</v>
      </c>
      <c r="D82" s="3600">
        <v>223.01315901357032</v>
      </c>
      <c r="E82" s="461">
        <v>0.72799999999999998</v>
      </c>
      <c r="F82" s="456">
        <v>48235</v>
      </c>
      <c r="G82" s="3598">
        <v>189858</v>
      </c>
      <c r="H82" s="3601">
        <v>86.45</v>
      </c>
      <c r="I82" s="2433">
        <v>0.70799999999999996</v>
      </c>
      <c r="J82" s="2424">
        <v>957727.69785091863</v>
      </c>
      <c r="K82" s="2420"/>
      <c r="L82" s="3603">
        <v>28518273.58135144</v>
      </c>
      <c r="M82" s="3604">
        <v>2.5638750185402026</v>
      </c>
      <c r="N82" s="3605"/>
      <c r="O82" s="2933"/>
    </row>
    <row r="83" spans="1:15">
      <c r="A83" s="388">
        <v>2000.02</v>
      </c>
      <c r="B83" s="214">
        <v>181833</v>
      </c>
      <c r="C83" s="3598">
        <v>1005183</v>
      </c>
      <c r="D83" s="3600">
        <v>218.75034125658055</v>
      </c>
      <c r="E83" s="461">
        <v>0.77200000000000002</v>
      </c>
      <c r="F83" s="456">
        <v>48398</v>
      </c>
      <c r="G83" s="3598">
        <v>191164</v>
      </c>
      <c r="H83" s="3601">
        <v>85.66</v>
      </c>
      <c r="I83" s="2433">
        <v>0.71</v>
      </c>
      <c r="J83" s="2424">
        <v>924846.06212168012</v>
      </c>
      <c r="K83" s="2420"/>
      <c r="L83" s="3603">
        <v>25804261.382425129</v>
      </c>
      <c r="M83" s="3604">
        <v>2.5395779467588322</v>
      </c>
      <c r="N83" s="3605"/>
      <c r="O83" s="2933"/>
    </row>
    <row r="84" spans="1:15">
      <c r="A84" s="388">
        <v>2000.03</v>
      </c>
      <c r="B84" s="214">
        <v>204452</v>
      </c>
      <c r="C84" s="3598">
        <v>1137095</v>
      </c>
      <c r="D84" s="3600">
        <v>217.13439943114082</v>
      </c>
      <c r="E84" s="461">
        <v>0.80200000000000005</v>
      </c>
      <c r="F84" s="456">
        <v>53074</v>
      </c>
      <c r="G84" s="3598">
        <v>206681</v>
      </c>
      <c r="H84" s="3601">
        <v>81.47</v>
      </c>
      <c r="I84" s="2433">
        <v>0.70799999999999996</v>
      </c>
      <c r="J84" s="2424">
        <v>1120512.9262021175</v>
      </c>
      <c r="K84" s="2420"/>
      <c r="L84" s="3603">
        <v>27929948.245247092</v>
      </c>
      <c r="M84" s="3604">
        <v>2.5914222951234938</v>
      </c>
      <c r="N84" s="3605"/>
      <c r="O84" s="2933"/>
    </row>
    <row r="85" spans="1:15">
      <c r="A85" s="388">
        <v>2000.04</v>
      </c>
      <c r="B85" s="214">
        <v>164565</v>
      </c>
      <c r="C85" s="3598">
        <v>934731</v>
      </c>
      <c r="D85" s="3600">
        <v>215.17177214669385</v>
      </c>
      <c r="E85" s="461">
        <v>0.79800000000000004</v>
      </c>
      <c r="F85" s="456">
        <v>45024</v>
      </c>
      <c r="G85" s="3598">
        <v>186245</v>
      </c>
      <c r="H85" s="3601">
        <v>85.73</v>
      </c>
      <c r="I85" s="2433">
        <v>0.72</v>
      </c>
      <c r="J85" s="2424">
        <v>1013296.2460351452</v>
      </c>
      <c r="K85" s="2420"/>
      <c r="L85" s="3603">
        <v>28445947.679545499</v>
      </c>
      <c r="M85" s="3604">
        <v>2.6531326441427625</v>
      </c>
      <c r="N85" s="3605"/>
      <c r="O85" s="2933"/>
    </row>
    <row r="86" spans="1:15">
      <c r="A86" s="388">
        <v>2000.05</v>
      </c>
      <c r="B86" s="214">
        <v>191204</v>
      </c>
      <c r="C86" s="3598">
        <v>1079383</v>
      </c>
      <c r="D86" s="3600">
        <v>213.93512900285785</v>
      </c>
      <c r="E86" s="461">
        <v>0.82</v>
      </c>
      <c r="F86" s="456">
        <v>46864</v>
      </c>
      <c r="G86" s="3598">
        <v>214840</v>
      </c>
      <c r="H86" s="3601">
        <v>87.35</v>
      </c>
      <c r="I86" s="2433">
        <v>0.73</v>
      </c>
      <c r="J86" s="2424">
        <v>1060050.0805626963</v>
      </c>
      <c r="K86" s="2420"/>
      <c r="L86" s="3603">
        <v>28754775.718602151</v>
      </c>
      <c r="M86" s="3604">
        <v>2.6789372873949597</v>
      </c>
      <c r="N86" s="3605"/>
      <c r="O86" s="2933"/>
    </row>
    <row r="87" spans="1:15">
      <c r="A87" s="388">
        <v>2000.06</v>
      </c>
      <c r="B87" s="214">
        <v>188960</v>
      </c>
      <c r="C87" s="3598">
        <v>1042738</v>
      </c>
      <c r="D87" s="3600">
        <v>217.445013867928</v>
      </c>
      <c r="E87" s="461">
        <v>0.83699999999999997</v>
      </c>
      <c r="F87" s="456">
        <v>41964</v>
      </c>
      <c r="G87" s="3598">
        <v>199775</v>
      </c>
      <c r="H87" s="3601">
        <v>89.5</v>
      </c>
      <c r="I87" s="2433">
        <v>0.755</v>
      </c>
      <c r="J87" s="2424">
        <v>1075139.8644076611</v>
      </c>
      <c r="K87" s="2420"/>
      <c r="L87" s="3603">
        <v>27787557.46893217</v>
      </c>
      <c r="M87" s="3604">
        <v>2.688053622542347</v>
      </c>
      <c r="N87" s="3605"/>
      <c r="O87" s="2933"/>
    </row>
    <row r="88" spans="1:15">
      <c r="A88" s="388">
        <v>2000.07</v>
      </c>
      <c r="B88" s="214">
        <v>188842</v>
      </c>
      <c r="C88" s="3598">
        <v>1020005</v>
      </c>
      <c r="D88" s="3600">
        <v>220.2221190962959</v>
      </c>
      <c r="E88" s="461">
        <v>0.83399999999999996</v>
      </c>
      <c r="F88" s="456">
        <v>38036</v>
      </c>
      <c r="G88" s="3598">
        <v>198323</v>
      </c>
      <c r="H88" s="3601">
        <v>89.12</v>
      </c>
      <c r="I88" s="2433">
        <v>0.77400000000000002</v>
      </c>
      <c r="J88" s="2424">
        <v>1121500.4415433076</v>
      </c>
      <c r="K88" s="2420"/>
      <c r="L88" s="3603">
        <v>28904473.804138847</v>
      </c>
      <c r="M88" s="3604">
        <v>2.6680913240542914</v>
      </c>
      <c r="N88" s="3605"/>
      <c r="O88" s="2933"/>
    </row>
    <row r="89" spans="1:15">
      <c r="A89" s="388">
        <v>2000.08</v>
      </c>
      <c r="B89" s="214">
        <v>173743</v>
      </c>
      <c r="C89" s="3598">
        <v>1040549.5</v>
      </c>
      <c r="D89" s="3600">
        <v>220.36363943497511</v>
      </c>
      <c r="E89" s="461">
        <v>0.84499999999999997</v>
      </c>
      <c r="F89" s="456">
        <v>48530</v>
      </c>
      <c r="G89" s="3598">
        <v>207659</v>
      </c>
      <c r="H89" s="3601">
        <v>88.27</v>
      </c>
      <c r="I89" s="2433">
        <v>0.82750000000000001</v>
      </c>
      <c r="J89" s="2424">
        <v>1091916.201190986</v>
      </c>
      <c r="K89" s="2420"/>
      <c r="L89" s="3603">
        <v>27599179.863753576</v>
      </c>
      <c r="M89" s="3604">
        <v>2.6471708739459481</v>
      </c>
      <c r="N89" s="3605"/>
      <c r="O89" s="2933"/>
    </row>
    <row r="90" spans="1:15">
      <c r="A90" s="388">
        <v>2000.09</v>
      </c>
      <c r="B90" s="214">
        <v>176755</v>
      </c>
      <c r="C90" s="3598">
        <v>1003889</v>
      </c>
      <c r="D90" s="3600">
        <v>223.58820663981345</v>
      </c>
      <c r="E90" s="461">
        <v>0.88300000000000001</v>
      </c>
      <c r="F90" s="456">
        <v>45231</v>
      </c>
      <c r="G90" s="3598">
        <v>197983</v>
      </c>
      <c r="H90" s="3601">
        <v>88.74</v>
      </c>
      <c r="I90" s="2433">
        <v>0.89300000000000002</v>
      </c>
      <c r="J90" s="2424">
        <v>1100900.3220210632</v>
      </c>
      <c r="K90" s="2420"/>
      <c r="L90" s="3603">
        <v>28473119.24900445</v>
      </c>
      <c r="M90" s="3604">
        <v>2.680382435002667</v>
      </c>
      <c r="N90" s="3605"/>
      <c r="O90" s="2933"/>
    </row>
    <row r="91" spans="1:15">
      <c r="A91" s="388">
        <v>2000.1</v>
      </c>
      <c r="B91" s="214">
        <v>170026</v>
      </c>
      <c r="C91" s="3598">
        <v>998872.5</v>
      </c>
      <c r="D91" s="3600">
        <v>222.20168140993906</v>
      </c>
      <c r="E91" s="461">
        <v>0.86699999999999999</v>
      </c>
      <c r="F91" s="456">
        <v>43651</v>
      </c>
      <c r="G91" s="3598">
        <v>211381</v>
      </c>
      <c r="H91" s="3601">
        <v>89.73</v>
      </c>
      <c r="I91" s="2433">
        <v>0.88200000000000001</v>
      </c>
      <c r="J91" s="2424">
        <v>1068043.3923107148</v>
      </c>
      <c r="K91" s="2420"/>
      <c r="L91" s="3603">
        <v>30288121.541508283</v>
      </c>
      <c r="M91" s="3604">
        <v>2.689440662301025</v>
      </c>
      <c r="N91" s="3605"/>
      <c r="O91" s="2933"/>
    </row>
    <row r="92" spans="1:15">
      <c r="A92" s="388">
        <v>2000.11</v>
      </c>
      <c r="B92" s="214">
        <v>174857</v>
      </c>
      <c r="C92" s="3598">
        <v>1053555.5</v>
      </c>
      <c r="D92" s="3600">
        <v>223.46029005017405</v>
      </c>
      <c r="E92" s="461">
        <v>0.81100000000000005</v>
      </c>
      <c r="F92" s="456">
        <v>47449</v>
      </c>
      <c r="G92" s="3598">
        <v>233537</v>
      </c>
      <c r="H92" s="3601">
        <v>89.28</v>
      </c>
      <c r="I92" s="2433">
        <v>0.83799999999999997</v>
      </c>
      <c r="J92" s="2424">
        <v>1101378.2321905852</v>
      </c>
      <c r="K92" s="2420"/>
      <c r="L92" s="3603">
        <v>30429428.482293431</v>
      </c>
      <c r="M92" s="3604">
        <v>2.6495196296754173</v>
      </c>
      <c r="N92" s="3605"/>
      <c r="O92" s="2933"/>
    </row>
    <row r="93" spans="1:15">
      <c r="A93" s="388">
        <v>2000.12</v>
      </c>
      <c r="B93" s="214">
        <v>169068</v>
      </c>
      <c r="C93" s="3598">
        <v>1042395</v>
      </c>
      <c r="D93" s="3600">
        <v>218.97465317131659</v>
      </c>
      <c r="E93" s="461">
        <v>0.78300000000000003</v>
      </c>
      <c r="F93" s="456">
        <v>54287</v>
      </c>
      <c r="G93" s="3598">
        <v>288072</v>
      </c>
      <c r="H93" s="3601">
        <v>87.02</v>
      </c>
      <c r="I93" s="2433">
        <v>0.81</v>
      </c>
      <c r="J93" s="2424">
        <v>1217118.7239747411</v>
      </c>
      <c r="K93" s="2420"/>
      <c r="L93" s="3603">
        <v>35448912.983197913</v>
      </c>
      <c r="M93" s="3604">
        <v>2.6030553952659177</v>
      </c>
      <c r="N93" s="3605"/>
      <c r="O93" s="2933"/>
    </row>
    <row r="94" spans="1:15">
      <c r="A94" s="388">
        <v>2001.01</v>
      </c>
      <c r="B94" s="214">
        <v>176138</v>
      </c>
      <c r="C94" s="3598">
        <v>1047059.5</v>
      </c>
      <c r="D94" s="3600">
        <v>219.4618986034767</v>
      </c>
      <c r="E94" s="461">
        <v>0.78700000000000003</v>
      </c>
      <c r="F94" s="456">
        <v>49433</v>
      </c>
      <c r="G94" s="3598">
        <v>197287</v>
      </c>
      <c r="H94" s="3601">
        <v>86.45</v>
      </c>
      <c r="I94" s="2433">
        <v>0.79</v>
      </c>
      <c r="J94" s="2424">
        <v>1019287.3490274325</v>
      </c>
      <c r="K94" s="2420"/>
      <c r="L94" s="3603">
        <v>28145161.466605067</v>
      </c>
      <c r="M94" s="3604">
        <v>2.5800533161013433</v>
      </c>
      <c r="N94" s="3605"/>
      <c r="O94" s="2933"/>
    </row>
    <row r="95" spans="1:15">
      <c r="A95" s="388">
        <v>2001.02</v>
      </c>
      <c r="B95" s="214">
        <v>164820</v>
      </c>
      <c r="C95" s="3598">
        <v>980606</v>
      </c>
      <c r="D95" s="3600">
        <v>218.55332018622752</v>
      </c>
      <c r="E95" s="461">
        <v>0.80700000000000005</v>
      </c>
      <c r="F95" s="456">
        <v>41708</v>
      </c>
      <c r="G95" s="3598">
        <v>180974</v>
      </c>
      <c r="H95" s="3601">
        <v>85.66</v>
      </c>
      <c r="I95" s="2433">
        <v>0.82299999999999995</v>
      </c>
      <c r="J95" s="2424">
        <v>984292.18767901522</v>
      </c>
      <c r="K95" s="2420"/>
      <c r="L95" s="3603">
        <v>25466657.406981099</v>
      </c>
      <c r="M95" s="3604">
        <v>2.5556029274639247</v>
      </c>
      <c r="N95" s="3605"/>
      <c r="O95" s="2933"/>
    </row>
    <row r="96" spans="1:15">
      <c r="A96" s="388">
        <v>2001.03</v>
      </c>
      <c r="B96" s="214">
        <v>148120</v>
      </c>
      <c r="C96" s="3598">
        <v>1004051</v>
      </c>
      <c r="D96" s="3600">
        <v>210.59970655468879</v>
      </c>
      <c r="E96" s="461">
        <v>0.81</v>
      </c>
      <c r="F96" s="456">
        <v>42620</v>
      </c>
      <c r="G96" s="3598">
        <v>195447</v>
      </c>
      <c r="H96" s="3601">
        <v>81.47</v>
      </c>
      <c r="I96" s="2433">
        <v>0.78300000000000003</v>
      </c>
      <c r="J96" s="2424">
        <v>1192535.8874577652</v>
      </c>
      <c r="K96" s="2420"/>
      <c r="L96" s="3603">
        <v>27564533.346451979</v>
      </c>
      <c r="M96" s="3604">
        <v>2.6077744186450813</v>
      </c>
      <c r="N96" s="3605"/>
      <c r="O96" s="2933"/>
    </row>
    <row r="97" spans="1:15">
      <c r="A97" s="388">
        <v>2001.04</v>
      </c>
      <c r="B97" s="214">
        <v>135437</v>
      </c>
      <c r="C97" s="3598">
        <v>937680.5</v>
      </c>
      <c r="D97" s="3600">
        <v>207.74018803969028</v>
      </c>
      <c r="E97" s="461">
        <v>0.78100000000000003</v>
      </c>
      <c r="F97" s="456">
        <v>45622</v>
      </c>
      <c r="G97" s="3598">
        <v>199578</v>
      </c>
      <c r="H97" s="3601">
        <v>85.73</v>
      </c>
      <c r="I97" s="2433">
        <v>0.79400000000000004</v>
      </c>
      <c r="J97" s="2424">
        <v>1078427.6644794142</v>
      </c>
      <c r="K97" s="2420"/>
      <c r="L97" s="3603">
        <v>28073781.823698595</v>
      </c>
      <c r="M97" s="3604">
        <v>2.669874165892351</v>
      </c>
      <c r="N97" s="3605"/>
      <c r="O97" s="2933"/>
    </row>
    <row r="98" spans="1:15">
      <c r="A98" s="388">
        <v>2001.05</v>
      </c>
      <c r="B98" s="214">
        <v>144797</v>
      </c>
      <c r="C98" s="3598">
        <v>981754</v>
      </c>
      <c r="D98" s="3600">
        <v>210.33723932149212</v>
      </c>
      <c r="E98" s="461">
        <v>0.77200000000000002</v>
      </c>
      <c r="F98" s="456">
        <v>47257</v>
      </c>
      <c r="G98" s="3598">
        <v>202978</v>
      </c>
      <c r="H98" s="3601">
        <v>87.35</v>
      </c>
      <c r="I98" s="2433">
        <v>0.83299999999999996</v>
      </c>
      <c r="J98" s="2424">
        <v>1128186.6848767474</v>
      </c>
      <c r="K98" s="2420"/>
      <c r="L98" s="3603">
        <v>28378569.383852597</v>
      </c>
      <c r="M98" s="3604">
        <v>2.6958416389213413</v>
      </c>
      <c r="N98" s="3605"/>
      <c r="O98" s="2933"/>
    </row>
    <row r="99" spans="1:15">
      <c r="A99" s="388">
        <v>2001.06</v>
      </c>
      <c r="B99" s="214">
        <v>139493</v>
      </c>
      <c r="C99" s="3598">
        <v>938215</v>
      </c>
      <c r="D99" s="3600">
        <v>214.54819630027106</v>
      </c>
      <c r="E99" s="461">
        <v>0.78300000000000003</v>
      </c>
      <c r="F99" s="456">
        <v>42194</v>
      </c>
      <c r="G99" s="3598">
        <v>180652</v>
      </c>
      <c r="H99" s="3601">
        <v>89.5</v>
      </c>
      <c r="I99" s="2433">
        <v>0.85799999999999998</v>
      </c>
      <c r="J99" s="2424">
        <v>1144246.3914167637</v>
      </c>
      <c r="K99" s="2420"/>
      <c r="L99" s="3603">
        <v>27424005.506317947</v>
      </c>
      <c r="M99" s="3604">
        <v>2.7050154990188977</v>
      </c>
      <c r="N99" s="3605"/>
      <c r="O99" s="2933"/>
    </row>
    <row r="100" spans="1:15">
      <c r="A100" s="388">
        <v>2001.07</v>
      </c>
      <c r="B100" s="214">
        <v>147255</v>
      </c>
      <c r="C100" s="3598">
        <v>963735</v>
      </c>
      <c r="D100" s="3600">
        <v>216.09903138139629</v>
      </c>
      <c r="E100" s="461">
        <v>0.754</v>
      </c>
      <c r="F100" s="456">
        <v>46890</v>
      </c>
      <c r="G100" s="3598">
        <v>199388</v>
      </c>
      <c r="H100" s="3601">
        <v>89.12</v>
      </c>
      <c r="I100" s="2433">
        <v>0.86199999999999999</v>
      </c>
      <c r="J100" s="2424">
        <v>1193586.877103887</v>
      </c>
      <c r="K100" s="2420"/>
      <c r="L100" s="3603">
        <v>28526308.929749478</v>
      </c>
      <c r="M100" s="3604">
        <v>2.6849272365105175</v>
      </c>
      <c r="N100" s="3605"/>
      <c r="O100" s="2933"/>
    </row>
    <row r="101" spans="1:15">
      <c r="A101" s="388">
        <v>2001.08</v>
      </c>
      <c r="B101" s="214">
        <v>151503</v>
      </c>
      <c r="C101" s="3598">
        <v>976874</v>
      </c>
      <c r="D101" s="3600">
        <v>216.956445720571</v>
      </c>
      <c r="E101" s="461">
        <v>0.72299999999999998</v>
      </c>
      <c r="F101" s="456">
        <v>40596</v>
      </c>
      <c r="G101" s="3598">
        <v>181935</v>
      </c>
      <c r="H101" s="3601">
        <v>88.27</v>
      </c>
      <c r="I101" s="2433">
        <v>0.85799999999999998</v>
      </c>
      <c r="J101" s="2424">
        <v>1162101.0570849255</v>
      </c>
      <c r="K101" s="2420"/>
      <c r="L101" s="3603">
        <v>27238092.495163202</v>
      </c>
      <c r="M101" s="3604">
        <v>2.6638747763531208</v>
      </c>
      <c r="N101" s="3605"/>
      <c r="O101" s="2933"/>
    </row>
    <row r="102" spans="1:15">
      <c r="A102" s="388">
        <v>2001.09</v>
      </c>
      <c r="B102" s="214">
        <v>135508</v>
      </c>
      <c r="C102" s="3598">
        <v>866959</v>
      </c>
      <c r="D102" s="3600">
        <v>217.78167688693225</v>
      </c>
      <c r="E102" s="461">
        <v>0.66900000000000004</v>
      </c>
      <c r="F102" s="456">
        <v>35207</v>
      </c>
      <c r="G102" s="3598">
        <v>182179</v>
      </c>
      <c r="H102" s="3601">
        <v>88.74</v>
      </c>
      <c r="I102" s="2433">
        <v>0.82399999999999995</v>
      </c>
      <c r="J102" s="2424">
        <v>1171662.6482603508</v>
      </c>
      <c r="K102" s="2420"/>
      <c r="L102" s="3603">
        <v>28100597.900328957</v>
      </c>
      <c r="M102" s="3604">
        <v>2.6972959055492218</v>
      </c>
      <c r="N102" s="3605"/>
      <c r="O102" s="2933"/>
    </row>
    <row r="103" spans="1:15">
      <c r="A103" s="388">
        <v>2001.1</v>
      </c>
      <c r="B103" s="214">
        <v>155305</v>
      </c>
      <c r="C103" s="3598">
        <v>995446</v>
      </c>
      <c r="D103" s="3600">
        <v>216.75621453101354</v>
      </c>
      <c r="E103" s="461">
        <v>0.67100000000000004</v>
      </c>
      <c r="F103" s="456">
        <v>42586</v>
      </c>
      <c r="G103" s="3598">
        <v>237883</v>
      </c>
      <c r="H103" s="3601">
        <v>89.73</v>
      </c>
      <c r="I103" s="2433">
        <v>0.76800000000000002</v>
      </c>
      <c r="J103" s="2424">
        <v>1136693.7809541293</v>
      </c>
      <c r="K103" s="2420"/>
      <c r="L103" s="3603">
        <v>29891854.037873805</v>
      </c>
      <c r="M103" s="3604">
        <v>2.706411291131642</v>
      </c>
      <c r="N103" s="3605"/>
      <c r="O103" s="2933"/>
    </row>
    <row r="104" spans="1:15">
      <c r="A104" s="388">
        <v>2001.11</v>
      </c>
      <c r="B104" s="214">
        <v>150153</v>
      </c>
      <c r="C104" s="3598">
        <v>974489</v>
      </c>
      <c r="D104" s="3600">
        <v>216.5315621308832</v>
      </c>
      <c r="E104" s="461">
        <v>0.624</v>
      </c>
      <c r="F104" s="456">
        <v>40446</v>
      </c>
      <c r="G104" s="3598">
        <v>244455</v>
      </c>
      <c r="H104" s="3601">
        <v>89.28</v>
      </c>
      <c r="I104" s="2433">
        <v>0.74</v>
      </c>
      <c r="J104" s="2424">
        <v>1172171.2769560211</v>
      </c>
      <c r="K104" s="2420"/>
      <c r="L104" s="3603">
        <v>30031312.222584907</v>
      </c>
      <c r="M104" s="3604">
        <v>2.6662383529567801</v>
      </c>
      <c r="N104" s="3605"/>
      <c r="O104" s="2933"/>
    </row>
    <row r="105" spans="1:15">
      <c r="A105" s="388">
        <v>2001.12</v>
      </c>
      <c r="B105" s="214">
        <v>139277</v>
      </c>
      <c r="C105" s="3598">
        <v>919863</v>
      </c>
      <c r="D105" s="3600">
        <v>213.96199441315903</v>
      </c>
      <c r="E105" s="461">
        <v>0.63500000000000001</v>
      </c>
      <c r="F105" s="456">
        <v>45236</v>
      </c>
      <c r="G105" s="3598">
        <v>252904</v>
      </c>
      <c r="H105" s="3601">
        <v>87.02</v>
      </c>
      <c r="I105" s="2433">
        <v>0.70799999999999996</v>
      </c>
      <c r="J105" s="2424">
        <v>1295351.1947035471</v>
      </c>
      <c r="K105" s="2420"/>
      <c r="L105" s="3603">
        <v>34985125.480392344</v>
      </c>
      <c r="M105" s="3604">
        <v>2.6194809247664637</v>
      </c>
      <c r="N105" s="3605"/>
      <c r="O105" s="2933"/>
    </row>
    <row r="106" spans="1:15">
      <c r="A106" s="388">
        <v>2002.01</v>
      </c>
      <c r="B106" s="214">
        <v>139967</v>
      </c>
      <c r="C106" s="3598">
        <v>912176.5</v>
      </c>
      <c r="D106" s="3600">
        <v>213.50055887387521</v>
      </c>
      <c r="E106" s="461">
        <v>0.71</v>
      </c>
      <c r="F106" s="456">
        <v>33943</v>
      </c>
      <c r="G106" s="3598">
        <v>158416</v>
      </c>
      <c r="H106" s="3601">
        <v>86.45</v>
      </c>
      <c r="I106" s="2433">
        <v>0.86</v>
      </c>
      <c r="J106" s="2424">
        <v>971379.05677410949</v>
      </c>
      <c r="K106" s="2420"/>
      <c r="L106" s="3603">
        <v>24356063.421891116</v>
      </c>
      <c r="M106" s="3604">
        <v>2.4109344254071661</v>
      </c>
      <c r="N106" s="3607">
        <v>1.1399999999999999</v>
      </c>
      <c r="O106" s="2934">
        <v>1.91</v>
      </c>
    </row>
    <row r="107" spans="1:15">
      <c r="A107" s="388">
        <v>2002.02</v>
      </c>
      <c r="B107" s="214">
        <v>149371</v>
      </c>
      <c r="C107" s="3598">
        <v>905497.5</v>
      </c>
      <c r="D107" s="3600">
        <v>218.70442261530789</v>
      </c>
      <c r="E107" s="461">
        <v>0.81100000000000005</v>
      </c>
      <c r="F107" s="456">
        <v>37413</v>
      </c>
      <c r="G107" s="3598">
        <v>148074</v>
      </c>
      <c r="H107" s="3601">
        <v>85.66</v>
      </c>
      <c r="I107" s="2433">
        <v>1.008</v>
      </c>
      <c r="J107" s="2424">
        <v>938028.72935690091</v>
      </c>
      <c r="K107" s="2420"/>
      <c r="L107" s="3603">
        <v>20672293.164729744</v>
      </c>
      <c r="M107" s="3604">
        <v>2.3880867255892366</v>
      </c>
      <c r="N107" s="3608">
        <v>1.34</v>
      </c>
      <c r="O107" s="2935">
        <v>2.1</v>
      </c>
    </row>
    <row r="108" spans="1:15">
      <c r="A108" s="388">
        <v>2002.03</v>
      </c>
      <c r="B108" s="214">
        <v>163789</v>
      </c>
      <c r="C108" s="3598">
        <v>934541.5</v>
      </c>
      <c r="D108" s="3600">
        <v>219.9514980803919</v>
      </c>
      <c r="E108" s="461">
        <v>0.86099999999999999</v>
      </c>
      <c r="F108" s="456">
        <v>38722</v>
      </c>
      <c r="G108" s="3598">
        <v>143522</v>
      </c>
      <c r="H108" s="3601">
        <v>81.47</v>
      </c>
      <c r="I108" s="2433">
        <v>1.232</v>
      </c>
      <c r="J108" s="2424">
        <v>1136484.6101870169</v>
      </c>
      <c r="K108" s="2420"/>
      <c r="L108" s="3603">
        <v>22107811.413716551</v>
      </c>
      <c r="M108" s="3604">
        <v>2.4368384484038423</v>
      </c>
      <c r="N108" s="3608">
        <v>1.28</v>
      </c>
      <c r="O108" s="2935">
        <v>2.1</v>
      </c>
    </row>
    <row r="109" spans="1:15">
      <c r="A109" s="388">
        <v>2002.04</v>
      </c>
      <c r="B109" s="214">
        <v>171277</v>
      </c>
      <c r="C109" s="3598">
        <v>1000300.5</v>
      </c>
      <c r="D109" s="3600">
        <v>216.55768495859681</v>
      </c>
      <c r="E109" s="461">
        <v>1.1519999999999999</v>
      </c>
      <c r="F109" s="456">
        <v>39771</v>
      </c>
      <c r="G109" s="3598">
        <v>155054</v>
      </c>
      <c r="H109" s="3601">
        <v>85.73</v>
      </c>
      <c r="I109" s="2433">
        <v>1.5249999999999999</v>
      </c>
      <c r="J109" s="2424">
        <v>1027739.6737246522</v>
      </c>
      <c r="K109" s="2420"/>
      <c r="L109" s="3603">
        <v>23858873.80420154</v>
      </c>
      <c r="M109" s="3604">
        <v>2.4948676439685924</v>
      </c>
      <c r="N109" s="3608">
        <v>1.42</v>
      </c>
      <c r="O109" s="2935">
        <v>2.5499999999999998</v>
      </c>
    </row>
    <row r="110" spans="1:15">
      <c r="A110" s="388">
        <v>2002.05</v>
      </c>
      <c r="B110" s="214">
        <v>181571</v>
      </c>
      <c r="C110" s="3598">
        <v>1009796</v>
      </c>
      <c r="D110" s="3600">
        <v>219.25290358960592</v>
      </c>
      <c r="E110" s="461">
        <v>1.1160000000000001</v>
      </c>
      <c r="F110" s="456">
        <v>37192</v>
      </c>
      <c r="G110" s="3598">
        <v>148675</v>
      </c>
      <c r="H110" s="3601">
        <v>87.35</v>
      </c>
      <c r="I110" s="2433">
        <v>1.4830000000000001</v>
      </c>
      <c r="J110" s="2424">
        <v>1075159.9329338777</v>
      </c>
      <c r="K110" s="2420"/>
      <c r="L110" s="3603">
        <v>23963709.193317715</v>
      </c>
      <c r="M110" s="3604">
        <v>2.5191329854154998</v>
      </c>
      <c r="N110" s="3608">
        <v>1.4</v>
      </c>
      <c r="O110" s="2935">
        <v>2.41</v>
      </c>
    </row>
    <row r="111" spans="1:15">
      <c r="A111" s="388">
        <v>2002.06</v>
      </c>
      <c r="B111" s="214">
        <v>183775</v>
      </c>
      <c r="C111" s="3598">
        <v>1042875.5</v>
      </c>
      <c r="D111" s="3600">
        <v>222.83750244354641</v>
      </c>
      <c r="E111" s="461">
        <v>1.1879999999999999</v>
      </c>
      <c r="F111" s="456">
        <v>34586</v>
      </c>
      <c r="G111" s="3598">
        <v>150754</v>
      </c>
      <c r="H111" s="3601">
        <v>86.08</v>
      </c>
      <c r="I111" s="2433">
        <v>1.456</v>
      </c>
      <c r="J111" s="2424">
        <v>1090464.8051132439</v>
      </c>
      <c r="K111" s="2420"/>
      <c r="L111" s="3603">
        <v>21030394.246364195</v>
      </c>
      <c r="M111" s="3604">
        <v>2.5277055117989811</v>
      </c>
      <c r="N111" s="3608">
        <v>1.69</v>
      </c>
      <c r="O111" s="2935">
        <v>2.66</v>
      </c>
    </row>
    <row r="112" spans="1:15">
      <c r="A112" s="388">
        <v>2002.07</v>
      </c>
      <c r="B112" s="214">
        <v>189822</v>
      </c>
      <c r="C112" s="3598">
        <v>1063835</v>
      </c>
      <c r="D112" s="3600">
        <v>219.72719291274885</v>
      </c>
      <c r="E112" s="461">
        <v>1.383</v>
      </c>
      <c r="F112" s="456">
        <v>41421</v>
      </c>
      <c r="G112" s="3598">
        <v>178158</v>
      </c>
      <c r="H112" s="3601">
        <v>85.19</v>
      </c>
      <c r="I112" s="2433">
        <v>1.58</v>
      </c>
      <c r="J112" s="2424">
        <v>1137486.2014773467</v>
      </c>
      <c r="K112" s="2420"/>
      <c r="L112" s="3603">
        <v>21742444.513034444</v>
      </c>
      <c r="M112" s="3604">
        <v>2.5089340068359545</v>
      </c>
      <c r="N112" s="3608">
        <v>1.82</v>
      </c>
      <c r="O112" s="2935">
        <v>2.77</v>
      </c>
    </row>
    <row r="113" spans="1:15">
      <c r="A113" s="388">
        <v>2002.08</v>
      </c>
      <c r="B113" s="214">
        <v>176041</v>
      </c>
      <c r="C113" s="3598">
        <v>916480.5</v>
      </c>
      <c r="D113" s="3600">
        <v>223.77151437327817</v>
      </c>
      <c r="E113" s="461">
        <v>1.764</v>
      </c>
      <c r="F113" s="456">
        <v>35213</v>
      </c>
      <c r="G113" s="3598">
        <v>150404</v>
      </c>
      <c r="H113" s="3601">
        <v>85.63</v>
      </c>
      <c r="I113" s="2433">
        <v>1.8049999999999999</v>
      </c>
      <c r="J113" s="2424">
        <v>1107480.2701951023</v>
      </c>
      <c r="K113" s="2420"/>
      <c r="L113" s="3603">
        <v>20208318.719829455</v>
      </c>
      <c r="M113" s="3604">
        <v>2.4892615060328791</v>
      </c>
      <c r="N113" s="3608">
        <v>2.37</v>
      </c>
      <c r="O113" s="2935">
        <v>3.41</v>
      </c>
    </row>
    <row r="114" spans="1:15">
      <c r="A114" s="388">
        <v>2002.09</v>
      </c>
      <c r="B114" s="214">
        <v>160293</v>
      </c>
      <c r="C114" s="3598">
        <v>891494.5</v>
      </c>
      <c r="D114" s="3600">
        <v>229.09313870407507</v>
      </c>
      <c r="E114" s="461">
        <v>1.92</v>
      </c>
      <c r="F114" s="456">
        <v>37954</v>
      </c>
      <c r="G114" s="3598">
        <v>163208</v>
      </c>
      <c r="H114" s="3601">
        <v>86.2</v>
      </c>
      <c r="I114" s="2433">
        <v>1.93</v>
      </c>
      <c r="J114" s="2424">
        <v>1116592.4498234538</v>
      </c>
      <c r="K114" s="2420"/>
      <c r="L114" s="3603">
        <v>20814495.623233862</v>
      </c>
      <c r="M114" s="3604">
        <v>2.5204919268974439</v>
      </c>
      <c r="N114" s="3608">
        <v>2.0499999999999998</v>
      </c>
      <c r="O114" s="2935">
        <v>3.27</v>
      </c>
    </row>
    <row r="115" spans="1:15">
      <c r="A115" s="388">
        <v>2002.1</v>
      </c>
      <c r="B115" s="214">
        <v>168604</v>
      </c>
      <c r="C115" s="3598">
        <v>954068</v>
      </c>
      <c r="D115" s="3600">
        <v>223.42763578372592</v>
      </c>
      <c r="E115" s="461">
        <v>1.9159999999999999</v>
      </c>
      <c r="F115" s="456">
        <v>41872</v>
      </c>
      <c r="G115" s="3598">
        <v>188725</v>
      </c>
      <c r="H115" s="3601">
        <v>85.33</v>
      </c>
      <c r="I115" s="2433">
        <v>1.9279999999999999</v>
      </c>
      <c r="J115" s="2424">
        <v>1083267.1805823634</v>
      </c>
      <c r="K115" s="2420"/>
      <c r="L115" s="3603">
        <v>22687000.989229664</v>
      </c>
      <c r="M115" s="3604">
        <v>2.5290098116885713</v>
      </c>
      <c r="N115" s="3608">
        <v>2.5099999999999998</v>
      </c>
      <c r="O115" s="2935">
        <v>3.53</v>
      </c>
    </row>
    <row r="116" spans="1:15">
      <c r="A116" s="388">
        <v>2002.11</v>
      </c>
      <c r="B116" s="214">
        <v>169030</v>
      </c>
      <c r="C116" s="3598">
        <v>912140.5</v>
      </c>
      <c r="D116" s="3600">
        <v>222.71842557931285</v>
      </c>
      <c r="E116" s="461">
        <v>1.923</v>
      </c>
      <c r="F116" s="456">
        <v>41794</v>
      </c>
      <c r="G116" s="3598">
        <v>190895</v>
      </c>
      <c r="H116" s="3601">
        <v>85.63</v>
      </c>
      <c r="I116" s="2433">
        <v>1.9279999999999999</v>
      </c>
      <c r="J116" s="2424">
        <v>1117077.1720787825</v>
      </c>
      <c r="K116" s="2420"/>
      <c r="L116" s="3603">
        <v>22707760.472222965</v>
      </c>
      <c r="M116" s="3604">
        <v>2.4914701534919406</v>
      </c>
      <c r="N116" s="3608">
        <v>2.4</v>
      </c>
      <c r="O116" s="2935">
        <v>3.5</v>
      </c>
    </row>
    <row r="117" spans="1:15">
      <c r="A117" s="388">
        <v>2002.12</v>
      </c>
      <c r="B117" s="214">
        <v>159664</v>
      </c>
      <c r="C117" s="3598">
        <v>956632</v>
      </c>
      <c r="D117" s="3600">
        <v>215.53921192091849</v>
      </c>
      <c r="E117" s="461">
        <v>1.9350000000000001</v>
      </c>
      <c r="F117" s="456">
        <v>46085</v>
      </c>
      <c r="G117" s="3598">
        <v>223503</v>
      </c>
      <c r="H117" s="3601">
        <v>83.89</v>
      </c>
      <c r="I117" s="2433">
        <v>1.978</v>
      </c>
      <c r="J117" s="2424">
        <v>1234467.4177531491</v>
      </c>
      <c r="K117" s="2420"/>
      <c r="L117" s="3603">
        <v>26563834.438228741</v>
      </c>
      <c r="M117" s="3604">
        <v>2.4477776094022397</v>
      </c>
      <c r="N117" s="3608">
        <v>2.6</v>
      </c>
      <c r="O117" s="2935">
        <v>3.59</v>
      </c>
    </row>
    <row r="118" spans="1:15">
      <c r="A118" s="388">
        <v>2003.01</v>
      </c>
      <c r="B118" s="214">
        <v>171976.75</v>
      </c>
      <c r="C118" s="3598">
        <v>948290.83333333337</v>
      </c>
      <c r="D118" s="3600">
        <v>226.63505389150478</v>
      </c>
      <c r="E118" s="461">
        <v>1.881</v>
      </c>
      <c r="F118" s="456">
        <v>37111</v>
      </c>
      <c r="G118" s="3598">
        <v>138963</v>
      </c>
      <c r="H118" s="3601">
        <v>83.77</v>
      </c>
      <c r="I118" s="2433">
        <v>2.0880000000000001</v>
      </c>
      <c r="J118" s="2424">
        <v>945657.70055609406</v>
      </c>
      <c r="K118" s="2420"/>
      <c r="L118" s="3504">
        <v>22531000</v>
      </c>
      <c r="M118" s="3604">
        <v>2.4900401410294579</v>
      </c>
      <c r="N118" s="3608">
        <v>2.29</v>
      </c>
      <c r="O118" s="2935">
        <v>3.7</v>
      </c>
    </row>
    <row r="119" spans="1:15">
      <c r="A119" s="388">
        <v>2003.02</v>
      </c>
      <c r="B119" s="214">
        <v>151037</v>
      </c>
      <c r="C119" s="3598">
        <v>865925.33333333337</v>
      </c>
      <c r="D119" s="3600">
        <v>217.68955626102263</v>
      </c>
      <c r="E119" s="461">
        <v>1.849</v>
      </c>
      <c r="F119" s="456">
        <v>35341</v>
      </c>
      <c r="G119" s="3598">
        <v>126956</v>
      </c>
      <c r="H119" s="3601">
        <v>84.7</v>
      </c>
      <c r="I119" s="2433">
        <v>2.2130000000000001</v>
      </c>
      <c r="J119" s="2424">
        <v>913190.46367445285</v>
      </c>
      <c r="K119" s="2420"/>
      <c r="L119" s="3504">
        <v>20100000</v>
      </c>
      <c r="M119" s="3604">
        <v>2.4664427801567217</v>
      </c>
      <c r="N119" s="3608">
        <v>2.35</v>
      </c>
      <c r="O119" s="2935">
        <v>3.5</v>
      </c>
    </row>
    <row r="120" spans="1:15">
      <c r="A120" s="388">
        <v>2003.03</v>
      </c>
      <c r="B120" s="214">
        <v>164540</v>
      </c>
      <c r="C120" s="3598">
        <v>940911.83333333337</v>
      </c>
      <c r="D120" s="3600">
        <v>214.57678270319673</v>
      </c>
      <c r="E120" s="461">
        <v>1.7789999999999999</v>
      </c>
      <c r="F120" s="456">
        <v>35257</v>
      </c>
      <c r="G120" s="3598">
        <v>132619</v>
      </c>
      <c r="H120" s="3601">
        <v>85.53</v>
      </c>
      <c r="I120" s="2433">
        <v>2.234</v>
      </c>
      <c r="J120" s="2424">
        <v>1106391.3882969031</v>
      </c>
      <c r="K120" s="2420"/>
      <c r="L120" s="3504">
        <v>19922000</v>
      </c>
      <c r="M120" s="3604">
        <v>2.5167941067931601</v>
      </c>
      <c r="N120" s="3608">
        <v>2.41</v>
      </c>
      <c r="O120" s="2935">
        <v>3.6</v>
      </c>
    </row>
    <row r="121" spans="1:15">
      <c r="A121" s="388">
        <v>2003.04</v>
      </c>
      <c r="B121" s="214">
        <v>163147</v>
      </c>
      <c r="C121" s="3598">
        <v>994561.33333333337</v>
      </c>
      <c r="D121" s="3600">
        <v>210.82972757862112</v>
      </c>
      <c r="E121" s="461">
        <v>1.6559999999999999</v>
      </c>
      <c r="F121" s="456">
        <v>35513</v>
      </c>
      <c r="G121" s="3598">
        <v>140512</v>
      </c>
      <c r="H121" s="3601">
        <v>87.51</v>
      </c>
      <c r="I121" s="2433">
        <v>2.1949999999999998</v>
      </c>
      <c r="J121" s="2424">
        <v>1000525.9325358651</v>
      </c>
      <c r="K121" s="2420"/>
      <c r="L121" s="3504">
        <v>22215000</v>
      </c>
      <c r="M121" s="3604">
        <v>2.5767273114399321</v>
      </c>
      <c r="N121" s="3608">
        <v>2.21</v>
      </c>
      <c r="O121" s="2935">
        <v>3.7</v>
      </c>
    </row>
    <row r="122" spans="1:15">
      <c r="A122" s="388">
        <v>2003.05</v>
      </c>
      <c r="B122" s="214">
        <v>171105</v>
      </c>
      <c r="C122" s="3598">
        <v>1011823.8333333334</v>
      </c>
      <c r="D122" s="3600">
        <v>209.16498445480886</v>
      </c>
      <c r="E122" s="461">
        <v>1.5720000000000001</v>
      </c>
      <c r="F122" s="456">
        <v>30748</v>
      </c>
      <c r="G122" s="3598">
        <v>136305</v>
      </c>
      <c r="H122" s="3601">
        <v>89.73</v>
      </c>
      <c r="I122" s="2433">
        <v>2.1379999999999999</v>
      </c>
      <c r="J122" s="2424">
        <v>1046690.5404413434</v>
      </c>
      <c r="K122" s="2420"/>
      <c r="L122" s="3504">
        <v>22527000</v>
      </c>
      <c r="M122" s="3604">
        <v>2.6017888285022974</v>
      </c>
      <c r="N122" s="3608">
        <v>2.16</v>
      </c>
      <c r="O122" s="2935">
        <v>3.5</v>
      </c>
    </row>
    <row r="123" spans="1:15">
      <c r="A123" s="388">
        <v>2003.06</v>
      </c>
      <c r="B123" s="214">
        <v>185419</v>
      </c>
      <c r="C123" s="3598">
        <v>1022114.0833333334</v>
      </c>
      <c r="D123" s="3600">
        <v>209.66957196708202</v>
      </c>
      <c r="E123" s="461">
        <v>1.56</v>
      </c>
      <c r="F123" s="456">
        <v>33192</v>
      </c>
      <c r="G123" s="3598">
        <v>139850</v>
      </c>
      <c r="H123" s="3601">
        <v>89.56</v>
      </c>
      <c r="I123" s="2433">
        <v>2.0840000000000001</v>
      </c>
      <c r="J123" s="2424">
        <v>1061590.1515988137</v>
      </c>
      <c r="K123" s="2420"/>
      <c r="L123" s="3504">
        <v>21927000</v>
      </c>
      <c r="M123" s="3604">
        <v>2.6106426299910286</v>
      </c>
      <c r="N123" s="3608">
        <v>2.42</v>
      </c>
      <c r="O123" s="2935">
        <v>3.5</v>
      </c>
    </row>
    <row r="124" spans="1:15">
      <c r="A124" s="388">
        <v>2003.07</v>
      </c>
      <c r="B124" s="214">
        <v>206543</v>
      </c>
      <c r="C124" s="3598">
        <v>1111491.25</v>
      </c>
      <c r="D124" s="3600">
        <v>213.63676473664177</v>
      </c>
      <c r="E124" s="461">
        <v>1.6759999999999999</v>
      </c>
      <c r="F124" s="456">
        <v>34099</v>
      </c>
      <c r="G124" s="3598">
        <v>149986</v>
      </c>
      <c r="H124" s="3601">
        <v>89.39</v>
      </c>
      <c r="I124" s="2433">
        <v>2.0649999999999999</v>
      </c>
      <c r="J124" s="2424">
        <v>1107366.4582347458</v>
      </c>
      <c r="K124" s="2420"/>
      <c r="L124" s="3504">
        <v>23597000</v>
      </c>
      <c r="M124" s="3604">
        <v>2.5912552089260292</v>
      </c>
      <c r="N124" s="3608">
        <v>2.4700000000000002</v>
      </c>
      <c r="O124" s="2935">
        <v>3.6</v>
      </c>
    </row>
    <row r="125" spans="1:15">
      <c r="A125" s="388">
        <v>2003.08</v>
      </c>
      <c r="B125" s="214">
        <v>187982</v>
      </c>
      <c r="C125" s="3598">
        <v>1042236</v>
      </c>
      <c r="D125" s="3600">
        <v>212.40184904169851</v>
      </c>
      <c r="E125" s="461">
        <v>1.7729999999999999</v>
      </c>
      <c r="F125" s="456">
        <v>34371</v>
      </c>
      <c r="G125" s="3598">
        <v>135286</v>
      </c>
      <c r="H125" s="3601">
        <v>87.63</v>
      </c>
      <c r="I125" s="2433">
        <v>2.1080000000000001</v>
      </c>
      <c r="J125" s="2424">
        <v>1078155.0604991964</v>
      </c>
      <c r="K125" s="2420"/>
      <c r="L125" s="3504">
        <v>21580000</v>
      </c>
      <c r="M125" s="3604">
        <v>2.570937229242356</v>
      </c>
      <c r="N125" s="3608">
        <v>2.56</v>
      </c>
      <c r="O125" s="2935">
        <v>3.7</v>
      </c>
    </row>
    <row r="126" spans="1:15">
      <c r="A126" s="388">
        <v>2003.09</v>
      </c>
      <c r="B126" s="214">
        <v>202361</v>
      </c>
      <c r="C126" s="3598">
        <v>1113897.5</v>
      </c>
      <c r="D126" s="3600">
        <v>212.89477898886554</v>
      </c>
      <c r="E126" s="461">
        <v>1.76</v>
      </c>
      <c r="F126" s="456">
        <v>37737</v>
      </c>
      <c r="G126" s="3598">
        <v>164080</v>
      </c>
      <c r="H126" s="3601">
        <v>87.68</v>
      </c>
      <c r="I126" s="2433">
        <v>2.238</v>
      </c>
      <c r="J126" s="2424">
        <v>1087025.9567516001</v>
      </c>
      <c r="K126" s="2420"/>
      <c r="L126" s="3504">
        <v>23223000</v>
      </c>
      <c r="M126" s="3604">
        <v>2.6031923585210701</v>
      </c>
      <c r="N126" s="3608">
        <v>2.6</v>
      </c>
      <c r="O126" s="2935">
        <v>3.7</v>
      </c>
    </row>
    <row r="127" spans="1:15">
      <c r="A127" s="388">
        <v>2003.1</v>
      </c>
      <c r="B127" s="214">
        <v>212077</v>
      </c>
      <c r="C127" s="3598">
        <v>1174286</v>
      </c>
      <c r="D127" s="3600">
        <v>211.86459217792682</v>
      </c>
      <c r="E127" s="461">
        <v>1.776</v>
      </c>
      <c r="F127" s="456">
        <v>39771</v>
      </c>
      <c r="G127" s="3598">
        <v>167816</v>
      </c>
      <c r="H127" s="3601">
        <v>87.19</v>
      </c>
      <c r="I127" s="2433">
        <v>2.3279999999999998</v>
      </c>
      <c r="J127" s="2424">
        <v>1054583.1145252099</v>
      </c>
      <c r="K127" s="2420"/>
      <c r="L127" s="3504">
        <v>25347000</v>
      </c>
      <c r="M127" s="3604">
        <v>2.611989725559781</v>
      </c>
      <c r="N127" s="3608">
        <v>2.63</v>
      </c>
      <c r="O127" s="2935">
        <v>3.8</v>
      </c>
    </row>
    <row r="128" spans="1:15">
      <c r="A128" s="388">
        <v>2003.11</v>
      </c>
      <c r="B128" s="214">
        <v>209558</v>
      </c>
      <c r="C128" s="3598">
        <v>1088776</v>
      </c>
      <c r="D128" s="3600">
        <v>212.25996012109994</v>
      </c>
      <c r="E128" s="461">
        <v>1.7549999999999999</v>
      </c>
      <c r="F128" s="456">
        <v>38100</v>
      </c>
      <c r="G128" s="3598">
        <v>171390</v>
      </c>
      <c r="H128" s="3601">
        <v>87.06</v>
      </c>
      <c r="I128" s="2433">
        <v>2.3620000000000001</v>
      </c>
      <c r="J128" s="2424">
        <v>1087497.8439414522</v>
      </c>
      <c r="K128" s="2420"/>
      <c r="L128" s="3504">
        <v>23415000</v>
      </c>
      <c r="M128" s="3604">
        <v>2.5732183451335593</v>
      </c>
      <c r="N128" s="3608">
        <v>2.48</v>
      </c>
      <c r="O128" s="2935">
        <v>3.7</v>
      </c>
    </row>
    <row r="129" spans="1:15">
      <c r="A129" s="388">
        <v>2003.12</v>
      </c>
      <c r="B129" s="214">
        <v>216381</v>
      </c>
      <c r="C129" s="3598">
        <v>1217320</v>
      </c>
      <c r="D129" s="3600">
        <v>207.63066795929907</v>
      </c>
      <c r="E129" s="461">
        <v>1.8129999999999999</v>
      </c>
      <c r="F129" s="456">
        <v>47109</v>
      </c>
      <c r="G129" s="3598">
        <v>209164</v>
      </c>
      <c r="H129" s="3601">
        <v>85.76</v>
      </c>
      <c r="I129" s="2433">
        <v>2.3479999999999999</v>
      </c>
      <c r="J129" s="2424">
        <v>1201779.6879013141</v>
      </c>
      <c r="K129" s="2420"/>
      <c r="L129" s="3504">
        <v>30332000</v>
      </c>
      <c r="M129" s="3604">
        <v>2.5280921950813107</v>
      </c>
      <c r="N129" s="3608">
        <v>2.65</v>
      </c>
      <c r="O129" s="2935">
        <v>3.8</v>
      </c>
    </row>
    <row r="130" spans="1:15">
      <c r="A130" s="388">
        <v>2004.01</v>
      </c>
      <c r="B130" s="214">
        <v>208464</v>
      </c>
      <c r="C130" s="3598">
        <v>1113413.75</v>
      </c>
      <c r="D130" s="3600">
        <v>212.96336389710794</v>
      </c>
      <c r="E130" s="461">
        <v>1.748</v>
      </c>
      <c r="F130" s="456">
        <v>34306</v>
      </c>
      <c r="G130" s="3598">
        <v>133563</v>
      </c>
      <c r="H130" s="3601">
        <v>84.96</v>
      </c>
      <c r="I130" s="2433">
        <v>2.343</v>
      </c>
      <c r="J130" s="2424">
        <v>1156250.0207738199</v>
      </c>
      <c r="K130" s="2420"/>
      <c r="L130" s="3504">
        <v>25531000</v>
      </c>
      <c r="M130" s="3604">
        <v>2.4875311469699355</v>
      </c>
      <c r="N130" s="3608">
        <v>2.2799999999999998</v>
      </c>
      <c r="O130" s="2935">
        <v>3.48</v>
      </c>
    </row>
    <row r="131" spans="1:15">
      <c r="A131" s="388">
        <v>2004.02</v>
      </c>
      <c r="B131" s="214">
        <v>201470</v>
      </c>
      <c r="C131" s="3598">
        <v>1084766.75</v>
      </c>
      <c r="D131" s="3600">
        <v>210.533604029125</v>
      </c>
      <c r="E131" s="461">
        <v>1.7829999999999999</v>
      </c>
      <c r="F131" s="456">
        <v>33492</v>
      </c>
      <c r="G131" s="3598">
        <v>133888</v>
      </c>
      <c r="H131" s="3601">
        <v>85.95</v>
      </c>
      <c r="I131" s="2433">
        <v>2.302</v>
      </c>
      <c r="J131" s="2424">
        <v>1116552.524209481</v>
      </c>
      <c r="K131" s="2420"/>
      <c r="L131" s="3504">
        <v>24858000</v>
      </c>
      <c r="M131" s="3604">
        <v>2.4639575630786523</v>
      </c>
      <c r="N131" s="3608">
        <v>2.25</v>
      </c>
      <c r="O131" s="2935">
        <v>3.51</v>
      </c>
    </row>
    <row r="132" spans="1:15">
      <c r="A132" s="388">
        <v>2004.03</v>
      </c>
      <c r="B132" s="214">
        <v>231241</v>
      </c>
      <c r="C132" s="3598">
        <v>1239671</v>
      </c>
      <c r="D132" s="3600">
        <v>209.79761165681228</v>
      </c>
      <c r="E132" s="461">
        <v>1.7250000000000001</v>
      </c>
      <c r="F132" s="456">
        <v>42682</v>
      </c>
      <c r="G132" s="3598">
        <v>166769</v>
      </c>
      <c r="H132" s="3601">
        <v>87.26</v>
      </c>
      <c r="I132" s="2433">
        <v>2.2549999999999999</v>
      </c>
      <c r="J132" s="2424">
        <v>1352778.1404941746</v>
      </c>
      <c r="K132" s="2420"/>
      <c r="L132" s="3504">
        <v>29264000</v>
      </c>
      <c r="M132" s="3604">
        <v>2.5142581551195562</v>
      </c>
      <c r="N132" s="3608">
        <v>2.08</v>
      </c>
      <c r="O132" s="2935">
        <v>3.21</v>
      </c>
    </row>
    <row r="133" spans="1:15">
      <c r="A133" s="388">
        <v>2004.04</v>
      </c>
      <c r="B133" s="214">
        <v>200462</v>
      </c>
      <c r="C133" s="3598">
        <v>1110502</v>
      </c>
      <c r="D133" s="3600">
        <v>205.38439823259918</v>
      </c>
      <c r="E133" s="461">
        <v>1.734</v>
      </c>
      <c r="F133" s="456">
        <v>34673</v>
      </c>
      <c r="G133" s="3598">
        <v>147170</v>
      </c>
      <c r="H133" s="3601">
        <v>88.49</v>
      </c>
      <c r="I133" s="2433">
        <v>2.2080000000000002</v>
      </c>
      <c r="J133" s="2424">
        <v>1223337.0802131142</v>
      </c>
      <c r="K133" s="2420"/>
      <c r="L133" s="3504">
        <v>26216000</v>
      </c>
      <c r="M133" s="3604">
        <v>2.5741309703565558</v>
      </c>
      <c r="N133" s="3608">
        <v>2.0299999999999998</v>
      </c>
      <c r="O133" s="2935">
        <v>3.18</v>
      </c>
    </row>
    <row r="134" spans="1:15">
      <c r="A134" s="388">
        <v>2004.05</v>
      </c>
      <c r="B134" s="214">
        <v>215004</v>
      </c>
      <c r="C134" s="3598">
        <v>1192916</v>
      </c>
      <c r="D134" s="3600">
        <v>206.02837714316476</v>
      </c>
      <c r="E134" s="461">
        <v>1.6439999999999999</v>
      </c>
      <c r="F134" s="456">
        <v>39473</v>
      </c>
      <c r="G134" s="3598">
        <v>166020</v>
      </c>
      <c r="H134" s="3601">
        <v>88.7</v>
      </c>
      <c r="I134" s="2433">
        <v>2.2080000000000002</v>
      </c>
      <c r="J134" s="2424">
        <v>1279782.2704953228</v>
      </c>
      <c r="K134" s="2420"/>
      <c r="L134" s="3504">
        <v>26582000</v>
      </c>
      <c r="M134" s="3604">
        <v>2.5991672351362785</v>
      </c>
      <c r="N134" s="3608">
        <v>2.17</v>
      </c>
      <c r="O134" s="2935">
        <v>3.38</v>
      </c>
    </row>
    <row r="135" spans="1:15">
      <c r="A135" s="388">
        <v>2004.06</v>
      </c>
      <c r="B135" s="214">
        <v>233151</v>
      </c>
      <c r="C135" s="3598">
        <v>1256293</v>
      </c>
      <c r="D135" s="3600">
        <v>208.5121871361803</v>
      </c>
      <c r="E135" s="461">
        <v>1.6040000000000001</v>
      </c>
      <c r="F135" s="456">
        <v>40932</v>
      </c>
      <c r="G135" s="3598">
        <v>173274</v>
      </c>
      <c r="H135" s="3601">
        <v>88.85</v>
      </c>
      <c r="I135" s="2433">
        <v>2.1930000000000001</v>
      </c>
      <c r="J135" s="2424">
        <v>1297999.9360419747</v>
      </c>
      <c r="K135" s="2420"/>
      <c r="L135" s="3504">
        <v>27739000</v>
      </c>
      <c r="M135" s="3604">
        <v>2.6080121154293336</v>
      </c>
      <c r="N135" s="3608">
        <v>2.12</v>
      </c>
      <c r="O135" s="2935">
        <v>3.36</v>
      </c>
    </row>
    <row r="136" spans="1:15">
      <c r="A136" s="388">
        <v>2004.07</v>
      </c>
      <c r="B136" s="214">
        <v>231741</v>
      </c>
      <c r="C136" s="3598">
        <v>1230684</v>
      </c>
      <c r="D136" s="3600">
        <v>211.50079332129789</v>
      </c>
      <c r="E136" s="461">
        <v>1.7549999999999999</v>
      </c>
      <c r="F136" s="456">
        <v>39941</v>
      </c>
      <c r="G136" s="3598">
        <v>168435</v>
      </c>
      <c r="H136" s="3601">
        <v>86.74</v>
      </c>
      <c r="I136" s="2433">
        <v>2.198</v>
      </c>
      <c r="J136" s="2424">
        <v>1353970.3526817595</v>
      </c>
      <c r="K136" s="2420"/>
      <c r="L136" s="3504">
        <v>28100000</v>
      </c>
      <c r="M136" s="3604">
        <v>2.5886442293603693</v>
      </c>
      <c r="N136" s="3608">
        <v>2.04</v>
      </c>
      <c r="O136" s="2935">
        <v>3.27</v>
      </c>
    </row>
    <row r="137" spans="1:15">
      <c r="A137" s="388">
        <v>2004.08</v>
      </c>
      <c r="B137" s="214">
        <v>226734</v>
      </c>
      <c r="C137" s="3598">
        <v>1231635</v>
      </c>
      <c r="D137" s="3600">
        <v>210.7884019812914</v>
      </c>
      <c r="E137" s="461">
        <v>1.909</v>
      </c>
      <c r="F137" s="456">
        <v>42007</v>
      </c>
      <c r="G137" s="3598">
        <v>177240</v>
      </c>
      <c r="H137" s="3601">
        <v>85.91</v>
      </c>
      <c r="I137" s="2433">
        <v>2.2719999999999998</v>
      </c>
      <c r="J137" s="2424">
        <v>1318253.7511898035</v>
      </c>
      <c r="K137" s="2420"/>
      <c r="L137" s="3504">
        <v>28488000</v>
      </c>
      <c r="M137" s="3604">
        <v>2.5683467223146619</v>
      </c>
      <c r="N137" s="3608">
        <v>2.23</v>
      </c>
      <c r="O137" s="2935">
        <v>3.33</v>
      </c>
    </row>
    <row r="138" spans="1:15">
      <c r="A138" s="388">
        <v>2004.09</v>
      </c>
      <c r="B138" s="214">
        <v>232502</v>
      </c>
      <c r="C138" s="3598">
        <v>1215847</v>
      </c>
      <c r="D138" s="3600">
        <v>215.26812586066617</v>
      </c>
      <c r="E138" s="461">
        <v>1.94</v>
      </c>
      <c r="F138" s="456">
        <v>54354</v>
      </c>
      <c r="G138" s="3598">
        <v>191854</v>
      </c>
      <c r="H138" s="3601">
        <v>86.45</v>
      </c>
      <c r="I138" s="2433">
        <v>2.48</v>
      </c>
      <c r="J138" s="2424">
        <v>1329100.1430397218</v>
      </c>
      <c r="K138" s="2420"/>
      <c r="L138" s="3504">
        <v>28338000</v>
      </c>
      <c r="M138" s="3604">
        <v>2.6005693509415124</v>
      </c>
      <c r="N138" s="3608">
        <v>2.34</v>
      </c>
      <c r="O138" s="2935">
        <v>3.44</v>
      </c>
    </row>
    <row r="139" spans="1:15">
      <c r="A139" s="388">
        <v>2004.1</v>
      </c>
      <c r="B139" s="214">
        <v>220260</v>
      </c>
      <c r="C139" s="3598">
        <v>1181224</v>
      </c>
      <c r="D139" s="3600">
        <v>217.85561043485546</v>
      </c>
      <c r="E139" s="461">
        <v>1.921</v>
      </c>
      <c r="F139" s="456">
        <v>58858</v>
      </c>
      <c r="G139" s="3598">
        <v>200458</v>
      </c>
      <c r="H139" s="3601">
        <v>87.41</v>
      </c>
      <c r="I139" s="2433">
        <v>2.548</v>
      </c>
      <c r="J139" s="2424">
        <v>1289432.4736746158</v>
      </c>
      <c r="K139" s="2420"/>
      <c r="L139" s="3504">
        <v>28843000</v>
      </c>
      <c r="M139" s="3604">
        <v>2.6093578536485706</v>
      </c>
      <c r="N139" s="3608">
        <v>2.58</v>
      </c>
      <c r="O139" s="2935">
        <v>3.68</v>
      </c>
    </row>
    <row r="140" spans="1:15">
      <c r="A140" s="388">
        <v>2004.11</v>
      </c>
      <c r="B140" s="214">
        <v>227234</v>
      </c>
      <c r="C140" s="3598">
        <v>1226590</v>
      </c>
      <c r="D140" s="3600">
        <v>218.4896647976486</v>
      </c>
      <c r="E140" s="461">
        <v>1.8879999999999999</v>
      </c>
      <c r="F140" s="456">
        <v>63198</v>
      </c>
      <c r="G140" s="3598">
        <v>230684</v>
      </c>
      <c r="H140" s="3601">
        <v>87.95</v>
      </c>
      <c r="I140" s="2433">
        <v>2.4750000000000001</v>
      </c>
      <c r="J140" s="2424">
        <v>1329677.1166875318</v>
      </c>
      <c r="K140" s="2420"/>
      <c r="L140" s="3504">
        <v>31390000</v>
      </c>
      <c r="M140" s="3604">
        <v>2.5706255397263642</v>
      </c>
      <c r="N140" s="3608">
        <v>2.56</v>
      </c>
      <c r="O140" s="2935">
        <v>3.8</v>
      </c>
    </row>
    <row r="141" spans="1:15">
      <c r="A141" s="388">
        <v>2004.12</v>
      </c>
      <c r="B141" s="214">
        <v>219560</v>
      </c>
      <c r="C141" s="3598">
        <v>1248437</v>
      </c>
      <c r="D141" s="3600">
        <v>213.0747164558978</v>
      </c>
      <c r="E141" s="461">
        <v>1.9</v>
      </c>
      <c r="F141" s="456">
        <v>66782</v>
      </c>
      <c r="G141" s="3598">
        <v>259154</v>
      </c>
      <c r="H141" s="3601">
        <v>86.4</v>
      </c>
      <c r="I141" s="2433">
        <v>2.4430000000000001</v>
      </c>
      <c r="J141" s="2424">
        <v>1469408.8445367913</v>
      </c>
      <c r="K141" s="2420"/>
      <c r="L141" s="3504">
        <v>32991000</v>
      </c>
      <c r="M141" s="3604">
        <v>2.5255448593195826</v>
      </c>
      <c r="N141" s="3608">
        <v>2.15</v>
      </c>
      <c r="O141" s="2935">
        <v>3.52</v>
      </c>
    </row>
    <row r="142" spans="1:15">
      <c r="A142" s="388">
        <v>2005.01</v>
      </c>
      <c r="B142" s="214">
        <v>218661</v>
      </c>
      <c r="C142" s="3598">
        <v>1128533</v>
      </c>
      <c r="D142" s="3600">
        <v>218.27140030271053</v>
      </c>
      <c r="E142" s="461">
        <v>1.8720000000000001</v>
      </c>
      <c r="F142" s="456">
        <v>43463</v>
      </c>
      <c r="G142" s="3598">
        <v>164643</v>
      </c>
      <c r="H142" s="3601">
        <v>85.32</v>
      </c>
      <c r="I142" s="2433">
        <v>2.4620000000000002</v>
      </c>
      <c r="J142" s="2424">
        <v>1347779.9136158177</v>
      </c>
      <c r="K142" s="2420"/>
      <c r="L142" s="3504">
        <v>28515000</v>
      </c>
      <c r="M142" s="3604">
        <v>2.4888394210720071</v>
      </c>
      <c r="N142" s="3608">
        <v>2.5</v>
      </c>
      <c r="O142" s="2935">
        <v>4.0199999999999996</v>
      </c>
    </row>
    <row r="143" spans="1:15">
      <c r="A143" s="388">
        <v>2005.02</v>
      </c>
      <c r="B143" s="214">
        <v>207493</v>
      </c>
      <c r="C143" s="3598">
        <v>1092710</v>
      </c>
      <c r="D143" s="3600">
        <v>217.65972391866015</v>
      </c>
      <c r="E143" s="461">
        <v>1.99</v>
      </c>
      <c r="F143" s="456">
        <v>44527</v>
      </c>
      <c r="G143" s="3598">
        <v>185297</v>
      </c>
      <c r="H143" s="3601">
        <v>85.35</v>
      </c>
      <c r="I143" s="2433">
        <v>2.5179999999999998</v>
      </c>
      <c r="J143" s="2424">
        <v>1301506.6271042707</v>
      </c>
      <c r="K143" s="2420"/>
      <c r="L143" s="3504">
        <v>28205000</v>
      </c>
      <c r="M143" s="3604">
        <v>2.4652534390608709</v>
      </c>
      <c r="N143" s="3608">
        <v>2.48</v>
      </c>
      <c r="O143" s="2935">
        <v>3.73</v>
      </c>
    </row>
    <row r="144" spans="1:15">
      <c r="A144" s="388">
        <v>2005.03</v>
      </c>
      <c r="B144" s="214">
        <v>200404</v>
      </c>
      <c r="C144" s="3598">
        <v>1136206</v>
      </c>
      <c r="D144" s="3600">
        <v>216.26337535765444</v>
      </c>
      <c r="E144" s="461">
        <v>2.085</v>
      </c>
      <c r="F144" s="456">
        <v>49647</v>
      </c>
      <c r="G144" s="3598">
        <v>182334</v>
      </c>
      <c r="H144" s="3601">
        <v>86.76</v>
      </c>
      <c r="I144" s="2433">
        <v>2.52</v>
      </c>
      <c r="J144" s="2424">
        <v>1576862.4195279127</v>
      </c>
      <c r="K144" s="2420"/>
      <c r="L144" s="3504">
        <v>31754000</v>
      </c>
      <c r="M144" s="3604">
        <v>2.5155804858305792</v>
      </c>
      <c r="N144" s="3608">
        <v>2.4900000000000002</v>
      </c>
      <c r="O144" s="2935">
        <v>3.61</v>
      </c>
    </row>
    <row r="145" spans="1:15">
      <c r="A145" s="388">
        <v>2005.04</v>
      </c>
      <c r="B145" s="214">
        <v>216518</v>
      </c>
      <c r="C145" s="3598">
        <v>1211311</v>
      </c>
      <c r="D145" s="3600">
        <v>217.01180139189444</v>
      </c>
      <c r="E145" s="461">
        <v>1.9730000000000001</v>
      </c>
      <c r="F145" s="456">
        <v>48060</v>
      </c>
      <c r="G145" s="3598">
        <v>194399</v>
      </c>
      <c r="H145" s="3601">
        <v>88.82</v>
      </c>
      <c r="I145" s="2433">
        <v>2.5329999999999999</v>
      </c>
      <c r="J145" s="2424">
        <v>1425979.7748493929</v>
      </c>
      <c r="K145" s="2420"/>
      <c r="L145" s="3504">
        <v>31836000</v>
      </c>
      <c r="M145" s="3604">
        <v>2.5754847901420725</v>
      </c>
      <c r="N145" s="3608">
        <v>2.5</v>
      </c>
      <c r="O145" s="2935">
        <v>3.95</v>
      </c>
    </row>
    <row r="146" spans="1:15">
      <c r="A146" s="388">
        <v>2005.05</v>
      </c>
      <c r="B146" s="214">
        <v>210402</v>
      </c>
      <c r="C146" s="3598">
        <v>1270277</v>
      </c>
      <c r="D146" s="3600">
        <v>216.87928601557624</v>
      </c>
      <c r="E146" s="461">
        <v>1.9019999999999999</v>
      </c>
      <c r="F146" s="456">
        <v>49230</v>
      </c>
      <c r="G146" s="3598">
        <v>190762</v>
      </c>
      <c r="H146" s="3601">
        <v>90.32</v>
      </c>
      <c r="I146" s="2433">
        <v>2.5139999999999998</v>
      </c>
      <c r="J146" s="2424">
        <v>1491774.9682035691</v>
      </c>
      <c r="K146" s="2420"/>
      <c r="L146" s="3504">
        <v>32906000</v>
      </c>
      <c r="M146" s="3604">
        <v>2.6005342223134331</v>
      </c>
      <c r="N146" s="3608">
        <v>2.21</v>
      </c>
      <c r="O146" s="2935">
        <v>3.62</v>
      </c>
    </row>
    <row r="147" spans="1:15">
      <c r="A147" s="388">
        <v>2005.06</v>
      </c>
      <c r="B147" s="214">
        <v>215841</v>
      </c>
      <c r="C147" s="3598">
        <v>1218348</v>
      </c>
      <c r="D147" s="3600">
        <v>217.17447023461068</v>
      </c>
      <c r="E147" s="461">
        <v>1.994</v>
      </c>
      <c r="F147" s="456">
        <v>47223</v>
      </c>
      <c r="G147" s="3598">
        <v>190325</v>
      </c>
      <c r="H147" s="3601">
        <v>92.35</v>
      </c>
      <c r="I147" s="2433">
        <v>2.508</v>
      </c>
      <c r="J147" s="2424">
        <v>1513010.3439922035</v>
      </c>
      <c r="K147" s="2420"/>
      <c r="L147" s="3504">
        <v>32036000</v>
      </c>
      <c r="M147" s="3604">
        <v>2.6093837544187228</v>
      </c>
      <c r="N147" s="3608">
        <v>2.19</v>
      </c>
      <c r="O147" s="2935">
        <v>3.6</v>
      </c>
    </row>
    <row r="148" spans="1:15">
      <c r="A148" s="388">
        <v>2005.07</v>
      </c>
      <c r="B148" s="214">
        <v>215377</v>
      </c>
      <c r="C148" s="3598">
        <v>1201097</v>
      </c>
      <c r="D148" s="3600">
        <v>217.09785121394302</v>
      </c>
      <c r="E148" s="461">
        <v>2.1059999999999999</v>
      </c>
      <c r="F148" s="456">
        <v>46911</v>
      </c>
      <c r="G148" s="3598">
        <v>215420</v>
      </c>
      <c r="H148" s="3601">
        <v>89</v>
      </c>
      <c r="I148" s="2433">
        <v>2.4300000000000002</v>
      </c>
      <c r="J148" s="2424">
        <v>1578252.1186503563</v>
      </c>
      <c r="K148" s="2420"/>
      <c r="L148" s="3504">
        <v>31210000</v>
      </c>
      <c r="M148" s="3604">
        <v>2.590005682144136</v>
      </c>
      <c r="N148" s="3608">
        <v>2.19</v>
      </c>
      <c r="O148" s="2935">
        <v>3.87</v>
      </c>
    </row>
    <row r="149" spans="1:15">
      <c r="A149" s="388">
        <v>2005.08</v>
      </c>
      <c r="B149" s="214">
        <v>227619</v>
      </c>
      <c r="C149" s="3598">
        <v>1279725</v>
      </c>
      <c r="D149" s="3600">
        <v>223.23835516037016</v>
      </c>
      <c r="E149" s="461">
        <v>2.1890000000000001</v>
      </c>
      <c r="F149" s="456">
        <v>56146</v>
      </c>
      <c r="G149" s="3598">
        <v>209832</v>
      </c>
      <c r="H149" s="3601">
        <v>88</v>
      </c>
      <c r="I149" s="2433">
        <v>2.38</v>
      </c>
      <c r="J149" s="2424">
        <v>1536619.1524158886</v>
      </c>
      <c r="K149" s="2420"/>
      <c r="L149" s="3504">
        <v>34466000</v>
      </c>
      <c r="M149" s="3604">
        <v>2.5696974999746871</v>
      </c>
      <c r="N149" s="3608">
        <v>2.3199999999999998</v>
      </c>
      <c r="O149" s="2935">
        <v>4.03</v>
      </c>
    </row>
    <row r="150" spans="1:15">
      <c r="A150" s="388">
        <v>2005.09</v>
      </c>
      <c r="B150" s="214">
        <v>221884</v>
      </c>
      <c r="C150" s="3598">
        <v>1246835</v>
      </c>
      <c r="D150" s="3600">
        <v>220.68362328239868</v>
      </c>
      <c r="E150" s="461">
        <v>2.1240000000000001</v>
      </c>
      <c r="F150" s="456">
        <v>52568</v>
      </c>
      <c r="G150" s="3598">
        <v>233719</v>
      </c>
      <c r="H150" s="3601">
        <v>87</v>
      </c>
      <c r="I150" s="2433">
        <v>2.34</v>
      </c>
      <c r="J150" s="2424">
        <v>1549262.2216551376</v>
      </c>
      <c r="K150" s="2420"/>
      <c r="L150" s="3504">
        <v>34057000</v>
      </c>
      <c r="M150" s="3604">
        <v>2.6019370755372915</v>
      </c>
      <c r="N150" s="3608">
        <v>2.5</v>
      </c>
      <c r="O150" s="2935">
        <v>4.07</v>
      </c>
    </row>
    <row r="151" spans="1:15">
      <c r="A151" s="388">
        <v>2005.1</v>
      </c>
      <c r="B151" s="214">
        <v>217962</v>
      </c>
      <c r="C151" s="3598">
        <v>1234561</v>
      </c>
      <c r="D151" s="3600">
        <v>217.82809540753993</v>
      </c>
      <c r="E151" s="461">
        <v>2.2210000000000001</v>
      </c>
      <c r="F151" s="456">
        <v>59839</v>
      </c>
      <c r="G151" s="3598">
        <v>260714</v>
      </c>
      <c r="H151" s="3601">
        <v>87</v>
      </c>
      <c r="I151" s="2433">
        <v>2.36</v>
      </c>
      <c r="J151" s="2424">
        <v>1503023.703142971</v>
      </c>
      <c r="K151" s="2420"/>
      <c r="L151" s="3504">
        <v>33556000</v>
      </c>
      <c r="M151" s="3604">
        <v>2.6107302004057651</v>
      </c>
      <c r="N151" s="3608">
        <v>2.5299999999999998</v>
      </c>
      <c r="O151" s="2935">
        <v>4.07</v>
      </c>
    </row>
    <row r="152" spans="1:15">
      <c r="A152" s="388">
        <v>2005.11</v>
      </c>
      <c r="B152" s="214">
        <v>210262</v>
      </c>
      <c r="C152" s="3598">
        <v>1186146</v>
      </c>
      <c r="D152" s="3600">
        <v>230.3610116549286</v>
      </c>
      <c r="E152" s="461">
        <v>2.3380000000000001</v>
      </c>
      <c r="F152" s="456">
        <v>65799</v>
      </c>
      <c r="G152" s="3598">
        <v>277129</v>
      </c>
      <c r="H152" s="3601">
        <v>87</v>
      </c>
      <c r="I152" s="2433">
        <v>2.5099999999999998</v>
      </c>
      <c r="J152" s="2424">
        <v>1549934.7695290684</v>
      </c>
      <c r="K152" s="2420"/>
      <c r="L152" s="3504">
        <v>36247000</v>
      </c>
      <c r="M152" s="3604">
        <v>2.5719775158911022</v>
      </c>
      <c r="N152" s="3608">
        <v>2.62</v>
      </c>
      <c r="O152" s="2935">
        <v>4.05</v>
      </c>
    </row>
    <row r="153" spans="1:15">
      <c r="A153" s="388">
        <v>2005.12</v>
      </c>
      <c r="B153" s="214">
        <v>205231</v>
      </c>
      <c r="C153" s="3598">
        <v>1144571</v>
      </c>
      <c r="D153" s="3600">
        <v>222.44846225928273</v>
      </c>
      <c r="E153" s="461">
        <v>2.2909999999999999</v>
      </c>
      <c r="F153" s="456">
        <v>66351</v>
      </c>
      <c r="G153" s="3598">
        <v>206951</v>
      </c>
      <c r="H153" s="3601">
        <v>87</v>
      </c>
      <c r="I153" s="2433">
        <v>2.71</v>
      </c>
      <c r="J153" s="2424">
        <v>1712812.7048427698</v>
      </c>
      <c r="K153" s="2420"/>
      <c r="L153" s="3504">
        <v>39597000</v>
      </c>
      <c r="M153" s="3604">
        <v>2.5268731260780077</v>
      </c>
      <c r="N153" s="3608">
        <v>2.74</v>
      </c>
      <c r="O153" s="2935">
        <v>3.99</v>
      </c>
    </row>
    <row r="154" spans="1:15">
      <c r="A154" s="388">
        <v>2006.01</v>
      </c>
      <c r="B154" s="214">
        <v>201639</v>
      </c>
      <c r="C154" s="3598">
        <v>1138254</v>
      </c>
      <c r="D154" s="3600">
        <v>226.56414883275363</v>
      </c>
      <c r="E154" s="461">
        <v>2.2629999999999999</v>
      </c>
      <c r="F154" s="456">
        <v>61061</v>
      </c>
      <c r="G154" s="3598">
        <v>206951</v>
      </c>
      <c r="H154" s="3601">
        <v>86.867476975227049</v>
      </c>
      <c r="I154" s="2433">
        <v>2.64</v>
      </c>
      <c r="J154" s="2424">
        <v>1539309.8064578157</v>
      </c>
      <c r="K154" s="2420"/>
      <c r="L154" s="3504">
        <v>35755000</v>
      </c>
      <c r="M154" s="3604">
        <v>2.5013671661346715</v>
      </c>
      <c r="N154" s="3608">
        <v>2.88</v>
      </c>
      <c r="O154" s="2935">
        <v>3.91</v>
      </c>
    </row>
    <row r="155" spans="1:15">
      <c r="A155" s="388">
        <v>2006.02</v>
      </c>
      <c r="B155" s="214">
        <v>176567</v>
      </c>
      <c r="C155" s="3598">
        <v>1007948</v>
      </c>
      <c r="D155" s="3600">
        <v>224.72290961794832</v>
      </c>
      <c r="E155" s="461">
        <v>2.391</v>
      </c>
      <c r="F155" s="456">
        <v>56670</v>
      </c>
      <c r="G155" s="3598">
        <v>200540</v>
      </c>
      <c r="H155" s="3601">
        <v>87.657140078793958</v>
      </c>
      <c r="I155" s="2433">
        <v>2.56</v>
      </c>
      <c r="J155" s="2424">
        <v>1486460.729999061</v>
      </c>
      <c r="K155" s="2420"/>
      <c r="L155" s="3504">
        <v>33383000</v>
      </c>
      <c r="M155" s="3604">
        <v>2.4776624624546373</v>
      </c>
      <c r="N155" s="3608">
        <v>2.5</v>
      </c>
      <c r="O155" s="2935">
        <v>3.88</v>
      </c>
    </row>
    <row r="156" spans="1:15">
      <c r="A156" s="388">
        <v>2006.03</v>
      </c>
      <c r="B156" s="214">
        <v>190178</v>
      </c>
      <c r="C156" s="3598">
        <v>1114299</v>
      </c>
      <c r="D156" s="3600">
        <v>231.35683076845356</v>
      </c>
      <c r="E156" s="461">
        <v>2.3980000000000001</v>
      </c>
      <c r="F156" s="456">
        <v>59969</v>
      </c>
      <c r="G156" s="3598">
        <v>225934</v>
      </c>
      <c r="H156" s="3601">
        <v>88.160595977594241</v>
      </c>
      <c r="I156" s="2433">
        <v>2.5099999999999998</v>
      </c>
      <c r="J156" s="2424">
        <v>1800946.6985616512</v>
      </c>
      <c r="K156" s="2420"/>
      <c r="L156" s="3504">
        <v>38618000</v>
      </c>
      <c r="M156" s="3604">
        <v>2.5282428338889864</v>
      </c>
      <c r="N156" s="3608">
        <v>2.4900000000000002</v>
      </c>
      <c r="O156" s="2935">
        <v>3.85</v>
      </c>
    </row>
    <row r="157" spans="1:15">
      <c r="A157" s="388">
        <v>2006.04</v>
      </c>
      <c r="B157" s="214">
        <v>139522</v>
      </c>
      <c r="C157" s="3598">
        <v>878694</v>
      </c>
      <c r="D157" s="3600">
        <v>226.58635613423803</v>
      </c>
      <c r="E157" s="461">
        <v>2.1720000000000002</v>
      </c>
      <c r="F157" s="456">
        <v>53934</v>
      </c>
      <c r="G157" s="3598">
        <v>216154</v>
      </c>
      <c r="H157" s="3601">
        <v>90.187068857850605</v>
      </c>
      <c r="I157" s="2433">
        <v>2.4300000000000002</v>
      </c>
      <c r="J157" s="2424">
        <v>1628622.4694856722</v>
      </c>
      <c r="K157" s="2420"/>
      <c r="L157" s="3504">
        <v>33750000</v>
      </c>
      <c r="M157" s="3604">
        <v>2.5884486706521992</v>
      </c>
      <c r="N157" s="3608">
        <v>2.5</v>
      </c>
      <c r="O157" s="2935">
        <v>3.85</v>
      </c>
    </row>
    <row r="158" spans="1:15">
      <c r="A158" s="388">
        <v>2006.05</v>
      </c>
      <c r="B158" s="214">
        <v>156168</v>
      </c>
      <c r="C158" s="3598">
        <v>1009348</v>
      </c>
      <c r="D158" s="3600">
        <v>226.29668090388571</v>
      </c>
      <c r="E158" s="461">
        <v>2.024</v>
      </c>
      <c r="F158" s="456">
        <v>60878</v>
      </c>
      <c r="G158" s="3598">
        <v>258524</v>
      </c>
      <c r="H158" s="3601">
        <v>89.962233501196181</v>
      </c>
      <c r="I158" s="2433">
        <v>2.3199999999999998</v>
      </c>
      <c r="J158" s="2424">
        <v>1703767.6659118156</v>
      </c>
      <c r="K158" s="2420"/>
      <c r="L158" s="3504">
        <v>38090000</v>
      </c>
      <c r="M158" s="3604">
        <v>2.6136241908698796</v>
      </c>
      <c r="N158" s="3608">
        <v>2.21</v>
      </c>
      <c r="O158" s="2935">
        <v>3.84</v>
      </c>
    </row>
    <row r="159" spans="1:15">
      <c r="A159" s="388">
        <v>2006.06</v>
      </c>
      <c r="B159" s="214">
        <v>183791</v>
      </c>
      <c r="C159" s="3598">
        <v>1041743</v>
      </c>
      <c r="D159" s="3600">
        <v>229.79772811960243</v>
      </c>
      <c r="E159" s="461">
        <v>1.91</v>
      </c>
      <c r="F159" s="456">
        <v>57880</v>
      </c>
      <c r="G159" s="3598">
        <v>240424</v>
      </c>
      <c r="H159" s="3601">
        <v>88.885753617772139</v>
      </c>
      <c r="I159" s="2433">
        <v>2.2200000000000002</v>
      </c>
      <c r="J159" s="2424">
        <v>1728020.7519424323</v>
      </c>
      <c r="K159" s="2420"/>
      <c r="L159" s="3504">
        <v>37723000</v>
      </c>
      <c r="M159" s="3604">
        <v>2.6225182677060186</v>
      </c>
      <c r="N159" s="3608">
        <v>2.19</v>
      </c>
      <c r="O159" s="2935">
        <v>3.71</v>
      </c>
    </row>
    <row r="160" spans="1:15">
      <c r="A160" s="388">
        <v>2006.07</v>
      </c>
      <c r="B160" s="214">
        <v>191489</v>
      </c>
      <c r="C160" s="3598">
        <v>1081878</v>
      </c>
      <c r="D160" s="3600">
        <v>231.29963296428272</v>
      </c>
      <c r="E160" s="461">
        <v>2.052</v>
      </c>
      <c r="F160" s="456">
        <v>60394</v>
      </c>
      <c r="G160" s="3598">
        <v>256085</v>
      </c>
      <c r="H160" s="3601">
        <v>87.482061608366195</v>
      </c>
      <c r="I160" s="2433">
        <v>2.16</v>
      </c>
      <c r="J160" s="2424">
        <v>1802533.8846189538</v>
      </c>
      <c r="K160" s="2420"/>
      <c r="L160" s="3504">
        <v>36860000</v>
      </c>
      <c r="M160" s="3604">
        <v>2.6030426545667193</v>
      </c>
      <c r="N160" s="3608">
        <v>2.3199999999999998</v>
      </c>
      <c r="O160" s="2935">
        <v>3.73</v>
      </c>
    </row>
    <row r="161" spans="1:15">
      <c r="A161" s="388">
        <v>2006.08</v>
      </c>
      <c r="B161" s="214">
        <v>213417</v>
      </c>
      <c r="C161" s="3598">
        <v>1277126</v>
      </c>
      <c r="D161" s="3600">
        <v>232.00532327789693</v>
      </c>
      <c r="E161" s="461">
        <v>2.0609999999999999</v>
      </c>
      <c r="F161" s="456">
        <v>63732</v>
      </c>
      <c r="G161" s="3598">
        <v>273595</v>
      </c>
      <c r="H161" s="3601">
        <v>86.759798963678918</v>
      </c>
      <c r="I161" s="2433">
        <v>2.15</v>
      </c>
      <c r="J161" s="2424">
        <v>1754984.5536419742</v>
      </c>
      <c r="K161" s="2420"/>
      <c r="L161" s="3504">
        <v>39886000</v>
      </c>
      <c r="M161" s="3604">
        <v>2.5826322497601848</v>
      </c>
      <c r="N161" s="3608">
        <v>2.5</v>
      </c>
      <c r="O161" s="2935">
        <v>3.81</v>
      </c>
    </row>
    <row r="162" spans="1:15">
      <c r="A162" s="388">
        <v>2006.09</v>
      </c>
      <c r="B162" s="214">
        <v>214946</v>
      </c>
      <c r="C162" s="3598">
        <v>1217509</v>
      </c>
      <c r="D162" s="3600">
        <v>230.10254774343849</v>
      </c>
      <c r="E162" s="461">
        <v>2.0659999999999998</v>
      </c>
      <c r="F162" s="456">
        <v>60128</v>
      </c>
      <c r="G162" s="3598">
        <v>265597</v>
      </c>
      <c r="H162" s="3601">
        <v>86.451515202688412</v>
      </c>
      <c r="I162" s="2433">
        <v>2.11</v>
      </c>
      <c r="J162" s="2424">
        <v>1769424.3002705537</v>
      </c>
      <c r="K162" s="2420"/>
      <c r="L162" s="3504">
        <v>37624000</v>
      </c>
      <c r="M162" s="3604">
        <v>2.6150341054522972</v>
      </c>
      <c r="N162" s="3608">
        <v>2.62</v>
      </c>
      <c r="O162" s="2935">
        <v>3.9</v>
      </c>
    </row>
    <row r="163" spans="1:15">
      <c r="A163" s="388">
        <v>2006.1</v>
      </c>
      <c r="B163" s="214">
        <v>213067</v>
      </c>
      <c r="C163" s="3598">
        <v>1253146</v>
      </c>
      <c r="D163" s="3600">
        <v>224.17792111113803</v>
      </c>
      <c r="E163" s="461">
        <v>2.15</v>
      </c>
      <c r="F163" s="456">
        <v>65408</v>
      </c>
      <c r="G163" s="3598">
        <v>297133</v>
      </c>
      <c r="H163" s="3601">
        <v>84.824640129259691</v>
      </c>
      <c r="I163" s="2433">
        <v>2.13</v>
      </c>
      <c r="J163" s="2424">
        <v>1716614.9326113262</v>
      </c>
      <c r="K163" s="2420"/>
      <c r="L163" s="3504">
        <v>38537000</v>
      </c>
      <c r="M163" s="3604">
        <v>2.6238714911218994</v>
      </c>
      <c r="N163" s="3608">
        <v>2.74</v>
      </c>
      <c r="O163" s="2935">
        <v>3.94</v>
      </c>
    </row>
    <row r="164" spans="1:15">
      <c r="A164" s="388">
        <v>2006.11</v>
      </c>
      <c r="B164" s="214">
        <v>220481</v>
      </c>
      <c r="C164" s="3598">
        <v>1270595</v>
      </c>
      <c r="D164" s="3600">
        <v>221.79238286761756</v>
      </c>
      <c r="E164" s="461">
        <v>2.238</v>
      </c>
      <c r="F164" s="456">
        <v>63357</v>
      </c>
      <c r="G164" s="3598">
        <v>292004</v>
      </c>
      <c r="H164" s="3601">
        <v>83.425106790937178</v>
      </c>
      <c r="I164" s="2433">
        <v>2.15</v>
      </c>
      <c r="J164" s="2424">
        <v>1770192.4223706054</v>
      </c>
      <c r="K164" s="2420"/>
      <c r="L164" s="3504">
        <v>39879000</v>
      </c>
      <c r="M164" s="3604">
        <v>2.584923742294134</v>
      </c>
      <c r="N164" s="3608">
        <v>2.88</v>
      </c>
      <c r="O164" s="2935">
        <v>4.09</v>
      </c>
    </row>
    <row r="165" spans="1:15">
      <c r="A165" s="388">
        <v>2006.12</v>
      </c>
      <c r="B165" s="214">
        <v>174588</v>
      </c>
      <c r="C165" s="3598">
        <v>1124620</v>
      </c>
      <c r="D165" s="3600">
        <v>213.09842136239277</v>
      </c>
      <c r="E165" s="461">
        <v>2.0819999999999999</v>
      </c>
      <c r="F165" s="456">
        <v>59109</v>
      </c>
      <c r="G165" s="3598">
        <v>266028</v>
      </c>
      <c r="H165" s="3601">
        <v>82.29218538712334</v>
      </c>
      <c r="I165" s="2433">
        <v>2.23</v>
      </c>
      <c r="J165" s="2424">
        <v>1956216.5651487485</v>
      </c>
      <c r="K165" s="2420"/>
      <c r="L165" s="3504">
        <v>40322000</v>
      </c>
      <c r="M165" s="3604">
        <v>2.539592316420777</v>
      </c>
      <c r="N165" s="3608">
        <v>2.88</v>
      </c>
      <c r="O165" s="2935">
        <v>4.34</v>
      </c>
    </row>
    <row r="166" spans="1:15">
      <c r="A166" s="388">
        <v>2007.01</v>
      </c>
      <c r="B166" s="214">
        <v>216586</v>
      </c>
      <c r="C166" s="3598">
        <v>1222573</v>
      </c>
      <c r="D166" s="3600">
        <v>219.7</v>
      </c>
      <c r="E166" s="461">
        <v>2.028</v>
      </c>
      <c r="F166" s="456">
        <v>64703</v>
      </c>
      <c r="G166" s="3598">
        <v>261785</v>
      </c>
      <c r="H166" s="3601">
        <v>86.020383883612354</v>
      </c>
      <c r="I166" s="2433">
        <v>2.3199999999999998</v>
      </c>
      <c r="J166" s="2424">
        <v>1666199.001233856</v>
      </c>
      <c r="K166" s="2420"/>
      <c r="L166" s="3504">
        <v>40188000</v>
      </c>
      <c r="M166" s="3604">
        <v>2.4800537802484897</v>
      </c>
      <c r="N166" s="3608">
        <v>2.88</v>
      </c>
      <c r="O166" s="2935">
        <v>4.4400000000000004</v>
      </c>
    </row>
    <row r="167" spans="1:15">
      <c r="A167" s="388">
        <v>2007.02</v>
      </c>
      <c r="B167" s="214">
        <v>186762</v>
      </c>
      <c r="C167" s="3598">
        <v>1085812</v>
      </c>
      <c r="D167" s="3600">
        <v>218.7</v>
      </c>
      <c r="E167" s="461">
        <v>2.0259999999999998</v>
      </c>
      <c r="F167" s="456">
        <v>56649</v>
      </c>
      <c r="G167" s="3598">
        <v>239293</v>
      </c>
      <c r="H167" s="3601">
        <v>85.561239312310391</v>
      </c>
      <c r="I167" s="2433">
        <v>2.35</v>
      </c>
      <c r="J167" s="2424">
        <v>1608993.4419356002</v>
      </c>
      <c r="K167" s="2420"/>
      <c r="L167" s="3504">
        <v>36985000</v>
      </c>
      <c r="M167" s="3604">
        <v>2.4565510571108131</v>
      </c>
      <c r="N167" s="3608">
        <v>2.77</v>
      </c>
      <c r="O167" s="2935">
        <v>4.2699999999999996</v>
      </c>
    </row>
    <row r="168" spans="1:15">
      <c r="A168" s="388">
        <v>2007.03</v>
      </c>
      <c r="B168" s="214">
        <v>197537</v>
      </c>
      <c r="C168" s="3598">
        <v>1176370</v>
      </c>
      <c r="D168" s="3600">
        <v>218.2</v>
      </c>
      <c r="E168" s="461">
        <v>2.0470000000000002</v>
      </c>
      <c r="F168" s="456">
        <v>60251</v>
      </c>
      <c r="G168" s="3598">
        <v>263932</v>
      </c>
      <c r="H168" s="3601">
        <v>86.617754194262147</v>
      </c>
      <c r="I168" s="2433">
        <v>2.38</v>
      </c>
      <c r="J168" s="2424">
        <v>1949403.2831012616</v>
      </c>
      <c r="K168" s="2420"/>
      <c r="L168" s="3504">
        <v>41310000</v>
      </c>
      <c r="M168" s="3604">
        <v>2.5067004486437536</v>
      </c>
      <c r="N168" s="3608">
        <v>2.8</v>
      </c>
      <c r="O168" s="2935">
        <v>4.25</v>
      </c>
    </row>
    <row r="169" spans="1:15">
      <c r="A169" s="388">
        <v>2007.04</v>
      </c>
      <c r="B169" s="214">
        <v>188915</v>
      </c>
      <c r="C169" s="3598">
        <v>1103249</v>
      </c>
      <c r="D169" s="3600">
        <v>214.9</v>
      </c>
      <c r="E169" s="461">
        <v>2.0880000000000001</v>
      </c>
      <c r="F169" s="456">
        <v>58077</v>
      </c>
      <c r="G169" s="3598">
        <v>263342</v>
      </c>
      <c r="H169" s="3601">
        <v>87.641604675271424</v>
      </c>
      <c r="I169" s="2433">
        <v>2.41</v>
      </c>
      <c r="J169" s="2424">
        <v>1762873.9326285897</v>
      </c>
      <c r="K169" s="2420"/>
      <c r="L169" s="3504">
        <v>38168000</v>
      </c>
      <c r="M169" s="3604">
        <v>2.5663932898544108</v>
      </c>
      <c r="N169" s="3608">
        <v>2.87</v>
      </c>
      <c r="O169" s="2935">
        <v>4.32</v>
      </c>
    </row>
    <row r="170" spans="1:15">
      <c r="A170" s="388">
        <v>2007.05</v>
      </c>
      <c r="B170" s="214">
        <v>218817</v>
      </c>
      <c r="C170" s="3598">
        <v>1209901</v>
      </c>
      <c r="D170" s="3600">
        <v>216.1</v>
      </c>
      <c r="E170" s="461">
        <v>2.0760000000000001</v>
      </c>
      <c r="F170" s="456">
        <v>62687</v>
      </c>
      <c r="G170" s="3598">
        <v>275680</v>
      </c>
      <c r="H170" s="3601">
        <v>87.457120781778798</v>
      </c>
      <c r="I170" s="2433">
        <v>2.4</v>
      </c>
      <c r="J170" s="2424">
        <v>1844213.5373705891</v>
      </c>
      <c r="K170" s="2420"/>
      <c r="L170" s="3504">
        <v>41753000</v>
      </c>
      <c r="M170" s="3604">
        <v>2.5913542971510983</v>
      </c>
      <c r="N170" s="3608">
        <v>2.88</v>
      </c>
      <c r="O170" s="2935">
        <v>4.42</v>
      </c>
    </row>
    <row r="171" spans="1:15">
      <c r="A171" s="388">
        <v>2007.06</v>
      </c>
      <c r="B171" s="214">
        <v>212229</v>
      </c>
      <c r="C171" s="3598">
        <v>1202138</v>
      </c>
      <c r="D171" s="3600">
        <v>218.9</v>
      </c>
      <c r="E171" s="461">
        <v>2.0339999999999998</v>
      </c>
      <c r="F171" s="456">
        <v>59161</v>
      </c>
      <c r="G171" s="3598">
        <v>262640</v>
      </c>
      <c r="H171" s="3601">
        <v>87.6724013859275</v>
      </c>
      <c r="I171" s="2433">
        <v>2.44</v>
      </c>
      <c r="J171" s="2424">
        <v>1870465.8665323469</v>
      </c>
      <c r="K171" s="2420"/>
      <c r="L171" s="3504">
        <v>39509000</v>
      </c>
      <c r="M171" s="3604">
        <v>2.6001725902741235</v>
      </c>
      <c r="N171" s="3608">
        <v>2.98</v>
      </c>
      <c r="O171" s="2935">
        <v>4.4400000000000004</v>
      </c>
    </row>
    <row r="172" spans="1:15">
      <c r="A172" s="388">
        <v>2007.07</v>
      </c>
      <c r="B172" s="214">
        <v>232113</v>
      </c>
      <c r="C172" s="3598">
        <v>1300901</v>
      </c>
      <c r="D172" s="3600">
        <v>218.5</v>
      </c>
      <c r="E172" s="461">
        <v>2.0830000000000002</v>
      </c>
      <c r="F172" s="456">
        <v>59462</v>
      </c>
      <c r="G172" s="3598">
        <v>268199</v>
      </c>
      <c r="H172" s="3601">
        <v>86.899265473527208</v>
      </c>
      <c r="I172" s="2433">
        <v>2.57</v>
      </c>
      <c r="J172" s="2424">
        <v>1951121.3049136058</v>
      </c>
      <c r="K172" s="2420"/>
      <c r="L172" s="3504">
        <v>40953000</v>
      </c>
      <c r="M172" s="3604">
        <v>2.5808629228879418</v>
      </c>
      <c r="N172" s="3608">
        <v>2.99</v>
      </c>
      <c r="O172" s="2935">
        <v>4.4800000000000004</v>
      </c>
    </row>
    <row r="173" spans="1:15">
      <c r="A173" s="388">
        <v>2007.08</v>
      </c>
      <c r="B173" s="214">
        <v>245527</v>
      </c>
      <c r="C173" s="3598">
        <v>1381501</v>
      </c>
      <c r="D173" s="3600">
        <v>217</v>
      </c>
      <c r="E173" s="461">
        <v>2.2170000000000001</v>
      </c>
      <c r="F173" s="456">
        <v>57867</v>
      </c>
      <c r="G173" s="3598">
        <v>251921</v>
      </c>
      <c r="H173" s="3601">
        <v>87.210766824652069</v>
      </c>
      <c r="I173" s="2433">
        <v>2.78</v>
      </c>
      <c r="J173" s="2424">
        <v>1899652.3625013607</v>
      </c>
      <c r="K173" s="2420"/>
      <c r="L173" s="3504">
        <v>41689000</v>
      </c>
      <c r="M173" s="3604">
        <v>2.5606264289089036</v>
      </c>
      <c r="N173" s="3608">
        <v>3.04</v>
      </c>
      <c r="O173" s="2935">
        <v>4.53</v>
      </c>
    </row>
    <row r="174" spans="1:15">
      <c r="A174" s="388">
        <v>2007.09</v>
      </c>
      <c r="B174" s="214">
        <v>194798</v>
      </c>
      <c r="C174" s="3598">
        <v>1171053</v>
      </c>
      <c r="D174" s="3600">
        <v>212.7</v>
      </c>
      <c r="E174" s="461">
        <v>2.4900000000000002</v>
      </c>
      <c r="F174" s="456">
        <v>56577</v>
      </c>
      <c r="G174" s="3598">
        <v>237926</v>
      </c>
      <c r="H174" s="3601">
        <v>86.862239678556861</v>
      </c>
      <c r="I174" s="2433">
        <v>2.87</v>
      </c>
      <c r="J174" s="2424">
        <v>1915282.4139112022</v>
      </c>
      <c r="K174" s="2420"/>
      <c r="L174" s="3504">
        <v>36788000</v>
      </c>
      <c r="M174" s="3604">
        <v>2.5927521982818451</v>
      </c>
      <c r="N174" s="3608">
        <v>3.09</v>
      </c>
      <c r="O174" s="2935">
        <v>4.67</v>
      </c>
    </row>
    <row r="175" spans="1:15">
      <c r="A175" s="388">
        <v>2007.1</v>
      </c>
      <c r="B175" s="214">
        <v>236805</v>
      </c>
      <c r="C175" s="3598">
        <v>1387410</v>
      </c>
      <c r="D175" s="3600">
        <v>209.7</v>
      </c>
      <c r="E175" s="461">
        <v>2.617</v>
      </c>
      <c r="F175" s="456">
        <v>68200</v>
      </c>
      <c r="G175" s="3598">
        <v>295248</v>
      </c>
      <c r="H175" s="3601">
        <v>85.600627607977032</v>
      </c>
      <c r="I175" s="2433">
        <v>2.94</v>
      </c>
      <c r="J175" s="2424">
        <v>1858119.8367091012</v>
      </c>
      <c r="K175" s="2420"/>
      <c r="L175" s="3504">
        <v>42069000</v>
      </c>
      <c r="M175" s="3604">
        <v>2.6015142832864537</v>
      </c>
      <c r="N175" s="3608">
        <v>3.05</v>
      </c>
      <c r="O175" s="2935">
        <v>4.74</v>
      </c>
    </row>
    <row r="176" spans="1:15">
      <c r="A176" s="388">
        <v>2007.11</v>
      </c>
      <c r="B176" s="214">
        <v>258749</v>
      </c>
      <c r="C176" s="3598">
        <v>1423321</v>
      </c>
      <c r="D176" s="3600">
        <v>213.7</v>
      </c>
      <c r="E176" s="461">
        <v>2.6240000000000001</v>
      </c>
      <c r="F176" s="456">
        <v>67119</v>
      </c>
      <c r="G176" s="3598">
        <v>287108</v>
      </c>
      <c r="H176" s="3601">
        <v>81.381657761356479</v>
      </c>
      <c r="I176" s="2433">
        <v>2.95</v>
      </c>
      <c r="J176" s="2424">
        <v>1916113.8542558053</v>
      </c>
      <c r="K176" s="2420"/>
      <c r="L176" s="3504">
        <v>43321000</v>
      </c>
      <c r="M176" s="3604">
        <v>2.5628983963346275</v>
      </c>
      <c r="N176" s="3608">
        <v>3.05</v>
      </c>
      <c r="O176" s="2935">
        <v>4.76</v>
      </c>
    </row>
    <row r="177" spans="1:15">
      <c r="A177" s="388">
        <v>2007.12</v>
      </c>
      <c r="B177" s="214">
        <v>216285</v>
      </c>
      <c r="C177" s="3598">
        <v>1291430</v>
      </c>
      <c r="D177" s="3600">
        <v>210.4</v>
      </c>
      <c r="E177" s="461">
        <v>2.589</v>
      </c>
      <c r="F177" s="456">
        <v>61635</v>
      </c>
      <c r="G177" s="3598">
        <v>293081</v>
      </c>
      <c r="H177" s="3601">
        <v>81.553382884544462</v>
      </c>
      <c r="I177" s="2433">
        <v>3.06</v>
      </c>
      <c r="J177" s="2424">
        <v>2117472.4369153772</v>
      </c>
      <c r="K177" s="2420"/>
      <c r="L177" s="3504">
        <v>44826000</v>
      </c>
      <c r="M177" s="3604">
        <v>2.5179532257002015</v>
      </c>
      <c r="N177" s="3608">
        <v>3.04</v>
      </c>
      <c r="O177" s="2935">
        <v>4.75</v>
      </c>
    </row>
    <row r="178" spans="1:15">
      <c r="A178" s="388">
        <v>2008.01</v>
      </c>
      <c r="B178" s="214">
        <v>234866</v>
      </c>
      <c r="C178" s="3598">
        <v>1336470</v>
      </c>
      <c r="D178" s="3600">
        <v>213.91549389370368</v>
      </c>
      <c r="E178" s="461">
        <v>2.5350000000000001</v>
      </c>
      <c r="F178" s="456">
        <v>57926</v>
      </c>
      <c r="G178" s="3598">
        <v>226644</v>
      </c>
      <c r="H178" s="3601">
        <v>85.210715483313038</v>
      </c>
      <c r="I178" s="2433">
        <v>3.22</v>
      </c>
      <c r="J178" s="2424">
        <v>1751527.8592822205</v>
      </c>
      <c r="K178" s="2420"/>
      <c r="L178" s="3504">
        <v>45082000</v>
      </c>
      <c r="M178" s="3604">
        <v>2.5223917227379071</v>
      </c>
      <c r="N178" s="3608">
        <v>3.01</v>
      </c>
      <c r="O178" s="2935">
        <v>4.45</v>
      </c>
    </row>
    <row r="179" spans="1:15">
      <c r="A179" s="388">
        <v>2008.02</v>
      </c>
      <c r="B179" s="214">
        <v>219463</v>
      </c>
      <c r="C179" s="3598">
        <v>1241836</v>
      </c>
      <c r="D179" s="3600">
        <v>211.03904186358017</v>
      </c>
      <c r="E179" s="461">
        <v>2.5859999999999999</v>
      </c>
      <c r="F179" s="456">
        <v>55560</v>
      </c>
      <c r="G179" s="3598">
        <v>228125</v>
      </c>
      <c r="H179" s="3601">
        <v>84.581056876712339</v>
      </c>
      <c r="I179" s="2433">
        <v>3.26</v>
      </c>
      <c r="J179" s="2424">
        <v>1691392.706912955</v>
      </c>
      <c r="K179" s="2420"/>
      <c r="L179" s="3504">
        <v>42535000</v>
      </c>
      <c r="M179" s="3604">
        <v>2.4984877756636883</v>
      </c>
      <c r="N179" s="3608">
        <v>2.98</v>
      </c>
      <c r="O179" s="2935">
        <v>4.5199999999999996</v>
      </c>
    </row>
    <row r="180" spans="1:15">
      <c r="A180" s="388">
        <v>2008.03</v>
      </c>
      <c r="B180" s="214">
        <v>125657</v>
      </c>
      <c r="C180" s="3598">
        <v>722024</v>
      </c>
      <c r="D180" s="3600">
        <v>211.23325417611349</v>
      </c>
      <c r="E180" s="461">
        <v>2.7410000000000001</v>
      </c>
      <c r="F180" s="456">
        <v>41941</v>
      </c>
      <c r="G180" s="3598">
        <v>166684</v>
      </c>
      <c r="H180" s="3601">
        <v>86.077071584555199</v>
      </c>
      <c r="I180" s="2433">
        <v>3.29</v>
      </c>
      <c r="J180" s="2424">
        <v>2049235.5095637576</v>
      </c>
      <c r="K180" s="2420"/>
      <c r="L180" s="3504">
        <v>39516000</v>
      </c>
      <c r="M180" s="3604">
        <v>2.549493286556423</v>
      </c>
      <c r="N180" s="3608">
        <v>3.08</v>
      </c>
      <c r="O180" s="2935">
        <v>4.57</v>
      </c>
    </row>
    <row r="181" spans="1:15">
      <c r="A181" s="388">
        <v>2008.04</v>
      </c>
      <c r="B181" s="214">
        <v>215012</v>
      </c>
      <c r="C181" s="3598">
        <v>1379156</v>
      </c>
      <c r="D181" s="3600">
        <v>213.87965497039136</v>
      </c>
      <c r="E181" s="461">
        <v>2.5579999999999998</v>
      </c>
      <c r="F181" s="456">
        <v>70722</v>
      </c>
      <c r="G181" s="3598">
        <v>304544</v>
      </c>
      <c r="H181" s="3601">
        <v>90.571657532762202</v>
      </c>
      <c r="I181" s="2433">
        <v>3.21</v>
      </c>
      <c r="J181" s="2424">
        <v>1853153.6767906223</v>
      </c>
      <c r="K181" s="2420"/>
      <c r="L181" s="3504">
        <v>46210000</v>
      </c>
      <c r="M181" s="3604">
        <v>2.6102051669904771</v>
      </c>
      <c r="N181" s="3608">
        <v>3.06</v>
      </c>
      <c r="O181" s="2935">
        <v>5.79</v>
      </c>
    </row>
    <row r="182" spans="1:15">
      <c r="A182" s="388">
        <v>2008.05</v>
      </c>
      <c r="B182" s="214">
        <v>168264</v>
      </c>
      <c r="C182" s="3598">
        <v>1103694</v>
      </c>
      <c r="D182" s="3600">
        <v>210.29667211503175</v>
      </c>
      <c r="E182" s="461">
        <v>2.4670000000000001</v>
      </c>
      <c r="F182" s="456">
        <v>66329</v>
      </c>
      <c r="G182" s="3598">
        <v>254133</v>
      </c>
      <c r="H182" s="3601">
        <v>89.117199722978611</v>
      </c>
      <c r="I182" s="2433">
        <v>3.19</v>
      </c>
      <c r="J182" s="2424">
        <v>1938658.8197316006</v>
      </c>
      <c r="K182" s="2420"/>
      <c r="L182" s="3504">
        <v>44770000</v>
      </c>
      <c r="M182" s="3604">
        <v>2.635592293147901</v>
      </c>
      <c r="N182" s="3608">
        <v>3.14</v>
      </c>
      <c r="O182" s="2935">
        <v>5.85</v>
      </c>
    </row>
    <row r="183" spans="1:15">
      <c r="A183" s="388">
        <v>2008.06</v>
      </c>
      <c r="B183" s="214">
        <v>156945</v>
      </c>
      <c r="C183" s="3598">
        <v>1023830</v>
      </c>
      <c r="D183" s="3600">
        <v>213.18115627481487</v>
      </c>
      <c r="E183" s="461">
        <v>2.5329999999999999</v>
      </c>
      <c r="F183" s="456">
        <v>48170</v>
      </c>
      <c r="G183" s="3598">
        <v>201336</v>
      </c>
      <c r="H183" s="3601">
        <v>89.93704980405208</v>
      </c>
      <c r="I183" s="2433">
        <v>3.19</v>
      </c>
      <c r="J183" s="2424">
        <v>1966255.5748993901</v>
      </c>
      <c r="K183" s="2420"/>
      <c r="L183" s="3504">
        <v>42397000</v>
      </c>
      <c r="M183" s="3604">
        <v>2.6445611267108435</v>
      </c>
      <c r="N183" s="3608">
        <v>3.13</v>
      </c>
      <c r="O183" s="2935">
        <v>5.97</v>
      </c>
    </row>
    <row r="184" spans="1:15">
      <c r="A184" s="388">
        <v>2008.07</v>
      </c>
      <c r="B184" s="214">
        <v>247820</v>
      </c>
      <c r="C184" s="3598">
        <v>1370185</v>
      </c>
      <c r="D184" s="3600">
        <v>219.7193383763331</v>
      </c>
      <c r="E184" s="461">
        <v>2.4780000000000002</v>
      </c>
      <c r="F184" s="456">
        <v>72065</v>
      </c>
      <c r="G184" s="3598">
        <v>301969</v>
      </c>
      <c r="H184" s="3601">
        <v>89.534242587815299</v>
      </c>
      <c r="I184" s="2433">
        <v>3.17</v>
      </c>
      <c r="J184" s="2424">
        <v>2051041.5141676178</v>
      </c>
      <c r="K184" s="2420"/>
      <c r="L184" s="3504">
        <v>46431000</v>
      </c>
      <c r="M184" s="3604">
        <v>2.6249218166395729</v>
      </c>
      <c r="N184" s="3608">
        <v>3.13</v>
      </c>
      <c r="O184" s="2935">
        <v>6.16</v>
      </c>
    </row>
    <row r="185" spans="1:15">
      <c r="A185" s="388">
        <v>2008.08</v>
      </c>
      <c r="B185" s="214">
        <v>236450</v>
      </c>
      <c r="C185" s="3598">
        <v>1300403</v>
      </c>
      <c r="D185" s="3600">
        <v>218.91733423305996</v>
      </c>
      <c r="E185" s="461">
        <v>2.6930000000000001</v>
      </c>
      <c r="F185" s="456">
        <v>61574</v>
      </c>
      <c r="G185" s="3598">
        <v>272550</v>
      </c>
      <c r="H185" s="3601">
        <v>88.405872317006043</v>
      </c>
      <c r="I185" s="2433">
        <v>3.14</v>
      </c>
      <c r="J185" s="2424">
        <v>1996936.7605000895</v>
      </c>
      <c r="K185" s="2420"/>
      <c r="L185" s="3504">
        <v>43055000</v>
      </c>
      <c r="M185" s="3604">
        <v>2.6043398577657428</v>
      </c>
      <c r="N185" s="3608">
        <v>3.24</v>
      </c>
      <c r="O185" s="2935">
        <v>6.33</v>
      </c>
    </row>
    <row r="186" spans="1:15">
      <c r="A186" s="388">
        <v>2008.09</v>
      </c>
      <c r="B186" s="214">
        <v>242093</v>
      </c>
      <c r="C186" s="3598">
        <v>1364431</v>
      </c>
      <c r="D186" s="3600">
        <v>219.73047052708975</v>
      </c>
      <c r="E186" s="461">
        <v>2.746</v>
      </c>
      <c r="F186" s="456">
        <v>68660</v>
      </c>
      <c r="G186" s="3598">
        <v>296734</v>
      </c>
      <c r="H186" s="3601">
        <v>87.729657875403561</v>
      </c>
      <c r="I186" s="2433">
        <v>3.16</v>
      </c>
      <c r="J186" s="2424">
        <v>2013367.2531759811</v>
      </c>
      <c r="K186" s="2420"/>
      <c r="L186" s="3504">
        <v>46568000</v>
      </c>
      <c r="M186" s="3604">
        <v>2.6370140583811725</v>
      </c>
      <c r="N186" s="3608">
        <v>3.26</v>
      </c>
      <c r="O186" s="2935">
        <v>6.32</v>
      </c>
    </row>
    <row r="187" spans="1:15">
      <c r="A187" s="388">
        <v>2008.1</v>
      </c>
      <c r="B187" s="214">
        <v>219432</v>
      </c>
      <c r="C187" s="3598">
        <v>1332022</v>
      </c>
      <c r="D187" s="3600">
        <v>211.91944754163899</v>
      </c>
      <c r="E187" s="461">
        <v>2.8090000000000002</v>
      </c>
      <c r="F187" s="456">
        <v>66705</v>
      </c>
      <c r="G187" s="3598">
        <v>299071</v>
      </c>
      <c r="H187" s="3601">
        <v>84.589420693558452</v>
      </c>
      <c r="I187" s="2433">
        <v>3.16</v>
      </c>
      <c r="J187" s="2424">
        <v>1953277.2840884302</v>
      </c>
      <c r="K187" s="2420"/>
      <c r="L187" s="3504">
        <v>48226000</v>
      </c>
      <c r="M187" s="3604">
        <v>2.6459257242755054</v>
      </c>
      <c r="N187" s="3608">
        <v>3.22</v>
      </c>
      <c r="O187" s="2935">
        <v>6.19</v>
      </c>
    </row>
    <row r="188" spans="1:15">
      <c r="A188" s="388">
        <v>2008.11</v>
      </c>
      <c r="B188" s="214">
        <v>202211</v>
      </c>
      <c r="C188" s="3598">
        <v>1181323</v>
      </c>
      <c r="D188" s="3600">
        <v>213.41145801587797</v>
      </c>
      <c r="E188" s="461">
        <v>2.431</v>
      </c>
      <c r="F188" s="456">
        <v>61122</v>
      </c>
      <c r="G188" s="3598">
        <v>279593</v>
      </c>
      <c r="H188" s="3601">
        <v>84.691205818638949</v>
      </c>
      <c r="I188" s="2433">
        <v>3.13</v>
      </c>
      <c r="J188" s="2424">
        <v>2014241.2729814334</v>
      </c>
      <c r="K188" s="2420"/>
      <c r="L188" s="3504">
        <v>43454000</v>
      </c>
      <c r="M188" s="3604">
        <v>2.6066506108125584</v>
      </c>
      <c r="N188" s="3608">
        <v>3.21</v>
      </c>
      <c r="O188" s="2935">
        <v>6.41</v>
      </c>
    </row>
    <row r="189" spans="1:15">
      <c r="A189" s="388">
        <v>2008.12</v>
      </c>
      <c r="B189" s="214">
        <v>195542</v>
      </c>
      <c r="C189" s="3598">
        <v>1304910</v>
      </c>
      <c r="D189" s="3600">
        <v>215.27850000000001</v>
      </c>
      <c r="E189" s="461">
        <v>2.3769999999999998</v>
      </c>
      <c r="F189" s="456">
        <v>65951</v>
      </c>
      <c r="G189" s="3598">
        <v>325458</v>
      </c>
      <c r="H189" s="3601">
        <v>83.242202537263736</v>
      </c>
      <c r="I189" s="2433">
        <v>3.13</v>
      </c>
      <c r="J189" s="2424">
        <v>2225911.7679059003</v>
      </c>
      <c r="K189" s="2420"/>
      <c r="L189" s="3504">
        <v>51245000</v>
      </c>
      <c r="M189" s="3604">
        <v>2.5609381640550692</v>
      </c>
      <c r="N189" s="3608">
        <v>3.3</v>
      </c>
      <c r="O189" s="2935">
        <v>6.3</v>
      </c>
    </row>
    <row r="190" spans="1:15">
      <c r="A190" s="388">
        <f t="shared" ref="A190:A253" si="0">A178+1</f>
        <v>2009.01</v>
      </c>
      <c r="B190" s="214">
        <v>217644</v>
      </c>
      <c r="C190" s="3598">
        <v>1311459</v>
      </c>
      <c r="D190" s="3600">
        <v>215.075151207646</v>
      </c>
      <c r="E190" s="461">
        <v>2.25</v>
      </c>
      <c r="F190" s="456">
        <v>60147</v>
      </c>
      <c r="G190" s="3598">
        <v>252621</v>
      </c>
      <c r="H190" s="3601">
        <v>86.159075057101347</v>
      </c>
      <c r="I190" s="2433">
        <v>3.122985047997842</v>
      </c>
      <c r="J190" s="2424">
        <v>1861022.6803680677</v>
      </c>
      <c r="K190" s="2420"/>
      <c r="L190" s="3504">
        <v>45582000</v>
      </c>
      <c r="M190" s="3604">
        <v>2.5477447888724147</v>
      </c>
      <c r="N190" s="3608">
        <v>3.3</v>
      </c>
      <c r="O190" s="2935">
        <v>6.13</v>
      </c>
    </row>
    <row r="191" spans="1:15">
      <c r="A191" s="388">
        <f t="shared" si="0"/>
        <v>2009.02</v>
      </c>
      <c r="B191" s="214">
        <v>205418</v>
      </c>
      <c r="C191" s="3598">
        <v>1213668</v>
      </c>
      <c r="D191" s="3600">
        <v>209.72275848634595</v>
      </c>
      <c r="E191" s="461">
        <v>2.4660000000000002</v>
      </c>
      <c r="F191" s="456">
        <v>55832</v>
      </c>
      <c r="G191" s="3598">
        <v>245190</v>
      </c>
      <c r="H191" s="3601">
        <v>85.957244785501445</v>
      </c>
      <c r="I191" s="2433">
        <v>3.11591280190214</v>
      </c>
      <c r="J191" s="2424">
        <v>1797128.2456586738</v>
      </c>
      <c r="K191" s="2420"/>
      <c r="L191" s="3504">
        <v>42845000</v>
      </c>
      <c r="M191" s="3604">
        <v>2.5236005784221365</v>
      </c>
      <c r="N191" s="3608">
        <v>3.3</v>
      </c>
      <c r="O191" s="2935">
        <v>6.07</v>
      </c>
    </row>
    <row r="192" spans="1:15">
      <c r="A192" s="388">
        <f t="shared" si="0"/>
        <v>2009.03</v>
      </c>
      <c r="B192" s="214">
        <v>210333</v>
      </c>
      <c r="C192" s="3598">
        <v>1259783</v>
      </c>
      <c r="D192" s="3600">
        <v>210.24018301086718</v>
      </c>
      <c r="E192" s="461">
        <v>2.8290000000000002</v>
      </c>
      <c r="F192" s="456">
        <v>58988</v>
      </c>
      <c r="G192" s="3598">
        <v>269725</v>
      </c>
      <c r="H192" s="3601">
        <v>87.253020116816884</v>
      </c>
      <c r="I192" s="2433">
        <v>3.1123974082073431</v>
      </c>
      <c r="J192" s="2424">
        <v>2177341.1941484152</v>
      </c>
      <c r="K192" s="2420"/>
      <c r="L192" s="3504">
        <v>46899000</v>
      </c>
      <c r="M192" s="3604">
        <v>2.5751187559555166</v>
      </c>
      <c r="N192" s="3608">
        <v>3.41</v>
      </c>
      <c r="O192" s="2935">
        <v>6.71</v>
      </c>
    </row>
    <row r="193" spans="1:15">
      <c r="A193" s="388">
        <f t="shared" si="0"/>
        <v>2009.04</v>
      </c>
      <c r="B193" s="214">
        <v>228678</v>
      </c>
      <c r="C193" s="3598">
        <v>1342224.25</v>
      </c>
      <c r="D193" s="3600">
        <v>214.03046982913267</v>
      </c>
      <c r="E193" s="461">
        <v>2.58</v>
      </c>
      <c r="F193" s="456">
        <v>59229</v>
      </c>
      <c r="G193" s="3598">
        <v>272071</v>
      </c>
      <c r="H193" s="3601">
        <v>89.159040838604625</v>
      </c>
      <c r="I193" s="2433">
        <v>3.1203723459820849</v>
      </c>
      <c r="J193" s="2424">
        <v>1969001.5231205819</v>
      </c>
      <c r="K193" s="2420"/>
      <c r="L193" s="3504">
        <v>46302000</v>
      </c>
      <c r="M193" s="3604">
        <v>2.6364408637011811</v>
      </c>
      <c r="N193" s="3608">
        <v>3.39</v>
      </c>
      <c r="O193" s="2935">
        <v>6.72</v>
      </c>
    </row>
    <row r="194" spans="1:15">
      <c r="A194" s="388">
        <f t="shared" si="0"/>
        <v>2009.05</v>
      </c>
      <c r="B194" s="214">
        <v>216880</v>
      </c>
      <c r="C194" s="3598">
        <v>1241788</v>
      </c>
      <c r="D194" s="3600">
        <v>212.32942299889766</v>
      </c>
      <c r="E194" s="461">
        <v>2.2909999999999999</v>
      </c>
      <c r="F194" s="456">
        <v>55455</v>
      </c>
      <c r="G194" s="3598">
        <v>251982</v>
      </c>
      <c r="H194" s="3601">
        <v>89.686750244065053</v>
      </c>
      <c r="I194" s="2433">
        <v>3.0979193311670885</v>
      </c>
      <c r="J194" s="2424">
        <v>2059851.9252183735</v>
      </c>
      <c r="K194" s="2420"/>
      <c r="L194" s="3504">
        <v>44828000</v>
      </c>
      <c r="M194" s="3604">
        <v>2.6620831609657065</v>
      </c>
      <c r="N194" s="3608">
        <v>3.32</v>
      </c>
      <c r="O194" s="2935">
        <v>7.11</v>
      </c>
    </row>
    <row r="195" spans="1:15">
      <c r="A195" s="388">
        <f t="shared" si="0"/>
        <v>2009.06</v>
      </c>
      <c r="B195" s="214">
        <v>248402</v>
      </c>
      <c r="C195" s="3598">
        <v>1427990</v>
      </c>
      <c r="D195" s="3600">
        <v>212.81442597283669</v>
      </c>
      <c r="E195" s="461">
        <v>2.3730000000000002</v>
      </c>
      <c r="F195" s="456">
        <v>62801</v>
      </c>
      <c r="G195" s="3598">
        <v>285377</v>
      </c>
      <c r="H195" s="3601">
        <v>89.590020569282046</v>
      </c>
      <c r="I195" s="2433">
        <v>3.0238953296306237</v>
      </c>
      <c r="J195" s="2424">
        <v>2089173.8609213361</v>
      </c>
      <c r="K195" s="2420"/>
      <c r="L195" s="3504">
        <v>48593000</v>
      </c>
      <c r="M195" s="3604">
        <v>2.6711421420772719</v>
      </c>
      <c r="N195" s="3608">
        <v>3.43</v>
      </c>
      <c r="O195" s="2935">
        <v>6.97</v>
      </c>
    </row>
    <row r="196" spans="1:15">
      <c r="A196" s="388">
        <f t="shared" si="0"/>
        <v>2009.07</v>
      </c>
      <c r="B196" s="214">
        <v>245685</v>
      </c>
      <c r="C196" s="3598">
        <v>1458327.25</v>
      </c>
      <c r="D196" s="3600">
        <v>218.37590443279558</v>
      </c>
      <c r="E196" s="461">
        <v>2.64</v>
      </c>
      <c r="F196" s="456">
        <v>64873</v>
      </c>
      <c r="G196" s="3598">
        <v>283084</v>
      </c>
      <c r="H196" s="3601">
        <v>88.023554139407366</v>
      </c>
      <c r="I196" s="2433">
        <v>3.0250230126263524</v>
      </c>
      <c r="J196" s="2424">
        <v>2179260.0991266156</v>
      </c>
      <c r="K196" s="2420"/>
      <c r="L196" s="3504">
        <v>49718000</v>
      </c>
      <c r="M196" s="3604">
        <v>2.6513054333535302</v>
      </c>
      <c r="N196" s="3608">
        <v>3.43</v>
      </c>
      <c r="O196" s="2935">
        <v>6.66</v>
      </c>
    </row>
    <row r="197" spans="1:15">
      <c r="A197" s="388">
        <f t="shared" si="0"/>
        <v>2009.08</v>
      </c>
      <c r="B197" s="214">
        <v>235227</v>
      </c>
      <c r="C197" s="3598">
        <v>1390996</v>
      </c>
      <c r="D197" s="3600">
        <v>214.31858097301131</v>
      </c>
      <c r="E197" s="461">
        <v>2.8039999999999998</v>
      </c>
      <c r="F197" s="456">
        <v>63180</v>
      </c>
      <c r="G197" s="3598">
        <v>285751</v>
      </c>
      <c r="H197" s="3601">
        <v>86.609500929130604</v>
      </c>
      <c r="I197" s="2433">
        <v>3.0452331863702646</v>
      </c>
      <c r="J197" s="2424">
        <v>2121773.0468040449</v>
      </c>
      <c r="K197" s="2420"/>
      <c r="L197" s="3504">
        <v>45557000</v>
      </c>
      <c r="M197" s="3604">
        <v>2.6305166010746683</v>
      </c>
      <c r="N197" s="3608">
        <v>3.49</v>
      </c>
      <c r="O197" s="2935">
        <v>6.64</v>
      </c>
    </row>
    <row r="198" spans="1:15">
      <c r="A198" s="388">
        <f t="shared" si="0"/>
        <v>2009.09</v>
      </c>
      <c r="B198" s="214">
        <v>215509</v>
      </c>
      <c r="C198" s="3598">
        <v>1333419</v>
      </c>
      <c r="D198" s="3600">
        <v>214.31122350101992</v>
      </c>
      <c r="E198" s="461">
        <v>2.9860000000000002</v>
      </c>
      <c r="F198" s="456">
        <v>62729</v>
      </c>
      <c r="G198" s="3598">
        <v>280912</v>
      </c>
      <c r="H198" s="3601">
        <v>85.978081392037367</v>
      </c>
      <c r="I198" s="2433">
        <v>3.0984387583949582</v>
      </c>
      <c r="J198" s="2424">
        <v>2139230.6735025924</v>
      </c>
      <c r="K198" s="2420"/>
      <c r="L198" s="3504">
        <v>48963000</v>
      </c>
      <c r="M198" s="3604">
        <v>2.6635192166470723</v>
      </c>
      <c r="N198" s="3608">
        <v>3.51</v>
      </c>
      <c r="O198" s="2935">
        <v>7.06</v>
      </c>
    </row>
    <row r="199" spans="1:15">
      <c r="A199" s="388">
        <f t="shared" si="0"/>
        <v>2009.1</v>
      </c>
      <c r="B199" s="214">
        <v>249127</v>
      </c>
      <c r="C199" s="3598">
        <v>1439888</v>
      </c>
      <c r="D199" s="3600">
        <v>214.20613139668163</v>
      </c>
      <c r="E199" s="461">
        <v>3.06</v>
      </c>
      <c r="F199" s="456">
        <v>63785</v>
      </c>
      <c r="G199" s="3598">
        <v>301385</v>
      </c>
      <c r="H199" s="3601">
        <v>84.896450387378295</v>
      </c>
      <c r="I199" s="2433">
        <v>3.1780384861290871</v>
      </c>
      <c r="J199" s="2424">
        <v>2075384.2466576458</v>
      </c>
      <c r="K199" s="2420"/>
      <c r="L199" s="3504">
        <v>49603000</v>
      </c>
      <c r="M199" s="3604">
        <v>2.6725204554863016</v>
      </c>
      <c r="N199" s="3608">
        <v>3.5</v>
      </c>
      <c r="O199" s="2935">
        <v>7</v>
      </c>
    </row>
    <row r="200" spans="1:15">
      <c r="A200" s="388">
        <f t="shared" si="0"/>
        <v>2009.11</v>
      </c>
      <c r="B200" s="214">
        <v>212024</v>
      </c>
      <c r="C200" s="3598">
        <v>1324910</v>
      </c>
      <c r="D200" s="3600">
        <v>210.92475051502208</v>
      </c>
      <c r="E200" s="461">
        <v>3.2120000000000002</v>
      </c>
      <c r="F200" s="456">
        <v>61635</v>
      </c>
      <c r="G200" s="3598">
        <v>287510</v>
      </c>
      <c r="H200" s="3601">
        <v>83.938496266229819</v>
      </c>
      <c r="I200" s="2433">
        <v>3.2903821008202252</v>
      </c>
      <c r="J200" s="2424">
        <v>2140159.3316865987</v>
      </c>
      <c r="K200" s="2420"/>
      <c r="L200" s="3504">
        <v>49537000</v>
      </c>
      <c r="M200" s="3604">
        <v>2.6328505799647535</v>
      </c>
      <c r="N200" s="3608">
        <v>3.6</v>
      </c>
      <c r="O200" s="2935">
        <v>8.5500000000000007</v>
      </c>
    </row>
    <row r="201" spans="1:15">
      <c r="A201" s="388">
        <f t="shared" si="0"/>
        <v>2009.12</v>
      </c>
      <c r="B201" s="214">
        <v>198725</v>
      </c>
      <c r="C201" s="3598">
        <v>1308602</v>
      </c>
      <c r="D201" s="3600">
        <v>208.81326525137712</v>
      </c>
      <c r="E201" s="461">
        <v>3.605</v>
      </c>
      <c r="F201" s="456">
        <v>62884</v>
      </c>
      <c r="G201" s="3598">
        <v>323902</v>
      </c>
      <c r="H201" s="3601">
        <v>81.819109337727696</v>
      </c>
      <c r="I201" s="2433">
        <v>3.41</v>
      </c>
      <c r="J201" s="2424">
        <v>2365062.1727870521</v>
      </c>
      <c r="K201" s="2420"/>
      <c r="L201" s="3504">
        <v>54899000</v>
      </c>
      <c r="M201" s="3604">
        <v>2.5866786682179979</v>
      </c>
      <c r="N201" s="3608">
        <v>3.59</v>
      </c>
      <c r="O201" s="2935">
        <v>7.63</v>
      </c>
    </row>
    <row r="202" spans="1:15">
      <c r="A202" s="388">
        <f t="shared" si="0"/>
        <v>2010.01</v>
      </c>
      <c r="B202" s="214">
        <v>193265</v>
      </c>
      <c r="C202" s="3598">
        <v>1133571</v>
      </c>
      <c r="D202" s="3600">
        <v>212.21947725215182</v>
      </c>
      <c r="E202" s="461">
        <v>3.8410000000000002</v>
      </c>
      <c r="F202" s="456">
        <v>55401</v>
      </c>
      <c r="G202" s="3598">
        <v>249611</v>
      </c>
      <c r="H202" s="3601">
        <v>85.577627098273311</v>
      </c>
      <c r="I202" s="2433">
        <v>3.6077823466129337</v>
      </c>
      <c r="J202" s="2424">
        <v>1817800.6353943599</v>
      </c>
      <c r="K202" s="2425">
        <v>1975040</v>
      </c>
      <c r="L202" s="3504">
        <v>47871000</v>
      </c>
      <c r="M202" s="3608">
        <v>2.6090952768899753</v>
      </c>
      <c r="N202" s="3608">
        <v>3.66</v>
      </c>
      <c r="O202" s="2935">
        <v>8.3000000000000007</v>
      </c>
    </row>
    <row r="203" spans="1:15">
      <c r="A203" s="388">
        <f t="shared" si="0"/>
        <v>2010.02</v>
      </c>
      <c r="B203" s="214">
        <v>175759</v>
      </c>
      <c r="C203" s="3598">
        <v>965748</v>
      </c>
      <c r="D203" s="3600">
        <v>211.20945410247364</v>
      </c>
      <c r="E203" s="461">
        <v>4.7939999999999996</v>
      </c>
      <c r="F203" s="456">
        <v>53398</v>
      </c>
      <c r="G203" s="3598">
        <v>247473</v>
      </c>
      <c r="H203" s="3601">
        <v>85.178063869593856</v>
      </c>
      <c r="I203" s="2433">
        <v>3.8503681517158341</v>
      </c>
      <c r="J203" s="2424">
        <v>1804677.7611946207</v>
      </c>
      <c r="K203" s="632">
        <v>1960782</v>
      </c>
      <c r="L203" s="3504">
        <v>46641000</v>
      </c>
      <c r="M203" s="3608">
        <v>2.56426748997663</v>
      </c>
      <c r="N203" s="3608">
        <v>3.69</v>
      </c>
      <c r="O203" s="2935">
        <v>10.36</v>
      </c>
    </row>
    <row r="204" spans="1:15">
      <c r="A204" s="388">
        <f t="shared" si="0"/>
        <v>2010.03</v>
      </c>
      <c r="B204" s="214">
        <v>189084</v>
      </c>
      <c r="C204" s="3598">
        <v>1103728</v>
      </c>
      <c r="D204" s="3600">
        <v>211.34024997910768</v>
      </c>
      <c r="E204" s="461">
        <v>4.9470000000000001</v>
      </c>
      <c r="F204" s="456">
        <v>65302</v>
      </c>
      <c r="G204" s="3598">
        <v>300411</v>
      </c>
      <c r="H204" s="3601">
        <v>85.928770584299514</v>
      </c>
      <c r="I204" s="2433">
        <v>4.0853237939049034</v>
      </c>
      <c r="J204" s="2424">
        <v>2129054.2634098725</v>
      </c>
      <c r="K204" s="632">
        <v>2313217</v>
      </c>
      <c r="L204" s="3504">
        <v>52656000</v>
      </c>
      <c r="M204" s="3608">
        <v>2.6055910057733214</v>
      </c>
      <c r="N204" s="3608">
        <v>3.76</v>
      </c>
      <c r="O204" s="2935">
        <v>10.37</v>
      </c>
    </row>
    <row r="205" spans="1:15">
      <c r="A205" s="388">
        <f t="shared" si="0"/>
        <v>2010.04</v>
      </c>
      <c r="B205" s="214">
        <v>165784</v>
      </c>
      <c r="C205" s="3598">
        <v>973424</v>
      </c>
      <c r="D205" s="3600">
        <v>215.8</v>
      </c>
      <c r="E205" s="461">
        <v>5.282</v>
      </c>
      <c r="F205" s="456">
        <v>61602</v>
      </c>
      <c r="G205" s="3598">
        <v>267682</v>
      </c>
      <c r="H205" s="3601">
        <v>87.407490604523275</v>
      </c>
      <c r="I205" s="2433">
        <v>4.4559482533747801</v>
      </c>
      <c r="J205" s="2424">
        <v>1953166.5158072251</v>
      </c>
      <c r="K205" s="632">
        <v>2122115</v>
      </c>
      <c r="L205" s="3504">
        <v>50175000</v>
      </c>
      <c r="M205" s="3608">
        <v>2.6586945690084702</v>
      </c>
      <c r="N205" s="3608">
        <v>3.75</v>
      </c>
      <c r="O205" s="2935">
        <v>8.6199999999999992</v>
      </c>
    </row>
    <row r="206" spans="1:15">
      <c r="A206" s="388">
        <f t="shared" si="0"/>
        <v>2010.05</v>
      </c>
      <c r="B206" s="214">
        <v>164873</v>
      </c>
      <c r="C206" s="3598">
        <v>933170</v>
      </c>
      <c r="D206" s="3600">
        <v>228.32699824340423</v>
      </c>
      <c r="E206" s="461">
        <v>5.3230000000000004</v>
      </c>
      <c r="F206" s="456">
        <v>56701</v>
      </c>
      <c r="G206" s="3598">
        <v>260619</v>
      </c>
      <c r="H206" s="3601">
        <v>88.852253289284349</v>
      </c>
      <c r="I206" s="2433">
        <v>4.5935728889577581</v>
      </c>
      <c r="J206" s="2424">
        <v>1830677.7663333802</v>
      </c>
      <c r="K206" s="632">
        <v>1989031</v>
      </c>
      <c r="L206" s="3504">
        <v>47198000</v>
      </c>
      <c r="M206" s="3608">
        <v>2.690791982711132</v>
      </c>
      <c r="N206" s="3608">
        <v>3.75</v>
      </c>
      <c r="O206" s="2935">
        <v>8.15</v>
      </c>
    </row>
    <row r="207" spans="1:15">
      <c r="A207" s="388">
        <f t="shared" si="0"/>
        <v>2010.06</v>
      </c>
      <c r="B207" s="214">
        <v>163712</v>
      </c>
      <c r="C207" s="3598">
        <v>947566</v>
      </c>
      <c r="D207" s="3600">
        <v>222.9</v>
      </c>
      <c r="E207" s="461">
        <v>5.4939999999999998</v>
      </c>
      <c r="F207" s="456">
        <v>57697</v>
      </c>
      <c r="G207" s="3598">
        <v>273321</v>
      </c>
      <c r="H207" s="3601">
        <v>89.563122848226087</v>
      </c>
      <c r="I207" s="2433">
        <v>4.7132491488926576</v>
      </c>
      <c r="J207" s="2424">
        <v>2001503.386842567</v>
      </c>
      <c r="K207" s="632">
        <v>2174633</v>
      </c>
      <c r="L207" s="3504">
        <v>51940000</v>
      </c>
      <c r="M207" s="3608">
        <v>2.7512514439738158</v>
      </c>
      <c r="N207" s="3608">
        <v>3.77</v>
      </c>
      <c r="O207" s="2935">
        <v>8.14</v>
      </c>
    </row>
    <row r="208" spans="1:15">
      <c r="A208" s="388">
        <f t="shared" si="0"/>
        <v>2010.07</v>
      </c>
      <c r="B208" s="214">
        <v>171568</v>
      </c>
      <c r="C208" s="3598">
        <v>1008760</v>
      </c>
      <c r="D208" s="3600">
        <v>225.9</v>
      </c>
      <c r="E208" s="461">
        <v>5.5039999999999996</v>
      </c>
      <c r="F208" s="456">
        <v>55612</v>
      </c>
      <c r="G208" s="3598">
        <v>268407</v>
      </c>
      <c r="H208" s="3601">
        <v>88.970153535489004</v>
      </c>
      <c r="I208" s="2433">
        <v>4.8728246018538677</v>
      </c>
      <c r="J208" s="2424">
        <v>2238502.9734909628</v>
      </c>
      <c r="K208" s="632">
        <v>2432133</v>
      </c>
      <c r="L208" s="3504">
        <v>52049000</v>
      </c>
      <c r="M208" s="3608">
        <v>2.7243558954062519</v>
      </c>
      <c r="N208" s="3608">
        <v>3.83</v>
      </c>
      <c r="O208" s="2935">
        <v>8.61</v>
      </c>
    </row>
    <row r="209" spans="1:15">
      <c r="A209" s="388">
        <f t="shared" si="0"/>
        <v>2010.08</v>
      </c>
      <c r="B209" s="214">
        <v>185032</v>
      </c>
      <c r="C209" s="3598">
        <v>1049388</v>
      </c>
      <c r="D209" s="3600">
        <v>228</v>
      </c>
      <c r="E209" s="461">
        <v>5.5789999999999997</v>
      </c>
      <c r="F209" s="456">
        <v>50671</v>
      </c>
      <c r="G209" s="3598">
        <v>268464</v>
      </c>
      <c r="H209" s="3601">
        <v>88.258663778802543</v>
      </c>
      <c r="I209" s="2433">
        <v>5.0031799914382935</v>
      </c>
      <c r="J209" s="2424">
        <v>2117627.6619798155</v>
      </c>
      <c r="K209" s="632">
        <v>2300802</v>
      </c>
      <c r="L209" s="3504">
        <v>51330000</v>
      </c>
      <c r="M209" s="3608">
        <v>2.6982271576076369</v>
      </c>
      <c r="N209" s="3608">
        <v>3.83</v>
      </c>
      <c r="O209" s="2935">
        <v>9.4</v>
      </c>
    </row>
    <row r="210" spans="1:15">
      <c r="A210" s="388">
        <f t="shared" si="0"/>
        <v>2010.09</v>
      </c>
      <c r="B210" s="214">
        <v>169704</v>
      </c>
      <c r="C210" s="3598">
        <v>995293</v>
      </c>
      <c r="D210" s="3600">
        <v>226.7</v>
      </c>
      <c r="E210" s="461">
        <v>6.2619999999999996</v>
      </c>
      <c r="F210" s="456">
        <v>47746</v>
      </c>
      <c r="G210" s="3598">
        <v>255902</v>
      </c>
      <c r="H210" s="3601">
        <v>88.588515408353629</v>
      </c>
      <c r="I210" s="2433">
        <v>5.2573578895252675</v>
      </c>
      <c r="J210" s="2424">
        <v>2148293.1075252574</v>
      </c>
      <c r="K210" s="632">
        <v>2334120</v>
      </c>
      <c r="L210" s="3504">
        <v>53652000</v>
      </c>
      <c r="M210" s="3608">
        <v>2.7286960411541044</v>
      </c>
      <c r="N210" s="3608">
        <v>3.91</v>
      </c>
      <c r="O210" s="2935">
        <v>9.35</v>
      </c>
    </row>
    <row r="211" spans="1:15">
      <c r="A211" s="388">
        <f t="shared" si="0"/>
        <v>2010.1</v>
      </c>
      <c r="B211" s="214">
        <v>150680</v>
      </c>
      <c r="C211" s="3598">
        <v>894209.5</v>
      </c>
      <c r="D211" s="3600">
        <v>229.22403695667811</v>
      </c>
      <c r="E211" s="461">
        <v>7.2460000000000004</v>
      </c>
      <c r="F211" s="456">
        <v>46712</v>
      </c>
      <c r="G211" s="3598">
        <v>259664</v>
      </c>
      <c r="H211" s="3601">
        <v>88.689757148528273</v>
      </c>
      <c r="I211" s="2433">
        <v>5.5600897286256208</v>
      </c>
      <c r="J211" s="2424">
        <v>2085243.8543828297</v>
      </c>
      <c r="K211" s="632">
        <v>2265617</v>
      </c>
      <c r="L211" s="3504">
        <v>49696000</v>
      </c>
      <c r="M211" s="3608">
        <v>2.716516419832582</v>
      </c>
      <c r="N211" s="3608">
        <v>3.94</v>
      </c>
      <c r="O211" s="2935">
        <v>11.11</v>
      </c>
    </row>
    <row r="212" spans="1:15">
      <c r="A212" s="388">
        <f t="shared" si="0"/>
        <v>2010.11</v>
      </c>
      <c r="B212" s="214">
        <v>161914</v>
      </c>
      <c r="C212" s="3598">
        <v>925877.5</v>
      </c>
      <c r="D212" s="3600">
        <v>230.62286240730248</v>
      </c>
      <c r="E212" s="461">
        <v>7.681</v>
      </c>
      <c r="F212" s="456">
        <v>51696</v>
      </c>
      <c r="G212" s="3598">
        <v>277729</v>
      </c>
      <c r="H212" s="3601">
        <v>86.895890489955107</v>
      </c>
      <c r="I212" s="2433">
        <v>5.8381597146472357</v>
      </c>
      <c r="J212" s="2424">
        <v>2304689.8250445919</v>
      </c>
      <c r="K212" s="632">
        <v>2504045</v>
      </c>
      <c r="L212" s="3504">
        <v>54957000</v>
      </c>
      <c r="M212" s="3608">
        <v>2.722128209327292</v>
      </c>
      <c r="N212" s="3608">
        <v>3.96</v>
      </c>
      <c r="O212" s="2935">
        <v>12.56</v>
      </c>
    </row>
    <row r="213" spans="1:15">
      <c r="A213" s="388">
        <f>A201+1</f>
        <v>2010.12</v>
      </c>
      <c r="B213" s="214">
        <v>152591</v>
      </c>
      <c r="C213" s="3598">
        <v>941484</v>
      </c>
      <c r="D213" s="3600">
        <v>226.1</v>
      </c>
      <c r="E213" s="461">
        <v>7.2889999999999997</v>
      </c>
      <c r="F213" s="456">
        <v>48710</v>
      </c>
      <c r="G213" s="3598">
        <v>304850</v>
      </c>
      <c r="H213" s="3601">
        <v>82.344769506816689</v>
      </c>
      <c r="I213" s="2433">
        <v>5.9684373064258462</v>
      </c>
      <c r="J213" s="2424">
        <v>2432293.1636563209</v>
      </c>
      <c r="K213" s="632">
        <v>2642686</v>
      </c>
      <c r="L213" s="3504">
        <v>58030000</v>
      </c>
      <c r="M213" s="3608">
        <v>2.683094950887472</v>
      </c>
      <c r="N213" s="3608">
        <v>3.8</v>
      </c>
      <c r="O213" s="2935">
        <v>9.74</v>
      </c>
    </row>
    <row r="214" spans="1:15">
      <c r="A214" s="388">
        <f t="shared" si="0"/>
        <v>2011.01</v>
      </c>
      <c r="B214" s="214">
        <v>148543</v>
      </c>
      <c r="C214" s="3598">
        <v>889059</v>
      </c>
      <c r="D214" s="3600">
        <v>224.79785193455822</v>
      </c>
      <c r="E214" s="461">
        <v>7.0519999999999996</v>
      </c>
      <c r="F214" s="456">
        <v>46858</v>
      </c>
      <c r="G214" s="3598">
        <v>240591</v>
      </c>
      <c r="H214" s="3601">
        <v>87.338613765680265</v>
      </c>
      <c r="I214" s="2433">
        <v>6.1311034910142546</v>
      </c>
      <c r="J214" s="2424">
        <v>2058339.1090744573</v>
      </c>
      <c r="K214" s="632">
        <v>2236385</v>
      </c>
      <c r="L214" s="3504">
        <v>52858000</v>
      </c>
      <c r="M214" s="3608">
        <v>2.6486056982859738</v>
      </c>
      <c r="N214" s="3608">
        <v>3.95</v>
      </c>
      <c r="O214" s="2935">
        <v>9.34</v>
      </c>
    </row>
    <row r="215" spans="1:15">
      <c r="A215" s="388">
        <f t="shared" si="0"/>
        <v>2011.02</v>
      </c>
      <c r="B215" s="214">
        <v>147221</v>
      </c>
      <c r="C215" s="3598">
        <v>851055</v>
      </c>
      <c r="D215" s="3600">
        <v>226.6438736290568</v>
      </c>
      <c r="E215" s="461">
        <v>7.4240000000000004</v>
      </c>
      <c r="F215" s="456">
        <v>48081</v>
      </c>
      <c r="G215" s="3598">
        <v>233186</v>
      </c>
      <c r="H215" s="3601">
        <v>86.769770179473724</v>
      </c>
      <c r="I215" s="2433">
        <v>5.9272681526962092</v>
      </c>
      <c r="J215" s="2424">
        <v>2038253.5091543486</v>
      </c>
      <c r="K215" s="632">
        <v>2214562</v>
      </c>
      <c r="L215" s="3504">
        <v>50784000</v>
      </c>
      <c r="M215" s="3608">
        <v>2.628780718336484</v>
      </c>
      <c r="N215" s="3608">
        <v>3.97</v>
      </c>
      <c r="O215" s="2935">
        <v>9.66</v>
      </c>
    </row>
    <row r="216" spans="1:15">
      <c r="A216" s="388">
        <f t="shared" si="0"/>
        <v>2011.03</v>
      </c>
      <c r="B216" s="214">
        <v>160559</v>
      </c>
      <c r="C216" s="3598">
        <v>943434</v>
      </c>
      <c r="D216" s="3600">
        <v>229.2727135079208</v>
      </c>
      <c r="E216" s="461">
        <v>7.8520000000000003</v>
      </c>
      <c r="F216" s="456">
        <v>51599</v>
      </c>
      <c r="G216" s="3598">
        <v>272087</v>
      </c>
      <c r="H216" s="3601">
        <v>87.660506300463226</v>
      </c>
      <c r="I216" s="2433">
        <v>5.7082475471354304</v>
      </c>
      <c r="J216" s="2424">
        <v>2429557.7742523635</v>
      </c>
      <c r="K216" s="632">
        <v>2639714</v>
      </c>
      <c r="L216" s="3504">
        <v>56184000</v>
      </c>
      <c r="M216" s="3608">
        <v>2.7018368218709954</v>
      </c>
      <c r="N216" s="3608">
        <v>3.97</v>
      </c>
      <c r="O216" s="2935">
        <v>9.77</v>
      </c>
    </row>
    <row r="217" spans="1:15">
      <c r="A217" s="388">
        <f t="shared" si="0"/>
        <v>2011.04</v>
      </c>
      <c r="B217" s="214">
        <v>150523</v>
      </c>
      <c r="C217" s="3598">
        <v>821028</v>
      </c>
      <c r="D217" s="3600">
        <v>230.71402879839928</v>
      </c>
      <c r="E217" s="461">
        <v>7.3739999999999997</v>
      </c>
      <c r="F217" s="456">
        <v>51587</v>
      </c>
      <c r="G217" s="3598">
        <v>284850</v>
      </c>
      <c r="H217" s="3601">
        <v>90.469254647981685</v>
      </c>
      <c r="I217" s="2433">
        <v>5.5005452287827179</v>
      </c>
      <c r="J217" s="2424">
        <v>2292740.4439437911</v>
      </c>
      <c r="K217" s="632">
        <v>2491062</v>
      </c>
      <c r="L217" s="3504">
        <v>55029000</v>
      </c>
      <c r="M217" s="3608">
        <v>2.7512765996111139</v>
      </c>
      <c r="N217" s="3608">
        <v>4.1500000000000004</v>
      </c>
      <c r="O217" s="2935">
        <v>9.24</v>
      </c>
    </row>
    <row r="218" spans="1:15">
      <c r="A218" s="388">
        <f t="shared" si="0"/>
        <v>2011.05</v>
      </c>
      <c r="B218" s="214">
        <v>160502</v>
      </c>
      <c r="C218" s="3598">
        <v>896681</v>
      </c>
      <c r="D218" s="3600">
        <v>232.92775675896539</v>
      </c>
      <c r="E218" s="461">
        <v>7.0830000000000002</v>
      </c>
      <c r="F218" s="456">
        <v>56416</v>
      </c>
      <c r="G218" s="3598">
        <v>300655</v>
      </c>
      <c r="H218" s="3601">
        <v>90.766060423922085</v>
      </c>
      <c r="I218" s="2433">
        <v>5.3720413588765323</v>
      </c>
      <c r="J218" s="2424">
        <v>2390665.9119866756</v>
      </c>
      <c r="K218" s="632">
        <v>2597458</v>
      </c>
      <c r="L218" s="3504">
        <v>57888000</v>
      </c>
      <c r="M218" s="3608">
        <v>2.7432283029297952</v>
      </c>
      <c r="N218" s="3608">
        <v>4.1399999999999997</v>
      </c>
      <c r="O218" s="2935">
        <v>9.9600000000000009</v>
      </c>
    </row>
    <row r="219" spans="1:15">
      <c r="A219" s="388">
        <f t="shared" si="0"/>
        <v>2011.06</v>
      </c>
      <c r="B219" s="214">
        <v>153527</v>
      </c>
      <c r="C219" s="3598">
        <v>880244</v>
      </c>
      <c r="D219" s="3600">
        <v>231.11528570932779</v>
      </c>
      <c r="E219" s="461">
        <v>7.4749999999999996</v>
      </c>
      <c r="F219" s="456">
        <v>52427</v>
      </c>
      <c r="G219" s="3598">
        <v>302116</v>
      </c>
      <c r="H219" s="3601">
        <v>90.141748876408428</v>
      </c>
      <c r="I219" s="2433">
        <v>5.2325914803329532</v>
      </c>
      <c r="J219" s="2424">
        <v>2550460.6973658386</v>
      </c>
      <c r="K219" s="632">
        <v>2771075</v>
      </c>
      <c r="L219" s="3504">
        <v>57167000</v>
      </c>
      <c r="M219" s="3608">
        <v>2.73059632305351</v>
      </c>
      <c r="N219" s="3608">
        <v>4.5999999999999996</v>
      </c>
      <c r="O219" s="2935">
        <v>9.76</v>
      </c>
    </row>
    <row r="220" spans="1:15">
      <c r="A220" s="388">
        <f t="shared" si="0"/>
        <v>2011.07</v>
      </c>
      <c r="B220" s="214">
        <v>144839</v>
      </c>
      <c r="C220" s="3598">
        <v>883661</v>
      </c>
      <c r="D220" s="3600">
        <v>231.2152612557183</v>
      </c>
      <c r="E220" s="461">
        <v>7.6829999999999998</v>
      </c>
      <c r="F220" s="456">
        <v>59513</v>
      </c>
      <c r="G220" s="3598">
        <v>300557</v>
      </c>
      <c r="H220" s="3601">
        <v>89.194181405370998</v>
      </c>
      <c r="I220" s="2433">
        <v>5.2481526186188852</v>
      </c>
      <c r="J220" s="2424">
        <v>2412461.5904776296</v>
      </c>
      <c r="K220" s="632">
        <v>2621139</v>
      </c>
      <c r="L220" s="3504">
        <v>54834000</v>
      </c>
      <c r="M220" s="3608">
        <v>2.709997446839552</v>
      </c>
      <c r="N220" s="3608">
        <v>4.5999999999999996</v>
      </c>
      <c r="O220" s="2935">
        <v>11.81</v>
      </c>
    </row>
    <row r="221" spans="1:15">
      <c r="A221" s="388">
        <f t="shared" si="0"/>
        <v>2011.08</v>
      </c>
      <c r="B221" s="214">
        <v>162990</v>
      </c>
      <c r="C221" s="3598">
        <v>954705</v>
      </c>
      <c r="D221" s="3600">
        <v>230.95518841351617</v>
      </c>
      <c r="E221" s="461">
        <v>8.0519999999999996</v>
      </c>
      <c r="F221" s="456">
        <v>51759</v>
      </c>
      <c r="G221" s="3598">
        <v>310593</v>
      </c>
      <c r="H221" s="3601">
        <v>87.887411888695752</v>
      </c>
      <c r="I221" s="2433">
        <v>5.1696314778932528</v>
      </c>
      <c r="J221" s="2424">
        <v>2730550.0104560587</v>
      </c>
      <c r="K221" s="632">
        <v>2966742</v>
      </c>
      <c r="L221" s="3504">
        <v>58887000</v>
      </c>
      <c r="M221" s="3608">
        <v>2.7034829419056838</v>
      </c>
      <c r="N221" s="3608">
        <v>4.7699999999999996</v>
      </c>
      <c r="O221" s="2935">
        <v>12.69</v>
      </c>
    </row>
    <row r="222" spans="1:15">
      <c r="A222" s="388">
        <f t="shared" si="0"/>
        <v>2011.09</v>
      </c>
      <c r="B222" s="214">
        <v>172415.26</v>
      </c>
      <c r="C222" s="3598">
        <v>947364</v>
      </c>
      <c r="D222" s="3600">
        <v>229.94382175808556</v>
      </c>
      <c r="E222" s="461">
        <v>8.1660000000000004</v>
      </c>
      <c r="F222" s="456">
        <v>47743</v>
      </c>
      <c r="G222" s="3598">
        <v>285618</v>
      </c>
      <c r="H222" s="3601">
        <v>87.709763261971517</v>
      </c>
      <c r="I222" s="2433">
        <v>5.6274369372387518</v>
      </c>
      <c r="J222" s="2424">
        <v>2633655.3755667517</v>
      </c>
      <c r="K222" s="632">
        <v>2861466</v>
      </c>
      <c r="L222" s="3504">
        <v>58373000</v>
      </c>
      <c r="M222" s="3608">
        <v>2.7546982337724635</v>
      </c>
      <c r="N222" s="3608">
        <v>4.3600000000000003</v>
      </c>
      <c r="O222" s="2935">
        <v>12.08</v>
      </c>
    </row>
    <row r="223" spans="1:15">
      <c r="A223" s="388">
        <f t="shared" si="0"/>
        <v>2011.1</v>
      </c>
      <c r="B223" s="214">
        <v>159094.24</v>
      </c>
      <c r="C223" s="3598">
        <v>919001</v>
      </c>
      <c r="D223" s="3600">
        <v>225.65429244710677</v>
      </c>
      <c r="E223" s="461">
        <v>8.3650000000000002</v>
      </c>
      <c r="F223" s="456">
        <v>50515</v>
      </c>
      <c r="G223" s="3598">
        <v>288392</v>
      </c>
      <c r="H223" s="3601">
        <v>86.930686240756799</v>
      </c>
      <c r="I223" s="2433">
        <v>6.0933228863487381</v>
      </c>
      <c r="J223" s="2424">
        <v>2474448.7173171742</v>
      </c>
      <c r="K223" s="632">
        <v>2688488</v>
      </c>
      <c r="L223" s="3504">
        <v>56259000</v>
      </c>
      <c r="M223" s="3608">
        <v>2.7391172967880695</v>
      </c>
      <c r="N223" s="3608">
        <v>4.42</v>
      </c>
      <c r="O223" s="2935">
        <v>11.39</v>
      </c>
    </row>
    <row r="224" spans="1:15">
      <c r="A224" s="388">
        <f t="shared" si="0"/>
        <v>2011.11</v>
      </c>
      <c r="B224" s="214">
        <v>155029</v>
      </c>
      <c r="C224" s="3598">
        <v>912403</v>
      </c>
      <c r="D224" s="3600">
        <v>224.44923879360337</v>
      </c>
      <c r="E224" s="461">
        <v>8.2129999999999992</v>
      </c>
      <c r="F224" s="456">
        <v>57643</v>
      </c>
      <c r="G224" s="3598">
        <v>288055</v>
      </c>
      <c r="H224" s="3601">
        <v>85.565362206363929</v>
      </c>
      <c r="I224" s="2433">
        <v>6.1299450836640235</v>
      </c>
      <c r="J224" s="2424">
        <v>2571901.1065735058</v>
      </c>
      <c r="K224" s="632">
        <v>2794370</v>
      </c>
      <c r="L224" s="3504">
        <v>60933000</v>
      </c>
      <c r="M224" s="3608">
        <v>2.7177391561222981</v>
      </c>
      <c r="N224" s="3608">
        <v>4.3499999999999996</v>
      </c>
      <c r="O224" s="2935">
        <v>12.65</v>
      </c>
    </row>
    <row r="225" spans="1:15">
      <c r="A225" s="388">
        <f t="shared" si="0"/>
        <v>2011.12</v>
      </c>
      <c r="B225" s="214">
        <v>150392.82</v>
      </c>
      <c r="C225" s="3598">
        <v>963261</v>
      </c>
      <c r="D225" s="3600">
        <v>222.90056134886171</v>
      </c>
      <c r="E225" s="461">
        <v>7.9850000000000003</v>
      </c>
      <c r="F225" s="456">
        <v>61078</v>
      </c>
      <c r="G225" s="3598">
        <v>336060</v>
      </c>
      <c r="H225" s="3601">
        <v>80.954607140026951</v>
      </c>
      <c r="I225" s="2433">
        <v>6.1003595614028789</v>
      </c>
      <c r="J225" s="2424">
        <v>2849225.5976484111</v>
      </c>
      <c r="K225" s="632">
        <v>3095683</v>
      </c>
      <c r="L225" s="3504">
        <v>63822000</v>
      </c>
      <c r="M225" s="3608">
        <v>2.6981291717589544</v>
      </c>
      <c r="N225" s="3608">
        <v>4.57</v>
      </c>
      <c r="O225" s="2935">
        <v>11.5</v>
      </c>
    </row>
    <row r="226" spans="1:15">
      <c r="A226" s="388">
        <f t="shared" si="0"/>
        <v>2012.01</v>
      </c>
      <c r="B226" s="214">
        <v>135783.72</v>
      </c>
      <c r="C226" s="3598">
        <v>955814</v>
      </c>
      <c r="D226" s="3600">
        <v>224.48844686078729</v>
      </c>
      <c r="E226" s="461">
        <v>7.5140000000000002</v>
      </c>
      <c r="F226" s="456">
        <v>43402</v>
      </c>
      <c r="G226" s="3598">
        <v>275185</v>
      </c>
      <c r="H226" s="3601">
        <v>85.192384076780115</v>
      </c>
      <c r="I226" s="2433">
        <v>6.234271221165022</v>
      </c>
      <c r="J226" s="2424">
        <v>2512729.4427846698</v>
      </c>
      <c r="K226" s="632">
        <v>2730080</v>
      </c>
      <c r="L226" s="3504">
        <v>61471000</v>
      </c>
      <c r="M226" s="3608">
        <v>2.6207479949895074</v>
      </c>
      <c r="N226" s="3608">
        <v>4.71</v>
      </c>
      <c r="O226" s="2935">
        <v>12.08</v>
      </c>
    </row>
    <row r="227" spans="1:15">
      <c r="A227" s="388">
        <f t="shared" si="0"/>
        <v>2012.02</v>
      </c>
      <c r="B227" s="214">
        <v>117550</v>
      </c>
      <c r="C227" s="3598">
        <v>894784</v>
      </c>
      <c r="D227" s="3600">
        <v>224.33071305185661</v>
      </c>
      <c r="E227" s="461">
        <v>8.3350000000000009</v>
      </c>
      <c r="F227" s="456">
        <v>47509</v>
      </c>
      <c r="G227" s="3598">
        <v>265643</v>
      </c>
      <c r="H227" s="3601">
        <v>85.911187276111761</v>
      </c>
      <c r="I227" s="2433">
        <v>6.4603092130925415</v>
      </c>
      <c r="J227" s="2424">
        <v>2296580.2974408674</v>
      </c>
      <c r="K227" s="632">
        <v>2495234</v>
      </c>
      <c r="L227" s="3504">
        <v>53581000</v>
      </c>
      <c r="M227" s="3608">
        <v>2.6110001679699892</v>
      </c>
      <c r="N227" s="3608">
        <v>6.1820000000000004</v>
      </c>
      <c r="O227" s="2935">
        <v>11.5</v>
      </c>
    </row>
    <row r="228" spans="1:15">
      <c r="A228" s="388">
        <f t="shared" si="0"/>
        <v>2012.03</v>
      </c>
      <c r="B228" s="2221">
        <v>169936.00901412926</v>
      </c>
      <c r="C228" s="3598">
        <v>959587</v>
      </c>
      <c r="D228" s="3600">
        <v>228.17730343397201</v>
      </c>
      <c r="E228" s="461">
        <v>8.9760000000000009</v>
      </c>
      <c r="F228" s="456">
        <v>64535</v>
      </c>
      <c r="G228" s="3598">
        <v>332042</v>
      </c>
      <c r="H228" s="3601">
        <v>87.189667821620048</v>
      </c>
      <c r="I228" s="2433">
        <v>6.5216506679175676</v>
      </c>
      <c r="J228" s="2424">
        <v>2910586.8615018558</v>
      </c>
      <c r="K228" s="632">
        <v>3162352</v>
      </c>
      <c r="L228" s="3504">
        <v>65812000</v>
      </c>
      <c r="M228" s="3608">
        <v>2.6560505682854192</v>
      </c>
      <c r="N228" s="3608">
        <v>5.86</v>
      </c>
      <c r="O228" s="2935">
        <v>12.76</v>
      </c>
    </row>
    <row r="229" spans="1:15">
      <c r="A229" s="388">
        <f t="shared" si="0"/>
        <v>2012.04</v>
      </c>
      <c r="B229" s="568">
        <v>156496.02637919292</v>
      </c>
      <c r="C229" s="3598">
        <v>854388</v>
      </c>
      <c r="D229" s="3600">
        <v>227.34252314219816</v>
      </c>
      <c r="E229" s="461">
        <v>8.4410000000000007</v>
      </c>
      <c r="F229" s="456">
        <v>55782</v>
      </c>
      <c r="G229" s="3598">
        <v>303752</v>
      </c>
      <c r="H229" s="3601">
        <v>88.809423999075619</v>
      </c>
      <c r="I229" s="2433">
        <v>6.5638271843161471</v>
      </c>
      <c r="J229" s="2424">
        <v>2476842.6432390092</v>
      </c>
      <c r="K229" s="632">
        <v>2691089</v>
      </c>
      <c r="L229" s="3504">
        <v>55335000</v>
      </c>
      <c r="M229" s="3608">
        <v>2.7432908647329901</v>
      </c>
      <c r="N229" s="3608">
        <v>5.95</v>
      </c>
      <c r="O229" s="2935">
        <v>11.87</v>
      </c>
    </row>
    <row r="230" spans="1:15">
      <c r="A230" s="388">
        <f t="shared" si="0"/>
        <v>2012.05</v>
      </c>
      <c r="B230" s="568">
        <v>177094.80444221525</v>
      </c>
      <c r="C230" s="3598">
        <v>973060</v>
      </c>
      <c r="D230" s="3600">
        <v>227.95241548304568</v>
      </c>
      <c r="E230" s="461">
        <v>8.5069999999999997</v>
      </c>
      <c r="F230" s="456">
        <v>65648</v>
      </c>
      <c r="G230" s="3598">
        <v>339669</v>
      </c>
      <c r="H230" s="3601">
        <v>88.972774329723336</v>
      </c>
      <c r="I230" s="2433">
        <v>6.4718445130100726</v>
      </c>
      <c r="J230" s="2424">
        <v>2894609.8680081489</v>
      </c>
      <c r="K230" s="632">
        <v>3144993</v>
      </c>
      <c r="L230" s="3504">
        <v>63748000</v>
      </c>
      <c r="M230" s="3608">
        <v>2.7985191692288387</v>
      </c>
      <c r="N230" s="3608">
        <v>5.49</v>
      </c>
      <c r="O230" s="2935">
        <v>12.19</v>
      </c>
    </row>
    <row r="231" spans="1:15">
      <c r="A231" s="388">
        <f t="shared" si="0"/>
        <v>2012.06</v>
      </c>
      <c r="B231" s="568">
        <v>162390.57697060134</v>
      </c>
      <c r="C231" s="3598">
        <v>879179</v>
      </c>
      <c r="D231" s="3600">
        <v>226.2262686324847</v>
      </c>
      <c r="E231" s="461">
        <v>8.173</v>
      </c>
      <c r="F231" s="456">
        <v>59213</v>
      </c>
      <c r="G231" s="3598">
        <v>318305</v>
      </c>
      <c r="H231" s="3601">
        <v>88.813292753810373</v>
      </c>
      <c r="I231" s="2433">
        <v>6.7603041161456598</v>
      </c>
      <c r="J231" s="2424">
        <v>2582179.0653467202</v>
      </c>
      <c r="K231" s="632">
        <v>2805537</v>
      </c>
      <c r="L231" s="3504">
        <v>60006000</v>
      </c>
      <c r="M231" s="3608">
        <v>2.7780555277805554</v>
      </c>
      <c r="N231" s="3608">
        <v>5.95</v>
      </c>
      <c r="O231" s="2935">
        <v>13.78</v>
      </c>
    </row>
    <row r="232" spans="1:15">
      <c r="A232" s="388">
        <f t="shared" si="0"/>
        <v>2012.07</v>
      </c>
      <c r="B232" s="568">
        <v>169704.26596152823</v>
      </c>
      <c r="C232" s="3598">
        <v>986917</v>
      </c>
      <c r="D232" s="3600">
        <v>227.34283731735829</v>
      </c>
      <c r="E232" s="461">
        <v>7.5149999999999997</v>
      </c>
      <c r="F232" s="456">
        <v>53040</v>
      </c>
      <c r="G232" s="3598">
        <v>335156</v>
      </c>
      <c r="H232" s="3601">
        <v>88.533740133710296</v>
      </c>
      <c r="I232" s="2433">
        <v>6.8912749451467974</v>
      </c>
      <c r="J232" s="2424">
        <v>2787939.8055079966</v>
      </c>
      <c r="K232" s="632">
        <v>3029096</v>
      </c>
      <c r="L232" s="3504">
        <v>60992000</v>
      </c>
      <c r="M232" s="3608">
        <v>2.7642969569779643</v>
      </c>
      <c r="N232" s="3608">
        <v>6.2</v>
      </c>
      <c r="O232" s="2935">
        <v>14.42</v>
      </c>
    </row>
    <row r="233" spans="1:15">
      <c r="A233" s="388">
        <f t="shared" si="0"/>
        <v>2012.08</v>
      </c>
      <c r="B233" s="568">
        <v>168194.24904033184</v>
      </c>
      <c r="C233" s="3598">
        <v>959129</v>
      </c>
      <c r="D233" s="3600">
        <v>225.34597537705415</v>
      </c>
      <c r="E233" s="461">
        <v>7.8520000000000003</v>
      </c>
      <c r="F233" s="456">
        <v>52676</v>
      </c>
      <c r="G233" s="3598">
        <v>308693</v>
      </c>
      <c r="H233" s="3601">
        <v>86.905940847376669</v>
      </c>
      <c r="I233" s="2433">
        <v>7.1535408389220949</v>
      </c>
      <c r="J233" s="2424">
        <v>2333861.4829040901</v>
      </c>
      <c r="K233" s="632">
        <v>2535740</v>
      </c>
      <c r="L233" s="3504">
        <v>65247000</v>
      </c>
      <c r="M233" s="3608">
        <v>2.7326926908516866</v>
      </c>
      <c r="N233" s="3608">
        <v>6.5</v>
      </c>
      <c r="O233" s="2935">
        <v>13.53</v>
      </c>
    </row>
    <row r="234" spans="1:15">
      <c r="A234" s="388">
        <f t="shared" si="0"/>
        <v>2012.09</v>
      </c>
      <c r="B234" s="568">
        <v>165567.90188021504</v>
      </c>
      <c r="C234" s="3598">
        <v>943421</v>
      </c>
      <c r="D234" s="3600">
        <v>224.05981113682688</v>
      </c>
      <c r="E234" s="461">
        <v>7.8330000000000002</v>
      </c>
      <c r="F234" s="456">
        <v>55167</v>
      </c>
      <c r="G234" s="3598">
        <v>304750</v>
      </c>
      <c r="H234" s="3601">
        <v>87.513978036686638</v>
      </c>
      <c r="I234" s="2433">
        <v>7.2366976488661106</v>
      </c>
      <c r="J234" s="2424">
        <v>2480470.8077849043</v>
      </c>
      <c r="K234" s="632">
        <v>2695031</v>
      </c>
      <c r="L234" s="3504">
        <v>58480000</v>
      </c>
      <c r="M234" s="3608">
        <v>2.7530779753761969</v>
      </c>
      <c r="N234" s="3608">
        <v>7.2519999999999998</v>
      </c>
      <c r="O234" s="2935">
        <v>14.23</v>
      </c>
    </row>
    <row r="235" spans="1:15">
      <c r="A235" s="388">
        <f t="shared" si="0"/>
        <v>2012.1</v>
      </c>
      <c r="B235" s="568">
        <v>179122.86361705165</v>
      </c>
      <c r="C235" s="3598">
        <v>1038946</v>
      </c>
      <c r="D235" s="3600">
        <v>222.73645396007367</v>
      </c>
      <c r="E235" s="461">
        <v>7.9480000000000004</v>
      </c>
      <c r="F235" s="456">
        <v>50835</v>
      </c>
      <c r="G235" s="3598">
        <v>352152</v>
      </c>
      <c r="H235" s="3601">
        <v>87.245910563609058</v>
      </c>
      <c r="I235" s="2433">
        <v>7.3252240028392803</v>
      </c>
      <c r="J235" s="2424">
        <v>2503361.7465015342</v>
      </c>
      <c r="K235" s="632">
        <v>2719902</v>
      </c>
      <c r="L235" s="3504">
        <v>67070000</v>
      </c>
      <c r="M235" s="3608">
        <v>2.8090055166244223</v>
      </c>
      <c r="N235" s="3608">
        <v>7.33</v>
      </c>
      <c r="O235" s="2935">
        <v>14.85</v>
      </c>
    </row>
    <row r="236" spans="1:15">
      <c r="A236" s="388">
        <f t="shared" si="0"/>
        <v>2012.11</v>
      </c>
      <c r="B236" s="568">
        <v>163194.1205620089</v>
      </c>
      <c r="C236" s="3598">
        <v>995958</v>
      </c>
      <c r="D236" s="3600">
        <v>223.64966568292002</v>
      </c>
      <c r="E236" s="461">
        <v>7.6040000000000001</v>
      </c>
      <c r="F236" s="2409">
        <v>70502.591778668124</v>
      </c>
      <c r="G236" s="3598">
        <v>342330</v>
      </c>
      <c r="H236" s="3601">
        <v>85.736401136448322</v>
      </c>
      <c r="I236" s="2433">
        <v>7.4914102667803633</v>
      </c>
      <c r="J236" s="2424">
        <v>2343433.5050444524</v>
      </c>
      <c r="K236" s="632">
        <v>2546140</v>
      </c>
      <c r="L236" s="3504">
        <v>62189000</v>
      </c>
      <c r="M236" s="3608">
        <v>2.7014423772692919</v>
      </c>
      <c r="N236" s="3608">
        <v>7.05</v>
      </c>
      <c r="O236" s="2935">
        <v>15.84</v>
      </c>
    </row>
    <row r="237" spans="1:15">
      <c r="A237" s="388">
        <f t="shared" si="0"/>
        <v>2012.12</v>
      </c>
      <c r="B237" s="568">
        <v>153686.20041596718</v>
      </c>
      <c r="C237" s="3598">
        <v>987609</v>
      </c>
      <c r="D237" s="3600">
        <v>222.21992691313437</v>
      </c>
      <c r="E237" s="461">
        <v>7.8620000000000001</v>
      </c>
      <c r="F237" s="2409">
        <v>65172.609955186243</v>
      </c>
      <c r="G237" s="3598">
        <v>341081</v>
      </c>
      <c r="H237" s="3601">
        <v>81.863965800958709</v>
      </c>
      <c r="I237" s="2433">
        <v>7.3129994545950376</v>
      </c>
      <c r="J237" s="2424">
        <v>2739486.0453561335</v>
      </c>
      <c r="K237" s="632">
        <v>2976451</v>
      </c>
      <c r="L237" s="3504">
        <v>60715000</v>
      </c>
      <c r="M237" s="3608">
        <v>2.6171456806390512</v>
      </c>
      <c r="N237" s="3608">
        <v>7.4</v>
      </c>
      <c r="O237" s="2935">
        <v>15.95</v>
      </c>
    </row>
    <row r="238" spans="1:15">
      <c r="A238" s="388">
        <f t="shared" si="0"/>
        <v>2013.01</v>
      </c>
      <c r="B238" s="568">
        <v>169179.650065833</v>
      </c>
      <c r="C238" s="3598">
        <v>1060153</v>
      </c>
      <c r="D238" s="3600">
        <v>226.58999541576034</v>
      </c>
      <c r="E238" s="461">
        <v>8.2650000000000006</v>
      </c>
      <c r="F238" s="456">
        <v>76013</v>
      </c>
      <c r="G238" s="3598">
        <v>365158</v>
      </c>
      <c r="H238" s="3601">
        <v>85.878922110251722</v>
      </c>
      <c r="I238" s="2433">
        <v>7.592913737939309</v>
      </c>
      <c r="J238" s="339">
        <v>2649706</v>
      </c>
      <c r="K238" s="632">
        <v>2878905</v>
      </c>
      <c r="L238" s="3504">
        <v>63266000</v>
      </c>
      <c r="M238" s="3608">
        <v>2.6017134005627036</v>
      </c>
      <c r="N238" s="3608">
        <v>7.74</v>
      </c>
      <c r="O238" s="2935">
        <v>15.78</v>
      </c>
    </row>
    <row r="239" spans="1:15">
      <c r="A239" s="388">
        <f t="shared" si="0"/>
        <v>2013.02</v>
      </c>
      <c r="B239" s="568">
        <v>148185.14471935661</v>
      </c>
      <c r="C239" s="3598">
        <v>969251</v>
      </c>
      <c r="D239" s="3600">
        <v>225.34486938883737</v>
      </c>
      <c r="E239" s="461">
        <v>9.0739999999999998</v>
      </c>
      <c r="F239" s="456">
        <v>68589</v>
      </c>
      <c r="G239" s="3598">
        <v>336332</v>
      </c>
      <c r="H239" s="3601">
        <v>86.592568789350992</v>
      </c>
      <c r="I239" s="2433">
        <v>7.5379687028783966</v>
      </c>
      <c r="J239" s="339">
        <v>2641423</v>
      </c>
      <c r="K239" s="632">
        <v>2552188</v>
      </c>
      <c r="L239" s="3504">
        <v>54703000</v>
      </c>
      <c r="M239" s="3608">
        <v>2.6671297735041954</v>
      </c>
      <c r="N239" s="3608">
        <v>8.36</v>
      </c>
      <c r="O239" s="2935">
        <v>14.67</v>
      </c>
    </row>
    <row r="240" spans="1:15">
      <c r="A240" s="388">
        <f t="shared" si="0"/>
        <v>2013.03</v>
      </c>
      <c r="B240" s="568">
        <v>170749.32574898427</v>
      </c>
      <c r="C240" s="3598">
        <v>970462</v>
      </c>
      <c r="D240" s="3600">
        <v>228.16362326770474</v>
      </c>
      <c r="E240" s="461">
        <v>8.6649999999999991</v>
      </c>
      <c r="F240" s="456">
        <v>75465</v>
      </c>
      <c r="G240" s="3598">
        <v>374171</v>
      </c>
      <c r="H240" s="3601">
        <v>88.316910549522618</v>
      </c>
      <c r="I240" s="2433">
        <v>7.3998636310923223</v>
      </c>
      <c r="J240" s="339">
        <v>2762477</v>
      </c>
      <c r="K240" s="632">
        <v>2863606</v>
      </c>
      <c r="L240" s="3504">
        <v>61557000</v>
      </c>
      <c r="M240" s="3608">
        <v>2.7096837077830305</v>
      </c>
      <c r="N240" s="3608">
        <v>8.06</v>
      </c>
      <c r="O240" s="2935">
        <v>14.41</v>
      </c>
    </row>
    <row r="241" spans="1:15">
      <c r="A241" s="388">
        <f t="shared" si="0"/>
        <v>2013.04</v>
      </c>
      <c r="B241" s="568">
        <v>181697.58759200905</v>
      </c>
      <c r="C241" s="3598">
        <v>1045238</v>
      </c>
      <c r="D241" s="3600">
        <v>225.33542057925621</v>
      </c>
      <c r="E241" s="461">
        <v>8.4350000000000005</v>
      </c>
      <c r="F241" s="456">
        <v>77954</v>
      </c>
      <c r="G241" s="3598">
        <v>395605</v>
      </c>
      <c r="H241" s="3601">
        <v>91.031395396007639</v>
      </c>
      <c r="I241" s="2433">
        <v>7.4722302798026101</v>
      </c>
      <c r="J241" s="339">
        <v>3118940</v>
      </c>
      <c r="K241" s="632">
        <v>3118473</v>
      </c>
      <c r="L241" s="3504">
        <v>62207000</v>
      </c>
      <c r="M241" s="3608">
        <v>2.7794299676885239</v>
      </c>
      <c r="N241" s="3608">
        <v>7.98</v>
      </c>
      <c r="O241" s="2935">
        <v>14.52</v>
      </c>
    </row>
    <row r="242" spans="1:15">
      <c r="A242" s="388">
        <f t="shared" si="0"/>
        <v>2013.05</v>
      </c>
      <c r="B242" s="568">
        <v>188820.72065323498</v>
      </c>
      <c r="C242" s="3598">
        <v>1058122</v>
      </c>
      <c r="D242" s="3600">
        <v>226.61728762589533</v>
      </c>
      <c r="E242" s="461">
        <v>8.2420000000000009</v>
      </c>
      <c r="F242" s="456">
        <v>82088</v>
      </c>
      <c r="G242" s="3598">
        <v>411975</v>
      </c>
      <c r="H242" s="3601">
        <v>91.682793716575489</v>
      </c>
      <c r="I242" s="2433">
        <v>7.4211209139187897</v>
      </c>
      <c r="J242" s="339">
        <v>3318622</v>
      </c>
      <c r="K242" s="632">
        <v>3233185</v>
      </c>
      <c r="L242" s="3504">
        <v>65927000</v>
      </c>
      <c r="M242" s="3608">
        <v>2.7697301560817267</v>
      </c>
      <c r="N242" s="3608">
        <v>7.82</v>
      </c>
      <c r="O242" s="2935">
        <v>14.3</v>
      </c>
    </row>
    <row r="243" spans="1:15">
      <c r="A243" s="388">
        <f t="shared" si="0"/>
        <v>2013.06</v>
      </c>
      <c r="B243" s="568">
        <v>173709.71329844272</v>
      </c>
      <c r="C243" s="3598">
        <v>989779</v>
      </c>
      <c r="D243" s="3600">
        <v>225.51076706089646</v>
      </c>
      <c r="E243" s="461">
        <v>8.234</v>
      </c>
      <c r="F243" s="456">
        <v>69090</v>
      </c>
      <c r="G243" s="3598">
        <v>371801</v>
      </c>
      <c r="H243" s="3601">
        <v>91.055263684061742</v>
      </c>
      <c r="I243" s="2433">
        <v>7.3327906190814813</v>
      </c>
      <c r="J243" s="339">
        <v>2631392</v>
      </c>
      <c r="K243" s="632">
        <v>2837482</v>
      </c>
      <c r="L243" s="3504">
        <v>56424000</v>
      </c>
      <c r="M243" s="3608">
        <v>2.8374450588402098</v>
      </c>
      <c r="N243" s="3608">
        <v>7.56</v>
      </c>
      <c r="O243" s="2935">
        <v>15.06</v>
      </c>
    </row>
    <row r="244" spans="1:15">
      <c r="A244" s="388">
        <f t="shared" si="0"/>
        <v>2013.07</v>
      </c>
      <c r="B244" s="568">
        <v>195150.15675784441</v>
      </c>
      <c r="C244" s="3598">
        <v>1133757</v>
      </c>
      <c r="D244" s="3600">
        <v>226.97650819355468</v>
      </c>
      <c r="E244" s="461">
        <v>8.1720000000000006</v>
      </c>
      <c r="F244" s="456">
        <v>91753</v>
      </c>
      <c r="G244" s="3598">
        <v>421748</v>
      </c>
      <c r="H244" s="3601">
        <v>90.268699303558293</v>
      </c>
      <c r="I244" s="2433">
        <v>7.1868866799478859</v>
      </c>
      <c r="J244" s="339">
        <v>3458880</v>
      </c>
      <c r="K244" s="632">
        <v>3398265</v>
      </c>
      <c r="L244" s="3504">
        <v>66082000</v>
      </c>
      <c r="M244" s="3608">
        <v>2.8494900275415391</v>
      </c>
      <c r="N244" s="3608">
        <v>7.26</v>
      </c>
      <c r="O244" s="2935">
        <v>17.54</v>
      </c>
    </row>
    <row r="245" spans="1:15">
      <c r="A245" s="388">
        <f t="shared" si="0"/>
        <v>2013.08</v>
      </c>
      <c r="B245" s="568">
        <v>184404.85240638207</v>
      </c>
      <c r="C245" s="3598">
        <v>1049659</v>
      </c>
      <c r="D245" s="3600">
        <v>227.22483396988926</v>
      </c>
      <c r="E245" s="461">
        <v>8.6010000000000009</v>
      </c>
      <c r="F245" s="456">
        <v>85725</v>
      </c>
      <c r="G245" s="3598">
        <v>410133</v>
      </c>
      <c r="H245" s="3601">
        <v>89.675148965575744</v>
      </c>
      <c r="I245" s="2433">
        <v>7.2976694144359815</v>
      </c>
      <c r="J245" s="339">
        <v>2903530</v>
      </c>
      <c r="K245" s="632">
        <v>3292291</v>
      </c>
      <c r="L245" s="3504">
        <v>61917000</v>
      </c>
      <c r="M245" s="3608">
        <v>2.8166739344606491</v>
      </c>
      <c r="N245" s="3608">
        <v>7.39</v>
      </c>
      <c r="O245" s="2935">
        <v>18.11</v>
      </c>
    </row>
    <row r="246" spans="1:15">
      <c r="A246" s="388">
        <f t="shared" si="0"/>
        <v>2013.09</v>
      </c>
      <c r="B246" s="568">
        <v>185407.55801644627</v>
      </c>
      <c r="C246" s="3598">
        <v>1071109</v>
      </c>
      <c r="D246" s="3600">
        <v>224.21299026243804</v>
      </c>
      <c r="E246" s="461">
        <v>8.718</v>
      </c>
      <c r="F246" s="456">
        <v>86313</v>
      </c>
      <c r="G246" s="3598">
        <v>411540</v>
      </c>
      <c r="H246" s="3601">
        <v>87.803142511878804</v>
      </c>
      <c r="I246" s="2434">
        <v>7.4244111851147103</v>
      </c>
      <c r="J246" s="339">
        <v>3055855</v>
      </c>
      <c r="K246" s="632">
        <v>3048686</v>
      </c>
      <c r="L246" s="3504">
        <v>59071000</v>
      </c>
      <c r="M246" s="3608">
        <v>2.7746271436068461</v>
      </c>
      <c r="N246" s="3608">
        <v>7.88</v>
      </c>
      <c r="O246" s="2935">
        <v>19</v>
      </c>
    </row>
    <row r="247" spans="1:15">
      <c r="A247" s="388">
        <f t="shared" si="0"/>
        <v>2013.1</v>
      </c>
      <c r="B247" s="568">
        <v>185602.34349435419</v>
      </c>
      <c r="C247" s="3598">
        <v>1161800</v>
      </c>
      <c r="D247" s="3600">
        <v>220.18350662764675</v>
      </c>
      <c r="E247" s="461">
        <v>9.26</v>
      </c>
      <c r="F247" s="456">
        <v>89202</v>
      </c>
      <c r="G247" s="3598">
        <v>429360</v>
      </c>
      <c r="H247" s="3601">
        <v>86.32018504249946</v>
      </c>
      <c r="I247" s="2433">
        <v>7.6010164937623914</v>
      </c>
      <c r="J247" s="339">
        <v>3247662</v>
      </c>
      <c r="K247" s="632">
        <v>3381068</v>
      </c>
      <c r="L247" s="3504">
        <v>62966000</v>
      </c>
      <c r="M247" s="3608">
        <v>2.803100085760569</v>
      </c>
      <c r="N247" s="3608">
        <v>9.6199999999999992</v>
      </c>
      <c r="O247" s="2935">
        <v>19.46</v>
      </c>
    </row>
    <row r="248" spans="1:15">
      <c r="A248" s="388">
        <f t="shared" si="0"/>
        <v>2013.11</v>
      </c>
      <c r="B248" s="568">
        <v>166919.32746638497</v>
      </c>
      <c r="C248" s="3598">
        <v>1030823</v>
      </c>
      <c r="D248" s="3600">
        <v>218.26333618865701</v>
      </c>
      <c r="E248" s="461">
        <v>10.584</v>
      </c>
      <c r="F248" s="456">
        <v>87803</v>
      </c>
      <c r="G248" s="3598">
        <v>414581</v>
      </c>
      <c r="H248" s="3601">
        <v>85.713559225358665</v>
      </c>
      <c r="I248" s="2433">
        <v>7.8712201607542145</v>
      </c>
      <c r="J248" s="339">
        <v>2916241</v>
      </c>
      <c r="K248" s="632">
        <v>3151796</v>
      </c>
      <c r="L248" s="3504">
        <v>57917000</v>
      </c>
      <c r="M248" s="3608">
        <v>2.8057392475438991</v>
      </c>
      <c r="N248" s="3608">
        <v>9.68</v>
      </c>
      <c r="O248" s="2935">
        <v>21.06</v>
      </c>
    </row>
    <row r="249" spans="1:15">
      <c r="A249" s="388">
        <f t="shared" si="0"/>
        <v>2013.12</v>
      </c>
      <c r="B249" s="568">
        <v>168835.26161365194</v>
      </c>
      <c r="C249" s="3598">
        <v>1085358</v>
      </c>
      <c r="D249" s="3600">
        <v>216.98692597281268</v>
      </c>
      <c r="E249" s="461">
        <v>10.669</v>
      </c>
      <c r="F249" s="456">
        <v>92807</v>
      </c>
      <c r="G249" s="3598">
        <v>463095</v>
      </c>
      <c r="H249" s="3601">
        <v>82.694848386044995</v>
      </c>
      <c r="I249" s="2433">
        <v>8.5259896750015169</v>
      </c>
      <c r="J249" s="339">
        <v>3068390</v>
      </c>
      <c r="K249" s="632">
        <v>3231496</v>
      </c>
      <c r="L249" s="3504">
        <v>60426000</v>
      </c>
      <c r="M249" s="3608">
        <v>2.7372323172144442</v>
      </c>
      <c r="N249" s="3608">
        <v>9.91</v>
      </c>
      <c r="O249" s="2935">
        <v>21.86</v>
      </c>
    </row>
    <row r="250" spans="1:15">
      <c r="A250" s="388">
        <f t="shared" si="0"/>
        <v>2014.01</v>
      </c>
      <c r="B250" s="568">
        <v>170457.56841823278</v>
      </c>
      <c r="C250" s="3598">
        <v>1052691</v>
      </c>
      <c r="D250" s="3600">
        <v>219.39900683636751</v>
      </c>
      <c r="E250" s="461">
        <v>11.348000000000001</v>
      </c>
      <c r="F250" s="456">
        <v>88223</v>
      </c>
      <c r="G250" s="3598">
        <v>398208</v>
      </c>
      <c r="H250" s="3601">
        <v>84.607945698426533</v>
      </c>
      <c r="I250" s="2433">
        <v>9.0373274888222994</v>
      </c>
      <c r="J250" s="339">
        <v>3078246</v>
      </c>
      <c r="K250" s="632">
        <v>3102877</v>
      </c>
      <c r="L250" s="3504">
        <v>62476000</v>
      </c>
      <c r="M250" s="3608">
        <v>2.6634227543376658</v>
      </c>
      <c r="N250" s="3608">
        <v>11.48</v>
      </c>
      <c r="O250" s="2935">
        <v>21.16</v>
      </c>
    </row>
    <row r="251" spans="1:15">
      <c r="A251" s="388">
        <f t="shared" si="0"/>
        <v>2014.02</v>
      </c>
      <c r="B251" s="568">
        <v>148885.98845479172</v>
      </c>
      <c r="C251" s="3598">
        <v>935531</v>
      </c>
      <c r="D251" s="3600">
        <v>218.26774389206309</v>
      </c>
      <c r="E251" s="461">
        <v>13.018000000000001</v>
      </c>
      <c r="F251" s="456">
        <v>82417</v>
      </c>
      <c r="G251" s="3598">
        <v>367192</v>
      </c>
      <c r="H251" s="3601">
        <v>85.159886514351484</v>
      </c>
      <c r="I251" s="2433">
        <v>10.319241916747337</v>
      </c>
      <c r="J251" s="339">
        <v>2821067</v>
      </c>
      <c r="K251" s="632">
        <v>2880394</v>
      </c>
      <c r="L251" s="3504">
        <v>55055000</v>
      </c>
      <c r="M251" s="3608">
        <v>2.67187358096449</v>
      </c>
      <c r="N251" s="3608">
        <v>12.7</v>
      </c>
      <c r="O251" s="2935">
        <v>21.06</v>
      </c>
    </row>
    <row r="252" spans="1:15">
      <c r="A252" s="388">
        <f t="shared" si="0"/>
        <v>2014.03</v>
      </c>
      <c r="B252" s="568">
        <v>168851.34010431598</v>
      </c>
      <c r="C252" s="3598">
        <v>996409</v>
      </c>
      <c r="D252" s="3600">
        <v>219.99335019706581</v>
      </c>
      <c r="E252" s="461">
        <v>12.7</v>
      </c>
      <c r="F252" s="456">
        <v>90485</v>
      </c>
      <c r="G252" s="3598">
        <v>430707</v>
      </c>
      <c r="H252" s="3601">
        <v>87.842090000344086</v>
      </c>
      <c r="I252" s="2433">
        <v>10.36320771026929</v>
      </c>
      <c r="J252" s="339">
        <v>3003265</v>
      </c>
      <c r="K252" s="632">
        <v>3035939</v>
      </c>
      <c r="L252" s="3504">
        <v>56219000</v>
      </c>
      <c r="M252" s="3608">
        <v>2.8246678169302193</v>
      </c>
      <c r="N252" s="3608">
        <v>12.82</v>
      </c>
      <c r="O252" s="2935">
        <v>21.86</v>
      </c>
    </row>
    <row r="253" spans="1:15">
      <c r="A253" s="388">
        <f t="shared" si="0"/>
        <v>2014.04</v>
      </c>
      <c r="B253" s="568">
        <v>164569.00260276909</v>
      </c>
      <c r="C253" s="3598">
        <v>991565</v>
      </c>
      <c r="D253" s="3600">
        <v>220.46161050707246</v>
      </c>
      <c r="E253" s="461">
        <v>12.76</v>
      </c>
      <c r="F253" s="456">
        <v>93947</v>
      </c>
      <c r="G253" s="3598">
        <v>400829</v>
      </c>
      <c r="H253" s="3601">
        <v>89.319778094785235</v>
      </c>
      <c r="I253" s="2433">
        <v>10.421899190485178</v>
      </c>
      <c r="J253" s="339">
        <v>3156620</v>
      </c>
      <c r="K253" s="632">
        <v>3348225</v>
      </c>
      <c r="L253" s="3504">
        <v>60419000</v>
      </c>
      <c r="M253" s="3608">
        <v>2.7954782435988679</v>
      </c>
      <c r="N253" s="3608">
        <v>12.21</v>
      </c>
      <c r="O253" s="2935">
        <v>21.16</v>
      </c>
    </row>
    <row r="254" spans="1:15">
      <c r="A254" s="388">
        <f t="shared" ref="A254:A317" si="1">A242+1</f>
        <v>2014.05</v>
      </c>
      <c r="B254" s="568">
        <v>172299.07094484256</v>
      </c>
      <c r="C254" s="3598">
        <v>1000823</v>
      </c>
      <c r="D254" s="3600">
        <v>224.94269541720126</v>
      </c>
      <c r="E254" s="461">
        <v>12.833</v>
      </c>
      <c r="F254" s="456">
        <v>94442</v>
      </c>
      <c r="G254" s="3598">
        <v>446633</v>
      </c>
      <c r="H254" s="3601">
        <v>90.514754052596871</v>
      </c>
      <c r="I254" s="2433">
        <v>10.685502860370026</v>
      </c>
      <c r="J254" s="339">
        <v>3206107</v>
      </c>
      <c r="K254" s="632">
        <v>3212943</v>
      </c>
      <c r="L254" s="3504">
        <v>60733000</v>
      </c>
      <c r="M254" s="3608">
        <v>2.8649992590519155</v>
      </c>
      <c r="N254" s="3608">
        <v>12.9</v>
      </c>
      <c r="O254" s="2935">
        <v>20.94</v>
      </c>
    </row>
    <row r="255" spans="1:15">
      <c r="A255" s="388">
        <f t="shared" si="1"/>
        <v>2014.06</v>
      </c>
      <c r="B255" s="568">
        <v>177613.7855081906</v>
      </c>
      <c r="C255" s="3598">
        <v>1019093</v>
      </c>
      <c r="D255" s="3600">
        <v>223.06578270521319</v>
      </c>
      <c r="E255" s="461">
        <v>12.484999999999999</v>
      </c>
      <c r="F255" s="456">
        <v>87949</v>
      </c>
      <c r="G255" s="3598">
        <v>432264</v>
      </c>
      <c r="H255" s="3601">
        <v>89.698752719427048</v>
      </c>
      <c r="I255" s="2433">
        <v>10.36320771026929</v>
      </c>
      <c r="J255" s="339">
        <v>3294310</v>
      </c>
      <c r="K255" s="632">
        <v>3222813</v>
      </c>
      <c r="L255" s="3504">
        <v>58263000</v>
      </c>
      <c r="M255" s="3608">
        <v>2.8371350599866125</v>
      </c>
      <c r="N255" s="3608">
        <v>11.63</v>
      </c>
      <c r="O255" s="2935">
        <v>19.829999999999998</v>
      </c>
    </row>
    <row r="256" spans="1:15">
      <c r="A256" s="388">
        <f t="shared" si="1"/>
        <v>2014.07</v>
      </c>
      <c r="B256" s="568">
        <v>173205.95650119431</v>
      </c>
      <c r="C256" s="3598">
        <v>1062187</v>
      </c>
      <c r="D256" s="3600">
        <v>221.13920019432385</v>
      </c>
      <c r="E256" s="461">
        <v>13.581</v>
      </c>
      <c r="F256" s="456">
        <v>96628</v>
      </c>
      <c r="G256" s="3598">
        <v>430783</v>
      </c>
      <c r="H256" s="3601">
        <v>89.445688010525004</v>
      </c>
      <c r="I256" s="2433">
        <v>10.269257227461162</v>
      </c>
      <c r="J256" s="339">
        <v>3208433</v>
      </c>
      <c r="K256" s="632">
        <v>3352886</v>
      </c>
      <c r="L256" s="3504">
        <v>63647000</v>
      </c>
      <c r="M256" s="3608">
        <v>2.8705202130501046</v>
      </c>
      <c r="N256" s="3608">
        <v>11.96</v>
      </c>
      <c r="O256" s="2935">
        <v>20.57</v>
      </c>
    </row>
    <row r="257" spans="1:15">
      <c r="A257" s="388">
        <f t="shared" si="1"/>
        <v>2014.08</v>
      </c>
      <c r="B257" s="568">
        <v>162479.14680557328</v>
      </c>
      <c r="C257" s="3598">
        <v>958315</v>
      </c>
      <c r="D257" s="3600">
        <v>222.97923400600237</v>
      </c>
      <c r="E257" s="461">
        <v>15.180999999999999</v>
      </c>
      <c r="F257" s="456">
        <v>90853</v>
      </c>
      <c r="G257" s="3598">
        <v>427505</v>
      </c>
      <c r="H257" s="3601">
        <v>89.072188636663071</v>
      </c>
      <c r="I257" s="2433">
        <v>10.774730844075558</v>
      </c>
      <c r="J257" s="339">
        <v>3145139</v>
      </c>
      <c r="K257" s="632">
        <v>3089144</v>
      </c>
      <c r="L257" s="3504">
        <v>59092000</v>
      </c>
      <c r="M257" s="3608">
        <v>2.8667163067758747</v>
      </c>
      <c r="N257" s="3608">
        <v>11.83</v>
      </c>
      <c r="O257" s="2935">
        <v>19.899999999999999</v>
      </c>
    </row>
    <row r="258" spans="1:15">
      <c r="A258" s="388">
        <f t="shared" si="1"/>
        <v>2014.09</v>
      </c>
      <c r="B258" s="568">
        <v>173178.47284806092</v>
      </c>
      <c r="C258" s="3598">
        <v>1028455</v>
      </c>
      <c r="D258" s="3600">
        <v>224.88512530132471</v>
      </c>
      <c r="E258" s="461">
        <v>15.233000000000001</v>
      </c>
      <c r="F258" s="456">
        <v>99522</v>
      </c>
      <c r="G258" s="3598">
        <v>443929</v>
      </c>
      <c r="H258" s="3601">
        <v>88.572918144712446</v>
      </c>
      <c r="I258" s="2433">
        <v>11.637967595158493</v>
      </c>
      <c r="J258" s="339">
        <v>3352298</v>
      </c>
      <c r="K258" s="632">
        <v>3435552</v>
      </c>
      <c r="L258" s="3504">
        <v>64773000</v>
      </c>
      <c r="M258" s="3608">
        <v>2.8653914439658501</v>
      </c>
      <c r="N258" s="3608">
        <v>13.14</v>
      </c>
      <c r="O258" s="2935">
        <v>20.95</v>
      </c>
    </row>
    <row r="259" spans="1:15">
      <c r="A259" s="388">
        <f t="shared" si="1"/>
        <v>2014.1</v>
      </c>
      <c r="B259" s="568">
        <v>171429.52800000002</v>
      </c>
      <c r="C259" s="3598">
        <v>1032708</v>
      </c>
      <c r="D259" s="3600">
        <v>224.60321972772047</v>
      </c>
      <c r="E259" s="461">
        <v>14.526999999999999</v>
      </c>
      <c r="F259" s="456">
        <v>99774</v>
      </c>
      <c r="G259" s="3598">
        <v>446474</v>
      </c>
      <c r="H259" s="3601">
        <v>86.972893429113554</v>
      </c>
      <c r="I259" s="2433">
        <v>12.172931145637017</v>
      </c>
      <c r="J259" s="339">
        <v>3435140</v>
      </c>
      <c r="K259" s="632">
        <v>3660659</v>
      </c>
      <c r="L259" s="3504">
        <v>65509000</v>
      </c>
      <c r="M259" s="3608">
        <v>2.8194599215374985</v>
      </c>
      <c r="N259" s="3608">
        <v>12.9</v>
      </c>
      <c r="O259" s="2935">
        <v>21.4</v>
      </c>
    </row>
    <row r="260" spans="1:15">
      <c r="A260" s="388">
        <f t="shared" si="1"/>
        <v>2014.11</v>
      </c>
      <c r="B260" s="568">
        <v>149623.19999999998</v>
      </c>
      <c r="C260" s="3598">
        <v>997488</v>
      </c>
      <c r="D260" s="3600">
        <v>223.51518303194914</v>
      </c>
      <c r="E260" s="461">
        <v>14.478</v>
      </c>
      <c r="F260" s="456">
        <v>85515</v>
      </c>
      <c r="G260" s="3598">
        <v>421620</v>
      </c>
      <c r="H260" s="3601">
        <v>84.867332764208086</v>
      </c>
      <c r="I260" s="2433">
        <v>12.713914421020649</v>
      </c>
      <c r="J260" s="339">
        <v>2904983</v>
      </c>
      <c r="K260" s="632">
        <v>2943993</v>
      </c>
      <c r="L260" s="3504">
        <v>58099000</v>
      </c>
      <c r="M260" s="3608">
        <v>2.8313740339764886</v>
      </c>
      <c r="N260" s="3608">
        <v>12.58</v>
      </c>
      <c r="O260" s="2935">
        <v>21.61</v>
      </c>
    </row>
    <row r="261" spans="1:15">
      <c r="A261" s="388">
        <f t="shared" si="1"/>
        <v>2014.12</v>
      </c>
      <c r="B261" s="568">
        <v>157959.802</v>
      </c>
      <c r="C261" s="3598">
        <v>1025713</v>
      </c>
      <c r="D261" s="3600">
        <v>220.3140144576565</v>
      </c>
      <c r="E261" s="461">
        <v>14.545999999999999</v>
      </c>
      <c r="F261" s="456">
        <v>99346</v>
      </c>
      <c r="G261" s="3598">
        <v>463939</v>
      </c>
      <c r="H261" s="3601">
        <v>82.04682816488733</v>
      </c>
      <c r="I261" s="2433">
        <v>12.905963465919569</v>
      </c>
      <c r="J261" s="339">
        <v>3271107</v>
      </c>
      <c r="K261" s="632">
        <v>3507056</v>
      </c>
      <c r="L261" s="3504">
        <v>64958000</v>
      </c>
      <c r="M261" s="3608">
        <v>2.8064287693586625</v>
      </c>
      <c r="N261" s="3608">
        <v>12.13</v>
      </c>
      <c r="O261" s="2935">
        <v>21.72</v>
      </c>
    </row>
    <row r="262" spans="1:15">
      <c r="A262" s="388">
        <f t="shared" si="1"/>
        <v>2015.01</v>
      </c>
      <c r="B262" s="568">
        <v>199334.46000000002</v>
      </c>
      <c r="C262" s="3598">
        <v>1022228</v>
      </c>
      <c r="D262" s="3600">
        <v>224.70108851430075</v>
      </c>
      <c r="E262" s="461">
        <v>14.504</v>
      </c>
      <c r="F262" s="456">
        <v>95841</v>
      </c>
      <c r="G262" s="3598">
        <v>417548</v>
      </c>
      <c r="H262" s="3601">
        <v>85.568540851516659</v>
      </c>
      <c r="I262" s="2433">
        <v>13.41</v>
      </c>
      <c r="J262" s="339">
        <v>3001928</v>
      </c>
      <c r="K262" s="632">
        <v>3125097</v>
      </c>
      <c r="L262" s="3504">
        <v>63944000</v>
      </c>
      <c r="M262" s="3608">
        <v>2.7930689353184035</v>
      </c>
      <c r="N262" s="3608">
        <v>11.5</v>
      </c>
      <c r="O262" s="2935">
        <v>22.13</v>
      </c>
    </row>
    <row r="263" spans="1:15">
      <c r="A263" s="388">
        <f t="shared" si="1"/>
        <v>2015.02</v>
      </c>
      <c r="B263" s="568">
        <v>177812.28</v>
      </c>
      <c r="C263" s="3598">
        <v>945810</v>
      </c>
      <c r="D263" s="3600">
        <v>224.21387170784828</v>
      </c>
      <c r="E263" s="461">
        <v>15.364000000000001</v>
      </c>
      <c r="F263" s="456">
        <v>87456</v>
      </c>
      <c r="G263" s="3598">
        <v>394202</v>
      </c>
      <c r="H263" s="3601">
        <v>85.324249098077516</v>
      </c>
      <c r="I263" s="2433">
        <v>13.61</v>
      </c>
      <c r="J263" s="339">
        <v>2674096</v>
      </c>
      <c r="K263" s="632">
        <v>2602034</v>
      </c>
      <c r="L263" s="3504">
        <v>57468000</v>
      </c>
      <c r="M263" s="3608">
        <v>2.7771977448319065</v>
      </c>
      <c r="N263" s="3608">
        <v>11.69</v>
      </c>
      <c r="O263" s="2935">
        <v>21.69</v>
      </c>
    </row>
    <row r="264" spans="1:15">
      <c r="A264" s="388">
        <f t="shared" si="1"/>
        <v>2015.03</v>
      </c>
      <c r="B264" s="568">
        <v>196860.864</v>
      </c>
      <c r="C264" s="3598">
        <v>1069896</v>
      </c>
      <c r="D264" s="3600">
        <v>224.51040707656904</v>
      </c>
      <c r="E264" s="461">
        <v>15.351000000000001</v>
      </c>
      <c r="F264" s="456">
        <v>100022</v>
      </c>
      <c r="G264" s="3598">
        <v>452131</v>
      </c>
      <c r="H264" s="3601">
        <v>86.931722936260172</v>
      </c>
      <c r="I264" s="2433">
        <v>13.14</v>
      </c>
      <c r="J264" s="339">
        <v>2737346</v>
      </c>
      <c r="K264" s="632">
        <v>3069723</v>
      </c>
      <c r="L264" s="3504">
        <v>62402000</v>
      </c>
      <c r="M264" s="3608">
        <v>2.8188199096182815</v>
      </c>
      <c r="N264" s="3608">
        <v>12.34</v>
      </c>
      <c r="O264" s="2935">
        <v>21.74</v>
      </c>
    </row>
    <row r="265" spans="1:15">
      <c r="A265" s="388">
        <f t="shared" si="1"/>
        <v>2015.04</v>
      </c>
      <c r="B265" s="568">
        <v>184904.66399999999</v>
      </c>
      <c r="C265" s="3598">
        <v>1010408</v>
      </c>
      <c r="D265" s="3600">
        <v>225.29526418562025</v>
      </c>
      <c r="E265" s="461">
        <v>14.785</v>
      </c>
      <c r="F265" s="456">
        <v>95588</v>
      </c>
      <c r="G265" s="3598">
        <v>453275</v>
      </c>
      <c r="H265" s="3601">
        <v>89.500291483419474</v>
      </c>
      <c r="I265" s="2433">
        <v>13.16</v>
      </c>
      <c r="J265" s="339">
        <v>3333574</v>
      </c>
      <c r="K265" s="632">
        <v>3256238</v>
      </c>
      <c r="L265" s="3504">
        <v>63834000</v>
      </c>
      <c r="M265" s="3608">
        <v>2.8668107904878277</v>
      </c>
      <c r="N265" s="3608">
        <v>11.94</v>
      </c>
      <c r="O265" s="2935">
        <v>22.45</v>
      </c>
    </row>
    <row r="266" spans="1:15">
      <c r="A266" s="388">
        <f t="shared" si="1"/>
        <v>2015.05</v>
      </c>
      <c r="B266" s="568">
        <v>186169.01499999998</v>
      </c>
      <c r="C266" s="3598">
        <v>1006319</v>
      </c>
      <c r="D266" s="3600">
        <v>225.52166283095443</v>
      </c>
      <c r="E266" s="461">
        <v>14.981</v>
      </c>
      <c r="F266" s="456">
        <v>90194</v>
      </c>
      <c r="G266" s="3598">
        <v>450733</v>
      </c>
      <c r="H266" s="3601">
        <v>90.449312388763033</v>
      </c>
      <c r="I266" s="2433">
        <v>12.75</v>
      </c>
      <c r="J266" s="339">
        <v>2386380</v>
      </c>
      <c r="K266" s="632">
        <v>2668619</v>
      </c>
      <c r="L266" s="3504">
        <v>58361000</v>
      </c>
      <c r="M266" s="3608">
        <v>2.9043368002604479</v>
      </c>
      <c r="N266" s="3608">
        <v>11.35</v>
      </c>
      <c r="O266" s="2935">
        <v>21.44</v>
      </c>
    </row>
    <row r="267" spans="1:15">
      <c r="A267" s="388">
        <f t="shared" si="1"/>
        <v>2015.06</v>
      </c>
      <c r="B267" s="568">
        <v>208870.74000000002</v>
      </c>
      <c r="C267" s="3598">
        <v>1071132</v>
      </c>
      <c r="D267" s="3600">
        <v>225.16265020310271</v>
      </c>
      <c r="E267" s="461">
        <v>15.202999999999999</v>
      </c>
      <c r="F267" s="456">
        <v>95432</v>
      </c>
      <c r="G267" s="3598">
        <v>466867</v>
      </c>
      <c r="H267" s="3601">
        <v>90.397426578887547</v>
      </c>
      <c r="I267" s="2433">
        <v>12.28</v>
      </c>
      <c r="J267" s="339">
        <v>2849857</v>
      </c>
      <c r="K267" s="632">
        <v>2753628</v>
      </c>
      <c r="L267" s="3504">
        <v>63695000</v>
      </c>
      <c r="M267" s="3608">
        <v>2.9342962555930607</v>
      </c>
      <c r="N267" s="3608">
        <v>11.19</v>
      </c>
      <c r="O267" s="2935">
        <v>21.21</v>
      </c>
    </row>
    <row r="268" spans="1:15">
      <c r="A268" s="388">
        <f t="shared" si="1"/>
        <v>2015.07</v>
      </c>
      <c r="B268" s="568">
        <v>185067.53999999998</v>
      </c>
      <c r="C268" s="3598">
        <v>1028153</v>
      </c>
      <c r="D268" s="3600">
        <v>225.95133506394475</v>
      </c>
      <c r="E268" s="461">
        <v>16.103999999999999</v>
      </c>
      <c r="F268" s="456">
        <v>98379</v>
      </c>
      <c r="G268" s="3598">
        <v>455433</v>
      </c>
      <c r="H268" s="3601">
        <v>90.663985840489275</v>
      </c>
      <c r="I268" s="2433">
        <v>11.87</v>
      </c>
      <c r="J268" s="339">
        <v>2776963</v>
      </c>
      <c r="K268" s="2426">
        <v>2776627.1380171129</v>
      </c>
      <c r="L268" s="3504">
        <v>64227000</v>
      </c>
      <c r="M268" s="3608">
        <v>2.9193329907982624</v>
      </c>
      <c r="N268" s="3608">
        <v>11.37</v>
      </c>
      <c r="O268" s="2935">
        <v>21.45</v>
      </c>
    </row>
    <row r="269" spans="1:15">
      <c r="A269" s="388">
        <f t="shared" si="1"/>
        <v>2015.08</v>
      </c>
      <c r="B269" s="568">
        <v>180441.36</v>
      </c>
      <c r="C269" s="3598">
        <v>1002452</v>
      </c>
      <c r="D269" s="3600">
        <v>223.97110886994204</v>
      </c>
      <c r="E269" s="461">
        <v>16.989999999999998</v>
      </c>
      <c r="F269" s="456">
        <v>76224</v>
      </c>
      <c r="G269" s="3598">
        <v>469502</v>
      </c>
      <c r="H269" s="3601">
        <v>90.016178432179913</v>
      </c>
      <c r="I269" s="2433">
        <v>11.78</v>
      </c>
      <c r="J269" s="339">
        <v>2722990</v>
      </c>
      <c r="K269" s="2426">
        <v>2497092.5018918286</v>
      </c>
      <c r="L269" s="3504">
        <v>57761000</v>
      </c>
      <c r="M269" s="3608">
        <v>2.9068056300964318</v>
      </c>
      <c r="N269" s="3608">
        <v>14.26</v>
      </c>
      <c r="O269" s="2935">
        <v>22.48</v>
      </c>
    </row>
    <row r="270" spans="1:15">
      <c r="A270" s="388">
        <f t="shared" si="1"/>
        <v>2015.09</v>
      </c>
      <c r="B270" s="568">
        <v>180293.25600000002</v>
      </c>
      <c r="C270" s="3598">
        <v>1066824</v>
      </c>
      <c r="D270" s="3600">
        <v>226.39406650575307</v>
      </c>
      <c r="E270" s="461">
        <v>17.039000000000001</v>
      </c>
      <c r="F270" s="456">
        <v>86434</v>
      </c>
      <c r="G270" s="3598">
        <v>479698</v>
      </c>
      <c r="H270" s="3601">
        <v>89.521112319813028</v>
      </c>
      <c r="I270" s="2433">
        <v>11.89</v>
      </c>
      <c r="J270" s="339">
        <v>2798002</v>
      </c>
      <c r="K270" s="2426">
        <v>2670191.277494309</v>
      </c>
      <c r="L270" s="3504">
        <v>61765000</v>
      </c>
      <c r="M270" s="3608">
        <v>2.8818910386141017</v>
      </c>
      <c r="N270" s="3608">
        <v>14.02</v>
      </c>
      <c r="O270" s="2935">
        <v>24.86</v>
      </c>
    </row>
    <row r="271" spans="1:15">
      <c r="A271" s="388">
        <f t="shared" si="1"/>
        <v>2015.1</v>
      </c>
      <c r="B271" s="568">
        <v>173256.63219999999</v>
      </c>
      <c r="C271" s="3598">
        <v>1009066</v>
      </c>
      <c r="D271" s="3600">
        <v>225.65484814670199</v>
      </c>
      <c r="E271" s="461">
        <v>17.927</v>
      </c>
      <c r="F271" s="456">
        <v>85248</v>
      </c>
      <c r="G271" s="3598">
        <v>488840</v>
      </c>
      <c r="H271" s="3601">
        <v>88.135793991099561</v>
      </c>
      <c r="I271" s="2433">
        <v>12.11</v>
      </c>
      <c r="J271" s="339">
        <v>2666075</v>
      </c>
      <c r="K271" s="2426">
        <v>2589305.2112724707</v>
      </c>
      <c r="L271" s="3504">
        <v>59894000</v>
      </c>
      <c r="M271" s="3608">
        <v>2.8800881557418103</v>
      </c>
      <c r="N271" s="3608">
        <v>14.57</v>
      </c>
      <c r="O271" s="2935">
        <v>25.17</v>
      </c>
    </row>
    <row r="272" spans="1:15">
      <c r="A272" s="388">
        <f t="shared" si="1"/>
        <v>2015.11</v>
      </c>
      <c r="B272" s="568">
        <v>151526.1876</v>
      </c>
      <c r="C272" s="3598">
        <v>960242</v>
      </c>
      <c r="D272" s="3600">
        <v>226.49117046414293</v>
      </c>
      <c r="E272" s="461">
        <v>19.713999999999999</v>
      </c>
      <c r="F272" s="456">
        <v>92771</v>
      </c>
      <c r="G272" s="3598">
        <v>490229</v>
      </c>
      <c r="H272" s="3601">
        <v>85.091486458414778</v>
      </c>
      <c r="I272" s="2433">
        <v>12.78</v>
      </c>
      <c r="J272" s="339">
        <v>2687401</v>
      </c>
      <c r="K272" s="2426">
        <v>2410845.7343276553</v>
      </c>
      <c r="L272" s="3504">
        <v>55766000</v>
      </c>
      <c r="M272" s="3608">
        <v>2.8547860703654555</v>
      </c>
      <c r="N272" s="3608">
        <v>15.97</v>
      </c>
      <c r="O272" s="2935">
        <v>26.28</v>
      </c>
    </row>
    <row r="273" spans="1:15">
      <c r="A273" s="388">
        <f t="shared" si="1"/>
        <v>2015.12</v>
      </c>
      <c r="B273" s="568">
        <v>149527.25699999998</v>
      </c>
      <c r="C273" s="3598">
        <v>964070</v>
      </c>
      <c r="D273" s="3600">
        <v>223.92024326059649</v>
      </c>
      <c r="E273" s="461">
        <v>22.555</v>
      </c>
      <c r="F273" s="456">
        <v>96378</v>
      </c>
      <c r="G273" s="3598">
        <v>505257</v>
      </c>
      <c r="H273" s="3601">
        <v>82.258730027492931</v>
      </c>
      <c r="I273" s="2433">
        <v>13.64</v>
      </c>
      <c r="J273" s="339">
        <v>2813182</v>
      </c>
      <c r="K273" s="2426">
        <v>2628948.4623282831</v>
      </c>
      <c r="L273" s="3504">
        <v>60811000</v>
      </c>
      <c r="M273" s="3608">
        <v>2.8629688707635133</v>
      </c>
      <c r="N273" s="3608">
        <v>21.9</v>
      </c>
      <c r="O273" s="2935">
        <v>34.92</v>
      </c>
    </row>
    <row r="274" spans="1:15">
      <c r="A274" s="388">
        <f t="shared" si="1"/>
        <v>2016.01</v>
      </c>
      <c r="B274" s="568">
        <v>166671.11230000001</v>
      </c>
      <c r="C274" s="3598">
        <v>941113</v>
      </c>
      <c r="D274" s="3600">
        <v>225.66078329829332</v>
      </c>
      <c r="E274" s="461">
        <v>21.279</v>
      </c>
      <c r="F274" s="456">
        <v>84697</v>
      </c>
      <c r="G274" s="3598">
        <v>455627</v>
      </c>
      <c r="H274" s="3601">
        <v>73.401811696849492</v>
      </c>
      <c r="I274" s="2433">
        <v>14.67</v>
      </c>
      <c r="J274" s="339">
        <v>2742497</v>
      </c>
      <c r="K274" s="632">
        <v>2640078</v>
      </c>
      <c r="L274" s="3504">
        <v>55133924</v>
      </c>
      <c r="M274" s="3608">
        <v>2.7750571335292196</v>
      </c>
      <c r="N274" s="3608">
        <v>18.79</v>
      </c>
      <c r="O274" s="2935">
        <v>32.659999999999997</v>
      </c>
    </row>
    <row r="275" spans="1:15">
      <c r="A275" s="388">
        <f t="shared" si="1"/>
        <v>2016.02</v>
      </c>
      <c r="B275" s="568">
        <v>159328.5264</v>
      </c>
      <c r="C275" s="3598">
        <v>913581</v>
      </c>
      <c r="D275" s="3600">
        <v>226.48486391317772</v>
      </c>
      <c r="E275" s="461">
        <v>22.103999999999999</v>
      </c>
      <c r="F275" s="456">
        <v>87845</v>
      </c>
      <c r="G275" s="3598">
        <v>443309</v>
      </c>
      <c r="H275" s="3601">
        <v>77.357688485859995</v>
      </c>
      <c r="I275" s="2433">
        <v>14.88</v>
      </c>
      <c r="J275" s="339">
        <v>2396326</v>
      </c>
      <c r="K275" s="632">
        <v>2543562</v>
      </c>
      <c r="L275" s="3504">
        <v>50952626</v>
      </c>
      <c r="M275" s="3608">
        <v>2.7672560987576786</v>
      </c>
      <c r="N275" s="3608">
        <v>20.02</v>
      </c>
      <c r="O275" s="2935">
        <v>33.229999999999997</v>
      </c>
    </row>
    <row r="276" spans="1:15">
      <c r="A276" s="388">
        <f t="shared" si="1"/>
        <v>2016.03</v>
      </c>
      <c r="B276" s="568">
        <v>176606.55800000002</v>
      </c>
      <c r="C276" s="3598">
        <v>1010335</v>
      </c>
      <c r="D276" s="3600">
        <v>230.09032841153095</v>
      </c>
      <c r="E276" s="461">
        <v>21.942</v>
      </c>
      <c r="F276" s="456">
        <v>97013</v>
      </c>
      <c r="G276" s="3598">
        <v>518794</v>
      </c>
      <c r="H276" s="3601">
        <v>86.949309352562352</v>
      </c>
      <c r="I276" s="2433">
        <v>14.74</v>
      </c>
      <c r="J276" s="339">
        <v>2817464</v>
      </c>
      <c r="K276" s="632">
        <v>2782604</v>
      </c>
      <c r="L276" s="3504">
        <v>59425007</v>
      </c>
      <c r="M276" s="3608">
        <v>2.8944047118216241</v>
      </c>
      <c r="N276" s="3608">
        <v>21.27</v>
      </c>
      <c r="O276" s="2935">
        <v>36.090000000000003</v>
      </c>
    </row>
    <row r="277" spans="1:15">
      <c r="A277" s="388">
        <f t="shared" si="1"/>
        <v>2016.04</v>
      </c>
      <c r="B277" s="568">
        <v>148460.921</v>
      </c>
      <c r="C277" s="3598">
        <v>902498</v>
      </c>
      <c r="D277" s="3600">
        <v>225.50509617238558</v>
      </c>
      <c r="E277" s="461">
        <v>23.507000000000001</v>
      </c>
      <c r="F277" s="456">
        <v>89711</v>
      </c>
      <c r="G277" s="3598">
        <v>477071</v>
      </c>
      <c r="H277" s="3601">
        <v>85.235397946604905</v>
      </c>
      <c r="I277" s="2433">
        <v>14.61</v>
      </c>
      <c r="J277" s="339">
        <v>2669212</v>
      </c>
      <c r="K277" s="632">
        <v>2736580</v>
      </c>
      <c r="L277" s="3504">
        <v>57071602</v>
      </c>
      <c r="M277" s="3608">
        <v>2.9261283992150267</v>
      </c>
      <c r="N277" s="3608">
        <v>19.72</v>
      </c>
      <c r="O277" s="2935">
        <v>34.25</v>
      </c>
    </row>
    <row r="278" spans="1:15">
      <c r="A278" s="388">
        <f t="shared" si="1"/>
        <v>2016.05</v>
      </c>
      <c r="B278" s="568">
        <v>172441.4307</v>
      </c>
      <c r="C278" s="3598">
        <v>985943</v>
      </c>
      <c r="D278" s="3600">
        <v>225.72521697320855</v>
      </c>
      <c r="E278" s="461">
        <v>22.344999999999999</v>
      </c>
      <c r="F278" s="456">
        <v>98132</v>
      </c>
      <c r="G278" s="3598">
        <v>523687</v>
      </c>
      <c r="H278" s="3601">
        <v>93.172610395075068</v>
      </c>
      <c r="I278" s="2433">
        <v>14.17</v>
      </c>
      <c r="J278" s="339">
        <v>2849477</v>
      </c>
      <c r="K278" s="632">
        <v>2689552</v>
      </c>
      <c r="L278" s="3504">
        <v>59301847</v>
      </c>
      <c r="M278" s="3608">
        <v>2.950996593706789</v>
      </c>
      <c r="N278" s="3608">
        <v>18.95</v>
      </c>
      <c r="O278" s="2935">
        <v>33.04</v>
      </c>
    </row>
    <row r="279" spans="1:15">
      <c r="A279" s="388">
        <f t="shared" si="1"/>
        <v>2016.06</v>
      </c>
      <c r="B279" s="568">
        <v>157357.7164</v>
      </c>
      <c r="C279" s="3598">
        <v>946228</v>
      </c>
      <c r="D279" s="3600">
        <v>225.15146429009303</v>
      </c>
      <c r="E279" s="461">
        <v>23.63</v>
      </c>
      <c r="F279" s="456">
        <v>86294</v>
      </c>
      <c r="G279" s="3598">
        <v>488628</v>
      </c>
      <c r="H279" s="3601">
        <v>88.180072244775374</v>
      </c>
      <c r="I279" s="2433">
        <v>13.94</v>
      </c>
      <c r="J279" s="339">
        <v>2960722</v>
      </c>
      <c r="K279" s="632">
        <v>2834037</v>
      </c>
      <c r="L279" s="3504">
        <v>60502169</v>
      </c>
      <c r="M279" s="3608">
        <v>3.0081650193382039</v>
      </c>
      <c r="N279" s="3608">
        <v>19.39</v>
      </c>
      <c r="O279" s="2935">
        <v>33.369999999999997</v>
      </c>
    </row>
    <row r="280" spans="1:15">
      <c r="A280" s="388">
        <f t="shared" si="1"/>
        <v>2016.07</v>
      </c>
      <c r="B280" s="568">
        <v>160062.39250000002</v>
      </c>
      <c r="C280" s="3598">
        <v>928975</v>
      </c>
      <c r="D280" s="3600">
        <v>225.66063456045336</v>
      </c>
      <c r="E280" s="461">
        <v>24.939</v>
      </c>
      <c r="F280" s="456">
        <v>89880</v>
      </c>
      <c r="G280" s="3598">
        <v>503998</v>
      </c>
      <c r="H280" s="3601">
        <v>90.479036673655884</v>
      </c>
      <c r="I280" s="2433">
        <v>13.81</v>
      </c>
      <c r="J280" s="339">
        <v>2679733</v>
      </c>
      <c r="K280" s="632">
        <v>2578418</v>
      </c>
      <c r="L280" s="3504">
        <v>58412116</v>
      </c>
      <c r="M280" s="3608">
        <v>2.961720194480586</v>
      </c>
      <c r="N280" s="3608">
        <v>18.09</v>
      </c>
      <c r="O280" s="2935">
        <v>32.659999999999997</v>
      </c>
    </row>
    <row r="281" spans="1:15">
      <c r="A281" s="388">
        <f t="shared" si="1"/>
        <v>2016.08</v>
      </c>
      <c r="B281" s="568">
        <v>182785.856</v>
      </c>
      <c r="C281" s="3598">
        <v>1038556</v>
      </c>
      <c r="D281" s="3600">
        <v>225.66765920688587</v>
      </c>
      <c r="E281" s="461">
        <v>25.132000000000001</v>
      </c>
      <c r="F281" s="456">
        <v>98768</v>
      </c>
      <c r="G281" s="3598">
        <v>531490</v>
      </c>
      <c r="H281" s="3601">
        <v>87.094776870434799</v>
      </c>
      <c r="I281" s="2433">
        <v>14.67</v>
      </c>
      <c r="J281" s="339">
        <v>2944611</v>
      </c>
      <c r="K281" s="632">
        <v>2777462</v>
      </c>
      <c r="L281" s="3504">
        <v>63446343</v>
      </c>
      <c r="M281" s="3608">
        <v>2.9473883302335846</v>
      </c>
      <c r="N281" s="3608">
        <v>20.67</v>
      </c>
      <c r="O281" s="2935">
        <v>33.68</v>
      </c>
    </row>
    <row r="282" spans="1:15">
      <c r="A282" s="388">
        <f t="shared" si="1"/>
        <v>2016.09</v>
      </c>
      <c r="B282" s="568">
        <v>166975.66739999998</v>
      </c>
      <c r="C282" s="3598">
        <v>978182</v>
      </c>
      <c r="D282" s="3600">
        <v>227.49869553700819</v>
      </c>
      <c r="E282" s="461">
        <v>26.024999999999999</v>
      </c>
      <c r="F282" s="456">
        <v>89888</v>
      </c>
      <c r="G282" s="3598">
        <v>486206</v>
      </c>
      <c r="H282" s="3601">
        <v>87.134562169384424</v>
      </c>
      <c r="I282" s="2433">
        <v>15.97</v>
      </c>
      <c r="J282" s="339">
        <v>2738515</v>
      </c>
      <c r="K282" s="632">
        <v>2704190</v>
      </c>
      <c r="L282" s="3504">
        <v>60458114</v>
      </c>
      <c r="M282" s="3608">
        <v>2.92765225445764</v>
      </c>
      <c r="N282" s="3608">
        <v>20.71</v>
      </c>
      <c r="O282" s="2935">
        <v>34.85</v>
      </c>
    </row>
    <row r="283" spans="1:15">
      <c r="A283" s="388">
        <f t="shared" si="1"/>
        <v>2016.1</v>
      </c>
      <c r="B283" s="568">
        <v>143725.23180000001</v>
      </c>
      <c r="C283" s="3598">
        <v>977058</v>
      </c>
      <c r="D283" s="3600">
        <v>225.62905010744043</v>
      </c>
      <c r="E283" s="461">
        <v>24.978999999999999</v>
      </c>
      <c r="F283" s="456">
        <v>92216</v>
      </c>
      <c r="G283" s="3598">
        <v>519855</v>
      </c>
      <c r="H283" s="3601">
        <v>86.506742170819606</v>
      </c>
      <c r="I283" s="2433">
        <v>17.149999999999999</v>
      </c>
      <c r="J283" s="339">
        <v>2758299</v>
      </c>
      <c r="K283" s="632">
        <v>2565916</v>
      </c>
      <c r="L283" s="3504">
        <v>57470596</v>
      </c>
      <c r="M283" s="3608">
        <v>2.9406135268222235</v>
      </c>
      <c r="N283" s="3608">
        <v>22.42</v>
      </c>
      <c r="O283" s="2935">
        <v>36.68</v>
      </c>
    </row>
    <row r="284" spans="1:15">
      <c r="A284" s="388">
        <f t="shared" si="1"/>
        <v>2016.11</v>
      </c>
      <c r="B284" s="568">
        <v>164683.51999999999</v>
      </c>
      <c r="C284" s="3598">
        <v>1029272</v>
      </c>
      <c r="D284" s="3600">
        <v>227.0260529985508</v>
      </c>
      <c r="E284" s="461">
        <v>24.283000000000001</v>
      </c>
      <c r="F284" s="456">
        <v>95060</v>
      </c>
      <c r="G284" s="3598">
        <v>493708</v>
      </c>
      <c r="H284" s="3601">
        <v>86.706273240904409</v>
      </c>
      <c r="I284" s="2433">
        <v>18.07</v>
      </c>
      <c r="J284" s="339">
        <v>2810976</v>
      </c>
      <c r="K284" s="632">
        <v>2628916</v>
      </c>
      <c r="L284" s="3504">
        <v>59929229</v>
      </c>
      <c r="M284" s="3608">
        <v>2.9701813813012063</v>
      </c>
      <c r="N284" s="3608">
        <v>20.54</v>
      </c>
      <c r="O284" s="2935">
        <v>35.799999999999997</v>
      </c>
    </row>
    <row r="285" spans="1:15">
      <c r="A285" s="388">
        <f t="shared" si="1"/>
        <v>2016.12</v>
      </c>
      <c r="B285" s="568">
        <v>166168.69949999999</v>
      </c>
      <c r="C285" s="3598">
        <v>1068609</v>
      </c>
      <c r="D285" s="3600">
        <v>224.46748777132791</v>
      </c>
      <c r="E285" s="461">
        <v>23.905999999999999</v>
      </c>
      <c r="F285" s="456">
        <v>98815</v>
      </c>
      <c r="G285" s="3598">
        <v>544188</v>
      </c>
      <c r="H285" s="3601">
        <v>83.655563651719035</v>
      </c>
      <c r="I285" s="2433">
        <v>18.52</v>
      </c>
      <c r="J285" s="339">
        <v>2913916</v>
      </c>
      <c r="K285" s="632">
        <v>3037884</v>
      </c>
      <c r="L285" s="3504">
        <v>61919013</v>
      </c>
      <c r="M285" s="3608">
        <v>2.9231738238666645</v>
      </c>
      <c r="N285" s="3608">
        <v>22.13</v>
      </c>
      <c r="O285" s="2935">
        <v>36.700000000000003</v>
      </c>
    </row>
    <row r="286" spans="1:15">
      <c r="A286" s="388">
        <f t="shared" si="1"/>
        <v>2017.01</v>
      </c>
      <c r="B286" s="569">
        <v>171334</v>
      </c>
      <c r="C286" s="3598">
        <v>1026334</v>
      </c>
      <c r="D286" s="3609">
        <v>225</v>
      </c>
      <c r="E286" s="461">
        <v>23.449000000000002</v>
      </c>
      <c r="F286" s="456">
        <v>96586</v>
      </c>
      <c r="G286" s="3598">
        <v>498345</v>
      </c>
      <c r="H286" s="3601">
        <v>85.276567460016594</v>
      </c>
      <c r="I286" s="2433">
        <v>19.12</v>
      </c>
      <c r="J286" s="339">
        <v>2814853</v>
      </c>
      <c r="K286" s="632">
        <v>2652801</v>
      </c>
      <c r="L286" s="3504">
        <v>60986971</v>
      </c>
      <c r="M286" s="3608">
        <v>2.8694639841277652</v>
      </c>
      <c r="N286" s="3608">
        <v>18.850000000000001</v>
      </c>
      <c r="O286" s="2935">
        <v>34.200000000000003</v>
      </c>
    </row>
    <row r="287" spans="1:15">
      <c r="A287" s="388">
        <f t="shared" si="1"/>
        <v>2017.02</v>
      </c>
      <c r="B287" s="214">
        <v>147449.75</v>
      </c>
      <c r="C287" s="3598">
        <v>891539</v>
      </c>
      <c r="D287" s="3610">
        <v>224</v>
      </c>
      <c r="E287" s="461">
        <v>25.24</v>
      </c>
      <c r="F287" s="456">
        <v>83047</v>
      </c>
      <c r="G287" s="3598">
        <v>441017</v>
      </c>
      <c r="H287" s="3601">
        <v>85.536831600317583</v>
      </c>
      <c r="I287" s="2433">
        <v>19.100000000000001</v>
      </c>
      <c r="J287" s="339">
        <v>2514548</v>
      </c>
      <c r="K287" s="632">
        <v>2302031</v>
      </c>
      <c r="L287" s="3504">
        <v>53259316</v>
      </c>
      <c r="M287" s="3608">
        <v>2.8915300700351114</v>
      </c>
      <c r="N287" s="3608">
        <v>19.47</v>
      </c>
      <c r="O287" s="2935">
        <v>34.6</v>
      </c>
    </row>
    <row r="288" spans="1:15">
      <c r="A288" s="388">
        <f t="shared" si="1"/>
        <v>2017.03</v>
      </c>
      <c r="B288" s="214">
        <v>182424.5</v>
      </c>
      <c r="C288" s="3598">
        <v>1119382.75</v>
      </c>
      <c r="D288" s="3610">
        <v>225</v>
      </c>
      <c r="E288" s="461">
        <v>26.934999999999999</v>
      </c>
      <c r="F288" s="456">
        <v>106990</v>
      </c>
      <c r="G288" s="3598">
        <v>533969</v>
      </c>
      <c r="H288" s="3601">
        <v>86.714604685184781</v>
      </c>
      <c r="I288" s="2433">
        <v>19.079999999999998</v>
      </c>
      <c r="J288" s="339">
        <v>2933733</v>
      </c>
      <c r="K288" s="632">
        <v>2933326</v>
      </c>
      <c r="L288" s="3504">
        <v>65557331.000000007</v>
      </c>
      <c r="M288" s="3608">
        <v>2.9745107311194836</v>
      </c>
      <c r="N288" s="3608">
        <v>22.66</v>
      </c>
      <c r="O288" s="2935">
        <v>39.68</v>
      </c>
    </row>
    <row r="289" spans="1:15">
      <c r="A289" s="388">
        <f t="shared" si="1"/>
        <v>2017.04</v>
      </c>
      <c r="B289" s="214">
        <v>146450.5</v>
      </c>
      <c r="C289" s="3598">
        <v>914039</v>
      </c>
      <c r="D289" s="3610">
        <v>225</v>
      </c>
      <c r="E289" s="461">
        <v>26.741</v>
      </c>
      <c r="F289" s="456">
        <v>91786</v>
      </c>
      <c r="G289" s="3598">
        <v>498344</v>
      </c>
      <c r="H289" s="3601">
        <v>89.231265939694822</v>
      </c>
      <c r="I289" s="2433">
        <v>19.13</v>
      </c>
      <c r="J289" s="339">
        <v>2667226</v>
      </c>
      <c r="K289" s="632">
        <v>2579389</v>
      </c>
      <c r="L289" s="3504">
        <v>58045806</v>
      </c>
      <c r="M289" s="3608">
        <v>2.9976225751989802</v>
      </c>
      <c r="N289" s="3608">
        <v>20.78</v>
      </c>
      <c r="O289" s="2935">
        <v>37.299999999999997</v>
      </c>
    </row>
    <row r="290" spans="1:15">
      <c r="A290" s="388">
        <f t="shared" si="1"/>
        <v>2017.05</v>
      </c>
      <c r="B290" s="214">
        <v>176071.75</v>
      </c>
      <c r="C290" s="3598">
        <v>1058656.25</v>
      </c>
      <c r="D290" s="3610">
        <v>226</v>
      </c>
      <c r="E290" s="461">
        <v>25.698</v>
      </c>
      <c r="F290" s="456">
        <v>104404</v>
      </c>
      <c r="G290" s="3598">
        <v>577010</v>
      </c>
      <c r="H290" s="3601">
        <v>90.743400278880117</v>
      </c>
      <c r="I290" s="2433">
        <v>19.07</v>
      </c>
      <c r="J290" s="339">
        <v>3083841</v>
      </c>
      <c r="K290" s="632">
        <v>2972656</v>
      </c>
      <c r="L290" s="3504">
        <v>62478433</v>
      </c>
      <c r="M290" s="3608">
        <v>3.041070456800794</v>
      </c>
      <c r="N290" s="3608">
        <v>18.93</v>
      </c>
      <c r="O290" s="2935">
        <v>35.75</v>
      </c>
    </row>
    <row r="291" spans="1:15">
      <c r="A291" s="388">
        <f t="shared" si="1"/>
        <v>2017.06</v>
      </c>
      <c r="B291" s="214">
        <v>180300.25</v>
      </c>
      <c r="C291" s="3598">
        <v>1041857.5</v>
      </c>
      <c r="D291" s="3610">
        <v>227</v>
      </c>
      <c r="E291" s="461">
        <v>25.309000000000001</v>
      </c>
      <c r="F291" s="456">
        <v>92962</v>
      </c>
      <c r="G291" s="3598">
        <v>531014</v>
      </c>
      <c r="H291" s="3601">
        <v>91.83138185198581</v>
      </c>
      <c r="I291" s="2433">
        <v>18.89</v>
      </c>
      <c r="J291" s="339">
        <v>2759593</v>
      </c>
      <c r="K291" s="632">
        <v>2887512</v>
      </c>
      <c r="L291" s="3504">
        <v>63511860</v>
      </c>
      <c r="M291" s="3608">
        <v>3.0230507620607128</v>
      </c>
      <c r="N291" s="3608">
        <v>18.25</v>
      </c>
      <c r="O291" s="2935">
        <v>34.5</v>
      </c>
    </row>
    <row r="292" spans="1:15">
      <c r="A292" s="388">
        <f t="shared" si="1"/>
        <v>2017.07</v>
      </c>
      <c r="B292" s="214">
        <v>160239</v>
      </c>
      <c r="C292" s="3598">
        <v>1018381.75</v>
      </c>
      <c r="D292" s="3610">
        <v>226</v>
      </c>
      <c r="E292" s="461">
        <v>27.253</v>
      </c>
      <c r="F292" s="456">
        <v>98271</v>
      </c>
      <c r="G292" s="3598">
        <v>563559</v>
      </c>
      <c r="H292" s="3601">
        <v>91.742569643582897</v>
      </c>
      <c r="I292" s="2433">
        <v>18.600000000000001</v>
      </c>
      <c r="J292" s="339">
        <v>3160864</v>
      </c>
      <c r="K292" s="632">
        <v>2877359</v>
      </c>
      <c r="L292" s="3504">
        <v>61602637</v>
      </c>
      <c r="M292" s="3608">
        <v>3.0355664496858918</v>
      </c>
      <c r="N292" s="3608">
        <v>19.899999999999999</v>
      </c>
      <c r="O292" s="2935">
        <v>35.729999999999997</v>
      </c>
    </row>
    <row r="293" spans="1:15">
      <c r="A293" s="388">
        <f t="shared" si="1"/>
        <v>2017.08</v>
      </c>
      <c r="B293" s="214">
        <v>179060.75</v>
      </c>
      <c r="C293" s="3598">
        <v>1096585</v>
      </c>
      <c r="D293" s="3610">
        <v>226</v>
      </c>
      <c r="E293" s="461">
        <v>28.494</v>
      </c>
      <c r="F293" s="456">
        <v>100800</v>
      </c>
      <c r="G293" s="3598">
        <v>557968</v>
      </c>
      <c r="H293" s="3601">
        <v>90.7363488589544</v>
      </c>
      <c r="I293" s="2433">
        <v>18.989999999999998</v>
      </c>
      <c r="J293" s="339">
        <v>2817916</v>
      </c>
      <c r="K293" s="632">
        <v>2931022</v>
      </c>
      <c r="L293" s="3504">
        <v>62231669</v>
      </c>
      <c r="M293" s="3608">
        <v>3.0370227535672965</v>
      </c>
      <c r="N293" s="3608">
        <v>21.49</v>
      </c>
      <c r="O293" s="2935">
        <v>36.36</v>
      </c>
    </row>
    <row r="294" spans="1:15">
      <c r="A294" s="388">
        <f t="shared" si="1"/>
        <v>2017.09</v>
      </c>
      <c r="B294" s="214">
        <v>170726</v>
      </c>
      <c r="C294" s="3598">
        <v>1043453.75</v>
      </c>
      <c r="D294" s="3610">
        <v>227</v>
      </c>
      <c r="E294" s="461">
        <v>28.998000000000001</v>
      </c>
      <c r="F294" s="456">
        <v>97096</v>
      </c>
      <c r="G294" s="3598">
        <v>527123</v>
      </c>
      <c r="H294" s="3601">
        <v>91.385771748815472</v>
      </c>
      <c r="I294" s="2433">
        <v>19.37</v>
      </c>
      <c r="J294" s="339">
        <v>2961024</v>
      </c>
      <c r="K294" s="632">
        <v>2843690</v>
      </c>
      <c r="L294" s="3504">
        <v>55888981</v>
      </c>
      <c r="M294" s="3608">
        <v>3.0238508472150154</v>
      </c>
      <c r="N294" s="3608">
        <v>23.54</v>
      </c>
      <c r="O294" s="2935">
        <v>38.85</v>
      </c>
    </row>
    <row r="295" spans="1:15">
      <c r="A295" s="388">
        <f t="shared" si="1"/>
        <v>2017.1</v>
      </c>
      <c r="B295" s="214">
        <v>185207.5</v>
      </c>
      <c r="C295" s="3598">
        <v>1127657.25</v>
      </c>
      <c r="D295" s="3610">
        <v>226</v>
      </c>
      <c r="E295" s="461">
        <v>28.536000000000001</v>
      </c>
      <c r="F295" s="456">
        <v>106365</v>
      </c>
      <c r="G295" s="3598">
        <v>585531</v>
      </c>
      <c r="H295" s="3601">
        <v>88.928354651522241</v>
      </c>
      <c r="I295" s="2433">
        <v>19.82</v>
      </c>
      <c r="J295" s="339">
        <v>2709054</v>
      </c>
      <c r="K295" s="632">
        <v>2658919</v>
      </c>
      <c r="L295" s="3504">
        <v>59397389</v>
      </c>
      <c r="M295" s="3608">
        <v>3.0809636850345976</v>
      </c>
      <c r="N295" s="3608">
        <v>23.21</v>
      </c>
      <c r="O295" s="2935">
        <v>38.840000000000003</v>
      </c>
    </row>
    <row r="296" spans="1:15">
      <c r="A296" s="388">
        <f t="shared" si="1"/>
        <v>2017.11</v>
      </c>
      <c r="B296" s="214">
        <v>182543.5</v>
      </c>
      <c r="C296" s="3598">
        <v>1121384</v>
      </c>
      <c r="D296" s="3610">
        <v>227</v>
      </c>
      <c r="E296" s="461">
        <v>28.478000000000002</v>
      </c>
      <c r="F296" s="456">
        <v>98711</v>
      </c>
      <c r="G296" s="3598">
        <v>545439</v>
      </c>
      <c r="H296" s="3601">
        <v>87.568997001037445</v>
      </c>
      <c r="I296" s="2433">
        <v>20.82</v>
      </c>
      <c r="J296" s="339">
        <v>2986245</v>
      </c>
      <c r="K296" s="632">
        <v>2761512</v>
      </c>
      <c r="L296" s="3504">
        <v>62010862</v>
      </c>
      <c r="M296" s="3608">
        <v>2.9510893228620727</v>
      </c>
      <c r="N296" s="3608">
        <v>21.7</v>
      </c>
      <c r="O296" s="2935">
        <v>37.65</v>
      </c>
    </row>
    <row r="297" spans="1:15">
      <c r="A297" s="388">
        <f t="shared" si="1"/>
        <v>2017.12</v>
      </c>
      <c r="B297" s="214">
        <v>174731.75</v>
      </c>
      <c r="C297" s="3598">
        <v>1093798.25</v>
      </c>
      <c r="D297" s="3610">
        <v>224</v>
      </c>
      <c r="E297" s="461">
        <v>27.66</v>
      </c>
      <c r="F297" s="456">
        <v>98353</v>
      </c>
      <c r="G297" s="3598">
        <v>565897</v>
      </c>
      <c r="H297" s="3601">
        <v>84.858069254908202</v>
      </c>
      <c r="I297" s="2433">
        <v>21.4</v>
      </c>
      <c r="J297" s="339">
        <v>2649855</v>
      </c>
      <c r="K297" s="632">
        <v>2582341</v>
      </c>
      <c r="L297" s="3504">
        <v>57147648</v>
      </c>
      <c r="M297" s="3608">
        <v>2.9747322740953313</v>
      </c>
      <c r="N297" s="3608">
        <v>25.62</v>
      </c>
      <c r="O297" s="2935">
        <v>38.880000000000003</v>
      </c>
    </row>
    <row r="298" spans="1:15" s="259" customFormat="1">
      <c r="A298" s="388">
        <f t="shared" si="1"/>
        <v>2018.01</v>
      </c>
      <c r="B298" s="214">
        <v>193907.5</v>
      </c>
      <c r="C298" s="3598">
        <v>1112979</v>
      </c>
      <c r="D298" s="3610">
        <v>227</v>
      </c>
      <c r="E298" s="461">
        <v>27.821999999999999</v>
      </c>
      <c r="F298" s="456">
        <v>104328</v>
      </c>
      <c r="G298" s="3598">
        <v>544781</v>
      </c>
      <c r="H298" s="3601">
        <v>86.348761574964229</v>
      </c>
      <c r="I298" s="2433">
        <v>22.26</v>
      </c>
      <c r="J298" s="339">
        <v>2719601</v>
      </c>
      <c r="K298" s="632">
        <v>2719417</v>
      </c>
      <c r="L298" s="3504">
        <v>58253360</v>
      </c>
      <c r="M298" s="3608">
        <v>2.9183046366710728</v>
      </c>
      <c r="N298" s="3608">
        <v>27.01</v>
      </c>
      <c r="O298" s="2935">
        <v>41.78</v>
      </c>
    </row>
    <row r="299" spans="1:15">
      <c r="A299" s="388">
        <f t="shared" si="1"/>
        <v>2018.02</v>
      </c>
      <c r="B299" s="214">
        <v>170728.25</v>
      </c>
      <c r="C299" s="3598">
        <v>1015049</v>
      </c>
      <c r="D299" s="3610">
        <v>226</v>
      </c>
      <c r="E299" s="461">
        <v>30.102</v>
      </c>
      <c r="F299" s="456">
        <v>92368.25</v>
      </c>
      <c r="G299" s="3598">
        <v>489980</v>
      </c>
      <c r="H299" s="3601">
        <v>87.314287252520458</v>
      </c>
      <c r="I299" s="2433">
        <v>23.15</v>
      </c>
      <c r="J299" s="339">
        <v>2568042</v>
      </c>
      <c r="K299" s="632">
        <v>2346163</v>
      </c>
      <c r="L299" s="3504">
        <v>50502078</v>
      </c>
      <c r="M299" s="3608">
        <v>2.9305770068512138</v>
      </c>
      <c r="N299" s="3608">
        <v>32.520000000000003</v>
      </c>
      <c r="O299" s="2935">
        <v>45.32</v>
      </c>
    </row>
    <row r="300" spans="1:15">
      <c r="A300" s="388">
        <f t="shared" si="1"/>
        <v>2018.03</v>
      </c>
      <c r="B300" s="214">
        <v>198863.25</v>
      </c>
      <c r="C300" s="3598">
        <v>1143404</v>
      </c>
      <c r="D300" s="3610">
        <v>228</v>
      </c>
      <c r="E300" s="461">
        <v>27.757999999999999</v>
      </c>
      <c r="F300" s="456">
        <v>105129.5</v>
      </c>
      <c r="G300" s="3598">
        <v>557204</v>
      </c>
      <c r="H300" s="3601">
        <v>87.961870825356598</v>
      </c>
      <c r="I300" s="2433">
        <v>23.56</v>
      </c>
      <c r="J300" s="339">
        <v>2940408</v>
      </c>
      <c r="K300" s="632">
        <v>2854322</v>
      </c>
      <c r="L300" s="3504">
        <v>59944060</v>
      </c>
      <c r="M300" s="3608">
        <v>3.0194848525290272</v>
      </c>
      <c r="N300" s="3608">
        <v>31.57</v>
      </c>
      <c r="O300" s="2935">
        <v>47.36</v>
      </c>
    </row>
    <row r="301" spans="1:15">
      <c r="A301" s="388">
        <f t="shared" si="1"/>
        <v>2018.04</v>
      </c>
      <c r="B301" s="214">
        <v>187141.5</v>
      </c>
      <c r="C301" s="3598">
        <v>1096239</v>
      </c>
      <c r="D301" s="3610">
        <v>226</v>
      </c>
      <c r="E301" s="461">
        <v>27.7</v>
      </c>
      <c r="F301" s="456">
        <v>100589.5</v>
      </c>
      <c r="G301" s="3598">
        <v>557225</v>
      </c>
      <c r="H301" s="3601">
        <v>89.726636575257999</v>
      </c>
      <c r="I301" s="2433">
        <v>23.9</v>
      </c>
      <c r="J301" s="339">
        <v>2640272</v>
      </c>
      <c r="K301" s="632">
        <v>2615870</v>
      </c>
      <c r="L301" s="3504">
        <v>58407739</v>
      </c>
      <c r="M301" s="3608">
        <v>3.0646486782632518</v>
      </c>
      <c r="N301" s="3608">
        <v>26.49</v>
      </c>
      <c r="O301" s="2935">
        <v>44.75</v>
      </c>
    </row>
    <row r="302" spans="1:15">
      <c r="A302" s="388">
        <f t="shared" si="1"/>
        <v>2018.05</v>
      </c>
      <c r="B302" s="214">
        <v>190119.25</v>
      </c>
      <c r="C302" s="3598">
        <v>1141170</v>
      </c>
      <c r="D302" s="3610">
        <v>226</v>
      </c>
      <c r="E302" s="461">
        <v>30.074999999999999</v>
      </c>
      <c r="F302" s="456">
        <v>105536.75</v>
      </c>
      <c r="G302" s="3598">
        <v>576048</v>
      </c>
      <c r="H302" s="3601">
        <v>91.073849127447602</v>
      </c>
      <c r="I302" s="2433">
        <v>23.85</v>
      </c>
      <c r="J302" s="339">
        <v>3116119</v>
      </c>
      <c r="K302" s="632">
        <v>2896046</v>
      </c>
      <c r="L302" s="3504">
        <v>62130218</v>
      </c>
      <c r="M302" s="3608">
        <v>3.0420086914534044</v>
      </c>
      <c r="N302" s="3608">
        <v>27.03</v>
      </c>
      <c r="O302" s="2935">
        <v>44.04</v>
      </c>
    </row>
    <row r="303" spans="1:15">
      <c r="A303" s="388">
        <f t="shared" si="1"/>
        <v>2018.06</v>
      </c>
      <c r="B303" s="214">
        <v>185534.25</v>
      </c>
      <c r="C303" s="3598">
        <v>1107607</v>
      </c>
      <c r="D303" s="3610">
        <v>227</v>
      </c>
      <c r="E303" s="461">
        <v>31.128</v>
      </c>
      <c r="F303" s="456">
        <v>102258.75</v>
      </c>
      <c r="G303" s="3598">
        <v>562547</v>
      </c>
      <c r="H303" s="3601">
        <v>90.702384576857838</v>
      </c>
      <c r="I303" s="2433">
        <v>23.97</v>
      </c>
      <c r="J303" s="339">
        <v>2671995</v>
      </c>
      <c r="K303" s="632">
        <v>2742342</v>
      </c>
      <c r="L303" s="3504">
        <v>57447116</v>
      </c>
      <c r="M303" s="3608">
        <v>3.0462861420091563</v>
      </c>
      <c r="N303" s="3608">
        <v>31</v>
      </c>
      <c r="O303" s="2935">
        <v>46.5</v>
      </c>
    </row>
    <row r="304" spans="1:15">
      <c r="A304" s="388">
        <f t="shared" si="1"/>
        <v>2018.07</v>
      </c>
      <c r="B304" s="214">
        <v>195502.75</v>
      </c>
      <c r="C304" s="3598">
        <v>1127521</v>
      </c>
      <c r="D304" s="3610">
        <v>232</v>
      </c>
      <c r="E304" s="461">
        <v>33.816000000000003</v>
      </c>
      <c r="F304" s="456">
        <v>108248.5</v>
      </c>
      <c r="G304" s="3598">
        <v>601554</v>
      </c>
      <c r="H304" s="3601">
        <v>90.111958263135591</v>
      </c>
      <c r="I304" s="2433">
        <v>24.75</v>
      </c>
      <c r="J304" s="339">
        <v>3205913</v>
      </c>
      <c r="K304" s="632">
        <v>3060107</v>
      </c>
      <c r="L304" s="3504">
        <v>61499709</v>
      </c>
      <c r="M304" s="3608">
        <v>3.0731707317073171</v>
      </c>
      <c r="N304" s="3608">
        <v>30.65</v>
      </c>
      <c r="O304" s="2935">
        <v>47.41</v>
      </c>
    </row>
    <row r="305" spans="1:15">
      <c r="A305" s="388">
        <f t="shared" si="1"/>
        <v>2018.08</v>
      </c>
      <c r="B305" s="214">
        <v>204335.75</v>
      </c>
      <c r="C305" s="3598">
        <v>1185665</v>
      </c>
      <c r="D305" s="3610">
        <v>231</v>
      </c>
      <c r="E305" s="461">
        <v>35.975000000000001</v>
      </c>
      <c r="F305" s="456">
        <v>109462.25</v>
      </c>
      <c r="G305" s="3598">
        <v>579135</v>
      </c>
      <c r="H305" s="3601">
        <v>89.878525822006353</v>
      </c>
      <c r="I305" s="2433">
        <v>25.59</v>
      </c>
      <c r="J305" s="339">
        <v>2881477</v>
      </c>
      <c r="K305" s="632">
        <v>2933122</v>
      </c>
      <c r="L305" s="3504">
        <v>63511760</v>
      </c>
      <c r="M305" s="3608">
        <v>3.0387958181131123</v>
      </c>
      <c r="N305" s="3608">
        <v>37.549999999999997</v>
      </c>
      <c r="O305" s="2935">
        <v>51.58</v>
      </c>
    </row>
    <row r="306" spans="1:15">
      <c r="A306" s="388">
        <f t="shared" si="1"/>
        <v>2018.09</v>
      </c>
      <c r="B306" s="214">
        <v>174506.25</v>
      </c>
      <c r="C306" s="3598">
        <v>998812</v>
      </c>
      <c r="D306" s="3610">
        <v>230</v>
      </c>
      <c r="E306" s="461">
        <v>41.823999999999998</v>
      </c>
      <c r="F306" s="456">
        <v>95267</v>
      </c>
      <c r="G306" s="3598">
        <v>546013</v>
      </c>
      <c r="H306" s="3601">
        <v>89.260656232302722</v>
      </c>
      <c r="I306" s="2433">
        <v>29.54</v>
      </c>
      <c r="J306" s="339">
        <v>2939500</v>
      </c>
      <c r="K306" s="632">
        <v>2628603</v>
      </c>
      <c r="L306" s="3504">
        <v>55325966</v>
      </c>
      <c r="M306" s="3608">
        <v>2.9823229584643749</v>
      </c>
      <c r="N306" s="3608">
        <v>41.66</v>
      </c>
      <c r="O306" s="2935">
        <v>59.71</v>
      </c>
    </row>
    <row r="307" spans="1:15">
      <c r="A307" s="388">
        <f t="shared" si="1"/>
        <v>2018.1</v>
      </c>
      <c r="B307" s="214">
        <v>210640.5</v>
      </c>
      <c r="C307" s="3598">
        <v>1209984</v>
      </c>
      <c r="D307" s="3610">
        <v>230</v>
      </c>
      <c r="E307" s="461">
        <v>40.213000000000001</v>
      </c>
      <c r="F307" s="456">
        <v>111351.75</v>
      </c>
      <c r="G307" s="3598">
        <v>601743</v>
      </c>
      <c r="H307" s="3601">
        <v>88.070507510287385</v>
      </c>
      <c r="I307" s="2433">
        <v>33.090000000000003</v>
      </c>
      <c r="J307" s="339">
        <v>2919918</v>
      </c>
      <c r="K307" s="632">
        <v>3017058</v>
      </c>
      <c r="L307" s="3504">
        <v>63380903</v>
      </c>
      <c r="M307" s="3608">
        <v>3.0292990012779857</v>
      </c>
      <c r="N307" s="3608">
        <v>42.08</v>
      </c>
      <c r="O307" s="2935">
        <v>61.37</v>
      </c>
    </row>
    <row r="308" spans="1:15">
      <c r="A308" s="388">
        <f t="shared" si="1"/>
        <v>2018.11</v>
      </c>
      <c r="B308" s="214">
        <v>195486.5</v>
      </c>
      <c r="C308" s="3598">
        <v>1130727</v>
      </c>
      <c r="D308" s="3610">
        <v>228</v>
      </c>
      <c r="E308" s="461">
        <v>39.835999999999999</v>
      </c>
      <c r="F308" s="456">
        <v>100629.75</v>
      </c>
      <c r="G308" s="3598">
        <v>554911</v>
      </c>
      <c r="H308" s="3601">
        <v>87.031167926633699</v>
      </c>
      <c r="I308" s="2433">
        <v>34.450000000000003</v>
      </c>
      <c r="J308" s="339">
        <v>3132379</v>
      </c>
      <c r="K308" s="632">
        <v>3042944</v>
      </c>
      <c r="L308" s="3504">
        <v>61699759</v>
      </c>
      <c r="M308" s="3608">
        <v>3.0470016207455428</v>
      </c>
      <c r="N308" s="3608">
        <v>43.54</v>
      </c>
      <c r="O308" s="2935">
        <v>62.77</v>
      </c>
    </row>
    <row r="309" spans="1:15">
      <c r="A309" s="388">
        <f t="shared" si="1"/>
        <v>2018.12</v>
      </c>
      <c r="B309" s="214">
        <v>184931.25</v>
      </c>
      <c r="C309" s="3598">
        <v>1127843</v>
      </c>
      <c r="D309" s="3610">
        <v>224</v>
      </c>
      <c r="E309" s="461">
        <v>40.97</v>
      </c>
      <c r="F309" s="456">
        <v>105535.25</v>
      </c>
      <c r="G309" s="3598">
        <v>607835</v>
      </c>
      <c r="H309" s="3601">
        <v>84.025402801591113</v>
      </c>
      <c r="I309" s="2433">
        <v>35.020000000000003</v>
      </c>
      <c r="J309" s="339">
        <v>3012270</v>
      </c>
      <c r="K309" s="632">
        <v>2962300</v>
      </c>
      <c r="L309" s="3504">
        <v>59356871</v>
      </c>
      <c r="M309" s="3608">
        <v>3.049345485789376</v>
      </c>
      <c r="N309" s="3608">
        <v>44.47</v>
      </c>
      <c r="O309" s="2935">
        <v>64.28</v>
      </c>
    </row>
    <row r="310" spans="1:15">
      <c r="A310" s="388">
        <f t="shared" si="1"/>
        <v>2019.01</v>
      </c>
      <c r="B310" s="214">
        <v>201452.25</v>
      </c>
      <c r="C310" s="3598">
        <v>1130796</v>
      </c>
      <c r="D310" s="3610">
        <v>226</v>
      </c>
      <c r="E310" s="461">
        <v>46.749000000000002</v>
      </c>
      <c r="F310" s="456">
        <v>104608</v>
      </c>
      <c r="G310" s="3598">
        <v>544874</v>
      </c>
      <c r="H310" s="3601">
        <v>87.059049745354443</v>
      </c>
      <c r="I310" s="2433">
        <v>36.43</v>
      </c>
      <c r="J310" s="339">
        <v>3071094</v>
      </c>
      <c r="K310" s="632">
        <v>3193260</v>
      </c>
      <c r="L310" s="3504">
        <v>65174380</v>
      </c>
      <c r="M310" s="3608">
        <v>3.0073342130297358</v>
      </c>
      <c r="N310" s="3608">
        <v>41.9</v>
      </c>
      <c r="O310" s="2935">
        <v>66.3</v>
      </c>
    </row>
    <row r="311" spans="1:15">
      <c r="A311" s="388">
        <f t="shared" si="1"/>
        <v>2019.02</v>
      </c>
      <c r="B311" s="214">
        <v>176901.25</v>
      </c>
      <c r="C311" s="3598">
        <v>983831</v>
      </c>
      <c r="D311" s="3610">
        <v>227</v>
      </c>
      <c r="E311" s="461">
        <v>52.845999999999997</v>
      </c>
      <c r="F311" s="456">
        <v>97319</v>
      </c>
      <c r="G311" s="3598">
        <v>508582</v>
      </c>
      <c r="H311" s="3601">
        <v>86.269225043310399</v>
      </c>
      <c r="I311" s="2433">
        <v>37.67</v>
      </c>
      <c r="J311" s="339">
        <v>2629855</v>
      </c>
      <c r="K311" s="632">
        <v>2761480</v>
      </c>
      <c r="L311" s="3504">
        <v>57156760</v>
      </c>
      <c r="M311" s="3608">
        <v>2.9042811904053747</v>
      </c>
      <c r="N311" s="3608">
        <v>49.2</v>
      </c>
      <c r="O311" s="2935">
        <v>72.099999999999994</v>
      </c>
    </row>
    <row r="312" spans="1:15">
      <c r="A312" s="388">
        <f t="shared" si="1"/>
        <v>2019.03</v>
      </c>
      <c r="B312" s="214">
        <v>183975</v>
      </c>
      <c r="C312" s="3598">
        <v>1020540.25</v>
      </c>
      <c r="D312" s="3610">
        <v>226</v>
      </c>
      <c r="E312" s="461">
        <v>51.258000000000003</v>
      </c>
      <c r="F312" s="456">
        <v>96984.75</v>
      </c>
      <c r="G312" s="3598">
        <v>540035</v>
      </c>
      <c r="H312" s="3601">
        <v>88.348515077726447</v>
      </c>
      <c r="I312" s="2433">
        <v>38.9</v>
      </c>
      <c r="J312" s="339">
        <v>2719120</v>
      </c>
      <c r="K312" s="632">
        <v>2887401</v>
      </c>
      <c r="L312" s="3504">
        <v>58651248</v>
      </c>
      <c r="M312" s="3608">
        <v>3.0008013503606077</v>
      </c>
      <c r="N312" s="3608">
        <v>62.7</v>
      </c>
      <c r="O312" s="2935">
        <v>90.4</v>
      </c>
    </row>
    <row r="313" spans="1:15">
      <c r="A313" s="388">
        <f t="shared" si="1"/>
        <v>2019.04</v>
      </c>
      <c r="B313" s="214">
        <v>193466</v>
      </c>
      <c r="C313" s="3598">
        <v>1073913.5</v>
      </c>
      <c r="D313" s="3610">
        <v>223</v>
      </c>
      <c r="E313" s="461">
        <v>49.613999999999997</v>
      </c>
      <c r="F313" s="456">
        <v>106579</v>
      </c>
      <c r="G313" s="3598">
        <v>591623</v>
      </c>
      <c r="H313" s="3601">
        <v>89.206627755831988</v>
      </c>
      <c r="I313" s="2433">
        <v>40.15</v>
      </c>
      <c r="J313" s="339">
        <v>2793806</v>
      </c>
      <c r="K313" s="632">
        <v>2937412</v>
      </c>
      <c r="L313" s="3504">
        <v>60772757</v>
      </c>
      <c r="M313" s="3608">
        <v>3.0770243364652066</v>
      </c>
      <c r="N313" s="3608">
        <v>56.7</v>
      </c>
      <c r="O313" s="2935">
        <v>91.8</v>
      </c>
    </row>
    <row r="314" spans="1:15">
      <c r="A314" s="388">
        <f t="shared" si="1"/>
        <v>2019.05</v>
      </c>
      <c r="B314" s="214">
        <v>213467.75</v>
      </c>
      <c r="C314" s="3598">
        <v>1175076.5</v>
      </c>
      <c r="D314" s="3610">
        <v>223</v>
      </c>
      <c r="E314" s="461">
        <v>49.381999999999998</v>
      </c>
      <c r="F314" s="456">
        <v>107208.25</v>
      </c>
      <c r="G314" s="3598">
        <v>594226</v>
      </c>
      <c r="H314" s="3601">
        <v>91.310070399897654</v>
      </c>
      <c r="I314" s="2433">
        <v>41.5</v>
      </c>
      <c r="J314" s="339">
        <v>3079931</v>
      </c>
      <c r="K314" s="632">
        <v>3201196</v>
      </c>
      <c r="L314" s="3504">
        <v>66790475.999999993</v>
      </c>
      <c r="M314" s="3608">
        <v>3.0543494535110045</v>
      </c>
      <c r="N314" s="3608">
        <v>46.7</v>
      </c>
      <c r="O314" s="2935">
        <v>85</v>
      </c>
    </row>
    <row r="315" spans="1:15">
      <c r="A315" s="388">
        <f t="shared" si="1"/>
        <v>2019.06</v>
      </c>
      <c r="B315" s="214">
        <v>190704</v>
      </c>
      <c r="C315" s="3598">
        <v>1052837.25</v>
      </c>
      <c r="D315" s="3610">
        <v>223</v>
      </c>
      <c r="E315" s="461">
        <v>52.021999999999998</v>
      </c>
      <c r="F315" s="456">
        <v>93346</v>
      </c>
      <c r="G315" s="3598">
        <v>529308</v>
      </c>
      <c r="H315" s="3601">
        <v>92.518526817932766</v>
      </c>
      <c r="I315" s="2433">
        <v>42.9</v>
      </c>
      <c r="J315" s="339">
        <v>2678123</v>
      </c>
      <c r="K315" s="632">
        <v>2717507</v>
      </c>
      <c r="L315" s="3504">
        <v>57299584</v>
      </c>
      <c r="M315" s="3608">
        <v>3.1413612565445028</v>
      </c>
      <c r="N315" s="3608">
        <v>49</v>
      </c>
      <c r="O315" s="2935">
        <v>84</v>
      </c>
    </row>
    <row r="316" spans="1:15">
      <c r="A316" s="388">
        <f t="shared" si="1"/>
        <v>2019.07</v>
      </c>
      <c r="B316" s="214">
        <v>223058</v>
      </c>
      <c r="C316" s="3598">
        <v>1267941.25</v>
      </c>
      <c r="D316" s="3610">
        <v>226</v>
      </c>
      <c r="E316" s="461">
        <v>53.503</v>
      </c>
      <c r="F316" s="456">
        <v>113981</v>
      </c>
      <c r="G316" s="3598">
        <v>612699</v>
      </c>
      <c r="H316" s="3601">
        <v>91.128908613282036</v>
      </c>
      <c r="I316" s="2433">
        <v>44.09</v>
      </c>
      <c r="J316" s="339">
        <v>3051585</v>
      </c>
      <c r="K316" s="632">
        <v>3165959</v>
      </c>
      <c r="L316" s="3504">
        <v>68384432</v>
      </c>
      <c r="M316" s="3608">
        <v>3.0708937763219466</v>
      </c>
      <c r="N316" s="3608">
        <v>43.3</v>
      </c>
      <c r="O316" s="2935">
        <v>80.7</v>
      </c>
    </row>
    <row r="317" spans="1:15">
      <c r="A317" s="388">
        <f t="shared" si="1"/>
        <v>2019.08</v>
      </c>
      <c r="B317" s="214">
        <v>212836.5</v>
      </c>
      <c r="C317" s="3598">
        <v>1198766.75</v>
      </c>
      <c r="D317" s="3610">
        <v>227</v>
      </c>
      <c r="E317" s="461">
        <v>60.783000000000001</v>
      </c>
      <c r="F317" s="456">
        <v>101367.25</v>
      </c>
      <c r="G317" s="3598">
        <v>550787</v>
      </c>
      <c r="H317" s="3601">
        <v>91.856504773787776</v>
      </c>
      <c r="I317" s="2433">
        <v>49.2</v>
      </c>
      <c r="J317" s="339">
        <v>2865908</v>
      </c>
      <c r="K317" s="632">
        <v>2807792</v>
      </c>
      <c r="L317" s="3504">
        <v>65234445</v>
      </c>
      <c r="M317" s="3608">
        <v>3.0965447466045313</v>
      </c>
      <c r="N317" s="3608">
        <v>50.9</v>
      </c>
      <c r="O317" s="2935">
        <v>83.9</v>
      </c>
    </row>
    <row r="318" spans="1:15">
      <c r="A318" s="388">
        <f t="shared" ref="A318:A381" si="2">A306+1</f>
        <v>2019.09</v>
      </c>
      <c r="B318" s="214">
        <v>220959.5</v>
      </c>
      <c r="C318" s="3598">
        <v>1193545.5</v>
      </c>
      <c r="D318" s="3610">
        <v>228</v>
      </c>
      <c r="E318" s="461">
        <v>61.283999999999999</v>
      </c>
      <c r="F318" s="456">
        <v>99518.25</v>
      </c>
      <c r="G318" s="3598">
        <v>540183</v>
      </c>
      <c r="H318" s="3598">
        <v>92</v>
      </c>
      <c r="I318" s="2433">
        <v>55.73</v>
      </c>
      <c r="J318" s="339">
        <v>2682263</v>
      </c>
      <c r="K318" s="632">
        <v>2767346</v>
      </c>
      <c r="L318" s="3504">
        <v>61673715</v>
      </c>
      <c r="M318" s="3608">
        <v>3.0320718617245515</v>
      </c>
      <c r="N318" s="3608">
        <v>65.8</v>
      </c>
      <c r="O318" s="2935">
        <v>95.9</v>
      </c>
    </row>
    <row r="319" spans="1:15">
      <c r="A319" s="388">
        <f t="shared" si="2"/>
        <v>2019.1</v>
      </c>
      <c r="B319" s="214">
        <v>249264.5</v>
      </c>
      <c r="C319" s="3598">
        <v>1310355</v>
      </c>
      <c r="D319" s="3598">
        <v>226</v>
      </c>
      <c r="E319" s="2023">
        <v>65.927999999999997</v>
      </c>
      <c r="F319" s="456">
        <v>107747</v>
      </c>
      <c r="G319" s="3598">
        <v>581623</v>
      </c>
      <c r="H319" s="3598">
        <v>92</v>
      </c>
      <c r="I319" s="2433">
        <v>59.43</v>
      </c>
      <c r="J319" s="339">
        <v>2858118</v>
      </c>
      <c r="K319" s="632">
        <v>2791833</v>
      </c>
      <c r="L319" s="3504">
        <v>66802569</v>
      </c>
      <c r="M319" s="3608">
        <v>3.0836938460847567</v>
      </c>
      <c r="N319" s="3608">
        <v>67.8</v>
      </c>
      <c r="O319" s="2935">
        <v>98.3</v>
      </c>
    </row>
    <row r="320" spans="1:15">
      <c r="A320" s="388">
        <f t="shared" si="2"/>
        <v>2019.11</v>
      </c>
      <c r="B320" s="214">
        <v>220371</v>
      </c>
      <c r="C320" s="3598">
        <v>1207186.75</v>
      </c>
      <c r="D320" s="3598">
        <v>226</v>
      </c>
      <c r="E320" s="2023">
        <v>71.936000000000007</v>
      </c>
      <c r="F320" s="456">
        <v>98747</v>
      </c>
      <c r="G320" s="3598">
        <v>536452</v>
      </c>
      <c r="H320" s="3598">
        <v>90</v>
      </c>
      <c r="I320" s="2433">
        <v>62.21</v>
      </c>
      <c r="J320" s="339">
        <v>2719218</v>
      </c>
      <c r="K320" s="632">
        <v>2703937</v>
      </c>
      <c r="L320" s="3504">
        <v>62648316</v>
      </c>
      <c r="M320" s="3608">
        <v>3.0647426893117098</v>
      </c>
      <c r="N320" s="3608">
        <v>63.5</v>
      </c>
      <c r="O320" s="2935">
        <v>101.2</v>
      </c>
    </row>
    <row r="321" spans="1:15">
      <c r="A321" s="388">
        <f t="shared" si="2"/>
        <v>2019.12</v>
      </c>
      <c r="B321" s="214">
        <v>221973.5</v>
      </c>
      <c r="C321" s="3598">
        <v>1271532.25</v>
      </c>
      <c r="D321" s="3598">
        <v>222</v>
      </c>
      <c r="E321" s="2023">
        <v>77.463999999999999</v>
      </c>
      <c r="F321" s="456">
        <v>109314.75</v>
      </c>
      <c r="G321" s="3598">
        <v>616853</v>
      </c>
      <c r="H321" s="3598">
        <v>86</v>
      </c>
      <c r="I321" s="2433">
        <v>64.430000000000007</v>
      </c>
      <c r="J321" s="339">
        <v>2979709</v>
      </c>
      <c r="K321" s="632">
        <v>2957722</v>
      </c>
      <c r="L321" s="3504">
        <v>66360443</v>
      </c>
      <c r="M321" s="3608">
        <v>3.013863773357444</v>
      </c>
      <c r="N321" s="3608">
        <v>71.400000000000006</v>
      </c>
      <c r="O321" s="2935">
        <v>102.5</v>
      </c>
    </row>
    <row r="322" spans="1:15">
      <c r="A322" s="388">
        <f t="shared" si="2"/>
        <v>2020.01</v>
      </c>
      <c r="B322" s="214">
        <v>199820.5</v>
      </c>
      <c r="C322" s="3598">
        <v>1143845.5</v>
      </c>
      <c r="D322" s="3598">
        <v>225</v>
      </c>
      <c r="E322" s="2023">
        <v>77.290000000000006</v>
      </c>
      <c r="F322" s="456">
        <v>110392</v>
      </c>
      <c r="G322" s="3598">
        <v>559153</v>
      </c>
      <c r="H322" s="3598">
        <v>90</v>
      </c>
      <c r="I322" s="2433">
        <v>66.72</v>
      </c>
      <c r="J322" s="339">
        <v>2948249</v>
      </c>
      <c r="K322" s="632">
        <v>2939848</v>
      </c>
      <c r="L322" s="3504">
        <v>68354981</v>
      </c>
      <c r="M322" s="3608">
        <v>2.9844195742813255</v>
      </c>
      <c r="N322" s="3608">
        <v>64.2</v>
      </c>
      <c r="O322" s="2935">
        <v>107</v>
      </c>
    </row>
    <row r="323" spans="1:15">
      <c r="A323" s="388">
        <f t="shared" si="2"/>
        <v>2020.02</v>
      </c>
      <c r="B323" s="214">
        <v>167863.25</v>
      </c>
      <c r="C323" s="3598">
        <v>1013204.5</v>
      </c>
      <c r="D323" s="3598">
        <v>223</v>
      </c>
      <c r="E323" s="2023">
        <v>80.188999999999993</v>
      </c>
      <c r="F323" s="456">
        <v>96246.75</v>
      </c>
      <c r="G323" s="3598">
        <v>511173</v>
      </c>
      <c r="H323" s="3598">
        <v>92</v>
      </c>
      <c r="I323" s="2433">
        <v>67.7</v>
      </c>
      <c r="J323" s="339">
        <v>2472740</v>
      </c>
      <c r="K323" s="632">
        <v>2365032</v>
      </c>
      <c r="L323" s="3504">
        <v>58403449</v>
      </c>
      <c r="M323" s="3608">
        <v>2.9621766005170969</v>
      </c>
      <c r="N323" s="3608">
        <v>73.7</v>
      </c>
      <c r="O323" s="2935">
        <v>108.5</v>
      </c>
    </row>
    <row r="324" spans="1:15">
      <c r="A324" s="388">
        <f t="shared" si="2"/>
        <v>2020.03</v>
      </c>
      <c r="B324" s="214">
        <v>186691.5</v>
      </c>
      <c r="C324" s="3598">
        <v>1095439.25</v>
      </c>
      <c r="D324" s="3598">
        <v>223</v>
      </c>
      <c r="E324" s="2023">
        <v>81.290000000000006</v>
      </c>
      <c r="F324" s="456">
        <v>101598.25</v>
      </c>
      <c r="G324" s="3598">
        <v>521603</v>
      </c>
      <c r="H324" s="3598">
        <v>97</v>
      </c>
      <c r="I324" s="2433">
        <v>68.34</v>
      </c>
      <c r="J324" s="339">
        <v>2615285</v>
      </c>
      <c r="K324" s="632">
        <v>2594615</v>
      </c>
      <c r="L324" s="3504">
        <v>61319443</v>
      </c>
      <c r="M324" s="3608">
        <v>3.0333175687796605</v>
      </c>
      <c r="N324" s="3608">
        <v>82.5</v>
      </c>
      <c r="O324" s="2935">
        <v>118.6</v>
      </c>
    </row>
    <row r="325" spans="1:15">
      <c r="A325" s="388">
        <f t="shared" si="2"/>
        <v>2020.04</v>
      </c>
      <c r="B325" s="214">
        <v>208463.75</v>
      </c>
      <c r="C325" s="3598">
        <v>1170396.75</v>
      </c>
      <c r="D325" s="3598">
        <v>224</v>
      </c>
      <c r="E325" s="2023">
        <v>75.403999999999996</v>
      </c>
      <c r="F325" s="456">
        <v>109035.5</v>
      </c>
      <c r="G325" s="3598">
        <v>558981</v>
      </c>
      <c r="H325" s="3598">
        <v>98</v>
      </c>
      <c r="I325" s="2433">
        <v>64.239999999999995</v>
      </c>
      <c r="J325" s="339">
        <v>2917651</v>
      </c>
      <c r="K325" s="632">
        <v>2936540</v>
      </c>
      <c r="L325" s="3504">
        <v>68667543</v>
      </c>
      <c r="M325" s="3608">
        <v>3.0727558688180814</v>
      </c>
      <c r="N325" s="3608">
        <v>76</v>
      </c>
      <c r="O325" s="2935">
        <v>118.4</v>
      </c>
    </row>
    <row r="326" spans="1:15">
      <c r="A326" s="388">
        <f t="shared" si="2"/>
        <v>2020.05</v>
      </c>
      <c r="B326" s="214">
        <v>200229.75</v>
      </c>
      <c r="C326" s="3598">
        <v>1145786.75</v>
      </c>
      <c r="D326" s="3598">
        <v>224</v>
      </c>
      <c r="E326" s="2023">
        <v>72.245000000000005</v>
      </c>
      <c r="F326" s="456">
        <v>101671</v>
      </c>
      <c r="G326" s="3598">
        <v>569806</v>
      </c>
      <c r="H326" s="3598">
        <v>98</v>
      </c>
      <c r="I326" s="2433">
        <v>57.37</v>
      </c>
      <c r="J326" s="339">
        <v>2749338</v>
      </c>
      <c r="K326" s="632">
        <v>2752641</v>
      </c>
      <c r="L326" s="3504">
        <v>61056761</v>
      </c>
      <c r="M326" s="3608">
        <v>3.0790900306271189</v>
      </c>
      <c r="N326" s="3608">
        <v>66.3</v>
      </c>
      <c r="O326" s="2935">
        <v>111.9</v>
      </c>
    </row>
    <row r="327" spans="1:15">
      <c r="A327" s="388">
        <f t="shared" si="2"/>
        <v>2020.06</v>
      </c>
      <c r="B327" s="214">
        <v>210667.5</v>
      </c>
      <c r="C327" s="3598">
        <v>1201604.75</v>
      </c>
      <c r="D327" s="3598">
        <v>226</v>
      </c>
      <c r="E327" s="2023">
        <v>74.626000000000005</v>
      </c>
      <c r="F327" s="456">
        <v>119460.25</v>
      </c>
      <c r="G327" s="3598">
        <v>652479</v>
      </c>
      <c r="H327" s="3598">
        <v>97</v>
      </c>
      <c r="I327" s="2433">
        <v>54.4</v>
      </c>
      <c r="J327" s="339">
        <v>2940985</v>
      </c>
      <c r="K327" s="632">
        <v>2943753</v>
      </c>
      <c r="L327" s="3504">
        <v>62608058</v>
      </c>
      <c r="M327" s="3608">
        <v>3.0826731408126755</v>
      </c>
      <c r="N327" s="3608">
        <v>71.7</v>
      </c>
      <c r="O327" s="2935">
        <v>111.7</v>
      </c>
    </row>
    <row r="328" spans="1:15">
      <c r="A328" s="388">
        <f t="shared" si="2"/>
        <v>2020.07</v>
      </c>
      <c r="B328" s="214">
        <v>222968.5</v>
      </c>
      <c r="C328" s="3598">
        <v>1211129.75</v>
      </c>
      <c r="D328" s="3598">
        <v>229</v>
      </c>
      <c r="E328" s="2023">
        <v>81.257000000000005</v>
      </c>
      <c r="F328" s="456">
        <v>119803.75</v>
      </c>
      <c r="G328" s="3598">
        <v>619706</v>
      </c>
      <c r="H328" s="3598">
        <v>96</v>
      </c>
      <c r="I328" s="2433">
        <v>57</v>
      </c>
      <c r="J328" s="339">
        <v>3183438</v>
      </c>
      <c r="K328" s="632">
        <v>3056383</v>
      </c>
      <c r="L328" s="3504">
        <v>64324334</v>
      </c>
      <c r="M328" s="3608">
        <v>3.1248056712890988</v>
      </c>
      <c r="N328" s="3608">
        <v>69.3</v>
      </c>
      <c r="O328" s="2935">
        <v>114.8</v>
      </c>
    </row>
    <row r="329" spans="1:15">
      <c r="A329" s="388">
        <f t="shared" si="2"/>
        <v>2020.08</v>
      </c>
      <c r="B329" s="214">
        <v>207097</v>
      </c>
      <c r="C329" s="3598">
        <v>1156906.75</v>
      </c>
      <c r="D329" s="3598">
        <v>230</v>
      </c>
      <c r="E329" s="2023">
        <v>89.846999999999994</v>
      </c>
      <c r="F329" s="456">
        <v>115387</v>
      </c>
      <c r="G329" s="3598">
        <v>601284</v>
      </c>
      <c r="H329" s="3598">
        <v>94</v>
      </c>
      <c r="I329" s="2433">
        <v>67.94</v>
      </c>
      <c r="J329" s="339">
        <v>2689386</v>
      </c>
      <c r="K329" s="632">
        <v>2607851</v>
      </c>
      <c r="L329" s="3504">
        <v>59825532</v>
      </c>
      <c r="M329" s="3608">
        <v>3.0755858656771302</v>
      </c>
      <c r="N329" s="3608">
        <v>86</v>
      </c>
      <c r="O329" s="2935">
        <v>119.3</v>
      </c>
    </row>
    <row r="330" spans="1:15">
      <c r="A330" s="388">
        <f t="shared" si="2"/>
        <v>2020.09</v>
      </c>
      <c r="B330" s="214">
        <v>195955</v>
      </c>
      <c r="C330" s="3598">
        <v>1210719</v>
      </c>
      <c r="D330" s="3598">
        <v>230</v>
      </c>
      <c r="E330" s="2023">
        <v>92.77</v>
      </c>
      <c r="F330" s="456">
        <v>107475.25</v>
      </c>
      <c r="G330" s="3598">
        <v>589329</v>
      </c>
      <c r="H330" s="3598">
        <v>93</v>
      </c>
      <c r="I330" s="2433">
        <v>82.75</v>
      </c>
      <c r="J330" s="339">
        <v>2954461</v>
      </c>
      <c r="K330" s="632">
        <v>2870836</v>
      </c>
      <c r="L330" s="3504">
        <v>64009590</v>
      </c>
      <c r="M330" s="3608">
        <v>3.0620215591313857</v>
      </c>
      <c r="N330" s="3608">
        <v>89.7</v>
      </c>
      <c r="O330" s="2935">
        <v>122.1</v>
      </c>
    </row>
    <row r="331" spans="1:15">
      <c r="A331" s="388">
        <f t="shared" si="2"/>
        <v>2020.1</v>
      </c>
      <c r="B331" s="214">
        <v>213726.75</v>
      </c>
      <c r="C331" s="3598">
        <v>1234249.5</v>
      </c>
      <c r="D331" s="3598">
        <v>228</v>
      </c>
      <c r="E331" s="2023">
        <v>100.517</v>
      </c>
      <c r="F331" s="456">
        <v>108959.5</v>
      </c>
      <c r="G331" s="3598">
        <v>583660</v>
      </c>
      <c r="H331" s="3598">
        <v>93</v>
      </c>
      <c r="I331" s="2433">
        <v>94.44</v>
      </c>
      <c r="J331" s="339">
        <v>2846579</v>
      </c>
      <c r="K331" s="632">
        <v>2797623</v>
      </c>
      <c r="L331" s="3504">
        <v>63327343</v>
      </c>
      <c r="M331" s="3608">
        <v>3.0950463467399372</v>
      </c>
      <c r="N331" s="3608">
        <v>88.3</v>
      </c>
      <c r="O331" s="2935">
        <v>132.4</v>
      </c>
    </row>
    <row r="332" spans="1:15">
      <c r="A332" s="388">
        <f t="shared" si="2"/>
        <v>2020.11</v>
      </c>
      <c r="B332" s="214">
        <v>205405</v>
      </c>
      <c r="C332" s="3598">
        <v>1224106</v>
      </c>
      <c r="D332" s="3598">
        <v>228</v>
      </c>
      <c r="E332" s="2023">
        <v>111.364</v>
      </c>
      <c r="F332" s="456">
        <v>110685</v>
      </c>
      <c r="G332" s="3598">
        <v>580317</v>
      </c>
      <c r="H332" s="3598">
        <v>93</v>
      </c>
      <c r="I332" s="2433">
        <v>98.1</v>
      </c>
      <c r="J332" s="339">
        <v>2829555</v>
      </c>
      <c r="K332" s="632">
        <v>2958328</v>
      </c>
      <c r="L332" s="3504">
        <v>62101743</v>
      </c>
      <c r="M332" s="3608">
        <v>3.0755853273646583</v>
      </c>
      <c r="N332" s="3608">
        <v>82.4</v>
      </c>
      <c r="O332" s="2935">
        <v>133.6</v>
      </c>
    </row>
    <row r="333" spans="1:15">
      <c r="A333" s="388">
        <f t="shared" si="2"/>
        <v>2020.12</v>
      </c>
      <c r="B333" s="214">
        <v>186881.75</v>
      </c>
      <c r="C333" s="3598">
        <v>1200821</v>
      </c>
      <c r="D333" s="3598">
        <v>225</v>
      </c>
      <c r="E333" s="2023">
        <v>133.54499999999999</v>
      </c>
      <c r="F333" s="456">
        <v>119217</v>
      </c>
      <c r="G333" s="3598">
        <v>658603</v>
      </c>
      <c r="H333" s="3598">
        <v>90</v>
      </c>
      <c r="I333" s="2433">
        <v>98.74</v>
      </c>
      <c r="J333" s="339">
        <v>2978748</v>
      </c>
      <c r="K333" s="632">
        <v>3197479</v>
      </c>
      <c r="L333" s="3504">
        <v>63927132</v>
      </c>
      <c r="M333" s="3608">
        <v>3.0190686251505623</v>
      </c>
      <c r="N333" s="3608">
        <v>116.2</v>
      </c>
      <c r="O333" s="2935">
        <v>155</v>
      </c>
    </row>
    <row r="334" spans="1:15">
      <c r="A334" s="388">
        <f t="shared" si="2"/>
        <v>2021.01</v>
      </c>
      <c r="B334" s="214">
        <v>169608.25</v>
      </c>
      <c r="C334" s="3598">
        <v>998607</v>
      </c>
      <c r="D334" s="3598">
        <v>228</v>
      </c>
      <c r="E334" s="2023">
        <v>137.53100000000001</v>
      </c>
      <c r="F334" s="456">
        <v>110987.25</v>
      </c>
      <c r="G334" s="3598">
        <v>555168</v>
      </c>
      <c r="H334" s="3598">
        <v>93</v>
      </c>
      <c r="I334" s="2433">
        <v>100.44</v>
      </c>
      <c r="J334" s="339">
        <v>2672319</v>
      </c>
      <c r="K334" s="632">
        <v>2790857</v>
      </c>
      <c r="L334" s="3504">
        <v>57598098</v>
      </c>
      <c r="M334" s="3608">
        <v>3.0209382270217717</v>
      </c>
      <c r="N334" s="3608">
        <v>122.2</v>
      </c>
      <c r="O334" s="2935">
        <v>161</v>
      </c>
    </row>
    <row r="335" spans="1:15">
      <c r="A335" s="388">
        <f t="shared" si="2"/>
        <v>2021.02</v>
      </c>
      <c r="B335" s="214">
        <v>165032.75</v>
      </c>
      <c r="C335" s="3598">
        <v>1004791</v>
      </c>
      <c r="D335" s="3598">
        <v>226</v>
      </c>
      <c r="E335" s="2023">
        <v>146.215</v>
      </c>
      <c r="F335" s="456">
        <v>107169.75</v>
      </c>
      <c r="G335" s="3598">
        <v>554228</v>
      </c>
      <c r="H335" s="3598">
        <v>92</v>
      </c>
      <c r="I335" s="2433">
        <v>102.13</v>
      </c>
      <c r="J335" s="339">
        <v>2647120</v>
      </c>
      <c r="K335" s="632">
        <v>2835403</v>
      </c>
      <c r="L335" s="3504">
        <v>53473417</v>
      </c>
      <c r="M335" s="3608">
        <v>3.0669683765638736</v>
      </c>
      <c r="N335" s="3608">
        <v>124.5</v>
      </c>
      <c r="O335" s="2935">
        <v>168.6</v>
      </c>
    </row>
    <row r="336" spans="1:15">
      <c r="A336" s="388">
        <f t="shared" si="2"/>
        <v>2021.03</v>
      </c>
      <c r="B336" s="214">
        <v>204759.5</v>
      </c>
      <c r="C336" s="3598">
        <v>1179206</v>
      </c>
      <c r="D336" s="3598">
        <v>226</v>
      </c>
      <c r="E336" s="2023">
        <v>146.44399999999999</v>
      </c>
      <c r="F336" s="456">
        <v>134914.25</v>
      </c>
      <c r="G336" s="3598">
        <v>678116</v>
      </c>
      <c r="H336" s="3598">
        <v>93</v>
      </c>
      <c r="I336" s="2433">
        <v>103.7</v>
      </c>
      <c r="J336" s="339">
        <v>3029286</v>
      </c>
      <c r="K336" s="632">
        <v>3082492</v>
      </c>
      <c r="L336" s="3504">
        <v>66756301.999999993</v>
      </c>
      <c r="M336" s="3608">
        <v>3.1008448678770448</v>
      </c>
      <c r="N336" s="3608">
        <v>121.4</v>
      </c>
      <c r="O336" s="2935">
        <v>175.1</v>
      </c>
    </row>
    <row r="337" spans="1:15">
      <c r="A337" s="388">
        <f t="shared" si="2"/>
        <v>2021.04</v>
      </c>
      <c r="B337" s="214">
        <v>190256.5</v>
      </c>
      <c r="C337" s="3598">
        <v>1096978</v>
      </c>
      <c r="D337" s="3598">
        <v>226</v>
      </c>
      <c r="E337" s="2023">
        <v>146.87200000000001</v>
      </c>
      <c r="F337" s="456">
        <v>123294.5</v>
      </c>
      <c r="G337" s="3598">
        <v>611120</v>
      </c>
      <c r="H337" s="3598">
        <v>95</v>
      </c>
      <c r="I337" s="2433">
        <v>107.92</v>
      </c>
      <c r="J337" s="339">
        <v>2894403</v>
      </c>
      <c r="K337" s="632">
        <v>3083006</v>
      </c>
      <c r="L337" s="3504">
        <v>63173256</v>
      </c>
      <c r="M337" s="3608">
        <v>3.0234435597486269</v>
      </c>
      <c r="N337" s="3608">
        <v>124.4</v>
      </c>
      <c r="O337" s="2935">
        <v>178.4</v>
      </c>
    </row>
    <row r="338" spans="1:15">
      <c r="A338" s="388">
        <f t="shared" si="2"/>
        <v>2021.05</v>
      </c>
      <c r="B338" s="214">
        <v>162604.25</v>
      </c>
      <c r="C338" s="3598">
        <v>982643</v>
      </c>
      <c r="D338" s="3598">
        <v>225</v>
      </c>
      <c r="E338" s="2023">
        <v>145.90899999999999</v>
      </c>
      <c r="F338" s="456">
        <v>116571.5</v>
      </c>
      <c r="G338" s="3598">
        <v>617936</v>
      </c>
      <c r="H338" s="3598">
        <v>95</v>
      </c>
      <c r="I338" s="2433">
        <v>107.95</v>
      </c>
      <c r="J338" s="339">
        <v>2796890</v>
      </c>
      <c r="K338" s="632">
        <v>2921373</v>
      </c>
      <c r="L338" s="3504">
        <v>58264864</v>
      </c>
      <c r="M338" s="3608">
        <v>3.0893332189135845</v>
      </c>
      <c r="N338" s="3608">
        <v>126.1</v>
      </c>
      <c r="O338" s="2935">
        <v>180.6</v>
      </c>
    </row>
    <row r="339" spans="1:15">
      <c r="A339" s="388">
        <f t="shared" si="2"/>
        <v>2021.06</v>
      </c>
      <c r="B339" s="214">
        <v>180017.5</v>
      </c>
      <c r="C339" s="3598">
        <v>1089097</v>
      </c>
      <c r="D339" s="3598">
        <v>232</v>
      </c>
      <c r="E339" s="2023">
        <v>146.14699999999999</v>
      </c>
      <c r="F339" s="456">
        <v>122882</v>
      </c>
      <c r="G339" s="3598">
        <v>664719</v>
      </c>
      <c r="H339" s="3598">
        <v>95</v>
      </c>
      <c r="I339" s="2433">
        <v>107.33</v>
      </c>
      <c r="J339" s="339">
        <v>3272005</v>
      </c>
      <c r="K339" s="632">
        <v>3132018</v>
      </c>
      <c r="L339" s="3504">
        <v>64209685</v>
      </c>
      <c r="M339" s="3608">
        <v>3.0836318330478121</v>
      </c>
      <c r="N339" s="3608">
        <v>134.69999999999999</v>
      </c>
      <c r="O339" s="2935">
        <v>190.6</v>
      </c>
    </row>
    <row r="340" spans="1:15">
      <c r="A340" s="388">
        <f t="shared" si="2"/>
        <v>2021.07</v>
      </c>
      <c r="B340" s="214">
        <v>191164.75</v>
      </c>
      <c r="C340" s="3598">
        <v>1074275</v>
      </c>
      <c r="D340" s="3598">
        <v>234</v>
      </c>
      <c r="E340" s="2023">
        <v>140.96899999999999</v>
      </c>
      <c r="F340" s="456">
        <v>124792</v>
      </c>
      <c r="G340" s="3598">
        <v>642698</v>
      </c>
      <c r="H340" s="3598">
        <v>95</v>
      </c>
      <c r="I340" s="2433">
        <v>107.33</v>
      </c>
      <c r="J340" s="339">
        <v>3174119</v>
      </c>
      <c r="K340" s="632">
        <v>3139939</v>
      </c>
      <c r="L340" s="3504">
        <v>62131479</v>
      </c>
      <c r="M340" s="3608">
        <v>3.0902448053306721</v>
      </c>
      <c r="N340" s="3608">
        <v>132.80000000000001</v>
      </c>
      <c r="O340" s="2935">
        <v>193.7</v>
      </c>
    </row>
    <row r="341" spans="1:15">
      <c r="A341" s="388">
        <f t="shared" si="2"/>
        <v>2021.08</v>
      </c>
      <c r="B341" s="214">
        <v>194907.75</v>
      </c>
      <c r="C341" s="3598">
        <v>1139472</v>
      </c>
      <c r="D341" s="3598">
        <v>234</v>
      </c>
      <c r="E341" s="2023">
        <v>146.78700000000001</v>
      </c>
      <c r="F341" s="456">
        <v>123750.25</v>
      </c>
      <c r="G341" s="3598">
        <v>642229</v>
      </c>
      <c r="H341" s="3598">
        <v>98</v>
      </c>
      <c r="I341" s="2433">
        <v>115.22</v>
      </c>
      <c r="J341" s="339">
        <v>3321615</v>
      </c>
      <c r="K341" s="632">
        <v>3208874</v>
      </c>
      <c r="L341" s="3504">
        <v>62716677</v>
      </c>
      <c r="M341" s="3608">
        <v>3.1570387614203486</v>
      </c>
      <c r="N341" s="3608">
        <v>139.6</v>
      </c>
      <c r="O341" s="2935">
        <v>198.7</v>
      </c>
    </row>
    <row r="342" spans="1:15">
      <c r="A342" s="388">
        <f t="shared" si="2"/>
        <v>2021.09</v>
      </c>
      <c r="B342" s="214">
        <v>191466.25</v>
      </c>
      <c r="C342" s="3598">
        <v>1099763</v>
      </c>
      <c r="D342" s="3598">
        <v>233</v>
      </c>
      <c r="E342" s="2023">
        <v>159.07599999999999</v>
      </c>
      <c r="F342" s="456">
        <v>115979</v>
      </c>
      <c r="G342" s="3598">
        <v>608480</v>
      </c>
      <c r="H342" s="3598">
        <v>92</v>
      </c>
      <c r="I342" s="2433">
        <v>127.51</v>
      </c>
      <c r="J342" s="339">
        <v>3298257</v>
      </c>
      <c r="K342" s="632">
        <v>3273592</v>
      </c>
      <c r="L342" s="3504">
        <v>63208253</v>
      </c>
      <c r="M342" s="3608">
        <v>3.1325148715352489</v>
      </c>
      <c r="N342" s="3608">
        <v>145.9</v>
      </c>
      <c r="O342" s="2935">
        <v>205.5</v>
      </c>
    </row>
    <row r="343" spans="1:15">
      <c r="A343" s="388">
        <f t="shared" si="2"/>
        <v>2021.1</v>
      </c>
      <c r="B343" s="214">
        <v>185652.75</v>
      </c>
      <c r="C343" s="3598">
        <v>1076693</v>
      </c>
      <c r="D343" s="3598">
        <v>231</v>
      </c>
      <c r="E343" s="2023">
        <v>162.11600000000001</v>
      </c>
      <c r="F343" s="456">
        <v>109271.5</v>
      </c>
      <c r="G343" s="3598">
        <v>597511</v>
      </c>
      <c r="H343" s="3598">
        <v>92</v>
      </c>
      <c r="I343" s="2433">
        <v>134.58000000000001</v>
      </c>
      <c r="J343" s="339">
        <v>2956403</v>
      </c>
      <c r="K343" s="632">
        <v>2937532</v>
      </c>
      <c r="L343" s="3504">
        <v>59666940</v>
      </c>
      <c r="M343" s="3608">
        <v>3.1843397522918866</v>
      </c>
      <c r="N343" s="3608">
        <v>150.9</v>
      </c>
      <c r="O343" s="2935">
        <v>208.7</v>
      </c>
    </row>
    <row r="344" spans="1:15">
      <c r="A344" s="388">
        <f t="shared" si="2"/>
        <v>2021.11</v>
      </c>
      <c r="B344" s="214">
        <v>186826.5</v>
      </c>
      <c r="C344" s="3598">
        <v>1103333</v>
      </c>
      <c r="D344" s="3598">
        <v>230</v>
      </c>
      <c r="E344" s="2023">
        <v>188.70599999999999</v>
      </c>
      <c r="F344" s="456">
        <v>120324.5</v>
      </c>
      <c r="G344" s="3598">
        <v>634751</v>
      </c>
      <c r="H344" s="3598">
        <v>92</v>
      </c>
      <c r="I344" s="2433">
        <v>142.62</v>
      </c>
      <c r="J344" s="339">
        <v>3003449</v>
      </c>
      <c r="K344" s="632">
        <v>2986677</v>
      </c>
      <c r="L344" s="3504">
        <v>63715688</v>
      </c>
      <c r="M344" s="3608">
        <v>3.1075397074518176</v>
      </c>
      <c r="N344" s="3608">
        <v>154.30000000000001</v>
      </c>
      <c r="O344" s="2935">
        <v>217.6</v>
      </c>
    </row>
    <row r="345" spans="1:15">
      <c r="A345" s="388">
        <f t="shared" si="2"/>
        <v>2021.12</v>
      </c>
      <c r="B345" s="214">
        <v>197332.5</v>
      </c>
      <c r="C345" s="3598">
        <v>1142377</v>
      </c>
      <c r="D345" s="3598">
        <v>229</v>
      </c>
      <c r="E345" s="2023">
        <v>201.98</v>
      </c>
      <c r="F345" s="456">
        <v>124938.5</v>
      </c>
      <c r="G345" s="3598">
        <v>677315</v>
      </c>
      <c r="H345" s="3598">
        <v>90</v>
      </c>
      <c r="I345" s="2433">
        <v>148.83000000000001</v>
      </c>
      <c r="J345" s="339">
        <v>3246707</v>
      </c>
      <c r="K345" s="632">
        <v>3290611</v>
      </c>
      <c r="L345" s="3504">
        <v>66480445.000000007</v>
      </c>
      <c r="M345" s="3608">
        <v>3.0685920577617329</v>
      </c>
      <c r="N345" s="3608">
        <v>166.3</v>
      </c>
      <c r="O345" s="2935">
        <v>223.6</v>
      </c>
    </row>
    <row r="346" spans="1:15">
      <c r="A346" s="388">
        <f t="shared" si="2"/>
        <v>2022.01</v>
      </c>
      <c r="B346" s="214">
        <v>162177.75</v>
      </c>
      <c r="C346" s="3598">
        <v>976836</v>
      </c>
      <c r="D346" s="3598">
        <v>229</v>
      </c>
      <c r="E346" s="2023">
        <v>205.89599999999999</v>
      </c>
      <c r="F346" s="456">
        <v>101698</v>
      </c>
      <c r="G346" s="3598">
        <v>535309</v>
      </c>
      <c r="H346" s="3598">
        <v>91</v>
      </c>
      <c r="I346" s="2433">
        <v>153.66999999999999</v>
      </c>
      <c r="J346" s="339">
        <v>2782631</v>
      </c>
      <c r="K346" s="632">
        <v>2718043</v>
      </c>
      <c r="L346" s="3504">
        <v>59651360</v>
      </c>
      <c r="M346" s="3608">
        <v>3.0343162729878794</v>
      </c>
      <c r="N346" s="3608">
        <v>155.6</v>
      </c>
      <c r="O346" s="2935">
        <v>229.4</v>
      </c>
    </row>
    <row r="347" spans="1:15">
      <c r="A347" s="388">
        <f t="shared" si="2"/>
        <v>2022.02</v>
      </c>
      <c r="B347" s="214">
        <v>177643.25</v>
      </c>
      <c r="C347" s="3598">
        <v>1025626</v>
      </c>
      <c r="D347" s="3598">
        <v>230</v>
      </c>
      <c r="E347" s="2023">
        <v>225.01900000000001</v>
      </c>
      <c r="F347" s="456">
        <v>107161.75</v>
      </c>
      <c r="G347" s="3598">
        <v>552137</v>
      </c>
      <c r="H347" s="3598">
        <v>92</v>
      </c>
      <c r="I347" s="2433">
        <v>152.4</v>
      </c>
      <c r="J347" s="339">
        <v>2747772</v>
      </c>
      <c r="K347" s="632">
        <v>2643674</v>
      </c>
      <c r="L347" s="3504">
        <v>57255216</v>
      </c>
      <c r="M347" s="3608">
        <v>3.0739673390970221</v>
      </c>
      <c r="N347" s="3608">
        <v>172.6</v>
      </c>
      <c r="O347" s="2935">
        <v>240.4</v>
      </c>
    </row>
    <row r="348" spans="1:15">
      <c r="A348" s="388">
        <f t="shared" si="2"/>
        <v>2022.03</v>
      </c>
      <c r="B348" s="214">
        <v>197676.5</v>
      </c>
      <c r="C348" s="3598">
        <v>1149697</v>
      </c>
      <c r="D348" s="3598">
        <v>229</v>
      </c>
      <c r="E348" s="2023">
        <v>235.24700000000001</v>
      </c>
      <c r="F348" s="456">
        <v>125836</v>
      </c>
      <c r="G348" s="3598">
        <v>669665</v>
      </c>
      <c r="H348" s="3598">
        <v>94</v>
      </c>
      <c r="I348" s="2433">
        <v>153.24</v>
      </c>
      <c r="J348" s="339">
        <v>3304166</v>
      </c>
      <c r="K348" s="632">
        <v>3241450</v>
      </c>
      <c r="L348" s="3504">
        <v>64819939</v>
      </c>
      <c r="M348" s="3608">
        <v>3.0854674483184201</v>
      </c>
      <c r="N348" s="3608">
        <v>197.1</v>
      </c>
      <c r="O348" s="2935">
        <v>276.60000000000002</v>
      </c>
    </row>
    <row r="349" spans="1:15">
      <c r="A349" s="388">
        <f t="shared" si="2"/>
        <v>2022.04</v>
      </c>
      <c r="B349" s="214">
        <v>179240.75</v>
      </c>
      <c r="C349" s="3598">
        <v>1055459</v>
      </c>
      <c r="D349" s="3598">
        <v>231</v>
      </c>
      <c r="E349" s="2023">
        <v>239.87899999999999</v>
      </c>
      <c r="F349" s="456">
        <v>117388</v>
      </c>
      <c r="G349" s="3598">
        <v>628399</v>
      </c>
      <c r="H349" s="3598">
        <v>96</v>
      </c>
      <c r="I349" s="2433">
        <v>159.26</v>
      </c>
      <c r="J349" s="339">
        <v>2981261</v>
      </c>
      <c r="K349" s="632">
        <v>2957079</v>
      </c>
      <c r="L349" s="3504">
        <v>59406331</v>
      </c>
      <c r="M349" s="3608">
        <v>3.0804969195030805</v>
      </c>
      <c r="N349" s="3608">
        <v>221.9</v>
      </c>
      <c r="O349" s="2935">
        <v>310</v>
      </c>
    </row>
    <row r="350" spans="1:15">
      <c r="A350" s="388">
        <f t="shared" si="2"/>
        <v>2022.05</v>
      </c>
      <c r="B350" s="214">
        <v>203278.75</v>
      </c>
      <c r="C350" s="3598">
        <v>1164847</v>
      </c>
      <c r="D350" s="3598">
        <v>232</v>
      </c>
      <c r="E350" s="2023">
        <v>233.65199999999999</v>
      </c>
      <c r="F350" s="456">
        <v>125699</v>
      </c>
      <c r="G350" s="3598">
        <v>683461</v>
      </c>
      <c r="H350" s="3598">
        <v>96</v>
      </c>
      <c r="I350" s="2433">
        <v>160.75</v>
      </c>
      <c r="J350" s="339">
        <v>3122492</v>
      </c>
      <c r="K350" s="632">
        <v>3085412</v>
      </c>
      <c r="L350" s="3504">
        <v>62290792</v>
      </c>
      <c r="M350" s="3608">
        <v>3.0341461848421121</v>
      </c>
      <c r="N350" s="3608">
        <v>239.7</v>
      </c>
      <c r="O350" s="2935">
        <v>335.8</v>
      </c>
    </row>
    <row r="351" spans="1:15">
      <c r="A351" s="388">
        <f t="shared" si="2"/>
        <v>2022.06</v>
      </c>
      <c r="B351" s="214">
        <v>198580.25</v>
      </c>
      <c r="C351" s="3598">
        <v>1142952</v>
      </c>
      <c r="D351" s="3598">
        <v>234</v>
      </c>
      <c r="E351" s="2023">
        <v>231.203</v>
      </c>
      <c r="F351" s="456">
        <v>122536.25</v>
      </c>
      <c r="G351" s="3598">
        <v>668014</v>
      </c>
      <c r="H351" s="3598">
        <v>97</v>
      </c>
      <c r="I351" s="2433">
        <v>163.51</v>
      </c>
      <c r="J351" s="339">
        <v>3131281</v>
      </c>
      <c r="K351" s="632">
        <v>3042933</v>
      </c>
      <c r="L351" s="3504">
        <v>63797563</v>
      </c>
      <c r="M351" s="3608">
        <v>3.0565221480297189</v>
      </c>
      <c r="N351" s="3608">
        <v>250</v>
      </c>
      <c r="O351" s="2935">
        <v>356.7</v>
      </c>
    </row>
    <row r="352" spans="1:15">
      <c r="A352" s="388">
        <f t="shared" si="2"/>
        <v>2022.07</v>
      </c>
      <c r="B352" s="214">
        <v>204634.5</v>
      </c>
      <c r="C352" s="3598">
        <v>1109364</v>
      </c>
      <c r="D352" s="3598">
        <v>236</v>
      </c>
      <c r="E352" s="2023">
        <v>237.46799999999999</v>
      </c>
      <c r="F352" s="456">
        <v>123121.25</v>
      </c>
      <c r="G352" s="3598">
        <v>654924</v>
      </c>
      <c r="H352" s="3598">
        <v>96</v>
      </c>
      <c r="I352" s="2433">
        <v>181.89</v>
      </c>
      <c r="J352" s="339">
        <v>3070813</v>
      </c>
      <c r="K352" s="632">
        <v>3022961</v>
      </c>
      <c r="L352" s="3504">
        <v>63315705</v>
      </c>
      <c r="M352" s="3608">
        <v>3.0955840545833597</v>
      </c>
      <c r="N352" s="3608">
        <v>244</v>
      </c>
      <c r="O352" s="2935">
        <v>367.6</v>
      </c>
    </row>
    <row r="353" spans="1:15">
      <c r="A353" s="388">
        <f t="shared" si="2"/>
        <v>2022.08</v>
      </c>
      <c r="B353" s="214">
        <v>212369.5</v>
      </c>
      <c r="C353" s="3598">
        <v>1233093</v>
      </c>
      <c r="D353" s="3598">
        <v>236</v>
      </c>
      <c r="E353" s="2023">
        <v>272.447</v>
      </c>
      <c r="F353" s="456">
        <v>129095.75</v>
      </c>
      <c r="G353" s="3598">
        <v>698029</v>
      </c>
      <c r="H353" s="3598">
        <v>95</v>
      </c>
      <c r="I353" s="2433">
        <v>210.1</v>
      </c>
      <c r="J353" s="339">
        <v>3128568</v>
      </c>
      <c r="K353" s="632">
        <v>3075125</v>
      </c>
      <c r="L353" s="3504">
        <v>65718560</v>
      </c>
      <c r="M353" s="3608">
        <v>3.1345577382492125</v>
      </c>
      <c r="N353" s="3608">
        <v>261.7</v>
      </c>
      <c r="O353" s="2935">
        <v>380.4</v>
      </c>
    </row>
    <row r="354" spans="1:15">
      <c r="A354" s="388">
        <f t="shared" si="2"/>
        <v>2022.09</v>
      </c>
      <c r="B354" s="214">
        <v>203097.25</v>
      </c>
      <c r="C354" s="3598">
        <v>1185273</v>
      </c>
      <c r="D354" s="3598">
        <v>236</v>
      </c>
      <c r="E354" s="2023">
        <v>270.33499999999998</v>
      </c>
      <c r="F354" s="456">
        <v>119443</v>
      </c>
      <c r="G354" s="3598">
        <v>639611</v>
      </c>
      <c r="H354" s="3598">
        <v>95</v>
      </c>
      <c r="I354" s="2433">
        <v>230.94</v>
      </c>
      <c r="J354" s="339">
        <v>3231079</v>
      </c>
      <c r="K354" s="632">
        <v>3185525</v>
      </c>
      <c r="L354" s="3504">
        <v>64477232</v>
      </c>
      <c r="M354" s="3608">
        <v>3.1329001039130233</v>
      </c>
      <c r="N354" s="3608">
        <v>271.2</v>
      </c>
      <c r="O354" s="2935">
        <v>404.9</v>
      </c>
    </row>
    <row r="355" spans="1:15">
      <c r="A355" s="388">
        <f t="shared" si="2"/>
        <v>2022.1</v>
      </c>
      <c r="B355" s="214">
        <v>172345.75</v>
      </c>
      <c r="C355" s="3598">
        <v>1112073</v>
      </c>
      <c r="D355" s="3598">
        <v>232</v>
      </c>
      <c r="E355" s="2023">
        <v>251.56100000000001</v>
      </c>
      <c r="F355" s="456">
        <v>116257.25</v>
      </c>
      <c r="G355" s="3598">
        <v>640498</v>
      </c>
      <c r="H355" s="3598">
        <v>95</v>
      </c>
      <c r="I355" s="2433">
        <v>243.49</v>
      </c>
      <c r="J355" s="339">
        <v>2999614</v>
      </c>
      <c r="K355" s="632">
        <v>2943265</v>
      </c>
      <c r="L355" s="3504">
        <v>60809429</v>
      </c>
      <c r="M355" s="3608">
        <v>3.1409824203654066</v>
      </c>
      <c r="N355" s="3608">
        <v>286.89999999999998</v>
      </c>
      <c r="O355" s="2935">
        <v>424.7</v>
      </c>
    </row>
    <row r="356" spans="1:15">
      <c r="A356" s="388">
        <f t="shared" si="2"/>
        <v>2022.11</v>
      </c>
      <c r="B356" s="214">
        <v>191618</v>
      </c>
      <c r="C356" s="3598">
        <v>1181289</v>
      </c>
      <c r="D356" s="3598">
        <v>233</v>
      </c>
      <c r="E356" s="2023">
        <v>255.453</v>
      </c>
      <c r="F356" s="456">
        <v>122844.75</v>
      </c>
      <c r="G356" s="3598">
        <v>658139</v>
      </c>
      <c r="H356" s="3598">
        <v>94</v>
      </c>
      <c r="I356" s="2433">
        <v>250.24</v>
      </c>
      <c r="J356" s="339">
        <v>3084640</v>
      </c>
      <c r="K356" s="632">
        <v>3015959</v>
      </c>
      <c r="L356" s="3504">
        <v>65088931</v>
      </c>
      <c r="M356" s="3608">
        <v>3.1034429780761728</v>
      </c>
      <c r="N356" s="3608">
        <v>269.5</v>
      </c>
      <c r="O356" s="2935">
        <v>426.8</v>
      </c>
    </row>
    <row r="357" spans="1:15">
      <c r="A357" s="388">
        <f t="shared" si="2"/>
        <v>2022.12</v>
      </c>
      <c r="B357" s="214">
        <v>200920.25</v>
      </c>
      <c r="C357" s="3598">
        <v>1243724</v>
      </c>
      <c r="D357" s="3598">
        <v>228</v>
      </c>
      <c r="E357" s="2023">
        <v>265.82799999999997</v>
      </c>
      <c r="F357" s="456">
        <v>120586.25</v>
      </c>
      <c r="G357" s="3598">
        <v>684350</v>
      </c>
      <c r="H357" s="3598">
        <v>91</v>
      </c>
      <c r="I357" s="2433">
        <v>260.67</v>
      </c>
      <c r="J357" s="339">
        <v>3142913</v>
      </c>
      <c r="K357" s="632">
        <v>3094368</v>
      </c>
      <c r="L357" s="3504">
        <v>65060904</v>
      </c>
      <c r="M357" s="3608">
        <v>3.0279276371405297</v>
      </c>
      <c r="N357" s="3608">
        <v>291.60000000000002</v>
      </c>
      <c r="O357" s="2935">
        <v>437.3</v>
      </c>
    </row>
    <row r="358" spans="1:15">
      <c r="A358" s="388">
        <f t="shared" si="2"/>
        <v>2023.01</v>
      </c>
      <c r="B358" s="214">
        <v>202835.25</v>
      </c>
      <c r="C358" s="3598">
        <v>1196130</v>
      </c>
      <c r="D358" s="3598">
        <v>228</v>
      </c>
      <c r="E358" s="2023">
        <v>298.56099999999998</v>
      </c>
      <c r="F358" s="456">
        <v>122284.25</v>
      </c>
      <c r="G358" s="3598">
        <v>641353</v>
      </c>
      <c r="H358" s="3598">
        <v>92</v>
      </c>
      <c r="I358" s="2433">
        <v>266.77999999999997</v>
      </c>
      <c r="J358" s="339">
        <v>3071109</v>
      </c>
      <c r="K358" s="632">
        <v>3015581</v>
      </c>
      <c r="L358" s="3504">
        <v>65677539.999999993</v>
      </c>
      <c r="M358" s="3608">
        <v>2.9994823228478333</v>
      </c>
      <c r="N358" s="3608">
        <v>272.89999999999998</v>
      </c>
      <c r="O358" s="2935">
        <v>452.9</v>
      </c>
    </row>
    <row r="359" spans="1:15">
      <c r="A359" s="388">
        <f t="shared" si="2"/>
        <v>2023.02</v>
      </c>
      <c r="B359" s="214">
        <v>175394.75</v>
      </c>
      <c r="C359" s="3611">
        <v>1052684</v>
      </c>
      <c r="D359" s="3598">
        <v>227</v>
      </c>
      <c r="E359" s="2023">
        <v>380.452</v>
      </c>
      <c r="F359" s="456">
        <v>109108.25</v>
      </c>
      <c r="G359" s="3598">
        <v>583280</v>
      </c>
      <c r="H359" s="3598">
        <v>92</v>
      </c>
      <c r="I359" s="2433">
        <v>280.04000000000002</v>
      </c>
      <c r="J359" s="339">
        <v>2596990</v>
      </c>
      <c r="K359" s="632">
        <v>2534425</v>
      </c>
      <c r="L359" s="3504">
        <v>55754416</v>
      </c>
      <c r="M359" s="3608">
        <v>2.9773648527459913</v>
      </c>
      <c r="N359" s="3608">
        <v>313.89999999999998</v>
      </c>
      <c r="O359" s="2935">
        <v>483.6</v>
      </c>
    </row>
    <row r="360" spans="1:15">
      <c r="A360" s="388">
        <f t="shared" si="2"/>
        <v>2023.03</v>
      </c>
      <c r="B360" s="214">
        <v>216860.25</v>
      </c>
      <c r="C360" s="3598">
        <v>1296184</v>
      </c>
      <c r="D360" s="3598">
        <v>227</v>
      </c>
      <c r="E360" s="2023">
        <v>352.733</v>
      </c>
      <c r="F360" s="456">
        <v>134573</v>
      </c>
      <c r="G360" s="3598">
        <v>700783</v>
      </c>
      <c r="H360" s="3598">
        <v>93</v>
      </c>
      <c r="I360" s="2433">
        <v>298.44</v>
      </c>
      <c r="J360" s="339">
        <v>3188664</v>
      </c>
      <c r="K360" s="632">
        <v>3103339</v>
      </c>
      <c r="L360" s="3504">
        <v>63583192</v>
      </c>
      <c r="M360" s="3608">
        <v>2.9567651730808548</v>
      </c>
      <c r="N360" s="3608">
        <v>420.8</v>
      </c>
      <c r="O360" s="2935">
        <v>612.5</v>
      </c>
    </row>
    <row r="361" spans="1:15">
      <c r="A361" s="388">
        <f t="shared" si="2"/>
        <v>2023.04</v>
      </c>
      <c r="B361" s="214">
        <v>193780.5</v>
      </c>
      <c r="C361" s="3598">
        <v>1178756</v>
      </c>
      <c r="D361" s="3598">
        <v>224</v>
      </c>
      <c r="E361" s="2023">
        <v>335.005</v>
      </c>
      <c r="F361" s="456">
        <v>118314.5</v>
      </c>
      <c r="G361" s="3598">
        <v>640782</v>
      </c>
      <c r="H361" s="3598">
        <v>94</v>
      </c>
      <c r="I361" s="2433">
        <v>311.89</v>
      </c>
      <c r="J361" s="339">
        <v>2654592</v>
      </c>
      <c r="K361" s="632">
        <v>2609380</v>
      </c>
      <c r="L361" s="3504">
        <v>58616185</v>
      </c>
      <c r="M361" s="3608">
        <v>3.1390746553841953</v>
      </c>
      <c r="N361" s="3608">
        <v>470.2</v>
      </c>
      <c r="O361" s="2935">
        <v>774.3</v>
      </c>
    </row>
    <row r="362" spans="1:15">
      <c r="A362" s="388">
        <f t="shared" si="2"/>
        <v>2023.05</v>
      </c>
      <c r="B362" s="214">
        <v>211971</v>
      </c>
      <c r="C362" s="3598">
        <v>1287488</v>
      </c>
      <c r="D362" s="3598">
        <v>225</v>
      </c>
      <c r="E362" s="2023">
        <v>335.50900000000001</v>
      </c>
      <c r="F362" s="456">
        <v>127671</v>
      </c>
      <c r="G362" s="3598">
        <v>702205</v>
      </c>
      <c r="H362" s="3598">
        <v>96</v>
      </c>
      <c r="I362" s="2433">
        <v>328.81</v>
      </c>
      <c r="J362" s="339">
        <v>3111371</v>
      </c>
      <c r="K362" s="632">
        <v>3045945</v>
      </c>
      <c r="L362" s="3504">
        <v>62511396</v>
      </c>
      <c r="M362" s="3608">
        <v>3.1354481611236422</v>
      </c>
      <c r="N362" s="3608">
        <v>391.4</v>
      </c>
      <c r="O362" s="2935">
        <v>726.4</v>
      </c>
    </row>
    <row r="363" spans="1:15">
      <c r="A363" s="388">
        <f t="shared" si="2"/>
        <v>2023.06</v>
      </c>
      <c r="B363" s="214">
        <v>219316.25</v>
      </c>
      <c r="C363" s="3598">
        <v>1318788</v>
      </c>
      <c r="D363" s="3598">
        <v>226</v>
      </c>
      <c r="E363" s="2023">
        <v>342.09800000000001</v>
      </c>
      <c r="F363" s="456">
        <v>123072</v>
      </c>
      <c r="G363" s="3598">
        <v>672987</v>
      </c>
      <c r="H363" s="3598">
        <v>96</v>
      </c>
      <c r="I363" s="2433">
        <v>333.73</v>
      </c>
      <c r="J363" s="339">
        <v>3114775</v>
      </c>
      <c r="K363" s="632">
        <v>3056883</v>
      </c>
      <c r="L363" s="3504">
        <v>62174592</v>
      </c>
      <c r="M363" s="3608">
        <v>3.0880579010856453</v>
      </c>
      <c r="N363" s="3608">
        <v>374.4</v>
      </c>
      <c r="O363" s="2935">
        <v>687.8</v>
      </c>
    </row>
    <row r="364" spans="1:15">
      <c r="A364" s="388">
        <f t="shared" si="2"/>
        <v>2023.07</v>
      </c>
      <c r="B364" s="214">
        <v>220745.25</v>
      </c>
      <c r="C364" s="3598">
        <v>1291891</v>
      </c>
      <c r="D364" s="3598">
        <v>225</v>
      </c>
      <c r="E364" s="2023">
        <v>399.62799999999999</v>
      </c>
      <c r="F364" s="456">
        <v>126290.5</v>
      </c>
      <c r="G364" s="3598">
        <v>670547</v>
      </c>
      <c r="H364" s="3598">
        <v>97</v>
      </c>
      <c r="I364" s="2433">
        <v>354.51</v>
      </c>
      <c r="J364" s="339">
        <v>2953909</v>
      </c>
      <c r="K364" s="632">
        <v>2957399</v>
      </c>
      <c r="L364" s="3504">
        <v>60796673</v>
      </c>
      <c r="M364" s="3608">
        <v>3.0758096616609372</v>
      </c>
      <c r="N364" s="3608">
        <v>437.4</v>
      </c>
      <c r="O364" s="2935">
        <v>696.9</v>
      </c>
    </row>
    <row r="365" spans="1:15">
      <c r="A365" s="388">
        <f t="shared" si="2"/>
        <v>2023.08</v>
      </c>
      <c r="B365" s="214">
        <v>193476.75</v>
      </c>
      <c r="C365" s="3598">
        <v>1239677</v>
      </c>
      <c r="D365" s="3598">
        <v>226</v>
      </c>
      <c r="E365" s="2023">
        <v>613.13900000000001</v>
      </c>
      <c r="F365" s="456">
        <v>132604.5</v>
      </c>
      <c r="G365" s="3598">
        <v>713227</v>
      </c>
      <c r="H365" s="3598">
        <v>96</v>
      </c>
      <c r="I365" s="2433">
        <v>420.7</v>
      </c>
      <c r="J365" s="339">
        <v>3338900</v>
      </c>
      <c r="K365" s="632">
        <v>3288722</v>
      </c>
      <c r="L365" s="3504">
        <v>65703005.000000007</v>
      </c>
      <c r="M365" s="3608">
        <v>3.1657610763587658</v>
      </c>
      <c r="N365" s="3608">
        <v>646.9</v>
      </c>
      <c r="O365" s="2935">
        <v>840.4</v>
      </c>
    </row>
    <row r="366" spans="1:15">
      <c r="A366" s="388">
        <f t="shared" si="2"/>
        <v>2023.09</v>
      </c>
      <c r="B366" s="214">
        <v>188336.75</v>
      </c>
      <c r="C366" s="3598">
        <v>1162786</v>
      </c>
      <c r="D366" s="3598">
        <v>229</v>
      </c>
      <c r="E366" s="2023">
        <v>637.07100000000003</v>
      </c>
      <c r="F366" s="456">
        <v>122808.75</v>
      </c>
      <c r="G366" s="3598">
        <v>677525</v>
      </c>
      <c r="H366" s="3598">
        <v>95</v>
      </c>
      <c r="I366" s="2433">
        <v>499.43</v>
      </c>
      <c r="J366" s="339">
        <v>3253133</v>
      </c>
      <c r="K366" s="632">
        <v>3161056</v>
      </c>
      <c r="L366" s="3504">
        <v>59521383</v>
      </c>
      <c r="M366" s="3608">
        <v>3.1585490835167418</v>
      </c>
      <c r="N366" s="3608">
        <v>753.1</v>
      </c>
      <c r="O366" s="2935">
        <v>993.4</v>
      </c>
    </row>
    <row r="367" spans="1:15">
      <c r="A367" s="388">
        <f t="shared" si="2"/>
        <v>2023.1</v>
      </c>
      <c r="B367" s="214">
        <v>173147.25</v>
      </c>
      <c r="C367" s="3598">
        <v>1166858</v>
      </c>
      <c r="D367" s="3598">
        <v>223</v>
      </c>
      <c r="E367" s="2023">
        <v>779.70899999999995</v>
      </c>
      <c r="F367" s="456">
        <v>124827.5</v>
      </c>
      <c r="G367" s="3598">
        <v>699808</v>
      </c>
      <c r="H367" s="3598">
        <v>95</v>
      </c>
      <c r="I367" s="2433">
        <v>562.88</v>
      </c>
      <c r="J367" s="339">
        <v>3229663</v>
      </c>
      <c r="K367" s="632">
        <v>3226554</v>
      </c>
      <c r="L367" s="3504">
        <v>62343858</v>
      </c>
      <c r="M367" s="3608">
        <v>3.1919671500064162</v>
      </c>
      <c r="N367" s="3608">
        <v>816.9</v>
      </c>
      <c r="O367" s="2935">
        <v>1100.4000000000001</v>
      </c>
    </row>
    <row r="368" spans="1:15">
      <c r="A368" s="388">
        <f t="shared" si="2"/>
        <v>2023.11</v>
      </c>
      <c r="B368" s="214">
        <v>199057.25</v>
      </c>
      <c r="C368" s="3598">
        <v>1241952</v>
      </c>
      <c r="D368" s="3598">
        <v>229</v>
      </c>
      <c r="E368" s="2023">
        <v>870.73299999999995</v>
      </c>
      <c r="F368" s="456">
        <v>127896.75</v>
      </c>
      <c r="G368" s="3598">
        <v>691908</v>
      </c>
      <c r="H368" s="3598">
        <v>93</v>
      </c>
      <c r="I368" s="2433">
        <v>676.61</v>
      </c>
      <c r="J368" s="339">
        <v>3400799</v>
      </c>
      <c r="K368" s="632">
        <v>3365573</v>
      </c>
      <c r="L368" s="3504">
        <v>62819678</v>
      </c>
      <c r="M368" s="3608">
        <v>3.0881884750079593</v>
      </c>
      <c r="N368" s="3608">
        <v>917.9</v>
      </c>
      <c r="O368" s="2935">
        <v>1275.0999999999999</v>
      </c>
    </row>
    <row r="369" spans="1:15">
      <c r="A369" s="388">
        <f t="shared" si="2"/>
        <v>2023.12</v>
      </c>
      <c r="B369" s="214">
        <v>176734.25</v>
      </c>
      <c r="C369" s="3598">
        <v>1083808</v>
      </c>
      <c r="D369" s="3598">
        <v>227</v>
      </c>
      <c r="E369" s="2023">
        <v>1243.837</v>
      </c>
      <c r="F369" s="456">
        <v>121781.25</v>
      </c>
      <c r="G369" s="3598">
        <v>692424</v>
      </c>
      <c r="H369" s="3598">
        <v>90</v>
      </c>
      <c r="I369" s="2433">
        <v>932.95</v>
      </c>
      <c r="J369" s="339">
        <v>3112393</v>
      </c>
      <c r="K369" s="632">
        <v>3111376</v>
      </c>
      <c r="L369" s="3504">
        <v>60959064</v>
      </c>
      <c r="M369" s="3608">
        <v>3.0840400925212026</v>
      </c>
      <c r="N369" s="3608">
        <v>1125.7</v>
      </c>
      <c r="O369" s="2935">
        <v>1652.7</v>
      </c>
    </row>
    <row r="370" spans="1:15">
      <c r="A370" s="388">
        <f t="shared" si="2"/>
        <v>2024.01</v>
      </c>
      <c r="B370" s="214">
        <v>206790.75</v>
      </c>
      <c r="C370" s="3598">
        <v>1164941</v>
      </c>
      <c r="D370" s="3598">
        <v>230</v>
      </c>
      <c r="E370" s="2023">
        <v>1307.19</v>
      </c>
      <c r="F370" s="456">
        <v>122886.25</v>
      </c>
      <c r="G370" s="3598">
        <v>636651</v>
      </c>
      <c r="H370" s="3598">
        <v>92.608000000000004</v>
      </c>
      <c r="I370" s="2433">
        <v>1121.45</v>
      </c>
      <c r="J370" s="339">
        <v>3553610</v>
      </c>
      <c r="K370" s="632">
        <v>3452292</v>
      </c>
      <c r="L370" s="3504">
        <v>65677539.999999993</v>
      </c>
      <c r="M370" s="3608">
        <v>3.0951379289620768</v>
      </c>
      <c r="N370" s="3608">
        <v>1118.9000000000001</v>
      </c>
      <c r="O370" s="2935">
        <v>1882.7</v>
      </c>
    </row>
    <row r="371" spans="1:15">
      <c r="A371" s="388">
        <f t="shared" si="2"/>
        <v>2024.02</v>
      </c>
      <c r="B371" s="214">
        <v>179618.5</v>
      </c>
      <c r="C371" s="3598">
        <v>1054502</v>
      </c>
      <c r="D371" s="3598">
        <v>228</v>
      </c>
      <c r="E371" s="2023">
        <v>1440.579</v>
      </c>
      <c r="F371" s="456">
        <v>107646.75</v>
      </c>
      <c r="G371" s="3598">
        <v>586504</v>
      </c>
      <c r="H371" s="3598">
        <v>93.417000000000002</v>
      </c>
      <c r="I371" s="2433">
        <v>1029.26</v>
      </c>
      <c r="J371" s="339">
        <v>3039996</v>
      </c>
      <c r="K371" s="632">
        <v>2980943</v>
      </c>
      <c r="L371" s="3504">
        <v>55754416</v>
      </c>
      <c r="M371" s="3608">
        <v>3.0264250138350857</v>
      </c>
      <c r="N371" s="3608">
        <v>1430.1</v>
      </c>
      <c r="O371" s="2935">
        <v>2094.9</v>
      </c>
    </row>
    <row r="372" spans="1:15">
      <c r="A372" s="388">
        <f t="shared" si="2"/>
        <v>2024.03</v>
      </c>
      <c r="B372" s="214">
        <v>182594.5</v>
      </c>
      <c r="C372" s="3598">
        <v>1061273</v>
      </c>
      <c r="D372" s="3598">
        <v>227</v>
      </c>
      <c r="E372" s="2023">
        <v>1433.337</v>
      </c>
      <c r="F372" s="456">
        <v>116433.25</v>
      </c>
      <c r="G372" s="3598">
        <v>646764</v>
      </c>
      <c r="H372" s="3598">
        <v>94.174000000000007</v>
      </c>
      <c r="I372" s="2433">
        <v>985.34</v>
      </c>
      <c r="J372" s="339">
        <v>3084948</v>
      </c>
      <c r="K372" s="632">
        <v>3020899</v>
      </c>
      <c r="L372" s="3504">
        <v>63583192</v>
      </c>
      <c r="M372" s="3608">
        <v>2.922999832971438</v>
      </c>
      <c r="N372" s="3608">
        <v>1604.2</v>
      </c>
      <c r="O372" s="2935">
        <v>2370.3000000000002</v>
      </c>
    </row>
    <row r="373" spans="1:15">
      <c r="A373" s="388">
        <f t="shared" si="2"/>
        <v>2024.04</v>
      </c>
      <c r="B373" s="214">
        <v>169674.75</v>
      </c>
      <c r="C373" s="3598">
        <v>1076497</v>
      </c>
      <c r="D373" s="3598">
        <v>226</v>
      </c>
      <c r="E373" s="2023">
        <v>1413.1690000000001</v>
      </c>
      <c r="F373" s="456">
        <v>124338.75</v>
      </c>
      <c r="G373" s="3598">
        <v>707458</v>
      </c>
      <c r="H373" s="3598">
        <v>96.754999999999995</v>
      </c>
      <c r="I373" s="2433">
        <v>962.43</v>
      </c>
      <c r="J373" s="339">
        <v>3136347</v>
      </c>
      <c r="K373" s="632">
        <v>3051065</v>
      </c>
      <c r="L373" s="3504">
        <v>58616185</v>
      </c>
      <c r="M373" s="3608">
        <v>3.157736454313067</v>
      </c>
      <c r="N373" s="3608">
        <v>1767.4</v>
      </c>
      <c r="O373" s="2935">
        <v>2565</v>
      </c>
    </row>
    <row r="374" spans="1:15">
      <c r="A374" s="388">
        <f t="shared" si="2"/>
        <v>2024.05</v>
      </c>
      <c r="B374" s="214">
        <v>195357</v>
      </c>
      <c r="C374" s="3598">
        <v>1176846</v>
      </c>
      <c r="D374" s="3598">
        <v>227</v>
      </c>
      <c r="E374" s="2023">
        <v>1332.77</v>
      </c>
      <c r="F374" s="456">
        <v>129882</v>
      </c>
      <c r="G374" s="3598">
        <v>744243</v>
      </c>
      <c r="H374" s="3598">
        <v>98.471999999999994</v>
      </c>
      <c r="I374" s="2433">
        <v>927.35</v>
      </c>
      <c r="J374" s="339">
        <v>3316488</v>
      </c>
      <c r="K374" s="632">
        <v>3222813</v>
      </c>
      <c r="L374" s="3504">
        <v>62511396</v>
      </c>
      <c r="M374" s="3608">
        <v>3.1453605931251403</v>
      </c>
      <c r="N374" s="3608">
        <v>1698.8</v>
      </c>
      <c r="O374" s="2935">
        <v>2598.1</v>
      </c>
    </row>
    <row r="375" spans="1:15">
      <c r="A375" s="388">
        <f t="shared" si="2"/>
        <v>2024.06</v>
      </c>
      <c r="B375" s="214">
        <v>182227.25</v>
      </c>
      <c r="C375" s="3598">
        <v>1030783</v>
      </c>
      <c r="D375" s="3598">
        <v>226</v>
      </c>
      <c r="E375" s="2023">
        <v>1412.047</v>
      </c>
      <c r="F375" s="456">
        <v>112986</v>
      </c>
      <c r="G375" s="3598">
        <v>664343</v>
      </c>
      <c r="H375" s="3598">
        <v>98</v>
      </c>
      <c r="I375" s="2433">
        <v>924.03</v>
      </c>
      <c r="J375" s="339">
        <v>2596826</v>
      </c>
      <c r="K375" s="632">
        <v>2509334</v>
      </c>
      <c r="L375" s="3504">
        <v>62174592</v>
      </c>
      <c r="M375" s="3608">
        <v>3.1457203134418323</v>
      </c>
      <c r="N375" s="3608">
        <v>1680.9</v>
      </c>
      <c r="O375" s="2935">
        <v>2602.3000000000002</v>
      </c>
    </row>
    <row r="376" spans="1:15">
      <c r="A376" s="388">
        <f t="shared" si="2"/>
        <v>2024.07</v>
      </c>
      <c r="B376" s="214">
        <v>218437</v>
      </c>
      <c r="C376" s="3598">
        <v>1262357</v>
      </c>
      <c r="D376" s="3598">
        <v>230</v>
      </c>
      <c r="E376" s="2023">
        <v>1583.874</v>
      </c>
      <c r="F376" s="456">
        <v>140511.75</v>
      </c>
      <c r="G376" s="3598">
        <v>794595</v>
      </c>
      <c r="H376" s="3598">
        <v>97</v>
      </c>
      <c r="I376" s="2433">
        <v>1021.44</v>
      </c>
      <c r="J376" s="339">
        <v>3473784</v>
      </c>
      <c r="K376" s="632">
        <v>3407101</v>
      </c>
      <c r="L376" s="3504">
        <v>60796673</v>
      </c>
      <c r="M376" s="3608">
        <v>3.1814157299998498</v>
      </c>
      <c r="N376" s="3608">
        <v>1709.2</v>
      </c>
      <c r="O376" s="2935">
        <v>2659.1</v>
      </c>
    </row>
    <row r="377" spans="1:15">
      <c r="A377" s="388">
        <f t="shared" si="2"/>
        <v>2024.08</v>
      </c>
      <c r="B377" s="214">
        <v>206524.75</v>
      </c>
      <c r="C377" s="3598">
        <v>1213514</v>
      </c>
      <c r="D377" s="3598">
        <v>231</v>
      </c>
      <c r="E377" s="2023">
        <v>1744.4010000000001</v>
      </c>
      <c r="F377" s="456">
        <v>125965.25</v>
      </c>
      <c r="G377" s="3598">
        <v>707102</v>
      </c>
      <c r="H377" s="3598">
        <v>95</v>
      </c>
      <c r="I377" s="2433">
        <v>1230.69</v>
      </c>
      <c r="J377" s="339">
        <v>3219548</v>
      </c>
      <c r="K377" s="632">
        <v>3185770</v>
      </c>
      <c r="L377" s="3504">
        <v>65703005.000000007</v>
      </c>
      <c r="M377" s="3608">
        <v>3.1458968967861263</v>
      </c>
      <c r="N377" s="3608">
        <v>2005.3</v>
      </c>
      <c r="O377" s="2935">
        <v>2853.7</v>
      </c>
    </row>
    <row r="378" spans="1:15">
      <c r="A378" s="388">
        <f t="shared" si="2"/>
        <v>2024.09</v>
      </c>
      <c r="B378" s="214">
        <v>198126.75</v>
      </c>
      <c r="C378" s="3598">
        <v>1209279</v>
      </c>
      <c r="D378" s="3598">
        <v>231</v>
      </c>
      <c r="E378" s="2023">
        <v>1740.934</v>
      </c>
      <c r="F378" s="456">
        <v>117763.25</v>
      </c>
      <c r="G378" s="3598">
        <v>677126</v>
      </c>
      <c r="H378" s="3598">
        <v>94</v>
      </c>
      <c r="I378" s="2433">
        <v>1350.35</v>
      </c>
      <c r="J378" s="339">
        <v>3095427</v>
      </c>
      <c r="K378" s="632">
        <v>3050364</v>
      </c>
      <c r="L378" s="3504">
        <v>59521383</v>
      </c>
      <c r="M378" s="3608">
        <v>3.1504331845628775</v>
      </c>
      <c r="N378" s="3608">
        <v>1959</v>
      </c>
      <c r="O378" s="2935">
        <v>3002.3</v>
      </c>
    </row>
    <row r="379" spans="1:15">
      <c r="A379" s="388">
        <f t="shared" si="2"/>
        <v>2024.1</v>
      </c>
      <c r="B379" s="214">
        <v>205166.25</v>
      </c>
      <c r="C379" s="3598">
        <v>1282667</v>
      </c>
      <c r="D379" s="3598">
        <v>228</v>
      </c>
      <c r="E379" s="2023">
        <v>1740.96</v>
      </c>
      <c r="F379" s="456">
        <v>123625.75</v>
      </c>
      <c r="G379" s="3598">
        <v>717277</v>
      </c>
      <c r="H379" s="3598">
        <v>93</v>
      </c>
      <c r="I379" s="2433">
        <v>1428.22</v>
      </c>
      <c r="J379" s="339">
        <v>3376974</v>
      </c>
      <c r="K379" s="632">
        <v>3295569</v>
      </c>
      <c r="L379" s="3504">
        <v>62343858</v>
      </c>
      <c r="M379" s="3608">
        <v>3.1568573100495856</v>
      </c>
      <c r="N379" s="3608">
        <v>1941.6</v>
      </c>
      <c r="O379" s="2935">
        <v>2982.1</v>
      </c>
    </row>
    <row r="380" spans="1:15">
      <c r="A380" s="388">
        <f t="shared" si="2"/>
        <v>2024.11</v>
      </c>
      <c r="B380" s="214">
        <v>186138.75</v>
      </c>
      <c r="C380" s="3598">
        <v>1153257</v>
      </c>
      <c r="D380" s="3598">
        <v>228</v>
      </c>
      <c r="E380" s="2023">
        <v>1872.78</v>
      </c>
      <c r="F380" s="456">
        <v>118758.25</v>
      </c>
      <c r="G380" s="3598">
        <v>665597</v>
      </c>
      <c r="H380" s="3598">
        <v>92</v>
      </c>
      <c r="I380" s="2433">
        <v>1464.03</v>
      </c>
      <c r="J380" s="339">
        <v>3026087</v>
      </c>
      <c r="K380" s="632">
        <v>2946414</v>
      </c>
      <c r="L380" s="3504">
        <v>62819678</v>
      </c>
      <c r="M380" s="3608">
        <v>3.1354236157438291</v>
      </c>
      <c r="N380" s="3608">
        <v>2113.1</v>
      </c>
      <c r="O380" s="2935">
        <v>3007.4</v>
      </c>
    </row>
    <row r="381" spans="1:15">
      <c r="A381" s="388">
        <f t="shared" si="2"/>
        <v>2024.12</v>
      </c>
      <c r="B381" s="214">
        <v>209199.5</v>
      </c>
      <c r="C381" s="3598">
        <v>1245846</v>
      </c>
      <c r="D381" s="3598">
        <v>226</v>
      </c>
      <c r="E381" s="2023">
        <v>2024.7570000000001</v>
      </c>
      <c r="F381" s="456">
        <v>132434</v>
      </c>
      <c r="G381" s="3598">
        <v>763597</v>
      </c>
      <c r="H381" s="3598">
        <v>90</v>
      </c>
      <c r="I381" s="2433">
        <v>1549.88</v>
      </c>
      <c r="J381" s="339">
        <v>3407763</v>
      </c>
      <c r="K381" s="632">
        <v>3321383</v>
      </c>
      <c r="L381" s="3504">
        <v>60959064</v>
      </c>
      <c r="M381" s="3608">
        <v>3.1443589262248919</v>
      </c>
      <c r="N381" s="3608">
        <v>2132.1</v>
      </c>
      <c r="O381" s="2935">
        <v>3138.9</v>
      </c>
    </row>
    <row r="382" spans="1:15">
      <c r="A382" s="388">
        <f t="shared" ref="A382:A445" si="3">A370+1</f>
        <v>2025.01</v>
      </c>
      <c r="B382" s="214">
        <v>199188.5</v>
      </c>
      <c r="C382" s="3598">
        <v>1150509</v>
      </c>
      <c r="D382" s="3598">
        <v>231</v>
      </c>
      <c r="E382" s="2023">
        <v>2030.424</v>
      </c>
      <c r="F382" s="456">
        <v>119587</v>
      </c>
      <c r="G382" s="3598">
        <v>666173.25</v>
      </c>
      <c r="H382" s="3598">
        <v>92</v>
      </c>
      <c r="I382" s="2433">
        <v>1623.9</v>
      </c>
      <c r="J382" s="339">
        <v>3422699</v>
      </c>
      <c r="K382" s="632">
        <v>3340698</v>
      </c>
      <c r="L382" s="3504">
        <v>67119556</v>
      </c>
      <c r="M382" s="3608">
        <v>3.0691299165673422</v>
      </c>
      <c r="N382" s="3608">
        <v>1742.1</v>
      </c>
      <c r="O382" s="2935">
        <v>3084.5</v>
      </c>
    </row>
    <row r="383" spans="1:15">
      <c r="A383" s="388">
        <f t="shared" si="3"/>
        <v>2025.02</v>
      </c>
      <c r="B383" s="214">
        <v>171719.75</v>
      </c>
      <c r="C383" s="3598">
        <v>1034684</v>
      </c>
      <c r="D383" s="3598">
        <v>229</v>
      </c>
      <c r="E383" s="2023">
        <v>2206.3130000000001</v>
      </c>
      <c r="F383" s="456">
        <v>111018.75</v>
      </c>
      <c r="G383" s="3598">
        <v>628250.25</v>
      </c>
      <c r="H383" s="3598">
        <v>91</v>
      </c>
      <c r="I383" s="2433">
        <v>1656.17</v>
      </c>
      <c r="J383" s="339">
        <v>3149734</v>
      </c>
      <c r="K383" s="632">
        <v>3016579</v>
      </c>
      <c r="L383" s="3504">
        <v>59096347</v>
      </c>
      <c r="M383" s="3608">
        <v>3.1135779071341547</v>
      </c>
      <c r="N383" s="3608">
        <v>1941.2</v>
      </c>
      <c r="O383" s="2935">
        <v>3096.3</v>
      </c>
    </row>
    <row r="384" spans="1:15">
      <c r="A384" s="388">
        <f t="shared" si="3"/>
        <v>2025.03</v>
      </c>
      <c r="B384" s="214">
        <v>176748.5</v>
      </c>
      <c r="C384" s="3598">
        <v>1030776.25</v>
      </c>
      <c r="D384" s="3598">
        <v>228</v>
      </c>
      <c r="E384" s="2023">
        <v>2232.712</v>
      </c>
      <c r="F384" s="456">
        <v>117616</v>
      </c>
      <c r="G384" s="3598">
        <v>665050.75</v>
      </c>
      <c r="H384" s="3598">
        <v>92</v>
      </c>
      <c r="I384" s="2433">
        <v>1633.5</v>
      </c>
      <c r="J384" s="339">
        <v>2973834</v>
      </c>
      <c r="K384" s="632">
        <v>2878542</v>
      </c>
      <c r="L384" s="3504">
        <v>58595780</v>
      </c>
      <c r="M384" s="3608">
        <v>3.0718820397296742</v>
      </c>
      <c r="N384" s="3608">
        <v>2374.4</v>
      </c>
      <c r="O384" s="2935">
        <v>3417.4</v>
      </c>
    </row>
    <row r="385" spans="1:15">
      <c r="A385" s="388">
        <f t="shared" si="3"/>
        <v>2025.04</v>
      </c>
      <c r="B385" s="214">
        <v>191488.25</v>
      </c>
      <c r="C385" s="3598">
        <v>1134031.25</v>
      </c>
      <c r="D385" s="3598">
        <v>229</v>
      </c>
      <c r="E385" s="2023">
        <v>2207.6529999999998</v>
      </c>
      <c r="F385" s="456">
        <v>129894.25</v>
      </c>
      <c r="G385" s="3598">
        <v>712801.5</v>
      </c>
      <c r="H385" s="3598">
        <v>95</v>
      </c>
      <c r="I385" s="2433">
        <v>1634.35</v>
      </c>
      <c r="J385" s="339">
        <v>3295875</v>
      </c>
      <c r="K385" s="632">
        <v>3205436</v>
      </c>
      <c r="L385" s="3504">
        <v>62942941</v>
      </c>
      <c r="M385" s="3608">
        <v>3.0503789142557554</v>
      </c>
      <c r="N385" s="3608">
        <v>2535.1</v>
      </c>
      <c r="O385" s="2935">
        <v>3717.8</v>
      </c>
    </row>
    <row r="386" spans="1:15">
      <c r="A386" s="388">
        <f t="shared" si="3"/>
        <v>2025.05</v>
      </c>
      <c r="B386" s="214">
        <v>202670.75</v>
      </c>
      <c r="C386" s="3598">
        <v>1128454.5</v>
      </c>
      <c r="D386" s="3598">
        <v>232</v>
      </c>
      <c r="E386" s="2031">
        <v>2210.54</v>
      </c>
      <c r="F386" s="456">
        <v>134706.25</v>
      </c>
      <c r="G386" s="3598">
        <v>718396.75</v>
      </c>
      <c r="H386" s="3598">
        <v>97</v>
      </c>
      <c r="I386" s="2433">
        <v>1638.22</v>
      </c>
      <c r="J386" s="339">
        <v>3291532</v>
      </c>
      <c r="K386" s="632">
        <v>3154167</v>
      </c>
      <c r="L386" s="3504">
        <v>61853519</v>
      </c>
      <c r="M386" s="3608">
        <v>3.0555825007275197</v>
      </c>
      <c r="N386" s="3608">
        <v>2294.1</v>
      </c>
      <c r="O386" s="2935">
        <v>3734.9</v>
      </c>
    </row>
    <row r="387" spans="1:15">
      <c r="A387" s="388">
        <f t="shared" si="3"/>
        <v>2025.06</v>
      </c>
      <c r="B387" s="214">
        <v>196641.75</v>
      </c>
      <c r="C387" s="3598">
        <v>1135112.75</v>
      </c>
      <c r="D387" s="3598">
        <v>231</v>
      </c>
      <c r="E387" s="2031">
        <v>2199.27</v>
      </c>
      <c r="F387" s="456">
        <v>126024</v>
      </c>
      <c r="G387" s="3598">
        <v>680854</v>
      </c>
      <c r="H387" s="3598">
        <v>98</v>
      </c>
      <c r="I387" s="2433">
        <v>1643.38</v>
      </c>
      <c r="J387" s="339">
        <v>3072133</v>
      </c>
      <c r="K387" s="632">
        <v>2970441</v>
      </c>
      <c r="L387" s="3504">
        <v>56590406</v>
      </c>
      <c r="M387" s="3608">
        <v>3.0747481887259234</v>
      </c>
      <c r="N387" s="3608">
        <v>2468.3000000000002</v>
      </c>
      <c r="O387" s="2935">
        <v>3709.9</v>
      </c>
    </row>
    <row r="388" spans="1:15">
      <c r="A388" s="388">
        <f t="shared" si="3"/>
        <v>2025.07</v>
      </c>
      <c r="B388" s="214">
        <v>215988</v>
      </c>
      <c r="C388" s="3598">
        <v>1247730</v>
      </c>
      <c r="D388" s="3598">
        <v>233</v>
      </c>
      <c r="E388" s="2023">
        <v>2367.7579999999998</v>
      </c>
      <c r="F388" s="456">
        <v>144407.5</v>
      </c>
      <c r="G388" s="3598">
        <v>747319</v>
      </c>
      <c r="H388" s="3598">
        <v>99</v>
      </c>
      <c r="I388" s="2433">
        <v>1634.08</v>
      </c>
      <c r="J388" s="339">
        <v>3505369</v>
      </c>
      <c r="K388" s="632">
        <v>3418298</v>
      </c>
      <c r="L388" s="3504">
        <v>66984127</v>
      </c>
      <c r="M388" s="3608">
        <v>3.1201421793554167</v>
      </c>
      <c r="N388" s="3608">
        <v>2562.6999999999998</v>
      </c>
      <c r="O388" s="2935">
        <v>3910.1</v>
      </c>
    </row>
    <row r="389" spans="1:15">
      <c r="A389" s="388">
        <f t="shared" si="3"/>
        <v>2025.08</v>
      </c>
      <c r="B389" s="214">
        <v>203390.25</v>
      </c>
      <c r="C389" s="3598">
        <v>1161397.5</v>
      </c>
      <c r="D389" s="3598">
        <v>234</v>
      </c>
      <c r="E389" s="2023">
        <v>2625.06</v>
      </c>
      <c r="F389" s="456">
        <v>136658</v>
      </c>
      <c r="G389" s="3598">
        <v>706221</v>
      </c>
      <c r="H389" s="3598">
        <v>97</v>
      </c>
      <c r="I389" s="2433">
        <v>1751.72</v>
      </c>
      <c r="J389" s="339">
        <v>3270280</v>
      </c>
      <c r="K389" s="632">
        <v>3167981</v>
      </c>
      <c r="L389" s="3504">
        <v>61329879</v>
      </c>
      <c r="M389" s="3608">
        <v>3.1143058345182779</v>
      </c>
      <c r="N389" s="3608">
        <v>2280.6</v>
      </c>
      <c r="O389" s="2935">
        <v>3848.3</v>
      </c>
    </row>
    <row r="390" spans="1:15">
      <c r="A390" s="388">
        <f t="shared" si="3"/>
        <v>2025.09</v>
      </c>
      <c r="B390" s="214">
        <v>193131.25</v>
      </c>
      <c r="C390" s="3598">
        <v>1174526.5</v>
      </c>
      <c r="D390" s="3598">
        <v>232</v>
      </c>
      <c r="E390" s="2023">
        <v>2792.56</v>
      </c>
      <c r="F390" s="456">
        <v>140645.75</v>
      </c>
      <c r="G390" s="3598">
        <v>729497.5</v>
      </c>
      <c r="H390" s="3598">
        <v>97</v>
      </c>
      <c r="I390" s="2433">
        <v>1675.73</v>
      </c>
      <c r="J390" s="339">
        <v>3545940</v>
      </c>
      <c r="K390" s="632">
        <v>3443631</v>
      </c>
      <c r="L390" s="3504">
        <v>64436645</v>
      </c>
      <c r="M390" s="3608">
        <v>3.1525165778889011</v>
      </c>
      <c r="N390" s="3608">
        <v>2040.3</v>
      </c>
      <c r="O390" s="2935">
        <v>3722.8</v>
      </c>
    </row>
    <row r="391" spans="1:15">
      <c r="A391" s="388">
        <f t="shared" si="3"/>
        <v>2025.1</v>
      </c>
      <c r="B391" s="214">
        <v>197130.5</v>
      </c>
      <c r="C391" s="3598">
        <v>1203177.75</v>
      </c>
      <c r="D391" s="3598">
        <v>232</v>
      </c>
      <c r="E391" s="2023">
        <v>2956.2449999999999</v>
      </c>
      <c r="F391" s="456">
        <v>144750.5</v>
      </c>
      <c r="G391" s="3598">
        <v>749627.25</v>
      </c>
      <c r="H391" s="3598">
        <v>96</v>
      </c>
      <c r="I391" s="2433">
        <v>1851</v>
      </c>
      <c r="J391" s="339">
        <v>3514052</v>
      </c>
      <c r="K391" s="632">
        <v>3420904</v>
      </c>
      <c r="L391" s="3504">
        <v>67884814</v>
      </c>
      <c r="M391" s="3608">
        <v>3.2260528842282752</v>
      </c>
      <c r="N391" s="3608">
        <v>2007.4</v>
      </c>
      <c r="O391" s="2935">
        <v>3681.6</v>
      </c>
    </row>
    <row r="392" spans="1:15">
      <c r="A392" s="388">
        <f t="shared" si="3"/>
        <v>2025.11</v>
      </c>
      <c r="B392" s="214">
        <v>181834.5</v>
      </c>
      <c r="C392" s="3598">
        <v>1052187</v>
      </c>
      <c r="D392" s="3598">
        <v>234</v>
      </c>
      <c r="E392" s="2023">
        <v>3334.52</v>
      </c>
      <c r="F392" s="456">
        <v>130261</v>
      </c>
      <c r="G392" s="3598">
        <v>681750.25</v>
      </c>
      <c r="H392" s="3598">
        <v>96</v>
      </c>
      <c r="I392" s="2433">
        <v>1779.79</v>
      </c>
      <c r="J392" s="339">
        <v>3120217</v>
      </c>
      <c r="K392" s="632">
        <v>3012927</v>
      </c>
      <c r="L392" s="3504">
        <v>59250311</v>
      </c>
      <c r="M392" s="3608">
        <v>3.156101577255856</v>
      </c>
      <c r="N392" s="3608">
        <v>2104.1</v>
      </c>
      <c r="O392" s="2935">
        <v>3643</v>
      </c>
    </row>
    <row r="393" spans="1:15">
      <c r="A393" s="388">
        <f t="shared" si="3"/>
        <v>2025.12</v>
      </c>
      <c r="B393" s="214">
        <v>200202.75</v>
      </c>
      <c r="C393" s="3598">
        <v>1134940</v>
      </c>
      <c r="D393" s="3598">
        <v>230</v>
      </c>
      <c r="E393" s="2023">
        <v>3570.22</v>
      </c>
      <c r="F393" s="456">
        <v>148973</v>
      </c>
      <c r="G393" s="3598">
        <v>831491.25</v>
      </c>
      <c r="H393" s="3598">
        <v>93</v>
      </c>
      <c r="I393" s="2433">
        <v>1813.23</v>
      </c>
      <c r="J393" s="339">
        <v>3450770</v>
      </c>
      <c r="K393" s="632">
        <v>3353449</v>
      </c>
      <c r="L393" s="3504">
        <v>66471798</v>
      </c>
      <c r="M393" s="3608">
        <v>3.0373919999999996</v>
      </c>
      <c r="N393" s="3608">
        <v>2676.5</v>
      </c>
      <c r="O393" s="2935">
        <v>3740.3</v>
      </c>
    </row>
    <row r="394" spans="1:15">
      <c r="A394" s="388">
        <f t="shared" si="3"/>
        <v>2026.01</v>
      </c>
      <c r="B394" s="214">
        <v>184083</v>
      </c>
      <c r="C394" s="3598">
        <v>1018668</v>
      </c>
      <c r="D394" s="3598">
        <v>236</v>
      </c>
      <c r="E394" s="2023">
        <v>3512.8339999999998</v>
      </c>
      <c r="F394" s="456">
        <v>134393</v>
      </c>
      <c r="G394" s="3598">
        <v>718029</v>
      </c>
      <c r="H394" s="3598">
        <v>94</v>
      </c>
      <c r="I394" s="2433">
        <v>1881.95</v>
      </c>
      <c r="J394" s="339">
        <v>3300695</v>
      </c>
      <c r="K394" s="3504">
        <v>3178416</v>
      </c>
      <c r="L394" s="3504">
        <v>60962136</v>
      </c>
      <c r="M394" s="3608">
        <v>3.034677339982284</v>
      </c>
      <c r="N394" s="3608">
        <v>2847.5</v>
      </c>
      <c r="O394" s="2935">
        <v>4074.6</v>
      </c>
    </row>
    <row r="395" spans="1:15">
      <c r="A395" s="388">
        <f t="shared" si="3"/>
        <v>2026.02</v>
      </c>
      <c r="B395" s="214">
        <v>166133</v>
      </c>
      <c r="C395" s="3598">
        <v>924333</v>
      </c>
      <c r="D395" s="3598">
        <v>234</v>
      </c>
      <c r="E395" s="2023">
        <v>3810.0259999999998</v>
      </c>
      <c r="F395" s="456">
        <v>123153</v>
      </c>
      <c r="G395" s="3598">
        <v>680663</v>
      </c>
      <c r="H395" s="3598">
        <v>94</v>
      </c>
      <c r="I395" s="2433">
        <v>1935.11</v>
      </c>
      <c r="J395" s="339" t="e">
        <v>#N/A</v>
      </c>
      <c r="K395" s="632" t="e">
        <v>#N/A</v>
      </c>
      <c r="L395" s="3504" t="e">
        <v>#N/A</v>
      </c>
      <c r="M395" s="3504" t="e">
        <v>#N/A</v>
      </c>
      <c r="N395" s="3504" t="e">
        <v>#N/A</v>
      </c>
      <c r="O395" s="2823" t="e">
        <v>#N/A</v>
      </c>
    </row>
    <row r="396" spans="1:15">
      <c r="A396" s="388">
        <f t="shared" si="3"/>
        <v>2026.03</v>
      </c>
      <c r="B396" s="214" t="e">
        <v>#N/A</v>
      </c>
      <c r="C396" s="3598" t="e">
        <v>#N/A</v>
      </c>
      <c r="D396" s="3598" t="e">
        <v>#N/A</v>
      </c>
      <c r="E396" s="2023" t="e">
        <v>#N/A</v>
      </c>
      <c r="F396" s="456" t="e">
        <v>#N/A</v>
      </c>
      <c r="G396" s="3598" t="e">
        <v>#N/A</v>
      </c>
      <c r="H396" s="3598" t="e">
        <v>#N/A</v>
      </c>
      <c r="I396" s="2433" t="e">
        <v>#N/A</v>
      </c>
      <c r="J396" s="339" t="e">
        <v>#N/A</v>
      </c>
      <c r="K396" s="632" t="e">
        <v>#N/A</v>
      </c>
      <c r="L396" s="3504" t="e">
        <v>#N/A</v>
      </c>
      <c r="M396" s="3504" t="e">
        <v>#N/A</v>
      </c>
      <c r="N396" s="3504" t="e">
        <v>#N/A</v>
      </c>
      <c r="O396" s="2823" t="e">
        <v>#N/A</v>
      </c>
    </row>
    <row r="397" spans="1:15">
      <c r="A397" s="388">
        <f t="shared" si="3"/>
        <v>2026.04</v>
      </c>
      <c r="B397" s="214" t="e">
        <v>#N/A</v>
      </c>
      <c r="C397" s="3598" t="e">
        <v>#N/A</v>
      </c>
      <c r="D397" s="3598" t="e">
        <v>#N/A</v>
      </c>
      <c r="E397" s="2023" t="e">
        <v>#N/A</v>
      </c>
      <c r="F397" s="456" t="e">
        <v>#N/A</v>
      </c>
      <c r="G397" s="3598" t="e">
        <v>#N/A</v>
      </c>
      <c r="H397" s="3598" t="e">
        <v>#N/A</v>
      </c>
      <c r="I397" s="2433" t="e">
        <v>#N/A</v>
      </c>
      <c r="J397" s="339" t="e">
        <v>#N/A</v>
      </c>
      <c r="K397" s="632" t="e">
        <v>#N/A</v>
      </c>
      <c r="L397" s="3504" t="e">
        <v>#N/A</v>
      </c>
      <c r="M397" s="3504" t="e">
        <v>#N/A</v>
      </c>
      <c r="N397" s="3504" t="e">
        <v>#N/A</v>
      </c>
      <c r="O397" s="2823" t="e">
        <v>#N/A</v>
      </c>
    </row>
    <row r="398" spans="1:15">
      <c r="A398" s="388">
        <f t="shared" si="3"/>
        <v>2026.05</v>
      </c>
      <c r="B398" s="214" t="e">
        <v>#N/A</v>
      </c>
      <c r="C398" s="3598" t="e">
        <v>#N/A</v>
      </c>
      <c r="D398" s="3598" t="e">
        <v>#N/A</v>
      </c>
      <c r="E398" s="2023" t="e">
        <v>#N/A</v>
      </c>
      <c r="F398" s="456" t="e">
        <v>#N/A</v>
      </c>
      <c r="G398" s="3598" t="e">
        <v>#N/A</v>
      </c>
      <c r="H398" s="3598" t="e">
        <v>#N/A</v>
      </c>
      <c r="I398" s="2433" t="e">
        <v>#N/A</v>
      </c>
      <c r="J398" s="339" t="e">
        <v>#N/A</v>
      </c>
      <c r="K398" s="632" t="e">
        <v>#N/A</v>
      </c>
      <c r="L398" s="3504" t="e">
        <v>#N/A</v>
      </c>
      <c r="M398" s="3504" t="e">
        <v>#N/A</v>
      </c>
      <c r="N398" s="3504" t="e">
        <v>#N/A</v>
      </c>
      <c r="O398" s="2823" t="e">
        <v>#N/A</v>
      </c>
    </row>
    <row r="399" spans="1:15">
      <c r="A399" s="388">
        <f t="shared" si="3"/>
        <v>2026.06</v>
      </c>
      <c r="B399" s="214" t="e">
        <v>#N/A</v>
      </c>
      <c r="C399" s="3598" t="e">
        <v>#N/A</v>
      </c>
      <c r="D399" s="3598" t="e">
        <v>#N/A</v>
      </c>
      <c r="E399" s="2023" t="e">
        <v>#N/A</v>
      </c>
      <c r="F399" s="456" t="e">
        <v>#N/A</v>
      </c>
      <c r="G399" s="3598" t="e">
        <v>#N/A</v>
      </c>
      <c r="H399" s="3598" t="e">
        <v>#N/A</v>
      </c>
      <c r="I399" s="2433" t="e">
        <v>#N/A</v>
      </c>
      <c r="J399" s="339" t="e">
        <v>#N/A</v>
      </c>
      <c r="K399" s="632" t="e">
        <v>#N/A</v>
      </c>
      <c r="L399" s="3504" t="e">
        <v>#N/A</v>
      </c>
      <c r="M399" s="3504" t="e">
        <v>#N/A</v>
      </c>
      <c r="N399" s="3504" t="e">
        <v>#N/A</v>
      </c>
      <c r="O399" s="2823" t="e">
        <v>#N/A</v>
      </c>
    </row>
    <row r="400" spans="1:15">
      <c r="A400" s="388">
        <f t="shared" si="3"/>
        <v>2026.07</v>
      </c>
      <c r="B400" s="214" t="e">
        <v>#N/A</v>
      </c>
      <c r="C400" s="3598" t="e">
        <v>#N/A</v>
      </c>
      <c r="D400" s="3598" t="e">
        <v>#N/A</v>
      </c>
      <c r="E400" s="2023" t="e">
        <v>#N/A</v>
      </c>
      <c r="F400" s="456" t="e">
        <v>#N/A</v>
      </c>
      <c r="G400" s="3598" t="e">
        <v>#N/A</v>
      </c>
      <c r="H400" s="3598" t="e">
        <v>#N/A</v>
      </c>
      <c r="I400" s="2433" t="e">
        <v>#N/A</v>
      </c>
      <c r="J400" s="339" t="e">
        <v>#N/A</v>
      </c>
      <c r="K400" s="632" t="e">
        <v>#N/A</v>
      </c>
      <c r="L400" s="3504" t="e">
        <v>#N/A</v>
      </c>
      <c r="M400" s="3504" t="e">
        <v>#N/A</v>
      </c>
      <c r="N400" s="3504" t="e">
        <v>#N/A</v>
      </c>
      <c r="O400" s="2823" t="e">
        <v>#N/A</v>
      </c>
    </row>
    <row r="401" spans="1:15">
      <c r="A401" s="388">
        <f t="shared" si="3"/>
        <v>2026.08</v>
      </c>
      <c r="B401" s="214" t="e">
        <v>#N/A</v>
      </c>
      <c r="C401" s="3598" t="e">
        <v>#N/A</v>
      </c>
      <c r="D401" s="3598" t="e">
        <v>#N/A</v>
      </c>
      <c r="E401" s="2023" t="e">
        <v>#N/A</v>
      </c>
      <c r="F401" s="456" t="e">
        <v>#N/A</v>
      </c>
      <c r="G401" s="3598" t="e">
        <v>#N/A</v>
      </c>
      <c r="H401" s="3598" t="e">
        <v>#N/A</v>
      </c>
      <c r="I401" s="2433" t="e">
        <v>#N/A</v>
      </c>
      <c r="J401" s="339" t="e">
        <v>#N/A</v>
      </c>
      <c r="K401" s="632" t="e">
        <v>#N/A</v>
      </c>
      <c r="L401" s="3504" t="e">
        <v>#N/A</v>
      </c>
      <c r="M401" s="3504" t="e">
        <v>#N/A</v>
      </c>
      <c r="N401" s="3504" t="e">
        <v>#N/A</v>
      </c>
      <c r="O401" s="2823" t="e">
        <v>#N/A</v>
      </c>
    </row>
    <row r="402" spans="1:15">
      <c r="A402" s="388">
        <f t="shared" si="3"/>
        <v>2026.09</v>
      </c>
      <c r="B402" s="214" t="e">
        <v>#N/A</v>
      </c>
      <c r="C402" s="3598" t="e">
        <v>#N/A</v>
      </c>
      <c r="D402" s="3598" t="e">
        <v>#N/A</v>
      </c>
      <c r="E402" s="2023" t="e">
        <v>#N/A</v>
      </c>
      <c r="F402" s="456" t="e">
        <v>#N/A</v>
      </c>
      <c r="G402" s="3598" t="e">
        <v>#N/A</v>
      </c>
      <c r="H402" s="3598" t="e">
        <v>#N/A</v>
      </c>
      <c r="I402" s="2433" t="e">
        <v>#N/A</v>
      </c>
      <c r="J402" s="339" t="e">
        <v>#N/A</v>
      </c>
      <c r="K402" s="632" t="e">
        <v>#N/A</v>
      </c>
      <c r="L402" s="3504" t="e">
        <v>#N/A</v>
      </c>
      <c r="M402" s="3504" t="e">
        <v>#N/A</v>
      </c>
      <c r="N402" s="3504" t="e">
        <v>#N/A</v>
      </c>
      <c r="O402" s="2823" t="e">
        <v>#N/A</v>
      </c>
    </row>
    <row r="403" spans="1:15">
      <c r="A403" s="388">
        <f t="shared" si="3"/>
        <v>2026.1</v>
      </c>
      <c r="B403" s="214" t="e">
        <v>#N/A</v>
      </c>
      <c r="C403" s="3598" t="e">
        <v>#N/A</v>
      </c>
      <c r="D403" s="3598" t="e">
        <v>#N/A</v>
      </c>
      <c r="E403" s="2023" t="e">
        <v>#N/A</v>
      </c>
      <c r="F403" s="456" t="e">
        <v>#N/A</v>
      </c>
      <c r="G403" s="3598" t="e">
        <v>#N/A</v>
      </c>
      <c r="H403" s="3598" t="e">
        <v>#N/A</v>
      </c>
      <c r="I403" s="2433" t="e">
        <v>#N/A</v>
      </c>
      <c r="J403" s="339" t="e">
        <v>#N/A</v>
      </c>
      <c r="K403" s="632" t="e">
        <v>#N/A</v>
      </c>
      <c r="L403" s="3504" t="e">
        <v>#N/A</v>
      </c>
      <c r="M403" s="3504" t="e">
        <v>#N/A</v>
      </c>
      <c r="N403" s="3504" t="e">
        <v>#N/A</v>
      </c>
      <c r="O403" s="2823" t="e">
        <v>#N/A</v>
      </c>
    </row>
    <row r="404" spans="1:15">
      <c r="A404" s="388">
        <f t="shared" si="3"/>
        <v>2026.11</v>
      </c>
      <c r="B404" s="214" t="e">
        <v>#N/A</v>
      </c>
      <c r="C404" s="3598" t="e">
        <v>#N/A</v>
      </c>
      <c r="D404" s="3598" t="e">
        <v>#N/A</v>
      </c>
      <c r="E404" s="2023" t="e">
        <v>#N/A</v>
      </c>
      <c r="F404" s="456" t="e">
        <v>#N/A</v>
      </c>
      <c r="G404" s="3598" t="e">
        <v>#N/A</v>
      </c>
      <c r="H404" s="3598" t="e">
        <v>#N/A</v>
      </c>
      <c r="I404" s="2433" t="e">
        <v>#N/A</v>
      </c>
      <c r="J404" s="339" t="e">
        <v>#N/A</v>
      </c>
      <c r="K404" s="632" t="e">
        <v>#N/A</v>
      </c>
      <c r="L404" s="3504" t="e">
        <v>#N/A</v>
      </c>
      <c r="M404" s="3504" t="e">
        <v>#N/A</v>
      </c>
      <c r="N404" s="3504" t="e">
        <v>#N/A</v>
      </c>
      <c r="O404" s="2823" t="e">
        <v>#N/A</v>
      </c>
    </row>
    <row r="405" spans="1:15">
      <c r="A405" s="388">
        <f t="shared" si="3"/>
        <v>2026.12</v>
      </c>
      <c r="B405" s="214" t="e">
        <v>#N/A</v>
      </c>
      <c r="C405" s="3598" t="e">
        <v>#N/A</v>
      </c>
      <c r="D405" s="3598" t="e">
        <v>#N/A</v>
      </c>
      <c r="E405" s="2023" t="e">
        <v>#N/A</v>
      </c>
      <c r="F405" s="456" t="e">
        <v>#N/A</v>
      </c>
      <c r="G405" s="3598" t="e">
        <v>#N/A</v>
      </c>
      <c r="H405" s="3598" t="e">
        <v>#N/A</v>
      </c>
      <c r="I405" s="2433" t="e">
        <v>#N/A</v>
      </c>
      <c r="J405" s="339" t="e">
        <v>#N/A</v>
      </c>
      <c r="K405" s="632" t="e">
        <v>#N/A</v>
      </c>
      <c r="L405" s="3504" t="e">
        <v>#N/A</v>
      </c>
      <c r="M405" s="3504" t="e">
        <v>#N/A</v>
      </c>
      <c r="N405" s="3504" t="e">
        <v>#N/A</v>
      </c>
      <c r="O405" s="2823" t="e">
        <v>#N/A</v>
      </c>
    </row>
    <row r="406" spans="1:15">
      <c r="A406" s="388">
        <f t="shared" si="3"/>
        <v>2027.01</v>
      </c>
      <c r="B406" s="214" t="e">
        <v>#N/A</v>
      </c>
      <c r="C406" s="3598" t="e">
        <v>#N/A</v>
      </c>
      <c r="D406" s="3598" t="e">
        <v>#N/A</v>
      </c>
      <c r="E406" s="2023" t="e">
        <v>#N/A</v>
      </c>
      <c r="F406" s="456" t="e">
        <v>#N/A</v>
      </c>
      <c r="G406" s="3598" t="e">
        <v>#N/A</v>
      </c>
      <c r="H406" s="3598" t="e">
        <v>#N/A</v>
      </c>
      <c r="I406" s="2433" t="e">
        <v>#N/A</v>
      </c>
      <c r="J406" s="339" t="e">
        <v>#N/A</v>
      </c>
      <c r="K406" s="632" t="e">
        <v>#N/A</v>
      </c>
      <c r="L406" s="3504" t="e">
        <v>#N/A</v>
      </c>
      <c r="M406" s="3504" t="e">
        <v>#N/A</v>
      </c>
      <c r="N406" s="3504" t="e">
        <v>#N/A</v>
      </c>
      <c r="O406" s="2823" t="e">
        <v>#N/A</v>
      </c>
    </row>
    <row r="407" spans="1:15">
      <c r="A407" s="388">
        <f t="shared" si="3"/>
        <v>2027.02</v>
      </c>
      <c r="B407" s="214" t="e">
        <v>#N/A</v>
      </c>
      <c r="C407" s="3598" t="e">
        <v>#N/A</v>
      </c>
      <c r="D407" s="3598" t="e">
        <v>#N/A</v>
      </c>
      <c r="E407" s="2023" t="e">
        <v>#N/A</v>
      </c>
      <c r="F407" s="456" t="e">
        <v>#N/A</v>
      </c>
      <c r="G407" s="3598" t="e">
        <v>#N/A</v>
      </c>
      <c r="H407" s="3598" t="e">
        <v>#N/A</v>
      </c>
      <c r="I407" s="2433" t="e">
        <v>#N/A</v>
      </c>
      <c r="J407" s="339" t="e">
        <v>#N/A</v>
      </c>
      <c r="K407" s="632" t="e">
        <v>#N/A</v>
      </c>
      <c r="L407" s="3504" t="e">
        <v>#N/A</v>
      </c>
      <c r="M407" s="3504" t="e">
        <v>#N/A</v>
      </c>
      <c r="N407" s="3504" t="e">
        <v>#N/A</v>
      </c>
      <c r="O407" s="2823" t="e">
        <v>#N/A</v>
      </c>
    </row>
    <row r="408" spans="1:15">
      <c r="A408" s="388">
        <f t="shared" si="3"/>
        <v>2027.03</v>
      </c>
      <c r="B408" s="214" t="e">
        <v>#N/A</v>
      </c>
      <c r="C408" s="3598" t="e">
        <v>#N/A</v>
      </c>
      <c r="D408" s="3598" t="e">
        <v>#N/A</v>
      </c>
      <c r="E408" s="2023" t="e">
        <v>#N/A</v>
      </c>
      <c r="F408" s="456" t="e">
        <v>#N/A</v>
      </c>
      <c r="G408" s="3598" t="e">
        <v>#N/A</v>
      </c>
      <c r="H408" s="3598" t="e">
        <v>#N/A</v>
      </c>
      <c r="I408" s="2433" t="e">
        <v>#N/A</v>
      </c>
      <c r="J408" s="339" t="e">
        <v>#N/A</v>
      </c>
      <c r="K408" s="632" t="e">
        <v>#N/A</v>
      </c>
      <c r="L408" s="3504" t="e">
        <v>#N/A</v>
      </c>
      <c r="M408" s="3504" t="e">
        <v>#N/A</v>
      </c>
      <c r="N408" s="3504" t="e">
        <v>#N/A</v>
      </c>
      <c r="O408" s="2823" t="e">
        <v>#N/A</v>
      </c>
    </row>
    <row r="409" spans="1:15">
      <c r="A409" s="388">
        <f t="shared" si="3"/>
        <v>2027.04</v>
      </c>
      <c r="B409" s="214" t="e">
        <v>#N/A</v>
      </c>
      <c r="C409" s="3598" t="e">
        <v>#N/A</v>
      </c>
      <c r="D409" s="3598" t="e">
        <v>#N/A</v>
      </c>
      <c r="E409" s="2023" t="e">
        <v>#N/A</v>
      </c>
      <c r="F409" s="456" t="e">
        <v>#N/A</v>
      </c>
      <c r="G409" s="3598" t="e">
        <v>#N/A</v>
      </c>
      <c r="H409" s="3598" t="e">
        <v>#N/A</v>
      </c>
      <c r="I409" s="2433" t="e">
        <v>#N/A</v>
      </c>
      <c r="J409" s="339" t="e">
        <v>#N/A</v>
      </c>
      <c r="K409" s="632" t="e">
        <v>#N/A</v>
      </c>
      <c r="L409" s="3504" t="e">
        <v>#N/A</v>
      </c>
      <c r="M409" s="3504" t="e">
        <v>#N/A</v>
      </c>
      <c r="N409" s="3504" t="e">
        <v>#N/A</v>
      </c>
      <c r="O409" s="2823" t="e">
        <v>#N/A</v>
      </c>
    </row>
    <row r="410" spans="1:15">
      <c r="A410" s="388">
        <f t="shared" si="3"/>
        <v>2027.05</v>
      </c>
      <c r="B410" s="214" t="e">
        <v>#N/A</v>
      </c>
      <c r="C410" s="3598" t="e">
        <v>#N/A</v>
      </c>
      <c r="D410" s="3598" t="e">
        <v>#N/A</v>
      </c>
      <c r="E410" s="2023" t="e">
        <v>#N/A</v>
      </c>
      <c r="F410" s="456" t="e">
        <v>#N/A</v>
      </c>
      <c r="G410" s="3598" t="e">
        <v>#N/A</v>
      </c>
      <c r="H410" s="3598" t="e">
        <v>#N/A</v>
      </c>
      <c r="I410" s="2433" t="e">
        <v>#N/A</v>
      </c>
      <c r="J410" s="339" t="e">
        <v>#N/A</v>
      </c>
      <c r="K410" s="632" t="e">
        <v>#N/A</v>
      </c>
      <c r="L410" s="3504" t="e">
        <v>#N/A</v>
      </c>
      <c r="M410" s="3504" t="e">
        <v>#N/A</v>
      </c>
      <c r="N410" s="3504" t="e">
        <v>#N/A</v>
      </c>
      <c r="O410" s="2823" t="e">
        <v>#N/A</v>
      </c>
    </row>
    <row r="411" spans="1:15">
      <c r="A411" s="388">
        <f t="shared" si="3"/>
        <v>2027.06</v>
      </c>
      <c r="B411" s="214" t="e">
        <v>#N/A</v>
      </c>
      <c r="C411" s="3598" t="e">
        <v>#N/A</v>
      </c>
      <c r="D411" s="3598" t="e">
        <v>#N/A</v>
      </c>
      <c r="E411" s="2023" t="e">
        <v>#N/A</v>
      </c>
      <c r="F411" s="456" t="e">
        <v>#N/A</v>
      </c>
      <c r="G411" s="3598" t="e">
        <v>#N/A</v>
      </c>
      <c r="H411" s="3598" t="e">
        <v>#N/A</v>
      </c>
      <c r="I411" s="2433" t="e">
        <v>#N/A</v>
      </c>
      <c r="J411" s="339" t="e">
        <v>#N/A</v>
      </c>
      <c r="K411" s="632" t="e">
        <v>#N/A</v>
      </c>
      <c r="L411" s="3504" t="e">
        <v>#N/A</v>
      </c>
      <c r="M411" s="3504" t="e">
        <v>#N/A</v>
      </c>
      <c r="N411" s="3504" t="e">
        <v>#N/A</v>
      </c>
      <c r="O411" s="2823" t="e">
        <v>#N/A</v>
      </c>
    </row>
    <row r="412" spans="1:15">
      <c r="A412" s="388">
        <f t="shared" si="3"/>
        <v>2027.07</v>
      </c>
      <c r="B412" s="214" t="e">
        <v>#N/A</v>
      </c>
      <c r="C412" s="3598" t="e">
        <v>#N/A</v>
      </c>
      <c r="D412" s="3598" t="e">
        <v>#N/A</v>
      </c>
      <c r="E412" s="2023" t="e">
        <v>#N/A</v>
      </c>
      <c r="F412" s="456" t="e">
        <v>#N/A</v>
      </c>
      <c r="G412" s="3598" t="e">
        <v>#N/A</v>
      </c>
      <c r="H412" s="3598" t="e">
        <v>#N/A</v>
      </c>
      <c r="I412" s="2433" t="e">
        <v>#N/A</v>
      </c>
      <c r="J412" s="339" t="e">
        <v>#N/A</v>
      </c>
      <c r="K412" s="632" t="e">
        <v>#N/A</v>
      </c>
      <c r="L412" s="3504" t="e">
        <v>#N/A</v>
      </c>
      <c r="M412" s="3504" t="e">
        <v>#N/A</v>
      </c>
      <c r="N412" s="3504" t="e">
        <v>#N/A</v>
      </c>
      <c r="O412" s="2823" t="e">
        <v>#N/A</v>
      </c>
    </row>
    <row r="413" spans="1:15">
      <c r="A413" s="388">
        <f t="shared" si="3"/>
        <v>2027.08</v>
      </c>
      <c r="B413" s="214" t="e">
        <v>#N/A</v>
      </c>
      <c r="C413" s="3598" t="e">
        <v>#N/A</v>
      </c>
      <c r="D413" s="3598" t="e">
        <v>#N/A</v>
      </c>
      <c r="E413" s="2023" t="e">
        <v>#N/A</v>
      </c>
      <c r="F413" s="456" t="e">
        <v>#N/A</v>
      </c>
      <c r="G413" s="3598" t="e">
        <v>#N/A</v>
      </c>
      <c r="H413" s="3598" t="e">
        <v>#N/A</v>
      </c>
      <c r="I413" s="2433" t="e">
        <v>#N/A</v>
      </c>
      <c r="J413" s="339" t="e">
        <v>#N/A</v>
      </c>
      <c r="K413" s="632" t="e">
        <v>#N/A</v>
      </c>
      <c r="L413" s="3504" t="e">
        <v>#N/A</v>
      </c>
      <c r="M413" s="3504" t="e">
        <v>#N/A</v>
      </c>
      <c r="N413" s="3504" t="e">
        <v>#N/A</v>
      </c>
      <c r="O413" s="2823" t="e">
        <v>#N/A</v>
      </c>
    </row>
    <row r="414" spans="1:15">
      <c r="A414" s="388">
        <f t="shared" si="3"/>
        <v>2027.09</v>
      </c>
      <c r="B414" s="214" t="e">
        <v>#N/A</v>
      </c>
      <c r="C414" s="3598" t="e">
        <v>#N/A</v>
      </c>
      <c r="D414" s="3598" t="e">
        <v>#N/A</v>
      </c>
      <c r="E414" s="2023" t="e">
        <v>#N/A</v>
      </c>
      <c r="F414" s="456" t="e">
        <v>#N/A</v>
      </c>
      <c r="G414" s="3598" t="e">
        <v>#N/A</v>
      </c>
      <c r="H414" s="3598" t="e">
        <v>#N/A</v>
      </c>
      <c r="I414" s="2433" t="e">
        <v>#N/A</v>
      </c>
      <c r="J414" s="339" t="e">
        <v>#N/A</v>
      </c>
      <c r="K414" s="632" t="e">
        <v>#N/A</v>
      </c>
      <c r="L414" s="3504" t="e">
        <v>#N/A</v>
      </c>
      <c r="M414" s="3504" t="e">
        <v>#N/A</v>
      </c>
      <c r="N414" s="3504" t="e">
        <v>#N/A</v>
      </c>
      <c r="O414" s="2823" t="e">
        <v>#N/A</v>
      </c>
    </row>
    <row r="415" spans="1:15">
      <c r="A415" s="388">
        <f t="shared" si="3"/>
        <v>2027.1</v>
      </c>
      <c r="B415" s="214" t="e">
        <v>#N/A</v>
      </c>
      <c r="C415" s="3598" t="e">
        <v>#N/A</v>
      </c>
      <c r="D415" s="3598" t="e">
        <v>#N/A</v>
      </c>
      <c r="E415" s="2023" t="e">
        <v>#N/A</v>
      </c>
      <c r="F415" s="456" t="e">
        <v>#N/A</v>
      </c>
      <c r="G415" s="3598" t="e">
        <v>#N/A</v>
      </c>
      <c r="H415" s="3598" t="e">
        <v>#N/A</v>
      </c>
      <c r="I415" s="2433" t="e">
        <v>#N/A</v>
      </c>
      <c r="J415" s="339" t="e">
        <v>#N/A</v>
      </c>
      <c r="K415" s="632" t="e">
        <v>#N/A</v>
      </c>
      <c r="L415" s="3504" t="e">
        <v>#N/A</v>
      </c>
      <c r="M415" s="3504" t="e">
        <v>#N/A</v>
      </c>
      <c r="N415" s="3504" t="e">
        <v>#N/A</v>
      </c>
      <c r="O415" s="2823" t="e">
        <v>#N/A</v>
      </c>
    </row>
    <row r="416" spans="1:15">
      <c r="A416" s="388">
        <f t="shared" si="3"/>
        <v>2027.11</v>
      </c>
      <c r="B416" s="214" t="e">
        <v>#N/A</v>
      </c>
      <c r="C416" s="3598" t="e">
        <v>#N/A</v>
      </c>
      <c r="D416" s="3598" t="e">
        <v>#N/A</v>
      </c>
      <c r="E416" s="2023" t="e">
        <v>#N/A</v>
      </c>
      <c r="F416" s="456" t="e">
        <v>#N/A</v>
      </c>
      <c r="G416" s="3598" t="e">
        <v>#N/A</v>
      </c>
      <c r="H416" s="3598" t="e">
        <v>#N/A</v>
      </c>
      <c r="I416" s="2433" t="e">
        <v>#N/A</v>
      </c>
      <c r="J416" s="339" t="e">
        <v>#N/A</v>
      </c>
      <c r="K416" s="632" t="e">
        <v>#N/A</v>
      </c>
      <c r="L416" s="3504" t="e">
        <v>#N/A</v>
      </c>
      <c r="M416" s="3504" t="e">
        <v>#N/A</v>
      </c>
      <c r="N416" s="3504" t="e">
        <v>#N/A</v>
      </c>
      <c r="O416" s="2823" t="e">
        <v>#N/A</v>
      </c>
    </row>
    <row r="417" spans="1:15">
      <c r="A417" s="388">
        <f t="shared" si="3"/>
        <v>2027.12</v>
      </c>
      <c r="B417" s="214" t="e">
        <v>#N/A</v>
      </c>
      <c r="C417" s="3598" t="e">
        <v>#N/A</v>
      </c>
      <c r="D417" s="3598" t="e">
        <v>#N/A</v>
      </c>
      <c r="E417" s="2023" t="e">
        <v>#N/A</v>
      </c>
      <c r="F417" s="456" t="e">
        <v>#N/A</v>
      </c>
      <c r="G417" s="3598" t="e">
        <v>#N/A</v>
      </c>
      <c r="H417" s="3598" t="e">
        <v>#N/A</v>
      </c>
      <c r="I417" s="2433" t="e">
        <v>#N/A</v>
      </c>
      <c r="J417" s="339" t="e">
        <v>#N/A</v>
      </c>
      <c r="K417" s="632" t="e">
        <v>#N/A</v>
      </c>
      <c r="L417" s="3504" t="e">
        <v>#N/A</v>
      </c>
      <c r="M417" s="3504" t="e">
        <v>#N/A</v>
      </c>
      <c r="N417" s="3504" t="e">
        <v>#N/A</v>
      </c>
      <c r="O417" s="2823" t="e">
        <v>#N/A</v>
      </c>
    </row>
    <row r="418" spans="1:15">
      <c r="A418" s="388">
        <f t="shared" si="3"/>
        <v>2028.01</v>
      </c>
      <c r="B418" s="214" t="e">
        <v>#N/A</v>
      </c>
      <c r="C418" s="3598" t="e">
        <v>#N/A</v>
      </c>
      <c r="D418" s="3598" t="e">
        <v>#N/A</v>
      </c>
      <c r="E418" s="2023" t="e">
        <v>#N/A</v>
      </c>
      <c r="F418" s="456" t="e">
        <v>#N/A</v>
      </c>
      <c r="G418" s="3598" t="e">
        <v>#N/A</v>
      </c>
      <c r="H418" s="3598" t="e">
        <v>#N/A</v>
      </c>
      <c r="I418" s="2433" t="e">
        <v>#N/A</v>
      </c>
      <c r="J418" s="339" t="e">
        <v>#N/A</v>
      </c>
      <c r="K418" s="632" t="e">
        <v>#N/A</v>
      </c>
      <c r="L418" s="3504" t="e">
        <v>#N/A</v>
      </c>
      <c r="M418" s="3504" t="e">
        <v>#N/A</v>
      </c>
      <c r="N418" s="3504" t="e">
        <v>#N/A</v>
      </c>
      <c r="O418" s="2823" t="e">
        <v>#N/A</v>
      </c>
    </row>
    <row r="419" spans="1:15">
      <c r="A419" s="388">
        <f t="shared" si="3"/>
        <v>2028.02</v>
      </c>
      <c r="B419" s="214" t="e">
        <v>#N/A</v>
      </c>
      <c r="C419" s="3598" t="e">
        <v>#N/A</v>
      </c>
      <c r="D419" s="3598" t="e">
        <v>#N/A</v>
      </c>
      <c r="E419" s="2023" t="e">
        <v>#N/A</v>
      </c>
      <c r="F419" s="456" t="e">
        <v>#N/A</v>
      </c>
      <c r="G419" s="3598" t="e">
        <v>#N/A</v>
      </c>
      <c r="H419" s="3598" t="e">
        <v>#N/A</v>
      </c>
      <c r="I419" s="2433" t="e">
        <v>#N/A</v>
      </c>
      <c r="J419" s="339" t="e">
        <v>#N/A</v>
      </c>
      <c r="K419" s="632" t="e">
        <v>#N/A</v>
      </c>
      <c r="L419" s="3504" t="e">
        <v>#N/A</v>
      </c>
      <c r="M419" s="3504" t="e">
        <v>#N/A</v>
      </c>
      <c r="N419" s="3504" t="e">
        <v>#N/A</v>
      </c>
      <c r="O419" s="2823" t="e">
        <v>#N/A</v>
      </c>
    </row>
    <row r="420" spans="1:15">
      <c r="A420" s="388">
        <f t="shared" si="3"/>
        <v>2028.03</v>
      </c>
      <c r="B420" s="214" t="e">
        <v>#N/A</v>
      </c>
      <c r="C420" s="3598" t="e">
        <v>#N/A</v>
      </c>
      <c r="D420" s="3598" t="e">
        <v>#N/A</v>
      </c>
      <c r="E420" s="2023" t="e">
        <v>#N/A</v>
      </c>
      <c r="F420" s="456" t="e">
        <v>#N/A</v>
      </c>
      <c r="G420" s="3598" t="e">
        <v>#N/A</v>
      </c>
      <c r="H420" s="3598" t="e">
        <v>#N/A</v>
      </c>
      <c r="I420" s="2433" t="e">
        <v>#N/A</v>
      </c>
      <c r="J420" s="339" t="e">
        <v>#N/A</v>
      </c>
      <c r="K420" s="632" t="e">
        <v>#N/A</v>
      </c>
      <c r="L420" s="3504" t="e">
        <v>#N/A</v>
      </c>
      <c r="M420" s="3504" t="e">
        <v>#N/A</v>
      </c>
      <c r="N420" s="3504" t="e">
        <v>#N/A</v>
      </c>
      <c r="O420" s="2823" t="e">
        <v>#N/A</v>
      </c>
    </row>
    <row r="421" spans="1:15">
      <c r="A421" s="388">
        <f t="shared" si="3"/>
        <v>2028.04</v>
      </c>
      <c r="B421" s="214" t="e">
        <v>#N/A</v>
      </c>
      <c r="C421" s="3598" t="e">
        <v>#N/A</v>
      </c>
      <c r="D421" s="3598" t="e">
        <v>#N/A</v>
      </c>
      <c r="E421" s="2023" t="e">
        <v>#N/A</v>
      </c>
      <c r="F421" s="456" t="e">
        <v>#N/A</v>
      </c>
      <c r="G421" s="3598" t="e">
        <v>#N/A</v>
      </c>
      <c r="H421" s="3598" t="e">
        <v>#N/A</v>
      </c>
      <c r="I421" s="2433" t="e">
        <v>#N/A</v>
      </c>
      <c r="J421" s="339" t="e">
        <v>#N/A</v>
      </c>
      <c r="K421" s="632" t="e">
        <v>#N/A</v>
      </c>
      <c r="L421" s="3504" t="e">
        <v>#N/A</v>
      </c>
      <c r="M421" s="3504" t="e">
        <v>#N/A</v>
      </c>
      <c r="N421" s="3504" t="e">
        <v>#N/A</v>
      </c>
      <c r="O421" s="2823" t="e">
        <v>#N/A</v>
      </c>
    </row>
    <row r="422" spans="1:15">
      <c r="A422" s="388">
        <f t="shared" si="3"/>
        <v>2028.05</v>
      </c>
      <c r="B422" s="214" t="e">
        <v>#N/A</v>
      </c>
      <c r="C422" s="3598" t="e">
        <v>#N/A</v>
      </c>
      <c r="D422" s="3598" t="e">
        <v>#N/A</v>
      </c>
      <c r="E422" s="2023" t="e">
        <v>#N/A</v>
      </c>
      <c r="F422" s="456" t="e">
        <v>#N/A</v>
      </c>
      <c r="G422" s="3598" t="e">
        <v>#N/A</v>
      </c>
      <c r="H422" s="3598" t="e">
        <v>#N/A</v>
      </c>
      <c r="I422" s="2433" t="e">
        <v>#N/A</v>
      </c>
      <c r="J422" s="339" t="e">
        <v>#N/A</v>
      </c>
      <c r="K422" s="632" t="e">
        <v>#N/A</v>
      </c>
      <c r="L422" s="3504" t="e">
        <v>#N/A</v>
      </c>
      <c r="M422" s="3504" t="e">
        <v>#N/A</v>
      </c>
      <c r="N422" s="3504" t="e">
        <v>#N/A</v>
      </c>
      <c r="O422" s="2823" t="e">
        <v>#N/A</v>
      </c>
    </row>
    <row r="423" spans="1:15">
      <c r="A423" s="388">
        <f t="shared" si="3"/>
        <v>2028.06</v>
      </c>
      <c r="B423" s="214" t="e">
        <v>#N/A</v>
      </c>
      <c r="C423" s="3598" t="e">
        <v>#N/A</v>
      </c>
      <c r="D423" s="3598" t="e">
        <v>#N/A</v>
      </c>
      <c r="E423" s="2023" t="e">
        <v>#N/A</v>
      </c>
      <c r="F423" s="456" t="e">
        <v>#N/A</v>
      </c>
      <c r="G423" s="3598" t="e">
        <v>#N/A</v>
      </c>
      <c r="H423" s="3598" t="e">
        <v>#N/A</v>
      </c>
      <c r="I423" s="2433" t="e">
        <v>#N/A</v>
      </c>
      <c r="J423" s="339" t="e">
        <v>#N/A</v>
      </c>
      <c r="K423" s="632" t="e">
        <v>#N/A</v>
      </c>
      <c r="L423" s="3504" t="e">
        <v>#N/A</v>
      </c>
      <c r="M423" s="3504" t="e">
        <v>#N/A</v>
      </c>
      <c r="N423" s="3504" t="e">
        <v>#N/A</v>
      </c>
      <c r="O423" s="2823" t="e">
        <v>#N/A</v>
      </c>
    </row>
    <row r="424" spans="1:15">
      <c r="A424" s="388">
        <f t="shared" si="3"/>
        <v>2028.07</v>
      </c>
      <c r="B424" s="214" t="e">
        <v>#N/A</v>
      </c>
      <c r="C424" s="3598" t="e">
        <v>#N/A</v>
      </c>
      <c r="D424" s="3598" t="e">
        <v>#N/A</v>
      </c>
      <c r="E424" s="2023" t="e">
        <v>#N/A</v>
      </c>
      <c r="F424" s="456" t="e">
        <v>#N/A</v>
      </c>
      <c r="G424" s="3598" t="e">
        <v>#N/A</v>
      </c>
      <c r="H424" s="3598" t="e">
        <v>#N/A</v>
      </c>
      <c r="I424" s="2433" t="e">
        <v>#N/A</v>
      </c>
      <c r="J424" s="339" t="e">
        <v>#N/A</v>
      </c>
      <c r="K424" s="632" t="e">
        <v>#N/A</v>
      </c>
      <c r="L424" s="3504" t="e">
        <v>#N/A</v>
      </c>
      <c r="M424" s="3504" t="e">
        <v>#N/A</v>
      </c>
      <c r="N424" s="3504" t="e">
        <v>#N/A</v>
      </c>
      <c r="O424" s="2823" t="e">
        <v>#N/A</v>
      </c>
    </row>
    <row r="425" spans="1:15">
      <c r="A425" s="388">
        <f t="shared" si="3"/>
        <v>2028.08</v>
      </c>
      <c r="B425" s="214" t="e">
        <v>#N/A</v>
      </c>
      <c r="C425" s="3598" t="e">
        <v>#N/A</v>
      </c>
      <c r="D425" s="3598" t="e">
        <v>#N/A</v>
      </c>
      <c r="E425" s="2023" t="e">
        <v>#N/A</v>
      </c>
      <c r="F425" s="456" t="e">
        <v>#N/A</v>
      </c>
      <c r="G425" s="3598" t="e">
        <v>#N/A</v>
      </c>
      <c r="H425" s="3598" t="e">
        <v>#N/A</v>
      </c>
      <c r="I425" s="2433" t="e">
        <v>#N/A</v>
      </c>
      <c r="J425" s="339" t="e">
        <v>#N/A</v>
      </c>
      <c r="K425" s="632" t="e">
        <v>#N/A</v>
      </c>
      <c r="L425" s="3504" t="e">
        <v>#N/A</v>
      </c>
      <c r="M425" s="3504" t="e">
        <v>#N/A</v>
      </c>
      <c r="N425" s="3504" t="e">
        <v>#N/A</v>
      </c>
      <c r="O425" s="2823" t="e">
        <v>#N/A</v>
      </c>
    </row>
    <row r="426" spans="1:15">
      <c r="A426" s="388">
        <f t="shared" si="3"/>
        <v>2028.09</v>
      </c>
      <c r="B426" s="214" t="e">
        <v>#N/A</v>
      </c>
      <c r="C426" s="3598" t="e">
        <v>#N/A</v>
      </c>
      <c r="D426" s="3598" t="e">
        <v>#N/A</v>
      </c>
      <c r="E426" s="2023" t="e">
        <v>#N/A</v>
      </c>
      <c r="F426" s="456" t="e">
        <v>#N/A</v>
      </c>
      <c r="G426" s="3598" t="e">
        <v>#N/A</v>
      </c>
      <c r="H426" s="3598" t="e">
        <v>#N/A</v>
      </c>
      <c r="I426" s="2433" t="e">
        <v>#N/A</v>
      </c>
      <c r="J426" s="339" t="e">
        <v>#N/A</v>
      </c>
      <c r="K426" s="632" t="e">
        <v>#N/A</v>
      </c>
      <c r="L426" s="3504" t="e">
        <v>#N/A</v>
      </c>
      <c r="M426" s="3504" t="e">
        <v>#N/A</v>
      </c>
      <c r="N426" s="3504" t="e">
        <v>#N/A</v>
      </c>
      <c r="O426" s="2823" t="e">
        <v>#N/A</v>
      </c>
    </row>
    <row r="427" spans="1:15">
      <c r="A427" s="388">
        <f t="shared" si="3"/>
        <v>2028.1</v>
      </c>
      <c r="B427" s="214" t="e">
        <v>#N/A</v>
      </c>
      <c r="C427" s="3598" t="e">
        <v>#N/A</v>
      </c>
      <c r="D427" s="3598" t="e">
        <v>#N/A</v>
      </c>
      <c r="E427" s="2023" t="e">
        <v>#N/A</v>
      </c>
      <c r="F427" s="456" t="e">
        <v>#N/A</v>
      </c>
      <c r="G427" s="3598" t="e">
        <v>#N/A</v>
      </c>
      <c r="H427" s="3598" t="e">
        <v>#N/A</v>
      </c>
      <c r="I427" s="2433" t="e">
        <v>#N/A</v>
      </c>
      <c r="J427" s="339" t="e">
        <v>#N/A</v>
      </c>
      <c r="K427" s="632" t="e">
        <v>#N/A</v>
      </c>
      <c r="L427" s="3504" t="e">
        <v>#N/A</v>
      </c>
      <c r="M427" s="3504" t="e">
        <v>#N/A</v>
      </c>
      <c r="N427" s="3504" t="e">
        <v>#N/A</v>
      </c>
      <c r="O427" s="2823" t="e">
        <v>#N/A</v>
      </c>
    </row>
    <row r="428" spans="1:15">
      <c r="A428" s="388">
        <f t="shared" si="3"/>
        <v>2028.11</v>
      </c>
      <c r="B428" s="214" t="e">
        <v>#N/A</v>
      </c>
      <c r="C428" s="3598" t="e">
        <v>#N/A</v>
      </c>
      <c r="D428" s="3598" t="e">
        <v>#N/A</v>
      </c>
      <c r="E428" s="2023" t="e">
        <v>#N/A</v>
      </c>
      <c r="F428" s="456" t="e">
        <v>#N/A</v>
      </c>
      <c r="G428" s="3598" t="e">
        <v>#N/A</v>
      </c>
      <c r="H428" s="3598" t="e">
        <v>#N/A</v>
      </c>
      <c r="I428" s="2433" t="e">
        <v>#N/A</v>
      </c>
      <c r="J428" s="339" t="e">
        <v>#N/A</v>
      </c>
      <c r="K428" s="632" t="e">
        <v>#N/A</v>
      </c>
      <c r="L428" s="3504" t="e">
        <v>#N/A</v>
      </c>
      <c r="M428" s="3504" t="e">
        <v>#N/A</v>
      </c>
      <c r="N428" s="3504" t="e">
        <v>#N/A</v>
      </c>
      <c r="O428" s="2823" t="e">
        <v>#N/A</v>
      </c>
    </row>
    <row r="429" spans="1:15">
      <c r="A429" s="388">
        <f t="shared" si="3"/>
        <v>2028.12</v>
      </c>
      <c r="B429" s="214" t="e">
        <v>#N/A</v>
      </c>
      <c r="C429" s="3598" t="e">
        <v>#N/A</v>
      </c>
      <c r="D429" s="3598" t="e">
        <v>#N/A</v>
      </c>
      <c r="E429" s="2023" t="e">
        <v>#N/A</v>
      </c>
      <c r="F429" s="456" t="e">
        <v>#N/A</v>
      </c>
      <c r="G429" s="3598" t="e">
        <v>#N/A</v>
      </c>
      <c r="H429" s="3598" t="e">
        <v>#N/A</v>
      </c>
      <c r="I429" s="2433" t="e">
        <v>#N/A</v>
      </c>
      <c r="J429" s="339" t="e">
        <v>#N/A</v>
      </c>
      <c r="K429" s="632" t="e">
        <v>#N/A</v>
      </c>
      <c r="L429" s="3504" t="e">
        <v>#N/A</v>
      </c>
      <c r="M429" s="3504" t="e">
        <v>#N/A</v>
      </c>
      <c r="N429" s="3504" t="e">
        <v>#N/A</v>
      </c>
      <c r="O429" s="2823" t="e">
        <v>#N/A</v>
      </c>
    </row>
    <row r="430" spans="1:15">
      <c r="A430" s="388">
        <f t="shared" si="3"/>
        <v>2029.01</v>
      </c>
      <c r="B430" s="214" t="e">
        <v>#N/A</v>
      </c>
      <c r="C430" s="3598" t="e">
        <v>#N/A</v>
      </c>
      <c r="D430" s="3598" t="e">
        <v>#N/A</v>
      </c>
      <c r="E430" s="2023" t="e">
        <v>#N/A</v>
      </c>
      <c r="F430" s="456" t="e">
        <v>#N/A</v>
      </c>
      <c r="G430" s="3598" t="e">
        <v>#N/A</v>
      </c>
      <c r="H430" s="3598" t="e">
        <v>#N/A</v>
      </c>
      <c r="I430" s="2433" t="e">
        <v>#N/A</v>
      </c>
      <c r="J430" s="339" t="e">
        <v>#N/A</v>
      </c>
      <c r="K430" s="632" t="e">
        <v>#N/A</v>
      </c>
      <c r="L430" s="3504" t="e">
        <v>#N/A</v>
      </c>
      <c r="M430" s="3504" t="e">
        <v>#N/A</v>
      </c>
      <c r="N430" s="3504" t="e">
        <v>#N/A</v>
      </c>
      <c r="O430" s="2823" t="e">
        <v>#N/A</v>
      </c>
    </row>
    <row r="431" spans="1:15">
      <c r="A431" s="388">
        <f t="shared" si="3"/>
        <v>2029.02</v>
      </c>
      <c r="B431" s="214" t="e">
        <v>#N/A</v>
      </c>
      <c r="C431" s="3598" t="e">
        <v>#N/A</v>
      </c>
      <c r="D431" s="3598" t="e">
        <v>#N/A</v>
      </c>
      <c r="E431" s="2023" t="e">
        <v>#N/A</v>
      </c>
      <c r="F431" s="456" t="e">
        <v>#N/A</v>
      </c>
      <c r="G431" s="3598" t="e">
        <v>#N/A</v>
      </c>
      <c r="H431" s="3598" t="e">
        <v>#N/A</v>
      </c>
      <c r="I431" s="2433" t="e">
        <v>#N/A</v>
      </c>
      <c r="J431" s="339" t="e">
        <v>#N/A</v>
      </c>
      <c r="K431" s="632" t="e">
        <v>#N/A</v>
      </c>
      <c r="L431" s="3504" t="e">
        <v>#N/A</v>
      </c>
      <c r="M431" s="3504" t="e">
        <v>#N/A</v>
      </c>
      <c r="N431" s="3504" t="e">
        <v>#N/A</v>
      </c>
      <c r="O431" s="2823" t="e">
        <v>#N/A</v>
      </c>
    </row>
    <row r="432" spans="1:15">
      <c r="A432" s="388">
        <f t="shared" si="3"/>
        <v>2029.03</v>
      </c>
      <c r="B432" s="214" t="e">
        <v>#N/A</v>
      </c>
      <c r="C432" s="3598" t="e">
        <v>#N/A</v>
      </c>
      <c r="D432" s="3598" t="e">
        <v>#N/A</v>
      </c>
      <c r="E432" s="2023" t="e">
        <v>#N/A</v>
      </c>
      <c r="F432" s="456" t="e">
        <v>#N/A</v>
      </c>
      <c r="G432" s="3598" t="e">
        <v>#N/A</v>
      </c>
      <c r="H432" s="3598" t="e">
        <v>#N/A</v>
      </c>
      <c r="I432" s="2433" t="e">
        <v>#N/A</v>
      </c>
      <c r="J432" s="339" t="e">
        <v>#N/A</v>
      </c>
      <c r="K432" s="632" t="e">
        <v>#N/A</v>
      </c>
      <c r="L432" s="3504" t="e">
        <v>#N/A</v>
      </c>
      <c r="M432" s="3504" t="e">
        <v>#N/A</v>
      </c>
      <c r="N432" s="3504" t="e">
        <v>#N/A</v>
      </c>
      <c r="O432" s="2823" t="e">
        <v>#N/A</v>
      </c>
    </row>
    <row r="433" spans="1:15">
      <c r="A433" s="388">
        <f t="shared" si="3"/>
        <v>2029.04</v>
      </c>
      <c r="B433" s="214" t="e">
        <v>#N/A</v>
      </c>
      <c r="C433" s="3598" t="e">
        <v>#N/A</v>
      </c>
      <c r="D433" s="3598" t="e">
        <v>#N/A</v>
      </c>
      <c r="E433" s="2023" t="e">
        <v>#N/A</v>
      </c>
      <c r="F433" s="456" t="e">
        <v>#N/A</v>
      </c>
      <c r="G433" s="3598" t="e">
        <v>#N/A</v>
      </c>
      <c r="H433" s="3598" t="e">
        <v>#N/A</v>
      </c>
      <c r="I433" s="2433" t="e">
        <v>#N/A</v>
      </c>
      <c r="J433" s="339" t="e">
        <v>#N/A</v>
      </c>
      <c r="K433" s="632" t="e">
        <v>#N/A</v>
      </c>
      <c r="L433" s="3504" t="e">
        <v>#N/A</v>
      </c>
      <c r="M433" s="3504" t="e">
        <v>#N/A</v>
      </c>
      <c r="N433" s="3504" t="e">
        <v>#N/A</v>
      </c>
      <c r="O433" s="2823" t="e">
        <v>#N/A</v>
      </c>
    </row>
    <row r="434" spans="1:15">
      <c r="A434" s="388">
        <f t="shared" si="3"/>
        <v>2029.05</v>
      </c>
      <c r="B434" s="214" t="e">
        <v>#N/A</v>
      </c>
      <c r="C434" s="3598" t="e">
        <v>#N/A</v>
      </c>
      <c r="D434" s="3598" t="e">
        <v>#N/A</v>
      </c>
      <c r="E434" s="2023" t="e">
        <v>#N/A</v>
      </c>
      <c r="F434" s="456" t="e">
        <v>#N/A</v>
      </c>
      <c r="G434" s="3598" t="e">
        <v>#N/A</v>
      </c>
      <c r="H434" s="3598" t="e">
        <v>#N/A</v>
      </c>
      <c r="I434" s="2433" t="e">
        <v>#N/A</v>
      </c>
      <c r="J434" s="339" t="e">
        <v>#N/A</v>
      </c>
      <c r="K434" s="632" t="e">
        <v>#N/A</v>
      </c>
      <c r="L434" s="3504" t="e">
        <v>#N/A</v>
      </c>
      <c r="M434" s="3504" t="e">
        <v>#N/A</v>
      </c>
      <c r="N434" s="3504" t="e">
        <v>#N/A</v>
      </c>
      <c r="O434" s="2823" t="e">
        <v>#N/A</v>
      </c>
    </row>
    <row r="435" spans="1:15">
      <c r="A435" s="388">
        <f t="shared" si="3"/>
        <v>2029.06</v>
      </c>
      <c r="B435" s="214" t="e">
        <v>#N/A</v>
      </c>
      <c r="C435" s="3598" t="e">
        <v>#N/A</v>
      </c>
      <c r="D435" s="3598" t="e">
        <v>#N/A</v>
      </c>
      <c r="E435" s="2023" t="e">
        <v>#N/A</v>
      </c>
      <c r="F435" s="456" t="e">
        <v>#N/A</v>
      </c>
      <c r="G435" s="3598" t="e">
        <v>#N/A</v>
      </c>
      <c r="H435" s="3598" t="e">
        <v>#N/A</v>
      </c>
      <c r="I435" s="2433" t="e">
        <v>#N/A</v>
      </c>
      <c r="J435" s="339" t="e">
        <v>#N/A</v>
      </c>
      <c r="K435" s="632" t="e">
        <v>#N/A</v>
      </c>
      <c r="L435" s="3504" t="e">
        <v>#N/A</v>
      </c>
      <c r="M435" s="3504" t="e">
        <v>#N/A</v>
      </c>
      <c r="N435" s="3504" t="e">
        <v>#N/A</v>
      </c>
      <c r="O435" s="2823" t="e">
        <v>#N/A</v>
      </c>
    </row>
    <row r="436" spans="1:15">
      <c r="A436" s="388">
        <f t="shared" si="3"/>
        <v>2029.07</v>
      </c>
      <c r="B436" s="214" t="e">
        <v>#N/A</v>
      </c>
      <c r="C436" s="3598" t="e">
        <v>#N/A</v>
      </c>
      <c r="D436" s="3598" t="e">
        <v>#N/A</v>
      </c>
      <c r="E436" s="2023" t="e">
        <v>#N/A</v>
      </c>
      <c r="F436" s="456" t="e">
        <v>#N/A</v>
      </c>
      <c r="G436" s="3598" t="e">
        <v>#N/A</v>
      </c>
      <c r="H436" s="3598" t="e">
        <v>#N/A</v>
      </c>
      <c r="I436" s="2433" t="e">
        <v>#N/A</v>
      </c>
      <c r="J436" s="339" t="e">
        <v>#N/A</v>
      </c>
      <c r="K436" s="632" t="e">
        <v>#N/A</v>
      </c>
      <c r="L436" s="3504" t="e">
        <v>#N/A</v>
      </c>
      <c r="M436" s="3504" t="e">
        <v>#N/A</v>
      </c>
      <c r="N436" s="3504" t="e">
        <v>#N/A</v>
      </c>
      <c r="O436" s="2823" t="e">
        <v>#N/A</v>
      </c>
    </row>
    <row r="437" spans="1:15">
      <c r="A437" s="388">
        <f t="shared" si="3"/>
        <v>2029.08</v>
      </c>
      <c r="B437" s="214" t="e">
        <v>#N/A</v>
      </c>
      <c r="C437" s="3598" t="e">
        <v>#N/A</v>
      </c>
      <c r="D437" s="3598" t="e">
        <v>#N/A</v>
      </c>
      <c r="E437" s="2023" t="e">
        <v>#N/A</v>
      </c>
      <c r="F437" s="456" t="e">
        <v>#N/A</v>
      </c>
      <c r="G437" s="3598" t="e">
        <v>#N/A</v>
      </c>
      <c r="H437" s="3598" t="e">
        <v>#N/A</v>
      </c>
      <c r="I437" s="2433" t="e">
        <v>#N/A</v>
      </c>
      <c r="J437" s="339" t="e">
        <v>#N/A</v>
      </c>
      <c r="K437" s="632" t="e">
        <v>#N/A</v>
      </c>
      <c r="L437" s="3504" t="e">
        <v>#N/A</v>
      </c>
      <c r="M437" s="3504" t="e">
        <v>#N/A</v>
      </c>
      <c r="N437" s="3504" t="e">
        <v>#N/A</v>
      </c>
      <c r="O437" s="2823" t="e">
        <v>#N/A</v>
      </c>
    </row>
    <row r="438" spans="1:15">
      <c r="A438" s="388">
        <f t="shared" si="3"/>
        <v>2029.09</v>
      </c>
      <c r="B438" s="214" t="e">
        <v>#N/A</v>
      </c>
      <c r="C438" s="3598" t="e">
        <v>#N/A</v>
      </c>
      <c r="D438" s="3598" t="e">
        <v>#N/A</v>
      </c>
      <c r="E438" s="2023" t="e">
        <v>#N/A</v>
      </c>
      <c r="F438" s="456" t="e">
        <v>#N/A</v>
      </c>
      <c r="G438" s="3598" t="e">
        <v>#N/A</v>
      </c>
      <c r="H438" s="3598" t="e">
        <v>#N/A</v>
      </c>
      <c r="I438" s="2433" t="e">
        <v>#N/A</v>
      </c>
      <c r="J438" s="339" t="e">
        <v>#N/A</v>
      </c>
      <c r="K438" s="632" t="e">
        <v>#N/A</v>
      </c>
      <c r="L438" s="3504" t="e">
        <v>#N/A</v>
      </c>
      <c r="M438" s="3504" t="e">
        <v>#N/A</v>
      </c>
      <c r="N438" s="3504" t="e">
        <v>#N/A</v>
      </c>
      <c r="O438" s="2823" t="e">
        <v>#N/A</v>
      </c>
    </row>
    <row r="439" spans="1:15">
      <c r="A439" s="388">
        <f t="shared" si="3"/>
        <v>2029.1</v>
      </c>
      <c r="B439" s="214" t="e">
        <v>#N/A</v>
      </c>
      <c r="C439" s="3598" t="e">
        <v>#N/A</v>
      </c>
      <c r="D439" s="3598" t="e">
        <v>#N/A</v>
      </c>
      <c r="E439" s="2023" t="e">
        <v>#N/A</v>
      </c>
      <c r="F439" s="456" t="e">
        <v>#N/A</v>
      </c>
      <c r="G439" s="3598" t="e">
        <v>#N/A</v>
      </c>
      <c r="H439" s="3598" t="e">
        <v>#N/A</v>
      </c>
      <c r="I439" s="2433" t="e">
        <v>#N/A</v>
      </c>
      <c r="J439" s="339" t="e">
        <v>#N/A</v>
      </c>
      <c r="K439" s="632" t="e">
        <v>#N/A</v>
      </c>
      <c r="L439" s="3504" t="e">
        <v>#N/A</v>
      </c>
      <c r="M439" s="3504" t="e">
        <v>#N/A</v>
      </c>
      <c r="N439" s="3504" t="e">
        <v>#N/A</v>
      </c>
      <c r="O439" s="2823" t="e">
        <v>#N/A</v>
      </c>
    </row>
    <row r="440" spans="1:15">
      <c r="A440" s="388">
        <f t="shared" si="3"/>
        <v>2029.11</v>
      </c>
      <c r="B440" s="214" t="e">
        <v>#N/A</v>
      </c>
      <c r="C440" s="3598" t="e">
        <v>#N/A</v>
      </c>
      <c r="D440" s="3598" t="e">
        <v>#N/A</v>
      </c>
      <c r="E440" s="2023" t="e">
        <v>#N/A</v>
      </c>
      <c r="F440" s="456" t="e">
        <v>#N/A</v>
      </c>
      <c r="G440" s="3598" t="e">
        <v>#N/A</v>
      </c>
      <c r="H440" s="3598" t="e">
        <v>#N/A</v>
      </c>
      <c r="I440" s="2433" t="e">
        <v>#N/A</v>
      </c>
      <c r="J440" s="339" t="e">
        <v>#N/A</v>
      </c>
      <c r="K440" s="632" t="e">
        <v>#N/A</v>
      </c>
      <c r="L440" s="3504" t="e">
        <v>#N/A</v>
      </c>
      <c r="M440" s="3504" t="e">
        <v>#N/A</v>
      </c>
      <c r="N440" s="3504" t="e">
        <v>#N/A</v>
      </c>
      <c r="O440" s="2823" t="e">
        <v>#N/A</v>
      </c>
    </row>
    <row r="441" spans="1:15">
      <c r="A441" s="388">
        <f t="shared" si="3"/>
        <v>2029.12</v>
      </c>
      <c r="B441" s="214" t="e">
        <v>#N/A</v>
      </c>
      <c r="C441" s="3598" t="e">
        <v>#N/A</v>
      </c>
      <c r="D441" s="3598" t="e">
        <v>#N/A</v>
      </c>
      <c r="E441" s="2023" t="e">
        <v>#N/A</v>
      </c>
      <c r="F441" s="456" t="e">
        <v>#N/A</v>
      </c>
      <c r="G441" s="3598" t="e">
        <v>#N/A</v>
      </c>
      <c r="H441" s="3598" t="e">
        <v>#N/A</v>
      </c>
      <c r="I441" s="2433" t="e">
        <v>#N/A</v>
      </c>
      <c r="J441" s="339" t="e">
        <v>#N/A</v>
      </c>
      <c r="K441" s="632" t="e">
        <v>#N/A</v>
      </c>
      <c r="L441" s="3504" t="e">
        <v>#N/A</v>
      </c>
      <c r="M441" s="3504" t="e">
        <v>#N/A</v>
      </c>
      <c r="N441" s="3504" t="e">
        <v>#N/A</v>
      </c>
      <c r="O441" s="2823" t="e">
        <v>#N/A</v>
      </c>
    </row>
    <row r="442" spans="1:15">
      <c r="A442" s="388">
        <f t="shared" si="3"/>
        <v>2030.01</v>
      </c>
      <c r="B442" s="214" t="e">
        <v>#N/A</v>
      </c>
      <c r="C442" s="3598" t="e">
        <v>#N/A</v>
      </c>
      <c r="D442" s="3598" t="e">
        <v>#N/A</v>
      </c>
      <c r="E442" s="2023" t="e">
        <v>#N/A</v>
      </c>
      <c r="F442" s="456" t="e">
        <v>#N/A</v>
      </c>
      <c r="G442" s="3598" t="e">
        <v>#N/A</v>
      </c>
      <c r="H442" s="3598" t="e">
        <v>#N/A</v>
      </c>
      <c r="I442" s="2433" t="e">
        <v>#N/A</v>
      </c>
      <c r="J442" s="339" t="e">
        <v>#N/A</v>
      </c>
      <c r="K442" s="632" t="e">
        <v>#N/A</v>
      </c>
      <c r="L442" s="3504" t="e">
        <v>#N/A</v>
      </c>
      <c r="M442" s="3504" t="e">
        <v>#N/A</v>
      </c>
      <c r="N442" s="3504" t="e">
        <v>#N/A</v>
      </c>
      <c r="O442" s="2823" t="e">
        <v>#N/A</v>
      </c>
    </row>
    <row r="443" spans="1:15">
      <c r="A443" s="388">
        <f t="shared" si="3"/>
        <v>2030.02</v>
      </c>
      <c r="B443" s="214" t="e">
        <v>#N/A</v>
      </c>
      <c r="C443" s="3598" t="e">
        <v>#N/A</v>
      </c>
      <c r="D443" s="3598" t="e">
        <v>#N/A</v>
      </c>
      <c r="E443" s="2023" t="e">
        <v>#N/A</v>
      </c>
      <c r="F443" s="456" t="e">
        <v>#N/A</v>
      </c>
      <c r="G443" s="3598" t="e">
        <v>#N/A</v>
      </c>
      <c r="H443" s="3598" t="e">
        <v>#N/A</v>
      </c>
      <c r="I443" s="2433" t="e">
        <v>#N/A</v>
      </c>
      <c r="J443" s="339" t="e">
        <v>#N/A</v>
      </c>
      <c r="K443" s="632" t="e">
        <v>#N/A</v>
      </c>
      <c r="L443" s="3504" t="e">
        <v>#N/A</v>
      </c>
      <c r="M443" s="3504" t="e">
        <v>#N/A</v>
      </c>
      <c r="N443" s="3504" t="e">
        <v>#N/A</v>
      </c>
      <c r="O443" s="2823" t="e">
        <v>#N/A</v>
      </c>
    </row>
    <row r="444" spans="1:15">
      <c r="A444" s="388">
        <f t="shared" si="3"/>
        <v>2030.03</v>
      </c>
      <c r="B444" s="214" t="e">
        <v>#N/A</v>
      </c>
      <c r="C444" s="3598" t="e">
        <v>#N/A</v>
      </c>
      <c r="D444" s="3598" t="e">
        <v>#N/A</v>
      </c>
      <c r="E444" s="2023" t="e">
        <v>#N/A</v>
      </c>
      <c r="F444" s="456" t="e">
        <v>#N/A</v>
      </c>
      <c r="G444" s="3598" t="e">
        <v>#N/A</v>
      </c>
      <c r="H444" s="3598" t="e">
        <v>#N/A</v>
      </c>
      <c r="I444" s="2433" t="e">
        <v>#N/A</v>
      </c>
      <c r="J444" s="339" t="e">
        <v>#N/A</v>
      </c>
      <c r="K444" s="632" t="e">
        <v>#N/A</v>
      </c>
      <c r="L444" s="3504" t="e">
        <v>#N/A</v>
      </c>
      <c r="M444" s="3504" t="e">
        <v>#N/A</v>
      </c>
      <c r="N444" s="3504" t="e">
        <v>#N/A</v>
      </c>
      <c r="O444" s="2823" t="e">
        <v>#N/A</v>
      </c>
    </row>
    <row r="445" spans="1:15">
      <c r="A445" s="388">
        <f t="shared" si="3"/>
        <v>2030.04</v>
      </c>
      <c r="B445" s="214" t="e">
        <v>#N/A</v>
      </c>
      <c r="C445" s="3598" t="e">
        <v>#N/A</v>
      </c>
      <c r="D445" s="3598" t="e">
        <v>#N/A</v>
      </c>
      <c r="E445" s="2023" t="e">
        <v>#N/A</v>
      </c>
      <c r="F445" s="456" t="e">
        <v>#N/A</v>
      </c>
      <c r="G445" s="3598" t="e">
        <v>#N/A</v>
      </c>
      <c r="H445" s="3598" t="e">
        <v>#N/A</v>
      </c>
      <c r="I445" s="2433" t="e">
        <v>#N/A</v>
      </c>
      <c r="J445" s="339" t="e">
        <v>#N/A</v>
      </c>
      <c r="K445" s="632" t="e">
        <v>#N/A</v>
      </c>
      <c r="L445" s="3504" t="e">
        <v>#N/A</v>
      </c>
      <c r="M445" s="3504" t="e">
        <v>#N/A</v>
      </c>
      <c r="N445" s="3504" t="e">
        <v>#N/A</v>
      </c>
      <c r="O445" s="2823" t="e">
        <v>#N/A</v>
      </c>
    </row>
    <row r="446" spans="1:15">
      <c r="A446" s="388">
        <f t="shared" ref="A446:A453" si="4">A434+1</f>
        <v>2030.05</v>
      </c>
      <c r="B446" s="214" t="e">
        <v>#N/A</v>
      </c>
      <c r="C446" s="3598" t="e">
        <v>#N/A</v>
      </c>
      <c r="D446" s="3598" t="e">
        <v>#N/A</v>
      </c>
      <c r="E446" s="2023" t="e">
        <v>#N/A</v>
      </c>
      <c r="F446" s="456" t="e">
        <v>#N/A</v>
      </c>
      <c r="G446" s="3598" t="e">
        <v>#N/A</v>
      </c>
      <c r="H446" s="3598" t="e">
        <v>#N/A</v>
      </c>
      <c r="I446" s="2433" t="e">
        <v>#N/A</v>
      </c>
      <c r="J446" s="339" t="e">
        <v>#N/A</v>
      </c>
      <c r="K446" s="632" t="e">
        <v>#N/A</v>
      </c>
      <c r="L446" s="3504" t="e">
        <v>#N/A</v>
      </c>
      <c r="M446" s="3504" t="e">
        <v>#N/A</v>
      </c>
      <c r="N446" s="3504" t="e">
        <v>#N/A</v>
      </c>
      <c r="O446" s="2823" t="e">
        <v>#N/A</v>
      </c>
    </row>
    <row r="447" spans="1:15">
      <c r="A447" s="388">
        <f t="shared" si="4"/>
        <v>2030.06</v>
      </c>
      <c r="B447" s="214" t="e">
        <v>#N/A</v>
      </c>
      <c r="C447" s="3598" t="e">
        <v>#N/A</v>
      </c>
      <c r="D447" s="3598" t="e">
        <v>#N/A</v>
      </c>
      <c r="E447" s="2023" t="e">
        <v>#N/A</v>
      </c>
      <c r="F447" s="456" t="e">
        <v>#N/A</v>
      </c>
      <c r="G447" s="3598" t="e">
        <v>#N/A</v>
      </c>
      <c r="H447" s="3598" t="e">
        <v>#N/A</v>
      </c>
      <c r="I447" s="2433" t="e">
        <v>#N/A</v>
      </c>
      <c r="J447" s="339" t="e">
        <v>#N/A</v>
      </c>
      <c r="K447" s="632" t="e">
        <v>#N/A</v>
      </c>
      <c r="L447" s="3504" t="e">
        <v>#N/A</v>
      </c>
      <c r="M447" s="3504" t="e">
        <v>#N/A</v>
      </c>
      <c r="N447" s="3504" t="e">
        <v>#N/A</v>
      </c>
      <c r="O447" s="2823" t="e">
        <v>#N/A</v>
      </c>
    </row>
    <row r="448" spans="1:15">
      <c r="A448" s="388">
        <f t="shared" si="4"/>
        <v>2030.07</v>
      </c>
      <c r="B448" s="214" t="e">
        <v>#N/A</v>
      </c>
      <c r="C448" s="3598" t="e">
        <v>#N/A</v>
      </c>
      <c r="D448" s="3598" t="e">
        <v>#N/A</v>
      </c>
      <c r="E448" s="2023" t="e">
        <v>#N/A</v>
      </c>
      <c r="F448" s="456" t="e">
        <v>#N/A</v>
      </c>
      <c r="G448" s="3598" t="e">
        <v>#N/A</v>
      </c>
      <c r="H448" s="3598" t="e">
        <v>#N/A</v>
      </c>
      <c r="I448" s="2433" t="e">
        <v>#N/A</v>
      </c>
      <c r="J448" s="339" t="e">
        <v>#N/A</v>
      </c>
      <c r="K448" s="632" t="e">
        <v>#N/A</v>
      </c>
      <c r="L448" s="3504" t="e">
        <v>#N/A</v>
      </c>
      <c r="M448" s="3504" t="e">
        <v>#N/A</v>
      </c>
      <c r="N448" s="3504" t="e">
        <v>#N/A</v>
      </c>
      <c r="O448" s="2823" t="e">
        <v>#N/A</v>
      </c>
    </row>
    <row r="449" spans="1:15">
      <c r="A449" s="388">
        <f t="shared" si="4"/>
        <v>2030.08</v>
      </c>
      <c r="B449" s="214" t="e">
        <v>#N/A</v>
      </c>
      <c r="C449" s="3598" t="e">
        <v>#N/A</v>
      </c>
      <c r="D449" s="3598" t="e">
        <v>#N/A</v>
      </c>
      <c r="E449" s="2023" t="e">
        <v>#N/A</v>
      </c>
      <c r="F449" s="456" t="e">
        <v>#N/A</v>
      </c>
      <c r="G449" s="3598" t="e">
        <v>#N/A</v>
      </c>
      <c r="H449" s="3598" t="e">
        <v>#N/A</v>
      </c>
      <c r="I449" s="2433" t="e">
        <v>#N/A</v>
      </c>
      <c r="J449" s="339" t="e">
        <v>#N/A</v>
      </c>
      <c r="K449" s="632" t="e">
        <v>#N/A</v>
      </c>
      <c r="L449" s="3504" t="e">
        <v>#N/A</v>
      </c>
      <c r="M449" s="3504" t="e">
        <v>#N/A</v>
      </c>
      <c r="N449" s="3504" t="e">
        <v>#N/A</v>
      </c>
      <c r="O449" s="2823" t="e">
        <v>#N/A</v>
      </c>
    </row>
    <row r="450" spans="1:15">
      <c r="A450" s="388">
        <f t="shared" si="4"/>
        <v>2030.09</v>
      </c>
      <c r="B450" s="214" t="e">
        <v>#N/A</v>
      </c>
      <c r="C450" s="3598" t="e">
        <v>#N/A</v>
      </c>
      <c r="D450" s="3598" t="e">
        <v>#N/A</v>
      </c>
      <c r="E450" s="2023" t="e">
        <v>#N/A</v>
      </c>
      <c r="F450" s="456" t="e">
        <v>#N/A</v>
      </c>
      <c r="G450" s="3598" t="e">
        <v>#N/A</v>
      </c>
      <c r="H450" s="3598" t="e">
        <v>#N/A</v>
      </c>
      <c r="I450" s="2433" t="e">
        <v>#N/A</v>
      </c>
      <c r="J450" s="339" t="e">
        <v>#N/A</v>
      </c>
      <c r="K450" s="632" t="e">
        <v>#N/A</v>
      </c>
      <c r="L450" s="3504" t="e">
        <v>#N/A</v>
      </c>
      <c r="M450" s="3504" t="e">
        <v>#N/A</v>
      </c>
      <c r="N450" s="3504" t="e">
        <v>#N/A</v>
      </c>
      <c r="O450" s="2823" t="e">
        <v>#N/A</v>
      </c>
    </row>
    <row r="451" spans="1:15">
      <c r="A451" s="388">
        <f t="shared" si="4"/>
        <v>2030.1</v>
      </c>
      <c r="B451" s="214" t="e">
        <v>#N/A</v>
      </c>
      <c r="C451" s="3598" t="e">
        <v>#N/A</v>
      </c>
      <c r="D451" s="3598" t="e">
        <v>#N/A</v>
      </c>
      <c r="E451" s="2023" t="e">
        <v>#N/A</v>
      </c>
      <c r="F451" s="456" t="e">
        <v>#N/A</v>
      </c>
      <c r="G451" s="3598" t="e">
        <v>#N/A</v>
      </c>
      <c r="H451" s="3598" t="e">
        <v>#N/A</v>
      </c>
      <c r="I451" s="2433" t="e">
        <v>#N/A</v>
      </c>
      <c r="J451" s="339" t="e">
        <v>#N/A</v>
      </c>
      <c r="K451" s="632" t="e">
        <v>#N/A</v>
      </c>
      <c r="L451" s="3504" t="e">
        <v>#N/A</v>
      </c>
      <c r="M451" s="3504" t="e">
        <v>#N/A</v>
      </c>
      <c r="N451" s="3504" t="e">
        <v>#N/A</v>
      </c>
      <c r="O451" s="2823" t="e">
        <v>#N/A</v>
      </c>
    </row>
    <row r="452" spans="1:15">
      <c r="A452" s="388">
        <f t="shared" si="4"/>
        <v>2030.11</v>
      </c>
      <c r="B452" s="214" t="e">
        <v>#N/A</v>
      </c>
      <c r="C452" s="3598" t="e">
        <v>#N/A</v>
      </c>
      <c r="D452" s="3598" t="e">
        <v>#N/A</v>
      </c>
      <c r="E452" s="2023" t="e">
        <v>#N/A</v>
      </c>
      <c r="F452" s="456" t="e">
        <v>#N/A</v>
      </c>
      <c r="G452" s="3598" t="e">
        <v>#N/A</v>
      </c>
      <c r="H452" s="3598" t="e">
        <v>#N/A</v>
      </c>
      <c r="I452" s="2433" t="e">
        <v>#N/A</v>
      </c>
      <c r="J452" s="339" t="e">
        <v>#N/A</v>
      </c>
      <c r="K452" s="632" t="e">
        <v>#N/A</v>
      </c>
      <c r="L452" s="3504" t="e">
        <v>#N/A</v>
      </c>
      <c r="M452" s="3504" t="e">
        <v>#N/A</v>
      </c>
      <c r="N452" s="3504" t="e">
        <v>#N/A</v>
      </c>
      <c r="O452" s="2823" t="e">
        <v>#N/A</v>
      </c>
    </row>
    <row r="453" spans="1:15">
      <c r="A453" s="388">
        <f t="shared" si="4"/>
        <v>2030.12</v>
      </c>
      <c r="B453" s="214" t="e">
        <v>#N/A</v>
      </c>
      <c r="C453" s="3598" t="e">
        <v>#N/A</v>
      </c>
      <c r="D453" s="3598" t="e">
        <v>#N/A</v>
      </c>
      <c r="E453" s="2023" t="e">
        <v>#N/A</v>
      </c>
      <c r="F453" s="456" t="e">
        <v>#N/A</v>
      </c>
      <c r="G453" s="3598" t="e">
        <v>#N/A</v>
      </c>
      <c r="H453" s="3598" t="e">
        <v>#N/A</v>
      </c>
      <c r="I453" s="2433" t="e">
        <v>#N/A</v>
      </c>
      <c r="J453" s="339" t="e">
        <v>#N/A</v>
      </c>
      <c r="K453" s="632" t="e">
        <v>#N/A</v>
      </c>
      <c r="L453" s="3504" t="e">
        <v>#N/A</v>
      </c>
      <c r="M453" s="3504" t="e">
        <v>#N/A</v>
      </c>
      <c r="N453" s="3504" t="e">
        <v>#N/A</v>
      </c>
      <c r="O453" s="2823" t="e">
        <v>#N/A</v>
      </c>
    </row>
    <row r="454" spans="1:15">
      <c r="A454" s="52"/>
      <c r="B454" s="52"/>
      <c r="C454" s="52"/>
      <c r="D454" s="52"/>
      <c r="E454" s="52"/>
      <c r="F454" s="52"/>
      <c r="G454" s="52"/>
      <c r="H454" s="52"/>
      <c r="I454" s="52"/>
    </row>
    <row r="455" spans="1:15">
      <c r="A455" s="52"/>
      <c r="B455" s="52"/>
      <c r="C455" s="52"/>
      <c r="D455" s="52"/>
      <c r="E455" s="52"/>
      <c r="F455" s="52"/>
      <c r="G455" s="52"/>
      <c r="H455" s="52"/>
      <c r="I455" s="52"/>
    </row>
    <row r="456" spans="1:15">
      <c r="A456" s="52"/>
      <c r="B456" s="52"/>
      <c r="C456" s="52"/>
      <c r="D456" s="52"/>
      <c r="E456" s="52"/>
      <c r="F456" s="52"/>
      <c r="G456" s="52"/>
      <c r="H456" s="52"/>
      <c r="I456" s="52"/>
    </row>
    <row r="457" spans="1:15">
      <c r="A457" s="52"/>
      <c r="B457" s="52"/>
      <c r="C457" s="52"/>
      <c r="D457" s="52"/>
      <c r="E457" s="52"/>
      <c r="F457" s="52"/>
      <c r="G457" s="52"/>
      <c r="H457" s="52"/>
      <c r="I457" s="52"/>
    </row>
    <row r="459" spans="1:15">
      <c r="A459" s="52"/>
      <c r="B459" s="52"/>
      <c r="C459" s="52"/>
      <c r="D459" s="52"/>
      <c r="E459" s="52"/>
      <c r="F459" s="52"/>
      <c r="G459" s="52"/>
      <c r="H459" s="52"/>
      <c r="I459" s="52"/>
    </row>
    <row r="460" spans="1:15">
      <c r="A460" s="52"/>
      <c r="B460" s="52"/>
      <c r="C460" s="52"/>
      <c r="D460" s="52"/>
      <c r="E460" s="52"/>
      <c r="F460" s="52"/>
      <c r="G460" s="52"/>
      <c r="H460" s="52"/>
      <c r="I460" s="52"/>
    </row>
    <row r="461" spans="1:15">
      <c r="A461" s="52"/>
      <c r="B461" s="52"/>
      <c r="C461" s="52"/>
      <c r="D461" s="52"/>
      <c r="E461" s="52"/>
      <c r="F461" s="52"/>
      <c r="G461" s="52"/>
      <c r="H461" s="52"/>
      <c r="I461" s="52"/>
    </row>
    <row r="462" spans="1:15">
      <c r="A462" s="52"/>
      <c r="B462" s="52"/>
      <c r="C462" s="52"/>
      <c r="D462" s="52"/>
      <c r="E462" s="52"/>
      <c r="F462" s="52"/>
      <c r="G462" s="52"/>
      <c r="H462" s="52"/>
      <c r="I462" s="52"/>
    </row>
    <row r="464" spans="1:15">
      <c r="A464" s="52"/>
      <c r="B464" s="52"/>
      <c r="C464" s="52"/>
      <c r="D464" s="52"/>
      <c r="E464" s="52"/>
      <c r="F464" s="52"/>
      <c r="G464" s="52"/>
      <c r="H464" s="52"/>
      <c r="I464" s="52"/>
    </row>
    <row r="465" spans="9:21">
      <c r="I465" s="52"/>
      <c r="P465" s="166"/>
      <c r="Q465" s="166"/>
      <c r="R465" s="166"/>
      <c r="S465" s="166"/>
      <c r="T465" s="166"/>
      <c r="U465" s="166"/>
    </row>
    <row r="466" spans="9:21">
      <c r="I466" s="52"/>
      <c r="P466" s="166"/>
      <c r="Q466" s="166"/>
      <c r="R466" s="166"/>
      <c r="S466" s="166"/>
      <c r="T466" s="166"/>
      <c r="U466" s="166"/>
    </row>
    <row r="467" spans="9:21">
      <c r="I467" s="52"/>
      <c r="P467" s="166"/>
      <c r="Q467" s="166"/>
      <c r="R467" s="166"/>
      <c r="S467" s="166"/>
      <c r="T467" s="166"/>
      <c r="U467" s="166"/>
    </row>
    <row r="469" spans="9:21">
      <c r="I469" s="52"/>
      <c r="P469" s="166"/>
      <c r="Q469" s="166"/>
      <c r="R469" s="166"/>
      <c r="S469" s="166"/>
      <c r="T469" s="166"/>
      <c r="U469" s="166"/>
    </row>
    <row r="470" spans="9:21">
      <c r="I470" s="52"/>
      <c r="P470" s="166"/>
      <c r="Q470" s="166"/>
      <c r="R470" s="166"/>
      <c r="S470" s="166"/>
      <c r="T470" s="166"/>
      <c r="U470" s="166"/>
    </row>
    <row r="471" spans="9:21">
      <c r="I471" s="52"/>
      <c r="P471" s="166"/>
      <c r="Q471" s="166"/>
      <c r="R471" s="166"/>
      <c r="S471" s="166"/>
      <c r="T471" s="166"/>
      <c r="U471" s="166"/>
    </row>
    <row r="472" spans="9:21">
      <c r="I472" s="52"/>
      <c r="P472" s="166"/>
      <c r="Q472" s="166"/>
      <c r="R472" s="166"/>
      <c r="S472" s="166"/>
      <c r="T472" s="166"/>
      <c r="U472" s="166"/>
    </row>
    <row r="473" spans="9:21">
      <c r="I473" s="52"/>
      <c r="P473" s="166"/>
      <c r="Q473" s="166"/>
      <c r="R473" s="166"/>
      <c r="S473" s="166"/>
      <c r="T473" s="166"/>
      <c r="U473" s="166"/>
    </row>
    <row r="474" spans="9:21">
      <c r="I474" s="52"/>
      <c r="P474" s="52"/>
      <c r="Q474" s="52"/>
      <c r="R474" s="52"/>
      <c r="S474" s="52"/>
      <c r="T474" s="52"/>
      <c r="U474" s="300"/>
    </row>
    <row r="475" spans="9:21">
      <c r="I475" s="52"/>
      <c r="P475" s="52"/>
      <c r="Q475" s="52"/>
      <c r="R475" s="52"/>
      <c r="S475" s="52"/>
      <c r="T475" s="300"/>
      <c r="U475" s="166"/>
    </row>
    <row r="476" spans="9:21">
      <c r="I476" s="52"/>
      <c r="P476" s="52"/>
      <c r="Q476" s="52"/>
      <c r="R476" s="52"/>
      <c r="S476" s="52"/>
      <c r="T476" s="300"/>
      <c r="U476" s="166"/>
    </row>
    <row r="478" spans="9:21">
      <c r="I478" s="52"/>
      <c r="P478" s="52"/>
      <c r="Q478" s="52"/>
      <c r="R478" s="52"/>
      <c r="S478" s="52"/>
      <c r="T478" s="52"/>
      <c r="U478" s="300"/>
    </row>
    <row r="479" spans="9:21">
      <c r="I479" s="52"/>
      <c r="P479" s="52"/>
      <c r="Q479" s="52"/>
      <c r="R479" s="52"/>
      <c r="S479" s="52"/>
      <c r="T479" s="52"/>
      <c r="U479" s="300"/>
    </row>
    <row r="480" spans="9:21">
      <c r="I480" s="52"/>
      <c r="P480" s="52"/>
      <c r="Q480" s="52"/>
      <c r="R480" s="52"/>
      <c r="S480" s="52"/>
      <c r="T480" s="52"/>
      <c r="U480" s="300"/>
    </row>
    <row r="481" spans="9:21">
      <c r="I481" s="52"/>
      <c r="P481" s="52"/>
      <c r="Q481" s="52"/>
      <c r="R481" s="52"/>
      <c r="S481" s="52"/>
      <c r="T481" s="52"/>
      <c r="U481" s="300"/>
    </row>
    <row r="482" spans="9:21">
      <c r="I482" s="52"/>
      <c r="P482" s="52"/>
      <c r="Q482" s="52"/>
      <c r="R482" s="52"/>
      <c r="S482" s="52"/>
      <c r="T482" s="52"/>
      <c r="U482" s="300"/>
    </row>
    <row r="483" spans="9:21">
      <c r="I483" s="52"/>
      <c r="P483" s="52"/>
      <c r="Q483" s="52"/>
      <c r="R483" s="52"/>
      <c r="S483" s="52"/>
      <c r="T483" s="52"/>
      <c r="U483" s="300"/>
    </row>
  </sheetData>
  <phoneticPr fontId="290" type="noConversion"/>
  <hyperlinks>
    <hyperlink ref="A5" location="INDICE!A13" display="VOLVER AL INDICE" xr:uid="{A3B5C3FC-5EBB-40DA-AC59-CB021B94D83C}"/>
  </hyperlinks>
  <pageMargins left="0.75" right="0.75" top="1" bottom="1" header="0" footer="0"/>
  <pageSetup paperSize="9" orientation="portrait" horizontalDpi="300" verticalDpi="300" r:id="rId1"/>
  <headerFooter alignWithMargins="0"/>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7"/>
  <dimension ref="A1:T453"/>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9.42578125" style="21" bestFit="1" customWidth="1"/>
    <col min="2" max="2" width="17.42578125" style="21" customWidth="1"/>
    <col min="3" max="3" width="16.5703125" style="21" bestFit="1" customWidth="1"/>
    <col min="4" max="4" width="17.42578125" style="21" customWidth="1"/>
    <col min="5" max="5" width="28.42578125" style="21" customWidth="1"/>
    <col min="6" max="6" width="16" style="21" customWidth="1"/>
    <col min="7" max="7" width="17.5703125" style="21" customWidth="1"/>
    <col min="8" max="15" width="18" style="21" customWidth="1"/>
    <col min="16" max="16384" width="11.42578125" style="6"/>
  </cols>
  <sheetData>
    <row r="1" spans="1:16" ht="3" customHeight="1">
      <c r="A1" s="2761"/>
      <c r="B1" s="3411">
        <v>62103</v>
      </c>
      <c r="C1" s="58"/>
      <c r="D1" s="58"/>
      <c r="E1" s="2927"/>
      <c r="F1" s="1341"/>
      <c r="G1" s="1342"/>
      <c r="H1" s="1341"/>
      <c r="I1" s="1342"/>
      <c r="J1" s="52"/>
      <c r="K1" s="52"/>
      <c r="L1" s="1341"/>
      <c r="M1" s="1342"/>
      <c r="N1" s="1341"/>
      <c r="O1" s="1343"/>
      <c r="P1" s="166"/>
    </row>
    <row r="2" spans="1:16" ht="33.75">
      <c r="A2" s="2762" t="s">
        <v>99</v>
      </c>
      <c r="B2" s="321" t="s">
        <v>1047</v>
      </c>
      <c r="C2" s="320"/>
      <c r="D2" s="320"/>
      <c r="E2" s="2742" t="s">
        <v>1048</v>
      </c>
      <c r="F2" s="2742" t="s">
        <v>1049</v>
      </c>
      <c r="G2" s="1199"/>
      <c r="H2" s="2742" t="s">
        <v>1050</v>
      </c>
      <c r="I2" s="1199"/>
      <c r="J2" s="2742" t="s">
        <v>1051</v>
      </c>
      <c r="K2" s="320"/>
      <c r="L2" s="2742" t="s">
        <v>1052</v>
      </c>
      <c r="M2" s="1199"/>
      <c r="N2" s="2742" t="s">
        <v>1053</v>
      </c>
      <c r="O2" s="316"/>
      <c r="P2" s="166"/>
    </row>
    <row r="3" spans="1:16" ht="28.5" customHeight="1">
      <c r="A3" s="2762" t="s">
        <v>193</v>
      </c>
      <c r="B3" s="1344" t="s">
        <v>107</v>
      </c>
      <c r="C3" s="768"/>
      <c r="D3" s="768"/>
      <c r="E3" s="2936" t="s">
        <v>107</v>
      </c>
      <c r="F3" s="2742" t="s">
        <v>1054</v>
      </c>
      <c r="G3" s="2736"/>
      <c r="H3" s="2742" t="s">
        <v>1055</v>
      </c>
      <c r="I3" s="2736"/>
      <c r="J3" s="2742" t="s">
        <v>1056</v>
      </c>
      <c r="K3" s="2742"/>
      <c r="L3" s="2742" t="s">
        <v>1055</v>
      </c>
      <c r="M3" s="2736"/>
      <c r="N3" s="2742" t="s">
        <v>1056</v>
      </c>
      <c r="O3" s="2913"/>
      <c r="P3" s="166"/>
    </row>
    <row r="4" spans="1:16" ht="3" hidden="1" customHeight="1">
      <c r="A4" s="2762"/>
      <c r="B4" s="55"/>
      <c r="C4" s="58"/>
      <c r="D4" s="58"/>
      <c r="E4" s="2927"/>
      <c r="F4" s="1341"/>
      <c r="G4" s="1342"/>
      <c r="H4" s="1341"/>
      <c r="I4" s="1342"/>
      <c r="J4" s="52"/>
      <c r="K4" s="52"/>
      <c r="L4" s="1341"/>
      <c r="M4" s="1342"/>
      <c r="N4" s="1341"/>
      <c r="O4" s="1343"/>
      <c r="P4" s="166"/>
    </row>
    <row r="5" spans="1:16" ht="28.5" customHeight="1">
      <c r="A5" s="2867" t="s">
        <v>140</v>
      </c>
      <c r="B5" s="4" t="s">
        <v>1057</v>
      </c>
      <c r="C5" s="952" t="s">
        <v>1058</v>
      </c>
      <c r="D5" s="5" t="s">
        <v>1059</v>
      </c>
      <c r="E5" s="2825" t="s">
        <v>1060</v>
      </c>
      <c r="F5" s="1345" t="s">
        <v>704</v>
      </c>
      <c r="G5" s="3" t="s">
        <v>703</v>
      </c>
      <c r="H5" s="1345" t="s">
        <v>704</v>
      </c>
      <c r="I5" s="3" t="s">
        <v>703</v>
      </c>
      <c r="J5" s="1345" t="s">
        <v>704</v>
      </c>
      <c r="K5" s="3" t="s">
        <v>703</v>
      </c>
      <c r="L5" s="2758" t="s">
        <v>704</v>
      </c>
      <c r="M5" s="2060" t="s">
        <v>703</v>
      </c>
      <c r="N5" s="2758" t="s">
        <v>704</v>
      </c>
      <c r="O5" s="2061" t="s">
        <v>703</v>
      </c>
      <c r="P5" s="1346"/>
    </row>
    <row r="6" spans="1:16" ht="3" hidden="1" customHeight="1">
      <c r="A6" s="2762"/>
      <c r="B6" s="55"/>
      <c r="C6" s="627"/>
      <c r="D6" s="58"/>
      <c r="E6" s="2927"/>
      <c r="F6" s="571"/>
      <c r="G6" s="54"/>
      <c r="H6" s="571"/>
      <c r="I6" s="54"/>
      <c r="J6" s="571"/>
      <c r="K6" s="54"/>
      <c r="L6" s="2927"/>
      <c r="M6" s="2062"/>
      <c r="N6" s="2927"/>
      <c r="O6" s="2063"/>
      <c r="P6" s="1346"/>
    </row>
    <row r="7" spans="1:16" ht="22.5">
      <c r="A7" s="2762" t="s">
        <v>125</v>
      </c>
      <c r="B7" s="4" t="s">
        <v>127</v>
      </c>
      <c r="C7" s="952" t="s">
        <v>127</v>
      </c>
      <c r="D7" s="5" t="s">
        <v>127</v>
      </c>
      <c r="E7" s="2758" t="s">
        <v>127</v>
      </c>
      <c r="F7" s="1345" t="s">
        <v>1061</v>
      </c>
      <c r="G7" s="3" t="s">
        <v>1061</v>
      </c>
      <c r="H7" s="1345" t="s">
        <v>593</v>
      </c>
      <c r="I7" s="3" t="s">
        <v>593</v>
      </c>
      <c r="J7" s="1345" t="s">
        <v>593</v>
      </c>
      <c r="K7" s="3" t="s">
        <v>593</v>
      </c>
      <c r="L7" s="2758" t="s">
        <v>594</v>
      </c>
      <c r="M7" s="2060" t="s">
        <v>594</v>
      </c>
      <c r="N7" s="2758" t="s">
        <v>594</v>
      </c>
      <c r="O7" s="2061" t="s">
        <v>594</v>
      </c>
      <c r="P7" s="1346"/>
    </row>
    <row r="8" spans="1:16">
      <c r="A8" s="2751" t="s">
        <v>144</v>
      </c>
      <c r="B8" s="2797" t="s">
        <v>1062</v>
      </c>
      <c r="C8" s="2157" t="s">
        <v>1063</v>
      </c>
      <c r="D8" s="1751" t="s">
        <v>1064</v>
      </c>
      <c r="E8" s="2819" t="s">
        <v>1065</v>
      </c>
      <c r="F8" s="2204" t="s">
        <v>1066</v>
      </c>
      <c r="G8" s="1751" t="s">
        <v>1067</v>
      </c>
      <c r="H8" s="2204" t="s">
        <v>1068</v>
      </c>
      <c r="I8" s="1751" t="s">
        <v>1069</v>
      </c>
      <c r="J8" s="2204" t="s">
        <v>1070</v>
      </c>
      <c r="K8" s="1751" t="s">
        <v>1071</v>
      </c>
      <c r="L8" s="2797" t="s">
        <v>1072</v>
      </c>
      <c r="M8" s="2210" t="s">
        <v>1073</v>
      </c>
      <c r="N8" s="2797" t="s">
        <v>1074</v>
      </c>
      <c r="O8" s="2166" t="s">
        <v>1075</v>
      </c>
      <c r="P8" s="1346"/>
    </row>
    <row r="9" spans="1:16" ht="13.5" thickBot="1">
      <c r="A9" s="2140"/>
      <c r="B9" s="2225"/>
      <c r="C9" s="2226"/>
      <c r="D9" s="2227"/>
      <c r="E9" s="1347"/>
      <c r="F9" s="2228"/>
      <c r="G9" s="2229"/>
      <c r="H9" s="2228"/>
      <c r="I9" s="2229"/>
      <c r="J9" s="2228"/>
      <c r="K9" s="1348"/>
      <c r="L9" s="1347"/>
      <c r="M9" s="2230"/>
      <c r="N9" s="1347"/>
      <c r="O9" s="2231"/>
      <c r="P9" s="1346"/>
    </row>
    <row r="10" spans="1:16">
      <c r="A10" s="53">
        <v>1994.01</v>
      </c>
      <c r="B10" s="1349"/>
      <c r="C10" s="3612"/>
      <c r="D10" s="1350"/>
      <c r="E10" s="577">
        <v>488908</v>
      </c>
      <c r="F10" s="2222"/>
      <c r="G10" s="2223"/>
      <c r="H10" s="2222"/>
      <c r="I10" s="2223"/>
      <c r="J10" s="2222"/>
      <c r="K10" s="2223"/>
      <c r="L10" s="2224"/>
      <c r="M10" s="2937"/>
      <c r="N10" s="2224"/>
      <c r="O10" s="2938"/>
      <c r="P10" s="166"/>
    </row>
    <row r="11" spans="1:16">
      <c r="A11" s="53">
        <v>1994.02</v>
      </c>
      <c r="B11" s="1349"/>
      <c r="C11" s="3612"/>
      <c r="D11" s="1350"/>
      <c r="E11" s="456">
        <v>484649</v>
      </c>
      <c r="F11" s="1351"/>
      <c r="G11" s="1352"/>
      <c r="H11" s="1351"/>
      <c r="I11" s="1352"/>
      <c r="J11" s="1351"/>
      <c r="K11" s="1352"/>
      <c r="L11" s="1353"/>
      <c r="M11" s="2939"/>
      <c r="N11" s="1353"/>
      <c r="O11" s="2940"/>
      <c r="P11" s="166"/>
    </row>
    <row r="12" spans="1:16">
      <c r="A12" s="53">
        <v>1994.03</v>
      </c>
      <c r="B12" s="1349"/>
      <c r="C12" s="3612"/>
      <c r="D12" s="1350"/>
      <c r="E12" s="456">
        <v>521257</v>
      </c>
      <c r="F12" s="1351"/>
      <c r="G12" s="1352"/>
      <c r="H12" s="1351"/>
      <c r="I12" s="1352"/>
      <c r="J12" s="1351"/>
      <c r="K12" s="1352"/>
      <c r="L12" s="1353"/>
      <c r="M12" s="2939"/>
      <c r="N12" s="1353"/>
      <c r="O12" s="2940"/>
      <c r="P12" s="166"/>
    </row>
    <row r="13" spans="1:16">
      <c r="A13" s="53">
        <v>1994.04</v>
      </c>
      <c r="B13" s="1349"/>
      <c r="C13" s="3612"/>
      <c r="D13" s="1350"/>
      <c r="E13" s="456">
        <v>473136</v>
      </c>
      <c r="F13" s="1351"/>
      <c r="G13" s="1352"/>
      <c r="H13" s="1351"/>
      <c r="I13" s="1352"/>
      <c r="J13" s="1351"/>
      <c r="K13" s="1352"/>
      <c r="L13" s="1353"/>
      <c r="M13" s="2939"/>
      <c r="N13" s="1353"/>
      <c r="O13" s="2940"/>
      <c r="P13" s="166"/>
    </row>
    <row r="14" spans="1:16">
      <c r="A14" s="53">
        <v>1994.05</v>
      </c>
      <c r="B14" s="1349"/>
      <c r="C14" s="3612"/>
      <c r="D14" s="1350"/>
      <c r="E14" s="456">
        <v>495920</v>
      </c>
      <c r="F14" s="1351"/>
      <c r="G14" s="1352"/>
      <c r="H14" s="1351"/>
      <c r="I14" s="1352"/>
      <c r="J14" s="1351"/>
      <c r="K14" s="1352"/>
      <c r="L14" s="1353"/>
      <c r="M14" s="2939"/>
      <c r="N14" s="1353"/>
      <c r="O14" s="2940"/>
      <c r="P14" s="166"/>
    </row>
    <row r="15" spans="1:16">
      <c r="A15" s="53">
        <v>1994.06</v>
      </c>
      <c r="B15" s="1349"/>
      <c r="C15" s="3612"/>
      <c r="D15" s="1350"/>
      <c r="E15" s="456">
        <v>472288</v>
      </c>
      <c r="F15" s="1351"/>
      <c r="G15" s="1352"/>
      <c r="H15" s="1351"/>
      <c r="I15" s="1352"/>
      <c r="J15" s="1351"/>
      <c r="K15" s="1352"/>
      <c r="L15" s="1353"/>
      <c r="M15" s="2939"/>
      <c r="N15" s="1353"/>
      <c r="O15" s="2940"/>
      <c r="P15" s="166"/>
    </row>
    <row r="16" spans="1:16">
      <c r="A16" s="53">
        <v>1994.07</v>
      </c>
      <c r="B16" s="1349"/>
      <c r="C16" s="3612"/>
      <c r="D16" s="1350"/>
      <c r="E16" s="456">
        <v>490382</v>
      </c>
      <c r="F16" s="1351"/>
      <c r="G16" s="1352"/>
      <c r="H16" s="1351"/>
      <c r="I16" s="1352"/>
      <c r="J16" s="1351"/>
      <c r="K16" s="1352"/>
      <c r="L16" s="1353"/>
      <c r="M16" s="2939"/>
      <c r="N16" s="1353"/>
      <c r="O16" s="2940"/>
      <c r="P16" s="166"/>
    </row>
    <row r="17" spans="1:15">
      <c r="A17" s="53">
        <v>1994.08</v>
      </c>
      <c r="B17" s="1349"/>
      <c r="C17" s="3612"/>
      <c r="D17" s="1350"/>
      <c r="E17" s="456">
        <v>544726</v>
      </c>
      <c r="F17" s="1351"/>
      <c r="G17" s="1352"/>
      <c r="H17" s="1351"/>
      <c r="I17" s="1352"/>
      <c r="J17" s="1351"/>
      <c r="K17" s="1352"/>
      <c r="L17" s="1353"/>
      <c r="M17" s="2939"/>
      <c r="N17" s="1353"/>
      <c r="O17" s="2940"/>
    </row>
    <row r="18" spans="1:15">
      <c r="A18" s="53">
        <v>1994.09</v>
      </c>
      <c r="B18" s="1349"/>
      <c r="C18" s="3612"/>
      <c r="D18" s="1350"/>
      <c r="E18" s="456">
        <v>560564</v>
      </c>
      <c r="F18" s="1351"/>
      <c r="G18" s="1352"/>
      <c r="H18" s="1351"/>
      <c r="I18" s="1352"/>
      <c r="J18" s="1351"/>
      <c r="K18" s="1352"/>
      <c r="L18" s="1353"/>
      <c r="M18" s="2939"/>
      <c r="N18" s="1353"/>
      <c r="O18" s="2940"/>
    </row>
    <row r="19" spans="1:15">
      <c r="A19" s="53">
        <v>1994.1</v>
      </c>
      <c r="B19" s="1349"/>
      <c r="C19" s="3612"/>
      <c r="D19" s="1350"/>
      <c r="E19" s="456">
        <v>533405</v>
      </c>
      <c r="F19" s="1351"/>
      <c r="G19" s="1352"/>
      <c r="H19" s="1351"/>
      <c r="I19" s="1352"/>
      <c r="J19" s="1351"/>
      <c r="K19" s="1352"/>
      <c r="L19" s="1353"/>
      <c r="M19" s="2939"/>
      <c r="N19" s="1353"/>
      <c r="O19" s="2940"/>
    </row>
    <row r="20" spans="1:15">
      <c r="A20" s="53">
        <v>1994.11</v>
      </c>
      <c r="B20" s="1349"/>
      <c r="C20" s="3612"/>
      <c r="D20" s="1350"/>
      <c r="E20" s="456">
        <v>602694</v>
      </c>
      <c r="F20" s="1351"/>
      <c r="G20" s="1352"/>
      <c r="H20" s="1351"/>
      <c r="I20" s="1352"/>
      <c r="J20" s="1351"/>
      <c r="K20" s="1352"/>
      <c r="L20" s="1353"/>
      <c r="M20" s="2939"/>
      <c r="N20" s="1353"/>
      <c r="O20" s="2940"/>
    </row>
    <row r="21" spans="1:15">
      <c r="A21" s="53">
        <v>1994.12</v>
      </c>
      <c r="B21" s="1349"/>
      <c r="C21" s="3612"/>
      <c r="D21" s="1350"/>
      <c r="E21" s="456">
        <v>549198</v>
      </c>
      <c r="F21" s="1351"/>
      <c r="G21" s="1352"/>
      <c r="H21" s="1351"/>
      <c r="I21" s="1352"/>
      <c r="J21" s="1351"/>
      <c r="K21" s="1352"/>
      <c r="L21" s="1353"/>
      <c r="M21" s="2939"/>
      <c r="N21" s="1353"/>
      <c r="O21" s="2940"/>
    </row>
    <row r="22" spans="1:15">
      <c r="A22" s="53">
        <v>1995.01</v>
      </c>
      <c r="B22" s="1349"/>
      <c r="C22" s="3612"/>
      <c r="D22" s="1350"/>
      <c r="E22" s="456">
        <v>536191</v>
      </c>
      <c r="F22" s="1351"/>
      <c r="G22" s="1352"/>
      <c r="H22" s="1351"/>
      <c r="I22" s="1352"/>
      <c r="J22" s="1351"/>
      <c r="K22" s="1352"/>
      <c r="L22" s="1353"/>
      <c r="M22" s="2939"/>
      <c r="N22" s="1353"/>
      <c r="O22" s="2940"/>
    </row>
    <row r="23" spans="1:15">
      <c r="A23" s="53">
        <v>1995.02</v>
      </c>
      <c r="B23" s="1349"/>
      <c r="C23" s="3612"/>
      <c r="D23" s="1350"/>
      <c r="E23" s="456">
        <v>518705</v>
      </c>
      <c r="F23" s="1351"/>
      <c r="G23" s="1352"/>
      <c r="H23" s="1351"/>
      <c r="I23" s="1352"/>
      <c r="J23" s="1351"/>
      <c r="K23" s="1352"/>
      <c r="L23" s="1353"/>
      <c r="M23" s="2939"/>
      <c r="N23" s="1353"/>
      <c r="O23" s="2940"/>
    </row>
    <row r="24" spans="1:15">
      <c r="A24" s="53">
        <v>1995.03</v>
      </c>
      <c r="B24" s="1349"/>
      <c r="C24" s="3612"/>
      <c r="D24" s="1350"/>
      <c r="E24" s="456">
        <v>522843</v>
      </c>
      <c r="F24" s="1351"/>
      <c r="G24" s="1352"/>
      <c r="H24" s="1351"/>
      <c r="I24" s="1352"/>
      <c r="J24" s="1351"/>
      <c r="K24" s="1352"/>
      <c r="L24" s="1353"/>
      <c r="M24" s="2939"/>
      <c r="N24" s="1353"/>
      <c r="O24" s="2940"/>
    </row>
    <row r="25" spans="1:15">
      <c r="A25" s="53">
        <v>1995.04</v>
      </c>
      <c r="B25" s="1349"/>
      <c r="C25" s="3612"/>
      <c r="D25" s="1350"/>
      <c r="E25" s="456">
        <v>416227</v>
      </c>
      <c r="F25" s="1351"/>
      <c r="G25" s="1352"/>
      <c r="H25" s="1351"/>
      <c r="I25" s="1352"/>
      <c r="J25" s="1351"/>
      <c r="K25" s="1352"/>
      <c r="L25" s="1353"/>
      <c r="M25" s="2939"/>
      <c r="N25" s="1353"/>
      <c r="O25" s="2940"/>
    </row>
    <row r="26" spans="1:15">
      <c r="A26" s="53">
        <v>1995.05</v>
      </c>
      <c r="B26" s="1349"/>
      <c r="C26" s="3612"/>
      <c r="D26" s="1350"/>
      <c r="E26" s="456">
        <v>473408</v>
      </c>
      <c r="F26" s="1351"/>
      <c r="G26" s="1352"/>
      <c r="H26" s="1351"/>
      <c r="I26" s="1352"/>
      <c r="J26" s="1351"/>
      <c r="K26" s="1352"/>
      <c r="L26" s="1353"/>
      <c r="M26" s="2939"/>
      <c r="N26" s="1353"/>
      <c r="O26" s="2940"/>
    </row>
    <row r="27" spans="1:15">
      <c r="A27" s="53">
        <v>1995.06</v>
      </c>
      <c r="B27" s="1349"/>
      <c r="C27" s="3612"/>
      <c r="D27" s="1350"/>
      <c r="E27" s="456">
        <v>417235</v>
      </c>
      <c r="F27" s="1351"/>
      <c r="G27" s="1352"/>
      <c r="H27" s="1351"/>
      <c r="I27" s="1352"/>
      <c r="J27" s="1351"/>
      <c r="K27" s="1352"/>
      <c r="L27" s="1353"/>
      <c r="M27" s="2939"/>
      <c r="N27" s="1353"/>
      <c r="O27" s="2940"/>
    </row>
    <row r="28" spans="1:15">
      <c r="A28" s="53">
        <v>1995.07</v>
      </c>
      <c r="B28" s="1349"/>
      <c r="C28" s="3612"/>
      <c r="D28" s="1350"/>
      <c r="E28" s="456">
        <v>400128</v>
      </c>
      <c r="F28" s="1351"/>
      <c r="G28" s="1352"/>
      <c r="H28" s="1351"/>
      <c r="I28" s="1352"/>
      <c r="J28" s="1351"/>
      <c r="K28" s="1352"/>
      <c r="L28" s="1353"/>
      <c r="M28" s="2939"/>
      <c r="N28" s="1353"/>
      <c r="O28" s="2940"/>
    </row>
    <row r="29" spans="1:15">
      <c r="A29" s="53">
        <v>1995.08</v>
      </c>
      <c r="B29" s="1349"/>
      <c r="C29" s="3612"/>
      <c r="D29" s="1350"/>
      <c r="E29" s="456">
        <v>405599</v>
      </c>
      <c r="F29" s="1351"/>
      <c r="G29" s="1352"/>
      <c r="H29" s="1351"/>
      <c r="I29" s="1352"/>
      <c r="J29" s="1351"/>
      <c r="K29" s="1352"/>
      <c r="L29" s="1353"/>
      <c r="M29" s="2939"/>
      <c r="N29" s="1353"/>
      <c r="O29" s="2940"/>
    </row>
    <row r="30" spans="1:15">
      <c r="A30" s="53">
        <v>1995.09</v>
      </c>
      <c r="B30" s="1349"/>
      <c r="C30" s="3612"/>
      <c r="D30" s="1350"/>
      <c r="E30" s="456">
        <v>439485</v>
      </c>
      <c r="F30" s="1351"/>
      <c r="G30" s="1352"/>
      <c r="H30" s="1351"/>
      <c r="I30" s="1352"/>
      <c r="J30" s="1351"/>
      <c r="K30" s="1352"/>
      <c r="L30" s="1353"/>
      <c r="M30" s="2939"/>
      <c r="N30" s="1353"/>
      <c r="O30" s="2940"/>
    </row>
    <row r="31" spans="1:15">
      <c r="A31" s="53">
        <v>1995.1</v>
      </c>
      <c r="B31" s="1349"/>
      <c r="C31" s="3612"/>
      <c r="D31" s="1350"/>
      <c r="E31" s="456">
        <v>403947</v>
      </c>
      <c r="F31" s="1351"/>
      <c r="G31" s="1352"/>
      <c r="H31" s="1351"/>
      <c r="I31" s="1352"/>
      <c r="J31" s="1351"/>
      <c r="K31" s="1352"/>
      <c r="L31" s="1353"/>
      <c r="M31" s="2939"/>
      <c r="N31" s="1353"/>
      <c r="O31" s="2940"/>
    </row>
    <row r="32" spans="1:15">
      <c r="A32" s="53">
        <v>1995.11</v>
      </c>
      <c r="B32" s="1349"/>
      <c r="C32" s="3612"/>
      <c r="D32" s="1350"/>
      <c r="E32" s="456">
        <v>424321</v>
      </c>
      <c r="F32" s="1351"/>
      <c r="G32" s="1352"/>
      <c r="H32" s="1351"/>
      <c r="I32" s="1352"/>
      <c r="J32" s="1351"/>
      <c r="K32" s="1352"/>
      <c r="L32" s="1353"/>
      <c r="M32" s="2939"/>
      <c r="N32" s="1353"/>
      <c r="O32" s="2940"/>
    </row>
    <row r="33" spans="1:15">
      <c r="A33" s="53">
        <v>1995.12</v>
      </c>
      <c r="B33" s="1349"/>
      <c r="C33" s="3612"/>
      <c r="D33" s="1350"/>
      <c r="E33" s="456">
        <v>370817</v>
      </c>
      <c r="F33" s="1351"/>
      <c r="G33" s="1352"/>
      <c r="H33" s="1351"/>
      <c r="I33" s="1352"/>
      <c r="J33" s="1351"/>
      <c r="K33" s="1352"/>
      <c r="L33" s="1353"/>
      <c r="M33" s="2939"/>
      <c r="N33" s="1353"/>
      <c r="O33" s="2940"/>
    </row>
    <row r="34" spans="1:15">
      <c r="A34" s="53">
        <v>1996.01</v>
      </c>
      <c r="B34" s="1349"/>
      <c r="C34" s="3612"/>
      <c r="D34" s="1350"/>
      <c r="E34" s="456">
        <v>391239</v>
      </c>
      <c r="F34" s="1351"/>
      <c r="G34" s="1352"/>
      <c r="H34" s="1351"/>
      <c r="I34" s="1352"/>
      <c r="J34" s="1351"/>
      <c r="K34" s="1352"/>
      <c r="L34" s="1353"/>
      <c r="M34" s="2939"/>
      <c r="N34" s="1353"/>
      <c r="O34" s="2940"/>
    </row>
    <row r="35" spans="1:15">
      <c r="A35" s="53">
        <v>1996.02</v>
      </c>
      <c r="B35" s="1349"/>
      <c r="C35" s="3612"/>
      <c r="D35" s="1350"/>
      <c r="E35" s="456">
        <v>371500</v>
      </c>
      <c r="F35" s="1351"/>
      <c r="G35" s="1352"/>
      <c r="H35" s="1351"/>
      <c r="I35" s="1352"/>
      <c r="J35" s="1351"/>
      <c r="K35" s="1352"/>
      <c r="L35" s="1353"/>
      <c r="M35" s="2939"/>
      <c r="N35" s="1353"/>
      <c r="O35" s="2940"/>
    </row>
    <row r="36" spans="1:15">
      <c r="A36" s="53">
        <v>1996.03</v>
      </c>
      <c r="B36" s="1349"/>
      <c r="C36" s="3612"/>
      <c r="D36" s="1350"/>
      <c r="E36" s="456">
        <v>395300</v>
      </c>
      <c r="F36" s="1351"/>
      <c r="G36" s="1352"/>
      <c r="H36" s="1351"/>
      <c r="I36" s="1352"/>
      <c r="J36" s="1351"/>
      <c r="K36" s="1352"/>
      <c r="L36" s="1353"/>
      <c r="M36" s="2939"/>
      <c r="N36" s="1353"/>
      <c r="O36" s="2940"/>
    </row>
    <row r="37" spans="1:15">
      <c r="A37" s="53">
        <v>1996.04</v>
      </c>
      <c r="B37" s="1349"/>
      <c r="C37" s="3612"/>
      <c r="D37" s="1350"/>
      <c r="E37" s="456">
        <v>366700</v>
      </c>
      <c r="F37" s="1351"/>
      <c r="G37" s="1352"/>
      <c r="H37" s="1351"/>
      <c r="I37" s="1352"/>
      <c r="J37" s="1351"/>
      <c r="K37" s="1352"/>
      <c r="L37" s="1353"/>
      <c r="M37" s="2939"/>
      <c r="N37" s="1353"/>
      <c r="O37" s="2940"/>
    </row>
    <row r="38" spans="1:15">
      <c r="A38" s="53">
        <v>1996.05</v>
      </c>
      <c r="B38" s="1349"/>
      <c r="C38" s="3612"/>
      <c r="D38" s="1350"/>
      <c r="E38" s="456">
        <v>398700</v>
      </c>
      <c r="F38" s="1351"/>
      <c r="G38" s="1352"/>
      <c r="H38" s="1351"/>
      <c r="I38" s="1352"/>
      <c r="J38" s="1351"/>
      <c r="K38" s="1352"/>
      <c r="L38" s="1353"/>
      <c r="M38" s="2939"/>
      <c r="N38" s="1353"/>
      <c r="O38" s="2940"/>
    </row>
    <row r="39" spans="1:15">
      <c r="A39" s="53">
        <v>1996.06</v>
      </c>
      <c r="B39" s="1349"/>
      <c r="C39" s="3612"/>
      <c r="D39" s="1350"/>
      <c r="E39" s="456">
        <v>335300</v>
      </c>
      <c r="F39" s="1351"/>
      <c r="G39" s="1352"/>
      <c r="H39" s="1351"/>
      <c r="I39" s="1352"/>
      <c r="J39" s="1351"/>
      <c r="K39" s="1352"/>
      <c r="L39" s="1353"/>
      <c r="M39" s="2939"/>
      <c r="N39" s="1353"/>
      <c r="O39" s="2940"/>
    </row>
    <row r="40" spans="1:15">
      <c r="A40" s="53">
        <v>1996.07</v>
      </c>
      <c r="B40" s="1349"/>
      <c r="C40" s="3612"/>
      <c r="D40" s="1350"/>
      <c r="E40" s="456">
        <v>391700</v>
      </c>
      <c r="F40" s="1351"/>
      <c r="G40" s="1352"/>
      <c r="H40" s="1351"/>
      <c r="I40" s="1352"/>
      <c r="J40" s="1351"/>
      <c r="K40" s="1352"/>
      <c r="L40" s="1353"/>
      <c r="M40" s="2939"/>
      <c r="N40" s="1353"/>
      <c r="O40" s="2940"/>
    </row>
    <row r="41" spans="1:15">
      <c r="A41" s="53">
        <v>1996.08</v>
      </c>
      <c r="B41" s="1349"/>
      <c r="C41" s="3612"/>
      <c r="D41" s="1350"/>
      <c r="E41" s="456">
        <v>437100</v>
      </c>
      <c r="F41" s="1351"/>
      <c r="G41" s="1352"/>
      <c r="H41" s="1351"/>
      <c r="I41" s="1352"/>
      <c r="J41" s="1351"/>
      <c r="K41" s="1352"/>
      <c r="L41" s="1353"/>
      <c r="M41" s="2939"/>
      <c r="N41" s="1353"/>
      <c r="O41" s="2940"/>
    </row>
    <row r="42" spans="1:15">
      <c r="A42" s="53">
        <v>1996.09</v>
      </c>
      <c r="B42" s="1349"/>
      <c r="C42" s="3612"/>
      <c r="D42" s="1350"/>
      <c r="E42" s="456">
        <v>442300</v>
      </c>
      <c r="F42" s="1351"/>
      <c r="G42" s="1352"/>
      <c r="H42" s="1351"/>
      <c r="I42" s="1352"/>
      <c r="J42" s="1351"/>
      <c r="K42" s="1352"/>
      <c r="L42" s="1353"/>
      <c r="M42" s="2939"/>
      <c r="N42" s="1353"/>
      <c r="O42" s="2940"/>
    </row>
    <row r="43" spans="1:15">
      <c r="A43" s="53">
        <v>1996.1</v>
      </c>
      <c r="B43" s="1349"/>
      <c r="C43" s="3612"/>
      <c r="D43" s="1350"/>
      <c r="E43" s="456">
        <v>509600</v>
      </c>
      <c r="F43" s="1351"/>
      <c r="G43" s="1352"/>
      <c r="H43" s="1351"/>
      <c r="I43" s="1352"/>
      <c r="J43" s="1351"/>
      <c r="K43" s="1352"/>
      <c r="L43" s="1353"/>
      <c r="M43" s="2939"/>
      <c r="N43" s="1353"/>
      <c r="O43" s="2940"/>
    </row>
    <row r="44" spans="1:15">
      <c r="A44" s="53">
        <v>1996.11</v>
      </c>
      <c r="B44" s="1349"/>
      <c r="C44" s="3612"/>
      <c r="D44" s="1350"/>
      <c r="E44" s="456">
        <v>505800</v>
      </c>
      <c r="F44" s="1351"/>
      <c r="G44" s="1352"/>
      <c r="H44" s="1351"/>
      <c r="I44" s="1352"/>
      <c r="J44" s="1351"/>
      <c r="K44" s="1352"/>
      <c r="L44" s="1353"/>
      <c r="M44" s="2939"/>
      <c r="N44" s="1353"/>
      <c r="O44" s="2940"/>
    </row>
    <row r="45" spans="1:15">
      <c r="A45" s="53">
        <v>1996.12</v>
      </c>
      <c r="B45" s="1349"/>
      <c r="C45" s="3612"/>
      <c r="D45" s="1350"/>
      <c r="E45" s="456">
        <v>459100</v>
      </c>
      <c r="F45" s="1351"/>
      <c r="G45" s="1352"/>
      <c r="H45" s="1351"/>
      <c r="I45" s="1352"/>
      <c r="J45" s="1351"/>
      <c r="K45" s="1352"/>
      <c r="L45" s="1353"/>
      <c r="M45" s="2939"/>
      <c r="N45" s="1353"/>
      <c r="O45" s="2940"/>
    </row>
    <row r="46" spans="1:15">
      <c r="A46" s="53">
        <v>1997.01</v>
      </c>
      <c r="B46" s="1349"/>
      <c r="C46" s="3612"/>
      <c r="D46" s="1350"/>
      <c r="E46" s="456">
        <v>494699</v>
      </c>
      <c r="F46" s="1351"/>
      <c r="G46" s="1352"/>
      <c r="H46" s="1351"/>
      <c r="I46" s="1352"/>
      <c r="J46" s="1351"/>
      <c r="K46" s="1352"/>
      <c r="L46" s="1353"/>
      <c r="M46" s="2939"/>
      <c r="N46" s="1353"/>
      <c r="O46" s="2940"/>
    </row>
    <row r="47" spans="1:15">
      <c r="A47" s="53">
        <v>1997.02</v>
      </c>
      <c r="B47" s="1349"/>
      <c r="C47" s="3612"/>
      <c r="D47" s="1350"/>
      <c r="E47" s="456">
        <v>482843</v>
      </c>
      <c r="F47" s="1351"/>
      <c r="G47" s="1352"/>
      <c r="H47" s="1351"/>
      <c r="I47" s="1352"/>
      <c r="J47" s="1351"/>
      <c r="K47" s="1352"/>
      <c r="L47" s="1353"/>
      <c r="M47" s="2939"/>
      <c r="N47" s="1353"/>
      <c r="O47" s="2940"/>
    </row>
    <row r="48" spans="1:15">
      <c r="A48" s="53">
        <v>1997.03</v>
      </c>
      <c r="B48" s="1349"/>
      <c r="C48" s="3612"/>
      <c r="D48" s="1350"/>
      <c r="E48" s="456">
        <v>518135</v>
      </c>
      <c r="F48" s="1351"/>
      <c r="G48" s="1352"/>
      <c r="H48" s="1351"/>
      <c r="I48" s="1352"/>
      <c r="J48" s="1351"/>
      <c r="K48" s="1352"/>
      <c r="L48" s="1353"/>
      <c r="M48" s="2939"/>
      <c r="N48" s="1353"/>
      <c r="O48" s="2940"/>
    </row>
    <row r="49" spans="1:15">
      <c r="A49" s="53">
        <v>1997.04</v>
      </c>
      <c r="B49" s="1349"/>
      <c r="C49" s="3612"/>
      <c r="D49" s="1350"/>
      <c r="E49" s="456">
        <v>531630</v>
      </c>
      <c r="F49" s="1351"/>
      <c r="G49" s="1352"/>
      <c r="H49" s="1351"/>
      <c r="I49" s="1352"/>
      <c r="J49" s="1351"/>
      <c r="K49" s="1352"/>
      <c r="L49" s="1353"/>
      <c r="M49" s="2939"/>
      <c r="N49" s="1353"/>
      <c r="O49" s="2940"/>
    </row>
    <row r="50" spans="1:15">
      <c r="A50" s="53">
        <v>1997.05</v>
      </c>
      <c r="B50" s="1349"/>
      <c r="C50" s="3612"/>
      <c r="D50" s="1350"/>
      <c r="E50" s="456">
        <v>527488</v>
      </c>
      <c r="F50" s="1351"/>
      <c r="G50" s="1352"/>
      <c r="H50" s="1351"/>
      <c r="I50" s="1352"/>
      <c r="J50" s="1351"/>
      <c r="K50" s="1352"/>
      <c r="L50" s="1353"/>
      <c r="M50" s="2939"/>
      <c r="N50" s="1353"/>
      <c r="O50" s="2940"/>
    </row>
    <row r="51" spans="1:15">
      <c r="A51" s="53">
        <v>1997.06</v>
      </c>
      <c r="B51" s="1349"/>
      <c r="C51" s="3612"/>
      <c r="D51" s="1350"/>
      <c r="E51" s="456">
        <v>443844</v>
      </c>
      <c r="F51" s="1351"/>
      <c r="G51" s="1352"/>
      <c r="H51" s="1351"/>
      <c r="I51" s="1352"/>
      <c r="J51" s="1351"/>
      <c r="K51" s="1352"/>
      <c r="L51" s="1353"/>
      <c r="M51" s="2939"/>
      <c r="N51" s="1353"/>
      <c r="O51" s="2940"/>
    </row>
    <row r="52" spans="1:15">
      <c r="A52" s="53">
        <v>1997.07</v>
      </c>
      <c r="B52" s="1349"/>
      <c r="C52" s="3612"/>
      <c r="D52" s="1350"/>
      <c r="E52" s="456">
        <v>562729</v>
      </c>
      <c r="F52" s="1351"/>
      <c r="G52" s="1352"/>
      <c r="H52" s="1351"/>
      <c r="I52" s="1352"/>
      <c r="J52" s="1351"/>
      <c r="K52" s="1352"/>
      <c r="L52" s="1353"/>
      <c r="M52" s="2939"/>
      <c r="N52" s="1353"/>
      <c r="O52" s="2940"/>
    </row>
    <row r="53" spans="1:15">
      <c r="A53" s="53">
        <v>1997.08</v>
      </c>
      <c r="B53" s="1349"/>
      <c r="C53" s="3612"/>
      <c r="D53" s="1350"/>
      <c r="E53" s="456">
        <v>585368</v>
      </c>
      <c r="F53" s="1351"/>
      <c r="G53" s="1352"/>
      <c r="H53" s="1351"/>
      <c r="I53" s="1352"/>
      <c r="J53" s="1351"/>
      <c r="K53" s="1352"/>
      <c r="L53" s="1353"/>
      <c r="M53" s="2939"/>
      <c r="N53" s="1353"/>
      <c r="O53" s="2940"/>
    </row>
    <row r="54" spans="1:15">
      <c r="A54" s="53">
        <v>1997.09</v>
      </c>
      <c r="B54" s="1349"/>
      <c r="C54" s="3612"/>
      <c r="D54" s="1350"/>
      <c r="E54" s="456">
        <v>635617</v>
      </c>
      <c r="F54" s="1351"/>
      <c r="G54" s="1352"/>
      <c r="H54" s="1351"/>
      <c r="I54" s="1352"/>
      <c r="J54" s="1351"/>
      <c r="K54" s="1352"/>
      <c r="L54" s="1353"/>
      <c r="M54" s="2939"/>
      <c r="N54" s="1353"/>
      <c r="O54" s="2940"/>
    </row>
    <row r="55" spans="1:15">
      <c r="A55" s="53">
        <v>1997.1</v>
      </c>
      <c r="B55" s="1349"/>
      <c r="C55" s="3612"/>
      <c r="D55" s="1350"/>
      <c r="E55" s="456">
        <v>699826</v>
      </c>
      <c r="F55" s="1351"/>
      <c r="G55" s="1352"/>
      <c r="H55" s="1351"/>
      <c r="I55" s="1352"/>
      <c r="J55" s="1351"/>
      <c r="K55" s="1352"/>
      <c r="L55" s="1353"/>
      <c r="M55" s="2939"/>
      <c r="N55" s="1353"/>
      <c r="O55" s="2940"/>
    </row>
    <row r="56" spans="1:15">
      <c r="A56" s="53">
        <v>1997.11</v>
      </c>
      <c r="B56" s="1349"/>
      <c r="C56" s="3612"/>
      <c r="D56" s="1350"/>
      <c r="E56" s="456">
        <v>618393</v>
      </c>
      <c r="F56" s="1351"/>
      <c r="G56" s="1352"/>
      <c r="H56" s="1351"/>
      <c r="I56" s="1352"/>
      <c r="J56" s="1351"/>
      <c r="K56" s="1352"/>
      <c r="L56" s="1353"/>
      <c r="M56" s="2939"/>
      <c r="N56" s="1353"/>
      <c r="O56" s="2940"/>
    </row>
    <row r="57" spans="1:15">
      <c r="A57" s="53">
        <v>1997.12</v>
      </c>
      <c r="B57" s="1349"/>
      <c r="C57" s="3612"/>
      <c r="D57" s="1350"/>
      <c r="E57" s="456">
        <v>576831</v>
      </c>
      <c r="F57" s="1351"/>
      <c r="G57" s="1352"/>
      <c r="H57" s="1351"/>
      <c r="I57" s="1352"/>
      <c r="J57" s="1351"/>
      <c r="K57" s="1352"/>
      <c r="L57" s="1353"/>
      <c r="M57" s="2939"/>
      <c r="N57" s="1353"/>
      <c r="O57" s="2940"/>
    </row>
    <row r="58" spans="1:15">
      <c r="A58" s="53">
        <v>1998.01</v>
      </c>
      <c r="B58" s="1349"/>
      <c r="C58" s="3612"/>
      <c r="D58" s="1350"/>
      <c r="E58" s="456">
        <v>605409</v>
      </c>
      <c r="F58" s="1351"/>
      <c r="G58" s="1352"/>
      <c r="H58" s="1351"/>
      <c r="I58" s="1352"/>
      <c r="J58" s="1351"/>
      <c r="K58" s="1352"/>
      <c r="L58" s="1353"/>
      <c r="M58" s="2939"/>
      <c r="N58" s="1353"/>
      <c r="O58" s="2940"/>
    </row>
    <row r="59" spans="1:15">
      <c r="A59" s="53">
        <v>1998.02</v>
      </c>
      <c r="B59" s="1349"/>
      <c r="C59" s="3612"/>
      <c r="D59" s="1350"/>
      <c r="E59" s="456">
        <v>557978</v>
      </c>
      <c r="F59" s="1351"/>
      <c r="G59" s="1352"/>
      <c r="H59" s="1351"/>
      <c r="I59" s="1352"/>
      <c r="J59" s="1351"/>
      <c r="K59" s="1352"/>
      <c r="L59" s="1353"/>
      <c r="M59" s="2939"/>
      <c r="N59" s="1353"/>
      <c r="O59" s="2940"/>
    </row>
    <row r="60" spans="1:15">
      <c r="A60" s="53">
        <v>1998.03</v>
      </c>
      <c r="B60" s="1349"/>
      <c r="C60" s="3612"/>
      <c r="D60" s="1350"/>
      <c r="E60" s="456">
        <v>619433</v>
      </c>
      <c r="F60" s="1351"/>
      <c r="G60" s="1352"/>
      <c r="H60" s="1351"/>
      <c r="I60" s="1352"/>
      <c r="J60" s="1351"/>
      <c r="K60" s="1352"/>
      <c r="L60" s="1353"/>
      <c r="M60" s="2939"/>
      <c r="N60" s="1353"/>
      <c r="O60" s="2940"/>
    </row>
    <row r="61" spans="1:15">
      <c r="A61" s="53">
        <v>1998.04</v>
      </c>
      <c r="B61" s="1349"/>
      <c r="C61" s="3612"/>
      <c r="D61" s="1350"/>
      <c r="E61" s="456">
        <v>538616</v>
      </c>
      <c r="F61" s="1351"/>
      <c r="G61" s="1352"/>
      <c r="H61" s="1351"/>
      <c r="I61" s="1352"/>
      <c r="J61" s="1351"/>
      <c r="K61" s="1352"/>
      <c r="L61" s="1353"/>
      <c r="M61" s="2939"/>
      <c r="N61" s="1353"/>
      <c r="O61" s="2940"/>
    </row>
    <row r="62" spans="1:15">
      <c r="A62" s="53">
        <v>1998.05</v>
      </c>
      <c r="B62" s="1349"/>
      <c r="C62" s="3612"/>
      <c r="D62" s="1350"/>
      <c r="E62" s="456">
        <v>528422</v>
      </c>
      <c r="F62" s="1351"/>
      <c r="G62" s="1352"/>
      <c r="H62" s="1351"/>
      <c r="I62" s="1352"/>
      <c r="J62" s="1351"/>
      <c r="K62" s="1352"/>
      <c r="L62" s="1353"/>
      <c r="M62" s="2939"/>
      <c r="N62" s="1353"/>
      <c r="O62" s="2940"/>
    </row>
    <row r="63" spans="1:15">
      <c r="A63" s="53">
        <v>1998.06</v>
      </c>
      <c r="B63" s="1349"/>
      <c r="C63" s="3612"/>
      <c r="D63" s="1350"/>
      <c r="E63" s="456">
        <v>560126</v>
      </c>
      <c r="F63" s="1351"/>
      <c r="G63" s="1352"/>
      <c r="H63" s="1351"/>
      <c r="I63" s="1352"/>
      <c r="J63" s="1351"/>
      <c r="K63" s="1352"/>
      <c r="L63" s="1353"/>
      <c r="M63" s="2939"/>
      <c r="N63" s="1353"/>
      <c r="O63" s="2940"/>
    </row>
    <row r="64" spans="1:15">
      <c r="A64" s="53">
        <v>1998.07</v>
      </c>
      <c r="B64" s="1349"/>
      <c r="C64" s="3612"/>
      <c r="D64" s="1350"/>
      <c r="E64" s="456">
        <v>572612</v>
      </c>
      <c r="F64" s="1351"/>
      <c r="G64" s="1352"/>
      <c r="H64" s="1351"/>
      <c r="I64" s="1352"/>
      <c r="J64" s="1351"/>
      <c r="K64" s="1352"/>
      <c r="L64" s="1353"/>
      <c r="M64" s="2939"/>
      <c r="N64" s="1353"/>
      <c r="O64" s="2940"/>
    </row>
    <row r="65" spans="1:15">
      <c r="A65" s="53">
        <v>1998.08</v>
      </c>
      <c r="B65" s="1349"/>
      <c r="C65" s="3612"/>
      <c r="D65" s="1350"/>
      <c r="E65" s="456">
        <v>612186</v>
      </c>
      <c r="F65" s="1351"/>
      <c r="G65" s="1352"/>
      <c r="H65" s="1351"/>
      <c r="I65" s="1352"/>
      <c r="J65" s="1351"/>
      <c r="K65" s="1352"/>
      <c r="L65" s="1353"/>
      <c r="M65" s="2939"/>
      <c r="N65" s="1353"/>
      <c r="O65" s="2940"/>
    </row>
    <row r="66" spans="1:15">
      <c r="A66" s="53">
        <v>1998.09</v>
      </c>
      <c r="B66" s="1349"/>
      <c r="C66" s="3612"/>
      <c r="D66" s="1350"/>
      <c r="E66" s="456">
        <v>632256</v>
      </c>
      <c r="F66" s="1351"/>
      <c r="G66" s="1352"/>
      <c r="H66" s="1351"/>
      <c r="I66" s="1352"/>
      <c r="J66" s="1351"/>
      <c r="K66" s="1352"/>
      <c r="L66" s="1353"/>
      <c r="M66" s="2939"/>
      <c r="N66" s="1353"/>
      <c r="O66" s="2940"/>
    </row>
    <row r="67" spans="1:15">
      <c r="A67" s="53">
        <v>1998.1</v>
      </c>
      <c r="B67" s="1349"/>
      <c r="C67" s="3612"/>
      <c r="D67" s="1350"/>
      <c r="E67" s="456">
        <v>655554</v>
      </c>
      <c r="F67" s="1351"/>
      <c r="G67" s="1352"/>
      <c r="H67" s="1351"/>
      <c r="I67" s="1352"/>
      <c r="J67" s="1351"/>
      <c r="K67" s="1352"/>
      <c r="L67" s="1353"/>
      <c r="M67" s="2939"/>
      <c r="N67" s="1353"/>
      <c r="O67" s="2940"/>
    </row>
    <row r="68" spans="1:15">
      <c r="A68" s="53">
        <v>1998.11</v>
      </c>
      <c r="B68" s="1349"/>
      <c r="C68" s="3612"/>
      <c r="D68" s="1350"/>
      <c r="E68" s="456">
        <v>628573</v>
      </c>
      <c r="F68" s="1351"/>
      <c r="G68" s="1352"/>
      <c r="H68" s="1351"/>
      <c r="I68" s="1352"/>
      <c r="J68" s="1351"/>
      <c r="K68" s="1352"/>
      <c r="L68" s="1353"/>
      <c r="M68" s="2939"/>
      <c r="N68" s="1353"/>
      <c r="O68" s="2940"/>
    </row>
    <row r="69" spans="1:15">
      <c r="A69" s="53">
        <v>1998.12</v>
      </c>
      <c r="B69" s="1349"/>
      <c r="C69" s="3612"/>
      <c r="D69" s="1350"/>
      <c r="E69" s="456">
        <v>586165</v>
      </c>
      <c r="F69" s="1351"/>
      <c r="G69" s="1352"/>
      <c r="H69" s="1351"/>
      <c r="I69" s="1352"/>
      <c r="J69" s="1351"/>
      <c r="K69" s="1352"/>
      <c r="L69" s="1353"/>
      <c r="M69" s="2939"/>
      <c r="N69" s="1353"/>
      <c r="O69" s="2940"/>
    </row>
    <row r="70" spans="1:15">
      <c r="A70" s="53">
        <v>1999.01</v>
      </c>
      <c r="B70" s="1349"/>
      <c r="C70" s="3612"/>
      <c r="D70" s="1350"/>
      <c r="E70" s="456">
        <v>591021</v>
      </c>
      <c r="F70" s="1351"/>
      <c r="G70" s="1352"/>
      <c r="H70" s="1351"/>
      <c r="I70" s="1352"/>
      <c r="J70" s="1351"/>
      <c r="K70" s="1352"/>
      <c r="L70" s="1353"/>
      <c r="M70" s="2939"/>
      <c r="N70" s="1353"/>
      <c r="O70" s="2940"/>
    </row>
    <row r="71" spans="1:15">
      <c r="A71" s="53">
        <v>1999.02</v>
      </c>
      <c r="B71" s="1349"/>
      <c r="C71" s="3612"/>
      <c r="D71" s="1350"/>
      <c r="E71" s="456">
        <v>580419</v>
      </c>
      <c r="F71" s="1351"/>
      <c r="G71" s="1352"/>
      <c r="H71" s="1351"/>
      <c r="I71" s="1352"/>
      <c r="J71" s="1351"/>
      <c r="K71" s="1352"/>
      <c r="L71" s="1353"/>
      <c r="M71" s="2939"/>
      <c r="N71" s="1353"/>
      <c r="O71" s="2940"/>
    </row>
    <row r="72" spans="1:15">
      <c r="A72" s="53">
        <v>1999.03</v>
      </c>
      <c r="B72" s="1349"/>
      <c r="C72" s="3612"/>
      <c r="D72" s="1350"/>
      <c r="E72" s="456">
        <v>629980</v>
      </c>
      <c r="F72" s="1351"/>
      <c r="G72" s="1352"/>
      <c r="H72" s="1351"/>
      <c r="I72" s="1352"/>
      <c r="J72" s="1351"/>
      <c r="K72" s="1352"/>
      <c r="L72" s="1353"/>
      <c r="M72" s="2939"/>
      <c r="N72" s="1353"/>
      <c r="O72" s="2940"/>
    </row>
    <row r="73" spans="1:15">
      <c r="A73" s="53">
        <v>1999.04</v>
      </c>
      <c r="B73" s="1349"/>
      <c r="C73" s="3612"/>
      <c r="D73" s="1350"/>
      <c r="E73" s="456">
        <v>579303</v>
      </c>
      <c r="F73" s="1351"/>
      <c r="G73" s="1352"/>
      <c r="H73" s="1351"/>
      <c r="I73" s="1352"/>
      <c r="J73" s="1351"/>
      <c r="K73" s="1352"/>
      <c r="L73" s="1353"/>
      <c r="M73" s="2939"/>
      <c r="N73" s="1353"/>
      <c r="O73" s="2940"/>
    </row>
    <row r="74" spans="1:15">
      <c r="A74" s="53">
        <v>1999.05</v>
      </c>
      <c r="B74" s="1349"/>
      <c r="C74" s="3612"/>
      <c r="D74" s="1350"/>
      <c r="E74" s="456">
        <v>588252</v>
      </c>
      <c r="F74" s="1351"/>
      <c r="G74" s="1352"/>
      <c r="H74" s="1351"/>
      <c r="I74" s="1352"/>
      <c r="J74" s="1351"/>
      <c r="K74" s="1352"/>
      <c r="L74" s="1353"/>
      <c r="M74" s="2939"/>
      <c r="N74" s="1353"/>
      <c r="O74" s="2940"/>
    </row>
    <row r="75" spans="1:15">
      <c r="A75" s="53">
        <v>1999.06</v>
      </c>
      <c r="B75" s="1349"/>
      <c r="C75" s="3612"/>
      <c r="D75" s="1350"/>
      <c r="E75" s="456">
        <v>591866</v>
      </c>
      <c r="F75" s="1351"/>
      <c r="G75" s="1352"/>
      <c r="H75" s="1351"/>
      <c r="I75" s="1352"/>
      <c r="J75" s="1351"/>
      <c r="K75" s="1352"/>
      <c r="L75" s="1353"/>
      <c r="M75" s="2939"/>
      <c r="N75" s="1353"/>
      <c r="O75" s="2940"/>
    </row>
    <row r="76" spans="1:15">
      <c r="A76" s="53">
        <v>1999.07</v>
      </c>
      <c r="B76" s="1349"/>
      <c r="C76" s="3612"/>
      <c r="D76" s="1350"/>
      <c r="E76" s="456">
        <v>526490</v>
      </c>
      <c r="F76" s="1351"/>
      <c r="G76" s="1352"/>
      <c r="H76" s="1351"/>
      <c r="I76" s="1352"/>
      <c r="J76" s="1351"/>
      <c r="K76" s="1352"/>
      <c r="L76" s="1353"/>
      <c r="M76" s="2939"/>
      <c r="N76" s="1353"/>
      <c r="O76" s="2940"/>
    </row>
    <row r="77" spans="1:15">
      <c r="A77" s="53">
        <v>1999.08</v>
      </c>
      <c r="B77" s="1349"/>
      <c r="C77" s="3612"/>
      <c r="D77" s="1350"/>
      <c r="E77" s="456">
        <v>592912</v>
      </c>
      <c r="F77" s="1351"/>
      <c r="G77" s="1352"/>
      <c r="H77" s="1351"/>
      <c r="I77" s="1352"/>
      <c r="J77" s="1351"/>
      <c r="K77" s="1352"/>
      <c r="L77" s="1353"/>
      <c r="M77" s="2939"/>
      <c r="N77" s="1353"/>
      <c r="O77" s="2940"/>
    </row>
    <row r="78" spans="1:15">
      <c r="A78" s="53">
        <v>1999.09</v>
      </c>
      <c r="B78" s="1349"/>
      <c r="C78" s="3612"/>
      <c r="D78" s="1350"/>
      <c r="E78" s="456">
        <v>602634</v>
      </c>
      <c r="F78" s="1351"/>
      <c r="G78" s="1352"/>
      <c r="H78" s="1351"/>
      <c r="I78" s="1352"/>
      <c r="J78" s="1351"/>
      <c r="K78" s="1352"/>
      <c r="L78" s="1353"/>
      <c r="M78" s="2939"/>
      <c r="N78" s="1353"/>
      <c r="O78" s="2940"/>
    </row>
    <row r="79" spans="1:15">
      <c r="A79" s="53">
        <v>1999.1</v>
      </c>
      <c r="B79" s="1349"/>
      <c r="C79" s="3612"/>
      <c r="D79" s="1350"/>
      <c r="E79" s="456">
        <v>621070</v>
      </c>
      <c r="F79" s="1351"/>
      <c r="G79" s="1352"/>
      <c r="H79" s="1351"/>
      <c r="I79" s="1352"/>
      <c r="J79" s="1351"/>
      <c r="K79" s="1352"/>
      <c r="L79" s="1353"/>
      <c r="M79" s="2939"/>
      <c r="N79" s="1353"/>
      <c r="O79" s="2940"/>
    </row>
    <row r="80" spans="1:15">
      <c r="A80" s="53">
        <v>1999.11</v>
      </c>
      <c r="B80" s="1349"/>
      <c r="C80" s="3612"/>
      <c r="D80" s="1350"/>
      <c r="E80" s="456">
        <v>632184</v>
      </c>
      <c r="F80" s="1351"/>
      <c r="G80" s="1352"/>
      <c r="H80" s="1351"/>
      <c r="I80" s="1352"/>
      <c r="J80" s="1351"/>
      <c r="K80" s="1352"/>
      <c r="L80" s="1353"/>
      <c r="M80" s="2939"/>
      <c r="N80" s="1353"/>
      <c r="O80" s="2940"/>
    </row>
    <row r="81" spans="1:15">
      <c r="A81" s="53">
        <v>1999.12</v>
      </c>
      <c r="B81" s="1349"/>
      <c r="C81" s="3612"/>
      <c r="D81" s="1350"/>
      <c r="E81" s="456">
        <v>531122</v>
      </c>
      <c r="F81" s="1351"/>
      <c r="G81" s="1352"/>
      <c r="H81" s="1351"/>
      <c r="I81" s="1352"/>
      <c r="J81" s="1351"/>
      <c r="K81" s="1352"/>
      <c r="L81" s="1353"/>
      <c r="M81" s="2939"/>
      <c r="N81" s="1353"/>
      <c r="O81" s="2940"/>
    </row>
    <row r="82" spans="1:15">
      <c r="A82" s="53">
        <v>2000.01</v>
      </c>
      <c r="B82" s="30">
        <v>40585</v>
      </c>
      <c r="C82" s="3613"/>
      <c r="D82" s="116"/>
      <c r="E82" s="456">
        <v>515923</v>
      </c>
      <c r="F82" s="1351"/>
      <c r="G82" s="1352"/>
      <c r="H82" s="1351"/>
      <c r="I82" s="1352"/>
      <c r="J82" s="1351"/>
      <c r="K82" s="1352"/>
      <c r="L82" s="1353"/>
      <c r="M82" s="2939"/>
      <c r="N82" s="1353"/>
      <c r="O82" s="2940"/>
    </row>
    <row r="83" spans="1:15">
      <c r="A83" s="53">
        <v>2000.02</v>
      </c>
      <c r="B83" s="215">
        <v>34964</v>
      </c>
      <c r="C83" s="3614"/>
      <c r="D83" s="1354"/>
      <c r="E83" s="456">
        <v>508851</v>
      </c>
      <c r="F83" s="1351"/>
      <c r="G83" s="1352"/>
      <c r="H83" s="1351"/>
      <c r="I83" s="1352"/>
      <c r="J83" s="1351"/>
      <c r="K83" s="1352"/>
      <c r="L83" s="1353"/>
      <c r="M83" s="2939"/>
      <c r="N83" s="1353"/>
      <c r="O83" s="2940"/>
    </row>
    <row r="84" spans="1:15">
      <c r="A84" s="53">
        <v>2000.03</v>
      </c>
      <c r="B84" s="215">
        <v>43151</v>
      </c>
      <c r="C84" s="3614"/>
      <c r="D84" s="1354"/>
      <c r="E84" s="456">
        <v>542207</v>
      </c>
      <c r="F84" s="1351"/>
      <c r="G84" s="1352"/>
      <c r="H84" s="1351"/>
      <c r="I84" s="1352"/>
      <c r="J84" s="1351"/>
      <c r="K84" s="1352"/>
      <c r="L84" s="1353"/>
      <c r="M84" s="2939"/>
      <c r="N84" s="1353"/>
      <c r="O84" s="2940"/>
    </row>
    <row r="85" spans="1:15">
      <c r="A85" s="53">
        <v>2000.04</v>
      </c>
      <c r="B85" s="215">
        <v>34179</v>
      </c>
      <c r="C85" s="3614"/>
      <c r="D85" s="1354"/>
      <c r="E85" s="456">
        <v>455159</v>
      </c>
      <c r="F85" s="1351"/>
      <c r="G85" s="1352"/>
      <c r="H85" s="1351"/>
      <c r="I85" s="1352"/>
      <c r="J85" s="1351"/>
      <c r="K85" s="1352"/>
      <c r="L85" s="1353"/>
      <c r="M85" s="2939"/>
      <c r="N85" s="1353"/>
      <c r="O85" s="2940"/>
    </row>
    <row r="86" spans="1:15">
      <c r="A86" s="53">
        <v>2000.05</v>
      </c>
      <c r="B86" s="215">
        <v>31178</v>
      </c>
      <c r="C86" s="3614"/>
      <c r="D86" s="1354"/>
      <c r="E86" s="456">
        <v>458899</v>
      </c>
      <c r="F86" s="1351"/>
      <c r="G86" s="1352"/>
      <c r="H86" s="1351"/>
      <c r="I86" s="1352"/>
      <c r="J86" s="1351"/>
      <c r="K86" s="1352"/>
      <c r="L86" s="1353"/>
      <c r="M86" s="2939"/>
      <c r="N86" s="1353"/>
      <c r="O86" s="2940"/>
    </row>
    <row r="87" spans="1:15">
      <c r="A87" s="53">
        <v>2000.06</v>
      </c>
      <c r="B87" s="215">
        <v>32952</v>
      </c>
      <c r="C87" s="3614"/>
      <c r="D87" s="1354"/>
      <c r="E87" s="456">
        <v>441621</v>
      </c>
      <c r="F87" s="1351"/>
      <c r="G87" s="1352"/>
      <c r="H87" s="1351"/>
      <c r="I87" s="1352"/>
      <c r="J87" s="1351"/>
      <c r="K87" s="1352"/>
      <c r="L87" s="1353"/>
      <c r="M87" s="2939"/>
      <c r="N87" s="1353"/>
      <c r="O87" s="2940"/>
    </row>
    <row r="88" spans="1:15">
      <c r="A88" s="53">
        <v>2000.07</v>
      </c>
      <c r="B88" s="215">
        <v>34814</v>
      </c>
      <c r="C88" s="3614"/>
      <c r="D88" s="1354"/>
      <c r="E88" s="456">
        <v>460590</v>
      </c>
      <c r="F88" s="1351"/>
      <c r="G88" s="1352"/>
      <c r="H88" s="1351"/>
      <c r="I88" s="1352"/>
      <c r="J88" s="1351"/>
      <c r="K88" s="1352"/>
      <c r="L88" s="1353"/>
      <c r="M88" s="2939"/>
      <c r="N88" s="1353"/>
      <c r="O88" s="2940"/>
    </row>
    <row r="89" spans="1:15">
      <c r="A89" s="53">
        <v>2000.08</v>
      </c>
      <c r="B89" s="215">
        <v>41098</v>
      </c>
      <c r="C89" s="3614"/>
      <c r="D89" s="1354"/>
      <c r="E89" s="456">
        <v>538570</v>
      </c>
      <c r="F89" s="1351"/>
      <c r="G89" s="1352"/>
      <c r="H89" s="1351"/>
      <c r="I89" s="1352"/>
      <c r="J89" s="1351"/>
      <c r="K89" s="1352"/>
      <c r="L89" s="1353"/>
      <c r="M89" s="2939"/>
      <c r="N89" s="1353"/>
      <c r="O89" s="2940"/>
    </row>
    <row r="90" spans="1:15">
      <c r="A90" s="53">
        <v>2000.09</v>
      </c>
      <c r="B90" s="215">
        <v>44592</v>
      </c>
      <c r="C90" s="3614"/>
      <c r="D90" s="1354"/>
      <c r="E90" s="456">
        <v>552670</v>
      </c>
      <c r="F90" s="1351"/>
      <c r="G90" s="1352"/>
      <c r="H90" s="1351"/>
      <c r="I90" s="1352"/>
      <c r="J90" s="1351"/>
      <c r="K90" s="1352"/>
      <c r="L90" s="1353"/>
      <c r="M90" s="2939"/>
      <c r="N90" s="1353"/>
      <c r="O90" s="2940"/>
    </row>
    <row r="91" spans="1:15">
      <c r="A91" s="53">
        <v>2000.1</v>
      </c>
      <c r="B91" s="215">
        <v>32797</v>
      </c>
      <c r="C91" s="3614"/>
      <c r="D91" s="1354"/>
      <c r="E91" s="456">
        <v>507250</v>
      </c>
      <c r="F91" s="1351"/>
      <c r="G91" s="1352"/>
      <c r="H91" s="1351"/>
      <c r="I91" s="1352"/>
      <c r="J91" s="1351"/>
      <c r="K91" s="1352"/>
      <c r="L91" s="1353"/>
      <c r="M91" s="2939"/>
      <c r="N91" s="1353"/>
      <c r="O91" s="2940"/>
    </row>
    <row r="92" spans="1:15">
      <c r="A92" s="53">
        <v>2000.11</v>
      </c>
      <c r="B92" s="215">
        <v>35820</v>
      </c>
      <c r="C92" s="3614"/>
      <c r="D92" s="1354"/>
      <c r="E92" s="456">
        <v>532593</v>
      </c>
      <c r="F92" s="1351"/>
      <c r="G92" s="1352"/>
      <c r="H92" s="1351"/>
      <c r="I92" s="1352"/>
      <c r="J92" s="1351"/>
      <c r="K92" s="1352"/>
      <c r="L92" s="1353"/>
      <c r="M92" s="2939"/>
      <c r="N92" s="1353"/>
      <c r="O92" s="2940"/>
    </row>
    <row r="93" spans="1:15">
      <c r="A93" s="53">
        <v>2000.12</v>
      </c>
      <c r="B93" s="215">
        <v>33641</v>
      </c>
      <c r="C93" s="3614"/>
      <c r="D93" s="1354"/>
      <c r="E93" s="456">
        <v>491025</v>
      </c>
      <c r="F93" s="1351"/>
      <c r="G93" s="1352"/>
      <c r="H93" s="1351"/>
      <c r="I93" s="1352"/>
      <c r="J93" s="1351"/>
      <c r="K93" s="1352"/>
      <c r="L93" s="1353"/>
      <c r="M93" s="2939"/>
      <c r="N93" s="1353"/>
      <c r="O93" s="2940"/>
    </row>
    <row r="94" spans="1:15">
      <c r="A94" s="53">
        <v>2001.01</v>
      </c>
      <c r="B94" s="215">
        <v>40056</v>
      </c>
      <c r="C94" s="3614"/>
      <c r="D94" s="1354"/>
      <c r="E94" s="456">
        <v>499804</v>
      </c>
      <c r="F94" s="1351"/>
      <c r="G94" s="1352"/>
      <c r="H94" s="1351"/>
      <c r="I94" s="1352"/>
      <c r="J94" s="1351"/>
      <c r="K94" s="1352"/>
      <c r="L94" s="1353"/>
      <c r="M94" s="2939"/>
      <c r="N94" s="1353"/>
      <c r="O94" s="2940"/>
    </row>
    <row r="95" spans="1:15">
      <c r="A95" s="53">
        <v>2001.02</v>
      </c>
      <c r="B95" s="215">
        <v>39308</v>
      </c>
      <c r="C95" s="3614"/>
      <c r="D95" s="1354"/>
      <c r="E95" s="456">
        <v>478457</v>
      </c>
      <c r="F95" s="1351"/>
      <c r="G95" s="1352"/>
      <c r="H95" s="1351"/>
      <c r="I95" s="1352"/>
      <c r="J95" s="1351"/>
      <c r="K95" s="1352"/>
      <c r="L95" s="1353"/>
      <c r="M95" s="2939"/>
      <c r="N95" s="1353"/>
      <c r="O95" s="2940"/>
    </row>
    <row r="96" spans="1:15">
      <c r="A96" s="53">
        <v>2001.03</v>
      </c>
      <c r="B96" s="215">
        <v>35442</v>
      </c>
      <c r="C96" s="3614"/>
      <c r="D96" s="1354"/>
      <c r="E96" s="456">
        <v>470047</v>
      </c>
      <c r="F96" s="1351"/>
      <c r="G96" s="1352"/>
      <c r="H96" s="1351"/>
      <c r="I96" s="1352"/>
      <c r="J96" s="1351"/>
      <c r="K96" s="1352"/>
      <c r="L96" s="1353"/>
      <c r="M96" s="2939"/>
      <c r="N96" s="1353"/>
      <c r="O96" s="2940"/>
    </row>
    <row r="97" spans="1:20">
      <c r="A97" s="53">
        <v>2001.04</v>
      </c>
      <c r="B97" s="215">
        <v>32879</v>
      </c>
      <c r="C97" s="3614"/>
      <c r="D97" s="1354"/>
      <c r="E97" s="456">
        <v>461199</v>
      </c>
      <c r="F97" s="1351"/>
      <c r="G97" s="1352"/>
      <c r="H97" s="1351"/>
      <c r="I97" s="1352"/>
      <c r="J97" s="1351"/>
      <c r="K97" s="1352"/>
      <c r="L97" s="1353"/>
      <c r="M97" s="2939"/>
      <c r="N97" s="1353"/>
      <c r="O97" s="2940"/>
      <c r="P97" s="166"/>
      <c r="Q97" s="166"/>
      <c r="R97" s="166"/>
      <c r="S97" s="166"/>
      <c r="T97" s="166"/>
    </row>
    <row r="98" spans="1:20">
      <c r="A98" s="53">
        <v>2001.05</v>
      </c>
      <c r="B98" s="215">
        <v>36328</v>
      </c>
      <c r="C98" s="3614"/>
      <c r="D98" s="1354"/>
      <c r="E98" s="456">
        <v>445259</v>
      </c>
      <c r="F98" s="1351"/>
      <c r="G98" s="1352"/>
      <c r="H98" s="1351"/>
      <c r="I98" s="1352"/>
      <c r="J98" s="1351"/>
      <c r="K98" s="1352"/>
      <c r="L98" s="1353"/>
      <c r="M98" s="2939"/>
      <c r="N98" s="1353"/>
      <c r="O98" s="2940"/>
      <c r="P98" s="166"/>
      <c r="Q98" s="166"/>
      <c r="R98" s="166"/>
      <c r="S98" s="166"/>
      <c r="T98" s="166"/>
    </row>
    <row r="99" spans="1:20">
      <c r="A99" s="53">
        <v>2001.06</v>
      </c>
      <c r="B99" s="215">
        <v>34214</v>
      </c>
      <c r="C99" s="3614"/>
      <c r="D99" s="1354"/>
      <c r="E99" s="456">
        <v>436564</v>
      </c>
      <c r="F99" s="1351"/>
      <c r="G99" s="1352"/>
      <c r="H99" s="1351"/>
      <c r="I99" s="1352"/>
      <c r="J99" s="1351"/>
      <c r="K99" s="1352"/>
      <c r="L99" s="1353"/>
      <c r="M99" s="2939"/>
      <c r="N99" s="1353"/>
      <c r="O99" s="2940"/>
      <c r="P99" s="166"/>
      <c r="Q99" s="166"/>
      <c r="R99" s="166"/>
      <c r="S99" s="166"/>
      <c r="T99" s="166"/>
    </row>
    <row r="100" spans="1:20">
      <c r="A100" s="53">
        <v>2001.07</v>
      </c>
      <c r="B100" s="215">
        <v>40425</v>
      </c>
      <c r="C100" s="3614"/>
      <c r="D100" s="1354"/>
      <c r="E100" s="456">
        <v>450975</v>
      </c>
      <c r="F100" s="1351"/>
      <c r="G100" s="1352"/>
      <c r="H100" s="1351"/>
      <c r="I100" s="1352"/>
      <c r="J100" s="1351"/>
      <c r="K100" s="1352"/>
      <c r="L100" s="1353"/>
      <c r="M100" s="2939"/>
      <c r="N100" s="1353"/>
      <c r="O100" s="2940"/>
      <c r="P100" s="166"/>
      <c r="Q100" s="166"/>
      <c r="R100" s="166"/>
      <c r="S100" s="166"/>
      <c r="T100" s="166"/>
    </row>
    <row r="101" spans="1:20">
      <c r="A101" s="53">
        <v>2001.08</v>
      </c>
      <c r="B101" s="215">
        <v>35892</v>
      </c>
      <c r="C101" s="3614"/>
      <c r="D101" s="1354"/>
      <c r="E101" s="456">
        <v>451521</v>
      </c>
      <c r="F101" s="1351"/>
      <c r="G101" s="1352"/>
      <c r="H101" s="1351"/>
      <c r="I101" s="1352"/>
      <c r="J101" s="1351"/>
      <c r="K101" s="1352"/>
      <c r="L101" s="1353"/>
      <c r="M101" s="2939"/>
      <c r="N101" s="1353"/>
      <c r="O101" s="2940"/>
      <c r="P101" s="166"/>
      <c r="Q101" s="166"/>
      <c r="R101" s="166"/>
      <c r="S101" s="166"/>
      <c r="T101" s="166"/>
    </row>
    <row r="102" spans="1:20">
      <c r="A102" s="53">
        <v>2001.09</v>
      </c>
      <c r="B102" s="215">
        <v>35470</v>
      </c>
      <c r="C102" s="3614"/>
      <c r="D102" s="1354"/>
      <c r="E102" s="456">
        <v>425771</v>
      </c>
      <c r="F102" s="1351"/>
      <c r="G102" s="1352"/>
      <c r="H102" s="1351"/>
      <c r="I102" s="1352"/>
      <c r="J102" s="1351"/>
      <c r="K102" s="1352"/>
      <c r="L102" s="1353"/>
      <c r="M102" s="2939"/>
      <c r="N102" s="1353"/>
      <c r="O102" s="2940"/>
      <c r="P102" s="166"/>
      <c r="Q102" s="166"/>
      <c r="R102" s="166"/>
      <c r="S102" s="166"/>
      <c r="T102" s="166"/>
    </row>
    <row r="103" spans="1:20">
      <c r="A103" s="53">
        <v>2001.1</v>
      </c>
      <c r="B103" s="215">
        <v>31462</v>
      </c>
      <c r="C103" s="3614"/>
      <c r="D103" s="1354"/>
      <c r="E103" s="456">
        <v>404195</v>
      </c>
      <c r="F103" s="1351"/>
      <c r="G103" s="1352"/>
      <c r="H103" s="1351"/>
      <c r="I103" s="1352"/>
      <c r="J103" s="1351"/>
      <c r="K103" s="1352"/>
      <c r="L103" s="1353"/>
      <c r="M103" s="2939"/>
      <c r="N103" s="1353"/>
      <c r="O103" s="2940"/>
      <c r="P103" s="166"/>
      <c r="Q103" s="166"/>
      <c r="R103" s="166"/>
      <c r="S103" s="166"/>
      <c r="T103" s="166"/>
    </row>
    <row r="104" spans="1:20">
      <c r="A104" s="53">
        <v>2001.11</v>
      </c>
      <c r="B104" s="215">
        <v>35718</v>
      </c>
      <c r="C104" s="3614"/>
      <c r="D104" s="1354"/>
      <c r="E104" s="456">
        <v>441476</v>
      </c>
      <c r="F104" s="1351"/>
      <c r="G104" s="1352"/>
      <c r="H104" s="1351"/>
      <c r="I104" s="1352"/>
      <c r="J104" s="1351"/>
      <c r="K104" s="1352"/>
      <c r="L104" s="1353"/>
      <c r="M104" s="2939"/>
      <c r="N104" s="1353"/>
      <c r="O104" s="2940"/>
      <c r="P104" s="166"/>
      <c r="Q104" s="166"/>
      <c r="R104" s="166"/>
      <c r="S104" s="166"/>
      <c r="T104" s="166"/>
    </row>
    <row r="105" spans="1:20">
      <c r="A105" s="53">
        <v>2001.12</v>
      </c>
      <c r="B105" s="215">
        <v>23364</v>
      </c>
      <c r="C105" s="3614"/>
      <c r="D105" s="1354"/>
      <c r="E105" s="456">
        <v>321034</v>
      </c>
      <c r="F105" s="1351"/>
      <c r="G105" s="1352"/>
      <c r="H105" s="1351"/>
      <c r="I105" s="1352"/>
      <c r="J105" s="1351"/>
      <c r="K105" s="1352"/>
      <c r="L105" s="1353"/>
      <c r="M105" s="2939"/>
      <c r="N105" s="1353"/>
      <c r="O105" s="2940"/>
      <c r="P105" s="166"/>
      <c r="Q105" s="166"/>
      <c r="R105" s="166"/>
      <c r="S105" s="166"/>
      <c r="T105" s="166"/>
    </row>
    <row r="106" spans="1:20">
      <c r="A106" s="167">
        <v>2002.01</v>
      </c>
      <c r="B106" s="215">
        <v>21364</v>
      </c>
      <c r="C106" s="3614"/>
      <c r="D106" s="1354"/>
      <c r="E106" s="456">
        <v>305007</v>
      </c>
      <c r="F106" s="1351"/>
      <c r="G106" s="1352"/>
      <c r="H106" s="1351"/>
      <c r="I106" s="1352"/>
      <c r="J106" s="1351"/>
      <c r="K106" s="1352"/>
      <c r="L106" s="1353"/>
      <c r="M106" s="2939"/>
      <c r="N106" s="1353"/>
      <c r="O106" s="2940"/>
      <c r="P106" s="29"/>
      <c r="Q106" s="29"/>
      <c r="R106" s="29"/>
      <c r="S106" s="29"/>
      <c r="T106" s="7"/>
    </row>
    <row r="107" spans="1:20">
      <c r="A107" s="167">
        <v>2002.02</v>
      </c>
      <c r="B107" s="215">
        <v>20009</v>
      </c>
      <c r="C107" s="3614"/>
      <c r="D107" s="1354"/>
      <c r="E107" s="456">
        <v>278133</v>
      </c>
      <c r="F107" s="1351"/>
      <c r="G107" s="1352"/>
      <c r="H107" s="1351"/>
      <c r="I107" s="1352"/>
      <c r="J107" s="1351"/>
      <c r="K107" s="1352"/>
      <c r="L107" s="1353"/>
      <c r="M107" s="2939"/>
      <c r="N107" s="1353"/>
      <c r="O107" s="2940"/>
      <c r="P107" s="29"/>
      <c r="Q107" s="29"/>
      <c r="R107" s="29"/>
      <c r="S107" s="29"/>
      <c r="T107" s="29"/>
    </row>
    <row r="108" spans="1:20">
      <c r="A108" s="167">
        <v>2002.03</v>
      </c>
      <c r="B108" s="215">
        <v>19719</v>
      </c>
      <c r="C108" s="3614"/>
      <c r="D108" s="1354"/>
      <c r="E108" s="456">
        <v>317899</v>
      </c>
      <c r="F108" s="1351"/>
      <c r="G108" s="1352"/>
      <c r="H108" s="1351"/>
      <c r="I108" s="1352"/>
      <c r="J108" s="1351"/>
      <c r="K108" s="1352"/>
      <c r="L108" s="1353"/>
      <c r="M108" s="2939"/>
      <c r="N108" s="1353"/>
      <c r="O108" s="2940"/>
      <c r="P108" s="29"/>
      <c r="Q108" s="29"/>
      <c r="R108" s="29"/>
      <c r="S108" s="29"/>
      <c r="T108" s="29"/>
    </row>
    <row r="109" spans="1:20">
      <c r="A109" s="167">
        <v>2002.04</v>
      </c>
      <c r="B109" s="215">
        <v>18276</v>
      </c>
      <c r="C109" s="3614"/>
      <c r="D109" s="1354"/>
      <c r="E109" s="456">
        <v>283413</v>
      </c>
      <c r="F109" s="1351"/>
      <c r="G109" s="1352"/>
      <c r="H109" s="1351"/>
      <c r="I109" s="1352"/>
      <c r="J109" s="1351"/>
      <c r="K109" s="1352"/>
      <c r="L109" s="1353"/>
      <c r="M109" s="2939"/>
      <c r="N109" s="1353"/>
      <c r="O109" s="2940"/>
      <c r="P109" s="29"/>
      <c r="Q109" s="29"/>
      <c r="R109" s="29"/>
      <c r="S109" s="29"/>
      <c r="T109" s="29"/>
    </row>
    <row r="110" spans="1:20">
      <c r="A110" s="167">
        <v>2002.05</v>
      </c>
      <c r="B110" s="215">
        <v>23642</v>
      </c>
      <c r="C110" s="3614"/>
      <c r="D110" s="1354"/>
      <c r="E110" s="456">
        <v>303346</v>
      </c>
      <c r="F110" s="1351"/>
      <c r="G110" s="1352"/>
      <c r="H110" s="1351"/>
      <c r="I110" s="1352"/>
      <c r="J110" s="1351"/>
      <c r="K110" s="1352"/>
      <c r="L110" s="1353"/>
      <c r="M110" s="2939"/>
      <c r="N110" s="1353"/>
      <c r="O110" s="2940"/>
      <c r="P110" s="29"/>
      <c r="Q110" s="29"/>
      <c r="R110" s="29"/>
      <c r="S110" s="29"/>
      <c r="T110" s="29"/>
    </row>
    <row r="111" spans="1:20">
      <c r="A111" s="167">
        <v>2002.06</v>
      </c>
      <c r="B111" s="215">
        <v>24403</v>
      </c>
      <c r="C111" s="3614"/>
      <c r="D111" s="1354"/>
      <c r="E111" s="456">
        <v>299946</v>
      </c>
      <c r="F111" s="1351"/>
      <c r="G111" s="1352"/>
      <c r="H111" s="1351"/>
      <c r="I111" s="1352"/>
      <c r="J111" s="1351"/>
      <c r="K111" s="1352"/>
      <c r="L111" s="1353"/>
      <c r="M111" s="2939"/>
      <c r="N111" s="1353"/>
      <c r="O111" s="2940"/>
      <c r="P111" s="29"/>
      <c r="Q111" s="29"/>
      <c r="R111" s="29"/>
      <c r="S111" s="29"/>
      <c r="T111" s="29"/>
    </row>
    <row r="112" spans="1:20">
      <c r="A112" s="167">
        <v>2002.07</v>
      </c>
      <c r="B112" s="215">
        <v>26058</v>
      </c>
      <c r="C112" s="3614"/>
      <c r="D112" s="1354"/>
      <c r="E112" s="456">
        <v>314196</v>
      </c>
      <c r="F112" s="1351"/>
      <c r="G112" s="1352"/>
      <c r="H112" s="1351"/>
      <c r="I112" s="1352"/>
      <c r="J112" s="1351"/>
      <c r="K112" s="1352"/>
      <c r="L112" s="1353"/>
      <c r="M112" s="2939"/>
      <c r="N112" s="1353"/>
      <c r="O112" s="2940"/>
      <c r="P112" s="29"/>
      <c r="Q112" s="29"/>
      <c r="R112" s="29"/>
      <c r="S112" s="29"/>
      <c r="T112" s="29"/>
    </row>
    <row r="113" spans="1:20">
      <c r="A113" s="167">
        <v>2002.08</v>
      </c>
      <c r="B113" s="215">
        <v>30805</v>
      </c>
      <c r="C113" s="3614"/>
      <c r="D113" s="1354"/>
      <c r="E113" s="456">
        <v>352198</v>
      </c>
      <c r="F113" s="1351"/>
      <c r="G113" s="1352"/>
      <c r="H113" s="1351"/>
      <c r="I113" s="1352"/>
      <c r="J113" s="1351"/>
      <c r="K113" s="1352"/>
      <c r="L113" s="1353"/>
      <c r="M113" s="2939"/>
      <c r="N113" s="1353"/>
      <c r="O113" s="2940"/>
      <c r="P113" s="29"/>
      <c r="Q113" s="29"/>
      <c r="R113" s="29"/>
      <c r="S113" s="29"/>
      <c r="T113" s="29"/>
    </row>
    <row r="114" spans="1:20">
      <c r="A114" s="167">
        <v>2002.09</v>
      </c>
      <c r="B114" s="215">
        <v>31593</v>
      </c>
      <c r="C114" s="3614"/>
      <c r="D114" s="1354"/>
      <c r="E114" s="456">
        <v>348784</v>
      </c>
      <c r="F114" s="1351"/>
      <c r="G114" s="1352"/>
      <c r="H114" s="1351"/>
      <c r="I114" s="1352"/>
      <c r="J114" s="1351"/>
      <c r="K114" s="1352"/>
      <c r="L114" s="1353"/>
      <c r="M114" s="2939"/>
      <c r="N114" s="1353"/>
      <c r="O114" s="2940"/>
      <c r="P114" s="29"/>
      <c r="Q114" s="29"/>
      <c r="R114" s="29"/>
      <c r="S114" s="29"/>
      <c r="T114" s="29"/>
    </row>
    <row r="115" spans="1:20">
      <c r="A115" s="167">
        <v>2002.1</v>
      </c>
      <c r="B115" s="215">
        <v>30653</v>
      </c>
      <c r="C115" s="3614"/>
      <c r="D115" s="1354"/>
      <c r="E115" s="456">
        <v>356989</v>
      </c>
      <c r="F115" s="1351"/>
      <c r="G115" s="1352"/>
      <c r="H115" s="1351"/>
      <c r="I115" s="1352"/>
      <c r="J115" s="1351"/>
      <c r="K115" s="1352"/>
      <c r="L115" s="1353"/>
      <c r="M115" s="2939"/>
      <c r="N115" s="1353"/>
      <c r="O115" s="2940"/>
      <c r="P115" s="29"/>
      <c r="Q115" s="29"/>
      <c r="R115" s="29"/>
      <c r="S115" s="29"/>
      <c r="T115" s="29"/>
    </row>
    <row r="116" spans="1:20">
      <c r="A116" s="167">
        <v>2002.11</v>
      </c>
      <c r="B116" s="215">
        <v>30366</v>
      </c>
      <c r="C116" s="3614"/>
      <c r="D116" s="1354"/>
      <c r="E116" s="456">
        <v>343331</v>
      </c>
      <c r="F116" s="1351"/>
      <c r="G116" s="1352"/>
      <c r="H116" s="1351"/>
      <c r="I116" s="1352"/>
      <c r="J116" s="1351"/>
      <c r="K116" s="1352"/>
      <c r="L116" s="1353"/>
      <c r="M116" s="2939"/>
      <c r="N116" s="1353"/>
      <c r="O116" s="2940"/>
      <c r="P116" s="29"/>
      <c r="Q116" s="29"/>
      <c r="R116" s="29"/>
      <c r="S116" s="29"/>
      <c r="T116" s="29"/>
    </row>
    <row r="117" spans="1:20">
      <c r="A117" s="167">
        <v>2002.12</v>
      </c>
      <c r="B117" s="215">
        <v>27794</v>
      </c>
      <c r="C117" s="3614"/>
      <c r="D117" s="1354"/>
      <c r="E117" s="456">
        <v>333979</v>
      </c>
      <c r="F117" s="1351"/>
      <c r="G117" s="1352"/>
      <c r="H117" s="1351"/>
      <c r="I117" s="1352"/>
      <c r="J117" s="1351"/>
      <c r="K117" s="1352"/>
      <c r="L117" s="1353"/>
      <c r="M117" s="2939"/>
      <c r="N117" s="1353"/>
      <c r="O117" s="2940"/>
      <c r="P117" s="29"/>
      <c r="Q117" s="29"/>
      <c r="R117" s="29"/>
      <c r="S117" s="29"/>
      <c r="T117" s="7"/>
    </row>
    <row r="118" spans="1:20">
      <c r="A118" s="167">
        <v>2003.01</v>
      </c>
      <c r="B118" s="215">
        <v>34028</v>
      </c>
      <c r="C118" s="3614"/>
      <c r="D118" s="1354"/>
      <c r="E118" s="456">
        <v>381492</v>
      </c>
      <c r="F118" s="1351"/>
      <c r="G118" s="1352"/>
      <c r="H118" s="1351"/>
      <c r="I118" s="1352"/>
      <c r="J118" s="1351"/>
      <c r="K118" s="1352"/>
      <c r="L118" s="1353"/>
      <c r="M118" s="2939"/>
      <c r="N118" s="1353"/>
      <c r="O118" s="2940"/>
      <c r="P118" s="166"/>
      <c r="Q118" s="166"/>
      <c r="R118" s="166"/>
      <c r="S118" s="166"/>
      <c r="T118" s="166"/>
    </row>
    <row r="119" spans="1:20">
      <c r="A119" s="167">
        <v>2003.02</v>
      </c>
      <c r="B119" s="215">
        <v>28570</v>
      </c>
      <c r="C119" s="3614"/>
      <c r="D119" s="1354"/>
      <c r="E119" s="456">
        <v>342765</v>
      </c>
      <c r="F119" s="1351"/>
      <c r="G119" s="1352"/>
      <c r="H119" s="1351"/>
      <c r="I119" s="1352"/>
      <c r="J119" s="1351"/>
      <c r="K119" s="1352"/>
      <c r="L119" s="1353"/>
      <c r="M119" s="2939"/>
      <c r="N119" s="1353"/>
      <c r="O119" s="2940"/>
      <c r="P119" s="166"/>
      <c r="Q119" s="166"/>
      <c r="R119" s="166"/>
      <c r="S119" s="166"/>
      <c r="T119" s="166"/>
    </row>
    <row r="120" spans="1:20">
      <c r="A120" s="167">
        <v>2003.03</v>
      </c>
      <c r="B120" s="215">
        <v>29928</v>
      </c>
      <c r="C120" s="3614"/>
      <c r="D120" s="1354"/>
      <c r="E120" s="456">
        <v>375533</v>
      </c>
      <c r="F120" s="1351"/>
      <c r="G120" s="1352"/>
      <c r="H120" s="1351"/>
      <c r="I120" s="1352"/>
      <c r="J120" s="1351"/>
      <c r="K120" s="1352"/>
      <c r="L120" s="1353"/>
      <c r="M120" s="2939"/>
      <c r="N120" s="1353"/>
      <c r="O120" s="2940"/>
      <c r="P120" s="166"/>
      <c r="Q120" s="166"/>
      <c r="R120" s="166"/>
      <c r="S120" s="166"/>
      <c r="T120" s="166"/>
    </row>
    <row r="121" spans="1:20">
      <c r="A121" s="167">
        <v>2003.04</v>
      </c>
      <c r="B121" s="215">
        <v>26681</v>
      </c>
      <c r="C121" s="3614"/>
      <c r="D121" s="1354"/>
      <c r="E121" s="456">
        <v>363489</v>
      </c>
      <c r="F121" s="1351"/>
      <c r="G121" s="1352"/>
      <c r="H121" s="1351"/>
      <c r="I121" s="1352"/>
      <c r="J121" s="1351"/>
      <c r="K121" s="1352"/>
      <c r="L121" s="1353"/>
      <c r="M121" s="2939"/>
      <c r="N121" s="1353"/>
      <c r="O121" s="2940"/>
      <c r="P121" s="166"/>
      <c r="Q121" s="166"/>
      <c r="R121" s="166"/>
      <c r="S121" s="166"/>
      <c r="T121" s="166"/>
    </row>
    <row r="122" spans="1:20">
      <c r="A122" s="167">
        <v>2003.05</v>
      </c>
      <c r="B122" s="215">
        <v>29066</v>
      </c>
      <c r="C122" s="3614"/>
      <c r="D122" s="1354"/>
      <c r="E122" s="456">
        <v>361980</v>
      </c>
      <c r="F122" s="1351"/>
      <c r="G122" s="1352"/>
      <c r="H122" s="1351"/>
      <c r="I122" s="1352"/>
      <c r="J122" s="1351"/>
      <c r="K122" s="1352"/>
      <c r="L122" s="1353"/>
      <c r="M122" s="2939"/>
      <c r="N122" s="1353"/>
      <c r="O122" s="2940"/>
      <c r="P122" s="166"/>
      <c r="Q122" s="166"/>
      <c r="R122" s="166"/>
      <c r="S122" s="166"/>
      <c r="T122" s="166"/>
    </row>
    <row r="123" spans="1:20">
      <c r="A123" s="167">
        <v>2003.06</v>
      </c>
      <c r="B123" s="215">
        <v>35125</v>
      </c>
      <c r="C123" s="3614"/>
      <c r="D123" s="1354"/>
      <c r="E123" s="456">
        <v>369389</v>
      </c>
      <c r="F123" s="1351"/>
      <c r="G123" s="1352"/>
      <c r="H123" s="1351"/>
      <c r="I123" s="1352"/>
      <c r="J123" s="1351"/>
      <c r="K123" s="1352"/>
      <c r="L123" s="1353"/>
      <c r="M123" s="2939"/>
      <c r="N123" s="1353"/>
      <c r="O123" s="2940"/>
      <c r="P123" s="166"/>
      <c r="Q123" s="166"/>
      <c r="R123" s="166"/>
      <c r="S123" s="166"/>
      <c r="T123" s="166"/>
    </row>
    <row r="124" spans="1:20">
      <c r="A124" s="167">
        <v>2003.07</v>
      </c>
      <c r="B124" s="215">
        <v>37512</v>
      </c>
      <c r="C124" s="3614"/>
      <c r="D124" s="1354"/>
      <c r="E124" s="456">
        <v>418505</v>
      </c>
      <c r="F124" s="1351"/>
      <c r="G124" s="1352"/>
      <c r="H124" s="1351"/>
      <c r="I124" s="1352"/>
      <c r="J124" s="1351"/>
      <c r="K124" s="1352"/>
      <c r="L124" s="1353"/>
      <c r="M124" s="2939"/>
      <c r="N124" s="1353"/>
      <c r="O124" s="2940"/>
      <c r="P124" s="166"/>
      <c r="Q124" s="166"/>
      <c r="R124" s="166"/>
      <c r="S124" s="166"/>
      <c r="T124" s="166"/>
    </row>
    <row r="125" spans="1:20">
      <c r="A125" s="167">
        <v>2003.08</v>
      </c>
      <c r="B125" s="215">
        <v>37938</v>
      </c>
      <c r="C125" s="3614"/>
      <c r="D125" s="1354"/>
      <c r="E125" s="456">
        <v>425718</v>
      </c>
      <c r="F125" s="1351"/>
      <c r="G125" s="1352"/>
      <c r="H125" s="1351"/>
      <c r="I125" s="1352"/>
      <c r="J125" s="1351"/>
      <c r="K125" s="1352"/>
      <c r="L125" s="1353"/>
      <c r="M125" s="2939"/>
      <c r="N125" s="1353"/>
      <c r="O125" s="2940"/>
      <c r="P125" s="166"/>
      <c r="Q125" s="166"/>
      <c r="R125" s="166"/>
      <c r="S125" s="166"/>
      <c r="T125" s="166"/>
    </row>
    <row r="126" spans="1:20">
      <c r="A126" s="167">
        <v>2003.09</v>
      </c>
      <c r="B126" s="215">
        <v>46284</v>
      </c>
      <c r="C126" s="3614"/>
      <c r="D126" s="1354"/>
      <c r="E126" s="456">
        <v>485123</v>
      </c>
      <c r="F126" s="1351"/>
      <c r="G126" s="1352"/>
      <c r="H126" s="1351"/>
      <c r="I126" s="1352"/>
      <c r="J126" s="1351"/>
      <c r="K126" s="1352"/>
      <c r="L126" s="1353"/>
      <c r="M126" s="2939"/>
      <c r="N126" s="1353"/>
      <c r="O126" s="2940"/>
      <c r="P126" s="166"/>
      <c r="Q126" s="166"/>
      <c r="R126" s="166"/>
      <c r="S126" s="166"/>
      <c r="T126" s="166"/>
    </row>
    <row r="127" spans="1:20">
      <c r="A127" s="167">
        <v>2003.1</v>
      </c>
      <c r="B127" s="215">
        <v>48273</v>
      </c>
      <c r="C127" s="3614"/>
      <c r="D127" s="1354"/>
      <c r="E127" s="456">
        <v>509630</v>
      </c>
      <c r="F127" s="1351"/>
      <c r="G127" s="1352"/>
      <c r="H127" s="1351"/>
      <c r="I127" s="1352"/>
      <c r="J127" s="1351"/>
      <c r="K127" s="1352"/>
      <c r="L127" s="1353"/>
      <c r="M127" s="2939"/>
      <c r="N127" s="1353"/>
      <c r="O127" s="2940"/>
      <c r="P127" s="166"/>
      <c r="Q127" s="166"/>
      <c r="R127" s="166"/>
      <c r="S127" s="166"/>
      <c r="T127" s="166"/>
    </row>
    <row r="128" spans="1:20">
      <c r="A128" s="167">
        <v>2003.11</v>
      </c>
      <c r="B128" s="215">
        <v>44555</v>
      </c>
      <c r="C128" s="3614"/>
      <c r="D128" s="1354"/>
      <c r="E128" s="456">
        <v>464318</v>
      </c>
      <c r="F128" s="1351"/>
      <c r="G128" s="1352"/>
      <c r="H128" s="1351"/>
      <c r="I128" s="1352"/>
      <c r="J128" s="1351"/>
      <c r="K128" s="1352"/>
      <c r="L128" s="1353"/>
      <c r="M128" s="2939"/>
      <c r="N128" s="1353"/>
      <c r="O128" s="2940"/>
      <c r="P128" s="166"/>
      <c r="Q128" s="166"/>
      <c r="R128" s="166"/>
      <c r="S128" s="166"/>
      <c r="T128" s="166"/>
    </row>
    <row r="129" spans="1:15">
      <c r="A129" s="167">
        <v>2003.12</v>
      </c>
      <c r="B129" s="215">
        <v>44467</v>
      </c>
      <c r="C129" s="3614"/>
      <c r="D129" s="1354"/>
      <c r="E129" s="456">
        <v>442870</v>
      </c>
      <c r="F129" s="1351"/>
      <c r="G129" s="1352"/>
      <c r="H129" s="1351"/>
      <c r="I129" s="1352"/>
      <c r="J129" s="1351"/>
      <c r="K129" s="1352"/>
      <c r="L129" s="1353"/>
      <c r="M129" s="2939"/>
      <c r="N129" s="1353"/>
      <c r="O129" s="2940"/>
    </row>
    <row r="130" spans="1:15">
      <c r="A130" s="167">
        <v>2004.01</v>
      </c>
      <c r="B130" s="215">
        <v>47222.25</v>
      </c>
      <c r="C130" s="3614"/>
      <c r="D130" s="1354"/>
      <c r="E130" s="456">
        <v>466421</v>
      </c>
      <c r="F130" s="1351"/>
      <c r="G130" s="1352"/>
      <c r="H130" s="1351"/>
      <c r="I130" s="1352"/>
      <c r="J130" s="1351"/>
      <c r="K130" s="1352"/>
      <c r="L130" s="1353"/>
      <c r="M130" s="2939"/>
      <c r="N130" s="1353"/>
      <c r="O130" s="2940"/>
    </row>
    <row r="131" spans="1:15">
      <c r="A131" s="167">
        <v>2004.02</v>
      </c>
      <c r="B131" s="215">
        <v>44373.16</v>
      </c>
      <c r="C131" s="3614"/>
      <c r="D131" s="1354"/>
      <c r="E131" s="456">
        <v>446498</v>
      </c>
      <c r="F131" s="1351"/>
      <c r="G131" s="1352"/>
      <c r="H131" s="1351"/>
      <c r="I131" s="1352"/>
      <c r="J131" s="1351"/>
      <c r="K131" s="1352"/>
      <c r="L131" s="1353"/>
      <c r="M131" s="2939"/>
      <c r="N131" s="1353"/>
      <c r="O131" s="2940"/>
    </row>
    <row r="132" spans="1:15">
      <c r="A132" s="167">
        <v>2004.03</v>
      </c>
      <c r="B132" s="215">
        <v>52507.61</v>
      </c>
      <c r="C132" s="3614"/>
      <c r="D132" s="1354"/>
      <c r="E132" s="456">
        <v>520634</v>
      </c>
      <c r="F132" s="1351"/>
      <c r="G132" s="1352"/>
      <c r="H132" s="1351"/>
      <c r="I132" s="1352"/>
      <c r="J132" s="1351"/>
      <c r="K132" s="1352"/>
      <c r="L132" s="1353"/>
      <c r="M132" s="2939"/>
      <c r="N132" s="1353"/>
      <c r="O132" s="2940"/>
    </row>
    <row r="133" spans="1:15">
      <c r="A133" s="167">
        <v>2004.04</v>
      </c>
      <c r="B133" s="215">
        <v>37158.28</v>
      </c>
      <c r="C133" s="3614"/>
      <c r="D133" s="1354"/>
      <c r="E133" s="456">
        <v>415446</v>
      </c>
      <c r="F133" s="1351"/>
      <c r="G133" s="1352"/>
      <c r="H133" s="1351"/>
      <c r="I133" s="1352"/>
      <c r="J133" s="1351"/>
      <c r="K133" s="1352"/>
      <c r="L133" s="1353"/>
      <c r="M133" s="2939"/>
      <c r="N133" s="1353"/>
      <c r="O133" s="2940"/>
    </row>
    <row r="134" spans="1:15">
      <c r="A134" s="167">
        <v>2004.05</v>
      </c>
      <c r="B134" s="215">
        <v>45377.87</v>
      </c>
      <c r="C134" s="3614"/>
      <c r="D134" s="1354"/>
      <c r="E134" s="456">
        <v>448531</v>
      </c>
      <c r="F134" s="1351"/>
      <c r="G134" s="1352"/>
      <c r="H134" s="1351"/>
      <c r="I134" s="1352"/>
      <c r="J134" s="1351"/>
      <c r="K134" s="1352"/>
      <c r="L134" s="1353"/>
      <c r="M134" s="2939"/>
      <c r="N134" s="1353"/>
      <c r="O134" s="2940"/>
    </row>
    <row r="135" spans="1:15">
      <c r="A135" s="167">
        <v>2004.06</v>
      </c>
      <c r="B135" s="215">
        <v>49862.5</v>
      </c>
      <c r="C135" s="3614"/>
      <c r="D135" s="1354"/>
      <c r="E135" s="456">
        <v>485582</v>
      </c>
      <c r="F135" s="1351"/>
      <c r="G135" s="1352"/>
      <c r="H135" s="1351"/>
      <c r="I135" s="1352"/>
      <c r="J135" s="1351"/>
      <c r="K135" s="1352"/>
      <c r="L135" s="1353"/>
      <c r="M135" s="2939"/>
      <c r="N135" s="1353"/>
      <c r="O135" s="2940"/>
    </row>
    <row r="136" spans="1:15">
      <c r="A136" s="167">
        <v>2004.07</v>
      </c>
      <c r="B136" s="215">
        <v>55438.77</v>
      </c>
      <c r="C136" s="3614"/>
      <c r="D136" s="1354"/>
      <c r="E136" s="456">
        <v>503066</v>
      </c>
      <c r="F136" s="1351"/>
      <c r="G136" s="1352"/>
      <c r="H136" s="1351"/>
      <c r="I136" s="1352"/>
      <c r="J136" s="1351"/>
      <c r="K136" s="1352"/>
      <c r="L136" s="1353"/>
      <c r="M136" s="2939"/>
      <c r="N136" s="1353"/>
      <c r="O136" s="2940"/>
    </row>
    <row r="137" spans="1:15">
      <c r="A137" s="167">
        <v>2004.08</v>
      </c>
      <c r="B137" s="215">
        <v>55363.05</v>
      </c>
      <c r="C137" s="3614"/>
      <c r="D137" s="1354"/>
      <c r="E137" s="456">
        <v>508796</v>
      </c>
      <c r="F137" s="1351"/>
      <c r="G137" s="1352"/>
      <c r="H137" s="1351"/>
      <c r="I137" s="1352"/>
      <c r="J137" s="1351"/>
      <c r="K137" s="1352"/>
      <c r="L137" s="1353"/>
      <c r="M137" s="2939"/>
      <c r="N137" s="1353"/>
      <c r="O137" s="2940"/>
    </row>
    <row r="138" spans="1:15">
      <c r="A138" s="167">
        <v>2004.09</v>
      </c>
      <c r="B138" s="215">
        <v>57284.11</v>
      </c>
      <c r="C138" s="3614"/>
      <c r="D138" s="1354"/>
      <c r="E138" s="456">
        <v>575117</v>
      </c>
      <c r="F138" s="1351"/>
      <c r="G138" s="1352"/>
      <c r="H138" s="1351"/>
      <c r="I138" s="1352"/>
      <c r="J138" s="1351"/>
      <c r="K138" s="1352"/>
      <c r="L138" s="1353"/>
      <c r="M138" s="2939"/>
      <c r="N138" s="1353"/>
      <c r="O138" s="2940"/>
    </row>
    <row r="139" spans="1:15">
      <c r="A139" s="167">
        <v>2004.1</v>
      </c>
      <c r="B139" s="215">
        <v>53979.76</v>
      </c>
      <c r="C139" s="3614"/>
      <c r="D139" s="1354"/>
      <c r="E139" s="456">
        <v>554656</v>
      </c>
      <c r="F139" s="1351"/>
      <c r="G139" s="1352"/>
      <c r="H139" s="1351"/>
      <c r="I139" s="1352"/>
      <c r="J139" s="1351"/>
      <c r="K139" s="1352"/>
      <c r="L139" s="1353"/>
      <c r="M139" s="2939"/>
      <c r="N139" s="1353"/>
      <c r="O139" s="2940"/>
    </row>
    <row r="140" spans="1:15">
      <c r="A140" s="167">
        <v>2004.11</v>
      </c>
      <c r="B140" s="215">
        <v>52289.54</v>
      </c>
      <c r="C140" s="3614"/>
      <c r="D140" s="1354"/>
      <c r="E140" s="456">
        <v>573706</v>
      </c>
      <c r="F140" s="1351"/>
      <c r="G140" s="1352"/>
      <c r="H140" s="1351"/>
      <c r="I140" s="1352"/>
      <c r="J140" s="1351"/>
      <c r="K140" s="1352"/>
      <c r="L140" s="1353"/>
      <c r="M140" s="2939"/>
      <c r="N140" s="1353"/>
      <c r="O140" s="2940"/>
    </row>
    <row r="141" spans="1:15">
      <c r="A141" s="167">
        <v>2004.12</v>
      </c>
      <c r="B141" s="215">
        <v>23565.200000000001</v>
      </c>
      <c r="C141" s="3614"/>
      <c r="D141" s="1354"/>
      <c r="E141" s="456">
        <v>547042</v>
      </c>
      <c r="F141" s="1351"/>
      <c r="G141" s="1352"/>
      <c r="H141" s="1351"/>
      <c r="I141" s="1352"/>
      <c r="J141" s="1351"/>
      <c r="K141" s="1352"/>
      <c r="L141" s="1353"/>
      <c r="M141" s="2939"/>
      <c r="N141" s="1353"/>
      <c r="O141" s="2940"/>
    </row>
    <row r="142" spans="1:15">
      <c r="A142" s="167">
        <v>2005.01</v>
      </c>
      <c r="B142" s="215">
        <v>52576.46</v>
      </c>
      <c r="C142" s="3614"/>
      <c r="D142" s="1354"/>
      <c r="E142" s="456">
        <v>535057</v>
      </c>
      <c r="F142" s="574">
        <v>1352</v>
      </c>
      <c r="G142" s="333">
        <v>16074</v>
      </c>
      <c r="H142" s="574">
        <v>25132</v>
      </c>
      <c r="I142" s="333">
        <v>232967</v>
      </c>
      <c r="J142" s="1351"/>
      <c r="K142" s="1352"/>
      <c r="L142" s="577">
        <v>542</v>
      </c>
      <c r="M142" s="2941">
        <v>636.22</v>
      </c>
      <c r="N142" s="1353"/>
      <c r="O142" s="2940"/>
    </row>
    <row r="143" spans="1:15">
      <c r="A143" s="167">
        <v>2005.02</v>
      </c>
      <c r="B143" s="215">
        <v>47851.21</v>
      </c>
      <c r="C143" s="3614"/>
      <c r="D143" s="1354"/>
      <c r="E143" s="456">
        <v>508744</v>
      </c>
      <c r="F143" s="572">
        <v>1373</v>
      </c>
      <c r="G143" s="71">
        <v>16349</v>
      </c>
      <c r="H143" s="572">
        <v>25704</v>
      </c>
      <c r="I143" s="71">
        <v>244272</v>
      </c>
      <c r="J143" s="1351"/>
      <c r="K143" s="1352"/>
      <c r="L143" s="456">
        <v>508.99</v>
      </c>
      <c r="M143" s="2942">
        <v>600.26</v>
      </c>
      <c r="N143" s="1353"/>
      <c r="O143" s="2940"/>
    </row>
    <row r="144" spans="1:15">
      <c r="A144" s="167">
        <v>2005.03</v>
      </c>
      <c r="B144" s="215">
        <v>47192.78</v>
      </c>
      <c r="C144" s="3614"/>
      <c r="D144" s="1354"/>
      <c r="E144" s="456">
        <v>553599</v>
      </c>
      <c r="F144" s="572">
        <v>1399</v>
      </c>
      <c r="G144" s="71">
        <v>16717</v>
      </c>
      <c r="H144" s="572">
        <v>26663</v>
      </c>
      <c r="I144" s="71">
        <v>255825</v>
      </c>
      <c r="J144" s="1351"/>
      <c r="K144" s="1352"/>
      <c r="L144" s="456">
        <v>541.20000000000005</v>
      </c>
      <c r="M144" s="2942">
        <v>654.79999999999995</v>
      </c>
      <c r="N144" s="1353"/>
      <c r="O144" s="2940"/>
    </row>
    <row r="145" spans="1:15">
      <c r="A145" s="167">
        <v>2005.04</v>
      </c>
      <c r="B145" s="215">
        <v>49833.26</v>
      </c>
      <c r="C145" s="3614"/>
      <c r="D145" s="1354"/>
      <c r="E145" s="456">
        <v>574343</v>
      </c>
      <c r="F145" s="572">
        <v>1432</v>
      </c>
      <c r="G145" s="71">
        <v>17092</v>
      </c>
      <c r="H145" s="572">
        <v>26461</v>
      </c>
      <c r="I145" s="71">
        <v>263724</v>
      </c>
      <c r="J145" s="1351"/>
      <c r="K145" s="1352"/>
      <c r="L145" s="456">
        <v>648.80999999999995</v>
      </c>
      <c r="M145" s="2942">
        <v>749.19</v>
      </c>
      <c r="N145" s="1353"/>
      <c r="O145" s="2940"/>
    </row>
    <row r="146" spans="1:15">
      <c r="A146" s="167">
        <v>2005.05</v>
      </c>
      <c r="B146" s="215">
        <v>55936.11</v>
      </c>
      <c r="C146" s="3614"/>
      <c r="D146" s="1354"/>
      <c r="E146" s="456">
        <v>580957</v>
      </c>
      <c r="F146" s="572">
        <v>1082</v>
      </c>
      <c r="G146" s="71">
        <v>11430</v>
      </c>
      <c r="H146" s="572">
        <v>26713</v>
      </c>
      <c r="I146" s="71">
        <v>268327</v>
      </c>
      <c r="J146" s="1351"/>
      <c r="K146" s="1352"/>
      <c r="L146" s="456">
        <v>663.99</v>
      </c>
      <c r="M146" s="2942">
        <v>748.65</v>
      </c>
      <c r="N146" s="1353"/>
      <c r="O146" s="2940"/>
    </row>
    <row r="147" spans="1:15">
      <c r="A147" s="167">
        <v>2005.06</v>
      </c>
      <c r="B147" s="215">
        <v>51137.54</v>
      </c>
      <c r="C147" s="3614"/>
      <c r="D147" s="1354"/>
      <c r="E147" s="456">
        <v>528058</v>
      </c>
      <c r="F147" s="572">
        <v>1173</v>
      </c>
      <c r="G147" s="71">
        <v>12905</v>
      </c>
      <c r="H147" s="572">
        <v>27366</v>
      </c>
      <c r="I147" s="71">
        <v>270029</v>
      </c>
      <c r="J147" s="1351"/>
      <c r="K147" s="1352"/>
      <c r="L147" s="456">
        <v>892.87</v>
      </c>
      <c r="M147" s="2942">
        <v>1000.23</v>
      </c>
      <c r="N147" s="1353"/>
      <c r="O147" s="2940"/>
    </row>
    <row r="148" spans="1:15">
      <c r="A148" s="167">
        <v>2005.07</v>
      </c>
      <c r="B148" s="215">
        <v>59067.22</v>
      </c>
      <c r="C148" s="3614"/>
      <c r="D148" s="1354"/>
      <c r="E148" s="456">
        <v>603207</v>
      </c>
      <c r="F148" s="572">
        <v>1235</v>
      </c>
      <c r="G148" s="71">
        <v>13961</v>
      </c>
      <c r="H148" s="572">
        <v>27915</v>
      </c>
      <c r="I148" s="71">
        <v>270297</v>
      </c>
      <c r="J148" s="1351"/>
      <c r="K148" s="1352"/>
      <c r="L148" s="456">
        <v>656.15</v>
      </c>
      <c r="M148" s="2942">
        <v>727.11</v>
      </c>
      <c r="N148" s="1353"/>
      <c r="O148" s="2940"/>
    </row>
    <row r="149" spans="1:15">
      <c r="A149" s="167">
        <v>2005.08</v>
      </c>
      <c r="B149" s="215">
        <v>65467.99</v>
      </c>
      <c r="C149" s="3614"/>
      <c r="D149" s="1354"/>
      <c r="E149" s="456">
        <v>673919</v>
      </c>
      <c r="F149" s="572">
        <v>1318</v>
      </c>
      <c r="G149" s="71">
        <v>15028</v>
      </c>
      <c r="H149" s="572">
        <v>29729</v>
      </c>
      <c r="I149" s="71">
        <v>282054</v>
      </c>
      <c r="J149" s="1351"/>
      <c r="K149" s="1352"/>
      <c r="L149" s="456">
        <v>679.32</v>
      </c>
      <c r="M149" s="2942">
        <v>754.49</v>
      </c>
      <c r="N149" s="1353"/>
      <c r="O149" s="2940"/>
    </row>
    <row r="150" spans="1:15">
      <c r="A150" s="167">
        <v>2005.09</v>
      </c>
      <c r="B150" s="215">
        <v>71964</v>
      </c>
      <c r="C150" s="3614"/>
      <c r="D150" s="1354"/>
      <c r="E150" s="456">
        <v>721488</v>
      </c>
      <c r="F150" s="572">
        <v>1392</v>
      </c>
      <c r="G150" s="71">
        <v>15937</v>
      </c>
      <c r="H150" s="572">
        <v>31393</v>
      </c>
      <c r="I150" s="71">
        <v>292888</v>
      </c>
      <c r="J150" s="1351"/>
      <c r="K150" s="1352"/>
      <c r="L150" s="456">
        <v>662.64</v>
      </c>
      <c r="M150" s="2942">
        <v>739.09</v>
      </c>
      <c r="N150" s="1353"/>
      <c r="O150" s="2940"/>
    </row>
    <row r="151" spans="1:15">
      <c r="A151" s="167">
        <v>2005.1</v>
      </c>
      <c r="B151" s="215">
        <v>63872</v>
      </c>
      <c r="C151" s="3614"/>
      <c r="D151" s="1354"/>
      <c r="E151" s="456">
        <v>705182</v>
      </c>
      <c r="F151" s="572">
        <v>1447</v>
      </c>
      <c r="G151" s="71">
        <v>16716</v>
      </c>
      <c r="H151" s="572">
        <v>33049</v>
      </c>
      <c r="I151" s="71">
        <v>300079</v>
      </c>
      <c r="J151" s="1351"/>
      <c r="K151" s="1352"/>
      <c r="L151" s="456">
        <v>749.18</v>
      </c>
      <c r="M151" s="2942">
        <v>813.78</v>
      </c>
      <c r="N151" s="1353"/>
      <c r="O151" s="2940"/>
    </row>
    <row r="152" spans="1:15">
      <c r="A152" s="167">
        <v>2005.11</v>
      </c>
      <c r="B152" s="215">
        <v>63775.58</v>
      </c>
      <c r="C152" s="3614"/>
      <c r="D152" s="1354"/>
      <c r="E152" s="456">
        <v>737426</v>
      </c>
      <c r="F152" s="572">
        <v>1503</v>
      </c>
      <c r="G152" s="71">
        <v>17550</v>
      </c>
      <c r="H152" s="572">
        <v>34242</v>
      </c>
      <c r="I152" s="71">
        <v>309416</v>
      </c>
      <c r="J152" s="1351"/>
      <c r="K152" s="1352"/>
      <c r="L152" s="456">
        <v>801.24</v>
      </c>
      <c r="M152" s="2942">
        <v>869.39</v>
      </c>
      <c r="N152" s="1353"/>
      <c r="O152" s="2940"/>
    </row>
    <row r="153" spans="1:15">
      <c r="A153" s="167">
        <v>2005.12</v>
      </c>
      <c r="B153" s="215">
        <v>64360</v>
      </c>
      <c r="C153" s="3614"/>
      <c r="D153" s="1354"/>
      <c r="E153" s="456">
        <v>692891</v>
      </c>
      <c r="F153" s="572">
        <v>1575</v>
      </c>
      <c r="G153" s="71">
        <v>18361</v>
      </c>
      <c r="H153" s="572">
        <v>34598</v>
      </c>
      <c r="I153" s="71">
        <v>312054</v>
      </c>
      <c r="J153" s="1351"/>
      <c r="K153" s="1352"/>
      <c r="L153" s="456">
        <v>1031.8800000000001</v>
      </c>
      <c r="M153" s="2942">
        <v>1146.72</v>
      </c>
      <c r="N153" s="1353"/>
      <c r="O153" s="2940"/>
    </row>
    <row r="154" spans="1:15">
      <c r="A154" s="167">
        <v>2006.01</v>
      </c>
      <c r="B154" s="215">
        <v>60241.08</v>
      </c>
      <c r="C154" s="3614"/>
      <c r="D154" s="1354"/>
      <c r="E154" s="456">
        <v>648557</v>
      </c>
      <c r="F154" s="572">
        <v>1605</v>
      </c>
      <c r="G154" s="71">
        <v>18704</v>
      </c>
      <c r="H154" s="572">
        <v>33611</v>
      </c>
      <c r="I154" s="71">
        <v>305281</v>
      </c>
      <c r="J154" s="1351"/>
      <c r="K154" s="1352"/>
      <c r="L154" s="456">
        <v>839.38</v>
      </c>
      <c r="M154" s="2942">
        <v>918.35</v>
      </c>
      <c r="N154" s="1353"/>
      <c r="O154" s="2940"/>
    </row>
    <row r="155" spans="1:15">
      <c r="A155" s="167">
        <v>2006.02</v>
      </c>
      <c r="B155" s="215">
        <v>58410.66</v>
      </c>
      <c r="C155" s="3614"/>
      <c r="D155" s="1354"/>
      <c r="E155" s="456">
        <v>647844</v>
      </c>
      <c r="F155" s="572">
        <v>1643</v>
      </c>
      <c r="G155" s="71">
        <v>19241</v>
      </c>
      <c r="H155" s="572">
        <v>33986</v>
      </c>
      <c r="I155" s="71">
        <v>311045</v>
      </c>
      <c r="J155" s="1351"/>
      <c r="K155" s="1352"/>
      <c r="L155" s="456">
        <v>768.63</v>
      </c>
      <c r="M155" s="2942">
        <v>875.19</v>
      </c>
      <c r="N155" s="1353"/>
      <c r="O155" s="2940"/>
    </row>
    <row r="156" spans="1:15">
      <c r="A156" s="167">
        <v>2006.03</v>
      </c>
      <c r="B156" s="215">
        <v>63146.19</v>
      </c>
      <c r="C156" s="3614"/>
      <c r="D156" s="1354"/>
      <c r="E156" s="456">
        <v>710198</v>
      </c>
      <c r="F156" s="572">
        <v>1672</v>
      </c>
      <c r="G156" s="71">
        <v>19822</v>
      </c>
      <c r="H156" s="572">
        <v>35475</v>
      </c>
      <c r="I156" s="71">
        <v>323814</v>
      </c>
      <c r="J156" s="1351"/>
      <c r="K156" s="1352"/>
      <c r="L156" s="456">
        <v>847.47</v>
      </c>
      <c r="M156" s="2942">
        <v>938.82</v>
      </c>
      <c r="N156" s="1353"/>
      <c r="O156" s="2940"/>
    </row>
    <row r="157" spans="1:15">
      <c r="A157" s="167">
        <v>2006.04</v>
      </c>
      <c r="B157" s="215">
        <v>63661.22</v>
      </c>
      <c r="C157" s="3614"/>
      <c r="D157" s="1354"/>
      <c r="E157" s="456">
        <v>689943</v>
      </c>
      <c r="F157" s="572">
        <v>1698</v>
      </c>
      <c r="G157" s="71">
        <v>20226</v>
      </c>
      <c r="H157" s="572">
        <v>35246</v>
      </c>
      <c r="I157" s="71">
        <v>322690</v>
      </c>
      <c r="J157" s="1351"/>
      <c r="K157" s="1352"/>
      <c r="L157" s="456">
        <v>851.35</v>
      </c>
      <c r="M157" s="2942">
        <v>952.16</v>
      </c>
      <c r="N157" s="1353"/>
      <c r="O157" s="2940"/>
    </row>
    <row r="158" spans="1:15">
      <c r="A158" s="167">
        <v>2006.05</v>
      </c>
      <c r="B158" s="215">
        <v>69993</v>
      </c>
      <c r="C158" s="3614"/>
      <c r="D158" s="1354"/>
      <c r="E158" s="456">
        <v>745493</v>
      </c>
      <c r="F158" s="572">
        <v>1261</v>
      </c>
      <c r="G158" s="71">
        <v>13889</v>
      </c>
      <c r="H158" s="572">
        <v>35589</v>
      </c>
      <c r="I158" s="71">
        <v>327891</v>
      </c>
      <c r="J158" s="1351"/>
      <c r="K158" s="1352"/>
      <c r="L158" s="456">
        <v>917.43</v>
      </c>
      <c r="M158" s="2942">
        <v>1004.75</v>
      </c>
      <c r="N158" s="1353"/>
      <c r="O158" s="2940"/>
    </row>
    <row r="159" spans="1:15">
      <c r="A159" s="167">
        <v>2006.06</v>
      </c>
      <c r="B159" s="215">
        <v>65946.45</v>
      </c>
      <c r="C159" s="3614"/>
      <c r="D159" s="1354"/>
      <c r="E159" s="456">
        <v>690072</v>
      </c>
      <c r="F159" s="572">
        <v>1421</v>
      </c>
      <c r="G159" s="71">
        <v>15896</v>
      </c>
      <c r="H159" s="572">
        <v>35959</v>
      </c>
      <c r="I159" s="71">
        <v>329633</v>
      </c>
      <c r="J159" s="1351"/>
      <c r="K159" s="1352"/>
      <c r="L159" s="456">
        <v>1248.75</v>
      </c>
      <c r="M159" s="2942">
        <v>1376.96</v>
      </c>
      <c r="N159" s="1353"/>
      <c r="O159" s="2940"/>
    </row>
    <row r="160" spans="1:15">
      <c r="A160" s="167">
        <v>2006.07</v>
      </c>
      <c r="B160" s="215">
        <v>71100.179999999993</v>
      </c>
      <c r="C160" s="3614"/>
      <c r="D160" s="1354"/>
      <c r="E160" s="456">
        <v>733370</v>
      </c>
      <c r="F160" s="572">
        <v>1503</v>
      </c>
      <c r="G160" s="71">
        <v>17201</v>
      </c>
      <c r="H160" s="572">
        <v>35074</v>
      </c>
      <c r="I160" s="71">
        <v>324963</v>
      </c>
      <c r="J160" s="1351"/>
      <c r="K160" s="1352"/>
      <c r="L160" s="456">
        <v>955.29</v>
      </c>
      <c r="M160" s="2942">
        <v>1027.3900000000001</v>
      </c>
      <c r="N160" s="1353"/>
      <c r="O160" s="2940"/>
    </row>
    <row r="161" spans="1:18">
      <c r="A161" s="167">
        <v>2006.08</v>
      </c>
      <c r="B161" s="215">
        <v>77048.05</v>
      </c>
      <c r="C161" s="3614"/>
      <c r="D161" s="1354"/>
      <c r="E161" s="456">
        <v>822595</v>
      </c>
      <c r="F161" s="572">
        <v>1592</v>
      </c>
      <c r="G161" s="71">
        <v>18392</v>
      </c>
      <c r="H161" s="572">
        <v>35529</v>
      </c>
      <c r="I161" s="71">
        <v>329851</v>
      </c>
      <c r="J161" s="1351"/>
      <c r="K161" s="1352"/>
      <c r="L161" s="456">
        <v>987.72</v>
      </c>
      <c r="M161" s="2942">
        <v>1061.6400000000001</v>
      </c>
      <c r="N161" s="1353"/>
      <c r="O161" s="2940"/>
      <c r="P161" s="166"/>
      <c r="Q161" s="166"/>
      <c r="R161" s="166"/>
    </row>
    <row r="162" spans="1:18">
      <c r="A162" s="167">
        <v>2006.09</v>
      </c>
      <c r="B162" s="215">
        <v>75524</v>
      </c>
      <c r="C162" s="3614"/>
      <c r="D162" s="1354"/>
      <c r="E162" s="456">
        <v>829411</v>
      </c>
      <c r="F162" s="572">
        <v>1681</v>
      </c>
      <c r="G162" s="71">
        <v>19324</v>
      </c>
      <c r="H162" s="572">
        <v>35980</v>
      </c>
      <c r="I162" s="71">
        <v>338703</v>
      </c>
      <c r="J162" s="1351"/>
      <c r="K162" s="1352"/>
      <c r="L162" s="456">
        <v>964.47</v>
      </c>
      <c r="M162" s="2942">
        <v>1069.5</v>
      </c>
      <c r="N162" s="1353"/>
      <c r="O162" s="2940"/>
      <c r="P162" s="166"/>
      <c r="Q162" s="166"/>
      <c r="R162" s="166"/>
    </row>
    <row r="163" spans="1:18">
      <c r="A163" s="167">
        <v>2006.1</v>
      </c>
      <c r="B163" s="215">
        <v>72589</v>
      </c>
      <c r="C163" s="3614"/>
      <c r="D163" s="1354"/>
      <c r="E163" s="456">
        <v>779319</v>
      </c>
      <c r="F163" s="572">
        <v>1747</v>
      </c>
      <c r="G163" s="71">
        <v>20142</v>
      </c>
      <c r="H163" s="572">
        <v>36301</v>
      </c>
      <c r="I163" s="71">
        <v>346968</v>
      </c>
      <c r="J163" s="1351"/>
      <c r="K163" s="1352"/>
      <c r="L163" s="456">
        <v>1021.51</v>
      </c>
      <c r="M163" s="2942">
        <v>1135.58</v>
      </c>
      <c r="N163" s="1353"/>
      <c r="O163" s="2940"/>
      <c r="P163" s="166"/>
      <c r="Q163" s="166"/>
      <c r="R163" s="166"/>
    </row>
    <row r="164" spans="1:18">
      <c r="A164" s="167">
        <v>2006.11</v>
      </c>
      <c r="B164" s="215">
        <v>71150</v>
      </c>
      <c r="C164" s="3614"/>
      <c r="D164" s="1354"/>
      <c r="E164" s="456">
        <v>841725</v>
      </c>
      <c r="F164" s="572">
        <v>1806</v>
      </c>
      <c r="G164" s="71">
        <v>20978</v>
      </c>
      <c r="H164" s="572">
        <v>36157</v>
      </c>
      <c r="I164" s="71">
        <v>353612</v>
      </c>
      <c r="J164" s="1351"/>
      <c r="K164" s="1352"/>
      <c r="L164" s="456">
        <v>1023.26</v>
      </c>
      <c r="M164" s="2942">
        <v>1161.52</v>
      </c>
      <c r="N164" s="1353"/>
      <c r="O164" s="2940"/>
      <c r="P164" s="166"/>
      <c r="Q164" s="166"/>
      <c r="R164" s="166"/>
    </row>
    <row r="165" spans="1:18">
      <c r="A165" s="167">
        <v>2006.12</v>
      </c>
      <c r="B165" s="215">
        <v>59411</v>
      </c>
      <c r="C165" s="3614"/>
      <c r="D165" s="1354"/>
      <c r="E165" s="456">
        <v>712198</v>
      </c>
      <c r="F165" s="572">
        <v>1851</v>
      </c>
      <c r="G165" s="71">
        <v>21536</v>
      </c>
      <c r="H165" s="572">
        <v>35805</v>
      </c>
      <c r="I165" s="71">
        <v>345520</v>
      </c>
      <c r="J165" s="1351"/>
      <c r="K165" s="1352"/>
      <c r="L165" s="456">
        <v>1379.05</v>
      </c>
      <c r="M165" s="2942">
        <v>1592.01</v>
      </c>
      <c r="N165" s="1353"/>
      <c r="O165" s="2940"/>
      <c r="P165" s="166"/>
      <c r="Q165" s="166"/>
      <c r="R165" s="166"/>
    </row>
    <row r="166" spans="1:18">
      <c r="A166" s="167">
        <v>2007.01</v>
      </c>
      <c r="B166" s="215">
        <v>66041</v>
      </c>
      <c r="C166" s="3556">
        <v>41118</v>
      </c>
      <c r="D166" s="542">
        <v>24923</v>
      </c>
      <c r="E166" s="456">
        <v>727060</v>
      </c>
      <c r="F166" s="572">
        <v>1900</v>
      </c>
      <c r="G166" s="71">
        <v>22098</v>
      </c>
      <c r="H166" s="572">
        <v>36606</v>
      </c>
      <c r="I166" s="71">
        <v>350379</v>
      </c>
      <c r="J166" s="1351"/>
      <c r="K166" s="1352"/>
      <c r="L166" s="456">
        <v>1169.3599999999999</v>
      </c>
      <c r="M166" s="2942">
        <v>1284.6500000000001</v>
      </c>
      <c r="N166" s="1353"/>
      <c r="O166" s="2940"/>
      <c r="P166" s="166"/>
      <c r="Q166" s="166"/>
      <c r="R166" s="166"/>
    </row>
    <row r="167" spans="1:18">
      <c r="A167" s="167">
        <v>2007.02</v>
      </c>
      <c r="B167" s="215">
        <v>63672.25</v>
      </c>
      <c r="C167" s="3538">
        <v>40936</v>
      </c>
      <c r="D167" s="190">
        <v>22736</v>
      </c>
      <c r="E167" s="456">
        <v>734776</v>
      </c>
      <c r="F167" s="572">
        <v>1922</v>
      </c>
      <c r="G167" s="71">
        <v>22602</v>
      </c>
      <c r="H167" s="572">
        <v>36210</v>
      </c>
      <c r="I167" s="71">
        <v>359902</v>
      </c>
      <c r="J167" s="1351"/>
      <c r="K167" s="1352"/>
      <c r="L167" s="456">
        <v>1077.99</v>
      </c>
      <c r="M167" s="2942">
        <v>1213.5899999999999</v>
      </c>
      <c r="N167" s="1353"/>
      <c r="O167" s="2940"/>
      <c r="P167" s="166"/>
      <c r="Q167" s="166"/>
      <c r="R167" s="166"/>
    </row>
    <row r="168" spans="1:18">
      <c r="A168" s="167">
        <v>2007.03</v>
      </c>
      <c r="B168" s="215">
        <v>48422</v>
      </c>
      <c r="C168" s="3538">
        <v>28779</v>
      </c>
      <c r="D168" s="190">
        <v>19643</v>
      </c>
      <c r="E168" s="456">
        <v>703390</v>
      </c>
      <c r="F168" s="572">
        <v>1963</v>
      </c>
      <c r="G168" s="71">
        <v>23185</v>
      </c>
      <c r="H168" s="572">
        <v>35819</v>
      </c>
      <c r="I168" s="71">
        <v>370993</v>
      </c>
      <c r="J168" s="1351"/>
      <c r="K168" s="1352"/>
      <c r="L168" s="456">
        <v>1108.69</v>
      </c>
      <c r="M168" s="2942">
        <v>1292.3499999999999</v>
      </c>
      <c r="N168" s="1353"/>
      <c r="O168" s="2940"/>
      <c r="P168" s="166"/>
      <c r="Q168" s="166"/>
      <c r="R168" s="166"/>
    </row>
    <row r="169" spans="1:18">
      <c r="A169" s="167">
        <v>2007.04</v>
      </c>
      <c r="B169" s="215">
        <v>59688.88</v>
      </c>
      <c r="C169" s="3538">
        <v>37530</v>
      </c>
      <c r="D169" s="190">
        <v>22159</v>
      </c>
      <c r="E169" s="456">
        <v>702709</v>
      </c>
      <c r="F169" s="572">
        <v>1989</v>
      </c>
      <c r="G169" s="71">
        <v>23594</v>
      </c>
      <c r="H169" s="572">
        <v>34923</v>
      </c>
      <c r="I169" s="71">
        <v>372305</v>
      </c>
      <c r="J169" s="1351"/>
      <c r="K169" s="1352"/>
      <c r="L169" s="456">
        <v>1143.17</v>
      </c>
      <c r="M169" s="2942">
        <v>1284.25</v>
      </c>
      <c r="N169" s="1353"/>
      <c r="O169" s="2940"/>
      <c r="P169" s="166"/>
      <c r="Q169" s="166"/>
      <c r="R169" s="166"/>
    </row>
    <row r="170" spans="1:18">
      <c r="A170" s="167">
        <v>2007.05</v>
      </c>
      <c r="B170" s="215">
        <v>72693</v>
      </c>
      <c r="C170" s="3538">
        <v>44457</v>
      </c>
      <c r="D170" s="190">
        <v>28236</v>
      </c>
      <c r="E170" s="456">
        <v>847401</v>
      </c>
      <c r="F170" s="572">
        <v>1425</v>
      </c>
      <c r="G170" s="71">
        <v>16360</v>
      </c>
      <c r="H170" s="572">
        <v>35532</v>
      </c>
      <c r="I170" s="71">
        <v>381337</v>
      </c>
      <c r="J170" s="1351"/>
      <c r="K170" s="1352"/>
      <c r="L170" s="456">
        <v>1296.0899999999999</v>
      </c>
      <c r="M170" s="2942">
        <v>1424.86</v>
      </c>
      <c r="N170" s="1353"/>
      <c r="O170" s="2940"/>
      <c r="P170" s="166"/>
      <c r="Q170" s="166"/>
      <c r="R170" s="166"/>
    </row>
    <row r="171" spans="1:18">
      <c r="A171" s="167">
        <v>2007.06</v>
      </c>
      <c r="B171" s="215">
        <v>73820.539999999994</v>
      </c>
      <c r="C171" s="3538">
        <v>44054</v>
      </c>
      <c r="D171" s="190">
        <v>29767</v>
      </c>
      <c r="E171" s="456">
        <v>795056</v>
      </c>
      <c r="F171" s="572">
        <v>1548</v>
      </c>
      <c r="G171" s="71">
        <v>18117</v>
      </c>
      <c r="H171" s="572">
        <v>35925</v>
      </c>
      <c r="I171" s="71">
        <v>381983</v>
      </c>
      <c r="J171" s="574">
        <v>39175</v>
      </c>
      <c r="K171" s="333">
        <v>419957</v>
      </c>
      <c r="L171" s="456">
        <v>1735.83</v>
      </c>
      <c r="M171" s="2942">
        <v>1922.68</v>
      </c>
      <c r="N171" s="578">
        <v>1743.1579514996808</v>
      </c>
      <c r="O171" s="2943">
        <v>1948.4673162252329</v>
      </c>
      <c r="P171" s="166"/>
      <c r="Q171" s="166"/>
      <c r="R171" s="1339"/>
    </row>
    <row r="172" spans="1:18">
      <c r="A172" s="167">
        <v>2007.07</v>
      </c>
      <c r="B172" s="215">
        <v>79218</v>
      </c>
      <c r="C172" s="3538">
        <v>46128</v>
      </c>
      <c r="D172" s="190">
        <v>33090</v>
      </c>
      <c r="E172" s="456">
        <v>824601</v>
      </c>
      <c r="F172" s="572">
        <v>1634</v>
      </c>
      <c r="G172" s="71">
        <v>19408</v>
      </c>
      <c r="H172" s="572">
        <v>35803</v>
      </c>
      <c r="I172" s="71">
        <v>381991</v>
      </c>
      <c r="J172" s="572">
        <v>38856</v>
      </c>
      <c r="K172" s="71">
        <v>420327</v>
      </c>
      <c r="L172" s="456">
        <v>1366.1603001713324</v>
      </c>
      <c r="M172" s="2942">
        <v>1467.7379447735068</v>
      </c>
      <c r="N172" s="456">
        <v>1375.6655885834878</v>
      </c>
      <c r="O172" s="2944">
        <v>1490.5131899211804</v>
      </c>
      <c r="P172" s="166"/>
      <c r="Q172" s="166"/>
      <c r="R172" s="1339"/>
    </row>
    <row r="173" spans="1:18">
      <c r="A173" s="167">
        <v>2007.08</v>
      </c>
      <c r="B173" s="215">
        <v>88369</v>
      </c>
      <c r="C173" s="3538">
        <v>50450</v>
      </c>
      <c r="D173" s="190">
        <v>37919</v>
      </c>
      <c r="E173" s="456">
        <v>876500</v>
      </c>
      <c r="F173" s="572">
        <v>1732</v>
      </c>
      <c r="G173" s="71">
        <v>20637</v>
      </c>
      <c r="H173" s="572">
        <v>35746</v>
      </c>
      <c r="I173" s="71">
        <v>384669</v>
      </c>
      <c r="J173" s="572">
        <v>39013</v>
      </c>
      <c r="K173" s="71">
        <v>426088</v>
      </c>
      <c r="L173" s="456">
        <v>1396.93</v>
      </c>
      <c r="M173" s="2942">
        <v>1499.01</v>
      </c>
      <c r="N173" s="456">
        <v>1406.8332481480531</v>
      </c>
      <c r="O173" s="2944">
        <v>1523.6477649218</v>
      </c>
      <c r="P173" s="166"/>
      <c r="Q173" s="166"/>
      <c r="R173" s="1339"/>
    </row>
    <row r="174" spans="1:18">
      <c r="A174" s="167">
        <v>2007.09</v>
      </c>
      <c r="B174" s="215">
        <v>68630</v>
      </c>
      <c r="C174" s="3538">
        <v>48952</v>
      </c>
      <c r="D174" s="190">
        <v>42762</v>
      </c>
      <c r="E174" s="456">
        <v>776052</v>
      </c>
      <c r="F174" s="572">
        <v>1792</v>
      </c>
      <c r="G174" s="71">
        <v>21629</v>
      </c>
      <c r="H174" s="572">
        <v>35285</v>
      </c>
      <c r="I174" s="71">
        <v>385681</v>
      </c>
      <c r="J174" s="572">
        <v>38797</v>
      </c>
      <c r="K174" s="71">
        <v>429208</v>
      </c>
      <c r="L174" s="456">
        <v>1254.99</v>
      </c>
      <c r="M174" s="2942">
        <v>1394.93</v>
      </c>
      <c r="N174" s="456">
        <v>1267.7301314534629</v>
      </c>
      <c r="O174" s="2944">
        <v>1421.9414269072338</v>
      </c>
      <c r="P174" s="166"/>
      <c r="Q174" s="166"/>
      <c r="R174" s="1339"/>
    </row>
    <row r="175" spans="1:18">
      <c r="A175" s="167">
        <v>2007.1</v>
      </c>
      <c r="B175" s="215">
        <v>87905</v>
      </c>
      <c r="C175" s="3538">
        <v>49496</v>
      </c>
      <c r="D175" s="190">
        <v>38409</v>
      </c>
      <c r="E175" s="456">
        <v>878497</v>
      </c>
      <c r="F175" s="572">
        <v>1851</v>
      </c>
      <c r="G175" s="71">
        <v>22522</v>
      </c>
      <c r="H175" s="572">
        <v>36511</v>
      </c>
      <c r="I175" s="71">
        <v>389392</v>
      </c>
      <c r="J175" s="572">
        <v>40220</v>
      </c>
      <c r="K175" s="71">
        <v>434771</v>
      </c>
      <c r="L175" s="456">
        <v>1452.99</v>
      </c>
      <c r="M175" s="2942">
        <v>1569.23</v>
      </c>
      <c r="N175" s="456">
        <v>1466.045274241671</v>
      </c>
      <c r="O175" s="2944">
        <v>1601.8728786648603</v>
      </c>
      <c r="P175" s="166"/>
      <c r="Q175" s="166"/>
      <c r="R175" s="1339"/>
    </row>
    <row r="176" spans="1:18">
      <c r="A176" s="167">
        <v>2007.11</v>
      </c>
      <c r="B176" s="215">
        <v>106545</v>
      </c>
      <c r="C176" s="3538">
        <v>39934</v>
      </c>
      <c r="D176" s="190">
        <v>33748</v>
      </c>
      <c r="E176" s="456">
        <v>947803</v>
      </c>
      <c r="F176" s="572">
        <v>1896</v>
      </c>
      <c r="G176" s="71">
        <v>23329</v>
      </c>
      <c r="H176" s="572">
        <v>37397</v>
      </c>
      <c r="I176" s="71">
        <v>390289</v>
      </c>
      <c r="J176" s="572">
        <v>41263</v>
      </c>
      <c r="K176" s="71">
        <v>436497</v>
      </c>
      <c r="L176" s="456">
        <v>1487.14</v>
      </c>
      <c r="M176" s="2942">
        <v>1575.64</v>
      </c>
      <c r="N176" s="456">
        <v>1500.1022446259362</v>
      </c>
      <c r="O176" s="2944">
        <v>1604.3312542125148</v>
      </c>
      <c r="P176" s="166"/>
      <c r="Q176" s="166"/>
      <c r="R176" s="1339"/>
    </row>
    <row r="177" spans="1:18">
      <c r="A177" s="167">
        <v>2007.12</v>
      </c>
      <c r="B177" s="215">
        <v>83377</v>
      </c>
      <c r="C177" s="3538">
        <v>42944</v>
      </c>
      <c r="D177" s="190">
        <v>40432</v>
      </c>
      <c r="E177" s="456">
        <v>779749</v>
      </c>
      <c r="F177" s="572">
        <v>1949</v>
      </c>
      <c r="G177" s="71">
        <v>23925</v>
      </c>
      <c r="H177" s="572">
        <v>35776</v>
      </c>
      <c r="I177" s="71">
        <v>372969</v>
      </c>
      <c r="J177" s="572">
        <v>39715</v>
      </c>
      <c r="K177" s="71">
        <v>419131</v>
      </c>
      <c r="L177" s="456">
        <v>1971.71</v>
      </c>
      <c r="M177" s="2942">
        <v>2196.6799999999998</v>
      </c>
      <c r="N177" s="456">
        <v>1996.3913584288055</v>
      </c>
      <c r="O177" s="2944">
        <v>2242.6158543748852</v>
      </c>
      <c r="P177" s="166"/>
      <c r="Q177" s="166"/>
      <c r="R177" s="1339"/>
    </row>
    <row r="178" spans="1:18">
      <c r="A178" s="167">
        <f t="shared" ref="A178:A241" si="0">A166+1</f>
        <v>2008.01</v>
      </c>
      <c r="B178" s="215">
        <v>84058</v>
      </c>
      <c r="C178" s="3538">
        <v>45182</v>
      </c>
      <c r="D178" s="190">
        <v>38876</v>
      </c>
      <c r="E178" s="456">
        <v>812216</v>
      </c>
      <c r="F178" s="572">
        <v>1997</v>
      </c>
      <c r="G178" s="71">
        <v>24435</v>
      </c>
      <c r="H178" s="572">
        <v>36361</v>
      </c>
      <c r="I178" s="71">
        <v>369713</v>
      </c>
      <c r="J178" s="572">
        <v>42489</v>
      </c>
      <c r="K178" s="71">
        <v>432696</v>
      </c>
      <c r="L178" s="456">
        <v>1487.17</v>
      </c>
      <c r="M178" s="2942">
        <v>1589.4456668616881</v>
      </c>
      <c r="N178" s="456">
        <v>1475.8771383181531</v>
      </c>
      <c r="O178" s="2944">
        <v>1601.3160483166826</v>
      </c>
      <c r="P178" s="166"/>
      <c r="Q178" s="166"/>
      <c r="R178" s="1339"/>
    </row>
    <row r="179" spans="1:18">
      <c r="A179" s="167">
        <f t="shared" si="0"/>
        <v>2008.02</v>
      </c>
      <c r="B179" s="215">
        <v>77351</v>
      </c>
      <c r="C179" s="3538">
        <v>42252</v>
      </c>
      <c r="D179" s="190">
        <v>35100</v>
      </c>
      <c r="E179" s="456">
        <v>787505</v>
      </c>
      <c r="F179" s="572">
        <v>2049</v>
      </c>
      <c r="G179" s="71">
        <v>24983</v>
      </c>
      <c r="H179" s="572">
        <v>36905</v>
      </c>
      <c r="I179" s="71">
        <v>377322</v>
      </c>
      <c r="J179" s="572">
        <v>41284</v>
      </c>
      <c r="K179" s="71">
        <v>426380</v>
      </c>
      <c r="L179" s="456">
        <v>1442.01</v>
      </c>
      <c r="M179" s="2942">
        <v>1557.92</v>
      </c>
      <c r="N179" s="456">
        <v>1449.3649040790622</v>
      </c>
      <c r="O179" s="2944">
        <v>1586.8522812514657</v>
      </c>
      <c r="P179" s="166"/>
      <c r="Q179" s="166"/>
      <c r="R179" s="1339"/>
    </row>
    <row r="180" spans="1:18">
      <c r="A180" s="167">
        <f t="shared" si="0"/>
        <v>2008.03</v>
      </c>
      <c r="B180" s="215">
        <v>73808</v>
      </c>
      <c r="C180" s="3538">
        <v>39294</v>
      </c>
      <c r="D180" s="190">
        <v>34514</v>
      </c>
      <c r="E180" s="456">
        <v>709549</v>
      </c>
      <c r="F180" s="572">
        <v>2074</v>
      </c>
      <c r="G180" s="71">
        <v>25473</v>
      </c>
      <c r="H180" s="572">
        <v>36784</v>
      </c>
      <c r="I180" s="71">
        <v>377948</v>
      </c>
      <c r="J180" s="572">
        <v>41232</v>
      </c>
      <c r="K180" s="71">
        <v>428938</v>
      </c>
      <c r="L180" s="456">
        <v>1483.58</v>
      </c>
      <c r="M180" s="2942">
        <v>1588.14</v>
      </c>
      <c r="N180" s="456">
        <v>1496.4713465269692</v>
      </c>
      <c r="O180" s="2944">
        <v>1624.8000202593382</v>
      </c>
      <c r="P180" s="166"/>
      <c r="Q180" s="166"/>
      <c r="R180" s="1339"/>
    </row>
    <row r="181" spans="1:18">
      <c r="A181" s="167">
        <f t="shared" si="0"/>
        <v>2008.04</v>
      </c>
      <c r="B181" s="215">
        <v>86686</v>
      </c>
      <c r="C181" s="3538">
        <v>45565</v>
      </c>
      <c r="D181" s="190">
        <v>41121</v>
      </c>
      <c r="E181" s="456">
        <v>896774</v>
      </c>
      <c r="F181" s="572">
        <v>2151</v>
      </c>
      <c r="G181" s="71">
        <v>26288</v>
      </c>
      <c r="H181" s="572">
        <v>36703</v>
      </c>
      <c r="I181" s="71">
        <v>381234</v>
      </c>
      <c r="J181" s="572">
        <v>40935</v>
      </c>
      <c r="K181" s="71">
        <v>429278</v>
      </c>
      <c r="L181" s="456">
        <v>1681.86</v>
      </c>
      <c r="M181" s="2942">
        <v>1800.1</v>
      </c>
      <c r="N181" s="456">
        <v>1696.4050123366312</v>
      </c>
      <c r="O181" s="2944">
        <v>1836.7204902417545</v>
      </c>
      <c r="P181" s="166"/>
      <c r="Q181" s="166"/>
      <c r="R181" s="1339"/>
    </row>
    <row r="182" spans="1:18">
      <c r="A182" s="167">
        <f t="shared" si="0"/>
        <v>2008.05</v>
      </c>
      <c r="B182" s="215">
        <v>85149</v>
      </c>
      <c r="C182" s="3538">
        <v>43313</v>
      </c>
      <c r="D182" s="190">
        <v>41837</v>
      </c>
      <c r="E182" s="456">
        <v>830457</v>
      </c>
      <c r="F182" s="572">
        <v>1591</v>
      </c>
      <c r="G182" s="71">
        <v>18387</v>
      </c>
      <c r="H182" s="572">
        <v>36153</v>
      </c>
      <c r="I182" s="71">
        <v>380506</v>
      </c>
      <c r="J182" s="572">
        <v>40538</v>
      </c>
      <c r="K182" s="71">
        <v>432662</v>
      </c>
      <c r="L182" s="456">
        <v>1699.64</v>
      </c>
      <c r="M182" s="2942">
        <v>1801.78</v>
      </c>
      <c r="N182" s="456">
        <v>1718.8845446247965</v>
      </c>
      <c r="O182" s="2944">
        <v>1848.1098984657767</v>
      </c>
      <c r="P182" s="166"/>
      <c r="Q182" s="166"/>
      <c r="R182" s="1339"/>
    </row>
    <row r="183" spans="1:18">
      <c r="A183" s="167">
        <f t="shared" si="0"/>
        <v>2008.06</v>
      </c>
      <c r="B183" s="215">
        <v>59598</v>
      </c>
      <c r="C183" s="3538">
        <v>32152</v>
      </c>
      <c r="D183" s="190">
        <v>27446</v>
      </c>
      <c r="E183" s="456">
        <v>709098</v>
      </c>
      <c r="F183" s="572">
        <v>1698</v>
      </c>
      <c r="G183" s="71">
        <v>19952</v>
      </c>
      <c r="H183" s="572">
        <v>34990</v>
      </c>
      <c r="I183" s="71">
        <v>373235</v>
      </c>
      <c r="J183" s="572">
        <v>39572</v>
      </c>
      <c r="K183" s="71">
        <v>425839</v>
      </c>
      <c r="L183" s="456">
        <v>2185.7399999999998</v>
      </c>
      <c r="M183" s="2942">
        <v>2402.19</v>
      </c>
      <c r="N183" s="456">
        <v>2221.0822586677446</v>
      </c>
      <c r="O183" s="2944">
        <v>2463.7976724536738</v>
      </c>
      <c r="P183" s="166"/>
      <c r="Q183" s="166"/>
      <c r="R183" s="1339"/>
    </row>
    <row r="184" spans="1:18">
      <c r="A184" s="167">
        <f t="shared" si="0"/>
        <v>2008.07</v>
      </c>
      <c r="B184" s="215">
        <v>96381</v>
      </c>
      <c r="C184" s="3538">
        <v>48999</v>
      </c>
      <c r="D184" s="190">
        <v>47382</v>
      </c>
      <c r="E184" s="456">
        <v>883142</v>
      </c>
      <c r="F184" s="572">
        <v>1776</v>
      </c>
      <c r="G184" s="71">
        <v>21253</v>
      </c>
      <c r="H184" s="572">
        <v>34217</v>
      </c>
      <c r="I184" s="71">
        <v>369346</v>
      </c>
      <c r="J184" s="572">
        <v>38828</v>
      </c>
      <c r="K184" s="71">
        <v>423490</v>
      </c>
      <c r="L184" s="456">
        <v>1707.19</v>
      </c>
      <c r="M184" s="2942">
        <v>1843.63</v>
      </c>
      <c r="N184" s="456">
        <v>1729.0823933759143</v>
      </c>
      <c r="O184" s="2944">
        <v>1894.769576896739</v>
      </c>
      <c r="P184" s="166"/>
      <c r="Q184" s="166"/>
      <c r="R184" s="1339"/>
    </row>
    <row r="185" spans="1:18">
      <c r="A185" s="167">
        <f t="shared" si="0"/>
        <v>2008.08</v>
      </c>
      <c r="B185" s="215">
        <v>85578</v>
      </c>
      <c r="C185" s="3538">
        <v>45110</v>
      </c>
      <c r="D185" s="190">
        <v>40468</v>
      </c>
      <c r="E185" s="456">
        <v>839196</v>
      </c>
      <c r="F185" s="572">
        <v>1842</v>
      </c>
      <c r="G185" s="71">
        <v>22255</v>
      </c>
      <c r="H185" s="572">
        <v>33699</v>
      </c>
      <c r="I185" s="71">
        <v>361653</v>
      </c>
      <c r="J185" s="572">
        <v>38409</v>
      </c>
      <c r="K185" s="71">
        <v>416790</v>
      </c>
      <c r="L185" s="456">
        <v>1649.87</v>
      </c>
      <c r="M185" s="2942">
        <v>1768.83</v>
      </c>
      <c r="N185" s="456">
        <v>1667.0182308833864</v>
      </c>
      <c r="O185" s="2944">
        <v>1819.121241800427</v>
      </c>
      <c r="P185" s="166"/>
      <c r="Q185" s="166"/>
      <c r="R185" s="1339"/>
    </row>
    <row r="186" spans="1:18">
      <c r="A186" s="167">
        <f t="shared" si="0"/>
        <v>2008.09</v>
      </c>
      <c r="B186" s="215">
        <v>91714</v>
      </c>
      <c r="C186" s="3538">
        <v>48952</v>
      </c>
      <c r="D186" s="190">
        <v>42762</v>
      </c>
      <c r="E186" s="456">
        <v>908193</v>
      </c>
      <c r="F186" s="572">
        <v>1924</v>
      </c>
      <c r="G186" s="71">
        <v>23226</v>
      </c>
      <c r="H186" s="572">
        <v>33070</v>
      </c>
      <c r="I186" s="71">
        <v>363246</v>
      </c>
      <c r="J186" s="572">
        <v>38215</v>
      </c>
      <c r="K186" s="71">
        <v>422038</v>
      </c>
      <c r="L186" s="456">
        <v>1687.7</v>
      </c>
      <c r="M186" s="2942">
        <v>1802.64</v>
      </c>
      <c r="N186" s="456">
        <v>1702.5284783461991</v>
      </c>
      <c r="O186" s="2944">
        <v>1852.3411192830979</v>
      </c>
      <c r="P186" s="166"/>
      <c r="Q186" s="166"/>
      <c r="R186" s="1339"/>
    </row>
    <row r="187" spans="1:18">
      <c r="A187" s="167">
        <f t="shared" si="0"/>
        <v>2008.1</v>
      </c>
      <c r="B187" s="215">
        <v>80002</v>
      </c>
      <c r="C187" s="3538">
        <v>44074</v>
      </c>
      <c r="D187" s="190">
        <v>35928</v>
      </c>
      <c r="E187" s="456">
        <v>874601</v>
      </c>
      <c r="F187" s="572">
        <v>1967</v>
      </c>
      <c r="G187" s="71">
        <v>24025</v>
      </c>
      <c r="H187" s="572">
        <v>32619</v>
      </c>
      <c r="I187" s="71">
        <v>363312</v>
      </c>
      <c r="J187" s="572">
        <v>37999</v>
      </c>
      <c r="K187" s="71">
        <v>424073</v>
      </c>
      <c r="L187" s="456">
        <v>1797.86</v>
      </c>
      <c r="M187" s="2942">
        <v>1924.99</v>
      </c>
      <c r="N187" s="456">
        <v>1815.7461391089239</v>
      </c>
      <c r="O187" s="2944">
        <v>1980.3991062152036</v>
      </c>
      <c r="P187" s="166"/>
      <c r="Q187" s="166"/>
      <c r="R187" s="1339"/>
    </row>
    <row r="188" spans="1:18">
      <c r="A188" s="167">
        <f t="shared" si="0"/>
        <v>2008.11</v>
      </c>
      <c r="B188" s="215">
        <v>73682</v>
      </c>
      <c r="C188" s="3538">
        <v>39934</v>
      </c>
      <c r="D188" s="190">
        <v>33748</v>
      </c>
      <c r="E188" s="456">
        <v>803468</v>
      </c>
      <c r="F188" s="572">
        <v>2023</v>
      </c>
      <c r="G188" s="71">
        <v>24661</v>
      </c>
      <c r="H188" s="572">
        <v>31685</v>
      </c>
      <c r="I188" s="71">
        <v>354806</v>
      </c>
      <c r="J188" s="572">
        <v>37196</v>
      </c>
      <c r="K188" s="71">
        <v>416028</v>
      </c>
      <c r="L188" s="456">
        <v>1709.52</v>
      </c>
      <c r="M188" s="2942">
        <v>1835.8</v>
      </c>
      <c r="N188" s="456">
        <v>1721.9507156683517</v>
      </c>
      <c r="O188" s="2944">
        <v>1902.4276380916669</v>
      </c>
      <c r="P188" s="166"/>
      <c r="Q188" s="166"/>
      <c r="R188" s="1339"/>
    </row>
    <row r="189" spans="1:18">
      <c r="A189" s="167">
        <f t="shared" si="0"/>
        <v>2008.12</v>
      </c>
      <c r="B189" s="215">
        <v>63531</v>
      </c>
      <c r="C189" s="3538">
        <v>35556</v>
      </c>
      <c r="D189" s="190">
        <v>27974</v>
      </c>
      <c r="E189" s="456">
        <v>692038</v>
      </c>
      <c r="F189" s="572">
        <v>2056</v>
      </c>
      <c r="G189" s="71">
        <v>25201</v>
      </c>
      <c r="H189" s="572">
        <v>30166</v>
      </c>
      <c r="I189" s="71">
        <v>336239</v>
      </c>
      <c r="J189" s="572">
        <v>35667</v>
      </c>
      <c r="K189" s="71">
        <v>396169</v>
      </c>
      <c r="L189" s="456">
        <v>2446.75</v>
      </c>
      <c r="M189" s="2942">
        <v>2761.17</v>
      </c>
      <c r="N189" s="456">
        <v>2482.3097768245157</v>
      </c>
      <c r="O189" s="2944">
        <v>2836.5632300609086</v>
      </c>
      <c r="P189" s="166"/>
      <c r="Q189" s="166"/>
      <c r="R189" s="1339"/>
    </row>
    <row r="190" spans="1:18">
      <c r="A190" s="167">
        <f t="shared" si="0"/>
        <v>2009.01</v>
      </c>
      <c r="B190" s="215">
        <v>72353</v>
      </c>
      <c r="C190" s="3538">
        <v>39188</v>
      </c>
      <c r="D190" s="190">
        <v>33165</v>
      </c>
      <c r="E190" s="456">
        <v>728799</v>
      </c>
      <c r="F190" s="572">
        <v>2082</v>
      </c>
      <c r="G190" s="71">
        <v>25556</v>
      </c>
      <c r="H190" s="572">
        <v>29058</v>
      </c>
      <c r="I190" s="71">
        <v>324525</v>
      </c>
      <c r="J190" s="572">
        <v>34479</v>
      </c>
      <c r="K190" s="71">
        <v>384287</v>
      </c>
      <c r="L190" s="456">
        <v>1734.73</v>
      </c>
      <c r="M190" s="2942">
        <v>1913.2</v>
      </c>
      <c r="N190" s="456">
        <v>1746.5172435395459</v>
      </c>
      <c r="O190" s="2944">
        <v>1958.6152064472649</v>
      </c>
      <c r="P190" s="166"/>
      <c r="Q190" s="166"/>
      <c r="R190" s="1339"/>
    </row>
    <row r="191" spans="1:18">
      <c r="A191" s="167">
        <f t="shared" si="0"/>
        <v>2009.02</v>
      </c>
      <c r="B191" s="215">
        <v>60707</v>
      </c>
      <c r="C191" s="3538">
        <v>31748</v>
      </c>
      <c r="D191" s="190">
        <v>28959</v>
      </c>
      <c r="E191" s="456">
        <v>684268</v>
      </c>
      <c r="F191" s="572">
        <v>2102</v>
      </c>
      <c r="G191" s="71">
        <v>25836</v>
      </c>
      <c r="H191" s="572">
        <v>28235</v>
      </c>
      <c r="I191" s="71">
        <v>325090</v>
      </c>
      <c r="J191" s="572">
        <v>33580</v>
      </c>
      <c r="K191" s="71">
        <v>385677</v>
      </c>
      <c r="L191" s="456">
        <v>1675.27</v>
      </c>
      <c r="M191" s="2942">
        <v>1848.6</v>
      </c>
      <c r="N191" s="456">
        <v>1688.8585244192973</v>
      </c>
      <c r="O191" s="2944">
        <v>1890.0592155612078</v>
      </c>
      <c r="P191" s="166"/>
      <c r="Q191" s="166"/>
      <c r="R191" s="1339"/>
    </row>
    <row r="192" spans="1:18">
      <c r="A192" s="167">
        <f t="shared" si="0"/>
        <v>2009.03</v>
      </c>
      <c r="B192" s="215">
        <v>69091</v>
      </c>
      <c r="C192" s="3538">
        <v>37590</v>
      </c>
      <c r="D192" s="190">
        <v>31501</v>
      </c>
      <c r="E192" s="456">
        <v>757422</v>
      </c>
      <c r="F192" s="572">
        <v>2137</v>
      </c>
      <c r="G192" s="71">
        <v>26139</v>
      </c>
      <c r="H192" s="572">
        <v>28351</v>
      </c>
      <c r="I192" s="71">
        <v>326427</v>
      </c>
      <c r="J192" s="572">
        <v>33751</v>
      </c>
      <c r="K192" s="71">
        <v>387578</v>
      </c>
      <c r="L192" s="456">
        <v>1766.02</v>
      </c>
      <c r="M192" s="2942">
        <v>1939</v>
      </c>
      <c r="N192" s="456">
        <v>1791.7664371426031</v>
      </c>
      <c r="O192" s="2944">
        <v>1983.4794460211881</v>
      </c>
      <c r="P192" s="166"/>
      <c r="Q192" s="166"/>
      <c r="R192" s="1339"/>
    </row>
    <row r="193" spans="1:18">
      <c r="A193" s="167">
        <f t="shared" si="0"/>
        <v>2009.04</v>
      </c>
      <c r="B193" s="215">
        <v>61662</v>
      </c>
      <c r="C193" s="3538">
        <v>36961</v>
      </c>
      <c r="D193" s="190">
        <v>24701</v>
      </c>
      <c r="E193" s="456">
        <v>761154</v>
      </c>
      <c r="F193" s="572">
        <v>2138</v>
      </c>
      <c r="G193" s="71">
        <v>26231</v>
      </c>
      <c r="H193" s="572">
        <v>27681</v>
      </c>
      <c r="I193" s="71">
        <v>325257</v>
      </c>
      <c r="J193" s="572">
        <v>32960</v>
      </c>
      <c r="K193" s="71">
        <v>386136</v>
      </c>
      <c r="L193" s="456">
        <v>1782.11</v>
      </c>
      <c r="M193" s="2942">
        <v>1956.6</v>
      </c>
      <c r="N193" s="456">
        <v>1811.4904538834951</v>
      </c>
      <c r="O193" s="2944">
        <v>2018.7514842179958</v>
      </c>
      <c r="P193" s="166"/>
      <c r="Q193" s="166"/>
      <c r="R193" s="1339"/>
    </row>
    <row r="194" spans="1:18">
      <c r="A194" s="167">
        <f t="shared" si="0"/>
        <v>2009.05</v>
      </c>
      <c r="B194" s="215">
        <v>56141</v>
      </c>
      <c r="C194" s="3538">
        <v>33745</v>
      </c>
      <c r="D194" s="190">
        <v>22397</v>
      </c>
      <c r="E194" s="456">
        <v>727453</v>
      </c>
      <c r="F194" s="572">
        <v>1328</v>
      </c>
      <c r="G194" s="71">
        <v>15942</v>
      </c>
      <c r="H194" s="572">
        <v>26783</v>
      </c>
      <c r="I194" s="71">
        <v>323945</v>
      </c>
      <c r="J194" s="572">
        <v>31906</v>
      </c>
      <c r="K194" s="71">
        <v>384595</v>
      </c>
      <c r="L194" s="456">
        <v>1772.83</v>
      </c>
      <c r="M194" s="2942">
        <v>1925.8</v>
      </c>
      <c r="N194" s="456">
        <v>1806.5519475960634</v>
      </c>
      <c r="O194" s="2944">
        <v>1975.5450803312574</v>
      </c>
      <c r="P194" s="166"/>
      <c r="Q194" s="166"/>
      <c r="R194" s="1339"/>
    </row>
    <row r="195" spans="1:18">
      <c r="A195" s="167">
        <f t="shared" si="0"/>
        <v>2009.06</v>
      </c>
      <c r="B195" s="215">
        <v>61629</v>
      </c>
      <c r="C195" s="3538">
        <v>38290</v>
      </c>
      <c r="D195" s="190">
        <v>23339</v>
      </c>
      <c r="E195" s="456">
        <v>796637</v>
      </c>
      <c r="F195" s="572">
        <v>1455</v>
      </c>
      <c r="G195" s="71">
        <v>17466</v>
      </c>
      <c r="H195" s="572">
        <v>25972</v>
      </c>
      <c r="I195" s="71">
        <v>324084</v>
      </c>
      <c r="J195" s="572">
        <v>30993</v>
      </c>
      <c r="K195" s="71">
        <v>385055</v>
      </c>
      <c r="L195" s="456">
        <v>2644.39</v>
      </c>
      <c r="M195" s="2942">
        <v>2892.9</v>
      </c>
      <c r="N195" s="456">
        <v>2701.3539602490882</v>
      </c>
      <c r="O195" s="2944">
        <v>2983.2106663983072</v>
      </c>
      <c r="P195" s="166"/>
      <c r="Q195" s="166"/>
      <c r="R195" s="1339"/>
    </row>
    <row r="196" spans="1:18">
      <c r="A196" s="167">
        <f t="shared" si="0"/>
        <v>2009.07</v>
      </c>
      <c r="B196" s="215">
        <v>62284</v>
      </c>
      <c r="C196" s="3538">
        <v>39820</v>
      </c>
      <c r="D196" s="190">
        <v>22464</v>
      </c>
      <c r="E196" s="456">
        <v>809184</v>
      </c>
      <c r="F196" s="572">
        <v>1552</v>
      </c>
      <c r="G196" s="71">
        <v>18601</v>
      </c>
      <c r="H196" s="572">
        <v>25609</v>
      </c>
      <c r="I196" s="71">
        <v>321475</v>
      </c>
      <c r="J196" s="572">
        <v>30875</v>
      </c>
      <c r="K196" s="71">
        <v>384275</v>
      </c>
      <c r="L196" s="456">
        <v>1911.45</v>
      </c>
      <c r="M196" s="2942">
        <v>2067.75</v>
      </c>
      <c r="N196" s="456">
        <v>1944.8317496356276</v>
      </c>
      <c r="O196" s="2944">
        <v>2124.8460564959992</v>
      </c>
      <c r="P196" s="166"/>
      <c r="Q196" s="166"/>
      <c r="R196" s="1339"/>
    </row>
    <row r="197" spans="1:18">
      <c r="A197" s="167">
        <f t="shared" si="0"/>
        <v>2009.08</v>
      </c>
      <c r="B197" s="215">
        <v>63160</v>
      </c>
      <c r="C197" s="3538">
        <v>39459</v>
      </c>
      <c r="D197" s="190">
        <v>23701</v>
      </c>
      <c r="E197" s="456">
        <v>822140</v>
      </c>
      <c r="F197" s="572">
        <v>1618</v>
      </c>
      <c r="G197" s="71">
        <v>19499</v>
      </c>
      <c r="H197" s="572">
        <v>25639</v>
      </c>
      <c r="I197" s="71">
        <v>320488</v>
      </c>
      <c r="J197" s="572">
        <v>30914</v>
      </c>
      <c r="K197" s="71">
        <v>383640</v>
      </c>
      <c r="L197" s="456">
        <v>1864.56</v>
      </c>
      <c r="M197" s="2942">
        <v>2017.89</v>
      </c>
      <c r="N197" s="456">
        <v>1895.4790010998252</v>
      </c>
      <c r="O197" s="2944">
        <v>2072.0942298509021</v>
      </c>
      <c r="P197" s="166"/>
      <c r="Q197" s="166"/>
      <c r="R197" s="1339"/>
    </row>
    <row r="198" spans="1:18">
      <c r="A198" s="167">
        <f t="shared" si="0"/>
        <v>2009.09</v>
      </c>
      <c r="B198" s="215">
        <v>60863</v>
      </c>
      <c r="C198" s="3538">
        <v>38176</v>
      </c>
      <c r="D198" s="190">
        <v>22687</v>
      </c>
      <c r="E198" s="456">
        <v>791461</v>
      </c>
      <c r="F198" s="572">
        <v>1679</v>
      </c>
      <c r="G198" s="71">
        <v>20238</v>
      </c>
      <c r="H198" s="572">
        <v>25915</v>
      </c>
      <c r="I198" s="71">
        <v>320411</v>
      </c>
      <c r="J198" s="572">
        <v>31268</v>
      </c>
      <c r="K198" s="71">
        <v>384233</v>
      </c>
      <c r="L198" s="456">
        <v>1853.19</v>
      </c>
      <c r="M198" s="2942">
        <v>2015.84</v>
      </c>
      <c r="N198" s="456">
        <v>1888.2015782909043</v>
      </c>
      <c r="O198" s="2944">
        <v>2077.2807452249026</v>
      </c>
      <c r="P198" s="166"/>
      <c r="Q198" s="166"/>
      <c r="R198" s="1339"/>
    </row>
    <row r="199" spans="1:18">
      <c r="A199" s="167">
        <f t="shared" si="0"/>
        <v>2009.1</v>
      </c>
      <c r="B199" s="215">
        <v>68202</v>
      </c>
      <c r="C199" s="3538">
        <v>41804</v>
      </c>
      <c r="D199" s="190">
        <v>26398</v>
      </c>
      <c r="E199" s="456">
        <v>866586</v>
      </c>
      <c r="F199" s="572">
        <v>1728</v>
      </c>
      <c r="G199" s="71">
        <v>20901</v>
      </c>
      <c r="H199" s="572">
        <v>25788</v>
      </c>
      <c r="I199" s="71">
        <v>321981</v>
      </c>
      <c r="J199" s="572">
        <v>31185</v>
      </c>
      <c r="K199" s="71">
        <v>386140</v>
      </c>
      <c r="L199" s="456">
        <v>2033.44</v>
      </c>
      <c r="M199" s="2942">
        <v>2188.75</v>
      </c>
      <c r="N199" s="456">
        <v>2071.5313804713805</v>
      </c>
      <c r="O199" s="2944">
        <v>2253.1601078624331</v>
      </c>
      <c r="P199" s="166"/>
      <c r="Q199" s="166"/>
      <c r="R199" s="1339"/>
    </row>
    <row r="200" spans="1:18">
      <c r="A200" s="167">
        <f t="shared" si="0"/>
        <v>2009.11</v>
      </c>
      <c r="B200" s="215">
        <v>60681</v>
      </c>
      <c r="C200" s="3538">
        <v>36059</v>
      </c>
      <c r="D200" s="190">
        <v>24622</v>
      </c>
      <c r="E200" s="456">
        <v>772759</v>
      </c>
      <c r="F200" s="572">
        <v>1778</v>
      </c>
      <c r="G200" s="71">
        <v>21485</v>
      </c>
      <c r="H200" s="572">
        <v>25888</v>
      </c>
      <c r="I200" s="71">
        <v>320719</v>
      </c>
      <c r="J200" s="572">
        <v>31310</v>
      </c>
      <c r="K200" s="71">
        <v>385828</v>
      </c>
      <c r="L200" s="456">
        <v>1940.15</v>
      </c>
      <c r="M200" s="2942">
        <v>2139.0500000000002</v>
      </c>
      <c r="N200" s="456">
        <v>1978.732612583839</v>
      </c>
      <c r="O200" s="2944">
        <v>2218.2540195372035</v>
      </c>
      <c r="P200" s="166"/>
      <c r="Q200" s="166"/>
      <c r="R200" s="1339"/>
    </row>
    <row r="201" spans="1:18">
      <c r="A201" s="167">
        <f t="shared" si="0"/>
        <v>2009.12</v>
      </c>
      <c r="B201" s="215">
        <v>52172</v>
      </c>
      <c r="C201" s="3538">
        <v>32448</v>
      </c>
      <c r="D201" s="190">
        <v>19724</v>
      </c>
      <c r="E201" s="456">
        <v>733488</v>
      </c>
      <c r="F201" s="572">
        <v>1816</v>
      </c>
      <c r="G201" s="71">
        <v>21918</v>
      </c>
      <c r="H201" s="572">
        <v>25503</v>
      </c>
      <c r="I201" s="71">
        <v>309631</v>
      </c>
      <c r="J201" s="572">
        <v>30948</v>
      </c>
      <c r="K201" s="71">
        <v>373459</v>
      </c>
      <c r="L201" s="456">
        <v>2761.5</v>
      </c>
      <c r="M201" s="2942">
        <v>3152.58</v>
      </c>
      <c r="N201" s="456">
        <v>2822.7518514928265</v>
      </c>
      <c r="O201" s="2944">
        <v>3255.9586938325224</v>
      </c>
      <c r="P201" s="166"/>
      <c r="Q201" s="166"/>
      <c r="R201" s="1339"/>
    </row>
    <row r="202" spans="1:18">
      <c r="A202" s="167">
        <f t="shared" si="0"/>
        <v>2010.01</v>
      </c>
      <c r="B202" s="215">
        <v>59927</v>
      </c>
      <c r="C202" s="3538">
        <v>38726</v>
      </c>
      <c r="D202" s="190">
        <v>21201</v>
      </c>
      <c r="E202" s="456">
        <v>743563</v>
      </c>
      <c r="F202" s="572">
        <v>1844</v>
      </c>
      <c r="G202" s="71">
        <v>22322</v>
      </c>
      <c r="H202" s="572">
        <v>25606</v>
      </c>
      <c r="I202" s="71">
        <v>305289</v>
      </c>
      <c r="J202" s="572">
        <v>31058</v>
      </c>
      <c r="K202" s="71">
        <v>368374</v>
      </c>
      <c r="L202" s="456">
        <v>1936.82</v>
      </c>
      <c r="M202" s="2942">
        <v>2150.8000000000002</v>
      </c>
      <c r="N202" s="456">
        <v>1969.6148560757294</v>
      </c>
      <c r="O202" s="2944">
        <v>2213.9320754993569</v>
      </c>
      <c r="P202" s="166"/>
      <c r="Q202" s="166"/>
      <c r="R202" s="1339"/>
    </row>
    <row r="203" spans="1:18">
      <c r="A203" s="167">
        <f t="shared" si="0"/>
        <v>2010.02</v>
      </c>
      <c r="B203" s="215">
        <v>50312</v>
      </c>
      <c r="C203" s="3538">
        <v>32493</v>
      </c>
      <c r="D203" s="190">
        <v>17819</v>
      </c>
      <c r="E203" s="456">
        <v>692124</v>
      </c>
      <c r="F203" s="572">
        <v>1875</v>
      </c>
      <c r="G203" s="71">
        <v>22682</v>
      </c>
      <c r="H203" s="572">
        <v>25655</v>
      </c>
      <c r="I203" s="71">
        <v>309650</v>
      </c>
      <c r="J203" s="572">
        <v>31157</v>
      </c>
      <c r="K203" s="71">
        <v>373638</v>
      </c>
      <c r="L203" s="456">
        <v>1872.61</v>
      </c>
      <c r="M203" s="2942">
        <v>2094.04</v>
      </c>
      <c r="N203" s="456">
        <v>1897.8781959110311</v>
      </c>
      <c r="O203" s="2944">
        <v>2150.8158294391897</v>
      </c>
      <c r="P203" s="166"/>
      <c r="Q203" s="166"/>
      <c r="R203" s="1339"/>
    </row>
    <row r="204" spans="1:18">
      <c r="A204" s="167">
        <f t="shared" si="0"/>
        <v>2010.03</v>
      </c>
      <c r="B204" s="215">
        <v>67622</v>
      </c>
      <c r="C204" s="3538">
        <v>40307</v>
      </c>
      <c r="D204" s="190">
        <v>27315</v>
      </c>
      <c r="E204" s="456">
        <v>871646</v>
      </c>
      <c r="F204" s="572">
        <v>1915</v>
      </c>
      <c r="G204" s="71">
        <v>23090</v>
      </c>
      <c r="H204" s="572">
        <v>25381</v>
      </c>
      <c r="I204" s="71">
        <v>311943</v>
      </c>
      <c r="J204" s="572">
        <v>30944</v>
      </c>
      <c r="K204" s="71">
        <v>378292</v>
      </c>
      <c r="L204" s="456">
        <v>2252.21</v>
      </c>
      <c r="M204" s="2942">
        <v>2431.36</v>
      </c>
      <c r="N204" s="456">
        <v>2247.1834526887278</v>
      </c>
      <c r="O204" s="2944">
        <v>2477.3515681801364</v>
      </c>
      <c r="P204" s="166"/>
      <c r="Q204" s="166"/>
      <c r="R204" s="1339"/>
    </row>
    <row r="205" spans="1:18">
      <c r="A205" s="167">
        <f t="shared" si="0"/>
        <v>2010.04</v>
      </c>
      <c r="B205" s="215">
        <v>65127</v>
      </c>
      <c r="C205" s="3538">
        <v>39630</v>
      </c>
      <c r="D205" s="190">
        <v>25497</v>
      </c>
      <c r="E205" s="456">
        <v>819623</v>
      </c>
      <c r="F205" s="572">
        <v>1905</v>
      </c>
      <c r="G205" s="71">
        <v>23319</v>
      </c>
      <c r="H205" s="572">
        <v>25290</v>
      </c>
      <c r="I205" s="71">
        <v>315299</v>
      </c>
      <c r="J205" s="572">
        <v>30687</v>
      </c>
      <c r="K205" s="71">
        <v>381443</v>
      </c>
      <c r="L205" s="456">
        <v>2077.29</v>
      </c>
      <c r="M205" s="2942">
        <v>2309.96</v>
      </c>
      <c r="N205" s="456">
        <v>2097.5557903998433</v>
      </c>
      <c r="O205" s="2944">
        <v>2370.3761716691615</v>
      </c>
      <c r="P205" s="166"/>
      <c r="Q205" s="166"/>
      <c r="R205" s="1339"/>
    </row>
    <row r="206" spans="1:18">
      <c r="A206" s="167">
        <f t="shared" si="0"/>
        <v>2010.05</v>
      </c>
      <c r="B206" s="215">
        <v>62254</v>
      </c>
      <c r="C206" s="3538">
        <v>37143</v>
      </c>
      <c r="D206" s="190">
        <v>25111</v>
      </c>
      <c r="E206" s="456">
        <v>771257</v>
      </c>
      <c r="F206" s="572">
        <v>1347</v>
      </c>
      <c r="G206" s="71">
        <v>16088</v>
      </c>
      <c r="H206" s="572">
        <v>25145</v>
      </c>
      <c r="I206" s="71">
        <v>314793</v>
      </c>
      <c r="J206" s="572">
        <v>30585</v>
      </c>
      <c r="K206" s="71">
        <v>380863</v>
      </c>
      <c r="L206" s="456">
        <v>2268.9</v>
      </c>
      <c r="M206" s="2942">
        <v>2507.5</v>
      </c>
      <c r="N206" s="456">
        <v>2290.0552591139449</v>
      </c>
      <c r="O206" s="2944">
        <v>2566.4923673604421</v>
      </c>
      <c r="P206" s="166"/>
      <c r="Q206" s="166"/>
      <c r="R206" s="1339"/>
    </row>
    <row r="207" spans="1:18">
      <c r="A207" s="167">
        <f t="shared" si="0"/>
        <v>2010.06</v>
      </c>
      <c r="B207" s="215">
        <v>67270</v>
      </c>
      <c r="C207" s="3538">
        <v>39951</v>
      </c>
      <c r="D207" s="190">
        <v>27319</v>
      </c>
      <c r="E207" s="456">
        <v>802474</v>
      </c>
      <c r="F207" s="572">
        <v>1457</v>
      </c>
      <c r="G207" s="71">
        <v>17447</v>
      </c>
      <c r="H207" s="572">
        <v>25048</v>
      </c>
      <c r="I207" s="71">
        <v>315281</v>
      </c>
      <c r="J207" s="572">
        <v>30390</v>
      </c>
      <c r="K207" s="71">
        <v>380164</v>
      </c>
      <c r="L207" s="456">
        <v>3153.26</v>
      </c>
      <c r="M207" s="2942">
        <v>3570.29</v>
      </c>
      <c r="N207" s="456">
        <v>3222.49</v>
      </c>
      <c r="O207" s="2944">
        <v>3695.26</v>
      </c>
      <c r="P207" s="166"/>
      <c r="Q207" s="166"/>
      <c r="R207" s="1339"/>
    </row>
    <row r="208" spans="1:18">
      <c r="A208" s="167">
        <f t="shared" si="0"/>
        <v>2010.07</v>
      </c>
      <c r="B208" s="215">
        <v>72679</v>
      </c>
      <c r="C208" s="3538">
        <v>43472</v>
      </c>
      <c r="D208" s="190">
        <v>29207</v>
      </c>
      <c r="E208" s="456">
        <v>835247</v>
      </c>
      <c r="F208" s="572">
        <v>1540</v>
      </c>
      <c r="G208" s="71">
        <v>18449</v>
      </c>
      <c r="H208" s="572">
        <v>25294</v>
      </c>
      <c r="I208" s="71">
        <v>313345</v>
      </c>
      <c r="J208" s="572">
        <v>30867</v>
      </c>
      <c r="K208" s="71">
        <v>376942</v>
      </c>
      <c r="L208" s="456">
        <v>2225.6999999999998</v>
      </c>
      <c r="M208" s="2942">
        <v>2494.66</v>
      </c>
      <c r="N208" s="456">
        <v>2178.33</v>
      </c>
      <c r="O208" s="2944">
        <v>2476.25</v>
      </c>
      <c r="P208" s="166"/>
      <c r="Q208" s="166"/>
      <c r="R208" s="1339"/>
    </row>
    <row r="209" spans="1:18">
      <c r="A209" s="167">
        <f t="shared" si="0"/>
        <v>2010.08</v>
      </c>
      <c r="B209" s="215">
        <v>72346</v>
      </c>
      <c r="C209" s="3538">
        <v>44339</v>
      </c>
      <c r="D209" s="190">
        <v>28007</v>
      </c>
      <c r="E209" s="456">
        <v>901284</v>
      </c>
      <c r="F209" s="572">
        <v>1608</v>
      </c>
      <c r="G209" s="71">
        <v>19344</v>
      </c>
      <c r="H209" s="456">
        <v>26019</v>
      </c>
      <c r="I209" s="2942">
        <v>320219</v>
      </c>
      <c r="J209" s="572">
        <v>31743</v>
      </c>
      <c r="K209" s="71">
        <v>386662</v>
      </c>
      <c r="L209" s="456">
        <v>2393.69</v>
      </c>
      <c r="M209" s="2942">
        <v>2669.95</v>
      </c>
      <c r="N209" s="456">
        <v>2388.7800000000002</v>
      </c>
      <c r="O209" s="2944">
        <v>2767.37</v>
      </c>
      <c r="P209" s="166"/>
      <c r="Q209" s="166"/>
      <c r="R209" s="1339"/>
    </row>
    <row r="210" spans="1:18">
      <c r="A210" s="167">
        <f t="shared" si="0"/>
        <v>2010.09</v>
      </c>
      <c r="B210" s="215">
        <v>71787</v>
      </c>
      <c r="C210" s="3538">
        <v>43860</v>
      </c>
      <c r="D210" s="190">
        <v>27927</v>
      </c>
      <c r="E210" s="456">
        <v>911514</v>
      </c>
      <c r="F210" s="572">
        <v>1697</v>
      </c>
      <c r="G210" s="71">
        <v>20187</v>
      </c>
      <c r="H210" s="456">
        <v>26587</v>
      </c>
      <c r="I210" s="2942">
        <v>325007</v>
      </c>
      <c r="J210" s="572">
        <v>32650</v>
      </c>
      <c r="K210" s="71">
        <v>391275</v>
      </c>
      <c r="L210" s="456">
        <v>2343.16</v>
      </c>
      <c r="M210" s="2942">
        <v>2634.02</v>
      </c>
      <c r="N210" s="456">
        <v>2335.27</v>
      </c>
      <c r="O210" s="2944">
        <v>2727.53</v>
      </c>
      <c r="P210" s="166"/>
      <c r="Q210" s="166"/>
      <c r="R210" s="1339"/>
    </row>
    <row r="211" spans="1:18">
      <c r="A211" s="167">
        <f t="shared" si="0"/>
        <v>2010.1</v>
      </c>
      <c r="B211" s="215">
        <v>79384</v>
      </c>
      <c r="C211" s="3538">
        <v>45338</v>
      </c>
      <c r="D211" s="190">
        <v>34046</v>
      </c>
      <c r="E211" s="456">
        <v>934872</v>
      </c>
      <c r="F211" s="572">
        <v>1749</v>
      </c>
      <c r="G211" s="71">
        <v>20847</v>
      </c>
      <c r="H211" s="456">
        <v>26680</v>
      </c>
      <c r="I211" s="2942">
        <v>326034</v>
      </c>
      <c r="J211" s="572">
        <v>32594</v>
      </c>
      <c r="K211" s="71">
        <v>394360</v>
      </c>
      <c r="L211" s="456">
        <v>2360.48</v>
      </c>
      <c r="M211" s="2942">
        <v>2669.11</v>
      </c>
      <c r="N211" s="456">
        <v>2356.75</v>
      </c>
      <c r="O211" s="2944">
        <v>2768.13</v>
      </c>
      <c r="P211" s="166"/>
      <c r="Q211" s="166"/>
      <c r="R211" s="1339"/>
    </row>
    <row r="212" spans="1:18">
      <c r="A212" s="167">
        <f t="shared" si="0"/>
        <v>2010.11</v>
      </c>
      <c r="B212" s="215">
        <v>86817</v>
      </c>
      <c r="C212" s="3538">
        <v>47759</v>
      </c>
      <c r="D212" s="190">
        <v>39058</v>
      </c>
      <c r="E212" s="456">
        <v>1004211</v>
      </c>
      <c r="F212" s="572">
        <v>1810</v>
      </c>
      <c r="G212" s="71">
        <v>21470</v>
      </c>
      <c r="H212" s="456">
        <v>28230</v>
      </c>
      <c r="I212" s="2942">
        <v>337669</v>
      </c>
      <c r="J212" s="572">
        <v>34245</v>
      </c>
      <c r="K212" s="71">
        <v>405115</v>
      </c>
      <c r="L212" s="456">
        <v>2427.84</v>
      </c>
      <c r="M212" s="2942">
        <v>2776.4</v>
      </c>
      <c r="N212" s="456">
        <v>2423.5700000000002</v>
      </c>
      <c r="O212" s="2944">
        <v>2882.43</v>
      </c>
      <c r="P212" s="166"/>
      <c r="Q212" s="166"/>
      <c r="R212" s="1339"/>
    </row>
    <row r="213" spans="1:18">
      <c r="A213" s="167">
        <f t="shared" si="0"/>
        <v>2010.12</v>
      </c>
      <c r="B213" s="215">
        <v>78679</v>
      </c>
      <c r="C213" s="3538">
        <v>45154</v>
      </c>
      <c r="D213" s="190">
        <v>33525</v>
      </c>
      <c r="E213" s="456">
        <v>904291</v>
      </c>
      <c r="F213" s="572">
        <v>1854</v>
      </c>
      <c r="G213" s="71">
        <v>21941</v>
      </c>
      <c r="H213" s="456">
        <v>28013.197969543147</v>
      </c>
      <c r="I213" s="2942">
        <v>330948.22335025383</v>
      </c>
      <c r="J213" s="572">
        <v>33873</v>
      </c>
      <c r="K213" s="71">
        <v>398284</v>
      </c>
      <c r="L213" s="456">
        <v>3459.5078534031413</v>
      </c>
      <c r="M213" s="2942">
        <v>4017.256544502618</v>
      </c>
      <c r="N213" s="456">
        <v>3656</v>
      </c>
      <c r="O213" s="2944">
        <v>4295.88</v>
      </c>
      <c r="P213" s="166"/>
      <c r="Q213" s="166"/>
      <c r="R213" s="1339"/>
    </row>
    <row r="214" spans="1:18">
      <c r="A214" s="167">
        <f t="shared" si="0"/>
        <v>2011.01</v>
      </c>
      <c r="B214" s="215">
        <v>75139</v>
      </c>
      <c r="C214" s="3538">
        <v>46105</v>
      </c>
      <c r="D214" s="190">
        <v>29034</v>
      </c>
      <c r="E214" s="456">
        <v>851247</v>
      </c>
      <c r="F214" s="572">
        <v>1899</v>
      </c>
      <c r="G214" s="71">
        <v>22455</v>
      </c>
      <c r="H214" s="575" t="s">
        <v>1076</v>
      </c>
      <c r="I214" s="2945" t="s">
        <v>1076</v>
      </c>
      <c r="J214" s="572">
        <v>34219</v>
      </c>
      <c r="K214" s="71">
        <v>397626</v>
      </c>
      <c r="L214" s="575" t="s">
        <v>1076</v>
      </c>
      <c r="M214" s="2945" t="s">
        <v>1076</v>
      </c>
      <c r="N214" s="456">
        <v>2687.94</v>
      </c>
      <c r="O214" s="2944">
        <v>3097.24</v>
      </c>
      <c r="P214" s="166"/>
      <c r="Q214" s="166"/>
      <c r="R214" s="1339"/>
    </row>
    <row r="215" spans="1:18">
      <c r="A215" s="167">
        <f t="shared" si="0"/>
        <v>2011.02</v>
      </c>
      <c r="B215" s="215">
        <v>63105</v>
      </c>
      <c r="C215" s="3538">
        <v>38462</v>
      </c>
      <c r="D215" s="190">
        <v>24643</v>
      </c>
      <c r="E215" s="456">
        <v>819491</v>
      </c>
      <c r="F215" s="572">
        <v>1937</v>
      </c>
      <c r="G215" s="71">
        <v>22908</v>
      </c>
      <c r="H215" s="576"/>
      <c r="I215" s="2946"/>
      <c r="J215" s="572">
        <v>35408</v>
      </c>
      <c r="K215" s="71">
        <v>405353</v>
      </c>
      <c r="L215" s="1353"/>
      <c r="M215" s="2939"/>
      <c r="N215" s="456">
        <v>2554.71</v>
      </c>
      <c r="O215" s="2944">
        <v>2967.62</v>
      </c>
      <c r="P215" s="166"/>
      <c r="Q215" s="166"/>
      <c r="R215" s="1339"/>
    </row>
    <row r="216" spans="1:18">
      <c r="A216" s="167">
        <f t="shared" si="0"/>
        <v>2011.03</v>
      </c>
      <c r="B216" s="215">
        <v>78159</v>
      </c>
      <c r="C216" s="3538">
        <v>44696</v>
      </c>
      <c r="D216" s="190">
        <v>33463</v>
      </c>
      <c r="E216" s="456">
        <v>911933</v>
      </c>
      <c r="F216" s="572">
        <v>1983</v>
      </c>
      <c r="G216" s="71">
        <v>23471</v>
      </c>
      <c r="H216" s="576"/>
      <c r="I216" s="2946"/>
      <c r="J216" s="572">
        <v>35983</v>
      </c>
      <c r="K216" s="71">
        <v>413282</v>
      </c>
      <c r="L216" s="1353"/>
      <c r="M216" s="2939"/>
      <c r="N216" s="456">
        <v>2841.25</v>
      </c>
      <c r="O216" s="2944">
        <v>3278.17</v>
      </c>
      <c r="P216" s="166"/>
      <c r="Q216" s="166"/>
      <c r="R216" s="1339"/>
    </row>
    <row r="217" spans="1:18">
      <c r="A217" s="167">
        <f t="shared" si="0"/>
        <v>2011.04</v>
      </c>
      <c r="B217" s="215">
        <v>74411</v>
      </c>
      <c r="C217" s="3538">
        <v>44465</v>
      </c>
      <c r="D217" s="190">
        <v>29946</v>
      </c>
      <c r="E217" s="456">
        <v>938741</v>
      </c>
      <c r="F217" s="572">
        <v>2030</v>
      </c>
      <c r="G217" s="71">
        <v>23932</v>
      </c>
      <c r="H217" s="576"/>
      <c r="I217" s="2946"/>
      <c r="J217" s="572">
        <v>35767</v>
      </c>
      <c r="K217" s="71">
        <v>420035</v>
      </c>
      <c r="L217" s="1353"/>
      <c r="M217" s="2939"/>
      <c r="N217" s="456">
        <v>2663.04</v>
      </c>
      <c r="O217" s="2944">
        <v>3124.67</v>
      </c>
      <c r="P217" s="166"/>
      <c r="Q217" s="166"/>
      <c r="R217" s="1339"/>
    </row>
    <row r="218" spans="1:18">
      <c r="A218" s="167">
        <f t="shared" si="0"/>
        <v>2011.05</v>
      </c>
      <c r="B218" s="215">
        <v>79265</v>
      </c>
      <c r="C218" s="3538">
        <v>47746</v>
      </c>
      <c r="D218" s="190">
        <v>31519</v>
      </c>
      <c r="E218" s="456">
        <v>988185</v>
      </c>
      <c r="F218" s="572">
        <v>1633</v>
      </c>
      <c r="G218" s="71">
        <v>18537</v>
      </c>
      <c r="H218" s="576"/>
      <c r="I218" s="2946"/>
      <c r="J218" s="572">
        <v>36724</v>
      </c>
      <c r="K218" s="71">
        <v>424585</v>
      </c>
      <c r="L218" s="1353"/>
      <c r="M218" s="2939"/>
      <c r="N218" s="456">
        <v>3505.7</v>
      </c>
      <c r="O218" s="2944">
        <v>3994.1</v>
      </c>
      <c r="P218" s="166"/>
      <c r="Q218" s="166"/>
      <c r="R218" s="1339"/>
    </row>
    <row r="219" spans="1:18">
      <c r="A219" s="167">
        <f t="shared" si="0"/>
        <v>2011.06</v>
      </c>
      <c r="B219" s="215">
        <v>74056</v>
      </c>
      <c r="C219" s="3538">
        <v>43234</v>
      </c>
      <c r="D219" s="190">
        <v>30822</v>
      </c>
      <c r="E219" s="456">
        <v>887565</v>
      </c>
      <c r="F219" s="572">
        <v>1746</v>
      </c>
      <c r="G219" s="71">
        <v>19863</v>
      </c>
      <c r="H219" s="576"/>
      <c r="I219" s="2946"/>
      <c r="J219" s="572">
        <v>36762</v>
      </c>
      <c r="K219" s="71">
        <v>423663</v>
      </c>
      <c r="L219" s="1353"/>
      <c r="M219" s="2939"/>
      <c r="N219" s="456">
        <v>4171.07</v>
      </c>
      <c r="O219" s="2944">
        <v>4827.03</v>
      </c>
      <c r="P219" s="166"/>
      <c r="Q219" s="166"/>
      <c r="R219" s="1339"/>
    </row>
    <row r="220" spans="1:18">
      <c r="A220" s="167">
        <f t="shared" si="0"/>
        <v>2011.07</v>
      </c>
      <c r="B220" s="215">
        <v>80895</v>
      </c>
      <c r="C220" s="3538">
        <v>47094</v>
      </c>
      <c r="D220" s="190">
        <v>33801</v>
      </c>
      <c r="E220" s="456">
        <v>911313</v>
      </c>
      <c r="F220" s="572">
        <v>1810</v>
      </c>
      <c r="G220" s="71">
        <v>20815</v>
      </c>
      <c r="H220" s="576"/>
      <c r="I220" s="2946"/>
      <c r="J220" s="572">
        <v>37548</v>
      </c>
      <c r="K220" s="71">
        <v>422408</v>
      </c>
      <c r="L220" s="1353"/>
      <c r="M220" s="2939"/>
      <c r="N220" s="456">
        <v>3293.13</v>
      </c>
      <c r="O220" s="2944">
        <v>3635.97</v>
      </c>
      <c r="P220" s="166"/>
      <c r="Q220" s="166"/>
      <c r="R220" s="1339"/>
    </row>
    <row r="221" spans="1:18">
      <c r="A221" s="167">
        <f t="shared" si="0"/>
        <v>2011.08</v>
      </c>
      <c r="B221" s="215">
        <v>84311</v>
      </c>
      <c r="C221" s="3538">
        <v>49356</v>
      </c>
      <c r="D221" s="190">
        <v>34955</v>
      </c>
      <c r="E221" s="456">
        <v>1008599</v>
      </c>
      <c r="F221" s="572">
        <v>1887</v>
      </c>
      <c r="G221" s="71">
        <v>21801</v>
      </c>
      <c r="H221" s="576"/>
      <c r="I221" s="2946"/>
      <c r="J221" s="572">
        <v>38149</v>
      </c>
      <c r="K221" s="71">
        <v>425812</v>
      </c>
      <c r="L221" s="1353"/>
      <c r="M221" s="2939"/>
      <c r="N221" s="456">
        <v>3262.69</v>
      </c>
      <c r="O221" s="2944">
        <v>3656.44</v>
      </c>
      <c r="P221" s="166"/>
      <c r="Q221" s="166"/>
      <c r="R221" s="1339"/>
    </row>
    <row r="222" spans="1:18">
      <c r="A222" s="167">
        <f t="shared" si="0"/>
        <v>2011.09</v>
      </c>
      <c r="B222" s="215">
        <v>91531</v>
      </c>
      <c r="C222" s="3538">
        <v>55995</v>
      </c>
      <c r="D222" s="190">
        <v>35536</v>
      </c>
      <c r="E222" s="456">
        <v>1093892</v>
      </c>
      <c r="F222" s="572">
        <v>1967</v>
      </c>
      <c r="G222" s="71">
        <v>22681</v>
      </c>
      <c r="H222" s="576"/>
      <c r="I222" s="2946"/>
      <c r="J222" s="572">
        <v>37992</v>
      </c>
      <c r="K222" s="71">
        <v>428841</v>
      </c>
      <c r="L222" s="1353"/>
      <c r="M222" s="2939"/>
      <c r="N222" s="456">
        <v>3514.17</v>
      </c>
      <c r="O222" s="2944">
        <v>3863.58</v>
      </c>
      <c r="P222" s="166"/>
      <c r="Q222" s="166"/>
      <c r="R222" s="1339"/>
    </row>
    <row r="223" spans="1:18">
      <c r="A223" s="167">
        <f t="shared" si="0"/>
        <v>2011.1</v>
      </c>
      <c r="B223" s="215">
        <v>75635</v>
      </c>
      <c r="C223" s="3538">
        <v>48788</v>
      </c>
      <c r="D223" s="190">
        <v>26847</v>
      </c>
      <c r="E223" s="456">
        <v>1002307</v>
      </c>
      <c r="F223" s="572">
        <v>2026</v>
      </c>
      <c r="G223" s="71">
        <v>23326</v>
      </c>
      <c r="H223" s="1353"/>
      <c r="I223" s="2939"/>
      <c r="J223" s="572">
        <v>37959</v>
      </c>
      <c r="K223" s="71">
        <v>433984</v>
      </c>
      <c r="L223" s="1353"/>
      <c r="M223" s="2939"/>
      <c r="N223" s="456">
        <v>3413.1</v>
      </c>
      <c r="O223" s="2944">
        <v>3859.85</v>
      </c>
      <c r="P223" s="166"/>
      <c r="Q223" s="166"/>
      <c r="R223" s="1339"/>
    </row>
    <row r="224" spans="1:18">
      <c r="A224" s="167">
        <f t="shared" si="0"/>
        <v>2011.11</v>
      </c>
      <c r="B224" s="215">
        <v>81973</v>
      </c>
      <c r="C224" s="3538">
        <v>48396</v>
      </c>
      <c r="D224" s="190">
        <v>33577</v>
      </c>
      <c r="E224" s="456">
        <v>1049969</v>
      </c>
      <c r="F224" s="572">
        <v>2076</v>
      </c>
      <c r="G224" s="71">
        <v>23976</v>
      </c>
      <c r="H224" s="1353"/>
      <c r="I224" s="2939"/>
      <c r="J224" s="572">
        <v>38592</v>
      </c>
      <c r="K224" s="71">
        <v>438360</v>
      </c>
      <c r="L224" s="1353"/>
      <c r="M224" s="2939"/>
      <c r="N224" s="456">
        <v>3499.1</v>
      </c>
      <c r="O224" s="2944">
        <v>3987.7</v>
      </c>
      <c r="P224" s="166"/>
      <c r="Q224" s="166"/>
      <c r="R224" s="1339"/>
    </row>
    <row r="225" spans="1:18">
      <c r="A225" s="167">
        <f t="shared" si="0"/>
        <v>2011.12</v>
      </c>
      <c r="B225" s="215">
        <v>75564</v>
      </c>
      <c r="C225" s="3538">
        <v>45496</v>
      </c>
      <c r="D225" s="190">
        <v>30068</v>
      </c>
      <c r="E225" s="456">
        <v>922969</v>
      </c>
      <c r="F225" s="572">
        <v>2111</v>
      </c>
      <c r="G225" s="71">
        <v>24359</v>
      </c>
      <c r="H225" s="1353"/>
      <c r="I225" s="2939"/>
      <c r="J225" s="572">
        <v>37460</v>
      </c>
      <c r="K225" s="71">
        <v>418556</v>
      </c>
      <c r="L225" s="1353"/>
      <c r="M225" s="2939"/>
      <c r="N225" s="456">
        <v>4919.09</v>
      </c>
      <c r="O225" s="2944">
        <v>5669.73</v>
      </c>
      <c r="P225" s="166"/>
      <c r="Q225" s="166"/>
      <c r="R225" s="1339"/>
    </row>
    <row r="226" spans="1:18">
      <c r="A226" s="167">
        <f t="shared" si="0"/>
        <v>2012.01</v>
      </c>
      <c r="B226" s="215">
        <v>65876</v>
      </c>
      <c r="C226" s="3538">
        <v>40392</v>
      </c>
      <c r="D226" s="190">
        <v>25484</v>
      </c>
      <c r="E226" s="456">
        <v>860798</v>
      </c>
      <c r="F226" s="572">
        <v>2158</v>
      </c>
      <c r="G226" s="71">
        <v>24800</v>
      </c>
      <c r="H226" s="1353"/>
      <c r="I226" s="2939"/>
      <c r="J226" s="572">
        <v>37451</v>
      </c>
      <c r="K226" s="71">
        <v>410110</v>
      </c>
      <c r="L226" s="1353"/>
      <c r="M226" s="2939"/>
      <c r="N226" s="456">
        <v>3707.03</v>
      </c>
      <c r="O226" s="2944">
        <v>4158.92</v>
      </c>
      <c r="P226" s="166"/>
      <c r="Q226" s="166"/>
      <c r="R226" s="1339"/>
    </row>
    <row r="227" spans="1:18">
      <c r="A227" s="167">
        <f t="shared" si="0"/>
        <v>2012.02</v>
      </c>
      <c r="B227" s="215">
        <v>57253</v>
      </c>
      <c r="C227" s="3538">
        <v>35538</v>
      </c>
      <c r="D227" s="190">
        <v>21715</v>
      </c>
      <c r="E227" s="456">
        <v>763164</v>
      </c>
      <c r="F227" s="572">
        <v>2192</v>
      </c>
      <c r="G227" s="71">
        <v>25084</v>
      </c>
      <c r="H227" s="1353"/>
      <c r="I227" s="2939"/>
      <c r="J227" s="572">
        <v>37634</v>
      </c>
      <c r="K227" s="71">
        <v>408874</v>
      </c>
      <c r="L227" s="1353"/>
      <c r="M227" s="2939"/>
      <c r="N227" s="456">
        <v>3595.75</v>
      </c>
      <c r="O227" s="2944">
        <v>4150.67</v>
      </c>
      <c r="P227" s="166"/>
      <c r="Q227" s="166"/>
      <c r="R227" s="1339"/>
    </row>
    <row r="228" spans="1:18">
      <c r="A228" s="167">
        <f t="shared" si="0"/>
        <v>2012.03</v>
      </c>
      <c r="B228" s="215">
        <v>57400</v>
      </c>
      <c r="C228" s="3538">
        <v>33394</v>
      </c>
      <c r="D228" s="190">
        <v>24006</v>
      </c>
      <c r="E228" s="456">
        <v>952811</v>
      </c>
      <c r="F228" s="572">
        <v>2216</v>
      </c>
      <c r="G228" s="71">
        <v>25504</v>
      </c>
      <c r="H228" s="1353"/>
      <c r="I228" s="2939"/>
      <c r="J228" s="572">
        <v>37941</v>
      </c>
      <c r="K228" s="71">
        <v>416504</v>
      </c>
      <c r="L228" s="1353"/>
      <c r="M228" s="2939"/>
      <c r="N228" s="456">
        <v>3790.13</v>
      </c>
      <c r="O228" s="2944">
        <v>4353.6099999999997</v>
      </c>
      <c r="P228" s="166"/>
      <c r="Q228" s="166"/>
      <c r="R228" s="1339"/>
    </row>
    <row r="229" spans="1:18">
      <c r="A229" s="167">
        <f t="shared" si="0"/>
        <v>2012.04</v>
      </c>
      <c r="B229" s="215">
        <v>64655</v>
      </c>
      <c r="C229" s="3538">
        <v>40514</v>
      </c>
      <c r="D229" s="190">
        <v>24141</v>
      </c>
      <c r="E229" s="456">
        <v>782378</v>
      </c>
      <c r="F229" s="572">
        <v>2243</v>
      </c>
      <c r="G229" s="71">
        <v>25869</v>
      </c>
      <c r="H229" s="1353"/>
      <c r="I229" s="2939"/>
      <c r="J229" s="572">
        <v>36843</v>
      </c>
      <c r="K229" s="71">
        <v>410756</v>
      </c>
      <c r="L229" s="1353"/>
      <c r="M229" s="2939"/>
      <c r="N229" s="456">
        <v>3716.9</v>
      </c>
      <c r="O229" s="2944">
        <v>4238.08</v>
      </c>
      <c r="P229" s="166"/>
      <c r="Q229" s="166"/>
      <c r="R229" s="1339"/>
    </row>
    <row r="230" spans="1:18">
      <c r="A230" s="167">
        <f t="shared" si="0"/>
        <v>2012.05</v>
      </c>
      <c r="B230" s="215">
        <v>67533</v>
      </c>
      <c r="C230" s="3538">
        <v>43040</v>
      </c>
      <c r="D230" s="190">
        <v>24493</v>
      </c>
      <c r="E230" s="456">
        <v>871478</v>
      </c>
      <c r="F230" s="572">
        <v>1725</v>
      </c>
      <c r="G230" s="71">
        <v>18974</v>
      </c>
      <c r="H230" s="1353"/>
      <c r="I230" s="2939"/>
      <c r="J230" s="572">
        <v>36435</v>
      </c>
      <c r="K230" s="71">
        <v>409934</v>
      </c>
      <c r="L230" s="1353"/>
      <c r="M230" s="2939"/>
      <c r="N230" s="456">
        <v>3568.55</v>
      </c>
      <c r="O230" s="2944">
        <v>4196.47</v>
      </c>
      <c r="P230" s="166"/>
      <c r="Q230" s="166"/>
      <c r="R230" s="1339"/>
    </row>
    <row r="231" spans="1:18">
      <c r="A231" s="167">
        <f t="shared" si="0"/>
        <v>2012.06</v>
      </c>
      <c r="B231" s="215">
        <v>71984</v>
      </c>
      <c r="C231" s="3538">
        <v>44068</v>
      </c>
      <c r="D231" s="190">
        <v>27916</v>
      </c>
      <c r="E231" s="456">
        <v>888090</v>
      </c>
      <c r="F231" s="572">
        <v>1820</v>
      </c>
      <c r="G231" s="71">
        <v>20224</v>
      </c>
      <c r="H231" s="1353"/>
      <c r="I231" s="2939"/>
      <c r="J231" s="572">
        <v>35879</v>
      </c>
      <c r="K231" s="71">
        <v>403197</v>
      </c>
      <c r="L231" s="1353"/>
      <c r="M231" s="2939"/>
      <c r="N231" s="456">
        <v>5594.04</v>
      </c>
      <c r="O231" s="2944">
        <v>6375.24</v>
      </c>
      <c r="P231" s="166"/>
      <c r="Q231" s="166"/>
      <c r="R231" s="1339"/>
    </row>
    <row r="232" spans="1:18">
      <c r="A232" s="167">
        <f t="shared" si="0"/>
        <v>2012.07</v>
      </c>
      <c r="B232" s="215">
        <v>74949</v>
      </c>
      <c r="C232" s="3538">
        <v>46752</v>
      </c>
      <c r="D232" s="190">
        <v>28197</v>
      </c>
      <c r="E232" s="456">
        <v>904169</v>
      </c>
      <c r="F232" s="572">
        <v>1883</v>
      </c>
      <c r="G232" s="71">
        <v>21111</v>
      </c>
      <c r="H232" s="1353"/>
      <c r="I232" s="2939"/>
      <c r="J232" s="572">
        <v>35267</v>
      </c>
      <c r="K232" s="71">
        <v>398674</v>
      </c>
      <c r="L232" s="1353"/>
      <c r="M232" s="2939"/>
      <c r="N232" s="456">
        <v>4975.25</v>
      </c>
      <c r="O232" s="2944">
        <v>5665.51</v>
      </c>
      <c r="P232" s="166"/>
      <c r="Q232" s="166"/>
      <c r="R232" s="1339"/>
    </row>
    <row r="233" spans="1:18">
      <c r="A233" s="167">
        <f t="shared" si="0"/>
        <v>2012.08</v>
      </c>
      <c r="B233" s="215">
        <v>64861</v>
      </c>
      <c r="C233" s="3538">
        <v>42997</v>
      </c>
      <c r="D233" s="190">
        <v>21865</v>
      </c>
      <c r="E233" s="456">
        <v>841124</v>
      </c>
      <c r="F233" s="572">
        <v>1953</v>
      </c>
      <c r="G233" s="71">
        <v>22010</v>
      </c>
      <c r="H233" s="1353"/>
      <c r="I233" s="2939"/>
      <c r="J233" s="572">
        <v>35052</v>
      </c>
      <c r="K233" s="71">
        <v>398270</v>
      </c>
      <c r="L233" s="1353"/>
      <c r="M233" s="2939"/>
      <c r="N233" s="456">
        <v>4357.8100000000004</v>
      </c>
      <c r="O233" s="2944">
        <v>5048.5200000000004</v>
      </c>
      <c r="P233" s="166"/>
      <c r="Q233" s="166"/>
      <c r="R233" s="1339"/>
    </row>
    <row r="234" spans="1:18">
      <c r="A234" s="167">
        <f t="shared" si="0"/>
        <v>2012.09</v>
      </c>
      <c r="B234" s="215">
        <v>63236</v>
      </c>
      <c r="C234" s="3538">
        <v>41393</v>
      </c>
      <c r="D234" s="190">
        <v>21843</v>
      </c>
      <c r="E234" s="456">
        <v>889649</v>
      </c>
      <c r="F234" s="572">
        <v>1992</v>
      </c>
      <c r="G234" s="71">
        <v>22557</v>
      </c>
      <c r="H234" s="1353"/>
      <c r="I234" s="2939"/>
      <c r="J234" s="572">
        <v>34100</v>
      </c>
      <c r="K234" s="71">
        <v>394900</v>
      </c>
      <c r="L234" s="1353"/>
      <c r="M234" s="2939"/>
      <c r="N234" s="456">
        <v>3946.8232284568312</v>
      </c>
      <c r="O234" s="2944">
        <v>4789.67</v>
      </c>
      <c r="P234" s="166"/>
      <c r="Q234" s="166"/>
      <c r="R234" s="1339"/>
    </row>
    <row r="235" spans="1:18">
      <c r="A235" s="167">
        <f t="shared" si="0"/>
        <v>2012.1</v>
      </c>
      <c r="B235" s="215">
        <v>66755</v>
      </c>
      <c r="C235" s="3538">
        <v>46180</v>
      </c>
      <c r="D235" s="190">
        <v>20575</v>
      </c>
      <c r="E235" s="456">
        <v>954609</v>
      </c>
      <c r="F235" s="572">
        <v>2043</v>
      </c>
      <c r="G235" s="71">
        <v>23231</v>
      </c>
      <c r="H235" s="1353"/>
      <c r="I235" s="2939"/>
      <c r="J235" s="572">
        <v>34386</v>
      </c>
      <c r="K235" s="71">
        <v>401528</v>
      </c>
      <c r="L235" s="1353"/>
      <c r="M235" s="2939"/>
      <c r="N235" s="456">
        <v>4185.4129339970796</v>
      </c>
      <c r="O235" s="2944">
        <v>5045.43</v>
      </c>
      <c r="P235" s="166"/>
      <c r="Q235" s="166"/>
      <c r="R235" s="1339"/>
    </row>
    <row r="236" spans="1:18">
      <c r="A236" s="167">
        <f t="shared" si="0"/>
        <v>2012.11</v>
      </c>
      <c r="B236" s="215">
        <v>73211</v>
      </c>
      <c r="C236" s="3538">
        <v>48470</v>
      </c>
      <c r="D236" s="190">
        <v>24741</v>
      </c>
      <c r="E236" s="456">
        <v>959567</v>
      </c>
      <c r="F236" s="572">
        <v>2099</v>
      </c>
      <c r="G236" s="71">
        <v>23790</v>
      </c>
      <c r="H236" s="1353"/>
      <c r="I236" s="2939"/>
      <c r="J236" s="572">
        <v>34249</v>
      </c>
      <c r="K236" s="71">
        <v>400792</v>
      </c>
      <c r="L236" s="1353"/>
      <c r="M236" s="2939"/>
      <c r="N236" s="456">
        <v>4234.1375702988053</v>
      </c>
      <c r="O236" s="2944">
        <v>5101.38</v>
      </c>
      <c r="P236" s="166"/>
      <c r="Q236" s="166"/>
      <c r="R236" s="1339"/>
    </row>
    <row r="237" spans="1:18">
      <c r="A237" s="167">
        <f t="shared" si="0"/>
        <v>2012.12</v>
      </c>
      <c r="B237" s="215">
        <v>53603</v>
      </c>
      <c r="C237" s="3538">
        <v>36525</v>
      </c>
      <c r="D237" s="190">
        <v>17079</v>
      </c>
      <c r="E237" s="456">
        <v>787914</v>
      </c>
      <c r="F237" s="572">
        <v>2127</v>
      </c>
      <c r="G237" s="71">
        <v>24164</v>
      </c>
      <c r="H237" s="1353"/>
      <c r="I237" s="2939"/>
      <c r="J237" s="572">
        <v>32532</v>
      </c>
      <c r="K237" s="71">
        <v>384715</v>
      </c>
      <c r="L237" s="1353"/>
      <c r="M237" s="2939"/>
      <c r="N237" s="456">
        <v>5867.11</v>
      </c>
      <c r="O237" s="2944">
        <v>7303.04</v>
      </c>
      <c r="P237" s="166"/>
      <c r="Q237" s="166"/>
      <c r="R237" s="1339"/>
    </row>
    <row r="238" spans="1:18">
      <c r="A238" s="167">
        <f t="shared" si="0"/>
        <v>2013.01</v>
      </c>
      <c r="B238" s="215">
        <v>71356</v>
      </c>
      <c r="C238" s="3538">
        <v>48394</v>
      </c>
      <c r="D238" s="190">
        <v>22962</v>
      </c>
      <c r="E238" s="456">
        <v>888602</v>
      </c>
      <c r="F238" s="572">
        <v>2163</v>
      </c>
      <c r="G238" s="71">
        <v>24554</v>
      </c>
      <c r="H238" s="1353"/>
      <c r="I238" s="2939"/>
      <c r="J238" s="572">
        <v>33424</v>
      </c>
      <c r="K238" s="71">
        <v>383264</v>
      </c>
      <c r="L238" s="1353"/>
      <c r="M238" s="2939"/>
      <c r="N238" s="456">
        <v>4361.3</v>
      </c>
      <c r="O238" s="2944">
        <v>5214.7299999999996</v>
      </c>
      <c r="P238" s="166"/>
      <c r="Q238" s="166"/>
      <c r="R238" s="1339"/>
    </row>
    <row r="239" spans="1:18">
      <c r="A239" s="167">
        <f t="shared" si="0"/>
        <v>2013.02</v>
      </c>
      <c r="B239" s="215">
        <v>59164</v>
      </c>
      <c r="C239" s="3538">
        <v>40868</v>
      </c>
      <c r="D239" s="190">
        <v>18296</v>
      </c>
      <c r="E239" s="456">
        <v>809267</v>
      </c>
      <c r="F239" s="572">
        <v>2183</v>
      </c>
      <c r="G239" s="71">
        <v>24805</v>
      </c>
      <c r="H239" s="1353"/>
      <c r="I239" s="2939"/>
      <c r="J239" s="572">
        <v>33597</v>
      </c>
      <c r="K239" s="71">
        <v>386889</v>
      </c>
      <c r="L239" s="1353"/>
      <c r="M239" s="2939"/>
      <c r="N239" s="456">
        <v>4106.43</v>
      </c>
      <c r="O239" s="2944">
        <v>5028.1899999999996</v>
      </c>
      <c r="P239" s="166"/>
      <c r="Q239" s="166"/>
      <c r="R239" s="1339"/>
    </row>
    <row r="240" spans="1:18">
      <c r="A240" s="167">
        <f t="shared" si="0"/>
        <v>2013.03</v>
      </c>
      <c r="B240" s="215">
        <v>68581</v>
      </c>
      <c r="C240" s="3538">
        <v>44032</v>
      </c>
      <c r="D240" s="190">
        <v>24549</v>
      </c>
      <c r="E240" s="456">
        <v>915326</v>
      </c>
      <c r="F240" s="572">
        <v>2224</v>
      </c>
      <c r="G240" s="71">
        <v>25239</v>
      </c>
      <c r="H240" s="1353"/>
      <c r="I240" s="2939"/>
      <c r="J240" s="572">
        <v>34263</v>
      </c>
      <c r="K240" s="71">
        <v>394314</v>
      </c>
      <c r="L240" s="1353"/>
      <c r="M240" s="2939"/>
      <c r="N240" s="456">
        <v>4552.84</v>
      </c>
      <c r="O240" s="2944">
        <v>5356.25</v>
      </c>
      <c r="P240" s="166"/>
      <c r="Q240" s="166"/>
      <c r="R240" s="1339"/>
    </row>
    <row r="241" spans="1:18">
      <c r="A241" s="167">
        <f t="shared" si="0"/>
        <v>2013.04</v>
      </c>
      <c r="B241" s="215">
        <v>73516</v>
      </c>
      <c r="C241" s="3538">
        <v>48045</v>
      </c>
      <c r="D241" s="190">
        <v>25471</v>
      </c>
      <c r="E241" s="456">
        <v>946722</v>
      </c>
      <c r="F241" s="572">
        <v>2272</v>
      </c>
      <c r="G241" s="71">
        <v>25662</v>
      </c>
      <c r="H241" s="1353"/>
      <c r="I241" s="2939"/>
      <c r="J241" s="572">
        <v>34147</v>
      </c>
      <c r="K241" s="71">
        <v>400481</v>
      </c>
      <c r="L241" s="1353"/>
      <c r="M241" s="2939"/>
      <c r="N241" s="456">
        <v>4777.68</v>
      </c>
      <c r="O241" s="2944">
        <v>5497.51</v>
      </c>
      <c r="P241" s="166"/>
      <c r="Q241" s="166"/>
      <c r="R241" s="1339"/>
    </row>
    <row r="242" spans="1:18">
      <c r="A242" s="167">
        <f t="shared" ref="A242:A306" si="1">A230+1</f>
        <v>2013.05</v>
      </c>
      <c r="B242" s="215">
        <v>73511</v>
      </c>
      <c r="C242" s="3538">
        <v>48220</v>
      </c>
      <c r="D242" s="190">
        <v>25291</v>
      </c>
      <c r="E242" s="456">
        <v>998196</v>
      </c>
      <c r="F242" s="572">
        <v>1847</v>
      </c>
      <c r="G242" s="71">
        <v>20313</v>
      </c>
      <c r="H242" s="1353"/>
      <c r="I242" s="2939"/>
      <c r="J242" s="572">
        <v>34321</v>
      </c>
      <c r="K242" s="71">
        <v>400549</v>
      </c>
      <c r="L242" s="1353"/>
      <c r="M242" s="2939"/>
      <c r="N242" s="456">
        <v>4790.58</v>
      </c>
      <c r="O242" s="2944">
        <v>5492.11</v>
      </c>
      <c r="P242" s="166"/>
      <c r="Q242" s="166"/>
      <c r="R242" s="1339"/>
    </row>
    <row r="243" spans="1:18">
      <c r="A243" s="167">
        <f t="shared" si="1"/>
        <v>2013.06</v>
      </c>
      <c r="B243" s="215">
        <v>72709</v>
      </c>
      <c r="C243" s="3538">
        <v>46786</v>
      </c>
      <c r="D243" s="190">
        <v>25923</v>
      </c>
      <c r="E243" s="456">
        <v>913744</v>
      </c>
      <c r="F243" s="572">
        <v>1916</v>
      </c>
      <c r="G243" s="71">
        <v>21195</v>
      </c>
      <c r="H243" s="1353"/>
      <c r="I243" s="2939"/>
      <c r="J243" s="572">
        <v>33630</v>
      </c>
      <c r="K243" s="71">
        <v>393924</v>
      </c>
      <c r="L243" s="1353"/>
      <c r="M243" s="2939"/>
      <c r="N243" s="456">
        <v>6983.74</v>
      </c>
      <c r="O243" s="2944">
        <v>8070.92</v>
      </c>
      <c r="P243" s="166"/>
      <c r="Q243" s="166"/>
      <c r="R243" s="1339"/>
    </row>
    <row r="244" spans="1:18">
      <c r="A244" s="167">
        <f t="shared" si="1"/>
        <v>2013.07</v>
      </c>
      <c r="B244" s="215">
        <v>79222</v>
      </c>
      <c r="C244" s="3538">
        <v>51428</v>
      </c>
      <c r="D244" s="190">
        <v>27794</v>
      </c>
      <c r="E244" s="456">
        <v>1004648</v>
      </c>
      <c r="F244" s="572">
        <v>1996</v>
      </c>
      <c r="G244" s="71">
        <v>22056</v>
      </c>
      <c r="H244" s="1353"/>
      <c r="I244" s="2939"/>
      <c r="J244" s="572">
        <v>33965</v>
      </c>
      <c r="K244" s="71">
        <v>397754</v>
      </c>
      <c r="L244" s="1353"/>
      <c r="M244" s="2939"/>
      <c r="N244" s="456">
        <v>5642.57</v>
      </c>
      <c r="O244" s="2944">
        <v>6251.76</v>
      </c>
      <c r="P244" s="166"/>
      <c r="Q244" s="166"/>
      <c r="R244" s="1339"/>
    </row>
    <row r="245" spans="1:18">
      <c r="A245" s="167">
        <f t="shared" si="1"/>
        <v>2013.08</v>
      </c>
      <c r="B245" s="215">
        <v>87266</v>
      </c>
      <c r="C245" s="3538">
        <v>54860</v>
      </c>
      <c r="D245" s="190">
        <v>32406</v>
      </c>
      <c r="E245" s="456">
        <v>1071257</v>
      </c>
      <c r="F245" s="572">
        <v>2056</v>
      </c>
      <c r="G245" s="71">
        <v>22780</v>
      </c>
      <c r="H245" s="1353"/>
      <c r="I245" s="2939"/>
      <c r="J245" s="572">
        <v>33417</v>
      </c>
      <c r="K245" s="71">
        <v>400205</v>
      </c>
      <c r="L245" s="1353"/>
      <c r="M245" s="2939"/>
      <c r="N245" s="456">
        <v>5577.27</v>
      </c>
      <c r="O245" s="2944">
        <v>6103.32</v>
      </c>
      <c r="P245" s="166"/>
      <c r="Q245" s="166"/>
      <c r="R245" s="1339"/>
    </row>
    <row r="246" spans="1:18">
      <c r="A246" s="167">
        <f t="shared" si="1"/>
        <v>2013.09</v>
      </c>
      <c r="B246" s="215">
        <v>87790</v>
      </c>
      <c r="C246" s="3538">
        <v>56016</v>
      </c>
      <c r="D246" s="190">
        <v>31774</v>
      </c>
      <c r="E246" s="456">
        <v>1042359</v>
      </c>
      <c r="F246" s="572">
        <v>2105</v>
      </c>
      <c r="G246" s="71">
        <v>23464</v>
      </c>
      <c r="H246" s="1353"/>
      <c r="I246" s="2939"/>
      <c r="J246" s="572">
        <v>33481</v>
      </c>
      <c r="K246" s="71">
        <v>402343</v>
      </c>
      <c r="L246" s="1353"/>
      <c r="M246" s="2939"/>
      <c r="N246" s="456">
        <v>5342.75</v>
      </c>
      <c r="O246" s="2944">
        <v>5814.42</v>
      </c>
      <c r="P246" s="166"/>
      <c r="Q246" s="166"/>
      <c r="R246" s="1339"/>
    </row>
    <row r="247" spans="1:18">
      <c r="A247" s="167">
        <f t="shared" si="1"/>
        <v>2013.1</v>
      </c>
      <c r="B247" s="215">
        <v>92614</v>
      </c>
      <c r="C247" s="3538">
        <v>60100</v>
      </c>
      <c r="D247" s="190">
        <v>32514</v>
      </c>
      <c r="E247" s="456">
        <v>1136672</v>
      </c>
      <c r="F247" s="572">
        <v>2154</v>
      </c>
      <c r="G247" s="71">
        <v>24135</v>
      </c>
      <c r="H247" s="1353"/>
      <c r="I247" s="2939"/>
      <c r="J247" s="572">
        <v>33730</v>
      </c>
      <c r="K247" s="71">
        <v>409888</v>
      </c>
      <c r="L247" s="1353"/>
      <c r="M247" s="2939"/>
      <c r="N247" s="456">
        <v>5615.54</v>
      </c>
      <c r="O247" s="2944">
        <v>6271.93</v>
      </c>
      <c r="P247" s="166"/>
      <c r="Q247" s="166"/>
      <c r="R247" s="1339"/>
    </row>
    <row r="248" spans="1:18">
      <c r="A248" s="167">
        <f t="shared" si="1"/>
        <v>2013.11</v>
      </c>
      <c r="B248" s="215">
        <v>80109</v>
      </c>
      <c r="C248" s="3538">
        <v>53830</v>
      </c>
      <c r="D248" s="190">
        <v>26280</v>
      </c>
      <c r="E248" s="456">
        <v>1046488</v>
      </c>
      <c r="F248" s="572">
        <v>2187</v>
      </c>
      <c r="G248" s="71">
        <v>24654</v>
      </c>
      <c r="H248" s="1353"/>
      <c r="I248" s="2939"/>
      <c r="J248" s="572">
        <v>33863</v>
      </c>
      <c r="K248" s="71">
        <v>404092</v>
      </c>
      <c r="L248" s="1353"/>
      <c r="M248" s="2939"/>
      <c r="N248" s="456">
        <v>5314.43</v>
      </c>
      <c r="O248" s="2944">
        <v>5987.9</v>
      </c>
      <c r="P248" s="166"/>
      <c r="Q248" s="166"/>
      <c r="R248" s="1339"/>
    </row>
    <row r="249" spans="1:18">
      <c r="A249" s="167">
        <f t="shared" si="1"/>
        <v>2013.12</v>
      </c>
      <c r="B249" s="215">
        <v>72370</v>
      </c>
      <c r="C249" s="3538">
        <v>46237</v>
      </c>
      <c r="D249" s="190">
        <v>26134</v>
      </c>
      <c r="E249" s="456">
        <v>914744</v>
      </c>
      <c r="F249" s="572">
        <v>2217</v>
      </c>
      <c r="G249" s="71">
        <v>25049</v>
      </c>
      <c r="H249" s="1353"/>
      <c r="I249" s="2939"/>
      <c r="J249" s="572">
        <v>33388</v>
      </c>
      <c r="K249" s="71">
        <v>387510</v>
      </c>
      <c r="L249" s="1353"/>
      <c r="M249" s="2939"/>
      <c r="N249" s="456">
        <v>7769.78</v>
      </c>
      <c r="O249" s="2944">
        <v>8789.9</v>
      </c>
      <c r="P249" s="166"/>
      <c r="Q249" s="166"/>
      <c r="R249" s="1339"/>
    </row>
    <row r="250" spans="1:18">
      <c r="A250" s="167">
        <f t="shared" si="1"/>
        <v>2014.01</v>
      </c>
      <c r="B250" s="215">
        <v>71424</v>
      </c>
      <c r="C250" s="3538">
        <v>48864</v>
      </c>
      <c r="D250" s="190">
        <v>22560</v>
      </c>
      <c r="E250" s="456">
        <v>910318</v>
      </c>
      <c r="F250" s="572">
        <v>2255</v>
      </c>
      <c r="G250" s="71">
        <v>25377</v>
      </c>
      <c r="H250" s="1353"/>
      <c r="I250" s="2939"/>
      <c r="J250" s="572">
        <v>33301</v>
      </c>
      <c r="K250" s="71">
        <v>381368</v>
      </c>
      <c r="L250" s="1353"/>
      <c r="M250" s="2939"/>
      <c r="N250" s="456">
        <v>5481.23</v>
      </c>
      <c r="O250" s="2944">
        <v>6151.3</v>
      </c>
      <c r="P250" s="166"/>
      <c r="Q250" s="166"/>
      <c r="R250" s="1339"/>
    </row>
    <row r="251" spans="1:18">
      <c r="A251" s="167">
        <f t="shared" si="1"/>
        <v>2014.02</v>
      </c>
      <c r="B251" s="215">
        <v>53417</v>
      </c>
      <c r="C251" s="3538">
        <v>34634</v>
      </c>
      <c r="D251" s="190">
        <v>18783</v>
      </c>
      <c r="E251" s="456">
        <v>783917</v>
      </c>
      <c r="F251" s="572">
        <v>2273</v>
      </c>
      <c r="G251" s="71">
        <v>25556</v>
      </c>
      <c r="H251" s="1353"/>
      <c r="I251" s="2939"/>
      <c r="J251" s="572">
        <v>33079</v>
      </c>
      <c r="K251" s="71">
        <v>380439</v>
      </c>
      <c r="L251" s="1353"/>
      <c r="M251" s="2939"/>
      <c r="N251" s="456">
        <v>5115.1400000000003</v>
      </c>
      <c r="O251" s="2944">
        <v>5823.8</v>
      </c>
      <c r="P251" s="166"/>
      <c r="Q251" s="166"/>
      <c r="R251" s="1339"/>
    </row>
    <row r="252" spans="1:18">
      <c r="A252" s="167">
        <f t="shared" si="1"/>
        <v>2014.03</v>
      </c>
      <c r="B252" s="215">
        <v>70511</v>
      </c>
      <c r="C252" s="3538">
        <v>44990</v>
      </c>
      <c r="D252" s="190">
        <v>25521</v>
      </c>
      <c r="E252" s="456">
        <v>898807</v>
      </c>
      <c r="F252" s="572">
        <v>2289</v>
      </c>
      <c r="G252" s="71">
        <v>25750</v>
      </c>
      <c r="H252" s="1353"/>
      <c r="I252" s="2939"/>
      <c r="J252" s="572">
        <v>32762</v>
      </c>
      <c r="K252" s="71">
        <v>384018</v>
      </c>
      <c r="L252" s="1353"/>
      <c r="M252" s="2939"/>
      <c r="N252" s="456">
        <v>5518.09</v>
      </c>
      <c r="O252" s="2944">
        <v>6300.46</v>
      </c>
      <c r="P252" s="166"/>
      <c r="Q252" s="166"/>
      <c r="R252" s="1339"/>
    </row>
    <row r="253" spans="1:18">
      <c r="A253" s="167">
        <f t="shared" si="1"/>
        <v>2014.04</v>
      </c>
      <c r="B253" s="215">
        <v>71546</v>
      </c>
      <c r="C253" s="3538">
        <v>45496</v>
      </c>
      <c r="D253" s="190">
        <v>26050</v>
      </c>
      <c r="E253" s="456">
        <v>895697</v>
      </c>
      <c r="F253" s="572">
        <v>2288</v>
      </c>
      <c r="G253" s="71">
        <v>25963</v>
      </c>
      <c r="H253" s="1353"/>
      <c r="I253" s="2939"/>
      <c r="J253" s="572">
        <v>32521</v>
      </c>
      <c r="K253" s="71">
        <v>382339</v>
      </c>
      <c r="L253" s="1353"/>
      <c r="M253" s="2939"/>
      <c r="N253" s="456">
        <v>6497.88</v>
      </c>
      <c r="O253" s="2944">
        <v>7066.8</v>
      </c>
      <c r="P253" s="166"/>
      <c r="Q253" s="166"/>
      <c r="R253" s="1339"/>
    </row>
    <row r="254" spans="1:18">
      <c r="A254" s="167">
        <f t="shared" si="1"/>
        <v>2014.05</v>
      </c>
      <c r="B254" s="215">
        <v>73960</v>
      </c>
      <c r="C254" s="3538">
        <v>46834</v>
      </c>
      <c r="D254" s="190">
        <v>27126</v>
      </c>
      <c r="E254" s="456">
        <v>920093</v>
      </c>
      <c r="F254" s="572">
        <v>1632</v>
      </c>
      <c r="G254" s="71">
        <v>17832</v>
      </c>
      <c r="H254" s="1353"/>
      <c r="I254" s="2939"/>
      <c r="J254" s="572">
        <v>32941</v>
      </c>
      <c r="K254" s="71">
        <v>387072</v>
      </c>
      <c r="L254" s="1353"/>
      <c r="M254" s="2939"/>
      <c r="N254" s="456">
        <v>6763.42</v>
      </c>
      <c r="O254" s="2944">
        <v>7387.83</v>
      </c>
      <c r="P254" s="166"/>
      <c r="Q254" s="166"/>
      <c r="R254" s="1339"/>
    </row>
    <row r="255" spans="1:18">
      <c r="A255" s="167">
        <f t="shared" si="1"/>
        <v>2014.06</v>
      </c>
      <c r="B255" s="215">
        <v>75655</v>
      </c>
      <c r="C255" s="3538">
        <v>46566</v>
      </c>
      <c r="D255" s="190">
        <v>29089</v>
      </c>
      <c r="E255" s="456">
        <v>886097</v>
      </c>
      <c r="F255" s="572">
        <v>1724</v>
      </c>
      <c r="G255" s="71">
        <v>19079</v>
      </c>
      <c r="H255" s="1353"/>
      <c r="I255" s="2939"/>
      <c r="J255" s="572">
        <v>33110</v>
      </c>
      <c r="K255" s="71">
        <v>387041</v>
      </c>
      <c r="L255" s="1353"/>
      <c r="M255" s="2939"/>
      <c r="N255" s="456">
        <v>8990.77</v>
      </c>
      <c r="O255" s="2944">
        <v>9929.42</v>
      </c>
      <c r="P255" s="166"/>
      <c r="Q255" s="166"/>
      <c r="R255" s="1339"/>
    </row>
    <row r="256" spans="1:18">
      <c r="A256" s="167">
        <f t="shared" si="1"/>
        <v>2014.07</v>
      </c>
      <c r="B256" s="215">
        <v>77542</v>
      </c>
      <c r="C256" s="3538">
        <v>49232</v>
      </c>
      <c r="D256" s="190">
        <v>28310</v>
      </c>
      <c r="E256" s="456">
        <v>949904</v>
      </c>
      <c r="F256" s="572">
        <v>1809</v>
      </c>
      <c r="G256" s="71">
        <v>20094</v>
      </c>
      <c r="H256" s="1353"/>
      <c r="I256" s="2939"/>
      <c r="J256" s="572">
        <v>33099</v>
      </c>
      <c r="K256" s="71">
        <v>389194</v>
      </c>
      <c r="L256" s="1353"/>
      <c r="M256" s="2939"/>
      <c r="N256" s="456">
        <v>7170.37</v>
      </c>
      <c r="O256" s="2944">
        <v>7795.58</v>
      </c>
      <c r="P256" s="166"/>
      <c r="Q256" s="166"/>
      <c r="R256" s="1339"/>
    </row>
    <row r="257" spans="1:18">
      <c r="A257" s="167">
        <f t="shared" si="1"/>
        <v>2014.08</v>
      </c>
      <c r="B257" s="215">
        <v>83732</v>
      </c>
      <c r="C257" s="3538">
        <v>52684</v>
      </c>
      <c r="D257" s="190">
        <v>31048</v>
      </c>
      <c r="E257" s="456">
        <v>993651</v>
      </c>
      <c r="F257" s="572">
        <v>1850</v>
      </c>
      <c r="G257" s="71">
        <v>20751</v>
      </c>
      <c r="H257" s="1353"/>
      <c r="I257" s="2939"/>
      <c r="J257" s="572">
        <v>32975</v>
      </c>
      <c r="K257" s="71">
        <v>388235</v>
      </c>
      <c r="L257" s="1353"/>
      <c r="M257" s="2939"/>
      <c r="N257" s="456">
        <v>7007.8149982769664</v>
      </c>
      <c r="O257" s="2944">
        <v>7645.503663292473</v>
      </c>
      <c r="P257" s="166"/>
      <c r="Q257" s="166"/>
      <c r="R257" s="1339"/>
    </row>
    <row r="258" spans="1:18">
      <c r="A258" s="167">
        <f t="shared" si="1"/>
        <v>2014.09</v>
      </c>
      <c r="B258" s="215">
        <v>85093</v>
      </c>
      <c r="C258" s="3538">
        <v>56834</v>
      </c>
      <c r="D258" s="190">
        <v>28259</v>
      </c>
      <c r="E258" s="456">
        <v>1045852</v>
      </c>
      <c r="F258" s="572">
        <v>1917</v>
      </c>
      <c r="G258" s="71">
        <v>21523</v>
      </c>
      <c r="H258" s="1353"/>
      <c r="I258" s="2939"/>
      <c r="J258" s="572">
        <v>33106</v>
      </c>
      <c r="K258" s="71">
        <v>391496</v>
      </c>
      <c r="L258" s="1353"/>
      <c r="M258" s="2939"/>
      <c r="N258" s="456">
        <v>7102.13</v>
      </c>
      <c r="O258" s="2944">
        <v>7727.37</v>
      </c>
      <c r="P258" s="166"/>
      <c r="Q258" s="166"/>
      <c r="R258" s="1339"/>
    </row>
    <row r="259" spans="1:18">
      <c r="A259" s="167">
        <f t="shared" si="1"/>
        <v>2014.1</v>
      </c>
      <c r="B259" s="215">
        <v>87730</v>
      </c>
      <c r="C259" s="3538">
        <v>56883</v>
      </c>
      <c r="D259" s="190">
        <v>30847</v>
      </c>
      <c r="E259" s="456">
        <v>1101044</v>
      </c>
      <c r="F259" s="572">
        <v>1962</v>
      </c>
      <c r="G259" s="71">
        <v>22215</v>
      </c>
      <c r="H259" s="1353"/>
      <c r="I259" s="2939"/>
      <c r="J259" s="572">
        <v>33831</v>
      </c>
      <c r="K259" s="71">
        <v>400991</v>
      </c>
      <c r="L259" s="1353"/>
      <c r="M259" s="2939"/>
      <c r="N259" s="456">
        <v>7717.04</v>
      </c>
      <c r="O259" s="2944">
        <v>8034.5</v>
      </c>
      <c r="P259" s="166"/>
      <c r="Q259" s="166"/>
      <c r="R259" s="1339"/>
    </row>
    <row r="260" spans="1:18">
      <c r="A260" s="167">
        <f t="shared" si="1"/>
        <v>2014.11</v>
      </c>
      <c r="B260" s="215">
        <v>79332</v>
      </c>
      <c r="C260" s="3615">
        <v>51487</v>
      </c>
      <c r="D260" s="190">
        <v>27845</v>
      </c>
      <c r="E260" s="456">
        <v>996205</v>
      </c>
      <c r="F260" s="572">
        <v>1998</v>
      </c>
      <c r="G260" s="71">
        <v>22693</v>
      </c>
      <c r="H260" s="1353"/>
      <c r="I260" s="2939"/>
      <c r="J260" s="572">
        <v>33850</v>
      </c>
      <c r="K260" s="71">
        <v>400589</v>
      </c>
      <c r="L260" s="1353"/>
      <c r="M260" s="2939"/>
      <c r="N260" s="456">
        <v>6999.17</v>
      </c>
      <c r="O260" s="2944">
        <v>7655.15</v>
      </c>
      <c r="P260" s="166"/>
      <c r="Q260" s="166"/>
      <c r="R260" s="1339"/>
    </row>
    <row r="261" spans="1:18">
      <c r="A261" s="167">
        <f t="shared" si="1"/>
        <v>2014.12</v>
      </c>
      <c r="B261" s="215">
        <v>71637</v>
      </c>
      <c r="C261" s="3538">
        <v>45871</v>
      </c>
      <c r="D261" s="190">
        <v>25766</v>
      </c>
      <c r="E261" s="456">
        <v>892312</v>
      </c>
      <c r="F261" s="572">
        <v>2035</v>
      </c>
      <c r="G261" s="71">
        <v>23092</v>
      </c>
      <c r="H261" s="1353"/>
      <c r="I261" s="2939"/>
      <c r="J261" s="572">
        <v>33552</v>
      </c>
      <c r="K261" s="71">
        <v>389626</v>
      </c>
      <c r="L261" s="1353"/>
      <c r="M261" s="2939"/>
      <c r="N261" s="456">
        <v>10574.82</v>
      </c>
      <c r="O261" s="2944">
        <v>11477.09</v>
      </c>
      <c r="P261" s="166"/>
      <c r="Q261" s="166"/>
      <c r="R261" s="1339"/>
    </row>
    <row r="262" spans="1:18">
      <c r="A262" s="167">
        <f t="shared" si="1"/>
        <v>2015.01</v>
      </c>
      <c r="B262" s="215">
        <v>72542</v>
      </c>
      <c r="C262" s="3538">
        <v>48716</v>
      </c>
      <c r="D262" s="190">
        <v>23826</v>
      </c>
      <c r="E262" s="456">
        <v>928200</v>
      </c>
      <c r="F262" s="572">
        <v>2067</v>
      </c>
      <c r="G262" s="71">
        <v>23428</v>
      </c>
      <c r="H262" s="1353"/>
      <c r="I262" s="2939"/>
      <c r="J262" s="572">
        <v>33590</v>
      </c>
      <c r="K262" s="71">
        <v>390346</v>
      </c>
      <c r="L262" s="1353"/>
      <c r="M262" s="2939"/>
      <c r="N262" s="579">
        <v>7171.04</v>
      </c>
      <c r="O262" s="2947">
        <v>7833.72</v>
      </c>
      <c r="P262" s="166"/>
      <c r="Q262" s="166"/>
      <c r="R262" s="1339"/>
    </row>
    <row r="263" spans="1:18">
      <c r="A263" s="167">
        <f t="shared" si="1"/>
        <v>2015.02</v>
      </c>
      <c r="B263" s="215">
        <v>70064</v>
      </c>
      <c r="C263" s="3538">
        <v>43300</v>
      </c>
      <c r="D263" s="190">
        <v>26764</v>
      </c>
      <c r="E263" s="456">
        <v>885296</v>
      </c>
      <c r="F263" s="572">
        <v>2088</v>
      </c>
      <c r="G263" s="71">
        <v>23678</v>
      </c>
      <c r="H263" s="1353"/>
      <c r="I263" s="2939"/>
      <c r="J263" s="572">
        <v>33446</v>
      </c>
      <c r="K263" s="71">
        <v>396719</v>
      </c>
      <c r="L263" s="1353"/>
      <c r="M263" s="2939"/>
      <c r="N263" s="456">
        <v>6965.13</v>
      </c>
      <c r="O263" s="2944">
        <v>7707.24</v>
      </c>
      <c r="P263" s="166"/>
      <c r="Q263" s="166"/>
      <c r="R263" s="1339"/>
    </row>
    <row r="264" spans="1:18">
      <c r="A264" s="167">
        <f t="shared" si="1"/>
        <v>2015.03</v>
      </c>
      <c r="B264" s="215">
        <v>73371</v>
      </c>
      <c r="C264" s="3538">
        <v>45626</v>
      </c>
      <c r="D264" s="190">
        <v>27745</v>
      </c>
      <c r="E264" s="456">
        <v>967701</v>
      </c>
      <c r="F264" s="572">
        <v>2103</v>
      </c>
      <c r="G264" s="71">
        <v>24118</v>
      </c>
      <c r="H264" s="1353"/>
      <c r="I264" s="2939"/>
      <c r="J264" s="572">
        <v>33873</v>
      </c>
      <c r="K264" s="71">
        <v>409170</v>
      </c>
      <c r="L264" s="1353"/>
      <c r="M264" s="2939"/>
      <c r="N264" s="456">
        <v>7391.31</v>
      </c>
      <c r="O264" s="2944">
        <v>8078.19</v>
      </c>
      <c r="P264" s="166"/>
      <c r="Q264" s="166"/>
      <c r="R264" s="1339"/>
    </row>
    <row r="265" spans="1:18">
      <c r="A265" s="167">
        <f t="shared" si="1"/>
        <v>2015.04</v>
      </c>
      <c r="B265" s="215">
        <v>83388</v>
      </c>
      <c r="C265" s="3538">
        <v>50147</v>
      </c>
      <c r="D265" s="190">
        <v>33240</v>
      </c>
      <c r="E265" s="456">
        <v>1045288</v>
      </c>
      <c r="F265" s="572">
        <v>2130</v>
      </c>
      <c r="G265" s="71">
        <v>24601</v>
      </c>
      <c r="H265" s="1353"/>
      <c r="I265" s="2939"/>
      <c r="J265" s="572">
        <v>33871</v>
      </c>
      <c r="K265" s="71">
        <v>416315</v>
      </c>
      <c r="L265" s="1353"/>
      <c r="M265" s="2939"/>
      <c r="N265" s="456">
        <v>7581.6</v>
      </c>
      <c r="O265" s="2944">
        <v>8186.18</v>
      </c>
      <c r="P265" s="166"/>
      <c r="Q265" s="166"/>
      <c r="R265" s="1339"/>
    </row>
    <row r="266" spans="1:18">
      <c r="A266" s="167">
        <f t="shared" si="1"/>
        <v>2015.05</v>
      </c>
      <c r="B266" s="215">
        <v>80162</v>
      </c>
      <c r="C266" s="3538">
        <v>48232</v>
      </c>
      <c r="D266" s="190">
        <v>31930</v>
      </c>
      <c r="E266" s="456">
        <v>996155</v>
      </c>
      <c r="F266" s="572">
        <v>1704</v>
      </c>
      <c r="G266" s="71">
        <v>19130</v>
      </c>
      <c r="H266" s="1353"/>
      <c r="I266" s="2939"/>
      <c r="J266" s="572">
        <v>34042</v>
      </c>
      <c r="K266" s="71">
        <v>421373</v>
      </c>
      <c r="L266" s="1353"/>
      <c r="M266" s="2939"/>
      <c r="N266" s="456">
        <v>8000.11</v>
      </c>
      <c r="O266" s="2944">
        <v>8171.01</v>
      </c>
      <c r="P266" s="166"/>
      <c r="Q266" s="166"/>
      <c r="R266" s="1339"/>
    </row>
    <row r="267" spans="1:18">
      <c r="A267" s="167">
        <f t="shared" si="1"/>
        <v>2015.06</v>
      </c>
      <c r="B267" s="215">
        <v>84889</v>
      </c>
      <c r="C267" s="3538">
        <v>53126</v>
      </c>
      <c r="D267" s="190">
        <v>31763</v>
      </c>
      <c r="E267" s="456">
        <v>1055480</v>
      </c>
      <c r="F267" s="572">
        <v>1779</v>
      </c>
      <c r="G267" s="71">
        <v>20214</v>
      </c>
      <c r="H267" s="1353"/>
      <c r="I267" s="2939"/>
      <c r="J267" s="572">
        <v>34333</v>
      </c>
      <c r="K267" s="71">
        <v>427279</v>
      </c>
      <c r="L267" s="1353"/>
      <c r="M267" s="2939"/>
      <c r="N267" s="456">
        <v>11511.93</v>
      </c>
      <c r="O267" s="2944">
        <v>12116.64</v>
      </c>
      <c r="P267" s="166"/>
      <c r="Q267" s="166"/>
      <c r="R267" s="1339"/>
    </row>
    <row r="268" spans="1:18">
      <c r="A268" s="167">
        <f t="shared" si="1"/>
        <v>2015.07</v>
      </c>
      <c r="B268" s="215">
        <v>79655</v>
      </c>
      <c r="C268" s="3538">
        <v>49860</v>
      </c>
      <c r="D268" s="190">
        <v>29795</v>
      </c>
      <c r="E268" s="456">
        <v>1069622</v>
      </c>
      <c r="F268" s="572">
        <v>1844</v>
      </c>
      <c r="G268" s="71">
        <v>20958</v>
      </c>
      <c r="H268" s="1353"/>
      <c r="I268" s="2939"/>
      <c r="J268" s="572">
        <v>34074</v>
      </c>
      <c r="K268" s="71">
        <v>425341</v>
      </c>
      <c r="L268" s="1353"/>
      <c r="M268" s="2939"/>
      <c r="N268" s="456">
        <v>8956.02</v>
      </c>
      <c r="O268" s="2944">
        <v>9444.15</v>
      </c>
      <c r="P268" s="166"/>
      <c r="Q268" s="166"/>
      <c r="R268" s="1339"/>
    </row>
    <row r="269" spans="1:18">
      <c r="A269" s="167">
        <f t="shared" si="1"/>
        <v>2015.08</v>
      </c>
      <c r="B269" s="215">
        <v>77272</v>
      </c>
      <c r="C269" s="3538">
        <v>53263</v>
      </c>
      <c r="D269" s="190">
        <v>24009</v>
      </c>
      <c r="E269" s="456">
        <v>977469</v>
      </c>
      <c r="F269" s="572">
        <v>1891</v>
      </c>
      <c r="G269" s="71">
        <v>21592</v>
      </c>
      <c r="H269" s="1353"/>
      <c r="I269" s="2939"/>
      <c r="J269" s="572">
        <v>33779</v>
      </c>
      <c r="K269" s="71">
        <v>422379</v>
      </c>
      <c r="L269" s="1353"/>
      <c r="M269" s="2939"/>
      <c r="N269" s="456">
        <v>8921.93</v>
      </c>
      <c r="O269" s="2944">
        <v>9434.19</v>
      </c>
      <c r="P269" s="166"/>
      <c r="Q269" s="166"/>
      <c r="R269" s="1339"/>
    </row>
    <row r="270" spans="1:18">
      <c r="A270" s="167">
        <f t="shared" si="1"/>
        <v>2015.09</v>
      </c>
      <c r="B270" s="215">
        <v>82991</v>
      </c>
      <c r="C270" s="3538">
        <v>53084</v>
      </c>
      <c r="D270" s="190">
        <v>29907</v>
      </c>
      <c r="E270" s="456">
        <v>1131223</v>
      </c>
      <c r="F270" s="572">
        <v>1937</v>
      </c>
      <c r="G270" s="71">
        <v>22240</v>
      </c>
      <c r="H270" s="1353"/>
      <c r="I270" s="2939"/>
      <c r="J270" s="572">
        <v>34421</v>
      </c>
      <c r="K270" s="71">
        <v>428083</v>
      </c>
      <c r="L270" s="1353"/>
      <c r="M270" s="2939"/>
      <c r="N270" s="456">
        <v>9323.9599999999991</v>
      </c>
      <c r="O270" s="2944">
        <v>9864.4500000000007</v>
      </c>
      <c r="P270" s="166"/>
      <c r="Q270" s="166"/>
      <c r="R270" s="1339"/>
    </row>
    <row r="271" spans="1:18">
      <c r="A271" s="167">
        <f t="shared" si="1"/>
        <v>2015.1</v>
      </c>
      <c r="B271" s="215">
        <v>87328</v>
      </c>
      <c r="C271" s="3538">
        <v>56212</v>
      </c>
      <c r="D271" s="190">
        <v>31116</v>
      </c>
      <c r="E271" s="456">
        <v>1139923</v>
      </c>
      <c r="F271" s="572">
        <v>1973</v>
      </c>
      <c r="G271" s="71">
        <v>22800</v>
      </c>
      <c r="H271" s="1353"/>
      <c r="I271" s="2939"/>
      <c r="J271" s="572">
        <v>34926</v>
      </c>
      <c r="K271" s="71">
        <v>426694</v>
      </c>
      <c r="L271" s="1353"/>
      <c r="M271" s="2939"/>
      <c r="N271" s="456">
        <v>9441.0400000000009</v>
      </c>
      <c r="O271" s="2944">
        <v>9963.49</v>
      </c>
      <c r="P271" s="166"/>
      <c r="Q271" s="166"/>
      <c r="R271" s="1339"/>
    </row>
    <row r="272" spans="1:18">
      <c r="A272" s="167">
        <f t="shared" si="1"/>
        <v>2015.11</v>
      </c>
      <c r="B272" s="215">
        <v>77317</v>
      </c>
      <c r="C272" s="3538">
        <v>51262</v>
      </c>
      <c r="D272" s="190">
        <v>26055</v>
      </c>
      <c r="E272" s="456">
        <v>995497</v>
      </c>
      <c r="F272" s="572">
        <v>2004</v>
      </c>
      <c r="G272" s="71">
        <v>23242</v>
      </c>
      <c r="H272" s="1353"/>
      <c r="I272" s="2939"/>
      <c r="J272" s="572">
        <v>34715</v>
      </c>
      <c r="K272" s="71">
        <v>416150</v>
      </c>
      <c r="L272" s="1353"/>
      <c r="M272" s="2939"/>
      <c r="N272" s="456">
        <v>9130.5400000000009</v>
      </c>
      <c r="O272" s="2944">
        <v>9591.74</v>
      </c>
      <c r="P272" s="166"/>
      <c r="Q272" s="166"/>
      <c r="R272" s="1339"/>
    </row>
    <row r="273" spans="1:18">
      <c r="A273" s="167">
        <f t="shared" si="1"/>
        <v>2015.12</v>
      </c>
      <c r="B273" s="215">
        <v>71504</v>
      </c>
      <c r="C273" s="3538">
        <v>47078</v>
      </c>
      <c r="D273" s="190">
        <v>24426</v>
      </c>
      <c r="E273" s="456">
        <v>933180</v>
      </c>
      <c r="F273" s="572">
        <v>2027</v>
      </c>
      <c r="G273" s="71">
        <v>23492</v>
      </c>
      <c r="H273" s="1353"/>
      <c r="I273" s="2939"/>
      <c r="J273" s="572">
        <v>33055</v>
      </c>
      <c r="K273" s="71">
        <v>386213</v>
      </c>
      <c r="L273" s="1353"/>
      <c r="M273" s="2939"/>
      <c r="N273" s="456">
        <v>13226.83</v>
      </c>
      <c r="O273" s="2944">
        <v>14229.47</v>
      </c>
      <c r="P273" s="166"/>
      <c r="Q273" s="166"/>
      <c r="R273" s="1339"/>
    </row>
    <row r="274" spans="1:18">
      <c r="A274" s="167">
        <f t="shared" si="1"/>
        <v>2016.01</v>
      </c>
      <c r="B274" s="215">
        <v>68705</v>
      </c>
      <c r="C274" s="3538">
        <v>44714</v>
      </c>
      <c r="D274" s="190">
        <v>23991</v>
      </c>
      <c r="E274" s="456">
        <v>858496</v>
      </c>
      <c r="F274" s="572">
        <v>2046</v>
      </c>
      <c r="G274" s="71">
        <v>23702</v>
      </c>
      <c r="H274" s="1353"/>
      <c r="I274" s="2939"/>
      <c r="J274" s="572">
        <v>32645</v>
      </c>
      <c r="K274" s="71">
        <v>370663</v>
      </c>
      <c r="L274" s="1353"/>
      <c r="M274" s="2939"/>
      <c r="N274" s="456">
        <v>8965.8799999999992</v>
      </c>
      <c r="O274" s="2944">
        <v>9638.83</v>
      </c>
      <c r="P274" s="166"/>
      <c r="Q274" s="166"/>
      <c r="R274" s="1339"/>
    </row>
    <row r="275" spans="1:18">
      <c r="A275" s="167">
        <f t="shared" si="1"/>
        <v>2016.02</v>
      </c>
      <c r="B275" s="215">
        <v>58831</v>
      </c>
      <c r="C275" s="3538">
        <v>37926</v>
      </c>
      <c r="D275" s="190">
        <v>20905</v>
      </c>
      <c r="E275" s="456">
        <v>802256</v>
      </c>
      <c r="F275" s="572">
        <v>2063</v>
      </c>
      <c r="G275" s="71">
        <v>23940</v>
      </c>
      <c r="H275" s="1353"/>
      <c r="I275" s="2939"/>
      <c r="J275" s="572">
        <v>32838</v>
      </c>
      <c r="K275" s="71">
        <v>369663</v>
      </c>
      <c r="L275" s="1353"/>
      <c r="M275" s="2939"/>
      <c r="N275" s="456">
        <v>9112.3799999999992</v>
      </c>
      <c r="O275" s="2944">
        <v>9718.09</v>
      </c>
      <c r="P275" s="166"/>
      <c r="Q275" s="166"/>
      <c r="R275" s="1339"/>
    </row>
    <row r="276" spans="1:18">
      <c r="A276" s="167">
        <f t="shared" si="1"/>
        <v>2016.03</v>
      </c>
      <c r="B276" s="215">
        <v>66974</v>
      </c>
      <c r="C276" s="3538">
        <v>42146</v>
      </c>
      <c r="D276" s="190">
        <v>24828</v>
      </c>
      <c r="E276" s="456">
        <v>885244</v>
      </c>
      <c r="F276" s="572">
        <v>2096</v>
      </c>
      <c r="G276" s="71">
        <v>24297</v>
      </c>
      <c r="H276" s="1353"/>
      <c r="I276" s="2939"/>
      <c r="J276" s="572">
        <v>33133</v>
      </c>
      <c r="K276" s="71">
        <v>368942</v>
      </c>
      <c r="L276" s="1353"/>
      <c r="M276" s="2939"/>
      <c r="N276" s="456">
        <v>9945.5</v>
      </c>
      <c r="O276" s="2944">
        <v>10276.719999999999</v>
      </c>
      <c r="P276" s="166"/>
      <c r="Q276" s="166"/>
      <c r="R276" s="1339"/>
    </row>
    <row r="277" spans="1:18">
      <c r="A277" s="167">
        <f t="shared" si="1"/>
        <v>2016.04</v>
      </c>
      <c r="B277" s="215">
        <v>45916</v>
      </c>
      <c r="C277" s="3538">
        <v>30231</v>
      </c>
      <c r="D277" s="190">
        <v>15685</v>
      </c>
      <c r="E277" s="456">
        <v>756858</v>
      </c>
      <c r="F277" s="572">
        <v>2134</v>
      </c>
      <c r="G277" s="71">
        <v>24580</v>
      </c>
      <c r="H277" s="1353"/>
      <c r="I277" s="2939"/>
      <c r="J277" s="572">
        <v>32343</v>
      </c>
      <c r="K277" s="71">
        <v>366650</v>
      </c>
      <c r="L277" s="1353"/>
      <c r="M277" s="2939"/>
      <c r="N277" s="456">
        <v>10674.23</v>
      </c>
      <c r="O277" s="2944">
        <v>11408.84</v>
      </c>
      <c r="P277" s="166"/>
      <c r="Q277" s="166"/>
      <c r="R277" s="1339"/>
    </row>
    <row r="278" spans="1:18">
      <c r="A278" s="167">
        <f t="shared" si="1"/>
        <v>2016.05</v>
      </c>
      <c r="B278" s="215">
        <v>81687</v>
      </c>
      <c r="C278" s="3538">
        <v>52888</v>
      </c>
      <c r="D278" s="190">
        <v>28798</v>
      </c>
      <c r="E278" s="456">
        <v>881663</v>
      </c>
      <c r="F278" s="572">
        <v>1731</v>
      </c>
      <c r="G278" s="71">
        <v>19011</v>
      </c>
      <c r="H278" s="1353"/>
      <c r="I278" s="2939"/>
      <c r="J278" s="572">
        <v>32806</v>
      </c>
      <c r="K278" s="71">
        <v>367770</v>
      </c>
      <c r="L278" s="1353"/>
      <c r="M278" s="2939"/>
      <c r="N278" s="456">
        <v>12121.32</v>
      </c>
      <c r="O278" s="2944">
        <v>12180.96</v>
      </c>
      <c r="P278" s="166"/>
      <c r="Q278" s="166"/>
      <c r="R278" s="1339"/>
    </row>
    <row r="279" spans="1:18">
      <c r="A279" s="167">
        <f t="shared" si="1"/>
        <v>2016.06</v>
      </c>
      <c r="B279" s="215">
        <v>76599</v>
      </c>
      <c r="C279" s="3538">
        <v>48658</v>
      </c>
      <c r="D279" s="190">
        <v>27940</v>
      </c>
      <c r="E279" s="456">
        <v>859427</v>
      </c>
      <c r="F279" s="572">
        <v>1801</v>
      </c>
      <c r="G279" s="71">
        <v>19970</v>
      </c>
      <c r="H279" s="1353"/>
      <c r="I279" s="2939"/>
      <c r="J279" s="572">
        <v>32697</v>
      </c>
      <c r="K279" s="71">
        <v>365970</v>
      </c>
      <c r="L279" s="1353"/>
      <c r="M279" s="2939"/>
      <c r="N279" s="456">
        <v>16460.87</v>
      </c>
      <c r="O279" s="2944">
        <v>16830.61</v>
      </c>
      <c r="P279" s="166"/>
      <c r="Q279" s="166"/>
      <c r="R279" s="1339"/>
    </row>
    <row r="280" spans="1:18">
      <c r="A280" s="167">
        <f t="shared" si="1"/>
        <v>2016.07</v>
      </c>
      <c r="B280" s="215">
        <v>69318</v>
      </c>
      <c r="C280" s="3538">
        <v>44762</v>
      </c>
      <c r="D280" s="190">
        <v>24556</v>
      </c>
      <c r="E280" s="456">
        <v>848636</v>
      </c>
      <c r="F280" s="572">
        <v>1858</v>
      </c>
      <c r="G280" s="71">
        <v>20585</v>
      </c>
      <c r="H280" s="1353"/>
      <c r="I280" s="2939"/>
      <c r="J280" s="572">
        <v>32920</v>
      </c>
      <c r="K280" s="71">
        <v>365076</v>
      </c>
      <c r="L280" s="1353"/>
      <c r="M280" s="2939"/>
      <c r="N280" s="456">
        <v>11667.58</v>
      </c>
      <c r="O280" s="2944">
        <v>11860.24</v>
      </c>
      <c r="P280" s="166"/>
      <c r="Q280" s="166"/>
      <c r="R280" s="1339"/>
    </row>
    <row r="281" spans="1:18">
      <c r="A281" s="167">
        <f t="shared" si="1"/>
        <v>2016.08</v>
      </c>
      <c r="B281" s="215">
        <v>93214</v>
      </c>
      <c r="C281" s="3538">
        <v>59552</v>
      </c>
      <c r="D281" s="190">
        <v>33662</v>
      </c>
      <c r="E281" s="456">
        <v>1044238</v>
      </c>
      <c r="F281" s="572">
        <v>1914</v>
      </c>
      <c r="G281" s="71">
        <v>21262</v>
      </c>
      <c r="H281" s="1353"/>
      <c r="I281" s="2939"/>
      <c r="J281" s="572">
        <v>33227</v>
      </c>
      <c r="K281" s="71">
        <v>371247</v>
      </c>
      <c r="L281" s="1353"/>
      <c r="M281" s="2939"/>
      <c r="N281" s="456">
        <v>12308.69</v>
      </c>
      <c r="O281" s="2944">
        <v>12485.93</v>
      </c>
      <c r="P281" s="166"/>
      <c r="Q281" s="166"/>
      <c r="R281" s="1339"/>
    </row>
    <row r="282" spans="1:18">
      <c r="A282" s="167">
        <f t="shared" si="1"/>
        <v>2016.09</v>
      </c>
      <c r="B282" s="215">
        <v>86003</v>
      </c>
      <c r="C282" s="3538">
        <v>55192</v>
      </c>
      <c r="D282" s="190">
        <v>30811</v>
      </c>
      <c r="E282" s="456">
        <v>1001131</v>
      </c>
      <c r="F282" s="572">
        <v>1951</v>
      </c>
      <c r="G282" s="71">
        <v>21844</v>
      </c>
      <c r="H282" s="1353"/>
      <c r="I282" s="2939"/>
      <c r="J282" s="572">
        <v>33604</v>
      </c>
      <c r="K282" s="71">
        <v>374353</v>
      </c>
      <c r="L282" s="1353"/>
      <c r="M282" s="2939"/>
      <c r="N282" s="456">
        <v>11702.13</v>
      </c>
      <c r="O282" s="2944">
        <v>12075.19</v>
      </c>
      <c r="P282" s="166"/>
      <c r="Q282" s="166"/>
      <c r="R282" s="1339"/>
    </row>
    <row r="283" spans="1:18">
      <c r="A283" s="167">
        <f t="shared" si="1"/>
        <v>2016.1</v>
      </c>
      <c r="B283" s="215">
        <v>71907</v>
      </c>
      <c r="C283" s="3538">
        <v>47188</v>
      </c>
      <c r="D283" s="190">
        <v>24719</v>
      </c>
      <c r="E283" s="456">
        <v>931619</v>
      </c>
      <c r="F283" s="572">
        <v>1990</v>
      </c>
      <c r="G283" s="71">
        <v>22355</v>
      </c>
      <c r="H283" s="1353"/>
      <c r="I283" s="2939"/>
      <c r="J283" s="572">
        <v>34306</v>
      </c>
      <c r="K283" s="71">
        <v>377081</v>
      </c>
      <c r="L283" s="1353"/>
      <c r="M283" s="2939"/>
      <c r="N283" s="456">
        <v>12455.87</v>
      </c>
      <c r="O283" s="2944">
        <v>12863.9</v>
      </c>
      <c r="P283" s="166"/>
      <c r="Q283" s="166"/>
      <c r="R283" s="1339"/>
    </row>
    <row r="284" spans="1:18">
      <c r="A284" s="167">
        <f t="shared" si="1"/>
        <v>2016.11</v>
      </c>
      <c r="B284" s="215">
        <v>86403</v>
      </c>
      <c r="C284" s="3538">
        <v>52484</v>
      </c>
      <c r="D284" s="190">
        <v>33919</v>
      </c>
      <c r="E284" s="456">
        <v>1013083</v>
      </c>
      <c r="F284" s="572">
        <v>2035</v>
      </c>
      <c r="G284" s="71">
        <v>22862</v>
      </c>
      <c r="H284" s="1353"/>
      <c r="I284" s="2939"/>
      <c r="J284" s="572">
        <v>35192</v>
      </c>
      <c r="K284" s="71">
        <v>383778</v>
      </c>
      <c r="L284" s="1353"/>
      <c r="M284" s="2939"/>
      <c r="N284" s="456">
        <v>13126.37</v>
      </c>
      <c r="O284" s="2944">
        <v>13430.22</v>
      </c>
      <c r="P284" s="166"/>
      <c r="Q284" s="166"/>
      <c r="R284" s="1339"/>
    </row>
    <row r="285" spans="1:18">
      <c r="A285" s="167">
        <f t="shared" si="1"/>
        <v>2016.12</v>
      </c>
      <c r="B285" s="215">
        <v>78455</v>
      </c>
      <c r="C285" s="3538">
        <v>48024</v>
      </c>
      <c r="D285" s="190">
        <v>30431</v>
      </c>
      <c r="E285" s="456">
        <v>940055</v>
      </c>
      <c r="F285" s="572">
        <v>2055</v>
      </c>
      <c r="G285" s="71">
        <v>23160</v>
      </c>
      <c r="H285" s="1353"/>
      <c r="I285" s="2939"/>
      <c r="J285" s="572">
        <v>34799</v>
      </c>
      <c r="K285" s="71">
        <v>373583</v>
      </c>
      <c r="L285" s="1353"/>
      <c r="M285" s="2939"/>
      <c r="N285" s="456">
        <v>18279.8</v>
      </c>
      <c r="O285" s="2944">
        <v>19205.98</v>
      </c>
      <c r="P285" s="166"/>
      <c r="Q285" s="166"/>
      <c r="R285" s="1339"/>
    </row>
    <row r="286" spans="1:18">
      <c r="A286" s="167">
        <f t="shared" si="1"/>
        <v>2017.01</v>
      </c>
      <c r="B286" s="215">
        <v>68635</v>
      </c>
      <c r="C286" s="3538">
        <v>43360</v>
      </c>
      <c r="D286" s="190">
        <v>25275</v>
      </c>
      <c r="E286" s="456">
        <v>873775</v>
      </c>
      <c r="F286" s="572">
        <v>2073</v>
      </c>
      <c r="G286" s="71">
        <v>23505</v>
      </c>
      <c r="H286" s="1353"/>
      <c r="I286" s="2939"/>
      <c r="J286" s="572">
        <v>35690</v>
      </c>
      <c r="K286" s="71">
        <v>374115</v>
      </c>
      <c r="L286" s="1353"/>
      <c r="M286" s="2939"/>
      <c r="N286" s="456">
        <v>13318.5</v>
      </c>
      <c r="O286" s="2944">
        <v>14048.2</v>
      </c>
      <c r="P286" s="166"/>
      <c r="Q286" s="166"/>
      <c r="R286" s="1339"/>
    </row>
    <row r="287" spans="1:18">
      <c r="A287" s="167">
        <f t="shared" si="1"/>
        <v>2017.02</v>
      </c>
      <c r="B287" s="215">
        <v>69053</v>
      </c>
      <c r="C287" s="3538">
        <v>40526</v>
      </c>
      <c r="D287" s="190">
        <v>28527</v>
      </c>
      <c r="E287" s="456">
        <v>799340</v>
      </c>
      <c r="F287" s="572">
        <v>2108</v>
      </c>
      <c r="G287" s="71">
        <v>23773</v>
      </c>
      <c r="H287" s="1353"/>
      <c r="I287" s="2939"/>
      <c r="J287" s="572">
        <v>36387</v>
      </c>
      <c r="K287" s="71">
        <v>380908</v>
      </c>
      <c r="L287" s="1353"/>
      <c r="M287" s="2939"/>
      <c r="N287" s="456">
        <v>12834.22</v>
      </c>
      <c r="O287" s="2944">
        <v>13430.07</v>
      </c>
      <c r="P287" s="166"/>
      <c r="Q287" s="166"/>
      <c r="R287" s="1339"/>
    </row>
    <row r="288" spans="1:18">
      <c r="A288" s="167">
        <f t="shared" si="1"/>
        <v>2017.03</v>
      </c>
      <c r="B288" s="215">
        <v>84278</v>
      </c>
      <c r="C288" s="3538">
        <v>49155</v>
      </c>
      <c r="D288" s="190">
        <v>35123</v>
      </c>
      <c r="E288" s="456">
        <v>1027094</v>
      </c>
      <c r="F288" s="572">
        <v>2139</v>
      </c>
      <c r="G288" s="71">
        <v>24097</v>
      </c>
      <c r="H288" s="1353"/>
      <c r="I288" s="2939"/>
      <c r="J288" s="572">
        <v>37419</v>
      </c>
      <c r="K288" s="71">
        <v>395268</v>
      </c>
      <c r="L288" s="1353"/>
      <c r="M288" s="2939"/>
      <c r="N288" s="456">
        <v>14019.48</v>
      </c>
      <c r="O288" s="2944">
        <v>14638.33</v>
      </c>
      <c r="P288" s="166"/>
      <c r="Q288" s="166"/>
      <c r="R288" s="1339"/>
    </row>
    <row r="289" spans="1:18">
      <c r="A289" s="167">
        <f t="shared" si="1"/>
        <v>2017.04</v>
      </c>
      <c r="B289" s="215">
        <v>71033</v>
      </c>
      <c r="C289" s="3538">
        <v>41476</v>
      </c>
      <c r="D289" s="190">
        <v>29557</v>
      </c>
      <c r="E289" s="456">
        <v>844324</v>
      </c>
      <c r="F289" s="572">
        <v>2150</v>
      </c>
      <c r="G289" s="71">
        <v>24285</v>
      </c>
      <c r="H289" s="1353"/>
      <c r="I289" s="2939"/>
      <c r="J289" s="572">
        <v>36739</v>
      </c>
      <c r="K289" s="71">
        <v>393777</v>
      </c>
      <c r="L289" s="1353"/>
      <c r="M289" s="2939"/>
      <c r="N289" s="456">
        <v>13524.5</v>
      </c>
      <c r="O289" s="2944">
        <v>13984.59</v>
      </c>
      <c r="P289" s="166"/>
      <c r="Q289" s="166"/>
      <c r="R289" s="1339"/>
    </row>
    <row r="290" spans="1:18">
      <c r="A290" s="167">
        <f t="shared" si="1"/>
        <v>2017.05</v>
      </c>
      <c r="B290" s="215">
        <v>84586</v>
      </c>
      <c r="C290" s="3538">
        <v>48678</v>
      </c>
      <c r="D290" s="190">
        <v>35908</v>
      </c>
      <c r="E290" s="456">
        <v>967718</v>
      </c>
      <c r="F290" s="572">
        <v>1772</v>
      </c>
      <c r="G290" s="71">
        <v>19037</v>
      </c>
      <c r="H290" s="1353"/>
      <c r="I290" s="2939"/>
      <c r="J290" s="572">
        <v>37307</v>
      </c>
      <c r="K290" s="71">
        <v>403015</v>
      </c>
      <c r="L290" s="1353"/>
      <c r="M290" s="2939"/>
      <c r="N290" s="456">
        <v>15970.88</v>
      </c>
      <c r="O290" s="2944">
        <v>16721.18</v>
      </c>
      <c r="P290" s="166"/>
      <c r="Q290" s="166"/>
      <c r="R290" s="1339"/>
    </row>
    <row r="291" spans="1:18">
      <c r="A291" s="167">
        <f t="shared" si="1"/>
        <v>2017.06</v>
      </c>
      <c r="B291" s="215">
        <v>87178</v>
      </c>
      <c r="C291" s="3538">
        <v>50558</v>
      </c>
      <c r="D291" s="190">
        <v>36620</v>
      </c>
      <c r="E291" s="456">
        <v>1006666</v>
      </c>
      <c r="F291" s="572">
        <v>1842</v>
      </c>
      <c r="G291" s="71">
        <v>19980</v>
      </c>
      <c r="H291" s="1353"/>
      <c r="I291" s="2939"/>
      <c r="J291" s="572">
        <v>37224</v>
      </c>
      <c r="K291" s="71">
        <v>408945</v>
      </c>
      <c r="L291" s="1353"/>
      <c r="M291" s="2939"/>
      <c r="N291" s="456">
        <v>20751.189999999999</v>
      </c>
      <c r="O291" s="2944">
        <v>22305.39</v>
      </c>
      <c r="P291" s="166"/>
      <c r="Q291" s="166"/>
      <c r="R291" s="1339"/>
    </row>
    <row r="292" spans="1:18">
      <c r="A292" s="167">
        <f t="shared" si="1"/>
        <v>2017.07</v>
      </c>
      <c r="B292" s="215">
        <v>81449</v>
      </c>
      <c r="C292" s="3538">
        <v>48020</v>
      </c>
      <c r="D292" s="190">
        <v>33429</v>
      </c>
      <c r="E292" s="456">
        <v>1016589</v>
      </c>
      <c r="F292" s="572">
        <v>1902</v>
      </c>
      <c r="G292" s="71">
        <v>20657</v>
      </c>
      <c r="H292" s="1353"/>
      <c r="I292" s="2939"/>
      <c r="J292" s="572">
        <v>37142</v>
      </c>
      <c r="K292" s="71">
        <v>410316</v>
      </c>
      <c r="L292" s="1353"/>
      <c r="M292" s="2939"/>
      <c r="N292" s="456">
        <v>15676</v>
      </c>
      <c r="O292" s="2944">
        <v>16886.599999999999</v>
      </c>
      <c r="P292" s="166"/>
      <c r="Q292" s="166"/>
      <c r="R292" s="1339"/>
    </row>
    <row r="293" spans="1:18">
      <c r="A293" s="167">
        <f t="shared" si="1"/>
        <v>2017.08</v>
      </c>
      <c r="B293" s="215">
        <v>94575</v>
      </c>
      <c r="C293" s="3538">
        <v>56346</v>
      </c>
      <c r="D293" s="190">
        <v>38229</v>
      </c>
      <c r="E293" s="456">
        <v>1122059</v>
      </c>
      <c r="F293" s="572">
        <v>1954</v>
      </c>
      <c r="G293" s="71">
        <v>21349</v>
      </c>
      <c r="H293" s="1353"/>
      <c r="I293" s="2939"/>
      <c r="J293" s="572">
        <v>37496</v>
      </c>
      <c r="K293" s="71">
        <v>417586</v>
      </c>
      <c r="L293" s="1353"/>
      <c r="M293" s="2939"/>
      <c r="N293" s="456">
        <v>16172.98</v>
      </c>
      <c r="O293" s="2944">
        <v>17291.47</v>
      </c>
      <c r="P293" s="166"/>
      <c r="Q293" s="166"/>
      <c r="R293" s="1339"/>
    </row>
    <row r="294" spans="1:18">
      <c r="A294" s="167">
        <f t="shared" si="1"/>
        <v>2017.09</v>
      </c>
      <c r="B294" s="215">
        <v>93701</v>
      </c>
      <c r="C294" s="3538">
        <v>56556</v>
      </c>
      <c r="D294" s="190">
        <v>37145</v>
      </c>
      <c r="E294" s="456">
        <v>1131545</v>
      </c>
      <c r="F294" s="572">
        <v>2007</v>
      </c>
      <c r="G294" s="71">
        <v>22051</v>
      </c>
      <c r="H294" s="1353"/>
      <c r="I294" s="2939"/>
      <c r="J294" s="572">
        <v>38242</v>
      </c>
      <c r="K294" s="71">
        <v>422929</v>
      </c>
      <c r="L294" s="1353"/>
      <c r="M294" s="2939"/>
      <c r="N294" s="456">
        <v>15470.69</v>
      </c>
      <c r="O294" s="2944">
        <v>16734.45</v>
      </c>
      <c r="P294" s="166"/>
      <c r="Q294" s="166"/>
      <c r="R294" s="1339"/>
    </row>
    <row r="295" spans="1:18">
      <c r="A295" s="167">
        <f t="shared" si="1"/>
        <v>2017.1</v>
      </c>
      <c r="B295" s="215">
        <v>94644</v>
      </c>
      <c r="C295" s="3538">
        <v>56874</v>
      </c>
      <c r="D295" s="190">
        <v>37770</v>
      </c>
      <c r="E295" s="456">
        <v>1150794</v>
      </c>
      <c r="F295" s="572">
        <v>2052</v>
      </c>
      <c r="G295" s="71">
        <v>22588</v>
      </c>
      <c r="H295" s="1353"/>
      <c r="I295" s="2939"/>
      <c r="J295" s="572">
        <v>39082</v>
      </c>
      <c r="K295" s="71">
        <v>428940</v>
      </c>
      <c r="L295" s="1353"/>
      <c r="M295" s="2939"/>
      <c r="N295" s="456">
        <v>16414.990000000002</v>
      </c>
      <c r="O295" s="2944">
        <v>17409.16</v>
      </c>
      <c r="P295" s="166"/>
      <c r="Q295" s="166"/>
      <c r="R295" s="1339"/>
    </row>
    <row r="296" spans="1:18">
      <c r="A296" s="167">
        <f t="shared" si="1"/>
        <v>2017.11</v>
      </c>
      <c r="B296" s="215">
        <v>96011</v>
      </c>
      <c r="C296" s="3538">
        <v>55776</v>
      </c>
      <c r="D296" s="190">
        <v>40235</v>
      </c>
      <c r="E296" s="456">
        <v>1179763</v>
      </c>
      <c r="F296" s="572">
        <v>2088</v>
      </c>
      <c r="G296" s="71">
        <v>23101</v>
      </c>
      <c r="H296" s="1353"/>
      <c r="I296" s="2939"/>
      <c r="J296" s="572">
        <v>40187</v>
      </c>
      <c r="K296" s="71">
        <v>432814</v>
      </c>
      <c r="L296" s="1353"/>
      <c r="M296" s="2939"/>
      <c r="N296" s="456">
        <v>16710.78</v>
      </c>
      <c r="O296" s="2944">
        <v>17682.63</v>
      </c>
      <c r="P296" s="166"/>
      <c r="Q296" s="166"/>
      <c r="R296" s="1339"/>
    </row>
    <row r="297" spans="1:18">
      <c r="A297" s="167">
        <f t="shared" si="1"/>
        <v>2017.12</v>
      </c>
      <c r="B297" s="215">
        <v>87217</v>
      </c>
      <c r="C297" s="3538">
        <v>48112</v>
      </c>
      <c r="D297" s="190">
        <v>39105</v>
      </c>
      <c r="E297" s="456">
        <v>1004298</v>
      </c>
      <c r="F297" s="572">
        <v>2115</v>
      </c>
      <c r="G297" s="71">
        <v>23436</v>
      </c>
      <c r="H297" s="1353"/>
      <c r="I297" s="2939"/>
      <c r="J297" s="572">
        <v>38679</v>
      </c>
      <c r="K297" s="71">
        <v>418242</v>
      </c>
      <c r="L297" s="1353"/>
      <c r="M297" s="2939"/>
      <c r="N297" s="456">
        <v>22421.41</v>
      </c>
      <c r="O297" s="2944">
        <v>24753.45</v>
      </c>
      <c r="P297" s="166"/>
      <c r="Q297" s="166"/>
      <c r="R297" s="1339"/>
    </row>
    <row r="298" spans="1:18">
      <c r="A298" s="167">
        <f t="shared" si="1"/>
        <v>2018.01</v>
      </c>
      <c r="B298" s="215">
        <v>96168</v>
      </c>
      <c r="C298" s="3538">
        <v>57995</v>
      </c>
      <c r="D298" s="190">
        <v>38173</v>
      </c>
      <c r="E298" s="456">
        <v>1043732</v>
      </c>
      <c r="F298" s="572">
        <v>2148</v>
      </c>
      <c r="G298" s="71">
        <v>23776</v>
      </c>
      <c r="H298" s="1353"/>
      <c r="I298" s="2939"/>
      <c r="J298" s="572">
        <v>38919</v>
      </c>
      <c r="K298" s="71">
        <v>415290</v>
      </c>
      <c r="L298" s="1353"/>
      <c r="M298" s="2939"/>
      <c r="N298" s="456">
        <v>16376.46</v>
      </c>
      <c r="O298" s="2944">
        <v>17681.23</v>
      </c>
      <c r="P298" s="166"/>
      <c r="Q298" s="166"/>
      <c r="R298" s="1339"/>
    </row>
    <row r="299" spans="1:18">
      <c r="A299" s="167">
        <f t="shared" si="1"/>
        <v>2018.02</v>
      </c>
      <c r="B299" s="215">
        <v>84353</v>
      </c>
      <c r="C299" s="3538">
        <v>45578</v>
      </c>
      <c r="D299" s="190">
        <v>38775</v>
      </c>
      <c r="E299" s="456">
        <v>924085</v>
      </c>
      <c r="F299" s="572">
        <v>2176</v>
      </c>
      <c r="G299" s="71">
        <v>24043</v>
      </c>
      <c r="H299" s="1353"/>
      <c r="I299" s="2939"/>
      <c r="J299" s="572">
        <v>38865</v>
      </c>
      <c r="K299" s="71">
        <v>416852</v>
      </c>
      <c r="L299" s="1353"/>
      <c r="M299" s="2939"/>
      <c r="N299" s="456">
        <v>15505.17</v>
      </c>
      <c r="O299" s="2944">
        <v>17028.96</v>
      </c>
      <c r="P299" s="166"/>
      <c r="Q299" s="166"/>
      <c r="R299" s="1339"/>
    </row>
    <row r="300" spans="1:18">
      <c r="A300" s="167">
        <f t="shared" si="1"/>
        <v>2018.03</v>
      </c>
      <c r="B300" s="215">
        <v>96892</v>
      </c>
      <c r="C300" s="3538">
        <v>52842</v>
      </c>
      <c r="D300" s="190">
        <v>44050</v>
      </c>
      <c r="E300" s="456">
        <v>1091122</v>
      </c>
      <c r="F300" s="572">
        <v>2206</v>
      </c>
      <c r="G300" s="71">
        <v>24385</v>
      </c>
      <c r="H300" s="1353"/>
      <c r="I300" s="2939"/>
      <c r="J300" s="572">
        <v>39178</v>
      </c>
      <c r="K300" s="71">
        <v>426446</v>
      </c>
      <c r="L300" s="1353"/>
      <c r="M300" s="2939"/>
      <c r="N300" s="456">
        <v>17296.8</v>
      </c>
      <c r="O300" s="2944">
        <v>18809.22</v>
      </c>
      <c r="P300" s="166"/>
      <c r="Q300" s="166"/>
      <c r="R300" s="1339"/>
    </row>
    <row r="301" spans="1:18">
      <c r="A301" s="167">
        <f t="shared" si="1"/>
        <v>2018.04</v>
      </c>
      <c r="B301" s="215">
        <v>77739</v>
      </c>
      <c r="C301" s="3538">
        <v>46934</v>
      </c>
      <c r="D301" s="190">
        <v>30805</v>
      </c>
      <c r="E301" s="456">
        <v>958184</v>
      </c>
      <c r="F301" s="572">
        <v>2211</v>
      </c>
      <c r="G301" s="71">
        <v>24691</v>
      </c>
      <c r="H301" s="1353"/>
      <c r="I301" s="2939"/>
      <c r="J301" s="572">
        <v>38421</v>
      </c>
      <c r="K301" s="71">
        <v>426114</v>
      </c>
      <c r="L301" s="1353"/>
      <c r="M301" s="2939"/>
      <c r="N301" s="456">
        <v>17850.400000000001</v>
      </c>
      <c r="O301" s="2944">
        <v>19296.060000000001</v>
      </c>
      <c r="P301" s="166"/>
      <c r="Q301" s="166"/>
      <c r="R301" s="1339"/>
    </row>
    <row r="302" spans="1:18">
      <c r="A302" s="167">
        <f t="shared" si="1"/>
        <v>2018.05</v>
      </c>
      <c r="B302" s="215">
        <v>71144</v>
      </c>
      <c r="C302" s="3538">
        <v>41492</v>
      </c>
      <c r="D302" s="190">
        <v>29652</v>
      </c>
      <c r="E302" s="456">
        <v>924765</v>
      </c>
      <c r="F302" s="572">
        <v>1802</v>
      </c>
      <c r="G302" s="71">
        <v>19072</v>
      </c>
      <c r="H302" s="1353"/>
      <c r="I302" s="2939"/>
      <c r="J302" s="572">
        <v>38341</v>
      </c>
      <c r="K302" s="71">
        <v>425787</v>
      </c>
      <c r="L302" s="1353"/>
      <c r="M302" s="2939"/>
      <c r="N302" s="456">
        <v>18302.990000000002</v>
      </c>
      <c r="O302" s="2944">
        <v>20080.23</v>
      </c>
      <c r="P302" s="166"/>
      <c r="Q302" s="166"/>
      <c r="R302" s="1339"/>
    </row>
    <row r="303" spans="1:18">
      <c r="A303" s="167">
        <f t="shared" si="1"/>
        <v>2018.06</v>
      </c>
      <c r="B303" s="215">
        <v>90463</v>
      </c>
      <c r="C303" s="3538">
        <v>51008</v>
      </c>
      <c r="D303" s="190">
        <v>39455</v>
      </c>
      <c r="E303" s="456">
        <v>970895</v>
      </c>
      <c r="F303" s="572">
        <v>1871</v>
      </c>
      <c r="G303" s="71">
        <v>19969</v>
      </c>
      <c r="H303" s="1353"/>
      <c r="I303" s="2939"/>
      <c r="J303" s="572">
        <v>38398</v>
      </c>
      <c r="K303" s="71">
        <v>420353</v>
      </c>
      <c r="L303" s="1353"/>
      <c r="M303" s="2939"/>
      <c r="N303" s="456">
        <v>25381.7</v>
      </c>
      <c r="O303" s="2944">
        <v>27511.16</v>
      </c>
      <c r="P303" s="166"/>
      <c r="Q303" s="166"/>
      <c r="R303" s="1339"/>
    </row>
    <row r="304" spans="1:18">
      <c r="A304" s="167">
        <f t="shared" si="1"/>
        <v>2018.07</v>
      </c>
      <c r="B304" s="215">
        <v>82106</v>
      </c>
      <c r="C304" s="3538">
        <v>42791</v>
      </c>
      <c r="D304" s="190">
        <v>39316</v>
      </c>
      <c r="E304" s="456">
        <v>952280</v>
      </c>
      <c r="F304" s="572">
        <v>1926</v>
      </c>
      <c r="G304" s="71">
        <v>20679</v>
      </c>
      <c r="H304" s="1353"/>
      <c r="I304" s="2939"/>
      <c r="J304" s="572">
        <v>38631</v>
      </c>
      <c r="K304" s="71">
        <v>418562</v>
      </c>
      <c r="L304" s="1353"/>
      <c r="M304" s="2939"/>
      <c r="N304" s="456">
        <v>17945.43</v>
      </c>
      <c r="O304" s="2944">
        <v>19700.150000000001</v>
      </c>
      <c r="P304" s="166"/>
      <c r="Q304" s="166"/>
      <c r="R304" s="1339"/>
    </row>
    <row r="305" spans="1:18">
      <c r="A305" s="167">
        <f t="shared" si="1"/>
        <v>2018.08</v>
      </c>
      <c r="B305" s="215">
        <v>97057</v>
      </c>
      <c r="C305" s="3538">
        <v>55065</v>
      </c>
      <c r="D305" s="190">
        <v>41992</v>
      </c>
      <c r="E305" s="456">
        <v>1115347</v>
      </c>
      <c r="F305" s="572">
        <v>1970</v>
      </c>
      <c r="G305" s="71">
        <v>21330</v>
      </c>
      <c r="H305" s="1353"/>
      <c r="I305" s="2939"/>
      <c r="J305" s="572">
        <v>39189</v>
      </c>
      <c r="K305" s="71">
        <v>421089</v>
      </c>
      <c r="L305" s="1353"/>
      <c r="M305" s="2939"/>
      <c r="N305" s="456">
        <v>19442.919999999998</v>
      </c>
      <c r="O305" s="2944">
        <v>21384.52</v>
      </c>
      <c r="P305" s="111" t="s">
        <v>5</v>
      </c>
      <c r="Q305" s="166"/>
      <c r="R305" s="1339"/>
    </row>
    <row r="306" spans="1:18">
      <c r="A306" s="167">
        <f t="shared" si="1"/>
        <v>2018.09</v>
      </c>
      <c r="B306" s="215">
        <v>83623</v>
      </c>
      <c r="C306" s="3538">
        <v>47134</v>
      </c>
      <c r="D306" s="190">
        <v>36489</v>
      </c>
      <c r="E306" s="456">
        <v>1011872</v>
      </c>
      <c r="F306" s="572">
        <v>2012</v>
      </c>
      <c r="G306" s="71">
        <v>21831</v>
      </c>
      <c r="H306" s="1353"/>
      <c r="I306" s="2939"/>
      <c r="J306" s="572">
        <v>39142</v>
      </c>
      <c r="K306" s="71">
        <v>415503</v>
      </c>
      <c r="L306" s="1353"/>
      <c r="M306" s="2939"/>
      <c r="N306" s="456">
        <v>18312.71</v>
      </c>
      <c r="O306" s="2944">
        <v>20140.53</v>
      </c>
      <c r="P306" s="166"/>
      <c r="Q306" s="166"/>
      <c r="R306" s="1339"/>
    </row>
    <row r="307" spans="1:18">
      <c r="A307" s="167">
        <f t="shared" ref="A307:A370" si="2">A295+1</f>
        <v>2018.1</v>
      </c>
      <c r="B307" s="215">
        <v>80867</v>
      </c>
      <c r="C307" s="3538">
        <v>46512</v>
      </c>
      <c r="D307" s="190">
        <v>34355</v>
      </c>
      <c r="E307" s="456">
        <v>1040317</v>
      </c>
      <c r="F307" s="572">
        <v>2046</v>
      </c>
      <c r="G307" s="71">
        <v>22423</v>
      </c>
      <c r="H307" s="1353"/>
      <c r="I307" s="2939"/>
      <c r="J307" s="572">
        <v>39529</v>
      </c>
      <c r="K307" s="71">
        <v>417090</v>
      </c>
      <c r="L307" s="1353"/>
      <c r="M307" s="2939"/>
      <c r="N307" s="456">
        <v>20169.990000000002</v>
      </c>
      <c r="O307" s="2944">
        <v>22321.59</v>
      </c>
      <c r="P307" s="166"/>
      <c r="Q307" s="166"/>
      <c r="R307" s="1339"/>
    </row>
    <row r="308" spans="1:18">
      <c r="A308" s="167">
        <f t="shared" si="2"/>
        <v>2018.11</v>
      </c>
      <c r="B308" s="215">
        <v>71863</v>
      </c>
      <c r="C308" s="3538">
        <v>41092</v>
      </c>
      <c r="D308" s="190">
        <v>30771</v>
      </c>
      <c r="E308" s="456">
        <v>970181</v>
      </c>
      <c r="F308" s="572">
        <v>2086</v>
      </c>
      <c r="G308" s="71">
        <v>22841</v>
      </c>
      <c r="H308" s="1353"/>
      <c r="I308" s="2939"/>
      <c r="J308" s="572">
        <v>39706</v>
      </c>
      <c r="K308" s="71">
        <v>412596</v>
      </c>
      <c r="L308" s="1353"/>
      <c r="M308" s="2939"/>
      <c r="N308" s="456">
        <v>20323.41</v>
      </c>
      <c r="O308" s="2944">
        <v>22393.040000000001</v>
      </c>
      <c r="P308" s="166"/>
      <c r="Q308" s="166"/>
      <c r="R308" s="1339"/>
    </row>
    <row r="309" spans="1:18">
      <c r="A309" s="167">
        <f t="shared" si="2"/>
        <v>2018.12</v>
      </c>
      <c r="B309" s="215">
        <v>65394</v>
      </c>
      <c r="C309" s="3538">
        <v>36678</v>
      </c>
      <c r="D309" s="190">
        <v>28716</v>
      </c>
      <c r="E309" s="456">
        <v>808887</v>
      </c>
      <c r="F309" s="572">
        <v>2108</v>
      </c>
      <c r="G309" s="71">
        <v>23187</v>
      </c>
      <c r="H309" s="1353"/>
      <c r="I309" s="2939"/>
      <c r="J309" s="572">
        <v>39120</v>
      </c>
      <c r="K309" s="71">
        <v>401316</v>
      </c>
      <c r="L309" s="1353"/>
      <c r="M309" s="2939"/>
      <c r="N309" s="456">
        <v>29770.400000000001</v>
      </c>
      <c r="O309" s="2944">
        <v>32773.370000000003</v>
      </c>
      <c r="P309" s="166"/>
      <c r="Q309" s="166"/>
      <c r="R309" s="1339"/>
    </row>
    <row r="310" spans="1:18">
      <c r="A310" s="167">
        <f t="shared" si="2"/>
        <v>2019.01</v>
      </c>
      <c r="B310" s="215">
        <v>64413</v>
      </c>
      <c r="C310" s="3538">
        <v>38576</v>
      </c>
      <c r="D310" s="190">
        <v>25837</v>
      </c>
      <c r="E310" s="456">
        <v>873987</v>
      </c>
      <c r="F310" s="572">
        <v>2141</v>
      </c>
      <c r="G310" s="71">
        <v>23533</v>
      </c>
      <c r="H310" s="1353"/>
      <c r="I310" s="2939"/>
      <c r="J310" s="572">
        <v>40225</v>
      </c>
      <c r="K310" s="71">
        <v>404846</v>
      </c>
      <c r="L310" s="1353"/>
      <c r="M310" s="2939"/>
      <c r="N310" s="456">
        <v>22001.06</v>
      </c>
      <c r="O310" s="2944">
        <v>24261.98</v>
      </c>
      <c r="P310" s="166"/>
      <c r="Q310" s="166"/>
      <c r="R310" s="1339"/>
    </row>
    <row r="311" spans="1:18">
      <c r="A311" s="167">
        <f t="shared" si="2"/>
        <v>2019.02</v>
      </c>
      <c r="B311" s="215">
        <v>75841</v>
      </c>
      <c r="C311" s="3538">
        <v>42860</v>
      </c>
      <c r="D311" s="190">
        <v>32981</v>
      </c>
      <c r="E311" s="456">
        <v>921087</v>
      </c>
      <c r="F311" s="572">
        <v>2156</v>
      </c>
      <c r="G311" s="71">
        <v>23778</v>
      </c>
      <c r="H311" s="1353"/>
      <c r="I311" s="2939"/>
      <c r="J311" s="572">
        <v>40719</v>
      </c>
      <c r="K311" s="71">
        <v>414575</v>
      </c>
      <c r="L311" s="1353"/>
      <c r="M311" s="2939"/>
      <c r="N311" s="456">
        <v>21582.11</v>
      </c>
      <c r="O311" s="2944">
        <v>23422.32</v>
      </c>
      <c r="P311" s="166"/>
      <c r="Q311" s="166"/>
      <c r="R311" s="1339"/>
    </row>
    <row r="312" spans="1:18">
      <c r="A312" s="167">
        <f t="shared" si="2"/>
        <v>2019.03</v>
      </c>
      <c r="B312" s="215">
        <v>77642</v>
      </c>
      <c r="C312" s="3538">
        <v>44357</v>
      </c>
      <c r="D312" s="190">
        <v>33285</v>
      </c>
      <c r="E312" s="456">
        <v>940167</v>
      </c>
      <c r="F312" s="572">
        <v>2178</v>
      </c>
      <c r="G312" s="71">
        <v>24084</v>
      </c>
      <c r="H312" s="1353"/>
      <c r="I312" s="2939"/>
      <c r="J312" s="572">
        <v>40540</v>
      </c>
      <c r="K312" s="71">
        <v>419809</v>
      </c>
      <c r="L312" s="1353"/>
      <c r="M312" s="2939"/>
      <c r="N312" s="456">
        <v>24119.09</v>
      </c>
      <c r="O312" s="2944">
        <v>25982.03</v>
      </c>
      <c r="P312" s="166"/>
      <c r="Q312" s="166"/>
      <c r="R312" s="1339"/>
    </row>
    <row r="313" spans="1:18">
      <c r="A313" s="167">
        <f t="shared" si="2"/>
        <v>2019.04</v>
      </c>
      <c r="B313" s="215">
        <v>69249</v>
      </c>
      <c r="C313" s="3538">
        <v>37694</v>
      </c>
      <c r="D313" s="190">
        <v>31554</v>
      </c>
      <c r="E313" s="456">
        <v>900938</v>
      </c>
      <c r="F313" s="572">
        <v>2172</v>
      </c>
      <c r="G313" s="71">
        <v>24292</v>
      </c>
      <c r="H313" s="1353"/>
      <c r="I313" s="2939"/>
      <c r="J313" s="572">
        <v>39281</v>
      </c>
      <c r="K313" s="71">
        <v>417728</v>
      </c>
      <c r="L313" s="1353"/>
      <c r="M313" s="2939"/>
      <c r="N313" s="456">
        <v>23553.74</v>
      </c>
      <c r="O313" s="2944">
        <v>26282.48</v>
      </c>
      <c r="P313" s="166"/>
      <c r="Q313" s="166"/>
      <c r="R313" s="1339"/>
    </row>
    <row r="314" spans="1:18">
      <c r="A314" s="167">
        <f t="shared" si="2"/>
        <v>2019.05</v>
      </c>
      <c r="B314" s="215">
        <v>76813</v>
      </c>
      <c r="C314" s="3538">
        <v>39986</v>
      </c>
      <c r="D314" s="190">
        <v>36827</v>
      </c>
      <c r="E314" s="456">
        <v>964733</v>
      </c>
      <c r="F314" s="572">
        <v>1764</v>
      </c>
      <c r="G314" s="71">
        <v>19332</v>
      </c>
      <c r="H314" s="1353"/>
      <c r="I314" s="2939"/>
      <c r="J314" s="572">
        <v>39295</v>
      </c>
      <c r="K314" s="71">
        <v>417391</v>
      </c>
      <c r="L314" s="1353"/>
      <c r="M314" s="2939"/>
      <c r="N314" s="456">
        <v>28652.26</v>
      </c>
      <c r="O314" s="2944">
        <v>30933.21</v>
      </c>
      <c r="P314" s="166"/>
      <c r="Q314" s="166"/>
      <c r="R314" s="1339"/>
    </row>
    <row r="315" spans="1:18">
      <c r="A315" s="167">
        <f t="shared" si="2"/>
        <v>2019.06</v>
      </c>
      <c r="B315" s="215">
        <v>73178</v>
      </c>
      <c r="C315" s="3538">
        <v>38704</v>
      </c>
      <c r="D315" s="190">
        <v>34474</v>
      </c>
      <c r="E315" s="456">
        <v>860652</v>
      </c>
      <c r="F315" s="572">
        <v>1823</v>
      </c>
      <c r="G315" s="71">
        <v>20075</v>
      </c>
      <c r="H315" s="1353"/>
      <c r="I315" s="2939"/>
      <c r="J315" s="572">
        <v>38919</v>
      </c>
      <c r="K315" s="71">
        <v>411178</v>
      </c>
      <c r="L315" s="1353"/>
      <c r="M315" s="2939"/>
      <c r="N315" s="579">
        <v>37236.519999999997</v>
      </c>
      <c r="O315" s="2947">
        <v>40703.69</v>
      </c>
      <c r="P315" s="166"/>
      <c r="Q315" s="166"/>
      <c r="R315" s="1339"/>
    </row>
    <row r="316" spans="1:18">
      <c r="A316" s="167">
        <f t="shared" si="2"/>
        <v>2019.07</v>
      </c>
      <c r="B316" s="215">
        <v>81076</v>
      </c>
      <c r="C316" s="3538">
        <v>44374</v>
      </c>
      <c r="D316" s="190">
        <v>36702</v>
      </c>
      <c r="E316" s="456">
        <v>1000469</v>
      </c>
      <c r="F316" s="572">
        <v>1874</v>
      </c>
      <c r="G316" s="71">
        <v>20665</v>
      </c>
      <c r="H316" s="1353"/>
      <c r="I316" s="2939"/>
      <c r="J316" s="572">
        <v>38712</v>
      </c>
      <c r="K316" s="71">
        <v>408630</v>
      </c>
      <c r="L316" s="1353"/>
      <c r="M316" s="2939"/>
      <c r="N316" s="579">
        <v>28100.48</v>
      </c>
      <c r="O316" s="2947">
        <v>30627.77</v>
      </c>
      <c r="P316" s="166"/>
      <c r="Q316" s="166"/>
      <c r="R316" s="1339"/>
    </row>
    <row r="317" spans="1:18">
      <c r="A317" s="167">
        <f t="shared" si="2"/>
        <v>2019.08</v>
      </c>
      <c r="B317" s="215">
        <v>84089</v>
      </c>
      <c r="C317" s="3538">
        <v>45765</v>
      </c>
      <c r="D317" s="190">
        <v>38324</v>
      </c>
      <c r="E317" s="456">
        <v>1048460</v>
      </c>
      <c r="F317" s="572">
        <v>1932</v>
      </c>
      <c r="G317" s="71">
        <v>21265</v>
      </c>
      <c r="H317" s="1353"/>
      <c r="I317" s="2939"/>
      <c r="J317" s="766">
        <v>38142</v>
      </c>
      <c r="K317" s="765">
        <v>406166</v>
      </c>
      <c r="L317" s="1353"/>
      <c r="M317" s="2939"/>
      <c r="N317" s="579">
        <v>29461.42</v>
      </c>
      <c r="O317" s="2947">
        <v>32652.1</v>
      </c>
      <c r="P317" s="166"/>
      <c r="Q317" s="166"/>
      <c r="R317" s="1339"/>
    </row>
    <row r="318" spans="1:18">
      <c r="A318" s="167">
        <f t="shared" si="2"/>
        <v>2019.09</v>
      </c>
      <c r="B318" s="215">
        <v>70532</v>
      </c>
      <c r="C318" s="3538">
        <v>39347</v>
      </c>
      <c r="D318" s="190">
        <v>31185</v>
      </c>
      <c r="E318" s="456">
        <v>938994</v>
      </c>
      <c r="F318" s="572">
        <v>1967</v>
      </c>
      <c r="G318" s="71">
        <v>21722</v>
      </c>
      <c r="H318" s="1353"/>
      <c r="I318" s="2939"/>
      <c r="J318" s="766">
        <v>37187</v>
      </c>
      <c r="K318" s="765">
        <v>397065</v>
      </c>
      <c r="L318" s="1353"/>
      <c r="M318" s="2939"/>
      <c r="N318" s="456">
        <v>28067.73</v>
      </c>
      <c r="O318" s="2944">
        <v>30864.46</v>
      </c>
      <c r="P318" s="456"/>
      <c r="Q318" s="166"/>
      <c r="R318" s="1339"/>
    </row>
    <row r="319" spans="1:18">
      <c r="A319" s="167">
        <f t="shared" si="2"/>
        <v>2019.1</v>
      </c>
      <c r="B319" s="215">
        <v>69144</v>
      </c>
      <c r="C319" s="3538">
        <v>41760</v>
      </c>
      <c r="D319" s="190">
        <v>27384</v>
      </c>
      <c r="E319" s="456">
        <v>948931</v>
      </c>
      <c r="F319" s="572">
        <v>2008</v>
      </c>
      <c r="G319" s="71">
        <v>22228</v>
      </c>
      <c r="H319" s="1353"/>
      <c r="I319" s="2939"/>
      <c r="J319" s="572">
        <v>36450</v>
      </c>
      <c r="K319" s="71">
        <v>388164</v>
      </c>
      <c r="L319" s="1353"/>
      <c r="M319" s="2939"/>
      <c r="N319" s="456">
        <v>31032.91</v>
      </c>
      <c r="O319" s="2944">
        <v>34316.199999999997</v>
      </c>
      <c r="P319" s="166"/>
      <c r="Q319" s="166"/>
      <c r="R319" s="1339"/>
    </row>
    <row r="320" spans="1:18">
      <c r="A320" s="167">
        <f t="shared" si="2"/>
        <v>2019.11</v>
      </c>
      <c r="B320" s="215">
        <v>63634</v>
      </c>
      <c r="C320" s="3538">
        <v>35403</v>
      </c>
      <c r="D320" s="190">
        <v>28231</v>
      </c>
      <c r="E320" s="456">
        <v>872207</v>
      </c>
      <c r="F320" s="572">
        <v>2031</v>
      </c>
      <c r="G320" s="71">
        <v>22583</v>
      </c>
      <c r="H320" s="1353"/>
      <c r="I320" s="2939"/>
      <c r="J320" s="766">
        <v>36389</v>
      </c>
      <c r="K320" s="71">
        <v>378009</v>
      </c>
      <c r="L320" s="1353"/>
      <c r="M320" s="2939"/>
      <c r="N320" s="456">
        <v>31840.6</v>
      </c>
      <c r="O320" s="2944">
        <v>35568.71</v>
      </c>
      <c r="P320" s="166"/>
      <c r="Q320" s="166"/>
      <c r="R320" s="1339"/>
    </row>
    <row r="321" spans="1:18">
      <c r="A321" s="167">
        <f t="shared" si="2"/>
        <v>2019.12</v>
      </c>
      <c r="B321" s="215">
        <v>57265</v>
      </c>
      <c r="C321" s="3538">
        <v>31396</v>
      </c>
      <c r="D321" s="190">
        <v>25869</v>
      </c>
      <c r="E321" s="456">
        <v>732734</v>
      </c>
      <c r="F321" s="572">
        <v>2049</v>
      </c>
      <c r="G321" s="71">
        <v>22832</v>
      </c>
      <c r="H321" s="1353"/>
      <c r="I321" s="2939"/>
      <c r="J321" s="766">
        <v>34716</v>
      </c>
      <c r="K321" s="71">
        <v>357311</v>
      </c>
      <c r="L321" s="1353"/>
      <c r="M321" s="2939"/>
      <c r="N321" s="456">
        <v>46147.53</v>
      </c>
      <c r="O321" s="2944">
        <v>51361.59</v>
      </c>
      <c r="P321" s="166"/>
      <c r="Q321" s="166"/>
      <c r="R321" s="1339"/>
    </row>
    <row r="322" spans="1:18">
      <c r="A322" s="167">
        <f t="shared" si="2"/>
        <v>2020.01</v>
      </c>
      <c r="B322" s="215">
        <v>54388</v>
      </c>
      <c r="C322" s="3538">
        <v>34050</v>
      </c>
      <c r="D322" s="190">
        <v>20338</v>
      </c>
      <c r="E322" s="456">
        <v>745681</v>
      </c>
      <c r="F322" s="572">
        <v>2065</v>
      </c>
      <c r="G322" s="71">
        <v>23109</v>
      </c>
      <c r="H322" s="1353"/>
      <c r="I322" s="2939"/>
      <c r="J322" s="766">
        <v>34220</v>
      </c>
      <c r="K322" s="71">
        <v>343671</v>
      </c>
      <c r="L322" s="1353"/>
      <c r="M322" s="2939"/>
      <c r="N322" s="456">
        <v>37006.31</v>
      </c>
      <c r="O322" s="2944">
        <v>40022.47</v>
      </c>
      <c r="P322" s="166"/>
      <c r="Q322" s="166"/>
      <c r="R322" s="1339"/>
    </row>
    <row r="323" spans="1:18">
      <c r="A323" s="167">
        <f t="shared" si="2"/>
        <v>2020.02</v>
      </c>
      <c r="B323" s="215">
        <v>52619</v>
      </c>
      <c r="C323" s="3538">
        <v>30929</v>
      </c>
      <c r="D323" s="190">
        <v>21690</v>
      </c>
      <c r="E323" s="456">
        <v>686602</v>
      </c>
      <c r="F323" s="572">
        <v>2082</v>
      </c>
      <c r="G323" s="71">
        <v>23275</v>
      </c>
      <c r="H323" s="1353"/>
      <c r="I323" s="2939"/>
      <c r="J323" s="766">
        <v>32480</v>
      </c>
      <c r="K323" s="71">
        <v>337208</v>
      </c>
      <c r="L323" s="1353"/>
      <c r="M323" s="2939"/>
      <c r="N323" s="456">
        <v>38466.339999999997</v>
      </c>
      <c r="O323" s="2944">
        <v>41411.54</v>
      </c>
      <c r="P323" s="166"/>
      <c r="Q323" s="166"/>
      <c r="R323" s="1339"/>
    </row>
    <row r="324" spans="1:18">
      <c r="A324" s="167">
        <f t="shared" si="2"/>
        <v>2020.03</v>
      </c>
      <c r="B324" s="215">
        <v>43044</v>
      </c>
      <c r="C324" s="3538">
        <v>26596</v>
      </c>
      <c r="D324" s="190">
        <v>16448</v>
      </c>
      <c r="E324" s="456">
        <v>502368</v>
      </c>
      <c r="F324" s="572">
        <v>2093</v>
      </c>
      <c r="G324" s="71">
        <v>23408</v>
      </c>
      <c r="H324" s="1353"/>
      <c r="I324" s="2939"/>
      <c r="J324" s="766">
        <v>30387</v>
      </c>
      <c r="K324" s="71">
        <v>317672</v>
      </c>
      <c r="L324" s="1353"/>
      <c r="M324" s="2939"/>
      <c r="N324" s="456">
        <v>35995.370000000003</v>
      </c>
      <c r="O324" s="2944">
        <v>39099.870000000003</v>
      </c>
      <c r="P324" s="166"/>
      <c r="Q324" s="166"/>
      <c r="R324" s="1339"/>
    </row>
    <row r="325" spans="1:18">
      <c r="A325" s="167">
        <f t="shared" si="2"/>
        <v>2020.04</v>
      </c>
      <c r="B325" s="215">
        <v>24456</v>
      </c>
      <c r="C325" s="3538">
        <v>21177</v>
      </c>
      <c r="D325" s="190">
        <v>3279</v>
      </c>
      <c r="E325" s="456">
        <v>403653</v>
      </c>
      <c r="F325" s="572">
        <v>2095</v>
      </c>
      <c r="G325" s="71">
        <v>23401</v>
      </c>
      <c r="H325" s="1353"/>
      <c r="I325" s="2939"/>
      <c r="J325" s="766">
        <v>26431</v>
      </c>
      <c r="K325" s="71">
        <v>273111</v>
      </c>
      <c r="L325" s="1353"/>
      <c r="M325" s="2939"/>
      <c r="N325" s="456">
        <v>31062.45</v>
      </c>
      <c r="O325" s="2944">
        <v>33620.089999999997</v>
      </c>
      <c r="P325" s="166"/>
      <c r="Q325" s="166"/>
      <c r="R325" s="1339"/>
    </row>
    <row r="326" spans="1:18">
      <c r="A326" s="167">
        <f t="shared" si="2"/>
        <v>2020.05</v>
      </c>
      <c r="B326" s="215">
        <v>51994</v>
      </c>
      <c r="C326" s="3538">
        <v>38086</v>
      </c>
      <c r="D326" s="190">
        <v>13909</v>
      </c>
      <c r="E326" s="456">
        <v>648543</v>
      </c>
      <c r="F326" s="572">
        <v>1294</v>
      </c>
      <c r="G326" s="71">
        <v>13952</v>
      </c>
      <c r="H326" s="1353"/>
      <c r="I326" s="2939"/>
      <c r="J326" s="766">
        <v>26171</v>
      </c>
      <c r="K326" s="71">
        <v>268807</v>
      </c>
      <c r="L326" s="1353"/>
      <c r="M326" s="2939"/>
      <c r="N326" s="456">
        <v>33744.33</v>
      </c>
      <c r="O326" s="2944">
        <v>35921.519999999997</v>
      </c>
      <c r="P326" s="166"/>
      <c r="Q326" s="166"/>
      <c r="R326" s="1339"/>
    </row>
    <row r="327" spans="1:18">
      <c r="A327" s="167">
        <f t="shared" si="2"/>
        <v>2020.06</v>
      </c>
      <c r="B327" s="215">
        <v>72737</v>
      </c>
      <c r="C327" s="3538">
        <v>47773</v>
      </c>
      <c r="D327" s="190">
        <v>24964</v>
      </c>
      <c r="E327" s="456">
        <v>797794</v>
      </c>
      <c r="F327" s="572">
        <v>1587</v>
      </c>
      <c r="G327" s="71">
        <v>15930</v>
      </c>
      <c r="H327" s="1353"/>
      <c r="I327" s="2939"/>
      <c r="J327" s="766">
        <v>26901</v>
      </c>
      <c r="K327" s="71">
        <v>272283</v>
      </c>
      <c r="L327" s="1353"/>
      <c r="M327" s="2939"/>
      <c r="N327" s="456">
        <v>52533.25</v>
      </c>
      <c r="O327" s="2944">
        <v>54461.81</v>
      </c>
      <c r="P327" s="166"/>
      <c r="Q327" s="166"/>
      <c r="R327" s="1339"/>
    </row>
    <row r="328" spans="1:18">
      <c r="A328" s="167">
        <f t="shared" si="2"/>
        <v>2020.07</v>
      </c>
      <c r="B328" s="215">
        <v>84614</v>
      </c>
      <c r="C328" s="3538">
        <v>55453</v>
      </c>
      <c r="D328" s="190">
        <v>29160</v>
      </c>
      <c r="E328" s="456">
        <v>862675</v>
      </c>
      <c r="F328" s="572">
        <v>1685</v>
      </c>
      <c r="G328" s="71">
        <v>16776</v>
      </c>
      <c r="H328" s="1353"/>
      <c r="I328" s="2939"/>
      <c r="J328" s="572">
        <v>27567</v>
      </c>
      <c r="K328" s="71">
        <v>268558</v>
      </c>
      <c r="L328" s="1353"/>
      <c r="M328" s="2939"/>
      <c r="N328" s="456">
        <v>27554.79</v>
      </c>
      <c r="O328" s="2944">
        <v>38763.949999999997</v>
      </c>
      <c r="P328" s="166"/>
      <c r="Q328" s="166"/>
      <c r="R328" s="1339"/>
    </row>
    <row r="329" spans="1:18">
      <c r="A329" s="167">
        <f t="shared" si="2"/>
        <v>2020.08</v>
      </c>
      <c r="B329" s="215">
        <v>81584</v>
      </c>
      <c r="C329" s="3538">
        <v>51641</v>
      </c>
      <c r="D329" s="190">
        <v>29943</v>
      </c>
      <c r="E329" s="456">
        <v>917233</v>
      </c>
      <c r="F329" s="572">
        <v>1743</v>
      </c>
      <c r="G329" s="71">
        <v>17391</v>
      </c>
      <c r="H329" s="1353"/>
      <c r="I329" s="2939"/>
      <c r="J329" s="572">
        <v>28074</v>
      </c>
      <c r="K329" s="71">
        <v>273680</v>
      </c>
      <c r="L329" s="1353"/>
      <c r="M329" s="2939"/>
      <c r="N329" s="456">
        <v>36542.980000000003</v>
      </c>
      <c r="O329" s="2944">
        <v>37918.019999999997</v>
      </c>
      <c r="P329" s="166"/>
      <c r="Q329" s="166"/>
      <c r="R329" s="1339"/>
    </row>
    <row r="330" spans="1:18">
      <c r="A330" s="167">
        <f t="shared" si="2"/>
        <v>2020.09</v>
      </c>
      <c r="B330" s="215">
        <v>85502</v>
      </c>
      <c r="C330" s="3538">
        <v>56891</v>
      </c>
      <c r="D330" s="190">
        <v>28611</v>
      </c>
      <c r="E330" s="456">
        <v>1037475</v>
      </c>
      <c r="F330" s="572">
        <v>1785</v>
      </c>
      <c r="G330" s="71">
        <v>17985</v>
      </c>
      <c r="H330" s="1353"/>
      <c r="I330" s="2939"/>
      <c r="J330" s="572">
        <v>28343</v>
      </c>
      <c r="K330" s="71">
        <v>282413</v>
      </c>
      <c r="L330" s="1353"/>
      <c r="M330" s="2939"/>
      <c r="N330" s="456">
        <v>36254.839999999997</v>
      </c>
      <c r="O330" s="2944">
        <v>39223.89</v>
      </c>
      <c r="P330" s="166"/>
      <c r="Q330" s="166"/>
      <c r="R330" s="1339"/>
    </row>
    <row r="331" spans="1:18">
      <c r="A331" s="167">
        <f t="shared" si="2"/>
        <v>2020.1</v>
      </c>
      <c r="B331" s="215">
        <v>88152</v>
      </c>
      <c r="C331" s="3538">
        <v>55838</v>
      </c>
      <c r="D331" s="190">
        <v>32314</v>
      </c>
      <c r="E331" s="456">
        <v>1070232</v>
      </c>
      <c r="F331" s="572">
        <v>1830</v>
      </c>
      <c r="G331" s="71">
        <v>18518</v>
      </c>
      <c r="H331" s="1353"/>
      <c r="I331" s="2939"/>
      <c r="J331" s="572">
        <v>28925</v>
      </c>
      <c r="K331" s="71">
        <v>291505</v>
      </c>
      <c r="L331" s="1353"/>
      <c r="M331" s="2939"/>
      <c r="N331" s="456">
        <v>37686.65</v>
      </c>
      <c r="O331" s="2944">
        <v>40754.71</v>
      </c>
      <c r="P331" s="166"/>
      <c r="Q331" s="166"/>
      <c r="R331" s="1339"/>
    </row>
    <row r="332" spans="1:18">
      <c r="A332" s="167">
        <f t="shared" si="2"/>
        <v>2020.11</v>
      </c>
      <c r="B332" s="215">
        <v>84605</v>
      </c>
      <c r="C332" s="3538">
        <v>54918</v>
      </c>
      <c r="D332" s="190">
        <v>29687</v>
      </c>
      <c r="E332" s="456">
        <v>1092246</v>
      </c>
      <c r="F332" s="572">
        <v>1871</v>
      </c>
      <c r="G332" s="71">
        <v>18978</v>
      </c>
      <c r="H332" s="1353"/>
      <c r="I332" s="2939"/>
      <c r="J332" s="572">
        <v>29413</v>
      </c>
      <c r="K332" s="71">
        <v>298430</v>
      </c>
      <c r="L332" s="1353"/>
      <c r="M332" s="2939"/>
      <c r="N332" s="456">
        <v>43223.71</v>
      </c>
      <c r="O332" s="2944">
        <v>46641.53</v>
      </c>
      <c r="P332" s="166"/>
      <c r="Q332" s="166"/>
      <c r="R332" s="1339"/>
    </row>
    <row r="333" spans="1:18">
      <c r="A333" s="167">
        <f t="shared" si="2"/>
        <v>2020.12</v>
      </c>
      <c r="B333" s="215">
        <v>81834</v>
      </c>
      <c r="C333" s="3538">
        <v>52354</v>
      </c>
      <c r="D333" s="190">
        <v>29480</v>
      </c>
      <c r="E333" s="456">
        <v>976945</v>
      </c>
      <c r="F333" s="572">
        <v>1890</v>
      </c>
      <c r="G333" s="71">
        <v>19308</v>
      </c>
      <c r="H333" s="1353"/>
      <c r="I333" s="2939"/>
      <c r="J333" s="572">
        <v>28963</v>
      </c>
      <c r="K333" s="71">
        <v>294178</v>
      </c>
      <c r="L333" s="1353"/>
      <c r="M333" s="2939"/>
      <c r="N333" s="456">
        <v>59634.17</v>
      </c>
      <c r="O333" s="2944">
        <v>66716.03</v>
      </c>
      <c r="P333" s="166"/>
      <c r="Q333" s="166"/>
      <c r="R333" s="1339"/>
    </row>
    <row r="334" spans="1:18">
      <c r="A334" s="167">
        <f t="shared" si="2"/>
        <v>2021.01</v>
      </c>
      <c r="B334" s="215">
        <v>70465</v>
      </c>
      <c r="C334" s="3538">
        <v>45155</v>
      </c>
      <c r="D334" s="190">
        <v>25310</v>
      </c>
      <c r="E334" s="456">
        <v>895416</v>
      </c>
      <c r="F334" s="572">
        <v>1917</v>
      </c>
      <c r="G334" s="71">
        <v>19632</v>
      </c>
      <c r="H334" s="1353"/>
      <c r="I334" s="2939"/>
      <c r="J334" s="572">
        <v>30070</v>
      </c>
      <c r="K334" s="71">
        <v>299499</v>
      </c>
      <c r="L334" s="1353"/>
      <c r="M334" s="2939"/>
      <c r="N334" s="456">
        <v>42273.919999999998</v>
      </c>
      <c r="O334" s="2944">
        <v>47200.5</v>
      </c>
      <c r="P334" s="166"/>
      <c r="Q334" s="166"/>
      <c r="R334" s="1339"/>
    </row>
    <row r="335" spans="1:18">
      <c r="A335" s="167">
        <f t="shared" si="2"/>
        <v>2021.02</v>
      </c>
      <c r="B335" s="215">
        <v>66629</v>
      </c>
      <c r="C335" s="3538">
        <v>39837</v>
      </c>
      <c r="D335" s="190">
        <v>26792</v>
      </c>
      <c r="E335" s="456">
        <v>811697</v>
      </c>
      <c r="F335" s="572">
        <v>1938</v>
      </c>
      <c r="G335" s="71">
        <v>19945</v>
      </c>
      <c r="H335" s="1353"/>
      <c r="I335" s="2939"/>
      <c r="J335" s="572">
        <v>31108</v>
      </c>
      <c r="K335" s="71">
        <v>309585</v>
      </c>
      <c r="L335" s="1353"/>
      <c r="M335" s="2939"/>
      <c r="N335" s="456">
        <v>45916.39</v>
      </c>
      <c r="O335" s="2944">
        <v>49048.57</v>
      </c>
      <c r="P335" s="166"/>
      <c r="Q335" s="166"/>
      <c r="R335" s="1339"/>
    </row>
    <row r="336" spans="1:18">
      <c r="A336" s="167">
        <f t="shared" si="2"/>
        <v>2021.03</v>
      </c>
      <c r="B336" s="215">
        <v>78849</v>
      </c>
      <c r="C336" s="3538">
        <v>45479</v>
      </c>
      <c r="D336" s="190">
        <v>33370</v>
      </c>
      <c r="E336" s="456">
        <v>974347</v>
      </c>
      <c r="F336" s="572">
        <v>1959</v>
      </c>
      <c r="G336" s="71">
        <v>20514</v>
      </c>
      <c r="H336" s="1353"/>
      <c r="I336" s="2939"/>
      <c r="J336" s="572">
        <v>32194</v>
      </c>
      <c r="K336" s="71">
        <v>322000</v>
      </c>
      <c r="L336" s="1353"/>
      <c r="M336" s="2939"/>
      <c r="N336" s="456">
        <v>48604.35</v>
      </c>
      <c r="O336" s="2944">
        <v>52877.57</v>
      </c>
      <c r="P336" s="166"/>
      <c r="Q336" s="166"/>
      <c r="R336" s="1339"/>
    </row>
    <row r="337" spans="1:18">
      <c r="A337" s="167">
        <f t="shared" si="2"/>
        <v>2021.04</v>
      </c>
      <c r="B337" s="215">
        <v>75158</v>
      </c>
      <c r="C337" s="3538">
        <v>43145</v>
      </c>
      <c r="D337" s="190">
        <v>32013</v>
      </c>
      <c r="E337" s="456">
        <v>947965</v>
      </c>
      <c r="F337" s="572">
        <v>1980</v>
      </c>
      <c r="G337" s="71">
        <v>20843</v>
      </c>
      <c r="H337" s="1353"/>
      <c r="I337" s="2939"/>
      <c r="J337" s="572">
        <v>31838</v>
      </c>
      <c r="K337" s="71">
        <v>324276</v>
      </c>
      <c r="L337" s="1353"/>
      <c r="M337" s="2939"/>
      <c r="N337" s="456">
        <v>52998.66</v>
      </c>
      <c r="O337" s="2944">
        <v>57000.97</v>
      </c>
      <c r="P337" s="166"/>
      <c r="Q337" s="166"/>
      <c r="R337" s="1339"/>
    </row>
    <row r="338" spans="1:18">
      <c r="A338" s="167">
        <f t="shared" si="2"/>
        <v>2021.05</v>
      </c>
      <c r="B338" s="215">
        <v>69549</v>
      </c>
      <c r="C338" s="3538">
        <v>38367</v>
      </c>
      <c r="D338" s="190">
        <v>31181</v>
      </c>
      <c r="E338" s="456">
        <v>874188</v>
      </c>
      <c r="F338" s="572">
        <v>1659</v>
      </c>
      <c r="G338" s="71">
        <v>17149</v>
      </c>
      <c r="H338" s="1353"/>
      <c r="I338" s="2939"/>
      <c r="J338" s="572">
        <v>31915</v>
      </c>
      <c r="K338" s="71">
        <v>325324</v>
      </c>
      <c r="L338" s="1353"/>
      <c r="M338" s="2939"/>
      <c r="N338" s="456">
        <v>50994.25</v>
      </c>
      <c r="O338" s="2944">
        <v>56244.1</v>
      </c>
      <c r="P338" s="166"/>
      <c r="Q338" s="166"/>
      <c r="R338" s="1339"/>
    </row>
    <row r="339" spans="1:18">
      <c r="A339" s="167">
        <f t="shared" si="2"/>
        <v>2021.06</v>
      </c>
      <c r="B339" s="215">
        <v>85028</v>
      </c>
      <c r="C339" s="3538">
        <v>48947</v>
      </c>
      <c r="D339" s="190">
        <v>36081</v>
      </c>
      <c r="E339" s="456">
        <v>961512</v>
      </c>
      <c r="F339" s="572">
        <v>1712</v>
      </c>
      <c r="G339" s="71">
        <v>17883</v>
      </c>
      <c r="H339" s="1353"/>
      <c r="I339" s="2939"/>
      <c r="J339" s="572">
        <v>31913</v>
      </c>
      <c r="K339" s="71">
        <v>332338</v>
      </c>
      <c r="L339" s="1353"/>
      <c r="M339" s="2939"/>
      <c r="N339" s="456">
        <v>71480.710000000006</v>
      </c>
      <c r="O339" s="2944">
        <v>77637.73</v>
      </c>
      <c r="P339" s="166"/>
      <c r="Q339" s="166"/>
      <c r="R339" s="1339"/>
    </row>
    <row r="340" spans="1:18">
      <c r="A340" s="167">
        <f t="shared" si="2"/>
        <v>2021.07</v>
      </c>
      <c r="B340" s="215">
        <v>86573</v>
      </c>
      <c r="C340" s="3538">
        <v>47864</v>
      </c>
      <c r="D340" s="190">
        <v>38709</v>
      </c>
      <c r="E340" s="456">
        <v>1043235</v>
      </c>
      <c r="F340" s="572">
        <v>1759</v>
      </c>
      <c r="G340" s="71">
        <v>18450</v>
      </c>
      <c r="H340" s="1353"/>
      <c r="I340" s="2939"/>
      <c r="J340" s="572">
        <v>32691</v>
      </c>
      <c r="K340" s="71">
        <v>340020</v>
      </c>
      <c r="L340" s="1353"/>
      <c r="M340" s="2939"/>
      <c r="N340" s="456">
        <v>55842.39</v>
      </c>
      <c r="O340" s="2944">
        <v>62216.44</v>
      </c>
      <c r="P340" s="166"/>
      <c r="Q340" s="166"/>
      <c r="R340" s="1339"/>
    </row>
    <row r="341" spans="1:18" ht="12" customHeight="1">
      <c r="A341" s="167">
        <f t="shared" si="2"/>
        <v>2021.08</v>
      </c>
      <c r="B341" s="215">
        <v>90561</v>
      </c>
      <c r="C341" s="3538">
        <v>50009</v>
      </c>
      <c r="D341" s="190">
        <v>40553</v>
      </c>
      <c r="E341" s="456">
        <v>1083824</v>
      </c>
      <c r="F341" s="572">
        <v>1804</v>
      </c>
      <c r="G341" s="71">
        <v>18985</v>
      </c>
      <c r="H341" s="1353"/>
      <c r="I341" s="2939"/>
      <c r="J341" s="572">
        <v>33398</v>
      </c>
      <c r="K341" s="71">
        <v>349397</v>
      </c>
      <c r="L341" s="1353"/>
      <c r="M341" s="2939"/>
      <c r="N341" s="456">
        <v>56581.78</v>
      </c>
      <c r="O341" s="2944">
        <v>62627.14</v>
      </c>
      <c r="P341" s="166"/>
      <c r="Q341" s="166"/>
      <c r="R341" s="1339"/>
    </row>
    <row r="342" spans="1:18">
      <c r="A342" s="167">
        <f t="shared" si="2"/>
        <v>2021.09</v>
      </c>
      <c r="B342" s="215">
        <v>89168</v>
      </c>
      <c r="C342" s="3538">
        <v>51088</v>
      </c>
      <c r="D342" s="190">
        <v>38080</v>
      </c>
      <c r="E342" s="456">
        <v>1110263</v>
      </c>
      <c r="F342" s="572">
        <v>1874</v>
      </c>
      <c r="G342" s="71">
        <v>19641</v>
      </c>
      <c r="H342" s="1353"/>
      <c r="I342" s="2939"/>
      <c r="J342" s="572">
        <v>34206</v>
      </c>
      <c r="K342" s="71">
        <v>355611</v>
      </c>
      <c r="L342" s="1353"/>
      <c r="M342" s="2939"/>
      <c r="N342" s="456">
        <v>58367.42</v>
      </c>
      <c r="O342" s="2944">
        <v>63996.44</v>
      </c>
      <c r="P342" s="166"/>
      <c r="Q342" s="166"/>
      <c r="R342" s="1339"/>
    </row>
    <row r="343" spans="1:18">
      <c r="A343" s="167">
        <f t="shared" si="2"/>
        <v>2021.1</v>
      </c>
      <c r="B343" s="215">
        <v>87385</v>
      </c>
      <c r="C343" s="3538">
        <v>49933</v>
      </c>
      <c r="D343" s="190">
        <v>37452</v>
      </c>
      <c r="E343" s="456">
        <v>1140962</v>
      </c>
      <c r="F343" s="572">
        <v>1924</v>
      </c>
      <c r="G343" s="71">
        <v>20125</v>
      </c>
      <c r="H343" s="1353"/>
      <c r="I343" s="2939"/>
      <c r="J343" s="572">
        <v>35243</v>
      </c>
      <c r="K343" s="71">
        <v>361263</v>
      </c>
      <c r="L343" s="1353"/>
      <c r="M343" s="2939"/>
      <c r="N343" s="456">
        <v>61461.919999999998</v>
      </c>
      <c r="O343" s="2944">
        <v>68265.070000000007</v>
      </c>
      <c r="P343" s="166"/>
      <c r="Q343" s="166"/>
      <c r="R343" s="1339"/>
    </row>
    <row r="344" spans="1:18">
      <c r="A344" s="167">
        <f t="shared" si="2"/>
        <v>2021.11</v>
      </c>
      <c r="B344" s="215">
        <v>87242</v>
      </c>
      <c r="C344" s="3538">
        <v>49194</v>
      </c>
      <c r="D344" s="190">
        <v>38048</v>
      </c>
      <c r="E344" s="456">
        <v>1142127</v>
      </c>
      <c r="F344" s="572">
        <v>1967</v>
      </c>
      <c r="G344" s="71">
        <v>20580</v>
      </c>
      <c r="H344" s="1353"/>
      <c r="I344" s="2939"/>
      <c r="J344" s="572">
        <v>36352</v>
      </c>
      <c r="K344" s="71">
        <v>367410</v>
      </c>
      <c r="L344" s="1353"/>
      <c r="M344" s="2939"/>
      <c r="N344" s="456">
        <v>64283.43</v>
      </c>
      <c r="O344" s="2944">
        <v>70040.800000000003</v>
      </c>
      <c r="P344" s="166"/>
      <c r="Q344" s="166"/>
      <c r="R344" s="1339"/>
    </row>
    <row r="345" spans="1:18">
      <c r="A345" s="167">
        <f t="shared" si="2"/>
        <v>2021.12</v>
      </c>
      <c r="B345" s="215">
        <v>79649</v>
      </c>
      <c r="C345" s="3538">
        <v>45839</v>
      </c>
      <c r="D345" s="190">
        <v>33810</v>
      </c>
      <c r="E345" s="456">
        <v>1025197</v>
      </c>
      <c r="F345" s="572">
        <v>1985</v>
      </c>
      <c r="G345" s="71">
        <v>20840</v>
      </c>
      <c r="H345" s="1353"/>
      <c r="I345" s="2939"/>
      <c r="J345" s="572">
        <v>35226</v>
      </c>
      <c r="K345" s="71">
        <v>361088</v>
      </c>
      <c r="L345" s="1353"/>
      <c r="M345" s="2939"/>
      <c r="N345" s="456">
        <v>89936.97</v>
      </c>
      <c r="O345" s="2944">
        <v>99434.15</v>
      </c>
      <c r="P345" s="166"/>
      <c r="Q345" s="166"/>
      <c r="R345" s="1339"/>
    </row>
    <row r="346" spans="1:18">
      <c r="A346" s="167">
        <f t="shared" si="2"/>
        <v>2022.01</v>
      </c>
      <c r="B346" s="215">
        <v>66381</v>
      </c>
      <c r="C346" s="3538">
        <v>39402</v>
      </c>
      <c r="D346" s="190">
        <v>26979</v>
      </c>
      <c r="E346" s="456">
        <v>877364</v>
      </c>
      <c r="F346" s="572">
        <v>2006</v>
      </c>
      <c r="G346" s="71">
        <v>21105</v>
      </c>
      <c r="H346" s="1353"/>
      <c r="I346" s="2939"/>
      <c r="J346" s="572">
        <v>36513</v>
      </c>
      <c r="K346" s="71">
        <v>361933</v>
      </c>
      <c r="L346" s="1353"/>
      <c r="M346" s="2939"/>
      <c r="N346" s="456">
        <v>63559.4</v>
      </c>
      <c r="O346" s="2944">
        <v>69972.47</v>
      </c>
      <c r="P346" s="166"/>
      <c r="Q346" s="166"/>
      <c r="R346" s="1339"/>
    </row>
    <row r="347" spans="1:18">
      <c r="A347" s="167">
        <f t="shared" si="2"/>
        <v>2022.02</v>
      </c>
      <c r="B347" s="215">
        <v>76075</v>
      </c>
      <c r="C347" s="3538">
        <v>41893</v>
      </c>
      <c r="D347" s="190">
        <v>34181</v>
      </c>
      <c r="E347" s="456">
        <v>938072</v>
      </c>
      <c r="F347" s="572">
        <v>2033</v>
      </c>
      <c r="G347" s="71">
        <v>21335</v>
      </c>
      <c r="H347" s="1353"/>
      <c r="I347" s="2939"/>
      <c r="J347" s="572">
        <v>37029</v>
      </c>
      <c r="K347" s="71">
        <v>372996</v>
      </c>
      <c r="L347" s="1353"/>
      <c r="M347" s="2939"/>
      <c r="N347" s="456">
        <v>67749.509999999995</v>
      </c>
      <c r="O347" s="2944">
        <v>73151.19</v>
      </c>
      <c r="P347" s="166"/>
      <c r="Q347" s="166"/>
      <c r="R347" s="1339"/>
    </row>
    <row r="348" spans="1:18">
      <c r="A348" s="167">
        <f t="shared" si="2"/>
        <v>2022.03</v>
      </c>
      <c r="B348" s="215">
        <v>79313</v>
      </c>
      <c r="C348" s="3538">
        <v>44980</v>
      </c>
      <c r="D348" s="190">
        <v>34334</v>
      </c>
      <c r="E348" s="456">
        <v>1047227</v>
      </c>
      <c r="F348" s="572">
        <v>2059</v>
      </c>
      <c r="G348" s="71">
        <v>21592</v>
      </c>
      <c r="H348" s="1353"/>
      <c r="I348" s="2939"/>
      <c r="J348" s="572">
        <v>37317</v>
      </c>
      <c r="K348" s="71">
        <v>384784</v>
      </c>
      <c r="L348" s="1353"/>
      <c r="M348" s="2939"/>
      <c r="N348" s="456">
        <v>75959.58</v>
      </c>
      <c r="O348" s="2944">
        <v>84138.35</v>
      </c>
      <c r="P348" s="166"/>
      <c r="Q348" s="166"/>
      <c r="R348" s="1339"/>
    </row>
    <row r="349" spans="1:18">
      <c r="A349" s="167">
        <f t="shared" si="2"/>
        <v>2022.04</v>
      </c>
      <c r="B349" s="215">
        <v>82991</v>
      </c>
      <c r="C349" s="3538">
        <v>44523</v>
      </c>
      <c r="D349" s="190">
        <v>38468</v>
      </c>
      <c r="E349" s="456">
        <v>1039320</v>
      </c>
      <c r="F349" s="572">
        <v>2073</v>
      </c>
      <c r="G349" s="71">
        <v>21849</v>
      </c>
      <c r="H349" s="1353"/>
      <c r="I349" s="2939"/>
      <c r="J349" s="572">
        <v>37352</v>
      </c>
      <c r="K349" s="71">
        <v>386354</v>
      </c>
      <c r="L349" s="1353"/>
      <c r="M349" s="2939"/>
      <c r="N349" s="456">
        <v>74703.83</v>
      </c>
      <c r="O349" s="2944">
        <v>82549.03</v>
      </c>
      <c r="P349" s="166"/>
      <c r="Q349" s="166"/>
      <c r="R349" s="1339"/>
    </row>
    <row r="350" spans="1:18">
      <c r="A350" s="167">
        <f t="shared" si="2"/>
        <v>2022.05</v>
      </c>
      <c r="B350" s="215">
        <v>86980</v>
      </c>
      <c r="C350" s="3538">
        <v>45162</v>
      </c>
      <c r="D350" s="190">
        <v>41818</v>
      </c>
      <c r="E350" s="456">
        <v>1088000</v>
      </c>
      <c r="F350" s="572">
        <v>1742</v>
      </c>
      <c r="G350" s="71">
        <v>17574</v>
      </c>
      <c r="H350" s="1353"/>
      <c r="I350" s="2939"/>
      <c r="J350" s="572">
        <v>37384</v>
      </c>
      <c r="K350" s="71">
        <v>390528</v>
      </c>
      <c r="L350" s="1353"/>
      <c r="M350" s="2939"/>
      <c r="N350" s="456">
        <v>83779.19</v>
      </c>
      <c r="O350" s="2944">
        <v>92281.18</v>
      </c>
      <c r="P350" s="166"/>
      <c r="Q350" s="166"/>
      <c r="R350" s="1339"/>
    </row>
    <row r="351" spans="1:18">
      <c r="A351" s="167">
        <f t="shared" si="2"/>
        <v>2022.06</v>
      </c>
      <c r="B351" s="215">
        <v>84746</v>
      </c>
      <c r="C351" s="3538">
        <v>46774</v>
      </c>
      <c r="D351" s="190">
        <v>37972</v>
      </c>
      <c r="E351" s="456">
        <v>1104095</v>
      </c>
      <c r="F351" s="572">
        <v>1808</v>
      </c>
      <c r="G351" s="71">
        <v>18398</v>
      </c>
      <c r="H351" s="1353"/>
      <c r="I351" s="2939"/>
      <c r="J351" s="572">
        <v>37266</v>
      </c>
      <c r="K351" s="71">
        <v>393577</v>
      </c>
      <c r="L351" s="1353"/>
      <c r="M351" s="2939"/>
      <c r="N351" s="456">
        <v>122665.89</v>
      </c>
      <c r="O351" s="2944">
        <v>138736.39000000001</v>
      </c>
      <c r="P351" s="166"/>
      <c r="Q351" s="166"/>
      <c r="R351" s="1339"/>
    </row>
    <row r="352" spans="1:18">
      <c r="A352" s="167">
        <f t="shared" si="2"/>
        <v>2022.07</v>
      </c>
      <c r="B352" s="215">
        <v>90513</v>
      </c>
      <c r="C352" s="3538">
        <v>48013</v>
      </c>
      <c r="D352" s="190">
        <v>42499</v>
      </c>
      <c r="E352" s="456">
        <v>1146900</v>
      </c>
      <c r="F352" s="572">
        <v>1862</v>
      </c>
      <c r="G352" s="71">
        <v>19007</v>
      </c>
      <c r="H352" s="1353"/>
      <c r="I352" s="2939"/>
      <c r="J352" s="572">
        <v>37105</v>
      </c>
      <c r="K352" s="71">
        <v>400983</v>
      </c>
      <c r="L352" s="1353"/>
      <c r="M352" s="2939"/>
      <c r="N352" s="456">
        <v>86024.44</v>
      </c>
      <c r="O352" s="2944">
        <v>96827.55</v>
      </c>
      <c r="P352" s="166"/>
      <c r="Q352" s="166"/>
      <c r="R352" s="1339"/>
    </row>
    <row r="353" spans="1:18">
      <c r="A353" s="167">
        <f t="shared" si="2"/>
        <v>2022.08</v>
      </c>
      <c r="B353" s="215">
        <v>92775</v>
      </c>
      <c r="C353" s="3538">
        <v>49837</v>
      </c>
      <c r="D353" s="190">
        <v>42938</v>
      </c>
      <c r="E353" s="456">
        <v>1226646</v>
      </c>
      <c r="F353" s="572">
        <v>1907</v>
      </c>
      <c r="G353" s="71">
        <v>19575</v>
      </c>
      <c r="H353" s="1353"/>
      <c r="I353" s="2939"/>
      <c r="J353" s="572">
        <v>38022</v>
      </c>
      <c r="K353" s="71">
        <v>408470</v>
      </c>
      <c r="L353" s="1353"/>
      <c r="M353" s="2939"/>
      <c r="N353" s="456">
        <v>96334.49</v>
      </c>
      <c r="O353" s="2944">
        <v>107017</v>
      </c>
      <c r="P353" s="166"/>
      <c r="Q353" s="166"/>
      <c r="R353" s="1339"/>
    </row>
    <row r="354" spans="1:18">
      <c r="A354" s="167">
        <f t="shared" si="2"/>
        <v>2022.09</v>
      </c>
      <c r="B354" s="215">
        <v>92783</v>
      </c>
      <c r="C354" s="3538">
        <v>48079</v>
      </c>
      <c r="D354" s="190">
        <v>44704</v>
      </c>
      <c r="E354" s="456">
        <v>1212881</v>
      </c>
      <c r="F354" s="572">
        <v>1968</v>
      </c>
      <c r="G354" s="71">
        <v>20097</v>
      </c>
      <c r="H354" s="1353"/>
      <c r="I354" s="2939"/>
      <c r="J354" s="572">
        <v>38784</v>
      </c>
      <c r="K354" s="71">
        <v>416457</v>
      </c>
      <c r="L354" s="1353"/>
      <c r="M354" s="2939"/>
      <c r="N354" s="456">
        <v>104434.59</v>
      </c>
      <c r="O354" s="2944">
        <v>114558.76</v>
      </c>
      <c r="P354" s="166"/>
      <c r="Q354" s="166"/>
      <c r="R354" s="1339"/>
    </row>
    <row r="355" spans="1:18">
      <c r="A355" s="167">
        <f t="shared" si="2"/>
        <v>2022.1</v>
      </c>
      <c r="B355" s="215">
        <v>82447</v>
      </c>
      <c r="C355" s="3538">
        <v>45269</v>
      </c>
      <c r="D355" s="190">
        <v>37177</v>
      </c>
      <c r="E355" s="456">
        <v>1131509</v>
      </c>
      <c r="F355" s="572">
        <v>1997</v>
      </c>
      <c r="G355" s="71">
        <v>20519</v>
      </c>
      <c r="H355" s="1353"/>
      <c r="I355" s="2939"/>
      <c r="J355" s="572">
        <v>38857</v>
      </c>
      <c r="K355" s="71">
        <v>421267</v>
      </c>
      <c r="L355" s="1353"/>
      <c r="M355" s="2939"/>
      <c r="N355" s="456">
        <v>113643.13</v>
      </c>
      <c r="O355" s="2944">
        <v>125408.38</v>
      </c>
      <c r="P355" s="166"/>
      <c r="Q355" s="166"/>
      <c r="R355" s="1339"/>
    </row>
    <row r="356" spans="1:18">
      <c r="A356" s="167">
        <f t="shared" si="2"/>
        <v>2022.11</v>
      </c>
      <c r="B356" s="215">
        <v>85842</v>
      </c>
      <c r="C356" s="3538">
        <v>44533</v>
      </c>
      <c r="D356" s="190">
        <v>41309</v>
      </c>
      <c r="E356" s="456">
        <v>1144153</v>
      </c>
      <c r="F356" s="572">
        <v>2024</v>
      </c>
      <c r="G356" s="71">
        <v>20923</v>
      </c>
      <c r="H356" s="1353"/>
      <c r="I356" s="2939"/>
      <c r="J356" s="572">
        <v>39022</v>
      </c>
      <c r="K356" s="71">
        <v>428302</v>
      </c>
      <c r="L356" s="1353"/>
      <c r="M356" s="2939"/>
      <c r="N356" s="456">
        <v>126412.38</v>
      </c>
      <c r="O356" s="2944">
        <v>138091.22</v>
      </c>
      <c r="P356" s="166"/>
      <c r="Q356" s="166"/>
      <c r="R356" s="1339"/>
    </row>
    <row r="357" spans="1:18">
      <c r="A357" s="167">
        <f t="shared" si="2"/>
        <v>2022.12</v>
      </c>
      <c r="B357" s="215">
        <v>71614</v>
      </c>
      <c r="C357" s="3538">
        <v>37290</v>
      </c>
      <c r="D357" s="190">
        <v>34324</v>
      </c>
      <c r="E357" s="456">
        <v>932660</v>
      </c>
      <c r="F357" s="572">
        <v>2030</v>
      </c>
      <c r="G357" s="71">
        <v>21109</v>
      </c>
      <c r="H357" s="1353"/>
      <c r="I357" s="2939"/>
      <c r="J357" s="572">
        <v>38989</v>
      </c>
      <c r="K357" s="71">
        <v>422994</v>
      </c>
      <c r="L357" s="1353"/>
      <c r="M357" s="2939"/>
      <c r="N357" s="456">
        <v>183606.87</v>
      </c>
      <c r="O357" s="2944">
        <v>202861.06</v>
      </c>
      <c r="P357" s="166"/>
      <c r="Q357" s="166"/>
      <c r="R357" s="1339"/>
    </row>
    <row r="358" spans="1:18">
      <c r="A358" s="167">
        <f t="shared" si="2"/>
        <v>2023.01</v>
      </c>
      <c r="B358" s="215">
        <v>68930</v>
      </c>
      <c r="C358" s="3538">
        <v>37730</v>
      </c>
      <c r="D358" s="190">
        <v>31199</v>
      </c>
      <c r="E358" s="456">
        <v>958230</v>
      </c>
      <c r="F358" s="572">
        <v>2070</v>
      </c>
      <c r="G358" s="71">
        <v>24158</v>
      </c>
      <c r="H358" s="1353"/>
      <c r="I358" s="2939"/>
      <c r="J358" s="572">
        <v>39387</v>
      </c>
      <c r="K358" s="71">
        <v>423702</v>
      </c>
      <c r="L358" s="1353"/>
      <c r="M358" s="2939"/>
      <c r="N358" s="456">
        <v>139949.24</v>
      </c>
      <c r="O358" s="2944">
        <v>154496.98000000001</v>
      </c>
      <c r="P358" s="166"/>
      <c r="Q358" s="166"/>
      <c r="R358" s="1339"/>
    </row>
    <row r="359" spans="1:18">
      <c r="A359" s="167">
        <f t="shared" si="2"/>
        <v>2023.02</v>
      </c>
      <c r="B359" s="215">
        <v>63616</v>
      </c>
      <c r="C359" s="3538">
        <v>32648</v>
      </c>
      <c r="D359" s="190">
        <v>30968</v>
      </c>
      <c r="E359" s="456">
        <v>895938</v>
      </c>
      <c r="F359" s="572">
        <v>2093</v>
      </c>
      <c r="G359" s="71">
        <v>21658</v>
      </c>
      <c r="H359" s="1353"/>
      <c r="I359" s="2939"/>
      <c r="J359" s="572">
        <v>39264</v>
      </c>
      <c r="K359" s="71">
        <v>430752</v>
      </c>
      <c r="L359" s="1353"/>
      <c r="M359" s="2939"/>
      <c r="N359" s="456">
        <v>132660.51</v>
      </c>
      <c r="O359" s="2944">
        <v>151762.43</v>
      </c>
      <c r="P359" s="166"/>
      <c r="Q359" s="166"/>
      <c r="R359" s="1339"/>
    </row>
    <row r="360" spans="1:18">
      <c r="A360" s="167">
        <f t="shared" si="2"/>
        <v>2023.03</v>
      </c>
      <c r="B360" s="215">
        <v>77253</v>
      </c>
      <c r="C360" s="3538">
        <v>39464</v>
      </c>
      <c r="D360" s="190">
        <v>37789</v>
      </c>
      <c r="E360" s="456">
        <v>1113909</v>
      </c>
      <c r="F360" s="572">
        <v>2140</v>
      </c>
      <c r="G360" s="71">
        <v>22081</v>
      </c>
      <c r="H360" s="1353"/>
      <c r="I360" s="2939"/>
      <c r="J360" s="572">
        <v>40377</v>
      </c>
      <c r="K360" s="71">
        <v>446357</v>
      </c>
      <c r="L360" s="1353"/>
      <c r="M360" s="2939"/>
      <c r="N360" s="456">
        <v>155143.32</v>
      </c>
      <c r="O360" s="2944">
        <v>178214.51</v>
      </c>
      <c r="P360" s="166"/>
      <c r="Q360" s="166"/>
      <c r="R360" s="1339"/>
    </row>
    <row r="361" spans="1:18">
      <c r="A361" s="167">
        <f t="shared" si="2"/>
        <v>2023.04</v>
      </c>
      <c r="B361" s="215">
        <v>71717</v>
      </c>
      <c r="C361" s="3538">
        <v>36184</v>
      </c>
      <c r="D361" s="190">
        <v>35533</v>
      </c>
      <c r="E361" s="456">
        <v>1028598</v>
      </c>
      <c r="F361" s="572">
        <v>2149</v>
      </c>
      <c r="G361" s="71">
        <v>22238</v>
      </c>
      <c r="H361" s="1353"/>
      <c r="I361" s="2939"/>
      <c r="J361" s="572">
        <v>40121</v>
      </c>
      <c r="K361" s="71">
        <v>444028</v>
      </c>
      <c r="L361" s="1353"/>
      <c r="M361" s="2939"/>
      <c r="N361" s="456">
        <v>164676.29</v>
      </c>
      <c r="O361" s="2944">
        <v>187704.52</v>
      </c>
      <c r="P361" s="166"/>
      <c r="Q361" s="166"/>
      <c r="R361" s="1339"/>
    </row>
    <row r="362" spans="1:18">
      <c r="A362" s="167">
        <f t="shared" si="2"/>
        <v>2023.05</v>
      </c>
      <c r="B362" s="215">
        <v>72481</v>
      </c>
      <c r="C362" s="3538">
        <v>35831</v>
      </c>
      <c r="D362" s="190">
        <v>36650</v>
      </c>
      <c r="E362" s="456">
        <v>1071951</v>
      </c>
      <c r="F362" s="572">
        <v>1851</v>
      </c>
      <c r="G362" s="71">
        <v>18232</v>
      </c>
      <c r="H362" s="1353"/>
      <c r="I362" s="2939"/>
      <c r="J362" s="572">
        <v>39895</v>
      </c>
      <c r="K362" s="71">
        <v>447038</v>
      </c>
      <c r="L362" s="1353"/>
      <c r="M362" s="2939"/>
      <c r="N362" s="456">
        <v>180745.02</v>
      </c>
      <c r="O362" s="2944">
        <v>206009.21</v>
      </c>
      <c r="P362" s="166"/>
      <c r="Q362" s="166"/>
      <c r="R362" s="1339"/>
    </row>
    <row r="363" spans="1:18">
      <c r="A363" s="167">
        <f t="shared" si="2"/>
        <v>2023.06</v>
      </c>
      <c r="B363" s="215">
        <v>73143</v>
      </c>
      <c r="C363" s="3538">
        <v>33937</v>
      </c>
      <c r="D363" s="190">
        <v>39206</v>
      </c>
      <c r="E363" s="456">
        <v>1080354</v>
      </c>
      <c r="F363" s="572">
        <v>1912</v>
      </c>
      <c r="G363" s="71">
        <v>18896</v>
      </c>
      <c r="H363" s="1353"/>
      <c r="I363" s="2939"/>
      <c r="J363" s="572">
        <v>39109</v>
      </c>
      <c r="K363" s="71">
        <v>442658</v>
      </c>
      <c r="L363" s="1353"/>
      <c r="M363" s="2939"/>
      <c r="N363" s="456">
        <v>265048.89</v>
      </c>
      <c r="O363" s="2944">
        <v>300237.03999999998</v>
      </c>
      <c r="P363" s="166"/>
      <c r="Q363" s="166"/>
      <c r="R363" s="1339"/>
    </row>
    <row r="364" spans="1:18">
      <c r="A364" s="167">
        <f t="shared" si="2"/>
        <v>2023.07</v>
      </c>
      <c r="B364" s="215">
        <v>73818</v>
      </c>
      <c r="C364" s="3538">
        <v>38006</v>
      </c>
      <c r="D364" s="190">
        <v>35812</v>
      </c>
      <c r="E364" s="456">
        <v>1067680</v>
      </c>
      <c r="F364" s="572">
        <v>1959</v>
      </c>
      <c r="G364" s="71">
        <v>19456</v>
      </c>
      <c r="H364" s="1353"/>
      <c r="I364" s="2939"/>
      <c r="J364" s="572">
        <v>37952</v>
      </c>
      <c r="K364" s="71">
        <v>439835</v>
      </c>
      <c r="L364" s="1353"/>
      <c r="M364" s="2939"/>
      <c r="N364" s="456">
        <v>201637.96</v>
      </c>
      <c r="O364" s="2944">
        <v>232983.55</v>
      </c>
      <c r="P364" s="166"/>
      <c r="Q364" s="166"/>
      <c r="R364" s="1339"/>
    </row>
    <row r="365" spans="1:18">
      <c r="A365" s="167">
        <f t="shared" si="2"/>
        <v>2023.08</v>
      </c>
      <c r="B365" s="215">
        <v>86190</v>
      </c>
      <c r="C365" s="3538">
        <v>42894</v>
      </c>
      <c r="D365" s="190">
        <v>43296</v>
      </c>
      <c r="E365" s="456">
        <v>1208153</v>
      </c>
      <c r="F365" s="572">
        <v>2005</v>
      </c>
      <c r="G365" s="71">
        <v>19986</v>
      </c>
      <c r="H365" s="1353"/>
      <c r="I365" s="2939"/>
      <c r="J365" s="572">
        <v>38842</v>
      </c>
      <c r="K365" s="71">
        <v>444668</v>
      </c>
      <c r="L365" s="1353"/>
      <c r="M365" s="2939"/>
      <c r="N365" s="456">
        <v>232215.2</v>
      </c>
      <c r="O365" s="2944">
        <v>259385.89</v>
      </c>
      <c r="P365" s="166"/>
      <c r="Q365" s="166"/>
      <c r="R365" s="1339"/>
    </row>
    <row r="366" spans="1:18">
      <c r="A366" s="167">
        <f t="shared" si="2"/>
        <v>2023.09</v>
      </c>
      <c r="B366" s="215">
        <v>77249</v>
      </c>
      <c r="C366" s="3538">
        <v>40051</v>
      </c>
      <c r="D366" s="190">
        <v>37197</v>
      </c>
      <c r="E366" s="456">
        <v>1118070</v>
      </c>
      <c r="F366" s="572">
        <v>2043</v>
      </c>
      <c r="G366" s="71">
        <v>20405</v>
      </c>
      <c r="H366" s="1353"/>
      <c r="I366" s="2939"/>
      <c r="J366" s="572">
        <v>39049</v>
      </c>
      <c r="K366" s="71">
        <v>439463</v>
      </c>
      <c r="L366" s="1353"/>
      <c r="M366" s="2939"/>
      <c r="N366" s="456">
        <v>237841</v>
      </c>
      <c r="O366" s="2944">
        <v>266503.71000000002</v>
      </c>
      <c r="P366" s="166"/>
      <c r="Q366" s="166"/>
      <c r="R366" s="1339"/>
    </row>
    <row r="367" spans="1:18">
      <c r="A367" s="167">
        <f t="shared" si="2"/>
        <v>2023.1</v>
      </c>
      <c r="B367" s="215">
        <v>76020</v>
      </c>
      <c r="C367" s="3538">
        <v>42299</v>
      </c>
      <c r="D367" s="190">
        <v>33721</v>
      </c>
      <c r="E367" s="456">
        <v>1125075</v>
      </c>
      <c r="F367" s="572">
        <v>2076</v>
      </c>
      <c r="G367" s="71">
        <v>20768</v>
      </c>
      <c r="H367" s="1353"/>
      <c r="I367" s="2939"/>
      <c r="J367" s="572">
        <v>38655</v>
      </c>
      <c r="K367" s="71">
        <v>431562</v>
      </c>
      <c r="L367" s="1353"/>
      <c r="M367" s="2939"/>
      <c r="N367" s="456">
        <v>276399.05</v>
      </c>
      <c r="O367" s="2944">
        <v>308995.40999999997</v>
      </c>
      <c r="P367" s="166"/>
      <c r="Q367" s="166"/>
      <c r="R367" s="1339"/>
    </row>
    <row r="368" spans="1:18">
      <c r="A368" s="167">
        <f t="shared" si="2"/>
        <v>2023.11</v>
      </c>
      <c r="B368" s="215">
        <v>64821</v>
      </c>
      <c r="C368" s="3538">
        <v>33777</v>
      </c>
      <c r="D368" s="190">
        <v>31044</v>
      </c>
      <c r="E368" s="456">
        <v>1019879</v>
      </c>
      <c r="F368" s="572">
        <v>2092</v>
      </c>
      <c r="G368" s="71">
        <v>21006</v>
      </c>
      <c r="H368" s="1353"/>
      <c r="I368" s="2939"/>
      <c r="J368" s="572">
        <v>38140</v>
      </c>
      <c r="K368" s="71">
        <v>422239</v>
      </c>
      <c r="L368" s="1353"/>
      <c r="M368" s="2939"/>
      <c r="N368" s="456">
        <v>308057.26</v>
      </c>
      <c r="O368" s="2944">
        <v>337299.5</v>
      </c>
      <c r="P368" s="166"/>
      <c r="Q368" s="166"/>
      <c r="R368" s="1339"/>
    </row>
    <row r="369" spans="1:18">
      <c r="A369" s="167">
        <f t="shared" si="2"/>
        <v>2023.12</v>
      </c>
      <c r="B369" s="215">
        <v>56421</v>
      </c>
      <c r="C369" s="3538">
        <v>28948</v>
      </c>
      <c r="D369" s="190">
        <v>27473</v>
      </c>
      <c r="E369" s="456">
        <v>810343</v>
      </c>
      <c r="F369" s="572">
        <v>2107</v>
      </c>
      <c r="G369" s="71">
        <v>21172</v>
      </c>
      <c r="H369" s="1353"/>
      <c r="I369" s="2939"/>
      <c r="J369" s="572">
        <v>36358</v>
      </c>
      <c r="K369" s="71">
        <v>394478</v>
      </c>
      <c r="L369" s="1353"/>
      <c r="M369" s="2939"/>
      <c r="N369" s="456">
        <v>466204.93</v>
      </c>
      <c r="O369" s="2944">
        <v>540093.29</v>
      </c>
      <c r="P369" s="166"/>
      <c r="Q369" s="166"/>
      <c r="R369" s="1339"/>
    </row>
    <row r="370" spans="1:18">
      <c r="A370" s="167">
        <f t="shared" si="2"/>
        <v>2024.01</v>
      </c>
      <c r="B370" s="215">
        <v>54645</v>
      </c>
      <c r="C370" s="3538">
        <v>28211</v>
      </c>
      <c r="D370" s="190">
        <v>26435</v>
      </c>
      <c r="E370" s="456">
        <v>767263</v>
      </c>
      <c r="F370" s="572">
        <v>2117</v>
      </c>
      <c r="G370" s="71">
        <v>21313</v>
      </c>
      <c r="H370" s="1353"/>
      <c r="I370" s="2939"/>
      <c r="J370" s="572">
        <v>35318</v>
      </c>
      <c r="K370" s="71">
        <v>370292</v>
      </c>
      <c r="L370" s="1353"/>
      <c r="M370" s="2939"/>
      <c r="N370" s="456">
        <v>416128.6</v>
      </c>
      <c r="O370" s="2944">
        <v>465164.95628189907</v>
      </c>
      <c r="P370" s="166"/>
      <c r="Q370" s="166"/>
      <c r="R370" s="1339"/>
    </row>
    <row r="371" spans="1:18">
      <c r="A371" s="167">
        <f t="shared" ref="A371:A434" si="3">A359+1</f>
        <v>2024.02</v>
      </c>
      <c r="B371" s="215">
        <v>48535</v>
      </c>
      <c r="C371" s="3538">
        <v>25186</v>
      </c>
      <c r="D371" s="190">
        <v>23349</v>
      </c>
      <c r="E371" s="456">
        <v>683899</v>
      </c>
      <c r="F371" s="572">
        <v>2089</v>
      </c>
      <c r="G371" s="71">
        <v>21150</v>
      </c>
      <c r="H371" s="1353"/>
      <c r="I371" s="2939"/>
      <c r="J371" s="572">
        <v>34772</v>
      </c>
      <c r="K371" s="71">
        <v>362100</v>
      </c>
      <c r="L371" s="1353"/>
      <c r="M371" s="2939"/>
      <c r="N371" s="456">
        <v>410306.16</v>
      </c>
      <c r="O371" s="2944">
        <v>456264.673320122</v>
      </c>
      <c r="P371" s="166"/>
      <c r="Q371" s="166"/>
      <c r="R371" s="1339"/>
    </row>
    <row r="372" spans="1:18">
      <c r="A372" s="167">
        <f t="shared" si="3"/>
        <v>2024.03</v>
      </c>
      <c r="B372" s="215">
        <v>43331</v>
      </c>
      <c r="C372" s="3538">
        <v>20647</v>
      </c>
      <c r="D372" s="190">
        <v>22684</v>
      </c>
      <c r="E372" s="456">
        <v>634342</v>
      </c>
      <c r="F372" s="572">
        <v>2092</v>
      </c>
      <c r="G372" s="71">
        <v>20241</v>
      </c>
      <c r="H372" s="1353"/>
      <c r="I372" s="2939"/>
      <c r="J372" s="572">
        <v>34504</v>
      </c>
      <c r="K372" s="71">
        <v>359611</v>
      </c>
      <c r="L372" s="1353"/>
      <c r="M372" s="2939"/>
      <c r="N372" s="456">
        <v>513484.14</v>
      </c>
      <c r="O372" s="2944">
        <v>575927.36228868912</v>
      </c>
      <c r="P372" s="166"/>
      <c r="Q372" s="166"/>
      <c r="R372" s="1339"/>
    </row>
    <row r="373" spans="1:18">
      <c r="A373" s="167">
        <f t="shared" si="3"/>
        <v>2024.04</v>
      </c>
      <c r="B373" s="215">
        <v>47511</v>
      </c>
      <c r="C373" s="3538">
        <v>26303</v>
      </c>
      <c r="D373" s="190">
        <v>21208</v>
      </c>
      <c r="E373" s="456">
        <v>655650</v>
      </c>
      <c r="F373" s="572">
        <v>1860</v>
      </c>
      <c r="G373" s="71">
        <v>17773</v>
      </c>
      <c r="H373" s="1353"/>
      <c r="I373" s="2939"/>
      <c r="J373" s="572">
        <v>33692</v>
      </c>
      <c r="K373" s="71">
        <v>350750</v>
      </c>
      <c r="L373" s="1353"/>
      <c r="M373" s="2939"/>
      <c r="N373" s="456">
        <v>526916.06000000006</v>
      </c>
      <c r="O373" s="2944">
        <v>592083.28103023907</v>
      </c>
      <c r="P373" s="166"/>
      <c r="Q373" s="166"/>
      <c r="R373" s="1339"/>
    </row>
    <row r="374" spans="1:18">
      <c r="A374" s="167">
        <f t="shared" si="3"/>
        <v>2024.05</v>
      </c>
      <c r="B374" s="215">
        <v>63231</v>
      </c>
      <c r="C374" s="3538">
        <v>32185</v>
      </c>
      <c r="D374" s="190">
        <v>31046</v>
      </c>
      <c r="E374" s="456">
        <v>780541</v>
      </c>
      <c r="F374" s="572">
        <v>1665</v>
      </c>
      <c r="G374" s="71">
        <v>16305</v>
      </c>
      <c r="H374" s="1353"/>
      <c r="I374" s="2939"/>
      <c r="J374" s="572">
        <v>33513</v>
      </c>
      <c r="K374" s="71">
        <v>350022</v>
      </c>
      <c r="L374" s="1353"/>
      <c r="M374" s="2939"/>
      <c r="N374" s="456">
        <v>643706.73</v>
      </c>
      <c r="O374" s="2944">
        <v>745952.22</v>
      </c>
      <c r="P374" s="166"/>
      <c r="Q374" s="166"/>
      <c r="R374" s="1339"/>
    </row>
    <row r="375" spans="1:18">
      <c r="A375" s="167">
        <f t="shared" si="3"/>
        <v>2024.06</v>
      </c>
      <c r="B375" s="215">
        <v>56560</v>
      </c>
      <c r="C375" s="3538">
        <v>28718</v>
      </c>
      <c r="D375" s="190">
        <v>27842</v>
      </c>
      <c r="E375" s="456">
        <v>725661</v>
      </c>
      <c r="F375" s="572">
        <v>1735</v>
      </c>
      <c r="G375" s="71">
        <v>16964</v>
      </c>
      <c r="H375" s="1353"/>
      <c r="I375" s="2939"/>
      <c r="J375" s="572">
        <v>33098</v>
      </c>
      <c r="K375" s="71">
        <v>344439</v>
      </c>
      <c r="L375" s="1353"/>
      <c r="M375" s="2939"/>
      <c r="N375" s="456">
        <v>901912.48</v>
      </c>
      <c r="O375" s="2944">
        <v>1055196.33</v>
      </c>
      <c r="P375" s="166"/>
      <c r="Q375" s="166"/>
      <c r="R375" s="1339"/>
    </row>
    <row r="376" spans="1:18">
      <c r="A376" s="167">
        <f t="shared" si="3"/>
        <v>2024.07</v>
      </c>
      <c r="B376" s="215">
        <v>72019</v>
      </c>
      <c r="C376" s="3538">
        <v>37126</v>
      </c>
      <c r="D376" s="190">
        <v>34893</v>
      </c>
      <c r="E376" s="456">
        <v>913317</v>
      </c>
      <c r="F376" s="572">
        <v>1776</v>
      </c>
      <c r="G376" s="71">
        <v>17495</v>
      </c>
      <c r="H376" s="1353"/>
      <c r="I376" s="2939"/>
      <c r="J376" s="572">
        <v>32982</v>
      </c>
      <c r="K376" s="71">
        <v>346182</v>
      </c>
      <c r="L376" s="1353"/>
      <c r="M376" s="2939"/>
      <c r="N376" s="456">
        <v>678588.85</v>
      </c>
      <c r="O376" s="2944">
        <v>775149.4</v>
      </c>
      <c r="P376" s="166"/>
      <c r="Q376" s="166"/>
      <c r="R376" s="1339"/>
    </row>
    <row r="377" spans="1:18">
      <c r="A377" s="167">
        <f t="shared" si="3"/>
        <v>2024.08</v>
      </c>
      <c r="B377" s="215">
        <v>66043</v>
      </c>
      <c r="C377" s="3538">
        <v>35197</v>
      </c>
      <c r="D377" s="190">
        <v>30847</v>
      </c>
      <c r="E377" s="456">
        <v>889908</v>
      </c>
      <c r="F377" s="572">
        <v>1813</v>
      </c>
      <c r="G377" s="71">
        <v>17969</v>
      </c>
      <c r="H377" s="1353"/>
      <c r="I377" s="2939"/>
      <c r="J377" s="572">
        <v>33638</v>
      </c>
      <c r="K377" s="71">
        <v>350865</v>
      </c>
      <c r="L377" s="1353"/>
      <c r="M377" s="2939"/>
      <c r="N377" s="456">
        <v>697263.65</v>
      </c>
      <c r="O377" s="2944">
        <v>800820.73</v>
      </c>
      <c r="P377" s="166"/>
      <c r="Q377" s="166"/>
      <c r="R377" s="1339"/>
    </row>
    <row r="378" spans="1:18">
      <c r="A378" s="167">
        <f t="shared" si="3"/>
        <v>2024.09</v>
      </c>
      <c r="B378" s="215">
        <v>66901</v>
      </c>
      <c r="C378" s="3538">
        <v>35513</v>
      </c>
      <c r="D378" s="190">
        <v>31388</v>
      </c>
      <c r="E378" s="456">
        <v>912724</v>
      </c>
      <c r="F378" s="572">
        <v>1855</v>
      </c>
      <c r="G378" s="71">
        <v>18472</v>
      </c>
      <c r="H378" s="1353"/>
      <c r="I378" s="2939"/>
      <c r="J378" s="572">
        <v>34336</v>
      </c>
      <c r="K378" s="71">
        <v>355931</v>
      </c>
      <c r="L378" s="1353"/>
      <c r="M378" s="2939"/>
      <c r="N378" s="456">
        <v>714256.27</v>
      </c>
      <c r="O378" s="2944">
        <v>807937.64</v>
      </c>
      <c r="P378" s="166"/>
      <c r="Q378" s="166"/>
      <c r="R378" s="1339"/>
    </row>
    <row r="379" spans="1:18">
      <c r="A379" s="167">
        <f t="shared" si="3"/>
        <v>2024.1</v>
      </c>
      <c r="B379" s="215">
        <v>62103</v>
      </c>
      <c r="C379" s="3538">
        <v>34894</v>
      </c>
      <c r="D379" s="190">
        <v>27209</v>
      </c>
      <c r="E379" s="456">
        <v>900698</v>
      </c>
      <c r="F379" s="572">
        <v>1882</v>
      </c>
      <c r="G379" s="71">
        <v>18863</v>
      </c>
      <c r="H379" s="1353"/>
      <c r="I379" s="2939"/>
      <c r="J379" s="572">
        <v>34932</v>
      </c>
      <c r="K379" s="71">
        <v>359149.55151866237</v>
      </c>
      <c r="L379" s="1353"/>
      <c r="M379" s="2939"/>
      <c r="N379" s="456">
        <v>777389.54</v>
      </c>
      <c r="O379" s="2944">
        <v>901007.52</v>
      </c>
      <c r="P379" s="166"/>
      <c r="Q379" s="166"/>
      <c r="R379" s="1339"/>
    </row>
    <row r="380" spans="1:18">
      <c r="A380" s="167">
        <f t="shared" si="3"/>
        <v>2024.11</v>
      </c>
      <c r="B380" s="215">
        <v>61485</v>
      </c>
      <c r="C380" s="3538">
        <v>32490</v>
      </c>
      <c r="D380" s="190">
        <v>28995</v>
      </c>
      <c r="E380" s="456">
        <v>870090</v>
      </c>
      <c r="F380" s="572">
        <v>1898</v>
      </c>
      <c r="G380" s="71">
        <v>19131</v>
      </c>
      <c r="H380" s="1353"/>
      <c r="I380" s="2939"/>
      <c r="J380" s="572">
        <v>35425</v>
      </c>
      <c r="K380" s="71">
        <v>358011</v>
      </c>
      <c r="L380" s="1353"/>
      <c r="M380" s="2939"/>
      <c r="N380" s="456">
        <v>806990.63</v>
      </c>
      <c r="O380" s="2944">
        <v>923478.61</v>
      </c>
      <c r="P380" s="166"/>
      <c r="Q380" s="166"/>
      <c r="R380" s="1339"/>
    </row>
    <row r="381" spans="1:18">
      <c r="A381" s="167">
        <f t="shared" si="3"/>
        <v>2024.12</v>
      </c>
      <c r="B381" s="215">
        <v>58340</v>
      </c>
      <c r="C381" s="3538">
        <v>31522</v>
      </c>
      <c r="D381" s="190">
        <v>26818</v>
      </c>
      <c r="E381" s="456">
        <v>764935</v>
      </c>
      <c r="F381" s="572">
        <v>1919</v>
      </c>
      <c r="G381" s="71">
        <v>19330</v>
      </c>
      <c r="H381" s="1353"/>
      <c r="I381" s="2939"/>
      <c r="J381" s="572">
        <v>34221</v>
      </c>
      <c r="K381" s="71">
        <v>348731</v>
      </c>
      <c r="L381" s="1353"/>
      <c r="M381" s="2939"/>
      <c r="N381" s="456">
        <v>1164366.07</v>
      </c>
      <c r="O381" s="2944">
        <v>1351573.1</v>
      </c>
      <c r="P381" s="166"/>
      <c r="Q381" s="166"/>
      <c r="R381" s="1339"/>
    </row>
    <row r="382" spans="1:18">
      <c r="A382" s="167">
        <f t="shared" si="3"/>
        <v>2025.01</v>
      </c>
      <c r="B382" s="215">
        <v>67363</v>
      </c>
      <c r="C382" s="3538">
        <v>37657</v>
      </c>
      <c r="D382" s="190">
        <v>29705</v>
      </c>
      <c r="E382" s="456">
        <v>831967</v>
      </c>
      <c r="F382" s="572">
        <v>1933</v>
      </c>
      <c r="G382" s="71">
        <v>19522</v>
      </c>
      <c r="H382" s="1353"/>
      <c r="I382" s="2939"/>
      <c r="J382" s="572">
        <v>34511</v>
      </c>
      <c r="K382" s="71">
        <v>348071</v>
      </c>
      <c r="L382" s="1353"/>
      <c r="M382" s="2939"/>
      <c r="N382" s="456">
        <v>844799.06</v>
      </c>
      <c r="O382" s="2944">
        <v>962765.58</v>
      </c>
      <c r="P382" s="166"/>
      <c r="Q382" s="166"/>
      <c r="R382" s="1339"/>
    </row>
    <row r="383" spans="1:18">
      <c r="A383" s="167">
        <f t="shared" si="3"/>
        <v>2025.02</v>
      </c>
      <c r="B383" s="215">
        <v>53026</v>
      </c>
      <c r="C383" s="3538">
        <v>27824</v>
      </c>
      <c r="D383" s="190">
        <v>25202</v>
      </c>
      <c r="E383" s="456">
        <v>735266</v>
      </c>
      <c r="F383" s="572">
        <v>1914</v>
      </c>
      <c r="G383" s="71">
        <v>19571</v>
      </c>
      <c r="H383" s="1353"/>
      <c r="I383" s="2939"/>
      <c r="J383" s="572">
        <v>34745</v>
      </c>
      <c r="K383" s="71">
        <v>353638</v>
      </c>
      <c r="L383" s="1353"/>
      <c r="M383" s="2939"/>
      <c r="N383" s="456">
        <v>841919.76</v>
      </c>
      <c r="O383" s="2944">
        <v>950962.09</v>
      </c>
      <c r="P383" s="166"/>
      <c r="Q383" s="166"/>
      <c r="R383" s="1339"/>
    </row>
    <row r="384" spans="1:18">
      <c r="A384" s="167">
        <f t="shared" si="3"/>
        <v>2025.03</v>
      </c>
      <c r="B384" s="215" t="e">
        <v>#N/A</v>
      </c>
      <c r="C384" s="3538" t="e">
        <v>#N/A</v>
      </c>
      <c r="D384" s="190" t="e">
        <v>#N/A</v>
      </c>
      <c r="E384" s="456">
        <v>740195</v>
      </c>
      <c r="F384" s="572">
        <v>1557</v>
      </c>
      <c r="G384" s="71">
        <v>15055</v>
      </c>
      <c r="H384" s="1353"/>
      <c r="I384" s="2939"/>
      <c r="J384" s="572">
        <v>34596</v>
      </c>
      <c r="K384" s="71">
        <v>355011</v>
      </c>
      <c r="L384" s="1353"/>
      <c r="M384" s="2939"/>
      <c r="N384" s="456">
        <v>907282.33</v>
      </c>
      <c r="O384" s="2944">
        <v>1007147.28</v>
      </c>
      <c r="P384" s="166"/>
      <c r="Q384" s="166"/>
      <c r="R384" s="1339"/>
    </row>
    <row r="385" spans="1:18">
      <c r="A385" s="167">
        <f t="shared" si="3"/>
        <v>2025.04</v>
      </c>
      <c r="B385" s="215" t="e">
        <v>#N/A</v>
      </c>
      <c r="C385" s="3538" t="e">
        <v>#N/A</v>
      </c>
      <c r="D385" s="190" t="e">
        <v>#N/A</v>
      </c>
      <c r="E385" s="456">
        <f>837300+161</f>
        <v>837461</v>
      </c>
      <c r="F385" s="572">
        <v>1516</v>
      </c>
      <c r="G385" s="71">
        <v>15946</v>
      </c>
      <c r="H385" s="1353"/>
      <c r="I385" s="2939"/>
      <c r="J385" s="572">
        <v>34284</v>
      </c>
      <c r="K385" s="71">
        <v>355440</v>
      </c>
      <c r="L385" s="1353"/>
      <c r="M385" s="2939"/>
      <c r="N385" s="456">
        <v>898482.06</v>
      </c>
      <c r="O385" s="2944">
        <v>1030815.36</v>
      </c>
      <c r="P385" s="166"/>
      <c r="Q385" s="166"/>
      <c r="R385" s="1339"/>
    </row>
    <row r="386" spans="1:18">
      <c r="A386" s="167">
        <f t="shared" si="3"/>
        <v>2025.05</v>
      </c>
      <c r="B386" s="215" t="e">
        <v>#N/A</v>
      </c>
      <c r="C386" s="3538" t="e">
        <v>#N/A</v>
      </c>
      <c r="D386" s="190" t="e">
        <v>#N/A</v>
      </c>
      <c r="E386" s="456">
        <v>817412</v>
      </c>
      <c r="F386" s="572">
        <v>1697</v>
      </c>
      <c r="G386" s="71">
        <v>16479</v>
      </c>
      <c r="H386" s="1353"/>
      <c r="I386" s="2939"/>
      <c r="J386" s="572">
        <v>34117</v>
      </c>
      <c r="K386" s="71">
        <v>356152</v>
      </c>
      <c r="L386" s="1353"/>
      <c r="M386" s="2939"/>
      <c r="N386" s="456">
        <v>933736.7</v>
      </c>
      <c r="O386" s="2944">
        <v>1046614.04</v>
      </c>
      <c r="P386" s="166"/>
      <c r="Q386" s="166"/>
      <c r="R386" s="1339"/>
    </row>
    <row r="387" spans="1:18">
      <c r="A387" s="167">
        <f t="shared" si="3"/>
        <v>2025.06</v>
      </c>
      <c r="B387" s="215" t="e">
        <v>#N/A</v>
      </c>
      <c r="C387" s="3538" t="e">
        <v>#N/A</v>
      </c>
      <c r="D387" s="190" t="e">
        <v>#N/A</v>
      </c>
      <c r="E387" s="456">
        <v>809840</v>
      </c>
      <c r="F387" s="572">
        <v>1745</v>
      </c>
      <c r="G387" s="71">
        <v>17004</v>
      </c>
      <c r="H387" s="1353"/>
      <c r="I387" s="2939"/>
      <c r="J387" s="572">
        <v>34512</v>
      </c>
      <c r="K387" s="71">
        <v>354150</v>
      </c>
      <c r="L387" s="1353"/>
      <c r="M387" s="2939"/>
      <c r="N387" s="456">
        <v>1332229.8</v>
      </c>
      <c r="O387" s="2944">
        <v>1496804.88</v>
      </c>
      <c r="P387" s="166"/>
      <c r="Q387" s="166"/>
      <c r="R387" s="1339"/>
    </row>
    <row r="388" spans="1:18">
      <c r="A388" s="167">
        <f t="shared" si="3"/>
        <v>2025.07</v>
      </c>
      <c r="B388" s="215" t="e">
        <v>#N/A</v>
      </c>
      <c r="C388" s="3538" t="e">
        <v>#N/A</v>
      </c>
      <c r="D388" s="190" t="e">
        <v>#N/A</v>
      </c>
      <c r="E388" s="456">
        <v>887530</v>
      </c>
      <c r="F388" s="572">
        <v>1779</v>
      </c>
      <c r="G388" s="71">
        <v>17459</v>
      </c>
      <c r="H388" s="1353"/>
      <c r="I388" s="2939"/>
      <c r="J388" s="572">
        <v>34714</v>
      </c>
      <c r="K388" s="71">
        <v>355981</v>
      </c>
      <c r="L388" s="1353"/>
      <c r="M388" s="2939"/>
      <c r="N388" s="456">
        <v>977107.9</v>
      </c>
      <c r="O388" s="2944">
        <v>1086455.52</v>
      </c>
      <c r="P388" s="166"/>
      <c r="Q388" s="166"/>
      <c r="R388" s="1339"/>
    </row>
    <row r="389" spans="1:18">
      <c r="A389" s="167">
        <f t="shared" si="3"/>
        <v>2025.08</v>
      </c>
      <c r="B389" s="215" t="e">
        <v>#N/A</v>
      </c>
      <c r="C389" s="3538" t="e">
        <v>#N/A</v>
      </c>
      <c r="D389" s="190" t="e">
        <v>#N/A</v>
      </c>
      <c r="E389" s="456">
        <v>886081</v>
      </c>
      <c r="F389" s="572">
        <v>1810</v>
      </c>
      <c r="G389" s="71">
        <v>17869</v>
      </c>
      <c r="H389" s="1353"/>
      <c r="I389" s="2939"/>
      <c r="J389" s="572">
        <v>35352</v>
      </c>
      <c r="K389" s="71">
        <v>356487</v>
      </c>
      <c r="L389" s="1353"/>
      <c r="M389" s="2939"/>
      <c r="N389" s="456">
        <v>954367.49</v>
      </c>
      <c r="O389" s="2944">
        <v>1086077.3700000001</v>
      </c>
      <c r="P389" s="166"/>
      <c r="Q389" s="166"/>
      <c r="R389" s="1339"/>
    </row>
    <row r="390" spans="1:18">
      <c r="A390" s="167">
        <f t="shared" si="3"/>
        <v>2025.09</v>
      </c>
      <c r="B390" s="215" t="e">
        <v>#N/A</v>
      </c>
      <c r="C390" s="3538" t="e">
        <v>#N/A</v>
      </c>
      <c r="D390" s="190" t="e">
        <v>#N/A</v>
      </c>
      <c r="E390" s="456">
        <v>917980</v>
      </c>
      <c r="F390" s="572">
        <v>1848</v>
      </c>
      <c r="G390" s="71">
        <v>18239</v>
      </c>
      <c r="H390" s="1353"/>
      <c r="I390" s="2939"/>
      <c r="J390" s="572">
        <v>35997</v>
      </c>
      <c r="K390" s="71">
        <v>360372</v>
      </c>
      <c r="L390" s="1353"/>
      <c r="M390" s="2939"/>
      <c r="N390" s="456">
        <v>963781.63</v>
      </c>
      <c r="O390" s="2944">
        <v>1094958.48</v>
      </c>
      <c r="P390" s="166"/>
      <c r="Q390" s="166"/>
      <c r="R390" s="1339"/>
    </row>
    <row r="391" spans="1:18">
      <c r="A391" s="167">
        <f t="shared" si="3"/>
        <v>2025.1</v>
      </c>
      <c r="B391" s="215" t="e">
        <v>#N/A</v>
      </c>
      <c r="C391" s="3538" t="e">
        <v>#N/A</v>
      </c>
      <c r="D391" s="190" t="e">
        <v>#N/A</v>
      </c>
      <c r="E391" s="456">
        <v>968372</v>
      </c>
      <c r="F391" s="572">
        <v>1893</v>
      </c>
      <c r="G391" s="71">
        <v>18633</v>
      </c>
      <c r="H391" s="1353"/>
      <c r="I391" s="2939"/>
      <c r="J391" s="572">
        <v>36641</v>
      </c>
      <c r="K391" s="71">
        <v>362139</v>
      </c>
      <c r="L391" s="1353"/>
      <c r="M391" s="2939"/>
      <c r="N391" s="456">
        <v>1050068.8799999999</v>
      </c>
      <c r="O391" s="2944">
        <v>1185561.73</v>
      </c>
      <c r="P391" s="166"/>
      <c r="Q391" s="166"/>
      <c r="R391" s="1339"/>
    </row>
    <row r="392" spans="1:18">
      <c r="A392" s="167">
        <f t="shared" si="3"/>
        <v>2025.11</v>
      </c>
      <c r="B392" s="215" t="e">
        <v>#N/A</v>
      </c>
      <c r="C392" s="3538" t="e">
        <v>#N/A</v>
      </c>
      <c r="D392" s="190" t="e">
        <v>#N/A</v>
      </c>
      <c r="E392" s="456">
        <v>829401</v>
      </c>
      <c r="F392" s="572">
        <v>1919</v>
      </c>
      <c r="G392" s="71">
        <v>18937</v>
      </c>
      <c r="H392" s="1353"/>
      <c r="I392" s="2939"/>
      <c r="J392" s="572">
        <v>37289</v>
      </c>
      <c r="K392" s="71">
        <v>360510</v>
      </c>
      <c r="L392" s="1353"/>
      <c r="M392" s="2939"/>
      <c r="N392" s="456">
        <v>1002506.9</v>
      </c>
      <c r="O392" s="2944">
        <v>1142015.08</v>
      </c>
      <c r="P392" s="166"/>
      <c r="Q392" s="166"/>
      <c r="R392" s="1339"/>
    </row>
    <row r="393" spans="1:18">
      <c r="A393" s="167">
        <f t="shared" si="3"/>
        <v>2025.12</v>
      </c>
      <c r="B393" s="215" t="e">
        <v>#N/A</v>
      </c>
      <c r="C393" s="3538" t="e">
        <v>#N/A</v>
      </c>
      <c r="D393" s="190" t="e">
        <v>#N/A</v>
      </c>
      <c r="E393" s="456">
        <v>755542</v>
      </c>
      <c r="F393" s="572">
        <v>1926</v>
      </c>
      <c r="G393" s="71">
        <v>19099</v>
      </c>
      <c r="H393" s="1353"/>
      <c r="I393" s="2939"/>
      <c r="J393" s="572">
        <v>37459.141452473639</v>
      </c>
      <c r="K393" s="71">
        <v>354748.93978022027</v>
      </c>
      <c r="L393" s="1353"/>
      <c r="M393" s="2939"/>
      <c r="N393" s="456">
        <v>1489872.2626197676</v>
      </c>
      <c r="O393" s="2944">
        <v>1692260.8714487778</v>
      </c>
      <c r="P393" s="166"/>
      <c r="Q393" s="166"/>
      <c r="R393" s="1339"/>
    </row>
    <row r="394" spans="1:18">
      <c r="A394" s="167">
        <f t="shared" si="3"/>
        <v>2026.01</v>
      </c>
      <c r="B394" s="215" t="e">
        <v>#N/A</v>
      </c>
      <c r="C394" s="3538" t="e">
        <v>#N/A</v>
      </c>
      <c r="D394" s="190" t="e">
        <v>#N/A</v>
      </c>
      <c r="E394" s="456">
        <v>788173</v>
      </c>
      <c r="F394" s="572">
        <v>1939</v>
      </c>
      <c r="G394" s="71">
        <v>19298</v>
      </c>
      <c r="H394" s="1353"/>
      <c r="I394" s="2939"/>
      <c r="J394" s="572" t="e">
        <v>#N/A</v>
      </c>
      <c r="K394" s="71" t="e">
        <v>#N/A</v>
      </c>
      <c r="L394" s="1353"/>
      <c r="M394" s="2939"/>
      <c r="N394" s="456" t="e">
        <v>#N/A</v>
      </c>
      <c r="O394" s="2944" t="e">
        <v>#N/A</v>
      </c>
      <c r="P394" s="166"/>
      <c r="Q394" s="166"/>
      <c r="R394" s="166"/>
    </row>
    <row r="395" spans="1:18">
      <c r="A395" s="167">
        <f t="shared" si="3"/>
        <v>2026.02</v>
      </c>
      <c r="B395" s="215" t="e">
        <v>#N/A</v>
      </c>
      <c r="C395" s="3538" t="e">
        <v>#N/A</v>
      </c>
      <c r="D395" s="190" t="e">
        <v>#N/A</v>
      </c>
      <c r="E395" s="456">
        <v>696458</v>
      </c>
      <c r="F395" s="572" t="e">
        <v>#N/A</v>
      </c>
      <c r="G395" s="71" t="e">
        <v>#N/A</v>
      </c>
      <c r="H395" s="1353"/>
      <c r="I395" s="2939"/>
      <c r="J395" s="572" t="e">
        <v>#N/A</v>
      </c>
      <c r="K395" s="71" t="e">
        <v>#N/A</v>
      </c>
      <c r="L395" s="1353"/>
      <c r="M395" s="2939"/>
      <c r="N395" s="456" t="e">
        <v>#N/A</v>
      </c>
      <c r="O395" s="2944" t="e">
        <v>#N/A</v>
      </c>
      <c r="P395" s="166"/>
      <c r="Q395" s="166"/>
      <c r="R395" s="166"/>
    </row>
    <row r="396" spans="1:18">
      <c r="A396" s="167">
        <f t="shared" si="3"/>
        <v>2026.03</v>
      </c>
      <c r="B396" s="215" t="e">
        <v>#N/A</v>
      </c>
      <c r="C396" s="3538" t="e">
        <v>#N/A</v>
      </c>
      <c r="D396" s="190" t="e">
        <v>#N/A</v>
      </c>
      <c r="E396" s="456" t="e">
        <v>#N/A</v>
      </c>
      <c r="F396" s="572" t="e">
        <v>#N/A</v>
      </c>
      <c r="G396" s="71" t="e">
        <v>#N/A</v>
      </c>
      <c r="H396" s="1353"/>
      <c r="I396" s="2939"/>
      <c r="J396" s="572" t="e">
        <v>#N/A</v>
      </c>
      <c r="K396" s="71" t="e">
        <v>#N/A</v>
      </c>
      <c r="L396" s="1353"/>
      <c r="M396" s="2939"/>
      <c r="N396" s="456" t="e">
        <v>#N/A</v>
      </c>
      <c r="O396" s="2944" t="e">
        <v>#N/A</v>
      </c>
      <c r="P396" s="166"/>
      <c r="Q396" s="166"/>
      <c r="R396" s="166"/>
    </row>
    <row r="397" spans="1:18">
      <c r="A397" s="167">
        <f t="shared" si="3"/>
        <v>2026.04</v>
      </c>
      <c r="B397" s="215" t="e">
        <v>#N/A</v>
      </c>
      <c r="C397" s="3538" t="e">
        <v>#N/A</v>
      </c>
      <c r="D397" s="190" t="e">
        <v>#N/A</v>
      </c>
      <c r="E397" s="456" t="e">
        <v>#N/A</v>
      </c>
      <c r="F397" s="572" t="e">
        <v>#N/A</v>
      </c>
      <c r="G397" s="71" t="e">
        <v>#N/A</v>
      </c>
      <c r="H397" s="1353"/>
      <c r="I397" s="2939"/>
      <c r="J397" s="572" t="e">
        <v>#N/A</v>
      </c>
      <c r="K397" s="71" t="e">
        <v>#N/A</v>
      </c>
      <c r="L397" s="1353"/>
      <c r="M397" s="2939"/>
      <c r="N397" s="456" t="e">
        <v>#N/A</v>
      </c>
      <c r="O397" s="2944" t="e">
        <v>#N/A</v>
      </c>
      <c r="P397" s="166"/>
      <c r="Q397" s="166"/>
      <c r="R397" s="166"/>
    </row>
    <row r="398" spans="1:18">
      <c r="A398" s="167">
        <f t="shared" si="3"/>
        <v>2026.05</v>
      </c>
      <c r="B398" s="215" t="e">
        <v>#N/A</v>
      </c>
      <c r="C398" s="3538" t="e">
        <v>#N/A</v>
      </c>
      <c r="D398" s="190" t="e">
        <v>#N/A</v>
      </c>
      <c r="E398" s="456" t="e">
        <v>#N/A</v>
      </c>
      <c r="F398" s="572" t="e">
        <v>#N/A</v>
      </c>
      <c r="G398" s="71" t="e">
        <v>#N/A</v>
      </c>
      <c r="H398" s="1353"/>
      <c r="I398" s="2939"/>
      <c r="J398" s="572" t="e">
        <v>#N/A</v>
      </c>
      <c r="K398" s="71" t="e">
        <v>#N/A</v>
      </c>
      <c r="L398" s="1353"/>
      <c r="M398" s="2939"/>
      <c r="N398" s="456" t="e">
        <v>#N/A</v>
      </c>
      <c r="O398" s="2944" t="e">
        <v>#N/A</v>
      </c>
      <c r="P398" s="166"/>
      <c r="Q398" s="166"/>
      <c r="R398" s="166"/>
    </row>
    <row r="399" spans="1:18">
      <c r="A399" s="167">
        <f t="shared" si="3"/>
        <v>2026.06</v>
      </c>
      <c r="B399" s="215" t="e">
        <v>#N/A</v>
      </c>
      <c r="C399" s="3538" t="e">
        <v>#N/A</v>
      </c>
      <c r="D399" s="190" t="e">
        <v>#N/A</v>
      </c>
      <c r="E399" s="456" t="e">
        <v>#N/A</v>
      </c>
      <c r="F399" s="572" t="e">
        <v>#N/A</v>
      </c>
      <c r="G399" s="71" t="e">
        <v>#N/A</v>
      </c>
      <c r="H399" s="1353"/>
      <c r="I399" s="2939"/>
      <c r="J399" s="572" t="e">
        <v>#N/A</v>
      </c>
      <c r="K399" s="71" t="e">
        <v>#N/A</v>
      </c>
      <c r="L399" s="1353"/>
      <c r="M399" s="2939"/>
      <c r="N399" s="456" t="e">
        <v>#N/A</v>
      </c>
      <c r="O399" s="2944" t="e">
        <v>#N/A</v>
      </c>
      <c r="P399" s="166"/>
      <c r="Q399" s="166"/>
      <c r="R399" s="166"/>
    </row>
    <row r="400" spans="1:18">
      <c r="A400" s="167">
        <f t="shared" si="3"/>
        <v>2026.07</v>
      </c>
      <c r="B400" s="215" t="e">
        <v>#N/A</v>
      </c>
      <c r="C400" s="3538" t="e">
        <v>#N/A</v>
      </c>
      <c r="D400" s="190" t="e">
        <v>#N/A</v>
      </c>
      <c r="E400" s="456" t="e">
        <v>#N/A</v>
      </c>
      <c r="F400" s="572" t="e">
        <v>#N/A</v>
      </c>
      <c r="G400" s="71" t="e">
        <v>#N/A</v>
      </c>
      <c r="H400" s="1353"/>
      <c r="I400" s="2939"/>
      <c r="J400" s="572" t="e">
        <v>#N/A</v>
      </c>
      <c r="K400" s="71" t="e">
        <v>#N/A</v>
      </c>
      <c r="L400" s="1353"/>
      <c r="M400" s="2939"/>
      <c r="N400" s="456" t="e">
        <v>#N/A</v>
      </c>
      <c r="O400" s="2944" t="e">
        <v>#N/A</v>
      </c>
      <c r="P400" s="166"/>
      <c r="Q400" s="166"/>
      <c r="R400" s="166"/>
    </row>
    <row r="401" spans="1:15">
      <c r="A401" s="167">
        <f t="shared" si="3"/>
        <v>2026.08</v>
      </c>
      <c r="B401" s="215" t="e">
        <v>#N/A</v>
      </c>
      <c r="C401" s="3538" t="e">
        <v>#N/A</v>
      </c>
      <c r="D401" s="190" t="e">
        <v>#N/A</v>
      </c>
      <c r="E401" s="456" t="e">
        <v>#N/A</v>
      </c>
      <c r="F401" s="572" t="e">
        <v>#N/A</v>
      </c>
      <c r="G401" s="71" t="e">
        <v>#N/A</v>
      </c>
      <c r="H401" s="1353"/>
      <c r="I401" s="2939"/>
      <c r="J401" s="572" t="e">
        <v>#N/A</v>
      </c>
      <c r="K401" s="71" t="e">
        <v>#N/A</v>
      </c>
      <c r="L401" s="1353"/>
      <c r="M401" s="2939"/>
      <c r="N401" s="456" t="e">
        <v>#N/A</v>
      </c>
      <c r="O401" s="2944" t="e">
        <v>#N/A</v>
      </c>
    </row>
    <row r="402" spans="1:15">
      <c r="A402" s="167">
        <f t="shared" si="3"/>
        <v>2026.09</v>
      </c>
      <c r="B402" s="215" t="e">
        <v>#N/A</v>
      </c>
      <c r="C402" s="3538" t="e">
        <v>#N/A</v>
      </c>
      <c r="D402" s="190" t="e">
        <v>#N/A</v>
      </c>
      <c r="E402" s="456" t="e">
        <v>#N/A</v>
      </c>
      <c r="F402" s="572" t="e">
        <v>#N/A</v>
      </c>
      <c r="G402" s="71" t="e">
        <v>#N/A</v>
      </c>
      <c r="H402" s="1353"/>
      <c r="I402" s="2939"/>
      <c r="J402" s="572" t="e">
        <v>#N/A</v>
      </c>
      <c r="K402" s="71" t="e">
        <v>#N/A</v>
      </c>
      <c r="L402" s="1353"/>
      <c r="M402" s="2939"/>
      <c r="N402" s="456" t="e">
        <v>#N/A</v>
      </c>
      <c r="O402" s="2944" t="e">
        <v>#N/A</v>
      </c>
    </row>
    <row r="403" spans="1:15">
      <c r="A403" s="167">
        <f t="shared" si="3"/>
        <v>2026.1</v>
      </c>
      <c r="B403" s="215" t="e">
        <v>#N/A</v>
      </c>
      <c r="C403" s="3538" t="e">
        <v>#N/A</v>
      </c>
      <c r="D403" s="190" t="e">
        <v>#N/A</v>
      </c>
      <c r="E403" s="456" t="e">
        <v>#N/A</v>
      </c>
      <c r="F403" s="572" t="e">
        <v>#N/A</v>
      </c>
      <c r="G403" s="71" t="e">
        <v>#N/A</v>
      </c>
      <c r="H403" s="1353"/>
      <c r="I403" s="2939"/>
      <c r="J403" s="572" t="e">
        <v>#N/A</v>
      </c>
      <c r="K403" s="71" t="e">
        <v>#N/A</v>
      </c>
      <c r="L403" s="1353"/>
      <c r="M403" s="2939"/>
      <c r="N403" s="456" t="e">
        <v>#N/A</v>
      </c>
      <c r="O403" s="2944" t="e">
        <v>#N/A</v>
      </c>
    </row>
    <row r="404" spans="1:15">
      <c r="A404" s="167">
        <f t="shared" si="3"/>
        <v>2026.11</v>
      </c>
      <c r="B404" s="215" t="e">
        <v>#N/A</v>
      </c>
      <c r="C404" s="3538" t="e">
        <v>#N/A</v>
      </c>
      <c r="D404" s="190" t="e">
        <v>#N/A</v>
      </c>
      <c r="E404" s="456" t="e">
        <v>#N/A</v>
      </c>
      <c r="F404" s="572" t="e">
        <v>#N/A</v>
      </c>
      <c r="G404" s="71" t="e">
        <v>#N/A</v>
      </c>
      <c r="H404" s="1353"/>
      <c r="I404" s="2939"/>
      <c r="J404" s="572" t="e">
        <v>#N/A</v>
      </c>
      <c r="K404" s="71" t="e">
        <v>#N/A</v>
      </c>
      <c r="L404" s="1353"/>
      <c r="M404" s="2939"/>
      <c r="N404" s="456" t="e">
        <v>#N/A</v>
      </c>
      <c r="O404" s="2944" t="e">
        <v>#N/A</v>
      </c>
    </row>
    <row r="405" spans="1:15">
      <c r="A405" s="167">
        <f t="shared" si="3"/>
        <v>2026.12</v>
      </c>
      <c r="B405" s="215" t="e">
        <v>#N/A</v>
      </c>
      <c r="C405" s="3538" t="e">
        <v>#N/A</v>
      </c>
      <c r="D405" s="190" t="e">
        <v>#N/A</v>
      </c>
      <c r="E405" s="456" t="e">
        <v>#N/A</v>
      </c>
      <c r="F405" s="572" t="e">
        <v>#N/A</v>
      </c>
      <c r="G405" s="71" t="e">
        <v>#N/A</v>
      </c>
      <c r="H405" s="1353"/>
      <c r="I405" s="2939"/>
      <c r="J405" s="572" t="e">
        <v>#N/A</v>
      </c>
      <c r="K405" s="71" t="e">
        <v>#N/A</v>
      </c>
      <c r="L405" s="1353"/>
      <c r="M405" s="2939"/>
      <c r="N405" s="456" t="e">
        <v>#N/A</v>
      </c>
      <c r="O405" s="2944" t="e">
        <v>#N/A</v>
      </c>
    </row>
    <row r="406" spans="1:15">
      <c r="A406" s="167">
        <f t="shared" si="3"/>
        <v>2027.01</v>
      </c>
      <c r="B406" s="215" t="e">
        <v>#N/A</v>
      </c>
      <c r="C406" s="3538" t="e">
        <v>#N/A</v>
      </c>
      <c r="D406" s="190" t="e">
        <v>#N/A</v>
      </c>
      <c r="E406" s="456" t="e">
        <v>#N/A</v>
      </c>
      <c r="F406" s="572" t="e">
        <v>#N/A</v>
      </c>
      <c r="G406" s="71" t="e">
        <v>#N/A</v>
      </c>
      <c r="H406" s="1353"/>
      <c r="I406" s="2939"/>
      <c r="J406" s="572" t="e">
        <v>#N/A</v>
      </c>
      <c r="K406" s="71" t="e">
        <v>#N/A</v>
      </c>
      <c r="L406" s="1353"/>
      <c r="M406" s="2939"/>
      <c r="N406" s="456" t="e">
        <v>#N/A</v>
      </c>
      <c r="O406" s="2944" t="e">
        <v>#N/A</v>
      </c>
    </row>
    <row r="407" spans="1:15">
      <c r="A407" s="167">
        <f t="shared" si="3"/>
        <v>2027.02</v>
      </c>
      <c r="B407" s="215" t="e">
        <v>#N/A</v>
      </c>
      <c r="C407" s="3538" t="e">
        <v>#N/A</v>
      </c>
      <c r="D407" s="190" t="e">
        <v>#N/A</v>
      </c>
      <c r="E407" s="456" t="e">
        <v>#N/A</v>
      </c>
      <c r="F407" s="572" t="e">
        <v>#N/A</v>
      </c>
      <c r="G407" s="71" t="e">
        <v>#N/A</v>
      </c>
      <c r="H407" s="1353"/>
      <c r="I407" s="2939"/>
      <c r="J407" s="572" t="e">
        <v>#N/A</v>
      </c>
      <c r="K407" s="71" t="e">
        <v>#N/A</v>
      </c>
      <c r="L407" s="1353"/>
      <c r="M407" s="2939"/>
      <c r="N407" s="456" t="e">
        <v>#N/A</v>
      </c>
      <c r="O407" s="2944" t="e">
        <v>#N/A</v>
      </c>
    </row>
    <row r="408" spans="1:15">
      <c r="A408" s="167">
        <f t="shared" si="3"/>
        <v>2027.03</v>
      </c>
      <c r="B408" s="215" t="e">
        <v>#N/A</v>
      </c>
      <c r="C408" s="3538" t="e">
        <v>#N/A</v>
      </c>
      <c r="D408" s="190" t="e">
        <v>#N/A</v>
      </c>
      <c r="E408" s="456" t="e">
        <v>#N/A</v>
      </c>
      <c r="F408" s="572" t="e">
        <v>#N/A</v>
      </c>
      <c r="G408" s="71" t="e">
        <v>#N/A</v>
      </c>
      <c r="H408" s="1353"/>
      <c r="I408" s="2939"/>
      <c r="J408" s="572" t="e">
        <v>#N/A</v>
      </c>
      <c r="K408" s="71" t="e">
        <v>#N/A</v>
      </c>
      <c r="L408" s="1353"/>
      <c r="M408" s="2939"/>
      <c r="N408" s="456" t="e">
        <v>#N/A</v>
      </c>
      <c r="O408" s="2944" t="e">
        <v>#N/A</v>
      </c>
    </row>
    <row r="409" spans="1:15">
      <c r="A409" s="167">
        <f t="shared" si="3"/>
        <v>2027.04</v>
      </c>
      <c r="B409" s="215" t="e">
        <v>#N/A</v>
      </c>
      <c r="C409" s="3538" t="e">
        <v>#N/A</v>
      </c>
      <c r="D409" s="190" t="e">
        <v>#N/A</v>
      </c>
      <c r="E409" s="456" t="e">
        <v>#N/A</v>
      </c>
      <c r="F409" s="572" t="e">
        <v>#N/A</v>
      </c>
      <c r="G409" s="71" t="e">
        <v>#N/A</v>
      </c>
      <c r="H409" s="1353"/>
      <c r="I409" s="2939"/>
      <c r="J409" s="572" t="e">
        <v>#N/A</v>
      </c>
      <c r="K409" s="71" t="e">
        <v>#N/A</v>
      </c>
      <c r="L409" s="1353"/>
      <c r="M409" s="2939"/>
      <c r="N409" s="456" t="e">
        <v>#N/A</v>
      </c>
      <c r="O409" s="2944" t="e">
        <v>#N/A</v>
      </c>
    </row>
    <row r="410" spans="1:15">
      <c r="A410" s="167">
        <f t="shared" si="3"/>
        <v>2027.05</v>
      </c>
      <c r="B410" s="215" t="e">
        <v>#N/A</v>
      </c>
      <c r="C410" s="3538" t="e">
        <v>#N/A</v>
      </c>
      <c r="D410" s="190" t="e">
        <v>#N/A</v>
      </c>
      <c r="E410" s="456" t="e">
        <v>#N/A</v>
      </c>
      <c r="F410" s="572" t="e">
        <v>#N/A</v>
      </c>
      <c r="G410" s="71" t="e">
        <v>#N/A</v>
      </c>
      <c r="H410" s="1353"/>
      <c r="I410" s="2939"/>
      <c r="J410" s="572" t="e">
        <v>#N/A</v>
      </c>
      <c r="K410" s="71" t="e">
        <v>#N/A</v>
      </c>
      <c r="L410" s="1353"/>
      <c r="M410" s="2939"/>
      <c r="N410" s="456" t="e">
        <v>#N/A</v>
      </c>
      <c r="O410" s="2944" t="e">
        <v>#N/A</v>
      </c>
    </row>
    <row r="411" spans="1:15">
      <c r="A411" s="167">
        <f t="shared" si="3"/>
        <v>2027.06</v>
      </c>
      <c r="B411" s="215" t="e">
        <v>#N/A</v>
      </c>
      <c r="C411" s="3538" t="e">
        <v>#N/A</v>
      </c>
      <c r="D411" s="190" t="e">
        <v>#N/A</v>
      </c>
      <c r="E411" s="456" t="e">
        <v>#N/A</v>
      </c>
      <c r="F411" s="572" t="e">
        <v>#N/A</v>
      </c>
      <c r="G411" s="71" t="e">
        <v>#N/A</v>
      </c>
      <c r="H411" s="1353"/>
      <c r="I411" s="2939"/>
      <c r="J411" s="572" t="e">
        <v>#N/A</v>
      </c>
      <c r="K411" s="71" t="e">
        <v>#N/A</v>
      </c>
      <c r="L411" s="1353"/>
      <c r="M411" s="2939"/>
      <c r="N411" s="456" t="e">
        <v>#N/A</v>
      </c>
      <c r="O411" s="2944" t="e">
        <v>#N/A</v>
      </c>
    </row>
    <row r="412" spans="1:15">
      <c r="A412" s="167">
        <f t="shared" si="3"/>
        <v>2027.07</v>
      </c>
      <c r="B412" s="215" t="e">
        <v>#N/A</v>
      </c>
      <c r="C412" s="3538" t="e">
        <v>#N/A</v>
      </c>
      <c r="D412" s="190" t="e">
        <v>#N/A</v>
      </c>
      <c r="E412" s="456" t="e">
        <v>#N/A</v>
      </c>
      <c r="F412" s="572" t="e">
        <v>#N/A</v>
      </c>
      <c r="G412" s="71" t="e">
        <v>#N/A</v>
      </c>
      <c r="H412" s="1353"/>
      <c r="I412" s="2939"/>
      <c r="J412" s="572" t="e">
        <v>#N/A</v>
      </c>
      <c r="K412" s="71" t="e">
        <v>#N/A</v>
      </c>
      <c r="L412" s="1353"/>
      <c r="M412" s="2939"/>
      <c r="N412" s="456" t="e">
        <v>#N/A</v>
      </c>
      <c r="O412" s="2944" t="e">
        <v>#N/A</v>
      </c>
    </row>
    <row r="413" spans="1:15">
      <c r="A413" s="167">
        <f t="shared" si="3"/>
        <v>2027.08</v>
      </c>
      <c r="B413" s="215" t="e">
        <v>#N/A</v>
      </c>
      <c r="C413" s="3538" t="e">
        <v>#N/A</v>
      </c>
      <c r="D413" s="190" t="e">
        <v>#N/A</v>
      </c>
      <c r="E413" s="456" t="e">
        <v>#N/A</v>
      </c>
      <c r="F413" s="572" t="e">
        <v>#N/A</v>
      </c>
      <c r="G413" s="71" t="e">
        <v>#N/A</v>
      </c>
      <c r="H413" s="1353"/>
      <c r="I413" s="2939"/>
      <c r="J413" s="572" t="e">
        <v>#N/A</v>
      </c>
      <c r="K413" s="71" t="e">
        <v>#N/A</v>
      </c>
      <c r="L413" s="1353"/>
      <c r="M413" s="2939"/>
      <c r="N413" s="456" t="e">
        <v>#N/A</v>
      </c>
      <c r="O413" s="2944" t="e">
        <v>#N/A</v>
      </c>
    </row>
    <row r="414" spans="1:15">
      <c r="A414" s="167">
        <f t="shared" si="3"/>
        <v>2027.09</v>
      </c>
      <c r="B414" s="215" t="e">
        <v>#N/A</v>
      </c>
      <c r="C414" s="3538" t="e">
        <v>#N/A</v>
      </c>
      <c r="D414" s="190" t="e">
        <v>#N/A</v>
      </c>
      <c r="E414" s="456" t="e">
        <v>#N/A</v>
      </c>
      <c r="F414" s="572" t="e">
        <v>#N/A</v>
      </c>
      <c r="G414" s="71" t="e">
        <v>#N/A</v>
      </c>
      <c r="H414" s="1353"/>
      <c r="I414" s="2939"/>
      <c r="J414" s="572" t="e">
        <v>#N/A</v>
      </c>
      <c r="K414" s="71" t="e">
        <v>#N/A</v>
      </c>
      <c r="L414" s="1353"/>
      <c r="M414" s="2939"/>
      <c r="N414" s="456" t="e">
        <v>#N/A</v>
      </c>
      <c r="O414" s="2944" t="e">
        <v>#N/A</v>
      </c>
    </row>
    <row r="415" spans="1:15">
      <c r="A415" s="167">
        <f t="shared" si="3"/>
        <v>2027.1</v>
      </c>
      <c r="B415" s="215" t="e">
        <v>#N/A</v>
      </c>
      <c r="C415" s="3538" t="e">
        <v>#N/A</v>
      </c>
      <c r="D415" s="190" t="e">
        <v>#N/A</v>
      </c>
      <c r="E415" s="456" t="e">
        <v>#N/A</v>
      </c>
      <c r="F415" s="572" t="e">
        <v>#N/A</v>
      </c>
      <c r="G415" s="71" t="e">
        <v>#N/A</v>
      </c>
      <c r="H415" s="1353"/>
      <c r="I415" s="2939"/>
      <c r="J415" s="572" t="e">
        <v>#N/A</v>
      </c>
      <c r="K415" s="71" t="e">
        <v>#N/A</v>
      </c>
      <c r="L415" s="1353"/>
      <c r="M415" s="2939"/>
      <c r="N415" s="456" t="e">
        <v>#N/A</v>
      </c>
      <c r="O415" s="2944" t="e">
        <v>#N/A</v>
      </c>
    </row>
    <row r="416" spans="1:15">
      <c r="A416" s="167">
        <f t="shared" si="3"/>
        <v>2027.11</v>
      </c>
      <c r="B416" s="215" t="e">
        <v>#N/A</v>
      </c>
      <c r="C416" s="3538" t="e">
        <v>#N/A</v>
      </c>
      <c r="D416" s="190" t="e">
        <v>#N/A</v>
      </c>
      <c r="E416" s="456" t="e">
        <v>#N/A</v>
      </c>
      <c r="F416" s="572" t="e">
        <v>#N/A</v>
      </c>
      <c r="G416" s="71" t="e">
        <v>#N/A</v>
      </c>
      <c r="H416" s="1353"/>
      <c r="I416" s="2939"/>
      <c r="J416" s="572" t="e">
        <v>#N/A</v>
      </c>
      <c r="K416" s="71" t="e">
        <v>#N/A</v>
      </c>
      <c r="L416" s="1353"/>
      <c r="M416" s="2939"/>
      <c r="N416" s="456" t="e">
        <v>#N/A</v>
      </c>
      <c r="O416" s="2944" t="e">
        <v>#N/A</v>
      </c>
    </row>
    <row r="417" spans="1:15">
      <c r="A417" s="167">
        <f t="shared" si="3"/>
        <v>2027.12</v>
      </c>
      <c r="B417" s="215" t="e">
        <v>#N/A</v>
      </c>
      <c r="C417" s="3538" t="e">
        <v>#N/A</v>
      </c>
      <c r="D417" s="190" t="e">
        <v>#N/A</v>
      </c>
      <c r="E417" s="456" t="e">
        <v>#N/A</v>
      </c>
      <c r="F417" s="572" t="e">
        <v>#N/A</v>
      </c>
      <c r="G417" s="71" t="e">
        <v>#N/A</v>
      </c>
      <c r="H417" s="1353"/>
      <c r="I417" s="2939"/>
      <c r="J417" s="572" t="e">
        <v>#N/A</v>
      </c>
      <c r="K417" s="71" t="e">
        <v>#N/A</v>
      </c>
      <c r="L417" s="1353"/>
      <c r="M417" s="2939"/>
      <c r="N417" s="456" t="e">
        <v>#N/A</v>
      </c>
      <c r="O417" s="2944" t="e">
        <v>#N/A</v>
      </c>
    </row>
    <row r="418" spans="1:15">
      <c r="A418" s="167">
        <f t="shared" si="3"/>
        <v>2028.01</v>
      </c>
      <c r="B418" s="215" t="e">
        <v>#N/A</v>
      </c>
      <c r="C418" s="3538" t="e">
        <v>#N/A</v>
      </c>
      <c r="D418" s="190" t="e">
        <v>#N/A</v>
      </c>
      <c r="E418" s="456" t="e">
        <v>#N/A</v>
      </c>
      <c r="F418" s="572" t="e">
        <v>#N/A</v>
      </c>
      <c r="G418" s="71" t="e">
        <v>#N/A</v>
      </c>
      <c r="H418" s="1353"/>
      <c r="I418" s="2939"/>
      <c r="J418" s="572" t="e">
        <v>#N/A</v>
      </c>
      <c r="K418" s="71" t="e">
        <v>#N/A</v>
      </c>
      <c r="L418" s="1353"/>
      <c r="M418" s="2939"/>
      <c r="N418" s="456" t="e">
        <v>#N/A</v>
      </c>
      <c r="O418" s="2944" t="e">
        <v>#N/A</v>
      </c>
    </row>
    <row r="419" spans="1:15">
      <c r="A419" s="167">
        <f t="shared" si="3"/>
        <v>2028.02</v>
      </c>
      <c r="B419" s="215" t="e">
        <v>#N/A</v>
      </c>
      <c r="C419" s="3538" t="e">
        <v>#N/A</v>
      </c>
      <c r="D419" s="190" t="e">
        <v>#N/A</v>
      </c>
      <c r="E419" s="456" t="e">
        <v>#N/A</v>
      </c>
      <c r="F419" s="572" t="e">
        <v>#N/A</v>
      </c>
      <c r="G419" s="71" t="e">
        <v>#N/A</v>
      </c>
      <c r="H419" s="1353"/>
      <c r="I419" s="2939"/>
      <c r="J419" s="572" t="e">
        <v>#N/A</v>
      </c>
      <c r="K419" s="71" t="e">
        <v>#N/A</v>
      </c>
      <c r="L419" s="1353"/>
      <c r="M419" s="2939"/>
      <c r="N419" s="456" t="e">
        <v>#N/A</v>
      </c>
      <c r="O419" s="2944" t="e">
        <v>#N/A</v>
      </c>
    </row>
    <row r="420" spans="1:15">
      <c r="A420" s="167">
        <f t="shared" si="3"/>
        <v>2028.03</v>
      </c>
      <c r="B420" s="215" t="e">
        <v>#N/A</v>
      </c>
      <c r="C420" s="3538" t="e">
        <v>#N/A</v>
      </c>
      <c r="D420" s="190" t="e">
        <v>#N/A</v>
      </c>
      <c r="E420" s="456" t="e">
        <v>#N/A</v>
      </c>
      <c r="F420" s="572" t="e">
        <v>#N/A</v>
      </c>
      <c r="G420" s="71" t="e">
        <v>#N/A</v>
      </c>
      <c r="H420" s="1353"/>
      <c r="I420" s="2939"/>
      <c r="J420" s="572" t="e">
        <v>#N/A</v>
      </c>
      <c r="K420" s="71" t="e">
        <v>#N/A</v>
      </c>
      <c r="L420" s="1353"/>
      <c r="M420" s="2939"/>
      <c r="N420" s="456" t="e">
        <v>#N/A</v>
      </c>
      <c r="O420" s="2944" t="e">
        <v>#N/A</v>
      </c>
    </row>
    <row r="421" spans="1:15">
      <c r="A421" s="167">
        <f t="shared" si="3"/>
        <v>2028.04</v>
      </c>
      <c r="B421" s="215" t="e">
        <v>#N/A</v>
      </c>
      <c r="C421" s="3538" t="e">
        <v>#N/A</v>
      </c>
      <c r="D421" s="190" t="e">
        <v>#N/A</v>
      </c>
      <c r="E421" s="456" t="e">
        <v>#N/A</v>
      </c>
      <c r="F421" s="572" t="e">
        <v>#N/A</v>
      </c>
      <c r="G421" s="71" t="e">
        <v>#N/A</v>
      </c>
      <c r="H421" s="1353"/>
      <c r="I421" s="2939"/>
      <c r="J421" s="572" t="e">
        <v>#N/A</v>
      </c>
      <c r="K421" s="71" t="e">
        <v>#N/A</v>
      </c>
      <c r="L421" s="1353"/>
      <c r="M421" s="2939"/>
      <c r="N421" s="456" t="e">
        <v>#N/A</v>
      </c>
      <c r="O421" s="2944" t="e">
        <v>#N/A</v>
      </c>
    </row>
    <row r="422" spans="1:15">
      <c r="A422" s="167">
        <f t="shared" si="3"/>
        <v>2028.05</v>
      </c>
      <c r="B422" s="215" t="e">
        <v>#N/A</v>
      </c>
      <c r="C422" s="3538" t="e">
        <v>#N/A</v>
      </c>
      <c r="D422" s="190" t="e">
        <v>#N/A</v>
      </c>
      <c r="E422" s="456" t="e">
        <v>#N/A</v>
      </c>
      <c r="F422" s="572" t="e">
        <v>#N/A</v>
      </c>
      <c r="G422" s="71" t="e">
        <v>#N/A</v>
      </c>
      <c r="H422" s="1353"/>
      <c r="I422" s="2939"/>
      <c r="J422" s="572" t="e">
        <v>#N/A</v>
      </c>
      <c r="K422" s="71" t="e">
        <v>#N/A</v>
      </c>
      <c r="L422" s="1353"/>
      <c r="M422" s="2939"/>
      <c r="N422" s="456" t="e">
        <v>#N/A</v>
      </c>
      <c r="O422" s="2944" t="e">
        <v>#N/A</v>
      </c>
    </row>
    <row r="423" spans="1:15">
      <c r="A423" s="167">
        <f t="shared" si="3"/>
        <v>2028.06</v>
      </c>
      <c r="B423" s="215" t="e">
        <v>#N/A</v>
      </c>
      <c r="C423" s="3538" t="e">
        <v>#N/A</v>
      </c>
      <c r="D423" s="190" t="e">
        <v>#N/A</v>
      </c>
      <c r="E423" s="456" t="e">
        <v>#N/A</v>
      </c>
      <c r="F423" s="572" t="e">
        <v>#N/A</v>
      </c>
      <c r="G423" s="71" t="e">
        <v>#N/A</v>
      </c>
      <c r="H423" s="1353"/>
      <c r="I423" s="2939"/>
      <c r="J423" s="572" t="e">
        <v>#N/A</v>
      </c>
      <c r="K423" s="71" t="e">
        <v>#N/A</v>
      </c>
      <c r="L423" s="1353"/>
      <c r="M423" s="2939"/>
      <c r="N423" s="456" t="e">
        <v>#N/A</v>
      </c>
      <c r="O423" s="2944" t="e">
        <v>#N/A</v>
      </c>
    </row>
    <row r="424" spans="1:15">
      <c r="A424" s="167">
        <f t="shared" si="3"/>
        <v>2028.07</v>
      </c>
      <c r="B424" s="215" t="e">
        <v>#N/A</v>
      </c>
      <c r="C424" s="3538" t="e">
        <v>#N/A</v>
      </c>
      <c r="D424" s="190" t="e">
        <v>#N/A</v>
      </c>
      <c r="E424" s="456" t="e">
        <v>#N/A</v>
      </c>
      <c r="F424" s="572" t="e">
        <v>#N/A</v>
      </c>
      <c r="G424" s="71" t="e">
        <v>#N/A</v>
      </c>
      <c r="H424" s="1353"/>
      <c r="I424" s="2939"/>
      <c r="J424" s="572" t="e">
        <v>#N/A</v>
      </c>
      <c r="K424" s="71" t="e">
        <v>#N/A</v>
      </c>
      <c r="L424" s="1353"/>
      <c r="M424" s="2939"/>
      <c r="N424" s="456" t="e">
        <v>#N/A</v>
      </c>
      <c r="O424" s="2944" t="e">
        <v>#N/A</v>
      </c>
    </row>
    <row r="425" spans="1:15">
      <c r="A425" s="167">
        <f t="shared" si="3"/>
        <v>2028.08</v>
      </c>
      <c r="B425" s="215" t="e">
        <v>#N/A</v>
      </c>
      <c r="C425" s="3538" t="e">
        <v>#N/A</v>
      </c>
      <c r="D425" s="190" t="e">
        <v>#N/A</v>
      </c>
      <c r="E425" s="456" t="e">
        <v>#N/A</v>
      </c>
      <c r="F425" s="572" t="e">
        <v>#N/A</v>
      </c>
      <c r="G425" s="71" t="e">
        <v>#N/A</v>
      </c>
      <c r="H425" s="1353"/>
      <c r="I425" s="2939"/>
      <c r="J425" s="572" t="e">
        <v>#N/A</v>
      </c>
      <c r="K425" s="71" t="e">
        <v>#N/A</v>
      </c>
      <c r="L425" s="1353"/>
      <c r="M425" s="2939"/>
      <c r="N425" s="456" t="e">
        <v>#N/A</v>
      </c>
      <c r="O425" s="2944" t="e">
        <v>#N/A</v>
      </c>
    </row>
    <row r="426" spans="1:15">
      <c r="A426" s="167">
        <f t="shared" si="3"/>
        <v>2028.09</v>
      </c>
      <c r="B426" s="215" t="e">
        <v>#N/A</v>
      </c>
      <c r="C426" s="3538" t="e">
        <v>#N/A</v>
      </c>
      <c r="D426" s="190" t="e">
        <v>#N/A</v>
      </c>
      <c r="E426" s="456" t="e">
        <v>#N/A</v>
      </c>
      <c r="F426" s="572" t="e">
        <v>#N/A</v>
      </c>
      <c r="G426" s="71" t="e">
        <v>#N/A</v>
      </c>
      <c r="H426" s="1353"/>
      <c r="I426" s="2939"/>
      <c r="J426" s="572" t="e">
        <v>#N/A</v>
      </c>
      <c r="K426" s="71" t="e">
        <v>#N/A</v>
      </c>
      <c r="L426" s="1353"/>
      <c r="M426" s="2939"/>
      <c r="N426" s="456" t="e">
        <v>#N/A</v>
      </c>
      <c r="O426" s="2944" t="e">
        <v>#N/A</v>
      </c>
    </row>
    <row r="427" spans="1:15">
      <c r="A427" s="167">
        <f t="shared" si="3"/>
        <v>2028.1</v>
      </c>
      <c r="B427" s="215" t="e">
        <v>#N/A</v>
      </c>
      <c r="C427" s="3538" t="e">
        <v>#N/A</v>
      </c>
      <c r="D427" s="190" t="e">
        <v>#N/A</v>
      </c>
      <c r="E427" s="456" t="e">
        <v>#N/A</v>
      </c>
      <c r="F427" s="572" t="e">
        <v>#N/A</v>
      </c>
      <c r="G427" s="71" t="e">
        <v>#N/A</v>
      </c>
      <c r="H427" s="1353"/>
      <c r="I427" s="2939"/>
      <c r="J427" s="572" t="e">
        <v>#N/A</v>
      </c>
      <c r="K427" s="71" t="e">
        <v>#N/A</v>
      </c>
      <c r="L427" s="1353"/>
      <c r="M427" s="2939"/>
      <c r="N427" s="456" t="e">
        <v>#N/A</v>
      </c>
      <c r="O427" s="2944" t="e">
        <v>#N/A</v>
      </c>
    </row>
    <row r="428" spans="1:15">
      <c r="A428" s="167">
        <f t="shared" si="3"/>
        <v>2028.11</v>
      </c>
      <c r="B428" s="215" t="e">
        <v>#N/A</v>
      </c>
      <c r="C428" s="3538" t="e">
        <v>#N/A</v>
      </c>
      <c r="D428" s="190" t="e">
        <v>#N/A</v>
      </c>
      <c r="E428" s="456" t="e">
        <v>#N/A</v>
      </c>
      <c r="F428" s="572" t="e">
        <v>#N/A</v>
      </c>
      <c r="G428" s="71" t="e">
        <v>#N/A</v>
      </c>
      <c r="H428" s="1353"/>
      <c r="I428" s="2939"/>
      <c r="J428" s="572" t="e">
        <v>#N/A</v>
      </c>
      <c r="K428" s="71" t="e">
        <v>#N/A</v>
      </c>
      <c r="L428" s="1353"/>
      <c r="M428" s="2939"/>
      <c r="N428" s="456" t="e">
        <v>#N/A</v>
      </c>
      <c r="O428" s="2944" t="e">
        <v>#N/A</v>
      </c>
    </row>
    <row r="429" spans="1:15">
      <c r="A429" s="167">
        <f t="shared" si="3"/>
        <v>2028.12</v>
      </c>
      <c r="B429" s="215" t="e">
        <v>#N/A</v>
      </c>
      <c r="C429" s="3538" t="e">
        <v>#N/A</v>
      </c>
      <c r="D429" s="190" t="e">
        <v>#N/A</v>
      </c>
      <c r="E429" s="456" t="e">
        <v>#N/A</v>
      </c>
      <c r="F429" s="572" t="e">
        <v>#N/A</v>
      </c>
      <c r="G429" s="71" t="e">
        <v>#N/A</v>
      </c>
      <c r="H429" s="1353"/>
      <c r="I429" s="2939"/>
      <c r="J429" s="572" t="e">
        <v>#N/A</v>
      </c>
      <c r="K429" s="71" t="e">
        <v>#N/A</v>
      </c>
      <c r="L429" s="1353"/>
      <c r="M429" s="2939"/>
      <c r="N429" s="456" t="e">
        <v>#N/A</v>
      </c>
      <c r="O429" s="2944" t="e">
        <v>#N/A</v>
      </c>
    </row>
    <row r="430" spans="1:15">
      <c r="A430" s="167">
        <f t="shared" si="3"/>
        <v>2029.01</v>
      </c>
      <c r="B430" s="215" t="e">
        <v>#N/A</v>
      </c>
      <c r="C430" s="3538" t="e">
        <v>#N/A</v>
      </c>
      <c r="D430" s="190" t="e">
        <v>#N/A</v>
      </c>
      <c r="E430" s="456" t="e">
        <v>#N/A</v>
      </c>
      <c r="F430" s="572" t="e">
        <v>#N/A</v>
      </c>
      <c r="G430" s="71" t="e">
        <v>#N/A</v>
      </c>
      <c r="H430" s="1353"/>
      <c r="I430" s="2939"/>
      <c r="J430" s="572" t="e">
        <v>#N/A</v>
      </c>
      <c r="K430" s="71" t="e">
        <v>#N/A</v>
      </c>
      <c r="L430" s="1353"/>
      <c r="M430" s="2939"/>
      <c r="N430" s="456" t="e">
        <v>#N/A</v>
      </c>
      <c r="O430" s="2944" t="e">
        <v>#N/A</v>
      </c>
    </row>
    <row r="431" spans="1:15">
      <c r="A431" s="167">
        <f t="shared" si="3"/>
        <v>2029.02</v>
      </c>
      <c r="B431" s="215" t="e">
        <v>#N/A</v>
      </c>
      <c r="C431" s="3538" t="e">
        <v>#N/A</v>
      </c>
      <c r="D431" s="190" t="e">
        <v>#N/A</v>
      </c>
      <c r="E431" s="456" t="e">
        <v>#N/A</v>
      </c>
      <c r="F431" s="572" t="e">
        <v>#N/A</v>
      </c>
      <c r="G431" s="71" t="e">
        <v>#N/A</v>
      </c>
      <c r="H431" s="1353"/>
      <c r="I431" s="2939"/>
      <c r="J431" s="572" t="e">
        <v>#N/A</v>
      </c>
      <c r="K431" s="71" t="e">
        <v>#N/A</v>
      </c>
      <c r="L431" s="1353"/>
      <c r="M431" s="2939"/>
      <c r="N431" s="456" t="e">
        <v>#N/A</v>
      </c>
      <c r="O431" s="2944" t="e">
        <v>#N/A</v>
      </c>
    </row>
    <row r="432" spans="1:15">
      <c r="A432" s="167">
        <f t="shared" si="3"/>
        <v>2029.03</v>
      </c>
      <c r="B432" s="215" t="e">
        <v>#N/A</v>
      </c>
      <c r="C432" s="3538" t="e">
        <v>#N/A</v>
      </c>
      <c r="D432" s="190" t="e">
        <v>#N/A</v>
      </c>
      <c r="E432" s="456" t="e">
        <v>#N/A</v>
      </c>
      <c r="F432" s="572" t="e">
        <v>#N/A</v>
      </c>
      <c r="G432" s="71" t="e">
        <v>#N/A</v>
      </c>
      <c r="H432" s="1353"/>
      <c r="I432" s="2939"/>
      <c r="J432" s="572" t="e">
        <v>#N/A</v>
      </c>
      <c r="K432" s="71" t="e">
        <v>#N/A</v>
      </c>
      <c r="L432" s="1353"/>
      <c r="M432" s="2939"/>
      <c r="N432" s="456" t="e">
        <v>#N/A</v>
      </c>
      <c r="O432" s="2944" t="e">
        <v>#N/A</v>
      </c>
    </row>
    <row r="433" spans="1:15">
      <c r="A433" s="167">
        <f t="shared" si="3"/>
        <v>2029.04</v>
      </c>
      <c r="B433" s="215" t="e">
        <v>#N/A</v>
      </c>
      <c r="C433" s="3538" t="e">
        <v>#N/A</v>
      </c>
      <c r="D433" s="190" t="e">
        <v>#N/A</v>
      </c>
      <c r="E433" s="456" t="e">
        <v>#N/A</v>
      </c>
      <c r="F433" s="572" t="e">
        <v>#N/A</v>
      </c>
      <c r="G433" s="71" t="e">
        <v>#N/A</v>
      </c>
      <c r="H433" s="1353"/>
      <c r="I433" s="2939"/>
      <c r="J433" s="572" t="e">
        <v>#N/A</v>
      </c>
      <c r="K433" s="71" t="e">
        <v>#N/A</v>
      </c>
      <c r="L433" s="1353"/>
      <c r="M433" s="2939"/>
      <c r="N433" s="456" t="e">
        <v>#N/A</v>
      </c>
      <c r="O433" s="2944" t="e">
        <v>#N/A</v>
      </c>
    </row>
    <row r="434" spans="1:15">
      <c r="A434" s="167">
        <f t="shared" si="3"/>
        <v>2029.05</v>
      </c>
      <c r="B434" s="215" t="e">
        <v>#N/A</v>
      </c>
      <c r="C434" s="3538" t="e">
        <v>#N/A</v>
      </c>
      <c r="D434" s="190" t="e">
        <v>#N/A</v>
      </c>
      <c r="E434" s="456" t="e">
        <v>#N/A</v>
      </c>
      <c r="F434" s="572" t="e">
        <v>#N/A</v>
      </c>
      <c r="G434" s="71" t="e">
        <v>#N/A</v>
      </c>
      <c r="H434" s="1353"/>
      <c r="I434" s="2939"/>
      <c r="J434" s="572" t="e">
        <v>#N/A</v>
      </c>
      <c r="K434" s="71" t="e">
        <v>#N/A</v>
      </c>
      <c r="L434" s="1353"/>
      <c r="M434" s="2939"/>
      <c r="N434" s="456" t="e">
        <v>#N/A</v>
      </c>
      <c r="O434" s="2944" t="e">
        <v>#N/A</v>
      </c>
    </row>
    <row r="435" spans="1:15">
      <c r="A435" s="167">
        <f t="shared" ref="A435:A453" si="4">A423+1</f>
        <v>2029.06</v>
      </c>
      <c r="B435" s="215" t="e">
        <v>#N/A</v>
      </c>
      <c r="C435" s="3538" t="e">
        <v>#N/A</v>
      </c>
      <c r="D435" s="190" t="e">
        <v>#N/A</v>
      </c>
      <c r="E435" s="456" t="e">
        <v>#N/A</v>
      </c>
      <c r="F435" s="572" t="e">
        <v>#N/A</v>
      </c>
      <c r="G435" s="71" t="e">
        <v>#N/A</v>
      </c>
      <c r="H435" s="1353"/>
      <c r="I435" s="2939"/>
      <c r="J435" s="572" t="e">
        <v>#N/A</v>
      </c>
      <c r="K435" s="71" t="e">
        <v>#N/A</v>
      </c>
      <c r="L435" s="1353"/>
      <c r="M435" s="2939"/>
      <c r="N435" s="456" t="e">
        <v>#N/A</v>
      </c>
      <c r="O435" s="2944" t="e">
        <v>#N/A</v>
      </c>
    </row>
    <row r="436" spans="1:15">
      <c r="A436" s="167">
        <f t="shared" si="4"/>
        <v>2029.07</v>
      </c>
      <c r="B436" s="215" t="e">
        <v>#N/A</v>
      </c>
      <c r="C436" s="3538" t="e">
        <v>#N/A</v>
      </c>
      <c r="D436" s="190" t="e">
        <v>#N/A</v>
      </c>
      <c r="E436" s="456" t="e">
        <v>#N/A</v>
      </c>
      <c r="F436" s="572" t="e">
        <v>#N/A</v>
      </c>
      <c r="G436" s="71" t="e">
        <v>#N/A</v>
      </c>
      <c r="H436" s="1353"/>
      <c r="I436" s="2939"/>
      <c r="J436" s="572" t="e">
        <v>#N/A</v>
      </c>
      <c r="K436" s="71" t="e">
        <v>#N/A</v>
      </c>
      <c r="L436" s="1353"/>
      <c r="M436" s="2939"/>
      <c r="N436" s="456" t="e">
        <v>#N/A</v>
      </c>
      <c r="O436" s="2944" t="e">
        <v>#N/A</v>
      </c>
    </row>
    <row r="437" spans="1:15">
      <c r="A437" s="167">
        <f t="shared" si="4"/>
        <v>2029.08</v>
      </c>
      <c r="B437" s="215" t="e">
        <v>#N/A</v>
      </c>
      <c r="C437" s="3538" t="e">
        <v>#N/A</v>
      </c>
      <c r="D437" s="190" t="e">
        <v>#N/A</v>
      </c>
      <c r="E437" s="456" t="e">
        <v>#N/A</v>
      </c>
      <c r="F437" s="572" t="e">
        <v>#N/A</v>
      </c>
      <c r="G437" s="71" t="e">
        <v>#N/A</v>
      </c>
      <c r="H437" s="1353"/>
      <c r="I437" s="2939"/>
      <c r="J437" s="572" t="e">
        <v>#N/A</v>
      </c>
      <c r="K437" s="71" t="e">
        <v>#N/A</v>
      </c>
      <c r="L437" s="1353"/>
      <c r="M437" s="2939"/>
      <c r="N437" s="456" t="e">
        <v>#N/A</v>
      </c>
      <c r="O437" s="2944" t="e">
        <v>#N/A</v>
      </c>
    </row>
    <row r="438" spans="1:15">
      <c r="A438" s="167">
        <f t="shared" si="4"/>
        <v>2029.09</v>
      </c>
      <c r="B438" s="215" t="e">
        <v>#N/A</v>
      </c>
      <c r="C438" s="3538" t="e">
        <v>#N/A</v>
      </c>
      <c r="D438" s="190" t="e">
        <v>#N/A</v>
      </c>
      <c r="E438" s="456" t="e">
        <v>#N/A</v>
      </c>
      <c r="F438" s="572" t="e">
        <v>#N/A</v>
      </c>
      <c r="G438" s="71" t="e">
        <v>#N/A</v>
      </c>
      <c r="H438" s="1353"/>
      <c r="I438" s="2939"/>
      <c r="J438" s="572" t="e">
        <v>#N/A</v>
      </c>
      <c r="K438" s="71" t="e">
        <v>#N/A</v>
      </c>
      <c r="L438" s="1353"/>
      <c r="M438" s="2939"/>
      <c r="N438" s="456" t="e">
        <v>#N/A</v>
      </c>
      <c r="O438" s="2944" t="e">
        <v>#N/A</v>
      </c>
    </row>
    <row r="439" spans="1:15">
      <c r="A439" s="167">
        <f t="shared" si="4"/>
        <v>2029.1</v>
      </c>
      <c r="B439" s="215" t="e">
        <v>#N/A</v>
      </c>
      <c r="C439" s="3538" t="e">
        <v>#N/A</v>
      </c>
      <c r="D439" s="190" t="e">
        <v>#N/A</v>
      </c>
      <c r="E439" s="456" t="e">
        <v>#N/A</v>
      </c>
      <c r="F439" s="572" t="e">
        <v>#N/A</v>
      </c>
      <c r="G439" s="71" t="e">
        <v>#N/A</v>
      </c>
      <c r="H439" s="1353"/>
      <c r="I439" s="2939"/>
      <c r="J439" s="572" t="e">
        <v>#N/A</v>
      </c>
      <c r="K439" s="71" t="e">
        <v>#N/A</v>
      </c>
      <c r="L439" s="1353"/>
      <c r="M439" s="2939"/>
      <c r="N439" s="456" t="e">
        <v>#N/A</v>
      </c>
      <c r="O439" s="2944" t="e">
        <v>#N/A</v>
      </c>
    </row>
    <row r="440" spans="1:15">
      <c r="A440" s="167">
        <f t="shared" si="4"/>
        <v>2029.11</v>
      </c>
      <c r="B440" s="215" t="e">
        <v>#N/A</v>
      </c>
      <c r="C440" s="3538" t="e">
        <v>#N/A</v>
      </c>
      <c r="D440" s="190" t="e">
        <v>#N/A</v>
      </c>
      <c r="E440" s="456" t="e">
        <v>#N/A</v>
      </c>
      <c r="F440" s="572" t="e">
        <v>#N/A</v>
      </c>
      <c r="G440" s="71" t="e">
        <v>#N/A</v>
      </c>
      <c r="H440" s="1353"/>
      <c r="I440" s="2939"/>
      <c r="J440" s="572" t="e">
        <v>#N/A</v>
      </c>
      <c r="K440" s="71" t="e">
        <v>#N/A</v>
      </c>
      <c r="L440" s="1353"/>
      <c r="M440" s="2939"/>
      <c r="N440" s="456" t="e">
        <v>#N/A</v>
      </c>
      <c r="O440" s="2944" t="e">
        <v>#N/A</v>
      </c>
    </row>
    <row r="441" spans="1:15">
      <c r="A441" s="167">
        <f t="shared" si="4"/>
        <v>2029.12</v>
      </c>
      <c r="B441" s="215" t="e">
        <v>#N/A</v>
      </c>
      <c r="C441" s="3538" t="e">
        <v>#N/A</v>
      </c>
      <c r="D441" s="190" t="e">
        <v>#N/A</v>
      </c>
      <c r="E441" s="456" t="e">
        <v>#N/A</v>
      </c>
      <c r="F441" s="572" t="e">
        <v>#N/A</v>
      </c>
      <c r="G441" s="71" t="e">
        <v>#N/A</v>
      </c>
      <c r="H441" s="1353"/>
      <c r="I441" s="2939"/>
      <c r="J441" s="572" t="e">
        <v>#N/A</v>
      </c>
      <c r="K441" s="71" t="e">
        <v>#N/A</v>
      </c>
      <c r="L441" s="1353"/>
      <c r="M441" s="2939"/>
      <c r="N441" s="456" t="e">
        <v>#N/A</v>
      </c>
      <c r="O441" s="2944" t="e">
        <v>#N/A</v>
      </c>
    </row>
    <row r="442" spans="1:15">
      <c r="A442" s="167">
        <f t="shared" si="4"/>
        <v>2030.01</v>
      </c>
      <c r="B442" s="215" t="e">
        <v>#N/A</v>
      </c>
      <c r="C442" s="3538" t="e">
        <v>#N/A</v>
      </c>
      <c r="D442" s="190" t="e">
        <v>#N/A</v>
      </c>
      <c r="E442" s="456" t="e">
        <v>#N/A</v>
      </c>
      <c r="F442" s="572" t="e">
        <v>#N/A</v>
      </c>
      <c r="G442" s="71" t="e">
        <v>#N/A</v>
      </c>
      <c r="H442" s="1353"/>
      <c r="I442" s="2939"/>
      <c r="J442" s="572" t="e">
        <v>#N/A</v>
      </c>
      <c r="K442" s="71" t="e">
        <v>#N/A</v>
      </c>
      <c r="L442" s="1353"/>
      <c r="M442" s="2939"/>
      <c r="N442" s="456" t="e">
        <v>#N/A</v>
      </c>
      <c r="O442" s="2944" t="e">
        <v>#N/A</v>
      </c>
    </row>
    <row r="443" spans="1:15">
      <c r="A443" s="167">
        <f t="shared" si="4"/>
        <v>2030.02</v>
      </c>
      <c r="B443" s="215" t="e">
        <v>#N/A</v>
      </c>
      <c r="C443" s="3538" t="e">
        <v>#N/A</v>
      </c>
      <c r="D443" s="190" t="e">
        <v>#N/A</v>
      </c>
      <c r="E443" s="456" t="e">
        <v>#N/A</v>
      </c>
      <c r="F443" s="572" t="e">
        <v>#N/A</v>
      </c>
      <c r="G443" s="71" t="e">
        <v>#N/A</v>
      </c>
      <c r="H443" s="1353"/>
      <c r="I443" s="2939"/>
      <c r="J443" s="572" t="e">
        <v>#N/A</v>
      </c>
      <c r="K443" s="71" t="e">
        <v>#N/A</v>
      </c>
      <c r="L443" s="1353"/>
      <c r="M443" s="2939"/>
      <c r="N443" s="456" t="e">
        <v>#N/A</v>
      </c>
      <c r="O443" s="2944" t="e">
        <v>#N/A</v>
      </c>
    </row>
    <row r="444" spans="1:15">
      <c r="A444" s="167">
        <f t="shared" si="4"/>
        <v>2030.03</v>
      </c>
      <c r="B444" s="215" t="e">
        <v>#N/A</v>
      </c>
      <c r="C444" s="3538" t="e">
        <v>#N/A</v>
      </c>
      <c r="D444" s="190" t="e">
        <v>#N/A</v>
      </c>
      <c r="E444" s="456" t="e">
        <v>#N/A</v>
      </c>
      <c r="F444" s="572" t="e">
        <v>#N/A</v>
      </c>
      <c r="G444" s="71" t="e">
        <v>#N/A</v>
      </c>
      <c r="H444" s="1353"/>
      <c r="I444" s="2939"/>
      <c r="J444" s="572" t="e">
        <v>#N/A</v>
      </c>
      <c r="K444" s="71" t="e">
        <v>#N/A</v>
      </c>
      <c r="L444" s="1353"/>
      <c r="M444" s="2939"/>
      <c r="N444" s="456" t="e">
        <v>#N/A</v>
      </c>
      <c r="O444" s="2944" t="e">
        <v>#N/A</v>
      </c>
    </row>
    <row r="445" spans="1:15">
      <c r="A445" s="167">
        <f t="shared" si="4"/>
        <v>2030.04</v>
      </c>
      <c r="B445" s="215" t="e">
        <v>#N/A</v>
      </c>
      <c r="C445" s="3538" t="e">
        <v>#N/A</v>
      </c>
      <c r="D445" s="190" t="e">
        <v>#N/A</v>
      </c>
      <c r="E445" s="456" t="e">
        <v>#N/A</v>
      </c>
      <c r="F445" s="572" t="e">
        <v>#N/A</v>
      </c>
      <c r="G445" s="71" t="e">
        <v>#N/A</v>
      </c>
      <c r="H445" s="1353"/>
      <c r="I445" s="2939"/>
      <c r="J445" s="572" t="e">
        <v>#N/A</v>
      </c>
      <c r="K445" s="71" t="e">
        <v>#N/A</v>
      </c>
      <c r="L445" s="1353"/>
      <c r="M445" s="2939"/>
      <c r="N445" s="456" t="e">
        <v>#N/A</v>
      </c>
      <c r="O445" s="2944" t="e">
        <v>#N/A</v>
      </c>
    </row>
    <row r="446" spans="1:15">
      <c r="A446" s="167">
        <f t="shared" si="4"/>
        <v>2030.05</v>
      </c>
      <c r="B446" s="215" t="e">
        <v>#N/A</v>
      </c>
      <c r="C446" s="3538" t="e">
        <v>#N/A</v>
      </c>
      <c r="D446" s="190" t="e">
        <v>#N/A</v>
      </c>
      <c r="E446" s="456" t="e">
        <v>#N/A</v>
      </c>
      <c r="F446" s="572" t="e">
        <v>#N/A</v>
      </c>
      <c r="G446" s="71" t="e">
        <v>#N/A</v>
      </c>
      <c r="H446" s="1353"/>
      <c r="I446" s="2939"/>
      <c r="J446" s="572" t="e">
        <v>#N/A</v>
      </c>
      <c r="K446" s="71" t="e">
        <v>#N/A</v>
      </c>
      <c r="L446" s="1353"/>
      <c r="M446" s="2939"/>
      <c r="N446" s="456" t="e">
        <v>#N/A</v>
      </c>
      <c r="O446" s="2944" t="e">
        <v>#N/A</v>
      </c>
    </row>
    <row r="447" spans="1:15">
      <c r="A447" s="167">
        <f t="shared" si="4"/>
        <v>2030.06</v>
      </c>
      <c r="B447" s="215" t="e">
        <v>#N/A</v>
      </c>
      <c r="C447" s="3538" t="e">
        <v>#N/A</v>
      </c>
      <c r="D447" s="190" t="e">
        <v>#N/A</v>
      </c>
      <c r="E447" s="456" t="e">
        <v>#N/A</v>
      </c>
      <c r="F447" s="572" t="e">
        <v>#N/A</v>
      </c>
      <c r="G447" s="71" t="e">
        <v>#N/A</v>
      </c>
      <c r="H447" s="1353"/>
      <c r="I447" s="2939"/>
      <c r="J447" s="572" t="e">
        <v>#N/A</v>
      </c>
      <c r="K447" s="71" t="e">
        <v>#N/A</v>
      </c>
      <c r="L447" s="1353"/>
      <c r="M447" s="2939"/>
      <c r="N447" s="456" t="e">
        <v>#N/A</v>
      </c>
      <c r="O447" s="2944" t="e">
        <v>#N/A</v>
      </c>
    </row>
    <row r="448" spans="1:15">
      <c r="A448" s="167">
        <f t="shared" si="4"/>
        <v>2030.07</v>
      </c>
      <c r="B448" s="215" t="e">
        <v>#N/A</v>
      </c>
      <c r="C448" s="3538" t="e">
        <v>#N/A</v>
      </c>
      <c r="D448" s="190" t="e">
        <v>#N/A</v>
      </c>
      <c r="E448" s="456" t="e">
        <v>#N/A</v>
      </c>
      <c r="F448" s="572" t="e">
        <v>#N/A</v>
      </c>
      <c r="G448" s="71" t="e">
        <v>#N/A</v>
      </c>
      <c r="H448" s="1353"/>
      <c r="I448" s="2939"/>
      <c r="J448" s="572" t="e">
        <v>#N/A</v>
      </c>
      <c r="K448" s="71" t="e">
        <v>#N/A</v>
      </c>
      <c r="L448" s="1353"/>
      <c r="M448" s="2939"/>
      <c r="N448" s="456" t="e">
        <v>#N/A</v>
      </c>
      <c r="O448" s="2944" t="e">
        <v>#N/A</v>
      </c>
    </row>
    <row r="449" spans="1:15">
      <c r="A449" s="167">
        <f t="shared" si="4"/>
        <v>2030.08</v>
      </c>
      <c r="B449" s="215" t="e">
        <v>#N/A</v>
      </c>
      <c r="C449" s="3538" t="e">
        <v>#N/A</v>
      </c>
      <c r="D449" s="190" t="e">
        <v>#N/A</v>
      </c>
      <c r="E449" s="456" t="e">
        <v>#N/A</v>
      </c>
      <c r="F449" s="572" t="e">
        <v>#N/A</v>
      </c>
      <c r="G449" s="71" t="e">
        <v>#N/A</v>
      </c>
      <c r="H449" s="1353"/>
      <c r="I449" s="2939"/>
      <c r="J449" s="572" t="e">
        <v>#N/A</v>
      </c>
      <c r="K449" s="71" t="e">
        <v>#N/A</v>
      </c>
      <c r="L449" s="1353"/>
      <c r="M449" s="2939"/>
      <c r="N449" s="456" t="e">
        <v>#N/A</v>
      </c>
      <c r="O449" s="2944" t="e">
        <v>#N/A</v>
      </c>
    </row>
    <row r="450" spans="1:15">
      <c r="A450" s="167">
        <f t="shared" si="4"/>
        <v>2030.09</v>
      </c>
      <c r="B450" s="215" t="e">
        <v>#N/A</v>
      </c>
      <c r="C450" s="3538" t="e">
        <v>#N/A</v>
      </c>
      <c r="D450" s="190" t="e">
        <v>#N/A</v>
      </c>
      <c r="E450" s="456" t="e">
        <v>#N/A</v>
      </c>
      <c r="F450" s="572" t="e">
        <v>#N/A</v>
      </c>
      <c r="G450" s="71" t="e">
        <v>#N/A</v>
      </c>
      <c r="H450" s="1353"/>
      <c r="I450" s="2939"/>
      <c r="J450" s="572" t="e">
        <v>#N/A</v>
      </c>
      <c r="K450" s="71" t="e">
        <v>#N/A</v>
      </c>
      <c r="L450" s="1353"/>
      <c r="M450" s="2939"/>
      <c r="N450" s="456" t="e">
        <v>#N/A</v>
      </c>
      <c r="O450" s="2944" t="e">
        <v>#N/A</v>
      </c>
    </row>
    <row r="451" spans="1:15">
      <c r="A451" s="167">
        <f t="shared" si="4"/>
        <v>2030.1</v>
      </c>
      <c r="B451" s="215" t="e">
        <v>#N/A</v>
      </c>
      <c r="C451" s="3538" t="e">
        <v>#N/A</v>
      </c>
      <c r="D451" s="190" t="e">
        <v>#N/A</v>
      </c>
      <c r="E451" s="456" t="e">
        <v>#N/A</v>
      </c>
      <c r="F451" s="572" t="e">
        <v>#N/A</v>
      </c>
      <c r="G451" s="71" t="e">
        <v>#N/A</v>
      </c>
      <c r="H451" s="1353"/>
      <c r="I451" s="2939"/>
      <c r="J451" s="572" t="e">
        <v>#N/A</v>
      </c>
      <c r="K451" s="71" t="e">
        <v>#N/A</v>
      </c>
      <c r="L451" s="1353"/>
      <c r="M451" s="2939"/>
      <c r="N451" s="456" t="e">
        <v>#N/A</v>
      </c>
      <c r="O451" s="2944" t="e">
        <v>#N/A</v>
      </c>
    </row>
    <row r="452" spans="1:15">
      <c r="A452" s="167">
        <f t="shared" si="4"/>
        <v>2030.11</v>
      </c>
      <c r="B452" s="215" t="e">
        <v>#N/A</v>
      </c>
      <c r="C452" s="3538" t="e">
        <v>#N/A</v>
      </c>
      <c r="D452" s="190" t="e">
        <v>#N/A</v>
      </c>
      <c r="E452" s="456" t="e">
        <v>#N/A</v>
      </c>
      <c r="F452" s="572" t="e">
        <v>#N/A</v>
      </c>
      <c r="G452" s="71" t="e">
        <v>#N/A</v>
      </c>
      <c r="H452" s="1353"/>
      <c r="I452" s="2939"/>
      <c r="J452" s="572" t="e">
        <v>#N/A</v>
      </c>
      <c r="K452" s="71" t="e">
        <v>#N/A</v>
      </c>
      <c r="L452" s="1353"/>
      <c r="M452" s="2939"/>
      <c r="N452" s="456" t="e">
        <v>#N/A</v>
      </c>
      <c r="O452" s="2944" t="e">
        <v>#N/A</v>
      </c>
    </row>
    <row r="453" spans="1:15">
      <c r="A453" s="167">
        <f t="shared" si="4"/>
        <v>2030.12</v>
      </c>
      <c r="B453" s="215" t="e">
        <v>#N/A</v>
      </c>
      <c r="C453" s="3538" t="e">
        <v>#N/A</v>
      </c>
      <c r="D453" s="190" t="e">
        <v>#N/A</v>
      </c>
      <c r="E453" s="456" t="e">
        <v>#N/A</v>
      </c>
      <c r="F453" s="572" t="e">
        <v>#N/A</v>
      </c>
      <c r="G453" s="71" t="e">
        <v>#N/A</v>
      </c>
      <c r="H453" s="1353"/>
      <c r="I453" s="2939"/>
      <c r="J453" s="572" t="e">
        <v>#N/A</v>
      </c>
      <c r="K453" s="71" t="e">
        <v>#N/A</v>
      </c>
      <c r="L453" s="1353"/>
      <c r="M453" s="2939"/>
      <c r="N453" s="456" t="e">
        <v>#N/A</v>
      </c>
      <c r="O453" s="2944" t="e">
        <v>#N/A</v>
      </c>
    </row>
  </sheetData>
  <phoneticPr fontId="71" type="noConversion"/>
  <hyperlinks>
    <hyperlink ref="A5" location="INDICE!A13" display="VOLVER AL INDICE" xr:uid="{00000000-0004-0000-1800-000000000000}"/>
  </hyperlinks>
  <pageMargins left="0.75" right="0.75" top="1" bottom="1" header="0" footer="0"/>
  <pageSetup paperSize="9" orientation="portrait" horizontalDpi="300" verticalDpi="300" r:id="rId1"/>
  <headerFooter alignWithMargins="0"/>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51">
    <pageSetUpPr autoPageBreaks="0"/>
  </sheetPr>
  <dimension ref="A1:XEO490"/>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10.42578125" style="193" bestFit="1" customWidth="1"/>
    <col min="2" max="5" width="13" style="193" customWidth="1"/>
    <col min="6" max="15" width="10.42578125" style="193" customWidth="1"/>
    <col min="16" max="17" width="10.42578125" style="192" customWidth="1"/>
    <col min="18" max="16384" width="11.42578125" style="192"/>
  </cols>
  <sheetData>
    <row r="1" spans="1:18" ht="3" customHeight="1">
      <c r="A1" s="2761"/>
      <c r="B1" s="40"/>
      <c r="C1" s="40"/>
      <c r="D1" s="40"/>
      <c r="E1" s="40"/>
      <c r="F1" s="1880"/>
      <c r="G1" s="40"/>
      <c r="H1" s="40"/>
      <c r="I1" s="40"/>
      <c r="J1" s="40"/>
      <c r="K1" s="40"/>
      <c r="L1" s="40"/>
      <c r="M1" s="40"/>
      <c r="N1" s="40"/>
      <c r="O1" s="40"/>
      <c r="R1" s="836"/>
    </row>
    <row r="2" spans="1:18" ht="22.5">
      <c r="A2" s="2762" t="s">
        <v>99</v>
      </c>
      <c r="B2" s="837" t="s">
        <v>1077</v>
      </c>
      <c r="C2" s="2948"/>
      <c r="D2" s="2948"/>
      <c r="E2" s="1875"/>
      <c r="F2" s="2949" t="s">
        <v>1078</v>
      </c>
      <c r="G2" s="838"/>
      <c r="H2" s="838"/>
      <c r="I2" s="838"/>
      <c r="J2" s="838"/>
      <c r="K2" s="838"/>
      <c r="L2" s="838"/>
      <c r="M2" s="838"/>
      <c r="N2" s="838"/>
      <c r="O2" s="838"/>
      <c r="P2" s="838"/>
      <c r="Q2" s="838"/>
      <c r="R2" s="839"/>
    </row>
    <row r="3" spans="1:18">
      <c r="A3" s="2762" t="s">
        <v>193</v>
      </c>
      <c r="B3" s="2948" t="s">
        <v>124</v>
      </c>
      <c r="C3" s="2948"/>
      <c r="D3" s="2948"/>
      <c r="E3" s="1875"/>
      <c r="F3" s="2950" t="s">
        <v>1079</v>
      </c>
      <c r="G3" s="840"/>
      <c r="H3" s="840"/>
      <c r="I3" s="840"/>
      <c r="J3" s="840"/>
      <c r="K3" s="840"/>
      <c r="L3" s="840"/>
      <c r="M3" s="840"/>
      <c r="N3" s="840"/>
      <c r="O3" s="882"/>
      <c r="P3" s="841"/>
      <c r="Q3" s="841"/>
      <c r="R3" s="842"/>
    </row>
    <row r="4" spans="1:18">
      <c r="A4" s="2762"/>
      <c r="B4" s="3790"/>
      <c r="C4" s="3791"/>
      <c r="D4" s="935"/>
      <c r="E4" s="843"/>
      <c r="F4" s="843"/>
      <c r="G4" s="843"/>
      <c r="H4" s="843"/>
      <c r="I4" s="843"/>
      <c r="J4" s="843"/>
      <c r="K4" s="843"/>
      <c r="L4" s="843"/>
      <c r="M4" s="843"/>
      <c r="N4" s="843"/>
      <c r="O4" s="844"/>
      <c r="P4" s="843"/>
      <c r="Q4" s="843"/>
      <c r="R4" s="845"/>
    </row>
    <row r="5" spans="1:18" ht="22.5">
      <c r="A5" s="2867" t="s">
        <v>140</v>
      </c>
      <c r="B5" s="846" t="s">
        <v>1080</v>
      </c>
      <c r="C5" s="936" t="s">
        <v>1081</v>
      </c>
      <c r="D5" s="1876" t="s">
        <v>1082</v>
      </c>
      <c r="E5" s="1876" t="s">
        <v>1083</v>
      </c>
      <c r="F5" s="847" t="s">
        <v>1084</v>
      </c>
      <c r="G5" s="848" t="s">
        <v>724</v>
      </c>
      <c r="H5" s="1019" t="s">
        <v>1085</v>
      </c>
      <c r="I5" s="848" t="s">
        <v>1086</v>
      </c>
      <c r="J5" s="1019" t="s">
        <v>1087</v>
      </c>
      <c r="K5" s="848" t="s">
        <v>1088</v>
      </c>
      <c r="L5" s="1019" t="s">
        <v>1089</v>
      </c>
      <c r="M5" s="848" t="s">
        <v>1090</v>
      </c>
      <c r="N5" s="2064" t="s">
        <v>1091</v>
      </c>
      <c r="O5" s="2951" t="s">
        <v>554</v>
      </c>
      <c r="P5" s="2951" t="s">
        <v>1092</v>
      </c>
      <c r="Q5" s="2065" t="s">
        <v>1093</v>
      </c>
      <c r="R5" s="2952" t="s">
        <v>1094</v>
      </c>
    </row>
    <row r="6" spans="1:18">
      <c r="A6" s="2762"/>
      <c r="B6" s="849"/>
      <c r="C6" s="937"/>
      <c r="D6" s="1877"/>
      <c r="E6" s="937"/>
      <c r="F6" s="850"/>
      <c r="G6" s="851"/>
      <c r="H6" s="852"/>
      <c r="I6" s="851"/>
      <c r="J6" s="852"/>
      <c r="K6" s="851"/>
      <c r="L6" s="852"/>
      <c r="M6" s="851"/>
      <c r="N6" s="2066"/>
      <c r="O6" s="2951"/>
      <c r="P6" s="853"/>
      <c r="Q6" s="1355"/>
      <c r="R6" s="854"/>
    </row>
    <row r="7" spans="1:18" ht="22.5">
      <c r="A7" s="2762" t="s">
        <v>125</v>
      </c>
      <c r="B7" s="847" t="s">
        <v>1095</v>
      </c>
      <c r="C7" s="848" t="s">
        <v>1095</v>
      </c>
      <c r="D7" s="1019" t="s">
        <v>1095</v>
      </c>
      <c r="E7" s="1019" t="s">
        <v>1095</v>
      </c>
      <c r="F7" s="850" t="s">
        <v>1095</v>
      </c>
      <c r="G7" s="851" t="s">
        <v>1095</v>
      </c>
      <c r="H7" s="852" t="s">
        <v>1095</v>
      </c>
      <c r="I7" s="851" t="s">
        <v>1095</v>
      </c>
      <c r="J7" s="852" t="s">
        <v>1095</v>
      </c>
      <c r="K7" s="851" t="s">
        <v>1095</v>
      </c>
      <c r="L7" s="852" t="s">
        <v>1095</v>
      </c>
      <c r="M7" s="852" t="s">
        <v>1095</v>
      </c>
      <c r="N7" s="852" t="s">
        <v>1095</v>
      </c>
      <c r="O7" s="2951" t="s">
        <v>1095</v>
      </c>
      <c r="P7" s="2951" t="s">
        <v>1095</v>
      </c>
      <c r="Q7" s="2065" t="s">
        <v>1095</v>
      </c>
      <c r="R7" s="2952" t="s">
        <v>1095</v>
      </c>
    </row>
    <row r="8" spans="1:18" ht="12.75" customHeight="1">
      <c r="A8" s="2751" t="s">
        <v>144</v>
      </c>
      <c r="B8" s="2232" t="s">
        <v>1096</v>
      </c>
      <c r="C8" s="2233" t="s">
        <v>1097</v>
      </c>
      <c r="D8" s="2234" t="s">
        <v>1098</v>
      </c>
      <c r="E8" s="2233" t="s">
        <v>1099</v>
      </c>
      <c r="F8" s="2232" t="s">
        <v>1100</v>
      </c>
      <c r="G8" s="2234" t="s">
        <v>1101</v>
      </c>
      <c r="H8" s="2234" t="s">
        <v>1102</v>
      </c>
      <c r="I8" s="2234" t="s">
        <v>1103</v>
      </c>
      <c r="J8" s="2234" t="s">
        <v>1104</v>
      </c>
      <c r="K8" s="2234" t="s">
        <v>1105</v>
      </c>
      <c r="L8" s="2234" t="s">
        <v>1106</v>
      </c>
      <c r="M8" s="2234" t="s">
        <v>1107</v>
      </c>
      <c r="N8" s="2235" t="s">
        <v>1108</v>
      </c>
      <c r="O8" s="2953" t="s">
        <v>1109</v>
      </c>
      <c r="P8" s="2953" t="s">
        <v>1110</v>
      </c>
      <c r="Q8" s="2236" t="s">
        <v>1111</v>
      </c>
      <c r="R8" s="2954" t="s">
        <v>1112</v>
      </c>
    </row>
    <row r="9" spans="1:18" ht="13.5" thickBot="1">
      <c r="A9" s="2140"/>
      <c r="B9" s="855"/>
      <c r="C9" s="938"/>
      <c r="D9" s="1878"/>
      <c r="E9" s="938"/>
      <c r="F9" s="856"/>
      <c r="G9" s="857"/>
      <c r="H9" s="858"/>
      <c r="I9" s="857"/>
      <c r="J9" s="858"/>
      <c r="K9" s="857"/>
      <c r="L9" s="858"/>
      <c r="M9" s="857"/>
      <c r="N9" s="859"/>
      <c r="O9" s="860"/>
      <c r="P9" s="860"/>
      <c r="Q9" s="861"/>
      <c r="R9" s="862"/>
    </row>
    <row r="10" spans="1:18">
      <c r="A10" s="1752">
        <v>1991.01</v>
      </c>
      <c r="B10" s="1753">
        <v>288683</v>
      </c>
      <c r="C10" s="939"/>
      <c r="D10" s="1879"/>
      <c r="E10" s="939"/>
      <c r="F10" s="864">
        <v>156</v>
      </c>
      <c r="G10" s="865">
        <v>1381</v>
      </c>
      <c r="H10" s="866">
        <v>2071</v>
      </c>
      <c r="I10" s="865">
        <v>1725</v>
      </c>
      <c r="J10" s="866">
        <v>81</v>
      </c>
      <c r="K10" s="865">
        <v>153</v>
      </c>
      <c r="L10" s="866">
        <v>236</v>
      </c>
      <c r="M10" s="865">
        <v>2234</v>
      </c>
      <c r="N10" s="1754">
        <v>394</v>
      </c>
      <c r="O10" s="2371">
        <f>_xlfn.AGGREGATE(9,6,F10:N10)</f>
        <v>8431</v>
      </c>
      <c r="P10" s="1755"/>
      <c r="Q10" s="1756"/>
      <c r="R10" s="1757"/>
    </row>
    <row r="11" spans="1:18">
      <c r="A11" s="863">
        <v>1991.02</v>
      </c>
      <c r="B11" s="869">
        <v>177817</v>
      </c>
      <c r="C11" s="940"/>
      <c r="D11" s="3616"/>
      <c r="E11" s="940"/>
      <c r="F11" s="870">
        <v>1081</v>
      </c>
      <c r="G11" s="871">
        <v>1297</v>
      </c>
      <c r="H11" s="3617">
        <v>2197</v>
      </c>
      <c r="I11" s="871">
        <v>2153</v>
      </c>
      <c r="J11" s="3617">
        <v>168</v>
      </c>
      <c r="K11" s="871">
        <v>1325</v>
      </c>
      <c r="L11" s="3617">
        <v>366</v>
      </c>
      <c r="M11" s="871">
        <v>1311</v>
      </c>
      <c r="N11" s="1357">
        <v>0</v>
      </c>
      <c r="O11" s="2372">
        <f t="shared" ref="O11:O74" si="0">_xlfn.AGGREGATE(9,6,F11:N11)</f>
        <v>9898</v>
      </c>
      <c r="P11" s="867"/>
      <c r="Q11" s="1356"/>
      <c r="R11" s="868"/>
    </row>
    <row r="12" spans="1:18">
      <c r="A12" s="863">
        <v>1991.03</v>
      </c>
      <c r="B12" s="869">
        <v>208283</v>
      </c>
      <c r="C12" s="940"/>
      <c r="D12" s="3616"/>
      <c r="E12" s="940"/>
      <c r="F12" s="870">
        <v>248</v>
      </c>
      <c r="G12" s="871">
        <v>2192</v>
      </c>
      <c r="H12" s="3617">
        <v>777</v>
      </c>
      <c r="I12" s="871">
        <v>4102</v>
      </c>
      <c r="J12" s="3617">
        <v>842</v>
      </c>
      <c r="K12" s="871">
        <v>1743</v>
      </c>
      <c r="L12" s="3617">
        <v>279</v>
      </c>
      <c r="M12" s="871">
        <v>978</v>
      </c>
      <c r="N12" s="1357">
        <v>727</v>
      </c>
      <c r="O12" s="2372">
        <f t="shared" si="0"/>
        <v>11888</v>
      </c>
      <c r="P12" s="867"/>
      <c r="Q12" s="1356"/>
      <c r="R12" s="868"/>
    </row>
    <row r="13" spans="1:18">
      <c r="A13" s="863">
        <v>1991.04</v>
      </c>
      <c r="B13" s="869">
        <v>313177</v>
      </c>
      <c r="C13" s="940"/>
      <c r="D13" s="3616"/>
      <c r="E13" s="940"/>
      <c r="F13" s="870">
        <v>1150</v>
      </c>
      <c r="G13" s="871">
        <v>619</v>
      </c>
      <c r="H13" s="3617">
        <v>268</v>
      </c>
      <c r="I13" s="871">
        <v>1352</v>
      </c>
      <c r="J13" s="3617">
        <v>833</v>
      </c>
      <c r="K13" s="871">
        <v>1698</v>
      </c>
      <c r="L13" s="3617">
        <v>191</v>
      </c>
      <c r="M13" s="871">
        <v>3127</v>
      </c>
      <c r="N13" s="1357">
        <v>0</v>
      </c>
      <c r="O13" s="2372">
        <f t="shared" si="0"/>
        <v>9238</v>
      </c>
      <c r="P13" s="867"/>
      <c r="Q13" s="1356"/>
      <c r="R13" s="868"/>
    </row>
    <row r="14" spans="1:18">
      <c r="A14" s="863">
        <v>1991.05</v>
      </c>
      <c r="B14" s="869">
        <v>400947</v>
      </c>
      <c r="C14" s="940"/>
      <c r="D14" s="3616"/>
      <c r="E14" s="940"/>
      <c r="F14" s="870">
        <v>521</v>
      </c>
      <c r="G14" s="871">
        <v>3650</v>
      </c>
      <c r="H14" s="3617">
        <v>1574</v>
      </c>
      <c r="I14" s="871">
        <v>2389</v>
      </c>
      <c r="J14" s="3617">
        <v>349</v>
      </c>
      <c r="K14" s="871">
        <v>3379</v>
      </c>
      <c r="L14" s="3617">
        <v>202</v>
      </c>
      <c r="M14" s="871">
        <v>1171</v>
      </c>
      <c r="N14" s="1357">
        <v>865</v>
      </c>
      <c r="O14" s="2372">
        <f t="shared" si="0"/>
        <v>14100</v>
      </c>
      <c r="P14" s="867"/>
      <c r="Q14" s="1356"/>
      <c r="R14" s="868"/>
    </row>
    <row r="15" spans="1:18">
      <c r="A15" s="863">
        <v>1991.06</v>
      </c>
      <c r="B15" s="869">
        <v>274687</v>
      </c>
      <c r="C15" s="940"/>
      <c r="D15" s="3616"/>
      <c r="E15" s="940"/>
      <c r="F15" s="870">
        <v>942</v>
      </c>
      <c r="G15" s="871">
        <v>1711</v>
      </c>
      <c r="H15" s="3617">
        <v>1897</v>
      </c>
      <c r="I15" s="871">
        <v>1617</v>
      </c>
      <c r="J15" s="3617">
        <v>70</v>
      </c>
      <c r="K15" s="871">
        <v>2863</v>
      </c>
      <c r="L15" s="3617">
        <v>123</v>
      </c>
      <c r="M15" s="871">
        <v>1924</v>
      </c>
      <c r="N15" s="1357">
        <v>0</v>
      </c>
      <c r="O15" s="2372">
        <f t="shared" si="0"/>
        <v>11147</v>
      </c>
      <c r="P15" s="867"/>
      <c r="Q15" s="1356"/>
      <c r="R15" s="868"/>
    </row>
    <row r="16" spans="1:18">
      <c r="A16" s="863">
        <v>1991.07</v>
      </c>
      <c r="B16" s="869">
        <v>343519</v>
      </c>
      <c r="C16" s="940"/>
      <c r="D16" s="3616"/>
      <c r="E16" s="940"/>
      <c r="F16" s="870">
        <v>810</v>
      </c>
      <c r="G16" s="871">
        <v>1970</v>
      </c>
      <c r="H16" s="3617">
        <v>489</v>
      </c>
      <c r="I16" s="871">
        <v>3623</v>
      </c>
      <c r="J16" s="3617">
        <v>489</v>
      </c>
      <c r="K16" s="871">
        <v>1296</v>
      </c>
      <c r="L16" s="3617">
        <v>435</v>
      </c>
      <c r="M16" s="871">
        <v>4803</v>
      </c>
      <c r="N16" s="1357">
        <v>1423</v>
      </c>
      <c r="O16" s="2372">
        <f t="shared" si="0"/>
        <v>15338</v>
      </c>
      <c r="P16" s="867"/>
      <c r="Q16" s="1356"/>
      <c r="R16" s="868"/>
    </row>
    <row r="17" spans="1:18">
      <c r="A17" s="863">
        <v>1991.08</v>
      </c>
      <c r="B17" s="869">
        <v>415156</v>
      </c>
      <c r="C17" s="940"/>
      <c r="D17" s="3616"/>
      <c r="E17" s="940"/>
      <c r="F17" s="870">
        <v>111</v>
      </c>
      <c r="G17" s="871">
        <v>2134</v>
      </c>
      <c r="H17" s="3617">
        <v>2673</v>
      </c>
      <c r="I17" s="871">
        <v>5176</v>
      </c>
      <c r="J17" s="3617">
        <v>659</v>
      </c>
      <c r="K17" s="871">
        <v>2667</v>
      </c>
      <c r="L17" s="3617">
        <v>147</v>
      </c>
      <c r="M17" s="871">
        <v>4706</v>
      </c>
      <c r="N17" s="1357">
        <v>134</v>
      </c>
      <c r="O17" s="2372">
        <f t="shared" si="0"/>
        <v>18407</v>
      </c>
      <c r="P17" s="867"/>
      <c r="Q17" s="1356"/>
      <c r="R17" s="868"/>
    </row>
    <row r="18" spans="1:18">
      <c r="A18" s="863">
        <v>1991.09</v>
      </c>
      <c r="B18" s="869">
        <v>289097</v>
      </c>
      <c r="C18" s="940"/>
      <c r="D18" s="3616"/>
      <c r="E18" s="940"/>
      <c r="F18" s="870">
        <v>111</v>
      </c>
      <c r="G18" s="871">
        <v>3354</v>
      </c>
      <c r="H18" s="3617">
        <v>863</v>
      </c>
      <c r="I18" s="871">
        <v>6020</v>
      </c>
      <c r="J18" s="3617">
        <v>640</v>
      </c>
      <c r="K18" s="871">
        <v>596</v>
      </c>
      <c r="L18" s="3617">
        <v>322</v>
      </c>
      <c r="M18" s="871">
        <v>6076</v>
      </c>
      <c r="N18" s="1357">
        <v>131</v>
      </c>
      <c r="O18" s="2372">
        <f t="shared" si="0"/>
        <v>18113</v>
      </c>
      <c r="P18" s="867"/>
      <c r="Q18" s="1356"/>
      <c r="R18" s="868"/>
    </row>
    <row r="19" spans="1:18">
      <c r="A19" s="863">
        <v>1991.1</v>
      </c>
      <c r="B19" s="869">
        <v>538362</v>
      </c>
      <c r="C19" s="940"/>
      <c r="D19" s="3616"/>
      <c r="E19" s="940"/>
      <c r="F19" s="870">
        <v>406</v>
      </c>
      <c r="G19" s="871">
        <v>6461</v>
      </c>
      <c r="H19" s="3617">
        <v>67</v>
      </c>
      <c r="I19" s="871">
        <v>3349</v>
      </c>
      <c r="J19" s="3617">
        <v>1523</v>
      </c>
      <c r="K19" s="871">
        <v>1449</v>
      </c>
      <c r="L19" s="3617">
        <v>655</v>
      </c>
      <c r="M19" s="871">
        <v>8010</v>
      </c>
      <c r="N19" s="1357">
        <v>1051</v>
      </c>
      <c r="O19" s="2372">
        <f t="shared" si="0"/>
        <v>22971</v>
      </c>
      <c r="P19" s="867"/>
      <c r="Q19" s="1356"/>
      <c r="R19" s="868"/>
    </row>
    <row r="20" spans="1:18">
      <c r="A20" s="863">
        <v>1991.11</v>
      </c>
      <c r="B20" s="869">
        <v>489410</v>
      </c>
      <c r="C20" s="940"/>
      <c r="D20" s="3616"/>
      <c r="E20" s="940"/>
      <c r="F20" s="870">
        <v>158</v>
      </c>
      <c r="G20" s="871">
        <v>6022</v>
      </c>
      <c r="H20" s="3617">
        <v>2771</v>
      </c>
      <c r="I20" s="871">
        <v>5720</v>
      </c>
      <c r="J20" s="3617">
        <v>453</v>
      </c>
      <c r="K20" s="871">
        <v>1018</v>
      </c>
      <c r="L20" s="3617">
        <v>722</v>
      </c>
      <c r="M20" s="871">
        <v>10485</v>
      </c>
      <c r="N20" s="1357">
        <v>579</v>
      </c>
      <c r="O20" s="2372">
        <f t="shared" si="0"/>
        <v>27928</v>
      </c>
      <c r="P20" s="867"/>
      <c r="Q20" s="1356"/>
      <c r="R20" s="868"/>
    </row>
    <row r="21" spans="1:18">
      <c r="A21" s="863">
        <v>1991.12</v>
      </c>
      <c r="B21" s="869">
        <v>694907</v>
      </c>
      <c r="C21" s="940"/>
      <c r="D21" s="3616"/>
      <c r="E21" s="940"/>
      <c r="F21" s="870">
        <v>230</v>
      </c>
      <c r="G21" s="871">
        <v>2449</v>
      </c>
      <c r="H21" s="3617">
        <v>3061</v>
      </c>
      <c r="I21" s="871">
        <v>4001</v>
      </c>
      <c r="J21" s="3617">
        <v>329</v>
      </c>
      <c r="K21" s="871">
        <v>3394</v>
      </c>
      <c r="L21" s="3617">
        <v>136</v>
      </c>
      <c r="M21" s="871">
        <v>5628</v>
      </c>
      <c r="N21" s="1357">
        <v>0</v>
      </c>
      <c r="O21" s="2372">
        <f t="shared" si="0"/>
        <v>19228</v>
      </c>
      <c r="P21" s="867"/>
      <c r="Q21" s="1356"/>
      <c r="R21" s="868"/>
    </row>
    <row r="22" spans="1:18">
      <c r="A22" s="863">
        <v>1992.01</v>
      </c>
      <c r="B22" s="869">
        <v>258246</v>
      </c>
      <c r="C22" s="940"/>
      <c r="D22" s="3616"/>
      <c r="E22" s="940"/>
      <c r="F22" s="870">
        <v>833</v>
      </c>
      <c r="G22" s="871">
        <v>1316</v>
      </c>
      <c r="H22" s="3617">
        <v>984</v>
      </c>
      <c r="I22" s="871">
        <v>1119</v>
      </c>
      <c r="J22" s="3617">
        <v>238</v>
      </c>
      <c r="K22" s="871">
        <v>614</v>
      </c>
      <c r="L22" s="3617">
        <v>448</v>
      </c>
      <c r="M22" s="871">
        <v>1968</v>
      </c>
      <c r="N22" s="1357">
        <v>412</v>
      </c>
      <c r="O22" s="2372">
        <f t="shared" si="0"/>
        <v>7932</v>
      </c>
      <c r="P22" s="867"/>
      <c r="Q22" s="1356"/>
      <c r="R22" s="868"/>
    </row>
    <row r="23" spans="1:18">
      <c r="A23" s="863">
        <v>1992.02</v>
      </c>
      <c r="B23" s="869">
        <v>413222</v>
      </c>
      <c r="C23" s="940"/>
      <c r="D23" s="3616"/>
      <c r="E23" s="940"/>
      <c r="F23" s="870">
        <v>47</v>
      </c>
      <c r="G23" s="871">
        <v>1410</v>
      </c>
      <c r="H23" s="3617">
        <v>381</v>
      </c>
      <c r="I23" s="871">
        <v>4629</v>
      </c>
      <c r="J23" s="3617">
        <v>220</v>
      </c>
      <c r="K23" s="871">
        <v>362</v>
      </c>
      <c r="L23" s="3617">
        <v>296</v>
      </c>
      <c r="M23" s="871">
        <v>1926</v>
      </c>
      <c r="N23" s="1357">
        <v>270</v>
      </c>
      <c r="O23" s="2372">
        <f t="shared" si="0"/>
        <v>9541</v>
      </c>
      <c r="P23" s="867"/>
      <c r="Q23" s="1356"/>
      <c r="R23" s="868"/>
    </row>
    <row r="24" spans="1:18">
      <c r="A24" s="863">
        <v>1992.03</v>
      </c>
      <c r="B24" s="869">
        <v>473417</v>
      </c>
      <c r="C24" s="940"/>
      <c r="D24" s="3616"/>
      <c r="E24" s="940"/>
      <c r="F24" s="870">
        <v>67</v>
      </c>
      <c r="G24" s="871">
        <v>8063</v>
      </c>
      <c r="H24" s="3617">
        <v>1505</v>
      </c>
      <c r="I24" s="871">
        <v>4649</v>
      </c>
      <c r="J24" s="3617">
        <v>969</v>
      </c>
      <c r="K24" s="871">
        <v>1410</v>
      </c>
      <c r="L24" s="3617">
        <v>458</v>
      </c>
      <c r="M24" s="871">
        <v>2048</v>
      </c>
      <c r="N24" s="1357">
        <v>937</v>
      </c>
      <c r="O24" s="2372">
        <f t="shared" si="0"/>
        <v>20106</v>
      </c>
      <c r="P24" s="867"/>
      <c r="Q24" s="1356"/>
      <c r="R24" s="868"/>
    </row>
    <row r="25" spans="1:18">
      <c r="A25" s="863">
        <v>1992.04</v>
      </c>
      <c r="B25" s="869">
        <v>447301</v>
      </c>
      <c r="C25" s="940"/>
      <c r="D25" s="3616"/>
      <c r="E25" s="940"/>
      <c r="F25" s="870">
        <v>142</v>
      </c>
      <c r="G25" s="871">
        <v>4928</v>
      </c>
      <c r="H25" s="3617">
        <v>498</v>
      </c>
      <c r="I25" s="871">
        <v>6732</v>
      </c>
      <c r="J25" s="3617">
        <v>741</v>
      </c>
      <c r="K25" s="871">
        <v>556</v>
      </c>
      <c r="L25" s="3617">
        <v>393</v>
      </c>
      <c r="M25" s="871">
        <v>3027</v>
      </c>
      <c r="N25" s="1357">
        <v>0</v>
      </c>
      <c r="O25" s="2372">
        <f t="shared" si="0"/>
        <v>17017</v>
      </c>
      <c r="P25" s="867"/>
      <c r="Q25" s="1356"/>
      <c r="R25" s="868"/>
    </row>
    <row r="26" spans="1:18">
      <c r="A26" s="863">
        <v>1992.05</v>
      </c>
      <c r="B26" s="869">
        <v>420374</v>
      </c>
      <c r="C26" s="940"/>
      <c r="D26" s="3616"/>
      <c r="E26" s="940"/>
      <c r="F26" s="870">
        <v>527</v>
      </c>
      <c r="G26" s="871">
        <v>6019</v>
      </c>
      <c r="H26" s="3617">
        <v>1313</v>
      </c>
      <c r="I26" s="871">
        <v>2101</v>
      </c>
      <c r="J26" s="3617">
        <v>666</v>
      </c>
      <c r="K26" s="871">
        <v>1878</v>
      </c>
      <c r="L26" s="3617">
        <v>421</v>
      </c>
      <c r="M26" s="871">
        <v>4303</v>
      </c>
      <c r="N26" s="1357">
        <v>0</v>
      </c>
      <c r="O26" s="2372">
        <f t="shared" si="0"/>
        <v>17228</v>
      </c>
      <c r="P26" s="867"/>
      <c r="Q26" s="1356"/>
      <c r="R26" s="868"/>
    </row>
    <row r="27" spans="1:18">
      <c r="A27" s="863">
        <v>1992.06</v>
      </c>
      <c r="B27" s="869">
        <v>644177</v>
      </c>
      <c r="C27" s="940"/>
      <c r="D27" s="3616"/>
      <c r="E27" s="940"/>
      <c r="F27" s="870">
        <v>46</v>
      </c>
      <c r="G27" s="871">
        <v>4544</v>
      </c>
      <c r="H27" s="3617">
        <v>253</v>
      </c>
      <c r="I27" s="871">
        <v>5936</v>
      </c>
      <c r="J27" s="3617">
        <v>930</v>
      </c>
      <c r="K27" s="871">
        <v>472</v>
      </c>
      <c r="L27" s="3617">
        <v>491</v>
      </c>
      <c r="M27" s="871">
        <v>8175</v>
      </c>
      <c r="N27" s="1357">
        <v>0</v>
      </c>
      <c r="O27" s="2372">
        <f t="shared" si="0"/>
        <v>20847</v>
      </c>
      <c r="P27" s="867"/>
      <c r="Q27" s="1356"/>
      <c r="R27" s="868"/>
    </row>
    <row r="28" spans="1:18">
      <c r="A28" s="863">
        <v>1992.07</v>
      </c>
      <c r="B28" s="869">
        <v>588796</v>
      </c>
      <c r="C28" s="940"/>
      <c r="D28" s="3616"/>
      <c r="E28" s="940"/>
      <c r="F28" s="870">
        <v>282</v>
      </c>
      <c r="G28" s="871">
        <v>3246</v>
      </c>
      <c r="H28" s="3617">
        <v>1904</v>
      </c>
      <c r="I28" s="871">
        <v>5825</v>
      </c>
      <c r="J28" s="3617">
        <v>733</v>
      </c>
      <c r="K28" s="871">
        <v>547</v>
      </c>
      <c r="L28" s="3617">
        <v>721</v>
      </c>
      <c r="M28" s="871">
        <v>2657</v>
      </c>
      <c r="N28" s="1357">
        <v>0</v>
      </c>
      <c r="O28" s="2372">
        <f t="shared" si="0"/>
        <v>15915</v>
      </c>
      <c r="P28" s="867"/>
      <c r="Q28" s="1356"/>
      <c r="R28" s="868"/>
    </row>
    <row r="29" spans="1:18">
      <c r="A29" s="863">
        <v>1992.08</v>
      </c>
      <c r="B29" s="869">
        <v>474955</v>
      </c>
      <c r="C29" s="940"/>
      <c r="D29" s="3616"/>
      <c r="E29" s="940"/>
      <c r="F29" s="870">
        <v>206</v>
      </c>
      <c r="G29" s="871">
        <v>6199</v>
      </c>
      <c r="H29" s="3617">
        <v>6</v>
      </c>
      <c r="I29" s="871">
        <v>4367</v>
      </c>
      <c r="J29" s="3617">
        <v>373</v>
      </c>
      <c r="K29" s="871">
        <v>1941</v>
      </c>
      <c r="L29" s="3617">
        <v>366</v>
      </c>
      <c r="M29" s="871">
        <v>8529</v>
      </c>
      <c r="N29" s="1357">
        <v>0</v>
      </c>
      <c r="O29" s="2372">
        <f t="shared" si="0"/>
        <v>21987</v>
      </c>
      <c r="P29" s="867"/>
      <c r="Q29" s="1356"/>
      <c r="R29" s="868"/>
    </row>
    <row r="30" spans="1:18">
      <c r="A30" s="863">
        <v>1992.09</v>
      </c>
      <c r="B30" s="869">
        <v>545954</v>
      </c>
      <c r="C30" s="940"/>
      <c r="D30" s="3616"/>
      <c r="E30" s="940"/>
      <c r="F30" s="870">
        <v>448</v>
      </c>
      <c r="G30" s="871">
        <v>7738</v>
      </c>
      <c r="H30" s="3617">
        <v>2597</v>
      </c>
      <c r="I30" s="871">
        <v>15306</v>
      </c>
      <c r="J30" s="3617">
        <v>504</v>
      </c>
      <c r="K30" s="871">
        <v>2675</v>
      </c>
      <c r="L30" s="3617">
        <v>1389</v>
      </c>
      <c r="M30" s="871">
        <v>3409</v>
      </c>
      <c r="N30" s="1357">
        <v>883</v>
      </c>
      <c r="O30" s="2372">
        <f t="shared" si="0"/>
        <v>34949</v>
      </c>
      <c r="P30" s="867"/>
      <c r="Q30" s="1356"/>
      <c r="R30" s="868"/>
    </row>
    <row r="31" spans="1:18">
      <c r="A31" s="863">
        <v>1992.1</v>
      </c>
      <c r="B31" s="869">
        <v>556720</v>
      </c>
      <c r="C31" s="940"/>
      <c r="D31" s="3616"/>
      <c r="E31" s="940"/>
      <c r="F31" s="870">
        <v>480</v>
      </c>
      <c r="G31" s="871">
        <v>10301</v>
      </c>
      <c r="H31" s="3617">
        <v>90</v>
      </c>
      <c r="I31" s="871">
        <v>7515</v>
      </c>
      <c r="J31" s="3617">
        <v>1325</v>
      </c>
      <c r="K31" s="871">
        <v>3242</v>
      </c>
      <c r="L31" s="3617">
        <v>228</v>
      </c>
      <c r="M31" s="871">
        <v>3873</v>
      </c>
      <c r="N31" s="1357">
        <v>738</v>
      </c>
      <c r="O31" s="2372">
        <f t="shared" si="0"/>
        <v>27792</v>
      </c>
      <c r="P31" s="867"/>
      <c r="Q31" s="1356"/>
      <c r="R31" s="868"/>
    </row>
    <row r="32" spans="1:18">
      <c r="A32" s="863">
        <v>1992.11</v>
      </c>
      <c r="B32" s="869">
        <v>547223</v>
      </c>
      <c r="C32" s="940"/>
      <c r="D32" s="3616"/>
      <c r="E32" s="940"/>
      <c r="F32" s="870">
        <v>143</v>
      </c>
      <c r="G32" s="871">
        <v>3340</v>
      </c>
      <c r="H32" s="3617">
        <v>588</v>
      </c>
      <c r="I32" s="871">
        <v>8317</v>
      </c>
      <c r="J32" s="3617">
        <v>711</v>
      </c>
      <c r="K32" s="871">
        <v>2762</v>
      </c>
      <c r="L32" s="3617">
        <v>1033</v>
      </c>
      <c r="M32" s="871">
        <v>6440</v>
      </c>
      <c r="N32" s="1357">
        <v>528</v>
      </c>
      <c r="O32" s="2372">
        <f t="shared" si="0"/>
        <v>23862</v>
      </c>
      <c r="P32" s="867"/>
      <c r="Q32" s="1356"/>
      <c r="R32" s="868"/>
    </row>
    <row r="33" spans="1:18">
      <c r="A33" s="863">
        <v>1992.12</v>
      </c>
      <c r="B33" s="869">
        <v>438233</v>
      </c>
      <c r="C33" s="940"/>
      <c r="D33" s="3616"/>
      <c r="E33" s="940"/>
      <c r="F33" s="870">
        <v>125</v>
      </c>
      <c r="G33" s="871">
        <v>5621</v>
      </c>
      <c r="H33" s="3617">
        <v>1102</v>
      </c>
      <c r="I33" s="871">
        <v>4313</v>
      </c>
      <c r="J33" s="3617">
        <v>426</v>
      </c>
      <c r="K33" s="871">
        <v>2133</v>
      </c>
      <c r="L33" s="3617">
        <v>1519</v>
      </c>
      <c r="M33" s="871">
        <v>3215</v>
      </c>
      <c r="N33" s="1357">
        <v>632</v>
      </c>
      <c r="O33" s="2372">
        <f t="shared" si="0"/>
        <v>19086</v>
      </c>
      <c r="P33" s="867"/>
      <c r="Q33" s="1356"/>
      <c r="R33" s="868"/>
    </row>
    <row r="34" spans="1:18">
      <c r="A34" s="863">
        <v>1993.01</v>
      </c>
      <c r="B34" s="869">
        <v>409830</v>
      </c>
      <c r="C34" s="940"/>
      <c r="D34" s="3616"/>
      <c r="E34" s="940"/>
      <c r="F34" s="870">
        <v>455</v>
      </c>
      <c r="G34" s="871">
        <v>2014</v>
      </c>
      <c r="H34" s="3617">
        <v>855</v>
      </c>
      <c r="I34" s="871">
        <v>5310</v>
      </c>
      <c r="J34" s="3617">
        <v>2503</v>
      </c>
      <c r="K34" s="871">
        <v>1014</v>
      </c>
      <c r="L34" s="3617">
        <v>813</v>
      </c>
      <c r="M34" s="871">
        <v>2316</v>
      </c>
      <c r="N34" s="1357">
        <v>458</v>
      </c>
      <c r="O34" s="2372">
        <f t="shared" si="0"/>
        <v>15738</v>
      </c>
      <c r="P34" s="867"/>
      <c r="Q34" s="1356"/>
      <c r="R34" s="868"/>
    </row>
    <row r="35" spans="1:18">
      <c r="A35" s="863">
        <v>1993.02</v>
      </c>
      <c r="B35" s="869">
        <v>332926</v>
      </c>
      <c r="C35" s="940"/>
      <c r="D35" s="3616"/>
      <c r="E35" s="940"/>
      <c r="F35" s="870">
        <v>378</v>
      </c>
      <c r="G35" s="871">
        <v>10714</v>
      </c>
      <c r="H35" s="3617">
        <v>1472</v>
      </c>
      <c r="I35" s="871">
        <v>8325</v>
      </c>
      <c r="J35" s="3617">
        <v>1018</v>
      </c>
      <c r="K35" s="871">
        <v>949</v>
      </c>
      <c r="L35" s="3617">
        <v>812</v>
      </c>
      <c r="M35" s="871">
        <v>11113</v>
      </c>
      <c r="N35" s="1357">
        <v>0</v>
      </c>
      <c r="O35" s="2372">
        <f t="shared" si="0"/>
        <v>34781</v>
      </c>
      <c r="P35" s="867"/>
      <c r="Q35" s="1356"/>
      <c r="R35" s="868"/>
    </row>
    <row r="36" spans="1:18">
      <c r="A36" s="863">
        <v>1993.03</v>
      </c>
      <c r="B36" s="869">
        <v>490004</v>
      </c>
      <c r="C36" s="940"/>
      <c r="D36" s="3616"/>
      <c r="E36" s="940"/>
      <c r="F36" s="870">
        <v>209</v>
      </c>
      <c r="G36" s="871">
        <v>2823</v>
      </c>
      <c r="H36" s="3617">
        <v>2551</v>
      </c>
      <c r="I36" s="871">
        <v>17339</v>
      </c>
      <c r="J36" s="3617">
        <v>618</v>
      </c>
      <c r="K36" s="871">
        <v>467</v>
      </c>
      <c r="L36" s="3617">
        <v>1253</v>
      </c>
      <c r="M36" s="871">
        <v>5341</v>
      </c>
      <c r="N36" s="1357">
        <v>1330</v>
      </c>
      <c r="O36" s="2372">
        <f t="shared" si="0"/>
        <v>31931</v>
      </c>
      <c r="P36" s="867"/>
      <c r="Q36" s="1356"/>
      <c r="R36" s="868"/>
    </row>
    <row r="37" spans="1:18">
      <c r="A37" s="863">
        <v>1993.04</v>
      </c>
      <c r="B37" s="869">
        <v>392737</v>
      </c>
      <c r="C37" s="940"/>
      <c r="D37" s="3616"/>
      <c r="E37" s="940"/>
      <c r="F37" s="870">
        <v>357</v>
      </c>
      <c r="G37" s="871">
        <v>4150</v>
      </c>
      <c r="H37" s="3617">
        <v>2330</v>
      </c>
      <c r="I37" s="871">
        <v>6652</v>
      </c>
      <c r="J37" s="3617">
        <v>486</v>
      </c>
      <c r="K37" s="871">
        <v>1394</v>
      </c>
      <c r="L37" s="3617">
        <v>814</v>
      </c>
      <c r="M37" s="871">
        <v>17102</v>
      </c>
      <c r="N37" s="1357">
        <v>806</v>
      </c>
      <c r="O37" s="2372">
        <f t="shared" si="0"/>
        <v>34091</v>
      </c>
      <c r="P37" s="867"/>
      <c r="Q37" s="1356"/>
      <c r="R37" s="868"/>
    </row>
    <row r="38" spans="1:18">
      <c r="A38" s="863">
        <v>1993.05</v>
      </c>
      <c r="B38" s="869">
        <v>403181</v>
      </c>
      <c r="C38" s="940"/>
      <c r="D38" s="3616"/>
      <c r="E38" s="940"/>
      <c r="F38" s="870">
        <v>863</v>
      </c>
      <c r="G38" s="871">
        <v>5588</v>
      </c>
      <c r="H38" s="3617">
        <v>1980</v>
      </c>
      <c r="I38" s="871">
        <v>7147</v>
      </c>
      <c r="J38" s="3617">
        <v>905</v>
      </c>
      <c r="K38" s="871">
        <v>3071</v>
      </c>
      <c r="L38" s="3617">
        <v>408</v>
      </c>
      <c r="M38" s="871">
        <v>2843</v>
      </c>
      <c r="N38" s="1357">
        <v>410</v>
      </c>
      <c r="O38" s="2372">
        <f t="shared" si="0"/>
        <v>23215</v>
      </c>
      <c r="P38" s="867"/>
      <c r="Q38" s="1356"/>
      <c r="R38" s="868"/>
    </row>
    <row r="39" spans="1:18">
      <c r="A39" s="863">
        <v>1993.06</v>
      </c>
      <c r="B39" s="869">
        <v>464052</v>
      </c>
      <c r="C39" s="940"/>
      <c r="D39" s="3616"/>
      <c r="E39" s="940"/>
      <c r="F39" s="870">
        <v>807</v>
      </c>
      <c r="G39" s="871">
        <v>3308</v>
      </c>
      <c r="H39" s="3617">
        <v>3061</v>
      </c>
      <c r="I39" s="871">
        <v>8366</v>
      </c>
      <c r="J39" s="3617">
        <v>2465</v>
      </c>
      <c r="K39" s="871">
        <v>5505</v>
      </c>
      <c r="L39" s="3617">
        <v>1492</v>
      </c>
      <c r="M39" s="871">
        <v>1664</v>
      </c>
      <c r="N39" s="1357">
        <v>1803</v>
      </c>
      <c r="O39" s="2372">
        <f t="shared" si="0"/>
        <v>28471</v>
      </c>
      <c r="P39" s="867"/>
      <c r="Q39" s="1356"/>
      <c r="R39" s="868"/>
    </row>
    <row r="40" spans="1:18">
      <c r="A40" s="863">
        <v>1993.07</v>
      </c>
      <c r="B40" s="869">
        <v>532577</v>
      </c>
      <c r="C40" s="940"/>
      <c r="D40" s="3616"/>
      <c r="E40" s="940"/>
      <c r="F40" s="870">
        <v>1295</v>
      </c>
      <c r="G40" s="871">
        <v>2868</v>
      </c>
      <c r="H40" s="3617">
        <v>5546</v>
      </c>
      <c r="I40" s="871">
        <v>5025</v>
      </c>
      <c r="J40" s="3617">
        <v>609</v>
      </c>
      <c r="K40" s="871">
        <v>5469</v>
      </c>
      <c r="L40" s="3617">
        <v>863</v>
      </c>
      <c r="M40" s="871">
        <v>1466</v>
      </c>
      <c r="N40" s="1357">
        <v>156</v>
      </c>
      <c r="O40" s="2372">
        <f t="shared" si="0"/>
        <v>23297</v>
      </c>
      <c r="P40" s="867"/>
      <c r="Q40" s="1356"/>
      <c r="R40" s="868"/>
    </row>
    <row r="41" spans="1:18">
      <c r="A41" s="863">
        <v>1993.08</v>
      </c>
      <c r="B41" s="869">
        <v>530847</v>
      </c>
      <c r="C41" s="940"/>
      <c r="D41" s="3616"/>
      <c r="E41" s="940"/>
      <c r="F41" s="870">
        <v>2237</v>
      </c>
      <c r="G41" s="871">
        <v>8516</v>
      </c>
      <c r="H41" s="3617">
        <v>5546</v>
      </c>
      <c r="I41" s="871">
        <v>6419</v>
      </c>
      <c r="J41" s="3617">
        <v>1763</v>
      </c>
      <c r="K41" s="871">
        <v>2281</v>
      </c>
      <c r="L41" s="3617">
        <v>1241</v>
      </c>
      <c r="M41" s="871">
        <v>2366</v>
      </c>
      <c r="N41" s="1357">
        <v>654</v>
      </c>
      <c r="O41" s="2372">
        <f t="shared" si="0"/>
        <v>31023</v>
      </c>
      <c r="P41" s="867"/>
      <c r="Q41" s="1356"/>
      <c r="R41" s="868"/>
    </row>
    <row r="42" spans="1:18">
      <c r="A42" s="863">
        <v>1993.09</v>
      </c>
      <c r="B42" s="869">
        <v>530908</v>
      </c>
      <c r="C42" s="940"/>
      <c r="D42" s="3616"/>
      <c r="E42" s="940"/>
      <c r="F42" s="870">
        <v>3440</v>
      </c>
      <c r="G42" s="871">
        <v>5424</v>
      </c>
      <c r="H42" s="3617">
        <v>5545</v>
      </c>
      <c r="I42" s="871">
        <v>6980</v>
      </c>
      <c r="J42" s="3617">
        <v>1097</v>
      </c>
      <c r="K42" s="871">
        <v>2305</v>
      </c>
      <c r="L42" s="3617">
        <v>1182</v>
      </c>
      <c r="M42" s="871">
        <v>5855</v>
      </c>
      <c r="N42" s="1357">
        <v>549</v>
      </c>
      <c r="O42" s="2372">
        <f t="shared" si="0"/>
        <v>32377</v>
      </c>
      <c r="P42" s="867"/>
      <c r="Q42" s="1356"/>
      <c r="R42" s="868"/>
    </row>
    <row r="43" spans="1:18">
      <c r="A43" s="863">
        <v>1993.1</v>
      </c>
      <c r="B43" s="869">
        <v>581664</v>
      </c>
      <c r="C43" s="940"/>
      <c r="D43" s="3616"/>
      <c r="E43" s="940"/>
      <c r="F43" s="870">
        <v>3421</v>
      </c>
      <c r="G43" s="871">
        <v>5689</v>
      </c>
      <c r="H43" s="3617">
        <v>2089</v>
      </c>
      <c r="I43" s="871">
        <v>9860</v>
      </c>
      <c r="J43" s="3617">
        <v>710</v>
      </c>
      <c r="K43" s="871">
        <v>824</v>
      </c>
      <c r="L43" s="3617">
        <v>608</v>
      </c>
      <c r="M43" s="871">
        <v>9541</v>
      </c>
      <c r="N43" s="1357">
        <v>0</v>
      </c>
      <c r="O43" s="2372">
        <f t="shared" si="0"/>
        <v>32742</v>
      </c>
      <c r="P43" s="867"/>
      <c r="Q43" s="1356"/>
      <c r="R43" s="868"/>
    </row>
    <row r="44" spans="1:18">
      <c r="A44" s="863">
        <v>1993.11</v>
      </c>
      <c r="B44" s="869">
        <v>521833</v>
      </c>
      <c r="C44" s="940"/>
      <c r="D44" s="3616"/>
      <c r="E44" s="940"/>
      <c r="F44" s="870">
        <v>4964</v>
      </c>
      <c r="G44" s="871">
        <v>5398</v>
      </c>
      <c r="H44" s="3617">
        <v>2089</v>
      </c>
      <c r="I44" s="871">
        <v>14780</v>
      </c>
      <c r="J44" s="3617">
        <v>1597</v>
      </c>
      <c r="K44" s="871">
        <v>1358</v>
      </c>
      <c r="L44" s="3617">
        <v>934</v>
      </c>
      <c r="M44" s="871">
        <v>7811</v>
      </c>
      <c r="N44" s="1357">
        <v>886</v>
      </c>
      <c r="O44" s="2372">
        <f t="shared" si="0"/>
        <v>39817</v>
      </c>
      <c r="P44" s="867"/>
      <c r="Q44" s="1356"/>
      <c r="R44" s="868"/>
    </row>
    <row r="45" spans="1:18">
      <c r="A45" s="863">
        <v>1993.12</v>
      </c>
      <c r="B45" s="869">
        <v>505586</v>
      </c>
      <c r="C45" s="940"/>
      <c r="D45" s="3616"/>
      <c r="E45" s="940"/>
      <c r="F45" s="870">
        <v>2270</v>
      </c>
      <c r="G45" s="871">
        <v>5825</v>
      </c>
      <c r="H45" s="3617">
        <v>2089</v>
      </c>
      <c r="I45" s="871">
        <v>3591</v>
      </c>
      <c r="J45" s="3617">
        <v>4389</v>
      </c>
      <c r="K45" s="871">
        <v>1192</v>
      </c>
      <c r="L45" s="3617">
        <v>3266</v>
      </c>
      <c r="M45" s="871">
        <v>8547</v>
      </c>
      <c r="N45" s="1357">
        <v>803</v>
      </c>
      <c r="O45" s="2372">
        <f t="shared" si="0"/>
        <v>31972</v>
      </c>
      <c r="P45" s="867"/>
      <c r="Q45" s="1356"/>
      <c r="R45" s="868"/>
    </row>
    <row r="46" spans="1:18">
      <c r="A46" s="863">
        <v>1994.01</v>
      </c>
      <c r="B46" s="869">
        <v>420046</v>
      </c>
      <c r="C46" s="940"/>
      <c r="D46" s="3616"/>
      <c r="E46" s="940"/>
      <c r="F46" s="870">
        <v>745</v>
      </c>
      <c r="G46" s="871">
        <v>1822</v>
      </c>
      <c r="H46" s="3617">
        <v>680</v>
      </c>
      <c r="I46" s="871">
        <v>0</v>
      </c>
      <c r="J46" s="3617">
        <v>4364</v>
      </c>
      <c r="K46" s="871">
        <v>4497</v>
      </c>
      <c r="L46" s="3617">
        <v>1749</v>
      </c>
      <c r="M46" s="871">
        <v>6820</v>
      </c>
      <c r="N46" s="1357">
        <v>928</v>
      </c>
      <c r="O46" s="2372">
        <f t="shared" si="0"/>
        <v>21605</v>
      </c>
      <c r="P46" s="867"/>
      <c r="Q46" s="1356"/>
      <c r="R46" s="868"/>
    </row>
    <row r="47" spans="1:18">
      <c r="A47" s="863">
        <v>1994.02</v>
      </c>
      <c r="B47" s="869">
        <v>522915</v>
      </c>
      <c r="C47" s="940"/>
      <c r="D47" s="3616"/>
      <c r="E47" s="940"/>
      <c r="F47" s="870">
        <v>1471</v>
      </c>
      <c r="G47" s="871">
        <v>7600</v>
      </c>
      <c r="H47" s="3617">
        <v>2918</v>
      </c>
      <c r="I47" s="871">
        <v>12231</v>
      </c>
      <c r="J47" s="3617">
        <v>4067</v>
      </c>
      <c r="K47" s="871">
        <v>1068</v>
      </c>
      <c r="L47" s="3617">
        <v>1662</v>
      </c>
      <c r="M47" s="871">
        <v>4113</v>
      </c>
      <c r="N47" s="1357">
        <v>2170</v>
      </c>
      <c r="O47" s="2372">
        <f t="shared" si="0"/>
        <v>37300</v>
      </c>
      <c r="P47" s="867"/>
      <c r="Q47" s="1356"/>
      <c r="R47" s="868"/>
    </row>
    <row r="48" spans="1:18">
      <c r="A48" s="863">
        <v>1994.03</v>
      </c>
      <c r="B48" s="869">
        <v>569520</v>
      </c>
      <c r="C48" s="940"/>
      <c r="D48" s="3616"/>
      <c r="E48" s="940"/>
      <c r="F48" s="870">
        <v>2777</v>
      </c>
      <c r="G48" s="871">
        <v>10933</v>
      </c>
      <c r="H48" s="3617">
        <v>10010</v>
      </c>
      <c r="I48" s="871">
        <v>11654</v>
      </c>
      <c r="J48" s="3617">
        <v>8061</v>
      </c>
      <c r="K48" s="871">
        <v>2102</v>
      </c>
      <c r="L48" s="3617">
        <v>3214</v>
      </c>
      <c r="M48" s="871">
        <v>19751</v>
      </c>
      <c r="N48" s="1357">
        <v>1070</v>
      </c>
      <c r="O48" s="2372">
        <f t="shared" si="0"/>
        <v>69572</v>
      </c>
      <c r="P48" s="867"/>
      <c r="Q48" s="1356"/>
      <c r="R48" s="868"/>
    </row>
    <row r="49" spans="1:18">
      <c r="A49" s="863">
        <v>1994.04</v>
      </c>
      <c r="B49" s="869">
        <v>556888</v>
      </c>
      <c r="C49" s="940"/>
      <c r="D49" s="3616"/>
      <c r="E49" s="940"/>
      <c r="F49" s="870">
        <v>7425</v>
      </c>
      <c r="G49" s="871">
        <v>7371</v>
      </c>
      <c r="H49" s="3617">
        <v>1501</v>
      </c>
      <c r="I49" s="871">
        <v>17635</v>
      </c>
      <c r="J49" s="3617">
        <v>8778</v>
      </c>
      <c r="K49" s="871">
        <v>1740</v>
      </c>
      <c r="L49" s="3617">
        <v>3320</v>
      </c>
      <c r="M49" s="871">
        <v>15365</v>
      </c>
      <c r="N49" s="1357">
        <v>1167</v>
      </c>
      <c r="O49" s="2372">
        <f t="shared" si="0"/>
        <v>64302</v>
      </c>
      <c r="P49" s="867"/>
      <c r="Q49" s="1356"/>
      <c r="R49" s="868"/>
    </row>
    <row r="50" spans="1:18">
      <c r="A50" s="863">
        <v>1994.05</v>
      </c>
      <c r="B50" s="869">
        <v>620449</v>
      </c>
      <c r="C50" s="940"/>
      <c r="D50" s="3616"/>
      <c r="E50" s="940"/>
      <c r="F50" s="870">
        <v>1405</v>
      </c>
      <c r="G50" s="871">
        <v>6809</v>
      </c>
      <c r="H50" s="3617">
        <v>5434</v>
      </c>
      <c r="I50" s="871">
        <v>9293</v>
      </c>
      <c r="J50" s="3617">
        <v>8104</v>
      </c>
      <c r="K50" s="871">
        <v>3489</v>
      </c>
      <c r="L50" s="3617">
        <v>20440</v>
      </c>
      <c r="M50" s="871">
        <v>7534</v>
      </c>
      <c r="N50" s="1357">
        <v>657</v>
      </c>
      <c r="O50" s="2372">
        <f t="shared" si="0"/>
        <v>63165</v>
      </c>
      <c r="P50" s="867"/>
      <c r="Q50" s="1356"/>
      <c r="R50" s="868"/>
    </row>
    <row r="51" spans="1:18">
      <c r="A51" s="863">
        <v>1994.06</v>
      </c>
      <c r="B51" s="869">
        <v>580889</v>
      </c>
      <c r="C51" s="940"/>
      <c r="D51" s="3616"/>
      <c r="E51" s="940"/>
      <c r="F51" s="870">
        <v>2297</v>
      </c>
      <c r="G51" s="871">
        <v>6241</v>
      </c>
      <c r="H51" s="3617">
        <v>4821</v>
      </c>
      <c r="I51" s="871">
        <v>4061</v>
      </c>
      <c r="J51" s="3617">
        <v>9976</v>
      </c>
      <c r="K51" s="871">
        <v>3414</v>
      </c>
      <c r="L51" s="3617">
        <v>3976</v>
      </c>
      <c r="M51" s="871">
        <v>24477</v>
      </c>
      <c r="N51" s="1357">
        <v>1201</v>
      </c>
      <c r="O51" s="2372">
        <f t="shared" si="0"/>
        <v>60464</v>
      </c>
      <c r="P51" s="867"/>
      <c r="Q51" s="1356"/>
      <c r="R51" s="868"/>
    </row>
    <row r="52" spans="1:18">
      <c r="A52" s="863">
        <v>1994.07</v>
      </c>
      <c r="B52" s="869">
        <v>760121</v>
      </c>
      <c r="C52" s="940"/>
      <c r="D52" s="3616"/>
      <c r="E52" s="940"/>
      <c r="F52" s="870">
        <v>2821</v>
      </c>
      <c r="G52" s="871">
        <v>8587</v>
      </c>
      <c r="H52" s="3617">
        <v>2911</v>
      </c>
      <c r="I52" s="871">
        <v>11483</v>
      </c>
      <c r="J52" s="3617">
        <v>4635</v>
      </c>
      <c r="K52" s="871">
        <v>2962</v>
      </c>
      <c r="L52" s="3617">
        <v>2311</v>
      </c>
      <c r="M52" s="871">
        <v>30268</v>
      </c>
      <c r="N52" s="1357">
        <v>1636</v>
      </c>
      <c r="O52" s="2372">
        <f t="shared" si="0"/>
        <v>67614</v>
      </c>
      <c r="P52" s="867"/>
      <c r="Q52" s="1356"/>
      <c r="R52" s="868"/>
    </row>
    <row r="53" spans="1:18">
      <c r="A53" s="863">
        <v>1994.08</v>
      </c>
      <c r="B53" s="869">
        <v>869879</v>
      </c>
      <c r="C53" s="940"/>
      <c r="D53" s="3616"/>
      <c r="E53" s="940"/>
      <c r="F53" s="870">
        <v>3213</v>
      </c>
      <c r="G53" s="871">
        <v>5299</v>
      </c>
      <c r="H53" s="3617">
        <v>3371</v>
      </c>
      <c r="I53" s="871">
        <v>12932</v>
      </c>
      <c r="J53" s="3617">
        <v>10375</v>
      </c>
      <c r="K53" s="871">
        <v>4213</v>
      </c>
      <c r="L53" s="3617">
        <v>908</v>
      </c>
      <c r="M53" s="871">
        <v>3583</v>
      </c>
      <c r="N53" s="1357">
        <v>1622</v>
      </c>
      <c r="O53" s="2372">
        <f t="shared" si="0"/>
        <v>45516</v>
      </c>
      <c r="P53" s="867"/>
      <c r="Q53" s="1356"/>
      <c r="R53" s="868"/>
    </row>
    <row r="54" spans="1:18">
      <c r="A54" s="863">
        <v>1994.09</v>
      </c>
      <c r="B54" s="869">
        <v>606258</v>
      </c>
      <c r="C54" s="940"/>
      <c r="D54" s="3616"/>
      <c r="E54" s="940"/>
      <c r="F54" s="870">
        <v>2466</v>
      </c>
      <c r="G54" s="871">
        <v>6665</v>
      </c>
      <c r="H54" s="3617">
        <v>737</v>
      </c>
      <c r="I54" s="871">
        <v>13809</v>
      </c>
      <c r="J54" s="3617">
        <v>12584</v>
      </c>
      <c r="K54" s="871">
        <v>4073</v>
      </c>
      <c r="L54" s="3617">
        <v>948</v>
      </c>
      <c r="M54" s="871">
        <v>3990</v>
      </c>
      <c r="N54" s="1357">
        <v>1005</v>
      </c>
      <c r="O54" s="2372">
        <f t="shared" si="0"/>
        <v>46277</v>
      </c>
      <c r="P54" s="867"/>
      <c r="Q54" s="1356"/>
      <c r="R54" s="868"/>
    </row>
    <row r="55" spans="1:18">
      <c r="A55" s="863">
        <v>1994.1</v>
      </c>
      <c r="B55" s="869">
        <v>627348</v>
      </c>
      <c r="C55" s="940"/>
      <c r="D55" s="3616"/>
      <c r="E55" s="940"/>
      <c r="F55" s="870">
        <v>1040</v>
      </c>
      <c r="G55" s="871">
        <v>11402</v>
      </c>
      <c r="H55" s="3617">
        <v>2892</v>
      </c>
      <c r="I55" s="871">
        <v>3759</v>
      </c>
      <c r="J55" s="3617">
        <v>12329</v>
      </c>
      <c r="K55" s="871">
        <v>3001</v>
      </c>
      <c r="L55" s="3617">
        <v>783</v>
      </c>
      <c r="M55" s="871">
        <v>3106</v>
      </c>
      <c r="N55" s="1357">
        <v>1224</v>
      </c>
      <c r="O55" s="2372">
        <f t="shared" si="0"/>
        <v>39536</v>
      </c>
      <c r="P55" s="867"/>
      <c r="Q55" s="1356"/>
      <c r="R55" s="868"/>
    </row>
    <row r="56" spans="1:18">
      <c r="A56" s="863">
        <v>1994.11</v>
      </c>
      <c r="B56" s="869">
        <v>791225</v>
      </c>
      <c r="C56" s="940"/>
      <c r="D56" s="3616"/>
      <c r="E56" s="940"/>
      <c r="F56" s="870">
        <v>380</v>
      </c>
      <c r="G56" s="871">
        <v>7175</v>
      </c>
      <c r="H56" s="3617">
        <v>5532</v>
      </c>
      <c r="I56" s="871">
        <v>9972</v>
      </c>
      <c r="J56" s="3617">
        <v>11957</v>
      </c>
      <c r="K56" s="871">
        <v>4461</v>
      </c>
      <c r="L56" s="3617">
        <v>1398</v>
      </c>
      <c r="M56" s="871">
        <v>4865</v>
      </c>
      <c r="N56" s="1357">
        <v>1084</v>
      </c>
      <c r="O56" s="2372">
        <f t="shared" si="0"/>
        <v>46824</v>
      </c>
      <c r="P56" s="867"/>
      <c r="Q56" s="1356"/>
      <c r="R56" s="868"/>
    </row>
    <row r="57" spans="1:18">
      <c r="A57" s="863">
        <v>1994.12</v>
      </c>
      <c r="B57" s="869">
        <v>966672</v>
      </c>
      <c r="C57" s="940"/>
      <c r="D57" s="3616"/>
      <c r="E57" s="940"/>
      <c r="F57" s="870">
        <v>738</v>
      </c>
      <c r="G57" s="871">
        <v>4840</v>
      </c>
      <c r="H57" s="3617">
        <v>3418</v>
      </c>
      <c r="I57" s="871">
        <v>12512</v>
      </c>
      <c r="J57" s="3617">
        <v>12730</v>
      </c>
      <c r="K57" s="871">
        <v>1361</v>
      </c>
      <c r="L57" s="3617">
        <v>315</v>
      </c>
      <c r="M57" s="871">
        <v>2118</v>
      </c>
      <c r="N57" s="1357">
        <v>1171</v>
      </c>
      <c r="O57" s="2372">
        <f t="shared" si="0"/>
        <v>39203</v>
      </c>
      <c r="P57" s="867"/>
      <c r="Q57" s="1356"/>
      <c r="R57" s="868"/>
    </row>
    <row r="58" spans="1:18">
      <c r="A58" s="863">
        <v>1995.01</v>
      </c>
      <c r="B58" s="869">
        <v>563649</v>
      </c>
      <c r="C58" s="940"/>
      <c r="D58" s="3616"/>
      <c r="E58" s="940"/>
      <c r="F58" s="870">
        <v>643</v>
      </c>
      <c r="G58" s="871">
        <v>8950</v>
      </c>
      <c r="H58" s="3617">
        <v>4796</v>
      </c>
      <c r="I58" s="871">
        <v>0</v>
      </c>
      <c r="J58" s="3617">
        <v>5978</v>
      </c>
      <c r="K58" s="871">
        <v>2865</v>
      </c>
      <c r="L58" s="3617">
        <v>874</v>
      </c>
      <c r="M58" s="871">
        <v>2255</v>
      </c>
      <c r="N58" s="1357">
        <v>380</v>
      </c>
      <c r="O58" s="2372">
        <f t="shared" si="0"/>
        <v>26741</v>
      </c>
      <c r="P58" s="867"/>
      <c r="Q58" s="1356"/>
      <c r="R58" s="868"/>
    </row>
    <row r="59" spans="1:18">
      <c r="A59" s="863">
        <v>1995.02</v>
      </c>
      <c r="B59" s="869">
        <v>504375</v>
      </c>
      <c r="C59" s="940"/>
      <c r="D59" s="3616"/>
      <c r="E59" s="940"/>
      <c r="F59" s="870">
        <v>355</v>
      </c>
      <c r="G59" s="871">
        <v>2854</v>
      </c>
      <c r="H59" s="3617">
        <v>4667</v>
      </c>
      <c r="I59" s="871">
        <v>5761</v>
      </c>
      <c r="J59" s="3617">
        <v>12961</v>
      </c>
      <c r="K59" s="871">
        <v>2392</v>
      </c>
      <c r="L59" s="3617">
        <v>887</v>
      </c>
      <c r="M59" s="871">
        <v>2888</v>
      </c>
      <c r="N59" s="1357">
        <v>0</v>
      </c>
      <c r="O59" s="2372">
        <f t="shared" si="0"/>
        <v>32765</v>
      </c>
      <c r="P59" s="867"/>
      <c r="Q59" s="1356"/>
      <c r="R59" s="868"/>
    </row>
    <row r="60" spans="1:18">
      <c r="A60" s="863">
        <v>1995.03</v>
      </c>
      <c r="B60" s="869">
        <v>802175</v>
      </c>
      <c r="C60" s="940"/>
      <c r="D60" s="3616"/>
      <c r="E60" s="940"/>
      <c r="F60" s="870">
        <v>580</v>
      </c>
      <c r="G60" s="871">
        <v>7863</v>
      </c>
      <c r="H60" s="3617">
        <v>3115</v>
      </c>
      <c r="I60" s="871">
        <v>12668</v>
      </c>
      <c r="J60" s="3617">
        <v>12205</v>
      </c>
      <c r="K60" s="871">
        <v>5621</v>
      </c>
      <c r="L60" s="3617">
        <v>718</v>
      </c>
      <c r="M60" s="871">
        <v>1526</v>
      </c>
      <c r="N60" s="1357">
        <v>1916</v>
      </c>
      <c r="O60" s="2372">
        <f t="shared" si="0"/>
        <v>46212</v>
      </c>
      <c r="P60" s="867"/>
      <c r="Q60" s="1356"/>
      <c r="R60" s="868"/>
    </row>
    <row r="61" spans="1:18">
      <c r="A61" s="863">
        <v>1995.04</v>
      </c>
      <c r="B61" s="869">
        <v>486529</v>
      </c>
      <c r="C61" s="940"/>
      <c r="D61" s="3616"/>
      <c r="E61" s="940"/>
      <c r="F61" s="870">
        <v>633</v>
      </c>
      <c r="G61" s="871">
        <v>11726</v>
      </c>
      <c r="H61" s="3617">
        <v>2274</v>
      </c>
      <c r="I61" s="871">
        <v>3713</v>
      </c>
      <c r="J61" s="3617">
        <v>9347</v>
      </c>
      <c r="K61" s="871">
        <v>3584</v>
      </c>
      <c r="L61" s="3617">
        <v>798</v>
      </c>
      <c r="M61" s="871">
        <v>710</v>
      </c>
      <c r="N61" s="1357">
        <v>944</v>
      </c>
      <c r="O61" s="2372">
        <f t="shared" si="0"/>
        <v>33729</v>
      </c>
      <c r="P61" s="867"/>
      <c r="Q61" s="1356"/>
      <c r="R61" s="868"/>
    </row>
    <row r="62" spans="1:18">
      <c r="A62" s="863">
        <v>1995.05</v>
      </c>
      <c r="B62" s="869">
        <v>593827</v>
      </c>
      <c r="C62" s="940"/>
      <c r="D62" s="3616"/>
      <c r="E62" s="940"/>
      <c r="F62" s="870">
        <v>515</v>
      </c>
      <c r="G62" s="871">
        <v>6301</v>
      </c>
      <c r="H62" s="3617">
        <v>4915</v>
      </c>
      <c r="I62" s="871">
        <v>4415</v>
      </c>
      <c r="J62" s="3617">
        <v>11981</v>
      </c>
      <c r="K62" s="871">
        <v>4074</v>
      </c>
      <c r="L62" s="3617">
        <v>843</v>
      </c>
      <c r="M62" s="871">
        <v>1740</v>
      </c>
      <c r="N62" s="1357">
        <v>1149</v>
      </c>
      <c r="O62" s="2372">
        <f t="shared" si="0"/>
        <v>35933</v>
      </c>
      <c r="P62" s="867"/>
      <c r="Q62" s="1356"/>
      <c r="R62" s="868"/>
    </row>
    <row r="63" spans="1:18">
      <c r="A63" s="863">
        <v>1995.06</v>
      </c>
      <c r="B63" s="869">
        <v>461005</v>
      </c>
      <c r="C63" s="940"/>
      <c r="D63" s="3616"/>
      <c r="E63" s="940"/>
      <c r="F63" s="870">
        <v>1147</v>
      </c>
      <c r="G63" s="871">
        <v>6838</v>
      </c>
      <c r="H63" s="3617">
        <v>7896</v>
      </c>
      <c r="I63" s="871">
        <v>16219</v>
      </c>
      <c r="J63" s="3617">
        <v>7880</v>
      </c>
      <c r="K63" s="871">
        <v>3555</v>
      </c>
      <c r="L63" s="3617">
        <v>545</v>
      </c>
      <c r="M63" s="871">
        <v>1143</v>
      </c>
      <c r="N63" s="1357">
        <v>257</v>
      </c>
      <c r="O63" s="2372">
        <f t="shared" si="0"/>
        <v>45480</v>
      </c>
      <c r="P63" s="867"/>
      <c r="Q63" s="1356"/>
      <c r="R63" s="868"/>
    </row>
    <row r="64" spans="1:18">
      <c r="A64" s="863">
        <v>1995.07</v>
      </c>
      <c r="B64" s="869">
        <v>437999</v>
      </c>
      <c r="C64" s="940"/>
      <c r="D64" s="3616"/>
      <c r="E64" s="940"/>
      <c r="F64" s="870">
        <v>2067</v>
      </c>
      <c r="G64" s="871">
        <v>4368</v>
      </c>
      <c r="H64" s="3617">
        <v>4483</v>
      </c>
      <c r="I64" s="871">
        <v>4735</v>
      </c>
      <c r="J64" s="3617">
        <v>4175</v>
      </c>
      <c r="K64" s="871">
        <v>2889</v>
      </c>
      <c r="L64" s="3617">
        <v>860</v>
      </c>
      <c r="M64" s="871">
        <v>2128</v>
      </c>
      <c r="N64" s="1357">
        <v>701</v>
      </c>
      <c r="O64" s="2372">
        <f t="shared" si="0"/>
        <v>26406</v>
      </c>
      <c r="P64" s="867"/>
      <c r="Q64" s="1356"/>
      <c r="R64" s="868"/>
    </row>
    <row r="65" spans="1:18">
      <c r="A65" s="863">
        <v>1995.08</v>
      </c>
      <c r="B65" s="869">
        <v>435308</v>
      </c>
      <c r="C65" s="940"/>
      <c r="D65" s="3616"/>
      <c r="E65" s="940"/>
      <c r="F65" s="870">
        <v>574</v>
      </c>
      <c r="G65" s="871">
        <v>7730</v>
      </c>
      <c r="H65" s="3617">
        <v>7029</v>
      </c>
      <c r="I65" s="871">
        <v>2574</v>
      </c>
      <c r="J65" s="3617">
        <v>10356</v>
      </c>
      <c r="K65" s="871">
        <v>4450</v>
      </c>
      <c r="L65" s="3617">
        <v>2653</v>
      </c>
      <c r="M65" s="871">
        <v>1481</v>
      </c>
      <c r="N65" s="1357">
        <v>846</v>
      </c>
      <c r="O65" s="2372">
        <f t="shared" si="0"/>
        <v>37693</v>
      </c>
      <c r="P65" s="867"/>
      <c r="Q65" s="1356"/>
      <c r="R65" s="868"/>
    </row>
    <row r="66" spans="1:18">
      <c r="A66" s="863">
        <v>1995.09</v>
      </c>
      <c r="B66" s="869">
        <v>535559</v>
      </c>
      <c r="C66" s="940"/>
      <c r="D66" s="3616"/>
      <c r="E66" s="940"/>
      <c r="F66" s="870">
        <v>1010</v>
      </c>
      <c r="G66" s="871">
        <v>6994</v>
      </c>
      <c r="H66" s="3617">
        <v>4637</v>
      </c>
      <c r="I66" s="871">
        <v>1601</v>
      </c>
      <c r="J66" s="3617">
        <v>4307</v>
      </c>
      <c r="K66" s="871">
        <v>2874</v>
      </c>
      <c r="L66" s="3617">
        <v>1241</v>
      </c>
      <c r="M66" s="871">
        <v>2178</v>
      </c>
      <c r="N66" s="1357">
        <v>1359</v>
      </c>
      <c r="O66" s="2372">
        <f t="shared" si="0"/>
        <v>26201</v>
      </c>
      <c r="P66" s="867"/>
      <c r="Q66" s="1356"/>
      <c r="R66" s="868"/>
    </row>
    <row r="67" spans="1:18">
      <c r="A67" s="863">
        <v>1995.1</v>
      </c>
      <c r="B67" s="869">
        <v>449085</v>
      </c>
      <c r="C67" s="940"/>
      <c r="D67" s="3616"/>
      <c r="E67" s="940"/>
      <c r="F67" s="870">
        <v>1109</v>
      </c>
      <c r="G67" s="871">
        <v>7735</v>
      </c>
      <c r="H67" s="3617">
        <v>5930</v>
      </c>
      <c r="I67" s="871">
        <v>5438</v>
      </c>
      <c r="J67" s="3617">
        <v>3379</v>
      </c>
      <c r="K67" s="871">
        <v>4347</v>
      </c>
      <c r="L67" s="3617">
        <v>684</v>
      </c>
      <c r="M67" s="871">
        <v>3554</v>
      </c>
      <c r="N67" s="1357">
        <v>1753</v>
      </c>
      <c r="O67" s="2372">
        <f t="shared" si="0"/>
        <v>33929</v>
      </c>
      <c r="P67" s="867"/>
      <c r="Q67" s="1356"/>
      <c r="R67" s="868"/>
    </row>
    <row r="68" spans="1:18">
      <c r="A68" s="863">
        <v>1995.11</v>
      </c>
      <c r="B68" s="869">
        <v>432609</v>
      </c>
      <c r="C68" s="940"/>
      <c r="D68" s="3616"/>
      <c r="E68" s="940"/>
      <c r="F68" s="870">
        <v>901</v>
      </c>
      <c r="G68" s="871">
        <v>10313</v>
      </c>
      <c r="H68" s="3617">
        <v>4944</v>
      </c>
      <c r="I68" s="871">
        <v>2451</v>
      </c>
      <c r="J68" s="3617">
        <v>3229</v>
      </c>
      <c r="K68" s="871">
        <v>3239</v>
      </c>
      <c r="L68" s="3617">
        <v>586</v>
      </c>
      <c r="M68" s="871">
        <v>4296</v>
      </c>
      <c r="N68" s="1357">
        <v>1214</v>
      </c>
      <c r="O68" s="2372">
        <f t="shared" si="0"/>
        <v>31173</v>
      </c>
      <c r="P68" s="867"/>
      <c r="Q68" s="1356"/>
      <c r="R68" s="868"/>
    </row>
    <row r="69" spans="1:18">
      <c r="A69" s="863">
        <v>1995.12</v>
      </c>
      <c r="B69" s="869">
        <v>439289</v>
      </c>
      <c r="C69" s="940"/>
      <c r="D69" s="3616"/>
      <c r="E69" s="940"/>
      <c r="F69" s="870">
        <v>1767</v>
      </c>
      <c r="G69" s="871">
        <v>13290</v>
      </c>
      <c r="H69" s="3617">
        <v>3904</v>
      </c>
      <c r="I69" s="871">
        <v>1214</v>
      </c>
      <c r="J69" s="3617">
        <v>6904</v>
      </c>
      <c r="K69" s="871">
        <v>2839</v>
      </c>
      <c r="L69" s="3617">
        <v>671</v>
      </c>
      <c r="M69" s="871">
        <v>3929</v>
      </c>
      <c r="N69" s="1357">
        <v>610</v>
      </c>
      <c r="O69" s="2372">
        <f t="shared" si="0"/>
        <v>35128</v>
      </c>
      <c r="P69" s="867"/>
      <c r="Q69" s="1356"/>
      <c r="R69" s="868"/>
    </row>
    <row r="70" spans="1:18">
      <c r="A70" s="863">
        <v>1996.01</v>
      </c>
      <c r="B70" s="869">
        <v>335434</v>
      </c>
      <c r="C70" s="940"/>
      <c r="D70" s="3616"/>
      <c r="E70" s="940"/>
      <c r="F70" s="870">
        <v>891</v>
      </c>
      <c r="G70" s="871">
        <v>3413</v>
      </c>
      <c r="H70" s="3617">
        <v>2578</v>
      </c>
      <c r="I70" s="871">
        <v>0</v>
      </c>
      <c r="J70" s="3617">
        <v>692</v>
      </c>
      <c r="K70" s="871">
        <v>2238</v>
      </c>
      <c r="L70" s="3617">
        <v>1074</v>
      </c>
      <c r="M70" s="871">
        <v>1286</v>
      </c>
      <c r="N70" s="1357">
        <v>1302</v>
      </c>
      <c r="O70" s="2372">
        <f t="shared" si="0"/>
        <v>13474</v>
      </c>
      <c r="P70" s="867"/>
      <c r="Q70" s="1356"/>
      <c r="R70" s="868"/>
    </row>
    <row r="71" spans="1:18">
      <c r="A71" s="863">
        <v>1996.02</v>
      </c>
      <c r="B71" s="869">
        <v>489814</v>
      </c>
      <c r="C71" s="940"/>
      <c r="D71" s="3616"/>
      <c r="E71" s="940"/>
      <c r="F71" s="870">
        <v>480</v>
      </c>
      <c r="G71" s="871">
        <v>4991</v>
      </c>
      <c r="H71" s="3617">
        <v>4432</v>
      </c>
      <c r="I71" s="871">
        <v>3504</v>
      </c>
      <c r="J71" s="3617">
        <v>1197</v>
      </c>
      <c r="K71" s="871">
        <v>2977</v>
      </c>
      <c r="L71" s="3617">
        <v>917</v>
      </c>
      <c r="M71" s="871">
        <v>1813</v>
      </c>
      <c r="N71" s="1357">
        <v>1828</v>
      </c>
      <c r="O71" s="2372">
        <f t="shared" si="0"/>
        <v>22139</v>
      </c>
      <c r="P71" s="867"/>
      <c r="Q71" s="1356"/>
      <c r="R71" s="868"/>
    </row>
    <row r="72" spans="1:18">
      <c r="A72" s="863">
        <v>1996.03</v>
      </c>
      <c r="B72" s="869">
        <v>608278</v>
      </c>
      <c r="C72" s="940"/>
      <c r="D72" s="3616"/>
      <c r="E72" s="940"/>
      <c r="F72" s="870">
        <v>359</v>
      </c>
      <c r="G72" s="871">
        <v>5318</v>
      </c>
      <c r="H72" s="3617">
        <v>5626</v>
      </c>
      <c r="I72" s="871">
        <v>2059</v>
      </c>
      <c r="J72" s="3617">
        <v>4528</v>
      </c>
      <c r="K72" s="871">
        <v>2651</v>
      </c>
      <c r="L72" s="3617">
        <v>861</v>
      </c>
      <c r="M72" s="871">
        <v>3280</v>
      </c>
      <c r="N72" s="1357">
        <v>857</v>
      </c>
      <c r="O72" s="2372">
        <f t="shared" si="0"/>
        <v>25539</v>
      </c>
      <c r="P72" s="867"/>
      <c r="Q72" s="1356"/>
      <c r="R72" s="868"/>
    </row>
    <row r="73" spans="1:18">
      <c r="A73" s="863">
        <v>1996.04</v>
      </c>
      <c r="B73" s="869">
        <v>401679</v>
      </c>
      <c r="C73" s="940"/>
      <c r="D73" s="3616"/>
      <c r="E73" s="940"/>
      <c r="F73" s="870">
        <v>1026</v>
      </c>
      <c r="G73" s="871">
        <v>6578</v>
      </c>
      <c r="H73" s="3617">
        <v>3110</v>
      </c>
      <c r="I73" s="871">
        <v>4084</v>
      </c>
      <c r="J73" s="3617">
        <v>3059</v>
      </c>
      <c r="K73" s="871">
        <v>3724</v>
      </c>
      <c r="L73" s="3617">
        <v>398</v>
      </c>
      <c r="M73" s="871">
        <v>3591</v>
      </c>
      <c r="N73" s="1357">
        <v>519</v>
      </c>
      <c r="O73" s="2372">
        <f t="shared" si="0"/>
        <v>26089</v>
      </c>
      <c r="P73" s="867"/>
      <c r="Q73" s="1356"/>
      <c r="R73" s="868"/>
    </row>
    <row r="74" spans="1:18">
      <c r="A74" s="863">
        <v>1996.05</v>
      </c>
      <c r="B74" s="869">
        <v>389342</v>
      </c>
      <c r="C74" s="940"/>
      <c r="D74" s="3616"/>
      <c r="E74" s="940"/>
      <c r="F74" s="870">
        <v>815</v>
      </c>
      <c r="G74" s="871">
        <v>5266</v>
      </c>
      <c r="H74" s="3617">
        <v>2735</v>
      </c>
      <c r="I74" s="871">
        <v>2909</v>
      </c>
      <c r="J74" s="3617">
        <v>7579</v>
      </c>
      <c r="K74" s="871">
        <v>2712</v>
      </c>
      <c r="L74" s="3617">
        <v>873</v>
      </c>
      <c r="M74" s="871">
        <v>1799</v>
      </c>
      <c r="N74" s="1357">
        <v>2175</v>
      </c>
      <c r="O74" s="2372">
        <f t="shared" si="0"/>
        <v>26863</v>
      </c>
      <c r="P74" s="867"/>
      <c r="Q74" s="1356"/>
      <c r="R74" s="868"/>
    </row>
    <row r="75" spans="1:18">
      <c r="A75" s="863">
        <v>1996.06</v>
      </c>
      <c r="B75" s="869">
        <v>449956</v>
      </c>
      <c r="C75" s="940"/>
      <c r="D75" s="3616"/>
      <c r="E75" s="940"/>
      <c r="F75" s="870">
        <v>1910</v>
      </c>
      <c r="G75" s="871">
        <v>5118</v>
      </c>
      <c r="H75" s="3617">
        <v>3040</v>
      </c>
      <c r="I75" s="871">
        <v>4046</v>
      </c>
      <c r="J75" s="3617">
        <v>4385</v>
      </c>
      <c r="K75" s="871">
        <v>3110</v>
      </c>
      <c r="L75" s="3617">
        <v>1893</v>
      </c>
      <c r="M75" s="871">
        <v>1722</v>
      </c>
      <c r="N75" s="1357">
        <v>2021</v>
      </c>
      <c r="O75" s="2372">
        <f t="shared" ref="O75:O138" si="1">_xlfn.AGGREGATE(9,6,F75:N75)</f>
        <v>27245</v>
      </c>
      <c r="P75" s="867"/>
      <c r="Q75" s="1356"/>
      <c r="R75" s="868"/>
    </row>
    <row r="76" spans="1:18">
      <c r="A76" s="863">
        <v>1996.07</v>
      </c>
      <c r="B76" s="869">
        <v>638884</v>
      </c>
      <c r="C76" s="940"/>
      <c r="D76" s="3616"/>
      <c r="E76" s="940"/>
      <c r="F76" s="870">
        <v>788</v>
      </c>
      <c r="G76" s="871">
        <v>5052</v>
      </c>
      <c r="H76" s="3617">
        <v>4987</v>
      </c>
      <c r="I76" s="871">
        <v>5602</v>
      </c>
      <c r="J76" s="3617">
        <v>4391</v>
      </c>
      <c r="K76" s="871">
        <v>3493</v>
      </c>
      <c r="L76" s="3617">
        <v>2466</v>
      </c>
      <c r="M76" s="871">
        <v>2281</v>
      </c>
      <c r="N76" s="1357">
        <v>655</v>
      </c>
      <c r="O76" s="2372">
        <f t="shared" si="1"/>
        <v>29715</v>
      </c>
      <c r="P76" s="867"/>
      <c r="Q76" s="1356"/>
      <c r="R76" s="868"/>
    </row>
    <row r="77" spans="1:18">
      <c r="A77" s="863">
        <v>1996.08</v>
      </c>
      <c r="B77" s="869">
        <v>491977</v>
      </c>
      <c r="C77" s="940"/>
      <c r="D77" s="3616"/>
      <c r="E77" s="940"/>
      <c r="F77" s="870">
        <v>550</v>
      </c>
      <c r="G77" s="871">
        <v>9320</v>
      </c>
      <c r="H77" s="3617">
        <v>5194</v>
      </c>
      <c r="I77" s="871">
        <v>13822</v>
      </c>
      <c r="J77" s="3617">
        <v>4787</v>
      </c>
      <c r="K77" s="871">
        <v>3793</v>
      </c>
      <c r="L77" s="3617">
        <v>1069</v>
      </c>
      <c r="M77" s="871">
        <v>2157</v>
      </c>
      <c r="N77" s="1357">
        <v>2121</v>
      </c>
      <c r="O77" s="2372">
        <f t="shared" si="1"/>
        <v>42813</v>
      </c>
      <c r="P77" s="867"/>
      <c r="Q77" s="1356"/>
      <c r="R77" s="868"/>
    </row>
    <row r="78" spans="1:18">
      <c r="A78" s="863">
        <v>1996.09</v>
      </c>
      <c r="B78" s="869">
        <v>557991</v>
      </c>
      <c r="C78" s="940"/>
      <c r="D78" s="3616"/>
      <c r="E78" s="940"/>
      <c r="F78" s="870">
        <v>983</v>
      </c>
      <c r="G78" s="871">
        <v>7923</v>
      </c>
      <c r="H78" s="3617">
        <v>5466</v>
      </c>
      <c r="I78" s="871">
        <v>7403</v>
      </c>
      <c r="J78" s="3617">
        <v>3568</v>
      </c>
      <c r="K78" s="871">
        <v>1847</v>
      </c>
      <c r="L78" s="3617">
        <v>1938</v>
      </c>
      <c r="M78" s="871">
        <v>3370</v>
      </c>
      <c r="N78" s="1357">
        <v>4772</v>
      </c>
      <c r="O78" s="2372">
        <f t="shared" si="1"/>
        <v>37270</v>
      </c>
      <c r="P78" s="867"/>
      <c r="Q78" s="1356"/>
      <c r="R78" s="868"/>
    </row>
    <row r="79" spans="1:18">
      <c r="A79" s="863">
        <v>1996.1</v>
      </c>
      <c r="B79" s="869">
        <v>711757</v>
      </c>
      <c r="C79" s="940"/>
      <c r="D79" s="3616"/>
      <c r="E79" s="940"/>
      <c r="F79" s="870">
        <v>772</v>
      </c>
      <c r="G79" s="871">
        <v>11554</v>
      </c>
      <c r="H79" s="3617">
        <v>4584</v>
      </c>
      <c r="I79" s="871">
        <v>5484</v>
      </c>
      <c r="J79" s="3617">
        <v>6776</v>
      </c>
      <c r="K79" s="871">
        <v>2724</v>
      </c>
      <c r="L79" s="3617">
        <v>1010</v>
      </c>
      <c r="M79" s="871">
        <v>8044</v>
      </c>
      <c r="N79" s="1357">
        <v>1908</v>
      </c>
      <c r="O79" s="2372">
        <f t="shared" si="1"/>
        <v>42856</v>
      </c>
      <c r="P79" s="867"/>
      <c r="Q79" s="1356"/>
      <c r="R79" s="868"/>
    </row>
    <row r="80" spans="1:18">
      <c r="A80" s="863">
        <v>1996.11</v>
      </c>
      <c r="B80" s="869">
        <v>443126</v>
      </c>
      <c r="C80" s="940"/>
      <c r="D80" s="3616"/>
      <c r="E80" s="940"/>
      <c r="F80" s="870">
        <v>1141</v>
      </c>
      <c r="G80" s="871">
        <v>4590</v>
      </c>
      <c r="H80" s="3617">
        <v>4604</v>
      </c>
      <c r="I80" s="871">
        <v>7696</v>
      </c>
      <c r="J80" s="3617">
        <v>3340</v>
      </c>
      <c r="K80" s="871">
        <v>2455</v>
      </c>
      <c r="L80" s="3617">
        <v>558</v>
      </c>
      <c r="M80" s="871">
        <v>14484</v>
      </c>
      <c r="N80" s="1357">
        <v>1291</v>
      </c>
      <c r="O80" s="2372">
        <f t="shared" si="1"/>
        <v>40159</v>
      </c>
      <c r="P80" s="867"/>
      <c r="Q80" s="1356"/>
      <c r="R80" s="868"/>
    </row>
    <row r="81" spans="1:18">
      <c r="A81" s="863">
        <v>1996.12</v>
      </c>
      <c r="B81" s="869">
        <v>464151</v>
      </c>
      <c r="C81" s="940"/>
      <c r="D81" s="3616"/>
      <c r="E81" s="940"/>
      <c r="F81" s="870">
        <v>1203</v>
      </c>
      <c r="G81" s="871">
        <v>6806</v>
      </c>
      <c r="H81" s="3617">
        <v>3865</v>
      </c>
      <c r="I81" s="871">
        <v>1236</v>
      </c>
      <c r="J81" s="3617">
        <v>2968</v>
      </c>
      <c r="K81" s="871">
        <v>2356</v>
      </c>
      <c r="L81" s="3617">
        <v>186</v>
      </c>
      <c r="M81" s="871">
        <v>15451</v>
      </c>
      <c r="N81" s="1357">
        <v>1357</v>
      </c>
      <c r="O81" s="2372">
        <f t="shared" si="1"/>
        <v>35428</v>
      </c>
      <c r="P81" s="867"/>
      <c r="Q81" s="1356"/>
      <c r="R81" s="868"/>
    </row>
    <row r="82" spans="1:18">
      <c r="A82" s="863">
        <v>1997.01</v>
      </c>
      <c r="B82" s="869">
        <v>383301</v>
      </c>
      <c r="C82" s="940"/>
      <c r="D82" s="3616"/>
      <c r="E82" s="940"/>
      <c r="F82" s="870">
        <v>938</v>
      </c>
      <c r="G82" s="871">
        <v>11419</v>
      </c>
      <c r="H82" s="3617">
        <v>1637</v>
      </c>
      <c r="I82" s="871">
        <v>0</v>
      </c>
      <c r="J82" s="3617">
        <v>1339</v>
      </c>
      <c r="K82" s="871">
        <v>1176</v>
      </c>
      <c r="L82" s="3617">
        <v>782</v>
      </c>
      <c r="M82" s="871">
        <v>30404</v>
      </c>
      <c r="N82" s="1357">
        <v>755</v>
      </c>
      <c r="O82" s="2372">
        <f t="shared" si="1"/>
        <v>48450</v>
      </c>
      <c r="P82" s="867"/>
      <c r="Q82" s="1356"/>
      <c r="R82" s="868"/>
    </row>
    <row r="83" spans="1:18">
      <c r="A83" s="863">
        <v>1997.02</v>
      </c>
      <c r="B83" s="869">
        <v>403095</v>
      </c>
      <c r="C83" s="940"/>
      <c r="D83" s="3616"/>
      <c r="E83" s="940"/>
      <c r="F83" s="870">
        <v>1474</v>
      </c>
      <c r="G83" s="871">
        <v>3093</v>
      </c>
      <c r="H83" s="3617">
        <v>372</v>
      </c>
      <c r="I83" s="871">
        <v>3311</v>
      </c>
      <c r="J83" s="3617">
        <v>1994</v>
      </c>
      <c r="K83" s="871">
        <v>1139</v>
      </c>
      <c r="L83" s="3617">
        <v>452</v>
      </c>
      <c r="M83" s="871">
        <v>1847</v>
      </c>
      <c r="N83" s="1357">
        <v>1341</v>
      </c>
      <c r="O83" s="2372">
        <f t="shared" si="1"/>
        <v>15023</v>
      </c>
      <c r="P83" s="867"/>
      <c r="Q83" s="1356"/>
      <c r="R83" s="868"/>
    </row>
    <row r="84" spans="1:18">
      <c r="A84" s="863">
        <v>1997.03</v>
      </c>
      <c r="B84" s="869">
        <v>464748</v>
      </c>
      <c r="C84" s="940"/>
      <c r="D84" s="3616"/>
      <c r="E84" s="940"/>
      <c r="F84" s="870">
        <v>792</v>
      </c>
      <c r="G84" s="871">
        <v>9218</v>
      </c>
      <c r="H84" s="3617">
        <v>482</v>
      </c>
      <c r="I84" s="871">
        <v>5382</v>
      </c>
      <c r="J84" s="3617">
        <v>3673</v>
      </c>
      <c r="K84" s="871">
        <v>7298</v>
      </c>
      <c r="L84" s="3617">
        <v>1010</v>
      </c>
      <c r="M84" s="871">
        <v>3204</v>
      </c>
      <c r="N84" s="1357">
        <v>1805</v>
      </c>
      <c r="O84" s="2372">
        <f t="shared" si="1"/>
        <v>32864</v>
      </c>
      <c r="P84" s="867"/>
      <c r="Q84" s="1356"/>
      <c r="R84" s="868"/>
    </row>
    <row r="85" spans="1:18">
      <c r="A85" s="863">
        <v>1997.04</v>
      </c>
      <c r="B85" s="869">
        <v>542956</v>
      </c>
      <c r="C85" s="940"/>
      <c r="D85" s="3616"/>
      <c r="E85" s="940"/>
      <c r="F85" s="870">
        <v>742</v>
      </c>
      <c r="G85" s="871">
        <v>9431</v>
      </c>
      <c r="H85" s="3617">
        <v>3826</v>
      </c>
      <c r="I85" s="871">
        <v>7157</v>
      </c>
      <c r="J85" s="3617">
        <v>3993</v>
      </c>
      <c r="K85" s="871">
        <v>3116</v>
      </c>
      <c r="L85" s="3617">
        <v>1012</v>
      </c>
      <c r="M85" s="871">
        <v>3016</v>
      </c>
      <c r="N85" s="1357">
        <v>2671</v>
      </c>
      <c r="O85" s="2372">
        <f t="shared" si="1"/>
        <v>34964</v>
      </c>
      <c r="P85" s="867"/>
      <c r="Q85" s="1356"/>
      <c r="R85" s="868"/>
    </row>
    <row r="86" spans="1:18">
      <c r="A86" s="863">
        <v>1997.05</v>
      </c>
      <c r="B86" s="869">
        <v>578626</v>
      </c>
      <c r="C86" s="940"/>
      <c r="D86" s="3616"/>
      <c r="E86" s="940"/>
      <c r="F86" s="870">
        <v>651</v>
      </c>
      <c r="G86" s="871">
        <v>10627</v>
      </c>
      <c r="H86" s="3617">
        <v>2875</v>
      </c>
      <c r="I86" s="871">
        <v>3619</v>
      </c>
      <c r="J86" s="3617">
        <v>4649</v>
      </c>
      <c r="K86" s="871">
        <v>1892</v>
      </c>
      <c r="L86" s="3617">
        <v>1212</v>
      </c>
      <c r="M86" s="871">
        <v>2299</v>
      </c>
      <c r="N86" s="1357">
        <v>1526</v>
      </c>
      <c r="O86" s="2372">
        <f t="shared" si="1"/>
        <v>29350</v>
      </c>
      <c r="P86" s="867"/>
      <c r="Q86" s="1356"/>
      <c r="R86" s="868"/>
    </row>
    <row r="87" spans="1:18">
      <c r="A87" s="863">
        <v>1997.06</v>
      </c>
      <c r="B87" s="869">
        <v>531263</v>
      </c>
      <c r="C87" s="940"/>
      <c r="D87" s="3616"/>
      <c r="E87" s="940"/>
      <c r="F87" s="870">
        <v>2379</v>
      </c>
      <c r="G87" s="871">
        <v>4029</v>
      </c>
      <c r="H87" s="3617">
        <v>8574</v>
      </c>
      <c r="I87" s="871">
        <v>200</v>
      </c>
      <c r="J87" s="3617">
        <v>3828</v>
      </c>
      <c r="K87" s="871">
        <v>2023</v>
      </c>
      <c r="L87" s="3617">
        <v>1101</v>
      </c>
      <c r="M87" s="871">
        <v>2899</v>
      </c>
      <c r="N87" s="1357">
        <v>3529</v>
      </c>
      <c r="O87" s="2372">
        <f t="shared" si="1"/>
        <v>28562</v>
      </c>
      <c r="P87" s="867"/>
      <c r="Q87" s="1356"/>
      <c r="R87" s="868"/>
    </row>
    <row r="88" spans="1:18">
      <c r="A88" s="863">
        <v>1997.07</v>
      </c>
      <c r="B88" s="869">
        <v>574938</v>
      </c>
      <c r="C88" s="940"/>
      <c r="D88" s="3616"/>
      <c r="E88" s="940"/>
      <c r="F88" s="870">
        <v>1659</v>
      </c>
      <c r="G88" s="871">
        <v>6483</v>
      </c>
      <c r="H88" s="3617">
        <v>6015</v>
      </c>
      <c r="I88" s="871">
        <v>5547</v>
      </c>
      <c r="J88" s="3617">
        <v>4809</v>
      </c>
      <c r="K88" s="871">
        <v>2432</v>
      </c>
      <c r="L88" s="3617">
        <v>993</v>
      </c>
      <c r="M88" s="871">
        <v>2114</v>
      </c>
      <c r="N88" s="1357">
        <v>1460</v>
      </c>
      <c r="O88" s="2372">
        <f t="shared" si="1"/>
        <v>31512</v>
      </c>
      <c r="P88" s="867"/>
      <c r="Q88" s="1356"/>
      <c r="R88" s="868"/>
    </row>
    <row r="89" spans="1:18">
      <c r="A89" s="863">
        <v>1997.08</v>
      </c>
      <c r="B89" s="869">
        <v>595990</v>
      </c>
      <c r="C89" s="940"/>
      <c r="D89" s="3616"/>
      <c r="E89" s="940"/>
      <c r="F89" s="870">
        <v>1043</v>
      </c>
      <c r="G89" s="871">
        <v>3601</v>
      </c>
      <c r="H89" s="3617">
        <v>2656</v>
      </c>
      <c r="I89" s="871">
        <v>5121</v>
      </c>
      <c r="J89" s="3617">
        <v>2368</v>
      </c>
      <c r="K89" s="871">
        <v>1609</v>
      </c>
      <c r="L89" s="3617">
        <v>736</v>
      </c>
      <c r="M89" s="871">
        <v>2934</v>
      </c>
      <c r="N89" s="1357">
        <v>2082</v>
      </c>
      <c r="O89" s="2372">
        <f t="shared" si="1"/>
        <v>22150</v>
      </c>
      <c r="P89" s="867"/>
      <c r="Q89" s="1356"/>
      <c r="R89" s="868"/>
    </row>
    <row r="90" spans="1:18">
      <c r="A90" s="863">
        <v>1997.09</v>
      </c>
      <c r="B90" s="869">
        <v>575590</v>
      </c>
      <c r="C90" s="940"/>
      <c r="D90" s="3616"/>
      <c r="E90" s="940"/>
      <c r="F90" s="870">
        <v>1834</v>
      </c>
      <c r="G90" s="871">
        <v>26575</v>
      </c>
      <c r="H90" s="3617">
        <v>3655</v>
      </c>
      <c r="I90" s="871">
        <v>4894</v>
      </c>
      <c r="J90" s="3617">
        <v>2782</v>
      </c>
      <c r="K90" s="871">
        <v>2572</v>
      </c>
      <c r="L90" s="3617">
        <v>651</v>
      </c>
      <c r="M90" s="871">
        <v>4336</v>
      </c>
      <c r="N90" s="1357">
        <v>4113</v>
      </c>
      <c r="O90" s="2372">
        <f t="shared" si="1"/>
        <v>51412</v>
      </c>
      <c r="P90" s="867"/>
      <c r="Q90" s="1356"/>
      <c r="R90" s="868"/>
    </row>
    <row r="91" spans="1:18">
      <c r="A91" s="863">
        <v>1997.1</v>
      </c>
      <c r="B91" s="869">
        <v>838250</v>
      </c>
      <c r="C91" s="940"/>
      <c r="D91" s="3616"/>
      <c r="E91" s="940"/>
      <c r="F91" s="870">
        <v>722</v>
      </c>
      <c r="G91" s="871">
        <v>15038</v>
      </c>
      <c r="H91" s="3617">
        <v>2142</v>
      </c>
      <c r="I91" s="871">
        <v>5285</v>
      </c>
      <c r="J91" s="3617">
        <v>3378</v>
      </c>
      <c r="K91" s="871">
        <v>2578</v>
      </c>
      <c r="L91" s="3617">
        <v>1119</v>
      </c>
      <c r="M91" s="871">
        <v>7148</v>
      </c>
      <c r="N91" s="1357">
        <v>2479</v>
      </c>
      <c r="O91" s="2372">
        <f t="shared" si="1"/>
        <v>39889</v>
      </c>
      <c r="P91" s="867"/>
      <c r="Q91" s="1356"/>
      <c r="R91" s="868"/>
    </row>
    <row r="92" spans="1:18">
      <c r="A92" s="863">
        <v>1997.11</v>
      </c>
      <c r="B92" s="869">
        <v>566874</v>
      </c>
      <c r="C92" s="940"/>
      <c r="D92" s="3616"/>
      <c r="E92" s="940"/>
      <c r="F92" s="870">
        <v>2599</v>
      </c>
      <c r="G92" s="871">
        <v>15930</v>
      </c>
      <c r="H92" s="3617">
        <v>1010</v>
      </c>
      <c r="I92" s="871">
        <v>3923</v>
      </c>
      <c r="J92" s="3617">
        <v>7533</v>
      </c>
      <c r="K92" s="871">
        <v>1689</v>
      </c>
      <c r="L92" s="3617">
        <v>1415</v>
      </c>
      <c r="M92" s="871">
        <v>2798</v>
      </c>
      <c r="N92" s="1357">
        <v>3046</v>
      </c>
      <c r="O92" s="2372">
        <f t="shared" si="1"/>
        <v>39943</v>
      </c>
      <c r="P92" s="867"/>
      <c r="Q92" s="1356"/>
      <c r="R92" s="868"/>
    </row>
    <row r="93" spans="1:18">
      <c r="A93" s="863">
        <v>1997.12</v>
      </c>
      <c r="B93" s="869">
        <v>854725</v>
      </c>
      <c r="C93" s="940"/>
      <c r="D93" s="3616"/>
      <c r="E93" s="940"/>
      <c r="F93" s="870">
        <v>532</v>
      </c>
      <c r="G93" s="871">
        <v>5603</v>
      </c>
      <c r="H93" s="3617">
        <v>2827</v>
      </c>
      <c r="I93" s="871">
        <v>3557</v>
      </c>
      <c r="J93" s="3617">
        <v>4520</v>
      </c>
      <c r="K93" s="871">
        <v>3112</v>
      </c>
      <c r="L93" s="3617">
        <v>1001</v>
      </c>
      <c r="M93" s="871">
        <v>6163</v>
      </c>
      <c r="N93" s="1357">
        <v>3931</v>
      </c>
      <c r="O93" s="2372">
        <f t="shared" si="1"/>
        <v>31246</v>
      </c>
      <c r="P93" s="867"/>
      <c r="Q93" s="1356"/>
      <c r="R93" s="868"/>
    </row>
    <row r="94" spans="1:18">
      <c r="A94" s="863">
        <v>1998.01</v>
      </c>
      <c r="B94" s="869">
        <v>448402</v>
      </c>
      <c r="C94" s="940"/>
      <c r="D94" s="3616"/>
      <c r="E94" s="940"/>
      <c r="F94" s="870">
        <v>1983</v>
      </c>
      <c r="G94" s="871">
        <v>16200</v>
      </c>
      <c r="H94" s="3617">
        <v>4516</v>
      </c>
      <c r="I94" s="871">
        <v>0</v>
      </c>
      <c r="J94" s="3617">
        <v>0</v>
      </c>
      <c r="K94" s="871">
        <v>3288</v>
      </c>
      <c r="L94" s="3617">
        <v>440</v>
      </c>
      <c r="M94" s="871">
        <v>3400</v>
      </c>
      <c r="N94" s="1357">
        <v>2970</v>
      </c>
      <c r="O94" s="2372">
        <f t="shared" si="1"/>
        <v>32797</v>
      </c>
      <c r="P94" s="867"/>
      <c r="Q94" s="1356"/>
      <c r="R94" s="868"/>
    </row>
    <row r="95" spans="1:18">
      <c r="A95" s="863">
        <v>1998.02</v>
      </c>
      <c r="B95" s="869">
        <v>745910</v>
      </c>
      <c r="C95" s="940"/>
      <c r="D95" s="3616"/>
      <c r="E95" s="940"/>
      <c r="F95" s="870">
        <v>3107</v>
      </c>
      <c r="G95" s="871">
        <v>4348</v>
      </c>
      <c r="H95" s="3617">
        <v>1703</v>
      </c>
      <c r="I95" s="871">
        <v>4901</v>
      </c>
      <c r="J95" s="3617">
        <v>4962</v>
      </c>
      <c r="K95" s="871">
        <v>2253</v>
      </c>
      <c r="L95" s="3617">
        <v>370</v>
      </c>
      <c r="M95" s="871">
        <v>1664</v>
      </c>
      <c r="N95" s="1357">
        <v>1338</v>
      </c>
      <c r="O95" s="2372">
        <f t="shared" si="1"/>
        <v>24646</v>
      </c>
      <c r="P95" s="867"/>
      <c r="Q95" s="1356"/>
      <c r="R95" s="868"/>
    </row>
    <row r="96" spans="1:18">
      <c r="A96" s="863">
        <v>1998.03</v>
      </c>
      <c r="B96" s="869">
        <v>693558</v>
      </c>
      <c r="C96" s="940"/>
      <c r="D96" s="3616"/>
      <c r="E96" s="940"/>
      <c r="F96" s="870">
        <v>1746</v>
      </c>
      <c r="G96" s="871">
        <v>17194</v>
      </c>
      <c r="H96" s="3617">
        <v>2166</v>
      </c>
      <c r="I96" s="871">
        <v>3744</v>
      </c>
      <c r="J96" s="3617">
        <v>2361</v>
      </c>
      <c r="K96" s="871">
        <v>2174</v>
      </c>
      <c r="L96" s="3617">
        <v>464</v>
      </c>
      <c r="M96" s="871">
        <v>3930</v>
      </c>
      <c r="N96" s="1357">
        <v>3465</v>
      </c>
      <c r="O96" s="2372">
        <f t="shared" si="1"/>
        <v>37244</v>
      </c>
      <c r="P96" s="867"/>
      <c r="Q96" s="1356"/>
      <c r="R96" s="868"/>
    </row>
    <row r="97" spans="1:18">
      <c r="A97" s="863">
        <v>1998.04</v>
      </c>
      <c r="B97" s="869">
        <v>699686</v>
      </c>
      <c r="C97" s="940"/>
      <c r="D97" s="3616"/>
      <c r="E97" s="940"/>
      <c r="F97" s="870">
        <v>4363</v>
      </c>
      <c r="G97" s="871">
        <v>8050</v>
      </c>
      <c r="H97" s="3617">
        <v>2228</v>
      </c>
      <c r="I97" s="871">
        <v>5833</v>
      </c>
      <c r="J97" s="3617">
        <v>4188</v>
      </c>
      <c r="K97" s="871">
        <v>3495</v>
      </c>
      <c r="L97" s="3617">
        <v>1666</v>
      </c>
      <c r="M97" s="871">
        <v>5668</v>
      </c>
      <c r="N97" s="1357">
        <v>1719</v>
      </c>
      <c r="O97" s="2372">
        <f t="shared" si="1"/>
        <v>37210</v>
      </c>
      <c r="P97" s="867"/>
      <c r="Q97" s="1356"/>
      <c r="R97" s="868"/>
    </row>
    <row r="98" spans="1:18">
      <c r="A98" s="863">
        <v>1998.05</v>
      </c>
      <c r="B98" s="869">
        <v>675425</v>
      </c>
      <c r="C98" s="940"/>
      <c r="D98" s="3616"/>
      <c r="E98" s="940"/>
      <c r="F98" s="870">
        <v>1053</v>
      </c>
      <c r="G98" s="871">
        <v>13739</v>
      </c>
      <c r="H98" s="3617">
        <v>1332</v>
      </c>
      <c r="I98" s="871">
        <v>6013</v>
      </c>
      <c r="J98" s="3617">
        <v>8323</v>
      </c>
      <c r="K98" s="871">
        <v>2627</v>
      </c>
      <c r="L98" s="3617">
        <v>804</v>
      </c>
      <c r="M98" s="871">
        <v>3975</v>
      </c>
      <c r="N98" s="1357">
        <v>2419</v>
      </c>
      <c r="O98" s="2372">
        <f t="shared" si="1"/>
        <v>40285</v>
      </c>
      <c r="P98" s="867"/>
      <c r="Q98" s="1356"/>
      <c r="R98" s="868"/>
    </row>
    <row r="99" spans="1:18">
      <c r="A99" s="863">
        <v>1998.06</v>
      </c>
      <c r="B99" s="869">
        <v>586383</v>
      </c>
      <c r="C99" s="940"/>
      <c r="D99" s="3616"/>
      <c r="E99" s="940"/>
      <c r="F99" s="870">
        <v>1799</v>
      </c>
      <c r="G99" s="871">
        <v>24265</v>
      </c>
      <c r="H99" s="3617">
        <v>132</v>
      </c>
      <c r="I99" s="871">
        <v>5259</v>
      </c>
      <c r="J99" s="3617">
        <v>8642</v>
      </c>
      <c r="K99" s="871">
        <v>2924</v>
      </c>
      <c r="L99" s="3617">
        <v>314</v>
      </c>
      <c r="M99" s="871">
        <v>14310</v>
      </c>
      <c r="N99" s="1357">
        <v>2421</v>
      </c>
      <c r="O99" s="2372">
        <f t="shared" si="1"/>
        <v>60066</v>
      </c>
      <c r="P99" s="867"/>
      <c r="Q99" s="1356"/>
      <c r="R99" s="868"/>
    </row>
    <row r="100" spans="1:18">
      <c r="A100" s="863">
        <v>1998.07</v>
      </c>
      <c r="B100" s="869">
        <v>627151</v>
      </c>
      <c r="C100" s="940"/>
      <c r="D100" s="3616"/>
      <c r="E100" s="940"/>
      <c r="F100" s="870">
        <v>2994</v>
      </c>
      <c r="G100" s="871">
        <v>10358</v>
      </c>
      <c r="H100" s="3617">
        <v>3319</v>
      </c>
      <c r="I100" s="871">
        <v>5085</v>
      </c>
      <c r="J100" s="3617">
        <v>3652</v>
      </c>
      <c r="K100" s="871">
        <v>2309</v>
      </c>
      <c r="L100" s="3617">
        <v>1535</v>
      </c>
      <c r="M100" s="871">
        <v>9860</v>
      </c>
      <c r="N100" s="1357">
        <v>3120</v>
      </c>
      <c r="O100" s="2372">
        <f t="shared" si="1"/>
        <v>42232</v>
      </c>
      <c r="P100" s="867"/>
      <c r="Q100" s="1356"/>
      <c r="R100" s="868"/>
    </row>
    <row r="101" spans="1:18">
      <c r="A101" s="863">
        <v>1998.08</v>
      </c>
      <c r="B101" s="869">
        <v>674178</v>
      </c>
      <c r="C101" s="940"/>
      <c r="D101" s="3616"/>
      <c r="E101" s="940"/>
      <c r="F101" s="870">
        <v>2078</v>
      </c>
      <c r="G101" s="871">
        <v>7824</v>
      </c>
      <c r="H101" s="3617">
        <v>1710</v>
      </c>
      <c r="I101" s="871">
        <v>4753</v>
      </c>
      <c r="J101" s="3617">
        <v>7465</v>
      </c>
      <c r="K101" s="871">
        <v>2917</v>
      </c>
      <c r="L101" s="3617">
        <v>1966</v>
      </c>
      <c r="M101" s="871">
        <v>3910</v>
      </c>
      <c r="N101" s="1357">
        <v>4734</v>
      </c>
      <c r="O101" s="2372">
        <f t="shared" si="1"/>
        <v>37357</v>
      </c>
      <c r="P101" s="867"/>
      <c r="Q101" s="1356"/>
      <c r="R101" s="868"/>
    </row>
    <row r="102" spans="1:18">
      <c r="A102" s="863">
        <v>1998.09</v>
      </c>
      <c r="B102" s="869">
        <v>654057</v>
      </c>
      <c r="C102" s="940"/>
      <c r="D102" s="3616"/>
      <c r="E102" s="940"/>
      <c r="F102" s="870">
        <v>2234</v>
      </c>
      <c r="G102" s="871">
        <v>10323</v>
      </c>
      <c r="H102" s="3617">
        <v>310</v>
      </c>
      <c r="I102" s="871">
        <v>8727</v>
      </c>
      <c r="J102" s="3617">
        <v>6087</v>
      </c>
      <c r="K102" s="871">
        <v>7728</v>
      </c>
      <c r="L102" s="3617">
        <v>1311</v>
      </c>
      <c r="M102" s="871">
        <v>6595</v>
      </c>
      <c r="N102" s="1357">
        <v>5365</v>
      </c>
      <c r="O102" s="2372">
        <f t="shared" si="1"/>
        <v>48680</v>
      </c>
      <c r="P102" s="867"/>
      <c r="Q102" s="1356"/>
      <c r="R102" s="868"/>
    </row>
    <row r="103" spans="1:18">
      <c r="A103" s="863">
        <v>1998.1</v>
      </c>
      <c r="B103" s="869">
        <v>631279</v>
      </c>
      <c r="C103" s="940"/>
      <c r="D103" s="3616"/>
      <c r="E103" s="940"/>
      <c r="F103" s="870">
        <v>1123</v>
      </c>
      <c r="G103" s="871">
        <v>8376</v>
      </c>
      <c r="H103" s="3617">
        <v>8553</v>
      </c>
      <c r="I103" s="871">
        <v>4672</v>
      </c>
      <c r="J103" s="3617">
        <v>4523</v>
      </c>
      <c r="K103" s="871">
        <v>4537</v>
      </c>
      <c r="L103" s="3617">
        <v>739</v>
      </c>
      <c r="M103" s="871">
        <v>4147</v>
      </c>
      <c r="N103" s="1357">
        <v>2610</v>
      </c>
      <c r="O103" s="2372">
        <f t="shared" si="1"/>
        <v>39280</v>
      </c>
      <c r="P103" s="867"/>
      <c r="Q103" s="1356"/>
      <c r="R103" s="868"/>
    </row>
    <row r="104" spans="1:18">
      <c r="A104" s="863">
        <v>1998.11</v>
      </c>
      <c r="B104" s="869">
        <v>569205</v>
      </c>
      <c r="C104" s="940"/>
      <c r="D104" s="3616"/>
      <c r="E104" s="940"/>
      <c r="F104" s="870">
        <v>1580</v>
      </c>
      <c r="G104" s="871">
        <v>5611</v>
      </c>
      <c r="H104" s="3617">
        <v>7458</v>
      </c>
      <c r="I104" s="871">
        <v>7103</v>
      </c>
      <c r="J104" s="3617">
        <v>4437</v>
      </c>
      <c r="K104" s="871">
        <v>2338</v>
      </c>
      <c r="L104" s="3617">
        <v>840</v>
      </c>
      <c r="M104" s="871">
        <v>4923</v>
      </c>
      <c r="N104" s="1357">
        <v>3510</v>
      </c>
      <c r="O104" s="2372">
        <f t="shared" si="1"/>
        <v>37800</v>
      </c>
      <c r="P104" s="867"/>
      <c r="Q104" s="1356"/>
      <c r="R104" s="868"/>
    </row>
    <row r="105" spans="1:18">
      <c r="A105" s="863">
        <v>1998.12</v>
      </c>
      <c r="B105" s="869">
        <v>787524</v>
      </c>
      <c r="C105" s="940"/>
      <c r="D105" s="3616"/>
      <c r="E105" s="940"/>
      <c r="F105" s="870">
        <v>2739</v>
      </c>
      <c r="G105" s="871">
        <v>10405</v>
      </c>
      <c r="H105" s="3617">
        <v>7624</v>
      </c>
      <c r="I105" s="871">
        <v>5062</v>
      </c>
      <c r="J105" s="3617">
        <v>5071</v>
      </c>
      <c r="K105" s="871">
        <v>4034</v>
      </c>
      <c r="L105" s="3617">
        <v>875</v>
      </c>
      <c r="M105" s="871">
        <v>4359</v>
      </c>
      <c r="N105" s="1357">
        <v>3815</v>
      </c>
      <c r="O105" s="2372">
        <f t="shared" si="1"/>
        <v>43984</v>
      </c>
      <c r="P105" s="867"/>
      <c r="Q105" s="1356"/>
      <c r="R105" s="868"/>
    </row>
    <row r="106" spans="1:18">
      <c r="A106" s="863">
        <v>1999.01</v>
      </c>
      <c r="B106" s="869">
        <v>443343</v>
      </c>
      <c r="C106" s="940"/>
      <c r="D106" s="3616"/>
      <c r="E106" s="940"/>
      <c r="F106" s="870">
        <v>2705</v>
      </c>
      <c r="G106" s="871">
        <v>8052</v>
      </c>
      <c r="H106" s="3617">
        <v>5088</v>
      </c>
      <c r="I106" s="871">
        <v>2531</v>
      </c>
      <c r="J106" s="3617">
        <v>0</v>
      </c>
      <c r="K106" s="871">
        <v>3215</v>
      </c>
      <c r="L106" s="3617">
        <v>113</v>
      </c>
      <c r="M106" s="871">
        <v>4596</v>
      </c>
      <c r="N106" s="1357">
        <v>426</v>
      </c>
      <c r="O106" s="2372">
        <f t="shared" si="1"/>
        <v>26726</v>
      </c>
      <c r="P106" s="867"/>
      <c r="Q106" s="1356"/>
      <c r="R106" s="868"/>
    </row>
    <row r="107" spans="1:18">
      <c r="A107" s="863">
        <v>1999.02</v>
      </c>
      <c r="B107" s="869">
        <v>548267</v>
      </c>
      <c r="C107" s="940"/>
      <c r="D107" s="3616"/>
      <c r="E107" s="940"/>
      <c r="F107" s="870">
        <v>1698</v>
      </c>
      <c r="G107" s="871">
        <v>17497</v>
      </c>
      <c r="H107" s="3617">
        <v>134</v>
      </c>
      <c r="I107" s="871">
        <v>4407</v>
      </c>
      <c r="J107" s="3617">
        <v>6395</v>
      </c>
      <c r="K107" s="871">
        <v>5846</v>
      </c>
      <c r="L107" s="3617">
        <v>1116</v>
      </c>
      <c r="M107" s="871">
        <v>4047</v>
      </c>
      <c r="N107" s="1357">
        <v>1424</v>
      </c>
      <c r="O107" s="2372">
        <f t="shared" si="1"/>
        <v>42564</v>
      </c>
      <c r="P107" s="867"/>
      <c r="Q107" s="1356"/>
      <c r="R107" s="868"/>
    </row>
    <row r="108" spans="1:18">
      <c r="A108" s="863">
        <v>1999.03</v>
      </c>
      <c r="B108" s="869">
        <v>567530</v>
      </c>
      <c r="C108" s="940"/>
      <c r="D108" s="3616"/>
      <c r="E108" s="940"/>
      <c r="F108" s="870">
        <v>2108</v>
      </c>
      <c r="G108" s="871">
        <v>14895</v>
      </c>
      <c r="H108" s="3617">
        <v>6636</v>
      </c>
      <c r="I108" s="871">
        <v>5369</v>
      </c>
      <c r="J108" s="3617">
        <v>4287</v>
      </c>
      <c r="K108" s="871">
        <v>9376</v>
      </c>
      <c r="L108" s="3617">
        <v>368</v>
      </c>
      <c r="M108" s="871">
        <v>2945</v>
      </c>
      <c r="N108" s="1357">
        <v>2767</v>
      </c>
      <c r="O108" s="2372">
        <f t="shared" si="1"/>
        <v>48751</v>
      </c>
      <c r="P108" s="867"/>
      <c r="Q108" s="1356"/>
      <c r="R108" s="868"/>
    </row>
    <row r="109" spans="1:18">
      <c r="A109" s="863">
        <v>1999.04</v>
      </c>
      <c r="B109" s="869">
        <v>481145</v>
      </c>
      <c r="C109" s="940"/>
      <c r="D109" s="3616"/>
      <c r="E109" s="940"/>
      <c r="F109" s="870">
        <v>1028</v>
      </c>
      <c r="G109" s="871">
        <v>9274</v>
      </c>
      <c r="H109" s="3617">
        <v>5623</v>
      </c>
      <c r="I109" s="871">
        <v>8455</v>
      </c>
      <c r="J109" s="3617">
        <v>5593</v>
      </c>
      <c r="K109" s="871">
        <v>6666</v>
      </c>
      <c r="L109" s="3617">
        <v>939</v>
      </c>
      <c r="M109" s="871">
        <v>4106</v>
      </c>
      <c r="N109" s="1357">
        <v>184</v>
      </c>
      <c r="O109" s="2372">
        <f t="shared" si="1"/>
        <v>41868</v>
      </c>
      <c r="P109" s="867"/>
      <c r="Q109" s="1356"/>
      <c r="R109" s="868"/>
    </row>
    <row r="110" spans="1:18">
      <c r="A110" s="863">
        <v>1999.05</v>
      </c>
      <c r="B110" s="869">
        <v>510985</v>
      </c>
      <c r="C110" s="940"/>
      <c r="D110" s="3616"/>
      <c r="E110" s="940"/>
      <c r="F110" s="870">
        <v>857</v>
      </c>
      <c r="G110" s="871">
        <v>3789</v>
      </c>
      <c r="H110" s="3617">
        <v>4435</v>
      </c>
      <c r="I110" s="871">
        <v>6070</v>
      </c>
      <c r="J110" s="3617">
        <v>5155</v>
      </c>
      <c r="K110" s="871">
        <v>3624</v>
      </c>
      <c r="L110" s="3617">
        <v>474</v>
      </c>
      <c r="M110" s="871">
        <v>3706</v>
      </c>
      <c r="N110" s="1357">
        <v>1558</v>
      </c>
      <c r="O110" s="2372">
        <f t="shared" si="1"/>
        <v>29668</v>
      </c>
      <c r="P110" s="867"/>
      <c r="Q110" s="1356"/>
      <c r="R110" s="868"/>
    </row>
    <row r="111" spans="1:18">
      <c r="A111" s="863">
        <v>1999.06</v>
      </c>
      <c r="B111" s="869">
        <v>554494</v>
      </c>
      <c r="C111" s="940"/>
      <c r="D111" s="3616"/>
      <c r="E111" s="940"/>
      <c r="F111" s="870">
        <v>1564</v>
      </c>
      <c r="G111" s="871">
        <v>11576</v>
      </c>
      <c r="H111" s="3617">
        <v>5197</v>
      </c>
      <c r="I111" s="871">
        <v>11123</v>
      </c>
      <c r="J111" s="3617">
        <v>9639</v>
      </c>
      <c r="K111" s="871">
        <v>4523</v>
      </c>
      <c r="L111" s="3617">
        <v>662</v>
      </c>
      <c r="M111" s="871">
        <v>7951</v>
      </c>
      <c r="N111" s="1357">
        <v>2657</v>
      </c>
      <c r="O111" s="2372">
        <f t="shared" si="1"/>
        <v>54892</v>
      </c>
      <c r="P111" s="867"/>
      <c r="Q111" s="1356"/>
      <c r="R111" s="868"/>
    </row>
    <row r="112" spans="1:18">
      <c r="A112" s="863">
        <v>1999.07</v>
      </c>
      <c r="B112" s="869">
        <v>665134</v>
      </c>
      <c r="C112" s="940"/>
      <c r="D112" s="3616"/>
      <c r="E112" s="940"/>
      <c r="F112" s="870">
        <v>1527</v>
      </c>
      <c r="G112" s="871">
        <v>6604</v>
      </c>
      <c r="H112" s="3617">
        <v>5619</v>
      </c>
      <c r="I112" s="871">
        <v>12316</v>
      </c>
      <c r="J112" s="3617">
        <v>2019</v>
      </c>
      <c r="K112" s="871">
        <v>5802</v>
      </c>
      <c r="L112" s="3617">
        <v>1348</v>
      </c>
      <c r="M112" s="871">
        <v>5329</v>
      </c>
      <c r="N112" s="1357">
        <v>3039</v>
      </c>
      <c r="O112" s="2372">
        <f t="shared" si="1"/>
        <v>43603</v>
      </c>
      <c r="P112" s="867"/>
      <c r="Q112" s="1356"/>
      <c r="R112" s="868"/>
    </row>
    <row r="113" spans="1:18">
      <c r="A113" s="863">
        <v>1999.08</v>
      </c>
      <c r="B113" s="869">
        <v>485922</v>
      </c>
      <c r="C113" s="940"/>
      <c r="D113" s="3616"/>
      <c r="E113" s="940"/>
      <c r="F113" s="870">
        <v>1280</v>
      </c>
      <c r="G113" s="871">
        <v>8750</v>
      </c>
      <c r="H113" s="3617">
        <v>5092</v>
      </c>
      <c r="I113" s="871">
        <v>12003</v>
      </c>
      <c r="J113" s="3617">
        <v>6275</v>
      </c>
      <c r="K113" s="871">
        <v>4053</v>
      </c>
      <c r="L113" s="3617">
        <v>1142</v>
      </c>
      <c r="M113" s="871">
        <v>3537</v>
      </c>
      <c r="N113" s="1357">
        <v>2099</v>
      </c>
      <c r="O113" s="2372">
        <f t="shared" si="1"/>
        <v>44231</v>
      </c>
      <c r="P113" s="867"/>
      <c r="Q113" s="1356"/>
      <c r="R113" s="868"/>
    </row>
    <row r="114" spans="1:18">
      <c r="A114" s="863">
        <v>1999.09</v>
      </c>
      <c r="B114" s="869">
        <v>675139</v>
      </c>
      <c r="C114" s="940"/>
      <c r="D114" s="3616"/>
      <c r="E114" s="940"/>
      <c r="F114" s="870">
        <v>1855</v>
      </c>
      <c r="G114" s="871">
        <v>7990</v>
      </c>
      <c r="H114" s="3617">
        <v>5774</v>
      </c>
      <c r="I114" s="871">
        <v>9412</v>
      </c>
      <c r="J114" s="3617">
        <v>12674</v>
      </c>
      <c r="K114" s="871">
        <v>3806</v>
      </c>
      <c r="L114" s="3617">
        <v>523</v>
      </c>
      <c r="M114" s="871">
        <v>6907</v>
      </c>
      <c r="N114" s="1357">
        <v>5038</v>
      </c>
      <c r="O114" s="2372">
        <f t="shared" si="1"/>
        <v>53979</v>
      </c>
      <c r="P114" s="867"/>
      <c r="Q114" s="1356"/>
      <c r="R114" s="868"/>
    </row>
    <row r="115" spans="1:18">
      <c r="A115" s="863">
        <v>1999.1</v>
      </c>
      <c r="B115" s="869">
        <v>470356</v>
      </c>
      <c r="C115" s="940"/>
      <c r="D115" s="3616"/>
      <c r="E115" s="940"/>
      <c r="F115" s="870">
        <v>1196</v>
      </c>
      <c r="G115" s="871">
        <v>9044</v>
      </c>
      <c r="H115" s="3617">
        <v>4308</v>
      </c>
      <c r="I115" s="871">
        <v>7484</v>
      </c>
      <c r="J115" s="3617">
        <v>6506</v>
      </c>
      <c r="K115" s="871">
        <v>2855</v>
      </c>
      <c r="L115" s="3617">
        <v>1516</v>
      </c>
      <c r="M115" s="871">
        <v>7480</v>
      </c>
      <c r="N115" s="1357">
        <v>3543</v>
      </c>
      <c r="O115" s="2372">
        <f t="shared" si="1"/>
        <v>43932</v>
      </c>
      <c r="P115" s="867"/>
      <c r="Q115" s="1356"/>
      <c r="R115" s="868"/>
    </row>
    <row r="116" spans="1:18">
      <c r="A116" s="863">
        <v>1999.11</v>
      </c>
      <c r="B116" s="869">
        <v>516762</v>
      </c>
      <c r="C116" s="940"/>
      <c r="D116" s="3616"/>
      <c r="E116" s="940"/>
      <c r="F116" s="870">
        <v>1467</v>
      </c>
      <c r="G116" s="871">
        <v>6491</v>
      </c>
      <c r="H116" s="3617">
        <v>4578</v>
      </c>
      <c r="I116" s="871">
        <v>5713</v>
      </c>
      <c r="J116" s="3617">
        <v>9904</v>
      </c>
      <c r="K116" s="871">
        <v>2798</v>
      </c>
      <c r="L116" s="3617">
        <v>1390</v>
      </c>
      <c r="M116" s="871">
        <v>3363</v>
      </c>
      <c r="N116" s="1357">
        <v>1831</v>
      </c>
      <c r="O116" s="2372">
        <f t="shared" si="1"/>
        <v>37535</v>
      </c>
      <c r="P116" s="867"/>
      <c r="Q116" s="1356"/>
      <c r="R116" s="868"/>
    </row>
    <row r="117" spans="1:18">
      <c r="A117" s="863">
        <v>1999.12</v>
      </c>
      <c r="B117" s="869">
        <v>613787</v>
      </c>
      <c r="C117" s="940"/>
      <c r="D117" s="3616"/>
      <c r="E117" s="940"/>
      <c r="F117" s="870">
        <v>982</v>
      </c>
      <c r="G117" s="871">
        <v>6052</v>
      </c>
      <c r="H117" s="3617">
        <v>5115</v>
      </c>
      <c r="I117" s="871">
        <v>8044</v>
      </c>
      <c r="J117" s="3617">
        <v>9056</v>
      </c>
      <c r="K117" s="871">
        <v>2569</v>
      </c>
      <c r="L117" s="3617">
        <v>2713</v>
      </c>
      <c r="M117" s="871">
        <v>18641</v>
      </c>
      <c r="N117" s="1357">
        <v>2588</v>
      </c>
      <c r="O117" s="2372">
        <f t="shared" si="1"/>
        <v>55760</v>
      </c>
      <c r="P117" s="867"/>
      <c r="Q117" s="1356"/>
      <c r="R117" s="868"/>
    </row>
    <row r="118" spans="1:18">
      <c r="A118" s="863">
        <v>2000.01</v>
      </c>
      <c r="B118" s="869">
        <v>411991.5</v>
      </c>
      <c r="C118" s="940"/>
      <c r="D118" s="3616"/>
      <c r="E118" s="940"/>
      <c r="F118" s="870">
        <v>1442</v>
      </c>
      <c r="G118" s="871">
        <v>2772</v>
      </c>
      <c r="H118" s="3617">
        <v>332</v>
      </c>
      <c r="I118" s="871">
        <v>1528</v>
      </c>
      <c r="J118" s="3617">
        <v>3344</v>
      </c>
      <c r="K118" s="871">
        <v>1832</v>
      </c>
      <c r="L118" s="3617">
        <v>1836</v>
      </c>
      <c r="M118" s="871">
        <v>11388</v>
      </c>
      <c r="N118" s="1357">
        <v>4262</v>
      </c>
      <c r="O118" s="2372">
        <f t="shared" si="1"/>
        <v>28736</v>
      </c>
      <c r="P118" s="867"/>
      <c r="Q118" s="1356"/>
      <c r="R118" s="868"/>
    </row>
    <row r="119" spans="1:18">
      <c r="A119" s="863">
        <v>2000.02</v>
      </c>
      <c r="B119" s="869">
        <v>390673</v>
      </c>
      <c r="C119" s="940"/>
      <c r="D119" s="3616"/>
      <c r="E119" s="940"/>
      <c r="F119" s="870">
        <v>2232</v>
      </c>
      <c r="G119" s="871">
        <v>2811</v>
      </c>
      <c r="H119" s="3617">
        <v>3237</v>
      </c>
      <c r="I119" s="871">
        <v>3106</v>
      </c>
      <c r="J119" s="3617">
        <v>4553</v>
      </c>
      <c r="K119" s="871">
        <v>1203</v>
      </c>
      <c r="L119" s="3617">
        <v>1502</v>
      </c>
      <c r="M119" s="871">
        <v>10106</v>
      </c>
      <c r="N119" s="1357">
        <v>4517</v>
      </c>
      <c r="O119" s="2372">
        <f t="shared" si="1"/>
        <v>33267</v>
      </c>
      <c r="P119" s="867"/>
      <c r="Q119" s="1356"/>
      <c r="R119" s="868"/>
    </row>
    <row r="120" spans="1:18">
      <c r="A120" s="863">
        <v>2000.03</v>
      </c>
      <c r="B120" s="869">
        <v>491400</v>
      </c>
      <c r="C120" s="940"/>
      <c r="D120" s="3616"/>
      <c r="E120" s="940"/>
      <c r="F120" s="870">
        <v>1013</v>
      </c>
      <c r="G120" s="871">
        <v>5070</v>
      </c>
      <c r="H120" s="3617">
        <v>6255</v>
      </c>
      <c r="I120" s="871">
        <v>6102</v>
      </c>
      <c r="J120" s="3617">
        <v>5211</v>
      </c>
      <c r="K120" s="871">
        <v>3776</v>
      </c>
      <c r="L120" s="3617">
        <v>1558</v>
      </c>
      <c r="M120" s="871">
        <v>12619</v>
      </c>
      <c r="N120" s="1357">
        <v>893</v>
      </c>
      <c r="O120" s="2372">
        <f t="shared" si="1"/>
        <v>42497</v>
      </c>
      <c r="P120" s="867"/>
      <c r="Q120" s="1356"/>
      <c r="R120" s="868"/>
    </row>
    <row r="121" spans="1:18">
      <c r="A121" s="863">
        <v>2000.04</v>
      </c>
      <c r="B121" s="869">
        <v>474576</v>
      </c>
      <c r="C121" s="940"/>
      <c r="D121" s="3616"/>
      <c r="E121" s="940"/>
      <c r="F121" s="870">
        <v>2042</v>
      </c>
      <c r="G121" s="871">
        <v>3840</v>
      </c>
      <c r="H121" s="3617">
        <v>4686</v>
      </c>
      <c r="I121" s="871">
        <v>5570</v>
      </c>
      <c r="J121" s="3617">
        <v>4268</v>
      </c>
      <c r="K121" s="871">
        <v>2258</v>
      </c>
      <c r="L121" s="3617">
        <v>835</v>
      </c>
      <c r="M121" s="871">
        <v>5040</v>
      </c>
      <c r="N121" s="1357">
        <v>2438</v>
      </c>
      <c r="O121" s="2372">
        <f t="shared" si="1"/>
        <v>30977</v>
      </c>
      <c r="P121" s="867"/>
      <c r="Q121" s="1356"/>
      <c r="R121" s="868"/>
    </row>
    <row r="122" spans="1:18">
      <c r="A122" s="863">
        <v>2000.05</v>
      </c>
      <c r="B122" s="869">
        <v>458275</v>
      </c>
      <c r="C122" s="940"/>
      <c r="D122" s="3616"/>
      <c r="E122" s="940"/>
      <c r="F122" s="870">
        <v>3026</v>
      </c>
      <c r="G122" s="871">
        <v>11289</v>
      </c>
      <c r="H122" s="3617">
        <v>5092</v>
      </c>
      <c r="I122" s="871">
        <v>4652</v>
      </c>
      <c r="J122" s="3617">
        <v>4073</v>
      </c>
      <c r="K122" s="871">
        <v>2344</v>
      </c>
      <c r="L122" s="3617">
        <v>837</v>
      </c>
      <c r="M122" s="871">
        <v>5281</v>
      </c>
      <c r="N122" s="1357">
        <v>2801</v>
      </c>
      <c r="O122" s="2372">
        <f t="shared" si="1"/>
        <v>39395</v>
      </c>
      <c r="P122" s="867"/>
      <c r="Q122" s="1356"/>
      <c r="R122" s="868"/>
    </row>
    <row r="123" spans="1:18">
      <c r="A123" s="863">
        <v>2000.06</v>
      </c>
      <c r="B123" s="869">
        <v>495276</v>
      </c>
      <c r="C123" s="940"/>
      <c r="D123" s="3616"/>
      <c r="E123" s="940"/>
      <c r="F123" s="870">
        <v>1580</v>
      </c>
      <c r="G123" s="871">
        <v>5342</v>
      </c>
      <c r="H123" s="3617">
        <v>2680</v>
      </c>
      <c r="I123" s="871">
        <v>3603</v>
      </c>
      <c r="J123" s="3617">
        <v>4540</v>
      </c>
      <c r="K123" s="871">
        <v>2557</v>
      </c>
      <c r="L123" s="3617">
        <v>1590</v>
      </c>
      <c r="M123" s="871">
        <v>3886</v>
      </c>
      <c r="N123" s="1357">
        <v>4602</v>
      </c>
      <c r="O123" s="2372">
        <f t="shared" si="1"/>
        <v>30380</v>
      </c>
      <c r="P123" s="867"/>
      <c r="Q123" s="1356"/>
      <c r="R123" s="868"/>
    </row>
    <row r="124" spans="1:18">
      <c r="A124" s="863">
        <v>2000.07</v>
      </c>
      <c r="B124" s="869">
        <v>492625</v>
      </c>
      <c r="C124" s="940"/>
      <c r="D124" s="3616"/>
      <c r="E124" s="940"/>
      <c r="F124" s="870">
        <v>2277</v>
      </c>
      <c r="G124" s="871">
        <v>5322</v>
      </c>
      <c r="H124" s="3617">
        <v>1685</v>
      </c>
      <c r="I124" s="871">
        <v>8838</v>
      </c>
      <c r="J124" s="3617">
        <v>4262</v>
      </c>
      <c r="K124" s="871">
        <v>3410</v>
      </c>
      <c r="L124" s="3617">
        <v>2350</v>
      </c>
      <c r="M124" s="871">
        <v>2050</v>
      </c>
      <c r="N124" s="1357">
        <v>2026</v>
      </c>
      <c r="O124" s="2372">
        <f t="shared" si="1"/>
        <v>32220</v>
      </c>
      <c r="P124" s="867"/>
      <c r="Q124" s="1356"/>
      <c r="R124" s="868"/>
    </row>
    <row r="125" spans="1:18">
      <c r="A125" s="863">
        <v>2000.08</v>
      </c>
      <c r="B125" s="869">
        <v>653836</v>
      </c>
      <c r="C125" s="940"/>
      <c r="D125" s="3616"/>
      <c r="E125" s="940"/>
      <c r="F125" s="870">
        <v>2636</v>
      </c>
      <c r="G125" s="871">
        <v>9242</v>
      </c>
      <c r="H125" s="3617">
        <v>1653</v>
      </c>
      <c r="I125" s="871">
        <v>6912</v>
      </c>
      <c r="J125" s="3617">
        <v>6640</v>
      </c>
      <c r="K125" s="871">
        <v>7465</v>
      </c>
      <c r="L125" s="3617">
        <v>1885</v>
      </c>
      <c r="M125" s="871">
        <v>2938</v>
      </c>
      <c r="N125" s="1357">
        <v>3167</v>
      </c>
      <c r="O125" s="2372">
        <f t="shared" si="1"/>
        <v>42538</v>
      </c>
      <c r="P125" s="867"/>
      <c r="Q125" s="1356"/>
      <c r="R125" s="868"/>
    </row>
    <row r="126" spans="1:18">
      <c r="A126" s="863">
        <v>2000.09</v>
      </c>
      <c r="B126" s="869">
        <v>614405</v>
      </c>
      <c r="C126" s="940"/>
      <c r="D126" s="3616"/>
      <c r="E126" s="940"/>
      <c r="F126" s="870">
        <v>2528</v>
      </c>
      <c r="G126" s="871">
        <v>6783</v>
      </c>
      <c r="H126" s="3617">
        <v>4307</v>
      </c>
      <c r="I126" s="871">
        <v>6851</v>
      </c>
      <c r="J126" s="3617">
        <v>3657</v>
      </c>
      <c r="K126" s="871">
        <v>1268</v>
      </c>
      <c r="L126" s="3617">
        <v>980</v>
      </c>
      <c r="M126" s="871">
        <v>3452</v>
      </c>
      <c r="N126" s="1357">
        <v>3424</v>
      </c>
      <c r="O126" s="2372">
        <f t="shared" si="1"/>
        <v>33250</v>
      </c>
      <c r="P126" s="867"/>
      <c r="Q126" s="1356"/>
      <c r="R126" s="868"/>
    </row>
    <row r="127" spans="1:18">
      <c r="A127" s="863">
        <v>2000.1</v>
      </c>
      <c r="B127" s="869">
        <v>540904</v>
      </c>
      <c r="C127" s="940"/>
      <c r="D127" s="3616"/>
      <c r="E127" s="940"/>
      <c r="F127" s="870">
        <v>2769</v>
      </c>
      <c r="G127" s="871">
        <v>5895</v>
      </c>
      <c r="H127" s="3617">
        <v>4751</v>
      </c>
      <c r="I127" s="871">
        <v>5181</v>
      </c>
      <c r="J127" s="3617">
        <v>3933</v>
      </c>
      <c r="K127" s="871">
        <v>2151</v>
      </c>
      <c r="L127" s="3617">
        <v>2022</v>
      </c>
      <c r="M127" s="871">
        <v>2420</v>
      </c>
      <c r="N127" s="1357">
        <v>2461</v>
      </c>
      <c r="O127" s="2372">
        <f t="shared" si="1"/>
        <v>31583</v>
      </c>
      <c r="P127" s="867"/>
      <c r="Q127" s="1356"/>
      <c r="R127" s="868"/>
    </row>
    <row r="128" spans="1:18">
      <c r="A128" s="863">
        <v>2000.11</v>
      </c>
      <c r="B128" s="869">
        <v>580286</v>
      </c>
      <c r="C128" s="940"/>
      <c r="D128" s="3616"/>
      <c r="E128" s="940"/>
      <c r="F128" s="870">
        <v>771</v>
      </c>
      <c r="G128" s="871">
        <v>6481</v>
      </c>
      <c r="H128" s="3617">
        <v>2564</v>
      </c>
      <c r="I128" s="871">
        <v>2606</v>
      </c>
      <c r="J128" s="3617">
        <v>4937</v>
      </c>
      <c r="K128" s="871">
        <v>5092</v>
      </c>
      <c r="L128" s="3617">
        <v>599</v>
      </c>
      <c r="M128" s="871">
        <v>3263</v>
      </c>
      <c r="N128" s="1357">
        <v>1916</v>
      </c>
      <c r="O128" s="2372">
        <f t="shared" si="1"/>
        <v>28229</v>
      </c>
      <c r="P128" s="867"/>
      <c r="Q128" s="1356"/>
      <c r="R128" s="868"/>
    </row>
    <row r="129" spans="1:18">
      <c r="A129" s="863">
        <v>2000.12</v>
      </c>
      <c r="B129" s="869">
        <v>686340.47</v>
      </c>
      <c r="C129" s="940"/>
      <c r="D129" s="3616"/>
      <c r="E129" s="940"/>
      <c r="F129" s="870">
        <v>767</v>
      </c>
      <c r="G129" s="871">
        <v>9326</v>
      </c>
      <c r="H129" s="3617">
        <v>4704</v>
      </c>
      <c r="I129" s="871">
        <v>3266</v>
      </c>
      <c r="J129" s="3617">
        <v>7167</v>
      </c>
      <c r="K129" s="871">
        <v>3673</v>
      </c>
      <c r="L129" s="3617">
        <v>1014</v>
      </c>
      <c r="M129" s="871">
        <v>2949</v>
      </c>
      <c r="N129" s="1357">
        <v>1806</v>
      </c>
      <c r="O129" s="2372">
        <f t="shared" si="1"/>
        <v>34672</v>
      </c>
      <c r="P129" s="867"/>
      <c r="Q129" s="1356"/>
      <c r="R129" s="868"/>
    </row>
    <row r="130" spans="1:18">
      <c r="A130" s="863">
        <v>2001.01</v>
      </c>
      <c r="B130" s="869">
        <v>421722</v>
      </c>
      <c r="C130" s="940"/>
      <c r="D130" s="3616"/>
      <c r="E130" s="940"/>
      <c r="F130" s="870">
        <v>274</v>
      </c>
      <c r="G130" s="871">
        <v>6941</v>
      </c>
      <c r="H130" s="3617">
        <v>0</v>
      </c>
      <c r="I130" s="871">
        <v>4443</v>
      </c>
      <c r="J130" s="3617">
        <v>0</v>
      </c>
      <c r="K130" s="871">
        <v>4840</v>
      </c>
      <c r="L130" s="3617">
        <v>760</v>
      </c>
      <c r="M130" s="871">
        <v>2845</v>
      </c>
      <c r="N130" s="1357">
        <v>2962</v>
      </c>
      <c r="O130" s="2372">
        <f t="shared" si="1"/>
        <v>23065</v>
      </c>
      <c r="P130" s="867"/>
      <c r="Q130" s="1356"/>
      <c r="R130" s="868"/>
    </row>
    <row r="131" spans="1:18">
      <c r="A131" s="863">
        <v>2001.02</v>
      </c>
      <c r="B131" s="869">
        <v>459005</v>
      </c>
      <c r="C131" s="940"/>
      <c r="D131" s="3616"/>
      <c r="E131" s="940"/>
      <c r="F131" s="870">
        <v>1350</v>
      </c>
      <c r="G131" s="871">
        <v>13363</v>
      </c>
      <c r="H131" s="3617">
        <v>745</v>
      </c>
      <c r="I131" s="871">
        <v>9520</v>
      </c>
      <c r="J131" s="3617">
        <v>3004</v>
      </c>
      <c r="K131" s="871">
        <v>2709</v>
      </c>
      <c r="L131" s="3617">
        <v>1081</v>
      </c>
      <c r="M131" s="871">
        <v>2621</v>
      </c>
      <c r="N131" s="1357">
        <v>2664</v>
      </c>
      <c r="O131" s="2372">
        <f t="shared" si="1"/>
        <v>37057</v>
      </c>
      <c r="P131" s="867"/>
      <c r="Q131" s="1356"/>
      <c r="R131" s="868"/>
    </row>
    <row r="132" spans="1:18">
      <c r="A132" s="863">
        <v>2001.03</v>
      </c>
      <c r="B132" s="869">
        <v>581471</v>
      </c>
      <c r="C132" s="940"/>
      <c r="D132" s="3616"/>
      <c r="E132" s="940"/>
      <c r="F132" s="870">
        <v>670</v>
      </c>
      <c r="G132" s="871">
        <v>4238</v>
      </c>
      <c r="H132" s="3617">
        <v>7163</v>
      </c>
      <c r="I132" s="871">
        <v>4407</v>
      </c>
      <c r="J132" s="3617">
        <v>5163</v>
      </c>
      <c r="K132" s="871">
        <v>4856</v>
      </c>
      <c r="L132" s="3617">
        <v>1797</v>
      </c>
      <c r="M132" s="871">
        <v>4643</v>
      </c>
      <c r="N132" s="1357">
        <v>3440</v>
      </c>
      <c r="O132" s="2372">
        <f t="shared" si="1"/>
        <v>36377</v>
      </c>
      <c r="P132" s="867"/>
      <c r="Q132" s="1356"/>
      <c r="R132" s="868"/>
    </row>
    <row r="133" spans="1:18">
      <c r="A133" s="863">
        <v>2001.04</v>
      </c>
      <c r="B133" s="869">
        <v>462968</v>
      </c>
      <c r="C133" s="940"/>
      <c r="D133" s="3616"/>
      <c r="E133" s="940"/>
      <c r="F133" s="870">
        <v>357</v>
      </c>
      <c r="G133" s="871">
        <v>6545</v>
      </c>
      <c r="H133" s="3617">
        <v>3555</v>
      </c>
      <c r="I133" s="871">
        <v>2998</v>
      </c>
      <c r="J133" s="3617">
        <v>1878</v>
      </c>
      <c r="K133" s="871">
        <v>4002</v>
      </c>
      <c r="L133" s="3617">
        <v>1309</v>
      </c>
      <c r="M133" s="871">
        <v>4514</v>
      </c>
      <c r="N133" s="1357">
        <v>2676</v>
      </c>
      <c r="O133" s="2372">
        <f t="shared" si="1"/>
        <v>27834</v>
      </c>
      <c r="P133" s="867"/>
      <c r="Q133" s="1356"/>
      <c r="R133" s="868"/>
    </row>
    <row r="134" spans="1:18">
      <c r="A134" s="863">
        <v>2001.05</v>
      </c>
      <c r="B134" s="869">
        <v>417676</v>
      </c>
      <c r="C134" s="940"/>
      <c r="D134" s="3616"/>
      <c r="E134" s="940"/>
      <c r="F134" s="870">
        <v>2434</v>
      </c>
      <c r="G134" s="871">
        <v>12042</v>
      </c>
      <c r="H134" s="3617">
        <v>4471</v>
      </c>
      <c r="I134" s="871">
        <v>5779</v>
      </c>
      <c r="J134" s="3617">
        <v>3511</v>
      </c>
      <c r="K134" s="871">
        <v>5764</v>
      </c>
      <c r="L134" s="3617">
        <v>2786</v>
      </c>
      <c r="M134" s="871">
        <v>3651</v>
      </c>
      <c r="N134" s="1357">
        <v>3219</v>
      </c>
      <c r="O134" s="2372">
        <f t="shared" si="1"/>
        <v>43657</v>
      </c>
      <c r="P134" s="867"/>
      <c r="Q134" s="1356"/>
      <c r="R134" s="868"/>
    </row>
    <row r="135" spans="1:18">
      <c r="A135" s="863">
        <v>2001.06</v>
      </c>
      <c r="B135" s="869">
        <v>480551</v>
      </c>
      <c r="C135" s="940"/>
      <c r="D135" s="3616"/>
      <c r="E135" s="940"/>
      <c r="F135" s="870">
        <v>1038</v>
      </c>
      <c r="G135" s="871">
        <v>5771</v>
      </c>
      <c r="H135" s="3617">
        <v>3975</v>
      </c>
      <c r="I135" s="871">
        <v>5549</v>
      </c>
      <c r="J135" s="3617">
        <v>3304</v>
      </c>
      <c r="K135" s="871">
        <v>5712</v>
      </c>
      <c r="L135" s="3617">
        <v>993</v>
      </c>
      <c r="M135" s="871">
        <v>2613</v>
      </c>
      <c r="N135" s="1357">
        <v>2454</v>
      </c>
      <c r="O135" s="2372">
        <f t="shared" si="1"/>
        <v>31409</v>
      </c>
      <c r="P135" s="867"/>
      <c r="Q135" s="1356"/>
      <c r="R135" s="868"/>
    </row>
    <row r="136" spans="1:18">
      <c r="A136" s="863">
        <v>2001.07</v>
      </c>
      <c r="B136" s="869">
        <v>468838</v>
      </c>
      <c r="C136" s="940"/>
      <c r="D136" s="3616"/>
      <c r="E136" s="940"/>
      <c r="F136" s="870">
        <v>857</v>
      </c>
      <c r="G136" s="871">
        <v>4533</v>
      </c>
      <c r="H136" s="3617">
        <v>1718</v>
      </c>
      <c r="I136" s="871">
        <v>3879</v>
      </c>
      <c r="J136" s="3617">
        <v>3537</v>
      </c>
      <c r="K136" s="871">
        <v>12522</v>
      </c>
      <c r="L136" s="3617">
        <v>1849</v>
      </c>
      <c r="M136" s="871">
        <v>3155</v>
      </c>
      <c r="N136" s="1357">
        <v>2427</v>
      </c>
      <c r="O136" s="2372">
        <f t="shared" si="1"/>
        <v>34477</v>
      </c>
      <c r="P136" s="867"/>
      <c r="Q136" s="1356"/>
      <c r="R136" s="868"/>
    </row>
    <row r="137" spans="1:18">
      <c r="A137" s="863">
        <v>2001.08</v>
      </c>
      <c r="B137" s="869">
        <v>447622</v>
      </c>
      <c r="C137" s="940"/>
      <c r="D137" s="3616"/>
      <c r="E137" s="940"/>
      <c r="F137" s="870">
        <v>393</v>
      </c>
      <c r="G137" s="871">
        <v>8799</v>
      </c>
      <c r="H137" s="3617">
        <v>3981</v>
      </c>
      <c r="I137" s="871">
        <v>5328</v>
      </c>
      <c r="J137" s="3617">
        <v>2095</v>
      </c>
      <c r="K137" s="871">
        <v>4815</v>
      </c>
      <c r="L137" s="3617">
        <v>1111</v>
      </c>
      <c r="M137" s="871">
        <v>3367</v>
      </c>
      <c r="N137" s="1357">
        <v>2995</v>
      </c>
      <c r="O137" s="2372">
        <f t="shared" si="1"/>
        <v>32884</v>
      </c>
      <c r="P137" s="867"/>
      <c r="Q137" s="1356"/>
      <c r="R137" s="868"/>
    </row>
    <row r="138" spans="1:18">
      <c r="A138" s="863">
        <v>2001.09</v>
      </c>
      <c r="B138" s="869">
        <v>370033</v>
      </c>
      <c r="C138" s="940"/>
      <c r="D138" s="3616"/>
      <c r="E138" s="940"/>
      <c r="F138" s="870">
        <v>2257</v>
      </c>
      <c r="G138" s="871">
        <v>12010</v>
      </c>
      <c r="H138" s="3617">
        <v>3053</v>
      </c>
      <c r="I138" s="871">
        <v>8071</v>
      </c>
      <c r="J138" s="3617">
        <v>3331</v>
      </c>
      <c r="K138" s="871">
        <v>6040</v>
      </c>
      <c r="L138" s="3617">
        <v>956</v>
      </c>
      <c r="M138" s="871">
        <v>7920</v>
      </c>
      <c r="N138" s="1357">
        <v>4016</v>
      </c>
      <c r="O138" s="2372">
        <f t="shared" si="1"/>
        <v>47654</v>
      </c>
      <c r="P138" s="867"/>
      <c r="Q138" s="1356"/>
      <c r="R138" s="868"/>
    </row>
    <row r="139" spans="1:18">
      <c r="A139" s="863">
        <v>2001.1</v>
      </c>
      <c r="B139" s="869">
        <v>299046</v>
      </c>
      <c r="C139" s="940"/>
      <c r="D139" s="3616"/>
      <c r="E139" s="940"/>
      <c r="F139" s="870">
        <v>913</v>
      </c>
      <c r="G139" s="871">
        <v>6273</v>
      </c>
      <c r="H139" s="3617">
        <v>2868</v>
      </c>
      <c r="I139" s="871">
        <v>4254</v>
      </c>
      <c r="J139" s="3617">
        <v>1678</v>
      </c>
      <c r="K139" s="871">
        <v>6423</v>
      </c>
      <c r="L139" s="3617">
        <v>851</v>
      </c>
      <c r="M139" s="871">
        <v>3250</v>
      </c>
      <c r="N139" s="1357">
        <v>1955</v>
      </c>
      <c r="O139" s="2372">
        <f t="shared" ref="O139:O202" si="2">_xlfn.AGGREGATE(9,6,F139:N139)</f>
        <v>28465</v>
      </c>
      <c r="P139" s="867"/>
      <c r="Q139" s="1356"/>
      <c r="R139" s="868"/>
    </row>
    <row r="140" spans="1:18">
      <c r="A140" s="863">
        <v>2001.11</v>
      </c>
      <c r="B140" s="869">
        <v>357539</v>
      </c>
      <c r="C140" s="940"/>
      <c r="D140" s="3616"/>
      <c r="E140" s="940"/>
      <c r="F140" s="870">
        <v>1575</v>
      </c>
      <c r="G140" s="871">
        <v>5099</v>
      </c>
      <c r="H140" s="3617">
        <v>2746</v>
      </c>
      <c r="I140" s="871">
        <v>2263</v>
      </c>
      <c r="J140" s="3617">
        <v>2732</v>
      </c>
      <c r="K140" s="871">
        <v>6717</v>
      </c>
      <c r="L140" s="3617">
        <v>1443</v>
      </c>
      <c r="M140" s="871">
        <v>2522</v>
      </c>
      <c r="N140" s="1357">
        <v>2034</v>
      </c>
      <c r="O140" s="2372">
        <f t="shared" si="2"/>
        <v>27131</v>
      </c>
      <c r="P140" s="867"/>
      <c r="Q140" s="1356"/>
      <c r="R140" s="868"/>
    </row>
    <row r="141" spans="1:18">
      <c r="A141" s="863">
        <v>2001.12</v>
      </c>
      <c r="B141" s="869">
        <v>223630</v>
      </c>
      <c r="C141" s="940"/>
      <c r="D141" s="3616"/>
      <c r="E141" s="940"/>
      <c r="F141" s="870">
        <v>1304</v>
      </c>
      <c r="G141" s="871">
        <v>8403</v>
      </c>
      <c r="H141" s="3617">
        <v>2176</v>
      </c>
      <c r="I141" s="871">
        <v>1595</v>
      </c>
      <c r="J141" s="3617">
        <v>699</v>
      </c>
      <c r="K141" s="871">
        <v>7003</v>
      </c>
      <c r="L141" s="3617">
        <v>336</v>
      </c>
      <c r="M141" s="871">
        <v>1321</v>
      </c>
      <c r="N141" s="1357">
        <v>1496</v>
      </c>
      <c r="O141" s="2372">
        <f t="shared" si="2"/>
        <v>24333</v>
      </c>
      <c r="P141" s="867"/>
      <c r="Q141" s="1356"/>
      <c r="R141" s="868"/>
    </row>
    <row r="142" spans="1:18">
      <c r="A142" s="863">
        <v>2002.01</v>
      </c>
      <c r="B142" s="869">
        <v>127130</v>
      </c>
      <c r="C142" s="940"/>
      <c r="D142" s="3616"/>
      <c r="E142" s="940"/>
      <c r="F142" s="870">
        <v>993</v>
      </c>
      <c r="G142" s="871">
        <v>0</v>
      </c>
      <c r="H142" s="3617">
        <v>476</v>
      </c>
      <c r="I142" s="871">
        <v>2006</v>
      </c>
      <c r="J142" s="3617">
        <v>0</v>
      </c>
      <c r="K142" s="871">
        <v>2788</v>
      </c>
      <c r="L142" s="3617">
        <v>378</v>
      </c>
      <c r="M142" s="871">
        <v>1283</v>
      </c>
      <c r="N142" s="1357">
        <v>1953</v>
      </c>
      <c r="O142" s="2372">
        <f t="shared" si="2"/>
        <v>9877</v>
      </c>
      <c r="P142" s="867"/>
      <c r="Q142" s="1356"/>
      <c r="R142" s="868"/>
    </row>
    <row r="143" spans="1:18">
      <c r="A143" s="863">
        <v>2002.02</v>
      </c>
      <c r="B143" s="869">
        <v>184400</v>
      </c>
      <c r="C143" s="940"/>
      <c r="D143" s="3616"/>
      <c r="E143" s="940"/>
      <c r="F143" s="870">
        <v>490</v>
      </c>
      <c r="G143" s="871">
        <v>19195</v>
      </c>
      <c r="H143" s="3617">
        <v>2445</v>
      </c>
      <c r="I143" s="871">
        <v>855</v>
      </c>
      <c r="J143" s="3617">
        <v>1295</v>
      </c>
      <c r="K143" s="871">
        <v>4620</v>
      </c>
      <c r="L143" s="3617">
        <v>226</v>
      </c>
      <c r="M143" s="871">
        <v>1404</v>
      </c>
      <c r="N143" s="1357">
        <v>930</v>
      </c>
      <c r="O143" s="2372">
        <f t="shared" si="2"/>
        <v>31460</v>
      </c>
      <c r="P143" s="867"/>
      <c r="Q143" s="1356"/>
      <c r="R143" s="868"/>
    </row>
    <row r="144" spans="1:18">
      <c r="A144" s="863">
        <v>2002.03</v>
      </c>
      <c r="B144" s="869">
        <v>287585</v>
      </c>
      <c r="C144" s="940"/>
      <c r="D144" s="3616"/>
      <c r="E144" s="940"/>
      <c r="F144" s="870">
        <v>288</v>
      </c>
      <c r="G144" s="871">
        <v>10122</v>
      </c>
      <c r="H144" s="3617">
        <v>1050</v>
      </c>
      <c r="I144" s="871">
        <v>3627</v>
      </c>
      <c r="J144" s="3617">
        <v>1789</v>
      </c>
      <c r="K144" s="871">
        <v>2873</v>
      </c>
      <c r="L144" s="3617">
        <v>718</v>
      </c>
      <c r="M144" s="871">
        <v>1168</v>
      </c>
      <c r="N144" s="1357">
        <v>912</v>
      </c>
      <c r="O144" s="2372">
        <f t="shared" si="2"/>
        <v>22547</v>
      </c>
      <c r="P144" s="867"/>
      <c r="Q144" s="1356"/>
      <c r="R144" s="868"/>
    </row>
    <row r="145" spans="1:18">
      <c r="A145" s="863">
        <v>2002.04</v>
      </c>
      <c r="B145" s="869">
        <v>232922</v>
      </c>
      <c r="C145" s="940"/>
      <c r="D145" s="3616"/>
      <c r="E145" s="940"/>
      <c r="F145" s="870">
        <v>424</v>
      </c>
      <c r="G145" s="871">
        <v>5814</v>
      </c>
      <c r="H145" s="3617">
        <v>2736</v>
      </c>
      <c r="I145" s="871">
        <v>6295</v>
      </c>
      <c r="J145" s="3617">
        <v>805</v>
      </c>
      <c r="K145" s="871">
        <v>2132</v>
      </c>
      <c r="L145" s="3617">
        <v>1097</v>
      </c>
      <c r="M145" s="871">
        <v>2673</v>
      </c>
      <c r="N145" s="1357">
        <v>1272</v>
      </c>
      <c r="O145" s="2372">
        <f t="shared" si="2"/>
        <v>23248</v>
      </c>
      <c r="P145" s="867"/>
      <c r="Q145" s="1356"/>
      <c r="R145" s="868"/>
    </row>
    <row r="146" spans="1:18">
      <c r="A146" s="863">
        <v>2002.05</v>
      </c>
      <c r="B146" s="869">
        <v>237156</v>
      </c>
      <c r="C146" s="940"/>
      <c r="D146" s="3616"/>
      <c r="E146" s="940"/>
      <c r="F146" s="870">
        <v>1328</v>
      </c>
      <c r="G146" s="871">
        <v>4297</v>
      </c>
      <c r="H146" s="3617">
        <v>2510</v>
      </c>
      <c r="I146" s="871">
        <v>7097</v>
      </c>
      <c r="J146" s="3617">
        <v>2974</v>
      </c>
      <c r="K146" s="871">
        <v>4361</v>
      </c>
      <c r="L146" s="3617">
        <v>1107</v>
      </c>
      <c r="M146" s="871">
        <v>6402</v>
      </c>
      <c r="N146" s="1357">
        <v>2082</v>
      </c>
      <c r="O146" s="2372">
        <f t="shared" si="2"/>
        <v>32158</v>
      </c>
      <c r="P146" s="867"/>
      <c r="Q146" s="1356"/>
      <c r="R146" s="868"/>
    </row>
    <row r="147" spans="1:18">
      <c r="A147" s="863">
        <v>2002.06</v>
      </c>
      <c r="B147" s="869">
        <v>240045</v>
      </c>
      <c r="C147" s="940"/>
      <c r="D147" s="3616"/>
      <c r="E147" s="940"/>
      <c r="F147" s="870">
        <v>1003</v>
      </c>
      <c r="G147" s="871">
        <v>3155</v>
      </c>
      <c r="H147" s="3617">
        <v>6036</v>
      </c>
      <c r="I147" s="871">
        <v>4426</v>
      </c>
      <c r="J147" s="3617">
        <v>1660</v>
      </c>
      <c r="K147" s="871">
        <v>2984</v>
      </c>
      <c r="L147" s="3617">
        <v>1159</v>
      </c>
      <c r="M147" s="871">
        <v>7821</v>
      </c>
      <c r="N147" s="1357">
        <v>1474</v>
      </c>
      <c r="O147" s="2372">
        <f t="shared" si="2"/>
        <v>29718</v>
      </c>
      <c r="P147" s="867"/>
      <c r="Q147" s="1356"/>
      <c r="R147" s="868"/>
    </row>
    <row r="148" spans="1:18">
      <c r="A148" s="863">
        <v>2002.07</v>
      </c>
      <c r="B148" s="869">
        <v>292697</v>
      </c>
      <c r="C148" s="940"/>
      <c r="D148" s="3616"/>
      <c r="E148" s="940"/>
      <c r="F148" s="870">
        <v>3185</v>
      </c>
      <c r="G148" s="871">
        <v>2345</v>
      </c>
      <c r="H148" s="3617">
        <v>3632</v>
      </c>
      <c r="I148" s="871">
        <v>3980</v>
      </c>
      <c r="J148" s="3617">
        <v>1381</v>
      </c>
      <c r="K148" s="871">
        <v>2093</v>
      </c>
      <c r="L148" s="3617">
        <v>828</v>
      </c>
      <c r="M148" s="871">
        <v>7829</v>
      </c>
      <c r="N148" s="1357">
        <v>1644</v>
      </c>
      <c r="O148" s="2372">
        <f t="shared" si="2"/>
        <v>26917</v>
      </c>
      <c r="P148" s="867"/>
      <c r="Q148" s="1356"/>
      <c r="R148" s="868"/>
    </row>
    <row r="149" spans="1:18">
      <c r="A149" s="863">
        <v>2002.08</v>
      </c>
      <c r="B149" s="869">
        <v>261246</v>
      </c>
      <c r="C149" s="940"/>
      <c r="D149" s="3616"/>
      <c r="E149" s="940"/>
      <c r="F149" s="870">
        <v>597</v>
      </c>
      <c r="G149" s="871">
        <v>13877</v>
      </c>
      <c r="H149" s="3617">
        <v>3777</v>
      </c>
      <c r="I149" s="871">
        <v>3712</v>
      </c>
      <c r="J149" s="3617">
        <v>3333</v>
      </c>
      <c r="K149" s="871">
        <v>2124</v>
      </c>
      <c r="L149" s="3617">
        <v>569</v>
      </c>
      <c r="M149" s="871">
        <v>5086</v>
      </c>
      <c r="N149" s="1357">
        <v>2716</v>
      </c>
      <c r="O149" s="2372">
        <f t="shared" si="2"/>
        <v>35791</v>
      </c>
      <c r="P149" s="867"/>
      <c r="Q149" s="1356"/>
      <c r="R149" s="868"/>
    </row>
    <row r="150" spans="1:18">
      <c r="A150" s="863">
        <v>2002.09</v>
      </c>
      <c r="B150" s="869">
        <v>271497</v>
      </c>
      <c r="C150" s="940"/>
      <c r="D150" s="3616"/>
      <c r="E150" s="940"/>
      <c r="F150" s="870">
        <v>2240</v>
      </c>
      <c r="G150" s="871">
        <v>5140</v>
      </c>
      <c r="H150" s="3617">
        <v>2218</v>
      </c>
      <c r="I150" s="871">
        <v>3518</v>
      </c>
      <c r="J150" s="3617">
        <v>1844</v>
      </c>
      <c r="K150" s="871">
        <v>2780</v>
      </c>
      <c r="L150" s="3617">
        <v>1363</v>
      </c>
      <c r="M150" s="871">
        <v>10104</v>
      </c>
      <c r="N150" s="1357">
        <v>4773</v>
      </c>
      <c r="O150" s="2372">
        <f t="shared" si="2"/>
        <v>33980</v>
      </c>
      <c r="P150" s="867"/>
      <c r="Q150" s="1356"/>
      <c r="R150" s="868"/>
    </row>
    <row r="151" spans="1:18">
      <c r="A151" s="863">
        <v>2002.1</v>
      </c>
      <c r="B151" s="869">
        <v>321266</v>
      </c>
      <c r="C151" s="940"/>
      <c r="D151" s="3616"/>
      <c r="E151" s="940"/>
      <c r="F151" s="870">
        <v>1775</v>
      </c>
      <c r="G151" s="871">
        <v>5475</v>
      </c>
      <c r="H151" s="3617">
        <v>876</v>
      </c>
      <c r="I151" s="871">
        <v>6711</v>
      </c>
      <c r="J151" s="3617">
        <v>4202</v>
      </c>
      <c r="K151" s="871">
        <v>3869</v>
      </c>
      <c r="L151" s="3617">
        <v>362</v>
      </c>
      <c r="M151" s="871">
        <v>6601</v>
      </c>
      <c r="N151" s="1357">
        <v>2783</v>
      </c>
      <c r="O151" s="2372">
        <f t="shared" si="2"/>
        <v>32654</v>
      </c>
      <c r="P151" s="867"/>
      <c r="Q151" s="1356"/>
      <c r="R151" s="868"/>
    </row>
    <row r="152" spans="1:18">
      <c r="A152" s="863">
        <v>2002.11</v>
      </c>
      <c r="B152" s="869">
        <v>250306</v>
      </c>
      <c r="C152" s="940"/>
      <c r="D152" s="3616"/>
      <c r="E152" s="940"/>
      <c r="F152" s="870">
        <v>1381</v>
      </c>
      <c r="G152" s="871">
        <v>4427</v>
      </c>
      <c r="H152" s="3617">
        <v>967</v>
      </c>
      <c r="I152" s="871">
        <v>5133</v>
      </c>
      <c r="J152" s="3617">
        <v>7910</v>
      </c>
      <c r="K152" s="871">
        <v>2270</v>
      </c>
      <c r="L152" s="3617">
        <v>992</v>
      </c>
      <c r="M152" s="871">
        <v>5755</v>
      </c>
      <c r="N152" s="1357">
        <v>2940</v>
      </c>
      <c r="O152" s="2372">
        <f t="shared" si="2"/>
        <v>31775</v>
      </c>
      <c r="P152" s="867"/>
      <c r="Q152" s="1356"/>
      <c r="R152" s="868"/>
    </row>
    <row r="153" spans="1:18">
      <c r="A153" s="863">
        <v>2002.12</v>
      </c>
      <c r="B153" s="869">
        <v>331321</v>
      </c>
      <c r="C153" s="940"/>
      <c r="D153" s="3616"/>
      <c r="E153" s="940"/>
      <c r="F153" s="870">
        <v>1530</v>
      </c>
      <c r="G153" s="871">
        <v>11916</v>
      </c>
      <c r="H153" s="3617">
        <v>2585</v>
      </c>
      <c r="I153" s="871">
        <v>433</v>
      </c>
      <c r="J153" s="3617">
        <v>14404</v>
      </c>
      <c r="K153" s="871">
        <v>3732</v>
      </c>
      <c r="L153" s="3617">
        <v>722</v>
      </c>
      <c r="M153" s="871">
        <v>4331</v>
      </c>
      <c r="N153" s="1357">
        <v>4147</v>
      </c>
      <c r="O153" s="2372">
        <f t="shared" si="2"/>
        <v>43800</v>
      </c>
      <c r="P153" s="867"/>
      <c r="Q153" s="1356"/>
      <c r="R153" s="868"/>
    </row>
    <row r="154" spans="1:18">
      <c r="A154" s="863">
        <v>2003.01</v>
      </c>
      <c r="B154" s="869">
        <v>221415</v>
      </c>
      <c r="C154" s="940"/>
      <c r="D154" s="3616"/>
      <c r="E154" s="940"/>
      <c r="F154" s="870">
        <v>1931</v>
      </c>
      <c r="G154" s="871">
        <v>0</v>
      </c>
      <c r="H154" s="3617">
        <v>562</v>
      </c>
      <c r="I154" s="871">
        <v>0</v>
      </c>
      <c r="J154" s="3617">
        <v>0</v>
      </c>
      <c r="K154" s="871">
        <v>2038</v>
      </c>
      <c r="L154" s="3617">
        <v>458</v>
      </c>
      <c r="M154" s="871">
        <v>5576</v>
      </c>
      <c r="N154" s="1357">
        <v>4285</v>
      </c>
      <c r="O154" s="2372">
        <f t="shared" si="2"/>
        <v>14850</v>
      </c>
      <c r="P154" s="867"/>
      <c r="Q154" s="1356"/>
      <c r="R154" s="868"/>
    </row>
    <row r="155" spans="1:18">
      <c r="A155" s="863">
        <v>2003.02</v>
      </c>
      <c r="B155" s="869">
        <v>278421</v>
      </c>
      <c r="C155" s="940"/>
      <c r="D155" s="3616"/>
      <c r="E155" s="940"/>
      <c r="F155" s="870">
        <v>2755</v>
      </c>
      <c r="G155" s="871">
        <v>6322</v>
      </c>
      <c r="H155" s="3617">
        <v>7706</v>
      </c>
      <c r="I155" s="871">
        <v>3593</v>
      </c>
      <c r="J155" s="3617">
        <v>3357</v>
      </c>
      <c r="K155" s="871">
        <v>3598</v>
      </c>
      <c r="L155" s="3617">
        <v>797</v>
      </c>
      <c r="M155" s="871">
        <v>3590</v>
      </c>
      <c r="N155" s="1357">
        <v>2554</v>
      </c>
      <c r="O155" s="2372">
        <f t="shared" si="2"/>
        <v>34272</v>
      </c>
      <c r="P155" s="867"/>
      <c r="Q155" s="1356"/>
      <c r="R155" s="868"/>
    </row>
    <row r="156" spans="1:18">
      <c r="A156" s="863">
        <v>2003.03</v>
      </c>
      <c r="B156" s="869">
        <v>327626</v>
      </c>
      <c r="C156" s="940"/>
      <c r="D156" s="3616"/>
      <c r="E156" s="940"/>
      <c r="F156" s="870">
        <v>2450</v>
      </c>
      <c r="G156" s="871">
        <v>7957</v>
      </c>
      <c r="H156" s="3617">
        <v>2753</v>
      </c>
      <c r="I156" s="871">
        <v>7319</v>
      </c>
      <c r="J156" s="3617">
        <v>2849</v>
      </c>
      <c r="K156" s="871">
        <v>2212</v>
      </c>
      <c r="L156" s="3617">
        <v>499</v>
      </c>
      <c r="M156" s="871">
        <v>6281</v>
      </c>
      <c r="N156" s="1357">
        <v>4620</v>
      </c>
      <c r="O156" s="2372">
        <f t="shared" si="2"/>
        <v>36940</v>
      </c>
      <c r="P156" s="867"/>
      <c r="Q156" s="1356"/>
      <c r="R156" s="868"/>
    </row>
    <row r="157" spans="1:18">
      <c r="A157" s="863">
        <v>2003.04</v>
      </c>
      <c r="B157" s="869">
        <v>340317</v>
      </c>
      <c r="C157" s="940"/>
      <c r="D157" s="3616"/>
      <c r="E157" s="940"/>
      <c r="F157" s="870">
        <v>2776</v>
      </c>
      <c r="G157" s="871">
        <v>6159</v>
      </c>
      <c r="H157" s="3617">
        <v>4483</v>
      </c>
      <c r="I157" s="871">
        <v>5053</v>
      </c>
      <c r="J157" s="3617">
        <v>2435</v>
      </c>
      <c r="K157" s="871">
        <v>2380</v>
      </c>
      <c r="L157" s="3617">
        <v>1200</v>
      </c>
      <c r="M157" s="871">
        <v>9085</v>
      </c>
      <c r="N157" s="1357">
        <v>4424</v>
      </c>
      <c r="O157" s="2372">
        <f t="shared" si="2"/>
        <v>37995</v>
      </c>
      <c r="P157" s="867"/>
      <c r="Q157" s="1356"/>
      <c r="R157" s="868"/>
    </row>
    <row r="158" spans="1:18">
      <c r="A158" s="863">
        <v>2003.05</v>
      </c>
      <c r="B158" s="869">
        <v>452157</v>
      </c>
      <c r="C158" s="940"/>
      <c r="D158" s="3616"/>
      <c r="E158" s="940"/>
      <c r="F158" s="870">
        <v>1155</v>
      </c>
      <c r="G158" s="871">
        <v>5146</v>
      </c>
      <c r="H158" s="3617">
        <v>1699</v>
      </c>
      <c r="I158" s="871">
        <v>3851</v>
      </c>
      <c r="J158" s="3617">
        <v>1159</v>
      </c>
      <c r="K158" s="871">
        <v>1877</v>
      </c>
      <c r="L158" s="3617">
        <v>810</v>
      </c>
      <c r="M158" s="871">
        <v>7066</v>
      </c>
      <c r="N158" s="1357">
        <v>2503</v>
      </c>
      <c r="O158" s="2372">
        <f t="shared" si="2"/>
        <v>25266</v>
      </c>
      <c r="P158" s="867"/>
      <c r="Q158" s="1356"/>
      <c r="R158" s="868"/>
    </row>
    <row r="159" spans="1:18">
      <c r="A159" s="863">
        <v>2003.06</v>
      </c>
      <c r="B159" s="869">
        <v>795816</v>
      </c>
      <c r="C159" s="940"/>
      <c r="D159" s="3616"/>
      <c r="E159" s="940"/>
      <c r="F159" s="870">
        <v>1270</v>
      </c>
      <c r="G159" s="871">
        <v>3813</v>
      </c>
      <c r="H159" s="3617">
        <v>3188</v>
      </c>
      <c r="I159" s="871">
        <v>2872</v>
      </c>
      <c r="J159" s="3617">
        <v>3266</v>
      </c>
      <c r="K159" s="871">
        <v>3934</v>
      </c>
      <c r="L159" s="3617">
        <v>448</v>
      </c>
      <c r="M159" s="871">
        <v>8924</v>
      </c>
      <c r="N159" s="1357">
        <v>3526</v>
      </c>
      <c r="O159" s="2372">
        <f t="shared" si="2"/>
        <v>31241</v>
      </c>
      <c r="P159" s="867"/>
      <c r="Q159" s="1356"/>
      <c r="R159" s="868"/>
    </row>
    <row r="160" spans="1:18">
      <c r="A160" s="863">
        <v>2003.07</v>
      </c>
      <c r="B160" s="869">
        <v>357081</v>
      </c>
      <c r="C160" s="940"/>
      <c r="D160" s="3616"/>
      <c r="E160" s="940"/>
      <c r="F160" s="870">
        <v>2090</v>
      </c>
      <c r="G160" s="871">
        <v>7045</v>
      </c>
      <c r="H160" s="3617">
        <v>1972</v>
      </c>
      <c r="I160" s="871">
        <v>5566</v>
      </c>
      <c r="J160" s="3617">
        <v>1146</v>
      </c>
      <c r="K160" s="871">
        <v>2720</v>
      </c>
      <c r="L160" s="3617">
        <v>522</v>
      </c>
      <c r="M160" s="871">
        <v>8794</v>
      </c>
      <c r="N160" s="1357">
        <v>2758</v>
      </c>
      <c r="O160" s="2372">
        <f t="shared" si="2"/>
        <v>32613</v>
      </c>
      <c r="P160" s="867"/>
      <c r="Q160" s="1356"/>
      <c r="R160" s="868"/>
    </row>
    <row r="161" spans="1:18">
      <c r="A161" s="863">
        <v>2003.08</v>
      </c>
      <c r="B161" s="869">
        <v>373639</v>
      </c>
      <c r="C161" s="940"/>
      <c r="D161" s="3616"/>
      <c r="E161" s="940"/>
      <c r="F161" s="870">
        <v>1700</v>
      </c>
      <c r="G161" s="871">
        <v>3928</v>
      </c>
      <c r="H161" s="3617">
        <v>2661</v>
      </c>
      <c r="I161" s="871">
        <v>1186</v>
      </c>
      <c r="J161" s="3617">
        <v>3881</v>
      </c>
      <c r="K161" s="871">
        <v>2612</v>
      </c>
      <c r="L161" s="3617">
        <v>520</v>
      </c>
      <c r="M161" s="871">
        <v>7086</v>
      </c>
      <c r="N161" s="1357">
        <v>1454</v>
      </c>
      <c r="O161" s="2372">
        <f t="shared" si="2"/>
        <v>25028</v>
      </c>
      <c r="P161" s="867"/>
      <c r="Q161" s="1356"/>
      <c r="R161" s="868"/>
    </row>
    <row r="162" spans="1:18">
      <c r="A162" s="863">
        <v>2003.09</v>
      </c>
      <c r="B162" s="869">
        <v>387682</v>
      </c>
      <c r="C162" s="940"/>
      <c r="D162" s="3616"/>
      <c r="E162" s="940"/>
      <c r="F162" s="870">
        <v>1675</v>
      </c>
      <c r="G162" s="871">
        <v>5243</v>
      </c>
      <c r="H162" s="3617">
        <v>3673</v>
      </c>
      <c r="I162" s="871">
        <v>5383</v>
      </c>
      <c r="J162" s="3617">
        <v>2485</v>
      </c>
      <c r="K162" s="871">
        <v>2553</v>
      </c>
      <c r="L162" s="3617">
        <v>1600</v>
      </c>
      <c r="M162" s="871">
        <v>13215</v>
      </c>
      <c r="N162" s="1357">
        <v>2948</v>
      </c>
      <c r="O162" s="2372">
        <f t="shared" si="2"/>
        <v>38775</v>
      </c>
      <c r="P162" s="867"/>
      <c r="Q162" s="1356"/>
      <c r="R162" s="868"/>
    </row>
    <row r="163" spans="1:18">
      <c r="A163" s="863">
        <v>2003.1</v>
      </c>
      <c r="B163" s="869">
        <v>399427</v>
      </c>
      <c r="C163" s="940"/>
      <c r="D163" s="3616"/>
      <c r="E163" s="940"/>
      <c r="F163" s="870">
        <v>961</v>
      </c>
      <c r="G163" s="871">
        <v>6747</v>
      </c>
      <c r="H163" s="3617">
        <v>2378</v>
      </c>
      <c r="I163" s="871">
        <v>3428</v>
      </c>
      <c r="J163" s="3617">
        <v>1504</v>
      </c>
      <c r="K163" s="871">
        <v>5314</v>
      </c>
      <c r="L163" s="3617">
        <v>1680</v>
      </c>
      <c r="M163" s="871">
        <v>13399</v>
      </c>
      <c r="N163" s="1357">
        <v>2364</v>
      </c>
      <c r="O163" s="2372">
        <f t="shared" si="2"/>
        <v>37775</v>
      </c>
      <c r="P163" s="867"/>
      <c r="Q163" s="1356"/>
      <c r="R163" s="868"/>
    </row>
    <row r="164" spans="1:18">
      <c r="A164" s="863">
        <v>2003.11</v>
      </c>
      <c r="B164" s="869">
        <v>584155</v>
      </c>
      <c r="C164" s="940"/>
      <c r="D164" s="3616"/>
      <c r="E164" s="940"/>
      <c r="F164" s="870">
        <v>3365</v>
      </c>
      <c r="G164" s="871">
        <v>11351</v>
      </c>
      <c r="H164" s="3617">
        <v>3757</v>
      </c>
      <c r="I164" s="871">
        <v>4517</v>
      </c>
      <c r="J164" s="3617">
        <v>1281</v>
      </c>
      <c r="K164" s="871">
        <v>2048</v>
      </c>
      <c r="L164" s="3617">
        <v>364</v>
      </c>
      <c r="M164" s="871">
        <v>5251</v>
      </c>
      <c r="N164" s="1357">
        <v>1981</v>
      </c>
      <c r="O164" s="2372">
        <f t="shared" si="2"/>
        <v>33915</v>
      </c>
      <c r="P164" s="867"/>
      <c r="Q164" s="1356"/>
      <c r="R164" s="868"/>
    </row>
    <row r="165" spans="1:18">
      <c r="A165" s="863">
        <v>2003.12</v>
      </c>
      <c r="B165" s="869">
        <v>468128</v>
      </c>
      <c r="C165" s="940"/>
      <c r="D165" s="3616"/>
      <c r="E165" s="940"/>
      <c r="F165" s="870">
        <v>2089</v>
      </c>
      <c r="G165" s="871">
        <v>5719</v>
      </c>
      <c r="H165" s="3617">
        <v>1778</v>
      </c>
      <c r="I165" s="871">
        <v>3563</v>
      </c>
      <c r="J165" s="3617">
        <v>2303</v>
      </c>
      <c r="K165" s="871">
        <v>4839</v>
      </c>
      <c r="L165" s="3617">
        <v>1955</v>
      </c>
      <c r="M165" s="871">
        <v>10222</v>
      </c>
      <c r="N165" s="1357">
        <v>1317</v>
      </c>
      <c r="O165" s="2372">
        <f t="shared" si="2"/>
        <v>33785</v>
      </c>
      <c r="P165" s="867"/>
      <c r="Q165" s="1356"/>
      <c r="R165" s="868"/>
    </row>
    <row r="166" spans="1:18">
      <c r="A166" s="863">
        <v>2004.01</v>
      </c>
      <c r="B166" s="869">
        <v>364587</v>
      </c>
      <c r="C166" s="940"/>
      <c r="D166" s="3616"/>
      <c r="E166" s="940"/>
      <c r="F166" s="870">
        <v>353</v>
      </c>
      <c r="G166" s="871">
        <v>1517</v>
      </c>
      <c r="H166" s="3617">
        <v>204</v>
      </c>
      <c r="I166" s="871">
        <v>3517</v>
      </c>
      <c r="J166" s="3617">
        <v>926</v>
      </c>
      <c r="K166" s="871">
        <v>823</v>
      </c>
      <c r="L166" s="3617">
        <v>749</v>
      </c>
      <c r="M166" s="871">
        <v>2716</v>
      </c>
      <c r="N166" s="1357">
        <v>2955</v>
      </c>
      <c r="O166" s="2372">
        <f t="shared" si="2"/>
        <v>13760</v>
      </c>
      <c r="P166" s="867"/>
      <c r="Q166" s="1356"/>
      <c r="R166" s="868"/>
    </row>
    <row r="167" spans="1:18">
      <c r="A167" s="863">
        <v>2004.02</v>
      </c>
      <c r="B167" s="869">
        <v>327088</v>
      </c>
      <c r="C167" s="940"/>
      <c r="D167" s="3616"/>
      <c r="E167" s="940"/>
      <c r="F167" s="870">
        <v>1614</v>
      </c>
      <c r="G167" s="871">
        <v>10002</v>
      </c>
      <c r="H167" s="3617">
        <v>633</v>
      </c>
      <c r="I167" s="871">
        <v>3824</v>
      </c>
      <c r="J167" s="3617">
        <v>1291</v>
      </c>
      <c r="K167" s="871">
        <v>2868</v>
      </c>
      <c r="L167" s="3617">
        <v>528</v>
      </c>
      <c r="M167" s="871">
        <v>5719</v>
      </c>
      <c r="N167" s="1357">
        <v>2206</v>
      </c>
      <c r="O167" s="2372">
        <f t="shared" si="2"/>
        <v>28685</v>
      </c>
      <c r="P167" s="867"/>
      <c r="Q167" s="1356"/>
      <c r="R167" s="868"/>
    </row>
    <row r="168" spans="1:18">
      <c r="A168" s="863">
        <v>2004.03</v>
      </c>
      <c r="B168" s="869">
        <v>500987</v>
      </c>
      <c r="C168" s="940"/>
      <c r="D168" s="3616"/>
      <c r="E168" s="940"/>
      <c r="F168" s="870">
        <v>2148</v>
      </c>
      <c r="G168" s="871">
        <v>8167</v>
      </c>
      <c r="H168" s="3617">
        <v>3013</v>
      </c>
      <c r="I168" s="871">
        <v>2442</v>
      </c>
      <c r="J168" s="3617">
        <v>2025</v>
      </c>
      <c r="K168" s="871">
        <v>4653</v>
      </c>
      <c r="L168" s="3617">
        <v>1307</v>
      </c>
      <c r="M168" s="871">
        <v>10414</v>
      </c>
      <c r="N168" s="1357">
        <v>1892</v>
      </c>
      <c r="O168" s="2372">
        <f t="shared" si="2"/>
        <v>36061</v>
      </c>
      <c r="P168" s="867"/>
      <c r="Q168" s="1356"/>
      <c r="R168" s="868"/>
    </row>
    <row r="169" spans="1:18">
      <c r="A169" s="863">
        <v>2004.04</v>
      </c>
      <c r="B169" s="869">
        <v>381955</v>
      </c>
      <c r="C169" s="940"/>
      <c r="D169" s="3616"/>
      <c r="E169" s="940"/>
      <c r="F169" s="870">
        <v>1098</v>
      </c>
      <c r="G169" s="871">
        <v>6579</v>
      </c>
      <c r="H169" s="3617">
        <v>3085</v>
      </c>
      <c r="I169" s="871">
        <v>3411</v>
      </c>
      <c r="J169" s="3617">
        <v>1226</v>
      </c>
      <c r="K169" s="871">
        <v>3441</v>
      </c>
      <c r="L169" s="3617">
        <v>1210</v>
      </c>
      <c r="M169" s="871">
        <v>6073</v>
      </c>
      <c r="N169" s="1357">
        <v>1487</v>
      </c>
      <c r="O169" s="2372">
        <f t="shared" si="2"/>
        <v>27610</v>
      </c>
      <c r="P169" s="867"/>
      <c r="Q169" s="1356"/>
      <c r="R169" s="868"/>
    </row>
    <row r="170" spans="1:18">
      <c r="A170" s="863">
        <v>2004.05</v>
      </c>
      <c r="B170" s="869">
        <v>405586</v>
      </c>
      <c r="C170" s="940"/>
      <c r="D170" s="3616"/>
      <c r="E170" s="940"/>
      <c r="F170" s="870">
        <v>343</v>
      </c>
      <c r="G170" s="871">
        <v>9899</v>
      </c>
      <c r="H170" s="3617">
        <v>4757</v>
      </c>
      <c r="I170" s="871">
        <v>3795</v>
      </c>
      <c r="J170" s="3617">
        <v>2945</v>
      </c>
      <c r="K170" s="871">
        <v>3001</v>
      </c>
      <c r="L170" s="3617">
        <v>1295</v>
      </c>
      <c r="M170" s="871">
        <v>8168</v>
      </c>
      <c r="N170" s="1357">
        <v>1906</v>
      </c>
      <c r="O170" s="2372">
        <f t="shared" si="2"/>
        <v>36109</v>
      </c>
      <c r="P170" s="867"/>
      <c r="Q170" s="1356"/>
      <c r="R170" s="868"/>
    </row>
    <row r="171" spans="1:18">
      <c r="A171" s="863">
        <v>2004.06</v>
      </c>
      <c r="B171" s="869">
        <v>542474</v>
      </c>
      <c r="C171" s="940"/>
      <c r="D171" s="3616"/>
      <c r="E171" s="940"/>
      <c r="F171" s="870">
        <v>1177</v>
      </c>
      <c r="G171" s="871">
        <v>9707</v>
      </c>
      <c r="H171" s="3617">
        <v>4291</v>
      </c>
      <c r="I171" s="871">
        <v>4923</v>
      </c>
      <c r="J171" s="3617">
        <v>3245</v>
      </c>
      <c r="K171" s="871">
        <v>3060</v>
      </c>
      <c r="L171" s="3617">
        <v>2595</v>
      </c>
      <c r="M171" s="871">
        <v>5248</v>
      </c>
      <c r="N171" s="1357">
        <v>1698</v>
      </c>
      <c r="O171" s="2372">
        <f t="shared" si="2"/>
        <v>35944</v>
      </c>
      <c r="P171" s="867"/>
      <c r="Q171" s="1356"/>
      <c r="R171" s="868"/>
    </row>
    <row r="172" spans="1:18">
      <c r="A172" s="863">
        <v>2004.07</v>
      </c>
      <c r="B172" s="869">
        <v>451780</v>
      </c>
      <c r="C172" s="940"/>
      <c r="D172" s="3616"/>
      <c r="E172" s="940"/>
      <c r="F172" s="870">
        <v>2364</v>
      </c>
      <c r="G172" s="871">
        <v>14889</v>
      </c>
      <c r="H172" s="3617">
        <v>3218</v>
      </c>
      <c r="I172" s="871">
        <v>4021</v>
      </c>
      <c r="J172" s="3617">
        <v>2222</v>
      </c>
      <c r="K172" s="871">
        <v>5516</v>
      </c>
      <c r="L172" s="3617">
        <v>1307</v>
      </c>
      <c r="M172" s="871">
        <v>5545</v>
      </c>
      <c r="N172" s="1357">
        <v>3895</v>
      </c>
      <c r="O172" s="2372">
        <f t="shared" si="2"/>
        <v>42977</v>
      </c>
      <c r="P172" s="867"/>
      <c r="Q172" s="1356"/>
      <c r="R172" s="868"/>
    </row>
    <row r="173" spans="1:18">
      <c r="A173" s="863">
        <v>2004.08</v>
      </c>
      <c r="B173" s="869">
        <v>500665</v>
      </c>
      <c r="C173" s="940"/>
      <c r="D173" s="3616"/>
      <c r="E173" s="940"/>
      <c r="F173" s="870">
        <v>1498</v>
      </c>
      <c r="G173" s="871">
        <v>22021</v>
      </c>
      <c r="H173" s="3617">
        <v>2794</v>
      </c>
      <c r="I173" s="871">
        <v>6374</v>
      </c>
      <c r="J173" s="3617">
        <v>4110</v>
      </c>
      <c r="K173" s="871">
        <v>2078</v>
      </c>
      <c r="L173" s="3617">
        <v>2541</v>
      </c>
      <c r="M173" s="871">
        <v>4887</v>
      </c>
      <c r="N173" s="1357">
        <v>2523</v>
      </c>
      <c r="O173" s="2372">
        <f t="shared" si="2"/>
        <v>48826</v>
      </c>
      <c r="P173" s="867"/>
      <c r="Q173" s="1356"/>
      <c r="R173" s="868"/>
    </row>
    <row r="174" spans="1:18">
      <c r="A174" s="863">
        <v>2004.09</v>
      </c>
      <c r="B174" s="869">
        <v>630549</v>
      </c>
      <c r="C174" s="940"/>
      <c r="D174" s="3616"/>
      <c r="E174" s="940"/>
      <c r="F174" s="870">
        <v>1526</v>
      </c>
      <c r="G174" s="871">
        <v>16449</v>
      </c>
      <c r="H174" s="3617">
        <v>3716</v>
      </c>
      <c r="I174" s="871">
        <v>7749</v>
      </c>
      <c r="J174" s="3617">
        <v>3625</v>
      </c>
      <c r="K174" s="871">
        <v>7196</v>
      </c>
      <c r="L174" s="3617">
        <v>984</v>
      </c>
      <c r="M174" s="871">
        <v>8718</v>
      </c>
      <c r="N174" s="1357">
        <v>2429</v>
      </c>
      <c r="O174" s="2372">
        <f t="shared" si="2"/>
        <v>52392</v>
      </c>
      <c r="P174" s="867"/>
      <c r="Q174" s="1356"/>
      <c r="R174" s="868"/>
    </row>
    <row r="175" spans="1:18">
      <c r="A175" s="863">
        <v>2004.1</v>
      </c>
      <c r="B175" s="869">
        <v>589511</v>
      </c>
      <c r="C175" s="940"/>
      <c r="D175" s="3616"/>
      <c r="E175" s="940"/>
      <c r="F175" s="870">
        <v>2376</v>
      </c>
      <c r="G175" s="871">
        <v>9138</v>
      </c>
      <c r="H175" s="3617">
        <v>3563</v>
      </c>
      <c r="I175" s="871">
        <v>3033</v>
      </c>
      <c r="J175" s="3617">
        <v>5675</v>
      </c>
      <c r="K175" s="871">
        <v>7170</v>
      </c>
      <c r="L175" s="3617">
        <v>1402</v>
      </c>
      <c r="M175" s="871">
        <v>7809</v>
      </c>
      <c r="N175" s="1357">
        <v>2454</v>
      </c>
      <c r="O175" s="2372">
        <f t="shared" si="2"/>
        <v>42620</v>
      </c>
      <c r="P175" s="867"/>
      <c r="Q175" s="1356"/>
      <c r="R175" s="868"/>
    </row>
    <row r="176" spans="1:18">
      <c r="A176" s="863">
        <v>2004.11</v>
      </c>
      <c r="B176" s="869">
        <v>562669</v>
      </c>
      <c r="C176" s="940"/>
      <c r="D176" s="3616"/>
      <c r="E176" s="940"/>
      <c r="F176" s="870">
        <v>2018</v>
      </c>
      <c r="G176" s="871">
        <v>10864</v>
      </c>
      <c r="H176" s="3617">
        <v>2263</v>
      </c>
      <c r="I176" s="871">
        <v>6374</v>
      </c>
      <c r="J176" s="3617">
        <v>1132</v>
      </c>
      <c r="K176" s="871">
        <v>3657</v>
      </c>
      <c r="L176" s="3617">
        <v>1469</v>
      </c>
      <c r="M176" s="871">
        <v>4129</v>
      </c>
      <c r="N176" s="1357">
        <v>3725</v>
      </c>
      <c r="O176" s="2372">
        <f t="shared" si="2"/>
        <v>35631</v>
      </c>
      <c r="P176" s="867"/>
      <c r="Q176" s="1356"/>
      <c r="R176" s="868"/>
    </row>
    <row r="177" spans="1:18">
      <c r="A177" s="863">
        <v>2004.12</v>
      </c>
      <c r="B177" s="869">
        <v>498701</v>
      </c>
      <c r="C177" s="940"/>
      <c r="D177" s="3616"/>
      <c r="E177" s="940"/>
      <c r="F177" s="870">
        <v>3247</v>
      </c>
      <c r="G177" s="871">
        <v>12081</v>
      </c>
      <c r="H177" s="3617">
        <v>4244</v>
      </c>
      <c r="I177" s="871">
        <v>9284</v>
      </c>
      <c r="J177" s="3617">
        <v>3492</v>
      </c>
      <c r="K177" s="871">
        <v>2932</v>
      </c>
      <c r="L177" s="3617">
        <v>1034</v>
      </c>
      <c r="M177" s="871">
        <v>7272</v>
      </c>
      <c r="N177" s="1357">
        <v>2469</v>
      </c>
      <c r="O177" s="2372">
        <f t="shared" si="2"/>
        <v>46055</v>
      </c>
      <c r="P177" s="867"/>
      <c r="Q177" s="1356"/>
      <c r="R177" s="868"/>
    </row>
    <row r="178" spans="1:18">
      <c r="A178" s="863">
        <v>2005.01</v>
      </c>
      <c r="B178" s="869">
        <v>569799</v>
      </c>
      <c r="C178" s="940"/>
      <c r="D178" s="3616"/>
      <c r="E178" s="940"/>
      <c r="F178" s="870">
        <v>1947</v>
      </c>
      <c r="G178" s="871">
        <v>0</v>
      </c>
      <c r="H178" s="3617">
        <v>1625</v>
      </c>
      <c r="I178" s="871">
        <v>9311</v>
      </c>
      <c r="J178" s="3617">
        <v>1901</v>
      </c>
      <c r="K178" s="871">
        <v>4356</v>
      </c>
      <c r="L178" s="3617">
        <v>2833</v>
      </c>
      <c r="M178" s="871">
        <v>3784</v>
      </c>
      <c r="N178" s="1357">
        <v>1469</v>
      </c>
      <c r="O178" s="2372">
        <f t="shared" si="2"/>
        <v>27226</v>
      </c>
      <c r="P178" s="867"/>
      <c r="Q178" s="1356"/>
      <c r="R178" s="868"/>
    </row>
    <row r="179" spans="1:18">
      <c r="A179" s="863">
        <v>2005.02</v>
      </c>
      <c r="B179" s="869">
        <v>406736</v>
      </c>
      <c r="C179" s="940"/>
      <c r="D179" s="3616"/>
      <c r="E179" s="940"/>
      <c r="F179" s="870">
        <v>883</v>
      </c>
      <c r="G179" s="871">
        <v>10654</v>
      </c>
      <c r="H179" s="3617">
        <v>753</v>
      </c>
      <c r="I179" s="871">
        <v>0</v>
      </c>
      <c r="J179" s="3617">
        <v>1387</v>
      </c>
      <c r="K179" s="871">
        <v>1682</v>
      </c>
      <c r="L179" s="3617">
        <v>790</v>
      </c>
      <c r="M179" s="871">
        <v>6995</v>
      </c>
      <c r="N179" s="1357">
        <v>3542</v>
      </c>
      <c r="O179" s="2372">
        <f t="shared" si="2"/>
        <v>26686</v>
      </c>
      <c r="P179" s="867"/>
      <c r="Q179" s="1356"/>
      <c r="R179" s="868"/>
    </row>
    <row r="180" spans="1:18">
      <c r="A180" s="863">
        <v>2005.03</v>
      </c>
      <c r="B180" s="869">
        <v>565203</v>
      </c>
      <c r="C180" s="940"/>
      <c r="D180" s="3616"/>
      <c r="E180" s="940"/>
      <c r="F180" s="870">
        <v>1105</v>
      </c>
      <c r="G180" s="871">
        <v>8852</v>
      </c>
      <c r="H180" s="3617">
        <v>5362</v>
      </c>
      <c r="I180" s="871">
        <v>9474</v>
      </c>
      <c r="J180" s="3617">
        <v>4203</v>
      </c>
      <c r="K180" s="871">
        <v>5001</v>
      </c>
      <c r="L180" s="3617">
        <v>2463</v>
      </c>
      <c r="M180" s="871">
        <v>6521</v>
      </c>
      <c r="N180" s="1357">
        <v>3428</v>
      </c>
      <c r="O180" s="2372">
        <f t="shared" si="2"/>
        <v>46409</v>
      </c>
      <c r="P180" s="867"/>
      <c r="Q180" s="1356"/>
      <c r="R180" s="868"/>
    </row>
    <row r="181" spans="1:18">
      <c r="A181" s="863">
        <v>2005.04</v>
      </c>
      <c r="B181" s="869">
        <v>611311</v>
      </c>
      <c r="C181" s="940"/>
      <c r="D181" s="3616"/>
      <c r="E181" s="940"/>
      <c r="F181" s="870">
        <v>3593</v>
      </c>
      <c r="G181" s="871">
        <v>18694</v>
      </c>
      <c r="H181" s="3617">
        <v>5067</v>
      </c>
      <c r="I181" s="871">
        <v>5704</v>
      </c>
      <c r="J181" s="3617">
        <v>3942</v>
      </c>
      <c r="K181" s="871">
        <v>3940</v>
      </c>
      <c r="L181" s="3617">
        <v>1938</v>
      </c>
      <c r="M181" s="871">
        <v>2418</v>
      </c>
      <c r="N181" s="1357">
        <v>3035</v>
      </c>
      <c r="O181" s="2372">
        <f t="shared" si="2"/>
        <v>48331</v>
      </c>
      <c r="P181" s="867"/>
      <c r="Q181" s="1356"/>
      <c r="R181" s="868"/>
    </row>
    <row r="182" spans="1:18">
      <c r="A182" s="863">
        <v>2005.05</v>
      </c>
      <c r="B182" s="869">
        <v>674222</v>
      </c>
      <c r="C182" s="940"/>
      <c r="D182" s="3616"/>
      <c r="E182" s="940"/>
      <c r="F182" s="870">
        <v>2451</v>
      </c>
      <c r="G182" s="871">
        <v>12950</v>
      </c>
      <c r="H182" s="3617">
        <v>4371</v>
      </c>
      <c r="I182" s="871">
        <v>6265</v>
      </c>
      <c r="J182" s="3617">
        <v>8346</v>
      </c>
      <c r="K182" s="871">
        <v>4972</v>
      </c>
      <c r="L182" s="3617">
        <v>1420</v>
      </c>
      <c r="M182" s="871">
        <v>6927</v>
      </c>
      <c r="N182" s="1357">
        <v>3940</v>
      </c>
      <c r="O182" s="2372">
        <f t="shared" si="2"/>
        <v>51642</v>
      </c>
      <c r="P182" s="867"/>
      <c r="Q182" s="1356"/>
      <c r="R182" s="868"/>
    </row>
    <row r="183" spans="1:18">
      <c r="A183" s="863">
        <v>2005.06</v>
      </c>
      <c r="B183" s="869">
        <v>789441</v>
      </c>
      <c r="C183" s="940"/>
      <c r="D183" s="3616"/>
      <c r="E183" s="940"/>
      <c r="F183" s="870">
        <v>1762</v>
      </c>
      <c r="G183" s="871">
        <v>21960</v>
      </c>
      <c r="H183" s="3617">
        <v>3416</v>
      </c>
      <c r="I183" s="871">
        <v>6525</v>
      </c>
      <c r="J183" s="3617">
        <v>3095</v>
      </c>
      <c r="K183" s="871">
        <v>6096</v>
      </c>
      <c r="L183" s="3617">
        <v>3314</v>
      </c>
      <c r="M183" s="871">
        <v>10085</v>
      </c>
      <c r="N183" s="1357">
        <v>2746</v>
      </c>
      <c r="O183" s="2372">
        <f t="shared" si="2"/>
        <v>58999</v>
      </c>
      <c r="P183" s="867"/>
      <c r="Q183" s="1356"/>
      <c r="R183" s="868"/>
    </row>
    <row r="184" spans="1:18">
      <c r="A184" s="863">
        <v>2005.07</v>
      </c>
      <c r="B184" s="869">
        <v>637772</v>
      </c>
      <c r="C184" s="940"/>
      <c r="D184" s="3616"/>
      <c r="E184" s="940"/>
      <c r="F184" s="870">
        <v>1988</v>
      </c>
      <c r="G184" s="871">
        <v>13295</v>
      </c>
      <c r="H184" s="3617">
        <v>6105</v>
      </c>
      <c r="I184" s="871">
        <v>5046</v>
      </c>
      <c r="J184" s="3617">
        <v>3327</v>
      </c>
      <c r="K184" s="871">
        <v>4966</v>
      </c>
      <c r="L184" s="3617">
        <v>2438</v>
      </c>
      <c r="M184" s="871">
        <v>5339</v>
      </c>
      <c r="N184" s="1357">
        <v>5077</v>
      </c>
      <c r="O184" s="2372">
        <f t="shared" si="2"/>
        <v>47581</v>
      </c>
      <c r="P184" s="867"/>
      <c r="Q184" s="1356"/>
      <c r="R184" s="868"/>
    </row>
    <row r="185" spans="1:18">
      <c r="A185" s="863">
        <v>2005.08</v>
      </c>
      <c r="B185" s="869">
        <v>602838</v>
      </c>
      <c r="C185" s="940"/>
      <c r="D185" s="3616"/>
      <c r="E185" s="940"/>
      <c r="F185" s="870">
        <v>1968</v>
      </c>
      <c r="G185" s="871">
        <v>15010</v>
      </c>
      <c r="H185" s="3617">
        <v>6173</v>
      </c>
      <c r="I185" s="871">
        <v>3849</v>
      </c>
      <c r="J185" s="3617">
        <v>2790</v>
      </c>
      <c r="K185" s="871">
        <v>6527</v>
      </c>
      <c r="L185" s="3617">
        <v>2135</v>
      </c>
      <c r="M185" s="871">
        <v>10590</v>
      </c>
      <c r="N185" s="1357">
        <v>5137</v>
      </c>
      <c r="O185" s="2372">
        <f t="shared" si="2"/>
        <v>54179</v>
      </c>
      <c r="P185" s="867"/>
      <c r="Q185" s="1356"/>
      <c r="R185" s="868"/>
    </row>
    <row r="186" spans="1:18">
      <c r="A186" s="863">
        <v>2005.09</v>
      </c>
      <c r="B186" s="869">
        <v>712229</v>
      </c>
      <c r="C186" s="940"/>
      <c r="D186" s="3616"/>
      <c r="E186" s="940"/>
      <c r="F186" s="870">
        <v>1030</v>
      </c>
      <c r="G186" s="871">
        <v>12868</v>
      </c>
      <c r="H186" s="3617">
        <v>10626</v>
      </c>
      <c r="I186" s="871">
        <v>4372</v>
      </c>
      <c r="J186" s="3617">
        <v>7564</v>
      </c>
      <c r="K186" s="871">
        <v>3656</v>
      </c>
      <c r="L186" s="3617">
        <v>2957</v>
      </c>
      <c r="M186" s="871">
        <v>6630</v>
      </c>
      <c r="N186" s="1357">
        <v>2567</v>
      </c>
      <c r="O186" s="2372">
        <f t="shared" si="2"/>
        <v>52270</v>
      </c>
      <c r="P186" s="867"/>
      <c r="Q186" s="1356"/>
      <c r="R186" s="868"/>
    </row>
    <row r="187" spans="1:18">
      <c r="A187" s="863">
        <v>2005.1</v>
      </c>
      <c r="B187" s="869">
        <v>629659</v>
      </c>
      <c r="C187" s="940"/>
      <c r="D187" s="3616"/>
      <c r="E187" s="940"/>
      <c r="F187" s="870">
        <v>2517</v>
      </c>
      <c r="G187" s="871">
        <v>20799</v>
      </c>
      <c r="H187" s="3617">
        <v>5499</v>
      </c>
      <c r="I187" s="871">
        <v>8462</v>
      </c>
      <c r="J187" s="3617">
        <v>2060</v>
      </c>
      <c r="K187" s="871">
        <v>4969</v>
      </c>
      <c r="L187" s="3617">
        <v>1641</v>
      </c>
      <c r="M187" s="871">
        <v>6609</v>
      </c>
      <c r="N187" s="1357">
        <v>5128</v>
      </c>
      <c r="O187" s="2372">
        <f t="shared" si="2"/>
        <v>57684</v>
      </c>
      <c r="P187" s="867"/>
      <c r="Q187" s="1356"/>
      <c r="R187" s="868"/>
    </row>
    <row r="188" spans="1:18">
      <c r="A188" s="863">
        <v>2005.11</v>
      </c>
      <c r="B188" s="869">
        <v>889630</v>
      </c>
      <c r="C188" s="940"/>
      <c r="D188" s="3616"/>
      <c r="E188" s="940"/>
      <c r="F188" s="870">
        <v>1789</v>
      </c>
      <c r="G188" s="871">
        <v>9773</v>
      </c>
      <c r="H188" s="3617">
        <v>12133</v>
      </c>
      <c r="I188" s="871">
        <v>10832</v>
      </c>
      <c r="J188" s="3617">
        <v>2956</v>
      </c>
      <c r="K188" s="871">
        <v>4037</v>
      </c>
      <c r="L188" s="3617">
        <v>3758</v>
      </c>
      <c r="M188" s="871">
        <v>6696</v>
      </c>
      <c r="N188" s="1357">
        <v>4156</v>
      </c>
      <c r="O188" s="2372">
        <f t="shared" si="2"/>
        <v>56130</v>
      </c>
      <c r="P188" s="867"/>
      <c r="Q188" s="1356"/>
      <c r="R188" s="868"/>
    </row>
    <row r="189" spans="1:18">
      <c r="A189" s="863">
        <v>2005.12</v>
      </c>
      <c r="B189" s="869">
        <v>758972</v>
      </c>
      <c r="C189" s="940"/>
      <c r="D189" s="3616"/>
      <c r="E189" s="940"/>
      <c r="F189" s="870">
        <v>5875</v>
      </c>
      <c r="G189" s="871">
        <v>15148</v>
      </c>
      <c r="H189" s="3617">
        <v>4527</v>
      </c>
      <c r="I189" s="871">
        <v>10071</v>
      </c>
      <c r="J189" s="3617">
        <v>2997</v>
      </c>
      <c r="K189" s="871">
        <v>5899</v>
      </c>
      <c r="L189" s="3617">
        <v>3667</v>
      </c>
      <c r="M189" s="871">
        <v>14542</v>
      </c>
      <c r="N189" s="1357">
        <v>3812</v>
      </c>
      <c r="O189" s="2372">
        <f t="shared" si="2"/>
        <v>66538</v>
      </c>
      <c r="P189" s="867"/>
      <c r="Q189" s="1356"/>
      <c r="R189" s="868"/>
    </row>
    <row r="190" spans="1:18">
      <c r="A190" s="863">
        <v>2006.01</v>
      </c>
      <c r="B190" s="869">
        <v>659316</v>
      </c>
      <c r="C190" s="940"/>
      <c r="D190" s="3616"/>
      <c r="E190" s="940"/>
      <c r="F190" s="870">
        <v>2235</v>
      </c>
      <c r="G190" s="871">
        <v>0</v>
      </c>
      <c r="H190" s="3617">
        <v>0</v>
      </c>
      <c r="I190" s="871">
        <v>4038</v>
      </c>
      <c r="J190" s="3617">
        <v>1313</v>
      </c>
      <c r="K190" s="871">
        <v>4333</v>
      </c>
      <c r="L190" s="3617">
        <v>2117</v>
      </c>
      <c r="M190" s="871">
        <v>5210</v>
      </c>
      <c r="N190" s="1357">
        <v>3322</v>
      </c>
      <c r="O190" s="2372">
        <f t="shared" si="2"/>
        <v>22568</v>
      </c>
      <c r="P190" s="867"/>
      <c r="Q190" s="1356"/>
      <c r="R190" s="868"/>
    </row>
    <row r="191" spans="1:18">
      <c r="A191" s="863">
        <v>2006.02</v>
      </c>
      <c r="B191" s="869">
        <v>643489</v>
      </c>
      <c r="C191" s="940"/>
      <c r="D191" s="3616"/>
      <c r="E191" s="940"/>
      <c r="F191" s="870">
        <v>2196</v>
      </c>
      <c r="G191" s="871">
        <v>22512</v>
      </c>
      <c r="H191" s="3617">
        <v>6900</v>
      </c>
      <c r="I191" s="871">
        <v>2090</v>
      </c>
      <c r="J191" s="3617">
        <v>10840</v>
      </c>
      <c r="K191" s="871">
        <v>5027</v>
      </c>
      <c r="L191" s="3617">
        <v>1435</v>
      </c>
      <c r="M191" s="871">
        <v>3881</v>
      </c>
      <c r="N191" s="1357">
        <v>2528</v>
      </c>
      <c r="O191" s="2372">
        <f t="shared" si="2"/>
        <v>57409</v>
      </c>
      <c r="P191" s="867"/>
      <c r="Q191" s="1356"/>
      <c r="R191" s="868"/>
    </row>
    <row r="192" spans="1:18">
      <c r="A192" s="863">
        <v>2006.03</v>
      </c>
      <c r="B192" s="869">
        <v>662150</v>
      </c>
      <c r="C192" s="940"/>
      <c r="D192" s="3616"/>
      <c r="E192" s="940"/>
      <c r="F192" s="870">
        <v>6977</v>
      </c>
      <c r="G192" s="871">
        <v>11004</v>
      </c>
      <c r="H192" s="3617">
        <v>4850</v>
      </c>
      <c r="I192" s="871">
        <v>471</v>
      </c>
      <c r="J192" s="3617">
        <v>4470</v>
      </c>
      <c r="K192" s="871">
        <v>4484</v>
      </c>
      <c r="L192" s="3617">
        <v>3327</v>
      </c>
      <c r="M192" s="871">
        <v>4328</v>
      </c>
      <c r="N192" s="1357">
        <v>3093</v>
      </c>
      <c r="O192" s="2372">
        <f t="shared" si="2"/>
        <v>43004</v>
      </c>
      <c r="P192" s="867"/>
      <c r="Q192" s="1356"/>
      <c r="R192" s="868"/>
    </row>
    <row r="193" spans="1:18">
      <c r="A193" s="863">
        <v>2006.04</v>
      </c>
      <c r="B193" s="869">
        <v>698687</v>
      </c>
      <c r="C193" s="940"/>
      <c r="D193" s="3616"/>
      <c r="E193" s="940"/>
      <c r="F193" s="870">
        <v>2877</v>
      </c>
      <c r="G193" s="871">
        <v>7970</v>
      </c>
      <c r="H193" s="3617">
        <v>5637</v>
      </c>
      <c r="I193" s="871">
        <v>4217</v>
      </c>
      <c r="J193" s="3617">
        <v>11350</v>
      </c>
      <c r="K193" s="871">
        <v>3553</v>
      </c>
      <c r="L193" s="3617">
        <v>1702</v>
      </c>
      <c r="M193" s="871">
        <v>5275</v>
      </c>
      <c r="N193" s="1357">
        <v>3997</v>
      </c>
      <c r="O193" s="2372">
        <f t="shared" si="2"/>
        <v>46578</v>
      </c>
      <c r="P193" s="867"/>
      <c r="Q193" s="1356"/>
      <c r="R193" s="868"/>
    </row>
    <row r="194" spans="1:18">
      <c r="A194" s="863">
        <v>2006.05</v>
      </c>
      <c r="B194" s="869">
        <v>868849</v>
      </c>
      <c r="C194" s="940"/>
      <c r="D194" s="3616"/>
      <c r="E194" s="940"/>
      <c r="F194" s="870">
        <v>5141</v>
      </c>
      <c r="G194" s="871">
        <v>24660</v>
      </c>
      <c r="H194" s="3617">
        <v>5184</v>
      </c>
      <c r="I194" s="871">
        <v>22155</v>
      </c>
      <c r="J194" s="3617">
        <v>5182</v>
      </c>
      <c r="K194" s="871">
        <v>6421</v>
      </c>
      <c r="L194" s="3617">
        <v>5321</v>
      </c>
      <c r="M194" s="871">
        <v>4955</v>
      </c>
      <c r="N194" s="1357">
        <v>2996</v>
      </c>
      <c r="O194" s="2372">
        <f t="shared" si="2"/>
        <v>82015</v>
      </c>
      <c r="P194" s="867"/>
      <c r="Q194" s="1356"/>
      <c r="R194" s="868"/>
    </row>
    <row r="195" spans="1:18">
      <c r="A195" s="863">
        <v>2006.06</v>
      </c>
      <c r="B195" s="869">
        <v>827045</v>
      </c>
      <c r="C195" s="940"/>
      <c r="D195" s="3616"/>
      <c r="E195" s="940"/>
      <c r="F195" s="870">
        <v>3875</v>
      </c>
      <c r="G195" s="871">
        <v>19694</v>
      </c>
      <c r="H195" s="3617">
        <v>6093</v>
      </c>
      <c r="I195" s="871">
        <v>17285</v>
      </c>
      <c r="J195" s="3617">
        <v>3113</v>
      </c>
      <c r="K195" s="871">
        <v>3728</v>
      </c>
      <c r="L195" s="3617">
        <v>3845</v>
      </c>
      <c r="M195" s="871">
        <v>11746</v>
      </c>
      <c r="N195" s="1357">
        <v>1560</v>
      </c>
      <c r="O195" s="2372">
        <f t="shared" si="2"/>
        <v>70939</v>
      </c>
      <c r="P195" s="867"/>
      <c r="Q195" s="1356"/>
      <c r="R195" s="868"/>
    </row>
    <row r="196" spans="1:18">
      <c r="A196" s="863">
        <v>2006.07</v>
      </c>
      <c r="B196" s="869">
        <v>989837</v>
      </c>
      <c r="C196" s="940"/>
      <c r="D196" s="3616"/>
      <c r="E196" s="940"/>
      <c r="F196" s="870">
        <v>1041</v>
      </c>
      <c r="G196" s="871">
        <v>9456</v>
      </c>
      <c r="H196" s="3617">
        <v>3430</v>
      </c>
      <c r="I196" s="871">
        <v>9103</v>
      </c>
      <c r="J196" s="3617">
        <v>4375</v>
      </c>
      <c r="K196" s="871">
        <v>3634</v>
      </c>
      <c r="L196" s="3617">
        <v>3689</v>
      </c>
      <c r="M196" s="871">
        <v>8478</v>
      </c>
      <c r="N196" s="1357">
        <v>3243</v>
      </c>
      <c r="O196" s="2372">
        <f t="shared" si="2"/>
        <v>46449</v>
      </c>
      <c r="P196" s="867"/>
      <c r="Q196" s="1356"/>
      <c r="R196" s="868"/>
    </row>
    <row r="197" spans="1:18">
      <c r="A197" s="863">
        <v>2006.08</v>
      </c>
      <c r="B197" s="869">
        <v>798876</v>
      </c>
      <c r="C197" s="940"/>
      <c r="D197" s="3616"/>
      <c r="E197" s="940"/>
      <c r="F197" s="870">
        <v>2219</v>
      </c>
      <c r="G197" s="871">
        <v>13125</v>
      </c>
      <c r="H197" s="3617">
        <v>5919</v>
      </c>
      <c r="I197" s="871">
        <v>9452</v>
      </c>
      <c r="J197" s="3617">
        <v>7750</v>
      </c>
      <c r="K197" s="871">
        <v>4371</v>
      </c>
      <c r="L197" s="3617">
        <v>2572</v>
      </c>
      <c r="M197" s="871">
        <v>5414</v>
      </c>
      <c r="N197" s="1357">
        <v>3738</v>
      </c>
      <c r="O197" s="2372">
        <f t="shared" si="2"/>
        <v>54560</v>
      </c>
      <c r="P197" s="867"/>
      <c r="Q197" s="1356"/>
      <c r="R197" s="868"/>
    </row>
    <row r="198" spans="1:18">
      <c r="A198" s="863">
        <v>2006.09</v>
      </c>
      <c r="B198" s="869">
        <v>799054</v>
      </c>
      <c r="C198" s="940"/>
      <c r="D198" s="3616"/>
      <c r="E198" s="940"/>
      <c r="F198" s="870">
        <v>3210</v>
      </c>
      <c r="G198" s="871">
        <v>24568</v>
      </c>
      <c r="H198" s="3617">
        <v>4753</v>
      </c>
      <c r="I198" s="871">
        <v>5340</v>
      </c>
      <c r="J198" s="3617">
        <v>9910</v>
      </c>
      <c r="K198" s="871">
        <v>4019</v>
      </c>
      <c r="L198" s="3617">
        <v>3223</v>
      </c>
      <c r="M198" s="871">
        <v>8933</v>
      </c>
      <c r="N198" s="1357">
        <v>1979</v>
      </c>
      <c r="O198" s="2372">
        <f t="shared" si="2"/>
        <v>65935</v>
      </c>
      <c r="P198" s="867"/>
      <c r="Q198" s="1356"/>
      <c r="R198" s="868"/>
    </row>
    <row r="199" spans="1:18">
      <c r="A199" s="863">
        <v>2006.1</v>
      </c>
      <c r="B199" s="869">
        <v>777096</v>
      </c>
      <c r="C199" s="940"/>
      <c r="D199" s="3616"/>
      <c r="E199" s="940"/>
      <c r="F199" s="870">
        <v>1989</v>
      </c>
      <c r="G199" s="871">
        <v>13580</v>
      </c>
      <c r="H199" s="3617">
        <v>7303</v>
      </c>
      <c r="I199" s="871">
        <v>8167</v>
      </c>
      <c r="J199" s="3617">
        <v>5388</v>
      </c>
      <c r="K199" s="871">
        <v>3616</v>
      </c>
      <c r="L199" s="3617">
        <v>6186</v>
      </c>
      <c r="M199" s="871">
        <v>6927</v>
      </c>
      <c r="N199" s="1357">
        <v>2949</v>
      </c>
      <c r="O199" s="2372">
        <f t="shared" si="2"/>
        <v>56105</v>
      </c>
      <c r="P199" s="867"/>
      <c r="Q199" s="1356"/>
      <c r="R199" s="868"/>
    </row>
    <row r="200" spans="1:18">
      <c r="A200" s="863">
        <v>2006.11</v>
      </c>
      <c r="B200" s="869">
        <v>883576</v>
      </c>
      <c r="C200" s="940"/>
      <c r="D200" s="3616"/>
      <c r="E200" s="940"/>
      <c r="F200" s="870">
        <v>5247</v>
      </c>
      <c r="G200" s="871">
        <v>16900</v>
      </c>
      <c r="H200" s="3617">
        <v>4882</v>
      </c>
      <c r="I200" s="871">
        <v>8426</v>
      </c>
      <c r="J200" s="3617">
        <v>12451</v>
      </c>
      <c r="K200" s="871">
        <v>4584</v>
      </c>
      <c r="L200" s="3617">
        <v>4101</v>
      </c>
      <c r="M200" s="871">
        <v>4506</v>
      </c>
      <c r="N200" s="1357">
        <v>3905</v>
      </c>
      <c r="O200" s="2372">
        <f t="shared" si="2"/>
        <v>65002</v>
      </c>
      <c r="P200" s="867"/>
      <c r="Q200" s="1356"/>
      <c r="R200" s="868"/>
    </row>
    <row r="201" spans="1:18">
      <c r="A201" s="863">
        <v>2006.12</v>
      </c>
      <c r="B201" s="869">
        <v>944814</v>
      </c>
      <c r="C201" s="940"/>
      <c r="D201" s="3616"/>
      <c r="E201" s="940"/>
      <c r="F201" s="870">
        <v>2166</v>
      </c>
      <c r="G201" s="871">
        <v>41924</v>
      </c>
      <c r="H201" s="3617">
        <v>3148</v>
      </c>
      <c r="I201" s="871">
        <v>6459</v>
      </c>
      <c r="J201" s="3617">
        <v>10076</v>
      </c>
      <c r="K201" s="871">
        <v>3799</v>
      </c>
      <c r="L201" s="3617">
        <v>6309</v>
      </c>
      <c r="M201" s="871">
        <v>6068</v>
      </c>
      <c r="N201" s="1357">
        <v>2775</v>
      </c>
      <c r="O201" s="2372">
        <f t="shared" si="2"/>
        <v>82724</v>
      </c>
      <c r="P201" s="867"/>
      <c r="Q201" s="1356"/>
      <c r="R201" s="868"/>
    </row>
    <row r="202" spans="1:18">
      <c r="A202" s="863">
        <v>2007.01</v>
      </c>
      <c r="B202" s="869">
        <v>684638</v>
      </c>
      <c r="C202" s="940"/>
      <c r="D202" s="3616"/>
      <c r="E202" s="940"/>
      <c r="F202" s="870">
        <v>1760</v>
      </c>
      <c r="G202" s="871">
        <v>0</v>
      </c>
      <c r="H202" s="3617">
        <v>960</v>
      </c>
      <c r="I202" s="871">
        <v>6369</v>
      </c>
      <c r="J202" s="3617">
        <v>8816</v>
      </c>
      <c r="K202" s="871">
        <v>5203</v>
      </c>
      <c r="L202" s="3617">
        <v>4497</v>
      </c>
      <c r="M202" s="871">
        <v>2411</v>
      </c>
      <c r="N202" s="1357">
        <v>2775</v>
      </c>
      <c r="O202" s="2372">
        <f t="shared" si="2"/>
        <v>32791</v>
      </c>
      <c r="P202" s="867"/>
      <c r="Q202" s="1356"/>
      <c r="R202" s="868"/>
    </row>
    <row r="203" spans="1:18">
      <c r="A203" s="863">
        <v>2007.02</v>
      </c>
      <c r="B203" s="869">
        <v>689622</v>
      </c>
      <c r="C203" s="940"/>
      <c r="D203" s="3616"/>
      <c r="E203" s="940"/>
      <c r="F203" s="870">
        <v>1537</v>
      </c>
      <c r="G203" s="871">
        <v>17198</v>
      </c>
      <c r="H203" s="3617">
        <v>7224</v>
      </c>
      <c r="I203" s="871">
        <v>11110</v>
      </c>
      <c r="J203" s="3617">
        <v>4181</v>
      </c>
      <c r="K203" s="871">
        <v>3906</v>
      </c>
      <c r="L203" s="3617">
        <v>1822</v>
      </c>
      <c r="M203" s="871">
        <v>8896</v>
      </c>
      <c r="N203" s="1357">
        <v>1084</v>
      </c>
      <c r="O203" s="2372">
        <f t="shared" ref="O203:O266" si="3">_xlfn.AGGREGATE(9,6,F203:N203)</f>
        <v>56958</v>
      </c>
      <c r="P203" s="867"/>
      <c r="Q203" s="1356"/>
      <c r="R203" s="868"/>
    </row>
    <row r="204" spans="1:18">
      <c r="A204" s="863">
        <v>2007.03</v>
      </c>
      <c r="B204" s="869">
        <v>818731</v>
      </c>
      <c r="C204" s="940"/>
      <c r="D204" s="3616"/>
      <c r="E204" s="940"/>
      <c r="F204" s="870">
        <v>2608</v>
      </c>
      <c r="G204" s="871">
        <v>11570</v>
      </c>
      <c r="H204" s="3617">
        <v>4065</v>
      </c>
      <c r="I204" s="871">
        <v>17752</v>
      </c>
      <c r="J204" s="3617">
        <v>17712</v>
      </c>
      <c r="K204" s="871">
        <v>4045</v>
      </c>
      <c r="L204" s="3617">
        <v>3682</v>
      </c>
      <c r="M204" s="871">
        <v>11977</v>
      </c>
      <c r="N204" s="1357">
        <v>2595</v>
      </c>
      <c r="O204" s="2372">
        <f t="shared" si="3"/>
        <v>76006</v>
      </c>
      <c r="P204" s="867"/>
      <c r="Q204" s="1356"/>
      <c r="R204" s="868"/>
    </row>
    <row r="205" spans="1:18">
      <c r="A205" s="863">
        <v>2007.04</v>
      </c>
      <c r="B205" s="869">
        <v>761321</v>
      </c>
      <c r="C205" s="940"/>
      <c r="D205" s="3616"/>
      <c r="E205" s="940"/>
      <c r="F205" s="870">
        <v>2539</v>
      </c>
      <c r="G205" s="871">
        <v>11981</v>
      </c>
      <c r="H205" s="3617">
        <v>5459</v>
      </c>
      <c r="I205" s="871">
        <v>10705</v>
      </c>
      <c r="J205" s="3617">
        <v>9157</v>
      </c>
      <c r="K205" s="871">
        <v>5986</v>
      </c>
      <c r="L205" s="3617">
        <v>2327</v>
      </c>
      <c r="M205" s="871">
        <v>6483</v>
      </c>
      <c r="N205" s="1357">
        <v>3928</v>
      </c>
      <c r="O205" s="2372">
        <f t="shared" si="3"/>
        <v>58565</v>
      </c>
      <c r="P205" s="867"/>
      <c r="Q205" s="1356"/>
      <c r="R205" s="868"/>
    </row>
    <row r="206" spans="1:18">
      <c r="A206" s="863">
        <v>2007.05</v>
      </c>
      <c r="B206" s="869">
        <v>808365</v>
      </c>
      <c r="C206" s="940"/>
      <c r="D206" s="3616"/>
      <c r="E206" s="940"/>
      <c r="F206" s="870">
        <v>2423</v>
      </c>
      <c r="G206" s="871">
        <v>19368</v>
      </c>
      <c r="H206" s="3617">
        <v>8260</v>
      </c>
      <c r="I206" s="871">
        <v>12056</v>
      </c>
      <c r="J206" s="3617">
        <v>4771</v>
      </c>
      <c r="K206" s="871">
        <v>11562</v>
      </c>
      <c r="L206" s="3617">
        <v>3405</v>
      </c>
      <c r="M206" s="871">
        <v>9131</v>
      </c>
      <c r="N206" s="1357">
        <v>2482</v>
      </c>
      <c r="O206" s="2372">
        <f t="shared" si="3"/>
        <v>73458</v>
      </c>
      <c r="P206" s="867"/>
      <c r="Q206" s="1356"/>
      <c r="R206" s="868"/>
    </row>
    <row r="207" spans="1:18">
      <c r="A207" s="863">
        <v>2007.06</v>
      </c>
      <c r="B207" s="869">
        <v>804567</v>
      </c>
      <c r="C207" s="940"/>
      <c r="D207" s="3616"/>
      <c r="E207" s="940"/>
      <c r="F207" s="870">
        <v>3032</v>
      </c>
      <c r="G207" s="871">
        <v>24273</v>
      </c>
      <c r="H207" s="3617">
        <v>4504</v>
      </c>
      <c r="I207" s="871">
        <v>11096</v>
      </c>
      <c r="J207" s="3617">
        <v>6296</v>
      </c>
      <c r="K207" s="871">
        <v>2715</v>
      </c>
      <c r="L207" s="3617">
        <v>2133</v>
      </c>
      <c r="M207" s="871">
        <v>6089</v>
      </c>
      <c r="N207" s="1357">
        <v>2982</v>
      </c>
      <c r="O207" s="2372">
        <f t="shared" si="3"/>
        <v>63120</v>
      </c>
      <c r="P207" s="867"/>
      <c r="Q207" s="1356"/>
      <c r="R207" s="868"/>
    </row>
    <row r="208" spans="1:18">
      <c r="A208" s="863">
        <v>2007.07</v>
      </c>
      <c r="B208" s="869">
        <v>783120</v>
      </c>
      <c r="C208" s="940"/>
      <c r="D208" s="3616"/>
      <c r="E208" s="940"/>
      <c r="F208" s="870">
        <v>2639</v>
      </c>
      <c r="G208" s="871">
        <v>13986</v>
      </c>
      <c r="H208" s="3617">
        <v>5726</v>
      </c>
      <c r="I208" s="871">
        <v>5570</v>
      </c>
      <c r="J208" s="3617">
        <v>5693</v>
      </c>
      <c r="K208" s="871">
        <v>6080</v>
      </c>
      <c r="L208" s="3617">
        <v>4239</v>
      </c>
      <c r="M208" s="871">
        <v>5438</v>
      </c>
      <c r="N208" s="1357">
        <v>2147</v>
      </c>
      <c r="O208" s="2372">
        <f t="shared" si="3"/>
        <v>51518</v>
      </c>
      <c r="P208" s="867"/>
      <c r="Q208" s="1356"/>
      <c r="R208" s="868"/>
    </row>
    <row r="209" spans="1:18">
      <c r="A209" s="863">
        <v>2007.08</v>
      </c>
      <c r="B209" s="869">
        <v>736400</v>
      </c>
      <c r="C209" s="940"/>
      <c r="D209" s="3616"/>
      <c r="E209" s="940"/>
      <c r="F209" s="870">
        <v>3706</v>
      </c>
      <c r="G209" s="871">
        <v>15568</v>
      </c>
      <c r="H209" s="3617">
        <v>3859</v>
      </c>
      <c r="I209" s="871">
        <v>4495</v>
      </c>
      <c r="J209" s="3617">
        <v>5547</v>
      </c>
      <c r="K209" s="871">
        <v>6521</v>
      </c>
      <c r="L209" s="3617">
        <v>4444</v>
      </c>
      <c r="M209" s="871">
        <v>10517</v>
      </c>
      <c r="N209" s="1357">
        <v>2280</v>
      </c>
      <c r="O209" s="2372">
        <f t="shared" si="3"/>
        <v>56937</v>
      </c>
      <c r="P209" s="867"/>
      <c r="Q209" s="1356"/>
      <c r="R209" s="868"/>
    </row>
    <row r="210" spans="1:18">
      <c r="A210" s="863">
        <v>2007.09</v>
      </c>
      <c r="B210" s="869">
        <v>709486</v>
      </c>
      <c r="C210" s="940"/>
      <c r="D210" s="3616"/>
      <c r="E210" s="940"/>
      <c r="F210" s="870">
        <v>2763</v>
      </c>
      <c r="G210" s="871">
        <v>13976</v>
      </c>
      <c r="H210" s="3617">
        <v>6189</v>
      </c>
      <c r="I210" s="871">
        <v>13266</v>
      </c>
      <c r="J210" s="3617">
        <v>8790</v>
      </c>
      <c r="K210" s="871">
        <v>4880</v>
      </c>
      <c r="L210" s="3617">
        <v>5057</v>
      </c>
      <c r="M210" s="871">
        <v>8183</v>
      </c>
      <c r="N210" s="1357">
        <v>2609</v>
      </c>
      <c r="O210" s="2372">
        <f t="shared" si="3"/>
        <v>65713</v>
      </c>
      <c r="P210" s="867"/>
      <c r="Q210" s="1356"/>
      <c r="R210" s="868"/>
    </row>
    <row r="211" spans="1:18">
      <c r="A211" s="863">
        <v>2007.1</v>
      </c>
      <c r="B211" s="869">
        <v>920654</v>
      </c>
      <c r="C211" s="940"/>
      <c r="D211" s="3616"/>
      <c r="E211" s="940"/>
      <c r="F211" s="870">
        <v>2122</v>
      </c>
      <c r="G211" s="871">
        <v>13848</v>
      </c>
      <c r="H211" s="3617">
        <v>5660</v>
      </c>
      <c r="I211" s="871">
        <v>17983</v>
      </c>
      <c r="J211" s="3617">
        <v>13256</v>
      </c>
      <c r="K211" s="871">
        <v>7194</v>
      </c>
      <c r="L211" s="3617">
        <v>2767</v>
      </c>
      <c r="M211" s="871">
        <v>7071</v>
      </c>
      <c r="N211" s="1357">
        <v>1749</v>
      </c>
      <c r="O211" s="2372">
        <f t="shared" si="3"/>
        <v>71650</v>
      </c>
      <c r="P211" s="867"/>
      <c r="Q211" s="1356"/>
      <c r="R211" s="868"/>
    </row>
    <row r="212" spans="1:18">
      <c r="A212" s="863">
        <v>2007.11</v>
      </c>
      <c r="B212" s="869">
        <v>765363</v>
      </c>
      <c r="C212" s="940"/>
      <c r="D212" s="3616"/>
      <c r="E212" s="940"/>
      <c r="F212" s="870">
        <v>2570</v>
      </c>
      <c r="G212" s="871">
        <v>17668</v>
      </c>
      <c r="H212" s="3617">
        <v>13616</v>
      </c>
      <c r="I212" s="871">
        <v>6560</v>
      </c>
      <c r="J212" s="3617">
        <v>7545</v>
      </c>
      <c r="K212" s="871">
        <v>4951</v>
      </c>
      <c r="L212" s="3617">
        <v>4232</v>
      </c>
      <c r="M212" s="871">
        <v>6342</v>
      </c>
      <c r="N212" s="1357">
        <v>3249</v>
      </c>
      <c r="O212" s="2372">
        <f t="shared" si="3"/>
        <v>66733</v>
      </c>
      <c r="P212" s="867"/>
      <c r="Q212" s="1356"/>
      <c r="R212" s="868"/>
    </row>
    <row r="213" spans="1:18">
      <c r="A213" s="863">
        <v>2007.12</v>
      </c>
      <c r="B213" s="869">
        <v>1129719</v>
      </c>
      <c r="C213" s="940"/>
      <c r="D213" s="3616"/>
      <c r="E213" s="940"/>
      <c r="F213" s="870">
        <v>3183</v>
      </c>
      <c r="G213" s="871">
        <v>9342</v>
      </c>
      <c r="H213" s="3617">
        <v>3121</v>
      </c>
      <c r="I213" s="871">
        <v>19733</v>
      </c>
      <c r="J213" s="3617">
        <v>5860</v>
      </c>
      <c r="K213" s="871">
        <v>5074</v>
      </c>
      <c r="L213" s="3617">
        <v>3045</v>
      </c>
      <c r="M213" s="871">
        <v>9329</v>
      </c>
      <c r="N213" s="1357">
        <v>4050</v>
      </c>
      <c r="O213" s="2372">
        <f t="shared" si="3"/>
        <v>62737</v>
      </c>
      <c r="P213" s="867"/>
      <c r="Q213" s="1356"/>
      <c r="R213" s="868"/>
    </row>
    <row r="214" spans="1:18">
      <c r="A214" s="863">
        <f t="shared" ref="A214:A277" si="4">A202+1</f>
        <v>2008.01</v>
      </c>
      <c r="B214" s="869">
        <v>844301</v>
      </c>
      <c r="C214" s="940"/>
      <c r="D214" s="3616"/>
      <c r="E214" s="940"/>
      <c r="F214" s="870">
        <v>803</v>
      </c>
      <c r="G214" s="871">
        <v>12349</v>
      </c>
      <c r="H214" s="3617">
        <v>5635</v>
      </c>
      <c r="I214" s="871">
        <v>13874</v>
      </c>
      <c r="J214" s="3617">
        <v>3873</v>
      </c>
      <c r="K214" s="871">
        <v>5346</v>
      </c>
      <c r="L214" s="3617">
        <v>2291</v>
      </c>
      <c r="M214" s="871">
        <v>7857</v>
      </c>
      <c r="N214" s="1357">
        <v>1839</v>
      </c>
      <c r="O214" s="2372">
        <f t="shared" si="3"/>
        <v>53867</v>
      </c>
      <c r="P214" s="867"/>
      <c r="Q214" s="1356"/>
      <c r="R214" s="868"/>
    </row>
    <row r="215" spans="1:18">
      <c r="A215" s="863">
        <f t="shared" si="4"/>
        <v>2008.02</v>
      </c>
      <c r="B215" s="869">
        <v>608125</v>
      </c>
      <c r="C215" s="940"/>
      <c r="D215" s="3616"/>
      <c r="E215" s="940"/>
      <c r="F215" s="870">
        <v>1311</v>
      </c>
      <c r="G215" s="871">
        <v>9839</v>
      </c>
      <c r="H215" s="3617">
        <v>159</v>
      </c>
      <c r="I215" s="871">
        <v>11456</v>
      </c>
      <c r="J215" s="3617">
        <v>3399</v>
      </c>
      <c r="K215" s="871">
        <v>5209</v>
      </c>
      <c r="L215" s="3617">
        <v>2202</v>
      </c>
      <c r="M215" s="871">
        <v>11945</v>
      </c>
      <c r="N215" s="1357">
        <v>2534</v>
      </c>
      <c r="O215" s="2372">
        <f t="shared" si="3"/>
        <v>48054</v>
      </c>
      <c r="P215" s="867"/>
      <c r="Q215" s="1356"/>
      <c r="R215" s="868"/>
    </row>
    <row r="216" spans="1:18">
      <c r="A216" s="863">
        <f t="shared" si="4"/>
        <v>2008.03</v>
      </c>
      <c r="B216" s="869">
        <v>626751</v>
      </c>
      <c r="C216" s="940"/>
      <c r="D216" s="3616"/>
      <c r="E216" s="940"/>
      <c r="F216" s="870">
        <v>1448</v>
      </c>
      <c r="G216" s="871">
        <v>17534</v>
      </c>
      <c r="H216" s="3617">
        <v>13066</v>
      </c>
      <c r="I216" s="871">
        <v>4660</v>
      </c>
      <c r="J216" s="3617">
        <v>11065</v>
      </c>
      <c r="K216" s="871">
        <v>2577</v>
      </c>
      <c r="L216" s="3617">
        <v>1505</v>
      </c>
      <c r="M216" s="871">
        <v>23216</v>
      </c>
      <c r="N216" s="1357">
        <v>2123</v>
      </c>
      <c r="O216" s="2372">
        <f t="shared" si="3"/>
        <v>77194</v>
      </c>
      <c r="P216" s="867"/>
      <c r="Q216" s="1356"/>
      <c r="R216" s="868"/>
    </row>
    <row r="217" spans="1:18">
      <c r="A217" s="863">
        <f t="shared" si="4"/>
        <v>2008.04</v>
      </c>
      <c r="B217" s="869">
        <v>817651</v>
      </c>
      <c r="C217" s="940"/>
      <c r="D217" s="3616"/>
      <c r="E217" s="940"/>
      <c r="F217" s="870">
        <v>2647</v>
      </c>
      <c r="G217" s="871">
        <v>24080</v>
      </c>
      <c r="H217" s="3617">
        <v>2141</v>
      </c>
      <c r="I217" s="871">
        <v>10510</v>
      </c>
      <c r="J217" s="3617">
        <v>5659</v>
      </c>
      <c r="K217" s="871">
        <v>3953</v>
      </c>
      <c r="L217" s="3617">
        <v>3536</v>
      </c>
      <c r="M217" s="871">
        <v>3599</v>
      </c>
      <c r="N217" s="1357">
        <v>4165</v>
      </c>
      <c r="O217" s="2372">
        <f t="shared" si="3"/>
        <v>60290</v>
      </c>
      <c r="P217" s="867"/>
      <c r="Q217" s="1356"/>
      <c r="R217" s="868"/>
    </row>
    <row r="218" spans="1:18">
      <c r="A218" s="863">
        <f t="shared" si="4"/>
        <v>2008.05</v>
      </c>
      <c r="B218" s="869">
        <v>985259</v>
      </c>
      <c r="C218" s="940"/>
      <c r="D218" s="3616"/>
      <c r="E218" s="940"/>
      <c r="F218" s="870">
        <v>826</v>
      </c>
      <c r="G218" s="871">
        <v>32087</v>
      </c>
      <c r="H218" s="3617">
        <v>4348</v>
      </c>
      <c r="I218" s="871">
        <v>10228</v>
      </c>
      <c r="J218" s="3617">
        <v>5056</v>
      </c>
      <c r="K218" s="871">
        <v>2576</v>
      </c>
      <c r="L218" s="3617">
        <v>3130</v>
      </c>
      <c r="M218" s="871">
        <v>2733</v>
      </c>
      <c r="N218" s="1357">
        <v>3763</v>
      </c>
      <c r="O218" s="2372">
        <f t="shared" si="3"/>
        <v>64747</v>
      </c>
      <c r="P218" s="867"/>
      <c r="Q218" s="1356"/>
      <c r="R218" s="868"/>
    </row>
    <row r="219" spans="1:18">
      <c r="A219" s="863">
        <f t="shared" si="4"/>
        <v>2008.06</v>
      </c>
      <c r="B219" s="869">
        <v>710669</v>
      </c>
      <c r="C219" s="940"/>
      <c r="D219" s="3616"/>
      <c r="E219" s="940"/>
      <c r="F219" s="870">
        <v>8986</v>
      </c>
      <c r="G219" s="871">
        <v>17675</v>
      </c>
      <c r="H219" s="3617">
        <v>4108</v>
      </c>
      <c r="I219" s="871">
        <v>10055</v>
      </c>
      <c r="J219" s="3617">
        <v>7371</v>
      </c>
      <c r="K219" s="871">
        <v>4412</v>
      </c>
      <c r="L219" s="3617">
        <v>3577</v>
      </c>
      <c r="M219" s="871">
        <v>7421</v>
      </c>
      <c r="N219" s="1357">
        <v>2071</v>
      </c>
      <c r="O219" s="2372">
        <f t="shared" si="3"/>
        <v>65676</v>
      </c>
      <c r="P219" s="867"/>
      <c r="Q219" s="1356"/>
      <c r="R219" s="868"/>
    </row>
    <row r="220" spans="1:18">
      <c r="A220" s="863">
        <f t="shared" si="4"/>
        <v>2008.07</v>
      </c>
      <c r="B220" s="869">
        <v>989554</v>
      </c>
      <c r="C220" s="940"/>
      <c r="D220" s="3616"/>
      <c r="E220" s="940"/>
      <c r="F220" s="870">
        <v>2526</v>
      </c>
      <c r="G220" s="871">
        <v>16875</v>
      </c>
      <c r="H220" s="3617">
        <v>7414</v>
      </c>
      <c r="I220" s="871">
        <v>9363</v>
      </c>
      <c r="J220" s="3617">
        <v>8258</v>
      </c>
      <c r="K220" s="871">
        <v>4986</v>
      </c>
      <c r="L220" s="3617">
        <v>18215</v>
      </c>
      <c r="M220" s="871">
        <v>5546</v>
      </c>
      <c r="N220" s="1357">
        <v>2188</v>
      </c>
      <c r="O220" s="2372">
        <f t="shared" si="3"/>
        <v>75371</v>
      </c>
      <c r="P220" s="867"/>
      <c r="Q220" s="1356"/>
      <c r="R220" s="868"/>
    </row>
    <row r="221" spans="1:18">
      <c r="A221" s="863">
        <f t="shared" si="4"/>
        <v>2008.08</v>
      </c>
      <c r="B221" s="869">
        <v>849791</v>
      </c>
      <c r="C221" s="940"/>
      <c r="D221" s="3616"/>
      <c r="E221" s="940"/>
      <c r="F221" s="870">
        <v>1089</v>
      </c>
      <c r="G221" s="871">
        <v>35448</v>
      </c>
      <c r="H221" s="3617">
        <v>7008</v>
      </c>
      <c r="I221" s="871">
        <v>25152</v>
      </c>
      <c r="J221" s="3617">
        <v>5030</v>
      </c>
      <c r="K221" s="871">
        <v>4769</v>
      </c>
      <c r="L221" s="3617">
        <v>2266</v>
      </c>
      <c r="M221" s="871">
        <v>8240</v>
      </c>
      <c r="N221" s="1357">
        <v>3031</v>
      </c>
      <c r="O221" s="2372">
        <f t="shared" si="3"/>
        <v>92033</v>
      </c>
      <c r="P221" s="867"/>
      <c r="Q221" s="1356"/>
      <c r="R221" s="868"/>
    </row>
    <row r="222" spans="1:18">
      <c r="A222" s="863">
        <f t="shared" si="4"/>
        <v>2008.09</v>
      </c>
      <c r="B222" s="869">
        <v>816605</v>
      </c>
      <c r="C222" s="940"/>
      <c r="D222" s="3616"/>
      <c r="E222" s="940"/>
      <c r="F222" s="870">
        <v>2250</v>
      </c>
      <c r="G222" s="871">
        <v>31752</v>
      </c>
      <c r="H222" s="3617">
        <v>4914</v>
      </c>
      <c r="I222" s="871">
        <v>31119</v>
      </c>
      <c r="J222" s="3617">
        <v>9483</v>
      </c>
      <c r="K222" s="871">
        <v>5516</v>
      </c>
      <c r="L222" s="3617">
        <v>4196</v>
      </c>
      <c r="M222" s="871">
        <v>6036</v>
      </c>
      <c r="N222" s="1357">
        <v>3449</v>
      </c>
      <c r="O222" s="2372">
        <f t="shared" si="3"/>
        <v>98715</v>
      </c>
      <c r="P222" s="867"/>
      <c r="Q222" s="1356"/>
      <c r="R222" s="868"/>
    </row>
    <row r="223" spans="1:18">
      <c r="A223" s="863">
        <f t="shared" si="4"/>
        <v>2008.1</v>
      </c>
      <c r="B223" s="869">
        <v>860896</v>
      </c>
      <c r="C223" s="940"/>
      <c r="D223" s="3616"/>
      <c r="E223" s="940"/>
      <c r="F223" s="870">
        <v>1480</v>
      </c>
      <c r="G223" s="871">
        <v>19847</v>
      </c>
      <c r="H223" s="3617">
        <v>6141</v>
      </c>
      <c r="I223" s="871">
        <v>14635</v>
      </c>
      <c r="J223" s="3617">
        <v>5366</v>
      </c>
      <c r="K223" s="871">
        <v>4354</v>
      </c>
      <c r="L223" s="3617">
        <v>1787</v>
      </c>
      <c r="M223" s="871">
        <v>2846</v>
      </c>
      <c r="N223" s="1357">
        <v>2473</v>
      </c>
      <c r="O223" s="2372">
        <f t="shared" si="3"/>
        <v>58929</v>
      </c>
      <c r="P223" s="867"/>
      <c r="Q223" s="1356"/>
      <c r="R223" s="868"/>
    </row>
    <row r="224" spans="1:18">
      <c r="A224" s="863">
        <f t="shared" si="4"/>
        <v>2008.11</v>
      </c>
      <c r="B224" s="869">
        <v>832192</v>
      </c>
      <c r="C224" s="940"/>
      <c r="D224" s="3616"/>
      <c r="E224" s="940"/>
      <c r="F224" s="870">
        <v>919</v>
      </c>
      <c r="G224" s="871">
        <v>20433</v>
      </c>
      <c r="H224" s="3617">
        <v>5911</v>
      </c>
      <c r="I224" s="871">
        <v>21868</v>
      </c>
      <c r="J224" s="3617">
        <v>4530</v>
      </c>
      <c r="K224" s="871">
        <v>12284</v>
      </c>
      <c r="L224" s="3617">
        <v>4694</v>
      </c>
      <c r="M224" s="871">
        <v>11964</v>
      </c>
      <c r="N224" s="1357">
        <v>2588</v>
      </c>
      <c r="O224" s="2372">
        <f t="shared" si="3"/>
        <v>85191</v>
      </c>
      <c r="P224" s="867"/>
      <c r="Q224" s="1356"/>
      <c r="R224" s="868"/>
    </row>
    <row r="225" spans="1:18">
      <c r="A225" s="863">
        <f t="shared" si="4"/>
        <v>2008.12</v>
      </c>
      <c r="B225" s="869">
        <v>697331</v>
      </c>
      <c r="C225" s="940"/>
      <c r="D225" s="3616"/>
      <c r="E225" s="940"/>
      <c r="F225" s="870">
        <v>2683</v>
      </c>
      <c r="G225" s="871">
        <v>24365</v>
      </c>
      <c r="H225" s="3617">
        <v>9414</v>
      </c>
      <c r="I225" s="871">
        <v>9019</v>
      </c>
      <c r="J225" s="3617">
        <v>4427</v>
      </c>
      <c r="K225" s="871">
        <v>3114</v>
      </c>
      <c r="L225" s="3617">
        <v>3226</v>
      </c>
      <c r="M225" s="871">
        <v>3863</v>
      </c>
      <c r="N225" s="1357">
        <v>3443</v>
      </c>
      <c r="O225" s="2372">
        <f t="shared" si="3"/>
        <v>63554</v>
      </c>
      <c r="P225" s="867"/>
      <c r="Q225" s="1356"/>
      <c r="R225" s="868"/>
    </row>
    <row r="226" spans="1:18">
      <c r="A226" s="863">
        <f t="shared" si="4"/>
        <v>2009.01</v>
      </c>
      <c r="B226" s="869">
        <v>555482</v>
      </c>
      <c r="C226" s="940"/>
      <c r="D226" s="3616"/>
      <c r="E226" s="940"/>
      <c r="F226" s="870">
        <v>2715</v>
      </c>
      <c r="G226" s="871">
        <v>0</v>
      </c>
      <c r="H226" s="3617">
        <v>4835</v>
      </c>
      <c r="I226" s="871">
        <v>10829</v>
      </c>
      <c r="J226" s="3617">
        <v>4890</v>
      </c>
      <c r="K226" s="871">
        <v>4880</v>
      </c>
      <c r="L226" s="3617">
        <v>472</v>
      </c>
      <c r="M226" s="871">
        <v>4010</v>
      </c>
      <c r="N226" s="1357">
        <v>1182</v>
      </c>
      <c r="O226" s="2372">
        <f t="shared" si="3"/>
        <v>33813</v>
      </c>
      <c r="P226" s="867"/>
      <c r="Q226" s="1356"/>
      <c r="R226" s="868"/>
    </row>
    <row r="227" spans="1:18">
      <c r="A227" s="863">
        <f t="shared" si="4"/>
        <v>2009.02</v>
      </c>
      <c r="B227" s="869">
        <v>534301</v>
      </c>
      <c r="C227" s="940"/>
      <c r="D227" s="3616"/>
      <c r="E227" s="940"/>
      <c r="F227" s="870">
        <v>1394</v>
      </c>
      <c r="G227" s="871">
        <v>0</v>
      </c>
      <c r="H227" s="3617">
        <v>4455</v>
      </c>
      <c r="I227" s="871">
        <v>4077</v>
      </c>
      <c r="J227" s="3617">
        <v>3934</v>
      </c>
      <c r="K227" s="871">
        <v>2961</v>
      </c>
      <c r="L227" s="3617">
        <v>1904</v>
      </c>
      <c r="M227" s="871">
        <v>1673</v>
      </c>
      <c r="N227" s="1357">
        <v>1557</v>
      </c>
      <c r="O227" s="2372">
        <f t="shared" si="3"/>
        <v>21955</v>
      </c>
      <c r="P227" s="867"/>
      <c r="Q227" s="1356"/>
      <c r="R227" s="868"/>
    </row>
    <row r="228" spans="1:18">
      <c r="A228" s="863">
        <f t="shared" si="4"/>
        <v>2009.03</v>
      </c>
      <c r="B228" s="869">
        <v>678316</v>
      </c>
      <c r="C228" s="940"/>
      <c r="D228" s="3616"/>
      <c r="E228" s="940"/>
      <c r="F228" s="870">
        <v>1349</v>
      </c>
      <c r="G228" s="871">
        <v>32628</v>
      </c>
      <c r="H228" s="3617">
        <v>5189</v>
      </c>
      <c r="I228" s="871">
        <v>7782</v>
      </c>
      <c r="J228" s="3617">
        <v>3976</v>
      </c>
      <c r="K228" s="871">
        <v>4358</v>
      </c>
      <c r="L228" s="3617">
        <v>3466</v>
      </c>
      <c r="M228" s="871">
        <v>6636</v>
      </c>
      <c r="N228" s="1357">
        <v>4076</v>
      </c>
      <c r="O228" s="2372">
        <f t="shared" si="3"/>
        <v>69460</v>
      </c>
      <c r="P228" s="867"/>
      <c r="Q228" s="1356"/>
      <c r="R228" s="868"/>
    </row>
    <row r="229" spans="1:18">
      <c r="A229" s="863">
        <f t="shared" si="4"/>
        <v>2009.04</v>
      </c>
      <c r="B229" s="869">
        <v>645132</v>
      </c>
      <c r="C229" s="940"/>
      <c r="D229" s="3616"/>
      <c r="E229" s="940"/>
      <c r="F229" s="870">
        <v>3376</v>
      </c>
      <c r="G229" s="871">
        <v>19807</v>
      </c>
      <c r="H229" s="3617">
        <v>8222</v>
      </c>
      <c r="I229" s="871">
        <v>13115</v>
      </c>
      <c r="J229" s="3617">
        <v>5628</v>
      </c>
      <c r="K229" s="871">
        <v>3189</v>
      </c>
      <c r="L229" s="3617">
        <v>7197</v>
      </c>
      <c r="M229" s="871">
        <v>8574</v>
      </c>
      <c r="N229" s="1357">
        <v>1761</v>
      </c>
      <c r="O229" s="2372">
        <f t="shared" si="3"/>
        <v>70869</v>
      </c>
      <c r="P229" s="867"/>
      <c r="Q229" s="1356"/>
      <c r="R229" s="868"/>
    </row>
    <row r="230" spans="1:18">
      <c r="A230" s="863">
        <f t="shared" si="4"/>
        <v>2009.05</v>
      </c>
      <c r="B230" s="869">
        <v>676692</v>
      </c>
      <c r="C230" s="940"/>
      <c r="D230" s="3616"/>
      <c r="E230" s="940"/>
      <c r="F230" s="870">
        <v>676</v>
      </c>
      <c r="G230" s="871">
        <v>18458</v>
      </c>
      <c r="H230" s="3617">
        <v>2171</v>
      </c>
      <c r="I230" s="871">
        <v>12281</v>
      </c>
      <c r="J230" s="3617">
        <v>2405</v>
      </c>
      <c r="K230" s="871">
        <v>822</v>
      </c>
      <c r="L230" s="3617">
        <v>756</v>
      </c>
      <c r="M230" s="871">
        <v>3110</v>
      </c>
      <c r="N230" s="1357">
        <v>1005</v>
      </c>
      <c r="O230" s="2372">
        <f t="shared" si="3"/>
        <v>41684</v>
      </c>
      <c r="P230" s="867"/>
      <c r="Q230" s="1356"/>
      <c r="R230" s="868"/>
    </row>
    <row r="231" spans="1:18">
      <c r="A231" s="863">
        <f t="shared" si="4"/>
        <v>2009.06</v>
      </c>
      <c r="B231" s="869">
        <v>693075</v>
      </c>
      <c r="C231" s="940"/>
      <c r="D231" s="3616"/>
      <c r="E231" s="940"/>
      <c r="F231" s="870">
        <v>1978</v>
      </c>
      <c r="G231" s="871">
        <v>10875</v>
      </c>
      <c r="H231" s="3617">
        <v>4793</v>
      </c>
      <c r="I231" s="871">
        <v>14021</v>
      </c>
      <c r="J231" s="3617">
        <v>4735</v>
      </c>
      <c r="K231" s="871">
        <v>4227</v>
      </c>
      <c r="L231" s="3617">
        <v>2418</v>
      </c>
      <c r="M231" s="871">
        <v>6822</v>
      </c>
      <c r="N231" s="1357">
        <v>1897</v>
      </c>
      <c r="O231" s="2372">
        <f t="shared" si="3"/>
        <v>51766</v>
      </c>
      <c r="P231" s="867"/>
      <c r="Q231" s="1356"/>
      <c r="R231" s="868"/>
    </row>
    <row r="232" spans="1:18">
      <c r="A232" s="863">
        <f t="shared" si="4"/>
        <v>2009.07</v>
      </c>
      <c r="B232" s="869">
        <v>695608</v>
      </c>
      <c r="C232" s="940"/>
      <c r="D232" s="3616"/>
      <c r="E232" s="940"/>
      <c r="F232" s="870">
        <v>2066</v>
      </c>
      <c r="G232" s="871">
        <v>9119</v>
      </c>
      <c r="H232" s="3617">
        <v>6619</v>
      </c>
      <c r="I232" s="871">
        <v>11650</v>
      </c>
      <c r="J232" s="3617">
        <v>3594</v>
      </c>
      <c r="K232" s="871">
        <v>5299</v>
      </c>
      <c r="L232" s="3617">
        <v>5876</v>
      </c>
      <c r="M232" s="871">
        <v>5723</v>
      </c>
      <c r="N232" s="1357">
        <v>1968</v>
      </c>
      <c r="O232" s="2372">
        <f t="shared" si="3"/>
        <v>51914</v>
      </c>
      <c r="P232" s="867"/>
      <c r="Q232" s="1356"/>
      <c r="R232" s="868"/>
    </row>
    <row r="233" spans="1:18">
      <c r="A233" s="863">
        <f t="shared" si="4"/>
        <v>2009.08</v>
      </c>
      <c r="B233" s="869">
        <v>690183</v>
      </c>
      <c r="C233" s="940"/>
      <c r="D233" s="3616"/>
      <c r="E233" s="940"/>
      <c r="F233" s="870">
        <v>2786</v>
      </c>
      <c r="G233" s="871">
        <v>7896</v>
      </c>
      <c r="H233" s="3617">
        <v>6061</v>
      </c>
      <c r="I233" s="871">
        <v>8373</v>
      </c>
      <c r="J233" s="3617">
        <v>5137</v>
      </c>
      <c r="K233" s="871">
        <v>4535</v>
      </c>
      <c r="L233" s="3617">
        <v>3370</v>
      </c>
      <c r="M233" s="871">
        <v>11622</v>
      </c>
      <c r="N233" s="1357">
        <v>2835</v>
      </c>
      <c r="O233" s="2372">
        <f t="shared" si="3"/>
        <v>52615</v>
      </c>
      <c r="P233" s="867"/>
      <c r="Q233" s="1356"/>
      <c r="R233" s="868"/>
    </row>
    <row r="234" spans="1:18">
      <c r="A234" s="863">
        <f t="shared" si="4"/>
        <v>2009.09</v>
      </c>
      <c r="B234" s="869">
        <v>756325</v>
      </c>
      <c r="C234" s="940"/>
      <c r="D234" s="3616"/>
      <c r="E234" s="940"/>
      <c r="F234" s="870">
        <v>926</v>
      </c>
      <c r="G234" s="871">
        <v>18488</v>
      </c>
      <c r="H234" s="3617">
        <v>3641</v>
      </c>
      <c r="I234" s="871">
        <v>18702</v>
      </c>
      <c r="J234" s="3617">
        <v>8245</v>
      </c>
      <c r="K234" s="871">
        <v>2448</v>
      </c>
      <c r="L234" s="3617">
        <v>3217</v>
      </c>
      <c r="M234" s="871">
        <v>5754</v>
      </c>
      <c r="N234" s="1357">
        <v>7576</v>
      </c>
      <c r="O234" s="2372">
        <f t="shared" si="3"/>
        <v>68997</v>
      </c>
      <c r="P234" s="867"/>
      <c r="Q234" s="1356"/>
      <c r="R234" s="868"/>
    </row>
    <row r="235" spans="1:18">
      <c r="A235" s="863">
        <f t="shared" si="4"/>
        <v>2009.1</v>
      </c>
      <c r="B235" s="869">
        <v>876662</v>
      </c>
      <c r="C235" s="940"/>
      <c r="D235" s="3616"/>
      <c r="E235" s="940"/>
      <c r="F235" s="870">
        <v>786</v>
      </c>
      <c r="G235" s="871">
        <v>18410</v>
      </c>
      <c r="H235" s="3617">
        <v>4741</v>
      </c>
      <c r="I235" s="871">
        <v>28187</v>
      </c>
      <c r="J235" s="3617">
        <v>6396</v>
      </c>
      <c r="K235" s="871">
        <v>2125</v>
      </c>
      <c r="L235" s="3617">
        <v>1831</v>
      </c>
      <c r="M235" s="871">
        <v>3902</v>
      </c>
      <c r="N235" s="1357">
        <v>2012</v>
      </c>
      <c r="O235" s="2372">
        <f t="shared" si="3"/>
        <v>68390</v>
      </c>
      <c r="P235" s="867"/>
      <c r="Q235" s="1356"/>
      <c r="R235" s="868"/>
    </row>
    <row r="236" spans="1:18">
      <c r="A236" s="863">
        <f t="shared" si="4"/>
        <v>2009.11</v>
      </c>
      <c r="B236" s="869">
        <v>610234</v>
      </c>
      <c r="C236" s="940"/>
      <c r="D236" s="3616"/>
      <c r="E236" s="940"/>
      <c r="F236" s="870">
        <v>2976</v>
      </c>
      <c r="G236" s="871">
        <v>14627</v>
      </c>
      <c r="H236" s="3617">
        <v>827</v>
      </c>
      <c r="I236" s="871">
        <v>28761</v>
      </c>
      <c r="J236" s="3617">
        <v>3961</v>
      </c>
      <c r="K236" s="871">
        <v>5867</v>
      </c>
      <c r="L236" s="3617">
        <v>3217</v>
      </c>
      <c r="M236" s="871">
        <v>16591</v>
      </c>
      <c r="N236" s="1357">
        <v>823</v>
      </c>
      <c r="O236" s="2372">
        <f t="shared" si="3"/>
        <v>77650</v>
      </c>
      <c r="P236" s="867"/>
      <c r="Q236" s="1356"/>
      <c r="R236" s="868"/>
    </row>
    <row r="237" spans="1:18">
      <c r="A237" s="863">
        <f t="shared" si="4"/>
        <v>2009.12</v>
      </c>
      <c r="B237" s="869">
        <v>770920</v>
      </c>
      <c r="C237" s="940"/>
      <c r="D237" s="3616"/>
      <c r="E237" s="940"/>
      <c r="F237" s="870">
        <v>3352</v>
      </c>
      <c r="G237" s="871">
        <v>23426</v>
      </c>
      <c r="H237" s="3617">
        <v>5759</v>
      </c>
      <c r="I237" s="871">
        <v>18785</v>
      </c>
      <c r="J237" s="3617">
        <v>6314</v>
      </c>
      <c r="K237" s="871">
        <v>4248</v>
      </c>
      <c r="L237" s="3617">
        <v>3191</v>
      </c>
      <c r="M237" s="871">
        <v>5652</v>
      </c>
      <c r="N237" s="1357">
        <v>3283</v>
      </c>
      <c r="O237" s="2372">
        <f t="shared" si="3"/>
        <v>74010</v>
      </c>
      <c r="P237" s="867"/>
      <c r="Q237" s="1356"/>
      <c r="R237" s="868"/>
    </row>
    <row r="238" spans="1:18">
      <c r="A238" s="863">
        <f t="shared" si="4"/>
        <v>2010.01</v>
      </c>
      <c r="B238" s="1881">
        <v>519962</v>
      </c>
      <c r="C238" s="1882"/>
      <c r="D238" s="3618"/>
      <c r="E238" s="1882"/>
      <c r="F238" s="1883">
        <v>822</v>
      </c>
      <c r="G238" s="1884">
        <v>9342</v>
      </c>
      <c r="H238" s="3619">
        <v>8446</v>
      </c>
      <c r="I238" s="1884">
        <v>16298</v>
      </c>
      <c r="J238" s="3619">
        <v>4988</v>
      </c>
      <c r="K238" s="1884">
        <v>6357</v>
      </c>
      <c r="L238" s="3619">
        <v>1167</v>
      </c>
      <c r="M238" s="1884">
        <v>4891</v>
      </c>
      <c r="N238" s="1885">
        <v>1131</v>
      </c>
      <c r="O238" s="2373">
        <f t="shared" si="3"/>
        <v>53442</v>
      </c>
      <c r="P238" s="1886">
        <v>33980</v>
      </c>
      <c r="Q238" s="3620" t="e">
        <v>#N/A</v>
      </c>
      <c r="R238" s="1887">
        <v>112834</v>
      </c>
    </row>
    <row r="239" spans="1:18">
      <c r="A239" s="863">
        <f t="shared" si="4"/>
        <v>2010.02</v>
      </c>
      <c r="B239" s="1881">
        <v>419663</v>
      </c>
      <c r="C239" s="1882"/>
      <c r="D239" s="3618"/>
      <c r="E239" s="1882"/>
      <c r="F239" s="1883">
        <v>822</v>
      </c>
      <c r="G239" s="1884">
        <v>8479</v>
      </c>
      <c r="H239" s="3619">
        <v>11249</v>
      </c>
      <c r="I239" s="1884">
        <v>8241</v>
      </c>
      <c r="J239" s="3619">
        <v>3867</v>
      </c>
      <c r="K239" s="1884">
        <v>3625</v>
      </c>
      <c r="L239" s="3619">
        <v>2433</v>
      </c>
      <c r="M239" s="1884">
        <v>10389</v>
      </c>
      <c r="N239" s="1885">
        <v>1098</v>
      </c>
      <c r="O239" s="2373">
        <f t="shared" si="3"/>
        <v>50203</v>
      </c>
      <c r="P239" s="1888">
        <v>34207</v>
      </c>
      <c r="Q239" s="1885">
        <v>1884</v>
      </c>
      <c r="R239" s="1889">
        <v>110529</v>
      </c>
    </row>
    <row r="240" spans="1:18">
      <c r="A240" s="863">
        <f t="shared" si="4"/>
        <v>2010.03</v>
      </c>
      <c r="B240" s="1881">
        <v>535436</v>
      </c>
      <c r="C240" s="1882"/>
      <c r="D240" s="3618"/>
      <c r="E240" s="1882"/>
      <c r="F240" s="1883">
        <v>1855</v>
      </c>
      <c r="G240" s="1884">
        <v>7019</v>
      </c>
      <c r="H240" s="3619">
        <v>5688</v>
      </c>
      <c r="I240" s="1884">
        <v>9910</v>
      </c>
      <c r="J240" s="3619">
        <v>9563</v>
      </c>
      <c r="K240" s="1884">
        <v>4351</v>
      </c>
      <c r="L240" s="3619">
        <v>3541</v>
      </c>
      <c r="M240" s="1884">
        <v>7825</v>
      </c>
      <c r="N240" s="1885">
        <v>1617</v>
      </c>
      <c r="O240" s="2373">
        <f t="shared" si="3"/>
        <v>51369</v>
      </c>
      <c r="P240" s="1888">
        <v>26001</v>
      </c>
      <c r="Q240" s="1885">
        <v>2197</v>
      </c>
      <c r="R240" s="1889">
        <v>119058</v>
      </c>
    </row>
    <row r="241" spans="1:18">
      <c r="A241" s="863">
        <f t="shared" si="4"/>
        <v>2010.04</v>
      </c>
      <c r="B241" s="1881">
        <v>616698</v>
      </c>
      <c r="C241" s="1882"/>
      <c r="D241" s="3618"/>
      <c r="E241" s="1882"/>
      <c r="F241" s="1883">
        <v>3902</v>
      </c>
      <c r="G241" s="1884">
        <v>9250</v>
      </c>
      <c r="H241" s="3619">
        <v>6596</v>
      </c>
      <c r="I241" s="1884">
        <v>15188</v>
      </c>
      <c r="J241" s="3619">
        <v>12506</v>
      </c>
      <c r="K241" s="1884">
        <v>5385</v>
      </c>
      <c r="L241" s="3619">
        <v>4071</v>
      </c>
      <c r="M241" s="1884">
        <v>11328</v>
      </c>
      <c r="N241" s="1885">
        <v>2619</v>
      </c>
      <c r="O241" s="2373">
        <f t="shared" si="3"/>
        <v>70845</v>
      </c>
      <c r="P241" s="1888">
        <v>38424</v>
      </c>
      <c r="Q241" s="1885">
        <v>2845</v>
      </c>
      <c r="R241" s="1889">
        <v>145670</v>
      </c>
    </row>
    <row r="242" spans="1:18">
      <c r="A242" s="863">
        <f t="shared" si="4"/>
        <v>2010.05</v>
      </c>
      <c r="B242" s="1881">
        <v>557684</v>
      </c>
      <c r="C242" s="1882"/>
      <c r="D242" s="3618"/>
      <c r="E242" s="1882"/>
      <c r="F242" s="1883">
        <v>2776</v>
      </c>
      <c r="G242" s="1884">
        <v>11704</v>
      </c>
      <c r="H242" s="3619">
        <v>10270</v>
      </c>
      <c r="I242" s="1884">
        <v>6423</v>
      </c>
      <c r="J242" s="3619">
        <v>12343</v>
      </c>
      <c r="K242" s="1884">
        <v>9589</v>
      </c>
      <c r="L242" s="3619">
        <v>3746</v>
      </c>
      <c r="M242" s="1884">
        <v>3282</v>
      </c>
      <c r="N242" s="1885">
        <v>3047</v>
      </c>
      <c r="O242" s="2373">
        <f t="shared" si="3"/>
        <v>63180</v>
      </c>
      <c r="P242" s="1888">
        <v>57298</v>
      </c>
      <c r="Q242" s="1885">
        <v>2154</v>
      </c>
      <c r="R242" s="1889">
        <v>165803</v>
      </c>
    </row>
    <row r="243" spans="1:18">
      <c r="A243" s="863">
        <f t="shared" si="4"/>
        <v>2010.06</v>
      </c>
      <c r="B243" s="1881">
        <v>676012</v>
      </c>
      <c r="C243" s="1882"/>
      <c r="D243" s="3618"/>
      <c r="E243" s="1882"/>
      <c r="F243" s="1883">
        <v>1203</v>
      </c>
      <c r="G243" s="1884">
        <v>16744</v>
      </c>
      <c r="H243" s="3619">
        <v>5549</v>
      </c>
      <c r="I243" s="1884">
        <v>11735</v>
      </c>
      <c r="J243" s="3619">
        <v>17285</v>
      </c>
      <c r="K243" s="1884">
        <v>4825</v>
      </c>
      <c r="L243" s="3619">
        <v>1805</v>
      </c>
      <c r="M243" s="1884">
        <v>22993</v>
      </c>
      <c r="N243" s="1885">
        <v>1893</v>
      </c>
      <c r="O243" s="2373">
        <f t="shared" si="3"/>
        <v>84032</v>
      </c>
      <c r="P243" s="1888">
        <v>47918</v>
      </c>
      <c r="Q243" s="1885">
        <v>498</v>
      </c>
      <c r="R243" s="1889">
        <v>181662</v>
      </c>
    </row>
    <row r="244" spans="1:18">
      <c r="A244" s="863">
        <f t="shared" si="4"/>
        <v>2010.07</v>
      </c>
      <c r="B244" s="1881">
        <v>693301</v>
      </c>
      <c r="C244" s="1882"/>
      <c r="D244" s="3618"/>
      <c r="E244" s="1882"/>
      <c r="F244" s="1883">
        <v>1136</v>
      </c>
      <c r="G244" s="1884">
        <v>28004</v>
      </c>
      <c r="H244" s="3619">
        <v>6775</v>
      </c>
      <c r="I244" s="1884">
        <v>6638</v>
      </c>
      <c r="J244" s="3619">
        <v>18009</v>
      </c>
      <c r="K244" s="1884">
        <v>4361</v>
      </c>
      <c r="L244" s="3619">
        <v>2464</v>
      </c>
      <c r="M244" s="1884">
        <v>34676</v>
      </c>
      <c r="N244" s="1885">
        <v>3524</v>
      </c>
      <c r="O244" s="2373">
        <f t="shared" si="3"/>
        <v>105587</v>
      </c>
      <c r="P244" s="1888">
        <v>118295</v>
      </c>
      <c r="Q244" s="1885">
        <v>4114</v>
      </c>
      <c r="R244" s="1889">
        <v>269554</v>
      </c>
    </row>
    <row r="245" spans="1:18">
      <c r="A245" s="863">
        <f t="shared" si="4"/>
        <v>2010.08</v>
      </c>
      <c r="B245" s="1881">
        <v>889489</v>
      </c>
      <c r="C245" s="1882"/>
      <c r="D245" s="3618"/>
      <c r="E245" s="1882"/>
      <c r="F245" s="1883">
        <v>3327</v>
      </c>
      <c r="G245" s="1884">
        <v>30013</v>
      </c>
      <c r="H245" s="3619">
        <v>14691</v>
      </c>
      <c r="I245" s="1884">
        <v>16129</v>
      </c>
      <c r="J245" s="3619">
        <v>12474</v>
      </c>
      <c r="K245" s="1884">
        <v>2598</v>
      </c>
      <c r="L245" s="3619">
        <v>2972</v>
      </c>
      <c r="M245" s="1884">
        <v>12679</v>
      </c>
      <c r="N245" s="1885">
        <v>2145</v>
      </c>
      <c r="O245" s="2373">
        <f t="shared" si="3"/>
        <v>97028</v>
      </c>
      <c r="P245" s="1888">
        <v>49133</v>
      </c>
      <c r="Q245" s="1885">
        <v>860</v>
      </c>
      <c r="R245" s="1889">
        <v>186686</v>
      </c>
    </row>
    <row r="246" spans="1:18">
      <c r="A246" s="863">
        <f t="shared" si="4"/>
        <v>2010.09</v>
      </c>
      <c r="B246" s="1881">
        <v>779731</v>
      </c>
      <c r="C246" s="1882"/>
      <c r="D246" s="3618"/>
      <c r="E246" s="1882"/>
      <c r="F246" s="1883">
        <v>1178</v>
      </c>
      <c r="G246" s="1884">
        <v>17218</v>
      </c>
      <c r="H246" s="3619">
        <v>12500</v>
      </c>
      <c r="I246" s="1884">
        <v>9460</v>
      </c>
      <c r="J246" s="3619">
        <v>12034</v>
      </c>
      <c r="K246" s="1884">
        <v>3258</v>
      </c>
      <c r="L246" s="3619">
        <v>1469</v>
      </c>
      <c r="M246" s="1884">
        <v>12652</v>
      </c>
      <c r="N246" s="1885">
        <v>2282</v>
      </c>
      <c r="O246" s="2373">
        <f t="shared" si="3"/>
        <v>72051</v>
      </c>
      <c r="P246" s="1888">
        <v>62095</v>
      </c>
      <c r="Q246" s="1885">
        <v>477</v>
      </c>
      <c r="R246" s="1889">
        <v>173524</v>
      </c>
    </row>
    <row r="247" spans="1:18">
      <c r="A247" s="863">
        <f t="shared" si="4"/>
        <v>2010.1</v>
      </c>
      <c r="B247" s="1881">
        <v>581375</v>
      </c>
      <c r="C247" s="1882"/>
      <c r="D247" s="3618"/>
      <c r="E247" s="1882"/>
      <c r="F247" s="1883">
        <v>1455</v>
      </c>
      <c r="G247" s="1884">
        <v>8910</v>
      </c>
      <c r="H247" s="3619">
        <v>7865</v>
      </c>
      <c r="I247" s="1884">
        <v>14703</v>
      </c>
      <c r="J247" s="3619">
        <v>10261</v>
      </c>
      <c r="K247" s="1884">
        <v>2810</v>
      </c>
      <c r="L247" s="3619">
        <v>1951</v>
      </c>
      <c r="M247" s="1884">
        <v>7439</v>
      </c>
      <c r="N247" s="1885">
        <v>1835</v>
      </c>
      <c r="O247" s="2373">
        <f t="shared" si="3"/>
        <v>57229</v>
      </c>
      <c r="P247" s="1888">
        <v>53874</v>
      </c>
      <c r="Q247" s="1890" t="e">
        <v>#N/A</v>
      </c>
      <c r="R247" s="1889">
        <v>138463</v>
      </c>
    </row>
    <row r="248" spans="1:18">
      <c r="A248" s="863">
        <f t="shared" si="4"/>
        <v>2010.11</v>
      </c>
      <c r="B248" s="1881">
        <v>885421</v>
      </c>
      <c r="C248" s="1882"/>
      <c r="D248" s="3618"/>
      <c r="E248" s="1882"/>
      <c r="F248" s="1883">
        <v>1037</v>
      </c>
      <c r="G248" s="1884">
        <v>12201</v>
      </c>
      <c r="H248" s="3619">
        <v>6045</v>
      </c>
      <c r="I248" s="1884">
        <v>11941</v>
      </c>
      <c r="J248" s="3619">
        <v>11704</v>
      </c>
      <c r="K248" s="1884">
        <v>1925</v>
      </c>
      <c r="L248" s="3619">
        <v>2340</v>
      </c>
      <c r="M248" s="1884">
        <v>7814</v>
      </c>
      <c r="N248" s="1885">
        <v>2461</v>
      </c>
      <c r="O248" s="2373">
        <f t="shared" si="3"/>
        <v>57468</v>
      </c>
      <c r="P248" s="1888">
        <v>53101</v>
      </c>
      <c r="Q248" s="1890" t="e">
        <v>#N/A</v>
      </c>
      <c r="R248" s="1889">
        <v>158218</v>
      </c>
    </row>
    <row r="249" spans="1:18">
      <c r="A249" s="863">
        <f t="shared" si="4"/>
        <v>2010.12</v>
      </c>
      <c r="B249" s="1881">
        <v>779701</v>
      </c>
      <c r="C249" s="1882"/>
      <c r="D249" s="3618"/>
      <c r="E249" s="1882"/>
      <c r="F249" s="1883">
        <v>5082</v>
      </c>
      <c r="G249" s="1884">
        <v>19659</v>
      </c>
      <c r="H249" s="3619">
        <v>7067</v>
      </c>
      <c r="I249" s="1884">
        <v>17037</v>
      </c>
      <c r="J249" s="3619">
        <v>21114</v>
      </c>
      <c r="K249" s="1884">
        <v>5043</v>
      </c>
      <c r="L249" s="3619">
        <v>1361</v>
      </c>
      <c r="M249" s="1884">
        <v>8605</v>
      </c>
      <c r="N249" s="1885">
        <v>3451</v>
      </c>
      <c r="O249" s="2373">
        <f t="shared" si="3"/>
        <v>88419</v>
      </c>
      <c r="P249" s="1888">
        <v>59956</v>
      </c>
      <c r="Q249" s="1890" t="e">
        <v>#N/A</v>
      </c>
      <c r="R249" s="1889">
        <v>188881</v>
      </c>
    </row>
    <row r="250" spans="1:18">
      <c r="A250" s="863">
        <f t="shared" si="4"/>
        <v>2011.01</v>
      </c>
      <c r="B250" s="1881">
        <v>507395</v>
      </c>
      <c r="C250" s="1882"/>
      <c r="D250" s="3618"/>
      <c r="E250" s="1882"/>
      <c r="F250" s="1883">
        <v>2289</v>
      </c>
      <c r="G250" s="1884">
        <v>12920</v>
      </c>
      <c r="H250" s="3619">
        <v>1196</v>
      </c>
      <c r="I250" s="1884">
        <v>7301</v>
      </c>
      <c r="J250" s="3619">
        <v>8337</v>
      </c>
      <c r="K250" s="1891">
        <v>1793</v>
      </c>
      <c r="L250" s="3619">
        <v>1838</v>
      </c>
      <c r="M250" s="1884">
        <v>8834</v>
      </c>
      <c r="N250" s="1885">
        <v>1122</v>
      </c>
      <c r="O250" s="2373">
        <f t="shared" si="3"/>
        <v>45630</v>
      </c>
      <c r="P250" s="1888">
        <v>52645</v>
      </c>
      <c r="Q250" s="1885">
        <v>126</v>
      </c>
      <c r="R250" s="1889">
        <v>114267</v>
      </c>
    </row>
    <row r="251" spans="1:18">
      <c r="A251" s="863">
        <f t="shared" si="4"/>
        <v>2011.02</v>
      </c>
      <c r="B251" s="1881">
        <v>547401</v>
      </c>
      <c r="C251" s="1882"/>
      <c r="D251" s="3618"/>
      <c r="E251" s="1882"/>
      <c r="F251" s="1883">
        <v>528</v>
      </c>
      <c r="G251" s="1884">
        <v>15624</v>
      </c>
      <c r="H251" s="3619">
        <v>12701</v>
      </c>
      <c r="I251" s="1884">
        <v>4810</v>
      </c>
      <c r="J251" s="3619">
        <v>7740</v>
      </c>
      <c r="K251" s="1884">
        <v>2183</v>
      </c>
      <c r="L251" s="3619">
        <v>2327</v>
      </c>
      <c r="M251" s="1884">
        <v>4662</v>
      </c>
      <c r="N251" s="1885">
        <v>5288</v>
      </c>
      <c r="O251" s="2373">
        <f t="shared" si="3"/>
        <v>55863</v>
      </c>
      <c r="P251" s="1888">
        <v>49541</v>
      </c>
      <c r="Q251" s="1885">
        <v>349</v>
      </c>
      <c r="R251" s="1889">
        <v>130648</v>
      </c>
    </row>
    <row r="252" spans="1:18">
      <c r="A252" s="863">
        <f t="shared" si="4"/>
        <v>2011.03</v>
      </c>
      <c r="B252" s="1881">
        <v>578814</v>
      </c>
      <c r="C252" s="1882"/>
      <c r="D252" s="3618"/>
      <c r="E252" s="1882"/>
      <c r="F252" s="1883">
        <v>1913</v>
      </c>
      <c r="G252" s="1884">
        <v>15905</v>
      </c>
      <c r="H252" s="3619">
        <v>10773</v>
      </c>
      <c r="I252" s="1884">
        <v>8575</v>
      </c>
      <c r="J252" s="3619">
        <v>12671</v>
      </c>
      <c r="K252" s="1884">
        <v>4481</v>
      </c>
      <c r="L252" s="3619">
        <v>2966</v>
      </c>
      <c r="M252" s="1884">
        <v>4786</v>
      </c>
      <c r="N252" s="1885">
        <v>2027</v>
      </c>
      <c r="O252" s="2373">
        <f t="shared" si="3"/>
        <v>64097</v>
      </c>
      <c r="P252" s="1888">
        <v>73081</v>
      </c>
      <c r="Q252" s="1885">
        <v>1378</v>
      </c>
      <c r="R252" s="1889">
        <v>169106</v>
      </c>
    </row>
    <row r="253" spans="1:18">
      <c r="A253" s="863">
        <f t="shared" si="4"/>
        <v>2011.04</v>
      </c>
      <c r="B253" s="1881">
        <v>633625</v>
      </c>
      <c r="C253" s="1882"/>
      <c r="D253" s="3618"/>
      <c r="E253" s="1882"/>
      <c r="F253" s="1883">
        <v>2636</v>
      </c>
      <c r="G253" s="1884">
        <v>18122</v>
      </c>
      <c r="H253" s="3619">
        <v>16099</v>
      </c>
      <c r="I253" s="1884">
        <v>6309</v>
      </c>
      <c r="J253" s="3619">
        <v>7746</v>
      </c>
      <c r="K253" s="1884">
        <v>3433</v>
      </c>
      <c r="L253" s="3619">
        <v>2948</v>
      </c>
      <c r="M253" s="1884">
        <v>10314</v>
      </c>
      <c r="N253" s="1885">
        <v>4000</v>
      </c>
      <c r="O253" s="2373">
        <f t="shared" si="3"/>
        <v>71607</v>
      </c>
      <c r="P253" s="1888">
        <v>33670</v>
      </c>
      <c r="Q253" s="1885">
        <v>105</v>
      </c>
      <c r="R253" s="1889">
        <v>139130</v>
      </c>
    </row>
    <row r="254" spans="1:18">
      <c r="A254" s="863">
        <f t="shared" si="4"/>
        <v>2011.05</v>
      </c>
      <c r="B254" s="1881">
        <v>701791</v>
      </c>
      <c r="C254" s="1882"/>
      <c r="D254" s="3618"/>
      <c r="E254" s="1882"/>
      <c r="F254" s="1883">
        <v>2749</v>
      </c>
      <c r="G254" s="1884">
        <v>25211</v>
      </c>
      <c r="H254" s="3619">
        <v>14729</v>
      </c>
      <c r="I254" s="1884">
        <v>11255</v>
      </c>
      <c r="J254" s="3619">
        <v>12572</v>
      </c>
      <c r="K254" s="1884">
        <v>3068</v>
      </c>
      <c r="L254" s="3619">
        <v>2109</v>
      </c>
      <c r="M254" s="1884">
        <v>8945</v>
      </c>
      <c r="N254" s="1885">
        <v>1597</v>
      </c>
      <c r="O254" s="2373">
        <f t="shared" si="3"/>
        <v>82235</v>
      </c>
      <c r="P254" s="1888">
        <v>75744</v>
      </c>
      <c r="Q254" s="1885">
        <v>1063</v>
      </c>
      <c r="R254" s="1889">
        <v>203308</v>
      </c>
    </row>
    <row r="255" spans="1:18">
      <c r="A255" s="863">
        <f t="shared" si="4"/>
        <v>2011.06</v>
      </c>
      <c r="B255" s="1881">
        <v>790068</v>
      </c>
      <c r="C255" s="1882"/>
      <c r="D255" s="3618"/>
      <c r="E255" s="1882"/>
      <c r="F255" s="1883">
        <v>1937</v>
      </c>
      <c r="G255" s="1884">
        <v>12613</v>
      </c>
      <c r="H255" s="3619">
        <v>5730</v>
      </c>
      <c r="I255" s="1884">
        <v>13107</v>
      </c>
      <c r="J255" s="3619">
        <v>8883</v>
      </c>
      <c r="K255" s="1884">
        <v>2558</v>
      </c>
      <c r="L255" s="3619">
        <v>2778</v>
      </c>
      <c r="M255" s="1884">
        <v>6181</v>
      </c>
      <c r="N255" s="1885">
        <v>1869</v>
      </c>
      <c r="O255" s="2373">
        <f t="shared" si="3"/>
        <v>55656</v>
      </c>
      <c r="P255" s="1888">
        <v>58478</v>
      </c>
      <c r="Q255" s="1885">
        <v>2938</v>
      </c>
      <c r="R255" s="1889">
        <v>151484</v>
      </c>
    </row>
    <row r="256" spans="1:18">
      <c r="A256" s="863">
        <f t="shared" si="4"/>
        <v>2011.07</v>
      </c>
      <c r="B256" s="1881">
        <v>603009</v>
      </c>
      <c r="C256" s="1882"/>
      <c r="D256" s="3618"/>
      <c r="E256" s="1882"/>
      <c r="F256" s="1883">
        <v>2689</v>
      </c>
      <c r="G256" s="1884">
        <v>7975</v>
      </c>
      <c r="H256" s="3619">
        <v>6049</v>
      </c>
      <c r="I256" s="1884">
        <v>15466</v>
      </c>
      <c r="J256" s="3619">
        <v>7776</v>
      </c>
      <c r="K256" s="1884">
        <v>2486</v>
      </c>
      <c r="L256" s="3619">
        <v>2200</v>
      </c>
      <c r="M256" s="1884">
        <v>7305</v>
      </c>
      <c r="N256" s="1885">
        <v>1881</v>
      </c>
      <c r="O256" s="2373">
        <f t="shared" si="3"/>
        <v>53827</v>
      </c>
      <c r="P256" s="1888">
        <v>64794</v>
      </c>
      <c r="Q256" s="1885">
        <v>4702</v>
      </c>
      <c r="R256" s="1889">
        <v>163351</v>
      </c>
    </row>
    <row r="257" spans="1:18">
      <c r="A257" s="863">
        <f t="shared" si="4"/>
        <v>2011.08</v>
      </c>
      <c r="B257" s="1881">
        <v>884436</v>
      </c>
      <c r="C257" s="1882"/>
      <c r="D257" s="3618"/>
      <c r="E257" s="1882"/>
      <c r="F257" s="1883">
        <v>2276</v>
      </c>
      <c r="G257" s="1884">
        <v>23854</v>
      </c>
      <c r="H257" s="3619">
        <v>9893</v>
      </c>
      <c r="I257" s="1884">
        <v>18395</v>
      </c>
      <c r="J257" s="3619">
        <v>13501</v>
      </c>
      <c r="K257" s="1884">
        <v>3505</v>
      </c>
      <c r="L257" s="3619">
        <v>7132</v>
      </c>
      <c r="M257" s="1884">
        <v>9136</v>
      </c>
      <c r="N257" s="1885">
        <v>3220</v>
      </c>
      <c r="O257" s="2373">
        <f t="shared" si="3"/>
        <v>90912</v>
      </c>
      <c r="P257" s="1888">
        <v>97490</v>
      </c>
      <c r="Q257" s="1885">
        <v>2205</v>
      </c>
      <c r="R257" s="1889">
        <v>305884</v>
      </c>
    </row>
    <row r="258" spans="1:18">
      <c r="A258" s="863">
        <f t="shared" si="4"/>
        <v>2011.09</v>
      </c>
      <c r="B258" s="1881">
        <v>770321</v>
      </c>
      <c r="C258" s="1882"/>
      <c r="D258" s="3618"/>
      <c r="E258" s="1882"/>
      <c r="F258" s="1883">
        <v>3566</v>
      </c>
      <c r="G258" s="1884">
        <v>42682</v>
      </c>
      <c r="H258" s="3619">
        <v>8248</v>
      </c>
      <c r="I258" s="1884">
        <v>18402</v>
      </c>
      <c r="J258" s="3619">
        <v>5913</v>
      </c>
      <c r="K258" s="1884">
        <v>2945</v>
      </c>
      <c r="L258" s="3619">
        <v>2439</v>
      </c>
      <c r="M258" s="1884">
        <v>9653</v>
      </c>
      <c r="N258" s="1885">
        <v>3111</v>
      </c>
      <c r="O258" s="2373">
        <f t="shared" si="3"/>
        <v>96959</v>
      </c>
      <c r="P258" s="1888">
        <v>71005</v>
      </c>
      <c r="Q258" s="1885">
        <v>535</v>
      </c>
      <c r="R258" s="1889">
        <v>211780</v>
      </c>
    </row>
    <row r="259" spans="1:18">
      <c r="A259" s="863">
        <f t="shared" si="4"/>
        <v>2011.1</v>
      </c>
      <c r="B259" s="1881">
        <v>789984</v>
      </c>
      <c r="C259" s="1882"/>
      <c r="D259" s="3618"/>
      <c r="E259" s="1882"/>
      <c r="F259" s="1883">
        <v>3259</v>
      </c>
      <c r="G259" s="1884">
        <v>18618</v>
      </c>
      <c r="H259" s="3619">
        <v>10327</v>
      </c>
      <c r="I259" s="1884">
        <v>19761</v>
      </c>
      <c r="J259" s="3619">
        <v>676</v>
      </c>
      <c r="K259" s="1884">
        <v>3050</v>
      </c>
      <c r="L259" s="3619">
        <v>4899</v>
      </c>
      <c r="M259" s="1884">
        <v>7356</v>
      </c>
      <c r="N259" s="1885">
        <v>2634</v>
      </c>
      <c r="O259" s="2373">
        <f t="shared" si="3"/>
        <v>70580</v>
      </c>
      <c r="P259" s="1888">
        <v>62524</v>
      </c>
      <c r="Q259" s="1885">
        <v>2045</v>
      </c>
      <c r="R259" s="1889">
        <v>180558</v>
      </c>
    </row>
    <row r="260" spans="1:18">
      <c r="A260" s="863">
        <f t="shared" si="4"/>
        <v>2011.11</v>
      </c>
      <c r="B260" s="1881">
        <v>692215</v>
      </c>
      <c r="C260" s="1882"/>
      <c r="D260" s="3618"/>
      <c r="E260" s="1882"/>
      <c r="F260" s="1883">
        <v>1596</v>
      </c>
      <c r="G260" s="1884">
        <v>38015</v>
      </c>
      <c r="H260" s="3619">
        <v>9338</v>
      </c>
      <c r="I260" s="1884">
        <v>16047</v>
      </c>
      <c r="J260" s="3619">
        <v>6149</v>
      </c>
      <c r="K260" s="1884">
        <v>2271</v>
      </c>
      <c r="L260" s="3619">
        <v>1274</v>
      </c>
      <c r="M260" s="1884">
        <v>8541</v>
      </c>
      <c r="N260" s="1885">
        <v>2218</v>
      </c>
      <c r="O260" s="2373">
        <f t="shared" si="3"/>
        <v>85449</v>
      </c>
      <c r="P260" s="1888">
        <v>63396</v>
      </c>
      <c r="Q260" s="1890" t="e">
        <v>#N/A</v>
      </c>
      <c r="R260" s="1889">
        <v>199105</v>
      </c>
    </row>
    <row r="261" spans="1:18">
      <c r="A261" s="863">
        <f t="shared" si="4"/>
        <v>2011.12</v>
      </c>
      <c r="B261" s="1881">
        <v>690243</v>
      </c>
      <c r="C261" s="1882"/>
      <c r="D261" s="3618"/>
      <c r="E261" s="1882"/>
      <c r="F261" s="1883">
        <v>2473</v>
      </c>
      <c r="G261" s="1884">
        <v>14116</v>
      </c>
      <c r="H261" s="3619">
        <v>7219</v>
      </c>
      <c r="I261" s="1884">
        <v>17864</v>
      </c>
      <c r="J261" s="3619">
        <v>7818</v>
      </c>
      <c r="K261" s="1884">
        <v>2854</v>
      </c>
      <c r="L261" s="3619">
        <v>3967</v>
      </c>
      <c r="M261" s="1884">
        <v>6016</v>
      </c>
      <c r="N261" s="1885">
        <v>4316</v>
      </c>
      <c r="O261" s="2373">
        <f t="shared" si="3"/>
        <v>66643</v>
      </c>
      <c r="P261" s="1888">
        <v>49756</v>
      </c>
      <c r="Q261" s="1885">
        <v>845</v>
      </c>
      <c r="R261" s="1889">
        <v>175825</v>
      </c>
    </row>
    <row r="262" spans="1:18">
      <c r="A262" s="863">
        <f t="shared" si="4"/>
        <v>2012.01</v>
      </c>
      <c r="B262" s="1881">
        <v>517001</v>
      </c>
      <c r="C262" s="1882"/>
      <c r="D262" s="3618"/>
      <c r="E262" s="1882"/>
      <c r="F262" s="1883">
        <v>1478</v>
      </c>
      <c r="G262" s="1884">
        <v>18053</v>
      </c>
      <c r="H262" s="3619">
        <v>0</v>
      </c>
      <c r="I262" s="1884">
        <v>11032</v>
      </c>
      <c r="J262" s="3619">
        <v>7158</v>
      </c>
      <c r="K262" s="1884">
        <v>1192</v>
      </c>
      <c r="L262" s="3619">
        <v>1421</v>
      </c>
      <c r="M262" s="1884">
        <v>4495</v>
      </c>
      <c r="N262" s="1885">
        <v>2682</v>
      </c>
      <c r="O262" s="2373">
        <f t="shared" si="3"/>
        <v>47511</v>
      </c>
      <c r="P262" s="1888">
        <v>71501</v>
      </c>
      <c r="Q262" s="1885">
        <v>0</v>
      </c>
      <c r="R262" s="1889">
        <v>146122</v>
      </c>
    </row>
    <row r="263" spans="1:18">
      <c r="A263" s="863">
        <f t="shared" si="4"/>
        <v>2012.02</v>
      </c>
      <c r="B263" s="1881">
        <v>537555</v>
      </c>
      <c r="C263" s="1882"/>
      <c r="D263" s="3618"/>
      <c r="E263" s="1882"/>
      <c r="F263" s="1883">
        <v>1540</v>
      </c>
      <c r="G263" s="1884">
        <v>15518</v>
      </c>
      <c r="H263" s="3619">
        <v>9393</v>
      </c>
      <c r="I263" s="1884">
        <v>8339</v>
      </c>
      <c r="J263" s="3619">
        <v>5376</v>
      </c>
      <c r="K263" s="1884">
        <v>2948</v>
      </c>
      <c r="L263" s="3619">
        <v>1324</v>
      </c>
      <c r="M263" s="1884">
        <v>3551</v>
      </c>
      <c r="N263" s="1885">
        <v>1634</v>
      </c>
      <c r="O263" s="2373">
        <f t="shared" si="3"/>
        <v>49623</v>
      </c>
      <c r="P263" s="1888">
        <v>54220</v>
      </c>
      <c r="Q263" s="1885">
        <v>915</v>
      </c>
      <c r="R263" s="1889">
        <v>139400</v>
      </c>
    </row>
    <row r="264" spans="1:18">
      <c r="A264" s="863">
        <f t="shared" si="4"/>
        <v>2012.03</v>
      </c>
      <c r="B264" s="1881">
        <v>649256</v>
      </c>
      <c r="C264" s="1882"/>
      <c r="D264" s="3618"/>
      <c r="E264" s="1882"/>
      <c r="F264" s="1883">
        <v>1565</v>
      </c>
      <c r="G264" s="1884">
        <v>5523</v>
      </c>
      <c r="H264" s="3619">
        <v>4925</v>
      </c>
      <c r="I264" s="1884">
        <v>8386</v>
      </c>
      <c r="J264" s="3619">
        <v>4211</v>
      </c>
      <c r="K264" s="1884">
        <v>4143</v>
      </c>
      <c r="L264" s="3619">
        <v>2207</v>
      </c>
      <c r="M264" s="1884">
        <v>11305</v>
      </c>
      <c r="N264" s="1885">
        <v>2734</v>
      </c>
      <c r="O264" s="2373">
        <f t="shared" si="3"/>
        <v>44999</v>
      </c>
      <c r="P264" s="1888">
        <v>46367</v>
      </c>
      <c r="Q264" s="1885">
        <v>257</v>
      </c>
      <c r="R264" s="1889">
        <v>132990</v>
      </c>
    </row>
    <row r="265" spans="1:18">
      <c r="A265" s="863">
        <f t="shared" si="4"/>
        <v>2012.04</v>
      </c>
      <c r="B265" s="1881">
        <v>551374</v>
      </c>
      <c r="C265" s="1882"/>
      <c r="D265" s="3618"/>
      <c r="E265" s="1882"/>
      <c r="F265" s="1892">
        <v>5009</v>
      </c>
      <c r="G265" s="1884">
        <v>17110</v>
      </c>
      <c r="H265" s="3619">
        <v>10425</v>
      </c>
      <c r="I265" s="1884">
        <v>10429</v>
      </c>
      <c r="J265" s="3619">
        <v>3604</v>
      </c>
      <c r="K265" s="1884">
        <v>5324</v>
      </c>
      <c r="L265" s="3619">
        <v>3426</v>
      </c>
      <c r="M265" s="1884">
        <v>9505</v>
      </c>
      <c r="N265" s="1885">
        <v>1103</v>
      </c>
      <c r="O265" s="2373">
        <f t="shared" si="3"/>
        <v>65935</v>
      </c>
      <c r="P265" s="1888">
        <v>57512</v>
      </c>
      <c r="Q265" s="1885">
        <v>1276</v>
      </c>
      <c r="R265" s="1889">
        <v>149544</v>
      </c>
    </row>
    <row r="266" spans="1:18">
      <c r="A266" s="863">
        <f t="shared" si="4"/>
        <v>2012.05</v>
      </c>
      <c r="B266" s="1881">
        <v>667898</v>
      </c>
      <c r="C266" s="1882"/>
      <c r="D266" s="3618"/>
      <c r="E266" s="1882"/>
      <c r="F266" s="1883">
        <v>2804</v>
      </c>
      <c r="G266" s="1884">
        <v>14758</v>
      </c>
      <c r="H266" s="3619">
        <v>10463</v>
      </c>
      <c r="I266" s="1884">
        <v>18105</v>
      </c>
      <c r="J266" s="3619">
        <v>14595</v>
      </c>
      <c r="K266" s="1884">
        <v>3441</v>
      </c>
      <c r="L266" s="3619">
        <v>4032</v>
      </c>
      <c r="M266" s="1884">
        <v>3760</v>
      </c>
      <c r="N266" s="1885">
        <v>2390</v>
      </c>
      <c r="O266" s="2373">
        <f t="shared" si="3"/>
        <v>74348</v>
      </c>
      <c r="P266" s="1888">
        <v>87164</v>
      </c>
      <c r="Q266" s="1885">
        <v>886</v>
      </c>
      <c r="R266" s="1889">
        <v>203211</v>
      </c>
    </row>
    <row r="267" spans="1:18">
      <c r="A267" s="863">
        <f t="shared" si="4"/>
        <v>2012.06</v>
      </c>
      <c r="B267" s="1881">
        <v>633073</v>
      </c>
      <c r="C267" s="1882"/>
      <c r="D267" s="3618"/>
      <c r="E267" s="1882"/>
      <c r="F267" s="1883">
        <v>1847</v>
      </c>
      <c r="G267" s="1884">
        <v>8465</v>
      </c>
      <c r="H267" s="3619">
        <v>13254</v>
      </c>
      <c r="I267" s="1884">
        <v>10835</v>
      </c>
      <c r="J267" s="3619">
        <v>9775</v>
      </c>
      <c r="K267" s="1884">
        <v>1346</v>
      </c>
      <c r="L267" s="3619">
        <v>3898</v>
      </c>
      <c r="M267" s="1884">
        <v>6905</v>
      </c>
      <c r="N267" s="1885">
        <v>2297</v>
      </c>
      <c r="O267" s="2373">
        <f t="shared" ref="O267:O330" si="5">_xlfn.AGGREGATE(9,6,F267:N267)</f>
        <v>58622</v>
      </c>
      <c r="P267" s="1888">
        <v>57539</v>
      </c>
      <c r="Q267" s="1885">
        <v>4459</v>
      </c>
      <c r="R267" s="1889">
        <v>184724</v>
      </c>
    </row>
    <row r="268" spans="1:18">
      <c r="A268" s="863">
        <f t="shared" si="4"/>
        <v>2012.07</v>
      </c>
      <c r="B268" s="1881">
        <v>537671</v>
      </c>
      <c r="C268" s="1882"/>
      <c r="D268" s="3618"/>
      <c r="E268" s="1882"/>
      <c r="F268" s="1883">
        <v>105</v>
      </c>
      <c r="G268" s="1884">
        <v>8077</v>
      </c>
      <c r="H268" s="3619">
        <v>15896</v>
      </c>
      <c r="I268" s="1884">
        <v>22233</v>
      </c>
      <c r="J268" s="3619">
        <v>6271</v>
      </c>
      <c r="K268" s="1884">
        <v>1731</v>
      </c>
      <c r="L268" s="3619">
        <v>3880</v>
      </c>
      <c r="M268" s="1884">
        <v>6453</v>
      </c>
      <c r="N268" s="1885">
        <v>1427</v>
      </c>
      <c r="O268" s="2373">
        <f t="shared" si="5"/>
        <v>66073</v>
      </c>
      <c r="P268" s="1888">
        <v>67303</v>
      </c>
      <c r="Q268" s="1885">
        <v>5704</v>
      </c>
      <c r="R268" s="1889">
        <v>189677</v>
      </c>
    </row>
    <row r="269" spans="1:18">
      <c r="A269" s="863">
        <f t="shared" si="4"/>
        <v>2012.08</v>
      </c>
      <c r="B269" s="1881">
        <v>897584</v>
      </c>
      <c r="C269" s="1882"/>
      <c r="D269" s="3618"/>
      <c r="E269" s="1882"/>
      <c r="F269" s="1883">
        <v>2560</v>
      </c>
      <c r="G269" s="1884">
        <v>30176</v>
      </c>
      <c r="H269" s="3619">
        <v>11106</v>
      </c>
      <c r="I269" s="1884">
        <v>28629</v>
      </c>
      <c r="J269" s="3619">
        <v>20247</v>
      </c>
      <c r="K269" s="1884">
        <v>4963</v>
      </c>
      <c r="L269" s="3619">
        <v>4563</v>
      </c>
      <c r="M269" s="1884">
        <v>8508</v>
      </c>
      <c r="N269" s="1885">
        <v>5857</v>
      </c>
      <c r="O269" s="2373">
        <f t="shared" si="5"/>
        <v>116609</v>
      </c>
      <c r="P269" s="1888">
        <v>62088</v>
      </c>
      <c r="Q269" s="1885">
        <v>662</v>
      </c>
      <c r="R269" s="1889">
        <v>236141</v>
      </c>
    </row>
    <row r="270" spans="1:18">
      <c r="A270" s="863">
        <f t="shared" si="4"/>
        <v>2012.09</v>
      </c>
      <c r="B270" s="1881">
        <v>712294</v>
      </c>
      <c r="C270" s="1882"/>
      <c r="D270" s="3618"/>
      <c r="E270" s="1882"/>
      <c r="F270" s="1883">
        <v>1069</v>
      </c>
      <c r="G270" s="1891">
        <v>30498</v>
      </c>
      <c r="H270" s="3619">
        <v>9053</v>
      </c>
      <c r="I270" s="1884">
        <v>20281</v>
      </c>
      <c r="J270" s="3619">
        <v>6516</v>
      </c>
      <c r="K270" s="1884">
        <v>2451</v>
      </c>
      <c r="L270" s="3619">
        <v>2010</v>
      </c>
      <c r="M270" s="1884">
        <v>7446</v>
      </c>
      <c r="N270" s="1885">
        <v>2531</v>
      </c>
      <c r="O270" s="2373">
        <f t="shared" si="5"/>
        <v>81855</v>
      </c>
      <c r="P270" s="1888">
        <v>47932</v>
      </c>
      <c r="Q270" s="1885">
        <v>500</v>
      </c>
      <c r="R270" s="1889">
        <v>134451</v>
      </c>
    </row>
    <row r="271" spans="1:18">
      <c r="A271" s="863">
        <f t="shared" si="4"/>
        <v>2012.1</v>
      </c>
      <c r="B271" s="1881">
        <v>866944</v>
      </c>
      <c r="C271" s="1882"/>
      <c r="D271" s="3618"/>
      <c r="E271" s="1882"/>
      <c r="F271" s="1883">
        <v>2807</v>
      </c>
      <c r="G271" s="1884">
        <v>12739</v>
      </c>
      <c r="H271" s="3619">
        <v>8975</v>
      </c>
      <c r="I271" s="1884">
        <v>12200</v>
      </c>
      <c r="J271" s="3619">
        <v>7488</v>
      </c>
      <c r="K271" s="1884">
        <v>2385</v>
      </c>
      <c r="L271" s="3619">
        <v>2993</v>
      </c>
      <c r="M271" s="1884">
        <v>6926</v>
      </c>
      <c r="N271" s="1885">
        <v>2024</v>
      </c>
      <c r="O271" s="2373">
        <f t="shared" si="5"/>
        <v>58537</v>
      </c>
      <c r="P271" s="1888">
        <v>60654</v>
      </c>
      <c r="Q271" s="1885">
        <v>309</v>
      </c>
      <c r="R271" s="1889">
        <v>159811</v>
      </c>
    </row>
    <row r="272" spans="1:18">
      <c r="A272" s="863">
        <f t="shared" si="4"/>
        <v>2012.11</v>
      </c>
      <c r="B272" s="1881">
        <v>650084</v>
      </c>
      <c r="C272" s="1882"/>
      <c r="D272" s="3618"/>
      <c r="E272" s="1882"/>
      <c r="F272" s="1883">
        <v>4297</v>
      </c>
      <c r="G272" s="1884">
        <v>14633</v>
      </c>
      <c r="H272" s="3619">
        <v>6186</v>
      </c>
      <c r="I272" s="1884">
        <v>14276</v>
      </c>
      <c r="J272" s="3619">
        <v>6990</v>
      </c>
      <c r="K272" s="1884">
        <v>2690</v>
      </c>
      <c r="L272" s="3619">
        <v>4435</v>
      </c>
      <c r="M272" s="1884">
        <v>5600</v>
      </c>
      <c r="N272" s="1885">
        <v>2538</v>
      </c>
      <c r="O272" s="2373">
        <f t="shared" si="5"/>
        <v>61645</v>
      </c>
      <c r="P272" s="1888">
        <v>56507</v>
      </c>
      <c r="Q272" s="1885">
        <v>2798</v>
      </c>
      <c r="R272" s="1889">
        <v>153489</v>
      </c>
    </row>
    <row r="273" spans="1:16369">
      <c r="A273" s="863">
        <f t="shared" si="4"/>
        <v>2012.12</v>
      </c>
      <c r="B273" s="1881">
        <v>788119</v>
      </c>
      <c r="C273" s="1882"/>
      <c r="D273" s="3618"/>
      <c r="E273" s="1882"/>
      <c r="F273" s="1883">
        <v>1800</v>
      </c>
      <c r="G273" s="1884">
        <v>10142</v>
      </c>
      <c r="H273" s="3619">
        <v>3988</v>
      </c>
      <c r="I273" s="1884">
        <v>12985</v>
      </c>
      <c r="J273" s="3619">
        <v>3976</v>
      </c>
      <c r="K273" s="1884">
        <v>2485</v>
      </c>
      <c r="L273" s="3619">
        <v>3111</v>
      </c>
      <c r="M273" s="1884">
        <v>4081</v>
      </c>
      <c r="N273" s="1885">
        <v>1617</v>
      </c>
      <c r="O273" s="2373">
        <f t="shared" si="5"/>
        <v>44185</v>
      </c>
      <c r="P273" s="1888">
        <v>35731</v>
      </c>
      <c r="Q273" s="1885">
        <v>3609</v>
      </c>
      <c r="R273" s="1889">
        <v>127706</v>
      </c>
    </row>
    <row r="274" spans="1:16369">
      <c r="A274" s="863">
        <f t="shared" si="4"/>
        <v>2013.01</v>
      </c>
      <c r="B274" s="1881">
        <v>491563</v>
      </c>
      <c r="C274" s="1882"/>
      <c r="D274" s="3618"/>
      <c r="E274" s="1882"/>
      <c r="F274" s="1883">
        <v>2528</v>
      </c>
      <c r="G274" s="1884">
        <v>11171</v>
      </c>
      <c r="H274" s="3619">
        <v>1237</v>
      </c>
      <c r="I274" s="1884">
        <v>10990</v>
      </c>
      <c r="J274" s="3619">
        <v>6887</v>
      </c>
      <c r="K274" s="1884">
        <v>4548</v>
      </c>
      <c r="L274" s="3619">
        <v>7192</v>
      </c>
      <c r="M274" s="1884">
        <v>9769</v>
      </c>
      <c r="N274" s="1885">
        <v>2719</v>
      </c>
      <c r="O274" s="2373">
        <f t="shared" si="5"/>
        <v>57041</v>
      </c>
      <c r="P274" s="1888">
        <v>72324</v>
      </c>
      <c r="Q274" s="1885">
        <v>507</v>
      </c>
      <c r="R274" s="1889">
        <v>195114</v>
      </c>
    </row>
    <row r="275" spans="1:16369" s="872" customFormat="1">
      <c r="A275" s="863">
        <f t="shared" si="4"/>
        <v>2013.02</v>
      </c>
      <c r="B275" s="1881">
        <v>526011</v>
      </c>
      <c r="C275" s="1882"/>
      <c r="D275" s="3618"/>
      <c r="E275" s="1882"/>
      <c r="F275" s="1883">
        <v>1531</v>
      </c>
      <c r="G275" s="1884">
        <v>12102</v>
      </c>
      <c r="H275" s="3619">
        <v>10208</v>
      </c>
      <c r="I275" s="1884">
        <v>13756</v>
      </c>
      <c r="J275" s="3619">
        <v>5769</v>
      </c>
      <c r="K275" s="1884">
        <v>2798</v>
      </c>
      <c r="L275" s="3619">
        <v>2958</v>
      </c>
      <c r="M275" s="1884">
        <v>3986</v>
      </c>
      <c r="N275" s="1885">
        <v>1062</v>
      </c>
      <c r="O275" s="2373">
        <f t="shared" si="5"/>
        <v>54170</v>
      </c>
      <c r="P275" s="1888">
        <v>22613</v>
      </c>
      <c r="Q275" s="1885">
        <v>2312</v>
      </c>
      <c r="R275" s="1889">
        <v>109513</v>
      </c>
      <c r="S275" s="192"/>
      <c r="T275" s="192"/>
      <c r="U275" s="192"/>
      <c r="V275" s="192"/>
      <c r="W275" s="192"/>
      <c r="X275" s="192"/>
      <c r="Y275" s="192"/>
      <c r="Z275" s="192"/>
      <c r="AA275" s="192"/>
      <c r="AB275" s="192"/>
      <c r="AC275" s="192"/>
      <c r="AD275" s="192"/>
      <c r="AE275" s="192"/>
      <c r="AF275" s="192"/>
      <c r="AG275" s="192"/>
      <c r="AH275" s="192"/>
      <c r="AI275" s="192"/>
      <c r="AJ275" s="192"/>
      <c r="AK275" s="192"/>
      <c r="AL275" s="192"/>
      <c r="AM275" s="192"/>
      <c r="AN275" s="192"/>
      <c r="AO275" s="192"/>
      <c r="AP275" s="192"/>
      <c r="AQ275" s="192"/>
      <c r="AR275" s="192"/>
      <c r="AS275" s="192"/>
      <c r="AT275" s="192"/>
      <c r="AU275" s="192"/>
      <c r="AV275" s="192"/>
      <c r="AW275" s="192"/>
      <c r="AX275" s="192"/>
      <c r="AY275" s="192"/>
      <c r="AZ275" s="192"/>
      <c r="BA275" s="192"/>
      <c r="BB275" s="192"/>
      <c r="BC275" s="192"/>
      <c r="BD275" s="192"/>
      <c r="BE275" s="192"/>
      <c r="BF275" s="192"/>
      <c r="BG275" s="192"/>
      <c r="BH275" s="192"/>
      <c r="BI275" s="192"/>
      <c r="BJ275" s="192"/>
      <c r="BK275" s="192"/>
      <c r="BL275" s="192"/>
      <c r="BM275" s="192"/>
      <c r="BN275" s="192"/>
      <c r="BO275" s="192"/>
      <c r="BP275" s="192"/>
      <c r="BQ275" s="192"/>
      <c r="BR275" s="192"/>
      <c r="BS275" s="192"/>
      <c r="BT275" s="192"/>
      <c r="BU275" s="192"/>
      <c r="BV275" s="192"/>
      <c r="BW275" s="192"/>
      <c r="BX275" s="192"/>
      <c r="BY275" s="192"/>
      <c r="BZ275" s="192"/>
      <c r="CA275" s="192"/>
      <c r="CB275" s="192"/>
      <c r="CC275" s="192"/>
      <c r="CD275" s="192"/>
      <c r="CE275" s="192"/>
      <c r="CF275" s="192"/>
      <c r="CG275" s="192"/>
      <c r="CH275" s="192"/>
      <c r="CI275" s="192"/>
      <c r="CJ275" s="192"/>
      <c r="CK275" s="192"/>
      <c r="CL275" s="192"/>
      <c r="CM275" s="192"/>
      <c r="CN275" s="192"/>
      <c r="CO275" s="192"/>
      <c r="CP275" s="192"/>
      <c r="CQ275" s="192"/>
      <c r="CR275" s="192"/>
      <c r="CS275" s="192"/>
      <c r="CT275" s="192"/>
      <c r="CU275" s="192"/>
      <c r="CV275" s="192"/>
      <c r="CW275" s="192"/>
      <c r="CX275" s="192"/>
      <c r="CY275" s="192"/>
      <c r="CZ275" s="192"/>
      <c r="DA275" s="192"/>
      <c r="DB275" s="192"/>
      <c r="DC275" s="192"/>
      <c r="DD275" s="192"/>
      <c r="DE275" s="192"/>
      <c r="DF275" s="192"/>
      <c r="DG275" s="192"/>
      <c r="DH275" s="192"/>
      <c r="DI275" s="192"/>
      <c r="DJ275" s="192"/>
      <c r="DK275" s="192"/>
      <c r="DL275" s="192"/>
      <c r="DM275" s="192"/>
      <c r="DN275" s="192"/>
      <c r="DO275" s="192"/>
      <c r="DP275" s="192"/>
      <c r="DQ275" s="192"/>
      <c r="DR275" s="192"/>
      <c r="DS275" s="192"/>
      <c r="DT275" s="192"/>
      <c r="DU275" s="192"/>
      <c r="DV275" s="192"/>
      <c r="DW275" s="192"/>
      <c r="DX275" s="192"/>
      <c r="DY275" s="192"/>
      <c r="DZ275" s="192"/>
      <c r="EA275" s="192"/>
      <c r="EB275" s="192"/>
      <c r="EC275" s="192"/>
      <c r="ED275" s="192"/>
      <c r="EE275" s="192"/>
      <c r="EF275" s="192"/>
      <c r="EG275" s="192"/>
      <c r="EH275" s="192"/>
      <c r="EI275" s="192"/>
      <c r="EJ275" s="192"/>
      <c r="EK275" s="192"/>
      <c r="EL275" s="192"/>
      <c r="EM275" s="192"/>
      <c r="EN275" s="192"/>
      <c r="EO275" s="192"/>
      <c r="EP275" s="192"/>
      <c r="EQ275" s="192"/>
      <c r="ER275" s="192"/>
      <c r="ES275" s="192"/>
      <c r="ET275" s="192"/>
      <c r="EU275" s="192"/>
      <c r="EV275" s="192"/>
      <c r="EW275" s="192"/>
      <c r="EX275" s="192"/>
      <c r="EY275" s="192"/>
      <c r="EZ275" s="192"/>
      <c r="FA275" s="192"/>
      <c r="FB275" s="192"/>
      <c r="FC275" s="192"/>
      <c r="FD275" s="192"/>
      <c r="FE275" s="192"/>
      <c r="FF275" s="192"/>
      <c r="FG275" s="192"/>
      <c r="FH275" s="192"/>
      <c r="FI275" s="192"/>
      <c r="FJ275" s="192"/>
      <c r="FK275" s="192"/>
      <c r="FL275" s="192"/>
      <c r="FM275" s="192"/>
      <c r="FN275" s="192"/>
      <c r="FO275" s="192"/>
      <c r="FP275" s="192"/>
      <c r="FQ275" s="192"/>
      <c r="FR275" s="192"/>
      <c r="FS275" s="192"/>
      <c r="FT275" s="192"/>
      <c r="FU275" s="192"/>
      <c r="FV275" s="192"/>
      <c r="FW275" s="192"/>
      <c r="FX275" s="192"/>
      <c r="FY275" s="192"/>
      <c r="FZ275" s="192"/>
      <c r="GA275" s="192"/>
      <c r="GB275" s="192"/>
      <c r="GC275" s="192"/>
      <c r="GD275" s="192"/>
      <c r="GE275" s="192"/>
      <c r="GF275" s="192"/>
      <c r="GG275" s="192"/>
      <c r="GH275" s="192"/>
      <c r="GI275" s="192"/>
      <c r="GJ275" s="192"/>
      <c r="GK275" s="192"/>
      <c r="GL275" s="192"/>
      <c r="GM275" s="192"/>
      <c r="GN275" s="192"/>
      <c r="GO275" s="192"/>
      <c r="GP275" s="192"/>
      <c r="GQ275" s="192"/>
      <c r="GR275" s="192"/>
      <c r="GS275" s="192"/>
      <c r="GT275" s="192"/>
      <c r="GU275" s="192"/>
      <c r="GV275" s="192"/>
      <c r="GW275" s="192"/>
      <c r="GX275" s="192"/>
      <c r="GY275" s="192"/>
      <c r="GZ275" s="192"/>
      <c r="HA275" s="192"/>
      <c r="HB275" s="192"/>
      <c r="HC275" s="192"/>
      <c r="HD275" s="192"/>
      <c r="HE275" s="192"/>
      <c r="HF275" s="192"/>
      <c r="HG275" s="192"/>
      <c r="HH275" s="192"/>
      <c r="HI275" s="192"/>
      <c r="HJ275" s="192"/>
      <c r="HK275" s="192"/>
      <c r="HL275" s="192"/>
      <c r="HM275" s="192"/>
      <c r="HN275" s="192"/>
      <c r="HO275" s="192"/>
      <c r="HP275" s="192"/>
      <c r="HQ275" s="192"/>
      <c r="HR275" s="192"/>
      <c r="HS275" s="192"/>
      <c r="HT275" s="192"/>
      <c r="HU275" s="192"/>
      <c r="HV275" s="192"/>
      <c r="HW275" s="192"/>
      <c r="HX275" s="192"/>
      <c r="HY275" s="192"/>
      <c r="HZ275" s="192"/>
      <c r="IA275" s="192"/>
      <c r="IB275" s="192"/>
      <c r="IC275" s="192"/>
      <c r="ID275" s="192"/>
      <c r="IE275" s="192"/>
      <c r="IF275" s="192"/>
      <c r="IG275" s="192"/>
      <c r="IH275" s="192"/>
      <c r="II275" s="192"/>
      <c r="IJ275" s="192"/>
      <c r="IK275" s="192"/>
      <c r="IL275" s="192"/>
      <c r="IM275" s="192"/>
      <c r="IN275" s="192"/>
      <c r="IO275" s="192"/>
      <c r="IP275" s="192"/>
      <c r="IQ275" s="192"/>
      <c r="IR275" s="192"/>
      <c r="IS275" s="192"/>
      <c r="IT275" s="192"/>
      <c r="IU275" s="192"/>
      <c r="IV275" s="192"/>
      <c r="IW275" s="192"/>
      <c r="IX275" s="192"/>
      <c r="IY275" s="192"/>
      <c r="IZ275" s="192"/>
      <c r="JA275" s="192"/>
      <c r="JB275" s="192"/>
      <c r="JC275" s="192"/>
      <c r="JD275" s="192"/>
      <c r="JE275" s="192"/>
      <c r="JF275" s="192"/>
      <c r="JG275" s="192"/>
      <c r="JH275" s="192"/>
      <c r="JI275" s="192"/>
      <c r="JJ275" s="192"/>
      <c r="JK275" s="192"/>
      <c r="JL275" s="192"/>
      <c r="JM275" s="192"/>
      <c r="JN275" s="192"/>
      <c r="JO275" s="192"/>
      <c r="JP275" s="192"/>
      <c r="JQ275" s="192"/>
      <c r="JR275" s="192"/>
      <c r="JS275" s="192"/>
      <c r="JT275" s="192"/>
      <c r="JU275" s="192"/>
      <c r="JV275" s="192"/>
      <c r="JW275" s="192"/>
      <c r="JX275" s="192"/>
      <c r="JY275" s="192"/>
      <c r="JZ275" s="192"/>
      <c r="KA275" s="192"/>
      <c r="KB275" s="192"/>
      <c r="KC275" s="192"/>
      <c r="KD275" s="192"/>
      <c r="KE275" s="192"/>
      <c r="KF275" s="192"/>
      <c r="KG275" s="192"/>
      <c r="KH275" s="192"/>
      <c r="KI275" s="192"/>
      <c r="KJ275" s="192"/>
      <c r="KK275" s="192"/>
      <c r="KL275" s="192"/>
      <c r="KM275" s="192"/>
      <c r="KN275" s="192"/>
      <c r="KO275" s="192"/>
      <c r="KP275" s="192"/>
      <c r="KQ275" s="192"/>
      <c r="KR275" s="192"/>
      <c r="KS275" s="192"/>
      <c r="KT275" s="192"/>
      <c r="KU275" s="192"/>
      <c r="KV275" s="192"/>
      <c r="KW275" s="192"/>
      <c r="KX275" s="192"/>
      <c r="KY275" s="192"/>
      <c r="KZ275" s="192"/>
      <c r="LA275" s="192"/>
      <c r="LB275" s="192"/>
      <c r="LC275" s="192"/>
      <c r="LD275" s="192"/>
      <c r="LE275" s="192"/>
      <c r="LF275" s="192"/>
      <c r="LG275" s="192"/>
      <c r="LH275" s="192"/>
      <c r="LI275" s="192"/>
      <c r="LJ275" s="192"/>
      <c r="LK275" s="192"/>
      <c r="LL275" s="192"/>
      <c r="LM275" s="192"/>
      <c r="LN275" s="192"/>
      <c r="LO275" s="192"/>
      <c r="LP275" s="192"/>
      <c r="LQ275" s="192"/>
      <c r="LR275" s="192"/>
      <c r="LS275" s="192"/>
      <c r="LT275" s="192"/>
      <c r="LU275" s="192"/>
      <c r="LV275" s="192"/>
      <c r="LW275" s="192"/>
      <c r="LX275" s="192"/>
      <c r="LY275" s="192"/>
      <c r="LZ275" s="192"/>
      <c r="MA275" s="192"/>
      <c r="MB275" s="192"/>
      <c r="MC275" s="192"/>
      <c r="MD275" s="192"/>
      <c r="ME275" s="192"/>
      <c r="MF275" s="192"/>
      <c r="MG275" s="192"/>
      <c r="MH275" s="192"/>
      <c r="MI275" s="192"/>
      <c r="MJ275" s="192"/>
      <c r="MK275" s="192"/>
      <c r="ML275" s="192"/>
      <c r="MM275" s="192"/>
      <c r="MN275" s="192"/>
      <c r="MO275" s="192"/>
      <c r="MP275" s="192"/>
      <c r="MQ275" s="192"/>
      <c r="MR275" s="192"/>
      <c r="MS275" s="192"/>
      <c r="MT275" s="192"/>
      <c r="MU275" s="192"/>
      <c r="MV275" s="192"/>
      <c r="MW275" s="192"/>
      <c r="MX275" s="192"/>
      <c r="MY275" s="192"/>
      <c r="MZ275" s="192"/>
      <c r="NA275" s="192"/>
      <c r="NB275" s="192"/>
      <c r="NC275" s="192"/>
      <c r="ND275" s="192"/>
      <c r="NE275" s="192"/>
      <c r="NF275" s="192"/>
      <c r="NG275" s="192"/>
      <c r="NH275" s="192"/>
      <c r="NI275" s="192"/>
      <c r="NJ275" s="192"/>
      <c r="NK275" s="192"/>
      <c r="NL275" s="192"/>
      <c r="NM275" s="192"/>
      <c r="NN275" s="192"/>
      <c r="NO275" s="192"/>
      <c r="NP275" s="192"/>
      <c r="NQ275" s="192"/>
      <c r="NR275" s="192"/>
      <c r="NS275" s="192"/>
      <c r="NT275" s="192"/>
      <c r="NU275" s="192"/>
      <c r="NV275" s="192"/>
      <c r="NW275" s="192"/>
      <c r="NX275" s="192"/>
      <c r="NY275" s="192"/>
      <c r="NZ275" s="192"/>
      <c r="OA275" s="192"/>
      <c r="OB275" s="192"/>
      <c r="OC275" s="192"/>
      <c r="OD275" s="192"/>
      <c r="OE275" s="192"/>
      <c r="OF275" s="192"/>
      <c r="OG275" s="192"/>
      <c r="OH275" s="192"/>
      <c r="OI275" s="192"/>
      <c r="OJ275" s="192"/>
      <c r="OK275" s="192"/>
      <c r="OL275" s="192"/>
      <c r="OM275" s="192"/>
      <c r="ON275" s="192"/>
      <c r="OO275" s="192"/>
      <c r="OP275" s="192"/>
      <c r="OQ275" s="192"/>
      <c r="OR275" s="192"/>
      <c r="OS275" s="192"/>
      <c r="OT275" s="192"/>
      <c r="OU275" s="192"/>
      <c r="OV275" s="192"/>
      <c r="OW275" s="192"/>
      <c r="OX275" s="192"/>
      <c r="OY275" s="192"/>
      <c r="OZ275" s="192"/>
      <c r="PA275" s="192"/>
      <c r="PB275" s="192"/>
      <c r="PC275" s="192"/>
      <c r="PD275" s="192"/>
      <c r="PE275" s="192"/>
      <c r="PF275" s="192"/>
      <c r="PG275" s="192"/>
      <c r="PH275" s="192"/>
      <c r="PI275" s="192"/>
      <c r="PJ275" s="192"/>
      <c r="PK275" s="192"/>
      <c r="PL275" s="192"/>
      <c r="PM275" s="192"/>
      <c r="PN275" s="192"/>
      <c r="PO275" s="192"/>
      <c r="PP275" s="192"/>
      <c r="PQ275" s="192"/>
      <c r="PR275" s="192"/>
      <c r="PS275" s="192"/>
      <c r="PT275" s="192"/>
      <c r="PU275" s="192"/>
      <c r="PV275" s="192"/>
      <c r="PW275" s="192"/>
      <c r="PX275" s="192"/>
      <c r="PY275" s="192"/>
      <c r="PZ275" s="192"/>
      <c r="QA275" s="192"/>
      <c r="QB275" s="192"/>
      <c r="QC275" s="192"/>
      <c r="QD275" s="192"/>
      <c r="QE275" s="192"/>
      <c r="QF275" s="192"/>
      <c r="QG275" s="192"/>
      <c r="QH275" s="192"/>
      <c r="QI275" s="192"/>
      <c r="QJ275" s="192"/>
      <c r="QK275" s="192"/>
      <c r="QL275" s="192"/>
      <c r="QM275" s="192"/>
      <c r="QN275" s="192"/>
      <c r="QO275" s="192"/>
      <c r="QP275" s="192"/>
      <c r="QQ275" s="192"/>
      <c r="QR275" s="192"/>
      <c r="QS275" s="192"/>
      <c r="QT275" s="192"/>
      <c r="QU275" s="192"/>
      <c r="QV275" s="192"/>
      <c r="QW275" s="192"/>
      <c r="QX275" s="192"/>
      <c r="QY275" s="192"/>
      <c r="QZ275" s="192"/>
      <c r="RA275" s="192"/>
      <c r="RB275" s="192"/>
      <c r="RC275" s="192"/>
      <c r="RD275" s="192"/>
      <c r="RE275" s="192"/>
      <c r="RF275" s="192"/>
      <c r="RG275" s="192"/>
      <c r="RH275" s="192"/>
      <c r="RI275" s="192"/>
      <c r="RJ275" s="192"/>
      <c r="RK275" s="192"/>
      <c r="RL275" s="192"/>
      <c r="RM275" s="192"/>
      <c r="RN275" s="192"/>
      <c r="RO275" s="192"/>
      <c r="RP275" s="192"/>
      <c r="RQ275" s="192"/>
      <c r="RR275" s="192"/>
      <c r="RS275" s="192"/>
      <c r="RT275" s="192"/>
      <c r="RU275" s="192"/>
      <c r="RV275" s="192"/>
      <c r="RW275" s="192"/>
      <c r="RX275" s="192"/>
      <c r="RY275" s="192"/>
      <c r="RZ275" s="192"/>
      <c r="SA275" s="192"/>
      <c r="SB275" s="192"/>
      <c r="SC275" s="192"/>
      <c r="SD275" s="192"/>
      <c r="SE275" s="192"/>
      <c r="SF275" s="192"/>
      <c r="SG275" s="192"/>
      <c r="SH275" s="192"/>
      <c r="SI275" s="192"/>
      <c r="SJ275" s="192"/>
      <c r="SK275" s="192"/>
      <c r="SL275" s="192"/>
      <c r="SM275" s="192"/>
      <c r="SN275" s="192"/>
      <c r="SO275" s="192"/>
      <c r="SP275" s="192"/>
      <c r="SQ275" s="192"/>
      <c r="SR275" s="192"/>
      <c r="SS275" s="192"/>
      <c r="ST275" s="192"/>
      <c r="SU275" s="192"/>
      <c r="SV275" s="192"/>
      <c r="SW275" s="192"/>
      <c r="SX275" s="192"/>
      <c r="SY275" s="192"/>
      <c r="SZ275" s="192"/>
      <c r="TA275" s="192"/>
      <c r="TB275" s="192"/>
      <c r="TC275" s="192"/>
      <c r="TD275" s="192"/>
      <c r="TE275" s="192"/>
      <c r="TF275" s="192"/>
      <c r="TG275" s="192"/>
      <c r="TH275" s="192"/>
      <c r="TI275" s="192"/>
      <c r="TJ275" s="192"/>
      <c r="TK275" s="192"/>
      <c r="TL275" s="192"/>
      <c r="TM275" s="192"/>
      <c r="TN275" s="192"/>
      <c r="TO275" s="192"/>
      <c r="TP275" s="192"/>
      <c r="TQ275" s="192"/>
      <c r="TR275" s="192"/>
      <c r="TS275" s="192"/>
      <c r="TT275" s="192"/>
      <c r="TU275" s="192"/>
      <c r="TV275" s="192"/>
      <c r="TW275" s="192"/>
      <c r="TX275" s="192"/>
      <c r="TY275" s="192"/>
      <c r="TZ275" s="192"/>
      <c r="UA275" s="192"/>
      <c r="UB275" s="192"/>
      <c r="UC275" s="192"/>
      <c r="UD275" s="192"/>
      <c r="UE275" s="192"/>
      <c r="UF275" s="192"/>
      <c r="UG275" s="192"/>
      <c r="UH275" s="192"/>
      <c r="UI275" s="192"/>
      <c r="UJ275" s="192"/>
      <c r="UK275" s="192"/>
      <c r="UL275" s="192"/>
      <c r="UM275" s="192"/>
      <c r="UN275" s="192"/>
      <c r="UO275" s="192"/>
      <c r="UP275" s="192"/>
      <c r="UQ275" s="192"/>
      <c r="UR275" s="192"/>
      <c r="US275" s="192"/>
      <c r="UT275" s="192"/>
      <c r="UU275" s="192"/>
      <c r="UV275" s="192"/>
      <c r="UW275" s="192"/>
      <c r="UX275" s="192"/>
      <c r="UY275" s="192"/>
      <c r="UZ275" s="192"/>
      <c r="VA275" s="192"/>
      <c r="VB275" s="192"/>
      <c r="VC275" s="192"/>
      <c r="VD275" s="192"/>
      <c r="VE275" s="192"/>
      <c r="VF275" s="192"/>
      <c r="VG275" s="192"/>
      <c r="VH275" s="192"/>
      <c r="VI275" s="192"/>
      <c r="VJ275" s="192"/>
      <c r="VK275" s="192"/>
      <c r="VL275" s="192"/>
      <c r="VM275" s="192"/>
      <c r="VN275" s="192"/>
      <c r="VO275" s="192"/>
      <c r="VP275" s="192"/>
      <c r="VQ275" s="192"/>
      <c r="VR275" s="192"/>
      <c r="VS275" s="192"/>
      <c r="VT275" s="192"/>
      <c r="VU275" s="192"/>
      <c r="VV275" s="192"/>
      <c r="VW275" s="192"/>
      <c r="VX275" s="192"/>
      <c r="VY275" s="192"/>
      <c r="VZ275" s="192"/>
      <c r="WA275" s="192"/>
      <c r="WB275" s="192"/>
      <c r="WC275" s="192"/>
      <c r="WD275" s="192"/>
      <c r="WE275" s="192"/>
      <c r="WF275" s="192"/>
      <c r="WG275" s="192"/>
      <c r="WH275" s="192"/>
      <c r="WI275" s="192"/>
      <c r="WJ275" s="192"/>
      <c r="WK275" s="192"/>
      <c r="WL275" s="192"/>
      <c r="WM275" s="192"/>
      <c r="WN275" s="192"/>
      <c r="WO275" s="192"/>
      <c r="WP275" s="192"/>
      <c r="WQ275" s="192"/>
      <c r="WR275" s="192"/>
      <c r="WS275" s="192"/>
      <c r="WT275" s="192"/>
      <c r="WU275" s="192"/>
      <c r="WV275" s="192"/>
      <c r="WW275" s="192"/>
      <c r="WX275" s="192"/>
      <c r="WY275" s="192"/>
      <c r="WZ275" s="192"/>
      <c r="XA275" s="192"/>
      <c r="XB275" s="192"/>
      <c r="XC275" s="192"/>
      <c r="XD275" s="192"/>
      <c r="XE275" s="192"/>
      <c r="XF275" s="192"/>
      <c r="XG275" s="192"/>
      <c r="XH275" s="192"/>
      <c r="XI275" s="192"/>
      <c r="XJ275" s="192"/>
      <c r="XK275" s="192"/>
      <c r="XL275" s="192"/>
      <c r="XM275" s="192"/>
      <c r="XN275" s="192"/>
      <c r="XO275" s="192"/>
      <c r="XP275" s="192"/>
      <c r="XQ275" s="192"/>
      <c r="XR275" s="192"/>
      <c r="XS275" s="192"/>
      <c r="XT275" s="192"/>
      <c r="XU275" s="192"/>
      <c r="XV275" s="192"/>
      <c r="XW275" s="192"/>
      <c r="XX275" s="192"/>
      <c r="XY275" s="192"/>
      <c r="XZ275" s="192"/>
      <c r="YA275" s="192"/>
      <c r="YB275" s="192"/>
      <c r="YC275" s="192"/>
      <c r="YD275" s="192"/>
      <c r="YE275" s="192"/>
      <c r="YF275" s="192"/>
      <c r="YG275" s="192"/>
      <c r="YH275" s="192"/>
      <c r="YI275" s="192"/>
      <c r="YJ275" s="192"/>
      <c r="YK275" s="192"/>
      <c r="YL275" s="192"/>
      <c r="YM275" s="192"/>
      <c r="YN275" s="192"/>
      <c r="YO275" s="192"/>
      <c r="YP275" s="192"/>
      <c r="YQ275" s="192"/>
      <c r="YR275" s="192"/>
      <c r="YS275" s="192"/>
      <c r="YT275" s="192"/>
      <c r="YU275" s="192"/>
      <c r="YV275" s="192"/>
      <c r="YW275" s="192"/>
      <c r="YX275" s="192"/>
      <c r="YY275" s="192"/>
      <c r="YZ275" s="192"/>
      <c r="ZA275" s="192"/>
      <c r="ZB275" s="192"/>
      <c r="ZC275" s="192"/>
      <c r="ZD275" s="192"/>
      <c r="ZE275" s="192"/>
      <c r="ZF275" s="192"/>
      <c r="ZG275" s="192"/>
      <c r="ZH275" s="192"/>
      <c r="ZI275" s="192"/>
      <c r="ZJ275" s="192"/>
      <c r="ZK275" s="192"/>
      <c r="ZL275" s="192"/>
      <c r="ZM275" s="192"/>
      <c r="ZN275" s="192"/>
      <c r="ZO275" s="192"/>
      <c r="ZP275" s="192"/>
      <c r="ZQ275" s="192"/>
      <c r="ZR275" s="192"/>
      <c r="ZS275" s="192"/>
      <c r="ZT275" s="192"/>
      <c r="ZU275" s="192"/>
      <c r="ZV275" s="192"/>
      <c r="ZW275" s="192"/>
      <c r="ZX275" s="192"/>
      <c r="ZY275" s="192"/>
      <c r="ZZ275" s="192"/>
      <c r="AAA275" s="192"/>
      <c r="AAB275" s="192"/>
      <c r="AAC275" s="192"/>
      <c r="AAD275" s="192"/>
      <c r="AAE275" s="192"/>
      <c r="AAF275" s="192"/>
      <c r="AAG275" s="192"/>
      <c r="AAH275" s="192"/>
      <c r="AAI275" s="192"/>
      <c r="AAJ275" s="192"/>
      <c r="AAK275" s="192"/>
      <c r="AAL275" s="192"/>
      <c r="AAM275" s="192"/>
      <c r="AAN275" s="192"/>
      <c r="AAO275" s="192"/>
      <c r="AAP275" s="192"/>
      <c r="AAQ275" s="192"/>
      <c r="AAR275" s="192"/>
      <c r="AAS275" s="192"/>
      <c r="AAT275" s="192"/>
      <c r="AAU275" s="192"/>
      <c r="AAV275" s="192"/>
      <c r="AAW275" s="192"/>
      <c r="AAX275" s="192"/>
      <c r="AAY275" s="192"/>
      <c r="AAZ275" s="192"/>
      <c r="ABA275" s="192"/>
      <c r="ABB275" s="192"/>
      <c r="ABC275" s="192"/>
      <c r="ABD275" s="192"/>
      <c r="ABE275" s="192"/>
      <c r="ABF275" s="192"/>
      <c r="ABG275" s="192"/>
      <c r="ABH275" s="192"/>
      <c r="ABI275" s="192"/>
      <c r="ABJ275" s="192"/>
      <c r="ABK275" s="192"/>
      <c r="ABL275" s="192"/>
      <c r="ABM275" s="192"/>
      <c r="ABN275" s="192"/>
      <c r="ABO275" s="192"/>
      <c r="ABP275" s="192"/>
      <c r="ABQ275" s="192"/>
      <c r="ABR275" s="192"/>
      <c r="ABS275" s="192"/>
      <c r="ABT275" s="192"/>
      <c r="ABU275" s="192"/>
      <c r="ABV275" s="192"/>
      <c r="ABW275" s="192"/>
      <c r="ABX275" s="192"/>
      <c r="ABY275" s="192"/>
      <c r="ABZ275" s="192"/>
      <c r="ACA275" s="192"/>
      <c r="ACB275" s="192"/>
      <c r="ACC275" s="192"/>
      <c r="ACD275" s="192"/>
      <c r="ACE275" s="192"/>
      <c r="ACF275" s="192"/>
      <c r="ACG275" s="192"/>
      <c r="ACH275" s="192"/>
      <c r="ACI275" s="192"/>
      <c r="ACJ275" s="192"/>
      <c r="ACK275" s="192"/>
      <c r="ACL275" s="192"/>
      <c r="ACM275" s="192"/>
      <c r="ACN275" s="192"/>
      <c r="ACO275" s="192"/>
      <c r="ACP275" s="192"/>
      <c r="ACQ275" s="192"/>
      <c r="ACR275" s="192"/>
      <c r="ACS275" s="192"/>
      <c r="ACT275" s="192"/>
      <c r="ACU275" s="192"/>
      <c r="ACV275" s="192"/>
      <c r="ACW275" s="192"/>
      <c r="ACX275" s="192"/>
      <c r="ACY275" s="192"/>
      <c r="ACZ275" s="192"/>
      <c r="ADA275" s="192"/>
      <c r="ADB275" s="192"/>
      <c r="ADC275" s="192"/>
      <c r="ADD275" s="192"/>
      <c r="ADE275" s="192"/>
      <c r="ADF275" s="192"/>
      <c r="ADG275" s="192"/>
      <c r="ADH275" s="192"/>
      <c r="ADI275" s="192"/>
      <c r="ADJ275" s="192"/>
      <c r="ADK275" s="192"/>
      <c r="ADL275" s="192"/>
      <c r="ADM275" s="192"/>
      <c r="ADN275" s="192"/>
      <c r="ADO275" s="192"/>
      <c r="ADP275" s="192"/>
      <c r="ADQ275" s="192"/>
      <c r="ADR275" s="192"/>
      <c r="ADS275" s="192"/>
      <c r="ADT275" s="192"/>
      <c r="ADU275" s="192"/>
      <c r="ADV275" s="192"/>
      <c r="ADW275" s="192"/>
      <c r="ADX275" s="192"/>
      <c r="ADY275" s="192"/>
      <c r="ADZ275" s="192"/>
      <c r="AEA275" s="192"/>
      <c r="AEB275" s="192"/>
      <c r="AEC275" s="192"/>
      <c r="AED275" s="192"/>
      <c r="AEE275" s="192"/>
      <c r="AEF275" s="192"/>
      <c r="AEG275" s="192"/>
      <c r="AEH275" s="192"/>
      <c r="AEI275" s="192"/>
      <c r="AEJ275" s="192"/>
      <c r="AEK275" s="192"/>
      <c r="AEL275" s="192"/>
      <c r="AEM275" s="192"/>
      <c r="AEN275" s="192"/>
      <c r="AEO275" s="192"/>
      <c r="AEP275" s="192"/>
      <c r="AEQ275" s="192"/>
      <c r="AER275" s="192"/>
      <c r="AES275" s="192"/>
      <c r="AET275" s="192"/>
      <c r="AEU275" s="192"/>
      <c r="AEV275" s="192"/>
      <c r="AEW275" s="192"/>
      <c r="AEX275" s="192"/>
      <c r="AEY275" s="192"/>
      <c r="AEZ275" s="192"/>
      <c r="AFA275" s="192"/>
      <c r="AFB275" s="192"/>
      <c r="AFC275" s="192"/>
      <c r="AFD275" s="192"/>
      <c r="AFE275" s="192"/>
      <c r="AFF275" s="192"/>
      <c r="AFG275" s="192"/>
      <c r="AFH275" s="192"/>
      <c r="AFI275" s="192"/>
      <c r="AFJ275" s="192"/>
      <c r="AFK275" s="192"/>
      <c r="AFL275" s="192"/>
      <c r="AFM275" s="192"/>
      <c r="AFN275" s="192"/>
      <c r="AFO275" s="192"/>
      <c r="AFP275" s="192"/>
      <c r="AFQ275" s="192"/>
      <c r="AFR275" s="192"/>
      <c r="AFS275" s="192"/>
      <c r="AFT275" s="192"/>
      <c r="AFU275" s="192"/>
      <c r="AFV275" s="192"/>
      <c r="AFW275" s="192"/>
      <c r="AFX275" s="192"/>
      <c r="AFY275" s="192"/>
      <c r="AFZ275" s="192"/>
      <c r="AGA275" s="192"/>
      <c r="AGB275" s="192"/>
      <c r="AGC275" s="192"/>
      <c r="AGD275" s="192"/>
      <c r="AGE275" s="192"/>
      <c r="AGF275" s="192"/>
      <c r="AGG275" s="192"/>
      <c r="AGH275" s="192"/>
      <c r="AGI275" s="192"/>
      <c r="AGJ275" s="192"/>
      <c r="AGK275" s="192"/>
      <c r="AGL275" s="192"/>
      <c r="AGM275" s="192"/>
      <c r="AGN275" s="192"/>
      <c r="AGO275" s="192"/>
      <c r="AGP275" s="192"/>
      <c r="AGQ275" s="192"/>
      <c r="AGR275" s="192"/>
      <c r="AGS275" s="192"/>
      <c r="AGT275" s="192"/>
      <c r="AGU275" s="192"/>
      <c r="AGV275" s="192"/>
      <c r="AGW275" s="192"/>
      <c r="AGX275" s="192"/>
      <c r="AGY275" s="192"/>
      <c r="AGZ275" s="192"/>
      <c r="AHA275" s="192"/>
      <c r="AHB275" s="192"/>
      <c r="AHC275" s="192"/>
      <c r="AHD275" s="192"/>
      <c r="AHE275" s="192"/>
      <c r="AHF275" s="192"/>
      <c r="AHG275" s="192"/>
      <c r="AHH275" s="192"/>
      <c r="AHI275" s="192"/>
      <c r="AHJ275" s="192"/>
      <c r="AHK275" s="192"/>
      <c r="AHL275" s="192"/>
      <c r="AHM275" s="192"/>
      <c r="AHN275" s="192"/>
      <c r="AHO275" s="192"/>
      <c r="AHP275" s="192"/>
      <c r="AHQ275" s="192"/>
      <c r="AHR275" s="192"/>
      <c r="AHS275" s="192"/>
      <c r="AHT275" s="192"/>
      <c r="AHU275" s="192"/>
      <c r="AHV275" s="192"/>
      <c r="AHW275" s="192"/>
      <c r="AHX275" s="192"/>
      <c r="AHY275" s="192"/>
      <c r="AHZ275" s="192"/>
      <c r="AIA275" s="192"/>
      <c r="AIB275" s="192"/>
      <c r="AIC275" s="192"/>
      <c r="AID275" s="192"/>
      <c r="AIE275" s="192"/>
      <c r="AIF275" s="192"/>
      <c r="AIG275" s="192"/>
      <c r="AIH275" s="192"/>
      <c r="AII275" s="192"/>
      <c r="AIJ275" s="192"/>
      <c r="AIK275" s="192"/>
      <c r="AIL275" s="192"/>
      <c r="AIM275" s="192"/>
      <c r="AIN275" s="192"/>
      <c r="AIO275" s="192"/>
      <c r="AIP275" s="192"/>
      <c r="AIQ275" s="192"/>
      <c r="AIR275" s="192"/>
      <c r="AIS275" s="192"/>
      <c r="AIT275" s="192"/>
      <c r="AIU275" s="192"/>
      <c r="AIV275" s="192"/>
      <c r="AIW275" s="192"/>
      <c r="AIX275" s="192"/>
      <c r="AIY275" s="192"/>
      <c r="AIZ275" s="192"/>
      <c r="AJA275" s="192"/>
      <c r="AJB275" s="192"/>
      <c r="AJC275" s="192"/>
      <c r="AJD275" s="192"/>
      <c r="AJE275" s="192"/>
      <c r="AJF275" s="192"/>
      <c r="AJG275" s="192"/>
      <c r="AJH275" s="192"/>
      <c r="AJI275" s="192"/>
      <c r="AJJ275" s="192"/>
      <c r="AJK275" s="192"/>
      <c r="AJL275" s="192"/>
      <c r="AJM275" s="192"/>
      <c r="AJN275" s="192"/>
      <c r="AJO275" s="192"/>
      <c r="AJP275" s="192"/>
      <c r="AJQ275" s="192"/>
      <c r="AJR275" s="192"/>
      <c r="AJS275" s="192"/>
      <c r="AJT275" s="192"/>
      <c r="AJU275" s="192"/>
      <c r="AJV275" s="192"/>
      <c r="AJW275" s="192"/>
      <c r="AJX275" s="192"/>
      <c r="AJY275" s="192"/>
      <c r="AJZ275" s="192"/>
      <c r="AKA275" s="192"/>
      <c r="AKB275" s="192"/>
      <c r="AKC275" s="192"/>
      <c r="AKD275" s="192"/>
      <c r="AKE275" s="192"/>
      <c r="AKF275" s="192"/>
      <c r="AKG275" s="192"/>
      <c r="AKH275" s="192"/>
      <c r="AKI275" s="192"/>
      <c r="AKJ275" s="192"/>
      <c r="AKK275" s="192"/>
      <c r="AKL275" s="192"/>
      <c r="AKM275" s="192"/>
      <c r="AKN275" s="192"/>
      <c r="AKO275" s="192"/>
      <c r="AKP275" s="192"/>
      <c r="AKQ275" s="192"/>
      <c r="AKR275" s="192"/>
      <c r="AKS275" s="192"/>
      <c r="AKT275" s="192"/>
      <c r="AKU275" s="192"/>
      <c r="AKV275" s="192"/>
      <c r="AKW275" s="192"/>
      <c r="AKX275" s="192"/>
      <c r="AKY275" s="192"/>
      <c r="AKZ275" s="192"/>
      <c r="ALA275" s="192"/>
      <c r="ALB275" s="192"/>
      <c r="ALC275" s="192"/>
      <c r="ALD275" s="192"/>
      <c r="ALE275" s="192"/>
      <c r="ALF275" s="192"/>
      <c r="ALG275" s="192"/>
      <c r="ALH275" s="192"/>
      <c r="ALI275" s="192"/>
      <c r="ALJ275" s="192"/>
      <c r="ALK275" s="192"/>
      <c r="ALL275" s="192"/>
      <c r="ALM275" s="192"/>
      <c r="ALN275" s="192"/>
      <c r="ALO275" s="192"/>
      <c r="ALP275" s="192"/>
      <c r="ALQ275" s="192"/>
      <c r="ALR275" s="192"/>
      <c r="ALS275" s="192"/>
      <c r="ALT275" s="192"/>
      <c r="ALU275" s="192"/>
      <c r="ALV275" s="192"/>
      <c r="ALW275" s="192"/>
      <c r="ALX275" s="192"/>
      <c r="ALY275" s="192"/>
      <c r="ALZ275" s="192"/>
      <c r="AMA275" s="192"/>
      <c r="AMB275" s="192"/>
      <c r="AMC275" s="192"/>
      <c r="AMD275" s="192"/>
      <c r="AME275" s="192"/>
      <c r="AMF275" s="192"/>
      <c r="AMG275" s="192"/>
      <c r="AMH275" s="192"/>
      <c r="AMI275" s="192"/>
      <c r="AMJ275" s="192"/>
      <c r="AMK275" s="192"/>
      <c r="AML275" s="192"/>
      <c r="AMM275" s="192"/>
      <c r="AMN275" s="192"/>
      <c r="AMO275" s="192"/>
      <c r="AMP275" s="192"/>
      <c r="AMQ275" s="192"/>
      <c r="AMR275" s="192"/>
      <c r="AMS275" s="192"/>
      <c r="AMT275" s="192"/>
      <c r="AMU275" s="192"/>
      <c r="AMV275" s="192"/>
      <c r="AMW275" s="192"/>
      <c r="AMX275" s="192"/>
      <c r="AMY275" s="192"/>
      <c r="AMZ275" s="192"/>
      <c r="ANA275" s="192"/>
      <c r="ANB275" s="192"/>
      <c r="ANC275" s="192"/>
      <c r="AND275" s="192"/>
      <c r="ANE275" s="192"/>
      <c r="ANF275" s="192"/>
      <c r="ANG275" s="192"/>
      <c r="ANH275" s="192"/>
      <c r="ANI275" s="192"/>
      <c r="ANJ275" s="192"/>
      <c r="ANK275" s="192"/>
      <c r="ANL275" s="192"/>
      <c r="ANM275" s="192"/>
      <c r="ANN275" s="192"/>
      <c r="ANO275" s="192"/>
      <c r="ANP275" s="192"/>
      <c r="ANQ275" s="192"/>
      <c r="ANR275" s="192"/>
      <c r="ANS275" s="192"/>
      <c r="ANT275" s="192"/>
      <c r="ANU275" s="192"/>
      <c r="ANV275" s="192"/>
      <c r="ANW275" s="192"/>
      <c r="ANX275" s="192"/>
      <c r="ANY275" s="192"/>
      <c r="ANZ275" s="192"/>
      <c r="AOA275" s="192"/>
      <c r="AOB275" s="192"/>
      <c r="AOC275" s="192"/>
      <c r="AOD275" s="192"/>
      <c r="AOE275" s="192"/>
      <c r="AOF275" s="192"/>
      <c r="AOG275" s="192"/>
      <c r="AOH275" s="192"/>
      <c r="AOI275" s="192"/>
      <c r="AOJ275" s="192"/>
      <c r="AOK275" s="192"/>
      <c r="AOL275" s="192"/>
      <c r="AOM275" s="192"/>
      <c r="AON275" s="192"/>
      <c r="AOO275" s="192"/>
      <c r="AOP275" s="192"/>
      <c r="AOQ275" s="192"/>
      <c r="AOR275" s="192"/>
      <c r="AOS275" s="192"/>
      <c r="AOT275" s="192"/>
      <c r="AOU275" s="192"/>
      <c r="AOV275" s="192"/>
      <c r="AOW275" s="192"/>
      <c r="AOX275" s="192"/>
      <c r="AOY275" s="192"/>
      <c r="AOZ275" s="192"/>
      <c r="APA275" s="192"/>
      <c r="APB275" s="192"/>
      <c r="APC275" s="192"/>
      <c r="APD275" s="192"/>
      <c r="APE275" s="192"/>
      <c r="APF275" s="192"/>
      <c r="APG275" s="192"/>
      <c r="APH275" s="192"/>
      <c r="API275" s="192"/>
      <c r="APJ275" s="192"/>
      <c r="APK275" s="192"/>
      <c r="APL275" s="192"/>
      <c r="APM275" s="192"/>
      <c r="APN275" s="192"/>
      <c r="APO275" s="192"/>
      <c r="APP275" s="192"/>
      <c r="APQ275" s="192"/>
      <c r="APR275" s="192"/>
      <c r="APS275" s="192"/>
      <c r="APT275" s="192"/>
      <c r="APU275" s="192"/>
      <c r="APV275" s="192"/>
      <c r="APW275" s="192"/>
      <c r="APX275" s="192"/>
      <c r="APY275" s="192"/>
      <c r="APZ275" s="192"/>
      <c r="AQA275" s="192"/>
      <c r="AQB275" s="192"/>
      <c r="AQC275" s="192"/>
      <c r="AQD275" s="192"/>
      <c r="AQE275" s="192"/>
      <c r="AQF275" s="192"/>
      <c r="AQG275" s="192"/>
      <c r="AQH275" s="192"/>
      <c r="AQI275" s="192"/>
      <c r="AQJ275" s="192"/>
      <c r="AQK275" s="192"/>
      <c r="AQL275" s="192"/>
      <c r="AQM275" s="192"/>
      <c r="AQN275" s="192"/>
      <c r="AQO275" s="192"/>
      <c r="AQP275" s="192"/>
      <c r="AQQ275" s="192"/>
      <c r="AQR275" s="192"/>
      <c r="AQS275" s="192"/>
      <c r="AQT275" s="192"/>
      <c r="AQU275" s="192"/>
      <c r="AQV275" s="192"/>
      <c r="AQW275" s="192"/>
      <c r="AQX275" s="192"/>
      <c r="AQY275" s="192"/>
      <c r="AQZ275" s="192"/>
      <c r="ARA275" s="192"/>
      <c r="ARB275" s="192"/>
      <c r="ARC275" s="192"/>
      <c r="ARD275" s="192"/>
      <c r="ARE275" s="192"/>
      <c r="ARF275" s="192"/>
      <c r="ARG275" s="192"/>
      <c r="ARH275" s="192"/>
      <c r="ARI275" s="192"/>
      <c r="ARJ275" s="192"/>
      <c r="ARK275" s="192"/>
      <c r="ARL275" s="192"/>
      <c r="ARM275" s="192"/>
      <c r="ARN275" s="192"/>
      <c r="ARO275" s="192"/>
      <c r="ARP275" s="192"/>
      <c r="ARQ275" s="192"/>
      <c r="ARR275" s="192"/>
      <c r="ARS275" s="192"/>
      <c r="ART275" s="192"/>
      <c r="ARU275" s="192"/>
      <c r="ARV275" s="192"/>
      <c r="ARW275" s="192"/>
      <c r="ARX275" s="192"/>
      <c r="ARY275" s="192"/>
      <c r="ARZ275" s="192"/>
      <c r="ASA275" s="192"/>
      <c r="ASB275" s="192"/>
      <c r="ASC275" s="192"/>
      <c r="ASD275" s="192"/>
      <c r="ASE275" s="192"/>
      <c r="ASF275" s="192"/>
      <c r="ASG275" s="192"/>
      <c r="ASH275" s="192"/>
      <c r="ASI275" s="192"/>
      <c r="ASJ275" s="192"/>
      <c r="ASK275" s="192"/>
      <c r="ASL275" s="192"/>
      <c r="ASM275" s="192"/>
      <c r="ASN275" s="192"/>
      <c r="ASO275" s="192"/>
      <c r="ASP275" s="192"/>
      <c r="ASQ275" s="192"/>
      <c r="ASR275" s="192"/>
      <c r="ASS275" s="192"/>
      <c r="AST275" s="192"/>
      <c r="ASU275" s="192"/>
      <c r="ASV275" s="192"/>
      <c r="ASW275" s="192"/>
      <c r="ASX275" s="192"/>
      <c r="ASY275" s="192"/>
      <c r="ASZ275" s="192"/>
      <c r="ATA275" s="192"/>
      <c r="ATB275" s="192"/>
      <c r="ATC275" s="192"/>
      <c r="ATD275" s="192"/>
      <c r="ATE275" s="192"/>
      <c r="ATF275" s="192"/>
      <c r="ATG275" s="192"/>
      <c r="ATH275" s="192"/>
      <c r="ATI275" s="192"/>
      <c r="ATJ275" s="192"/>
      <c r="ATK275" s="192"/>
      <c r="ATL275" s="192"/>
      <c r="ATM275" s="192"/>
      <c r="ATN275" s="192"/>
      <c r="ATO275" s="192"/>
      <c r="ATP275" s="192"/>
      <c r="ATQ275" s="192"/>
      <c r="ATR275" s="192"/>
      <c r="ATS275" s="192"/>
      <c r="ATT275" s="192"/>
      <c r="ATU275" s="192"/>
      <c r="ATV275" s="192"/>
      <c r="ATW275" s="192"/>
      <c r="ATX275" s="192"/>
      <c r="ATY275" s="192"/>
      <c r="ATZ275" s="192"/>
      <c r="AUA275" s="192"/>
      <c r="AUB275" s="192"/>
      <c r="AUC275" s="192"/>
      <c r="AUD275" s="192"/>
      <c r="AUE275" s="192"/>
      <c r="AUF275" s="192"/>
      <c r="AUG275" s="192"/>
      <c r="AUH275" s="192"/>
      <c r="AUI275" s="192"/>
      <c r="AUJ275" s="192"/>
      <c r="AUK275" s="192"/>
      <c r="AUL275" s="192"/>
      <c r="AUM275" s="192"/>
      <c r="AUN275" s="192"/>
      <c r="AUO275" s="192"/>
      <c r="AUP275" s="192"/>
      <c r="AUQ275" s="192"/>
      <c r="AUR275" s="192"/>
      <c r="AUS275" s="192"/>
      <c r="AUT275" s="192"/>
      <c r="AUU275" s="192"/>
      <c r="AUV275" s="192"/>
      <c r="AUW275" s="192"/>
      <c r="AUX275" s="192"/>
      <c r="AUY275" s="192"/>
      <c r="AUZ275" s="192"/>
      <c r="AVA275" s="192"/>
      <c r="AVB275" s="192"/>
      <c r="AVC275" s="192"/>
      <c r="AVD275" s="192"/>
      <c r="AVE275" s="192"/>
      <c r="AVF275" s="192"/>
      <c r="AVG275" s="192"/>
      <c r="AVH275" s="192"/>
      <c r="AVI275" s="192"/>
      <c r="AVJ275" s="192"/>
      <c r="AVK275" s="192"/>
      <c r="AVL275" s="192"/>
      <c r="AVM275" s="192"/>
      <c r="AVN275" s="192"/>
      <c r="AVO275" s="192"/>
      <c r="AVP275" s="192"/>
      <c r="AVQ275" s="192"/>
      <c r="AVR275" s="192"/>
      <c r="AVS275" s="192"/>
      <c r="AVT275" s="192"/>
      <c r="AVU275" s="192"/>
      <c r="AVV275" s="192"/>
      <c r="AVW275" s="192"/>
      <c r="AVX275" s="192"/>
      <c r="AVY275" s="192"/>
      <c r="AVZ275" s="192"/>
      <c r="AWA275" s="192"/>
      <c r="AWB275" s="192"/>
      <c r="AWC275" s="192"/>
      <c r="AWD275" s="192"/>
      <c r="AWE275" s="192"/>
      <c r="AWF275" s="192"/>
      <c r="AWG275" s="192"/>
      <c r="AWH275" s="192"/>
      <c r="AWI275" s="192"/>
      <c r="AWJ275" s="192"/>
      <c r="AWK275" s="192"/>
      <c r="AWL275" s="192"/>
      <c r="AWM275" s="192"/>
      <c r="AWN275" s="192"/>
      <c r="AWO275" s="192"/>
      <c r="AWP275" s="192"/>
      <c r="AWQ275" s="192"/>
      <c r="AWR275" s="192"/>
      <c r="AWS275" s="192"/>
      <c r="AWT275" s="192"/>
      <c r="AWU275" s="192"/>
      <c r="AWV275" s="192"/>
      <c r="AWW275" s="192"/>
      <c r="AWX275" s="192"/>
      <c r="AWY275" s="192"/>
      <c r="AWZ275" s="192"/>
      <c r="AXA275" s="192"/>
      <c r="AXB275" s="192"/>
      <c r="AXC275" s="192"/>
      <c r="AXD275" s="192"/>
      <c r="AXE275" s="192"/>
      <c r="AXF275" s="192"/>
      <c r="AXG275" s="192"/>
      <c r="AXH275" s="192"/>
      <c r="AXI275" s="192"/>
      <c r="AXJ275" s="192"/>
      <c r="AXK275" s="192"/>
      <c r="AXL275" s="192"/>
      <c r="AXM275" s="192"/>
      <c r="AXN275" s="192"/>
      <c r="AXO275" s="192"/>
      <c r="AXP275" s="192"/>
      <c r="AXQ275" s="192"/>
      <c r="AXR275" s="192"/>
      <c r="AXS275" s="192"/>
      <c r="AXT275" s="192"/>
      <c r="AXU275" s="192"/>
      <c r="AXV275" s="192"/>
      <c r="AXW275" s="192"/>
      <c r="AXX275" s="192"/>
      <c r="AXY275" s="192"/>
      <c r="AXZ275" s="192"/>
      <c r="AYA275" s="192"/>
      <c r="AYB275" s="192"/>
      <c r="AYC275" s="192"/>
      <c r="AYD275" s="192"/>
      <c r="AYE275" s="192"/>
      <c r="AYF275" s="192"/>
      <c r="AYG275" s="192"/>
      <c r="AYH275" s="192"/>
      <c r="AYI275" s="192"/>
      <c r="AYJ275" s="192"/>
      <c r="AYK275" s="192"/>
      <c r="AYL275" s="192"/>
      <c r="AYM275" s="192"/>
      <c r="AYN275" s="192"/>
      <c r="AYO275" s="192"/>
      <c r="AYP275" s="192"/>
      <c r="AYQ275" s="192"/>
      <c r="AYR275" s="192"/>
      <c r="AYS275" s="192"/>
      <c r="AYT275" s="192"/>
      <c r="AYU275" s="192"/>
      <c r="AYV275" s="192"/>
      <c r="AYW275" s="192"/>
      <c r="AYX275" s="192"/>
      <c r="AYY275" s="192"/>
      <c r="AYZ275" s="192"/>
      <c r="AZA275" s="192"/>
      <c r="AZB275" s="192"/>
      <c r="AZC275" s="192"/>
      <c r="AZD275" s="192"/>
      <c r="AZE275" s="192"/>
      <c r="AZF275" s="192"/>
      <c r="AZG275" s="192"/>
      <c r="AZH275" s="192"/>
      <c r="AZI275" s="192"/>
      <c r="AZJ275" s="192"/>
      <c r="AZK275" s="192"/>
      <c r="AZL275" s="192"/>
      <c r="AZM275" s="192"/>
      <c r="AZN275" s="192"/>
      <c r="AZO275" s="192"/>
      <c r="AZP275" s="192"/>
      <c r="AZQ275" s="192"/>
      <c r="AZR275" s="192"/>
      <c r="AZS275" s="192"/>
      <c r="AZT275" s="192"/>
      <c r="AZU275" s="192"/>
      <c r="AZV275" s="192"/>
      <c r="AZW275" s="192"/>
      <c r="AZX275" s="192"/>
      <c r="AZY275" s="192"/>
      <c r="AZZ275" s="192"/>
      <c r="BAA275" s="192"/>
      <c r="BAB275" s="192"/>
      <c r="BAC275" s="192"/>
      <c r="BAD275" s="192"/>
      <c r="BAE275" s="192"/>
      <c r="BAF275" s="192"/>
      <c r="BAG275" s="192"/>
      <c r="BAH275" s="192"/>
      <c r="BAI275" s="192"/>
      <c r="BAJ275" s="192"/>
      <c r="BAK275" s="192"/>
      <c r="BAL275" s="192"/>
      <c r="BAM275" s="192"/>
      <c r="BAN275" s="192"/>
      <c r="BAO275" s="192"/>
      <c r="BAP275" s="192"/>
      <c r="BAQ275" s="192"/>
      <c r="BAR275" s="192"/>
      <c r="BAS275" s="192"/>
      <c r="BAT275" s="192"/>
      <c r="BAU275" s="192"/>
      <c r="BAV275" s="192"/>
      <c r="BAW275" s="192"/>
      <c r="BAX275" s="192"/>
      <c r="BAY275" s="192"/>
      <c r="BAZ275" s="192"/>
      <c r="BBA275" s="192"/>
      <c r="BBB275" s="192"/>
      <c r="BBC275" s="192"/>
      <c r="BBD275" s="192"/>
      <c r="BBE275" s="192"/>
      <c r="BBF275" s="192"/>
      <c r="BBG275" s="192"/>
      <c r="BBH275" s="192"/>
      <c r="BBI275" s="192"/>
      <c r="BBJ275" s="192"/>
      <c r="BBK275" s="192"/>
      <c r="BBL275" s="192"/>
      <c r="BBM275" s="192"/>
      <c r="BBN275" s="192"/>
      <c r="BBO275" s="192"/>
      <c r="BBP275" s="192"/>
      <c r="BBQ275" s="192"/>
      <c r="BBR275" s="192"/>
      <c r="BBS275" s="192"/>
      <c r="BBT275" s="192"/>
      <c r="BBU275" s="192"/>
      <c r="BBV275" s="192"/>
      <c r="BBW275" s="192"/>
      <c r="BBX275" s="192"/>
      <c r="BBY275" s="192"/>
      <c r="BBZ275" s="192"/>
      <c r="BCA275" s="192"/>
      <c r="BCB275" s="192"/>
      <c r="BCC275" s="192"/>
      <c r="BCD275" s="192"/>
      <c r="BCE275" s="192"/>
      <c r="BCF275" s="192"/>
      <c r="BCG275" s="192"/>
      <c r="BCH275" s="192"/>
      <c r="BCI275" s="192"/>
      <c r="BCJ275" s="192"/>
      <c r="BCK275" s="192"/>
      <c r="BCL275" s="192"/>
      <c r="BCM275" s="192"/>
      <c r="BCN275" s="192"/>
      <c r="BCO275" s="192"/>
      <c r="BCP275" s="192"/>
      <c r="BCQ275" s="192"/>
      <c r="BCR275" s="192"/>
      <c r="BCS275" s="192"/>
      <c r="BCT275" s="192"/>
      <c r="BCU275" s="192"/>
      <c r="BCV275" s="192"/>
      <c r="BCW275" s="192"/>
      <c r="BCX275" s="192"/>
      <c r="BCY275" s="192"/>
      <c r="BCZ275" s="192"/>
      <c r="BDA275" s="192"/>
      <c r="BDB275" s="192"/>
      <c r="BDC275" s="192"/>
      <c r="BDD275" s="192"/>
      <c r="BDE275" s="192"/>
      <c r="BDF275" s="192"/>
      <c r="BDG275" s="192"/>
      <c r="BDH275" s="192"/>
      <c r="BDI275" s="192"/>
      <c r="BDJ275" s="192"/>
      <c r="BDK275" s="192"/>
      <c r="BDL275" s="192"/>
      <c r="BDM275" s="192"/>
      <c r="BDN275" s="192"/>
      <c r="BDO275" s="192"/>
      <c r="BDP275" s="192"/>
      <c r="BDQ275" s="192"/>
      <c r="BDR275" s="192"/>
      <c r="BDS275" s="192"/>
      <c r="BDT275" s="192"/>
      <c r="BDU275" s="192"/>
      <c r="BDV275" s="192"/>
      <c r="BDW275" s="192"/>
      <c r="BDX275" s="192"/>
      <c r="BDY275" s="192"/>
      <c r="BDZ275" s="192"/>
      <c r="BEA275" s="192"/>
      <c r="BEB275" s="192"/>
      <c r="BEC275" s="192"/>
      <c r="BED275" s="192"/>
      <c r="BEE275" s="192"/>
      <c r="BEF275" s="192"/>
      <c r="BEG275" s="192"/>
      <c r="BEH275" s="192"/>
      <c r="BEI275" s="192"/>
      <c r="BEJ275" s="192"/>
      <c r="BEK275" s="192"/>
      <c r="BEL275" s="192"/>
      <c r="BEM275" s="192"/>
      <c r="BEN275" s="192"/>
      <c r="BEO275" s="192"/>
      <c r="BEP275" s="192"/>
      <c r="BEQ275" s="192"/>
      <c r="BER275" s="192"/>
      <c r="BES275" s="192"/>
      <c r="BET275" s="192"/>
      <c r="BEU275" s="192"/>
      <c r="BEV275" s="192"/>
      <c r="BEW275" s="192"/>
      <c r="BEX275" s="192"/>
      <c r="BEY275" s="192"/>
      <c r="BEZ275" s="192"/>
      <c r="BFA275" s="192"/>
      <c r="BFB275" s="192"/>
      <c r="BFC275" s="192"/>
      <c r="BFD275" s="192"/>
      <c r="BFE275" s="192"/>
      <c r="BFF275" s="192"/>
      <c r="BFG275" s="192"/>
      <c r="BFH275" s="192"/>
      <c r="BFI275" s="192"/>
      <c r="BFJ275" s="192"/>
      <c r="BFK275" s="192"/>
      <c r="BFL275" s="192"/>
      <c r="BFM275" s="192"/>
      <c r="BFN275" s="192"/>
      <c r="BFO275" s="192"/>
      <c r="BFP275" s="192"/>
      <c r="BFQ275" s="192"/>
      <c r="BFR275" s="192"/>
      <c r="BFS275" s="192"/>
      <c r="BFT275" s="192"/>
      <c r="BFU275" s="192"/>
      <c r="BFV275" s="192"/>
      <c r="BFW275" s="192"/>
      <c r="BFX275" s="192"/>
      <c r="BFY275" s="192"/>
      <c r="BFZ275" s="192"/>
      <c r="BGA275" s="192"/>
      <c r="BGB275" s="192"/>
      <c r="BGC275" s="192"/>
      <c r="BGD275" s="192"/>
      <c r="BGE275" s="192"/>
      <c r="BGF275" s="192"/>
      <c r="BGG275" s="192"/>
      <c r="BGH275" s="192"/>
      <c r="BGI275" s="192"/>
      <c r="BGJ275" s="192"/>
      <c r="BGK275" s="192"/>
      <c r="BGL275" s="192"/>
      <c r="BGM275" s="192"/>
      <c r="BGN275" s="192"/>
      <c r="BGO275" s="192"/>
      <c r="BGP275" s="192"/>
      <c r="BGQ275" s="192"/>
      <c r="BGR275" s="192"/>
      <c r="BGS275" s="192"/>
      <c r="BGT275" s="192"/>
      <c r="BGU275" s="192"/>
      <c r="BGV275" s="192"/>
      <c r="BGW275" s="192"/>
      <c r="BGX275" s="192"/>
      <c r="BGY275" s="192"/>
      <c r="BGZ275" s="192"/>
      <c r="BHA275" s="192"/>
      <c r="BHB275" s="192"/>
      <c r="BHC275" s="192"/>
      <c r="BHD275" s="192"/>
      <c r="BHE275" s="192"/>
      <c r="BHF275" s="192"/>
      <c r="BHG275" s="192"/>
      <c r="BHH275" s="192"/>
      <c r="BHI275" s="192"/>
      <c r="BHJ275" s="192"/>
      <c r="BHK275" s="192"/>
      <c r="BHL275" s="192"/>
      <c r="BHM275" s="192"/>
      <c r="BHN275" s="192"/>
      <c r="BHO275" s="192"/>
      <c r="BHP275" s="192"/>
      <c r="BHQ275" s="192"/>
      <c r="BHR275" s="192"/>
      <c r="BHS275" s="192"/>
      <c r="BHT275" s="192"/>
      <c r="BHU275" s="192"/>
      <c r="BHV275" s="192"/>
      <c r="BHW275" s="192"/>
      <c r="BHX275" s="192"/>
      <c r="BHY275" s="192"/>
      <c r="BHZ275" s="192"/>
      <c r="BIA275" s="192"/>
      <c r="BIB275" s="192"/>
      <c r="BIC275" s="192"/>
      <c r="BID275" s="192"/>
      <c r="BIE275" s="192"/>
      <c r="BIF275" s="192"/>
      <c r="BIG275" s="192"/>
      <c r="BIH275" s="192"/>
      <c r="BII275" s="192"/>
      <c r="BIJ275" s="192"/>
      <c r="BIK275" s="192"/>
      <c r="BIL275" s="192"/>
      <c r="BIM275" s="192"/>
      <c r="BIN275" s="192"/>
      <c r="BIO275" s="192"/>
      <c r="BIP275" s="192"/>
      <c r="BIQ275" s="192"/>
      <c r="BIR275" s="192"/>
      <c r="BIS275" s="192"/>
      <c r="BIT275" s="192"/>
      <c r="BIU275" s="192"/>
      <c r="BIV275" s="192"/>
      <c r="BIW275" s="192"/>
      <c r="BIX275" s="192"/>
      <c r="BIY275" s="192"/>
      <c r="BIZ275" s="192"/>
      <c r="BJA275" s="192"/>
      <c r="BJB275" s="192"/>
      <c r="BJC275" s="192"/>
      <c r="BJD275" s="192"/>
      <c r="BJE275" s="192"/>
      <c r="BJF275" s="192"/>
      <c r="BJG275" s="192"/>
      <c r="BJH275" s="192"/>
      <c r="BJI275" s="192"/>
      <c r="BJJ275" s="192"/>
      <c r="BJK275" s="192"/>
      <c r="BJL275" s="192"/>
      <c r="BJM275" s="192"/>
      <c r="BJN275" s="192"/>
      <c r="BJO275" s="192"/>
      <c r="BJP275" s="192"/>
      <c r="BJQ275" s="192"/>
      <c r="BJR275" s="192"/>
      <c r="BJS275" s="192"/>
      <c r="BJT275" s="192"/>
      <c r="BJU275" s="192"/>
      <c r="BJV275" s="192"/>
      <c r="BJW275" s="192"/>
      <c r="BJX275" s="192"/>
      <c r="BJY275" s="192"/>
      <c r="BJZ275" s="192"/>
      <c r="BKA275" s="192"/>
      <c r="BKB275" s="192"/>
      <c r="BKC275" s="192"/>
      <c r="BKD275" s="192"/>
      <c r="BKE275" s="192"/>
      <c r="BKF275" s="192"/>
      <c r="BKG275" s="192"/>
      <c r="BKH275" s="192"/>
      <c r="BKI275" s="192"/>
      <c r="BKJ275" s="192"/>
      <c r="BKK275" s="192"/>
      <c r="BKL275" s="192"/>
      <c r="BKM275" s="192"/>
      <c r="BKN275" s="192"/>
      <c r="BKO275" s="192"/>
      <c r="BKP275" s="192"/>
      <c r="BKQ275" s="192"/>
      <c r="BKR275" s="192"/>
      <c r="BKS275" s="192"/>
      <c r="BKT275" s="192"/>
      <c r="BKU275" s="192"/>
      <c r="BKV275" s="192"/>
      <c r="BKW275" s="192"/>
      <c r="BKX275" s="192"/>
      <c r="BKY275" s="192"/>
      <c r="BKZ275" s="192"/>
      <c r="BLA275" s="192"/>
      <c r="BLB275" s="192"/>
      <c r="BLC275" s="192"/>
      <c r="BLD275" s="192"/>
      <c r="BLE275" s="192"/>
      <c r="BLF275" s="192"/>
      <c r="BLG275" s="192"/>
      <c r="BLH275" s="192"/>
      <c r="BLI275" s="192"/>
      <c r="BLJ275" s="192"/>
      <c r="BLK275" s="192"/>
      <c r="BLL275" s="192"/>
      <c r="BLM275" s="192"/>
      <c r="BLN275" s="192"/>
      <c r="BLO275" s="192"/>
      <c r="BLP275" s="192"/>
      <c r="BLQ275" s="192"/>
      <c r="BLR275" s="192"/>
      <c r="BLS275" s="192"/>
      <c r="BLT275" s="192"/>
      <c r="BLU275" s="192"/>
      <c r="BLV275" s="192"/>
      <c r="BLW275" s="192"/>
      <c r="BLX275" s="192"/>
      <c r="BLY275" s="192"/>
      <c r="BLZ275" s="192"/>
      <c r="BMA275" s="192"/>
      <c r="BMB275" s="192"/>
      <c r="BMC275" s="192"/>
      <c r="BMD275" s="192"/>
      <c r="BME275" s="192"/>
      <c r="BMF275" s="192"/>
      <c r="BMG275" s="192"/>
      <c r="BMH275" s="192"/>
      <c r="BMI275" s="192"/>
      <c r="BMJ275" s="192"/>
      <c r="BMK275" s="192"/>
      <c r="BML275" s="192"/>
      <c r="BMM275" s="192"/>
      <c r="BMN275" s="192"/>
      <c r="BMO275" s="192"/>
      <c r="BMP275" s="192"/>
      <c r="BMQ275" s="192"/>
      <c r="BMR275" s="192"/>
      <c r="BMS275" s="192"/>
      <c r="BMT275" s="192"/>
      <c r="BMU275" s="192"/>
      <c r="BMV275" s="192"/>
      <c r="BMW275" s="192"/>
      <c r="BMX275" s="192"/>
      <c r="BMY275" s="192"/>
      <c r="BMZ275" s="192"/>
      <c r="BNA275" s="192"/>
      <c r="BNB275" s="192"/>
      <c r="BNC275" s="192"/>
      <c r="BND275" s="192"/>
      <c r="BNE275" s="192"/>
      <c r="BNF275" s="192"/>
      <c r="BNG275" s="192"/>
      <c r="BNH275" s="192"/>
      <c r="BNI275" s="192"/>
      <c r="BNJ275" s="192"/>
      <c r="BNK275" s="192"/>
      <c r="BNL275" s="192"/>
      <c r="BNM275" s="192"/>
      <c r="BNN275" s="192"/>
      <c r="BNO275" s="192"/>
      <c r="BNP275" s="192"/>
      <c r="BNQ275" s="192"/>
      <c r="BNR275" s="192"/>
      <c r="BNS275" s="192"/>
      <c r="BNT275" s="192"/>
      <c r="BNU275" s="192"/>
      <c r="BNV275" s="192"/>
      <c r="BNW275" s="192"/>
      <c r="BNX275" s="192"/>
      <c r="BNY275" s="192"/>
      <c r="BNZ275" s="192"/>
      <c r="BOA275" s="192"/>
      <c r="BOB275" s="192"/>
      <c r="BOC275" s="192"/>
      <c r="BOD275" s="192"/>
      <c r="BOE275" s="192"/>
      <c r="BOF275" s="192"/>
      <c r="BOG275" s="192"/>
      <c r="BOH275" s="192"/>
      <c r="BOI275" s="192"/>
      <c r="BOJ275" s="192"/>
      <c r="BOK275" s="192"/>
      <c r="BOL275" s="192"/>
      <c r="BOM275" s="192"/>
      <c r="BON275" s="192"/>
      <c r="BOO275" s="192"/>
      <c r="BOP275" s="192"/>
      <c r="BOQ275" s="192"/>
      <c r="BOR275" s="192"/>
      <c r="BOS275" s="192"/>
      <c r="BOT275" s="192"/>
      <c r="BOU275" s="192"/>
      <c r="BOV275" s="192"/>
      <c r="BOW275" s="192"/>
      <c r="BOX275" s="192"/>
      <c r="BOY275" s="192"/>
      <c r="BOZ275" s="192"/>
      <c r="BPA275" s="192"/>
      <c r="BPB275" s="192"/>
      <c r="BPC275" s="192"/>
      <c r="BPD275" s="192"/>
      <c r="BPE275" s="192"/>
      <c r="BPF275" s="192"/>
      <c r="BPG275" s="192"/>
      <c r="BPH275" s="192"/>
      <c r="BPI275" s="192"/>
      <c r="BPJ275" s="192"/>
      <c r="BPK275" s="192"/>
      <c r="BPL275" s="192"/>
      <c r="BPM275" s="192"/>
      <c r="BPN275" s="192"/>
      <c r="BPO275" s="192"/>
      <c r="BPP275" s="192"/>
      <c r="BPQ275" s="192"/>
      <c r="BPR275" s="192"/>
      <c r="BPS275" s="192"/>
      <c r="BPT275" s="192"/>
      <c r="BPU275" s="192"/>
      <c r="BPV275" s="192"/>
      <c r="BPW275" s="192"/>
      <c r="BPX275" s="192"/>
      <c r="BPY275" s="192"/>
      <c r="BPZ275" s="192"/>
      <c r="BQA275" s="192"/>
      <c r="BQB275" s="192"/>
      <c r="BQC275" s="192"/>
      <c r="BQD275" s="192"/>
      <c r="BQE275" s="192"/>
      <c r="BQF275" s="192"/>
      <c r="BQG275" s="192"/>
      <c r="BQH275" s="192"/>
      <c r="BQI275" s="192"/>
      <c r="BQJ275" s="192"/>
      <c r="BQK275" s="192"/>
      <c r="BQL275" s="192"/>
      <c r="BQM275" s="192"/>
      <c r="BQN275" s="192"/>
      <c r="BQO275" s="192"/>
      <c r="BQP275" s="192"/>
      <c r="BQQ275" s="192"/>
      <c r="BQR275" s="192"/>
      <c r="BQS275" s="192"/>
      <c r="BQT275" s="192"/>
      <c r="BQU275" s="192"/>
      <c r="BQV275" s="192"/>
      <c r="BQW275" s="192"/>
      <c r="BQX275" s="192"/>
      <c r="BQY275" s="192"/>
      <c r="BQZ275" s="192"/>
      <c r="BRA275" s="192"/>
      <c r="BRB275" s="192"/>
      <c r="BRC275" s="192"/>
      <c r="BRD275" s="192"/>
      <c r="BRE275" s="192"/>
      <c r="BRF275" s="192"/>
      <c r="BRG275" s="192"/>
      <c r="BRH275" s="192"/>
      <c r="BRI275" s="192"/>
      <c r="BRJ275" s="192"/>
      <c r="BRK275" s="192"/>
      <c r="BRL275" s="192"/>
      <c r="BRM275" s="192"/>
      <c r="BRN275" s="192"/>
      <c r="BRO275" s="192"/>
      <c r="BRP275" s="192"/>
      <c r="BRQ275" s="192"/>
      <c r="BRR275" s="192"/>
      <c r="BRS275" s="192"/>
      <c r="BRT275" s="192"/>
      <c r="BRU275" s="192"/>
      <c r="BRV275" s="192"/>
      <c r="BRW275" s="192"/>
      <c r="BRX275" s="192"/>
      <c r="BRY275" s="192"/>
      <c r="BRZ275" s="192"/>
      <c r="BSA275" s="192"/>
      <c r="BSB275" s="192"/>
      <c r="BSC275" s="192"/>
      <c r="BSD275" s="192"/>
      <c r="BSE275" s="192"/>
      <c r="BSF275" s="192"/>
      <c r="BSG275" s="192"/>
      <c r="BSH275" s="192"/>
      <c r="BSI275" s="192"/>
      <c r="BSJ275" s="192"/>
      <c r="BSK275" s="192"/>
      <c r="BSL275" s="192"/>
      <c r="BSM275" s="192"/>
      <c r="BSN275" s="192"/>
      <c r="BSO275" s="192"/>
      <c r="BSP275" s="192"/>
      <c r="BSQ275" s="192"/>
      <c r="BSR275" s="192"/>
      <c r="BSS275" s="192"/>
      <c r="BST275" s="192"/>
      <c r="BSU275" s="192"/>
      <c r="BSV275" s="192"/>
      <c r="BSW275" s="192"/>
      <c r="BSX275" s="192"/>
      <c r="BSY275" s="192"/>
      <c r="BSZ275" s="192"/>
      <c r="BTA275" s="192"/>
      <c r="BTB275" s="192"/>
      <c r="BTC275" s="192"/>
      <c r="BTD275" s="192"/>
      <c r="BTE275" s="192"/>
      <c r="BTF275" s="192"/>
      <c r="BTG275" s="192"/>
      <c r="BTH275" s="192"/>
      <c r="BTI275" s="192"/>
      <c r="BTJ275" s="192"/>
      <c r="BTK275" s="192"/>
      <c r="BTL275" s="192"/>
      <c r="BTM275" s="192"/>
      <c r="BTN275" s="192"/>
      <c r="BTO275" s="192"/>
      <c r="BTP275" s="192"/>
      <c r="BTQ275" s="192"/>
      <c r="BTR275" s="192"/>
      <c r="BTS275" s="192"/>
      <c r="BTT275" s="192"/>
      <c r="BTU275" s="192"/>
      <c r="BTV275" s="192"/>
      <c r="BTW275" s="192"/>
      <c r="BTX275" s="192"/>
      <c r="BTY275" s="192"/>
      <c r="BTZ275" s="192"/>
      <c r="BUA275" s="192"/>
      <c r="BUB275" s="192"/>
      <c r="BUC275" s="192"/>
      <c r="BUD275" s="192"/>
      <c r="BUE275" s="192"/>
      <c r="BUF275" s="192"/>
      <c r="BUG275" s="192"/>
      <c r="BUH275" s="192"/>
      <c r="BUI275" s="192"/>
      <c r="BUJ275" s="192"/>
      <c r="BUK275" s="192"/>
      <c r="BUL275" s="192"/>
      <c r="BUM275" s="192"/>
      <c r="BUN275" s="192"/>
      <c r="BUO275" s="192"/>
      <c r="BUP275" s="192"/>
      <c r="BUQ275" s="192"/>
      <c r="BUR275" s="192"/>
      <c r="BUS275" s="192"/>
      <c r="BUT275" s="192"/>
      <c r="BUU275" s="192"/>
      <c r="BUV275" s="192"/>
      <c r="BUW275" s="192"/>
      <c r="BUX275" s="192"/>
      <c r="BUY275" s="192"/>
      <c r="BUZ275" s="192"/>
      <c r="BVA275" s="192"/>
      <c r="BVB275" s="192"/>
      <c r="BVC275" s="192"/>
      <c r="BVD275" s="192"/>
      <c r="BVE275" s="192"/>
      <c r="BVF275" s="192"/>
      <c r="BVG275" s="192"/>
      <c r="BVH275" s="192"/>
      <c r="BVI275" s="192"/>
      <c r="BVJ275" s="192"/>
      <c r="BVK275" s="192"/>
      <c r="BVL275" s="192"/>
      <c r="BVM275" s="192"/>
      <c r="BVN275" s="192"/>
      <c r="BVO275" s="192"/>
      <c r="BVP275" s="192"/>
      <c r="BVQ275" s="192"/>
      <c r="BVR275" s="192"/>
      <c r="BVS275" s="192"/>
      <c r="BVT275" s="192"/>
      <c r="BVU275" s="192"/>
      <c r="BVV275" s="192"/>
      <c r="BVW275" s="192"/>
      <c r="BVX275" s="192"/>
      <c r="BVY275" s="192"/>
      <c r="BVZ275" s="192"/>
      <c r="BWA275" s="192"/>
      <c r="BWB275" s="192"/>
      <c r="BWC275" s="192"/>
      <c r="BWD275" s="192"/>
      <c r="BWE275" s="192"/>
      <c r="BWF275" s="192"/>
      <c r="BWG275" s="192"/>
      <c r="BWH275" s="192"/>
      <c r="BWI275" s="192"/>
      <c r="BWJ275" s="192"/>
      <c r="BWK275" s="192"/>
      <c r="BWL275" s="192"/>
      <c r="BWM275" s="192"/>
      <c r="BWN275" s="192"/>
      <c r="BWO275" s="192"/>
      <c r="BWP275" s="192"/>
      <c r="BWQ275" s="192"/>
      <c r="BWR275" s="192"/>
      <c r="BWS275" s="192"/>
      <c r="BWT275" s="192"/>
      <c r="BWU275" s="192"/>
      <c r="BWV275" s="192"/>
      <c r="BWW275" s="192"/>
      <c r="BWX275" s="192"/>
      <c r="BWY275" s="192"/>
      <c r="BWZ275" s="192"/>
      <c r="BXA275" s="192"/>
      <c r="BXB275" s="192"/>
      <c r="BXC275" s="192"/>
      <c r="BXD275" s="192"/>
      <c r="BXE275" s="192"/>
      <c r="BXF275" s="192"/>
      <c r="BXG275" s="192"/>
      <c r="BXH275" s="192"/>
      <c r="BXI275" s="192"/>
      <c r="BXJ275" s="192"/>
      <c r="BXK275" s="192"/>
      <c r="BXL275" s="192"/>
      <c r="BXM275" s="192"/>
      <c r="BXN275" s="192"/>
      <c r="BXO275" s="192"/>
      <c r="BXP275" s="192"/>
      <c r="BXQ275" s="192"/>
      <c r="BXR275" s="192"/>
      <c r="BXS275" s="192"/>
      <c r="BXT275" s="192"/>
      <c r="BXU275" s="192"/>
      <c r="BXV275" s="192"/>
      <c r="BXW275" s="192"/>
      <c r="BXX275" s="192"/>
      <c r="BXY275" s="192"/>
      <c r="BXZ275" s="192"/>
      <c r="BYA275" s="192"/>
      <c r="BYB275" s="192"/>
      <c r="BYC275" s="192"/>
      <c r="BYD275" s="192"/>
      <c r="BYE275" s="192"/>
      <c r="BYF275" s="192"/>
      <c r="BYG275" s="192"/>
      <c r="BYH275" s="192"/>
      <c r="BYI275" s="192"/>
      <c r="BYJ275" s="192"/>
      <c r="BYK275" s="192"/>
      <c r="BYL275" s="192"/>
      <c r="BYM275" s="192"/>
      <c r="BYN275" s="192"/>
      <c r="BYO275" s="192"/>
      <c r="BYP275" s="192"/>
      <c r="BYQ275" s="192"/>
      <c r="BYR275" s="192"/>
      <c r="BYS275" s="192"/>
      <c r="BYT275" s="192"/>
      <c r="BYU275" s="192"/>
      <c r="BYV275" s="192"/>
      <c r="BYW275" s="192"/>
      <c r="BYX275" s="192"/>
      <c r="BYY275" s="192"/>
      <c r="BYZ275" s="192"/>
      <c r="BZA275" s="192"/>
      <c r="BZB275" s="192"/>
      <c r="BZC275" s="192"/>
      <c r="BZD275" s="192"/>
      <c r="BZE275" s="192"/>
      <c r="BZF275" s="192"/>
      <c r="BZG275" s="192"/>
      <c r="BZH275" s="192"/>
      <c r="BZI275" s="192"/>
      <c r="BZJ275" s="192"/>
      <c r="BZK275" s="192"/>
      <c r="BZL275" s="192"/>
      <c r="BZM275" s="192"/>
      <c r="BZN275" s="192"/>
      <c r="BZO275" s="192"/>
      <c r="BZP275" s="192"/>
      <c r="BZQ275" s="192"/>
      <c r="BZR275" s="192"/>
      <c r="BZS275" s="192"/>
      <c r="BZT275" s="192"/>
      <c r="BZU275" s="192"/>
      <c r="BZV275" s="192"/>
      <c r="BZW275" s="192"/>
      <c r="BZX275" s="192"/>
      <c r="BZY275" s="192"/>
      <c r="BZZ275" s="192"/>
      <c r="CAA275" s="192"/>
      <c r="CAB275" s="192"/>
      <c r="CAC275" s="192"/>
      <c r="CAD275" s="192"/>
      <c r="CAE275" s="192"/>
      <c r="CAF275" s="192"/>
      <c r="CAG275" s="192"/>
      <c r="CAH275" s="192"/>
      <c r="CAI275" s="192"/>
      <c r="CAJ275" s="192"/>
      <c r="CAK275" s="192"/>
      <c r="CAL275" s="192"/>
      <c r="CAM275" s="192"/>
      <c r="CAN275" s="192"/>
      <c r="CAO275" s="192"/>
      <c r="CAP275" s="192"/>
      <c r="CAQ275" s="192"/>
      <c r="CAR275" s="192"/>
      <c r="CAS275" s="192"/>
      <c r="CAT275" s="192"/>
      <c r="CAU275" s="192"/>
      <c r="CAV275" s="192"/>
      <c r="CAW275" s="192"/>
      <c r="CAX275" s="192"/>
      <c r="CAY275" s="192"/>
      <c r="CAZ275" s="192"/>
      <c r="CBA275" s="192"/>
      <c r="CBB275" s="192"/>
      <c r="CBC275" s="192"/>
      <c r="CBD275" s="192"/>
      <c r="CBE275" s="192"/>
      <c r="CBF275" s="192"/>
      <c r="CBG275" s="192"/>
      <c r="CBH275" s="192"/>
      <c r="CBI275" s="192"/>
      <c r="CBJ275" s="192"/>
      <c r="CBK275" s="192"/>
      <c r="CBL275" s="192"/>
      <c r="CBM275" s="192"/>
      <c r="CBN275" s="192"/>
      <c r="CBO275" s="192"/>
      <c r="CBP275" s="192"/>
      <c r="CBQ275" s="192"/>
      <c r="CBR275" s="192"/>
      <c r="CBS275" s="192"/>
      <c r="CBT275" s="192"/>
      <c r="CBU275" s="192"/>
      <c r="CBV275" s="192"/>
      <c r="CBW275" s="192"/>
      <c r="CBX275" s="192"/>
      <c r="CBY275" s="192"/>
      <c r="CBZ275" s="192"/>
      <c r="CCA275" s="192"/>
      <c r="CCB275" s="192"/>
      <c r="CCC275" s="192"/>
      <c r="CCD275" s="192"/>
      <c r="CCE275" s="192"/>
      <c r="CCF275" s="192"/>
      <c r="CCG275" s="192"/>
      <c r="CCH275" s="192"/>
      <c r="CCI275" s="192"/>
      <c r="CCJ275" s="192"/>
      <c r="CCK275" s="192"/>
      <c r="CCL275" s="192"/>
      <c r="CCM275" s="192"/>
      <c r="CCN275" s="192"/>
      <c r="CCO275" s="192"/>
      <c r="CCP275" s="192"/>
      <c r="CCQ275" s="192"/>
      <c r="CCR275" s="192"/>
      <c r="CCS275" s="192"/>
      <c r="CCT275" s="192"/>
      <c r="CCU275" s="192"/>
      <c r="CCV275" s="192"/>
      <c r="CCW275" s="192"/>
      <c r="CCX275" s="192"/>
      <c r="CCY275" s="192"/>
      <c r="CCZ275" s="192"/>
      <c r="CDA275" s="192"/>
      <c r="CDB275" s="192"/>
      <c r="CDC275" s="192"/>
      <c r="CDD275" s="192"/>
      <c r="CDE275" s="192"/>
      <c r="CDF275" s="192"/>
      <c r="CDG275" s="192"/>
      <c r="CDH275" s="192"/>
      <c r="CDI275" s="192"/>
      <c r="CDJ275" s="192"/>
      <c r="CDK275" s="192"/>
      <c r="CDL275" s="192"/>
      <c r="CDM275" s="192"/>
      <c r="CDN275" s="192"/>
      <c r="CDO275" s="192"/>
      <c r="CDP275" s="192"/>
      <c r="CDQ275" s="192"/>
      <c r="CDR275" s="192"/>
      <c r="CDS275" s="192"/>
      <c r="CDT275" s="192"/>
      <c r="CDU275" s="192"/>
      <c r="CDV275" s="192"/>
      <c r="CDW275" s="192"/>
      <c r="CDX275" s="192"/>
      <c r="CDY275" s="192"/>
      <c r="CDZ275" s="192"/>
      <c r="CEA275" s="192"/>
      <c r="CEB275" s="192"/>
      <c r="CEC275" s="192"/>
      <c r="CED275" s="192"/>
      <c r="CEE275" s="192"/>
      <c r="CEF275" s="192"/>
      <c r="CEG275" s="192"/>
      <c r="CEH275" s="192"/>
      <c r="CEI275" s="192"/>
      <c r="CEJ275" s="192"/>
      <c r="CEK275" s="192"/>
      <c r="CEL275" s="192"/>
      <c r="CEM275" s="192"/>
      <c r="CEN275" s="192"/>
      <c r="CEO275" s="192"/>
      <c r="CEP275" s="192"/>
      <c r="CEQ275" s="192"/>
      <c r="CER275" s="192"/>
      <c r="CES275" s="192"/>
      <c r="CET275" s="192"/>
      <c r="CEU275" s="192"/>
      <c r="CEV275" s="192"/>
      <c r="CEW275" s="192"/>
      <c r="CEX275" s="192"/>
      <c r="CEY275" s="192"/>
      <c r="CEZ275" s="192"/>
      <c r="CFA275" s="192"/>
      <c r="CFB275" s="192"/>
      <c r="CFC275" s="192"/>
      <c r="CFD275" s="192"/>
      <c r="CFE275" s="192"/>
      <c r="CFF275" s="192"/>
      <c r="CFG275" s="192"/>
      <c r="CFH275" s="192"/>
      <c r="CFI275" s="192"/>
      <c r="CFJ275" s="192"/>
      <c r="CFK275" s="192"/>
      <c r="CFL275" s="192"/>
      <c r="CFM275" s="192"/>
      <c r="CFN275" s="192"/>
      <c r="CFO275" s="192"/>
      <c r="CFP275" s="192"/>
      <c r="CFQ275" s="192"/>
      <c r="CFR275" s="192"/>
      <c r="CFS275" s="192"/>
      <c r="CFT275" s="192"/>
      <c r="CFU275" s="192"/>
      <c r="CFV275" s="192"/>
      <c r="CFW275" s="192"/>
      <c r="CFX275" s="192"/>
      <c r="CFY275" s="192"/>
      <c r="CFZ275" s="192"/>
      <c r="CGA275" s="192"/>
      <c r="CGB275" s="192"/>
      <c r="CGC275" s="192"/>
      <c r="CGD275" s="192"/>
      <c r="CGE275" s="192"/>
      <c r="CGF275" s="192"/>
      <c r="CGG275" s="192"/>
      <c r="CGH275" s="192"/>
      <c r="CGI275" s="192"/>
      <c r="CGJ275" s="192"/>
      <c r="CGK275" s="192"/>
      <c r="CGL275" s="192"/>
      <c r="CGM275" s="192"/>
      <c r="CGN275" s="192"/>
      <c r="CGO275" s="192"/>
      <c r="CGP275" s="192"/>
      <c r="CGQ275" s="192"/>
      <c r="CGR275" s="192"/>
      <c r="CGS275" s="192"/>
      <c r="CGT275" s="192"/>
      <c r="CGU275" s="192"/>
      <c r="CGV275" s="192"/>
      <c r="CGW275" s="192"/>
      <c r="CGX275" s="192"/>
      <c r="CGY275" s="192"/>
      <c r="CGZ275" s="192"/>
      <c r="CHA275" s="192"/>
      <c r="CHB275" s="192"/>
      <c r="CHC275" s="192"/>
      <c r="CHD275" s="192"/>
      <c r="CHE275" s="192"/>
      <c r="CHF275" s="192"/>
      <c r="CHG275" s="192"/>
      <c r="CHH275" s="192"/>
      <c r="CHI275" s="192"/>
      <c r="CHJ275" s="192"/>
      <c r="CHK275" s="192"/>
      <c r="CHL275" s="192"/>
      <c r="CHM275" s="192"/>
      <c r="CHN275" s="192"/>
      <c r="CHO275" s="192"/>
      <c r="CHP275" s="192"/>
      <c r="CHQ275" s="192"/>
      <c r="CHR275" s="192"/>
      <c r="CHS275" s="192"/>
      <c r="CHT275" s="192"/>
      <c r="CHU275" s="192"/>
      <c r="CHV275" s="192"/>
      <c r="CHW275" s="192"/>
      <c r="CHX275" s="192"/>
      <c r="CHY275" s="192"/>
      <c r="CHZ275" s="192"/>
      <c r="CIA275" s="192"/>
      <c r="CIB275" s="192"/>
      <c r="CIC275" s="192"/>
      <c r="CID275" s="192"/>
      <c r="CIE275" s="192"/>
      <c r="CIF275" s="192"/>
      <c r="CIG275" s="192"/>
      <c r="CIH275" s="192"/>
      <c r="CII275" s="192"/>
      <c r="CIJ275" s="192"/>
      <c r="CIK275" s="192"/>
      <c r="CIL275" s="192"/>
      <c r="CIM275" s="192"/>
      <c r="CIN275" s="192"/>
      <c r="CIO275" s="192"/>
      <c r="CIP275" s="192"/>
      <c r="CIQ275" s="192"/>
      <c r="CIR275" s="192"/>
      <c r="CIS275" s="192"/>
      <c r="CIT275" s="192"/>
      <c r="CIU275" s="192"/>
      <c r="CIV275" s="192"/>
      <c r="CIW275" s="192"/>
      <c r="CIX275" s="192"/>
      <c r="CIY275" s="192"/>
      <c r="CIZ275" s="192"/>
      <c r="CJA275" s="192"/>
      <c r="CJB275" s="192"/>
      <c r="CJC275" s="192"/>
      <c r="CJD275" s="192"/>
      <c r="CJE275" s="192"/>
      <c r="CJF275" s="192"/>
      <c r="CJG275" s="192"/>
      <c r="CJH275" s="192"/>
      <c r="CJI275" s="192"/>
      <c r="CJJ275" s="192"/>
      <c r="CJK275" s="192"/>
      <c r="CJL275" s="192"/>
      <c r="CJM275" s="192"/>
      <c r="CJN275" s="192"/>
      <c r="CJO275" s="192"/>
      <c r="CJP275" s="192"/>
      <c r="CJQ275" s="192"/>
      <c r="CJR275" s="192"/>
      <c r="CJS275" s="192"/>
      <c r="CJT275" s="192"/>
      <c r="CJU275" s="192"/>
      <c r="CJV275" s="192"/>
      <c r="CJW275" s="192"/>
      <c r="CJX275" s="192"/>
      <c r="CJY275" s="192"/>
      <c r="CJZ275" s="192"/>
      <c r="CKA275" s="192"/>
      <c r="CKB275" s="192"/>
      <c r="CKC275" s="192"/>
      <c r="CKD275" s="192"/>
      <c r="CKE275" s="192"/>
      <c r="CKF275" s="192"/>
      <c r="CKG275" s="192"/>
      <c r="CKH275" s="192"/>
      <c r="CKI275" s="192"/>
      <c r="CKJ275" s="192"/>
      <c r="CKK275" s="192"/>
      <c r="CKL275" s="192"/>
      <c r="CKM275" s="192"/>
      <c r="CKN275" s="192"/>
      <c r="CKO275" s="192"/>
      <c r="CKP275" s="192"/>
      <c r="CKQ275" s="192"/>
      <c r="CKR275" s="192"/>
      <c r="CKS275" s="192"/>
      <c r="CKT275" s="192"/>
      <c r="CKU275" s="192"/>
      <c r="CKV275" s="192"/>
      <c r="CKW275" s="192"/>
      <c r="CKX275" s="192"/>
      <c r="CKY275" s="192"/>
      <c r="CKZ275" s="192"/>
      <c r="CLA275" s="192"/>
      <c r="CLB275" s="192"/>
      <c r="CLC275" s="192"/>
      <c r="CLD275" s="192"/>
      <c r="CLE275" s="192"/>
      <c r="CLF275" s="192"/>
      <c r="CLG275" s="192"/>
      <c r="CLH275" s="192"/>
      <c r="CLI275" s="192"/>
      <c r="CLJ275" s="192"/>
      <c r="CLK275" s="192"/>
      <c r="CLL275" s="192"/>
      <c r="CLM275" s="192"/>
      <c r="CLN275" s="192"/>
      <c r="CLO275" s="192"/>
      <c r="CLP275" s="192"/>
      <c r="CLQ275" s="192"/>
      <c r="CLR275" s="192"/>
      <c r="CLS275" s="192"/>
      <c r="CLT275" s="192"/>
      <c r="CLU275" s="192"/>
      <c r="CLV275" s="192"/>
      <c r="CLW275" s="192"/>
      <c r="CLX275" s="192"/>
      <c r="CLY275" s="192"/>
      <c r="CLZ275" s="192"/>
      <c r="CMA275" s="192"/>
      <c r="CMB275" s="192"/>
      <c r="CMC275" s="192"/>
      <c r="CMD275" s="192"/>
      <c r="CME275" s="192"/>
      <c r="CMF275" s="192"/>
      <c r="CMG275" s="192"/>
      <c r="CMH275" s="192"/>
      <c r="CMI275" s="192"/>
      <c r="CMJ275" s="192"/>
      <c r="CMK275" s="192"/>
      <c r="CML275" s="192"/>
      <c r="CMM275" s="192"/>
      <c r="CMN275" s="192"/>
      <c r="CMO275" s="192"/>
      <c r="CMP275" s="192"/>
      <c r="CMQ275" s="192"/>
      <c r="CMR275" s="192"/>
      <c r="CMS275" s="192"/>
      <c r="CMT275" s="192"/>
      <c r="CMU275" s="192"/>
      <c r="CMV275" s="192"/>
      <c r="CMW275" s="192"/>
      <c r="CMX275" s="192"/>
      <c r="CMY275" s="192"/>
      <c r="CMZ275" s="192"/>
      <c r="CNA275" s="192"/>
      <c r="CNB275" s="192"/>
      <c r="CNC275" s="192"/>
      <c r="CND275" s="192"/>
      <c r="CNE275" s="192"/>
      <c r="CNF275" s="192"/>
      <c r="CNG275" s="192"/>
      <c r="CNH275" s="192"/>
      <c r="CNI275" s="192"/>
      <c r="CNJ275" s="192"/>
      <c r="CNK275" s="192"/>
      <c r="CNL275" s="192"/>
      <c r="CNM275" s="192"/>
      <c r="CNN275" s="192"/>
      <c r="CNO275" s="192"/>
      <c r="CNP275" s="192"/>
      <c r="CNQ275" s="192"/>
      <c r="CNR275" s="192"/>
      <c r="CNS275" s="192"/>
      <c r="CNT275" s="192"/>
      <c r="CNU275" s="192"/>
      <c r="CNV275" s="192"/>
      <c r="CNW275" s="192"/>
      <c r="CNX275" s="192"/>
      <c r="CNY275" s="192"/>
      <c r="CNZ275" s="192"/>
      <c r="COA275" s="192"/>
      <c r="COB275" s="192"/>
      <c r="COC275" s="192"/>
      <c r="COD275" s="192"/>
      <c r="COE275" s="192"/>
      <c r="COF275" s="192"/>
      <c r="COG275" s="192"/>
      <c r="COH275" s="192"/>
      <c r="COI275" s="192"/>
      <c r="COJ275" s="192"/>
      <c r="COK275" s="192"/>
      <c r="COL275" s="192"/>
      <c r="COM275" s="192"/>
      <c r="CON275" s="192"/>
      <c r="COO275" s="192"/>
      <c r="COP275" s="192"/>
      <c r="COQ275" s="192"/>
      <c r="COR275" s="192"/>
      <c r="COS275" s="192"/>
      <c r="COT275" s="192"/>
      <c r="COU275" s="192"/>
      <c r="COV275" s="192"/>
      <c r="COW275" s="192"/>
      <c r="COX275" s="192"/>
      <c r="COY275" s="192"/>
      <c r="COZ275" s="192"/>
      <c r="CPA275" s="192"/>
      <c r="CPB275" s="192"/>
      <c r="CPC275" s="192"/>
      <c r="CPD275" s="192"/>
      <c r="CPE275" s="192"/>
      <c r="CPF275" s="192"/>
      <c r="CPG275" s="192"/>
      <c r="CPH275" s="192"/>
      <c r="CPI275" s="192"/>
      <c r="CPJ275" s="192"/>
      <c r="CPK275" s="192"/>
      <c r="CPL275" s="192"/>
      <c r="CPM275" s="192"/>
      <c r="CPN275" s="192"/>
      <c r="CPO275" s="192"/>
      <c r="CPP275" s="192"/>
      <c r="CPQ275" s="192"/>
      <c r="CPR275" s="192"/>
      <c r="CPS275" s="192"/>
      <c r="CPT275" s="192"/>
      <c r="CPU275" s="192"/>
      <c r="CPV275" s="192"/>
      <c r="CPW275" s="192"/>
      <c r="CPX275" s="192"/>
      <c r="CPY275" s="192"/>
      <c r="CPZ275" s="192"/>
      <c r="CQA275" s="192"/>
      <c r="CQB275" s="192"/>
      <c r="CQC275" s="192"/>
      <c r="CQD275" s="192"/>
      <c r="CQE275" s="192"/>
      <c r="CQF275" s="192"/>
      <c r="CQG275" s="192"/>
      <c r="CQH275" s="192"/>
      <c r="CQI275" s="192"/>
      <c r="CQJ275" s="192"/>
      <c r="CQK275" s="192"/>
      <c r="CQL275" s="192"/>
      <c r="CQM275" s="192"/>
      <c r="CQN275" s="192"/>
      <c r="CQO275" s="192"/>
      <c r="CQP275" s="192"/>
      <c r="CQQ275" s="192"/>
      <c r="CQR275" s="192"/>
      <c r="CQS275" s="192"/>
      <c r="CQT275" s="192"/>
      <c r="CQU275" s="192"/>
      <c r="CQV275" s="192"/>
      <c r="CQW275" s="192"/>
      <c r="CQX275" s="192"/>
      <c r="CQY275" s="192"/>
      <c r="CQZ275" s="192"/>
      <c r="CRA275" s="192"/>
      <c r="CRB275" s="192"/>
      <c r="CRC275" s="192"/>
      <c r="CRD275" s="192"/>
      <c r="CRE275" s="192"/>
      <c r="CRF275" s="192"/>
      <c r="CRG275" s="192"/>
      <c r="CRH275" s="192"/>
      <c r="CRI275" s="192"/>
      <c r="CRJ275" s="192"/>
      <c r="CRK275" s="192"/>
      <c r="CRL275" s="192"/>
      <c r="CRM275" s="192"/>
      <c r="CRN275" s="192"/>
      <c r="CRO275" s="192"/>
      <c r="CRP275" s="192"/>
      <c r="CRQ275" s="192"/>
      <c r="CRR275" s="192"/>
      <c r="CRS275" s="192"/>
      <c r="CRT275" s="192"/>
      <c r="CRU275" s="192"/>
      <c r="CRV275" s="192"/>
      <c r="CRW275" s="192"/>
      <c r="CRX275" s="192"/>
      <c r="CRY275" s="192"/>
      <c r="CRZ275" s="192"/>
      <c r="CSA275" s="192"/>
      <c r="CSB275" s="192"/>
      <c r="CSC275" s="192"/>
      <c r="CSD275" s="192"/>
      <c r="CSE275" s="192"/>
      <c r="CSF275" s="192"/>
      <c r="CSG275" s="192"/>
      <c r="CSH275" s="192"/>
      <c r="CSI275" s="192"/>
      <c r="CSJ275" s="192"/>
      <c r="CSK275" s="192"/>
      <c r="CSL275" s="192"/>
      <c r="CSM275" s="192"/>
      <c r="CSN275" s="192"/>
      <c r="CSO275" s="192"/>
      <c r="CSP275" s="192"/>
      <c r="CSQ275" s="192"/>
      <c r="CSR275" s="192"/>
      <c r="CSS275" s="192"/>
      <c r="CST275" s="192"/>
      <c r="CSU275" s="192"/>
      <c r="CSV275" s="192"/>
      <c r="CSW275" s="192"/>
      <c r="CSX275" s="192"/>
      <c r="CSY275" s="192"/>
      <c r="CSZ275" s="192"/>
      <c r="CTA275" s="192"/>
      <c r="CTB275" s="192"/>
      <c r="CTC275" s="192"/>
      <c r="CTD275" s="192"/>
      <c r="CTE275" s="192"/>
      <c r="CTF275" s="192"/>
      <c r="CTG275" s="192"/>
      <c r="CTH275" s="192"/>
      <c r="CTI275" s="192"/>
      <c r="CTJ275" s="192"/>
      <c r="CTK275" s="192"/>
      <c r="CTL275" s="192"/>
      <c r="CTM275" s="192"/>
      <c r="CTN275" s="192"/>
      <c r="CTO275" s="192"/>
      <c r="CTP275" s="192"/>
      <c r="CTQ275" s="192"/>
      <c r="CTR275" s="192"/>
      <c r="CTS275" s="192"/>
      <c r="CTT275" s="192"/>
      <c r="CTU275" s="192"/>
      <c r="CTV275" s="192"/>
      <c r="CTW275" s="192"/>
      <c r="CTX275" s="192"/>
      <c r="CTY275" s="192"/>
      <c r="CTZ275" s="192"/>
      <c r="CUA275" s="192"/>
      <c r="CUB275" s="192"/>
      <c r="CUC275" s="192"/>
      <c r="CUD275" s="192"/>
      <c r="CUE275" s="192"/>
      <c r="CUF275" s="192"/>
      <c r="CUG275" s="192"/>
      <c r="CUH275" s="192"/>
      <c r="CUI275" s="192"/>
      <c r="CUJ275" s="192"/>
      <c r="CUK275" s="192"/>
      <c r="CUL275" s="192"/>
      <c r="CUM275" s="192"/>
      <c r="CUN275" s="192"/>
      <c r="CUO275" s="192"/>
      <c r="CUP275" s="192"/>
      <c r="CUQ275" s="192"/>
      <c r="CUR275" s="192"/>
      <c r="CUS275" s="192"/>
      <c r="CUT275" s="192"/>
      <c r="CUU275" s="192"/>
      <c r="CUV275" s="192"/>
      <c r="CUW275" s="192"/>
      <c r="CUX275" s="192"/>
      <c r="CUY275" s="192"/>
      <c r="CUZ275" s="192"/>
      <c r="CVA275" s="192"/>
      <c r="CVB275" s="192"/>
      <c r="CVC275" s="192"/>
      <c r="CVD275" s="192"/>
      <c r="CVE275" s="192"/>
      <c r="CVF275" s="192"/>
      <c r="CVG275" s="192"/>
      <c r="CVH275" s="192"/>
      <c r="CVI275" s="192"/>
      <c r="CVJ275" s="192"/>
      <c r="CVK275" s="192"/>
      <c r="CVL275" s="192"/>
      <c r="CVM275" s="192"/>
      <c r="CVN275" s="192"/>
      <c r="CVO275" s="192"/>
      <c r="CVP275" s="192"/>
      <c r="CVQ275" s="192"/>
      <c r="CVR275" s="192"/>
      <c r="CVS275" s="192"/>
      <c r="CVT275" s="192"/>
      <c r="CVU275" s="192"/>
      <c r="CVV275" s="192"/>
      <c r="CVW275" s="192"/>
      <c r="CVX275" s="192"/>
      <c r="CVY275" s="192"/>
      <c r="CVZ275" s="192"/>
      <c r="CWA275" s="192"/>
      <c r="CWB275" s="192"/>
      <c r="CWC275" s="192"/>
      <c r="CWD275" s="192"/>
      <c r="CWE275" s="192"/>
      <c r="CWF275" s="192"/>
      <c r="CWG275" s="192"/>
      <c r="CWH275" s="192"/>
      <c r="CWI275" s="192"/>
      <c r="CWJ275" s="192"/>
      <c r="CWK275" s="192"/>
      <c r="CWL275" s="192"/>
      <c r="CWM275" s="192"/>
      <c r="CWN275" s="192"/>
      <c r="CWO275" s="192"/>
      <c r="CWP275" s="192"/>
      <c r="CWQ275" s="192"/>
      <c r="CWR275" s="192"/>
      <c r="CWS275" s="192"/>
      <c r="CWT275" s="192"/>
      <c r="CWU275" s="192"/>
      <c r="CWV275" s="192"/>
      <c r="CWW275" s="192"/>
      <c r="CWX275" s="192"/>
      <c r="CWY275" s="192"/>
      <c r="CWZ275" s="192"/>
      <c r="CXA275" s="192"/>
      <c r="CXB275" s="192"/>
      <c r="CXC275" s="192"/>
      <c r="CXD275" s="192"/>
      <c r="CXE275" s="192"/>
      <c r="CXF275" s="192"/>
      <c r="CXG275" s="192"/>
      <c r="CXH275" s="192"/>
      <c r="CXI275" s="192"/>
      <c r="CXJ275" s="192"/>
      <c r="CXK275" s="192"/>
      <c r="CXL275" s="192"/>
      <c r="CXM275" s="192"/>
      <c r="CXN275" s="192"/>
      <c r="CXO275" s="192"/>
      <c r="CXP275" s="192"/>
      <c r="CXQ275" s="192"/>
      <c r="CXR275" s="192"/>
      <c r="CXS275" s="192"/>
      <c r="CXT275" s="192"/>
      <c r="CXU275" s="192"/>
      <c r="CXV275" s="192"/>
      <c r="CXW275" s="192"/>
      <c r="CXX275" s="192"/>
      <c r="CXY275" s="192"/>
      <c r="CXZ275" s="192"/>
      <c r="CYA275" s="192"/>
      <c r="CYB275" s="192"/>
      <c r="CYC275" s="192"/>
      <c r="CYD275" s="192"/>
      <c r="CYE275" s="192"/>
      <c r="CYF275" s="192"/>
      <c r="CYG275" s="192"/>
      <c r="CYH275" s="192"/>
      <c r="CYI275" s="192"/>
      <c r="CYJ275" s="192"/>
      <c r="CYK275" s="192"/>
      <c r="CYL275" s="192"/>
      <c r="CYM275" s="192"/>
      <c r="CYN275" s="192"/>
      <c r="CYO275" s="192"/>
      <c r="CYP275" s="192"/>
      <c r="CYQ275" s="192"/>
      <c r="CYR275" s="192"/>
      <c r="CYS275" s="192"/>
      <c r="CYT275" s="192"/>
      <c r="CYU275" s="192"/>
      <c r="CYV275" s="192"/>
      <c r="CYW275" s="192"/>
      <c r="CYX275" s="192"/>
      <c r="CYY275" s="192"/>
      <c r="CYZ275" s="192"/>
      <c r="CZA275" s="192"/>
      <c r="CZB275" s="192"/>
      <c r="CZC275" s="192"/>
      <c r="CZD275" s="192"/>
      <c r="CZE275" s="192"/>
      <c r="CZF275" s="192"/>
      <c r="CZG275" s="192"/>
      <c r="CZH275" s="192"/>
      <c r="CZI275" s="192"/>
      <c r="CZJ275" s="192"/>
      <c r="CZK275" s="192"/>
      <c r="CZL275" s="192"/>
      <c r="CZM275" s="192"/>
      <c r="CZN275" s="192"/>
      <c r="CZO275" s="192"/>
      <c r="CZP275" s="192"/>
      <c r="CZQ275" s="192"/>
      <c r="CZR275" s="192"/>
      <c r="CZS275" s="192"/>
      <c r="CZT275" s="192"/>
      <c r="CZU275" s="192"/>
      <c r="CZV275" s="192"/>
      <c r="CZW275" s="192"/>
      <c r="CZX275" s="192"/>
      <c r="CZY275" s="192"/>
      <c r="CZZ275" s="192"/>
      <c r="DAA275" s="192"/>
      <c r="DAB275" s="192"/>
      <c r="DAC275" s="192"/>
      <c r="DAD275" s="192"/>
      <c r="DAE275" s="192"/>
      <c r="DAF275" s="192"/>
      <c r="DAG275" s="192"/>
      <c r="DAH275" s="192"/>
      <c r="DAI275" s="192"/>
      <c r="DAJ275" s="192"/>
      <c r="DAK275" s="192"/>
      <c r="DAL275" s="192"/>
      <c r="DAM275" s="192"/>
      <c r="DAN275" s="192"/>
      <c r="DAO275" s="192"/>
      <c r="DAP275" s="192"/>
      <c r="DAQ275" s="192"/>
      <c r="DAR275" s="192"/>
      <c r="DAS275" s="192"/>
      <c r="DAT275" s="192"/>
      <c r="DAU275" s="192"/>
      <c r="DAV275" s="192"/>
      <c r="DAW275" s="192"/>
      <c r="DAX275" s="192"/>
      <c r="DAY275" s="192"/>
      <c r="DAZ275" s="192"/>
      <c r="DBA275" s="192"/>
      <c r="DBB275" s="192"/>
      <c r="DBC275" s="192"/>
      <c r="DBD275" s="192"/>
      <c r="DBE275" s="192"/>
      <c r="DBF275" s="192"/>
      <c r="DBG275" s="192"/>
      <c r="DBH275" s="192"/>
      <c r="DBI275" s="192"/>
      <c r="DBJ275" s="192"/>
      <c r="DBK275" s="192"/>
      <c r="DBL275" s="192"/>
      <c r="DBM275" s="192"/>
      <c r="DBN275" s="192"/>
      <c r="DBO275" s="192"/>
      <c r="DBP275" s="192"/>
      <c r="DBQ275" s="192"/>
      <c r="DBR275" s="192"/>
      <c r="DBS275" s="192"/>
      <c r="DBT275" s="192"/>
      <c r="DBU275" s="192"/>
      <c r="DBV275" s="192"/>
      <c r="DBW275" s="192"/>
      <c r="DBX275" s="192"/>
      <c r="DBY275" s="192"/>
      <c r="DBZ275" s="192"/>
      <c r="DCA275" s="192"/>
      <c r="DCB275" s="192"/>
      <c r="DCC275" s="192"/>
      <c r="DCD275" s="192"/>
      <c r="DCE275" s="192"/>
      <c r="DCF275" s="192"/>
      <c r="DCG275" s="192"/>
      <c r="DCH275" s="192"/>
      <c r="DCI275" s="192"/>
      <c r="DCJ275" s="192"/>
      <c r="DCK275" s="192"/>
      <c r="DCL275" s="192"/>
      <c r="DCM275" s="192"/>
      <c r="DCN275" s="192"/>
      <c r="DCO275" s="192"/>
      <c r="DCP275" s="192"/>
      <c r="DCQ275" s="192"/>
      <c r="DCR275" s="192"/>
      <c r="DCS275" s="192"/>
      <c r="DCT275" s="192"/>
      <c r="DCU275" s="192"/>
      <c r="DCV275" s="192"/>
      <c r="DCW275" s="192"/>
      <c r="DCX275" s="192"/>
      <c r="DCY275" s="192"/>
      <c r="DCZ275" s="192"/>
      <c r="DDA275" s="192"/>
      <c r="DDB275" s="192"/>
      <c r="DDC275" s="192"/>
      <c r="DDD275" s="192"/>
      <c r="DDE275" s="192"/>
      <c r="DDF275" s="192"/>
      <c r="DDG275" s="192"/>
      <c r="DDH275" s="192"/>
      <c r="DDI275" s="192"/>
      <c r="DDJ275" s="192"/>
      <c r="DDK275" s="192"/>
      <c r="DDL275" s="192"/>
      <c r="DDM275" s="192"/>
      <c r="DDN275" s="192"/>
      <c r="DDO275" s="192"/>
      <c r="DDP275" s="192"/>
      <c r="DDQ275" s="192"/>
      <c r="DDR275" s="192"/>
      <c r="DDS275" s="192"/>
      <c r="DDT275" s="192"/>
      <c r="DDU275" s="192"/>
      <c r="DDV275" s="192"/>
      <c r="DDW275" s="192"/>
      <c r="DDX275" s="192"/>
      <c r="DDY275" s="192"/>
      <c r="DDZ275" s="192"/>
      <c r="DEA275" s="192"/>
      <c r="DEB275" s="192"/>
      <c r="DEC275" s="192"/>
      <c r="DED275" s="192"/>
      <c r="DEE275" s="192"/>
      <c r="DEF275" s="192"/>
      <c r="DEG275" s="192"/>
      <c r="DEH275" s="192"/>
      <c r="DEI275" s="192"/>
      <c r="DEJ275" s="192"/>
      <c r="DEK275" s="192"/>
      <c r="DEL275" s="192"/>
      <c r="DEM275" s="192"/>
      <c r="DEN275" s="192"/>
      <c r="DEO275" s="192"/>
      <c r="DEP275" s="192"/>
      <c r="DEQ275" s="192"/>
      <c r="DER275" s="192"/>
      <c r="DES275" s="192"/>
      <c r="DET275" s="192"/>
      <c r="DEU275" s="192"/>
      <c r="DEV275" s="192"/>
      <c r="DEW275" s="192"/>
      <c r="DEX275" s="192"/>
      <c r="DEY275" s="192"/>
      <c r="DEZ275" s="192"/>
      <c r="DFA275" s="192"/>
      <c r="DFB275" s="192"/>
      <c r="DFC275" s="192"/>
      <c r="DFD275" s="192"/>
      <c r="DFE275" s="192"/>
      <c r="DFF275" s="192"/>
      <c r="DFG275" s="192"/>
      <c r="DFH275" s="192"/>
      <c r="DFI275" s="192"/>
      <c r="DFJ275" s="192"/>
      <c r="DFK275" s="192"/>
      <c r="DFL275" s="192"/>
      <c r="DFM275" s="192"/>
      <c r="DFN275" s="192"/>
      <c r="DFO275" s="192"/>
      <c r="DFP275" s="192"/>
      <c r="DFQ275" s="192"/>
      <c r="DFR275" s="192"/>
      <c r="DFS275" s="192"/>
      <c r="DFT275" s="192"/>
      <c r="DFU275" s="192"/>
      <c r="DFV275" s="192"/>
      <c r="DFW275" s="192"/>
      <c r="DFX275" s="192"/>
      <c r="DFY275" s="192"/>
      <c r="DFZ275" s="192"/>
      <c r="DGA275" s="192"/>
      <c r="DGB275" s="192"/>
      <c r="DGC275" s="192"/>
      <c r="DGD275" s="192"/>
      <c r="DGE275" s="192"/>
      <c r="DGF275" s="192"/>
      <c r="DGG275" s="192"/>
      <c r="DGH275" s="192"/>
      <c r="DGI275" s="192"/>
      <c r="DGJ275" s="192"/>
      <c r="DGK275" s="192"/>
      <c r="DGL275" s="192"/>
      <c r="DGM275" s="192"/>
      <c r="DGN275" s="192"/>
      <c r="DGO275" s="192"/>
      <c r="DGP275" s="192"/>
      <c r="DGQ275" s="192"/>
      <c r="DGR275" s="192"/>
      <c r="DGS275" s="192"/>
      <c r="DGT275" s="192"/>
      <c r="DGU275" s="192"/>
      <c r="DGV275" s="192"/>
      <c r="DGW275" s="192"/>
      <c r="DGX275" s="192"/>
      <c r="DGY275" s="192"/>
      <c r="DGZ275" s="192"/>
      <c r="DHA275" s="192"/>
      <c r="DHB275" s="192"/>
      <c r="DHC275" s="192"/>
      <c r="DHD275" s="192"/>
      <c r="DHE275" s="192"/>
      <c r="DHF275" s="192"/>
      <c r="DHG275" s="192"/>
      <c r="DHH275" s="192"/>
      <c r="DHI275" s="192"/>
      <c r="DHJ275" s="192"/>
      <c r="DHK275" s="192"/>
      <c r="DHL275" s="192"/>
      <c r="DHM275" s="192"/>
      <c r="DHN275" s="192"/>
      <c r="DHO275" s="192"/>
      <c r="DHP275" s="192"/>
      <c r="DHQ275" s="192"/>
      <c r="DHR275" s="192"/>
      <c r="DHS275" s="192"/>
      <c r="DHT275" s="192"/>
      <c r="DHU275" s="192"/>
      <c r="DHV275" s="192"/>
      <c r="DHW275" s="192"/>
      <c r="DHX275" s="192"/>
      <c r="DHY275" s="192"/>
      <c r="DHZ275" s="192"/>
      <c r="DIA275" s="192"/>
      <c r="DIB275" s="192"/>
      <c r="DIC275" s="192"/>
      <c r="DID275" s="192"/>
      <c r="DIE275" s="192"/>
      <c r="DIF275" s="192"/>
      <c r="DIG275" s="192"/>
      <c r="DIH275" s="192"/>
      <c r="DII275" s="192"/>
      <c r="DIJ275" s="192"/>
      <c r="DIK275" s="192"/>
      <c r="DIL275" s="192"/>
      <c r="DIM275" s="192"/>
      <c r="DIN275" s="192"/>
      <c r="DIO275" s="192"/>
      <c r="DIP275" s="192"/>
      <c r="DIQ275" s="192"/>
      <c r="DIR275" s="192"/>
      <c r="DIS275" s="192"/>
      <c r="DIT275" s="192"/>
      <c r="DIU275" s="192"/>
      <c r="DIV275" s="192"/>
      <c r="DIW275" s="192"/>
      <c r="DIX275" s="192"/>
      <c r="DIY275" s="192"/>
      <c r="DIZ275" s="192"/>
      <c r="DJA275" s="192"/>
      <c r="DJB275" s="192"/>
      <c r="DJC275" s="192"/>
      <c r="DJD275" s="192"/>
      <c r="DJE275" s="192"/>
      <c r="DJF275" s="192"/>
      <c r="DJG275" s="192"/>
      <c r="DJH275" s="192"/>
      <c r="DJI275" s="192"/>
      <c r="DJJ275" s="192"/>
      <c r="DJK275" s="192"/>
      <c r="DJL275" s="192"/>
      <c r="DJM275" s="192"/>
      <c r="DJN275" s="192"/>
      <c r="DJO275" s="192"/>
      <c r="DJP275" s="192"/>
      <c r="DJQ275" s="192"/>
      <c r="DJR275" s="192"/>
      <c r="DJS275" s="192"/>
      <c r="DJT275" s="192"/>
      <c r="DJU275" s="192"/>
      <c r="DJV275" s="192"/>
      <c r="DJW275" s="192"/>
      <c r="DJX275" s="192"/>
      <c r="DJY275" s="192"/>
      <c r="DJZ275" s="192"/>
      <c r="DKA275" s="192"/>
      <c r="DKB275" s="192"/>
      <c r="DKC275" s="192"/>
      <c r="DKD275" s="192"/>
      <c r="DKE275" s="192"/>
      <c r="DKF275" s="192"/>
      <c r="DKG275" s="192"/>
      <c r="DKH275" s="192"/>
      <c r="DKI275" s="192"/>
      <c r="DKJ275" s="192"/>
      <c r="DKK275" s="192"/>
      <c r="DKL275" s="192"/>
      <c r="DKM275" s="192"/>
      <c r="DKN275" s="192"/>
      <c r="DKO275" s="192"/>
      <c r="DKP275" s="192"/>
      <c r="DKQ275" s="192"/>
      <c r="DKR275" s="192"/>
      <c r="DKS275" s="192"/>
      <c r="DKT275" s="192"/>
      <c r="DKU275" s="192"/>
      <c r="DKV275" s="192"/>
      <c r="DKW275" s="192"/>
      <c r="DKX275" s="192"/>
      <c r="DKY275" s="192"/>
      <c r="DKZ275" s="192"/>
      <c r="DLA275" s="192"/>
      <c r="DLB275" s="192"/>
      <c r="DLC275" s="192"/>
      <c r="DLD275" s="192"/>
      <c r="DLE275" s="192"/>
      <c r="DLF275" s="192"/>
      <c r="DLG275" s="192"/>
      <c r="DLH275" s="192"/>
      <c r="DLI275" s="192"/>
      <c r="DLJ275" s="192"/>
      <c r="DLK275" s="192"/>
      <c r="DLL275" s="192"/>
      <c r="DLM275" s="192"/>
      <c r="DLN275" s="192"/>
      <c r="DLO275" s="192"/>
      <c r="DLP275" s="192"/>
      <c r="DLQ275" s="192"/>
      <c r="DLR275" s="192"/>
      <c r="DLS275" s="192"/>
      <c r="DLT275" s="192"/>
      <c r="DLU275" s="192"/>
      <c r="DLV275" s="192"/>
      <c r="DLW275" s="192"/>
      <c r="DLX275" s="192"/>
      <c r="DLY275" s="192"/>
      <c r="DLZ275" s="192"/>
      <c r="DMA275" s="192"/>
      <c r="DMB275" s="192"/>
      <c r="DMC275" s="192"/>
      <c r="DMD275" s="192"/>
      <c r="DME275" s="192"/>
      <c r="DMF275" s="192"/>
      <c r="DMG275" s="192"/>
      <c r="DMH275" s="192"/>
      <c r="DMI275" s="192"/>
      <c r="DMJ275" s="192"/>
      <c r="DMK275" s="192"/>
      <c r="DML275" s="192"/>
      <c r="DMM275" s="192"/>
      <c r="DMN275" s="192"/>
      <c r="DMO275" s="192"/>
      <c r="DMP275" s="192"/>
      <c r="DMQ275" s="192"/>
      <c r="DMR275" s="192"/>
      <c r="DMS275" s="192"/>
      <c r="DMT275" s="192"/>
      <c r="DMU275" s="192"/>
      <c r="DMV275" s="192"/>
      <c r="DMW275" s="192"/>
      <c r="DMX275" s="192"/>
      <c r="DMY275" s="192"/>
      <c r="DMZ275" s="192"/>
      <c r="DNA275" s="192"/>
      <c r="DNB275" s="192"/>
      <c r="DNC275" s="192"/>
      <c r="DND275" s="192"/>
      <c r="DNE275" s="192"/>
      <c r="DNF275" s="192"/>
      <c r="DNG275" s="192"/>
      <c r="DNH275" s="192"/>
      <c r="DNI275" s="192"/>
      <c r="DNJ275" s="192"/>
      <c r="DNK275" s="192"/>
      <c r="DNL275" s="192"/>
      <c r="DNM275" s="192"/>
      <c r="DNN275" s="192"/>
      <c r="DNO275" s="192"/>
      <c r="DNP275" s="192"/>
      <c r="DNQ275" s="192"/>
      <c r="DNR275" s="192"/>
      <c r="DNS275" s="192"/>
      <c r="DNT275" s="192"/>
      <c r="DNU275" s="192"/>
      <c r="DNV275" s="192"/>
      <c r="DNW275" s="192"/>
      <c r="DNX275" s="192"/>
      <c r="DNY275" s="192"/>
      <c r="DNZ275" s="192"/>
      <c r="DOA275" s="192"/>
      <c r="DOB275" s="192"/>
      <c r="DOC275" s="192"/>
      <c r="DOD275" s="192"/>
      <c r="DOE275" s="192"/>
      <c r="DOF275" s="192"/>
      <c r="DOG275" s="192"/>
      <c r="DOH275" s="192"/>
      <c r="DOI275" s="192"/>
      <c r="DOJ275" s="192"/>
      <c r="DOK275" s="192"/>
      <c r="DOL275" s="192"/>
      <c r="DOM275" s="192"/>
      <c r="DON275" s="192"/>
      <c r="DOO275" s="192"/>
      <c r="DOP275" s="192"/>
      <c r="DOQ275" s="192"/>
      <c r="DOR275" s="192"/>
      <c r="DOS275" s="192"/>
      <c r="DOT275" s="192"/>
      <c r="DOU275" s="192"/>
      <c r="DOV275" s="192"/>
      <c r="DOW275" s="192"/>
      <c r="DOX275" s="192"/>
      <c r="DOY275" s="192"/>
      <c r="DOZ275" s="192"/>
      <c r="DPA275" s="192"/>
      <c r="DPB275" s="192"/>
      <c r="DPC275" s="192"/>
      <c r="DPD275" s="192"/>
      <c r="DPE275" s="192"/>
      <c r="DPF275" s="192"/>
      <c r="DPG275" s="192"/>
      <c r="DPH275" s="192"/>
      <c r="DPI275" s="192"/>
      <c r="DPJ275" s="192"/>
      <c r="DPK275" s="192"/>
      <c r="DPL275" s="192"/>
      <c r="DPM275" s="192"/>
      <c r="DPN275" s="192"/>
      <c r="DPO275" s="192"/>
      <c r="DPP275" s="192"/>
      <c r="DPQ275" s="192"/>
      <c r="DPR275" s="192"/>
      <c r="DPS275" s="192"/>
      <c r="DPT275" s="192"/>
      <c r="DPU275" s="192"/>
      <c r="DPV275" s="192"/>
      <c r="DPW275" s="192"/>
      <c r="DPX275" s="192"/>
      <c r="DPY275" s="192"/>
      <c r="DPZ275" s="192"/>
      <c r="DQA275" s="192"/>
      <c r="DQB275" s="192"/>
      <c r="DQC275" s="192"/>
      <c r="DQD275" s="192"/>
      <c r="DQE275" s="192"/>
      <c r="DQF275" s="192"/>
      <c r="DQG275" s="192"/>
      <c r="DQH275" s="192"/>
      <c r="DQI275" s="192"/>
      <c r="DQJ275" s="192"/>
      <c r="DQK275" s="192"/>
      <c r="DQL275" s="192"/>
      <c r="DQM275" s="192"/>
      <c r="DQN275" s="192"/>
      <c r="DQO275" s="192"/>
      <c r="DQP275" s="192"/>
      <c r="DQQ275" s="192"/>
      <c r="DQR275" s="192"/>
      <c r="DQS275" s="192"/>
      <c r="DQT275" s="192"/>
      <c r="DQU275" s="192"/>
      <c r="DQV275" s="192"/>
      <c r="DQW275" s="192"/>
      <c r="DQX275" s="192"/>
      <c r="DQY275" s="192"/>
      <c r="DQZ275" s="192"/>
      <c r="DRA275" s="192"/>
      <c r="DRB275" s="192"/>
      <c r="DRC275" s="192"/>
      <c r="DRD275" s="192"/>
      <c r="DRE275" s="192"/>
      <c r="DRF275" s="192"/>
      <c r="DRG275" s="192"/>
      <c r="DRH275" s="192"/>
      <c r="DRI275" s="192"/>
      <c r="DRJ275" s="192"/>
      <c r="DRK275" s="192"/>
      <c r="DRL275" s="192"/>
      <c r="DRM275" s="192"/>
      <c r="DRN275" s="192"/>
      <c r="DRO275" s="192"/>
      <c r="DRP275" s="192"/>
      <c r="DRQ275" s="192"/>
      <c r="DRR275" s="192"/>
      <c r="DRS275" s="192"/>
      <c r="DRT275" s="192"/>
      <c r="DRU275" s="192"/>
      <c r="DRV275" s="192"/>
      <c r="DRW275" s="192"/>
      <c r="DRX275" s="192"/>
      <c r="DRY275" s="192"/>
      <c r="DRZ275" s="192"/>
      <c r="DSA275" s="192"/>
      <c r="DSB275" s="192"/>
      <c r="DSC275" s="192"/>
      <c r="DSD275" s="192"/>
      <c r="DSE275" s="192"/>
      <c r="DSF275" s="192"/>
      <c r="DSG275" s="192"/>
      <c r="DSH275" s="192"/>
      <c r="DSI275" s="192"/>
      <c r="DSJ275" s="192"/>
      <c r="DSK275" s="192"/>
      <c r="DSL275" s="192"/>
      <c r="DSM275" s="192"/>
      <c r="DSN275" s="192"/>
      <c r="DSO275" s="192"/>
      <c r="DSP275" s="192"/>
      <c r="DSQ275" s="192"/>
      <c r="DSR275" s="192"/>
      <c r="DSS275" s="192"/>
      <c r="DST275" s="192"/>
      <c r="DSU275" s="192"/>
      <c r="DSV275" s="192"/>
      <c r="DSW275" s="192"/>
      <c r="DSX275" s="192"/>
      <c r="DSY275" s="192"/>
      <c r="DSZ275" s="192"/>
      <c r="DTA275" s="192"/>
      <c r="DTB275" s="192"/>
      <c r="DTC275" s="192"/>
      <c r="DTD275" s="192"/>
      <c r="DTE275" s="192"/>
      <c r="DTF275" s="192"/>
      <c r="DTG275" s="192"/>
      <c r="DTH275" s="192"/>
      <c r="DTI275" s="192"/>
      <c r="DTJ275" s="192"/>
      <c r="DTK275" s="192"/>
      <c r="DTL275" s="192"/>
      <c r="DTM275" s="192"/>
      <c r="DTN275" s="192"/>
      <c r="DTO275" s="192"/>
      <c r="DTP275" s="192"/>
      <c r="DTQ275" s="192"/>
      <c r="DTR275" s="192"/>
      <c r="DTS275" s="192"/>
      <c r="DTT275" s="192"/>
      <c r="DTU275" s="192"/>
      <c r="DTV275" s="192"/>
      <c r="DTW275" s="192"/>
      <c r="DTX275" s="192"/>
      <c r="DTY275" s="192"/>
      <c r="DTZ275" s="192"/>
      <c r="DUA275" s="192"/>
      <c r="DUB275" s="192"/>
      <c r="DUC275" s="192"/>
      <c r="DUD275" s="192"/>
      <c r="DUE275" s="192"/>
      <c r="DUF275" s="192"/>
      <c r="DUG275" s="192"/>
      <c r="DUH275" s="192"/>
      <c r="DUI275" s="192"/>
      <c r="DUJ275" s="192"/>
      <c r="DUK275" s="192"/>
      <c r="DUL275" s="192"/>
      <c r="DUM275" s="192"/>
      <c r="DUN275" s="192"/>
      <c r="DUO275" s="192"/>
      <c r="DUP275" s="192"/>
      <c r="DUQ275" s="192"/>
      <c r="DUR275" s="192"/>
      <c r="DUS275" s="192"/>
      <c r="DUT275" s="192"/>
      <c r="DUU275" s="192"/>
      <c r="DUV275" s="192"/>
      <c r="DUW275" s="192"/>
      <c r="DUX275" s="192"/>
      <c r="DUY275" s="192"/>
      <c r="DUZ275" s="192"/>
      <c r="DVA275" s="192"/>
      <c r="DVB275" s="192"/>
      <c r="DVC275" s="192"/>
      <c r="DVD275" s="192"/>
      <c r="DVE275" s="192"/>
      <c r="DVF275" s="192"/>
      <c r="DVG275" s="192"/>
      <c r="DVH275" s="192"/>
      <c r="DVI275" s="192"/>
      <c r="DVJ275" s="192"/>
      <c r="DVK275" s="192"/>
      <c r="DVL275" s="192"/>
      <c r="DVM275" s="192"/>
      <c r="DVN275" s="192"/>
      <c r="DVO275" s="192"/>
      <c r="DVP275" s="192"/>
      <c r="DVQ275" s="192"/>
      <c r="DVR275" s="192"/>
      <c r="DVS275" s="192"/>
      <c r="DVT275" s="192"/>
      <c r="DVU275" s="192"/>
      <c r="DVV275" s="192"/>
      <c r="DVW275" s="192"/>
      <c r="DVX275" s="192"/>
      <c r="DVY275" s="192"/>
      <c r="DVZ275" s="192"/>
      <c r="DWA275" s="192"/>
      <c r="DWB275" s="192"/>
      <c r="DWC275" s="192"/>
      <c r="DWD275" s="192"/>
      <c r="DWE275" s="192"/>
      <c r="DWF275" s="192"/>
      <c r="DWG275" s="192"/>
      <c r="DWH275" s="192"/>
      <c r="DWI275" s="192"/>
      <c r="DWJ275" s="192"/>
      <c r="DWK275" s="192"/>
      <c r="DWL275" s="192"/>
      <c r="DWM275" s="192"/>
      <c r="DWN275" s="192"/>
      <c r="DWO275" s="192"/>
      <c r="DWP275" s="192"/>
      <c r="DWQ275" s="192"/>
      <c r="DWR275" s="192"/>
      <c r="DWS275" s="192"/>
      <c r="DWT275" s="192"/>
      <c r="DWU275" s="192"/>
      <c r="DWV275" s="192"/>
      <c r="DWW275" s="192"/>
      <c r="DWX275" s="192"/>
      <c r="DWY275" s="192"/>
      <c r="DWZ275" s="192"/>
      <c r="DXA275" s="192"/>
      <c r="DXB275" s="192"/>
      <c r="DXC275" s="192"/>
      <c r="DXD275" s="192"/>
      <c r="DXE275" s="192"/>
      <c r="DXF275" s="192"/>
      <c r="DXG275" s="192"/>
      <c r="DXH275" s="192"/>
      <c r="DXI275" s="192"/>
      <c r="DXJ275" s="192"/>
      <c r="DXK275" s="192"/>
      <c r="DXL275" s="192"/>
      <c r="DXM275" s="192"/>
      <c r="DXN275" s="192"/>
      <c r="DXO275" s="192"/>
      <c r="DXP275" s="192"/>
      <c r="DXQ275" s="192"/>
      <c r="DXR275" s="192"/>
      <c r="DXS275" s="192"/>
      <c r="DXT275" s="192"/>
      <c r="DXU275" s="192"/>
      <c r="DXV275" s="192"/>
      <c r="DXW275" s="192"/>
      <c r="DXX275" s="192"/>
      <c r="DXY275" s="192"/>
      <c r="DXZ275" s="192"/>
      <c r="DYA275" s="192"/>
      <c r="DYB275" s="192"/>
      <c r="DYC275" s="192"/>
      <c r="DYD275" s="192"/>
      <c r="DYE275" s="192"/>
      <c r="DYF275" s="192"/>
      <c r="DYG275" s="192"/>
      <c r="DYH275" s="192"/>
      <c r="DYI275" s="192"/>
      <c r="DYJ275" s="192"/>
      <c r="DYK275" s="192"/>
      <c r="DYL275" s="192"/>
      <c r="DYM275" s="192"/>
      <c r="DYN275" s="192"/>
      <c r="DYO275" s="192"/>
      <c r="DYP275" s="192"/>
      <c r="DYQ275" s="192"/>
      <c r="DYR275" s="192"/>
      <c r="DYS275" s="192"/>
      <c r="DYT275" s="192"/>
      <c r="DYU275" s="192"/>
      <c r="DYV275" s="192"/>
      <c r="DYW275" s="192"/>
      <c r="DYX275" s="192"/>
      <c r="DYY275" s="192"/>
      <c r="DYZ275" s="192"/>
      <c r="DZA275" s="192"/>
      <c r="DZB275" s="192"/>
      <c r="DZC275" s="192"/>
      <c r="DZD275" s="192"/>
      <c r="DZE275" s="192"/>
      <c r="DZF275" s="192"/>
      <c r="DZG275" s="192"/>
      <c r="DZH275" s="192"/>
      <c r="DZI275" s="192"/>
      <c r="DZJ275" s="192"/>
      <c r="DZK275" s="192"/>
      <c r="DZL275" s="192"/>
      <c r="DZM275" s="192"/>
      <c r="DZN275" s="192"/>
      <c r="DZO275" s="192"/>
      <c r="DZP275" s="192"/>
      <c r="DZQ275" s="192"/>
      <c r="DZR275" s="192"/>
      <c r="DZS275" s="192"/>
      <c r="DZT275" s="192"/>
      <c r="DZU275" s="192"/>
      <c r="DZV275" s="192"/>
      <c r="DZW275" s="192"/>
      <c r="DZX275" s="192"/>
      <c r="DZY275" s="192"/>
      <c r="DZZ275" s="192"/>
      <c r="EAA275" s="192"/>
      <c r="EAB275" s="192"/>
      <c r="EAC275" s="192"/>
      <c r="EAD275" s="192"/>
      <c r="EAE275" s="192"/>
      <c r="EAF275" s="192"/>
      <c r="EAG275" s="192"/>
      <c r="EAH275" s="192"/>
      <c r="EAI275" s="192"/>
      <c r="EAJ275" s="192"/>
      <c r="EAK275" s="192"/>
      <c r="EAL275" s="192"/>
      <c r="EAM275" s="192"/>
      <c r="EAN275" s="192"/>
      <c r="EAO275" s="192"/>
      <c r="EAP275" s="192"/>
      <c r="EAQ275" s="192"/>
      <c r="EAR275" s="192"/>
      <c r="EAS275" s="192"/>
      <c r="EAT275" s="192"/>
      <c r="EAU275" s="192"/>
      <c r="EAV275" s="192"/>
      <c r="EAW275" s="192"/>
      <c r="EAX275" s="192"/>
      <c r="EAY275" s="192"/>
      <c r="EAZ275" s="192"/>
      <c r="EBA275" s="192"/>
      <c r="EBB275" s="192"/>
      <c r="EBC275" s="192"/>
      <c r="EBD275" s="192"/>
      <c r="EBE275" s="192"/>
      <c r="EBF275" s="192"/>
      <c r="EBG275" s="192"/>
      <c r="EBH275" s="192"/>
      <c r="EBI275" s="192"/>
      <c r="EBJ275" s="192"/>
      <c r="EBK275" s="192"/>
      <c r="EBL275" s="192"/>
      <c r="EBM275" s="192"/>
      <c r="EBN275" s="192"/>
      <c r="EBO275" s="192"/>
      <c r="EBP275" s="192"/>
      <c r="EBQ275" s="192"/>
      <c r="EBR275" s="192"/>
      <c r="EBS275" s="192"/>
      <c r="EBT275" s="192"/>
      <c r="EBU275" s="192"/>
      <c r="EBV275" s="192"/>
      <c r="EBW275" s="192"/>
      <c r="EBX275" s="192"/>
      <c r="EBY275" s="192"/>
      <c r="EBZ275" s="192"/>
      <c r="ECA275" s="192"/>
      <c r="ECB275" s="192"/>
      <c r="ECC275" s="192"/>
      <c r="ECD275" s="192"/>
      <c r="ECE275" s="192"/>
      <c r="ECF275" s="192"/>
      <c r="ECG275" s="192"/>
      <c r="ECH275" s="192"/>
      <c r="ECI275" s="192"/>
      <c r="ECJ275" s="192"/>
      <c r="ECK275" s="192"/>
      <c r="ECL275" s="192"/>
      <c r="ECM275" s="192"/>
      <c r="ECN275" s="192"/>
      <c r="ECO275" s="192"/>
      <c r="ECP275" s="192"/>
      <c r="ECQ275" s="192"/>
      <c r="ECR275" s="192"/>
      <c r="ECS275" s="192"/>
      <c r="ECT275" s="192"/>
      <c r="ECU275" s="192"/>
      <c r="ECV275" s="192"/>
      <c r="ECW275" s="192"/>
      <c r="ECX275" s="192"/>
      <c r="ECY275" s="192"/>
      <c r="ECZ275" s="192"/>
      <c r="EDA275" s="192"/>
      <c r="EDB275" s="192"/>
      <c r="EDC275" s="192"/>
      <c r="EDD275" s="192"/>
      <c r="EDE275" s="192"/>
      <c r="EDF275" s="192"/>
      <c r="EDG275" s="192"/>
      <c r="EDH275" s="192"/>
      <c r="EDI275" s="192"/>
      <c r="EDJ275" s="192"/>
      <c r="EDK275" s="192"/>
      <c r="EDL275" s="192"/>
      <c r="EDM275" s="192"/>
      <c r="EDN275" s="192"/>
      <c r="EDO275" s="192"/>
      <c r="EDP275" s="192"/>
      <c r="EDQ275" s="192"/>
      <c r="EDR275" s="192"/>
      <c r="EDS275" s="192"/>
      <c r="EDT275" s="192"/>
      <c r="EDU275" s="192"/>
      <c r="EDV275" s="192"/>
      <c r="EDW275" s="192"/>
      <c r="EDX275" s="192"/>
      <c r="EDY275" s="192"/>
      <c r="EDZ275" s="192"/>
      <c r="EEA275" s="192"/>
      <c r="EEB275" s="192"/>
      <c r="EEC275" s="192"/>
      <c r="EED275" s="192"/>
      <c r="EEE275" s="192"/>
      <c r="EEF275" s="192"/>
      <c r="EEG275" s="192"/>
      <c r="EEH275" s="192"/>
      <c r="EEI275" s="192"/>
      <c r="EEJ275" s="192"/>
      <c r="EEK275" s="192"/>
      <c r="EEL275" s="192"/>
      <c r="EEM275" s="192"/>
      <c r="EEN275" s="192"/>
      <c r="EEO275" s="192"/>
      <c r="EEP275" s="192"/>
      <c r="EEQ275" s="192"/>
      <c r="EER275" s="192"/>
      <c r="EES275" s="192"/>
      <c r="EET275" s="192"/>
      <c r="EEU275" s="192"/>
      <c r="EEV275" s="192"/>
      <c r="EEW275" s="192"/>
      <c r="EEX275" s="192"/>
      <c r="EEY275" s="192"/>
      <c r="EEZ275" s="192"/>
      <c r="EFA275" s="192"/>
      <c r="EFB275" s="192"/>
      <c r="EFC275" s="192"/>
      <c r="EFD275" s="192"/>
      <c r="EFE275" s="192"/>
      <c r="EFF275" s="192"/>
      <c r="EFG275" s="192"/>
      <c r="EFH275" s="192"/>
      <c r="EFI275" s="192"/>
      <c r="EFJ275" s="192"/>
      <c r="EFK275" s="192"/>
      <c r="EFL275" s="192"/>
      <c r="EFM275" s="192"/>
      <c r="EFN275" s="192"/>
      <c r="EFO275" s="192"/>
      <c r="EFP275" s="192"/>
      <c r="EFQ275" s="192"/>
      <c r="EFR275" s="192"/>
      <c r="EFS275" s="192"/>
      <c r="EFT275" s="192"/>
      <c r="EFU275" s="192"/>
      <c r="EFV275" s="192"/>
      <c r="EFW275" s="192"/>
      <c r="EFX275" s="192"/>
      <c r="EFY275" s="192"/>
      <c r="EFZ275" s="192"/>
      <c r="EGA275" s="192"/>
      <c r="EGB275" s="192"/>
      <c r="EGC275" s="192"/>
      <c r="EGD275" s="192"/>
      <c r="EGE275" s="192"/>
      <c r="EGF275" s="192"/>
      <c r="EGG275" s="192"/>
      <c r="EGH275" s="192"/>
      <c r="EGI275" s="192"/>
      <c r="EGJ275" s="192"/>
      <c r="EGK275" s="192"/>
      <c r="EGL275" s="192"/>
      <c r="EGM275" s="192"/>
      <c r="EGN275" s="192"/>
      <c r="EGO275" s="192"/>
      <c r="EGP275" s="192"/>
      <c r="EGQ275" s="192"/>
      <c r="EGR275" s="192"/>
      <c r="EGS275" s="192"/>
      <c r="EGT275" s="192"/>
      <c r="EGU275" s="192"/>
      <c r="EGV275" s="192"/>
      <c r="EGW275" s="192"/>
      <c r="EGX275" s="192"/>
      <c r="EGY275" s="192"/>
      <c r="EGZ275" s="192"/>
      <c r="EHA275" s="192"/>
      <c r="EHB275" s="192"/>
      <c r="EHC275" s="192"/>
      <c r="EHD275" s="192"/>
      <c r="EHE275" s="192"/>
      <c r="EHF275" s="192"/>
      <c r="EHG275" s="192"/>
      <c r="EHH275" s="192"/>
      <c r="EHI275" s="192"/>
      <c r="EHJ275" s="192"/>
      <c r="EHK275" s="192"/>
      <c r="EHL275" s="192"/>
      <c r="EHM275" s="192"/>
      <c r="EHN275" s="192"/>
      <c r="EHO275" s="192"/>
      <c r="EHP275" s="192"/>
      <c r="EHQ275" s="192"/>
      <c r="EHR275" s="192"/>
      <c r="EHS275" s="192"/>
      <c r="EHT275" s="192"/>
      <c r="EHU275" s="192"/>
      <c r="EHV275" s="192"/>
      <c r="EHW275" s="192"/>
      <c r="EHX275" s="192"/>
      <c r="EHY275" s="192"/>
      <c r="EHZ275" s="192"/>
      <c r="EIA275" s="192"/>
      <c r="EIB275" s="192"/>
      <c r="EIC275" s="192"/>
      <c r="EID275" s="192"/>
      <c r="EIE275" s="192"/>
      <c r="EIF275" s="192"/>
      <c r="EIG275" s="192"/>
      <c r="EIH275" s="192"/>
      <c r="EII275" s="192"/>
      <c r="EIJ275" s="192"/>
      <c r="EIK275" s="192"/>
      <c r="EIL275" s="192"/>
      <c r="EIM275" s="192"/>
      <c r="EIN275" s="192"/>
      <c r="EIO275" s="192"/>
      <c r="EIP275" s="192"/>
      <c r="EIQ275" s="192"/>
      <c r="EIR275" s="192"/>
      <c r="EIS275" s="192"/>
      <c r="EIT275" s="192"/>
      <c r="EIU275" s="192"/>
      <c r="EIV275" s="192"/>
      <c r="EIW275" s="192"/>
      <c r="EIX275" s="192"/>
      <c r="EIY275" s="192"/>
      <c r="EIZ275" s="192"/>
      <c r="EJA275" s="192"/>
      <c r="EJB275" s="192"/>
      <c r="EJC275" s="192"/>
      <c r="EJD275" s="192"/>
      <c r="EJE275" s="192"/>
      <c r="EJF275" s="192"/>
      <c r="EJG275" s="192"/>
      <c r="EJH275" s="192"/>
      <c r="EJI275" s="192"/>
      <c r="EJJ275" s="192"/>
      <c r="EJK275" s="192"/>
      <c r="EJL275" s="192"/>
      <c r="EJM275" s="192"/>
      <c r="EJN275" s="192"/>
      <c r="EJO275" s="192"/>
      <c r="EJP275" s="192"/>
      <c r="EJQ275" s="192"/>
      <c r="EJR275" s="192"/>
      <c r="EJS275" s="192"/>
      <c r="EJT275" s="192"/>
      <c r="EJU275" s="192"/>
      <c r="EJV275" s="192"/>
      <c r="EJW275" s="192"/>
      <c r="EJX275" s="192"/>
      <c r="EJY275" s="192"/>
      <c r="EJZ275" s="192"/>
      <c r="EKA275" s="192"/>
      <c r="EKB275" s="192"/>
      <c r="EKC275" s="192"/>
      <c r="EKD275" s="192"/>
      <c r="EKE275" s="192"/>
      <c r="EKF275" s="192"/>
      <c r="EKG275" s="192"/>
      <c r="EKH275" s="192"/>
      <c r="EKI275" s="192"/>
      <c r="EKJ275" s="192"/>
      <c r="EKK275" s="192"/>
      <c r="EKL275" s="192"/>
      <c r="EKM275" s="192"/>
      <c r="EKN275" s="192"/>
      <c r="EKO275" s="192"/>
      <c r="EKP275" s="192"/>
      <c r="EKQ275" s="192"/>
      <c r="EKR275" s="192"/>
      <c r="EKS275" s="192"/>
      <c r="EKT275" s="192"/>
      <c r="EKU275" s="192"/>
      <c r="EKV275" s="192"/>
      <c r="EKW275" s="192"/>
      <c r="EKX275" s="192"/>
      <c r="EKY275" s="192"/>
      <c r="EKZ275" s="192"/>
      <c r="ELA275" s="192"/>
      <c r="ELB275" s="192"/>
      <c r="ELC275" s="192"/>
      <c r="ELD275" s="192"/>
      <c r="ELE275" s="192"/>
      <c r="ELF275" s="192"/>
      <c r="ELG275" s="192"/>
      <c r="ELH275" s="192"/>
      <c r="ELI275" s="192"/>
      <c r="ELJ275" s="192"/>
      <c r="ELK275" s="192"/>
      <c r="ELL275" s="192"/>
      <c r="ELM275" s="192"/>
      <c r="ELN275" s="192"/>
      <c r="ELO275" s="192"/>
      <c r="ELP275" s="192"/>
      <c r="ELQ275" s="192"/>
      <c r="ELR275" s="192"/>
      <c r="ELS275" s="192"/>
      <c r="ELT275" s="192"/>
      <c r="ELU275" s="192"/>
      <c r="ELV275" s="192"/>
      <c r="ELW275" s="192"/>
      <c r="ELX275" s="192"/>
      <c r="ELY275" s="192"/>
      <c r="ELZ275" s="192"/>
      <c r="EMA275" s="192"/>
      <c r="EMB275" s="192"/>
      <c r="EMC275" s="192"/>
      <c r="EMD275" s="192"/>
      <c r="EME275" s="192"/>
      <c r="EMF275" s="192"/>
      <c r="EMG275" s="192"/>
      <c r="EMH275" s="192"/>
      <c r="EMI275" s="192"/>
      <c r="EMJ275" s="192"/>
      <c r="EMK275" s="192"/>
      <c r="EML275" s="192"/>
      <c r="EMM275" s="192"/>
      <c r="EMN275" s="192"/>
      <c r="EMO275" s="192"/>
      <c r="EMP275" s="192"/>
      <c r="EMQ275" s="192"/>
      <c r="EMR275" s="192"/>
      <c r="EMS275" s="192"/>
      <c r="EMT275" s="192"/>
      <c r="EMU275" s="192"/>
      <c r="EMV275" s="192"/>
      <c r="EMW275" s="192"/>
      <c r="EMX275" s="192"/>
      <c r="EMY275" s="192"/>
      <c r="EMZ275" s="192"/>
      <c r="ENA275" s="192"/>
      <c r="ENB275" s="192"/>
      <c r="ENC275" s="192"/>
      <c r="END275" s="192"/>
      <c r="ENE275" s="192"/>
      <c r="ENF275" s="192"/>
      <c r="ENG275" s="192"/>
      <c r="ENH275" s="192"/>
      <c r="ENI275" s="192"/>
      <c r="ENJ275" s="192"/>
      <c r="ENK275" s="192"/>
      <c r="ENL275" s="192"/>
      <c r="ENM275" s="192"/>
      <c r="ENN275" s="192"/>
      <c r="ENO275" s="192"/>
      <c r="ENP275" s="192"/>
      <c r="ENQ275" s="192"/>
      <c r="ENR275" s="192"/>
      <c r="ENS275" s="192"/>
      <c r="ENT275" s="192"/>
      <c r="ENU275" s="192"/>
      <c r="ENV275" s="192"/>
      <c r="ENW275" s="192"/>
      <c r="ENX275" s="192"/>
      <c r="ENY275" s="192"/>
      <c r="ENZ275" s="192"/>
      <c r="EOA275" s="192"/>
      <c r="EOB275" s="192"/>
      <c r="EOC275" s="192"/>
      <c r="EOD275" s="192"/>
      <c r="EOE275" s="192"/>
      <c r="EOF275" s="192"/>
      <c r="EOG275" s="192"/>
      <c r="EOH275" s="192"/>
      <c r="EOI275" s="192"/>
      <c r="EOJ275" s="192"/>
      <c r="EOK275" s="192"/>
      <c r="EOL275" s="192"/>
      <c r="EOM275" s="192"/>
      <c r="EON275" s="192"/>
      <c r="EOO275" s="192"/>
      <c r="EOP275" s="192"/>
      <c r="EOQ275" s="192"/>
      <c r="EOR275" s="192"/>
      <c r="EOS275" s="192"/>
      <c r="EOT275" s="192"/>
      <c r="EOU275" s="192"/>
      <c r="EOV275" s="192"/>
      <c r="EOW275" s="192"/>
      <c r="EOX275" s="192"/>
      <c r="EOY275" s="192"/>
      <c r="EOZ275" s="192"/>
      <c r="EPA275" s="192"/>
      <c r="EPB275" s="192"/>
      <c r="EPC275" s="192"/>
      <c r="EPD275" s="192"/>
      <c r="EPE275" s="192"/>
      <c r="EPF275" s="192"/>
      <c r="EPG275" s="192"/>
      <c r="EPH275" s="192"/>
      <c r="EPI275" s="192"/>
      <c r="EPJ275" s="192"/>
      <c r="EPK275" s="192"/>
      <c r="EPL275" s="192"/>
      <c r="EPM275" s="192"/>
      <c r="EPN275" s="192"/>
      <c r="EPO275" s="192"/>
      <c r="EPP275" s="192"/>
      <c r="EPQ275" s="192"/>
      <c r="EPR275" s="192"/>
      <c r="EPS275" s="192"/>
      <c r="EPT275" s="192"/>
      <c r="EPU275" s="192"/>
      <c r="EPV275" s="192"/>
      <c r="EPW275" s="192"/>
      <c r="EPX275" s="192"/>
      <c r="EPY275" s="192"/>
      <c r="EPZ275" s="192"/>
      <c r="EQA275" s="192"/>
      <c r="EQB275" s="192"/>
      <c r="EQC275" s="192"/>
      <c r="EQD275" s="192"/>
      <c r="EQE275" s="192"/>
      <c r="EQF275" s="192"/>
      <c r="EQG275" s="192"/>
      <c r="EQH275" s="192"/>
      <c r="EQI275" s="192"/>
      <c r="EQJ275" s="192"/>
      <c r="EQK275" s="192"/>
      <c r="EQL275" s="192"/>
      <c r="EQM275" s="192"/>
      <c r="EQN275" s="192"/>
      <c r="EQO275" s="192"/>
      <c r="EQP275" s="192"/>
      <c r="EQQ275" s="192"/>
      <c r="EQR275" s="192"/>
      <c r="EQS275" s="192"/>
      <c r="EQT275" s="192"/>
      <c r="EQU275" s="192"/>
      <c r="EQV275" s="192"/>
      <c r="EQW275" s="192"/>
      <c r="EQX275" s="192"/>
      <c r="EQY275" s="192"/>
      <c r="EQZ275" s="192"/>
      <c r="ERA275" s="192"/>
      <c r="ERB275" s="192"/>
      <c r="ERC275" s="192"/>
      <c r="ERD275" s="192"/>
      <c r="ERE275" s="192"/>
      <c r="ERF275" s="192"/>
      <c r="ERG275" s="192"/>
      <c r="ERH275" s="192"/>
      <c r="ERI275" s="192"/>
      <c r="ERJ275" s="192"/>
      <c r="ERK275" s="192"/>
      <c r="ERL275" s="192"/>
      <c r="ERM275" s="192"/>
      <c r="ERN275" s="192"/>
      <c r="ERO275" s="192"/>
      <c r="ERP275" s="192"/>
      <c r="ERQ275" s="192"/>
      <c r="ERR275" s="192"/>
      <c r="ERS275" s="192"/>
      <c r="ERT275" s="192"/>
      <c r="ERU275" s="192"/>
      <c r="ERV275" s="192"/>
      <c r="ERW275" s="192"/>
      <c r="ERX275" s="192"/>
      <c r="ERY275" s="192"/>
      <c r="ERZ275" s="192"/>
      <c r="ESA275" s="192"/>
      <c r="ESB275" s="192"/>
      <c r="ESC275" s="192"/>
      <c r="ESD275" s="192"/>
      <c r="ESE275" s="192"/>
      <c r="ESF275" s="192"/>
      <c r="ESG275" s="192"/>
      <c r="ESH275" s="192"/>
      <c r="ESI275" s="192"/>
      <c r="ESJ275" s="192"/>
      <c r="ESK275" s="192"/>
      <c r="ESL275" s="192"/>
      <c r="ESM275" s="192"/>
      <c r="ESN275" s="192"/>
      <c r="ESO275" s="192"/>
      <c r="ESP275" s="192"/>
      <c r="ESQ275" s="192"/>
      <c r="ESR275" s="192"/>
      <c r="ESS275" s="192"/>
      <c r="EST275" s="192"/>
      <c r="ESU275" s="192"/>
      <c r="ESV275" s="192"/>
      <c r="ESW275" s="192"/>
      <c r="ESX275" s="192"/>
      <c r="ESY275" s="192"/>
      <c r="ESZ275" s="192"/>
      <c r="ETA275" s="192"/>
      <c r="ETB275" s="192"/>
      <c r="ETC275" s="192"/>
      <c r="ETD275" s="192"/>
      <c r="ETE275" s="192"/>
      <c r="ETF275" s="192"/>
      <c r="ETG275" s="192"/>
      <c r="ETH275" s="192"/>
      <c r="ETI275" s="192"/>
      <c r="ETJ275" s="192"/>
      <c r="ETK275" s="192"/>
      <c r="ETL275" s="192"/>
      <c r="ETM275" s="192"/>
      <c r="ETN275" s="192"/>
      <c r="ETO275" s="192"/>
      <c r="ETP275" s="192"/>
      <c r="ETQ275" s="192"/>
      <c r="ETR275" s="192"/>
      <c r="ETS275" s="192"/>
      <c r="ETT275" s="192"/>
      <c r="ETU275" s="192"/>
      <c r="ETV275" s="192"/>
      <c r="ETW275" s="192"/>
      <c r="ETX275" s="192"/>
      <c r="ETY275" s="192"/>
      <c r="ETZ275" s="192"/>
      <c r="EUA275" s="192"/>
      <c r="EUB275" s="192"/>
      <c r="EUC275" s="192"/>
      <c r="EUD275" s="192"/>
      <c r="EUE275" s="192"/>
      <c r="EUF275" s="192"/>
      <c r="EUG275" s="192"/>
      <c r="EUH275" s="192"/>
      <c r="EUI275" s="192"/>
      <c r="EUJ275" s="192"/>
      <c r="EUK275" s="192"/>
      <c r="EUL275" s="192"/>
      <c r="EUM275" s="192"/>
      <c r="EUN275" s="192"/>
      <c r="EUO275" s="192"/>
      <c r="EUP275" s="192"/>
      <c r="EUQ275" s="192"/>
      <c r="EUR275" s="192"/>
      <c r="EUS275" s="192"/>
      <c r="EUT275" s="192"/>
      <c r="EUU275" s="192"/>
      <c r="EUV275" s="192"/>
      <c r="EUW275" s="192"/>
      <c r="EUX275" s="192"/>
      <c r="EUY275" s="192"/>
      <c r="EUZ275" s="192"/>
      <c r="EVA275" s="192"/>
      <c r="EVB275" s="192"/>
      <c r="EVC275" s="192"/>
      <c r="EVD275" s="192"/>
      <c r="EVE275" s="192"/>
      <c r="EVF275" s="192"/>
      <c r="EVG275" s="192"/>
      <c r="EVH275" s="192"/>
      <c r="EVI275" s="192"/>
      <c r="EVJ275" s="192"/>
      <c r="EVK275" s="192"/>
      <c r="EVL275" s="192"/>
      <c r="EVM275" s="192"/>
      <c r="EVN275" s="192"/>
      <c r="EVO275" s="192"/>
      <c r="EVP275" s="192"/>
      <c r="EVQ275" s="192"/>
      <c r="EVR275" s="192"/>
      <c r="EVS275" s="192"/>
      <c r="EVT275" s="192"/>
      <c r="EVU275" s="192"/>
      <c r="EVV275" s="192"/>
      <c r="EVW275" s="192"/>
      <c r="EVX275" s="192"/>
      <c r="EVY275" s="192"/>
      <c r="EVZ275" s="192"/>
      <c r="EWA275" s="192"/>
      <c r="EWB275" s="192"/>
      <c r="EWC275" s="192"/>
      <c r="EWD275" s="192"/>
      <c r="EWE275" s="192"/>
      <c r="EWF275" s="192"/>
      <c r="EWG275" s="192"/>
      <c r="EWH275" s="192"/>
      <c r="EWI275" s="192"/>
      <c r="EWJ275" s="192"/>
      <c r="EWK275" s="192"/>
      <c r="EWL275" s="192"/>
      <c r="EWM275" s="192"/>
      <c r="EWN275" s="192"/>
      <c r="EWO275" s="192"/>
      <c r="EWP275" s="192"/>
      <c r="EWQ275" s="192"/>
      <c r="EWR275" s="192"/>
      <c r="EWS275" s="192"/>
      <c r="EWT275" s="192"/>
      <c r="EWU275" s="192"/>
      <c r="EWV275" s="192"/>
      <c r="EWW275" s="192"/>
      <c r="EWX275" s="192"/>
      <c r="EWY275" s="192"/>
      <c r="EWZ275" s="192"/>
      <c r="EXA275" s="192"/>
      <c r="EXB275" s="192"/>
      <c r="EXC275" s="192"/>
      <c r="EXD275" s="192"/>
      <c r="EXE275" s="192"/>
      <c r="EXF275" s="192"/>
      <c r="EXG275" s="192"/>
      <c r="EXH275" s="192"/>
      <c r="EXI275" s="192"/>
      <c r="EXJ275" s="192"/>
      <c r="EXK275" s="192"/>
      <c r="EXL275" s="192"/>
      <c r="EXM275" s="192"/>
      <c r="EXN275" s="192"/>
      <c r="EXO275" s="192"/>
      <c r="EXP275" s="192"/>
      <c r="EXQ275" s="192"/>
      <c r="EXR275" s="192"/>
      <c r="EXS275" s="192"/>
      <c r="EXT275" s="192"/>
      <c r="EXU275" s="192"/>
      <c r="EXV275" s="192"/>
      <c r="EXW275" s="192"/>
      <c r="EXX275" s="192"/>
      <c r="EXY275" s="192"/>
      <c r="EXZ275" s="192"/>
      <c r="EYA275" s="192"/>
      <c r="EYB275" s="192"/>
      <c r="EYC275" s="192"/>
      <c r="EYD275" s="192"/>
      <c r="EYE275" s="192"/>
      <c r="EYF275" s="192"/>
      <c r="EYG275" s="192"/>
      <c r="EYH275" s="192"/>
      <c r="EYI275" s="192"/>
      <c r="EYJ275" s="192"/>
      <c r="EYK275" s="192"/>
      <c r="EYL275" s="192"/>
      <c r="EYM275" s="192"/>
      <c r="EYN275" s="192"/>
      <c r="EYO275" s="192"/>
      <c r="EYP275" s="192"/>
      <c r="EYQ275" s="192"/>
      <c r="EYR275" s="192"/>
      <c r="EYS275" s="192"/>
      <c r="EYT275" s="192"/>
      <c r="EYU275" s="192"/>
      <c r="EYV275" s="192"/>
      <c r="EYW275" s="192"/>
      <c r="EYX275" s="192"/>
      <c r="EYY275" s="192"/>
      <c r="EYZ275" s="192"/>
      <c r="EZA275" s="192"/>
      <c r="EZB275" s="192"/>
      <c r="EZC275" s="192"/>
      <c r="EZD275" s="192"/>
      <c r="EZE275" s="192"/>
      <c r="EZF275" s="192"/>
      <c r="EZG275" s="192"/>
      <c r="EZH275" s="192"/>
      <c r="EZI275" s="192"/>
      <c r="EZJ275" s="192"/>
      <c r="EZK275" s="192"/>
      <c r="EZL275" s="192"/>
      <c r="EZM275" s="192"/>
      <c r="EZN275" s="192"/>
      <c r="EZO275" s="192"/>
      <c r="EZP275" s="192"/>
      <c r="EZQ275" s="192"/>
      <c r="EZR275" s="192"/>
      <c r="EZS275" s="192"/>
      <c r="EZT275" s="192"/>
      <c r="EZU275" s="192"/>
      <c r="EZV275" s="192"/>
      <c r="EZW275" s="192"/>
      <c r="EZX275" s="192"/>
      <c r="EZY275" s="192"/>
      <c r="EZZ275" s="192"/>
      <c r="FAA275" s="192"/>
      <c r="FAB275" s="192"/>
      <c r="FAC275" s="192"/>
      <c r="FAD275" s="192"/>
      <c r="FAE275" s="192"/>
      <c r="FAF275" s="192"/>
      <c r="FAG275" s="192"/>
      <c r="FAH275" s="192"/>
      <c r="FAI275" s="192"/>
      <c r="FAJ275" s="192"/>
      <c r="FAK275" s="192"/>
      <c r="FAL275" s="192"/>
      <c r="FAM275" s="192"/>
      <c r="FAN275" s="192"/>
      <c r="FAO275" s="192"/>
      <c r="FAP275" s="192"/>
      <c r="FAQ275" s="192"/>
      <c r="FAR275" s="192"/>
      <c r="FAS275" s="192"/>
      <c r="FAT275" s="192"/>
      <c r="FAU275" s="192"/>
      <c r="FAV275" s="192"/>
      <c r="FAW275" s="192"/>
      <c r="FAX275" s="192"/>
      <c r="FAY275" s="192"/>
      <c r="FAZ275" s="192"/>
      <c r="FBA275" s="192"/>
      <c r="FBB275" s="192"/>
      <c r="FBC275" s="192"/>
      <c r="FBD275" s="192"/>
      <c r="FBE275" s="192"/>
      <c r="FBF275" s="192"/>
      <c r="FBG275" s="192"/>
      <c r="FBH275" s="192"/>
      <c r="FBI275" s="192"/>
      <c r="FBJ275" s="192"/>
      <c r="FBK275" s="192"/>
      <c r="FBL275" s="192"/>
      <c r="FBM275" s="192"/>
      <c r="FBN275" s="192"/>
      <c r="FBO275" s="192"/>
      <c r="FBP275" s="192"/>
      <c r="FBQ275" s="192"/>
      <c r="FBR275" s="192"/>
      <c r="FBS275" s="192"/>
      <c r="FBT275" s="192"/>
      <c r="FBU275" s="192"/>
      <c r="FBV275" s="192"/>
      <c r="FBW275" s="192"/>
      <c r="FBX275" s="192"/>
      <c r="FBY275" s="192"/>
      <c r="FBZ275" s="192"/>
      <c r="FCA275" s="192"/>
      <c r="FCB275" s="192"/>
      <c r="FCC275" s="192"/>
      <c r="FCD275" s="192"/>
      <c r="FCE275" s="192"/>
      <c r="FCF275" s="192"/>
      <c r="FCG275" s="192"/>
      <c r="FCH275" s="192"/>
      <c r="FCI275" s="192"/>
      <c r="FCJ275" s="192"/>
      <c r="FCK275" s="192"/>
      <c r="FCL275" s="192"/>
      <c r="FCM275" s="192"/>
      <c r="FCN275" s="192"/>
      <c r="FCO275" s="192"/>
      <c r="FCP275" s="192"/>
      <c r="FCQ275" s="192"/>
      <c r="FCR275" s="192"/>
      <c r="FCS275" s="192"/>
      <c r="FCT275" s="192"/>
      <c r="FCU275" s="192"/>
      <c r="FCV275" s="192"/>
      <c r="FCW275" s="192"/>
      <c r="FCX275" s="192"/>
      <c r="FCY275" s="192"/>
      <c r="FCZ275" s="192"/>
      <c r="FDA275" s="192"/>
      <c r="FDB275" s="192"/>
      <c r="FDC275" s="192"/>
      <c r="FDD275" s="192"/>
      <c r="FDE275" s="192"/>
      <c r="FDF275" s="192"/>
      <c r="FDG275" s="192"/>
      <c r="FDH275" s="192"/>
      <c r="FDI275" s="192"/>
      <c r="FDJ275" s="192"/>
      <c r="FDK275" s="192"/>
      <c r="FDL275" s="192"/>
      <c r="FDM275" s="192"/>
      <c r="FDN275" s="192"/>
      <c r="FDO275" s="192"/>
      <c r="FDP275" s="192"/>
      <c r="FDQ275" s="192"/>
      <c r="FDR275" s="192"/>
      <c r="FDS275" s="192"/>
      <c r="FDT275" s="192"/>
      <c r="FDU275" s="192"/>
      <c r="FDV275" s="192"/>
      <c r="FDW275" s="192"/>
      <c r="FDX275" s="192"/>
      <c r="FDY275" s="192"/>
      <c r="FDZ275" s="192"/>
      <c r="FEA275" s="192"/>
      <c r="FEB275" s="192"/>
      <c r="FEC275" s="192"/>
      <c r="FED275" s="192"/>
      <c r="FEE275" s="192"/>
      <c r="FEF275" s="192"/>
      <c r="FEG275" s="192"/>
      <c r="FEH275" s="192"/>
      <c r="FEI275" s="192"/>
      <c r="FEJ275" s="192"/>
      <c r="FEK275" s="192"/>
      <c r="FEL275" s="192"/>
      <c r="FEM275" s="192"/>
      <c r="FEN275" s="192"/>
      <c r="FEO275" s="192"/>
      <c r="FEP275" s="192"/>
      <c r="FEQ275" s="192"/>
      <c r="FER275" s="192"/>
      <c r="FES275" s="192"/>
      <c r="FET275" s="192"/>
      <c r="FEU275" s="192"/>
      <c r="FEV275" s="192"/>
      <c r="FEW275" s="192"/>
      <c r="FEX275" s="192"/>
      <c r="FEY275" s="192"/>
      <c r="FEZ275" s="192"/>
      <c r="FFA275" s="192"/>
      <c r="FFB275" s="192"/>
      <c r="FFC275" s="192"/>
      <c r="FFD275" s="192"/>
      <c r="FFE275" s="192"/>
      <c r="FFF275" s="192"/>
      <c r="FFG275" s="192"/>
      <c r="FFH275" s="192"/>
      <c r="FFI275" s="192"/>
      <c r="FFJ275" s="192"/>
      <c r="FFK275" s="192"/>
      <c r="FFL275" s="192"/>
      <c r="FFM275" s="192"/>
      <c r="FFN275" s="192"/>
      <c r="FFO275" s="192"/>
      <c r="FFP275" s="192"/>
      <c r="FFQ275" s="192"/>
      <c r="FFR275" s="192"/>
      <c r="FFS275" s="192"/>
      <c r="FFT275" s="192"/>
      <c r="FFU275" s="192"/>
      <c r="FFV275" s="192"/>
      <c r="FFW275" s="192"/>
      <c r="FFX275" s="192"/>
      <c r="FFY275" s="192"/>
      <c r="FFZ275" s="192"/>
      <c r="FGA275" s="192"/>
      <c r="FGB275" s="192"/>
      <c r="FGC275" s="192"/>
      <c r="FGD275" s="192"/>
      <c r="FGE275" s="192"/>
      <c r="FGF275" s="192"/>
      <c r="FGG275" s="192"/>
      <c r="FGH275" s="192"/>
      <c r="FGI275" s="192"/>
      <c r="FGJ275" s="192"/>
      <c r="FGK275" s="192"/>
      <c r="FGL275" s="192"/>
      <c r="FGM275" s="192"/>
      <c r="FGN275" s="192"/>
      <c r="FGO275" s="192"/>
      <c r="FGP275" s="192"/>
      <c r="FGQ275" s="192"/>
      <c r="FGR275" s="192"/>
      <c r="FGS275" s="192"/>
      <c r="FGT275" s="192"/>
      <c r="FGU275" s="192"/>
      <c r="FGV275" s="192"/>
      <c r="FGW275" s="192"/>
      <c r="FGX275" s="192"/>
      <c r="FGY275" s="192"/>
      <c r="FGZ275" s="192"/>
      <c r="FHA275" s="192"/>
      <c r="FHB275" s="192"/>
      <c r="FHC275" s="192"/>
      <c r="FHD275" s="192"/>
      <c r="FHE275" s="192"/>
      <c r="FHF275" s="192"/>
      <c r="FHG275" s="192"/>
      <c r="FHH275" s="192"/>
      <c r="FHI275" s="192"/>
      <c r="FHJ275" s="192"/>
      <c r="FHK275" s="192"/>
      <c r="FHL275" s="192"/>
      <c r="FHM275" s="192"/>
      <c r="FHN275" s="192"/>
      <c r="FHO275" s="192"/>
      <c r="FHP275" s="192"/>
      <c r="FHQ275" s="192"/>
      <c r="FHR275" s="192"/>
      <c r="FHS275" s="192"/>
      <c r="FHT275" s="192"/>
      <c r="FHU275" s="192"/>
      <c r="FHV275" s="192"/>
      <c r="FHW275" s="192"/>
      <c r="FHX275" s="192"/>
      <c r="FHY275" s="192"/>
      <c r="FHZ275" s="192"/>
      <c r="FIA275" s="192"/>
      <c r="FIB275" s="192"/>
      <c r="FIC275" s="192"/>
      <c r="FID275" s="192"/>
      <c r="FIE275" s="192"/>
      <c r="FIF275" s="192"/>
      <c r="FIG275" s="192"/>
      <c r="FIH275" s="192"/>
      <c r="FII275" s="192"/>
      <c r="FIJ275" s="192"/>
      <c r="FIK275" s="192"/>
      <c r="FIL275" s="192"/>
      <c r="FIM275" s="192"/>
      <c r="FIN275" s="192"/>
      <c r="FIO275" s="192"/>
      <c r="FIP275" s="192"/>
      <c r="FIQ275" s="192"/>
      <c r="FIR275" s="192"/>
      <c r="FIS275" s="192"/>
      <c r="FIT275" s="192"/>
      <c r="FIU275" s="192"/>
      <c r="FIV275" s="192"/>
      <c r="FIW275" s="192"/>
      <c r="FIX275" s="192"/>
      <c r="FIY275" s="192"/>
      <c r="FIZ275" s="192"/>
      <c r="FJA275" s="192"/>
      <c r="FJB275" s="192"/>
      <c r="FJC275" s="192"/>
      <c r="FJD275" s="192"/>
      <c r="FJE275" s="192"/>
      <c r="FJF275" s="192"/>
      <c r="FJG275" s="192"/>
      <c r="FJH275" s="192"/>
      <c r="FJI275" s="192"/>
      <c r="FJJ275" s="192"/>
      <c r="FJK275" s="192"/>
      <c r="FJL275" s="192"/>
      <c r="FJM275" s="192"/>
      <c r="FJN275" s="192"/>
      <c r="FJO275" s="192"/>
      <c r="FJP275" s="192"/>
      <c r="FJQ275" s="192"/>
      <c r="FJR275" s="192"/>
      <c r="FJS275" s="192"/>
      <c r="FJT275" s="192"/>
      <c r="FJU275" s="192"/>
      <c r="FJV275" s="192"/>
      <c r="FJW275" s="192"/>
      <c r="FJX275" s="192"/>
      <c r="FJY275" s="192"/>
      <c r="FJZ275" s="192"/>
      <c r="FKA275" s="192"/>
      <c r="FKB275" s="192"/>
      <c r="FKC275" s="192"/>
      <c r="FKD275" s="192"/>
      <c r="FKE275" s="192"/>
      <c r="FKF275" s="192"/>
      <c r="FKG275" s="192"/>
      <c r="FKH275" s="192"/>
      <c r="FKI275" s="192"/>
      <c r="FKJ275" s="192"/>
      <c r="FKK275" s="192"/>
      <c r="FKL275" s="192"/>
      <c r="FKM275" s="192"/>
      <c r="FKN275" s="192"/>
      <c r="FKO275" s="192"/>
      <c r="FKP275" s="192"/>
      <c r="FKQ275" s="192"/>
      <c r="FKR275" s="192"/>
      <c r="FKS275" s="192"/>
      <c r="FKT275" s="192"/>
      <c r="FKU275" s="192"/>
      <c r="FKV275" s="192"/>
      <c r="FKW275" s="192"/>
      <c r="FKX275" s="192"/>
      <c r="FKY275" s="192"/>
      <c r="FKZ275" s="192"/>
      <c r="FLA275" s="192"/>
      <c r="FLB275" s="192"/>
      <c r="FLC275" s="192"/>
      <c r="FLD275" s="192"/>
      <c r="FLE275" s="192"/>
      <c r="FLF275" s="192"/>
      <c r="FLG275" s="192"/>
      <c r="FLH275" s="192"/>
      <c r="FLI275" s="192"/>
      <c r="FLJ275" s="192"/>
      <c r="FLK275" s="192"/>
      <c r="FLL275" s="192"/>
      <c r="FLM275" s="192"/>
      <c r="FLN275" s="192"/>
      <c r="FLO275" s="192"/>
      <c r="FLP275" s="192"/>
      <c r="FLQ275" s="192"/>
      <c r="FLR275" s="192"/>
      <c r="FLS275" s="192"/>
      <c r="FLT275" s="192"/>
      <c r="FLU275" s="192"/>
      <c r="FLV275" s="192"/>
      <c r="FLW275" s="192"/>
      <c r="FLX275" s="192"/>
      <c r="FLY275" s="192"/>
      <c r="FLZ275" s="192"/>
      <c r="FMA275" s="192"/>
      <c r="FMB275" s="192"/>
      <c r="FMC275" s="192"/>
      <c r="FMD275" s="192"/>
      <c r="FME275" s="192"/>
      <c r="FMF275" s="192"/>
      <c r="FMG275" s="192"/>
      <c r="FMH275" s="192"/>
      <c r="FMI275" s="192"/>
      <c r="FMJ275" s="192"/>
      <c r="FMK275" s="192"/>
      <c r="FML275" s="192"/>
      <c r="FMM275" s="192"/>
      <c r="FMN275" s="192"/>
      <c r="FMO275" s="192"/>
      <c r="FMP275" s="192"/>
      <c r="FMQ275" s="192"/>
      <c r="FMR275" s="192"/>
      <c r="FMS275" s="192"/>
      <c r="FMT275" s="192"/>
      <c r="FMU275" s="192"/>
      <c r="FMV275" s="192"/>
      <c r="FMW275" s="192"/>
      <c r="FMX275" s="192"/>
      <c r="FMY275" s="192"/>
      <c r="FMZ275" s="192"/>
      <c r="FNA275" s="192"/>
      <c r="FNB275" s="192"/>
      <c r="FNC275" s="192"/>
      <c r="FND275" s="192"/>
      <c r="FNE275" s="192"/>
      <c r="FNF275" s="192"/>
      <c r="FNG275" s="192"/>
      <c r="FNH275" s="192"/>
      <c r="FNI275" s="192"/>
      <c r="FNJ275" s="192"/>
      <c r="FNK275" s="192"/>
      <c r="FNL275" s="192"/>
      <c r="FNM275" s="192"/>
      <c r="FNN275" s="192"/>
      <c r="FNO275" s="192"/>
      <c r="FNP275" s="192"/>
      <c r="FNQ275" s="192"/>
      <c r="FNR275" s="192"/>
      <c r="FNS275" s="192"/>
      <c r="FNT275" s="192"/>
      <c r="FNU275" s="192"/>
      <c r="FNV275" s="192"/>
      <c r="FNW275" s="192"/>
      <c r="FNX275" s="192"/>
      <c r="FNY275" s="192"/>
      <c r="FNZ275" s="192"/>
      <c r="FOA275" s="192"/>
      <c r="FOB275" s="192"/>
      <c r="FOC275" s="192"/>
      <c r="FOD275" s="192"/>
      <c r="FOE275" s="192"/>
      <c r="FOF275" s="192"/>
      <c r="FOG275" s="192"/>
      <c r="FOH275" s="192"/>
      <c r="FOI275" s="192"/>
      <c r="FOJ275" s="192"/>
      <c r="FOK275" s="192"/>
      <c r="FOL275" s="192"/>
      <c r="FOM275" s="192"/>
      <c r="FON275" s="192"/>
      <c r="FOO275" s="192"/>
      <c r="FOP275" s="192"/>
      <c r="FOQ275" s="192"/>
      <c r="FOR275" s="192"/>
      <c r="FOS275" s="192"/>
      <c r="FOT275" s="192"/>
      <c r="FOU275" s="192"/>
      <c r="FOV275" s="192"/>
      <c r="FOW275" s="192"/>
      <c r="FOX275" s="192"/>
      <c r="FOY275" s="192"/>
      <c r="FOZ275" s="192"/>
      <c r="FPA275" s="192"/>
      <c r="FPB275" s="192"/>
      <c r="FPC275" s="192"/>
      <c r="FPD275" s="192"/>
      <c r="FPE275" s="192"/>
      <c r="FPF275" s="192"/>
      <c r="FPG275" s="192"/>
      <c r="FPH275" s="192"/>
      <c r="FPI275" s="192"/>
      <c r="FPJ275" s="192"/>
      <c r="FPK275" s="192"/>
      <c r="FPL275" s="192"/>
      <c r="FPM275" s="192"/>
      <c r="FPN275" s="192"/>
      <c r="FPO275" s="192"/>
      <c r="FPP275" s="192"/>
      <c r="FPQ275" s="192"/>
      <c r="FPR275" s="192"/>
      <c r="FPS275" s="192"/>
      <c r="FPT275" s="192"/>
      <c r="FPU275" s="192"/>
      <c r="FPV275" s="192"/>
      <c r="FPW275" s="192"/>
      <c r="FPX275" s="192"/>
      <c r="FPY275" s="192"/>
      <c r="FPZ275" s="192"/>
      <c r="FQA275" s="192"/>
      <c r="FQB275" s="192"/>
      <c r="FQC275" s="192"/>
      <c r="FQD275" s="192"/>
      <c r="FQE275" s="192"/>
      <c r="FQF275" s="192"/>
      <c r="FQG275" s="192"/>
      <c r="FQH275" s="192"/>
      <c r="FQI275" s="192"/>
      <c r="FQJ275" s="192"/>
      <c r="FQK275" s="192"/>
      <c r="FQL275" s="192"/>
      <c r="FQM275" s="192"/>
      <c r="FQN275" s="192"/>
      <c r="FQO275" s="192"/>
      <c r="FQP275" s="192"/>
      <c r="FQQ275" s="192"/>
      <c r="FQR275" s="192"/>
      <c r="FQS275" s="192"/>
      <c r="FQT275" s="192"/>
      <c r="FQU275" s="192"/>
      <c r="FQV275" s="192"/>
      <c r="FQW275" s="192"/>
      <c r="FQX275" s="192"/>
      <c r="FQY275" s="192"/>
      <c r="FQZ275" s="192"/>
      <c r="FRA275" s="192"/>
      <c r="FRB275" s="192"/>
      <c r="FRC275" s="192"/>
      <c r="FRD275" s="192"/>
      <c r="FRE275" s="192"/>
      <c r="FRF275" s="192"/>
      <c r="FRG275" s="192"/>
      <c r="FRH275" s="192"/>
      <c r="FRI275" s="192"/>
      <c r="FRJ275" s="192"/>
      <c r="FRK275" s="192"/>
      <c r="FRL275" s="192"/>
      <c r="FRM275" s="192"/>
      <c r="FRN275" s="192"/>
      <c r="FRO275" s="192"/>
      <c r="FRP275" s="192"/>
      <c r="FRQ275" s="192"/>
      <c r="FRR275" s="192"/>
      <c r="FRS275" s="192"/>
      <c r="FRT275" s="192"/>
      <c r="FRU275" s="192"/>
      <c r="FRV275" s="192"/>
      <c r="FRW275" s="192"/>
      <c r="FRX275" s="192"/>
      <c r="FRY275" s="192"/>
      <c r="FRZ275" s="192"/>
      <c r="FSA275" s="192"/>
      <c r="FSB275" s="192"/>
      <c r="FSC275" s="192"/>
      <c r="FSD275" s="192"/>
      <c r="FSE275" s="192"/>
      <c r="FSF275" s="192"/>
      <c r="FSG275" s="192"/>
      <c r="FSH275" s="192"/>
      <c r="FSI275" s="192"/>
      <c r="FSJ275" s="192"/>
      <c r="FSK275" s="192"/>
      <c r="FSL275" s="192"/>
      <c r="FSM275" s="192"/>
      <c r="FSN275" s="192"/>
      <c r="FSO275" s="192"/>
      <c r="FSP275" s="192"/>
      <c r="FSQ275" s="192"/>
      <c r="FSR275" s="192"/>
      <c r="FSS275" s="192"/>
      <c r="FST275" s="192"/>
      <c r="FSU275" s="192"/>
      <c r="FSV275" s="192"/>
      <c r="FSW275" s="192"/>
      <c r="FSX275" s="192"/>
      <c r="FSY275" s="192"/>
      <c r="FSZ275" s="192"/>
      <c r="FTA275" s="192"/>
      <c r="FTB275" s="192"/>
      <c r="FTC275" s="192"/>
      <c r="FTD275" s="192"/>
      <c r="FTE275" s="192"/>
      <c r="FTF275" s="192"/>
      <c r="FTG275" s="192"/>
      <c r="FTH275" s="192"/>
      <c r="FTI275" s="192"/>
      <c r="FTJ275" s="192"/>
      <c r="FTK275" s="192"/>
      <c r="FTL275" s="192"/>
      <c r="FTM275" s="192"/>
      <c r="FTN275" s="192"/>
      <c r="FTO275" s="192"/>
      <c r="FTP275" s="192"/>
      <c r="FTQ275" s="192"/>
      <c r="FTR275" s="192"/>
      <c r="FTS275" s="192"/>
      <c r="FTT275" s="192"/>
      <c r="FTU275" s="192"/>
      <c r="FTV275" s="192"/>
      <c r="FTW275" s="192"/>
      <c r="FTX275" s="192"/>
      <c r="FTY275" s="192"/>
      <c r="FTZ275" s="192"/>
      <c r="FUA275" s="192"/>
      <c r="FUB275" s="192"/>
      <c r="FUC275" s="192"/>
      <c r="FUD275" s="192"/>
      <c r="FUE275" s="192"/>
      <c r="FUF275" s="192"/>
      <c r="FUG275" s="192"/>
      <c r="FUH275" s="192"/>
      <c r="FUI275" s="192"/>
      <c r="FUJ275" s="192"/>
      <c r="FUK275" s="192"/>
      <c r="FUL275" s="192"/>
      <c r="FUM275" s="192"/>
      <c r="FUN275" s="192"/>
      <c r="FUO275" s="192"/>
      <c r="FUP275" s="192"/>
      <c r="FUQ275" s="192"/>
      <c r="FUR275" s="192"/>
      <c r="FUS275" s="192"/>
      <c r="FUT275" s="192"/>
      <c r="FUU275" s="192"/>
      <c r="FUV275" s="192"/>
      <c r="FUW275" s="192"/>
      <c r="FUX275" s="192"/>
      <c r="FUY275" s="192"/>
      <c r="FUZ275" s="192"/>
      <c r="FVA275" s="192"/>
      <c r="FVB275" s="192"/>
      <c r="FVC275" s="192"/>
      <c r="FVD275" s="192"/>
      <c r="FVE275" s="192"/>
      <c r="FVF275" s="192"/>
      <c r="FVG275" s="192"/>
      <c r="FVH275" s="192"/>
      <c r="FVI275" s="192"/>
      <c r="FVJ275" s="192"/>
      <c r="FVK275" s="192"/>
      <c r="FVL275" s="192"/>
      <c r="FVM275" s="192"/>
      <c r="FVN275" s="192"/>
      <c r="FVO275" s="192"/>
      <c r="FVP275" s="192"/>
      <c r="FVQ275" s="192"/>
      <c r="FVR275" s="192"/>
      <c r="FVS275" s="192"/>
      <c r="FVT275" s="192"/>
      <c r="FVU275" s="192"/>
      <c r="FVV275" s="192"/>
      <c r="FVW275" s="192"/>
      <c r="FVX275" s="192"/>
      <c r="FVY275" s="192"/>
      <c r="FVZ275" s="192"/>
      <c r="FWA275" s="192"/>
      <c r="FWB275" s="192"/>
      <c r="FWC275" s="192"/>
      <c r="FWD275" s="192"/>
      <c r="FWE275" s="192"/>
      <c r="FWF275" s="192"/>
      <c r="FWG275" s="192"/>
      <c r="FWH275" s="192"/>
      <c r="FWI275" s="192"/>
      <c r="FWJ275" s="192"/>
      <c r="FWK275" s="192"/>
      <c r="FWL275" s="192"/>
      <c r="FWM275" s="192"/>
      <c r="FWN275" s="192"/>
      <c r="FWO275" s="192"/>
      <c r="FWP275" s="192"/>
      <c r="FWQ275" s="192"/>
      <c r="FWR275" s="192"/>
      <c r="FWS275" s="192"/>
      <c r="FWT275" s="192"/>
      <c r="FWU275" s="192"/>
      <c r="FWV275" s="192"/>
      <c r="FWW275" s="192"/>
      <c r="FWX275" s="192"/>
      <c r="FWY275" s="192"/>
      <c r="FWZ275" s="192"/>
      <c r="FXA275" s="192"/>
      <c r="FXB275" s="192"/>
      <c r="FXC275" s="192"/>
      <c r="FXD275" s="192"/>
      <c r="FXE275" s="192"/>
      <c r="FXF275" s="192"/>
      <c r="FXG275" s="192"/>
      <c r="FXH275" s="192"/>
      <c r="FXI275" s="192"/>
      <c r="FXJ275" s="192"/>
      <c r="FXK275" s="192"/>
      <c r="FXL275" s="192"/>
      <c r="FXM275" s="192"/>
      <c r="FXN275" s="192"/>
      <c r="FXO275" s="192"/>
      <c r="FXP275" s="192"/>
      <c r="FXQ275" s="192"/>
      <c r="FXR275" s="192"/>
      <c r="FXS275" s="192"/>
      <c r="FXT275" s="192"/>
      <c r="FXU275" s="192"/>
      <c r="FXV275" s="192"/>
      <c r="FXW275" s="192"/>
      <c r="FXX275" s="192"/>
      <c r="FXY275" s="192"/>
      <c r="FXZ275" s="192"/>
      <c r="FYA275" s="192"/>
      <c r="FYB275" s="192"/>
      <c r="FYC275" s="192"/>
      <c r="FYD275" s="192"/>
      <c r="FYE275" s="192"/>
      <c r="FYF275" s="192"/>
      <c r="FYG275" s="192"/>
      <c r="FYH275" s="192"/>
      <c r="FYI275" s="192"/>
      <c r="FYJ275" s="192"/>
      <c r="FYK275" s="192"/>
      <c r="FYL275" s="192"/>
      <c r="FYM275" s="192"/>
      <c r="FYN275" s="192"/>
      <c r="FYO275" s="192"/>
      <c r="FYP275" s="192"/>
      <c r="FYQ275" s="192"/>
      <c r="FYR275" s="192"/>
      <c r="FYS275" s="192"/>
      <c r="FYT275" s="192"/>
      <c r="FYU275" s="192"/>
      <c r="FYV275" s="192"/>
      <c r="FYW275" s="192"/>
      <c r="FYX275" s="192"/>
      <c r="FYY275" s="192"/>
      <c r="FYZ275" s="192"/>
      <c r="FZA275" s="192"/>
      <c r="FZB275" s="192"/>
      <c r="FZC275" s="192"/>
      <c r="FZD275" s="192"/>
      <c r="FZE275" s="192"/>
      <c r="FZF275" s="192"/>
      <c r="FZG275" s="192"/>
      <c r="FZH275" s="192"/>
      <c r="FZI275" s="192"/>
      <c r="FZJ275" s="192"/>
      <c r="FZK275" s="192"/>
      <c r="FZL275" s="192"/>
      <c r="FZM275" s="192"/>
      <c r="FZN275" s="192"/>
      <c r="FZO275" s="192"/>
      <c r="FZP275" s="192"/>
      <c r="FZQ275" s="192"/>
      <c r="FZR275" s="192"/>
      <c r="FZS275" s="192"/>
      <c r="FZT275" s="192"/>
      <c r="FZU275" s="192"/>
      <c r="FZV275" s="192"/>
      <c r="FZW275" s="192"/>
      <c r="FZX275" s="192"/>
      <c r="FZY275" s="192"/>
      <c r="FZZ275" s="192"/>
      <c r="GAA275" s="192"/>
      <c r="GAB275" s="192"/>
      <c r="GAC275" s="192"/>
      <c r="GAD275" s="192"/>
      <c r="GAE275" s="192"/>
      <c r="GAF275" s="192"/>
      <c r="GAG275" s="192"/>
      <c r="GAH275" s="192"/>
      <c r="GAI275" s="192"/>
      <c r="GAJ275" s="192"/>
      <c r="GAK275" s="192"/>
      <c r="GAL275" s="192"/>
      <c r="GAM275" s="192"/>
      <c r="GAN275" s="192"/>
      <c r="GAO275" s="192"/>
      <c r="GAP275" s="192"/>
      <c r="GAQ275" s="192"/>
      <c r="GAR275" s="192"/>
      <c r="GAS275" s="192"/>
      <c r="GAT275" s="192"/>
      <c r="GAU275" s="192"/>
      <c r="GAV275" s="192"/>
      <c r="GAW275" s="192"/>
      <c r="GAX275" s="192"/>
      <c r="GAY275" s="192"/>
      <c r="GAZ275" s="192"/>
      <c r="GBA275" s="192"/>
      <c r="GBB275" s="192"/>
      <c r="GBC275" s="192"/>
      <c r="GBD275" s="192"/>
      <c r="GBE275" s="192"/>
      <c r="GBF275" s="192"/>
      <c r="GBG275" s="192"/>
      <c r="GBH275" s="192"/>
      <c r="GBI275" s="192"/>
      <c r="GBJ275" s="192"/>
      <c r="GBK275" s="192"/>
      <c r="GBL275" s="192"/>
      <c r="GBM275" s="192"/>
      <c r="GBN275" s="192"/>
      <c r="GBO275" s="192"/>
      <c r="GBP275" s="192"/>
      <c r="GBQ275" s="192"/>
      <c r="GBR275" s="192"/>
      <c r="GBS275" s="192"/>
      <c r="GBT275" s="192"/>
      <c r="GBU275" s="192"/>
      <c r="GBV275" s="192"/>
      <c r="GBW275" s="192"/>
      <c r="GBX275" s="192"/>
      <c r="GBY275" s="192"/>
      <c r="GBZ275" s="192"/>
      <c r="GCA275" s="192"/>
      <c r="GCB275" s="192"/>
      <c r="GCC275" s="192"/>
      <c r="GCD275" s="192"/>
      <c r="GCE275" s="192"/>
      <c r="GCF275" s="192"/>
      <c r="GCG275" s="192"/>
      <c r="GCH275" s="192"/>
      <c r="GCI275" s="192"/>
      <c r="GCJ275" s="192"/>
      <c r="GCK275" s="192"/>
      <c r="GCL275" s="192"/>
      <c r="GCM275" s="192"/>
      <c r="GCN275" s="192"/>
      <c r="GCO275" s="192"/>
      <c r="GCP275" s="192"/>
      <c r="GCQ275" s="192"/>
      <c r="GCR275" s="192"/>
      <c r="GCS275" s="192"/>
      <c r="GCT275" s="192"/>
      <c r="GCU275" s="192"/>
      <c r="GCV275" s="192"/>
      <c r="GCW275" s="192"/>
      <c r="GCX275" s="192"/>
      <c r="GCY275" s="192"/>
      <c r="GCZ275" s="192"/>
      <c r="GDA275" s="192"/>
      <c r="GDB275" s="192"/>
      <c r="GDC275" s="192"/>
      <c r="GDD275" s="192"/>
      <c r="GDE275" s="192"/>
      <c r="GDF275" s="192"/>
      <c r="GDG275" s="192"/>
      <c r="GDH275" s="192"/>
      <c r="GDI275" s="192"/>
      <c r="GDJ275" s="192"/>
      <c r="GDK275" s="192"/>
      <c r="GDL275" s="192"/>
      <c r="GDM275" s="192"/>
      <c r="GDN275" s="192"/>
      <c r="GDO275" s="192"/>
      <c r="GDP275" s="192"/>
      <c r="GDQ275" s="192"/>
      <c r="GDR275" s="192"/>
      <c r="GDS275" s="192"/>
      <c r="GDT275" s="192"/>
      <c r="GDU275" s="192"/>
      <c r="GDV275" s="192"/>
      <c r="GDW275" s="192"/>
      <c r="GDX275" s="192"/>
      <c r="GDY275" s="192"/>
      <c r="GDZ275" s="192"/>
      <c r="GEA275" s="192"/>
      <c r="GEB275" s="192"/>
      <c r="GEC275" s="192"/>
      <c r="GED275" s="192"/>
      <c r="GEE275" s="192"/>
      <c r="GEF275" s="192"/>
      <c r="GEG275" s="192"/>
      <c r="GEH275" s="192"/>
      <c r="GEI275" s="192"/>
      <c r="GEJ275" s="192"/>
      <c r="GEK275" s="192"/>
      <c r="GEL275" s="192"/>
      <c r="GEM275" s="192"/>
      <c r="GEN275" s="192"/>
      <c r="GEO275" s="192"/>
      <c r="GEP275" s="192"/>
      <c r="GEQ275" s="192"/>
      <c r="GER275" s="192"/>
      <c r="GES275" s="192"/>
      <c r="GET275" s="192"/>
      <c r="GEU275" s="192"/>
      <c r="GEV275" s="192"/>
      <c r="GEW275" s="192"/>
      <c r="GEX275" s="192"/>
      <c r="GEY275" s="192"/>
      <c r="GEZ275" s="192"/>
      <c r="GFA275" s="192"/>
      <c r="GFB275" s="192"/>
      <c r="GFC275" s="192"/>
      <c r="GFD275" s="192"/>
      <c r="GFE275" s="192"/>
      <c r="GFF275" s="192"/>
      <c r="GFG275" s="192"/>
      <c r="GFH275" s="192"/>
      <c r="GFI275" s="192"/>
      <c r="GFJ275" s="192"/>
      <c r="GFK275" s="192"/>
      <c r="GFL275" s="192"/>
      <c r="GFM275" s="192"/>
      <c r="GFN275" s="192"/>
      <c r="GFO275" s="192"/>
      <c r="GFP275" s="192"/>
      <c r="GFQ275" s="192"/>
      <c r="GFR275" s="192"/>
      <c r="GFS275" s="192"/>
      <c r="GFT275" s="192"/>
      <c r="GFU275" s="192"/>
      <c r="GFV275" s="192"/>
      <c r="GFW275" s="192"/>
      <c r="GFX275" s="192"/>
      <c r="GFY275" s="192"/>
      <c r="GFZ275" s="192"/>
      <c r="GGA275" s="192"/>
      <c r="GGB275" s="192"/>
      <c r="GGC275" s="192"/>
      <c r="GGD275" s="192"/>
      <c r="GGE275" s="192"/>
      <c r="GGF275" s="192"/>
      <c r="GGG275" s="192"/>
      <c r="GGH275" s="192"/>
      <c r="GGI275" s="192"/>
      <c r="GGJ275" s="192"/>
      <c r="GGK275" s="192"/>
      <c r="GGL275" s="192"/>
      <c r="GGM275" s="192"/>
      <c r="GGN275" s="192"/>
      <c r="GGO275" s="192"/>
      <c r="GGP275" s="192"/>
      <c r="GGQ275" s="192"/>
      <c r="GGR275" s="192"/>
      <c r="GGS275" s="192"/>
      <c r="GGT275" s="192"/>
      <c r="GGU275" s="192"/>
      <c r="GGV275" s="192"/>
      <c r="GGW275" s="192"/>
      <c r="GGX275" s="192"/>
      <c r="GGY275" s="192"/>
      <c r="GGZ275" s="192"/>
      <c r="GHA275" s="192"/>
      <c r="GHB275" s="192"/>
      <c r="GHC275" s="192"/>
      <c r="GHD275" s="192"/>
      <c r="GHE275" s="192"/>
      <c r="GHF275" s="192"/>
      <c r="GHG275" s="192"/>
      <c r="GHH275" s="192"/>
      <c r="GHI275" s="192"/>
      <c r="GHJ275" s="192"/>
      <c r="GHK275" s="192"/>
      <c r="GHL275" s="192"/>
      <c r="GHM275" s="192"/>
      <c r="GHN275" s="192"/>
      <c r="GHO275" s="192"/>
      <c r="GHP275" s="192"/>
      <c r="GHQ275" s="192"/>
      <c r="GHR275" s="192"/>
      <c r="GHS275" s="192"/>
      <c r="GHT275" s="192"/>
      <c r="GHU275" s="192"/>
      <c r="GHV275" s="192"/>
      <c r="GHW275" s="192"/>
      <c r="GHX275" s="192"/>
      <c r="GHY275" s="192"/>
      <c r="GHZ275" s="192"/>
      <c r="GIA275" s="192"/>
      <c r="GIB275" s="192"/>
      <c r="GIC275" s="192"/>
      <c r="GID275" s="192"/>
      <c r="GIE275" s="192"/>
      <c r="GIF275" s="192"/>
      <c r="GIG275" s="192"/>
      <c r="GIH275" s="192"/>
      <c r="GII275" s="192"/>
      <c r="GIJ275" s="192"/>
      <c r="GIK275" s="192"/>
      <c r="GIL275" s="192"/>
      <c r="GIM275" s="192"/>
      <c r="GIN275" s="192"/>
      <c r="GIO275" s="192"/>
      <c r="GIP275" s="192"/>
      <c r="GIQ275" s="192"/>
      <c r="GIR275" s="192"/>
      <c r="GIS275" s="192"/>
      <c r="GIT275" s="192"/>
      <c r="GIU275" s="192"/>
      <c r="GIV275" s="192"/>
      <c r="GIW275" s="192"/>
      <c r="GIX275" s="192"/>
      <c r="GIY275" s="192"/>
      <c r="GIZ275" s="192"/>
      <c r="GJA275" s="192"/>
      <c r="GJB275" s="192"/>
      <c r="GJC275" s="192"/>
      <c r="GJD275" s="192"/>
      <c r="GJE275" s="192"/>
      <c r="GJF275" s="192"/>
      <c r="GJG275" s="192"/>
      <c r="GJH275" s="192"/>
      <c r="GJI275" s="192"/>
      <c r="GJJ275" s="192"/>
      <c r="GJK275" s="192"/>
      <c r="GJL275" s="192"/>
      <c r="GJM275" s="192"/>
      <c r="GJN275" s="192"/>
      <c r="GJO275" s="192"/>
      <c r="GJP275" s="192"/>
      <c r="GJQ275" s="192"/>
      <c r="GJR275" s="192"/>
      <c r="GJS275" s="192"/>
      <c r="GJT275" s="192"/>
      <c r="GJU275" s="192"/>
      <c r="GJV275" s="192"/>
      <c r="GJW275" s="192"/>
      <c r="GJX275" s="192"/>
      <c r="GJY275" s="192"/>
      <c r="GJZ275" s="192"/>
      <c r="GKA275" s="192"/>
      <c r="GKB275" s="192"/>
      <c r="GKC275" s="192"/>
      <c r="GKD275" s="192"/>
      <c r="GKE275" s="192"/>
      <c r="GKF275" s="192"/>
      <c r="GKG275" s="192"/>
      <c r="GKH275" s="192"/>
      <c r="GKI275" s="192"/>
      <c r="GKJ275" s="192"/>
      <c r="GKK275" s="192"/>
      <c r="GKL275" s="192"/>
      <c r="GKM275" s="192"/>
      <c r="GKN275" s="192"/>
      <c r="GKO275" s="192"/>
      <c r="GKP275" s="192"/>
      <c r="GKQ275" s="192"/>
      <c r="GKR275" s="192"/>
      <c r="GKS275" s="192"/>
      <c r="GKT275" s="192"/>
      <c r="GKU275" s="192"/>
      <c r="GKV275" s="192"/>
      <c r="GKW275" s="192"/>
      <c r="GKX275" s="192"/>
      <c r="GKY275" s="192"/>
      <c r="GKZ275" s="192"/>
      <c r="GLA275" s="192"/>
      <c r="GLB275" s="192"/>
      <c r="GLC275" s="192"/>
      <c r="GLD275" s="192"/>
      <c r="GLE275" s="192"/>
      <c r="GLF275" s="192"/>
      <c r="GLG275" s="192"/>
      <c r="GLH275" s="192"/>
      <c r="GLI275" s="192"/>
      <c r="GLJ275" s="192"/>
      <c r="GLK275" s="192"/>
      <c r="GLL275" s="192"/>
      <c r="GLM275" s="192"/>
      <c r="GLN275" s="192"/>
      <c r="GLO275" s="192"/>
      <c r="GLP275" s="192"/>
      <c r="GLQ275" s="192"/>
      <c r="GLR275" s="192"/>
      <c r="GLS275" s="192"/>
      <c r="GLT275" s="192"/>
      <c r="GLU275" s="192"/>
      <c r="GLV275" s="192"/>
      <c r="GLW275" s="192"/>
      <c r="GLX275" s="192"/>
      <c r="GLY275" s="192"/>
      <c r="GLZ275" s="192"/>
      <c r="GMA275" s="192"/>
      <c r="GMB275" s="192"/>
      <c r="GMC275" s="192"/>
      <c r="GMD275" s="192"/>
      <c r="GME275" s="192"/>
      <c r="GMF275" s="192"/>
      <c r="GMG275" s="192"/>
      <c r="GMH275" s="192"/>
      <c r="GMI275" s="192"/>
      <c r="GMJ275" s="192"/>
      <c r="GMK275" s="192"/>
      <c r="GML275" s="192"/>
      <c r="GMM275" s="192"/>
      <c r="GMN275" s="192"/>
      <c r="GMO275" s="192"/>
      <c r="GMP275" s="192"/>
      <c r="GMQ275" s="192"/>
      <c r="GMR275" s="192"/>
      <c r="GMS275" s="192"/>
      <c r="GMT275" s="192"/>
      <c r="GMU275" s="192"/>
      <c r="GMV275" s="192"/>
      <c r="GMW275" s="192"/>
      <c r="GMX275" s="192"/>
      <c r="GMY275" s="192"/>
      <c r="GMZ275" s="192"/>
      <c r="GNA275" s="192"/>
      <c r="GNB275" s="192"/>
      <c r="GNC275" s="192"/>
      <c r="GND275" s="192"/>
      <c r="GNE275" s="192"/>
      <c r="GNF275" s="192"/>
      <c r="GNG275" s="192"/>
      <c r="GNH275" s="192"/>
      <c r="GNI275" s="192"/>
      <c r="GNJ275" s="192"/>
      <c r="GNK275" s="192"/>
      <c r="GNL275" s="192"/>
      <c r="GNM275" s="192"/>
      <c r="GNN275" s="192"/>
      <c r="GNO275" s="192"/>
      <c r="GNP275" s="192"/>
      <c r="GNQ275" s="192"/>
      <c r="GNR275" s="192"/>
      <c r="GNS275" s="192"/>
      <c r="GNT275" s="192"/>
      <c r="GNU275" s="192"/>
      <c r="GNV275" s="192"/>
      <c r="GNW275" s="192"/>
      <c r="GNX275" s="192"/>
      <c r="GNY275" s="192"/>
      <c r="GNZ275" s="192"/>
      <c r="GOA275" s="192"/>
      <c r="GOB275" s="192"/>
      <c r="GOC275" s="192"/>
      <c r="GOD275" s="192"/>
      <c r="GOE275" s="192"/>
      <c r="GOF275" s="192"/>
      <c r="GOG275" s="192"/>
      <c r="GOH275" s="192"/>
      <c r="GOI275" s="192"/>
      <c r="GOJ275" s="192"/>
      <c r="GOK275" s="192"/>
      <c r="GOL275" s="192"/>
      <c r="GOM275" s="192"/>
      <c r="GON275" s="192"/>
      <c r="GOO275" s="192"/>
      <c r="GOP275" s="192"/>
      <c r="GOQ275" s="192"/>
      <c r="GOR275" s="192"/>
      <c r="GOS275" s="192"/>
      <c r="GOT275" s="192"/>
      <c r="GOU275" s="192"/>
      <c r="GOV275" s="192"/>
      <c r="GOW275" s="192"/>
      <c r="GOX275" s="192"/>
      <c r="GOY275" s="192"/>
      <c r="GOZ275" s="192"/>
      <c r="GPA275" s="192"/>
      <c r="GPB275" s="192"/>
      <c r="GPC275" s="192"/>
      <c r="GPD275" s="192"/>
      <c r="GPE275" s="192"/>
      <c r="GPF275" s="192"/>
      <c r="GPG275" s="192"/>
      <c r="GPH275" s="192"/>
      <c r="GPI275" s="192"/>
      <c r="GPJ275" s="192"/>
      <c r="GPK275" s="192"/>
      <c r="GPL275" s="192"/>
      <c r="GPM275" s="192"/>
      <c r="GPN275" s="192"/>
      <c r="GPO275" s="192"/>
      <c r="GPP275" s="192"/>
      <c r="GPQ275" s="192"/>
      <c r="GPR275" s="192"/>
      <c r="GPS275" s="192"/>
      <c r="GPT275" s="192"/>
      <c r="GPU275" s="192"/>
      <c r="GPV275" s="192"/>
      <c r="GPW275" s="192"/>
      <c r="GPX275" s="192"/>
      <c r="GPY275" s="192"/>
      <c r="GPZ275" s="192"/>
      <c r="GQA275" s="192"/>
      <c r="GQB275" s="192"/>
      <c r="GQC275" s="192"/>
      <c r="GQD275" s="192"/>
      <c r="GQE275" s="192"/>
      <c r="GQF275" s="192"/>
      <c r="GQG275" s="192"/>
      <c r="GQH275" s="192"/>
      <c r="GQI275" s="192"/>
      <c r="GQJ275" s="192"/>
      <c r="GQK275" s="192"/>
      <c r="GQL275" s="192"/>
      <c r="GQM275" s="192"/>
      <c r="GQN275" s="192"/>
      <c r="GQO275" s="192"/>
      <c r="GQP275" s="192"/>
      <c r="GQQ275" s="192"/>
      <c r="GQR275" s="192"/>
      <c r="GQS275" s="192"/>
      <c r="GQT275" s="192"/>
      <c r="GQU275" s="192"/>
      <c r="GQV275" s="192"/>
      <c r="GQW275" s="192"/>
      <c r="GQX275" s="192"/>
      <c r="GQY275" s="192"/>
      <c r="GQZ275" s="192"/>
      <c r="GRA275" s="192"/>
      <c r="GRB275" s="192"/>
      <c r="GRC275" s="192"/>
      <c r="GRD275" s="192"/>
      <c r="GRE275" s="192"/>
      <c r="GRF275" s="192"/>
      <c r="GRG275" s="192"/>
      <c r="GRH275" s="192"/>
      <c r="GRI275" s="192"/>
      <c r="GRJ275" s="192"/>
      <c r="GRK275" s="192"/>
      <c r="GRL275" s="192"/>
      <c r="GRM275" s="192"/>
      <c r="GRN275" s="192"/>
      <c r="GRO275" s="192"/>
      <c r="GRP275" s="192"/>
      <c r="GRQ275" s="192"/>
      <c r="GRR275" s="192"/>
      <c r="GRS275" s="192"/>
      <c r="GRT275" s="192"/>
      <c r="GRU275" s="192"/>
      <c r="GRV275" s="192"/>
      <c r="GRW275" s="192"/>
      <c r="GRX275" s="192"/>
      <c r="GRY275" s="192"/>
      <c r="GRZ275" s="192"/>
      <c r="GSA275" s="192"/>
      <c r="GSB275" s="192"/>
      <c r="GSC275" s="192"/>
      <c r="GSD275" s="192"/>
      <c r="GSE275" s="192"/>
      <c r="GSF275" s="192"/>
      <c r="GSG275" s="192"/>
      <c r="GSH275" s="192"/>
      <c r="GSI275" s="192"/>
      <c r="GSJ275" s="192"/>
      <c r="GSK275" s="192"/>
      <c r="GSL275" s="192"/>
      <c r="GSM275" s="192"/>
      <c r="GSN275" s="192"/>
      <c r="GSO275" s="192"/>
      <c r="GSP275" s="192"/>
      <c r="GSQ275" s="192"/>
      <c r="GSR275" s="192"/>
      <c r="GSS275" s="192"/>
      <c r="GST275" s="192"/>
      <c r="GSU275" s="192"/>
      <c r="GSV275" s="192"/>
      <c r="GSW275" s="192"/>
      <c r="GSX275" s="192"/>
      <c r="GSY275" s="192"/>
      <c r="GSZ275" s="192"/>
      <c r="GTA275" s="192"/>
      <c r="GTB275" s="192"/>
      <c r="GTC275" s="192"/>
      <c r="GTD275" s="192"/>
      <c r="GTE275" s="192"/>
      <c r="GTF275" s="192"/>
      <c r="GTG275" s="192"/>
      <c r="GTH275" s="192"/>
      <c r="GTI275" s="192"/>
      <c r="GTJ275" s="192"/>
      <c r="GTK275" s="192"/>
      <c r="GTL275" s="192"/>
      <c r="GTM275" s="192"/>
      <c r="GTN275" s="192"/>
      <c r="GTO275" s="192"/>
      <c r="GTP275" s="192"/>
      <c r="GTQ275" s="192"/>
      <c r="GTR275" s="192"/>
      <c r="GTS275" s="192"/>
      <c r="GTT275" s="192"/>
      <c r="GTU275" s="192"/>
      <c r="GTV275" s="192"/>
      <c r="GTW275" s="192"/>
      <c r="GTX275" s="192"/>
      <c r="GTY275" s="192"/>
      <c r="GTZ275" s="192"/>
      <c r="GUA275" s="192"/>
      <c r="GUB275" s="192"/>
      <c r="GUC275" s="192"/>
      <c r="GUD275" s="192"/>
      <c r="GUE275" s="192"/>
      <c r="GUF275" s="192"/>
      <c r="GUG275" s="192"/>
      <c r="GUH275" s="192"/>
      <c r="GUI275" s="192"/>
      <c r="GUJ275" s="192"/>
      <c r="GUK275" s="192"/>
      <c r="GUL275" s="192"/>
      <c r="GUM275" s="192"/>
      <c r="GUN275" s="192"/>
      <c r="GUO275" s="192"/>
      <c r="GUP275" s="192"/>
      <c r="GUQ275" s="192"/>
      <c r="GUR275" s="192"/>
      <c r="GUS275" s="192"/>
      <c r="GUT275" s="192"/>
      <c r="GUU275" s="192"/>
      <c r="GUV275" s="192"/>
      <c r="GUW275" s="192"/>
      <c r="GUX275" s="192"/>
      <c r="GUY275" s="192"/>
      <c r="GUZ275" s="192"/>
      <c r="GVA275" s="192"/>
      <c r="GVB275" s="192"/>
      <c r="GVC275" s="192"/>
      <c r="GVD275" s="192"/>
      <c r="GVE275" s="192"/>
      <c r="GVF275" s="192"/>
      <c r="GVG275" s="192"/>
      <c r="GVH275" s="192"/>
      <c r="GVI275" s="192"/>
      <c r="GVJ275" s="192"/>
      <c r="GVK275" s="192"/>
      <c r="GVL275" s="192"/>
      <c r="GVM275" s="192"/>
      <c r="GVN275" s="192"/>
      <c r="GVO275" s="192"/>
      <c r="GVP275" s="192"/>
      <c r="GVQ275" s="192"/>
      <c r="GVR275" s="192"/>
      <c r="GVS275" s="192"/>
      <c r="GVT275" s="192"/>
      <c r="GVU275" s="192"/>
      <c r="GVV275" s="192"/>
      <c r="GVW275" s="192"/>
      <c r="GVX275" s="192"/>
      <c r="GVY275" s="192"/>
      <c r="GVZ275" s="192"/>
      <c r="GWA275" s="192"/>
      <c r="GWB275" s="192"/>
      <c r="GWC275" s="192"/>
      <c r="GWD275" s="192"/>
      <c r="GWE275" s="192"/>
      <c r="GWF275" s="192"/>
      <c r="GWG275" s="192"/>
      <c r="GWH275" s="192"/>
      <c r="GWI275" s="192"/>
      <c r="GWJ275" s="192"/>
      <c r="GWK275" s="192"/>
      <c r="GWL275" s="192"/>
      <c r="GWM275" s="192"/>
      <c r="GWN275" s="192"/>
      <c r="GWO275" s="192"/>
      <c r="GWP275" s="192"/>
      <c r="GWQ275" s="192"/>
      <c r="GWR275" s="192"/>
      <c r="GWS275" s="192"/>
      <c r="GWT275" s="192"/>
      <c r="GWU275" s="192"/>
      <c r="GWV275" s="192"/>
      <c r="GWW275" s="192"/>
      <c r="GWX275" s="192"/>
      <c r="GWY275" s="192"/>
      <c r="GWZ275" s="192"/>
      <c r="GXA275" s="192"/>
      <c r="GXB275" s="192"/>
      <c r="GXC275" s="192"/>
      <c r="GXD275" s="192"/>
      <c r="GXE275" s="192"/>
      <c r="GXF275" s="192"/>
      <c r="GXG275" s="192"/>
      <c r="GXH275" s="192"/>
      <c r="GXI275" s="192"/>
      <c r="GXJ275" s="192"/>
      <c r="GXK275" s="192"/>
      <c r="GXL275" s="192"/>
      <c r="GXM275" s="192"/>
      <c r="GXN275" s="192"/>
      <c r="GXO275" s="192"/>
      <c r="GXP275" s="192"/>
      <c r="GXQ275" s="192"/>
      <c r="GXR275" s="192"/>
      <c r="GXS275" s="192"/>
      <c r="GXT275" s="192"/>
      <c r="GXU275" s="192"/>
      <c r="GXV275" s="192"/>
      <c r="GXW275" s="192"/>
      <c r="GXX275" s="192"/>
      <c r="GXY275" s="192"/>
      <c r="GXZ275" s="192"/>
      <c r="GYA275" s="192"/>
      <c r="GYB275" s="192"/>
      <c r="GYC275" s="192"/>
      <c r="GYD275" s="192"/>
      <c r="GYE275" s="192"/>
      <c r="GYF275" s="192"/>
      <c r="GYG275" s="192"/>
      <c r="GYH275" s="192"/>
      <c r="GYI275" s="192"/>
      <c r="GYJ275" s="192"/>
      <c r="GYK275" s="192"/>
      <c r="GYL275" s="192"/>
      <c r="GYM275" s="192"/>
      <c r="GYN275" s="192"/>
      <c r="GYO275" s="192"/>
      <c r="GYP275" s="192"/>
      <c r="GYQ275" s="192"/>
      <c r="GYR275" s="192"/>
      <c r="GYS275" s="192"/>
      <c r="GYT275" s="192"/>
      <c r="GYU275" s="192"/>
      <c r="GYV275" s="192"/>
      <c r="GYW275" s="192"/>
      <c r="GYX275" s="192"/>
      <c r="GYY275" s="192"/>
      <c r="GYZ275" s="192"/>
      <c r="GZA275" s="192"/>
      <c r="GZB275" s="192"/>
      <c r="GZC275" s="192"/>
      <c r="GZD275" s="192"/>
      <c r="GZE275" s="192"/>
      <c r="GZF275" s="192"/>
      <c r="GZG275" s="192"/>
      <c r="GZH275" s="192"/>
      <c r="GZI275" s="192"/>
      <c r="GZJ275" s="192"/>
      <c r="GZK275" s="192"/>
      <c r="GZL275" s="192"/>
      <c r="GZM275" s="192"/>
      <c r="GZN275" s="192"/>
      <c r="GZO275" s="192"/>
      <c r="GZP275" s="192"/>
      <c r="GZQ275" s="192"/>
      <c r="GZR275" s="192"/>
      <c r="GZS275" s="192"/>
      <c r="GZT275" s="192"/>
      <c r="GZU275" s="192"/>
      <c r="GZV275" s="192"/>
      <c r="GZW275" s="192"/>
      <c r="GZX275" s="192"/>
      <c r="GZY275" s="192"/>
      <c r="GZZ275" s="192"/>
      <c r="HAA275" s="192"/>
      <c r="HAB275" s="192"/>
      <c r="HAC275" s="192"/>
      <c r="HAD275" s="192"/>
      <c r="HAE275" s="192"/>
      <c r="HAF275" s="192"/>
      <c r="HAG275" s="192"/>
      <c r="HAH275" s="192"/>
      <c r="HAI275" s="192"/>
      <c r="HAJ275" s="192"/>
      <c r="HAK275" s="192"/>
      <c r="HAL275" s="192"/>
      <c r="HAM275" s="192"/>
      <c r="HAN275" s="192"/>
      <c r="HAO275" s="192"/>
      <c r="HAP275" s="192"/>
      <c r="HAQ275" s="192"/>
      <c r="HAR275" s="192"/>
      <c r="HAS275" s="192"/>
      <c r="HAT275" s="192"/>
      <c r="HAU275" s="192"/>
      <c r="HAV275" s="192"/>
      <c r="HAW275" s="192"/>
      <c r="HAX275" s="192"/>
      <c r="HAY275" s="192"/>
      <c r="HAZ275" s="192"/>
      <c r="HBA275" s="192"/>
      <c r="HBB275" s="192"/>
      <c r="HBC275" s="192"/>
      <c r="HBD275" s="192"/>
      <c r="HBE275" s="192"/>
      <c r="HBF275" s="192"/>
      <c r="HBG275" s="192"/>
      <c r="HBH275" s="192"/>
      <c r="HBI275" s="192"/>
      <c r="HBJ275" s="192"/>
      <c r="HBK275" s="192"/>
      <c r="HBL275" s="192"/>
      <c r="HBM275" s="192"/>
      <c r="HBN275" s="192"/>
      <c r="HBO275" s="192"/>
      <c r="HBP275" s="192"/>
      <c r="HBQ275" s="192"/>
      <c r="HBR275" s="192"/>
      <c r="HBS275" s="192"/>
      <c r="HBT275" s="192"/>
      <c r="HBU275" s="192"/>
      <c r="HBV275" s="192"/>
      <c r="HBW275" s="192"/>
      <c r="HBX275" s="192"/>
      <c r="HBY275" s="192"/>
      <c r="HBZ275" s="192"/>
      <c r="HCA275" s="192"/>
      <c r="HCB275" s="192"/>
      <c r="HCC275" s="192"/>
      <c r="HCD275" s="192"/>
      <c r="HCE275" s="192"/>
      <c r="HCF275" s="192"/>
      <c r="HCG275" s="192"/>
      <c r="HCH275" s="192"/>
      <c r="HCI275" s="192"/>
      <c r="HCJ275" s="192"/>
      <c r="HCK275" s="192"/>
      <c r="HCL275" s="192"/>
      <c r="HCM275" s="192"/>
      <c r="HCN275" s="192"/>
      <c r="HCO275" s="192"/>
      <c r="HCP275" s="192"/>
      <c r="HCQ275" s="192"/>
      <c r="HCR275" s="192"/>
      <c r="HCS275" s="192"/>
      <c r="HCT275" s="192"/>
      <c r="HCU275" s="192"/>
      <c r="HCV275" s="192"/>
      <c r="HCW275" s="192"/>
      <c r="HCX275" s="192"/>
      <c r="HCY275" s="192"/>
      <c r="HCZ275" s="192"/>
      <c r="HDA275" s="192"/>
      <c r="HDB275" s="192"/>
      <c r="HDC275" s="192"/>
      <c r="HDD275" s="192"/>
      <c r="HDE275" s="192"/>
      <c r="HDF275" s="192"/>
      <c r="HDG275" s="192"/>
      <c r="HDH275" s="192"/>
      <c r="HDI275" s="192"/>
      <c r="HDJ275" s="192"/>
      <c r="HDK275" s="192"/>
      <c r="HDL275" s="192"/>
      <c r="HDM275" s="192"/>
      <c r="HDN275" s="192"/>
      <c r="HDO275" s="192"/>
      <c r="HDP275" s="192"/>
      <c r="HDQ275" s="192"/>
      <c r="HDR275" s="192"/>
      <c r="HDS275" s="192"/>
      <c r="HDT275" s="192"/>
      <c r="HDU275" s="192"/>
      <c r="HDV275" s="192"/>
      <c r="HDW275" s="192"/>
      <c r="HDX275" s="192"/>
      <c r="HDY275" s="192"/>
      <c r="HDZ275" s="192"/>
      <c r="HEA275" s="192"/>
      <c r="HEB275" s="192"/>
      <c r="HEC275" s="192"/>
      <c r="HED275" s="192"/>
      <c r="HEE275" s="192"/>
      <c r="HEF275" s="192"/>
      <c r="HEG275" s="192"/>
      <c r="HEH275" s="192"/>
      <c r="HEI275" s="192"/>
      <c r="HEJ275" s="192"/>
      <c r="HEK275" s="192"/>
      <c r="HEL275" s="192"/>
      <c r="HEM275" s="192"/>
      <c r="HEN275" s="192"/>
      <c r="HEO275" s="192"/>
      <c r="HEP275" s="192"/>
      <c r="HEQ275" s="192"/>
      <c r="HER275" s="192"/>
      <c r="HES275" s="192"/>
      <c r="HET275" s="192"/>
      <c r="HEU275" s="192"/>
      <c r="HEV275" s="192"/>
      <c r="HEW275" s="192"/>
      <c r="HEX275" s="192"/>
      <c r="HEY275" s="192"/>
      <c r="HEZ275" s="192"/>
      <c r="HFA275" s="192"/>
      <c r="HFB275" s="192"/>
      <c r="HFC275" s="192"/>
      <c r="HFD275" s="192"/>
      <c r="HFE275" s="192"/>
      <c r="HFF275" s="192"/>
      <c r="HFG275" s="192"/>
      <c r="HFH275" s="192"/>
      <c r="HFI275" s="192"/>
      <c r="HFJ275" s="192"/>
      <c r="HFK275" s="192"/>
      <c r="HFL275" s="192"/>
      <c r="HFM275" s="192"/>
      <c r="HFN275" s="192"/>
      <c r="HFO275" s="192"/>
      <c r="HFP275" s="192"/>
      <c r="HFQ275" s="192"/>
      <c r="HFR275" s="192"/>
      <c r="HFS275" s="192"/>
      <c r="HFT275" s="192"/>
      <c r="HFU275" s="192"/>
      <c r="HFV275" s="192"/>
      <c r="HFW275" s="192"/>
      <c r="HFX275" s="192"/>
      <c r="HFY275" s="192"/>
      <c r="HFZ275" s="192"/>
      <c r="HGA275" s="192"/>
      <c r="HGB275" s="192"/>
      <c r="HGC275" s="192"/>
      <c r="HGD275" s="192"/>
      <c r="HGE275" s="192"/>
      <c r="HGF275" s="192"/>
      <c r="HGG275" s="192"/>
      <c r="HGH275" s="192"/>
      <c r="HGI275" s="192"/>
      <c r="HGJ275" s="192"/>
      <c r="HGK275" s="192"/>
      <c r="HGL275" s="192"/>
      <c r="HGM275" s="192"/>
      <c r="HGN275" s="192"/>
      <c r="HGO275" s="192"/>
      <c r="HGP275" s="192"/>
      <c r="HGQ275" s="192"/>
      <c r="HGR275" s="192"/>
      <c r="HGS275" s="192"/>
      <c r="HGT275" s="192"/>
      <c r="HGU275" s="192"/>
      <c r="HGV275" s="192"/>
      <c r="HGW275" s="192"/>
      <c r="HGX275" s="192"/>
      <c r="HGY275" s="192"/>
      <c r="HGZ275" s="192"/>
      <c r="HHA275" s="192"/>
      <c r="HHB275" s="192"/>
      <c r="HHC275" s="192"/>
      <c r="HHD275" s="192"/>
      <c r="HHE275" s="192"/>
      <c r="HHF275" s="192"/>
      <c r="HHG275" s="192"/>
      <c r="HHH275" s="192"/>
      <c r="HHI275" s="192"/>
      <c r="HHJ275" s="192"/>
      <c r="HHK275" s="192"/>
      <c r="HHL275" s="192"/>
      <c r="HHM275" s="192"/>
      <c r="HHN275" s="192"/>
      <c r="HHO275" s="192"/>
      <c r="HHP275" s="192"/>
      <c r="HHQ275" s="192"/>
      <c r="HHR275" s="192"/>
      <c r="HHS275" s="192"/>
      <c r="HHT275" s="192"/>
      <c r="HHU275" s="192"/>
      <c r="HHV275" s="192"/>
      <c r="HHW275" s="192"/>
      <c r="HHX275" s="192"/>
      <c r="HHY275" s="192"/>
      <c r="HHZ275" s="192"/>
      <c r="HIA275" s="192"/>
      <c r="HIB275" s="192"/>
      <c r="HIC275" s="192"/>
      <c r="HID275" s="192"/>
      <c r="HIE275" s="192"/>
      <c r="HIF275" s="192"/>
      <c r="HIG275" s="192"/>
      <c r="HIH275" s="192"/>
      <c r="HII275" s="192"/>
      <c r="HIJ275" s="192"/>
      <c r="HIK275" s="192"/>
      <c r="HIL275" s="192"/>
      <c r="HIM275" s="192"/>
      <c r="HIN275" s="192"/>
      <c r="HIO275" s="192"/>
      <c r="HIP275" s="192"/>
      <c r="HIQ275" s="192"/>
      <c r="HIR275" s="192"/>
      <c r="HIS275" s="192"/>
      <c r="HIT275" s="192"/>
      <c r="HIU275" s="192"/>
      <c r="HIV275" s="192"/>
      <c r="HIW275" s="192"/>
      <c r="HIX275" s="192"/>
      <c r="HIY275" s="192"/>
      <c r="HIZ275" s="192"/>
      <c r="HJA275" s="192"/>
      <c r="HJB275" s="192"/>
      <c r="HJC275" s="192"/>
      <c r="HJD275" s="192"/>
      <c r="HJE275" s="192"/>
      <c r="HJF275" s="192"/>
      <c r="HJG275" s="192"/>
      <c r="HJH275" s="192"/>
      <c r="HJI275" s="192"/>
      <c r="HJJ275" s="192"/>
      <c r="HJK275" s="192"/>
      <c r="HJL275" s="192"/>
      <c r="HJM275" s="192"/>
      <c r="HJN275" s="192"/>
      <c r="HJO275" s="192"/>
      <c r="HJP275" s="192"/>
      <c r="HJQ275" s="192"/>
      <c r="HJR275" s="192"/>
      <c r="HJS275" s="192"/>
      <c r="HJT275" s="192"/>
      <c r="HJU275" s="192"/>
      <c r="HJV275" s="192"/>
      <c r="HJW275" s="192"/>
      <c r="HJX275" s="192"/>
      <c r="HJY275" s="192"/>
      <c r="HJZ275" s="192"/>
      <c r="HKA275" s="192"/>
      <c r="HKB275" s="192"/>
      <c r="HKC275" s="192"/>
      <c r="HKD275" s="192"/>
      <c r="HKE275" s="192"/>
      <c r="HKF275" s="192"/>
      <c r="HKG275" s="192"/>
      <c r="HKH275" s="192"/>
      <c r="HKI275" s="192"/>
      <c r="HKJ275" s="192"/>
      <c r="HKK275" s="192"/>
      <c r="HKL275" s="192"/>
      <c r="HKM275" s="192"/>
      <c r="HKN275" s="192"/>
      <c r="HKO275" s="192"/>
      <c r="HKP275" s="192"/>
      <c r="HKQ275" s="192"/>
      <c r="HKR275" s="192"/>
      <c r="HKS275" s="192"/>
      <c r="HKT275" s="192"/>
      <c r="HKU275" s="192"/>
      <c r="HKV275" s="192"/>
      <c r="HKW275" s="192"/>
      <c r="HKX275" s="192"/>
      <c r="HKY275" s="192"/>
      <c r="HKZ275" s="192"/>
      <c r="HLA275" s="192"/>
      <c r="HLB275" s="192"/>
      <c r="HLC275" s="192"/>
      <c r="HLD275" s="192"/>
      <c r="HLE275" s="192"/>
      <c r="HLF275" s="192"/>
      <c r="HLG275" s="192"/>
      <c r="HLH275" s="192"/>
      <c r="HLI275" s="192"/>
      <c r="HLJ275" s="192"/>
      <c r="HLK275" s="192"/>
      <c r="HLL275" s="192"/>
      <c r="HLM275" s="192"/>
      <c r="HLN275" s="192"/>
      <c r="HLO275" s="192"/>
      <c r="HLP275" s="192"/>
      <c r="HLQ275" s="192"/>
      <c r="HLR275" s="192"/>
      <c r="HLS275" s="192"/>
      <c r="HLT275" s="192"/>
      <c r="HLU275" s="192"/>
      <c r="HLV275" s="192"/>
      <c r="HLW275" s="192"/>
      <c r="HLX275" s="192"/>
      <c r="HLY275" s="192"/>
      <c r="HLZ275" s="192"/>
      <c r="HMA275" s="192"/>
      <c r="HMB275" s="192"/>
      <c r="HMC275" s="192"/>
      <c r="HMD275" s="192"/>
      <c r="HME275" s="192"/>
      <c r="HMF275" s="192"/>
      <c r="HMG275" s="192"/>
      <c r="HMH275" s="192"/>
      <c r="HMI275" s="192"/>
      <c r="HMJ275" s="192"/>
      <c r="HMK275" s="192"/>
      <c r="HML275" s="192"/>
      <c r="HMM275" s="192"/>
      <c r="HMN275" s="192"/>
      <c r="HMO275" s="192"/>
      <c r="HMP275" s="192"/>
      <c r="HMQ275" s="192"/>
      <c r="HMR275" s="192"/>
      <c r="HMS275" s="192"/>
      <c r="HMT275" s="192"/>
      <c r="HMU275" s="192"/>
      <c r="HMV275" s="192"/>
      <c r="HMW275" s="192"/>
      <c r="HMX275" s="192"/>
      <c r="HMY275" s="192"/>
      <c r="HMZ275" s="192"/>
      <c r="HNA275" s="192"/>
      <c r="HNB275" s="192"/>
      <c r="HNC275" s="192"/>
      <c r="HND275" s="192"/>
      <c r="HNE275" s="192"/>
      <c r="HNF275" s="192"/>
      <c r="HNG275" s="192"/>
      <c r="HNH275" s="192"/>
      <c r="HNI275" s="192"/>
      <c r="HNJ275" s="192"/>
      <c r="HNK275" s="192"/>
      <c r="HNL275" s="192"/>
      <c r="HNM275" s="192"/>
      <c r="HNN275" s="192"/>
      <c r="HNO275" s="192"/>
      <c r="HNP275" s="192"/>
      <c r="HNQ275" s="192"/>
      <c r="HNR275" s="192"/>
      <c r="HNS275" s="192"/>
      <c r="HNT275" s="192"/>
      <c r="HNU275" s="192"/>
      <c r="HNV275" s="192"/>
      <c r="HNW275" s="192"/>
      <c r="HNX275" s="192"/>
      <c r="HNY275" s="192"/>
      <c r="HNZ275" s="192"/>
      <c r="HOA275" s="192"/>
      <c r="HOB275" s="192"/>
      <c r="HOC275" s="192"/>
      <c r="HOD275" s="192"/>
      <c r="HOE275" s="192"/>
      <c r="HOF275" s="192"/>
      <c r="HOG275" s="192"/>
      <c r="HOH275" s="192"/>
      <c r="HOI275" s="192"/>
      <c r="HOJ275" s="192"/>
      <c r="HOK275" s="192"/>
      <c r="HOL275" s="192"/>
      <c r="HOM275" s="192"/>
      <c r="HON275" s="192"/>
      <c r="HOO275" s="192"/>
      <c r="HOP275" s="192"/>
      <c r="HOQ275" s="192"/>
      <c r="HOR275" s="192"/>
      <c r="HOS275" s="192"/>
      <c r="HOT275" s="192"/>
      <c r="HOU275" s="192"/>
      <c r="HOV275" s="192"/>
      <c r="HOW275" s="192"/>
      <c r="HOX275" s="192"/>
      <c r="HOY275" s="192"/>
      <c r="HOZ275" s="192"/>
      <c r="HPA275" s="192"/>
      <c r="HPB275" s="192"/>
      <c r="HPC275" s="192"/>
      <c r="HPD275" s="192"/>
      <c r="HPE275" s="192"/>
      <c r="HPF275" s="192"/>
      <c r="HPG275" s="192"/>
      <c r="HPH275" s="192"/>
      <c r="HPI275" s="192"/>
      <c r="HPJ275" s="192"/>
      <c r="HPK275" s="192"/>
      <c r="HPL275" s="192"/>
      <c r="HPM275" s="192"/>
      <c r="HPN275" s="192"/>
      <c r="HPO275" s="192"/>
      <c r="HPP275" s="192"/>
      <c r="HPQ275" s="192"/>
      <c r="HPR275" s="192"/>
      <c r="HPS275" s="192"/>
      <c r="HPT275" s="192"/>
      <c r="HPU275" s="192"/>
      <c r="HPV275" s="192"/>
      <c r="HPW275" s="192"/>
      <c r="HPX275" s="192"/>
      <c r="HPY275" s="192"/>
      <c r="HPZ275" s="192"/>
      <c r="HQA275" s="192"/>
      <c r="HQB275" s="192"/>
      <c r="HQC275" s="192"/>
      <c r="HQD275" s="192"/>
      <c r="HQE275" s="192"/>
      <c r="HQF275" s="192"/>
      <c r="HQG275" s="192"/>
      <c r="HQH275" s="192"/>
      <c r="HQI275" s="192"/>
      <c r="HQJ275" s="192"/>
      <c r="HQK275" s="192"/>
      <c r="HQL275" s="192"/>
      <c r="HQM275" s="192"/>
      <c r="HQN275" s="192"/>
      <c r="HQO275" s="192"/>
      <c r="HQP275" s="192"/>
      <c r="HQQ275" s="192"/>
      <c r="HQR275" s="192"/>
      <c r="HQS275" s="192"/>
      <c r="HQT275" s="192"/>
      <c r="HQU275" s="192"/>
      <c r="HQV275" s="192"/>
      <c r="HQW275" s="192"/>
      <c r="HQX275" s="192"/>
      <c r="HQY275" s="192"/>
      <c r="HQZ275" s="192"/>
      <c r="HRA275" s="192"/>
      <c r="HRB275" s="192"/>
      <c r="HRC275" s="192"/>
      <c r="HRD275" s="192"/>
      <c r="HRE275" s="192"/>
      <c r="HRF275" s="192"/>
      <c r="HRG275" s="192"/>
      <c r="HRH275" s="192"/>
      <c r="HRI275" s="192"/>
      <c r="HRJ275" s="192"/>
      <c r="HRK275" s="192"/>
      <c r="HRL275" s="192"/>
      <c r="HRM275" s="192"/>
      <c r="HRN275" s="192"/>
      <c r="HRO275" s="192"/>
      <c r="HRP275" s="192"/>
      <c r="HRQ275" s="192"/>
      <c r="HRR275" s="192"/>
      <c r="HRS275" s="192"/>
      <c r="HRT275" s="192"/>
      <c r="HRU275" s="192"/>
      <c r="HRV275" s="192"/>
      <c r="HRW275" s="192"/>
      <c r="HRX275" s="192"/>
      <c r="HRY275" s="192"/>
      <c r="HRZ275" s="192"/>
      <c r="HSA275" s="192"/>
      <c r="HSB275" s="192"/>
      <c r="HSC275" s="192"/>
      <c r="HSD275" s="192"/>
      <c r="HSE275" s="192"/>
      <c r="HSF275" s="192"/>
      <c r="HSG275" s="192"/>
      <c r="HSH275" s="192"/>
      <c r="HSI275" s="192"/>
      <c r="HSJ275" s="192"/>
      <c r="HSK275" s="192"/>
      <c r="HSL275" s="192"/>
      <c r="HSM275" s="192"/>
      <c r="HSN275" s="192"/>
      <c r="HSO275" s="192"/>
      <c r="HSP275" s="192"/>
      <c r="HSQ275" s="192"/>
      <c r="HSR275" s="192"/>
      <c r="HSS275" s="192"/>
      <c r="HST275" s="192"/>
      <c r="HSU275" s="192"/>
      <c r="HSV275" s="192"/>
      <c r="HSW275" s="192"/>
      <c r="HSX275" s="192"/>
      <c r="HSY275" s="192"/>
      <c r="HSZ275" s="192"/>
      <c r="HTA275" s="192"/>
      <c r="HTB275" s="192"/>
      <c r="HTC275" s="192"/>
      <c r="HTD275" s="192"/>
      <c r="HTE275" s="192"/>
      <c r="HTF275" s="192"/>
      <c r="HTG275" s="192"/>
      <c r="HTH275" s="192"/>
      <c r="HTI275" s="192"/>
      <c r="HTJ275" s="192"/>
      <c r="HTK275" s="192"/>
      <c r="HTL275" s="192"/>
      <c r="HTM275" s="192"/>
      <c r="HTN275" s="192"/>
      <c r="HTO275" s="192"/>
      <c r="HTP275" s="192"/>
      <c r="HTQ275" s="192"/>
      <c r="HTR275" s="192"/>
      <c r="HTS275" s="192"/>
      <c r="HTT275" s="192"/>
      <c r="HTU275" s="192"/>
      <c r="HTV275" s="192"/>
      <c r="HTW275" s="192"/>
      <c r="HTX275" s="192"/>
      <c r="HTY275" s="192"/>
      <c r="HTZ275" s="192"/>
      <c r="HUA275" s="192"/>
      <c r="HUB275" s="192"/>
      <c r="HUC275" s="192"/>
      <c r="HUD275" s="192"/>
      <c r="HUE275" s="192"/>
      <c r="HUF275" s="192"/>
      <c r="HUG275" s="192"/>
      <c r="HUH275" s="192"/>
      <c r="HUI275" s="192"/>
      <c r="HUJ275" s="192"/>
      <c r="HUK275" s="192"/>
      <c r="HUL275" s="192"/>
      <c r="HUM275" s="192"/>
      <c r="HUN275" s="192"/>
      <c r="HUO275" s="192"/>
      <c r="HUP275" s="192"/>
      <c r="HUQ275" s="192"/>
      <c r="HUR275" s="192"/>
      <c r="HUS275" s="192"/>
      <c r="HUT275" s="192"/>
      <c r="HUU275" s="192"/>
      <c r="HUV275" s="192"/>
      <c r="HUW275" s="192"/>
      <c r="HUX275" s="192"/>
      <c r="HUY275" s="192"/>
      <c r="HUZ275" s="192"/>
      <c r="HVA275" s="192"/>
      <c r="HVB275" s="192"/>
      <c r="HVC275" s="192"/>
      <c r="HVD275" s="192"/>
      <c r="HVE275" s="192"/>
      <c r="HVF275" s="192"/>
      <c r="HVG275" s="192"/>
      <c r="HVH275" s="192"/>
      <c r="HVI275" s="192"/>
      <c r="HVJ275" s="192"/>
      <c r="HVK275" s="192"/>
      <c r="HVL275" s="192"/>
      <c r="HVM275" s="192"/>
      <c r="HVN275" s="192"/>
      <c r="HVO275" s="192"/>
      <c r="HVP275" s="192"/>
      <c r="HVQ275" s="192"/>
      <c r="HVR275" s="192"/>
      <c r="HVS275" s="192"/>
      <c r="HVT275" s="192"/>
      <c r="HVU275" s="192"/>
      <c r="HVV275" s="192"/>
      <c r="HVW275" s="192"/>
      <c r="HVX275" s="192"/>
      <c r="HVY275" s="192"/>
      <c r="HVZ275" s="192"/>
      <c r="HWA275" s="192"/>
      <c r="HWB275" s="192"/>
      <c r="HWC275" s="192"/>
      <c r="HWD275" s="192"/>
      <c r="HWE275" s="192"/>
      <c r="HWF275" s="192"/>
      <c r="HWG275" s="192"/>
      <c r="HWH275" s="192"/>
      <c r="HWI275" s="192"/>
      <c r="HWJ275" s="192"/>
      <c r="HWK275" s="192"/>
      <c r="HWL275" s="192"/>
      <c r="HWM275" s="192"/>
      <c r="HWN275" s="192"/>
      <c r="HWO275" s="192"/>
      <c r="HWP275" s="192"/>
      <c r="HWQ275" s="192"/>
      <c r="HWR275" s="192"/>
      <c r="HWS275" s="192"/>
      <c r="HWT275" s="192"/>
      <c r="HWU275" s="192"/>
      <c r="HWV275" s="192"/>
      <c r="HWW275" s="192"/>
      <c r="HWX275" s="192"/>
      <c r="HWY275" s="192"/>
      <c r="HWZ275" s="192"/>
      <c r="HXA275" s="192"/>
      <c r="HXB275" s="192"/>
      <c r="HXC275" s="192"/>
      <c r="HXD275" s="192"/>
      <c r="HXE275" s="192"/>
      <c r="HXF275" s="192"/>
      <c r="HXG275" s="192"/>
      <c r="HXH275" s="192"/>
      <c r="HXI275" s="192"/>
      <c r="HXJ275" s="192"/>
      <c r="HXK275" s="192"/>
      <c r="HXL275" s="192"/>
      <c r="HXM275" s="192"/>
      <c r="HXN275" s="192"/>
      <c r="HXO275" s="192"/>
      <c r="HXP275" s="192"/>
      <c r="HXQ275" s="192"/>
      <c r="HXR275" s="192"/>
      <c r="HXS275" s="192"/>
      <c r="HXT275" s="192"/>
      <c r="HXU275" s="192"/>
      <c r="HXV275" s="192"/>
      <c r="HXW275" s="192"/>
      <c r="HXX275" s="192"/>
      <c r="HXY275" s="192"/>
      <c r="HXZ275" s="192"/>
      <c r="HYA275" s="192"/>
      <c r="HYB275" s="192"/>
      <c r="HYC275" s="192"/>
      <c r="HYD275" s="192"/>
      <c r="HYE275" s="192"/>
      <c r="HYF275" s="192"/>
      <c r="HYG275" s="192"/>
      <c r="HYH275" s="192"/>
      <c r="HYI275" s="192"/>
      <c r="HYJ275" s="192"/>
      <c r="HYK275" s="192"/>
      <c r="HYL275" s="192"/>
      <c r="HYM275" s="192"/>
      <c r="HYN275" s="192"/>
      <c r="HYO275" s="192"/>
      <c r="HYP275" s="192"/>
      <c r="HYQ275" s="192"/>
      <c r="HYR275" s="192"/>
      <c r="HYS275" s="192"/>
      <c r="HYT275" s="192"/>
      <c r="HYU275" s="192"/>
      <c r="HYV275" s="192"/>
      <c r="HYW275" s="192"/>
      <c r="HYX275" s="192"/>
      <c r="HYY275" s="192"/>
      <c r="HYZ275" s="192"/>
      <c r="HZA275" s="192"/>
      <c r="HZB275" s="192"/>
      <c r="HZC275" s="192"/>
      <c r="HZD275" s="192"/>
      <c r="HZE275" s="192"/>
      <c r="HZF275" s="192"/>
      <c r="HZG275" s="192"/>
      <c r="HZH275" s="192"/>
      <c r="HZI275" s="192"/>
      <c r="HZJ275" s="192"/>
      <c r="HZK275" s="192"/>
      <c r="HZL275" s="192"/>
      <c r="HZM275" s="192"/>
      <c r="HZN275" s="192"/>
      <c r="HZO275" s="192"/>
      <c r="HZP275" s="192"/>
      <c r="HZQ275" s="192"/>
      <c r="HZR275" s="192"/>
      <c r="HZS275" s="192"/>
      <c r="HZT275" s="192"/>
      <c r="HZU275" s="192"/>
      <c r="HZV275" s="192"/>
      <c r="HZW275" s="192"/>
      <c r="HZX275" s="192"/>
      <c r="HZY275" s="192"/>
      <c r="HZZ275" s="192"/>
      <c r="IAA275" s="192"/>
      <c r="IAB275" s="192"/>
      <c r="IAC275" s="192"/>
      <c r="IAD275" s="192"/>
      <c r="IAE275" s="192"/>
      <c r="IAF275" s="192"/>
      <c r="IAG275" s="192"/>
      <c r="IAH275" s="192"/>
      <c r="IAI275" s="192"/>
      <c r="IAJ275" s="192"/>
      <c r="IAK275" s="192"/>
      <c r="IAL275" s="192"/>
      <c r="IAM275" s="192"/>
      <c r="IAN275" s="192"/>
      <c r="IAO275" s="192"/>
      <c r="IAP275" s="192"/>
      <c r="IAQ275" s="192"/>
      <c r="IAR275" s="192"/>
      <c r="IAS275" s="192"/>
      <c r="IAT275" s="192"/>
      <c r="IAU275" s="192"/>
      <c r="IAV275" s="192"/>
      <c r="IAW275" s="192"/>
      <c r="IAX275" s="192"/>
      <c r="IAY275" s="192"/>
      <c r="IAZ275" s="192"/>
      <c r="IBA275" s="192"/>
      <c r="IBB275" s="192"/>
      <c r="IBC275" s="192"/>
      <c r="IBD275" s="192"/>
      <c r="IBE275" s="192"/>
      <c r="IBF275" s="192"/>
      <c r="IBG275" s="192"/>
      <c r="IBH275" s="192"/>
      <c r="IBI275" s="192"/>
      <c r="IBJ275" s="192"/>
      <c r="IBK275" s="192"/>
      <c r="IBL275" s="192"/>
      <c r="IBM275" s="192"/>
      <c r="IBN275" s="192"/>
      <c r="IBO275" s="192"/>
      <c r="IBP275" s="192"/>
      <c r="IBQ275" s="192"/>
      <c r="IBR275" s="192"/>
      <c r="IBS275" s="192"/>
      <c r="IBT275" s="192"/>
      <c r="IBU275" s="192"/>
      <c r="IBV275" s="192"/>
      <c r="IBW275" s="192"/>
      <c r="IBX275" s="192"/>
      <c r="IBY275" s="192"/>
      <c r="IBZ275" s="192"/>
      <c r="ICA275" s="192"/>
      <c r="ICB275" s="192"/>
      <c r="ICC275" s="192"/>
      <c r="ICD275" s="192"/>
      <c r="ICE275" s="192"/>
      <c r="ICF275" s="192"/>
      <c r="ICG275" s="192"/>
      <c r="ICH275" s="192"/>
      <c r="ICI275" s="192"/>
      <c r="ICJ275" s="192"/>
      <c r="ICK275" s="192"/>
      <c r="ICL275" s="192"/>
      <c r="ICM275" s="192"/>
      <c r="ICN275" s="192"/>
      <c r="ICO275" s="192"/>
      <c r="ICP275" s="192"/>
      <c r="ICQ275" s="192"/>
      <c r="ICR275" s="192"/>
      <c r="ICS275" s="192"/>
      <c r="ICT275" s="192"/>
      <c r="ICU275" s="192"/>
      <c r="ICV275" s="192"/>
      <c r="ICW275" s="192"/>
      <c r="ICX275" s="192"/>
      <c r="ICY275" s="192"/>
      <c r="ICZ275" s="192"/>
      <c r="IDA275" s="192"/>
      <c r="IDB275" s="192"/>
      <c r="IDC275" s="192"/>
      <c r="IDD275" s="192"/>
      <c r="IDE275" s="192"/>
      <c r="IDF275" s="192"/>
      <c r="IDG275" s="192"/>
      <c r="IDH275" s="192"/>
      <c r="IDI275" s="192"/>
      <c r="IDJ275" s="192"/>
      <c r="IDK275" s="192"/>
      <c r="IDL275" s="192"/>
      <c r="IDM275" s="192"/>
      <c r="IDN275" s="192"/>
      <c r="IDO275" s="192"/>
      <c r="IDP275" s="192"/>
      <c r="IDQ275" s="192"/>
      <c r="IDR275" s="192"/>
      <c r="IDS275" s="192"/>
      <c r="IDT275" s="192"/>
      <c r="IDU275" s="192"/>
      <c r="IDV275" s="192"/>
      <c r="IDW275" s="192"/>
      <c r="IDX275" s="192"/>
      <c r="IDY275" s="192"/>
      <c r="IDZ275" s="192"/>
      <c r="IEA275" s="192"/>
      <c r="IEB275" s="192"/>
      <c r="IEC275" s="192"/>
      <c r="IED275" s="192"/>
      <c r="IEE275" s="192"/>
      <c r="IEF275" s="192"/>
      <c r="IEG275" s="192"/>
      <c r="IEH275" s="192"/>
      <c r="IEI275" s="192"/>
      <c r="IEJ275" s="192"/>
      <c r="IEK275" s="192"/>
      <c r="IEL275" s="192"/>
      <c r="IEM275" s="192"/>
      <c r="IEN275" s="192"/>
      <c r="IEO275" s="192"/>
      <c r="IEP275" s="192"/>
      <c r="IEQ275" s="192"/>
      <c r="IER275" s="192"/>
      <c r="IES275" s="192"/>
      <c r="IET275" s="192"/>
      <c r="IEU275" s="192"/>
      <c r="IEV275" s="192"/>
      <c r="IEW275" s="192"/>
      <c r="IEX275" s="192"/>
      <c r="IEY275" s="192"/>
      <c r="IEZ275" s="192"/>
      <c r="IFA275" s="192"/>
      <c r="IFB275" s="192"/>
      <c r="IFC275" s="192"/>
      <c r="IFD275" s="192"/>
      <c r="IFE275" s="192"/>
      <c r="IFF275" s="192"/>
      <c r="IFG275" s="192"/>
      <c r="IFH275" s="192"/>
      <c r="IFI275" s="192"/>
      <c r="IFJ275" s="192"/>
      <c r="IFK275" s="192"/>
      <c r="IFL275" s="192"/>
      <c r="IFM275" s="192"/>
      <c r="IFN275" s="192"/>
      <c r="IFO275" s="192"/>
      <c r="IFP275" s="192"/>
      <c r="IFQ275" s="192"/>
      <c r="IFR275" s="192"/>
      <c r="IFS275" s="192"/>
      <c r="IFT275" s="192"/>
      <c r="IFU275" s="192"/>
      <c r="IFV275" s="192"/>
      <c r="IFW275" s="192"/>
      <c r="IFX275" s="192"/>
      <c r="IFY275" s="192"/>
      <c r="IFZ275" s="192"/>
      <c r="IGA275" s="192"/>
      <c r="IGB275" s="192"/>
      <c r="IGC275" s="192"/>
      <c r="IGD275" s="192"/>
      <c r="IGE275" s="192"/>
      <c r="IGF275" s="192"/>
      <c r="IGG275" s="192"/>
      <c r="IGH275" s="192"/>
      <c r="IGI275" s="192"/>
      <c r="IGJ275" s="192"/>
      <c r="IGK275" s="192"/>
      <c r="IGL275" s="192"/>
      <c r="IGM275" s="192"/>
      <c r="IGN275" s="192"/>
      <c r="IGO275" s="192"/>
      <c r="IGP275" s="192"/>
      <c r="IGQ275" s="192"/>
      <c r="IGR275" s="192"/>
      <c r="IGS275" s="192"/>
      <c r="IGT275" s="192"/>
      <c r="IGU275" s="192"/>
      <c r="IGV275" s="192"/>
      <c r="IGW275" s="192"/>
      <c r="IGX275" s="192"/>
      <c r="IGY275" s="192"/>
      <c r="IGZ275" s="192"/>
      <c r="IHA275" s="192"/>
      <c r="IHB275" s="192"/>
      <c r="IHC275" s="192"/>
      <c r="IHD275" s="192"/>
      <c r="IHE275" s="192"/>
      <c r="IHF275" s="192"/>
      <c r="IHG275" s="192"/>
      <c r="IHH275" s="192"/>
      <c r="IHI275" s="192"/>
      <c r="IHJ275" s="192"/>
      <c r="IHK275" s="192"/>
      <c r="IHL275" s="192"/>
      <c r="IHM275" s="192"/>
      <c r="IHN275" s="192"/>
      <c r="IHO275" s="192"/>
      <c r="IHP275" s="192"/>
      <c r="IHQ275" s="192"/>
      <c r="IHR275" s="192"/>
      <c r="IHS275" s="192"/>
      <c r="IHT275" s="192"/>
      <c r="IHU275" s="192"/>
      <c r="IHV275" s="192"/>
      <c r="IHW275" s="192"/>
      <c r="IHX275" s="192"/>
      <c r="IHY275" s="192"/>
      <c r="IHZ275" s="192"/>
      <c r="IIA275" s="192"/>
      <c r="IIB275" s="192"/>
      <c r="IIC275" s="192"/>
      <c r="IID275" s="192"/>
      <c r="IIE275" s="192"/>
      <c r="IIF275" s="192"/>
      <c r="IIG275" s="192"/>
      <c r="IIH275" s="192"/>
      <c r="III275" s="192"/>
      <c r="IIJ275" s="192"/>
      <c r="IIK275" s="192"/>
      <c r="IIL275" s="192"/>
      <c r="IIM275" s="192"/>
      <c r="IIN275" s="192"/>
      <c r="IIO275" s="192"/>
      <c r="IIP275" s="192"/>
      <c r="IIQ275" s="192"/>
      <c r="IIR275" s="192"/>
      <c r="IIS275" s="192"/>
      <c r="IIT275" s="192"/>
      <c r="IIU275" s="192"/>
      <c r="IIV275" s="192"/>
      <c r="IIW275" s="192"/>
      <c r="IIX275" s="192"/>
      <c r="IIY275" s="192"/>
      <c r="IIZ275" s="192"/>
      <c r="IJA275" s="192"/>
      <c r="IJB275" s="192"/>
      <c r="IJC275" s="192"/>
      <c r="IJD275" s="192"/>
      <c r="IJE275" s="192"/>
      <c r="IJF275" s="192"/>
      <c r="IJG275" s="192"/>
      <c r="IJH275" s="192"/>
      <c r="IJI275" s="192"/>
      <c r="IJJ275" s="192"/>
      <c r="IJK275" s="192"/>
      <c r="IJL275" s="192"/>
      <c r="IJM275" s="192"/>
      <c r="IJN275" s="192"/>
      <c r="IJO275" s="192"/>
      <c r="IJP275" s="192"/>
      <c r="IJQ275" s="192"/>
      <c r="IJR275" s="192"/>
      <c r="IJS275" s="192"/>
      <c r="IJT275" s="192"/>
      <c r="IJU275" s="192"/>
      <c r="IJV275" s="192"/>
      <c r="IJW275" s="192"/>
      <c r="IJX275" s="192"/>
      <c r="IJY275" s="192"/>
      <c r="IJZ275" s="192"/>
      <c r="IKA275" s="192"/>
      <c r="IKB275" s="192"/>
      <c r="IKC275" s="192"/>
      <c r="IKD275" s="192"/>
      <c r="IKE275" s="192"/>
      <c r="IKF275" s="192"/>
      <c r="IKG275" s="192"/>
      <c r="IKH275" s="192"/>
      <c r="IKI275" s="192"/>
      <c r="IKJ275" s="192"/>
      <c r="IKK275" s="192"/>
      <c r="IKL275" s="192"/>
      <c r="IKM275" s="192"/>
      <c r="IKN275" s="192"/>
      <c r="IKO275" s="192"/>
      <c r="IKP275" s="192"/>
      <c r="IKQ275" s="192"/>
      <c r="IKR275" s="192"/>
      <c r="IKS275" s="192"/>
      <c r="IKT275" s="192"/>
      <c r="IKU275" s="192"/>
      <c r="IKV275" s="192"/>
      <c r="IKW275" s="192"/>
      <c r="IKX275" s="192"/>
      <c r="IKY275" s="192"/>
      <c r="IKZ275" s="192"/>
      <c r="ILA275" s="192"/>
      <c r="ILB275" s="192"/>
      <c r="ILC275" s="192"/>
      <c r="ILD275" s="192"/>
      <c r="ILE275" s="192"/>
      <c r="ILF275" s="192"/>
      <c r="ILG275" s="192"/>
      <c r="ILH275" s="192"/>
      <c r="ILI275" s="192"/>
      <c r="ILJ275" s="192"/>
      <c r="ILK275" s="192"/>
      <c r="ILL275" s="192"/>
      <c r="ILM275" s="192"/>
      <c r="ILN275" s="192"/>
      <c r="ILO275" s="192"/>
      <c r="ILP275" s="192"/>
      <c r="ILQ275" s="192"/>
      <c r="ILR275" s="192"/>
      <c r="ILS275" s="192"/>
      <c r="ILT275" s="192"/>
      <c r="ILU275" s="192"/>
      <c r="ILV275" s="192"/>
      <c r="ILW275" s="192"/>
      <c r="ILX275" s="192"/>
      <c r="ILY275" s="192"/>
      <c r="ILZ275" s="192"/>
      <c r="IMA275" s="192"/>
      <c r="IMB275" s="192"/>
      <c r="IMC275" s="192"/>
      <c r="IMD275" s="192"/>
      <c r="IME275" s="192"/>
      <c r="IMF275" s="192"/>
      <c r="IMG275" s="192"/>
      <c r="IMH275" s="192"/>
      <c r="IMI275" s="192"/>
      <c r="IMJ275" s="192"/>
      <c r="IMK275" s="192"/>
      <c r="IML275" s="192"/>
      <c r="IMM275" s="192"/>
      <c r="IMN275" s="192"/>
      <c r="IMO275" s="192"/>
      <c r="IMP275" s="192"/>
      <c r="IMQ275" s="192"/>
      <c r="IMR275" s="192"/>
      <c r="IMS275" s="192"/>
      <c r="IMT275" s="192"/>
      <c r="IMU275" s="192"/>
      <c r="IMV275" s="192"/>
      <c r="IMW275" s="192"/>
      <c r="IMX275" s="192"/>
      <c r="IMY275" s="192"/>
      <c r="IMZ275" s="192"/>
      <c r="INA275" s="192"/>
      <c r="INB275" s="192"/>
      <c r="INC275" s="192"/>
      <c r="IND275" s="192"/>
      <c r="INE275" s="192"/>
      <c r="INF275" s="192"/>
      <c r="ING275" s="192"/>
      <c r="INH275" s="192"/>
      <c r="INI275" s="192"/>
      <c r="INJ275" s="192"/>
      <c r="INK275" s="192"/>
      <c r="INL275" s="192"/>
      <c r="INM275" s="192"/>
      <c r="INN275" s="192"/>
      <c r="INO275" s="192"/>
      <c r="INP275" s="192"/>
      <c r="INQ275" s="192"/>
      <c r="INR275" s="192"/>
      <c r="INS275" s="192"/>
      <c r="INT275" s="192"/>
      <c r="INU275" s="192"/>
      <c r="INV275" s="192"/>
      <c r="INW275" s="192"/>
      <c r="INX275" s="192"/>
      <c r="INY275" s="192"/>
      <c r="INZ275" s="192"/>
      <c r="IOA275" s="192"/>
      <c r="IOB275" s="192"/>
      <c r="IOC275" s="192"/>
      <c r="IOD275" s="192"/>
      <c r="IOE275" s="192"/>
      <c r="IOF275" s="192"/>
      <c r="IOG275" s="192"/>
      <c r="IOH275" s="192"/>
      <c r="IOI275" s="192"/>
      <c r="IOJ275" s="192"/>
      <c r="IOK275" s="192"/>
      <c r="IOL275" s="192"/>
      <c r="IOM275" s="192"/>
      <c r="ION275" s="192"/>
      <c r="IOO275" s="192"/>
      <c r="IOP275" s="192"/>
      <c r="IOQ275" s="192"/>
      <c r="IOR275" s="192"/>
      <c r="IOS275" s="192"/>
      <c r="IOT275" s="192"/>
      <c r="IOU275" s="192"/>
      <c r="IOV275" s="192"/>
      <c r="IOW275" s="192"/>
      <c r="IOX275" s="192"/>
      <c r="IOY275" s="192"/>
      <c r="IOZ275" s="192"/>
      <c r="IPA275" s="192"/>
      <c r="IPB275" s="192"/>
      <c r="IPC275" s="192"/>
      <c r="IPD275" s="192"/>
      <c r="IPE275" s="192"/>
      <c r="IPF275" s="192"/>
      <c r="IPG275" s="192"/>
      <c r="IPH275" s="192"/>
      <c r="IPI275" s="192"/>
      <c r="IPJ275" s="192"/>
      <c r="IPK275" s="192"/>
      <c r="IPL275" s="192"/>
      <c r="IPM275" s="192"/>
      <c r="IPN275" s="192"/>
      <c r="IPO275" s="192"/>
      <c r="IPP275" s="192"/>
      <c r="IPQ275" s="192"/>
      <c r="IPR275" s="192"/>
      <c r="IPS275" s="192"/>
      <c r="IPT275" s="192"/>
      <c r="IPU275" s="192"/>
      <c r="IPV275" s="192"/>
      <c r="IPW275" s="192"/>
      <c r="IPX275" s="192"/>
      <c r="IPY275" s="192"/>
      <c r="IPZ275" s="192"/>
      <c r="IQA275" s="192"/>
      <c r="IQB275" s="192"/>
      <c r="IQC275" s="192"/>
      <c r="IQD275" s="192"/>
      <c r="IQE275" s="192"/>
      <c r="IQF275" s="192"/>
      <c r="IQG275" s="192"/>
      <c r="IQH275" s="192"/>
      <c r="IQI275" s="192"/>
      <c r="IQJ275" s="192"/>
      <c r="IQK275" s="192"/>
      <c r="IQL275" s="192"/>
      <c r="IQM275" s="192"/>
      <c r="IQN275" s="192"/>
      <c r="IQO275" s="192"/>
      <c r="IQP275" s="192"/>
      <c r="IQQ275" s="192"/>
      <c r="IQR275" s="192"/>
      <c r="IQS275" s="192"/>
      <c r="IQT275" s="192"/>
      <c r="IQU275" s="192"/>
      <c r="IQV275" s="192"/>
      <c r="IQW275" s="192"/>
      <c r="IQX275" s="192"/>
      <c r="IQY275" s="192"/>
      <c r="IQZ275" s="192"/>
      <c r="IRA275" s="192"/>
      <c r="IRB275" s="192"/>
      <c r="IRC275" s="192"/>
      <c r="IRD275" s="192"/>
      <c r="IRE275" s="192"/>
      <c r="IRF275" s="192"/>
      <c r="IRG275" s="192"/>
      <c r="IRH275" s="192"/>
      <c r="IRI275" s="192"/>
      <c r="IRJ275" s="192"/>
      <c r="IRK275" s="192"/>
      <c r="IRL275" s="192"/>
      <c r="IRM275" s="192"/>
      <c r="IRN275" s="192"/>
      <c r="IRO275" s="192"/>
      <c r="IRP275" s="192"/>
      <c r="IRQ275" s="192"/>
      <c r="IRR275" s="192"/>
      <c r="IRS275" s="192"/>
      <c r="IRT275" s="192"/>
      <c r="IRU275" s="192"/>
      <c r="IRV275" s="192"/>
      <c r="IRW275" s="192"/>
      <c r="IRX275" s="192"/>
      <c r="IRY275" s="192"/>
      <c r="IRZ275" s="192"/>
      <c r="ISA275" s="192"/>
      <c r="ISB275" s="192"/>
      <c r="ISC275" s="192"/>
      <c r="ISD275" s="192"/>
      <c r="ISE275" s="192"/>
      <c r="ISF275" s="192"/>
      <c r="ISG275" s="192"/>
      <c r="ISH275" s="192"/>
      <c r="ISI275" s="192"/>
      <c r="ISJ275" s="192"/>
      <c r="ISK275" s="192"/>
      <c r="ISL275" s="192"/>
      <c r="ISM275" s="192"/>
      <c r="ISN275" s="192"/>
      <c r="ISO275" s="192"/>
      <c r="ISP275" s="192"/>
      <c r="ISQ275" s="192"/>
      <c r="ISR275" s="192"/>
      <c r="ISS275" s="192"/>
      <c r="IST275" s="192"/>
      <c r="ISU275" s="192"/>
      <c r="ISV275" s="192"/>
      <c r="ISW275" s="192"/>
      <c r="ISX275" s="192"/>
      <c r="ISY275" s="192"/>
      <c r="ISZ275" s="192"/>
      <c r="ITA275" s="192"/>
      <c r="ITB275" s="192"/>
      <c r="ITC275" s="192"/>
      <c r="ITD275" s="192"/>
      <c r="ITE275" s="192"/>
      <c r="ITF275" s="192"/>
      <c r="ITG275" s="192"/>
      <c r="ITH275" s="192"/>
      <c r="ITI275" s="192"/>
      <c r="ITJ275" s="192"/>
      <c r="ITK275" s="192"/>
      <c r="ITL275" s="192"/>
      <c r="ITM275" s="192"/>
      <c r="ITN275" s="192"/>
      <c r="ITO275" s="192"/>
      <c r="ITP275" s="192"/>
      <c r="ITQ275" s="192"/>
      <c r="ITR275" s="192"/>
      <c r="ITS275" s="192"/>
      <c r="ITT275" s="192"/>
      <c r="ITU275" s="192"/>
      <c r="ITV275" s="192"/>
      <c r="ITW275" s="192"/>
      <c r="ITX275" s="192"/>
      <c r="ITY275" s="192"/>
      <c r="ITZ275" s="192"/>
      <c r="IUA275" s="192"/>
      <c r="IUB275" s="192"/>
      <c r="IUC275" s="192"/>
      <c r="IUD275" s="192"/>
      <c r="IUE275" s="192"/>
      <c r="IUF275" s="192"/>
      <c r="IUG275" s="192"/>
      <c r="IUH275" s="192"/>
      <c r="IUI275" s="192"/>
      <c r="IUJ275" s="192"/>
      <c r="IUK275" s="192"/>
      <c r="IUL275" s="192"/>
      <c r="IUM275" s="192"/>
      <c r="IUN275" s="192"/>
      <c r="IUO275" s="192"/>
      <c r="IUP275" s="192"/>
      <c r="IUQ275" s="192"/>
      <c r="IUR275" s="192"/>
      <c r="IUS275" s="192"/>
      <c r="IUT275" s="192"/>
      <c r="IUU275" s="192"/>
      <c r="IUV275" s="192"/>
      <c r="IUW275" s="192"/>
      <c r="IUX275" s="192"/>
      <c r="IUY275" s="192"/>
      <c r="IUZ275" s="192"/>
      <c r="IVA275" s="192"/>
      <c r="IVB275" s="192"/>
      <c r="IVC275" s="192"/>
      <c r="IVD275" s="192"/>
      <c r="IVE275" s="192"/>
      <c r="IVF275" s="192"/>
      <c r="IVG275" s="192"/>
      <c r="IVH275" s="192"/>
      <c r="IVI275" s="192"/>
      <c r="IVJ275" s="192"/>
      <c r="IVK275" s="192"/>
      <c r="IVL275" s="192"/>
      <c r="IVM275" s="192"/>
      <c r="IVN275" s="192"/>
      <c r="IVO275" s="192"/>
      <c r="IVP275" s="192"/>
      <c r="IVQ275" s="192"/>
      <c r="IVR275" s="192"/>
      <c r="IVS275" s="192"/>
      <c r="IVT275" s="192"/>
      <c r="IVU275" s="192"/>
      <c r="IVV275" s="192"/>
      <c r="IVW275" s="192"/>
      <c r="IVX275" s="192"/>
      <c r="IVY275" s="192"/>
      <c r="IVZ275" s="192"/>
      <c r="IWA275" s="192"/>
      <c r="IWB275" s="192"/>
      <c r="IWC275" s="192"/>
      <c r="IWD275" s="192"/>
      <c r="IWE275" s="192"/>
      <c r="IWF275" s="192"/>
      <c r="IWG275" s="192"/>
      <c r="IWH275" s="192"/>
      <c r="IWI275" s="192"/>
      <c r="IWJ275" s="192"/>
      <c r="IWK275" s="192"/>
      <c r="IWL275" s="192"/>
      <c r="IWM275" s="192"/>
      <c r="IWN275" s="192"/>
      <c r="IWO275" s="192"/>
      <c r="IWP275" s="192"/>
      <c r="IWQ275" s="192"/>
      <c r="IWR275" s="192"/>
      <c r="IWS275" s="192"/>
      <c r="IWT275" s="192"/>
      <c r="IWU275" s="192"/>
      <c r="IWV275" s="192"/>
      <c r="IWW275" s="192"/>
      <c r="IWX275" s="192"/>
      <c r="IWY275" s="192"/>
      <c r="IWZ275" s="192"/>
      <c r="IXA275" s="192"/>
      <c r="IXB275" s="192"/>
      <c r="IXC275" s="192"/>
      <c r="IXD275" s="192"/>
      <c r="IXE275" s="192"/>
      <c r="IXF275" s="192"/>
      <c r="IXG275" s="192"/>
      <c r="IXH275" s="192"/>
      <c r="IXI275" s="192"/>
      <c r="IXJ275" s="192"/>
      <c r="IXK275" s="192"/>
      <c r="IXL275" s="192"/>
      <c r="IXM275" s="192"/>
      <c r="IXN275" s="192"/>
      <c r="IXO275" s="192"/>
      <c r="IXP275" s="192"/>
      <c r="IXQ275" s="192"/>
      <c r="IXR275" s="192"/>
      <c r="IXS275" s="192"/>
      <c r="IXT275" s="192"/>
      <c r="IXU275" s="192"/>
      <c r="IXV275" s="192"/>
      <c r="IXW275" s="192"/>
      <c r="IXX275" s="192"/>
      <c r="IXY275" s="192"/>
      <c r="IXZ275" s="192"/>
      <c r="IYA275" s="192"/>
      <c r="IYB275" s="192"/>
      <c r="IYC275" s="192"/>
      <c r="IYD275" s="192"/>
      <c r="IYE275" s="192"/>
      <c r="IYF275" s="192"/>
      <c r="IYG275" s="192"/>
      <c r="IYH275" s="192"/>
      <c r="IYI275" s="192"/>
      <c r="IYJ275" s="192"/>
      <c r="IYK275" s="192"/>
      <c r="IYL275" s="192"/>
      <c r="IYM275" s="192"/>
      <c r="IYN275" s="192"/>
      <c r="IYO275" s="192"/>
      <c r="IYP275" s="192"/>
      <c r="IYQ275" s="192"/>
      <c r="IYR275" s="192"/>
      <c r="IYS275" s="192"/>
      <c r="IYT275" s="192"/>
      <c r="IYU275" s="192"/>
      <c r="IYV275" s="192"/>
      <c r="IYW275" s="192"/>
      <c r="IYX275" s="192"/>
      <c r="IYY275" s="192"/>
      <c r="IYZ275" s="192"/>
      <c r="IZA275" s="192"/>
      <c r="IZB275" s="192"/>
      <c r="IZC275" s="192"/>
      <c r="IZD275" s="192"/>
      <c r="IZE275" s="192"/>
      <c r="IZF275" s="192"/>
      <c r="IZG275" s="192"/>
      <c r="IZH275" s="192"/>
      <c r="IZI275" s="192"/>
      <c r="IZJ275" s="192"/>
      <c r="IZK275" s="192"/>
      <c r="IZL275" s="192"/>
      <c r="IZM275" s="192"/>
      <c r="IZN275" s="192"/>
      <c r="IZO275" s="192"/>
      <c r="IZP275" s="192"/>
      <c r="IZQ275" s="192"/>
      <c r="IZR275" s="192"/>
      <c r="IZS275" s="192"/>
      <c r="IZT275" s="192"/>
      <c r="IZU275" s="192"/>
      <c r="IZV275" s="192"/>
      <c r="IZW275" s="192"/>
      <c r="IZX275" s="192"/>
      <c r="IZY275" s="192"/>
      <c r="IZZ275" s="192"/>
      <c r="JAA275" s="192"/>
      <c r="JAB275" s="192"/>
      <c r="JAC275" s="192"/>
      <c r="JAD275" s="192"/>
      <c r="JAE275" s="192"/>
      <c r="JAF275" s="192"/>
      <c r="JAG275" s="192"/>
      <c r="JAH275" s="192"/>
      <c r="JAI275" s="192"/>
      <c r="JAJ275" s="192"/>
      <c r="JAK275" s="192"/>
      <c r="JAL275" s="192"/>
      <c r="JAM275" s="192"/>
      <c r="JAN275" s="192"/>
      <c r="JAO275" s="192"/>
      <c r="JAP275" s="192"/>
      <c r="JAQ275" s="192"/>
      <c r="JAR275" s="192"/>
      <c r="JAS275" s="192"/>
      <c r="JAT275" s="192"/>
      <c r="JAU275" s="192"/>
      <c r="JAV275" s="192"/>
      <c r="JAW275" s="192"/>
      <c r="JAX275" s="192"/>
      <c r="JAY275" s="192"/>
      <c r="JAZ275" s="192"/>
      <c r="JBA275" s="192"/>
      <c r="JBB275" s="192"/>
      <c r="JBC275" s="192"/>
      <c r="JBD275" s="192"/>
      <c r="JBE275" s="192"/>
      <c r="JBF275" s="192"/>
      <c r="JBG275" s="192"/>
      <c r="JBH275" s="192"/>
      <c r="JBI275" s="192"/>
      <c r="JBJ275" s="192"/>
      <c r="JBK275" s="192"/>
      <c r="JBL275" s="192"/>
      <c r="JBM275" s="192"/>
      <c r="JBN275" s="192"/>
      <c r="JBO275" s="192"/>
      <c r="JBP275" s="192"/>
      <c r="JBQ275" s="192"/>
      <c r="JBR275" s="192"/>
      <c r="JBS275" s="192"/>
      <c r="JBT275" s="192"/>
      <c r="JBU275" s="192"/>
      <c r="JBV275" s="192"/>
      <c r="JBW275" s="192"/>
      <c r="JBX275" s="192"/>
      <c r="JBY275" s="192"/>
      <c r="JBZ275" s="192"/>
      <c r="JCA275" s="192"/>
      <c r="JCB275" s="192"/>
      <c r="JCC275" s="192"/>
      <c r="JCD275" s="192"/>
      <c r="JCE275" s="192"/>
      <c r="JCF275" s="192"/>
      <c r="JCG275" s="192"/>
      <c r="JCH275" s="192"/>
      <c r="JCI275" s="192"/>
      <c r="JCJ275" s="192"/>
      <c r="JCK275" s="192"/>
      <c r="JCL275" s="192"/>
      <c r="JCM275" s="192"/>
      <c r="JCN275" s="192"/>
      <c r="JCO275" s="192"/>
      <c r="JCP275" s="192"/>
      <c r="JCQ275" s="192"/>
      <c r="JCR275" s="192"/>
      <c r="JCS275" s="192"/>
      <c r="JCT275" s="192"/>
      <c r="JCU275" s="192"/>
      <c r="JCV275" s="192"/>
      <c r="JCW275" s="192"/>
      <c r="JCX275" s="192"/>
      <c r="JCY275" s="192"/>
      <c r="JCZ275" s="192"/>
      <c r="JDA275" s="192"/>
      <c r="JDB275" s="192"/>
      <c r="JDC275" s="192"/>
      <c r="JDD275" s="192"/>
      <c r="JDE275" s="192"/>
      <c r="JDF275" s="192"/>
      <c r="JDG275" s="192"/>
      <c r="JDH275" s="192"/>
      <c r="JDI275" s="192"/>
      <c r="JDJ275" s="192"/>
      <c r="JDK275" s="192"/>
      <c r="JDL275" s="192"/>
      <c r="JDM275" s="192"/>
      <c r="JDN275" s="192"/>
      <c r="JDO275" s="192"/>
      <c r="JDP275" s="192"/>
      <c r="JDQ275" s="192"/>
      <c r="JDR275" s="192"/>
      <c r="JDS275" s="192"/>
      <c r="JDT275" s="192"/>
      <c r="JDU275" s="192"/>
      <c r="JDV275" s="192"/>
      <c r="JDW275" s="192"/>
      <c r="JDX275" s="192"/>
      <c r="JDY275" s="192"/>
      <c r="JDZ275" s="192"/>
      <c r="JEA275" s="192"/>
      <c r="JEB275" s="192"/>
      <c r="JEC275" s="192"/>
      <c r="JED275" s="192"/>
      <c r="JEE275" s="192"/>
      <c r="JEF275" s="192"/>
      <c r="JEG275" s="192"/>
      <c r="JEH275" s="192"/>
      <c r="JEI275" s="192"/>
      <c r="JEJ275" s="192"/>
      <c r="JEK275" s="192"/>
      <c r="JEL275" s="192"/>
      <c r="JEM275" s="192"/>
      <c r="JEN275" s="192"/>
      <c r="JEO275" s="192"/>
      <c r="JEP275" s="192"/>
      <c r="JEQ275" s="192"/>
      <c r="JER275" s="192"/>
      <c r="JES275" s="192"/>
      <c r="JET275" s="192"/>
      <c r="JEU275" s="192"/>
      <c r="JEV275" s="192"/>
      <c r="JEW275" s="192"/>
      <c r="JEX275" s="192"/>
      <c r="JEY275" s="192"/>
      <c r="JEZ275" s="192"/>
      <c r="JFA275" s="192"/>
      <c r="JFB275" s="192"/>
      <c r="JFC275" s="192"/>
      <c r="JFD275" s="192"/>
      <c r="JFE275" s="192"/>
      <c r="JFF275" s="192"/>
      <c r="JFG275" s="192"/>
      <c r="JFH275" s="192"/>
      <c r="JFI275" s="192"/>
      <c r="JFJ275" s="192"/>
      <c r="JFK275" s="192"/>
      <c r="JFL275" s="192"/>
      <c r="JFM275" s="192"/>
      <c r="JFN275" s="192"/>
      <c r="JFO275" s="192"/>
      <c r="JFP275" s="192"/>
      <c r="JFQ275" s="192"/>
      <c r="JFR275" s="192"/>
      <c r="JFS275" s="192"/>
      <c r="JFT275" s="192"/>
      <c r="JFU275" s="192"/>
      <c r="JFV275" s="192"/>
      <c r="JFW275" s="192"/>
      <c r="JFX275" s="192"/>
      <c r="JFY275" s="192"/>
      <c r="JFZ275" s="192"/>
      <c r="JGA275" s="192"/>
      <c r="JGB275" s="192"/>
      <c r="JGC275" s="192"/>
      <c r="JGD275" s="192"/>
      <c r="JGE275" s="192"/>
      <c r="JGF275" s="192"/>
      <c r="JGG275" s="192"/>
      <c r="JGH275" s="192"/>
      <c r="JGI275" s="192"/>
      <c r="JGJ275" s="192"/>
      <c r="JGK275" s="192"/>
      <c r="JGL275" s="192"/>
      <c r="JGM275" s="192"/>
      <c r="JGN275" s="192"/>
      <c r="JGO275" s="192"/>
      <c r="JGP275" s="192"/>
      <c r="JGQ275" s="192"/>
      <c r="JGR275" s="192"/>
      <c r="JGS275" s="192"/>
      <c r="JGT275" s="192"/>
      <c r="JGU275" s="192"/>
      <c r="JGV275" s="192"/>
      <c r="JGW275" s="192"/>
      <c r="JGX275" s="192"/>
      <c r="JGY275" s="192"/>
      <c r="JGZ275" s="192"/>
      <c r="JHA275" s="192"/>
      <c r="JHB275" s="192"/>
      <c r="JHC275" s="192"/>
      <c r="JHD275" s="192"/>
      <c r="JHE275" s="192"/>
      <c r="JHF275" s="192"/>
      <c r="JHG275" s="192"/>
      <c r="JHH275" s="192"/>
      <c r="JHI275" s="192"/>
      <c r="JHJ275" s="192"/>
      <c r="JHK275" s="192"/>
      <c r="JHL275" s="192"/>
      <c r="JHM275" s="192"/>
      <c r="JHN275" s="192"/>
      <c r="JHO275" s="192"/>
      <c r="JHP275" s="192"/>
      <c r="JHQ275" s="192"/>
      <c r="JHR275" s="192"/>
      <c r="JHS275" s="192"/>
      <c r="JHT275" s="192"/>
      <c r="JHU275" s="192"/>
      <c r="JHV275" s="192"/>
      <c r="JHW275" s="192"/>
      <c r="JHX275" s="192"/>
      <c r="JHY275" s="192"/>
      <c r="JHZ275" s="192"/>
      <c r="JIA275" s="192"/>
      <c r="JIB275" s="192"/>
      <c r="JIC275" s="192"/>
      <c r="JID275" s="192"/>
      <c r="JIE275" s="192"/>
      <c r="JIF275" s="192"/>
      <c r="JIG275" s="192"/>
      <c r="JIH275" s="192"/>
      <c r="JII275" s="192"/>
      <c r="JIJ275" s="192"/>
      <c r="JIK275" s="192"/>
      <c r="JIL275" s="192"/>
      <c r="JIM275" s="192"/>
      <c r="JIN275" s="192"/>
      <c r="JIO275" s="192"/>
      <c r="JIP275" s="192"/>
      <c r="JIQ275" s="192"/>
      <c r="JIR275" s="192"/>
      <c r="JIS275" s="192"/>
      <c r="JIT275" s="192"/>
      <c r="JIU275" s="192"/>
      <c r="JIV275" s="192"/>
      <c r="JIW275" s="192"/>
      <c r="JIX275" s="192"/>
      <c r="JIY275" s="192"/>
      <c r="JIZ275" s="192"/>
      <c r="JJA275" s="192"/>
      <c r="JJB275" s="192"/>
      <c r="JJC275" s="192"/>
      <c r="JJD275" s="192"/>
      <c r="JJE275" s="192"/>
      <c r="JJF275" s="192"/>
      <c r="JJG275" s="192"/>
      <c r="JJH275" s="192"/>
      <c r="JJI275" s="192"/>
      <c r="JJJ275" s="192"/>
      <c r="JJK275" s="192"/>
      <c r="JJL275" s="192"/>
      <c r="JJM275" s="192"/>
      <c r="JJN275" s="192"/>
      <c r="JJO275" s="192"/>
      <c r="JJP275" s="192"/>
      <c r="JJQ275" s="192"/>
      <c r="JJR275" s="192"/>
      <c r="JJS275" s="192"/>
      <c r="JJT275" s="192"/>
      <c r="JJU275" s="192"/>
      <c r="JJV275" s="192"/>
      <c r="JJW275" s="192"/>
      <c r="JJX275" s="192"/>
      <c r="JJY275" s="192"/>
      <c r="JJZ275" s="192"/>
      <c r="JKA275" s="192"/>
      <c r="JKB275" s="192"/>
      <c r="JKC275" s="192"/>
      <c r="JKD275" s="192"/>
      <c r="JKE275" s="192"/>
      <c r="JKF275" s="192"/>
      <c r="JKG275" s="192"/>
      <c r="JKH275" s="192"/>
      <c r="JKI275" s="192"/>
      <c r="JKJ275" s="192"/>
      <c r="JKK275" s="192"/>
      <c r="JKL275" s="192"/>
      <c r="JKM275" s="192"/>
      <c r="JKN275" s="192"/>
      <c r="JKO275" s="192"/>
      <c r="JKP275" s="192"/>
      <c r="JKQ275" s="192"/>
      <c r="JKR275" s="192"/>
      <c r="JKS275" s="192"/>
      <c r="JKT275" s="192"/>
      <c r="JKU275" s="192"/>
      <c r="JKV275" s="192"/>
      <c r="JKW275" s="192"/>
      <c r="JKX275" s="192"/>
      <c r="JKY275" s="192"/>
      <c r="JKZ275" s="192"/>
      <c r="JLA275" s="192"/>
      <c r="JLB275" s="192"/>
      <c r="JLC275" s="192"/>
      <c r="JLD275" s="192"/>
      <c r="JLE275" s="192"/>
      <c r="JLF275" s="192"/>
      <c r="JLG275" s="192"/>
      <c r="JLH275" s="192"/>
      <c r="JLI275" s="192"/>
      <c r="JLJ275" s="192"/>
      <c r="JLK275" s="192"/>
      <c r="JLL275" s="192"/>
      <c r="JLM275" s="192"/>
      <c r="JLN275" s="192"/>
      <c r="JLO275" s="192"/>
      <c r="JLP275" s="192"/>
      <c r="JLQ275" s="192"/>
      <c r="JLR275" s="192"/>
      <c r="JLS275" s="192"/>
      <c r="JLT275" s="192"/>
      <c r="JLU275" s="192"/>
      <c r="JLV275" s="192"/>
      <c r="JLW275" s="192"/>
      <c r="JLX275" s="192"/>
      <c r="JLY275" s="192"/>
      <c r="JLZ275" s="192"/>
      <c r="JMA275" s="192"/>
      <c r="JMB275" s="192"/>
      <c r="JMC275" s="192"/>
      <c r="JMD275" s="192"/>
      <c r="JME275" s="192"/>
      <c r="JMF275" s="192"/>
      <c r="JMG275" s="192"/>
      <c r="JMH275" s="192"/>
      <c r="JMI275" s="192"/>
      <c r="JMJ275" s="192"/>
      <c r="JMK275" s="192"/>
      <c r="JML275" s="192"/>
      <c r="JMM275" s="192"/>
      <c r="JMN275" s="192"/>
      <c r="JMO275" s="192"/>
      <c r="JMP275" s="192"/>
      <c r="JMQ275" s="192"/>
      <c r="JMR275" s="192"/>
      <c r="JMS275" s="192"/>
      <c r="JMT275" s="192"/>
      <c r="JMU275" s="192"/>
      <c r="JMV275" s="192"/>
      <c r="JMW275" s="192"/>
      <c r="JMX275" s="192"/>
      <c r="JMY275" s="192"/>
      <c r="JMZ275" s="192"/>
      <c r="JNA275" s="192"/>
      <c r="JNB275" s="192"/>
      <c r="JNC275" s="192"/>
      <c r="JND275" s="192"/>
      <c r="JNE275" s="192"/>
      <c r="JNF275" s="192"/>
      <c r="JNG275" s="192"/>
      <c r="JNH275" s="192"/>
      <c r="JNI275" s="192"/>
      <c r="JNJ275" s="192"/>
      <c r="JNK275" s="192"/>
      <c r="JNL275" s="192"/>
      <c r="JNM275" s="192"/>
      <c r="JNN275" s="192"/>
      <c r="JNO275" s="192"/>
      <c r="JNP275" s="192"/>
      <c r="JNQ275" s="192"/>
      <c r="JNR275" s="192"/>
      <c r="JNS275" s="192"/>
      <c r="JNT275" s="192"/>
      <c r="JNU275" s="192"/>
      <c r="JNV275" s="192"/>
      <c r="JNW275" s="192"/>
      <c r="JNX275" s="192"/>
      <c r="JNY275" s="192"/>
      <c r="JNZ275" s="192"/>
      <c r="JOA275" s="192"/>
      <c r="JOB275" s="192"/>
      <c r="JOC275" s="192"/>
      <c r="JOD275" s="192"/>
      <c r="JOE275" s="192"/>
      <c r="JOF275" s="192"/>
      <c r="JOG275" s="192"/>
      <c r="JOH275" s="192"/>
      <c r="JOI275" s="192"/>
      <c r="JOJ275" s="192"/>
      <c r="JOK275" s="192"/>
      <c r="JOL275" s="192"/>
      <c r="JOM275" s="192"/>
      <c r="JON275" s="192"/>
      <c r="JOO275" s="192"/>
      <c r="JOP275" s="192"/>
      <c r="JOQ275" s="192"/>
      <c r="JOR275" s="192"/>
      <c r="JOS275" s="192"/>
      <c r="JOT275" s="192"/>
      <c r="JOU275" s="192"/>
      <c r="JOV275" s="192"/>
      <c r="JOW275" s="192"/>
      <c r="JOX275" s="192"/>
      <c r="JOY275" s="192"/>
      <c r="JOZ275" s="192"/>
      <c r="JPA275" s="192"/>
      <c r="JPB275" s="192"/>
      <c r="JPC275" s="192"/>
      <c r="JPD275" s="192"/>
      <c r="JPE275" s="192"/>
      <c r="JPF275" s="192"/>
      <c r="JPG275" s="192"/>
      <c r="JPH275" s="192"/>
      <c r="JPI275" s="192"/>
      <c r="JPJ275" s="192"/>
      <c r="JPK275" s="192"/>
      <c r="JPL275" s="192"/>
      <c r="JPM275" s="192"/>
      <c r="JPN275" s="192"/>
      <c r="JPO275" s="192"/>
      <c r="JPP275" s="192"/>
      <c r="JPQ275" s="192"/>
      <c r="JPR275" s="192"/>
      <c r="JPS275" s="192"/>
      <c r="JPT275" s="192"/>
      <c r="JPU275" s="192"/>
      <c r="JPV275" s="192"/>
      <c r="JPW275" s="192"/>
      <c r="JPX275" s="192"/>
      <c r="JPY275" s="192"/>
      <c r="JPZ275" s="192"/>
      <c r="JQA275" s="192"/>
      <c r="JQB275" s="192"/>
      <c r="JQC275" s="192"/>
      <c r="JQD275" s="192"/>
      <c r="JQE275" s="192"/>
      <c r="JQF275" s="192"/>
      <c r="JQG275" s="192"/>
      <c r="JQH275" s="192"/>
      <c r="JQI275" s="192"/>
      <c r="JQJ275" s="192"/>
      <c r="JQK275" s="192"/>
      <c r="JQL275" s="192"/>
      <c r="JQM275" s="192"/>
      <c r="JQN275" s="192"/>
      <c r="JQO275" s="192"/>
      <c r="JQP275" s="192"/>
      <c r="JQQ275" s="192"/>
      <c r="JQR275" s="192"/>
      <c r="JQS275" s="192"/>
      <c r="JQT275" s="192"/>
      <c r="JQU275" s="192"/>
      <c r="JQV275" s="192"/>
      <c r="JQW275" s="192"/>
      <c r="JQX275" s="192"/>
      <c r="JQY275" s="192"/>
      <c r="JQZ275" s="192"/>
      <c r="JRA275" s="192"/>
      <c r="JRB275" s="192"/>
      <c r="JRC275" s="192"/>
      <c r="JRD275" s="192"/>
      <c r="JRE275" s="192"/>
      <c r="JRF275" s="192"/>
      <c r="JRG275" s="192"/>
      <c r="JRH275" s="192"/>
      <c r="JRI275" s="192"/>
      <c r="JRJ275" s="192"/>
      <c r="JRK275" s="192"/>
      <c r="JRL275" s="192"/>
      <c r="JRM275" s="192"/>
      <c r="JRN275" s="192"/>
      <c r="JRO275" s="192"/>
      <c r="JRP275" s="192"/>
      <c r="JRQ275" s="192"/>
      <c r="JRR275" s="192"/>
      <c r="JRS275" s="192"/>
      <c r="JRT275" s="192"/>
      <c r="JRU275" s="192"/>
      <c r="JRV275" s="192"/>
      <c r="JRW275" s="192"/>
      <c r="JRX275" s="192"/>
      <c r="JRY275" s="192"/>
      <c r="JRZ275" s="192"/>
      <c r="JSA275" s="192"/>
      <c r="JSB275" s="192"/>
      <c r="JSC275" s="192"/>
      <c r="JSD275" s="192"/>
      <c r="JSE275" s="192"/>
      <c r="JSF275" s="192"/>
      <c r="JSG275" s="192"/>
      <c r="JSH275" s="192"/>
      <c r="JSI275" s="192"/>
      <c r="JSJ275" s="192"/>
      <c r="JSK275" s="192"/>
      <c r="JSL275" s="192"/>
      <c r="JSM275" s="192"/>
      <c r="JSN275" s="192"/>
      <c r="JSO275" s="192"/>
      <c r="JSP275" s="192"/>
      <c r="JSQ275" s="192"/>
      <c r="JSR275" s="192"/>
      <c r="JSS275" s="192"/>
      <c r="JST275" s="192"/>
      <c r="JSU275" s="192"/>
      <c r="JSV275" s="192"/>
      <c r="JSW275" s="192"/>
      <c r="JSX275" s="192"/>
      <c r="JSY275" s="192"/>
      <c r="JSZ275" s="192"/>
      <c r="JTA275" s="192"/>
      <c r="JTB275" s="192"/>
      <c r="JTC275" s="192"/>
      <c r="JTD275" s="192"/>
      <c r="JTE275" s="192"/>
      <c r="JTF275" s="192"/>
      <c r="JTG275" s="192"/>
      <c r="JTH275" s="192"/>
      <c r="JTI275" s="192"/>
      <c r="JTJ275" s="192"/>
      <c r="JTK275" s="192"/>
      <c r="JTL275" s="192"/>
      <c r="JTM275" s="192"/>
      <c r="JTN275" s="192"/>
      <c r="JTO275" s="192"/>
      <c r="JTP275" s="192"/>
      <c r="JTQ275" s="192"/>
      <c r="JTR275" s="192"/>
      <c r="JTS275" s="192"/>
      <c r="JTT275" s="192"/>
      <c r="JTU275" s="192"/>
      <c r="JTV275" s="192"/>
      <c r="JTW275" s="192"/>
      <c r="JTX275" s="192"/>
      <c r="JTY275" s="192"/>
      <c r="JTZ275" s="192"/>
      <c r="JUA275" s="192"/>
      <c r="JUB275" s="192"/>
      <c r="JUC275" s="192"/>
      <c r="JUD275" s="192"/>
      <c r="JUE275" s="192"/>
      <c r="JUF275" s="192"/>
      <c r="JUG275" s="192"/>
      <c r="JUH275" s="192"/>
      <c r="JUI275" s="192"/>
      <c r="JUJ275" s="192"/>
      <c r="JUK275" s="192"/>
      <c r="JUL275" s="192"/>
      <c r="JUM275" s="192"/>
      <c r="JUN275" s="192"/>
      <c r="JUO275" s="192"/>
      <c r="JUP275" s="192"/>
      <c r="JUQ275" s="192"/>
      <c r="JUR275" s="192"/>
      <c r="JUS275" s="192"/>
      <c r="JUT275" s="192"/>
      <c r="JUU275" s="192"/>
      <c r="JUV275" s="192"/>
      <c r="JUW275" s="192"/>
      <c r="JUX275" s="192"/>
      <c r="JUY275" s="192"/>
      <c r="JUZ275" s="192"/>
      <c r="JVA275" s="192"/>
      <c r="JVB275" s="192"/>
      <c r="JVC275" s="192"/>
      <c r="JVD275" s="192"/>
      <c r="JVE275" s="192"/>
      <c r="JVF275" s="192"/>
      <c r="JVG275" s="192"/>
      <c r="JVH275" s="192"/>
      <c r="JVI275" s="192"/>
      <c r="JVJ275" s="192"/>
      <c r="JVK275" s="192"/>
      <c r="JVL275" s="192"/>
      <c r="JVM275" s="192"/>
      <c r="JVN275" s="192"/>
      <c r="JVO275" s="192"/>
      <c r="JVP275" s="192"/>
      <c r="JVQ275" s="192"/>
      <c r="JVR275" s="192"/>
      <c r="JVS275" s="192"/>
      <c r="JVT275" s="192"/>
      <c r="JVU275" s="192"/>
      <c r="JVV275" s="192"/>
      <c r="JVW275" s="192"/>
      <c r="JVX275" s="192"/>
      <c r="JVY275" s="192"/>
      <c r="JVZ275" s="192"/>
      <c r="JWA275" s="192"/>
      <c r="JWB275" s="192"/>
      <c r="JWC275" s="192"/>
      <c r="JWD275" s="192"/>
      <c r="JWE275" s="192"/>
      <c r="JWF275" s="192"/>
      <c r="JWG275" s="192"/>
      <c r="JWH275" s="192"/>
      <c r="JWI275" s="192"/>
      <c r="JWJ275" s="192"/>
      <c r="JWK275" s="192"/>
      <c r="JWL275" s="192"/>
      <c r="JWM275" s="192"/>
      <c r="JWN275" s="192"/>
      <c r="JWO275" s="192"/>
      <c r="JWP275" s="192"/>
      <c r="JWQ275" s="192"/>
      <c r="JWR275" s="192"/>
      <c r="JWS275" s="192"/>
      <c r="JWT275" s="192"/>
      <c r="JWU275" s="192"/>
      <c r="JWV275" s="192"/>
      <c r="JWW275" s="192"/>
      <c r="JWX275" s="192"/>
      <c r="JWY275" s="192"/>
      <c r="JWZ275" s="192"/>
      <c r="JXA275" s="192"/>
      <c r="JXB275" s="192"/>
      <c r="JXC275" s="192"/>
      <c r="JXD275" s="192"/>
      <c r="JXE275" s="192"/>
      <c r="JXF275" s="192"/>
      <c r="JXG275" s="192"/>
      <c r="JXH275" s="192"/>
      <c r="JXI275" s="192"/>
      <c r="JXJ275" s="192"/>
      <c r="JXK275" s="192"/>
      <c r="JXL275" s="192"/>
      <c r="JXM275" s="192"/>
      <c r="JXN275" s="192"/>
      <c r="JXO275" s="192"/>
      <c r="JXP275" s="192"/>
      <c r="JXQ275" s="192"/>
      <c r="JXR275" s="192"/>
      <c r="JXS275" s="192"/>
      <c r="JXT275" s="192"/>
      <c r="JXU275" s="192"/>
      <c r="JXV275" s="192"/>
      <c r="JXW275" s="192"/>
      <c r="JXX275" s="192"/>
      <c r="JXY275" s="192"/>
      <c r="JXZ275" s="192"/>
      <c r="JYA275" s="192"/>
      <c r="JYB275" s="192"/>
      <c r="JYC275" s="192"/>
      <c r="JYD275" s="192"/>
      <c r="JYE275" s="192"/>
      <c r="JYF275" s="192"/>
      <c r="JYG275" s="192"/>
      <c r="JYH275" s="192"/>
      <c r="JYI275" s="192"/>
      <c r="JYJ275" s="192"/>
      <c r="JYK275" s="192"/>
      <c r="JYL275" s="192"/>
      <c r="JYM275" s="192"/>
      <c r="JYN275" s="192"/>
      <c r="JYO275" s="192"/>
      <c r="JYP275" s="192"/>
      <c r="JYQ275" s="192"/>
      <c r="JYR275" s="192"/>
      <c r="JYS275" s="192"/>
      <c r="JYT275" s="192"/>
      <c r="JYU275" s="192"/>
      <c r="JYV275" s="192"/>
      <c r="JYW275" s="192"/>
      <c r="JYX275" s="192"/>
      <c r="JYY275" s="192"/>
      <c r="JYZ275" s="192"/>
      <c r="JZA275" s="192"/>
      <c r="JZB275" s="192"/>
      <c r="JZC275" s="192"/>
      <c r="JZD275" s="192"/>
      <c r="JZE275" s="192"/>
      <c r="JZF275" s="192"/>
      <c r="JZG275" s="192"/>
      <c r="JZH275" s="192"/>
      <c r="JZI275" s="192"/>
      <c r="JZJ275" s="192"/>
      <c r="JZK275" s="192"/>
      <c r="JZL275" s="192"/>
      <c r="JZM275" s="192"/>
      <c r="JZN275" s="192"/>
      <c r="JZO275" s="192"/>
      <c r="JZP275" s="192"/>
      <c r="JZQ275" s="192"/>
      <c r="JZR275" s="192"/>
      <c r="JZS275" s="192"/>
      <c r="JZT275" s="192"/>
      <c r="JZU275" s="192"/>
      <c r="JZV275" s="192"/>
      <c r="JZW275" s="192"/>
      <c r="JZX275" s="192"/>
      <c r="JZY275" s="192"/>
      <c r="JZZ275" s="192"/>
      <c r="KAA275" s="192"/>
      <c r="KAB275" s="192"/>
      <c r="KAC275" s="192"/>
      <c r="KAD275" s="192"/>
      <c r="KAE275" s="192"/>
      <c r="KAF275" s="192"/>
      <c r="KAG275" s="192"/>
      <c r="KAH275" s="192"/>
      <c r="KAI275" s="192"/>
      <c r="KAJ275" s="192"/>
      <c r="KAK275" s="192"/>
      <c r="KAL275" s="192"/>
      <c r="KAM275" s="192"/>
      <c r="KAN275" s="192"/>
      <c r="KAO275" s="192"/>
      <c r="KAP275" s="192"/>
      <c r="KAQ275" s="192"/>
      <c r="KAR275" s="192"/>
      <c r="KAS275" s="192"/>
      <c r="KAT275" s="192"/>
      <c r="KAU275" s="192"/>
      <c r="KAV275" s="192"/>
      <c r="KAW275" s="192"/>
      <c r="KAX275" s="192"/>
      <c r="KAY275" s="192"/>
      <c r="KAZ275" s="192"/>
      <c r="KBA275" s="192"/>
      <c r="KBB275" s="192"/>
      <c r="KBC275" s="192"/>
      <c r="KBD275" s="192"/>
      <c r="KBE275" s="192"/>
      <c r="KBF275" s="192"/>
      <c r="KBG275" s="192"/>
      <c r="KBH275" s="192"/>
      <c r="KBI275" s="192"/>
      <c r="KBJ275" s="192"/>
      <c r="KBK275" s="192"/>
      <c r="KBL275" s="192"/>
      <c r="KBM275" s="192"/>
      <c r="KBN275" s="192"/>
      <c r="KBO275" s="192"/>
      <c r="KBP275" s="192"/>
      <c r="KBQ275" s="192"/>
      <c r="KBR275" s="192"/>
      <c r="KBS275" s="192"/>
      <c r="KBT275" s="192"/>
      <c r="KBU275" s="192"/>
      <c r="KBV275" s="192"/>
      <c r="KBW275" s="192"/>
      <c r="KBX275" s="192"/>
      <c r="KBY275" s="192"/>
      <c r="KBZ275" s="192"/>
      <c r="KCA275" s="192"/>
      <c r="KCB275" s="192"/>
      <c r="KCC275" s="192"/>
      <c r="KCD275" s="192"/>
      <c r="KCE275" s="192"/>
      <c r="KCF275" s="192"/>
      <c r="KCG275" s="192"/>
      <c r="KCH275" s="192"/>
      <c r="KCI275" s="192"/>
      <c r="KCJ275" s="192"/>
      <c r="KCK275" s="192"/>
      <c r="KCL275" s="192"/>
      <c r="KCM275" s="192"/>
      <c r="KCN275" s="192"/>
      <c r="KCO275" s="192"/>
      <c r="KCP275" s="192"/>
      <c r="KCQ275" s="192"/>
      <c r="KCR275" s="192"/>
      <c r="KCS275" s="192"/>
      <c r="KCT275" s="192"/>
      <c r="KCU275" s="192"/>
      <c r="KCV275" s="192"/>
      <c r="KCW275" s="192"/>
      <c r="KCX275" s="192"/>
      <c r="KCY275" s="192"/>
      <c r="KCZ275" s="192"/>
      <c r="KDA275" s="192"/>
      <c r="KDB275" s="192"/>
      <c r="KDC275" s="192"/>
      <c r="KDD275" s="192"/>
      <c r="KDE275" s="192"/>
      <c r="KDF275" s="192"/>
      <c r="KDG275" s="192"/>
      <c r="KDH275" s="192"/>
      <c r="KDI275" s="192"/>
      <c r="KDJ275" s="192"/>
      <c r="KDK275" s="192"/>
      <c r="KDL275" s="192"/>
      <c r="KDM275" s="192"/>
      <c r="KDN275" s="192"/>
      <c r="KDO275" s="192"/>
      <c r="KDP275" s="192"/>
      <c r="KDQ275" s="192"/>
      <c r="KDR275" s="192"/>
      <c r="KDS275" s="192"/>
      <c r="KDT275" s="192"/>
      <c r="KDU275" s="192"/>
      <c r="KDV275" s="192"/>
      <c r="KDW275" s="192"/>
      <c r="KDX275" s="192"/>
      <c r="KDY275" s="192"/>
      <c r="KDZ275" s="192"/>
      <c r="KEA275" s="192"/>
      <c r="KEB275" s="192"/>
      <c r="KEC275" s="192"/>
      <c r="KED275" s="192"/>
      <c r="KEE275" s="192"/>
      <c r="KEF275" s="192"/>
      <c r="KEG275" s="192"/>
      <c r="KEH275" s="192"/>
      <c r="KEI275" s="192"/>
      <c r="KEJ275" s="192"/>
      <c r="KEK275" s="192"/>
      <c r="KEL275" s="192"/>
      <c r="KEM275" s="192"/>
      <c r="KEN275" s="192"/>
      <c r="KEO275" s="192"/>
      <c r="KEP275" s="192"/>
      <c r="KEQ275" s="192"/>
      <c r="KER275" s="192"/>
      <c r="KES275" s="192"/>
      <c r="KET275" s="192"/>
      <c r="KEU275" s="192"/>
      <c r="KEV275" s="192"/>
      <c r="KEW275" s="192"/>
      <c r="KEX275" s="192"/>
      <c r="KEY275" s="192"/>
      <c r="KEZ275" s="192"/>
      <c r="KFA275" s="192"/>
      <c r="KFB275" s="192"/>
      <c r="KFC275" s="192"/>
      <c r="KFD275" s="192"/>
      <c r="KFE275" s="192"/>
      <c r="KFF275" s="192"/>
      <c r="KFG275" s="192"/>
      <c r="KFH275" s="192"/>
      <c r="KFI275" s="192"/>
      <c r="KFJ275" s="192"/>
      <c r="KFK275" s="192"/>
      <c r="KFL275" s="192"/>
      <c r="KFM275" s="192"/>
      <c r="KFN275" s="192"/>
      <c r="KFO275" s="192"/>
      <c r="KFP275" s="192"/>
      <c r="KFQ275" s="192"/>
      <c r="KFR275" s="192"/>
      <c r="KFS275" s="192"/>
      <c r="KFT275" s="192"/>
      <c r="KFU275" s="192"/>
      <c r="KFV275" s="192"/>
      <c r="KFW275" s="192"/>
      <c r="KFX275" s="192"/>
      <c r="KFY275" s="192"/>
      <c r="KFZ275" s="192"/>
      <c r="KGA275" s="192"/>
      <c r="KGB275" s="192"/>
      <c r="KGC275" s="192"/>
      <c r="KGD275" s="192"/>
      <c r="KGE275" s="192"/>
      <c r="KGF275" s="192"/>
      <c r="KGG275" s="192"/>
      <c r="KGH275" s="192"/>
      <c r="KGI275" s="192"/>
      <c r="KGJ275" s="192"/>
      <c r="KGK275" s="192"/>
      <c r="KGL275" s="192"/>
      <c r="KGM275" s="192"/>
      <c r="KGN275" s="192"/>
      <c r="KGO275" s="192"/>
      <c r="KGP275" s="192"/>
      <c r="KGQ275" s="192"/>
      <c r="KGR275" s="192"/>
      <c r="KGS275" s="192"/>
      <c r="KGT275" s="192"/>
      <c r="KGU275" s="192"/>
      <c r="KGV275" s="192"/>
      <c r="KGW275" s="192"/>
      <c r="KGX275" s="192"/>
      <c r="KGY275" s="192"/>
      <c r="KGZ275" s="192"/>
      <c r="KHA275" s="192"/>
      <c r="KHB275" s="192"/>
      <c r="KHC275" s="192"/>
      <c r="KHD275" s="192"/>
      <c r="KHE275" s="192"/>
      <c r="KHF275" s="192"/>
      <c r="KHG275" s="192"/>
      <c r="KHH275" s="192"/>
      <c r="KHI275" s="192"/>
      <c r="KHJ275" s="192"/>
      <c r="KHK275" s="192"/>
      <c r="KHL275" s="192"/>
      <c r="KHM275" s="192"/>
      <c r="KHN275" s="192"/>
      <c r="KHO275" s="192"/>
      <c r="KHP275" s="192"/>
      <c r="KHQ275" s="192"/>
      <c r="KHR275" s="192"/>
      <c r="KHS275" s="192"/>
      <c r="KHT275" s="192"/>
      <c r="KHU275" s="192"/>
      <c r="KHV275" s="192"/>
      <c r="KHW275" s="192"/>
      <c r="KHX275" s="192"/>
      <c r="KHY275" s="192"/>
      <c r="KHZ275" s="192"/>
      <c r="KIA275" s="192"/>
      <c r="KIB275" s="192"/>
      <c r="KIC275" s="192"/>
      <c r="KID275" s="192"/>
      <c r="KIE275" s="192"/>
      <c r="KIF275" s="192"/>
      <c r="KIG275" s="192"/>
      <c r="KIH275" s="192"/>
      <c r="KII275" s="192"/>
      <c r="KIJ275" s="192"/>
      <c r="KIK275" s="192"/>
      <c r="KIL275" s="192"/>
      <c r="KIM275" s="192"/>
      <c r="KIN275" s="192"/>
      <c r="KIO275" s="192"/>
      <c r="KIP275" s="192"/>
      <c r="KIQ275" s="192"/>
      <c r="KIR275" s="192"/>
      <c r="KIS275" s="192"/>
      <c r="KIT275" s="192"/>
      <c r="KIU275" s="192"/>
      <c r="KIV275" s="192"/>
      <c r="KIW275" s="192"/>
      <c r="KIX275" s="192"/>
      <c r="KIY275" s="192"/>
      <c r="KIZ275" s="192"/>
      <c r="KJA275" s="192"/>
      <c r="KJB275" s="192"/>
      <c r="KJC275" s="192"/>
      <c r="KJD275" s="192"/>
      <c r="KJE275" s="192"/>
      <c r="KJF275" s="192"/>
      <c r="KJG275" s="192"/>
      <c r="KJH275" s="192"/>
      <c r="KJI275" s="192"/>
      <c r="KJJ275" s="192"/>
      <c r="KJK275" s="192"/>
      <c r="KJL275" s="192"/>
      <c r="KJM275" s="192"/>
      <c r="KJN275" s="192"/>
      <c r="KJO275" s="192"/>
      <c r="KJP275" s="192"/>
      <c r="KJQ275" s="192"/>
      <c r="KJR275" s="192"/>
      <c r="KJS275" s="192"/>
      <c r="KJT275" s="192"/>
      <c r="KJU275" s="192"/>
      <c r="KJV275" s="192"/>
      <c r="KJW275" s="192"/>
      <c r="KJX275" s="192"/>
      <c r="KJY275" s="192"/>
      <c r="KJZ275" s="192"/>
      <c r="KKA275" s="192"/>
      <c r="KKB275" s="192"/>
      <c r="KKC275" s="192"/>
      <c r="KKD275" s="192"/>
      <c r="KKE275" s="192"/>
      <c r="KKF275" s="192"/>
      <c r="KKG275" s="192"/>
      <c r="KKH275" s="192"/>
      <c r="KKI275" s="192"/>
      <c r="KKJ275" s="192"/>
      <c r="KKK275" s="192"/>
      <c r="KKL275" s="192"/>
      <c r="KKM275" s="192"/>
      <c r="KKN275" s="192"/>
      <c r="KKO275" s="192"/>
      <c r="KKP275" s="192"/>
      <c r="KKQ275" s="192"/>
      <c r="KKR275" s="192"/>
      <c r="KKS275" s="192"/>
      <c r="KKT275" s="192"/>
      <c r="KKU275" s="192"/>
      <c r="KKV275" s="192"/>
      <c r="KKW275" s="192"/>
      <c r="KKX275" s="192"/>
      <c r="KKY275" s="192"/>
      <c r="KKZ275" s="192"/>
      <c r="KLA275" s="192"/>
      <c r="KLB275" s="192"/>
      <c r="KLC275" s="192"/>
      <c r="KLD275" s="192"/>
      <c r="KLE275" s="192"/>
      <c r="KLF275" s="192"/>
      <c r="KLG275" s="192"/>
      <c r="KLH275" s="192"/>
      <c r="KLI275" s="192"/>
      <c r="KLJ275" s="192"/>
      <c r="KLK275" s="192"/>
      <c r="KLL275" s="192"/>
      <c r="KLM275" s="192"/>
      <c r="KLN275" s="192"/>
      <c r="KLO275" s="192"/>
      <c r="KLP275" s="192"/>
      <c r="KLQ275" s="192"/>
      <c r="KLR275" s="192"/>
      <c r="KLS275" s="192"/>
      <c r="KLT275" s="192"/>
      <c r="KLU275" s="192"/>
      <c r="KLV275" s="192"/>
      <c r="KLW275" s="192"/>
      <c r="KLX275" s="192"/>
      <c r="KLY275" s="192"/>
      <c r="KLZ275" s="192"/>
      <c r="KMA275" s="192"/>
      <c r="KMB275" s="192"/>
      <c r="KMC275" s="192"/>
      <c r="KMD275" s="192"/>
      <c r="KME275" s="192"/>
      <c r="KMF275" s="192"/>
      <c r="KMG275" s="192"/>
      <c r="KMH275" s="192"/>
      <c r="KMI275" s="192"/>
      <c r="KMJ275" s="192"/>
      <c r="KMK275" s="192"/>
      <c r="KML275" s="192"/>
      <c r="KMM275" s="192"/>
      <c r="KMN275" s="192"/>
      <c r="KMO275" s="192"/>
      <c r="KMP275" s="192"/>
      <c r="KMQ275" s="192"/>
      <c r="KMR275" s="192"/>
      <c r="KMS275" s="192"/>
      <c r="KMT275" s="192"/>
      <c r="KMU275" s="192"/>
      <c r="KMV275" s="192"/>
      <c r="KMW275" s="192"/>
      <c r="KMX275" s="192"/>
      <c r="KMY275" s="192"/>
      <c r="KMZ275" s="192"/>
      <c r="KNA275" s="192"/>
      <c r="KNB275" s="192"/>
      <c r="KNC275" s="192"/>
      <c r="KND275" s="192"/>
      <c r="KNE275" s="192"/>
      <c r="KNF275" s="192"/>
      <c r="KNG275" s="192"/>
      <c r="KNH275" s="192"/>
      <c r="KNI275" s="192"/>
      <c r="KNJ275" s="192"/>
      <c r="KNK275" s="192"/>
      <c r="KNL275" s="192"/>
      <c r="KNM275" s="192"/>
      <c r="KNN275" s="192"/>
      <c r="KNO275" s="192"/>
      <c r="KNP275" s="192"/>
      <c r="KNQ275" s="192"/>
      <c r="KNR275" s="192"/>
      <c r="KNS275" s="192"/>
      <c r="KNT275" s="192"/>
      <c r="KNU275" s="192"/>
      <c r="KNV275" s="192"/>
      <c r="KNW275" s="192"/>
      <c r="KNX275" s="192"/>
      <c r="KNY275" s="192"/>
      <c r="KNZ275" s="192"/>
      <c r="KOA275" s="192"/>
      <c r="KOB275" s="192"/>
      <c r="KOC275" s="192"/>
      <c r="KOD275" s="192"/>
      <c r="KOE275" s="192"/>
      <c r="KOF275" s="192"/>
      <c r="KOG275" s="192"/>
      <c r="KOH275" s="192"/>
      <c r="KOI275" s="192"/>
      <c r="KOJ275" s="192"/>
      <c r="KOK275" s="192"/>
      <c r="KOL275" s="192"/>
      <c r="KOM275" s="192"/>
      <c r="KON275" s="192"/>
      <c r="KOO275" s="192"/>
      <c r="KOP275" s="192"/>
      <c r="KOQ275" s="192"/>
      <c r="KOR275" s="192"/>
      <c r="KOS275" s="192"/>
      <c r="KOT275" s="192"/>
      <c r="KOU275" s="192"/>
      <c r="KOV275" s="192"/>
      <c r="KOW275" s="192"/>
      <c r="KOX275" s="192"/>
      <c r="KOY275" s="192"/>
      <c r="KOZ275" s="192"/>
      <c r="KPA275" s="192"/>
      <c r="KPB275" s="192"/>
      <c r="KPC275" s="192"/>
      <c r="KPD275" s="192"/>
      <c r="KPE275" s="192"/>
      <c r="KPF275" s="192"/>
      <c r="KPG275" s="192"/>
      <c r="KPH275" s="192"/>
      <c r="KPI275" s="192"/>
      <c r="KPJ275" s="192"/>
      <c r="KPK275" s="192"/>
      <c r="KPL275" s="192"/>
      <c r="KPM275" s="192"/>
      <c r="KPN275" s="192"/>
      <c r="KPO275" s="192"/>
      <c r="KPP275" s="192"/>
      <c r="KPQ275" s="192"/>
      <c r="KPR275" s="192"/>
      <c r="KPS275" s="192"/>
      <c r="KPT275" s="192"/>
      <c r="KPU275" s="192"/>
      <c r="KPV275" s="192"/>
      <c r="KPW275" s="192"/>
      <c r="KPX275" s="192"/>
      <c r="KPY275" s="192"/>
      <c r="KPZ275" s="192"/>
      <c r="KQA275" s="192"/>
      <c r="KQB275" s="192"/>
      <c r="KQC275" s="192"/>
      <c r="KQD275" s="192"/>
      <c r="KQE275" s="192"/>
      <c r="KQF275" s="192"/>
      <c r="KQG275" s="192"/>
      <c r="KQH275" s="192"/>
      <c r="KQI275" s="192"/>
      <c r="KQJ275" s="192"/>
      <c r="KQK275" s="192"/>
      <c r="KQL275" s="192"/>
      <c r="KQM275" s="192"/>
      <c r="KQN275" s="192"/>
      <c r="KQO275" s="192"/>
      <c r="KQP275" s="192"/>
      <c r="KQQ275" s="192"/>
      <c r="KQR275" s="192"/>
      <c r="KQS275" s="192"/>
      <c r="KQT275" s="192"/>
      <c r="KQU275" s="192"/>
      <c r="KQV275" s="192"/>
      <c r="KQW275" s="192"/>
      <c r="KQX275" s="192"/>
      <c r="KQY275" s="192"/>
      <c r="KQZ275" s="192"/>
      <c r="KRA275" s="192"/>
      <c r="KRB275" s="192"/>
      <c r="KRC275" s="192"/>
      <c r="KRD275" s="192"/>
      <c r="KRE275" s="192"/>
      <c r="KRF275" s="192"/>
      <c r="KRG275" s="192"/>
      <c r="KRH275" s="192"/>
      <c r="KRI275" s="192"/>
      <c r="KRJ275" s="192"/>
      <c r="KRK275" s="192"/>
      <c r="KRL275" s="192"/>
      <c r="KRM275" s="192"/>
      <c r="KRN275" s="192"/>
      <c r="KRO275" s="192"/>
      <c r="KRP275" s="192"/>
      <c r="KRQ275" s="192"/>
      <c r="KRR275" s="192"/>
      <c r="KRS275" s="192"/>
      <c r="KRT275" s="192"/>
      <c r="KRU275" s="192"/>
      <c r="KRV275" s="192"/>
      <c r="KRW275" s="192"/>
      <c r="KRX275" s="192"/>
      <c r="KRY275" s="192"/>
      <c r="KRZ275" s="192"/>
      <c r="KSA275" s="192"/>
      <c r="KSB275" s="192"/>
      <c r="KSC275" s="192"/>
      <c r="KSD275" s="192"/>
      <c r="KSE275" s="192"/>
      <c r="KSF275" s="192"/>
      <c r="KSG275" s="192"/>
      <c r="KSH275" s="192"/>
      <c r="KSI275" s="192"/>
      <c r="KSJ275" s="192"/>
      <c r="KSK275" s="192"/>
      <c r="KSL275" s="192"/>
      <c r="KSM275" s="192"/>
      <c r="KSN275" s="192"/>
      <c r="KSO275" s="192"/>
      <c r="KSP275" s="192"/>
      <c r="KSQ275" s="192"/>
      <c r="KSR275" s="192"/>
      <c r="KSS275" s="192"/>
      <c r="KST275" s="192"/>
      <c r="KSU275" s="192"/>
      <c r="KSV275" s="192"/>
      <c r="KSW275" s="192"/>
      <c r="KSX275" s="192"/>
      <c r="KSY275" s="192"/>
      <c r="KSZ275" s="192"/>
      <c r="KTA275" s="192"/>
      <c r="KTB275" s="192"/>
      <c r="KTC275" s="192"/>
      <c r="KTD275" s="192"/>
      <c r="KTE275" s="192"/>
      <c r="KTF275" s="192"/>
      <c r="KTG275" s="192"/>
      <c r="KTH275" s="192"/>
      <c r="KTI275" s="192"/>
      <c r="KTJ275" s="192"/>
      <c r="KTK275" s="192"/>
      <c r="KTL275" s="192"/>
      <c r="KTM275" s="192"/>
      <c r="KTN275" s="192"/>
      <c r="KTO275" s="192"/>
      <c r="KTP275" s="192"/>
      <c r="KTQ275" s="192"/>
      <c r="KTR275" s="192"/>
      <c r="KTS275" s="192"/>
      <c r="KTT275" s="192"/>
      <c r="KTU275" s="192"/>
      <c r="KTV275" s="192"/>
      <c r="KTW275" s="192"/>
      <c r="KTX275" s="192"/>
      <c r="KTY275" s="192"/>
      <c r="KTZ275" s="192"/>
      <c r="KUA275" s="192"/>
      <c r="KUB275" s="192"/>
      <c r="KUC275" s="192"/>
      <c r="KUD275" s="192"/>
      <c r="KUE275" s="192"/>
      <c r="KUF275" s="192"/>
      <c r="KUG275" s="192"/>
      <c r="KUH275" s="192"/>
      <c r="KUI275" s="192"/>
      <c r="KUJ275" s="192"/>
      <c r="KUK275" s="192"/>
      <c r="KUL275" s="192"/>
      <c r="KUM275" s="192"/>
      <c r="KUN275" s="192"/>
      <c r="KUO275" s="192"/>
      <c r="KUP275" s="192"/>
      <c r="KUQ275" s="192"/>
      <c r="KUR275" s="192"/>
      <c r="KUS275" s="192"/>
      <c r="KUT275" s="192"/>
      <c r="KUU275" s="192"/>
      <c r="KUV275" s="192"/>
      <c r="KUW275" s="192"/>
      <c r="KUX275" s="192"/>
      <c r="KUY275" s="192"/>
      <c r="KUZ275" s="192"/>
      <c r="KVA275" s="192"/>
      <c r="KVB275" s="192"/>
      <c r="KVC275" s="192"/>
      <c r="KVD275" s="192"/>
      <c r="KVE275" s="192"/>
      <c r="KVF275" s="192"/>
      <c r="KVG275" s="192"/>
      <c r="KVH275" s="192"/>
      <c r="KVI275" s="192"/>
      <c r="KVJ275" s="192"/>
      <c r="KVK275" s="192"/>
      <c r="KVL275" s="192"/>
      <c r="KVM275" s="192"/>
      <c r="KVN275" s="192"/>
      <c r="KVO275" s="192"/>
      <c r="KVP275" s="192"/>
      <c r="KVQ275" s="192"/>
      <c r="KVR275" s="192"/>
      <c r="KVS275" s="192"/>
      <c r="KVT275" s="192"/>
      <c r="KVU275" s="192"/>
      <c r="KVV275" s="192"/>
      <c r="KVW275" s="192"/>
      <c r="KVX275" s="192"/>
      <c r="KVY275" s="192"/>
      <c r="KVZ275" s="192"/>
      <c r="KWA275" s="192"/>
      <c r="KWB275" s="192"/>
      <c r="KWC275" s="192"/>
      <c r="KWD275" s="192"/>
      <c r="KWE275" s="192"/>
      <c r="KWF275" s="192"/>
      <c r="KWG275" s="192"/>
      <c r="KWH275" s="192"/>
      <c r="KWI275" s="192"/>
      <c r="KWJ275" s="192"/>
      <c r="KWK275" s="192"/>
      <c r="KWL275" s="192"/>
      <c r="KWM275" s="192"/>
      <c r="KWN275" s="192"/>
      <c r="KWO275" s="192"/>
      <c r="KWP275" s="192"/>
      <c r="KWQ275" s="192"/>
      <c r="KWR275" s="192"/>
      <c r="KWS275" s="192"/>
      <c r="KWT275" s="192"/>
      <c r="KWU275" s="192"/>
      <c r="KWV275" s="192"/>
      <c r="KWW275" s="192"/>
      <c r="KWX275" s="192"/>
      <c r="KWY275" s="192"/>
      <c r="KWZ275" s="192"/>
      <c r="KXA275" s="192"/>
      <c r="KXB275" s="192"/>
      <c r="KXC275" s="192"/>
      <c r="KXD275" s="192"/>
      <c r="KXE275" s="192"/>
      <c r="KXF275" s="192"/>
      <c r="KXG275" s="192"/>
      <c r="KXH275" s="192"/>
      <c r="KXI275" s="192"/>
      <c r="KXJ275" s="192"/>
      <c r="KXK275" s="192"/>
      <c r="KXL275" s="192"/>
      <c r="KXM275" s="192"/>
      <c r="KXN275" s="192"/>
      <c r="KXO275" s="192"/>
      <c r="KXP275" s="192"/>
      <c r="KXQ275" s="192"/>
      <c r="KXR275" s="192"/>
      <c r="KXS275" s="192"/>
      <c r="KXT275" s="192"/>
      <c r="KXU275" s="192"/>
      <c r="KXV275" s="192"/>
      <c r="KXW275" s="192"/>
      <c r="KXX275" s="192"/>
      <c r="KXY275" s="192"/>
      <c r="KXZ275" s="192"/>
      <c r="KYA275" s="192"/>
      <c r="KYB275" s="192"/>
      <c r="KYC275" s="192"/>
      <c r="KYD275" s="192"/>
      <c r="KYE275" s="192"/>
      <c r="KYF275" s="192"/>
      <c r="KYG275" s="192"/>
      <c r="KYH275" s="192"/>
      <c r="KYI275" s="192"/>
      <c r="KYJ275" s="192"/>
      <c r="KYK275" s="192"/>
      <c r="KYL275" s="192"/>
      <c r="KYM275" s="192"/>
      <c r="KYN275" s="192"/>
      <c r="KYO275" s="192"/>
      <c r="KYP275" s="192"/>
      <c r="KYQ275" s="192"/>
      <c r="KYR275" s="192"/>
      <c r="KYS275" s="192"/>
      <c r="KYT275" s="192"/>
      <c r="KYU275" s="192"/>
      <c r="KYV275" s="192"/>
      <c r="KYW275" s="192"/>
      <c r="KYX275" s="192"/>
      <c r="KYY275" s="192"/>
      <c r="KYZ275" s="192"/>
      <c r="KZA275" s="192"/>
      <c r="KZB275" s="192"/>
      <c r="KZC275" s="192"/>
      <c r="KZD275" s="192"/>
      <c r="KZE275" s="192"/>
      <c r="KZF275" s="192"/>
      <c r="KZG275" s="192"/>
      <c r="KZH275" s="192"/>
      <c r="KZI275" s="192"/>
      <c r="KZJ275" s="192"/>
      <c r="KZK275" s="192"/>
      <c r="KZL275" s="192"/>
      <c r="KZM275" s="192"/>
      <c r="KZN275" s="192"/>
      <c r="KZO275" s="192"/>
      <c r="KZP275" s="192"/>
      <c r="KZQ275" s="192"/>
      <c r="KZR275" s="192"/>
      <c r="KZS275" s="192"/>
      <c r="KZT275" s="192"/>
      <c r="KZU275" s="192"/>
      <c r="KZV275" s="192"/>
      <c r="KZW275" s="192"/>
      <c r="KZX275" s="192"/>
      <c r="KZY275" s="192"/>
      <c r="KZZ275" s="192"/>
      <c r="LAA275" s="192"/>
      <c r="LAB275" s="192"/>
      <c r="LAC275" s="192"/>
      <c r="LAD275" s="192"/>
      <c r="LAE275" s="192"/>
      <c r="LAF275" s="192"/>
      <c r="LAG275" s="192"/>
      <c r="LAH275" s="192"/>
      <c r="LAI275" s="192"/>
      <c r="LAJ275" s="192"/>
      <c r="LAK275" s="192"/>
      <c r="LAL275" s="192"/>
      <c r="LAM275" s="192"/>
      <c r="LAN275" s="192"/>
      <c r="LAO275" s="192"/>
      <c r="LAP275" s="192"/>
      <c r="LAQ275" s="192"/>
      <c r="LAR275" s="192"/>
      <c r="LAS275" s="192"/>
      <c r="LAT275" s="192"/>
      <c r="LAU275" s="192"/>
      <c r="LAV275" s="192"/>
      <c r="LAW275" s="192"/>
      <c r="LAX275" s="192"/>
      <c r="LAY275" s="192"/>
      <c r="LAZ275" s="192"/>
      <c r="LBA275" s="192"/>
      <c r="LBB275" s="192"/>
      <c r="LBC275" s="192"/>
      <c r="LBD275" s="192"/>
      <c r="LBE275" s="192"/>
      <c r="LBF275" s="192"/>
      <c r="LBG275" s="192"/>
      <c r="LBH275" s="192"/>
      <c r="LBI275" s="192"/>
      <c r="LBJ275" s="192"/>
      <c r="LBK275" s="192"/>
      <c r="LBL275" s="192"/>
      <c r="LBM275" s="192"/>
      <c r="LBN275" s="192"/>
      <c r="LBO275" s="192"/>
      <c r="LBP275" s="192"/>
      <c r="LBQ275" s="192"/>
      <c r="LBR275" s="192"/>
      <c r="LBS275" s="192"/>
      <c r="LBT275" s="192"/>
      <c r="LBU275" s="192"/>
      <c r="LBV275" s="192"/>
      <c r="LBW275" s="192"/>
      <c r="LBX275" s="192"/>
      <c r="LBY275" s="192"/>
      <c r="LBZ275" s="192"/>
      <c r="LCA275" s="192"/>
      <c r="LCB275" s="192"/>
      <c r="LCC275" s="192"/>
      <c r="LCD275" s="192"/>
      <c r="LCE275" s="192"/>
      <c r="LCF275" s="192"/>
      <c r="LCG275" s="192"/>
      <c r="LCH275" s="192"/>
      <c r="LCI275" s="192"/>
      <c r="LCJ275" s="192"/>
      <c r="LCK275" s="192"/>
      <c r="LCL275" s="192"/>
      <c r="LCM275" s="192"/>
      <c r="LCN275" s="192"/>
      <c r="LCO275" s="192"/>
      <c r="LCP275" s="192"/>
      <c r="LCQ275" s="192"/>
      <c r="LCR275" s="192"/>
      <c r="LCS275" s="192"/>
      <c r="LCT275" s="192"/>
      <c r="LCU275" s="192"/>
      <c r="LCV275" s="192"/>
      <c r="LCW275" s="192"/>
      <c r="LCX275" s="192"/>
      <c r="LCY275" s="192"/>
      <c r="LCZ275" s="192"/>
      <c r="LDA275" s="192"/>
      <c r="LDB275" s="192"/>
      <c r="LDC275" s="192"/>
      <c r="LDD275" s="192"/>
      <c r="LDE275" s="192"/>
      <c r="LDF275" s="192"/>
      <c r="LDG275" s="192"/>
      <c r="LDH275" s="192"/>
      <c r="LDI275" s="192"/>
      <c r="LDJ275" s="192"/>
      <c r="LDK275" s="192"/>
      <c r="LDL275" s="192"/>
      <c r="LDM275" s="192"/>
      <c r="LDN275" s="192"/>
      <c r="LDO275" s="192"/>
      <c r="LDP275" s="192"/>
      <c r="LDQ275" s="192"/>
      <c r="LDR275" s="192"/>
      <c r="LDS275" s="192"/>
      <c r="LDT275" s="192"/>
      <c r="LDU275" s="192"/>
      <c r="LDV275" s="192"/>
      <c r="LDW275" s="192"/>
      <c r="LDX275" s="192"/>
      <c r="LDY275" s="192"/>
      <c r="LDZ275" s="192"/>
      <c r="LEA275" s="192"/>
      <c r="LEB275" s="192"/>
      <c r="LEC275" s="192"/>
      <c r="LED275" s="192"/>
      <c r="LEE275" s="192"/>
      <c r="LEF275" s="192"/>
      <c r="LEG275" s="192"/>
      <c r="LEH275" s="192"/>
      <c r="LEI275" s="192"/>
      <c r="LEJ275" s="192"/>
      <c r="LEK275" s="192"/>
      <c r="LEL275" s="192"/>
      <c r="LEM275" s="192"/>
      <c r="LEN275" s="192"/>
      <c r="LEO275" s="192"/>
      <c r="LEP275" s="192"/>
      <c r="LEQ275" s="192"/>
      <c r="LER275" s="192"/>
      <c r="LES275" s="192"/>
      <c r="LET275" s="192"/>
      <c r="LEU275" s="192"/>
      <c r="LEV275" s="192"/>
      <c r="LEW275" s="192"/>
      <c r="LEX275" s="192"/>
      <c r="LEY275" s="192"/>
      <c r="LEZ275" s="192"/>
      <c r="LFA275" s="192"/>
      <c r="LFB275" s="192"/>
      <c r="LFC275" s="192"/>
      <c r="LFD275" s="192"/>
      <c r="LFE275" s="192"/>
      <c r="LFF275" s="192"/>
      <c r="LFG275" s="192"/>
      <c r="LFH275" s="192"/>
      <c r="LFI275" s="192"/>
      <c r="LFJ275" s="192"/>
      <c r="LFK275" s="192"/>
      <c r="LFL275" s="192"/>
      <c r="LFM275" s="192"/>
      <c r="LFN275" s="192"/>
      <c r="LFO275" s="192"/>
      <c r="LFP275" s="192"/>
      <c r="LFQ275" s="192"/>
      <c r="LFR275" s="192"/>
      <c r="LFS275" s="192"/>
      <c r="LFT275" s="192"/>
      <c r="LFU275" s="192"/>
      <c r="LFV275" s="192"/>
      <c r="LFW275" s="192"/>
      <c r="LFX275" s="192"/>
      <c r="LFY275" s="192"/>
      <c r="LFZ275" s="192"/>
      <c r="LGA275" s="192"/>
      <c r="LGB275" s="192"/>
      <c r="LGC275" s="192"/>
      <c r="LGD275" s="192"/>
      <c r="LGE275" s="192"/>
      <c r="LGF275" s="192"/>
      <c r="LGG275" s="192"/>
      <c r="LGH275" s="192"/>
      <c r="LGI275" s="192"/>
      <c r="LGJ275" s="192"/>
      <c r="LGK275" s="192"/>
      <c r="LGL275" s="192"/>
      <c r="LGM275" s="192"/>
      <c r="LGN275" s="192"/>
      <c r="LGO275" s="192"/>
      <c r="LGP275" s="192"/>
      <c r="LGQ275" s="192"/>
      <c r="LGR275" s="192"/>
      <c r="LGS275" s="192"/>
      <c r="LGT275" s="192"/>
      <c r="LGU275" s="192"/>
      <c r="LGV275" s="192"/>
      <c r="LGW275" s="192"/>
      <c r="LGX275" s="192"/>
      <c r="LGY275" s="192"/>
      <c r="LGZ275" s="192"/>
      <c r="LHA275" s="192"/>
      <c r="LHB275" s="192"/>
      <c r="LHC275" s="192"/>
      <c r="LHD275" s="192"/>
      <c r="LHE275" s="192"/>
      <c r="LHF275" s="192"/>
      <c r="LHG275" s="192"/>
      <c r="LHH275" s="192"/>
      <c r="LHI275" s="192"/>
      <c r="LHJ275" s="192"/>
      <c r="LHK275" s="192"/>
      <c r="LHL275" s="192"/>
      <c r="LHM275" s="192"/>
      <c r="LHN275" s="192"/>
      <c r="LHO275" s="192"/>
      <c r="LHP275" s="192"/>
      <c r="LHQ275" s="192"/>
      <c r="LHR275" s="192"/>
      <c r="LHS275" s="192"/>
      <c r="LHT275" s="192"/>
      <c r="LHU275" s="192"/>
      <c r="LHV275" s="192"/>
      <c r="LHW275" s="192"/>
      <c r="LHX275" s="192"/>
      <c r="LHY275" s="192"/>
      <c r="LHZ275" s="192"/>
      <c r="LIA275" s="192"/>
      <c r="LIB275" s="192"/>
      <c r="LIC275" s="192"/>
      <c r="LID275" s="192"/>
      <c r="LIE275" s="192"/>
      <c r="LIF275" s="192"/>
      <c r="LIG275" s="192"/>
      <c r="LIH275" s="192"/>
      <c r="LII275" s="192"/>
      <c r="LIJ275" s="192"/>
      <c r="LIK275" s="192"/>
      <c r="LIL275" s="192"/>
      <c r="LIM275" s="192"/>
      <c r="LIN275" s="192"/>
      <c r="LIO275" s="192"/>
      <c r="LIP275" s="192"/>
      <c r="LIQ275" s="192"/>
      <c r="LIR275" s="192"/>
      <c r="LIS275" s="192"/>
      <c r="LIT275" s="192"/>
      <c r="LIU275" s="192"/>
      <c r="LIV275" s="192"/>
      <c r="LIW275" s="192"/>
      <c r="LIX275" s="192"/>
      <c r="LIY275" s="192"/>
      <c r="LIZ275" s="192"/>
      <c r="LJA275" s="192"/>
      <c r="LJB275" s="192"/>
      <c r="LJC275" s="192"/>
      <c r="LJD275" s="192"/>
      <c r="LJE275" s="192"/>
      <c r="LJF275" s="192"/>
      <c r="LJG275" s="192"/>
      <c r="LJH275" s="192"/>
      <c r="LJI275" s="192"/>
      <c r="LJJ275" s="192"/>
      <c r="LJK275" s="192"/>
      <c r="LJL275" s="192"/>
      <c r="LJM275" s="192"/>
      <c r="LJN275" s="192"/>
      <c r="LJO275" s="192"/>
      <c r="LJP275" s="192"/>
      <c r="LJQ275" s="192"/>
      <c r="LJR275" s="192"/>
      <c r="LJS275" s="192"/>
      <c r="LJT275" s="192"/>
      <c r="LJU275" s="192"/>
      <c r="LJV275" s="192"/>
      <c r="LJW275" s="192"/>
      <c r="LJX275" s="192"/>
      <c r="LJY275" s="192"/>
      <c r="LJZ275" s="192"/>
      <c r="LKA275" s="192"/>
      <c r="LKB275" s="192"/>
      <c r="LKC275" s="192"/>
      <c r="LKD275" s="192"/>
      <c r="LKE275" s="192"/>
      <c r="LKF275" s="192"/>
      <c r="LKG275" s="192"/>
      <c r="LKH275" s="192"/>
      <c r="LKI275" s="192"/>
      <c r="LKJ275" s="192"/>
      <c r="LKK275" s="192"/>
      <c r="LKL275" s="192"/>
      <c r="LKM275" s="192"/>
      <c r="LKN275" s="192"/>
      <c r="LKO275" s="192"/>
      <c r="LKP275" s="192"/>
      <c r="LKQ275" s="192"/>
      <c r="LKR275" s="192"/>
      <c r="LKS275" s="192"/>
      <c r="LKT275" s="192"/>
      <c r="LKU275" s="192"/>
      <c r="LKV275" s="192"/>
      <c r="LKW275" s="192"/>
      <c r="LKX275" s="192"/>
      <c r="LKY275" s="192"/>
      <c r="LKZ275" s="192"/>
      <c r="LLA275" s="192"/>
      <c r="LLB275" s="192"/>
      <c r="LLC275" s="192"/>
      <c r="LLD275" s="192"/>
      <c r="LLE275" s="192"/>
      <c r="LLF275" s="192"/>
      <c r="LLG275" s="192"/>
      <c r="LLH275" s="192"/>
      <c r="LLI275" s="192"/>
      <c r="LLJ275" s="192"/>
      <c r="LLK275" s="192"/>
      <c r="LLL275" s="192"/>
      <c r="LLM275" s="192"/>
      <c r="LLN275" s="192"/>
      <c r="LLO275" s="192"/>
      <c r="LLP275" s="192"/>
      <c r="LLQ275" s="192"/>
      <c r="LLR275" s="192"/>
      <c r="LLS275" s="192"/>
      <c r="LLT275" s="192"/>
      <c r="LLU275" s="192"/>
      <c r="LLV275" s="192"/>
      <c r="LLW275" s="192"/>
      <c r="LLX275" s="192"/>
      <c r="LLY275" s="192"/>
      <c r="LLZ275" s="192"/>
      <c r="LMA275" s="192"/>
      <c r="LMB275" s="192"/>
      <c r="LMC275" s="192"/>
      <c r="LMD275" s="192"/>
      <c r="LME275" s="192"/>
      <c r="LMF275" s="192"/>
      <c r="LMG275" s="192"/>
      <c r="LMH275" s="192"/>
      <c r="LMI275" s="192"/>
      <c r="LMJ275" s="192"/>
      <c r="LMK275" s="192"/>
      <c r="LML275" s="192"/>
      <c r="LMM275" s="192"/>
      <c r="LMN275" s="192"/>
      <c r="LMO275" s="192"/>
      <c r="LMP275" s="192"/>
      <c r="LMQ275" s="192"/>
      <c r="LMR275" s="192"/>
      <c r="LMS275" s="192"/>
      <c r="LMT275" s="192"/>
      <c r="LMU275" s="192"/>
      <c r="LMV275" s="192"/>
      <c r="LMW275" s="192"/>
      <c r="LMX275" s="192"/>
      <c r="LMY275" s="192"/>
      <c r="LMZ275" s="192"/>
      <c r="LNA275" s="192"/>
      <c r="LNB275" s="192"/>
      <c r="LNC275" s="192"/>
      <c r="LND275" s="192"/>
      <c r="LNE275" s="192"/>
      <c r="LNF275" s="192"/>
      <c r="LNG275" s="192"/>
      <c r="LNH275" s="192"/>
      <c r="LNI275" s="192"/>
      <c r="LNJ275" s="192"/>
      <c r="LNK275" s="192"/>
      <c r="LNL275" s="192"/>
      <c r="LNM275" s="192"/>
      <c r="LNN275" s="192"/>
      <c r="LNO275" s="192"/>
      <c r="LNP275" s="192"/>
      <c r="LNQ275" s="192"/>
      <c r="LNR275" s="192"/>
      <c r="LNS275" s="192"/>
      <c r="LNT275" s="192"/>
      <c r="LNU275" s="192"/>
      <c r="LNV275" s="192"/>
      <c r="LNW275" s="192"/>
      <c r="LNX275" s="192"/>
      <c r="LNY275" s="192"/>
      <c r="LNZ275" s="192"/>
      <c r="LOA275" s="192"/>
      <c r="LOB275" s="192"/>
      <c r="LOC275" s="192"/>
      <c r="LOD275" s="192"/>
      <c r="LOE275" s="192"/>
      <c r="LOF275" s="192"/>
      <c r="LOG275" s="192"/>
      <c r="LOH275" s="192"/>
      <c r="LOI275" s="192"/>
      <c r="LOJ275" s="192"/>
      <c r="LOK275" s="192"/>
      <c r="LOL275" s="192"/>
      <c r="LOM275" s="192"/>
      <c r="LON275" s="192"/>
      <c r="LOO275" s="192"/>
      <c r="LOP275" s="192"/>
      <c r="LOQ275" s="192"/>
      <c r="LOR275" s="192"/>
      <c r="LOS275" s="192"/>
      <c r="LOT275" s="192"/>
      <c r="LOU275" s="192"/>
      <c r="LOV275" s="192"/>
      <c r="LOW275" s="192"/>
      <c r="LOX275" s="192"/>
      <c r="LOY275" s="192"/>
      <c r="LOZ275" s="192"/>
      <c r="LPA275" s="192"/>
      <c r="LPB275" s="192"/>
      <c r="LPC275" s="192"/>
      <c r="LPD275" s="192"/>
      <c r="LPE275" s="192"/>
      <c r="LPF275" s="192"/>
      <c r="LPG275" s="192"/>
      <c r="LPH275" s="192"/>
      <c r="LPI275" s="192"/>
      <c r="LPJ275" s="192"/>
      <c r="LPK275" s="192"/>
      <c r="LPL275" s="192"/>
      <c r="LPM275" s="192"/>
      <c r="LPN275" s="192"/>
      <c r="LPO275" s="192"/>
      <c r="LPP275" s="192"/>
      <c r="LPQ275" s="192"/>
      <c r="LPR275" s="192"/>
      <c r="LPS275" s="192"/>
      <c r="LPT275" s="192"/>
      <c r="LPU275" s="192"/>
      <c r="LPV275" s="192"/>
      <c r="LPW275" s="192"/>
      <c r="LPX275" s="192"/>
      <c r="LPY275" s="192"/>
      <c r="LPZ275" s="192"/>
      <c r="LQA275" s="192"/>
      <c r="LQB275" s="192"/>
      <c r="LQC275" s="192"/>
      <c r="LQD275" s="192"/>
      <c r="LQE275" s="192"/>
      <c r="LQF275" s="192"/>
      <c r="LQG275" s="192"/>
      <c r="LQH275" s="192"/>
      <c r="LQI275" s="192"/>
      <c r="LQJ275" s="192"/>
      <c r="LQK275" s="192"/>
      <c r="LQL275" s="192"/>
      <c r="LQM275" s="192"/>
      <c r="LQN275" s="192"/>
      <c r="LQO275" s="192"/>
      <c r="LQP275" s="192"/>
      <c r="LQQ275" s="192"/>
      <c r="LQR275" s="192"/>
      <c r="LQS275" s="192"/>
      <c r="LQT275" s="192"/>
      <c r="LQU275" s="192"/>
      <c r="LQV275" s="192"/>
      <c r="LQW275" s="192"/>
      <c r="LQX275" s="192"/>
      <c r="LQY275" s="192"/>
      <c r="LQZ275" s="192"/>
      <c r="LRA275" s="192"/>
      <c r="LRB275" s="192"/>
      <c r="LRC275" s="192"/>
      <c r="LRD275" s="192"/>
      <c r="LRE275" s="192"/>
      <c r="LRF275" s="192"/>
      <c r="LRG275" s="192"/>
      <c r="LRH275" s="192"/>
      <c r="LRI275" s="192"/>
      <c r="LRJ275" s="192"/>
      <c r="LRK275" s="192"/>
      <c r="LRL275" s="192"/>
      <c r="LRM275" s="192"/>
      <c r="LRN275" s="192"/>
      <c r="LRO275" s="192"/>
      <c r="LRP275" s="192"/>
      <c r="LRQ275" s="192"/>
      <c r="LRR275" s="192"/>
      <c r="LRS275" s="192"/>
      <c r="LRT275" s="192"/>
      <c r="LRU275" s="192"/>
      <c r="LRV275" s="192"/>
      <c r="LRW275" s="192"/>
      <c r="LRX275" s="192"/>
      <c r="LRY275" s="192"/>
      <c r="LRZ275" s="192"/>
      <c r="LSA275" s="192"/>
      <c r="LSB275" s="192"/>
      <c r="LSC275" s="192"/>
      <c r="LSD275" s="192"/>
      <c r="LSE275" s="192"/>
      <c r="LSF275" s="192"/>
      <c r="LSG275" s="192"/>
      <c r="LSH275" s="192"/>
      <c r="LSI275" s="192"/>
      <c r="LSJ275" s="192"/>
      <c r="LSK275" s="192"/>
      <c r="LSL275" s="192"/>
      <c r="LSM275" s="192"/>
      <c r="LSN275" s="192"/>
      <c r="LSO275" s="192"/>
      <c r="LSP275" s="192"/>
      <c r="LSQ275" s="192"/>
      <c r="LSR275" s="192"/>
      <c r="LSS275" s="192"/>
      <c r="LST275" s="192"/>
      <c r="LSU275" s="192"/>
      <c r="LSV275" s="192"/>
      <c r="LSW275" s="192"/>
      <c r="LSX275" s="192"/>
      <c r="LSY275" s="192"/>
      <c r="LSZ275" s="192"/>
      <c r="LTA275" s="192"/>
      <c r="LTB275" s="192"/>
      <c r="LTC275" s="192"/>
      <c r="LTD275" s="192"/>
      <c r="LTE275" s="192"/>
      <c r="LTF275" s="192"/>
      <c r="LTG275" s="192"/>
      <c r="LTH275" s="192"/>
      <c r="LTI275" s="192"/>
      <c r="LTJ275" s="192"/>
      <c r="LTK275" s="192"/>
      <c r="LTL275" s="192"/>
      <c r="LTM275" s="192"/>
      <c r="LTN275" s="192"/>
      <c r="LTO275" s="192"/>
      <c r="LTP275" s="192"/>
      <c r="LTQ275" s="192"/>
      <c r="LTR275" s="192"/>
      <c r="LTS275" s="192"/>
      <c r="LTT275" s="192"/>
      <c r="LTU275" s="192"/>
      <c r="LTV275" s="192"/>
      <c r="LTW275" s="192"/>
      <c r="LTX275" s="192"/>
      <c r="LTY275" s="192"/>
      <c r="LTZ275" s="192"/>
      <c r="LUA275" s="192"/>
      <c r="LUB275" s="192"/>
      <c r="LUC275" s="192"/>
      <c r="LUD275" s="192"/>
      <c r="LUE275" s="192"/>
      <c r="LUF275" s="192"/>
      <c r="LUG275" s="192"/>
      <c r="LUH275" s="192"/>
      <c r="LUI275" s="192"/>
      <c r="LUJ275" s="192"/>
      <c r="LUK275" s="192"/>
      <c r="LUL275" s="192"/>
      <c r="LUM275" s="192"/>
      <c r="LUN275" s="192"/>
      <c r="LUO275" s="192"/>
      <c r="LUP275" s="192"/>
      <c r="LUQ275" s="192"/>
      <c r="LUR275" s="192"/>
      <c r="LUS275" s="192"/>
      <c r="LUT275" s="192"/>
      <c r="LUU275" s="192"/>
      <c r="LUV275" s="192"/>
      <c r="LUW275" s="192"/>
      <c r="LUX275" s="192"/>
      <c r="LUY275" s="192"/>
      <c r="LUZ275" s="192"/>
      <c r="LVA275" s="192"/>
      <c r="LVB275" s="192"/>
      <c r="LVC275" s="192"/>
      <c r="LVD275" s="192"/>
      <c r="LVE275" s="192"/>
      <c r="LVF275" s="192"/>
      <c r="LVG275" s="192"/>
      <c r="LVH275" s="192"/>
      <c r="LVI275" s="192"/>
      <c r="LVJ275" s="192"/>
      <c r="LVK275" s="192"/>
      <c r="LVL275" s="192"/>
      <c r="LVM275" s="192"/>
      <c r="LVN275" s="192"/>
      <c r="LVO275" s="192"/>
      <c r="LVP275" s="192"/>
      <c r="LVQ275" s="192"/>
      <c r="LVR275" s="192"/>
      <c r="LVS275" s="192"/>
      <c r="LVT275" s="192"/>
      <c r="LVU275" s="192"/>
      <c r="LVV275" s="192"/>
      <c r="LVW275" s="192"/>
      <c r="LVX275" s="192"/>
      <c r="LVY275" s="192"/>
      <c r="LVZ275" s="192"/>
      <c r="LWA275" s="192"/>
      <c r="LWB275" s="192"/>
      <c r="LWC275" s="192"/>
      <c r="LWD275" s="192"/>
      <c r="LWE275" s="192"/>
      <c r="LWF275" s="192"/>
      <c r="LWG275" s="192"/>
      <c r="LWH275" s="192"/>
      <c r="LWI275" s="192"/>
      <c r="LWJ275" s="192"/>
      <c r="LWK275" s="192"/>
      <c r="LWL275" s="192"/>
      <c r="LWM275" s="192"/>
      <c r="LWN275" s="192"/>
      <c r="LWO275" s="192"/>
      <c r="LWP275" s="192"/>
      <c r="LWQ275" s="192"/>
      <c r="LWR275" s="192"/>
      <c r="LWS275" s="192"/>
      <c r="LWT275" s="192"/>
      <c r="LWU275" s="192"/>
      <c r="LWV275" s="192"/>
      <c r="LWW275" s="192"/>
      <c r="LWX275" s="192"/>
      <c r="LWY275" s="192"/>
      <c r="LWZ275" s="192"/>
      <c r="LXA275" s="192"/>
      <c r="LXB275" s="192"/>
      <c r="LXC275" s="192"/>
      <c r="LXD275" s="192"/>
      <c r="LXE275" s="192"/>
      <c r="LXF275" s="192"/>
      <c r="LXG275" s="192"/>
      <c r="LXH275" s="192"/>
      <c r="LXI275" s="192"/>
      <c r="LXJ275" s="192"/>
      <c r="LXK275" s="192"/>
      <c r="LXL275" s="192"/>
      <c r="LXM275" s="192"/>
      <c r="LXN275" s="192"/>
      <c r="LXO275" s="192"/>
      <c r="LXP275" s="192"/>
      <c r="LXQ275" s="192"/>
      <c r="LXR275" s="192"/>
      <c r="LXS275" s="192"/>
      <c r="LXT275" s="192"/>
      <c r="LXU275" s="192"/>
      <c r="LXV275" s="192"/>
      <c r="LXW275" s="192"/>
      <c r="LXX275" s="192"/>
      <c r="LXY275" s="192"/>
      <c r="LXZ275" s="192"/>
      <c r="LYA275" s="192"/>
      <c r="LYB275" s="192"/>
      <c r="LYC275" s="192"/>
      <c r="LYD275" s="192"/>
      <c r="LYE275" s="192"/>
      <c r="LYF275" s="192"/>
      <c r="LYG275" s="192"/>
      <c r="LYH275" s="192"/>
      <c r="LYI275" s="192"/>
      <c r="LYJ275" s="192"/>
      <c r="LYK275" s="192"/>
      <c r="LYL275" s="192"/>
      <c r="LYM275" s="192"/>
      <c r="LYN275" s="192"/>
      <c r="LYO275" s="192"/>
      <c r="LYP275" s="192"/>
      <c r="LYQ275" s="192"/>
      <c r="LYR275" s="192"/>
      <c r="LYS275" s="192"/>
      <c r="LYT275" s="192"/>
      <c r="LYU275" s="192"/>
      <c r="LYV275" s="192"/>
      <c r="LYW275" s="192"/>
      <c r="LYX275" s="192"/>
      <c r="LYY275" s="192"/>
      <c r="LYZ275" s="192"/>
      <c r="LZA275" s="192"/>
      <c r="LZB275" s="192"/>
      <c r="LZC275" s="192"/>
      <c r="LZD275" s="192"/>
      <c r="LZE275" s="192"/>
      <c r="LZF275" s="192"/>
      <c r="LZG275" s="192"/>
      <c r="LZH275" s="192"/>
      <c r="LZI275" s="192"/>
      <c r="LZJ275" s="192"/>
      <c r="LZK275" s="192"/>
      <c r="LZL275" s="192"/>
      <c r="LZM275" s="192"/>
      <c r="LZN275" s="192"/>
      <c r="LZO275" s="192"/>
      <c r="LZP275" s="192"/>
      <c r="LZQ275" s="192"/>
      <c r="LZR275" s="192"/>
      <c r="LZS275" s="192"/>
      <c r="LZT275" s="192"/>
      <c r="LZU275" s="192"/>
      <c r="LZV275" s="192"/>
      <c r="LZW275" s="192"/>
      <c r="LZX275" s="192"/>
      <c r="LZY275" s="192"/>
      <c r="LZZ275" s="192"/>
      <c r="MAA275" s="192"/>
      <c r="MAB275" s="192"/>
      <c r="MAC275" s="192"/>
      <c r="MAD275" s="192"/>
      <c r="MAE275" s="192"/>
      <c r="MAF275" s="192"/>
      <c r="MAG275" s="192"/>
      <c r="MAH275" s="192"/>
      <c r="MAI275" s="192"/>
      <c r="MAJ275" s="192"/>
      <c r="MAK275" s="192"/>
      <c r="MAL275" s="192"/>
      <c r="MAM275" s="192"/>
      <c r="MAN275" s="192"/>
      <c r="MAO275" s="192"/>
      <c r="MAP275" s="192"/>
      <c r="MAQ275" s="192"/>
      <c r="MAR275" s="192"/>
      <c r="MAS275" s="192"/>
      <c r="MAT275" s="192"/>
      <c r="MAU275" s="192"/>
      <c r="MAV275" s="192"/>
      <c r="MAW275" s="192"/>
      <c r="MAX275" s="192"/>
      <c r="MAY275" s="192"/>
      <c r="MAZ275" s="192"/>
      <c r="MBA275" s="192"/>
      <c r="MBB275" s="192"/>
      <c r="MBC275" s="192"/>
      <c r="MBD275" s="192"/>
      <c r="MBE275" s="192"/>
      <c r="MBF275" s="192"/>
      <c r="MBG275" s="192"/>
      <c r="MBH275" s="192"/>
      <c r="MBI275" s="192"/>
      <c r="MBJ275" s="192"/>
      <c r="MBK275" s="192"/>
      <c r="MBL275" s="192"/>
      <c r="MBM275" s="192"/>
      <c r="MBN275" s="192"/>
      <c r="MBO275" s="192"/>
      <c r="MBP275" s="192"/>
      <c r="MBQ275" s="192"/>
      <c r="MBR275" s="192"/>
      <c r="MBS275" s="192"/>
      <c r="MBT275" s="192"/>
      <c r="MBU275" s="192"/>
      <c r="MBV275" s="192"/>
      <c r="MBW275" s="192"/>
      <c r="MBX275" s="192"/>
      <c r="MBY275" s="192"/>
      <c r="MBZ275" s="192"/>
      <c r="MCA275" s="192"/>
      <c r="MCB275" s="192"/>
      <c r="MCC275" s="192"/>
      <c r="MCD275" s="192"/>
      <c r="MCE275" s="192"/>
      <c r="MCF275" s="192"/>
      <c r="MCG275" s="192"/>
      <c r="MCH275" s="192"/>
      <c r="MCI275" s="192"/>
      <c r="MCJ275" s="192"/>
      <c r="MCK275" s="192"/>
      <c r="MCL275" s="192"/>
      <c r="MCM275" s="192"/>
      <c r="MCN275" s="192"/>
      <c r="MCO275" s="192"/>
      <c r="MCP275" s="192"/>
      <c r="MCQ275" s="192"/>
      <c r="MCR275" s="192"/>
      <c r="MCS275" s="192"/>
      <c r="MCT275" s="192"/>
      <c r="MCU275" s="192"/>
      <c r="MCV275" s="192"/>
      <c r="MCW275" s="192"/>
      <c r="MCX275" s="192"/>
      <c r="MCY275" s="192"/>
      <c r="MCZ275" s="192"/>
      <c r="MDA275" s="192"/>
      <c r="MDB275" s="192"/>
      <c r="MDC275" s="192"/>
      <c r="MDD275" s="192"/>
      <c r="MDE275" s="192"/>
      <c r="MDF275" s="192"/>
      <c r="MDG275" s="192"/>
      <c r="MDH275" s="192"/>
      <c r="MDI275" s="192"/>
      <c r="MDJ275" s="192"/>
      <c r="MDK275" s="192"/>
      <c r="MDL275" s="192"/>
      <c r="MDM275" s="192"/>
      <c r="MDN275" s="192"/>
      <c r="MDO275" s="192"/>
      <c r="MDP275" s="192"/>
      <c r="MDQ275" s="192"/>
      <c r="MDR275" s="192"/>
      <c r="MDS275" s="192"/>
      <c r="MDT275" s="192"/>
      <c r="MDU275" s="192"/>
      <c r="MDV275" s="192"/>
      <c r="MDW275" s="192"/>
      <c r="MDX275" s="192"/>
      <c r="MDY275" s="192"/>
      <c r="MDZ275" s="192"/>
      <c r="MEA275" s="192"/>
      <c r="MEB275" s="192"/>
      <c r="MEC275" s="192"/>
      <c r="MED275" s="192"/>
      <c r="MEE275" s="192"/>
      <c r="MEF275" s="192"/>
      <c r="MEG275" s="192"/>
      <c r="MEH275" s="192"/>
      <c r="MEI275" s="192"/>
      <c r="MEJ275" s="192"/>
      <c r="MEK275" s="192"/>
      <c r="MEL275" s="192"/>
      <c r="MEM275" s="192"/>
      <c r="MEN275" s="192"/>
      <c r="MEO275" s="192"/>
      <c r="MEP275" s="192"/>
      <c r="MEQ275" s="192"/>
      <c r="MER275" s="192"/>
      <c r="MES275" s="192"/>
      <c r="MET275" s="192"/>
      <c r="MEU275" s="192"/>
      <c r="MEV275" s="192"/>
      <c r="MEW275" s="192"/>
      <c r="MEX275" s="192"/>
      <c r="MEY275" s="192"/>
      <c r="MEZ275" s="192"/>
      <c r="MFA275" s="192"/>
      <c r="MFB275" s="192"/>
      <c r="MFC275" s="192"/>
      <c r="MFD275" s="192"/>
      <c r="MFE275" s="192"/>
      <c r="MFF275" s="192"/>
      <c r="MFG275" s="192"/>
      <c r="MFH275" s="192"/>
      <c r="MFI275" s="192"/>
      <c r="MFJ275" s="192"/>
      <c r="MFK275" s="192"/>
      <c r="MFL275" s="192"/>
      <c r="MFM275" s="192"/>
      <c r="MFN275" s="192"/>
      <c r="MFO275" s="192"/>
      <c r="MFP275" s="192"/>
      <c r="MFQ275" s="192"/>
      <c r="MFR275" s="192"/>
      <c r="MFS275" s="192"/>
      <c r="MFT275" s="192"/>
      <c r="MFU275" s="192"/>
      <c r="MFV275" s="192"/>
      <c r="MFW275" s="192"/>
      <c r="MFX275" s="192"/>
      <c r="MFY275" s="192"/>
      <c r="MFZ275" s="192"/>
      <c r="MGA275" s="192"/>
      <c r="MGB275" s="192"/>
      <c r="MGC275" s="192"/>
      <c r="MGD275" s="192"/>
      <c r="MGE275" s="192"/>
      <c r="MGF275" s="192"/>
      <c r="MGG275" s="192"/>
      <c r="MGH275" s="192"/>
      <c r="MGI275" s="192"/>
      <c r="MGJ275" s="192"/>
      <c r="MGK275" s="192"/>
      <c r="MGL275" s="192"/>
      <c r="MGM275" s="192"/>
      <c r="MGN275" s="192"/>
      <c r="MGO275" s="192"/>
      <c r="MGP275" s="192"/>
      <c r="MGQ275" s="192"/>
      <c r="MGR275" s="192"/>
      <c r="MGS275" s="192"/>
      <c r="MGT275" s="192"/>
      <c r="MGU275" s="192"/>
      <c r="MGV275" s="192"/>
      <c r="MGW275" s="192"/>
      <c r="MGX275" s="192"/>
      <c r="MGY275" s="192"/>
      <c r="MGZ275" s="192"/>
      <c r="MHA275" s="192"/>
      <c r="MHB275" s="192"/>
      <c r="MHC275" s="192"/>
      <c r="MHD275" s="192"/>
      <c r="MHE275" s="192"/>
      <c r="MHF275" s="192"/>
      <c r="MHG275" s="192"/>
      <c r="MHH275" s="192"/>
      <c r="MHI275" s="192"/>
      <c r="MHJ275" s="192"/>
      <c r="MHK275" s="192"/>
      <c r="MHL275" s="192"/>
      <c r="MHM275" s="192"/>
      <c r="MHN275" s="192"/>
      <c r="MHO275" s="192"/>
      <c r="MHP275" s="192"/>
      <c r="MHQ275" s="192"/>
      <c r="MHR275" s="192"/>
      <c r="MHS275" s="192"/>
      <c r="MHT275" s="192"/>
      <c r="MHU275" s="192"/>
      <c r="MHV275" s="192"/>
      <c r="MHW275" s="192"/>
      <c r="MHX275" s="192"/>
      <c r="MHY275" s="192"/>
      <c r="MHZ275" s="192"/>
      <c r="MIA275" s="192"/>
      <c r="MIB275" s="192"/>
      <c r="MIC275" s="192"/>
      <c r="MID275" s="192"/>
      <c r="MIE275" s="192"/>
      <c r="MIF275" s="192"/>
      <c r="MIG275" s="192"/>
      <c r="MIH275" s="192"/>
      <c r="MII275" s="192"/>
      <c r="MIJ275" s="192"/>
      <c r="MIK275" s="192"/>
      <c r="MIL275" s="192"/>
      <c r="MIM275" s="192"/>
      <c r="MIN275" s="192"/>
      <c r="MIO275" s="192"/>
      <c r="MIP275" s="192"/>
      <c r="MIQ275" s="192"/>
      <c r="MIR275" s="192"/>
      <c r="MIS275" s="192"/>
      <c r="MIT275" s="192"/>
      <c r="MIU275" s="192"/>
      <c r="MIV275" s="192"/>
      <c r="MIW275" s="192"/>
      <c r="MIX275" s="192"/>
      <c r="MIY275" s="192"/>
      <c r="MIZ275" s="192"/>
      <c r="MJA275" s="192"/>
      <c r="MJB275" s="192"/>
      <c r="MJC275" s="192"/>
      <c r="MJD275" s="192"/>
      <c r="MJE275" s="192"/>
      <c r="MJF275" s="192"/>
      <c r="MJG275" s="192"/>
      <c r="MJH275" s="192"/>
      <c r="MJI275" s="192"/>
      <c r="MJJ275" s="192"/>
      <c r="MJK275" s="192"/>
      <c r="MJL275" s="192"/>
      <c r="MJM275" s="192"/>
      <c r="MJN275" s="192"/>
      <c r="MJO275" s="192"/>
      <c r="MJP275" s="192"/>
      <c r="MJQ275" s="192"/>
      <c r="MJR275" s="192"/>
      <c r="MJS275" s="192"/>
      <c r="MJT275" s="192"/>
      <c r="MJU275" s="192"/>
      <c r="MJV275" s="192"/>
      <c r="MJW275" s="192"/>
      <c r="MJX275" s="192"/>
      <c r="MJY275" s="192"/>
      <c r="MJZ275" s="192"/>
      <c r="MKA275" s="192"/>
      <c r="MKB275" s="192"/>
      <c r="MKC275" s="192"/>
      <c r="MKD275" s="192"/>
      <c r="MKE275" s="192"/>
      <c r="MKF275" s="192"/>
      <c r="MKG275" s="192"/>
      <c r="MKH275" s="192"/>
      <c r="MKI275" s="192"/>
      <c r="MKJ275" s="192"/>
      <c r="MKK275" s="192"/>
      <c r="MKL275" s="192"/>
      <c r="MKM275" s="192"/>
      <c r="MKN275" s="192"/>
      <c r="MKO275" s="192"/>
      <c r="MKP275" s="192"/>
      <c r="MKQ275" s="192"/>
      <c r="MKR275" s="192"/>
      <c r="MKS275" s="192"/>
      <c r="MKT275" s="192"/>
      <c r="MKU275" s="192"/>
      <c r="MKV275" s="192"/>
      <c r="MKW275" s="192"/>
      <c r="MKX275" s="192"/>
      <c r="MKY275" s="192"/>
      <c r="MKZ275" s="192"/>
      <c r="MLA275" s="192"/>
      <c r="MLB275" s="192"/>
      <c r="MLC275" s="192"/>
      <c r="MLD275" s="192"/>
      <c r="MLE275" s="192"/>
      <c r="MLF275" s="192"/>
      <c r="MLG275" s="192"/>
      <c r="MLH275" s="192"/>
      <c r="MLI275" s="192"/>
      <c r="MLJ275" s="192"/>
      <c r="MLK275" s="192"/>
      <c r="MLL275" s="192"/>
      <c r="MLM275" s="192"/>
      <c r="MLN275" s="192"/>
      <c r="MLO275" s="192"/>
      <c r="MLP275" s="192"/>
      <c r="MLQ275" s="192"/>
      <c r="MLR275" s="192"/>
      <c r="MLS275" s="192"/>
      <c r="MLT275" s="192"/>
      <c r="MLU275" s="192"/>
      <c r="MLV275" s="192"/>
      <c r="MLW275" s="192"/>
      <c r="MLX275" s="192"/>
      <c r="MLY275" s="192"/>
      <c r="MLZ275" s="192"/>
      <c r="MMA275" s="192"/>
      <c r="MMB275" s="192"/>
      <c r="MMC275" s="192"/>
      <c r="MMD275" s="192"/>
      <c r="MME275" s="192"/>
      <c r="MMF275" s="192"/>
      <c r="MMG275" s="192"/>
      <c r="MMH275" s="192"/>
      <c r="MMI275" s="192"/>
      <c r="MMJ275" s="192"/>
      <c r="MMK275" s="192"/>
      <c r="MML275" s="192"/>
      <c r="MMM275" s="192"/>
      <c r="MMN275" s="192"/>
      <c r="MMO275" s="192"/>
      <c r="MMP275" s="192"/>
      <c r="MMQ275" s="192"/>
      <c r="MMR275" s="192"/>
      <c r="MMS275" s="192"/>
      <c r="MMT275" s="192"/>
      <c r="MMU275" s="192"/>
      <c r="MMV275" s="192"/>
      <c r="MMW275" s="192"/>
      <c r="MMX275" s="192"/>
      <c r="MMY275" s="192"/>
      <c r="MMZ275" s="192"/>
      <c r="MNA275" s="192"/>
      <c r="MNB275" s="192"/>
      <c r="MNC275" s="192"/>
      <c r="MND275" s="192"/>
      <c r="MNE275" s="192"/>
      <c r="MNF275" s="192"/>
      <c r="MNG275" s="192"/>
      <c r="MNH275" s="192"/>
      <c r="MNI275" s="192"/>
      <c r="MNJ275" s="192"/>
      <c r="MNK275" s="192"/>
      <c r="MNL275" s="192"/>
      <c r="MNM275" s="192"/>
      <c r="MNN275" s="192"/>
      <c r="MNO275" s="192"/>
      <c r="MNP275" s="192"/>
      <c r="MNQ275" s="192"/>
      <c r="MNR275" s="192"/>
      <c r="MNS275" s="192"/>
      <c r="MNT275" s="192"/>
      <c r="MNU275" s="192"/>
      <c r="MNV275" s="192"/>
      <c r="MNW275" s="192"/>
      <c r="MNX275" s="192"/>
      <c r="MNY275" s="192"/>
      <c r="MNZ275" s="192"/>
      <c r="MOA275" s="192"/>
      <c r="MOB275" s="192"/>
      <c r="MOC275" s="192"/>
      <c r="MOD275" s="192"/>
      <c r="MOE275" s="192"/>
      <c r="MOF275" s="192"/>
      <c r="MOG275" s="192"/>
      <c r="MOH275" s="192"/>
      <c r="MOI275" s="192"/>
      <c r="MOJ275" s="192"/>
      <c r="MOK275" s="192"/>
      <c r="MOL275" s="192"/>
      <c r="MOM275" s="192"/>
      <c r="MON275" s="192"/>
      <c r="MOO275" s="192"/>
      <c r="MOP275" s="192"/>
      <c r="MOQ275" s="192"/>
      <c r="MOR275" s="192"/>
      <c r="MOS275" s="192"/>
      <c r="MOT275" s="192"/>
      <c r="MOU275" s="192"/>
      <c r="MOV275" s="192"/>
      <c r="MOW275" s="192"/>
      <c r="MOX275" s="192"/>
      <c r="MOY275" s="192"/>
      <c r="MOZ275" s="192"/>
      <c r="MPA275" s="192"/>
      <c r="MPB275" s="192"/>
      <c r="MPC275" s="192"/>
      <c r="MPD275" s="192"/>
      <c r="MPE275" s="192"/>
      <c r="MPF275" s="192"/>
      <c r="MPG275" s="192"/>
      <c r="MPH275" s="192"/>
      <c r="MPI275" s="192"/>
      <c r="MPJ275" s="192"/>
      <c r="MPK275" s="192"/>
      <c r="MPL275" s="192"/>
      <c r="MPM275" s="192"/>
      <c r="MPN275" s="192"/>
      <c r="MPO275" s="192"/>
      <c r="MPP275" s="192"/>
      <c r="MPQ275" s="192"/>
      <c r="MPR275" s="192"/>
      <c r="MPS275" s="192"/>
      <c r="MPT275" s="192"/>
      <c r="MPU275" s="192"/>
      <c r="MPV275" s="192"/>
      <c r="MPW275" s="192"/>
      <c r="MPX275" s="192"/>
      <c r="MPY275" s="192"/>
      <c r="MPZ275" s="192"/>
      <c r="MQA275" s="192"/>
      <c r="MQB275" s="192"/>
      <c r="MQC275" s="192"/>
      <c r="MQD275" s="192"/>
      <c r="MQE275" s="192"/>
      <c r="MQF275" s="192"/>
      <c r="MQG275" s="192"/>
      <c r="MQH275" s="192"/>
      <c r="MQI275" s="192"/>
      <c r="MQJ275" s="192"/>
      <c r="MQK275" s="192"/>
      <c r="MQL275" s="192"/>
      <c r="MQM275" s="192"/>
      <c r="MQN275" s="192"/>
      <c r="MQO275" s="192"/>
      <c r="MQP275" s="192"/>
      <c r="MQQ275" s="192"/>
      <c r="MQR275" s="192"/>
      <c r="MQS275" s="192"/>
      <c r="MQT275" s="192"/>
      <c r="MQU275" s="192"/>
      <c r="MQV275" s="192"/>
      <c r="MQW275" s="192"/>
      <c r="MQX275" s="192"/>
      <c r="MQY275" s="192"/>
      <c r="MQZ275" s="192"/>
      <c r="MRA275" s="192"/>
      <c r="MRB275" s="192"/>
      <c r="MRC275" s="192"/>
      <c r="MRD275" s="192"/>
      <c r="MRE275" s="192"/>
      <c r="MRF275" s="192"/>
      <c r="MRG275" s="192"/>
      <c r="MRH275" s="192"/>
      <c r="MRI275" s="192"/>
      <c r="MRJ275" s="192"/>
      <c r="MRK275" s="192"/>
      <c r="MRL275" s="192"/>
      <c r="MRM275" s="192"/>
      <c r="MRN275" s="192"/>
      <c r="MRO275" s="192"/>
      <c r="MRP275" s="192"/>
      <c r="MRQ275" s="192"/>
      <c r="MRR275" s="192"/>
      <c r="MRS275" s="192"/>
      <c r="MRT275" s="192"/>
      <c r="MRU275" s="192"/>
      <c r="MRV275" s="192"/>
      <c r="MRW275" s="192"/>
      <c r="MRX275" s="192"/>
      <c r="MRY275" s="192"/>
      <c r="MRZ275" s="192"/>
      <c r="MSA275" s="192"/>
      <c r="MSB275" s="192"/>
      <c r="MSC275" s="192"/>
      <c r="MSD275" s="192"/>
      <c r="MSE275" s="192"/>
      <c r="MSF275" s="192"/>
      <c r="MSG275" s="192"/>
      <c r="MSH275" s="192"/>
      <c r="MSI275" s="192"/>
      <c r="MSJ275" s="192"/>
      <c r="MSK275" s="192"/>
      <c r="MSL275" s="192"/>
      <c r="MSM275" s="192"/>
      <c r="MSN275" s="192"/>
      <c r="MSO275" s="192"/>
      <c r="MSP275" s="192"/>
      <c r="MSQ275" s="192"/>
      <c r="MSR275" s="192"/>
      <c r="MSS275" s="192"/>
      <c r="MST275" s="192"/>
      <c r="MSU275" s="192"/>
      <c r="MSV275" s="192"/>
      <c r="MSW275" s="192"/>
      <c r="MSX275" s="192"/>
      <c r="MSY275" s="192"/>
      <c r="MSZ275" s="192"/>
      <c r="MTA275" s="192"/>
      <c r="MTB275" s="192"/>
      <c r="MTC275" s="192"/>
      <c r="MTD275" s="192"/>
      <c r="MTE275" s="192"/>
      <c r="MTF275" s="192"/>
      <c r="MTG275" s="192"/>
      <c r="MTH275" s="192"/>
      <c r="MTI275" s="192"/>
      <c r="MTJ275" s="192"/>
      <c r="MTK275" s="192"/>
      <c r="MTL275" s="192"/>
      <c r="MTM275" s="192"/>
      <c r="MTN275" s="192"/>
      <c r="MTO275" s="192"/>
      <c r="MTP275" s="192"/>
      <c r="MTQ275" s="192"/>
      <c r="MTR275" s="192"/>
      <c r="MTS275" s="192"/>
      <c r="MTT275" s="192"/>
      <c r="MTU275" s="192"/>
      <c r="MTV275" s="192"/>
      <c r="MTW275" s="192"/>
      <c r="MTX275" s="192"/>
      <c r="MTY275" s="192"/>
      <c r="MTZ275" s="192"/>
      <c r="MUA275" s="192"/>
      <c r="MUB275" s="192"/>
      <c r="MUC275" s="192"/>
      <c r="MUD275" s="192"/>
      <c r="MUE275" s="192"/>
      <c r="MUF275" s="192"/>
      <c r="MUG275" s="192"/>
      <c r="MUH275" s="192"/>
      <c r="MUI275" s="192"/>
      <c r="MUJ275" s="192"/>
      <c r="MUK275" s="192"/>
      <c r="MUL275" s="192"/>
      <c r="MUM275" s="192"/>
      <c r="MUN275" s="192"/>
      <c r="MUO275" s="192"/>
      <c r="MUP275" s="192"/>
      <c r="MUQ275" s="192"/>
      <c r="MUR275" s="192"/>
      <c r="MUS275" s="192"/>
      <c r="MUT275" s="192"/>
      <c r="MUU275" s="192"/>
      <c r="MUV275" s="192"/>
      <c r="MUW275" s="192"/>
      <c r="MUX275" s="192"/>
      <c r="MUY275" s="192"/>
      <c r="MUZ275" s="192"/>
      <c r="MVA275" s="192"/>
      <c r="MVB275" s="192"/>
      <c r="MVC275" s="192"/>
      <c r="MVD275" s="192"/>
      <c r="MVE275" s="192"/>
      <c r="MVF275" s="192"/>
      <c r="MVG275" s="192"/>
      <c r="MVH275" s="192"/>
      <c r="MVI275" s="192"/>
      <c r="MVJ275" s="192"/>
      <c r="MVK275" s="192"/>
      <c r="MVL275" s="192"/>
      <c r="MVM275" s="192"/>
      <c r="MVN275" s="192"/>
      <c r="MVO275" s="192"/>
      <c r="MVP275" s="192"/>
      <c r="MVQ275" s="192"/>
      <c r="MVR275" s="192"/>
      <c r="MVS275" s="192"/>
      <c r="MVT275" s="192"/>
      <c r="MVU275" s="192"/>
      <c r="MVV275" s="192"/>
      <c r="MVW275" s="192"/>
      <c r="MVX275" s="192"/>
      <c r="MVY275" s="192"/>
      <c r="MVZ275" s="192"/>
      <c r="MWA275" s="192"/>
      <c r="MWB275" s="192"/>
      <c r="MWC275" s="192"/>
      <c r="MWD275" s="192"/>
      <c r="MWE275" s="192"/>
      <c r="MWF275" s="192"/>
      <c r="MWG275" s="192"/>
      <c r="MWH275" s="192"/>
      <c r="MWI275" s="192"/>
      <c r="MWJ275" s="192"/>
      <c r="MWK275" s="192"/>
      <c r="MWL275" s="192"/>
      <c r="MWM275" s="192"/>
      <c r="MWN275" s="192"/>
      <c r="MWO275" s="192"/>
      <c r="MWP275" s="192"/>
      <c r="MWQ275" s="192"/>
      <c r="MWR275" s="192"/>
      <c r="MWS275" s="192"/>
      <c r="MWT275" s="192"/>
      <c r="MWU275" s="192"/>
      <c r="MWV275" s="192"/>
      <c r="MWW275" s="192"/>
      <c r="MWX275" s="192"/>
      <c r="MWY275" s="192"/>
      <c r="MWZ275" s="192"/>
      <c r="MXA275" s="192"/>
      <c r="MXB275" s="192"/>
      <c r="MXC275" s="192"/>
      <c r="MXD275" s="192"/>
      <c r="MXE275" s="192"/>
      <c r="MXF275" s="192"/>
      <c r="MXG275" s="192"/>
      <c r="MXH275" s="192"/>
      <c r="MXI275" s="192"/>
      <c r="MXJ275" s="192"/>
      <c r="MXK275" s="192"/>
      <c r="MXL275" s="192"/>
      <c r="MXM275" s="192"/>
      <c r="MXN275" s="192"/>
      <c r="MXO275" s="192"/>
      <c r="MXP275" s="192"/>
      <c r="MXQ275" s="192"/>
      <c r="MXR275" s="192"/>
      <c r="MXS275" s="192"/>
      <c r="MXT275" s="192"/>
      <c r="MXU275" s="192"/>
      <c r="MXV275" s="192"/>
      <c r="MXW275" s="192"/>
      <c r="MXX275" s="192"/>
      <c r="MXY275" s="192"/>
      <c r="MXZ275" s="192"/>
      <c r="MYA275" s="192"/>
      <c r="MYB275" s="192"/>
      <c r="MYC275" s="192"/>
      <c r="MYD275" s="192"/>
      <c r="MYE275" s="192"/>
      <c r="MYF275" s="192"/>
      <c r="MYG275" s="192"/>
      <c r="MYH275" s="192"/>
      <c r="MYI275" s="192"/>
      <c r="MYJ275" s="192"/>
      <c r="MYK275" s="192"/>
      <c r="MYL275" s="192"/>
      <c r="MYM275" s="192"/>
      <c r="MYN275" s="192"/>
      <c r="MYO275" s="192"/>
      <c r="MYP275" s="192"/>
      <c r="MYQ275" s="192"/>
      <c r="MYR275" s="192"/>
      <c r="MYS275" s="192"/>
      <c r="MYT275" s="192"/>
      <c r="MYU275" s="192"/>
      <c r="MYV275" s="192"/>
      <c r="MYW275" s="192"/>
      <c r="MYX275" s="192"/>
      <c r="MYY275" s="192"/>
      <c r="MYZ275" s="192"/>
      <c r="MZA275" s="192"/>
      <c r="MZB275" s="192"/>
      <c r="MZC275" s="192"/>
      <c r="MZD275" s="192"/>
      <c r="MZE275" s="192"/>
      <c r="MZF275" s="192"/>
      <c r="MZG275" s="192"/>
      <c r="MZH275" s="192"/>
      <c r="MZI275" s="192"/>
      <c r="MZJ275" s="192"/>
      <c r="MZK275" s="192"/>
      <c r="MZL275" s="192"/>
      <c r="MZM275" s="192"/>
      <c r="MZN275" s="192"/>
      <c r="MZO275" s="192"/>
      <c r="MZP275" s="192"/>
      <c r="MZQ275" s="192"/>
      <c r="MZR275" s="192"/>
      <c r="MZS275" s="192"/>
      <c r="MZT275" s="192"/>
      <c r="MZU275" s="192"/>
      <c r="MZV275" s="192"/>
      <c r="MZW275" s="192"/>
      <c r="MZX275" s="192"/>
      <c r="MZY275" s="192"/>
      <c r="MZZ275" s="192"/>
      <c r="NAA275" s="192"/>
      <c r="NAB275" s="192"/>
      <c r="NAC275" s="192"/>
      <c r="NAD275" s="192"/>
      <c r="NAE275" s="192"/>
      <c r="NAF275" s="192"/>
      <c r="NAG275" s="192"/>
      <c r="NAH275" s="192"/>
      <c r="NAI275" s="192"/>
      <c r="NAJ275" s="192"/>
      <c r="NAK275" s="192"/>
      <c r="NAL275" s="192"/>
      <c r="NAM275" s="192"/>
      <c r="NAN275" s="192"/>
      <c r="NAO275" s="192"/>
      <c r="NAP275" s="192"/>
      <c r="NAQ275" s="192"/>
      <c r="NAR275" s="192"/>
      <c r="NAS275" s="192"/>
      <c r="NAT275" s="192"/>
      <c r="NAU275" s="192"/>
      <c r="NAV275" s="192"/>
      <c r="NAW275" s="192"/>
      <c r="NAX275" s="192"/>
      <c r="NAY275" s="192"/>
      <c r="NAZ275" s="192"/>
      <c r="NBA275" s="192"/>
      <c r="NBB275" s="192"/>
      <c r="NBC275" s="192"/>
      <c r="NBD275" s="192"/>
      <c r="NBE275" s="192"/>
      <c r="NBF275" s="192"/>
      <c r="NBG275" s="192"/>
      <c r="NBH275" s="192"/>
      <c r="NBI275" s="192"/>
      <c r="NBJ275" s="192"/>
      <c r="NBK275" s="192"/>
      <c r="NBL275" s="192"/>
      <c r="NBM275" s="192"/>
      <c r="NBN275" s="192"/>
      <c r="NBO275" s="192"/>
      <c r="NBP275" s="192"/>
      <c r="NBQ275" s="192"/>
      <c r="NBR275" s="192"/>
      <c r="NBS275" s="192"/>
      <c r="NBT275" s="192"/>
      <c r="NBU275" s="192"/>
      <c r="NBV275" s="192"/>
      <c r="NBW275" s="192"/>
      <c r="NBX275" s="192"/>
      <c r="NBY275" s="192"/>
      <c r="NBZ275" s="192"/>
      <c r="NCA275" s="192"/>
      <c r="NCB275" s="192"/>
      <c r="NCC275" s="192"/>
      <c r="NCD275" s="192"/>
      <c r="NCE275" s="192"/>
      <c r="NCF275" s="192"/>
      <c r="NCG275" s="192"/>
      <c r="NCH275" s="192"/>
      <c r="NCI275" s="192"/>
      <c r="NCJ275" s="192"/>
      <c r="NCK275" s="192"/>
      <c r="NCL275" s="192"/>
      <c r="NCM275" s="192"/>
      <c r="NCN275" s="192"/>
      <c r="NCO275" s="192"/>
      <c r="NCP275" s="192"/>
      <c r="NCQ275" s="192"/>
      <c r="NCR275" s="192"/>
      <c r="NCS275" s="192"/>
      <c r="NCT275" s="192"/>
      <c r="NCU275" s="192"/>
      <c r="NCV275" s="192"/>
      <c r="NCW275" s="192"/>
      <c r="NCX275" s="192"/>
      <c r="NCY275" s="192"/>
      <c r="NCZ275" s="192"/>
      <c r="NDA275" s="192"/>
      <c r="NDB275" s="192"/>
      <c r="NDC275" s="192"/>
      <c r="NDD275" s="192"/>
      <c r="NDE275" s="192"/>
      <c r="NDF275" s="192"/>
      <c r="NDG275" s="192"/>
      <c r="NDH275" s="192"/>
      <c r="NDI275" s="192"/>
      <c r="NDJ275" s="192"/>
      <c r="NDK275" s="192"/>
      <c r="NDL275" s="192"/>
      <c r="NDM275" s="192"/>
      <c r="NDN275" s="192"/>
      <c r="NDO275" s="192"/>
      <c r="NDP275" s="192"/>
      <c r="NDQ275" s="192"/>
      <c r="NDR275" s="192"/>
      <c r="NDS275" s="192"/>
      <c r="NDT275" s="192"/>
      <c r="NDU275" s="192"/>
      <c r="NDV275" s="192"/>
      <c r="NDW275" s="192"/>
      <c r="NDX275" s="192"/>
      <c r="NDY275" s="192"/>
      <c r="NDZ275" s="192"/>
      <c r="NEA275" s="192"/>
      <c r="NEB275" s="192"/>
      <c r="NEC275" s="192"/>
      <c r="NED275" s="192"/>
      <c r="NEE275" s="192"/>
      <c r="NEF275" s="192"/>
      <c r="NEG275" s="192"/>
      <c r="NEH275" s="192"/>
      <c r="NEI275" s="192"/>
      <c r="NEJ275" s="192"/>
      <c r="NEK275" s="192"/>
      <c r="NEL275" s="192"/>
      <c r="NEM275" s="192"/>
      <c r="NEN275" s="192"/>
      <c r="NEO275" s="192"/>
      <c r="NEP275" s="192"/>
      <c r="NEQ275" s="192"/>
      <c r="NER275" s="192"/>
      <c r="NES275" s="192"/>
      <c r="NET275" s="192"/>
      <c r="NEU275" s="192"/>
      <c r="NEV275" s="192"/>
      <c r="NEW275" s="192"/>
      <c r="NEX275" s="192"/>
      <c r="NEY275" s="192"/>
      <c r="NEZ275" s="192"/>
      <c r="NFA275" s="192"/>
      <c r="NFB275" s="192"/>
      <c r="NFC275" s="192"/>
      <c r="NFD275" s="192"/>
      <c r="NFE275" s="192"/>
      <c r="NFF275" s="192"/>
      <c r="NFG275" s="192"/>
      <c r="NFH275" s="192"/>
      <c r="NFI275" s="192"/>
      <c r="NFJ275" s="192"/>
      <c r="NFK275" s="192"/>
      <c r="NFL275" s="192"/>
      <c r="NFM275" s="192"/>
      <c r="NFN275" s="192"/>
      <c r="NFO275" s="192"/>
      <c r="NFP275" s="192"/>
      <c r="NFQ275" s="192"/>
      <c r="NFR275" s="192"/>
      <c r="NFS275" s="192"/>
      <c r="NFT275" s="192"/>
      <c r="NFU275" s="192"/>
      <c r="NFV275" s="192"/>
      <c r="NFW275" s="192"/>
      <c r="NFX275" s="192"/>
      <c r="NFY275" s="192"/>
      <c r="NFZ275" s="192"/>
      <c r="NGA275" s="192"/>
      <c r="NGB275" s="192"/>
      <c r="NGC275" s="192"/>
      <c r="NGD275" s="192"/>
      <c r="NGE275" s="192"/>
      <c r="NGF275" s="192"/>
      <c r="NGG275" s="192"/>
      <c r="NGH275" s="192"/>
      <c r="NGI275" s="192"/>
      <c r="NGJ275" s="192"/>
      <c r="NGK275" s="192"/>
      <c r="NGL275" s="192"/>
      <c r="NGM275" s="192"/>
      <c r="NGN275" s="192"/>
      <c r="NGO275" s="192"/>
      <c r="NGP275" s="192"/>
      <c r="NGQ275" s="192"/>
      <c r="NGR275" s="192"/>
      <c r="NGS275" s="192"/>
      <c r="NGT275" s="192"/>
      <c r="NGU275" s="192"/>
      <c r="NGV275" s="192"/>
      <c r="NGW275" s="192"/>
      <c r="NGX275" s="192"/>
      <c r="NGY275" s="192"/>
      <c r="NGZ275" s="192"/>
      <c r="NHA275" s="192"/>
      <c r="NHB275" s="192"/>
      <c r="NHC275" s="192"/>
      <c r="NHD275" s="192"/>
      <c r="NHE275" s="192"/>
      <c r="NHF275" s="192"/>
      <c r="NHG275" s="192"/>
      <c r="NHH275" s="192"/>
      <c r="NHI275" s="192"/>
      <c r="NHJ275" s="192"/>
      <c r="NHK275" s="192"/>
      <c r="NHL275" s="192"/>
      <c r="NHM275" s="192"/>
      <c r="NHN275" s="192"/>
      <c r="NHO275" s="192"/>
      <c r="NHP275" s="192"/>
      <c r="NHQ275" s="192"/>
      <c r="NHR275" s="192"/>
      <c r="NHS275" s="192"/>
      <c r="NHT275" s="192"/>
      <c r="NHU275" s="192"/>
      <c r="NHV275" s="192"/>
      <c r="NHW275" s="192"/>
      <c r="NHX275" s="192"/>
      <c r="NHY275" s="192"/>
      <c r="NHZ275" s="192"/>
      <c r="NIA275" s="192"/>
      <c r="NIB275" s="192"/>
      <c r="NIC275" s="192"/>
      <c r="NID275" s="192"/>
      <c r="NIE275" s="192"/>
      <c r="NIF275" s="192"/>
      <c r="NIG275" s="192"/>
      <c r="NIH275" s="192"/>
      <c r="NII275" s="192"/>
      <c r="NIJ275" s="192"/>
      <c r="NIK275" s="192"/>
      <c r="NIL275" s="192"/>
      <c r="NIM275" s="192"/>
      <c r="NIN275" s="192"/>
      <c r="NIO275" s="192"/>
      <c r="NIP275" s="192"/>
      <c r="NIQ275" s="192"/>
      <c r="NIR275" s="192"/>
      <c r="NIS275" s="192"/>
      <c r="NIT275" s="192"/>
      <c r="NIU275" s="192"/>
      <c r="NIV275" s="192"/>
      <c r="NIW275" s="192"/>
      <c r="NIX275" s="192"/>
      <c r="NIY275" s="192"/>
      <c r="NIZ275" s="192"/>
      <c r="NJA275" s="192"/>
      <c r="NJB275" s="192"/>
      <c r="NJC275" s="192"/>
      <c r="NJD275" s="192"/>
      <c r="NJE275" s="192"/>
      <c r="NJF275" s="192"/>
      <c r="NJG275" s="192"/>
      <c r="NJH275" s="192"/>
      <c r="NJI275" s="192"/>
      <c r="NJJ275" s="192"/>
      <c r="NJK275" s="192"/>
      <c r="NJL275" s="192"/>
      <c r="NJM275" s="192"/>
      <c r="NJN275" s="192"/>
      <c r="NJO275" s="192"/>
      <c r="NJP275" s="192"/>
      <c r="NJQ275" s="192"/>
      <c r="NJR275" s="192"/>
      <c r="NJS275" s="192"/>
      <c r="NJT275" s="192"/>
      <c r="NJU275" s="192"/>
      <c r="NJV275" s="192"/>
      <c r="NJW275" s="192"/>
      <c r="NJX275" s="192"/>
      <c r="NJY275" s="192"/>
      <c r="NJZ275" s="192"/>
      <c r="NKA275" s="192"/>
      <c r="NKB275" s="192"/>
      <c r="NKC275" s="192"/>
      <c r="NKD275" s="192"/>
      <c r="NKE275" s="192"/>
      <c r="NKF275" s="192"/>
      <c r="NKG275" s="192"/>
      <c r="NKH275" s="192"/>
      <c r="NKI275" s="192"/>
      <c r="NKJ275" s="192"/>
      <c r="NKK275" s="192"/>
      <c r="NKL275" s="192"/>
      <c r="NKM275" s="192"/>
      <c r="NKN275" s="192"/>
      <c r="NKO275" s="192"/>
      <c r="NKP275" s="192"/>
      <c r="NKQ275" s="192"/>
      <c r="NKR275" s="192"/>
      <c r="NKS275" s="192"/>
      <c r="NKT275" s="192"/>
      <c r="NKU275" s="192"/>
      <c r="NKV275" s="192"/>
      <c r="NKW275" s="192"/>
      <c r="NKX275" s="192"/>
      <c r="NKY275" s="192"/>
      <c r="NKZ275" s="192"/>
      <c r="NLA275" s="192"/>
      <c r="NLB275" s="192"/>
      <c r="NLC275" s="192"/>
      <c r="NLD275" s="192"/>
      <c r="NLE275" s="192"/>
      <c r="NLF275" s="192"/>
      <c r="NLG275" s="192"/>
      <c r="NLH275" s="192"/>
      <c r="NLI275" s="192"/>
      <c r="NLJ275" s="192"/>
      <c r="NLK275" s="192"/>
      <c r="NLL275" s="192"/>
      <c r="NLM275" s="192"/>
      <c r="NLN275" s="192"/>
      <c r="NLO275" s="192"/>
      <c r="NLP275" s="192"/>
      <c r="NLQ275" s="192"/>
      <c r="NLR275" s="192"/>
      <c r="NLS275" s="192"/>
      <c r="NLT275" s="192"/>
      <c r="NLU275" s="192"/>
      <c r="NLV275" s="192"/>
      <c r="NLW275" s="192"/>
      <c r="NLX275" s="192"/>
      <c r="NLY275" s="192"/>
      <c r="NLZ275" s="192"/>
      <c r="NMA275" s="192"/>
      <c r="NMB275" s="192"/>
      <c r="NMC275" s="192"/>
      <c r="NMD275" s="192"/>
      <c r="NME275" s="192"/>
      <c r="NMF275" s="192"/>
      <c r="NMG275" s="192"/>
      <c r="NMH275" s="192"/>
      <c r="NMI275" s="192"/>
      <c r="NMJ275" s="192"/>
      <c r="NMK275" s="192"/>
      <c r="NML275" s="192"/>
      <c r="NMM275" s="192"/>
      <c r="NMN275" s="192"/>
      <c r="NMO275" s="192"/>
      <c r="NMP275" s="192"/>
      <c r="NMQ275" s="192"/>
      <c r="NMR275" s="192"/>
      <c r="NMS275" s="192"/>
      <c r="NMT275" s="192"/>
      <c r="NMU275" s="192"/>
      <c r="NMV275" s="192"/>
      <c r="NMW275" s="192"/>
      <c r="NMX275" s="192"/>
      <c r="NMY275" s="192"/>
      <c r="NMZ275" s="192"/>
      <c r="NNA275" s="192"/>
      <c r="NNB275" s="192"/>
      <c r="NNC275" s="192"/>
      <c r="NND275" s="192"/>
      <c r="NNE275" s="192"/>
      <c r="NNF275" s="192"/>
      <c r="NNG275" s="192"/>
      <c r="NNH275" s="192"/>
      <c r="NNI275" s="192"/>
      <c r="NNJ275" s="192"/>
      <c r="NNK275" s="192"/>
      <c r="NNL275" s="192"/>
      <c r="NNM275" s="192"/>
      <c r="NNN275" s="192"/>
      <c r="NNO275" s="192"/>
      <c r="NNP275" s="192"/>
      <c r="NNQ275" s="192"/>
      <c r="NNR275" s="192"/>
      <c r="NNS275" s="192"/>
      <c r="NNT275" s="192"/>
      <c r="NNU275" s="192"/>
      <c r="NNV275" s="192"/>
      <c r="NNW275" s="192"/>
      <c r="NNX275" s="192"/>
      <c r="NNY275" s="192"/>
      <c r="NNZ275" s="192"/>
      <c r="NOA275" s="192"/>
      <c r="NOB275" s="192"/>
      <c r="NOC275" s="192"/>
      <c r="NOD275" s="192"/>
      <c r="NOE275" s="192"/>
      <c r="NOF275" s="192"/>
      <c r="NOG275" s="192"/>
      <c r="NOH275" s="192"/>
      <c r="NOI275" s="192"/>
      <c r="NOJ275" s="192"/>
      <c r="NOK275" s="192"/>
      <c r="NOL275" s="192"/>
      <c r="NOM275" s="192"/>
      <c r="NON275" s="192"/>
      <c r="NOO275" s="192"/>
      <c r="NOP275" s="192"/>
      <c r="NOQ275" s="192"/>
      <c r="NOR275" s="192"/>
      <c r="NOS275" s="192"/>
      <c r="NOT275" s="192"/>
      <c r="NOU275" s="192"/>
      <c r="NOV275" s="192"/>
      <c r="NOW275" s="192"/>
      <c r="NOX275" s="192"/>
      <c r="NOY275" s="192"/>
      <c r="NOZ275" s="192"/>
      <c r="NPA275" s="192"/>
      <c r="NPB275" s="192"/>
      <c r="NPC275" s="192"/>
      <c r="NPD275" s="192"/>
      <c r="NPE275" s="192"/>
      <c r="NPF275" s="192"/>
      <c r="NPG275" s="192"/>
      <c r="NPH275" s="192"/>
      <c r="NPI275" s="192"/>
      <c r="NPJ275" s="192"/>
      <c r="NPK275" s="192"/>
      <c r="NPL275" s="192"/>
      <c r="NPM275" s="192"/>
      <c r="NPN275" s="192"/>
      <c r="NPO275" s="192"/>
      <c r="NPP275" s="192"/>
      <c r="NPQ275" s="192"/>
      <c r="NPR275" s="192"/>
      <c r="NPS275" s="192"/>
      <c r="NPT275" s="192"/>
      <c r="NPU275" s="192"/>
      <c r="NPV275" s="192"/>
      <c r="NPW275" s="192"/>
      <c r="NPX275" s="192"/>
      <c r="NPY275" s="192"/>
      <c r="NPZ275" s="192"/>
      <c r="NQA275" s="192"/>
      <c r="NQB275" s="192"/>
      <c r="NQC275" s="192"/>
      <c r="NQD275" s="192"/>
      <c r="NQE275" s="192"/>
      <c r="NQF275" s="192"/>
      <c r="NQG275" s="192"/>
      <c r="NQH275" s="192"/>
      <c r="NQI275" s="192"/>
      <c r="NQJ275" s="192"/>
      <c r="NQK275" s="192"/>
      <c r="NQL275" s="192"/>
      <c r="NQM275" s="192"/>
      <c r="NQN275" s="192"/>
      <c r="NQO275" s="192"/>
      <c r="NQP275" s="192"/>
      <c r="NQQ275" s="192"/>
      <c r="NQR275" s="192"/>
      <c r="NQS275" s="192"/>
      <c r="NQT275" s="192"/>
      <c r="NQU275" s="192"/>
      <c r="NQV275" s="192"/>
      <c r="NQW275" s="192"/>
      <c r="NQX275" s="192"/>
      <c r="NQY275" s="192"/>
      <c r="NQZ275" s="192"/>
      <c r="NRA275" s="192"/>
      <c r="NRB275" s="192"/>
      <c r="NRC275" s="192"/>
      <c r="NRD275" s="192"/>
      <c r="NRE275" s="192"/>
      <c r="NRF275" s="192"/>
      <c r="NRG275" s="192"/>
      <c r="NRH275" s="192"/>
      <c r="NRI275" s="192"/>
      <c r="NRJ275" s="192"/>
      <c r="NRK275" s="192"/>
      <c r="NRL275" s="192"/>
      <c r="NRM275" s="192"/>
      <c r="NRN275" s="192"/>
      <c r="NRO275" s="192"/>
      <c r="NRP275" s="192"/>
      <c r="NRQ275" s="192"/>
      <c r="NRR275" s="192"/>
      <c r="NRS275" s="192"/>
      <c r="NRT275" s="192"/>
      <c r="NRU275" s="192"/>
      <c r="NRV275" s="192"/>
      <c r="NRW275" s="192"/>
      <c r="NRX275" s="192"/>
      <c r="NRY275" s="192"/>
      <c r="NRZ275" s="192"/>
      <c r="NSA275" s="192"/>
      <c r="NSB275" s="192"/>
      <c r="NSC275" s="192"/>
      <c r="NSD275" s="192"/>
      <c r="NSE275" s="192"/>
      <c r="NSF275" s="192"/>
      <c r="NSG275" s="192"/>
      <c r="NSH275" s="192"/>
      <c r="NSI275" s="192"/>
      <c r="NSJ275" s="192"/>
      <c r="NSK275" s="192"/>
      <c r="NSL275" s="192"/>
      <c r="NSM275" s="192"/>
      <c r="NSN275" s="192"/>
      <c r="NSO275" s="192"/>
      <c r="NSP275" s="192"/>
      <c r="NSQ275" s="192"/>
      <c r="NSR275" s="192"/>
      <c r="NSS275" s="192"/>
      <c r="NST275" s="192"/>
      <c r="NSU275" s="192"/>
      <c r="NSV275" s="192"/>
      <c r="NSW275" s="192"/>
      <c r="NSX275" s="192"/>
      <c r="NSY275" s="192"/>
      <c r="NSZ275" s="192"/>
      <c r="NTA275" s="192"/>
      <c r="NTB275" s="192"/>
      <c r="NTC275" s="192"/>
      <c r="NTD275" s="192"/>
      <c r="NTE275" s="192"/>
      <c r="NTF275" s="192"/>
      <c r="NTG275" s="192"/>
      <c r="NTH275" s="192"/>
      <c r="NTI275" s="192"/>
      <c r="NTJ275" s="192"/>
      <c r="NTK275" s="192"/>
      <c r="NTL275" s="192"/>
      <c r="NTM275" s="192"/>
      <c r="NTN275" s="192"/>
      <c r="NTO275" s="192"/>
      <c r="NTP275" s="192"/>
      <c r="NTQ275" s="192"/>
      <c r="NTR275" s="192"/>
      <c r="NTS275" s="192"/>
      <c r="NTT275" s="192"/>
      <c r="NTU275" s="192"/>
      <c r="NTV275" s="192"/>
      <c r="NTW275" s="192"/>
      <c r="NTX275" s="192"/>
      <c r="NTY275" s="192"/>
      <c r="NTZ275" s="192"/>
      <c r="NUA275" s="192"/>
      <c r="NUB275" s="192"/>
      <c r="NUC275" s="192"/>
      <c r="NUD275" s="192"/>
      <c r="NUE275" s="192"/>
      <c r="NUF275" s="192"/>
      <c r="NUG275" s="192"/>
      <c r="NUH275" s="192"/>
      <c r="NUI275" s="192"/>
      <c r="NUJ275" s="192"/>
      <c r="NUK275" s="192"/>
      <c r="NUL275" s="192"/>
      <c r="NUM275" s="192"/>
      <c r="NUN275" s="192"/>
      <c r="NUO275" s="192"/>
      <c r="NUP275" s="192"/>
      <c r="NUQ275" s="192"/>
      <c r="NUR275" s="192"/>
      <c r="NUS275" s="192"/>
      <c r="NUT275" s="192"/>
      <c r="NUU275" s="192"/>
      <c r="NUV275" s="192"/>
      <c r="NUW275" s="192"/>
      <c r="NUX275" s="192"/>
      <c r="NUY275" s="192"/>
      <c r="NUZ275" s="192"/>
      <c r="NVA275" s="192"/>
      <c r="NVB275" s="192"/>
      <c r="NVC275" s="192"/>
      <c r="NVD275" s="192"/>
      <c r="NVE275" s="192"/>
      <c r="NVF275" s="192"/>
      <c r="NVG275" s="192"/>
      <c r="NVH275" s="192"/>
      <c r="NVI275" s="192"/>
      <c r="NVJ275" s="192"/>
      <c r="NVK275" s="192"/>
      <c r="NVL275" s="192"/>
      <c r="NVM275" s="192"/>
      <c r="NVN275" s="192"/>
      <c r="NVO275" s="192"/>
      <c r="NVP275" s="192"/>
      <c r="NVQ275" s="192"/>
      <c r="NVR275" s="192"/>
      <c r="NVS275" s="192"/>
      <c r="NVT275" s="192"/>
      <c r="NVU275" s="192"/>
      <c r="NVV275" s="192"/>
      <c r="NVW275" s="192"/>
      <c r="NVX275" s="192"/>
      <c r="NVY275" s="192"/>
      <c r="NVZ275" s="192"/>
      <c r="NWA275" s="192"/>
      <c r="NWB275" s="192"/>
      <c r="NWC275" s="192"/>
      <c r="NWD275" s="192"/>
      <c r="NWE275" s="192"/>
      <c r="NWF275" s="192"/>
      <c r="NWG275" s="192"/>
      <c r="NWH275" s="192"/>
      <c r="NWI275" s="192"/>
      <c r="NWJ275" s="192"/>
      <c r="NWK275" s="192"/>
      <c r="NWL275" s="192"/>
      <c r="NWM275" s="192"/>
      <c r="NWN275" s="192"/>
      <c r="NWO275" s="192"/>
      <c r="NWP275" s="192"/>
      <c r="NWQ275" s="192"/>
      <c r="NWR275" s="192"/>
      <c r="NWS275" s="192"/>
      <c r="NWT275" s="192"/>
      <c r="NWU275" s="192"/>
      <c r="NWV275" s="192"/>
      <c r="NWW275" s="192"/>
      <c r="NWX275" s="192"/>
      <c r="NWY275" s="192"/>
      <c r="NWZ275" s="192"/>
      <c r="NXA275" s="192"/>
      <c r="NXB275" s="192"/>
      <c r="NXC275" s="192"/>
      <c r="NXD275" s="192"/>
      <c r="NXE275" s="192"/>
      <c r="NXF275" s="192"/>
      <c r="NXG275" s="192"/>
      <c r="NXH275" s="192"/>
      <c r="NXI275" s="192"/>
      <c r="NXJ275" s="192"/>
      <c r="NXK275" s="192"/>
      <c r="NXL275" s="192"/>
      <c r="NXM275" s="192"/>
      <c r="NXN275" s="192"/>
      <c r="NXO275" s="192"/>
      <c r="NXP275" s="192"/>
      <c r="NXQ275" s="192"/>
      <c r="NXR275" s="192"/>
      <c r="NXS275" s="192"/>
      <c r="NXT275" s="192"/>
      <c r="NXU275" s="192"/>
      <c r="NXV275" s="192"/>
      <c r="NXW275" s="192"/>
      <c r="NXX275" s="192"/>
      <c r="NXY275" s="192"/>
      <c r="NXZ275" s="192"/>
      <c r="NYA275" s="192"/>
      <c r="NYB275" s="192"/>
      <c r="NYC275" s="192"/>
      <c r="NYD275" s="192"/>
      <c r="NYE275" s="192"/>
      <c r="NYF275" s="192"/>
      <c r="NYG275" s="192"/>
      <c r="NYH275" s="192"/>
      <c r="NYI275" s="192"/>
      <c r="NYJ275" s="192"/>
      <c r="NYK275" s="192"/>
      <c r="NYL275" s="192"/>
      <c r="NYM275" s="192"/>
      <c r="NYN275" s="192"/>
      <c r="NYO275" s="192"/>
      <c r="NYP275" s="192"/>
      <c r="NYQ275" s="192"/>
      <c r="NYR275" s="192"/>
      <c r="NYS275" s="192"/>
      <c r="NYT275" s="192"/>
      <c r="NYU275" s="192"/>
      <c r="NYV275" s="192"/>
      <c r="NYW275" s="192"/>
      <c r="NYX275" s="192"/>
      <c r="NYY275" s="192"/>
      <c r="NYZ275" s="192"/>
      <c r="NZA275" s="192"/>
      <c r="NZB275" s="192"/>
      <c r="NZC275" s="192"/>
      <c r="NZD275" s="192"/>
      <c r="NZE275" s="192"/>
      <c r="NZF275" s="192"/>
      <c r="NZG275" s="192"/>
      <c r="NZH275" s="192"/>
      <c r="NZI275" s="192"/>
      <c r="NZJ275" s="192"/>
      <c r="NZK275" s="192"/>
      <c r="NZL275" s="192"/>
      <c r="NZM275" s="192"/>
      <c r="NZN275" s="192"/>
      <c r="NZO275" s="192"/>
      <c r="NZP275" s="192"/>
      <c r="NZQ275" s="192"/>
      <c r="NZR275" s="192"/>
      <c r="NZS275" s="192"/>
      <c r="NZT275" s="192"/>
      <c r="NZU275" s="192"/>
      <c r="NZV275" s="192"/>
      <c r="NZW275" s="192"/>
      <c r="NZX275" s="192"/>
      <c r="NZY275" s="192"/>
      <c r="NZZ275" s="192"/>
      <c r="OAA275" s="192"/>
      <c r="OAB275" s="192"/>
      <c r="OAC275" s="192"/>
      <c r="OAD275" s="192"/>
      <c r="OAE275" s="192"/>
      <c r="OAF275" s="192"/>
      <c r="OAG275" s="192"/>
      <c r="OAH275" s="192"/>
      <c r="OAI275" s="192"/>
      <c r="OAJ275" s="192"/>
      <c r="OAK275" s="192"/>
      <c r="OAL275" s="192"/>
      <c r="OAM275" s="192"/>
      <c r="OAN275" s="192"/>
      <c r="OAO275" s="192"/>
      <c r="OAP275" s="192"/>
      <c r="OAQ275" s="192"/>
      <c r="OAR275" s="192"/>
      <c r="OAS275" s="192"/>
      <c r="OAT275" s="192"/>
      <c r="OAU275" s="192"/>
      <c r="OAV275" s="192"/>
      <c r="OAW275" s="192"/>
      <c r="OAX275" s="192"/>
      <c r="OAY275" s="192"/>
      <c r="OAZ275" s="192"/>
      <c r="OBA275" s="192"/>
      <c r="OBB275" s="192"/>
      <c r="OBC275" s="192"/>
      <c r="OBD275" s="192"/>
      <c r="OBE275" s="192"/>
      <c r="OBF275" s="192"/>
      <c r="OBG275" s="192"/>
      <c r="OBH275" s="192"/>
      <c r="OBI275" s="192"/>
      <c r="OBJ275" s="192"/>
      <c r="OBK275" s="192"/>
      <c r="OBL275" s="192"/>
      <c r="OBM275" s="192"/>
      <c r="OBN275" s="192"/>
      <c r="OBO275" s="192"/>
      <c r="OBP275" s="192"/>
      <c r="OBQ275" s="192"/>
      <c r="OBR275" s="192"/>
      <c r="OBS275" s="192"/>
      <c r="OBT275" s="192"/>
      <c r="OBU275" s="192"/>
      <c r="OBV275" s="192"/>
      <c r="OBW275" s="192"/>
      <c r="OBX275" s="192"/>
      <c r="OBY275" s="192"/>
      <c r="OBZ275" s="192"/>
      <c r="OCA275" s="192"/>
      <c r="OCB275" s="192"/>
      <c r="OCC275" s="192"/>
      <c r="OCD275" s="192"/>
      <c r="OCE275" s="192"/>
      <c r="OCF275" s="192"/>
      <c r="OCG275" s="192"/>
      <c r="OCH275" s="192"/>
      <c r="OCI275" s="192"/>
      <c r="OCJ275" s="192"/>
      <c r="OCK275" s="192"/>
      <c r="OCL275" s="192"/>
      <c r="OCM275" s="192"/>
      <c r="OCN275" s="192"/>
      <c r="OCO275" s="192"/>
      <c r="OCP275" s="192"/>
      <c r="OCQ275" s="192"/>
      <c r="OCR275" s="192"/>
      <c r="OCS275" s="192"/>
      <c r="OCT275" s="192"/>
      <c r="OCU275" s="192"/>
      <c r="OCV275" s="192"/>
      <c r="OCW275" s="192"/>
      <c r="OCX275" s="192"/>
      <c r="OCY275" s="192"/>
      <c r="OCZ275" s="192"/>
      <c r="ODA275" s="192"/>
      <c r="ODB275" s="192"/>
      <c r="ODC275" s="192"/>
      <c r="ODD275" s="192"/>
      <c r="ODE275" s="192"/>
      <c r="ODF275" s="192"/>
      <c r="ODG275" s="192"/>
      <c r="ODH275" s="192"/>
      <c r="ODI275" s="192"/>
      <c r="ODJ275" s="192"/>
      <c r="ODK275" s="192"/>
      <c r="ODL275" s="192"/>
      <c r="ODM275" s="192"/>
      <c r="ODN275" s="192"/>
      <c r="ODO275" s="192"/>
      <c r="ODP275" s="192"/>
      <c r="ODQ275" s="192"/>
      <c r="ODR275" s="192"/>
      <c r="ODS275" s="192"/>
      <c r="ODT275" s="192"/>
      <c r="ODU275" s="192"/>
      <c r="ODV275" s="192"/>
      <c r="ODW275" s="192"/>
      <c r="ODX275" s="192"/>
      <c r="ODY275" s="192"/>
      <c r="ODZ275" s="192"/>
      <c r="OEA275" s="192"/>
      <c r="OEB275" s="192"/>
      <c r="OEC275" s="192"/>
      <c r="OED275" s="192"/>
      <c r="OEE275" s="192"/>
      <c r="OEF275" s="192"/>
      <c r="OEG275" s="192"/>
      <c r="OEH275" s="192"/>
      <c r="OEI275" s="192"/>
      <c r="OEJ275" s="192"/>
      <c r="OEK275" s="192"/>
      <c r="OEL275" s="192"/>
      <c r="OEM275" s="192"/>
      <c r="OEN275" s="192"/>
      <c r="OEO275" s="192"/>
      <c r="OEP275" s="192"/>
      <c r="OEQ275" s="192"/>
      <c r="OER275" s="192"/>
      <c r="OES275" s="192"/>
      <c r="OET275" s="192"/>
      <c r="OEU275" s="192"/>
      <c r="OEV275" s="192"/>
      <c r="OEW275" s="192"/>
      <c r="OEX275" s="192"/>
      <c r="OEY275" s="192"/>
      <c r="OEZ275" s="192"/>
      <c r="OFA275" s="192"/>
      <c r="OFB275" s="192"/>
      <c r="OFC275" s="192"/>
      <c r="OFD275" s="192"/>
      <c r="OFE275" s="192"/>
      <c r="OFF275" s="192"/>
      <c r="OFG275" s="192"/>
      <c r="OFH275" s="192"/>
      <c r="OFI275" s="192"/>
      <c r="OFJ275" s="192"/>
      <c r="OFK275" s="192"/>
      <c r="OFL275" s="192"/>
      <c r="OFM275" s="192"/>
      <c r="OFN275" s="192"/>
      <c r="OFO275" s="192"/>
      <c r="OFP275" s="192"/>
      <c r="OFQ275" s="192"/>
      <c r="OFR275" s="192"/>
      <c r="OFS275" s="192"/>
      <c r="OFT275" s="192"/>
      <c r="OFU275" s="192"/>
      <c r="OFV275" s="192"/>
      <c r="OFW275" s="192"/>
      <c r="OFX275" s="192"/>
      <c r="OFY275" s="192"/>
      <c r="OFZ275" s="192"/>
      <c r="OGA275" s="192"/>
      <c r="OGB275" s="192"/>
      <c r="OGC275" s="192"/>
      <c r="OGD275" s="192"/>
      <c r="OGE275" s="192"/>
      <c r="OGF275" s="192"/>
      <c r="OGG275" s="192"/>
      <c r="OGH275" s="192"/>
      <c r="OGI275" s="192"/>
      <c r="OGJ275" s="192"/>
      <c r="OGK275" s="192"/>
      <c r="OGL275" s="192"/>
      <c r="OGM275" s="192"/>
      <c r="OGN275" s="192"/>
      <c r="OGO275" s="192"/>
      <c r="OGP275" s="192"/>
      <c r="OGQ275" s="192"/>
      <c r="OGR275" s="192"/>
      <c r="OGS275" s="192"/>
      <c r="OGT275" s="192"/>
      <c r="OGU275" s="192"/>
      <c r="OGV275" s="192"/>
      <c r="OGW275" s="192"/>
      <c r="OGX275" s="192"/>
      <c r="OGY275" s="192"/>
      <c r="OGZ275" s="192"/>
      <c r="OHA275" s="192"/>
      <c r="OHB275" s="192"/>
      <c r="OHC275" s="192"/>
      <c r="OHD275" s="192"/>
      <c r="OHE275" s="192"/>
      <c r="OHF275" s="192"/>
      <c r="OHG275" s="192"/>
      <c r="OHH275" s="192"/>
      <c r="OHI275" s="192"/>
      <c r="OHJ275" s="192"/>
      <c r="OHK275" s="192"/>
      <c r="OHL275" s="192"/>
      <c r="OHM275" s="192"/>
      <c r="OHN275" s="192"/>
      <c r="OHO275" s="192"/>
      <c r="OHP275" s="192"/>
      <c r="OHQ275" s="192"/>
      <c r="OHR275" s="192"/>
      <c r="OHS275" s="192"/>
      <c r="OHT275" s="192"/>
      <c r="OHU275" s="192"/>
      <c r="OHV275" s="192"/>
      <c r="OHW275" s="192"/>
      <c r="OHX275" s="192"/>
      <c r="OHY275" s="192"/>
      <c r="OHZ275" s="192"/>
      <c r="OIA275" s="192"/>
      <c r="OIB275" s="192"/>
      <c r="OIC275" s="192"/>
      <c r="OID275" s="192"/>
      <c r="OIE275" s="192"/>
      <c r="OIF275" s="192"/>
      <c r="OIG275" s="192"/>
      <c r="OIH275" s="192"/>
      <c r="OII275" s="192"/>
      <c r="OIJ275" s="192"/>
      <c r="OIK275" s="192"/>
      <c r="OIL275" s="192"/>
      <c r="OIM275" s="192"/>
      <c r="OIN275" s="192"/>
      <c r="OIO275" s="192"/>
      <c r="OIP275" s="192"/>
      <c r="OIQ275" s="192"/>
      <c r="OIR275" s="192"/>
      <c r="OIS275" s="192"/>
      <c r="OIT275" s="192"/>
      <c r="OIU275" s="192"/>
      <c r="OIV275" s="192"/>
      <c r="OIW275" s="192"/>
      <c r="OIX275" s="192"/>
      <c r="OIY275" s="192"/>
      <c r="OIZ275" s="192"/>
      <c r="OJA275" s="192"/>
      <c r="OJB275" s="192"/>
      <c r="OJC275" s="192"/>
      <c r="OJD275" s="192"/>
      <c r="OJE275" s="192"/>
      <c r="OJF275" s="192"/>
      <c r="OJG275" s="192"/>
      <c r="OJH275" s="192"/>
      <c r="OJI275" s="192"/>
      <c r="OJJ275" s="192"/>
      <c r="OJK275" s="192"/>
      <c r="OJL275" s="192"/>
      <c r="OJM275" s="192"/>
      <c r="OJN275" s="192"/>
      <c r="OJO275" s="192"/>
      <c r="OJP275" s="192"/>
      <c r="OJQ275" s="192"/>
      <c r="OJR275" s="192"/>
      <c r="OJS275" s="192"/>
      <c r="OJT275" s="192"/>
      <c r="OJU275" s="192"/>
      <c r="OJV275" s="192"/>
      <c r="OJW275" s="192"/>
      <c r="OJX275" s="192"/>
      <c r="OJY275" s="192"/>
      <c r="OJZ275" s="192"/>
      <c r="OKA275" s="192"/>
      <c r="OKB275" s="192"/>
      <c r="OKC275" s="192"/>
      <c r="OKD275" s="192"/>
      <c r="OKE275" s="192"/>
      <c r="OKF275" s="192"/>
      <c r="OKG275" s="192"/>
      <c r="OKH275" s="192"/>
      <c r="OKI275" s="192"/>
      <c r="OKJ275" s="192"/>
      <c r="OKK275" s="192"/>
      <c r="OKL275" s="192"/>
      <c r="OKM275" s="192"/>
      <c r="OKN275" s="192"/>
      <c r="OKO275" s="192"/>
      <c r="OKP275" s="192"/>
      <c r="OKQ275" s="192"/>
      <c r="OKR275" s="192"/>
      <c r="OKS275" s="192"/>
      <c r="OKT275" s="192"/>
      <c r="OKU275" s="192"/>
      <c r="OKV275" s="192"/>
      <c r="OKW275" s="192"/>
      <c r="OKX275" s="192"/>
      <c r="OKY275" s="192"/>
      <c r="OKZ275" s="192"/>
      <c r="OLA275" s="192"/>
      <c r="OLB275" s="192"/>
      <c r="OLC275" s="192"/>
      <c r="OLD275" s="192"/>
      <c r="OLE275" s="192"/>
      <c r="OLF275" s="192"/>
      <c r="OLG275" s="192"/>
      <c r="OLH275" s="192"/>
      <c r="OLI275" s="192"/>
      <c r="OLJ275" s="192"/>
      <c r="OLK275" s="192"/>
      <c r="OLL275" s="192"/>
      <c r="OLM275" s="192"/>
      <c r="OLN275" s="192"/>
      <c r="OLO275" s="192"/>
      <c r="OLP275" s="192"/>
      <c r="OLQ275" s="192"/>
      <c r="OLR275" s="192"/>
      <c r="OLS275" s="192"/>
      <c r="OLT275" s="192"/>
      <c r="OLU275" s="192"/>
      <c r="OLV275" s="192"/>
      <c r="OLW275" s="192"/>
      <c r="OLX275" s="192"/>
      <c r="OLY275" s="192"/>
      <c r="OLZ275" s="192"/>
      <c r="OMA275" s="192"/>
      <c r="OMB275" s="192"/>
      <c r="OMC275" s="192"/>
      <c r="OMD275" s="192"/>
      <c r="OME275" s="192"/>
      <c r="OMF275" s="192"/>
      <c r="OMG275" s="192"/>
      <c r="OMH275" s="192"/>
      <c r="OMI275" s="192"/>
      <c r="OMJ275" s="192"/>
      <c r="OMK275" s="192"/>
      <c r="OML275" s="192"/>
      <c r="OMM275" s="192"/>
      <c r="OMN275" s="192"/>
      <c r="OMO275" s="192"/>
      <c r="OMP275" s="192"/>
      <c r="OMQ275" s="192"/>
      <c r="OMR275" s="192"/>
      <c r="OMS275" s="192"/>
      <c r="OMT275" s="192"/>
      <c r="OMU275" s="192"/>
      <c r="OMV275" s="192"/>
      <c r="OMW275" s="192"/>
      <c r="OMX275" s="192"/>
      <c r="OMY275" s="192"/>
      <c r="OMZ275" s="192"/>
      <c r="ONA275" s="192"/>
      <c r="ONB275" s="192"/>
      <c r="ONC275" s="192"/>
      <c r="OND275" s="192"/>
      <c r="ONE275" s="192"/>
      <c r="ONF275" s="192"/>
      <c r="ONG275" s="192"/>
      <c r="ONH275" s="192"/>
      <c r="ONI275" s="192"/>
      <c r="ONJ275" s="192"/>
      <c r="ONK275" s="192"/>
      <c r="ONL275" s="192"/>
      <c r="ONM275" s="192"/>
      <c r="ONN275" s="192"/>
      <c r="ONO275" s="192"/>
      <c r="ONP275" s="192"/>
      <c r="ONQ275" s="192"/>
      <c r="ONR275" s="192"/>
      <c r="ONS275" s="192"/>
      <c r="ONT275" s="192"/>
      <c r="ONU275" s="192"/>
      <c r="ONV275" s="192"/>
      <c r="ONW275" s="192"/>
      <c r="ONX275" s="192"/>
      <c r="ONY275" s="192"/>
      <c r="ONZ275" s="192"/>
      <c r="OOA275" s="192"/>
      <c r="OOB275" s="192"/>
      <c r="OOC275" s="192"/>
      <c r="OOD275" s="192"/>
      <c r="OOE275" s="192"/>
      <c r="OOF275" s="192"/>
      <c r="OOG275" s="192"/>
      <c r="OOH275" s="192"/>
      <c r="OOI275" s="192"/>
      <c r="OOJ275" s="192"/>
      <c r="OOK275" s="192"/>
      <c r="OOL275" s="192"/>
      <c r="OOM275" s="192"/>
      <c r="OON275" s="192"/>
      <c r="OOO275" s="192"/>
      <c r="OOP275" s="192"/>
      <c r="OOQ275" s="192"/>
      <c r="OOR275" s="192"/>
      <c r="OOS275" s="192"/>
      <c r="OOT275" s="192"/>
      <c r="OOU275" s="192"/>
      <c r="OOV275" s="192"/>
      <c r="OOW275" s="192"/>
      <c r="OOX275" s="192"/>
      <c r="OOY275" s="192"/>
      <c r="OOZ275" s="192"/>
      <c r="OPA275" s="192"/>
      <c r="OPB275" s="192"/>
      <c r="OPC275" s="192"/>
      <c r="OPD275" s="192"/>
      <c r="OPE275" s="192"/>
      <c r="OPF275" s="192"/>
      <c r="OPG275" s="192"/>
      <c r="OPH275" s="192"/>
      <c r="OPI275" s="192"/>
      <c r="OPJ275" s="192"/>
      <c r="OPK275" s="192"/>
      <c r="OPL275" s="192"/>
      <c r="OPM275" s="192"/>
      <c r="OPN275" s="192"/>
      <c r="OPO275" s="192"/>
      <c r="OPP275" s="192"/>
      <c r="OPQ275" s="192"/>
      <c r="OPR275" s="192"/>
      <c r="OPS275" s="192"/>
      <c r="OPT275" s="192"/>
      <c r="OPU275" s="192"/>
      <c r="OPV275" s="192"/>
      <c r="OPW275" s="192"/>
      <c r="OPX275" s="192"/>
      <c r="OPY275" s="192"/>
      <c r="OPZ275" s="192"/>
      <c r="OQA275" s="192"/>
      <c r="OQB275" s="192"/>
      <c r="OQC275" s="192"/>
      <c r="OQD275" s="192"/>
      <c r="OQE275" s="192"/>
      <c r="OQF275" s="192"/>
      <c r="OQG275" s="192"/>
      <c r="OQH275" s="192"/>
      <c r="OQI275" s="192"/>
      <c r="OQJ275" s="192"/>
      <c r="OQK275" s="192"/>
      <c r="OQL275" s="192"/>
      <c r="OQM275" s="192"/>
      <c r="OQN275" s="192"/>
      <c r="OQO275" s="192"/>
      <c r="OQP275" s="192"/>
      <c r="OQQ275" s="192"/>
      <c r="OQR275" s="192"/>
      <c r="OQS275" s="192"/>
      <c r="OQT275" s="192"/>
      <c r="OQU275" s="192"/>
      <c r="OQV275" s="192"/>
      <c r="OQW275" s="192"/>
      <c r="OQX275" s="192"/>
      <c r="OQY275" s="192"/>
      <c r="OQZ275" s="192"/>
      <c r="ORA275" s="192"/>
      <c r="ORB275" s="192"/>
      <c r="ORC275" s="192"/>
      <c r="ORD275" s="192"/>
      <c r="ORE275" s="192"/>
      <c r="ORF275" s="192"/>
      <c r="ORG275" s="192"/>
      <c r="ORH275" s="192"/>
      <c r="ORI275" s="192"/>
      <c r="ORJ275" s="192"/>
      <c r="ORK275" s="192"/>
      <c r="ORL275" s="192"/>
      <c r="ORM275" s="192"/>
      <c r="ORN275" s="192"/>
      <c r="ORO275" s="192"/>
      <c r="ORP275" s="192"/>
      <c r="ORQ275" s="192"/>
      <c r="ORR275" s="192"/>
      <c r="ORS275" s="192"/>
      <c r="ORT275" s="192"/>
      <c r="ORU275" s="192"/>
      <c r="ORV275" s="192"/>
      <c r="ORW275" s="192"/>
      <c r="ORX275" s="192"/>
      <c r="ORY275" s="192"/>
      <c r="ORZ275" s="192"/>
      <c r="OSA275" s="192"/>
      <c r="OSB275" s="192"/>
      <c r="OSC275" s="192"/>
      <c r="OSD275" s="192"/>
      <c r="OSE275" s="192"/>
      <c r="OSF275" s="192"/>
      <c r="OSG275" s="192"/>
      <c r="OSH275" s="192"/>
      <c r="OSI275" s="192"/>
      <c r="OSJ275" s="192"/>
      <c r="OSK275" s="192"/>
      <c r="OSL275" s="192"/>
      <c r="OSM275" s="192"/>
      <c r="OSN275" s="192"/>
      <c r="OSO275" s="192"/>
      <c r="OSP275" s="192"/>
      <c r="OSQ275" s="192"/>
      <c r="OSR275" s="192"/>
      <c r="OSS275" s="192"/>
      <c r="OST275" s="192"/>
      <c r="OSU275" s="192"/>
      <c r="OSV275" s="192"/>
      <c r="OSW275" s="192"/>
      <c r="OSX275" s="192"/>
      <c r="OSY275" s="192"/>
      <c r="OSZ275" s="192"/>
      <c r="OTA275" s="192"/>
      <c r="OTB275" s="192"/>
      <c r="OTC275" s="192"/>
      <c r="OTD275" s="192"/>
      <c r="OTE275" s="192"/>
      <c r="OTF275" s="192"/>
      <c r="OTG275" s="192"/>
      <c r="OTH275" s="192"/>
      <c r="OTI275" s="192"/>
      <c r="OTJ275" s="192"/>
      <c r="OTK275" s="192"/>
      <c r="OTL275" s="192"/>
      <c r="OTM275" s="192"/>
      <c r="OTN275" s="192"/>
      <c r="OTO275" s="192"/>
      <c r="OTP275" s="192"/>
      <c r="OTQ275" s="192"/>
      <c r="OTR275" s="192"/>
      <c r="OTS275" s="192"/>
      <c r="OTT275" s="192"/>
      <c r="OTU275" s="192"/>
      <c r="OTV275" s="192"/>
      <c r="OTW275" s="192"/>
      <c r="OTX275" s="192"/>
      <c r="OTY275" s="192"/>
      <c r="OTZ275" s="192"/>
      <c r="OUA275" s="192"/>
      <c r="OUB275" s="192"/>
      <c r="OUC275" s="192"/>
      <c r="OUD275" s="192"/>
      <c r="OUE275" s="192"/>
      <c r="OUF275" s="192"/>
      <c r="OUG275" s="192"/>
      <c r="OUH275" s="192"/>
      <c r="OUI275" s="192"/>
      <c r="OUJ275" s="192"/>
      <c r="OUK275" s="192"/>
      <c r="OUL275" s="192"/>
      <c r="OUM275" s="192"/>
      <c r="OUN275" s="192"/>
      <c r="OUO275" s="192"/>
      <c r="OUP275" s="192"/>
      <c r="OUQ275" s="192"/>
      <c r="OUR275" s="192"/>
      <c r="OUS275" s="192"/>
      <c r="OUT275" s="192"/>
      <c r="OUU275" s="192"/>
      <c r="OUV275" s="192"/>
      <c r="OUW275" s="192"/>
      <c r="OUX275" s="192"/>
      <c r="OUY275" s="192"/>
      <c r="OUZ275" s="192"/>
      <c r="OVA275" s="192"/>
      <c r="OVB275" s="192"/>
      <c r="OVC275" s="192"/>
      <c r="OVD275" s="192"/>
      <c r="OVE275" s="192"/>
      <c r="OVF275" s="192"/>
      <c r="OVG275" s="192"/>
      <c r="OVH275" s="192"/>
      <c r="OVI275" s="192"/>
      <c r="OVJ275" s="192"/>
      <c r="OVK275" s="192"/>
      <c r="OVL275" s="192"/>
      <c r="OVM275" s="192"/>
      <c r="OVN275" s="192"/>
      <c r="OVO275" s="192"/>
      <c r="OVP275" s="192"/>
      <c r="OVQ275" s="192"/>
      <c r="OVR275" s="192"/>
      <c r="OVS275" s="192"/>
      <c r="OVT275" s="192"/>
      <c r="OVU275" s="192"/>
      <c r="OVV275" s="192"/>
      <c r="OVW275" s="192"/>
      <c r="OVX275" s="192"/>
      <c r="OVY275" s="192"/>
      <c r="OVZ275" s="192"/>
      <c r="OWA275" s="192"/>
      <c r="OWB275" s="192"/>
      <c r="OWC275" s="192"/>
      <c r="OWD275" s="192"/>
      <c r="OWE275" s="192"/>
      <c r="OWF275" s="192"/>
      <c r="OWG275" s="192"/>
      <c r="OWH275" s="192"/>
      <c r="OWI275" s="192"/>
      <c r="OWJ275" s="192"/>
      <c r="OWK275" s="192"/>
      <c r="OWL275" s="192"/>
      <c r="OWM275" s="192"/>
      <c r="OWN275" s="192"/>
      <c r="OWO275" s="192"/>
      <c r="OWP275" s="192"/>
      <c r="OWQ275" s="192"/>
      <c r="OWR275" s="192"/>
      <c r="OWS275" s="192"/>
      <c r="OWT275" s="192"/>
      <c r="OWU275" s="192"/>
      <c r="OWV275" s="192"/>
      <c r="OWW275" s="192"/>
      <c r="OWX275" s="192"/>
      <c r="OWY275" s="192"/>
      <c r="OWZ275" s="192"/>
      <c r="OXA275" s="192"/>
      <c r="OXB275" s="192"/>
      <c r="OXC275" s="192"/>
      <c r="OXD275" s="192"/>
      <c r="OXE275" s="192"/>
      <c r="OXF275" s="192"/>
      <c r="OXG275" s="192"/>
      <c r="OXH275" s="192"/>
      <c r="OXI275" s="192"/>
      <c r="OXJ275" s="192"/>
      <c r="OXK275" s="192"/>
      <c r="OXL275" s="192"/>
      <c r="OXM275" s="192"/>
      <c r="OXN275" s="192"/>
      <c r="OXO275" s="192"/>
      <c r="OXP275" s="192"/>
      <c r="OXQ275" s="192"/>
      <c r="OXR275" s="192"/>
      <c r="OXS275" s="192"/>
      <c r="OXT275" s="192"/>
      <c r="OXU275" s="192"/>
      <c r="OXV275" s="192"/>
      <c r="OXW275" s="192"/>
      <c r="OXX275" s="192"/>
      <c r="OXY275" s="192"/>
      <c r="OXZ275" s="192"/>
      <c r="OYA275" s="192"/>
      <c r="OYB275" s="192"/>
      <c r="OYC275" s="192"/>
      <c r="OYD275" s="192"/>
      <c r="OYE275" s="192"/>
      <c r="OYF275" s="192"/>
      <c r="OYG275" s="192"/>
      <c r="OYH275" s="192"/>
      <c r="OYI275" s="192"/>
      <c r="OYJ275" s="192"/>
      <c r="OYK275" s="192"/>
      <c r="OYL275" s="192"/>
      <c r="OYM275" s="192"/>
      <c r="OYN275" s="192"/>
      <c r="OYO275" s="192"/>
      <c r="OYP275" s="192"/>
      <c r="OYQ275" s="192"/>
      <c r="OYR275" s="192"/>
      <c r="OYS275" s="192"/>
      <c r="OYT275" s="192"/>
      <c r="OYU275" s="192"/>
      <c r="OYV275" s="192"/>
      <c r="OYW275" s="192"/>
      <c r="OYX275" s="192"/>
      <c r="OYY275" s="192"/>
      <c r="OYZ275" s="192"/>
      <c r="OZA275" s="192"/>
      <c r="OZB275" s="192"/>
      <c r="OZC275" s="192"/>
      <c r="OZD275" s="192"/>
      <c r="OZE275" s="192"/>
      <c r="OZF275" s="192"/>
      <c r="OZG275" s="192"/>
      <c r="OZH275" s="192"/>
      <c r="OZI275" s="192"/>
      <c r="OZJ275" s="192"/>
      <c r="OZK275" s="192"/>
      <c r="OZL275" s="192"/>
      <c r="OZM275" s="192"/>
      <c r="OZN275" s="192"/>
      <c r="OZO275" s="192"/>
      <c r="OZP275" s="192"/>
      <c r="OZQ275" s="192"/>
      <c r="OZR275" s="192"/>
      <c r="OZS275" s="192"/>
      <c r="OZT275" s="192"/>
      <c r="OZU275" s="192"/>
      <c r="OZV275" s="192"/>
      <c r="OZW275" s="192"/>
      <c r="OZX275" s="192"/>
      <c r="OZY275" s="192"/>
      <c r="OZZ275" s="192"/>
      <c r="PAA275" s="192"/>
      <c r="PAB275" s="192"/>
      <c r="PAC275" s="192"/>
      <c r="PAD275" s="192"/>
      <c r="PAE275" s="192"/>
      <c r="PAF275" s="192"/>
      <c r="PAG275" s="192"/>
      <c r="PAH275" s="192"/>
      <c r="PAI275" s="192"/>
      <c r="PAJ275" s="192"/>
      <c r="PAK275" s="192"/>
      <c r="PAL275" s="192"/>
      <c r="PAM275" s="192"/>
      <c r="PAN275" s="192"/>
      <c r="PAO275" s="192"/>
      <c r="PAP275" s="192"/>
      <c r="PAQ275" s="192"/>
      <c r="PAR275" s="192"/>
      <c r="PAS275" s="192"/>
      <c r="PAT275" s="192"/>
      <c r="PAU275" s="192"/>
      <c r="PAV275" s="192"/>
      <c r="PAW275" s="192"/>
      <c r="PAX275" s="192"/>
      <c r="PAY275" s="192"/>
      <c r="PAZ275" s="192"/>
      <c r="PBA275" s="192"/>
      <c r="PBB275" s="192"/>
      <c r="PBC275" s="192"/>
      <c r="PBD275" s="192"/>
      <c r="PBE275" s="192"/>
      <c r="PBF275" s="192"/>
      <c r="PBG275" s="192"/>
      <c r="PBH275" s="192"/>
      <c r="PBI275" s="192"/>
      <c r="PBJ275" s="192"/>
      <c r="PBK275" s="192"/>
      <c r="PBL275" s="192"/>
      <c r="PBM275" s="192"/>
      <c r="PBN275" s="192"/>
      <c r="PBO275" s="192"/>
      <c r="PBP275" s="192"/>
      <c r="PBQ275" s="192"/>
      <c r="PBR275" s="192"/>
      <c r="PBS275" s="192"/>
      <c r="PBT275" s="192"/>
      <c r="PBU275" s="192"/>
      <c r="PBV275" s="192"/>
      <c r="PBW275" s="192"/>
      <c r="PBX275" s="192"/>
      <c r="PBY275" s="192"/>
      <c r="PBZ275" s="192"/>
      <c r="PCA275" s="192"/>
      <c r="PCB275" s="192"/>
      <c r="PCC275" s="192"/>
      <c r="PCD275" s="192"/>
      <c r="PCE275" s="192"/>
      <c r="PCF275" s="192"/>
      <c r="PCG275" s="192"/>
      <c r="PCH275" s="192"/>
      <c r="PCI275" s="192"/>
      <c r="PCJ275" s="192"/>
      <c r="PCK275" s="192"/>
      <c r="PCL275" s="192"/>
      <c r="PCM275" s="192"/>
      <c r="PCN275" s="192"/>
      <c r="PCO275" s="192"/>
      <c r="PCP275" s="192"/>
      <c r="PCQ275" s="192"/>
      <c r="PCR275" s="192"/>
      <c r="PCS275" s="192"/>
      <c r="PCT275" s="192"/>
      <c r="PCU275" s="192"/>
      <c r="PCV275" s="192"/>
      <c r="PCW275" s="192"/>
      <c r="PCX275" s="192"/>
      <c r="PCY275" s="192"/>
      <c r="PCZ275" s="192"/>
      <c r="PDA275" s="192"/>
      <c r="PDB275" s="192"/>
      <c r="PDC275" s="192"/>
      <c r="PDD275" s="192"/>
      <c r="PDE275" s="192"/>
      <c r="PDF275" s="192"/>
      <c r="PDG275" s="192"/>
      <c r="PDH275" s="192"/>
      <c r="PDI275" s="192"/>
      <c r="PDJ275" s="192"/>
      <c r="PDK275" s="192"/>
      <c r="PDL275" s="192"/>
      <c r="PDM275" s="192"/>
      <c r="PDN275" s="192"/>
      <c r="PDO275" s="192"/>
      <c r="PDP275" s="192"/>
      <c r="PDQ275" s="192"/>
      <c r="PDR275" s="192"/>
      <c r="PDS275" s="192"/>
      <c r="PDT275" s="192"/>
      <c r="PDU275" s="192"/>
      <c r="PDV275" s="192"/>
      <c r="PDW275" s="192"/>
      <c r="PDX275" s="192"/>
      <c r="PDY275" s="192"/>
      <c r="PDZ275" s="192"/>
      <c r="PEA275" s="192"/>
      <c r="PEB275" s="192"/>
      <c r="PEC275" s="192"/>
      <c r="PED275" s="192"/>
      <c r="PEE275" s="192"/>
      <c r="PEF275" s="192"/>
      <c r="PEG275" s="192"/>
      <c r="PEH275" s="192"/>
      <c r="PEI275" s="192"/>
      <c r="PEJ275" s="192"/>
      <c r="PEK275" s="192"/>
      <c r="PEL275" s="192"/>
      <c r="PEM275" s="192"/>
      <c r="PEN275" s="192"/>
      <c r="PEO275" s="192"/>
      <c r="PEP275" s="192"/>
      <c r="PEQ275" s="192"/>
      <c r="PER275" s="192"/>
      <c r="PES275" s="192"/>
      <c r="PET275" s="192"/>
      <c r="PEU275" s="192"/>
      <c r="PEV275" s="192"/>
      <c r="PEW275" s="192"/>
      <c r="PEX275" s="192"/>
      <c r="PEY275" s="192"/>
      <c r="PEZ275" s="192"/>
      <c r="PFA275" s="192"/>
      <c r="PFB275" s="192"/>
      <c r="PFC275" s="192"/>
      <c r="PFD275" s="192"/>
      <c r="PFE275" s="192"/>
      <c r="PFF275" s="192"/>
      <c r="PFG275" s="192"/>
      <c r="PFH275" s="192"/>
      <c r="PFI275" s="192"/>
      <c r="PFJ275" s="192"/>
      <c r="PFK275" s="192"/>
      <c r="PFL275" s="192"/>
      <c r="PFM275" s="192"/>
      <c r="PFN275" s="192"/>
      <c r="PFO275" s="192"/>
      <c r="PFP275" s="192"/>
      <c r="PFQ275" s="192"/>
      <c r="PFR275" s="192"/>
      <c r="PFS275" s="192"/>
      <c r="PFT275" s="192"/>
      <c r="PFU275" s="192"/>
      <c r="PFV275" s="192"/>
      <c r="PFW275" s="192"/>
      <c r="PFX275" s="192"/>
      <c r="PFY275" s="192"/>
      <c r="PFZ275" s="192"/>
      <c r="PGA275" s="192"/>
      <c r="PGB275" s="192"/>
      <c r="PGC275" s="192"/>
      <c r="PGD275" s="192"/>
      <c r="PGE275" s="192"/>
      <c r="PGF275" s="192"/>
      <c r="PGG275" s="192"/>
      <c r="PGH275" s="192"/>
      <c r="PGI275" s="192"/>
      <c r="PGJ275" s="192"/>
      <c r="PGK275" s="192"/>
      <c r="PGL275" s="192"/>
      <c r="PGM275" s="192"/>
      <c r="PGN275" s="192"/>
      <c r="PGO275" s="192"/>
      <c r="PGP275" s="192"/>
      <c r="PGQ275" s="192"/>
      <c r="PGR275" s="192"/>
      <c r="PGS275" s="192"/>
      <c r="PGT275" s="192"/>
      <c r="PGU275" s="192"/>
      <c r="PGV275" s="192"/>
      <c r="PGW275" s="192"/>
      <c r="PGX275" s="192"/>
      <c r="PGY275" s="192"/>
      <c r="PGZ275" s="192"/>
      <c r="PHA275" s="192"/>
      <c r="PHB275" s="192"/>
      <c r="PHC275" s="192"/>
      <c r="PHD275" s="192"/>
      <c r="PHE275" s="192"/>
      <c r="PHF275" s="192"/>
      <c r="PHG275" s="192"/>
      <c r="PHH275" s="192"/>
      <c r="PHI275" s="192"/>
      <c r="PHJ275" s="192"/>
      <c r="PHK275" s="192"/>
      <c r="PHL275" s="192"/>
      <c r="PHM275" s="192"/>
      <c r="PHN275" s="192"/>
      <c r="PHO275" s="192"/>
      <c r="PHP275" s="192"/>
      <c r="PHQ275" s="192"/>
      <c r="PHR275" s="192"/>
      <c r="PHS275" s="192"/>
      <c r="PHT275" s="192"/>
      <c r="PHU275" s="192"/>
      <c r="PHV275" s="192"/>
      <c r="PHW275" s="192"/>
      <c r="PHX275" s="192"/>
      <c r="PHY275" s="192"/>
      <c r="PHZ275" s="192"/>
      <c r="PIA275" s="192"/>
      <c r="PIB275" s="192"/>
      <c r="PIC275" s="192"/>
      <c r="PID275" s="192"/>
      <c r="PIE275" s="192"/>
      <c r="PIF275" s="192"/>
      <c r="PIG275" s="192"/>
      <c r="PIH275" s="192"/>
      <c r="PII275" s="192"/>
      <c r="PIJ275" s="192"/>
      <c r="PIK275" s="192"/>
      <c r="PIL275" s="192"/>
      <c r="PIM275" s="192"/>
      <c r="PIN275" s="192"/>
      <c r="PIO275" s="192"/>
      <c r="PIP275" s="192"/>
      <c r="PIQ275" s="192"/>
      <c r="PIR275" s="192"/>
      <c r="PIS275" s="192"/>
      <c r="PIT275" s="192"/>
      <c r="PIU275" s="192"/>
      <c r="PIV275" s="192"/>
      <c r="PIW275" s="192"/>
      <c r="PIX275" s="192"/>
      <c r="PIY275" s="192"/>
      <c r="PIZ275" s="192"/>
      <c r="PJA275" s="192"/>
      <c r="PJB275" s="192"/>
      <c r="PJC275" s="192"/>
      <c r="PJD275" s="192"/>
      <c r="PJE275" s="192"/>
      <c r="PJF275" s="192"/>
      <c r="PJG275" s="192"/>
      <c r="PJH275" s="192"/>
      <c r="PJI275" s="192"/>
      <c r="PJJ275" s="192"/>
      <c r="PJK275" s="192"/>
      <c r="PJL275" s="192"/>
      <c r="PJM275" s="192"/>
      <c r="PJN275" s="192"/>
      <c r="PJO275" s="192"/>
      <c r="PJP275" s="192"/>
      <c r="PJQ275" s="192"/>
      <c r="PJR275" s="192"/>
      <c r="PJS275" s="192"/>
      <c r="PJT275" s="192"/>
      <c r="PJU275" s="192"/>
      <c r="PJV275" s="192"/>
      <c r="PJW275" s="192"/>
      <c r="PJX275" s="192"/>
      <c r="PJY275" s="192"/>
      <c r="PJZ275" s="192"/>
      <c r="PKA275" s="192"/>
      <c r="PKB275" s="192"/>
      <c r="PKC275" s="192"/>
      <c r="PKD275" s="192"/>
      <c r="PKE275" s="192"/>
      <c r="PKF275" s="192"/>
      <c r="PKG275" s="192"/>
      <c r="PKH275" s="192"/>
      <c r="PKI275" s="192"/>
      <c r="PKJ275" s="192"/>
      <c r="PKK275" s="192"/>
      <c r="PKL275" s="192"/>
      <c r="PKM275" s="192"/>
      <c r="PKN275" s="192"/>
      <c r="PKO275" s="192"/>
      <c r="PKP275" s="192"/>
      <c r="PKQ275" s="192"/>
      <c r="PKR275" s="192"/>
      <c r="PKS275" s="192"/>
      <c r="PKT275" s="192"/>
      <c r="PKU275" s="192"/>
      <c r="PKV275" s="192"/>
      <c r="PKW275" s="192"/>
      <c r="PKX275" s="192"/>
      <c r="PKY275" s="192"/>
      <c r="PKZ275" s="192"/>
      <c r="PLA275" s="192"/>
      <c r="PLB275" s="192"/>
      <c r="PLC275" s="192"/>
      <c r="PLD275" s="192"/>
      <c r="PLE275" s="192"/>
      <c r="PLF275" s="192"/>
      <c r="PLG275" s="192"/>
      <c r="PLH275" s="192"/>
      <c r="PLI275" s="192"/>
      <c r="PLJ275" s="192"/>
      <c r="PLK275" s="192"/>
      <c r="PLL275" s="192"/>
      <c r="PLM275" s="192"/>
      <c r="PLN275" s="192"/>
      <c r="PLO275" s="192"/>
      <c r="PLP275" s="192"/>
      <c r="PLQ275" s="192"/>
      <c r="PLR275" s="192"/>
      <c r="PLS275" s="192"/>
      <c r="PLT275" s="192"/>
      <c r="PLU275" s="192"/>
      <c r="PLV275" s="192"/>
      <c r="PLW275" s="192"/>
      <c r="PLX275" s="192"/>
      <c r="PLY275" s="192"/>
      <c r="PLZ275" s="192"/>
      <c r="PMA275" s="192"/>
      <c r="PMB275" s="192"/>
      <c r="PMC275" s="192"/>
      <c r="PMD275" s="192"/>
      <c r="PME275" s="192"/>
      <c r="PMF275" s="192"/>
      <c r="PMG275" s="192"/>
      <c r="PMH275" s="192"/>
      <c r="PMI275" s="192"/>
      <c r="PMJ275" s="192"/>
      <c r="PMK275" s="192"/>
      <c r="PML275" s="192"/>
      <c r="PMM275" s="192"/>
      <c r="PMN275" s="192"/>
      <c r="PMO275" s="192"/>
      <c r="PMP275" s="192"/>
      <c r="PMQ275" s="192"/>
      <c r="PMR275" s="192"/>
      <c r="PMS275" s="192"/>
      <c r="PMT275" s="192"/>
      <c r="PMU275" s="192"/>
      <c r="PMV275" s="192"/>
      <c r="PMW275" s="192"/>
      <c r="PMX275" s="192"/>
      <c r="PMY275" s="192"/>
      <c r="PMZ275" s="192"/>
      <c r="PNA275" s="192"/>
      <c r="PNB275" s="192"/>
      <c r="PNC275" s="192"/>
      <c r="PND275" s="192"/>
      <c r="PNE275" s="192"/>
      <c r="PNF275" s="192"/>
      <c r="PNG275" s="192"/>
      <c r="PNH275" s="192"/>
      <c r="PNI275" s="192"/>
      <c r="PNJ275" s="192"/>
      <c r="PNK275" s="192"/>
      <c r="PNL275" s="192"/>
      <c r="PNM275" s="192"/>
      <c r="PNN275" s="192"/>
      <c r="PNO275" s="192"/>
      <c r="PNP275" s="192"/>
      <c r="PNQ275" s="192"/>
      <c r="PNR275" s="192"/>
      <c r="PNS275" s="192"/>
      <c r="PNT275" s="192"/>
      <c r="PNU275" s="192"/>
      <c r="PNV275" s="192"/>
      <c r="PNW275" s="192"/>
      <c r="PNX275" s="192"/>
      <c r="PNY275" s="192"/>
      <c r="PNZ275" s="192"/>
      <c r="POA275" s="192"/>
      <c r="POB275" s="192"/>
      <c r="POC275" s="192"/>
      <c r="POD275" s="192"/>
      <c r="POE275" s="192"/>
      <c r="POF275" s="192"/>
      <c r="POG275" s="192"/>
      <c r="POH275" s="192"/>
      <c r="POI275" s="192"/>
      <c r="POJ275" s="192"/>
      <c r="POK275" s="192"/>
      <c r="POL275" s="192"/>
      <c r="POM275" s="192"/>
      <c r="PON275" s="192"/>
      <c r="POO275" s="192"/>
      <c r="POP275" s="192"/>
      <c r="POQ275" s="192"/>
      <c r="POR275" s="192"/>
      <c r="POS275" s="192"/>
      <c r="POT275" s="192"/>
      <c r="POU275" s="192"/>
      <c r="POV275" s="192"/>
      <c r="POW275" s="192"/>
      <c r="POX275" s="192"/>
      <c r="POY275" s="192"/>
      <c r="POZ275" s="192"/>
      <c r="PPA275" s="192"/>
      <c r="PPB275" s="192"/>
      <c r="PPC275" s="192"/>
      <c r="PPD275" s="192"/>
      <c r="PPE275" s="192"/>
      <c r="PPF275" s="192"/>
      <c r="PPG275" s="192"/>
      <c r="PPH275" s="192"/>
      <c r="PPI275" s="192"/>
      <c r="PPJ275" s="192"/>
      <c r="PPK275" s="192"/>
      <c r="PPL275" s="192"/>
      <c r="PPM275" s="192"/>
      <c r="PPN275" s="192"/>
      <c r="PPO275" s="192"/>
      <c r="PPP275" s="192"/>
      <c r="PPQ275" s="192"/>
      <c r="PPR275" s="192"/>
      <c r="PPS275" s="192"/>
      <c r="PPT275" s="192"/>
      <c r="PPU275" s="192"/>
      <c r="PPV275" s="192"/>
      <c r="PPW275" s="192"/>
      <c r="PPX275" s="192"/>
      <c r="PPY275" s="192"/>
      <c r="PPZ275" s="192"/>
      <c r="PQA275" s="192"/>
      <c r="PQB275" s="192"/>
      <c r="PQC275" s="192"/>
      <c r="PQD275" s="192"/>
      <c r="PQE275" s="192"/>
      <c r="PQF275" s="192"/>
      <c r="PQG275" s="192"/>
      <c r="PQH275" s="192"/>
      <c r="PQI275" s="192"/>
      <c r="PQJ275" s="192"/>
      <c r="PQK275" s="192"/>
      <c r="PQL275" s="192"/>
      <c r="PQM275" s="192"/>
      <c r="PQN275" s="192"/>
      <c r="PQO275" s="192"/>
      <c r="PQP275" s="192"/>
      <c r="PQQ275" s="192"/>
      <c r="PQR275" s="192"/>
      <c r="PQS275" s="192"/>
      <c r="PQT275" s="192"/>
      <c r="PQU275" s="192"/>
      <c r="PQV275" s="192"/>
      <c r="PQW275" s="192"/>
      <c r="PQX275" s="192"/>
      <c r="PQY275" s="192"/>
      <c r="PQZ275" s="192"/>
      <c r="PRA275" s="192"/>
      <c r="PRB275" s="192"/>
      <c r="PRC275" s="192"/>
      <c r="PRD275" s="192"/>
      <c r="PRE275" s="192"/>
      <c r="PRF275" s="192"/>
      <c r="PRG275" s="192"/>
      <c r="PRH275" s="192"/>
      <c r="PRI275" s="192"/>
      <c r="PRJ275" s="192"/>
      <c r="PRK275" s="192"/>
      <c r="PRL275" s="192"/>
      <c r="PRM275" s="192"/>
      <c r="PRN275" s="192"/>
      <c r="PRO275" s="192"/>
      <c r="PRP275" s="192"/>
      <c r="PRQ275" s="192"/>
      <c r="PRR275" s="192"/>
      <c r="PRS275" s="192"/>
      <c r="PRT275" s="192"/>
      <c r="PRU275" s="192"/>
      <c r="PRV275" s="192"/>
      <c r="PRW275" s="192"/>
      <c r="PRX275" s="192"/>
      <c r="PRY275" s="192"/>
      <c r="PRZ275" s="192"/>
      <c r="PSA275" s="192"/>
      <c r="PSB275" s="192"/>
      <c r="PSC275" s="192"/>
      <c r="PSD275" s="192"/>
      <c r="PSE275" s="192"/>
      <c r="PSF275" s="192"/>
      <c r="PSG275" s="192"/>
      <c r="PSH275" s="192"/>
      <c r="PSI275" s="192"/>
      <c r="PSJ275" s="192"/>
      <c r="PSK275" s="192"/>
      <c r="PSL275" s="192"/>
      <c r="PSM275" s="192"/>
      <c r="PSN275" s="192"/>
      <c r="PSO275" s="192"/>
      <c r="PSP275" s="192"/>
      <c r="PSQ275" s="192"/>
      <c r="PSR275" s="192"/>
      <c r="PSS275" s="192"/>
      <c r="PST275" s="192"/>
      <c r="PSU275" s="192"/>
      <c r="PSV275" s="192"/>
      <c r="PSW275" s="192"/>
      <c r="PSX275" s="192"/>
      <c r="PSY275" s="192"/>
      <c r="PSZ275" s="192"/>
      <c r="PTA275" s="192"/>
      <c r="PTB275" s="192"/>
      <c r="PTC275" s="192"/>
      <c r="PTD275" s="192"/>
      <c r="PTE275" s="192"/>
      <c r="PTF275" s="192"/>
      <c r="PTG275" s="192"/>
      <c r="PTH275" s="192"/>
      <c r="PTI275" s="192"/>
      <c r="PTJ275" s="192"/>
      <c r="PTK275" s="192"/>
      <c r="PTL275" s="192"/>
      <c r="PTM275" s="192"/>
      <c r="PTN275" s="192"/>
      <c r="PTO275" s="192"/>
      <c r="PTP275" s="192"/>
      <c r="PTQ275" s="192"/>
      <c r="PTR275" s="192"/>
      <c r="PTS275" s="192"/>
      <c r="PTT275" s="192"/>
      <c r="PTU275" s="192"/>
      <c r="PTV275" s="192"/>
      <c r="PTW275" s="192"/>
      <c r="PTX275" s="192"/>
      <c r="PTY275" s="192"/>
      <c r="PTZ275" s="192"/>
      <c r="PUA275" s="192"/>
      <c r="PUB275" s="192"/>
      <c r="PUC275" s="192"/>
      <c r="PUD275" s="192"/>
      <c r="PUE275" s="192"/>
      <c r="PUF275" s="192"/>
      <c r="PUG275" s="192"/>
      <c r="PUH275" s="192"/>
      <c r="PUI275" s="192"/>
      <c r="PUJ275" s="192"/>
      <c r="PUK275" s="192"/>
      <c r="PUL275" s="192"/>
      <c r="PUM275" s="192"/>
      <c r="PUN275" s="192"/>
      <c r="PUO275" s="192"/>
      <c r="PUP275" s="192"/>
      <c r="PUQ275" s="192"/>
      <c r="PUR275" s="192"/>
      <c r="PUS275" s="192"/>
      <c r="PUT275" s="192"/>
      <c r="PUU275" s="192"/>
      <c r="PUV275" s="192"/>
      <c r="PUW275" s="192"/>
      <c r="PUX275" s="192"/>
      <c r="PUY275" s="192"/>
      <c r="PUZ275" s="192"/>
      <c r="PVA275" s="192"/>
      <c r="PVB275" s="192"/>
      <c r="PVC275" s="192"/>
      <c r="PVD275" s="192"/>
      <c r="PVE275" s="192"/>
      <c r="PVF275" s="192"/>
      <c r="PVG275" s="192"/>
      <c r="PVH275" s="192"/>
      <c r="PVI275" s="192"/>
      <c r="PVJ275" s="192"/>
      <c r="PVK275" s="192"/>
      <c r="PVL275" s="192"/>
      <c r="PVM275" s="192"/>
      <c r="PVN275" s="192"/>
      <c r="PVO275" s="192"/>
      <c r="PVP275" s="192"/>
      <c r="PVQ275" s="192"/>
      <c r="PVR275" s="192"/>
      <c r="PVS275" s="192"/>
      <c r="PVT275" s="192"/>
      <c r="PVU275" s="192"/>
      <c r="PVV275" s="192"/>
      <c r="PVW275" s="192"/>
      <c r="PVX275" s="192"/>
      <c r="PVY275" s="192"/>
      <c r="PVZ275" s="192"/>
      <c r="PWA275" s="192"/>
      <c r="PWB275" s="192"/>
      <c r="PWC275" s="192"/>
      <c r="PWD275" s="192"/>
      <c r="PWE275" s="192"/>
      <c r="PWF275" s="192"/>
      <c r="PWG275" s="192"/>
      <c r="PWH275" s="192"/>
      <c r="PWI275" s="192"/>
      <c r="PWJ275" s="192"/>
      <c r="PWK275" s="192"/>
      <c r="PWL275" s="192"/>
      <c r="PWM275" s="192"/>
      <c r="PWN275" s="192"/>
      <c r="PWO275" s="192"/>
      <c r="PWP275" s="192"/>
      <c r="PWQ275" s="192"/>
      <c r="PWR275" s="192"/>
      <c r="PWS275" s="192"/>
      <c r="PWT275" s="192"/>
      <c r="PWU275" s="192"/>
      <c r="PWV275" s="192"/>
      <c r="PWW275" s="192"/>
      <c r="PWX275" s="192"/>
      <c r="PWY275" s="192"/>
      <c r="PWZ275" s="192"/>
      <c r="PXA275" s="192"/>
      <c r="PXB275" s="192"/>
      <c r="PXC275" s="192"/>
      <c r="PXD275" s="192"/>
      <c r="PXE275" s="192"/>
      <c r="PXF275" s="192"/>
      <c r="PXG275" s="192"/>
      <c r="PXH275" s="192"/>
      <c r="PXI275" s="192"/>
      <c r="PXJ275" s="192"/>
      <c r="PXK275" s="192"/>
      <c r="PXL275" s="192"/>
      <c r="PXM275" s="192"/>
      <c r="PXN275" s="192"/>
      <c r="PXO275" s="192"/>
      <c r="PXP275" s="192"/>
      <c r="PXQ275" s="192"/>
      <c r="PXR275" s="192"/>
      <c r="PXS275" s="192"/>
      <c r="PXT275" s="192"/>
      <c r="PXU275" s="192"/>
      <c r="PXV275" s="192"/>
      <c r="PXW275" s="192"/>
      <c r="PXX275" s="192"/>
      <c r="PXY275" s="192"/>
      <c r="PXZ275" s="192"/>
      <c r="PYA275" s="192"/>
      <c r="PYB275" s="192"/>
      <c r="PYC275" s="192"/>
      <c r="PYD275" s="192"/>
      <c r="PYE275" s="192"/>
      <c r="PYF275" s="192"/>
      <c r="PYG275" s="192"/>
      <c r="PYH275" s="192"/>
      <c r="PYI275" s="192"/>
      <c r="PYJ275" s="192"/>
      <c r="PYK275" s="192"/>
      <c r="PYL275" s="192"/>
      <c r="PYM275" s="192"/>
      <c r="PYN275" s="192"/>
      <c r="PYO275" s="192"/>
      <c r="PYP275" s="192"/>
      <c r="PYQ275" s="192"/>
      <c r="PYR275" s="192"/>
      <c r="PYS275" s="192"/>
      <c r="PYT275" s="192"/>
      <c r="PYU275" s="192"/>
      <c r="PYV275" s="192"/>
      <c r="PYW275" s="192"/>
      <c r="PYX275" s="192"/>
      <c r="PYY275" s="192"/>
      <c r="PYZ275" s="192"/>
      <c r="PZA275" s="192"/>
      <c r="PZB275" s="192"/>
      <c r="PZC275" s="192"/>
      <c r="PZD275" s="192"/>
      <c r="PZE275" s="192"/>
      <c r="PZF275" s="192"/>
      <c r="PZG275" s="192"/>
      <c r="PZH275" s="192"/>
      <c r="PZI275" s="192"/>
      <c r="PZJ275" s="192"/>
      <c r="PZK275" s="192"/>
      <c r="PZL275" s="192"/>
      <c r="PZM275" s="192"/>
      <c r="PZN275" s="192"/>
      <c r="PZO275" s="192"/>
      <c r="PZP275" s="192"/>
      <c r="PZQ275" s="192"/>
      <c r="PZR275" s="192"/>
      <c r="PZS275" s="192"/>
      <c r="PZT275" s="192"/>
      <c r="PZU275" s="192"/>
      <c r="PZV275" s="192"/>
      <c r="PZW275" s="192"/>
      <c r="PZX275" s="192"/>
      <c r="PZY275" s="192"/>
      <c r="PZZ275" s="192"/>
      <c r="QAA275" s="192"/>
      <c r="QAB275" s="192"/>
      <c r="QAC275" s="192"/>
      <c r="QAD275" s="192"/>
      <c r="QAE275" s="192"/>
      <c r="QAF275" s="192"/>
      <c r="QAG275" s="192"/>
      <c r="QAH275" s="192"/>
      <c r="QAI275" s="192"/>
      <c r="QAJ275" s="192"/>
      <c r="QAK275" s="192"/>
      <c r="QAL275" s="192"/>
      <c r="QAM275" s="192"/>
      <c r="QAN275" s="192"/>
      <c r="QAO275" s="192"/>
      <c r="QAP275" s="192"/>
      <c r="QAQ275" s="192"/>
      <c r="QAR275" s="192"/>
      <c r="QAS275" s="192"/>
      <c r="QAT275" s="192"/>
      <c r="QAU275" s="192"/>
      <c r="QAV275" s="192"/>
      <c r="QAW275" s="192"/>
      <c r="QAX275" s="192"/>
      <c r="QAY275" s="192"/>
      <c r="QAZ275" s="192"/>
      <c r="QBA275" s="192"/>
      <c r="QBB275" s="192"/>
      <c r="QBC275" s="192"/>
      <c r="QBD275" s="192"/>
      <c r="QBE275" s="192"/>
      <c r="QBF275" s="192"/>
      <c r="QBG275" s="192"/>
      <c r="QBH275" s="192"/>
      <c r="QBI275" s="192"/>
      <c r="QBJ275" s="192"/>
      <c r="QBK275" s="192"/>
      <c r="QBL275" s="192"/>
      <c r="QBM275" s="192"/>
      <c r="QBN275" s="192"/>
      <c r="QBO275" s="192"/>
      <c r="QBP275" s="192"/>
      <c r="QBQ275" s="192"/>
      <c r="QBR275" s="192"/>
      <c r="QBS275" s="192"/>
      <c r="QBT275" s="192"/>
      <c r="QBU275" s="192"/>
      <c r="QBV275" s="192"/>
      <c r="QBW275" s="192"/>
      <c r="QBX275" s="192"/>
      <c r="QBY275" s="192"/>
      <c r="QBZ275" s="192"/>
      <c r="QCA275" s="192"/>
      <c r="QCB275" s="192"/>
      <c r="QCC275" s="192"/>
      <c r="QCD275" s="192"/>
      <c r="QCE275" s="192"/>
      <c r="QCF275" s="192"/>
      <c r="QCG275" s="192"/>
      <c r="QCH275" s="192"/>
      <c r="QCI275" s="192"/>
      <c r="QCJ275" s="192"/>
      <c r="QCK275" s="192"/>
      <c r="QCL275" s="192"/>
      <c r="QCM275" s="192"/>
      <c r="QCN275" s="192"/>
      <c r="QCO275" s="192"/>
      <c r="QCP275" s="192"/>
      <c r="QCQ275" s="192"/>
      <c r="QCR275" s="192"/>
      <c r="QCS275" s="192"/>
      <c r="QCT275" s="192"/>
      <c r="QCU275" s="192"/>
      <c r="QCV275" s="192"/>
      <c r="QCW275" s="192"/>
      <c r="QCX275" s="192"/>
      <c r="QCY275" s="192"/>
      <c r="QCZ275" s="192"/>
      <c r="QDA275" s="192"/>
      <c r="QDB275" s="192"/>
      <c r="QDC275" s="192"/>
      <c r="QDD275" s="192"/>
      <c r="QDE275" s="192"/>
      <c r="QDF275" s="192"/>
      <c r="QDG275" s="192"/>
      <c r="QDH275" s="192"/>
      <c r="QDI275" s="192"/>
      <c r="QDJ275" s="192"/>
      <c r="QDK275" s="192"/>
      <c r="QDL275" s="192"/>
      <c r="QDM275" s="192"/>
      <c r="QDN275" s="192"/>
      <c r="QDO275" s="192"/>
      <c r="QDP275" s="192"/>
      <c r="QDQ275" s="192"/>
      <c r="QDR275" s="192"/>
      <c r="QDS275" s="192"/>
      <c r="QDT275" s="192"/>
      <c r="QDU275" s="192"/>
      <c r="QDV275" s="192"/>
      <c r="QDW275" s="192"/>
      <c r="QDX275" s="192"/>
      <c r="QDY275" s="192"/>
      <c r="QDZ275" s="192"/>
      <c r="QEA275" s="192"/>
      <c r="QEB275" s="192"/>
      <c r="QEC275" s="192"/>
      <c r="QED275" s="192"/>
      <c r="QEE275" s="192"/>
      <c r="QEF275" s="192"/>
      <c r="QEG275" s="192"/>
      <c r="QEH275" s="192"/>
      <c r="QEI275" s="192"/>
      <c r="QEJ275" s="192"/>
      <c r="QEK275" s="192"/>
      <c r="QEL275" s="192"/>
      <c r="QEM275" s="192"/>
      <c r="QEN275" s="192"/>
      <c r="QEO275" s="192"/>
      <c r="QEP275" s="192"/>
      <c r="QEQ275" s="192"/>
      <c r="QER275" s="192"/>
      <c r="QES275" s="192"/>
      <c r="QET275" s="192"/>
      <c r="QEU275" s="192"/>
      <c r="QEV275" s="192"/>
      <c r="QEW275" s="192"/>
      <c r="QEX275" s="192"/>
      <c r="QEY275" s="192"/>
      <c r="QEZ275" s="192"/>
      <c r="QFA275" s="192"/>
      <c r="QFB275" s="192"/>
      <c r="QFC275" s="192"/>
      <c r="QFD275" s="192"/>
      <c r="QFE275" s="192"/>
      <c r="QFF275" s="192"/>
      <c r="QFG275" s="192"/>
      <c r="QFH275" s="192"/>
      <c r="QFI275" s="192"/>
      <c r="QFJ275" s="192"/>
      <c r="QFK275" s="192"/>
      <c r="QFL275" s="192"/>
      <c r="QFM275" s="192"/>
      <c r="QFN275" s="192"/>
      <c r="QFO275" s="192"/>
      <c r="QFP275" s="192"/>
      <c r="QFQ275" s="192"/>
      <c r="QFR275" s="192"/>
      <c r="QFS275" s="192"/>
      <c r="QFT275" s="192"/>
      <c r="QFU275" s="192"/>
      <c r="QFV275" s="192"/>
      <c r="QFW275" s="192"/>
      <c r="QFX275" s="192"/>
      <c r="QFY275" s="192"/>
      <c r="QFZ275" s="192"/>
      <c r="QGA275" s="192"/>
      <c r="QGB275" s="192"/>
      <c r="QGC275" s="192"/>
      <c r="QGD275" s="192"/>
      <c r="QGE275" s="192"/>
      <c r="QGF275" s="192"/>
      <c r="QGG275" s="192"/>
      <c r="QGH275" s="192"/>
      <c r="QGI275" s="192"/>
      <c r="QGJ275" s="192"/>
      <c r="QGK275" s="192"/>
      <c r="QGL275" s="192"/>
      <c r="QGM275" s="192"/>
      <c r="QGN275" s="192"/>
      <c r="QGO275" s="192"/>
      <c r="QGP275" s="192"/>
      <c r="QGQ275" s="192"/>
      <c r="QGR275" s="192"/>
      <c r="QGS275" s="192"/>
      <c r="QGT275" s="192"/>
      <c r="QGU275" s="192"/>
      <c r="QGV275" s="192"/>
      <c r="QGW275" s="192"/>
      <c r="QGX275" s="192"/>
      <c r="QGY275" s="192"/>
      <c r="QGZ275" s="192"/>
      <c r="QHA275" s="192"/>
      <c r="QHB275" s="192"/>
      <c r="QHC275" s="192"/>
      <c r="QHD275" s="192"/>
      <c r="QHE275" s="192"/>
      <c r="QHF275" s="192"/>
      <c r="QHG275" s="192"/>
      <c r="QHH275" s="192"/>
      <c r="QHI275" s="192"/>
      <c r="QHJ275" s="192"/>
      <c r="QHK275" s="192"/>
      <c r="QHL275" s="192"/>
      <c r="QHM275" s="192"/>
      <c r="QHN275" s="192"/>
      <c r="QHO275" s="192"/>
      <c r="QHP275" s="192"/>
      <c r="QHQ275" s="192"/>
      <c r="QHR275" s="192"/>
      <c r="QHS275" s="192"/>
      <c r="QHT275" s="192"/>
      <c r="QHU275" s="192"/>
      <c r="QHV275" s="192"/>
      <c r="QHW275" s="192"/>
      <c r="QHX275" s="192"/>
      <c r="QHY275" s="192"/>
      <c r="QHZ275" s="192"/>
      <c r="QIA275" s="192"/>
      <c r="QIB275" s="192"/>
      <c r="QIC275" s="192"/>
      <c r="QID275" s="192"/>
      <c r="QIE275" s="192"/>
      <c r="QIF275" s="192"/>
      <c r="QIG275" s="192"/>
      <c r="QIH275" s="192"/>
      <c r="QII275" s="192"/>
      <c r="QIJ275" s="192"/>
      <c r="QIK275" s="192"/>
      <c r="QIL275" s="192"/>
      <c r="QIM275" s="192"/>
      <c r="QIN275" s="192"/>
      <c r="QIO275" s="192"/>
      <c r="QIP275" s="192"/>
      <c r="QIQ275" s="192"/>
      <c r="QIR275" s="192"/>
      <c r="QIS275" s="192"/>
      <c r="QIT275" s="192"/>
      <c r="QIU275" s="192"/>
      <c r="QIV275" s="192"/>
      <c r="QIW275" s="192"/>
      <c r="QIX275" s="192"/>
      <c r="QIY275" s="192"/>
      <c r="QIZ275" s="192"/>
      <c r="QJA275" s="192"/>
      <c r="QJB275" s="192"/>
      <c r="QJC275" s="192"/>
      <c r="QJD275" s="192"/>
      <c r="QJE275" s="192"/>
      <c r="QJF275" s="192"/>
      <c r="QJG275" s="192"/>
      <c r="QJH275" s="192"/>
      <c r="QJI275" s="192"/>
      <c r="QJJ275" s="192"/>
      <c r="QJK275" s="192"/>
      <c r="QJL275" s="192"/>
      <c r="QJM275" s="192"/>
      <c r="QJN275" s="192"/>
      <c r="QJO275" s="192"/>
      <c r="QJP275" s="192"/>
      <c r="QJQ275" s="192"/>
      <c r="QJR275" s="192"/>
      <c r="QJS275" s="192"/>
      <c r="QJT275" s="192"/>
      <c r="QJU275" s="192"/>
      <c r="QJV275" s="192"/>
      <c r="QJW275" s="192"/>
      <c r="QJX275" s="192"/>
      <c r="QJY275" s="192"/>
      <c r="QJZ275" s="192"/>
      <c r="QKA275" s="192"/>
      <c r="QKB275" s="192"/>
      <c r="QKC275" s="192"/>
      <c r="QKD275" s="192"/>
      <c r="QKE275" s="192"/>
      <c r="QKF275" s="192"/>
      <c r="QKG275" s="192"/>
      <c r="QKH275" s="192"/>
      <c r="QKI275" s="192"/>
      <c r="QKJ275" s="192"/>
      <c r="QKK275" s="192"/>
      <c r="QKL275" s="192"/>
      <c r="QKM275" s="192"/>
      <c r="QKN275" s="192"/>
      <c r="QKO275" s="192"/>
      <c r="QKP275" s="192"/>
      <c r="QKQ275" s="192"/>
      <c r="QKR275" s="192"/>
      <c r="QKS275" s="192"/>
      <c r="QKT275" s="192"/>
      <c r="QKU275" s="192"/>
      <c r="QKV275" s="192"/>
      <c r="QKW275" s="192"/>
      <c r="QKX275" s="192"/>
      <c r="QKY275" s="192"/>
      <c r="QKZ275" s="192"/>
      <c r="QLA275" s="192"/>
      <c r="QLB275" s="192"/>
      <c r="QLC275" s="192"/>
      <c r="QLD275" s="192"/>
      <c r="QLE275" s="192"/>
      <c r="QLF275" s="192"/>
      <c r="QLG275" s="192"/>
      <c r="QLH275" s="192"/>
      <c r="QLI275" s="192"/>
      <c r="QLJ275" s="192"/>
      <c r="QLK275" s="192"/>
      <c r="QLL275" s="192"/>
      <c r="QLM275" s="192"/>
      <c r="QLN275" s="192"/>
      <c r="QLO275" s="192"/>
      <c r="QLP275" s="192"/>
      <c r="QLQ275" s="192"/>
      <c r="QLR275" s="192"/>
      <c r="QLS275" s="192"/>
      <c r="QLT275" s="192"/>
      <c r="QLU275" s="192"/>
      <c r="QLV275" s="192"/>
      <c r="QLW275" s="192"/>
      <c r="QLX275" s="192"/>
      <c r="QLY275" s="192"/>
      <c r="QLZ275" s="192"/>
      <c r="QMA275" s="192"/>
      <c r="QMB275" s="192"/>
      <c r="QMC275" s="192"/>
      <c r="QMD275" s="192"/>
      <c r="QME275" s="192"/>
      <c r="QMF275" s="192"/>
      <c r="QMG275" s="192"/>
      <c r="QMH275" s="192"/>
      <c r="QMI275" s="192"/>
      <c r="QMJ275" s="192"/>
      <c r="QMK275" s="192"/>
      <c r="QML275" s="192"/>
      <c r="QMM275" s="192"/>
      <c r="QMN275" s="192"/>
      <c r="QMO275" s="192"/>
      <c r="QMP275" s="192"/>
      <c r="QMQ275" s="192"/>
      <c r="QMR275" s="192"/>
      <c r="QMS275" s="192"/>
      <c r="QMT275" s="192"/>
      <c r="QMU275" s="192"/>
      <c r="QMV275" s="192"/>
      <c r="QMW275" s="192"/>
      <c r="QMX275" s="192"/>
      <c r="QMY275" s="192"/>
      <c r="QMZ275" s="192"/>
      <c r="QNA275" s="192"/>
      <c r="QNB275" s="192"/>
      <c r="QNC275" s="192"/>
      <c r="QND275" s="192"/>
      <c r="QNE275" s="192"/>
      <c r="QNF275" s="192"/>
      <c r="QNG275" s="192"/>
      <c r="QNH275" s="192"/>
      <c r="QNI275" s="192"/>
      <c r="QNJ275" s="192"/>
      <c r="QNK275" s="192"/>
      <c r="QNL275" s="192"/>
      <c r="QNM275" s="192"/>
      <c r="QNN275" s="192"/>
      <c r="QNO275" s="192"/>
      <c r="QNP275" s="192"/>
      <c r="QNQ275" s="192"/>
      <c r="QNR275" s="192"/>
      <c r="QNS275" s="192"/>
      <c r="QNT275" s="192"/>
      <c r="QNU275" s="192"/>
      <c r="QNV275" s="192"/>
      <c r="QNW275" s="192"/>
      <c r="QNX275" s="192"/>
      <c r="QNY275" s="192"/>
      <c r="QNZ275" s="192"/>
      <c r="QOA275" s="192"/>
      <c r="QOB275" s="192"/>
      <c r="QOC275" s="192"/>
      <c r="QOD275" s="192"/>
      <c r="QOE275" s="192"/>
      <c r="QOF275" s="192"/>
      <c r="QOG275" s="192"/>
      <c r="QOH275" s="192"/>
      <c r="QOI275" s="192"/>
      <c r="QOJ275" s="192"/>
      <c r="QOK275" s="192"/>
      <c r="QOL275" s="192"/>
      <c r="QOM275" s="192"/>
      <c r="QON275" s="192"/>
      <c r="QOO275" s="192"/>
      <c r="QOP275" s="192"/>
      <c r="QOQ275" s="192"/>
      <c r="QOR275" s="192"/>
      <c r="QOS275" s="192"/>
      <c r="QOT275" s="192"/>
      <c r="QOU275" s="192"/>
      <c r="QOV275" s="192"/>
      <c r="QOW275" s="192"/>
      <c r="QOX275" s="192"/>
      <c r="QOY275" s="192"/>
      <c r="QOZ275" s="192"/>
      <c r="QPA275" s="192"/>
      <c r="QPB275" s="192"/>
      <c r="QPC275" s="192"/>
      <c r="QPD275" s="192"/>
      <c r="QPE275" s="192"/>
      <c r="QPF275" s="192"/>
      <c r="QPG275" s="192"/>
      <c r="QPH275" s="192"/>
      <c r="QPI275" s="192"/>
      <c r="QPJ275" s="192"/>
      <c r="QPK275" s="192"/>
      <c r="QPL275" s="192"/>
      <c r="QPM275" s="192"/>
      <c r="QPN275" s="192"/>
      <c r="QPO275" s="192"/>
      <c r="QPP275" s="192"/>
      <c r="QPQ275" s="192"/>
      <c r="QPR275" s="192"/>
      <c r="QPS275" s="192"/>
      <c r="QPT275" s="192"/>
      <c r="QPU275" s="192"/>
      <c r="QPV275" s="192"/>
      <c r="QPW275" s="192"/>
      <c r="QPX275" s="192"/>
      <c r="QPY275" s="192"/>
      <c r="QPZ275" s="192"/>
      <c r="QQA275" s="192"/>
      <c r="QQB275" s="192"/>
      <c r="QQC275" s="192"/>
      <c r="QQD275" s="192"/>
      <c r="QQE275" s="192"/>
      <c r="QQF275" s="192"/>
      <c r="QQG275" s="192"/>
      <c r="QQH275" s="192"/>
      <c r="QQI275" s="192"/>
      <c r="QQJ275" s="192"/>
      <c r="QQK275" s="192"/>
      <c r="QQL275" s="192"/>
      <c r="QQM275" s="192"/>
      <c r="QQN275" s="192"/>
      <c r="QQO275" s="192"/>
      <c r="QQP275" s="192"/>
      <c r="QQQ275" s="192"/>
      <c r="QQR275" s="192"/>
      <c r="QQS275" s="192"/>
      <c r="QQT275" s="192"/>
      <c r="QQU275" s="192"/>
      <c r="QQV275" s="192"/>
      <c r="QQW275" s="192"/>
      <c r="QQX275" s="192"/>
      <c r="QQY275" s="192"/>
      <c r="QQZ275" s="192"/>
      <c r="QRA275" s="192"/>
      <c r="QRB275" s="192"/>
      <c r="QRC275" s="192"/>
      <c r="QRD275" s="192"/>
      <c r="QRE275" s="192"/>
      <c r="QRF275" s="192"/>
      <c r="QRG275" s="192"/>
      <c r="QRH275" s="192"/>
      <c r="QRI275" s="192"/>
      <c r="QRJ275" s="192"/>
      <c r="QRK275" s="192"/>
      <c r="QRL275" s="192"/>
      <c r="QRM275" s="192"/>
      <c r="QRN275" s="192"/>
      <c r="QRO275" s="192"/>
      <c r="QRP275" s="192"/>
      <c r="QRQ275" s="192"/>
      <c r="QRR275" s="192"/>
      <c r="QRS275" s="192"/>
      <c r="QRT275" s="192"/>
      <c r="QRU275" s="192"/>
      <c r="QRV275" s="192"/>
      <c r="QRW275" s="192"/>
      <c r="QRX275" s="192"/>
      <c r="QRY275" s="192"/>
      <c r="QRZ275" s="192"/>
      <c r="QSA275" s="192"/>
      <c r="QSB275" s="192"/>
      <c r="QSC275" s="192"/>
      <c r="QSD275" s="192"/>
      <c r="QSE275" s="192"/>
      <c r="QSF275" s="192"/>
      <c r="QSG275" s="192"/>
      <c r="QSH275" s="192"/>
      <c r="QSI275" s="192"/>
      <c r="QSJ275" s="192"/>
      <c r="QSK275" s="192"/>
      <c r="QSL275" s="192"/>
      <c r="QSM275" s="192"/>
      <c r="QSN275" s="192"/>
      <c r="QSO275" s="192"/>
      <c r="QSP275" s="192"/>
      <c r="QSQ275" s="192"/>
      <c r="QSR275" s="192"/>
      <c r="QSS275" s="192"/>
      <c r="QST275" s="192"/>
      <c r="QSU275" s="192"/>
      <c r="QSV275" s="192"/>
      <c r="QSW275" s="192"/>
      <c r="QSX275" s="192"/>
      <c r="QSY275" s="192"/>
      <c r="QSZ275" s="192"/>
      <c r="QTA275" s="192"/>
      <c r="QTB275" s="192"/>
      <c r="QTC275" s="192"/>
      <c r="QTD275" s="192"/>
      <c r="QTE275" s="192"/>
      <c r="QTF275" s="192"/>
      <c r="QTG275" s="192"/>
      <c r="QTH275" s="192"/>
      <c r="QTI275" s="192"/>
      <c r="QTJ275" s="192"/>
      <c r="QTK275" s="192"/>
      <c r="QTL275" s="192"/>
      <c r="QTM275" s="192"/>
      <c r="QTN275" s="192"/>
      <c r="QTO275" s="192"/>
      <c r="QTP275" s="192"/>
      <c r="QTQ275" s="192"/>
      <c r="QTR275" s="192"/>
      <c r="QTS275" s="192"/>
      <c r="QTT275" s="192"/>
      <c r="QTU275" s="192"/>
      <c r="QTV275" s="192"/>
      <c r="QTW275" s="192"/>
      <c r="QTX275" s="192"/>
      <c r="QTY275" s="192"/>
      <c r="QTZ275" s="192"/>
      <c r="QUA275" s="192"/>
      <c r="QUB275" s="192"/>
      <c r="QUC275" s="192"/>
      <c r="QUD275" s="192"/>
      <c r="QUE275" s="192"/>
      <c r="QUF275" s="192"/>
      <c r="QUG275" s="192"/>
      <c r="QUH275" s="192"/>
      <c r="QUI275" s="192"/>
      <c r="QUJ275" s="192"/>
      <c r="QUK275" s="192"/>
      <c r="QUL275" s="192"/>
      <c r="QUM275" s="192"/>
      <c r="QUN275" s="192"/>
      <c r="QUO275" s="192"/>
      <c r="QUP275" s="192"/>
      <c r="QUQ275" s="192"/>
      <c r="QUR275" s="192"/>
      <c r="QUS275" s="192"/>
      <c r="QUT275" s="192"/>
      <c r="QUU275" s="192"/>
      <c r="QUV275" s="192"/>
      <c r="QUW275" s="192"/>
      <c r="QUX275" s="192"/>
      <c r="QUY275" s="192"/>
      <c r="QUZ275" s="192"/>
      <c r="QVA275" s="192"/>
      <c r="QVB275" s="192"/>
      <c r="QVC275" s="192"/>
      <c r="QVD275" s="192"/>
      <c r="QVE275" s="192"/>
      <c r="QVF275" s="192"/>
      <c r="QVG275" s="192"/>
      <c r="QVH275" s="192"/>
      <c r="QVI275" s="192"/>
      <c r="QVJ275" s="192"/>
      <c r="QVK275" s="192"/>
      <c r="QVL275" s="192"/>
      <c r="QVM275" s="192"/>
      <c r="QVN275" s="192"/>
      <c r="QVO275" s="192"/>
      <c r="QVP275" s="192"/>
      <c r="QVQ275" s="192"/>
      <c r="QVR275" s="192"/>
      <c r="QVS275" s="192"/>
      <c r="QVT275" s="192"/>
      <c r="QVU275" s="192"/>
      <c r="QVV275" s="192"/>
      <c r="QVW275" s="192"/>
      <c r="QVX275" s="192"/>
      <c r="QVY275" s="192"/>
      <c r="QVZ275" s="192"/>
      <c r="QWA275" s="192"/>
      <c r="QWB275" s="192"/>
      <c r="QWC275" s="192"/>
      <c r="QWD275" s="192"/>
      <c r="QWE275" s="192"/>
      <c r="QWF275" s="192"/>
      <c r="QWG275" s="192"/>
      <c r="QWH275" s="192"/>
      <c r="QWI275" s="192"/>
      <c r="QWJ275" s="192"/>
      <c r="QWK275" s="192"/>
      <c r="QWL275" s="192"/>
      <c r="QWM275" s="192"/>
      <c r="QWN275" s="192"/>
      <c r="QWO275" s="192"/>
      <c r="QWP275" s="192"/>
      <c r="QWQ275" s="192"/>
      <c r="QWR275" s="192"/>
      <c r="QWS275" s="192"/>
      <c r="QWT275" s="192"/>
      <c r="QWU275" s="192"/>
      <c r="QWV275" s="192"/>
      <c r="QWW275" s="192"/>
      <c r="QWX275" s="192"/>
      <c r="QWY275" s="192"/>
      <c r="QWZ275" s="192"/>
      <c r="QXA275" s="192"/>
      <c r="QXB275" s="192"/>
      <c r="QXC275" s="192"/>
      <c r="QXD275" s="192"/>
      <c r="QXE275" s="192"/>
      <c r="QXF275" s="192"/>
      <c r="QXG275" s="192"/>
      <c r="QXH275" s="192"/>
      <c r="QXI275" s="192"/>
      <c r="QXJ275" s="192"/>
      <c r="QXK275" s="192"/>
      <c r="QXL275" s="192"/>
      <c r="QXM275" s="192"/>
      <c r="QXN275" s="192"/>
      <c r="QXO275" s="192"/>
      <c r="QXP275" s="192"/>
      <c r="QXQ275" s="192"/>
      <c r="QXR275" s="192"/>
      <c r="QXS275" s="192"/>
      <c r="QXT275" s="192"/>
      <c r="QXU275" s="192"/>
      <c r="QXV275" s="192"/>
      <c r="QXW275" s="192"/>
      <c r="QXX275" s="192"/>
      <c r="QXY275" s="192"/>
      <c r="QXZ275" s="192"/>
      <c r="QYA275" s="192"/>
      <c r="QYB275" s="192"/>
      <c r="QYC275" s="192"/>
      <c r="QYD275" s="192"/>
      <c r="QYE275" s="192"/>
      <c r="QYF275" s="192"/>
      <c r="QYG275" s="192"/>
      <c r="QYH275" s="192"/>
      <c r="QYI275" s="192"/>
      <c r="QYJ275" s="192"/>
      <c r="QYK275" s="192"/>
      <c r="QYL275" s="192"/>
      <c r="QYM275" s="192"/>
      <c r="QYN275" s="192"/>
      <c r="QYO275" s="192"/>
      <c r="QYP275" s="192"/>
      <c r="QYQ275" s="192"/>
      <c r="QYR275" s="192"/>
      <c r="QYS275" s="192"/>
      <c r="QYT275" s="192"/>
      <c r="QYU275" s="192"/>
      <c r="QYV275" s="192"/>
      <c r="QYW275" s="192"/>
      <c r="QYX275" s="192"/>
      <c r="QYY275" s="192"/>
      <c r="QYZ275" s="192"/>
      <c r="QZA275" s="192"/>
      <c r="QZB275" s="192"/>
      <c r="QZC275" s="192"/>
      <c r="QZD275" s="192"/>
      <c r="QZE275" s="192"/>
      <c r="QZF275" s="192"/>
      <c r="QZG275" s="192"/>
      <c r="QZH275" s="192"/>
      <c r="QZI275" s="192"/>
      <c r="QZJ275" s="192"/>
      <c r="QZK275" s="192"/>
      <c r="QZL275" s="192"/>
      <c r="QZM275" s="192"/>
      <c r="QZN275" s="192"/>
      <c r="QZO275" s="192"/>
      <c r="QZP275" s="192"/>
      <c r="QZQ275" s="192"/>
      <c r="QZR275" s="192"/>
      <c r="QZS275" s="192"/>
      <c r="QZT275" s="192"/>
      <c r="QZU275" s="192"/>
      <c r="QZV275" s="192"/>
      <c r="QZW275" s="192"/>
      <c r="QZX275" s="192"/>
      <c r="QZY275" s="192"/>
      <c r="QZZ275" s="192"/>
      <c r="RAA275" s="192"/>
      <c r="RAB275" s="192"/>
      <c r="RAC275" s="192"/>
      <c r="RAD275" s="192"/>
      <c r="RAE275" s="192"/>
      <c r="RAF275" s="192"/>
      <c r="RAG275" s="192"/>
      <c r="RAH275" s="192"/>
      <c r="RAI275" s="192"/>
      <c r="RAJ275" s="192"/>
      <c r="RAK275" s="192"/>
      <c r="RAL275" s="192"/>
      <c r="RAM275" s="192"/>
      <c r="RAN275" s="192"/>
      <c r="RAO275" s="192"/>
      <c r="RAP275" s="192"/>
      <c r="RAQ275" s="192"/>
      <c r="RAR275" s="192"/>
      <c r="RAS275" s="192"/>
      <c r="RAT275" s="192"/>
      <c r="RAU275" s="192"/>
      <c r="RAV275" s="192"/>
      <c r="RAW275" s="192"/>
      <c r="RAX275" s="192"/>
      <c r="RAY275" s="192"/>
      <c r="RAZ275" s="192"/>
      <c r="RBA275" s="192"/>
      <c r="RBB275" s="192"/>
      <c r="RBC275" s="192"/>
      <c r="RBD275" s="192"/>
      <c r="RBE275" s="192"/>
      <c r="RBF275" s="192"/>
      <c r="RBG275" s="192"/>
      <c r="RBH275" s="192"/>
      <c r="RBI275" s="192"/>
      <c r="RBJ275" s="192"/>
      <c r="RBK275" s="192"/>
      <c r="RBL275" s="192"/>
      <c r="RBM275" s="192"/>
      <c r="RBN275" s="192"/>
      <c r="RBO275" s="192"/>
      <c r="RBP275" s="192"/>
      <c r="RBQ275" s="192"/>
      <c r="RBR275" s="192"/>
      <c r="RBS275" s="192"/>
      <c r="RBT275" s="192"/>
      <c r="RBU275" s="192"/>
      <c r="RBV275" s="192"/>
      <c r="RBW275" s="192"/>
      <c r="RBX275" s="192"/>
      <c r="RBY275" s="192"/>
      <c r="RBZ275" s="192"/>
      <c r="RCA275" s="192"/>
      <c r="RCB275" s="192"/>
      <c r="RCC275" s="192"/>
      <c r="RCD275" s="192"/>
      <c r="RCE275" s="192"/>
      <c r="RCF275" s="192"/>
      <c r="RCG275" s="192"/>
      <c r="RCH275" s="192"/>
      <c r="RCI275" s="192"/>
      <c r="RCJ275" s="192"/>
      <c r="RCK275" s="192"/>
      <c r="RCL275" s="192"/>
      <c r="RCM275" s="192"/>
      <c r="RCN275" s="192"/>
      <c r="RCO275" s="192"/>
      <c r="RCP275" s="192"/>
      <c r="RCQ275" s="192"/>
      <c r="RCR275" s="192"/>
      <c r="RCS275" s="192"/>
      <c r="RCT275" s="192"/>
      <c r="RCU275" s="192"/>
      <c r="RCV275" s="192"/>
      <c r="RCW275" s="192"/>
      <c r="RCX275" s="192"/>
      <c r="RCY275" s="192"/>
      <c r="RCZ275" s="192"/>
      <c r="RDA275" s="192"/>
      <c r="RDB275" s="192"/>
      <c r="RDC275" s="192"/>
      <c r="RDD275" s="192"/>
      <c r="RDE275" s="192"/>
      <c r="RDF275" s="192"/>
      <c r="RDG275" s="192"/>
      <c r="RDH275" s="192"/>
      <c r="RDI275" s="192"/>
      <c r="RDJ275" s="192"/>
      <c r="RDK275" s="192"/>
      <c r="RDL275" s="192"/>
      <c r="RDM275" s="192"/>
      <c r="RDN275" s="192"/>
      <c r="RDO275" s="192"/>
      <c r="RDP275" s="192"/>
      <c r="RDQ275" s="192"/>
      <c r="RDR275" s="192"/>
      <c r="RDS275" s="192"/>
      <c r="RDT275" s="192"/>
      <c r="RDU275" s="192"/>
      <c r="RDV275" s="192"/>
      <c r="RDW275" s="192"/>
      <c r="RDX275" s="192"/>
      <c r="RDY275" s="192"/>
      <c r="RDZ275" s="192"/>
      <c r="REA275" s="192"/>
      <c r="REB275" s="192"/>
      <c r="REC275" s="192"/>
      <c r="RED275" s="192"/>
      <c r="REE275" s="192"/>
      <c r="REF275" s="192"/>
      <c r="REG275" s="192"/>
      <c r="REH275" s="192"/>
      <c r="REI275" s="192"/>
      <c r="REJ275" s="192"/>
      <c r="REK275" s="192"/>
      <c r="REL275" s="192"/>
      <c r="REM275" s="192"/>
      <c r="REN275" s="192"/>
      <c r="REO275" s="192"/>
      <c r="REP275" s="192"/>
      <c r="REQ275" s="192"/>
      <c r="RER275" s="192"/>
      <c r="RES275" s="192"/>
      <c r="RET275" s="192"/>
      <c r="REU275" s="192"/>
      <c r="REV275" s="192"/>
      <c r="REW275" s="192"/>
      <c r="REX275" s="192"/>
      <c r="REY275" s="192"/>
      <c r="REZ275" s="192"/>
      <c r="RFA275" s="192"/>
      <c r="RFB275" s="192"/>
      <c r="RFC275" s="192"/>
      <c r="RFD275" s="192"/>
      <c r="RFE275" s="192"/>
      <c r="RFF275" s="192"/>
      <c r="RFG275" s="192"/>
      <c r="RFH275" s="192"/>
      <c r="RFI275" s="192"/>
      <c r="RFJ275" s="192"/>
      <c r="RFK275" s="192"/>
      <c r="RFL275" s="192"/>
      <c r="RFM275" s="192"/>
      <c r="RFN275" s="192"/>
      <c r="RFO275" s="192"/>
      <c r="RFP275" s="192"/>
      <c r="RFQ275" s="192"/>
      <c r="RFR275" s="192"/>
      <c r="RFS275" s="192"/>
      <c r="RFT275" s="192"/>
      <c r="RFU275" s="192"/>
      <c r="RFV275" s="192"/>
      <c r="RFW275" s="192"/>
      <c r="RFX275" s="192"/>
      <c r="RFY275" s="192"/>
      <c r="RFZ275" s="192"/>
      <c r="RGA275" s="192"/>
      <c r="RGB275" s="192"/>
      <c r="RGC275" s="192"/>
      <c r="RGD275" s="192"/>
      <c r="RGE275" s="192"/>
      <c r="RGF275" s="192"/>
      <c r="RGG275" s="192"/>
      <c r="RGH275" s="192"/>
      <c r="RGI275" s="192"/>
      <c r="RGJ275" s="192"/>
      <c r="RGK275" s="192"/>
      <c r="RGL275" s="192"/>
      <c r="RGM275" s="192"/>
      <c r="RGN275" s="192"/>
      <c r="RGO275" s="192"/>
      <c r="RGP275" s="192"/>
      <c r="RGQ275" s="192"/>
      <c r="RGR275" s="192"/>
      <c r="RGS275" s="192"/>
      <c r="RGT275" s="192"/>
      <c r="RGU275" s="192"/>
      <c r="RGV275" s="192"/>
      <c r="RGW275" s="192"/>
      <c r="RGX275" s="192"/>
      <c r="RGY275" s="192"/>
      <c r="RGZ275" s="192"/>
      <c r="RHA275" s="192"/>
      <c r="RHB275" s="192"/>
      <c r="RHC275" s="192"/>
      <c r="RHD275" s="192"/>
      <c r="RHE275" s="192"/>
      <c r="RHF275" s="192"/>
      <c r="RHG275" s="192"/>
      <c r="RHH275" s="192"/>
      <c r="RHI275" s="192"/>
      <c r="RHJ275" s="192"/>
      <c r="RHK275" s="192"/>
      <c r="RHL275" s="192"/>
      <c r="RHM275" s="192"/>
      <c r="RHN275" s="192"/>
      <c r="RHO275" s="192"/>
      <c r="RHP275" s="192"/>
      <c r="RHQ275" s="192"/>
      <c r="RHR275" s="192"/>
      <c r="RHS275" s="192"/>
      <c r="RHT275" s="192"/>
      <c r="RHU275" s="192"/>
      <c r="RHV275" s="192"/>
      <c r="RHW275" s="192"/>
      <c r="RHX275" s="192"/>
      <c r="RHY275" s="192"/>
      <c r="RHZ275" s="192"/>
      <c r="RIA275" s="192"/>
      <c r="RIB275" s="192"/>
      <c r="RIC275" s="192"/>
      <c r="RID275" s="192"/>
      <c r="RIE275" s="192"/>
      <c r="RIF275" s="192"/>
      <c r="RIG275" s="192"/>
      <c r="RIH275" s="192"/>
      <c r="RII275" s="192"/>
      <c r="RIJ275" s="192"/>
      <c r="RIK275" s="192"/>
      <c r="RIL275" s="192"/>
      <c r="RIM275" s="192"/>
      <c r="RIN275" s="192"/>
      <c r="RIO275" s="192"/>
      <c r="RIP275" s="192"/>
      <c r="RIQ275" s="192"/>
      <c r="RIR275" s="192"/>
      <c r="RIS275" s="192"/>
      <c r="RIT275" s="192"/>
      <c r="RIU275" s="192"/>
      <c r="RIV275" s="192"/>
      <c r="RIW275" s="192"/>
      <c r="RIX275" s="192"/>
      <c r="RIY275" s="192"/>
      <c r="RIZ275" s="192"/>
      <c r="RJA275" s="192"/>
      <c r="RJB275" s="192"/>
      <c r="RJC275" s="192"/>
      <c r="RJD275" s="192"/>
      <c r="RJE275" s="192"/>
      <c r="RJF275" s="192"/>
      <c r="RJG275" s="192"/>
      <c r="RJH275" s="192"/>
      <c r="RJI275" s="192"/>
      <c r="RJJ275" s="192"/>
      <c r="RJK275" s="192"/>
      <c r="RJL275" s="192"/>
      <c r="RJM275" s="192"/>
      <c r="RJN275" s="192"/>
      <c r="RJO275" s="192"/>
      <c r="RJP275" s="192"/>
      <c r="RJQ275" s="192"/>
      <c r="RJR275" s="192"/>
      <c r="RJS275" s="192"/>
      <c r="RJT275" s="192"/>
      <c r="RJU275" s="192"/>
      <c r="RJV275" s="192"/>
      <c r="RJW275" s="192"/>
      <c r="RJX275" s="192"/>
      <c r="RJY275" s="192"/>
      <c r="RJZ275" s="192"/>
      <c r="RKA275" s="192"/>
      <c r="RKB275" s="192"/>
      <c r="RKC275" s="192"/>
      <c r="RKD275" s="192"/>
      <c r="RKE275" s="192"/>
      <c r="RKF275" s="192"/>
      <c r="RKG275" s="192"/>
      <c r="RKH275" s="192"/>
      <c r="RKI275" s="192"/>
      <c r="RKJ275" s="192"/>
      <c r="RKK275" s="192"/>
      <c r="RKL275" s="192"/>
      <c r="RKM275" s="192"/>
      <c r="RKN275" s="192"/>
      <c r="RKO275" s="192"/>
      <c r="RKP275" s="192"/>
      <c r="RKQ275" s="192"/>
      <c r="RKR275" s="192"/>
      <c r="RKS275" s="192"/>
      <c r="RKT275" s="192"/>
      <c r="RKU275" s="192"/>
      <c r="RKV275" s="192"/>
      <c r="RKW275" s="192"/>
      <c r="RKX275" s="192"/>
      <c r="RKY275" s="192"/>
      <c r="RKZ275" s="192"/>
      <c r="RLA275" s="192"/>
      <c r="RLB275" s="192"/>
      <c r="RLC275" s="192"/>
      <c r="RLD275" s="192"/>
      <c r="RLE275" s="192"/>
      <c r="RLF275" s="192"/>
      <c r="RLG275" s="192"/>
      <c r="RLH275" s="192"/>
      <c r="RLI275" s="192"/>
      <c r="RLJ275" s="192"/>
      <c r="RLK275" s="192"/>
      <c r="RLL275" s="192"/>
      <c r="RLM275" s="192"/>
      <c r="RLN275" s="192"/>
      <c r="RLO275" s="192"/>
      <c r="RLP275" s="192"/>
      <c r="RLQ275" s="192"/>
      <c r="RLR275" s="192"/>
      <c r="RLS275" s="192"/>
      <c r="RLT275" s="192"/>
      <c r="RLU275" s="192"/>
      <c r="RLV275" s="192"/>
      <c r="RLW275" s="192"/>
      <c r="RLX275" s="192"/>
      <c r="RLY275" s="192"/>
      <c r="RLZ275" s="192"/>
      <c r="RMA275" s="192"/>
      <c r="RMB275" s="192"/>
      <c r="RMC275" s="192"/>
      <c r="RMD275" s="192"/>
      <c r="RME275" s="192"/>
      <c r="RMF275" s="192"/>
      <c r="RMG275" s="192"/>
      <c r="RMH275" s="192"/>
      <c r="RMI275" s="192"/>
      <c r="RMJ275" s="192"/>
      <c r="RMK275" s="192"/>
      <c r="RML275" s="192"/>
      <c r="RMM275" s="192"/>
      <c r="RMN275" s="192"/>
      <c r="RMO275" s="192"/>
      <c r="RMP275" s="192"/>
      <c r="RMQ275" s="192"/>
      <c r="RMR275" s="192"/>
      <c r="RMS275" s="192"/>
      <c r="RMT275" s="192"/>
      <c r="RMU275" s="192"/>
      <c r="RMV275" s="192"/>
      <c r="RMW275" s="192"/>
      <c r="RMX275" s="192"/>
      <c r="RMY275" s="192"/>
      <c r="RMZ275" s="192"/>
      <c r="RNA275" s="192"/>
      <c r="RNB275" s="192"/>
      <c r="RNC275" s="192"/>
      <c r="RND275" s="192"/>
      <c r="RNE275" s="192"/>
      <c r="RNF275" s="192"/>
      <c r="RNG275" s="192"/>
      <c r="RNH275" s="192"/>
      <c r="RNI275" s="192"/>
      <c r="RNJ275" s="192"/>
      <c r="RNK275" s="192"/>
      <c r="RNL275" s="192"/>
      <c r="RNM275" s="192"/>
      <c r="RNN275" s="192"/>
      <c r="RNO275" s="192"/>
      <c r="RNP275" s="192"/>
      <c r="RNQ275" s="192"/>
      <c r="RNR275" s="192"/>
      <c r="RNS275" s="192"/>
      <c r="RNT275" s="192"/>
      <c r="RNU275" s="192"/>
      <c r="RNV275" s="192"/>
      <c r="RNW275" s="192"/>
      <c r="RNX275" s="192"/>
      <c r="RNY275" s="192"/>
      <c r="RNZ275" s="192"/>
      <c r="ROA275" s="192"/>
      <c r="ROB275" s="192"/>
      <c r="ROC275" s="192"/>
      <c r="ROD275" s="192"/>
      <c r="ROE275" s="192"/>
      <c r="ROF275" s="192"/>
      <c r="ROG275" s="192"/>
      <c r="ROH275" s="192"/>
      <c r="ROI275" s="192"/>
      <c r="ROJ275" s="192"/>
      <c r="ROK275" s="192"/>
      <c r="ROL275" s="192"/>
      <c r="ROM275" s="192"/>
      <c r="RON275" s="192"/>
      <c r="ROO275" s="192"/>
      <c r="ROP275" s="192"/>
      <c r="ROQ275" s="192"/>
      <c r="ROR275" s="192"/>
      <c r="ROS275" s="192"/>
      <c r="ROT275" s="192"/>
      <c r="ROU275" s="192"/>
      <c r="ROV275" s="192"/>
      <c r="ROW275" s="192"/>
      <c r="ROX275" s="192"/>
      <c r="ROY275" s="192"/>
      <c r="ROZ275" s="192"/>
      <c r="RPA275" s="192"/>
      <c r="RPB275" s="192"/>
      <c r="RPC275" s="192"/>
      <c r="RPD275" s="192"/>
      <c r="RPE275" s="192"/>
      <c r="RPF275" s="192"/>
      <c r="RPG275" s="192"/>
      <c r="RPH275" s="192"/>
      <c r="RPI275" s="192"/>
      <c r="RPJ275" s="192"/>
      <c r="RPK275" s="192"/>
      <c r="RPL275" s="192"/>
      <c r="RPM275" s="192"/>
      <c r="RPN275" s="192"/>
      <c r="RPO275" s="192"/>
      <c r="RPP275" s="192"/>
      <c r="RPQ275" s="192"/>
      <c r="RPR275" s="192"/>
      <c r="RPS275" s="192"/>
      <c r="RPT275" s="192"/>
      <c r="RPU275" s="192"/>
      <c r="RPV275" s="192"/>
      <c r="RPW275" s="192"/>
      <c r="RPX275" s="192"/>
      <c r="RPY275" s="192"/>
      <c r="RPZ275" s="192"/>
      <c r="RQA275" s="192"/>
      <c r="RQB275" s="192"/>
      <c r="RQC275" s="192"/>
      <c r="RQD275" s="192"/>
      <c r="RQE275" s="192"/>
      <c r="RQF275" s="192"/>
      <c r="RQG275" s="192"/>
      <c r="RQH275" s="192"/>
      <c r="RQI275" s="192"/>
      <c r="RQJ275" s="192"/>
      <c r="RQK275" s="192"/>
      <c r="RQL275" s="192"/>
      <c r="RQM275" s="192"/>
      <c r="RQN275" s="192"/>
      <c r="RQO275" s="192"/>
      <c r="RQP275" s="192"/>
      <c r="RQQ275" s="192"/>
      <c r="RQR275" s="192"/>
      <c r="RQS275" s="192"/>
      <c r="RQT275" s="192"/>
      <c r="RQU275" s="192"/>
      <c r="RQV275" s="192"/>
      <c r="RQW275" s="192"/>
      <c r="RQX275" s="192"/>
      <c r="RQY275" s="192"/>
      <c r="RQZ275" s="192"/>
      <c r="RRA275" s="192"/>
      <c r="RRB275" s="192"/>
      <c r="RRC275" s="192"/>
      <c r="RRD275" s="192"/>
      <c r="RRE275" s="192"/>
      <c r="RRF275" s="192"/>
      <c r="RRG275" s="192"/>
      <c r="RRH275" s="192"/>
      <c r="RRI275" s="192"/>
      <c r="RRJ275" s="192"/>
      <c r="RRK275" s="192"/>
      <c r="RRL275" s="192"/>
      <c r="RRM275" s="192"/>
      <c r="RRN275" s="192"/>
      <c r="RRO275" s="192"/>
      <c r="RRP275" s="192"/>
      <c r="RRQ275" s="192"/>
      <c r="RRR275" s="192"/>
      <c r="RRS275" s="192"/>
      <c r="RRT275" s="192"/>
      <c r="RRU275" s="192"/>
      <c r="RRV275" s="192"/>
      <c r="RRW275" s="192"/>
      <c r="RRX275" s="192"/>
      <c r="RRY275" s="192"/>
      <c r="RRZ275" s="192"/>
      <c r="RSA275" s="192"/>
      <c r="RSB275" s="192"/>
      <c r="RSC275" s="192"/>
      <c r="RSD275" s="192"/>
      <c r="RSE275" s="192"/>
      <c r="RSF275" s="192"/>
      <c r="RSG275" s="192"/>
      <c r="RSH275" s="192"/>
      <c r="RSI275" s="192"/>
      <c r="RSJ275" s="192"/>
      <c r="RSK275" s="192"/>
      <c r="RSL275" s="192"/>
      <c r="RSM275" s="192"/>
      <c r="RSN275" s="192"/>
      <c r="RSO275" s="192"/>
      <c r="RSP275" s="192"/>
      <c r="RSQ275" s="192"/>
      <c r="RSR275" s="192"/>
      <c r="RSS275" s="192"/>
      <c r="RST275" s="192"/>
      <c r="RSU275" s="192"/>
      <c r="RSV275" s="192"/>
      <c r="RSW275" s="192"/>
      <c r="RSX275" s="192"/>
      <c r="RSY275" s="192"/>
      <c r="RSZ275" s="192"/>
      <c r="RTA275" s="192"/>
      <c r="RTB275" s="192"/>
      <c r="RTC275" s="192"/>
      <c r="RTD275" s="192"/>
      <c r="RTE275" s="192"/>
      <c r="RTF275" s="192"/>
      <c r="RTG275" s="192"/>
      <c r="RTH275" s="192"/>
      <c r="RTI275" s="192"/>
      <c r="RTJ275" s="192"/>
      <c r="RTK275" s="192"/>
      <c r="RTL275" s="192"/>
      <c r="RTM275" s="192"/>
      <c r="RTN275" s="192"/>
      <c r="RTO275" s="192"/>
      <c r="RTP275" s="192"/>
      <c r="RTQ275" s="192"/>
      <c r="RTR275" s="192"/>
      <c r="RTS275" s="192"/>
      <c r="RTT275" s="192"/>
      <c r="RTU275" s="192"/>
      <c r="RTV275" s="192"/>
      <c r="RTW275" s="192"/>
      <c r="RTX275" s="192"/>
      <c r="RTY275" s="192"/>
      <c r="RTZ275" s="192"/>
      <c r="RUA275" s="192"/>
      <c r="RUB275" s="192"/>
      <c r="RUC275" s="192"/>
      <c r="RUD275" s="192"/>
      <c r="RUE275" s="192"/>
      <c r="RUF275" s="192"/>
      <c r="RUG275" s="192"/>
      <c r="RUH275" s="192"/>
      <c r="RUI275" s="192"/>
      <c r="RUJ275" s="192"/>
      <c r="RUK275" s="192"/>
      <c r="RUL275" s="192"/>
      <c r="RUM275" s="192"/>
      <c r="RUN275" s="192"/>
      <c r="RUO275" s="192"/>
      <c r="RUP275" s="192"/>
      <c r="RUQ275" s="192"/>
      <c r="RUR275" s="192"/>
      <c r="RUS275" s="192"/>
      <c r="RUT275" s="192"/>
      <c r="RUU275" s="192"/>
      <c r="RUV275" s="192"/>
      <c r="RUW275" s="192"/>
      <c r="RUX275" s="192"/>
      <c r="RUY275" s="192"/>
      <c r="RUZ275" s="192"/>
      <c r="RVA275" s="192"/>
      <c r="RVB275" s="192"/>
      <c r="RVC275" s="192"/>
      <c r="RVD275" s="192"/>
      <c r="RVE275" s="192"/>
      <c r="RVF275" s="192"/>
      <c r="RVG275" s="192"/>
      <c r="RVH275" s="192"/>
      <c r="RVI275" s="192"/>
      <c r="RVJ275" s="192"/>
      <c r="RVK275" s="192"/>
      <c r="RVL275" s="192"/>
      <c r="RVM275" s="192"/>
      <c r="RVN275" s="192"/>
      <c r="RVO275" s="192"/>
      <c r="RVP275" s="192"/>
      <c r="RVQ275" s="192"/>
      <c r="RVR275" s="192"/>
      <c r="RVS275" s="192"/>
      <c r="RVT275" s="192"/>
      <c r="RVU275" s="192"/>
      <c r="RVV275" s="192"/>
      <c r="RVW275" s="192"/>
      <c r="RVX275" s="192"/>
      <c r="RVY275" s="192"/>
      <c r="RVZ275" s="192"/>
      <c r="RWA275" s="192"/>
      <c r="RWB275" s="192"/>
      <c r="RWC275" s="192"/>
      <c r="RWD275" s="192"/>
      <c r="RWE275" s="192"/>
      <c r="RWF275" s="192"/>
      <c r="RWG275" s="192"/>
      <c r="RWH275" s="192"/>
      <c r="RWI275" s="192"/>
      <c r="RWJ275" s="192"/>
      <c r="RWK275" s="192"/>
      <c r="RWL275" s="192"/>
      <c r="RWM275" s="192"/>
      <c r="RWN275" s="192"/>
      <c r="RWO275" s="192"/>
      <c r="RWP275" s="192"/>
      <c r="RWQ275" s="192"/>
      <c r="RWR275" s="192"/>
      <c r="RWS275" s="192"/>
      <c r="RWT275" s="192"/>
      <c r="RWU275" s="192"/>
      <c r="RWV275" s="192"/>
      <c r="RWW275" s="192"/>
      <c r="RWX275" s="192"/>
      <c r="RWY275" s="192"/>
      <c r="RWZ275" s="192"/>
      <c r="RXA275" s="192"/>
      <c r="RXB275" s="192"/>
      <c r="RXC275" s="192"/>
      <c r="RXD275" s="192"/>
      <c r="RXE275" s="192"/>
      <c r="RXF275" s="192"/>
      <c r="RXG275" s="192"/>
      <c r="RXH275" s="192"/>
      <c r="RXI275" s="192"/>
      <c r="RXJ275" s="192"/>
      <c r="RXK275" s="192"/>
      <c r="RXL275" s="192"/>
      <c r="RXM275" s="192"/>
      <c r="RXN275" s="192"/>
      <c r="RXO275" s="192"/>
      <c r="RXP275" s="192"/>
      <c r="RXQ275" s="192"/>
      <c r="RXR275" s="192"/>
      <c r="RXS275" s="192"/>
      <c r="RXT275" s="192"/>
      <c r="RXU275" s="192"/>
      <c r="RXV275" s="192"/>
      <c r="RXW275" s="192"/>
      <c r="RXX275" s="192"/>
      <c r="RXY275" s="192"/>
      <c r="RXZ275" s="192"/>
      <c r="RYA275" s="192"/>
      <c r="RYB275" s="192"/>
      <c r="RYC275" s="192"/>
      <c r="RYD275" s="192"/>
      <c r="RYE275" s="192"/>
      <c r="RYF275" s="192"/>
      <c r="RYG275" s="192"/>
      <c r="RYH275" s="192"/>
      <c r="RYI275" s="192"/>
      <c r="RYJ275" s="192"/>
      <c r="RYK275" s="192"/>
      <c r="RYL275" s="192"/>
      <c r="RYM275" s="192"/>
      <c r="RYN275" s="192"/>
      <c r="RYO275" s="192"/>
      <c r="RYP275" s="192"/>
      <c r="RYQ275" s="192"/>
      <c r="RYR275" s="192"/>
      <c r="RYS275" s="192"/>
      <c r="RYT275" s="192"/>
      <c r="RYU275" s="192"/>
      <c r="RYV275" s="192"/>
      <c r="RYW275" s="192"/>
      <c r="RYX275" s="192"/>
      <c r="RYY275" s="192"/>
      <c r="RYZ275" s="192"/>
      <c r="RZA275" s="192"/>
      <c r="RZB275" s="192"/>
      <c r="RZC275" s="192"/>
      <c r="RZD275" s="192"/>
      <c r="RZE275" s="192"/>
      <c r="RZF275" s="192"/>
      <c r="RZG275" s="192"/>
      <c r="RZH275" s="192"/>
      <c r="RZI275" s="192"/>
      <c r="RZJ275" s="192"/>
      <c r="RZK275" s="192"/>
      <c r="RZL275" s="192"/>
      <c r="RZM275" s="192"/>
      <c r="RZN275" s="192"/>
      <c r="RZO275" s="192"/>
      <c r="RZP275" s="192"/>
      <c r="RZQ275" s="192"/>
      <c r="RZR275" s="192"/>
      <c r="RZS275" s="192"/>
      <c r="RZT275" s="192"/>
      <c r="RZU275" s="192"/>
      <c r="RZV275" s="192"/>
      <c r="RZW275" s="192"/>
      <c r="RZX275" s="192"/>
      <c r="RZY275" s="192"/>
      <c r="RZZ275" s="192"/>
      <c r="SAA275" s="192"/>
      <c r="SAB275" s="192"/>
      <c r="SAC275" s="192"/>
      <c r="SAD275" s="192"/>
      <c r="SAE275" s="192"/>
      <c r="SAF275" s="192"/>
      <c r="SAG275" s="192"/>
      <c r="SAH275" s="192"/>
      <c r="SAI275" s="192"/>
      <c r="SAJ275" s="192"/>
      <c r="SAK275" s="192"/>
      <c r="SAL275" s="192"/>
      <c r="SAM275" s="192"/>
      <c r="SAN275" s="192"/>
      <c r="SAO275" s="192"/>
      <c r="SAP275" s="192"/>
      <c r="SAQ275" s="192"/>
      <c r="SAR275" s="192"/>
      <c r="SAS275" s="192"/>
      <c r="SAT275" s="192"/>
      <c r="SAU275" s="192"/>
      <c r="SAV275" s="192"/>
      <c r="SAW275" s="192"/>
      <c r="SAX275" s="192"/>
      <c r="SAY275" s="192"/>
      <c r="SAZ275" s="192"/>
      <c r="SBA275" s="192"/>
      <c r="SBB275" s="192"/>
      <c r="SBC275" s="192"/>
      <c r="SBD275" s="192"/>
      <c r="SBE275" s="192"/>
      <c r="SBF275" s="192"/>
      <c r="SBG275" s="192"/>
      <c r="SBH275" s="192"/>
      <c r="SBI275" s="192"/>
      <c r="SBJ275" s="192"/>
      <c r="SBK275" s="192"/>
      <c r="SBL275" s="192"/>
      <c r="SBM275" s="192"/>
      <c r="SBN275" s="192"/>
      <c r="SBO275" s="192"/>
      <c r="SBP275" s="192"/>
      <c r="SBQ275" s="192"/>
      <c r="SBR275" s="192"/>
      <c r="SBS275" s="192"/>
      <c r="SBT275" s="192"/>
      <c r="SBU275" s="192"/>
      <c r="SBV275" s="192"/>
      <c r="SBW275" s="192"/>
      <c r="SBX275" s="192"/>
      <c r="SBY275" s="192"/>
      <c r="SBZ275" s="192"/>
      <c r="SCA275" s="192"/>
      <c r="SCB275" s="192"/>
      <c r="SCC275" s="192"/>
      <c r="SCD275" s="192"/>
      <c r="SCE275" s="192"/>
      <c r="SCF275" s="192"/>
      <c r="SCG275" s="192"/>
      <c r="SCH275" s="192"/>
      <c r="SCI275" s="192"/>
      <c r="SCJ275" s="192"/>
      <c r="SCK275" s="192"/>
      <c r="SCL275" s="192"/>
      <c r="SCM275" s="192"/>
      <c r="SCN275" s="192"/>
      <c r="SCO275" s="192"/>
      <c r="SCP275" s="192"/>
      <c r="SCQ275" s="192"/>
      <c r="SCR275" s="192"/>
      <c r="SCS275" s="192"/>
      <c r="SCT275" s="192"/>
      <c r="SCU275" s="192"/>
      <c r="SCV275" s="192"/>
      <c r="SCW275" s="192"/>
      <c r="SCX275" s="192"/>
      <c r="SCY275" s="192"/>
      <c r="SCZ275" s="192"/>
      <c r="SDA275" s="192"/>
      <c r="SDB275" s="192"/>
      <c r="SDC275" s="192"/>
      <c r="SDD275" s="192"/>
      <c r="SDE275" s="192"/>
      <c r="SDF275" s="192"/>
      <c r="SDG275" s="192"/>
      <c r="SDH275" s="192"/>
      <c r="SDI275" s="192"/>
      <c r="SDJ275" s="192"/>
      <c r="SDK275" s="192"/>
      <c r="SDL275" s="192"/>
      <c r="SDM275" s="192"/>
      <c r="SDN275" s="192"/>
      <c r="SDO275" s="192"/>
      <c r="SDP275" s="192"/>
      <c r="SDQ275" s="192"/>
      <c r="SDR275" s="192"/>
      <c r="SDS275" s="192"/>
      <c r="SDT275" s="192"/>
      <c r="SDU275" s="192"/>
      <c r="SDV275" s="192"/>
      <c r="SDW275" s="192"/>
      <c r="SDX275" s="192"/>
      <c r="SDY275" s="192"/>
      <c r="SDZ275" s="192"/>
      <c r="SEA275" s="192"/>
      <c r="SEB275" s="192"/>
      <c r="SEC275" s="192"/>
      <c r="SED275" s="192"/>
      <c r="SEE275" s="192"/>
      <c r="SEF275" s="192"/>
      <c r="SEG275" s="192"/>
      <c r="SEH275" s="192"/>
      <c r="SEI275" s="192"/>
      <c r="SEJ275" s="192"/>
      <c r="SEK275" s="192"/>
      <c r="SEL275" s="192"/>
      <c r="SEM275" s="192"/>
      <c r="SEN275" s="192"/>
      <c r="SEO275" s="192"/>
      <c r="SEP275" s="192"/>
      <c r="SEQ275" s="192"/>
      <c r="SER275" s="192"/>
      <c r="SES275" s="192"/>
      <c r="SET275" s="192"/>
      <c r="SEU275" s="192"/>
      <c r="SEV275" s="192"/>
      <c r="SEW275" s="192"/>
      <c r="SEX275" s="192"/>
      <c r="SEY275" s="192"/>
      <c r="SEZ275" s="192"/>
      <c r="SFA275" s="192"/>
      <c r="SFB275" s="192"/>
      <c r="SFC275" s="192"/>
      <c r="SFD275" s="192"/>
      <c r="SFE275" s="192"/>
      <c r="SFF275" s="192"/>
      <c r="SFG275" s="192"/>
      <c r="SFH275" s="192"/>
      <c r="SFI275" s="192"/>
      <c r="SFJ275" s="192"/>
      <c r="SFK275" s="192"/>
      <c r="SFL275" s="192"/>
      <c r="SFM275" s="192"/>
      <c r="SFN275" s="192"/>
      <c r="SFO275" s="192"/>
      <c r="SFP275" s="192"/>
      <c r="SFQ275" s="192"/>
      <c r="SFR275" s="192"/>
      <c r="SFS275" s="192"/>
      <c r="SFT275" s="192"/>
      <c r="SFU275" s="192"/>
      <c r="SFV275" s="192"/>
      <c r="SFW275" s="192"/>
      <c r="SFX275" s="192"/>
      <c r="SFY275" s="192"/>
      <c r="SFZ275" s="192"/>
      <c r="SGA275" s="192"/>
      <c r="SGB275" s="192"/>
      <c r="SGC275" s="192"/>
      <c r="SGD275" s="192"/>
      <c r="SGE275" s="192"/>
      <c r="SGF275" s="192"/>
      <c r="SGG275" s="192"/>
      <c r="SGH275" s="192"/>
      <c r="SGI275" s="192"/>
      <c r="SGJ275" s="192"/>
      <c r="SGK275" s="192"/>
      <c r="SGL275" s="192"/>
      <c r="SGM275" s="192"/>
      <c r="SGN275" s="192"/>
      <c r="SGO275" s="192"/>
      <c r="SGP275" s="192"/>
      <c r="SGQ275" s="192"/>
      <c r="SGR275" s="192"/>
      <c r="SGS275" s="192"/>
      <c r="SGT275" s="192"/>
      <c r="SGU275" s="192"/>
      <c r="SGV275" s="192"/>
      <c r="SGW275" s="192"/>
      <c r="SGX275" s="192"/>
      <c r="SGY275" s="192"/>
      <c r="SGZ275" s="192"/>
      <c r="SHA275" s="192"/>
      <c r="SHB275" s="192"/>
      <c r="SHC275" s="192"/>
      <c r="SHD275" s="192"/>
      <c r="SHE275" s="192"/>
      <c r="SHF275" s="192"/>
      <c r="SHG275" s="192"/>
      <c r="SHH275" s="192"/>
      <c r="SHI275" s="192"/>
      <c r="SHJ275" s="192"/>
      <c r="SHK275" s="192"/>
      <c r="SHL275" s="192"/>
      <c r="SHM275" s="192"/>
      <c r="SHN275" s="192"/>
      <c r="SHO275" s="192"/>
      <c r="SHP275" s="192"/>
      <c r="SHQ275" s="192"/>
      <c r="SHR275" s="192"/>
      <c r="SHS275" s="192"/>
      <c r="SHT275" s="192"/>
      <c r="SHU275" s="192"/>
      <c r="SHV275" s="192"/>
      <c r="SHW275" s="192"/>
      <c r="SHX275" s="192"/>
      <c r="SHY275" s="192"/>
      <c r="SHZ275" s="192"/>
      <c r="SIA275" s="192"/>
      <c r="SIB275" s="192"/>
      <c r="SIC275" s="192"/>
      <c r="SID275" s="192"/>
      <c r="SIE275" s="192"/>
      <c r="SIF275" s="192"/>
      <c r="SIG275" s="192"/>
      <c r="SIH275" s="192"/>
      <c r="SII275" s="192"/>
      <c r="SIJ275" s="192"/>
      <c r="SIK275" s="192"/>
      <c r="SIL275" s="192"/>
      <c r="SIM275" s="192"/>
      <c r="SIN275" s="192"/>
      <c r="SIO275" s="192"/>
      <c r="SIP275" s="192"/>
      <c r="SIQ275" s="192"/>
      <c r="SIR275" s="192"/>
      <c r="SIS275" s="192"/>
      <c r="SIT275" s="192"/>
      <c r="SIU275" s="192"/>
      <c r="SIV275" s="192"/>
      <c r="SIW275" s="192"/>
      <c r="SIX275" s="192"/>
      <c r="SIY275" s="192"/>
      <c r="SIZ275" s="192"/>
      <c r="SJA275" s="192"/>
      <c r="SJB275" s="192"/>
      <c r="SJC275" s="192"/>
      <c r="SJD275" s="192"/>
      <c r="SJE275" s="192"/>
      <c r="SJF275" s="192"/>
      <c r="SJG275" s="192"/>
      <c r="SJH275" s="192"/>
      <c r="SJI275" s="192"/>
      <c r="SJJ275" s="192"/>
      <c r="SJK275" s="192"/>
      <c r="SJL275" s="192"/>
      <c r="SJM275" s="192"/>
      <c r="SJN275" s="192"/>
      <c r="SJO275" s="192"/>
      <c r="SJP275" s="192"/>
      <c r="SJQ275" s="192"/>
      <c r="SJR275" s="192"/>
      <c r="SJS275" s="192"/>
      <c r="SJT275" s="192"/>
      <c r="SJU275" s="192"/>
      <c r="SJV275" s="192"/>
      <c r="SJW275" s="192"/>
      <c r="SJX275" s="192"/>
      <c r="SJY275" s="192"/>
      <c r="SJZ275" s="192"/>
      <c r="SKA275" s="192"/>
      <c r="SKB275" s="192"/>
      <c r="SKC275" s="192"/>
      <c r="SKD275" s="192"/>
      <c r="SKE275" s="192"/>
      <c r="SKF275" s="192"/>
      <c r="SKG275" s="192"/>
      <c r="SKH275" s="192"/>
      <c r="SKI275" s="192"/>
      <c r="SKJ275" s="192"/>
      <c r="SKK275" s="192"/>
      <c r="SKL275" s="192"/>
      <c r="SKM275" s="192"/>
      <c r="SKN275" s="192"/>
      <c r="SKO275" s="192"/>
      <c r="SKP275" s="192"/>
      <c r="SKQ275" s="192"/>
      <c r="SKR275" s="192"/>
      <c r="SKS275" s="192"/>
      <c r="SKT275" s="192"/>
      <c r="SKU275" s="192"/>
      <c r="SKV275" s="192"/>
      <c r="SKW275" s="192"/>
      <c r="SKX275" s="192"/>
      <c r="SKY275" s="192"/>
      <c r="SKZ275" s="192"/>
      <c r="SLA275" s="192"/>
      <c r="SLB275" s="192"/>
      <c r="SLC275" s="192"/>
      <c r="SLD275" s="192"/>
      <c r="SLE275" s="192"/>
      <c r="SLF275" s="192"/>
      <c r="SLG275" s="192"/>
      <c r="SLH275" s="192"/>
      <c r="SLI275" s="192"/>
      <c r="SLJ275" s="192"/>
      <c r="SLK275" s="192"/>
      <c r="SLL275" s="192"/>
      <c r="SLM275" s="192"/>
      <c r="SLN275" s="192"/>
      <c r="SLO275" s="192"/>
      <c r="SLP275" s="192"/>
      <c r="SLQ275" s="192"/>
      <c r="SLR275" s="192"/>
      <c r="SLS275" s="192"/>
      <c r="SLT275" s="192"/>
      <c r="SLU275" s="192"/>
      <c r="SLV275" s="192"/>
      <c r="SLW275" s="192"/>
      <c r="SLX275" s="192"/>
      <c r="SLY275" s="192"/>
      <c r="SLZ275" s="192"/>
      <c r="SMA275" s="192"/>
      <c r="SMB275" s="192"/>
      <c r="SMC275" s="192"/>
      <c r="SMD275" s="192"/>
      <c r="SME275" s="192"/>
      <c r="SMF275" s="192"/>
      <c r="SMG275" s="192"/>
      <c r="SMH275" s="192"/>
      <c r="SMI275" s="192"/>
      <c r="SMJ275" s="192"/>
      <c r="SMK275" s="192"/>
      <c r="SML275" s="192"/>
      <c r="SMM275" s="192"/>
      <c r="SMN275" s="192"/>
      <c r="SMO275" s="192"/>
      <c r="SMP275" s="192"/>
      <c r="SMQ275" s="192"/>
      <c r="SMR275" s="192"/>
      <c r="SMS275" s="192"/>
      <c r="SMT275" s="192"/>
      <c r="SMU275" s="192"/>
      <c r="SMV275" s="192"/>
      <c r="SMW275" s="192"/>
      <c r="SMX275" s="192"/>
      <c r="SMY275" s="192"/>
      <c r="SMZ275" s="192"/>
      <c r="SNA275" s="192"/>
      <c r="SNB275" s="192"/>
      <c r="SNC275" s="192"/>
      <c r="SND275" s="192"/>
      <c r="SNE275" s="192"/>
      <c r="SNF275" s="192"/>
      <c r="SNG275" s="192"/>
      <c r="SNH275" s="192"/>
      <c r="SNI275" s="192"/>
      <c r="SNJ275" s="192"/>
      <c r="SNK275" s="192"/>
      <c r="SNL275" s="192"/>
      <c r="SNM275" s="192"/>
      <c r="SNN275" s="192"/>
      <c r="SNO275" s="192"/>
      <c r="SNP275" s="192"/>
      <c r="SNQ275" s="192"/>
      <c r="SNR275" s="192"/>
      <c r="SNS275" s="192"/>
      <c r="SNT275" s="192"/>
      <c r="SNU275" s="192"/>
      <c r="SNV275" s="192"/>
      <c r="SNW275" s="192"/>
      <c r="SNX275" s="192"/>
      <c r="SNY275" s="192"/>
      <c r="SNZ275" s="192"/>
      <c r="SOA275" s="192"/>
      <c r="SOB275" s="192"/>
      <c r="SOC275" s="192"/>
      <c r="SOD275" s="192"/>
      <c r="SOE275" s="192"/>
      <c r="SOF275" s="192"/>
      <c r="SOG275" s="192"/>
      <c r="SOH275" s="192"/>
      <c r="SOI275" s="192"/>
      <c r="SOJ275" s="192"/>
      <c r="SOK275" s="192"/>
      <c r="SOL275" s="192"/>
      <c r="SOM275" s="192"/>
      <c r="SON275" s="192"/>
      <c r="SOO275" s="192"/>
      <c r="SOP275" s="192"/>
      <c r="SOQ275" s="192"/>
      <c r="SOR275" s="192"/>
      <c r="SOS275" s="192"/>
      <c r="SOT275" s="192"/>
      <c r="SOU275" s="192"/>
      <c r="SOV275" s="192"/>
      <c r="SOW275" s="192"/>
      <c r="SOX275" s="192"/>
      <c r="SOY275" s="192"/>
      <c r="SOZ275" s="192"/>
      <c r="SPA275" s="192"/>
      <c r="SPB275" s="192"/>
      <c r="SPC275" s="192"/>
      <c r="SPD275" s="192"/>
      <c r="SPE275" s="192"/>
      <c r="SPF275" s="192"/>
      <c r="SPG275" s="192"/>
      <c r="SPH275" s="192"/>
      <c r="SPI275" s="192"/>
      <c r="SPJ275" s="192"/>
      <c r="SPK275" s="192"/>
      <c r="SPL275" s="192"/>
      <c r="SPM275" s="192"/>
      <c r="SPN275" s="192"/>
      <c r="SPO275" s="192"/>
      <c r="SPP275" s="192"/>
      <c r="SPQ275" s="192"/>
      <c r="SPR275" s="192"/>
      <c r="SPS275" s="192"/>
      <c r="SPT275" s="192"/>
      <c r="SPU275" s="192"/>
      <c r="SPV275" s="192"/>
      <c r="SPW275" s="192"/>
      <c r="SPX275" s="192"/>
      <c r="SPY275" s="192"/>
      <c r="SPZ275" s="192"/>
      <c r="SQA275" s="192"/>
      <c r="SQB275" s="192"/>
      <c r="SQC275" s="192"/>
      <c r="SQD275" s="192"/>
      <c r="SQE275" s="192"/>
      <c r="SQF275" s="192"/>
      <c r="SQG275" s="192"/>
      <c r="SQH275" s="192"/>
      <c r="SQI275" s="192"/>
      <c r="SQJ275" s="192"/>
      <c r="SQK275" s="192"/>
      <c r="SQL275" s="192"/>
      <c r="SQM275" s="192"/>
      <c r="SQN275" s="192"/>
      <c r="SQO275" s="192"/>
      <c r="SQP275" s="192"/>
      <c r="SQQ275" s="192"/>
      <c r="SQR275" s="192"/>
      <c r="SQS275" s="192"/>
      <c r="SQT275" s="192"/>
      <c r="SQU275" s="192"/>
      <c r="SQV275" s="192"/>
      <c r="SQW275" s="192"/>
      <c r="SQX275" s="192"/>
      <c r="SQY275" s="192"/>
      <c r="SQZ275" s="192"/>
      <c r="SRA275" s="192"/>
      <c r="SRB275" s="192"/>
      <c r="SRC275" s="192"/>
      <c r="SRD275" s="192"/>
      <c r="SRE275" s="192"/>
      <c r="SRF275" s="192"/>
      <c r="SRG275" s="192"/>
      <c r="SRH275" s="192"/>
      <c r="SRI275" s="192"/>
      <c r="SRJ275" s="192"/>
      <c r="SRK275" s="192"/>
      <c r="SRL275" s="192"/>
      <c r="SRM275" s="192"/>
      <c r="SRN275" s="192"/>
      <c r="SRO275" s="192"/>
      <c r="SRP275" s="192"/>
      <c r="SRQ275" s="192"/>
      <c r="SRR275" s="192"/>
      <c r="SRS275" s="192"/>
      <c r="SRT275" s="192"/>
      <c r="SRU275" s="192"/>
      <c r="SRV275" s="192"/>
      <c r="SRW275" s="192"/>
      <c r="SRX275" s="192"/>
      <c r="SRY275" s="192"/>
      <c r="SRZ275" s="192"/>
      <c r="SSA275" s="192"/>
      <c r="SSB275" s="192"/>
      <c r="SSC275" s="192"/>
      <c r="SSD275" s="192"/>
      <c r="SSE275" s="192"/>
      <c r="SSF275" s="192"/>
      <c r="SSG275" s="192"/>
      <c r="SSH275" s="192"/>
      <c r="SSI275" s="192"/>
      <c r="SSJ275" s="192"/>
      <c r="SSK275" s="192"/>
      <c r="SSL275" s="192"/>
      <c r="SSM275" s="192"/>
      <c r="SSN275" s="192"/>
      <c r="SSO275" s="192"/>
      <c r="SSP275" s="192"/>
      <c r="SSQ275" s="192"/>
      <c r="SSR275" s="192"/>
      <c r="SSS275" s="192"/>
      <c r="SST275" s="192"/>
      <c r="SSU275" s="192"/>
      <c r="SSV275" s="192"/>
      <c r="SSW275" s="192"/>
      <c r="SSX275" s="192"/>
      <c r="SSY275" s="192"/>
      <c r="SSZ275" s="192"/>
      <c r="STA275" s="192"/>
      <c r="STB275" s="192"/>
      <c r="STC275" s="192"/>
      <c r="STD275" s="192"/>
      <c r="STE275" s="192"/>
      <c r="STF275" s="192"/>
      <c r="STG275" s="192"/>
      <c r="STH275" s="192"/>
      <c r="STI275" s="192"/>
      <c r="STJ275" s="192"/>
      <c r="STK275" s="192"/>
      <c r="STL275" s="192"/>
      <c r="STM275" s="192"/>
      <c r="STN275" s="192"/>
      <c r="STO275" s="192"/>
      <c r="STP275" s="192"/>
      <c r="STQ275" s="192"/>
      <c r="STR275" s="192"/>
      <c r="STS275" s="192"/>
      <c r="STT275" s="192"/>
      <c r="STU275" s="192"/>
      <c r="STV275" s="192"/>
      <c r="STW275" s="192"/>
      <c r="STX275" s="192"/>
      <c r="STY275" s="192"/>
      <c r="STZ275" s="192"/>
      <c r="SUA275" s="192"/>
      <c r="SUB275" s="192"/>
      <c r="SUC275" s="192"/>
      <c r="SUD275" s="192"/>
      <c r="SUE275" s="192"/>
      <c r="SUF275" s="192"/>
      <c r="SUG275" s="192"/>
      <c r="SUH275" s="192"/>
      <c r="SUI275" s="192"/>
      <c r="SUJ275" s="192"/>
      <c r="SUK275" s="192"/>
      <c r="SUL275" s="192"/>
      <c r="SUM275" s="192"/>
      <c r="SUN275" s="192"/>
      <c r="SUO275" s="192"/>
      <c r="SUP275" s="192"/>
      <c r="SUQ275" s="192"/>
      <c r="SUR275" s="192"/>
      <c r="SUS275" s="192"/>
      <c r="SUT275" s="192"/>
      <c r="SUU275" s="192"/>
      <c r="SUV275" s="192"/>
      <c r="SUW275" s="192"/>
      <c r="SUX275" s="192"/>
      <c r="SUY275" s="192"/>
      <c r="SUZ275" s="192"/>
      <c r="SVA275" s="192"/>
      <c r="SVB275" s="192"/>
      <c r="SVC275" s="192"/>
      <c r="SVD275" s="192"/>
      <c r="SVE275" s="192"/>
      <c r="SVF275" s="192"/>
      <c r="SVG275" s="192"/>
      <c r="SVH275" s="192"/>
      <c r="SVI275" s="192"/>
      <c r="SVJ275" s="192"/>
      <c r="SVK275" s="192"/>
      <c r="SVL275" s="192"/>
      <c r="SVM275" s="192"/>
      <c r="SVN275" s="192"/>
      <c r="SVO275" s="192"/>
      <c r="SVP275" s="192"/>
      <c r="SVQ275" s="192"/>
      <c r="SVR275" s="192"/>
      <c r="SVS275" s="192"/>
      <c r="SVT275" s="192"/>
      <c r="SVU275" s="192"/>
      <c r="SVV275" s="192"/>
      <c r="SVW275" s="192"/>
      <c r="SVX275" s="192"/>
      <c r="SVY275" s="192"/>
      <c r="SVZ275" s="192"/>
      <c r="SWA275" s="192"/>
      <c r="SWB275" s="192"/>
      <c r="SWC275" s="192"/>
      <c r="SWD275" s="192"/>
      <c r="SWE275" s="192"/>
      <c r="SWF275" s="192"/>
      <c r="SWG275" s="192"/>
      <c r="SWH275" s="192"/>
      <c r="SWI275" s="192"/>
      <c r="SWJ275" s="192"/>
      <c r="SWK275" s="192"/>
      <c r="SWL275" s="192"/>
      <c r="SWM275" s="192"/>
      <c r="SWN275" s="192"/>
      <c r="SWO275" s="192"/>
      <c r="SWP275" s="192"/>
      <c r="SWQ275" s="192"/>
      <c r="SWR275" s="192"/>
      <c r="SWS275" s="192"/>
      <c r="SWT275" s="192"/>
      <c r="SWU275" s="192"/>
      <c r="SWV275" s="192"/>
      <c r="SWW275" s="192"/>
      <c r="SWX275" s="192"/>
      <c r="SWY275" s="192"/>
      <c r="SWZ275" s="192"/>
      <c r="SXA275" s="192"/>
      <c r="SXB275" s="192"/>
      <c r="SXC275" s="192"/>
      <c r="SXD275" s="192"/>
      <c r="SXE275" s="192"/>
      <c r="SXF275" s="192"/>
      <c r="SXG275" s="192"/>
      <c r="SXH275" s="192"/>
      <c r="SXI275" s="192"/>
      <c r="SXJ275" s="192"/>
      <c r="SXK275" s="192"/>
      <c r="SXL275" s="192"/>
      <c r="SXM275" s="192"/>
      <c r="SXN275" s="192"/>
      <c r="SXO275" s="192"/>
      <c r="SXP275" s="192"/>
      <c r="SXQ275" s="192"/>
      <c r="SXR275" s="192"/>
      <c r="SXS275" s="192"/>
      <c r="SXT275" s="192"/>
      <c r="SXU275" s="192"/>
      <c r="SXV275" s="192"/>
      <c r="SXW275" s="192"/>
      <c r="SXX275" s="192"/>
      <c r="SXY275" s="192"/>
      <c r="SXZ275" s="192"/>
      <c r="SYA275" s="192"/>
      <c r="SYB275" s="192"/>
      <c r="SYC275" s="192"/>
      <c r="SYD275" s="192"/>
      <c r="SYE275" s="192"/>
      <c r="SYF275" s="192"/>
      <c r="SYG275" s="192"/>
      <c r="SYH275" s="192"/>
      <c r="SYI275" s="192"/>
      <c r="SYJ275" s="192"/>
      <c r="SYK275" s="192"/>
      <c r="SYL275" s="192"/>
      <c r="SYM275" s="192"/>
      <c r="SYN275" s="192"/>
      <c r="SYO275" s="192"/>
      <c r="SYP275" s="192"/>
      <c r="SYQ275" s="192"/>
      <c r="SYR275" s="192"/>
      <c r="SYS275" s="192"/>
      <c r="SYT275" s="192"/>
      <c r="SYU275" s="192"/>
      <c r="SYV275" s="192"/>
      <c r="SYW275" s="192"/>
      <c r="SYX275" s="192"/>
      <c r="SYY275" s="192"/>
      <c r="SYZ275" s="192"/>
      <c r="SZA275" s="192"/>
      <c r="SZB275" s="192"/>
      <c r="SZC275" s="192"/>
      <c r="SZD275" s="192"/>
      <c r="SZE275" s="192"/>
      <c r="SZF275" s="192"/>
      <c r="SZG275" s="192"/>
      <c r="SZH275" s="192"/>
      <c r="SZI275" s="192"/>
      <c r="SZJ275" s="192"/>
      <c r="SZK275" s="192"/>
      <c r="SZL275" s="192"/>
      <c r="SZM275" s="192"/>
      <c r="SZN275" s="192"/>
      <c r="SZO275" s="192"/>
      <c r="SZP275" s="192"/>
      <c r="SZQ275" s="192"/>
      <c r="SZR275" s="192"/>
      <c r="SZS275" s="192"/>
      <c r="SZT275" s="192"/>
      <c r="SZU275" s="192"/>
      <c r="SZV275" s="192"/>
      <c r="SZW275" s="192"/>
      <c r="SZX275" s="192"/>
      <c r="SZY275" s="192"/>
      <c r="SZZ275" s="192"/>
      <c r="TAA275" s="192"/>
      <c r="TAB275" s="192"/>
      <c r="TAC275" s="192"/>
      <c r="TAD275" s="192"/>
      <c r="TAE275" s="192"/>
      <c r="TAF275" s="192"/>
      <c r="TAG275" s="192"/>
      <c r="TAH275" s="192"/>
      <c r="TAI275" s="192"/>
      <c r="TAJ275" s="192"/>
      <c r="TAK275" s="192"/>
      <c r="TAL275" s="192"/>
      <c r="TAM275" s="192"/>
      <c r="TAN275" s="192"/>
      <c r="TAO275" s="192"/>
      <c r="TAP275" s="192"/>
      <c r="TAQ275" s="192"/>
      <c r="TAR275" s="192"/>
      <c r="TAS275" s="192"/>
      <c r="TAT275" s="192"/>
      <c r="TAU275" s="192"/>
      <c r="TAV275" s="192"/>
      <c r="TAW275" s="192"/>
      <c r="TAX275" s="192"/>
      <c r="TAY275" s="192"/>
      <c r="TAZ275" s="192"/>
      <c r="TBA275" s="192"/>
      <c r="TBB275" s="192"/>
      <c r="TBC275" s="192"/>
      <c r="TBD275" s="192"/>
      <c r="TBE275" s="192"/>
      <c r="TBF275" s="192"/>
      <c r="TBG275" s="192"/>
      <c r="TBH275" s="192"/>
      <c r="TBI275" s="192"/>
      <c r="TBJ275" s="192"/>
      <c r="TBK275" s="192"/>
      <c r="TBL275" s="192"/>
      <c r="TBM275" s="192"/>
      <c r="TBN275" s="192"/>
      <c r="TBO275" s="192"/>
      <c r="TBP275" s="192"/>
      <c r="TBQ275" s="192"/>
      <c r="TBR275" s="192"/>
      <c r="TBS275" s="192"/>
      <c r="TBT275" s="192"/>
      <c r="TBU275" s="192"/>
      <c r="TBV275" s="192"/>
      <c r="TBW275" s="192"/>
      <c r="TBX275" s="192"/>
      <c r="TBY275" s="192"/>
      <c r="TBZ275" s="192"/>
      <c r="TCA275" s="192"/>
      <c r="TCB275" s="192"/>
      <c r="TCC275" s="192"/>
      <c r="TCD275" s="192"/>
      <c r="TCE275" s="192"/>
      <c r="TCF275" s="192"/>
      <c r="TCG275" s="192"/>
      <c r="TCH275" s="192"/>
      <c r="TCI275" s="192"/>
      <c r="TCJ275" s="192"/>
      <c r="TCK275" s="192"/>
      <c r="TCL275" s="192"/>
      <c r="TCM275" s="192"/>
      <c r="TCN275" s="192"/>
      <c r="TCO275" s="192"/>
      <c r="TCP275" s="192"/>
      <c r="TCQ275" s="192"/>
      <c r="TCR275" s="192"/>
      <c r="TCS275" s="192"/>
      <c r="TCT275" s="192"/>
      <c r="TCU275" s="192"/>
      <c r="TCV275" s="192"/>
      <c r="TCW275" s="192"/>
      <c r="TCX275" s="192"/>
      <c r="TCY275" s="192"/>
      <c r="TCZ275" s="192"/>
      <c r="TDA275" s="192"/>
      <c r="TDB275" s="192"/>
      <c r="TDC275" s="192"/>
      <c r="TDD275" s="192"/>
      <c r="TDE275" s="192"/>
      <c r="TDF275" s="192"/>
      <c r="TDG275" s="192"/>
      <c r="TDH275" s="192"/>
      <c r="TDI275" s="192"/>
      <c r="TDJ275" s="192"/>
      <c r="TDK275" s="192"/>
      <c r="TDL275" s="192"/>
      <c r="TDM275" s="192"/>
      <c r="TDN275" s="192"/>
      <c r="TDO275" s="192"/>
      <c r="TDP275" s="192"/>
      <c r="TDQ275" s="192"/>
      <c r="TDR275" s="192"/>
      <c r="TDS275" s="192"/>
      <c r="TDT275" s="192"/>
      <c r="TDU275" s="192"/>
      <c r="TDV275" s="192"/>
      <c r="TDW275" s="192"/>
      <c r="TDX275" s="192"/>
      <c r="TDY275" s="192"/>
      <c r="TDZ275" s="192"/>
      <c r="TEA275" s="192"/>
      <c r="TEB275" s="192"/>
      <c r="TEC275" s="192"/>
      <c r="TED275" s="192"/>
      <c r="TEE275" s="192"/>
      <c r="TEF275" s="192"/>
      <c r="TEG275" s="192"/>
      <c r="TEH275" s="192"/>
      <c r="TEI275" s="192"/>
      <c r="TEJ275" s="192"/>
      <c r="TEK275" s="192"/>
      <c r="TEL275" s="192"/>
      <c r="TEM275" s="192"/>
      <c r="TEN275" s="192"/>
      <c r="TEO275" s="192"/>
      <c r="TEP275" s="192"/>
      <c r="TEQ275" s="192"/>
      <c r="TER275" s="192"/>
      <c r="TES275" s="192"/>
      <c r="TET275" s="192"/>
      <c r="TEU275" s="192"/>
      <c r="TEV275" s="192"/>
      <c r="TEW275" s="192"/>
      <c r="TEX275" s="192"/>
      <c r="TEY275" s="192"/>
      <c r="TEZ275" s="192"/>
      <c r="TFA275" s="192"/>
      <c r="TFB275" s="192"/>
      <c r="TFC275" s="192"/>
      <c r="TFD275" s="192"/>
      <c r="TFE275" s="192"/>
      <c r="TFF275" s="192"/>
      <c r="TFG275" s="192"/>
      <c r="TFH275" s="192"/>
      <c r="TFI275" s="192"/>
      <c r="TFJ275" s="192"/>
      <c r="TFK275" s="192"/>
      <c r="TFL275" s="192"/>
      <c r="TFM275" s="192"/>
      <c r="TFN275" s="192"/>
      <c r="TFO275" s="192"/>
      <c r="TFP275" s="192"/>
      <c r="TFQ275" s="192"/>
      <c r="TFR275" s="192"/>
      <c r="TFS275" s="192"/>
      <c r="TFT275" s="192"/>
      <c r="TFU275" s="192"/>
      <c r="TFV275" s="192"/>
      <c r="TFW275" s="192"/>
      <c r="TFX275" s="192"/>
      <c r="TFY275" s="192"/>
      <c r="TFZ275" s="192"/>
      <c r="TGA275" s="192"/>
      <c r="TGB275" s="192"/>
      <c r="TGC275" s="192"/>
      <c r="TGD275" s="192"/>
      <c r="TGE275" s="192"/>
      <c r="TGF275" s="192"/>
      <c r="TGG275" s="192"/>
      <c r="TGH275" s="192"/>
      <c r="TGI275" s="192"/>
      <c r="TGJ275" s="192"/>
      <c r="TGK275" s="192"/>
      <c r="TGL275" s="192"/>
      <c r="TGM275" s="192"/>
      <c r="TGN275" s="192"/>
      <c r="TGO275" s="192"/>
      <c r="TGP275" s="192"/>
      <c r="TGQ275" s="192"/>
      <c r="TGR275" s="192"/>
      <c r="TGS275" s="192"/>
      <c r="TGT275" s="192"/>
      <c r="TGU275" s="192"/>
      <c r="TGV275" s="192"/>
      <c r="TGW275" s="192"/>
      <c r="TGX275" s="192"/>
      <c r="TGY275" s="192"/>
      <c r="TGZ275" s="192"/>
      <c r="THA275" s="192"/>
      <c r="THB275" s="192"/>
      <c r="THC275" s="192"/>
      <c r="THD275" s="192"/>
      <c r="THE275" s="192"/>
      <c r="THF275" s="192"/>
      <c r="THG275" s="192"/>
      <c r="THH275" s="192"/>
      <c r="THI275" s="192"/>
      <c r="THJ275" s="192"/>
      <c r="THK275" s="192"/>
      <c r="THL275" s="192"/>
      <c r="THM275" s="192"/>
      <c r="THN275" s="192"/>
      <c r="THO275" s="192"/>
      <c r="THP275" s="192"/>
      <c r="THQ275" s="192"/>
      <c r="THR275" s="192"/>
      <c r="THS275" s="192"/>
      <c r="THT275" s="192"/>
      <c r="THU275" s="192"/>
      <c r="THV275" s="192"/>
      <c r="THW275" s="192"/>
      <c r="THX275" s="192"/>
      <c r="THY275" s="192"/>
      <c r="THZ275" s="192"/>
      <c r="TIA275" s="192"/>
      <c r="TIB275" s="192"/>
      <c r="TIC275" s="192"/>
      <c r="TID275" s="192"/>
      <c r="TIE275" s="192"/>
      <c r="TIF275" s="192"/>
      <c r="TIG275" s="192"/>
      <c r="TIH275" s="192"/>
      <c r="TII275" s="192"/>
      <c r="TIJ275" s="192"/>
      <c r="TIK275" s="192"/>
      <c r="TIL275" s="192"/>
      <c r="TIM275" s="192"/>
      <c r="TIN275" s="192"/>
      <c r="TIO275" s="192"/>
      <c r="TIP275" s="192"/>
      <c r="TIQ275" s="192"/>
      <c r="TIR275" s="192"/>
      <c r="TIS275" s="192"/>
      <c r="TIT275" s="192"/>
      <c r="TIU275" s="192"/>
      <c r="TIV275" s="192"/>
      <c r="TIW275" s="192"/>
      <c r="TIX275" s="192"/>
      <c r="TIY275" s="192"/>
      <c r="TIZ275" s="192"/>
      <c r="TJA275" s="192"/>
      <c r="TJB275" s="192"/>
      <c r="TJC275" s="192"/>
      <c r="TJD275" s="192"/>
      <c r="TJE275" s="192"/>
      <c r="TJF275" s="192"/>
      <c r="TJG275" s="192"/>
      <c r="TJH275" s="192"/>
      <c r="TJI275" s="192"/>
      <c r="TJJ275" s="192"/>
      <c r="TJK275" s="192"/>
      <c r="TJL275" s="192"/>
      <c r="TJM275" s="192"/>
      <c r="TJN275" s="192"/>
      <c r="TJO275" s="192"/>
      <c r="TJP275" s="192"/>
      <c r="TJQ275" s="192"/>
      <c r="TJR275" s="192"/>
      <c r="TJS275" s="192"/>
      <c r="TJT275" s="192"/>
      <c r="TJU275" s="192"/>
      <c r="TJV275" s="192"/>
      <c r="TJW275" s="192"/>
      <c r="TJX275" s="192"/>
      <c r="TJY275" s="192"/>
      <c r="TJZ275" s="192"/>
      <c r="TKA275" s="192"/>
      <c r="TKB275" s="192"/>
      <c r="TKC275" s="192"/>
      <c r="TKD275" s="192"/>
      <c r="TKE275" s="192"/>
      <c r="TKF275" s="192"/>
      <c r="TKG275" s="192"/>
      <c r="TKH275" s="192"/>
      <c r="TKI275" s="192"/>
      <c r="TKJ275" s="192"/>
      <c r="TKK275" s="192"/>
      <c r="TKL275" s="192"/>
      <c r="TKM275" s="192"/>
      <c r="TKN275" s="192"/>
      <c r="TKO275" s="192"/>
      <c r="TKP275" s="192"/>
      <c r="TKQ275" s="192"/>
      <c r="TKR275" s="192"/>
      <c r="TKS275" s="192"/>
      <c r="TKT275" s="192"/>
      <c r="TKU275" s="192"/>
      <c r="TKV275" s="192"/>
      <c r="TKW275" s="192"/>
      <c r="TKX275" s="192"/>
      <c r="TKY275" s="192"/>
      <c r="TKZ275" s="192"/>
      <c r="TLA275" s="192"/>
      <c r="TLB275" s="192"/>
      <c r="TLC275" s="192"/>
      <c r="TLD275" s="192"/>
      <c r="TLE275" s="192"/>
      <c r="TLF275" s="192"/>
      <c r="TLG275" s="192"/>
      <c r="TLH275" s="192"/>
      <c r="TLI275" s="192"/>
      <c r="TLJ275" s="192"/>
      <c r="TLK275" s="192"/>
      <c r="TLL275" s="192"/>
      <c r="TLM275" s="192"/>
      <c r="TLN275" s="192"/>
      <c r="TLO275" s="192"/>
      <c r="TLP275" s="192"/>
      <c r="TLQ275" s="192"/>
      <c r="TLR275" s="192"/>
      <c r="TLS275" s="192"/>
      <c r="TLT275" s="192"/>
      <c r="TLU275" s="192"/>
      <c r="TLV275" s="192"/>
      <c r="TLW275" s="192"/>
      <c r="TLX275" s="192"/>
      <c r="TLY275" s="192"/>
      <c r="TLZ275" s="192"/>
      <c r="TMA275" s="192"/>
      <c r="TMB275" s="192"/>
      <c r="TMC275" s="192"/>
      <c r="TMD275" s="192"/>
      <c r="TME275" s="192"/>
      <c r="TMF275" s="192"/>
      <c r="TMG275" s="192"/>
      <c r="TMH275" s="192"/>
      <c r="TMI275" s="192"/>
      <c r="TMJ275" s="192"/>
      <c r="TMK275" s="192"/>
      <c r="TML275" s="192"/>
      <c r="TMM275" s="192"/>
      <c r="TMN275" s="192"/>
      <c r="TMO275" s="192"/>
      <c r="TMP275" s="192"/>
      <c r="TMQ275" s="192"/>
      <c r="TMR275" s="192"/>
      <c r="TMS275" s="192"/>
      <c r="TMT275" s="192"/>
      <c r="TMU275" s="192"/>
      <c r="TMV275" s="192"/>
      <c r="TMW275" s="192"/>
      <c r="TMX275" s="192"/>
      <c r="TMY275" s="192"/>
      <c r="TMZ275" s="192"/>
      <c r="TNA275" s="192"/>
      <c r="TNB275" s="192"/>
      <c r="TNC275" s="192"/>
      <c r="TND275" s="192"/>
      <c r="TNE275" s="192"/>
      <c r="TNF275" s="192"/>
      <c r="TNG275" s="192"/>
      <c r="TNH275" s="192"/>
      <c r="TNI275" s="192"/>
      <c r="TNJ275" s="192"/>
      <c r="TNK275" s="192"/>
      <c r="TNL275" s="192"/>
      <c r="TNM275" s="192"/>
      <c r="TNN275" s="192"/>
      <c r="TNO275" s="192"/>
      <c r="TNP275" s="192"/>
      <c r="TNQ275" s="192"/>
      <c r="TNR275" s="192"/>
      <c r="TNS275" s="192"/>
      <c r="TNT275" s="192"/>
      <c r="TNU275" s="192"/>
      <c r="TNV275" s="192"/>
      <c r="TNW275" s="192"/>
      <c r="TNX275" s="192"/>
      <c r="TNY275" s="192"/>
      <c r="TNZ275" s="192"/>
      <c r="TOA275" s="192"/>
      <c r="TOB275" s="192"/>
      <c r="TOC275" s="192"/>
      <c r="TOD275" s="192"/>
      <c r="TOE275" s="192"/>
      <c r="TOF275" s="192"/>
      <c r="TOG275" s="192"/>
      <c r="TOH275" s="192"/>
      <c r="TOI275" s="192"/>
      <c r="TOJ275" s="192"/>
      <c r="TOK275" s="192"/>
      <c r="TOL275" s="192"/>
      <c r="TOM275" s="192"/>
      <c r="TON275" s="192"/>
      <c r="TOO275" s="192"/>
      <c r="TOP275" s="192"/>
      <c r="TOQ275" s="192"/>
      <c r="TOR275" s="192"/>
      <c r="TOS275" s="192"/>
      <c r="TOT275" s="192"/>
      <c r="TOU275" s="192"/>
      <c r="TOV275" s="192"/>
      <c r="TOW275" s="192"/>
      <c r="TOX275" s="192"/>
      <c r="TOY275" s="192"/>
      <c r="TOZ275" s="192"/>
      <c r="TPA275" s="192"/>
      <c r="TPB275" s="192"/>
      <c r="TPC275" s="192"/>
      <c r="TPD275" s="192"/>
      <c r="TPE275" s="192"/>
      <c r="TPF275" s="192"/>
      <c r="TPG275" s="192"/>
      <c r="TPH275" s="192"/>
      <c r="TPI275" s="192"/>
      <c r="TPJ275" s="192"/>
      <c r="TPK275" s="192"/>
      <c r="TPL275" s="192"/>
      <c r="TPM275" s="192"/>
      <c r="TPN275" s="192"/>
      <c r="TPO275" s="192"/>
      <c r="TPP275" s="192"/>
      <c r="TPQ275" s="192"/>
      <c r="TPR275" s="192"/>
      <c r="TPS275" s="192"/>
      <c r="TPT275" s="192"/>
      <c r="TPU275" s="192"/>
      <c r="TPV275" s="192"/>
      <c r="TPW275" s="192"/>
      <c r="TPX275" s="192"/>
      <c r="TPY275" s="192"/>
      <c r="TPZ275" s="192"/>
      <c r="TQA275" s="192"/>
      <c r="TQB275" s="192"/>
      <c r="TQC275" s="192"/>
      <c r="TQD275" s="192"/>
      <c r="TQE275" s="192"/>
      <c r="TQF275" s="192"/>
      <c r="TQG275" s="192"/>
      <c r="TQH275" s="192"/>
      <c r="TQI275" s="192"/>
      <c r="TQJ275" s="192"/>
      <c r="TQK275" s="192"/>
      <c r="TQL275" s="192"/>
      <c r="TQM275" s="192"/>
      <c r="TQN275" s="192"/>
      <c r="TQO275" s="192"/>
      <c r="TQP275" s="192"/>
      <c r="TQQ275" s="192"/>
      <c r="TQR275" s="192"/>
      <c r="TQS275" s="192"/>
      <c r="TQT275" s="192"/>
      <c r="TQU275" s="192"/>
      <c r="TQV275" s="192"/>
      <c r="TQW275" s="192"/>
      <c r="TQX275" s="192"/>
      <c r="TQY275" s="192"/>
      <c r="TQZ275" s="192"/>
      <c r="TRA275" s="192"/>
      <c r="TRB275" s="192"/>
      <c r="TRC275" s="192"/>
      <c r="TRD275" s="192"/>
      <c r="TRE275" s="192"/>
      <c r="TRF275" s="192"/>
      <c r="TRG275" s="192"/>
      <c r="TRH275" s="192"/>
      <c r="TRI275" s="192"/>
      <c r="TRJ275" s="192"/>
      <c r="TRK275" s="192"/>
      <c r="TRL275" s="192"/>
      <c r="TRM275" s="192"/>
      <c r="TRN275" s="192"/>
      <c r="TRO275" s="192"/>
      <c r="TRP275" s="192"/>
      <c r="TRQ275" s="192"/>
      <c r="TRR275" s="192"/>
      <c r="TRS275" s="192"/>
      <c r="TRT275" s="192"/>
      <c r="TRU275" s="192"/>
      <c r="TRV275" s="192"/>
      <c r="TRW275" s="192"/>
      <c r="TRX275" s="192"/>
      <c r="TRY275" s="192"/>
      <c r="TRZ275" s="192"/>
      <c r="TSA275" s="192"/>
      <c r="TSB275" s="192"/>
      <c r="TSC275" s="192"/>
      <c r="TSD275" s="192"/>
      <c r="TSE275" s="192"/>
      <c r="TSF275" s="192"/>
      <c r="TSG275" s="192"/>
      <c r="TSH275" s="192"/>
      <c r="TSI275" s="192"/>
      <c r="TSJ275" s="192"/>
      <c r="TSK275" s="192"/>
      <c r="TSL275" s="192"/>
      <c r="TSM275" s="192"/>
      <c r="TSN275" s="192"/>
      <c r="TSO275" s="192"/>
      <c r="TSP275" s="192"/>
      <c r="TSQ275" s="192"/>
      <c r="TSR275" s="192"/>
      <c r="TSS275" s="192"/>
      <c r="TST275" s="192"/>
      <c r="TSU275" s="192"/>
      <c r="TSV275" s="192"/>
      <c r="TSW275" s="192"/>
      <c r="TSX275" s="192"/>
      <c r="TSY275" s="192"/>
      <c r="TSZ275" s="192"/>
      <c r="TTA275" s="192"/>
      <c r="TTB275" s="192"/>
      <c r="TTC275" s="192"/>
      <c r="TTD275" s="192"/>
      <c r="TTE275" s="192"/>
      <c r="TTF275" s="192"/>
      <c r="TTG275" s="192"/>
      <c r="TTH275" s="192"/>
      <c r="TTI275" s="192"/>
      <c r="TTJ275" s="192"/>
      <c r="TTK275" s="192"/>
      <c r="TTL275" s="192"/>
      <c r="TTM275" s="192"/>
      <c r="TTN275" s="192"/>
      <c r="TTO275" s="192"/>
      <c r="TTP275" s="192"/>
      <c r="TTQ275" s="192"/>
      <c r="TTR275" s="192"/>
      <c r="TTS275" s="192"/>
      <c r="TTT275" s="192"/>
      <c r="TTU275" s="192"/>
      <c r="TTV275" s="192"/>
      <c r="TTW275" s="192"/>
      <c r="TTX275" s="192"/>
      <c r="TTY275" s="192"/>
      <c r="TTZ275" s="192"/>
      <c r="TUA275" s="192"/>
      <c r="TUB275" s="192"/>
      <c r="TUC275" s="192"/>
      <c r="TUD275" s="192"/>
      <c r="TUE275" s="192"/>
      <c r="TUF275" s="192"/>
      <c r="TUG275" s="192"/>
      <c r="TUH275" s="192"/>
      <c r="TUI275" s="192"/>
      <c r="TUJ275" s="192"/>
      <c r="TUK275" s="192"/>
      <c r="TUL275" s="192"/>
      <c r="TUM275" s="192"/>
      <c r="TUN275" s="192"/>
      <c r="TUO275" s="192"/>
      <c r="TUP275" s="192"/>
      <c r="TUQ275" s="192"/>
      <c r="TUR275" s="192"/>
      <c r="TUS275" s="192"/>
      <c r="TUT275" s="192"/>
      <c r="TUU275" s="192"/>
      <c r="TUV275" s="192"/>
      <c r="TUW275" s="192"/>
      <c r="TUX275" s="192"/>
      <c r="TUY275" s="192"/>
      <c r="TUZ275" s="192"/>
      <c r="TVA275" s="192"/>
      <c r="TVB275" s="192"/>
      <c r="TVC275" s="192"/>
      <c r="TVD275" s="192"/>
      <c r="TVE275" s="192"/>
      <c r="TVF275" s="192"/>
      <c r="TVG275" s="192"/>
      <c r="TVH275" s="192"/>
      <c r="TVI275" s="192"/>
      <c r="TVJ275" s="192"/>
      <c r="TVK275" s="192"/>
      <c r="TVL275" s="192"/>
      <c r="TVM275" s="192"/>
      <c r="TVN275" s="192"/>
      <c r="TVO275" s="192"/>
      <c r="TVP275" s="192"/>
      <c r="TVQ275" s="192"/>
      <c r="TVR275" s="192"/>
      <c r="TVS275" s="192"/>
      <c r="TVT275" s="192"/>
      <c r="TVU275" s="192"/>
      <c r="TVV275" s="192"/>
      <c r="TVW275" s="192"/>
      <c r="TVX275" s="192"/>
      <c r="TVY275" s="192"/>
      <c r="TVZ275" s="192"/>
      <c r="TWA275" s="192"/>
      <c r="TWB275" s="192"/>
      <c r="TWC275" s="192"/>
      <c r="TWD275" s="192"/>
      <c r="TWE275" s="192"/>
      <c r="TWF275" s="192"/>
      <c r="TWG275" s="192"/>
      <c r="TWH275" s="192"/>
      <c r="TWI275" s="192"/>
      <c r="TWJ275" s="192"/>
      <c r="TWK275" s="192"/>
      <c r="TWL275" s="192"/>
      <c r="TWM275" s="192"/>
      <c r="TWN275" s="192"/>
      <c r="TWO275" s="192"/>
      <c r="TWP275" s="192"/>
      <c r="TWQ275" s="192"/>
      <c r="TWR275" s="192"/>
      <c r="TWS275" s="192"/>
      <c r="TWT275" s="192"/>
      <c r="TWU275" s="192"/>
      <c r="TWV275" s="192"/>
      <c r="TWW275" s="192"/>
      <c r="TWX275" s="192"/>
      <c r="TWY275" s="192"/>
      <c r="TWZ275" s="192"/>
      <c r="TXA275" s="192"/>
      <c r="TXB275" s="192"/>
      <c r="TXC275" s="192"/>
      <c r="TXD275" s="192"/>
      <c r="TXE275" s="192"/>
      <c r="TXF275" s="192"/>
      <c r="TXG275" s="192"/>
      <c r="TXH275" s="192"/>
      <c r="TXI275" s="192"/>
      <c r="TXJ275" s="192"/>
      <c r="TXK275" s="192"/>
      <c r="TXL275" s="192"/>
      <c r="TXM275" s="192"/>
      <c r="TXN275" s="192"/>
      <c r="TXO275" s="192"/>
      <c r="TXP275" s="192"/>
      <c r="TXQ275" s="192"/>
      <c r="TXR275" s="192"/>
      <c r="TXS275" s="192"/>
      <c r="TXT275" s="192"/>
      <c r="TXU275" s="192"/>
      <c r="TXV275" s="192"/>
      <c r="TXW275" s="192"/>
      <c r="TXX275" s="192"/>
      <c r="TXY275" s="192"/>
      <c r="TXZ275" s="192"/>
      <c r="TYA275" s="192"/>
      <c r="TYB275" s="192"/>
      <c r="TYC275" s="192"/>
      <c r="TYD275" s="192"/>
      <c r="TYE275" s="192"/>
      <c r="TYF275" s="192"/>
      <c r="TYG275" s="192"/>
      <c r="TYH275" s="192"/>
      <c r="TYI275" s="192"/>
      <c r="TYJ275" s="192"/>
      <c r="TYK275" s="192"/>
      <c r="TYL275" s="192"/>
      <c r="TYM275" s="192"/>
      <c r="TYN275" s="192"/>
      <c r="TYO275" s="192"/>
      <c r="TYP275" s="192"/>
      <c r="TYQ275" s="192"/>
      <c r="TYR275" s="192"/>
      <c r="TYS275" s="192"/>
      <c r="TYT275" s="192"/>
      <c r="TYU275" s="192"/>
      <c r="TYV275" s="192"/>
      <c r="TYW275" s="192"/>
      <c r="TYX275" s="192"/>
      <c r="TYY275" s="192"/>
      <c r="TYZ275" s="192"/>
      <c r="TZA275" s="192"/>
      <c r="TZB275" s="192"/>
      <c r="TZC275" s="192"/>
      <c r="TZD275" s="192"/>
      <c r="TZE275" s="192"/>
      <c r="TZF275" s="192"/>
      <c r="TZG275" s="192"/>
      <c r="TZH275" s="192"/>
      <c r="TZI275" s="192"/>
      <c r="TZJ275" s="192"/>
      <c r="TZK275" s="192"/>
      <c r="TZL275" s="192"/>
      <c r="TZM275" s="192"/>
      <c r="TZN275" s="192"/>
      <c r="TZO275" s="192"/>
      <c r="TZP275" s="192"/>
      <c r="TZQ275" s="192"/>
      <c r="TZR275" s="192"/>
      <c r="TZS275" s="192"/>
      <c r="TZT275" s="192"/>
      <c r="TZU275" s="192"/>
      <c r="TZV275" s="192"/>
      <c r="TZW275" s="192"/>
      <c r="TZX275" s="192"/>
      <c r="TZY275" s="192"/>
      <c r="TZZ275" s="192"/>
      <c r="UAA275" s="192"/>
      <c r="UAB275" s="192"/>
      <c r="UAC275" s="192"/>
      <c r="UAD275" s="192"/>
      <c r="UAE275" s="192"/>
      <c r="UAF275" s="192"/>
      <c r="UAG275" s="192"/>
      <c r="UAH275" s="192"/>
      <c r="UAI275" s="192"/>
      <c r="UAJ275" s="192"/>
      <c r="UAK275" s="192"/>
      <c r="UAL275" s="192"/>
      <c r="UAM275" s="192"/>
      <c r="UAN275" s="192"/>
      <c r="UAO275" s="192"/>
      <c r="UAP275" s="192"/>
      <c r="UAQ275" s="192"/>
      <c r="UAR275" s="192"/>
      <c r="UAS275" s="192"/>
      <c r="UAT275" s="192"/>
      <c r="UAU275" s="192"/>
      <c r="UAV275" s="192"/>
      <c r="UAW275" s="192"/>
      <c r="UAX275" s="192"/>
      <c r="UAY275" s="192"/>
      <c r="UAZ275" s="192"/>
      <c r="UBA275" s="192"/>
      <c r="UBB275" s="192"/>
      <c r="UBC275" s="192"/>
      <c r="UBD275" s="192"/>
      <c r="UBE275" s="192"/>
      <c r="UBF275" s="192"/>
      <c r="UBG275" s="192"/>
      <c r="UBH275" s="192"/>
      <c r="UBI275" s="192"/>
      <c r="UBJ275" s="192"/>
      <c r="UBK275" s="192"/>
      <c r="UBL275" s="192"/>
      <c r="UBM275" s="192"/>
      <c r="UBN275" s="192"/>
      <c r="UBO275" s="192"/>
      <c r="UBP275" s="192"/>
      <c r="UBQ275" s="192"/>
      <c r="UBR275" s="192"/>
      <c r="UBS275" s="192"/>
      <c r="UBT275" s="192"/>
      <c r="UBU275" s="192"/>
      <c r="UBV275" s="192"/>
      <c r="UBW275" s="192"/>
      <c r="UBX275" s="192"/>
      <c r="UBY275" s="192"/>
      <c r="UBZ275" s="192"/>
      <c r="UCA275" s="192"/>
      <c r="UCB275" s="192"/>
      <c r="UCC275" s="192"/>
      <c r="UCD275" s="192"/>
      <c r="UCE275" s="192"/>
      <c r="UCF275" s="192"/>
      <c r="UCG275" s="192"/>
      <c r="UCH275" s="192"/>
      <c r="UCI275" s="192"/>
      <c r="UCJ275" s="192"/>
      <c r="UCK275" s="192"/>
      <c r="UCL275" s="192"/>
      <c r="UCM275" s="192"/>
      <c r="UCN275" s="192"/>
      <c r="UCO275" s="192"/>
      <c r="UCP275" s="192"/>
      <c r="UCQ275" s="192"/>
      <c r="UCR275" s="192"/>
      <c r="UCS275" s="192"/>
      <c r="UCT275" s="192"/>
      <c r="UCU275" s="192"/>
      <c r="UCV275" s="192"/>
      <c r="UCW275" s="192"/>
      <c r="UCX275" s="192"/>
      <c r="UCY275" s="192"/>
      <c r="UCZ275" s="192"/>
      <c r="UDA275" s="192"/>
      <c r="UDB275" s="192"/>
      <c r="UDC275" s="192"/>
      <c r="UDD275" s="192"/>
      <c r="UDE275" s="192"/>
      <c r="UDF275" s="192"/>
      <c r="UDG275" s="192"/>
      <c r="UDH275" s="192"/>
      <c r="UDI275" s="192"/>
      <c r="UDJ275" s="192"/>
      <c r="UDK275" s="192"/>
      <c r="UDL275" s="192"/>
      <c r="UDM275" s="192"/>
      <c r="UDN275" s="192"/>
      <c r="UDO275" s="192"/>
      <c r="UDP275" s="192"/>
      <c r="UDQ275" s="192"/>
      <c r="UDR275" s="192"/>
      <c r="UDS275" s="192"/>
      <c r="UDT275" s="192"/>
      <c r="UDU275" s="192"/>
      <c r="UDV275" s="192"/>
      <c r="UDW275" s="192"/>
      <c r="UDX275" s="192"/>
      <c r="UDY275" s="192"/>
      <c r="UDZ275" s="192"/>
      <c r="UEA275" s="192"/>
      <c r="UEB275" s="192"/>
      <c r="UEC275" s="192"/>
      <c r="UED275" s="192"/>
      <c r="UEE275" s="192"/>
      <c r="UEF275" s="192"/>
      <c r="UEG275" s="192"/>
      <c r="UEH275" s="192"/>
      <c r="UEI275" s="192"/>
      <c r="UEJ275" s="192"/>
      <c r="UEK275" s="192"/>
      <c r="UEL275" s="192"/>
      <c r="UEM275" s="192"/>
      <c r="UEN275" s="192"/>
      <c r="UEO275" s="192"/>
      <c r="UEP275" s="192"/>
      <c r="UEQ275" s="192"/>
      <c r="UER275" s="192"/>
      <c r="UES275" s="192"/>
      <c r="UET275" s="192"/>
      <c r="UEU275" s="192"/>
      <c r="UEV275" s="192"/>
      <c r="UEW275" s="192"/>
      <c r="UEX275" s="192"/>
      <c r="UEY275" s="192"/>
      <c r="UEZ275" s="192"/>
      <c r="UFA275" s="192"/>
      <c r="UFB275" s="192"/>
      <c r="UFC275" s="192"/>
      <c r="UFD275" s="192"/>
      <c r="UFE275" s="192"/>
      <c r="UFF275" s="192"/>
      <c r="UFG275" s="192"/>
      <c r="UFH275" s="192"/>
      <c r="UFI275" s="192"/>
      <c r="UFJ275" s="192"/>
      <c r="UFK275" s="192"/>
      <c r="UFL275" s="192"/>
      <c r="UFM275" s="192"/>
      <c r="UFN275" s="192"/>
      <c r="UFO275" s="192"/>
      <c r="UFP275" s="192"/>
      <c r="UFQ275" s="192"/>
      <c r="UFR275" s="192"/>
      <c r="UFS275" s="192"/>
      <c r="UFT275" s="192"/>
      <c r="UFU275" s="192"/>
      <c r="UFV275" s="192"/>
      <c r="UFW275" s="192"/>
      <c r="UFX275" s="192"/>
      <c r="UFY275" s="192"/>
      <c r="UFZ275" s="192"/>
      <c r="UGA275" s="192"/>
      <c r="UGB275" s="192"/>
      <c r="UGC275" s="192"/>
      <c r="UGD275" s="192"/>
      <c r="UGE275" s="192"/>
      <c r="UGF275" s="192"/>
      <c r="UGG275" s="192"/>
      <c r="UGH275" s="192"/>
      <c r="UGI275" s="192"/>
      <c r="UGJ275" s="192"/>
      <c r="UGK275" s="192"/>
      <c r="UGL275" s="192"/>
      <c r="UGM275" s="192"/>
      <c r="UGN275" s="192"/>
      <c r="UGO275" s="192"/>
      <c r="UGP275" s="192"/>
      <c r="UGQ275" s="192"/>
      <c r="UGR275" s="192"/>
      <c r="UGS275" s="192"/>
      <c r="UGT275" s="192"/>
      <c r="UGU275" s="192"/>
      <c r="UGV275" s="192"/>
      <c r="UGW275" s="192"/>
      <c r="UGX275" s="192"/>
      <c r="UGY275" s="192"/>
      <c r="UGZ275" s="192"/>
      <c r="UHA275" s="192"/>
      <c r="UHB275" s="192"/>
      <c r="UHC275" s="192"/>
      <c r="UHD275" s="192"/>
      <c r="UHE275" s="192"/>
      <c r="UHF275" s="192"/>
      <c r="UHG275" s="192"/>
      <c r="UHH275" s="192"/>
      <c r="UHI275" s="192"/>
      <c r="UHJ275" s="192"/>
      <c r="UHK275" s="192"/>
      <c r="UHL275" s="192"/>
      <c r="UHM275" s="192"/>
      <c r="UHN275" s="192"/>
      <c r="UHO275" s="192"/>
      <c r="UHP275" s="192"/>
      <c r="UHQ275" s="192"/>
      <c r="UHR275" s="192"/>
      <c r="UHS275" s="192"/>
      <c r="UHT275" s="192"/>
      <c r="UHU275" s="192"/>
      <c r="UHV275" s="192"/>
      <c r="UHW275" s="192"/>
      <c r="UHX275" s="192"/>
      <c r="UHY275" s="192"/>
      <c r="UHZ275" s="192"/>
      <c r="UIA275" s="192"/>
      <c r="UIB275" s="192"/>
      <c r="UIC275" s="192"/>
      <c r="UID275" s="192"/>
      <c r="UIE275" s="192"/>
      <c r="UIF275" s="192"/>
      <c r="UIG275" s="192"/>
      <c r="UIH275" s="192"/>
      <c r="UII275" s="192"/>
      <c r="UIJ275" s="192"/>
      <c r="UIK275" s="192"/>
      <c r="UIL275" s="192"/>
      <c r="UIM275" s="192"/>
      <c r="UIN275" s="192"/>
      <c r="UIO275" s="192"/>
      <c r="UIP275" s="192"/>
      <c r="UIQ275" s="192"/>
      <c r="UIR275" s="192"/>
      <c r="UIS275" s="192"/>
      <c r="UIT275" s="192"/>
      <c r="UIU275" s="192"/>
      <c r="UIV275" s="192"/>
      <c r="UIW275" s="192"/>
      <c r="UIX275" s="192"/>
      <c r="UIY275" s="192"/>
      <c r="UIZ275" s="192"/>
      <c r="UJA275" s="192"/>
      <c r="UJB275" s="192"/>
      <c r="UJC275" s="192"/>
      <c r="UJD275" s="192"/>
      <c r="UJE275" s="192"/>
      <c r="UJF275" s="192"/>
      <c r="UJG275" s="192"/>
      <c r="UJH275" s="192"/>
      <c r="UJI275" s="192"/>
      <c r="UJJ275" s="192"/>
      <c r="UJK275" s="192"/>
      <c r="UJL275" s="192"/>
      <c r="UJM275" s="192"/>
      <c r="UJN275" s="192"/>
      <c r="UJO275" s="192"/>
      <c r="UJP275" s="192"/>
      <c r="UJQ275" s="192"/>
      <c r="UJR275" s="192"/>
      <c r="UJS275" s="192"/>
      <c r="UJT275" s="192"/>
      <c r="UJU275" s="192"/>
      <c r="UJV275" s="192"/>
      <c r="UJW275" s="192"/>
      <c r="UJX275" s="192"/>
      <c r="UJY275" s="192"/>
      <c r="UJZ275" s="192"/>
      <c r="UKA275" s="192"/>
      <c r="UKB275" s="192"/>
      <c r="UKC275" s="192"/>
      <c r="UKD275" s="192"/>
      <c r="UKE275" s="192"/>
      <c r="UKF275" s="192"/>
      <c r="UKG275" s="192"/>
      <c r="UKH275" s="192"/>
      <c r="UKI275" s="192"/>
      <c r="UKJ275" s="192"/>
      <c r="UKK275" s="192"/>
      <c r="UKL275" s="192"/>
      <c r="UKM275" s="192"/>
      <c r="UKN275" s="192"/>
      <c r="UKO275" s="192"/>
      <c r="UKP275" s="192"/>
      <c r="UKQ275" s="192"/>
      <c r="UKR275" s="192"/>
      <c r="UKS275" s="192"/>
      <c r="UKT275" s="192"/>
      <c r="UKU275" s="192"/>
      <c r="UKV275" s="192"/>
      <c r="UKW275" s="192"/>
      <c r="UKX275" s="192"/>
      <c r="UKY275" s="192"/>
      <c r="UKZ275" s="192"/>
      <c r="ULA275" s="192"/>
      <c r="ULB275" s="192"/>
      <c r="ULC275" s="192"/>
      <c r="ULD275" s="192"/>
      <c r="ULE275" s="192"/>
      <c r="ULF275" s="192"/>
      <c r="ULG275" s="192"/>
      <c r="ULH275" s="192"/>
      <c r="ULI275" s="192"/>
      <c r="ULJ275" s="192"/>
      <c r="ULK275" s="192"/>
      <c r="ULL275" s="192"/>
      <c r="ULM275" s="192"/>
      <c r="ULN275" s="192"/>
      <c r="ULO275" s="192"/>
      <c r="ULP275" s="192"/>
      <c r="ULQ275" s="192"/>
      <c r="ULR275" s="192"/>
      <c r="ULS275" s="192"/>
      <c r="ULT275" s="192"/>
      <c r="ULU275" s="192"/>
      <c r="ULV275" s="192"/>
      <c r="ULW275" s="192"/>
      <c r="ULX275" s="192"/>
      <c r="ULY275" s="192"/>
      <c r="ULZ275" s="192"/>
      <c r="UMA275" s="192"/>
      <c r="UMB275" s="192"/>
      <c r="UMC275" s="192"/>
      <c r="UMD275" s="192"/>
      <c r="UME275" s="192"/>
      <c r="UMF275" s="192"/>
      <c r="UMG275" s="192"/>
      <c r="UMH275" s="192"/>
      <c r="UMI275" s="192"/>
      <c r="UMJ275" s="192"/>
      <c r="UMK275" s="192"/>
      <c r="UML275" s="192"/>
      <c r="UMM275" s="192"/>
      <c r="UMN275" s="192"/>
      <c r="UMO275" s="192"/>
      <c r="UMP275" s="192"/>
      <c r="UMQ275" s="192"/>
      <c r="UMR275" s="192"/>
      <c r="UMS275" s="192"/>
      <c r="UMT275" s="192"/>
      <c r="UMU275" s="192"/>
      <c r="UMV275" s="192"/>
      <c r="UMW275" s="192"/>
      <c r="UMX275" s="192"/>
      <c r="UMY275" s="192"/>
      <c r="UMZ275" s="192"/>
      <c r="UNA275" s="192"/>
      <c r="UNB275" s="192"/>
      <c r="UNC275" s="192"/>
      <c r="UND275" s="192"/>
      <c r="UNE275" s="192"/>
      <c r="UNF275" s="192"/>
      <c r="UNG275" s="192"/>
      <c r="UNH275" s="192"/>
      <c r="UNI275" s="192"/>
      <c r="UNJ275" s="192"/>
      <c r="UNK275" s="192"/>
      <c r="UNL275" s="192"/>
      <c r="UNM275" s="192"/>
      <c r="UNN275" s="192"/>
      <c r="UNO275" s="192"/>
      <c r="UNP275" s="192"/>
      <c r="UNQ275" s="192"/>
      <c r="UNR275" s="192"/>
      <c r="UNS275" s="192"/>
      <c r="UNT275" s="192"/>
      <c r="UNU275" s="192"/>
      <c r="UNV275" s="192"/>
      <c r="UNW275" s="192"/>
      <c r="UNX275" s="192"/>
      <c r="UNY275" s="192"/>
      <c r="UNZ275" s="192"/>
      <c r="UOA275" s="192"/>
      <c r="UOB275" s="192"/>
      <c r="UOC275" s="192"/>
      <c r="UOD275" s="192"/>
      <c r="UOE275" s="192"/>
      <c r="UOF275" s="192"/>
      <c r="UOG275" s="192"/>
      <c r="UOH275" s="192"/>
      <c r="UOI275" s="192"/>
      <c r="UOJ275" s="192"/>
      <c r="UOK275" s="192"/>
      <c r="UOL275" s="192"/>
      <c r="UOM275" s="192"/>
      <c r="UON275" s="192"/>
      <c r="UOO275" s="192"/>
      <c r="UOP275" s="192"/>
      <c r="UOQ275" s="192"/>
      <c r="UOR275" s="192"/>
      <c r="UOS275" s="192"/>
      <c r="UOT275" s="192"/>
      <c r="UOU275" s="192"/>
      <c r="UOV275" s="192"/>
      <c r="UOW275" s="192"/>
      <c r="UOX275" s="192"/>
      <c r="UOY275" s="192"/>
      <c r="UOZ275" s="192"/>
      <c r="UPA275" s="192"/>
      <c r="UPB275" s="192"/>
      <c r="UPC275" s="192"/>
      <c r="UPD275" s="192"/>
      <c r="UPE275" s="192"/>
      <c r="UPF275" s="192"/>
      <c r="UPG275" s="192"/>
      <c r="UPH275" s="192"/>
      <c r="UPI275" s="192"/>
      <c r="UPJ275" s="192"/>
      <c r="UPK275" s="192"/>
      <c r="UPL275" s="192"/>
      <c r="UPM275" s="192"/>
      <c r="UPN275" s="192"/>
      <c r="UPO275" s="192"/>
      <c r="UPP275" s="192"/>
      <c r="UPQ275" s="192"/>
      <c r="UPR275" s="192"/>
      <c r="UPS275" s="192"/>
      <c r="UPT275" s="192"/>
      <c r="UPU275" s="192"/>
      <c r="UPV275" s="192"/>
      <c r="UPW275" s="192"/>
      <c r="UPX275" s="192"/>
      <c r="UPY275" s="192"/>
      <c r="UPZ275" s="192"/>
      <c r="UQA275" s="192"/>
      <c r="UQB275" s="192"/>
      <c r="UQC275" s="192"/>
      <c r="UQD275" s="192"/>
      <c r="UQE275" s="192"/>
      <c r="UQF275" s="192"/>
      <c r="UQG275" s="192"/>
      <c r="UQH275" s="192"/>
      <c r="UQI275" s="192"/>
      <c r="UQJ275" s="192"/>
      <c r="UQK275" s="192"/>
      <c r="UQL275" s="192"/>
      <c r="UQM275" s="192"/>
      <c r="UQN275" s="192"/>
      <c r="UQO275" s="192"/>
      <c r="UQP275" s="192"/>
      <c r="UQQ275" s="192"/>
      <c r="UQR275" s="192"/>
      <c r="UQS275" s="192"/>
      <c r="UQT275" s="192"/>
      <c r="UQU275" s="192"/>
      <c r="UQV275" s="192"/>
      <c r="UQW275" s="192"/>
      <c r="UQX275" s="192"/>
      <c r="UQY275" s="192"/>
      <c r="UQZ275" s="192"/>
      <c r="URA275" s="192"/>
      <c r="URB275" s="192"/>
      <c r="URC275" s="192"/>
      <c r="URD275" s="192"/>
      <c r="URE275" s="192"/>
      <c r="URF275" s="192"/>
      <c r="URG275" s="192"/>
      <c r="URH275" s="192"/>
      <c r="URI275" s="192"/>
      <c r="URJ275" s="192"/>
      <c r="URK275" s="192"/>
      <c r="URL275" s="192"/>
      <c r="URM275" s="192"/>
      <c r="URN275" s="192"/>
      <c r="URO275" s="192"/>
      <c r="URP275" s="192"/>
      <c r="URQ275" s="192"/>
      <c r="URR275" s="192"/>
      <c r="URS275" s="192"/>
      <c r="URT275" s="192"/>
      <c r="URU275" s="192"/>
      <c r="URV275" s="192"/>
      <c r="URW275" s="192"/>
      <c r="URX275" s="192"/>
      <c r="URY275" s="192"/>
      <c r="URZ275" s="192"/>
      <c r="USA275" s="192"/>
      <c r="USB275" s="192"/>
      <c r="USC275" s="192"/>
      <c r="USD275" s="192"/>
      <c r="USE275" s="192"/>
      <c r="USF275" s="192"/>
      <c r="USG275" s="192"/>
      <c r="USH275" s="192"/>
      <c r="USI275" s="192"/>
      <c r="USJ275" s="192"/>
      <c r="USK275" s="192"/>
      <c r="USL275" s="192"/>
      <c r="USM275" s="192"/>
      <c r="USN275" s="192"/>
      <c r="USO275" s="192"/>
      <c r="USP275" s="192"/>
      <c r="USQ275" s="192"/>
      <c r="USR275" s="192"/>
      <c r="USS275" s="192"/>
      <c r="UST275" s="192"/>
      <c r="USU275" s="192"/>
      <c r="USV275" s="192"/>
      <c r="USW275" s="192"/>
      <c r="USX275" s="192"/>
      <c r="USY275" s="192"/>
      <c r="USZ275" s="192"/>
      <c r="UTA275" s="192"/>
      <c r="UTB275" s="192"/>
      <c r="UTC275" s="192"/>
      <c r="UTD275" s="192"/>
      <c r="UTE275" s="192"/>
      <c r="UTF275" s="192"/>
      <c r="UTG275" s="192"/>
      <c r="UTH275" s="192"/>
      <c r="UTI275" s="192"/>
      <c r="UTJ275" s="192"/>
      <c r="UTK275" s="192"/>
      <c r="UTL275" s="192"/>
      <c r="UTM275" s="192"/>
      <c r="UTN275" s="192"/>
      <c r="UTO275" s="192"/>
      <c r="UTP275" s="192"/>
      <c r="UTQ275" s="192"/>
      <c r="UTR275" s="192"/>
      <c r="UTS275" s="192"/>
      <c r="UTT275" s="192"/>
      <c r="UTU275" s="192"/>
      <c r="UTV275" s="192"/>
      <c r="UTW275" s="192"/>
      <c r="UTX275" s="192"/>
      <c r="UTY275" s="192"/>
      <c r="UTZ275" s="192"/>
      <c r="UUA275" s="192"/>
      <c r="UUB275" s="192"/>
      <c r="UUC275" s="192"/>
      <c r="UUD275" s="192"/>
      <c r="UUE275" s="192"/>
      <c r="UUF275" s="192"/>
      <c r="UUG275" s="192"/>
      <c r="UUH275" s="192"/>
      <c r="UUI275" s="192"/>
      <c r="UUJ275" s="192"/>
      <c r="UUK275" s="192"/>
      <c r="UUL275" s="192"/>
      <c r="UUM275" s="192"/>
      <c r="UUN275" s="192"/>
      <c r="UUO275" s="192"/>
      <c r="UUP275" s="192"/>
      <c r="UUQ275" s="192"/>
      <c r="UUR275" s="192"/>
      <c r="UUS275" s="192"/>
      <c r="UUT275" s="192"/>
      <c r="UUU275" s="192"/>
      <c r="UUV275" s="192"/>
      <c r="UUW275" s="192"/>
      <c r="UUX275" s="192"/>
      <c r="UUY275" s="192"/>
      <c r="UUZ275" s="192"/>
      <c r="UVA275" s="192"/>
      <c r="UVB275" s="192"/>
      <c r="UVC275" s="192"/>
      <c r="UVD275" s="192"/>
      <c r="UVE275" s="192"/>
      <c r="UVF275" s="192"/>
      <c r="UVG275" s="192"/>
      <c r="UVH275" s="192"/>
      <c r="UVI275" s="192"/>
      <c r="UVJ275" s="192"/>
      <c r="UVK275" s="192"/>
      <c r="UVL275" s="192"/>
      <c r="UVM275" s="192"/>
      <c r="UVN275" s="192"/>
      <c r="UVO275" s="192"/>
      <c r="UVP275" s="192"/>
      <c r="UVQ275" s="192"/>
      <c r="UVR275" s="192"/>
      <c r="UVS275" s="192"/>
      <c r="UVT275" s="192"/>
      <c r="UVU275" s="192"/>
      <c r="UVV275" s="192"/>
      <c r="UVW275" s="192"/>
      <c r="UVX275" s="192"/>
      <c r="UVY275" s="192"/>
      <c r="UVZ275" s="192"/>
      <c r="UWA275" s="192"/>
      <c r="UWB275" s="192"/>
      <c r="UWC275" s="192"/>
      <c r="UWD275" s="192"/>
      <c r="UWE275" s="192"/>
      <c r="UWF275" s="192"/>
      <c r="UWG275" s="192"/>
      <c r="UWH275" s="192"/>
      <c r="UWI275" s="192"/>
      <c r="UWJ275" s="192"/>
      <c r="UWK275" s="192"/>
      <c r="UWL275" s="192"/>
      <c r="UWM275" s="192"/>
      <c r="UWN275" s="192"/>
      <c r="UWO275" s="192"/>
      <c r="UWP275" s="192"/>
      <c r="UWQ275" s="192"/>
      <c r="UWR275" s="192"/>
      <c r="UWS275" s="192"/>
      <c r="UWT275" s="192"/>
      <c r="UWU275" s="192"/>
      <c r="UWV275" s="192"/>
      <c r="UWW275" s="192"/>
      <c r="UWX275" s="192"/>
      <c r="UWY275" s="192"/>
      <c r="UWZ275" s="192"/>
      <c r="UXA275" s="192"/>
      <c r="UXB275" s="192"/>
      <c r="UXC275" s="192"/>
      <c r="UXD275" s="192"/>
      <c r="UXE275" s="192"/>
      <c r="UXF275" s="192"/>
      <c r="UXG275" s="192"/>
      <c r="UXH275" s="192"/>
      <c r="UXI275" s="192"/>
      <c r="UXJ275" s="192"/>
      <c r="UXK275" s="192"/>
      <c r="UXL275" s="192"/>
      <c r="UXM275" s="192"/>
      <c r="UXN275" s="192"/>
      <c r="UXO275" s="192"/>
      <c r="UXP275" s="192"/>
      <c r="UXQ275" s="192"/>
      <c r="UXR275" s="192"/>
      <c r="UXS275" s="192"/>
      <c r="UXT275" s="192"/>
      <c r="UXU275" s="192"/>
      <c r="UXV275" s="192"/>
      <c r="UXW275" s="192"/>
      <c r="UXX275" s="192"/>
      <c r="UXY275" s="192"/>
      <c r="UXZ275" s="192"/>
      <c r="UYA275" s="192"/>
      <c r="UYB275" s="192"/>
      <c r="UYC275" s="192"/>
      <c r="UYD275" s="192"/>
      <c r="UYE275" s="192"/>
      <c r="UYF275" s="192"/>
      <c r="UYG275" s="192"/>
      <c r="UYH275" s="192"/>
      <c r="UYI275" s="192"/>
      <c r="UYJ275" s="192"/>
      <c r="UYK275" s="192"/>
      <c r="UYL275" s="192"/>
      <c r="UYM275" s="192"/>
      <c r="UYN275" s="192"/>
      <c r="UYO275" s="192"/>
      <c r="UYP275" s="192"/>
      <c r="UYQ275" s="192"/>
      <c r="UYR275" s="192"/>
      <c r="UYS275" s="192"/>
      <c r="UYT275" s="192"/>
      <c r="UYU275" s="192"/>
      <c r="UYV275" s="192"/>
      <c r="UYW275" s="192"/>
      <c r="UYX275" s="192"/>
      <c r="UYY275" s="192"/>
      <c r="UYZ275" s="192"/>
      <c r="UZA275" s="192"/>
      <c r="UZB275" s="192"/>
      <c r="UZC275" s="192"/>
      <c r="UZD275" s="192"/>
      <c r="UZE275" s="192"/>
      <c r="UZF275" s="192"/>
      <c r="UZG275" s="192"/>
      <c r="UZH275" s="192"/>
      <c r="UZI275" s="192"/>
      <c r="UZJ275" s="192"/>
      <c r="UZK275" s="192"/>
      <c r="UZL275" s="192"/>
      <c r="UZM275" s="192"/>
      <c r="UZN275" s="192"/>
      <c r="UZO275" s="192"/>
      <c r="UZP275" s="192"/>
      <c r="UZQ275" s="192"/>
      <c r="UZR275" s="192"/>
      <c r="UZS275" s="192"/>
      <c r="UZT275" s="192"/>
      <c r="UZU275" s="192"/>
      <c r="UZV275" s="192"/>
      <c r="UZW275" s="192"/>
      <c r="UZX275" s="192"/>
      <c r="UZY275" s="192"/>
      <c r="UZZ275" s="192"/>
      <c r="VAA275" s="192"/>
      <c r="VAB275" s="192"/>
      <c r="VAC275" s="192"/>
      <c r="VAD275" s="192"/>
      <c r="VAE275" s="192"/>
      <c r="VAF275" s="192"/>
      <c r="VAG275" s="192"/>
      <c r="VAH275" s="192"/>
      <c r="VAI275" s="192"/>
      <c r="VAJ275" s="192"/>
      <c r="VAK275" s="192"/>
      <c r="VAL275" s="192"/>
      <c r="VAM275" s="192"/>
      <c r="VAN275" s="192"/>
      <c r="VAO275" s="192"/>
      <c r="VAP275" s="192"/>
      <c r="VAQ275" s="192"/>
      <c r="VAR275" s="192"/>
      <c r="VAS275" s="192"/>
      <c r="VAT275" s="192"/>
      <c r="VAU275" s="192"/>
      <c r="VAV275" s="192"/>
      <c r="VAW275" s="192"/>
      <c r="VAX275" s="192"/>
      <c r="VAY275" s="192"/>
      <c r="VAZ275" s="192"/>
      <c r="VBA275" s="192"/>
      <c r="VBB275" s="192"/>
      <c r="VBC275" s="192"/>
      <c r="VBD275" s="192"/>
      <c r="VBE275" s="192"/>
      <c r="VBF275" s="192"/>
      <c r="VBG275" s="192"/>
      <c r="VBH275" s="192"/>
      <c r="VBI275" s="192"/>
      <c r="VBJ275" s="192"/>
      <c r="VBK275" s="192"/>
      <c r="VBL275" s="192"/>
      <c r="VBM275" s="192"/>
      <c r="VBN275" s="192"/>
      <c r="VBO275" s="192"/>
      <c r="VBP275" s="192"/>
      <c r="VBQ275" s="192"/>
      <c r="VBR275" s="192"/>
      <c r="VBS275" s="192"/>
      <c r="VBT275" s="192"/>
      <c r="VBU275" s="192"/>
      <c r="VBV275" s="192"/>
      <c r="VBW275" s="192"/>
      <c r="VBX275" s="192"/>
      <c r="VBY275" s="192"/>
      <c r="VBZ275" s="192"/>
      <c r="VCA275" s="192"/>
      <c r="VCB275" s="192"/>
      <c r="VCC275" s="192"/>
      <c r="VCD275" s="192"/>
      <c r="VCE275" s="192"/>
      <c r="VCF275" s="192"/>
      <c r="VCG275" s="192"/>
      <c r="VCH275" s="192"/>
      <c r="VCI275" s="192"/>
      <c r="VCJ275" s="192"/>
      <c r="VCK275" s="192"/>
      <c r="VCL275" s="192"/>
      <c r="VCM275" s="192"/>
      <c r="VCN275" s="192"/>
      <c r="VCO275" s="192"/>
      <c r="VCP275" s="192"/>
      <c r="VCQ275" s="192"/>
      <c r="VCR275" s="192"/>
      <c r="VCS275" s="192"/>
      <c r="VCT275" s="192"/>
      <c r="VCU275" s="192"/>
      <c r="VCV275" s="192"/>
      <c r="VCW275" s="192"/>
      <c r="VCX275" s="192"/>
      <c r="VCY275" s="192"/>
      <c r="VCZ275" s="192"/>
      <c r="VDA275" s="192"/>
      <c r="VDB275" s="192"/>
      <c r="VDC275" s="192"/>
      <c r="VDD275" s="192"/>
      <c r="VDE275" s="192"/>
      <c r="VDF275" s="192"/>
      <c r="VDG275" s="192"/>
      <c r="VDH275" s="192"/>
      <c r="VDI275" s="192"/>
      <c r="VDJ275" s="192"/>
      <c r="VDK275" s="192"/>
      <c r="VDL275" s="192"/>
      <c r="VDM275" s="192"/>
      <c r="VDN275" s="192"/>
      <c r="VDO275" s="192"/>
      <c r="VDP275" s="192"/>
      <c r="VDQ275" s="192"/>
      <c r="VDR275" s="192"/>
      <c r="VDS275" s="192"/>
      <c r="VDT275" s="192"/>
      <c r="VDU275" s="192"/>
      <c r="VDV275" s="192"/>
      <c r="VDW275" s="192"/>
      <c r="VDX275" s="192"/>
      <c r="VDY275" s="192"/>
      <c r="VDZ275" s="192"/>
      <c r="VEA275" s="192"/>
      <c r="VEB275" s="192"/>
      <c r="VEC275" s="192"/>
      <c r="VED275" s="192"/>
      <c r="VEE275" s="192"/>
      <c r="VEF275" s="192"/>
      <c r="VEG275" s="192"/>
      <c r="VEH275" s="192"/>
      <c r="VEI275" s="192"/>
      <c r="VEJ275" s="192"/>
      <c r="VEK275" s="192"/>
      <c r="VEL275" s="192"/>
      <c r="VEM275" s="192"/>
      <c r="VEN275" s="192"/>
      <c r="VEO275" s="192"/>
      <c r="VEP275" s="192"/>
      <c r="VEQ275" s="192"/>
      <c r="VER275" s="192"/>
      <c r="VES275" s="192"/>
      <c r="VET275" s="192"/>
      <c r="VEU275" s="192"/>
      <c r="VEV275" s="192"/>
      <c r="VEW275" s="192"/>
      <c r="VEX275" s="192"/>
      <c r="VEY275" s="192"/>
      <c r="VEZ275" s="192"/>
      <c r="VFA275" s="192"/>
      <c r="VFB275" s="192"/>
      <c r="VFC275" s="192"/>
      <c r="VFD275" s="192"/>
      <c r="VFE275" s="192"/>
      <c r="VFF275" s="192"/>
      <c r="VFG275" s="192"/>
      <c r="VFH275" s="192"/>
      <c r="VFI275" s="192"/>
      <c r="VFJ275" s="192"/>
      <c r="VFK275" s="192"/>
      <c r="VFL275" s="192"/>
      <c r="VFM275" s="192"/>
      <c r="VFN275" s="192"/>
      <c r="VFO275" s="192"/>
      <c r="VFP275" s="192"/>
      <c r="VFQ275" s="192"/>
      <c r="VFR275" s="192"/>
      <c r="VFS275" s="192"/>
      <c r="VFT275" s="192"/>
      <c r="VFU275" s="192"/>
      <c r="VFV275" s="192"/>
      <c r="VFW275" s="192"/>
      <c r="VFX275" s="192"/>
      <c r="VFY275" s="192"/>
      <c r="VFZ275" s="192"/>
      <c r="VGA275" s="192"/>
      <c r="VGB275" s="192"/>
      <c r="VGC275" s="192"/>
      <c r="VGD275" s="192"/>
      <c r="VGE275" s="192"/>
      <c r="VGF275" s="192"/>
      <c r="VGG275" s="192"/>
      <c r="VGH275" s="192"/>
      <c r="VGI275" s="192"/>
      <c r="VGJ275" s="192"/>
      <c r="VGK275" s="192"/>
      <c r="VGL275" s="192"/>
      <c r="VGM275" s="192"/>
      <c r="VGN275" s="192"/>
      <c r="VGO275" s="192"/>
      <c r="VGP275" s="192"/>
      <c r="VGQ275" s="192"/>
      <c r="VGR275" s="192"/>
      <c r="VGS275" s="192"/>
      <c r="VGT275" s="192"/>
      <c r="VGU275" s="192"/>
      <c r="VGV275" s="192"/>
      <c r="VGW275" s="192"/>
      <c r="VGX275" s="192"/>
      <c r="VGY275" s="192"/>
      <c r="VGZ275" s="192"/>
      <c r="VHA275" s="192"/>
      <c r="VHB275" s="192"/>
      <c r="VHC275" s="192"/>
      <c r="VHD275" s="192"/>
      <c r="VHE275" s="192"/>
      <c r="VHF275" s="192"/>
      <c r="VHG275" s="192"/>
      <c r="VHH275" s="192"/>
      <c r="VHI275" s="192"/>
      <c r="VHJ275" s="192"/>
      <c r="VHK275" s="192"/>
      <c r="VHL275" s="192"/>
      <c r="VHM275" s="192"/>
      <c r="VHN275" s="192"/>
      <c r="VHO275" s="192"/>
      <c r="VHP275" s="192"/>
      <c r="VHQ275" s="192"/>
      <c r="VHR275" s="192"/>
      <c r="VHS275" s="192"/>
      <c r="VHT275" s="192"/>
      <c r="VHU275" s="192"/>
      <c r="VHV275" s="192"/>
      <c r="VHW275" s="192"/>
      <c r="VHX275" s="192"/>
      <c r="VHY275" s="192"/>
      <c r="VHZ275" s="192"/>
      <c r="VIA275" s="192"/>
      <c r="VIB275" s="192"/>
      <c r="VIC275" s="192"/>
      <c r="VID275" s="192"/>
      <c r="VIE275" s="192"/>
      <c r="VIF275" s="192"/>
      <c r="VIG275" s="192"/>
      <c r="VIH275" s="192"/>
      <c r="VII275" s="192"/>
      <c r="VIJ275" s="192"/>
      <c r="VIK275" s="192"/>
      <c r="VIL275" s="192"/>
      <c r="VIM275" s="192"/>
      <c r="VIN275" s="192"/>
      <c r="VIO275" s="192"/>
      <c r="VIP275" s="192"/>
      <c r="VIQ275" s="192"/>
      <c r="VIR275" s="192"/>
      <c r="VIS275" s="192"/>
      <c r="VIT275" s="192"/>
      <c r="VIU275" s="192"/>
      <c r="VIV275" s="192"/>
      <c r="VIW275" s="192"/>
      <c r="VIX275" s="192"/>
      <c r="VIY275" s="192"/>
      <c r="VIZ275" s="192"/>
      <c r="VJA275" s="192"/>
      <c r="VJB275" s="192"/>
      <c r="VJC275" s="192"/>
      <c r="VJD275" s="192"/>
      <c r="VJE275" s="192"/>
      <c r="VJF275" s="192"/>
      <c r="VJG275" s="192"/>
      <c r="VJH275" s="192"/>
      <c r="VJI275" s="192"/>
      <c r="VJJ275" s="192"/>
      <c r="VJK275" s="192"/>
      <c r="VJL275" s="192"/>
      <c r="VJM275" s="192"/>
      <c r="VJN275" s="192"/>
      <c r="VJO275" s="192"/>
      <c r="VJP275" s="192"/>
      <c r="VJQ275" s="192"/>
      <c r="VJR275" s="192"/>
      <c r="VJS275" s="192"/>
      <c r="VJT275" s="192"/>
      <c r="VJU275" s="192"/>
      <c r="VJV275" s="192"/>
      <c r="VJW275" s="192"/>
      <c r="VJX275" s="192"/>
      <c r="VJY275" s="192"/>
      <c r="VJZ275" s="192"/>
      <c r="VKA275" s="192"/>
      <c r="VKB275" s="192"/>
      <c r="VKC275" s="192"/>
      <c r="VKD275" s="192"/>
      <c r="VKE275" s="192"/>
      <c r="VKF275" s="192"/>
      <c r="VKG275" s="192"/>
      <c r="VKH275" s="192"/>
      <c r="VKI275" s="192"/>
      <c r="VKJ275" s="192"/>
      <c r="VKK275" s="192"/>
      <c r="VKL275" s="192"/>
      <c r="VKM275" s="192"/>
      <c r="VKN275" s="192"/>
      <c r="VKO275" s="192"/>
      <c r="VKP275" s="192"/>
      <c r="VKQ275" s="192"/>
      <c r="VKR275" s="192"/>
      <c r="VKS275" s="192"/>
      <c r="VKT275" s="192"/>
      <c r="VKU275" s="192"/>
      <c r="VKV275" s="192"/>
      <c r="VKW275" s="192"/>
      <c r="VKX275" s="192"/>
      <c r="VKY275" s="192"/>
      <c r="VKZ275" s="192"/>
      <c r="VLA275" s="192"/>
      <c r="VLB275" s="192"/>
      <c r="VLC275" s="192"/>
      <c r="VLD275" s="192"/>
      <c r="VLE275" s="192"/>
      <c r="VLF275" s="192"/>
      <c r="VLG275" s="192"/>
      <c r="VLH275" s="192"/>
      <c r="VLI275" s="192"/>
      <c r="VLJ275" s="192"/>
      <c r="VLK275" s="192"/>
      <c r="VLL275" s="192"/>
      <c r="VLM275" s="192"/>
      <c r="VLN275" s="192"/>
      <c r="VLO275" s="192"/>
      <c r="VLP275" s="192"/>
      <c r="VLQ275" s="192"/>
      <c r="VLR275" s="192"/>
      <c r="VLS275" s="192"/>
      <c r="VLT275" s="192"/>
      <c r="VLU275" s="192"/>
      <c r="VLV275" s="192"/>
      <c r="VLW275" s="192"/>
      <c r="VLX275" s="192"/>
      <c r="VLY275" s="192"/>
      <c r="VLZ275" s="192"/>
      <c r="VMA275" s="192"/>
      <c r="VMB275" s="192"/>
      <c r="VMC275" s="192"/>
      <c r="VMD275" s="192"/>
      <c r="VME275" s="192"/>
      <c r="VMF275" s="192"/>
      <c r="VMG275" s="192"/>
      <c r="VMH275" s="192"/>
      <c r="VMI275" s="192"/>
      <c r="VMJ275" s="192"/>
      <c r="VMK275" s="192"/>
      <c r="VML275" s="192"/>
      <c r="VMM275" s="192"/>
      <c r="VMN275" s="192"/>
      <c r="VMO275" s="192"/>
      <c r="VMP275" s="192"/>
      <c r="VMQ275" s="192"/>
      <c r="VMR275" s="192"/>
      <c r="VMS275" s="192"/>
      <c r="VMT275" s="192"/>
      <c r="VMU275" s="192"/>
      <c r="VMV275" s="192"/>
      <c r="VMW275" s="192"/>
      <c r="VMX275" s="192"/>
      <c r="VMY275" s="192"/>
      <c r="VMZ275" s="192"/>
      <c r="VNA275" s="192"/>
      <c r="VNB275" s="192"/>
      <c r="VNC275" s="192"/>
      <c r="VND275" s="192"/>
      <c r="VNE275" s="192"/>
      <c r="VNF275" s="192"/>
      <c r="VNG275" s="192"/>
      <c r="VNH275" s="192"/>
      <c r="VNI275" s="192"/>
      <c r="VNJ275" s="192"/>
      <c r="VNK275" s="192"/>
      <c r="VNL275" s="192"/>
      <c r="VNM275" s="192"/>
      <c r="VNN275" s="192"/>
      <c r="VNO275" s="192"/>
      <c r="VNP275" s="192"/>
      <c r="VNQ275" s="192"/>
      <c r="VNR275" s="192"/>
      <c r="VNS275" s="192"/>
      <c r="VNT275" s="192"/>
      <c r="VNU275" s="192"/>
      <c r="VNV275" s="192"/>
      <c r="VNW275" s="192"/>
      <c r="VNX275" s="192"/>
      <c r="VNY275" s="192"/>
      <c r="VNZ275" s="192"/>
      <c r="VOA275" s="192"/>
      <c r="VOB275" s="192"/>
      <c r="VOC275" s="192"/>
      <c r="VOD275" s="192"/>
      <c r="VOE275" s="192"/>
      <c r="VOF275" s="192"/>
      <c r="VOG275" s="192"/>
      <c r="VOH275" s="192"/>
      <c r="VOI275" s="192"/>
      <c r="VOJ275" s="192"/>
      <c r="VOK275" s="192"/>
      <c r="VOL275" s="192"/>
      <c r="VOM275" s="192"/>
      <c r="VON275" s="192"/>
      <c r="VOO275" s="192"/>
      <c r="VOP275" s="192"/>
      <c r="VOQ275" s="192"/>
      <c r="VOR275" s="192"/>
      <c r="VOS275" s="192"/>
      <c r="VOT275" s="192"/>
      <c r="VOU275" s="192"/>
      <c r="VOV275" s="192"/>
      <c r="VOW275" s="192"/>
      <c r="VOX275" s="192"/>
      <c r="VOY275" s="192"/>
      <c r="VOZ275" s="192"/>
      <c r="VPA275" s="192"/>
      <c r="VPB275" s="192"/>
      <c r="VPC275" s="192"/>
      <c r="VPD275" s="192"/>
      <c r="VPE275" s="192"/>
      <c r="VPF275" s="192"/>
      <c r="VPG275" s="192"/>
      <c r="VPH275" s="192"/>
      <c r="VPI275" s="192"/>
      <c r="VPJ275" s="192"/>
      <c r="VPK275" s="192"/>
      <c r="VPL275" s="192"/>
      <c r="VPM275" s="192"/>
      <c r="VPN275" s="192"/>
      <c r="VPO275" s="192"/>
      <c r="VPP275" s="192"/>
      <c r="VPQ275" s="192"/>
      <c r="VPR275" s="192"/>
      <c r="VPS275" s="192"/>
      <c r="VPT275" s="192"/>
      <c r="VPU275" s="192"/>
      <c r="VPV275" s="192"/>
      <c r="VPW275" s="192"/>
      <c r="VPX275" s="192"/>
      <c r="VPY275" s="192"/>
      <c r="VPZ275" s="192"/>
      <c r="VQA275" s="192"/>
      <c r="VQB275" s="192"/>
      <c r="VQC275" s="192"/>
      <c r="VQD275" s="192"/>
      <c r="VQE275" s="192"/>
      <c r="VQF275" s="192"/>
      <c r="VQG275" s="192"/>
      <c r="VQH275" s="192"/>
      <c r="VQI275" s="192"/>
      <c r="VQJ275" s="192"/>
      <c r="VQK275" s="192"/>
      <c r="VQL275" s="192"/>
      <c r="VQM275" s="192"/>
      <c r="VQN275" s="192"/>
      <c r="VQO275" s="192"/>
      <c r="VQP275" s="192"/>
      <c r="VQQ275" s="192"/>
      <c r="VQR275" s="192"/>
      <c r="VQS275" s="192"/>
      <c r="VQT275" s="192"/>
      <c r="VQU275" s="192"/>
      <c r="VQV275" s="192"/>
      <c r="VQW275" s="192"/>
      <c r="VQX275" s="192"/>
      <c r="VQY275" s="192"/>
      <c r="VQZ275" s="192"/>
      <c r="VRA275" s="192"/>
      <c r="VRB275" s="192"/>
      <c r="VRC275" s="192"/>
      <c r="VRD275" s="192"/>
      <c r="VRE275" s="192"/>
      <c r="VRF275" s="192"/>
      <c r="VRG275" s="192"/>
      <c r="VRH275" s="192"/>
      <c r="VRI275" s="192"/>
      <c r="VRJ275" s="192"/>
      <c r="VRK275" s="192"/>
      <c r="VRL275" s="192"/>
      <c r="VRM275" s="192"/>
      <c r="VRN275" s="192"/>
      <c r="VRO275" s="192"/>
      <c r="VRP275" s="192"/>
      <c r="VRQ275" s="192"/>
      <c r="VRR275" s="192"/>
      <c r="VRS275" s="192"/>
      <c r="VRT275" s="192"/>
      <c r="VRU275" s="192"/>
      <c r="VRV275" s="192"/>
      <c r="VRW275" s="192"/>
      <c r="VRX275" s="192"/>
      <c r="VRY275" s="192"/>
      <c r="VRZ275" s="192"/>
      <c r="VSA275" s="192"/>
      <c r="VSB275" s="192"/>
      <c r="VSC275" s="192"/>
      <c r="VSD275" s="192"/>
      <c r="VSE275" s="192"/>
      <c r="VSF275" s="192"/>
      <c r="VSG275" s="192"/>
      <c r="VSH275" s="192"/>
      <c r="VSI275" s="192"/>
      <c r="VSJ275" s="192"/>
      <c r="VSK275" s="192"/>
      <c r="VSL275" s="192"/>
      <c r="VSM275" s="192"/>
      <c r="VSN275" s="192"/>
      <c r="VSO275" s="192"/>
      <c r="VSP275" s="192"/>
      <c r="VSQ275" s="192"/>
      <c r="VSR275" s="192"/>
      <c r="VSS275" s="192"/>
      <c r="VST275" s="192"/>
      <c r="VSU275" s="192"/>
      <c r="VSV275" s="192"/>
      <c r="VSW275" s="192"/>
      <c r="VSX275" s="192"/>
      <c r="VSY275" s="192"/>
      <c r="VSZ275" s="192"/>
      <c r="VTA275" s="192"/>
      <c r="VTB275" s="192"/>
      <c r="VTC275" s="192"/>
      <c r="VTD275" s="192"/>
      <c r="VTE275" s="192"/>
      <c r="VTF275" s="192"/>
      <c r="VTG275" s="192"/>
      <c r="VTH275" s="192"/>
      <c r="VTI275" s="192"/>
      <c r="VTJ275" s="192"/>
      <c r="VTK275" s="192"/>
      <c r="VTL275" s="192"/>
      <c r="VTM275" s="192"/>
      <c r="VTN275" s="192"/>
      <c r="VTO275" s="192"/>
      <c r="VTP275" s="192"/>
      <c r="VTQ275" s="192"/>
      <c r="VTR275" s="192"/>
      <c r="VTS275" s="192"/>
      <c r="VTT275" s="192"/>
      <c r="VTU275" s="192"/>
      <c r="VTV275" s="192"/>
      <c r="VTW275" s="192"/>
      <c r="VTX275" s="192"/>
      <c r="VTY275" s="192"/>
      <c r="VTZ275" s="192"/>
      <c r="VUA275" s="192"/>
      <c r="VUB275" s="192"/>
      <c r="VUC275" s="192"/>
      <c r="VUD275" s="192"/>
      <c r="VUE275" s="192"/>
      <c r="VUF275" s="192"/>
      <c r="VUG275" s="192"/>
      <c r="VUH275" s="192"/>
      <c r="VUI275" s="192"/>
      <c r="VUJ275" s="192"/>
      <c r="VUK275" s="192"/>
      <c r="VUL275" s="192"/>
      <c r="VUM275" s="192"/>
      <c r="VUN275" s="192"/>
      <c r="VUO275" s="192"/>
      <c r="VUP275" s="192"/>
      <c r="VUQ275" s="192"/>
      <c r="VUR275" s="192"/>
      <c r="VUS275" s="192"/>
      <c r="VUT275" s="192"/>
      <c r="VUU275" s="192"/>
      <c r="VUV275" s="192"/>
      <c r="VUW275" s="192"/>
      <c r="VUX275" s="192"/>
      <c r="VUY275" s="192"/>
      <c r="VUZ275" s="192"/>
      <c r="VVA275" s="192"/>
      <c r="VVB275" s="192"/>
      <c r="VVC275" s="192"/>
      <c r="VVD275" s="192"/>
      <c r="VVE275" s="192"/>
      <c r="VVF275" s="192"/>
      <c r="VVG275" s="192"/>
      <c r="VVH275" s="192"/>
      <c r="VVI275" s="192"/>
      <c r="VVJ275" s="192"/>
      <c r="VVK275" s="192"/>
      <c r="VVL275" s="192"/>
      <c r="VVM275" s="192"/>
      <c r="VVN275" s="192"/>
      <c r="VVO275" s="192"/>
      <c r="VVP275" s="192"/>
      <c r="VVQ275" s="192"/>
      <c r="VVR275" s="192"/>
      <c r="VVS275" s="192"/>
      <c r="VVT275" s="192"/>
      <c r="VVU275" s="192"/>
      <c r="VVV275" s="192"/>
      <c r="VVW275" s="192"/>
      <c r="VVX275" s="192"/>
      <c r="VVY275" s="192"/>
      <c r="VVZ275" s="192"/>
      <c r="VWA275" s="192"/>
      <c r="VWB275" s="192"/>
      <c r="VWC275" s="192"/>
      <c r="VWD275" s="192"/>
      <c r="VWE275" s="192"/>
      <c r="VWF275" s="192"/>
      <c r="VWG275" s="192"/>
      <c r="VWH275" s="192"/>
      <c r="VWI275" s="192"/>
      <c r="VWJ275" s="192"/>
      <c r="VWK275" s="192"/>
      <c r="VWL275" s="192"/>
      <c r="VWM275" s="192"/>
      <c r="VWN275" s="192"/>
      <c r="VWO275" s="192"/>
      <c r="VWP275" s="192"/>
      <c r="VWQ275" s="192"/>
      <c r="VWR275" s="192"/>
      <c r="VWS275" s="192"/>
      <c r="VWT275" s="192"/>
      <c r="VWU275" s="192"/>
      <c r="VWV275" s="192"/>
      <c r="VWW275" s="192"/>
      <c r="VWX275" s="192"/>
      <c r="VWY275" s="192"/>
      <c r="VWZ275" s="192"/>
      <c r="VXA275" s="192"/>
      <c r="VXB275" s="192"/>
      <c r="VXC275" s="192"/>
      <c r="VXD275" s="192"/>
      <c r="VXE275" s="192"/>
      <c r="VXF275" s="192"/>
      <c r="VXG275" s="192"/>
      <c r="VXH275" s="192"/>
      <c r="VXI275" s="192"/>
      <c r="VXJ275" s="192"/>
      <c r="VXK275" s="192"/>
      <c r="VXL275" s="192"/>
      <c r="VXM275" s="192"/>
      <c r="VXN275" s="192"/>
      <c r="VXO275" s="192"/>
      <c r="VXP275" s="192"/>
      <c r="VXQ275" s="192"/>
      <c r="VXR275" s="192"/>
      <c r="VXS275" s="192"/>
      <c r="VXT275" s="192"/>
      <c r="VXU275" s="192"/>
      <c r="VXV275" s="192"/>
      <c r="VXW275" s="192"/>
      <c r="VXX275" s="192"/>
      <c r="VXY275" s="192"/>
      <c r="VXZ275" s="192"/>
      <c r="VYA275" s="192"/>
      <c r="VYB275" s="192"/>
      <c r="VYC275" s="192"/>
      <c r="VYD275" s="192"/>
      <c r="VYE275" s="192"/>
      <c r="VYF275" s="192"/>
      <c r="VYG275" s="192"/>
      <c r="VYH275" s="192"/>
      <c r="VYI275" s="192"/>
      <c r="VYJ275" s="192"/>
      <c r="VYK275" s="192"/>
      <c r="VYL275" s="192"/>
      <c r="VYM275" s="192"/>
      <c r="VYN275" s="192"/>
      <c r="VYO275" s="192"/>
      <c r="VYP275" s="192"/>
      <c r="VYQ275" s="192"/>
      <c r="VYR275" s="192"/>
      <c r="VYS275" s="192"/>
      <c r="VYT275" s="192"/>
      <c r="VYU275" s="192"/>
      <c r="VYV275" s="192"/>
      <c r="VYW275" s="192"/>
      <c r="VYX275" s="192"/>
      <c r="VYY275" s="192"/>
      <c r="VYZ275" s="192"/>
      <c r="VZA275" s="192"/>
      <c r="VZB275" s="192"/>
      <c r="VZC275" s="192"/>
      <c r="VZD275" s="192"/>
      <c r="VZE275" s="192"/>
      <c r="VZF275" s="192"/>
      <c r="VZG275" s="192"/>
      <c r="VZH275" s="192"/>
      <c r="VZI275" s="192"/>
      <c r="VZJ275" s="192"/>
      <c r="VZK275" s="192"/>
      <c r="VZL275" s="192"/>
      <c r="VZM275" s="192"/>
      <c r="VZN275" s="192"/>
      <c r="VZO275" s="192"/>
      <c r="VZP275" s="192"/>
      <c r="VZQ275" s="192"/>
      <c r="VZR275" s="192"/>
      <c r="VZS275" s="192"/>
      <c r="VZT275" s="192"/>
      <c r="VZU275" s="192"/>
      <c r="VZV275" s="192"/>
      <c r="VZW275" s="192"/>
      <c r="VZX275" s="192"/>
      <c r="VZY275" s="192"/>
      <c r="VZZ275" s="192"/>
      <c r="WAA275" s="192"/>
      <c r="WAB275" s="192"/>
      <c r="WAC275" s="192"/>
      <c r="WAD275" s="192"/>
      <c r="WAE275" s="192"/>
      <c r="WAF275" s="192"/>
      <c r="WAG275" s="192"/>
      <c r="WAH275" s="192"/>
      <c r="WAI275" s="192"/>
      <c r="WAJ275" s="192"/>
      <c r="WAK275" s="192"/>
      <c r="WAL275" s="192"/>
      <c r="WAM275" s="192"/>
      <c r="WAN275" s="192"/>
      <c r="WAO275" s="192"/>
      <c r="WAP275" s="192"/>
      <c r="WAQ275" s="192"/>
      <c r="WAR275" s="192"/>
      <c r="WAS275" s="192"/>
      <c r="WAT275" s="192"/>
      <c r="WAU275" s="192"/>
      <c r="WAV275" s="192"/>
      <c r="WAW275" s="192"/>
      <c r="WAX275" s="192"/>
      <c r="WAY275" s="192"/>
      <c r="WAZ275" s="192"/>
      <c r="WBA275" s="192"/>
      <c r="WBB275" s="192"/>
      <c r="WBC275" s="192"/>
      <c r="WBD275" s="192"/>
      <c r="WBE275" s="192"/>
      <c r="WBF275" s="192"/>
      <c r="WBG275" s="192"/>
      <c r="WBH275" s="192"/>
      <c r="WBI275" s="192"/>
      <c r="WBJ275" s="192"/>
      <c r="WBK275" s="192"/>
      <c r="WBL275" s="192"/>
      <c r="WBM275" s="192"/>
      <c r="WBN275" s="192"/>
      <c r="WBO275" s="192"/>
      <c r="WBP275" s="192"/>
      <c r="WBQ275" s="192"/>
      <c r="WBR275" s="192"/>
      <c r="WBS275" s="192"/>
      <c r="WBT275" s="192"/>
      <c r="WBU275" s="192"/>
      <c r="WBV275" s="192"/>
      <c r="WBW275" s="192"/>
      <c r="WBX275" s="192"/>
      <c r="WBY275" s="192"/>
      <c r="WBZ275" s="192"/>
      <c r="WCA275" s="192"/>
      <c r="WCB275" s="192"/>
      <c r="WCC275" s="192"/>
      <c r="WCD275" s="192"/>
      <c r="WCE275" s="192"/>
      <c r="WCF275" s="192"/>
      <c r="WCG275" s="192"/>
      <c r="WCH275" s="192"/>
      <c r="WCI275" s="192"/>
      <c r="WCJ275" s="192"/>
      <c r="WCK275" s="192"/>
      <c r="WCL275" s="192"/>
      <c r="WCM275" s="192"/>
      <c r="WCN275" s="192"/>
      <c r="WCO275" s="192"/>
      <c r="WCP275" s="192"/>
      <c r="WCQ275" s="192"/>
      <c r="WCR275" s="192"/>
      <c r="WCS275" s="192"/>
      <c r="WCT275" s="192"/>
      <c r="WCU275" s="192"/>
      <c r="WCV275" s="192"/>
      <c r="WCW275" s="192"/>
      <c r="WCX275" s="192"/>
      <c r="WCY275" s="192"/>
      <c r="WCZ275" s="192"/>
      <c r="WDA275" s="192"/>
      <c r="WDB275" s="192"/>
      <c r="WDC275" s="192"/>
      <c r="WDD275" s="192"/>
      <c r="WDE275" s="192"/>
      <c r="WDF275" s="192"/>
      <c r="WDG275" s="192"/>
      <c r="WDH275" s="192"/>
      <c r="WDI275" s="192"/>
      <c r="WDJ275" s="192"/>
      <c r="WDK275" s="192"/>
      <c r="WDL275" s="192"/>
      <c r="WDM275" s="192"/>
      <c r="WDN275" s="192"/>
      <c r="WDO275" s="192"/>
      <c r="WDP275" s="192"/>
      <c r="WDQ275" s="192"/>
      <c r="WDR275" s="192"/>
      <c r="WDS275" s="192"/>
      <c r="WDT275" s="192"/>
      <c r="WDU275" s="192"/>
      <c r="WDV275" s="192"/>
      <c r="WDW275" s="192"/>
      <c r="WDX275" s="192"/>
      <c r="WDY275" s="192"/>
      <c r="WDZ275" s="192"/>
      <c r="WEA275" s="192"/>
      <c r="WEB275" s="192"/>
      <c r="WEC275" s="192"/>
      <c r="WED275" s="192"/>
      <c r="WEE275" s="192"/>
      <c r="WEF275" s="192"/>
      <c r="WEG275" s="192"/>
      <c r="WEH275" s="192"/>
      <c r="WEI275" s="192"/>
      <c r="WEJ275" s="192"/>
      <c r="WEK275" s="192"/>
      <c r="WEL275" s="192"/>
      <c r="WEM275" s="192"/>
      <c r="WEN275" s="192"/>
      <c r="WEO275" s="192"/>
      <c r="WEP275" s="192"/>
      <c r="WEQ275" s="192"/>
      <c r="WER275" s="192"/>
      <c r="WES275" s="192"/>
      <c r="WET275" s="192"/>
      <c r="WEU275" s="192"/>
      <c r="WEV275" s="192"/>
      <c r="WEW275" s="192"/>
      <c r="WEX275" s="192"/>
      <c r="WEY275" s="192"/>
      <c r="WEZ275" s="192"/>
      <c r="WFA275" s="192"/>
      <c r="WFB275" s="192"/>
      <c r="WFC275" s="192"/>
      <c r="WFD275" s="192"/>
      <c r="WFE275" s="192"/>
      <c r="WFF275" s="192"/>
      <c r="WFG275" s="192"/>
      <c r="WFH275" s="192"/>
      <c r="WFI275" s="192"/>
      <c r="WFJ275" s="192"/>
      <c r="WFK275" s="192"/>
      <c r="WFL275" s="192"/>
      <c r="WFM275" s="192"/>
      <c r="WFN275" s="192"/>
      <c r="WFO275" s="192"/>
      <c r="WFP275" s="192"/>
      <c r="WFQ275" s="192"/>
      <c r="WFR275" s="192"/>
      <c r="WFS275" s="192"/>
      <c r="WFT275" s="192"/>
      <c r="WFU275" s="192"/>
      <c r="WFV275" s="192"/>
      <c r="WFW275" s="192"/>
      <c r="WFX275" s="192"/>
      <c r="WFY275" s="192"/>
      <c r="WFZ275" s="192"/>
      <c r="WGA275" s="192"/>
      <c r="WGB275" s="192"/>
      <c r="WGC275" s="192"/>
      <c r="WGD275" s="192"/>
      <c r="WGE275" s="192"/>
      <c r="WGF275" s="192"/>
      <c r="WGG275" s="192"/>
      <c r="WGH275" s="192"/>
      <c r="WGI275" s="192"/>
      <c r="WGJ275" s="192"/>
      <c r="WGK275" s="192"/>
      <c r="WGL275" s="192"/>
      <c r="WGM275" s="192"/>
      <c r="WGN275" s="192"/>
      <c r="WGO275" s="192"/>
      <c r="WGP275" s="192"/>
      <c r="WGQ275" s="192"/>
      <c r="WGR275" s="192"/>
      <c r="WGS275" s="192"/>
      <c r="WGT275" s="192"/>
      <c r="WGU275" s="192"/>
      <c r="WGV275" s="192"/>
      <c r="WGW275" s="192"/>
      <c r="WGX275" s="192"/>
      <c r="WGY275" s="192"/>
      <c r="WGZ275" s="192"/>
      <c r="WHA275" s="192"/>
      <c r="WHB275" s="192"/>
      <c r="WHC275" s="192"/>
      <c r="WHD275" s="192"/>
      <c r="WHE275" s="192"/>
      <c r="WHF275" s="192"/>
      <c r="WHG275" s="192"/>
      <c r="WHH275" s="192"/>
      <c r="WHI275" s="192"/>
      <c r="WHJ275" s="192"/>
      <c r="WHK275" s="192"/>
      <c r="WHL275" s="192"/>
      <c r="WHM275" s="192"/>
      <c r="WHN275" s="192"/>
      <c r="WHO275" s="192"/>
      <c r="WHP275" s="192"/>
      <c r="WHQ275" s="192"/>
      <c r="WHR275" s="192"/>
      <c r="WHS275" s="192"/>
      <c r="WHT275" s="192"/>
      <c r="WHU275" s="192"/>
      <c r="WHV275" s="192"/>
      <c r="WHW275" s="192"/>
      <c r="WHX275" s="192"/>
      <c r="WHY275" s="192"/>
      <c r="WHZ275" s="192"/>
      <c r="WIA275" s="192"/>
      <c r="WIB275" s="192"/>
      <c r="WIC275" s="192"/>
      <c r="WID275" s="192"/>
      <c r="WIE275" s="192"/>
      <c r="WIF275" s="192"/>
      <c r="WIG275" s="192"/>
      <c r="WIH275" s="192"/>
      <c r="WII275" s="192"/>
      <c r="WIJ275" s="192"/>
      <c r="WIK275" s="192"/>
      <c r="WIL275" s="192"/>
      <c r="WIM275" s="192"/>
      <c r="WIN275" s="192"/>
      <c r="WIO275" s="192"/>
      <c r="WIP275" s="192"/>
      <c r="WIQ275" s="192"/>
      <c r="WIR275" s="192"/>
      <c r="WIS275" s="192"/>
      <c r="WIT275" s="192"/>
      <c r="WIU275" s="192"/>
      <c r="WIV275" s="192"/>
      <c r="WIW275" s="192"/>
      <c r="WIX275" s="192"/>
      <c r="WIY275" s="192"/>
      <c r="WIZ275" s="192"/>
      <c r="WJA275" s="192"/>
      <c r="WJB275" s="192"/>
      <c r="WJC275" s="192"/>
      <c r="WJD275" s="192"/>
      <c r="WJE275" s="192"/>
      <c r="WJF275" s="192"/>
      <c r="WJG275" s="192"/>
      <c r="WJH275" s="192"/>
      <c r="WJI275" s="192"/>
      <c r="WJJ275" s="192"/>
      <c r="WJK275" s="192"/>
      <c r="WJL275" s="192"/>
      <c r="WJM275" s="192"/>
      <c r="WJN275" s="192"/>
      <c r="WJO275" s="192"/>
      <c r="WJP275" s="192"/>
      <c r="WJQ275" s="192"/>
      <c r="WJR275" s="192"/>
      <c r="WJS275" s="192"/>
      <c r="WJT275" s="192"/>
      <c r="WJU275" s="192"/>
      <c r="WJV275" s="192"/>
      <c r="WJW275" s="192"/>
      <c r="WJX275" s="192"/>
      <c r="WJY275" s="192"/>
      <c r="WJZ275" s="192"/>
      <c r="WKA275" s="192"/>
      <c r="WKB275" s="192"/>
      <c r="WKC275" s="192"/>
      <c r="WKD275" s="192"/>
      <c r="WKE275" s="192"/>
      <c r="WKF275" s="192"/>
      <c r="WKG275" s="192"/>
      <c r="WKH275" s="192"/>
      <c r="WKI275" s="192"/>
      <c r="WKJ275" s="192"/>
      <c r="WKK275" s="192"/>
      <c r="WKL275" s="192"/>
      <c r="WKM275" s="192"/>
      <c r="WKN275" s="192"/>
      <c r="WKO275" s="192"/>
      <c r="WKP275" s="192"/>
      <c r="WKQ275" s="192"/>
      <c r="WKR275" s="192"/>
      <c r="WKS275" s="192"/>
      <c r="WKT275" s="192"/>
      <c r="WKU275" s="192"/>
      <c r="WKV275" s="192"/>
      <c r="WKW275" s="192"/>
      <c r="WKX275" s="192"/>
      <c r="WKY275" s="192"/>
      <c r="WKZ275" s="192"/>
      <c r="WLA275" s="192"/>
      <c r="WLB275" s="192"/>
      <c r="WLC275" s="192"/>
      <c r="WLD275" s="192"/>
      <c r="WLE275" s="192"/>
      <c r="WLF275" s="192"/>
      <c r="WLG275" s="192"/>
      <c r="WLH275" s="192"/>
      <c r="WLI275" s="192"/>
      <c r="WLJ275" s="192"/>
      <c r="WLK275" s="192"/>
      <c r="WLL275" s="192"/>
      <c r="WLM275" s="192"/>
      <c r="WLN275" s="192"/>
      <c r="WLO275" s="192"/>
      <c r="WLP275" s="192"/>
      <c r="WLQ275" s="192"/>
      <c r="WLR275" s="192"/>
      <c r="WLS275" s="192"/>
      <c r="WLT275" s="192"/>
      <c r="WLU275" s="192"/>
      <c r="WLV275" s="192"/>
      <c r="WLW275" s="192"/>
      <c r="WLX275" s="192"/>
      <c r="WLY275" s="192"/>
      <c r="WLZ275" s="192"/>
      <c r="WMA275" s="192"/>
      <c r="WMB275" s="192"/>
      <c r="WMC275" s="192"/>
      <c r="WMD275" s="192"/>
      <c r="WME275" s="192"/>
      <c r="WMF275" s="192"/>
      <c r="WMG275" s="192"/>
      <c r="WMH275" s="192"/>
      <c r="WMI275" s="192"/>
      <c r="WMJ275" s="192"/>
      <c r="WMK275" s="192"/>
      <c r="WML275" s="192"/>
      <c r="WMM275" s="192"/>
      <c r="WMN275" s="192"/>
      <c r="WMO275" s="192"/>
      <c r="WMP275" s="192"/>
      <c r="WMQ275" s="192"/>
      <c r="WMR275" s="192"/>
      <c r="WMS275" s="192"/>
      <c r="WMT275" s="192"/>
      <c r="WMU275" s="192"/>
      <c r="WMV275" s="192"/>
      <c r="WMW275" s="192"/>
      <c r="WMX275" s="192"/>
      <c r="WMY275" s="192"/>
      <c r="WMZ275" s="192"/>
      <c r="WNA275" s="192"/>
      <c r="WNB275" s="192"/>
      <c r="WNC275" s="192"/>
      <c r="WND275" s="192"/>
      <c r="WNE275" s="192"/>
      <c r="WNF275" s="192"/>
      <c r="WNG275" s="192"/>
      <c r="WNH275" s="192"/>
      <c r="WNI275" s="192"/>
      <c r="WNJ275" s="192"/>
      <c r="WNK275" s="192"/>
      <c r="WNL275" s="192"/>
      <c r="WNM275" s="192"/>
      <c r="WNN275" s="192"/>
      <c r="WNO275" s="192"/>
      <c r="WNP275" s="192"/>
      <c r="WNQ275" s="192"/>
      <c r="WNR275" s="192"/>
      <c r="WNS275" s="192"/>
      <c r="WNT275" s="192"/>
      <c r="WNU275" s="192"/>
      <c r="WNV275" s="192"/>
      <c r="WNW275" s="192"/>
      <c r="WNX275" s="192"/>
      <c r="WNY275" s="192"/>
      <c r="WNZ275" s="192"/>
      <c r="WOA275" s="192"/>
      <c r="WOB275" s="192"/>
      <c r="WOC275" s="192"/>
      <c r="WOD275" s="192"/>
      <c r="WOE275" s="192"/>
      <c r="WOF275" s="192"/>
      <c r="WOG275" s="192"/>
      <c r="WOH275" s="192"/>
      <c r="WOI275" s="192"/>
      <c r="WOJ275" s="192"/>
      <c r="WOK275" s="192"/>
      <c r="WOL275" s="192"/>
      <c r="WOM275" s="192"/>
      <c r="WON275" s="192"/>
      <c r="WOO275" s="192"/>
      <c r="WOP275" s="192"/>
      <c r="WOQ275" s="192"/>
      <c r="WOR275" s="192"/>
      <c r="WOS275" s="192"/>
      <c r="WOT275" s="192"/>
      <c r="WOU275" s="192"/>
      <c r="WOV275" s="192"/>
      <c r="WOW275" s="192"/>
      <c r="WOX275" s="192"/>
      <c r="WOY275" s="192"/>
      <c r="WOZ275" s="192"/>
      <c r="WPA275" s="192"/>
      <c r="WPB275" s="192"/>
      <c r="WPC275" s="192"/>
      <c r="WPD275" s="192"/>
      <c r="WPE275" s="192"/>
      <c r="WPF275" s="192"/>
      <c r="WPG275" s="192"/>
      <c r="WPH275" s="192"/>
      <c r="WPI275" s="192"/>
      <c r="WPJ275" s="192"/>
      <c r="WPK275" s="192"/>
      <c r="WPL275" s="192"/>
      <c r="WPM275" s="192"/>
      <c r="WPN275" s="192"/>
      <c r="WPO275" s="192"/>
      <c r="WPP275" s="192"/>
      <c r="WPQ275" s="192"/>
      <c r="WPR275" s="192"/>
      <c r="WPS275" s="192"/>
      <c r="WPT275" s="192"/>
      <c r="WPU275" s="192"/>
      <c r="WPV275" s="192"/>
      <c r="WPW275" s="192"/>
      <c r="WPX275" s="192"/>
      <c r="WPY275" s="192"/>
      <c r="WPZ275" s="192"/>
      <c r="WQA275" s="192"/>
      <c r="WQB275" s="192"/>
      <c r="WQC275" s="192"/>
      <c r="WQD275" s="192"/>
      <c r="WQE275" s="192"/>
      <c r="WQF275" s="192"/>
      <c r="WQG275" s="192"/>
      <c r="WQH275" s="192"/>
      <c r="WQI275" s="192"/>
      <c r="WQJ275" s="192"/>
      <c r="WQK275" s="192"/>
      <c r="WQL275" s="192"/>
      <c r="WQM275" s="192"/>
      <c r="WQN275" s="192"/>
      <c r="WQO275" s="192"/>
      <c r="WQP275" s="192"/>
      <c r="WQQ275" s="192"/>
      <c r="WQR275" s="192"/>
      <c r="WQS275" s="192"/>
      <c r="WQT275" s="192"/>
      <c r="WQU275" s="192"/>
      <c r="WQV275" s="192"/>
      <c r="WQW275" s="192"/>
      <c r="WQX275" s="192"/>
      <c r="WQY275" s="192"/>
      <c r="WQZ275" s="192"/>
      <c r="WRA275" s="192"/>
      <c r="WRB275" s="192"/>
      <c r="WRC275" s="192"/>
      <c r="WRD275" s="192"/>
      <c r="WRE275" s="192"/>
      <c r="WRF275" s="192"/>
      <c r="WRG275" s="192"/>
      <c r="WRH275" s="192"/>
      <c r="WRI275" s="192"/>
      <c r="WRJ275" s="192"/>
      <c r="WRK275" s="192"/>
      <c r="WRL275" s="192"/>
      <c r="WRM275" s="192"/>
      <c r="WRN275" s="192"/>
      <c r="WRO275" s="192"/>
      <c r="WRP275" s="192"/>
      <c r="WRQ275" s="192"/>
      <c r="WRR275" s="192"/>
      <c r="WRS275" s="192"/>
      <c r="WRT275" s="192"/>
      <c r="WRU275" s="192"/>
      <c r="WRV275" s="192"/>
      <c r="WRW275" s="192"/>
      <c r="WRX275" s="192"/>
      <c r="WRY275" s="192"/>
      <c r="WRZ275" s="192"/>
      <c r="WSA275" s="192"/>
      <c r="WSB275" s="192"/>
      <c r="WSC275" s="192"/>
      <c r="WSD275" s="192"/>
      <c r="WSE275" s="192"/>
      <c r="WSF275" s="192"/>
      <c r="WSG275" s="192"/>
      <c r="WSH275" s="192"/>
      <c r="WSI275" s="192"/>
      <c r="WSJ275" s="192"/>
      <c r="WSK275" s="192"/>
      <c r="WSL275" s="192"/>
      <c r="WSM275" s="192"/>
      <c r="WSN275" s="192"/>
      <c r="WSO275" s="192"/>
      <c r="WSP275" s="192"/>
      <c r="WSQ275" s="192"/>
      <c r="WSR275" s="192"/>
      <c r="WSS275" s="192"/>
      <c r="WST275" s="192"/>
      <c r="WSU275" s="192"/>
      <c r="WSV275" s="192"/>
      <c r="WSW275" s="192"/>
      <c r="WSX275" s="192"/>
      <c r="WSY275" s="192"/>
      <c r="WSZ275" s="192"/>
      <c r="WTA275" s="192"/>
      <c r="WTB275" s="192"/>
      <c r="WTC275" s="192"/>
      <c r="WTD275" s="192"/>
      <c r="WTE275" s="192"/>
      <c r="WTF275" s="192"/>
      <c r="WTG275" s="192"/>
      <c r="WTH275" s="192"/>
      <c r="WTI275" s="192"/>
      <c r="WTJ275" s="192"/>
      <c r="WTK275" s="192"/>
      <c r="WTL275" s="192"/>
      <c r="WTM275" s="192"/>
      <c r="WTN275" s="192"/>
      <c r="WTO275" s="192"/>
      <c r="WTP275" s="192"/>
      <c r="WTQ275" s="192"/>
      <c r="WTR275" s="192"/>
      <c r="WTS275" s="192"/>
      <c r="WTT275" s="192"/>
      <c r="WTU275" s="192"/>
      <c r="WTV275" s="192"/>
      <c r="WTW275" s="192"/>
      <c r="WTX275" s="192"/>
      <c r="WTY275" s="192"/>
      <c r="WTZ275" s="192"/>
      <c r="WUA275" s="192"/>
      <c r="WUB275" s="192"/>
      <c r="WUC275" s="192"/>
      <c r="WUD275" s="192"/>
      <c r="WUE275" s="192"/>
      <c r="WUF275" s="192"/>
      <c r="WUG275" s="192"/>
      <c r="WUH275" s="192"/>
      <c r="WUI275" s="192"/>
      <c r="WUJ275" s="192"/>
      <c r="WUK275" s="192"/>
      <c r="WUL275" s="192"/>
      <c r="WUM275" s="192"/>
      <c r="WUN275" s="192"/>
      <c r="WUO275" s="192"/>
      <c r="WUP275" s="192"/>
      <c r="WUQ275" s="192"/>
      <c r="WUR275" s="192"/>
      <c r="WUS275" s="192"/>
      <c r="WUT275" s="192"/>
      <c r="WUU275" s="192"/>
      <c r="WUV275" s="192"/>
      <c r="WUW275" s="192"/>
      <c r="WUX275" s="192"/>
      <c r="WUY275" s="192"/>
      <c r="WUZ275" s="192"/>
      <c r="WVA275" s="192"/>
      <c r="WVB275" s="192"/>
      <c r="WVC275" s="192"/>
      <c r="WVD275" s="192"/>
      <c r="WVE275" s="192"/>
      <c r="WVF275" s="192"/>
      <c r="WVG275" s="192"/>
      <c r="WVH275" s="192"/>
      <c r="WVI275" s="192"/>
      <c r="WVJ275" s="192"/>
      <c r="WVK275" s="192"/>
      <c r="WVL275" s="192"/>
      <c r="WVM275" s="192"/>
      <c r="WVN275" s="192"/>
      <c r="WVO275" s="192"/>
      <c r="WVP275" s="192"/>
      <c r="WVQ275" s="192"/>
      <c r="WVR275" s="192"/>
      <c r="WVS275" s="192"/>
      <c r="WVT275" s="192"/>
      <c r="WVU275" s="192"/>
      <c r="WVV275" s="192"/>
      <c r="WVW275" s="192"/>
      <c r="WVX275" s="192"/>
      <c r="WVY275" s="192"/>
      <c r="WVZ275" s="192"/>
      <c r="WWA275" s="192"/>
      <c r="WWB275" s="192"/>
      <c r="WWC275" s="192"/>
      <c r="WWD275" s="192"/>
      <c r="WWE275" s="192"/>
      <c r="WWF275" s="192"/>
      <c r="WWG275" s="192"/>
      <c r="WWH275" s="192"/>
      <c r="WWI275" s="192"/>
      <c r="WWJ275" s="192"/>
      <c r="WWK275" s="192"/>
      <c r="WWL275" s="192"/>
      <c r="WWM275" s="192"/>
      <c r="WWN275" s="192"/>
      <c r="WWO275" s="192"/>
      <c r="WWP275" s="192"/>
      <c r="WWQ275" s="192"/>
      <c r="WWR275" s="192"/>
      <c r="WWS275" s="192"/>
      <c r="WWT275" s="192"/>
      <c r="WWU275" s="192"/>
      <c r="WWV275" s="192"/>
      <c r="WWW275" s="192"/>
      <c r="WWX275" s="192"/>
      <c r="WWY275" s="192"/>
      <c r="WWZ275" s="192"/>
      <c r="WXA275" s="192"/>
      <c r="WXB275" s="192"/>
      <c r="WXC275" s="192"/>
      <c r="WXD275" s="192"/>
      <c r="WXE275" s="192"/>
      <c r="WXF275" s="192"/>
      <c r="WXG275" s="192"/>
      <c r="WXH275" s="192"/>
      <c r="WXI275" s="192"/>
      <c r="WXJ275" s="192"/>
      <c r="WXK275" s="192"/>
      <c r="WXL275" s="192"/>
      <c r="WXM275" s="192"/>
      <c r="WXN275" s="192"/>
      <c r="WXO275" s="192"/>
      <c r="WXP275" s="192"/>
      <c r="WXQ275" s="192"/>
      <c r="WXR275" s="192"/>
      <c r="WXS275" s="192"/>
      <c r="WXT275" s="192"/>
      <c r="WXU275" s="192"/>
      <c r="WXV275" s="192"/>
      <c r="WXW275" s="192"/>
      <c r="WXX275" s="192"/>
      <c r="WXY275" s="192"/>
      <c r="WXZ275" s="192"/>
      <c r="WYA275" s="192"/>
      <c r="WYB275" s="192"/>
      <c r="WYC275" s="192"/>
      <c r="WYD275" s="192"/>
      <c r="WYE275" s="192"/>
      <c r="WYF275" s="192"/>
      <c r="WYG275" s="192"/>
      <c r="WYH275" s="192"/>
      <c r="WYI275" s="192"/>
      <c r="WYJ275" s="192"/>
      <c r="WYK275" s="192"/>
      <c r="WYL275" s="192"/>
      <c r="WYM275" s="192"/>
      <c r="WYN275" s="192"/>
      <c r="WYO275" s="192"/>
      <c r="WYP275" s="192"/>
      <c r="WYQ275" s="192"/>
      <c r="WYR275" s="192"/>
      <c r="WYS275" s="192"/>
      <c r="WYT275" s="192"/>
      <c r="WYU275" s="192"/>
      <c r="WYV275" s="192"/>
      <c r="WYW275" s="192"/>
      <c r="WYX275" s="192"/>
      <c r="WYY275" s="192"/>
      <c r="WYZ275" s="192"/>
      <c r="WZA275" s="192"/>
      <c r="WZB275" s="192"/>
      <c r="WZC275" s="192"/>
      <c r="WZD275" s="192"/>
      <c r="WZE275" s="192"/>
      <c r="WZF275" s="192"/>
      <c r="WZG275" s="192"/>
      <c r="WZH275" s="192"/>
      <c r="WZI275" s="192"/>
      <c r="WZJ275" s="192"/>
      <c r="WZK275" s="192"/>
      <c r="WZL275" s="192"/>
      <c r="WZM275" s="192"/>
      <c r="WZN275" s="192"/>
      <c r="WZO275" s="192"/>
      <c r="WZP275" s="192"/>
      <c r="WZQ275" s="192"/>
      <c r="WZR275" s="192"/>
      <c r="WZS275" s="192"/>
      <c r="WZT275" s="192"/>
      <c r="WZU275" s="192"/>
      <c r="WZV275" s="192"/>
      <c r="WZW275" s="192"/>
      <c r="WZX275" s="192"/>
      <c r="WZY275" s="192"/>
      <c r="WZZ275" s="192"/>
      <c r="XAA275" s="192"/>
      <c r="XAB275" s="192"/>
      <c r="XAC275" s="192"/>
      <c r="XAD275" s="192"/>
      <c r="XAE275" s="192"/>
      <c r="XAF275" s="192"/>
      <c r="XAG275" s="192"/>
      <c r="XAH275" s="192"/>
      <c r="XAI275" s="192"/>
      <c r="XAJ275" s="192"/>
      <c r="XAK275" s="192"/>
      <c r="XAL275" s="192"/>
      <c r="XAM275" s="192"/>
      <c r="XAN275" s="192"/>
      <c r="XAO275" s="192"/>
      <c r="XAP275" s="192"/>
      <c r="XAQ275" s="192"/>
      <c r="XAR275" s="192"/>
      <c r="XAS275" s="192"/>
      <c r="XAT275" s="192"/>
      <c r="XAU275" s="192"/>
      <c r="XAV275" s="192"/>
      <c r="XAW275" s="192"/>
      <c r="XAX275" s="192"/>
      <c r="XAY275" s="192"/>
      <c r="XAZ275" s="192"/>
      <c r="XBA275" s="192"/>
      <c r="XBB275" s="192"/>
      <c r="XBC275" s="192"/>
      <c r="XBD275" s="192"/>
      <c r="XBE275" s="192"/>
      <c r="XBF275" s="192"/>
      <c r="XBG275" s="192"/>
      <c r="XBH275" s="192"/>
      <c r="XBI275" s="192"/>
      <c r="XBJ275" s="192"/>
      <c r="XBK275" s="192"/>
      <c r="XBL275" s="192"/>
      <c r="XBM275" s="192"/>
      <c r="XBN275" s="192"/>
      <c r="XBO275" s="192"/>
      <c r="XBP275" s="192"/>
      <c r="XBQ275" s="192"/>
      <c r="XBR275" s="192"/>
      <c r="XBS275" s="192"/>
      <c r="XBT275" s="192"/>
      <c r="XBU275" s="192"/>
      <c r="XBV275" s="192"/>
      <c r="XBW275" s="192"/>
      <c r="XBX275" s="192"/>
      <c r="XBY275" s="192"/>
      <c r="XBZ275" s="192"/>
      <c r="XCA275" s="192"/>
      <c r="XCB275" s="192"/>
      <c r="XCC275" s="192"/>
      <c r="XCD275" s="192"/>
      <c r="XCE275" s="192"/>
      <c r="XCF275" s="192"/>
      <c r="XCG275" s="192"/>
      <c r="XCH275" s="192"/>
      <c r="XCI275" s="192"/>
      <c r="XCJ275" s="192"/>
      <c r="XCK275" s="192"/>
      <c r="XCL275" s="192"/>
      <c r="XCM275" s="192"/>
      <c r="XCN275" s="192"/>
      <c r="XCO275" s="192"/>
      <c r="XCP275" s="192"/>
      <c r="XCQ275" s="192"/>
      <c r="XCR275" s="192"/>
      <c r="XCS275" s="192"/>
      <c r="XCT275" s="192"/>
      <c r="XCU275" s="192"/>
      <c r="XCV275" s="192"/>
      <c r="XCW275" s="192"/>
      <c r="XCX275" s="192"/>
      <c r="XCY275" s="192"/>
      <c r="XCZ275" s="192"/>
      <c r="XDA275" s="192"/>
      <c r="XDB275" s="192"/>
      <c r="XDC275" s="192"/>
      <c r="XDD275" s="192"/>
      <c r="XDE275" s="192"/>
      <c r="XDF275" s="192"/>
      <c r="XDG275" s="192"/>
      <c r="XDH275" s="192"/>
      <c r="XDI275" s="192"/>
      <c r="XDJ275" s="192"/>
      <c r="XDK275" s="192"/>
      <c r="XDL275" s="192"/>
      <c r="XDM275" s="192"/>
      <c r="XDN275" s="192"/>
      <c r="XDO275" s="192"/>
      <c r="XDP275" s="192"/>
      <c r="XDQ275" s="192"/>
      <c r="XDR275" s="192"/>
      <c r="XDS275" s="192"/>
      <c r="XDT275" s="192"/>
      <c r="XDU275" s="192"/>
      <c r="XDV275" s="192"/>
      <c r="XDW275" s="192"/>
      <c r="XDX275" s="192"/>
      <c r="XDY275" s="192"/>
      <c r="XDZ275" s="192"/>
      <c r="XEA275" s="192"/>
      <c r="XEB275" s="192"/>
      <c r="XEC275" s="192"/>
      <c r="XED275" s="192"/>
      <c r="XEE275" s="192"/>
      <c r="XEF275" s="192"/>
      <c r="XEG275" s="192"/>
      <c r="XEH275" s="192"/>
      <c r="XEI275" s="192"/>
      <c r="XEJ275" s="192"/>
      <c r="XEK275" s="192"/>
      <c r="XEL275" s="192"/>
      <c r="XEM275" s="192"/>
      <c r="XEN275" s="192"/>
      <c r="XEO275" s="192"/>
    </row>
    <row r="276" spans="1:16369" s="872" customFormat="1">
      <c r="A276" s="863">
        <f t="shared" si="4"/>
        <v>2013.03</v>
      </c>
      <c r="B276" s="1881">
        <v>631530</v>
      </c>
      <c r="C276" s="1882"/>
      <c r="D276" s="3618"/>
      <c r="E276" s="1882"/>
      <c r="F276" s="1883">
        <v>1468</v>
      </c>
      <c r="G276" s="1884">
        <v>7573</v>
      </c>
      <c r="H276" s="3619">
        <v>8149</v>
      </c>
      <c r="I276" s="1884">
        <v>10570</v>
      </c>
      <c r="J276" s="3619">
        <v>23598</v>
      </c>
      <c r="K276" s="1884">
        <v>3669</v>
      </c>
      <c r="L276" s="3619">
        <v>4479</v>
      </c>
      <c r="M276" s="1884">
        <v>6021</v>
      </c>
      <c r="N276" s="1885">
        <v>2561</v>
      </c>
      <c r="O276" s="2373">
        <f t="shared" si="5"/>
        <v>68088</v>
      </c>
      <c r="P276" s="1888">
        <v>47696</v>
      </c>
      <c r="Q276" s="1885">
        <v>424</v>
      </c>
      <c r="R276" s="1889">
        <v>198145</v>
      </c>
      <c r="S276" s="192"/>
      <c r="T276" s="192"/>
      <c r="U276" s="192"/>
      <c r="V276" s="192"/>
      <c r="W276" s="192"/>
      <c r="X276" s="192"/>
      <c r="Y276" s="192"/>
      <c r="Z276" s="192"/>
      <c r="AA276" s="192"/>
      <c r="AB276" s="192"/>
      <c r="AC276" s="192"/>
      <c r="AD276" s="192"/>
      <c r="AE276" s="192"/>
      <c r="AF276" s="192"/>
      <c r="AG276" s="192"/>
      <c r="AH276" s="192"/>
      <c r="AI276" s="192"/>
      <c r="AJ276" s="192"/>
      <c r="AK276" s="192"/>
      <c r="AL276" s="192"/>
      <c r="AM276" s="192"/>
      <c r="AN276" s="192"/>
      <c r="AO276" s="192"/>
      <c r="AP276" s="192"/>
      <c r="AQ276" s="192"/>
      <c r="AR276" s="192"/>
      <c r="AS276" s="192"/>
      <c r="AT276" s="192"/>
      <c r="AU276" s="192"/>
      <c r="AV276" s="192"/>
      <c r="AW276" s="192"/>
      <c r="AX276" s="192"/>
      <c r="AY276" s="192"/>
      <c r="AZ276" s="192"/>
      <c r="BA276" s="192"/>
      <c r="BB276" s="192"/>
      <c r="BC276" s="192"/>
      <c r="BD276" s="192"/>
      <c r="BE276" s="192"/>
      <c r="BF276" s="192"/>
      <c r="BG276" s="192"/>
      <c r="BH276" s="192"/>
      <c r="BI276" s="192"/>
      <c r="BJ276" s="192"/>
      <c r="BK276" s="192"/>
      <c r="BL276" s="192"/>
      <c r="BM276" s="192"/>
      <c r="BN276" s="192"/>
      <c r="BO276" s="192"/>
      <c r="BP276" s="192"/>
      <c r="BQ276" s="192"/>
      <c r="BR276" s="192"/>
      <c r="BS276" s="192"/>
      <c r="BT276" s="192"/>
      <c r="BU276" s="192"/>
      <c r="BV276" s="192"/>
      <c r="BW276" s="192"/>
      <c r="BX276" s="192"/>
      <c r="BY276" s="192"/>
      <c r="BZ276" s="192"/>
      <c r="CA276" s="192"/>
      <c r="CB276" s="192"/>
      <c r="CC276" s="192"/>
      <c r="CD276" s="192"/>
      <c r="CE276" s="192"/>
      <c r="CF276" s="192"/>
      <c r="CG276" s="192"/>
      <c r="CH276" s="192"/>
      <c r="CI276" s="192"/>
      <c r="CJ276" s="192"/>
      <c r="CK276" s="192"/>
      <c r="CL276" s="192"/>
      <c r="CM276" s="192"/>
      <c r="CN276" s="192"/>
      <c r="CO276" s="192"/>
      <c r="CP276" s="192"/>
      <c r="CQ276" s="192"/>
      <c r="CR276" s="192"/>
      <c r="CS276" s="192"/>
      <c r="CT276" s="192"/>
      <c r="CU276" s="192"/>
      <c r="CV276" s="192"/>
      <c r="CW276" s="192"/>
      <c r="CX276" s="192"/>
      <c r="CY276" s="192"/>
      <c r="CZ276" s="192"/>
      <c r="DA276" s="192"/>
      <c r="DB276" s="192"/>
      <c r="DC276" s="192"/>
      <c r="DD276" s="192"/>
      <c r="DE276" s="192"/>
      <c r="DF276" s="192"/>
      <c r="DG276" s="192"/>
      <c r="DH276" s="192"/>
      <c r="DI276" s="192"/>
      <c r="DJ276" s="192"/>
      <c r="DK276" s="192"/>
      <c r="DL276" s="192"/>
      <c r="DM276" s="192"/>
      <c r="DN276" s="192"/>
      <c r="DO276" s="192"/>
      <c r="DP276" s="192"/>
      <c r="DQ276" s="192"/>
      <c r="DR276" s="192"/>
      <c r="DS276" s="192"/>
      <c r="DT276" s="192"/>
      <c r="DU276" s="192"/>
      <c r="DV276" s="192"/>
      <c r="DW276" s="192"/>
      <c r="DX276" s="192"/>
      <c r="DY276" s="192"/>
      <c r="DZ276" s="192"/>
      <c r="EA276" s="192"/>
      <c r="EB276" s="192"/>
      <c r="EC276" s="192"/>
      <c r="ED276" s="192"/>
      <c r="EE276" s="192"/>
      <c r="EF276" s="192"/>
      <c r="EG276" s="192"/>
      <c r="EH276" s="192"/>
      <c r="EI276" s="192"/>
      <c r="EJ276" s="192"/>
      <c r="EK276" s="192"/>
      <c r="EL276" s="192"/>
      <c r="EM276" s="192"/>
      <c r="EN276" s="192"/>
      <c r="EO276" s="192"/>
      <c r="EP276" s="192"/>
      <c r="EQ276" s="192"/>
      <c r="ER276" s="192"/>
      <c r="ES276" s="192"/>
      <c r="ET276" s="192"/>
      <c r="EU276" s="192"/>
      <c r="EV276" s="192"/>
      <c r="EW276" s="192"/>
      <c r="EX276" s="192"/>
      <c r="EY276" s="192"/>
      <c r="EZ276" s="192"/>
      <c r="FA276" s="192"/>
      <c r="FB276" s="192"/>
      <c r="FC276" s="192"/>
      <c r="FD276" s="192"/>
      <c r="FE276" s="192"/>
      <c r="FF276" s="192"/>
      <c r="FG276" s="192"/>
      <c r="FH276" s="192"/>
      <c r="FI276" s="192"/>
      <c r="FJ276" s="192"/>
      <c r="FK276" s="192"/>
      <c r="FL276" s="192"/>
      <c r="FM276" s="192"/>
      <c r="FN276" s="192"/>
      <c r="FO276" s="192"/>
      <c r="FP276" s="192"/>
      <c r="FQ276" s="192"/>
      <c r="FR276" s="192"/>
      <c r="FS276" s="192"/>
      <c r="FT276" s="192"/>
      <c r="FU276" s="192"/>
      <c r="FV276" s="192"/>
      <c r="FW276" s="192"/>
      <c r="FX276" s="192"/>
      <c r="FY276" s="192"/>
      <c r="FZ276" s="192"/>
      <c r="GA276" s="192"/>
      <c r="GB276" s="192"/>
      <c r="GC276" s="192"/>
      <c r="GD276" s="192"/>
      <c r="GE276" s="192"/>
      <c r="GF276" s="192"/>
      <c r="GG276" s="192"/>
      <c r="GH276" s="192"/>
      <c r="GI276" s="192"/>
      <c r="GJ276" s="192"/>
      <c r="GK276" s="192"/>
      <c r="GL276" s="192"/>
      <c r="GM276" s="192"/>
      <c r="GN276" s="192"/>
      <c r="GO276" s="192"/>
      <c r="GP276" s="192"/>
      <c r="GQ276" s="192"/>
      <c r="GR276" s="192"/>
      <c r="GS276" s="192"/>
      <c r="GT276" s="192"/>
      <c r="GU276" s="192"/>
      <c r="GV276" s="192"/>
      <c r="GW276" s="192"/>
      <c r="GX276" s="192"/>
      <c r="GY276" s="192"/>
      <c r="GZ276" s="192"/>
      <c r="HA276" s="192"/>
      <c r="HB276" s="192"/>
      <c r="HC276" s="192"/>
      <c r="HD276" s="192"/>
      <c r="HE276" s="192"/>
      <c r="HF276" s="192"/>
      <c r="HG276" s="192"/>
      <c r="HH276" s="192"/>
      <c r="HI276" s="192"/>
      <c r="HJ276" s="192"/>
      <c r="HK276" s="192"/>
      <c r="HL276" s="192"/>
      <c r="HM276" s="192"/>
      <c r="HN276" s="192"/>
      <c r="HO276" s="192"/>
      <c r="HP276" s="192"/>
      <c r="HQ276" s="192"/>
      <c r="HR276" s="192"/>
      <c r="HS276" s="192"/>
      <c r="HT276" s="192"/>
      <c r="HU276" s="192"/>
      <c r="HV276" s="192"/>
      <c r="HW276" s="192"/>
      <c r="HX276" s="192"/>
      <c r="HY276" s="192"/>
      <c r="HZ276" s="192"/>
      <c r="IA276" s="192"/>
      <c r="IB276" s="192"/>
      <c r="IC276" s="192"/>
      <c r="ID276" s="192"/>
      <c r="IE276" s="192"/>
      <c r="IF276" s="192"/>
      <c r="IG276" s="192"/>
      <c r="IH276" s="192"/>
      <c r="II276" s="192"/>
      <c r="IJ276" s="192"/>
      <c r="IK276" s="192"/>
      <c r="IL276" s="192"/>
      <c r="IM276" s="192"/>
      <c r="IN276" s="192"/>
      <c r="IO276" s="192"/>
      <c r="IP276" s="192"/>
      <c r="IQ276" s="192"/>
      <c r="IR276" s="192"/>
      <c r="IS276" s="192"/>
      <c r="IT276" s="192"/>
      <c r="IU276" s="192"/>
      <c r="IV276" s="192"/>
      <c r="IW276" s="192"/>
      <c r="IX276" s="192"/>
      <c r="IY276" s="192"/>
      <c r="IZ276" s="192"/>
      <c r="JA276" s="192"/>
      <c r="JB276" s="192"/>
      <c r="JC276" s="192"/>
      <c r="JD276" s="192"/>
      <c r="JE276" s="192"/>
      <c r="JF276" s="192"/>
      <c r="JG276" s="192"/>
      <c r="JH276" s="192"/>
      <c r="JI276" s="192"/>
      <c r="JJ276" s="192"/>
      <c r="JK276" s="192"/>
      <c r="JL276" s="192"/>
      <c r="JM276" s="192"/>
      <c r="JN276" s="192"/>
      <c r="JO276" s="192"/>
      <c r="JP276" s="192"/>
      <c r="JQ276" s="192"/>
      <c r="JR276" s="192"/>
      <c r="JS276" s="192"/>
      <c r="JT276" s="192"/>
      <c r="JU276" s="192"/>
      <c r="JV276" s="192"/>
      <c r="JW276" s="192"/>
      <c r="JX276" s="192"/>
      <c r="JY276" s="192"/>
      <c r="JZ276" s="192"/>
      <c r="KA276" s="192"/>
      <c r="KB276" s="192"/>
      <c r="KC276" s="192"/>
      <c r="KD276" s="192"/>
      <c r="KE276" s="192"/>
      <c r="KF276" s="192"/>
      <c r="KG276" s="192"/>
      <c r="KH276" s="192"/>
      <c r="KI276" s="192"/>
      <c r="KJ276" s="192"/>
      <c r="KK276" s="192"/>
      <c r="KL276" s="192"/>
      <c r="KM276" s="192"/>
      <c r="KN276" s="192"/>
      <c r="KO276" s="192"/>
      <c r="KP276" s="192"/>
      <c r="KQ276" s="192"/>
      <c r="KR276" s="192"/>
      <c r="KS276" s="192"/>
      <c r="KT276" s="192"/>
      <c r="KU276" s="192"/>
      <c r="KV276" s="192"/>
      <c r="KW276" s="192"/>
      <c r="KX276" s="192"/>
      <c r="KY276" s="192"/>
      <c r="KZ276" s="192"/>
      <c r="LA276" s="192"/>
      <c r="LB276" s="192"/>
      <c r="LC276" s="192"/>
      <c r="LD276" s="192"/>
      <c r="LE276" s="192"/>
      <c r="LF276" s="192"/>
      <c r="LG276" s="192"/>
      <c r="LH276" s="192"/>
      <c r="LI276" s="192"/>
      <c r="LJ276" s="192"/>
      <c r="LK276" s="192"/>
      <c r="LL276" s="192"/>
      <c r="LM276" s="192"/>
      <c r="LN276" s="192"/>
      <c r="LO276" s="192"/>
      <c r="LP276" s="192"/>
      <c r="LQ276" s="192"/>
      <c r="LR276" s="192"/>
      <c r="LS276" s="192"/>
      <c r="LT276" s="192"/>
      <c r="LU276" s="192"/>
      <c r="LV276" s="192"/>
      <c r="LW276" s="192"/>
      <c r="LX276" s="192"/>
      <c r="LY276" s="192"/>
      <c r="LZ276" s="192"/>
      <c r="MA276" s="192"/>
      <c r="MB276" s="192"/>
      <c r="MC276" s="192"/>
      <c r="MD276" s="192"/>
      <c r="ME276" s="192"/>
      <c r="MF276" s="192"/>
      <c r="MG276" s="192"/>
      <c r="MH276" s="192"/>
      <c r="MI276" s="192"/>
      <c r="MJ276" s="192"/>
      <c r="MK276" s="192"/>
      <c r="ML276" s="192"/>
      <c r="MM276" s="192"/>
      <c r="MN276" s="192"/>
      <c r="MO276" s="192"/>
      <c r="MP276" s="192"/>
      <c r="MQ276" s="192"/>
      <c r="MR276" s="192"/>
      <c r="MS276" s="192"/>
      <c r="MT276" s="192"/>
      <c r="MU276" s="192"/>
      <c r="MV276" s="192"/>
      <c r="MW276" s="192"/>
      <c r="MX276" s="192"/>
      <c r="MY276" s="192"/>
      <c r="MZ276" s="192"/>
      <c r="NA276" s="192"/>
      <c r="NB276" s="192"/>
      <c r="NC276" s="192"/>
      <c r="ND276" s="192"/>
      <c r="NE276" s="192"/>
      <c r="NF276" s="192"/>
      <c r="NG276" s="192"/>
      <c r="NH276" s="192"/>
      <c r="NI276" s="192"/>
      <c r="NJ276" s="192"/>
      <c r="NK276" s="192"/>
      <c r="NL276" s="192"/>
      <c r="NM276" s="192"/>
      <c r="NN276" s="192"/>
      <c r="NO276" s="192"/>
      <c r="NP276" s="192"/>
      <c r="NQ276" s="192"/>
      <c r="NR276" s="192"/>
      <c r="NS276" s="192"/>
      <c r="NT276" s="192"/>
      <c r="NU276" s="192"/>
      <c r="NV276" s="192"/>
      <c r="NW276" s="192"/>
      <c r="NX276" s="192"/>
      <c r="NY276" s="192"/>
      <c r="NZ276" s="192"/>
      <c r="OA276" s="192"/>
      <c r="OB276" s="192"/>
      <c r="OC276" s="192"/>
      <c r="OD276" s="192"/>
      <c r="OE276" s="192"/>
      <c r="OF276" s="192"/>
      <c r="OG276" s="192"/>
      <c r="OH276" s="192"/>
      <c r="OI276" s="192"/>
      <c r="OJ276" s="192"/>
      <c r="OK276" s="192"/>
      <c r="OL276" s="192"/>
      <c r="OM276" s="192"/>
      <c r="ON276" s="192"/>
      <c r="OO276" s="192"/>
      <c r="OP276" s="192"/>
      <c r="OQ276" s="192"/>
      <c r="OR276" s="192"/>
      <c r="OS276" s="192"/>
      <c r="OT276" s="192"/>
      <c r="OU276" s="192"/>
      <c r="OV276" s="192"/>
      <c r="OW276" s="192"/>
      <c r="OX276" s="192"/>
      <c r="OY276" s="192"/>
      <c r="OZ276" s="192"/>
      <c r="PA276" s="192"/>
      <c r="PB276" s="192"/>
      <c r="PC276" s="192"/>
      <c r="PD276" s="192"/>
      <c r="PE276" s="192"/>
      <c r="PF276" s="192"/>
      <c r="PG276" s="192"/>
      <c r="PH276" s="192"/>
      <c r="PI276" s="192"/>
      <c r="PJ276" s="192"/>
      <c r="PK276" s="192"/>
      <c r="PL276" s="192"/>
      <c r="PM276" s="192"/>
      <c r="PN276" s="192"/>
      <c r="PO276" s="192"/>
      <c r="PP276" s="192"/>
      <c r="PQ276" s="192"/>
      <c r="PR276" s="192"/>
      <c r="PS276" s="192"/>
      <c r="PT276" s="192"/>
      <c r="PU276" s="192"/>
      <c r="PV276" s="192"/>
      <c r="PW276" s="192"/>
      <c r="PX276" s="192"/>
      <c r="PY276" s="192"/>
      <c r="PZ276" s="192"/>
      <c r="QA276" s="192"/>
      <c r="QB276" s="192"/>
      <c r="QC276" s="192"/>
      <c r="QD276" s="192"/>
      <c r="QE276" s="192"/>
      <c r="QF276" s="192"/>
      <c r="QG276" s="192"/>
      <c r="QH276" s="192"/>
      <c r="QI276" s="192"/>
      <c r="QJ276" s="192"/>
      <c r="QK276" s="192"/>
      <c r="QL276" s="192"/>
      <c r="QM276" s="192"/>
      <c r="QN276" s="192"/>
      <c r="QO276" s="192"/>
      <c r="QP276" s="192"/>
      <c r="QQ276" s="192"/>
      <c r="QR276" s="192"/>
      <c r="QS276" s="192"/>
      <c r="QT276" s="192"/>
      <c r="QU276" s="192"/>
      <c r="QV276" s="192"/>
      <c r="QW276" s="192"/>
      <c r="QX276" s="192"/>
      <c r="QY276" s="192"/>
      <c r="QZ276" s="192"/>
      <c r="RA276" s="192"/>
      <c r="RB276" s="192"/>
      <c r="RC276" s="192"/>
      <c r="RD276" s="192"/>
      <c r="RE276" s="192"/>
      <c r="RF276" s="192"/>
      <c r="RG276" s="192"/>
      <c r="RH276" s="192"/>
      <c r="RI276" s="192"/>
      <c r="RJ276" s="192"/>
      <c r="RK276" s="192"/>
      <c r="RL276" s="192"/>
      <c r="RM276" s="192"/>
      <c r="RN276" s="192"/>
      <c r="RO276" s="192"/>
      <c r="RP276" s="192"/>
      <c r="RQ276" s="192"/>
      <c r="RR276" s="192"/>
      <c r="RS276" s="192"/>
      <c r="RT276" s="192"/>
      <c r="RU276" s="192"/>
      <c r="RV276" s="192"/>
      <c r="RW276" s="192"/>
      <c r="RX276" s="192"/>
      <c r="RY276" s="192"/>
      <c r="RZ276" s="192"/>
      <c r="SA276" s="192"/>
      <c r="SB276" s="192"/>
      <c r="SC276" s="192"/>
      <c r="SD276" s="192"/>
      <c r="SE276" s="192"/>
      <c r="SF276" s="192"/>
      <c r="SG276" s="192"/>
      <c r="SH276" s="192"/>
      <c r="SI276" s="192"/>
      <c r="SJ276" s="192"/>
      <c r="SK276" s="192"/>
      <c r="SL276" s="192"/>
      <c r="SM276" s="192"/>
      <c r="SN276" s="192"/>
      <c r="SO276" s="192"/>
      <c r="SP276" s="192"/>
      <c r="SQ276" s="192"/>
      <c r="SR276" s="192"/>
      <c r="SS276" s="192"/>
      <c r="ST276" s="192"/>
      <c r="SU276" s="192"/>
      <c r="SV276" s="192"/>
      <c r="SW276" s="192"/>
      <c r="SX276" s="192"/>
      <c r="SY276" s="192"/>
      <c r="SZ276" s="192"/>
      <c r="TA276" s="192"/>
      <c r="TB276" s="192"/>
      <c r="TC276" s="192"/>
      <c r="TD276" s="192"/>
      <c r="TE276" s="192"/>
      <c r="TF276" s="192"/>
      <c r="TG276" s="192"/>
      <c r="TH276" s="192"/>
      <c r="TI276" s="192"/>
      <c r="TJ276" s="192"/>
      <c r="TK276" s="192"/>
      <c r="TL276" s="192"/>
      <c r="TM276" s="192"/>
      <c r="TN276" s="192"/>
      <c r="TO276" s="192"/>
      <c r="TP276" s="192"/>
      <c r="TQ276" s="192"/>
      <c r="TR276" s="192"/>
      <c r="TS276" s="192"/>
      <c r="TT276" s="192"/>
      <c r="TU276" s="192"/>
      <c r="TV276" s="192"/>
      <c r="TW276" s="192"/>
      <c r="TX276" s="192"/>
      <c r="TY276" s="192"/>
      <c r="TZ276" s="192"/>
      <c r="UA276" s="192"/>
      <c r="UB276" s="192"/>
      <c r="UC276" s="192"/>
      <c r="UD276" s="192"/>
      <c r="UE276" s="192"/>
      <c r="UF276" s="192"/>
      <c r="UG276" s="192"/>
      <c r="UH276" s="192"/>
      <c r="UI276" s="192"/>
      <c r="UJ276" s="192"/>
      <c r="UK276" s="192"/>
      <c r="UL276" s="192"/>
      <c r="UM276" s="192"/>
      <c r="UN276" s="192"/>
      <c r="UO276" s="192"/>
      <c r="UP276" s="192"/>
      <c r="UQ276" s="192"/>
      <c r="UR276" s="192"/>
      <c r="US276" s="192"/>
      <c r="UT276" s="192"/>
      <c r="UU276" s="192"/>
      <c r="UV276" s="192"/>
      <c r="UW276" s="192"/>
      <c r="UX276" s="192"/>
      <c r="UY276" s="192"/>
      <c r="UZ276" s="192"/>
      <c r="VA276" s="192"/>
      <c r="VB276" s="192"/>
      <c r="VC276" s="192"/>
      <c r="VD276" s="192"/>
      <c r="VE276" s="192"/>
      <c r="VF276" s="192"/>
      <c r="VG276" s="192"/>
      <c r="VH276" s="192"/>
      <c r="VI276" s="192"/>
      <c r="VJ276" s="192"/>
      <c r="VK276" s="192"/>
      <c r="VL276" s="192"/>
      <c r="VM276" s="192"/>
      <c r="VN276" s="192"/>
      <c r="VO276" s="192"/>
      <c r="VP276" s="192"/>
      <c r="VQ276" s="192"/>
      <c r="VR276" s="192"/>
      <c r="VS276" s="192"/>
      <c r="VT276" s="192"/>
      <c r="VU276" s="192"/>
      <c r="VV276" s="192"/>
      <c r="VW276" s="192"/>
      <c r="VX276" s="192"/>
      <c r="VY276" s="192"/>
      <c r="VZ276" s="192"/>
      <c r="WA276" s="192"/>
      <c r="WB276" s="192"/>
      <c r="WC276" s="192"/>
      <c r="WD276" s="192"/>
      <c r="WE276" s="192"/>
      <c r="WF276" s="192"/>
      <c r="WG276" s="192"/>
      <c r="WH276" s="192"/>
      <c r="WI276" s="192"/>
      <c r="WJ276" s="192"/>
      <c r="WK276" s="192"/>
      <c r="WL276" s="192"/>
      <c r="WM276" s="192"/>
      <c r="WN276" s="192"/>
      <c r="WO276" s="192"/>
      <c r="WP276" s="192"/>
      <c r="WQ276" s="192"/>
      <c r="WR276" s="192"/>
      <c r="WS276" s="192"/>
      <c r="WT276" s="192"/>
      <c r="WU276" s="192"/>
      <c r="WV276" s="192"/>
      <c r="WW276" s="192"/>
      <c r="WX276" s="192"/>
      <c r="WY276" s="192"/>
      <c r="WZ276" s="192"/>
      <c r="XA276" s="192"/>
      <c r="XB276" s="192"/>
      <c r="XC276" s="192"/>
      <c r="XD276" s="192"/>
      <c r="XE276" s="192"/>
      <c r="XF276" s="192"/>
      <c r="XG276" s="192"/>
      <c r="XH276" s="192"/>
      <c r="XI276" s="192"/>
      <c r="XJ276" s="192"/>
      <c r="XK276" s="192"/>
      <c r="XL276" s="192"/>
      <c r="XM276" s="192"/>
      <c r="XN276" s="192"/>
      <c r="XO276" s="192"/>
      <c r="XP276" s="192"/>
      <c r="XQ276" s="192"/>
      <c r="XR276" s="192"/>
      <c r="XS276" s="192"/>
      <c r="XT276" s="192"/>
      <c r="XU276" s="192"/>
      <c r="XV276" s="192"/>
      <c r="XW276" s="192"/>
      <c r="XX276" s="192"/>
      <c r="XY276" s="192"/>
      <c r="XZ276" s="192"/>
      <c r="YA276" s="192"/>
      <c r="YB276" s="192"/>
      <c r="YC276" s="192"/>
      <c r="YD276" s="192"/>
      <c r="YE276" s="192"/>
      <c r="YF276" s="192"/>
      <c r="YG276" s="192"/>
      <c r="YH276" s="192"/>
      <c r="YI276" s="192"/>
      <c r="YJ276" s="192"/>
      <c r="YK276" s="192"/>
      <c r="YL276" s="192"/>
      <c r="YM276" s="192"/>
      <c r="YN276" s="192"/>
      <c r="YO276" s="192"/>
      <c r="YP276" s="192"/>
      <c r="YQ276" s="192"/>
      <c r="YR276" s="192"/>
      <c r="YS276" s="192"/>
      <c r="YT276" s="192"/>
      <c r="YU276" s="192"/>
      <c r="YV276" s="192"/>
      <c r="YW276" s="192"/>
      <c r="YX276" s="192"/>
      <c r="YY276" s="192"/>
      <c r="YZ276" s="192"/>
      <c r="ZA276" s="192"/>
      <c r="ZB276" s="192"/>
      <c r="ZC276" s="192"/>
      <c r="ZD276" s="192"/>
      <c r="ZE276" s="192"/>
      <c r="ZF276" s="192"/>
      <c r="ZG276" s="192"/>
      <c r="ZH276" s="192"/>
      <c r="ZI276" s="192"/>
      <c r="ZJ276" s="192"/>
      <c r="ZK276" s="192"/>
      <c r="ZL276" s="192"/>
      <c r="ZM276" s="192"/>
      <c r="ZN276" s="192"/>
      <c r="ZO276" s="192"/>
      <c r="ZP276" s="192"/>
      <c r="ZQ276" s="192"/>
      <c r="ZR276" s="192"/>
      <c r="ZS276" s="192"/>
      <c r="ZT276" s="192"/>
      <c r="ZU276" s="192"/>
      <c r="ZV276" s="192"/>
      <c r="ZW276" s="192"/>
      <c r="ZX276" s="192"/>
      <c r="ZY276" s="192"/>
      <c r="ZZ276" s="192"/>
      <c r="AAA276" s="192"/>
      <c r="AAB276" s="192"/>
      <c r="AAC276" s="192"/>
      <c r="AAD276" s="192"/>
      <c r="AAE276" s="192"/>
      <c r="AAF276" s="192"/>
      <c r="AAG276" s="192"/>
      <c r="AAH276" s="192"/>
      <c r="AAI276" s="192"/>
      <c r="AAJ276" s="192"/>
      <c r="AAK276" s="192"/>
      <c r="AAL276" s="192"/>
      <c r="AAM276" s="192"/>
      <c r="AAN276" s="192"/>
      <c r="AAO276" s="192"/>
      <c r="AAP276" s="192"/>
      <c r="AAQ276" s="192"/>
      <c r="AAR276" s="192"/>
      <c r="AAS276" s="192"/>
      <c r="AAT276" s="192"/>
      <c r="AAU276" s="192"/>
      <c r="AAV276" s="192"/>
      <c r="AAW276" s="192"/>
      <c r="AAX276" s="192"/>
      <c r="AAY276" s="192"/>
      <c r="AAZ276" s="192"/>
      <c r="ABA276" s="192"/>
      <c r="ABB276" s="192"/>
      <c r="ABC276" s="192"/>
      <c r="ABD276" s="192"/>
      <c r="ABE276" s="192"/>
      <c r="ABF276" s="192"/>
      <c r="ABG276" s="192"/>
      <c r="ABH276" s="192"/>
      <c r="ABI276" s="192"/>
      <c r="ABJ276" s="192"/>
      <c r="ABK276" s="192"/>
      <c r="ABL276" s="192"/>
      <c r="ABM276" s="192"/>
      <c r="ABN276" s="192"/>
      <c r="ABO276" s="192"/>
      <c r="ABP276" s="192"/>
      <c r="ABQ276" s="192"/>
      <c r="ABR276" s="192"/>
      <c r="ABS276" s="192"/>
      <c r="ABT276" s="192"/>
      <c r="ABU276" s="192"/>
      <c r="ABV276" s="192"/>
      <c r="ABW276" s="192"/>
      <c r="ABX276" s="192"/>
      <c r="ABY276" s="192"/>
      <c r="ABZ276" s="192"/>
      <c r="ACA276" s="192"/>
      <c r="ACB276" s="192"/>
      <c r="ACC276" s="192"/>
      <c r="ACD276" s="192"/>
      <c r="ACE276" s="192"/>
      <c r="ACF276" s="192"/>
      <c r="ACG276" s="192"/>
      <c r="ACH276" s="192"/>
      <c r="ACI276" s="192"/>
      <c r="ACJ276" s="192"/>
      <c r="ACK276" s="192"/>
      <c r="ACL276" s="192"/>
      <c r="ACM276" s="192"/>
      <c r="ACN276" s="192"/>
      <c r="ACO276" s="192"/>
      <c r="ACP276" s="192"/>
      <c r="ACQ276" s="192"/>
      <c r="ACR276" s="192"/>
      <c r="ACS276" s="192"/>
      <c r="ACT276" s="192"/>
      <c r="ACU276" s="192"/>
      <c r="ACV276" s="192"/>
      <c r="ACW276" s="192"/>
      <c r="ACX276" s="192"/>
      <c r="ACY276" s="192"/>
      <c r="ACZ276" s="192"/>
      <c r="ADA276" s="192"/>
      <c r="ADB276" s="192"/>
      <c r="ADC276" s="192"/>
      <c r="ADD276" s="192"/>
      <c r="ADE276" s="192"/>
      <c r="ADF276" s="192"/>
      <c r="ADG276" s="192"/>
      <c r="ADH276" s="192"/>
      <c r="ADI276" s="192"/>
      <c r="ADJ276" s="192"/>
      <c r="ADK276" s="192"/>
      <c r="ADL276" s="192"/>
      <c r="ADM276" s="192"/>
      <c r="ADN276" s="192"/>
      <c r="ADO276" s="192"/>
      <c r="ADP276" s="192"/>
      <c r="ADQ276" s="192"/>
      <c r="ADR276" s="192"/>
      <c r="ADS276" s="192"/>
      <c r="ADT276" s="192"/>
      <c r="ADU276" s="192"/>
      <c r="ADV276" s="192"/>
      <c r="ADW276" s="192"/>
      <c r="ADX276" s="192"/>
      <c r="ADY276" s="192"/>
      <c r="ADZ276" s="192"/>
      <c r="AEA276" s="192"/>
      <c r="AEB276" s="192"/>
      <c r="AEC276" s="192"/>
      <c r="AED276" s="192"/>
      <c r="AEE276" s="192"/>
      <c r="AEF276" s="192"/>
      <c r="AEG276" s="192"/>
      <c r="AEH276" s="192"/>
      <c r="AEI276" s="192"/>
      <c r="AEJ276" s="192"/>
      <c r="AEK276" s="192"/>
      <c r="AEL276" s="192"/>
      <c r="AEM276" s="192"/>
      <c r="AEN276" s="192"/>
      <c r="AEO276" s="192"/>
      <c r="AEP276" s="192"/>
      <c r="AEQ276" s="192"/>
      <c r="AER276" s="192"/>
      <c r="AES276" s="192"/>
      <c r="AET276" s="192"/>
      <c r="AEU276" s="192"/>
      <c r="AEV276" s="192"/>
      <c r="AEW276" s="192"/>
      <c r="AEX276" s="192"/>
      <c r="AEY276" s="192"/>
      <c r="AEZ276" s="192"/>
      <c r="AFA276" s="192"/>
      <c r="AFB276" s="192"/>
      <c r="AFC276" s="192"/>
      <c r="AFD276" s="192"/>
      <c r="AFE276" s="192"/>
      <c r="AFF276" s="192"/>
      <c r="AFG276" s="192"/>
      <c r="AFH276" s="192"/>
      <c r="AFI276" s="192"/>
      <c r="AFJ276" s="192"/>
      <c r="AFK276" s="192"/>
      <c r="AFL276" s="192"/>
      <c r="AFM276" s="192"/>
      <c r="AFN276" s="192"/>
      <c r="AFO276" s="192"/>
      <c r="AFP276" s="192"/>
      <c r="AFQ276" s="192"/>
      <c r="AFR276" s="192"/>
      <c r="AFS276" s="192"/>
      <c r="AFT276" s="192"/>
      <c r="AFU276" s="192"/>
      <c r="AFV276" s="192"/>
      <c r="AFW276" s="192"/>
      <c r="AFX276" s="192"/>
      <c r="AFY276" s="192"/>
      <c r="AFZ276" s="192"/>
      <c r="AGA276" s="192"/>
      <c r="AGB276" s="192"/>
      <c r="AGC276" s="192"/>
      <c r="AGD276" s="192"/>
      <c r="AGE276" s="192"/>
      <c r="AGF276" s="192"/>
      <c r="AGG276" s="192"/>
      <c r="AGH276" s="192"/>
      <c r="AGI276" s="192"/>
      <c r="AGJ276" s="192"/>
      <c r="AGK276" s="192"/>
      <c r="AGL276" s="192"/>
      <c r="AGM276" s="192"/>
      <c r="AGN276" s="192"/>
      <c r="AGO276" s="192"/>
      <c r="AGP276" s="192"/>
      <c r="AGQ276" s="192"/>
      <c r="AGR276" s="192"/>
      <c r="AGS276" s="192"/>
      <c r="AGT276" s="192"/>
      <c r="AGU276" s="192"/>
      <c r="AGV276" s="192"/>
      <c r="AGW276" s="192"/>
      <c r="AGX276" s="192"/>
      <c r="AGY276" s="192"/>
      <c r="AGZ276" s="192"/>
      <c r="AHA276" s="192"/>
      <c r="AHB276" s="192"/>
      <c r="AHC276" s="192"/>
      <c r="AHD276" s="192"/>
      <c r="AHE276" s="192"/>
      <c r="AHF276" s="192"/>
      <c r="AHG276" s="192"/>
      <c r="AHH276" s="192"/>
      <c r="AHI276" s="192"/>
      <c r="AHJ276" s="192"/>
      <c r="AHK276" s="192"/>
      <c r="AHL276" s="192"/>
      <c r="AHM276" s="192"/>
      <c r="AHN276" s="192"/>
      <c r="AHO276" s="192"/>
      <c r="AHP276" s="192"/>
      <c r="AHQ276" s="192"/>
      <c r="AHR276" s="192"/>
      <c r="AHS276" s="192"/>
      <c r="AHT276" s="192"/>
      <c r="AHU276" s="192"/>
      <c r="AHV276" s="192"/>
      <c r="AHW276" s="192"/>
      <c r="AHX276" s="192"/>
      <c r="AHY276" s="192"/>
      <c r="AHZ276" s="192"/>
      <c r="AIA276" s="192"/>
      <c r="AIB276" s="192"/>
      <c r="AIC276" s="192"/>
      <c r="AID276" s="192"/>
      <c r="AIE276" s="192"/>
      <c r="AIF276" s="192"/>
      <c r="AIG276" s="192"/>
      <c r="AIH276" s="192"/>
      <c r="AII276" s="192"/>
      <c r="AIJ276" s="192"/>
      <c r="AIK276" s="192"/>
      <c r="AIL276" s="192"/>
      <c r="AIM276" s="192"/>
      <c r="AIN276" s="192"/>
      <c r="AIO276" s="192"/>
      <c r="AIP276" s="192"/>
      <c r="AIQ276" s="192"/>
      <c r="AIR276" s="192"/>
      <c r="AIS276" s="192"/>
      <c r="AIT276" s="192"/>
      <c r="AIU276" s="192"/>
      <c r="AIV276" s="192"/>
      <c r="AIW276" s="192"/>
      <c r="AIX276" s="192"/>
      <c r="AIY276" s="192"/>
      <c r="AIZ276" s="192"/>
      <c r="AJA276" s="192"/>
      <c r="AJB276" s="192"/>
      <c r="AJC276" s="192"/>
      <c r="AJD276" s="192"/>
      <c r="AJE276" s="192"/>
      <c r="AJF276" s="192"/>
      <c r="AJG276" s="192"/>
      <c r="AJH276" s="192"/>
      <c r="AJI276" s="192"/>
      <c r="AJJ276" s="192"/>
      <c r="AJK276" s="192"/>
      <c r="AJL276" s="192"/>
      <c r="AJM276" s="192"/>
      <c r="AJN276" s="192"/>
      <c r="AJO276" s="192"/>
      <c r="AJP276" s="192"/>
      <c r="AJQ276" s="192"/>
      <c r="AJR276" s="192"/>
      <c r="AJS276" s="192"/>
      <c r="AJT276" s="192"/>
      <c r="AJU276" s="192"/>
      <c r="AJV276" s="192"/>
      <c r="AJW276" s="192"/>
      <c r="AJX276" s="192"/>
      <c r="AJY276" s="192"/>
      <c r="AJZ276" s="192"/>
      <c r="AKA276" s="192"/>
      <c r="AKB276" s="192"/>
      <c r="AKC276" s="192"/>
      <c r="AKD276" s="192"/>
      <c r="AKE276" s="192"/>
      <c r="AKF276" s="192"/>
      <c r="AKG276" s="192"/>
      <c r="AKH276" s="192"/>
      <c r="AKI276" s="192"/>
      <c r="AKJ276" s="192"/>
      <c r="AKK276" s="192"/>
      <c r="AKL276" s="192"/>
      <c r="AKM276" s="192"/>
      <c r="AKN276" s="192"/>
      <c r="AKO276" s="192"/>
      <c r="AKP276" s="192"/>
      <c r="AKQ276" s="192"/>
      <c r="AKR276" s="192"/>
      <c r="AKS276" s="192"/>
      <c r="AKT276" s="192"/>
      <c r="AKU276" s="192"/>
      <c r="AKV276" s="192"/>
      <c r="AKW276" s="192"/>
      <c r="AKX276" s="192"/>
      <c r="AKY276" s="192"/>
      <c r="AKZ276" s="192"/>
      <c r="ALA276" s="192"/>
      <c r="ALB276" s="192"/>
      <c r="ALC276" s="192"/>
      <c r="ALD276" s="192"/>
      <c r="ALE276" s="192"/>
      <c r="ALF276" s="192"/>
      <c r="ALG276" s="192"/>
      <c r="ALH276" s="192"/>
      <c r="ALI276" s="192"/>
      <c r="ALJ276" s="192"/>
      <c r="ALK276" s="192"/>
      <c r="ALL276" s="192"/>
      <c r="ALM276" s="192"/>
      <c r="ALN276" s="192"/>
      <c r="ALO276" s="192"/>
      <c r="ALP276" s="192"/>
      <c r="ALQ276" s="192"/>
      <c r="ALR276" s="192"/>
      <c r="ALS276" s="192"/>
      <c r="ALT276" s="192"/>
      <c r="ALU276" s="192"/>
      <c r="ALV276" s="192"/>
      <c r="ALW276" s="192"/>
      <c r="ALX276" s="192"/>
      <c r="ALY276" s="192"/>
      <c r="ALZ276" s="192"/>
      <c r="AMA276" s="192"/>
      <c r="AMB276" s="192"/>
      <c r="AMC276" s="192"/>
      <c r="AMD276" s="192"/>
      <c r="AME276" s="192"/>
      <c r="AMF276" s="192"/>
      <c r="AMG276" s="192"/>
      <c r="AMH276" s="192"/>
      <c r="AMI276" s="192"/>
      <c r="AMJ276" s="192"/>
      <c r="AMK276" s="192"/>
      <c r="AML276" s="192"/>
      <c r="AMM276" s="192"/>
      <c r="AMN276" s="192"/>
      <c r="AMO276" s="192"/>
      <c r="AMP276" s="192"/>
      <c r="AMQ276" s="192"/>
      <c r="AMR276" s="192"/>
      <c r="AMS276" s="192"/>
      <c r="AMT276" s="192"/>
      <c r="AMU276" s="192"/>
      <c r="AMV276" s="192"/>
      <c r="AMW276" s="192"/>
      <c r="AMX276" s="192"/>
      <c r="AMY276" s="192"/>
      <c r="AMZ276" s="192"/>
      <c r="ANA276" s="192"/>
      <c r="ANB276" s="192"/>
      <c r="ANC276" s="192"/>
      <c r="AND276" s="192"/>
      <c r="ANE276" s="192"/>
      <c r="ANF276" s="192"/>
      <c r="ANG276" s="192"/>
      <c r="ANH276" s="192"/>
      <c r="ANI276" s="192"/>
      <c r="ANJ276" s="192"/>
      <c r="ANK276" s="192"/>
      <c r="ANL276" s="192"/>
      <c r="ANM276" s="192"/>
      <c r="ANN276" s="192"/>
      <c r="ANO276" s="192"/>
      <c r="ANP276" s="192"/>
      <c r="ANQ276" s="192"/>
      <c r="ANR276" s="192"/>
      <c r="ANS276" s="192"/>
      <c r="ANT276" s="192"/>
      <c r="ANU276" s="192"/>
      <c r="ANV276" s="192"/>
      <c r="ANW276" s="192"/>
      <c r="ANX276" s="192"/>
      <c r="ANY276" s="192"/>
      <c r="ANZ276" s="192"/>
      <c r="AOA276" s="192"/>
      <c r="AOB276" s="192"/>
      <c r="AOC276" s="192"/>
      <c r="AOD276" s="192"/>
      <c r="AOE276" s="192"/>
      <c r="AOF276" s="192"/>
      <c r="AOG276" s="192"/>
      <c r="AOH276" s="192"/>
      <c r="AOI276" s="192"/>
      <c r="AOJ276" s="192"/>
      <c r="AOK276" s="192"/>
      <c r="AOL276" s="192"/>
      <c r="AOM276" s="192"/>
      <c r="AON276" s="192"/>
      <c r="AOO276" s="192"/>
      <c r="AOP276" s="192"/>
      <c r="AOQ276" s="192"/>
      <c r="AOR276" s="192"/>
      <c r="AOS276" s="192"/>
      <c r="AOT276" s="192"/>
      <c r="AOU276" s="192"/>
      <c r="AOV276" s="192"/>
      <c r="AOW276" s="192"/>
      <c r="AOX276" s="192"/>
      <c r="AOY276" s="192"/>
      <c r="AOZ276" s="192"/>
      <c r="APA276" s="192"/>
      <c r="APB276" s="192"/>
      <c r="APC276" s="192"/>
      <c r="APD276" s="192"/>
      <c r="APE276" s="192"/>
      <c r="APF276" s="192"/>
      <c r="APG276" s="192"/>
      <c r="APH276" s="192"/>
      <c r="API276" s="192"/>
      <c r="APJ276" s="192"/>
      <c r="APK276" s="192"/>
      <c r="APL276" s="192"/>
      <c r="APM276" s="192"/>
      <c r="APN276" s="192"/>
      <c r="APO276" s="192"/>
      <c r="APP276" s="192"/>
      <c r="APQ276" s="192"/>
      <c r="APR276" s="192"/>
      <c r="APS276" s="192"/>
      <c r="APT276" s="192"/>
      <c r="APU276" s="192"/>
      <c r="APV276" s="192"/>
      <c r="APW276" s="192"/>
      <c r="APX276" s="192"/>
      <c r="APY276" s="192"/>
      <c r="APZ276" s="192"/>
      <c r="AQA276" s="192"/>
      <c r="AQB276" s="192"/>
      <c r="AQC276" s="192"/>
      <c r="AQD276" s="192"/>
      <c r="AQE276" s="192"/>
      <c r="AQF276" s="192"/>
      <c r="AQG276" s="192"/>
      <c r="AQH276" s="192"/>
      <c r="AQI276" s="192"/>
      <c r="AQJ276" s="192"/>
      <c r="AQK276" s="192"/>
      <c r="AQL276" s="192"/>
      <c r="AQM276" s="192"/>
      <c r="AQN276" s="192"/>
      <c r="AQO276" s="192"/>
      <c r="AQP276" s="192"/>
      <c r="AQQ276" s="192"/>
      <c r="AQR276" s="192"/>
      <c r="AQS276" s="192"/>
      <c r="AQT276" s="192"/>
      <c r="AQU276" s="192"/>
      <c r="AQV276" s="192"/>
      <c r="AQW276" s="192"/>
      <c r="AQX276" s="192"/>
      <c r="AQY276" s="192"/>
      <c r="AQZ276" s="192"/>
      <c r="ARA276" s="192"/>
      <c r="ARB276" s="192"/>
      <c r="ARC276" s="192"/>
      <c r="ARD276" s="192"/>
      <c r="ARE276" s="192"/>
      <c r="ARF276" s="192"/>
      <c r="ARG276" s="192"/>
      <c r="ARH276" s="192"/>
      <c r="ARI276" s="192"/>
      <c r="ARJ276" s="192"/>
      <c r="ARK276" s="192"/>
      <c r="ARL276" s="192"/>
      <c r="ARM276" s="192"/>
      <c r="ARN276" s="192"/>
      <c r="ARO276" s="192"/>
      <c r="ARP276" s="192"/>
      <c r="ARQ276" s="192"/>
      <c r="ARR276" s="192"/>
      <c r="ARS276" s="192"/>
      <c r="ART276" s="192"/>
      <c r="ARU276" s="192"/>
      <c r="ARV276" s="192"/>
      <c r="ARW276" s="192"/>
      <c r="ARX276" s="192"/>
      <c r="ARY276" s="192"/>
      <c r="ARZ276" s="192"/>
      <c r="ASA276" s="192"/>
      <c r="ASB276" s="192"/>
      <c r="ASC276" s="192"/>
      <c r="ASD276" s="192"/>
      <c r="ASE276" s="192"/>
      <c r="ASF276" s="192"/>
      <c r="ASG276" s="192"/>
      <c r="ASH276" s="192"/>
      <c r="ASI276" s="192"/>
      <c r="ASJ276" s="192"/>
      <c r="ASK276" s="192"/>
      <c r="ASL276" s="192"/>
      <c r="ASM276" s="192"/>
      <c r="ASN276" s="192"/>
      <c r="ASO276" s="192"/>
      <c r="ASP276" s="192"/>
      <c r="ASQ276" s="192"/>
      <c r="ASR276" s="192"/>
      <c r="ASS276" s="192"/>
      <c r="AST276" s="192"/>
      <c r="ASU276" s="192"/>
      <c r="ASV276" s="192"/>
      <c r="ASW276" s="192"/>
      <c r="ASX276" s="192"/>
      <c r="ASY276" s="192"/>
      <c r="ASZ276" s="192"/>
      <c r="ATA276" s="192"/>
      <c r="ATB276" s="192"/>
      <c r="ATC276" s="192"/>
      <c r="ATD276" s="192"/>
      <c r="ATE276" s="192"/>
      <c r="ATF276" s="192"/>
      <c r="ATG276" s="192"/>
      <c r="ATH276" s="192"/>
      <c r="ATI276" s="192"/>
      <c r="ATJ276" s="192"/>
      <c r="ATK276" s="192"/>
      <c r="ATL276" s="192"/>
      <c r="ATM276" s="192"/>
      <c r="ATN276" s="192"/>
      <c r="ATO276" s="192"/>
      <c r="ATP276" s="192"/>
      <c r="ATQ276" s="192"/>
      <c r="ATR276" s="192"/>
      <c r="ATS276" s="192"/>
      <c r="ATT276" s="192"/>
      <c r="ATU276" s="192"/>
      <c r="ATV276" s="192"/>
      <c r="ATW276" s="192"/>
      <c r="ATX276" s="192"/>
      <c r="ATY276" s="192"/>
      <c r="ATZ276" s="192"/>
      <c r="AUA276" s="192"/>
      <c r="AUB276" s="192"/>
      <c r="AUC276" s="192"/>
      <c r="AUD276" s="192"/>
      <c r="AUE276" s="192"/>
      <c r="AUF276" s="192"/>
      <c r="AUG276" s="192"/>
      <c r="AUH276" s="192"/>
      <c r="AUI276" s="192"/>
      <c r="AUJ276" s="192"/>
      <c r="AUK276" s="192"/>
      <c r="AUL276" s="192"/>
      <c r="AUM276" s="192"/>
      <c r="AUN276" s="192"/>
      <c r="AUO276" s="192"/>
      <c r="AUP276" s="192"/>
      <c r="AUQ276" s="192"/>
      <c r="AUR276" s="192"/>
      <c r="AUS276" s="192"/>
      <c r="AUT276" s="192"/>
      <c r="AUU276" s="192"/>
      <c r="AUV276" s="192"/>
      <c r="AUW276" s="192"/>
      <c r="AUX276" s="192"/>
      <c r="AUY276" s="192"/>
      <c r="AUZ276" s="192"/>
      <c r="AVA276" s="192"/>
      <c r="AVB276" s="192"/>
      <c r="AVC276" s="192"/>
      <c r="AVD276" s="192"/>
      <c r="AVE276" s="192"/>
      <c r="AVF276" s="192"/>
      <c r="AVG276" s="192"/>
      <c r="AVH276" s="192"/>
      <c r="AVI276" s="192"/>
      <c r="AVJ276" s="192"/>
      <c r="AVK276" s="192"/>
      <c r="AVL276" s="192"/>
      <c r="AVM276" s="192"/>
      <c r="AVN276" s="192"/>
      <c r="AVO276" s="192"/>
      <c r="AVP276" s="192"/>
      <c r="AVQ276" s="192"/>
      <c r="AVR276" s="192"/>
      <c r="AVS276" s="192"/>
      <c r="AVT276" s="192"/>
      <c r="AVU276" s="192"/>
      <c r="AVV276" s="192"/>
      <c r="AVW276" s="192"/>
      <c r="AVX276" s="192"/>
      <c r="AVY276" s="192"/>
      <c r="AVZ276" s="192"/>
      <c r="AWA276" s="192"/>
      <c r="AWB276" s="192"/>
      <c r="AWC276" s="192"/>
      <c r="AWD276" s="192"/>
      <c r="AWE276" s="192"/>
      <c r="AWF276" s="192"/>
      <c r="AWG276" s="192"/>
      <c r="AWH276" s="192"/>
      <c r="AWI276" s="192"/>
      <c r="AWJ276" s="192"/>
      <c r="AWK276" s="192"/>
      <c r="AWL276" s="192"/>
      <c r="AWM276" s="192"/>
      <c r="AWN276" s="192"/>
      <c r="AWO276" s="192"/>
      <c r="AWP276" s="192"/>
      <c r="AWQ276" s="192"/>
      <c r="AWR276" s="192"/>
      <c r="AWS276" s="192"/>
      <c r="AWT276" s="192"/>
      <c r="AWU276" s="192"/>
      <c r="AWV276" s="192"/>
      <c r="AWW276" s="192"/>
      <c r="AWX276" s="192"/>
      <c r="AWY276" s="192"/>
      <c r="AWZ276" s="192"/>
      <c r="AXA276" s="192"/>
      <c r="AXB276" s="192"/>
      <c r="AXC276" s="192"/>
      <c r="AXD276" s="192"/>
      <c r="AXE276" s="192"/>
      <c r="AXF276" s="192"/>
      <c r="AXG276" s="192"/>
      <c r="AXH276" s="192"/>
      <c r="AXI276" s="192"/>
      <c r="AXJ276" s="192"/>
      <c r="AXK276" s="192"/>
      <c r="AXL276" s="192"/>
      <c r="AXM276" s="192"/>
      <c r="AXN276" s="192"/>
      <c r="AXO276" s="192"/>
      <c r="AXP276" s="192"/>
      <c r="AXQ276" s="192"/>
      <c r="AXR276" s="192"/>
      <c r="AXS276" s="192"/>
      <c r="AXT276" s="192"/>
      <c r="AXU276" s="192"/>
      <c r="AXV276" s="192"/>
      <c r="AXW276" s="192"/>
      <c r="AXX276" s="192"/>
      <c r="AXY276" s="192"/>
      <c r="AXZ276" s="192"/>
      <c r="AYA276" s="192"/>
      <c r="AYB276" s="192"/>
      <c r="AYC276" s="192"/>
      <c r="AYD276" s="192"/>
      <c r="AYE276" s="192"/>
      <c r="AYF276" s="192"/>
      <c r="AYG276" s="192"/>
      <c r="AYH276" s="192"/>
      <c r="AYI276" s="192"/>
      <c r="AYJ276" s="192"/>
      <c r="AYK276" s="192"/>
      <c r="AYL276" s="192"/>
      <c r="AYM276" s="192"/>
      <c r="AYN276" s="192"/>
      <c r="AYO276" s="192"/>
      <c r="AYP276" s="192"/>
      <c r="AYQ276" s="192"/>
      <c r="AYR276" s="192"/>
      <c r="AYS276" s="192"/>
      <c r="AYT276" s="192"/>
      <c r="AYU276" s="192"/>
      <c r="AYV276" s="192"/>
      <c r="AYW276" s="192"/>
      <c r="AYX276" s="192"/>
      <c r="AYY276" s="192"/>
      <c r="AYZ276" s="192"/>
      <c r="AZA276" s="192"/>
      <c r="AZB276" s="192"/>
      <c r="AZC276" s="192"/>
      <c r="AZD276" s="192"/>
      <c r="AZE276" s="192"/>
      <c r="AZF276" s="192"/>
      <c r="AZG276" s="192"/>
      <c r="AZH276" s="192"/>
      <c r="AZI276" s="192"/>
      <c r="AZJ276" s="192"/>
      <c r="AZK276" s="192"/>
      <c r="AZL276" s="192"/>
      <c r="AZM276" s="192"/>
      <c r="AZN276" s="192"/>
      <c r="AZO276" s="192"/>
      <c r="AZP276" s="192"/>
      <c r="AZQ276" s="192"/>
      <c r="AZR276" s="192"/>
      <c r="AZS276" s="192"/>
      <c r="AZT276" s="192"/>
      <c r="AZU276" s="192"/>
      <c r="AZV276" s="192"/>
      <c r="AZW276" s="192"/>
      <c r="AZX276" s="192"/>
      <c r="AZY276" s="192"/>
      <c r="AZZ276" s="192"/>
      <c r="BAA276" s="192"/>
      <c r="BAB276" s="192"/>
      <c r="BAC276" s="192"/>
      <c r="BAD276" s="192"/>
      <c r="BAE276" s="192"/>
      <c r="BAF276" s="192"/>
      <c r="BAG276" s="192"/>
      <c r="BAH276" s="192"/>
      <c r="BAI276" s="192"/>
      <c r="BAJ276" s="192"/>
      <c r="BAK276" s="192"/>
      <c r="BAL276" s="192"/>
      <c r="BAM276" s="192"/>
      <c r="BAN276" s="192"/>
      <c r="BAO276" s="192"/>
      <c r="BAP276" s="192"/>
      <c r="BAQ276" s="192"/>
      <c r="BAR276" s="192"/>
      <c r="BAS276" s="192"/>
      <c r="BAT276" s="192"/>
      <c r="BAU276" s="192"/>
      <c r="BAV276" s="192"/>
      <c r="BAW276" s="192"/>
      <c r="BAX276" s="192"/>
      <c r="BAY276" s="192"/>
      <c r="BAZ276" s="192"/>
      <c r="BBA276" s="192"/>
      <c r="BBB276" s="192"/>
      <c r="BBC276" s="192"/>
      <c r="BBD276" s="192"/>
      <c r="BBE276" s="192"/>
      <c r="BBF276" s="192"/>
      <c r="BBG276" s="192"/>
      <c r="BBH276" s="192"/>
      <c r="BBI276" s="192"/>
      <c r="BBJ276" s="192"/>
      <c r="BBK276" s="192"/>
      <c r="BBL276" s="192"/>
      <c r="BBM276" s="192"/>
      <c r="BBN276" s="192"/>
      <c r="BBO276" s="192"/>
      <c r="BBP276" s="192"/>
      <c r="BBQ276" s="192"/>
      <c r="BBR276" s="192"/>
      <c r="BBS276" s="192"/>
      <c r="BBT276" s="192"/>
      <c r="BBU276" s="192"/>
      <c r="BBV276" s="192"/>
      <c r="BBW276" s="192"/>
      <c r="BBX276" s="192"/>
      <c r="BBY276" s="192"/>
      <c r="BBZ276" s="192"/>
      <c r="BCA276" s="192"/>
      <c r="BCB276" s="192"/>
      <c r="BCC276" s="192"/>
      <c r="BCD276" s="192"/>
      <c r="BCE276" s="192"/>
      <c r="BCF276" s="192"/>
      <c r="BCG276" s="192"/>
      <c r="BCH276" s="192"/>
      <c r="BCI276" s="192"/>
      <c r="BCJ276" s="192"/>
      <c r="BCK276" s="192"/>
      <c r="BCL276" s="192"/>
      <c r="BCM276" s="192"/>
      <c r="BCN276" s="192"/>
      <c r="BCO276" s="192"/>
      <c r="BCP276" s="192"/>
      <c r="BCQ276" s="192"/>
      <c r="BCR276" s="192"/>
      <c r="BCS276" s="192"/>
      <c r="BCT276" s="192"/>
      <c r="BCU276" s="192"/>
      <c r="BCV276" s="192"/>
      <c r="BCW276" s="192"/>
      <c r="BCX276" s="192"/>
      <c r="BCY276" s="192"/>
      <c r="BCZ276" s="192"/>
      <c r="BDA276" s="192"/>
      <c r="BDB276" s="192"/>
      <c r="BDC276" s="192"/>
      <c r="BDD276" s="192"/>
      <c r="BDE276" s="192"/>
      <c r="BDF276" s="192"/>
      <c r="BDG276" s="192"/>
      <c r="BDH276" s="192"/>
      <c r="BDI276" s="192"/>
      <c r="BDJ276" s="192"/>
      <c r="BDK276" s="192"/>
      <c r="BDL276" s="192"/>
      <c r="BDM276" s="192"/>
      <c r="BDN276" s="192"/>
      <c r="BDO276" s="192"/>
      <c r="BDP276" s="192"/>
      <c r="BDQ276" s="192"/>
      <c r="BDR276" s="192"/>
      <c r="BDS276" s="192"/>
      <c r="BDT276" s="192"/>
      <c r="BDU276" s="192"/>
      <c r="BDV276" s="192"/>
      <c r="BDW276" s="192"/>
      <c r="BDX276" s="192"/>
      <c r="BDY276" s="192"/>
      <c r="BDZ276" s="192"/>
      <c r="BEA276" s="192"/>
      <c r="BEB276" s="192"/>
      <c r="BEC276" s="192"/>
      <c r="BED276" s="192"/>
      <c r="BEE276" s="192"/>
      <c r="BEF276" s="192"/>
      <c r="BEG276" s="192"/>
      <c r="BEH276" s="192"/>
      <c r="BEI276" s="192"/>
      <c r="BEJ276" s="192"/>
      <c r="BEK276" s="192"/>
      <c r="BEL276" s="192"/>
      <c r="BEM276" s="192"/>
      <c r="BEN276" s="192"/>
      <c r="BEO276" s="192"/>
      <c r="BEP276" s="192"/>
      <c r="BEQ276" s="192"/>
      <c r="BER276" s="192"/>
      <c r="BES276" s="192"/>
      <c r="BET276" s="192"/>
      <c r="BEU276" s="192"/>
      <c r="BEV276" s="192"/>
      <c r="BEW276" s="192"/>
      <c r="BEX276" s="192"/>
      <c r="BEY276" s="192"/>
      <c r="BEZ276" s="192"/>
      <c r="BFA276" s="192"/>
      <c r="BFB276" s="192"/>
      <c r="BFC276" s="192"/>
      <c r="BFD276" s="192"/>
      <c r="BFE276" s="192"/>
      <c r="BFF276" s="192"/>
      <c r="BFG276" s="192"/>
      <c r="BFH276" s="192"/>
      <c r="BFI276" s="192"/>
      <c r="BFJ276" s="192"/>
      <c r="BFK276" s="192"/>
      <c r="BFL276" s="192"/>
      <c r="BFM276" s="192"/>
      <c r="BFN276" s="192"/>
      <c r="BFO276" s="192"/>
      <c r="BFP276" s="192"/>
      <c r="BFQ276" s="192"/>
      <c r="BFR276" s="192"/>
      <c r="BFS276" s="192"/>
      <c r="BFT276" s="192"/>
      <c r="BFU276" s="192"/>
      <c r="BFV276" s="192"/>
      <c r="BFW276" s="192"/>
      <c r="BFX276" s="192"/>
      <c r="BFY276" s="192"/>
      <c r="BFZ276" s="192"/>
      <c r="BGA276" s="192"/>
      <c r="BGB276" s="192"/>
      <c r="BGC276" s="192"/>
      <c r="BGD276" s="192"/>
      <c r="BGE276" s="192"/>
      <c r="BGF276" s="192"/>
      <c r="BGG276" s="192"/>
      <c r="BGH276" s="192"/>
      <c r="BGI276" s="192"/>
      <c r="BGJ276" s="192"/>
      <c r="BGK276" s="192"/>
      <c r="BGL276" s="192"/>
      <c r="BGM276" s="192"/>
      <c r="BGN276" s="192"/>
      <c r="BGO276" s="192"/>
      <c r="BGP276" s="192"/>
      <c r="BGQ276" s="192"/>
      <c r="BGR276" s="192"/>
      <c r="BGS276" s="192"/>
      <c r="BGT276" s="192"/>
      <c r="BGU276" s="192"/>
      <c r="BGV276" s="192"/>
      <c r="BGW276" s="192"/>
      <c r="BGX276" s="192"/>
      <c r="BGY276" s="192"/>
      <c r="BGZ276" s="192"/>
      <c r="BHA276" s="192"/>
      <c r="BHB276" s="192"/>
      <c r="BHC276" s="192"/>
      <c r="BHD276" s="192"/>
      <c r="BHE276" s="192"/>
      <c r="BHF276" s="192"/>
      <c r="BHG276" s="192"/>
      <c r="BHH276" s="192"/>
      <c r="BHI276" s="192"/>
      <c r="BHJ276" s="192"/>
      <c r="BHK276" s="192"/>
      <c r="BHL276" s="192"/>
      <c r="BHM276" s="192"/>
      <c r="BHN276" s="192"/>
      <c r="BHO276" s="192"/>
      <c r="BHP276" s="192"/>
      <c r="BHQ276" s="192"/>
      <c r="BHR276" s="192"/>
      <c r="BHS276" s="192"/>
      <c r="BHT276" s="192"/>
      <c r="BHU276" s="192"/>
      <c r="BHV276" s="192"/>
      <c r="BHW276" s="192"/>
      <c r="BHX276" s="192"/>
      <c r="BHY276" s="192"/>
      <c r="BHZ276" s="192"/>
      <c r="BIA276" s="192"/>
      <c r="BIB276" s="192"/>
      <c r="BIC276" s="192"/>
      <c r="BID276" s="192"/>
      <c r="BIE276" s="192"/>
      <c r="BIF276" s="192"/>
      <c r="BIG276" s="192"/>
      <c r="BIH276" s="192"/>
      <c r="BII276" s="192"/>
      <c r="BIJ276" s="192"/>
      <c r="BIK276" s="192"/>
      <c r="BIL276" s="192"/>
      <c r="BIM276" s="192"/>
      <c r="BIN276" s="192"/>
      <c r="BIO276" s="192"/>
      <c r="BIP276" s="192"/>
      <c r="BIQ276" s="192"/>
      <c r="BIR276" s="192"/>
      <c r="BIS276" s="192"/>
      <c r="BIT276" s="192"/>
      <c r="BIU276" s="192"/>
      <c r="BIV276" s="192"/>
      <c r="BIW276" s="192"/>
      <c r="BIX276" s="192"/>
      <c r="BIY276" s="192"/>
      <c r="BIZ276" s="192"/>
      <c r="BJA276" s="192"/>
      <c r="BJB276" s="192"/>
      <c r="BJC276" s="192"/>
      <c r="BJD276" s="192"/>
      <c r="BJE276" s="192"/>
      <c r="BJF276" s="192"/>
      <c r="BJG276" s="192"/>
      <c r="BJH276" s="192"/>
      <c r="BJI276" s="192"/>
      <c r="BJJ276" s="192"/>
      <c r="BJK276" s="192"/>
      <c r="BJL276" s="192"/>
      <c r="BJM276" s="192"/>
      <c r="BJN276" s="192"/>
      <c r="BJO276" s="192"/>
      <c r="BJP276" s="192"/>
      <c r="BJQ276" s="192"/>
      <c r="BJR276" s="192"/>
      <c r="BJS276" s="192"/>
      <c r="BJT276" s="192"/>
      <c r="BJU276" s="192"/>
      <c r="BJV276" s="192"/>
      <c r="BJW276" s="192"/>
      <c r="BJX276" s="192"/>
      <c r="BJY276" s="192"/>
      <c r="BJZ276" s="192"/>
      <c r="BKA276" s="192"/>
      <c r="BKB276" s="192"/>
      <c r="BKC276" s="192"/>
      <c r="BKD276" s="192"/>
      <c r="BKE276" s="192"/>
      <c r="BKF276" s="192"/>
      <c r="BKG276" s="192"/>
      <c r="BKH276" s="192"/>
      <c r="BKI276" s="192"/>
      <c r="BKJ276" s="192"/>
      <c r="BKK276" s="192"/>
      <c r="BKL276" s="192"/>
      <c r="BKM276" s="192"/>
      <c r="BKN276" s="192"/>
      <c r="BKO276" s="192"/>
      <c r="BKP276" s="192"/>
      <c r="BKQ276" s="192"/>
      <c r="BKR276" s="192"/>
      <c r="BKS276" s="192"/>
      <c r="BKT276" s="192"/>
      <c r="BKU276" s="192"/>
      <c r="BKV276" s="192"/>
      <c r="BKW276" s="192"/>
      <c r="BKX276" s="192"/>
      <c r="BKY276" s="192"/>
      <c r="BKZ276" s="192"/>
      <c r="BLA276" s="192"/>
      <c r="BLB276" s="192"/>
      <c r="BLC276" s="192"/>
      <c r="BLD276" s="192"/>
      <c r="BLE276" s="192"/>
      <c r="BLF276" s="192"/>
      <c r="BLG276" s="192"/>
      <c r="BLH276" s="192"/>
      <c r="BLI276" s="192"/>
      <c r="BLJ276" s="192"/>
      <c r="BLK276" s="192"/>
      <c r="BLL276" s="192"/>
      <c r="BLM276" s="192"/>
      <c r="BLN276" s="192"/>
      <c r="BLO276" s="192"/>
      <c r="BLP276" s="192"/>
      <c r="BLQ276" s="192"/>
      <c r="BLR276" s="192"/>
      <c r="BLS276" s="192"/>
      <c r="BLT276" s="192"/>
      <c r="BLU276" s="192"/>
      <c r="BLV276" s="192"/>
      <c r="BLW276" s="192"/>
      <c r="BLX276" s="192"/>
      <c r="BLY276" s="192"/>
      <c r="BLZ276" s="192"/>
      <c r="BMA276" s="192"/>
      <c r="BMB276" s="192"/>
      <c r="BMC276" s="192"/>
      <c r="BMD276" s="192"/>
      <c r="BME276" s="192"/>
      <c r="BMF276" s="192"/>
      <c r="BMG276" s="192"/>
      <c r="BMH276" s="192"/>
      <c r="BMI276" s="192"/>
      <c r="BMJ276" s="192"/>
      <c r="BMK276" s="192"/>
      <c r="BML276" s="192"/>
      <c r="BMM276" s="192"/>
      <c r="BMN276" s="192"/>
      <c r="BMO276" s="192"/>
      <c r="BMP276" s="192"/>
      <c r="BMQ276" s="192"/>
      <c r="BMR276" s="192"/>
      <c r="BMS276" s="192"/>
      <c r="BMT276" s="192"/>
      <c r="BMU276" s="192"/>
      <c r="BMV276" s="192"/>
      <c r="BMW276" s="192"/>
      <c r="BMX276" s="192"/>
      <c r="BMY276" s="192"/>
      <c r="BMZ276" s="192"/>
      <c r="BNA276" s="192"/>
      <c r="BNB276" s="192"/>
      <c r="BNC276" s="192"/>
      <c r="BND276" s="192"/>
      <c r="BNE276" s="192"/>
      <c r="BNF276" s="192"/>
      <c r="BNG276" s="192"/>
      <c r="BNH276" s="192"/>
      <c r="BNI276" s="192"/>
      <c r="BNJ276" s="192"/>
      <c r="BNK276" s="192"/>
      <c r="BNL276" s="192"/>
      <c r="BNM276" s="192"/>
      <c r="BNN276" s="192"/>
      <c r="BNO276" s="192"/>
      <c r="BNP276" s="192"/>
      <c r="BNQ276" s="192"/>
      <c r="BNR276" s="192"/>
      <c r="BNS276" s="192"/>
      <c r="BNT276" s="192"/>
      <c r="BNU276" s="192"/>
      <c r="BNV276" s="192"/>
      <c r="BNW276" s="192"/>
      <c r="BNX276" s="192"/>
      <c r="BNY276" s="192"/>
      <c r="BNZ276" s="192"/>
      <c r="BOA276" s="192"/>
      <c r="BOB276" s="192"/>
      <c r="BOC276" s="192"/>
      <c r="BOD276" s="192"/>
      <c r="BOE276" s="192"/>
      <c r="BOF276" s="192"/>
      <c r="BOG276" s="192"/>
      <c r="BOH276" s="192"/>
      <c r="BOI276" s="192"/>
      <c r="BOJ276" s="192"/>
      <c r="BOK276" s="192"/>
      <c r="BOL276" s="192"/>
      <c r="BOM276" s="192"/>
      <c r="BON276" s="192"/>
      <c r="BOO276" s="192"/>
      <c r="BOP276" s="192"/>
      <c r="BOQ276" s="192"/>
      <c r="BOR276" s="192"/>
      <c r="BOS276" s="192"/>
      <c r="BOT276" s="192"/>
      <c r="BOU276" s="192"/>
      <c r="BOV276" s="192"/>
      <c r="BOW276" s="192"/>
      <c r="BOX276" s="192"/>
      <c r="BOY276" s="192"/>
      <c r="BOZ276" s="192"/>
      <c r="BPA276" s="192"/>
      <c r="BPB276" s="192"/>
      <c r="BPC276" s="192"/>
      <c r="BPD276" s="192"/>
      <c r="BPE276" s="192"/>
      <c r="BPF276" s="192"/>
      <c r="BPG276" s="192"/>
      <c r="BPH276" s="192"/>
      <c r="BPI276" s="192"/>
      <c r="BPJ276" s="192"/>
      <c r="BPK276" s="192"/>
      <c r="BPL276" s="192"/>
      <c r="BPM276" s="192"/>
      <c r="BPN276" s="192"/>
      <c r="BPO276" s="192"/>
      <c r="BPP276" s="192"/>
      <c r="BPQ276" s="192"/>
      <c r="BPR276" s="192"/>
      <c r="BPS276" s="192"/>
      <c r="BPT276" s="192"/>
      <c r="BPU276" s="192"/>
      <c r="BPV276" s="192"/>
      <c r="BPW276" s="192"/>
      <c r="BPX276" s="192"/>
      <c r="BPY276" s="192"/>
      <c r="BPZ276" s="192"/>
      <c r="BQA276" s="192"/>
      <c r="BQB276" s="192"/>
      <c r="BQC276" s="192"/>
      <c r="BQD276" s="192"/>
      <c r="BQE276" s="192"/>
      <c r="BQF276" s="192"/>
      <c r="BQG276" s="192"/>
      <c r="BQH276" s="192"/>
      <c r="BQI276" s="192"/>
      <c r="BQJ276" s="192"/>
      <c r="BQK276" s="192"/>
      <c r="BQL276" s="192"/>
      <c r="BQM276" s="192"/>
      <c r="BQN276" s="192"/>
      <c r="BQO276" s="192"/>
      <c r="BQP276" s="192"/>
      <c r="BQQ276" s="192"/>
      <c r="BQR276" s="192"/>
      <c r="BQS276" s="192"/>
      <c r="BQT276" s="192"/>
      <c r="BQU276" s="192"/>
      <c r="BQV276" s="192"/>
      <c r="BQW276" s="192"/>
      <c r="BQX276" s="192"/>
      <c r="BQY276" s="192"/>
      <c r="BQZ276" s="192"/>
      <c r="BRA276" s="192"/>
      <c r="BRB276" s="192"/>
      <c r="BRC276" s="192"/>
      <c r="BRD276" s="192"/>
      <c r="BRE276" s="192"/>
      <c r="BRF276" s="192"/>
      <c r="BRG276" s="192"/>
      <c r="BRH276" s="192"/>
      <c r="BRI276" s="192"/>
      <c r="BRJ276" s="192"/>
      <c r="BRK276" s="192"/>
      <c r="BRL276" s="192"/>
      <c r="BRM276" s="192"/>
      <c r="BRN276" s="192"/>
      <c r="BRO276" s="192"/>
      <c r="BRP276" s="192"/>
      <c r="BRQ276" s="192"/>
      <c r="BRR276" s="192"/>
      <c r="BRS276" s="192"/>
      <c r="BRT276" s="192"/>
      <c r="BRU276" s="192"/>
      <c r="BRV276" s="192"/>
      <c r="BRW276" s="192"/>
      <c r="BRX276" s="192"/>
      <c r="BRY276" s="192"/>
      <c r="BRZ276" s="192"/>
      <c r="BSA276" s="192"/>
      <c r="BSB276" s="192"/>
      <c r="BSC276" s="192"/>
      <c r="BSD276" s="192"/>
      <c r="BSE276" s="192"/>
      <c r="BSF276" s="192"/>
      <c r="BSG276" s="192"/>
      <c r="BSH276" s="192"/>
      <c r="BSI276" s="192"/>
      <c r="BSJ276" s="192"/>
      <c r="BSK276" s="192"/>
      <c r="BSL276" s="192"/>
      <c r="BSM276" s="192"/>
      <c r="BSN276" s="192"/>
      <c r="BSO276" s="192"/>
      <c r="BSP276" s="192"/>
      <c r="BSQ276" s="192"/>
      <c r="BSR276" s="192"/>
      <c r="BSS276" s="192"/>
      <c r="BST276" s="192"/>
      <c r="BSU276" s="192"/>
      <c r="BSV276" s="192"/>
      <c r="BSW276" s="192"/>
      <c r="BSX276" s="192"/>
      <c r="BSY276" s="192"/>
      <c r="BSZ276" s="192"/>
      <c r="BTA276" s="192"/>
      <c r="BTB276" s="192"/>
      <c r="BTC276" s="192"/>
      <c r="BTD276" s="192"/>
      <c r="BTE276" s="192"/>
      <c r="BTF276" s="192"/>
      <c r="BTG276" s="192"/>
      <c r="BTH276" s="192"/>
      <c r="BTI276" s="192"/>
      <c r="BTJ276" s="192"/>
      <c r="BTK276" s="192"/>
      <c r="BTL276" s="192"/>
      <c r="BTM276" s="192"/>
      <c r="BTN276" s="192"/>
      <c r="BTO276" s="192"/>
      <c r="BTP276" s="192"/>
      <c r="BTQ276" s="192"/>
      <c r="BTR276" s="192"/>
      <c r="BTS276" s="192"/>
      <c r="BTT276" s="192"/>
      <c r="BTU276" s="192"/>
      <c r="BTV276" s="192"/>
      <c r="BTW276" s="192"/>
      <c r="BTX276" s="192"/>
      <c r="BTY276" s="192"/>
      <c r="BTZ276" s="192"/>
      <c r="BUA276" s="192"/>
      <c r="BUB276" s="192"/>
      <c r="BUC276" s="192"/>
      <c r="BUD276" s="192"/>
      <c r="BUE276" s="192"/>
      <c r="BUF276" s="192"/>
      <c r="BUG276" s="192"/>
      <c r="BUH276" s="192"/>
      <c r="BUI276" s="192"/>
      <c r="BUJ276" s="192"/>
      <c r="BUK276" s="192"/>
      <c r="BUL276" s="192"/>
      <c r="BUM276" s="192"/>
      <c r="BUN276" s="192"/>
      <c r="BUO276" s="192"/>
      <c r="BUP276" s="192"/>
      <c r="BUQ276" s="192"/>
      <c r="BUR276" s="192"/>
      <c r="BUS276" s="192"/>
      <c r="BUT276" s="192"/>
      <c r="BUU276" s="192"/>
      <c r="BUV276" s="192"/>
      <c r="BUW276" s="192"/>
      <c r="BUX276" s="192"/>
      <c r="BUY276" s="192"/>
      <c r="BUZ276" s="192"/>
      <c r="BVA276" s="192"/>
      <c r="BVB276" s="192"/>
      <c r="BVC276" s="192"/>
      <c r="BVD276" s="192"/>
      <c r="BVE276" s="192"/>
      <c r="BVF276" s="192"/>
      <c r="BVG276" s="192"/>
      <c r="BVH276" s="192"/>
      <c r="BVI276" s="192"/>
      <c r="BVJ276" s="192"/>
      <c r="BVK276" s="192"/>
      <c r="BVL276" s="192"/>
      <c r="BVM276" s="192"/>
      <c r="BVN276" s="192"/>
      <c r="BVO276" s="192"/>
      <c r="BVP276" s="192"/>
      <c r="BVQ276" s="192"/>
      <c r="BVR276" s="192"/>
      <c r="BVS276" s="192"/>
      <c r="BVT276" s="192"/>
      <c r="BVU276" s="192"/>
      <c r="BVV276" s="192"/>
      <c r="BVW276" s="192"/>
      <c r="BVX276" s="192"/>
      <c r="BVY276" s="192"/>
      <c r="BVZ276" s="192"/>
      <c r="BWA276" s="192"/>
      <c r="BWB276" s="192"/>
      <c r="BWC276" s="192"/>
      <c r="BWD276" s="192"/>
      <c r="BWE276" s="192"/>
      <c r="BWF276" s="192"/>
      <c r="BWG276" s="192"/>
      <c r="BWH276" s="192"/>
      <c r="BWI276" s="192"/>
      <c r="BWJ276" s="192"/>
      <c r="BWK276" s="192"/>
      <c r="BWL276" s="192"/>
      <c r="BWM276" s="192"/>
      <c r="BWN276" s="192"/>
      <c r="BWO276" s="192"/>
      <c r="BWP276" s="192"/>
      <c r="BWQ276" s="192"/>
      <c r="BWR276" s="192"/>
      <c r="BWS276" s="192"/>
      <c r="BWT276" s="192"/>
      <c r="BWU276" s="192"/>
      <c r="BWV276" s="192"/>
      <c r="BWW276" s="192"/>
      <c r="BWX276" s="192"/>
      <c r="BWY276" s="192"/>
      <c r="BWZ276" s="192"/>
      <c r="BXA276" s="192"/>
      <c r="BXB276" s="192"/>
      <c r="BXC276" s="192"/>
      <c r="BXD276" s="192"/>
      <c r="BXE276" s="192"/>
      <c r="BXF276" s="192"/>
      <c r="BXG276" s="192"/>
      <c r="BXH276" s="192"/>
      <c r="BXI276" s="192"/>
      <c r="BXJ276" s="192"/>
      <c r="BXK276" s="192"/>
      <c r="BXL276" s="192"/>
      <c r="BXM276" s="192"/>
      <c r="BXN276" s="192"/>
      <c r="BXO276" s="192"/>
      <c r="BXP276" s="192"/>
      <c r="BXQ276" s="192"/>
      <c r="BXR276" s="192"/>
      <c r="BXS276" s="192"/>
      <c r="BXT276" s="192"/>
      <c r="BXU276" s="192"/>
      <c r="BXV276" s="192"/>
      <c r="BXW276" s="192"/>
      <c r="BXX276" s="192"/>
      <c r="BXY276" s="192"/>
      <c r="BXZ276" s="192"/>
      <c r="BYA276" s="192"/>
      <c r="BYB276" s="192"/>
      <c r="BYC276" s="192"/>
      <c r="BYD276" s="192"/>
      <c r="BYE276" s="192"/>
      <c r="BYF276" s="192"/>
      <c r="BYG276" s="192"/>
      <c r="BYH276" s="192"/>
      <c r="BYI276" s="192"/>
      <c r="BYJ276" s="192"/>
      <c r="BYK276" s="192"/>
      <c r="BYL276" s="192"/>
      <c r="BYM276" s="192"/>
      <c r="BYN276" s="192"/>
      <c r="BYO276" s="192"/>
      <c r="BYP276" s="192"/>
      <c r="BYQ276" s="192"/>
      <c r="BYR276" s="192"/>
      <c r="BYS276" s="192"/>
      <c r="BYT276" s="192"/>
      <c r="BYU276" s="192"/>
      <c r="BYV276" s="192"/>
      <c r="BYW276" s="192"/>
      <c r="BYX276" s="192"/>
      <c r="BYY276" s="192"/>
      <c r="BYZ276" s="192"/>
      <c r="BZA276" s="192"/>
      <c r="BZB276" s="192"/>
      <c r="BZC276" s="192"/>
      <c r="BZD276" s="192"/>
      <c r="BZE276" s="192"/>
      <c r="BZF276" s="192"/>
      <c r="BZG276" s="192"/>
      <c r="BZH276" s="192"/>
      <c r="BZI276" s="192"/>
      <c r="BZJ276" s="192"/>
      <c r="BZK276" s="192"/>
      <c r="BZL276" s="192"/>
      <c r="BZM276" s="192"/>
      <c r="BZN276" s="192"/>
      <c r="BZO276" s="192"/>
      <c r="BZP276" s="192"/>
      <c r="BZQ276" s="192"/>
      <c r="BZR276" s="192"/>
      <c r="BZS276" s="192"/>
      <c r="BZT276" s="192"/>
      <c r="BZU276" s="192"/>
      <c r="BZV276" s="192"/>
      <c r="BZW276" s="192"/>
      <c r="BZX276" s="192"/>
      <c r="BZY276" s="192"/>
      <c r="BZZ276" s="192"/>
      <c r="CAA276" s="192"/>
      <c r="CAB276" s="192"/>
      <c r="CAC276" s="192"/>
      <c r="CAD276" s="192"/>
      <c r="CAE276" s="192"/>
      <c r="CAF276" s="192"/>
      <c r="CAG276" s="192"/>
      <c r="CAH276" s="192"/>
      <c r="CAI276" s="192"/>
      <c r="CAJ276" s="192"/>
      <c r="CAK276" s="192"/>
      <c r="CAL276" s="192"/>
      <c r="CAM276" s="192"/>
      <c r="CAN276" s="192"/>
      <c r="CAO276" s="192"/>
      <c r="CAP276" s="192"/>
      <c r="CAQ276" s="192"/>
      <c r="CAR276" s="192"/>
      <c r="CAS276" s="192"/>
      <c r="CAT276" s="192"/>
      <c r="CAU276" s="192"/>
      <c r="CAV276" s="192"/>
      <c r="CAW276" s="192"/>
      <c r="CAX276" s="192"/>
      <c r="CAY276" s="192"/>
      <c r="CAZ276" s="192"/>
      <c r="CBA276" s="192"/>
      <c r="CBB276" s="192"/>
      <c r="CBC276" s="192"/>
      <c r="CBD276" s="192"/>
      <c r="CBE276" s="192"/>
      <c r="CBF276" s="192"/>
      <c r="CBG276" s="192"/>
      <c r="CBH276" s="192"/>
      <c r="CBI276" s="192"/>
      <c r="CBJ276" s="192"/>
      <c r="CBK276" s="192"/>
      <c r="CBL276" s="192"/>
      <c r="CBM276" s="192"/>
      <c r="CBN276" s="192"/>
      <c r="CBO276" s="192"/>
      <c r="CBP276" s="192"/>
      <c r="CBQ276" s="192"/>
      <c r="CBR276" s="192"/>
      <c r="CBS276" s="192"/>
      <c r="CBT276" s="192"/>
      <c r="CBU276" s="192"/>
      <c r="CBV276" s="192"/>
      <c r="CBW276" s="192"/>
      <c r="CBX276" s="192"/>
      <c r="CBY276" s="192"/>
      <c r="CBZ276" s="192"/>
      <c r="CCA276" s="192"/>
      <c r="CCB276" s="192"/>
      <c r="CCC276" s="192"/>
      <c r="CCD276" s="192"/>
      <c r="CCE276" s="192"/>
      <c r="CCF276" s="192"/>
      <c r="CCG276" s="192"/>
      <c r="CCH276" s="192"/>
      <c r="CCI276" s="192"/>
      <c r="CCJ276" s="192"/>
      <c r="CCK276" s="192"/>
      <c r="CCL276" s="192"/>
      <c r="CCM276" s="192"/>
      <c r="CCN276" s="192"/>
      <c r="CCO276" s="192"/>
      <c r="CCP276" s="192"/>
      <c r="CCQ276" s="192"/>
      <c r="CCR276" s="192"/>
      <c r="CCS276" s="192"/>
      <c r="CCT276" s="192"/>
      <c r="CCU276" s="192"/>
      <c r="CCV276" s="192"/>
      <c r="CCW276" s="192"/>
      <c r="CCX276" s="192"/>
      <c r="CCY276" s="192"/>
      <c r="CCZ276" s="192"/>
      <c r="CDA276" s="192"/>
      <c r="CDB276" s="192"/>
      <c r="CDC276" s="192"/>
      <c r="CDD276" s="192"/>
      <c r="CDE276" s="192"/>
      <c r="CDF276" s="192"/>
      <c r="CDG276" s="192"/>
      <c r="CDH276" s="192"/>
      <c r="CDI276" s="192"/>
      <c r="CDJ276" s="192"/>
      <c r="CDK276" s="192"/>
      <c r="CDL276" s="192"/>
      <c r="CDM276" s="192"/>
      <c r="CDN276" s="192"/>
      <c r="CDO276" s="192"/>
      <c r="CDP276" s="192"/>
      <c r="CDQ276" s="192"/>
      <c r="CDR276" s="192"/>
      <c r="CDS276" s="192"/>
      <c r="CDT276" s="192"/>
      <c r="CDU276" s="192"/>
      <c r="CDV276" s="192"/>
      <c r="CDW276" s="192"/>
      <c r="CDX276" s="192"/>
      <c r="CDY276" s="192"/>
      <c r="CDZ276" s="192"/>
      <c r="CEA276" s="192"/>
      <c r="CEB276" s="192"/>
      <c r="CEC276" s="192"/>
      <c r="CED276" s="192"/>
      <c r="CEE276" s="192"/>
      <c r="CEF276" s="192"/>
      <c r="CEG276" s="192"/>
      <c r="CEH276" s="192"/>
      <c r="CEI276" s="192"/>
      <c r="CEJ276" s="192"/>
      <c r="CEK276" s="192"/>
      <c r="CEL276" s="192"/>
      <c r="CEM276" s="192"/>
      <c r="CEN276" s="192"/>
      <c r="CEO276" s="192"/>
      <c r="CEP276" s="192"/>
      <c r="CEQ276" s="192"/>
      <c r="CER276" s="192"/>
      <c r="CES276" s="192"/>
      <c r="CET276" s="192"/>
      <c r="CEU276" s="192"/>
      <c r="CEV276" s="192"/>
      <c r="CEW276" s="192"/>
      <c r="CEX276" s="192"/>
      <c r="CEY276" s="192"/>
      <c r="CEZ276" s="192"/>
      <c r="CFA276" s="192"/>
      <c r="CFB276" s="192"/>
      <c r="CFC276" s="192"/>
      <c r="CFD276" s="192"/>
      <c r="CFE276" s="192"/>
      <c r="CFF276" s="192"/>
      <c r="CFG276" s="192"/>
      <c r="CFH276" s="192"/>
      <c r="CFI276" s="192"/>
      <c r="CFJ276" s="192"/>
      <c r="CFK276" s="192"/>
      <c r="CFL276" s="192"/>
      <c r="CFM276" s="192"/>
      <c r="CFN276" s="192"/>
      <c r="CFO276" s="192"/>
      <c r="CFP276" s="192"/>
      <c r="CFQ276" s="192"/>
      <c r="CFR276" s="192"/>
      <c r="CFS276" s="192"/>
      <c r="CFT276" s="192"/>
      <c r="CFU276" s="192"/>
      <c r="CFV276" s="192"/>
      <c r="CFW276" s="192"/>
      <c r="CFX276" s="192"/>
      <c r="CFY276" s="192"/>
      <c r="CFZ276" s="192"/>
      <c r="CGA276" s="192"/>
      <c r="CGB276" s="192"/>
      <c r="CGC276" s="192"/>
      <c r="CGD276" s="192"/>
      <c r="CGE276" s="192"/>
      <c r="CGF276" s="192"/>
      <c r="CGG276" s="192"/>
      <c r="CGH276" s="192"/>
      <c r="CGI276" s="192"/>
      <c r="CGJ276" s="192"/>
      <c r="CGK276" s="192"/>
      <c r="CGL276" s="192"/>
      <c r="CGM276" s="192"/>
      <c r="CGN276" s="192"/>
      <c r="CGO276" s="192"/>
      <c r="CGP276" s="192"/>
      <c r="CGQ276" s="192"/>
      <c r="CGR276" s="192"/>
      <c r="CGS276" s="192"/>
      <c r="CGT276" s="192"/>
      <c r="CGU276" s="192"/>
      <c r="CGV276" s="192"/>
      <c r="CGW276" s="192"/>
      <c r="CGX276" s="192"/>
      <c r="CGY276" s="192"/>
      <c r="CGZ276" s="192"/>
      <c r="CHA276" s="192"/>
      <c r="CHB276" s="192"/>
      <c r="CHC276" s="192"/>
      <c r="CHD276" s="192"/>
      <c r="CHE276" s="192"/>
      <c r="CHF276" s="192"/>
      <c r="CHG276" s="192"/>
      <c r="CHH276" s="192"/>
      <c r="CHI276" s="192"/>
      <c r="CHJ276" s="192"/>
      <c r="CHK276" s="192"/>
      <c r="CHL276" s="192"/>
      <c r="CHM276" s="192"/>
      <c r="CHN276" s="192"/>
      <c r="CHO276" s="192"/>
      <c r="CHP276" s="192"/>
      <c r="CHQ276" s="192"/>
      <c r="CHR276" s="192"/>
      <c r="CHS276" s="192"/>
      <c r="CHT276" s="192"/>
      <c r="CHU276" s="192"/>
      <c r="CHV276" s="192"/>
      <c r="CHW276" s="192"/>
      <c r="CHX276" s="192"/>
      <c r="CHY276" s="192"/>
      <c r="CHZ276" s="192"/>
      <c r="CIA276" s="192"/>
      <c r="CIB276" s="192"/>
      <c r="CIC276" s="192"/>
      <c r="CID276" s="192"/>
      <c r="CIE276" s="192"/>
      <c r="CIF276" s="192"/>
      <c r="CIG276" s="192"/>
      <c r="CIH276" s="192"/>
      <c r="CII276" s="192"/>
      <c r="CIJ276" s="192"/>
      <c r="CIK276" s="192"/>
      <c r="CIL276" s="192"/>
      <c r="CIM276" s="192"/>
      <c r="CIN276" s="192"/>
      <c r="CIO276" s="192"/>
      <c r="CIP276" s="192"/>
      <c r="CIQ276" s="192"/>
      <c r="CIR276" s="192"/>
      <c r="CIS276" s="192"/>
      <c r="CIT276" s="192"/>
      <c r="CIU276" s="192"/>
      <c r="CIV276" s="192"/>
      <c r="CIW276" s="192"/>
      <c r="CIX276" s="192"/>
      <c r="CIY276" s="192"/>
      <c r="CIZ276" s="192"/>
      <c r="CJA276" s="192"/>
      <c r="CJB276" s="192"/>
      <c r="CJC276" s="192"/>
      <c r="CJD276" s="192"/>
      <c r="CJE276" s="192"/>
      <c r="CJF276" s="192"/>
      <c r="CJG276" s="192"/>
      <c r="CJH276" s="192"/>
      <c r="CJI276" s="192"/>
      <c r="CJJ276" s="192"/>
      <c r="CJK276" s="192"/>
      <c r="CJL276" s="192"/>
      <c r="CJM276" s="192"/>
      <c r="CJN276" s="192"/>
      <c r="CJO276" s="192"/>
      <c r="CJP276" s="192"/>
      <c r="CJQ276" s="192"/>
      <c r="CJR276" s="192"/>
      <c r="CJS276" s="192"/>
      <c r="CJT276" s="192"/>
      <c r="CJU276" s="192"/>
      <c r="CJV276" s="192"/>
      <c r="CJW276" s="192"/>
      <c r="CJX276" s="192"/>
      <c r="CJY276" s="192"/>
      <c r="CJZ276" s="192"/>
      <c r="CKA276" s="192"/>
      <c r="CKB276" s="192"/>
      <c r="CKC276" s="192"/>
      <c r="CKD276" s="192"/>
      <c r="CKE276" s="192"/>
      <c r="CKF276" s="192"/>
      <c r="CKG276" s="192"/>
      <c r="CKH276" s="192"/>
      <c r="CKI276" s="192"/>
      <c r="CKJ276" s="192"/>
      <c r="CKK276" s="192"/>
      <c r="CKL276" s="192"/>
      <c r="CKM276" s="192"/>
      <c r="CKN276" s="192"/>
      <c r="CKO276" s="192"/>
      <c r="CKP276" s="192"/>
      <c r="CKQ276" s="192"/>
      <c r="CKR276" s="192"/>
      <c r="CKS276" s="192"/>
      <c r="CKT276" s="192"/>
      <c r="CKU276" s="192"/>
      <c r="CKV276" s="192"/>
      <c r="CKW276" s="192"/>
      <c r="CKX276" s="192"/>
      <c r="CKY276" s="192"/>
      <c r="CKZ276" s="192"/>
      <c r="CLA276" s="192"/>
      <c r="CLB276" s="192"/>
      <c r="CLC276" s="192"/>
      <c r="CLD276" s="192"/>
      <c r="CLE276" s="192"/>
      <c r="CLF276" s="192"/>
      <c r="CLG276" s="192"/>
      <c r="CLH276" s="192"/>
      <c r="CLI276" s="192"/>
      <c r="CLJ276" s="192"/>
      <c r="CLK276" s="192"/>
      <c r="CLL276" s="192"/>
      <c r="CLM276" s="192"/>
      <c r="CLN276" s="192"/>
      <c r="CLO276" s="192"/>
      <c r="CLP276" s="192"/>
      <c r="CLQ276" s="192"/>
      <c r="CLR276" s="192"/>
      <c r="CLS276" s="192"/>
      <c r="CLT276" s="192"/>
      <c r="CLU276" s="192"/>
      <c r="CLV276" s="192"/>
      <c r="CLW276" s="192"/>
      <c r="CLX276" s="192"/>
      <c r="CLY276" s="192"/>
      <c r="CLZ276" s="192"/>
      <c r="CMA276" s="192"/>
      <c r="CMB276" s="192"/>
      <c r="CMC276" s="192"/>
      <c r="CMD276" s="192"/>
      <c r="CME276" s="192"/>
      <c r="CMF276" s="192"/>
      <c r="CMG276" s="192"/>
      <c r="CMH276" s="192"/>
      <c r="CMI276" s="192"/>
      <c r="CMJ276" s="192"/>
      <c r="CMK276" s="192"/>
      <c r="CML276" s="192"/>
      <c r="CMM276" s="192"/>
      <c r="CMN276" s="192"/>
      <c r="CMO276" s="192"/>
      <c r="CMP276" s="192"/>
      <c r="CMQ276" s="192"/>
      <c r="CMR276" s="192"/>
      <c r="CMS276" s="192"/>
      <c r="CMT276" s="192"/>
      <c r="CMU276" s="192"/>
      <c r="CMV276" s="192"/>
      <c r="CMW276" s="192"/>
      <c r="CMX276" s="192"/>
      <c r="CMY276" s="192"/>
      <c r="CMZ276" s="192"/>
      <c r="CNA276" s="192"/>
      <c r="CNB276" s="192"/>
      <c r="CNC276" s="192"/>
      <c r="CND276" s="192"/>
      <c r="CNE276" s="192"/>
      <c r="CNF276" s="192"/>
      <c r="CNG276" s="192"/>
      <c r="CNH276" s="192"/>
      <c r="CNI276" s="192"/>
      <c r="CNJ276" s="192"/>
      <c r="CNK276" s="192"/>
      <c r="CNL276" s="192"/>
      <c r="CNM276" s="192"/>
      <c r="CNN276" s="192"/>
      <c r="CNO276" s="192"/>
      <c r="CNP276" s="192"/>
      <c r="CNQ276" s="192"/>
      <c r="CNR276" s="192"/>
      <c r="CNS276" s="192"/>
      <c r="CNT276" s="192"/>
      <c r="CNU276" s="192"/>
      <c r="CNV276" s="192"/>
      <c r="CNW276" s="192"/>
      <c r="CNX276" s="192"/>
      <c r="CNY276" s="192"/>
      <c r="CNZ276" s="192"/>
      <c r="COA276" s="192"/>
      <c r="COB276" s="192"/>
      <c r="COC276" s="192"/>
      <c r="COD276" s="192"/>
      <c r="COE276" s="192"/>
      <c r="COF276" s="192"/>
      <c r="COG276" s="192"/>
      <c r="COH276" s="192"/>
      <c r="COI276" s="192"/>
      <c r="COJ276" s="192"/>
      <c r="COK276" s="192"/>
      <c r="COL276" s="192"/>
      <c r="COM276" s="192"/>
      <c r="CON276" s="192"/>
      <c r="COO276" s="192"/>
      <c r="COP276" s="192"/>
      <c r="COQ276" s="192"/>
      <c r="COR276" s="192"/>
      <c r="COS276" s="192"/>
      <c r="COT276" s="192"/>
      <c r="COU276" s="192"/>
      <c r="COV276" s="192"/>
      <c r="COW276" s="192"/>
      <c r="COX276" s="192"/>
      <c r="COY276" s="192"/>
      <c r="COZ276" s="192"/>
      <c r="CPA276" s="192"/>
      <c r="CPB276" s="192"/>
      <c r="CPC276" s="192"/>
      <c r="CPD276" s="192"/>
      <c r="CPE276" s="192"/>
      <c r="CPF276" s="192"/>
      <c r="CPG276" s="192"/>
      <c r="CPH276" s="192"/>
      <c r="CPI276" s="192"/>
      <c r="CPJ276" s="192"/>
      <c r="CPK276" s="192"/>
      <c r="CPL276" s="192"/>
      <c r="CPM276" s="192"/>
      <c r="CPN276" s="192"/>
      <c r="CPO276" s="192"/>
      <c r="CPP276" s="192"/>
      <c r="CPQ276" s="192"/>
      <c r="CPR276" s="192"/>
      <c r="CPS276" s="192"/>
      <c r="CPT276" s="192"/>
      <c r="CPU276" s="192"/>
      <c r="CPV276" s="192"/>
      <c r="CPW276" s="192"/>
      <c r="CPX276" s="192"/>
      <c r="CPY276" s="192"/>
      <c r="CPZ276" s="192"/>
      <c r="CQA276" s="192"/>
      <c r="CQB276" s="192"/>
      <c r="CQC276" s="192"/>
      <c r="CQD276" s="192"/>
      <c r="CQE276" s="192"/>
      <c r="CQF276" s="192"/>
      <c r="CQG276" s="192"/>
      <c r="CQH276" s="192"/>
      <c r="CQI276" s="192"/>
      <c r="CQJ276" s="192"/>
      <c r="CQK276" s="192"/>
      <c r="CQL276" s="192"/>
      <c r="CQM276" s="192"/>
      <c r="CQN276" s="192"/>
      <c r="CQO276" s="192"/>
      <c r="CQP276" s="192"/>
      <c r="CQQ276" s="192"/>
      <c r="CQR276" s="192"/>
      <c r="CQS276" s="192"/>
      <c r="CQT276" s="192"/>
      <c r="CQU276" s="192"/>
      <c r="CQV276" s="192"/>
      <c r="CQW276" s="192"/>
      <c r="CQX276" s="192"/>
      <c r="CQY276" s="192"/>
      <c r="CQZ276" s="192"/>
      <c r="CRA276" s="192"/>
      <c r="CRB276" s="192"/>
      <c r="CRC276" s="192"/>
      <c r="CRD276" s="192"/>
      <c r="CRE276" s="192"/>
      <c r="CRF276" s="192"/>
      <c r="CRG276" s="192"/>
      <c r="CRH276" s="192"/>
      <c r="CRI276" s="192"/>
      <c r="CRJ276" s="192"/>
      <c r="CRK276" s="192"/>
      <c r="CRL276" s="192"/>
      <c r="CRM276" s="192"/>
      <c r="CRN276" s="192"/>
      <c r="CRO276" s="192"/>
      <c r="CRP276" s="192"/>
      <c r="CRQ276" s="192"/>
      <c r="CRR276" s="192"/>
      <c r="CRS276" s="192"/>
      <c r="CRT276" s="192"/>
      <c r="CRU276" s="192"/>
      <c r="CRV276" s="192"/>
      <c r="CRW276" s="192"/>
      <c r="CRX276" s="192"/>
      <c r="CRY276" s="192"/>
      <c r="CRZ276" s="192"/>
      <c r="CSA276" s="192"/>
      <c r="CSB276" s="192"/>
      <c r="CSC276" s="192"/>
      <c r="CSD276" s="192"/>
      <c r="CSE276" s="192"/>
      <c r="CSF276" s="192"/>
      <c r="CSG276" s="192"/>
      <c r="CSH276" s="192"/>
      <c r="CSI276" s="192"/>
      <c r="CSJ276" s="192"/>
      <c r="CSK276" s="192"/>
      <c r="CSL276" s="192"/>
      <c r="CSM276" s="192"/>
      <c r="CSN276" s="192"/>
      <c r="CSO276" s="192"/>
      <c r="CSP276" s="192"/>
      <c r="CSQ276" s="192"/>
      <c r="CSR276" s="192"/>
      <c r="CSS276" s="192"/>
      <c r="CST276" s="192"/>
      <c r="CSU276" s="192"/>
      <c r="CSV276" s="192"/>
      <c r="CSW276" s="192"/>
      <c r="CSX276" s="192"/>
      <c r="CSY276" s="192"/>
      <c r="CSZ276" s="192"/>
      <c r="CTA276" s="192"/>
      <c r="CTB276" s="192"/>
      <c r="CTC276" s="192"/>
      <c r="CTD276" s="192"/>
      <c r="CTE276" s="192"/>
      <c r="CTF276" s="192"/>
      <c r="CTG276" s="192"/>
      <c r="CTH276" s="192"/>
      <c r="CTI276" s="192"/>
      <c r="CTJ276" s="192"/>
      <c r="CTK276" s="192"/>
      <c r="CTL276" s="192"/>
      <c r="CTM276" s="192"/>
      <c r="CTN276" s="192"/>
      <c r="CTO276" s="192"/>
      <c r="CTP276" s="192"/>
      <c r="CTQ276" s="192"/>
      <c r="CTR276" s="192"/>
      <c r="CTS276" s="192"/>
      <c r="CTT276" s="192"/>
      <c r="CTU276" s="192"/>
      <c r="CTV276" s="192"/>
      <c r="CTW276" s="192"/>
      <c r="CTX276" s="192"/>
      <c r="CTY276" s="192"/>
      <c r="CTZ276" s="192"/>
      <c r="CUA276" s="192"/>
      <c r="CUB276" s="192"/>
      <c r="CUC276" s="192"/>
      <c r="CUD276" s="192"/>
      <c r="CUE276" s="192"/>
      <c r="CUF276" s="192"/>
      <c r="CUG276" s="192"/>
      <c r="CUH276" s="192"/>
      <c r="CUI276" s="192"/>
      <c r="CUJ276" s="192"/>
      <c r="CUK276" s="192"/>
      <c r="CUL276" s="192"/>
      <c r="CUM276" s="192"/>
      <c r="CUN276" s="192"/>
      <c r="CUO276" s="192"/>
      <c r="CUP276" s="192"/>
      <c r="CUQ276" s="192"/>
      <c r="CUR276" s="192"/>
      <c r="CUS276" s="192"/>
      <c r="CUT276" s="192"/>
      <c r="CUU276" s="192"/>
      <c r="CUV276" s="192"/>
      <c r="CUW276" s="192"/>
      <c r="CUX276" s="192"/>
      <c r="CUY276" s="192"/>
      <c r="CUZ276" s="192"/>
      <c r="CVA276" s="192"/>
      <c r="CVB276" s="192"/>
      <c r="CVC276" s="192"/>
      <c r="CVD276" s="192"/>
      <c r="CVE276" s="192"/>
      <c r="CVF276" s="192"/>
      <c r="CVG276" s="192"/>
      <c r="CVH276" s="192"/>
      <c r="CVI276" s="192"/>
      <c r="CVJ276" s="192"/>
      <c r="CVK276" s="192"/>
      <c r="CVL276" s="192"/>
      <c r="CVM276" s="192"/>
      <c r="CVN276" s="192"/>
      <c r="CVO276" s="192"/>
      <c r="CVP276" s="192"/>
      <c r="CVQ276" s="192"/>
      <c r="CVR276" s="192"/>
      <c r="CVS276" s="192"/>
      <c r="CVT276" s="192"/>
      <c r="CVU276" s="192"/>
      <c r="CVV276" s="192"/>
      <c r="CVW276" s="192"/>
      <c r="CVX276" s="192"/>
      <c r="CVY276" s="192"/>
      <c r="CVZ276" s="192"/>
      <c r="CWA276" s="192"/>
      <c r="CWB276" s="192"/>
      <c r="CWC276" s="192"/>
      <c r="CWD276" s="192"/>
      <c r="CWE276" s="192"/>
      <c r="CWF276" s="192"/>
      <c r="CWG276" s="192"/>
      <c r="CWH276" s="192"/>
      <c r="CWI276" s="192"/>
      <c r="CWJ276" s="192"/>
      <c r="CWK276" s="192"/>
      <c r="CWL276" s="192"/>
      <c r="CWM276" s="192"/>
      <c r="CWN276" s="192"/>
      <c r="CWO276" s="192"/>
      <c r="CWP276" s="192"/>
      <c r="CWQ276" s="192"/>
      <c r="CWR276" s="192"/>
      <c r="CWS276" s="192"/>
      <c r="CWT276" s="192"/>
      <c r="CWU276" s="192"/>
      <c r="CWV276" s="192"/>
      <c r="CWW276" s="192"/>
      <c r="CWX276" s="192"/>
      <c r="CWY276" s="192"/>
      <c r="CWZ276" s="192"/>
      <c r="CXA276" s="192"/>
      <c r="CXB276" s="192"/>
      <c r="CXC276" s="192"/>
      <c r="CXD276" s="192"/>
      <c r="CXE276" s="192"/>
      <c r="CXF276" s="192"/>
      <c r="CXG276" s="192"/>
      <c r="CXH276" s="192"/>
      <c r="CXI276" s="192"/>
      <c r="CXJ276" s="192"/>
      <c r="CXK276" s="192"/>
      <c r="CXL276" s="192"/>
      <c r="CXM276" s="192"/>
      <c r="CXN276" s="192"/>
      <c r="CXO276" s="192"/>
      <c r="CXP276" s="192"/>
      <c r="CXQ276" s="192"/>
      <c r="CXR276" s="192"/>
      <c r="CXS276" s="192"/>
      <c r="CXT276" s="192"/>
      <c r="CXU276" s="192"/>
      <c r="CXV276" s="192"/>
      <c r="CXW276" s="192"/>
      <c r="CXX276" s="192"/>
      <c r="CXY276" s="192"/>
      <c r="CXZ276" s="192"/>
      <c r="CYA276" s="192"/>
      <c r="CYB276" s="192"/>
      <c r="CYC276" s="192"/>
      <c r="CYD276" s="192"/>
      <c r="CYE276" s="192"/>
      <c r="CYF276" s="192"/>
      <c r="CYG276" s="192"/>
      <c r="CYH276" s="192"/>
      <c r="CYI276" s="192"/>
      <c r="CYJ276" s="192"/>
      <c r="CYK276" s="192"/>
      <c r="CYL276" s="192"/>
      <c r="CYM276" s="192"/>
      <c r="CYN276" s="192"/>
      <c r="CYO276" s="192"/>
      <c r="CYP276" s="192"/>
      <c r="CYQ276" s="192"/>
      <c r="CYR276" s="192"/>
      <c r="CYS276" s="192"/>
      <c r="CYT276" s="192"/>
      <c r="CYU276" s="192"/>
      <c r="CYV276" s="192"/>
      <c r="CYW276" s="192"/>
      <c r="CYX276" s="192"/>
      <c r="CYY276" s="192"/>
      <c r="CYZ276" s="192"/>
      <c r="CZA276" s="192"/>
      <c r="CZB276" s="192"/>
      <c r="CZC276" s="192"/>
      <c r="CZD276" s="192"/>
      <c r="CZE276" s="192"/>
      <c r="CZF276" s="192"/>
      <c r="CZG276" s="192"/>
      <c r="CZH276" s="192"/>
      <c r="CZI276" s="192"/>
      <c r="CZJ276" s="192"/>
      <c r="CZK276" s="192"/>
      <c r="CZL276" s="192"/>
      <c r="CZM276" s="192"/>
      <c r="CZN276" s="192"/>
      <c r="CZO276" s="192"/>
      <c r="CZP276" s="192"/>
      <c r="CZQ276" s="192"/>
      <c r="CZR276" s="192"/>
      <c r="CZS276" s="192"/>
      <c r="CZT276" s="192"/>
      <c r="CZU276" s="192"/>
      <c r="CZV276" s="192"/>
      <c r="CZW276" s="192"/>
      <c r="CZX276" s="192"/>
      <c r="CZY276" s="192"/>
      <c r="CZZ276" s="192"/>
      <c r="DAA276" s="192"/>
      <c r="DAB276" s="192"/>
      <c r="DAC276" s="192"/>
      <c r="DAD276" s="192"/>
      <c r="DAE276" s="192"/>
      <c r="DAF276" s="192"/>
      <c r="DAG276" s="192"/>
      <c r="DAH276" s="192"/>
      <c r="DAI276" s="192"/>
      <c r="DAJ276" s="192"/>
      <c r="DAK276" s="192"/>
      <c r="DAL276" s="192"/>
      <c r="DAM276" s="192"/>
      <c r="DAN276" s="192"/>
      <c r="DAO276" s="192"/>
      <c r="DAP276" s="192"/>
      <c r="DAQ276" s="192"/>
      <c r="DAR276" s="192"/>
      <c r="DAS276" s="192"/>
      <c r="DAT276" s="192"/>
      <c r="DAU276" s="192"/>
      <c r="DAV276" s="192"/>
      <c r="DAW276" s="192"/>
      <c r="DAX276" s="192"/>
      <c r="DAY276" s="192"/>
      <c r="DAZ276" s="192"/>
      <c r="DBA276" s="192"/>
      <c r="DBB276" s="192"/>
      <c r="DBC276" s="192"/>
      <c r="DBD276" s="192"/>
      <c r="DBE276" s="192"/>
      <c r="DBF276" s="192"/>
      <c r="DBG276" s="192"/>
      <c r="DBH276" s="192"/>
      <c r="DBI276" s="192"/>
      <c r="DBJ276" s="192"/>
      <c r="DBK276" s="192"/>
      <c r="DBL276" s="192"/>
      <c r="DBM276" s="192"/>
      <c r="DBN276" s="192"/>
      <c r="DBO276" s="192"/>
      <c r="DBP276" s="192"/>
      <c r="DBQ276" s="192"/>
      <c r="DBR276" s="192"/>
      <c r="DBS276" s="192"/>
      <c r="DBT276" s="192"/>
      <c r="DBU276" s="192"/>
      <c r="DBV276" s="192"/>
      <c r="DBW276" s="192"/>
      <c r="DBX276" s="192"/>
      <c r="DBY276" s="192"/>
      <c r="DBZ276" s="192"/>
      <c r="DCA276" s="192"/>
      <c r="DCB276" s="192"/>
      <c r="DCC276" s="192"/>
      <c r="DCD276" s="192"/>
      <c r="DCE276" s="192"/>
      <c r="DCF276" s="192"/>
      <c r="DCG276" s="192"/>
      <c r="DCH276" s="192"/>
      <c r="DCI276" s="192"/>
      <c r="DCJ276" s="192"/>
      <c r="DCK276" s="192"/>
      <c r="DCL276" s="192"/>
      <c r="DCM276" s="192"/>
      <c r="DCN276" s="192"/>
      <c r="DCO276" s="192"/>
      <c r="DCP276" s="192"/>
      <c r="DCQ276" s="192"/>
      <c r="DCR276" s="192"/>
      <c r="DCS276" s="192"/>
      <c r="DCT276" s="192"/>
      <c r="DCU276" s="192"/>
      <c r="DCV276" s="192"/>
      <c r="DCW276" s="192"/>
      <c r="DCX276" s="192"/>
      <c r="DCY276" s="192"/>
      <c r="DCZ276" s="192"/>
      <c r="DDA276" s="192"/>
      <c r="DDB276" s="192"/>
      <c r="DDC276" s="192"/>
      <c r="DDD276" s="192"/>
      <c r="DDE276" s="192"/>
      <c r="DDF276" s="192"/>
      <c r="DDG276" s="192"/>
      <c r="DDH276" s="192"/>
      <c r="DDI276" s="192"/>
      <c r="DDJ276" s="192"/>
      <c r="DDK276" s="192"/>
      <c r="DDL276" s="192"/>
      <c r="DDM276" s="192"/>
      <c r="DDN276" s="192"/>
      <c r="DDO276" s="192"/>
      <c r="DDP276" s="192"/>
      <c r="DDQ276" s="192"/>
      <c r="DDR276" s="192"/>
      <c r="DDS276" s="192"/>
      <c r="DDT276" s="192"/>
      <c r="DDU276" s="192"/>
      <c r="DDV276" s="192"/>
      <c r="DDW276" s="192"/>
      <c r="DDX276" s="192"/>
      <c r="DDY276" s="192"/>
      <c r="DDZ276" s="192"/>
      <c r="DEA276" s="192"/>
      <c r="DEB276" s="192"/>
      <c r="DEC276" s="192"/>
      <c r="DED276" s="192"/>
      <c r="DEE276" s="192"/>
      <c r="DEF276" s="192"/>
      <c r="DEG276" s="192"/>
      <c r="DEH276" s="192"/>
      <c r="DEI276" s="192"/>
      <c r="DEJ276" s="192"/>
      <c r="DEK276" s="192"/>
      <c r="DEL276" s="192"/>
      <c r="DEM276" s="192"/>
      <c r="DEN276" s="192"/>
      <c r="DEO276" s="192"/>
      <c r="DEP276" s="192"/>
      <c r="DEQ276" s="192"/>
      <c r="DER276" s="192"/>
      <c r="DES276" s="192"/>
      <c r="DET276" s="192"/>
      <c r="DEU276" s="192"/>
      <c r="DEV276" s="192"/>
      <c r="DEW276" s="192"/>
      <c r="DEX276" s="192"/>
      <c r="DEY276" s="192"/>
      <c r="DEZ276" s="192"/>
      <c r="DFA276" s="192"/>
      <c r="DFB276" s="192"/>
      <c r="DFC276" s="192"/>
      <c r="DFD276" s="192"/>
      <c r="DFE276" s="192"/>
      <c r="DFF276" s="192"/>
      <c r="DFG276" s="192"/>
      <c r="DFH276" s="192"/>
      <c r="DFI276" s="192"/>
      <c r="DFJ276" s="192"/>
      <c r="DFK276" s="192"/>
      <c r="DFL276" s="192"/>
      <c r="DFM276" s="192"/>
      <c r="DFN276" s="192"/>
      <c r="DFO276" s="192"/>
      <c r="DFP276" s="192"/>
      <c r="DFQ276" s="192"/>
      <c r="DFR276" s="192"/>
      <c r="DFS276" s="192"/>
      <c r="DFT276" s="192"/>
      <c r="DFU276" s="192"/>
      <c r="DFV276" s="192"/>
      <c r="DFW276" s="192"/>
      <c r="DFX276" s="192"/>
      <c r="DFY276" s="192"/>
      <c r="DFZ276" s="192"/>
      <c r="DGA276" s="192"/>
      <c r="DGB276" s="192"/>
      <c r="DGC276" s="192"/>
      <c r="DGD276" s="192"/>
      <c r="DGE276" s="192"/>
      <c r="DGF276" s="192"/>
      <c r="DGG276" s="192"/>
      <c r="DGH276" s="192"/>
      <c r="DGI276" s="192"/>
      <c r="DGJ276" s="192"/>
      <c r="DGK276" s="192"/>
      <c r="DGL276" s="192"/>
      <c r="DGM276" s="192"/>
      <c r="DGN276" s="192"/>
      <c r="DGO276" s="192"/>
      <c r="DGP276" s="192"/>
      <c r="DGQ276" s="192"/>
      <c r="DGR276" s="192"/>
      <c r="DGS276" s="192"/>
      <c r="DGT276" s="192"/>
      <c r="DGU276" s="192"/>
      <c r="DGV276" s="192"/>
      <c r="DGW276" s="192"/>
      <c r="DGX276" s="192"/>
      <c r="DGY276" s="192"/>
      <c r="DGZ276" s="192"/>
      <c r="DHA276" s="192"/>
      <c r="DHB276" s="192"/>
      <c r="DHC276" s="192"/>
      <c r="DHD276" s="192"/>
      <c r="DHE276" s="192"/>
      <c r="DHF276" s="192"/>
      <c r="DHG276" s="192"/>
      <c r="DHH276" s="192"/>
      <c r="DHI276" s="192"/>
      <c r="DHJ276" s="192"/>
      <c r="DHK276" s="192"/>
      <c r="DHL276" s="192"/>
      <c r="DHM276" s="192"/>
      <c r="DHN276" s="192"/>
      <c r="DHO276" s="192"/>
      <c r="DHP276" s="192"/>
      <c r="DHQ276" s="192"/>
      <c r="DHR276" s="192"/>
      <c r="DHS276" s="192"/>
      <c r="DHT276" s="192"/>
      <c r="DHU276" s="192"/>
      <c r="DHV276" s="192"/>
      <c r="DHW276" s="192"/>
      <c r="DHX276" s="192"/>
      <c r="DHY276" s="192"/>
      <c r="DHZ276" s="192"/>
      <c r="DIA276" s="192"/>
      <c r="DIB276" s="192"/>
      <c r="DIC276" s="192"/>
      <c r="DID276" s="192"/>
      <c r="DIE276" s="192"/>
      <c r="DIF276" s="192"/>
      <c r="DIG276" s="192"/>
      <c r="DIH276" s="192"/>
      <c r="DII276" s="192"/>
      <c r="DIJ276" s="192"/>
      <c r="DIK276" s="192"/>
      <c r="DIL276" s="192"/>
      <c r="DIM276" s="192"/>
      <c r="DIN276" s="192"/>
      <c r="DIO276" s="192"/>
      <c r="DIP276" s="192"/>
      <c r="DIQ276" s="192"/>
      <c r="DIR276" s="192"/>
      <c r="DIS276" s="192"/>
      <c r="DIT276" s="192"/>
      <c r="DIU276" s="192"/>
      <c r="DIV276" s="192"/>
      <c r="DIW276" s="192"/>
      <c r="DIX276" s="192"/>
      <c r="DIY276" s="192"/>
      <c r="DIZ276" s="192"/>
      <c r="DJA276" s="192"/>
      <c r="DJB276" s="192"/>
      <c r="DJC276" s="192"/>
      <c r="DJD276" s="192"/>
      <c r="DJE276" s="192"/>
      <c r="DJF276" s="192"/>
      <c r="DJG276" s="192"/>
      <c r="DJH276" s="192"/>
      <c r="DJI276" s="192"/>
      <c r="DJJ276" s="192"/>
      <c r="DJK276" s="192"/>
      <c r="DJL276" s="192"/>
      <c r="DJM276" s="192"/>
      <c r="DJN276" s="192"/>
      <c r="DJO276" s="192"/>
      <c r="DJP276" s="192"/>
      <c r="DJQ276" s="192"/>
      <c r="DJR276" s="192"/>
      <c r="DJS276" s="192"/>
      <c r="DJT276" s="192"/>
      <c r="DJU276" s="192"/>
      <c r="DJV276" s="192"/>
      <c r="DJW276" s="192"/>
      <c r="DJX276" s="192"/>
      <c r="DJY276" s="192"/>
      <c r="DJZ276" s="192"/>
      <c r="DKA276" s="192"/>
      <c r="DKB276" s="192"/>
      <c r="DKC276" s="192"/>
      <c r="DKD276" s="192"/>
      <c r="DKE276" s="192"/>
      <c r="DKF276" s="192"/>
      <c r="DKG276" s="192"/>
      <c r="DKH276" s="192"/>
      <c r="DKI276" s="192"/>
      <c r="DKJ276" s="192"/>
      <c r="DKK276" s="192"/>
      <c r="DKL276" s="192"/>
      <c r="DKM276" s="192"/>
      <c r="DKN276" s="192"/>
      <c r="DKO276" s="192"/>
      <c r="DKP276" s="192"/>
      <c r="DKQ276" s="192"/>
      <c r="DKR276" s="192"/>
      <c r="DKS276" s="192"/>
      <c r="DKT276" s="192"/>
      <c r="DKU276" s="192"/>
      <c r="DKV276" s="192"/>
      <c r="DKW276" s="192"/>
      <c r="DKX276" s="192"/>
      <c r="DKY276" s="192"/>
      <c r="DKZ276" s="192"/>
      <c r="DLA276" s="192"/>
      <c r="DLB276" s="192"/>
      <c r="DLC276" s="192"/>
      <c r="DLD276" s="192"/>
      <c r="DLE276" s="192"/>
      <c r="DLF276" s="192"/>
      <c r="DLG276" s="192"/>
      <c r="DLH276" s="192"/>
      <c r="DLI276" s="192"/>
      <c r="DLJ276" s="192"/>
      <c r="DLK276" s="192"/>
      <c r="DLL276" s="192"/>
      <c r="DLM276" s="192"/>
      <c r="DLN276" s="192"/>
      <c r="DLO276" s="192"/>
      <c r="DLP276" s="192"/>
      <c r="DLQ276" s="192"/>
      <c r="DLR276" s="192"/>
      <c r="DLS276" s="192"/>
      <c r="DLT276" s="192"/>
      <c r="DLU276" s="192"/>
      <c r="DLV276" s="192"/>
      <c r="DLW276" s="192"/>
      <c r="DLX276" s="192"/>
      <c r="DLY276" s="192"/>
      <c r="DLZ276" s="192"/>
      <c r="DMA276" s="192"/>
      <c r="DMB276" s="192"/>
      <c r="DMC276" s="192"/>
      <c r="DMD276" s="192"/>
      <c r="DME276" s="192"/>
      <c r="DMF276" s="192"/>
      <c r="DMG276" s="192"/>
      <c r="DMH276" s="192"/>
      <c r="DMI276" s="192"/>
      <c r="DMJ276" s="192"/>
      <c r="DMK276" s="192"/>
      <c r="DML276" s="192"/>
      <c r="DMM276" s="192"/>
      <c r="DMN276" s="192"/>
      <c r="DMO276" s="192"/>
      <c r="DMP276" s="192"/>
      <c r="DMQ276" s="192"/>
      <c r="DMR276" s="192"/>
      <c r="DMS276" s="192"/>
      <c r="DMT276" s="192"/>
      <c r="DMU276" s="192"/>
      <c r="DMV276" s="192"/>
      <c r="DMW276" s="192"/>
      <c r="DMX276" s="192"/>
      <c r="DMY276" s="192"/>
      <c r="DMZ276" s="192"/>
      <c r="DNA276" s="192"/>
      <c r="DNB276" s="192"/>
      <c r="DNC276" s="192"/>
      <c r="DND276" s="192"/>
      <c r="DNE276" s="192"/>
      <c r="DNF276" s="192"/>
      <c r="DNG276" s="192"/>
      <c r="DNH276" s="192"/>
      <c r="DNI276" s="192"/>
      <c r="DNJ276" s="192"/>
      <c r="DNK276" s="192"/>
      <c r="DNL276" s="192"/>
      <c r="DNM276" s="192"/>
      <c r="DNN276" s="192"/>
      <c r="DNO276" s="192"/>
      <c r="DNP276" s="192"/>
      <c r="DNQ276" s="192"/>
      <c r="DNR276" s="192"/>
      <c r="DNS276" s="192"/>
      <c r="DNT276" s="192"/>
      <c r="DNU276" s="192"/>
      <c r="DNV276" s="192"/>
      <c r="DNW276" s="192"/>
      <c r="DNX276" s="192"/>
      <c r="DNY276" s="192"/>
      <c r="DNZ276" s="192"/>
      <c r="DOA276" s="192"/>
      <c r="DOB276" s="192"/>
      <c r="DOC276" s="192"/>
      <c r="DOD276" s="192"/>
      <c r="DOE276" s="192"/>
      <c r="DOF276" s="192"/>
      <c r="DOG276" s="192"/>
      <c r="DOH276" s="192"/>
      <c r="DOI276" s="192"/>
      <c r="DOJ276" s="192"/>
      <c r="DOK276" s="192"/>
      <c r="DOL276" s="192"/>
      <c r="DOM276" s="192"/>
      <c r="DON276" s="192"/>
      <c r="DOO276" s="192"/>
      <c r="DOP276" s="192"/>
      <c r="DOQ276" s="192"/>
      <c r="DOR276" s="192"/>
      <c r="DOS276" s="192"/>
      <c r="DOT276" s="192"/>
      <c r="DOU276" s="192"/>
      <c r="DOV276" s="192"/>
      <c r="DOW276" s="192"/>
      <c r="DOX276" s="192"/>
      <c r="DOY276" s="192"/>
      <c r="DOZ276" s="192"/>
      <c r="DPA276" s="192"/>
      <c r="DPB276" s="192"/>
      <c r="DPC276" s="192"/>
      <c r="DPD276" s="192"/>
      <c r="DPE276" s="192"/>
      <c r="DPF276" s="192"/>
      <c r="DPG276" s="192"/>
      <c r="DPH276" s="192"/>
      <c r="DPI276" s="192"/>
      <c r="DPJ276" s="192"/>
      <c r="DPK276" s="192"/>
      <c r="DPL276" s="192"/>
      <c r="DPM276" s="192"/>
      <c r="DPN276" s="192"/>
      <c r="DPO276" s="192"/>
      <c r="DPP276" s="192"/>
      <c r="DPQ276" s="192"/>
      <c r="DPR276" s="192"/>
      <c r="DPS276" s="192"/>
      <c r="DPT276" s="192"/>
      <c r="DPU276" s="192"/>
      <c r="DPV276" s="192"/>
      <c r="DPW276" s="192"/>
      <c r="DPX276" s="192"/>
      <c r="DPY276" s="192"/>
      <c r="DPZ276" s="192"/>
      <c r="DQA276" s="192"/>
      <c r="DQB276" s="192"/>
      <c r="DQC276" s="192"/>
      <c r="DQD276" s="192"/>
      <c r="DQE276" s="192"/>
      <c r="DQF276" s="192"/>
      <c r="DQG276" s="192"/>
      <c r="DQH276" s="192"/>
      <c r="DQI276" s="192"/>
      <c r="DQJ276" s="192"/>
      <c r="DQK276" s="192"/>
      <c r="DQL276" s="192"/>
      <c r="DQM276" s="192"/>
      <c r="DQN276" s="192"/>
      <c r="DQO276" s="192"/>
      <c r="DQP276" s="192"/>
      <c r="DQQ276" s="192"/>
      <c r="DQR276" s="192"/>
      <c r="DQS276" s="192"/>
      <c r="DQT276" s="192"/>
      <c r="DQU276" s="192"/>
      <c r="DQV276" s="192"/>
      <c r="DQW276" s="192"/>
      <c r="DQX276" s="192"/>
      <c r="DQY276" s="192"/>
      <c r="DQZ276" s="192"/>
      <c r="DRA276" s="192"/>
      <c r="DRB276" s="192"/>
      <c r="DRC276" s="192"/>
      <c r="DRD276" s="192"/>
      <c r="DRE276" s="192"/>
      <c r="DRF276" s="192"/>
      <c r="DRG276" s="192"/>
      <c r="DRH276" s="192"/>
      <c r="DRI276" s="192"/>
      <c r="DRJ276" s="192"/>
      <c r="DRK276" s="192"/>
      <c r="DRL276" s="192"/>
      <c r="DRM276" s="192"/>
      <c r="DRN276" s="192"/>
      <c r="DRO276" s="192"/>
      <c r="DRP276" s="192"/>
      <c r="DRQ276" s="192"/>
      <c r="DRR276" s="192"/>
      <c r="DRS276" s="192"/>
      <c r="DRT276" s="192"/>
      <c r="DRU276" s="192"/>
      <c r="DRV276" s="192"/>
      <c r="DRW276" s="192"/>
      <c r="DRX276" s="192"/>
      <c r="DRY276" s="192"/>
      <c r="DRZ276" s="192"/>
      <c r="DSA276" s="192"/>
      <c r="DSB276" s="192"/>
      <c r="DSC276" s="192"/>
      <c r="DSD276" s="192"/>
      <c r="DSE276" s="192"/>
      <c r="DSF276" s="192"/>
      <c r="DSG276" s="192"/>
      <c r="DSH276" s="192"/>
      <c r="DSI276" s="192"/>
      <c r="DSJ276" s="192"/>
      <c r="DSK276" s="192"/>
      <c r="DSL276" s="192"/>
      <c r="DSM276" s="192"/>
      <c r="DSN276" s="192"/>
      <c r="DSO276" s="192"/>
      <c r="DSP276" s="192"/>
      <c r="DSQ276" s="192"/>
      <c r="DSR276" s="192"/>
      <c r="DSS276" s="192"/>
      <c r="DST276" s="192"/>
      <c r="DSU276" s="192"/>
      <c r="DSV276" s="192"/>
      <c r="DSW276" s="192"/>
      <c r="DSX276" s="192"/>
      <c r="DSY276" s="192"/>
      <c r="DSZ276" s="192"/>
      <c r="DTA276" s="192"/>
      <c r="DTB276" s="192"/>
      <c r="DTC276" s="192"/>
      <c r="DTD276" s="192"/>
      <c r="DTE276" s="192"/>
      <c r="DTF276" s="192"/>
      <c r="DTG276" s="192"/>
      <c r="DTH276" s="192"/>
      <c r="DTI276" s="192"/>
      <c r="DTJ276" s="192"/>
      <c r="DTK276" s="192"/>
      <c r="DTL276" s="192"/>
      <c r="DTM276" s="192"/>
      <c r="DTN276" s="192"/>
      <c r="DTO276" s="192"/>
      <c r="DTP276" s="192"/>
      <c r="DTQ276" s="192"/>
      <c r="DTR276" s="192"/>
      <c r="DTS276" s="192"/>
      <c r="DTT276" s="192"/>
      <c r="DTU276" s="192"/>
      <c r="DTV276" s="192"/>
      <c r="DTW276" s="192"/>
      <c r="DTX276" s="192"/>
      <c r="DTY276" s="192"/>
      <c r="DTZ276" s="192"/>
      <c r="DUA276" s="192"/>
      <c r="DUB276" s="192"/>
      <c r="DUC276" s="192"/>
      <c r="DUD276" s="192"/>
      <c r="DUE276" s="192"/>
      <c r="DUF276" s="192"/>
      <c r="DUG276" s="192"/>
      <c r="DUH276" s="192"/>
      <c r="DUI276" s="192"/>
      <c r="DUJ276" s="192"/>
      <c r="DUK276" s="192"/>
      <c r="DUL276" s="192"/>
      <c r="DUM276" s="192"/>
      <c r="DUN276" s="192"/>
      <c r="DUO276" s="192"/>
      <c r="DUP276" s="192"/>
      <c r="DUQ276" s="192"/>
      <c r="DUR276" s="192"/>
      <c r="DUS276" s="192"/>
      <c r="DUT276" s="192"/>
      <c r="DUU276" s="192"/>
      <c r="DUV276" s="192"/>
      <c r="DUW276" s="192"/>
      <c r="DUX276" s="192"/>
      <c r="DUY276" s="192"/>
      <c r="DUZ276" s="192"/>
      <c r="DVA276" s="192"/>
      <c r="DVB276" s="192"/>
      <c r="DVC276" s="192"/>
      <c r="DVD276" s="192"/>
      <c r="DVE276" s="192"/>
      <c r="DVF276" s="192"/>
      <c r="DVG276" s="192"/>
      <c r="DVH276" s="192"/>
      <c r="DVI276" s="192"/>
      <c r="DVJ276" s="192"/>
      <c r="DVK276" s="192"/>
      <c r="DVL276" s="192"/>
      <c r="DVM276" s="192"/>
      <c r="DVN276" s="192"/>
      <c r="DVO276" s="192"/>
      <c r="DVP276" s="192"/>
      <c r="DVQ276" s="192"/>
      <c r="DVR276" s="192"/>
      <c r="DVS276" s="192"/>
      <c r="DVT276" s="192"/>
      <c r="DVU276" s="192"/>
      <c r="DVV276" s="192"/>
      <c r="DVW276" s="192"/>
      <c r="DVX276" s="192"/>
      <c r="DVY276" s="192"/>
      <c r="DVZ276" s="192"/>
      <c r="DWA276" s="192"/>
      <c r="DWB276" s="192"/>
      <c r="DWC276" s="192"/>
      <c r="DWD276" s="192"/>
      <c r="DWE276" s="192"/>
      <c r="DWF276" s="192"/>
      <c r="DWG276" s="192"/>
      <c r="DWH276" s="192"/>
      <c r="DWI276" s="192"/>
      <c r="DWJ276" s="192"/>
      <c r="DWK276" s="192"/>
      <c r="DWL276" s="192"/>
      <c r="DWM276" s="192"/>
      <c r="DWN276" s="192"/>
      <c r="DWO276" s="192"/>
      <c r="DWP276" s="192"/>
      <c r="DWQ276" s="192"/>
      <c r="DWR276" s="192"/>
      <c r="DWS276" s="192"/>
      <c r="DWT276" s="192"/>
      <c r="DWU276" s="192"/>
      <c r="DWV276" s="192"/>
      <c r="DWW276" s="192"/>
      <c r="DWX276" s="192"/>
      <c r="DWY276" s="192"/>
      <c r="DWZ276" s="192"/>
      <c r="DXA276" s="192"/>
      <c r="DXB276" s="192"/>
      <c r="DXC276" s="192"/>
      <c r="DXD276" s="192"/>
      <c r="DXE276" s="192"/>
      <c r="DXF276" s="192"/>
      <c r="DXG276" s="192"/>
      <c r="DXH276" s="192"/>
      <c r="DXI276" s="192"/>
      <c r="DXJ276" s="192"/>
      <c r="DXK276" s="192"/>
      <c r="DXL276" s="192"/>
      <c r="DXM276" s="192"/>
      <c r="DXN276" s="192"/>
      <c r="DXO276" s="192"/>
      <c r="DXP276" s="192"/>
      <c r="DXQ276" s="192"/>
      <c r="DXR276" s="192"/>
      <c r="DXS276" s="192"/>
      <c r="DXT276" s="192"/>
      <c r="DXU276" s="192"/>
      <c r="DXV276" s="192"/>
      <c r="DXW276" s="192"/>
      <c r="DXX276" s="192"/>
      <c r="DXY276" s="192"/>
      <c r="DXZ276" s="192"/>
      <c r="DYA276" s="192"/>
      <c r="DYB276" s="192"/>
      <c r="DYC276" s="192"/>
      <c r="DYD276" s="192"/>
      <c r="DYE276" s="192"/>
      <c r="DYF276" s="192"/>
      <c r="DYG276" s="192"/>
      <c r="DYH276" s="192"/>
      <c r="DYI276" s="192"/>
      <c r="DYJ276" s="192"/>
      <c r="DYK276" s="192"/>
      <c r="DYL276" s="192"/>
      <c r="DYM276" s="192"/>
      <c r="DYN276" s="192"/>
      <c r="DYO276" s="192"/>
      <c r="DYP276" s="192"/>
      <c r="DYQ276" s="192"/>
      <c r="DYR276" s="192"/>
      <c r="DYS276" s="192"/>
      <c r="DYT276" s="192"/>
      <c r="DYU276" s="192"/>
      <c r="DYV276" s="192"/>
      <c r="DYW276" s="192"/>
      <c r="DYX276" s="192"/>
      <c r="DYY276" s="192"/>
      <c r="DYZ276" s="192"/>
      <c r="DZA276" s="192"/>
      <c r="DZB276" s="192"/>
      <c r="DZC276" s="192"/>
      <c r="DZD276" s="192"/>
      <c r="DZE276" s="192"/>
      <c r="DZF276" s="192"/>
      <c r="DZG276" s="192"/>
      <c r="DZH276" s="192"/>
      <c r="DZI276" s="192"/>
      <c r="DZJ276" s="192"/>
      <c r="DZK276" s="192"/>
      <c r="DZL276" s="192"/>
      <c r="DZM276" s="192"/>
      <c r="DZN276" s="192"/>
      <c r="DZO276" s="192"/>
      <c r="DZP276" s="192"/>
      <c r="DZQ276" s="192"/>
      <c r="DZR276" s="192"/>
      <c r="DZS276" s="192"/>
      <c r="DZT276" s="192"/>
      <c r="DZU276" s="192"/>
      <c r="DZV276" s="192"/>
      <c r="DZW276" s="192"/>
      <c r="DZX276" s="192"/>
      <c r="DZY276" s="192"/>
      <c r="DZZ276" s="192"/>
      <c r="EAA276" s="192"/>
      <c r="EAB276" s="192"/>
      <c r="EAC276" s="192"/>
      <c r="EAD276" s="192"/>
      <c r="EAE276" s="192"/>
      <c r="EAF276" s="192"/>
      <c r="EAG276" s="192"/>
      <c r="EAH276" s="192"/>
      <c r="EAI276" s="192"/>
      <c r="EAJ276" s="192"/>
      <c r="EAK276" s="192"/>
      <c r="EAL276" s="192"/>
      <c r="EAM276" s="192"/>
      <c r="EAN276" s="192"/>
      <c r="EAO276" s="192"/>
      <c r="EAP276" s="192"/>
      <c r="EAQ276" s="192"/>
      <c r="EAR276" s="192"/>
      <c r="EAS276" s="192"/>
      <c r="EAT276" s="192"/>
      <c r="EAU276" s="192"/>
      <c r="EAV276" s="192"/>
      <c r="EAW276" s="192"/>
      <c r="EAX276" s="192"/>
      <c r="EAY276" s="192"/>
      <c r="EAZ276" s="192"/>
      <c r="EBA276" s="192"/>
      <c r="EBB276" s="192"/>
      <c r="EBC276" s="192"/>
      <c r="EBD276" s="192"/>
      <c r="EBE276" s="192"/>
      <c r="EBF276" s="192"/>
      <c r="EBG276" s="192"/>
      <c r="EBH276" s="192"/>
      <c r="EBI276" s="192"/>
      <c r="EBJ276" s="192"/>
      <c r="EBK276" s="192"/>
      <c r="EBL276" s="192"/>
      <c r="EBM276" s="192"/>
      <c r="EBN276" s="192"/>
      <c r="EBO276" s="192"/>
      <c r="EBP276" s="192"/>
      <c r="EBQ276" s="192"/>
      <c r="EBR276" s="192"/>
      <c r="EBS276" s="192"/>
      <c r="EBT276" s="192"/>
      <c r="EBU276" s="192"/>
      <c r="EBV276" s="192"/>
      <c r="EBW276" s="192"/>
      <c r="EBX276" s="192"/>
      <c r="EBY276" s="192"/>
      <c r="EBZ276" s="192"/>
      <c r="ECA276" s="192"/>
      <c r="ECB276" s="192"/>
      <c r="ECC276" s="192"/>
      <c r="ECD276" s="192"/>
      <c r="ECE276" s="192"/>
      <c r="ECF276" s="192"/>
      <c r="ECG276" s="192"/>
      <c r="ECH276" s="192"/>
      <c r="ECI276" s="192"/>
      <c r="ECJ276" s="192"/>
      <c r="ECK276" s="192"/>
      <c r="ECL276" s="192"/>
      <c r="ECM276" s="192"/>
      <c r="ECN276" s="192"/>
      <c r="ECO276" s="192"/>
      <c r="ECP276" s="192"/>
      <c r="ECQ276" s="192"/>
      <c r="ECR276" s="192"/>
      <c r="ECS276" s="192"/>
      <c r="ECT276" s="192"/>
      <c r="ECU276" s="192"/>
      <c r="ECV276" s="192"/>
      <c r="ECW276" s="192"/>
      <c r="ECX276" s="192"/>
      <c r="ECY276" s="192"/>
      <c r="ECZ276" s="192"/>
      <c r="EDA276" s="192"/>
      <c r="EDB276" s="192"/>
      <c r="EDC276" s="192"/>
      <c r="EDD276" s="192"/>
      <c r="EDE276" s="192"/>
      <c r="EDF276" s="192"/>
      <c r="EDG276" s="192"/>
      <c r="EDH276" s="192"/>
      <c r="EDI276" s="192"/>
      <c r="EDJ276" s="192"/>
      <c r="EDK276" s="192"/>
      <c r="EDL276" s="192"/>
      <c r="EDM276" s="192"/>
      <c r="EDN276" s="192"/>
      <c r="EDO276" s="192"/>
      <c r="EDP276" s="192"/>
      <c r="EDQ276" s="192"/>
      <c r="EDR276" s="192"/>
      <c r="EDS276" s="192"/>
      <c r="EDT276" s="192"/>
      <c r="EDU276" s="192"/>
      <c r="EDV276" s="192"/>
      <c r="EDW276" s="192"/>
      <c r="EDX276" s="192"/>
      <c r="EDY276" s="192"/>
      <c r="EDZ276" s="192"/>
      <c r="EEA276" s="192"/>
      <c r="EEB276" s="192"/>
      <c r="EEC276" s="192"/>
      <c r="EED276" s="192"/>
      <c r="EEE276" s="192"/>
      <c r="EEF276" s="192"/>
      <c r="EEG276" s="192"/>
      <c r="EEH276" s="192"/>
      <c r="EEI276" s="192"/>
      <c r="EEJ276" s="192"/>
      <c r="EEK276" s="192"/>
      <c r="EEL276" s="192"/>
      <c r="EEM276" s="192"/>
      <c r="EEN276" s="192"/>
      <c r="EEO276" s="192"/>
      <c r="EEP276" s="192"/>
      <c r="EEQ276" s="192"/>
      <c r="EER276" s="192"/>
      <c r="EES276" s="192"/>
      <c r="EET276" s="192"/>
      <c r="EEU276" s="192"/>
      <c r="EEV276" s="192"/>
      <c r="EEW276" s="192"/>
      <c r="EEX276" s="192"/>
      <c r="EEY276" s="192"/>
      <c r="EEZ276" s="192"/>
      <c r="EFA276" s="192"/>
      <c r="EFB276" s="192"/>
      <c r="EFC276" s="192"/>
      <c r="EFD276" s="192"/>
      <c r="EFE276" s="192"/>
      <c r="EFF276" s="192"/>
      <c r="EFG276" s="192"/>
      <c r="EFH276" s="192"/>
      <c r="EFI276" s="192"/>
      <c r="EFJ276" s="192"/>
      <c r="EFK276" s="192"/>
      <c r="EFL276" s="192"/>
      <c r="EFM276" s="192"/>
      <c r="EFN276" s="192"/>
      <c r="EFO276" s="192"/>
      <c r="EFP276" s="192"/>
      <c r="EFQ276" s="192"/>
      <c r="EFR276" s="192"/>
      <c r="EFS276" s="192"/>
      <c r="EFT276" s="192"/>
      <c r="EFU276" s="192"/>
      <c r="EFV276" s="192"/>
      <c r="EFW276" s="192"/>
      <c r="EFX276" s="192"/>
      <c r="EFY276" s="192"/>
      <c r="EFZ276" s="192"/>
      <c r="EGA276" s="192"/>
      <c r="EGB276" s="192"/>
      <c r="EGC276" s="192"/>
      <c r="EGD276" s="192"/>
      <c r="EGE276" s="192"/>
      <c r="EGF276" s="192"/>
      <c r="EGG276" s="192"/>
      <c r="EGH276" s="192"/>
      <c r="EGI276" s="192"/>
      <c r="EGJ276" s="192"/>
      <c r="EGK276" s="192"/>
      <c r="EGL276" s="192"/>
      <c r="EGM276" s="192"/>
      <c r="EGN276" s="192"/>
      <c r="EGO276" s="192"/>
      <c r="EGP276" s="192"/>
      <c r="EGQ276" s="192"/>
      <c r="EGR276" s="192"/>
      <c r="EGS276" s="192"/>
      <c r="EGT276" s="192"/>
      <c r="EGU276" s="192"/>
      <c r="EGV276" s="192"/>
      <c r="EGW276" s="192"/>
      <c r="EGX276" s="192"/>
      <c r="EGY276" s="192"/>
      <c r="EGZ276" s="192"/>
      <c r="EHA276" s="192"/>
      <c r="EHB276" s="192"/>
      <c r="EHC276" s="192"/>
      <c r="EHD276" s="192"/>
      <c r="EHE276" s="192"/>
      <c r="EHF276" s="192"/>
      <c r="EHG276" s="192"/>
      <c r="EHH276" s="192"/>
      <c r="EHI276" s="192"/>
      <c r="EHJ276" s="192"/>
      <c r="EHK276" s="192"/>
      <c r="EHL276" s="192"/>
      <c r="EHM276" s="192"/>
      <c r="EHN276" s="192"/>
      <c r="EHO276" s="192"/>
      <c r="EHP276" s="192"/>
      <c r="EHQ276" s="192"/>
      <c r="EHR276" s="192"/>
      <c r="EHS276" s="192"/>
      <c r="EHT276" s="192"/>
      <c r="EHU276" s="192"/>
      <c r="EHV276" s="192"/>
      <c r="EHW276" s="192"/>
      <c r="EHX276" s="192"/>
      <c r="EHY276" s="192"/>
      <c r="EHZ276" s="192"/>
      <c r="EIA276" s="192"/>
      <c r="EIB276" s="192"/>
      <c r="EIC276" s="192"/>
      <c r="EID276" s="192"/>
      <c r="EIE276" s="192"/>
      <c r="EIF276" s="192"/>
      <c r="EIG276" s="192"/>
      <c r="EIH276" s="192"/>
      <c r="EII276" s="192"/>
      <c r="EIJ276" s="192"/>
      <c r="EIK276" s="192"/>
      <c r="EIL276" s="192"/>
      <c r="EIM276" s="192"/>
      <c r="EIN276" s="192"/>
      <c r="EIO276" s="192"/>
      <c r="EIP276" s="192"/>
      <c r="EIQ276" s="192"/>
      <c r="EIR276" s="192"/>
      <c r="EIS276" s="192"/>
      <c r="EIT276" s="192"/>
      <c r="EIU276" s="192"/>
      <c r="EIV276" s="192"/>
      <c r="EIW276" s="192"/>
      <c r="EIX276" s="192"/>
      <c r="EIY276" s="192"/>
      <c r="EIZ276" s="192"/>
      <c r="EJA276" s="192"/>
      <c r="EJB276" s="192"/>
      <c r="EJC276" s="192"/>
      <c r="EJD276" s="192"/>
      <c r="EJE276" s="192"/>
      <c r="EJF276" s="192"/>
      <c r="EJG276" s="192"/>
      <c r="EJH276" s="192"/>
      <c r="EJI276" s="192"/>
      <c r="EJJ276" s="192"/>
      <c r="EJK276" s="192"/>
      <c r="EJL276" s="192"/>
      <c r="EJM276" s="192"/>
      <c r="EJN276" s="192"/>
      <c r="EJO276" s="192"/>
      <c r="EJP276" s="192"/>
      <c r="EJQ276" s="192"/>
      <c r="EJR276" s="192"/>
      <c r="EJS276" s="192"/>
      <c r="EJT276" s="192"/>
      <c r="EJU276" s="192"/>
      <c r="EJV276" s="192"/>
      <c r="EJW276" s="192"/>
      <c r="EJX276" s="192"/>
      <c r="EJY276" s="192"/>
      <c r="EJZ276" s="192"/>
      <c r="EKA276" s="192"/>
      <c r="EKB276" s="192"/>
      <c r="EKC276" s="192"/>
      <c r="EKD276" s="192"/>
      <c r="EKE276" s="192"/>
      <c r="EKF276" s="192"/>
      <c r="EKG276" s="192"/>
      <c r="EKH276" s="192"/>
      <c r="EKI276" s="192"/>
      <c r="EKJ276" s="192"/>
      <c r="EKK276" s="192"/>
      <c r="EKL276" s="192"/>
      <c r="EKM276" s="192"/>
      <c r="EKN276" s="192"/>
      <c r="EKO276" s="192"/>
      <c r="EKP276" s="192"/>
      <c r="EKQ276" s="192"/>
      <c r="EKR276" s="192"/>
      <c r="EKS276" s="192"/>
      <c r="EKT276" s="192"/>
      <c r="EKU276" s="192"/>
      <c r="EKV276" s="192"/>
      <c r="EKW276" s="192"/>
      <c r="EKX276" s="192"/>
      <c r="EKY276" s="192"/>
      <c r="EKZ276" s="192"/>
      <c r="ELA276" s="192"/>
      <c r="ELB276" s="192"/>
      <c r="ELC276" s="192"/>
      <c r="ELD276" s="192"/>
      <c r="ELE276" s="192"/>
      <c r="ELF276" s="192"/>
      <c r="ELG276" s="192"/>
      <c r="ELH276" s="192"/>
      <c r="ELI276" s="192"/>
      <c r="ELJ276" s="192"/>
      <c r="ELK276" s="192"/>
      <c r="ELL276" s="192"/>
      <c r="ELM276" s="192"/>
      <c r="ELN276" s="192"/>
      <c r="ELO276" s="192"/>
      <c r="ELP276" s="192"/>
      <c r="ELQ276" s="192"/>
      <c r="ELR276" s="192"/>
      <c r="ELS276" s="192"/>
      <c r="ELT276" s="192"/>
      <c r="ELU276" s="192"/>
      <c r="ELV276" s="192"/>
      <c r="ELW276" s="192"/>
      <c r="ELX276" s="192"/>
      <c r="ELY276" s="192"/>
      <c r="ELZ276" s="192"/>
      <c r="EMA276" s="192"/>
      <c r="EMB276" s="192"/>
      <c r="EMC276" s="192"/>
      <c r="EMD276" s="192"/>
      <c r="EME276" s="192"/>
      <c r="EMF276" s="192"/>
      <c r="EMG276" s="192"/>
      <c r="EMH276" s="192"/>
      <c r="EMI276" s="192"/>
      <c r="EMJ276" s="192"/>
      <c r="EMK276" s="192"/>
      <c r="EML276" s="192"/>
      <c r="EMM276" s="192"/>
      <c r="EMN276" s="192"/>
      <c r="EMO276" s="192"/>
      <c r="EMP276" s="192"/>
      <c r="EMQ276" s="192"/>
      <c r="EMR276" s="192"/>
      <c r="EMS276" s="192"/>
      <c r="EMT276" s="192"/>
      <c r="EMU276" s="192"/>
      <c r="EMV276" s="192"/>
      <c r="EMW276" s="192"/>
      <c r="EMX276" s="192"/>
      <c r="EMY276" s="192"/>
      <c r="EMZ276" s="192"/>
      <c r="ENA276" s="192"/>
      <c r="ENB276" s="192"/>
      <c r="ENC276" s="192"/>
      <c r="END276" s="192"/>
      <c r="ENE276" s="192"/>
      <c r="ENF276" s="192"/>
      <c r="ENG276" s="192"/>
      <c r="ENH276" s="192"/>
      <c r="ENI276" s="192"/>
      <c r="ENJ276" s="192"/>
      <c r="ENK276" s="192"/>
      <c r="ENL276" s="192"/>
      <c r="ENM276" s="192"/>
      <c r="ENN276" s="192"/>
      <c r="ENO276" s="192"/>
      <c r="ENP276" s="192"/>
      <c r="ENQ276" s="192"/>
      <c r="ENR276" s="192"/>
      <c r="ENS276" s="192"/>
      <c r="ENT276" s="192"/>
      <c r="ENU276" s="192"/>
      <c r="ENV276" s="192"/>
      <c r="ENW276" s="192"/>
      <c r="ENX276" s="192"/>
      <c r="ENY276" s="192"/>
      <c r="ENZ276" s="192"/>
      <c r="EOA276" s="192"/>
      <c r="EOB276" s="192"/>
      <c r="EOC276" s="192"/>
      <c r="EOD276" s="192"/>
      <c r="EOE276" s="192"/>
      <c r="EOF276" s="192"/>
      <c r="EOG276" s="192"/>
      <c r="EOH276" s="192"/>
      <c r="EOI276" s="192"/>
      <c r="EOJ276" s="192"/>
      <c r="EOK276" s="192"/>
      <c r="EOL276" s="192"/>
      <c r="EOM276" s="192"/>
      <c r="EON276" s="192"/>
      <c r="EOO276" s="192"/>
      <c r="EOP276" s="192"/>
      <c r="EOQ276" s="192"/>
      <c r="EOR276" s="192"/>
      <c r="EOS276" s="192"/>
      <c r="EOT276" s="192"/>
      <c r="EOU276" s="192"/>
      <c r="EOV276" s="192"/>
      <c r="EOW276" s="192"/>
      <c r="EOX276" s="192"/>
      <c r="EOY276" s="192"/>
      <c r="EOZ276" s="192"/>
      <c r="EPA276" s="192"/>
      <c r="EPB276" s="192"/>
      <c r="EPC276" s="192"/>
      <c r="EPD276" s="192"/>
      <c r="EPE276" s="192"/>
      <c r="EPF276" s="192"/>
      <c r="EPG276" s="192"/>
      <c r="EPH276" s="192"/>
      <c r="EPI276" s="192"/>
      <c r="EPJ276" s="192"/>
      <c r="EPK276" s="192"/>
      <c r="EPL276" s="192"/>
      <c r="EPM276" s="192"/>
      <c r="EPN276" s="192"/>
      <c r="EPO276" s="192"/>
      <c r="EPP276" s="192"/>
      <c r="EPQ276" s="192"/>
      <c r="EPR276" s="192"/>
      <c r="EPS276" s="192"/>
      <c r="EPT276" s="192"/>
      <c r="EPU276" s="192"/>
      <c r="EPV276" s="192"/>
      <c r="EPW276" s="192"/>
      <c r="EPX276" s="192"/>
      <c r="EPY276" s="192"/>
      <c r="EPZ276" s="192"/>
      <c r="EQA276" s="192"/>
      <c r="EQB276" s="192"/>
      <c r="EQC276" s="192"/>
      <c r="EQD276" s="192"/>
      <c r="EQE276" s="192"/>
      <c r="EQF276" s="192"/>
      <c r="EQG276" s="192"/>
      <c r="EQH276" s="192"/>
      <c r="EQI276" s="192"/>
      <c r="EQJ276" s="192"/>
      <c r="EQK276" s="192"/>
      <c r="EQL276" s="192"/>
      <c r="EQM276" s="192"/>
      <c r="EQN276" s="192"/>
      <c r="EQO276" s="192"/>
      <c r="EQP276" s="192"/>
      <c r="EQQ276" s="192"/>
      <c r="EQR276" s="192"/>
      <c r="EQS276" s="192"/>
      <c r="EQT276" s="192"/>
      <c r="EQU276" s="192"/>
      <c r="EQV276" s="192"/>
      <c r="EQW276" s="192"/>
      <c r="EQX276" s="192"/>
      <c r="EQY276" s="192"/>
      <c r="EQZ276" s="192"/>
      <c r="ERA276" s="192"/>
      <c r="ERB276" s="192"/>
      <c r="ERC276" s="192"/>
      <c r="ERD276" s="192"/>
      <c r="ERE276" s="192"/>
      <c r="ERF276" s="192"/>
      <c r="ERG276" s="192"/>
      <c r="ERH276" s="192"/>
      <c r="ERI276" s="192"/>
      <c r="ERJ276" s="192"/>
      <c r="ERK276" s="192"/>
      <c r="ERL276" s="192"/>
      <c r="ERM276" s="192"/>
      <c r="ERN276" s="192"/>
      <c r="ERO276" s="192"/>
      <c r="ERP276" s="192"/>
      <c r="ERQ276" s="192"/>
      <c r="ERR276" s="192"/>
      <c r="ERS276" s="192"/>
      <c r="ERT276" s="192"/>
      <c r="ERU276" s="192"/>
      <c r="ERV276" s="192"/>
      <c r="ERW276" s="192"/>
      <c r="ERX276" s="192"/>
      <c r="ERY276" s="192"/>
      <c r="ERZ276" s="192"/>
      <c r="ESA276" s="192"/>
      <c r="ESB276" s="192"/>
      <c r="ESC276" s="192"/>
      <c r="ESD276" s="192"/>
      <c r="ESE276" s="192"/>
      <c r="ESF276" s="192"/>
      <c r="ESG276" s="192"/>
      <c r="ESH276" s="192"/>
      <c r="ESI276" s="192"/>
      <c r="ESJ276" s="192"/>
      <c r="ESK276" s="192"/>
      <c r="ESL276" s="192"/>
      <c r="ESM276" s="192"/>
      <c r="ESN276" s="192"/>
      <c r="ESO276" s="192"/>
      <c r="ESP276" s="192"/>
      <c r="ESQ276" s="192"/>
      <c r="ESR276" s="192"/>
      <c r="ESS276" s="192"/>
      <c r="EST276" s="192"/>
      <c r="ESU276" s="192"/>
      <c r="ESV276" s="192"/>
      <c r="ESW276" s="192"/>
      <c r="ESX276" s="192"/>
      <c r="ESY276" s="192"/>
      <c r="ESZ276" s="192"/>
      <c r="ETA276" s="192"/>
      <c r="ETB276" s="192"/>
      <c r="ETC276" s="192"/>
      <c r="ETD276" s="192"/>
      <c r="ETE276" s="192"/>
      <c r="ETF276" s="192"/>
      <c r="ETG276" s="192"/>
      <c r="ETH276" s="192"/>
      <c r="ETI276" s="192"/>
      <c r="ETJ276" s="192"/>
      <c r="ETK276" s="192"/>
      <c r="ETL276" s="192"/>
      <c r="ETM276" s="192"/>
      <c r="ETN276" s="192"/>
      <c r="ETO276" s="192"/>
      <c r="ETP276" s="192"/>
      <c r="ETQ276" s="192"/>
      <c r="ETR276" s="192"/>
      <c r="ETS276" s="192"/>
      <c r="ETT276" s="192"/>
      <c r="ETU276" s="192"/>
      <c r="ETV276" s="192"/>
      <c r="ETW276" s="192"/>
      <c r="ETX276" s="192"/>
      <c r="ETY276" s="192"/>
      <c r="ETZ276" s="192"/>
      <c r="EUA276" s="192"/>
      <c r="EUB276" s="192"/>
      <c r="EUC276" s="192"/>
      <c r="EUD276" s="192"/>
      <c r="EUE276" s="192"/>
      <c r="EUF276" s="192"/>
      <c r="EUG276" s="192"/>
      <c r="EUH276" s="192"/>
      <c r="EUI276" s="192"/>
      <c r="EUJ276" s="192"/>
      <c r="EUK276" s="192"/>
      <c r="EUL276" s="192"/>
      <c r="EUM276" s="192"/>
      <c r="EUN276" s="192"/>
      <c r="EUO276" s="192"/>
      <c r="EUP276" s="192"/>
      <c r="EUQ276" s="192"/>
      <c r="EUR276" s="192"/>
      <c r="EUS276" s="192"/>
      <c r="EUT276" s="192"/>
      <c r="EUU276" s="192"/>
      <c r="EUV276" s="192"/>
      <c r="EUW276" s="192"/>
      <c r="EUX276" s="192"/>
      <c r="EUY276" s="192"/>
      <c r="EUZ276" s="192"/>
      <c r="EVA276" s="192"/>
      <c r="EVB276" s="192"/>
      <c r="EVC276" s="192"/>
      <c r="EVD276" s="192"/>
      <c r="EVE276" s="192"/>
      <c r="EVF276" s="192"/>
      <c r="EVG276" s="192"/>
      <c r="EVH276" s="192"/>
      <c r="EVI276" s="192"/>
      <c r="EVJ276" s="192"/>
      <c r="EVK276" s="192"/>
      <c r="EVL276" s="192"/>
      <c r="EVM276" s="192"/>
      <c r="EVN276" s="192"/>
      <c r="EVO276" s="192"/>
      <c r="EVP276" s="192"/>
      <c r="EVQ276" s="192"/>
      <c r="EVR276" s="192"/>
      <c r="EVS276" s="192"/>
      <c r="EVT276" s="192"/>
      <c r="EVU276" s="192"/>
      <c r="EVV276" s="192"/>
      <c r="EVW276" s="192"/>
      <c r="EVX276" s="192"/>
      <c r="EVY276" s="192"/>
      <c r="EVZ276" s="192"/>
      <c r="EWA276" s="192"/>
      <c r="EWB276" s="192"/>
      <c r="EWC276" s="192"/>
      <c r="EWD276" s="192"/>
      <c r="EWE276" s="192"/>
      <c r="EWF276" s="192"/>
      <c r="EWG276" s="192"/>
      <c r="EWH276" s="192"/>
      <c r="EWI276" s="192"/>
      <c r="EWJ276" s="192"/>
      <c r="EWK276" s="192"/>
      <c r="EWL276" s="192"/>
      <c r="EWM276" s="192"/>
      <c r="EWN276" s="192"/>
      <c r="EWO276" s="192"/>
      <c r="EWP276" s="192"/>
      <c r="EWQ276" s="192"/>
      <c r="EWR276" s="192"/>
      <c r="EWS276" s="192"/>
      <c r="EWT276" s="192"/>
      <c r="EWU276" s="192"/>
      <c r="EWV276" s="192"/>
      <c r="EWW276" s="192"/>
      <c r="EWX276" s="192"/>
      <c r="EWY276" s="192"/>
      <c r="EWZ276" s="192"/>
      <c r="EXA276" s="192"/>
      <c r="EXB276" s="192"/>
      <c r="EXC276" s="192"/>
      <c r="EXD276" s="192"/>
      <c r="EXE276" s="192"/>
      <c r="EXF276" s="192"/>
      <c r="EXG276" s="192"/>
      <c r="EXH276" s="192"/>
      <c r="EXI276" s="192"/>
      <c r="EXJ276" s="192"/>
      <c r="EXK276" s="192"/>
      <c r="EXL276" s="192"/>
      <c r="EXM276" s="192"/>
      <c r="EXN276" s="192"/>
      <c r="EXO276" s="192"/>
      <c r="EXP276" s="192"/>
      <c r="EXQ276" s="192"/>
      <c r="EXR276" s="192"/>
      <c r="EXS276" s="192"/>
      <c r="EXT276" s="192"/>
      <c r="EXU276" s="192"/>
      <c r="EXV276" s="192"/>
      <c r="EXW276" s="192"/>
      <c r="EXX276" s="192"/>
      <c r="EXY276" s="192"/>
      <c r="EXZ276" s="192"/>
      <c r="EYA276" s="192"/>
      <c r="EYB276" s="192"/>
      <c r="EYC276" s="192"/>
      <c r="EYD276" s="192"/>
      <c r="EYE276" s="192"/>
      <c r="EYF276" s="192"/>
      <c r="EYG276" s="192"/>
      <c r="EYH276" s="192"/>
      <c r="EYI276" s="192"/>
      <c r="EYJ276" s="192"/>
      <c r="EYK276" s="192"/>
      <c r="EYL276" s="192"/>
      <c r="EYM276" s="192"/>
      <c r="EYN276" s="192"/>
      <c r="EYO276" s="192"/>
      <c r="EYP276" s="192"/>
      <c r="EYQ276" s="192"/>
      <c r="EYR276" s="192"/>
      <c r="EYS276" s="192"/>
      <c r="EYT276" s="192"/>
      <c r="EYU276" s="192"/>
      <c r="EYV276" s="192"/>
      <c r="EYW276" s="192"/>
      <c r="EYX276" s="192"/>
      <c r="EYY276" s="192"/>
      <c r="EYZ276" s="192"/>
      <c r="EZA276" s="192"/>
      <c r="EZB276" s="192"/>
      <c r="EZC276" s="192"/>
      <c r="EZD276" s="192"/>
      <c r="EZE276" s="192"/>
      <c r="EZF276" s="192"/>
      <c r="EZG276" s="192"/>
      <c r="EZH276" s="192"/>
      <c r="EZI276" s="192"/>
      <c r="EZJ276" s="192"/>
      <c r="EZK276" s="192"/>
      <c r="EZL276" s="192"/>
      <c r="EZM276" s="192"/>
      <c r="EZN276" s="192"/>
      <c r="EZO276" s="192"/>
      <c r="EZP276" s="192"/>
      <c r="EZQ276" s="192"/>
      <c r="EZR276" s="192"/>
      <c r="EZS276" s="192"/>
      <c r="EZT276" s="192"/>
      <c r="EZU276" s="192"/>
      <c r="EZV276" s="192"/>
      <c r="EZW276" s="192"/>
      <c r="EZX276" s="192"/>
      <c r="EZY276" s="192"/>
      <c r="EZZ276" s="192"/>
      <c r="FAA276" s="192"/>
      <c r="FAB276" s="192"/>
      <c r="FAC276" s="192"/>
      <c r="FAD276" s="192"/>
      <c r="FAE276" s="192"/>
      <c r="FAF276" s="192"/>
      <c r="FAG276" s="192"/>
      <c r="FAH276" s="192"/>
      <c r="FAI276" s="192"/>
      <c r="FAJ276" s="192"/>
      <c r="FAK276" s="192"/>
      <c r="FAL276" s="192"/>
      <c r="FAM276" s="192"/>
      <c r="FAN276" s="192"/>
      <c r="FAO276" s="192"/>
      <c r="FAP276" s="192"/>
      <c r="FAQ276" s="192"/>
      <c r="FAR276" s="192"/>
      <c r="FAS276" s="192"/>
      <c r="FAT276" s="192"/>
      <c r="FAU276" s="192"/>
      <c r="FAV276" s="192"/>
      <c r="FAW276" s="192"/>
      <c r="FAX276" s="192"/>
      <c r="FAY276" s="192"/>
      <c r="FAZ276" s="192"/>
      <c r="FBA276" s="192"/>
      <c r="FBB276" s="192"/>
      <c r="FBC276" s="192"/>
      <c r="FBD276" s="192"/>
      <c r="FBE276" s="192"/>
      <c r="FBF276" s="192"/>
      <c r="FBG276" s="192"/>
      <c r="FBH276" s="192"/>
      <c r="FBI276" s="192"/>
      <c r="FBJ276" s="192"/>
      <c r="FBK276" s="192"/>
      <c r="FBL276" s="192"/>
      <c r="FBM276" s="192"/>
      <c r="FBN276" s="192"/>
      <c r="FBO276" s="192"/>
      <c r="FBP276" s="192"/>
      <c r="FBQ276" s="192"/>
      <c r="FBR276" s="192"/>
      <c r="FBS276" s="192"/>
      <c r="FBT276" s="192"/>
      <c r="FBU276" s="192"/>
      <c r="FBV276" s="192"/>
      <c r="FBW276" s="192"/>
      <c r="FBX276" s="192"/>
      <c r="FBY276" s="192"/>
      <c r="FBZ276" s="192"/>
      <c r="FCA276" s="192"/>
      <c r="FCB276" s="192"/>
      <c r="FCC276" s="192"/>
      <c r="FCD276" s="192"/>
      <c r="FCE276" s="192"/>
      <c r="FCF276" s="192"/>
      <c r="FCG276" s="192"/>
      <c r="FCH276" s="192"/>
      <c r="FCI276" s="192"/>
      <c r="FCJ276" s="192"/>
      <c r="FCK276" s="192"/>
      <c r="FCL276" s="192"/>
      <c r="FCM276" s="192"/>
      <c r="FCN276" s="192"/>
      <c r="FCO276" s="192"/>
      <c r="FCP276" s="192"/>
      <c r="FCQ276" s="192"/>
      <c r="FCR276" s="192"/>
      <c r="FCS276" s="192"/>
      <c r="FCT276" s="192"/>
      <c r="FCU276" s="192"/>
      <c r="FCV276" s="192"/>
      <c r="FCW276" s="192"/>
      <c r="FCX276" s="192"/>
      <c r="FCY276" s="192"/>
      <c r="FCZ276" s="192"/>
      <c r="FDA276" s="192"/>
      <c r="FDB276" s="192"/>
      <c r="FDC276" s="192"/>
      <c r="FDD276" s="192"/>
      <c r="FDE276" s="192"/>
      <c r="FDF276" s="192"/>
      <c r="FDG276" s="192"/>
      <c r="FDH276" s="192"/>
      <c r="FDI276" s="192"/>
      <c r="FDJ276" s="192"/>
      <c r="FDK276" s="192"/>
      <c r="FDL276" s="192"/>
      <c r="FDM276" s="192"/>
      <c r="FDN276" s="192"/>
      <c r="FDO276" s="192"/>
      <c r="FDP276" s="192"/>
      <c r="FDQ276" s="192"/>
      <c r="FDR276" s="192"/>
      <c r="FDS276" s="192"/>
      <c r="FDT276" s="192"/>
      <c r="FDU276" s="192"/>
      <c r="FDV276" s="192"/>
      <c r="FDW276" s="192"/>
      <c r="FDX276" s="192"/>
      <c r="FDY276" s="192"/>
      <c r="FDZ276" s="192"/>
      <c r="FEA276" s="192"/>
      <c r="FEB276" s="192"/>
      <c r="FEC276" s="192"/>
      <c r="FED276" s="192"/>
      <c r="FEE276" s="192"/>
      <c r="FEF276" s="192"/>
      <c r="FEG276" s="192"/>
      <c r="FEH276" s="192"/>
      <c r="FEI276" s="192"/>
      <c r="FEJ276" s="192"/>
      <c r="FEK276" s="192"/>
      <c r="FEL276" s="192"/>
      <c r="FEM276" s="192"/>
      <c r="FEN276" s="192"/>
      <c r="FEO276" s="192"/>
      <c r="FEP276" s="192"/>
      <c r="FEQ276" s="192"/>
      <c r="FER276" s="192"/>
      <c r="FES276" s="192"/>
      <c r="FET276" s="192"/>
      <c r="FEU276" s="192"/>
      <c r="FEV276" s="192"/>
      <c r="FEW276" s="192"/>
      <c r="FEX276" s="192"/>
      <c r="FEY276" s="192"/>
      <c r="FEZ276" s="192"/>
      <c r="FFA276" s="192"/>
      <c r="FFB276" s="192"/>
      <c r="FFC276" s="192"/>
      <c r="FFD276" s="192"/>
      <c r="FFE276" s="192"/>
      <c r="FFF276" s="192"/>
      <c r="FFG276" s="192"/>
      <c r="FFH276" s="192"/>
      <c r="FFI276" s="192"/>
      <c r="FFJ276" s="192"/>
      <c r="FFK276" s="192"/>
      <c r="FFL276" s="192"/>
      <c r="FFM276" s="192"/>
      <c r="FFN276" s="192"/>
      <c r="FFO276" s="192"/>
      <c r="FFP276" s="192"/>
      <c r="FFQ276" s="192"/>
      <c r="FFR276" s="192"/>
      <c r="FFS276" s="192"/>
      <c r="FFT276" s="192"/>
      <c r="FFU276" s="192"/>
      <c r="FFV276" s="192"/>
      <c r="FFW276" s="192"/>
      <c r="FFX276" s="192"/>
      <c r="FFY276" s="192"/>
      <c r="FFZ276" s="192"/>
      <c r="FGA276" s="192"/>
      <c r="FGB276" s="192"/>
      <c r="FGC276" s="192"/>
      <c r="FGD276" s="192"/>
      <c r="FGE276" s="192"/>
      <c r="FGF276" s="192"/>
      <c r="FGG276" s="192"/>
      <c r="FGH276" s="192"/>
      <c r="FGI276" s="192"/>
      <c r="FGJ276" s="192"/>
      <c r="FGK276" s="192"/>
      <c r="FGL276" s="192"/>
      <c r="FGM276" s="192"/>
      <c r="FGN276" s="192"/>
      <c r="FGO276" s="192"/>
      <c r="FGP276" s="192"/>
      <c r="FGQ276" s="192"/>
      <c r="FGR276" s="192"/>
      <c r="FGS276" s="192"/>
      <c r="FGT276" s="192"/>
      <c r="FGU276" s="192"/>
      <c r="FGV276" s="192"/>
      <c r="FGW276" s="192"/>
      <c r="FGX276" s="192"/>
      <c r="FGY276" s="192"/>
      <c r="FGZ276" s="192"/>
      <c r="FHA276" s="192"/>
      <c r="FHB276" s="192"/>
      <c r="FHC276" s="192"/>
      <c r="FHD276" s="192"/>
      <c r="FHE276" s="192"/>
      <c r="FHF276" s="192"/>
      <c r="FHG276" s="192"/>
      <c r="FHH276" s="192"/>
      <c r="FHI276" s="192"/>
      <c r="FHJ276" s="192"/>
      <c r="FHK276" s="192"/>
      <c r="FHL276" s="192"/>
      <c r="FHM276" s="192"/>
      <c r="FHN276" s="192"/>
      <c r="FHO276" s="192"/>
      <c r="FHP276" s="192"/>
      <c r="FHQ276" s="192"/>
      <c r="FHR276" s="192"/>
      <c r="FHS276" s="192"/>
      <c r="FHT276" s="192"/>
      <c r="FHU276" s="192"/>
      <c r="FHV276" s="192"/>
      <c r="FHW276" s="192"/>
      <c r="FHX276" s="192"/>
      <c r="FHY276" s="192"/>
      <c r="FHZ276" s="192"/>
      <c r="FIA276" s="192"/>
      <c r="FIB276" s="192"/>
      <c r="FIC276" s="192"/>
      <c r="FID276" s="192"/>
      <c r="FIE276" s="192"/>
      <c r="FIF276" s="192"/>
      <c r="FIG276" s="192"/>
      <c r="FIH276" s="192"/>
      <c r="FII276" s="192"/>
      <c r="FIJ276" s="192"/>
      <c r="FIK276" s="192"/>
      <c r="FIL276" s="192"/>
      <c r="FIM276" s="192"/>
      <c r="FIN276" s="192"/>
      <c r="FIO276" s="192"/>
      <c r="FIP276" s="192"/>
      <c r="FIQ276" s="192"/>
      <c r="FIR276" s="192"/>
      <c r="FIS276" s="192"/>
      <c r="FIT276" s="192"/>
      <c r="FIU276" s="192"/>
      <c r="FIV276" s="192"/>
      <c r="FIW276" s="192"/>
      <c r="FIX276" s="192"/>
      <c r="FIY276" s="192"/>
      <c r="FIZ276" s="192"/>
      <c r="FJA276" s="192"/>
      <c r="FJB276" s="192"/>
      <c r="FJC276" s="192"/>
      <c r="FJD276" s="192"/>
      <c r="FJE276" s="192"/>
      <c r="FJF276" s="192"/>
      <c r="FJG276" s="192"/>
      <c r="FJH276" s="192"/>
      <c r="FJI276" s="192"/>
      <c r="FJJ276" s="192"/>
      <c r="FJK276" s="192"/>
      <c r="FJL276" s="192"/>
      <c r="FJM276" s="192"/>
      <c r="FJN276" s="192"/>
      <c r="FJO276" s="192"/>
      <c r="FJP276" s="192"/>
      <c r="FJQ276" s="192"/>
      <c r="FJR276" s="192"/>
      <c r="FJS276" s="192"/>
      <c r="FJT276" s="192"/>
      <c r="FJU276" s="192"/>
      <c r="FJV276" s="192"/>
      <c r="FJW276" s="192"/>
      <c r="FJX276" s="192"/>
      <c r="FJY276" s="192"/>
      <c r="FJZ276" s="192"/>
      <c r="FKA276" s="192"/>
      <c r="FKB276" s="192"/>
      <c r="FKC276" s="192"/>
      <c r="FKD276" s="192"/>
      <c r="FKE276" s="192"/>
      <c r="FKF276" s="192"/>
      <c r="FKG276" s="192"/>
      <c r="FKH276" s="192"/>
      <c r="FKI276" s="192"/>
      <c r="FKJ276" s="192"/>
      <c r="FKK276" s="192"/>
      <c r="FKL276" s="192"/>
      <c r="FKM276" s="192"/>
      <c r="FKN276" s="192"/>
      <c r="FKO276" s="192"/>
      <c r="FKP276" s="192"/>
      <c r="FKQ276" s="192"/>
      <c r="FKR276" s="192"/>
      <c r="FKS276" s="192"/>
      <c r="FKT276" s="192"/>
      <c r="FKU276" s="192"/>
      <c r="FKV276" s="192"/>
      <c r="FKW276" s="192"/>
      <c r="FKX276" s="192"/>
      <c r="FKY276" s="192"/>
      <c r="FKZ276" s="192"/>
      <c r="FLA276" s="192"/>
      <c r="FLB276" s="192"/>
      <c r="FLC276" s="192"/>
      <c r="FLD276" s="192"/>
      <c r="FLE276" s="192"/>
      <c r="FLF276" s="192"/>
      <c r="FLG276" s="192"/>
      <c r="FLH276" s="192"/>
      <c r="FLI276" s="192"/>
      <c r="FLJ276" s="192"/>
      <c r="FLK276" s="192"/>
      <c r="FLL276" s="192"/>
      <c r="FLM276" s="192"/>
      <c r="FLN276" s="192"/>
      <c r="FLO276" s="192"/>
      <c r="FLP276" s="192"/>
      <c r="FLQ276" s="192"/>
      <c r="FLR276" s="192"/>
      <c r="FLS276" s="192"/>
      <c r="FLT276" s="192"/>
      <c r="FLU276" s="192"/>
      <c r="FLV276" s="192"/>
      <c r="FLW276" s="192"/>
      <c r="FLX276" s="192"/>
      <c r="FLY276" s="192"/>
      <c r="FLZ276" s="192"/>
      <c r="FMA276" s="192"/>
      <c r="FMB276" s="192"/>
      <c r="FMC276" s="192"/>
      <c r="FMD276" s="192"/>
      <c r="FME276" s="192"/>
      <c r="FMF276" s="192"/>
      <c r="FMG276" s="192"/>
      <c r="FMH276" s="192"/>
      <c r="FMI276" s="192"/>
      <c r="FMJ276" s="192"/>
      <c r="FMK276" s="192"/>
      <c r="FML276" s="192"/>
      <c r="FMM276" s="192"/>
      <c r="FMN276" s="192"/>
      <c r="FMO276" s="192"/>
      <c r="FMP276" s="192"/>
      <c r="FMQ276" s="192"/>
      <c r="FMR276" s="192"/>
      <c r="FMS276" s="192"/>
      <c r="FMT276" s="192"/>
      <c r="FMU276" s="192"/>
      <c r="FMV276" s="192"/>
      <c r="FMW276" s="192"/>
      <c r="FMX276" s="192"/>
      <c r="FMY276" s="192"/>
      <c r="FMZ276" s="192"/>
      <c r="FNA276" s="192"/>
      <c r="FNB276" s="192"/>
      <c r="FNC276" s="192"/>
      <c r="FND276" s="192"/>
      <c r="FNE276" s="192"/>
      <c r="FNF276" s="192"/>
      <c r="FNG276" s="192"/>
      <c r="FNH276" s="192"/>
      <c r="FNI276" s="192"/>
      <c r="FNJ276" s="192"/>
      <c r="FNK276" s="192"/>
      <c r="FNL276" s="192"/>
      <c r="FNM276" s="192"/>
      <c r="FNN276" s="192"/>
      <c r="FNO276" s="192"/>
      <c r="FNP276" s="192"/>
      <c r="FNQ276" s="192"/>
      <c r="FNR276" s="192"/>
      <c r="FNS276" s="192"/>
      <c r="FNT276" s="192"/>
      <c r="FNU276" s="192"/>
      <c r="FNV276" s="192"/>
      <c r="FNW276" s="192"/>
      <c r="FNX276" s="192"/>
      <c r="FNY276" s="192"/>
      <c r="FNZ276" s="192"/>
      <c r="FOA276" s="192"/>
      <c r="FOB276" s="192"/>
      <c r="FOC276" s="192"/>
      <c r="FOD276" s="192"/>
      <c r="FOE276" s="192"/>
      <c r="FOF276" s="192"/>
      <c r="FOG276" s="192"/>
      <c r="FOH276" s="192"/>
      <c r="FOI276" s="192"/>
      <c r="FOJ276" s="192"/>
      <c r="FOK276" s="192"/>
      <c r="FOL276" s="192"/>
      <c r="FOM276" s="192"/>
      <c r="FON276" s="192"/>
      <c r="FOO276" s="192"/>
      <c r="FOP276" s="192"/>
      <c r="FOQ276" s="192"/>
      <c r="FOR276" s="192"/>
      <c r="FOS276" s="192"/>
      <c r="FOT276" s="192"/>
      <c r="FOU276" s="192"/>
      <c r="FOV276" s="192"/>
      <c r="FOW276" s="192"/>
      <c r="FOX276" s="192"/>
      <c r="FOY276" s="192"/>
      <c r="FOZ276" s="192"/>
      <c r="FPA276" s="192"/>
      <c r="FPB276" s="192"/>
      <c r="FPC276" s="192"/>
      <c r="FPD276" s="192"/>
      <c r="FPE276" s="192"/>
      <c r="FPF276" s="192"/>
      <c r="FPG276" s="192"/>
      <c r="FPH276" s="192"/>
      <c r="FPI276" s="192"/>
      <c r="FPJ276" s="192"/>
      <c r="FPK276" s="192"/>
      <c r="FPL276" s="192"/>
      <c r="FPM276" s="192"/>
      <c r="FPN276" s="192"/>
      <c r="FPO276" s="192"/>
      <c r="FPP276" s="192"/>
      <c r="FPQ276" s="192"/>
      <c r="FPR276" s="192"/>
      <c r="FPS276" s="192"/>
      <c r="FPT276" s="192"/>
      <c r="FPU276" s="192"/>
      <c r="FPV276" s="192"/>
      <c r="FPW276" s="192"/>
      <c r="FPX276" s="192"/>
      <c r="FPY276" s="192"/>
      <c r="FPZ276" s="192"/>
      <c r="FQA276" s="192"/>
      <c r="FQB276" s="192"/>
      <c r="FQC276" s="192"/>
      <c r="FQD276" s="192"/>
      <c r="FQE276" s="192"/>
      <c r="FQF276" s="192"/>
      <c r="FQG276" s="192"/>
      <c r="FQH276" s="192"/>
      <c r="FQI276" s="192"/>
      <c r="FQJ276" s="192"/>
      <c r="FQK276" s="192"/>
      <c r="FQL276" s="192"/>
      <c r="FQM276" s="192"/>
      <c r="FQN276" s="192"/>
      <c r="FQO276" s="192"/>
      <c r="FQP276" s="192"/>
      <c r="FQQ276" s="192"/>
      <c r="FQR276" s="192"/>
      <c r="FQS276" s="192"/>
      <c r="FQT276" s="192"/>
      <c r="FQU276" s="192"/>
      <c r="FQV276" s="192"/>
      <c r="FQW276" s="192"/>
      <c r="FQX276" s="192"/>
      <c r="FQY276" s="192"/>
      <c r="FQZ276" s="192"/>
      <c r="FRA276" s="192"/>
      <c r="FRB276" s="192"/>
      <c r="FRC276" s="192"/>
      <c r="FRD276" s="192"/>
      <c r="FRE276" s="192"/>
      <c r="FRF276" s="192"/>
      <c r="FRG276" s="192"/>
      <c r="FRH276" s="192"/>
      <c r="FRI276" s="192"/>
      <c r="FRJ276" s="192"/>
      <c r="FRK276" s="192"/>
      <c r="FRL276" s="192"/>
      <c r="FRM276" s="192"/>
      <c r="FRN276" s="192"/>
      <c r="FRO276" s="192"/>
      <c r="FRP276" s="192"/>
      <c r="FRQ276" s="192"/>
      <c r="FRR276" s="192"/>
      <c r="FRS276" s="192"/>
      <c r="FRT276" s="192"/>
      <c r="FRU276" s="192"/>
      <c r="FRV276" s="192"/>
      <c r="FRW276" s="192"/>
      <c r="FRX276" s="192"/>
      <c r="FRY276" s="192"/>
      <c r="FRZ276" s="192"/>
      <c r="FSA276" s="192"/>
      <c r="FSB276" s="192"/>
      <c r="FSC276" s="192"/>
      <c r="FSD276" s="192"/>
      <c r="FSE276" s="192"/>
      <c r="FSF276" s="192"/>
      <c r="FSG276" s="192"/>
      <c r="FSH276" s="192"/>
      <c r="FSI276" s="192"/>
      <c r="FSJ276" s="192"/>
      <c r="FSK276" s="192"/>
      <c r="FSL276" s="192"/>
      <c r="FSM276" s="192"/>
      <c r="FSN276" s="192"/>
      <c r="FSO276" s="192"/>
      <c r="FSP276" s="192"/>
      <c r="FSQ276" s="192"/>
      <c r="FSR276" s="192"/>
      <c r="FSS276" s="192"/>
      <c r="FST276" s="192"/>
      <c r="FSU276" s="192"/>
      <c r="FSV276" s="192"/>
      <c r="FSW276" s="192"/>
      <c r="FSX276" s="192"/>
      <c r="FSY276" s="192"/>
      <c r="FSZ276" s="192"/>
      <c r="FTA276" s="192"/>
      <c r="FTB276" s="192"/>
      <c r="FTC276" s="192"/>
      <c r="FTD276" s="192"/>
      <c r="FTE276" s="192"/>
      <c r="FTF276" s="192"/>
      <c r="FTG276" s="192"/>
      <c r="FTH276" s="192"/>
      <c r="FTI276" s="192"/>
      <c r="FTJ276" s="192"/>
      <c r="FTK276" s="192"/>
      <c r="FTL276" s="192"/>
      <c r="FTM276" s="192"/>
      <c r="FTN276" s="192"/>
      <c r="FTO276" s="192"/>
      <c r="FTP276" s="192"/>
      <c r="FTQ276" s="192"/>
      <c r="FTR276" s="192"/>
      <c r="FTS276" s="192"/>
      <c r="FTT276" s="192"/>
      <c r="FTU276" s="192"/>
      <c r="FTV276" s="192"/>
      <c r="FTW276" s="192"/>
      <c r="FTX276" s="192"/>
      <c r="FTY276" s="192"/>
      <c r="FTZ276" s="192"/>
      <c r="FUA276" s="192"/>
      <c r="FUB276" s="192"/>
      <c r="FUC276" s="192"/>
      <c r="FUD276" s="192"/>
      <c r="FUE276" s="192"/>
      <c r="FUF276" s="192"/>
      <c r="FUG276" s="192"/>
      <c r="FUH276" s="192"/>
      <c r="FUI276" s="192"/>
      <c r="FUJ276" s="192"/>
      <c r="FUK276" s="192"/>
      <c r="FUL276" s="192"/>
      <c r="FUM276" s="192"/>
      <c r="FUN276" s="192"/>
      <c r="FUO276" s="192"/>
      <c r="FUP276" s="192"/>
      <c r="FUQ276" s="192"/>
      <c r="FUR276" s="192"/>
      <c r="FUS276" s="192"/>
      <c r="FUT276" s="192"/>
      <c r="FUU276" s="192"/>
      <c r="FUV276" s="192"/>
      <c r="FUW276" s="192"/>
      <c r="FUX276" s="192"/>
      <c r="FUY276" s="192"/>
      <c r="FUZ276" s="192"/>
      <c r="FVA276" s="192"/>
      <c r="FVB276" s="192"/>
      <c r="FVC276" s="192"/>
      <c r="FVD276" s="192"/>
      <c r="FVE276" s="192"/>
      <c r="FVF276" s="192"/>
      <c r="FVG276" s="192"/>
      <c r="FVH276" s="192"/>
      <c r="FVI276" s="192"/>
      <c r="FVJ276" s="192"/>
      <c r="FVK276" s="192"/>
      <c r="FVL276" s="192"/>
      <c r="FVM276" s="192"/>
      <c r="FVN276" s="192"/>
      <c r="FVO276" s="192"/>
      <c r="FVP276" s="192"/>
      <c r="FVQ276" s="192"/>
      <c r="FVR276" s="192"/>
      <c r="FVS276" s="192"/>
      <c r="FVT276" s="192"/>
      <c r="FVU276" s="192"/>
      <c r="FVV276" s="192"/>
      <c r="FVW276" s="192"/>
      <c r="FVX276" s="192"/>
      <c r="FVY276" s="192"/>
      <c r="FVZ276" s="192"/>
      <c r="FWA276" s="192"/>
      <c r="FWB276" s="192"/>
      <c r="FWC276" s="192"/>
      <c r="FWD276" s="192"/>
      <c r="FWE276" s="192"/>
      <c r="FWF276" s="192"/>
      <c r="FWG276" s="192"/>
      <c r="FWH276" s="192"/>
      <c r="FWI276" s="192"/>
      <c r="FWJ276" s="192"/>
      <c r="FWK276" s="192"/>
      <c r="FWL276" s="192"/>
      <c r="FWM276" s="192"/>
      <c r="FWN276" s="192"/>
      <c r="FWO276" s="192"/>
      <c r="FWP276" s="192"/>
      <c r="FWQ276" s="192"/>
      <c r="FWR276" s="192"/>
      <c r="FWS276" s="192"/>
      <c r="FWT276" s="192"/>
      <c r="FWU276" s="192"/>
      <c r="FWV276" s="192"/>
      <c r="FWW276" s="192"/>
      <c r="FWX276" s="192"/>
      <c r="FWY276" s="192"/>
      <c r="FWZ276" s="192"/>
      <c r="FXA276" s="192"/>
      <c r="FXB276" s="192"/>
      <c r="FXC276" s="192"/>
      <c r="FXD276" s="192"/>
      <c r="FXE276" s="192"/>
      <c r="FXF276" s="192"/>
      <c r="FXG276" s="192"/>
      <c r="FXH276" s="192"/>
      <c r="FXI276" s="192"/>
      <c r="FXJ276" s="192"/>
      <c r="FXK276" s="192"/>
      <c r="FXL276" s="192"/>
      <c r="FXM276" s="192"/>
      <c r="FXN276" s="192"/>
      <c r="FXO276" s="192"/>
      <c r="FXP276" s="192"/>
      <c r="FXQ276" s="192"/>
      <c r="FXR276" s="192"/>
      <c r="FXS276" s="192"/>
      <c r="FXT276" s="192"/>
      <c r="FXU276" s="192"/>
      <c r="FXV276" s="192"/>
      <c r="FXW276" s="192"/>
      <c r="FXX276" s="192"/>
      <c r="FXY276" s="192"/>
      <c r="FXZ276" s="192"/>
      <c r="FYA276" s="192"/>
      <c r="FYB276" s="192"/>
      <c r="FYC276" s="192"/>
      <c r="FYD276" s="192"/>
      <c r="FYE276" s="192"/>
      <c r="FYF276" s="192"/>
      <c r="FYG276" s="192"/>
      <c r="FYH276" s="192"/>
      <c r="FYI276" s="192"/>
      <c r="FYJ276" s="192"/>
      <c r="FYK276" s="192"/>
      <c r="FYL276" s="192"/>
      <c r="FYM276" s="192"/>
      <c r="FYN276" s="192"/>
      <c r="FYO276" s="192"/>
      <c r="FYP276" s="192"/>
      <c r="FYQ276" s="192"/>
      <c r="FYR276" s="192"/>
      <c r="FYS276" s="192"/>
      <c r="FYT276" s="192"/>
      <c r="FYU276" s="192"/>
      <c r="FYV276" s="192"/>
      <c r="FYW276" s="192"/>
      <c r="FYX276" s="192"/>
      <c r="FYY276" s="192"/>
      <c r="FYZ276" s="192"/>
      <c r="FZA276" s="192"/>
      <c r="FZB276" s="192"/>
      <c r="FZC276" s="192"/>
      <c r="FZD276" s="192"/>
      <c r="FZE276" s="192"/>
      <c r="FZF276" s="192"/>
      <c r="FZG276" s="192"/>
      <c r="FZH276" s="192"/>
      <c r="FZI276" s="192"/>
      <c r="FZJ276" s="192"/>
      <c r="FZK276" s="192"/>
      <c r="FZL276" s="192"/>
      <c r="FZM276" s="192"/>
      <c r="FZN276" s="192"/>
      <c r="FZO276" s="192"/>
      <c r="FZP276" s="192"/>
      <c r="FZQ276" s="192"/>
      <c r="FZR276" s="192"/>
      <c r="FZS276" s="192"/>
      <c r="FZT276" s="192"/>
      <c r="FZU276" s="192"/>
      <c r="FZV276" s="192"/>
      <c r="FZW276" s="192"/>
      <c r="FZX276" s="192"/>
      <c r="FZY276" s="192"/>
      <c r="FZZ276" s="192"/>
      <c r="GAA276" s="192"/>
      <c r="GAB276" s="192"/>
      <c r="GAC276" s="192"/>
      <c r="GAD276" s="192"/>
      <c r="GAE276" s="192"/>
      <c r="GAF276" s="192"/>
      <c r="GAG276" s="192"/>
      <c r="GAH276" s="192"/>
      <c r="GAI276" s="192"/>
      <c r="GAJ276" s="192"/>
      <c r="GAK276" s="192"/>
      <c r="GAL276" s="192"/>
      <c r="GAM276" s="192"/>
      <c r="GAN276" s="192"/>
      <c r="GAO276" s="192"/>
      <c r="GAP276" s="192"/>
      <c r="GAQ276" s="192"/>
      <c r="GAR276" s="192"/>
      <c r="GAS276" s="192"/>
      <c r="GAT276" s="192"/>
      <c r="GAU276" s="192"/>
      <c r="GAV276" s="192"/>
      <c r="GAW276" s="192"/>
      <c r="GAX276" s="192"/>
      <c r="GAY276" s="192"/>
      <c r="GAZ276" s="192"/>
      <c r="GBA276" s="192"/>
      <c r="GBB276" s="192"/>
      <c r="GBC276" s="192"/>
      <c r="GBD276" s="192"/>
      <c r="GBE276" s="192"/>
      <c r="GBF276" s="192"/>
      <c r="GBG276" s="192"/>
      <c r="GBH276" s="192"/>
      <c r="GBI276" s="192"/>
      <c r="GBJ276" s="192"/>
      <c r="GBK276" s="192"/>
      <c r="GBL276" s="192"/>
      <c r="GBM276" s="192"/>
      <c r="GBN276" s="192"/>
      <c r="GBO276" s="192"/>
      <c r="GBP276" s="192"/>
      <c r="GBQ276" s="192"/>
      <c r="GBR276" s="192"/>
      <c r="GBS276" s="192"/>
      <c r="GBT276" s="192"/>
      <c r="GBU276" s="192"/>
      <c r="GBV276" s="192"/>
      <c r="GBW276" s="192"/>
      <c r="GBX276" s="192"/>
      <c r="GBY276" s="192"/>
      <c r="GBZ276" s="192"/>
      <c r="GCA276" s="192"/>
      <c r="GCB276" s="192"/>
      <c r="GCC276" s="192"/>
      <c r="GCD276" s="192"/>
      <c r="GCE276" s="192"/>
      <c r="GCF276" s="192"/>
      <c r="GCG276" s="192"/>
      <c r="GCH276" s="192"/>
      <c r="GCI276" s="192"/>
      <c r="GCJ276" s="192"/>
      <c r="GCK276" s="192"/>
      <c r="GCL276" s="192"/>
      <c r="GCM276" s="192"/>
      <c r="GCN276" s="192"/>
      <c r="GCO276" s="192"/>
      <c r="GCP276" s="192"/>
      <c r="GCQ276" s="192"/>
      <c r="GCR276" s="192"/>
      <c r="GCS276" s="192"/>
      <c r="GCT276" s="192"/>
      <c r="GCU276" s="192"/>
      <c r="GCV276" s="192"/>
      <c r="GCW276" s="192"/>
      <c r="GCX276" s="192"/>
      <c r="GCY276" s="192"/>
      <c r="GCZ276" s="192"/>
      <c r="GDA276" s="192"/>
      <c r="GDB276" s="192"/>
      <c r="GDC276" s="192"/>
      <c r="GDD276" s="192"/>
      <c r="GDE276" s="192"/>
      <c r="GDF276" s="192"/>
      <c r="GDG276" s="192"/>
      <c r="GDH276" s="192"/>
      <c r="GDI276" s="192"/>
      <c r="GDJ276" s="192"/>
      <c r="GDK276" s="192"/>
      <c r="GDL276" s="192"/>
      <c r="GDM276" s="192"/>
      <c r="GDN276" s="192"/>
      <c r="GDO276" s="192"/>
      <c r="GDP276" s="192"/>
      <c r="GDQ276" s="192"/>
      <c r="GDR276" s="192"/>
      <c r="GDS276" s="192"/>
      <c r="GDT276" s="192"/>
      <c r="GDU276" s="192"/>
      <c r="GDV276" s="192"/>
      <c r="GDW276" s="192"/>
      <c r="GDX276" s="192"/>
      <c r="GDY276" s="192"/>
      <c r="GDZ276" s="192"/>
      <c r="GEA276" s="192"/>
      <c r="GEB276" s="192"/>
      <c r="GEC276" s="192"/>
      <c r="GED276" s="192"/>
      <c r="GEE276" s="192"/>
      <c r="GEF276" s="192"/>
      <c r="GEG276" s="192"/>
      <c r="GEH276" s="192"/>
      <c r="GEI276" s="192"/>
      <c r="GEJ276" s="192"/>
      <c r="GEK276" s="192"/>
      <c r="GEL276" s="192"/>
      <c r="GEM276" s="192"/>
      <c r="GEN276" s="192"/>
      <c r="GEO276" s="192"/>
      <c r="GEP276" s="192"/>
      <c r="GEQ276" s="192"/>
      <c r="GER276" s="192"/>
      <c r="GES276" s="192"/>
      <c r="GET276" s="192"/>
      <c r="GEU276" s="192"/>
      <c r="GEV276" s="192"/>
      <c r="GEW276" s="192"/>
      <c r="GEX276" s="192"/>
      <c r="GEY276" s="192"/>
      <c r="GEZ276" s="192"/>
      <c r="GFA276" s="192"/>
      <c r="GFB276" s="192"/>
      <c r="GFC276" s="192"/>
      <c r="GFD276" s="192"/>
      <c r="GFE276" s="192"/>
      <c r="GFF276" s="192"/>
      <c r="GFG276" s="192"/>
      <c r="GFH276" s="192"/>
      <c r="GFI276" s="192"/>
      <c r="GFJ276" s="192"/>
      <c r="GFK276" s="192"/>
      <c r="GFL276" s="192"/>
      <c r="GFM276" s="192"/>
      <c r="GFN276" s="192"/>
      <c r="GFO276" s="192"/>
      <c r="GFP276" s="192"/>
      <c r="GFQ276" s="192"/>
      <c r="GFR276" s="192"/>
      <c r="GFS276" s="192"/>
      <c r="GFT276" s="192"/>
      <c r="GFU276" s="192"/>
      <c r="GFV276" s="192"/>
      <c r="GFW276" s="192"/>
      <c r="GFX276" s="192"/>
      <c r="GFY276" s="192"/>
      <c r="GFZ276" s="192"/>
      <c r="GGA276" s="192"/>
      <c r="GGB276" s="192"/>
      <c r="GGC276" s="192"/>
      <c r="GGD276" s="192"/>
      <c r="GGE276" s="192"/>
      <c r="GGF276" s="192"/>
      <c r="GGG276" s="192"/>
      <c r="GGH276" s="192"/>
      <c r="GGI276" s="192"/>
      <c r="GGJ276" s="192"/>
      <c r="GGK276" s="192"/>
      <c r="GGL276" s="192"/>
      <c r="GGM276" s="192"/>
      <c r="GGN276" s="192"/>
      <c r="GGO276" s="192"/>
      <c r="GGP276" s="192"/>
      <c r="GGQ276" s="192"/>
      <c r="GGR276" s="192"/>
      <c r="GGS276" s="192"/>
      <c r="GGT276" s="192"/>
      <c r="GGU276" s="192"/>
      <c r="GGV276" s="192"/>
      <c r="GGW276" s="192"/>
      <c r="GGX276" s="192"/>
      <c r="GGY276" s="192"/>
      <c r="GGZ276" s="192"/>
      <c r="GHA276" s="192"/>
      <c r="GHB276" s="192"/>
      <c r="GHC276" s="192"/>
      <c r="GHD276" s="192"/>
      <c r="GHE276" s="192"/>
      <c r="GHF276" s="192"/>
      <c r="GHG276" s="192"/>
      <c r="GHH276" s="192"/>
      <c r="GHI276" s="192"/>
      <c r="GHJ276" s="192"/>
      <c r="GHK276" s="192"/>
      <c r="GHL276" s="192"/>
      <c r="GHM276" s="192"/>
      <c r="GHN276" s="192"/>
      <c r="GHO276" s="192"/>
      <c r="GHP276" s="192"/>
      <c r="GHQ276" s="192"/>
      <c r="GHR276" s="192"/>
      <c r="GHS276" s="192"/>
      <c r="GHT276" s="192"/>
      <c r="GHU276" s="192"/>
      <c r="GHV276" s="192"/>
      <c r="GHW276" s="192"/>
      <c r="GHX276" s="192"/>
      <c r="GHY276" s="192"/>
      <c r="GHZ276" s="192"/>
      <c r="GIA276" s="192"/>
      <c r="GIB276" s="192"/>
      <c r="GIC276" s="192"/>
      <c r="GID276" s="192"/>
      <c r="GIE276" s="192"/>
      <c r="GIF276" s="192"/>
      <c r="GIG276" s="192"/>
      <c r="GIH276" s="192"/>
      <c r="GII276" s="192"/>
      <c r="GIJ276" s="192"/>
      <c r="GIK276" s="192"/>
      <c r="GIL276" s="192"/>
      <c r="GIM276" s="192"/>
      <c r="GIN276" s="192"/>
      <c r="GIO276" s="192"/>
      <c r="GIP276" s="192"/>
      <c r="GIQ276" s="192"/>
      <c r="GIR276" s="192"/>
      <c r="GIS276" s="192"/>
      <c r="GIT276" s="192"/>
      <c r="GIU276" s="192"/>
      <c r="GIV276" s="192"/>
      <c r="GIW276" s="192"/>
      <c r="GIX276" s="192"/>
      <c r="GIY276" s="192"/>
      <c r="GIZ276" s="192"/>
      <c r="GJA276" s="192"/>
      <c r="GJB276" s="192"/>
      <c r="GJC276" s="192"/>
      <c r="GJD276" s="192"/>
      <c r="GJE276" s="192"/>
      <c r="GJF276" s="192"/>
      <c r="GJG276" s="192"/>
      <c r="GJH276" s="192"/>
      <c r="GJI276" s="192"/>
      <c r="GJJ276" s="192"/>
      <c r="GJK276" s="192"/>
      <c r="GJL276" s="192"/>
      <c r="GJM276" s="192"/>
      <c r="GJN276" s="192"/>
      <c r="GJO276" s="192"/>
      <c r="GJP276" s="192"/>
      <c r="GJQ276" s="192"/>
      <c r="GJR276" s="192"/>
      <c r="GJS276" s="192"/>
      <c r="GJT276" s="192"/>
      <c r="GJU276" s="192"/>
      <c r="GJV276" s="192"/>
      <c r="GJW276" s="192"/>
      <c r="GJX276" s="192"/>
      <c r="GJY276" s="192"/>
      <c r="GJZ276" s="192"/>
      <c r="GKA276" s="192"/>
      <c r="GKB276" s="192"/>
      <c r="GKC276" s="192"/>
      <c r="GKD276" s="192"/>
      <c r="GKE276" s="192"/>
      <c r="GKF276" s="192"/>
      <c r="GKG276" s="192"/>
      <c r="GKH276" s="192"/>
      <c r="GKI276" s="192"/>
      <c r="GKJ276" s="192"/>
      <c r="GKK276" s="192"/>
      <c r="GKL276" s="192"/>
      <c r="GKM276" s="192"/>
      <c r="GKN276" s="192"/>
      <c r="GKO276" s="192"/>
      <c r="GKP276" s="192"/>
      <c r="GKQ276" s="192"/>
      <c r="GKR276" s="192"/>
      <c r="GKS276" s="192"/>
      <c r="GKT276" s="192"/>
      <c r="GKU276" s="192"/>
      <c r="GKV276" s="192"/>
      <c r="GKW276" s="192"/>
      <c r="GKX276" s="192"/>
      <c r="GKY276" s="192"/>
      <c r="GKZ276" s="192"/>
      <c r="GLA276" s="192"/>
      <c r="GLB276" s="192"/>
      <c r="GLC276" s="192"/>
      <c r="GLD276" s="192"/>
      <c r="GLE276" s="192"/>
      <c r="GLF276" s="192"/>
      <c r="GLG276" s="192"/>
      <c r="GLH276" s="192"/>
      <c r="GLI276" s="192"/>
      <c r="GLJ276" s="192"/>
      <c r="GLK276" s="192"/>
      <c r="GLL276" s="192"/>
      <c r="GLM276" s="192"/>
      <c r="GLN276" s="192"/>
      <c r="GLO276" s="192"/>
      <c r="GLP276" s="192"/>
      <c r="GLQ276" s="192"/>
      <c r="GLR276" s="192"/>
      <c r="GLS276" s="192"/>
      <c r="GLT276" s="192"/>
      <c r="GLU276" s="192"/>
      <c r="GLV276" s="192"/>
      <c r="GLW276" s="192"/>
      <c r="GLX276" s="192"/>
      <c r="GLY276" s="192"/>
      <c r="GLZ276" s="192"/>
      <c r="GMA276" s="192"/>
      <c r="GMB276" s="192"/>
      <c r="GMC276" s="192"/>
      <c r="GMD276" s="192"/>
      <c r="GME276" s="192"/>
      <c r="GMF276" s="192"/>
      <c r="GMG276" s="192"/>
      <c r="GMH276" s="192"/>
      <c r="GMI276" s="192"/>
      <c r="GMJ276" s="192"/>
      <c r="GMK276" s="192"/>
      <c r="GML276" s="192"/>
      <c r="GMM276" s="192"/>
      <c r="GMN276" s="192"/>
      <c r="GMO276" s="192"/>
      <c r="GMP276" s="192"/>
      <c r="GMQ276" s="192"/>
      <c r="GMR276" s="192"/>
      <c r="GMS276" s="192"/>
      <c r="GMT276" s="192"/>
      <c r="GMU276" s="192"/>
      <c r="GMV276" s="192"/>
      <c r="GMW276" s="192"/>
      <c r="GMX276" s="192"/>
      <c r="GMY276" s="192"/>
      <c r="GMZ276" s="192"/>
      <c r="GNA276" s="192"/>
      <c r="GNB276" s="192"/>
      <c r="GNC276" s="192"/>
      <c r="GND276" s="192"/>
      <c r="GNE276" s="192"/>
      <c r="GNF276" s="192"/>
      <c r="GNG276" s="192"/>
      <c r="GNH276" s="192"/>
      <c r="GNI276" s="192"/>
      <c r="GNJ276" s="192"/>
      <c r="GNK276" s="192"/>
      <c r="GNL276" s="192"/>
      <c r="GNM276" s="192"/>
      <c r="GNN276" s="192"/>
      <c r="GNO276" s="192"/>
      <c r="GNP276" s="192"/>
      <c r="GNQ276" s="192"/>
      <c r="GNR276" s="192"/>
      <c r="GNS276" s="192"/>
      <c r="GNT276" s="192"/>
      <c r="GNU276" s="192"/>
      <c r="GNV276" s="192"/>
      <c r="GNW276" s="192"/>
      <c r="GNX276" s="192"/>
      <c r="GNY276" s="192"/>
      <c r="GNZ276" s="192"/>
      <c r="GOA276" s="192"/>
      <c r="GOB276" s="192"/>
      <c r="GOC276" s="192"/>
      <c r="GOD276" s="192"/>
      <c r="GOE276" s="192"/>
      <c r="GOF276" s="192"/>
      <c r="GOG276" s="192"/>
      <c r="GOH276" s="192"/>
      <c r="GOI276" s="192"/>
      <c r="GOJ276" s="192"/>
      <c r="GOK276" s="192"/>
      <c r="GOL276" s="192"/>
      <c r="GOM276" s="192"/>
      <c r="GON276" s="192"/>
      <c r="GOO276" s="192"/>
      <c r="GOP276" s="192"/>
      <c r="GOQ276" s="192"/>
      <c r="GOR276" s="192"/>
      <c r="GOS276" s="192"/>
      <c r="GOT276" s="192"/>
      <c r="GOU276" s="192"/>
      <c r="GOV276" s="192"/>
      <c r="GOW276" s="192"/>
      <c r="GOX276" s="192"/>
      <c r="GOY276" s="192"/>
      <c r="GOZ276" s="192"/>
      <c r="GPA276" s="192"/>
      <c r="GPB276" s="192"/>
      <c r="GPC276" s="192"/>
      <c r="GPD276" s="192"/>
      <c r="GPE276" s="192"/>
      <c r="GPF276" s="192"/>
      <c r="GPG276" s="192"/>
      <c r="GPH276" s="192"/>
      <c r="GPI276" s="192"/>
      <c r="GPJ276" s="192"/>
      <c r="GPK276" s="192"/>
      <c r="GPL276" s="192"/>
      <c r="GPM276" s="192"/>
      <c r="GPN276" s="192"/>
      <c r="GPO276" s="192"/>
      <c r="GPP276" s="192"/>
      <c r="GPQ276" s="192"/>
      <c r="GPR276" s="192"/>
      <c r="GPS276" s="192"/>
      <c r="GPT276" s="192"/>
      <c r="GPU276" s="192"/>
      <c r="GPV276" s="192"/>
      <c r="GPW276" s="192"/>
      <c r="GPX276" s="192"/>
      <c r="GPY276" s="192"/>
      <c r="GPZ276" s="192"/>
      <c r="GQA276" s="192"/>
      <c r="GQB276" s="192"/>
      <c r="GQC276" s="192"/>
      <c r="GQD276" s="192"/>
      <c r="GQE276" s="192"/>
      <c r="GQF276" s="192"/>
      <c r="GQG276" s="192"/>
      <c r="GQH276" s="192"/>
      <c r="GQI276" s="192"/>
      <c r="GQJ276" s="192"/>
      <c r="GQK276" s="192"/>
      <c r="GQL276" s="192"/>
      <c r="GQM276" s="192"/>
      <c r="GQN276" s="192"/>
      <c r="GQO276" s="192"/>
      <c r="GQP276" s="192"/>
      <c r="GQQ276" s="192"/>
      <c r="GQR276" s="192"/>
      <c r="GQS276" s="192"/>
      <c r="GQT276" s="192"/>
      <c r="GQU276" s="192"/>
      <c r="GQV276" s="192"/>
      <c r="GQW276" s="192"/>
      <c r="GQX276" s="192"/>
      <c r="GQY276" s="192"/>
      <c r="GQZ276" s="192"/>
      <c r="GRA276" s="192"/>
      <c r="GRB276" s="192"/>
      <c r="GRC276" s="192"/>
      <c r="GRD276" s="192"/>
      <c r="GRE276" s="192"/>
      <c r="GRF276" s="192"/>
      <c r="GRG276" s="192"/>
      <c r="GRH276" s="192"/>
      <c r="GRI276" s="192"/>
      <c r="GRJ276" s="192"/>
      <c r="GRK276" s="192"/>
      <c r="GRL276" s="192"/>
      <c r="GRM276" s="192"/>
      <c r="GRN276" s="192"/>
      <c r="GRO276" s="192"/>
      <c r="GRP276" s="192"/>
      <c r="GRQ276" s="192"/>
      <c r="GRR276" s="192"/>
      <c r="GRS276" s="192"/>
      <c r="GRT276" s="192"/>
      <c r="GRU276" s="192"/>
      <c r="GRV276" s="192"/>
      <c r="GRW276" s="192"/>
      <c r="GRX276" s="192"/>
      <c r="GRY276" s="192"/>
      <c r="GRZ276" s="192"/>
      <c r="GSA276" s="192"/>
      <c r="GSB276" s="192"/>
      <c r="GSC276" s="192"/>
      <c r="GSD276" s="192"/>
      <c r="GSE276" s="192"/>
      <c r="GSF276" s="192"/>
      <c r="GSG276" s="192"/>
      <c r="GSH276" s="192"/>
      <c r="GSI276" s="192"/>
      <c r="GSJ276" s="192"/>
      <c r="GSK276" s="192"/>
      <c r="GSL276" s="192"/>
      <c r="GSM276" s="192"/>
      <c r="GSN276" s="192"/>
      <c r="GSO276" s="192"/>
      <c r="GSP276" s="192"/>
      <c r="GSQ276" s="192"/>
      <c r="GSR276" s="192"/>
      <c r="GSS276" s="192"/>
      <c r="GST276" s="192"/>
      <c r="GSU276" s="192"/>
      <c r="GSV276" s="192"/>
      <c r="GSW276" s="192"/>
      <c r="GSX276" s="192"/>
      <c r="GSY276" s="192"/>
      <c r="GSZ276" s="192"/>
      <c r="GTA276" s="192"/>
      <c r="GTB276" s="192"/>
      <c r="GTC276" s="192"/>
      <c r="GTD276" s="192"/>
      <c r="GTE276" s="192"/>
      <c r="GTF276" s="192"/>
      <c r="GTG276" s="192"/>
      <c r="GTH276" s="192"/>
      <c r="GTI276" s="192"/>
      <c r="GTJ276" s="192"/>
      <c r="GTK276" s="192"/>
      <c r="GTL276" s="192"/>
      <c r="GTM276" s="192"/>
      <c r="GTN276" s="192"/>
      <c r="GTO276" s="192"/>
      <c r="GTP276" s="192"/>
      <c r="GTQ276" s="192"/>
      <c r="GTR276" s="192"/>
      <c r="GTS276" s="192"/>
      <c r="GTT276" s="192"/>
      <c r="GTU276" s="192"/>
      <c r="GTV276" s="192"/>
      <c r="GTW276" s="192"/>
      <c r="GTX276" s="192"/>
      <c r="GTY276" s="192"/>
      <c r="GTZ276" s="192"/>
      <c r="GUA276" s="192"/>
      <c r="GUB276" s="192"/>
      <c r="GUC276" s="192"/>
      <c r="GUD276" s="192"/>
      <c r="GUE276" s="192"/>
      <c r="GUF276" s="192"/>
      <c r="GUG276" s="192"/>
      <c r="GUH276" s="192"/>
      <c r="GUI276" s="192"/>
      <c r="GUJ276" s="192"/>
      <c r="GUK276" s="192"/>
      <c r="GUL276" s="192"/>
      <c r="GUM276" s="192"/>
      <c r="GUN276" s="192"/>
      <c r="GUO276" s="192"/>
      <c r="GUP276" s="192"/>
      <c r="GUQ276" s="192"/>
      <c r="GUR276" s="192"/>
      <c r="GUS276" s="192"/>
      <c r="GUT276" s="192"/>
      <c r="GUU276" s="192"/>
      <c r="GUV276" s="192"/>
      <c r="GUW276" s="192"/>
      <c r="GUX276" s="192"/>
      <c r="GUY276" s="192"/>
      <c r="GUZ276" s="192"/>
      <c r="GVA276" s="192"/>
      <c r="GVB276" s="192"/>
      <c r="GVC276" s="192"/>
      <c r="GVD276" s="192"/>
      <c r="GVE276" s="192"/>
      <c r="GVF276" s="192"/>
      <c r="GVG276" s="192"/>
      <c r="GVH276" s="192"/>
      <c r="GVI276" s="192"/>
      <c r="GVJ276" s="192"/>
      <c r="GVK276" s="192"/>
      <c r="GVL276" s="192"/>
      <c r="GVM276" s="192"/>
      <c r="GVN276" s="192"/>
      <c r="GVO276" s="192"/>
      <c r="GVP276" s="192"/>
      <c r="GVQ276" s="192"/>
      <c r="GVR276" s="192"/>
      <c r="GVS276" s="192"/>
      <c r="GVT276" s="192"/>
      <c r="GVU276" s="192"/>
      <c r="GVV276" s="192"/>
      <c r="GVW276" s="192"/>
      <c r="GVX276" s="192"/>
      <c r="GVY276" s="192"/>
      <c r="GVZ276" s="192"/>
      <c r="GWA276" s="192"/>
      <c r="GWB276" s="192"/>
      <c r="GWC276" s="192"/>
      <c r="GWD276" s="192"/>
      <c r="GWE276" s="192"/>
      <c r="GWF276" s="192"/>
      <c r="GWG276" s="192"/>
      <c r="GWH276" s="192"/>
      <c r="GWI276" s="192"/>
      <c r="GWJ276" s="192"/>
      <c r="GWK276" s="192"/>
      <c r="GWL276" s="192"/>
      <c r="GWM276" s="192"/>
      <c r="GWN276" s="192"/>
      <c r="GWO276" s="192"/>
      <c r="GWP276" s="192"/>
      <c r="GWQ276" s="192"/>
      <c r="GWR276" s="192"/>
      <c r="GWS276" s="192"/>
      <c r="GWT276" s="192"/>
      <c r="GWU276" s="192"/>
      <c r="GWV276" s="192"/>
      <c r="GWW276" s="192"/>
      <c r="GWX276" s="192"/>
      <c r="GWY276" s="192"/>
      <c r="GWZ276" s="192"/>
      <c r="GXA276" s="192"/>
      <c r="GXB276" s="192"/>
      <c r="GXC276" s="192"/>
      <c r="GXD276" s="192"/>
      <c r="GXE276" s="192"/>
      <c r="GXF276" s="192"/>
      <c r="GXG276" s="192"/>
      <c r="GXH276" s="192"/>
      <c r="GXI276" s="192"/>
      <c r="GXJ276" s="192"/>
      <c r="GXK276" s="192"/>
      <c r="GXL276" s="192"/>
      <c r="GXM276" s="192"/>
      <c r="GXN276" s="192"/>
      <c r="GXO276" s="192"/>
      <c r="GXP276" s="192"/>
      <c r="GXQ276" s="192"/>
      <c r="GXR276" s="192"/>
      <c r="GXS276" s="192"/>
      <c r="GXT276" s="192"/>
      <c r="GXU276" s="192"/>
      <c r="GXV276" s="192"/>
      <c r="GXW276" s="192"/>
      <c r="GXX276" s="192"/>
      <c r="GXY276" s="192"/>
      <c r="GXZ276" s="192"/>
      <c r="GYA276" s="192"/>
      <c r="GYB276" s="192"/>
      <c r="GYC276" s="192"/>
      <c r="GYD276" s="192"/>
      <c r="GYE276" s="192"/>
      <c r="GYF276" s="192"/>
      <c r="GYG276" s="192"/>
      <c r="GYH276" s="192"/>
      <c r="GYI276" s="192"/>
      <c r="GYJ276" s="192"/>
      <c r="GYK276" s="192"/>
      <c r="GYL276" s="192"/>
      <c r="GYM276" s="192"/>
      <c r="GYN276" s="192"/>
      <c r="GYO276" s="192"/>
      <c r="GYP276" s="192"/>
      <c r="GYQ276" s="192"/>
      <c r="GYR276" s="192"/>
      <c r="GYS276" s="192"/>
      <c r="GYT276" s="192"/>
      <c r="GYU276" s="192"/>
      <c r="GYV276" s="192"/>
      <c r="GYW276" s="192"/>
      <c r="GYX276" s="192"/>
      <c r="GYY276" s="192"/>
      <c r="GYZ276" s="192"/>
      <c r="GZA276" s="192"/>
      <c r="GZB276" s="192"/>
      <c r="GZC276" s="192"/>
      <c r="GZD276" s="192"/>
      <c r="GZE276" s="192"/>
      <c r="GZF276" s="192"/>
      <c r="GZG276" s="192"/>
      <c r="GZH276" s="192"/>
      <c r="GZI276" s="192"/>
      <c r="GZJ276" s="192"/>
      <c r="GZK276" s="192"/>
      <c r="GZL276" s="192"/>
      <c r="GZM276" s="192"/>
      <c r="GZN276" s="192"/>
      <c r="GZO276" s="192"/>
      <c r="GZP276" s="192"/>
      <c r="GZQ276" s="192"/>
      <c r="GZR276" s="192"/>
      <c r="GZS276" s="192"/>
      <c r="GZT276" s="192"/>
      <c r="GZU276" s="192"/>
      <c r="GZV276" s="192"/>
      <c r="GZW276" s="192"/>
      <c r="GZX276" s="192"/>
      <c r="GZY276" s="192"/>
      <c r="GZZ276" s="192"/>
      <c r="HAA276" s="192"/>
      <c r="HAB276" s="192"/>
      <c r="HAC276" s="192"/>
      <c r="HAD276" s="192"/>
      <c r="HAE276" s="192"/>
      <c r="HAF276" s="192"/>
      <c r="HAG276" s="192"/>
      <c r="HAH276" s="192"/>
      <c r="HAI276" s="192"/>
      <c r="HAJ276" s="192"/>
      <c r="HAK276" s="192"/>
      <c r="HAL276" s="192"/>
      <c r="HAM276" s="192"/>
      <c r="HAN276" s="192"/>
      <c r="HAO276" s="192"/>
      <c r="HAP276" s="192"/>
      <c r="HAQ276" s="192"/>
      <c r="HAR276" s="192"/>
      <c r="HAS276" s="192"/>
      <c r="HAT276" s="192"/>
      <c r="HAU276" s="192"/>
      <c r="HAV276" s="192"/>
      <c r="HAW276" s="192"/>
      <c r="HAX276" s="192"/>
      <c r="HAY276" s="192"/>
      <c r="HAZ276" s="192"/>
      <c r="HBA276" s="192"/>
      <c r="HBB276" s="192"/>
      <c r="HBC276" s="192"/>
      <c r="HBD276" s="192"/>
      <c r="HBE276" s="192"/>
      <c r="HBF276" s="192"/>
      <c r="HBG276" s="192"/>
      <c r="HBH276" s="192"/>
      <c r="HBI276" s="192"/>
      <c r="HBJ276" s="192"/>
      <c r="HBK276" s="192"/>
      <c r="HBL276" s="192"/>
      <c r="HBM276" s="192"/>
      <c r="HBN276" s="192"/>
      <c r="HBO276" s="192"/>
      <c r="HBP276" s="192"/>
      <c r="HBQ276" s="192"/>
      <c r="HBR276" s="192"/>
      <c r="HBS276" s="192"/>
      <c r="HBT276" s="192"/>
      <c r="HBU276" s="192"/>
      <c r="HBV276" s="192"/>
      <c r="HBW276" s="192"/>
      <c r="HBX276" s="192"/>
      <c r="HBY276" s="192"/>
      <c r="HBZ276" s="192"/>
      <c r="HCA276" s="192"/>
      <c r="HCB276" s="192"/>
      <c r="HCC276" s="192"/>
      <c r="HCD276" s="192"/>
      <c r="HCE276" s="192"/>
      <c r="HCF276" s="192"/>
      <c r="HCG276" s="192"/>
      <c r="HCH276" s="192"/>
      <c r="HCI276" s="192"/>
      <c r="HCJ276" s="192"/>
      <c r="HCK276" s="192"/>
      <c r="HCL276" s="192"/>
      <c r="HCM276" s="192"/>
      <c r="HCN276" s="192"/>
      <c r="HCO276" s="192"/>
      <c r="HCP276" s="192"/>
      <c r="HCQ276" s="192"/>
      <c r="HCR276" s="192"/>
      <c r="HCS276" s="192"/>
      <c r="HCT276" s="192"/>
      <c r="HCU276" s="192"/>
      <c r="HCV276" s="192"/>
      <c r="HCW276" s="192"/>
      <c r="HCX276" s="192"/>
      <c r="HCY276" s="192"/>
      <c r="HCZ276" s="192"/>
      <c r="HDA276" s="192"/>
      <c r="HDB276" s="192"/>
      <c r="HDC276" s="192"/>
      <c r="HDD276" s="192"/>
      <c r="HDE276" s="192"/>
      <c r="HDF276" s="192"/>
      <c r="HDG276" s="192"/>
      <c r="HDH276" s="192"/>
      <c r="HDI276" s="192"/>
      <c r="HDJ276" s="192"/>
      <c r="HDK276" s="192"/>
      <c r="HDL276" s="192"/>
      <c r="HDM276" s="192"/>
      <c r="HDN276" s="192"/>
      <c r="HDO276" s="192"/>
      <c r="HDP276" s="192"/>
      <c r="HDQ276" s="192"/>
      <c r="HDR276" s="192"/>
      <c r="HDS276" s="192"/>
      <c r="HDT276" s="192"/>
      <c r="HDU276" s="192"/>
      <c r="HDV276" s="192"/>
      <c r="HDW276" s="192"/>
      <c r="HDX276" s="192"/>
      <c r="HDY276" s="192"/>
      <c r="HDZ276" s="192"/>
      <c r="HEA276" s="192"/>
      <c r="HEB276" s="192"/>
      <c r="HEC276" s="192"/>
      <c r="HED276" s="192"/>
      <c r="HEE276" s="192"/>
      <c r="HEF276" s="192"/>
      <c r="HEG276" s="192"/>
      <c r="HEH276" s="192"/>
      <c r="HEI276" s="192"/>
      <c r="HEJ276" s="192"/>
      <c r="HEK276" s="192"/>
      <c r="HEL276" s="192"/>
      <c r="HEM276" s="192"/>
      <c r="HEN276" s="192"/>
      <c r="HEO276" s="192"/>
      <c r="HEP276" s="192"/>
      <c r="HEQ276" s="192"/>
      <c r="HER276" s="192"/>
      <c r="HES276" s="192"/>
      <c r="HET276" s="192"/>
      <c r="HEU276" s="192"/>
      <c r="HEV276" s="192"/>
      <c r="HEW276" s="192"/>
      <c r="HEX276" s="192"/>
      <c r="HEY276" s="192"/>
      <c r="HEZ276" s="192"/>
      <c r="HFA276" s="192"/>
      <c r="HFB276" s="192"/>
      <c r="HFC276" s="192"/>
      <c r="HFD276" s="192"/>
      <c r="HFE276" s="192"/>
      <c r="HFF276" s="192"/>
      <c r="HFG276" s="192"/>
      <c r="HFH276" s="192"/>
      <c r="HFI276" s="192"/>
      <c r="HFJ276" s="192"/>
      <c r="HFK276" s="192"/>
      <c r="HFL276" s="192"/>
      <c r="HFM276" s="192"/>
      <c r="HFN276" s="192"/>
      <c r="HFO276" s="192"/>
      <c r="HFP276" s="192"/>
      <c r="HFQ276" s="192"/>
      <c r="HFR276" s="192"/>
      <c r="HFS276" s="192"/>
      <c r="HFT276" s="192"/>
      <c r="HFU276" s="192"/>
      <c r="HFV276" s="192"/>
      <c r="HFW276" s="192"/>
      <c r="HFX276" s="192"/>
      <c r="HFY276" s="192"/>
      <c r="HFZ276" s="192"/>
      <c r="HGA276" s="192"/>
      <c r="HGB276" s="192"/>
      <c r="HGC276" s="192"/>
      <c r="HGD276" s="192"/>
      <c r="HGE276" s="192"/>
      <c r="HGF276" s="192"/>
      <c r="HGG276" s="192"/>
      <c r="HGH276" s="192"/>
      <c r="HGI276" s="192"/>
      <c r="HGJ276" s="192"/>
      <c r="HGK276" s="192"/>
      <c r="HGL276" s="192"/>
      <c r="HGM276" s="192"/>
      <c r="HGN276" s="192"/>
      <c r="HGO276" s="192"/>
      <c r="HGP276" s="192"/>
      <c r="HGQ276" s="192"/>
      <c r="HGR276" s="192"/>
      <c r="HGS276" s="192"/>
      <c r="HGT276" s="192"/>
      <c r="HGU276" s="192"/>
      <c r="HGV276" s="192"/>
      <c r="HGW276" s="192"/>
      <c r="HGX276" s="192"/>
      <c r="HGY276" s="192"/>
      <c r="HGZ276" s="192"/>
      <c r="HHA276" s="192"/>
      <c r="HHB276" s="192"/>
      <c r="HHC276" s="192"/>
      <c r="HHD276" s="192"/>
      <c r="HHE276" s="192"/>
      <c r="HHF276" s="192"/>
      <c r="HHG276" s="192"/>
      <c r="HHH276" s="192"/>
      <c r="HHI276" s="192"/>
      <c r="HHJ276" s="192"/>
      <c r="HHK276" s="192"/>
      <c r="HHL276" s="192"/>
      <c r="HHM276" s="192"/>
      <c r="HHN276" s="192"/>
      <c r="HHO276" s="192"/>
      <c r="HHP276" s="192"/>
      <c r="HHQ276" s="192"/>
      <c r="HHR276" s="192"/>
      <c r="HHS276" s="192"/>
      <c r="HHT276" s="192"/>
      <c r="HHU276" s="192"/>
      <c r="HHV276" s="192"/>
      <c r="HHW276" s="192"/>
      <c r="HHX276" s="192"/>
      <c r="HHY276" s="192"/>
      <c r="HHZ276" s="192"/>
      <c r="HIA276" s="192"/>
      <c r="HIB276" s="192"/>
      <c r="HIC276" s="192"/>
      <c r="HID276" s="192"/>
      <c r="HIE276" s="192"/>
      <c r="HIF276" s="192"/>
      <c r="HIG276" s="192"/>
      <c r="HIH276" s="192"/>
      <c r="HII276" s="192"/>
      <c r="HIJ276" s="192"/>
      <c r="HIK276" s="192"/>
      <c r="HIL276" s="192"/>
      <c r="HIM276" s="192"/>
      <c r="HIN276" s="192"/>
      <c r="HIO276" s="192"/>
      <c r="HIP276" s="192"/>
      <c r="HIQ276" s="192"/>
      <c r="HIR276" s="192"/>
      <c r="HIS276" s="192"/>
      <c r="HIT276" s="192"/>
      <c r="HIU276" s="192"/>
      <c r="HIV276" s="192"/>
      <c r="HIW276" s="192"/>
      <c r="HIX276" s="192"/>
      <c r="HIY276" s="192"/>
      <c r="HIZ276" s="192"/>
      <c r="HJA276" s="192"/>
      <c r="HJB276" s="192"/>
      <c r="HJC276" s="192"/>
      <c r="HJD276" s="192"/>
      <c r="HJE276" s="192"/>
      <c r="HJF276" s="192"/>
      <c r="HJG276" s="192"/>
      <c r="HJH276" s="192"/>
      <c r="HJI276" s="192"/>
      <c r="HJJ276" s="192"/>
      <c r="HJK276" s="192"/>
      <c r="HJL276" s="192"/>
      <c r="HJM276" s="192"/>
      <c r="HJN276" s="192"/>
      <c r="HJO276" s="192"/>
      <c r="HJP276" s="192"/>
      <c r="HJQ276" s="192"/>
      <c r="HJR276" s="192"/>
      <c r="HJS276" s="192"/>
      <c r="HJT276" s="192"/>
      <c r="HJU276" s="192"/>
      <c r="HJV276" s="192"/>
      <c r="HJW276" s="192"/>
      <c r="HJX276" s="192"/>
      <c r="HJY276" s="192"/>
      <c r="HJZ276" s="192"/>
      <c r="HKA276" s="192"/>
      <c r="HKB276" s="192"/>
      <c r="HKC276" s="192"/>
      <c r="HKD276" s="192"/>
      <c r="HKE276" s="192"/>
      <c r="HKF276" s="192"/>
      <c r="HKG276" s="192"/>
      <c r="HKH276" s="192"/>
      <c r="HKI276" s="192"/>
      <c r="HKJ276" s="192"/>
      <c r="HKK276" s="192"/>
      <c r="HKL276" s="192"/>
      <c r="HKM276" s="192"/>
      <c r="HKN276" s="192"/>
      <c r="HKO276" s="192"/>
      <c r="HKP276" s="192"/>
      <c r="HKQ276" s="192"/>
      <c r="HKR276" s="192"/>
      <c r="HKS276" s="192"/>
      <c r="HKT276" s="192"/>
      <c r="HKU276" s="192"/>
      <c r="HKV276" s="192"/>
      <c r="HKW276" s="192"/>
      <c r="HKX276" s="192"/>
      <c r="HKY276" s="192"/>
      <c r="HKZ276" s="192"/>
      <c r="HLA276" s="192"/>
      <c r="HLB276" s="192"/>
      <c r="HLC276" s="192"/>
      <c r="HLD276" s="192"/>
      <c r="HLE276" s="192"/>
      <c r="HLF276" s="192"/>
      <c r="HLG276" s="192"/>
      <c r="HLH276" s="192"/>
      <c r="HLI276" s="192"/>
      <c r="HLJ276" s="192"/>
      <c r="HLK276" s="192"/>
      <c r="HLL276" s="192"/>
      <c r="HLM276" s="192"/>
      <c r="HLN276" s="192"/>
      <c r="HLO276" s="192"/>
      <c r="HLP276" s="192"/>
      <c r="HLQ276" s="192"/>
      <c r="HLR276" s="192"/>
      <c r="HLS276" s="192"/>
      <c r="HLT276" s="192"/>
      <c r="HLU276" s="192"/>
      <c r="HLV276" s="192"/>
      <c r="HLW276" s="192"/>
      <c r="HLX276" s="192"/>
      <c r="HLY276" s="192"/>
      <c r="HLZ276" s="192"/>
      <c r="HMA276" s="192"/>
      <c r="HMB276" s="192"/>
      <c r="HMC276" s="192"/>
      <c r="HMD276" s="192"/>
      <c r="HME276" s="192"/>
      <c r="HMF276" s="192"/>
      <c r="HMG276" s="192"/>
      <c r="HMH276" s="192"/>
      <c r="HMI276" s="192"/>
      <c r="HMJ276" s="192"/>
      <c r="HMK276" s="192"/>
      <c r="HML276" s="192"/>
      <c r="HMM276" s="192"/>
      <c r="HMN276" s="192"/>
      <c r="HMO276" s="192"/>
      <c r="HMP276" s="192"/>
      <c r="HMQ276" s="192"/>
      <c r="HMR276" s="192"/>
      <c r="HMS276" s="192"/>
      <c r="HMT276" s="192"/>
      <c r="HMU276" s="192"/>
      <c r="HMV276" s="192"/>
      <c r="HMW276" s="192"/>
      <c r="HMX276" s="192"/>
      <c r="HMY276" s="192"/>
      <c r="HMZ276" s="192"/>
      <c r="HNA276" s="192"/>
      <c r="HNB276" s="192"/>
      <c r="HNC276" s="192"/>
      <c r="HND276" s="192"/>
      <c r="HNE276" s="192"/>
      <c r="HNF276" s="192"/>
      <c r="HNG276" s="192"/>
      <c r="HNH276" s="192"/>
      <c r="HNI276" s="192"/>
      <c r="HNJ276" s="192"/>
      <c r="HNK276" s="192"/>
      <c r="HNL276" s="192"/>
      <c r="HNM276" s="192"/>
      <c r="HNN276" s="192"/>
      <c r="HNO276" s="192"/>
      <c r="HNP276" s="192"/>
      <c r="HNQ276" s="192"/>
      <c r="HNR276" s="192"/>
      <c r="HNS276" s="192"/>
      <c r="HNT276" s="192"/>
      <c r="HNU276" s="192"/>
      <c r="HNV276" s="192"/>
      <c r="HNW276" s="192"/>
      <c r="HNX276" s="192"/>
      <c r="HNY276" s="192"/>
      <c r="HNZ276" s="192"/>
      <c r="HOA276" s="192"/>
      <c r="HOB276" s="192"/>
      <c r="HOC276" s="192"/>
      <c r="HOD276" s="192"/>
      <c r="HOE276" s="192"/>
      <c r="HOF276" s="192"/>
      <c r="HOG276" s="192"/>
      <c r="HOH276" s="192"/>
      <c r="HOI276" s="192"/>
      <c r="HOJ276" s="192"/>
      <c r="HOK276" s="192"/>
      <c r="HOL276" s="192"/>
      <c r="HOM276" s="192"/>
      <c r="HON276" s="192"/>
      <c r="HOO276" s="192"/>
      <c r="HOP276" s="192"/>
      <c r="HOQ276" s="192"/>
      <c r="HOR276" s="192"/>
      <c r="HOS276" s="192"/>
      <c r="HOT276" s="192"/>
      <c r="HOU276" s="192"/>
      <c r="HOV276" s="192"/>
      <c r="HOW276" s="192"/>
      <c r="HOX276" s="192"/>
      <c r="HOY276" s="192"/>
      <c r="HOZ276" s="192"/>
      <c r="HPA276" s="192"/>
      <c r="HPB276" s="192"/>
      <c r="HPC276" s="192"/>
      <c r="HPD276" s="192"/>
      <c r="HPE276" s="192"/>
      <c r="HPF276" s="192"/>
      <c r="HPG276" s="192"/>
      <c r="HPH276" s="192"/>
      <c r="HPI276" s="192"/>
      <c r="HPJ276" s="192"/>
      <c r="HPK276" s="192"/>
      <c r="HPL276" s="192"/>
      <c r="HPM276" s="192"/>
      <c r="HPN276" s="192"/>
      <c r="HPO276" s="192"/>
      <c r="HPP276" s="192"/>
      <c r="HPQ276" s="192"/>
      <c r="HPR276" s="192"/>
      <c r="HPS276" s="192"/>
      <c r="HPT276" s="192"/>
      <c r="HPU276" s="192"/>
      <c r="HPV276" s="192"/>
      <c r="HPW276" s="192"/>
      <c r="HPX276" s="192"/>
      <c r="HPY276" s="192"/>
      <c r="HPZ276" s="192"/>
      <c r="HQA276" s="192"/>
      <c r="HQB276" s="192"/>
      <c r="HQC276" s="192"/>
      <c r="HQD276" s="192"/>
      <c r="HQE276" s="192"/>
      <c r="HQF276" s="192"/>
      <c r="HQG276" s="192"/>
      <c r="HQH276" s="192"/>
      <c r="HQI276" s="192"/>
      <c r="HQJ276" s="192"/>
      <c r="HQK276" s="192"/>
      <c r="HQL276" s="192"/>
      <c r="HQM276" s="192"/>
      <c r="HQN276" s="192"/>
      <c r="HQO276" s="192"/>
      <c r="HQP276" s="192"/>
      <c r="HQQ276" s="192"/>
      <c r="HQR276" s="192"/>
      <c r="HQS276" s="192"/>
      <c r="HQT276" s="192"/>
      <c r="HQU276" s="192"/>
      <c r="HQV276" s="192"/>
      <c r="HQW276" s="192"/>
      <c r="HQX276" s="192"/>
      <c r="HQY276" s="192"/>
      <c r="HQZ276" s="192"/>
      <c r="HRA276" s="192"/>
      <c r="HRB276" s="192"/>
      <c r="HRC276" s="192"/>
      <c r="HRD276" s="192"/>
      <c r="HRE276" s="192"/>
      <c r="HRF276" s="192"/>
      <c r="HRG276" s="192"/>
      <c r="HRH276" s="192"/>
      <c r="HRI276" s="192"/>
      <c r="HRJ276" s="192"/>
      <c r="HRK276" s="192"/>
      <c r="HRL276" s="192"/>
      <c r="HRM276" s="192"/>
      <c r="HRN276" s="192"/>
      <c r="HRO276" s="192"/>
      <c r="HRP276" s="192"/>
      <c r="HRQ276" s="192"/>
      <c r="HRR276" s="192"/>
      <c r="HRS276" s="192"/>
      <c r="HRT276" s="192"/>
      <c r="HRU276" s="192"/>
      <c r="HRV276" s="192"/>
      <c r="HRW276" s="192"/>
      <c r="HRX276" s="192"/>
      <c r="HRY276" s="192"/>
      <c r="HRZ276" s="192"/>
      <c r="HSA276" s="192"/>
      <c r="HSB276" s="192"/>
      <c r="HSC276" s="192"/>
      <c r="HSD276" s="192"/>
      <c r="HSE276" s="192"/>
      <c r="HSF276" s="192"/>
      <c r="HSG276" s="192"/>
      <c r="HSH276" s="192"/>
      <c r="HSI276" s="192"/>
      <c r="HSJ276" s="192"/>
      <c r="HSK276" s="192"/>
      <c r="HSL276" s="192"/>
      <c r="HSM276" s="192"/>
      <c r="HSN276" s="192"/>
      <c r="HSO276" s="192"/>
      <c r="HSP276" s="192"/>
      <c r="HSQ276" s="192"/>
      <c r="HSR276" s="192"/>
      <c r="HSS276" s="192"/>
      <c r="HST276" s="192"/>
      <c r="HSU276" s="192"/>
      <c r="HSV276" s="192"/>
      <c r="HSW276" s="192"/>
      <c r="HSX276" s="192"/>
      <c r="HSY276" s="192"/>
      <c r="HSZ276" s="192"/>
      <c r="HTA276" s="192"/>
      <c r="HTB276" s="192"/>
      <c r="HTC276" s="192"/>
      <c r="HTD276" s="192"/>
      <c r="HTE276" s="192"/>
      <c r="HTF276" s="192"/>
      <c r="HTG276" s="192"/>
      <c r="HTH276" s="192"/>
      <c r="HTI276" s="192"/>
      <c r="HTJ276" s="192"/>
      <c r="HTK276" s="192"/>
      <c r="HTL276" s="192"/>
      <c r="HTM276" s="192"/>
      <c r="HTN276" s="192"/>
      <c r="HTO276" s="192"/>
      <c r="HTP276" s="192"/>
      <c r="HTQ276" s="192"/>
      <c r="HTR276" s="192"/>
      <c r="HTS276" s="192"/>
      <c r="HTT276" s="192"/>
      <c r="HTU276" s="192"/>
      <c r="HTV276" s="192"/>
      <c r="HTW276" s="192"/>
      <c r="HTX276" s="192"/>
      <c r="HTY276" s="192"/>
      <c r="HTZ276" s="192"/>
      <c r="HUA276" s="192"/>
      <c r="HUB276" s="192"/>
      <c r="HUC276" s="192"/>
      <c r="HUD276" s="192"/>
      <c r="HUE276" s="192"/>
      <c r="HUF276" s="192"/>
      <c r="HUG276" s="192"/>
      <c r="HUH276" s="192"/>
      <c r="HUI276" s="192"/>
      <c r="HUJ276" s="192"/>
      <c r="HUK276" s="192"/>
      <c r="HUL276" s="192"/>
      <c r="HUM276" s="192"/>
      <c r="HUN276" s="192"/>
      <c r="HUO276" s="192"/>
      <c r="HUP276" s="192"/>
      <c r="HUQ276" s="192"/>
      <c r="HUR276" s="192"/>
      <c r="HUS276" s="192"/>
      <c r="HUT276" s="192"/>
      <c r="HUU276" s="192"/>
      <c r="HUV276" s="192"/>
      <c r="HUW276" s="192"/>
      <c r="HUX276" s="192"/>
      <c r="HUY276" s="192"/>
      <c r="HUZ276" s="192"/>
      <c r="HVA276" s="192"/>
      <c r="HVB276" s="192"/>
      <c r="HVC276" s="192"/>
      <c r="HVD276" s="192"/>
      <c r="HVE276" s="192"/>
      <c r="HVF276" s="192"/>
      <c r="HVG276" s="192"/>
      <c r="HVH276" s="192"/>
      <c r="HVI276" s="192"/>
      <c r="HVJ276" s="192"/>
      <c r="HVK276" s="192"/>
      <c r="HVL276" s="192"/>
      <c r="HVM276" s="192"/>
      <c r="HVN276" s="192"/>
      <c r="HVO276" s="192"/>
      <c r="HVP276" s="192"/>
      <c r="HVQ276" s="192"/>
      <c r="HVR276" s="192"/>
      <c r="HVS276" s="192"/>
      <c r="HVT276" s="192"/>
      <c r="HVU276" s="192"/>
      <c r="HVV276" s="192"/>
      <c r="HVW276" s="192"/>
      <c r="HVX276" s="192"/>
      <c r="HVY276" s="192"/>
      <c r="HVZ276" s="192"/>
      <c r="HWA276" s="192"/>
      <c r="HWB276" s="192"/>
      <c r="HWC276" s="192"/>
      <c r="HWD276" s="192"/>
      <c r="HWE276" s="192"/>
      <c r="HWF276" s="192"/>
      <c r="HWG276" s="192"/>
      <c r="HWH276" s="192"/>
      <c r="HWI276" s="192"/>
      <c r="HWJ276" s="192"/>
      <c r="HWK276" s="192"/>
      <c r="HWL276" s="192"/>
      <c r="HWM276" s="192"/>
      <c r="HWN276" s="192"/>
      <c r="HWO276" s="192"/>
      <c r="HWP276" s="192"/>
      <c r="HWQ276" s="192"/>
      <c r="HWR276" s="192"/>
      <c r="HWS276" s="192"/>
      <c r="HWT276" s="192"/>
      <c r="HWU276" s="192"/>
      <c r="HWV276" s="192"/>
      <c r="HWW276" s="192"/>
      <c r="HWX276" s="192"/>
      <c r="HWY276" s="192"/>
      <c r="HWZ276" s="192"/>
      <c r="HXA276" s="192"/>
      <c r="HXB276" s="192"/>
      <c r="HXC276" s="192"/>
      <c r="HXD276" s="192"/>
      <c r="HXE276" s="192"/>
      <c r="HXF276" s="192"/>
      <c r="HXG276" s="192"/>
      <c r="HXH276" s="192"/>
      <c r="HXI276" s="192"/>
      <c r="HXJ276" s="192"/>
      <c r="HXK276" s="192"/>
      <c r="HXL276" s="192"/>
      <c r="HXM276" s="192"/>
      <c r="HXN276" s="192"/>
      <c r="HXO276" s="192"/>
      <c r="HXP276" s="192"/>
      <c r="HXQ276" s="192"/>
      <c r="HXR276" s="192"/>
      <c r="HXS276" s="192"/>
      <c r="HXT276" s="192"/>
      <c r="HXU276" s="192"/>
      <c r="HXV276" s="192"/>
      <c r="HXW276" s="192"/>
      <c r="HXX276" s="192"/>
      <c r="HXY276" s="192"/>
      <c r="HXZ276" s="192"/>
      <c r="HYA276" s="192"/>
      <c r="HYB276" s="192"/>
      <c r="HYC276" s="192"/>
      <c r="HYD276" s="192"/>
      <c r="HYE276" s="192"/>
      <c r="HYF276" s="192"/>
      <c r="HYG276" s="192"/>
      <c r="HYH276" s="192"/>
      <c r="HYI276" s="192"/>
      <c r="HYJ276" s="192"/>
      <c r="HYK276" s="192"/>
      <c r="HYL276" s="192"/>
      <c r="HYM276" s="192"/>
      <c r="HYN276" s="192"/>
      <c r="HYO276" s="192"/>
      <c r="HYP276" s="192"/>
      <c r="HYQ276" s="192"/>
      <c r="HYR276" s="192"/>
      <c r="HYS276" s="192"/>
      <c r="HYT276" s="192"/>
      <c r="HYU276" s="192"/>
      <c r="HYV276" s="192"/>
      <c r="HYW276" s="192"/>
      <c r="HYX276" s="192"/>
      <c r="HYY276" s="192"/>
      <c r="HYZ276" s="192"/>
      <c r="HZA276" s="192"/>
      <c r="HZB276" s="192"/>
      <c r="HZC276" s="192"/>
      <c r="HZD276" s="192"/>
      <c r="HZE276" s="192"/>
      <c r="HZF276" s="192"/>
      <c r="HZG276" s="192"/>
      <c r="HZH276" s="192"/>
      <c r="HZI276" s="192"/>
      <c r="HZJ276" s="192"/>
      <c r="HZK276" s="192"/>
      <c r="HZL276" s="192"/>
      <c r="HZM276" s="192"/>
      <c r="HZN276" s="192"/>
      <c r="HZO276" s="192"/>
      <c r="HZP276" s="192"/>
      <c r="HZQ276" s="192"/>
      <c r="HZR276" s="192"/>
      <c r="HZS276" s="192"/>
      <c r="HZT276" s="192"/>
      <c r="HZU276" s="192"/>
      <c r="HZV276" s="192"/>
      <c r="HZW276" s="192"/>
      <c r="HZX276" s="192"/>
      <c r="HZY276" s="192"/>
      <c r="HZZ276" s="192"/>
      <c r="IAA276" s="192"/>
      <c r="IAB276" s="192"/>
      <c r="IAC276" s="192"/>
      <c r="IAD276" s="192"/>
      <c r="IAE276" s="192"/>
      <c r="IAF276" s="192"/>
      <c r="IAG276" s="192"/>
      <c r="IAH276" s="192"/>
      <c r="IAI276" s="192"/>
      <c r="IAJ276" s="192"/>
      <c r="IAK276" s="192"/>
      <c r="IAL276" s="192"/>
      <c r="IAM276" s="192"/>
      <c r="IAN276" s="192"/>
      <c r="IAO276" s="192"/>
      <c r="IAP276" s="192"/>
      <c r="IAQ276" s="192"/>
      <c r="IAR276" s="192"/>
      <c r="IAS276" s="192"/>
      <c r="IAT276" s="192"/>
      <c r="IAU276" s="192"/>
      <c r="IAV276" s="192"/>
      <c r="IAW276" s="192"/>
      <c r="IAX276" s="192"/>
      <c r="IAY276" s="192"/>
      <c r="IAZ276" s="192"/>
      <c r="IBA276" s="192"/>
      <c r="IBB276" s="192"/>
      <c r="IBC276" s="192"/>
      <c r="IBD276" s="192"/>
      <c r="IBE276" s="192"/>
      <c r="IBF276" s="192"/>
      <c r="IBG276" s="192"/>
      <c r="IBH276" s="192"/>
      <c r="IBI276" s="192"/>
      <c r="IBJ276" s="192"/>
      <c r="IBK276" s="192"/>
      <c r="IBL276" s="192"/>
      <c r="IBM276" s="192"/>
      <c r="IBN276" s="192"/>
      <c r="IBO276" s="192"/>
      <c r="IBP276" s="192"/>
      <c r="IBQ276" s="192"/>
      <c r="IBR276" s="192"/>
      <c r="IBS276" s="192"/>
      <c r="IBT276" s="192"/>
      <c r="IBU276" s="192"/>
      <c r="IBV276" s="192"/>
      <c r="IBW276" s="192"/>
      <c r="IBX276" s="192"/>
      <c r="IBY276" s="192"/>
      <c r="IBZ276" s="192"/>
      <c r="ICA276" s="192"/>
      <c r="ICB276" s="192"/>
      <c r="ICC276" s="192"/>
      <c r="ICD276" s="192"/>
      <c r="ICE276" s="192"/>
      <c r="ICF276" s="192"/>
      <c r="ICG276" s="192"/>
      <c r="ICH276" s="192"/>
      <c r="ICI276" s="192"/>
      <c r="ICJ276" s="192"/>
      <c r="ICK276" s="192"/>
      <c r="ICL276" s="192"/>
      <c r="ICM276" s="192"/>
      <c r="ICN276" s="192"/>
      <c r="ICO276" s="192"/>
      <c r="ICP276" s="192"/>
      <c r="ICQ276" s="192"/>
      <c r="ICR276" s="192"/>
      <c r="ICS276" s="192"/>
      <c r="ICT276" s="192"/>
      <c r="ICU276" s="192"/>
      <c r="ICV276" s="192"/>
      <c r="ICW276" s="192"/>
      <c r="ICX276" s="192"/>
      <c r="ICY276" s="192"/>
      <c r="ICZ276" s="192"/>
      <c r="IDA276" s="192"/>
      <c r="IDB276" s="192"/>
      <c r="IDC276" s="192"/>
      <c r="IDD276" s="192"/>
      <c r="IDE276" s="192"/>
      <c r="IDF276" s="192"/>
      <c r="IDG276" s="192"/>
      <c r="IDH276" s="192"/>
      <c r="IDI276" s="192"/>
      <c r="IDJ276" s="192"/>
      <c r="IDK276" s="192"/>
      <c r="IDL276" s="192"/>
      <c r="IDM276" s="192"/>
      <c r="IDN276" s="192"/>
      <c r="IDO276" s="192"/>
      <c r="IDP276" s="192"/>
      <c r="IDQ276" s="192"/>
      <c r="IDR276" s="192"/>
      <c r="IDS276" s="192"/>
      <c r="IDT276" s="192"/>
      <c r="IDU276" s="192"/>
      <c r="IDV276" s="192"/>
      <c r="IDW276" s="192"/>
      <c r="IDX276" s="192"/>
      <c r="IDY276" s="192"/>
      <c r="IDZ276" s="192"/>
      <c r="IEA276" s="192"/>
      <c r="IEB276" s="192"/>
      <c r="IEC276" s="192"/>
      <c r="IED276" s="192"/>
      <c r="IEE276" s="192"/>
      <c r="IEF276" s="192"/>
      <c r="IEG276" s="192"/>
      <c r="IEH276" s="192"/>
      <c r="IEI276" s="192"/>
      <c r="IEJ276" s="192"/>
      <c r="IEK276" s="192"/>
      <c r="IEL276" s="192"/>
      <c r="IEM276" s="192"/>
      <c r="IEN276" s="192"/>
      <c r="IEO276" s="192"/>
      <c r="IEP276" s="192"/>
      <c r="IEQ276" s="192"/>
      <c r="IER276" s="192"/>
      <c r="IES276" s="192"/>
      <c r="IET276" s="192"/>
      <c r="IEU276" s="192"/>
      <c r="IEV276" s="192"/>
      <c r="IEW276" s="192"/>
      <c r="IEX276" s="192"/>
      <c r="IEY276" s="192"/>
      <c r="IEZ276" s="192"/>
      <c r="IFA276" s="192"/>
      <c r="IFB276" s="192"/>
      <c r="IFC276" s="192"/>
      <c r="IFD276" s="192"/>
      <c r="IFE276" s="192"/>
      <c r="IFF276" s="192"/>
      <c r="IFG276" s="192"/>
      <c r="IFH276" s="192"/>
      <c r="IFI276" s="192"/>
      <c r="IFJ276" s="192"/>
      <c r="IFK276" s="192"/>
      <c r="IFL276" s="192"/>
      <c r="IFM276" s="192"/>
      <c r="IFN276" s="192"/>
      <c r="IFO276" s="192"/>
      <c r="IFP276" s="192"/>
      <c r="IFQ276" s="192"/>
      <c r="IFR276" s="192"/>
      <c r="IFS276" s="192"/>
      <c r="IFT276" s="192"/>
      <c r="IFU276" s="192"/>
      <c r="IFV276" s="192"/>
      <c r="IFW276" s="192"/>
      <c r="IFX276" s="192"/>
      <c r="IFY276" s="192"/>
      <c r="IFZ276" s="192"/>
      <c r="IGA276" s="192"/>
      <c r="IGB276" s="192"/>
      <c r="IGC276" s="192"/>
      <c r="IGD276" s="192"/>
      <c r="IGE276" s="192"/>
      <c r="IGF276" s="192"/>
      <c r="IGG276" s="192"/>
      <c r="IGH276" s="192"/>
      <c r="IGI276" s="192"/>
      <c r="IGJ276" s="192"/>
      <c r="IGK276" s="192"/>
      <c r="IGL276" s="192"/>
      <c r="IGM276" s="192"/>
      <c r="IGN276" s="192"/>
      <c r="IGO276" s="192"/>
      <c r="IGP276" s="192"/>
      <c r="IGQ276" s="192"/>
      <c r="IGR276" s="192"/>
      <c r="IGS276" s="192"/>
      <c r="IGT276" s="192"/>
      <c r="IGU276" s="192"/>
      <c r="IGV276" s="192"/>
      <c r="IGW276" s="192"/>
      <c r="IGX276" s="192"/>
      <c r="IGY276" s="192"/>
      <c r="IGZ276" s="192"/>
      <c r="IHA276" s="192"/>
      <c r="IHB276" s="192"/>
      <c r="IHC276" s="192"/>
      <c r="IHD276" s="192"/>
      <c r="IHE276" s="192"/>
      <c r="IHF276" s="192"/>
      <c r="IHG276" s="192"/>
      <c r="IHH276" s="192"/>
      <c r="IHI276" s="192"/>
      <c r="IHJ276" s="192"/>
      <c r="IHK276" s="192"/>
      <c r="IHL276" s="192"/>
      <c r="IHM276" s="192"/>
      <c r="IHN276" s="192"/>
      <c r="IHO276" s="192"/>
      <c r="IHP276" s="192"/>
      <c r="IHQ276" s="192"/>
      <c r="IHR276" s="192"/>
      <c r="IHS276" s="192"/>
      <c r="IHT276" s="192"/>
      <c r="IHU276" s="192"/>
      <c r="IHV276" s="192"/>
      <c r="IHW276" s="192"/>
      <c r="IHX276" s="192"/>
      <c r="IHY276" s="192"/>
      <c r="IHZ276" s="192"/>
      <c r="IIA276" s="192"/>
      <c r="IIB276" s="192"/>
      <c r="IIC276" s="192"/>
      <c r="IID276" s="192"/>
      <c r="IIE276" s="192"/>
      <c r="IIF276" s="192"/>
      <c r="IIG276" s="192"/>
      <c r="IIH276" s="192"/>
      <c r="III276" s="192"/>
      <c r="IIJ276" s="192"/>
      <c r="IIK276" s="192"/>
      <c r="IIL276" s="192"/>
      <c r="IIM276" s="192"/>
      <c r="IIN276" s="192"/>
      <c r="IIO276" s="192"/>
      <c r="IIP276" s="192"/>
      <c r="IIQ276" s="192"/>
      <c r="IIR276" s="192"/>
      <c r="IIS276" s="192"/>
      <c r="IIT276" s="192"/>
      <c r="IIU276" s="192"/>
      <c r="IIV276" s="192"/>
      <c r="IIW276" s="192"/>
      <c r="IIX276" s="192"/>
      <c r="IIY276" s="192"/>
      <c r="IIZ276" s="192"/>
      <c r="IJA276" s="192"/>
      <c r="IJB276" s="192"/>
      <c r="IJC276" s="192"/>
      <c r="IJD276" s="192"/>
      <c r="IJE276" s="192"/>
      <c r="IJF276" s="192"/>
      <c r="IJG276" s="192"/>
      <c r="IJH276" s="192"/>
      <c r="IJI276" s="192"/>
      <c r="IJJ276" s="192"/>
      <c r="IJK276" s="192"/>
      <c r="IJL276" s="192"/>
      <c r="IJM276" s="192"/>
      <c r="IJN276" s="192"/>
      <c r="IJO276" s="192"/>
      <c r="IJP276" s="192"/>
      <c r="IJQ276" s="192"/>
      <c r="IJR276" s="192"/>
      <c r="IJS276" s="192"/>
      <c r="IJT276" s="192"/>
      <c r="IJU276" s="192"/>
      <c r="IJV276" s="192"/>
      <c r="IJW276" s="192"/>
      <c r="IJX276" s="192"/>
      <c r="IJY276" s="192"/>
      <c r="IJZ276" s="192"/>
      <c r="IKA276" s="192"/>
      <c r="IKB276" s="192"/>
      <c r="IKC276" s="192"/>
      <c r="IKD276" s="192"/>
      <c r="IKE276" s="192"/>
      <c r="IKF276" s="192"/>
      <c r="IKG276" s="192"/>
      <c r="IKH276" s="192"/>
      <c r="IKI276" s="192"/>
      <c r="IKJ276" s="192"/>
      <c r="IKK276" s="192"/>
      <c r="IKL276" s="192"/>
      <c r="IKM276" s="192"/>
      <c r="IKN276" s="192"/>
      <c r="IKO276" s="192"/>
      <c r="IKP276" s="192"/>
      <c r="IKQ276" s="192"/>
      <c r="IKR276" s="192"/>
      <c r="IKS276" s="192"/>
      <c r="IKT276" s="192"/>
      <c r="IKU276" s="192"/>
      <c r="IKV276" s="192"/>
      <c r="IKW276" s="192"/>
      <c r="IKX276" s="192"/>
      <c r="IKY276" s="192"/>
      <c r="IKZ276" s="192"/>
      <c r="ILA276" s="192"/>
      <c r="ILB276" s="192"/>
      <c r="ILC276" s="192"/>
      <c r="ILD276" s="192"/>
      <c r="ILE276" s="192"/>
      <c r="ILF276" s="192"/>
      <c r="ILG276" s="192"/>
      <c r="ILH276" s="192"/>
      <c r="ILI276" s="192"/>
      <c r="ILJ276" s="192"/>
      <c r="ILK276" s="192"/>
      <c r="ILL276" s="192"/>
      <c r="ILM276" s="192"/>
      <c r="ILN276" s="192"/>
      <c r="ILO276" s="192"/>
      <c r="ILP276" s="192"/>
      <c r="ILQ276" s="192"/>
      <c r="ILR276" s="192"/>
      <c r="ILS276" s="192"/>
      <c r="ILT276" s="192"/>
      <c r="ILU276" s="192"/>
      <c r="ILV276" s="192"/>
      <c r="ILW276" s="192"/>
      <c r="ILX276" s="192"/>
      <c r="ILY276" s="192"/>
      <c r="ILZ276" s="192"/>
      <c r="IMA276" s="192"/>
      <c r="IMB276" s="192"/>
      <c r="IMC276" s="192"/>
      <c r="IMD276" s="192"/>
      <c r="IME276" s="192"/>
      <c r="IMF276" s="192"/>
      <c r="IMG276" s="192"/>
      <c r="IMH276" s="192"/>
      <c r="IMI276" s="192"/>
      <c r="IMJ276" s="192"/>
      <c r="IMK276" s="192"/>
      <c r="IML276" s="192"/>
      <c r="IMM276" s="192"/>
      <c r="IMN276" s="192"/>
      <c r="IMO276" s="192"/>
      <c r="IMP276" s="192"/>
      <c r="IMQ276" s="192"/>
      <c r="IMR276" s="192"/>
      <c r="IMS276" s="192"/>
      <c r="IMT276" s="192"/>
      <c r="IMU276" s="192"/>
      <c r="IMV276" s="192"/>
      <c r="IMW276" s="192"/>
      <c r="IMX276" s="192"/>
      <c r="IMY276" s="192"/>
      <c r="IMZ276" s="192"/>
      <c r="INA276" s="192"/>
      <c r="INB276" s="192"/>
      <c r="INC276" s="192"/>
      <c r="IND276" s="192"/>
      <c r="INE276" s="192"/>
      <c r="INF276" s="192"/>
      <c r="ING276" s="192"/>
      <c r="INH276" s="192"/>
      <c r="INI276" s="192"/>
      <c r="INJ276" s="192"/>
      <c r="INK276" s="192"/>
      <c r="INL276" s="192"/>
      <c r="INM276" s="192"/>
      <c r="INN276" s="192"/>
      <c r="INO276" s="192"/>
      <c r="INP276" s="192"/>
      <c r="INQ276" s="192"/>
      <c r="INR276" s="192"/>
      <c r="INS276" s="192"/>
      <c r="INT276" s="192"/>
      <c r="INU276" s="192"/>
      <c r="INV276" s="192"/>
      <c r="INW276" s="192"/>
      <c r="INX276" s="192"/>
      <c r="INY276" s="192"/>
      <c r="INZ276" s="192"/>
      <c r="IOA276" s="192"/>
      <c r="IOB276" s="192"/>
      <c r="IOC276" s="192"/>
      <c r="IOD276" s="192"/>
      <c r="IOE276" s="192"/>
      <c r="IOF276" s="192"/>
      <c r="IOG276" s="192"/>
      <c r="IOH276" s="192"/>
      <c r="IOI276" s="192"/>
      <c r="IOJ276" s="192"/>
      <c r="IOK276" s="192"/>
      <c r="IOL276" s="192"/>
      <c r="IOM276" s="192"/>
      <c r="ION276" s="192"/>
      <c r="IOO276" s="192"/>
      <c r="IOP276" s="192"/>
      <c r="IOQ276" s="192"/>
      <c r="IOR276" s="192"/>
      <c r="IOS276" s="192"/>
      <c r="IOT276" s="192"/>
      <c r="IOU276" s="192"/>
      <c r="IOV276" s="192"/>
      <c r="IOW276" s="192"/>
      <c r="IOX276" s="192"/>
      <c r="IOY276" s="192"/>
      <c r="IOZ276" s="192"/>
      <c r="IPA276" s="192"/>
      <c r="IPB276" s="192"/>
      <c r="IPC276" s="192"/>
      <c r="IPD276" s="192"/>
      <c r="IPE276" s="192"/>
      <c r="IPF276" s="192"/>
      <c r="IPG276" s="192"/>
      <c r="IPH276" s="192"/>
      <c r="IPI276" s="192"/>
      <c r="IPJ276" s="192"/>
      <c r="IPK276" s="192"/>
      <c r="IPL276" s="192"/>
      <c r="IPM276" s="192"/>
      <c r="IPN276" s="192"/>
      <c r="IPO276" s="192"/>
      <c r="IPP276" s="192"/>
      <c r="IPQ276" s="192"/>
      <c r="IPR276" s="192"/>
      <c r="IPS276" s="192"/>
      <c r="IPT276" s="192"/>
      <c r="IPU276" s="192"/>
      <c r="IPV276" s="192"/>
      <c r="IPW276" s="192"/>
      <c r="IPX276" s="192"/>
      <c r="IPY276" s="192"/>
      <c r="IPZ276" s="192"/>
      <c r="IQA276" s="192"/>
      <c r="IQB276" s="192"/>
      <c r="IQC276" s="192"/>
      <c r="IQD276" s="192"/>
      <c r="IQE276" s="192"/>
      <c r="IQF276" s="192"/>
      <c r="IQG276" s="192"/>
      <c r="IQH276" s="192"/>
      <c r="IQI276" s="192"/>
      <c r="IQJ276" s="192"/>
      <c r="IQK276" s="192"/>
      <c r="IQL276" s="192"/>
      <c r="IQM276" s="192"/>
      <c r="IQN276" s="192"/>
      <c r="IQO276" s="192"/>
      <c r="IQP276" s="192"/>
      <c r="IQQ276" s="192"/>
      <c r="IQR276" s="192"/>
      <c r="IQS276" s="192"/>
      <c r="IQT276" s="192"/>
      <c r="IQU276" s="192"/>
      <c r="IQV276" s="192"/>
      <c r="IQW276" s="192"/>
      <c r="IQX276" s="192"/>
      <c r="IQY276" s="192"/>
      <c r="IQZ276" s="192"/>
      <c r="IRA276" s="192"/>
      <c r="IRB276" s="192"/>
      <c r="IRC276" s="192"/>
      <c r="IRD276" s="192"/>
      <c r="IRE276" s="192"/>
      <c r="IRF276" s="192"/>
      <c r="IRG276" s="192"/>
      <c r="IRH276" s="192"/>
      <c r="IRI276" s="192"/>
      <c r="IRJ276" s="192"/>
      <c r="IRK276" s="192"/>
      <c r="IRL276" s="192"/>
      <c r="IRM276" s="192"/>
      <c r="IRN276" s="192"/>
      <c r="IRO276" s="192"/>
      <c r="IRP276" s="192"/>
      <c r="IRQ276" s="192"/>
      <c r="IRR276" s="192"/>
      <c r="IRS276" s="192"/>
      <c r="IRT276" s="192"/>
      <c r="IRU276" s="192"/>
      <c r="IRV276" s="192"/>
      <c r="IRW276" s="192"/>
      <c r="IRX276" s="192"/>
      <c r="IRY276" s="192"/>
      <c r="IRZ276" s="192"/>
      <c r="ISA276" s="192"/>
      <c r="ISB276" s="192"/>
      <c r="ISC276" s="192"/>
      <c r="ISD276" s="192"/>
      <c r="ISE276" s="192"/>
      <c r="ISF276" s="192"/>
      <c r="ISG276" s="192"/>
      <c r="ISH276" s="192"/>
      <c r="ISI276" s="192"/>
      <c r="ISJ276" s="192"/>
      <c r="ISK276" s="192"/>
      <c r="ISL276" s="192"/>
      <c r="ISM276" s="192"/>
      <c r="ISN276" s="192"/>
      <c r="ISO276" s="192"/>
      <c r="ISP276" s="192"/>
      <c r="ISQ276" s="192"/>
      <c r="ISR276" s="192"/>
      <c r="ISS276" s="192"/>
      <c r="IST276" s="192"/>
      <c r="ISU276" s="192"/>
      <c r="ISV276" s="192"/>
      <c r="ISW276" s="192"/>
      <c r="ISX276" s="192"/>
      <c r="ISY276" s="192"/>
      <c r="ISZ276" s="192"/>
      <c r="ITA276" s="192"/>
      <c r="ITB276" s="192"/>
      <c r="ITC276" s="192"/>
      <c r="ITD276" s="192"/>
      <c r="ITE276" s="192"/>
      <c r="ITF276" s="192"/>
      <c r="ITG276" s="192"/>
      <c r="ITH276" s="192"/>
      <c r="ITI276" s="192"/>
      <c r="ITJ276" s="192"/>
      <c r="ITK276" s="192"/>
      <c r="ITL276" s="192"/>
      <c r="ITM276" s="192"/>
      <c r="ITN276" s="192"/>
      <c r="ITO276" s="192"/>
      <c r="ITP276" s="192"/>
      <c r="ITQ276" s="192"/>
      <c r="ITR276" s="192"/>
      <c r="ITS276" s="192"/>
      <c r="ITT276" s="192"/>
      <c r="ITU276" s="192"/>
      <c r="ITV276" s="192"/>
      <c r="ITW276" s="192"/>
      <c r="ITX276" s="192"/>
      <c r="ITY276" s="192"/>
      <c r="ITZ276" s="192"/>
      <c r="IUA276" s="192"/>
      <c r="IUB276" s="192"/>
      <c r="IUC276" s="192"/>
      <c r="IUD276" s="192"/>
      <c r="IUE276" s="192"/>
      <c r="IUF276" s="192"/>
      <c r="IUG276" s="192"/>
      <c r="IUH276" s="192"/>
      <c r="IUI276" s="192"/>
      <c r="IUJ276" s="192"/>
      <c r="IUK276" s="192"/>
      <c r="IUL276" s="192"/>
      <c r="IUM276" s="192"/>
      <c r="IUN276" s="192"/>
      <c r="IUO276" s="192"/>
      <c r="IUP276" s="192"/>
      <c r="IUQ276" s="192"/>
      <c r="IUR276" s="192"/>
      <c r="IUS276" s="192"/>
      <c r="IUT276" s="192"/>
      <c r="IUU276" s="192"/>
      <c r="IUV276" s="192"/>
      <c r="IUW276" s="192"/>
      <c r="IUX276" s="192"/>
      <c r="IUY276" s="192"/>
      <c r="IUZ276" s="192"/>
      <c r="IVA276" s="192"/>
      <c r="IVB276" s="192"/>
      <c r="IVC276" s="192"/>
      <c r="IVD276" s="192"/>
      <c r="IVE276" s="192"/>
      <c r="IVF276" s="192"/>
      <c r="IVG276" s="192"/>
      <c r="IVH276" s="192"/>
      <c r="IVI276" s="192"/>
      <c r="IVJ276" s="192"/>
      <c r="IVK276" s="192"/>
      <c r="IVL276" s="192"/>
      <c r="IVM276" s="192"/>
      <c r="IVN276" s="192"/>
      <c r="IVO276" s="192"/>
      <c r="IVP276" s="192"/>
      <c r="IVQ276" s="192"/>
      <c r="IVR276" s="192"/>
      <c r="IVS276" s="192"/>
      <c r="IVT276" s="192"/>
      <c r="IVU276" s="192"/>
      <c r="IVV276" s="192"/>
      <c r="IVW276" s="192"/>
      <c r="IVX276" s="192"/>
      <c r="IVY276" s="192"/>
      <c r="IVZ276" s="192"/>
      <c r="IWA276" s="192"/>
      <c r="IWB276" s="192"/>
      <c r="IWC276" s="192"/>
      <c r="IWD276" s="192"/>
      <c r="IWE276" s="192"/>
      <c r="IWF276" s="192"/>
      <c r="IWG276" s="192"/>
      <c r="IWH276" s="192"/>
      <c r="IWI276" s="192"/>
      <c r="IWJ276" s="192"/>
      <c r="IWK276" s="192"/>
      <c r="IWL276" s="192"/>
      <c r="IWM276" s="192"/>
      <c r="IWN276" s="192"/>
      <c r="IWO276" s="192"/>
      <c r="IWP276" s="192"/>
      <c r="IWQ276" s="192"/>
      <c r="IWR276" s="192"/>
      <c r="IWS276" s="192"/>
      <c r="IWT276" s="192"/>
      <c r="IWU276" s="192"/>
      <c r="IWV276" s="192"/>
      <c r="IWW276" s="192"/>
      <c r="IWX276" s="192"/>
      <c r="IWY276" s="192"/>
      <c r="IWZ276" s="192"/>
      <c r="IXA276" s="192"/>
      <c r="IXB276" s="192"/>
      <c r="IXC276" s="192"/>
      <c r="IXD276" s="192"/>
      <c r="IXE276" s="192"/>
      <c r="IXF276" s="192"/>
      <c r="IXG276" s="192"/>
      <c r="IXH276" s="192"/>
      <c r="IXI276" s="192"/>
      <c r="IXJ276" s="192"/>
      <c r="IXK276" s="192"/>
      <c r="IXL276" s="192"/>
      <c r="IXM276" s="192"/>
      <c r="IXN276" s="192"/>
      <c r="IXO276" s="192"/>
      <c r="IXP276" s="192"/>
      <c r="IXQ276" s="192"/>
      <c r="IXR276" s="192"/>
      <c r="IXS276" s="192"/>
      <c r="IXT276" s="192"/>
      <c r="IXU276" s="192"/>
      <c r="IXV276" s="192"/>
      <c r="IXW276" s="192"/>
      <c r="IXX276" s="192"/>
      <c r="IXY276" s="192"/>
      <c r="IXZ276" s="192"/>
      <c r="IYA276" s="192"/>
      <c r="IYB276" s="192"/>
      <c r="IYC276" s="192"/>
      <c r="IYD276" s="192"/>
      <c r="IYE276" s="192"/>
      <c r="IYF276" s="192"/>
      <c r="IYG276" s="192"/>
      <c r="IYH276" s="192"/>
      <c r="IYI276" s="192"/>
      <c r="IYJ276" s="192"/>
      <c r="IYK276" s="192"/>
      <c r="IYL276" s="192"/>
      <c r="IYM276" s="192"/>
      <c r="IYN276" s="192"/>
      <c r="IYO276" s="192"/>
      <c r="IYP276" s="192"/>
      <c r="IYQ276" s="192"/>
      <c r="IYR276" s="192"/>
      <c r="IYS276" s="192"/>
      <c r="IYT276" s="192"/>
      <c r="IYU276" s="192"/>
      <c r="IYV276" s="192"/>
      <c r="IYW276" s="192"/>
      <c r="IYX276" s="192"/>
      <c r="IYY276" s="192"/>
      <c r="IYZ276" s="192"/>
      <c r="IZA276" s="192"/>
      <c r="IZB276" s="192"/>
      <c r="IZC276" s="192"/>
      <c r="IZD276" s="192"/>
      <c r="IZE276" s="192"/>
      <c r="IZF276" s="192"/>
      <c r="IZG276" s="192"/>
      <c r="IZH276" s="192"/>
      <c r="IZI276" s="192"/>
      <c r="IZJ276" s="192"/>
      <c r="IZK276" s="192"/>
      <c r="IZL276" s="192"/>
      <c r="IZM276" s="192"/>
      <c r="IZN276" s="192"/>
      <c r="IZO276" s="192"/>
      <c r="IZP276" s="192"/>
      <c r="IZQ276" s="192"/>
      <c r="IZR276" s="192"/>
      <c r="IZS276" s="192"/>
      <c r="IZT276" s="192"/>
      <c r="IZU276" s="192"/>
      <c r="IZV276" s="192"/>
      <c r="IZW276" s="192"/>
      <c r="IZX276" s="192"/>
      <c r="IZY276" s="192"/>
      <c r="IZZ276" s="192"/>
      <c r="JAA276" s="192"/>
      <c r="JAB276" s="192"/>
      <c r="JAC276" s="192"/>
      <c r="JAD276" s="192"/>
      <c r="JAE276" s="192"/>
      <c r="JAF276" s="192"/>
      <c r="JAG276" s="192"/>
      <c r="JAH276" s="192"/>
      <c r="JAI276" s="192"/>
      <c r="JAJ276" s="192"/>
      <c r="JAK276" s="192"/>
      <c r="JAL276" s="192"/>
      <c r="JAM276" s="192"/>
      <c r="JAN276" s="192"/>
      <c r="JAO276" s="192"/>
      <c r="JAP276" s="192"/>
      <c r="JAQ276" s="192"/>
      <c r="JAR276" s="192"/>
      <c r="JAS276" s="192"/>
      <c r="JAT276" s="192"/>
      <c r="JAU276" s="192"/>
      <c r="JAV276" s="192"/>
      <c r="JAW276" s="192"/>
      <c r="JAX276" s="192"/>
      <c r="JAY276" s="192"/>
      <c r="JAZ276" s="192"/>
      <c r="JBA276" s="192"/>
      <c r="JBB276" s="192"/>
      <c r="JBC276" s="192"/>
      <c r="JBD276" s="192"/>
      <c r="JBE276" s="192"/>
      <c r="JBF276" s="192"/>
      <c r="JBG276" s="192"/>
      <c r="JBH276" s="192"/>
      <c r="JBI276" s="192"/>
      <c r="JBJ276" s="192"/>
      <c r="JBK276" s="192"/>
      <c r="JBL276" s="192"/>
      <c r="JBM276" s="192"/>
      <c r="JBN276" s="192"/>
      <c r="JBO276" s="192"/>
      <c r="JBP276" s="192"/>
      <c r="JBQ276" s="192"/>
      <c r="JBR276" s="192"/>
      <c r="JBS276" s="192"/>
      <c r="JBT276" s="192"/>
      <c r="JBU276" s="192"/>
      <c r="JBV276" s="192"/>
      <c r="JBW276" s="192"/>
      <c r="JBX276" s="192"/>
      <c r="JBY276" s="192"/>
      <c r="JBZ276" s="192"/>
      <c r="JCA276" s="192"/>
      <c r="JCB276" s="192"/>
      <c r="JCC276" s="192"/>
      <c r="JCD276" s="192"/>
      <c r="JCE276" s="192"/>
      <c r="JCF276" s="192"/>
      <c r="JCG276" s="192"/>
      <c r="JCH276" s="192"/>
      <c r="JCI276" s="192"/>
      <c r="JCJ276" s="192"/>
      <c r="JCK276" s="192"/>
      <c r="JCL276" s="192"/>
      <c r="JCM276" s="192"/>
      <c r="JCN276" s="192"/>
      <c r="JCO276" s="192"/>
      <c r="JCP276" s="192"/>
      <c r="JCQ276" s="192"/>
      <c r="JCR276" s="192"/>
      <c r="JCS276" s="192"/>
      <c r="JCT276" s="192"/>
      <c r="JCU276" s="192"/>
      <c r="JCV276" s="192"/>
      <c r="JCW276" s="192"/>
      <c r="JCX276" s="192"/>
      <c r="JCY276" s="192"/>
      <c r="JCZ276" s="192"/>
      <c r="JDA276" s="192"/>
      <c r="JDB276" s="192"/>
      <c r="JDC276" s="192"/>
      <c r="JDD276" s="192"/>
      <c r="JDE276" s="192"/>
      <c r="JDF276" s="192"/>
      <c r="JDG276" s="192"/>
      <c r="JDH276" s="192"/>
      <c r="JDI276" s="192"/>
      <c r="JDJ276" s="192"/>
      <c r="JDK276" s="192"/>
      <c r="JDL276" s="192"/>
      <c r="JDM276" s="192"/>
      <c r="JDN276" s="192"/>
      <c r="JDO276" s="192"/>
      <c r="JDP276" s="192"/>
      <c r="JDQ276" s="192"/>
      <c r="JDR276" s="192"/>
      <c r="JDS276" s="192"/>
      <c r="JDT276" s="192"/>
      <c r="JDU276" s="192"/>
      <c r="JDV276" s="192"/>
      <c r="JDW276" s="192"/>
      <c r="JDX276" s="192"/>
      <c r="JDY276" s="192"/>
      <c r="JDZ276" s="192"/>
      <c r="JEA276" s="192"/>
      <c r="JEB276" s="192"/>
      <c r="JEC276" s="192"/>
      <c r="JED276" s="192"/>
      <c r="JEE276" s="192"/>
      <c r="JEF276" s="192"/>
      <c r="JEG276" s="192"/>
      <c r="JEH276" s="192"/>
      <c r="JEI276" s="192"/>
      <c r="JEJ276" s="192"/>
      <c r="JEK276" s="192"/>
      <c r="JEL276" s="192"/>
      <c r="JEM276" s="192"/>
      <c r="JEN276" s="192"/>
      <c r="JEO276" s="192"/>
      <c r="JEP276" s="192"/>
      <c r="JEQ276" s="192"/>
      <c r="JER276" s="192"/>
      <c r="JES276" s="192"/>
      <c r="JET276" s="192"/>
      <c r="JEU276" s="192"/>
      <c r="JEV276" s="192"/>
      <c r="JEW276" s="192"/>
      <c r="JEX276" s="192"/>
      <c r="JEY276" s="192"/>
      <c r="JEZ276" s="192"/>
      <c r="JFA276" s="192"/>
      <c r="JFB276" s="192"/>
      <c r="JFC276" s="192"/>
      <c r="JFD276" s="192"/>
      <c r="JFE276" s="192"/>
      <c r="JFF276" s="192"/>
      <c r="JFG276" s="192"/>
      <c r="JFH276" s="192"/>
      <c r="JFI276" s="192"/>
      <c r="JFJ276" s="192"/>
      <c r="JFK276" s="192"/>
      <c r="JFL276" s="192"/>
      <c r="JFM276" s="192"/>
      <c r="JFN276" s="192"/>
      <c r="JFO276" s="192"/>
      <c r="JFP276" s="192"/>
      <c r="JFQ276" s="192"/>
      <c r="JFR276" s="192"/>
      <c r="JFS276" s="192"/>
      <c r="JFT276" s="192"/>
      <c r="JFU276" s="192"/>
      <c r="JFV276" s="192"/>
      <c r="JFW276" s="192"/>
      <c r="JFX276" s="192"/>
      <c r="JFY276" s="192"/>
      <c r="JFZ276" s="192"/>
      <c r="JGA276" s="192"/>
      <c r="JGB276" s="192"/>
      <c r="JGC276" s="192"/>
      <c r="JGD276" s="192"/>
      <c r="JGE276" s="192"/>
      <c r="JGF276" s="192"/>
      <c r="JGG276" s="192"/>
      <c r="JGH276" s="192"/>
      <c r="JGI276" s="192"/>
      <c r="JGJ276" s="192"/>
      <c r="JGK276" s="192"/>
      <c r="JGL276" s="192"/>
      <c r="JGM276" s="192"/>
      <c r="JGN276" s="192"/>
      <c r="JGO276" s="192"/>
      <c r="JGP276" s="192"/>
      <c r="JGQ276" s="192"/>
      <c r="JGR276" s="192"/>
      <c r="JGS276" s="192"/>
      <c r="JGT276" s="192"/>
      <c r="JGU276" s="192"/>
      <c r="JGV276" s="192"/>
      <c r="JGW276" s="192"/>
      <c r="JGX276" s="192"/>
      <c r="JGY276" s="192"/>
      <c r="JGZ276" s="192"/>
      <c r="JHA276" s="192"/>
      <c r="JHB276" s="192"/>
      <c r="JHC276" s="192"/>
      <c r="JHD276" s="192"/>
      <c r="JHE276" s="192"/>
      <c r="JHF276" s="192"/>
      <c r="JHG276" s="192"/>
      <c r="JHH276" s="192"/>
      <c r="JHI276" s="192"/>
      <c r="JHJ276" s="192"/>
      <c r="JHK276" s="192"/>
      <c r="JHL276" s="192"/>
      <c r="JHM276" s="192"/>
      <c r="JHN276" s="192"/>
      <c r="JHO276" s="192"/>
      <c r="JHP276" s="192"/>
      <c r="JHQ276" s="192"/>
      <c r="JHR276" s="192"/>
      <c r="JHS276" s="192"/>
      <c r="JHT276" s="192"/>
      <c r="JHU276" s="192"/>
      <c r="JHV276" s="192"/>
      <c r="JHW276" s="192"/>
      <c r="JHX276" s="192"/>
      <c r="JHY276" s="192"/>
      <c r="JHZ276" s="192"/>
      <c r="JIA276" s="192"/>
      <c r="JIB276" s="192"/>
      <c r="JIC276" s="192"/>
      <c r="JID276" s="192"/>
      <c r="JIE276" s="192"/>
      <c r="JIF276" s="192"/>
      <c r="JIG276" s="192"/>
      <c r="JIH276" s="192"/>
      <c r="JII276" s="192"/>
      <c r="JIJ276" s="192"/>
      <c r="JIK276" s="192"/>
      <c r="JIL276" s="192"/>
      <c r="JIM276" s="192"/>
      <c r="JIN276" s="192"/>
      <c r="JIO276" s="192"/>
      <c r="JIP276" s="192"/>
      <c r="JIQ276" s="192"/>
      <c r="JIR276" s="192"/>
      <c r="JIS276" s="192"/>
      <c r="JIT276" s="192"/>
      <c r="JIU276" s="192"/>
      <c r="JIV276" s="192"/>
      <c r="JIW276" s="192"/>
      <c r="JIX276" s="192"/>
      <c r="JIY276" s="192"/>
      <c r="JIZ276" s="192"/>
      <c r="JJA276" s="192"/>
      <c r="JJB276" s="192"/>
      <c r="JJC276" s="192"/>
      <c r="JJD276" s="192"/>
      <c r="JJE276" s="192"/>
      <c r="JJF276" s="192"/>
      <c r="JJG276" s="192"/>
      <c r="JJH276" s="192"/>
      <c r="JJI276" s="192"/>
      <c r="JJJ276" s="192"/>
      <c r="JJK276" s="192"/>
      <c r="JJL276" s="192"/>
      <c r="JJM276" s="192"/>
      <c r="JJN276" s="192"/>
      <c r="JJO276" s="192"/>
      <c r="JJP276" s="192"/>
      <c r="JJQ276" s="192"/>
      <c r="JJR276" s="192"/>
      <c r="JJS276" s="192"/>
      <c r="JJT276" s="192"/>
      <c r="JJU276" s="192"/>
      <c r="JJV276" s="192"/>
      <c r="JJW276" s="192"/>
      <c r="JJX276" s="192"/>
      <c r="JJY276" s="192"/>
      <c r="JJZ276" s="192"/>
      <c r="JKA276" s="192"/>
      <c r="JKB276" s="192"/>
      <c r="JKC276" s="192"/>
      <c r="JKD276" s="192"/>
      <c r="JKE276" s="192"/>
      <c r="JKF276" s="192"/>
      <c r="JKG276" s="192"/>
      <c r="JKH276" s="192"/>
      <c r="JKI276" s="192"/>
      <c r="JKJ276" s="192"/>
      <c r="JKK276" s="192"/>
      <c r="JKL276" s="192"/>
      <c r="JKM276" s="192"/>
      <c r="JKN276" s="192"/>
      <c r="JKO276" s="192"/>
      <c r="JKP276" s="192"/>
      <c r="JKQ276" s="192"/>
      <c r="JKR276" s="192"/>
      <c r="JKS276" s="192"/>
      <c r="JKT276" s="192"/>
      <c r="JKU276" s="192"/>
      <c r="JKV276" s="192"/>
      <c r="JKW276" s="192"/>
      <c r="JKX276" s="192"/>
      <c r="JKY276" s="192"/>
      <c r="JKZ276" s="192"/>
      <c r="JLA276" s="192"/>
      <c r="JLB276" s="192"/>
      <c r="JLC276" s="192"/>
      <c r="JLD276" s="192"/>
      <c r="JLE276" s="192"/>
      <c r="JLF276" s="192"/>
      <c r="JLG276" s="192"/>
      <c r="JLH276" s="192"/>
      <c r="JLI276" s="192"/>
      <c r="JLJ276" s="192"/>
      <c r="JLK276" s="192"/>
      <c r="JLL276" s="192"/>
      <c r="JLM276" s="192"/>
      <c r="JLN276" s="192"/>
      <c r="JLO276" s="192"/>
      <c r="JLP276" s="192"/>
      <c r="JLQ276" s="192"/>
      <c r="JLR276" s="192"/>
      <c r="JLS276" s="192"/>
      <c r="JLT276" s="192"/>
      <c r="JLU276" s="192"/>
      <c r="JLV276" s="192"/>
      <c r="JLW276" s="192"/>
      <c r="JLX276" s="192"/>
      <c r="JLY276" s="192"/>
      <c r="JLZ276" s="192"/>
      <c r="JMA276" s="192"/>
      <c r="JMB276" s="192"/>
      <c r="JMC276" s="192"/>
      <c r="JMD276" s="192"/>
      <c r="JME276" s="192"/>
      <c r="JMF276" s="192"/>
      <c r="JMG276" s="192"/>
      <c r="JMH276" s="192"/>
      <c r="JMI276" s="192"/>
      <c r="JMJ276" s="192"/>
      <c r="JMK276" s="192"/>
      <c r="JML276" s="192"/>
      <c r="JMM276" s="192"/>
      <c r="JMN276" s="192"/>
      <c r="JMO276" s="192"/>
      <c r="JMP276" s="192"/>
      <c r="JMQ276" s="192"/>
      <c r="JMR276" s="192"/>
      <c r="JMS276" s="192"/>
      <c r="JMT276" s="192"/>
      <c r="JMU276" s="192"/>
      <c r="JMV276" s="192"/>
      <c r="JMW276" s="192"/>
      <c r="JMX276" s="192"/>
      <c r="JMY276" s="192"/>
      <c r="JMZ276" s="192"/>
      <c r="JNA276" s="192"/>
      <c r="JNB276" s="192"/>
      <c r="JNC276" s="192"/>
      <c r="JND276" s="192"/>
      <c r="JNE276" s="192"/>
      <c r="JNF276" s="192"/>
      <c r="JNG276" s="192"/>
      <c r="JNH276" s="192"/>
      <c r="JNI276" s="192"/>
      <c r="JNJ276" s="192"/>
      <c r="JNK276" s="192"/>
      <c r="JNL276" s="192"/>
      <c r="JNM276" s="192"/>
      <c r="JNN276" s="192"/>
      <c r="JNO276" s="192"/>
      <c r="JNP276" s="192"/>
      <c r="JNQ276" s="192"/>
      <c r="JNR276" s="192"/>
      <c r="JNS276" s="192"/>
      <c r="JNT276" s="192"/>
      <c r="JNU276" s="192"/>
      <c r="JNV276" s="192"/>
      <c r="JNW276" s="192"/>
      <c r="JNX276" s="192"/>
      <c r="JNY276" s="192"/>
      <c r="JNZ276" s="192"/>
      <c r="JOA276" s="192"/>
      <c r="JOB276" s="192"/>
      <c r="JOC276" s="192"/>
      <c r="JOD276" s="192"/>
      <c r="JOE276" s="192"/>
      <c r="JOF276" s="192"/>
      <c r="JOG276" s="192"/>
      <c r="JOH276" s="192"/>
      <c r="JOI276" s="192"/>
      <c r="JOJ276" s="192"/>
      <c r="JOK276" s="192"/>
      <c r="JOL276" s="192"/>
      <c r="JOM276" s="192"/>
      <c r="JON276" s="192"/>
      <c r="JOO276" s="192"/>
      <c r="JOP276" s="192"/>
      <c r="JOQ276" s="192"/>
      <c r="JOR276" s="192"/>
      <c r="JOS276" s="192"/>
      <c r="JOT276" s="192"/>
      <c r="JOU276" s="192"/>
      <c r="JOV276" s="192"/>
      <c r="JOW276" s="192"/>
      <c r="JOX276" s="192"/>
      <c r="JOY276" s="192"/>
      <c r="JOZ276" s="192"/>
      <c r="JPA276" s="192"/>
      <c r="JPB276" s="192"/>
      <c r="JPC276" s="192"/>
      <c r="JPD276" s="192"/>
      <c r="JPE276" s="192"/>
      <c r="JPF276" s="192"/>
      <c r="JPG276" s="192"/>
      <c r="JPH276" s="192"/>
      <c r="JPI276" s="192"/>
      <c r="JPJ276" s="192"/>
      <c r="JPK276" s="192"/>
      <c r="JPL276" s="192"/>
      <c r="JPM276" s="192"/>
      <c r="JPN276" s="192"/>
      <c r="JPO276" s="192"/>
      <c r="JPP276" s="192"/>
      <c r="JPQ276" s="192"/>
      <c r="JPR276" s="192"/>
      <c r="JPS276" s="192"/>
      <c r="JPT276" s="192"/>
      <c r="JPU276" s="192"/>
      <c r="JPV276" s="192"/>
      <c r="JPW276" s="192"/>
      <c r="JPX276" s="192"/>
      <c r="JPY276" s="192"/>
      <c r="JPZ276" s="192"/>
      <c r="JQA276" s="192"/>
      <c r="JQB276" s="192"/>
      <c r="JQC276" s="192"/>
      <c r="JQD276" s="192"/>
      <c r="JQE276" s="192"/>
      <c r="JQF276" s="192"/>
      <c r="JQG276" s="192"/>
      <c r="JQH276" s="192"/>
      <c r="JQI276" s="192"/>
      <c r="JQJ276" s="192"/>
      <c r="JQK276" s="192"/>
      <c r="JQL276" s="192"/>
      <c r="JQM276" s="192"/>
      <c r="JQN276" s="192"/>
      <c r="JQO276" s="192"/>
      <c r="JQP276" s="192"/>
      <c r="JQQ276" s="192"/>
      <c r="JQR276" s="192"/>
      <c r="JQS276" s="192"/>
      <c r="JQT276" s="192"/>
      <c r="JQU276" s="192"/>
      <c r="JQV276" s="192"/>
      <c r="JQW276" s="192"/>
      <c r="JQX276" s="192"/>
      <c r="JQY276" s="192"/>
      <c r="JQZ276" s="192"/>
      <c r="JRA276" s="192"/>
      <c r="JRB276" s="192"/>
      <c r="JRC276" s="192"/>
      <c r="JRD276" s="192"/>
      <c r="JRE276" s="192"/>
      <c r="JRF276" s="192"/>
      <c r="JRG276" s="192"/>
      <c r="JRH276" s="192"/>
      <c r="JRI276" s="192"/>
      <c r="JRJ276" s="192"/>
      <c r="JRK276" s="192"/>
      <c r="JRL276" s="192"/>
      <c r="JRM276" s="192"/>
      <c r="JRN276" s="192"/>
      <c r="JRO276" s="192"/>
      <c r="JRP276" s="192"/>
      <c r="JRQ276" s="192"/>
      <c r="JRR276" s="192"/>
      <c r="JRS276" s="192"/>
      <c r="JRT276" s="192"/>
      <c r="JRU276" s="192"/>
      <c r="JRV276" s="192"/>
      <c r="JRW276" s="192"/>
      <c r="JRX276" s="192"/>
      <c r="JRY276" s="192"/>
      <c r="JRZ276" s="192"/>
      <c r="JSA276" s="192"/>
      <c r="JSB276" s="192"/>
      <c r="JSC276" s="192"/>
      <c r="JSD276" s="192"/>
      <c r="JSE276" s="192"/>
      <c r="JSF276" s="192"/>
      <c r="JSG276" s="192"/>
      <c r="JSH276" s="192"/>
      <c r="JSI276" s="192"/>
      <c r="JSJ276" s="192"/>
      <c r="JSK276" s="192"/>
      <c r="JSL276" s="192"/>
      <c r="JSM276" s="192"/>
      <c r="JSN276" s="192"/>
      <c r="JSO276" s="192"/>
      <c r="JSP276" s="192"/>
      <c r="JSQ276" s="192"/>
      <c r="JSR276" s="192"/>
      <c r="JSS276" s="192"/>
      <c r="JST276" s="192"/>
      <c r="JSU276" s="192"/>
      <c r="JSV276" s="192"/>
      <c r="JSW276" s="192"/>
      <c r="JSX276" s="192"/>
      <c r="JSY276" s="192"/>
      <c r="JSZ276" s="192"/>
      <c r="JTA276" s="192"/>
      <c r="JTB276" s="192"/>
      <c r="JTC276" s="192"/>
      <c r="JTD276" s="192"/>
      <c r="JTE276" s="192"/>
      <c r="JTF276" s="192"/>
      <c r="JTG276" s="192"/>
      <c r="JTH276" s="192"/>
      <c r="JTI276" s="192"/>
      <c r="JTJ276" s="192"/>
      <c r="JTK276" s="192"/>
      <c r="JTL276" s="192"/>
      <c r="JTM276" s="192"/>
      <c r="JTN276" s="192"/>
      <c r="JTO276" s="192"/>
      <c r="JTP276" s="192"/>
      <c r="JTQ276" s="192"/>
      <c r="JTR276" s="192"/>
      <c r="JTS276" s="192"/>
      <c r="JTT276" s="192"/>
      <c r="JTU276" s="192"/>
      <c r="JTV276" s="192"/>
      <c r="JTW276" s="192"/>
      <c r="JTX276" s="192"/>
      <c r="JTY276" s="192"/>
      <c r="JTZ276" s="192"/>
      <c r="JUA276" s="192"/>
      <c r="JUB276" s="192"/>
      <c r="JUC276" s="192"/>
      <c r="JUD276" s="192"/>
      <c r="JUE276" s="192"/>
      <c r="JUF276" s="192"/>
      <c r="JUG276" s="192"/>
      <c r="JUH276" s="192"/>
      <c r="JUI276" s="192"/>
      <c r="JUJ276" s="192"/>
      <c r="JUK276" s="192"/>
      <c r="JUL276" s="192"/>
      <c r="JUM276" s="192"/>
      <c r="JUN276" s="192"/>
      <c r="JUO276" s="192"/>
      <c r="JUP276" s="192"/>
      <c r="JUQ276" s="192"/>
      <c r="JUR276" s="192"/>
      <c r="JUS276" s="192"/>
      <c r="JUT276" s="192"/>
      <c r="JUU276" s="192"/>
      <c r="JUV276" s="192"/>
      <c r="JUW276" s="192"/>
      <c r="JUX276" s="192"/>
      <c r="JUY276" s="192"/>
      <c r="JUZ276" s="192"/>
      <c r="JVA276" s="192"/>
      <c r="JVB276" s="192"/>
      <c r="JVC276" s="192"/>
      <c r="JVD276" s="192"/>
      <c r="JVE276" s="192"/>
      <c r="JVF276" s="192"/>
      <c r="JVG276" s="192"/>
      <c r="JVH276" s="192"/>
      <c r="JVI276" s="192"/>
      <c r="JVJ276" s="192"/>
      <c r="JVK276" s="192"/>
      <c r="JVL276" s="192"/>
      <c r="JVM276" s="192"/>
      <c r="JVN276" s="192"/>
      <c r="JVO276" s="192"/>
      <c r="JVP276" s="192"/>
      <c r="JVQ276" s="192"/>
      <c r="JVR276" s="192"/>
      <c r="JVS276" s="192"/>
      <c r="JVT276" s="192"/>
      <c r="JVU276" s="192"/>
      <c r="JVV276" s="192"/>
      <c r="JVW276" s="192"/>
      <c r="JVX276" s="192"/>
      <c r="JVY276" s="192"/>
      <c r="JVZ276" s="192"/>
      <c r="JWA276" s="192"/>
      <c r="JWB276" s="192"/>
      <c r="JWC276" s="192"/>
      <c r="JWD276" s="192"/>
      <c r="JWE276" s="192"/>
      <c r="JWF276" s="192"/>
      <c r="JWG276" s="192"/>
      <c r="JWH276" s="192"/>
      <c r="JWI276" s="192"/>
      <c r="JWJ276" s="192"/>
      <c r="JWK276" s="192"/>
      <c r="JWL276" s="192"/>
      <c r="JWM276" s="192"/>
      <c r="JWN276" s="192"/>
      <c r="JWO276" s="192"/>
      <c r="JWP276" s="192"/>
      <c r="JWQ276" s="192"/>
      <c r="JWR276" s="192"/>
      <c r="JWS276" s="192"/>
      <c r="JWT276" s="192"/>
      <c r="JWU276" s="192"/>
      <c r="JWV276" s="192"/>
      <c r="JWW276" s="192"/>
      <c r="JWX276" s="192"/>
      <c r="JWY276" s="192"/>
      <c r="JWZ276" s="192"/>
      <c r="JXA276" s="192"/>
      <c r="JXB276" s="192"/>
      <c r="JXC276" s="192"/>
      <c r="JXD276" s="192"/>
      <c r="JXE276" s="192"/>
      <c r="JXF276" s="192"/>
      <c r="JXG276" s="192"/>
      <c r="JXH276" s="192"/>
      <c r="JXI276" s="192"/>
      <c r="JXJ276" s="192"/>
      <c r="JXK276" s="192"/>
      <c r="JXL276" s="192"/>
      <c r="JXM276" s="192"/>
      <c r="JXN276" s="192"/>
      <c r="JXO276" s="192"/>
      <c r="JXP276" s="192"/>
      <c r="JXQ276" s="192"/>
      <c r="JXR276" s="192"/>
      <c r="JXS276" s="192"/>
      <c r="JXT276" s="192"/>
      <c r="JXU276" s="192"/>
      <c r="JXV276" s="192"/>
      <c r="JXW276" s="192"/>
      <c r="JXX276" s="192"/>
      <c r="JXY276" s="192"/>
      <c r="JXZ276" s="192"/>
      <c r="JYA276" s="192"/>
      <c r="JYB276" s="192"/>
      <c r="JYC276" s="192"/>
      <c r="JYD276" s="192"/>
      <c r="JYE276" s="192"/>
      <c r="JYF276" s="192"/>
      <c r="JYG276" s="192"/>
      <c r="JYH276" s="192"/>
      <c r="JYI276" s="192"/>
      <c r="JYJ276" s="192"/>
      <c r="JYK276" s="192"/>
      <c r="JYL276" s="192"/>
      <c r="JYM276" s="192"/>
      <c r="JYN276" s="192"/>
      <c r="JYO276" s="192"/>
      <c r="JYP276" s="192"/>
      <c r="JYQ276" s="192"/>
      <c r="JYR276" s="192"/>
      <c r="JYS276" s="192"/>
      <c r="JYT276" s="192"/>
      <c r="JYU276" s="192"/>
      <c r="JYV276" s="192"/>
      <c r="JYW276" s="192"/>
      <c r="JYX276" s="192"/>
      <c r="JYY276" s="192"/>
      <c r="JYZ276" s="192"/>
      <c r="JZA276" s="192"/>
      <c r="JZB276" s="192"/>
      <c r="JZC276" s="192"/>
      <c r="JZD276" s="192"/>
      <c r="JZE276" s="192"/>
      <c r="JZF276" s="192"/>
      <c r="JZG276" s="192"/>
      <c r="JZH276" s="192"/>
      <c r="JZI276" s="192"/>
      <c r="JZJ276" s="192"/>
      <c r="JZK276" s="192"/>
      <c r="JZL276" s="192"/>
      <c r="JZM276" s="192"/>
      <c r="JZN276" s="192"/>
      <c r="JZO276" s="192"/>
      <c r="JZP276" s="192"/>
      <c r="JZQ276" s="192"/>
      <c r="JZR276" s="192"/>
      <c r="JZS276" s="192"/>
      <c r="JZT276" s="192"/>
      <c r="JZU276" s="192"/>
      <c r="JZV276" s="192"/>
      <c r="JZW276" s="192"/>
      <c r="JZX276" s="192"/>
      <c r="JZY276" s="192"/>
      <c r="JZZ276" s="192"/>
      <c r="KAA276" s="192"/>
      <c r="KAB276" s="192"/>
      <c r="KAC276" s="192"/>
      <c r="KAD276" s="192"/>
      <c r="KAE276" s="192"/>
      <c r="KAF276" s="192"/>
      <c r="KAG276" s="192"/>
      <c r="KAH276" s="192"/>
      <c r="KAI276" s="192"/>
      <c r="KAJ276" s="192"/>
      <c r="KAK276" s="192"/>
      <c r="KAL276" s="192"/>
      <c r="KAM276" s="192"/>
      <c r="KAN276" s="192"/>
      <c r="KAO276" s="192"/>
      <c r="KAP276" s="192"/>
      <c r="KAQ276" s="192"/>
      <c r="KAR276" s="192"/>
      <c r="KAS276" s="192"/>
      <c r="KAT276" s="192"/>
      <c r="KAU276" s="192"/>
      <c r="KAV276" s="192"/>
      <c r="KAW276" s="192"/>
      <c r="KAX276" s="192"/>
      <c r="KAY276" s="192"/>
      <c r="KAZ276" s="192"/>
      <c r="KBA276" s="192"/>
      <c r="KBB276" s="192"/>
      <c r="KBC276" s="192"/>
      <c r="KBD276" s="192"/>
      <c r="KBE276" s="192"/>
      <c r="KBF276" s="192"/>
      <c r="KBG276" s="192"/>
      <c r="KBH276" s="192"/>
      <c r="KBI276" s="192"/>
      <c r="KBJ276" s="192"/>
      <c r="KBK276" s="192"/>
      <c r="KBL276" s="192"/>
      <c r="KBM276" s="192"/>
      <c r="KBN276" s="192"/>
      <c r="KBO276" s="192"/>
      <c r="KBP276" s="192"/>
      <c r="KBQ276" s="192"/>
      <c r="KBR276" s="192"/>
      <c r="KBS276" s="192"/>
      <c r="KBT276" s="192"/>
      <c r="KBU276" s="192"/>
      <c r="KBV276" s="192"/>
      <c r="KBW276" s="192"/>
      <c r="KBX276" s="192"/>
      <c r="KBY276" s="192"/>
      <c r="KBZ276" s="192"/>
      <c r="KCA276" s="192"/>
      <c r="KCB276" s="192"/>
      <c r="KCC276" s="192"/>
      <c r="KCD276" s="192"/>
      <c r="KCE276" s="192"/>
      <c r="KCF276" s="192"/>
      <c r="KCG276" s="192"/>
      <c r="KCH276" s="192"/>
      <c r="KCI276" s="192"/>
      <c r="KCJ276" s="192"/>
      <c r="KCK276" s="192"/>
      <c r="KCL276" s="192"/>
      <c r="KCM276" s="192"/>
      <c r="KCN276" s="192"/>
      <c r="KCO276" s="192"/>
      <c r="KCP276" s="192"/>
      <c r="KCQ276" s="192"/>
      <c r="KCR276" s="192"/>
      <c r="KCS276" s="192"/>
      <c r="KCT276" s="192"/>
      <c r="KCU276" s="192"/>
      <c r="KCV276" s="192"/>
      <c r="KCW276" s="192"/>
      <c r="KCX276" s="192"/>
      <c r="KCY276" s="192"/>
      <c r="KCZ276" s="192"/>
      <c r="KDA276" s="192"/>
      <c r="KDB276" s="192"/>
      <c r="KDC276" s="192"/>
      <c r="KDD276" s="192"/>
      <c r="KDE276" s="192"/>
      <c r="KDF276" s="192"/>
      <c r="KDG276" s="192"/>
      <c r="KDH276" s="192"/>
      <c r="KDI276" s="192"/>
      <c r="KDJ276" s="192"/>
      <c r="KDK276" s="192"/>
      <c r="KDL276" s="192"/>
      <c r="KDM276" s="192"/>
      <c r="KDN276" s="192"/>
      <c r="KDO276" s="192"/>
      <c r="KDP276" s="192"/>
      <c r="KDQ276" s="192"/>
      <c r="KDR276" s="192"/>
      <c r="KDS276" s="192"/>
      <c r="KDT276" s="192"/>
      <c r="KDU276" s="192"/>
      <c r="KDV276" s="192"/>
      <c r="KDW276" s="192"/>
      <c r="KDX276" s="192"/>
      <c r="KDY276" s="192"/>
      <c r="KDZ276" s="192"/>
      <c r="KEA276" s="192"/>
      <c r="KEB276" s="192"/>
      <c r="KEC276" s="192"/>
      <c r="KED276" s="192"/>
      <c r="KEE276" s="192"/>
      <c r="KEF276" s="192"/>
      <c r="KEG276" s="192"/>
      <c r="KEH276" s="192"/>
      <c r="KEI276" s="192"/>
      <c r="KEJ276" s="192"/>
      <c r="KEK276" s="192"/>
      <c r="KEL276" s="192"/>
      <c r="KEM276" s="192"/>
      <c r="KEN276" s="192"/>
      <c r="KEO276" s="192"/>
      <c r="KEP276" s="192"/>
      <c r="KEQ276" s="192"/>
      <c r="KER276" s="192"/>
      <c r="KES276" s="192"/>
      <c r="KET276" s="192"/>
      <c r="KEU276" s="192"/>
      <c r="KEV276" s="192"/>
      <c r="KEW276" s="192"/>
      <c r="KEX276" s="192"/>
      <c r="KEY276" s="192"/>
      <c r="KEZ276" s="192"/>
      <c r="KFA276" s="192"/>
      <c r="KFB276" s="192"/>
      <c r="KFC276" s="192"/>
      <c r="KFD276" s="192"/>
      <c r="KFE276" s="192"/>
      <c r="KFF276" s="192"/>
      <c r="KFG276" s="192"/>
      <c r="KFH276" s="192"/>
      <c r="KFI276" s="192"/>
      <c r="KFJ276" s="192"/>
      <c r="KFK276" s="192"/>
      <c r="KFL276" s="192"/>
      <c r="KFM276" s="192"/>
      <c r="KFN276" s="192"/>
      <c r="KFO276" s="192"/>
      <c r="KFP276" s="192"/>
      <c r="KFQ276" s="192"/>
      <c r="KFR276" s="192"/>
      <c r="KFS276" s="192"/>
      <c r="KFT276" s="192"/>
      <c r="KFU276" s="192"/>
      <c r="KFV276" s="192"/>
      <c r="KFW276" s="192"/>
      <c r="KFX276" s="192"/>
      <c r="KFY276" s="192"/>
      <c r="KFZ276" s="192"/>
      <c r="KGA276" s="192"/>
      <c r="KGB276" s="192"/>
      <c r="KGC276" s="192"/>
      <c r="KGD276" s="192"/>
      <c r="KGE276" s="192"/>
      <c r="KGF276" s="192"/>
      <c r="KGG276" s="192"/>
      <c r="KGH276" s="192"/>
      <c r="KGI276" s="192"/>
      <c r="KGJ276" s="192"/>
      <c r="KGK276" s="192"/>
      <c r="KGL276" s="192"/>
      <c r="KGM276" s="192"/>
      <c r="KGN276" s="192"/>
      <c r="KGO276" s="192"/>
      <c r="KGP276" s="192"/>
      <c r="KGQ276" s="192"/>
      <c r="KGR276" s="192"/>
      <c r="KGS276" s="192"/>
      <c r="KGT276" s="192"/>
      <c r="KGU276" s="192"/>
      <c r="KGV276" s="192"/>
      <c r="KGW276" s="192"/>
      <c r="KGX276" s="192"/>
      <c r="KGY276" s="192"/>
      <c r="KGZ276" s="192"/>
      <c r="KHA276" s="192"/>
      <c r="KHB276" s="192"/>
      <c r="KHC276" s="192"/>
      <c r="KHD276" s="192"/>
      <c r="KHE276" s="192"/>
      <c r="KHF276" s="192"/>
      <c r="KHG276" s="192"/>
      <c r="KHH276" s="192"/>
      <c r="KHI276" s="192"/>
      <c r="KHJ276" s="192"/>
      <c r="KHK276" s="192"/>
      <c r="KHL276" s="192"/>
      <c r="KHM276" s="192"/>
      <c r="KHN276" s="192"/>
      <c r="KHO276" s="192"/>
      <c r="KHP276" s="192"/>
      <c r="KHQ276" s="192"/>
      <c r="KHR276" s="192"/>
      <c r="KHS276" s="192"/>
      <c r="KHT276" s="192"/>
      <c r="KHU276" s="192"/>
      <c r="KHV276" s="192"/>
      <c r="KHW276" s="192"/>
      <c r="KHX276" s="192"/>
      <c r="KHY276" s="192"/>
      <c r="KHZ276" s="192"/>
      <c r="KIA276" s="192"/>
      <c r="KIB276" s="192"/>
      <c r="KIC276" s="192"/>
      <c r="KID276" s="192"/>
      <c r="KIE276" s="192"/>
      <c r="KIF276" s="192"/>
      <c r="KIG276" s="192"/>
      <c r="KIH276" s="192"/>
      <c r="KII276" s="192"/>
      <c r="KIJ276" s="192"/>
      <c r="KIK276" s="192"/>
      <c r="KIL276" s="192"/>
      <c r="KIM276" s="192"/>
      <c r="KIN276" s="192"/>
      <c r="KIO276" s="192"/>
      <c r="KIP276" s="192"/>
      <c r="KIQ276" s="192"/>
      <c r="KIR276" s="192"/>
      <c r="KIS276" s="192"/>
      <c r="KIT276" s="192"/>
      <c r="KIU276" s="192"/>
      <c r="KIV276" s="192"/>
      <c r="KIW276" s="192"/>
      <c r="KIX276" s="192"/>
      <c r="KIY276" s="192"/>
      <c r="KIZ276" s="192"/>
      <c r="KJA276" s="192"/>
      <c r="KJB276" s="192"/>
      <c r="KJC276" s="192"/>
      <c r="KJD276" s="192"/>
      <c r="KJE276" s="192"/>
      <c r="KJF276" s="192"/>
      <c r="KJG276" s="192"/>
      <c r="KJH276" s="192"/>
      <c r="KJI276" s="192"/>
      <c r="KJJ276" s="192"/>
      <c r="KJK276" s="192"/>
      <c r="KJL276" s="192"/>
      <c r="KJM276" s="192"/>
      <c r="KJN276" s="192"/>
      <c r="KJO276" s="192"/>
      <c r="KJP276" s="192"/>
      <c r="KJQ276" s="192"/>
      <c r="KJR276" s="192"/>
      <c r="KJS276" s="192"/>
      <c r="KJT276" s="192"/>
      <c r="KJU276" s="192"/>
      <c r="KJV276" s="192"/>
      <c r="KJW276" s="192"/>
      <c r="KJX276" s="192"/>
      <c r="KJY276" s="192"/>
      <c r="KJZ276" s="192"/>
      <c r="KKA276" s="192"/>
      <c r="KKB276" s="192"/>
      <c r="KKC276" s="192"/>
      <c r="KKD276" s="192"/>
      <c r="KKE276" s="192"/>
      <c r="KKF276" s="192"/>
      <c r="KKG276" s="192"/>
      <c r="KKH276" s="192"/>
      <c r="KKI276" s="192"/>
      <c r="KKJ276" s="192"/>
      <c r="KKK276" s="192"/>
      <c r="KKL276" s="192"/>
      <c r="KKM276" s="192"/>
      <c r="KKN276" s="192"/>
      <c r="KKO276" s="192"/>
      <c r="KKP276" s="192"/>
      <c r="KKQ276" s="192"/>
      <c r="KKR276" s="192"/>
      <c r="KKS276" s="192"/>
      <c r="KKT276" s="192"/>
      <c r="KKU276" s="192"/>
      <c r="KKV276" s="192"/>
      <c r="KKW276" s="192"/>
      <c r="KKX276" s="192"/>
      <c r="KKY276" s="192"/>
      <c r="KKZ276" s="192"/>
      <c r="KLA276" s="192"/>
      <c r="KLB276" s="192"/>
      <c r="KLC276" s="192"/>
      <c r="KLD276" s="192"/>
      <c r="KLE276" s="192"/>
      <c r="KLF276" s="192"/>
      <c r="KLG276" s="192"/>
      <c r="KLH276" s="192"/>
      <c r="KLI276" s="192"/>
      <c r="KLJ276" s="192"/>
      <c r="KLK276" s="192"/>
      <c r="KLL276" s="192"/>
      <c r="KLM276" s="192"/>
      <c r="KLN276" s="192"/>
      <c r="KLO276" s="192"/>
      <c r="KLP276" s="192"/>
      <c r="KLQ276" s="192"/>
      <c r="KLR276" s="192"/>
      <c r="KLS276" s="192"/>
      <c r="KLT276" s="192"/>
      <c r="KLU276" s="192"/>
      <c r="KLV276" s="192"/>
      <c r="KLW276" s="192"/>
      <c r="KLX276" s="192"/>
      <c r="KLY276" s="192"/>
      <c r="KLZ276" s="192"/>
      <c r="KMA276" s="192"/>
      <c r="KMB276" s="192"/>
      <c r="KMC276" s="192"/>
      <c r="KMD276" s="192"/>
      <c r="KME276" s="192"/>
      <c r="KMF276" s="192"/>
      <c r="KMG276" s="192"/>
      <c r="KMH276" s="192"/>
      <c r="KMI276" s="192"/>
      <c r="KMJ276" s="192"/>
      <c r="KMK276" s="192"/>
      <c r="KML276" s="192"/>
      <c r="KMM276" s="192"/>
      <c r="KMN276" s="192"/>
      <c r="KMO276" s="192"/>
      <c r="KMP276" s="192"/>
      <c r="KMQ276" s="192"/>
      <c r="KMR276" s="192"/>
      <c r="KMS276" s="192"/>
      <c r="KMT276" s="192"/>
      <c r="KMU276" s="192"/>
      <c r="KMV276" s="192"/>
      <c r="KMW276" s="192"/>
      <c r="KMX276" s="192"/>
      <c r="KMY276" s="192"/>
      <c r="KMZ276" s="192"/>
      <c r="KNA276" s="192"/>
      <c r="KNB276" s="192"/>
      <c r="KNC276" s="192"/>
      <c r="KND276" s="192"/>
      <c r="KNE276" s="192"/>
      <c r="KNF276" s="192"/>
      <c r="KNG276" s="192"/>
      <c r="KNH276" s="192"/>
      <c r="KNI276" s="192"/>
      <c r="KNJ276" s="192"/>
      <c r="KNK276" s="192"/>
      <c r="KNL276" s="192"/>
      <c r="KNM276" s="192"/>
      <c r="KNN276" s="192"/>
      <c r="KNO276" s="192"/>
      <c r="KNP276" s="192"/>
      <c r="KNQ276" s="192"/>
      <c r="KNR276" s="192"/>
      <c r="KNS276" s="192"/>
      <c r="KNT276" s="192"/>
      <c r="KNU276" s="192"/>
      <c r="KNV276" s="192"/>
      <c r="KNW276" s="192"/>
      <c r="KNX276" s="192"/>
      <c r="KNY276" s="192"/>
      <c r="KNZ276" s="192"/>
      <c r="KOA276" s="192"/>
      <c r="KOB276" s="192"/>
      <c r="KOC276" s="192"/>
      <c r="KOD276" s="192"/>
      <c r="KOE276" s="192"/>
      <c r="KOF276" s="192"/>
      <c r="KOG276" s="192"/>
      <c r="KOH276" s="192"/>
      <c r="KOI276" s="192"/>
      <c r="KOJ276" s="192"/>
      <c r="KOK276" s="192"/>
      <c r="KOL276" s="192"/>
      <c r="KOM276" s="192"/>
      <c r="KON276" s="192"/>
      <c r="KOO276" s="192"/>
      <c r="KOP276" s="192"/>
      <c r="KOQ276" s="192"/>
      <c r="KOR276" s="192"/>
      <c r="KOS276" s="192"/>
      <c r="KOT276" s="192"/>
      <c r="KOU276" s="192"/>
      <c r="KOV276" s="192"/>
      <c r="KOW276" s="192"/>
      <c r="KOX276" s="192"/>
      <c r="KOY276" s="192"/>
      <c r="KOZ276" s="192"/>
      <c r="KPA276" s="192"/>
      <c r="KPB276" s="192"/>
      <c r="KPC276" s="192"/>
      <c r="KPD276" s="192"/>
      <c r="KPE276" s="192"/>
      <c r="KPF276" s="192"/>
      <c r="KPG276" s="192"/>
      <c r="KPH276" s="192"/>
      <c r="KPI276" s="192"/>
      <c r="KPJ276" s="192"/>
      <c r="KPK276" s="192"/>
      <c r="KPL276" s="192"/>
      <c r="KPM276" s="192"/>
      <c r="KPN276" s="192"/>
      <c r="KPO276" s="192"/>
      <c r="KPP276" s="192"/>
      <c r="KPQ276" s="192"/>
      <c r="KPR276" s="192"/>
      <c r="KPS276" s="192"/>
      <c r="KPT276" s="192"/>
      <c r="KPU276" s="192"/>
      <c r="KPV276" s="192"/>
      <c r="KPW276" s="192"/>
      <c r="KPX276" s="192"/>
      <c r="KPY276" s="192"/>
      <c r="KPZ276" s="192"/>
      <c r="KQA276" s="192"/>
      <c r="KQB276" s="192"/>
      <c r="KQC276" s="192"/>
      <c r="KQD276" s="192"/>
      <c r="KQE276" s="192"/>
      <c r="KQF276" s="192"/>
      <c r="KQG276" s="192"/>
      <c r="KQH276" s="192"/>
      <c r="KQI276" s="192"/>
      <c r="KQJ276" s="192"/>
      <c r="KQK276" s="192"/>
      <c r="KQL276" s="192"/>
      <c r="KQM276" s="192"/>
      <c r="KQN276" s="192"/>
      <c r="KQO276" s="192"/>
      <c r="KQP276" s="192"/>
      <c r="KQQ276" s="192"/>
      <c r="KQR276" s="192"/>
      <c r="KQS276" s="192"/>
      <c r="KQT276" s="192"/>
      <c r="KQU276" s="192"/>
      <c r="KQV276" s="192"/>
      <c r="KQW276" s="192"/>
      <c r="KQX276" s="192"/>
      <c r="KQY276" s="192"/>
      <c r="KQZ276" s="192"/>
      <c r="KRA276" s="192"/>
      <c r="KRB276" s="192"/>
      <c r="KRC276" s="192"/>
      <c r="KRD276" s="192"/>
      <c r="KRE276" s="192"/>
      <c r="KRF276" s="192"/>
      <c r="KRG276" s="192"/>
      <c r="KRH276" s="192"/>
      <c r="KRI276" s="192"/>
      <c r="KRJ276" s="192"/>
      <c r="KRK276" s="192"/>
      <c r="KRL276" s="192"/>
      <c r="KRM276" s="192"/>
      <c r="KRN276" s="192"/>
      <c r="KRO276" s="192"/>
      <c r="KRP276" s="192"/>
      <c r="KRQ276" s="192"/>
      <c r="KRR276" s="192"/>
      <c r="KRS276" s="192"/>
      <c r="KRT276" s="192"/>
      <c r="KRU276" s="192"/>
      <c r="KRV276" s="192"/>
      <c r="KRW276" s="192"/>
      <c r="KRX276" s="192"/>
      <c r="KRY276" s="192"/>
      <c r="KRZ276" s="192"/>
      <c r="KSA276" s="192"/>
      <c r="KSB276" s="192"/>
      <c r="KSC276" s="192"/>
      <c r="KSD276" s="192"/>
      <c r="KSE276" s="192"/>
      <c r="KSF276" s="192"/>
      <c r="KSG276" s="192"/>
      <c r="KSH276" s="192"/>
      <c r="KSI276" s="192"/>
      <c r="KSJ276" s="192"/>
      <c r="KSK276" s="192"/>
      <c r="KSL276" s="192"/>
      <c r="KSM276" s="192"/>
      <c r="KSN276" s="192"/>
      <c r="KSO276" s="192"/>
      <c r="KSP276" s="192"/>
      <c r="KSQ276" s="192"/>
      <c r="KSR276" s="192"/>
      <c r="KSS276" s="192"/>
      <c r="KST276" s="192"/>
      <c r="KSU276" s="192"/>
      <c r="KSV276" s="192"/>
      <c r="KSW276" s="192"/>
      <c r="KSX276" s="192"/>
      <c r="KSY276" s="192"/>
      <c r="KSZ276" s="192"/>
      <c r="KTA276" s="192"/>
      <c r="KTB276" s="192"/>
      <c r="KTC276" s="192"/>
      <c r="KTD276" s="192"/>
      <c r="KTE276" s="192"/>
      <c r="KTF276" s="192"/>
      <c r="KTG276" s="192"/>
      <c r="KTH276" s="192"/>
      <c r="KTI276" s="192"/>
      <c r="KTJ276" s="192"/>
      <c r="KTK276" s="192"/>
      <c r="KTL276" s="192"/>
      <c r="KTM276" s="192"/>
      <c r="KTN276" s="192"/>
      <c r="KTO276" s="192"/>
      <c r="KTP276" s="192"/>
      <c r="KTQ276" s="192"/>
      <c r="KTR276" s="192"/>
      <c r="KTS276" s="192"/>
      <c r="KTT276" s="192"/>
      <c r="KTU276" s="192"/>
      <c r="KTV276" s="192"/>
      <c r="KTW276" s="192"/>
      <c r="KTX276" s="192"/>
      <c r="KTY276" s="192"/>
      <c r="KTZ276" s="192"/>
      <c r="KUA276" s="192"/>
      <c r="KUB276" s="192"/>
      <c r="KUC276" s="192"/>
      <c r="KUD276" s="192"/>
      <c r="KUE276" s="192"/>
      <c r="KUF276" s="192"/>
      <c r="KUG276" s="192"/>
      <c r="KUH276" s="192"/>
      <c r="KUI276" s="192"/>
      <c r="KUJ276" s="192"/>
      <c r="KUK276" s="192"/>
      <c r="KUL276" s="192"/>
      <c r="KUM276" s="192"/>
      <c r="KUN276" s="192"/>
      <c r="KUO276" s="192"/>
      <c r="KUP276" s="192"/>
      <c r="KUQ276" s="192"/>
      <c r="KUR276" s="192"/>
      <c r="KUS276" s="192"/>
      <c r="KUT276" s="192"/>
      <c r="KUU276" s="192"/>
      <c r="KUV276" s="192"/>
      <c r="KUW276" s="192"/>
      <c r="KUX276" s="192"/>
      <c r="KUY276" s="192"/>
      <c r="KUZ276" s="192"/>
      <c r="KVA276" s="192"/>
      <c r="KVB276" s="192"/>
      <c r="KVC276" s="192"/>
      <c r="KVD276" s="192"/>
      <c r="KVE276" s="192"/>
      <c r="KVF276" s="192"/>
      <c r="KVG276" s="192"/>
      <c r="KVH276" s="192"/>
      <c r="KVI276" s="192"/>
      <c r="KVJ276" s="192"/>
      <c r="KVK276" s="192"/>
      <c r="KVL276" s="192"/>
      <c r="KVM276" s="192"/>
      <c r="KVN276" s="192"/>
      <c r="KVO276" s="192"/>
      <c r="KVP276" s="192"/>
      <c r="KVQ276" s="192"/>
      <c r="KVR276" s="192"/>
      <c r="KVS276" s="192"/>
      <c r="KVT276" s="192"/>
      <c r="KVU276" s="192"/>
      <c r="KVV276" s="192"/>
      <c r="KVW276" s="192"/>
      <c r="KVX276" s="192"/>
      <c r="KVY276" s="192"/>
      <c r="KVZ276" s="192"/>
      <c r="KWA276" s="192"/>
      <c r="KWB276" s="192"/>
      <c r="KWC276" s="192"/>
      <c r="KWD276" s="192"/>
      <c r="KWE276" s="192"/>
      <c r="KWF276" s="192"/>
      <c r="KWG276" s="192"/>
      <c r="KWH276" s="192"/>
      <c r="KWI276" s="192"/>
      <c r="KWJ276" s="192"/>
      <c r="KWK276" s="192"/>
      <c r="KWL276" s="192"/>
      <c r="KWM276" s="192"/>
      <c r="KWN276" s="192"/>
      <c r="KWO276" s="192"/>
      <c r="KWP276" s="192"/>
      <c r="KWQ276" s="192"/>
      <c r="KWR276" s="192"/>
      <c r="KWS276" s="192"/>
      <c r="KWT276" s="192"/>
      <c r="KWU276" s="192"/>
      <c r="KWV276" s="192"/>
      <c r="KWW276" s="192"/>
      <c r="KWX276" s="192"/>
      <c r="KWY276" s="192"/>
      <c r="KWZ276" s="192"/>
      <c r="KXA276" s="192"/>
      <c r="KXB276" s="192"/>
      <c r="KXC276" s="192"/>
      <c r="KXD276" s="192"/>
      <c r="KXE276" s="192"/>
      <c r="KXF276" s="192"/>
      <c r="KXG276" s="192"/>
      <c r="KXH276" s="192"/>
      <c r="KXI276" s="192"/>
      <c r="KXJ276" s="192"/>
      <c r="KXK276" s="192"/>
      <c r="KXL276" s="192"/>
      <c r="KXM276" s="192"/>
      <c r="KXN276" s="192"/>
      <c r="KXO276" s="192"/>
      <c r="KXP276" s="192"/>
      <c r="KXQ276" s="192"/>
      <c r="KXR276" s="192"/>
      <c r="KXS276" s="192"/>
      <c r="KXT276" s="192"/>
      <c r="KXU276" s="192"/>
      <c r="KXV276" s="192"/>
      <c r="KXW276" s="192"/>
      <c r="KXX276" s="192"/>
      <c r="KXY276" s="192"/>
      <c r="KXZ276" s="192"/>
      <c r="KYA276" s="192"/>
      <c r="KYB276" s="192"/>
      <c r="KYC276" s="192"/>
      <c r="KYD276" s="192"/>
      <c r="KYE276" s="192"/>
      <c r="KYF276" s="192"/>
      <c r="KYG276" s="192"/>
      <c r="KYH276" s="192"/>
      <c r="KYI276" s="192"/>
      <c r="KYJ276" s="192"/>
      <c r="KYK276" s="192"/>
      <c r="KYL276" s="192"/>
      <c r="KYM276" s="192"/>
      <c r="KYN276" s="192"/>
      <c r="KYO276" s="192"/>
      <c r="KYP276" s="192"/>
      <c r="KYQ276" s="192"/>
      <c r="KYR276" s="192"/>
      <c r="KYS276" s="192"/>
      <c r="KYT276" s="192"/>
      <c r="KYU276" s="192"/>
      <c r="KYV276" s="192"/>
      <c r="KYW276" s="192"/>
      <c r="KYX276" s="192"/>
      <c r="KYY276" s="192"/>
      <c r="KYZ276" s="192"/>
      <c r="KZA276" s="192"/>
      <c r="KZB276" s="192"/>
      <c r="KZC276" s="192"/>
      <c r="KZD276" s="192"/>
      <c r="KZE276" s="192"/>
      <c r="KZF276" s="192"/>
      <c r="KZG276" s="192"/>
      <c r="KZH276" s="192"/>
      <c r="KZI276" s="192"/>
      <c r="KZJ276" s="192"/>
      <c r="KZK276" s="192"/>
      <c r="KZL276" s="192"/>
      <c r="KZM276" s="192"/>
      <c r="KZN276" s="192"/>
      <c r="KZO276" s="192"/>
      <c r="KZP276" s="192"/>
      <c r="KZQ276" s="192"/>
      <c r="KZR276" s="192"/>
      <c r="KZS276" s="192"/>
      <c r="KZT276" s="192"/>
      <c r="KZU276" s="192"/>
      <c r="KZV276" s="192"/>
      <c r="KZW276" s="192"/>
      <c r="KZX276" s="192"/>
      <c r="KZY276" s="192"/>
      <c r="KZZ276" s="192"/>
      <c r="LAA276" s="192"/>
      <c r="LAB276" s="192"/>
      <c r="LAC276" s="192"/>
      <c r="LAD276" s="192"/>
      <c r="LAE276" s="192"/>
      <c r="LAF276" s="192"/>
      <c r="LAG276" s="192"/>
      <c r="LAH276" s="192"/>
      <c r="LAI276" s="192"/>
      <c r="LAJ276" s="192"/>
      <c r="LAK276" s="192"/>
      <c r="LAL276" s="192"/>
      <c r="LAM276" s="192"/>
      <c r="LAN276" s="192"/>
      <c r="LAO276" s="192"/>
      <c r="LAP276" s="192"/>
      <c r="LAQ276" s="192"/>
      <c r="LAR276" s="192"/>
      <c r="LAS276" s="192"/>
      <c r="LAT276" s="192"/>
      <c r="LAU276" s="192"/>
      <c r="LAV276" s="192"/>
      <c r="LAW276" s="192"/>
      <c r="LAX276" s="192"/>
      <c r="LAY276" s="192"/>
      <c r="LAZ276" s="192"/>
      <c r="LBA276" s="192"/>
      <c r="LBB276" s="192"/>
      <c r="LBC276" s="192"/>
      <c r="LBD276" s="192"/>
      <c r="LBE276" s="192"/>
      <c r="LBF276" s="192"/>
      <c r="LBG276" s="192"/>
      <c r="LBH276" s="192"/>
      <c r="LBI276" s="192"/>
      <c r="LBJ276" s="192"/>
      <c r="LBK276" s="192"/>
      <c r="LBL276" s="192"/>
      <c r="LBM276" s="192"/>
      <c r="LBN276" s="192"/>
      <c r="LBO276" s="192"/>
      <c r="LBP276" s="192"/>
      <c r="LBQ276" s="192"/>
      <c r="LBR276" s="192"/>
      <c r="LBS276" s="192"/>
      <c r="LBT276" s="192"/>
      <c r="LBU276" s="192"/>
      <c r="LBV276" s="192"/>
      <c r="LBW276" s="192"/>
      <c r="LBX276" s="192"/>
      <c r="LBY276" s="192"/>
      <c r="LBZ276" s="192"/>
      <c r="LCA276" s="192"/>
      <c r="LCB276" s="192"/>
      <c r="LCC276" s="192"/>
      <c r="LCD276" s="192"/>
      <c r="LCE276" s="192"/>
      <c r="LCF276" s="192"/>
      <c r="LCG276" s="192"/>
      <c r="LCH276" s="192"/>
      <c r="LCI276" s="192"/>
      <c r="LCJ276" s="192"/>
      <c r="LCK276" s="192"/>
      <c r="LCL276" s="192"/>
      <c r="LCM276" s="192"/>
      <c r="LCN276" s="192"/>
      <c r="LCO276" s="192"/>
      <c r="LCP276" s="192"/>
      <c r="LCQ276" s="192"/>
      <c r="LCR276" s="192"/>
      <c r="LCS276" s="192"/>
      <c r="LCT276" s="192"/>
      <c r="LCU276" s="192"/>
      <c r="LCV276" s="192"/>
      <c r="LCW276" s="192"/>
      <c r="LCX276" s="192"/>
      <c r="LCY276" s="192"/>
      <c r="LCZ276" s="192"/>
      <c r="LDA276" s="192"/>
      <c r="LDB276" s="192"/>
      <c r="LDC276" s="192"/>
      <c r="LDD276" s="192"/>
      <c r="LDE276" s="192"/>
      <c r="LDF276" s="192"/>
      <c r="LDG276" s="192"/>
      <c r="LDH276" s="192"/>
      <c r="LDI276" s="192"/>
      <c r="LDJ276" s="192"/>
      <c r="LDK276" s="192"/>
      <c r="LDL276" s="192"/>
      <c r="LDM276" s="192"/>
      <c r="LDN276" s="192"/>
      <c r="LDO276" s="192"/>
      <c r="LDP276" s="192"/>
      <c r="LDQ276" s="192"/>
      <c r="LDR276" s="192"/>
      <c r="LDS276" s="192"/>
      <c r="LDT276" s="192"/>
      <c r="LDU276" s="192"/>
      <c r="LDV276" s="192"/>
      <c r="LDW276" s="192"/>
      <c r="LDX276" s="192"/>
      <c r="LDY276" s="192"/>
      <c r="LDZ276" s="192"/>
      <c r="LEA276" s="192"/>
      <c r="LEB276" s="192"/>
      <c r="LEC276" s="192"/>
      <c r="LED276" s="192"/>
      <c r="LEE276" s="192"/>
      <c r="LEF276" s="192"/>
      <c r="LEG276" s="192"/>
      <c r="LEH276" s="192"/>
      <c r="LEI276" s="192"/>
      <c r="LEJ276" s="192"/>
      <c r="LEK276" s="192"/>
      <c r="LEL276" s="192"/>
      <c r="LEM276" s="192"/>
      <c r="LEN276" s="192"/>
      <c r="LEO276" s="192"/>
      <c r="LEP276" s="192"/>
      <c r="LEQ276" s="192"/>
      <c r="LER276" s="192"/>
      <c r="LES276" s="192"/>
      <c r="LET276" s="192"/>
      <c r="LEU276" s="192"/>
      <c r="LEV276" s="192"/>
      <c r="LEW276" s="192"/>
      <c r="LEX276" s="192"/>
      <c r="LEY276" s="192"/>
      <c r="LEZ276" s="192"/>
      <c r="LFA276" s="192"/>
      <c r="LFB276" s="192"/>
      <c r="LFC276" s="192"/>
      <c r="LFD276" s="192"/>
      <c r="LFE276" s="192"/>
      <c r="LFF276" s="192"/>
      <c r="LFG276" s="192"/>
      <c r="LFH276" s="192"/>
      <c r="LFI276" s="192"/>
      <c r="LFJ276" s="192"/>
      <c r="LFK276" s="192"/>
      <c r="LFL276" s="192"/>
      <c r="LFM276" s="192"/>
      <c r="LFN276" s="192"/>
      <c r="LFO276" s="192"/>
      <c r="LFP276" s="192"/>
      <c r="LFQ276" s="192"/>
      <c r="LFR276" s="192"/>
      <c r="LFS276" s="192"/>
      <c r="LFT276" s="192"/>
      <c r="LFU276" s="192"/>
      <c r="LFV276" s="192"/>
      <c r="LFW276" s="192"/>
      <c r="LFX276" s="192"/>
      <c r="LFY276" s="192"/>
      <c r="LFZ276" s="192"/>
      <c r="LGA276" s="192"/>
      <c r="LGB276" s="192"/>
      <c r="LGC276" s="192"/>
      <c r="LGD276" s="192"/>
      <c r="LGE276" s="192"/>
      <c r="LGF276" s="192"/>
      <c r="LGG276" s="192"/>
      <c r="LGH276" s="192"/>
      <c r="LGI276" s="192"/>
      <c r="LGJ276" s="192"/>
      <c r="LGK276" s="192"/>
      <c r="LGL276" s="192"/>
      <c r="LGM276" s="192"/>
      <c r="LGN276" s="192"/>
      <c r="LGO276" s="192"/>
      <c r="LGP276" s="192"/>
      <c r="LGQ276" s="192"/>
      <c r="LGR276" s="192"/>
      <c r="LGS276" s="192"/>
      <c r="LGT276" s="192"/>
      <c r="LGU276" s="192"/>
      <c r="LGV276" s="192"/>
      <c r="LGW276" s="192"/>
      <c r="LGX276" s="192"/>
      <c r="LGY276" s="192"/>
      <c r="LGZ276" s="192"/>
      <c r="LHA276" s="192"/>
      <c r="LHB276" s="192"/>
      <c r="LHC276" s="192"/>
      <c r="LHD276" s="192"/>
      <c r="LHE276" s="192"/>
      <c r="LHF276" s="192"/>
      <c r="LHG276" s="192"/>
      <c r="LHH276" s="192"/>
      <c r="LHI276" s="192"/>
      <c r="LHJ276" s="192"/>
      <c r="LHK276" s="192"/>
      <c r="LHL276" s="192"/>
      <c r="LHM276" s="192"/>
      <c r="LHN276" s="192"/>
      <c r="LHO276" s="192"/>
      <c r="LHP276" s="192"/>
      <c r="LHQ276" s="192"/>
      <c r="LHR276" s="192"/>
      <c r="LHS276" s="192"/>
      <c r="LHT276" s="192"/>
      <c r="LHU276" s="192"/>
      <c r="LHV276" s="192"/>
      <c r="LHW276" s="192"/>
      <c r="LHX276" s="192"/>
      <c r="LHY276" s="192"/>
      <c r="LHZ276" s="192"/>
      <c r="LIA276" s="192"/>
      <c r="LIB276" s="192"/>
      <c r="LIC276" s="192"/>
      <c r="LID276" s="192"/>
      <c r="LIE276" s="192"/>
      <c r="LIF276" s="192"/>
      <c r="LIG276" s="192"/>
      <c r="LIH276" s="192"/>
      <c r="LII276" s="192"/>
      <c r="LIJ276" s="192"/>
      <c r="LIK276" s="192"/>
      <c r="LIL276" s="192"/>
      <c r="LIM276" s="192"/>
      <c r="LIN276" s="192"/>
      <c r="LIO276" s="192"/>
      <c r="LIP276" s="192"/>
      <c r="LIQ276" s="192"/>
      <c r="LIR276" s="192"/>
      <c r="LIS276" s="192"/>
      <c r="LIT276" s="192"/>
      <c r="LIU276" s="192"/>
      <c r="LIV276" s="192"/>
      <c r="LIW276" s="192"/>
      <c r="LIX276" s="192"/>
      <c r="LIY276" s="192"/>
      <c r="LIZ276" s="192"/>
      <c r="LJA276" s="192"/>
      <c r="LJB276" s="192"/>
      <c r="LJC276" s="192"/>
      <c r="LJD276" s="192"/>
      <c r="LJE276" s="192"/>
      <c r="LJF276" s="192"/>
      <c r="LJG276" s="192"/>
      <c r="LJH276" s="192"/>
      <c r="LJI276" s="192"/>
      <c r="LJJ276" s="192"/>
      <c r="LJK276" s="192"/>
      <c r="LJL276" s="192"/>
      <c r="LJM276" s="192"/>
      <c r="LJN276" s="192"/>
      <c r="LJO276" s="192"/>
      <c r="LJP276" s="192"/>
      <c r="LJQ276" s="192"/>
      <c r="LJR276" s="192"/>
      <c r="LJS276" s="192"/>
      <c r="LJT276" s="192"/>
      <c r="LJU276" s="192"/>
      <c r="LJV276" s="192"/>
      <c r="LJW276" s="192"/>
      <c r="LJX276" s="192"/>
      <c r="LJY276" s="192"/>
      <c r="LJZ276" s="192"/>
      <c r="LKA276" s="192"/>
      <c r="LKB276" s="192"/>
      <c r="LKC276" s="192"/>
      <c r="LKD276" s="192"/>
      <c r="LKE276" s="192"/>
      <c r="LKF276" s="192"/>
      <c r="LKG276" s="192"/>
      <c r="LKH276" s="192"/>
      <c r="LKI276" s="192"/>
      <c r="LKJ276" s="192"/>
      <c r="LKK276" s="192"/>
      <c r="LKL276" s="192"/>
      <c r="LKM276" s="192"/>
      <c r="LKN276" s="192"/>
      <c r="LKO276" s="192"/>
      <c r="LKP276" s="192"/>
      <c r="LKQ276" s="192"/>
      <c r="LKR276" s="192"/>
      <c r="LKS276" s="192"/>
      <c r="LKT276" s="192"/>
      <c r="LKU276" s="192"/>
      <c r="LKV276" s="192"/>
      <c r="LKW276" s="192"/>
      <c r="LKX276" s="192"/>
      <c r="LKY276" s="192"/>
      <c r="LKZ276" s="192"/>
      <c r="LLA276" s="192"/>
      <c r="LLB276" s="192"/>
      <c r="LLC276" s="192"/>
      <c r="LLD276" s="192"/>
      <c r="LLE276" s="192"/>
      <c r="LLF276" s="192"/>
      <c r="LLG276" s="192"/>
      <c r="LLH276" s="192"/>
      <c r="LLI276" s="192"/>
      <c r="LLJ276" s="192"/>
      <c r="LLK276" s="192"/>
      <c r="LLL276" s="192"/>
      <c r="LLM276" s="192"/>
      <c r="LLN276" s="192"/>
      <c r="LLO276" s="192"/>
      <c r="LLP276" s="192"/>
      <c r="LLQ276" s="192"/>
      <c r="LLR276" s="192"/>
      <c r="LLS276" s="192"/>
      <c r="LLT276" s="192"/>
      <c r="LLU276" s="192"/>
      <c r="LLV276" s="192"/>
      <c r="LLW276" s="192"/>
      <c r="LLX276" s="192"/>
      <c r="LLY276" s="192"/>
      <c r="LLZ276" s="192"/>
      <c r="LMA276" s="192"/>
      <c r="LMB276" s="192"/>
      <c r="LMC276" s="192"/>
      <c r="LMD276" s="192"/>
      <c r="LME276" s="192"/>
      <c r="LMF276" s="192"/>
      <c r="LMG276" s="192"/>
      <c r="LMH276" s="192"/>
      <c r="LMI276" s="192"/>
      <c r="LMJ276" s="192"/>
      <c r="LMK276" s="192"/>
      <c r="LML276" s="192"/>
      <c r="LMM276" s="192"/>
      <c r="LMN276" s="192"/>
      <c r="LMO276" s="192"/>
      <c r="LMP276" s="192"/>
      <c r="LMQ276" s="192"/>
      <c r="LMR276" s="192"/>
      <c r="LMS276" s="192"/>
      <c r="LMT276" s="192"/>
      <c r="LMU276" s="192"/>
      <c r="LMV276" s="192"/>
      <c r="LMW276" s="192"/>
      <c r="LMX276" s="192"/>
      <c r="LMY276" s="192"/>
      <c r="LMZ276" s="192"/>
      <c r="LNA276" s="192"/>
      <c r="LNB276" s="192"/>
      <c r="LNC276" s="192"/>
      <c r="LND276" s="192"/>
      <c r="LNE276" s="192"/>
      <c r="LNF276" s="192"/>
      <c r="LNG276" s="192"/>
      <c r="LNH276" s="192"/>
      <c r="LNI276" s="192"/>
      <c r="LNJ276" s="192"/>
      <c r="LNK276" s="192"/>
      <c r="LNL276" s="192"/>
      <c r="LNM276" s="192"/>
      <c r="LNN276" s="192"/>
      <c r="LNO276" s="192"/>
      <c r="LNP276" s="192"/>
      <c r="LNQ276" s="192"/>
      <c r="LNR276" s="192"/>
      <c r="LNS276" s="192"/>
      <c r="LNT276" s="192"/>
      <c r="LNU276" s="192"/>
      <c r="LNV276" s="192"/>
      <c r="LNW276" s="192"/>
      <c r="LNX276" s="192"/>
      <c r="LNY276" s="192"/>
      <c r="LNZ276" s="192"/>
      <c r="LOA276" s="192"/>
      <c r="LOB276" s="192"/>
      <c r="LOC276" s="192"/>
      <c r="LOD276" s="192"/>
      <c r="LOE276" s="192"/>
      <c r="LOF276" s="192"/>
      <c r="LOG276" s="192"/>
      <c r="LOH276" s="192"/>
      <c r="LOI276" s="192"/>
      <c r="LOJ276" s="192"/>
      <c r="LOK276" s="192"/>
      <c r="LOL276" s="192"/>
      <c r="LOM276" s="192"/>
      <c r="LON276" s="192"/>
      <c r="LOO276" s="192"/>
      <c r="LOP276" s="192"/>
      <c r="LOQ276" s="192"/>
      <c r="LOR276" s="192"/>
      <c r="LOS276" s="192"/>
      <c r="LOT276" s="192"/>
      <c r="LOU276" s="192"/>
      <c r="LOV276" s="192"/>
      <c r="LOW276" s="192"/>
      <c r="LOX276" s="192"/>
      <c r="LOY276" s="192"/>
      <c r="LOZ276" s="192"/>
      <c r="LPA276" s="192"/>
      <c r="LPB276" s="192"/>
      <c r="LPC276" s="192"/>
      <c r="LPD276" s="192"/>
      <c r="LPE276" s="192"/>
      <c r="LPF276" s="192"/>
      <c r="LPG276" s="192"/>
      <c r="LPH276" s="192"/>
      <c r="LPI276" s="192"/>
      <c r="LPJ276" s="192"/>
      <c r="LPK276" s="192"/>
      <c r="LPL276" s="192"/>
      <c r="LPM276" s="192"/>
      <c r="LPN276" s="192"/>
      <c r="LPO276" s="192"/>
      <c r="LPP276" s="192"/>
      <c r="LPQ276" s="192"/>
      <c r="LPR276" s="192"/>
      <c r="LPS276" s="192"/>
      <c r="LPT276" s="192"/>
      <c r="LPU276" s="192"/>
      <c r="LPV276" s="192"/>
      <c r="LPW276" s="192"/>
      <c r="LPX276" s="192"/>
      <c r="LPY276" s="192"/>
      <c r="LPZ276" s="192"/>
      <c r="LQA276" s="192"/>
      <c r="LQB276" s="192"/>
      <c r="LQC276" s="192"/>
      <c r="LQD276" s="192"/>
      <c r="LQE276" s="192"/>
      <c r="LQF276" s="192"/>
      <c r="LQG276" s="192"/>
      <c r="LQH276" s="192"/>
      <c r="LQI276" s="192"/>
      <c r="LQJ276" s="192"/>
      <c r="LQK276" s="192"/>
      <c r="LQL276" s="192"/>
      <c r="LQM276" s="192"/>
      <c r="LQN276" s="192"/>
      <c r="LQO276" s="192"/>
      <c r="LQP276" s="192"/>
      <c r="LQQ276" s="192"/>
      <c r="LQR276" s="192"/>
      <c r="LQS276" s="192"/>
      <c r="LQT276" s="192"/>
      <c r="LQU276" s="192"/>
      <c r="LQV276" s="192"/>
      <c r="LQW276" s="192"/>
      <c r="LQX276" s="192"/>
      <c r="LQY276" s="192"/>
      <c r="LQZ276" s="192"/>
      <c r="LRA276" s="192"/>
      <c r="LRB276" s="192"/>
      <c r="LRC276" s="192"/>
      <c r="LRD276" s="192"/>
      <c r="LRE276" s="192"/>
      <c r="LRF276" s="192"/>
      <c r="LRG276" s="192"/>
      <c r="LRH276" s="192"/>
      <c r="LRI276" s="192"/>
      <c r="LRJ276" s="192"/>
      <c r="LRK276" s="192"/>
      <c r="LRL276" s="192"/>
      <c r="LRM276" s="192"/>
      <c r="LRN276" s="192"/>
      <c r="LRO276" s="192"/>
      <c r="LRP276" s="192"/>
      <c r="LRQ276" s="192"/>
      <c r="LRR276" s="192"/>
      <c r="LRS276" s="192"/>
      <c r="LRT276" s="192"/>
      <c r="LRU276" s="192"/>
      <c r="LRV276" s="192"/>
      <c r="LRW276" s="192"/>
      <c r="LRX276" s="192"/>
      <c r="LRY276" s="192"/>
      <c r="LRZ276" s="192"/>
      <c r="LSA276" s="192"/>
      <c r="LSB276" s="192"/>
      <c r="LSC276" s="192"/>
      <c r="LSD276" s="192"/>
      <c r="LSE276" s="192"/>
      <c r="LSF276" s="192"/>
      <c r="LSG276" s="192"/>
      <c r="LSH276" s="192"/>
      <c r="LSI276" s="192"/>
      <c r="LSJ276" s="192"/>
      <c r="LSK276" s="192"/>
      <c r="LSL276" s="192"/>
      <c r="LSM276" s="192"/>
      <c r="LSN276" s="192"/>
      <c r="LSO276" s="192"/>
      <c r="LSP276" s="192"/>
      <c r="LSQ276" s="192"/>
      <c r="LSR276" s="192"/>
      <c r="LSS276" s="192"/>
      <c r="LST276" s="192"/>
      <c r="LSU276" s="192"/>
      <c r="LSV276" s="192"/>
      <c r="LSW276" s="192"/>
      <c r="LSX276" s="192"/>
      <c r="LSY276" s="192"/>
      <c r="LSZ276" s="192"/>
      <c r="LTA276" s="192"/>
      <c r="LTB276" s="192"/>
      <c r="LTC276" s="192"/>
      <c r="LTD276" s="192"/>
      <c r="LTE276" s="192"/>
      <c r="LTF276" s="192"/>
      <c r="LTG276" s="192"/>
      <c r="LTH276" s="192"/>
      <c r="LTI276" s="192"/>
      <c r="LTJ276" s="192"/>
      <c r="LTK276" s="192"/>
      <c r="LTL276" s="192"/>
      <c r="LTM276" s="192"/>
      <c r="LTN276" s="192"/>
      <c r="LTO276" s="192"/>
      <c r="LTP276" s="192"/>
      <c r="LTQ276" s="192"/>
      <c r="LTR276" s="192"/>
      <c r="LTS276" s="192"/>
      <c r="LTT276" s="192"/>
      <c r="LTU276" s="192"/>
      <c r="LTV276" s="192"/>
      <c r="LTW276" s="192"/>
      <c r="LTX276" s="192"/>
      <c r="LTY276" s="192"/>
      <c r="LTZ276" s="192"/>
      <c r="LUA276" s="192"/>
      <c r="LUB276" s="192"/>
      <c r="LUC276" s="192"/>
      <c r="LUD276" s="192"/>
      <c r="LUE276" s="192"/>
      <c r="LUF276" s="192"/>
      <c r="LUG276" s="192"/>
      <c r="LUH276" s="192"/>
      <c r="LUI276" s="192"/>
      <c r="LUJ276" s="192"/>
      <c r="LUK276" s="192"/>
      <c r="LUL276" s="192"/>
      <c r="LUM276" s="192"/>
      <c r="LUN276" s="192"/>
      <c r="LUO276" s="192"/>
      <c r="LUP276" s="192"/>
      <c r="LUQ276" s="192"/>
      <c r="LUR276" s="192"/>
      <c r="LUS276" s="192"/>
      <c r="LUT276" s="192"/>
      <c r="LUU276" s="192"/>
      <c r="LUV276" s="192"/>
      <c r="LUW276" s="192"/>
      <c r="LUX276" s="192"/>
      <c r="LUY276" s="192"/>
      <c r="LUZ276" s="192"/>
      <c r="LVA276" s="192"/>
      <c r="LVB276" s="192"/>
      <c r="LVC276" s="192"/>
      <c r="LVD276" s="192"/>
      <c r="LVE276" s="192"/>
      <c r="LVF276" s="192"/>
      <c r="LVG276" s="192"/>
      <c r="LVH276" s="192"/>
      <c r="LVI276" s="192"/>
      <c r="LVJ276" s="192"/>
      <c r="LVK276" s="192"/>
      <c r="LVL276" s="192"/>
      <c r="LVM276" s="192"/>
      <c r="LVN276" s="192"/>
      <c r="LVO276" s="192"/>
      <c r="LVP276" s="192"/>
      <c r="LVQ276" s="192"/>
      <c r="LVR276" s="192"/>
      <c r="LVS276" s="192"/>
      <c r="LVT276" s="192"/>
      <c r="LVU276" s="192"/>
      <c r="LVV276" s="192"/>
      <c r="LVW276" s="192"/>
      <c r="LVX276" s="192"/>
      <c r="LVY276" s="192"/>
      <c r="LVZ276" s="192"/>
      <c r="LWA276" s="192"/>
      <c r="LWB276" s="192"/>
      <c r="LWC276" s="192"/>
      <c r="LWD276" s="192"/>
      <c r="LWE276" s="192"/>
      <c r="LWF276" s="192"/>
      <c r="LWG276" s="192"/>
      <c r="LWH276" s="192"/>
      <c r="LWI276" s="192"/>
      <c r="LWJ276" s="192"/>
      <c r="LWK276" s="192"/>
      <c r="LWL276" s="192"/>
      <c r="LWM276" s="192"/>
      <c r="LWN276" s="192"/>
      <c r="LWO276" s="192"/>
      <c r="LWP276" s="192"/>
      <c r="LWQ276" s="192"/>
      <c r="LWR276" s="192"/>
      <c r="LWS276" s="192"/>
      <c r="LWT276" s="192"/>
      <c r="LWU276" s="192"/>
      <c r="LWV276" s="192"/>
      <c r="LWW276" s="192"/>
      <c r="LWX276" s="192"/>
      <c r="LWY276" s="192"/>
      <c r="LWZ276" s="192"/>
      <c r="LXA276" s="192"/>
      <c r="LXB276" s="192"/>
      <c r="LXC276" s="192"/>
      <c r="LXD276" s="192"/>
      <c r="LXE276" s="192"/>
      <c r="LXF276" s="192"/>
      <c r="LXG276" s="192"/>
      <c r="LXH276" s="192"/>
      <c r="LXI276" s="192"/>
      <c r="LXJ276" s="192"/>
      <c r="LXK276" s="192"/>
      <c r="LXL276" s="192"/>
      <c r="LXM276" s="192"/>
      <c r="LXN276" s="192"/>
      <c r="LXO276" s="192"/>
      <c r="LXP276" s="192"/>
      <c r="LXQ276" s="192"/>
      <c r="LXR276" s="192"/>
      <c r="LXS276" s="192"/>
      <c r="LXT276" s="192"/>
      <c r="LXU276" s="192"/>
      <c r="LXV276" s="192"/>
      <c r="LXW276" s="192"/>
      <c r="LXX276" s="192"/>
      <c r="LXY276" s="192"/>
      <c r="LXZ276" s="192"/>
      <c r="LYA276" s="192"/>
      <c r="LYB276" s="192"/>
      <c r="LYC276" s="192"/>
      <c r="LYD276" s="192"/>
      <c r="LYE276" s="192"/>
      <c r="LYF276" s="192"/>
      <c r="LYG276" s="192"/>
      <c r="LYH276" s="192"/>
      <c r="LYI276" s="192"/>
      <c r="LYJ276" s="192"/>
      <c r="LYK276" s="192"/>
      <c r="LYL276" s="192"/>
      <c r="LYM276" s="192"/>
      <c r="LYN276" s="192"/>
      <c r="LYO276" s="192"/>
      <c r="LYP276" s="192"/>
      <c r="LYQ276" s="192"/>
      <c r="LYR276" s="192"/>
      <c r="LYS276" s="192"/>
      <c r="LYT276" s="192"/>
      <c r="LYU276" s="192"/>
      <c r="LYV276" s="192"/>
      <c r="LYW276" s="192"/>
      <c r="LYX276" s="192"/>
      <c r="LYY276" s="192"/>
      <c r="LYZ276" s="192"/>
      <c r="LZA276" s="192"/>
      <c r="LZB276" s="192"/>
      <c r="LZC276" s="192"/>
      <c r="LZD276" s="192"/>
      <c r="LZE276" s="192"/>
      <c r="LZF276" s="192"/>
      <c r="LZG276" s="192"/>
      <c r="LZH276" s="192"/>
      <c r="LZI276" s="192"/>
      <c r="LZJ276" s="192"/>
      <c r="LZK276" s="192"/>
      <c r="LZL276" s="192"/>
      <c r="LZM276" s="192"/>
      <c r="LZN276" s="192"/>
      <c r="LZO276" s="192"/>
      <c r="LZP276" s="192"/>
      <c r="LZQ276" s="192"/>
      <c r="LZR276" s="192"/>
      <c r="LZS276" s="192"/>
      <c r="LZT276" s="192"/>
      <c r="LZU276" s="192"/>
      <c r="LZV276" s="192"/>
      <c r="LZW276" s="192"/>
      <c r="LZX276" s="192"/>
      <c r="LZY276" s="192"/>
      <c r="LZZ276" s="192"/>
      <c r="MAA276" s="192"/>
      <c r="MAB276" s="192"/>
      <c r="MAC276" s="192"/>
      <c r="MAD276" s="192"/>
      <c r="MAE276" s="192"/>
      <c r="MAF276" s="192"/>
      <c r="MAG276" s="192"/>
      <c r="MAH276" s="192"/>
      <c r="MAI276" s="192"/>
      <c r="MAJ276" s="192"/>
      <c r="MAK276" s="192"/>
      <c r="MAL276" s="192"/>
      <c r="MAM276" s="192"/>
      <c r="MAN276" s="192"/>
      <c r="MAO276" s="192"/>
      <c r="MAP276" s="192"/>
      <c r="MAQ276" s="192"/>
      <c r="MAR276" s="192"/>
      <c r="MAS276" s="192"/>
      <c r="MAT276" s="192"/>
      <c r="MAU276" s="192"/>
      <c r="MAV276" s="192"/>
      <c r="MAW276" s="192"/>
      <c r="MAX276" s="192"/>
      <c r="MAY276" s="192"/>
      <c r="MAZ276" s="192"/>
      <c r="MBA276" s="192"/>
      <c r="MBB276" s="192"/>
      <c r="MBC276" s="192"/>
      <c r="MBD276" s="192"/>
      <c r="MBE276" s="192"/>
      <c r="MBF276" s="192"/>
      <c r="MBG276" s="192"/>
      <c r="MBH276" s="192"/>
      <c r="MBI276" s="192"/>
      <c r="MBJ276" s="192"/>
      <c r="MBK276" s="192"/>
      <c r="MBL276" s="192"/>
      <c r="MBM276" s="192"/>
      <c r="MBN276" s="192"/>
      <c r="MBO276" s="192"/>
      <c r="MBP276" s="192"/>
      <c r="MBQ276" s="192"/>
      <c r="MBR276" s="192"/>
      <c r="MBS276" s="192"/>
      <c r="MBT276" s="192"/>
      <c r="MBU276" s="192"/>
      <c r="MBV276" s="192"/>
      <c r="MBW276" s="192"/>
      <c r="MBX276" s="192"/>
      <c r="MBY276" s="192"/>
      <c r="MBZ276" s="192"/>
      <c r="MCA276" s="192"/>
      <c r="MCB276" s="192"/>
      <c r="MCC276" s="192"/>
      <c r="MCD276" s="192"/>
      <c r="MCE276" s="192"/>
      <c r="MCF276" s="192"/>
      <c r="MCG276" s="192"/>
      <c r="MCH276" s="192"/>
      <c r="MCI276" s="192"/>
      <c r="MCJ276" s="192"/>
      <c r="MCK276" s="192"/>
      <c r="MCL276" s="192"/>
      <c r="MCM276" s="192"/>
      <c r="MCN276" s="192"/>
      <c r="MCO276" s="192"/>
      <c r="MCP276" s="192"/>
      <c r="MCQ276" s="192"/>
      <c r="MCR276" s="192"/>
      <c r="MCS276" s="192"/>
      <c r="MCT276" s="192"/>
      <c r="MCU276" s="192"/>
      <c r="MCV276" s="192"/>
      <c r="MCW276" s="192"/>
      <c r="MCX276" s="192"/>
      <c r="MCY276" s="192"/>
      <c r="MCZ276" s="192"/>
      <c r="MDA276" s="192"/>
      <c r="MDB276" s="192"/>
      <c r="MDC276" s="192"/>
      <c r="MDD276" s="192"/>
      <c r="MDE276" s="192"/>
      <c r="MDF276" s="192"/>
      <c r="MDG276" s="192"/>
      <c r="MDH276" s="192"/>
      <c r="MDI276" s="192"/>
      <c r="MDJ276" s="192"/>
      <c r="MDK276" s="192"/>
      <c r="MDL276" s="192"/>
      <c r="MDM276" s="192"/>
      <c r="MDN276" s="192"/>
      <c r="MDO276" s="192"/>
      <c r="MDP276" s="192"/>
      <c r="MDQ276" s="192"/>
      <c r="MDR276" s="192"/>
      <c r="MDS276" s="192"/>
      <c r="MDT276" s="192"/>
      <c r="MDU276" s="192"/>
      <c r="MDV276" s="192"/>
      <c r="MDW276" s="192"/>
      <c r="MDX276" s="192"/>
      <c r="MDY276" s="192"/>
      <c r="MDZ276" s="192"/>
      <c r="MEA276" s="192"/>
      <c r="MEB276" s="192"/>
      <c r="MEC276" s="192"/>
      <c r="MED276" s="192"/>
      <c r="MEE276" s="192"/>
      <c r="MEF276" s="192"/>
      <c r="MEG276" s="192"/>
      <c r="MEH276" s="192"/>
      <c r="MEI276" s="192"/>
      <c r="MEJ276" s="192"/>
      <c r="MEK276" s="192"/>
      <c r="MEL276" s="192"/>
      <c r="MEM276" s="192"/>
      <c r="MEN276" s="192"/>
      <c r="MEO276" s="192"/>
      <c r="MEP276" s="192"/>
      <c r="MEQ276" s="192"/>
      <c r="MER276" s="192"/>
      <c r="MES276" s="192"/>
      <c r="MET276" s="192"/>
      <c r="MEU276" s="192"/>
      <c r="MEV276" s="192"/>
      <c r="MEW276" s="192"/>
      <c r="MEX276" s="192"/>
      <c r="MEY276" s="192"/>
      <c r="MEZ276" s="192"/>
      <c r="MFA276" s="192"/>
      <c r="MFB276" s="192"/>
      <c r="MFC276" s="192"/>
      <c r="MFD276" s="192"/>
      <c r="MFE276" s="192"/>
      <c r="MFF276" s="192"/>
      <c r="MFG276" s="192"/>
      <c r="MFH276" s="192"/>
      <c r="MFI276" s="192"/>
      <c r="MFJ276" s="192"/>
      <c r="MFK276" s="192"/>
      <c r="MFL276" s="192"/>
      <c r="MFM276" s="192"/>
      <c r="MFN276" s="192"/>
      <c r="MFO276" s="192"/>
      <c r="MFP276" s="192"/>
      <c r="MFQ276" s="192"/>
      <c r="MFR276" s="192"/>
      <c r="MFS276" s="192"/>
      <c r="MFT276" s="192"/>
      <c r="MFU276" s="192"/>
      <c r="MFV276" s="192"/>
      <c r="MFW276" s="192"/>
      <c r="MFX276" s="192"/>
      <c r="MFY276" s="192"/>
      <c r="MFZ276" s="192"/>
      <c r="MGA276" s="192"/>
      <c r="MGB276" s="192"/>
      <c r="MGC276" s="192"/>
      <c r="MGD276" s="192"/>
      <c r="MGE276" s="192"/>
      <c r="MGF276" s="192"/>
      <c r="MGG276" s="192"/>
      <c r="MGH276" s="192"/>
      <c r="MGI276" s="192"/>
      <c r="MGJ276" s="192"/>
      <c r="MGK276" s="192"/>
      <c r="MGL276" s="192"/>
      <c r="MGM276" s="192"/>
      <c r="MGN276" s="192"/>
      <c r="MGO276" s="192"/>
      <c r="MGP276" s="192"/>
      <c r="MGQ276" s="192"/>
      <c r="MGR276" s="192"/>
      <c r="MGS276" s="192"/>
      <c r="MGT276" s="192"/>
      <c r="MGU276" s="192"/>
      <c r="MGV276" s="192"/>
      <c r="MGW276" s="192"/>
      <c r="MGX276" s="192"/>
      <c r="MGY276" s="192"/>
      <c r="MGZ276" s="192"/>
      <c r="MHA276" s="192"/>
      <c r="MHB276" s="192"/>
      <c r="MHC276" s="192"/>
      <c r="MHD276" s="192"/>
      <c r="MHE276" s="192"/>
      <c r="MHF276" s="192"/>
      <c r="MHG276" s="192"/>
      <c r="MHH276" s="192"/>
      <c r="MHI276" s="192"/>
      <c r="MHJ276" s="192"/>
      <c r="MHK276" s="192"/>
      <c r="MHL276" s="192"/>
      <c r="MHM276" s="192"/>
      <c r="MHN276" s="192"/>
      <c r="MHO276" s="192"/>
      <c r="MHP276" s="192"/>
      <c r="MHQ276" s="192"/>
      <c r="MHR276" s="192"/>
      <c r="MHS276" s="192"/>
      <c r="MHT276" s="192"/>
      <c r="MHU276" s="192"/>
      <c r="MHV276" s="192"/>
      <c r="MHW276" s="192"/>
      <c r="MHX276" s="192"/>
      <c r="MHY276" s="192"/>
      <c r="MHZ276" s="192"/>
      <c r="MIA276" s="192"/>
      <c r="MIB276" s="192"/>
      <c r="MIC276" s="192"/>
      <c r="MID276" s="192"/>
      <c r="MIE276" s="192"/>
      <c r="MIF276" s="192"/>
      <c r="MIG276" s="192"/>
      <c r="MIH276" s="192"/>
      <c r="MII276" s="192"/>
      <c r="MIJ276" s="192"/>
      <c r="MIK276" s="192"/>
      <c r="MIL276" s="192"/>
      <c r="MIM276" s="192"/>
      <c r="MIN276" s="192"/>
      <c r="MIO276" s="192"/>
      <c r="MIP276" s="192"/>
      <c r="MIQ276" s="192"/>
      <c r="MIR276" s="192"/>
      <c r="MIS276" s="192"/>
      <c r="MIT276" s="192"/>
      <c r="MIU276" s="192"/>
      <c r="MIV276" s="192"/>
      <c r="MIW276" s="192"/>
      <c r="MIX276" s="192"/>
      <c r="MIY276" s="192"/>
      <c r="MIZ276" s="192"/>
      <c r="MJA276" s="192"/>
      <c r="MJB276" s="192"/>
      <c r="MJC276" s="192"/>
      <c r="MJD276" s="192"/>
      <c r="MJE276" s="192"/>
      <c r="MJF276" s="192"/>
      <c r="MJG276" s="192"/>
      <c r="MJH276" s="192"/>
      <c r="MJI276" s="192"/>
      <c r="MJJ276" s="192"/>
      <c r="MJK276" s="192"/>
      <c r="MJL276" s="192"/>
      <c r="MJM276" s="192"/>
      <c r="MJN276" s="192"/>
      <c r="MJO276" s="192"/>
      <c r="MJP276" s="192"/>
      <c r="MJQ276" s="192"/>
      <c r="MJR276" s="192"/>
      <c r="MJS276" s="192"/>
      <c r="MJT276" s="192"/>
      <c r="MJU276" s="192"/>
      <c r="MJV276" s="192"/>
      <c r="MJW276" s="192"/>
      <c r="MJX276" s="192"/>
      <c r="MJY276" s="192"/>
      <c r="MJZ276" s="192"/>
      <c r="MKA276" s="192"/>
      <c r="MKB276" s="192"/>
      <c r="MKC276" s="192"/>
      <c r="MKD276" s="192"/>
      <c r="MKE276" s="192"/>
      <c r="MKF276" s="192"/>
      <c r="MKG276" s="192"/>
      <c r="MKH276" s="192"/>
      <c r="MKI276" s="192"/>
      <c r="MKJ276" s="192"/>
      <c r="MKK276" s="192"/>
      <c r="MKL276" s="192"/>
      <c r="MKM276" s="192"/>
      <c r="MKN276" s="192"/>
      <c r="MKO276" s="192"/>
      <c r="MKP276" s="192"/>
      <c r="MKQ276" s="192"/>
      <c r="MKR276" s="192"/>
      <c r="MKS276" s="192"/>
      <c r="MKT276" s="192"/>
      <c r="MKU276" s="192"/>
      <c r="MKV276" s="192"/>
      <c r="MKW276" s="192"/>
      <c r="MKX276" s="192"/>
      <c r="MKY276" s="192"/>
      <c r="MKZ276" s="192"/>
      <c r="MLA276" s="192"/>
      <c r="MLB276" s="192"/>
      <c r="MLC276" s="192"/>
      <c r="MLD276" s="192"/>
      <c r="MLE276" s="192"/>
      <c r="MLF276" s="192"/>
      <c r="MLG276" s="192"/>
      <c r="MLH276" s="192"/>
      <c r="MLI276" s="192"/>
      <c r="MLJ276" s="192"/>
      <c r="MLK276" s="192"/>
      <c r="MLL276" s="192"/>
      <c r="MLM276" s="192"/>
      <c r="MLN276" s="192"/>
      <c r="MLO276" s="192"/>
      <c r="MLP276" s="192"/>
      <c r="MLQ276" s="192"/>
      <c r="MLR276" s="192"/>
      <c r="MLS276" s="192"/>
      <c r="MLT276" s="192"/>
      <c r="MLU276" s="192"/>
      <c r="MLV276" s="192"/>
      <c r="MLW276" s="192"/>
      <c r="MLX276" s="192"/>
      <c r="MLY276" s="192"/>
      <c r="MLZ276" s="192"/>
      <c r="MMA276" s="192"/>
      <c r="MMB276" s="192"/>
      <c r="MMC276" s="192"/>
      <c r="MMD276" s="192"/>
      <c r="MME276" s="192"/>
      <c r="MMF276" s="192"/>
      <c r="MMG276" s="192"/>
      <c r="MMH276" s="192"/>
      <c r="MMI276" s="192"/>
      <c r="MMJ276" s="192"/>
      <c r="MMK276" s="192"/>
      <c r="MML276" s="192"/>
      <c r="MMM276" s="192"/>
      <c r="MMN276" s="192"/>
      <c r="MMO276" s="192"/>
      <c r="MMP276" s="192"/>
      <c r="MMQ276" s="192"/>
      <c r="MMR276" s="192"/>
      <c r="MMS276" s="192"/>
      <c r="MMT276" s="192"/>
      <c r="MMU276" s="192"/>
      <c r="MMV276" s="192"/>
      <c r="MMW276" s="192"/>
      <c r="MMX276" s="192"/>
      <c r="MMY276" s="192"/>
      <c r="MMZ276" s="192"/>
      <c r="MNA276" s="192"/>
      <c r="MNB276" s="192"/>
      <c r="MNC276" s="192"/>
      <c r="MND276" s="192"/>
      <c r="MNE276" s="192"/>
      <c r="MNF276" s="192"/>
      <c r="MNG276" s="192"/>
      <c r="MNH276" s="192"/>
      <c r="MNI276" s="192"/>
      <c r="MNJ276" s="192"/>
      <c r="MNK276" s="192"/>
      <c r="MNL276" s="192"/>
      <c r="MNM276" s="192"/>
      <c r="MNN276" s="192"/>
      <c r="MNO276" s="192"/>
      <c r="MNP276" s="192"/>
      <c r="MNQ276" s="192"/>
      <c r="MNR276" s="192"/>
      <c r="MNS276" s="192"/>
      <c r="MNT276" s="192"/>
      <c r="MNU276" s="192"/>
      <c r="MNV276" s="192"/>
      <c r="MNW276" s="192"/>
      <c r="MNX276" s="192"/>
      <c r="MNY276" s="192"/>
      <c r="MNZ276" s="192"/>
      <c r="MOA276" s="192"/>
      <c r="MOB276" s="192"/>
      <c r="MOC276" s="192"/>
      <c r="MOD276" s="192"/>
      <c r="MOE276" s="192"/>
      <c r="MOF276" s="192"/>
      <c r="MOG276" s="192"/>
      <c r="MOH276" s="192"/>
      <c r="MOI276" s="192"/>
      <c r="MOJ276" s="192"/>
      <c r="MOK276" s="192"/>
      <c r="MOL276" s="192"/>
      <c r="MOM276" s="192"/>
      <c r="MON276" s="192"/>
      <c r="MOO276" s="192"/>
      <c r="MOP276" s="192"/>
      <c r="MOQ276" s="192"/>
      <c r="MOR276" s="192"/>
      <c r="MOS276" s="192"/>
      <c r="MOT276" s="192"/>
      <c r="MOU276" s="192"/>
      <c r="MOV276" s="192"/>
      <c r="MOW276" s="192"/>
      <c r="MOX276" s="192"/>
      <c r="MOY276" s="192"/>
      <c r="MOZ276" s="192"/>
      <c r="MPA276" s="192"/>
      <c r="MPB276" s="192"/>
      <c r="MPC276" s="192"/>
      <c r="MPD276" s="192"/>
      <c r="MPE276" s="192"/>
      <c r="MPF276" s="192"/>
      <c r="MPG276" s="192"/>
      <c r="MPH276" s="192"/>
      <c r="MPI276" s="192"/>
      <c r="MPJ276" s="192"/>
      <c r="MPK276" s="192"/>
      <c r="MPL276" s="192"/>
      <c r="MPM276" s="192"/>
      <c r="MPN276" s="192"/>
      <c r="MPO276" s="192"/>
      <c r="MPP276" s="192"/>
      <c r="MPQ276" s="192"/>
      <c r="MPR276" s="192"/>
      <c r="MPS276" s="192"/>
      <c r="MPT276" s="192"/>
      <c r="MPU276" s="192"/>
      <c r="MPV276" s="192"/>
      <c r="MPW276" s="192"/>
      <c r="MPX276" s="192"/>
      <c r="MPY276" s="192"/>
      <c r="MPZ276" s="192"/>
      <c r="MQA276" s="192"/>
      <c r="MQB276" s="192"/>
      <c r="MQC276" s="192"/>
      <c r="MQD276" s="192"/>
      <c r="MQE276" s="192"/>
      <c r="MQF276" s="192"/>
      <c r="MQG276" s="192"/>
      <c r="MQH276" s="192"/>
      <c r="MQI276" s="192"/>
      <c r="MQJ276" s="192"/>
      <c r="MQK276" s="192"/>
      <c r="MQL276" s="192"/>
      <c r="MQM276" s="192"/>
      <c r="MQN276" s="192"/>
      <c r="MQO276" s="192"/>
      <c r="MQP276" s="192"/>
      <c r="MQQ276" s="192"/>
      <c r="MQR276" s="192"/>
      <c r="MQS276" s="192"/>
      <c r="MQT276" s="192"/>
      <c r="MQU276" s="192"/>
      <c r="MQV276" s="192"/>
      <c r="MQW276" s="192"/>
      <c r="MQX276" s="192"/>
      <c r="MQY276" s="192"/>
      <c r="MQZ276" s="192"/>
      <c r="MRA276" s="192"/>
      <c r="MRB276" s="192"/>
      <c r="MRC276" s="192"/>
      <c r="MRD276" s="192"/>
      <c r="MRE276" s="192"/>
      <c r="MRF276" s="192"/>
      <c r="MRG276" s="192"/>
      <c r="MRH276" s="192"/>
      <c r="MRI276" s="192"/>
      <c r="MRJ276" s="192"/>
      <c r="MRK276" s="192"/>
      <c r="MRL276" s="192"/>
      <c r="MRM276" s="192"/>
      <c r="MRN276" s="192"/>
      <c r="MRO276" s="192"/>
      <c r="MRP276" s="192"/>
      <c r="MRQ276" s="192"/>
      <c r="MRR276" s="192"/>
      <c r="MRS276" s="192"/>
      <c r="MRT276" s="192"/>
      <c r="MRU276" s="192"/>
      <c r="MRV276" s="192"/>
      <c r="MRW276" s="192"/>
      <c r="MRX276" s="192"/>
      <c r="MRY276" s="192"/>
      <c r="MRZ276" s="192"/>
      <c r="MSA276" s="192"/>
      <c r="MSB276" s="192"/>
      <c r="MSC276" s="192"/>
      <c r="MSD276" s="192"/>
      <c r="MSE276" s="192"/>
      <c r="MSF276" s="192"/>
      <c r="MSG276" s="192"/>
      <c r="MSH276" s="192"/>
      <c r="MSI276" s="192"/>
      <c r="MSJ276" s="192"/>
      <c r="MSK276" s="192"/>
      <c r="MSL276" s="192"/>
      <c r="MSM276" s="192"/>
      <c r="MSN276" s="192"/>
      <c r="MSO276" s="192"/>
      <c r="MSP276" s="192"/>
      <c r="MSQ276" s="192"/>
      <c r="MSR276" s="192"/>
      <c r="MSS276" s="192"/>
      <c r="MST276" s="192"/>
      <c r="MSU276" s="192"/>
      <c r="MSV276" s="192"/>
      <c r="MSW276" s="192"/>
      <c r="MSX276" s="192"/>
      <c r="MSY276" s="192"/>
      <c r="MSZ276" s="192"/>
      <c r="MTA276" s="192"/>
      <c r="MTB276" s="192"/>
      <c r="MTC276" s="192"/>
      <c r="MTD276" s="192"/>
      <c r="MTE276" s="192"/>
      <c r="MTF276" s="192"/>
      <c r="MTG276" s="192"/>
      <c r="MTH276" s="192"/>
      <c r="MTI276" s="192"/>
      <c r="MTJ276" s="192"/>
      <c r="MTK276" s="192"/>
      <c r="MTL276" s="192"/>
      <c r="MTM276" s="192"/>
      <c r="MTN276" s="192"/>
      <c r="MTO276" s="192"/>
      <c r="MTP276" s="192"/>
      <c r="MTQ276" s="192"/>
      <c r="MTR276" s="192"/>
      <c r="MTS276" s="192"/>
      <c r="MTT276" s="192"/>
      <c r="MTU276" s="192"/>
      <c r="MTV276" s="192"/>
      <c r="MTW276" s="192"/>
      <c r="MTX276" s="192"/>
      <c r="MTY276" s="192"/>
      <c r="MTZ276" s="192"/>
      <c r="MUA276" s="192"/>
      <c r="MUB276" s="192"/>
      <c r="MUC276" s="192"/>
      <c r="MUD276" s="192"/>
      <c r="MUE276" s="192"/>
      <c r="MUF276" s="192"/>
      <c r="MUG276" s="192"/>
      <c r="MUH276" s="192"/>
      <c r="MUI276" s="192"/>
      <c r="MUJ276" s="192"/>
      <c r="MUK276" s="192"/>
      <c r="MUL276" s="192"/>
      <c r="MUM276" s="192"/>
      <c r="MUN276" s="192"/>
      <c r="MUO276" s="192"/>
      <c r="MUP276" s="192"/>
      <c r="MUQ276" s="192"/>
      <c r="MUR276" s="192"/>
      <c r="MUS276" s="192"/>
      <c r="MUT276" s="192"/>
      <c r="MUU276" s="192"/>
      <c r="MUV276" s="192"/>
      <c r="MUW276" s="192"/>
      <c r="MUX276" s="192"/>
      <c r="MUY276" s="192"/>
      <c r="MUZ276" s="192"/>
      <c r="MVA276" s="192"/>
      <c r="MVB276" s="192"/>
      <c r="MVC276" s="192"/>
      <c r="MVD276" s="192"/>
      <c r="MVE276" s="192"/>
      <c r="MVF276" s="192"/>
      <c r="MVG276" s="192"/>
      <c r="MVH276" s="192"/>
      <c r="MVI276" s="192"/>
      <c r="MVJ276" s="192"/>
      <c r="MVK276" s="192"/>
      <c r="MVL276" s="192"/>
      <c r="MVM276" s="192"/>
      <c r="MVN276" s="192"/>
      <c r="MVO276" s="192"/>
      <c r="MVP276" s="192"/>
      <c r="MVQ276" s="192"/>
      <c r="MVR276" s="192"/>
      <c r="MVS276" s="192"/>
      <c r="MVT276" s="192"/>
      <c r="MVU276" s="192"/>
      <c r="MVV276" s="192"/>
      <c r="MVW276" s="192"/>
      <c r="MVX276" s="192"/>
      <c r="MVY276" s="192"/>
      <c r="MVZ276" s="192"/>
      <c r="MWA276" s="192"/>
      <c r="MWB276" s="192"/>
      <c r="MWC276" s="192"/>
      <c r="MWD276" s="192"/>
      <c r="MWE276" s="192"/>
      <c r="MWF276" s="192"/>
      <c r="MWG276" s="192"/>
      <c r="MWH276" s="192"/>
      <c r="MWI276" s="192"/>
      <c r="MWJ276" s="192"/>
      <c r="MWK276" s="192"/>
      <c r="MWL276" s="192"/>
      <c r="MWM276" s="192"/>
      <c r="MWN276" s="192"/>
      <c r="MWO276" s="192"/>
      <c r="MWP276" s="192"/>
      <c r="MWQ276" s="192"/>
      <c r="MWR276" s="192"/>
      <c r="MWS276" s="192"/>
      <c r="MWT276" s="192"/>
      <c r="MWU276" s="192"/>
      <c r="MWV276" s="192"/>
      <c r="MWW276" s="192"/>
      <c r="MWX276" s="192"/>
      <c r="MWY276" s="192"/>
      <c r="MWZ276" s="192"/>
      <c r="MXA276" s="192"/>
      <c r="MXB276" s="192"/>
      <c r="MXC276" s="192"/>
      <c r="MXD276" s="192"/>
      <c r="MXE276" s="192"/>
      <c r="MXF276" s="192"/>
      <c r="MXG276" s="192"/>
      <c r="MXH276" s="192"/>
      <c r="MXI276" s="192"/>
      <c r="MXJ276" s="192"/>
      <c r="MXK276" s="192"/>
      <c r="MXL276" s="192"/>
      <c r="MXM276" s="192"/>
      <c r="MXN276" s="192"/>
      <c r="MXO276" s="192"/>
      <c r="MXP276" s="192"/>
      <c r="MXQ276" s="192"/>
      <c r="MXR276" s="192"/>
      <c r="MXS276" s="192"/>
      <c r="MXT276" s="192"/>
      <c r="MXU276" s="192"/>
      <c r="MXV276" s="192"/>
      <c r="MXW276" s="192"/>
      <c r="MXX276" s="192"/>
      <c r="MXY276" s="192"/>
      <c r="MXZ276" s="192"/>
      <c r="MYA276" s="192"/>
      <c r="MYB276" s="192"/>
      <c r="MYC276" s="192"/>
      <c r="MYD276" s="192"/>
      <c r="MYE276" s="192"/>
      <c r="MYF276" s="192"/>
      <c r="MYG276" s="192"/>
      <c r="MYH276" s="192"/>
      <c r="MYI276" s="192"/>
      <c r="MYJ276" s="192"/>
      <c r="MYK276" s="192"/>
      <c r="MYL276" s="192"/>
      <c r="MYM276" s="192"/>
      <c r="MYN276" s="192"/>
      <c r="MYO276" s="192"/>
      <c r="MYP276" s="192"/>
      <c r="MYQ276" s="192"/>
      <c r="MYR276" s="192"/>
      <c r="MYS276" s="192"/>
      <c r="MYT276" s="192"/>
      <c r="MYU276" s="192"/>
      <c r="MYV276" s="192"/>
      <c r="MYW276" s="192"/>
      <c r="MYX276" s="192"/>
      <c r="MYY276" s="192"/>
      <c r="MYZ276" s="192"/>
      <c r="MZA276" s="192"/>
      <c r="MZB276" s="192"/>
      <c r="MZC276" s="192"/>
      <c r="MZD276" s="192"/>
      <c r="MZE276" s="192"/>
      <c r="MZF276" s="192"/>
      <c r="MZG276" s="192"/>
      <c r="MZH276" s="192"/>
      <c r="MZI276" s="192"/>
      <c r="MZJ276" s="192"/>
      <c r="MZK276" s="192"/>
      <c r="MZL276" s="192"/>
      <c r="MZM276" s="192"/>
      <c r="MZN276" s="192"/>
      <c r="MZO276" s="192"/>
      <c r="MZP276" s="192"/>
      <c r="MZQ276" s="192"/>
      <c r="MZR276" s="192"/>
      <c r="MZS276" s="192"/>
      <c r="MZT276" s="192"/>
      <c r="MZU276" s="192"/>
      <c r="MZV276" s="192"/>
      <c r="MZW276" s="192"/>
      <c r="MZX276" s="192"/>
      <c r="MZY276" s="192"/>
      <c r="MZZ276" s="192"/>
      <c r="NAA276" s="192"/>
      <c r="NAB276" s="192"/>
      <c r="NAC276" s="192"/>
      <c r="NAD276" s="192"/>
      <c r="NAE276" s="192"/>
      <c r="NAF276" s="192"/>
      <c r="NAG276" s="192"/>
      <c r="NAH276" s="192"/>
      <c r="NAI276" s="192"/>
      <c r="NAJ276" s="192"/>
      <c r="NAK276" s="192"/>
      <c r="NAL276" s="192"/>
      <c r="NAM276" s="192"/>
      <c r="NAN276" s="192"/>
      <c r="NAO276" s="192"/>
      <c r="NAP276" s="192"/>
      <c r="NAQ276" s="192"/>
      <c r="NAR276" s="192"/>
      <c r="NAS276" s="192"/>
      <c r="NAT276" s="192"/>
      <c r="NAU276" s="192"/>
      <c r="NAV276" s="192"/>
      <c r="NAW276" s="192"/>
      <c r="NAX276" s="192"/>
      <c r="NAY276" s="192"/>
      <c r="NAZ276" s="192"/>
      <c r="NBA276" s="192"/>
      <c r="NBB276" s="192"/>
      <c r="NBC276" s="192"/>
      <c r="NBD276" s="192"/>
      <c r="NBE276" s="192"/>
      <c r="NBF276" s="192"/>
      <c r="NBG276" s="192"/>
      <c r="NBH276" s="192"/>
      <c r="NBI276" s="192"/>
      <c r="NBJ276" s="192"/>
      <c r="NBK276" s="192"/>
      <c r="NBL276" s="192"/>
      <c r="NBM276" s="192"/>
      <c r="NBN276" s="192"/>
      <c r="NBO276" s="192"/>
      <c r="NBP276" s="192"/>
      <c r="NBQ276" s="192"/>
      <c r="NBR276" s="192"/>
      <c r="NBS276" s="192"/>
      <c r="NBT276" s="192"/>
      <c r="NBU276" s="192"/>
      <c r="NBV276" s="192"/>
      <c r="NBW276" s="192"/>
      <c r="NBX276" s="192"/>
      <c r="NBY276" s="192"/>
      <c r="NBZ276" s="192"/>
      <c r="NCA276" s="192"/>
      <c r="NCB276" s="192"/>
      <c r="NCC276" s="192"/>
      <c r="NCD276" s="192"/>
      <c r="NCE276" s="192"/>
      <c r="NCF276" s="192"/>
      <c r="NCG276" s="192"/>
      <c r="NCH276" s="192"/>
      <c r="NCI276" s="192"/>
      <c r="NCJ276" s="192"/>
      <c r="NCK276" s="192"/>
      <c r="NCL276" s="192"/>
      <c r="NCM276" s="192"/>
      <c r="NCN276" s="192"/>
      <c r="NCO276" s="192"/>
      <c r="NCP276" s="192"/>
      <c r="NCQ276" s="192"/>
      <c r="NCR276" s="192"/>
      <c r="NCS276" s="192"/>
      <c r="NCT276" s="192"/>
      <c r="NCU276" s="192"/>
      <c r="NCV276" s="192"/>
      <c r="NCW276" s="192"/>
      <c r="NCX276" s="192"/>
      <c r="NCY276" s="192"/>
      <c r="NCZ276" s="192"/>
      <c r="NDA276" s="192"/>
      <c r="NDB276" s="192"/>
      <c r="NDC276" s="192"/>
      <c r="NDD276" s="192"/>
      <c r="NDE276" s="192"/>
      <c r="NDF276" s="192"/>
      <c r="NDG276" s="192"/>
      <c r="NDH276" s="192"/>
      <c r="NDI276" s="192"/>
      <c r="NDJ276" s="192"/>
      <c r="NDK276" s="192"/>
      <c r="NDL276" s="192"/>
      <c r="NDM276" s="192"/>
      <c r="NDN276" s="192"/>
      <c r="NDO276" s="192"/>
      <c r="NDP276" s="192"/>
      <c r="NDQ276" s="192"/>
      <c r="NDR276" s="192"/>
      <c r="NDS276" s="192"/>
      <c r="NDT276" s="192"/>
      <c r="NDU276" s="192"/>
      <c r="NDV276" s="192"/>
      <c r="NDW276" s="192"/>
      <c r="NDX276" s="192"/>
      <c r="NDY276" s="192"/>
      <c r="NDZ276" s="192"/>
      <c r="NEA276" s="192"/>
      <c r="NEB276" s="192"/>
      <c r="NEC276" s="192"/>
      <c r="NED276" s="192"/>
      <c r="NEE276" s="192"/>
      <c r="NEF276" s="192"/>
      <c r="NEG276" s="192"/>
      <c r="NEH276" s="192"/>
      <c r="NEI276" s="192"/>
      <c r="NEJ276" s="192"/>
      <c r="NEK276" s="192"/>
      <c r="NEL276" s="192"/>
      <c r="NEM276" s="192"/>
      <c r="NEN276" s="192"/>
      <c r="NEO276" s="192"/>
      <c r="NEP276" s="192"/>
      <c r="NEQ276" s="192"/>
      <c r="NER276" s="192"/>
      <c r="NES276" s="192"/>
      <c r="NET276" s="192"/>
      <c r="NEU276" s="192"/>
      <c r="NEV276" s="192"/>
      <c r="NEW276" s="192"/>
      <c r="NEX276" s="192"/>
      <c r="NEY276" s="192"/>
      <c r="NEZ276" s="192"/>
      <c r="NFA276" s="192"/>
      <c r="NFB276" s="192"/>
      <c r="NFC276" s="192"/>
      <c r="NFD276" s="192"/>
      <c r="NFE276" s="192"/>
      <c r="NFF276" s="192"/>
      <c r="NFG276" s="192"/>
      <c r="NFH276" s="192"/>
      <c r="NFI276" s="192"/>
      <c r="NFJ276" s="192"/>
      <c r="NFK276" s="192"/>
      <c r="NFL276" s="192"/>
      <c r="NFM276" s="192"/>
      <c r="NFN276" s="192"/>
      <c r="NFO276" s="192"/>
      <c r="NFP276" s="192"/>
      <c r="NFQ276" s="192"/>
      <c r="NFR276" s="192"/>
      <c r="NFS276" s="192"/>
      <c r="NFT276" s="192"/>
      <c r="NFU276" s="192"/>
      <c r="NFV276" s="192"/>
      <c r="NFW276" s="192"/>
      <c r="NFX276" s="192"/>
      <c r="NFY276" s="192"/>
      <c r="NFZ276" s="192"/>
      <c r="NGA276" s="192"/>
      <c r="NGB276" s="192"/>
      <c r="NGC276" s="192"/>
      <c r="NGD276" s="192"/>
      <c r="NGE276" s="192"/>
      <c r="NGF276" s="192"/>
      <c r="NGG276" s="192"/>
      <c r="NGH276" s="192"/>
      <c r="NGI276" s="192"/>
      <c r="NGJ276" s="192"/>
      <c r="NGK276" s="192"/>
      <c r="NGL276" s="192"/>
      <c r="NGM276" s="192"/>
      <c r="NGN276" s="192"/>
      <c r="NGO276" s="192"/>
      <c r="NGP276" s="192"/>
      <c r="NGQ276" s="192"/>
      <c r="NGR276" s="192"/>
      <c r="NGS276" s="192"/>
      <c r="NGT276" s="192"/>
      <c r="NGU276" s="192"/>
      <c r="NGV276" s="192"/>
      <c r="NGW276" s="192"/>
      <c r="NGX276" s="192"/>
      <c r="NGY276" s="192"/>
      <c r="NGZ276" s="192"/>
      <c r="NHA276" s="192"/>
      <c r="NHB276" s="192"/>
      <c r="NHC276" s="192"/>
      <c r="NHD276" s="192"/>
      <c r="NHE276" s="192"/>
      <c r="NHF276" s="192"/>
      <c r="NHG276" s="192"/>
      <c r="NHH276" s="192"/>
      <c r="NHI276" s="192"/>
      <c r="NHJ276" s="192"/>
      <c r="NHK276" s="192"/>
      <c r="NHL276" s="192"/>
      <c r="NHM276" s="192"/>
      <c r="NHN276" s="192"/>
      <c r="NHO276" s="192"/>
      <c r="NHP276" s="192"/>
      <c r="NHQ276" s="192"/>
      <c r="NHR276" s="192"/>
      <c r="NHS276" s="192"/>
      <c r="NHT276" s="192"/>
      <c r="NHU276" s="192"/>
      <c r="NHV276" s="192"/>
      <c r="NHW276" s="192"/>
      <c r="NHX276" s="192"/>
      <c r="NHY276" s="192"/>
      <c r="NHZ276" s="192"/>
      <c r="NIA276" s="192"/>
      <c r="NIB276" s="192"/>
      <c r="NIC276" s="192"/>
      <c r="NID276" s="192"/>
      <c r="NIE276" s="192"/>
      <c r="NIF276" s="192"/>
      <c r="NIG276" s="192"/>
      <c r="NIH276" s="192"/>
      <c r="NII276" s="192"/>
      <c r="NIJ276" s="192"/>
      <c r="NIK276" s="192"/>
      <c r="NIL276" s="192"/>
      <c r="NIM276" s="192"/>
      <c r="NIN276" s="192"/>
      <c r="NIO276" s="192"/>
      <c r="NIP276" s="192"/>
      <c r="NIQ276" s="192"/>
      <c r="NIR276" s="192"/>
      <c r="NIS276" s="192"/>
      <c r="NIT276" s="192"/>
      <c r="NIU276" s="192"/>
      <c r="NIV276" s="192"/>
      <c r="NIW276" s="192"/>
      <c r="NIX276" s="192"/>
      <c r="NIY276" s="192"/>
      <c r="NIZ276" s="192"/>
      <c r="NJA276" s="192"/>
      <c r="NJB276" s="192"/>
      <c r="NJC276" s="192"/>
      <c r="NJD276" s="192"/>
      <c r="NJE276" s="192"/>
      <c r="NJF276" s="192"/>
      <c r="NJG276" s="192"/>
      <c r="NJH276" s="192"/>
      <c r="NJI276" s="192"/>
      <c r="NJJ276" s="192"/>
      <c r="NJK276" s="192"/>
      <c r="NJL276" s="192"/>
      <c r="NJM276" s="192"/>
      <c r="NJN276" s="192"/>
      <c r="NJO276" s="192"/>
      <c r="NJP276" s="192"/>
      <c r="NJQ276" s="192"/>
      <c r="NJR276" s="192"/>
      <c r="NJS276" s="192"/>
      <c r="NJT276" s="192"/>
      <c r="NJU276" s="192"/>
      <c r="NJV276" s="192"/>
      <c r="NJW276" s="192"/>
      <c r="NJX276" s="192"/>
      <c r="NJY276" s="192"/>
      <c r="NJZ276" s="192"/>
      <c r="NKA276" s="192"/>
      <c r="NKB276" s="192"/>
      <c r="NKC276" s="192"/>
      <c r="NKD276" s="192"/>
      <c r="NKE276" s="192"/>
      <c r="NKF276" s="192"/>
      <c r="NKG276" s="192"/>
      <c r="NKH276" s="192"/>
      <c r="NKI276" s="192"/>
      <c r="NKJ276" s="192"/>
      <c r="NKK276" s="192"/>
      <c r="NKL276" s="192"/>
      <c r="NKM276" s="192"/>
      <c r="NKN276" s="192"/>
      <c r="NKO276" s="192"/>
      <c r="NKP276" s="192"/>
      <c r="NKQ276" s="192"/>
      <c r="NKR276" s="192"/>
      <c r="NKS276" s="192"/>
      <c r="NKT276" s="192"/>
      <c r="NKU276" s="192"/>
      <c r="NKV276" s="192"/>
      <c r="NKW276" s="192"/>
      <c r="NKX276" s="192"/>
      <c r="NKY276" s="192"/>
      <c r="NKZ276" s="192"/>
      <c r="NLA276" s="192"/>
      <c r="NLB276" s="192"/>
      <c r="NLC276" s="192"/>
      <c r="NLD276" s="192"/>
      <c r="NLE276" s="192"/>
      <c r="NLF276" s="192"/>
      <c r="NLG276" s="192"/>
      <c r="NLH276" s="192"/>
      <c r="NLI276" s="192"/>
      <c r="NLJ276" s="192"/>
      <c r="NLK276" s="192"/>
      <c r="NLL276" s="192"/>
      <c r="NLM276" s="192"/>
      <c r="NLN276" s="192"/>
      <c r="NLO276" s="192"/>
      <c r="NLP276" s="192"/>
      <c r="NLQ276" s="192"/>
      <c r="NLR276" s="192"/>
      <c r="NLS276" s="192"/>
      <c r="NLT276" s="192"/>
      <c r="NLU276" s="192"/>
      <c r="NLV276" s="192"/>
      <c r="NLW276" s="192"/>
      <c r="NLX276" s="192"/>
      <c r="NLY276" s="192"/>
      <c r="NLZ276" s="192"/>
      <c r="NMA276" s="192"/>
      <c r="NMB276" s="192"/>
      <c r="NMC276" s="192"/>
      <c r="NMD276" s="192"/>
      <c r="NME276" s="192"/>
      <c r="NMF276" s="192"/>
      <c r="NMG276" s="192"/>
      <c r="NMH276" s="192"/>
      <c r="NMI276" s="192"/>
      <c r="NMJ276" s="192"/>
      <c r="NMK276" s="192"/>
      <c r="NML276" s="192"/>
      <c r="NMM276" s="192"/>
      <c r="NMN276" s="192"/>
      <c r="NMO276" s="192"/>
      <c r="NMP276" s="192"/>
      <c r="NMQ276" s="192"/>
      <c r="NMR276" s="192"/>
      <c r="NMS276" s="192"/>
      <c r="NMT276" s="192"/>
      <c r="NMU276" s="192"/>
      <c r="NMV276" s="192"/>
      <c r="NMW276" s="192"/>
      <c r="NMX276" s="192"/>
      <c r="NMY276" s="192"/>
      <c r="NMZ276" s="192"/>
      <c r="NNA276" s="192"/>
      <c r="NNB276" s="192"/>
      <c r="NNC276" s="192"/>
      <c r="NND276" s="192"/>
      <c r="NNE276" s="192"/>
      <c r="NNF276" s="192"/>
      <c r="NNG276" s="192"/>
      <c r="NNH276" s="192"/>
      <c r="NNI276" s="192"/>
      <c r="NNJ276" s="192"/>
      <c r="NNK276" s="192"/>
      <c r="NNL276" s="192"/>
      <c r="NNM276" s="192"/>
      <c r="NNN276" s="192"/>
      <c r="NNO276" s="192"/>
      <c r="NNP276" s="192"/>
      <c r="NNQ276" s="192"/>
      <c r="NNR276" s="192"/>
      <c r="NNS276" s="192"/>
      <c r="NNT276" s="192"/>
      <c r="NNU276" s="192"/>
      <c r="NNV276" s="192"/>
      <c r="NNW276" s="192"/>
      <c r="NNX276" s="192"/>
      <c r="NNY276" s="192"/>
      <c r="NNZ276" s="192"/>
      <c r="NOA276" s="192"/>
      <c r="NOB276" s="192"/>
      <c r="NOC276" s="192"/>
      <c r="NOD276" s="192"/>
      <c r="NOE276" s="192"/>
      <c r="NOF276" s="192"/>
      <c r="NOG276" s="192"/>
      <c r="NOH276" s="192"/>
      <c r="NOI276" s="192"/>
      <c r="NOJ276" s="192"/>
      <c r="NOK276" s="192"/>
      <c r="NOL276" s="192"/>
      <c r="NOM276" s="192"/>
      <c r="NON276" s="192"/>
      <c r="NOO276" s="192"/>
      <c r="NOP276" s="192"/>
      <c r="NOQ276" s="192"/>
      <c r="NOR276" s="192"/>
      <c r="NOS276" s="192"/>
      <c r="NOT276" s="192"/>
      <c r="NOU276" s="192"/>
      <c r="NOV276" s="192"/>
      <c r="NOW276" s="192"/>
      <c r="NOX276" s="192"/>
      <c r="NOY276" s="192"/>
      <c r="NOZ276" s="192"/>
      <c r="NPA276" s="192"/>
      <c r="NPB276" s="192"/>
      <c r="NPC276" s="192"/>
      <c r="NPD276" s="192"/>
      <c r="NPE276" s="192"/>
      <c r="NPF276" s="192"/>
      <c r="NPG276" s="192"/>
      <c r="NPH276" s="192"/>
      <c r="NPI276" s="192"/>
      <c r="NPJ276" s="192"/>
      <c r="NPK276" s="192"/>
      <c r="NPL276" s="192"/>
      <c r="NPM276" s="192"/>
      <c r="NPN276" s="192"/>
      <c r="NPO276" s="192"/>
      <c r="NPP276" s="192"/>
      <c r="NPQ276" s="192"/>
      <c r="NPR276" s="192"/>
      <c r="NPS276" s="192"/>
      <c r="NPT276" s="192"/>
      <c r="NPU276" s="192"/>
      <c r="NPV276" s="192"/>
      <c r="NPW276" s="192"/>
      <c r="NPX276" s="192"/>
      <c r="NPY276" s="192"/>
      <c r="NPZ276" s="192"/>
      <c r="NQA276" s="192"/>
      <c r="NQB276" s="192"/>
      <c r="NQC276" s="192"/>
      <c r="NQD276" s="192"/>
      <c r="NQE276" s="192"/>
      <c r="NQF276" s="192"/>
      <c r="NQG276" s="192"/>
      <c r="NQH276" s="192"/>
      <c r="NQI276" s="192"/>
      <c r="NQJ276" s="192"/>
      <c r="NQK276" s="192"/>
      <c r="NQL276" s="192"/>
      <c r="NQM276" s="192"/>
      <c r="NQN276" s="192"/>
      <c r="NQO276" s="192"/>
      <c r="NQP276" s="192"/>
      <c r="NQQ276" s="192"/>
      <c r="NQR276" s="192"/>
      <c r="NQS276" s="192"/>
      <c r="NQT276" s="192"/>
      <c r="NQU276" s="192"/>
      <c r="NQV276" s="192"/>
      <c r="NQW276" s="192"/>
      <c r="NQX276" s="192"/>
      <c r="NQY276" s="192"/>
      <c r="NQZ276" s="192"/>
      <c r="NRA276" s="192"/>
      <c r="NRB276" s="192"/>
      <c r="NRC276" s="192"/>
      <c r="NRD276" s="192"/>
      <c r="NRE276" s="192"/>
      <c r="NRF276" s="192"/>
      <c r="NRG276" s="192"/>
      <c r="NRH276" s="192"/>
      <c r="NRI276" s="192"/>
      <c r="NRJ276" s="192"/>
      <c r="NRK276" s="192"/>
      <c r="NRL276" s="192"/>
      <c r="NRM276" s="192"/>
      <c r="NRN276" s="192"/>
      <c r="NRO276" s="192"/>
      <c r="NRP276" s="192"/>
      <c r="NRQ276" s="192"/>
      <c r="NRR276" s="192"/>
      <c r="NRS276" s="192"/>
      <c r="NRT276" s="192"/>
      <c r="NRU276" s="192"/>
      <c r="NRV276" s="192"/>
      <c r="NRW276" s="192"/>
      <c r="NRX276" s="192"/>
      <c r="NRY276" s="192"/>
      <c r="NRZ276" s="192"/>
      <c r="NSA276" s="192"/>
      <c r="NSB276" s="192"/>
      <c r="NSC276" s="192"/>
      <c r="NSD276" s="192"/>
      <c r="NSE276" s="192"/>
      <c r="NSF276" s="192"/>
      <c r="NSG276" s="192"/>
      <c r="NSH276" s="192"/>
      <c r="NSI276" s="192"/>
      <c r="NSJ276" s="192"/>
      <c r="NSK276" s="192"/>
      <c r="NSL276" s="192"/>
      <c r="NSM276" s="192"/>
      <c r="NSN276" s="192"/>
      <c r="NSO276" s="192"/>
      <c r="NSP276" s="192"/>
      <c r="NSQ276" s="192"/>
      <c r="NSR276" s="192"/>
      <c r="NSS276" s="192"/>
      <c r="NST276" s="192"/>
      <c r="NSU276" s="192"/>
      <c r="NSV276" s="192"/>
      <c r="NSW276" s="192"/>
      <c r="NSX276" s="192"/>
      <c r="NSY276" s="192"/>
      <c r="NSZ276" s="192"/>
      <c r="NTA276" s="192"/>
      <c r="NTB276" s="192"/>
      <c r="NTC276" s="192"/>
      <c r="NTD276" s="192"/>
      <c r="NTE276" s="192"/>
      <c r="NTF276" s="192"/>
      <c r="NTG276" s="192"/>
      <c r="NTH276" s="192"/>
      <c r="NTI276" s="192"/>
      <c r="NTJ276" s="192"/>
      <c r="NTK276" s="192"/>
      <c r="NTL276" s="192"/>
      <c r="NTM276" s="192"/>
      <c r="NTN276" s="192"/>
      <c r="NTO276" s="192"/>
      <c r="NTP276" s="192"/>
      <c r="NTQ276" s="192"/>
      <c r="NTR276" s="192"/>
      <c r="NTS276" s="192"/>
      <c r="NTT276" s="192"/>
      <c r="NTU276" s="192"/>
      <c r="NTV276" s="192"/>
      <c r="NTW276" s="192"/>
      <c r="NTX276" s="192"/>
      <c r="NTY276" s="192"/>
      <c r="NTZ276" s="192"/>
      <c r="NUA276" s="192"/>
      <c r="NUB276" s="192"/>
      <c r="NUC276" s="192"/>
      <c r="NUD276" s="192"/>
      <c r="NUE276" s="192"/>
      <c r="NUF276" s="192"/>
      <c r="NUG276" s="192"/>
      <c r="NUH276" s="192"/>
      <c r="NUI276" s="192"/>
      <c r="NUJ276" s="192"/>
      <c r="NUK276" s="192"/>
      <c r="NUL276" s="192"/>
      <c r="NUM276" s="192"/>
      <c r="NUN276" s="192"/>
      <c r="NUO276" s="192"/>
      <c r="NUP276" s="192"/>
      <c r="NUQ276" s="192"/>
      <c r="NUR276" s="192"/>
      <c r="NUS276" s="192"/>
      <c r="NUT276" s="192"/>
      <c r="NUU276" s="192"/>
      <c r="NUV276" s="192"/>
      <c r="NUW276" s="192"/>
      <c r="NUX276" s="192"/>
      <c r="NUY276" s="192"/>
      <c r="NUZ276" s="192"/>
      <c r="NVA276" s="192"/>
      <c r="NVB276" s="192"/>
      <c r="NVC276" s="192"/>
      <c r="NVD276" s="192"/>
      <c r="NVE276" s="192"/>
      <c r="NVF276" s="192"/>
      <c r="NVG276" s="192"/>
      <c r="NVH276" s="192"/>
      <c r="NVI276" s="192"/>
      <c r="NVJ276" s="192"/>
      <c r="NVK276" s="192"/>
      <c r="NVL276" s="192"/>
      <c r="NVM276" s="192"/>
      <c r="NVN276" s="192"/>
      <c r="NVO276" s="192"/>
      <c r="NVP276" s="192"/>
      <c r="NVQ276" s="192"/>
      <c r="NVR276" s="192"/>
      <c r="NVS276" s="192"/>
      <c r="NVT276" s="192"/>
      <c r="NVU276" s="192"/>
      <c r="NVV276" s="192"/>
      <c r="NVW276" s="192"/>
      <c r="NVX276" s="192"/>
      <c r="NVY276" s="192"/>
      <c r="NVZ276" s="192"/>
      <c r="NWA276" s="192"/>
      <c r="NWB276" s="192"/>
      <c r="NWC276" s="192"/>
      <c r="NWD276" s="192"/>
      <c r="NWE276" s="192"/>
      <c r="NWF276" s="192"/>
      <c r="NWG276" s="192"/>
      <c r="NWH276" s="192"/>
      <c r="NWI276" s="192"/>
      <c r="NWJ276" s="192"/>
      <c r="NWK276" s="192"/>
      <c r="NWL276" s="192"/>
      <c r="NWM276" s="192"/>
      <c r="NWN276" s="192"/>
      <c r="NWO276" s="192"/>
      <c r="NWP276" s="192"/>
      <c r="NWQ276" s="192"/>
      <c r="NWR276" s="192"/>
      <c r="NWS276" s="192"/>
      <c r="NWT276" s="192"/>
      <c r="NWU276" s="192"/>
      <c r="NWV276" s="192"/>
      <c r="NWW276" s="192"/>
      <c r="NWX276" s="192"/>
      <c r="NWY276" s="192"/>
      <c r="NWZ276" s="192"/>
      <c r="NXA276" s="192"/>
      <c r="NXB276" s="192"/>
      <c r="NXC276" s="192"/>
      <c r="NXD276" s="192"/>
      <c r="NXE276" s="192"/>
      <c r="NXF276" s="192"/>
      <c r="NXG276" s="192"/>
      <c r="NXH276" s="192"/>
      <c r="NXI276" s="192"/>
      <c r="NXJ276" s="192"/>
      <c r="NXK276" s="192"/>
      <c r="NXL276" s="192"/>
      <c r="NXM276" s="192"/>
      <c r="NXN276" s="192"/>
      <c r="NXO276" s="192"/>
      <c r="NXP276" s="192"/>
      <c r="NXQ276" s="192"/>
      <c r="NXR276" s="192"/>
      <c r="NXS276" s="192"/>
      <c r="NXT276" s="192"/>
      <c r="NXU276" s="192"/>
      <c r="NXV276" s="192"/>
      <c r="NXW276" s="192"/>
      <c r="NXX276" s="192"/>
      <c r="NXY276" s="192"/>
      <c r="NXZ276" s="192"/>
      <c r="NYA276" s="192"/>
      <c r="NYB276" s="192"/>
      <c r="NYC276" s="192"/>
      <c r="NYD276" s="192"/>
      <c r="NYE276" s="192"/>
      <c r="NYF276" s="192"/>
      <c r="NYG276" s="192"/>
      <c r="NYH276" s="192"/>
      <c r="NYI276" s="192"/>
      <c r="NYJ276" s="192"/>
      <c r="NYK276" s="192"/>
      <c r="NYL276" s="192"/>
      <c r="NYM276" s="192"/>
      <c r="NYN276" s="192"/>
      <c r="NYO276" s="192"/>
      <c r="NYP276" s="192"/>
      <c r="NYQ276" s="192"/>
      <c r="NYR276" s="192"/>
      <c r="NYS276" s="192"/>
      <c r="NYT276" s="192"/>
      <c r="NYU276" s="192"/>
      <c r="NYV276" s="192"/>
      <c r="NYW276" s="192"/>
      <c r="NYX276" s="192"/>
      <c r="NYY276" s="192"/>
      <c r="NYZ276" s="192"/>
      <c r="NZA276" s="192"/>
      <c r="NZB276" s="192"/>
      <c r="NZC276" s="192"/>
      <c r="NZD276" s="192"/>
      <c r="NZE276" s="192"/>
      <c r="NZF276" s="192"/>
      <c r="NZG276" s="192"/>
      <c r="NZH276" s="192"/>
      <c r="NZI276" s="192"/>
      <c r="NZJ276" s="192"/>
      <c r="NZK276" s="192"/>
      <c r="NZL276" s="192"/>
      <c r="NZM276" s="192"/>
      <c r="NZN276" s="192"/>
      <c r="NZO276" s="192"/>
      <c r="NZP276" s="192"/>
      <c r="NZQ276" s="192"/>
      <c r="NZR276" s="192"/>
      <c r="NZS276" s="192"/>
      <c r="NZT276" s="192"/>
      <c r="NZU276" s="192"/>
      <c r="NZV276" s="192"/>
      <c r="NZW276" s="192"/>
      <c r="NZX276" s="192"/>
      <c r="NZY276" s="192"/>
      <c r="NZZ276" s="192"/>
      <c r="OAA276" s="192"/>
      <c r="OAB276" s="192"/>
      <c r="OAC276" s="192"/>
      <c r="OAD276" s="192"/>
      <c r="OAE276" s="192"/>
      <c r="OAF276" s="192"/>
      <c r="OAG276" s="192"/>
      <c r="OAH276" s="192"/>
      <c r="OAI276" s="192"/>
      <c r="OAJ276" s="192"/>
      <c r="OAK276" s="192"/>
      <c r="OAL276" s="192"/>
      <c r="OAM276" s="192"/>
      <c r="OAN276" s="192"/>
      <c r="OAO276" s="192"/>
      <c r="OAP276" s="192"/>
      <c r="OAQ276" s="192"/>
      <c r="OAR276" s="192"/>
      <c r="OAS276" s="192"/>
      <c r="OAT276" s="192"/>
      <c r="OAU276" s="192"/>
      <c r="OAV276" s="192"/>
      <c r="OAW276" s="192"/>
      <c r="OAX276" s="192"/>
      <c r="OAY276" s="192"/>
      <c r="OAZ276" s="192"/>
      <c r="OBA276" s="192"/>
      <c r="OBB276" s="192"/>
      <c r="OBC276" s="192"/>
      <c r="OBD276" s="192"/>
      <c r="OBE276" s="192"/>
      <c r="OBF276" s="192"/>
      <c r="OBG276" s="192"/>
      <c r="OBH276" s="192"/>
      <c r="OBI276" s="192"/>
      <c r="OBJ276" s="192"/>
      <c r="OBK276" s="192"/>
      <c r="OBL276" s="192"/>
      <c r="OBM276" s="192"/>
      <c r="OBN276" s="192"/>
      <c r="OBO276" s="192"/>
      <c r="OBP276" s="192"/>
      <c r="OBQ276" s="192"/>
      <c r="OBR276" s="192"/>
      <c r="OBS276" s="192"/>
      <c r="OBT276" s="192"/>
      <c r="OBU276" s="192"/>
      <c r="OBV276" s="192"/>
      <c r="OBW276" s="192"/>
      <c r="OBX276" s="192"/>
      <c r="OBY276" s="192"/>
      <c r="OBZ276" s="192"/>
      <c r="OCA276" s="192"/>
      <c r="OCB276" s="192"/>
      <c r="OCC276" s="192"/>
      <c r="OCD276" s="192"/>
      <c r="OCE276" s="192"/>
      <c r="OCF276" s="192"/>
      <c r="OCG276" s="192"/>
      <c r="OCH276" s="192"/>
      <c r="OCI276" s="192"/>
      <c r="OCJ276" s="192"/>
      <c r="OCK276" s="192"/>
      <c r="OCL276" s="192"/>
      <c r="OCM276" s="192"/>
      <c r="OCN276" s="192"/>
      <c r="OCO276" s="192"/>
      <c r="OCP276" s="192"/>
      <c r="OCQ276" s="192"/>
      <c r="OCR276" s="192"/>
      <c r="OCS276" s="192"/>
      <c r="OCT276" s="192"/>
      <c r="OCU276" s="192"/>
      <c r="OCV276" s="192"/>
      <c r="OCW276" s="192"/>
      <c r="OCX276" s="192"/>
      <c r="OCY276" s="192"/>
      <c r="OCZ276" s="192"/>
      <c r="ODA276" s="192"/>
      <c r="ODB276" s="192"/>
      <c r="ODC276" s="192"/>
      <c r="ODD276" s="192"/>
      <c r="ODE276" s="192"/>
      <c r="ODF276" s="192"/>
      <c r="ODG276" s="192"/>
      <c r="ODH276" s="192"/>
      <c r="ODI276" s="192"/>
      <c r="ODJ276" s="192"/>
      <c r="ODK276" s="192"/>
      <c r="ODL276" s="192"/>
      <c r="ODM276" s="192"/>
      <c r="ODN276" s="192"/>
      <c r="ODO276" s="192"/>
      <c r="ODP276" s="192"/>
      <c r="ODQ276" s="192"/>
      <c r="ODR276" s="192"/>
      <c r="ODS276" s="192"/>
      <c r="ODT276" s="192"/>
      <c r="ODU276" s="192"/>
      <c r="ODV276" s="192"/>
      <c r="ODW276" s="192"/>
      <c r="ODX276" s="192"/>
      <c r="ODY276" s="192"/>
      <c r="ODZ276" s="192"/>
      <c r="OEA276" s="192"/>
      <c r="OEB276" s="192"/>
      <c r="OEC276" s="192"/>
      <c r="OED276" s="192"/>
      <c r="OEE276" s="192"/>
      <c r="OEF276" s="192"/>
      <c r="OEG276" s="192"/>
      <c r="OEH276" s="192"/>
      <c r="OEI276" s="192"/>
      <c r="OEJ276" s="192"/>
      <c r="OEK276" s="192"/>
      <c r="OEL276" s="192"/>
      <c r="OEM276" s="192"/>
      <c r="OEN276" s="192"/>
      <c r="OEO276" s="192"/>
      <c r="OEP276" s="192"/>
      <c r="OEQ276" s="192"/>
      <c r="OER276" s="192"/>
      <c r="OES276" s="192"/>
      <c r="OET276" s="192"/>
      <c r="OEU276" s="192"/>
      <c r="OEV276" s="192"/>
      <c r="OEW276" s="192"/>
      <c r="OEX276" s="192"/>
      <c r="OEY276" s="192"/>
      <c r="OEZ276" s="192"/>
      <c r="OFA276" s="192"/>
      <c r="OFB276" s="192"/>
      <c r="OFC276" s="192"/>
      <c r="OFD276" s="192"/>
      <c r="OFE276" s="192"/>
      <c r="OFF276" s="192"/>
      <c r="OFG276" s="192"/>
      <c r="OFH276" s="192"/>
      <c r="OFI276" s="192"/>
      <c r="OFJ276" s="192"/>
      <c r="OFK276" s="192"/>
      <c r="OFL276" s="192"/>
      <c r="OFM276" s="192"/>
      <c r="OFN276" s="192"/>
      <c r="OFO276" s="192"/>
      <c r="OFP276" s="192"/>
      <c r="OFQ276" s="192"/>
      <c r="OFR276" s="192"/>
      <c r="OFS276" s="192"/>
      <c r="OFT276" s="192"/>
      <c r="OFU276" s="192"/>
      <c r="OFV276" s="192"/>
      <c r="OFW276" s="192"/>
      <c r="OFX276" s="192"/>
      <c r="OFY276" s="192"/>
      <c r="OFZ276" s="192"/>
      <c r="OGA276" s="192"/>
      <c r="OGB276" s="192"/>
      <c r="OGC276" s="192"/>
      <c r="OGD276" s="192"/>
      <c r="OGE276" s="192"/>
      <c r="OGF276" s="192"/>
      <c r="OGG276" s="192"/>
      <c r="OGH276" s="192"/>
      <c r="OGI276" s="192"/>
      <c r="OGJ276" s="192"/>
      <c r="OGK276" s="192"/>
      <c r="OGL276" s="192"/>
      <c r="OGM276" s="192"/>
      <c r="OGN276" s="192"/>
      <c r="OGO276" s="192"/>
      <c r="OGP276" s="192"/>
      <c r="OGQ276" s="192"/>
      <c r="OGR276" s="192"/>
      <c r="OGS276" s="192"/>
      <c r="OGT276" s="192"/>
      <c r="OGU276" s="192"/>
      <c r="OGV276" s="192"/>
      <c r="OGW276" s="192"/>
      <c r="OGX276" s="192"/>
      <c r="OGY276" s="192"/>
      <c r="OGZ276" s="192"/>
      <c r="OHA276" s="192"/>
      <c r="OHB276" s="192"/>
      <c r="OHC276" s="192"/>
      <c r="OHD276" s="192"/>
      <c r="OHE276" s="192"/>
      <c r="OHF276" s="192"/>
      <c r="OHG276" s="192"/>
      <c r="OHH276" s="192"/>
      <c r="OHI276" s="192"/>
      <c r="OHJ276" s="192"/>
      <c r="OHK276" s="192"/>
      <c r="OHL276" s="192"/>
      <c r="OHM276" s="192"/>
      <c r="OHN276" s="192"/>
      <c r="OHO276" s="192"/>
      <c r="OHP276" s="192"/>
      <c r="OHQ276" s="192"/>
      <c r="OHR276" s="192"/>
      <c r="OHS276" s="192"/>
      <c r="OHT276" s="192"/>
      <c r="OHU276" s="192"/>
      <c r="OHV276" s="192"/>
      <c r="OHW276" s="192"/>
      <c r="OHX276" s="192"/>
      <c r="OHY276" s="192"/>
      <c r="OHZ276" s="192"/>
      <c r="OIA276" s="192"/>
      <c r="OIB276" s="192"/>
      <c r="OIC276" s="192"/>
      <c r="OID276" s="192"/>
      <c r="OIE276" s="192"/>
      <c r="OIF276" s="192"/>
      <c r="OIG276" s="192"/>
      <c r="OIH276" s="192"/>
      <c r="OII276" s="192"/>
      <c r="OIJ276" s="192"/>
      <c r="OIK276" s="192"/>
      <c r="OIL276" s="192"/>
      <c r="OIM276" s="192"/>
      <c r="OIN276" s="192"/>
      <c r="OIO276" s="192"/>
      <c r="OIP276" s="192"/>
      <c r="OIQ276" s="192"/>
      <c r="OIR276" s="192"/>
      <c r="OIS276" s="192"/>
      <c r="OIT276" s="192"/>
      <c r="OIU276" s="192"/>
      <c r="OIV276" s="192"/>
      <c r="OIW276" s="192"/>
      <c r="OIX276" s="192"/>
      <c r="OIY276" s="192"/>
      <c r="OIZ276" s="192"/>
      <c r="OJA276" s="192"/>
      <c r="OJB276" s="192"/>
      <c r="OJC276" s="192"/>
      <c r="OJD276" s="192"/>
      <c r="OJE276" s="192"/>
      <c r="OJF276" s="192"/>
      <c r="OJG276" s="192"/>
      <c r="OJH276" s="192"/>
      <c r="OJI276" s="192"/>
      <c r="OJJ276" s="192"/>
      <c r="OJK276" s="192"/>
      <c r="OJL276" s="192"/>
      <c r="OJM276" s="192"/>
      <c r="OJN276" s="192"/>
      <c r="OJO276" s="192"/>
      <c r="OJP276" s="192"/>
      <c r="OJQ276" s="192"/>
      <c r="OJR276" s="192"/>
      <c r="OJS276" s="192"/>
      <c r="OJT276" s="192"/>
      <c r="OJU276" s="192"/>
      <c r="OJV276" s="192"/>
      <c r="OJW276" s="192"/>
      <c r="OJX276" s="192"/>
      <c r="OJY276" s="192"/>
      <c r="OJZ276" s="192"/>
      <c r="OKA276" s="192"/>
      <c r="OKB276" s="192"/>
      <c r="OKC276" s="192"/>
      <c r="OKD276" s="192"/>
      <c r="OKE276" s="192"/>
      <c r="OKF276" s="192"/>
      <c r="OKG276" s="192"/>
      <c r="OKH276" s="192"/>
      <c r="OKI276" s="192"/>
      <c r="OKJ276" s="192"/>
      <c r="OKK276" s="192"/>
      <c r="OKL276" s="192"/>
      <c r="OKM276" s="192"/>
      <c r="OKN276" s="192"/>
      <c r="OKO276" s="192"/>
      <c r="OKP276" s="192"/>
      <c r="OKQ276" s="192"/>
      <c r="OKR276" s="192"/>
      <c r="OKS276" s="192"/>
      <c r="OKT276" s="192"/>
      <c r="OKU276" s="192"/>
      <c r="OKV276" s="192"/>
      <c r="OKW276" s="192"/>
      <c r="OKX276" s="192"/>
      <c r="OKY276" s="192"/>
      <c r="OKZ276" s="192"/>
      <c r="OLA276" s="192"/>
      <c r="OLB276" s="192"/>
      <c r="OLC276" s="192"/>
      <c r="OLD276" s="192"/>
      <c r="OLE276" s="192"/>
      <c r="OLF276" s="192"/>
      <c r="OLG276" s="192"/>
      <c r="OLH276" s="192"/>
      <c r="OLI276" s="192"/>
      <c r="OLJ276" s="192"/>
      <c r="OLK276" s="192"/>
      <c r="OLL276" s="192"/>
      <c r="OLM276" s="192"/>
      <c r="OLN276" s="192"/>
      <c r="OLO276" s="192"/>
      <c r="OLP276" s="192"/>
      <c r="OLQ276" s="192"/>
      <c r="OLR276" s="192"/>
      <c r="OLS276" s="192"/>
      <c r="OLT276" s="192"/>
      <c r="OLU276" s="192"/>
      <c r="OLV276" s="192"/>
      <c r="OLW276" s="192"/>
      <c r="OLX276" s="192"/>
      <c r="OLY276" s="192"/>
      <c r="OLZ276" s="192"/>
      <c r="OMA276" s="192"/>
      <c r="OMB276" s="192"/>
      <c r="OMC276" s="192"/>
      <c r="OMD276" s="192"/>
      <c r="OME276" s="192"/>
      <c r="OMF276" s="192"/>
      <c r="OMG276" s="192"/>
      <c r="OMH276" s="192"/>
      <c r="OMI276" s="192"/>
      <c r="OMJ276" s="192"/>
      <c r="OMK276" s="192"/>
      <c r="OML276" s="192"/>
      <c r="OMM276" s="192"/>
      <c r="OMN276" s="192"/>
      <c r="OMO276" s="192"/>
      <c r="OMP276" s="192"/>
      <c r="OMQ276" s="192"/>
      <c r="OMR276" s="192"/>
      <c r="OMS276" s="192"/>
      <c r="OMT276" s="192"/>
      <c r="OMU276" s="192"/>
      <c r="OMV276" s="192"/>
      <c r="OMW276" s="192"/>
      <c r="OMX276" s="192"/>
      <c r="OMY276" s="192"/>
      <c r="OMZ276" s="192"/>
      <c r="ONA276" s="192"/>
      <c r="ONB276" s="192"/>
      <c r="ONC276" s="192"/>
      <c r="OND276" s="192"/>
      <c r="ONE276" s="192"/>
      <c r="ONF276" s="192"/>
      <c r="ONG276" s="192"/>
      <c r="ONH276" s="192"/>
      <c r="ONI276" s="192"/>
      <c r="ONJ276" s="192"/>
      <c r="ONK276" s="192"/>
      <c r="ONL276" s="192"/>
      <c r="ONM276" s="192"/>
      <c r="ONN276" s="192"/>
      <c r="ONO276" s="192"/>
      <c r="ONP276" s="192"/>
      <c r="ONQ276" s="192"/>
      <c r="ONR276" s="192"/>
      <c r="ONS276" s="192"/>
      <c r="ONT276" s="192"/>
      <c r="ONU276" s="192"/>
      <c r="ONV276" s="192"/>
      <c r="ONW276" s="192"/>
      <c r="ONX276" s="192"/>
      <c r="ONY276" s="192"/>
      <c r="ONZ276" s="192"/>
      <c r="OOA276" s="192"/>
      <c r="OOB276" s="192"/>
      <c r="OOC276" s="192"/>
      <c r="OOD276" s="192"/>
      <c r="OOE276" s="192"/>
      <c r="OOF276" s="192"/>
      <c r="OOG276" s="192"/>
      <c r="OOH276" s="192"/>
      <c r="OOI276" s="192"/>
      <c r="OOJ276" s="192"/>
      <c r="OOK276" s="192"/>
      <c r="OOL276" s="192"/>
      <c r="OOM276" s="192"/>
      <c r="OON276" s="192"/>
      <c r="OOO276" s="192"/>
      <c r="OOP276" s="192"/>
      <c r="OOQ276" s="192"/>
      <c r="OOR276" s="192"/>
      <c r="OOS276" s="192"/>
      <c r="OOT276" s="192"/>
      <c r="OOU276" s="192"/>
      <c r="OOV276" s="192"/>
      <c r="OOW276" s="192"/>
      <c r="OOX276" s="192"/>
      <c r="OOY276" s="192"/>
      <c r="OOZ276" s="192"/>
      <c r="OPA276" s="192"/>
      <c r="OPB276" s="192"/>
      <c r="OPC276" s="192"/>
      <c r="OPD276" s="192"/>
      <c r="OPE276" s="192"/>
      <c r="OPF276" s="192"/>
      <c r="OPG276" s="192"/>
      <c r="OPH276" s="192"/>
      <c r="OPI276" s="192"/>
      <c r="OPJ276" s="192"/>
      <c r="OPK276" s="192"/>
      <c r="OPL276" s="192"/>
      <c r="OPM276" s="192"/>
      <c r="OPN276" s="192"/>
      <c r="OPO276" s="192"/>
      <c r="OPP276" s="192"/>
      <c r="OPQ276" s="192"/>
      <c r="OPR276" s="192"/>
      <c r="OPS276" s="192"/>
      <c r="OPT276" s="192"/>
      <c r="OPU276" s="192"/>
      <c r="OPV276" s="192"/>
      <c r="OPW276" s="192"/>
      <c r="OPX276" s="192"/>
      <c r="OPY276" s="192"/>
      <c r="OPZ276" s="192"/>
      <c r="OQA276" s="192"/>
      <c r="OQB276" s="192"/>
      <c r="OQC276" s="192"/>
      <c r="OQD276" s="192"/>
      <c r="OQE276" s="192"/>
      <c r="OQF276" s="192"/>
      <c r="OQG276" s="192"/>
      <c r="OQH276" s="192"/>
      <c r="OQI276" s="192"/>
      <c r="OQJ276" s="192"/>
      <c r="OQK276" s="192"/>
      <c r="OQL276" s="192"/>
      <c r="OQM276" s="192"/>
      <c r="OQN276" s="192"/>
      <c r="OQO276" s="192"/>
      <c r="OQP276" s="192"/>
      <c r="OQQ276" s="192"/>
      <c r="OQR276" s="192"/>
      <c r="OQS276" s="192"/>
      <c r="OQT276" s="192"/>
      <c r="OQU276" s="192"/>
      <c r="OQV276" s="192"/>
      <c r="OQW276" s="192"/>
      <c r="OQX276" s="192"/>
      <c r="OQY276" s="192"/>
      <c r="OQZ276" s="192"/>
      <c r="ORA276" s="192"/>
      <c r="ORB276" s="192"/>
      <c r="ORC276" s="192"/>
      <c r="ORD276" s="192"/>
      <c r="ORE276" s="192"/>
      <c r="ORF276" s="192"/>
      <c r="ORG276" s="192"/>
      <c r="ORH276" s="192"/>
      <c r="ORI276" s="192"/>
      <c r="ORJ276" s="192"/>
      <c r="ORK276" s="192"/>
      <c r="ORL276" s="192"/>
      <c r="ORM276" s="192"/>
      <c r="ORN276" s="192"/>
      <c r="ORO276" s="192"/>
      <c r="ORP276" s="192"/>
      <c r="ORQ276" s="192"/>
      <c r="ORR276" s="192"/>
      <c r="ORS276" s="192"/>
      <c r="ORT276" s="192"/>
      <c r="ORU276" s="192"/>
      <c r="ORV276" s="192"/>
      <c r="ORW276" s="192"/>
      <c r="ORX276" s="192"/>
      <c r="ORY276" s="192"/>
      <c r="ORZ276" s="192"/>
      <c r="OSA276" s="192"/>
      <c r="OSB276" s="192"/>
      <c r="OSC276" s="192"/>
      <c r="OSD276" s="192"/>
      <c r="OSE276" s="192"/>
      <c r="OSF276" s="192"/>
      <c r="OSG276" s="192"/>
      <c r="OSH276" s="192"/>
      <c r="OSI276" s="192"/>
      <c r="OSJ276" s="192"/>
      <c r="OSK276" s="192"/>
      <c r="OSL276" s="192"/>
      <c r="OSM276" s="192"/>
      <c r="OSN276" s="192"/>
      <c r="OSO276" s="192"/>
      <c r="OSP276" s="192"/>
      <c r="OSQ276" s="192"/>
      <c r="OSR276" s="192"/>
      <c r="OSS276" s="192"/>
      <c r="OST276" s="192"/>
      <c r="OSU276" s="192"/>
      <c r="OSV276" s="192"/>
      <c r="OSW276" s="192"/>
      <c r="OSX276" s="192"/>
      <c r="OSY276" s="192"/>
      <c r="OSZ276" s="192"/>
      <c r="OTA276" s="192"/>
      <c r="OTB276" s="192"/>
      <c r="OTC276" s="192"/>
      <c r="OTD276" s="192"/>
      <c r="OTE276" s="192"/>
      <c r="OTF276" s="192"/>
      <c r="OTG276" s="192"/>
      <c r="OTH276" s="192"/>
      <c r="OTI276" s="192"/>
      <c r="OTJ276" s="192"/>
      <c r="OTK276" s="192"/>
      <c r="OTL276" s="192"/>
      <c r="OTM276" s="192"/>
      <c r="OTN276" s="192"/>
      <c r="OTO276" s="192"/>
      <c r="OTP276" s="192"/>
      <c r="OTQ276" s="192"/>
      <c r="OTR276" s="192"/>
      <c r="OTS276" s="192"/>
      <c r="OTT276" s="192"/>
      <c r="OTU276" s="192"/>
      <c r="OTV276" s="192"/>
      <c r="OTW276" s="192"/>
      <c r="OTX276" s="192"/>
      <c r="OTY276" s="192"/>
      <c r="OTZ276" s="192"/>
      <c r="OUA276" s="192"/>
      <c r="OUB276" s="192"/>
      <c r="OUC276" s="192"/>
      <c r="OUD276" s="192"/>
      <c r="OUE276" s="192"/>
      <c r="OUF276" s="192"/>
      <c r="OUG276" s="192"/>
      <c r="OUH276" s="192"/>
      <c r="OUI276" s="192"/>
      <c r="OUJ276" s="192"/>
      <c r="OUK276" s="192"/>
      <c r="OUL276" s="192"/>
      <c r="OUM276" s="192"/>
      <c r="OUN276" s="192"/>
      <c r="OUO276" s="192"/>
      <c r="OUP276" s="192"/>
      <c r="OUQ276" s="192"/>
      <c r="OUR276" s="192"/>
      <c r="OUS276" s="192"/>
      <c r="OUT276" s="192"/>
      <c r="OUU276" s="192"/>
      <c r="OUV276" s="192"/>
      <c r="OUW276" s="192"/>
      <c r="OUX276" s="192"/>
      <c r="OUY276" s="192"/>
      <c r="OUZ276" s="192"/>
      <c r="OVA276" s="192"/>
      <c r="OVB276" s="192"/>
      <c r="OVC276" s="192"/>
      <c r="OVD276" s="192"/>
      <c r="OVE276" s="192"/>
      <c r="OVF276" s="192"/>
      <c r="OVG276" s="192"/>
      <c r="OVH276" s="192"/>
      <c r="OVI276" s="192"/>
      <c r="OVJ276" s="192"/>
      <c r="OVK276" s="192"/>
      <c r="OVL276" s="192"/>
      <c r="OVM276" s="192"/>
      <c r="OVN276" s="192"/>
      <c r="OVO276" s="192"/>
      <c r="OVP276" s="192"/>
      <c r="OVQ276" s="192"/>
      <c r="OVR276" s="192"/>
      <c r="OVS276" s="192"/>
      <c r="OVT276" s="192"/>
      <c r="OVU276" s="192"/>
      <c r="OVV276" s="192"/>
      <c r="OVW276" s="192"/>
      <c r="OVX276" s="192"/>
      <c r="OVY276" s="192"/>
      <c r="OVZ276" s="192"/>
      <c r="OWA276" s="192"/>
      <c r="OWB276" s="192"/>
      <c r="OWC276" s="192"/>
      <c r="OWD276" s="192"/>
      <c r="OWE276" s="192"/>
      <c r="OWF276" s="192"/>
      <c r="OWG276" s="192"/>
      <c r="OWH276" s="192"/>
      <c r="OWI276" s="192"/>
      <c r="OWJ276" s="192"/>
      <c r="OWK276" s="192"/>
      <c r="OWL276" s="192"/>
      <c r="OWM276" s="192"/>
      <c r="OWN276" s="192"/>
      <c r="OWO276" s="192"/>
      <c r="OWP276" s="192"/>
      <c r="OWQ276" s="192"/>
      <c r="OWR276" s="192"/>
      <c r="OWS276" s="192"/>
      <c r="OWT276" s="192"/>
      <c r="OWU276" s="192"/>
      <c r="OWV276" s="192"/>
      <c r="OWW276" s="192"/>
      <c r="OWX276" s="192"/>
      <c r="OWY276" s="192"/>
      <c r="OWZ276" s="192"/>
      <c r="OXA276" s="192"/>
      <c r="OXB276" s="192"/>
      <c r="OXC276" s="192"/>
      <c r="OXD276" s="192"/>
      <c r="OXE276" s="192"/>
      <c r="OXF276" s="192"/>
      <c r="OXG276" s="192"/>
      <c r="OXH276" s="192"/>
      <c r="OXI276" s="192"/>
      <c r="OXJ276" s="192"/>
      <c r="OXK276" s="192"/>
      <c r="OXL276" s="192"/>
      <c r="OXM276" s="192"/>
      <c r="OXN276" s="192"/>
      <c r="OXO276" s="192"/>
      <c r="OXP276" s="192"/>
      <c r="OXQ276" s="192"/>
      <c r="OXR276" s="192"/>
      <c r="OXS276" s="192"/>
      <c r="OXT276" s="192"/>
      <c r="OXU276" s="192"/>
      <c r="OXV276" s="192"/>
      <c r="OXW276" s="192"/>
      <c r="OXX276" s="192"/>
      <c r="OXY276" s="192"/>
      <c r="OXZ276" s="192"/>
      <c r="OYA276" s="192"/>
      <c r="OYB276" s="192"/>
      <c r="OYC276" s="192"/>
      <c r="OYD276" s="192"/>
      <c r="OYE276" s="192"/>
      <c r="OYF276" s="192"/>
      <c r="OYG276" s="192"/>
      <c r="OYH276" s="192"/>
      <c r="OYI276" s="192"/>
      <c r="OYJ276" s="192"/>
      <c r="OYK276" s="192"/>
      <c r="OYL276" s="192"/>
      <c r="OYM276" s="192"/>
      <c r="OYN276" s="192"/>
      <c r="OYO276" s="192"/>
      <c r="OYP276" s="192"/>
      <c r="OYQ276" s="192"/>
      <c r="OYR276" s="192"/>
      <c r="OYS276" s="192"/>
      <c r="OYT276" s="192"/>
      <c r="OYU276" s="192"/>
      <c r="OYV276" s="192"/>
      <c r="OYW276" s="192"/>
      <c r="OYX276" s="192"/>
      <c r="OYY276" s="192"/>
      <c r="OYZ276" s="192"/>
      <c r="OZA276" s="192"/>
      <c r="OZB276" s="192"/>
      <c r="OZC276" s="192"/>
      <c r="OZD276" s="192"/>
      <c r="OZE276" s="192"/>
      <c r="OZF276" s="192"/>
      <c r="OZG276" s="192"/>
      <c r="OZH276" s="192"/>
      <c r="OZI276" s="192"/>
      <c r="OZJ276" s="192"/>
      <c r="OZK276" s="192"/>
      <c r="OZL276" s="192"/>
      <c r="OZM276" s="192"/>
      <c r="OZN276" s="192"/>
      <c r="OZO276" s="192"/>
      <c r="OZP276" s="192"/>
      <c r="OZQ276" s="192"/>
      <c r="OZR276" s="192"/>
      <c r="OZS276" s="192"/>
      <c r="OZT276" s="192"/>
      <c r="OZU276" s="192"/>
      <c r="OZV276" s="192"/>
      <c r="OZW276" s="192"/>
      <c r="OZX276" s="192"/>
      <c r="OZY276" s="192"/>
      <c r="OZZ276" s="192"/>
      <c r="PAA276" s="192"/>
      <c r="PAB276" s="192"/>
      <c r="PAC276" s="192"/>
      <c r="PAD276" s="192"/>
      <c r="PAE276" s="192"/>
      <c r="PAF276" s="192"/>
      <c r="PAG276" s="192"/>
      <c r="PAH276" s="192"/>
      <c r="PAI276" s="192"/>
      <c r="PAJ276" s="192"/>
      <c r="PAK276" s="192"/>
      <c r="PAL276" s="192"/>
      <c r="PAM276" s="192"/>
      <c r="PAN276" s="192"/>
      <c r="PAO276" s="192"/>
      <c r="PAP276" s="192"/>
      <c r="PAQ276" s="192"/>
      <c r="PAR276" s="192"/>
      <c r="PAS276" s="192"/>
      <c r="PAT276" s="192"/>
      <c r="PAU276" s="192"/>
      <c r="PAV276" s="192"/>
      <c r="PAW276" s="192"/>
      <c r="PAX276" s="192"/>
      <c r="PAY276" s="192"/>
      <c r="PAZ276" s="192"/>
      <c r="PBA276" s="192"/>
      <c r="PBB276" s="192"/>
      <c r="PBC276" s="192"/>
      <c r="PBD276" s="192"/>
      <c r="PBE276" s="192"/>
      <c r="PBF276" s="192"/>
      <c r="PBG276" s="192"/>
      <c r="PBH276" s="192"/>
      <c r="PBI276" s="192"/>
      <c r="PBJ276" s="192"/>
      <c r="PBK276" s="192"/>
      <c r="PBL276" s="192"/>
      <c r="PBM276" s="192"/>
      <c r="PBN276" s="192"/>
      <c r="PBO276" s="192"/>
      <c r="PBP276" s="192"/>
      <c r="PBQ276" s="192"/>
      <c r="PBR276" s="192"/>
      <c r="PBS276" s="192"/>
      <c r="PBT276" s="192"/>
      <c r="PBU276" s="192"/>
      <c r="PBV276" s="192"/>
      <c r="PBW276" s="192"/>
      <c r="PBX276" s="192"/>
      <c r="PBY276" s="192"/>
      <c r="PBZ276" s="192"/>
      <c r="PCA276" s="192"/>
      <c r="PCB276" s="192"/>
      <c r="PCC276" s="192"/>
      <c r="PCD276" s="192"/>
      <c r="PCE276" s="192"/>
      <c r="PCF276" s="192"/>
      <c r="PCG276" s="192"/>
      <c r="PCH276" s="192"/>
      <c r="PCI276" s="192"/>
      <c r="PCJ276" s="192"/>
      <c r="PCK276" s="192"/>
      <c r="PCL276" s="192"/>
      <c r="PCM276" s="192"/>
      <c r="PCN276" s="192"/>
      <c r="PCO276" s="192"/>
      <c r="PCP276" s="192"/>
      <c r="PCQ276" s="192"/>
      <c r="PCR276" s="192"/>
      <c r="PCS276" s="192"/>
      <c r="PCT276" s="192"/>
      <c r="PCU276" s="192"/>
      <c r="PCV276" s="192"/>
      <c r="PCW276" s="192"/>
      <c r="PCX276" s="192"/>
      <c r="PCY276" s="192"/>
      <c r="PCZ276" s="192"/>
      <c r="PDA276" s="192"/>
      <c r="PDB276" s="192"/>
      <c r="PDC276" s="192"/>
      <c r="PDD276" s="192"/>
      <c r="PDE276" s="192"/>
      <c r="PDF276" s="192"/>
      <c r="PDG276" s="192"/>
      <c r="PDH276" s="192"/>
      <c r="PDI276" s="192"/>
      <c r="PDJ276" s="192"/>
      <c r="PDK276" s="192"/>
      <c r="PDL276" s="192"/>
      <c r="PDM276" s="192"/>
      <c r="PDN276" s="192"/>
      <c r="PDO276" s="192"/>
      <c r="PDP276" s="192"/>
      <c r="PDQ276" s="192"/>
      <c r="PDR276" s="192"/>
      <c r="PDS276" s="192"/>
      <c r="PDT276" s="192"/>
      <c r="PDU276" s="192"/>
      <c r="PDV276" s="192"/>
      <c r="PDW276" s="192"/>
      <c r="PDX276" s="192"/>
      <c r="PDY276" s="192"/>
      <c r="PDZ276" s="192"/>
      <c r="PEA276" s="192"/>
      <c r="PEB276" s="192"/>
      <c r="PEC276" s="192"/>
      <c r="PED276" s="192"/>
      <c r="PEE276" s="192"/>
      <c r="PEF276" s="192"/>
      <c r="PEG276" s="192"/>
      <c r="PEH276" s="192"/>
      <c r="PEI276" s="192"/>
      <c r="PEJ276" s="192"/>
      <c r="PEK276" s="192"/>
      <c r="PEL276" s="192"/>
      <c r="PEM276" s="192"/>
      <c r="PEN276" s="192"/>
      <c r="PEO276" s="192"/>
      <c r="PEP276" s="192"/>
      <c r="PEQ276" s="192"/>
      <c r="PER276" s="192"/>
      <c r="PES276" s="192"/>
      <c r="PET276" s="192"/>
      <c r="PEU276" s="192"/>
      <c r="PEV276" s="192"/>
      <c r="PEW276" s="192"/>
      <c r="PEX276" s="192"/>
      <c r="PEY276" s="192"/>
      <c r="PEZ276" s="192"/>
      <c r="PFA276" s="192"/>
      <c r="PFB276" s="192"/>
      <c r="PFC276" s="192"/>
      <c r="PFD276" s="192"/>
      <c r="PFE276" s="192"/>
      <c r="PFF276" s="192"/>
      <c r="PFG276" s="192"/>
      <c r="PFH276" s="192"/>
      <c r="PFI276" s="192"/>
      <c r="PFJ276" s="192"/>
      <c r="PFK276" s="192"/>
      <c r="PFL276" s="192"/>
      <c r="PFM276" s="192"/>
      <c r="PFN276" s="192"/>
      <c r="PFO276" s="192"/>
      <c r="PFP276" s="192"/>
      <c r="PFQ276" s="192"/>
      <c r="PFR276" s="192"/>
      <c r="PFS276" s="192"/>
      <c r="PFT276" s="192"/>
      <c r="PFU276" s="192"/>
      <c r="PFV276" s="192"/>
      <c r="PFW276" s="192"/>
      <c r="PFX276" s="192"/>
      <c r="PFY276" s="192"/>
      <c r="PFZ276" s="192"/>
      <c r="PGA276" s="192"/>
      <c r="PGB276" s="192"/>
      <c r="PGC276" s="192"/>
      <c r="PGD276" s="192"/>
      <c r="PGE276" s="192"/>
      <c r="PGF276" s="192"/>
      <c r="PGG276" s="192"/>
      <c r="PGH276" s="192"/>
      <c r="PGI276" s="192"/>
      <c r="PGJ276" s="192"/>
      <c r="PGK276" s="192"/>
      <c r="PGL276" s="192"/>
      <c r="PGM276" s="192"/>
      <c r="PGN276" s="192"/>
      <c r="PGO276" s="192"/>
      <c r="PGP276" s="192"/>
      <c r="PGQ276" s="192"/>
      <c r="PGR276" s="192"/>
      <c r="PGS276" s="192"/>
      <c r="PGT276" s="192"/>
      <c r="PGU276" s="192"/>
      <c r="PGV276" s="192"/>
      <c r="PGW276" s="192"/>
      <c r="PGX276" s="192"/>
      <c r="PGY276" s="192"/>
      <c r="PGZ276" s="192"/>
      <c r="PHA276" s="192"/>
      <c r="PHB276" s="192"/>
      <c r="PHC276" s="192"/>
      <c r="PHD276" s="192"/>
      <c r="PHE276" s="192"/>
      <c r="PHF276" s="192"/>
      <c r="PHG276" s="192"/>
      <c r="PHH276" s="192"/>
      <c r="PHI276" s="192"/>
      <c r="PHJ276" s="192"/>
      <c r="PHK276" s="192"/>
      <c r="PHL276" s="192"/>
      <c r="PHM276" s="192"/>
      <c r="PHN276" s="192"/>
      <c r="PHO276" s="192"/>
      <c r="PHP276" s="192"/>
      <c r="PHQ276" s="192"/>
      <c r="PHR276" s="192"/>
      <c r="PHS276" s="192"/>
      <c r="PHT276" s="192"/>
      <c r="PHU276" s="192"/>
      <c r="PHV276" s="192"/>
      <c r="PHW276" s="192"/>
      <c r="PHX276" s="192"/>
      <c r="PHY276" s="192"/>
      <c r="PHZ276" s="192"/>
      <c r="PIA276" s="192"/>
      <c r="PIB276" s="192"/>
      <c r="PIC276" s="192"/>
      <c r="PID276" s="192"/>
      <c r="PIE276" s="192"/>
      <c r="PIF276" s="192"/>
      <c r="PIG276" s="192"/>
      <c r="PIH276" s="192"/>
      <c r="PII276" s="192"/>
      <c r="PIJ276" s="192"/>
      <c r="PIK276" s="192"/>
      <c r="PIL276" s="192"/>
      <c r="PIM276" s="192"/>
      <c r="PIN276" s="192"/>
      <c r="PIO276" s="192"/>
      <c r="PIP276" s="192"/>
      <c r="PIQ276" s="192"/>
      <c r="PIR276" s="192"/>
      <c r="PIS276" s="192"/>
      <c r="PIT276" s="192"/>
      <c r="PIU276" s="192"/>
      <c r="PIV276" s="192"/>
      <c r="PIW276" s="192"/>
      <c r="PIX276" s="192"/>
      <c r="PIY276" s="192"/>
      <c r="PIZ276" s="192"/>
      <c r="PJA276" s="192"/>
      <c r="PJB276" s="192"/>
      <c r="PJC276" s="192"/>
      <c r="PJD276" s="192"/>
      <c r="PJE276" s="192"/>
      <c r="PJF276" s="192"/>
      <c r="PJG276" s="192"/>
      <c r="PJH276" s="192"/>
      <c r="PJI276" s="192"/>
      <c r="PJJ276" s="192"/>
      <c r="PJK276" s="192"/>
      <c r="PJL276" s="192"/>
      <c r="PJM276" s="192"/>
      <c r="PJN276" s="192"/>
      <c r="PJO276" s="192"/>
      <c r="PJP276" s="192"/>
      <c r="PJQ276" s="192"/>
      <c r="PJR276" s="192"/>
      <c r="PJS276" s="192"/>
      <c r="PJT276" s="192"/>
      <c r="PJU276" s="192"/>
      <c r="PJV276" s="192"/>
      <c r="PJW276" s="192"/>
      <c r="PJX276" s="192"/>
      <c r="PJY276" s="192"/>
      <c r="PJZ276" s="192"/>
      <c r="PKA276" s="192"/>
      <c r="PKB276" s="192"/>
      <c r="PKC276" s="192"/>
      <c r="PKD276" s="192"/>
      <c r="PKE276" s="192"/>
      <c r="PKF276" s="192"/>
      <c r="PKG276" s="192"/>
      <c r="PKH276" s="192"/>
      <c r="PKI276" s="192"/>
      <c r="PKJ276" s="192"/>
      <c r="PKK276" s="192"/>
      <c r="PKL276" s="192"/>
      <c r="PKM276" s="192"/>
      <c r="PKN276" s="192"/>
      <c r="PKO276" s="192"/>
      <c r="PKP276" s="192"/>
      <c r="PKQ276" s="192"/>
      <c r="PKR276" s="192"/>
      <c r="PKS276" s="192"/>
      <c r="PKT276" s="192"/>
      <c r="PKU276" s="192"/>
      <c r="PKV276" s="192"/>
      <c r="PKW276" s="192"/>
      <c r="PKX276" s="192"/>
      <c r="PKY276" s="192"/>
      <c r="PKZ276" s="192"/>
      <c r="PLA276" s="192"/>
      <c r="PLB276" s="192"/>
      <c r="PLC276" s="192"/>
      <c r="PLD276" s="192"/>
      <c r="PLE276" s="192"/>
      <c r="PLF276" s="192"/>
      <c r="PLG276" s="192"/>
      <c r="PLH276" s="192"/>
      <c r="PLI276" s="192"/>
      <c r="PLJ276" s="192"/>
      <c r="PLK276" s="192"/>
      <c r="PLL276" s="192"/>
      <c r="PLM276" s="192"/>
      <c r="PLN276" s="192"/>
      <c r="PLO276" s="192"/>
      <c r="PLP276" s="192"/>
      <c r="PLQ276" s="192"/>
      <c r="PLR276" s="192"/>
      <c r="PLS276" s="192"/>
      <c r="PLT276" s="192"/>
      <c r="PLU276" s="192"/>
      <c r="PLV276" s="192"/>
      <c r="PLW276" s="192"/>
      <c r="PLX276" s="192"/>
      <c r="PLY276" s="192"/>
      <c r="PLZ276" s="192"/>
      <c r="PMA276" s="192"/>
      <c r="PMB276" s="192"/>
      <c r="PMC276" s="192"/>
      <c r="PMD276" s="192"/>
      <c r="PME276" s="192"/>
      <c r="PMF276" s="192"/>
      <c r="PMG276" s="192"/>
      <c r="PMH276" s="192"/>
      <c r="PMI276" s="192"/>
      <c r="PMJ276" s="192"/>
      <c r="PMK276" s="192"/>
      <c r="PML276" s="192"/>
      <c r="PMM276" s="192"/>
      <c r="PMN276" s="192"/>
      <c r="PMO276" s="192"/>
      <c r="PMP276" s="192"/>
      <c r="PMQ276" s="192"/>
      <c r="PMR276" s="192"/>
      <c r="PMS276" s="192"/>
      <c r="PMT276" s="192"/>
      <c r="PMU276" s="192"/>
      <c r="PMV276" s="192"/>
      <c r="PMW276" s="192"/>
      <c r="PMX276" s="192"/>
      <c r="PMY276" s="192"/>
      <c r="PMZ276" s="192"/>
      <c r="PNA276" s="192"/>
      <c r="PNB276" s="192"/>
      <c r="PNC276" s="192"/>
      <c r="PND276" s="192"/>
      <c r="PNE276" s="192"/>
      <c r="PNF276" s="192"/>
      <c r="PNG276" s="192"/>
      <c r="PNH276" s="192"/>
      <c r="PNI276" s="192"/>
      <c r="PNJ276" s="192"/>
      <c r="PNK276" s="192"/>
      <c r="PNL276" s="192"/>
      <c r="PNM276" s="192"/>
      <c r="PNN276" s="192"/>
      <c r="PNO276" s="192"/>
      <c r="PNP276" s="192"/>
      <c r="PNQ276" s="192"/>
      <c r="PNR276" s="192"/>
      <c r="PNS276" s="192"/>
      <c r="PNT276" s="192"/>
      <c r="PNU276" s="192"/>
      <c r="PNV276" s="192"/>
      <c r="PNW276" s="192"/>
      <c r="PNX276" s="192"/>
      <c r="PNY276" s="192"/>
      <c r="PNZ276" s="192"/>
      <c r="POA276" s="192"/>
      <c r="POB276" s="192"/>
      <c r="POC276" s="192"/>
      <c r="POD276" s="192"/>
      <c r="POE276" s="192"/>
      <c r="POF276" s="192"/>
      <c r="POG276" s="192"/>
      <c r="POH276" s="192"/>
      <c r="POI276" s="192"/>
      <c r="POJ276" s="192"/>
      <c r="POK276" s="192"/>
      <c r="POL276" s="192"/>
      <c r="POM276" s="192"/>
      <c r="PON276" s="192"/>
      <c r="POO276" s="192"/>
      <c r="POP276" s="192"/>
      <c r="POQ276" s="192"/>
      <c r="POR276" s="192"/>
      <c r="POS276" s="192"/>
      <c r="POT276" s="192"/>
      <c r="POU276" s="192"/>
      <c r="POV276" s="192"/>
      <c r="POW276" s="192"/>
      <c r="POX276" s="192"/>
      <c r="POY276" s="192"/>
      <c r="POZ276" s="192"/>
      <c r="PPA276" s="192"/>
      <c r="PPB276" s="192"/>
      <c r="PPC276" s="192"/>
      <c r="PPD276" s="192"/>
      <c r="PPE276" s="192"/>
      <c r="PPF276" s="192"/>
      <c r="PPG276" s="192"/>
      <c r="PPH276" s="192"/>
      <c r="PPI276" s="192"/>
      <c r="PPJ276" s="192"/>
      <c r="PPK276" s="192"/>
      <c r="PPL276" s="192"/>
      <c r="PPM276" s="192"/>
      <c r="PPN276" s="192"/>
      <c r="PPO276" s="192"/>
      <c r="PPP276" s="192"/>
      <c r="PPQ276" s="192"/>
      <c r="PPR276" s="192"/>
      <c r="PPS276" s="192"/>
      <c r="PPT276" s="192"/>
      <c r="PPU276" s="192"/>
      <c r="PPV276" s="192"/>
      <c r="PPW276" s="192"/>
      <c r="PPX276" s="192"/>
      <c r="PPY276" s="192"/>
      <c r="PPZ276" s="192"/>
      <c r="PQA276" s="192"/>
      <c r="PQB276" s="192"/>
      <c r="PQC276" s="192"/>
      <c r="PQD276" s="192"/>
      <c r="PQE276" s="192"/>
      <c r="PQF276" s="192"/>
      <c r="PQG276" s="192"/>
      <c r="PQH276" s="192"/>
      <c r="PQI276" s="192"/>
      <c r="PQJ276" s="192"/>
      <c r="PQK276" s="192"/>
      <c r="PQL276" s="192"/>
      <c r="PQM276" s="192"/>
      <c r="PQN276" s="192"/>
      <c r="PQO276" s="192"/>
      <c r="PQP276" s="192"/>
      <c r="PQQ276" s="192"/>
      <c r="PQR276" s="192"/>
      <c r="PQS276" s="192"/>
      <c r="PQT276" s="192"/>
      <c r="PQU276" s="192"/>
      <c r="PQV276" s="192"/>
      <c r="PQW276" s="192"/>
      <c r="PQX276" s="192"/>
      <c r="PQY276" s="192"/>
      <c r="PQZ276" s="192"/>
      <c r="PRA276" s="192"/>
      <c r="PRB276" s="192"/>
      <c r="PRC276" s="192"/>
      <c r="PRD276" s="192"/>
      <c r="PRE276" s="192"/>
      <c r="PRF276" s="192"/>
      <c r="PRG276" s="192"/>
      <c r="PRH276" s="192"/>
      <c r="PRI276" s="192"/>
      <c r="PRJ276" s="192"/>
      <c r="PRK276" s="192"/>
      <c r="PRL276" s="192"/>
      <c r="PRM276" s="192"/>
      <c r="PRN276" s="192"/>
      <c r="PRO276" s="192"/>
      <c r="PRP276" s="192"/>
      <c r="PRQ276" s="192"/>
      <c r="PRR276" s="192"/>
      <c r="PRS276" s="192"/>
      <c r="PRT276" s="192"/>
      <c r="PRU276" s="192"/>
      <c r="PRV276" s="192"/>
      <c r="PRW276" s="192"/>
      <c r="PRX276" s="192"/>
      <c r="PRY276" s="192"/>
      <c r="PRZ276" s="192"/>
      <c r="PSA276" s="192"/>
      <c r="PSB276" s="192"/>
      <c r="PSC276" s="192"/>
      <c r="PSD276" s="192"/>
      <c r="PSE276" s="192"/>
      <c r="PSF276" s="192"/>
      <c r="PSG276" s="192"/>
      <c r="PSH276" s="192"/>
      <c r="PSI276" s="192"/>
      <c r="PSJ276" s="192"/>
      <c r="PSK276" s="192"/>
      <c r="PSL276" s="192"/>
      <c r="PSM276" s="192"/>
      <c r="PSN276" s="192"/>
      <c r="PSO276" s="192"/>
      <c r="PSP276" s="192"/>
      <c r="PSQ276" s="192"/>
      <c r="PSR276" s="192"/>
      <c r="PSS276" s="192"/>
      <c r="PST276" s="192"/>
      <c r="PSU276" s="192"/>
      <c r="PSV276" s="192"/>
      <c r="PSW276" s="192"/>
      <c r="PSX276" s="192"/>
      <c r="PSY276" s="192"/>
      <c r="PSZ276" s="192"/>
      <c r="PTA276" s="192"/>
      <c r="PTB276" s="192"/>
      <c r="PTC276" s="192"/>
      <c r="PTD276" s="192"/>
      <c r="PTE276" s="192"/>
      <c r="PTF276" s="192"/>
      <c r="PTG276" s="192"/>
      <c r="PTH276" s="192"/>
      <c r="PTI276" s="192"/>
      <c r="PTJ276" s="192"/>
      <c r="PTK276" s="192"/>
      <c r="PTL276" s="192"/>
      <c r="PTM276" s="192"/>
      <c r="PTN276" s="192"/>
      <c r="PTO276" s="192"/>
      <c r="PTP276" s="192"/>
      <c r="PTQ276" s="192"/>
      <c r="PTR276" s="192"/>
      <c r="PTS276" s="192"/>
      <c r="PTT276" s="192"/>
      <c r="PTU276" s="192"/>
      <c r="PTV276" s="192"/>
      <c r="PTW276" s="192"/>
      <c r="PTX276" s="192"/>
      <c r="PTY276" s="192"/>
      <c r="PTZ276" s="192"/>
      <c r="PUA276" s="192"/>
      <c r="PUB276" s="192"/>
      <c r="PUC276" s="192"/>
      <c r="PUD276" s="192"/>
      <c r="PUE276" s="192"/>
      <c r="PUF276" s="192"/>
      <c r="PUG276" s="192"/>
      <c r="PUH276" s="192"/>
      <c r="PUI276" s="192"/>
      <c r="PUJ276" s="192"/>
      <c r="PUK276" s="192"/>
      <c r="PUL276" s="192"/>
      <c r="PUM276" s="192"/>
      <c r="PUN276" s="192"/>
      <c r="PUO276" s="192"/>
      <c r="PUP276" s="192"/>
      <c r="PUQ276" s="192"/>
      <c r="PUR276" s="192"/>
      <c r="PUS276" s="192"/>
      <c r="PUT276" s="192"/>
      <c r="PUU276" s="192"/>
      <c r="PUV276" s="192"/>
      <c r="PUW276" s="192"/>
      <c r="PUX276" s="192"/>
      <c r="PUY276" s="192"/>
      <c r="PUZ276" s="192"/>
      <c r="PVA276" s="192"/>
      <c r="PVB276" s="192"/>
      <c r="PVC276" s="192"/>
      <c r="PVD276" s="192"/>
      <c r="PVE276" s="192"/>
      <c r="PVF276" s="192"/>
      <c r="PVG276" s="192"/>
      <c r="PVH276" s="192"/>
      <c r="PVI276" s="192"/>
      <c r="PVJ276" s="192"/>
      <c r="PVK276" s="192"/>
      <c r="PVL276" s="192"/>
      <c r="PVM276" s="192"/>
      <c r="PVN276" s="192"/>
      <c r="PVO276" s="192"/>
      <c r="PVP276" s="192"/>
      <c r="PVQ276" s="192"/>
      <c r="PVR276" s="192"/>
      <c r="PVS276" s="192"/>
      <c r="PVT276" s="192"/>
      <c r="PVU276" s="192"/>
      <c r="PVV276" s="192"/>
      <c r="PVW276" s="192"/>
      <c r="PVX276" s="192"/>
      <c r="PVY276" s="192"/>
      <c r="PVZ276" s="192"/>
      <c r="PWA276" s="192"/>
      <c r="PWB276" s="192"/>
      <c r="PWC276" s="192"/>
      <c r="PWD276" s="192"/>
      <c r="PWE276" s="192"/>
      <c r="PWF276" s="192"/>
      <c r="PWG276" s="192"/>
      <c r="PWH276" s="192"/>
      <c r="PWI276" s="192"/>
      <c r="PWJ276" s="192"/>
      <c r="PWK276" s="192"/>
      <c r="PWL276" s="192"/>
      <c r="PWM276" s="192"/>
      <c r="PWN276" s="192"/>
      <c r="PWO276" s="192"/>
      <c r="PWP276" s="192"/>
      <c r="PWQ276" s="192"/>
      <c r="PWR276" s="192"/>
      <c r="PWS276" s="192"/>
      <c r="PWT276" s="192"/>
      <c r="PWU276" s="192"/>
      <c r="PWV276" s="192"/>
      <c r="PWW276" s="192"/>
      <c r="PWX276" s="192"/>
      <c r="PWY276" s="192"/>
      <c r="PWZ276" s="192"/>
      <c r="PXA276" s="192"/>
      <c r="PXB276" s="192"/>
      <c r="PXC276" s="192"/>
      <c r="PXD276" s="192"/>
      <c r="PXE276" s="192"/>
      <c r="PXF276" s="192"/>
      <c r="PXG276" s="192"/>
      <c r="PXH276" s="192"/>
      <c r="PXI276" s="192"/>
      <c r="PXJ276" s="192"/>
      <c r="PXK276" s="192"/>
      <c r="PXL276" s="192"/>
      <c r="PXM276" s="192"/>
      <c r="PXN276" s="192"/>
      <c r="PXO276" s="192"/>
      <c r="PXP276" s="192"/>
      <c r="PXQ276" s="192"/>
      <c r="PXR276" s="192"/>
      <c r="PXS276" s="192"/>
      <c r="PXT276" s="192"/>
      <c r="PXU276" s="192"/>
      <c r="PXV276" s="192"/>
      <c r="PXW276" s="192"/>
      <c r="PXX276" s="192"/>
      <c r="PXY276" s="192"/>
      <c r="PXZ276" s="192"/>
      <c r="PYA276" s="192"/>
      <c r="PYB276" s="192"/>
      <c r="PYC276" s="192"/>
      <c r="PYD276" s="192"/>
      <c r="PYE276" s="192"/>
      <c r="PYF276" s="192"/>
      <c r="PYG276" s="192"/>
      <c r="PYH276" s="192"/>
      <c r="PYI276" s="192"/>
      <c r="PYJ276" s="192"/>
      <c r="PYK276" s="192"/>
      <c r="PYL276" s="192"/>
      <c r="PYM276" s="192"/>
      <c r="PYN276" s="192"/>
      <c r="PYO276" s="192"/>
      <c r="PYP276" s="192"/>
      <c r="PYQ276" s="192"/>
      <c r="PYR276" s="192"/>
      <c r="PYS276" s="192"/>
      <c r="PYT276" s="192"/>
      <c r="PYU276" s="192"/>
      <c r="PYV276" s="192"/>
      <c r="PYW276" s="192"/>
      <c r="PYX276" s="192"/>
      <c r="PYY276" s="192"/>
      <c r="PYZ276" s="192"/>
      <c r="PZA276" s="192"/>
      <c r="PZB276" s="192"/>
      <c r="PZC276" s="192"/>
      <c r="PZD276" s="192"/>
      <c r="PZE276" s="192"/>
      <c r="PZF276" s="192"/>
      <c r="PZG276" s="192"/>
      <c r="PZH276" s="192"/>
      <c r="PZI276" s="192"/>
      <c r="PZJ276" s="192"/>
      <c r="PZK276" s="192"/>
      <c r="PZL276" s="192"/>
      <c r="PZM276" s="192"/>
      <c r="PZN276" s="192"/>
      <c r="PZO276" s="192"/>
      <c r="PZP276" s="192"/>
      <c r="PZQ276" s="192"/>
      <c r="PZR276" s="192"/>
      <c r="PZS276" s="192"/>
      <c r="PZT276" s="192"/>
      <c r="PZU276" s="192"/>
      <c r="PZV276" s="192"/>
      <c r="PZW276" s="192"/>
      <c r="PZX276" s="192"/>
      <c r="PZY276" s="192"/>
      <c r="PZZ276" s="192"/>
      <c r="QAA276" s="192"/>
      <c r="QAB276" s="192"/>
      <c r="QAC276" s="192"/>
      <c r="QAD276" s="192"/>
      <c r="QAE276" s="192"/>
      <c r="QAF276" s="192"/>
      <c r="QAG276" s="192"/>
      <c r="QAH276" s="192"/>
      <c r="QAI276" s="192"/>
      <c r="QAJ276" s="192"/>
      <c r="QAK276" s="192"/>
      <c r="QAL276" s="192"/>
      <c r="QAM276" s="192"/>
      <c r="QAN276" s="192"/>
      <c r="QAO276" s="192"/>
      <c r="QAP276" s="192"/>
      <c r="QAQ276" s="192"/>
      <c r="QAR276" s="192"/>
      <c r="QAS276" s="192"/>
      <c r="QAT276" s="192"/>
      <c r="QAU276" s="192"/>
      <c r="QAV276" s="192"/>
      <c r="QAW276" s="192"/>
      <c r="QAX276" s="192"/>
      <c r="QAY276" s="192"/>
      <c r="QAZ276" s="192"/>
      <c r="QBA276" s="192"/>
      <c r="QBB276" s="192"/>
      <c r="QBC276" s="192"/>
      <c r="QBD276" s="192"/>
      <c r="QBE276" s="192"/>
      <c r="QBF276" s="192"/>
      <c r="QBG276" s="192"/>
      <c r="QBH276" s="192"/>
      <c r="QBI276" s="192"/>
      <c r="QBJ276" s="192"/>
      <c r="QBK276" s="192"/>
      <c r="QBL276" s="192"/>
      <c r="QBM276" s="192"/>
      <c r="QBN276" s="192"/>
      <c r="QBO276" s="192"/>
      <c r="QBP276" s="192"/>
      <c r="QBQ276" s="192"/>
      <c r="QBR276" s="192"/>
      <c r="QBS276" s="192"/>
      <c r="QBT276" s="192"/>
      <c r="QBU276" s="192"/>
      <c r="QBV276" s="192"/>
      <c r="QBW276" s="192"/>
      <c r="QBX276" s="192"/>
      <c r="QBY276" s="192"/>
      <c r="QBZ276" s="192"/>
      <c r="QCA276" s="192"/>
      <c r="QCB276" s="192"/>
      <c r="QCC276" s="192"/>
      <c r="QCD276" s="192"/>
      <c r="QCE276" s="192"/>
      <c r="QCF276" s="192"/>
      <c r="QCG276" s="192"/>
      <c r="QCH276" s="192"/>
      <c r="QCI276" s="192"/>
      <c r="QCJ276" s="192"/>
      <c r="QCK276" s="192"/>
      <c r="QCL276" s="192"/>
      <c r="QCM276" s="192"/>
      <c r="QCN276" s="192"/>
      <c r="QCO276" s="192"/>
      <c r="QCP276" s="192"/>
      <c r="QCQ276" s="192"/>
      <c r="QCR276" s="192"/>
      <c r="QCS276" s="192"/>
      <c r="QCT276" s="192"/>
      <c r="QCU276" s="192"/>
      <c r="QCV276" s="192"/>
      <c r="QCW276" s="192"/>
      <c r="QCX276" s="192"/>
      <c r="QCY276" s="192"/>
      <c r="QCZ276" s="192"/>
      <c r="QDA276" s="192"/>
      <c r="QDB276" s="192"/>
      <c r="QDC276" s="192"/>
      <c r="QDD276" s="192"/>
      <c r="QDE276" s="192"/>
      <c r="QDF276" s="192"/>
      <c r="QDG276" s="192"/>
      <c r="QDH276" s="192"/>
      <c r="QDI276" s="192"/>
      <c r="QDJ276" s="192"/>
      <c r="QDK276" s="192"/>
      <c r="QDL276" s="192"/>
      <c r="QDM276" s="192"/>
      <c r="QDN276" s="192"/>
      <c r="QDO276" s="192"/>
      <c r="QDP276" s="192"/>
      <c r="QDQ276" s="192"/>
      <c r="QDR276" s="192"/>
      <c r="QDS276" s="192"/>
      <c r="QDT276" s="192"/>
      <c r="QDU276" s="192"/>
      <c r="QDV276" s="192"/>
      <c r="QDW276" s="192"/>
      <c r="QDX276" s="192"/>
      <c r="QDY276" s="192"/>
      <c r="QDZ276" s="192"/>
      <c r="QEA276" s="192"/>
      <c r="QEB276" s="192"/>
      <c r="QEC276" s="192"/>
      <c r="QED276" s="192"/>
      <c r="QEE276" s="192"/>
      <c r="QEF276" s="192"/>
      <c r="QEG276" s="192"/>
      <c r="QEH276" s="192"/>
      <c r="QEI276" s="192"/>
      <c r="QEJ276" s="192"/>
      <c r="QEK276" s="192"/>
      <c r="QEL276" s="192"/>
      <c r="QEM276" s="192"/>
      <c r="QEN276" s="192"/>
      <c r="QEO276" s="192"/>
      <c r="QEP276" s="192"/>
      <c r="QEQ276" s="192"/>
      <c r="QER276" s="192"/>
      <c r="QES276" s="192"/>
      <c r="QET276" s="192"/>
      <c r="QEU276" s="192"/>
      <c r="QEV276" s="192"/>
      <c r="QEW276" s="192"/>
      <c r="QEX276" s="192"/>
      <c r="QEY276" s="192"/>
      <c r="QEZ276" s="192"/>
      <c r="QFA276" s="192"/>
      <c r="QFB276" s="192"/>
      <c r="QFC276" s="192"/>
      <c r="QFD276" s="192"/>
      <c r="QFE276" s="192"/>
      <c r="QFF276" s="192"/>
      <c r="QFG276" s="192"/>
      <c r="QFH276" s="192"/>
      <c r="QFI276" s="192"/>
      <c r="QFJ276" s="192"/>
      <c r="QFK276" s="192"/>
      <c r="QFL276" s="192"/>
      <c r="QFM276" s="192"/>
      <c r="QFN276" s="192"/>
      <c r="QFO276" s="192"/>
      <c r="QFP276" s="192"/>
      <c r="QFQ276" s="192"/>
      <c r="QFR276" s="192"/>
      <c r="QFS276" s="192"/>
      <c r="QFT276" s="192"/>
      <c r="QFU276" s="192"/>
      <c r="QFV276" s="192"/>
      <c r="QFW276" s="192"/>
      <c r="QFX276" s="192"/>
      <c r="QFY276" s="192"/>
      <c r="QFZ276" s="192"/>
      <c r="QGA276" s="192"/>
      <c r="QGB276" s="192"/>
      <c r="QGC276" s="192"/>
      <c r="QGD276" s="192"/>
      <c r="QGE276" s="192"/>
      <c r="QGF276" s="192"/>
      <c r="QGG276" s="192"/>
      <c r="QGH276" s="192"/>
      <c r="QGI276" s="192"/>
      <c r="QGJ276" s="192"/>
      <c r="QGK276" s="192"/>
      <c r="QGL276" s="192"/>
      <c r="QGM276" s="192"/>
      <c r="QGN276" s="192"/>
      <c r="QGO276" s="192"/>
      <c r="QGP276" s="192"/>
      <c r="QGQ276" s="192"/>
      <c r="QGR276" s="192"/>
      <c r="QGS276" s="192"/>
      <c r="QGT276" s="192"/>
      <c r="QGU276" s="192"/>
      <c r="QGV276" s="192"/>
      <c r="QGW276" s="192"/>
      <c r="QGX276" s="192"/>
      <c r="QGY276" s="192"/>
      <c r="QGZ276" s="192"/>
      <c r="QHA276" s="192"/>
      <c r="QHB276" s="192"/>
      <c r="QHC276" s="192"/>
      <c r="QHD276" s="192"/>
      <c r="QHE276" s="192"/>
      <c r="QHF276" s="192"/>
      <c r="QHG276" s="192"/>
      <c r="QHH276" s="192"/>
      <c r="QHI276" s="192"/>
      <c r="QHJ276" s="192"/>
      <c r="QHK276" s="192"/>
      <c r="QHL276" s="192"/>
      <c r="QHM276" s="192"/>
      <c r="QHN276" s="192"/>
      <c r="QHO276" s="192"/>
      <c r="QHP276" s="192"/>
      <c r="QHQ276" s="192"/>
      <c r="QHR276" s="192"/>
      <c r="QHS276" s="192"/>
      <c r="QHT276" s="192"/>
      <c r="QHU276" s="192"/>
      <c r="QHV276" s="192"/>
      <c r="QHW276" s="192"/>
      <c r="QHX276" s="192"/>
      <c r="QHY276" s="192"/>
      <c r="QHZ276" s="192"/>
      <c r="QIA276" s="192"/>
      <c r="QIB276" s="192"/>
      <c r="QIC276" s="192"/>
      <c r="QID276" s="192"/>
      <c r="QIE276" s="192"/>
      <c r="QIF276" s="192"/>
      <c r="QIG276" s="192"/>
      <c r="QIH276" s="192"/>
      <c r="QII276" s="192"/>
      <c r="QIJ276" s="192"/>
      <c r="QIK276" s="192"/>
      <c r="QIL276" s="192"/>
      <c r="QIM276" s="192"/>
      <c r="QIN276" s="192"/>
      <c r="QIO276" s="192"/>
      <c r="QIP276" s="192"/>
      <c r="QIQ276" s="192"/>
      <c r="QIR276" s="192"/>
      <c r="QIS276" s="192"/>
      <c r="QIT276" s="192"/>
      <c r="QIU276" s="192"/>
      <c r="QIV276" s="192"/>
      <c r="QIW276" s="192"/>
      <c r="QIX276" s="192"/>
      <c r="QIY276" s="192"/>
      <c r="QIZ276" s="192"/>
      <c r="QJA276" s="192"/>
      <c r="QJB276" s="192"/>
      <c r="QJC276" s="192"/>
      <c r="QJD276" s="192"/>
      <c r="QJE276" s="192"/>
      <c r="QJF276" s="192"/>
      <c r="QJG276" s="192"/>
      <c r="QJH276" s="192"/>
      <c r="QJI276" s="192"/>
      <c r="QJJ276" s="192"/>
      <c r="QJK276" s="192"/>
      <c r="QJL276" s="192"/>
      <c r="QJM276" s="192"/>
      <c r="QJN276" s="192"/>
      <c r="QJO276" s="192"/>
      <c r="QJP276" s="192"/>
      <c r="QJQ276" s="192"/>
      <c r="QJR276" s="192"/>
      <c r="QJS276" s="192"/>
      <c r="QJT276" s="192"/>
      <c r="QJU276" s="192"/>
      <c r="QJV276" s="192"/>
      <c r="QJW276" s="192"/>
      <c r="QJX276" s="192"/>
      <c r="QJY276" s="192"/>
      <c r="QJZ276" s="192"/>
      <c r="QKA276" s="192"/>
      <c r="QKB276" s="192"/>
      <c r="QKC276" s="192"/>
      <c r="QKD276" s="192"/>
      <c r="QKE276" s="192"/>
      <c r="QKF276" s="192"/>
      <c r="QKG276" s="192"/>
      <c r="QKH276" s="192"/>
      <c r="QKI276" s="192"/>
      <c r="QKJ276" s="192"/>
      <c r="QKK276" s="192"/>
      <c r="QKL276" s="192"/>
      <c r="QKM276" s="192"/>
      <c r="QKN276" s="192"/>
      <c r="QKO276" s="192"/>
      <c r="QKP276" s="192"/>
      <c r="QKQ276" s="192"/>
      <c r="QKR276" s="192"/>
      <c r="QKS276" s="192"/>
      <c r="QKT276" s="192"/>
      <c r="QKU276" s="192"/>
      <c r="QKV276" s="192"/>
      <c r="QKW276" s="192"/>
      <c r="QKX276" s="192"/>
      <c r="QKY276" s="192"/>
      <c r="QKZ276" s="192"/>
      <c r="QLA276" s="192"/>
      <c r="QLB276" s="192"/>
      <c r="QLC276" s="192"/>
      <c r="QLD276" s="192"/>
      <c r="QLE276" s="192"/>
      <c r="QLF276" s="192"/>
      <c r="QLG276" s="192"/>
      <c r="QLH276" s="192"/>
      <c r="QLI276" s="192"/>
      <c r="QLJ276" s="192"/>
      <c r="QLK276" s="192"/>
      <c r="QLL276" s="192"/>
      <c r="QLM276" s="192"/>
      <c r="QLN276" s="192"/>
      <c r="QLO276" s="192"/>
      <c r="QLP276" s="192"/>
      <c r="QLQ276" s="192"/>
      <c r="QLR276" s="192"/>
      <c r="QLS276" s="192"/>
      <c r="QLT276" s="192"/>
      <c r="QLU276" s="192"/>
      <c r="QLV276" s="192"/>
      <c r="QLW276" s="192"/>
      <c r="QLX276" s="192"/>
      <c r="QLY276" s="192"/>
      <c r="QLZ276" s="192"/>
      <c r="QMA276" s="192"/>
      <c r="QMB276" s="192"/>
      <c r="QMC276" s="192"/>
      <c r="QMD276" s="192"/>
      <c r="QME276" s="192"/>
      <c r="QMF276" s="192"/>
      <c r="QMG276" s="192"/>
      <c r="QMH276" s="192"/>
      <c r="QMI276" s="192"/>
      <c r="QMJ276" s="192"/>
      <c r="QMK276" s="192"/>
      <c r="QML276" s="192"/>
      <c r="QMM276" s="192"/>
      <c r="QMN276" s="192"/>
      <c r="QMO276" s="192"/>
      <c r="QMP276" s="192"/>
      <c r="QMQ276" s="192"/>
      <c r="QMR276" s="192"/>
      <c r="QMS276" s="192"/>
      <c r="QMT276" s="192"/>
      <c r="QMU276" s="192"/>
      <c r="QMV276" s="192"/>
      <c r="QMW276" s="192"/>
      <c r="QMX276" s="192"/>
      <c r="QMY276" s="192"/>
      <c r="QMZ276" s="192"/>
      <c r="QNA276" s="192"/>
      <c r="QNB276" s="192"/>
      <c r="QNC276" s="192"/>
      <c r="QND276" s="192"/>
      <c r="QNE276" s="192"/>
      <c r="QNF276" s="192"/>
      <c r="QNG276" s="192"/>
      <c r="QNH276" s="192"/>
      <c r="QNI276" s="192"/>
      <c r="QNJ276" s="192"/>
      <c r="QNK276" s="192"/>
      <c r="QNL276" s="192"/>
      <c r="QNM276" s="192"/>
      <c r="QNN276" s="192"/>
      <c r="QNO276" s="192"/>
      <c r="QNP276" s="192"/>
      <c r="QNQ276" s="192"/>
      <c r="QNR276" s="192"/>
      <c r="QNS276" s="192"/>
      <c r="QNT276" s="192"/>
      <c r="QNU276" s="192"/>
      <c r="QNV276" s="192"/>
      <c r="QNW276" s="192"/>
      <c r="QNX276" s="192"/>
      <c r="QNY276" s="192"/>
      <c r="QNZ276" s="192"/>
      <c r="QOA276" s="192"/>
      <c r="QOB276" s="192"/>
      <c r="QOC276" s="192"/>
      <c r="QOD276" s="192"/>
      <c r="QOE276" s="192"/>
      <c r="QOF276" s="192"/>
      <c r="QOG276" s="192"/>
      <c r="QOH276" s="192"/>
      <c r="QOI276" s="192"/>
      <c r="QOJ276" s="192"/>
      <c r="QOK276" s="192"/>
      <c r="QOL276" s="192"/>
      <c r="QOM276" s="192"/>
      <c r="QON276" s="192"/>
      <c r="QOO276" s="192"/>
      <c r="QOP276" s="192"/>
      <c r="QOQ276" s="192"/>
      <c r="QOR276" s="192"/>
      <c r="QOS276" s="192"/>
      <c r="QOT276" s="192"/>
      <c r="QOU276" s="192"/>
      <c r="QOV276" s="192"/>
      <c r="QOW276" s="192"/>
      <c r="QOX276" s="192"/>
      <c r="QOY276" s="192"/>
      <c r="QOZ276" s="192"/>
      <c r="QPA276" s="192"/>
      <c r="QPB276" s="192"/>
      <c r="QPC276" s="192"/>
      <c r="QPD276" s="192"/>
      <c r="QPE276" s="192"/>
      <c r="QPF276" s="192"/>
      <c r="QPG276" s="192"/>
      <c r="QPH276" s="192"/>
      <c r="QPI276" s="192"/>
      <c r="QPJ276" s="192"/>
      <c r="QPK276" s="192"/>
      <c r="QPL276" s="192"/>
      <c r="QPM276" s="192"/>
      <c r="QPN276" s="192"/>
      <c r="QPO276" s="192"/>
      <c r="QPP276" s="192"/>
      <c r="QPQ276" s="192"/>
      <c r="QPR276" s="192"/>
      <c r="QPS276" s="192"/>
      <c r="QPT276" s="192"/>
      <c r="QPU276" s="192"/>
      <c r="QPV276" s="192"/>
      <c r="QPW276" s="192"/>
      <c r="QPX276" s="192"/>
      <c r="QPY276" s="192"/>
      <c r="QPZ276" s="192"/>
      <c r="QQA276" s="192"/>
      <c r="QQB276" s="192"/>
      <c r="QQC276" s="192"/>
      <c r="QQD276" s="192"/>
      <c r="QQE276" s="192"/>
      <c r="QQF276" s="192"/>
      <c r="QQG276" s="192"/>
      <c r="QQH276" s="192"/>
      <c r="QQI276" s="192"/>
      <c r="QQJ276" s="192"/>
      <c r="QQK276" s="192"/>
      <c r="QQL276" s="192"/>
      <c r="QQM276" s="192"/>
      <c r="QQN276" s="192"/>
      <c r="QQO276" s="192"/>
      <c r="QQP276" s="192"/>
      <c r="QQQ276" s="192"/>
      <c r="QQR276" s="192"/>
      <c r="QQS276" s="192"/>
      <c r="QQT276" s="192"/>
      <c r="QQU276" s="192"/>
      <c r="QQV276" s="192"/>
      <c r="QQW276" s="192"/>
      <c r="QQX276" s="192"/>
      <c r="QQY276" s="192"/>
      <c r="QQZ276" s="192"/>
      <c r="QRA276" s="192"/>
      <c r="QRB276" s="192"/>
      <c r="QRC276" s="192"/>
      <c r="QRD276" s="192"/>
      <c r="QRE276" s="192"/>
      <c r="QRF276" s="192"/>
      <c r="QRG276" s="192"/>
      <c r="QRH276" s="192"/>
      <c r="QRI276" s="192"/>
      <c r="QRJ276" s="192"/>
      <c r="QRK276" s="192"/>
      <c r="QRL276" s="192"/>
      <c r="QRM276" s="192"/>
      <c r="QRN276" s="192"/>
      <c r="QRO276" s="192"/>
      <c r="QRP276" s="192"/>
      <c r="QRQ276" s="192"/>
      <c r="QRR276" s="192"/>
      <c r="QRS276" s="192"/>
      <c r="QRT276" s="192"/>
      <c r="QRU276" s="192"/>
      <c r="QRV276" s="192"/>
      <c r="QRW276" s="192"/>
      <c r="QRX276" s="192"/>
      <c r="QRY276" s="192"/>
      <c r="QRZ276" s="192"/>
      <c r="QSA276" s="192"/>
      <c r="QSB276" s="192"/>
      <c r="QSC276" s="192"/>
      <c r="QSD276" s="192"/>
      <c r="QSE276" s="192"/>
      <c r="QSF276" s="192"/>
      <c r="QSG276" s="192"/>
      <c r="QSH276" s="192"/>
      <c r="QSI276" s="192"/>
      <c r="QSJ276" s="192"/>
      <c r="QSK276" s="192"/>
      <c r="QSL276" s="192"/>
      <c r="QSM276" s="192"/>
      <c r="QSN276" s="192"/>
      <c r="QSO276" s="192"/>
      <c r="QSP276" s="192"/>
      <c r="QSQ276" s="192"/>
      <c r="QSR276" s="192"/>
      <c r="QSS276" s="192"/>
      <c r="QST276" s="192"/>
      <c r="QSU276" s="192"/>
      <c r="QSV276" s="192"/>
      <c r="QSW276" s="192"/>
      <c r="QSX276" s="192"/>
      <c r="QSY276" s="192"/>
      <c r="QSZ276" s="192"/>
      <c r="QTA276" s="192"/>
      <c r="QTB276" s="192"/>
      <c r="QTC276" s="192"/>
      <c r="QTD276" s="192"/>
      <c r="QTE276" s="192"/>
      <c r="QTF276" s="192"/>
      <c r="QTG276" s="192"/>
      <c r="QTH276" s="192"/>
      <c r="QTI276" s="192"/>
      <c r="QTJ276" s="192"/>
      <c r="QTK276" s="192"/>
      <c r="QTL276" s="192"/>
      <c r="QTM276" s="192"/>
      <c r="QTN276" s="192"/>
      <c r="QTO276" s="192"/>
      <c r="QTP276" s="192"/>
      <c r="QTQ276" s="192"/>
      <c r="QTR276" s="192"/>
      <c r="QTS276" s="192"/>
      <c r="QTT276" s="192"/>
      <c r="QTU276" s="192"/>
      <c r="QTV276" s="192"/>
      <c r="QTW276" s="192"/>
      <c r="QTX276" s="192"/>
      <c r="QTY276" s="192"/>
      <c r="QTZ276" s="192"/>
      <c r="QUA276" s="192"/>
      <c r="QUB276" s="192"/>
      <c r="QUC276" s="192"/>
      <c r="QUD276" s="192"/>
      <c r="QUE276" s="192"/>
      <c r="QUF276" s="192"/>
      <c r="QUG276" s="192"/>
      <c r="QUH276" s="192"/>
      <c r="QUI276" s="192"/>
      <c r="QUJ276" s="192"/>
      <c r="QUK276" s="192"/>
      <c r="QUL276" s="192"/>
      <c r="QUM276" s="192"/>
      <c r="QUN276" s="192"/>
      <c r="QUO276" s="192"/>
      <c r="QUP276" s="192"/>
      <c r="QUQ276" s="192"/>
      <c r="QUR276" s="192"/>
      <c r="QUS276" s="192"/>
      <c r="QUT276" s="192"/>
      <c r="QUU276" s="192"/>
      <c r="QUV276" s="192"/>
      <c r="QUW276" s="192"/>
      <c r="QUX276" s="192"/>
      <c r="QUY276" s="192"/>
      <c r="QUZ276" s="192"/>
      <c r="QVA276" s="192"/>
      <c r="QVB276" s="192"/>
      <c r="QVC276" s="192"/>
      <c r="QVD276" s="192"/>
      <c r="QVE276" s="192"/>
      <c r="QVF276" s="192"/>
      <c r="QVG276" s="192"/>
      <c r="QVH276" s="192"/>
      <c r="QVI276" s="192"/>
      <c r="QVJ276" s="192"/>
      <c r="QVK276" s="192"/>
      <c r="QVL276" s="192"/>
      <c r="QVM276" s="192"/>
      <c r="QVN276" s="192"/>
      <c r="QVO276" s="192"/>
      <c r="QVP276" s="192"/>
      <c r="QVQ276" s="192"/>
      <c r="QVR276" s="192"/>
      <c r="QVS276" s="192"/>
      <c r="QVT276" s="192"/>
      <c r="QVU276" s="192"/>
      <c r="QVV276" s="192"/>
      <c r="QVW276" s="192"/>
      <c r="QVX276" s="192"/>
      <c r="QVY276" s="192"/>
      <c r="QVZ276" s="192"/>
      <c r="QWA276" s="192"/>
      <c r="QWB276" s="192"/>
      <c r="QWC276" s="192"/>
      <c r="QWD276" s="192"/>
      <c r="QWE276" s="192"/>
      <c r="QWF276" s="192"/>
      <c r="QWG276" s="192"/>
      <c r="QWH276" s="192"/>
      <c r="QWI276" s="192"/>
      <c r="QWJ276" s="192"/>
      <c r="QWK276" s="192"/>
      <c r="QWL276" s="192"/>
      <c r="QWM276" s="192"/>
      <c r="QWN276" s="192"/>
      <c r="QWO276" s="192"/>
      <c r="QWP276" s="192"/>
      <c r="QWQ276" s="192"/>
      <c r="QWR276" s="192"/>
      <c r="QWS276" s="192"/>
      <c r="QWT276" s="192"/>
      <c r="QWU276" s="192"/>
      <c r="QWV276" s="192"/>
      <c r="QWW276" s="192"/>
      <c r="QWX276" s="192"/>
      <c r="QWY276" s="192"/>
      <c r="QWZ276" s="192"/>
      <c r="QXA276" s="192"/>
      <c r="QXB276" s="192"/>
      <c r="QXC276" s="192"/>
      <c r="QXD276" s="192"/>
      <c r="QXE276" s="192"/>
      <c r="QXF276" s="192"/>
      <c r="QXG276" s="192"/>
      <c r="QXH276" s="192"/>
      <c r="QXI276" s="192"/>
      <c r="QXJ276" s="192"/>
      <c r="QXK276" s="192"/>
      <c r="QXL276" s="192"/>
      <c r="QXM276" s="192"/>
      <c r="QXN276" s="192"/>
      <c r="QXO276" s="192"/>
      <c r="QXP276" s="192"/>
      <c r="QXQ276" s="192"/>
      <c r="QXR276" s="192"/>
      <c r="QXS276" s="192"/>
      <c r="QXT276" s="192"/>
      <c r="QXU276" s="192"/>
      <c r="QXV276" s="192"/>
      <c r="QXW276" s="192"/>
      <c r="QXX276" s="192"/>
      <c r="QXY276" s="192"/>
      <c r="QXZ276" s="192"/>
      <c r="QYA276" s="192"/>
      <c r="QYB276" s="192"/>
      <c r="QYC276" s="192"/>
      <c r="QYD276" s="192"/>
      <c r="QYE276" s="192"/>
      <c r="QYF276" s="192"/>
      <c r="QYG276" s="192"/>
      <c r="QYH276" s="192"/>
      <c r="QYI276" s="192"/>
      <c r="QYJ276" s="192"/>
      <c r="QYK276" s="192"/>
      <c r="QYL276" s="192"/>
      <c r="QYM276" s="192"/>
      <c r="QYN276" s="192"/>
      <c r="QYO276" s="192"/>
      <c r="QYP276" s="192"/>
      <c r="QYQ276" s="192"/>
      <c r="QYR276" s="192"/>
      <c r="QYS276" s="192"/>
      <c r="QYT276" s="192"/>
      <c r="QYU276" s="192"/>
      <c r="QYV276" s="192"/>
      <c r="QYW276" s="192"/>
      <c r="QYX276" s="192"/>
      <c r="QYY276" s="192"/>
      <c r="QYZ276" s="192"/>
      <c r="QZA276" s="192"/>
      <c r="QZB276" s="192"/>
      <c r="QZC276" s="192"/>
      <c r="QZD276" s="192"/>
      <c r="QZE276" s="192"/>
      <c r="QZF276" s="192"/>
      <c r="QZG276" s="192"/>
      <c r="QZH276" s="192"/>
      <c r="QZI276" s="192"/>
      <c r="QZJ276" s="192"/>
      <c r="QZK276" s="192"/>
      <c r="QZL276" s="192"/>
      <c r="QZM276" s="192"/>
      <c r="QZN276" s="192"/>
      <c r="QZO276" s="192"/>
      <c r="QZP276" s="192"/>
      <c r="QZQ276" s="192"/>
      <c r="QZR276" s="192"/>
      <c r="QZS276" s="192"/>
      <c r="QZT276" s="192"/>
      <c r="QZU276" s="192"/>
      <c r="QZV276" s="192"/>
      <c r="QZW276" s="192"/>
      <c r="QZX276" s="192"/>
      <c r="QZY276" s="192"/>
      <c r="QZZ276" s="192"/>
      <c r="RAA276" s="192"/>
      <c r="RAB276" s="192"/>
      <c r="RAC276" s="192"/>
      <c r="RAD276" s="192"/>
      <c r="RAE276" s="192"/>
      <c r="RAF276" s="192"/>
      <c r="RAG276" s="192"/>
      <c r="RAH276" s="192"/>
      <c r="RAI276" s="192"/>
      <c r="RAJ276" s="192"/>
      <c r="RAK276" s="192"/>
      <c r="RAL276" s="192"/>
      <c r="RAM276" s="192"/>
      <c r="RAN276" s="192"/>
      <c r="RAO276" s="192"/>
      <c r="RAP276" s="192"/>
      <c r="RAQ276" s="192"/>
      <c r="RAR276" s="192"/>
      <c r="RAS276" s="192"/>
      <c r="RAT276" s="192"/>
      <c r="RAU276" s="192"/>
      <c r="RAV276" s="192"/>
      <c r="RAW276" s="192"/>
      <c r="RAX276" s="192"/>
      <c r="RAY276" s="192"/>
      <c r="RAZ276" s="192"/>
      <c r="RBA276" s="192"/>
      <c r="RBB276" s="192"/>
      <c r="RBC276" s="192"/>
      <c r="RBD276" s="192"/>
      <c r="RBE276" s="192"/>
      <c r="RBF276" s="192"/>
      <c r="RBG276" s="192"/>
      <c r="RBH276" s="192"/>
      <c r="RBI276" s="192"/>
      <c r="RBJ276" s="192"/>
      <c r="RBK276" s="192"/>
      <c r="RBL276" s="192"/>
      <c r="RBM276" s="192"/>
      <c r="RBN276" s="192"/>
      <c r="RBO276" s="192"/>
      <c r="RBP276" s="192"/>
      <c r="RBQ276" s="192"/>
      <c r="RBR276" s="192"/>
      <c r="RBS276" s="192"/>
      <c r="RBT276" s="192"/>
      <c r="RBU276" s="192"/>
      <c r="RBV276" s="192"/>
      <c r="RBW276" s="192"/>
      <c r="RBX276" s="192"/>
      <c r="RBY276" s="192"/>
      <c r="RBZ276" s="192"/>
      <c r="RCA276" s="192"/>
      <c r="RCB276" s="192"/>
      <c r="RCC276" s="192"/>
      <c r="RCD276" s="192"/>
      <c r="RCE276" s="192"/>
      <c r="RCF276" s="192"/>
      <c r="RCG276" s="192"/>
      <c r="RCH276" s="192"/>
      <c r="RCI276" s="192"/>
      <c r="RCJ276" s="192"/>
      <c r="RCK276" s="192"/>
      <c r="RCL276" s="192"/>
      <c r="RCM276" s="192"/>
      <c r="RCN276" s="192"/>
      <c r="RCO276" s="192"/>
      <c r="RCP276" s="192"/>
      <c r="RCQ276" s="192"/>
      <c r="RCR276" s="192"/>
      <c r="RCS276" s="192"/>
      <c r="RCT276" s="192"/>
      <c r="RCU276" s="192"/>
      <c r="RCV276" s="192"/>
      <c r="RCW276" s="192"/>
      <c r="RCX276" s="192"/>
      <c r="RCY276" s="192"/>
      <c r="RCZ276" s="192"/>
      <c r="RDA276" s="192"/>
      <c r="RDB276" s="192"/>
      <c r="RDC276" s="192"/>
      <c r="RDD276" s="192"/>
      <c r="RDE276" s="192"/>
      <c r="RDF276" s="192"/>
      <c r="RDG276" s="192"/>
      <c r="RDH276" s="192"/>
      <c r="RDI276" s="192"/>
      <c r="RDJ276" s="192"/>
      <c r="RDK276" s="192"/>
      <c r="RDL276" s="192"/>
      <c r="RDM276" s="192"/>
      <c r="RDN276" s="192"/>
      <c r="RDO276" s="192"/>
      <c r="RDP276" s="192"/>
      <c r="RDQ276" s="192"/>
      <c r="RDR276" s="192"/>
      <c r="RDS276" s="192"/>
      <c r="RDT276" s="192"/>
      <c r="RDU276" s="192"/>
      <c r="RDV276" s="192"/>
      <c r="RDW276" s="192"/>
      <c r="RDX276" s="192"/>
      <c r="RDY276" s="192"/>
      <c r="RDZ276" s="192"/>
      <c r="REA276" s="192"/>
      <c r="REB276" s="192"/>
      <c r="REC276" s="192"/>
      <c r="RED276" s="192"/>
      <c r="REE276" s="192"/>
      <c r="REF276" s="192"/>
      <c r="REG276" s="192"/>
      <c r="REH276" s="192"/>
      <c r="REI276" s="192"/>
      <c r="REJ276" s="192"/>
      <c r="REK276" s="192"/>
      <c r="REL276" s="192"/>
      <c r="REM276" s="192"/>
      <c r="REN276" s="192"/>
      <c r="REO276" s="192"/>
      <c r="REP276" s="192"/>
      <c r="REQ276" s="192"/>
      <c r="RER276" s="192"/>
      <c r="RES276" s="192"/>
      <c r="RET276" s="192"/>
      <c r="REU276" s="192"/>
      <c r="REV276" s="192"/>
      <c r="REW276" s="192"/>
      <c r="REX276" s="192"/>
      <c r="REY276" s="192"/>
      <c r="REZ276" s="192"/>
      <c r="RFA276" s="192"/>
      <c r="RFB276" s="192"/>
      <c r="RFC276" s="192"/>
      <c r="RFD276" s="192"/>
      <c r="RFE276" s="192"/>
      <c r="RFF276" s="192"/>
      <c r="RFG276" s="192"/>
      <c r="RFH276" s="192"/>
      <c r="RFI276" s="192"/>
      <c r="RFJ276" s="192"/>
      <c r="RFK276" s="192"/>
      <c r="RFL276" s="192"/>
      <c r="RFM276" s="192"/>
      <c r="RFN276" s="192"/>
      <c r="RFO276" s="192"/>
      <c r="RFP276" s="192"/>
      <c r="RFQ276" s="192"/>
      <c r="RFR276" s="192"/>
      <c r="RFS276" s="192"/>
      <c r="RFT276" s="192"/>
      <c r="RFU276" s="192"/>
      <c r="RFV276" s="192"/>
      <c r="RFW276" s="192"/>
      <c r="RFX276" s="192"/>
      <c r="RFY276" s="192"/>
      <c r="RFZ276" s="192"/>
      <c r="RGA276" s="192"/>
      <c r="RGB276" s="192"/>
      <c r="RGC276" s="192"/>
      <c r="RGD276" s="192"/>
      <c r="RGE276" s="192"/>
      <c r="RGF276" s="192"/>
      <c r="RGG276" s="192"/>
      <c r="RGH276" s="192"/>
      <c r="RGI276" s="192"/>
      <c r="RGJ276" s="192"/>
      <c r="RGK276" s="192"/>
      <c r="RGL276" s="192"/>
      <c r="RGM276" s="192"/>
      <c r="RGN276" s="192"/>
      <c r="RGO276" s="192"/>
      <c r="RGP276" s="192"/>
      <c r="RGQ276" s="192"/>
      <c r="RGR276" s="192"/>
      <c r="RGS276" s="192"/>
      <c r="RGT276" s="192"/>
      <c r="RGU276" s="192"/>
      <c r="RGV276" s="192"/>
      <c r="RGW276" s="192"/>
      <c r="RGX276" s="192"/>
      <c r="RGY276" s="192"/>
      <c r="RGZ276" s="192"/>
      <c r="RHA276" s="192"/>
      <c r="RHB276" s="192"/>
      <c r="RHC276" s="192"/>
      <c r="RHD276" s="192"/>
      <c r="RHE276" s="192"/>
      <c r="RHF276" s="192"/>
      <c r="RHG276" s="192"/>
      <c r="RHH276" s="192"/>
      <c r="RHI276" s="192"/>
      <c r="RHJ276" s="192"/>
      <c r="RHK276" s="192"/>
      <c r="RHL276" s="192"/>
      <c r="RHM276" s="192"/>
      <c r="RHN276" s="192"/>
      <c r="RHO276" s="192"/>
      <c r="RHP276" s="192"/>
      <c r="RHQ276" s="192"/>
      <c r="RHR276" s="192"/>
      <c r="RHS276" s="192"/>
      <c r="RHT276" s="192"/>
      <c r="RHU276" s="192"/>
      <c r="RHV276" s="192"/>
      <c r="RHW276" s="192"/>
      <c r="RHX276" s="192"/>
      <c r="RHY276" s="192"/>
      <c r="RHZ276" s="192"/>
      <c r="RIA276" s="192"/>
      <c r="RIB276" s="192"/>
      <c r="RIC276" s="192"/>
      <c r="RID276" s="192"/>
      <c r="RIE276" s="192"/>
      <c r="RIF276" s="192"/>
      <c r="RIG276" s="192"/>
      <c r="RIH276" s="192"/>
      <c r="RII276" s="192"/>
      <c r="RIJ276" s="192"/>
      <c r="RIK276" s="192"/>
      <c r="RIL276" s="192"/>
      <c r="RIM276" s="192"/>
      <c r="RIN276" s="192"/>
      <c r="RIO276" s="192"/>
      <c r="RIP276" s="192"/>
      <c r="RIQ276" s="192"/>
      <c r="RIR276" s="192"/>
      <c r="RIS276" s="192"/>
      <c r="RIT276" s="192"/>
      <c r="RIU276" s="192"/>
      <c r="RIV276" s="192"/>
      <c r="RIW276" s="192"/>
      <c r="RIX276" s="192"/>
      <c r="RIY276" s="192"/>
      <c r="RIZ276" s="192"/>
      <c r="RJA276" s="192"/>
      <c r="RJB276" s="192"/>
      <c r="RJC276" s="192"/>
      <c r="RJD276" s="192"/>
      <c r="RJE276" s="192"/>
      <c r="RJF276" s="192"/>
      <c r="RJG276" s="192"/>
      <c r="RJH276" s="192"/>
      <c r="RJI276" s="192"/>
      <c r="RJJ276" s="192"/>
      <c r="RJK276" s="192"/>
      <c r="RJL276" s="192"/>
      <c r="RJM276" s="192"/>
      <c r="RJN276" s="192"/>
      <c r="RJO276" s="192"/>
      <c r="RJP276" s="192"/>
      <c r="RJQ276" s="192"/>
      <c r="RJR276" s="192"/>
      <c r="RJS276" s="192"/>
      <c r="RJT276" s="192"/>
      <c r="RJU276" s="192"/>
      <c r="RJV276" s="192"/>
      <c r="RJW276" s="192"/>
      <c r="RJX276" s="192"/>
      <c r="RJY276" s="192"/>
      <c r="RJZ276" s="192"/>
      <c r="RKA276" s="192"/>
      <c r="RKB276" s="192"/>
      <c r="RKC276" s="192"/>
      <c r="RKD276" s="192"/>
      <c r="RKE276" s="192"/>
      <c r="RKF276" s="192"/>
      <c r="RKG276" s="192"/>
      <c r="RKH276" s="192"/>
      <c r="RKI276" s="192"/>
      <c r="RKJ276" s="192"/>
      <c r="RKK276" s="192"/>
      <c r="RKL276" s="192"/>
      <c r="RKM276" s="192"/>
      <c r="RKN276" s="192"/>
      <c r="RKO276" s="192"/>
      <c r="RKP276" s="192"/>
      <c r="RKQ276" s="192"/>
      <c r="RKR276" s="192"/>
      <c r="RKS276" s="192"/>
      <c r="RKT276" s="192"/>
      <c r="RKU276" s="192"/>
      <c r="RKV276" s="192"/>
      <c r="RKW276" s="192"/>
      <c r="RKX276" s="192"/>
      <c r="RKY276" s="192"/>
      <c r="RKZ276" s="192"/>
      <c r="RLA276" s="192"/>
      <c r="RLB276" s="192"/>
      <c r="RLC276" s="192"/>
      <c r="RLD276" s="192"/>
      <c r="RLE276" s="192"/>
      <c r="RLF276" s="192"/>
      <c r="RLG276" s="192"/>
      <c r="RLH276" s="192"/>
      <c r="RLI276" s="192"/>
      <c r="RLJ276" s="192"/>
      <c r="RLK276" s="192"/>
      <c r="RLL276" s="192"/>
      <c r="RLM276" s="192"/>
      <c r="RLN276" s="192"/>
      <c r="RLO276" s="192"/>
      <c r="RLP276" s="192"/>
      <c r="RLQ276" s="192"/>
      <c r="RLR276" s="192"/>
      <c r="RLS276" s="192"/>
      <c r="RLT276" s="192"/>
      <c r="RLU276" s="192"/>
      <c r="RLV276" s="192"/>
      <c r="RLW276" s="192"/>
      <c r="RLX276" s="192"/>
      <c r="RLY276" s="192"/>
      <c r="RLZ276" s="192"/>
      <c r="RMA276" s="192"/>
      <c r="RMB276" s="192"/>
      <c r="RMC276" s="192"/>
      <c r="RMD276" s="192"/>
      <c r="RME276" s="192"/>
      <c r="RMF276" s="192"/>
      <c r="RMG276" s="192"/>
      <c r="RMH276" s="192"/>
      <c r="RMI276" s="192"/>
      <c r="RMJ276" s="192"/>
      <c r="RMK276" s="192"/>
      <c r="RML276" s="192"/>
      <c r="RMM276" s="192"/>
      <c r="RMN276" s="192"/>
      <c r="RMO276" s="192"/>
      <c r="RMP276" s="192"/>
      <c r="RMQ276" s="192"/>
      <c r="RMR276" s="192"/>
      <c r="RMS276" s="192"/>
      <c r="RMT276" s="192"/>
      <c r="RMU276" s="192"/>
      <c r="RMV276" s="192"/>
      <c r="RMW276" s="192"/>
      <c r="RMX276" s="192"/>
      <c r="RMY276" s="192"/>
      <c r="RMZ276" s="192"/>
      <c r="RNA276" s="192"/>
      <c r="RNB276" s="192"/>
      <c r="RNC276" s="192"/>
      <c r="RND276" s="192"/>
      <c r="RNE276" s="192"/>
      <c r="RNF276" s="192"/>
      <c r="RNG276" s="192"/>
      <c r="RNH276" s="192"/>
      <c r="RNI276" s="192"/>
      <c r="RNJ276" s="192"/>
      <c r="RNK276" s="192"/>
      <c r="RNL276" s="192"/>
      <c r="RNM276" s="192"/>
      <c r="RNN276" s="192"/>
      <c r="RNO276" s="192"/>
      <c r="RNP276" s="192"/>
      <c r="RNQ276" s="192"/>
      <c r="RNR276" s="192"/>
      <c r="RNS276" s="192"/>
      <c r="RNT276" s="192"/>
      <c r="RNU276" s="192"/>
      <c r="RNV276" s="192"/>
      <c r="RNW276" s="192"/>
      <c r="RNX276" s="192"/>
      <c r="RNY276" s="192"/>
      <c r="RNZ276" s="192"/>
      <c r="ROA276" s="192"/>
      <c r="ROB276" s="192"/>
      <c r="ROC276" s="192"/>
      <c r="ROD276" s="192"/>
      <c r="ROE276" s="192"/>
      <c r="ROF276" s="192"/>
      <c r="ROG276" s="192"/>
      <c r="ROH276" s="192"/>
      <c r="ROI276" s="192"/>
      <c r="ROJ276" s="192"/>
      <c r="ROK276" s="192"/>
      <c r="ROL276" s="192"/>
      <c r="ROM276" s="192"/>
      <c r="RON276" s="192"/>
      <c r="ROO276" s="192"/>
      <c r="ROP276" s="192"/>
      <c r="ROQ276" s="192"/>
      <c r="ROR276" s="192"/>
      <c r="ROS276" s="192"/>
      <c r="ROT276" s="192"/>
      <c r="ROU276" s="192"/>
      <c r="ROV276" s="192"/>
      <c r="ROW276" s="192"/>
      <c r="ROX276" s="192"/>
      <c r="ROY276" s="192"/>
      <c r="ROZ276" s="192"/>
      <c r="RPA276" s="192"/>
      <c r="RPB276" s="192"/>
      <c r="RPC276" s="192"/>
      <c r="RPD276" s="192"/>
      <c r="RPE276" s="192"/>
      <c r="RPF276" s="192"/>
      <c r="RPG276" s="192"/>
      <c r="RPH276" s="192"/>
      <c r="RPI276" s="192"/>
      <c r="RPJ276" s="192"/>
      <c r="RPK276" s="192"/>
      <c r="RPL276" s="192"/>
      <c r="RPM276" s="192"/>
      <c r="RPN276" s="192"/>
      <c r="RPO276" s="192"/>
      <c r="RPP276" s="192"/>
      <c r="RPQ276" s="192"/>
      <c r="RPR276" s="192"/>
      <c r="RPS276" s="192"/>
      <c r="RPT276" s="192"/>
      <c r="RPU276" s="192"/>
      <c r="RPV276" s="192"/>
      <c r="RPW276" s="192"/>
      <c r="RPX276" s="192"/>
      <c r="RPY276" s="192"/>
      <c r="RPZ276" s="192"/>
      <c r="RQA276" s="192"/>
      <c r="RQB276" s="192"/>
      <c r="RQC276" s="192"/>
      <c r="RQD276" s="192"/>
      <c r="RQE276" s="192"/>
      <c r="RQF276" s="192"/>
      <c r="RQG276" s="192"/>
      <c r="RQH276" s="192"/>
      <c r="RQI276" s="192"/>
      <c r="RQJ276" s="192"/>
      <c r="RQK276" s="192"/>
      <c r="RQL276" s="192"/>
      <c r="RQM276" s="192"/>
      <c r="RQN276" s="192"/>
      <c r="RQO276" s="192"/>
      <c r="RQP276" s="192"/>
      <c r="RQQ276" s="192"/>
      <c r="RQR276" s="192"/>
      <c r="RQS276" s="192"/>
      <c r="RQT276" s="192"/>
      <c r="RQU276" s="192"/>
      <c r="RQV276" s="192"/>
      <c r="RQW276" s="192"/>
      <c r="RQX276" s="192"/>
      <c r="RQY276" s="192"/>
      <c r="RQZ276" s="192"/>
      <c r="RRA276" s="192"/>
      <c r="RRB276" s="192"/>
      <c r="RRC276" s="192"/>
      <c r="RRD276" s="192"/>
      <c r="RRE276" s="192"/>
      <c r="RRF276" s="192"/>
      <c r="RRG276" s="192"/>
      <c r="RRH276" s="192"/>
      <c r="RRI276" s="192"/>
      <c r="RRJ276" s="192"/>
      <c r="RRK276" s="192"/>
      <c r="RRL276" s="192"/>
      <c r="RRM276" s="192"/>
      <c r="RRN276" s="192"/>
      <c r="RRO276" s="192"/>
      <c r="RRP276" s="192"/>
      <c r="RRQ276" s="192"/>
      <c r="RRR276" s="192"/>
      <c r="RRS276" s="192"/>
      <c r="RRT276" s="192"/>
      <c r="RRU276" s="192"/>
      <c r="RRV276" s="192"/>
      <c r="RRW276" s="192"/>
      <c r="RRX276" s="192"/>
      <c r="RRY276" s="192"/>
      <c r="RRZ276" s="192"/>
      <c r="RSA276" s="192"/>
      <c r="RSB276" s="192"/>
      <c r="RSC276" s="192"/>
      <c r="RSD276" s="192"/>
      <c r="RSE276" s="192"/>
      <c r="RSF276" s="192"/>
      <c r="RSG276" s="192"/>
      <c r="RSH276" s="192"/>
      <c r="RSI276" s="192"/>
      <c r="RSJ276" s="192"/>
      <c r="RSK276" s="192"/>
      <c r="RSL276" s="192"/>
      <c r="RSM276" s="192"/>
      <c r="RSN276" s="192"/>
      <c r="RSO276" s="192"/>
      <c r="RSP276" s="192"/>
      <c r="RSQ276" s="192"/>
      <c r="RSR276" s="192"/>
      <c r="RSS276" s="192"/>
      <c r="RST276" s="192"/>
      <c r="RSU276" s="192"/>
      <c r="RSV276" s="192"/>
      <c r="RSW276" s="192"/>
      <c r="RSX276" s="192"/>
      <c r="RSY276" s="192"/>
      <c r="RSZ276" s="192"/>
      <c r="RTA276" s="192"/>
      <c r="RTB276" s="192"/>
      <c r="RTC276" s="192"/>
      <c r="RTD276" s="192"/>
      <c r="RTE276" s="192"/>
      <c r="RTF276" s="192"/>
      <c r="RTG276" s="192"/>
      <c r="RTH276" s="192"/>
      <c r="RTI276" s="192"/>
      <c r="RTJ276" s="192"/>
      <c r="RTK276" s="192"/>
      <c r="RTL276" s="192"/>
      <c r="RTM276" s="192"/>
      <c r="RTN276" s="192"/>
      <c r="RTO276" s="192"/>
      <c r="RTP276" s="192"/>
      <c r="RTQ276" s="192"/>
      <c r="RTR276" s="192"/>
      <c r="RTS276" s="192"/>
      <c r="RTT276" s="192"/>
      <c r="RTU276" s="192"/>
      <c r="RTV276" s="192"/>
      <c r="RTW276" s="192"/>
      <c r="RTX276" s="192"/>
      <c r="RTY276" s="192"/>
      <c r="RTZ276" s="192"/>
      <c r="RUA276" s="192"/>
      <c r="RUB276" s="192"/>
      <c r="RUC276" s="192"/>
      <c r="RUD276" s="192"/>
      <c r="RUE276" s="192"/>
      <c r="RUF276" s="192"/>
      <c r="RUG276" s="192"/>
      <c r="RUH276" s="192"/>
      <c r="RUI276" s="192"/>
      <c r="RUJ276" s="192"/>
      <c r="RUK276" s="192"/>
      <c r="RUL276" s="192"/>
      <c r="RUM276" s="192"/>
      <c r="RUN276" s="192"/>
      <c r="RUO276" s="192"/>
      <c r="RUP276" s="192"/>
      <c r="RUQ276" s="192"/>
      <c r="RUR276" s="192"/>
      <c r="RUS276" s="192"/>
      <c r="RUT276" s="192"/>
      <c r="RUU276" s="192"/>
      <c r="RUV276" s="192"/>
      <c r="RUW276" s="192"/>
      <c r="RUX276" s="192"/>
      <c r="RUY276" s="192"/>
      <c r="RUZ276" s="192"/>
      <c r="RVA276" s="192"/>
      <c r="RVB276" s="192"/>
      <c r="RVC276" s="192"/>
      <c r="RVD276" s="192"/>
      <c r="RVE276" s="192"/>
      <c r="RVF276" s="192"/>
      <c r="RVG276" s="192"/>
      <c r="RVH276" s="192"/>
      <c r="RVI276" s="192"/>
      <c r="RVJ276" s="192"/>
      <c r="RVK276" s="192"/>
      <c r="RVL276" s="192"/>
      <c r="RVM276" s="192"/>
      <c r="RVN276" s="192"/>
      <c r="RVO276" s="192"/>
      <c r="RVP276" s="192"/>
      <c r="RVQ276" s="192"/>
      <c r="RVR276" s="192"/>
      <c r="RVS276" s="192"/>
      <c r="RVT276" s="192"/>
      <c r="RVU276" s="192"/>
      <c r="RVV276" s="192"/>
      <c r="RVW276" s="192"/>
      <c r="RVX276" s="192"/>
      <c r="RVY276" s="192"/>
      <c r="RVZ276" s="192"/>
      <c r="RWA276" s="192"/>
      <c r="RWB276" s="192"/>
      <c r="RWC276" s="192"/>
      <c r="RWD276" s="192"/>
      <c r="RWE276" s="192"/>
      <c r="RWF276" s="192"/>
      <c r="RWG276" s="192"/>
      <c r="RWH276" s="192"/>
      <c r="RWI276" s="192"/>
      <c r="RWJ276" s="192"/>
      <c r="RWK276" s="192"/>
      <c r="RWL276" s="192"/>
      <c r="RWM276" s="192"/>
      <c r="RWN276" s="192"/>
      <c r="RWO276" s="192"/>
      <c r="RWP276" s="192"/>
      <c r="RWQ276" s="192"/>
      <c r="RWR276" s="192"/>
      <c r="RWS276" s="192"/>
      <c r="RWT276" s="192"/>
      <c r="RWU276" s="192"/>
      <c r="RWV276" s="192"/>
      <c r="RWW276" s="192"/>
      <c r="RWX276" s="192"/>
      <c r="RWY276" s="192"/>
      <c r="RWZ276" s="192"/>
      <c r="RXA276" s="192"/>
      <c r="RXB276" s="192"/>
      <c r="RXC276" s="192"/>
      <c r="RXD276" s="192"/>
      <c r="RXE276" s="192"/>
      <c r="RXF276" s="192"/>
      <c r="RXG276" s="192"/>
      <c r="RXH276" s="192"/>
      <c r="RXI276" s="192"/>
      <c r="RXJ276" s="192"/>
      <c r="RXK276" s="192"/>
      <c r="RXL276" s="192"/>
      <c r="RXM276" s="192"/>
      <c r="RXN276" s="192"/>
      <c r="RXO276" s="192"/>
      <c r="RXP276" s="192"/>
      <c r="RXQ276" s="192"/>
      <c r="RXR276" s="192"/>
      <c r="RXS276" s="192"/>
      <c r="RXT276" s="192"/>
      <c r="RXU276" s="192"/>
      <c r="RXV276" s="192"/>
      <c r="RXW276" s="192"/>
      <c r="RXX276" s="192"/>
      <c r="RXY276" s="192"/>
      <c r="RXZ276" s="192"/>
      <c r="RYA276" s="192"/>
      <c r="RYB276" s="192"/>
      <c r="RYC276" s="192"/>
      <c r="RYD276" s="192"/>
      <c r="RYE276" s="192"/>
      <c r="RYF276" s="192"/>
      <c r="RYG276" s="192"/>
      <c r="RYH276" s="192"/>
      <c r="RYI276" s="192"/>
      <c r="RYJ276" s="192"/>
      <c r="RYK276" s="192"/>
      <c r="RYL276" s="192"/>
      <c r="RYM276" s="192"/>
      <c r="RYN276" s="192"/>
      <c r="RYO276" s="192"/>
      <c r="RYP276" s="192"/>
      <c r="RYQ276" s="192"/>
      <c r="RYR276" s="192"/>
      <c r="RYS276" s="192"/>
      <c r="RYT276" s="192"/>
      <c r="RYU276" s="192"/>
      <c r="RYV276" s="192"/>
      <c r="RYW276" s="192"/>
      <c r="RYX276" s="192"/>
      <c r="RYY276" s="192"/>
      <c r="RYZ276" s="192"/>
      <c r="RZA276" s="192"/>
      <c r="RZB276" s="192"/>
      <c r="RZC276" s="192"/>
      <c r="RZD276" s="192"/>
      <c r="RZE276" s="192"/>
      <c r="RZF276" s="192"/>
      <c r="RZG276" s="192"/>
      <c r="RZH276" s="192"/>
      <c r="RZI276" s="192"/>
      <c r="RZJ276" s="192"/>
      <c r="RZK276" s="192"/>
      <c r="RZL276" s="192"/>
      <c r="RZM276" s="192"/>
      <c r="RZN276" s="192"/>
      <c r="RZO276" s="192"/>
      <c r="RZP276" s="192"/>
      <c r="RZQ276" s="192"/>
      <c r="RZR276" s="192"/>
      <c r="RZS276" s="192"/>
      <c r="RZT276" s="192"/>
      <c r="RZU276" s="192"/>
      <c r="RZV276" s="192"/>
      <c r="RZW276" s="192"/>
      <c r="RZX276" s="192"/>
      <c r="RZY276" s="192"/>
      <c r="RZZ276" s="192"/>
      <c r="SAA276" s="192"/>
      <c r="SAB276" s="192"/>
      <c r="SAC276" s="192"/>
      <c r="SAD276" s="192"/>
      <c r="SAE276" s="192"/>
      <c r="SAF276" s="192"/>
      <c r="SAG276" s="192"/>
      <c r="SAH276" s="192"/>
      <c r="SAI276" s="192"/>
      <c r="SAJ276" s="192"/>
      <c r="SAK276" s="192"/>
      <c r="SAL276" s="192"/>
      <c r="SAM276" s="192"/>
      <c r="SAN276" s="192"/>
      <c r="SAO276" s="192"/>
      <c r="SAP276" s="192"/>
      <c r="SAQ276" s="192"/>
      <c r="SAR276" s="192"/>
      <c r="SAS276" s="192"/>
      <c r="SAT276" s="192"/>
      <c r="SAU276" s="192"/>
      <c r="SAV276" s="192"/>
      <c r="SAW276" s="192"/>
      <c r="SAX276" s="192"/>
      <c r="SAY276" s="192"/>
      <c r="SAZ276" s="192"/>
      <c r="SBA276" s="192"/>
      <c r="SBB276" s="192"/>
      <c r="SBC276" s="192"/>
      <c r="SBD276" s="192"/>
      <c r="SBE276" s="192"/>
      <c r="SBF276" s="192"/>
      <c r="SBG276" s="192"/>
      <c r="SBH276" s="192"/>
      <c r="SBI276" s="192"/>
      <c r="SBJ276" s="192"/>
      <c r="SBK276" s="192"/>
      <c r="SBL276" s="192"/>
      <c r="SBM276" s="192"/>
      <c r="SBN276" s="192"/>
      <c r="SBO276" s="192"/>
      <c r="SBP276" s="192"/>
      <c r="SBQ276" s="192"/>
      <c r="SBR276" s="192"/>
      <c r="SBS276" s="192"/>
      <c r="SBT276" s="192"/>
      <c r="SBU276" s="192"/>
      <c r="SBV276" s="192"/>
      <c r="SBW276" s="192"/>
      <c r="SBX276" s="192"/>
      <c r="SBY276" s="192"/>
      <c r="SBZ276" s="192"/>
      <c r="SCA276" s="192"/>
      <c r="SCB276" s="192"/>
      <c r="SCC276" s="192"/>
      <c r="SCD276" s="192"/>
      <c r="SCE276" s="192"/>
      <c r="SCF276" s="192"/>
      <c r="SCG276" s="192"/>
      <c r="SCH276" s="192"/>
      <c r="SCI276" s="192"/>
      <c r="SCJ276" s="192"/>
      <c r="SCK276" s="192"/>
      <c r="SCL276" s="192"/>
      <c r="SCM276" s="192"/>
      <c r="SCN276" s="192"/>
      <c r="SCO276" s="192"/>
      <c r="SCP276" s="192"/>
      <c r="SCQ276" s="192"/>
      <c r="SCR276" s="192"/>
      <c r="SCS276" s="192"/>
      <c r="SCT276" s="192"/>
      <c r="SCU276" s="192"/>
      <c r="SCV276" s="192"/>
      <c r="SCW276" s="192"/>
      <c r="SCX276" s="192"/>
      <c r="SCY276" s="192"/>
      <c r="SCZ276" s="192"/>
      <c r="SDA276" s="192"/>
      <c r="SDB276" s="192"/>
      <c r="SDC276" s="192"/>
      <c r="SDD276" s="192"/>
      <c r="SDE276" s="192"/>
      <c r="SDF276" s="192"/>
      <c r="SDG276" s="192"/>
      <c r="SDH276" s="192"/>
      <c r="SDI276" s="192"/>
      <c r="SDJ276" s="192"/>
      <c r="SDK276" s="192"/>
      <c r="SDL276" s="192"/>
      <c r="SDM276" s="192"/>
      <c r="SDN276" s="192"/>
      <c r="SDO276" s="192"/>
      <c r="SDP276" s="192"/>
      <c r="SDQ276" s="192"/>
      <c r="SDR276" s="192"/>
      <c r="SDS276" s="192"/>
      <c r="SDT276" s="192"/>
      <c r="SDU276" s="192"/>
      <c r="SDV276" s="192"/>
      <c r="SDW276" s="192"/>
      <c r="SDX276" s="192"/>
      <c r="SDY276" s="192"/>
      <c r="SDZ276" s="192"/>
      <c r="SEA276" s="192"/>
      <c r="SEB276" s="192"/>
      <c r="SEC276" s="192"/>
      <c r="SED276" s="192"/>
      <c r="SEE276" s="192"/>
      <c r="SEF276" s="192"/>
      <c r="SEG276" s="192"/>
      <c r="SEH276" s="192"/>
      <c r="SEI276" s="192"/>
      <c r="SEJ276" s="192"/>
      <c r="SEK276" s="192"/>
      <c r="SEL276" s="192"/>
      <c r="SEM276" s="192"/>
      <c r="SEN276" s="192"/>
      <c r="SEO276" s="192"/>
      <c r="SEP276" s="192"/>
      <c r="SEQ276" s="192"/>
      <c r="SER276" s="192"/>
      <c r="SES276" s="192"/>
      <c r="SET276" s="192"/>
      <c r="SEU276" s="192"/>
      <c r="SEV276" s="192"/>
      <c r="SEW276" s="192"/>
      <c r="SEX276" s="192"/>
      <c r="SEY276" s="192"/>
      <c r="SEZ276" s="192"/>
      <c r="SFA276" s="192"/>
      <c r="SFB276" s="192"/>
      <c r="SFC276" s="192"/>
      <c r="SFD276" s="192"/>
      <c r="SFE276" s="192"/>
      <c r="SFF276" s="192"/>
      <c r="SFG276" s="192"/>
      <c r="SFH276" s="192"/>
      <c r="SFI276" s="192"/>
      <c r="SFJ276" s="192"/>
      <c r="SFK276" s="192"/>
      <c r="SFL276" s="192"/>
      <c r="SFM276" s="192"/>
      <c r="SFN276" s="192"/>
      <c r="SFO276" s="192"/>
      <c r="SFP276" s="192"/>
      <c r="SFQ276" s="192"/>
      <c r="SFR276" s="192"/>
      <c r="SFS276" s="192"/>
      <c r="SFT276" s="192"/>
      <c r="SFU276" s="192"/>
      <c r="SFV276" s="192"/>
      <c r="SFW276" s="192"/>
      <c r="SFX276" s="192"/>
      <c r="SFY276" s="192"/>
      <c r="SFZ276" s="192"/>
      <c r="SGA276" s="192"/>
      <c r="SGB276" s="192"/>
      <c r="SGC276" s="192"/>
      <c r="SGD276" s="192"/>
      <c r="SGE276" s="192"/>
      <c r="SGF276" s="192"/>
      <c r="SGG276" s="192"/>
      <c r="SGH276" s="192"/>
      <c r="SGI276" s="192"/>
      <c r="SGJ276" s="192"/>
      <c r="SGK276" s="192"/>
      <c r="SGL276" s="192"/>
      <c r="SGM276" s="192"/>
      <c r="SGN276" s="192"/>
      <c r="SGO276" s="192"/>
      <c r="SGP276" s="192"/>
      <c r="SGQ276" s="192"/>
      <c r="SGR276" s="192"/>
      <c r="SGS276" s="192"/>
      <c r="SGT276" s="192"/>
      <c r="SGU276" s="192"/>
      <c r="SGV276" s="192"/>
      <c r="SGW276" s="192"/>
      <c r="SGX276" s="192"/>
      <c r="SGY276" s="192"/>
      <c r="SGZ276" s="192"/>
      <c r="SHA276" s="192"/>
      <c r="SHB276" s="192"/>
      <c r="SHC276" s="192"/>
      <c r="SHD276" s="192"/>
      <c r="SHE276" s="192"/>
      <c r="SHF276" s="192"/>
      <c r="SHG276" s="192"/>
      <c r="SHH276" s="192"/>
      <c r="SHI276" s="192"/>
      <c r="SHJ276" s="192"/>
      <c r="SHK276" s="192"/>
      <c r="SHL276" s="192"/>
      <c r="SHM276" s="192"/>
      <c r="SHN276" s="192"/>
      <c r="SHO276" s="192"/>
      <c r="SHP276" s="192"/>
      <c r="SHQ276" s="192"/>
      <c r="SHR276" s="192"/>
      <c r="SHS276" s="192"/>
      <c r="SHT276" s="192"/>
      <c r="SHU276" s="192"/>
      <c r="SHV276" s="192"/>
      <c r="SHW276" s="192"/>
      <c r="SHX276" s="192"/>
      <c r="SHY276" s="192"/>
      <c r="SHZ276" s="192"/>
      <c r="SIA276" s="192"/>
      <c r="SIB276" s="192"/>
      <c r="SIC276" s="192"/>
      <c r="SID276" s="192"/>
      <c r="SIE276" s="192"/>
      <c r="SIF276" s="192"/>
      <c r="SIG276" s="192"/>
      <c r="SIH276" s="192"/>
      <c r="SII276" s="192"/>
      <c r="SIJ276" s="192"/>
      <c r="SIK276" s="192"/>
      <c r="SIL276" s="192"/>
      <c r="SIM276" s="192"/>
      <c r="SIN276" s="192"/>
      <c r="SIO276" s="192"/>
      <c r="SIP276" s="192"/>
      <c r="SIQ276" s="192"/>
      <c r="SIR276" s="192"/>
      <c r="SIS276" s="192"/>
      <c r="SIT276" s="192"/>
      <c r="SIU276" s="192"/>
      <c r="SIV276" s="192"/>
      <c r="SIW276" s="192"/>
      <c r="SIX276" s="192"/>
      <c r="SIY276" s="192"/>
      <c r="SIZ276" s="192"/>
      <c r="SJA276" s="192"/>
      <c r="SJB276" s="192"/>
      <c r="SJC276" s="192"/>
      <c r="SJD276" s="192"/>
      <c r="SJE276" s="192"/>
      <c r="SJF276" s="192"/>
      <c r="SJG276" s="192"/>
      <c r="SJH276" s="192"/>
      <c r="SJI276" s="192"/>
      <c r="SJJ276" s="192"/>
      <c r="SJK276" s="192"/>
      <c r="SJL276" s="192"/>
      <c r="SJM276" s="192"/>
      <c r="SJN276" s="192"/>
      <c r="SJO276" s="192"/>
      <c r="SJP276" s="192"/>
      <c r="SJQ276" s="192"/>
      <c r="SJR276" s="192"/>
      <c r="SJS276" s="192"/>
      <c r="SJT276" s="192"/>
      <c r="SJU276" s="192"/>
      <c r="SJV276" s="192"/>
      <c r="SJW276" s="192"/>
      <c r="SJX276" s="192"/>
      <c r="SJY276" s="192"/>
      <c r="SJZ276" s="192"/>
      <c r="SKA276" s="192"/>
      <c r="SKB276" s="192"/>
      <c r="SKC276" s="192"/>
      <c r="SKD276" s="192"/>
      <c r="SKE276" s="192"/>
      <c r="SKF276" s="192"/>
      <c r="SKG276" s="192"/>
      <c r="SKH276" s="192"/>
      <c r="SKI276" s="192"/>
      <c r="SKJ276" s="192"/>
      <c r="SKK276" s="192"/>
      <c r="SKL276" s="192"/>
      <c r="SKM276" s="192"/>
      <c r="SKN276" s="192"/>
      <c r="SKO276" s="192"/>
      <c r="SKP276" s="192"/>
      <c r="SKQ276" s="192"/>
      <c r="SKR276" s="192"/>
      <c r="SKS276" s="192"/>
      <c r="SKT276" s="192"/>
      <c r="SKU276" s="192"/>
      <c r="SKV276" s="192"/>
      <c r="SKW276" s="192"/>
      <c r="SKX276" s="192"/>
      <c r="SKY276" s="192"/>
      <c r="SKZ276" s="192"/>
      <c r="SLA276" s="192"/>
      <c r="SLB276" s="192"/>
      <c r="SLC276" s="192"/>
      <c r="SLD276" s="192"/>
      <c r="SLE276" s="192"/>
      <c r="SLF276" s="192"/>
      <c r="SLG276" s="192"/>
      <c r="SLH276" s="192"/>
      <c r="SLI276" s="192"/>
      <c r="SLJ276" s="192"/>
      <c r="SLK276" s="192"/>
      <c r="SLL276" s="192"/>
      <c r="SLM276" s="192"/>
      <c r="SLN276" s="192"/>
      <c r="SLO276" s="192"/>
      <c r="SLP276" s="192"/>
      <c r="SLQ276" s="192"/>
      <c r="SLR276" s="192"/>
      <c r="SLS276" s="192"/>
      <c r="SLT276" s="192"/>
      <c r="SLU276" s="192"/>
      <c r="SLV276" s="192"/>
      <c r="SLW276" s="192"/>
      <c r="SLX276" s="192"/>
      <c r="SLY276" s="192"/>
      <c r="SLZ276" s="192"/>
      <c r="SMA276" s="192"/>
      <c r="SMB276" s="192"/>
      <c r="SMC276" s="192"/>
      <c r="SMD276" s="192"/>
      <c r="SME276" s="192"/>
      <c r="SMF276" s="192"/>
      <c r="SMG276" s="192"/>
      <c r="SMH276" s="192"/>
      <c r="SMI276" s="192"/>
      <c r="SMJ276" s="192"/>
      <c r="SMK276" s="192"/>
      <c r="SML276" s="192"/>
      <c r="SMM276" s="192"/>
      <c r="SMN276" s="192"/>
      <c r="SMO276" s="192"/>
      <c r="SMP276" s="192"/>
      <c r="SMQ276" s="192"/>
      <c r="SMR276" s="192"/>
      <c r="SMS276" s="192"/>
      <c r="SMT276" s="192"/>
      <c r="SMU276" s="192"/>
      <c r="SMV276" s="192"/>
      <c r="SMW276" s="192"/>
      <c r="SMX276" s="192"/>
      <c r="SMY276" s="192"/>
      <c r="SMZ276" s="192"/>
      <c r="SNA276" s="192"/>
      <c r="SNB276" s="192"/>
      <c r="SNC276" s="192"/>
      <c r="SND276" s="192"/>
      <c r="SNE276" s="192"/>
      <c r="SNF276" s="192"/>
      <c r="SNG276" s="192"/>
      <c r="SNH276" s="192"/>
      <c r="SNI276" s="192"/>
      <c r="SNJ276" s="192"/>
      <c r="SNK276" s="192"/>
      <c r="SNL276" s="192"/>
      <c r="SNM276" s="192"/>
      <c r="SNN276" s="192"/>
      <c r="SNO276" s="192"/>
      <c r="SNP276" s="192"/>
      <c r="SNQ276" s="192"/>
      <c r="SNR276" s="192"/>
      <c r="SNS276" s="192"/>
      <c r="SNT276" s="192"/>
      <c r="SNU276" s="192"/>
      <c r="SNV276" s="192"/>
      <c r="SNW276" s="192"/>
      <c r="SNX276" s="192"/>
      <c r="SNY276" s="192"/>
      <c r="SNZ276" s="192"/>
      <c r="SOA276" s="192"/>
      <c r="SOB276" s="192"/>
      <c r="SOC276" s="192"/>
      <c r="SOD276" s="192"/>
      <c r="SOE276" s="192"/>
      <c r="SOF276" s="192"/>
      <c r="SOG276" s="192"/>
      <c r="SOH276" s="192"/>
      <c r="SOI276" s="192"/>
      <c r="SOJ276" s="192"/>
      <c r="SOK276" s="192"/>
      <c r="SOL276" s="192"/>
      <c r="SOM276" s="192"/>
      <c r="SON276" s="192"/>
      <c r="SOO276" s="192"/>
      <c r="SOP276" s="192"/>
      <c r="SOQ276" s="192"/>
      <c r="SOR276" s="192"/>
      <c r="SOS276" s="192"/>
      <c r="SOT276" s="192"/>
      <c r="SOU276" s="192"/>
      <c r="SOV276" s="192"/>
      <c r="SOW276" s="192"/>
      <c r="SOX276" s="192"/>
      <c r="SOY276" s="192"/>
      <c r="SOZ276" s="192"/>
      <c r="SPA276" s="192"/>
      <c r="SPB276" s="192"/>
      <c r="SPC276" s="192"/>
      <c r="SPD276" s="192"/>
      <c r="SPE276" s="192"/>
      <c r="SPF276" s="192"/>
      <c r="SPG276" s="192"/>
      <c r="SPH276" s="192"/>
      <c r="SPI276" s="192"/>
      <c r="SPJ276" s="192"/>
      <c r="SPK276" s="192"/>
      <c r="SPL276" s="192"/>
      <c r="SPM276" s="192"/>
      <c r="SPN276" s="192"/>
      <c r="SPO276" s="192"/>
      <c r="SPP276" s="192"/>
      <c r="SPQ276" s="192"/>
      <c r="SPR276" s="192"/>
      <c r="SPS276" s="192"/>
      <c r="SPT276" s="192"/>
      <c r="SPU276" s="192"/>
      <c r="SPV276" s="192"/>
      <c r="SPW276" s="192"/>
      <c r="SPX276" s="192"/>
      <c r="SPY276" s="192"/>
      <c r="SPZ276" s="192"/>
      <c r="SQA276" s="192"/>
      <c r="SQB276" s="192"/>
      <c r="SQC276" s="192"/>
      <c r="SQD276" s="192"/>
      <c r="SQE276" s="192"/>
      <c r="SQF276" s="192"/>
      <c r="SQG276" s="192"/>
      <c r="SQH276" s="192"/>
      <c r="SQI276" s="192"/>
      <c r="SQJ276" s="192"/>
      <c r="SQK276" s="192"/>
      <c r="SQL276" s="192"/>
      <c r="SQM276" s="192"/>
      <c r="SQN276" s="192"/>
      <c r="SQO276" s="192"/>
      <c r="SQP276" s="192"/>
      <c r="SQQ276" s="192"/>
      <c r="SQR276" s="192"/>
      <c r="SQS276" s="192"/>
      <c r="SQT276" s="192"/>
      <c r="SQU276" s="192"/>
      <c r="SQV276" s="192"/>
      <c r="SQW276" s="192"/>
      <c r="SQX276" s="192"/>
      <c r="SQY276" s="192"/>
      <c r="SQZ276" s="192"/>
      <c r="SRA276" s="192"/>
      <c r="SRB276" s="192"/>
      <c r="SRC276" s="192"/>
      <c r="SRD276" s="192"/>
      <c r="SRE276" s="192"/>
      <c r="SRF276" s="192"/>
      <c r="SRG276" s="192"/>
      <c r="SRH276" s="192"/>
      <c r="SRI276" s="192"/>
      <c r="SRJ276" s="192"/>
      <c r="SRK276" s="192"/>
      <c r="SRL276" s="192"/>
      <c r="SRM276" s="192"/>
      <c r="SRN276" s="192"/>
      <c r="SRO276" s="192"/>
      <c r="SRP276" s="192"/>
      <c r="SRQ276" s="192"/>
      <c r="SRR276" s="192"/>
      <c r="SRS276" s="192"/>
      <c r="SRT276" s="192"/>
      <c r="SRU276" s="192"/>
      <c r="SRV276" s="192"/>
      <c r="SRW276" s="192"/>
      <c r="SRX276" s="192"/>
      <c r="SRY276" s="192"/>
      <c r="SRZ276" s="192"/>
      <c r="SSA276" s="192"/>
      <c r="SSB276" s="192"/>
      <c r="SSC276" s="192"/>
      <c r="SSD276" s="192"/>
      <c r="SSE276" s="192"/>
      <c r="SSF276" s="192"/>
      <c r="SSG276" s="192"/>
      <c r="SSH276" s="192"/>
      <c r="SSI276" s="192"/>
      <c r="SSJ276" s="192"/>
      <c r="SSK276" s="192"/>
      <c r="SSL276" s="192"/>
      <c r="SSM276" s="192"/>
      <c r="SSN276" s="192"/>
      <c r="SSO276" s="192"/>
      <c r="SSP276" s="192"/>
      <c r="SSQ276" s="192"/>
      <c r="SSR276" s="192"/>
      <c r="SSS276" s="192"/>
      <c r="SST276" s="192"/>
      <c r="SSU276" s="192"/>
      <c r="SSV276" s="192"/>
      <c r="SSW276" s="192"/>
      <c r="SSX276" s="192"/>
      <c r="SSY276" s="192"/>
      <c r="SSZ276" s="192"/>
      <c r="STA276" s="192"/>
      <c r="STB276" s="192"/>
      <c r="STC276" s="192"/>
      <c r="STD276" s="192"/>
      <c r="STE276" s="192"/>
      <c r="STF276" s="192"/>
      <c r="STG276" s="192"/>
      <c r="STH276" s="192"/>
      <c r="STI276" s="192"/>
      <c r="STJ276" s="192"/>
      <c r="STK276" s="192"/>
      <c r="STL276" s="192"/>
      <c r="STM276" s="192"/>
      <c r="STN276" s="192"/>
      <c r="STO276" s="192"/>
      <c r="STP276" s="192"/>
      <c r="STQ276" s="192"/>
      <c r="STR276" s="192"/>
      <c r="STS276" s="192"/>
      <c r="STT276" s="192"/>
      <c r="STU276" s="192"/>
      <c r="STV276" s="192"/>
      <c r="STW276" s="192"/>
      <c r="STX276" s="192"/>
      <c r="STY276" s="192"/>
      <c r="STZ276" s="192"/>
      <c r="SUA276" s="192"/>
      <c r="SUB276" s="192"/>
      <c r="SUC276" s="192"/>
      <c r="SUD276" s="192"/>
      <c r="SUE276" s="192"/>
      <c r="SUF276" s="192"/>
      <c r="SUG276" s="192"/>
      <c r="SUH276" s="192"/>
      <c r="SUI276" s="192"/>
      <c r="SUJ276" s="192"/>
      <c r="SUK276" s="192"/>
      <c r="SUL276" s="192"/>
      <c r="SUM276" s="192"/>
      <c r="SUN276" s="192"/>
      <c r="SUO276" s="192"/>
      <c r="SUP276" s="192"/>
      <c r="SUQ276" s="192"/>
      <c r="SUR276" s="192"/>
      <c r="SUS276" s="192"/>
      <c r="SUT276" s="192"/>
      <c r="SUU276" s="192"/>
      <c r="SUV276" s="192"/>
      <c r="SUW276" s="192"/>
      <c r="SUX276" s="192"/>
      <c r="SUY276" s="192"/>
      <c r="SUZ276" s="192"/>
      <c r="SVA276" s="192"/>
      <c r="SVB276" s="192"/>
      <c r="SVC276" s="192"/>
      <c r="SVD276" s="192"/>
      <c r="SVE276" s="192"/>
      <c r="SVF276" s="192"/>
      <c r="SVG276" s="192"/>
      <c r="SVH276" s="192"/>
      <c r="SVI276" s="192"/>
      <c r="SVJ276" s="192"/>
      <c r="SVK276" s="192"/>
      <c r="SVL276" s="192"/>
      <c r="SVM276" s="192"/>
      <c r="SVN276" s="192"/>
      <c r="SVO276" s="192"/>
      <c r="SVP276" s="192"/>
      <c r="SVQ276" s="192"/>
      <c r="SVR276" s="192"/>
      <c r="SVS276" s="192"/>
      <c r="SVT276" s="192"/>
      <c r="SVU276" s="192"/>
      <c r="SVV276" s="192"/>
      <c r="SVW276" s="192"/>
      <c r="SVX276" s="192"/>
      <c r="SVY276" s="192"/>
      <c r="SVZ276" s="192"/>
      <c r="SWA276" s="192"/>
      <c r="SWB276" s="192"/>
      <c r="SWC276" s="192"/>
      <c r="SWD276" s="192"/>
      <c r="SWE276" s="192"/>
      <c r="SWF276" s="192"/>
      <c r="SWG276" s="192"/>
      <c r="SWH276" s="192"/>
      <c r="SWI276" s="192"/>
      <c r="SWJ276" s="192"/>
      <c r="SWK276" s="192"/>
      <c r="SWL276" s="192"/>
      <c r="SWM276" s="192"/>
      <c r="SWN276" s="192"/>
      <c r="SWO276" s="192"/>
      <c r="SWP276" s="192"/>
      <c r="SWQ276" s="192"/>
      <c r="SWR276" s="192"/>
      <c r="SWS276" s="192"/>
      <c r="SWT276" s="192"/>
      <c r="SWU276" s="192"/>
      <c r="SWV276" s="192"/>
      <c r="SWW276" s="192"/>
      <c r="SWX276" s="192"/>
      <c r="SWY276" s="192"/>
      <c r="SWZ276" s="192"/>
      <c r="SXA276" s="192"/>
      <c r="SXB276" s="192"/>
      <c r="SXC276" s="192"/>
      <c r="SXD276" s="192"/>
      <c r="SXE276" s="192"/>
      <c r="SXF276" s="192"/>
      <c r="SXG276" s="192"/>
      <c r="SXH276" s="192"/>
      <c r="SXI276" s="192"/>
      <c r="SXJ276" s="192"/>
      <c r="SXK276" s="192"/>
      <c r="SXL276" s="192"/>
      <c r="SXM276" s="192"/>
      <c r="SXN276" s="192"/>
      <c r="SXO276" s="192"/>
      <c r="SXP276" s="192"/>
      <c r="SXQ276" s="192"/>
      <c r="SXR276" s="192"/>
      <c r="SXS276" s="192"/>
      <c r="SXT276" s="192"/>
      <c r="SXU276" s="192"/>
      <c r="SXV276" s="192"/>
      <c r="SXW276" s="192"/>
      <c r="SXX276" s="192"/>
      <c r="SXY276" s="192"/>
      <c r="SXZ276" s="192"/>
      <c r="SYA276" s="192"/>
      <c r="SYB276" s="192"/>
      <c r="SYC276" s="192"/>
      <c r="SYD276" s="192"/>
      <c r="SYE276" s="192"/>
      <c r="SYF276" s="192"/>
      <c r="SYG276" s="192"/>
      <c r="SYH276" s="192"/>
      <c r="SYI276" s="192"/>
      <c r="SYJ276" s="192"/>
      <c r="SYK276" s="192"/>
      <c r="SYL276" s="192"/>
      <c r="SYM276" s="192"/>
      <c r="SYN276" s="192"/>
      <c r="SYO276" s="192"/>
      <c r="SYP276" s="192"/>
      <c r="SYQ276" s="192"/>
      <c r="SYR276" s="192"/>
      <c r="SYS276" s="192"/>
      <c r="SYT276" s="192"/>
      <c r="SYU276" s="192"/>
      <c r="SYV276" s="192"/>
      <c r="SYW276" s="192"/>
      <c r="SYX276" s="192"/>
      <c r="SYY276" s="192"/>
      <c r="SYZ276" s="192"/>
      <c r="SZA276" s="192"/>
      <c r="SZB276" s="192"/>
      <c r="SZC276" s="192"/>
      <c r="SZD276" s="192"/>
      <c r="SZE276" s="192"/>
      <c r="SZF276" s="192"/>
      <c r="SZG276" s="192"/>
      <c r="SZH276" s="192"/>
      <c r="SZI276" s="192"/>
      <c r="SZJ276" s="192"/>
      <c r="SZK276" s="192"/>
      <c r="SZL276" s="192"/>
      <c r="SZM276" s="192"/>
      <c r="SZN276" s="192"/>
      <c r="SZO276" s="192"/>
      <c r="SZP276" s="192"/>
      <c r="SZQ276" s="192"/>
      <c r="SZR276" s="192"/>
      <c r="SZS276" s="192"/>
      <c r="SZT276" s="192"/>
      <c r="SZU276" s="192"/>
      <c r="SZV276" s="192"/>
      <c r="SZW276" s="192"/>
      <c r="SZX276" s="192"/>
      <c r="SZY276" s="192"/>
      <c r="SZZ276" s="192"/>
      <c r="TAA276" s="192"/>
      <c r="TAB276" s="192"/>
      <c r="TAC276" s="192"/>
      <c r="TAD276" s="192"/>
      <c r="TAE276" s="192"/>
      <c r="TAF276" s="192"/>
      <c r="TAG276" s="192"/>
      <c r="TAH276" s="192"/>
      <c r="TAI276" s="192"/>
      <c r="TAJ276" s="192"/>
      <c r="TAK276" s="192"/>
      <c r="TAL276" s="192"/>
      <c r="TAM276" s="192"/>
      <c r="TAN276" s="192"/>
      <c r="TAO276" s="192"/>
      <c r="TAP276" s="192"/>
      <c r="TAQ276" s="192"/>
      <c r="TAR276" s="192"/>
      <c r="TAS276" s="192"/>
      <c r="TAT276" s="192"/>
      <c r="TAU276" s="192"/>
      <c r="TAV276" s="192"/>
      <c r="TAW276" s="192"/>
      <c r="TAX276" s="192"/>
      <c r="TAY276" s="192"/>
      <c r="TAZ276" s="192"/>
      <c r="TBA276" s="192"/>
      <c r="TBB276" s="192"/>
      <c r="TBC276" s="192"/>
      <c r="TBD276" s="192"/>
      <c r="TBE276" s="192"/>
      <c r="TBF276" s="192"/>
      <c r="TBG276" s="192"/>
      <c r="TBH276" s="192"/>
      <c r="TBI276" s="192"/>
      <c r="TBJ276" s="192"/>
      <c r="TBK276" s="192"/>
      <c r="TBL276" s="192"/>
      <c r="TBM276" s="192"/>
      <c r="TBN276" s="192"/>
      <c r="TBO276" s="192"/>
      <c r="TBP276" s="192"/>
      <c r="TBQ276" s="192"/>
      <c r="TBR276" s="192"/>
      <c r="TBS276" s="192"/>
      <c r="TBT276" s="192"/>
      <c r="TBU276" s="192"/>
      <c r="TBV276" s="192"/>
      <c r="TBW276" s="192"/>
      <c r="TBX276" s="192"/>
      <c r="TBY276" s="192"/>
      <c r="TBZ276" s="192"/>
      <c r="TCA276" s="192"/>
      <c r="TCB276" s="192"/>
      <c r="TCC276" s="192"/>
      <c r="TCD276" s="192"/>
      <c r="TCE276" s="192"/>
      <c r="TCF276" s="192"/>
      <c r="TCG276" s="192"/>
      <c r="TCH276" s="192"/>
      <c r="TCI276" s="192"/>
      <c r="TCJ276" s="192"/>
      <c r="TCK276" s="192"/>
      <c r="TCL276" s="192"/>
      <c r="TCM276" s="192"/>
      <c r="TCN276" s="192"/>
      <c r="TCO276" s="192"/>
      <c r="TCP276" s="192"/>
      <c r="TCQ276" s="192"/>
      <c r="TCR276" s="192"/>
      <c r="TCS276" s="192"/>
      <c r="TCT276" s="192"/>
      <c r="TCU276" s="192"/>
      <c r="TCV276" s="192"/>
      <c r="TCW276" s="192"/>
      <c r="TCX276" s="192"/>
      <c r="TCY276" s="192"/>
      <c r="TCZ276" s="192"/>
      <c r="TDA276" s="192"/>
      <c r="TDB276" s="192"/>
      <c r="TDC276" s="192"/>
      <c r="TDD276" s="192"/>
      <c r="TDE276" s="192"/>
      <c r="TDF276" s="192"/>
      <c r="TDG276" s="192"/>
      <c r="TDH276" s="192"/>
      <c r="TDI276" s="192"/>
      <c r="TDJ276" s="192"/>
      <c r="TDK276" s="192"/>
      <c r="TDL276" s="192"/>
      <c r="TDM276" s="192"/>
      <c r="TDN276" s="192"/>
      <c r="TDO276" s="192"/>
      <c r="TDP276" s="192"/>
      <c r="TDQ276" s="192"/>
      <c r="TDR276" s="192"/>
      <c r="TDS276" s="192"/>
      <c r="TDT276" s="192"/>
      <c r="TDU276" s="192"/>
      <c r="TDV276" s="192"/>
      <c r="TDW276" s="192"/>
      <c r="TDX276" s="192"/>
      <c r="TDY276" s="192"/>
      <c r="TDZ276" s="192"/>
      <c r="TEA276" s="192"/>
      <c r="TEB276" s="192"/>
      <c r="TEC276" s="192"/>
      <c r="TED276" s="192"/>
      <c r="TEE276" s="192"/>
      <c r="TEF276" s="192"/>
      <c r="TEG276" s="192"/>
      <c r="TEH276" s="192"/>
      <c r="TEI276" s="192"/>
      <c r="TEJ276" s="192"/>
      <c r="TEK276" s="192"/>
      <c r="TEL276" s="192"/>
      <c r="TEM276" s="192"/>
      <c r="TEN276" s="192"/>
      <c r="TEO276" s="192"/>
      <c r="TEP276" s="192"/>
      <c r="TEQ276" s="192"/>
      <c r="TER276" s="192"/>
      <c r="TES276" s="192"/>
      <c r="TET276" s="192"/>
      <c r="TEU276" s="192"/>
      <c r="TEV276" s="192"/>
      <c r="TEW276" s="192"/>
      <c r="TEX276" s="192"/>
      <c r="TEY276" s="192"/>
      <c r="TEZ276" s="192"/>
      <c r="TFA276" s="192"/>
      <c r="TFB276" s="192"/>
      <c r="TFC276" s="192"/>
      <c r="TFD276" s="192"/>
      <c r="TFE276" s="192"/>
      <c r="TFF276" s="192"/>
      <c r="TFG276" s="192"/>
      <c r="TFH276" s="192"/>
      <c r="TFI276" s="192"/>
      <c r="TFJ276" s="192"/>
      <c r="TFK276" s="192"/>
      <c r="TFL276" s="192"/>
      <c r="TFM276" s="192"/>
      <c r="TFN276" s="192"/>
      <c r="TFO276" s="192"/>
      <c r="TFP276" s="192"/>
      <c r="TFQ276" s="192"/>
      <c r="TFR276" s="192"/>
      <c r="TFS276" s="192"/>
      <c r="TFT276" s="192"/>
      <c r="TFU276" s="192"/>
      <c r="TFV276" s="192"/>
      <c r="TFW276" s="192"/>
      <c r="TFX276" s="192"/>
      <c r="TFY276" s="192"/>
      <c r="TFZ276" s="192"/>
      <c r="TGA276" s="192"/>
      <c r="TGB276" s="192"/>
      <c r="TGC276" s="192"/>
      <c r="TGD276" s="192"/>
      <c r="TGE276" s="192"/>
      <c r="TGF276" s="192"/>
      <c r="TGG276" s="192"/>
      <c r="TGH276" s="192"/>
      <c r="TGI276" s="192"/>
      <c r="TGJ276" s="192"/>
      <c r="TGK276" s="192"/>
      <c r="TGL276" s="192"/>
      <c r="TGM276" s="192"/>
      <c r="TGN276" s="192"/>
      <c r="TGO276" s="192"/>
      <c r="TGP276" s="192"/>
      <c r="TGQ276" s="192"/>
      <c r="TGR276" s="192"/>
      <c r="TGS276" s="192"/>
      <c r="TGT276" s="192"/>
      <c r="TGU276" s="192"/>
      <c r="TGV276" s="192"/>
      <c r="TGW276" s="192"/>
      <c r="TGX276" s="192"/>
      <c r="TGY276" s="192"/>
      <c r="TGZ276" s="192"/>
      <c r="THA276" s="192"/>
      <c r="THB276" s="192"/>
      <c r="THC276" s="192"/>
      <c r="THD276" s="192"/>
      <c r="THE276" s="192"/>
      <c r="THF276" s="192"/>
      <c r="THG276" s="192"/>
      <c r="THH276" s="192"/>
      <c r="THI276" s="192"/>
      <c r="THJ276" s="192"/>
      <c r="THK276" s="192"/>
      <c r="THL276" s="192"/>
      <c r="THM276" s="192"/>
      <c r="THN276" s="192"/>
      <c r="THO276" s="192"/>
      <c r="THP276" s="192"/>
      <c r="THQ276" s="192"/>
      <c r="THR276" s="192"/>
      <c r="THS276" s="192"/>
      <c r="THT276" s="192"/>
      <c r="THU276" s="192"/>
      <c r="THV276" s="192"/>
      <c r="THW276" s="192"/>
      <c r="THX276" s="192"/>
      <c r="THY276" s="192"/>
      <c r="THZ276" s="192"/>
      <c r="TIA276" s="192"/>
      <c r="TIB276" s="192"/>
      <c r="TIC276" s="192"/>
      <c r="TID276" s="192"/>
      <c r="TIE276" s="192"/>
      <c r="TIF276" s="192"/>
      <c r="TIG276" s="192"/>
      <c r="TIH276" s="192"/>
      <c r="TII276" s="192"/>
      <c r="TIJ276" s="192"/>
      <c r="TIK276" s="192"/>
      <c r="TIL276" s="192"/>
      <c r="TIM276" s="192"/>
      <c r="TIN276" s="192"/>
      <c r="TIO276" s="192"/>
      <c r="TIP276" s="192"/>
      <c r="TIQ276" s="192"/>
      <c r="TIR276" s="192"/>
      <c r="TIS276" s="192"/>
      <c r="TIT276" s="192"/>
      <c r="TIU276" s="192"/>
      <c r="TIV276" s="192"/>
      <c r="TIW276" s="192"/>
      <c r="TIX276" s="192"/>
      <c r="TIY276" s="192"/>
      <c r="TIZ276" s="192"/>
      <c r="TJA276" s="192"/>
      <c r="TJB276" s="192"/>
      <c r="TJC276" s="192"/>
      <c r="TJD276" s="192"/>
      <c r="TJE276" s="192"/>
      <c r="TJF276" s="192"/>
      <c r="TJG276" s="192"/>
      <c r="TJH276" s="192"/>
      <c r="TJI276" s="192"/>
      <c r="TJJ276" s="192"/>
      <c r="TJK276" s="192"/>
      <c r="TJL276" s="192"/>
      <c r="TJM276" s="192"/>
      <c r="TJN276" s="192"/>
      <c r="TJO276" s="192"/>
      <c r="TJP276" s="192"/>
      <c r="TJQ276" s="192"/>
      <c r="TJR276" s="192"/>
      <c r="TJS276" s="192"/>
      <c r="TJT276" s="192"/>
      <c r="TJU276" s="192"/>
      <c r="TJV276" s="192"/>
      <c r="TJW276" s="192"/>
      <c r="TJX276" s="192"/>
      <c r="TJY276" s="192"/>
      <c r="TJZ276" s="192"/>
      <c r="TKA276" s="192"/>
      <c r="TKB276" s="192"/>
      <c r="TKC276" s="192"/>
      <c r="TKD276" s="192"/>
      <c r="TKE276" s="192"/>
      <c r="TKF276" s="192"/>
      <c r="TKG276" s="192"/>
      <c r="TKH276" s="192"/>
      <c r="TKI276" s="192"/>
      <c r="TKJ276" s="192"/>
      <c r="TKK276" s="192"/>
      <c r="TKL276" s="192"/>
      <c r="TKM276" s="192"/>
      <c r="TKN276" s="192"/>
      <c r="TKO276" s="192"/>
      <c r="TKP276" s="192"/>
      <c r="TKQ276" s="192"/>
      <c r="TKR276" s="192"/>
      <c r="TKS276" s="192"/>
      <c r="TKT276" s="192"/>
      <c r="TKU276" s="192"/>
      <c r="TKV276" s="192"/>
      <c r="TKW276" s="192"/>
      <c r="TKX276" s="192"/>
      <c r="TKY276" s="192"/>
      <c r="TKZ276" s="192"/>
      <c r="TLA276" s="192"/>
      <c r="TLB276" s="192"/>
      <c r="TLC276" s="192"/>
      <c r="TLD276" s="192"/>
      <c r="TLE276" s="192"/>
      <c r="TLF276" s="192"/>
      <c r="TLG276" s="192"/>
      <c r="TLH276" s="192"/>
      <c r="TLI276" s="192"/>
      <c r="TLJ276" s="192"/>
      <c r="TLK276" s="192"/>
      <c r="TLL276" s="192"/>
      <c r="TLM276" s="192"/>
      <c r="TLN276" s="192"/>
      <c r="TLO276" s="192"/>
      <c r="TLP276" s="192"/>
      <c r="TLQ276" s="192"/>
      <c r="TLR276" s="192"/>
      <c r="TLS276" s="192"/>
      <c r="TLT276" s="192"/>
      <c r="TLU276" s="192"/>
      <c r="TLV276" s="192"/>
      <c r="TLW276" s="192"/>
      <c r="TLX276" s="192"/>
      <c r="TLY276" s="192"/>
      <c r="TLZ276" s="192"/>
      <c r="TMA276" s="192"/>
      <c r="TMB276" s="192"/>
      <c r="TMC276" s="192"/>
      <c r="TMD276" s="192"/>
      <c r="TME276" s="192"/>
      <c r="TMF276" s="192"/>
      <c r="TMG276" s="192"/>
      <c r="TMH276" s="192"/>
      <c r="TMI276" s="192"/>
      <c r="TMJ276" s="192"/>
      <c r="TMK276" s="192"/>
      <c r="TML276" s="192"/>
      <c r="TMM276" s="192"/>
      <c r="TMN276" s="192"/>
      <c r="TMO276" s="192"/>
      <c r="TMP276" s="192"/>
      <c r="TMQ276" s="192"/>
      <c r="TMR276" s="192"/>
      <c r="TMS276" s="192"/>
      <c r="TMT276" s="192"/>
      <c r="TMU276" s="192"/>
      <c r="TMV276" s="192"/>
      <c r="TMW276" s="192"/>
      <c r="TMX276" s="192"/>
      <c r="TMY276" s="192"/>
      <c r="TMZ276" s="192"/>
      <c r="TNA276" s="192"/>
      <c r="TNB276" s="192"/>
      <c r="TNC276" s="192"/>
      <c r="TND276" s="192"/>
      <c r="TNE276" s="192"/>
      <c r="TNF276" s="192"/>
      <c r="TNG276" s="192"/>
      <c r="TNH276" s="192"/>
      <c r="TNI276" s="192"/>
      <c r="TNJ276" s="192"/>
      <c r="TNK276" s="192"/>
      <c r="TNL276" s="192"/>
      <c r="TNM276" s="192"/>
      <c r="TNN276" s="192"/>
      <c r="TNO276" s="192"/>
      <c r="TNP276" s="192"/>
      <c r="TNQ276" s="192"/>
      <c r="TNR276" s="192"/>
      <c r="TNS276" s="192"/>
      <c r="TNT276" s="192"/>
      <c r="TNU276" s="192"/>
      <c r="TNV276" s="192"/>
      <c r="TNW276" s="192"/>
      <c r="TNX276" s="192"/>
      <c r="TNY276" s="192"/>
      <c r="TNZ276" s="192"/>
      <c r="TOA276" s="192"/>
      <c r="TOB276" s="192"/>
      <c r="TOC276" s="192"/>
      <c r="TOD276" s="192"/>
      <c r="TOE276" s="192"/>
      <c r="TOF276" s="192"/>
      <c r="TOG276" s="192"/>
      <c r="TOH276" s="192"/>
      <c r="TOI276" s="192"/>
      <c r="TOJ276" s="192"/>
      <c r="TOK276" s="192"/>
      <c r="TOL276" s="192"/>
      <c r="TOM276" s="192"/>
      <c r="TON276" s="192"/>
      <c r="TOO276" s="192"/>
      <c r="TOP276" s="192"/>
      <c r="TOQ276" s="192"/>
      <c r="TOR276" s="192"/>
      <c r="TOS276" s="192"/>
      <c r="TOT276" s="192"/>
      <c r="TOU276" s="192"/>
      <c r="TOV276" s="192"/>
      <c r="TOW276" s="192"/>
      <c r="TOX276" s="192"/>
      <c r="TOY276" s="192"/>
      <c r="TOZ276" s="192"/>
      <c r="TPA276" s="192"/>
      <c r="TPB276" s="192"/>
      <c r="TPC276" s="192"/>
      <c r="TPD276" s="192"/>
      <c r="TPE276" s="192"/>
      <c r="TPF276" s="192"/>
      <c r="TPG276" s="192"/>
      <c r="TPH276" s="192"/>
      <c r="TPI276" s="192"/>
      <c r="TPJ276" s="192"/>
      <c r="TPK276" s="192"/>
      <c r="TPL276" s="192"/>
      <c r="TPM276" s="192"/>
      <c r="TPN276" s="192"/>
      <c r="TPO276" s="192"/>
      <c r="TPP276" s="192"/>
      <c r="TPQ276" s="192"/>
      <c r="TPR276" s="192"/>
      <c r="TPS276" s="192"/>
      <c r="TPT276" s="192"/>
      <c r="TPU276" s="192"/>
      <c r="TPV276" s="192"/>
      <c r="TPW276" s="192"/>
      <c r="TPX276" s="192"/>
      <c r="TPY276" s="192"/>
      <c r="TPZ276" s="192"/>
      <c r="TQA276" s="192"/>
      <c r="TQB276" s="192"/>
      <c r="TQC276" s="192"/>
      <c r="TQD276" s="192"/>
      <c r="TQE276" s="192"/>
      <c r="TQF276" s="192"/>
      <c r="TQG276" s="192"/>
      <c r="TQH276" s="192"/>
      <c r="TQI276" s="192"/>
      <c r="TQJ276" s="192"/>
      <c r="TQK276" s="192"/>
      <c r="TQL276" s="192"/>
      <c r="TQM276" s="192"/>
      <c r="TQN276" s="192"/>
      <c r="TQO276" s="192"/>
      <c r="TQP276" s="192"/>
      <c r="TQQ276" s="192"/>
      <c r="TQR276" s="192"/>
      <c r="TQS276" s="192"/>
      <c r="TQT276" s="192"/>
      <c r="TQU276" s="192"/>
      <c r="TQV276" s="192"/>
      <c r="TQW276" s="192"/>
      <c r="TQX276" s="192"/>
      <c r="TQY276" s="192"/>
      <c r="TQZ276" s="192"/>
      <c r="TRA276" s="192"/>
      <c r="TRB276" s="192"/>
      <c r="TRC276" s="192"/>
      <c r="TRD276" s="192"/>
      <c r="TRE276" s="192"/>
      <c r="TRF276" s="192"/>
      <c r="TRG276" s="192"/>
      <c r="TRH276" s="192"/>
      <c r="TRI276" s="192"/>
      <c r="TRJ276" s="192"/>
      <c r="TRK276" s="192"/>
      <c r="TRL276" s="192"/>
      <c r="TRM276" s="192"/>
      <c r="TRN276" s="192"/>
      <c r="TRO276" s="192"/>
      <c r="TRP276" s="192"/>
      <c r="TRQ276" s="192"/>
      <c r="TRR276" s="192"/>
      <c r="TRS276" s="192"/>
      <c r="TRT276" s="192"/>
      <c r="TRU276" s="192"/>
      <c r="TRV276" s="192"/>
      <c r="TRW276" s="192"/>
      <c r="TRX276" s="192"/>
      <c r="TRY276" s="192"/>
      <c r="TRZ276" s="192"/>
      <c r="TSA276" s="192"/>
      <c r="TSB276" s="192"/>
      <c r="TSC276" s="192"/>
      <c r="TSD276" s="192"/>
      <c r="TSE276" s="192"/>
      <c r="TSF276" s="192"/>
      <c r="TSG276" s="192"/>
      <c r="TSH276" s="192"/>
      <c r="TSI276" s="192"/>
      <c r="TSJ276" s="192"/>
      <c r="TSK276" s="192"/>
      <c r="TSL276" s="192"/>
      <c r="TSM276" s="192"/>
      <c r="TSN276" s="192"/>
      <c r="TSO276" s="192"/>
      <c r="TSP276" s="192"/>
      <c r="TSQ276" s="192"/>
      <c r="TSR276" s="192"/>
      <c r="TSS276" s="192"/>
      <c r="TST276" s="192"/>
      <c r="TSU276" s="192"/>
      <c r="TSV276" s="192"/>
      <c r="TSW276" s="192"/>
      <c r="TSX276" s="192"/>
      <c r="TSY276" s="192"/>
      <c r="TSZ276" s="192"/>
      <c r="TTA276" s="192"/>
      <c r="TTB276" s="192"/>
      <c r="TTC276" s="192"/>
      <c r="TTD276" s="192"/>
      <c r="TTE276" s="192"/>
      <c r="TTF276" s="192"/>
      <c r="TTG276" s="192"/>
      <c r="TTH276" s="192"/>
      <c r="TTI276" s="192"/>
      <c r="TTJ276" s="192"/>
      <c r="TTK276" s="192"/>
      <c r="TTL276" s="192"/>
      <c r="TTM276" s="192"/>
      <c r="TTN276" s="192"/>
      <c r="TTO276" s="192"/>
      <c r="TTP276" s="192"/>
      <c r="TTQ276" s="192"/>
      <c r="TTR276" s="192"/>
      <c r="TTS276" s="192"/>
      <c r="TTT276" s="192"/>
      <c r="TTU276" s="192"/>
      <c r="TTV276" s="192"/>
      <c r="TTW276" s="192"/>
      <c r="TTX276" s="192"/>
      <c r="TTY276" s="192"/>
      <c r="TTZ276" s="192"/>
      <c r="TUA276" s="192"/>
      <c r="TUB276" s="192"/>
      <c r="TUC276" s="192"/>
      <c r="TUD276" s="192"/>
      <c r="TUE276" s="192"/>
      <c r="TUF276" s="192"/>
      <c r="TUG276" s="192"/>
      <c r="TUH276" s="192"/>
      <c r="TUI276" s="192"/>
      <c r="TUJ276" s="192"/>
      <c r="TUK276" s="192"/>
      <c r="TUL276" s="192"/>
      <c r="TUM276" s="192"/>
      <c r="TUN276" s="192"/>
      <c r="TUO276" s="192"/>
      <c r="TUP276" s="192"/>
      <c r="TUQ276" s="192"/>
      <c r="TUR276" s="192"/>
      <c r="TUS276" s="192"/>
      <c r="TUT276" s="192"/>
      <c r="TUU276" s="192"/>
      <c r="TUV276" s="192"/>
      <c r="TUW276" s="192"/>
      <c r="TUX276" s="192"/>
      <c r="TUY276" s="192"/>
      <c r="TUZ276" s="192"/>
      <c r="TVA276" s="192"/>
      <c r="TVB276" s="192"/>
      <c r="TVC276" s="192"/>
      <c r="TVD276" s="192"/>
      <c r="TVE276" s="192"/>
      <c r="TVF276" s="192"/>
      <c r="TVG276" s="192"/>
      <c r="TVH276" s="192"/>
      <c r="TVI276" s="192"/>
      <c r="TVJ276" s="192"/>
      <c r="TVK276" s="192"/>
      <c r="TVL276" s="192"/>
      <c r="TVM276" s="192"/>
      <c r="TVN276" s="192"/>
      <c r="TVO276" s="192"/>
      <c r="TVP276" s="192"/>
      <c r="TVQ276" s="192"/>
      <c r="TVR276" s="192"/>
      <c r="TVS276" s="192"/>
      <c r="TVT276" s="192"/>
      <c r="TVU276" s="192"/>
      <c r="TVV276" s="192"/>
      <c r="TVW276" s="192"/>
      <c r="TVX276" s="192"/>
      <c r="TVY276" s="192"/>
      <c r="TVZ276" s="192"/>
      <c r="TWA276" s="192"/>
      <c r="TWB276" s="192"/>
      <c r="TWC276" s="192"/>
      <c r="TWD276" s="192"/>
      <c r="TWE276" s="192"/>
      <c r="TWF276" s="192"/>
      <c r="TWG276" s="192"/>
      <c r="TWH276" s="192"/>
      <c r="TWI276" s="192"/>
      <c r="TWJ276" s="192"/>
      <c r="TWK276" s="192"/>
      <c r="TWL276" s="192"/>
      <c r="TWM276" s="192"/>
      <c r="TWN276" s="192"/>
      <c r="TWO276" s="192"/>
      <c r="TWP276" s="192"/>
      <c r="TWQ276" s="192"/>
      <c r="TWR276" s="192"/>
      <c r="TWS276" s="192"/>
      <c r="TWT276" s="192"/>
      <c r="TWU276" s="192"/>
      <c r="TWV276" s="192"/>
      <c r="TWW276" s="192"/>
      <c r="TWX276" s="192"/>
      <c r="TWY276" s="192"/>
      <c r="TWZ276" s="192"/>
      <c r="TXA276" s="192"/>
      <c r="TXB276" s="192"/>
      <c r="TXC276" s="192"/>
      <c r="TXD276" s="192"/>
      <c r="TXE276" s="192"/>
      <c r="TXF276" s="192"/>
      <c r="TXG276" s="192"/>
      <c r="TXH276" s="192"/>
      <c r="TXI276" s="192"/>
      <c r="TXJ276" s="192"/>
      <c r="TXK276" s="192"/>
      <c r="TXL276" s="192"/>
      <c r="TXM276" s="192"/>
      <c r="TXN276" s="192"/>
      <c r="TXO276" s="192"/>
      <c r="TXP276" s="192"/>
      <c r="TXQ276" s="192"/>
      <c r="TXR276" s="192"/>
      <c r="TXS276" s="192"/>
      <c r="TXT276" s="192"/>
      <c r="TXU276" s="192"/>
      <c r="TXV276" s="192"/>
      <c r="TXW276" s="192"/>
      <c r="TXX276" s="192"/>
      <c r="TXY276" s="192"/>
      <c r="TXZ276" s="192"/>
      <c r="TYA276" s="192"/>
      <c r="TYB276" s="192"/>
      <c r="TYC276" s="192"/>
      <c r="TYD276" s="192"/>
      <c r="TYE276" s="192"/>
      <c r="TYF276" s="192"/>
      <c r="TYG276" s="192"/>
      <c r="TYH276" s="192"/>
      <c r="TYI276" s="192"/>
      <c r="TYJ276" s="192"/>
      <c r="TYK276" s="192"/>
      <c r="TYL276" s="192"/>
      <c r="TYM276" s="192"/>
      <c r="TYN276" s="192"/>
      <c r="TYO276" s="192"/>
      <c r="TYP276" s="192"/>
      <c r="TYQ276" s="192"/>
      <c r="TYR276" s="192"/>
      <c r="TYS276" s="192"/>
      <c r="TYT276" s="192"/>
      <c r="TYU276" s="192"/>
      <c r="TYV276" s="192"/>
      <c r="TYW276" s="192"/>
      <c r="TYX276" s="192"/>
      <c r="TYY276" s="192"/>
      <c r="TYZ276" s="192"/>
      <c r="TZA276" s="192"/>
      <c r="TZB276" s="192"/>
      <c r="TZC276" s="192"/>
      <c r="TZD276" s="192"/>
      <c r="TZE276" s="192"/>
      <c r="TZF276" s="192"/>
      <c r="TZG276" s="192"/>
      <c r="TZH276" s="192"/>
      <c r="TZI276" s="192"/>
      <c r="TZJ276" s="192"/>
      <c r="TZK276" s="192"/>
      <c r="TZL276" s="192"/>
      <c r="TZM276" s="192"/>
      <c r="TZN276" s="192"/>
      <c r="TZO276" s="192"/>
      <c r="TZP276" s="192"/>
      <c r="TZQ276" s="192"/>
      <c r="TZR276" s="192"/>
      <c r="TZS276" s="192"/>
      <c r="TZT276" s="192"/>
      <c r="TZU276" s="192"/>
      <c r="TZV276" s="192"/>
      <c r="TZW276" s="192"/>
      <c r="TZX276" s="192"/>
      <c r="TZY276" s="192"/>
      <c r="TZZ276" s="192"/>
      <c r="UAA276" s="192"/>
      <c r="UAB276" s="192"/>
      <c r="UAC276" s="192"/>
      <c r="UAD276" s="192"/>
      <c r="UAE276" s="192"/>
      <c r="UAF276" s="192"/>
      <c r="UAG276" s="192"/>
      <c r="UAH276" s="192"/>
      <c r="UAI276" s="192"/>
      <c r="UAJ276" s="192"/>
      <c r="UAK276" s="192"/>
      <c r="UAL276" s="192"/>
      <c r="UAM276" s="192"/>
      <c r="UAN276" s="192"/>
      <c r="UAO276" s="192"/>
      <c r="UAP276" s="192"/>
      <c r="UAQ276" s="192"/>
      <c r="UAR276" s="192"/>
      <c r="UAS276" s="192"/>
      <c r="UAT276" s="192"/>
      <c r="UAU276" s="192"/>
      <c r="UAV276" s="192"/>
      <c r="UAW276" s="192"/>
      <c r="UAX276" s="192"/>
      <c r="UAY276" s="192"/>
      <c r="UAZ276" s="192"/>
      <c r="UBA276" s="192"/>
      <c r="UBB276" s="192"/>
      <c r="UBC276" s="192"/>
      <c r="UBD276" s="192"/>
      <c r="UBE276" s="192"/>
      <c r="UBF276" s="192"/>
      <c r="UBG276" s="192"/>
      <c r="UBH276" s="192"/>
      <c r="UBI276" s="192"/>
      <c r="UBJ276" s="192"/>
      <c r="UBK276" s="192"/>
      <c r="UBL276" s="192"/>
      <c r="UBM276" s="192"/>
      <c r="UBN276" s="192"/>
      <c r="UBO276" s="192"/>
      <c r="UBP276" s="192"/>
      <c r="UBQ276" s="192"/>
      <c r="UBR276" s="192"/>
      <c r="UBS276" s="192"/>
      <c r="UBT276" s="192"/>
      <c r="UBU276" s="192"/>
      <c r="UBV276" s="192"/>
      <c r="UBW276" s="192"/>
      <c r="UBX276" s="192"/>
      <c r="UBY276" s="192"/>
      <c r="UBZ276" s="192"/>
      <c r="UCA276" s="192"/>
      <c r="UCB276" s="192"/>
      <c r="UCC276" s="192"/>
      <c r="UCD276" s="192"/>
      <c r="UCE276" s="192"/>
      <c r="UCF276" s="192"/>
      <c r="UCG276" s="192"/>
      <c r="UCH276" s="192"/>
      <c r="UCI276" s="192"/>
      <c r="UCJ276" s="192"/>
      <c r="UCK276" s="192"/>
      <c r="UCL276" s="192"/>
      <c r="UCM276" s="192"/>
      <c r="UCN276" s="192"/>
      <c r="UCO276" s="192"/>
      <c r="UCP276" s="192"/>
      <c r="UCQ276" s="192"/>
      <c r="UCR276" s="192"/>
      <c r="UCS276" s="192"/>
      <c r="UCT276" s="192"/>
      <c r="UCU276" s="192"/>
      <c r="UCV276" s="192"/>
      <c r="UCW276" s="192"/>
      <c r="UCX276" s="192"/>
      <c r="UCY276" s="192"/>
      <c r="UCZ276" s="192"/>
      <c r="UDA276" s="192"/>
      <c r="UDB276" s="192"/>
      <c r="UDC276" s="192"/>
      <c r="UDD276" s="192"/>
      <c r="UDE276" s="192"/>
      <c r="UDF276" s="192"/>
      <c r="UDG276" s="192"/>
      <c r="UDH276" s="192"/>
      <c r="UDI276" s="192"/>
      <c r="UDJ276" s="192"/>
      <c r="UDK276" s="192"/>
      <c r="UDL276" s="192"/>
      <c r="UDM276" s="192"/>
      <c r="UDN276" s="192"/>
      <c r="UDO276" s="192"/>
      <c r="UDP276" s="192"/>
      <c r="UDQ276" s="192"/>
      <c r="UDR276" s="192"/>
      <c r="UDS276" s="192"/>
      <c r="UDT276" s="192"/>
      <c r="UDU276" s="192"/>
      <c r="UDV276" s="192"/>
      <c r="UDW276" s="192"/>
      <c r="UDX276" s="192"/>
      <c r="UDY276" s="192"/>
      <c r="UDZ276" s="192"/>
      <c r="UEA276" s="192"/>
      <c r="UEB276" s="192"/>
      <c r="UEC276" s="192"/>
      <c r="UED276" s="192"/>
      <c r="UEE276" s="192"/>
      <c r="UEF276" s="192"/>
      <c r="UEG276" s="192"/>
      <c r="UEH276" s="192"/>
      <c r="UEI276" s="192"/>
      <c r="UEJ276" s="192"/>
      <c r="UEK276" s="192"/>
      <c r="UEL276" s="192"/>
      <c r="UEM276" s="192"/>
      <c r="UEN276" s="192"/>
      <c r="UEO276" s="192"/>
      <c r="UEP276" s="192"/>
      <c r="UEQ276" s="192"/>
      <c r="UER276" s="192"/>
      <c r="UES276" s="192"/>
      <c r="UET276" s="192"/>
      <c r="UEU276" s="192"/>
      <c r="UEV276" s="192"/>
      <c r="UEW276" s="192"/>
      <c r="UEX276" s="192"/>
      <c r="UEY276" s="192"/>
      <c r="UEZ276" s="192"/>
      <c r="UFA276" s="192"/>
      <c r="UFB276" s="192"/>
      <c r="UFC276" s="192"/>
      <c r="UFD276" s="192"/>
      <c r="UFE276" s="192"/>
      <c r="UFF276" s="192"/>
      <c r="UFG276" s="192"/>
      <c r="UFH276" s="192"/>
      <c r="UFI276" s="192"/>
      <c r="UFJ276" s="192"/>
      <c r="UFK276" s="192"/>
      <c r="UFL276" s="192"/>
      <c r="UFM276" s="192"/>
      <c r="UFN276" s="192"/>
      <c r="UFO276" s="192"/>
      <c r="UFP276" s="192"/>
      <c r="UFQ276" s="192"/>
      <c r="UFR276" s="192"/>
      <c r="UFS276" s="192"/>
      <c r="UFT276" s="192"/>
      <c r="UFU276" s="192"/>
      <c r="UFV276" s="192"/>
      <c r="UFW276" s="192"/>
      <c r="UFX276" s="192"/>
      <c r="UFY276" s="192"/>
      <c r="UFZ276" s="192"/>
      <c r="UGA276" s="192"/>
      <c r="UGB276" s="192"/>
      <c r="UGC276" s="192"/>
      <c r="UGD276" s="192"/>
      <c r="UGE276" s="192"/>
      <c r="UGF276" s="192"/>
      <c r="UGG276" s="192"/>
      <c r="UGH276" s="192"/>
      <c r="UGI276" s="192"/>
      <c r="UGJ276" s="192"/>
      <c r="UGK276" s="192"/>
      <c r="UGL276" s="192"/>
      <c r="UGM276" s="192"/>
      <c r="UGN276" s="192"/>
      <c r="UGO276" s="192"/>
      <c r="UGP276" s="192"/>
      <c r="UGQ276" s="192"/>
      <c r="UGR276" s="192"/>
      <c r="UGS276" s="192"/>
      <c r="UGT276" s="192"/>
      <c r="UGU276" s="192"/>
      <c r="UGV276" s="192"/>
      <c r="UGW276" s="192"/>
      <c r="UGX276" s="192"/>
      <c r="UGY276" s="192"/>
      <c r="UGZ276" s="192"/>
      <c r="UHA276" s="192"/>
      <c r="UHB276" s="192"/>
      <c r="UHC276" s="192"/>
      <c r="UHD276" s="192"/>
      <c r="UHE276" s="192"/>
      <c r="UHF276" s="192"/>
      <c r="UHG276" s="192"/>
      <c r="UHH276" s="192"/>
      <c r="UHI276" s="192"/>
      <c r="UHJ276" s="192"/>
      <c r="UHK276" s="192"/>
      <c r="UHL276" s="192"/>
      <c r="UHM276" s="192"/>
      <c r="UHN276" s="192"/>
      <c r="UHO276" s="192"/>
      <c r="UHP276" s="192"/>
      <c r="UHQ276" s="192"/>
      <c r="UHR276" s="192"/>
      <c r="UHS276" s="192"/>
      <c r="UHT276" s="192"/>
      <c r="UHU276" s="192"/>
      <c r="UHV276" s="192"/>
      <c r="UHW276" s="192"/>
      <c r="UHX276" s="192"/>
      <c r="UHY276" s="192"/>
      <c r="UHZ276" s="192"/>
      <c r="UIA276" s="192"/>
      <c r="UIB276" s="192"/>
      <c r="UIC276" s="192"/>
      <c r="UID276" s="192"/>
      <c r="UIE276" s="192"/>
      <c r="UIF276" s="192"/>
      <c r="UIG276" s="192"/>
      <c r="UIH276" s="192"/>
      <c r="UII276" s="192"/>
      <c r="UIJ276" s="192"/>
      <c r="UIK276" s="192"/>
      <c r="UIL276" s="192"/>
      <c r="UIM276" s="192"/>
      <c r="UIN276" s="192"/>
      <c r="UIO276" s="192"/>
      <c r="UIP276" s="192"/>
      <c r="UIQ276" s="192"/>
      <c r="UIR276" s="192"/>
      <c r="UIS276" s="192"/>
      <c r="UIT276" s="192"/>
      <c r="UIU276" s="192"/>
      <c r="UIV276" s="192"/>
      <c r="UIW276" s="192"/>
      <c r="UIX276" s="192"/>
      <c r="UIY276" s="192"/>
      <c r="UIZ276" s="192"/>
      <c r="UJA276" s="192"/>
      <c r="UJB276" s="192"/>
      <c r="UJC276" s="192"/>
      <c r="UJD276" s="192"/>
      <c r="UJE276" s="192"/>
      <c r="UJF276" s="192"/>
      <c r="UJG276" s="192"/>
      <c r="UJH276" s="192"/>
      <c r="UJI276" s="192"/>
      <c r="UJJ276" s="192"/>
      <c r="UJK276" s="192"/>
      <c r="UJL276" s="192"/>
      <c r="UJM276" s="192"/>
      <c r="UJN276" s="192"/>
      <c r="UJO276" s="192"/>
      <c r="UJP276" s="192"/>
      <c r="UJQ276" s="192"/>
      <c r="UJR276" s="192"/>
      <c r="UJS276" s="192"/>
      <c r="UJT276" s="192"/>
      <c r="UJU276" s="192"/>
      <c r="UJV276" s="192"/>
      <c r="UJW276" s="192"/>
      <c r="UJX276" s="192"/>
      <c r="UJY276" s="192"/>
      <c r="UJZ276" s="192"/>
      <c r="UKA276" s="192"/>
      <c r="UKB276" s="192"/>
      <c r="UKC276" s="192"/>
      <c r="UKD276" s="192"/>
      <c r="UKE276" s="192"/>
      <c r="UKF276" s="192"/>
      <c r="UKG276" s="192"/>
      <c r="UKH276" s="192"/>
      <c r="UKI276" s="192"/>
      <c r="UKJ276" s="192"/>
      <c r="UKK276" s="192"/>
      <c r="UKL276" s="192"/>
      <c r="UKM276" s="192"/>
      <c r="UKN276" s="192"/>
      <c r="UKO276" s="192"/>
      <c r="UKP276" s="192"/>
      <c r="UKQ276" s="192"/>
      <c r="UKR276" s="192"/>
      <c r="UKS276" s="192"/>
      <c r="UKT276" s="192"/>
      <c r="UKU276" s="192"/>
      <c r="UKV276" s="192"/>
      <c r="UKW276" s="192"/>
      <c r="UKX276" s="192"/>
      <c r="UKY276" s="192"/>
      <c r="UKZ276" s="192"/>
      <c r="ULA276" s="192"/>
      <c r="ULB276" s="192"/>
      <c r="ULC276" s="192"/>
      <c r="ULD276" s="192"/>
      <c r="ULE276" s="192"/>
      <c r="ULF276" s="192"/>
      <c r="ULG276" s="192"/>
      <c r="ULH276" s="192"/>
      <c r="ULI276" s="192"/>
      <c r="ULJ276" s="192"/>
      <c r="ULK276" s="192"/>
      <c r="ULL276" s="192"/>
      <c r="ULM276" s="192"/>
      <c r="ULN276" s="192"/>
      <c r="ULO276" s="192"/>
      <c r="ULP276" s="192"/>
      <c r="ULQ276" s="192"/>
      <c r="ULR276" s="192"/>
      <c r="ULS276" s="192"/>
      <c r="ULT276" s="192"/>
      <c r="ULU276" s="192"/>
      <c r="ULV276" s="192"/>
      <c r="ULW276" s="192"/>
      <c r="ULX276" s="192"/>
      <c r="ULY276" s="192"/>
      <c r="ULZ276" s="192"/>
      <c r="UMA276" s="192"/>
      <c r="UMB276" s="192"/>
      <c r="UMC276" s="192"/>
      <c r="UMD276" s="192"/>
      <c r="UME276" s="192"/>
      <c r="UMF276" s="192"/>
      <c r="UMG276" s="192"/>
      <c r="UMH276" s="192"/>
      <c r="UMI276" s="192"/>
      <c r="UMJ276" s="192"/>
      <c r="UMK276" s="192"/>
      <c r="UML276" s="192"/>
      <c r="UMM276" s="192"/>
      <c r="UMN276" s="192"/>
      <c r="UMO276" s="192"/>
      <c r="UMP276" s="192"/>
      <c r="UMQ276" s="192"/>
      <c r="UMR276" s="192"/>
      <c r="UMS276" s="192"/>
      <c r="UMT276" s="192"/>
      <c r="UMU276" s="192"/>
      <c r="UMV276" s="192"/>
      <c r="UMW276" s="192"/>
      <c r="UMX276" s="192"/>
      <c r="UMY276" s="192"/>
      <c r="UMZ276" s="192"/>
      <c r="UNA276" s="192"/>
      <c r="UNB276" s="192"/>
      <c r="UNC276" s="192"/>
      <c r="UND276" s="192"/>
      <c r="UNE276" s="192"/>
      <c r="UNF276" s="192"/>
      <c r="UNG276" s="192"/>
      <c r="UNH276" s="192"/>
      <c r="UNI276" s="192"/>
      <c r="UNJ276" s="192"/>
      <c r="UNK276" s="192"/>
      <c r="UNL276" s="192"/>
      <c r="UNM276" s="192"/>
      <c r="UNN276" s="192"/>
      <c r="UNO276" s="192"/>
      <c r="UNP276" s="192"/>
      <c r="UNQ276" s="192"/>
      <c r="UNR276" s="192"/>
      <c r="UNS276" s="192"/>
      <c r="UNT276" s="192"/>
      <c r="UNU276" s="192"/>
      <c r="UNV276" s="192"/>
      <c r="UNW276" s="192"/>
      <c r="UNX276" s="192"/>
      <c r="UNY276" s="192"/>
      <c r="UNZ276" s="192"/>
      <c r="UOA276" s="192"/>
      <c r="UOB276" s="192"/>
      <c r="UOC276" s="192"/>
      <c r="UOD276" s="192"/>
      <c r="UOE276" s="192"/>
      <c r="UOF276" s="192"/>
      <c r="UOG276" s="192"/>
      <c r="UOH276" s="192"/>
      <c r="UOI276" s="192"/>
      <c r="UOJ276" s="192"/>
      <c r="UOK276" s="192"/>
      <c r="UOL276" s="192"/>
      <c r="UOM276" s="192"/>
      <c r="UON276" s="192"/>
      <c r="UOO276" s="192"/>
      <c r="UOP276" s="192"/>
      <c r="UOQ276" s="192"/>
      <c r="UOR276" s="192"/>
      <c r="UOS276" s="192"/>
      <c r="UOT276" s="192"/>
      <c r="UOU276" s="192"/>
      <c r="UOV276" s="192"/>
      <c r="UOW276" s="192"/>
      <c r="UOX276" s="192"/>
      <c r="UOY276" s="192"/>
      <c r="UOZ276" s="192"/>
      <c r="UPA276" s="192"/>
      <c r="UPB276" s="192"/>
      <c r="UPC276" s="192"/>
      <c r="UPD276" s="192"/>
      <c r="UPE276" s="192"/>
      <c r="UPF276" s="192"/>
      <c r="UPG276" s="192"/>
      <c r="UPH276" s="192"/>
      <c r="UPI276" s="192"/>
      <c r="UPJ276" s="192"/>
      <c r="UPK276" s="192"/>
      <c r="UPL276" s="192"/>
      <c r="UPM276" s="192"/>
      <c r="UPN276" s="192"/>
      <c r="UPO276" s="192"/>
      <c r="UPP276" s="192"/>
      <c r="UPQ276" s="192"/>
      <c r="UPR276" s="192"/>
      <c r="UPS276" s="192"/>
      <c r="UPT276" s="192"/>
      <c r="UPU276" s="192"/>
      <c r="UPV276" s="192"/>
      <c r="UPW276" s="192"/>
      <c r="UPX276" s="192"/>
      <c r="UPY276" s="192"/>
      <c r="UPZ276" s="192"/>
      <c r="UQA276" s="192"/>
      <c r="UQB276" s="192"/>
      <c r="UQC276" s="192"/>
      <c r="UQD276" s="192"/>
      <c r="UQE276" s="192"/>
      <c r="UQF276" s="192"/>
      <c r="UQG276" s="192"/>
      <c r="UQH276" s="192"/>
      <c r="UQI276" s="192"/>
      <c r="UQJ276" s="192"/>
      <c r="UQK276" s="192"/>
      <c r="UQL276" s="192"/>
      <c r="UQM276" s="192"/>
      <c r="UQN276" s="192"/>
      <c r="UQO276" s="192"/>
      <c r="UQP276" s="192"/>
      <c r="UQQ276" s="192"/>
      <c r="UQR276" s="192"/>
      <c r="UQS276" s="192"/>
      <c r="UQT276" s="192"/>
      <c r="UQU276" s="192"/>
      <c r="UQV276" s="192"/>
      <c r="UQW276" s="192"/>
      <c r="UQX276" s="192"/>
      <c r="UQY276" s="192"/>
      <c r="UQZ276" s="192"/>
      <c r="URA276" s="192"/>
      <c r="URB276" s="192"/>
      <c r="URC276" s="192"/>
      <c r="URD276" s="192"/>
      <c r="URE276" s="192"/>
      <c r="URF276" s="192"/>
      <c r="URG276" s="192"/>
      <c r="URH276" s="192"/>
      <c r="URI276" s="192"/>
      <c r="URJ276" s="192"/>
      <c r="URK276" s="192"/>
      <c r="URL276" s="192"/>
      <c r="URM276" s="192"/>
      <c r="URN276" s="192"/>
      <c r="URO276" s="192"/>
      <c r="URP276" s="192"/>
      <c r="URQ276" s="192"/>
      <c r="URR276" s="192"/>
      <c r="URS276" s="192"/>
      <c r="URT276" s="192"/>
      <c r="URU276" s="192"/>
      <c r="URV276" s="192"/>
      <c r="URW276" s="192"/>
      <c r="URX276" s="192"/>
      <c r="URY276" s="192"/>
      <c r="URZ276" s="192"/>
      <c r="USA276" s="192"/>
      <c r="USB276" s="192"/>
      <c r="USC276" s="192"/>
      <c r="USD276" s="192"/>
      <c r="USE276" s="192"/>
      <c r="USF276" s="192"/>
      <c r="USG276" s="192"/>
      <c r="USH276" s="192"/>
      <c r="USI276" s="192"/>
      <c r="USJ276" s="192"/>
      <c r="USK276" s="192"/>
      <c r="USL276" s="192"/>
      <c r="USM276" s="192"/>
      <c r="USN276" s="192"/>
      <c r="USO276" s="192"/>
      <c r="USP276" s="192"/>
      <c r="USQ276" s="192"/>
      <c r="USR276" s="192"/>
      <c r="USS276" s="192"/>
      <c r="UST276" s="192"/>
      <c r="USU276" s="192"/>
      <c r="USV276" s="192"/>
      <c r="USW276" s="192"/>
      <c r="USX276" s="192"/>
      <c r="USY276" s="192"/>
      <c r="USZ276" s="192"/>
      <c r="UTA276" s="192"/>
      <c r="UTB276" s="192"/>
      <c r="UTC276" s="192"/>
      <c r="UTD276" s="192"/>
      <c r="UTE276" s="192"/>
      <c r="UTF276" s="192"/>
      <c r="UTG276" s="192"/>
      <c r="UTH276" s="192"/>
      <c r="UTI276" s="192"/>
      <c r="UTJ276" s="192"/>
      <c r="UTK276" s="192"/>
      <c r="UTL276" s="192"/>
      <c r="UTM276" s="192"/>
      <c r="UTN276" s="192"/>
      <c r="UTO276" s="192"/>
      <c r="UTP276" s="192"/>
      <c r="UTQ276" s="192"/>
      <c r="UTR276" s="192"/>
      <c r="UTS276" s="192"/>
      <c r="UTT276" s="192"/>
      <c r="UTU276" s="192"/>
      <c r="UTV276" s="192"/>
      <c r="UTW276" s="192"/>
      <c r="UTX276" s="192"/>
      <c r="UTY276" s="192"/>
      <c r="UTZ276" s="192"/>
      <c r="UUA276" s="192"/>
      <c r="UUB276" s="192"/>
      <c r="UUC276" s="192"/>
      <c r="UUD276" s="192"/>
      <c r="UUE276" s="192"/>
      <c r="UUF276" s="192"/>
      <c r="UUG276" s="192"/>
      <c r="UUH276" s="192"/>
      <c r="UUI276" s="192"/>
      <c r="UUJ276" s="192"/>
      <c r="UUK276" s="192"/>
      <c r="UUL276" s="192"/>
      <c r="UUM276" s="192"/>
      <c r="UUN276" s="192"/>
      <c r="UUO276" s="192"/>
      <c r="UUP276" s="192"/>
      <c r="UUQ276" s="192"/>
      <c r="UUR276" s="192"/>
      <c r="UUS276" s="192"/>
      <c r="UUT276" s="192"/>
      <c r="UUU276" s="192"/>
      <c r="UUV276" s="192"/>
      <c r="UUW276" s="192"/>
      <c r="UUX276" s="192"/>
      <c r="UUY276" s="192"/>
      <c r="UUZ276" s="192"/>
      <c r="UVA276" s="192"/>
      <c r="UVB276" s="192"/>
      <c r="UVC276" s="192"/>
      <c r="UVD276" s="192"/>
      <c r="UVE276" s="192"/>
      <c r="UVF276" s="192"/>
      <c r="UVG276" s="192"/>
      <c r="UVH276" s="192"/>
      <c r="UVI276" s="192"/>
      <c r="UVJ276" s="192"/>
      <c r="UVK276" s="192"/>
      <c r="UVL276" s="192"/>
      <c r="UVM276" s="192"/>
      <c r="UVN276" s="192"/>
      <c r="UVO276" s="192"/>
      <c r="UVP276" s="192"/>
      <c r="UVQ276" s="192"/>
      <c r="UVR276" s="192"/>
      <c r="UVS276" s="192"/>
      <c r="UVT276" s="192"/>
      <c r="UVU276" s="192"/>
      <c r="UVV276" s="192"/>
      <c r="UVW276" s="192"/>
      <c r="UVX276" s="192"/>
      <c r="UVY276" s="192"/>
      <c r="UVZ276" s="192"/>
      <c r="UWA276" s="192"/>
      <c r="UWB276" s="192"/>
      <c r="UWC276" s="192"/>
      <c r="UWD276" s="192"/>
      <c r="UWE276" s="192"/>
      <c r="UWF276" s="192"/>
      <c r="UWG276" s="192"/>
      <c r="UWH276" s="192"/>
      <c r="UWI276" s="192"/>
      <c r="UWJ276" s="192"/>
      <c r="UWK276" s="192"/>
      <c r="UWL276" s="192"/>
      <c r="UWM276" s="192"/>
      <c r="UWN276" s="192"/>
      <c r="UWO276" s="192"/>
      <c r="UWP276" s="192"/>
      <c r="UWQ276" s="192"/>
      <c r="UWR276" s="192"/>
      <c r="UWS276" s="192"/>
      <c r="UWT276" s="192"/>
      <c r="UWU276" s="192"/>
      <c r="UWV276" s="192"/>
      <c r="UWW276" s="192"/>
      <c r="UWX276" s="192"/>
      <c r="UWY276" s="192"/>
      <c r="UWZ276" s="192"/>
      <c r="UXA276" s="192"/>
      <c r="UXB276" s="192"/>
      <c r="UXC276" s="192"/>
      <c r="UXD276" s="192"/>
      <c r="UXE276" s="192"/>
      <c r="UXF276" s="192"/>
      <c r="UXG276" s="192"/>
      <c r="UXH276" s="192"/>
      <c r="UXI276" s="192"/>
      <c r="UXJ276" s="192"/>
      <c r="UXK276" s="192"/>
      <c r="UXL276" s="192"/>
      <c r="UXM276" s="192"/>
      <c r="UXN276" s="192"/>
      <c r="UXO276" s="192"/>
      <c r="UXP276" s="192"/>
      <c r="UXQ276" s="192"/>
      <c r="UXR276" s="192"/>
      <c r="UXS276" s="192"/>
      <c r="UXT276" s="192"/>
      <c r="UXU276" s="192"/>
      <c r="UXV276" s="192"/>
      <c r="UXW276" s="192"/>
      <c r="UXX276" s="192"/>
      <c r="UXY276" s="192"/>
      <c r="UXZ276" s="192"/>
      <c r="UYA276" s="192"/>
      <c r="UYB276" s="192"/>
      <c r="UYC276" s="192"/>
      <c r="UYD276" s="192"/>
      <c r="UYE276" s="192"/>
      <c r="UYF276" s="192"/>
      <c r="UYG276" s="192"/>
      <c r="UYH276" s="192"/>
      <c r="UYI276" s="192"/>
      <c r="UYJ276" s="192"/>
      <c r="UYK276" s="192"/>
      <c r="UYL276" s="192"/>
      <c r="UYM276" s="192"/>
      <c r="UYN276" s="192"/>
      <c r="UYO276" s="192"/>
      <c r="UYP276" s="192"/>
      <c r="UYQ276" s="192"/>
      <c r="UYR276" s="192"/>
      <c r="UYS276" s="192"/>
      <c r="UYT276" s="192"/>
      <c r="UYU276" s="192"/>
      <c r="UYV276" s="192"/>
      <c r="UYW276" s="192"/>
      <c r="UYX276" s="192"/>
      <c r="UYY276" s="192"/>
      <c r="UYZ276" s="192"/>
      <c r="UZA276" s="192"/>
      <c r="UZB276" s="192"/>
      <c r="UZC276" s="192"/>
      <c r="UZD276" s="192"/>
      <c r="UZE276" s="192"/>
      <c r="UZF276" s="192"/>
      <c r="UZG276" s="192"/>
      <c r="UZH276" s="192"/>
      <c r="UZI276" s="192"/>
      <c r="UZJ276" s="192"/>
      <c r="UZK276" s="192"/>
      <c r="UZL276" s="192"/>
      <c r="UZM276" s="192"/>
      <c r="UZN276" s="192"/>
      <c r="UZO276" s="192"/>
      <c r="UZP276" s="192"/>
      <c r="UZQ276" s="192"/>
      <c r="UZR276" s="192"/>
      <c r="UZS276" s="192"/>
      <c r="UZT276" s="192"/>
      <c r="UZU276" s="192"/>
      <c r="UZV276" s="192"/>
      <c r="UZW276" s="192"/>
      <c r="UZX276" s="192"/>
      <c r="UZY276" s="192"/>
      <c r="UZZ276" s="192"/>
      <c r="VAA276" s="192"/>
      <c r="VAB276" s="192"/>
      <c r="VAC276" s="192"/>
      <c r="VAD276" s="192"/>
      <c r="VAE276" s="192"/>
      <c r="VAF276" s="192"/>
      <c r="VAG276" s="192"/>
      <c r="VAH276" s="192"/>
      <c r="VAI276" s="192"/>
      <c r="VAJ276" s="192"/>
      <c r="VAK276" s="192"/>
      <c r="VAL276" s="192"/>
      <c r="VAM276" s="192"/>
      <c r="VAN276" s="192"/>
      <c r="VAO276" s="192"/>
      <c r="VAP276" s="192"/>
      <c r="VAQ276" s="192"/>
      <c r="VAR276" s="192"/>
      <c r="VAS276" s="192"/>
      <c r="VAT276" s="192"/>
      <c r="VAU276" s="192"/>
      <c r="VAV276" s="192"/>
      <c r="VAW276" s="192"/>
      <c r="VAX276" s="192"/>
      <c r="VAY276" s="192"/>
      <c r="VAZ276" s="192"/>
      <c r="VBA276" s="192"/>
      <c r="VBB276" s="192"/>
      <c r="VBC276" s="192"/>
      <c r="VBD276" s="192"/>
      <c r="VBE276" s="192"/>
      <c r="VBF276" s="192"/>
      <c r="VBG276" s="192"/>
      <c r="VBH276" s="192"/>
      <c r="VBI276" s="192"/>
      <c r="VBJ276" s="192"/>
      <c r="VBK276" s="192"/>
      <c r="VBL276" s="192"/>
      <c r="VBM276" s="192"/>
      <c r="VBN276" s="192"/>
      <c r="VBO276" s="192"/>
      <c r="VBP276" s="192"/>
      <c r="VBQ276" s="192"/>
      <c r="VBR276" s="192"/>
      <c r="VBS276" s="192"/>
      <c r="VBT276" s="192"/>
      <c r="VBU276" s="192"/>
      <c r="VBV276" s="192"/>
      <c r="VBW276" s="192"/>
      <c r="VBX276" s="192"/>
      <c r="VBY276" s="192"/>
      <c r="VBZ276" s="192"/>
      <c r="VCA276" s="192"/>
      <c r="VCB276" s="192"/>
      <c r="VCC276" s="192"/>
      <c r="VCD276" s="192"/>
      <c r="VCE276" s="192"/>
      <c r="VCF276" s="192"/>
      <c r="VCG276" s="192"/>
      <c r="VCH276" s="192"/>
      <c r="VCI276" s="192"/>
      <c r="VCJ276" s="192"/>
      <c r="VCK276" s="192"/>
      <c r="VCL276" s="192"/>
      <c r="VCM276" s="192"/>
      <c r="VCN276" s="192"/>
      <c r="VCO276" s="192"/>
      <c r="VCP276" s="192"/>
      <c r="VCQ276" s="192"/>
      <c r="VCR276" s="192"/>
      <c r="VCS276" s="192"/>
      <c r="VCT276" s="192"/>
      <c r="VCU276" s="192"/>
      <c r="VCV276" s="192"/>
      <c r="VCW276" s="192"/>
      <c r="VCX276" s="192"/>
      <c r="VCY276" s="192"/>
      <c r="VCZ276" s="192"/>
      <c r="VDA276" s="192"/>
      <c r="VDB276" s="192"/>
      <c r="VDC276" s="192"/>
      <c r="VDD276" s="192"/>
      <c r="VDE276" s="192"/>
      <c r="VDF276" s="192"/>
      <c r="VDG276" s="192"/>
      <c r="VDH276" s="192"/>
      <c r="VDI276" s="192"/>
      <c r="VDJ276" s="192"/>
      <c r="VDK276" s="192"/>
      <c r="VDL276" s="192"/>
      <c r="VDM276" s="192"/>
      <c r="VDN276" s="192"/>
      <c r="VDO276" s="192"/>
      <c r="VDP276" s="192"/>
      <c r="VDQ276" s="192"/>
      <c r="VDR276" s="192"/>
      <c r="VDS276" s="192"/>
      <c r="VDT276" s="192"/>
      <c r="VDU276" s="192"/>
      <c r="VDV276" s="192"/>
      <c r="VDW276" s="192"/>
      <c r="VDX276" s="192"/>
      <c r="VDY276" s="192"/>
      <c r="VDZ276" s="192"/>
      <c r="VEA276" s="192"/>
      <c r="VEB276" s="192"/>
      <c r="VEC276" s="192"/>
      <c r="VED276" s="192"/>
      <c r="VEE276" s="192"/>
      <c r="VEF276" s="192"/>
      <c r="VEG276" s="192"/>
      <c r="VEH276" s="192"/>
      <c r="VEI276" s="192"/>
      <c r="VEJ276" s="192"/>
      <c r="VEK276" s="192"/>
      <c r="VEL276" s="192"/>
      <c r="VEM276" s="192"/>
      <c r="VEN276" s="192"/>
      <c r="VEO276" s="192"/>
      <c r="VEP276" s="192"/>
      <c r="VEQ276" s="192"/>
      <c r="VER276" s="192"/>
      <c r="VES276" s="192"/>
      <c r="VET276" s="192"/>
      <c r="VEU276" s="192"/>
      <c r="VEV276" s="192"/>
      <c r="VEW276" s="192"/>
      <c r="VEX276" s="192"/>
      <c r="VEY276" s="192"/>
      <c r="VEZ276" s="192"/>
      <c r="VFA276" s="192"/>
      <c r="VFB276" s="192"/>
      <c r="VFC276" s="192"/>
      <c r="VFD276" s="192"/>
      <c r="VFE276" s="192"/>
      <c r="VFF276" s="192"/>
      <c r="VFG276" s="192"/>
      <c r="VFH276" s="192"/>
      <c r="VFI276" s="192"/>
      <c r="VFJ276" s="192"/>
      <c r="VFK276" s="192"/>
      <c r="VFL276" s="192"/>
      <c r="VFM276" s="192"/>
      <c r="VFN276" s="192"/>
      <c r="VFO276" s="192"/>
      <c r="VFP276" s="192"/>
      <c r="VFQ276" s="192"/>
      <c r="VFR276" s="192"/>
      <c r="VFS276" s="192"/>
      <c r="VFT276" s="192"/>
      <c r="VFU276" s="192"/>
      <c r="VFV276" s="192"/>
      <c r="VFW276" s="192"/>
      <c r="VFX276" s="192"/>
      <c r="VFY276" s="192"/>
      <c r="VFZ276" s="192"/>
      <c r="VGA276" s="192"/>
      <c r="VGB276" s="192"/>
      <c r="VGC276" s="192"/>
      <c r="VGD276" s="192"/>
      <c r="VGE276" s="192"/>
      <c r="VGF276" s="192"/>
      <c r="VGG276" s="192"/>
      <c r="VGH276" s="192"/>
      <c r="VGI276" s="192"/>
      <c r="VGJ276" s="192"/>
      <c r="VGK276" s="192"/>
      <c r="VGL276" s="192"/>
      <c r="VGM276" s="192"/>
      <c r="VGN276" s="192"/>
      <c r="VGO276" s="192"/>
      <c r="VGP276" s="192"/>
      <c r="VGQ276" s="192"/>
      <c r="VGR276" s="192"/>
      <c r="VGS276" s="192"/>
      <c r="VGT276" s="192"/>
      <c r="VGU276" s="192"/>
      <c r="VGV276" s="192"/>
      <c r="VGW276" s="192"/>
      <c r="VGX276" s="192"/>
      <c r="VGY276" s="192"/>
      <c r="VGZ276" s="192"/>
      <c r="VHA276" s="192"/>
      <c r="VHB276" s="192"/>
      <c r="VHC276" s="192"/>
      <c r="VHD276" s="192"/>
      <c r="VHE276" s="192"/>
      <c r="VHF276" s="192"/>
      <c r="VHG276" s="192"/>
      <c r="VHH276" s="192"/>
      <c r="VHI276" s="192"/>
      <c r="VHJ276" s="192"/>
      <c r="VHK276" s="192"/>
      <c r="VHL276" s="192"/>
      <c r="VHM276" s="192"/>
      <c r="VHN276" s="192"/>
      <c r="VHO276" s="192"/>
      <c r="VHP276" s="192"/>
      <c r="VHQ276" s="192"/>
      <c r="VHR276" s="192"/>
      <c r="VHS276" s="192"/>
      <c r="VHT276" s="192"/>
      <c r="VHU276" s="192"/>
      <c r="VHV276" s="192"/>
      <c r="VHW276" s="192"/>
      <c r="VHX276" s="192"/>
      <c r="VHY276" s="192"/>
      <c r="VHZ276" s="192"/>
      <c r="VIA276" s="192"/>
      <c r="VIB276" s="192"/>
      <c r="VIC276" s="192"/>
      <c r="VID276" s="192"/>
      <c r="VIE276" s="192"/>
      <c r="VIF276" s="192"/>
      <c r="VIG276" s="192"/>
      <c r="VIH276" s="192"/>
      <c r="VII276" s="192"/>
      <c r="VIJ276" s="192"/>
      <c r="VIK276" s="192"/>
      <c r="VIL276" s="192"/>
      <c r="VIM276" s="192"/>
      <c r="VIN276" s="192"/>
      <c r="VIO276" s="192"/>
      <c r="VIP276" s="192"/>
      <c r="VIQ276" s="192"/>
      <c r="VIR276" s="192"/>
      <c r="VIS276" s="192"/>
      <c r="VIT276" s="192"/>
      <c r="VIU276" s="192"/>
      <c r="VIV276" s="192"/>
      <c r="VIW276" s="192"/>
      <c r="VIX276" s="192"/>
      <c r="VIY276" s="192"/>
      <c r="VIZ276" s="192"/>
      <c r="VJA276" s="192"/>
      <c r="VJB276" s="192"/>
      <c r="VJC276" s="192"/>
      <c r="VJD276" s="192"/>
      <c r="VJE276" s="192"/>
      <c r="VJF276" s="192"/>
      <c r="VJG276" s="192"/>
      <c r="VJH276" s="192"/>
      <c r="VJI276" s="192"/>
      <c r="VJJ276" s="192"/>
      <c r="VJK276" s="192"/>
      <c r="VJL276" s="192"/>
      <c r="VJM276" s="192"/>
      <c r="VJN276" s="192"/>
      <c r="VJO276" s="192"/>
      <c r="VJP276" s="192"/>
      <c r="VJQ276" s="192"/>
      <c r="VJR276" s="192"/>
      <c r="VJS276" s="192"/>
      <c r="VJT276" s="192"/>
      <c r="VJU276" s="192"/>
      <c r="VJV276" s="192"/>
      <c r="VJW276" s="192"/>
      <c r="VJX276" s="192"/>
      <c r="VJY276" s="192"/>
      <c r="VJZ276" s="192"/>
      <c r="VKA276" s="192"/>
      <c r="VKB276" s="192"/>
      <c r="VKC276" s="192"/>
      <c r="VKD276" s="192"/>
      <c r="VKE276" s="192"/>
      <c r="VKF276" s="192"/>
      <c r="VKG276" s="192"/>
      <c r="VKH276" s="192"/>
      <c r="VKI276" s="192"/>
      <c r="VKJ276" s="192"/>
      <c r="VKK276" s="192"/>
      <c r="VKL276" s="192"/>
      <c r="VKM276" s="192"/>
      <c r="VKN276" s="192"/>
      <c r="VKO276" s="192"/>
      <c r="VKP276" s="192"/>
      <c r="VKQ276" s="192"/>
      <c r="VKR276" s="192"/>
      <c r="VKS276" s="192"/>
      <c r="VKT276" s="192"/>
      <c r="VKU276" s="192"/>
      <c r="VKV276" s="192"/>
      <c r="VKW276" s="192"/>
      <c r="VKX276" s="192"/>
      <c r="VKY276" s="192"/>
      <c r="VKZ276" s="192"/>
      <c r="VLA276" s="192"/>
      <c r="VLB276" s="192"/>
      <c r="VLC276" s="192"/>
      <c r="VLD276" s="192"/>
      <c r="VLE276" s="192"/>
      <c r="VLF276" s="192"/>
      <c r="VLG276" s="192"/>
      <c r="VLH276" s="192"/>
      <c r="VLI276" s="192"/>
      <c r="VLJ276" s="192"/>
      <c r="VLK276" s="192"/>
      <c r="VLL276" s="192"/>
      <c r="VLM276" s="192"/>
      <c r="VLN276" s="192"/>
      <c r="VLO276" s="192"/>
      <c r="VLP276" s="192"/>
      <c r="VLQ276" s="192"/>
      <c r="VLR276" s="192"/>
      <c r="VLS276" s="192"/>
      <c r="VLT276" s="192"/>
      <c r="VLU276" s="192"/>
      <c r="VLV276" s="192"/>
      <c r="VLW276" s="192"/>
      <c r="VLX276" s="192"/>
      <c r="VLY276" s="192"/>
      <c r="VLZ276" s="192"/>
      <c r="VMA276" s="192"/>
      <c r="VMB276" s="192"/>
      <c r="VMC276" s="192"/>
      <c r="VMD276" s="192"/>
      <c r="VME276" s="192"/>
      <c r="VMF276" s="192"/>
      <c r="VMG276" s="192"/>
      <c r="VMH276" s="192"/>
      <c r="VMI276" s="192"/>
      <c r="VMJ276" s="192"/>
      <c r="VMK276" s="192"/>
      <c r="VML276" s="192"/>
      <c r="VMM276" s="192"/>
      <c r="VMN276" s="192"/>
      <c r="VMO276" s="192"/>
      <c r="VMP276" s="192"/>
      <c r="VMQ276" s="192"/>
      <c r="VMR276" s="192"/>
      <c r="VMS276" s="192"/>
      <c r="VMT276" s="192"/>
      <c r="VMU276" s="192"/>
      <c r="VMV276" s="192"/>
      <c r="VMW276" s="192"/>
      <c r="VMX276" s="192"/>
      <c r="VMY276" s="192"/>
      <c r="VMZ276" s="192"/>
      <c r="VNA276" s="192"/>
      <c r="VNB276" s="192"/>
      <c r="VNC276" s="192"/>
      <c r="VND276" s="192"/>
      <c r="VNE276" s="192"/>
      <c r="VNF276" s="192"/>
      <c r="VNG276" s="192"/>
      <c r="VNH276" s="192"/>
      <c r="VNI276" s="192"/>
      <c r="VNJ276" s="192"/>
      <c r="VNK276" s="192"/>
      <c r="VNL276" s="192"/>
      <c r="VNM276" s="192"/>
      <c r="VNN276" s="192"/>
      <c r="VNO276" s="192"/>
      <c r="VNP276" s="192"/>
      <c r="VNQ276" s="192"/>
      <c r="VNR276" s="192"/>
      <c r="VNS276" s="192"/>
      <c r="VNT276" s="192"/>
      <c r="VNU276" s="192"/>
      <c r="VNV276" s="192"/>
      <c r="VNW276" s="192"/>
      <c r="VNX276" s="192"/>
      <c r="VNY276" s="192"/>
      <c r="VNZ276" s="192"/>
      <c r="VOA276" s="192"/>
      <c r="VOB276" s="192"/>
      <c r="VOC276" s="192"/>
      <c r="VOD276" s="192"/>
      <c r="VOE276" s="192"/>
      <c r="VOF276" s="192"/>
      <c r="VOG276" s="192"/>
      <c r="VOH276" s="192"/>
      <c r="VOI276" s="192"/>
      <c r="VOJ276" s="192"/>
      <c r="VOK276" s="192"/>
      <c r="VOL276" s="192"/>
      <c r="VOM276" s="192"/>
      <c r="VON276" s="192"/>
      <c r="VOO276" s="192"/>
      <c r="VOP276" s="192"/>
      <c r="VOQ276" s="192"/>
      <c r="VOR276" s="192"/>
      <c r="VOS276" s="192"/>
      <c r="VOT276" s="192"/>
      <c r="VOU276" s="192"/>
      <c r="VOV276" s="192"/>
      <c r="VOW276" s="192"/>
      <c r="VOX276" s="192"/>
      <c r="VOY276" s="192"/>
      <c r="VOZ276" s="192"/>
      <c r="VPA276" s="192"/>
      <c r="VPB276" s="192"/>
      <c r="VPC276" s="192"/>
      <c r="VPD276" s="192"/>
      <c r="VPE276" s="192"/>
      <c r="VPF276" s="192"/>
      <c r="VPG276" s="192"/>
      <c r="VPH276" s="192"/>
      <c r="VPI276" s="192"/>
      <c r="VPJ276" s="192"/>
      <c r="VPK276" s="192"/>
      <c r="VPL276" s="192"/>
      <c r="VPM276" s="192"/>
      <c r="VPN276" s="192"/>
      <c r="VPO276" s="192"/>
      <c r="VPP276" s="192"/>
      <c r="VPQ276" s="192"/>
      <c r="VPR276" s="192"/>
      <c r="VPS276" s="192"/>
      <c r="VPT276" s="192"/>
      <c r="VPU276" s="192"/>
      <c r="VPV276" s="192"/>
      <c r="VPW276" s="192"/>
      <c r="VPX276" s="192"/>
      <c r="VPY276" s="192"/>
      <c r="VPZ276" s="192"/>
      <c r="VQA276" s="192"/>
      <c r="VQB276" s="192"/>
      <c r="VQC276" s="192"/>
      <c r="VQD276" s="192"/>
      <c r="VQE276" s="192"/>
      <c r="VQF276" s="192"/>
      <c r="VQG276" s="192"/>
      <c r="VQH276" s="192"/>
      <c r="VQI276" s="192"/>
      <c r="VQJ276" s="192"/>
      <c r="VQK276" s="192"/>
      <c r="VQL276" s="192"/>
      <c r="VQM276" s="192"/>
      <c r="VQN276" s="192"/>
      <c r="VQO276" s="192"/>
      <c r="VQP276" s="192"/>
      <c r="VQQ276" s="192"/>
      <c r="VQR276" s="192"/>
      <c r="VQS276" s="192"/>
      <c r="VQT276" s="192"/>
      <c r="VQU276" s="192"/>
      <c r="VQV276" s="192"/>
      <c r="VQW276" s="192"/>
      <c r="VQX276" s="192"/>
      <c r="VQY276" s="192"/>
      <c r="VQZ276" s="192"/>
      <c r="VRA276" s="192"/>
      <c r="VRB276" s="192"/>
      <c r="VRC276" s="192"/>
      <c r="VRD276" s="192"/>
      <c r="VRE276" s="192"/>
      <c r="VRF276" s="192"/>
      <c r="VRG276" s="192"/>
      <c r="VRH276" s="192"/>
      <c r="VRI276" s="192"/>
      <c r="VRJ276" s="192"/>
      <c r="VRK276" s="192"/>
      <c r="VRL276" s="192"/>
      <c r="VRM276" s="192"/>
      <c r="VRN276" s="192"/>
      <c r="VRO276" s="192"/>
      <c r="VRP276" s="192"/>
      <c r="VRQ276" s="192"/>
      <c r="VRR276" s="192"/>
      <c r="VRS276" s="192"/>
      <c r="VRT276" s="192"/>
      <c r="VRU276" s="192"/>
      <c r="VRV276" s="192"/>
      <c r="VRW276" s="192"/>
      <c r="VRX276" s="192"/>
      <c r="VRY276" s="192"/>
      <c r="VRZ276" s="192"/>
      <c r="VSA276" s="192"/>
      <c r="VSB276" s="192"/>
      <c r="VSC276" s="192"/>
      <c r="VSD276" s="192"/>
      <c r="VSE276" s="192"/>
      <c r="VSF276" s="192"/>
      <c r="VSG276" s="192"/>
      <c r="VSH276" s="192"/>
      <c r="VSI276" s="192"/>
      <c r="VSJ276" s="192"/>
      <c r="VSK276" s="192"/>
      <c r="VSL276" s="192"/>
      <c r="VSM276" s="192"/>
      <c r="VSN276" s="192"/>
      <c r="VSO276" s="192"/>
      <c r="VSP276" s="192"/>
      <c r="VSQ276" s="192"/>
      <c r="VSR276" s="192"/>
      <c r="VSS276" s="192"/>
      <c r="VST276" s="192"/>
      <c r="VSU276" s="192"/>
      <c r="VSV276" s="192"/>
      <c r="VSW276" s="192"/>
      <c r="VSX276" s="192"/>
      <c r="VSY276" s="192"/>
      <c r="VSZ276" s="192"/>
      <c r="VTA276" s="192"/>
      <c r="VTB276" s="192"/>
      <c r="VTC276" s="192"/>
      <c r="VTD276" s="192"/>
      <c r="VTE276" s="192"/>
      <c r="VTF276" s="192"/>
      <c r="VTG276" s="192"/>
      <c r="VTH276" s="192"/>
      <c r="VTI276" s="192"/>
      <c r="VTJ276" s="192"/>
      <c r="VTK276" s="192"/>
      <c r="VTL276" s="192"/>
      <c r="VTM276" s="192"/>
      <c r="VTN276" s="192"/>
      <c r="VTO276" s="192"/>
      <c r="VTP276" s="192"/>
      <c r="VTQ276" s="192"/>
      <c r="VTR276" s="192"/>
      <c r="VTS276" s="192"/>
      <c r="VTT276" s="192"/>
      <c r="VTU276" s="192"/>
      <c r="VTV276" s="192"/>
      <c r="VTW276" s="192"/>
      <c r="VTX276" s="192"/>
      <c r="VTY276" s="192"/>
      <c r="VTZ276" s="192"/>
      <c r="VUA276" s="192"/>
      <c r="VUB276" s="192"/>
      <c r="VUC276" s="192"/>
      <c r="VUD276" s="192"/>
      <c r="VUE276" s="192"/>
      <c r="VUF276" s="192"/>
      <c r="VUG276" s="192"/>
      <c r="VUH276" s="192"/>
      <c r="VUI276" s="192"/>
      <c r="VUJ276" s="192"/>
      <c r="VUK276" s="192"/>
      <c r="VUL276" s="192"/>
      <c r="VUM276" s="192"/>
      <c r="VUN276" s="192"/>
      <c r="VUO276" s="192"/>
      <c r="VUP276" s="192"/>
      <c r="VUQ276" s="192"/>
      <c r="VUR276" s="192"/>
      <c r="VUS276" s="192"/>
      <c r="VUT276" s="192"/>
      <c r="VUU276" s="192"/>
      <c r="VUV276" s="192"/>
      <c r="VUW276" s="192"/>
      <c r="VUX276" s="192"/>
      <c r="VUY276" s="192"/>
      <c r="VUZ276" s="192"/>
      <c r="VVA276" s="192"/>
      <c r="VVB276" s="192"/>
      <c r="VVC276" s="192"/>
      <c r="VVD276" s="192"/>
      <c r="VVE276" s="192"/>
      <c r="VVF276" s="192"/>
      <c r="VVG276" s="192"/>
      <c r="VVH276" s="192"/>
      <c r="VVI276" s="192"/>
      <c r="VVJ276" s="192"/>
      <c r="VVK276" s="192"/>
      <c r="VVL276" s="192"/>
      <c r="VVM276" s="192"/>
      <c r="VVN276" s="192"/>
      <c r="VVO276" s="192"/>
      <c r="VVP276" s="192"/>
      <c r="VVQ276" s="192"/>
      <c r="VVR276" s="192"/>
      <c r="VVS276" s="192"/>
      <c r="VVT276" s="192"/>
      <c r="VVU276" s="192"/>
      <c r="VVV276" s="192"/>
      <c r="VVW276" s="192"/>
      <c r="VVX276" s="192"/>
      <c r="VVY276" s="192"/>
      <c r="VVZ276" s="192"/>
      <c r="VWA276" s="192"/>
      <c r="VWB276" s="192"/>
      <c r="VWC276" s="192"/>
      <c r="VWD276" s="192"/>
      <c r="VWE276" s="192"/>
      <c r="VWF276" s="192"/>
      <c r="VWG276" s="192"/>
      <c r="VWH276" s="192"/>
      <c r="VWI276" s="192"/>
      <c r="VWJ276" s="192"/>
      <c r="VWK276" s="192"/>
      <c r="VWL276" s="192"/>
      <c r="VWM276" s="192"/>
      <c r="VWN276" s="192"/>
      <c r="VWO276" s="192"/>
      <c r="VWP276" s="192"/>
      <c r="VWQ276" s="192"/>
      <c r="VWR276" s="192"/>
      <c r="VWS276" s="192"/>
      <c r="VWT276" s="192"/>
      <c r="VWU276" s="192"/>
      <c r="VWV276" s="192"/>
      <c r="VWW276" s="192"/>
      <c r="VWX276" s="192"/>
      <c r="VWY276" s="192"/>
      <c r="VWZ276" s="192"/>
      <c r="VXA276" s="192"/>
      <c r="VXB276" s="192"/>
      <c r="VXC276" s="192"/>
      <c r="VXD276" s="192"/>
      <c r="VXE276" s="192"/>
      <c r="VXF276" s="192"/>
      <c r="VXG276" s="192"/>
      <c r="VXH276" s="192"/>
      <c r="VXI276" s="192"/>
      <c r="VXJ276" s="192"/>
      <c r="VXK276" s="192"/>
      <c r="VXL276" s="192"/>
      <c r="VXM276" s="192"/>
      <c r="VXN276" s="192"/>
      <c r="VXO276" s="192"/>
      <c r="VXP276" s="192"/>
      <c r="VXQ276" s="192"/>
      <c r="VXR276" s="192"/>
      <c r="VXS276" s="192"/>
      <c r="VXT276" s="192"/>
      <c r="VXU276" s="192"/>
      <c r="VXV276" s="192"/>
      <c r="VXW276" s="192"/>
      <c r="VXX276" s="192"/>
      <c r="VXY276" s="192"/>
      <c r="VXZ276" s="192"/>
      <c r="VYA276" s="192"/>
      <c r="VYB276" s="192"/>
      <c r="VYC276" s="192"/>
      <c r="VYD276" s="192"/>
      <c r="VYE276" s="192"/>
      <c r="VYF276" s="192"/>
      <c r="VYG276" s="192"/>
      <c r="VYH276" s="192"/>
      <c r="VYI276" s="192"/>
      <c r="VYJ276" s="192"/>
      <c r="VYK276" s="192"/>
      <c r="VYL276" s="192"/>
      <c r="VYM276" s="192"/>
      <c r="VYN276" s="192"/>
      <c r="VYO276" s="192"/>
      <c r="VYP276" s="192"/>
      <c r="VYQ276" s="192"/>
      <c r="VYR276" s="192"/>
      <c r="VYS276" s="192"/>
      <c r="VYT276" s="192"/>
      <c r="VYU276" s="192"/>
      <c r="VYV276" s="192"/>
      <c r="VYW276" s="192"/>
      <c r="VYX276" s="192"/>
      <c r="VYY276" s="192"/>
      <c r="VYZ276" s="192"/>
      <c r="VZA276" s="192"/>
      <c r="VZB276" s="192"/>
      <c r="VZC276" s="192"/>
      <c r="VZD276" s="192"/>
      <c r="VZE276" s="192"/>
      <c r="VZF276" s="192"/>
      <c r="VZG276" s="192"/>
      <c r="VZH276" s="192"/>
      <c r="VZI276" s="192"/>
      <c r="VZJ276" s="192"/>
      <c r="VZK276" s="192"/>
      <c r="VZL276" s="192"/>
      <c r="VZM276" s="192"/>
      <c r="VZN276" s="192"/>
      <c r="VZO276" s="192"/>
      <c r="VZP276" s="192"/>
      <c r="VZQ276" s="192"/>
      <c r="VZR276" s="192"/>
      <c r="VZS276" s="192"/>
      <c r="VZT276" s="192"/>
      <c r="VZU276" s="192"/>
      <c r="VZV276" s="192"/>
      <c r="VZW276" s="192"/>
      <c r="VZX276" s="192"/>
      <c r="VZY276" s="192"/>
      <c r="VZZ276" s="192"/>
      <c r="WAA276" s="192"/>
      <c r="WAB276" s="192"/>
      <c r="WAC276" s="192"/>
      <c r="WAD276" s="192"/>
      <c r="WAE276" s="192"/>
      <c r="WAF276" s="192"/>
      <c r="WAG276" s="192"/>
      <c r="WAH276" s="192"/>
      <c r="WAI276" s="192"/>
      <c r="WAJ276" s="192"/>
      <c r="WAK276" s="192"/>
      <c r="WAL276" s="192"/>
      <c r="WAM276" s="192"/>
      <c r="WAN276" s="192"/>
      <c r="WAO276" s="192"/>
      <c r="WAP276" s="192"/>
      <c r="WAQ276" s="192"/>
      <c r="WAR276" s="192"/>
      <c r="WAS276" s="192"/>
      <c r="WAT276" s="192"/>
      <c r="WAU276" s="192"/>
      <c r="WAV276" s="192"/>
      <c r="WAW276" s="192"/>
      <c r="WAX276" s="192"/>
      <c r="WAY276" s="192"/>
      <c r="WAZ276" s="192"/>
      <c r="WBA276" s="192"/>
      <c r="WBB276" s="192"/>
      <c r="WBC276" s="192"/>
      <c r="WBD276" s="192"/>
      <c r="WBE276" s="192"/>
      <c r="WBF276" s="192"/>
      <c r="WBG276" s="192"/>
      <c r="WBH276" s="192"/>
      <c r="WBI276" s="192"/>
      <c r="WBJ276" s="192"/>
      <c r="WBK276" s="192"/>
      <c r="WBL276" s="192"/>
      <c r="WBM276" s="192"/>
      <c r="WBN276" s="192"/>
      <c r="WBO276" s="192"/>
      <c r="WBP276" s="192"/>
      <c r="WBQ276" s="192"/>
      <c r="WBR276" s="192"/>
      <c r="WBS276" s="192"/>
      <c r="WBT276" s="192"/>
      <c r="WBU276" s="192"/>
      <c r="WBV276" s="192"/>
      <c r="WBW276" s="192"/>
      <c r="WBX276" s="192"/>
      <c r="WBY276" s="192"/>
      <c r="WBZ276" s="192"/>
      <c r="WCA276" s="192"/>
      <c r="WCB276" s="192"/>
      <c r="WCC276" s="192"/>
      <c r="WCD276" s="192"/>
      <c r="WCE276" s="192"/>
      <c r="WCF276" s="192"/>
      <c r="WCG276" s="192"/>
      <c r="WCH276" s="192"/>
      <c r="WCI276" s="192"/>
      <c r="WCJ276" s="192"/>
      <c r="WCK276" s="192"/>
      <c r="WCL276" s="192"/>
      <c r="WCM276" s="192"/>
      <c r="WCN276" s="192"/>
      <c r="WCO276" s="192"/>
      <c r="WCP276" s="192"/>
      <c r="WCQ276" s="192"/>
      <c r="WCR276" s="192"/>
      <c r="WCS276" s="192"/>
      <c r="WCT276" s="192"/>
      <c r="WCU276" s="192"/>
      <c r="WCV276" s="192"/>
      <c r="WCW276" s="192"/>
      <c r="WCX276" s="192"/>
      <c r="WCY276" s="192"/>
      <c r="WCZ276" s="192"/>
      <c r="WDA276" s="192"/>
      <c r="WDB276" s="192"/>
      <c r="WDC276" s="192"/>
      <c r="WDD276" s="192"/>
      <c r="WDE276" s="192"/>
      <c r="WDF276" s="192"/>
      <c r="WDG276" s="192"/>
      <c r="WDH276" s="192"/>
      <c r="WDI276" s="192"/>
      <c r="WDJ276" s="192"/>
      <c r="WDK276" s="192"/>
      <c r="WDL276" s="192"/>
      <c r="WDM276" s="192"/>
      <c r="WDN276" s="192"/>
      <c r="WDO276" s="192"/>
      <c r="WDP276" s="192"/>
      <c r="WDQ276" s="192"/>
      <c r="WDR276" s="192"/>
      <c r="WDS276" s="192"/>
      <c r="WDT276" s="192"/>
      <c r="WDU276" s="192"/>
      <c r="WDV276" s="192"/>
      <c r="WDW276" s="192"/>
      <c r="WDX276" s="192"/>
      <c r="WDY276" s="192"/>
      <c r="WDZ276" s="192"/>
      <c r="WEA276" s="192"/>
      <c r="WEB276" s="192"/>
      <c r="WEC276" s="192"/>
      <c r="WED276" s="192"/>
      <c r="WEE276" s="192"/>
      <c r="WEF276" s="192"/>
      <c r="WEG276" s="192"/>
      <c r="WEH276" s="192"/>
      <c r="WEI276" s="192"/>
      <c r="WEJ276" s="192"/>
      <c r="WEK276" s="192"/>
      <c r="WEL276" s="192"/>
      <c r="WEM276" s="192"/>
      <c r="WEN276" s="192"/>
      <c r="WEO276" s="192"/>
      <c r="WEP276" s="192"/>
      <c r="WEQ276" s="192"/>
      <c r="WER276" s="192"/>
      <c r="WES276" s="192"/>
      <c r="WET276" s="192"/>
      <c r="WEU276" s="192"/>
      <c r="WEV276" s="192"/>
      <c r="WEW276" s="192"/>
      <c r="WEX276" s="192"/>
      <c r="WEY276" s="192"/>
      <c r="WEZ276" s="192"/>
      <c r="WFA276" s="192"/>
      <c r="WFB276" s="192"/>
      <c r="WFC276" s="192"/>
      <c r="WFD276" s="192"/>
      <c r="WFE276" s="192"/>
      <c r="WFF276" s="192"/>
      <c r="WFG276" s="192"/>
      <c r="WFH276" s="192"/>
      <c r="WFI276" s="192"/>
      <c r="WFJ276" s="192"/>
      <c r="WFK276" s="192"/>
      <c r="WFL276" s="192"/>
      <c r="WFM276" s="192"/>
      <c r="WFN276" s="192"/>
      <c r="WFO276" s="192"/>
      <c r="WFP276" s="192"/>
      <c r="WFQ276" s="192"/>
      <c r="WFR276" s="192"/>
      <c r="WFS276" s="192"/>
      <c r="WFT276" s="192"/>
      <c r="WFU276" s="192"/>
      <c r="WFV276" s="192"/>
      <c r="WFW276" s="192"/>
      <c r="WFX276" s="192"/>
      <c r="WFY276" s="192"/>
      <c r="WFZ276" s="192"/>
      <c r="WGA276" s="192"/>
      <c r="WGB276" s="192"/>
      <c r="WGC276" s="192"/>
      <c r="WGD276" s="192"/>
      <c r="WGE276" s="192"/>
      <c r="WGF276" s="192"/>
      <c r="WGG276" s="192"/>
      <c r="WGH276" s="192"/>
      <c r="WGI276" s="192"/>
      <c r="WGJ276" s="192"/>
      <c r="WGK276" s="192"/>
      <c r="WGL276" s="192"/>
      <c r="WGM276" s="192"/>
      <c r="WGN276" s="192"/>
      <c r="WGO276" s="192"/>
      <c r="WGP276" s="192"/>
      <c r="WGQ276" s="192"/>
      <c r="WGR276" s="192"/>
      <c r="WGS276" s="192"/>
      <c r="WGT276" s="192"/>
      <c r="WGU276" s="192"/>
      <c r="WGV276" s="192"/>
      <c r="WGW276" s="192"/>
      <c r="WGX276" s="192"/>
      <c r="WGY276" s="192"/>
      <c r="WGZ276" s="192"/>
      <c r="WHA276" s="192"/>
      <c r="WHB276" s="192"/>
      <c r="WHC276" s="192"/>
      <c r="WHD276" s="192"/>
      <c r="WHE276" s="192"/>
      <c r="WHF276" s="192"/>
      <c r="WHG276" s="192"/>
      <c r="WHH276" s="192"/>
      <c r="WHI276" s="192"/>
      <c r="WHJ276" s="192"/>
      <c r="WHK276" s="192"/>
      <c r="WHL276" s="192"/>
      <c r="WHM276" s="192"/>
      <c r="WHN276" s="192"/>
      <c r="WHO276" s="192"/>
      <c r="WHP276" s="192"/>
      <c r="WHQ276" s="192"/>
      <c r="WHR276" s="192"/>
      <c r="WHS276" s="192"/>
      <c r="WHT276" s="192"/>
      <c r="WHU276" s="192"/>
      <c r="WHV276" s="192"/>
      <c r="WHW276" s="192"/>
      <c r="WHX276" s="192"/>
      <c r="WHY276" s="192"/>
      <c r="WHZ276" s="192"/>
      <c r="WIA276" s="192"/>
      <c r="WIB276" s="192"/>
      <c r="WIC276" s="192"/>
      <c r="WID276" s="192"/>
      <c r="WIE276" s="192"/>
      <c r="WIF276" s="192"/>
      <c r="WIG276" s="192"/>
      <c r="WIH276" s="192"/>
      <c r="WII276" s="192"/>
      <c r="WIJ276" s="192"/>
      <c r="WIK276" s="192"/>
      <c r="WIL276" s="192"/>
      <c r="WIM276" s="192"/>
      <c r="WIN276" s="192"/>
      <c r="WIO276" s="192"/>
      <c r="WIP276" s="192"/>
      <c r="WIQ276" s="192"/>
      <c r="WIR276" s="192"/>
      <c r="WIS276" s="192"/>
      <c r="WIT276" s="192"/>
      <c r="WIU276" s="192"/>
      <c r="WIV276" s="192"/>
      <c r="WIW276" s="192"/>
      <c r="WIX276" s="192"/>
      <c r="WIY276" s="192"/>
      <c r="WIZ276" s="192"/>
      <c r="WJA276" s="192"/>
      <c r="WJB276" s="192"/>
      <c r="WJC276" s="192"/>
      <c r="WJD276" s="192"/>
      <c r="WJE276" s="192"/>
      <c r="WJF276" s="192"/>
      <c r="WJG276" s="192"/>
      <c r="WJH276" s="192"/>
      <c r="WJI276" s="192"/>
      <c r="WJJ276" s="192"/>
      <c r="WJK276" s="192"/>
      <c r="WJL276" s="192"/>
      <c r="WJM276" s="192"/>
      <c r="WJN276" s="192"/>
      <c r="WJO276" s="192"/>
      <c r="WJP276" s="192"/>
      <c r="WJQ276" s="192"/>
      <c r="WJR276" s="192"/>
      <c r="WJS276" s="192"/>
      <c r="WJT276" s="192"/>
      <c r="WJU276" s="192"/>
      <c r="WJV276" s="192"/>
      <c r="WJW276" s="192"/>
      <c r="WJX276" s="192"/>
      <c r="WJY276" s="192"/>
      <c r="WJZ276" s="192"/>
      <c r="WKA276" s="192"/>
      <c r="WKB276" s="192"/>
      <c r="WKC276" s="192"/>
      <c r="WKD276" s="192"/>
      <c r="WKE276" s="192"/>
      <c r="WKF276" s="192"/>
      <c r="WKG276" s="192"/>
      <c r="WKH276" s="192"/>
      <c r="WKI276" s="192"/>
      <c r="WKJ276" s="192"/>
      <c r="WKK276" s="192"/>
      <c r="WKL276" s="192"/>
      <c r="WKM276" s="192"/>
      <c r="WKN276" s="192"/>
      <c r="WKO276" s="192"/>
      <c r="WKP276" s="192"/>
      <c r="WKQ276" s="192"/>
      <c r="WKR276" s="192"/>
      <c r="WKS276" s="192"/>
      <c r="WKT276" s="192"/>
      <c r="WKU276" s="192"/>
      <c r="WKV276" s="192"/>
      <c r="WKW276" s="192"/>
      <c r="WKX276" s="192"/>
      <c r="WKY276" s="192"/>
      <c r="WKZ276" s="192"/>
      <c r="WLA276" s="192"/>
      <c r="WLB276" s="192"/>
      <c r="WLC276" s="192"/>
      <c r="WLD276" s="192"/>
      <c r="WLE276" s="192"/>
      <c r="WLF276" s="192"/>
      <c r="WLG276" s="192"/>
      <c r="WLH276" s="192"/>
      <c r="WLI276" s="192"/>
      <c r="WLJ276" s="192"/>
      <c r="WLK276" s="192"/>
      <c r="WLL276" s="192"/>
      <c r="WLM276" s="192"/>
      <c r="WLN276" s="192"/>
      <c r="WLO276" s="192"/>
      <c r="WLP276" s="192"/>
      <c r="WLQ276" s="192"/>
      <c r="WLR276" s="192"/>
      <c r="WLS276" s="192"/>
      <c r="WLT276" s="192"/>
      <c r="WLU276" s="192"/>
      <c r="WLV276" s="192"/>
      <c r="WLW276" s="192"/>
      <c r="WLX276" s="192"/>
      <c r="WLY276" s="192"/>
      <c r="WLZ276" s="192"/>
      <c r="WMA276" s="192"/>
      <c r="WMB276" s="192"/>
      <c r="WMC276" s="192"/>
      <c r="WMD276" s="192"/>
      <c r="WME276" s="192"/>
      <c r="WMF276" s="192"/>
      <c r="WMG276" s="192"/>
      <c r="WMH276" s="192"/>
      <c r="WMI276" s="192"/>
      <c r="WMJ276" s="192"/>
      <c r="WMK276" s="192"/>
      <c r="WML276" s="192"/>
      <c r="WMM276" s="192"/>
      <c r="WMN276" s="192"/>
      <c r="WMO276" s="192"/>
      <c r="WMP276" s="192"/>
      <c r="WMQ276" s="192"/>
      <c r="WMR276" s="192"/>
      <c r="WMS276" s="192"/>
      <c r="WMT276" s="192"/>
      <c r="WMU276" s="192"/>
      <c r="WMV276" s="192"/>
      <c r="WMW276" s="192"/>
      <c r="WMX276" s="192"/>
      <c r="WMY276" s="192"/>
      <c r="WMZ276" s="192"/>
      <c r="WNA276" s="192"/>
      <c r="WNB276" s="192"/>
      <c r="WNC276" s="192"/>
      <c r="WND276" s="192"/>
      <c r="WNE276" s="192"/>
      <c r="WNF276" s="192"/>
      <c r="WNG276" s="192"/>
      <c r="WNH276" s="192"/>
      <c r="WNI276" s="192"/>
      <c r="WNJ276" s="192"/>
      <c r="WNK276" s="192"/>
      <c r="WNL276" s="192"/>
      <c r="WNM276" s="192"/>
      <c r="WNN276" s="192"/>
      <c r="WNO276" s="192"/>
      <c r="WNP276" s="192"/>
      <c r="WNQ276" s="192"/>
      <c r="WNR276" s="192"/>
      <c r="WNS276" s="192"/>
      <c r="WNT276" s="192"/>
      <c r="WNU276" s="192"/>
      <c r="WNV276" s="192"/>
      <c r="WNW276" s="192"/>
      <c r="WNX276" s="192"/>
      <c r="WNY276" s="192"/>
      <c r="WNZ276" s="192"/>
      <c r="WOA276" s="192"/>
      <c r="WOB276" s="192"/>
      <c r="WOC276" s="192"/>
      <c r="WOD276" s="192"/>
      <c r="WOE276" s="192"/>
      <c r="WOF276" s="192"/>
      <c r="WOG276" s="192"/>
      <c r="WOH276" s="192"/>
      <c r="WOI276" s="192"/>
      <c r="WOJ276" s="192"/>
      <c r="WOK276" s="192"/>
      <c r="WOL276" s="192"/>
      <c r="WOM276" s="192"/>
      <c r="WON276" s="192"/>
      <c r="WOO276" s="192"/>
      <c r="WOP276" s="192"/>
      <c r="WOQ276" s="192"/>
      <c r="WOR276" s="192"/>
      <c r="WOS276" s="192"/>
      <c r="WOT276" s="192"/>
      <c r="WOU276" s="192"/>
      <c r="WOV276" s="192"/>
      <c r="WOW276" s="192"/>
      <c r="WOX276" s="192"/>
      <c r="WOY276" s="192"/>
      <c r="WOZ276" s="192"/>
      <c r="WPA276" s="192"/>
      <c r="WPB276" s="192"/>
      <c r="WPC276" s="192"/>
      <c r="WPD276" s="192"/>
      <c r="WPE276" s="192"/>
      <c r="WPF276" s="192"/>
      <c r="WPG276" s="192"/>
      <c r="WPH276" s="192"/>
      <c r="WPI276" s="192"/>
      <c r="WPJ276" s="192"/>
      <c r="WPK276" s="192"/>
      <c r="WPL276" s="192"/>
      <c r="WPM276" s="192"/>
      <c r="WPN276" s="192"/>
      <c r="WPO276" s="192"/>
      <c r="WPP276" s="192"/>
      <c r="WPQ276" s="192"/>
      <c r="WPR276" s="192"/>
      <c r="WPS276" s="192"/>
      <c r="WPT276" s="192"/>
      <c r="WPU276" s="192"/>
      <c r="WPV276" s="192"/>
      <c r="WPW276" s="192"/>
      <c r="WPX276" s="192"/>
      <c r="WPY276" s="192"/>
      <c r="WPZ276" s="192"/>
      <c r="WQA276" s="192"/>
      <c r="WQB276" s="192"/>
      <c r="WQC276" s="192"/>
      <c r="WQD276" s="192"/>
      <c r="WQE276" s="192"/>
      <c r="WQF276" s="192"/>
      <c r="WQG276" s="192"/>
      <c r="WQH276" s="192"/>
      <c r="WQI276" s="192"/>
      <c r="WQJ276" s="192"/>
      <c r="WQK276" s="192"/>
      <c r="WQL276" s="192"/>
      <c r="WQM276" s="192"/>
      <c r="WQN276" s="192"/>
      <c r="WQO276" s="192"/>
      <c r="WQP276" s="192"/>
      <c r="WQQ276" s="192"/>
      <c r="WQR276" s="192"/>
      <c r="WQS276" s="192"/>
      <c r="WQT276" s="192"/>
      <c r="WQU276" s="192"/>
      <c r="WQV276" s="192"/>
      <c r="WQW276" s="192"/>
      <c r="WQX276" s="192"/>
      <c r="WQY276" s="192"/>
      <c r="WQZ276" s="192"/>
      <c r="WRA276" s="192"/>
      <c r="WRB276" s="192"/>
      <c r="WRC276" s="192"/>
      <c r="WRD276" s="192"/>
      <c r="WRE276" s="192"/>
      <c r="WRF276" s="192"/>
      <c r="WRG276" s="192"/>
      <c r="WRH276" s="192"/>
      <c r="WRI276" s="192"/>
      <c r="WRJ276" s="192"/>
      <c r="WRK276" s="192"/>
      <c r="WRL276" s="192"/>
      <c r="WRM276" s="192"/>
      <c r="WRN276" s="192"/>
      <c r="WRO276" s="192"/>
      <c r="WRP276" s="192"/>
      <c r="WRQ276" s="192"/>
      <c r="WRR276" s="192"/>
      <c r="WRS276" s="192"/>
      <c r="WRT276" s="192"/>
      <c r="WRU276" s="192"/>
      <c r="WRV276" s="192"/>
      <c r="WRW276" s="192"/>
      <c r="WRX276" s="192"/>
      <c r="WRY276" s="192"/>
      <c r="WRZ276" s="192"/>
      <c r="WSA276" s="192"/>
      <c r="WSB276" s="192"/>
      <c r="WSC276" s="192"/>
      <c r="WSD276" s="192"/>
      <c r="WSE276" s="192"/>
      <c r="WSF276" s="192"/>
      <c r="WSG276" s="192"/>
      <c r="WSH276" s="192"/>
      <c r="WSI276" s="192"/>
      <c r="WSJ276" s="192"/>
      <c r="WSK276" s="192"/>
      <c r="WSL276" s="192"/>
      <c r="WSM276" s="192"/>
      <c r="WSN276" s="192"/>
      <c r="WSO276" s="192"/>
      <c r="WSP276" s="192"/>
      <c r="WSQ276" s="192"/>
      <c r="WSR276" s="192"/>
      <c r="WSS276" s="192"/>
      <c r="WST276" s="192"/>
      <c r="WSU276" s="192"/>
      <c r="WSV276" s="192"/>
      <c r="WSW276" s="192"/>
      <c r="WSX276" s="192"/>
      <c r="WSY276" s="192"/>
      <c r="WSZ276" s="192"/>
      <c r="WTA276" s="192"/>
      <c r="WTB276" s="192"/>
      <c r="WTC276" s="192"/>
      <c r="WTD276" s="192"/>
      <c r="WTE276" s="192"/>
      <c r="WTF276" s="192"/>
      <c r="WTG276" s="192"/>
      <c r="WTH276" s="192"/>
      <c r="WTI276" s="192"/>
      <c r="WTJ276" s="192"/>
      <c r="WTK276" s="192"/>
      <c r="WTL276" s="192"/>
      <c r="WTM276" s="192"/>
      <c r="WTN276" s="192"/>
      <c r="WTO276" s="192"/>
      <c r="WTP276" s="192"/>
      <c r="WTQ276" s="192"/>
      <c r="WTR276" s="192"/>
      <c r="WTS276" s="192"/>
      <c r="WTT276" s="192"/>
      <c r="WTU276" s="192"/>
      <c r="WTV276" s="192"/>
      <c r="WTW276" s="192"/>
      <c r="WTX276" s="192"/>
      <c r="WTY276" s="192"/>
      <c r="WTZ276" s="192"/>
      <c r="WUA276" s="192"/>
      <c r="WUB276" s="192"/>
      <c r="WUC276" s="192"/>
      <c r="WUD276" s="192"/>
      <c r="WUE276" s="192"/>
      <c r="WUF276" s="192"/>
      <c r="WUG276" s="192"/>
      <c r="WUH276" s="192"/>
      <c r="WUI276" s="192"/>
      <c r="WUJ276" s="192"/>
      <c r="WUK276" s="192"/>
      <c r="WUL276" s="192"/>
      <c r="WUM276" s="192"/>
      <c r="WUN276" s="192"/>
      <c r="WUO276" s="192"/>
      <c r="WUP276" s="192"/>
      <c r="WUQ276" s="192"/>
      <c r="WUR276" s="192"/>
      <c r="WUS276" s="192"/>
      <c r="WUT276" s="192"/>
      <c r="WUU276" s="192"/>
      <c r="WUV276" s="192"/>
      <c r="WUW276" s="192"/>
      <c r="WUX276" s="192"/>
      <c r="WUY276" s="192"/>
      <c r="WUZ276" s="192"/>
      <c r="WVA276" s="192"/>
      <c r="WVB276" s="192"/>
      <c r="WVC276" s="192"/>
      <c r="WVD276" s="192"/>
      <c r="WVE276" s="192"/>
      <c r="WVF276" s="192"/>
      <c r="WVG276" s="192"/>
      <c r="WVH276" s="192"/>
      <c r="WVI276" s="192"/>
      <c r="WVJ276" s="192"/>
      <c r="WVK276" s="192"/>
      <c r="WVL276" s="192"/>
      <c r="WVM276" s="192"/>
      <c r="WVN276" s="192"/>
      <c r="WVO276" s="192"/>
      <c r="WVP276" s="192"/>
      <c r="WVQ276" s="192"/>
      <c r="WVR276" s="192"/>
      <c r="WVS276" s="192"/>
      <c r="WVT276" s="192"/>
      <c r="WVU276" s="192"/>
      <c r="WVV276" s="192"/>
      <c r="WVW276" s="192"/>
      <c r="WVX276" s="192"/>
      <c r="WVY276" s="192"/>
      <c r="WVZ276" s="192"/>
      <c r="WWA276" s="192"/>
      <c r="WWB276" s="192"/>
      <c r="WWC276" s="192"/>
      <c r="WWD276" s="192"/>
      <c r="WWE276" s="192"/>
      <c r="WWF276" s="192"/>
      <c r="WWG276" s="192"/>
      <c r="WWH276" s="192"/>
      <c r="WWI276" s="192"/>
      <c r="WWJ276" s="192"/>
      <c r="WWK276" s="192"/>
      <c r="WWL276" s="192"/>
      <c r="WWM276" s="192"/>
      <c r="WWN276" s="192"/>
      <c r="WWO276" s="192"/>
      <c r="WWP276" s="192"/>
      <c r="WWQ276" s="192"/>
      <c r="WWR276" s="192"/>
      <c r="WWS276" s="192"/>
      <c r="WWT276" s="192"/>
      <c r="WWU276" s="192"/>
      <c r="WWV276" s="192"/>
      <c r="WWW276" s="192"/>
      <c r="WWX276" s="192"/>
      <c r="WWY276" s="192"/>
      <c r="WWZ276" s="192"/>
      <c r="WXA276" s="192"/>
      <c r="WXB276" s="192"/>
      <c r="WXC276" s="192"/>
      <c r="WXD276" s="192"/>
      <c r="WXE276" s="192"/>
      <c r="WXF276" s="192"/>
      <c r="WXG276" s="192"/>
      <c r="WXH276" s="192"/>
      <c r="WXI276" s="192"/>
      <c r="WXJ276" s="192"/>
      <c r="WXK276" s="192"/>
      <c r="WXL276" s="192"/>
      <c r="WXM276" s="192"/>
      <c r="WXN276" s="192"/>
      <c r="WXO276" s="192"/>
      <c r="WXP276" s="192"/>
      <c r="WXQ276" s="192"/>
      <c r="WXR276" s="192"/>
      <c r="WXS276" s="192"/>
      <c r="WXT276" s="192"/>
      <c r="WXU276" s="192"/>
      <c r="WXV276" s="192"/>
      <c r="WXW276" s="192"/>
      <c r="WXX276" s="192"/>
      <c r="WXY276" s="192"/>
      <c r="WXZ276" s="192"/>
      <c r="WYA276" s="192"/>
      <c r="WYB276" s="192"/>
      <c r="WYC276" s="192"/>
      <c r="WYD276" s="192"/>
      <c r="WYE276" s="192"/>
      <c r="WYF276" s="192"/>
      <c r="WYG276" s="192"/>
      <c r="WYH276" s="192"/>
      <c r="WYI276" s="192"/>
      <c r="WYJ276" s="192"/>
      <c r="WYK276" s="192"/>
      <c r="WYL276" s="192"/>
      <c r="WYM276" s="192"/>
      <c r="WYN276" s="192"/>
      <c r="WYO276" s="192"/>
      <c r="WYP276" s="192"/>
      <c r="WYQ276" s="192"/>
      <c r="WYR276" s="192"/>
      <c r="WYS276" s="192"/>
      <c r="WYT276" s="192"/>
      <c r="WYU276" s="192"/>
      <c r="WYV276" s="192"/>
      <c r="WYW276" s="192"/>
      <c r="WYX276" s="192"/>
      <c r="WYY276" s="192"/>
      <c r="WYZ276" s="192"/>
      <c r="WZA276" s="192"/>
      <c r="WZB276" s="192"/>
      <c r="WZC276" s="192"/>
      <c r="WZD276" s="192"/>
      <c r="WZE276" s="192"/>
      <c r="WZF276" s="192"/>
      <c r="WZG276" s="192"/>
      <c r="WZH276" s="192"/>
      <c r="WZI276" s="192"/>
      <c r="WZJ276" s="192"/>
      <c r="WZK276" s="192"/>
      <c r="WZL276" s="192"/>
      <c r="WZM276" s="192"/>
      <c r="WZN276" s="192"/>
      <c r="WZO276" s="192"/>
      <c r="WZP276" s="192"/>
      <c r="WZQ276" s="192"/>
      <c r="WZR276" s="192"/>
      <c r="WZS276" s="192"/>
      <c r="WZT276" s="192"/>
      <c r="WZU276" s="192"/>
      <c r="WZV276" s="192"/>
      <c r="WZW276" s="192"/>
      <c r="WZX276" s="192"/>
      <c r="WZY276" s="192"/>
      <c r="WZZ276" s="192"/>
      <c r="XAA276" s="192"/>
      <c r="XAB276" s="192"/>
      <c r="XAC276" s="192"/>
      <c r="XAD276" s="192"/>
      <c r="XAE276" s="192"/>
      <c r="XAF276" s="192"/>
      <c r="XAG276" s="192"/>
      <c r="XAH276" s="192"/>
      <c r="XAI276" s="192"/>
      <c r="XAJ276" s="192"/>
      <c r="XAK276" s="192"/>
      <c r="XAL276" s="192"/>
      <c r="XAM276" s="192"/>
      <c r="XAN276" s="192"/>
      <c r="XAO276" s="192"/>
      <c r="XAP276" s="192"/>
      <c r="XAQ276" s="192"/>
      <c r="XAR276" s="192"/>
      <c r="XAS276" s="192"/>
      <c r="XAT276" s="192"/>
      <c r="XAU276" s="192"/>
      <c r="XAV276" s="192"/>
      <c r="XAW276" s="192"/>
      <c r="XAX276" s="192"/>
      <c r="XAY276" s="192"/>
      <c r="XAZ276" s="192"/>
      <c r="XBA276" s="192"/>
      <c r="XBB276" s="192"/>
      <c r="XBC276" s="192"/>
      <c r="XBD276" s="192"/>
      <c r="XBE276" s="192"/>
      <c r="XBF276" s="192"/>
      <c r="XBG276" s="192"/>
      <c r="XBH276" s="192"/>
      <c r="XBI276" s="192"/>
      <c r="XBJ276" s="192"/>
      <c r="XBK276" s="192"/>
      <c r="XBL276" s="192"/>
      <c r="XBM276" s="192"/>
      <c r="XBN276" s="192"/>
      <c r="XBO276" s="192"/>
      <c r="XBP276" s="192"/>
      <c r="XBQ276" s="192"/>
      <c r="XBR276" s="192"/>
      <c r="XBS276" s="192"/>
      <c r="XBT276" s="192"/>
      <c r="XBU276" s="192"/>
      <c r="XBV276" s="192"/>
      <c r="XBW276" s="192"/>
      <c r="XBX276" s="192"/>
      <c r="XBY276" s="192"/>
      <c r="XBZ276" s="192"/>
      <c r="XCA276" s="192"/>
      <c r="XCB276" s="192"/>
      <c r="XCC276" s="192"/>
      <c r="XCD276" s="192"/>
      <c r="XCE276" s="192"/>
      <c r="XCF276" s="192"/>
      <c r="XCG276" s="192"/>
      <c r="XCH276" s="192"/>
      <c r="XCI276" s="192"/>
      <c r="XCJ276" s="192"/>
      <c r="XCK276" s="192"/>
      <c r="XCL276" s="192"/>
      <c r="XCM276" s="192"/>
      <c r="XCN276" s="192"/>
      <c r="XCO276" s="192"/>
      <c r="XCP276" s="192"/>
      <c r="XCQ276" s="192"/>
      <c r="XCR276" s="192"/>
      <c r="XCS276" s="192"/>
      <c r="XCT276" s="192"/>
      <c r="XCU276" s="192"/>
      <c r="XCV276" s="192"/>
      <c r="XCW276" s="192"/>
      <c r="XCX276" s="192"/>
      <c r="XCY276" s="192"/>
      <c r="XCZ276" s="192"/>
      <c r="XDA276" s="192"/>
      <c r="XDB276" s="192"/>
      <c r="XDC276" s="192"/>
      <c r="XDD276" s="192"/>
      <c r="XDE276" s="192"/>
      <c r="XDF276" s="192"/>
      <c r="XDG276" s="192"/>
      <c r="XDH276" s="192"/>
      <c r="XDI276" s="192"/>
      <c r="XDJ276" s="192"/>
      <c r="XDK276" s="192"/>
      <c r="XDL276" s="192"/>
      <c r="XDM276" s="192"/>
      <c r="XDN276" s="192"/>
      <c r="XDO276" s="192"/>
      <c r="XDP276" s="192"/>
      <c r="XDQ276" s="192"/>
      <c r="XDR276" s="192"/>
      <c r="XDS276" s="192"/>
      <c r="XDT276" s="192"/>
      <c r="XDU276" s="192"/>
      <c r="XDV276" s="192"/>
      <c r="XDW276" s="192"/>
      <c r="XDX276" s="192"/>
      <c r="XDY276" s="192"/>
      <c r="XDZ276" s="192"/>
      <c r="XEA276" s="192"/>
      <c r="XEB276" s="192"/>
      <c r="XEC276" s="192"/>
      <c r="XED276" s="192"/>
      <c r="XEE276" s="192"/>
      <c r="XEF276" s="192"/>
      <c r="XEG276" s="192"/>
      <c r="XEH276" s="192"/>
      <c r="XEI276" s="192"/>
      <c r="XEJ276" s="192"/>
      <c r="XEK276" s="192"/>
      <c r="XEL276" s="192"/>
      <c r="XEM276" s="192"/>
      <c r="XEN276" s="192"/>
      <c r="XEO276" s="192"/>
    </row>
    <row r="277" spans="1:16369">
      <c r="A277" s="863">
        <f t="shared" si="4"/>
        <v>2013.04</v>
      </c>
      <c r="B277" s="1881">
        <v>659211</v>
      </c>
      <c r="C277" s="1882"/>
      <c r="D277" s="3618"/>
      <c r="E277" s="1882"/>
      <c r="F277" s="1883">
        <v>4005</v>
      </c>
      <c r="G277" s="1884">
        <v>10318</v>
      </c>
      <c r="H277" s="3619">
        <v>12196</v>
      </c>
      <c r="I277" s="1884">
        <v>12196</v>
      </c>
      <c r="J277" s="3619">
        <v>7205</v>
      </c>
      <c r="K277" s="1884">
        <v>11766</v>
      </c>
      <c r="L277" s="3619">
        <v>5875</v>
      </c>
      <c r="M277" s="1884">
        <v>6825</v>
      </c>
      <c r="N277" s="1885">
        <v>1602</v>
      </c>
      <c r="O277" s="2373">
        <f t="shared" si="5"/>
        <v>71988</v>
      </c>
      <c r="P277" s="1888">
        <v>67164</v>
      </c>
      <c r="Q277" s="1885">
        <v>804</v>
      </c>
      <c r="R277" s="1889">
        <v>179981</v>
      </c>
    </row>
    <row r="278" spans="1:16369">
      <c r="A278" s="863">
        <f t="shared" ref="A278:A341" si="6">A266+1</f>
        <v>2013.05</v>
      </c>
      <c r="B278" s="1881">
        <v>723533</v>
      </c>
      <c r="C278" s="1882"/>
      <c r="D278" s="3618"/>
      <c r="E278" s="1882"/>
      <c r="F278" s="1883">
        <v>6053</v>
      </c>
      <c r="G278" s="1884">
        <v>11466</v>
      </c>
      <c r="H278" s="3619">
        <v>9395</v>
      </c>
      <c r="I278" s="1884">
        <v>14012</v>
      </c>
      <c r="J278" s="3619">
        <v>10518</v>
      </c>
      <c r="K278" s="1884">
        <v>2877</v>
      </c>
      <c r="L278" s="3619">
        <v>5098</v>
      </c>
      <c r="M278" s="1884">
        <v>10025</v>
      </c>
      <c r="N278" s="1885">
        <v>1619</v>
      </c>
      <c r="O278" s="2373">
        <f t="shared" si="5"/>
        <v>71063</v>
      </c>
      <c r="P278" s="1888">
        <v>77410</v>
      </c>
      <c r="Q278" s="1885">
        <v>1463</v>
      </c>
      <c r="R278" s="1889">
        <v>236160</v>
      </c>
    </row>
    <row r="279" spans="1:16369">
      <c r="A279" s="863">
        <f t="shared" si="6"/>
        <v>2013.06</v>
      </c>
      <c r="B279" s="1881">
        <v>611867</v>
      </c>
      <c r="C279" s="1882"/>
      <c r="D279" s="3618"/>
      <c r="E279" s="1882"/>
      <c r="F279" s="1883">
        <v>4202</v>
      </c>
      <c r="G279" s="1884">
        <v>10419</v>
      </c>
      <c r="H279" s="3619">
        <v>6107</v>
      </c>
      <c r="I279" s="1884">
        <v>18594</v>
      </c>
      <c r="J279" s="3619">
        <v>7507</v>
      </c>
      <c r="K279" s="1884">
        <v>3346</v>
      </c>
      <c r="L279" s="3619">
        <v>3610</v>
      </c>
      <c r="M279" s="1884">
        <v>5178</v>
      </c>
      <c r="N279" s="1885">
        <v>5102</v>
      </c>
      <c r="O279" s="2373">
        <f t="shared" si="5"/>
        <v>64065</v>
      </c>
      <c r="P279" s="1888">
        <v>64232</v>
      </c>
      <c r="Q279" s="1885">
        <v>1226</v>
      </c>
      <c r="R279" s="1889">
        <v>168132</v>
      </c>
    </row>
    <row r="280" spans="1:16369">
      <c r="A280" s="863">
        <f t="shared" si="6"/>
        <v>2013.07</v>
      </c>
      <c r="B280" s="1881">
        <v>690411</v>
      </c>
      <c r="C280" s="1882"/>
      <c r="D280" s="3618"/>
      <c r="E280" s="1882"/>
      <c r="F280" s="1883">
        <v>2103</v>
      </c>
      <c r="G280" s="1884">
        <v>16133</v>
      </c>
      <c r="H280" s="3619">
        <v>7228</v>
      </c>
      <c r="I280" s="1884">
        <v>19447</v>
      </c>
      <c r="J280" s="3619">
        <v>7243</v>
      </c>
      <c r="K280" s="1884">
        <v>2562</v>
      </c>
      <c r="L280" s="3619">
        <v>5588</v>
      </c>
      <c r="M280" s="1884">
        <v>7587</v>
      </c>
      <c r="N280" s="1885">
        <v>3892</v>
      </c>
      <c r="O280" s="2373">
        <f t="shared" si="5"/>
        <v>71783</v>
      </c>
      <c r="P280" s="1888">
        <v>95109</v>
      </c>
      <c r="Q280" s="1885">
        <v>984</v>
      </c>
      <c r="R280" s="1889">
        <v>211493</v>
      </c>
    </row>
    <row r="281" spans="1:16369">
      <c r="A281" s="863">
        <f t="shared" si="6"/>
        <v>2013.08</v>
      </c>
      <c r="B281" s="1881">
        <v>682262</v>
      </c>
      <c r="C281" s="1882"/>
      <c r="D281" s="3618"/>
      <c r="E281" s="1882"/>
      <c r="F281" s="1883">
        <v>1186</v>
      </c>
      <c r="G281" s="1884">
        <v>24028</v>
      </c>
      <c r="H281" s="3619">
        <v>6020</v>
      </c>
      <c r="I281" s="1884">
        <v>15059</v>
      </c>
      <c r="J281" s="3619">
        <v>7401</v>
      </c>
      <c r="K281" s="1884">
        <v>4162</v>
      </c>
      <c r="L281" s="3619">
        <v>4176</v>
      </c>
      <c r="M281" s="1884">
        <v>7134</v>
      </c>
      <c r="N281" s="1885">
        <v>4681</v>
      </c>
      <c r="O281" s="2373">
        <f t="shared" si="5"/>
        <v>73847</v>
      </c>
      <c r="P281" s="1888">
        <v>58581</v>
      </c>
      <c r="Q281" s="1885">
        <v>1083</v>
      </c>
      <c r="R281" s="1889">
        <v>174413</v>
      </c>
    </row>
    <row r="282" spans="1:16369">
      <c r="A282" s="863">
        <f t="shared" si="6"/>
        <v>2013.09</v>
      </c>
      <c r="B282" s="1881">
        <v>633669</v>
      </c>
      <c r="C282" s="1882"/>
      <c r="D282" s="3618"/>
      <c r="E282" s="1882"/>
      <c r="F282" s="1883">
        <v>2633</v>
      </c>
      <c r="G282" s="1884">
        <v>16751</v>
      </c>
      <c r="H282" s="3619">
        <v>7132</v>
      </c>
      <c r="I282" s="1884">
        <v>14129</v>
      </c>
      <c r="J282" s="3619">
        <v>4739</v>
      </c>
      <c r="K282" s="1884">
        <v>3370</v>
      </c>
      <c r="L282" s="3619">
        <v>4034</v>
      </c>
      <c r="M282" s="1884">
        <v>24035</v>
      </c>
      <c r="N282" s="1885">
        <v>2355</v>
      </c>
      <c r="O282" s="2373">
        <f t="shared" si="5"/>
        <v>79178</v>
      </c>
      <c r="P282" s="1888">
        <v>47769</v>
      </c>
      <c r="Q282" s="1885">
        <v>378</v>
      </c>
      <c r="R282" s="1889">
        <v>170252</v>
      </c>
    </row>
    <row r="283" spans="1:16369">
      <c r="A283" s="863">
        <f t="shared" si="6"/>
        <v>2013.1</v>
      </c>
      <c r="B283" s="1881">
        <v>758061</v>
      </c>
      <c r="C283" s="1882"/>
      <c r="D283" s="3618"/>
      <c r="E283" s="1882"/>
      <c r="F283" s="1883">
        <v>2571</v>
      </c>
      <c r="G283" s="1884">
        <v>8809</v>
      </c>
      <c r="H283" s="3619">
        <v>6787</v>
      </c>
      <c r="I283" s="1884">
        <v>18115</v>
      </c>
      <c r="J283" s="3619">
        <v>5859</v>
      </c>
      <c r="K283" s="1884">
        <v>1581</v>
      </c>
      <c r="L283" s="3619">
        <v>11051</v>
      </c>
      <c r="M283" s="1884">
        <v>17779</v>
      </c>
      <c r="N283" s="1885">
        <v>2535</v>
      </c>
      <c r="O283" s="2373">
        <f t="shared" si="5"/>
        <v>75087</v>
      </c>
      <c r="P283" s="1888">
        <v>56268</v>
      </c>
      <c r="Q283" s="1885">
        <v>9382</v>
      </c>
      <c r="R283" s="1889">
        <v>188387</v>
      </c>
    </row>
    <row r="284" spans="1:16369">
      <c r="A284" s="863">
        <f t="shared" si="6"/>
        <v>2013.11</v>
      </c>
      <c r="B284" s="1881">
        <v>736174</v>
      </c>
      <c r="C284" s="1882"/>
      <c r="D284" s="3618"/>
      <c r="E284" s="1882"/>
      <c r="F284" s="1883">
        <v>4781</v>
      </c>
      <c r="G284" s="1884">
        <v>11052</v>
      </c>
      <c r="H284" s="3619">
        <v>14179</v>
      </c>
      <c r="I284" s="1884">
        <v>7338</v>
      </c>
      <c r="J284" s="3619">
        <v>10672</v>
      </c>
      <c r="K284" s="1884">
        <v>1797</v>
      </c>
      <c r="L284" s="3619">
        <v>3034</v>
      </c>
      <c r="M284" s="1884">
        <v>8460</v>
      </c>
      <c r="N284" s="1885">
        <v>3759</v>
      </c>
      <c r="O284" s="2373">
        <f t="shared" si="5"/>
        <v>65072</v>
      </c>
      <c r="P284" s="1888">
        <v>85514</v>
      </c>
      <c r="Q284" s="1885">
        <v>202</v>
      </c>
      <c r="R284" s="1889">
        <v>181598</v>
      </c>
    </row>
    <row r="285" spans="1:16369">
      <c r="A285" s="863">
        <f t="shared" si="6"/>
        <v>2013.12</v>
      </c>
      <c r="B285" s="1881">
        <v>711977</v>
      </c>
      <c r="C285" s="1882"/>
      <c r="D285" s="3618"/>
      <c r="E285" s="1882"/>
      <c r="F285" s="1883">
        <v>3220</v>
      </c>
      <c r="G285" s="1884">
        <v>13522</v>
      </c>
      <c r="H285" s="3619">
        <v>8762</v>
      </c>
      <c r="I285" s="1884">
        <v>12848</v>
      </c>
      <c r="J285" s="3619">
        <v>7144</v>
      </c>
      <c r="K285" s="1884">
        <v>4389</v>
      </c>
      <c r="L285" s="3619">
        <v>6907</v>
      </c>
      <c r="M285" s="1884">
        <v>6870</v>
      </c>
      <c r="N285" s="1885">
        <v>2839</v>
      </c>
      <c r="O285" s="2373">
        <f t="shared" si="5"/>
        <v>66501</v>
      </c>
      <c r="P285" s="1888">
        <v>58576</v>
      </c>
      <c r="Q285" s="1885">
        <v>830</v>
      </c>
      <c r="R285" s="1889">
        <v>169577</v>
      </c>
    </row>
    <row r="286" spans="1:16369">
      <c r="A286" s="863">
        <f t="shared" si="6"/>
        <v>2014.01</v>
      </c>
      <c r="B286" s="1881">
        <v>575339</v>
      </c>
      <c r="C286" s="1882"/>
      <c r="D286" s="3618"/>
      <c r="E286" s="1882"/>
      <c r="F286" s="1883">
        <v>1392</v>
      </c>
      <c r="G286" s="1884">
        <v>9499</v>
      </c>
      <c r="H286" s="3619">
        <v>7486</v>
      </c>
      <c r="I286" s="1884">
        <v>12611</v>
      </c>
      <c r="J286" s="3619">
        <v>5864</v>
      </c>
      <c r="K286" s="1884">
        <v>1376</v>
      </c>
      <c r="L286" s="3619">
        <v>3803</v>
      </c>
      <c r="M286" s="1884">
        <v>4202</v>
      </c>
      <c r="N286" s="1885">
        <v>1657</v>
      </c>
      <c r="O286" s="2373">
        <f t="shared" si="5"/>
        <v>47890</v>
      </c>
      <c r="P286" s="1888">
        <v>52133</v>
      </c>
      <c r="Q286" s="1885">
        <v>1184</v>
      </c>
      <c r="R286" s="1889">
        <v>131562</v>
      </c>
    </row>
    <row r="287" spans="1:16369">
      <c r="A287" s="863">
        <f t="shared" si="6"/>
        <v>2014.02</v>
      </c>
      <c r="B287" s="1881">
        <v>500332</v>
      </c>
      <c r="C287" s="1882"/>
      <c r="D287" s="3618"/>
      <c r="E287" s="1882"/>
      <c r="F287" s="1883">
        <v>1598</v>
      </c>
      <c r="G287" s="1884">
        <v>7654</v>
      </c>
      <c r="H287" s="3619">
        <v>4575</v>
      </c>
      <c r="I287" s="1884">
        <v>6272</v>
      </c>
      <c r="J287" s="3619">
        <v>5452</v>
      </c>
      <c r="K287" s="1884">
        <v>2958</v>
      </c>
      <c r="L287" s="3619">
        <v>3850</v>
      </c>
      <c r="M287" s="1884">
        <v>5044</v>
      </c>
      <c r="N287" s="1885">
        <v>828</v>
      </c>
      <c r="O287" s="2373">
        <f t="shared" si="5"/>
        <v>38231</v>
      </c>
      <c r="P287" s="1888">
        <v>50739</v>
      </c>
      <c r="Q287" s="1885">
        <v>249</v>
      </c>
      <c r="R287" s="1889">
        <v>135388</v>
      </c>
    </row>
    <row r="288" spans="1:16369">
      <c r="A288" s="863">
        <f t="shared" si="6"/>
        <v>2014.03</v>
      </c>
      <c r="B288" s="1881">
        <v>648959</v>
      </c>
      <c r="C288" s="1882"/>
      <c r="D288" s="3618"/>
      <c r="E288" s="1882"/>
      <c r="F288" s="1883">
        <v>2148</v>
      </c>
      <c r="G288" s="1884">
        <v>10538</v>
      </c>
      <c r="H288" s="3619">
        <v>6770</v>
      </c>
      <c r="I288" s="1884">
        <v>17226</v>
      </c>
      <c r="J288" s="3619">
        <v>7425</v>
      </c>
      <c r="K288" s="1884">
        <v>1818</v>
      </c>
      <c r="L288" s="3619">
        <v>6288</v>
      </c>
      <c r="M288" s="1884">
        <v>9858</v>
      </c>
      <c r="N288" s="1885">
        <v>3845</v>
      </c>
      <c r="O288" s="2373">
        <f t="shared" si="5"/>
        <v>65916</v>
      </c>
      <c r="P288" s="1888">
        <v>50866</v>
      </c>
      <c r="Q288" s="1885">
        <v>988</v>
      </c>
      <c r="R288" s="1889">
        <v>164243</v>
      </c>
    </row>
    <row r="289" spans="1:18">
      <c r="A289" s="863">
        <f t="shared" si="6"/>
        <v>2014.04</v>
      </c>
      <c r="B289" s="1881">
        <v>639812</v>
      </c>
      <c r="C289" s="1882"/>
      <c r="D289" s="3618"/>
      <c r="E289" s="1882"/>
      <c r="F289" s="1883">
        <v>3284</v>
      </c>
      <c r="G289" s="1884">
        <v>14103</v>
      </c>
      <c r="H289" s="3619">
        <v>7827</v>
      </c>
      <c r="I289" s="1884">
        <v>11264</v>
      </c>
      <c r="J289" s="3619">
        <v>6080</v>
      </c>
      <c r="K289" s="1884">
        <v>3131</v>
      </c>
      <c r="L289" s="3619">
        <v>6130</v>
      </c>
      <c r="M289" s="1884">
        <v>6320</v>
      </c>
      <c r="N289" s="1885">
        <v>2219</v>
      </c>
      <c r="O289" s="2373">
        <f t="shared" si="5"/>
        <v>60358</v>
      </c>
      <c r="P289" s="1888">
        <v>59910</v>
      </c>
      <c r="Q289" s="1885">
        <v>2974</v>
      </c>
      <c r="R289" s="1889">
        <v>169864</v>
      </c>
    </row>
    <row r="290" spans="1:18">
      <c r="A290" s="863">
        <f t="shared" si="6"/>
        <v>2014.05</v>
      </c>
      <c r="B290" s="1881">
        <v>759726</v>
      </c>
      <c r="C290" s="1882"/>
      <c r="D290" s="3618"/>
      <c r="E290" s="1882"/>
      <c r="F290" s="1883">
        <v>2246</v>
      </c>
      <c r="G290" s="1884">
        <v>15998</v>
      </c>
      <c r="H290" s="3619">
        <v>13328</v>
      </c>
      <c r="I290" s="1884">
        <v>9816</v>
      </c>
      <c r="J290" s="3619">
        <v>10043</v>
      </c>
      <c r="K290" s="1884">
        <v>5758</v>
      </c>
      <c r="L290" s="3619">
        <v>4547</v>
      </c>
      <c r="M290" s="1884">
        <v>11851</v>
      </c>
      <c r="N290" s="1885">
        <v>1653</v>
      </c>
      <c r="O290" s="2373">
        <f t="shared" si="5"/>
        <v>75240</v>
      </c>
      <c r="P290" s="1888">
        <v>58053</v>
      </c>
      <c r="Q290" s="1885">
        <v>2465</v>
      </c>
      <c r="R290" s="1889">
        <v>191431</v>
      </c>
    </row>
    <row r="291" spans="1:18">
      <c r="A291" s="863">
        <f t="shared" si="6"/>
        <v>2014.06</v>
      </c>
      <c r="B291" s="1881">
        <v>698100</v>
      </c>
      <c r="C291" s="1882"/>
      <c r="D291" s="3618"/>
      <c r="E291" s="1882"/>
      <c r="F291" s="1883">
        <v>3666</v>
      </c>
      <c r="G291" s="1884">
        <v>17666</v>
      </c>
      <c r="H291" s="3619">
        <v>9140</v>
      </c>
      <c r="I291" s="1884">
        <v>8859</v>
      </c>
      <c r="J291" s="3619">
        <v>7708</v>
      </c>
      <c r="K291" s="1884">
        <v>3022</v>
      </c>
      <c r="L291" s="3619">
        <v>3118</v>
      </c>
      <c r="M291" s="1884">
        <v>6991</v>
      </c>
      <c r="N291" s="1885">
        <v>2151</v>
      </c>
      <c r="O291" s="2373">
        <f t="shared" si="5"/>
        <v>62321</v>
      </c>
      <c r="P291" s="1888">
        <v>41620</v>
      </c>
      <c r="Q291" s="1885">
        <v>489</v>
      </c>
      <c r="R291" s="1889">
        <v>144590</v>
      </c>
    </row>
    <row r="292" spans="1:18">
      <c r="A292" s="863">
        <f t="shared" si="6"/>
        <v>2014.07</v>
      </c>
      <c r="B292" s="1881">
        <v>742250</v>
      </c>
      <c r="C292" s="1882"/>
      <c r="D292" s="3618"/>
      <c r="E292" s="1882"/>
      <c r="F292" s="1883">
        <v>3775</v>
      </c>
      <c r="G292" s="1884">
        <v>13691</v>
      </c>
      <c r="H292" s="3619">
        <v>5163</v>
      </c>
      <c r="I292" s="1884">
        <v>19269</v>
      </c>
      <c r="J292" s="3619">
        <v>7218</v>
      </c>
      <c r="K292" s="1884">
        <v>9316</v>
      </c>
      <c r="L292" s="3619">
        <v>15571</v>
      </c>
      <c r="M292" s="1884">
        <v>16258</v>
      </c>
      <c r="N292" s="1885">
        <v>4005</v>
      </c>
      <c r="O292" s="2373">
        <f t="shared" si="5"/>
        <v>94266</v>
      </c>
      <c r="P292" s="1888">
        <v>52148</v>
      </c>
      <c r="Q292" s="1885">
        <v>5898</v>
      </c>
      <c r="R292" s="1889">
        <v>201408</v>
      </c>
    </row>
    <row r="293" spans="1:18">
      <c r="A293" s="863">
        <f t="shared" si="6"/>
        <v>2014.08</v>
      </c>
      <c r="B293" s="1881">
        <v>622859</v>
      </c>
      <c r="C293" s="1882"/>
      <c r="D293" s="3618"/>
      <c r="E293" s="1882"/>
      <c r="F293" s="1883">
        <v>773</v>
      </c>
      <c r="G293" s="1884">
        <v>11162</v>
      </c>
      <c r="H293" s="3619">
        <v>4864</v>
      </c>
      <c r="I293" s="1884">
        <v>12600</v>
      </c>
      <c r="J293" s="3619">
        <v>10116</v>
      </c>
      <c r="K293" s="1884">
        <v>5480</v>
      </c>
      <c r="L293" s="3619">
        <v>3961</v>
      </c>
      <c r="M293" s="1884">
        <v>9262</v>
      </c>
      <c r="N293" s="1885">
        <v>2144</v>
      </c>
      <c r="O293" s="2373">
        <f t="shared" si="5"/>
        <v>60362</v>
      </c>
      <c r="P293" s="1888">
        <v>36381</v>
      </c>
      <c r="Q293" s="1885">
        <v>468</v>
      </c>
      <c r="R293" s="1889">
        <v>140873</v>
      </c>
    </row>
    <row r="294" spans="1:18">
      <c r="A294" s="863">
        <f t="shared" si="6"/>
        <v>2014.09</v>
      </c>
      <c r="B294" s="1881">
        <v>830391</v>
      </c>
      <c r="C294" s="1882"/>
      <c r="D294" s="3618"/>
      <c r="E294" s="1882"/>
      <c r="F294" s="1883">
        <v>2832</v>
      </c>
      <c r="G294" s="1884">
        <v>21652</v>
      </c>
      <c r="H294" s="3619">
        <v>8232</v>
      </c>
      <c r="I294" s="1884">
        <v>12374</v>
      </c>
      <c r="J294" s="3619">
        <v>6501</v>
      </c>
      <c r="K294" s="1884">
        <v>4436</v>
      </c>
      <c r="L294" s="3619">
        <v>4369</v>
      </c>
      <c r="M294" s="1884">
        <v>6427</v>
      </c>
      <c r="N294" s="1885">
        <v>5436</v>
      </c>
      <c r="O294" s="2373">
        <f t="shared" si="5"/>
        <v>72259</v>
      </c>
      <c r="P294" s="1888">
        <v>53041</v>
      </c>
      <c r="Q294" s="1885">
        <v>1390</v>
      </c>
      <c r="R294" s="1889">
        <v>162092</v>
      </c>
    </row>
    <row r="295" spans="1:18">
      <c r="A295" s="863">
        <f t="shared" si="6"/>
        <v>2014.1</v>
      </c>
      <c r="B295" s="1881">
        <v>710762</v>
      </c>
      <c r="C295" s="1882"/>
      <c r="D295" s="3618"/>
      <c r="E295" s="1882"/>
      <c r="F295" s="1883">
        <v>3839</v>
      </c>
      <c r="G295" s="1884">
        <v>34999</v>
      </c>
      <c r="H295" s="3619">
        <v>9742</v>
      </c>
      <c r="I295" s="1884">
        <v>13966</v>
      </c>
      <c r="J295" s="3619">
        <v>9113</v>
      </c>
      <c r="K295" s="1884">
        <v>6607</v>
      </c>
      <c r="L295" s="3619">
        <v>5868</v>
      </c>
      <c r="M295" s="1884">
        <v>10808</v>
      </c>
      <c r="N295" s="1885">
        <v>3808</v>
      </c>
      <c r="O295" s="2373">
        <f t="shared" si="5"/>
        <v>98750</v>
      </c>
      <c r="P295" s="1888">
        <v>56022</v>
      </c>
      <c r="Q295" s="1885">
        <v>863</v>
      </c>
      <c r="R295" s="1889">
        <v>200378</v>
      </c>
    </row>
    <row r="296" spans="1:18">
      <c r="A296" s="863">
        <f t="shared" si="6"/>
        <v>2014.11</v>
      </c>
      <c r="B296" s="1881">
        <v>675855</v>
      </c>
      <c r="C296" s="1882"/>
      <c r="D296" s="3618"/>
      <c r="E296" s="1882"/>
      <c r="F296" s="1883">
        <v>1616</v>
      </c>
      <c r="G296" s="1884">
        <v>8136</v>
      </c>
      <c r="H296" s="3619">
        <v>7597</v>
      </c>
      <c r="I296" s="1884">
        <v>8814</v>
      </c>
      <c r="J296" s="3619">
        <v>6368</v>
      </c>
      <c r="K296" s="1884">
        <v>6220</v>
      </c>
      <c r="L296" s="3619">
        <v>2493</v>
      </c>
      <c r="M296" s="1884">
        <v>9042</v>
      </c>
      <c r="N296" s="1885">
        <v>4439</v>
      </c>
      <c r="O296" s="2373">
        <f t="shared" si="5"/>
        <v>54725</v>
      </c>
      <c r="P296" s="1888">
        <v>63019</v>
      </c>
      <c r="Q296" s="1885">
        <v>881</v>
      </c>
      <c r="R296" s="1889">
        <v>150052</v>
      </c>
    </row>
    <row r="297" spans="1:18">
      <c r="A297" s="863">
        <f t="shared" si="6"/>
        <v>2014.12</v>
      </c>
      <c r="B297" s="1881">
        <v>633966</v>
      </c>
      <c r="C297" s="1882"/>
      <c r="D297" s="3618"/>
      <c r="E297" s="1882"/>
      <c r="F297" s="1883">
        <v>2526</v>
      </c>
      <c r="G297" s="1884">
        <v>25409</v>
      </c>
      <c r="H297" s="3619">
        <v>4039</v>
      </c>
      <c r="I297" s="1884">
        <v>11760</v>
      </c>
      <c r="J297" s="3619">
        <v>6155</v>
      </c>
      <c r="K297" s="1884">
        <v>8539</v>
      </c>
      <c r="L297" s="3619">
        <v>3020</v>
      </c>
      <c r="M297" s="1884">
        <v>4637</v>
      </c>
      <c r="N297" s="1885">
        <v>4691</v>
      </c>
      <c r="O297" s="2373">
        <f t="shared" si="5"/>
        <v>70776</v>
      </c>
      <c r="P297" s="1888">
        <v>52996</v>
      </c>
      <c r="Q297" s="1885">
        <v>2213</v>
      </c>
      <c r="R297" s="1889">
        <v>165738</v>
      </c>
    </row>
    <row r="298" spans="1:18">
      <c r="A298" s="863">
        <f t="shared" si="6"/>
        <v>2015.01</v>
      </c>
      <c r="B298" s="1881">
        <v>557686</v>
      </c>
      <c r="C298" s="1882"/>
      <c r="D298" s="3618"/>
      <c r="E298" s="1882"/>
      <c r="F298" s="1883">
        <v>10484</v>
      </c>
      <c r="G298" s="1884">
        <v>9213</v>
      </c>
      <c r="H298" s="3619">
        <v>1693</v>
      </c>
      <c r="I298" s="1884">
        <v>12353</v>
      </c>
      <c r="J298" s="3619">
        <v>8145</v>
      </c>
      <c r="K298" s="1884">
        <v>6529</v>
      </c>
      <c r="L298" s="3619">
        <v>4891</v>
      </c>
      <c r="M298" s="1884">
        <v>12076</v>
      </c>
      <c r="N298" s="1885">
        <v>3069</v>
      </c>
      <c r="O298" s="2373">
        <f t="shared" si="5"/>
        <v>68453</v>
      </c>
      <c r="P298" s="1888">
        <v>39087</v>
      </c>
      <c r="Q298" s="1885">
        <v>1270</v>
      </c>
      <c r="R298" s="1889">
        <v>148733</v>
      </c>
    </row>
    <row r="299" spans="1:18">
      <c r="A299" s="863">
        <f t="shared" si="6"/>
        <v>2015.02</v>
      </c>
      <c r="B299" s="1881">
        <v>424985</v>
      </c>
      <c r="C299" s="1882"/>
      <c r="D299" s="3618"/>
      <c r="E299" s="1882"/>
      <c r="F299" s="1883">
        <v>3292</v>
      </c>
      <c r="G299" s="1884">
        <v>20808</v>
      </c>
      <c r="H299" s="3619">
        <v>6832</v>
      </c>
      <c r="I299" s="1884">
        <v>3380</v>
      </c>
      <c r="J299" s="3619">
        <v>4711</v>
      </c>
      <c r="K299" s="1884">
        <v>4375</v>
      </c>
      <c r="L299" s="3619">
        <v>3457</v>
      </c>
      <c r="M299" s="1884">
        <v>4418</v>
      </c>
      <c r="N299" s="1885">
        <v>2420</v>
      </c>
      <c r="O299" s="2373">
        <f t="shared" si="5"/>
        <v>53693</v>
      </c>
      <c r="P299" s="1888">
        <v>59845</v>
      </c>
      <c r="Q299" s="1885">
        <v>1784</v>
      </c>
      <c r="R299" s="1889">
        <v>151610</v>
      </c>
    </row>
    <row r="300" spans="1:18">
      <c r="A300" s="863">
        <f t="shared" si="6"/>
        <v>2015.03</v>
      </c>
      <c r="B300" s="1881">
        <v>635100</v>
      </c>
      <c r="C300" s="1882"/>
      <c r="D300" s="3618"/>
      <c r="E300" s="1882"/>
      <c r="F300" s="1883">
        <v>1834</v>
      </c>
      <c r="G300" s="1884">
        <v>35009</v>
      </c>
      <c r="H300" s="3619">
        <v>4542</v>
      </c>
      <c r="I300" s="1884">
        <v>9182</v>
      </c>
      <c r="J300" s="3619">
        <v>4604</v>
      </c>
      <c r="K300" s="1884">
        <v>5604</v>
      </c>
      <c r="L300" s="3619">
        <v>14295</v>
      </c>
      <c r="M300" s="1884">
        <v>6824</v>
      </c>
      <c r="N300" s="1885">
        <v>1785</v>
      </c>
      <c r="O300" s="2373">
        <f t="shared" si="5"/>
        <v>83679</v>
      </c>
      <c r="P300" s="1888">
        <v>31077</v>
      </c>
      <c r="Q300" s="1885">
        <v>579</v>
      </c>
      <c r="R300" s="1889">
        <v>146369</v>
      </c>
    </row>
    <row r="301" spans="1:18">
      <c r="A301" s="863">
        <f t="shared" si="6"/>
        <v>2015.04</v>
      </c>
      <c r="B301" s="1881">
        <v>573534</v>
      </c>
      <c r="C301" s="1882"/>
      <c r="D301" s="3618"/>
      <c r="E301" s="1882"/>
      <c r="F301" s="1883">
        <v>692</v>
      </c>
      <c r="G301" s="1884">
        <v>9019</v>
      </c>
      <c r="H301" s="3619">
        <v>8454</v>
      </c>
      <c r="I301" s="1884">
        <v>4931</v>
      </c>
      <c r="J301" s="3619">
        <v>5654</v>
      </c>
      <c r="K301" s="1884">
        <v>5489</v>
      </c>
      <c r="L301" s="3619">
        <v>3980</v>
      </c>
      <c r="M301" s="1884">
        <v>5660</v>
      </c>
      <c r="N301" s="1885">
        <v>4017</v>
      </c>
      <c r="O301" s="2373">
        <f t="shared" si="5"/>
        <v>47896</v>
      </c>
      <c r="P301" s="1888">
        <v>50730</v>
      </c>
      <c r="Q301" s="1885">
        <v>982</v>
      </c>
      <c r="R301" s="1889">
        <v>144377</v>
      </c>
    </row>
    <row r="302" spans="1:18">
      <c r="A302" s="863">
        <f t="shared" si="6"/>
        <v>2015.05</v>
      </c>
      <c r="B302" s="1881">
        <v>569571</v>
      </c>
      <c r="C302" s="1882"/>
      <c r="D302" s="3618"/>
      <c r="E302" s="1882"/>
      <c r="F302" s="1883">
        <v>3289</v>
      </c>
      <c r="G302" s="1884">
        <v>13040</v>
      </c>
      <c r="H302" s="3619">
        <v>7346</v>
      </c>
      <c r="I302" s="1884">
        <v>12920</v>
      </c>
      <c r="J302" s="3619">
        <v>4114</v>
      </c>
      <c r="K302" s="1884">
        <v>7923</v>
      </c>
      <c r="L302" s="3619">
        <v>4527</v>
      </c>
      <c r="M302" s="1884">
        <v>6517</v>
      </c>
      <c r="N302" s="1885">
        <v>1380</v>
      </c>
      <c r="O302" s="2373">
        <f t="shared" si="5"/>
        <v>61056</v>
      </c>
      <c r="P302" s="1888">
        <v>142445</v>
      </c>
      <c r="Q302" s="1885">
        <v>1426</v>
      </c>
      <c r="R302" s="1889">
        <v>235468</v>
      </c>
    </row>
    <row r="303" spans="1:18">
      <c r="A303" s="863">
        <f t="shared" si="6"/>
        <v>2015.06</v>
      </c>
      <c r="B303" s="1881">
        <v>570899</v>
      </c>
      <c r="C303" s="1882"/>
      <c r="D303" s="3618"/>
      <c r="E303" s="1882"/>
      <c r="F303" s="1883">
        <v>1465</v>
      </c>
      <c r="G303" s="1884">
        <v>10989</v>
      </c>
      <c r="H303" s="3619">
        <v>12635</v>
      </c>
      <c r="I303" s="1884">
        <v>15257</v>
      </c>
      <c r="J303" s="3619">
        <v>6264</v>
      </c>
      <c r="K303" s="1884">
        <v>7948</v>
      </c>
      <c r="L303" s="3619">
        <v>7290</v>
      </c>
      <c r="M303" s="1884">
        <v>4354</v>
      </c>
      <c r="N303" s="1885">
        <v>4244</v>
      </c>
      <c r="O303" s="2373">
        <f t="shared" si="5"/>
        <v>70446</v>
      </c>
      <c r="P303" s="1888">
        <v>52072</v>
      </c>
      <c r="Q303" s="1885">
        <v>1137</v>
      </c>
      <c r="R303" s="1889">
        <v>167592</v>
      </c>
    </row>
    <row r="304" spans="1:18">
      <c r="A304" s="863">
        <f t="shared" si="6"/>
        <v>2015.07</v>
      </c>
      <c r="B304" s="1881">
        <v>712303</v>
      </c>
      <c r="C304" s="1882"/>
      <c r="D304" s="3618"/>
      <c r="E304" s="1882"/>
      <c r="F304" s="1883">
        <v>1676</v>
      </c>
      <c r="G304" s="1884">
        <v>14576</v>
      </c>
      <c r="H304" s="3619">
        <v>6652</v>
      </c>
      <c r="I304" s="1884">
        <v>11598</v>
      </c>
      <c r="J304" s="3619">
        <v>19504</v>
      </c>
      <c r="K304" s="1884">
        <v>9472</v>
      </c>
      <c r="L304" s="3619">
        <v>4963</v>
      </c>
      <c r="M304" s="1884">
        <v>7042</v>
      </c>
      <c r="N304" s="1885">
        <v>1811</v>
      </c>
      <c r="O304" s="2373">
        <f t="shared" si="5"/>
        <v>77294</v>
      </c>
      <c r="P304" s="1888">
        <v>46625</v>
      </c>
      <c r="Q304" s="1885">
        <v>801</v>
      </c>
      <c r="R304" s="1889">
        <v>180213</v>
      </c>
    </row>
    <row r="305" spans="1:18">
      <c r="A305" s="863">
        <f t="shared" si="6"/>
        <v>2015.08</v>
      </c>
      <c r="B305" s="1881">
        <v>606585</v>
      </c>
      <c r="C305" s="1882"/>
      <c r="D305" s="3618"/>
      <c r="E305" s="1882"/>
      <c r="F305" s="1883">
        <v>3016</v>
      </c>
      <c r="G305" s="1884">
        <v>22353</v>
      </c>
      <c r="H305" s="3619">
        <v>5170</v>
      </c>
      <c r="I305" s="1884">
        <v>13165</v>
      </c>
      <c r="J305" s="3619">
        <v>9089</v>
      </c>
      <c r="K305" s="1884">
        <v>4605</v>
      </c>
      <c r="L305" s="3619">
        <v>3893</v>
      </c>
      <c r="M305" s="1884">
        <v>11873</v>
      </c>
      <c r="N305" s="1885">
        <v>2969</v>
      </c>
      <c r="O305" s="2373">
        <f t="shared" si="5"/>
        <v>76133</v>
      </c>
      <c r="P305" s="1888">
        <v>37806</v>
      </c>
      <c r="Q305" s="1885">
        <v>1781</v>
      </c>
      <c r="R305" s="1889">
        <v>166706</v>
      </c>
    </row>
    <row r="306" spans="1:18">
      <c r="A306" s="863">
        <f t="shared" si="6"/>
        <v>2015.09</v>
      </c>
      <c r="B306" s="1881">
        <v>715250</v>
      </c>
      <c r="C306" s="1882"/>
      <c r="D306" s="3618"/>
      <c r="E306" s="1882"/>
      <c r="F306" s="1883">
        <v>5474</v>
      </c>
      <c r="G306" s="1884">
        <v>21086</v>
      </c>
      <c r="H306" s="3619">
        <v>7976</v>
      </c>
      <c r="I306" s="1884">
        <v>15365</v>
      </c>
      <c r="J306" s="3619">
        <v>8228</v>
      </c>
      <c r="K306" s="1884">
        <v>6366</v>
      </c>
      <c r="L306" s="3619">
        <v>4628</v>
      </c>
      <c r="M306" s="1884">
        <v>4255</v>
      </c>
      <c r="N306" s="1885">
        <v>2338</v>
      </c>
      <c r="O306" s="2373">
        <f t="shared" si="5"/>
        <v>75716</v>
      </c>
      <c r="P306" s="1888">
        <v>56648</v>
      </c>
      <c r="Q306" s="1885">
        <v>514</v>
      </c>
      <c r="R306" s="1889">
        <v>165325</v>
      </c>
    </row>
    <row r="307" spans="1:18">
      <c r="A307" s="863">
        <f t="shared" si="6"/>
        <v>2015.1</v>
      </c>
      <c r="B307" s="1881">
        <v>691207</v>
      </c>
      <c r="C307" s="1882"/>
      <c r="D307" s="3618"/>
      <c r="E307" s="1882"/>
      <c r="F307" s="1883">
        <v>2252</v>
      </c>
      <c r="G307" s="1884">
        <v>39521</v>
      </c>
      <c r="H307" s="3619">
        <v>5864</v>
      </c>
      <c r="I307" s="1884">
        <v>10360</v>
      </c>
      <c r="J307" s="3619">
        <v>5796</v>
      </c>
      <c r="K307" s="1884">
        <v>9595</v>
      </c>
      <c r="L307" s="3619">
        <v>4780</v>
      </c>
      <c r="M307" s="1884">
        <v>4295</v>
      </c>
      <c r="N307" s="1885">
        <v>9667</v>
      </c>
      <c r="O307" s="2373">
        <f t="shared" si="5"/>
        <v>92130</v>
      </c>
      <c r="P307" s="1888">
        <v>59524</v>
      </c>
      <c r="Q307" s="1885">
        <v>4458</v>
      </c>
      <c r="R307" s="1889">
        <v>201002</v>
      </c>
    </row>
    <row r="308" spans="1:18">
      <c r="A308" s="863">
        <f t="shared" si="6"/>
        <v>2015.11</v>
      </c>
      <c r="B308" s="1881">
        <v>656371</v>
      </c>
      <c r="C308" s="1882"/>
      <c r="D308" s="3618"/>
      <c r="E308" s="1882"/>
      <c r="F308" s="1883">
        <v>1516</v>
      </c>
      <c r="G308" s="1884">
        <v>18350</v>
      </c>
      <c r="H308" s="3619">
        <v>3219</v>
      </c>
      <c r="I308" s="1884">
        <v>18365</v>
      </c>
      <c r="J308" s="3619">
        <v>9302</v>
      </c>
      <c r="K308" s="1884">
        <v>5398</v>
      </c>
      <c r="L308" s="3619">
        <v>3921</v>
      </c>
      <c r="M308" s="1884">
        <v>2483</v>
      </c>
      <c r="N308" s="1885">
        <v>1460</v>
      </c>
      <c r="O308" s="2373">
        <f t="shared" si="5"/>
        <v>64014</v>
      </c>
      <c r="P308" s="1888">
        <v>46774</v>
      </c>
      <c r="Q308" s="1885">
        <v>716</v>
      </c>
      <c r="R308" s="1889">
        <v>144715</v>
      </c>
    </row>
    <row r="309" spans="1:18">
      <c r="A309" s="863">
        <f t="shared" si="6"/>
        <v>2015.12</v>
      </c>
      <c r="B309" s="1881">
        <v>537079</v>
      </c>
      <c r="C309" s="1882"/>
      <c r="D309" s="3618"/>
      <c r="E309" s="1882"/>
      <c r="F309" s="1883">
        <v>1636</v>
      </c>
      <c r="G309" s="1884">
        <v>13382</v>
      </c>
      <c r="H309" s="3619">
        <v>7618</v>
      </c>
      <c r="I309" s="1884">
        <v>4252</v>
      </c>
      <c r="J309" s="3619">
        <v>6388</v>
      </c>
      <c r="K309" s="1884">
        <v>4197</v>
      </c>
      <c r="L309" s="3619">
        <v>2796</v>
      </c>
      <c r="M309" s="1884">
        <v>4130</v>
      </c>
      <c r="N309" s="1885">
        <v>1298</v>
      </c>
      <c r="O309" s="2373">
        <f t="shared" si="5"/>
        <v>45697</v>
      </c>
      <c r="P309" s="1888">
        <v>46654</v>
      </c>
      <c r="Q309" s="1885">
        <v>1536</v>
      </c>
      <c r="R309" s="1889">
        <v>131797</v>
      </c>
    </row>
    <row r="310" spans="1:18">
      <c r="A310" s="863">
        <f t="shared" si="6"/>
        <v>2016.01</v>
      </c>
      <c r="B310" s="1881">
        <v>523028</v>
      </c>
      <c r="C310" s="1893">
        <v>602223.80994375388</v>
      </c>
      <c r="D310" s="3621"/>
      <c r="E310" s="1894"/>
      <c r="F310" s="1883">
        <v>1925</v>
      </c>
      <c r="G310" s="1884">
        <v>10462</v>
      </c>
      <c r="H310" s="3619">
        <v>0</v>
      </c>
      <c r="I310" s="1884">
        <v>5264</v>
      </c>
      <c r="J310" s="3619">
        <v>6046</v>
      </c>
      <c r="K310" s="1884">
        <v>5453</v>
      </c>
      <c r="L310" s="3619">
        <v>2429</v>
      </c>
      <c r="M310" s="1884">
        <v>2115</v>
      </c>
      <c r="N310" s="1885">
        <v>803</v>
      </c>
      <c r="O310" s="2373">
        <f t="shared" si="5"/>
        <v>34497</v>
      </c>
      <c r="P310" s="1888">
        <v>85463</v>
      </c>
      <c r="Q310" s="1885">
        <v>0</v>
      </c>
      <c r="R310" s="1889">
        <v>145070</v>
      </c>
    </row>
    <row r="311" spans="1:18">
      <c r="A311" s="863">
        <f t="shared" si="6"/>
        <v>2016.02</v>
      </c>
      <c r="B311" s="1881">
        <v>505458</v>
      </c>
      <c r="C311" s="1895">
        <v>595119.93187973055</v>
      </c>
      <c r="D311" s="3618"/>
      <c r="E311" s="1882"/>
      <c r="F311" s="1883">
        <v>3129</v>
      </c>
      <c r="G311" s="1884">
        <v>29286</v>
      </c>
      <c r="H311" s="3619">
        <v>8761</v>
      </c>
      <c r="I311" s="1884">
        <v>4991</v>
      </c>
      <c r="J311" s="3619">
        <v>4646</v>
      </c>
      <c r="K311" s="1884">
        <v>3551</v>
      </c>
      <c r="L311" s="3619">
        <v>1818</v>
      </c>
      <c r="M311" s="1884">
        <v>3810</v>
      </c>
      <c r="N311" s="1885">
        <v>1153</v>
      </c>
      <c r="O311" s="2373">
        <f t="shared" si="5"/>
        <v>61145</v>
      </c>
      <c r="P311" s="1888">
        <v>32310</v>
      </c>
      <c r="Q311" s="1885">
        <v>396</v>
      </c>
      <c r="R311" s="1889">
        <v>113210</v>
      </c>
    </row>
    <row r="312" spans="1:18">
      <c r="A312" s="863">
        <f t="shared" si="6"/>
        <v>2016.03</v>
      </c>
      <c r="B312" s="1881">
        <v>562223</v>
      </c>
      <c r="C312" s="1895">
        <v>649998.92163738632</v>
      </c>
      <c r="D312" s="3618"/>
      <c r="E312" s="1882"/>
      <c r="F312" s="1883">
        <v>1385</v>
      </c>
      <c r="G312" s="1884">
        <v>18080</v>
      </c>
      <c r="H312" s="3619">
        <v>8844</v>
      </c>
      <c r="I312" s="1884">
        <v>10464</v>
      </c>
      <c r="J312" s="3619">
        <v>3413</v>
      </c>
      <c r="K312" s="1884">
        <v>9318</v>
      </c>
      <c r="L312" s="3619">
        <v>4104</v>
      </c>
      <c r="M312" s="1884">
        <v>2353</v>
      </c>
      <c r="N312" s="1885">
        <v>3041</v>
      </c>
      <c r="O312" s="2373">
        <f t="shared" si="5"/>
        <v>61002</v>
      </c>
      <c r="P312" s="1888">
        <v>57336</v>
      </c>
      <c r="Q312" s="1885">
        <v>484</v>
      </c>
      <c r="R312" s="1889">
        <v>213115</v>
      </c>
    </row>
    <row r="313" spans="1:18">
      <c r="A313" s="863">
        <f t="shared" si="6"/>
        <v>2016.04</v>
      </c>
      <c r="B313" s="1881">
        <v>593770</v>
      </c>
      <c r="C313" s="1895">
        <v>669579.6991875564</v>
      </c>
      <c r="D313" s="3618"/>
      <c r="E313" s="1882"/>
      <c r="F313" s="1883">
        <v>1901</v>
      </c>
      <c r="G313" s="1884">
        <v>7288</v>
      </c>
      <c r="H313" s="3619">
        <v>15661</v>
      </c>
      <c r="I313" s="1884">
        <v>10785</v>
      </c>
      <c r="J313" s="3619">
        <v>6046</v>
      </c>
      <c r="K313" s="1884">
        <v>6026</v>
      </c>
      <c r="L313" s="3619">
        <v>7420</v>
      </c>
      <c r="M313" s="1884">
        <v>5660</v>
      </c>
      <c r="N313" s="1885">
        <v>3798</v>
      </c>
      <c r="O313" s="2373">
        <f t="shared" si="5"/>
        <v>64585</v>
      </c>
      <c r="P313" s="1888">
        <v>27351</v>
      </c>
      <c r="Q313" s="1885">
        <v>4452</v>
      </c>
      <c r="R313" s="1889">
        <v>135498</v>
      </c>
    </row>
    <row r="314" spans="1:18">
      <c r="A314" s="863">
        <f t="shared" si="6"/>
        <v>2016.05</v>
      </c>
      <c r="B314" s="1881">
        <v>626842</v>
      </c>
      <c r="C314" s="1895">
        <v>721921.42469272972</v>
      </c>
      <c r="D314" s="3618"/>
      <c r="E314" s="1882"/>
      <c r="F314" s="1883">
        <v>4562</v>
      </c>
      <c r="G314" s="1884">
        <v>15643</v>
      </c>
      <c r="H314" s="3619">
        <v>11899</v>
      </c>
      <c r="I314" s="1884">
        <v>10181</v>
      </c>
      <c r="J314" s="3619">
        <v>8202</v>
      </c>
      <c r="K314" s="1884">
        <v>7306</v>
      </c>
      <c r="L314" s="3619">
        <v>5995</v>
      </c>
      <c r="M314" s="1884">
        <v>2230</v>
      </c>
      <c r="N314" s="1885">
        <v>1177</v>
      </c>
      <c r="O314" s="2373">
        <f t="shared" si="5"/>
        <v>67195</v>
      </c>
      <c r="P314" s="1888">
        <v>45014</v>
      </c>
      <c r="Q314" s="1885">
        <v>556</v>
      </c>
      <c r="R314" s="1889">
        <v>150144</v>
      </c>
    </row>
    <row r="315" spans="1:18">
      <c r="A315" s="863">
        <f t="shared" si="6"/>
        <v>2016.06</v>
      </c>
      <c r="B315" s="1881">
        <v>604387</v>
      </c>
      <c r="C315" s="1895">
        <v>697648.63933060202</v>
      </c>
      <c r="D315" s="3618"/>
      <c r="E315" s="1882"/>
      <c r="F315" s="1883">
        <v>1647</v>
      </c>
      <c r="G315" s="1884">
        <v>20866</v>
      </c>
      <c r="H315" s="3619">
        <v>11469</v>
      </c>
      <c r="I315" s="1884">
        <v>13623</v>
      </c>
      <c r="J315" s="3619">
        <v>9241</v>
      </c>
      <c r="K315" s="1884">
        <v>4727</v>
      </c>
      <c r="L315" s="3619">
        <v>6083</v>
      </c>
      <c r="M315" s="1884">
        <v>5640</v>
      </c>
      <c r="N315" s="1885">
        <v>4053</v>
      </c>
      <c r="O315" s="2373">
        <f t="shared" si="5"/>
        <v>77349</v>
      </c>
      <c r="P315" s="1888">
        <v>84108</v>
      </c>
      <c r="Q315" s="1885">
        <v>1628</v>
      </c>
      <c r="R315" s="1889">
        <v>209170</v>
      </c>
    </row>
    <row r="316" spans="1:18">
      <c r="A316" s="863">
        <f t="shared" si="6"/>
        <v>2016.07</v>
      </c>
      <c r="B316" s="1881">
        <v>520073</v>
      </c>
      <c r="C316" s="1895">
        <v>598065.7826539824</v>
      </c>
      <c r="D316" s="3618"/>
      <c r="E316" s="1882"/>
      <c r="F316" s="1883">
        <v>1048</v>
      </c>
      <c r="G316" s="1884">
        <v>11994</v>
      </c>
      <c r="H316" s="3619">
        <v>8009</v>
      </c>
      <c r="I316" s="1884">
        <v>5023</v>
      </c>
      <c r="J316" s="3619">
        <v>5130</v>
      </c>
      <c r="K316" s="1884">
        <v>6344</v>
      </c>
      <c r="L316" s="3619">
        <v>3178</v>
      </c>
      <c r="M316" s="1884">
        <v>2619</v>
      </c>
      <c r="N316" s="1885">
        <v>2504</v>
      </c>
      <c r="O316" s="2373">
        <f t="shared" si="5"/>
        <v>45849</v>
      </c>
      <c r="P316" s="1888">
        <v>41717</v>
      </c>
      <c r="Q316" s="1885">
        <v>1905</v>
      </c>
      <c r="R316" s="1889">
        <v>126981</v>
      </c>
    </row>
    <row r="317" spans="1:18">
      <c r="A317" s="863">
        <f t="shared" si="6"/>
        <v>2016.08</v>
      </c>
      <c r="B317" s="1881">
        <v>617452</v>
      </c>
      <c r="C317" s="1895">
        <v>701478.7137698771</v>
      </c>
      <c r="D317" s="3618"/>
      <c r="E317" s="1882"/>
      <c r="F317" s="1883">
        <v>3067</v>
      </c>
      <c r="G317" s="1884">
        <v>5381</v>
      </c>
      <c r="H317" s="3619">
        <v>7197</v>
      </c>
      <c r="I317" s="1884">
        <v>6912</v>
      </c>
      <c r="J317" s="3619">
        <v>2924</v>
      </c>
      <c r="K317" s="1884">
        <v>6967</v>
      </c>
      <c r="L317" s="3619">
        <v>3320</v>
      </c>
      <c r="M317" s="1884">
        <v>4771</v>
      </c>
      <c r="N317" s="1885">
        <v>1669</v>
      </c>
      <c r="O317" s="2373">
        <f t="shared" si="5"/>
        <v>42208</v>
      </c>
      <c r="P317" s="1888">
        <v>73696</v>
      </c>
      <c r="Q317" s="1885">
        <v>4424</v>
      </c>
      <c r="R317" s="1889">
        <v>167156</v>
      </c>
    </row>
    <row r="318" spans="1:18">
      <c r="A318" s="863">
        <f t="shared" si="6"/>
        <v>2016.09</v>
      </c>
      <c r="B318" s="1881">
        <v>546611</v>
      </c>
      <c r="C318" s="1895">
        <v>611463.87264773273</v>
      </c>
      <c r="D318" s="3618"/>
      <c r="E318" s="1882"/>
      <c r="F318" s="1883">
        <v>3302</v>
      </c>
      <c r="G318" s="1884">
        <v>7090</v>
      </c>
      <c r="H318" s="3619">
        <v>9863</v>
      </c>
      <c r="I318" s="1884">
        <v>7803</v>
      </c>
      <c r="J318" s="3619">
        <v>6747</v>
      </c>
      <c r="K318" s="1884">
        <v>7632</v>
      </c>
      <c r="L318" s="3619">
        <v>2090</v>
      </c>
      <c r="M318" s="1884">
        <v>2620</v>
      </c>
      <c r="N318" s="1885">
        <v>2781</v>
      </c>
      <c r="O318" s="2373">
        <f t="shared" si="5"/>
        <v>49928</v>
      </c>
      <c r="P318" s="1888">
        <v>32767</v>
      </c>
      <c r="Q318" s="1885">
        <v>3428</v>
      </c>
      <c r="R318" s="1889">
        <v>125343</v>
      </c>
    </row>
    <row r="319" spans="1:18">
      <c r="A319" s="863">
        <f t="shared" si="6"/>
        <v>2016.1</v>
      </c>
      <c r="B319" s="1881">
        <v>637897</v>
      </c>
      <c r="C319" s="1895">
        <v>694960.76446080138</v>
      </c>
      <c r="D319" s="3618"/>
      <c r="E319" s="1882"/>
      <c r="F319" s="1883">
        <v>3190</v>
      </c>
      <c r="G319" s="1884">
        <v>11352</v>
      </c>
      <c r="H319" s="3619">
        <v>9201</v>
      </c>
      <c r="I319" s="1884">
        <v>6864</v>
      </c>
      <c r="J319" s="3619">
        <v>4284</v>
      </c>
      <c r="K319" s="1884">
        <v>5328</v>
      </c>
      <c r="L319" s="3619">
        <v>5747</v>
      </c>
      <c r="M319" s="1884">
        <v>3200</v>
      </c>
      <c r="N319" s="1885">
        <v>3938</v>
      </c>
      <c r="O319" s="2373">
        <f t="shared" si="5"/>
        <v>53104</v>
      </c>
      <c r="P319" s="1888">
        <v>30080</v>
      </c>
      <c r="Q319" s="1885">
        <v>4993</v>
      </c>
      <c r="R319" s="1889">
        <v>128517</v>
      </c>
    </row>
    <row r="320" spans="1:18">
      <c r="A320" s="863">
        <f t="shared" si="6"/>
        <v>2016.11</v>
      </c>
      <c r="B320" s="1881">
        <v>549738</v>
      </c>
      <c r="C320" s="1895">
        <v>635725.77598777856</v>
      </c>
      <c r="D320" s="3618"/>
      <c r="E320" s="1882"/>
      <c r="F320" s="1883">
        <v>2102</v>
      </c>
      <c r="G320" s="1884">
        <v>13143</v>
      </c>
      <c r="H320" s="3619">
        <v>4694</v>
      </c>
      <c r="I320" s="1884">
        <v>7110</v>
      </c>
      <c r="J320" s="3619">
        <v>5492</v>
      </c>
      <c r="K320" s="1884">
        <v>3979</v>
      </c>
      <c r="L320" s="3619">
        <v>1702</v>
      </c>
      <c r="M320" s="1884">
        <v>3521</v>
      </c>
      <c r="N320" s="1885">
        <v>1237</v>
      </c>
      <c r="O320" s="2373">
        <f t="shared" si="5"/>
        <v>42980</v>
      </c>
      <c r="P320" s="1888">
        <v>67734</v>
      </c>
      <c r="Q320" s="1885">
        <v>452</v>
      </c>
      <c r="R320" s="1889">
        <v>147469</v>
      </c>
    </row>
    <row r="321" spans="1:18">
      <c r="A321" s="863">
        <f t="shared" si="6"/>
        <v>2016.12</v>
      </c>
      <c r="B321" s="1881">
        <v>614505</v>
      </c>
      <c r="C321" s="1895">
        <v>707605</v>
      </c>
      <c r="D321" s="3618"/>
      <c r="E321" s="1882"/>
      <c r="F321" s="1883">
        <v>1662</v>
      </c>
      <c r="G321" s="1884">
        <v>15074</v>
      </c>
      <c r="H321" s="3619">
        <v>8224</v>
      </c>
      <c r="I321" s="1884">
        <v>10673</v>
      </c>
      <c r="J321" s="3619">
        <v>8649</v>
      </c>
      <c r="K321" s="1884">
        <v>4747</v>
      </c>
      <c r="L321" s="3619">
        <v>3712</v>
      </c>
      <c r="M321" s="1884">
        <v>2699</v>
      </c>
      <c r="N321" s="1885">
        <v>2100</v>
      </c>
      <c r="O321" s="2373">
        <f t="shared" si="5"/>
        <v>57540</v>
      </c>
      <c r="P321" s="1888">
        <v>70679</v>
      </c>
      <c r="Q321" s="1885">
        <v>12106</v>
      </c>
      <c r="R321" s="1889">
        <v>193647</v>
      </c>
    </row>
    <row r="322" spans="1:18">
      <c r="A322" s="863">
        <f t="shared" si="6"/>
        <v>2017.01</v>
      </c>
      <c r="B322" s="1881">
        <v>590799</v>
      </c>
      <c r="C322" s="1895">
        <v>668332</v>
      </c>
      <c r="D322" s="3618"/>
      <c r="E322" s="1882"/>
      <c r="F322" s="1883">
        <v>2157</v>
      </c>
      <c r="G322" s="1884">
        <v>31091</v>
      </c>
      <c r="H322" s="3619">
        <v>0</v>
      </c>
      <c r="I322" s="1884">
        <v>7899</v>
      </c>
      <c r="J322" s="3619">
        <v>1207</v>
      </c>
      <c r="K322" s="1884">
        <v>4052</v>
      </c>
      <c r="L322" s="3619">
        <v>3603</v>
      </c>
      <c r="M322" s="1884">
        <v>2903</v>
      </c>
      <c r="N322" s="1885">
        <v>2400</v>
      </c>
      <c r="O322" s="2373">
        <f t="shared" si="5"/>
        <v>55312</v>
      </c>
      <c r="P322" s="1888">
        <v>56510</v>
      </c>
      <c r="Q322" s="1885">
        <v>6521</v>
      </c>
      <c r="R322" s="1889">
        <v>165361</v>
      </c>
    </row>
    <row r="323" spans="1:18">
      <c r="A323" s="863">
        <f t="shared" si="6"/>
        <v>2017.02</v>
      </c>
      <c r="B323" s="1881">
        <v>409336</v>
      </c>
      <c r="C323" s="1895">
        <v>503078</v>
      </c>
      <c r="D323" s="3618"/>
      <c r="E323" s="1882"/>
      <c r="F323" s="1883">
        <v>854</v>
      </c>
      <c r="G323" s="1884">
        <v>3875</v>
      </c>
      <c r="H323" s="3619">
        <v>5643</v>
      </c>
      <c r="I323" s="1884">
        <v>9901</v>
      </c>
      <c r="J323" s="3619">
        <v>3535</v>
      </c>
      <c r="K323" s="1884">
        <v>3228</v>
      </c>
      <c r="L323" s="3619">
        <v>2729</v>
      </c>
      <c r="M323" s="1884">
        <v>3468</v>
      </c>
      <c r="N323" s="1885">
        <v>13046</v>
      </c>
      <c r="O323" s="2373">
        <f t="shared" si="5"/>
        <v>46279</v>
      </c>
      <c r="P323" s="1888">
        <v>29836</v>
      </c>
      <c r="Q323" s="1885">
        <v>2402</v>
      </c>
      <c r="R323" s="1889">
        <v>124194</v>
      </c>
    </row>
    <row r="324" spans="1:18">
      <c r="A324" s="863">
        <f t="shared" si="6"/>
        <v>2017.03</v>
      </c>
      <c r="B324" s="1881">
        <v>550349</v>
      </c>
      <c r="C324" s="1895">
        <v>631494</v>
      </c>
      <c r="D324" s="3618"/>
      <c r="E324" s="1882"/>
      <c r="F324" s="1883">
        <v>1565</v>
      </c>
      <c r="G324" s="1884">
        <v>16602</v>
      </c>
      <c r="H324" s="3619">
        <v>5086</v>
      </c>
      <c r="I324" s="1884">
        <v>5029</v>
      </c>
      <c r="J324" s="3619">
        <v>5471</v>
      </c>
      <c r="K324" s="1884">
        <v>8114</v>
      </c>
      <c r="L324" s="3619">
        <v>671</v>
      </c>
      <c r="M324" s="1884">
        <v>1624</v>
      </c>
      <c r="N324" s="1885">
        <v>2949</v>
      </c>
      <c r="O324" s="2373">
        <f t="shared" si="5"/>
        <v>47111</v>
      </c>
      <c r="P324" s="1888">
        <v>41925</v>
      </c>
      <c r="Q324" s="1885">
        <v>13173</v>
      </c>
      <c r="R324" s="1889">
        <v>222618</v>
      </c>
    </row>
    <row r="325" spans="1:18">
      <c r="A325" s="863">
        <f t="shared" si="6"/>
        <v>2017.04</v>
      </c>
      <c r="B325" s="1881">
        <v>655231</v>
      </c>
      <c r="C325" s="1895">
        <v>742920.67</v>
      </c>
      <c r="D325" s="3618"/>
      <c r="E325" s="1882"/>
      <c r="F325" s="1883">
        <v>1850</v>
      </c>
      <c r="G325" s="1884">
        <v>31791</v>
      </c>
      <c r="H325" s="3619">
        <v>3735</v>
      </c>
      <c r="I325" s="1884">
        <v>4587</v>
      </c>
      <c r="J325" s="3619">
        <v>3850</v>
      </c>
      <c r="K325" s="1884">
        <v>16978</v>
      </c>
      <c r="L325" s="3619">
        <v>1558</v>
      </c>
      <c r="M325" s="1884">
        <v>4604</v>
      </c>
      <c r="N325" s="1885">
        <v>2015</v>
      </c>
      <c r="O325" s="2373">
        <f t="shared" si="5"/>
        <v>70968</v>
      </c>
      <c r="P325" s="1888">
        <v>23785</v>
      </c>
      <c r="Q325" s="1885">
        <v>720</v>
      </c>
      <c r="R325" s="1889">
        <v>172570</v>
      </c>
    </row>
    <row r="326" spans="1:18">
      <c r="A326" s="863">
        <f t="shared" si="6"/>
        <v>2017.05</v>
      </c>
      <c r="B326" s="1881">
        <v>809104</v>
      </c>
      <c r="C326" s="1895">
        <v>923002</v>
      </c>
      <c r="D326" s="3618"/>
      <c r="E326" s="1882"/>
      <c r="F326" s="1883">
        <v>4205</v>
      </c>
      <c r="G326" s="1884">
        <v>15677</v>
      </c>
      <c r="H326" s="3619">
        <v>5164</v>
      </c>
      <c r="I326" s="1884">
        <v>11269</v>
      </c>
      <c r="J326" s="3619">
        <v>4219</v>
      </c>
      <c r="K326" s="1884">
        <v>6534</v>
      </c>
      <c r="L326" s="3619">
        <v>1848</v>
      </c>
      <c r="M326" s="1884">
        <v>5299</v>
      </c>
      <c r="N326" s="1885">
        <v>1151</v>
      </c>
      <c r="O326" s="2373">
        <f t="shared" si="5"/>
        <v>55366</v>
      </c>
      <c r="P326" s="1888">
        <v>53136</v>
      </c>
      <c r="Q326" s="1885">
        <v>680</v>
      </c>
      <c r="R326" s="1889">
        <v>170245</v>
      </c>
    </row>
    <row r="327" spans="1:18">
      <c r="A327" s="863">
        <f t="shared" si="6"/>
        <v>2017.06</v>
      </c>
      <c r="B327" s="1881">
        <v>614234</v>
      </c>
      <c r="C327" s="1895">
        <v>744776</v>
      </c>
      <c r="D327" s="3618"/>
      <c r="E327" s="1882"/>
      <c r="F327" s="1883">
        <v>3396</v>
      </c>
      <c r="G327" s="1884">
        <v>12328</v>
      </c>
      <c r="H327" s="3619">
        <v>4898</v>
      </c>
      <c r="I327" s="1884">
        <v>8405</v>
      </c>
      <c r="J327" s="3619">
        <v>4798</v>
      </c>
      <c r="K327" s="1884">
        <v>9872</v>
      </c>
      <c r="L327" s="3619">
        <v>4405</v>
      </c>
      <c r="M327" s="1884">
        <v>1586</v>
      </c>
      <c r="N327" s="1885">
        <v>2894</v>
      </c>
      <c r="O327" s="2373">
        <f t="shared" si="5"/>
        <v>52582</v>
      </c>
      <c r="P327" s="1888">
        <v>48962</v>
      </c>
      <c r="Q327" s="1885">
        <v>1315</v>
      </c>
      <c r="R327" s="1889">
        <v>162832</v>
      </c>
    </row>
    <row r="328" spans="1:18">
      <c r="A328" s="863">
        <f t="shared" si="6"/>
        <v>2017.07</v>
      </c>
      <c r="B328" s="1881">
        <v>672648</v>
      </c>
      <c r="C328" s="1895">
        <v>812534.0166666666</v>
      </c>
      <c r="D328" s="3618"/>
      <c r="E328" s="1882"/>
      <c r="F328" s="1883">
        <v>1293</v>
      </c>
      <c r="G328" s="1884">
        <v>15159</v>
      </c>
      <c r="H328" s="3619">
        <v>5005</v>
      </c>
      <c r="I328" s="1884">
        <v>5420</v>
      </c>
      <c r="J328" s="3619">
        <v>6728</v>
      </c>
      <c r="K328" s="1884">
        <v>6235</v>
      </c>
      <c r="L328" s="3619">
        <v>934</v>
      </c>
      <c r="M328" s="1884">
        <v>1191</v>
      </c>
      <c r="N328" s="1885">
        <v>1194</v>
      </c>
      <c r="O328" s="2373">
        <f t="shared" si="5"/>
        <v>43159</v>
      </c>
      <c r="P328" s="1888">
        <v>68192</v>
      </c>
      <c r="Q328" s="1885">
        <v>1898</v>
      </c>
      <c r="R328" s="1889">
        <v>197038</v>
      </c>
    </row>
    <row r="329" spans="1:18">
      <c r="A329" s="863">
        <f t="shared" si="6"/>
        <v>2017.08</v>
      </c>
      <c r="B329" s="1881">
        <v>752429</v>
      </c>
      <c r="C329" s="1895">
        <v>842784.55</v>
      </c>
      <c r="D329" s="3618"/>
      <c r="E329" s="1882"/>
      <c r="F329" s="1883">
        <v>2953</v>
      </c>
      <c r="G329" s="1884">
        <v>7458</v>
      </c>
      <c r="H329" s="3619">
        <v>6902</v>
      </c>
      <c r="I329" s="1884">
        <v>11444</v>
      </c>
      <c r="J329" s="3619">
        <v>9688</v>
      </c>
      <c r="K329" s="1884">
        <v>6595</v>
      </c>
      <c r="L329" s="3619">
        <v>1401</v>
      </c>
      <c r="M329" s="1884">
        <v>2873</v>
      </c>
      <c r="N329" s="1885">
        <v>3757</v>
      </c>
      <c r="O329" s="2373">
        <f t="shared" si="5"/>
        <v>53071</v>
      </c>
      <c r="P329" s="1888">
        <v>60977</v>
      </c>
      <c r="Q329" s="1885">
        <v>4441</v>
      </c>
      <c r="R329" s="1889">
        <v>186336</v>
      </c>
    </row>
    <row r="330" spans="1:18">
      <c r="A330" s="863">
        <f t="shared" si="6"/>
        <v>2017.09</v>
      </c>
      <c r="B330" s="1881">
        <v>601104</v>
      </c>
      <c r="C330" s="1895">
        <v>697827</v>
      </c>
      <c r="D330" s="3618"/>
      <c r="E330" s="1882"/>
      <c r="F330" s="1883">
        <v>2958</v>
      </c>
      <c r="G330" s="1884">
        <v>16594</v>
      </c>
      <c r="H330" s="3619">
        <v>8848</v>
      </c>
      <c r="I330" s="1884">
        <v>13725</v>
      </c>
      <c r="J330" s="3619">
        <v>3658</v>
      </c>
      <c r="K330" s="1884">
        <v>4607</v>
      </c>
      <c r="L330" s="3619">
        <v>3247</v>
      </c>
      <c r="M330" s="1884">
        <v>2069</v>
      </c>
      <c r="N330" s="1885">
        <v>1617</v>
      </c>
      <c r="O330" s="2373">
        <f t="shared" si="5"/>
        <v>57323</v>
      </c>
      <c r="P330" s="1888">
        <v>70781</v>
      </c>
      <c r="Q330" s="1885">
        <v>419</v>
      </c>
      <c r="R330" s="1889">
        <v>204215</v>
      </c>
    </row>
    <row r="331" spans="1:18">
      <c r="A331" s="863">
        <f t="shared" si="6"/>
        <v>2017.1</v>
      </c>
      <c r="B331" s="1881">
        <v>673808</v>
      </c>
      <c r="C331" s="1895">
        <v>776999.8833333333</v>
      </c>
      <c r="D331" s="3618"/>
      <c r="E331" s="1882"/>
      <c r="F331" s="1883">
        <v>1814</v>
      </c>
      <c r="G331" s="1884">
        <v>13532</v>
      </c>
      <c r="H331" s="3619">
        <v>5118</v>
      </c>
      <c r="I331" s="1884">
        <v>10930</v>
      </c>
      <c r="J331" s="3619">
        <v>6181</v>
      </c>
      <c r="K331" s="1884">
        <v>4698</v>
      </c>
      <c r="L331" s="3619">
        <v>1781</v>
      </c>
      <c r="M331" s="1884">
        <v>1953</v>
      </c>
      <c r="N331" s="1885">
        <v>4851</v>
      </c>
      <c r="O331" s="2373">
        <f t="shared" ref="O331:O394" si="7">_xlfn.AGGREGATE(9,6,F331:N331)</f>
        <v>50858</v>
      </c>
      <c r="P331" s="1888">
        <v>59239</v>
      </c>
      <c r="Q331" s="1885">
        <v>1364</v>
      </c>
      <c r="R331" s="1889">
        <v>156854</v>
      </c>
    </row>
    <row r="332" spans="1:18">
      <c r="A332" s="863">
        <f t="shared" si="6"/>
        <v>2017.11</v>
      </c>
      <c r="B332" s="1881">
        <v>610857</v>
      </c>
      <c r="C332" s="1895">
        <v>706975.69</v>
      </c>
      <c r="D332" s="3618"/>
      <c r="E332" s="1882"/>
      <c r="F332" s="1883">
        <v>5875</v>
      </c>
      <c r="G332" s="1884">
        <v>9650</v>
      </c>
      <c r="H332" s="3619">
        <v>3367</v>
      </c>
      <c r="I332" s="1884">
        <v>4202</v>
      </c>
      <c r="J332" s="3619">
        <v>6807</v>
      </c>
      <c r="K332" s="1884">
        <v>9935</v>
      </c>
      <c r="L332" s="3619">
        <v>1697</v>
      </c>
      <c r="M332" s="1884">
        <v>4096</v>
      </c>
      <c r="N332" s="1885">
        <v>2973</v>
      </c>
      <c r="O332" s="2373">
        <f t="shared" si="7"/>
        <v>48602</v>
      </c>
      <c r="P332" s="1888">
        <v>74702</v>
      </c>
      <c r="Q332" s="1885">
        <v>316</v>
      </c>
      <c r="R332" s="1889">
        <v>184547</v>
      </c>
    </row>
    <row r="333" spans="1:18">
      <c r="A333" s="863">
        <f t="shared" si="6"/>
        <v>2017.12</v>
      </c>
      <c r="B333" s="1881">
        <v>631016</v>
      </c>
      <c r="C333" s="1895">
        <v>709852</v>
      </c>
      <c r="D333" s="3618"/>
      <c r="E333" s="1882"/>
      <c r="F333" s="1883">
        <v>1081</v>
      </c>
      <c r="G333" s="1884">
        <v>10297</v>
      </c>
      <c r="H333" s="3619">
        <v>7705</v>
      </c>
      <c r="I333" s="1884">
        <v>7201</v>
      </c>
      <c r="J333" s="3619">
        <v>5061</v>
      </c>
      <c r="K333" s="1884">
        <v>2740</v>
      </c>
      <c r="L333" s="3619">
        <v>4274</v>
      </c>
      <c r="M333" s="1884">
        <v>2756</v>
      </c>
      <c r="N333" s="1885">
        <v>2793</v>
      </c>
      <c r="O333" s="2373">
        <f t="shared" si="7"/>
        <v>43908</v>
      </c>
      <c r="P333" s="1888">
        <v>49861</v>
      </c>
      <c r="Q333" s="1885">
        <v>539</v>
      </c>
      <c r="R333" s="1889">
        <v>151292</v>
      </c>
    </row>
    <row r="334" spans="1:18">
      <c r="A334" s="863">
        <f t="shared" si="6"/>
        <v>2018.01</v>
      </c>
      <c r="B334" s="1881">
        <v>499443</v>
      </c>
      <c r="C334" s="1895">
        <v>573034</v>
      </c>
      <c r="D334" s="3618"/>
      <c r="E334" s="1882"/>
      <c r="F334" s="1883">
        <v>1613</v>
      </c>
      <c r="G334" s="1884">
        <v>6374</v>
      </c>
      <c r="H334" s="3619">
        <v>0</v>
      </c>
      <c r="I334" s="1884">
        <v>12934</v>
      </c>
      <c r="J334" s="3619">
        <v>2954</v>
      </c>
      <c r="K334" s="1884">
        <v>5130</v>
      </c>
      <c r="L334" s="3619">
        <v>3257</v>
      </c>
      <c r="M334" s="1884">
        <v>4888</v>
      </c>
      <c r="N334" s="1885">
        <v>3497</v>
      </c>
      <c r="O334" s="2373">
        <f t="shared" si="7"/>
        <v>40647</v>
      </c>
      <c r="P334" s="1888">
        <v>74424</v>
      </c>
      <c r="Q334" s="1885">
        <v>693</v>
      </c>
      <c r="R334" s="1889">
        <v>162799</v>
      </c>
    </row>
    <row r="335" spans="1:18">
      <c r="A335" s="863">
        <f t="shared" si="6"/>
        <v>2018.02</v>
      </c>
      <c r="B335" s="1881">
        <v>460775</v>
      </c>
      <c r="C335" s="1895">
        <v>514589</v>
      </c>
      <c r="D335" s="3618"/>
      <c r="E335" s="1882"/>
      <c r="F335" s="1883">
        <v>1526</v>
      </c>
      <c r="G335" s="1884">
        <v>11872</v>
      </c>
      <c r="H335" s="3619">
        <v>6162</v>
      </c>
      <c r="I335" s="1884">
        <v>3806</v>
      </c>
      <c r="J335" s="3619">
        <v>4439</v>
      </c>
      <c r="K335" s="1884">
        <v>4665</v>
      </c>
      <c r="L335" s="3619">
        <v>3129</v>
      </c>
      <c r="M335" s="1884">
        <v>5990</v>
      </c>
      <c r="N335" s="1885">
        <v>2976</v>
      </c>
      <c r="O335" s="2373">
        <f t="shared" si="7"/>
        <v>44565</v>
      </c>
      <c r="P335" s="1888">
        <v>105563</v>
      </c>
      <c r="Q335" s="1885">
        <v>1994</v>
      </c>
      <c r="R335" s="1889">
        <v>201706</v>
      </c>
    </row>
    <row r="336" spans="1:18">
      <c r="A336" s="863">
        <f t="shared" si="6"/>
        <v>2018.03</v>
      </c>
      <c r="B336" s="1881">
        <v>689600</v>
      </c>
      <c r="C336" s="1895">
        <v>798641</v>
      </c>
      <c r="D336" s="3618"/>
      <c r="E336" s="1882"/>
      <c r="F336" s="1883">
        <v>772</v>
      </c>
      <c r="G336" s="1884">
        <v>11100</v>
      </c>
      <c r="H336" s="3619">
        <v>8785</v>
      </c>
      <c r="I336" s="1884">
        <v>8014</v>
      </c>
      <c r="J336" s="3619">
        <v>3084</v>
      </c>
      <c r="K336" s="1884">
        <v>6563</v>
      </c>
      <c r="L336" s="3619">
        <v>3075</v>
      </c>
      <c r="M336" s="1884">
        <v>1834</v>
      </c>
      <c r="N336" s="1885">
        <v>1426</v>
      </c>
      <c r="O336" s="2373">
        <f t="shared" si="7"/>
        <v>44653</v>
      </c>
      <c r="P336" s="1888">
        <v>32027</v>
      </c>
      <c r="Q336" s="1885">
        <v>1998</v>
      </c>
      <c r="R336" s="1889">
        <v>181407</v>
      </c>
    </row>
    <row r="337" spans="1:18">
      <c r="A337" s="863">
        <f t="shared" si="6"/>
        <v>2018.04</v>
      </c>
      <c r="B337" s="1881">
        <v>526810</v>
      </c>
      <c r="C337" s="1895">
        <v>632767</v>
      </c>
      <c r="D337" s="3618"/>
      <c r="E337" s="1882"/>
      <c r="F337" s="1883">
        <v>1461</v>
      </c>
      <c r="G337" s="1884">
        <v>5914</v>
      </c>
      <c r="H337" s="3619">
        <v>6486</v>
      </c>
      <c r="I337" s="1884">
        <v>6538</v>
      </c>
      <c r="J337" s="3619">
        <v>11291</v>
      </c>
      <c r="K337" s="1884">
        <v>4694</v>
      </c>
      <c r="L337" s="3619">
        <v>2933</v>
      </c>
      <c r="M337" s="1884">
        <v>3453</v>
      </c>
      <c r="N337" s="1885">
        <v>1961</v>
      </c>
      <c r="O337" s="2373">
        <f t="shared" si="7"/>
        <v>44731</v>
      </c>
      <c r="P337" s="1888">
        <v>53909</v>
      </c>
      <c r="Q337" s="1885">
        <v>14896</v>
      </c>
      <c r="R337" s="1889">
        <v>158041</v>
      </c>
    </row>
    <row r="338" spans="1:18">
      <c r="A338" s="863">
        <f t="shared" si="6"/>
        <v>2018.05</v>
      </c>
      <c r="B338" s="1881">
        <v>626181</v>
      </c>
      <c r="C338" s="1895">
        <v>733828</v>
      </c>
      <c r="D338" s="3618"/>
      <c r="E338" s="1882"/>
      <c r="F338" s="1883">
        <v>824</v>
      </c>
      <c r="G338" s="1884">
        <v>13692</v>
      </c>
      <c r="H338" s="3619">
        <v>9293</v>
      </c>
      <c r="I338" s="1884">
        <v>11328</v>
      </c>
      <c r="J338" s="3619">
        <v>4968</v>
      </c>
      <c r="K338" s="1884">
        <v>3732</v>
      </c>
      <c r="L338" s="3619">
        <v>2308</v>
      </c>
      <c r="M338" s="1884">
        <v>2778</v>
      </c>
      <c r="N338" s="1885">
        <v>1212</v>
      </c>
      <c r="O338" s="2373">
        <f t="shared" si="7"/>
        <v>50135</v>
      </c>
      <c r="P338" s="1888">
        <v>74387</v>
      </c>
      <c r="Q338" s="1885">
        <v>17356</v>
      </c>
      <c r="R338" s="1889">
        <v>190207</v>
      </c>
    </row>
    <row r="339" spans="1:18">
      <c r="A339" s="863">
        <f t="shared" si="6"/>
        <v>2018.06</v>
      </c>
      <c r="B339" s="1896" t="s">
        <v>1076</v>
      </c>
      <c r="C339" s="1895">
        <v>637513</v>
      </c>
      <c r="D339" s="3618"/>
      <c r="E339" s="1882"/>
      <c r="F339" s="1883">
        <v>4640</v>
      </c>
      <c r="G339" s="1884">
        <v>16029</v>
      </c>
      <c r="H339" s="3619">
        <v>8451</v>
      </c>
      <c r="I339" s="1884">
        <v>9818</v>
      </c>
      <c r="J339" s="3619">
        <v>5219</v>
      </c>
      <c r="K339" s="1884">
        <v>7559</v>
      </c>
      <c r="L339" s="3619">
        <v>1692</v>
      </c>
      <c r="M339" s="1884">
        <v>1890</v>
      </c>
      <c r="N339" s="1885">
        <v>803</v>
      </c>
      <c r="O339" s="2373">
        <f t="shared" si="7"/>
        <v>56101</v>
      </c>
      <c r="P339" s="1888">
        <v>72505</v>
      </c>
      <c r="Q339" s="1885">
        <v>4133</v>
      </c>
      <c r="R339" s="1889">
        <v>173199</v>
      </c>
    </row>
    <row r="340" spans="1:18">
      <c r="A340" s="863">
        <f t="shared" si="6"/>
        <v>2018.07</v>
      </c>
      <c r="B340" s="1897"/>
      <c r="C340" s="1895">
        <v>708198</v>
      </c>
      <c r="D340" s="3618"/>
      <c r="E340" s="1882"/>
      <c r="F340" s="1883">
        <v>1733</v>
      </c>
      <c r="G340" s="1884">
        <v>19303</v>
      </c>
      <c r="H340" s="3619">
        <v>6904</v>
      </c>
      <c r="I340" s="1884">
        <v>7031</v>
      </c>
      <c r="J340" s="3619">
        <v>2703</v>
      </c>
      <c r="K340" s="1884">
        <v>6702</v>
      </c>
      <c r="L340" s="3619">
        <v>1433</v>
      </c>
      <c r="M340" s="1884">
        <v>2797</v>
      </c>
      <c r="N340" s="1885">
        <v>3754</v>
      </c>
      <c r="O340" s="2373">
        <f t="shared" si="7"/>
        <v>52360</v>
      </c>
      <c r="P340" s="1888">
        <v>54672</v>
      </c>
      <c r="Q340" s="1885">
        <v>8436</v>
      </c>
      <c r="R340" s="1889">
        <v>162015</v>
      </c>
    </row>
    <row r="341" spans="1:18">
      <c r="A341" s="863">
        <f t="shared" si="6"/>
        <v>2018.08</v>
      </c>
      <c r="B341" s="1897"/>
      <c r="C341" s="1895">
        <v>750110</v>
      </c>
      <c r="D341" s="3618"/>
      <c r="E341" s="1882"/>
      <c r="F341" s="1883">
        <v>2348</v>
      </c>
      <c r="G341" s="1884">
        <v>11608</v>
      </c>
      <c r="H341" s="3619">
        <v>3724</v>
      </c>
      <c r="I341" s="1884">
        <v>5606</v>
      </c>
      <c r="J341" s="3619">
        <v>5323</v>
      </c>
      <c r="K341" s="1884">
        <v>5554</v>
      </c>
      <c r="L341" s="3619">
        <v>835</v>
      </c>
      <c r="M341" s="1884">
        <v>3847</v>
      </c>
      <c r="N341" s="1885">
        <v>3238</v>
      </c>
      <c r="O341" s="2373">
        <f t="shared" si="7"/>
        <v>42083</v>
      </c>
      <c r="P341" s="1888">
        <v>57077</v>
      </c>
      <c r="Q341" s="1885">
        <v>1458</v>
      </c>
      <c r="R341" s="1889">
        <v>159531</v>
      </c>
    </row>
    <row r="342" spans="1:18">
      <c r="A342" s="863">
        <f t="shared" ref="A342:A405" si="8">A330+1</f>
        <v>2018.09</v>
      </c>
      <c r="B342" s="1897"/>
      <c r="C342" s="1895">
        <v>754995</v>
      </c>
      <c r="D342" s="3618"/>
      <c r="E342" s="1882"/>
      <c r="F342" s="1883">
        <v>4611</v>
      </c>
      <c r="G342" s="1884">
        <v>6711</v>
      </c>
      <c r="H342" s="3619">
        <v>6008</v>
      </c>
      <c r="I342" s="1884">
        <v>7834</v>
      </c>
      <c r="J342" s="3619">
        <v>6388</v>
      </c>
      <c r="K342" s="1884">
        <v>3806</v>
      </c>
      <c r="L342" s="3619">
        <v>2683</v>
      </c>
      <c r="M342" s="1884">
        <v>2682</v>
      </c>
      <c r="N342" s="1885">
        <v>4834</v>
      </c>
      <c r="O342" s="2373">
        <f t="shared" si="7"/>
        <v>45557</v>
      </c>
      <c r="P342" s="1888">
        <v>66403</v>
      </c>
      <c r="Q342" s="1885">
        <v>2391</v>
      </c>
      <c r="R342" s="1889">
        <v>159501</v>
      </c>
    </row>
    <row r="343" spans="1:18">
      <c r="A343" s="863">
        <f t="shared" si="8"/>
        <v>2018.1</v>
      </c>
      <c r="B343" s="1897"/>
      <c r="C343" s="1895">
        <v>721943</v>
      </c>
      <c r="D343" s="3618"/>
      <c r="E343" s="1882"/>
      <c r="F343" s="1883">
        <v>3975</v>
      </c>
      <c r="G343" s="1884">
        <v>9010</v>
      </c>
      <c r="H343" s="3619">
        <v>7789</v>
      </c>
      <c r="I343" s="1884">
        <v>8900</v>
      </c>
      <c r="J343" s="3619">
        <v>5274</v>
      </c>
      <c r="K343" s="1884">
        <v>9448</v>
      </c>
      <c r="L343" s="3619">
        <v>4207</v>
      </c>
      <c r="M343" s="1884">
        <v>2927</v>
      </c>
      <c r="N343" s="1885">
        <v>4461</v>
      </c>
      <c r="O343" s="2373">
        <f t="shared" si="7"/>
        <v>55991</v>
      </c>
      <c r="P343" s="1888">
        <v>51090</v>
      </c>
      <c r="Q343" s="1885">
        <v>2172</v>
      </c>
      <c r="R343" s="1889">
        <v>154404</v>
      </c>
    </row>
    <row r="344" spans="1:18">
      <c r="A344" s="863">
        <f t="shared" si="8"/>
        <v>2018.11</v>
      </c>
      <c r="B344" s="1897"/>
      <c r="C344" s="1895">
        <v>625563</v>
      </c>
      <c r="D344" s="3618"/>
      <c r="E344" s="1882"/>
      <c r="F344" s="1883">
        <v>1429</v>
      </c>
      <c r="G344" s="1884">
        <v>6214</v>
      </c>
      <c r="H344" s="3619">
        <v>8183</v>
      </c>
      <c r="I344" s="1884">
        <v>6825</v>
      </c>
      <c r="J344" s="3619">
        <v>4445</v>
      </c>
      <c r="K344" s="1884">
        <v>3831</v>
      </c>
      <c r="L344" s="3619">
        <v>1501</v>
      </c>
      <c r="M344" s="1884">
        <v>4412</v>
      </c>
      <c r="N344" s="1885">
        <v>6947</v>
      </c>
      <c r="O344" s="2373">
        <f t="shared" si="7"/>
        <v>43787</v>
      </c>
      <c r="P344" s="1888">
        <v>70727</v>
      </c>
      <c r="Q344" s="1885">
        <v>1099</v>
      </c>
      <c r="R344" s="1889">
        <v>151088</v>
      </c>
    </row>
    <row r="345" spans="1:18">
      <c r="A345" s="863">
        <f t="shared" si="8"/>
        <v>2018.12</v>
      </c>
      <c r="B345" s="1897"/>
      <c r="C345" s="1895">
        <v>604294</v>
      </c>
      <c r="D345" s="3618"/>
      <c r="E345" s="1882"/>
      <c r="F345" s="1883">
        <v>1460</v>
      </c>
      <c r="G345" s="1884">
        <v>15803</v>
      </c>
      <c r="H345" s="3619">
        <v>8391</v>
      </c>
      <c r="I345" s="1884">
        <v>5968</v>
      </c>
      <c r="J345" s="3619">
        <v>3584</v>
      </c>
      <c r="K345" s="1884">
        <v>3161</v>
      </c>
      <c r="L345" s="3619">
        <v>1551</v>
      </c>
      <c r="M345" s="1884">
        <v>4876</v>
      </c>
      <c r="N345" s="1885">
        <v>10392</v>
      </c>
      <c r="O345" s="2373">
        <f t="shared" si="7"/>
        <v>55186</v>
      </c>
      <c r="P345" s="1888">
        <v>58436</v>
      </c>
      <c r="Q345" s="1885">
        <v>206</v>
      </c>
      <c r="R345" s="1889">
        <v>195927</v>
      </c>
    </row>
    <row r="346" spans="1:18">
      <c r="A346" s="863">
        <f t="shared" si="8"/>
        <v>2019.01</v>
      </c>
      <c r="B346" s="1897"/>
      <c r="C346" s="1895">
        <v>585890</v>
      </c>
      <c r="D346" s="3618"/>
      <c r="E346" s="1882"/>
      <c r="F346" s="1883">
        <v>2681</v>
      </c>
      <c r="G346" s="1884">
        <v>11606</v>
      </c>
      <c r="H346" s="3619">
        <v>1923</v>
      </c>
      <c r="I346" s="1884">
        <v>4945</v>
      </c>
      <c r="J346" s="3619">
        <v>3154</v>
      </c>
      <c r="K346" s="1884">
        <v>5668</v>
      </c>
      <c r="L346" s="3619">
        <v>622</v>
      </c>
      <c r="M346" s="1884">
        <v>3148</v>
      </c>
      <c r="N346" s="1885">
        <v>3848</v>
      </c>
      <c r="O346" s="2373">
        <f t="shared" si="7"/>
        <v>37595</v>
      </c>
      <c r="P346" s="1888">
        <v>65560</v>
      </c>
      <c r="Q346" s="1885">
        <v>1112</v>
      </c>
      <c r="R346" s="1889">
        <v>137500</v>
      </c>
    </row>
    <row r="347" spans="1:18">
      <c r="A347" s="863">
        <f t="shared" si="8"/>
        <v>2019.02</v>
      </c>
      <c r="B347" s="1897"/>
      <c r="C347" s="1895">
        <v>685867</v>
      </c>
      <c r="D347" s="3618"/>
      <c r="E347" s="1882"/>
      <c r="F347" s="1883">
        <v>787</v>
      </c>
      <c r="G347" s="1884">
        <v>7560</v>
      </c>
      <c r="H347" s="3619">
        <v>5829</v>
      </c>
      <c r="I347" s="1884">
        <v>4632</v>
      </c>
      <c r="J347" s="3619">
        <v>3362</v>
      </c>
      <c r="K347" s="1884">
        <v>3600</v>
      </c>
      <c r="L347" s="3619">
        <v>2898</v>
      </c>
      <c r="M347" s="1884">
        <v>2943</v>
      </c>
      <c r="N347" s="1885">
        <v>2327</v>
      </c>
      <c r="O347" s="2373">
        <f t="shared" si="7"/>
        <v>33938</v>
      </c>
      <c r="P347" s="1888">
        <v>71815</v>
      </c>
      <c r="Q347" s="1885">
        <v>2096</v>
      </c>
      <c r="R347" s="1889">
        <v>147884</v>
      </c>
    </row>
    <row r="348" spans="1:18">
      <c r="A348" s="863">
        <f t="shared" si="8"/>
        <v>2019.03</v>
      </c>
      <c r="B348" s="1897"/>
      <c r="C348" s="1895">
        <v>539533</v>
      </c>
      <c r="D348" s="3618"/>
      <c r="E348" s="1882"/>
      <c r="F348" s="1883">
        <v>659</v>
      </c>
      <c r="G348" s="1884">
        <v>7997</v>
      </c>
      <c r="H348" s="3619">
        <v>5412</v>
      </c>
      <c r="I348" s="1884">
        <v>7654</v>
      </c>
      <c r="J348" s="3619">
        <v>4357</v>
      </c>
      <c r="K348" s="1884">
        <v>4161</v>
      </c>
      <c r="L348" s="3619">
        <v>2364</v>
      </c>
      <c r="M348" s="1884">
        <v>3154</v>
      </c>
      <c r="N348" s="1885">
        <v>2908</v>
      </c>
      <c r="O348" s="2373">
        <f t="shared" si="7"/>
        <v>38666</v>
      </c>
      <c r="P348" s="1888">
        <v>77804</v>
      </c>
      <c r="Q348" s="1885">
        <v>804</v>
      </c>
      <c r="R348" s="1889">
        <v>165367</v>
      </c>
    </row>
    <row r="349" spans="1:18">
      <c r="A349" s="863">
        <f t="shared" si="8"/>
        <v>2019.04</v>
      </c>
      <c r="B349" s="1897"/>
      <c r="C349" s="1895">
        <v>731295</v>
      </c>
      <c r="D349" s="3618"/>
      <c r="E349" s="1882"/>
      <c r="F349" s="1883">
        <v>6443</v>
      </c>
      <c r="G349" s="1884">
        <v>8640</v>
      </c>
      <c r="H349" s="3619">
        <v>4705</v>
      </c>
      <c r="I349" s="1884">
        <v>6048</v>
      </c>
      <c r="J349" s="3619">
        <v>4405</v>
      </c>
      <c r="K349" s="1884">
        <v>16131</v>
      </c>
      <c r="L349" s="3619">
        <v>1381</v>
      </c>
      <c r="M349" s="1884">
        <v>3767</v>
      </c>
      <c r="N349" s="1885">
        <v>5503</v>
      </c>
      <c r="O349" s="2373">
        <f t="shared" si="7"/>
        <v>57023</v>
      </c>
      <c r="P349" s="1888">
        <v>58582</v>
      </c>
      <c r="Q349" s="1885">
        <v>2828</v>
      </c>
      <c r="R349" s="1889">
        <v>162335</v>
      </c>
    </row>
    <row r="350" spans="1:18">
      <c r="A350" s="863">
        <f t="shared" si="8"/>
        <v>2019.05</v>
      </c>
      <c r="B350" s="1897"/>
      <c r="C350" s="1895">
        <v>899183</v>
      </c>
      <c r="D350" s="3618"/>
      <c r="E350" s="1882"/>
      <c r="F350" s="1883">
        <v>4239</v>
      </c>
      <c r="G350" s="1884">
        <v>8713</v>
      </c>
      <c r="H350" s="3619">
        <v>7454</v>
      </c>
      <c r="I350" s="1884">
        <v>5262</v>
      </c>
      <c r="J350" s="3619">
        <v>6238</v>
      </c>
      <c r="K350" s="1884">
        <v>4179</v>
      </c>
      <c r="L350" s="3619">
        <v>828</v>
      </c>
      <c r="M350" s="1884">
        <v>2826</v>
      </c>
      <c r="N350" s="1885">
        <v>3226</v>
      </c>
      <c r="O350" s="2373">
        <f t="shared" si="7"/>
        <v>42965</v>
      </c>
      <c r="P350" s="1888">
        <v>53868</v>
      </c>
      <c r="Q350" s="1885">
        <v>4078</v>
      </c>
      <c r="R350" s="1889">
        <v>141117</v>
      </c>
    </row>
    <row r="351" spans="1:18">
      <c r="A351" s="863">
        <f t="shared" si="8"/>
        <v>2019.06</v>
      </c>
      <c r="B351" s="1897"/>
      <c r="C351" s="1895">
        <v>798834</v>
      </c>
      <c r="D351" s="3618"/>
      <c r="E351" s="1882"/>
      <c r="F351" s="1883">
        <v>1610</v>
      </c>
      <c r="G351" s="1884">
        <v>7989</v>
      </c>
      <c r="H351" s="3619">
        <v>11496</v>
      </c>
      <c r="I351" s="1884">
        <v>6269</v>
      </c>
      <c r="J351" s="3619">
        <v>2681</v>
      </c>
      <c r="K351" s="1884">
        <v>3231</v>
      </c>
      <c r="L351" s="3619">
        <v>1723</v>
      </c>
      <c r="M351" s="1884">
        <v>1560</v>
      </c>
      <c r="N351" s="1885">
        <v>3884</v>
      </c>
      <c r="O351" s="2373">
        <f t="shared" si="7"/>
        <v>40443</v>
      </c>
      <c r="P351" s="1888">
        <v>76792</v>
      </c>
      <c r="Q351" s="1885">
        <v>1757</v>
      </c>
      <c r="R351" s="1889">
        <v>177058</v>
      </c>
    </row>
    <row r="352" spans="1:18">
      <c r="A352" s="863">
        <f t="shared" si="8"/>
        <v>2019.07</v>
      </c>
      <c r="B352" s="1897"/>
      <c r="C352" s="1895">
        <v>846330</v>
      </c>
      <c r="D352" s="3618"/>
      <c r="E352" s="1882"/>
      <c r="F352" s="1883">
        <v>1493</v>
      </c>
      <c r="G352" s="1884">
        <v>60303</v>
      </c>
      <c r="H352" s="3619">
        <v>5760</v>
      </c>
      <c r="I352" s="1884">
        <v>3797</v>
      </c>
      <c r="J352" s="3619">
        <v>3473</v>
      </c>
      <c r="K352" s="1884">
        <v>3200</v>
      </c>
      <c r="L352" s="3619">
        <v>1829</v>
      </c>
      <c r="M352" s="1884">
        <v>1769</v>
      </c>
      <c r="N352" s="1885">
        <v>2324</v>
      </c>
      <c r="O352" s="2373">
        <f t="shared" si="7"/>
        <v>83948</v>
      </c>
      <c r="P352" s="1888">
        <v>52798</v>
      </c>
      <c r="Q352" s="1885">
        <v>1079</v>
      </c>
      <c r="R352" s="1889">
        <v>176840</v>
      </c>
    </row>
    <row r="353" spans="1:18">
      <c r="A353" s="863">
        <f t="shared" si="8"/>
        <v>2019.08</v>
      </c>
      <c r="B353" s="1897"/>
      <c r="C353" s="1895">
        <v>768609</v>
      </c>
      <c r="D353" s="3618"/>
      <c r="E353" s="1882"/>
      <c r="F353" s="1883">
        <v>1772</v>
      </c>
      <c r="G353" s="1884">
        <v>16081</v>
      </c>
      <c r="H353" s="3619">
        <v>7036</v>
      </c>
      <c r="I353" s="1884">
        <v>9274</v>
      </c>
      <c r="J353" s="3619">
        <v>3936</v>
      </c>
      <c r="K353" s="1884">
        <v>3574</v>
      </c>
      <c r="L353" s="3619">
        <v>702</v>
      </c>
      <c r="M353" s="1884">
        <v>5667</v>
      </c>
      <c r="N353" s="1885">
        <v>4562</v>
      </c>
      <c r="O353" s="2373">
        <f t="shared" si="7"/>
        <v>52604</v>
      </c>
      <c r="P353" s="1888">
        <v>68500</v>
      </c>
      <c r="Q353" s="1885">
        <v>2593</v>
      </c>
      <c r="R353" s="1889">
        <v>172897</v>
      </c>
    </row>
    <row r="354" spans="1:18">
      <c r="A354" s="863">
        <f t="shared" si="8"/>
        <v>2019.09</v>
      </c>
      <c r="B354" s="1897"/>
      <c r="C354" s="1895">
        <v>623911</v>
      </c>
      <c r="D354" s="3618"/>
      <c r="E354" s="1882"/>
      <c r="F354" s="1883">
        <v>1895</v>
      </c>
      <c r="G354" s="1884">
        <v>20636</v>
      </c>
      <c r="H354" s="3619">
        <v>3243</v>
      </c>
      <c r="I354" s="1884">
        <v>8476</v>
      </c>
      <c r="J354" s="3619">
        <v>5387</v>
      </c>
      <c r="K354" s="1884">
        <v>5571</v>
      </c>
      <c r="L354" s="3619">
        <v>1207</v>
      </c>
      <c r="M354" s="1884">
        <v>1759</v>
      </c>
      <c r="N354" s="1885">
        <v>9621</v>
      </c>
      <c r="O354" s="2373">
        <f t="shared" si="7"/>
        <v>57795</v>
      </c>
      <c r="P354" s="1888">
        <v>39451</v>
      </c>
      <c r="Q354" s="1885">
        <v>7196</v>
      </c>
      <c r="R354" s="1889">
        <v>147548</v>
      </c>
    </row>
    <row r="355" spans="1:18">
      <c r="A355" s="863">
        <f t="shared" si="8"/>
        <v>2019.1</v>
      </c>
      <c r="B355" s="1897"/>
      <c r="C355" s="1895">
        <v>772131</v>
      </c>
      <c r="D355" s="3618"/>
      <c r="E355" s="1882"/>
      <c r="F355" s="1883">
        <v>2678</v>
      </c>
      <c r="G355" s="1884">
        <v>17091</v>
      </c>
      <c r="H355" s="3622">
        <v>14083</v>
      </c>
      <c r="I355" s="1884">
        <v>6469</v>
      </c>
      <c r="J355" s="3619">
        <v>6905</v>
      </c>
      <c r="K355" s="1884">
        <v>3600</v>
      </c>
      <c r="L355" s="3619">
        <v>2067</v>
      </c>
      <c r="M355" s="1884">
        <v>4710</v>
      </c>
      <c r="N355" s="1885">
        <v>2590</v>
      </c>
      <c r="O355" s="2373">
        <f t="shared" si="7"/>
        <v>60193</v>
      </c>
      <c r="P355" s="1888">
        <v>36567</v>
      </c>
      <c r="Q355" s="1885">
        <v>3587</v>
      </c>
      <c r="R355" s="1889">
        <v>130463</v>
      </c>
    </row>
    <row r="356" spans="1:18">
      <c r="A356" s="863">
        <f t="shared" si="8"/>
        <v>2019.11</v>
      </c>
      <c r="B356" s="1897"/>
      <c r="C356" s="1895">
        <v>792843</v>
      </c>
      <c r="D356" s="3618"/>
      <c r="E356" s="1882"/>
      <c r="F356" s="1883">
        <v>3407</v>
      </c>
      <c r="G356" s="1884">
        <v>9928</v>
      </c>
      <c r="H356" s="3619">
        <v>6081</v>
      </c>
      <c r="I356" s="1884">
        <v>7621</v>
      </c>
      <c r="J356" s="3619">
        <v>1935</v>
      </c>
      <c r="K356" s="1884">
        <v>4238</v>
      </c>
      <c r="L356" s="3619">
        <v>2064</v>
      </c>
      <c r="M356" s="1884">
        <v>3394</v>
      </c>
      <c r="N356" s="1885">
        <v>2699</v>
      </c>
      <c r="O356" s="2373">
        <f t="shared" si="7"/>
        <v>41367</v>
      </c>
      <c r="P356" s="1888">
        <v>64024</v>
      </c>
      <c r="Q356" s="1885">
        <v>817</v>
      </c>
      <c r="R356" s="1889">
        <v>155540</v>
      </c>
    </row>
    <row r="357" spans="1:18">
      <c r="A357" s="863">
        <f t="shared" si="8"/>
        <v>2019.12</v>
      </c>
      <c r="B357" s="1897"/>
      <c r="C357" s="1895">
        <v>910350</v>
      </c>
      <c r="D357" s="3618"/>
      <c r="E357" s="1882"/>
      <c r="F357" s="1883">
        <v>3188</v>
      </c>
      <c r="G357" s="1884">
        <v>15165</v>
      </c>
      <c r="H357" s="3619">
        <v>16402</v>
      </c>
      <c r="I357" s="1884">
        <v>6597</v>
      </c>
      <c r="J357" s="3619">
        <v>10515</v>
      </c>
      <c r="K357" s="1884">
        <v>3981</v>
      </c>
      <c r="L357" s="3619">
        <v>1155</v>
      </c>
      <c r="M357" s="1884">
        <v>2155</v>
      </c>
      <c r="N357" s="1885">
        <v>2506</v>
      </c>
      <c r="O357" s="2373">
        <f t="shared" si="7"/>
        <v>61664</v>
      </c>
      <c r="P357" s="1888">
        <v>44128</v>
      </c>
      <c r="Q357" s="1885">
        <v>516</v>
      </c>
      <c r="R357" s="1889">
        <v>141833</v>
      </c>
    </row>
    <row r="358" spans="1:18">
      <c r="A358" s="863">
        <f t="shared" si="8"/>
        <v>2020.01</v>
      </c>
      <c r="B358" s="1897"/>
      <c r="C358" s="1895">
        <v>656283</v>
      </c>
      <c r="D358" s="3618"/>
      <c r="E358" s="1882"/>
      <c r="F358" s="1883">
        <v>1974</v>
      </c>
      <c r="G358" s="1884">
        <v>23348</v>
      </c>
      <c r="H358" s="3619">
        <v>759</v>
      </c>
      <c r="I358" s="1884">
        <v>2812</v>
      </c>
      <c r="J358" s="3619">
        <v>0</v>
      </c>
      <c r="K358" s="1884">
        <v>4289</v>
      </c>
      <c r="L358" s="3619">
        <v>969</v>
      </c>
      <c r="M358" s="1884">
        <v>6033</v>
      </c>
      <c r="N358" s="1885">
        <v>1574</v>
      </c>
      <c r="O358" s="2373">
        <f t="shared" si="7"/>
        <v>41758</v>
      </c>
      <c r="P358" s="1888">
        <v>35048</v>
      </c>
      <c r="Q358" s="1885">
        <v>1322</v>
      </c>
      <c r="R358" s="1889">
        <v>116669</v>
      </c>
    </row>
    <row r="359" spans="1:18">
      <c r="A359" s="863">
        <f t="shared" si="8"/>
        <v>2020.02</v>
      </c>
      <c r="B359" s="1897"/>
      <c r="C359" s="1895">
        <v>557055</v>
      </c>
      <c r="D359" s="3618"/>
      <c r="E359" s="1882"/>
      <c r="F359" s="1883">
        <v>3873</v>
      </c>
      <c r="G359" s="1884">
        <v>5750</v>
      </c>
      <c r="H359" s="3619">
        <v>3037</v>
      </c>
      <c r="I359" s="1884">
        <v>3275</v>
      </c>
      <c r="J359" s="3619">
        <v>15274</v>
      </c>
      <c r="K359" s="1884">
        <v>4275</v>
      </c>
      <c r="L359" s="3619">
        <v>647</v>
      </c>
      <c r="M359" s="1884">
        <v>977</v>
      </c>
      <c r="N359" s="1885">
        <v>1967</v>
      </c>
      <c r="O359" s="2373">
        <f t="shared" si="7"/>
        <v>39075</v>
      </c>
      <c r="P359" s="1888">
        <v>31641</v>
      </c>
      <c r="Q359" s="1885">
        <v>9331</v>
      </c>
      <c r="R359" s="1889">
        <v>108482</v>
      </c>
    </row>
    <row r="360" spans="1:18">
      <c r="A360" s="863">
        <f t="shared" si="8"/>
        <v>2020.03</v>
      </c>
      <c r="B360" s="1897"/>
      <c r="C360" s="1895">
        <v>472081</v>
      </c>
      <c r="D360" s="3618"/>
      <c r="E360" s="1882"/>
      <c r="F360" s="1883">
        <v>383</v>
      </c>
      <c r="G360" s="1884">
        <v>8187</v>
      </c>
      <c r="H360" s="3619">
        <v>4403</v>
      </c>
      <c r="I360" s="1884">
        <v>8613</v>
      </c>
      <c r="J360" s="3619">
        <v>3436</v>
      </c>
      <c r="K360" s="1884">
        <v>2466</v>
      </c>
      <c r="L360" s="3619">
        <v>1579</v>
      </c>
      <c r="M360" s="1884">
        <v>796</v>
      </c>
      <c r="N360" s="1885">
        <v>1407</v>
      </c>
      <c r="O360" s="2373">
        <f t="shared" si="7"/>
        <v>31270</v>
      </c>
      <c r="P360" s="1888">
        <v>19405</v>
      </c>
      <c r="Q360" s="1885">
        <v>599</v>
      </c>
      <c r="R360" s="1889">
        <v>70196</v>
      </c>
    </row>
    <row r="361" spans="1:18">
      <c r="A361" s="863">
        <f t="shared" si="8"/>
        <v>2020.04</v>
      </c>
      <c r="B361" s="1897"/>
      <c r="C361" s="1895">
        <v>74557</v>
      </c>
      <c r="D361" s="3618"/>
      <c r="E361" s="1882"/>
      <c r="F361" s="1883">
        <v>0</v>
      </c>
      <c r="G361" s="1884">
        <v>256</v>
      </c>
      <c r="H361" s="3619">
        <v>2006</v>
      </c>
      <c r="I361" s="1884">
        <v>0</v>
      </c>
      <c r="J361" s="3619">
        <v>0</v>
      </c>
      <c r="K361" s="1884">
        <v>0</v>
      </c>
      <c r="L361" s="3619">
        <v>928</v>
      </c>
      <c r="M361" s="1884">
        <v>0</v>
      </c>
      <c r="N361" s="1885">
        <v>0</v>
      </c>
      <c r="O361" s="2373">
        <f t="shared" si="7"/>
        <v>3190</v>
      </c>
      <c r="P361" s="1888">
        <v>0</v>
      </c>
      <c r="Q361" s="1885">
        <v>0</v>
      </c>
      <c r="R361" s="1889">
        <v>12585</v>
      </c>
    </row>
    <row r="362" spans="1:18">
      <c r="A362" s="863">
        <f t="shared" si="8"/>
        <v>2020.05</v>
      </c>
      <c r="B362" s="1897"/>
      <c r="C362" s="1895">
        <v>250568</v>
      </c>
      <c r="D362" s="3618"/>
      <c r="E362" s="1882"/>
      <c r="F362" s="1883">
        <v>1789</v>
      </c>
      <c r="G362" s="1884">
        <v>85</v>
      </c>
      <c r="H362" s="3619">
        <v>5161</v>
      </c>
      <c r="I362" s="1884">
        <v>11683</v>
      </c>
      <c r="J362" s="3619">
        <v>2751</v>
      </c>
      <c r="K362" s="1884">
        <v>538</v>
      </c>
      <c r="L362" s="3619">
        <v>4891</v>
      </c>
      <c r="M362" s="1884">
        <v>435</v>
      </c>
      <c r="N362" s="1885">
        <v>1679</v>
      </c>
      <c r="O362" s="2373">
        <f t="shared" si="7"/>
        <v>29012</v>
      </c>
      <c r="P362" s="1888">
        <v>31078</v>
      </c>
      <c r="Q362" s="1885">
        <v>291</v>
      </c>
      <c r="R362" s="1889">
        <v>82176</v>
      </c>
    </row>
    <row r="363" spans="1:18">
      <c r="A363" s="863">
        <f t="shared" si="8"/>
        <v>2020.06</v>
      </c>
      <c r="B363" s="1897"/>
      <c r="C363" s="1895">
        <v>423864</v>
      </c>
      <c r="D363" s="3618"/>
      <c r="E363" s="1882"/>
      <c r="F363" s="1883">
        <v>1922</v>
      </c>
      <c r="G363" s="1884">
        <v>360</v>
      </c>
      <c r="H363" s="3619">
        <v>6927</v>
      </c>
      <c r="I363" s="1884">
        <v>7302</v>
      </c>
      <c r="J363" s="3619">
        <v>2374</v>
      </c>
      <c r="K363" s="1884">
        <v>1758</v>
      </c>
      <c r="L363" s="3619">
        <v>2467</v>
      </c>
      <c r="M363" s="1884">
        <v>981</v>
      </c>
      <c r="N363" s="1885">
        <v>3980</v>
      </c>
      <c r="O363" s="2373">
        <f t="shared" si="7"/>
        <v>28071</v>
      </c>
      <c r="P363" s="1888">
        <v>21548</v>
      </c>
      <c r="Q363" s="1885">
        <v>403</v>
      </c>
      <c r="R363" s="1889">
        <v>90948</v>
      </c>
    </row>
    <row r="364" spans="1:18">
      <c r="A364" s="863">
        <f t="shared" si="8"/>
        <v>2020.07</v>
      </c>
      <c r="B364" s="1897"/>
      <c r="C364" s="1895">
        <v>418453</v>
      </c>
      <c r="D364" s="3618"/>
      <c r="E364" s="1882"/>
      <c r="F364" s="1883">
        <v>244</v>
      </c>
      <c r="G364" s="1884">
        <v>601</v>
      </c>
      <c r="H364" s="3619">
        <v>5980</v>
      </c>
      <c r="I364" s="1884">
        <v>7473</v>
      </c>
      <c r="J364" s="3619">
        <v>3212</v>
      </c>
      <c r="K364" s="1884">
        <v>5617</v>
      </c>
      <c r="L364" s="3619">
        <v>2894</v>
      </c>
      <c r="M364" s="1884">
        <v>5468</v>
      </c>
      <c r="N364" s="1885">
        <v>8388</v>
      </c>
      <c r="O364" s="2373">
        <f t="shared" si="7"/>
        <v>39877</v>
      </c>
      <c r="P364" s="1888">
        <v>39157</v>
      </c>
      <c r="Q364" s="1885">
        <v>342</v>
      </c>
      <c r="R364" s="1889">
        <v>115216</v>
      </c>
    </row>
    <row r="365" spans="1:18">
      <c r="A365" s="863">
        <f t="shared" si="8"/>
        <v>2020.08</v>
      </c>
      <c r="B365" s="1897"/>
      <c r="C365" s="1895">
        <v>565776</v>
      </c>
      <c r="D365" s="3618"/>
      <c r="E365" s="1882"/>
      <c r="F365" s="1883">
        <v>232</v>
      </c>
      <c r="G365" s="1884">
        <v>1433</v>
      </c>
      <c r="H365" s="3619">
        <v>6065</v>
      </c>
      <c r="I365" s="1884">
        <v>8696</v>
      </c>
      <c r="J365" s="3619">
        <v>8212</v>
      </c>
      <c r="K365" s="1884">
        <v>4401</v>
      </c>
      <c r="L365" s="3619">
        <v>2223</v>
      </c>
      <c r="M365" s="1884">
        <v>1019</v>
      </c>
      <c r="N365" s="1885">
        <v>2397</v>
      </c>
      <c r="O365" s="2373">
        <f t="shared" si="7"/>
        <v>34678</v>
      </c>
      <c r="P365" s="1888">
        <v>26357</v>
      </c>
      <c r="Q365" s="1885">
        <v>2553</v>
      </c>
      <c r="R365" s="1889">
        <v>102731</v>
      </c>
    </row>
    <row r="366" spans="1:18">
      <c r="A366" s="863">
        <f t="shared" si="8"/>
        <v>2020.09</v>
      </c>
      <c r="B366" s="1897"/>
      <c r="C366" s="1895">
        <v>432109</v>
      </c>
      <c r="D366" s="3618"/>
      <c r="E366" s="1882"/>
      <c r="F366" s="1883">
        <v>800</v>
      </c>
      <c r="G366" s="1884">
        <v>2646</v>
      </c>
      <c r="H366" s="3619">
        <v>3056</v>
      </c>
      <c r="I366" s="1884">
        <v>10369</v>
      </c>
      <c r="J366" s="3619">
        <v>3934</v>
      </c>
      <c r="K366" s="1884">
        <v>5032</v>
      </c>
      <c r="L366" s="3619">
        <v>1452</v>
      </c>
      <c r="M366" s="1884">
        <v>2200</v>
      </c>
      <c r="N366" s="1885">
        <v>2937</v>
      </c>
      <c r="O366" s="2373">
        <f t="shared" si="7"/>
        <v>32426</v>
      </c>
      <c r="P366" s="1888">
        <v>18922</v>
      </c>
      <c r="Q366" s="1885">
        <v>0</v>
      </c>
      <c r="R366" s="1889">
        <v>97709</v>
      </c>
    </row>
    <row r="367" spans="1:18">
      <c r="A367" s="863">
        <f t="shared" si="8"/>
        <v>2020.1</v>
      </c>
      <c r="B367" s="1897"/>
      <c r="C367" s="1895">
        <v>528512</v>
      </c>
      <c r="D367" s="3618"/>
      <c r="E367" s="1882"/>
      <c r="F367" s="1883">
        <v>377</v>
      </c>
      <c r="G367" s="1884">
        <v>2289</v>
      </c>
      <c r="H367" s="3619">
        <v>16478</v>
      </c>
      <c r="I367" s="1884">
        <v>12274</v>
      </c>
      <c r="J367" s="3619">
        <v>7298</v>
      </c>
      <c r="K367" s="1884">
        <v>2950</v>
      </c>
      <c r="L367" s="3619">
        <v>1746</v>
      </c>
      <c r="M367" s="1884">
        <v>4989</v>
      </c>
      <c r="N367" s="1885">
        <v>2288</v>
      </c>
      <c r="O367" s="2373">
        <f t="shared" si="7"/>
        <v>50689</v>
      </c>
      <c r="P367" s="1888">
        <v>28951</v>
      </c>
      <c r="Q367" s="1885">
        <v>595</v>
      </c>
      <c r="R367" s="1889">
        <v>145100</v>
      </c>
    </row>
    <row r="368" spans="1:18">
      <c r="A368" s="863">
        <f t="shared" si="8"/>
        <v>2020.11</v>
      </c>
      <c r="B368" s="1897"/>
      <c r="C368" s="1895">
        <v>571702</v>
      </c>
      <c r="D368" s="3618"/>
      <c r="E368" s="1882"/>
      <c r="F368" s="1883">
        <v>1575</v>
      </c>
      <c r="G368" s="1884">
        <v>4895</v>
      </c>
      <c r="H368" s="3619">
        <v>7391</v>
      </c>
      <c r="I368" s="1884">
        <v>15956</v>
      </c>
      <c r="J368" s="3619">
        <v>9592</v>
      </c>
      <c r="K368" s="1884">
        <v>3517</v>
      </c>
      <c r="L368" s="3619">
        <v>3709</v>
      </c>
      <c r="M368" s="1884">
        <v>1901</v>
      </c>
      <c r="N368" s="1885">
        <v>2798</v>
      </c>
      <c r="O368" s="2373">
        <f t="shared" si="7"/>
        <v>51334</v>
      </c>
      <c r="P368" s="1888">
        <v>28894</v>
      </c>
      <c r="Q368" s="1885">
        <v>1784</v>
      </c>
      <c r="R368" s="1889">
        <v>146632</v>
      </c>
    </row>
    <row r="369" spans="1:18">
      <c r="A369" s="863">
        <f t="shared" si="8"/>
        <v>2020.12</v>
      </c>
      <c r="B369" s="1897"/>
      <c r="C369" s="1895">
        <v>685586</v>
      </c>
      <c r="D369" s="3618"/>
      <c r="E369" s="1882"/>
      <c r="F369" s="1883">
        <v>1315</v>
      </c>
      <c r="G369" s="1884">
        <v>8260</v>
      </c>
      <c r="H369" s="3619">
        <v>7460</v>
      </c>
      <c r="I369" s="1884">
        <v>11254</v>
      </c>
      <c r="J369" s="3619">
        <v>4274</v>
      </c>
      <c r="K369" s="1884">
        <v>4016</v>
      </c>
      <c r="L369" s="3619">
        <v>1572</v>
      </c>
      <c r="M369" s="1884">
        <v>2947</v>
      </c>
      <c r="N369" s="1885">
        <v>3102</v>
      </c>
      <c r="O369" s="2373">
        <f t="shared" si="7"/>
        <v>44200</v>
      </c>
      <c r="P369" s="1888">
        <v>24261</v>
      </c>
      <c r="Q369" s="1885">
        <v>2840</v>
      </c>
      <c r="R369" s="1889">
        <v>130831</v>
      </c>
    </row>
    <row r="370" spans="1:18">
      <c r="A370" s="863">
        <f t="shared" si="8"/>
        <v>2021.01</v>
      </c>
      <c r="B370" s="1897"/>
      <c r="C370" s="1895">
        <v>814680</v>
      </c>
      <c r="D370" s="3623">
        <v>1154822</v>
      </c>
      <c r="E370" s="3623">
        <v>1284416</v>
      </c>
      <c r="F370" s="1883">
        <v>983</v>
      </c>
      <c r="G370" s="1884">
        <v>3589</v>
      </c>
      <c r="H370" s="3619">
        <v>4159</v>
      </c>
      <c r="I370" s="1884">
        <v>15434</v>
      </c>
      <c r="J370" s="3619">
        <v>0</v>
      </c>
      <c r="K370" s="1884">
        <v>34680</v>
      </c>
      <c r="L370" s="3619">
        <v>1316</v>
      </c>
      <c r="M370" s="1884">
        <v>3677</v>
      </c>
      <c r="N370" s="1885">
        <v>2923</v>
      </c>
      <c r="O370" s="2373">
        <f t="shared" si="7"/>
        <v>66761</v>
      </c>
      <c r="P370" s="1888">
        <v>38764</v>
      </c>
      <c r="Q370" s="1885">
        <v>1765</v>
      </c>
      <c r="R370" s="1889">
        <v>124937</v>
      </c>
    </row>
    <row r="371" spans="1:18">
      <c r="A371" s="863">
        <f t="shared" si="8"/>
        <v>2021.02</v>
      </c>
      <c r="B371" s="1897"/>
      <c r="C371" s="1895">
        <v>666632</v>
      </c>
      <c r="D371" s="3624">
        <v>1052141</v>
      </c>
      <c r="E371" s="1898">
        <v>1204342</v>
      </c>
      <c r="F371" s="1883">
        <v>3156</v>
      </c>
      <c r="G371" s="1884">
        <v>4405</v>
      </c>
      <c r="H371" s="3619">
        <v>4992</v>
      </c>
      <c r="I371" s="1884">
        <v>7584</v>
      </c>
      <c r="J371" s="3619">
        <v>6558</v>
      </c>
      <c r="K371" s="1884">
        <v>2546</v>
      </c>
      <c r="L371" s="3619">
        <v>2087</v>
      </c>
      <c r="M371" s="1884">
        <v>2334</v>
      </c>
      <c r="N371" s="1885">
        <v>1771</v>
      </c>
      <c r="O371" s="2373">
        <f t="shared" si="7"/>
        <v>35433</v>
      </c>
      <c r="P371" s="1888">
        <v>30572</v>
      </c>
      <c r="Q371" s="1885">
        <v>2522</v>
      </c>
      <c r="R371" s="1889">
        <v>107334</v>
      </c>
    </row>
    <row r="372" spans="1:18">
      <c r="A372" s="863">
        <f t="shared" si="8"/>
        <v>2021.03</v>
      </c>
      <c r="B372" s="1897"/>
      <c r="C372" s="1895">
        <v>770373</v>
      </c>
      <c r="D372" s="3624">
        <v>1256144</v>
      </c>
      <c r="E372" s="1898">
        <v>1467174</v>
      </c>
      <c r="F372" s="1883">
        <v>0</v>
      </c>
      <c r="G372" s="1884">
        <v>7151</v>
      </c>
      <c r="H372" s="3619">
        <v>4992</v>
      </c>
      <c r="I372" s="1899">
        <v>10969</v>
      </c>
      <c r="J372" s="3625">
        <v>5009</v>
      </c>
      <c r="K372" s="1899">
        <v>5145</v>
      </c>
      <c r="L372" s="3619">
        <v>4557</v>
      </c>
      <c r="M372" s="1899">
        <v>3532</v>
      </c>
      <c r="N372" s="1885">
        <v>4005</v>
      </c>
      <c r="O372" s="2373">
        <f t="shared" si="7"/>
        <v>45360</v>
      </c>
      <c r="P372" s="1888">
        <v>36876</v>
      </c>
      <c r="Q372" s="1885">
        <v>1876</v>
      </c>
      <c r="R372" s="1889">
        <v>130274</v>
      </c>
    </row>
    <row r="373" spans="1:18">
      <c r="A373" s="863">
        <f t="shared" si="8"/>
        <v>2021.04</v>
      </c>
      <c r="B373" s="1897"/>
      <c r="C373" s="1895">
        <v>819230</v>
      </c>
      <c r="D373" s="3624">
        <v>1399502</v>
      </c>
      <c r="E373" s="1898">
        <v>1626005</v>
      </c>
      <c r="F373" s="1883">
        <v>1294</v>
      </c>
      <c r="G373" s="1884">
        <v>1827</v>
      </c>
      <c r="H373" s="3619">
        <v>8811</v>
      </c>
      <c r="I373" s="1899">
        <v>7442</v>
      </c>
      <c r="J373" s="3625">
        <v>6282</v>
      </c>
      <c r="K373" s="1899">
        <v>3899</v>
      </c>
      <c r="L373" s="3619">
        <v>2269</v>
      </c>
      <c r="M373" s="1899">
        <v>3025</v>
      </c>
      <c r="N373" s="1885">
        <v>3494</v>
      </c>
      <c r="O373" s="2373">
        <f t="shared" si="7"/>
        <v>38343</v>
      </c>
      <c r="P373" s="1888">
        <v>62676</v>
      </c>
      <c r="Q373" s="1885">
        <v>1613</v>
      </c>
      <c r="R373" s="1889">
        <v>148013</v>
      </c>
    </row>
    <row r="374" spans="1:18">
      <c r="A374" s="863">
        <f t="shared" si="8"/>
        <v>2021.05</v>
      </c>
      <c r="B374" s="1897"/>
      <c r="C374" s="1895">
        <v>744546</v>
      </c>
      <c r="D374" s="3624">
        <v>1126635</v>
      </c>
      <c r="E374" s="1898">
        <v>1281317</v>
      </c>
      <c r="F374" s="1883">
        <v>1830</v>
      </c>
      <c r="G374" s="1884">
        <v>12950</v>
      </c>
      <c r="H374" s="3619">
        <v>4342</v>
      </c>
      <c r="I374" s="1899">
        <v>9654</v>
      </c>
      <c r="J374" s="3625">
        <v>4931</v>
      </c>
      <c r="K374" s="1899">
        <v>5340</v>
      </c>
      <c r="L374" s="3619">
        <v>1185</v>
      </c>
      <c r="M374" s="1884">
        <v>6297</v>
      </c>
      <c r="N374" s="1885">
        <v>2778</v>
      </c>
      <c r="O374" s="2373">
        <f t="shared" si="7"/>
        <v>49307</v>
      </c>
      <c r="P374" s="1888">
        <v>55925</v>
      </c>
      <c r="Q374" s="1885">
        <v>833</v>
      </c>
      <c r="R374" s="1889">
        <v>152032</v>
      </c>
    </row>
    <row r="375" spans="1:18">
      <c r="A375" s="863">
        <f t="shared" si="8"/>
        <v>2021.06</v>
      </c>
      <c r="B375" s="1897"/>
      <c r="C375" s="1895">
        <v>705085</v>
      </c>
      <c r="D375" s="3624">
        <v>1177177</v>
      </c>
      <c r="E375" s="1898">
        <v>1383340</v>
      </c>
      <c r="F375" s="1883">
        <v>550</v>
      </c>
      <c r="G375" s="1884">
        <v>7673</v>
      </c>
      <c r="H375" s="3619">
        <v>10208</v>
      </c>
      <c r="I375" s="1884">
        <v>14942</v>
      </c>
      <c r="J375" s="3619">
        <v>5243</v>
      </c>
      <c r="K375" s="1884">
        <v>5525</v>
      </c>
      <c r="L375" s="3619">
        <v>3023</v>
      </c>
      <c r="M375" s="1884">
        <v>9449</v>
      </c>
      <c r="N375" s="1885">
        <v>10177</v>
      </c>
      <c r="O375" s="2373">
        <f t="shared" si="7"/>
        <v>66790</v>
      </c>
      <c r="P375" s="1888">
        <v>76767</v>
      </c>
      <c r="Q375" s="1885">
        <v>3723</v>
      </c>
      <c r="R375" s="1889">
        <v>190652</v>
      </c>
    </row>
    <row r="376" spans="1:18">
      <c r="A376" s="863">
        <f t="shared" si="8"/>
        <v>2021.07</v>
      </c>
      <c r="B376" s="1897"/>
      <c r="C376" s="1895">
        <v>710186</v>
      </c>
      <c r="D376" s="3624">
        <v>1211394</v>
      </c>
      <c r="E376" s="1898">
        <v>1408729</v>
      </c>
      <c r="F376" s="1883">
        <v>1501</v>
      </c>
      <c r="G376" s="1884">
        <v>4626</v>
      </c>
      <c r="H376" s="3619">
        <v>9824</v>
      </c>
      <c r="I376" s="1884">
        <v>8281</v>
      </c>
      <c r="J376" s="3619">
        <v>4366</v>
      </c>
      <c r="K376" s="1884">
        <v>5336</v>
      </c>
      <c r="L376" s="3619">
        <v>3130</v>
      </c>
      <c r="M376" s="1884">
        <v>7711</v>
      </c>
      <c r="N376" s="1885">
        <v>3306</v>
      </c>
      <c r="O376" s="2373">
        <f t="shared" si="7"/>
        <v>48081</v>
      </c>
      <c r="P376" s="1888">
        <v>47916</v>
      </c>
      <c r="Q376" s="1885">
        <v>4466</v>
      </c>
      <c r="R376" s="1889">
        <v>150607</v>
      </c>
    </row>
    <row r="377" spans="1:18">
      <c r="A377" s="863">
        <f t="shared" si="8"/>
        <v>2021.08</v>
      </c>
      <c r="B377" s="1897"/>
      <c r="C377" s="1895">
        <v>905408</v>
      </c>
      <c r="D377" s="3624">
        <v>1503301</v>
      </c>
      <c r="E377" s="1898">
        <v>1703560</v>
      </c>
      <c r="F377" s="1883">
        <v>1796</v>
      </c>
      <c r="G377" s="1884">
        <v>9987</v>
      </c>
      <c r="H377" s="3619">
        <v>5710</v>
      </c>
      <c r="I377" s="1884">
        <v>7230</v>
      </c>
      <c r="J377" s="3619">
        <v>8044</v>
      </c>
      <c r="K377" s="1884">
        <v>7412</v>
      </c>
      <c r="L377" s="3619">
        <v>3147</v>
      </c>
      <c r="M377" s="1884">
        <v>4431</v>
      </c>
      <c r="N377" s="1885">
        <v>3239</v>
      </c>
      <c r="O377" s="2373">
        <f t="shared" si="7"/>
        <v>50996</v>
      </c>
      <c r="P377" s="1888">
        <v>41605</v>
      </c>
      <c r="Q377" s="1885">
        <v>1353</v>
      </c>
      <c r="R377" s="1889">
        <v>147473</v>
      </c>
    </row>
    <row r="378" spans="1:18">
      <c r="A378" s="863">
        <f t="shared" si="8"/>
        <v>2021.09</v>
      </c>
      <c r="B378" s="1897"/>
      <c r="C378" s="1895">
        <v>1029521</v>
      </c>
      <c r="D378" s="3624">
        <v>1603732</v>
      </c>
      <c r="E378" s="1898">
        <v>1892701</v>
      </c>
      <c r="F378" s="1883">
        <v>3090</v>
      </c>
      <c r="G378" s="1884">
        <v>4492</v>
      </c>
      <c r="H378" s="3619">
        <v>3243</v>
      </c>
      <c r="I378" s="1884">
        <v>7763</v>
      </c>
      <c r="J378" s="3619">
        <v>4545</v>
      </c>
      <c r="K378" s="1884">
        <v>5906</v>
      </c>
      <c r="L378" s="3619">
        <v>1366</v>
      </c>
      <c r="M378" s="1884">
        <v>5130</v>
      </c>
      <c r="N378" s="1885">
        <v>3188</v>
      </c>
      <c r="O378" s="2373">
        <f t="shared" si="7"/>
        <v>38723</v>
      </c>
      <c r="P378" s="1888">
        <v>44049</v>
      </c>
      <c r="Q378" s="1885">
        <v>12390</v>
      </c>
      <c r="R378" s="1889">
        <v>167818</v>
      </c>
    </row>
    <row r="379" spans="1:18">
      <c r="A379" s="863">
        <f t="shared" si="8"/>
        <v>2021.1</v>
      </c>
      <c r="B379" s="1897"/>
      <c r="C379" s="1895">
        <v>1026404</v>
      </c>
      <c r="D379" s="3624">
        <v>1684995</v>
      </c>
      <c r="E379" s="1898">
        <v>1888115</v>
      </c>
      <c r="F379" s="1883">
        <v>1981</v>
      </c>
      <c r="G379" s="1884">
        <v>5156</v>
      </c>
      <c r="H379" s="3619">
        <v>5864</v>
      </c>
      <c r="I379" s="1884">
        <v>324</v>
      </c>
      <c r="J379" s="3619">
        <v>6727</v>
      </c>
      <c r="K379" s="1884">
        <v>4587</v>
      </c>
      <c r="L379" s="3619">
        <v>3405</v>
      </c>
      <c r="M379" s="1884">
        <v>3096</v>
      </c>
      <c r="N379" s="1885">
        <v>5190</v>
      </c>
      <c r="O379" s="2373">
        <f t="shared" si="7"/>
        <v>36330</v>
      </c>
      <c r="P379" s="1888">
        <v>23925</v>
      </c>
      <c r="Q379" s="1885">
        <v>759</v>
      </c>
      <c r="R379" s="1889">
        <v>116992</v>
      </c>
    </row>
    <row r="380" spans="1:18">
      <c r="A380" s="863">
        <f t="shared" si="8"/>
        <v>2021.11</v>
      </c>
      <c r="B380" s="1897"/>
      <c r="C380" s="1895">
        <v>925377</v>
      </c>
      <c r="D380" s="3624">
        <v>1641683</v>
      </c>
      <c r="E380" s="1898">
        <v>1863954</v>
      </c>
      <c r="F380" s="1883">
        <v>1106</v>
      </c>
      <c r="G380" s="1884">
        <v>2381</v>
      </c>
      <c r="H380" s="3619">
        <v>4987</v>
      </c>
      <c r="I380" s="1884">
        <v>7027</v>
      </c>
      <c r="J380" s="3619">
        <v>4327</v>
      </c>
      <c r="K380" s="1884">
        <v>5879</v>
      </c>
      <c r="L380" s="3619">
        <v>2943</v>
      </c>
      <c r="M380" s="1884">
        <v>1654</v>
      </c>
      <c r="N380" s="1885">
        <v>2078</v>
      </c>
      <c r="O380" s="2373">
        <f t="shared" si="7"/>
        <v>32382</v>
      </c>
      <c r="P380" s="1888">
        <v>60914</v>
      </c>
      <c r="Q380" s="1885">
        <v>0</v>
      </c>
      <c r="R380" s="1889">
        <v>149271</v>
      </c>
    </row>
    <row r="381" spans="1:18">
      <c r="A381" s="863">
        <f t="shared" si="8"/>
        <v>2021.12</v>
      </c>
      <c r="B381" s="1897"/>
      <c r="C381" s="1895">
        <v>1006586</v>
      </c>
      <c r="D381" s="3624">
        <v>1615045</v>
      </c>
      <c r="E381" s="1898">
        <v>1861012</v>
      </c>
      <c r="F381" s="1883">
        <v>11790</v>
      </c>
      <c r="G381" s="1884">
        <v>11187</v>
      </c>
      <c r="H381" s="3619">
        <v>4318</v>
      </c>
      <c r="I381" s="1884">
        <v>6575</v>
      </c>
      <c r="J381" s="3619">
        <v>7161</v>
      </c>
      <c r="K381" s="1884">
        <v>4777</v>
      </c>
      <c r="L381" s="3619">
        <v>2557</v>
      </c>
      <c r="M381" s="1884">
        <v>5850</v>
      </c>
      <c r="N381" s="1885">
        <v>1343</v>
      </c>
      <c r="O381" s="2373">
        <f t="shared" si="7"/>
        <v>55558</v>
      </c>
      <c r="P381" s="1888">
        <v>73094</v>
      </c>
      <c r="Q381" s="1885">
        <v>773</v>
      </c>
      <c r="R381" s="1889">
        <v>175795</v>
      </c>
    </row>
    <row r="382" spans="1:18">
      <c r="A382" s="863">
        <f t="shared" si="8"/>
        <v>2022.01</v>
      </c>
      <c r="B382" s="1900"/>
      <c r="C382" s="1901" t="s">
        <v>1076</v>
      </c>
      <c r="D382" s="3624">
        <v>929168</v>
      </c>
      <c r="E382" s="1898">
        <v>1053274</v>
      </c>
      <c r="F382" s="1883">
        <v>1788</v>
      </c>
      <c r="G382" s="1884">
        <v>3105</v>
      </c>
      <c r="H382" s="3619">
        <v>5670</v>
      </c>
      <c r="I382" s="1884">
        <v>5945</v>
      </c>
      <c r="J382" s="3619">
        <v>2802</v>
      </c>
      <c r="K382" s="1884">
        <v>7083</v>
      </c>
      <c r="L382" s="3619">
        <v>1337</v>
      </c>
      <c r="M382" s="1884">
        <v>3623</v>
      </c>
      <c r="N382" s="1885">
        <v>1515</v>
      </c>
      <c r="O382" s="2373">
        <f t="shared" si="7"/>
        <v>32868</v>
      </c>
      <c r="P382" s="1888">
        <v>25729</v>
      </c>
      <c r="Q382" s="1885">
        <v>227</v>
      </c>
      <c r="R382" s="1889">
        <v>93974</v>
      </c>
    </row>
    <row r="383" spans="1:18">
      <c r="A383" s="863">
        <f t="shared" si="8"/>
        <v>2022.02</v>
      </c>
      <c r="B383" s="1897"/>
      <c r="C383" s="1902"/>
      <c r="D383" s="3624">
        <v>1259445</v>
      </c>
      <c r="E383" s="1898">
        <v>1408377</v>
      </c>
      <c r="F383" s="1883">
        <v>1013</v>
      </c>
      <c r="G383" s="1884">
        <v>7032</v>
      </c>
      <c r="H383" s="3619">
        <v>4025</v>
      </c>
      <c r="I383" s="1884">
        <v>9778</v>
      </c>
      <c r="J383" s="3619">
        <v>5600</v>
      </c>
      <c r="K383" s="1884">
        <v>12818</v>
      </c>
      <c r="L383" s="3619">
        <v>1468</v>
      </c>
      <c r="M383" s="1884">
        <v>6663</v>
      </c>
      <c r="N383" s="1885">
        <v>2518</v>
      </c>
      <c r="O383" s="2373">
        <f t="shared" si="7"/>
        <v>50915</v>
      </c>
      <c r="P383" s="1888">
        <v>57945</v>
      </c>
      <c r="Q383" s="1885">
        <v>0</v>
      </c>
      <c r="R383" s="1889">
        <v>155567</v>
      </c>
    </row>
    <row r="384" spans="1:18">
      <c r="A384" s="863">
        <f t="shared" si="8"/>
        <v>2022.03</v>
      </c>
      <c r="B384" s="1897"/>
      <c r="C384" s="1902"/>
      <c r="D384" s="3624">
        <v>1318794</v>
      </c>
      <c r="E384" s="1898">
        <v>1553466</v>
      </c>
      <c r="F384" s="1883">
        <v>750</v>
      </c>
      <c r="G384" s="1884">
        <v>6305</v>
      </c>
      <c r="H384" s="3619">
        <v>6233</v>
      </c>
      <c r="I384" s="1884">
        <v>5549</v>
      </c>
      <c r="J384" s="3619">
        <v>4335</v>
      </c>
      <c r="K384" s="3619">
        <v>4714</v>
      </c>
      <c r="L384" s="3619">
        <v>3512</v>
      </c>
      <c r="M384" s="1884">
        <v>3108</v>
      </c>
      <c r="N384" s="1885">
        <v>2851</v>
      </c>
      <c r="O384" s="2373">
        <f t="shared" si="7"/>
        <v>37357</v>
      </c>
      <c r="P384" s="1888">
        <v>43571</v>
      </c>
      <c r="Q384" s="1885">
        <v>1358</v>
      </c>
      <c r="R384" s="1889">
        <v>139789</v>
      </c>
    </row>
    <row r="385" spans="1:18">
      <c r="A385" s="863">
        <f t="shared" si="8"/>
        <v>2022.04</v>
      </c>
      <c r="B385" s="1897"/>
      <c r="C385" s="1902"/>
      <c r="D385" s="3624">
        <v>1384871</v>
      </c>
      <c r="E385" s="1898">
        <v>1617876</v>
      </c>
      <c r="F385" s="1883">
        <v>1569</v>
      </c>
      <c r="G385" s="1884">
        <v>12696</v>
      </c>
      <c r="H385" s="3619">
        <v>8786</v>
      </c>
      <c r="I385" s="1884">
        <v>9628</v>
      </c>
      <c r="J385" s="3619">
        <v>11254</v>
      </c>
      <c r="K385" s="1884">
        <v>2694</v>
      </c>
      <c r="L385" s="3619">
        <v>2023</v>
      </c>
      <c r="M385" s="1884">
        <v>1767</v>
      </c>
      <c r="N385" s="1885">
        <v>4819</v>
      </c>
      <c r="O385" s="2373">
        <f t="shared" si="7"/>
        <v>55236</v>
      </c>
      <c r="P385" s="1888">
        <v>48555</v>
      </c>
      <c r="Q385" s="1885">
        <v>160</v>
      </c>
      <c r="R385" s="1889">
        <v>170022</v>
      </c>
    </row>
    <row r="386" spans="1:18">
      <c r="A386" s="863">
        <f t="shared" si="8"/>
        <v>2022.05</v>
      </c>
      <c r="B386" s="1897"/>
      <c r="C386" s="1902"/>
      <c r="D386" s="3624">
        <v>1244107</v>
      </c>
      <c r="E386" s="1898">
        <v>1515240</v>
      </c>
      <c r="F386" s="1883">
        <v>1621</v>
      </c>
      <c r="G386" s="1884">
        <v>15100</v>
      </c>
      <c r="H386" s="3619">
        <v>2770</v>
      </c>
      <c r="I386" s="1884">
        <v>7116</v>
      </c>
      <c r="J386" s="3619">
        <v>22428</v>
      </c>
      <c r="K386" s="1884">
        <v>9513</v>
      </c>
      <c r="L386" s="3619">
        <v>2688</v>
      </c>
      <c r="M386" s="1884">
        <v>3218</v>
      </c>
      <c r="N386" s="1885">
        <v>3274</v>
      </c>
      <c r="O386" s="2373">
        <f t="shared" si="7"/>
        <v>67728</v>
      </c>
      <c r="P386" s="1888">
        <v>68599</v>
      </c>
      <c r="Q386" s="1885">
        <v>3239</v>
      </c>
      <c r="R386" s="1889">
        <v>188160</v>
      </c>
    </row>
    <row r="387" spans="1:18">
      <c r="A387" s="863">
        <f t="shared" si="8"/>
        <v>2022.06</v>
      </c>
      <c r="B387" s="1897"/>
      <c r="C387" s="1902"/>
      <c r="D387" s="3624">
        <v>1235004</v>
      </c>
      <c r="E387" s="1898">
        <v>1470079</v>
      </c>
      <c r="F387" s="1883">
        <v>1694</v>
      </c>
      <c r="G387" s="1884">
        <v>7792</v>
      </c>
      <c r="H387" s="3619">
        <v>7462</v>
      </c>
      <c r="I387" s="1884">
        <v>10899</v>
      </c>
      <c r="J387" s="3619">
        <v>4630</v>
      </c>
      <c r="K387" s="1884">
        <v>6024</v>
      </c>
      <c r="L387" s="3619">
        <v>2566</v>
      </c>
      <c r="M387" s="1884">
        <v>2979</v>
      </c>
      <c r="N387" s="1885">
        <v>3659</v>
      </c>
      <c r="O387" s="2373">
        <f t="shared" si="7"/>
        <v>47705</v>
      </c>
      <c r="P387" s="1888">
        <v>43226</v>
      </c>
      <c r="Q387" s="1885">
        <v>2272</v>
      </c>
      <c r="R387" s="1889">
        <v>146259</v>
      </c>
    </row>
    <row r="388" spans="1:18">
      <c r="A388" s="863">
        <f t="shared" si="8"/>
        <v>2022.07</v>
      </c>
      <c r="B388" s="1897"/>
      <c r="C388" s="1902"/>
      <c r="D388" s="3624">
        <v>1365189</v>
      </c>
      <c r="E388" s="1898">
        <v>1640761</v>
      </c>
      <c r="F388" s="1883">
        <v>1419</v>
      </c>
      <c r="G388" s="1884">
        <v>7827</v>
      </c>
      <c r="H388" s="3619">
        <v>4560</v>
      </c>
      <c r="I388" s="1884">
        <v>7517</v>
      </c>
      <c r="J388" s="3619">
        <v>5933</v>
      </c>
      <c r="K388" s="1884">
        <v>4147</v>
      </c>
      <c r="L388" s="3619">
        <v>3941</v>
      </c>
      <c r="M388" s="1884">
        <v>2936</v>
      </c>
      <c r="N388" s="1885">
        <v>2832</v>
      </c>
      <c r="O388" s="2373">
        <f t="shared" si="7"/>
        <v>41112</v>
      </c>
      <c r="P388" s="1888">
        <v>43347</v>
      </c>
      <c r="Q388" s="1885">
        <v>1988</v>
      </c>
      <c r="R388" s="1889">
        <v>141609</v>
      </c>
    </row>
    <row r="389" spans="1:18">
      <c r="A389" s="863">
        <f t="shared" si="8"/>
        <v>2022.08</v>
      </c>
      <c r="B389" s="1897"/>
      <c r="C389" s="1902"/>
      <c r="D389" s="3624">
        <v>1269542</v>
      </c>
      <c r="E389" s="1898">
        <v>1519414</v>
      </c>
      <c r="F389" s="1883">
        <v>2329</v>
      </c>
      <c r="G389" s="1884">
        <v>7679</v>
      </c>
      <c r="H389" s="3619">
        <v>5396</v>
      </c>
      <c r="I389" s="1884">
        <v>4620</v>
      </c>
      <c r="J389" s="3619">
        <v>8478</v>
      </c>
      <c r="K389" s="1884">
        <v>5865</v>
      </c>
      <c r="L389" s="3619">
        <v>1239</v>
      </c>
      <c r="M389" s="1884">
        <v>2604</v>
      </c>
      <c r="N389" s="1885">
        <v>5464</v>
      </c>
      <c r="O389" s="2373">
        <f t="shared" si="7"/>
        <v>43674</v>
      </c>
      <c r="P389" s="1888">
        <v>39898</v>
      </c>
      <c r="Q389" s="1885">
        <v>6400</v>
      </c>
      <c r="R389" s="1889">
        <v>154726</v>
      </c>
    </row>
    <row r="390" spans="1:18">
      <c r="A390" s="863">
        <f t="shared" si="8"/>
        <v>2022.09</v>
      </c>
      <c r="B390" s="1897"/>
      <c r="C390" s="1902"/>
      <c r="D390" s="3624">
        <v>1236936</v>
      </c>
      <c r="E390" s="1898">
        <v>1536731</v>
      </c>
      <c r="F390" s="1883">
        <v>1462</v>
      </c>
      <c r="G390" s="1884">
        <v>4354</v>
      </c>
      <c r="H390" s="3619">
        <v>10042</v>
      </c>
      <c r="I390" s="1884">
        <v>9090</v>
      </c>
      <c r="J390" s="3619">
        <v>10533</v>
      </c>
      <c r="K390" s="1884">
        <v>4641</v>
      </c>
      <c r="L390" s="3619">
        <v>1899</v>
      </c>
      <c r="M390" s="1884">
        <v>1994</v>
      </c>
      <c r="N390" s="1885">
        <v>16054</v>
      </c>
      <c r="O390" s="2373">
        <f t="shared" si="7"/>
        <v>60069</v>
      </c>
      <c r="P390" s="1888">
        <v>34484</v>
      </c>
      <c r="Q390" s="1885">
        <v>626</v>
      </c>
      <c r="R390" s="1889">
        <v>166859</v>
      </c>
    </row>
    <row r="391" spans="1:18">
      <c r="A391" s="863">
        <f t="shared" si="8"/>
        <v>2022.1</v>
      </c>
      <c r="B391" s="1897"/>
      <c r="C391" s="1902"/>
      <c r="D391" s="3624">
        <v>1128587.3999999999</v>
      </c>
      <c r="E391" s="1898">
        <v>1408133</v>
      </c>
      <c r="F391" s="1883">
        <v>1514</v>
      </c>
      <c r="G391" s="1884">
        <v>8389</v>
      </c>
      <c r="H391" s="3619">
        <v>3412</v>
      </c>
      <c r="I391" s="1884">
        <v>8741</v>
      </c>
      <c r="J391" s="3619">
        <v>6471</v>
      </c>
      <c r="K391" s="1884">
        <v>10005</v>
      </c>
      <c r="L391" s="3619">
        <v>1346</v>
      </c>
      <c r="M391" s="1884">
        <v>1640</v>
      </c>
      <c r="N391" s="1885">
        <v>2369</v>
      </c>
      <c r="O391" s="2373">
        <f t="shared" si="7"/>
        <v>43887</v>
      </c>
      <c r="P391" s="1888">
        <v>36756</v>
      </c>
      <c r="Q391" s="1885">
        <v>291</v>
      </c>
      <c r="R391" s="1889">
        <v>151186</v>
      </c>
    </row>
    <row r="392" spans="1:18">
      <c r="A392" s="863">
        <f t="shared" si="8"/>
        <v>2022.11</v>
      </c>
      <c r="B392" s="1897"/>
      <c r="C392" s="1902"/>
      <c r="D392" s="3624">
        <v>1343795</v>
      </c>
      <c r="E392" s="1898">
        <v>1625835</v>
      </c>
      <c r="F392" s="1883">
        <v>2901</v>
      </c>
      <c r="G392" s="1884">
        <v>30027</v>
      </c>
      <c r="H392" s="3619">
        <v>8342</v>
      </c>
      <c r="I392" s="1884">
        <v>7755</v>
      </c>
      <c r="J392" s="3619">
        <v>9282</v>
      </c>
      <c r="K392" s="1884">
        <v>4340</v>
      </c>
      <c r="L392" s="3619">
        <v>1942</v>
      </c>
      <c r="M392" s="1884">
        <v>2959</v>
      </c>
      <c r="N392" s="1885">
        <v>3057</v>
      </c>
      <c r="O392" s="2373">
        <f t="shared" si="7"/>
        <v>70605</v>
      </c>
      <c r="P392" s="1888">
        <v>31298</v>
      </c>
      <c r="Q392" s="1885">
        <v>0</v>
      </c>
      <c r="R392" s="1889">
        <v>183115</v>
      </c>
    </row>
    <row r="393" spans="1:18">
      <c r="A393" s="863">
        <f t="shared" si="8"/>
        <v>2022.12</v>
      </c>
      <c r="B393" s="1897"/>
      <c r="C393" s="1902"/>
      <c r="D393" s="3624">
        <v>1098614</v>
      </c>
      <c r="E393" s="1898">
        <v>1319133</v>
      </c>
      <c r="F393" s="1883">
        <v>1245</v>
      </c>
      <c r="G393" s="1884">
        <v>7801</v>
      </c>
      <c r="H393" s="3619">
        <v>3043</v>
      </c>
      <c r="I393" s="1884">
        <v>5199</v>
      </c>
      <c r="J393" s="3619">
        <v>7042</v>
      </c>
      <c r="K393" s="1884">
        <v>4419</v>
      </c>
      <c r="L393" s="3619">
        <v>3146</v>
      </c>
      <c r="M393" s="1884">
        <v>3807</v>
      </c>
      <c r="N393" s="1885">
        <v>5605</v>
      </c>
      <c r="O393" s="2373">
        <f t="shared" si="7"/>
        <v>41307</v>
      </c>
      <c r="P393" s="1888">
        <v>54177</v>
      </c>
      <c r="Q393" s="1885">
        <v>2427</v>
      </c>
      <c r="R393" s="1889">
        <v>149612</v>
      </c>
    </row>
    <row r="394" spans="1:18">
      <c r="A394" s="863">
        <f t="shared" si="8"/>
        <v>2023.01</v>
      </c>
      <c r="B394" s="1897"/>
      <c r="C394" s="1902"/>
      <c r="D394" s="3624">
        <v>1062342</v>
      </c>
      <c r="E394" s="1898">
        <v>1238865</v>
      </c>
      <c r="F394" s="1883">
        <v>7706</v>
      </c>
      <c r="G394" s="1884">
        <v>19991</v>
      </c>
      <c r="H394" s="3619">
        <v>4670</v>
      </c>
      <c r="I394" s="1884">
        <v>2357</v>
      </c>
      <c r="J394" s="3619">
        <v>5400</v>
      </c>
      <c r="K394" s="1884">
        <v>2757</v>
      </c>
      <c r="L394" s="3619">
        <v>2122</v>
      </c>
      <c r="M394" s="1884">
        <v>2599</v>
      </c>
      <c r="N394" s="1885">
        <v>4200</v>
      </c>
      <c r="O394" s="2373">
        <f t="shared" si="7"/>
        <v>51802</v>
      </c>
      <c r="P394" s="1888">
        <v>74219</v>
      </c>
      <c r="Q394" s="1885">
        <v>0</v>
      </c>
      <c r="R394" s="1889">
        <v>210371</v>
      </c>
    </row>
    <row r="395" spans="1:18">
      <c r="A395" s="863">
        <f t="shared" si="8"/>
        <v>2023.02</v>
      </c>
      <c r="B395" s="1897"/>
      <c r="C395" s="1902"/>
      <c r="D395" s="3624">
        <v>899367</v>
      </c>
      <c r="E395" s="1898">
        <v>1054292</v>
      </c>
      <c r="F395" s="1883">
        <v>3338</v>
      </c>
      <c r="G395" s="1884">
        <v>4960</v>
      </c>
      <c r="H395" s="3619">
        <v>4036</v>
      </c>
      <c r="I395" s="1884">
        <v>480</v>
      </c>
      <c r="J395" s="3619">
        <v>4831</v>
      </c>
      <c r="K395" s="1884">
        <v>27377</v>
      </c>
      <c r="L395" s="3619">
        <v>1816</v>
      </c>
      <c r="M395" s="1884">
        <v>3082</v>
      </c>
      <c r="N395" s="1885">
        <v>3321</v>
      </c>
      <c r="O395" s="2373">
        <f t="shared" ref="O395:O419" si="9">_xlfn.AGGREGATE(9,6,F395:N395)</f>
        <v>53241</v>
      </c>
      <c r="P395" s="1888">
        <v>40389</v>
      </c>
      <c r="Q395" s="1885">
        <v>0</v>
      </c>
      <c r="R395" s="1889">
        <v>138999</v>
      </c>
    </row>
    <row r="396" spans="1:18">
      <c r="A396" s="863">
        <f t="shared" si="8"/>
        <v>2023.03</v>
      </c>
      <c r="B396" s="1897"/>
      <c r="C396" s="1902"/>
      <c r="D396" s="3624">
        <v>1466638</v>
      </c>
      <c r="E396" s="1898">
        <v>1725647</v>
      </c>
      <c r="F396" s="1883">
        <v>4602</v>
      </c>
      <c r="G396" s="1884">
        <v>10393</v>
      </c>
      <c r="H396" s="3619">
        <v>11870</v>
      </c>
      <c r="I396" s="1884">
        <v>8751</v>
      </c>
      <c r="J396" s="3619">
        <v>8471</v>
      </c>
      <c r="K396" s="1884">
        <v>4095</v>
      </c>
      <c r="L396" s="3619">
        <v>2300</v>
      </c>
      <c r="M396" s="1884">
        <v>3488</v>
      </c>
      <c r="N396" s="1885">
        <v>9932</v>
      </c>
      <c r="O396" s="2374">
        <f t="shared" si="9"/>
        <v>63902</v>
      </c>
      <c r="P396" s="1888">
        <v>35444</v>
      </c>
      <c r="Q396" s="1885">
        <v>3533</v>
      </c>
      <c r="R396" s="1889">
        <v>170199</v>
      </c>
    </row>
    <row r="397" spans="1:18">
      <c r="A397" s="863">
        <f t="shared" si="8"/>
        <v>2023.04</v>
      </c>
      <c r="B397" s="1897"/>
      <c r="C397" s="1902"/>
      <c r="D397" s="3624">
        <v>1052630</v>
      </c>
      <c r="E397" s="1898">
        <v>1406955</v>
      </c>
      <c r="F397" s="1883">
        <v>1160</v>
      </c>
      <c r="G397" s="1903" t="e">
        <v>#N/A</v>
      </c>
      <c r="H397" s="3619">
        <v>6945</v>
      </c>
      <c r="I397" s="1884">
        <v>4146</v>
      </c>
      <c r="J397" s="3619">
        <v>9974</v>
      </c>
      <c r="K397" s="1884" t="e">
        <v>#N/A</v>
      </c>
      <c r="L397" s="3619">
        <v>743</v>
      </c>
      <c r="M397" s="1884">
        <v>3581</v>
      </c>
      <c r="N397" s="1885">
        <v>6483</v>
      </c>
      <c r="O397" s="2373">
        <f>_xlfn.AGGREGATE(9,6,F397:N397)</f>
        <v>33032</v>
      </c>
      <c r="P397" s="1888">
        <v>55037</v>
      </c>
      <c r="Q397" s="1885">
        <v>1023</v>
      </c>
      <c r="R397" s="1889">
        <v>145096</v>
      </c>
    </row>
    <row r="398" spans="1:18">
      <c r="A398" s="863">
        <f t="shared" si="8"/>
        <v>2023.05</v>
      </c>
      <c r="B398" s="1897"/>
      <c r="C398" s="1902"/>
      <c r="D398" s="3624">
        <v>1055399</v>
      </c>
      <c r="E398" s="1898">
        <v>1314602</v>
      </c>
      <c r="F398" s="1883">
        <v>2642</v>
      </c>
      <c r="G398" s="1884">
        <v>9788</v>
      </c>
      <c r="H398" s="3619">
        <v>5739</v>
      </c>
      <c r="I398" s="1884">
        <v>7908</v>
      </c>
      <c r="J398" s="3619">
        <v>5116</v>
      </c>
      <c r="K398" s="1903" t="e">
        <v>#N/A</v>
      </c>
      <c r="L398" s="3626" t="e">
        <v>#N/A</v>
      </c>
      <c r="M398" s="1884">
        <v>3929</v>
      </c>
      <c r="N398" s="1885">
        <v>2140</v>
      </c>
      <c r="O398" s="2373">
        <f>_xlfn.AGGREGATE(9,6,F398:N398)</f>
        <v>37262</v>
      </c>
      <c r="P398" s="1888">
        <v>29485</v>
      </c>
      <c r="Q398" s="1885">
        <v>1467</v>
      </c>
      <c r="R398" s="1889">
        <v>125404</v>
      </c>
    </row>
    <row r="399" spans="1:18">
      <c r="A399" s="863">
        <f t="shared" si="8"/>
        <v>2023.06</v>
      </c>
      <c r="B399" s="1897"/>
      <c r="C399" s="1902"/>
      <c r="D399" s="3624">
        <v>1065753</v>
      </c>
      <c r="E399" s="1898">
        <v>1301131</v>
      </c>
      <c r="F399" s="1883">
        <v>1637</v>
      </c>
      <c r="G399" s="1884">
        <v>10908</v>
      </c>
      <c r="H399" s="3619">
        <v>8292</v>
      </c>
      <c r="I399" s="1884">
        <v>7033</v>
      </c>
      <c r="J399" s="3619">
        <v>8147</v>
      </c>
      <c r="K399" s="1884">
        <v>5362</v>
      </c>
      <c r="L399" s="3619">
        <v>989</v>
      </c>
      <c r="M399" s="1884">
        <v>6204</v>
      </c>
      <c r="N399" s="1885">
        <v>2775</v>
      </c>
      <c r="O399" s="2373">
        <f t="shared" si="9"/>
        <v>51347</v>
      </c>
      <c r="P399" s="1888">
        <v>47571</v>
      </c>
      <c r="Q399" s="1885">
        <v>3304</v>
      </c>
      <c r="R399" s="1889">
        <v>182956</v>
      </c>
    </row>
    <row r="400" spans="1:18">
      <c r="A400" s="863">
        <f t="shared" si="8"/>
        <v>2023.07</v>
      </c>
      <c r="B400" s="1897"/>
      <c r="C400" s="1902"/>
      <c r="D400" s="3624">
        <v>1117624</v>
      </c>
      <c r="E400" s="1898">
        <v>1432859</v>
      </c>
      <c r="F400" s="1883">
        <v>2180</v>
      </c>
      <c r="G400" s="1884">
        <v>27193</v>
      </c>
      <c r="H400" s="3619">
        <v>4045</v>
      </c>
      <c r="I400" s="1884">
        <v>8130</v>
      </c>
      <c r="J400" s="3619">
        <v>4805</v>
      </c>
      <c r="K400" s="1884">
        <v>2679</v>
      </c>
      <c r="L400" s="3619">
        <v>1329</v>
      </c>
      <c r="M400" s="1884">
        <v>3139</v>
      </c>
      <c r="N400" s="1885">
        <v>874</v>
      </c>
      <c r="O400" s="2373">
        <f t="shared" si="9"/>
        <v>54374</v>
      </c>
      <c r="P400" s="1888">
        <v>24062</v>
      </c>
      <c r="Q400" s="1885">
        <v>210</v>
      </c>
      <c r="R400" s="1889">
        <v>144350</v>
      </c>
    </row>
    <row r="401" spans="1:18">
      <c r="A401" s="863">
        <f t="shared" si="8"/>
        <v>2023.08</v>
      </c>
      <c r="B401" s="1897"/>
      <c r="C401" s="1902"/>
      <c r="D401" s="3624">
        <v>1137471</v>
      </c>
      <c r="E401" s="1898">
        <v>1476989</v>
      </c>
      <c r="F401" s="1883">
        <v>1752</v>
      </c>
      <c r="G401" s="1884">
        <v>27193</v>
      </c>
      <c r="H401" s="3619">
        <v>8749</v>
      </c>
      <c r="I401" s="1884">
        <v>9919</v>
      </c>
      <c r="J401" s="3619">
        <v>5617</v>
      </c>
      <c r="K401" s="1884">
        <v>2252</v>
      </c>
      <c r="L401" s="3619">
        <v>4354</v>
      </c>
      <c r="M401" s="1884">
        <v>2953</v>
      </c>
      <c r="N401" s="1885">
        <v>3874</v>
      </c>
      <c r="O401" s="2373">
        <f t="shared" si="9"/>
        <v>66663</v>
      </c>
      <c r="P401" s="1888">
        <v>34076</v>
      </c>
      <c r="Q401" s="1885">
        <v>619</v>
      </c>
      <c r="R401" s="1889">
        <v>186728</v>
      </c>
    </row>
    <row r="402" spans="1:18">
      <c r="A402" s="863">
        <f t="shared" si="8"/>
        <v>2023.09</v>
      </c>
      <c r="B402" s="1897"/>
      <c r="C402" s="1902"/>
      <c r="D402" s="3624">
        <v>1179421</v>
      </c>
      <c r="E402" s="1898">
        <v>1430763</v>
      </c>
      <c r="F402" s="1883">
        <v>1243</v>
      </c>
      <c r="G402" s="1884">
        <v>12637</v>
      </c>
      <c r="H402" s="3619">
        <v>4675</v>
      </c>
      <c r="I402" s="1884">
        <v>7132</v>
      </c>
      <c r="J402" s="3619">
        <v>5157</v>
      </c>
      <c r="K402" s="1884">
        <v>4265</v>
      </c>
      <c r="L402" s="3619">
        <v>2061</v>
      </c>
      <c r="M402" s="1884">
        <v>2812</v>
      </c>
      <c r="N402" s="1885">
        <v>18506</v>
      </c>
      <c r="O402" s="2373">
        <f t="shared" si="9"/>
        <v>58488</v>
      </c>
      <c r="P402" s="1888">
        <v>60584</v>
      </c>
      <c r="Q402" s="1885">
        <v>5707</v>
      </c>
      <c r="R402" s="1889">
        <v>195217</v>
      </c>
    </row>
    <row r="403" spans="1:18">
      <c r="A403" s="863">
        <f t="shared" si="8"/>
        <v>2023.1</v>
      </c>
      <c r="B403" s="1897"/>
      <c r="C403" s="1902"/>
      <c r="D403" s="3624">
        <v>1201199</v>
      </c>
      <c r="E403" s="1898">
        <v>1496950</v>
      </c>
      <c r="F403" s="1883">
        <v>751</v>
      </c>
      <c r="G403" s="1884">
        <v>4790</v>
      </c>
      <c r="H403" s="3619">
        <v>3519</v>
      </c>
      <c r="I403" s="1884">
        <v>3077</v>
      </c>
      <c r="J403" s="3619">
        <v>3476</v>
      </c>
      <c r="K403" s="1884">
        <v>3651</v>
      </c>
      <c r="L403" s="3619">
        <v>893</v>
      </c>
      <c r="M403" s="1884">
        <v>3052</v>
      </c>
      <c r="N403" s="1885">
        <v>6762</v>
      </c>
      <c r="O403" s="2373">
        <f t="shared" si="9"/>
        <v>29971</v>
      </c>
      <c r="P403" s="1888">
        <v>36476</v>
      </c>
      <c r="Q403" s="1885">
        <v>519</v>
      </c>
      <c r="R403" s="1889">
        <v>140332</v>
      </c>
    </row>
    <row r="404" spans="1:18">
      <c r="A404" s="863">
        <f t="shared" si="8"/>
        <v>2023.11</v>
      </c>
      <c r="B404" s="1897"/>
      <c r="C404" s="1902"/>
      <c r="D404" s="3624">
        <v>1431834</v>
      </c>
      <c r="E404" s="1898">
        <v>1656596</v>
      </c>
      <c r="F404" s="1883">
        <v>2196</v>
      </c>
      <c r="G404" s="1884">
        <v>8745</v>
      </c>
      <c r="H404" s="3619">
        <v>5449</v>
      </c>
      <c r="I404" s="1884">
        <v>5145</v>
      </c>
      <c r="J404" s="3619">
        <v>4036</v>
      </c>
      <c r="K404" s="1884">
        <v>2995</v>
      </c>
      <c r="L404" s="3619">
        <v>851</v>
      </c>
      <c r="M404" s="1884">
        <v>2817</v>
      </c>
      <c r="N404" s="1885">
        <v>3010</v>
      </c>
      <c r="O404" s="2373">
        <f t="shared" si="9"/>
        <v>35244</v>
      </c>
      <c r="P404" s="1888">
        <v>48845</v>
      </c>
      <c r="Q404" s="1885">
        <v>5707</v>
      </c>
      <c r="R404" s="1889">
        <v>171765</v>
      </c>
    </row>
    <row r="405" spans="1:18">
      <c r="A405" s="863">
        <f t="shared" si="8"/>
        <v>2023.12</v>
      </c>
      <c r="B405" s="1897"/>
      <c r="C405" s="1902"/>
      <c r="D405" s="3624">
        <v>993484</v>
      </c>
      <c r="E405" s="1898">
        <v>1282305</v>
      </c>
      <c r="F405" s="1883">
        <v>3820</v>
      </c>
      <c r="G405" s="1884">
        <v>5579</v>
      </c>
      <c r="H405" s="3619">
        <v>8486</v>
      </c>
      <c r="I405" s="1884">
        <v>3735</v>
      </c>
      <c r="J405" s="3619">
        <v>9532</v>
      </c>
      <c r="K405" s="1884">
        <v>16211</v>
      </c>
      <c r="L405" s="3619">
        <v>1698</v>
      </c>
      <c r="M405" s="1884">
        <v>5290</v>
      </c>
      <c r="N405" s="1885">
        <v>1918</v>
      </c>
      <c r="O405" s="2373">
        <f t="shared" si="9"/>
        <v>56269</v>
      </c>
      <c r="P405" s="1888">
        <v>20173</v>
      </c>
      <c r="Q405" s="1885">
        <v>4528</v>
      </c>
      <c r="R405" s="1889">
        <v>133409</v>
      </c>
    </row>
    <row r="406" spans="1:18">
      <c r="A406" s="863">
        <f t="shared" ref="A406:A469" si="10">A394+1</f>
        <v>2024.01</v>
      </c>
      <c r="B406" s="1897"/>
      <c r="C406" s="1902"/>
      <c r="D406" s="3624">
        <v>1077073</v>
      </c>
      <c r="E406" s="1898">
        <v>1256802</v>
      </c>
      <c r="F406" s="1883">
        <v>1719</v>
      </c>
      <c r="G406" s="1884">
        <v>2573</v>
      </c>
      <c r="H406" s="3619">
        <v>1131</v>
      </c>
      <c r="I406" s="1884">
        <v>10104</v>
      </c>
      <c r="J406" s="3619">
        <v>0</v>
      </c>
      <c r="K406" s="1884">
        <v>4144</v>
      </c>
      <c r="L406" s="3619">
        <v>1780</v>
      </c>
      <c r="M406" s="1884">
        <v>2462</v>
      </c>
      <c r="N406" s="1885">
        <v>882</v>
      </c>
      <c r="O406" s="2373">
        <f t="shared" si="9"/>
        <v>24795</v>
      </c>
      <c r="P406" s="1888">
        <v>42937</v>
      </c>
      <c r="Q406" s="1885">
        <v>66</v>
      </c>
      <c r="R406" s="1889">
        <v>102702</v>
      </c>
    </row>
    <row r="407" spans="1:18">
      <c r="A407" s="863">
        <f t="shared" si="10"/>
        <v>2024.02</v>
      </c>
      <c r="B407" s="1897"/>
      <c r="C407" s="1902"/>
      <c r="D407" s="3624">
        <v>802103</v>
      </c>
      <c r="E407" s="1898">
        <v>974431</v>
      </c>
      <c r="F407" s="1904" t="e">
        <v>#N/A</v>
      </c>
      <c r="G407" s="1884">
        <v>2485</v>
      </c>
      <c r="H407" s="3619">
        <v>3296</v>
      </c>
      <c r="I407" s="1884">
        <v>6561</v>
      </c>
      <c r="J407" s="3619">
        <v>2153</v>
      </c>
      <c r="K407" s="1884">
        <v>3345</v>
      </c>
      <c r="L407" s="3619">
        <v>1210</v>
      </c>
      <c r="M407" s="1884">
        <v>2151</v>
      </c>
      <c r="N407" s="1885">
        <v>601</v>
      </c>
      <c r="O407" s="2373">
        <f t="shared" si="9"/>
        <v>21802</v>
      </c>
      <c r="P407" s="1888">
        <v>27258</v>
      </c>
      <c r="Q407" s="1885">
        <v>5171</v>
      </c>
      <c r="R407" s="1889">
        <v>90678</v>
      </c>
    </row>
    <row r="408" spans="1:18">
      <c r="A408" s="863">
        <f t="shared" si="10"/>
        <v>2024.03</v>
      </c>
      <c r="B408" s="1897"/>
      <c r="C408" s="1902"/>
      <c r="D408" s="3624">
        <v>896644</v>
      </c>
      <c r="E408" s="1898">
        <v>1153856</v>
      </c>
      <c r="F408" s="1883">
        <v>799</v>
      </c>
      <c r="G408" s="1884">
        <v>6369</v>
      </c>
      <c r="H408" s="3619">
        <v>2820</v>
      </c>
      <c r="I408" s="1884">
        <v>8995</v>
      </c>
      <c r="J408" s="3619">
        <v>4120</v>
      </c>
      <c r="K408" s="1884">
        <v>2835</v>
      </c>
      <c r="L408" s="3619">
        <v>1889</v>
      </c>
      <c r="M408" s="1884">
        <v>2921</v>
      </c>
      <c r="N408" s="1885">
        <v>1804</v>
      </c>
      <c r="O408" s="2373">
        <f t="shared" si="9"/>
        <v>32552</v>
      </c>
      <c r="P408" s="1888">
        <v>49241</v>
      </c>
      <c r="Q408" s="1885">
        <v>3272</v>
      </c>
      <c r="R408" s="1889">
        <v>127362</v>
      </c>
    </row>
    <row r="409" spans="1:18">
      <c r="A409" s="863">
        <f t="shared" si="10"/>
        <v>2024.04</v>
      </c>
      <c r="B409" s="1897"/>
      <c r="C409" s="1902"/>
      <c r="D409" s="3624">
        <v>933963</v>
      </c>
      <c r="E409" s="1898">
        <v>1230931</v>
      </c>
      <c r="F409" s="1883">
        <v>1962</v>
      </c>
      <c r="G409" s="1884">
        <v>14972</v>
      </c>
      <c r="H409" s="3619">
        <v>3517</v>
      </c>
      <c r="I409" s="1884">
        <v>3374</v>
      </c>
      <c r="J409" s="3619">
        <v>3064</v>
      </c>
      <c r="K409" s="1884">
        <v>3328</v>
      </c>
      <c r="L409" s="3619">
        <v>2138</v>
      </c>
      <c r="M409" s="1884">
        <v>3837</v>
      </c>
      <c r="N409" s="1885">
        <v>1962</v>
      </c>
      <c r="O409" s="2373">
        <f t="shared" si="9"/>
        <v>38154</v>
      </c>
      <c r="P409" s="1888">
        <v>16998</v>
      </c>
      <c r="Q409" s="1885">
        <v>347</v>
      </c>
      <c r="R409" s="1889">
        <v>92926</v>
      </c>
    </row>
    <row r="410" spans="1:18">
      <c r="A410" s="863">
        <f t="shared" si="10"/>
        <v>2024.05</v>
      </c>
      <c r="B410" s="1897"/>
      <c r="C410" s="1902"/>
      <c r="D410" s="3624">
        <v>972562.88</v>
      </c>
      <c r="E410" s="1898">
        <v>1277163</v>
      </c>
      <c r="F410" s="1883">
        <v>527</v>
      </c>
      <c r="G410" s="1884">
        <v>6291</v>
      </c>
      <c r="H410" s="3619">
        <v>2291</v>
      </c>
      <c r="I410" s="1884">
        <v>1366</v>
      </c>
      <c r="J410" s="3619">
        <v>3398</v>
      </c>
      <c r="K410" s="1884">
        <v>3344</v>
      </c>
      <c r="L410" s="3619">
        <v>1692</v>
      </c>
      <c r="M410" s="1884">
        <v>4439</v>
      </c>
      <c r="N410" s="1885">
        <v>2723</v>
      </c>
      <c r="O410" s="2373">
        <f t="shared" si="9"/>
        <v>26071</v>
      </c>
      <c r="P410" s="1888">
        <v>29171</v>
      </c>
      <c r="Q410" s="1885">
        <v>1672</v>
      </c>
      <c r="R410" s="1889">
        <v>102192</v>
      </c>
    </row>
    <row r="411" spans="1:18">
      <c r="A411" s="863">
        <f t="shared" si="10"/>
        <v>2024.06</v>
      </c>
      <c r="B411" s="1897"/>
      <c r="C411" s="1902"/>
      <c r="D411" s="3624">
        <v>829205</v>
      </c>
      <c r="E411" s="1898">
        <v>1029179</v>
      </c>
      <c r="F411" s="1883">
        <v>1262</v>
      </c>
      <c r="G411" s="1884">
        <v>4438</v>
      </c>
      <c r="H411" s="3619">
        <v>3498</v>
      </c>
      <c r="I411" s="1884">
        <v>3687</v>
      </c>
      <c r="J411" s="3619">
        <v>4480</v>
      </c>
      <c r="K411" s="1884">
        <v>5329</v>
      </c>
      <c r="L411" s="3619">
        <v>790</v>
      </c>
      <c r="M411" s="1884">
        <v>1780</v>
      </c>
      <c r="N411" s="1885">
        <v>1340</v>
      </c>
      <c r="O411" s="2373">
        <f t="shared" si="9"/>
        <v>26604</v>
      </c>
      <c r="P411" s="1888">
        <v>23103</v>
      </c>
      <c r="Q411" s="1885">
        <v>1670</v>
      </c>
      <c r="R411" s="1889">
        <v>82142</v>
      </c>
    </row>
    <row r="412" spans="1:18">
      <c r="A412" s="863">
        <f t="shared" si="10"/>
        <v>2024.07</v>
      </c>
      <c r="B412" s="1897"/>
      <c r="C412" s="1902"/>
      <c r="D412" s="3624">
        <v>1062675</v>
      </c>
      <c r="E412" s="1898">
        <v>1318034</v>
      </c>
      <c r="F412" s="1883">
        <v>1643</v>
      </c>
      <c r="G412" s="1884">
        <v>4618</v>
      </c>
      <c r="H412" s="3619">
        <v>4305</v>
      </c>
      <c r="I412" s="1884">
        <v>5607</v>
      </c>
      <c r="J412" s="3619">
        <v>5408</v>
      </c>
      <c r="K412" s="1884">
        <v>5662</v>
      </c>
      <c r="L412" s="3619">
        <v>1621</v>
      </c>
      <c r="M412" s="1884">
        <v>2387</v>
      </c>
      <c r="N412" s="1885">
        <v>1494</v>
      </c>
      <c r="O412" s="2373">
        <f t="shared" si="9"/>
        <v>32745</v>
      </c>
      <c r="P412" s="1888">
        <v>22450</v>
      </c>
      <c r="Q412" s="1885">
        <v>1401</v>
      </c>
      <c r="R412" s="1889">
        <v>138624</v>
      </c>
    </row>
    <row r="413" spans="1:18">
      <c r="A413" s="863">
        <f t="shared" si="10"/>
        <v>2024.08</v>
      </c>
      <c r="B413" s="1897"/>
      <c r="C413" s="1902"/>
      <c r="D413" s="3624">
        <v>1225181</v>
      </c>
      <c r="E413" s="1898">
        <v>1429837</v>
      </c>
      <c r="F413" s="1883">
        <v>927</v>
      </c>
      <c r="G413" s="1884">
        <v>10364</v>
      </c>
      <c r="H413" s="3619">
        <v>12662</v>
      </c>
      <c r="I413" s="1884">
        <v>5128</v>
      </c>
      <c r="J413" s="3619">
        <v>811</v>
      </c>
      <c r="K413" s="1884">
        <v>3158</v>
      </c>
      <c r="L413" s="3619">
        <v>2048</v>
      </c>
      <c r="M413" s="1884">
        <v>3732</v>
      </c>
      <c r="N413" s="1885">
        <v>1915</v>
      </c>
      <c r="O413" s="2373">
        <f t="shared" si="9"/>
        <v>40745</v>
      </c>
      <c r="P413" s="1888">
        <v>49135</v>
      </c>
      <c r="Q413" s="1885">
        <v>3840</v>
      </c>
      <c r="R413" s="1889">
        <v>160778</v>
      </c>
    </row>
    <row r="414" spans="1:18">
      <c r="A414" s="863">
        <f t="shared" si="10"/>
        <v>2024.09</v>
      </c>
      <c r="B414" s="1897"/>
      <c r="C414" s="1902"/>
      <c r="D414" s="3624">
        <v>1019760</v>
      </c>
      <c r="E414" s="1898">
        <v>1321524</v>
      </c>
      <c r="F414" s="1904" t="e">
        <v>#N/A</v>
      </c>
      <c r="G414" s="1884">
        <v>17151</v>
      </c>
      <c r="H414" s="3619">
        <v>6133</v>
      </c>
      <c r="I414" s="1884">
        <v>2120</v>
      </c>
      <c r="J414" s="3619">
        <v>6439</v>
      </c>
      <c r="K414" s="1884">
        <v>2830</v>
      </c>
      <c r="L414" s="3619">
        <v>8313</v>
      </c>
      <c r="M414" s="1884">
        <v>4176</v>
      </c>
      <c r="N414" s="1885">
        <v>4739</v>
      </c>
      <c r="O414" s="2373">
        <f t="shared" si="9"/>
        <v>51901</v>
      </c>
      <c r="P414" s="1888">
        <v>56842</v>
      </c>
      <c r="Q414" s="1885">
        <v>871</v>
      </c>
      <c r="R414" s="1889">
        <v>163538</v>
      </c>
    </row>
    <row r="415" spans="1:18">
      <c r="A415" s="863">
        <f t="shared" si="10"/>
        <v>2024.1</v>
      </c>
      <c r="B415" s="1897"/>
      <c r="C415" s="1902"/>
      <c r="D415" s="3624">
        <v>1252943</v>
      </c>
      <c r="E415" s="1898">
        <v>1538624</v>
      </c>
      <c r="F415" s="1883">
        <v>27883</v>
      </c>
      <c r="G415" s="1884">
        <v>5042</v>
      </c>
      <c r="H415" s="3619">
        <v>15228</v>
      </c>
      <c r="I415" s="1884">
        <v>5283</v>
      </c>
      <c r="J415" s="3619">
        <v>2762</v>
      </c>
      <c r="K415" s="1884">
        <v>5691</v>
      </c>
      <c r="L415" s="3619">
        <v>1418</v>
      </c>
      <c r="M415" s="1884">
        <v>3522</v>
      </c>
      <c r="N415" s="1885">
        <v>3814</v>
      </c>
      <c r="O415" s="2373">
        <f t="shared" si="9"/>
        <v>70643</v>
      </c>
      <c r="P415" s="1888">
        <v>51903</v>
      </c>
      <c r="Q415" s="1885">
        <v>2444</v>
      </c>
      <c r="R415" s="1889">
        <v>189966</v>
      </c>
    </row>
    <row r="416" spans="1:18">
      <c r="A416" s="863">
        <f t="shared" si="10"/>
        <v>2024.11</v>
      </c>
      <c r="B416" s="1897"/>
      <c r="C416" s="1902"/>
      <c r="D416" s="3624">
        <v>992669</v>
      </c>
      <c r="E416" s="1898">
        <v>1177863</v>
      </c>
      <c r="F416" s="1883">
        <v>2412</v>
      </c>
      <c r="G416" s="1884">
        <v>4746</v>
      </c>
      <c r="H416" s="3619">
        <v>9809</v>
      </c>
      <c r="I416" s="1884">
        <v>1142</v>
      </c>
      <c r="J416" s="3619">
        <v>3693</v>
      </c>
      <c r="K416" s="1884">
        <v>6341</v>
      </c>
      <c r="L416" s="3619">
        <v>1858</v>
      </c>
      <c r="M416" s="3619">
        <v>2521</v>
      </c>
      <c r="N416" s="1885" t="e">
        <v>#N/A</v>
      </c>
      <c r="O416" s="2373">
        <f>_xlfn.AGGREGATE(9,6,F416:N416)</f>
        <v>32522</v>
      </c>
      <c r="P416" s="1888">
        <v>13810</v>
      </c>
      <c r="Q416" s="1885">
        <v>2368</v>
      </c>
      <c r="R416" s="1889">
        <v>82468</v>
      </c>
    </row>
    <row r="417" spans="1:22">
      <c r="A417" s="863">
        <f t="shared" si="10"/>
        <v>2024.12</v>
      </c>
      <c r="B417" s="1897"/>
      <c r="C417" s="1902"/>
      <c r="D417" s="3624">
        <v>1117989.05</v>
      </c>
      <c r="E417" s="1898">
        <v>1342259</v>
      </c>
      <c r="F417" s="1883">
        <v>1206</v>
      </c>
      <c r="G417" s="1884">
        <v>9127</v>
      </c>
      <c r="H417" s="3619">
        <v>12907</v>
      </c>
      <c r="I417" s="1884">
        <v>3593</v>
      </c>
      <c r="J417" s="3619">
        <v>6473</v>
      </c>
      <c r="K417" s="1884">
        <v>5598</v>
      </c>
      <c r="L417" s="3619">
        <v>1417</v>
      </c>
      <c r="M417" s="1884">
        <v>21938</v>
      </c>
      <c r="N417" s="1885">
        <v>4332</v>
      </c>
      <c r="O417" s="2373">
        <f>_xlfn.AGGREGATE(9,6,F417:N417)</f>
        <v>66591</v>
      </c>
      <c r="P417" s="1888">
        <v>20959</v>
      </c>
      <c r="Q417" s="1885">
        <v>497</v>
      </c>
      <c r="R417" s="1889">
        <v>133813</v>
      </c>
    </row>
    <row r="418" spans="1:22">
      <c r="A418" s="863">
        <f t="shared" si="10"/>
        <v>2025.01</v>
      </c>
      <c r="B418" s="1897"/>
      <c r="C418" s="1902"/>
      <c r="D418" s="3627" t="s">
        <v>1076</v>
      </c>
      <c r="E418" s="1898">
        <v>1283329</v>
      </c>
      <c r="F418" s="1905">
        <v>1206</v>
      </c>
      <c r="G418" s="1906">
        <v>8509</v>
      </c>
      <c r="H418" s="3628">
        <v>2516</v>
      </c>
      <c r="I418" s="1906">
        <v>3574</v>
      </c>
      <c r="J418" s="3628">
        <v>894</v>
      </c>
      <c r="K418" s="1906">
        <v>6435</v>
      </c>
      <c r="L418" s="3628">
        <v>1432</v>
      </c>
      <c r="M418" s="1906">
        <v>3995</v>
      </c>
      <c r="N418" s="1885">
        <v>1864</v>
      </c>
      <c r="O418" s="2373">
        <f t="shared" si="9"/>
        <v>30425</v>
      </c>
      <c r="P418" s="1888">
        <v>23261</v>
      </c>
      <c r="Q418" s="1885">
        <v>6241</v>
      </c>
      <c r="R418" s="1889">
        <v>80002</v>
      </c>
      <c r="S418" s="1949"/>
      <c r="T418" s="1949"/>
      <c r="U418" s="1949"/>
      <c r="V418" s="1949"/>
    </row>
    <row r="419" spans="1:22">
      <c r="A419" s="863">
        <f t="shared" si="10"/>
        <v>2025.02</v>
      </c>
      <c r="B419" s="1897"/>
      <c r="C419" s="1902"/>
      <c r="D419" s="3629"/>
      <c r="E419" s="1898">
        <v>1053238</v>
      </c>
      <c r="F419" s="1905">
        <v>1657</v>
      </c>
      <c r="G419" s="1906">
        <v>14625</v>
      </c>
      <c r="H419" s="3628">
        <v>9187</v>
      </c>
      <c r="I419" s="1906">
        <v>2189</v>
      </c>
      <c r="J419" s="3628">
        <v>2835</v>
      </c>
      <c r="K419" s="1906">
        <v>744</v>
      </c>
      <c r="L419" s="3628">
        <v>514</v>
      </c>
      <c r="M419" s="1906">
        <v>2084</v>
      </c>
      <c r="N419" s="1885">
        <v>637</v>
      </c>
      <c r="O419" s="2373">
        <f t="shared" si="9"/>
        <v>34472</v>
      </c>
      <c r="P419" s="1888">
        <v>20990</v>
      </c>
      <c r="Q419" s="1885">
        <v>514</v>
      </c>
      <c r="R419" s="1889">
        <v>87494</v>
      </c>
    </row>
    <row r="420" spans="1:22">
      <c r="A420" s="863">
        <f t="shared" si="10"/>
        <v>2025.03</v>
      </c>
      <c r="B420" s="1897"/>
      <c r="C420" s="1902"/>
      <c r="D420" s="3629"/>
      <c r="E420" s="1898">
        <v>1213864</v>
      </c>
      <c r="F420" s="1905">
        <v>3133</v>
      </c>
      <c r="G420" s="1906">
        <v>6906</v>
      </c>
      <c r="H420" s="3628">
        <v>2908</v>
      </c>
      <c r="I420" s="1906">
        <v>7422</v>
      </c>
      <c r="J420" s="3628">
        <v>5676</v>
      </c>
      <c r="K420" s="1906">
        <v>2767</v>
      </c>
      <c r="L420" s="3628">
        <v>2491</v>
      </c>
      <c r="M420" s="1906">
        <v>3326</v>
      </c>
      <c r="N420" s="1885">
        <v>2338</v>
      </c>
      <c r="O420" s="2373">
        <f>_xlfn.AGGREGATE(9,6,F420:N420)</f>
        <v>36967</v>
      </c>
      <c r="P420" s="1888">
        <v>13022</v>
      </c>
      <c r="Q420" s="1885">
        <v>7656</v>
      </c>
      <c r="R420" s="1889">
        <v>105774</v>
      </c>
    </row>
    <row r="421" spans="1:22">
      <c r="A421" s="863">
        <f t="shared" si="10"/>
        <v>2025.04</v>
      </c>
      <c r="B421" s="1897"/>
      <c r="C421" s="1902"/>
      <c r="D421" s="3629"/>
      <c r="E421" s="1898">
        <v>1264985</v>
      </c>
      <c r="F421" s="1905">
        <v>2702</v>
      </c>
      <c r="G421" s="1948">
        <v>10272</v>
      </c>
      <c r="H421" s="3628">
        <v>2186</v>
      </c>
      <c r="I421" s="1906">
        <v>1662</v>
      </c>
      <c r="J421" s="3628">
        <v>4247</v>
      </c>
      <c r="K421" s="1906">
        <v>2414</v>
      </c>
      <c r="L421" s="3628">
        <v>1246</v>
      </c>
      <c r="M421" s="1906">
        <v>2677</v>
      </c>
      <c r="N421" s="1885">
        <v>2329</v>
      </c>
      <c r="O421" s="2373">
        <f>_xlfn.AGGREGATE(9,6,F421:N421)</f>
        <v>29735</v>
      </c>
      <c r="P421" s="1888">
        <v>27545</v>
      </c>
      <c r="Q421" s="1885">
        <v>1748</v>
      </c>
      <c r="R421" s="1889">
        <v>121361</v>
      </c>
    </row>
    <row r="422" spans="1:22">
      <c r="A422" s="863">
        <f t="shared" si="10"/>
        <v>2025.05</v>
      </c>
      <c r="B422" s="1897"/>
      <c r="C422" s="1902"/>
      <c r="D422" s="3629"/>
      <c r="E422" s="1898">
        <v>1372954</v>
      </c>
      <c r="F422" s="1905">
        <v>1761</v>
      </c>
      <c r="G422" s="1906">
        <v>15823</v>
      </c>
      <c r="H422" s="3628">
        <v>4877</v>
      </c>
      <c r="I422" s="1906">
        <v>3458</v>
      </c>
      <c r="J422" s="3628">
        <v>7083</v>
      </c>
      <c r="K422" s="1906">
        <v>2605</v>
      </c>
      <c r="L422" s="3628">
        <v>2301</v>
      </c>
      <c r="M422" s="1906">
        <v>2856</v>
      </c>
      <c r="N422" s="1885">
        <v>1254</v>
      </c>
      <c r="O422" s="2373">
        <f>_xlfn.AGGREGATE(9,6,F422:N422)</f>
        <v>42018</v>
      </c>
      <c r="P422" s="1888">
        <v>28879</v>
      </c>
      <c r="Q422" s="1885">
        <v>1336</v>
      </c>
      <c r="R422" s="1889">
        <v>114562</v>
      </c>
    </row>
    <row r="423" spans="1:22">
      <c r="A423" s="863">
        <f t="shared" si="10"/>
        <v>2025.06</v>
      </c>
      <c r="B423" s="1897"/>
      <c r="C423" s="1902"/>
      <c r="D423" s="3629"/>
      <c r="E423" s="1898">
        <v>1366173</v>
      </c>
      <c r="F423" s="1905">
        <v>2730</v>
      </c>
      <c r="G423" s="1906">
        <v>11850</v>
      </c>
      <c r="H423" s="3628">
        <v>5964</v>
      </c>
      <c r="I423" s="1906">
        <v>5081</v>
      </c>
      <c r="J423" s="3628">
        <v>3241</v>
      </c>
      <c r="K423" s="1906">
        <v>3284</v>
      </c>
      <c r="L423" s="3628">
        <v>1394</v>
      </c>
      <c r="M423" s="1906">
        <v>3791</v>
      </c>
      <c r="N423" s="1885">
        <v>1997</v>
      </c>
      <c r="O423" s="2373">
        <f>_xlfn.AGGREGATE(9,6,F423:N423)</f>
        <v>39332</v>
      </c>
      <c r="P423" s="1888">
        <v>66091</v>
      </c>
      <c r="Q423" s="1885">
        <v>4859</v>
      </c>
      <c r="R423" s="1889">
        <v>144514</v>
      </c>
    </row>
    <row r="424" spans="1:22">
      <c r="A424" s="863">
        <f t="shared" si="10"/>
        <v>2025.07</v>
      </c>
      <c r="B424" s="1897"/>
      <c r="C424" s="1902"/>
      <c r="D424" s="3629"/>
      <c r="E424" s="1898">
        <v>1384446</v>
      </c>
      <c r="F424" s="1905">
        <v>3628</v>
      </c>
      <c r="G424" s="1906">
        <v>12611</v>
      </c>
      <c r="H424" s="3628">
        <v>8856</v>
      </c>
      <c r="I424" s="1906">
        <v>3174</v>
      </c>
      <c r="J424" s="3628">
        <v>2577</v>
      </c>
      <c r="K424" s="1906">
        <v>5295</v>
      </c>
      <c r="L424" s="3628">
        <v>1665</v>
      </c>
      <c r="M424" s="1906">
        <v>2951</v>
      </c>
      <c r="N424" s="1885">
        <v>2531</v>
      </c>
      <c r="O424" s="2373">
        <f>_xlfn.AGGREGATE(9,6,F424:N424)</f>
        <v>43288</v>
      </c>
      <c r="P424" s="1888">
        <v>33915</v>
      </c>
      <c r="Q424" s="1885">
        <v>5681</v>
      </c>
      <c r="R424" s="1889">
        <v>109088</v>
      </c>
    </row>
    <row r="425" spans="1:22">
      <c r="A425" s="863">
        <f t="shared" si="10"/>
        <v>2025.08</v>
      </c>
      <c r="B425" s="1897"/>
      <c r="C425" s="1902"/>
      <c r="D425" s="3629"/>
      <c r="E425" s="1898">
        <v>1451249</v>
      </c>
      <c r="F425" s="1905">
        <v>4828</v>
      </c>
      <c r="G425" s="1906">
        <v>8081</v>
      </c>
      <c r="H425" s="3628">
        <v>7794</v>
      </c>
      <c r="I425" s="1906">
        <v>5034</v>
      </c>
      <c r="J425" s="3628">
        <v>6651</v>
      </c>
      <c r="K425" s="1906">
        <v>3759</v>
      </c>
      <c r="L425" s="3628">
        <v>636</v>
      </c>
      <c r="M425" s="1906">
        <v>2413</v>
      </c>
      <c r="N425" s="1885">
        <v>2123</v>
      </c>
      <c r="O425" s="2373">
        <f t="shared" ref="O425:O456" si="11">IF(_xlfn.AGGREGATE(9,6,F425:N425)=0,NA(),_xlfn.AGGREGATE(9,6,F425:N425))</f>
        <v>41319</v>
      </c>
      <c r="P425" s="1888">
        <v>17184</v>
      </c>
      <c r="Q425" s="1885">
        <v>4881</v>
      </c>
      <c r="R425" s="1889">
        <v>100383</v>
      </c>
    </row>
    <row r="426" spans="1:22">
      <c r="A426" s="863">
        <f t="shared" si="10"/>
        <v>2025.09</v>
      </c>
      <c r="B426" s="1897"/>
      <c r="C426" s="1902"/>
      <c r="D426" s="3629"/>
      <c r="E426" s="1898">
        <v>1401140</v>
      </c>
      <c r="F426" s="1905">
        <v>1969</v>
      </c>
      <c r="G426" s="1906">
        <v>10947</v>
      </c>
      <c r="H426" s="3628">
        <v>9317</v>
      </c>
      <c r="I426" s="1906">
        <v>3869</v>
      </c>
      <c r="J426" s="3628">
        <v>4288</v>
      </c>
      <c r="K426" s="1906">
        <v>2060</v>
      </c>
      <c r="L426" s="3628">
        <v>1009</v>
      </c>
      <c r="M426" s="1906">
        <v>3264</v>
      </c>
      <c r="N426" s="1885">
        <v>1764</v>
      </c>
      <c r="O426" s="2373">
        <f t="shared" si="11"/>
        <v>38487</v>
      </c>
      <c r="P426" s="1888">
        <v>29262</v>
      </c>
      <c r="Q426" s="1885">
        <v>2173</v>
      </c>
      <c r="R426" s="1889">
        <v>105128</v>
      </c>
    </row>
    <row r="427" spans="1:22">
      <c r="A427" s="863">
        <f t="shared" si="10"/>
        <v>2025.1</v>
      </c>
      <c r="B427" s="1897"/>
      <c r="C427" s="1902"/>
      <c r="D427" s="3629"/>
      <c r="E427" s="1898">
        <v>1601008</v>
      </c>
      <c r="F427" s="1905">
        <v>1643</v>
      </c>
      <c r="G427" s="1906">
        <v>35234</v>
      </c>
      <c r="H427" s="3628">
        <v>11732</v>
      </c>
      <c r="I427" s="1906">
        <v>2274</v>
      </c>
      <c r="J427" s="3628">
        <v>6432</v>
      </c>
      <c r="K427" s="1906">
        <v>4469</v>
      </c>
      <c r="L427" s="3628">
        <v>1192</v>
      </c>
      <c r="M427" s="1906">
        <v>6418</v>
      </c>
      <c r="N427" s="1885">
        <v>1150</v>
      </c>
      <c r="O427" s="2373">
        <f t="shared" si="11"/>
        <v>70544</v>
      </c>
      <c r="P427" s="1888">
        <v>41483</v>
      </c>
      <c r="Q427" s="1885">
        <v>4909</v>
      </c>
      <c r="R427" s="1889">
        <v>161202</v>
      </c>
    </row>
    <row r="428" spans="1:22">
      <c r="A428" s="863">
        <f t="shared" si="10"/>
        <v>2025.11</v>
      </c>
      <c r="B428" s="1897"/>
      <c r="C428" s="1902"/>
      <c r="D428" s="3629"/>
      <c r="E428" s="1898">
        <v>1338203</v>
      </c>
      <c r="F428" s="1905">
        <v>2937</v>
      </c>
      <c r="G428" s="1906">
        <v>8908</v>
      </c>
      <c r="H428" s="3628">
        <v>15957</v>
      </c>
      <c r="I428" s="1906">
        <v>2165</v>
      </c>
      <c r="J428" s="3628">
        <v>1474</v>
      </c>
      <c r="K428" s="1906">
        <v>3351</v>
      </c>
      <c r="L428" s="3628">
        <v>993</v>
      </c>
      <c r="M428" s="1906">
        <v>2839</v>
      </c>
      <c r="N428" s="1885">
        <v>2965</v>
      </c>
      <c r="O428" s="2373">
        <f t="shared" si="11"/>
        <v>41589</v>
      </c>
      <c r="P428" s="1888">
        <v>30329</v>
      </c>
      <c r="Q428" s="1885">
        <v>2585</v>
      </c>
      <c r="R428" s="1889">
        <v>113804</v>
      </c>
    </row>
    <row r="429" spans="1:22">
      <c r="A429" s="863">
        <f t="shared" si="10"/>
        <v>2025.12</v>
      </c>
      <c r="B429" s="1897"/>
      <c r="C429" s="1902"/>
      <c r="D429" s="3629"/>
      <c r="E429" s="1898">
        <v>1445113</v>
      </c>
      <c r="F429" s="1905">
        <v>3754</v>
      </c>
      <c r="G429" s="1906">
        <v>5882</v>
      </c>
      <c r="H429" s="3628">
        <v>9642</v>
      </c>
      <c r="I429" s="1906">
        <v>2291</v>
      </c>
      <c r="J429" s="3628">
        <v>5973</v>
      </c>
      <c r="K429" s="1906">
        <v>9169</v>
      </c>
      <c r="L429" s="3628">
        <v>1569</v>
      </c>
      <c r="M429" s="1906">
        <v>3085</v>
      </c>
      <c r="N429" s="1885">
        <v>4514</v>
      </c>
      <c r="O429" s="2373">
        <f t="shared" si="11"/>
        <v>45879</v>
      </c>
      <c r="P429" s="1888">
        <v>33228</v>
      </c>
      <c r="Q429" s="1885">
        <v>2382</v>
      </c>
      <c r="R429" s="1889">
        <v>117461</v>
      </c>
    </row>
    <row r="430" spans="1:22">
      <c r="A430" s="863">
        <f t="shared" si="10"/>
        <v>2026.01</v>
      </c>
      <c r="B430" s="1897"/>
      <c r="C430" s="1902"/>
      <c r="D430" s="3629"/>
      <c r="E430" s="2955" t="e">
        <v>#N/A</v>
      </c>
      <c r="F430" s="1905">
        <v>2039</v>
      </c>
      <c r="G430" s="1906">
        <v>5709</v>
      </c>
      <c r="H430" s="3628">
        <v>8083</v>
      </c>
      <c r="I430" s="1906">
        <v>3946</v>
      </c>
      <c r="J430" s="3628">
        <v>4729</v>
      </c>
      <c r="K430" s="1906">
        <v>7052</v>
      </c>
      <c r="L430" s="3628">
        <v>1392</v>
      </c>
      <c r="M430" s="1906">
        <v>3047</v>
      </c>
      <c r="N430" s="1885">
        <v>1862</v>
      </c>
      <c r="O430" s="2373">
        <f t="shared" si="11"/>
        <v>37859</v>
      </c>
      <c r="P430" s="1888">
        <v>21257</v>
      </c>
      <c r="Q430" s="1885">
        <v>1751</v>
      </c>
      <c r="R430" s="1889">
        <v>93279</v>
      </c>
    </row>
    <row r="431" spans="1:22">
      <c r="A431" s="863">
        <f t="shared" si="10"/>
        <v>2026.02</v>
      </c>
      <c r="B431" s="1897"/>
      <c r="C431" s="1902"/>
      <c r="D431" s="3629"/>
      <c r="E431" s="2955" t="e">
        <v>#N/A</v>
      </c>
      <c r="F431" s="1905" t="e">
        <v>#N/A</v>
      </c>
      <c r="G431" s="1906" t="e">
        <v>#N/A</v>
      </c>
      <c r="H431" s="3628" t="e">
        <v>#N/A</v>
      </c>
      <c r="I431" s="1906" t="e">
        <v>#N/A</v>
      </c>
      <c r="J431" s="3628" t="e">
        <v>#N/A</v>
      </c>
      <c r="K431" s="1906" t="e">
        <v>#N/A</v>
      </c>
      <c r="L431" s="3628" t="e">
        <v>#N/A</v>
      </c>
      <c r="M431" s="1906" t="e">
        <v>#N/A</v>
      </c>
      <c r="N431" s="1885" t="e">
        <v>#N/A</v>
      </c>
      <c r="O431" s="2373" t="e">
        <f t="shared" si="11"/>
        <v>#N/A</v>
      </c>
      <c r="P431" s="1888" t="e">
        <v>#N/A</v>
      </c>
      <c r="Q431" s="1885" t="e">
        <v>#N/A</v>
      </c>
      <c r="R431" s="1889" t="e">
        <v>#N/A</v>
      </c>
    </row>
    <row r="432" spans="1:22">
      <c r="A432" s="863">
        <f t="shared" si="10"/>
        <v>2026.03</v>
      </c>
      <c r="B432" s="1897"/>
      <c r="C432" s="1902"/>
      <c r="D432" s="3629"/>
      <c r="E432" s="2955" t="e">
        <v>#N/A</v>
      </c>
      <c r="F432" s="1905" t="e">
        <v>#N/A</v>
      </c>
      <c r="G432" s="1906" t="e">
        <v>#N/A</v>
      </c>
      <c r="H432" s="3628" t="e">
        <v>#N/A</v>
      </c>
      <c r="I432" s="1906" t="e">
        <v>#N/A</v>
      </c>
      <c r="J432" s="3628" t="e">
        <v>#N/A</v>
      </c>
      <c r="K432" s="1906" t="e">
        <v>#N/A</v>
      </c>
      <c r="L432" s="3628" t="e">
        <v>#N/A</v>
      </c>
      <c r="M432" s="1906" t="e">
        <v>#N/A</v>
      </c>
      <c r="N432" s="1885" t="e">
        <v>#N/A</v>
      </c>
      <c r="O432" s="2373" t="e">
        <f t="shared" si="11"/>
        <v>#N/A</v>
      </c>
      <c r="P432" s="1888" t="e">
        <v>#N/A</v>
      </c>
      <c r="Q432" s="1885" t="e">
        <v>#N/A</v>
      </c>
      <c r="R432" s="1889" t="e">
        <v>#N/A</v>
      </c>
    </row>
    <row r="433" spans="1:18">
      <c r="A433" s="863">
        <f t="shared" si="10"/>
        <v>2026.04</v>
      </c>
      <c r="B433" s="1897"/>
      <c r="C433" s="1902"/>
      <c r="D433" s="3629"/>
      <c r="E433" s="2955" t="e">
        <v>#N/A</v>
      </c>
      <c r="F433" s="1905" t="e">
        <v>#N/A</v>
      </c>
      <c r="G433" s="1906" t="e">
        <v>#N/A</v>
      </c>
      <c r="H433" s="3628" t="e">
        <v>#N/A</v>
      </c>
      <c r="I433" s="1906" t="e">
        <v>#N/A</v>
      </c>
      <c r="J433" s="3628" t="e">
        <v>#N/A</v>
      </c>
      <c r="K433" s="1906" t="e">
        <v>#N/A</v>
      </c>
      <c r="L433" s="3628" t="e">
        <v>#N/A</v>
      </c>
      <c r="M433" s="1906" t="e">
        <v>#N/A</v>
      </c>
      <c r="N433" s="1885" t="e">
        <v>#N/A</v>
      </c>
      <c r="O433" s="2373" t="e">
        <f t="shared" si="11"/>
        <v>#N/A</v>
      </c>
      <c r="P433" s="1888" t="e">
        <v>#N/A</v>
      </c>
      <c r="Q433" s="1885" t="e">
        <v>#N/A</v>
      </c>
      <c r="R433" s="1889" t="e">
        <v>#N/A</v>
      </c>
    </row>
    <row r="434" spans="1:18">
      <c r="A434" s="863">
        <f t="shared" si="10"/>
        <v>2026.05</v>
      </c>
      <c r="B434" s="1897"/>
      <c r="C434" s="1902"/>
      <c r="D434" s="3629"/>
      <c r="E434" s="2955" t="e">
        <v>#N/A</v>
      </c>
      <c r="F434" s="1905" t="e">
        <v>#N/A</v>
      </c>
      <c r="G434" s="1906" t="e">
        <v>#N/A</v>
      </c>
      <c r="H434" s="3628" t="e">
        <v>#N/A</v>
      </c>
      <c r="I434" s="1906" t="e">
        <v>#N/A</v>
      </c>
      <c r="J434" s="3628" t="e">
        <v>#N/A</v>
      </c>
      <c r="K434" s="1906" t="e">
        <v>#N/A</v>
      </c>
      <c r="L434" s="3628" t="e">
        <v>#N/A</v>
      </c>
      <c r="M434" s="1906" t="e">
        <v>#N/A</v>
      </c>
      <c r="N434" s="1885" t="e">
        <v>#N/A</v>
      </c>
      <c r="O434" s="2373" t="e">
        <f t="shared" si="11"/>
        <v>#N/A</v>
      </c>
      <c r="P434" s="1888" t="e">
        <v>#N/A</v>
      </c>
      <c r="Q434" s="1885" t="e">
        <v>#N/A</v>
      </c>
      <c r="R434" s="1889" t="e">
        <v>#N/A</v>
      </c>
    </row>
    <row r="435" spans="1:18">
      <c r="A435" s="863">
        <f t="shared" si="10"/>
        <v>2026.06</v>
      </c>
      <c r="B435" s="1897"/>
      <c r="C435" s="1902"/>
      <c r="D435" s="3629"/>
      <c r="E435" s="2955" t="e">
        <v>#N/A</v>
      </c>
      <c r="F435" s="1905" t="e">
        <v>#N/A</v>
      </c>
      <c r="G435" s="1906" t="e">
        <v>#N/A</v>
      </c>
      <c r="H435" s="3628" t="e">
        <v>#N/A</v>
      </c>
      <c r="I435" s="1906" t="e">
        <v>#N/A</v>
      </c>
      <c r="J435" s="3628" t="e">
        <v>#N/A</v>
      </c>
      <c r="K435" s="1906" t="e">
        <v>#N/A</v>
      </c>
      <c r="L435" s="3628" t="e">
        <v>#N/A</v>
      </c>
      <c r="M435" s="1906" t="e">
        <v>#N/A</v>
      </c>
      <c r="N435" s="1885" t="e">
        <v>#N/A</v>
      </c>
      <c r="O435" s="2373" t="e">
        <f t="shared" si="11"/>
        <v>#N/A</v>
      </c>
      <c r="P435" s="1888" t="e">
        <v>#N/A</v>
      </c>
      <c r="Q435" s="1885" t="e">
        <v>#N/A</v>
      </c>
      <c r="R435" s="1889" t="e">
        <v>#N/A</v>
      </c>
    </row>
    <row r="436" spans="1:18">
      <c r="A436" s="863">
        <f t="shared" si="10"/>
        <v>2026.07</v>
      </c>
      <c r="B436" s="1897"/>
      <c r="C436" s="1902"/>
      <c r="D436" s="3629"/>
      <c r="E436" s="2955" t="e">
        <v>#N/A</v>
      </c>
      <c r="F436" s="1905" t="e">
        <v>#N/A</v>
      </c>
      <c r="G436" s="1906" t="e">
        <v>#N/A</v>
      </c>
      <c r="H436" s="3628" t="e">
        <v>#N/A</v>
      </c>
      <c r="I436" s="1906" t="e">
        <v>#N/A</v>
      </c>
      <c r="J436" s="3628" t="e">
        <v>#N/A</v>
      </c>
      <c r="K436" s="1906" t="e">
        <v>#N/A</v>
      </c>
      <c r="L436" s="3628" t="e">
        <v>#N/A</v>
      </c>
      <c r="M436" s="1906" t="e">
        <v>#N/A</v>
      </c>
      <c r="N436" s="1885" t="e">
        <v>#N/A</v>
      </c>
      <c r="O436" s="2373" t="e">
        <f t="shared" si="11"/>
        <v>#N/A</v>
      </c>
      <c r="P436" s="1888" t="e">
        <v>#N/A</v>
      </c>
      <c r="Q436" s="1885" t="e">
        <v>#N/A</v>
      </c>
      <c r="R436" s="1889" t="e">
        <v>#N/A</v>
      </c>
    </row>
    <row r="437" spans="1:18">
      <c r="A437" s="863">
        <f t="shared" si="10"/>
        <v>2026.08</v>
      </c>
      <c r="B437" s="1897"/>
      <c r="C437" s="1902"/>
      <c r="D437" s="3629"/>
      <c r="E437" s="2955" t="e">
        <v>#N/A</v>
      </c>
      <c r="F437" s="1905" t="e">
        <v>#N/A</v>
      </c>
      <c r="G437" s="1906" t="e">
        <v>#N/A</v>
      </c>
      <c r="H437" s="3628" t="e">
        <v>#N/A</v>
      </c>
      <c r="I437" s="1906" t="e">
        <v>#N/A</v>
      </c>
      <c r="J437" s="3628" t="e">
        <v>#N/A</v>
      </c>
      <c r="K437" s="1906" t="e">
        <v>#N/A</v>
      </c>
      <c r="L437" s="3628" t="e">
        <v>#N/A</v>
      </c>
      <c r="M437" s="1906" t="e">
        <v>#N/A</v>
      </c>
      <c r="N437" s="1885" t="e">
        <v>#N/A</v>
      </c>
      <c r="O437" s="2373" t="e">
        <f t="shared" si="11"/>
        <v>#N/A</v>
      </c>
      <c r="P437" s="1888" t="e">
        <v>#N/A</v>
      </c>
      <c r="Q437" s="1885" t="e">
        <v>#N/A</v>
      </c>
      <c r="R437" s="1889" t="e">
        <v>#N/A</v>
      </c>
    </row>
    <row r="438" spans="1:18">
      <c r="A438" s="863">
        <f t="shared" si="10"/>
        <v>2026.09</v>
      </c>
      <c r="B438" s="1897"/>
      <c r="C438" s="1902"/>
      <c r="D438" s="3629"/>
      <c r="E438" s="2955" t="e">
        <v>#N/A</v>
      </c>
      <c r="F438" s="1905" t="e">
        <v>#N/A</v>
      </c>
      <c r="G438" s="1906" t="e">
        <v>#N/A</v>
      </c>
      <c r="H438" s="3628" t="e">
        <v>#N/A</v>
      </c>
      <c r="I438" s="1906" t="e">
        <v>#N/A</v>
      </c>
      <c r="J438" s="3628" t="e">
        <v>#N/A</v>
      </c>
      <c r="K438" s="1906" t="e">
        <v>#N/A</v>
      </c>
      <c r="L438" s="3628" t="e">
        <v>#N/A</v>
      </c>
      <c r="M438" s="1906" t="e">
        <v>#N/A</v>
      </c>
      <c r="N438" s="1885" t="e">
        <v>#N/A</v>
      </c>
      <c r="O438" s="2373" t="e">
        <f t="shared" si="11"/>
        <v>#N/A</v>
      </c>
      <c r="P438" s="1888" t="e">
        <v>#N/A</v>
      </c>
      <c r="Q438" s="1885" t="e">
        <v>#N/A</v>
      </c>
      <c r="R438" s="1889" t="e">
        <v>#N/A</v>
      </c>
    </row>
    <row r="439" spans="1:18">
      <c r="A439" s="863">
        <f t="shared" si="10"/>
        <v>2026.1</v>
      </c>
      <c r="B439" s="1897"/>
      <c r="C439" s="1902"/>
      <c r="D439" s="3629"/>
      <c r="E439" s="2955" t="e">
        <v>#N/A</v>
      </c>
      <c r="F439" s="1905" t="e">
        <v>#N/A</v>
      </c>
      <c r="G439" s="1906" t="e">
        <v>#N/A</v>
      </c>
      <c r="H439" s="3628" t="e">
        <v>#N/A</v>
      </c>
      <c r="I439" s="1906" t="e">
        <v>#N/A</v>
      </c>
      <c r="J439" s="3628" t="e">
        <v>#N/A</v>
      </c>
      <c r="K439" s="1906" t="e">
        <v>#N/A</v>
      </c>
      <c r="L439" s="3628" t="e">
        <v>#N/A</v>
      </c>
      <c r="M439" s="1906" t="e">
        <v>#N/A</v>
      </c>
      <c r="N439" s="1885" t="e">
        <v>#N/A</v>
      </c>
      <c r="O439" s="2373" t="e">
        <f t="shared" si="11"/>
        <v>#N/A</v>
      </c>
      <c r="P439" s="1888" t="e">
        <v>#N/A</v>
      </c>
      <c r="Q439" s="1885" t="e">
        <v>#N/A</v>
      </c>
      <c r="R439" s="1889" t="e">
        <v>#N/A</v>
      </c>
    </row>
    <row r="440" spans="1:18">
      <c r="A440" s="863">
        <f t="shared" si="10"/>
        <v>2026.11</v>
      </c>
      <c r="B440" s="1897"/>
      <c r="C440" s="1902"/>
      <c r="D440" s="3629"/>
      <c r="E440" s="2955" t="e">
        <v>#N/A</v>
      </c>
      <c r="F440" s="1905" t="e">
        <v>#N/A</v>
      </c>
      <c r="G440" s="1906" t="e">
        <v>#N/A</v>
      </c>
      <c r="H440" s="3628" t="e">
        <v>#N/A</v>
      </c>
      <c r="I440" s="1906" t="e">
        <v>#N/A</v>
      </c>
      <c r="J440" s="3628" t="e">
        <v>#N/A</v>
      </c>
      <c r="K440" s="1906" t="e">
        <v>#N/A</v>
      </c>
      <c r="L440" s="3628" t="e">
        <v>#N/A</v>
      </c>
      <c r="M440" s="1906" t="e">
        <v>#N/A</v>
      </c>
      <c r="N440" s="1885" t="e">
        <v>#N/A</v>
      </c>
      <c r="O440" s="2373" t="e">
        <f t="shared" si="11"/>
        <v>#N/A</v>
      </c>
      <c r="P440" s="1888" t="e">
        <v>#N/A</v>
      </c>
      <c r="Q440" s="1885" t="e">
        <v>#N/A</v>
      </c>
      <c r="R440" s="1889" t="e">
        <v>#N/A</v>
      </c>
    </row>
    <row r="441" spans="1:18">
      <c r="A441" s="863">
        <f t="shared" si="10"/>
        <v>2026.12</v>
      </c>
      <c r="B441" s="1897"/>
      <c r="C441" s="1902"/>
      <c r="D441" s="3629"/>
      <c r="E441" s="2955" t="e">
        <v>#N/A</v>
      </c>
      <c r="F441" s="1905" t="e">
        <v>#N/A</v>
      </c>
      <c r="G441" s="1906" t="e">
        <v>#N/A</v>
      </c>
      <c r="H441" s="3628" t="e">
        <v>#N/A</v>
      </c>
      <c r="I441" s="1906" t="e">
        <v>#N/A</v>
      </c>
      <c r="J441" s="3628" t="e">
        <v>#N/A</v>
      </c>
      <c r="K441" s="1906" t="e">
        <v>#N/A</v>
      </c>
      <c r="L441" s="3628" t="e">
        <v>#N/A</v>
      </c>
      <c r="M441" s="1906" t="e">
        <v>#N/A</v>
      </c>
      <c r="N441" s="1885" t="e">
        <v>#N/A</v>
      </c>
      <c r="O441" s="2373" t="e">
        <f t="shared" si="11"/>
        <v>#N/A</v>
      </c>
      <c r="P441" s="1888" t="e">
        <v>#N/A</v>
      </c>
      <c r="Q441" s="1885" t="e">
        <v>#N/A</v>
      </c>
      <c r="R441" s="1889" t="e">
        <v>#N/A</v>
      </c>
    </row>
    <row r="442" spans="1:18">
      <c r="A442" s="863">
        <f t="shared" si="10"/>
        <v>2027.01</v>
      </c>
      <c r="B442" s="1897"/>
      <c r="C442" s="1902"/>
      <c r="D442" s="3629"/>
      <c r="E442" s="2955" t="e">
        <v>#N/A</v>
      </c>
      <c r="F442" s="1905" t="e">
        <v>#N/A</v>
      </c>
      <c r="G442" s="1906" t="e">
        <v>#N/A</v>
      </c>
      <c r="H442" s="3628" t="e">
        <v>#N/A</v>
      </c>
      <c r="I442" s="1906" t="e">
        <v>#N/A</v>
      </c>
      <c r="J442" s="3628" t="e">
        <v>#N/A</v>
      </c>
      <c r="K442" s="1906" t="e">
        <v>#N/A</v>
      </c>
      <c r="L442" s="3628" t="e">
        <v>#N/A</v>
      </c>
      <c r="M442" s="1906" t="e">
        <v>#N/A</v>
      </c>
      <c r="N442" s="1885" t="e">
        <v>#N/A</v>
      </c>
      <c r="O442" s="2373" t="e">
        <f t="shared" si="11"/>
        <v>#N/A</v>
      </c>
      <c r="P442" s="1888" t="e">
        <v>#N/A</v>
      </c>
      <c r="Q442" s="1885" t="e">
        <v>#N/A</v>
      </c>
      <c r="R442" s="1889" t="e">
        <v>#N/A</v>
      </c>
    </row>
    <row r="443" spans="1:18">
      <c r="A443" s="863">
        <f t="shared" si="10"/>
        <v>2027.02</v>
      </c>
      <c r="B443" s="1897"/>
      <c r="C443" s="1902"/>
      <c r="D443" s="3629"/>
      <c r="E443" s="2955" t="e">
        <v>#N/A</v>
      </c>
      <c r="F443" s="1905" t="e">
        <v>#N/A</v>
      </c>
      <c r="G443" s="1906" t="e">
        <v>#N/A</v>
      </c>
      <c r="H443" s="3628" t="e">
        <v>#N/A</v>
      </c>
      <c r="I443" s="1906" t="e">
        <v>#N/A</v>
      </c>
      <c r="J443" s="3628" t="e">
        <v>#N/A</v>
      </c>
      <c r="K443" s="1906" t="e">
        <v>#N/A</v>
      </c>
      <c r="L443" s="3628" t="e">
        <v>#N/A</v>
      </c>
      <c r="M443" s="1906" t="e">
        <v>#N/A</v>
      </c>
      <c r="N443" s="1885" t="e">
        <v>#N/A</v>
      </c>
      <c r="O443" s="2373" t="e">
        <f t="shared" si="11"/>
        <v>#N/A</v>
      </c>
      <c r="P443" s="1888" t="e">
        <v>#N/A</v>
      </c>
      <c r="Q443" s="1885" t="e">
        <v>#N/A</v>
      </c>
      <c r="R443" s="1889" t="e">
        <v>#N/A</v>
      </c>
    </row>
    <row r="444" spans="1:18">
      <c r="A444" s="863">
        <f t="shared" si="10"/>
        <v>2027.03</v>
      </c>
      <c r="B444" s="1897"/>
      <c r="C444" s="1902"/>
      <c r="D444" s="3629"/>
      <c r="E444" s="2955" t="e">
        <v>#N/A</v>
      </c>
      <c r="F444" s="1905" t="e">
        <v>#N/A</v>
      </c>
      <c r="G444" s="1906" t="e">
        <v>#N/A</v>
      </c>
      <c r="H444" s="3628" t="e">
        <v>#N/A</v>
      </c>
      <c r="I444" s="1906" t="e">
        <v>#N/A</v>
      </c>
      <c r="J444" s="3628" t="e">
        <v>#N/A</v>
      </c>
      <c r="K444" s="1906" t="e">
        <v>#N/A</v>
      </c>
      <c r="L444" s="3628" t="e">
        <v>#N/A</v>
      </c>
      <c r="M444" s="1906" t="e">
        <v>#N/A</v>
      </c>
      <c r="N444" s="1885" t="e">
        <v>#N/A</v>
      </c>
      <c r="O444" s="2373" t="e">
        <f t="shared" si="11"/>
        <v>#N/A</v>
      </c>
      <c r="P444" s="1888" t="e">
        <v>#N/A</v>
      </c>
      <c r="Q444" s="1885" t="e">
        <v>#N/A</v>
      </c>
      <c r="R444" s="1889" t="e">
        <v>#N/A</v>
      </c>
    </row>
    <row r="445" spans="1:18">
      <c r="A445" s="863">
        <f t="shared" si="10"/>
        <v>2027.04</v>
      </c>
      <c r="B445" s="1897"/>
      <c r="C445" s="1902"/>
      <c r="D445" s="3629"/>
      <c r="E445" s="2955" t="e">
        <v>#N/A</v>
      </c>
      <c r="F445" s="1905" t="e">
        <v>#N/A</v>
      </c>
      <c r="G445" s="1906" t="e">
        <v>#N/A</v>
      </c>
      <c r="H445" s="3628" t="e">
        <v>#N/A</v>
      </c>
      <c r="I445" s="1906" t="e">
        <v>#N/A</v>
      </c>
      <c r="J445" s="3628" t="e">
        <v>#N/A</v>
      </c>
      <c r="K445" s="1906" t="e">
        <v>#N/A</v>
      </c>
      <c r="L445" s="3628" t="e">
        <v>#N/A</v>
      </c>
      <c r="M445" s="1906" t="e">
        <v>#N/A</v>
      </c>
      <c r="N445" s="1885" t="e">
        <v>#N/A</v>
      </c>
      <c r="O445" s="2373" t="e">
        <f t="shared" si="11"/>
        <v>#N/A</v>
      </c>
      <c r="P445" s="1888" t="e">
        <v>#N/A</v>
      </c>
      <c r="Q445" s="1885" t="e">
        <v>#N/A</v>
      </c>
      <c r="R445" s="1889" t="e">
        <v>#N/A</v>
      </c>
    </row>
    <row r="446" spans="1:18">
      <c r="A446" s="863">
        <f t="shared" si="10"/>
        <v>2027.05</v>
      </c>
      <c r="B446" s="1897"/>
      <c r="C446" s="1902"/>
      <c r="D446" s="3629"/>
      <c r="E446" s="2955" t="e">
        <v>#N/A</v>
      </c>
      <c r="F446" s="1905" t="e">
        <v>#N/A</v>
      </c>
      <c r="G446" s="1906" t="e">
        <v>#N/A</v>
      </c>
      <c r="H446" s="3628" t="e">
        <v>#N/A</v>
      </c>
      <c r="I446" s="1906" t="e">
        <v>#N/A</v>
      </c>
      <c r="J446" s="3628" t="e">
        <v>#N/A</v>
      </c>
      <c r="K446" s="1906" t="e">
        <v>#N/A</v>
      </c>
      <c r="L446" s="3628" t="e">
        <v>#N/A</v>
      </c>
      <c r="M446" s="1906" t="e">
        <v>#N/A</v>
      </c>
      <c r="N446" s="1885" t="e">
        <v>#N/A</v>
      </c>
      <c r="O446" s="2373" t="e">
        <f t="shared" si="11"/>
        <v>#N/A</v>
      </c>
      <c r="P446" s="1888" t="e">
        <v>#N/A</v>
      </c>
      <c r="Q446" s="1885" t="e">
        <v>#N/A</v>
      </c>
      <c r="R446" s="1889" t="e">
        <v>#N/A</v>
      </c>
    </row>
    <row r="447" spans="1:18">
      <c r="A447" s="863">
        <f t="shared" si="10"/>
        <v>2027.06</v>
      </c>
      <c r="B447" s="1897"/>
      <c r="C447" s="1902"/>
      <c r="D447" s="3629"/>
      <c r="E447" s="2955" t="e">
        <v>#N/A</v>
      </c>
      <c r="F447" s="1905" t="e">
        <v>#N/A</v>
      </c>
      <c r="G447" s="1906" t="e">
        <v>#N/A</v>
      </c>
      <c r="H447" s="3628" t="e">
        <v>#N/A</v>
      </c>
      <c r="I447" s="1906" t="e">
        <v>#N/A</v>
      </c>
      <c r="J447" s="3628" t="e">
        <v>#N/A</v>
      </c>
      <c r="K447" s="1906" t="e">
        <v>#N/A</v>
      </c>
      <c r="L447" s="3628" t="e">
        <v>#N/A</v>
      </c>
      <c r="M447" s="1906" t="e">
        <v>#N/A</v>
      </c>
      <c r="N447" s="1885" t="e">
        <v>#N/A</v>
      </c>
      <c r="O447" s="2373" t="e">
        <f t="shared" si="11"/>
        <v>#N/A</v>
      </c>
      <c r="P447" s="1888" t="e">
        <v>#N/A</v>
      </c>
      <c r="Q447" s="1885" t="e">
        <v>#N/A</v>
      </c>
      <c r="R447" s="1889" t="e">
        <v>#N/A</v>
      </c>
    </row>
    <row r="448" spans="1:18">
      <c r="A448" s="863">
        <f t="shared" si="10"/>
        <v>2027.07</v>
      </c>
      <c r="B448" s="1897"/>
      <c r="C448" s="1902"/>
      <c r="D448" s="3629"/>
      <c r="E448" s="2955" t="e">
        <v>#N/A</v>
      </c>
      <c r="F448" s="1905" t="e">
        <v>#N/A</v>
      </c>
      <c r="G448" s="1906" t="e">
        <v>#N/A</v>
      </c>
      <c r="H448" s="3628" t="e">
        <v>#N/A</v>
      </c>
      <c r="I448" s="1906" t="e">
        <v>#N/A</v>
      </c>
      <c r="J448" s="3628" t="e">
        <v>#N/A</v>
      </c>
      <c r="K448" s="1906" t="e">
        <v>#N/A</v>
      </c>
      <c r="L448" s="3628" t="e">
        <v>#N/A</v>
      </c>
      <c r="M448" s="1906" t="e">
        <v>#N/A</v>
      </c>
      <c r="N448" s="1885" t="e">
        <v>#N/A</v>
      </c>
      <c r="O448" s="2373" t="e">
        <f t="shared" si="11"/>
        <v>#N/A</v>
      </c>
      <c r="P448" s="1888" t="e">
        <v>#N/A</v>
      </c>
      <c r="Q448" s="1885" t="e">
        <v>#N/A</v>
      </c>
      <c r="R448" s="1889" t="e">
        <v>#N/A</v>
      </c>
    </row>
    <row r="449" spans="1:18">
      <c r="A449" s="863">
        <f t="shared" si="10"/>
        <v>2027.08</v>
      </c>
      <c r="B449" s="1897"/>
      <c r="C449" s="1902"/>
      <c r="D449" s="3629"/>
      <c r="E449" s="2955" t="e">
        <v>#N/A</v>
      </c>
      <c r="F449" s="1905" t="e">
        <v>#N/A</v>
      </c>
      <c r="G449" s="1906" t="e">
        <v>#N/A</v>
      </c>
      <c r="H449" s="3628" t="e">
        <v>#N/A</v>
      </c>
      <c r="I449" s="1906" t="e">
        <v>#N/A</v>
      </c>
      <c r="J449" s="3628" t="e">
        <v>#N/A</v>
      </c>
      <c r="K449" s="1906" t="e">
        <v>#N/A</v>
      </c>
      <c r="L449" s="3628" t="e">
        <v>#N/A</v>
      </c>
      <c r="M449" s="1906" t="e">
        <v>#N/A</v>
      </c>
      <c r="N449" s="1885" t="e">
        <v>#N/A</v>
      </c>
      <c r="O449" s="2373" t="e">
        <f t="shared" si="11"/>
        <v>#N/A</v>
      </c>
      <c r="P449" s="1888" t="e">
        <v>#N/A</v>
      </c>
      <c r="Q449" s="1885" t="e">
        <v>#N/A</v>
      </c>
      <c r="R449" s="1889" t="e">
        <v>#N/A</v>
      </c>
    </row>
    <row r="450" spans="1:18">
      <c r="A450" s="863">
        <f t="shared" si="10"/>
        <v>2027.09</v>
      </c>
      <c r="B450" s="1897"/>
      <c r="C450" s="1902"/>
      <c r="D450" s="3629"/>
      <c r="E450" s="2955" t="e">
        <v>#N/A</v>
      </c>
      <c r="F450" s="1905" t="e">
        <v>#N/A</v>
      </c>
      <c r="G450" s="1906" t="e">
        <v>#N/A</v>
      </c>
      <c r="H450" s="3628" t="e">
        <v>#N/A</v>
      </c>
      <c r="I450" s="1906" t="e">
        <v>#N/A</v>
      </c>
      <c r="J450" s="3628" t="e">
        <v>#N/A</v>
      </c>
      <c r="K450" s="1906" t="e">
        <v>#N/A</v>
      </c>
      <c r="L450" s="3628" t="e">
        <v>#N/A</v>
      </c>
      <c r="M450" s="1906" t="e">
        <v>#N/A</v>
      </c>
      <c r="N450" s="1885" t="e">
        <v>#N/A</v>
      </c>
      <c r="O450" s="2373" t="e">
        <f t="shared" si="11"/>
        <v>#N/A</v>
      </c>
      <c r="P450" s="1888" t="e">
        <v>#N/A</v>
      </c>
      <c r="Q450" s="1885" t="e">
        <v>#N/A</v>
      </c>
      <c r="R450" s="1889" t="e">
        <v>#N/A</v>
      </c>
    </row>
    <row r="451" spans="1:18">
      <c r="A451" s="863">
        <f t="shared" si="10"/>
        <v>2027.1</v>
      </c>
      <c r="B451" s="1897"/>
      <c r="C451" s="1902"/>
      <c r="D451" s="3629"/>
      <c r="E451" s="2955" t="e">
        <v>#N/A</v>
      </c>
      <c r="F451" s="1905" t="e">
        <v>#N/A</v>
      </c>
      <c r="G451" s="1906" t="e">
        <v>#N/A</v>
      </c>
      <c r="H451" s="3628" t="e">
        <v>#N/A</v>
      </c>
      <c r="I451" s="1906" t="e">
        <v>#N/A</v>
      </c>
      <c r="J451" s="3628" t="e">
        <v>#N/A</v>
      </c>
      <c r="K451" s="1906" t="e">
        <v>#N/A</v>
      </c>
      <c r="L451" s="3628" t="e">
        <v>#N/A</v>
      </c>
      <c r="M451" s="1906" t="e">
        <v>#N/A</v>
      </c>
      <c r="N451" s="1885" t="e">
        <v>#N/A</v>
      </c>
      <c r="O451" s="2373" t="e">
        <f t="shared" si="11"/>
        <v>#N/A</v>
      </c>
      <c r="P451" s="1888" t="e">
        <v>#N/A</v>
      </c>
      <c r="Q451" s="1885" t="e">
        <v>#N/A</v>
      </c>
      <c r="R451" s="1889" t="e">
        <v>#N/A</v>
      </c>
    </row>
    <row r="452" spans="1:18">
      <c r="A452" s="863">
        <f t="shared" si="10"/>
        <v>2027.11</v>
      </c>
      <c r="B452" s="1897"/>
      <c r="C452" s="1902"/>
      <c r="D452" s="3629"/>
      <c r="E452" s="2955" t="e">
        <v>#N/A</v>
      </c>
      <c r="F452" s="1905" t="e">
        <v>#N/A</v>
      </c>
      <c r="G452" s="1906" t="e">
        <v>#N/A</v>
      </c>
      <c r="H452" s="3628" t="e">
        <v>#N/A</v>
      </c>
      <c r="I452" s="1906" t="e">
        <v>#N/A</v>
      </c>
      <c r="J452" s="3628" t="e">
        <v>#N/A</v>
      </c>
      <c r="K452" s="1906" t="e">
        <v>#N/A</v>
      </c>
      <c r="L452" s="3628" t="e">
        <v>#N/A</v>
      </c>
      <c r="M452" s="1906" t="e">
        <v>#N/A</v>
      </c>
      <c r="N452" s="1885" t="e">
        <v>#N/A</v>
      </c>
      <c r="O452" s="2373" t="e">
        <f t="shared" si="11"/>
        <v>#N/A</v>
      </c>
      <c r="P452" s="1888" t="e">
        <v>#N/A</v>
      </c>
      <c r="Q452" s="1885" t="e">
        <v>#N/A</v>
      </c>
      <c r="R452" s="1889" t="e">
        <v>#N/A</v>
      </c>
    </row>
    <row r="453" spans="1:18">
      <c r="A453" s="863">
        <f t="shared" si="10"/>
        <v>2027.12</v>
      </c>
      <c r="B453" s="1897"/>
      <c r="C453" s="1902"/>
      <c r="D453" s="3629"/>
      <c r="E453" s="2955" t="e">
        <v>#N/A</v>
      </c>
      <c r="F453" s="1905" t="e">
        <v>#N/A</v>
      </c>
      <c r="G453" s="1906" t="e">
        <v>#N/A</v>
      </c>
      <c r="H453" s="3628" t="e">
        <v>#N/A</v>
      </c>
      <c r="I453" s="1906" t="e">
        <v>#N/A</v>
      </c>
      <c r="J453" s="3628" t="e">
        <v>#N/A</v>
      </c>
      <c r="K453" s="1906" t="e">
        <v>#N/A</v>
      </c>
      <c r="L453" s="3628" t="e">
        <v>#N/A</v>
      </c>
      <c r="M453" s="1906" t="e">
        <v>#N/A</v>
      </c>
      <c r="N453" s="1885" t="e">
        <v>#N/A</v>
      </c>
      <c r="O453" s="2373" t="e">
        <f t="shared" si="11"/>
        <v>#N/A</v>
      </c>
      <c r="P453" s="1888" t="e">
        <v>#N/A</v>
      </c>
      <c r="Q453" s="1885" t="e">
        <v>#N/A</v>
      </c>
      <c r="R453" s="1889" t="e">
        <v>#N/A</v>
      </c>
    </row>
    <row r="454" spans="1:18">
      <c r="A454" s="863">
        <f t="shared" si="10"/>
        <v>2028.01</v>
      </c>
      <c r="B454" s="1897"/>
      <c r="C454" s="1902"/>
      <c r="D454" s="3629"/>
      <c r="E454" s="2955" t="e">
        <v>#N/A</v>
      </c>
      <c r="F454" s="1905" t="e">
        <v>#N/A</v>
      </c>
      <c r="G454" s="1906" t="e">
        <v>#N/A</v>
      </c>
      <c r="H454" s="3628" t="e">
        <v>#N/A</v>
      </c>
      <c r="I454" s="1906" t="e">
        <v>#N/A</v>
      </c>
      <c r="J454" s="3628" t="e">
        <v>#N/A</v>
      </c>
      <c r="K454" s="1906" t="e">
        <v>#N/A</v>
      </c>
      <c r="L454" s="3628" t="e">
        <v>#N/A</v>
      </c>
      <c r="M454" s="1906" t="e">
        <v>#N/A</v>
      </c>
      <c r="N454" s="1885" t="e">
        <v>#N/A</v>
      </c>
      <c r="O454" s="2373" t="e">
        <f t="shared" si="11"/>
        <v>#N/A</v>
      </c>
      <c r="P454" s="1888" t="e">
        <v>#N/A</v>
      </c>
      <c r="Q454" s="1885" t="e">
        <v>#N/A</v>
      </c>
      <c r="R454" s="1889" t="e">
        <v>#N/A</v>
      </c>
    </row>
    <row r="455" spans="1:18">
      <c r="A455" s="863">
        <f t="shared" si="10"/>
        <v>2028.02</v>
      </c>
      <c r="B455" s="1897"/>
      <c r="C455" s="1902"/>
      <c r="D455" s="3629"/>
      <c r="E455" s="2955" t="e">
        <v>#N/A</v>
      </c>
      <c r="F455" s="1905" t="e">
        <v>#N/A</v>
      </c>
      <c r="G455" s="1906" t="e">
        <v>#N/A</v>
      </c>
      <c r="H455" s="3628" t="e">
        <v>#N/A</v>
      </c>
      <c r="I455" s="1906" t="e">
        <v>#N/A</v>
      </c>
      <c r="J455" s="3628" t="e">
        <v>#N/A</v>
      </c>
      <c r="K455" s="1906" t="e">
        <v>#N/A</v>
      </c>
      <c r="L455" s="3628" t="e">
        <v>#N/A</v>
      </c>
      <c r="M455" s="1906" t="e">
        <v>#N/A</v>
      </c>
      <c r="N455" s="1885" t="e">
        <v>#N/A</v>
      </c>
      <c r="O455" s="2373" t="e">
        <f t="shared" si="11"/>
        <v>#N/A</v>
      </c>
      <c r="P455" s="1888" t="e">
        <v>#N/A</v>
      </c>
      <c r="Q455" s="1885" t="e">
        <v>#N/A</v>
      </c>
      <c r="R455" s="1889" t="e">
        <v>#N/A</v>
      </c>
    </row>
    <row r="456" spans="1:18">
      <c r="A456" s="863">
        <f t="shared" si="10"/>
        <v>2028.03</v>
      </c>
      <c r="B456" s="1897"/>
      <c r="C456" s="1902"/>
      <c r="D456" s="3629"/>
      <c r="E456" s="2955" t="e">
        <v>#N/A</v>
      </c>
      <c r="F456" s="1905" t="e">
        <v>#N/A</v>
      </c>
      <c r="G456" s="1906" t="e">
        <v>#N/A</v>
      </c>
      <c r="H456" s="3628" t="e">
        <v>#N/A</v>
      </c>
      <c r="I456" s="1906" t="e">
        <v>#N/A</v>
      </c>
      <c r="J456" s="3628" t="e">
        <v>#N/A</v>
      </c>
      <c r="K456" s="1906" t="e">
        <v>#N/A</v>
      </c>
      <c r="L456" s="3628" t="e">
        <v>#N/A</v>
      </c>
      <c r="M456" s="1906" t="e">
        <v>#N/A</v>
      </c>
      <c r="N456" s="1885" t="e">
        <v>#N/A</v>
      </c>
      <c r="O456" s="2373" t="e">
        <f t="shared" si="11"/>
        <v>#N/A</v>
      </c>
      <c r="P456" s="1888" t="e">
        <v>#N/A</v>
      </c>
      <c r="Q456" s="1885" t="e">
        <v>#N/A</v>
      </c>
      <c r="R456" s="1889" t="e">
        <v>#N/A</v>
      </c>
    </row>
    <row r="457" spans="1:18">
      <c r="A457" s="863">
        <f t="shared" si="10"/>
        <v>2028.04</v>
      </c>
      <c r="B457" s="1897"/>
      <c r="C457" s="1902"/>
      <c r="D457" s="3629"/>
      <c r="E457" s="2955" t="e">
        <v>#N/A</v>
      </c>
      <c r="F457" s="1905" t="e">
        <v>#N/A</v>
      </c>
      <c r="G457" s="1906" t="e">
        <v>#N/A</v>
      </c>
      <c r="H457" s="3628" t="e">
        <v>#N/A</v>
      </c>
      <c r="I457" s="1906" t="e">
        <v>#N/A</v>
      </c>
      <c r="J457" s="3628" t="e">
        <v>#N/A</v>
      </c>
      <c r="K457" s="1906" t="e">
        <v>#N/A</v>
      </c>
      <c r="L457" s="3628" t="e">
        <v>#N/A</v>
      </c>
      <c r="M457" s="1906" t="e">
        <v>#N/A</v>
      </c>
      <c r="N457" s="1885" t="e">
        <v>#N/A</v>
      </c>
      <c r="O457" s="2373" t="e">
        <f t="shared" ref="O457:O488" si="12">IF(_xlfn.AGGREGATE(9,6,F457:N457)=0,NA(),_xlfn.AGGREGATE(9,6,F457:N457))</f>
        <v>#N/A</v>
      </c>
      <c r="P457" s="1888" t="e">
        <v>#N/A</v>
      </c>
      <c r="Q457" s="1885" t="e">
        <v>#N/A</v>
      </c>
      <c r="R457" s="1889" t="e">
        <v>#N/A</v>
      </c>
    </row>
    <row r="458" spans="1:18">
      <c r="A458" s="863">
        <f t="shared" si="10"/>
        <v>2028.05</v>
      </c>
      <c r="B458" s="1897"/>
      <c r="C458" s="1902"/>
      <c r="D458" s="3629"/>
      <c r="E458" s="2955" t="e">
        <v>#N/A</v>
      </c>
      <c r="F458" s="1905" t="e">
        <v>#N/A</v>
      </c>
      <c r="G458" s="1906" t="e">
        <v>#N/A</v>
      </c>
      <c r="H458" s="3628" t="e">
        <v>#N/A</v>
      </c>
      <c r="I458" s="1906" t="e">
        <v>#N/A</v>
      </c>
      <c r="J458" s="3628" t="e">
        <v>#N/A</v>
      </c>
      <c r="K458" s="1906" t="e">
        <v>#N/A</v>
      </c>
      <c r="L458" s="3628" t="e">
        <v>#N/A</v>
      </c>
      <c r="M458" s="1906" t="e">
        <v>#N/A</v>
      </c>
      <c r="N458" s="1885" t="e">
        <v>#N/A</v>
      </c>
      <c r="O458" s="2373" t="e">
        <f t="shared" si="12"/>
        <v>#N/A</v>
      </c>
      <c r="P458" s="1888" t="e">
        <v>#N/A</v>
      </c>
      <c r="Q458" s="1885" t="e">
        <v>#N/A</v>
      </c>
      <c r="R458" s="1889" t="e">
        <v>#N/A</v>
      </c>
    </row>
    <row r="459" spans="1:18">
      <c r="A459" s="863">
        <f t="shared" si="10"/>
        <v>2028.06</v>
      </c>
      <c r="B459" s="1897"/>
      <c r="C459" s="1902"/>
      <c r="D459" s="3629"/>
      <c r="E459" s="2955" t="e">
        <v>#N/A</v>
      </c>
      <c r="F459" s="1905" t="e">
        <v>#N/A</v>
      </c>
      <c r="G459" s="1906" t="e">
        <v>#N/A</v>
      </c>
      <c r="H459" s="3628" t="e">
        <v>#N/A</v>
      </c>
      <c r="I459" s="1906" t="e">
        <v>#N/A</v>
      </c>
      <c r="J459" s="3628" t="e">
        <v>#N/A</v>
      </c>
      <c r="K459" s="1906" t="e">
        <v>#N/A</v>
      </c>
      <c r="L459" s="3628" t="e">
        <v>#N/A</v>
      </c>
      <c r="M459" s="1906" t="e">
        <v>#N/A</v>
      </c>
      <c r="N459" s="1885" t="e">
        <v>#N/A</v>
      </c>
      <c r="O459" s="2373" t="e">
        <f t="shared" si="12"/>
        <v>#N/A</v>
      </c>
      <c r="P459" s="1888" t="e">
        <v>#N/A</v>
      </c>
      <c r="Q459" s="1885" t="e">
        <v>#N/A</v>
      </c>
      <c r="R459" s="1889" t="e">
        <v>#N/A</v>
      </c>
    </row>
    <row r="460" spans="1:18">
      <c r="A460" s="863">
        <f t="shared" si="10"/>
        <v>2028.07</v>
      </c>
      <c r="B460" s="1897"/>
      <c r="C460" s="1902"/>
      <c r="D460" s="3629"/>
      <c r="E460" s="2955" t="e">
        <v>#N/A</v>
      </c>
      <c r="F460" s="1905" t="e">
        <v>#N/A</v>
      </c>
      <c r="G460" s="1906" t="e">
        <v>#N/A</v>
      </c>
      <c r="H460" s="3628" t="e">
        <v>#N/A</v>
      </c>
      <c r="I460" s="1906" t="e">
        <v>#N/A</v>
      </c>
      <c r="J460" s="3628" t="e">
        <v>#N/A</v>
      </c>
      <c r="K460" s="1906" t="e">
        <v>#N/A</v>
      </c>
      <c r="L460" s="3628" t="e">
        <v>#N/A</v>
      </c>
      <c r="M460" s="1906" t="e">
        <v>#N/A</v>
      </c>
      <c r="N460" s="1885" t="e">
        <v>#N/A</v>
      </c>
      <c r="O460" s="2373" t="e">
        <f t="shared" si="12"/>
        <v>#N/A</v>
      </c>
      <c r="P460" s="1888" t="e">
        <v>#N/A</v>
      </c>
      <c r="Q460" s="1885" t="e">
        <v>#N/A</v>
      </c>
      <c r="R460" s="1889" t="e">
        <v>#N/A</v>
      </c>
    </row>
    <row r="461" spans="1:18">
      <c r="A461" s="863">
        <f t="shared" si="10"/>
        <v>2028.08</v>
      </c>
      <c r="B461" s="1897"/>
      <c r="C461" s="1902"/>
      <c r="D461" s="3629"/>
      <c r="E461" s="2955" t="e">
        <v>#N/A</v>
      </c>
      <c r="F461" s="1905" t="e">
        <v>#N/A</v>
      </c>
      <c r="G461" s="1906" t="e">
        <v>#N/A</v>
      </c>
      <c r="H461" s="3628" t="e">
        <v>#N/A</v>
      </c>
      <c r="I461" s="1906" t="e">
        <v>#N/A</v>
      </c>
      <c r="J461" s="3628" t="e">
        <v>#N/A</v>
      </c>
      <c r="K461" s="1906" t="e">
        <v>#N/A</v>
      </c>
      <c r="L461" s="3628" t="e">
        <v>#N/A</v>
      </c>
      <c r="M461" s="1906" t="e">
        <v>#N/A</v>
      </c>
      <c r="N461" s="1885" t="e">
        <v>#N/A</v>
      </c>
      <c r="O461" s="2373" t="e">
        <f t="shared" si="12"/>
        <v>#N/A</v>
      </c>
      <c r="P461" s="1888" t="e">
        <v>#N/A</v>
      </c>
      <c r="Q461" s="1885" t="e">
        <v>#N/A</v>
      </c>
      <c r="R461" s="1889" t="e">
        <v>#N/A</v>
      </c>
    </row>
    <row r="462" spans="1:18">
      <c r="A462" s="863">
        <f t="shared" si="10"/>
        <v>2028.09</v>
      </c>
      <c r="B462" s="1897"/>
      <c r="C462" s="1902"/>
      <c r="D462" s="3629"/>
      <c r="E462" s="2955" t="e">
        <v>#N/A</v>
      </c>
      <c r="F462" s="1905" t="e">
        <v>#N/A</v>
      </c>
      <c r="G462" s="1906" t="e">
        <v>#N/A</v>
      </c>
      <c r="H462" s="3628" t="e">
        <v>#N/A</v>
      </c>
      <c r="I462" s="1906" t="e">
        <v>#N/A</v>
      </c>
      <c r="J462" s="3628" t="e">
        <v>#N/A</v>
      </c>
      <c r="K462" s="1906" t="e">
        <v>#N/A</v>
      </c>
      <c r="L462" s="3628" t="e">
        <v>#N/A</v>
      </c>
      <c r="M462" s="1906" t="e">
        <v>#N/A</v>
      </c>
      <c r="N462" s="1885" t="e">
        <v>#N/A</v>
      </c>
      <c r="O462" s="2373" t="e">
        <f t="shared" si="12"/>
        <v>#N/A</v>
      </c>
      <c r="P462" s="1888" t="e">
        <v>#N/A</v>
      </c>
      <c r="Q462" s="1885" t="e">
        <v>#N/A</v>
      </c>
      <c r="R462" s="1889" t="e">
        <v>#N/A</v>
      </c>
    </row>
    <row r="463" spans="1:18">
      <c r="A463" s="863">
        <f t="shared" si="10"/>
        <v>2028.1</v>
      </c>
      <c r="B463" s="1897"/>
      <c r="C463" s="1902"/>
      <c r="D463" s="3629"/>
      <c r="E463" s="2955" t="e">
        <v>#N/A</v>
      </c>
      <c r="F463" s="1905" t="e">
        <v>#N/A</v>
      </c>
      <c r="G463" s="1906" t="e">
        <v>#N/A</v>
      </c>
      <c r="H463" s="3628" t="e">
        <v>#N/A</v>
      </c>
      <c r="I463" s="1906" t="e">
        <v>#N/A</v>
      </c>
      <c r="J463" s="3628" t="e">
        <v>#N/A</v>
      </c>
      <c r="K463" s="1906" t="e">
        <v>#N/A</v>
      </c>
      <c r="L463" s="3628" t="e">
        <v>#N/A</v>
      </c>
      <c r="M463" s="1906" t="e">
        <v>#N/A</v>
      </c>
      <c r="N463" s="1885" t="e">
        <v>#N/A</v>
      </c>
      <c r="O463" s="2373" t="e">
        <f t="shared" si="12"/>
        <v>#N/A</v>
      </c>
      <c r="P463" s="1888" t="e">
        <v>#N/A</v>
      </c>
      <c r="Q463" s="1885" t="e">
        <v>#N/A</v>
      </c>
      <c r="R463" s="1889" t="e">
        <v>#N/A</v>
      </c>
    </row>
    <row r="464" spans="1:18">
      <c r="A464" s="863">
        <f t="shared" si="10"/>
        <v>2028.11</v>
      </c>
      <c r="B464" s="1897"/>
      <c r="C464" s="1902"/>
      <c r="D464" s="3629"/>
      <c r="E464" s="2955" t="e">
        <v>#N/A</v>
      </c>
      <c r="F464" s="1905" t="e">
        <v>#N/A</v>
      </c>
      <c r="G464" s="1906" t="e">
        <v>#N/A</v>
      </c>
      <c r="H464" s="3628" t="e">
        <v>#N/A</v>
      </c>
      <c r="I464" s="1906" t="e">
        <v>#N/A</v>
      </c>
      <c r="J464" s="3628" t="e">
        <v>#N/A</v>
      </c>
      <c r="K464" s="1906" t="e">
        <v>#N/A</v>
      </c>
      <c r="L464" s="3628" t="e">
        <v>#N/A</v>
      </c>
      <c r="M464" s="1906" t="e">
        <v>#N/A</v>
      </c>
      <c r="N464" s="1885" t="e">
        <v>#N/A</v>
      </c>
      <c r="O464" s="2373" t="e">
        <f t="shared" si="12"/>
        <v>#N/A</v>
      </c>
      <c r="P464" s="1888" t="e">
        <v>#N/A</v>
      </c>
      <c r="Q464" s="1885" t="e">
        <v>#N/A</v>
      </c>
      <c r="R464" s="1889" t="e">
        <v>#N/A</v>
      </c>
    </row>
    <row r="465" spans="1:18">
      <c r="A465" s="863">
        <f t="shared" si="10"/>
        <v>2028.12</v>
      </c>
      <c r="B465" s="1897"/>
      <c r="C465" s="1902"/>
      <c r="D465" s="3629"/>
      <c r="E465" s="2955" t="e">
        <v>#N/A</v>
      </c>
      <c r="F465" s="1905" t="e">
        <v>#N/A</v>
      </c>
      <c r="G465" s="1906" t="e">
        <v>#N/A</v>
      </c>
      <c r="H465" s="3628" t="e">
        <v>#N/A</v>
      </c>
      <c r="I465" s="1906" t="e">
        <v>#N/A</v>
      </c>
      <c r="J465" s="3628" t="e">
        <v>#N/A</v>
      </c>
      <c r="K465" s="1906" t="e">
        <v>#N/A</v>
      </c>
      <c r="L465" s="3628" t="e">
        <v>#N/A</v>
      </c>
      <c r="M465" s="1906" t="e">
        <v>#N/A</v>
      </c>
      <c r="N465" s="1885" t="e">
        <v>#N/A</v>
      </c>
      <c r="O465" s="2373" t="e">
        <f t="shared" si="12"/>
        <v>#N/A</v>
      </c>
      <c r="P465" s="1888" t="e">
        <v>#N/A</v>
      </c>
      <c r="Q465" s="1885" t="e">
        <v>#N/A</v>
      </c>
      <c r="R465" s="1889" t="e">
        <v>#N/A</v>
      </c>
    </row>
    <row r="466" spans="1:18">
      <c r="A466" s="863">
        <f t="shared" si="10"/>
        <v>2029.01</v>
      </c>
      <c r="B466" s="1897"/>
      <c r="C466" s="1902"/>
      <c r="D466" s="3629"/>
      <c r="E466" s="2955" t="e">
        <v>#N/A</v>
      </c>
      <c r="F466" s="1905" t="e">
        <v>#N/A</v>
      </c>
      <c r="G466" s="1906" t="e">
        <v>#N/A</v>
      </c>
      <c r="H466" s="3628" t="e">
        <v>#N/A</v>
      </c>
      <c r="I466" s="1906" t="e">
        <v>#N/A</v>
      </c>
      <c r="J466" s="3628" t="e">
        <v>#N/A</v>
      </c>
      <c r="K466" s="1906" t="e">
        <v>#N/A</v>
      </c>
      <c r="L466" s="3628" t="e">
        <v>#N/A</v>
      </c>
      <c r="M466" s="1906" t="e">
        <v>#N/A</v>
      </c>
      <c r="N466" s="1885" t="e">
        <v>#N/A</v>
      </c>
      <c r="O466" s="2373" t="e">
        <f t="shared" si="12"/>
        <v>#N/A</v>
      </c>
      <c r="P466" s="1888" t="e">
        <v>#N/A</v>
      </c>
      <c r="Q466" s="1885" t="e">
        <v>#N/A</v>
      </c>
      <c r="R466" s="1889" t="e">
        <v>#N/A</v>
      </c>
    </row>
    <row r="467" spans="1:18">
      <c r="A467" s="863">
        <f t="shared" si="10"/>
        <v>2029.02</v>
      </c>
      <c r="B467" s="1897"/>
      <c r="C467" s="1902"/>
      <c r="D467" s="3629"/>
      <c r="E467" s="2955" t="e">
        <v>#N/A</v>
      </c>
      <c r="F467" s="1905" t="e">
        <v>#N/A</v>
      </c>
      <c r="G467" s="1906" t="e">
        <v>#N/A</v>
      </c>
      <c r="H467" s="3628" t="e">
        <v>#N/A</v>
      </c>
      <c r="I467" s="1906" t="e">
        <v>#N/A</v>
      </c>
      <c r="J467" s="3628" t="e">
        <v>#N/A</v>
      </c>
      <c r="K467" s="1906" t="e">
        <v>#N/A</v>
      </c>
      <c r="L467" s="3628" t="e">
        <v>#N/A</v>
      </c>
      <c r="M467" s="1906" t="e">
        <v>#N/A</v>
      </c>
      <c r="N467" s="1885" t="e">
        <v>#N/A</v>
      </c>
      <c r="O467" s="2373" t="e">
        <f t="shared" si="12"/>
        <v>#N/A</v>
      </c>
      <c r="P467" s="1888" t="e">
        <v>#N/A</v>
      </c>
      <c r="Q467" s="1885" t="e">
        <v>#N/A</v>
      </c>
      <c r="R467" s="1889" t="e">
        <v>#N/A</v>
      </c>
    </row>
    <row r="468" spans="1:18">
      <c r="A468" s="863">
        <f t="shared" si="10"/>
        <v>2029.03</v>
      </c>
      <c r="B468" s="1897"/>
      <c r="C468" s="1902"/>
      <c r="D468" s="3629"/>
      <c r="E468" s="2955" t="e">
        <v>#N/A</v>
      </c>
      <c r="F468" s="1905" t="e">
        <v>#N/A</v>
      </c>
      <c r="G468" s="1906" t="e">
        <v>#N/A</v>
      </c>
      <c r="H468" s="3628" t="e">
        <v>#N/A</v>
      </c>
      <c r="I468" s="1906" t="e">
        <v>#N/A</v>
      </c>
      <c r="J468" s="3628" t="e">
        <v>#N/A</v>
      </c>
      <c r="K468" s="1906" t="e">
        <v>#N/A</v>
      </c>
      <c r="L468" s="3628" t="e">
        <v>#N/A</v>
      </c>
      <c r="M468" s="1906" t="e">
        <v>#N/A</v>
      </c>
      <c r="N468" s="1885" t="e">
        <v>#N/A</v>
      </c>
      <c r="O468" s="2373" t="e">
        <f t="shared" si="12"/>
        <v>#N/A</v>
      </c>
      <c r="P468" s="1888" t="e">
        <v>#N/A</v>
      </c>
      <c r="Q468" s="1885" t="e">
        <v>#N/A</v>
      </c>
      <c r="R468" s="1889" t="e">
        <v>#N/A</v>
      </c>
    </row>
    <row r="469" spans="1:18">
      <c r="A469" s="863">
        <f t="shared" si="10"/>
        <v>2029.04</v>
      </c>
      <c r="B469" s="1897"/>
      <c r="C469" s="1902"/>
      <c r="D469" s="3629"/>
      <c r="E469" s="2955" t="e">
        <v>#N/A</v>
      </c>
      <c r="F469" s="1905" t="e">
        <v>#N/A</v>
      </c>
      <c r="G469" s="1906" t="e">
        <v>#N/A</v>
      </c>
      <c r="H469" s="3628" t="e">
        <v>#N/A</v>
      </c>
      <c r="I469" s="1906" t="e">
        <v>#N/A</v>
      </c>
      <c r="J469" s="3628" t="e">
        <v>#N/A</v>
      </c>
      <c r="K469" s="1906" t="e">
        <v>#N/A</v>
      </c>
      <c r="L469" s="3628" t="e">
        <v>#N/A</v>
      </c>
      <c r="M469" s="1906" t="e">
        <v>#N/A</v>
      </c>
      <c r="N469" s="1885" t="e">
        <v>#N/A</v>
      </c>
      <c r="O469" s="2373" t="e">
        <f t="shared" si="12"/>
        <v>#N/A</v>
      </c>
      <c r="P469" s="1888" t="e">
        <v>#N/A</v>
      </c>
      <c r="Q469" s="1885" t="e">
        <v>#N/A</v>
      </c>
      <c r="R469" s="1889" t="e">
        <v>#N/A</v>
      </c>
    </row>
    <row r="470" spans="1:18">
      <c r="A470" s="863">
        <f t="shared" ref="A470:A489" si="13">A458+1</f>
        <v>2029.05</v>
      </c>
      <c r="B470" s="1897"/>
      <c r="C470" s="1902"/>
      <c r="D470" s="3629"/>
      <c r="E470" s="2955" t="e">
        <v>#N/A</v>
      </c>
      <c r="F470" s="1905" t="e">
        <v>#N/A</v>
      </c>
      <c r="G470" s="1906" t="e">
        <v>#N/A</v>
      </c>
      <c r="H470" s="3628" t="e">
        <v>#N/A</v>
      </c>
      <c r="I470" s="1906" t="e">
        <v>#N/A</v>
      </c>
      <c r="J470" s="3628" t="e">
        <v>#N/A</v>
      </c>
      <c r="K470" s="1906" t="e">
        <v>#N/A</v>
      </c>
      <c r="L470" s="3628" t="e">
        <v>#N/A</v>
      </c>
      <c r="M470" s="1906" t="e">
        <v>#N/A</v>
      </c>
      <c r="N470" s="1885" t="e">
        <v>#N/A</v>
      </c>
      <c r="O470" s="2373" t="e">
        <f t="shared" si="12"/>
        <v>#N/A</v>
      </c>
      <c r="P470" s="1888" t="e">
        <v>#N/A</v>
      </c>
      <c r="Q470" s="1885" t="e">
        <v>#N/A</v>
      </c>
      <c r="R470" s="1889" t="e">
        <v>#N/A</v>
      </c>
    </row>
    <row r="471" spans="1:18">
      <c r="A471" s="863">
        <f t="shared" si="13"/>
        <v>2029.06</v>
      </c>
      <c r="B471" s="1897"/>
      <c r="C471" s="1902"/>
      <c r="D471" s="3629"/>
      <c r="E471" s="2955" t="e">
        <v>#N/A</v>
      </c>
      <c r="F471" s="1905" t="e">
        <v>#N/A</v>
      </c>
      <c r="G471" s="1906" t="e">
        <v>#N/A</v>
      </c>
      <c r="H471" s="3628" t="e">
        <v>#N/A</v>
      </c>
      <c r="I471" s="1906" t="e">
        <v>#N/A</v>
      </c>
      <c r="J471" s="3628" t="e">
        <v>#N/A</v>
      </c>
      <c r="K471" s="1906" t="e">
        <v>#N/A</v>
      </c>
      <c r="L471" s="3628" t="e">
        <v>#N/A</v>
      </c>
      <c r="M471" s="1906" t="e">
        <v>#N/A</v>
      </c>
      <c r="N471" s="1885" t="e">
        <v>#N/A</v>
      </c>
      <c r="O471" s="2373" t="e">
        <f t="shared" si="12"/>
        <v>#N/A</v>
      </c>
      <c r="P471" s="1888" t="e">
        <v>#N/A</v>
      </c>
      <c r="Q471" s="1885" t="e">
        <v>#N/A</v>
      </c>
      <c r="R471" s="1889" t="e">
        <v>#N/A</v>
      </c>
    </row>
    <row r="472" spans="1:18">
      <c r="A472" s="863">
        <f t="shared" si="13"/>
        <v>2029.07</v>
      </c>
      <c r="B472" s="1897"/>
      <c r="C472" s="1902"/>
      <c r="D472" s="3629"/>
      <c r="E472" s="2955" t="e">
        <v>#N/A</v>
      </c>
      <c r="F472" s="1905" t="e">
        <v>#N/A</v>
      </c>
      <c r="G472" s="1906" t="e">
        <v>#N/A</v>
      </c>
      <c r="H472" s="3628" t="e">
        <v>#N/A</v>
      </c>
      <c r="I472" s="1906" t="e">
        <v>#N/A</v>
      </c>
      <c r="J472" s="3628" t="e">
        <v>#N/A</v>
      </c>
      <c r="K472" s="1906" t="e">
        <v>#N/A</v>
      </c>
      <c r="L472" s="3628" t="e">
        <v>#N/A</v>
      </c>
      <c r="M472" s="1906" t="e">
        <v>#N/A</v>
      </c>
      <c r="N472" s="1885" t="e">
        <v>#N/A</v>
      </c>
      <c r="O472" s="2373" t="e">
        <f t="shared" si="12"/>
        <v>#N/A</v>
      </c>
      <c r="P472" s="1888" t="e">
        <v>#N/A</v>
      </c>
      <c r="Q472" s="1885" t="e">
        <v>#N/A</v>
      </c>
      <c r="R472" s="1889" t="e">
        <v>#N/A</v>
      </c>
    </row>
    <row r="473" spans="1:18">
      <c r="A473" s="863">
        <f t="shared" si="13"/>
        <v>2029.08</v>
      </c>
      <c r="B473" s="1897"/>
      <c r="C473" s="1902"/>
      <c r="D473" s="3629"/>
      <c r="E473" s="2955" t="e">
        <v>#N/A</v>
      </c>
      <c r="F473" s="1905" t="e">
        <v>#N/A</v>
      </c>
      <c r="G473" s="1906" t="e">
        <v>#N/A</v>
      </c>
      <c r="H473" s="3628" t="e">
        <v>#N/A</v>
      </c>
      <c r="I473" s="1906" t="e">
        <v>#N/A</v>
      </c>
      <c r="J473" s="3628" t="e">
        <v>#N/A</v>
      </c>
      <c r="K473" s="1906" t="e">
        <v>#N/A</v>
      </c>
      <c r="L473" s="3628" t="e">
        <v>#N/A</v>
      </c>
      <c r="M473" s="1906" t="e">
        <v>#N/A</v>
      </c>
      <c r="N473" s="1885" t="e">
        <v>#N/A</v>
      </c>
      <c r="O473" s="2373" t="e">
        <f t="shared" si="12"/>
        <v>#N/A</v>
      </c>
      <c r="P473" s="1888" t="e">
        <v>#N/A</v>
      </c>
      <c r="Q473" s="1885" t="e">
        <v>#N/A</v>
      </c>
      <c r="R473" s="1889" t="e">
        <v>#N/A</v>
      </c>
    </row>
    <row r="474" spans="1:18">
      <c r="A474" s="863">
        <f t="shared" si="13"/>
        <v>2029.09</v>
      </c>
      <c r="B474" s="1897"/>
      <c r="C474" s="1902"/>
      <c r="D474" s="3629"/>
      <c r="E474" s="2955" t="e">
        <v>#N/A</v>
      </c>
      <c r="F474" s="1905" t="e">
        <v>#N/A</v>
      </c>
      <c r="G474" s="1906" t="e">
        <v>#N/A</v>
      </c>
      <c r="H474" s="3628" t="e">
        <v>#N/A</v>
      </c>
      <c r="I474" s="1906" t="e">
        <v>#N/A</v>
      </c>
      <c r="J474" s="3628" t="e">
        <v>#N/A</v>
      </c>
      <c r="K474" s="1906" t="e">
        <v>#N/A</v>
      </c>
      <c r="L474" s="3628" t="e">
        <v>#N/A</v>
      </c>
      <c r="M474" s="1906" t="e">
        <v>#N/A</v>
      </c>
      <c r="N474" s="1885" t="e">
        <v>#N/A</v>
      </c>
      <c r="O474" s="2373" t="e">
        <f t="shared" si="12"/>
        <v>#N/A</v>
      </c>
      <c r="P474" s="1888" t="e">
        <v>#N/A</v>
      </c>
      <c r="Q474" s="1885" t="e">
        <v>#N/A</v>
      </c>
      <c r="R474" s="1889" t="e">
        <v>#N/A</v>
      </c>
    </row>
    <row r="475" spans="1:18">
      <c r="A475" s="863">
        <f t="shared" si="13"/>
        <v>2029.1</v>
      </c>
      <c r="B475" s="1897"/>
      <c r="C475" s="1902"/>
      <c r="D475" s="3629"/>
      <c r="E475" s="2955" t="e">
        <v>#N/A</v>
      </c>
      <c r="F475" s="1905" t="e">
        <v>#N/A</v>
      </c>
      <c r="G475" s="1906" t="e">
        <v>#N/A</v>
      </c>
      <c r="H475" s="3628" t="e">
        <v>#N/A</v>
      </c>
      <c r="I475" s="1906" t="e">
        <v>#N/A</v>
      </c>
      <c r="J475" s="3628" t="e">
        <v>#N/A</v>
      </c>
      <c r="K475" s="1906" t="e">
        <v>#N/A</v>
      </c>
      <c r="L475" s="3628" t="e">
        <v>#N/A</v>
      </c>
      <c r="M475" s="1906" t="e">
        <v>#N/A</v>
      </c>
      <c r="N475" s="1885" t="e">
        <v>#N/A</v>
      </c>
      <c r="O475" s="2373" t="e">
        <f t="shared" si="12"/>
        <v>#N/A</v>
      </c>
      <c r="P475" s="1888" t="e">
        <v>#N/A</v>
      </c>
      <c r="Q475" s="1885" t="e">
        <v>#N/A</v>
      </c>
      <c r="R475" s="1889" t="e">
        <v>#N/A</v>
      </c>
    </row>
    <row r="476" spans="1:18">
      <c r="A476" s="863">
        <f t="shared" si="13"/>
        <v>2029.11</v>
      </c>
      <c r="B476" s="1897"/>
      <c r="C476" s="1902"/>
      <c r="D476" s="3629"/>
      <c r="E476" s="2955" t="e">
        <v>#N/A</v>
      </c>
      <c r="F476" s="1905" t="e">
        <v>#N/A</v>
      </c>
      <c r="G476" s="1906" t="e">
        <v>#N/A</v>
      </c>
      <c r="H476" s="3628" t="e">
        <v>#N/A</v>
      </c>
      <c r="I476" s="1906" t="e">
        <v>#N/A</v>
      </c>
      <c r="J476" s="3628" t="e">
        <v>#N/A</v>
      </c>
      <c r="K476" s="1906" t="e">
        <v>#N/A</v>
      </c>
      <c r="L476" s="3628" t="e">
        <v>#N/A</v>
      </c>
      <c r="M476" s="1906" t="e">
        <v>#N/A</v>
      </c>
      <c r="N476" s="1885" t="e">
        <v>#N/A</v>
      </c>
      <c r="O476" s="2373" t="e">
        <f t="shared" si="12"/>
        <v>#N/A</v>
      </c>
      <c r="P476" s="1888" t="e">
        <v>#N/A</v>
      </c>
      <c r="Q476" s="1885" t="e">
        <v>#N/A</v>
      </c>
      <c r="R476" s="1889" t="e">
        <v>#N/A</v>
      </c>
    </row>
    <row r="477" spans="1:18">
      <c r="A477" s="863">
        <f t="shared" si="13"/>
        <v>2029.12</v>
      </c>
      <c r="B477" s="1897"/>
      <c r="C477" s="1902"/>
      <c r="D477" s="3629"/>
      <c r="E477" s="2955" t="e">
        <v>#N/A</v>
      </c>
      <c r="F477" s="1905" t="e">
        <v>#N/A</v>
      </c>
      <c r="G477" s="1906" t="e">
        <v>#N/A</v>
      </c>
      <c r="H477" s="3628" t="e">
        <v>#N/A</v>
      </c>
      <c r="I477" s="1906" t="e">
        <v>#N/A</v>
      </c>
      <c r="J477" s="3628" t="e">
        <v>#N/A</v>
      </c>
      <c r="K477" s="1906" t="e">
        <v>#N/A</v>
      </c>
      <c r="L477" s="3628" t="e">
        <v>#N/A</v>
      </c>
      <c r="M477" s="1906" t="e">
        <v>#N/A</v>
      </c>
      <c r="N477" s="1885" t="e">
        <v>#N/A</v>
      </c>
      <c r="O477" s="2373" t="e">
        <f t="shared" si="12"/>
        <v>#N/A</v>
      </c>
      <c r="P477" s="1888" t="e">
        <v>#N/A</v>
      </c>
      <c r="Q477" s="1885" t="e">
        <v>#N/A</v>
      </c>
      <c r="R477" s="1889" t="e">
        <v>#N/A</v>
      </c>
    </row>
    <row r="478" spans="1:18">
      <c r="A478" s="863">
        <f t="shared" si="13"/>
        <v>2030.01</v>
      </c>
      <c r="B478" s="1897"/>
      <c r="C478" s="1902"/>
      <c r="D478" s="3629"/>
      <c r="E478" s="2955" t="e">
        <v>#N/A</v>
      </c>
      <c r="F478" s="1905" t="e">
        <v>#N/A</v>
      </c>
      <c r="G478" s="1906" t="e">
        <v>#N/A</v>
      </c>
      <c r="H478" s="3628" t="e">
        <v>#N/A</v>
      </c>
      <c r="I478" s="1906" t="e">
        <v>#N/A</v>
      </c>
      <c r="J478" s="3628" t="e">
        <v>#N/A</v>
      </c>
      <c r="K478" s="1906" t="e">
        <v>#N/A</v>
      </c>
      <c r="L478" s="3628" t="e">
        <v>#N/A</v>
      </c>
      <c r="M478" s="1906" t="e">
        <v>#N/A</v>
      </c>
      <c r="N478" s="1885" t="e">
        <v>#N/A</v>
      </c>
      <c r="O478" s="2373" t="e">
        <f t="shared" si="12"/>
        <v>#N/A</v>
      </c>
      <c r="P478" s="1888" t="e">
        <v>#N/A</v>
      </c>
      <c r="Q478" s="1885" t="e">
        <v>#N/A</v>
      </c>
      <c r="R478" s="1889" t="e">
        <v>#N/A</v>
      </c>
    </row>
    <row r="479" spans="1:18">
      <c r="A479" s="863">
        <f t="shared" si="13"/>
        <v>2030.02</v>
      </c>
      <c r="B479" s="1897"/>
      <c r="C479" s="1902"/>
      <c r="D479" s="3629"/>
      <c r="E479" s="2955" t="e">
        <v>#N/A</v>
      </c>
      <c r="F479" s="1905" t="e">
        <v>#N/A</v>
      </c>
      <c r="G479" s="1906" t="e">
        <v>#N/A</v>
      </c>
      <c r="H479" s="3628" t="e">
        <v>#N/A</v>
      </c>
      <c r="I479" s="1906" t="e">
        <v>#N/A</v>
      </c>
      <c r="J479" s="3628" t="e">
        <v>#N/A</v>
      </c>
      <c r="K479" s="1906" t="e">
        <v>#N/A</v>
      </c>
      <c r="L479" s="3628" t="e">
        <v>#N/A</v>
      </c>
      <c r="M479" s="1906" t="e">
        <v>#N/A</v>
      </c>
      <c r="N479" s="1885" t="e">
        <v>#N/A</v>
      </c>
      <c r="O479" s="2373" t="e">
        <f t="shared" si="12"/>
        <v>#N/A</v>
      </c>
      <c r="P479" s="1888" t="e">
        <v>#N/A</v>
      </c>
      <c r="Q479" s="1885" t="e">
        <v>#N/A</v>
      </c>
      <c r="R479" s="1889" t="e">
        <v>#N/A</v>
      </c>
    </row>
    <row r="480" spans="1:18">
      <c r="A480" s="863">
        <f t="shared" si="13"/>
        <v>2030.03</v>
      </c>
      <c r="B480" s="1897"/>
      <c r="C480" s="1902"/>
      <c r="D480" s="3629"/>
      <c r="E480" s="2955" t="e">
        <v>#N/A</v>
      </c>
      <c r="F480" s="1905" t="e">
        <v>#N/A</v>
      </c>
      <c r="G480" s="1906" t="e">
        <v>#N/A</v>
      </c>
      <c r="H480" s="3628" t="e">
        <v>#N/A</v>
      </c>
      <c r="I480" s="1906" t="e">
        <v>#N/A</v>
      </c>
      <c r="J480" s="3628" t="e">
        <v>#N/A</v>
      </c>
      <c r="K480" s="1906" t="e">
        <v>#N/A</v>
      </c>
      <c r="L480" s="3628" t="e">
        <v>#N/A</v>
      </c>
      <c r="M480" s="1906" t="e">
        <v>#N/A</v>
      </c>
      <c r="N480" s="1885" t="e">
        <v>#N/A</v>
      </c>
      <c r="O480" s="2373" t="e">
        <f t="shared" si="12"/>
        <v>#N/A</v>
      </c>
      <c r="P480" s="1888" t="e">
        <v>#N/A</v>
      </c>
      <c r="Q480" s="1885" t="e">
        <v>#N/A</v>
      </c>
      <c r="R480" s="1889" t="e">
        <v>#N/A</v>
      </c>
    </row>
    <row r="481" spans="1:31">
      <c r="A481" s="863">
        <f t="shared" si="13"/>
        <v>2030.04</v>
      </c>
      <c r="B481" s="1897"/>
      <c r="C481" s="1902"/>
      <c r="D481" s="3629"/>
      <c r="E481" s="2955" t="e">
        <v>#N/A</v>
      </c>
      <c r="F481" s="1905" t="e">
        <v>#N/A</v>
      </c>
      <c r="G481" s="1906" t="e">
        <v>#N/A</v>
      </c>
      <c r="H481" s="3628" t="e">
        <v>#N/A</v>
      </c>
      <c r="I481" s="1906" t="e">
        <v>#N/A</v>
      </c>
      <c r="J481" s="3628" t="e">
        <v>#N/A</v>
      </c>
      <c r="K481" s="1906" t="e">
        <v>#N/A</v>
      </c>
      <c r="L481" s="3628" t="e">
        <v>#N/A</v>
      </c>
      <c r="M481" s="1906" t="e">
        <v>#N/A</v>
      </c>
      <c r="N481" s="1885" t="e">
        <v>#N/A</v>
      </c>
      <c r="O481" s="2373" t="e">
        <f t="shared" si="12"/>
        <v>#N/A</v>
      </c>
      <c r="P481" s="1888" t="e">
        <v>#N/A</v>
      </c>
      <c r="Q481" s="1885" t="e">
        <v>#N/A</v>
      </c>
      <c r="R481" s="1889" t="e">
        <v>#N/A</v>
      </c>
    </row>
    <row r="482" spans="1:31">
      <c r="A482" s="863">
        <f t="shared" si="13"/>
        <v>2030.05</v>
      </c>
      <c r="B482" s="1897"/>
      <c r="C482" s="1902"/>
      <c r="D482" s="3629"/>
      <c r="E482" s="2955" t="e">
        <v>#N/A</v>
      </c>
      <c r="F482" s="1905" t="e">
        <v>#N/A</v>
      </c>
      <c r="G482" s="1906" t="e">
        <v>#N/A</v>
      </c>
      <c r="H482" s="3628" t="e">
        <v>#N/A</v>
      </c>
      <c r="I482" s="1906" t="e">
        <v>#N/A</v>
      </c>
      <c r="J482" s="3628" t="e">
        <v>#N/A</v>
      </c>
      <c r="K482" s="1906" t="e">
        <v>#N/A</v>
      </c>
      <c r="L482" s="3628" t="e">
        <v>#N/A</v>
      </c>
      <c r="M482" s="1906" t="e">
        <v>#N/A</v>
      </c>
      <c r="N482" s="1885" t="e">
        <v>#N/A</v>
      </c>
      <c r="O482" s="2373" t="e">
        <f t="shared" si="12"/>
        <v>#N/A</v>
      </c>
      <c r="P482" s="1888" t="e">
        <v>#N/A</v>
      </c>
      <c r="Q482" s="1885" t="e">
        <v>#N/A</v>
      </c>
      <c r="R482" s="1889" t="e">
        <v>#N/A</v>
      </c>
    </row>
    <row r="483" spans="1:31">
      <c r="A483" s="863">
        <f t="shared" si="13"/>
        <v>2030.06</v>
      </c>
      <c r="B483" s="1897"/>
      <c r="C483" s="1902"/>
      <c r="D483" s="3629"/>
      <c r="E483" s="2955" t="e">
        <v>#N/A</v>
      </c>
      <c r="F483" s="1905" t="e">
        <v>#N/A</v>
      </c>
      <c r="G483" s="1906" t="e">
        <v>#N/A</v>
      </c>
      <c r="H483" s="3628" t="e">
        <v>#N/A</v>
      </c>
      <c r="I483" s="1906" t="e">
        <v>#N/A</v>
      </c>
      <c r="J483" s="3628" t="e">
        <v>#N/A</v>
      </c>
      <c r="K483" s="1906" t="e">
        <v>#N/A</v>
      </c>
      <c r="L483" s="3628" t="e">
        <v>#N/A</v>
      </c>
      <c r="M483" s="1906" t="e">
        <v>#N/A</v>
      </c>
      <c r="N483" s="1885" t="e">
        <v>#N/A</v>
      </c>
      <c r="O483" s="2373" t="e">
        <f t="shared" si="12"/>
        <v>#N/A</v>
      </c>
      <c r="P483" s="1888" t="e">
        <v>#N/A</v>
      </c>
      <c r="Q483" s="1885" t="e">
        <v>#N/A</v>
      </c>
      <c r="R483" s="1889" t="e">
        <v>#N/A</v>
      </c>
    </row>
    <row r="484" spans="1:31">
      <c r="A484" s="863">
        <f t="shared" si="13"/>
        <v>2030.07</v>
      </c>
      <c r="B484" s="1897"/>
      <c r="C484" s="1902"/>
      <c r="D484" s="3629"/>
      <c r="E484" s="2955" t="e">
        <v>#N/A</v>
      </c>
      <c r="F484" s="1905" t="e">
        <v>#N/A</v>
      </c>
      <c r="G484" s="1906" t="e">
        <v>#N/A</v>
      </c>
      <c r="H484" s="3628" t="e">
        <v>#N/A</v>
      </c>
      <c r="I484" s="1906" t="e">
        <v>#N/A</v>
      </c>
      <c r="J484" s="3628" t="e">
        <v>#N/A</v>
      </c>
      <c r="K484" s="1906" t="e">
        <v>#N/A</v>
      </c>
      <c r="L484" s="3628" t="e">
        <v>#N/A</v>
      </c>
      <c r="M484" s="1906" t="e">
        <v>#N/A</v>
      </c>
      <c r="N484" s="1885" t="e">
        <v>#N/A</v>
      </c>
      <c r="O484" s="2373" t="e">
        <f t="shared" si="12"/>
        <v>#N/A</v>
      </c>
      <c r="P484" s="1888" t="e">
        <v>#N/A</v>
      </c>
      <c r="Q484" s="1885" t="e">
        <v>#N/A</v>
      </c>
      <c r="R484" s="1889" t="e">
        <v>#N/A</v>
      </c>
    </row>
    <row r="485" spans="1:31">
      <c r="A485" s="863">
        <f t="shared" si="13"/>
        <v>2030.08</v>
      </c>
      <c r="B485" s="1897"/>
      <c r="C485" s="1902"/>
      <c r="D485" s="3629"/>
      <c r="E485" s="2955" t="e">
        <v>#N/A</v>
      </c>
      <c r="F485" s="1905" t="e">
        <v>#N/A</v>
      </c>
      <c r="G485" s="1906" t="e">
        <v>#N/A</v>
      </c>
      <c r="H485" s="3628" t="e">
        <v>#N/A</v>
      </c>
      <c r="I485" s="1906" t="e">
        <v>#N/A</v>
      </c>
      <c r="J485" s="3628" t="e">
        <v>#N/A</v>
      </c>
      <c r="K485" s="1906" t="e">
        <v>#N/A</v>
      </c>
      <c r="L485" s="3628" t="e">
        <v>#N/A</v>
      </c>
      <c r="M485" s="1906" t="e">
        <v>#N/A</v>
      </c>
      <c r="N485" s="1885" t="e">
        <v>#N/A</v>
      </c>
      <c r="O485" s="2373" t="e">
        <f t="shared" si="12"/>
        <v>#N/A</v>
      </c>
      <c r="P485" s="1888" t="e">
        <v>#N/A</v>
      </c>
      <c r="Q485" s="1885" t="e">
        <v>#N/A</v>
      </c>
      <c r="R485" s="1889" t="e">
        <v>#N/A</v>
      </c>
    </row>
    <row r="486" spans="1:31">
      <c r="A486" s="863">
        <f t="shared" si="13"/>
        <v>2030.09</v>
      </c>
      <c r="B486" s="1897"/>
      <c r="C486" s="1902"/>
      <c r="D486" s="3629"/>
      <c r="E486" s="2955" t="e">
        <v>#N/A</v>
      </c>
      <c r="F486" s="1905" t="e">
        <v>#N/A</v>
      </c>
      <c r="G486" s="1906" t="e">
        <v>#N/A</v>
      </c>
      <c r="H486" s="3628" t="e">
        <v>#N/A</v>
      </c>
      <c r="I486" s="1906" t="e">
        <v>#N/A</v>
      </c>
      <c r="J486" s="3628" t="e">
        <v>#N/A</v>
      </c>
      <c r="K486" s="1906" t="e">
        <v>#N/A</v>
      </c>
      <c r="L486" s="3628" t="e">
        <v>#N/A</v>
      </c>
      <c r="M486" s="1906" t="e">
        <v>#N/A</v>
      </c>
      <c r="N486" s="1885" t="e">
        <v>#N/A</v>
      </c>
      <c r="O486" s="2373" t="e">
        <f t="shared" si="12"/>
        <v>#N/A</v>
      </c>
      <c r="P486" s="1888" t="e">
        <v>#N/A</v>
      </c>
      <c r="Q486" s="1885" t="e">
        <v>#N/A</v>
      </c>
      <c r="R486" s="1889" t="e">
        <v>#N/A</v>
      </c>
    </row>
    <row r="487" spans="1:31">
      <c r="A487" s="863">
        <f t="shared" si="13"/>
        <v>2030.1</v>
      </c>
      <c r="B487" s="1897"/>
      <c r="C487" s="1902"/>
      <c r="D487" s="3629"/>
      <c r="E487" s="2955" t="e">
        <v>#N/A</v>
      </c>
      <c r="F487" s="1905" t="e">
        <v>#N/A</v>
      </c>
      <c r="G487" s="1906" t="e">
        <v>#N/A</v>
      </c>
      <c r="H487" s="3628" t="e">
        <v>#N/A</v>
      </c>
      <c r="I487" s="1906" t="e">
        <v>#N/A</v>
      </c>
      <c r="J487" s="3628" t="e">
        <v>#N/A</v>
      </c>
      <c r="K487" s="1906" t="e">
        <v>#N/A</v>
      </c>
      <c r="L487" s="3628" t="e">
        <v>#N/A</v>
      </c>
      <c r="M487" s="1906" t="e">
        <v>#N/A</v>
      </c>
      <c r="N487" s="1885" t="e">
        <v>#N/A</v>
      </c>
      <c r="O487" s="2373" t="e">
        <f t="shared" si="12"/>
        <v>#N/A</v>
      </c>
      <c r="P487" s="1888" t="e">
        <v>#N/A</v>
      </c>
      <c r="Q487" s="1885" t="e">
        <v>#N/A</v>
      </c>
      <c r="R487" s="1889" t="e">
        <v>#N/A</v>
      </c>
    </row>
    <row r="488" spans="1:31">
      <c r="A488" s="863">
        <f t="shared" si="13"/>
        <v>2030.11</v>
      </c>
      <c r="B488" s="1897"/>
      <c r="C488" s="1902"/>
      <c r="D488" s="3629"/>
      <c r="E488" s="2955" t="e">
        <v>#N/A</v>
      </c>
      <c r="F488" s="1905" t="e">
        <v>#N/A</v>
      </c>
      <c r="G488" s="1906" t="e">
        <v>#N/A</v>
      </c>
      <c r="H488" s="3628" t="e">
        <v>#N/A</v>
      </c>
      <c r="I488" s="1906" t="e">
        <v>#N/A</v>
      </c>
      <c r="J488" s="3628" t="e">
        <v>#N/A</v>
      </c>
      <c r="K488" s="1906" t="e">
        <v>#N/A</v>
      </c>
      <c r="L488" s="3628" t="e">
        <v>#N/A</v>
      </c>
      <c r="M488" s="1906" t="e">
        <v>#N/A</v>
      </c>
      <c r="N488" s="1885" t="e">
        <v>#N/A</v>
      </c>
      <c r="O488" s="2373" t="e">
        <f t="shared" si="12"/>
        <v>#N/A</v>
      </c>
      <c r="P488" s="1888" t="e">
        <v>#N/A</v>
      </c>
      <c r="Q488" s="1885" t="e">
        <v>#N/A</v>
      </c>
      <c r="R488" s="1889" t="e">
        <v>#N/A</v>
      </c>
    </row>
    <row r="489" spans="1:31">
      <c r="A489" s="863">
        <f t="shared" si="13"/>
        <v>2030.12</v>
      </c>
      <c r="B489" s="1897"/>
      <c r="C489" s="1902"/>
      <c r="D489" s="3629"/>
      <c r="E489" s="2955" t="e">
        <v>#N/A</v>
      </c>
      <c r="F489" s="1905" t="e">
        <v>#N/A</v>
      </c>
      <c r="G489" s="1906" t="e">
        <v>#N/A</v>
      </c>
      <c r="H489" s="3628" t="e">
        <v>#N/A</v>
      </c>
      <c r="I489" s="1906" t="e">
        <v>#N/A</v>
      </c>
      <c r="J489" s="3628" t="e">
        <v>#N/A</v>
      </c>
      <c r="K489" s="1906" t="e">
        <v>#N/A</v>
      </c>
      <c r="L489" s="3628" t="e">
        <v>#N/A</v>
      </c>
      <c r="M489" s="1906" t="e">
        <v>#N/A</v>
      </c>
      <c r="N489" s="1885" t="e">
        <v>#N/A</v>
      </c>
      <c r="O489" s="2373" t="e">
        <f t="shared" ref="O489" si="14">IF(_xlfn.AGGREGATE(9,6,F489:N489)=0,NA(),_xlfn.AGGREGATE(9,6,F489:N489))</f>
        <v>#N/A</v>
      </c>
      <c r="P489" s="1888" t="e">
        <v>#N/A</v>
      </c>
      <c r="Q489" s="1885" t="e">
        <v>#N/A</v>
      </c>
      <c r="R489" s="1889" t="e">
        <v>#N/A</v>
      </c>
    </row>
    <row r="490" spans="1:31">
      <c r="S490" s="193"/>
      <c r="T490" s="193"/>
      <c r="U490" s="193"/>
      <c r="V490" s="193"/>
      <c r="W490" s="193"/>
      <c r="X490" s="193"/>
      <c r="Y490" s="193"/>
      <c r="Z490" s="193"/>
      <c r="AA490" s="193"/>
      <c r="AB490" s="193"/>
      <c r="AC490" s="193"/>
      <c r="AD490" s="193"/>
      <c r="AE490" s="193"/>
    </row>
  </sheetData>
  <mergeCells count="1">
    <mergeCell ref="B4:C4"/>
  </mergeCells>
  <phoneticPr fontId="242" type="noConversion"/>
  <hyperlinks>
    <hyperlink ref="A5" location="INDICE!A13" display="VOLVER AL INDICE" xr:uid="{00000000-0004-0000-1900-000000000000}"/>
  </hyperlinks>
  <pageMargins left="0.75" right="0.75" top="1" bottom="1" header="0" footer="0"/>
  <pageSetup paperSize="9" orientation="portrait" horizontalDpi="4294967294" verticalDpi="300" r:id="rId1"/>
  <headerFooter alignWithMargins="0"/>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4">
    <pageSetUpPr autoPageBreaks="0"/>
  </sheetPr>
  <dimension ref="A1:AB453"/>
  <sheetViews>
    <sheetView zoomScale="120" zoomScaleNormal="120" workbookViewId="0">
      <pane xSplit="1" ySplit="9" topLeftCell="B10" activePane="bottomRight" state="frozen"/>
      <selection pane="topRight" activeCell="B1" sqref="B1"/>
      <selection pane="bottomLeft" activeCell="A10" sqref="A10"/>
      <selection pane="bottomRight" activeCell="A5" sqref="A5"/>
    </sheetView>
  </sheetViews>
  <sheetFormatPr baseColWidth="10" defaultColWidth="11.42578125" defaultRowHeight="12.75"/>
  <cols>
    <col min="1" max="1" width="10.42578125" style="52" bestFit="1" customWidth="1"/>
    <col min="2" max="17" width="11.5703125" style="52" customWidth="1"/>
    <col min="18" max="18" width="28.42578125" style="955" customWidth="1"/>
    <col min="19" max="16384" width="11.42578125" style="166"/>
  </cols>
  <sheetData>
    <row r="1" spans="1:18" ht="14.25" customHeight="1">
      <c r="A1" s="2761"/>
      <c r="B1" s="12"/>
      <c r="C1" s="12"/>
      <c r="D1" s="12"/>
      <c r="E1" s="12"/>
      <c r="F1" s="12"/>
      <c r="G1" s="12"/>
      <c r="H1" s="980"/>
      <c r="I1" s="12"/>
      <c r="J1" s="12"/>
      <c r="K1" s="12"/>
      <c r="L1" s="12"/>
      <c r="M1" s="12"/>
      <c r="N1" s="980"/>
      <c r="O1" s="12"/>
      <c r="P1" s="12"/>
      <c r="Q1" s="12"/>
      <c r="R1" s="3436"/>
    </row>
    <row r="2" spans="1:18" ht="22.5">
      <c r="A2" s="2762" t="s">
        <v>99</v>
      </c>
      <c r="B2" s="321" t="s">
        <v>1113</v>
      </c>
      <c r="C2" s="320"/>
      <c r="D2" s="320"/>
      <c r="E2" s="69"/>
      <c r="F2" s="69"/>
      <c r="G2" s="69"/>
      <c r="H2" s="2742" t="s">
        <v>1114</v>
      </c>
      <c r="I2" s="320"/>
      <c r="J2" s="320"/>
      <c r="K2" s="69"/>
      <c r="L2" s="69"/>
      <c r="M2" s="69"/>
      <c r="N2" s="2742" t="s">
        <v>1115</v>
      </c>
      <c r="O2" s="69"/>
      <c r="P2" s="69"/>
      <c r="Q2" s="69"/>
      <c r="R2" s="3437" t="s">
        <v>1116</v>
      </c>
    </row>
    <row r="3" spans="1:18" ht="22.5">
      <c r="A3" s="2762" t="s">
        <v>193</v>
      </c>
      <c r="B3" s="321" t="s">
        <v>121</v>
      </c>
      <c r="C3" s="320"/>
      <c r="D3" s="320"/>
      <c r="E3" s="69"/>
      <c r="F3" s="69"/>
      <c r="G3" s="69"/>
      <c r="H3" s="2742" t="s">
        <v>121</v>
      </c>
      <c r="I3" s="320"/>
      <c r="J3" s="320"/>
      <c r="K3" s="69"/>
      <c r="L3" s="69"/>
      <c r="M3" s="69"/>
      <c r="N3" s="2742" t="s">
        <v>135</v>
      </c>
      <c r="O3" s="69"/>
      <c r="P3" s="69"/>
      <c r="Q3" s="69"/>
      <c r="R3" s="3437" t="s">
        <v>1117</v>
      </c>
    </row>
    <row r="4" spans="1:18" ht="1.5" hidden="1" customHeight="1">
      <c r="A4" s="2762"/>
      <c r="B4" s="148"/>
      <c r="C4" s="69"/>
      <c r="D4" s="69"/>
      <c r="E4" s="69"/>
      <c r="F4" s="69"/>
      <c r="G4" s="69"/>
      <c r="H4" s="2824"/>
      <c r="I4" s="69"/>
      <c r="J4" s="69"/>
      <c r="K4" s="69"/>
      <c r="L4" s="69"/>
      <c r="M4" s="69"/>
      <c r="N4" s="2824"/>
      <c r="O4" s="69"/>
      <c r="P4" s="69"/>
      <c r="Q4" s="69"/>
      <c r="R4" s="3438"/>
    </row>
    <row r="5" spans="1:18" ht="22.5">
      <c r="A5" s="2867" t="s">
        <v>140</v>
      </c>
      <c r="B5" s="147" t="s">
        <v>1118</v>
      </c>
      <c r="C5" s="2824"/>
      <c r="D5" s="2824"/>
      <c r="E5" s="2824" t="s">
        <v>1119</v>
      </c>
      <c r="F5" s="2824"/>
      <c r="G5" s="2816"/>
      <c r="H5" s="133" t="s">
        <v>1118</v>
      </c>
      <c r="I5" s="2824"/>
      <c r="J5" s="2824"/>
      <c r="K5" s="2824" t="s">
        <v>1119</v>
      </c>
      <c r="L5" s="2824"/>
      <c r="M5" s="2824"/>
      <c r="N5" s="2816" t="s">
        <v>1120</v>
      </c>
      <c r="O5" s="2824"/>
      <c r="P5" s="2824"/>
      <c r="Q5" s="2824"/>
      <c r="R5" s="3439" t="s">
        <v>1121</v>
      </c>
    </row>
    <row r="6" spans="1:18" ht="1.5" hidden="1" customHeight="1">
      <c r="A6" s="2762"/>
      <c r="B6" s="148"/>
      <c r="C6" s="69"/>
      <c r="D6" s="69"/>
      <c r="E6" s="69"/>
      <c r="F6" s="69"/>
      <c r="G6" s="69"/>
      <c r="H6" s="2824"/>
      <c r="I6" s="69"/>
      <c r="J6" s="69"/>
      <c r="K6" s="69"/>
      <c r="L6" s="69"/>
      <c r="M6" s="69"/>
      <c r="N6" s="2824"/>
      <c r="O6" s="69"/>
      <c r="P6" s="69"/>
      <c r="Q6" s="69"/>
      <c r="R6" s="3438"/>
    </row>
    <row r="7" spans="1:18" ht="33.75">
      <c r="A7" s="2762" t="s">
        <v>125</v>
      </c>
      <c r="B7" s="580" t="s">
        <v>1122</v>
      </c>
      <c r="C7" s="583" t="s">
        <v>1123</v>
      </c>
      <c r="D7" s="581" t="s">
        <v>1124</v>
      </c>
      <c r="E7" s="2726" t="s">
        <v>1122</v>
      </c>
      <c r="F7" s="583" t="s">
        <v>1123</v>
      </c>
      <c r="G7" s="581" t="s">
        <v>1124</v>
      </c>
      <c r="H7" s="2726" t="s">
        <v>1122</v>
      </c>
      <c r="I7" s="583" t="s">
        <v>1123</v>
      </c>
      <c r="J7" s="581" t="s">
        <v>1124</v>
      </c>
      <c r="K7" s="2726" t="s">
        <v>1122</v>
      </c>
      <c r="L7" s="583" t="s">
        <v>1123</v>
      </c>
      <c r="M7" s="969" t="s">
        <v>1124</v>
      </c>
      <c r="N7" s="2727" t="s">
        <v>1125</v>
      </c>
      <c r="O7" s="1008" t="s">
        <v>1126</v>
      </c>
      <c r="P7" s="1008" t="s">
        <v>1127</v>
      </c>
      <c r="Q7" s="1205" t="s">
        <v>1128</v>
      </c>
      <c r="R7" s="3440" t="s">
        <v>1129</v>
      </c>
    </row>
    <row r="8" spans="1:18">
      <c r="A8" s="2751" t="s">
        <v>144</v>
      </c>
      <c r="B8" s="1750" t="s">
        <v>1130</v>
      </c>
      <c r="C8" s="2157" t="s">
        <v>1131</v>
      </c>
      <c r="D8" s="1751" t="s">
        <v>1132</v>
      </c>
      <c r="E8" s="2797" t="s">
        <v>1133</v>
      </c>
      <c r="F8" s="2157" t="s">
        <v>1134</v>
      </c>
      <c r="G8" s="1751" t="s">
        <v>1135</v>
      </c>
      <c r="H8" s="1750" t="s">
        <v>1136</v>
      </c>
      <c r="I8" s="2157" t="s">
        <v>1137</v>
      </c>
      <c r="J8" s="1751" t="s">
        <v>1138</v>
      </c>
      <c r="K8" s="2797" t="s">
        <v>1139</v>
      </c>
      <c r="L8" s="2157" t="s">
        <v>1140</v>
      </c>
      <c r="M8" s="1750" t="s">
        <v>1141</v>
      </c>
      <c r="N8" s="2798" t="s">
        <v>1142</v>
      </c>
      <c r="O8" s="2158" t="s">
        <v>1143</v>
      </c>
      <c r="P8" s="2158" t="s">
        <v>1144</v>
      </c>
      <c r="Q8" s="3434" t="s">
        <v>1145</v>
      </c>
      <c r="R8" s="3441" t="s">
        <v>1146</v>
      </c>
    </row>
    <row r="9" spans="1:18" ht="13.5" thickBot="1">
      <c r="A9" s="2140"/>
      <c r="B9" s="1425"/>
      <c r="C9" s="1244"/>
      <c r="D9" s="460"/>
      <c r="E9" s="1361"/>
      <c r="F9" s="1362"/>
      <c r="G9" s="1322"/>
      <c r="H9" s="573"/>
      <c r="I9" s="1244"/>
      <c r="J9" s="460"/>
      <c r="K9" s="1361"/>
      <c r="L9" s="1362"/>
      <c r="M9" s="1322"/>
      <c r="N9" s="1758"/>
      <c r="O9" s="1759"/>
      <c r="P9" s="1759"/>
      <c r="Q9" s="3435"/>
      <c r="R9" s="3442"/>
    </row>
    <row r="10" spans="1:18">
      <c r="A10" s="57">
        <v>1994.01</v>
      </c>
      <c r="B10" s="159">
        <v>6206.22888725129</v>
      </c>
      <c r="C10" s="660"/>
      <c r="D10" s="666"/>
      <c r="E10" s="47">
        <v>6811.1466810337452</v>
      </c>
      <c r="F10" s="587"/>
      <c r="G10" s="585"/>
      <c r="H10" s="47">
        <v>64045.02346638772</v>
      </c>
      <c r="I10" s="660"/>
      <c r="J10" s="666"/>
      <c r="K10" s="47">
        <v>65946.470126120184</v>
      </c>
      <c r="L10" s="587"/>
      <c r="M10" s="977"/>
      <c r="N10" s="1009"/>
      <c r="O10" s="587"/>
      <c r="P10" s="587"/>
      <c r="Q10" s="977"/>
      <c r="R10" s="3443"/>
    </row>
    <row r="11" spans="1:18">
      <c r="A11" s="53">
        <v>1994.02</v>
      </c>
      <c r="B11" s="49">
        <v>3035.309358879882</v>
      </c>
      <c r="C11" s="3630"/>
      <c r="D11" s="113"/>
      <c r="E11" s="584">
        <v>5827.1701814698881</v>
      </c>
      <c r="F11" s="3631"/>
      <c r="G11" s="582"/>
      <c r="H11" s="584">
        <v>34202.994125157304</v>
      </c>
      <c r="I11" s="3630"/>
      <c r="J11" s="113"/>
      <c r="K11" s="584">
        <v>53811.394568509626</v>
      </c>
      <c r="L11" s="3631"/>
      <c r="M11" s="978"/>
      <c r="N11" s="1010"/>
      <c r="O11" s="3631"/>
      <c r="P11" s="3631"/>
      <c r="Q11" s="978"/>
      <c r="R11" s="3444"/>
    </row>
    <row r="12" spans="1:18">
      <c r="A12" s="53">
        <v>1994.03</v>
      </c>
      <c r="B12" s="49">
        <v>3003.4704495210021</v>
      </c>
      <c r="C12" s="3630"/>
      <c r="D12" s="113"/>
      <c r="E12" s="584">
        <v>6179.9387346708399</v>
      </c>
      <c r="F12" s="3631"/>
      <c r="G12" s="582"/>
      <c r="H12" s="584">
        <v>33899.655641538069</v>
      </c>
      <c r="I12" s="3630"/>
      <c r="J12" s="113"/>
      <c r="K12" s="584">
        <v>57710.663784921104</v>
      </c>
      <c r="L12" s="3631"/>
      <c r="M12" s="978"/>
      <c r="N12" s="1010"/>
      <c r="O12" s="3631"/>
      <c r="P12" s="3631"/>
      <c r="Q12" s="978"/>
      <c r="R12" s="3444"/>
    </row>
    <row r="13" spans="1:18">
      <c r="A13" s="53">
        <v>1994.04</v>
      </c>
      <c r="B13" s="49">
        <v>3341.9062638172441</v>
      </c>
      <c r="C13" s="3630"/>
      <c r="D13" s="113"/>
      <c r="E13" s="584">
        <v>4464.4689140882892</v>
      </c>
      <c r="F13" s="3631"/>
      <c r="G13" s="582"/>
      <c r="H13" s="584">
        <v>40106.550081615424</v>
      </c>
      <c r="I13" s="3630"/>
      <c r="J13" s="113"/>
      <c r="K13" s="584">
        <v>45845.192728897469</v>
      </c>
      <c r="L13" s="3631"/>
      <c r="M13" s="978"/>
      <c r="N13" s="1010"/>
      <c r="O13" s="3631"/>
      <c r="P13" s="3631"/>
      <c r="Q13" s="978"/>
      <c r="R13" s="3444"/>
    </row>
    <row r="14" spans="1:18">
      <c r="A14" s="53">
        <v>1994.05</v>
      </c>
      <c r="B14" s="49">
        <v>3366.6698599852616</v>
      </c>
      <c r="C14" s="3630"/>
      <c r="D14" s="113"/>
      <c r="E14" s="584">
        <v>5489.7393914515878</v>
      </c>
      <c r="F14" s="3631"/>
      <c r="G14" s="582"/>
      <c r="H14" s="584">
        <v>41118.573940913077</v>
      </c>
      <c r="I14" s="3630"/>
      <c r="J14" s="113"/>
      <c r="K14" s="584">
        <v>52533.723616592841</v>
      </c>
      <c r="L14" s="3631"/>
      <c r="M14" s="978"/>
      <c r="N14" s="1010"/>
      <c r="O14" s="3631"/>
      <c r="P14" s="3631"/>
      <c r="Q14" s="978"/>
      <c r="R14" s="3444"/>
    </row>
    <row r="15" spans="1:18">
      <c r="A15" s="53">
        <v>1994.06</v>
      </c>
      <c r="B15" s="49">
        <v>3161.485777450258</v>
      </c>
      <c r="C15" s="3630"/>
      <c r="D15" s="113"/>
      <c r="E15" s="584">
        <v>5061.4618502745134</v>
      </c>
      <c r="F15" s="3631"/>
      <c r="G15" s="582"/>
      <c r="H15" s="584">
        <v>37089.629010750148</v>
      </c>
      <c r="I15" s="3630"/>
      <c r="J15" s="582"/>
      <c r="K15" s="584">
        <v>48030.099173401803</v>
      </c>
      <c r="L15" s="3631"/>
      <c r="M15" s="978"/>
      <c r="N15" s="1010"/>
      <c r="O15" s="3631"/>
      <c r="P15" s="3631"/>
      <c r="Q15" s="978"/>
      <c r="R15" s="3444"/>
    </row>
    <row r="16" spans="1:18">
      <c r="A16" s="53">
        <v>1994.07</v>
      </c>
      <c r="B16" s="49">
        <v>3871.375534266765</v>
      </c>
      <c r="C16" s="3630"/>
      <c r="D16" s="113"/>
      <c r="E16" s="584">
        <v>5568.7878632390921</v>
      </c>
      <c r="F16" s="3631"/>
      <c r="G16" s="582"/>
      <c r="H16" s="584">
        <v>46790.141230891815</v>
      </c>
      <c r="I16" s="3630"/>
      <c r="J16" s="582"/>
      <c r="K16" s="584">
        <v>51053.269280076907</v>
      </c>
      <c r="L16" s="3631"/>
      <c r="M16" s="978"/>
      <c r="N16" s="1010"/>
      <c r="O16" s="3631"/>
      <c r="P16" s="3631"/>
      <c r="Q16" s="978"/>
      <c r="R16" s="3444"/>
    </row>
    <row r="17" spans="1:19">
      <c r="A17" s="53">
        <v>1994.08</v>
      </c>
      <c r="B17" s="49">
        <v>3407.942520265291</v>
      </c>
      <c r="C17" s="3630"/>
      <c r="D17" s="113"/>
      <c r="E17" s="584">
        <v>6208.2546051618856</v>
      </c>
      <c r="F17" s="3631"/>
      <c r="G17" s="582"/>
      <c r="H17" s="584">
        <v>43764.073520604943</v>
      </c>
      <c r="I17" s="3630"/>
      <c r="J17" s="582"/>
      <c r="K17" s="584">
        <v>57708.447658174009</v>
      </c>
      <c r="L17" s="3631"/>
      <c r="M17" s="978"/>
      <c r="N17" s="1010"/>
      <c r="O17" s="3631"/>
      <c r="P17" s="3631"/>
      <c r="Q17" s="978"/>
      <c r="R17" s="3444"/>
    </row>
    <row r="18" spans="1:19">
      <c r="A18" s="53">
        <v>1994.09</v>
      </c>
      <c r="B18" s="49">
        <v>3722.7939572586588</v>
      </c>
      <c r="C18" s="3630"/>
      <c r="D18" s="113"/>
      <c r="E18" s="584">
        <v>5671.4328937691344</v>
      </c>
      <c r="F18" s="3631"/>
      <c r="G18" s="582"/>
      <c r="H18" s="584">
        <v>46987.126662609655</v>
      </c>
      <c r="I18" s="3630"/>
      <c r="J18" s="582"/>
      <c r="K18" s="584">
        <v>54978.944776587268</v>
      </c>
      <c r="L18" s="3631"/>
      <c r="M18" s="978"/>
      <c r="N18" s="1010"/>
      <c r="O18" s="3631"/>
      <c r="P18" s="3631"/>
      <c r="Q18" s="978"/>
      <c r="R18" s="3444"/>
    </row>
    <row r="19" spans="1:19">
      <c r="A19" s="53">
        <v>1994.1</v>
      </c>
      <c r="B19" s="49">
        <v>3521.1475313190863</v>
      </c>
      <c r="C19" s="3630"/>
      <c r="D19" s="113"/>
      <c r="E19" s="584">
        <v>5717.4461833170844</v>
      </c>
      <c r="F19" s="3631"/>
      <c r="G19" s="582"/>
      <c r="H19" s="584">
        <v>45744.372309635226</v>
      </c>
      <c r="I19" s="3630"/>
      <c r="J19" s="582"/>
      <c r="K19" s="584">
        <v>55504.376118879016</v>
      </c>
      <c r="L19" s="3631"/>
      <c r="M19" s="978"/>
      <c r="N19" s="1010"/>
      <c r="O19" s="3631"/>
      <c r="P19" s="3631"/>
      <c r="Q19" s="978"/>
      <c r="R19" s="3444"/>
    </row>
    <row r="20" spans="1:19">
      <c r="A20" s="53">
        <v>1994.11</v>
      </c>
      <c r="B20" s="49">
        <v>2163.8666175386884</v>
      </c>
      <c r="C20" s="3630"/>
      <c r="D20" s="113"/>
      <c r="E20" s="584">
        <v>5665.5337540834998</v>
      </c>
      <c r="F20" s="3631"/>
      <c r="G20" s="582"/>
      <c r="H20" s="584">
        <v>31748.762819710428</v>
      </c>
      <c r="I20" s="3630"/>
      <c r="J20" s="582"/>
      <c r="K20" s="584">
        <v>58347.318265692687</v>
      </c>
      <c r="L20" s="3631"/>
      <c r="M20" s="978"/>
      <c r="N20" s="1010"/>
      <c r="O20" s="3631"/>
      <c r="P20" s="3631"/>
      <c r="Q20" s="978"/>
      <c r="R20" s="3444"/>
    </row>
    <row r="21" spans="1:19">
      <c r="A21" s="53">
        <v>1994.12</v>
      </c>
      <c r="B21" s="49">
        <v>1202.8032424465734</v>
      </c>
      <c r="C21" s="3630"/>
      <c r="D21" s="113"/>
      <c r="E21" s="584">
        <v>6315.6189474404364</v>
      </c>
      <c r="F21" s="3631"/>
      <c r="G21" s="582"/>
      <c r="H21" s="584">
        <v>20838.097190186229</v>
      </c>
      <c r="I21" s="3630"/>
      <c r="J21" s="582"/>
      <c r="K21" s="584">
        <v>61890.099902147093</v>
      </c>
      <c r="L21" s="3631"/>
      <c r="M21" s="978"/>
      <c r="N21" s="1010"/>
      <c r="O21" s="3631"/>
      <c r="P21" s="3631"/>
      <c r="Q21" s="978"/>
      <c r="R21" s="3444"/>
    </row>
    <row r="22" spans="1:19">
      <c r="A22" s="53">
        <v>1995.01</v>
      </c>
      <c r="B22" s="49">
        <v>7052</v>
      </c>
      <c r="C22" s="3630"/>
      <c r="D22" s="113"/>
      <c r="E22" s="584">
        <v>5773</v>
      </c>
      <c r="F22" s="3631"/>
      <c r="G22" s="582"/>
      <c r="H22" s="584">
        <v>73615</v>
      </c>
      <c r="I22" s="3630"/>
      <c r="J22" s="582"/>
      <c r="K22" s="584">
        <v>58528</v>
      </c>
      <c r="L22" s="3631"/>
      <c r="M22" s="978"/>
      <c r="N22" s="1010"/>
      <c r="O22" s="3631"/>
      <c r="P22" s="3631"/>
      <c r="Q22" s="978"/>
      <c r="R22" s="3444"/>
      <c r="S22" s="954"/>
    </row>
    <row r="23" spans="1:19">
      <c r="A23" s="53">
        <v>1995.02</v>
      </c>
      <c r="B23" s="49">
        <v>2963</v>
      </c>
      <c r="C23" s="3630"/>
      <c r="D23" s="113"/>
      <c r="E23" s="584">
        <v>4939</v>
      </c>
      <c r="F23" s="3631"/>
      <c r="G23" s="582"/>
      <c r="H23" s="584">
        <v>36138</v>
      </c>
      <c r="I23" s="3630"/>
      <c r="J23" s="582"/>
      <c r="K23" s="584">
        <v>47662</v>
      </c>
      <c r="L23" s="3631"/>
      <c r="M23" s="978"/>
      <c r="N23" s="1010"/>
      <c r="O23" s="3631"/>
      <c r="P23" s="3631"/>
      <c r="Q23" s="978"/>
      <c r="R23" s="3444"/>
      <c r="S23" s="954"/>
    </row>
    <row r="24" spans="1:19">
      <c r="A24" s="53">
        <v>1995.03</v>
      </c>
      <c r="B24" s="49">
        <v>3293</v>
      </c>
      <c r="C24" s="3630"/>
      <c r="D24" s="113"/>
      <c r="E24" s="584">
        <v>5238</v>
      </c>
      <c r="F24" s="3631"/>
      <c r="G24" s="582"/>
      <c r="H24" s="223">
        <v>41110</v>
      </c>
      <c r="I24" s="3630"/>
      <c r="J24" s="582"/>
      <c r="K24" s="223">
        <v>50983</v>
      </c>
      <c r="L24" s="3553"/>
      <c r="M24" s="588"/>
      <c r="N24" s="1011"/>
      <c r="O24" s="3553"/>
      <c r="P24" s="3553"/>
      <c r="Q24" s="588"/>
      <c r="R24" s="3444"/>
      <c r="S24" s="954"/>
    </row>
    <row r="25" spans="1:19">
      <c r="A25" s="53">
        <v>1995.04</v>
      </c>
      <c r="B25" s="49">
        <v>2304</v>
      </c>
      <c r="C25" s="3630"/>
      <c r="D25" s="113"/>
      <c r="E25" s="223">
        <v>3784</v>
      </c>
      <c r="F25" s="3553"/>
      <c r="G25" s="586"/>
      <c r="H25" s="223">
        <v>30375</v>
      </c>
      <c r="I25" s="3630"/>
      <c r="J25" s="582"/>
      <c r="K25" s="223">
        <v>40659</v>
      </c>
      <c r="L25" s="3553"/>
      <c r="M25" s="588"/>
      <c r="N25" s="1011"/>
      <c r="O25" s="3553"/>
      <c r="P25" s="3553"/>
      <c r="Q25" s="588"/>
      <c r="R25" s="3444"/>
      <c r="S25" s="954"/>
    </row>
    <row r="26" spans="1:19">
      <c r="A26" s="53">
        <v>1995.05</v>
      </c>
      <c r="B26" s="49">
        <v>2121</v>
      </c>
      <c r="C26" s="3630"/>
      <c r="D26" s="113"/>
      <c r="E26" s="223">
        <v>4653</v>
      </c>
      <c r="F26" s="3553"/>
      <c r="G26" s="586"/>
      <c r="H26" s="223">
        <v>28833</v>
      </c>
      <c r="I26" s="3630"/>
      <c r="J26" s="582"/>
      <c r="K26" s="223">
        <v>46585</v>
      </c>
      <c r="L26" s="3553"/>
      <c r="M26" s="588"/>
      <c r="N26" s="1011"/>
      <c r="O26" s="3553"/>
      <c r="P26" s="3553"/>
      <c r="Q26" s="588"/>
      <c r="R26" s="3444"/>
      <c r="S26" s="954"/>
    </row>
    <row r="27" spans="1:19">
      <c r="A27" s="53">
        <v>1995.06</v>
      </c>
      <c r="B27" s="49">
        <v>2000</v>
      </c>
      <c r="C27" s="3630"/>
      <c r="D27" s="113"/>
      <c r="E27" s="223">
        <v>4290</v>
      </c>
      <c r="F27" s="3553"/>
      <c r="G27" s="586"/>
      <c r="H27" s="223">
        <v>27888</v>
      </c>
      <c r="I27" s="3630"/>
      <c r="J27" s="582"/>
      <c r="K27" s="223">
        <v>42668</v>
      </c>
      <c r="L27" s="3553"/>
      <c r="M27" s="588"/>
      <c r="N27" s="1011"/>
      <c r="O27" s="3553"/>
      <c r="P27" s="3553"/>
      <c r="Q27" s="588"/>
      <c r="R27" s="3444"/>
      <c r="S27" s="954"/>
    </row>
    <row r="28" spans="1:19">
      <c r="A28" s="53">
        <v>1995.07</v>
      </c>
      <c r="B28" s="49">
        <v>2108</v>
      </c>
      <c r="C28" s="3630"/>
      <c r="D28" s="113"/>
      <c r="E28" s="223">
        <v>4720</v>
      </c>
      <c r="F28" s="3553"/>
      <c r="G28" s="586"/>
      <c r="H28" s="223">
        <v>27662</v>
      </c>
      <c r="I28" s="3630"/>
      <c r="J28" s="582"/>
      <c r="K28" s="223">
        <v>45475</v>
      </c>
      <c r="L28" s="3553"/>
      <c r="M28" s="588"/>
      <c r="N28" s="1011"/>
      <c r="O28" s="3553"/>
      <c r="P28" s="3553"/>
      <c r="Q28" s="588"/>
      <c r="R28" s="3444"/>
      <c r="S28" s="954"/>
    </row>
    <row r="29" spans="1:19">
      <c r="A29" s="53">
        <v>1995.08</v>
      </c>
      <c r="B29" s="49">
        <v>2196</v>
      </c>
      <c r="C29" s="3630"/>
      <c r="D29" s="113"/>
      <c r="E29" s="223">
        <v>5262</v>
      </c>
      <c r="F29" s="3553"/>
      <c r="G29" s="586"/>
      <c r="H29" s="223">
        <v>29343</v>
      </c>
      <c r="I29" s="3630"/>
      <c r="J29" s="582"/>
      <c r="K29" s="223">
        <v>51374</v>
      </c>
      <c r="L29" s="3553"/>
      <c r="M29" s="588"/>
      <c r="N29" s="1011"/>
      <c r="O29" s="3553"/>
      <c r="P29" s="3553"/>
      <c r="Q29" s="588"/>
      <c r="R29" s="3444"/>
      <c r="S29" s="954"/>
    </row>
    <row r="30" spans="1:19">
      <c r="A30" s="53">
        <v>1995.09</v>
      </c>
      <c r="B30" s="49">
        <v>2123</v>
      </c>
      <c r="C30" s="3630"/>
      <c r="D30" s="113"/>
      <c r="E30" s="223">
        <v>4807</v>
      </c>
      <c r="F30" s="3553"/>
      <c r="G30" s="586"/>
      <c r="H30" s="223">
        <v>29210</v>
      </c>
      <c r="I30" s="3630"/>
      <c r="J30" s="582"/>
      <c r="K30" s="223">
        <v>48898</v>
      </c>
      <c r="L30" s="3553"/>
      <c r="M30" s="588"/>
      <c r="N30" s="1011"/>
      <c r="O30" s="3553"/>
      <c r="P30" s="3553"/>
      <c r="Q30" s="588"/>
      <c r="R30" s="3444"/>
      <c r="S30" s="954"/>
    </row>
    <row r="31" spans="1:19">
      <c r="A31" s="53">
        <v>1995.1</v>
      </c>
      <c r="B31" s="49">
        <v>1897</v>
      </c>
      <c r="C31" s="3630"/>
      <c r="D31" s="113"/>
      <c r="E31" s="223">
        <v>4846</v>
      </c>
      <c r="F31" s="3553"/>
      <c r="G31" s="586"/>
      <c r="H31" s="223">
        <v>26796</v>
      </c>
      <c r="I31" s="3630"/>
      <c r="J31" s="582"/>
      <c r="K31" s="223">
        <v>49392</v>
      </c>
      <c r="L31" s="3553"/>
      <c r="M31" s="588"/>
      <c r="N31" s="1011"/>
      <c r="O31" s="3553"/>
      <c r="P31" s="3553"/>
      <c r="Q31" s="588"/>
      <c r="R31" s="3444"/>
      <c r="S31" s="954"/>
    </row>
    <row r="32" spans="1:19">
      <c r="A32" s="53">
        <v>1995.11</v>
      </c>
      <c r="B32" s="49">
        <v>1448</v>
      </c>
      <c r="C32" s="3630"/>
      <c r="D32" s="113"/>
      <c r="E32" s="223">
        <v>4802</v>
      </c>
      <c r="F32" s="3553"/>
      <c r="G32" s="586"/>
      <c r="H32" s="223">
        <v>21743</v>
      </c>
      <c r="I32" s="3630"/>
      <c r="J32" s="582"/>
      <c r="K32" s="223">
        <v>51947</v>
      </c>
      <c r="L32" s="3553"/>
      <c r="M32" s="588"/>
      <c r="N32" s="1011"/>
      <c r="O32" s="3553"/>
      <c r="P32" s="3553"/>
      <c r="Q32" s="588"/>
      <c r="R32" s="3444"/>
      <c r="S32" s="954"/>
    </row>
    <row r="33" spans="1:19">
      <c r="A33" s="53">
        <v>1995.12</v>
      </c>
      <c r="B33" s="49">
        <v>614</v>
      </c>
      <c r="C33" s="3630"/>
      <c r="D33" s="113"/>
      <c r="E33" s="223">
        <v>5353</v>
      </c>
      <c r="F33" s="3553"/>
      <c r="G33" s="586"/>
      <c r="H33" s="223">
        <v>11494</v>
      </c>
      <c r="I33" s="3630"/>
      <c r="J33" s="582"/>
      <c r="K33" s="223">
        <v>55297</v>
      </c>
      <c r="L33" s="3553"/>
      <c r="M33" s="588"/>
      <c r="N33" s="1011"/>
      <c r="O33" s="3553"/>
      <c r="P33" s="3553"/>
      <c r="Q33" s="588"/>
      <c r="R33" s="3444"/>
      <c r="S33" s="954"/>
    </row>
    <row r="34" spans="1:19">
      <c r="A34" s="53">
        <v>1996.01</v>
      </c>
      <c r="B34" s="49">
        <v>4351</v>
      </c>
      <c r="C34" s="3630"/>
      <c r="D34" s="113"/>
      <c r="E34" s="223">
        <v>5748</v>
      </c>
      <c r="F34" s="3553"/>
      <c r="G34" s="586"/>
      <c r="H34" s="223">
        <v>48642</v>
      </c>
      <c r="I34" s="3630"/>
      <c r="J34" s="582"/>
      <c r="K34" s="223">
        <v>62671</v>
      </c>
      <c r="L34" s="3553"/>
      <c r="M34" s="588"/>
      <c r="N34" s="1011"/>
      <c r="O34" s="3553"/>
      <c r="P34" s="3553"/>
      <c r="Q34" s="588"/>
      <c r="R34" s="3445">
        <v>4618</v>
      </c>
      <c r="S34" s="954"/>
    </row>
    <row r="35" spans="1:19">
      <c r="A35" s="53">
        <v>1996.02</v>
      </c>
      <c r="B35" s="49">
        <v>2303</v>
      </c>
      <c r="C35" s="3630"/>
      <c r="D35" s="113"/>
      <c r="E35" s="223">
        <v>5550</v>
      </c>
      <c r="F35" s="3553"/>
      <c r="G35" s="586"/>
      <c r="H35" s="223">
        <v>28317</v>
      </c>
      <c r="I35" s="3630"/>
      <c r="J35" s="582"/>
      <c r="K35" s="223">
        <v>56335</v>
      </c>
      <c r="L35" s="3553"/>
      <c r="M35" s="588"/>
      <c r="N35" s="1011"/>
      <c r="O35" s="3553"/>
      <c r="P35" s="3553"/>
      <c r="Q35" s="588"/>
      <c r="R35" s="3446">
        <v>20472</v>
      </c>
      <c r="S35" s="954"/>
    </row>
    <row r="36" spans="1:19">
      <c r="A36" s="53">
        <v>1996.03</v>
      </c>
      <c r="B36" s="49">
        <v>2407</v>
      </c>
      <c r="C36" s="3630"/>
      <c r="D36" s="113"/>
      <c r="E36" s="223">
        <v>5274</v>
      </c>
      <c r="F36" s="3553"/>
      <c r="G36" s="586"/>
      <c r="H36" s="223">
        <v>29717</v>
      </c>
      <c r="I36" s="3630"/>
      <c r="J36" s="582"/>
      <c r="K36" s="223">
        <v>56369</v>
      </c>
      <c r="L36" s="3553"/>
      <c r="M36" s="588"/>
      <c r="N36" s="1011"/>
      <c r="O36" s="3553"/>
      <c r="P36" s="3553"/>
      <c r="Q36" s="588"/>
      <c r="R36" s="3446">
        <v>24438</v>
      </c>
      <c r="S36" s="954"/>
    </row>
    <row r="37" spans="1:19">
      <c r="A37" s="53">
        <v>1996.04</v>
      </c>
      <c r="B37" s="49">
        <v>2503</v>
      </c>
      <c r="C37" s="3630"/>
      <c r="D37" s="113"/>
      <c r="E37" s="223">
        <v>5285</v>
      </c>
      <c r="F37" s="3553"/>
      <c r="G37" s="586"/>
      <c r="H37" s="223">
        <v>30345</v>
      </c>
      <c r="I37" s="3630"/>
      <c r="J37" s="582"/>
      <c r="K37" s="223">
        <v>53649</v>
      </c>
      <c r="L37" s="3553"/>
      <c r="M37" s="588"/>
      <c r="N37" s="1011"/>
      <c r="O37" s="3553"/>
      <c r="P37" s="3553"/>
      <c r="Q37" s="588"/>
      <c r="R37" s="3446">
        <v>26405</v>
      </c>
      <c r="S37" s="954"/>
    </row>
    <row r="38" spans="1:19">
      <c r="A38" s="53">
        <v>1996.05</v>
      </c>
      <c r="B38" s="49">
        <v>2894</v>
      </c>
      <c r="C38" s="3630"/>
      <c r="D38" s="113"/>
      <c r="E38" s="223">
        <v>5974</v>
      </c>
      <c r="F38" s="3553"/>
      <c r="G38" s="586"/>
      <c r="H38" s="584">
        <v>34056</v>
      </c>
      <c r="I38" s="3630"/>
      <c r="J38" s="582"/>
      <c r="K38" s="584">
        <v>61319</v>
      </c>
      <c r="L38" s="3631"/>
      <c r="M38" s="978"/>
      <c r="N38" s="1010"/>
      <c r="O38" s="3631"/>
      <c r="P38" s="3631"/>
      <c r="Q38" s="978"/>
      <c r="R38" s="3446">
        <v>29733</v>
      </c>
      <c r="S38" s="954"/>
    </row>
    <row r="39" spans="1:19">
      <c r="A39" s="53">
        <v>1996.06</v>
      </c>
      <c r="B39" s="49">
        <v>2366</v>
      </c>
      <c r="C39" s="3630"/>
      <c r="D39" s="113"/>
      <c r="E39" s="584">
        <v>4848</v>
      </c>
      <c r="F39" s="3631"/>
      <c r="G39" s="582"/>
      <c r="H39" s="584">
        <v>26644</v>
      </c>
      <c r="I39" s="3630"/>
      <c r="J39" s="582"/>
      <c r="K39" s="584">
        <v>46310</v>
      </c>
      <c r="L39" s="3631"/>
      <c r="M39" s="978"/>
      <c r="N39" s="1010"/>
      <c r="O39" s="3631"/>
      <c r="P39" s="3631"/>
      <c r="Q39" s="978"/>
      <c r="R39" s="3446">
        <v>26010</v>
      </c>
      <c r="S39" s="954"/>
    </row>
    <row r="40" spans="1:19">
      <c r="A40" s="53">
        <v>1996.07</v>
      </c>
      <c r="B40" s="49">
        <v>2940</v>
      </c>
      <c r="C40" s="3630"/>
      <c r="D40" s="113"/>
      <c r="E40" s="584">
        <v>6151</v>
      </c>
      <c r="F40" s="3631"/>
      <c r="G40" s="582"/>
      <c r="H40" s="584">
        <v>32396</v>
      </c>
      <c r="I40" s="3630"/>
      <c r="J40" s="582"/>
      <c r="K40" s="584">
        <v>60204</v>
      </c>
      <c r="L40" s="3631"/>
      <c r="M40" s="978"/>
      <c r="N40" s="1010"/>
      <c r="O40" s="3631"/>
      <c r="P40" s="3631"/>
      <c r="Q40" s="978"/>
      <c r="R40" s="3446">
        <v>31221</v>
      </c>
      <c r="S40" s="954"/>
    </row>
    <row r="41" spans="1:19">
      <c r="A41" s="53">
        <v>1996.08</v>
      </c>
      <c r="B41" s="49">
        <v>3085</v>
      </c>
      <c r="C41" s="3630"/>
      <c r="D41" s="113"/>
      <c r="E41" s="584">
        <v>5869</v>
      </c>
      <c r="F41" s="3631"/>
      <c r="G41" s="582"/>
      <c r="H41" s="584">
        <v>31686</v>
      </c>
      <c r="I41" s="3630"/>
      <c r="J41" s="582"/>
      <c r="K41" s="584">
        <v>55739</v>
      </c>
      <c r="L41" s="3631"/>
      <c r="M41" s="978"/>
      <c r="N41" s="1010"/>
      <c r="O41" s="3631"/>
      <c r="P41" s="3631"/>
      <c r="Q41" s="978"/>
      <c r="R41" s="3446">
        <v>32092</v>
      </c>
      <c r="S41" s="954"/>
    </row>
    <row r="42" spans="1:19">
      <c r="A42" s="53">
        <v>1996.09</v>
      </c>
      <c r="B42" s="49">
        <v>2834</v>
      </c>
      <c r="C42" s="3630"/>
      <c r="D42" s="113"/>
      <c r="E42" s="584">
        <v>5752</v>
      </c>
      <c r="F42" s="3631"/>
      <c r="G42" s="582"/>
      <c r="H42" s="584">
        <v>30322</v>
      </c>
      <c r="I42" s="3630"/>
      <c r="J42" s="582"/>
      <c r="K42" s="584">
        <v>54996</v>
      </c>
      <c r="L42" s="3631"/>
      <c r="M42" s="978"/>
      <c r="N42" s="1010"/>
      <c r="O42" s="3631"/>
      <c r="P42" s="3631"/>
      <c r="Q42" s="978"/>
      <c r="R42" s="3446">
        <v>28030</v>
      </c>
      <c r="S42" s="954"/>
    </row>
    <row r="43" spans="1:19">
      <c r="A43" s="53">
        <v>1996.1</v>
      </c>
      <c r="B43" s="49">
        <v>2571</v>
      </c>
      <c r="C43" s="3630"/>
      <c r="D43" s="113"/>
      <c r="E43" s="584">
        <v>6119</v>
      </c>
      <c r="F43" s="3631"/>
      <c r="G43" s="582"/>
      <c r="H43" s="584">
        <v>30862</v>
      </c>
      <c r="I43" s="3630"/>
      <c r="J43" s="582"/>
      <c r="K43" s="584">
        <v>60088</v>
      </c>
      <c r="L43" s="3631"/>
      <c r="M43" s="978"/>
      <c r="N43" s="1010"/>
      <c r="O43" s="3631"/>
      <c r="P43" s="3631"/>
      <c r="Q43" s="978"/>
      <c r="R43" s="3446">
        <v>32363</v>
      </c>
      <c r="S43" s="954"/>
    </row>
    <row r="44" spans="1:19">
      <c r="A44" s="53">
        <v>1996.11</v>
      </c>
      <c r="B44" s="49">
        <v>2044</v>
      </c>
      <c r="C44" s="3630"/>
      <c r="D44" s="113"/>
      <c r="E44" s="584">
        <v>5648</v>
      </c>
      <c r="F44" s="3631"/>
      <c r="G44" s="582"/>
      <c r="H44" s="584">
        <v>25002</v>
      </c>
      <c r="I44" s="3630"/>
      <c r="J44" s="582"/>
      <c r="K44" s="584">
        <v>54829</v>
      </c>
      <c r="L44" s="3631"/>
      <c r="M44" s="978"/>
      <c r="N44" s="1010"/>
      <c r="O44" s="3631"/>
      <c r="P44" s="3631"/>
      <c r="Q44" s="978"/>
      <c r="R44" s="3446">
        <v>32034</v>
      </c>
      <c r="S44" s="954"/>
    </row>
    <row r="45" spans="1:19">
      <c r="A45" s="53">
        <v>1996.12</v>
      </c>
      <c r="B45" s="49">
        <v>1623</v>
      </c>
      <c r="C45" s="3630"/>
      <c r="D45" s="113"/>
      <c r="E45" s="584">
        <v>6227</v>
      </c>
      <c r="F45" s="3631"/>
      <c r="G45" s="582"/>
      <c r="H45" s="584">
        <v>20346</v>
      </c>
      <c r="I45" s="3630"/>
      <c r="J45" s="582"/>
      <c r="K45" s="584">
        <v>58966</v>
      </c>
      <c r="L45" s="3631"/>
      <c r="M45" s="978"/>
      <c r="N45" s="1010"/>
      <c r="O45" s="3631"/>
      <c r="P45" s="3631"/>
      <c r="Q45" s="978"/>
      <c r="R45" s="3446">
        <v>25736</v>
      </c>
      <c r="S45" s="954"/>
    </row>
    <row r="46" spans="1:19">
      <c r="A46" s="53">
        <v>1997.01</v>
      </c>
      <c r="B46" s="49">
        <v>5267</v>
      </c>
      <c r="C46" s="3630"/>
      <c r="D46" s="113"/>
      <c r="E46" s="584">
        <v>6517</v>
      </c>
      <c r="F46" s="3631"/>
      <c r="G46" s="582"/>
      <c r="H46" s="584">
        <v>55725</v>
      </c>
      <c r="I46" s="3630"/>
      <c r="J46" s="582"/>
      <c r="K46" s="584">
        <v>66716</v>
      </c>
      <c r="L46" s="3631"/>
      <c r="M46" s="978"/>
      <c r="N46" s="1010"/>
      <c r="O46" s="3631"/>
      <c r="P46" s="3631"/>
      <c r="Q46" s="978"/>
      <c r="R46" s="3446">
        <v>14195</v>
      </c>
      <c r="S46" s="954"/>
    </row>
    <row r="47" spans="1:19">
      <c r="A47" s="53">
        <v>1997.02</v>
      </c>
      <c r="B47" s="49">
        <v>2575</v>
      </c>
      <c r="C47" s="3630"/>
      <c r="D47" s="113"/>
      <c r="E47" s="584">
        <v>5644</v>
      </c>
      <c r="F47" s="3631"/>
      <c r="G47" s="582"/>
      <c r="H47" s="584">
        <v>29760</v>
      </c>
      <c r="I47" s="3630"/>
      <c r="J47" s="582"/>
      <c r="K47" s="584">
        <v>55374</v>
      </c>
      <c r="L47" s="3631"/>
      <c r="M47" s="978"/>
      <c r="N47" s="1010"/>
      <c r="O47" s="3631"/>
      <c r="P47" s="3631"/>
      <c r="Q47" s="978"/>
      <c r="R47" s="3446">
        <v>26955</v>
      </c>
      <c r="S47" s="954"/>
    </row>
    <row r="48" spans="1:19">
      <c r="A48" s="53">
        <v>1997.03</v>
      </c>
      <c r="B48" s="49">
        <v>2547</v>
      </c>
      <c r="C48" s="3630"/>
      <c r="D48" s="113"/>
      <c r="E48" s="584">
        <v>5623</v>
      </c>
      <c r="F48" s="3631"/>
      <c r="G48" s="582"/>
      <c r="H48" s="584">
        <v>29430</v>
      </c>
      <c r="I48" s="3630"/>
      <c r="J48" s="582"/>
      <c r="K48" s="584">
        <v>54519</v>
      </c>
      <c r="L48" s="3631"/>
      <c r="M48" s="978"/>
      <c r="N48" s="1010"/>
      <c r="O48" s="3631"/>
      <c r="P48" s="3631"/>
      <c r="Q48" s="978"/>
      <c r="R48" s="3446">
        <v>32353</v>
      </c>
      <c r="S48" s="954"/>
    </row>
    <row r="49" spans="1:19">
      <c r="A49" s="53">
        <v>1997.04</v>
      </c>
      <c r="B49" s="49">
        <v>2833</v>
      </c>
      <c r="C49" s="3630"/>
      <c r="D49" s="113"/>
      <c r="E49" s="584">
        <v>6684</v>
      </c>
      <c r="F49" s="3631"/>
      <c r="G49" s="582"/>
      <c r="H49" s="584">
        <v>34734</v>
      </c>
      <c r="I49" s="3630"/>
      <c r="J49" s="582"/>
      <c r="K49" s="584">
        <v>65287</v>
      </c>
      <c r="L49" s="3631"/>
      <c r="M49" s="978"/>
      <c r="N49" s="1010"/>
      <c r="O49" s="3631"/>
      <c r="P49" s="3631"/>
      <c r="Q49" s="978"/>
      <c r="R49" s="3446">
        <v>36403</v>
      </c>
      <c r="S49" s="954"/>
    </row>
    <row r="50" spans="1:19">
      <c r="A50" s="53">
        <v>1997.05</v>
      </c>
      <c r="B50" s="49">
        <v>2856</v>
      </c>
      <c r="C50" s="3630"/>
      <c r="D50" s="113"/>
      <c r="E50" s="584">
        <v>6300</v>
      </c>
      <c r="F50" s="3631"/>
      <c r="G50" s="582"/>
      <c r="H50" s="584">
        <v>35477</v>
      </c>
      <c r="I50" s="3630"/>
      <c r="J50" s="582"/>
      <c r="K50" s="584">
        <v>62037</v>
      </c>
      <c r="L50" s="3631"/>
      <c r="M50" s="978"/>
      <c r="N50" s="1010"/>
      <c r="O50" s="3631"/>
      <c r="P50" s="3631"/>
      <c r="Q50" s="978"/>
      <c r="R50" s="3446">
        <v>39194</v>
      </c>
      <c r="S50" s="954"/>
    </row>
    <row r="51" spans="1:19">
      <c r="A51" s="53">
        <v>1997.06</v>
      </c>
      <c r="B51" s="49">
        <v>2682</v>
      </c>
      <c r="C51" s="3630"/>
      <c r="D51" s="113"/>
      <c r="E51" s="584">
        <v>5631</v>
      </c>
      <c r="F51" s="3631"/>
      <c r="G51" s="582"/>
      <c r="H51" s="584">
        <v>32074</v>
      </c>
      <c r="I51" s="3630"/>
      <c r="J51" s="582"/>
      <c r="K51" s="584">
        <v>54376</v>
      </c>
      <c r="L51" s="3631"/>
      <c r="M51" s="978"/>
      <c r="N51" s="1010"/>
      <c r="O51" s="3631"/>
      <c r="P51" s="3631"/>
      <c r="Q51" s="978"/>
      <c r="R51" s="3446">
        <v>38109</v>
      </c>
      <c r="S51" s="954"/>
    </row>
    <row r="52" spans="1:19">
      <c r="A52" s="53">
        <v>1997.07</v>
      </c>
      <c r="B52" s="49">
        <v>3284</v>
      </c>
      <c r="C52" s="3630"/>
      <c r="D52" s="113"/>
      <c r="E52" s="584">
        <v>7148</v>
      </c>
      <c r="F52" s="3631"/>
      <c r="G52" s="582"/>
      <c r="H52" s="584">
        <v>40458</v>
      </c>
      <c r="I52" s="3630"/>
      <c r="J52" s="582"/>
      <c r="K52" s="584">
        <v>68994</v>
      </c>
      <c r="L52" s="3631"/>
      <c r="M52" s="978"/>
      <c r="N52" s="1010"/>
      <c r="O52" s="3631"/>
      <c r="P52" s="3631"/>
      <c r="Q52" s="978"/>
      <c r="R52" s="3446">
        <v>43756</v>
      </c>
      <c r="S52" s="954"/>
    </row>
    <row r="53" spans="1:19">
      <c r="A53" s="53">
        <v>1997.08</v>
      </c>
      <c r="B53" s="49">
        <v>2890</v>
      </c>
      <c r="C53" s="3630"/>
      <c r="D53" s="113"/>
      <c r="E53" s="584">
        <v>6612</v>
      </c>
      <c r="F53" s="3631"/>
      <c r="G53" s="582"/>
      <c r="H53" s="584">
        <v>37904</v>
      </c>
      <c r="I53" s="3630"/>
      <c r="J53" s="582"/>
      <c r="K53" s="584">
        <v>62771</v>
      </c>
      <c r="L53" s="3631"/>
      <c r="M53" s="978"/>
      <c r="N53" s="1010"/>
      <c r="O53" s="3631"/>
      <c r="P53" s="3631"/>
      <c r="Q53" s="978"/>
      <c r="R53" s="3446">
        <v>42338</v>
      </c>
      <c r="S53" s="954"/>
    </row>
    <row r="54" spans="1:19">
      <c r="A54" s="53">
        <v>1997.09</v>
      </c>
      <c r="B54" s="49">
        <v>3158</v>
      </c>
      <c r="C54" s="3630"/>
      <c r="D54" s="113"/>
      <c r="E54" s="584">
        <v>8083</v>
      </c>
      <c r="F54" s="3631"/>
      <c r="G54" s="582"/>
      <c r="H54" s="584">
        <v>40726</v>
      </c>
      <c r="I54" s="3630"/>
      <c r="J54" s="582"/>
      <c r="K54" s="584">
        <v>72994</v>
      </c>
      <c r="L54" s="3631"/>
      <c r="M54" s="978"/>
      <c r="N54" s="1010"/>
      <c r="O54" s="3631"/>
      <c r="P54" s="3631"/>
      <c r="Q54" s="978"/>
      <c r="R54" s="3446">
        <v>46530</v>
      </c>
      <c r="S54" s="954"/>
    </row>
    <row r="55" spans="1:19">
      <c r="A55" s="53">
        <v>1997.1</v>
      </c>
      <c r="B55" s="49">
        <v>2991</v>
      </c>
      <c r="C55" s="3630"/>
      <c r="D55" s="113"/>
      <c r="E55" s="584">
        <v>9066</v>
      </c>
      <c r="F55" s="3631"/>
      <c r="G55" s="582"/>
      <c r="H55" s="584">
        <v>39673</v>
      </c>
      <c r="I55" s="3630"/>
      <c r="J55" s="582"/>
      <c r="K55" s="584">
        <v>79858</v>
      </c>
      <c r="L55" s="3631"/>
      <c r="M55" s="978"/>
      <c r="N55" s="1010"/>
      <c r="O55" s="3631"/>
      <c r="P55" s="3631"/>
      <c r="Q55" s="978"/>
      <c r="R55" s="3446">
        <v>54623</v>
      </c>
      <c r="S55" s="954"/>
    </row>
    <row r="56" spans="1:19">
      <c r="A56" s="53">
        <v>1997.11</v>
      </c>
      <c r="B56" s="49">
        <v>1838</v>
      </c>
      <c r="C56" s="3630"/>
      <c r="D56" s="113"/>
      <c r="E56" s="584">
        <v>7171</v>
      </c>
      <c r="F56" s="3631"/>
      <c r="G56" s="582"/>
      <c r="H56" s="584">
        <v>27450</v>
      </c>
      <c r="I56" s="3630"/>
      <c r="J56" s="582"/>
      <c r="K56" s="584">
        <v>67579</v>
      </c>
      <c r="L56" s="3631"/>
      <c r="M56" s="978"/>
      <c r="N56" s="1010"/>
      <c r="O56" s="3631"/>
      <c r="P56" s="3631"/>
      <c r="Q56" s="978"/>
      <c r="R56" s="3446">
        <v>45187</v>
      </c>
      <c r="S56" s="954"/>
    </row>
    <row r="57" spans="1:19">
      <c r="A57" s="53">
        <v>1997.12</v>
      </c>
      <c r="B57" s="49">
        <v>1078</v>
      </c>
      <c r="C57" s="3630"/>
      <c r="D57" s="113"/>
      <c r="E57" s="584">
        <v>7643</v>
      </c>
      <c r="F57" s="3631"/>
      <c r="G57" s="582"/>
      <c r="H57" s="584">
        <v>18826</v>
      </c>
      <c r="I57" s="3630"/>
      <c r="J57" s="582"/>
      <c r="K57" s="584">
        <v>75053</v>
      </c>
      <c r="L57" s="3631"/>
      <c r="M57" s="978"/>
      <c r="N57" s="1010"/>
      <c r="O57" s="3631"/>
      <c r="P57" s="3631"/>
      <c r="Q57" s="978"/>
      <c r="R57" s="3446">
        <v>26663</v>
      </c>
      <c r="S57" s="954"/>
    </row>
    <row r="58" spans="1:19">
      <c r="A58" s="53">
        <v>1998.01</v>
      </c>
      <c r="B58" s="49">
        <v>5874</v>
      </c>
      <c r="C58" s="3630"/>
      <c r="D58" s="113"/>
      <c r="E58" s="584">
        <v>7343</v>
      </c>
      <c r="F58" s="3631"/>
      <c r="G58" s="582"/>
      <c r="H58" s="584">
        <v>68045</v>
      </c>
      <c r="I58" s="3630"/>
      <c r="J58" s="582"/>
      <c r="K58" s="584">
        <v>76361</v>
      </c>
      <c r="L58" s="3631"/>
      <c r="M58" s="978"/>
      <c r="N58" s="1010"/>
      <c r="O58" s="3631"/>
      <c r="P58" s="3631"/>
      <c r="Q58" s="978"/>
      <c r="R58" s="3446">
        <v>18815</v>
      </c>
      <c r="S58" s="954"/>
    </row>
    <row r="59" spans="1:19">
      <c r="A59" s="53">
        <v>1998.02</v>
      </c>
      <c r="B59" s="49">
        <v>3215</v>
      </c>
      <c r="C59" s="3630"/>
      <c r="D59" s="113"/>
      <c r="E59" s="584">
        <v>6665</v>
      </c>
      <c r="F59" s="3631"/>
      <c r="G59" s="582"/>
      <c r="H59" s="584">
        <v>40990</v>
      </c>
      <c r="I59" s="3630"/>
      <c r="J59" s="582"/>
      <c r="K59" s="584">
        <v>64566</v>
      </c>
      <c r="L59" s="3631"/>
      <c r="M59" s="978"/>
      <c r="N59" s="1010"/>
      <c r="O59" s="3631"/>
      <c r="P59" s="3631"/>
      <c r="Q59" s="978"/>
      <c r="R59" s="3446">
        <v>35151</v>
      </c>
      <c r="S59" s="954"/>
    </row>
    <row r="60" spans="1:19">
      <c r="A60" s="53">
        <v>1998.03</v>
      </c>
      <c r="B60" s="49">
        <v>3325</v>
      </c>
      <c r="C60" s="3630"/>
      <c r="D60" s="113"/>
      <c r="E60" s="584">
        <v>6991</v>
      </c>
      <c r="F60" s="3631"/>
      <c r="G60" s="582"/>
      <c r="H60" s="584">
        <v>42969</v>
      </c>
      <c r="I60" s="3630"/>
      <c r="J60" s="582"/>
      <c r="K60" s="584">
        <v>72125</v>
      </c>
      <c r="L60" s="3631"/>
      <c r="M60" s="978"/>
      <c r="N60" s="1010"/>
      <c r="O60" s="3631"/>
      <c r="P60" s="3631"/>
      <c r="Q60" s="978"/>
      <c r="R60" s="3446">
        <v>41765</v>
      </c>
      <c r="S60" s="954"/>
    </row>
    <row r="61" spans="1:19">
      <c r="A61" s="53">
        <v>1998.04</v>
      </c>
      <c r="B61" s="49">
        <v>3289</v>
      </c>
      <c r="C61" s="3630"/>
      <c r="D61" s="113"/>
      <c r="E61" s="584">
        <v>6736</v>
      </c>
      <c r="F61" s="3631"/>
      <c r="G61" s="582"/>
      <c r="H61" s="584">
        <v>42361</v>
      </c>
      <c r="I61" s="3630"/>
      <c r="J61" s="582"/>
      <c r="K61" s="584">
        <v>71326</v>
      </c>
      <c r="L61" s="3631"/>
      <c r="M61" s="978"/>
      <c r="N61" s="1010"/>
      <c r="O61" s="3631"/>
      <c r="P61" s="3631"/>
      <c r="Q61" s="978"/>
      <c r="R61" s="3446">
        <v>43657</v>
      </c>
      <c r="S61" s="954"/>
    </row>
    <row r="62" spans="1:19">
      <c r="A62" s="53">
        <v>1998.05</v>
      </c>
      <c r="B62" s="49">
        <v>3099</v>
      </c>
      <c r="C62" s="3630"/>
      <c r="D62" s="113"/>
      <c r="E62" s="584">
        <v>6144</v>
      </c>
      <c r="F62" s="3631"/>
      <c r="G62" s="582"/>
      <c r="H62" s="584">
        <v>38561</v>
      </c>
      <c r="I62" s="3630"/>
      <c r="J62" s="582"/>
      <c r="K62" s="584">
        <v>64367</v>
      </c>
      <c r="L62" s="3631"/>
      <c r="M62" s="978"/>
      <c r="N62" s="1010"/>
      <c r="O62" s="3631"/>
      <c r="P62" s="3631"/>
      <c r="Q62" s="978"/>
      <c r="R62" s="3446">
        <v>42843</v>
      </c>
      <c r="S62" s="954"/>
    </row>
    <row r="63" spans="1:19">
      <c r="A63" s="53">
        <v>1998.06</v>
      </c>
      <c r="B63" s="49">
        <v>3325</v>
      </c>
      <c r="C63" s="3630"/>
      <c r="D63" s="113"/>
      <c r="E63" s="584">
        <v>6510</v>
      </c>
      <c r="F63" s="3631"/>
      <c r="G63" s="582"/>
      <c r="H63" s="584">
        <v>40587</v>
      </c>
      <c r="I63" s="3630"/>
      <c r="J63" s="582"/>
      <c r="K63" s="584">
        <v>65204</v>
      </c>
      <c r="L63" s="3631"/>
      <c r="M63" s="978"/>
      <c r="N63" s="1010"/>
      <c r="O63" s="3631"/>
      <c r="P63" s="3631"/>
      <c r="Q63" s="978"/>
      <c r="R63" s="3446">
        <v>46168</v>
      </c>
      <c r="S63" s="954"/>
    </row>
    <row r="64" spans="1:19">
      <c r="A64" s="53">
        <v>1998.07</v>
      </c>
      <c r="B64" s="49">
        <v>3691</v>
      </c>
      <c r="C64" s="3630"/>
      <c r="D64" s="113"/>
      <c r="E64" s="584">
        <v>7476</v>
      </c>
      <c r="F64" s="3631"/>
      <c r="G64" s="582"/>
      <c r="H64" s="584">
        <v>45730</v>
      </c>
      <c r="I64" s="3630"/>
      <c r="J64" s="582"/>
      <c r="K64" s="584">
        <v>73999</v>
      </c>
      <c r="L64" s="3631"/>
      <c r="M64" s="978"/>
      <c r="N64" s="1010"/>
      <c r="O64" s="3631"/>
      <c r="P64" s="3631"/>
      <c r="Q64" s="978"/>
      <c r="R64" s="3446">
        <v>45913</v>
      </c>
      <c r="S64" s="954"/>
    </row>
    <row r="65" spans="1:19">
      <c r="A65" s="53">
        <v>1998.08</v>
      </c>
      <c r="B65" s="49">
        <v>3419</v>
      </c>
      <c r="C65" s="3630"/>
      <c r="D65" s="113"/>
      <c r="E65" s="584">
        <v>6874</v>
      </c>
      <c r="F65" s="3631"/>
      <c r="G65" s="582"/>
      <c r="H65" s="584">
        <v>41705</v>
      </c>
      <c r="I65" s="3630"/>
      <c r="J65" s="582"/>
      <c r="K65" s="584">
        <v>68180</v>
      </c>
      <c r="L65" s="3631"/>
      <c r="M65" s="978"/>
      <c r="N65" s="1010"/>
      <c r="O65" s="3631"/>
      <c r="P65" s="3631"/>
      <c r="Q65" s="978"/>
      <c r="R65" s="3446">
        <v>49060</v>
      </c>
      <c r="S65" s="954"/>
    </row>
    <row r="66" spans="1:19">
      <c r="A66" s="53">
        <v>1998.09</v>
      </c>
      <c r="B66" s="49">
        <v>3220</v>
      </c>
      <c r="C66" s="3630"/>
      <c r="D66" s="113"/>
      <c r="E66" s="584">
        <v>7470</v>
      </c>
      <c r="F66" s="3631"/>
      <c r="G66" s="582"/>
      <c r="H66" s="584">
        <v>40921</v>
      </c>
      <c r="I66" s="3630"/>
      <c r="J66" s="582"/>
      <c r="K66" s="584">
        <v>72033</v>
      </c>
      <c r="L66" s="3631"/>
      <c r="M66" s="978"/>
      <c r="N66" s="1010"/>
      <c r="O66" s="3631"/>
      <c r="P66" s="3631"/>
      <c r="Q66" s="978"/>
      <c r="R66" s="3446">
        <v>46926</v>
      </c>
      <c r="S66" s="954"/>
    </row>
    <row r="67" spans="1:19">
      <c r="A67" s="53">
        <v>1998.1</v>
      </c>
      <c r="B67" s="49">
        <v>2574</v>
      </c>
      <c r="C67" s="3630"/>
      <c r="D67" s="113"/>
      <c r="E67" s="584">
        <v>6618</v>
      </c>
      <c r="F67" s="3631"/>
      <c r="G67" s="582"/>
      <c r="H67" s="584">
        <v>34047</v>
      </c>
      <c r="I67" s="3630"/>
      <c r="J67" s="582"/>
      <c r="K67" s="584">
        <v>63365</v>
      </c>
      <c r="L67" s="3631"/>
      <c r="M67" s="978"/>
      <c r="N67" s="1010"/>
      <c r="O67" s="3631"/>
      <c r="P67" s="3631"/>
      <c r="Q67" s="978"/>
      <c r="R67" s="3446">
        <v>39987</v>
      </c>
      <c r="S67" s="954"/>
    </row>
    <row r="68" spans="1:19">
      <c r="A68" s="53">
        <v>1998.11</v>
      </c>
      <c r="B68" s="49">
        <v>1976</v>
      </c>
      <c r="C68" s="3630"/>
      <c r="D68" s="113"/>
      <c r="E68" s="584">
        <v>7333</v>
      </c>
      <c r="F68" s="3631"/>
      <c r="G68" s="582"/>
      <c r="H68" s="584">
        <v>28544</v>
      </c>
      <c r="I68" s="3630"/>
      <c r="J68" s="582"/>
      <c r="K68" s="584">
        <v>63437</v>
      </c>
      <c r="L68" s="3631"/>
      <c r="M68" s="978"/>
      <c r="N68" s="1010"/>
      <c r="O68" s="3631"/>
      <c r="P68" s="3631"/>
      <c r="Q68" s="978"/>
      <c r="R68" s="3446">
        <v>32781</v>
      </c>
      <c r="S68" s="954"/>
    </row>
    <row r="69" spans="1:19">
      <c r="A69" s="53">
        <v>1998.12</v>
      </c>
      <c r="B69" s="49">
        <v>1247</v>
      </c>
      <c r="C69" s="3630"/>
      <c r="D69" s="113"/>
      <c r="E69" s="584">
        <v>7758</v>
      </c>
      <c r="F69" s="3631"/>
      <c r="G69" s="582"/>
      <c r="H69" s="584">
        <v>19940</v>
      </c>
      <c r="I69" s="3630"/>
      <c r="J69" s="582"/>
      <c r="K69" s="584">
        <v>67988</v>
      </c>
      <c r="L69" s="3631"/>
      <c r="M69" s="978"/>
      <c r="N69" s="1010"/>
      <c r="O69" s="3631"/>
      <c r="P69" s="3631"/>
      <c r="Q69" s="978"/>
      <c r="R69" s="3446">
        <v>14891</v>
      </c>
      <c r="S69" s="954"/>
    </row>
    <row r="70" spans="1:19">
      <c r="A70" s="53">
        <v>1999.01</v>
      </c>
      <c r="B70" s="49">
        <v>5089</v>
      </c>
      <c r="C70" s="3630"/>
      <c r="D70" s="113"/>
      <c r="E70" s="584">
        <v>6420</v>
      </c>
      <c r="F70" s="3631"/>
      <c r="G70" s="582"/>
      <c r="H70" s="584">
        <v>52973</v>
      </c>
      <c r="I70" s="3630"/>
      <c r="J70" s="582"/>
      <c r="K70" s="584">
        <v>59896</v>
      </c>
      <c r="L70" s="3631"/>
      <c r="M70" s="978"/>
      <c r="N70" s="1010"/>
      <c r="O70" s="3631"/>
      <c r="P70" s="3631"/>
      <c r="Q70" s="978"/>
      <c r="R70" s="3446">
        <v>10266</v>
      </c>
      <c r="S70" s="954"/>
    </row>
    <row r="71" spans="1:19">
      <c r="A71" s="53">
        <v>1999.02</v>
      </c>
      <c r="B71" s="49">
        <v>2539</v>
      </c>
      <c r="C71" s="3630"/>
      <c r="D71" s="113"/>
      <c r="E71" s="584">
        <v>5846</v>
      </c>
      <c r="F71" s="3631"/>
      <c r="G71" s="582"/>
      <c r="H71" s="584">
        <v>29937</v>
      </c>
      <c r="I71" s="3630"/>
      <c r="J71" s="582"/>
      <c r="K71" s="584">
        <v>56641</v>
      </c>
      <c r="L71" s="3631"/>
      <c r="M71" s="978"/>
      <c r="N71" s="1010"/>
      <c r="O71" s="3631"/>
      <c r="P71" s="3631"/>
      <c r="Q71" s="978"/>
      <c r="R71" s="3446">
        <v>17482</v>
      </c>
      <c r="S71" s="954"/>
    </row>
    <row r="72" spans="1:19">
      <c r="A72" s="53">
        <v>1999.03</v>
      </c>
      <c r="B72" s="49">
        <v>2588</v>
      </c>
      <c r="C72" s="3630"/>
      <c r="D72" s="113"/>
      <c r="E72" s="584">
        <v>6432</v>
      </c>
      <c r="F72" s="3631"/>
      <c r="G72" s="582"/>
      <c r="H72" s="584">
        <v>32631</v>
      </c>
      <c r="I72" s="3630"/>
      <c r="J72" s="582"/>
      <c r="K72" s="584">
        <v>62961</v>
      </c>
      <c r="L72" s="3631"/>
      <c r="M72" s="978"/>
      <c r="N72" s="1010"/>
      <c r="O72" s="3631"/>
      <c r="P72" s="3631"/>
      <c r="Q72" s="978"/>
      <c r="R72" s="3446">
        <v>19861</v>
      </c>
      <c r="S72" s="954"/>
    </row>
    <row r="73" spans="1:19">
      <c r="A73" s="53">
        <v>1999.04</v>
      </c>
      <c r="B73" s="49">
        <v>2041</v>
      </c>
      <c r="C73" s="3630"/>
      <c r="D73" s="113"/>
      <c r="E73" s="584">
        <v>6087</v>
      </c>
      <c r="F73" s="3631"/>
      <c r="G73" s="582"/>
      <c r="H73" s="584">
        <v>26621</v>
      </c>
      <c r="I73" s="3630"/>
      <c r="J73" s="582"/>
      <c r="K73" s="584">
        <v>56901</v>
      </c>
      <c r="L73" s="3631"/>
      <c r="M73" s="978"/>
      <c r="N73" s="1010"/>
      <c r="O73" s="3631"/>
      <c r="P73" s="3631"/>
      <c r="Q73" s="978"/>
      <c r="R73" s="3446">
        <v>21779</v>
      </c>
      <c r="S73" s="954"/>
    </row>
    <row r="74" spans="1:19">
      <c r="A74" s="53">
        <v>1999.05</v>
      </c>
      <c r="B74" s="49">
        <v>1781</v>
      </c>
      <c r="C74" s="3630"/>
      <c r="D74" s="113"/>
      <c r="E74" s="584">
        <v>6469</v>
      </c>
      <c r="F74" s="3631"/>
      <c r="G74" s="582"/>
      <c r="H74" s="584">
        <v>24237</v>
      </c>
      <c r="I74" s="3630"/>
      <c r="J74" s="582"/>
      <c r="K74" s="584">
        <v>63063</v>
      </c>
      <c r="L74" s="3631"/>
      <c r="M74" s="978"/>
      <c r="N74" s="1010"/>
      <c r="O74" s="3631"/>
      <c r="P74" s="3631"/>
      <c r="Q74" s="978"/>
      <c r="R74" s="3446">
        <v>23642</v>
      </c>
      <c r="S74" s="954"/>
    </row>
    <row r="75" spans="1:19">
      <c r="A75" s="53">
        <v>1999.06</v>
      </c>
      <c r="B75" s="49">
        <v>2379</v>
      </c>
      <c r="C75" s="3630"/>
      <c r="D75" s="113"/>
      <c r="E75" s="584">
        <v>7587</v>
      </c>
      <c r="F75" s="3631"/>
      <c r="G75" s="582"/>
      <c r="H75" s="584">
        <v>28334</v>
      </c>
      <c r="I75" s="3630"/>
      <c r="J75" s="582"/>
      <c r="K75" s="584">
        <v>78618</v>
      </c>
      <c r="L75" s="3631"/>
      <c r="M75" s="978"/>
      <c r="N75" s="1010"/>
      <c r="O75" s="3631"/>
      <c r="P75" s="3631"/>
      <c r="Q75" s="978"/>
      <c r="R75" s="3446">
        <v>25921</v>
      </c>
      <c r="S75" s="954"/>
    </row>
    <row r="76" spans="1:19">
      <c r="A76" s="53">
        <v>1999.07</v>
      </c>
      <c r="B76" s="49">
        <v>2939</v>
      </c>
      <c r="C76" s="3630"/>
      <c r="D76" s="113"/>
      <c r="E76" s="584">
        <v>8550</v>
      </c>
      <c r="F76" s="3631"/>
      <c r="G76" s="582"/>
      <c r="H76" s="584">
        <v>34183</v>
      </c>
      <c r="I76" s="3630"/>
      <c r="J76" s="582"/>
      <c r="K76" s="584">
        <v>89589</v>
      </c>
      <c r="L76" s="3631"/>
      <c r="M76" s="978"/>
      <c r="N76" s="1010"/>
      <c r="O76" s="3631"/>
      <c r="P76" s="3631"/>
      <c r="Q76" s="978"/>
      <c r="R76" s="3446">
        <v>26096</v>
      </c>
      <c r="S76" s="954"/>
    </row>
    <row r="77" spans="1:19">
      <c r="A77" s="53">
        <v>1999.08</v>
      </c>
      <c r="B77" s="49">
        <v>3358</v>
      </c>
      <c r="C77" s="3630"/>
      <c r="D77" s="113"/>
      <c r="E77" s="584">
        <v>8436</v>
      </c>
      <c r="F77" s="3631"/>
      <c r="G77" s="582"/>
      <c r="H77" s="584">
        <v>37205</v>
      </c>
      <c r="I77" s="3630"/>
      <c r="J77" s="582"/>
      <c r="K77" s="584">
        <v>83799</v>
      </c>
      <c r="L77" s="3631"/>
      <c r="M77" s="978"/>
      <c r="N77" s="1010"/>
      <c r="O77" s="3631"/>
      <c r="P77" s="3631"/>
      <c r="Q77" s="978"/>
      <c r="R77" s="3446">
        <v>30023</v>
      </c>
      <c r="S77" s="954"/>
    </row>
    <row r="78" spans="1:19">
      <c r="A78" s="53">
        <v>1999.09</v>
      </c>
      <c r="B78" s="49">
        <v>3645</v>
      </c>
      <c r="C78" s="3630"/>
      <c r="D78" s="113"/>
      <c r="E78" s="584">
        <v>8914</v>
      </c>
      <c r="F78" s="3631"/>
      <c r="G78" s="582"/>
      <c r="H78" s="584">
        <v>41471</v>
      </c>
      <c r="I78" s="3630"/>
      <c r="J78" s="582"/>
      <c r="K78" s="584">
        <v>88991</v>
      </c>
      <c r="L78" s="3631"/>
      <c r="M78" s="978"/>
      <c r="N78" s="1010"/>
      <c r="O78" s="3631"/>
      <c r="P78" s="3631"/>
      <c r="Q78" s="978"/>
      <c r="R78" s="3446">
        <v>30985</v>
      </c>
      <c r="S78" s="954"/>
    </row>
    <row r="79" spans="1:19">
      <c r="A79" s="53">
        <v>1999.1</v>
      </c>
      <c r="B79" s="49">
        <v>3051</v>
      </c>
      <c r="C79" s="3630"/>
      <c r="D79" s="113"/>
      <c r="E79" s="584">
        <v>11133</v>
      </c>
      <c r="F79" s="3631"/>
      <c r="G79" s="582"/>
      <c r="H79" s="584">
        <v>36238</v>
      </c>
      <c r="I79" s="3630"/>
      <c r="J79" s="582"/>
      <c r="K79" s="584">
        <v>110669</v>
      </c>
      <c r="L79" s="3631"/>
      <c r="M79" s="978"/>
      <c r="N79" s="1010"/>
      <c r="O79" s="3631"/>
      <c r="P79" s="3631"/>
      <c r="Q79" s="978"/>
      <c r="R79" s="3446">
        <v>32116</v>
      </c>
      <c r="S79" s="954"/>
    </row>
    <row r="80" spans="1:19">
      <c r="A80" s="53">
        <v>1999.11</v>
      </c>
      <c r="B80" s="49">
        <v>2950</v>
      </c>
      <c r="C80" s="3630"/>
      <c r="D80" s="113"/>
      <c r="E80" s="584">
        <v>7021</v>
      </c>
      <c r="F80" s="3631"/>
      <c r="G80" s="582"/>
      <c r="H80" s="584">
        <v>35223</v>
      </c>
      <c r="I80" s="3630"/>
      <c r="J80" s="582"/>
      <c r="K80" s="584">
        <v>74636</v>
      </c>
      <c r="L80" s="3631"/>
      <c r="M80" s="978"/>
      <c r="N80" s="1010"/>
      <c r="O80" s="3631"/>
      <c r="P80" s="3631"/>
      <c r="Q80" s="978"/>
      <c r="R80" s="3446">
        <v>33862</v>
      </c>
      <c r="S80" s="954"/>
    </row>
    <row r="81" spans="1:19">
      <c r="A81" s="53">
        <v>1999.12</v>
      </c>
      <c r="B81" s="49">
        <v>2023</v>
      </c>
      <c r="C81" s="3630"/>
      <c r="D81" s="113"/>
      <c r="E81" s="584">
        <v>7622</v>
      </c>
      <c r="F81" s="3631"/>
      <c r="G81" s="582"/>
      <c r="H81" s="584">
        <v>27583</v>
      </c>
      <c r="I81" s="3630"/>
      <c r="J81" s="582"/>
      <c r="K81" s="584">
        <v>79954</v>
      </c>
      <c r="L81" s="3631"/>
      <c r="M81" s="978"/>
      <c r="N81" s="1010"/>
      <c r="O81" s="3631"/>
      <c r="P81" s="3631"/>
      <c r="Q81" s="978"/>
      <c r="R81" s="3446">
        <v>32776</v>
      </c>
      <c r="S81" s="954"/>
    </row>
    <row r="82" spans="1:19">
      <c r="A82" s="53">
        <v>2000.01</v>
      </c>
      <c r="B82" s="49">
        <v>4520</v>
      </c>
      <c r="C82" s="3630"/>
      <c r="D82" s="113"/>
      <c r="E82" s="584">
        <v>10113</v>
      </c>
      <c r="F82" s="3631"/>
      <c r="G82" s="582"/>
      <c r="H82" s="584">
        <v>46926</v>
      </c>
      <c r="I82" s="3630"/>
      <c r="J82" s="582"/>
      <c r="K82" s="584">
        <v>107603</v>
      </c>
      <c r="L82" s="3631"/>
      <c r="M82" s="978"/>
      <c r="N82" s="1010"/>
      <c r="O82" s="3631"/>
      <c r="P82" s="3631"/>
      <c r="Q82" s="978"/>
      <c r="R82" s="3446">
        <v>21776</v>
      </c>
      <c r="S82" s="954"/>
    </row>
    <row r="83" spans="1:19">
      <c r="A83" s="53">
        <v>2000.02</v>
      </c>
      <c r="B83" s="49">
        <v>2716</v>
      </c>
      <c r="C83" s="3630"/>
      <c r="D83" s="113"/>
      <c r="E83" s="584">
        <v>6071</v>
      </c>
      <c r="F83" s="3631"/>
      <c r="G83" s="582"/>
      <c r="H83" s="584">
        <v>32798</v>
      </c>
      <c r="I83" s="3630"/>
      <c r="J83" s="582"/>
      <c r="K83" s="584">
        <v>64306</v>
      </c>
      <c r="L83" s="3631"/>
      <c r="M83" s="978"/>
      <c r="N83" s="1010"/>
      <c r="O83" s="3631"/>
      <c r="P83" s="3631"/>
      <c r="Q83" s="978"/>
      <c r="R83" s="3446">
        <v>20538</v>
      </c>
      <c r="S83" s="954"/>
    </row>
    <row r="84" spans="1:19">
      <c r="A84" s="53">
        <v>2000.03</v>
      </c>
      <c r="B84" s="49">
        <v>2779</v>
      </c>
      <c r="C84" s="3630"/>
      <c r="D84" s="113"/>
      <c r="E84" s="584">
        <v>6551</v>
      </c>
      <c r="F84" s="3631"/>
      <c r="G84" s="582"/>
      <c r="H84" s="584">
        <v>32504</v>
      </c>
      <c r="I84" s="3630"/>
      <c r="J84" s="582"/>
      <c r="K84" s="584">
        <v>70942</v>
      </c>
      <c r="L84" s="3631"/>
      <c r="M84" s="978"/>
      <c r="N84" s="1010"/>
      <c r="O84" s="3631"/>
      <c r="P84" s="3631"/>
      <c r="Q84" s="978"/>
      <c r="R84" s="3446">
        <v>33753</v>
      </c>
      <c r="S84" s="954"/>
    </row>
    <row r="85" spans="1:19">
      <c r="A85" s="53">
        <v>2000.04</v>
      </c>
      <c r="B85" s="49">
        <v>2268</v>
      </c>
      <c r="C85" s="3630"/>
      <c r="D85" s="113"/>
      <c r="E85" s="584">
        <v>4929</v>
      </c>
      <c r="F85" s="3631"/>
      <c r="G85" s="582"/>
      <c r="H85" s="584">
        <v>26641</v>
      </c>
      <c r="I85" s="3630"/>
      <c r="J85" s="582"/>
      <c r="K85" s="584">
        <v>54093</v>
      </c>
      <c r="L85" s="3631"/>
      <c r="M85" s="978"/>
      <c r="N85" s="1010"/>
      <c r="O85" s="3631"/>
      <c r="P85" s="3631"/>
      <c r="Q85" s="978"/>
      <c r="R85" s="3446">
        <v>28754</v>
      </c>
      <c r="S85" s="954"/>
    </row>
    <row r="86" spans="1:19">
      <c r="A86" s="53">
        <v>2000.05</v>
      </c>
      <c r="B86" s="49">
        <v>2349</v>
      </c>
      <c r="C86" s="3630"/>
      <c r="D86" s="113"/>
      <c r="E86" s="584">
        <v>5500</v>
      </c>
      <c r="F86" s="3631"/>
      <c r="G86" s="582"/>
      <c r="H86" s="584">
        <v>27580</v>
      </c>
      <c r="I86" s="3630"/>
      <c r="J86" s="582"/>
      <c r="K86" s="584">
        <v>60031</v>
      </c>
      <c r="L86" s="3631"/>
      <c r="M86" s="978"/>
      <c r="N86" s="1010"/>
      <c r="O86" s="3631"/>
      <c r="P86" s="3631"/>
      <c r="Q86" s="978"/>
      <c r="R86" s="3446">
        <v>30323</v>
      </c>
      <c r="S86" s="954"/>
    </row>
    <row r="87" spans="1:19">
      <c r="A87" s="53">
        <v>2000.06</v>
      </c>
      <c r="B87" s="49">
        <v>2456</v>
      </c>
      <c r="C87" s="3630"/>
      <c r="D87" s="113"/>
      <c r="E87" s="584">
        <v>5620</v>
      </c>
      <c r="F87" s="3631"/>
      <c r="G87" s="582"/>
      <c r="H87" s="584">
        <v>28428</v>
      </c>
      <c r="I87" s="3630"/>
      <c r="J87" s="582"/>
      <c r="K87" s="584">
        <v>59005</v>
      </c>
      <c r="L87" s="3631"/>
      <c r="M87" s="978"/>
      <c r="N87" s="1010"/>
      <c r="O87" s="3631"/>
      <c r="P87" s="3631"/>
      <c r="Q87" s="978"/>
      <c r="R87" s="3446">
        <v>29066</v>
      </c>
      <c r="S87" s="954"/>
    </row>
    <row r="88" spans="1:19">
      <c r="A88" s="53">
        <v>2000.07</v>
      </c>
      <c r="B88" s="49">
        <v>2405</v>
      </c>
      <c r="C88" s="3630"/>
      <c r="D88" s="113"/>
      <c r="E88" s="584">
        <v>6220</v>
      </c>
      <c r="F88" s="3631"/>
      <c r="G88" s="582"/>
      <c r="H88" s="584">
        <v>27415</v>
      </c>
      <c r="I88" s="3630"/>
      <c r="J88" s="582"/>
      <c r="K88" s="584">
        <v>65169</v>
      </c>
      <c r="L88" s="3631"/>
      <c r="M88" s="978"/>
      <c r="N88" s="1010"/>
      <c r="O88" s="3631"/>
      <c r="P88" s="3631"/>
      <c r="Q88" s="978"/>
      <c r="R88" s="3446">
        <v>29024</v>
      </c>
      <c r="S88" s="954"/>
    </row>
    <row r="89" spans="1:19">
      <c r="A89" s="53">
        <v>2000.08</v>
      </c>
      <c r="B89" s="49">
        <v>2375</v>
      </c>
      <c r="C89" s="3630"/>
      <c r="D89" s="113"/>
      <c r="E89" s="584">
        <v>6788</v>
      </c>
      <c r="F89" s="3631"/>
      <c r="G89" s="582"/>
      <c r="H89" s="584">
        <v>28868</v>
      </c>
      <c r="I89" s="3630"/>
      <c r="J89" s="582"/>
      <c r="K89" s="584">
        <v>71729</v>
      </c>
      <c r="L89" s="3631"/>
      <c r="M89" s="978"/>
      <c r="N89" s="1010"/>
      <c r="O89" s="3631"/>
      <c r="P89" s="3631"/>
      <c r="Q89" s="978"/>
      <c r="R89" s="3446">
        <v>30602</v>
      </c>
      <c r="S89" s="954"/>
    </row>
    <row r="90" spans="1:19">
      <c r="A90" s="53">
        <v>2000.09</v>
      </c>
      <c r="B90" s="49">
        <v>2224</v>
      </c>
      <c r="C90" s="3630"/>
      <c r="D90" s="113"/>
      <c r="E90" s="584">
        <v>5741</v>
      </c>
      <c r="F90" s="3631"/>
      <c r="G90" s="582"/>
      <c r="H90" s="584">
        <v>28157</v>
      </c>
      <c r="I90" s="3630"/>
      <c r="J90" s="582"/>
      <c r="K90" s="584">
        <v>60886</v>
      </c>
      <c r="L90" s="3631"/>
      <c r="M90" s="978"/>
      <c r="N90" s="1010"/>
      <c r="O90" s="3631"/>
      <c r="P90" s="3631"/>
      <c r="Q90" s="978"/>
      <c r="R90" s="3446">
        <v>30942</v>
      </c>
      <c r="S90" s="954"/>
    </row>
    <row r="91" spans="1:19">
      <c r="A91" s="53">
        <v>2000.1</v>
      </c>
      <c r="B91" s="49">
        <v>2782</v>
      </c>
      <c r="C91" s="3630"/>
      <c r="D91" s="113"/>
      <c r="E91" s="584">
        <v>5622</v>
      </c>
      <c r="F91" s="3631"/>
      <c r="G91" s="582"/>
      <c r="H91" s="584">
        <v>33588</v>
      </c>
      <c r="I91" s="3630"/>
      <c r="J91" s="582"/>
      <c r="K91" s="584">
        <v>57814</v>
      </c>
      <c r="L91" s="3631"/>
      <c r="M91" s="978"/>
      <c r="N91" s="1010"/>
      <c r="O91" s="3631"/>
      <c r="P91" s="3631"/>
      <c r="Q91" s="978"/>
      <c r="R91" s="3446">
        <v>28878</v>
      </c>
      <c r="S91" s="954"/>
    </row>
    <row r="92" spans="1:19">
      <c r="A92" s="53">
        <v>2000.11</v>
      </c>
      <c r="B92" s="49">
        <v>1797</v>
      </c>
      <c r="C92" s="3630"/>
      <c r="D92" s="113"/>
      <c r="E92" s="584">
        <v>5264</v>
      </c>
      <c r="F92" s="3631"/>
      <c r="G92" s="582"/>
      <c r="H92" s="584">
        <v>23625</v>
      </c>
      <c r="I92" s="3630"/>
      <c r="J92" s="582"/>
      <c r="K92" s="584">
        <v>57331</v>
      </c>
      <c r="L92" s="3631"/>
      <c r="M92" s="978"/>
      <c r="N92" s="1010"/>
      <c r="O92" s="3631"/>
      <c r="P92" s="3631"/>
      <c r="Q92" s="978"/>
      <c r="R92" s="3446">
        <v>30175</v>
      </c>
      <c r="S92" s="954"/>
    </row>
    <row r="93" spans="1:19">
      <c r="A93" s="53">
        <v>2000.12</v>
      </c>
      <c r="B93" s="49">
        <v>977</v>
      </c>
      <c r="C93" s="3630"/>
      <c r="D93" s="113"/>
      <c r="E93" s="584">
        <v>5858</v>
      </c>
      <c r="F93" s="3631"/>
      <c r="G93" s="582"/>
      <c r="H93" s="584">
        <v>16281</v>
      </c>
      <c r="I93" s="3630"/>
      <c r="J93" s="582"/>
      <c r="K93" s="584">
        <v>59760</v>
      </c>
      <c r="L93" s="3631"/>
      <c r="M93" s="978"/>
      <c r="N93" s="1010"/>
      <c r="O93" s="3631"/>
      <c r="P93" s="3631"/>
      <c r="Q93" s="978"/>
      <c r="R93" s="3446">
        <v>25403</v>
      </c>
      <c r="S93" s="954"/>
    </row>
    <row r="94" spans="1:19">
      <c r="A94" s="53">
        <v>2001.01</v>
      </c>
      <c r="B94" s="49">
        <v>3281</v>
      </c>
      <c r="C94" s="3630"/>
      <c r="D94" s="113"/>
      <c r="E94" s="584">
        <v>6172</v>
      </c>
      <c r="F94" s="3631"/>
      <c r="G94" s="582"/>
      <c r="H94" s="584">
        <v>36451</v>
      </c>
      <c r="I94" s="3630"/>
      <c r="J94" s="582"/>
      <c r="K94" s="584">
        <v>65600</v>
      </c>
      <c r="L94" s="3631"/>
      <c r="M94" s="978"/>
      <c r="N94" s="1010"/>
      <c r="O94" s="3631"/>
      <c r="P94" s="3631"/>
      <c r="Q94" s="978"/>
      <c r="R94" s="3446">
        <v>12860</v>
      </c>
      <c r="S94" s="954"/>
    </row>
    <row r="95" spans="1:19">
      <c r="A95" s="53">
        <v>2001.02</v>
      </c>
      <c r="B95" s="49">
        <v>1370</v>
      </c>
      <c r="C95" s="3630"/>
      <c r="D95" s="113"/>
      <c r="E95" s="584">
        <v>5258</v>
      </c>
      <c r="F95" s="3631"/>
      <c r="G95" s="582"/>
      <c r="H95" s="584">
        <v>16107</v>
      </c>
      <c r="I95" s="3630"/>
      <c r="J95" s="582"/>
      <c r="K95" s="584">
        <v>55785</v>
      </c>
      <c r="L95" s="3631"/>
      <c r="M95" s="978"/>
      <c r="N95" s="1010"/>
      <c r="O95" s="3631"/>
      <c r="P95" s="3631"/>
      <c r="Q95" s="978"/>
      <c r="R95" s="3446">
        <v>14138</v>
      </c>
      <c r="S95" s="954"/>
    </row>
    <row r="96" spans="1:19">
      <c r="A96" s="53">
        <v>2001.03</v>
      </c>
      <c r="B96" s="49">
        <v>1435</v>
      </c>
      <c r="C96" s="3630"/>
      <c r="D96" s="113"/>
      <c r="E96" s="584">
        <v>5266</v>
      </c>
      <c r="F96" s="3631"/>
      <c r="G96" s="582"/>
      <c r="H96" s="584">
        <v>17594</v>
      </c>
      <c r="I96" s="3630"/>
      <c r="J96" s="582"/>
      <c r="K96" s="584">
        <v>55036</v>
      </c>
      <c r="L96" s="3631"/>
      <c r="M96" s="978"/>
      <c r="N96" s="1010"/>
      <c r="O96" s="3631"/>
      <c r="P96" s="3631"/>
      <c r="Q96" s="978"/>
      <c r="R96" s="3446">
        <v>24394</v>
      </c>
      <c r="S96" s="954"/>
    </row>
    <row r="97" spans="1:19">
      <c r="A97" s="53">
        <v>2001.04</v>
      </c>
      <c r="B97" s="49">
        <v>1444</v>
      </c>
      <c r="C97" s="3630"/>
      <c r="D97" s="113"/>
      <c r="E97" s="584">
        <v>4838</v>
      </c>
      <c r="F97" s="3631"/>
      <c r="G97" s="582"/>
      <c r="H97" s="584">
        <v>17129</v>
      </c>
      <c r="I97" s="3630"/>
      <c r="J97" s="582"/>
      <c r="K97" s="584">
        <v>52744</v>
      </c>
      <c r="L97" s="3631"/>
      <c r="M97" s="978"/>
      <c r="N97" s="1010"/>
      <c r="O97" s="3631"/>
      <c r="P97" s="3631"/>
      <c r="Q97" s="978"/>
      <c r="R97" s="3446">
        <v>26770</v>
      </c>
      <c r="S97" s="954"/>
    </row>
    <row r="98" spans="1:19">
      <c r="A98" s="53">
        <v>2001.05</v>
      </c>
      <c r="B98" s="49">
        <v>1381</v>
      </c>
      <c r="C98" s="3630"/>
      <c r="D98" s="113"/>
      <c r="E98" s="584">
        <v>5236</v>
      </c>
      <c r="F98" s="3631"/>
      <c r="G98" s="582"/>
      <c r="H98" s="584">
        <v>17606</v>
      </c>
      <c r="I98" s="3630"/>
      <c r="J98" s="582"/>
      <c r="K98" s="584">
        <v>54053</v>
      </c>
      <c r="L98" s="3631"/>
      <c r="M98" s="978"/>
      <c r="N98" s="1010"/>
      <c r="O98" s="3631"/>
      <c r="P98" s="3631"/>
      <c r="Q98" s="978"/>
      <c r="R98" s="3446">
        <v>28614</v>
      </c>
      <c r="S98" s="954"/>
    </row>
    <row r="99" spans="1:19">
      <c r="A99" s="53">
        <v>2001.06</v>
      </c>
      <c r="B99" s="49">
        <v>1240</v>
      </c>
      <c r="C99" s="3630"/>
      <c r="D99" s="113"/>
      <c r="E99" s="584">
        <v>4734</v>
      </c>
      <c r="F99" s="3631"/>
      <c r="G99" s="582"/>
      <c r="H99" s="584">
        <v>15780</v>
      </c>
      <c r="I99" s="3630"/>
      <c r="J99" s="582"/>
      <c r="K99" s="584">
        <v>49348</v>
      </c>
      <c r="L99" s="3631"/>
      <c r="M99" s="978"/>
      <c r="N99" s="1010"/>
      <c r="O99" s="3631"/>
      <c r="P99" s="3631"/>
      <c r="Q99" s="978"/>
      <c r="R99" s="3446">
        <v>25714</v>
      </c>
      <c r="S99" s="954"/>
    </row>
    <row r="100" spans="1:19">
      <c r="A100" s="53">
        <v>2001.07</v>
      </c>
      <c r="B100" s="49">
        <v>1644</v>
      </c>
      <c r="C100" s="3630"/>
      <c r="D100" s="113"/>
      <c r="E100" s="584">
        <v>5415</v>
      </c>
      <c r="F100" s="3631"/>
      <c r="G100" s="582"/>
      <c r="H100" s="584">
        <v>18749</v>
      </c>
      <c r="I100" s="3630"/>
      <c r="J100" s="582"/>
      <c r="K100" s="584">
        <v>53854</v>
      </c>
      <c r="L100" s="3631"/>
      <c r="M100" s="978"/>
      <c r="N100" s="1010"/>
      <c r="O100" s="3631"/>
      <c r="P100" s="3631"/>
      <c r="Q100" s="978"/>
      <c r="R100" s="3446">
        <v>23331</v>
      </c>
      <c r="S100" s="954"/>
    </row>
    <row r="101" spans="1:19">
      <c r="A101" s="53">
        <v>2001.08</v>
      </c>
      <c r="B101" s="49">
        <v>1535</v>
      </c>
      <c r="C101" s="3630"/>
      <c r="D101" s="113"/>
      <c r="E101" s="584">
        <v>5801</v>
      </c>
      <c r="F101" s="3631"/>
      <c r="G101" s="582"/>
      <c r="H101" s="584">
        <v>17566</v>
      </c>
      <c r="I101" s="3630"/>
      <c r="J101" s="582"/>
      <c r="K101" s="584">
        <v>56510</v>
      </c>
      <c r="L101" s="3631"/>
      <c r="M101" s="978"/>
      <c r="N101" s="1010"/>
      <c r="O101" s="3631"/>
      <c r="P101" s="3631"/>
      <c r="Q101" s="978"/>
      <c r="R101" s="3446">
        <v>19023</v>
      </c>
      <c r="S101" s="954"/>
    </row>
    <row r="102" spans="1:19">
      <c r="A102" s="53">
        <v>2001.09</v>
      </c>
      <c r="B102" s="49">
        <v>1333</v>
      </c>
      <c r="C102" s="3630"/>
      <c r="D102" s="113"/>
      <c r="E102" s="584">
        <v>5221</v>
      </c>
      <c r="F102" s="3631"/>
      <c r="G102" s="582"/>
      <c r="H102" s="584">
        <v>15180</v>
      </c>
      <c r="I102" s="3630"/>
      <c r="J102" s="582"/>
      <c r="K102" s="584">
        <v>49511</v>
      </c>
      <c r="L102" s="3631"/>
      <c r="M102" s="978"/>
      <c r="N102" s="1010"/>
      <c r="O102" s="3631"/>
      <c r="P102" s="3631"/>
      <c r="Q102" s="978"/>
      <c r="R102" s="3446">
        <v>16638</v>
      </c>
      <c r="S102" s="954"/>
    </row>
    <row r="103" spans="1:19">
      <c r="A103" s="53">
        <v>2001.1</v>
      </c>
      <c r="B103" s="49">
        <v>1276</v>
      </c>
      <c r="C103" s="3630"/>
      <c r="D103" s="113"/>
      <c r="E103" s="584">
        <v>5113</v>
      </c>
      <c r="F103" s="3631"/>
      <c r="G103" s="582"/>
      <c r="H103" s="584">
        <v>14763</v>
      </c>
      <c r="I103" s="3630"/>
      <c r="J103" s="582"/>
      <c r="K103" s="584">
        <v>51010</v>
      </c>
      <c r="L103" s="3631"/>
      <c r="M103" s="978"/>
      <c r="N103" s="1010"/>
      <c r="O103" s="3631"/>
      <c r="P103" s="3631"/>
      <c r="Q103" s="978"/>
      <c r="R103" s="3446">
        <v>18211</v>
      </c>
      <c r="S103" s="954"/>
    </row>
    <row r="104" spans="1:19">
      <c r="A104" s="53">
        <v>2001.11</v>
      </c>
      <c r="B104" s="49">
        <v>1013</v>
      </c>
      <c r="C104" s="3630"/>
      <c r="D104" s="113"/>
      <c r="E104" s="584">
        <v>4725</v>
      </c>
      <c r="F104" s="3631"/>
      <c r="G104" s="582"/>
      <c r="H104" s="584">
        <v>12547</v>
      </c>
      <c r="I104" s="3630"/>
      <c r="J104" s="582"/>
      <c r="K104" s="584">
        <v>47396</v>
      </c>
      <c r="L104" s="3631"/>
      <c r="M104" s="978"/>
      <c r="N104" s="1010"/>
      <c r="O104" s="3631"/>
      <c r="P104" s="3631"/>
      <c r="Q104" s="978"/>
      <c r="R104" s="3446">
        <v>17164</v>
      </c>
      <c r="S104" s="954"/>
    </row>
    <row r="105" spans="1:19">
      <c r="A105" s="53">
        <v>2001.12</v>
      </c>
      <c r="B105" s="49">
        <v>487</v>
      </c>
      <c r="C105" s="3630"/>
      <c r="D105" s="113"/>
      <c r="E105" s="584">
        <v>3405</v>
      </c>
      <c r="F105" s="3631"/>
      <c r="G105" s="582"/>
      <c r="H105" s="584">
        <v>7181</v>
      </c>
      <c r="I105" s="3630"/>
      <c r="J105" s="582"/>
      <c r="K105" s="584">
        <v>33874</v>
      </c>
      <c r="L105" s="3631"/>
      <c r="M105" s="978"/>
      <c r="N105" s="1010"/>
      <c r="O105" s="3631"/>
      <c r="P105" s="3631"/>
      <c r="Q105" s="978"/>
      <c r="R105" s="3446">
        <v>7646</v>
      </c>
      <c r="S105" s="954"/>
    </row>
    <row r="106" spans="1:19">
      <c r="A106" s="53">
        <v>2002.01</v>
      </c>
      <c r="B106" s="49">
        <v>1472</v>
      </c>
      <c r="C106" s="3630"/>
      <c r="D106" s="113"/>
      <c r="E106" s="584">
        <v>3304</v>
      </c>
      <c r="F106" s="3631"/>
      <c r="G106" s="582"/>
      <c r="H106" s="584">
        <v>16382</v>
      </c>
      <c r="I106" s="3630"/>
      <c r="J106" s="582"/>
      <c r="K106" s="584">
        <v>36613</v>
      </c>
      <c r="L106" s="3631"/>
      <c r="M106" s="978"/>
      <c r="N106" s="1010"/>
      <c r="O106" s="3631"/>
      <c r="P106" s="3631"/>
      <c r="Q106" s="978"/>
      <c r="R106" s="3446">
        <v>4416</v>
      </c>
      <c r="S106" s="954"/>
    </row>
    <row r="107" spans="1:19">
      <c r="A107" s="53">
        <v>2002.02</v>
      </c>
      <c r="B107" s="49">
        <v>756</v>
      </c>
      <c r="C107" s="3630"/>
      <c r="D107" s="113"/>
      <c r="E107" s="584">
        <v>3230</v>
      </c>
      <c r="F107" s="3631"/>
      <c r="G107" s="582"/>
      <c r="H107" s="584">
        <v>8812</v>
      </c>
      <c r="I107" s="3630"/>
      <c r="J107" s="582"/>
      <c r="K107" s="584">
        <v>34038</v>
      </c>
      <c r="L107" s="3631"/>
      <c r="M107" s="978"/>
      <c r="N107" s="1010"/>
      <c r="O107" s="3631"/>
      <c r="P107" s="3631"/>
      <c r="Q107" s="978"/>
      <c r="R107" s="3446">
        <v>7818</v>
      </c>
      <c r="S107" s="954"/>
    </row>
    <row r="108" spans="1:19">
      <c r="A108" s="53">
        <v>2002.03</v>
      </c>
      <c r="B108" s="49">
        <v>1273</v>
      </c>
      <c r="C108" s="3630"/>
      <c r="D108" s="113"/>
      <c r="E108" s="584">
        <v>3727</v>
      </c>
      <c r="F108" s="3631"/>
      <c r="G108" s="582"/>
      <c r="H108" s="584">
        <v>13497</v>
      </c>
      <c r="I108" s="3630"/>
      <c r="J108" s="582"/>
      <c r="K108" s="584">
        <v>39399</v>
      </c>
      <c r="L108" s="3631"/>
      <c r="M108" s="978"/>
      <c r="N108" s="1010"/>
      <c r="O108" s="3631"/>
      <c r="P108" s="3631"/>
      <c r="Q108" s="978"/>
      <c r="R108" s="3447">
        <v>11155</v>
      </c>
      <c r="S108" s="954"/>
    </row>
    <row r="109" spans="1:19">
      <c r="A109" s="53">
        <v>2002.04</v>
      </c>
      <c r="B109" s="49">
        <v>1236</v>
      </c>
      <c r="C109" s="3630"/>
      <c r="D109" s="113"/>
      <c r="E109" s="584">
        <v>4168</v>
      </c>
      <c r="F109" s="3631"/>
      <c r="G109" s="582"/>
      <c r="H109" s="584">
        <v>13641</v>
      </c>
      <c r="I109" s="3630"/>
      <c r="J109" s="582"/>
      <c r="K109" s="584">
        <v>46068</v>
      </c>
      <c r="L109" s="3631"/>
      <c r="M109" s="978"/>
      <c r="N109" s="1010"/>
      <c r="O109" s="3631"/>
      <c r="P109" s="3631"/>
      <c r="Q109" s="978"/>
      <c r="R109" s="3447">
        <v>16473</v>
      </c>
      <c r="S109" s="954"/>
    </row>
    <row r="110" spans="1:19">
      <c r="A110" s="53">
        <v>2002.05</v>
      </c>
      <c r="B110" s="49">
        <v>853</v>
      </c>
      <c r="C110" s="3630"/>
      <c r="D110" s="113"/>
      <c r="E110" s="584">
        <v>5231</v>
      </c>
      <c r="F110" s="3631"/>
      <c r="G110" s="582"/>
      <c r="H110" s="584">
        <v>10255</v>
      </c>
      <c r="I110" s="3630"/>
      <c r="J110" s="582"/>
      <c r="K110" s="584">
        <v>54093</v>
      </c>
      <c r="L110" s="3631"/>
      <c r="M110" s="978"/>
      <c r="N110" s="1010"/>
      <c r="O110" s="3631"/>
      <c r="P110" s="3631"/>
      <c r="Q110" s="978"/>
      <c r="R110" s="3447">
        <v>15247</v>
      </c>
      <c r="S110" s="954"/>
    </row>
    <row r="111" spans="1:19">
      <c r="A111" s="53">
        <v>2002.06</v>
      </c>
      <c r="B111" s="49">
        <v>410</v>
      </c>
      <c r="C111" s="3630"/>
      <c r="D111" s="113"/>
      <c r="E111" s="584">
        <v>4437</v>
      </c>
      <c r="F111" s="3631"/>
      <c r="G111" s="582"/>
      <c r="H111" s="584">
        <v>4412</v>
      </c>
      <c r="I111" s="3630"/>
      <c r="J111" s="582"/>
      <c r="K111" s="584">
        <v>45095</v>
      </c>
      <c r="L111" s="3631"/>
      <c r="M111" s="978"/>
      <c r="N111" s="1010"/>
      <c r="O111" s="3631"/>
      <c r="P111" s="3631"/>
      <c r="Q111" s="978"/>
      <c r="R111" s="3447">
        <v>13887</v>
      </c>
      <c r="S111" s="954"/>
    </row>
    <row r="112" spans="1:19">
      <c r="A112" s="53">
        <v>2002.07</v>
      </c>
      <c r="B112" s="49">
        <v>641</v>
      </c>
      <c r="C112" s="3630"/>
      <c r="D112" s="113"/>
      <c r="E112" s="584">
        <v>5711</v>
      </c>
      <c r="F112" s="3631"/>
      <c r="G112" s="582"/>
      <c r="H112" s="584">
        <v>5597</v>
      </c>
      <c r="I112" s="3630"/>
      <c r="J112" s="582"/>
      <c r="K112" s="584">
        <v>57367</v>
      </c>
      <c r="L112" s="3631"/>
      <c r="M112" s="978"/>
      <c r="N112" s="1010"/>
      <c r="O112" s="3631"/>
      <c r="P112" s="3631"/>
      <c r="Q112" s="978"/>
      <c r="R112" s="3446">
        <v>15830</v>
      </c>
      <c r="S112" s="954"/>
    </row>
    <row r="113" spans="1:19">
      <c r="A113" s="53">
        <v>2002.08</v>
      </c>
      <c r="B113" s="49">
        <v>737</v>
      </c>
      <c r="C113" s="3630"/>
      <c r="D113" s="113"/>
      <c r="E113" s="584">
        <v>6070</v>
      </c>
      <c r="F113" s="3631"/>
      <c r="G113" s="582"/>
      <c r="H113" s="584">
        <v>5993</v>
      </c>
      <c r="I113" s="3630"/>
      <c r="J113" s="582"/>
      <c r="K113" s="584">
        <v>57719</v>
      </c>
      <c r="L113" s="3631"/>
      <c r="M113" s="978"/>
      <c r="N113" s="1010"/>
      <c r="O113" s="3631"/>
      <c r="P113" s="3631"/>
      <c r="Q113" s="978"/>
      <c r="R113" s="3446">
        <v>15238</v>
      </c>
      <c r="S113" s="954"/>
    </row>
    <row r="114" spans="1:19">
      <c r="A114" s="53">
        <v>2002.09</v>
      </c>
      <c r="B114" s="49">
        <v>632</v>
      </c>
      <c r="C114" s="3630"/>
      <c r="D114" s="113"/>
      <c r="E114" s="584">
        <v>6195</v>
      </c>
      <c r="F114" s="3631"/>
      <c r="G114" s="582"/>
      <c r="H114" s="584">
        <v>5898</v>
      </c>
      <c r="I114" s="3630"/>
      <c r="J114" s="582"/>
      <c r="K114" s="584">
        <v>59192</v>
      </c>
      <c r="L114" s="3631"/>
      <c r="M114" s="978"/>
      <c r="N114" s="1010"/>
      <c r="O114" s="3631"/>
      <c r="P114" s="3631"/>
      <c r="Q114" s="978"/>
      <c r="R114" s="3446">
        <v>15721</v>
      </c>
      <c r="S114" s="954"/>
    </row>
    <row r="115" spans="1:19">
      <c r="A115" s="53">
        <v>2002.1</v>
      </c>
      <c r="B115" s="49">
        <v>724</v>
      </c>
      <c r="C115" s="3630"/>
      <c r="D115" s="113"/>
      <c r="E115" s="584">
        <v>6587</v>
      </c>
      <c r="F115" s="3631"/>
      <c r="G115" s="582"/>
      <c r="H115" s="584">
        <v>6226</v>
      </c>
      <c r="I115" s="3630"/>
      <c r="J115" s="582"/>
      <c r="K115" s="584">
        <v>61473</v>
      </c>
      <c r="L115" s="3631"/>
      <c r="M115" s="978"/>
      <c r="N115" s="1010"/>
      <c r="O115" s="3631"/>
      <c r="P115" s="3631"/>
      <c r="Q115" s="978"/>
      <c r="R115" s="3446">
        <v>16124</v>
      </c>
      <c r="S115" s="954"/>
    </row>
    <row r="116" spans="1:19">
      <c r="A116" s="53">
        <v>2002.11</v>
      </c>
      <c r="B116" s="49">
        <v>511</v>
      </c>
      <c r="C116" s="3630"/>
      <c r="D116" s="113"/>
      <c r="E116" s="584">
        <v>6019</v>
      </c>
      <c r="F116" s="3631"/>
      <c r="G116" s="582"/>
      <c r="H116" s="584">
        <v>5095</v>
      </c>
      <c r="I116" s="3630"/>
      <c r="J116" s="582"/>
      <c r="K116" s="584">
        <v>58352</v>
      </c>
      <c r="L116" s="3631"/>
      <c r="M116" s="978"/>
      <c r="N116" s="1010"/>
      <c r="O116" s="3631"/>
      <c r="P116" s="3631"/>
      <c r="Q116" s="978"/>
      <c r="R116" s="3446">
        <v>15787</v>
      </c>
      <c r="S116" s="954"/>
    </row>
    <row r="117" spans="1:19">
      <c r="A117" s="53">
        <v>2002.12</v>
      </c>
      <c r="B117" s="49">
        <v>623</v>
      </c>
      <c r="C117" s="3630"/>
      <c r="D117" s="113"/>
      <c r="E117" s="584">
        <v>6467</v>
      </c>
      <c r="F117" s="3631"/>
      <c r="G117" s="582"/>
      <c r="H117" s="584">
        <v>5423</v>
      </c>
      <c r="I117" s="3630"/>
      <c r="J117" s="582"/>
      <c r="K117" s="584">
        <v>60745</v>
      </c>
      <c r="L117" s="3631"/>
      <c r="M117" s="978"/>
      <c r="N117" s="1010"/>
      <c r="O117" s="3631"/>
      <c r="P117" s="3631"/>
      <c r="Q117" s="978"/>
      <c r="R117" s="3446">
        <v>11705</v>
      </c>
      <c r="S117" s="954"/>
    </row>
    <row r="118" spans="1:19">
      <c r="A118" s="53">
        <v>2003.01</v>
      </c>
      <c r="B118" s="49">
        <v>1842</v>
      </c>
      <c r="C118" s="3630"/>
      <c r="D118" s="113"/>
      <c r="E118" s="584">
        <v>7525</v>
      </c>
      <c r="F118" s="3631"/>
      <c r="G118" s="582"/>
      <c r="H118" s="584">
        <v>14503</v>
      </c>
      <c r="I118" s="3630"/>
      <c r="J118" s="582"/>
      <c r="K118" s="584">
        <v>68690</v>
      </c>
      <c r="L118" s="3631"/>
      <c r="M118" s="978"/>
      <c r="N118" s="1010"/>
      <c r="O118" s="3631"/>
      <c r="P118" s="3631"/>
      <c r="Q118" s="978"/>
      <c r="R118" s="3446">
        <v>8919</v>
      </c>
      <c r="S118" s="954"/>
    </row>
    <row r="119" spans="1:19">
      <c r="A119" s="53">
        <v>2003.02</v>
      </c>
      <c r="B119" s="49">
        <v>750</v>
      </c>
      <c r="C119" s="3630"/>
      <c r="D119" s="113"/>
      <c r="E119" s="584">
        <v>5454</v>
      </c>
      <c r="F119" s="3631"/>
      <c r="G119" s="582"/>
      <c r="H119" s="584">
        <v>6749</v>
      </c>
      <c r="I119" s="3630"/>
      <c r="J119" s="582"/>
      <c r="K119" s="584">
        <v>54266</v>
      </c>
      <c r="L119" s="3631"/>
      <c r="M119" s="978"/>
      <c r="N119" s="1010"/>
      <c r="O119" s="3631"/>
      <c r="P119" s="3631"/>
      <c r="Q119" s="978"/>
      <c r="R119" s="3446">
        <v>9909</v>
      </c>
      <c r="S119" s="954"/>
    </row>
    <row r="120" spans="1:19">
      <c r="A120" s="53">
        <v>2003.03</v>
      </c>
      <c r="B120" s="49">
        <v>790</v>
      </c>
      <c r="C120" s="3630"/>
      <c r="D120" s="113"/>
      <c r="E120" s="584">
        <v>6137</v>
      </c>
      <c r="F120" s="3631"/>
      <c r="G120" s="582"/>
      <c r="H120" s="584">
        <v>7503</v>
      </c>
      <c r="I120" s="3630"/>
      <c r="J120" s="582"/>
      <c r="K120" s="584">
        <v>59109</v>
      </c>
      <c r="L120" s="3631"/>
      <c r="M120" s="978"/>
      <c r="N120" s="1010"/>
      <c r="O120" s="3631"/>
      <c r="P120" s="3631"/>
      <c r="Q120" s="978"/>
      <c r="R120" s="3446">
        <v>13911</v>
      </c>
      <c r="S120" s="954"/>
    </row>
    <row r="121" spans="1:19">
      <c r="A121" s="53">
        <v>2003.04</v>
      </c>
      <c r="B121" s="49">
        <v>1016</v>
      </c>
      <c r="C121" s="3630"/>
      <c r="D121" s="113"/>
      <c r="E121" s="584">
        <v>6187</v>
      </c>
      <c r="F121" s="3631"/>
      <c r="G121" s="582"/>
      <c r="H121" s="584">
        <v>9271</v>
      </c>
      <c r="I121" s="3630"/>
      <c r="J121" s="582"/>
      <c r="K121" s="584">
        <v>63573</v>
      </c>
      <c r="L121" s="3631"/>
      <c r="M121" s="978"/>
      <c r="N121" s="1010"/>
      <c r="O121" s="3631"/>
      <c r="P121" s="3631"/>
      <c r="Q121" s="978"/>
      <c r="R121" s="3446">
        <v>15559</v>
      </c>
      <c r="S121" s="954"/>
    </row>
    <row r="122" spans="1:19">
      <c r="A122" s="53">
        <v>2003.05</v>
      </c>
      <c r="B122" s="49">
        <v>1175</v>
      </c>
      <c r="C122" s="3630"/>
      <c r="D122" s="113"/>
      <c r="E122" s="584">
        <v>6149</v>
      </c>
      <c r="F122" s="3631"/>
      <c r="G122" s="582"/>
      <c r="H122" s="584">
        <v>10842</v>
      </c>
      <c r="I122" s="3630"/>
      <c r="J122" s="582"/>
      <c r="K122" s="584">
        <v>62734</v>
      </c>
      <c r="L122" s="3631"/>
      <c r="M122" s="978"/>
      <c r="N122" s="1010"/>
      <c r="O122" s="3631"/>
      <c r="P122" s="3631"/>
      <c r="Q122" s="978"/>
      <c r="R122" s="3446">
        <v>14106</v>
      </c>
      <c r="S122" s="954"/>
    </row>
    <row r="123" spans="1:19">
      <c r="A123" s="53">
        <v>2003.06</v>
      </c>
      <c r="B123" s="49">
        <v>1397</v>
      </c>
      <c r="C123" s="3630"/>
      <c r="D123" s="113"/>
      <c r="E123" s="584">
        <v>6322</v>
      </c>
      <c r="F123" s="3631"/>
      <c r="G123" s="582"/>
      <c r="H123" s="584">
        <v>11380</v>
      </c>
      <c r="I123" s="3630"/>
      <c r="J123" s="582"/>
      <c r="K123" s="584">
        <v>61478</v>
      </c>
      <c r="L123" s="3631"/>
      <c r="M123" s="978"/>
      <c r="N123" s="1010"/>
      <c r="O123" s="3631"/>
      <c r="P123" s="3631"/>
      <c r="Q123" s="978"/>
      <c r="R123" s="3446">
        <v>13728</v>
      </c>
      <c r="S123" s="954"/>
    </row>
    <row r="124" spans="1:19">
      <c r="A124" s="53">
        <v>2003.07</v>
      </c>
      <c r="B124" s="49">
        <v>1677</v>
      </c>
      <c r="C124" s="3630"/>
      <c r="D124" s="113"/>
      <c r="E124" s="584">
        <v>8161</v>
      </c>
      <c r="F124" s="3631"/>
      <c r="G124" s="582"/>
      <c r="H124" s="584">
        <v>13759</v>
      </c>
      <c r="I124" s="3630"/>
      <c r="J124" s="582"/>
      <c r="K124" s="584">
        <v>77197</v>
      </c>
      <c r="L124" s="3631"/>
      <c r="M124" s="978"/>
      <c r="N124" s="1010"/>
      <c r="O124" s="3631"/>
      <c r="P124" s="3631"/>
      <c r="Q124" s="978"/>
      <c r="R124" s="3446">
        <v>12138</v>
      </c>
      <c r="S124" s="954"/>
    </row>
    <row r="125" spans="1:19">
      <c r="A125" s="53">
        <v>2003.08</v>
      </c>
      <c r="B125" s="49">
        <v>1610</v>
      </c>
      <c r="C125" s="3630"/>
      <c r="D125" s="113"/>
      <c r="E125" s="584">
        <v>7561</v>
      </c>
      <c r="F125" s="3631"/>
      <c r="G125" s="582"/>
      <c r="H125" s="584">
        <v>13429</v>
      </c>
      <c r="I125" s="3630"/>
      <c r="J125" s="582"/>
      <c r="K125" s="584">
        <v>71338</v>
      </c>
      <c r="L125" s="3631"/>
      <c r="M125" s="978"/>
      <c r="N125" s="1010"/>
      <c r="O125" s="3631"/>
      <c r="P125" s="3631"/>
      <c r="Q125" s="978"/>
      <c r="R125" s="3446">
        <v>15355</v>
      </c>
      <c r="S125" s="954"/>
    </row>
    <row r="126" spans="1:19">
      <c r="A126" s="53">
        <v>2003.09</v>
      </c>
      <c r="B126" s="49">
        <v>1842</v>
      </c>
      <c r="C126" s="3630"/>
      <c r="D126" s="113"/>
      <c r="E126" s="584">
        <v>7990</v>
      </c>
      <c r="F126" s="3631"/>
      <c r="G126" s="582"/>
      <c r="H126" s="584">
        <v>15537</v>
      </c>
      <c r="I126" s="3630"/>
      <c r="J126" s="582"/>
      <c r="K126" s="584">
        <v>75489</v>
      </c>
      <c r="L126" s="3631"/>
      <c r="M126" s="978"/>
      <c r="N126" s="1010"/>
      <c r="O126" s="3631"/>
      <c r="P126" s="3631"/>
      <c r="Q126" s="978"/>
      <c r="R126" s="3446">
        <v>16391</v>
      </c>
      <c r="S126" s="954"/>
    </row>
    <row r="127" spans="1:19">
      <c r="A127" s="53">
        <v>2003.1</v>
      </c>
      <c r="B127" s="49">
        <v>2034</v>
      </c>
      <c r="C127" s="3630"/>
      <c r="D127" s="113"/>
      <c r="E127" s="584">
        <v>8143</v>
      </c>
      <c r="F127" s="3631"/>
      <c r="G127" s="582"/>
      <c r="H127" s="584">
        <v>17340</v>
      </c>
      <c r="I127" s="3630"/>
      <c r="J127" s="582"/>
      <c r="K127" s="584">
        <v>76204</v>
      </c>
      <c r="L127" s="3631"/>
      <c r="M127" s="978"/>
      <c r="N127" s="1010"/>
      <c r="O127" s="3631"/>
      <c r="P127" s="3631"/>
      <c r="Q127" s="978"/>
      <c r="R127" s="3446">
        <v>16757</v>
      </c>
      <c r="S127" s="954"/>
    </row>
    <row r="128" spans="1:19">
      <c r="A128" s="53">
        <v>2003.11</v>
      </c>
      <c r="B128" s="49">
        <v>1639</v>
      </c>
      <c r="C128" s="3630"/>
      <c r="D128" s="113"/>
      <c r="E128" s="584">
        <v>7186</v>
      </c>
      <c r="F128" s="3631"/>
      <c r="G128" s="582"/>
      <c r="H128" s="584">
        <v>13859</v>
      </c>
      <c r="I128" s="3630"/>
      <c r="J128" s="582"/>
      <c r="K128" s="584">
        <v>67080</v>
      </c>
      <c r="L128" s="3631"/>
      <c r="M128" s="978"/>
      <c r="N128" s="1010"/>
      <c r="O128" s="3631"/>
      <c r="P128" s="3631"/>
      <c r="Q128" s="978"/>
      <c r="R128" s="3446">
        <v>19403</v>
      </c>
      <c r="S128" s="954"/>
    </row>
    <row r="129" spans="1:20">
      <c r="A129" s="53">
        <v>2003.12</v>
      </c>
      <c r="B129" s="49">
        <v>1329</v>
      </c>
      <c r="C129" s="3630"/>
      <c r="D129" s="113"/>
      <c r="E129" s="584">
        <v>7408</v>
      </c>
      <c r="F129" s="3631"/>
      <c r="G129" s="582"/>
      <c r="H129" s="584">
        <v>11875</v>
      </c>
      <c r="I129" s="3630"/>
      <c r="J129" s="582"/>
      <c r="K129" s="584">
        <v>68164</v>
      </c>
      <c r="L129" s="3631"/>
      <c r="M129" s="978"/>
      <c r="N129" s="1010"/>
      <c r="O129" s="3631"/>
      <c r="P129" s="3631"/>
      <c r="Q129" s="978"/>
      <c r="R129" s="3446">
        <v>13464</v>
      </c>
      <c r="S129" s="954"/>
    </row>
    <row r="130" spans="1:20">
      <c r="A130" s="53">
        <v>2004.01</v>
      </c>
      <c r="B130" s="49">
        <v>4123</v>
      </c>
      <c r="C130" s="3630"/>
      <c r="D130" s="113"/>
      <c r="E130" s="584">
        <v>8211</v>
      </c>
      <c r="F130" s="3631"/>
      <c r="G130" s="582"/>
      <c r="H130" s="584">
        <v>32743</v>
      </c>
      <c r="I130" s="3630"/>
      <c r="J130" s="582"/>
      <c r="K130" s="584">
        <v>74149</v>
      </c>
      <c r="L130" s="3631"/>
      <c r="M130" s="978"/>
      <c r="N130" s="1010"/>
      <c r="O130" s="3631"/>
      <c r="P130" s="3631"/>
      <c r="Q130" s="978"/>
      <c r="R130" s="3446">
        <v>12039</v>
      </c>
      <c r="S130" s="954"/>
    </row>
    <row r="131" spans="1:20">
      <c r="A131" s="53">
        <v>2004.02</v>
      </c>
      <c r="B131" s="49">
        <v>2346</v>
      </c>
      <c r="C131" s="3630"/>
      <c r="D131" s="113"/>
      <c r="E131" s="584">
        <v>7508</v>
      </c>
      <c r="F131" s="3631"/>
      <c r="G131" s="582"/>
      <c r="H131" s="584">
        <v>19075</v>
      </c>
      <c r="I131" s="3630"/>
      <c r="J131" s="582"/>
      <c r="K131" s="584">
        <v>67065</v>
      </c>
      <c r="L131" s="3631"/>
      <c r="M131" s="978"/>
      <c r="N131" s="1010"/>
      <c r="O131" s="3631"/>
      <c r="P131" s="3631"/>
      <c r="Q131" s="978"/>
      <c r="R131" s="3446">
        <v>14152</v>
      </c>
      <c r="S131" s="954"/>
    </row>
    <row r="132" spans="1:20">
      <c r="A132" s="53">
        <v>2004.03</v>
      </c>
      <c r="B132" s="49">
        <v>2818</v>
      </c>
      <c r="C132" s="3630"/>
      <c r="D132" s="113"/>
      <c r="E132" s="584">
        <v>8724</v>
      </c>
      <c r="F132" s="3631"/>
      <c r="G132" s="582"/>
      <c r="H132" s="584">
        <v>23929</v>
      </c>
      <c r="I132" s="3630"/>
      <c r="J132" s="582"/>
      <c r="K132" s="584">
        <v>81298</v>
      </c>
      <c r="L132" s="3631"/>
      <c r="M132" s="978"/>
      <c r="N132" s="1010"/>
      <c r="O132" s="3631"/>
      <c r="P132" s="3631"/>
      <c r="Q132" s="978"/>
      <c r="R132" s="3446">
        <v>22190</v>
      </c>
      <c r="S132" s="954"/>
    </row>
    <row r="133" spans="1:20">
      <c r="A133" s="53">
        <v>2004.04</v>
      </c>
      <c r="B133" s="49">
        <v>2827</v>
      </c>
      <c r="C133" s="3630"/>
      <c r="D133" s="113"/>
      <c r="E133" s="584">
        <v>7305</v>
      </c>
      <c r="F133" s="3631"/>
      <c r="G133" s="582"/>
      <c r="H133" s="584">
        <v>22806</v>
      </c>
      <c r="I133" s="3630"/>
      <c r="J133" s="582"/>
      <c r="K133" s="584">
        <v>70834</v>
      </c>
      <c r="L133" s="3631"/>
      <c r="M133" s="978"/>
      <c r="N133" s="1010"/>
      <c r="O133" s="3631"/>
      <c r="P133" s="3631"/>
      <c r="Q133" s="978"/>
      <c r="R133" s="3446">
        <v>20542</v>
      </c>
      <c r="S133" s="954"/>
    </row>
    <row r="134" spans="1:20">
      <c r="A134" s="53">
        <v>2004.05</v>
      </c>
      <c r="B134" s="49">
        <v>2944</v>
      </c>
      <c r="C134" s="3630"/>
      <c r="D134" s="113"/>
      <c r="E134" s="584">
        <v>7593</v>
      </c>
      <c r="F134" s="3631"/>
      <c r="G134" s="582"/>
      <c r="H134" s="584">
        <v>23503</v>
      </c>
      <c r="I134" s="3630"/>
      <c r="J134" s="582"/>
      <c r="K134" s="584">
        <v>71157</v>
      </c>
      <c r="L134" s="3631"/>
      <c r="M134" s="978"/>
      <c r="N134" s="1010"/>
      <c r="O134" s="3631"/>
      <c r="P134" s="3631"/>
      <c r="Q134" s="978"/>
      <c r="R134" s="3446">
        <v>21513</v>
      </c>
      <c r="S134" s="954"/>
    </row>
    <row r="135" spans="1:20">
      <c r="A135" s="53">
        <v>2004.06</v>
      </c>
      <c r="B135" s="49">
        <v>2811</v>
      </c>
      <c r="C135" s="3630"/>
      <c r="D135" s="113"/>
      <c r="E135" s="584">
        <v>8356</v>
      </c>
      <c r="F135" s="3631"/>
      <c r="G135" s="582"/>
      <c r="H135" s="584">
        <v>24901</v>
      </c>
      <c r="I135" s="3630"/>
      <c r="J135" s="582"/>
      <c r="K135" s="584">
        <v>75146</v>
      </c>
      <c r="L135" s="3631"/>
      <c r="M135" s="978"/>
      <c r="N135" s="1010"/>
      <c r="O135" s="3631"/>
      <c r="P135" s="3631"/>
      <c r="Q135" s="978"/>
      <c r="R135" s="3446">
        <v>22471</v>
      </c>
      <c r="S135" s="954"/>
    </row>
    <row r="136" spans="1:20">
      <c r="A136" s="53">
        <v>2004.07</v>
      </c>
      <c r="B136" s="49">
        <v>3224</v>
      </c>
      <c r="C136" s="3630"/>
      <c r="D136" s="113"/>
      <c r="E136" s="584">
        <v>8662</v>
      </c>
      <c r="F136" s="3631"/>
      <c r="G136" s="582"/>
      <c r="H136" s="584">
        <v>28193</v>
      </c>
      <c r="I136" s="3630"/>
      <c r="J136" s="582"/>
      <c r="K136" s="584">
        <v>80172</v>
      </c>
      <c r="L136" s="3631"/>
      <c r="M136" s="978"/>
      <c r="N136" s="1010"/>
      <c r="O136" s="3631"/>
      <c r="P136" s="3631"/>
      <c r="Q136" s="978"/>
      <c r="R136" s="3446">
        <v>21203</v>
      </c>
      <c r="S136" s="954"/>
    </row>
    <row r="137" spans="1:20">
      <c r="A137" s="53">
        <v>2004.08</v>
      </c>
      <c r="B137" s="49">
        <v>2924</v>
      </c>
      <c r="C137" s="3630"/>
      <c r="D137" s="113"/>
      <c r="E137" s="584">
        <v>8888</v>
      </c>
      <c r="F137" s="3631"/>
      <c r="G137" s="582"/>
      <c r="H137" s="584">
        <v>28226</v>
      </c>
      <c r="I137" s="3630"/>
      <c r="J137" s="582"/>
      <c r="K137" s="584">
        <v>82810</v>
      </c>
      <c r="L137" s="3631"/>
      <c r="M137" s="978"/>
      <c r="N137" s="1010"/>
      <c r="O137" s="3631"/>
      <c r="P137" s="3631"/>
      <c r="Q137" s="978"/>
      <c r="R137" s="3446">
        <v>23568</v>
      </c>
      <c r="S137" s="954"/>
    </row>
    <row r="138" spans="1:20">
      <c r="A138" s="53">
        <v>2004.09</v>
      </c>
      <c r="B138" s="49">
        <v>3067</v>
      </c>
      <c r="C138" s="3630"/>
      <c r="D138" s="113"/>
      <c r="E138" s="584">
        <v>8889</v>
      </c>
      <c r="F138" s="3631"/>
      <c r="G138" s="582"/>
      <c r="H138" s="584">
        <v>28411</v>
      </c>
      <c r="I138" s="3630"/>
      <c r="J138" s="582"/>
      <c r="K138" s="584">
        <v>83761</v>
      </c>
      <c r="L138" s="3631"/>
      <c r="M138" s="978"/>
      <c r="N138" s="1010"/>
      <c r="O138" s="3631"/>
      <c r="P138" s="3631"/>
      <c r="Q138" s="978"/>
      <c r="R138" s="3446">
        <v>25635</v>
      </c>
      <c r="S138" s="954"/>
    </row>
    <row r="139" spans="1:20">
      <c r="A139" s="53">
        <v>2004.1</v>
      </c>
      <c r="B139" s="49">
        <v>2483</v>
      </c>
      <c r="C139" s="3630"/>
      <c r="D139" s="113"/>
      <c r="E139" s="584">
        <v>7705</v>
      </c>
      <c r="F139" s="3631"/>
      <c r="G139" s="582"/>
      <c r="H139" s="584">
        <v>24790</v>
      </c>
      <c r="I139" s="3630"/>
      <c r="J139" s="582"/>
      <c r="K139" s="584">
        <v>75972</v>
      </c>
      <c r="L139" s="3631"/>
      <c r="M139" s="978"/>
      <c r="N139" s="1010"/>
      <c r="O139" s="3631"/>
      <c r="P139" s="3631"/>
      <c r="Q139" s="978"/>
      <c r="R139" s="3446">
        <v>25459</v>
      </c>
      <c r="S139" s="954"/>
      <c r="T139" s="954"/>
    </row>
    <row r="140" spans="1:20">
      <c r="A140" s="53">
        <v>2004.11</v>
      </c>
      <c r="B140" s="49">
        <v>2198</v>
      </c>
      <c r="C140" s="3630"/>
      <c r="D140" s="113"/>
      <c r="E140" s="584">
        <v>8360</v>
      </c>
      <c r="F140" s="3631"/>
      <c r="G140" s="582"/>
      <c r="H140" s="584">
        <v>23267</v>
      </c>
      <c r="I140" s="3630"/>
      <c r="J140" s="582"/>
      <c r="K140" s="584">
        <v>83529</v>
      </c>
      <c r="L140" s="3631"/>
      <c r="M140" s="978"/>
      <c r="N140" s="1010"/>
      <c r="O140" s="3631"/>
      <c r="P140" s="3631"/>
      <c r="Q140" s="978"/>
      <c r="R140" s="3446">
        <v>28861</v>
      </c>
      <c r="S140" s="954"/>
      <c r="T140" s="954"/>
    </row>
    <row r="141" spans="1:20">
      <c r="A141" s="53">
        <v>2004.12</v>
      </c>
      <c r="B141" s="49">
        <v>909</v>
      </c>
      <c r="C141" s="3630"/>
      <c r="D141" s="113"/>
      <c r="E141" s="584">
        <v>8325</v>
      </c>
      <c r="F141" s="3631"/>
      <c r="G141" s="582"/>
      <c r="H141" s="584">
        <v>12635</v>
      </c>
      <c r="I141" s="3630"/>
      <c r="J141" s="582"/>
      <c r="K141" s="584">
        <v>82984</v>
      </c>
      <c r="L141" s="3631"/>
      <c r="M141" s="978"/>
      <c r="N141" s="1010"/>
      <c r="O141" s="3631"/>
      <c r="P141" s="3631"/>
      <c r="Q141" s="978"/>
      <c r="R141" s="3446">
        <v>22787</v>
      </c>
      <c r="S141" s="954"/>
      <c r="T141" s="954"/>
    </row>
    <row r="142" spans="1:20">
      <c r="A142" s="53">
        <v>2005.01</v>
      </c>
      <c r="B142" s="49">
        <v>5828</v>
      </c>
      <c r="C142" s="3630"/>
      <c r="D142" s="113"/>
      <c r="E142" s="584">
        <v>7653</v>
      </c>
      <c r="F142" s="3631"/>
      <c r="G142" s="582"/>
      <c r="H142" s="584">
        <v>53721</v>
      </c>
      <c r="I142" s="3630"/>
      <c r="J142" s="582"/>
      <c r="K142" s="584">
        <v>77883</v>
      </c>
      <c r="L142" s="3631"/>
      <c r="M142" s="978"/>
      <c r="N142" s="1010"/>
      <c r="O142" s="3631"/>
      <c r="P142" s="3631"/>
      <c r="Q142" s="978"/>
      <c r="R142" s="3446">
        <v>21543</v>
      </c>
      <c r="S142" s="954"/>
      <c r="T142" s="954"/>
    </row>
    <row r="143" spans="1:20">
      <c r="A143" s="53">
        <v>2005.02</v>
      </c>
      <c r="B143" s="49">
        <v>2768</v>
      </c>
      <c r="C143" s="3630"/>
      <c r="D143" s="113"/>
      <c r="E143" s="584">
        <v>7413</v>
      </c>
      <c r="F143" s="3631"/>
      <c r="G143" s="582"/>
      <c r="H143" s="584">
        <v>27129</v>
      </c>
      <c r="I143" s="3630"/>
      <c r="J143" s="582"/>
      <c r="K143" s="584">
        <v>74863</v>
      </c>
      <c r="L143" s="3631"/>
      <c r="M143" s="978"/>
      <c r="N143" s="1010"/>
      <c r="O143" s="3631"/>
      <c r="P143" s="3631"/>
      <c r="Q143" s="978"/>
      <c r="R143" s="3446">
        <v>12871</v>
      </c>
      <c r="S143" s="954"/>
      <c r="T143" s="954"/>
    </row>
    <row r="144" spans="1:20">
      <c r="A144" s="53">
        <v>2005.03</v>
      </c>
      <c r="B144" s="49">
        <v>3085</v>
      </c>
      <c r="C144" s="3630"/>
      <c r="D144" s="113"/>
      <c r="E144" s="584">
        <v>7912</v>
      </c>
      <c r="F144" s="3631"/>
      <c r="G144" s="582"/>
      <c r="H144" s="584">
        <v>31050</v>
      </c>
      <c r="I144" s="3630"/>
      <c r="J144" s="582"/>
      <c r="K144" s="584">
        <v>81414</v>
      </c>
      <c r="L144" s="3631"/>
      <c r="M144" s="978"/>
      <c r="N144" s="1010"/>
      <c r="O144" s="3631"/>
      <c r="P144" s="3631"/>
      <c r="Q144" s="978"/>
      <c r="R144" s="3446">
        <v>27948</v>
      </c>
      <c r="S144" s="954"/>
      <c r="T144" s="954"/>
    </row>
    <row r="145" spans="1:20">
      <c r="A145" s="53">
        <v>2005.04</v>
      </c>
      <c r="B145" s="49">
        <v>3175</v>
      </c>
      <c r="C145" s="3630"/>
      <c r="D145" s="113"/>
      <c r="E145" s="584">
        <v>7991</v>
      </c>
      <c r="F145" s="3631"/>
      <c r="G145" s="582"/>
      <c r="H145" s="584">
        <v>33139</v>
      </c>
      <c r="I145" s="3630"/>
      <c r="J145" s="582"/>
      <c r="K145" s="584">
        <v>83175</v>
      </c>
      <c r="L145" s="3631"/>
      <c r="M145" s="978"/>
      <c r="N145" s="1010"/>
      <c r="O145" s="3631"/>
      <c r="P145" s="3631"/>
      <c r="Q145" s="978"/>
      <c r="R145" s="3446">
        <v>27593</v>
      </c>
      <c r="S145" s="954"/>
      <c r="T145" s="954"/>
    </row>
    <row r="146" spans="1:20">
      <c r="A146" s="53">
        <v>2005.05</v>
      </c>
      <c r="B146" s="49">
        <v>3334</v>
      </c>
      <c r="C146" s="3630"/>
      <c r="D146" s="113"/>
      <c r="E146" s="584">
        <v>8841</v>
      </c>
      <c r="F146" s="3631"/>
      <c r="G146" s="582"/>
      <c r="H146" s="584">
        <v>33596</v>
      </c>
      <c r="I146" s="3630"/>
      <c r="J146" s="582"/>
      <c r="K146" s="584">
        <v>88210</v>
      </c>
      <c r="L146" s="3631"/>
      <c r="M146" s="978"/>
      <c r="N146" s="1010"/>
      <c r="O146" s="3631"/>
      <c r="P146" s="3631"/>
      <c r="Q146" s="978"/>
      <c r="R146" s="3446">
        <v>26675</v>
      </c>
      <c r="S146" s="954"/>
      <c r="T146" s="954"/>
    </row>
    <row r="147" spans="1:20">
      <c r="A147" s="53">
        <v>2005.06</v>
      </c>
      <c r="B147" s="49">
        <v>3255</v>
      </c>
      <c r="C147" s="3630"/>
      <c r="D147" s="113"/>
      <c r="E147" s="584">
        <v>9082</v>
      </c>
      <c r="F147" s="3631"/>
      <c r="G147" s="582"/>
      <c r="H147" s="584">
        <v>32899</v>
      </c>
      <c r="I147" s="3630"/>
      <c r="J147" s="582"/>
      <c r="K147" s="584">
        <v>86489</v>
      </c>
      <c r="L147" s="3631"/>
      <c r="M147" s="978"/>
      <c r="N147" s="1010"/>
      <c r="O147" s="3631"/>
      <c r="P147" s="3631"/>
      <c r="Q147" s="978"/>
      <c r="R147" s="3446">
        <v>26573</v>
      </c>
      <c r="S147" s="954"/>
      <c r="T147" s="954"/>
    </row>
    <row r="148" spans="1:20">
      <c r="A148" s="53">
        <v>2005.07</v>
      </c>
      <c r="B148" s="49">
        <v>3477</v>
      </c>
      <c r="C148" s="3630"/>
      <c r="D148" s="113"/>
      <c r="E148" s="584">
        <v>9304</v>
      </c>
      <c r="F148" s="3631"/>
      <c r="G148" s="582"/>
      <c r="H148" s="584">
        <v>34385</v>
      </c>
      <c r="I148" s="3630"/>
      <c r="J148" s="582"/>
      <c r="K148" s="584">
        <v>88926</v>
      </c>
      <c r="L148" s="3631"/>
      <c r="M148" s="978"/>
      <c r="N148" s="1010"/>
      <c r="O148" s="3631"/>
      <c r="P148" s="3631"/>
      <c r="Q148" s="978"/>
      <c r="R148" s="3446">
        <v>27713</v>
      </c>
      <c r="S148" s="954"/>
      <c r="T148" s="954"/>
    </row>
    <row r="149" spans="1:20">
      <c r="A149" s="53">
        <v>2005.08</v>
      </c>
      <c r="B149" s="49">
        <v>3269</v>
      </c>
      <c r="C149" s="3630"/>
      <c r="D149" s="113"/>
      <c r="E149" s="584">
        <v>10113</v>
      </c>
      <c r="F149" s="3631"/>
      <c r="G149" s="582"/>
      <c r="H149" s="584">
        <v>32009</v>
      </c>
      <c r="I149" s="3630"/>
      <c r="J149" s="582"/>
      <c r="K149" s="584">
        <v>95352</v>
      </c>
      <c r="L149" s="3631"/>
      <c r="M149" s="978"/>
      <c r="N149" s="1010"/>
      <c r="O149" s="3631"/>
      <c r="P149" s="3631"/>
      <c r="Q149" s="978"/>
      <c r="R149" s="3446">
        <v>29959</v>
      </c>
      <c r="S149" s="954"/>
      <c r="T149" s="954"/>
    </row>
    <row r="150" spans="1:20">
      <c r="A150" s="53">
        <v>2005.09</v>
      </c>
      <c r="B150" s="49">
        <v>3617</v>
      </c>
      <c r="C150" s="3630"/>
      <c r="D150" s="113"/>
      <c r="E150" s="584">
        <v>10045</v>
      </c>
      <c r="F150" s="3631"/>
      <c r="G150" s="582"/>
      <c r="H150" s="584">
        <v>36248</v>
      </c>
      <c r="I150" s="3630"/>
      <c r="J150" s="582"/>
      <c r="K150" s="584">
        <v>95630</v>
      </c>
      <c r="L150" s="3631"/>
      <c r="M150" s="978"/>
      <c r="N150" s="1010"/>
      <c r="O150" s="3631"/>
      <c r="P150" s="3631"/>
      <c r="Q150" s="978"/>
      <c r="R150" s="3446">
        <v>29734</v>
      </c>
      <c r="S150" s="954"/>
      <c r="T150" s="954"/>
    </row>
    <row r="151" spans="1:20">
      <c r="A151" s="53">
        <v>2005.1</v>
      </c>
      <c r="B151" s="49">
        <v>2864</v>
      </c>
      <c r="C151" s="3630"/>
      <c r="D151" s="113"/>
      <c r="E151" s="584">
        <v>8789</v>
      </c>
      <c r="F151" s="3631"/>
      <c r="G151" s="582"/>
      <c r="H151" s="584">
        <v>30759</v>
      </c>
      <c r="I151" s="3630"/>
      <c r="J151" s="582"/>
      <c r="K151" s="584">
        <v>86703</v>
      </c>
      <c r="L151" s="3631"/>
      <c r="M151" s="978"/>
      <c r="N151" s="1010"/>
      <c r="O151" s="3631"/>
      <c r="P151" s="3631"/>
      <c r="Q151" s="978"/>
      <c r="R151" s="3446">
        <v>30503</v>
      </c>
      <c r="S151" s="954"/>
      <c r="T151" s="954"/>
    </row>
    <row r="152" spans="1:20">
      <c r="A152" s="53">
        <v>2005.11</v>
      </c>
      <c r="B152" s="49">
        <v>2450</v>
      </c>
      <c r="C152" s="3630"/>
      <c r="D152" s="113"/>
      <c r="E152" s="584">
        <v>9487</v>
      </c>
      <c r="F152" s="3631"/>
      <c r="G152" s="582"/>
      <c r="H152" s="584">
        <v>29545</v>
      </c>
      <c r="I152" s="3630"/>
      <c r="J152" s="582"/>
      <c r="K152" s="584">
        <v>95176</v>
      </c>
      <c r="L152" s="3631"/>
      <c r="M152" s="978"/>
      <c r="N152" s="1010"/>
      <c r="O152" s="3631"/>
      <c r="P152" s="3631"/>
      <c r="Q152" s="978"/>
      <c r="R152" s="3446">
        <v>35461</v>
      </c>
      <c r="S152" s="954"/>
      <c r="T152" s="954"/>
    </row>
    <row r="153" spans="1:20">
      <c r="A153" s="53">
        <v>2005.12</v>
      </c>
      <c r="B153" s="49">
        <v>952</v>
      </c>
      <c r="C153" s="3630"/>
      <c r="D153" s="113"/>
      <c r="E153" s="584">
        <v>7923</v>
      </c>
      <c r="F153" s="3631"/>
      <c r="G153" s="582"/>
      <c r="H153" s="584">
        <v>14754</v>
      </c>
      <c r="I153" s="3630"/>
      <c r="J153" s="582"/>
      <c r="K153" s="584">
        <v>80491</v>
      </c>
      <c r="L153" s="3631"/>
      <c r="M153" s="978"/>
      <c r="N153" s="1010"/>
      <c r="O153" s="3631"/>
      <c r="P153" s="3631"/>
      <c r="Q153" s="978"/>
      <c r="R153" s="3446">
        <v>23182</v>
      </c>
      <c r="S153" s="954"/>
      <c r="T153" s="954"/>
    </row>
    <row r="154" spans="1:20">
      <c r="A154" s="53">
        <v>2006.01</v>
      </c>
      <c r="B154" s="49">
        <v>6745</v>
      </c>
      <c r="C154" s="3630"/>
      <c r="D154" s="113"/>
      <c r="E154" s="584">
        <v>9838</v>
      </c>
      <c r="F154" s="3631"/>
      <c r="G154" s="582"/>
      <c r="H154" s="584">
        <v>66276</v>
      </c>
      <c r="I154" s="3630"/>
      <c r="J154" s="582"/>
      <c r="K154" s="584">
        <v>105347</v>
      </c>
      <c r="L154" s="3631"/>
      <c r="M154" s="978"/>
      <c r="N154" s="1010"/>
      <c r="O154" s="3631"/>
      <c r="P154" s="3631"/>
      <c r="Q154" s="978"/>
      <c r="R154" s="3446">
        <v>12343</v>
      </c>
      <c r="T154" s="954"/>
    </row>
    <row r="155" spans="1:20">
      <c r="A155" s="53">
        <v>2006.02</v>
      </c>
      <c r="B155" s="49">
        <v>3047</v>
      </c>
      <c r="C155" s="3630"/>
      <c r="D155" s="113"/>
      <c r="E155" s="584">
        <v>8382</v>
      </c>
      <c r="F155" s="3631"/>
      <c r="G155" s="582"/>
      <c r="H155" s="584">
        <v>32754</v>
      </c>
      <c r="I155" s="3630"/>
      <c r="J155" s="582"/>
      <c r="K155" s="584">
        <v>87601</v>
      </c>
      <c r="L155" s="3631"/>
      <c r="M155" s="978"/>
      <c r="N155" s="1010"/>
      <c r="O155" s="3631"/>
      <c r="P155" s="3631"/>
      <c r="Q155" s="978"/>
      <c r="R155" s="3446">
        <v>29271</v>
      </c>
      <c r="T155" s="954"/>
    </row>
    <row r="156" spans="1:20">
      <c r="A156" s="53">
        <v>2006.03</v>
      </c>
      <c r="B156" s="49">
        <v>3562</v>
      </c>
      <c r="C156" s="3630"/>
      <c r="D156" s="113"/>
      <c r="E156" s="584">
        <v>9331</v>
      </c>
      <c r="F156" s="3631"/>
      <c r="G156" s="582"/>
      <c r="H156" s="584">
        <v>40837</v>
      </c>
      <c r="I156" s="3630"/>
      <c r="J156" s="582"/>
      <c r="K156" s="584">
        <v>99397</v>
      </c>
      <c r="L156" s="3631"/>
      <c r="M156" s="978"/>
      <c r="N156" s="1010"/>
      <c r="O156" s="3631"/>
      <c r="P156" s="3631"/>
      <c r="Q156" s="978"/>
      <c r="R156" s="3446">
        <v>35589</v>
      </c>
      <c r="T156" s="954"/>
    </row>
    <row r="157" spans="1:20">
      <c r="A157" s="53">
        <v>2006.04</v>
      </c>
      <c r="B157" s="49">
        <v>3222</v>
      </c>
      <c r="C157" s="3630"/>
      <c r="D157" s="113"/>
      <c r="E157" s="584">
        <v>8581</v>
      </c>
      <c r="F157" s="3631"/>
      <c r="G157" s="582"/>
      <c r="H157" s="584">
        <v>34671</v>
      </c>
      <c r="I157" s="3630"/>
      <c r="J157" s="582"/>
      <c r="K157" s="584">
        <v>90044</v>
      </c>
      <c r="L157" s="3631"/>
      <c r="M157" s="978"/>
      <c r="N157" s="1010"/>
      <c r="O157" s="3631"/>
      <c r="P157" s="3631"/>
      <c r="Q157" s="978"/>
      <c r="R157" s="3446">
        <v>33522</v>
      </c>
      <c r="T157" s="954"/>
    </row>
    <row r="158" spans="1:20">
      <c r="A158" s="53">
        <v>2006.05</v>
      </c>
      <c r="B158" s="49">
        <v>3517</v>
      </c>
      <c r="C158" s="3630"/>
      <c r="D158" s="113"/>
      <c r="E158" s="584">
        <v>9913</v>
      </c>
      <c r="F158" s="3631"/>
      <c r="G158" s="582"/>
      <c r="H158" s="584">
        <v>38660</v>
      </c>
      <c r="I158" s="3630"/>
      <c r="J158" s="582"/>
      <c r="K158" s="584">
        <v>104729</v>
      </c>
      <c r="L158" s="3631"/>
      <c r="M158" s="978"/>
      <c r="N158" s="1010"/>
      <c r="O158" s="3631"/>
      <c r="P158" s="3631"/>
      <c r="Q158" s="978"/>
      <c r="R158" s="3446">
        <v>31736</v>
      </c>
      <c r="T158" s="954"/>
    </row>
    <row r="159" spans="1:20">
      <c r="A159" s="53">
        <v>2006.06</v>
      </c>
      <c r="B159" s="49">
        <v>3289</v>
      </c>
      <c r="C159" s="3630"/>
      <c r="D159" s="113"/>
      <c r="E159" s="584">
        <v>9697</v>
      </c>
      <c r="F159" s="3631"/>
      <c r="G159" s="582"/>
      <c r="H159" s="584">
        <v>36832</v>
      </c>
      <c r="I159" s="3630"/>
      <c r="J159" s="582"/>
      <c r="K159" s="584">
        <v>99445</v>
      </c>
      <c r="L159" s="3631"/>
      <c r="M159" s="978"/>
      <c r="N159" s="1010"/>
      <c r="O159" s="3631"/>
      <c r="P159" s="3631"/>
      <c r="Q159" s="978"/>
      <c r="R159" s="3446">
        <v>35940</v>
      </c>
      <c r="T159" s="954"/>
    </row>
    <row r="160" spans="1:20">
      <c r="A160" s="53">
        <v>2006.07</v>
      </c>
      <c r="B160" s="49">
        <v>3343</v>
      </c>
      <c r="C160" s="3630"/>
      <c r="D160" s="113"/>
      <c r="E160" s="584">
        <v>10587</v>
      </c>
      <c r="F160" s="3631"/>
      <c r="G160" s="582"/>
      <c r="H160" s="584">
        <v>37141</v>
      </c>
      <c r="I160" s="3630"/>
      <c r="J160" s="582"/>
      <c r="K160" s="584">
        <v>109664</v>
      </c>
      <c r="L160" s="3631"/>
      <c r="M160" s="978"/>
      <c r="N160" s="1010"/>
      <c r="O160" s="3631"/>
      <c r="P160" s="3631"/>
      <c r="Q160" s="978"/>
      <c r="R160" s="3446">
        <v>37735</v>
      </c>
      <c r="T160" s="954"/>
    </row>
    <row r="161" spans="1:20">
      <c r="A161" s="53">
        <v>2006.08</v>
      </c>
      <c r="B161" s="49">
        <v>3760</v>
      </c>
      <c r="C161" s="3630"/>
      <c r="D161" s="113"/>
      <c r="E161" s="584">
        <v>11227</v>
      </c>
      <c r="F161" s="3631"/>
      <c r="G161" s="582"/>
      <c r="H161" s="584">
        <v>39587</v>
      </c>
      <c r="I161" s="3630"/>
      <c r="J161" s="582"/>
      <c r="K161" s="584">
        <v>115339</v>
      </c>
      <c r="L161" s="3631"/>
      <c r="M161" s="978"/>
      <c r="N161" s="1010"/>
      <c r="O161" s="3631"/>
      <c r="P161" s="3631"/>
      <c r="Q161" s="978"/>
      <c r="R161" s="3446">
        <v>41476</v>
      </c>
      <c r="T161" s="954"/>
    </row>
    <row r="162" spans="1:20">
      <c r="A162" s="53">
        <v>2006.09</v>
      </c>
      <c r="B162" s="49">
        <v>3582</v>
      </c>
      <c r="C162" s="3630"/>
      <c r="D162" s="113"/>
      <c r="E162" s="584">
        <v>10937</v>
      </c>
      <c r="F162" s="3631"/>
      <c r="G162" s="582"/>
      <c r="H162" s="584">
        <v>39809</v>
      </c>
      <c r="I162" s="3630"/>
      <c r="J162" s="582"/>
      <c r="K162" s="584">
        <v>109209</v>
      </c>
      <c r="L162" s="3631"/>
      <c r="M162" s="978"/>
      <c r="N162" s="1010"/>
      <c r="O162" s="3631"/>
      <c r="P162" s="3631"/>
      <c r="Q162" s="978"/>
      <c r="R162" s="3446">
        <v>44271</v>
      </c>
      <c r="T162" s="954"/>
    </row>
    <row r="163" spans="1:20">
      <c r="A163" s="53">
        <v>2006.1</v>
      </c>
      <c r="B163" s="49">
        <v>3333</v>
      </c>
      <c r="C163" s="3630"/>
      <c r="D163" s="113"/>
      <c r="E163" s="584">
        <v>10018</v>
      </c>
      <c r="F163" s="3631"/>
      <c r="G163" s="582"/>
      <c r="H163" s="584">
        <v>36157</v>
      </c>
      <c r="I163" s="3630"/>
      <c r="J163" s="582"/>
      <c r="K163" s="584">
        <v>106340</v>
      </c>
      <c r="L163" s="3631"/>
      <c r="M163" s="978"/>
      <c r="N163" s="1010"/>
      <c r="O163" s="3631"/>
      <c r="P163" s="3631"/>
      <c r="Q163" s="978"/>
      <c r="R163" s="3446">
        <v>42346</v>
      </c>
      <c r="T163" s="954"/>
    </row>
    <row r="164" spans="1:20">
      <c r="A164" s="53">
        <v>2006.11</v>
      </c>
      <c r="B164" s="49">
        <v>2569</v>
      </c>
      <c r="C164" s="3630"/>
      <c r="D164" s="113"/>
      <c r="E164" s="584">
        <v>10626</v>
      </c>
      <c r="F164" s="3631"/>
      <c r="G164" s="582"/>
      <c r="H164" s="584">
        <v>33403</v>
      </c>
      <c r="I164" s="3630"/>
      <c r="J164" s="582"/>
      <c r="K164" s="584">
        <v>112074</v>
      </c>
      <c r="L164" s="3631"/>
      <c r="M164" s="978"/>
      <c r="N164" s="1010"/>
      <c r="O164" s="3631"/>
      <c r="P164" s="3631"/>
      <c r="Q164" s="978"/>
      <c r="R164" s="3446">
        <v>35461</v>
      </c>
      <c r="T164" s="954"/>
    </row>
    <row r="165" spans="1:20">
      <c r="A165" s="53">
        <v>2006.12</v>
      </c>
      <c r="B165" s="49">
        <v>1155</v>
      </c>
      <c r="C165" s="3630"/>
      <c r="D165" s="113"/>
      <c r="E165" s="584">
        <v>8082</v>
      </c>
      <c r="F165" s="3631"/>
      <c r="G165" s="582"/>
      <c r="H165" s="584">
        <v>16455</v>
      </c>
      <c r="I165" s="3630"/>
      <c r="J165" s="582"/>
      <c r="K165" s="584">
        <v>84999</v>
      </c>
      <c r="L165" s="3631"/>
      <c r="M165" s="978"/>
      <c r="N165" s="1010"/>
      <c r="O165" s="3631"/>
      <c r="P165" s="3631"/>
      <c r="Q165" s="978"/>
      <c r="R165" s="3446">
        <v>23182</v>
      </c>
      <c r="T165" s="954"/>
    </row>
    <row r="166" spans="1:20">
      <c r="A166" s="53">
        <v>2007.01</v>
      </c>
      <c r="B166" s="49">
        <v>7698</v>
      </c>
      <c r="C166" s="3632">
        <v>3883</v>
      </c>
      <c r="D166" s="113"/>
      <c r="E166" s="584">
        <v>10808</v>
      </c>
      <c r="F166" s="3632">
        <v>1497</v>
      </c>
      <c r="G166" s="582"/>
      <c r="H166" s="584">
        <v>82813</v>
      </c>
      <c r="I166" s="3632">
        <v>28659</v>
      </c>
      <c r="J166" s="582"/>
      <c r="K166" s="584">
        <v>120143</v>
      </c>
      <c r="L166" s="3632">
        <v>8293</v>
      </c>
      <c r="M166" s="978"/>
      <c r="N166" s="1010"/>
      <c r="O166" s="3631"/>
      <c r="P166" s="3631"/>
      <c r="Q166" s="978"/>
      <c r="R166" s="3446">
        <v>17057</v>
      </c>
      <c r="S166" s="954"/>
      <c r="T166" s="954"/>
    </row>
    <row r="167" spans="1:20">
      <c r="A167" s="53">
        <v>2007.02</v>
      </c>
      <c r="B167" s="49">
        <v>3515</v>
      </c>
      <c r="C167" s="3633">
        <v>3302</v>
      </c>
      <c r="D167" s="113"/>
      <c r="E167" s="584">
        <v>9372</v>
      </c>
      <c r="F167" s="3633">
        <v>1299</v>
      </c>
      <c r="G167" s="582"/>
      <c r="H167" s="584">
        <v>39156</v>
      </c>
      <c r="I167" s="3633">
        <v>25073</v>
      </c>
      <c r="J167" s="582"/>
      <c r="K167" s="584">
        <v>98349</v>
      </c>
      <c r="L167" s="3633">
        <v>7430</v>
      </c>
      <c r="M167" s="978"/>
      <c r="N167" s="1010"/>
      <c r="O167" s="3631"/>
      <c r="P167" s="3631"/>
      <c r="Q167" s="978"/>
      <c r="R167" s="3446">
        <v>35492</v>
      </c>
      <c r="S167" s="954"/>
      <c r="T167" s="954"/>
    </row>
    <row r="168" spans="1:20">
      <c r="A168" s="53">
        <v>2007.03</v>
      </c>
      <c r="B168" s="49">
        <v>4023</v>
      </c>
      <c r="C168" s="3633">
        <v>3647</v>
      </c>
      <c r="D168" s="113"/>
      <c r="E168" s="584">
        <v>10283</v>
      </c>
      <c r="F168" s="3633">
        <v>1502</v>
      </c>
      <c r="G168" s="582"/>
      <c r="H168" s="584">
        <v>47511</v>
      </c>
      <c r="I168" s="3633">
        <v>29057</v>
      </c>
      <c r="J168" s="582"/>
      <c r="K168" s="584">
        <v>109595</v>
      </c>
      <c r="L168" s="3633">
        <v>8467</v>
      </c>
      <c r="M168" s="978"/>
      <c r="N168" s="1010"/>
      <c r="O168" s="3631"/>
      <c r="P168" s="3631"/>
      <c r="Q168" s="978"/>
      <c r="R168" s="3446">
        <v>44886</v>
      </c>
      <c r="S168" s="954"/>
      <c r="T168" s="954"/>
    </row>
    <row r="169" spans="1:20">
      <c r="A169" s="53">
        <v>2007.04</v>
      </c>
      <c r="B169" s="49">
        <v>3628</v>
      </c>
      <c r="C169" s="3633">
        <v>3241</v>
      </c>
      <c r="D169" s="113"/>
      <c r="E169" s="584">
        <v>8573</v>
      </c>
      <c r="F169" s="3633">
        <v>1237</v>
      </c>
      <c r="G169" s="582"/>
      <c r="H169" s="584">
        <v>42184</v>
      </c>
      <c r="I169" s="3633">
        <v>25838</v>
      </c>
      <c r="J169" s="582"/>
      <c r="K169" s="584">
        <v>94881</v>
      </c>
      <c r="L169" s="3633">
        <v>7151</v>
      </c>
      <c r="M169" s="978"/>
      <c r="N169" s="1010"/>
      <c r="O169" s="3631"/>
      <c r="P169" s="3631"/>
      <c r="Q169" s="978"/>
      <c r="R169" s="3446">
        <v>41527</v>
      </c>
      <c r="S169" s="954"/>
      <c r="T169" s="954"/>
    </row>
    <row r="170" spans="1:20">
      <c r="A170" s="53">
        <v>2007.05</v>
      </c>
      <c r="B170" s="49">
        <v>4200</v>
      </c>
      <c r="C170" s="3633">
        <v>3179</v>
      </c>
      <c r="D170" s="113"/>
      <c r="E170" s="584">
        <v>10288</v>
      </c>
      <c r="F170" s="3633">
        <v>1358</v>
      </c>
      <c r="G170" s="582"/>
      <c r="H170" s="584">
        <v>47516</v>
      </c>
      <c r="I170" s="3633">
        <v>27905</v>
      </c>
      <c r="J170" s="582"/>
      <c r="K170" s="584">
        <v>111293</v>
      </c>
      <c r="L170" s="3633">
        <v>7948</v>
      </c>
      <c r="M170" s="978"/>
      <c r="N170" s="1010"/>
      <c r="O170" s="3631"/>
      <c r="P170" s="3631"/>
      <c r="Q170" s="978"/>
      <c r="R170" s="3446">
        <v>45352</v>
      </c>
      <c r="S170" s="954"/>
      <c r="T170" s="954"/>
    </row>
    <row r="171" spans="1:20">
      <c r="A171" s="53">
        <v>2007.06</v>
      </c>
      <c r="B171" s="49">
        <v>3958</v>
      </c>
      <c r="C171" s="3633">
        <v>2881</v>
      </c>
      <c r="D171" s="113"/>
      <c r="E171" s="584">
        <v>9952</v>
      </c>
      <c r="F171" s="3633">
        <v>1197</v>
      </c>
      <c r="G171" s="582"/>
      <c r="H171" s="584">
        <v>42677</v>
      </c>
      <c r="I171" s="3633">
        <v>24493</v>
      </c>
      <c r="J171" s="582"/>
      <c r="K171" s="584">
        <v>105110</v>
      </c>
      <c r="L171" s="3633">
        <v>7221</v>
      </c>
      <c r="M171" s="978"/>
      <c r="N171" s="1010"/>
      <c r="O171" s="3631"/>
      <c r="P171" s="3631"/>
      <c r="Q171" s="978"/>
      <c r="R171" s="3446">
        <v>47573</v>
      </c>
      <c r="S171" s="954"/>
      <c r="T171" s="954"/>
    </row>
    <row r="172" spans="1:20">
      <c r="A172" s="53">
        <v>2007.07</v>
      </c>
      <c r="B172" s="49">
        <v>4505</v>
      </c>
      <c r="C172" s="3633">
        <v>3538</v>
      </c>
      <c r="D172" s="113"/>
      <c r="E172" s="584">
        <v>11723</v>
      </c>
      <c r="F172" s="3633">
        <v>1311</v>
      </c>
      <c r="G172" s="582"/>
      <c r="H172" s="584">
        <v>50448</v>
      </c>
      <c r="I172" s="3633">
        <v>28960</v>
      </c>
      <c r="J172" s="582"/>
      <c r="K172" s="584">
        <v>119477</v>
      </c>
      <c r="L172" s="3633">
        <v>7933</v>
      </c>
      <c r="M172" s="978"/>
      <c r="N172" s="1010"/>
      <c r="O172" s="3631"/>
      <c r="P172" s="3631"/>
      <c r="Q172" s="978"/>
      <c r="R172" s="3446">
        <v>43964</v>
      </c>
      <c r="S172" s="954"/>
      <c r="T172" s="954"/>
    </row>
    <row r="173" spans="1:20">
      <c r="A173" s="53">
        <v>2007.08</v>
      </c>
      <c r="B173" s="49">
        <v>5436</v>
      </c>
      <c r="C173" s="3633">
        <v>3954</v>
      </c>
      <c r="D173" s="113"/>
      <c r="E173" s="584">
        <v>13207</v>
      </c>
      <c r="F173" s="3633">
        <v>1439</v>
      </c>
      <c r="G173" s="582"/>
      <c r="H173" s="584">
        <v>54708</v>
      </c>
      <c r="I173" s="3633">
        <v>31198</v>
      </c>
      <c r="J173" s="582"/>
      <c r="K173" s="584">
        <v>131239</v>
      </c>
      <c r="L173" s="3633">
        <v>8925</v>
      </c>
      <c r="M173" s="978"/>
      <c r="N173" s="1010"/>
      <c r="O173" s="3631"/>
      <c r="P173" s="3631"/>
      <c r="Q173" s="978"/>
      <c r="R173" s="3446">
        <v>53529</v>
      </c>
      <c r="S173" s="954"/>
      <c r="T173" s="954"/>
    </row>
    <row r="174" spans="1:20">
      <c r="A174" s="53">
        <v>2007.09</v>
      </c>
      <c r="B174" s="49">
        <v>4882</v>
      </c>
      <c r="C174" s="3633">
        <v>3759</v>
      </c>
      <c r="D174" s="113"/>
      <c r="E174" s="584">
        <v>11571</v>
      </c>
      <c r="F174" s="3633">
        <v>1504</v>
      </c>
      <c r="G174" s="582"/>
      <c r="H174" s="584">
        <v>49467</v>
      </c>
      <c r="I174" s="3633">
        <v>29808</v>
      </c>
      <c r="J174" s="582"/>
      <c r="K174" s="584">
        <v>118393</v>
      </c>
      <c r="L174" s="3633">
        <v>8664</v>
      </c>
      <c r="M174" s="978"/>
      <c r="N174" s="1010"/>
      <c r="O174" s="3631"/>
      <c r="P174" s="3631"/>
      <c r="Q174" s="978"/>
      <c r="R174" s="3446">
        <v>49875</v>
      </c>
      <c r="S174" s="954"/>
      <c r="T174" s="954"/>
    </row>
    <row r="175" spans="1:20">
      <c r="A175" s="53">
        <v>2007.1</v>
      </c>
      <c r="B175" s="49">
        <v>4797</v>
      </c>
      <c r="C175" s="3633">
        <v>4436</v>
      </c>
      <c r="D175" s="113"/>
      <c r="E175" s="584">
        <v>12740</v>
      </c>
      <c r="F175" s="3633">
        <v>1642</v>
      </c>
      <c r="G175" s="582"/>
      <c r="H175" s="584">
        <v>49749</v>
      </c>
      <c r="I175" s="3633">
        <v>33602</v>
      </c>
      <c r="J175" s="582"/>
      <c r="K175" s="584">
        <v>126606</v>
      </c>
      <c r="L175" s="3633">
        <v>9881</v>
      </c>
      <c r="M175" s="978"/>
      <c r="N175" s="1010"/>
      <c r="O175" s="3631"/>
      <c r="P175" s="3631"/>
      <c r="Q175" s="978"/>
      <c r="R175" s="3446">
        <v>55280</v>
      </c>
      <c r="S175" s="954"/>
      <c r="T175" s="954"/>
    </row>
    <row r="176" spans="1:20">
      <c r="A176" s="53">
        <v>2007.11</v>
      </c>
      <c r="B176" s="49">
        <v>3678</v>
      </c>
      <c r="C176" s="3633">
        <v>4628</v>
      </c>
      <c r="D176" s="113"/>
      <c r="E176" s="584">
        <v>12207</v>
      </c>
      <c r="F176" s="3633">
        <v>1776</v>
      </c>
      <c r="G176" s="582"/>
      <c r="H176" s="584">
        <v>41823</v>
      </c>
      <c r="I176" s="3633">
        <v>35021</v>
      </c>
      <c r="J176" s="582"/>
      <c r="K176" s="584">
        <v>125458</v>
      </c>
      <c r="L176" s="3633">
        <v>10575</v>
      </c>
      <c r="M176" s="978"/>
      <c r="N176" s="1010"/>
      <c r="O176" s="3631"/>
      <c r="P176" s="3631"/>
      <c r="Q176" s="978"/>
      <c r="R176" s="3446">
        <v>59437</v>
      </c>
      <c r="S176" s="954"/>
      <c r="T176" s="954"/>
    </row>
    <row r="177" spans="1:20">
      <c r="A177" s="53">
        <v>2007.12</v>
      </c>
      <c r="B177" s="49">
        <v>1986</v>
      </c>
      <c r="C177" s="3633">
        <v>3601</v>
      </c>
      <c r="D177" s="113"/>
      <c r="E177" s="584">
        <v>10940</v>
      </c>
      <c r="F177" s="3633">
        <v>1536</v>
      </c>
      <c r="G177" s="582"/>
      <c r="H177" s="584">
        <v>24789</v>
      </c>
      <c r="I177" s="3633">
        <v>29635</v>
      </c>
      <c r="J177" s="582"/>
      <c r="K177" s="584">
        <v>109629</v>
      </c>
      <c r="L177" s="3633">
        <v>8926</v>
      </c>
      <c r="M177" s="978"/>
      <c r="N177" s="1010"/>
      <c r="O177" s="3631"/>
      <c r="P177" s="3631"/>
      <c r="Q177" s="978"/>
      <c r="R177" s="3446">
        <v>50675</v>
      </c>
      <c r="S177" s="954"/>
      <c r="T177" s="954"/>
    </row>
    <row r="178" spans="1:20">
      <c r="A178" s="53">
        <v>2008.01</v>
      </c>
      <c r="B178" s="49">
        <v>8184</v>
      </c>
      <c r="C178" s="3633">
        <v>6273</v>
      </c>
      <c r="D178" s="113"/>
      <c r="E178" s="584">
        <v>12588</v>
      </c>
      <c r="F178" s="3633">
        <v>1841</v>
      </c>
      <c r="G178" s="582"/>
      <c r="H178" s="584">
        <v>86214</v>
      </c>
      <c r="I178" s="3633">
        <v>47721</v>
      </c>
      <c r="J178" s="582"/>
      <c r="K178" s="584">
        <v>133191</v>
      </c>
      <c r="L178" s="3633">
        <v>11273</v>
      </c>
      <c r="M178" s="978"/>
      <c r="N178" s="1010"/>
      <c r="O178" s="3631"/>
      <c r="P178" s="3631"/>
      <c r="Q178" s="978"/>
      <c r="R178" s="3446">
        <v>41228</v>
      </c>
      <c r="S178" s="954"/>
      <c r="T178" s="954"/>
    </row>
    <row r="179" spans="1:20">
      <c r="A179" s="53">
        <v>2008.02</v>
      </c>
      <c r="B179" s="49">
        <v>4381</v>
      </c>
      <c r="C179" s="3633">
        <v>6110</v>
      </c>
      <c r="D179" s="113"/>
      <c r="E179" s="584">
        <v>11586</v>
      </c>
      <c r="F179" s="3633">
        <v>2033</v>
      </c>
      <c r="G179" s="582"/>
      <c r="H179" s="584">
        <v>46811</v>
      </c>
      <c r="I179" s="3633">
        <v>46233</v>
      </c>
      <c r="J179" s="582"/>
      <c r="K179" s="584">
        <v>117991</v>
      </c>
      <c r="L179" s="3633">
        <v>11620</v>
      </c>
      <c r="M179" s="588"/>
      <c r="N179" s="1011"/>
      <c r="O179" s="3553"/>
      <c r="P179" s="3553"/>
      <c r="Q179" s="588"/>
      <c r="R179" s="3446">
        <v>33637</v>
      </c>
      <c r="S179" s="954"/>
      <c r="T179" s="954"/>
    </row>
    <row r="180" spans="1:20">
      <c r="A180" s="53">
        <v>2008.03</v>
      </c>
      <c r="B180" s="49">
        <v>4184</v>
      </c>
      <c r="C180" s="3633">
        <v>5799</v>
      </c>
      <c r="D180" s="113"/>
      <c r="E180" s="584">
        <v>10492</v>
      </c>
      <c r="F180" s="3633">
        <v>1897</v>
      </c>
      <c r="G180" s="582"/>
      <c r="H180" s="584">
        <v>44559</v>
      </c>
      <c r="I180" s="3633">
        <v>41465</v>
      </c>
      <c r="J180" s="582"/>
      <c r="K180" s="584">
        <v>105590</v>
      </c>
      <c r="L180" s="3633">
        <v>10913</v>
      </c>
      <c r="M180" s="588"/>
      <c r="N180" s="1011"/>
      <c r="O180" s="3553"/>
      <c r="P180" s="3553"/>
      <c r="Q180" s="588"/>
      <c r="R180" s="3446">
        <v>49591</v>
      </c>
      <c r="S180" s="954"/>
      <c r="T180" s="954"/>
    </row>
    <row r="181" spans="1:20">
      <c r="A181" s="53">
        <v>2008.04</v>
      </c>
      <c r="B181" s="49">
        <v>5226</v>
      </c>
      <c r="C181" s="3633">
        <v>6290</v>
      </c>
      <c r="D181" s="113"/>
      <c r="E181" s="584">
        <v>12220</v>
      </c>
      <c r="F181" s="3633">
        <v>2352</v>
      </c>
      <c r="G181" s="582"/>
      <c r="H181" s="584">
        <v>56732</v>
      </c>
      <c r="I181" s="3633">
        <v>46408</v>
      </c>
      <c r="J181" s="582"/>
      <c r="K181" s="584">
        <v>126105</v>
      </c>
      <c r="L181" s="3633">
        <v>12630</v>
      </c>
      <c r="M181" s="588"/>
      <c r="N181" s="1011"/>
      <c r="O181" s="3553"/>
      <c r="P181" s="3553"/>
      <c r="Q181" s="588"/>
      <c r="R181" s="3446">
        <v>54622</v>
      </c>
      <c r="S181" s="954"/>
      <c r="T181" s="954"/>
    </row>
    <row r="182" spans="1:20">
      <c r="A182" s="53">
        <v>2008.05</v>
      </c>
      <c r="B182" s="49">
        <v>5227</v>
      </c>
      <c r="C182" s="3633">
        <v>6175</v>
      </c>
      <c r="D182" s="113"/>
      <c r="E182" s="584">
        <v>12571</v>
      </c>
      <c r="F182" s="3633">
        <v>2239</v>
      </c>
      <c r="G182" s="582"/>
      <c r="H182" s="584">
        <v>57664</v>
      </c>
      <c r="I182" s="3633">
        <v>43300</v>
      </c>
      <c r="J182" s="582"/>
      <c r="K182" s="584">
        <v>125863</v>
      </c>
      <c r="L182" s="3633">
        <v>12513</v>
      </c>
      <c r="M182" s="588"/>
      <c r="N182" s="1011"/>
      <c r="O182" s="3553"/>
      <c r="P182" s="3553"/>
      <c r="Q182" s="588"/>
      <c r="R182" s="3446">
        <v>56019</v>
      </c>
      <c r="S182" s="954"/>
      <c r="T182" s="954"/>
    </row>
    <row r="183" spans="1:20">
      <c r="A183" s="53">
        <v>2008.06</v>
      </c>
      <c r="B183" s="49">
        <v>4256</v>
      </c>
      <c r="C183" s="3633">
        <v>4651</v>
      </c>
      <c r="D183" s="113"/>
      <c r="E183" s="584">
        <v>10511</v>
      </c>
      <c r="F183" s="3633">
        <v>1839</v>
      </c>
      <c r="G183" s="582"/>
      <c r="H183" s="584">
        <v>49576</v>
      </c>
      <c r="I183" s="3633">
        <v>34632</v>
      </c>
      <c r="J183" s="582"/>
      <c r="K183" s="584">
        <v>111064</v>
      </c>
      <c r="L183" s="3633">
        <v>10118</v>
      </c>
      <c r="M183" s="588"/>
      <c r="N183" s="1011"/>
      <c r="O183" s="3553"/>
      <c r="P183" s="3553"/>
      <c r="Q183" s="588"/>
      <c r="R183" s="3446">
        <v>51249</v>
      </c>
      <c r="S183" s="954"/>
      <c r="T183" s="954"/>
    </row>
    <row r="184" spans="1:20">
      <c r="A184" s="53">
        <v>2008.07</v>
      </c>
      <c r="B184" s="49">
        <v>5235</v>
      </c>
      <c r="C184" s="3633">
        <v>5361</v>
      </c>
      <c r="D184" s="113"/>
      <c r="E184" s="584">
        <v>11488</v>
      </c>
      <c r="F184" s="3633">
        <v>2106</v>
      </c>
      <c r="G184" s="582"/>
      <c r="H184" s="584">
        <v>58769</v>
      </c>
      <c r="I184" s="3633">
        <v>40708</v>
      </c>
      <c r="J184" s="582"/>
      <c r="K184" s="584">
        <v>127650</v>
      </c>
      <c r="L184" s="3633">
        <v>11956</v>
      </c>
      <c r="M184" s="588"/>
      <c r="N184" s="1011"/>
      <c r="O184" s="3553"/>
      <c r="P184" s="3553"/>
      <c r="Q184" s="588"/>
      <c r="R184" s="3446">
        <v>62179</v>
      </c>
      <c r="S184" s="954"/>
      <c r="T184" s="954"/>
    </row>
    <row r="185" spans="1:20">
      <c r="A185" s="53">
        <v>2008.08</v>
      </c>
      <c r="B185" s="49">
        <v>5022</v>
      </c>
      <c r="C185" s="3633">
        <v>4939</v>
      </c>
      <c r="D185" s="113"/>
      <c r="E185" s="584">
        <v>11061</v>
      </c>
      <c r="F185" s="3633">
        <v>2077</v>
      </c>
      <c r="G185" s="582"/>
      <c r="H185" s="584">
        <v>51707</v>
      </c>
      <c r="I185" s="3633">
        <v>36333</v>
      </c>
      <c r="J185" s="582"/>
      <c r="K185" s="584">
        <v>115068</v>
      </c>
      <c r="L185" s="3633">
        <v>11388</v>
      </c>
      <c r="M185" s="588"/>
      <c r="N185" s="1011"/>
      <c r="O185" s="3553"/>
      <c r="P185" s="3553"/>
      <c r="Q185" s="588"/>
      <c r="R185" s="3446">
        <v>58077</v>
      </c>
      <c r="S185" s="954"/>
      <c r="T185" s="954"/>
    </row>
    <row r="186" spans="1:20">
      <c r="A186" s="53">
        <v>2008.09</v>
      </c>
      <c r="B186" s="49">
        <v>5187</v>
      </c>
      <c r="C186" s="3633">
        <v>5361</v>
      </c>
      <c r="D186" s="113"/>
      <c r="E186" s="584">
        <v>12118</v>
      </c>
      <c r="F186" s="3633">
        <v>2231</v>
      </c>
      <c r="G186" s="582"/>
      <c r="H186" s="584">
        <v>56348</v>
      </c>
      <c r="I186" s="3633">
        <v>41305</v>
      </c>
      <c r="J186" s="582"/>
      <c r="K186" s="584">
        <v>126646</v>
      </c>
      <c r="L186" s="3633">
        <v>13407</v>
      </c>
      <c r="M186" s="588"/>
      <c r="N186" s="1011"/>
      <c r="O186" s="3553"/>
      <c r="P186" s="3553"/>
      <c r="Q186" s="588"/>
      <c r="R186" s="3446">
        <v>62944</v>
      </c>
      <c r="S186" s="954"/>
      <c r="T186" s="954"/>
    </row>
    <row r="187" spans="1:20">
      <c r="A187" s="53">
        <v>2008.1</v>
      </c>
      <c r="B187" s="49">
        <v>4561</v>
      </c>
      <c r="C187" s="3633">
        <v>5152</v>
      </c>
      <c r="D187" s="113"/>
      <c r="E187" s="584">
        <v>11132</v>
      </c>
      <c r="F187" s="3633">
        <v>2279</v>
      </c>
      <c r="G187" s="582"/>
      <c r="H187" s="584">
        <v>51197</v>
      </c>
      <c r="I187" s="3633">
        <v>41132</v>
      </c>
      <c r="J187" s="582"/>
      <c r="K187" s="584">
        <v>121572</v>
      </c>
      <c r="L187" s="3633">
        <v>13521</v>
      </c>
      <c r="M187" s="588"/>
      <c r="N187" s="1011"/>
      <c r="O187" s="3553"/>
      <c r="P187" s="3553"/>
      <c r="Q187" s="588"/>
      <c r="R187" s="3446">
        <v>58072</v>
      </c>
      <c r="S187" s="954"/>
      <c r="T187" s="954"/>
    </row>
    <row r="188" spans="1:20">
      <c r="A188" s="53">
        <v>2008.11</v>
      </c>
      <c r="B188" s="49">
        <v>2787</v>
      </c>
      <c r="C188" s="3633">
        <v>4303</v>
      </c>
      <c r="D188" s="113"/>
      <c r="E188" s="584">
        <v>8710</v>
      </c>
      <c r="F188" s="3633">
        <v>1968</v>
      </c>
      <c r="G188" s="582"/>
      <c r="H188" s="584">
        <v>35645</v>
      </c>
      <c r="I188" s="3633">
        <v>36348</v>
      </c>
      <c r="J188" s="582"/>
      <c r="K188" s="584">
        <v>100297</v>
      </c>
      <c r="L188" s="3633">
        <v>12422</v>
      </c>
      <c r="M188" s="588"/>
      <c r="N188" s="1011"/>
      <c r="O188" s="3553"/>
      <c r="P188" s="3553"/>
      <c r="Q188" s="588"/>
      <c r="R188" s="3446">
        <v>42752</v>
      </c>
      <c r="S188" s="954"/>
      <c r="T188" s="954"/>
    </row>
    <row r="189" spans="1:20">
      <c r="A189" s="53">
        <v>2008.12</v>
      </c>
      <c r="B189" s="49">
        <v>1340</v>
      </c>
      <c r="C189" s="3633">
        <v>3505</v>
      </c>
      <c r="D189" s="113"/>
      <c r="E189" s="584">
        <v>8550</v>
      </c>
      <c r="F189" s="3633">
        <v>1809</v>
      </c>
      <c r="G189" s="582"/>
      <c r="H189" s="584">
        <v>20034</v>
      </c>
      <c r="I189" s="3633">
        <v>31061</v>
      </c>
      <c r="J189" s="582"/>
      <c r="K189" s="584">
        <v>98449</v>
      </c>
      <c r="L189" s="3633">
        <v>11280</v>
      </c>
      <c r="M189" s="588"/>
      <c r="N189" s="1011"/>
      <c r="O189" s="3553"/>
      <c r="P189" s="3553"/>
      <c r="Q189" s="588"/>
      <c r="R189" s="3446">
        <v>26716</v>
      </c>
      <c r="S189" s="954"/>
      <c r="T189" s="954"/>
    </row>
    <row r="190" spans="1:20">
      <c r="A190" s="53">
        <f>A178+1</f>
        <v>2009.01</v>
      </c>
      <c r="B190" s="49">
        <v>6481</v>
      </c>
      <c r="C190" s="3633">
        <v>4995</v>
      </c>
      <c r="D190" s="113"/>
      <c r="E190" s="584">
        <v>9447</v>
      </c>
      <c r="F190" s="3633">
        <v>2011</v>
      </c>
      <c r="G190" s="582"/>
      <c r="H190" s="584">
        <v>74053</v>
      </c>
      <c r="I190" s="3633">
        <v>42918</v>
      </c>
      <c r="J190" s="582"/>
      <c r="K190" s="584">
        <v>109370</v>
      </c>
      <c r="L190" s="3633">
        <v>13373</v>
      </c>
      <c r="M190" s="588"/>
      <c r="N190" s="1011"/>
      <c r="O190" s="3553"/>
      <c r="P190" s="3553"/>
      <c r="Q190" s="588"/>
      <c r="R190" s="3446">
        <v>18720</v>
      </c>
      <c r="S190" s="954"/>
      <c r="T190" s="954"/>
    </row>
    <row r="191" spans="1:20">
      <c r="A191" s="53">
        <f t="shared" ref="A191:A254" si="0">A179+1</f>
        <v>2009.02</v>
      </c>
      <c r="B191" s="49">
        <v>3184</v>
      </c>
      <c r="C191" s="3633">
        <v>4118</v>
      </c>
      <c r="D191" s="113"/>
      <c r="E191" s="584">
        <v>8131</v>
      </c>
      <c r="F191" s="3633">
        <v>1914</v>
      </c>
      <c r="G191" s="582"/>
      <c r="H191" s="584">
        <v>39196</v>
      </c>
      <c r="I191" s="3633">
        <v>36606</v>
      </c>
      <c r="J191" s="582"/>
      <c r="K191" s="584">
        <v>96965</v>
      </c>
      <c r="L191" s="3633">
        <v>13046</v>
      </c>
      <c r="M191" s="588"/>
      <c r="N191" s="1011"/>
      <c r="O191" s="3553"/>
      <c r="P191" s="3553"/>
      <c r="Q191" s="588"/>
      <c r="R191" s="3446">
        <v>14903</v>
      </c>
      <c r="S191" s="954"/>
      <c r="T191" s="954"/>
    </row>
    <row r="192" spans="1:20">
      <c r="A192" s="53">
        <f t="shared" si="0"/>
        <v>2009.03</v>
      </c>
      <c r="B192" s="49">
        <v>3305</v>
      </c>
      <c r="C192" s="3633">
        <v>4371</v>
      </c>
      <c r="D192" s="113"/>
      <c r="E192" s="584">
        <v>8952</v>
      </c>
      <c r="F192" s="3633">
        <v>2042</v>
      </c>
      <c r="G192" s="582"/>
      <c r="H192" s="584">
        <v>41507</v>
      </c>
      <c r="I192" s="3633">
        <v>39634</v>
      </c>
      <c r="J192" s="582"/>
      <c r="K192" s="584">
        <v>102341</v>
      </c>
      <c r="L192" s="3633">
        <v>14766</v>
      </c>
      <c r="M192" s="588"/>
      <c r="N192" s="1011"/>
      <c r="O192" s="3553"/>
      <c r="P192" s="3553"/>
      <c r="Q192" s="588"/>
      <c r="R192" s="3446">
        <v>37904</v>
      </c>
      <c r="S192" s="954"/>
      <c r="T192" s="954"/>
    </row>
    <row r="193" spans="1:20">
      <c r="A193" s="53">
        <f t="shared" si="0"/>
        <v>2009.04</v>
      </c>
      <c r="B193" s="49">
        <v>3375</v>
      </c>
      <c r="C193" s="3633">
        <v>3625</v>
      </c>
      <c r="D193" s="113"/>
      <c r="E193" s="584">
        <v>8603</v>
      </c>
      <c r="F193" s="3633">
        <v>2018</v>
      </c>
      <c r="G193" s="582"/>
      <c r="H193" s="584">
        <v>40653</v>
      </c>
      <c r="I193" s="3633">
        <v>34210</v>
      </c>
      <c r="J193" s="582"/>
      <c r="K193" s="584">
        <v>100675</v>
      </c>
      <c r="L193" s="3633">
        <v>14051</v>
      </c>
      <c r="M193" s="978"/>
      <c r="N193" s="1010"/>
      <c r="O193" s="3631"/>
      <c r="P193" s="3631"/>
      <c r="Q193" s="978"/>
      <c r="R193" s="3446">
        <v>37269</v>
      </c>
      <c r="S193" s="954"/>
      <c r="T193" s="954"/>
    </row>
    <row r="194" spans="1:20">
      <c r="A194" s="53">
        <f t="shared" si="0"/>
        <v>2009.05</v>
      </c>
      <c r="B194" s="49">
        <v>3428</v>
      </c>
      <c r="C194" s="3633">
        <v>3191</v>
      </c>
      <c r="D194" s="113"/>
      <c r="E194" s="584">
        <v>8755</v>
      </c>
      <c r="F194" s="3633">
        <v>1910</v>
      </c>
      <c r="G194" s="582"/>
      <c r="H194" s="584">
        <v>40257</v>
      </c>
      <c r="I194" s="3633">
        <v>29596</v>
      </c>
      <c r="J194" s="582"/>
      <c r="K194" s="584">
        <v>98977</v>
      </c>
      <c r="L194" s="3633">
        <v>12728</v>
      </c>
      <c r="M194" s="978"/>
      <c r="N194" s="1010"/>
      <c r="O194" s="3631"/>
      <c r="P194" s="3631"/>
      <c r="Q194" s="978"/>
      <c r="R194" s="3446">
        <v>42783</v>
      </c>
      <c r="S194" s="954"/>
      <c r="T194" s="954"/>
    </row>
    <row r="195" spans="1:20">
      <c r="A195" s="53">
        <f t="shared" si="0"/>
        <v>2009.06</v>
      </c>
      <c r="B195" s="49">
        <v>3852</v>
      </c>
      <c r="C195" s="3633">
        <v>3063</v>
      </c>
      <c r="D195" s="113"/>
      <c r="E195" s="584">
        <v>9542</v>
      </c>
      <c r="F195" s="3633">
        <v>1905</v>
      </c>
      <c r="G195" s="582"/>
      <c r="H195" s="584">
        <v>44167</v>
      </c>
      <c r="I195" s="3633">
        <v>28159</v>
      </c>
      <c r="J195" s="582"/>
      <c r="K195" s="584">
        <v>107020</v>
      </c>
      <c r="L195" s="3633">
        <v>12738</v>
      </c>
      <c r="M195" s="978"/>
      <c r="N195" s="1010"/>
      <c r="O195" s="3631"/>
      <c r="P195" s="3631"/>
      <c r="Q195" s="978"/>
      <c r="R195" s="3446">
        <v>44527</v>
      </c>
      <c r="S195" s="954"/>
      <c r="T195" s="954"/>
    </row>
    <row r="196" spans="1:20">
      <c r="A196" s="53">
        <f t="shared" si="0"/>
        <v>2009.07</v>
      </c>
      <c r="B196" s="49">
        <v>3946</v>
      </c>
      <c r="C196" s="3633">
        <v>3250</v>
      </c>
      <c r="D196" s="113"/>
      <c r="E196" s="584">
        <v>10893</v>
      </c>
      <c r="F196" s="3633">
        <v>2042</v>
      </c>
      <c r="G196" s="582"/>
      <c r="H196" s="584">
        <v>46733</v>
      </c>
      <c r="I196" s="3633">
        <v>29522</v>
      </c>
      <c r="J196" s="582"/>
      <c r="K196" s="584">
        <v>116489</v>
      </c>
      <c r="L196" s="3633">
        <v>13047</v>
      </c>
      <c r="M196" s="978"/>
      <c r="N196" s="1010"/>
      <c r="O196" s="3631"/>
      <c r="P196" s="3631"/>
      <c r="Q196" s="978"/>
      <c r="R196" s="3446">
        <v>47219</v>
      </c>
      <c r="S196" s="954"/>
      <c r="T196" s="954"/>
    </row>
    <row r="197" spans="1:20">
      <c r="A197" s="53">
        <f t="shared" si="0"/>
        <v>2009.08</v>
      </c>
      <c r="B197" s="49">
        <v>3617</v>
      </c>
      <c r="C197" s="3633">
        <v>2994</v>
      </c>
      <c r="D197" s="113"/>
      <c r="E197" s="584">
        <v>10598</v>
      </c>
      <c r="F197" s="3633">
        <v>1986</v>
      </c>
      <c r="G197" s="582"/>
      <c r="H197" s="584">
        <v>42564</v>
      </c>
      <c r="I197" s="3633">
        <v>29867</v>
      </c>
      <c r="J197" s="582"/>
      <c r="K197" s="584">
        <v>116785</v>
      </c>
      <c r="L197" s="3633">
        <v>14149</v>
      </c>
      <c r="M197" s="978"/>
      <c r="N197" s="1010"/>
      <c r="O197" s="3631"/>
      <c r="P197" s="3631"/>
      <c r="Q197" s="978"/>
      <c r="R197" s="3446">
        <v>47824</v>
      </c>
      <c r="S197" s="954"/>
      <c r="T197" s="954"/>
    </row>
    <row r="198" spans="1:20">
      <c r="A198" s="53">
        <f t="shared" si="0"/>
        <v>2009.09</v>
      </c>
      <c r="B198" s="49">
        <v>3902</v>
      </c>
      <c r="C198" s="3633">
        <v>3304</v>
      </c>
      <c r="D198" s="113"/>
      <c r="E198" s="584">
        <v>10982</v>
      </c>
      <c r="F198" s="3633">
        <v>2235</v>
      </c>
      <c r="G198" s="582"/>
      <c r="H198" s="584">
        <v>46274</v>
      </c>
      <c r="I198" s="3633">
        <v>32068</v>
      </c>
      <c r="J198" s="582"/>
      <c r="K198" s="584">
        <v>128342</v>
      </c>
      <c r="L198" s="3633">
        <v>15704</v>
      </c>
      <c r="M198" s="978"/>
      <c r="N198" s="1010"/>
      <c r="O198" s="3631"/>
      <c r="P198" s="3631"/>
      <c r="Q198" s="978"/>
      <c r="R198" s="3446">
        <v>54691</v>
      </c>
      <c r="S198" s="954"/>
      <c r="T198" s="954"/>
    </row>
    <row r="199" spans="1:20">
      <c r="A199" s="53">
        <f t="shared" si="0"/>
        <v>2009.1</v>
      </c>
      <c r="B199" s="49">
        <v>3229</v>
      </c>
      <c r="C199" s="3633">
        <v>3108</v>
      </c>
      <c r="D199" s="113"/>
      <c r="E199" s="584">
        <v>10574</v>
      </c>
      <c r="F199" s="3633">
        <v>2199</v>
      </c>
      <c r="G199" s="582"/>
      <c r="H199" s="584">
        <v>40255</v>
      </c>
      <c r="I199" s="3633">
        <v>31915</v>
      </c>
      <c r="J199" s="582"/>
      <c r="K199" s="584">
        <v>118816</v>
      </c>
      <c r="L199" s="3633">
        <v>15238</v>
      </c>
      <c r="M199" s="978"/>
      <c r="N199" s="1010"/>
      <c r="O199" s="3631"/>
      <c r="P199" s="3631"/>
      <c r="Q199" s="978"/>
      <c r="R199" s="3446">
        <v>57439</v>
      </c>
      <c r="S199" s="954"/>
      <c r="T199" s="954"/>
    </row>
    <row r="200" spans="1:20">
      <c r="A200" s="53">
        <f t="shared" si="0"/>
        <v>2009.11</v>
      </c>
      <c r="B200" s="49">
        <v>2966</v>
      </c>
      <c r="C200" s="3633">
        <v>3213</v>
      </c>
      <c r="D200" s="113"/>
      <c r="E200" s="584">
        <v>10085</v>
      </c>
      <c r="F200" s="3633">
        <v>2104</v>
      </c>
      <c r="G200" s="582"/>
      <c r="H200" s="584">
        <v>37653</v>
      </c>
      <c r="I200" s="3633">
        <v>30505</v>
      </c>
      <c r="J200" s="582"/>
      <c r="K200" s="584">
        <v>113403</v>
      </c>
      <c r="L200" s="3633">
        <v>14870</v>
      </c>
      <c r="M200" s="978"/>
      <c r="N200" s="1010"/>
      <c r="O200" s="3631"/>
      <c r="P200" s="3631"/>
      <c r="Q200" s="978"/>
      <c r="R200" s="3446">
        <v>56493</v>
      </c>
      <c r="S200" s="954"/>
      <c r="T200" s="954"/>
    </row>
    <row r="201" spans="1:20">
      <c r="A201" s="53">
        <f t="shared" si="0"/>
        <v>2009.12</v>
      </c>
      <c r="B201" s="49">
        <v>1470</v>
      </c>
      <c r="C201" s="3633">
        <v>2848</v>
      </c>
      <c r="D201" s="113"/>
      <c r="E201" s="584">
        <v>10458</v>
      </c>
      <c r="F201" s="3633">
        <v>2055</v>
      </c>
      <c r="G201" s="582"/>
      <c r="H201" s="584">
        <v>23487</v>
      </c>
      <c r="I201" s="3633">
        <v>28015</v>
      </c>
      <c r="J201" s="582"/>
      <c r="K201" s="584">
        <v>119035</v>
      </c>
      <c r="L201" s="3633">
        <v>14014</v>
      </c>
      <c r="M201" s="978"/>
      <c r="N201" s="1010"/>
      <c r="O201" s="3631"/>
      <c r="P201" s="3631"/>
      <c r="Q201" s="978"/>
      <c r="R201" s="3446">
        <v>53152</v>
      </c>
      <c r="S201" s="954"/>
      <c r="T201" s="954"/>
    </row>
    <row r="202" spans="1:20">
      <c r="A202" s="53">
        <f>A190+1</f>
        <v>2010.01</v>
      </c>
      <c r="B202" s="49">
        <v>6974</v>
      </c>
      <c r="C202" s="3633">
        <v>4177</v>
      </c>
      <c r="D202" s="113"/>
      <c r="E202" s="584">
        <v>10584</v>
      </c>
      <c r="F202" s="3633">
        <v>2253</v>
      </c>
      <c r="G202" s="582"/>
      <c r="H202" s="584">
        <v>79051</v>
      </c>
      <c r="I202" s="3633">
        <v>37514</v>
      </c>
      <c r="J202" s="582"/>
      <c r="K202" s="584">
        <v>121507</v>
      </c>
      <c r="L202" s="3633">
        <v>15320</v>
      </c>
      <c r="M202" s="978"/>
      <c r="N202" s="1010"/>
      <c r="O202" s="3631"/>
      <c r="P202" s="3631"/>
      <c r="Q202" s="978"/>
      <c r="R202" s="3446">
        <v>31602</v>
      </c>
      <c r="S202" s="954"/>
      <c r="T202" s="954"/>
    </row>
    <row r="203" spans="1:20">
      <c r="A203" s="53">
        <f t="shared" si="0"/>
        <v>2010.02</v>
      </c>
      <c r="B203" s="49">
        <v>3634</v>
      </c>
      <c r="C203" s="3633">
        <v>4207</v>
      </c>
      <c r="D203" s="113"/>
      <c r="E203" s="584">
        <v>9518</v>
      </c>
      <c r="F203" s="3633">
        <v>2186</v>
      </c>
      <c r="G203" s="582"/>
      <c r="H203" s="584">
        <v>44906</v>
      </c>
      <c r="I203" s="3633">
        <v>36627</v>
      </c>
      <c r="J203" s="582"/>
      <c r="K203" s="584">
        <v>107713</v>
      </c>
      <c r="L203" s="3633">
        <v>15330</v>
      </c>
      <c r="M203" s="978"/>
      <c r="N203" s="1010"/>
      <c r="O203" s="3631"/>
      <c r="P203" s="3631"/>
      <c r="Q203" s="978"/>
      <c r="R203" s="3446">
        <v>40106</v>
      </c>
      <c r="S203" s="954"/>
      <c r="T203" s="954"/>
    </row>
    <row r="204" spans="1:20">
      <c r="A204" s="53">
        <f t="shared" si="0"/>
        <v>2010.03</v>
      </c>
      <c r="B204" s="49">
        <v>4465</v>
      </c>
      <c r="C204" s="3633">
        <v>4975</v>
      </c>
      <c r="D204" s="113"/>
      <c r="E204" s="584">
        <v>11792</v>
      </c>
      <c r="F204" s="3633">
        <v>2505</v>
      </c>
      <c r="G204" s="582"/>
      <c r="H204" s="584">
        <v>57489</v>
      </c>
      <c r="I204" s="3633">
        <v>47510</v>
      </c>
      <c r="J204" s="582"/>
      <c r="K204" s="584">
        <v>131633</v>
      </c>
      <c r="L204" s="3633">
        <v>18570</v>
      </c>
      <c r="M204" s="978"/>
      <c r="N204" s="1010"/>
      <c r="O204" s="3631"/>
      <c r="P204" s="3631"/>
      <c r="Q204" s="978"/>
      <c r="R204" s="3446">
        <v>52669</v>
      </c>
      <c r="S204" s="954"/>
      <c r="T204" s="954"/>
    </row>
    <row r="205" spans="1:20">
      <c r="A205" s="53">
        <f t="shared" si="0"/>
        <v>2010.04</v>
      </c>
      <c r="B205" s="49">
        <v>3995</v>
      </c>
      <c r="C205" s="3633">
        <v>5985</v>
      </c>
      <c r="D205" s="113"/>
      <c r="E205" s="584">
        <v>10700</v>
      </c>
      <c r="F205" s="3633">
        <v>2445</v>
      </c>
      <c r="G205" s="582"/>
      <c r="H205" s="584">
        <v>51281</v>
      </c>
      <c r="I205" s="3633">
        <v>51433</v>
      </c>
      <c r="J205" s="582"/>
      <c r="K205" s="584">
        <v>122379</v>
      </c>
      <c r="L205" s="3633">
        <v>16651</v>
      </c>
      <c r="M205" s="978"/>
      <c r="N205" s="1010"/>
      <c r="O205" s="3631"/>
      <c r="P205" s="3631"/>
      <c r="Q205" s="978"/>
      <c r="R205" s="3446">
        <v>57120</v>
      </c>
      <c r="S205" s="954"/>
      <c r="T205" s="954"/>
    </row>
    <row r="206" spans="1:20">
      <c r="A206" s="53">
        <f t="shared" si="0"/>
        <v>2010.05</v>
      </c>
      <c r="B206" s="49">
        <v>3939</v>
      </c>
      <c r="C206" s="3633">
        <v>6149</v>
      </c>
      <c r="D206" s="113"/>
      <c r="E206" s="584">
        <v>10423</v>
      </c>
      <c r="F206" s="3633">
        <v>2169</v>
      </c>
      <c r="G206" s="582"/>
      <c r="H206" s="584">
        <v>50941</v>
      </c>
      <c r="I206" s="3633">
        <v>49734</v>
      </c>
      <c r="J206" s="582"/>
      <c r="K206" s="584">
        <v>113119</v>
      </c>
      <c r="L206" s="3633">
        <v>14677</v>
      </c>
      <c r="M206" s="978"/>
      <c r="N206" s="1010"/>
      <c r="O206" s="3631"/>
      <c r="P206" s="3631"/>
      <c r="Q206" s="978"/>
      <c r="R206" s="3446">
        <v>59723</v>
      </c>
      <c r="S206" s="954"/>
      <c r="T206" s="954"/>
    </row>
    <row r="207" spans="1:20">
      <c r="A207" s="53">
        <f t="shared" si="0"/>
        <v>2010.06</v>
      </c>
      <c r="B207" s="49">
        <v>4416</v>
      </c>
      <c r="C207" s="3633">
        <v>5621</v>
      </c>
      <c r="D207" s="113"/>
      <c r="E207" s="584">
        <v>11584</v>
      </c>
      <c r="F207" s="3633">
        <v>2282</v>
      </c>
      <c r="G207" s="582"/>
      <c r="H207" s="584">
        <v>55061</v>
      </c>
      <c r="I207" s="3633">
        <v>49304</v>
      </c>
      <c r="J207" s="582"/>
      <c r="K207" s="584">
        <v>123846</v>
      </c>
      <c r="L207" s="3633">
        <v>15503</v>
      </c>
      <c r="M207" s="978"/>
      <c r="N207" s="1010"/>
      <c r="O207" s="3631"/>
      <c r="P207" s="3631"/>
      <c r="Q207" s="978"/>
      <c r="R207" s="3446">
        <v>65256</v>
      </c>
      <c r="S207" s="954"/>
      <c r="T207" s="954"/>
    </row>
    <row r="208" spans="1:20">
      <c r="A208" s="53">
        <f t="shared" si="0"/>
        <v>2010.07</v>
      </c>
      <c r="B208" s="49">
        <v>4915</v>
      </c>
      <c r="C208" s="3633">
        <v>6052</v>
      </c>
      <c r="D208" s="113"/>
      <c r="E208" s="584">
        <v>12213</v>
      </c>
      <c r="F208" s="3633">
        <v>2331</v>
      </c>
      <c r="G208" s="582"/>
      <c r="H208" s="584">
        <v>57693</v>
      </c>
      <c r="I208" s="3633">
        <v>52346</v>
      </c>
      <c r="J208" s="582"/>
      <c r="K208" s="584">
        <v>128955</v>
      </c>
      <c r="L208" s="3633">
        <v>15434</v>
      </c>
      <c r="M208" s="978"/>
      <c r="N208" s="1010"/>
      <c r="O208" s="3631"/>
      <c r="P208" s="3631"/>
      <c r="Q208" s="978"/>
      <c r="R208" s="3446">
        <v>57706</v>
      </c>
      <c r="S208" s="954"/>
      <c r="T208" s="954"/>
    </row>
    <row r="209" spans="1:20">
      <c r="A209" s="53">
        <f t="shared" si="0"/>
        <v>2010.08</v>
      </c>
      <c r="B209" s="49">
        <v>4926</v>
      </c>
      <c r="C209" s="3633">
        <v>7046</v>
      </c>
      <c r="D209" s="113"/>
      <c r="E209" s="584">
        <v>13280</v>
      </c>
      <c r="F209" s="3633">
        <v>2617</v>
      </c>
      <c r="G209" s="582"/>
      <c r="H209" s="584">
        <v>57623</v>
      </c>
      <c r="I209" s="3633">
        <v>59517</v>
      </c>
      <c r="J209" s="582"/>
      <c r="K209" s="584">
        <v>135798</v>
      </c>
      <c r="L209" s="3633">
        <v>16505</v>
      </c>
      <c r="M209" s="978"/>
      <c r="N209" s="1010"/>
      <c r="O209" s="3631"/>
      <c r="P209" s="3631"/>
      <c r="Q209" s="978"/>
      <c r="R209" s="3446">
        <v>72967</v>
      </c>
      <c r="S209" s="954"/>
      <c r="T209" s="954"/>
    </row>
    <row r="210" spans="1:20">
      <c r="A210" s="53">
        <f t="shared" si="0"/>
        <v>2010.09</v>
      </c>
      <c r="B210" s="49">
        <v>5471</v>
      </c>
      <c r="C210" s="3633">
        <v>6989</v>
      </c>
      <c r="D210" s="113"/>
      <c r="E210" s="584">
        <v>13842</v>
      </c>
      <c r="F210" s="3633">
        <v>2809</v>
      </c>
      <c r="G210" s="582"/>
      <c r="H210" s="584">
        <v>64235</v>
      </c>
      <c r="I210" s="3633">
        <v>62885</v>
      </c>
      <c r="J210" s="582"/>
      <c r="K210" s="584">
        <v>145247</v>
      </c>
      <c r="L210" s="3633">
        <v>19093</v>
      </c>
      <c r="M210" s="978"/>
      <c r="N210" s="1010"/>
      <c r="O210" s="3631"/>
      <c r="P210" s="3631"/>
      <c r="Q210" s="978"/>
      <c r="R210" s="3446">
        <v>75344</v>
      </c>
      <c r="S210" s="954"/>
      <c r="T210" s="954"/>
    </row>
    <row r="211" spans="1:20">
      <c r="A211" s="53">
        <f t="shared" si="0"/>
        <v>2010.1</v>
      </c>
      <c r="B211" s="49">
        <v>4634</v>
      </c>
      <c r="C211" s="3633">
        <v>6070</v>
      </c>
      <c r="D211" s="113"/>
      <c r="E211" s="584">
        <v>11893</v>
      </c>
      <c r="F211" s="3633">
        <v>2420</v>
      </c>
      <c r="G211" s="582"/>
      <c r="H211" s="584">
        <v>53970</v>
      </c>
      <c r="I211" s="3633">
        <v>55370</v>
      </c>
      <c r="J211" s="582"/>
      <c r="K211" s="584">
        <v>126775</v>
      </c>
      <c r="L211" s="3633">
        <v>17361</v>
      </c>
      <c r="M211" s="978"/>
      <c r="N211" s="1010"/>
      <c r="O211" s="3631"/>
      <c r="P211" s="3631"/>
      <c r="Q211" s="978"/>
      <c r="R211" s="3446">
        <v>67495</v>
      </c>
      <c r="S211" s="954"/>
      <c r="T211" s="954"/>
    </row>
    <row r="212" spans="1:20">
      <c r="A212" s="53">
        <f t="shared" si="0"/>
        <v>2010.11</v>
      </c>
      <c r="B212" s="49">
        <v>4375</v>
      </c>
      <c r="C212" s="3633">
        <v>7415</v>
      </c>
      <c r="D212" s="113"/>
      <c r="E212" s="584">
        <v>13346</v>
      </c>
      <c r="F212" s="3633">
        <v>2930</v>
      </c>
      <c r="G212" s="582"/>
      <c r="H212" s="584">
        <v>54348</v>
      </c>
      <c r="I212" s="3633">
        <v>62804</v>
      </c>
      <c r="J212" s="582"/>
      <c r="K212" s="584">
        <v>141297</v>
      </c>
      <c r="L212" s="3633">
        <v>20500</v>
      </c>
      <c r="M212" s="978"/>
      <c r="N212" s="1010"/>
      <c r="O212" s="3631"/>
      <c r="P212" s="3631"/>
      <c r="Q212" s="978"/>
      <c r="R212" s="3446">
        <v>76813</v>
      </c>
      <c r="S212" s="954"/>
      <c r="T212" s="954"/>
    </row>
    <row r="213" spans="1:20">
      <c r="A213" s="53">
        <f t="shared" si="0"/>
        <v>2010.12</v>
      </c>
      <c r="B213" s="49">
        <v>3065</v>
      </c>
      <c r="C213" s="3633">
        <v>7060</v>
      </c>
      <c r="D213" s="113"/>
      <c r="E213" s="584">
        <v>13808</v>
      </c>
      <c r="F213" s="3633">
        <v>2791</v>
      </c>
      <c r="G213" s="582"/>
      <c r="H213" s="584">
        <v>38954</v>
      </c>
      <c r="I213" s="3633">
        <v>61402</v>
      </c>
      <c r="J213" s="582"/>
      <c r="K213" s="584">
        <v>145907</v>
      </c>
      <c r="L213" s="3633">
        <v>19287</v>
      </c>
      <c r="M213" s="978"/>
      <c r="N213" s="1010"/>
      <c r="O213" s="3631"/>
      <c r="P213" s="3631"/>
      <c r="Q213" s="978"/>
      <c r="R213" s="3446">
        <v>67222</v>
      </c>
      <c r="S213" s="954"/>
      <c r="T213" s="954"/>
    </row>
    <row r="214" spans="1:20">
      <c r="A214" s="53">
        <f>A202+1</f>
        <v>2011.01</v>
      </c>
      <c r="B214" s="49">
        <v>9051</v>
      </c>
      <c r="C214" s="3633">
        <v>8978</v>
      </c>
      <c r="D214" s="113"/>
      <c r="E214" s="584">
        <v>13279</v>
      </c>
      <c r="F214" s="3633">
        <v>2836</v>
      </c>
      <c r="G214" s="582"/>
      <c r="H214" s="584">
        <v>104339</v>
      </c>
      <c r="I214" s="3633">
        <v>76553</v>
      </c>
      <c r="J214" s="582"/>
      <c r="K214" s="584">
        <v>145332</v>
      </c>
      <c r="L214" s="3633">
        <v>20097</v>
      </c>
      <c r="M214" s="978"/>
      <c r="N214" s="1010"/>
      <c r="O214" s="3631"/>
      <c r="P214" s="3631"/>
      <c r="Q214" s="978"/>
      <c r="R214" s="3446">
        <v>46948</v>
      </c>
      <c r="S214" s="954"/>
      <c r="T214" s="954"/>
    </row>
    <row r="215" spans="1:20">
      <c r="A215" s="53">
        <f t="shared" si="0"/>
        <v>2011.02</v>
      </c>
      <c r="B215" s="49">
        <v>4930</v>
      </c>
      <c r="C215" s="3633">
        <v>8665</v>
      </c>
      <c r="D215" s="582"/>
      <c r="E215" s="584">
        <v>12378</v>
      </c>
      <c r="F215" s="3633">
        <v>2755</v>
      </c>
      <c r="G215" s="582"/>
      <c r="H215" s="584">
        <v>60398</v>
      </c>
      <c r="I215" s="3633">
        <v>73082</v>
      </c>
      <c r="J215" s="582"/>
      <c r="K215" s="584">
        <v>138912</v>
      </c>
      <c r="L215" s="3633">
        <v>20163</v>
      </c>
      <c r="M215" s="978"/>
      <c r="N215" s="1010"/>
      <c r="O215" s="3631"/>
      <c r="P215" s="3631"/>
      <c r="Q215" s="978"/>
      <c r="R215" s="3446">
        <v>42051</v>
      </c>
      <c r="S215" s="954"/>
      <c r="T215" s="954"/>
    </row>
    <row r="216" spans="1:20">
      <c r="A216" s="53">
        <f t="shared" si="0"/>
        <v>2011.03</v>
      </c>
      <c r="B216" s="49">
        <v>5899</v>
      </c>
      <c r="C216" s="3633">
        <v>7939</v>
      </c>
      <c r="D216" s="582"/>
      <c r="E216" s="584">
        <v>12793</v>
      </c>
      <c r="F216" s="3633">
        <v>2997</v>
      </c>
      <c r="G216" s="582"/>
      <c r="H216" s="584">
        <v>67829</v>
      </c>
      <c r="I216" s="3633">
        <v>73733</v>
      </c>
      <c r="J216" s="582"/>
      <c r="K216" s="584">
        <v>138738</v>
      </c>
      <c r="L216" s="3633">
        <v>21499</v>
      </c>
      <c r="M216" s="978"/>
      <c r="N216" s="1010"/>
      <c r="O216" s="3631"/>
      <c r="P216" s="3631"/>
      <c r="Q216" s="978"/>
      <c r="R216" s="3446">
        <v>70487</v>
      </c>
      <c r="S216" s="954"/>
      <c r="T216" s="954"/>
    </row>
    <row r="217" spans="1:20">
      <c r="A217" s="53">
        <f t="shared" si="0"/>
        <v>2011.04</v>
      </c>
      <c r="B217" s="49">
        <v>5862</v>
      </c>
      <c r="C217" s="3633">
        <v>6815</v>
      </c>
      <c r="D217" s="582"/>
      <c r="E217" s="584">
        <v>11823</v>
      </c>
      <c r="F217" s="3633">
        <v>2655</v>
      </c>
      <c r="G217" s="582"/>
      <c r="H217" s="584">
        <v>65595</v>
      </c>
      <c r="I217" s="3633">
        <v>59295</v>
      </c>
      <c r="J217" s="582"/>
      <c r="K217" s="584">
        <v>134708</v>
      </c>
      <c r="L217" s="3633">
        <v>20001</v>
      </c>
      <c r="M217" s="978"/>
      <c r="N217" s="1010"/>
      <c r="O217" s="3631"/>
      <c r="P217" s="3631"/>
      <c r="Q217" s="978"/>
      <c r="R217" s="3446">
        <v>72432</v>
      </c>
      <c r="S217" s="954"/>
      <c r="T217" s="954"/>
    </row>
    <row r="218" spans="1:20">
      <c r="A218" s="53">
        <f t="shared" si="0"/>
        <v>2011.05</v>
      </c>
      <c r="B218" s="49">
        <v>5660</v>
      </c>
      <c r="C218" s="3633">
        <v>6622</v>
      </c>
      <c r="D218" s="582"/>
      <c r="E218" s="584">
        <v>14939</v>
      </c>
      <c r="F218" s="3633">
        <v>3205</v>
      </c>
      <c r="G218" s="582"/>
      <c r="H218" s="584">
        <v>68218</v>
      </c>
      <c r="I218" s="3633">
        <v>64175</v>
      </c>
      <c r="J218" s="582"/>
      <c r="K218" s="584">
        <v>156998</v>
      </c>
      <c r="L218" s="3633">
        <v>22609</v>
      </c>
      <c r="M218" s="978"/>
      <c r="N218" s="1010"/>
      <c r="O218" s="3631"/>
      <c r="P218" s="3631"/>
      <c r="Q218" s="978"/>
      <c r="R218" s="3446">
        <v>79585</v>
      </c>
      <c r="S218" s="954"/>
      <c r="T218" s="954"/>
    </row>
    <row r="219" spans="1:20">
      <c r="A219" s="53">
        <f t="shared" si="0"/>
        <v>2011.06</v>
      </c>
      <c r="B219" s="49">
        <v>7115</v>
      </c>
      <c r="C219" s="3633">
        <v>6084</v>
      </c>
      <c r="D219" s="582"/>
      <c r="E219" s="584">
        <v>15100</v>
      </c>
      <c r="F219" s="3633">
        <v>2708</v>
      </c>
      <c r="G219" s="582"/>
      <c r="H219" s="584">
        <v>78720</v>
      </c>
      <c r="I219" s="3633">
        <v>56681</v>
      </c>
      <c r="J219" s="582"/>
      <c r="K219" s="584">
        <v>155070</v>
      </c>
      <c r="L219" s="3633">
        <v>19837</v>
      </c>
      <c r="M219" s="978"/>
      <c r="N219" s="1010"/>
      <c r="O219" s="3631"/>
      <c r="P219" s="3631"/>
      <c r="Q219" s="978"/>
      <c r="R219" s="3446">
        <v>80795</v>
      </c>
      <c r="S219" s="954"/>
      <c r="T219" s="954"/>
    </row>
    <row r="220" spans="1:20">
      <c r="A220" s="53">
        <f t="shared" si="0"/>
        <v>2011.07</v>
      </c>
      <c r="B220" s="49">
        <v>6360</v>
      </c>
      <c r="C220" s="3633">
        <v>6386</v>
      </c>
      <c r="D220" s="582"/>
      <c r="E220" s="584">
        <v>15252</v>
      </c>
      <c r="F220" s="3633">
        <v>2780</v>
      </c>
      <c r="G220" s="582"/>
      <c r="H220" s="584">
        <v>73223</v>
      </c>
      <c r="I220" s="3633">
        <v>55307</v>
      </c>
      <c r="J220" s="582"/>
      <c r="K220" s="584">
        <v>158818</v>
      </c>
      <c r="L220" s="3633">
        <v>19881</v>
      </c>
      <c r="M220" s="978"/>
      <c r="N220" s="1010"/>
      <c r="O220" s="3631"/>
      <c r="P220" s="3631"/>
      <c r="Q220" s="978"/>
      <c r="R220" s="3446">
        <v>70628</v>
      </c>
      <c r="S220" s="954"/>
      <c r="T220" s="954"/>
    </row>
    <row r="221" spans="1:20">
      <c r="A221" s="53">
        <f t="shared" si="0"/>
        <v>2011.08</v>
      </c>
      <c r="B221" s="49">
        <v>7105</v>
      </c>
      <c r="C221" s="3633">
        <v>7205</v>
      </c>
      <c r="D221" s="582"/>
      <c r="E221" s="584">
        <v>16723</v>
      </c>
      <c r="F221" s="3633">
        <v>3266</v>
      </c>
      <c r="G221" s="582"/>
      <c r="H221" s="584">
        <v>80246</v>
      </c>
      <c r="I221" s="3633">
        <v>62530</v>
      </c>
      <c r="J221" s="582"/>
      <c r="K221" s="584">
        <v>172342</v>
      </c>
      <c r="L221" s="3633">
        <v>22232</v>
      </c>
      <c r="M221" s="978"/>
      <c r="N221" s="1010"/>
      <c r="O221" s="3631"/>
      <c r="P221" s="3631"/>
      <c r="Q221" s="978"/>
      <c r="R221" s="3446">
        <v>84655</v>
      </c>
      <c r="S221" s="954"/>
      <c r="T221" s="954"/>
    </row>
    <row r="222" spans="1:20">
      <c r="A222" s="53">
        <f t="shared" si="0"/>
        <v>2011.09</v>
      </c>
      <c r="B222" s="49">
        <v>7287</v>
      </c>
      <c r="C222" s="3633">
        <v>7432</v>
      </c>
      <c r="D222" s="582"/>
      <c r="E222" s="584">
        <v>16520</v>
      </c>
      <c r="F222" s="3633">
        <v>3500</v>
      </c>
      <c r="G222" s="582"/>
      <c r="H222" s="584">
        <v>84583</v>
      </c>
      <c r="I222" s="3633">
        <v>66351</v>
      </c>
      <c r="J222" s="582"/>
      <c r="K222" s="584">
        <v>170710</v>
      </c>
      <c r="L222" s="3633">
        <v>23863</v>
      </c>
      <c r="M222" s="978"/>
      <c r="N222" s="1010"/>
      <c r="O222" s="3631"/>
      <c r="P222" s="3631"/>
      <c r="Q222" s="978"/>
      <c r="R222" s="3446">
        <v>79977</v>
      </c>
      <c r="S222" s="954"/>
      <c r="T222" s="954"/>
    </row>
    <row r="223" spans="1:20">
      <c r="A223" s="53">
        <f t="shared" si="0"/>
        <v>2011.1</v>
      </c>
      <c r="B223" s="49">
        <v>6177</v>
      </c>
      <c r="C223" s="3633">
        <v>6940</v>
      </c>
      <c r="D223" s="582"/>
      <c r="E223" s="584">
        <v>14858</v>
      </c>
      <c r="F223" s="3633">
        <v>3310</v>
      </c>
      <c r="G223" s="582"/>
      <c r="H223" s="584">
        <v>72659</v>
      </c>
      <c r="I223" s="3633">
        <v>64378</v>
      </c>
      <c r="J223" s="582"/>
      <c r="K223" s="584">
        <v>154189</v>
      </c>
      <c r="L223" s="3633">
        <v>22846</v>
      </c>
      <c r="M223" s="978"/>
      <c r="N223" s="1010"/>
      <c r="O223" s="3631"/>
      <c r="P223" s="3631"/>
      <c r="Q223" s="978"/>
      <c r="R223" s="3446">
        <v>73237</v>
      </c>
      <c r="S223" s="954"/>
      <c r="T223" s="954"/>
    </row>
    <row r="224" spans="1:20">
      <c r="A224" s="53">
        <f t="shared" si="0"/>
        <v>2011.11</v>
      </c>
      <c r="B224" s="49">
        <v>5364</v>
      </c>
      <c r="C224" s="3633">
        <v>6848</v>
      </c>
      <c r="D224" s="582"/>
      <c r="E224" s="584">
        <v>14289</v>
      </c>
      <c r="F224" s="3633">
        <v>3333</v>
      </c>
      <c r="G224" s="582"/>
      <c r="H224" s="584">
        <v>65996</v>
      </c>
      <c r="I224" s="3633">
        <v>67626</v>
      </c>
      <c r="J224" s="582"/>
      <c r="K224" s="584">
        <v>157069</v>
      </c>
      <c r="L224" s="3633">
        <v>23668</v>
      </c>
      <c r="M224" s="978"/>
      <c r="N224" s="1010"/>
      <c r="O224" s="3631"/>
      <c r="P224" s="3631"/>
      <c r="Q224" s="978"/>
      <c r="R224" s="3446">
        <v>75564</v>
      </c>
      <c r="S224" s="954"/>
      <c r="T224" s="954"/>
    </row>
    <row r="225" spans="1:20">
      <c r="A225" s="53">
        <f t="shared" si="0"/>
        <v>2011.12</v>
      </c>
      <c r="B225" s="49">
        <v>2868</v>
      </c>
      <c r="C225" s="3633">
        <v>6343</v>
      </c>
      <c r="D225" s="582"/>
      <c r="E225" s="584">
        <v>13981</v>
      </c>
      <c r="F225" s="3633">
        <v>3236</v>
      </c>
      <c r="G225" s="582"/>
      <c r="H225" s="584">
        <v>39014</v>
      </c>
      <c r="I225" s="3633">
        <v>61544</v>
      </c>
      <c r="J225" s="582"/>
      <c r="K225" s="584">
        <v>150779</v>
      </c>
      <c r="L225" s="3633">
        <v>21552</v>
      </c>
      <c r="M225" s="978"/>
      <c r="N225" s="1010"/>
      <c r="O225" s="3631"/>
      <c r="P225" s="3631"/>
      <c r="Q225" s="978"/>
      <c r="R225" s="3446">
        <v>52412</v>
      </c>
      <c r="S225" s="954"/>
      <c r="T225" s="954"/>
    </row>
    <row r="226" spans="1:20">
      <c r="A226" s="53">
        <f>A214+1</f>
        <v>2012.01</v>
      </c>
      <c r="B226" s="49">
        <v>9422</v>
      </c>
      <c r="C226" s="3633">
        <v>8372</v>
      </c>
      <c r="D226" s="582"/>
      <c r="E226" s="584">
        <v>13329</v>
      </c>
      <c r="F226" s="3633">
        <v>3156</v>
      </c>
      <c r="G226" s="582"/>
      <c r="H226" s="584">
        <v>113121</v>
      </c>
      <c r="I226" s="3633">
        <v>80228</v>
      </c>
      <c r="J226" s="582"/>
      <c r="K226" s="584">
        <v>152245</v>
      </c>
      <c r="L226" s="3633">
        <v>23708</v>
      </c>
      <c r="M226" s="978"/>
      <c r="N226" s="1010"/>
      <c r="O226" s="3631"/>
      <c r="P226" s="3631"/>
      <c r="Q226" s="978"/>
      <c r="R226" s="3446">
        <v>42011</v>
      </c>
      <c r="S226" s="954"/>
      <c r="T226" s="954"/>
    </row>
    <row r="227" spans="1:20">
      <c r="A227" s="53">
        <f t="shared" si="0"/>
        <v>2012.02</v>
      </c>
      <c r="B227" s="49">
        <v>4739</v>
      </c>
      <c r="C227" s="3633">
        <v>6402</v>
      </c>
      <c r="D227" s="582"/>
      <c r="E227" s="584">
        <v>10767</v>
      </c>
      <c r="F227" s="3633">
        <v>2763</v>
      </c>
      <c r="G227" s="582"/>
      <c r="H227" s="584">
        <v>58424</v>
      </c>
      <c r="I227" s="3633">
        <v>62884</v>
      </c>
      <c r="J227" s="582"/>
      <c r="K227" s="584">
        <v>123120</v>
      </c>
      <c r="L227" s="3633">
        <v>21332</v>
      </c>
      <c r="M227" s="978"/>
      <c r="N227" s="1010"/>
      <c r="O227" s="3631"/>
      <c r="P227" s="3631"/>
      <c r="Q227" s="978"/>
      <c r="R227" s="3446">
        <v>54159</v>
      </c>
      <c r="S227" s="954"/>
      <c r="T227" s="954"/>
    </row>
    <row r="228" spans="1:20">
      <c r="A228" s="53">
        <f t="shared" si="0"/>
        <v>2012.03</v>
      </c>
      <c r="B228" s="49">
        <v>6671</v>
      </c>
      <c r="C228" s="3633">
        <v>6700</v>
      </c>
      <c r="D228" s="582"/>
      <c r="E228" s="584">
        <v>13837</v>
      </c>
      <c r="F228" s="3633">
        <v>3596</v>
      </c>
      <c r="G228" s="582"/>
      <c r="H228" s="584">
        <v>82570</v>
      </c>
      <c r="I228" s="3633">
        <v>71775</v>
      </c>
      <c r="J228" s="582"/>
      <c r="K228" s="584">
        <v>155668</v>
      </c>
      <c r="L228" s="3633">
        <v>27749</v>
      </c>
      <c r="M228" s="978"/>
      <c r="N228" s="1010"/>
      <c r="O228" s="3631"/>
      <c r="P228" s="3631"/>
      <c r="Q228" s="978"/>
      <c r="R228" s="3446">
        <v>67667</v>
      </c>
      <c r="S228" s="954"/>
      <c r="T228" s="954"/>
    </row>
    <row r="229" spans="1:20">
      <c r="A229" s="53">
        <f t="shared" si="0"/>
        <v>2012.04</v>
      </c>
      <c r="B229" s="49">
        <v>5011</v>
      </c>
      <c r="C229" s="3633">
        <v>4739</v>
      </c>
      <c r="D229" s="582"/>
      <c r="E229" s="584">
        <v>10596</v>
      </c>
      <c r="F229" s="3633">
        <v>2919</v>
      </c>
      <c r="G229" s="582"/>
      <c r="H229" s="584">
        <v>61103</v>
      </c>
      <c r="I229" s="3633">
        <v>51107</v>
      </c>
      <c r="J229" s="582"/>
      <c r="K229" s="584">
        <v>120690</v>
      </c>
      <c r="L229" s="3633">
        <v>21343</v>
      </c>
      <c r="M229" s="978"/>
      <c r="N229" s="1010"/>
      <c r="O229" s="3631"/>
      <c r="P229" s="3631"/>
      <c r="Q229" s="978"/>
      <c r="R229" s="3446">
        <v>54772</v>
      </c>
      <c r="S229" s="954"/>
      <c r="T229" s="954"/>
    </row>
    <row r="230" spans="1:20">
      <c r="A230" s="53">
        <f t="shared" si="0"/>
        <v>2012.05</v>
      </c>
      <c r="B230" s="49">
        <v>6371</v>
      </c>
      <c r="C230" s="3633">
        <v>5246</v>
      </c>
      <c r="D230" s="582"/>
      <c r="E230" s="584">
        <v>13794</v>
      </c>
      <c r="F230" s="3633">
        <v>3564</v>
      </c>
      <c r="G230" s="582"/>
      <c r="H230" s="584">
        <v>76728</v>
      </c>
      <c r="I230" s="3633">
        <v>55696</v>
      </c>
      <c r="J230" s="582"/>
      <c r="K230" s="584">
        <v>153412</v>
      </c>
      <c r="L230" s="3633">
        <v>25379</v>
      </c>
      <c r="M230" s="978"/>
      <c r="N230" s="1010"/>
      <c r="O230" s="3631"/>
      <c r="P230" s="3631"/>
      <c r="Q230" s="978"/>
      <c r="R230" s="3446">
        <v>60206</v>
      </c>
      <c r="S230" s="954"/>
      <c r="T230" s="954"/>
    </row>
    <row r="231" spans="1:20">
      <c r="A231" s="53">
        <f t="shared" si="0"/>
        <v>2012.06</v>
      </c>
      <c r="B231" s="49">
        <v>5937</v>
      </c>
      <c r="C231" s="3633">
        <v>4427</v>
      </c>
      <c r="D231" s="582"/>
      <c r="E231" s="584">
        <v>12560</v>
      </c>
      <c r="F231" s="3633">
        <v>3019</v>
      </c>
      <c r="G231" s="582"/>
      <c r="H231" s="584">
        <v>69983</v>
      </c>
      <c r="I231" s="3633">
        <v>45898</v>
      </c>
      <c r="J231" s="582"/>
      <c r="K231" s="584">
        <v>140629</v>
      </c>
      <c r="L231" s="3633">
        <v>21740</v>
      </c>
      <c r="M231" s="978"/>
      <c r="N231" s="1010"/>
      <c r="O231" s="3631"/>
      <c r="P231" s="3631"/>
      <c r="Q231" s="978"/>
      <c r="R231" s="3446">
        <v>52983</v>
      </c>
      <c r="S231" s="954"/>
      <c r="T231" s="954"/>
    </row>
    <row r="232" spans="1:20">
      <c r="A232" s="53">
        <f t="shared" si="0"/>
        <v>2012.07</v>
      </c>
      <c r="B232" s="49">
        <v>6219</v>
      </c>
      <c r="C232" s="3633">
        <v>4826</v>
      </c>
      <c r="D232" s="582"/>
      <c r="E232" s="584">
        <v>14831</v>
      </c>
      <c r="F232" s="3633">
        <v>3100</v>
      </c>
      <c r="G232" s="582"/>
      <c r="H232" s="584">
        <v>74401</v>
      </c>
      <c r="I232" s="3633">
        <v>50312</v>
      </c>
      <c r="J232" s="582"/>
      <c r="K232" s="584">
        <v>158828</v>
      </c>
      <c r="L232" s="3633">
        <v>22776</v>
      </c>
      <c r="M232" s="978"/>
      <c r="N232" s="1010"/>
      <c r="O232" s="3631"/>
      <c r="P232" s="3631"/>
      <c r="Q232" s="978"/>
      <c r="R232" s="3446">
        <v>65900</v>
      </c>
      <c r="S232" s="954"/>
      <c r="T232" s="954"/>
    </row>
    <row r="233" spans="1:20">
      <c r="A233" s="53">
        <f t="shared" si="0"/>
        <v>2012.08</v>
      </c>
      <c r="B233" s="49">
        <v>6383</v>
      </c>
      <c r="C233" s="3633">
        <v>5101</v>
      </c>
      <c r="D233" s="582"/>
      <c r="E233" s="584">
        <v>15888</v>
      </c>
      <c r="F233" s="3633">
        <v>3518</v>
      </c>
      <c r="G233" s="582"/>
      <c r="H233" s="584">
        <v>76771</v>
      </c>
      <c r="I233" s="3633">
        <v>52854</v>
      </c>
      <c r="J233" s="582"/>
      <c r="K233" s="584">
        <v>169470</v>
      </c>
      <c r="L233" s="3633">
        <v>23984</v>
      </c>
      <c r="M233" s="978"/>
      <c r="N233" s="1010"/>
      <c r="O233" s="3631"/>
      <c r="P233" s="3631"/>
      <c r="Q233" s="978"/>
      <c r="R233" s="3446">
        <v>79664</v>
      </c>
      <c r="S233" s="954"/>
      <c r="T233" s="954"/>
    </row>
    <row r="234" spans="1:20">
      <c r="A234" s="53">
        <f t="shared" si="0"/>
        <v>2012.09</v>
      </c>
      <c r="B234" s="49">
        <v>5401</v>
      </c>
      <c r="C234" s="3633">
        <v>4571</v>
      </c>
      <c r="D234" s="582"/>
      <c r="E234" s="584">
        <v>13310</v>
      </c>
      <c r="F234" s="3633">
        <v>2981</v>
      </c>
      <c r="G234" s="582"/>
      <c r="H234" s="584">
        <v>64776</v>
      </c>
      <c r="I234" s="3633">
        <v>50135</v>
      </c>
      <c r="J234" s="582"/>
      <c r="K234" s="584">
        <v>144694</v>
      </c>
      <c r="L234" s="3633">
        <v>21871</v>
      </c>
      <c r="M234" s="978"/>
      <c r="N234" s="1010"/>
      <c r="O234" s="3631"/>
      <c r="P234" s="3631"/>
      <c r="Q234" s="978"/>
      <c r="R234" s="3446">
        <v>68726</v>
      </c>
      <c r="S234" s="954"/>
      <c r="T234" s="954"/>
    </row>
    <row r="235" spans="1:20">
      <c r="A235" s="53">
        <f t="shared" si="0"/>
        <v>2012.1</v>
      </c>
      <c r="B235" s="49">
        <v>5686</v>
      </c>
      <c r="C235" s="3633">
        <v>5563</v>
      </c>
      <c r="D235" s="582"/>
      <c r="E235" s="584">
        <v>14729</v>
      </c>
      <c r="F235" s="3633">
        <v>3277</v>
      </c>
      <c r="G235" s="582"/>
      <c r="H235" s="584">
        <v>70572</v>
      </c>
      <c r="I235" s="3633">
        <v>59722</v>
      </c>
      <c r="J235" s="582"/>
      <c r="K235" s="584">
        <v>160496</v>
      </c>
      <c r="L235" s="3633">
        <v>23286</v>
      </c>
      <c r="M235" s="978"/>
      <c r="N235" s="1010"/>
      <c r="O235" s="3631"/>
      <c r="P235" s="3631"/>
      <c r="Q235" s="978"/>
      <c r="R235" s="3446">
        <v>79416</v>
      </c>
      <c r="S235" s="954"/>
      <c r="T235" s="954"/>
    </row>
    <row r="236" spans="1:20">
      <c r="A236" s="53">
        <f t="shared" si="0"/>
        <v>2012.11</v>
      </c>
      <c r="B236" s="49">
        <v>4542</v>
      </c>
      <c r="C236" s="3633">
        <v>5210</v>
      </c>
      <c r="D236" s="582"/>
      <c r="E236" s="584">
        <v>12519</v>
      </c>
      <c r="F236" s="3633">
        <v>3075</v>
      </c>
      <c r="G236" s="582"/>
      <c r="H236" s="584">
        <v>58877</v>
      </c>
      <c r="I236" s="3633">
        <v>56552</v>
      </c>
      <c r="J236" s="582"/>
      <c r="K236" s="584">
        <v>142928</v>
      </c>
      <c r="L236" s="3633">
        <v>22074</v>
      </c>
      <c r="M236" s="978"/>
      <c r="N236" s="1010"/>
      <c r="O236" s="3631"/>
      <c r="P236" s="3631"/>
      <c r="Q236" s="978"/>
      <c r="R236" s="3446">
        <v>77968</v>
      </c>
      <c r="S236" s="954"/>
      <c r="T236" s="954"/>
    </row>
    <row r="237" spans="1:20">
      <c r="A237" s="53">
        <f t="shared" si="0"/>
        <v>2012.12</v>
      </c>
      <c r="B237" s="49">
        <v>2943</v>
      </c>
      <c r="C237" s="3633">
        <v>4402</v>
      </c>
      <c r="D237" s="582"/>
      <c r="E237" s="584">
        <v>11648</v>
      </c>
      <c r="F237" s="3633">
        <v>2505</v>
      </c>
      <c r="G237" s="582"/>
      <c r="H237" s="584">
        <v>38236</v>
      </c>
      <c r="I237" s="3633">
        <v>49226</v>
      </c>
      <c r="J237" s="582"/>
      <c r="K237" s="584">
        <v>134128</v>
      </c>
      <c r="L237" s="3633">
        <v>19417</v>
      </c>
      <c r="M237" s="978"/>
      <c r="N237" s="1010"/>
      <c r="O237" s="3631"/>
      <c r="P237" s="3631"/>
      <c r="Q237" s="978"/>
      <c r="R237" s="3446">
        <v>61023</v>
      </c>
      <c r="S237" s="954"/>
      <c r="T237" s="954"/>
    </row>
    <row r="238" spans="1:20">
      <c r="A238" s="53">
        <f>A226+1</f>
        <v>2013.01</v>
      </c>
      <c r="B238" s="49">
        <v>9484</v>
      </c>
      <c r="C238" s="3633">
        <v>7374</v>
      </c>
      <c r="D238" s="144">
        <v>107</v>
      </c>
      <c r="E238" s="584">
        <v>13437</v>
      </c>
      <c r="F238" s="3633">
        <v>3176</v>
      </c>
      <c r="G238" s="582"/>
      <c r="H238" s="584">
        <v>110953</v>
      </c>
      <c r="I238" s="3633">
        <v>74079</v>
      </c>
      <c r="J238" s="144">
        <v>832</v>
      </c>
      <c r="K238" s="584">
        <v>153807</v>
      </c>
      <c r="L238" s="3633">
        <v>23495</v>
      </c>
      <c r="M238" s="978"/>
      <c r="N238" s="1010"/>
      <c r="O238" s="3631"/>
      <c r="P238" s="3631"/>
      <c r="Q238" s="978"/>
      <c r="R238" s="3446">
        <v>44061</v>
      </c>
      <c r="S238" s="954"/>
      <c r="T238" s="954"/>
    </row>
    <row r="239" spans="1:20">
      <c r="A239" s="53">
        <f t="shared" si="0"/>
        <v>2013.02</v>
      </c>
      <c r="B239" s="49">
        <v>5414</v>
      </c>
      <c r="C239" s="3633">
        <v>5672</v>
      </c>
      <c r="D239" s="88">
        <v>97</v>
      </c>
      <c r="E239" s="584">
        <v>11032</v>
      </c>
      <c r="F239" s="3633">
        <v>2687</v>
      </c>
      <c r="G239" s="582"/>
      <c r="H239" s="584">
        <v>64242</v>
      </c>
      <c r="I239" s="3633">
        <v>57129</v>
      </c>
      <c r="J239" s="88">
        <v>704</v>
      </c>
      <c r="K239" s="584">
        <v>124156</v>
      </c>
      <c r="L239" s="3633">
        <v>20017</v>
      </c>
      <c r="M239" s="978"/>
      <c r="N239" s="1010"/>
      <c r="O239" s="3631"/>
      <c r="P239" s="3631"/>
      <c r="Q239" s="978"/>
      <c r="R239" s="3446">
        <v>52911</v>
      </c>
      <c r="S239" s="954"/>
      <c r="T239" s="954"/>
    </row>
    <row r="240" spans="1:20">
      <c r="A240" s="53">
        <f t="shared" si="0"/>
        <v>2013.03</v>
      </c>
      <c r="B240" s="49">
        <v>6610</v>
      </c>
      <c r="C240" s="3633">
        <v>6146</v>
      </c>
      <c r="D240" s="88">
        <v>99</v>
      </c>
      <c r="E240" s="584">
        <v>12979</v>
      </c>
      <c r="F240" s="3633">
        <v>3226</v>
      </c>
      <c r="G240" s="582"/>
      <c r="H240" s="584">
        <v>78123</v>
      </c>
      <c r="I240" s="3633">
        <v>63841</v>
      </c>
      <c r="J240" s="88">
        <v>947</v>
      </c>
      <c r="K240" s="584">
        <v>143980</v>
      </c>
      <c r="L240" s="3633">
        <v>23559</v>
      </c>
      <c r="M240" s="978"/>
      <c r="N240" s="1010"/>
      <c r="O240" s="3631"/>
      <c r="P240" s="3631"/>
      <c r="Q240" s="978"/>
      <c r="R240" s="3446">
        <v>79031</v>
      </c>
      <c r="S240" s="954"/>
      <c r="T240" s="954"/>
    </row>
    <row r="241" spans="1:20">
      <c r="A241" s="53">
        <f t="shared" si="0"/>
        <v>2013.04</v>
      </c>
      <c r="B241" s="49">
        <v>6920</v>
      </c>
      <c r="C241" s="3633">
        <v>6001</v>
      </c>
      <c r="D241" s="88">
        <v>144</v>
      </c>
      <c r="E241" s="584">
        <v>14074</v>
      </c>
      <c r="F241" s="3633">
        <v>3380</v>
      </c>
      <c r="G241" s="582"/>
      <c r="H241" s="584">
        <v>82649</v>
      </c>
      <c r="I241" s="3633">
        <v>64697</v>
      </c>
      <c r="J241" s="88">
        <v>1126</v>
      </c>
      <c r="K241" s="584">
        <v>151653</v>
      </c>
      <c r="L241" s="3633">
        <v>23883</v>
      </c>
      <c r="M241" s="978"/>
      <c r="N241" s="1010"/>
      <c r="O241" s="3631"/>
      <c r="P241" s="3631"/>
      <c r="Q241" s="978"/>
      <c r="R241" s="3446">
        <v>75496</v>
      </c>
      <c r="S241" s="954"/>
      <c r="T241" s="954"/>
    </row>
    <row r="242" spans="1:20">
      <c r="A242" s="53">
        <f t="shared" si="0"/>
        <v>2013.05</v>
      </c>
      <c r="B242" s="49">
        <v>7689</v>
      </c>
      <c r="C242" s="3633">
        <v>5992</v>
      </c>
      <c r="D242" s="88">
        <v>189</v>
      </c>
      <c r="E242" s="584">
        <v>15364</v>
      </c>
      <c r="F242" s="3633">
        <v>3614</v>
      </c>
      <c r="G242" s="582"/>
      <c r="H242" s="584">
        <v>92892</v>
      </c>
      <c r="I242" s="3633">
        <v>63669</v>
      </c>
      <c r="J242" s="88">
        <v>1218</v>
      </c>
      <c r="K242" s="584">
        <v>166352</v>
      </c>
      <c r="L242" s="3633">
        <v>25052</v>
      </c>
      <c r="M242" s="978"/>
      <c r="N242" s="1010"/>
      <c r="O242" s="3631"/>
      <c r="P242" s="3631"/>
      <c r="Q242" s="978"/>
      <c r="R242" s="3446">
        <v>79590</v>
      </c>
      <c r="S242" s="954"/>
      <c r="T242" s="954"/>
    </row>
    <row r="243" spans="1:20">
      <c r="A243" s="53">
        <f t="shared" si="0"/>
        <v>2013.06</v>
      </c>
      <c r="B243" s="49">
        <v>6263</v>
      </c>
      <c r="C243" s="3633">
        <v>4723</v>
      </c>
      <c r="D243" s="88">
        <v>154</v>
      </c>
      <c r="E243" s="584">
        <v>13200</v>
      </c>
      <c r="F243" s="3633">
        <v>2808</v>
      </c>
      <c r="G243" s="582"/>
      <c r="H243" s="584">
        <v>75190</v>
      </c>
      <c r="I243" s="3633">
        <v>49500</v>
      </c>
      <c r="J243" s="88">
        <v>1036</v>
      </c>
      <c r="K243" s="584">
        <v>137838</v>
      </c>
      <c r="L243" s="3633">
        <v>19209</v>
      </c>
      <c r="M243" s="978"/>
      <c r="N243" s="1010"/>
      <c r="O243" s="3631"/>
      <c r="P243" s="3631"/>
      <c r="Q243" s="978"/>
      <c r="R243" s="3446">
        <v>63461</v>
      </c>
      <c r="S243" s="954"/>
      <c r="T243" s="954"/>
    </row>
    <row r="244" spans="1:20">
      <c r="A244" s="53">
        <f t="shared" si="0"/>
        <v>2013.07</v>
      </c>
      <c r="B244" s="49">
        <v>7375</v>
      </c>
      <c r="C244" s="3633">
        <v>5770</v>
      </c>
      <c r="D244" s="88">
        <v>189</v>
      </c>
      <c r="E244" s="584">
        <v>16698</v>
      </c>
      <c r="F244" s="3633">
        <v>3277</v>
      </c>
      <c r="G244" s="582"/>
      <c r="H244" s="584">
        <v>88447</v>
      </c>
      <c r="I244" s="3633">
        <v>59044</v>
      </c>
      <c r="J244" s="88">
        <v>1178</v>
      </c>
      <c r="K244" s="584">
        <v>177573</v>
      </c>
      <c r="L244" s="3633">
        <v>23473</v>
      </c>
      <c r="M244" s="978"/>
      <c r="N244" s="1010"/>
      <c r="O244" s="3631"/>
      <c r="P244" s="3631"/>
      <c r="Q244" s="978"/>
      <c r="R244" s="3446">
        <v>71895</v>
      </c>
      <c r="S244" s="954"/>
      <c r="T244" s="954"/>
    </row>
    <row r="245" spans="1:20">
      <c r="A245" s="53">
        <f t="shared" si="0"/>
        <v>2013.08</v>
      </c>
      <c r="B245" s="49">
        <v>6765</v>
      </c>
      <c r="C245" s="3633">
        <v>5621</v>
      </c>
      <c r="D245" s="88">
        <v>206</v>
      </c>
      <c r="E245" s="584">
        <v>16253</v>
      </c>
      <c r="F245" s="3633">
        <v>3392</v>
      </c>
      <c r="G245" s="582"/>
      <c r="H245" s="584">
        <v>82777</v>
      </c>
      <c r="I245" s="3633">
        <v>58261</v>
      </c>
      <c r="J245" s="88">
        <v>1273</v>
      </c>
      <c r="K245" s="584">
        <v>169991</v>
      </c>
      <c r="L245" s="3633">
        <v>22829</v>
      </c>
      <c r="M245" s="978"/>
      <c r="N245" s="1010"/>
      <c r="O245" s="3631"/>
      <c r="P245" s="3631"/>
      <c r="Q245" s="978"/>
      <c r="R245" s="3446">
        <v>69922</v>
      </c>
      <c r="S245" s="954"/>
      <c r="T245" s="954"/>
    </row>
    <row r="246" spans="1:20">
      <c r="A246" s="53">
        <f t="shared" si="0"/>
        <v>2013.09</v>
      </c>
      <c r="B246" s="49">
        <v>7224</v>
      </c>
      <c r="C246" s="3633">
        <v>5993</v>
      </c>
      <c r="D246" s="88">
        <v>189</v>
      </c>
      <c r="E246" s="584">
        <v>15698</v>
      </c>
      <c r="F246" s="3633">
        <v>3517</v>
      </c>
      <c r="G246" s="582"/>
      <c r="H246" s="584">
        <v>85490</v>
      </c>
      <c r="I246" s="3633">
        <v>59617</v>
      </c>
      <c r="J246" s="88">
        <v>1265</v>
      </c>
      <c r="K246" s="584">
        <v>165592</v>
      </c>
      <c r="L246" s="3633">
        <v>23681</v>
      </c>
      <c r="M246" s="978"/>
      <c r="N246" s="1010"/>
      <c r="O246" s="3631"/>
      <c r="P246" s="3631"/>
      <c r="Q246" s="978"/>
      <c r="R246" s="3446">
        <v>71928</v>
      </c>
      <c r="S246" s="954"/>
      <c r="T246" s="954"/>
    </row>
    <row r="247" spans="1:20">
      <c r="A247" s="53">
        <f t="shared" si="0"/>
        <v>2013.1</v>
      </c>
      <c r="B247" s="49">
        <v>7642</v>
      </c>
      <c r="C247" s="3633">
        <v>6382</v>
      </c>
      <c r="D247" s="88">
        <v>226</v>
      </c>
      <c r="E247" s="584">
        <v>15740</v>
      </c>
      <c r="F247" s="3633">
        <v>3550</v>
      </c>
      <c r="G247" s="582"/>
      <c r="H247" s="584">
        <v>89816</v>
      </c>
      <c r="I247" s="3633">
        <v>64521</v>
      </c>
      <c r="J247" s="88">
        <v>1321</v>
      </c>
      <c r="K247" s="584">
        <v>171689</v>
      </c>
      <c r="L247" s="3633">
        <v>25627</v>
      </c>
      <c r="M247" s="978"/>
      <c r="N247" s="1010"/>
      <c r="O247" s="3631"/>
      <c r="P247" s="3631"/>
      <c r="Q247" s="978"/>
      <c r="R247" s="3446">
        <v>75604</v>
      </c>
      <c r="S247" s="954"/>
      <c r="T247" s="954"/>
    </row>
    <row r="248" spans="1:20">
      <c r="A248" s="53">
        <f t="shared" si="0"/>
        <v>2013.11</v>
      </c>
      <c r="B248" s="49">
        <v>4850</v>
      </c>
      <c r="C248" s="3633">
        <v>5586</v>
      </c>
      <c r="D248" s="88">
        <v>154</v>
      </c>
      <c r="E248" s="584">
        <v>12886</v>
      </c>
      <c r="F248" s="3633">
        <v>3092</v>
      </c>
      <c r="G248" s="582"/>
      <c r="H248" s="584">
        <v>62352</v>
      </c>
      <c r="I248" s="3633">
        <v>57839</v>
      </c>
      <c r="J248" s="88">
        <v>1190</v>
      </c>
      <c r="K248" s="584">
        <v>148352</v>
      </c>
      <c r="L248" s="3633">
        <v>23408</v>
      </c>
      <c r="M248" s="978"/>
      <c r="N248" s="1010"/>
      <c r="O248" s="3631"/>
      <c r="P248" s="3631"/>
      <c r="Q248" s="978"/>
      <c r="R248" s="3446">
        <v>62186</v>
      </c>
      <c r="S248" s="954"/>
      <c r="T248" s="954"/>
    </row>
    <row r="249" spans="1:20">
      <c r="A249" s="53">
        <f t="shared" si="0"/>
        <v>2013.12</v>
      </c>
      <c r="B249" s="49">
        <v>3826</v>
      </c>
      <c r="C249" s="3633">
        <v>4659</v>
      </c>
      <c r="D249" s="88">
        <v>166</v>
      </c>
      <c r="E249" s="584">
        <v>12961</v>
      </c>
      <c r="F249" s="3633">
        <v>2944</v>
      </c>
      <c r="G249" s="582"/>
      <c r="H249" s="584">
        <v>51360</v>
      </c>
      <c r="I249" s="3633">
        <v>53049</v>
      </c>
      <c r="J249" s="88">
        <v>1074</v>
      </c>
      <c r="K249" s="584">
        <v>144049</v>
      </c>
      <c r="L249" s="3633">
        <v>21637</v>
      </c>
      <c r="M249" s="978"/>
      <c r="N249" s="1010"/>
      <c r="O249" s="3631"/>
      <c r="P249" s="3631"/>
      <c r="Q249" s="978"/>
      <c r="R249" s="3446">
        <v>44922</v>
      </c>
      <c r="S249" s="954"/>
      <c r="T249" s="954"/>
    </row>
    <row r="250" spans="1:20">
      <c r="A250" s="53">
        <f>A238+1</f>
        <v>2014.01</v>
      </c>
      <c r="B250" s="49">
        <v>9830</v>
      </c>
      <c r="C250" s="3633">
        <v>7208</v>
      </c>
      <c r="D250" s="88">
        <v>118</v>
      </c>
      <c r="E250" s="584">
        <v>14776</v>
      </c>
      <c r="F250" s="3633">
        <v>3356</v>
      </c>
      <c r="G250" s="144">
        <v>55</v>
      </c>
      <c r="H250" s="584">
        <v>109484</v>
      </c>
      <c r="I250" s="3633">
        <v>72164</v>
      </c>
      <c r="J250" s="88">
        <v>1017</v>
      </c>
      <c r="K250" s="584">
        <v>163033</v>
      </c>
      <c r="L250" s="3633">
        <v>25213</v>
      </c>
      <c r="M250" s="979">
        <v>333</v>
      </c>
      <c r="N250" s="1014">
        <f>SUM(O250:Q250)</f>
        <v>9712</v>
      </c>
      <c r="O250" s="3632">
        <v>7860</v>
      </c>
      <c r="P250" s="3632">
        <v>1765</v>
      </c>
      <c r="Q250" s="979">
        <v>87</v>
      </c>
      <c r="R250" s="3446">
        <v>36156</v>
      </c>
      <c r="S250" s="954"/>
      <c r="T250" s="954"/>
    </row>
    <row r="251" spans="1:20">
      <c r="A251" s="53">
        <f t="shared" si="0"/>
        <v>2014.02</v>
      </c>
      <c r="B251" s="49">
        <v>4829</v>
      </c>
      <c r="C251" s="3633">
        <v>3962</v>
      </c>
      <c r="D251" s="88">
        <v>126</v>
      </c>
      <c r="E251" s="584">
        <v>12526</v>
      </c>
      <c r="F251" s="3633">
        <v>3060</v>
      </c>
      <c r="G251" s="88">
        <v>83</v>
      </c>
      <c r="H251" s="584">
        <v>58908</v>
      </c>
      <c r="I251" s="3633">
        <v>41971</v>
      </c>
      <c r="J251" s="88">
        <v>783</v>
      </c>
      <c r="K251" s="584">
        <v>138348</v>
      </c>
      <c r="L251" s="3633">
        <v>24156</v>
      </c>
      <c r="M251" s="643">
        <v>497</v>
      </c>
      <c r="N251" s="2375">
        <f t="shared" ref="N251:N314" si="1">SUM(O251:Q251)</f>
        <v>4677</v>
      </c>
      <c r="O251" s="3633">
        <v>3667</v>
      </c>
      <c r="P251" s="3633">
        <v>901</v>
      </c>
      <c r="Q251" s="643">
        <v>109</v>
      </c>
      <c r="R251" s="3446">
        <v>52941</v>
      </c>
      <c r="S251" s="954"/>
      <c r="T251" s="954"/>
    </row>
    <row r="252" spans="1:20">
      <c r="A252" s="53">
        <f t="shared" si="0"/>
        <v>2014.03</v>
      </c>
      <c r="B252" s="49">
        <v>4053</v>
      </c>
      <c r="C252" s="3633">
        <v>3072</v>
      </c>
      <c r="D252" s="88">
        <v>84</v>
      </c>
      <c r="E252" s="584">
        <v>10984</v>
      </c>
      <c r="F252" s="3633">
        <v>2843</v>
      </c>
      <c r="G252" s="88">
        <v>95</v>
      </c>
      <c r="H252" s="584">
        <v>51857</v>
      </c>
      <c r="I252" s="3633">
        <v>35349</v>
      </c>
      <c r="J252" s="88">
        <v>659</v>
      </c>
      <c r="K252" s="584">
        <v>122493</v>
      </c>
      <c r="L252" s="3633">
        <v>21576</v>
      </c>
      <c r="M252" s="643">
        <v>500</v>
      </c>
      <c r="N252" s="2375">
        <f t="shared" si="1"/>
        <v>3910</v>
      </c>
      <c r="O252" s="3633">
        <v>3024</v>
      </c>
      <c r="P252" s="3633">
        <v>788</v>
      </c>
      <c r="Q252" s="643">
        <v>98</v>
      </c>
      <c r="R252" s="3446">
        <v>58319</v>
      </c>
      <c r="S252" s="954"/>
      <c r="T252" s="954"/>
    </row>
    <row r="253" spans="1:20">
      <c r="A253" s="53">
        <f t="shared" si="0"/>
        <v>2014.04</v>
      </c>
      <c r="B253" s="49">
        <v>4361</v>
      </c>
      <c r="C253" s="3633">
        <v>3163</v>
      </c>
      <c r="D253" s="88">
        <v>111</v>
      </c>
      <c r="E253" s="584">
        <v>11622</v>
      </c>
      <c r="F253" s="3633">
        <v>2892</v>
      </c>
      <c r="G253" s="88">
        <v>80</v>
      </c>
      <c r="H253" s="584">
        <v>53765</v>
      </c>
      <c r="I253" s="3633">
        <v>35643</v>
      </c>
      <c r="J253" s="88">
        <v>738</v>
      </c>
      <c r="K253" s="584">
        <v>126811</v>
      </c>
      <c r="L253" s="3633">
        <v>21251</v>
      </c>
      <c r="M253" s="643">
        <v>529</v>
      </c>
      <c r="N253" s="2375">
        <f t="shared" si="1"/>
        <v>4222</v>
      </c>
      <c r="O253" s="3633">
        <v>3281</v>
      </c>
      <c r="P253" s="3633">
        <v>859</v>
      </c>
      <c r="Q253" s="643">
        <v>82</v>
      </c>
      <c r="R253" s="3446">
        <v>59165</v>
      </c>
      <c r="S253" s="954"/>
      <c r="T253" s="954"/>
    </row>
    <row r="254" spans="1:20">
      <c r="A254" s="53">
        <f t="shared" si="0"/>
        <v>2014.05</v>
      </c>
      <c r="B254" s="49">
        <v>4621</v>
      </c>
      <c r="C254" s="3633">
        <v>3291</v>
      </c>
      <c r="D254" s="88">
        <v>123</v>
      </c>
      <c r="E254" s="584">
        <v>12583</v>
      </c>
      <c r="F254" s="3633">
        <v>3297</v>
      </c>
      <c r="G254" s="88">
        <v>101</v>
      </c>
      <c r="H254" s="584">
        <v>56813</v>
      </c>
      <c r="I254" s="3633">
        <v>34709</v>
      </c>
      <c r="J254" s="88">
        <v>854</v>
      </c>
      <c r="K254" s="584">
        <v>128217</v>
      </c>
      <c r="L254" s="3633">
        <v>21297</v>
      </c>
      <c r="M254" s="643">
        <v>553</v>
      </c>
      <c r="N254" s="2375">
        <f t="shared" si="1"/>
        <v>4587</v>
      </c>
      <c r="O254" s="3633">
        <v>3524</v>
      </c>
      <c r="P254" s="3633">
        <v>979</v>
      </c>
      <c r="Q254" s="643">
        <v>84</v>
      </c>
      <c r="R254" s="3446">
        <v>50938</v>
      </c>
      <c r="S254" s="954"/>
      <c r="T254" s="954"/>
    </row>
    <row r="255" spans="1:20">
      <c r="A255" s="53">
        <f t="shared" ref="A255:A261" si="2">A243+1</f>
        <v>2014.06</v>
      </c>
      <c r="B255" s="49">
        <v>4456</v>
      </c>
      <c r="C255" s="3633">
        <v>2980</v>
      </c>
      <c r="D255" s="88">
        <v>109</v>
      </c>
      <c r="E255" s="584">
        <v>11761</v>
      </c>
      <c r="F255" s="3633">
        <v>2936</v>
      </c>
      <c r="G255" s="88">
        <v>92</v>
      </c>
      <c r="H255" s="584">
        <v>53503</v>
      </c>
      <c r="I255" s="3633">
        <v>31609</v>
      </c>
      <c r="J255" s="88">
        <v>852</v>
      </c>
      <c r="K255" s="584">
        <v>118327</v>
      </c>
      <c r="L255" s="3633">
        <v>18828</v>
      </c>
      <c r="M255" s="643">
        <v>536</v>
      </c>
      <c r="N255" s="2375">
        <f t="shared" si="1"/>
        <v>4429</v>
      </c>
      <c r="O255" s="3633">
        <v>3431</v>
      </c>
      <c r="P255" s="3633">
        <v>936</v>
      </c>
      <c r="Q255" s="643">
        <v>62</v>
      </c>
      <c r="R255" s="3446">
        <v>50904</v>
      </c>
      <c r="S255" s="954"/>
      <c r="T255" s="954"/>
    </row>
    <row r="256" spans="1:20">
      <c r="A256" s="53">
        <f t="shared" si="2"/>
        <v>2014.07</v>
      </c>
      <c r="B256" s="49">
        <v>5226</v>
      </c>
      <c r="C256" s="3633">
        <v>3807</v>
      </c>
      <c r="D256" s="88">
        <v>123</v>
      </c>
      <c r="E256" s="584">
        <v>14336</v>
      </c>
      <c r="F256" s="3633">
        <v>3591</v>
      </c>
      <c r="G256" s="88">
        <v>83</v>
      </c>
      <c r="H256" s="584">
        <v>61646</v>
      </c>
      <c r="I256" s="3633">
        <v>38825</v>
      </c>
      <c r="J256" s="88">
        <v>838</v>
      </c>
      <c r="K256" s="584">
        <v>142168</v>
      </c>
      <c r="L256" s="3633">
        <v>21802</v>
      </c>
      <c r="M256" s="643">
        <v>569</v>
      </c>
      <c r="N256" s="2375">
        <f t="shared" si="1"/>
        <v>5085</v>
      </c>
      <c r="O256" s="3633">
        <v>4054</v>
      </c>
      <c r="P256" s="3633">
        <v>962</v>
      </c>
      <c r="Q256" s="643">
        <v>69</v>
      </c>
      <c r="R256" s="3446">
        <v>49324</v>
      </c>
      <c r="S256" s="954"/>
      <c r="T256" s="954"/>
    </row>
    <row r="257" spans="1:20">
      <c r="A257" s="53">
        <f t="shared" si="2"/>
        <v>2014.08</v>
      </c>
      <c r="B257" s="49">
        <v>5133</v>
      </c>
      <c r="C257" s="3633">
        <v>4012</v>
      </c>
      <c r="D257" s="88">
        <v>121</v>
      </c>
      <c r="E257" s="584">
        <v>13768</v>
      </c>
      <c r="F257" s="3633">
        <v>3215</v>
      </c>
      <c r="G257" s="88">
        <v>99</v>
      </c>
      <c r="H257" s="584">
        <v>58535</v>
      </c>
      <c r="I257" s="3633">
        <v>40332</v>
      </c>
      <c r="J257" s="88">
        <v>814</v>
      </c>
      <c r="K257" s="584">
        <v>135054</v>
      </c>
      <c r="L257" s="3633">
        <v>20775</v>
      </c>
      <c r="M257" s="643">
        <v>564</v>
      </c>
      <c r="N257" s="2375">
        <f t="shared" si="1"/>
        <v>5057</v>
      </c>
      <c r="O257" s="3633">
        <v>4021</v>
      </c>
      <c r="P257" s="3633">
        <v>972</v>
      </c>
      <c r="Q257" s="643">
        <v>64</v>
      </c>
      <c r="R257" s="3446">
        <v>45787</v>
      </c>
      <c r="S257" s="954"/>
      <c r="T257" s="954"/>
    </row>
    <row r="258" spans="1:20">
      <c r="A258" s="53">
        <f t="shared" si="2"/>
        <v>2014.09</v>
      </c>
      <c r="B258" s="49">
        <v>5285</v>
      </c>
      <c r="C258" s="3633">
        <v>4541</v>
      </c>
      <c r="D258" s="88">
        <v>148</v>
      </c>
      <c r="E258" s="584">
        <v>15093</v>
      </c>
      <c r="F258" s="3633">
        <v>3810</v>
      </c>
      <c r="G258" s="88">
        <v>84</v>
      </c>
      <c r="H258" s="584">
        <v>59681</v>
      </c>
      <c r="I258" s="3633">
        <v>46188</v>
      </c>
      <c r="J258" s="88">
        <v>911</v>
      </c>
      <c r="K258" s="584">
        <v>154575</v>
      </c>
      <c r="L258" s="3633">
        <v>25047</v>
      </c>
      <c r="M258" s="643">
        <v>622</v>
      </c>
      <c r="N258" s="2375">
        <f t="shared" si="1"/>
        <v>5173</v>
      </c>
      <c r="O258" s="3633">
        <v>4061</v>
      </c>
      <c r="P258" s="3633">
        <v>1022</v>
      </c>
      <c r="Q258" s="643">
        <v>90</v>
      </c>
      <c r="R258" s="3446">
        <v>57757</v>
      </c>
      <c r="S258" s="954"/>
      <c r="T258" s="954"/>
    </row>
    <row r="259" spans="1:20">
      <c r="A259" s="53">
        <f t="shared" si="2"/>
        <v>2014.1</v>
      </c>
      <c r="B259" s="49">
        <v>4707</v>
      </c>
      <c r="C259" s="3633">
        <v>4154</v>
      </c>
      <c r="D259" s="88">
        <v>144</v>
      </c>
      <c r="E259" s="584">
        <v>15177</v>
      </c>
      <c r="F259" s="3633">
        <v>3820</v>
      </c>
      <c r="G259" s="88">
        <v>100</v>
      </c>
      <c r="H259" s="584">
        <v>54688</v>
      </c>
      <c r="I259" s="3633">
        <v>44280</v>
      </c>
      <c r="J259" s="88">
        <v>1076</v>
      </c>
      <c r="K259" s="584">
        <v>155181</v>
      </c>
      <c r="L259" s="3633">
        <v>25929</v>
      </c>
      <c r="M259" s="643">
        <v>596</v>
      </c>
      <c r="N259" s="2375">
        <f t="shared" si="1"/>
        <v>4627</v>
      </c>
      <c r="O259" s="3633">
        <v>3580</v>
      </c>
      <c r="P259" s="3633">
        <v>958</v>
      </c>
      <c r="Q259" s="643">
        <v>89</v>
      </c>
      <c r="R259" s="3446">
        <v>60845</v>
      </c>
      <c r="S259" s="954"/>
      <c r="T259" s="954"/>
    </row>
    <row r="260" spans="1:20">
      <c r="A260" s="53">
        <f t="shared" si="2"/>
        <v>2014.11</v>
      </c>
      <c r="B260" s="49">
        <v>3348</v>
      </c>
      <c r="C260" s="3633">
        <v>3140</v>
      </c>
      <c r="D260" s="88">
        <v>106</v>
      </c>
      <c r="E260" s="584">
        <v>12534</v>
      </c>
      <c r="F260" s="3633">
        <v>3207</v>
      </c>
      <c r="G260" s="88">
        <v>87</v>
      </c>
      <c r="H260" s="584">
        <v>40059</v>
      </c>
      <c r="I260" s="3633">
        <v>33296</v>
      </c>
      <c r="J260" s="88">
        <v>878</v>
      </c>
      <c r="K260" s="584">
        <v>127110</v>
      </c>
      <c r="L260" s="3633">
        <v>22189</v>
      </c>
      <c r="M260" s="643">
        <v>579</v>
      </c>
      <c r="N260" s="2375">
        <f t="shared" si="1"/>
        <v>3307</v>
      </c>
      <c r="O260" s="3633">
        <v>2453</v>
      </c>
      <c r="P260" s="3633">
        <v>765</v>
      </c>
      <c r="Q260" s="643">
        <v>89</v>
      </c>
      <c r="R260" s="3446">
        <v>54557</v>
      </c>
      <c r="S260" s="954"/>
      <c r="T260" s="954"/>
    </row>
    <row r="261" spans="1:20">
      <c r="A261" s="53">
        <f t="shared" si="2"/>
        <v>2014.12</v>
      </c>
      <c r="B261" s="49">
        <v>2391</v>
      </c>
      <c r="C261" s="3633">
        <v>3007</v>
      </c>
      <c r="D261" s="88">
        <v>131</v>
      </c>
      <c r="E261" s="584">
        <v>13171</v>
      </c>
      <c r="F261" s="3633">
        <v>3353</v>
      </c>
      <c r="G261" s="88">
        <v>88</v>
      </c>
      <c r="H261" s="584">
        <v>30460</v>
      </c>
      <c r="I261" s="3633">
        <v>31689</v>
      </c>
      <c r="J261" s="88">
        <v>889</v>
      </c>
      <c r="K261" s="584">
        <v>139576</v>
      </c>
      <c r="L261" s="3633">
        <v>22669</v>
      </c>
      <c r="M261" s="643">
        <v>557</v>
      </c>
      <c r="N261" s="2375">
        <f t="shared" si="1"/>
        <v>2343</v>
      </c>
      <c r="O261" s="3633">
        <v>1826</v>
      </c>
      <c r="P261" s="3633">
        <v>450</v>
      </c>
      <c r="Q261" s="643">
        <v>67</v>
      </c>
      <c r="R261" s="3446">
        <v>40636</v>
      </c>
      <c r="S261" s="954"/>
      <c r="T261" s="954"/>
    </row>
    <row r="262" spans="1:20">
      <c r="A262" s="53">
        <f>A250+1</f>
        <v>2015.01</v>
      </c>
      <c r="B262" s="49">
        <v>5871</v>
      </c>
      <c r="C262" s="3633">
        <v>4146</v>
      </c>
      <c r="D262" s="88">
        <v>104</v>
      </c>
      <c r="E262" s="584">
        <v>13349</v>
      </c>
      <c r="F262" s="3633">
        <v>3358</v>
      </c>
      <c r="G262" s="88">
        <v>64</v>
      </c>
      <c r="H262" s="584">
        <v>67619</v>
      </c>
      <c r="I262" s="3633">
        <v>41749</v>
      </c>
      <c r="J262" s="88">
        <v>779</v>
      </c>
      <c r="K262" s="584">
        <v>145059</v>
      </c>
      <c r="L262" s="3633">
        <v>24229</v>
      </c>
      <c r="M262" s="643">
        <v>541</v>
      </c>
      <c r="N262" s="2375">
        <f t="shared" si="1"/>
        <v>5763</v>
      </c>
      <c r="O262" s="3633">
        <v>4504</v>
      </c>
      <c r="P262" s="3633">
        <v>1152</v>
      </c>
      <c r="Q262" s="643">
        <v>107</v>
      </c>
      <c r="R262" s="3446">
        <v>25625</v>
      </c>
      <c r="S262" s="954"/>
      <c r="T262" s="954"/>
    </row>
    <row r="263" spans="1:20">
      <c r="A263" s="53">
        <f t="shared" ref="A263:A326" si="3">A251+1</f>
        <v>2015.02</v>
      </c>
      <c r="B263" s="49">
        <v>3806</v>
      </c>
      <c r="C263" s="3633">
        <v>3477</v>
      </c>
      <c r="D263" s="88">
        <v>76</v>
      </c>
      <c r="E263" s="584">
        <v>11262</v>
      </c>
      <c r="F263" s="3633">
        <v>2915</v>
      </c>
      <c r="G263" s="88">
        <v>76</v>
      </c>
      <c r="H263" s="584">
        <v>43970</v>
      </c>
      <c r="I263" s="3633">
        <v>35092</v>
      </c>
      <c r="J263" s="88">
        <v>615</v>
      </c>
      <c r="K263" s="584">
        <v>123308</v>
      </c>
      <c r="L263" s="3633">
        <v>21788</v>
      </c>
      <c r="M263" s="643">
        <v>425</v>
      </c>
      <c r="N263" s="2375">
        <f t="shared" si="1"/>
        <v>3699</v>
      </c>
      <c r="O263" s="3633">
        <v>2694</v>
      </c>
      <c r="P263" s="3633">
        <v>905</v>
      </c>
      <c r="Q263" s="643">
        <v>100</v>
      </c>
      <c r="R263" s="3446">
        <v>45605</v>
      </c>
      <c r="S263" s="954"/>
      <c r="T263" s="954"/>
    </row>
    <row r="264" spans="1:20">
      <c r="A264" s="53">
        <f t="shared" si="3"/>
        <v>2015.03</v>
      </c>
      <c r="B264" s="49">
        <v>4271</v>
      </c>
      <c r="C264" s="3633">
        <v>4045</v>
      </c>
      <c r="D264" s="88">
        <v>103</v>
      </c>
      <c r="E264" s="584">
        <v>12929</v>
      </c>
      <c r="F264" s="3633">
        <v>3452</v>
      </c>
      <c r="G264" s="88">
        <v>100</v>
      </c>
      <c r="H264" s="584">
        <v>50502</v>
      </c>
      <c r="I264" s="3633">
        <v>43192</v>
      </c>
      <c r="J264" s="88">
        <v>711</v>
      </c>
      <c r="K264" s="584">
        <v>139063</v>
      </c>
      <c r="L264" s="3633">
        <v>25292</v>
      </c>
      <c r="M264" s="643">
        <v>603</v>
      </c>
      <c r="N264" s="2375">
        <f t="shared" si="1"/>
        <v>4176</v>
      </c>
      <c r="O264" s="3633">
        <v>3133</v>
      </c>
      <c r="P264" s="3633">
        <v>931</v>
      </c>
      <c r="Q264" s="643">
        <v>112</v>
      </c>
      <c r="R264" s="3446">
        <v>52316</v>
      </c>
      <c r="S264" s="954"/>
      <c r="T264" s="954"/>
    </row>
    <row r="265" spans="1:20">
      <c r="A265" s="53">
        <f t="shared" si="3"/>
        <v>2015.04</v>
      </c>
      <c r="B265" s="49">
        <v>4346</v>
      </c>
      <c r="C265" s="3633">
        <v>3992</v>
      </c>
      <c r="D265" s="88">
        <v>129</v>
      </c>
      <c r="E265" s="584">
        <v>12889</v>
      </c>
      <c r="F265" s="3633">
        <v>3640</v>
      </c>
      <c r="G265" s="88">
        <v>144</v>
      </c>
      <c r="H265" s="584">
        <v>53407</v>
      </c>
      <c r="I265" s="3633">
        <v>42028</v>
      </c>
      <c r="J265" s="88">
        <v>818</v>
      </c>
      <c r="K265" s="584">
        <v>144437</v>
      </c>
      <c r="L265" s="3633">
        <v>25772</v>
      </c>
      <c r="M265" s="643">
        <v>715</v>
      </c>
      <c r="N265" s="2375">
        <f t="shared" si="1"/>
        <v>4248</v>
      </c>
      <c r="O265" s="3633">
        <v>3247</v>
      </c>
      <c r="P265" s="3633">
        <v>879</v>
      </c>
      <c r="Q265" s="643">
        <v>122</v>
      </c>
      <c r="R265" s="3446">
        <v>46618</v>
      </c>
      <c r="S265" s="954"/>
      <c r="T265" s="954"/>
    </row>
    <row r="266" spans="1:20">
      <c r="A266" s="53">
        <f t="shared" si="3"/>
        <v>2015.05</v>
      </c>
      <c r="B266" s="49">
        <v>4030</v>
      </c>
      <c r="C266" s="3633">
        <v>3297</v>
      </c>
      <c r="D266" s="88">
        <v>101</v>
      </c>
      <c r="E266" s="584">
        <v>12530</v>
      </c>
      <c r="F266" s="3633">
        <v>3192</v>
      </c>
      <c r="G266" s="88">
        <v>68</v>
      </c>
      <c r="H266" s="584">
        <v>49054</v>
      </c>
      <c r="I266" s="3633">
        <v>35729</v>
      </c>
      <c r="J266" s="88">
        <v>777</v>
      </c>
      <c r="K266" s="584">
        <v>135325</v>
      </c>
      <c r="L266" s="3633">
        <v>22823</v>
      </c>
      <c r="M266" s="643">
        <v>539</v>
      </c>
      <c r="N266" s="2375">
        <f t="shared" si="1"/>
        <v>3971</v>
      </c>
      <c r="O266" s="3633">
        <v>2976</v>
      </c>
      <c r="P266" s="3633">
        <v>924</v>
      </c>
      <c r="Q266" s="643">
        <v>71</v>
      </c>
      <c r="R266" s="3446">
        <v>45990</v>
      </c>
      <c r="S266" s="954"/>
      <c r="T266" s="954"/>
    </row>
    <row r="267" spans="1:20">
      <c r="A267" s="53">
        <f t="shared" si="3"/>
        <v>2015.06</v>
      </c>
      <c r="B267" s="49">
        <v>4937</v>
      </c>
      <c r="C267" s="3633">
        <v>3830</v>
      </c>
      <c r="D267" s="88">
        <v>133</v>
      </c>
      <c r="E267" s="584">
        <v>14450</v>
      </c>
      <c r="F267" s="3633">
        <v>3519</v>
      </c>
      <c r="G267" s="88">
        <v>72</v>
      </c>
      <c r="H267" s="584">
        <v>59016</v>
      </c>
      <c r="I267" s="3633">
        <v>37647</v>
      </c>
      <c r="J267" s="88">
        <v>999</v>
      </c>
      <c r="K267" s="584">
        <v>152151</v>
      </c>
      <c r="L267" s="3633">
        <v>24555</v>
      </c>
      <c r="M267" s="643">
        <v>607</v>
      </c>
      <c r="N267" s="2375">
        <f t="shared" si="1"/>
        <v>4856</v>
      </c>
      <c r="O267" s="3633">
        <v>3643</v>
      </c>
      <c r="P267" s="3633">
        <v>1112</v>
      </c>
      <c r="Q267" s="643">
        <v>101</v>
      </c>
      <c r="R267" s="3446">
        <v>54119</v>
      </c>
      <c r="S267" s="954"/>
      <c r="T267" s="954"/>
    </row>
    <row r="268" spans="1:20">
      <c r="A268" s="53">
        <f t="shared" si="3"/>
        <v>2015.07</v>
      </c>
      <c r="B268" s="49">
        <v>5170</v>
      </c>
      <c r="C268" s="3633">
        <v>3897</v>
      </c>
      <c r="D268" s="88">
        <v>107</v>
      </c>
      <c r="E268" s="584">
        <v>16150</v>
      </c>
      <c r="F268" s="3633">
        <v>3775</v>
      </c>
      <c r="G268" s="88">
        <v>87</v>
      </c>
      <c r="H268" s="584">
        <v>62029</v>
      </c>
      <c r="I268" s="3633">
        <v>38798</v>
      </c>
      <c r="J268" s="88">
        <v>889</v>
      </c>
      <c r="K268" s="584">
        <v>167217</v>
      </c>
      <c r="L268" s="3633">
        <v>24880</v>
      </c>
      <c r="M268" s="643">
        <v>627</v>
      </c>
      <c r="N268" s="2375">
        <f t="shared" si="1"/>
        <v>5073</v>
      </c>
      <c r="O268" s="3633">
        <v>3880</v>
      </c>
      <c r="P268" s="3633">
        <v>1085</v>
      </c>
      <c r="Q268" s="643">
        <v>108</v>
      </c>
      <c r="R268" s="3446">
        <v>45253</v>
      </c>
      <c r="S268" s="954"/>
      <c r="T268" s="954"/>
    </row>
    <row r="269" spans="1:20">
      <c r="A269" s="53">
        <f t="shared" si="3"/>
        <v>2015.08</v>
      </c>
      <c r="B269" s="49">
        <v>4993</v>
      </c>
      <c r="C269" s="3633">
        <v>3530</v>
      </c>
      <c r="D269" s="88">
        <v>70</v>
      </c>
      <c r="E269" s="584">
        <v>14914</v>
      </c>
      <c r="F269" s="3633">
        <v>3347</v>
      </c>
      <c r="G269" s="88">
        <v>62</v>
      </c>
      <c r="H269" s="584">
        <v>59109</v>
      </c>
      <c r="I269" s="3633">
        <v>38075</v>
      </c>
      <c r="J269" s="88">
        <v>726</v>
      </c>
      <c r="K269" s="584">
        <v>153098</v>
      </c>
      <c r="L269" s="3633">
        <v>22747</v>
      </c>
      <c r="M269" s="643">
        <v>615</v>
      </c>
      <c r="N269" s="2375">
        <f t="shared" si="1"/>
        <v>4910</v>
      </c>
      <c r="O269" s="3633">
        <v>3754</v>
      </c>
      <c r="P269" s="3633">
        <v>1064</v>
      </c>
      <c r="Q269" s="643">
        <v>92</v>
      </c>
      <c r="R269" s="3446">
        <v>49048</v>
      </c>
      <c r="S269" s="954"/>
      <c r="T269" s="954"/>
    </row>
    <row r="270" spans="1:20">
      <c r="A270" s="53">
        <f t="shared" si="3"/>
        <v>2015.09</v>
      </c>
      <c r="B270" s="49">
        <v>5555</v>
      </c>
      <c r="C270" s="3633">
        <v>4167</v>
      </c>
      <c r="D270" s="88">
        <v>104</v>
      </c>
      <c r="E270" s="584">
        <v>16114</v>
      </c>
      <c r="F270" s="3633">
        <v>3903</v>
      </c>
      <c r="G270" s="88">
        <v>88</v>
      </c>
      <c r="H270" s="584">
        <v>68031</v>
      </c>
      <c r="I270" s="3633">
        <v>45410</v>
      </c>
      <c r="J270" s="88">
        <v>880</v>
      </c>
      <c r="K270" s="584">
        <v>169296</v>
      </c>
      <c r="L270" s="3633">
        <v>27546</v>
      </c>
      <c r="M270" s="643">
        <v>648</v>
      </c>
      <c r="N270" s="2375">
        <f t="shared" si="1"/>
        <v>5460</v>
      </c>
      <c r="O270" s="3633">
        <v>4196</v>
      </c>
      <c r="P270" s="3633">
        <v>1152</v>
      </c>
      <c r="Q270" s="643">
        <v>112</v>
      </c>
      <c r="R270" s="3446">
        <v>52977</v>
      </c>
      <c r="S270" s="954"/>
      <c r="T270" s="954"/>
    </row>
    <row r="271" spans="1:20">
      <c r="A271" s="53">
        <f t="shared" si="3"/>
        <v>2015.1</v>
      </c>
      <c r="B271" s="49">
        <v>4856</v>
      </c>
      <c r="C271" s="3633">
        <v>4144</v>
      </c>
      <c r="D271" s="88">
        <v>140</v>
      </c>
      <c r="E271" s="584">
        <v>15241</v>
      </c>
      <c r="F271" s="3633">
        <v>3781</v>
      </c>
      <c r="G271" s="88">
        <v>111</v>
      </c>
      <c r="H271" s="584">
        <v>60933</v>
      </c>
      <c r="I271" s="3633">
        <v>44744</v>
      </c>
      <c r="J271" s="88">
        <v>917</v>
      </c>
      <c r="K271" s="584">
        <v>162934</v>
      </c>
      <c r="L271" s="3633">
        <v>26043</v>
      </c>
      <c r="M271" s="643">
        <v>705</v>
      </c>
      <c r="N271" s="2375">
        <f t="shared" si="1"/>
        <v>4787</v>
      </c>
      <c r="O271" s="3633">
        <v>3610</v>
      </c>
      <c r="P271" s="3633">
        <v>1059</v>
      </c>
      <c r="Q271" s="643">
        <v>118</v>
      </c>
      <c r="R271" s="3446">
        <v>45240</v>
      </c>
      <c r="S271" s="954"/>
      <c r="T271" s="954"/>
    </row>
    <row r="272" spans="1:20">
      <c r="A272" s="53">
        <f t="shared" si="3"/>
        <v>2015.11</v>
      </c>
      <c r="B272" s="49">
        <v>4211</v>
      </c>
      <c r="C272" s="3633">
        <v>3825</v>
      </c>
      <c r="D272" s="88">
        <v>133</v>
      </c>
      <c r="E272" s="584">
        <v>13908</v>
      </c>
      <c r="F272" s="3633">
        <v>3431</v>
      </c>
      <c r="G272" s="88">
        <v>99</v>
      </c>
      <c r="H272" s="584">
        <v>52268</v>
      </c>
      <c r="I272" s="3633">
        <v>42694</v>
      </c>
      <c r="J272" s="88">
        <v>973</v>
      </c>
      <c r="K272" s="584">
        <v>148863</v>
      </c>
      <c r="L272" s="3633">
        <v>23978</v>
      </c>
      <c r="M272" s="643">
        <v>584</v>
      </c>
      <c r="N272" s="2375">
        <f t="shared" si="1"/>
        <v>4128</v>
      </c>
      <c r="O272" s="3633">
        <v>3102</v>
      </c>
      <c r="P272" s="3633">
        <v>935</v>
      </c>
      <c r="Q272" s="643">
        <v>91</v>
      </c>
      <c r="R272" s="3446">
        <v>45478</v>
      </c>
      <c r="S272" s="954"/>
      <c r="T272" s="954"/>
    </row>
    <row r="273" spans="1:28">
      <c r="A273" s="53">
        <f t="shared" si="3"/>
        <v>2015.12</v>
      </c>
      <c r="B273" s="49">
        <v>2510</v>
      </c>
      <c r="C273" s="3633">
        <v>3141</v>
      </c>
      <c r="D273" s="88">
        <v>132</v>
      </c>
      <c r="E273" s="584">
        <v>12710</v>
      </c>
      <c r="F273" s="3633">
        <v>3082</v>
      </c>
      <c r="G273" s="88">
        <v>78</v>
      </c>
      <c r="H273" s="584">
        <v>32419</v>
      </c>
      <c r="I273" s="3633">
        <v>37360</v>
      </c>
      <c r="J273" s="88">
        <v>924</v>
      </c>
      <c r="K273" s="584">
        <v>145150</v>
      </c>
      <c r="L273" s="3633">
        <v>23203</v>
      </c>
      <c r="M273" s="643">
        <v>550</v>
      </c>
      <c r="N273" s="2375">
        <f t="shared" si="1"/>
        <v>2489</v>
      </c>
      <c r="O273" s="3633">
        <v>1804</v>
      </c>
      <c r="P273" s="3633">
        <v>613</v>
      </c>
      <c r="Q273" s="643">
        <v>72</v>
      </c>
      <c r="R273" s="3446">
        <v>35198</v>
      </c>
      <c r="S273" s="954"/>
      <c r="T273" s="954"/>
    </row>
    <row r="274" spans="1:28">
      <c r="A274" s="53">
        <f t="shared" si="3"/>
        <v>2016.01</v>
      </c>
      <c r="B274" s="49">
        <v>4936</v>
      </c>
      <c r="C274" s="3633">
        <v>3754</v>
      </c>
      <c r="D274" s="88">
        <v>68</v>
      </c>
      <c r="E274" s="584">
        <v>11178</v>
      </c>
      <c r="F274" s="3633">
        <v>3137</v>
      </c>
      <c r="G274" s="88">
        <v>50</v>
      </c>
      <c r="H274" s="584">
        <v>57962</v>
      </c>
      <c r="I274" s="3633">
        <v>40039</v>
      </c>
      <c r="J274" s="88">
        <v>606</v>
      </c>
      <c r="K274" s="584">
        <v>128152</v>
      </c>
      <c r="L274" s="3633">
        <v>24889</v>
      </c>
      <c r="M274" s="643">
        <v>487</v>
      </c>
      <c r="N274" s="2375">
        <f t="shared" si="1"/>
        <v>4808</v>
      </c>
      <c r="O274" s="3633">
        <v>3752</v>
      </c>
      <c r="P274" s="3633">
        <v>975</v>
      </c>
      <c r="Q274" s="643">
        <v>81</v>
      </c>
      <c r="R274" s="3446">
        <v>17785</v>
      </c>
      <c r="S274" s="954"/>
      <c r="T274" s="954"/>
    </row>
    <row r="275" spans="1:28">
      <c r="A275" s="53">
        <f t="shared" si="3"/>
        <v>2016.02</v>
      </c>
      <c r="B275" s="49">
        <v>3999</v>
      </c>
      <c r="C275" s="3633">
        <v>3246</v>
      </c>
      <c r="D275" s="88">
        <v>82</v>
      </c>
      <c r="E275" s="584">
        <v>9472</v>
      </c>
      <c r="F275" s="3633">
        <v>2886</v>
      </c>
      <c r="G275" s="88">
        <v>54</v>
      </c>
      <c r="H275" s="584">
        <v>48151</v>
      </c>
      <c r="I275" s="3633">
        <v>35307</v>
      </c>
      <c r="J275" s="88">
        <v>518</v>
      </c>
      <c r="K275" s="584">
        <v>109362</v>
      </c>
      <c r="L275" s="3633">
        <v>22357</v>
      </c>
      <c r="M275" s="643">
        <v>467</v>
      </c>
      <c r="N275" s="2375">
        <f t="shared" si="1"/>
        <v>3917</v>
      </c>
      <c r="O275" s="3633">
        <v>3127</v>
      </c>
      <c r="P275" s="3633">
        <v>724</v>
      </c>
      <c r="Q275" s="643">
        <v>66</v>
      </c>
      <c r="R275" s="3446">
        <v>34174</v>
      </c>
      <c r="S275" s="954"/>
      <c r="T275" s="954"/>
    </row>
    <row r="276" spans="1:28">
      <c r="A276" s="53">
        <f t="shared" si="3"/>
        <v>2016.03</v>
      </c>
      <c r="B276" s="49">
        <v>4507</v>
      </c>
      <c r="C276" s="3633">
        <v>3681</v>
      </c>
      <c r="D276" s="88">
        <v>74</v>
      </c>
      <c r="E276" s="584">
        <v>11709</v>
      </c>
      <c r="F276" s="3633">
        <v>3424</v>
      </c>
      <c r="G276" s="88">
        <v>94</v>
      </c>
      <c r="H276" s="584">
        <v>56435</v>
      </c>
      <c r="I276" s="3633">
        <v>41985</v>
      </c>
      <c r="J276" s="88">
        <v>602</v>
      </c>
      <c r="K276" s="584">
        <v>129943</v>
      </c>
      <c r="L276" s="3633">
        <v>26794</v>
      </c>
      <c r="M276" s="643">
        <v>653</v>
      </c>
      <c r="N276" s="2375">
        <f t="shared" si="1"/>
        <v>4418</v>
      </c>
      <c r="O276" s="3633">
        <v>3523</v>
      </c>
      <c r="P276" s="3633">
        <v>783</v>
      </c>
      <c r="Q276" s="643">
        <v>112</v>
      </c>
      <c r="R276" s="3446">
        <v>46209</v>
      </c>
      <c r="S276" s="954"/>
      <c r="T276" s="954"/>
    </row>
    <row r="277" spans="1:28">
      <c r="A277" s="53">
        <f t="shared" si="3"/>
        <v>2016.04</v>
      </c>
      <c r="B277" s="49">
        <v>4955</v>
      </c>
      <c r="C277" s="3633">
        <v>3021</v>
      </c>
      <c r="D277" s="88">
        <v>112</v>
      </c>
      <c r="E277" s="584">
        <v>10533</v>
      </c>
      <c r="F277" s="3633">
        <v>2858</v>
      </c>
      <c r="G277" s="88">
        <v>112</v>
      </c>
      <c r="H277" s="584">
        <v>61138</v>
      </c>
      <c r="I277" s="3633">
        <v>38075</v>
      </c>
      <c r="J277" s="88">
        <v>695</v>
      </c>
      <c r="K277" s="584">
        <v>123983</v>
      </c>
      <c r="L277" s="3633">
        <v>22514</v>
      </c>
      <c r="M277" s="643">
        <v>628</v>
      </c>
      <c r="N277" s="2375">
        <f t="shared" si="1"/>
        <v>4868</v>
      </c>
      <c r="O277" s="3633">
        <v>3648</v>
      </c>
      <c r="P277" s="3633">
        <v>1102</v>
      </c>
      <c r="Q277" s="643">
        <v>118</v>
      </c>
      <c r="R277" s="3446">
        <v>44447</v>
      </c>
      <c r="S277" s="954"/>
      <c r="T277" s="954"/>
    </row>
    <row r="278" spans="1:28">
      <c r="A278" s="53">
        <f t="shared" si="3"/>
        <v>2016.05</v>
      </c>
      <c r="B278" s="49">
        <v>4897</v>
      </c>
      <c r="C278" s="3633">
        <v>3116</v>
      </c>
      <c r="D278" s="88">
        <v>122</v>
      </c>
      <c r="E278" s="584">
        <v>10776</v>
      </c>
      <c r="F278" s="3633">
        <v>2860</v>
      </c>
      <c r="G278" s="88">
        <v>81</v>
      </c>
      <c r="H278" s="584">
        <v>60901</v>
      </c>
      <c r="I278" s="3633">
        <v>36086</v>
      </c>
      <c r="J278" s="88">
        <v>817</v>
      </c>
      <c r="K278" s="584">
        <v>120715</v>
      </c>
      <c r="L278" s="3633">
        <v>21492</v>
      </c>
      <c r="M278" s="643">
        <v>590</v>
      </c>
      <c r="N278" s="2375">
        <f t="shared" si="1"/>
        <v>4797</v>
      </c>
      <c r="O278" s="3633">
        <v>3648</v>
      </c>
      <c r="P278" s="3633">
        <v>1068</v>
      </c>
      <c r="Q278" s="643">
        <v>81</v>
      </c>
      <c r="R278" s="3446">
        <v>39768</v>
      </c>
      <c r="S278" s="954"/>
      <c r="T278" s="954"/>
    </row>
    <row r="279" spans="1:28">
      <c r="A279" s="53">
        <f t="shared" si="3"/>
        <v>2016.06</v>
      </c>
      <c r="B279" s="49">
        <v>4700</v>
      </c>
      <c r="C279" s="3633">
        <v>2671</v>
      </c>
      <c r="D279" s="88">
        <v>114</v>
      </c>
      <c r="E279" s="584">
        <v>9552</v>
      </c>
      <c r="F279" s="3633">
        <v>2164</v>
      </c>
      <c r="G279" s="88">
        <v>90</v>
      </c>
      <c r="H279" s="584">
        <v>54637</v>
      </c>
      <c r="I279" s="3633">
        <v>29225</v>
      </c>
      <c r="J279" s="88">
        <v>983</v>
      </c>
      <c r="K279" s="584">
        <v>106747</v>
      </c>
      <c r="L279" s="3633">
        <v>16554</v>
      </c>
      <c r="M279" s="643">
        <v>524</v>
      </c>
      <c r="N279" s="2375">
        <f t="shared" si="1"/>
        <v>4593</v>
      </c>
      <c r="O279" s="3633">
        <v>3362</v>
      </c>
      <c r="P279" s="3633">
        <v>1163</v>
      </c>
      <c r="Q279" s="643">
        <v>68</v>
      </c>
      <c r="R279" s="3446">
        <v>41655</v>
      </c>
      <c r="S279" s="954"/>
      <c r="T279" s="954"/>
    </row>
    <row r="280" spans="1:28">
      <c r="A280" s="53">
        <f t="shared" si="3"/>
        <v>2016.07</v>
      </c>
      <c r="B280" s="49">
        <v>5080</v>
      </c>
      <c r="C280" s="3633">
        <v>3113</v>
      </c>
      <c r="D280" s="88">
        <v>91</v>
      </c>
      <c r="E280" s="584">
        <v>11799</v>
      </c>
      <c r="F280" s="3633">
        <v>2446</v>
      </c>
      <c r="G280" s="88">
        <v>84</v>
      </c>
      <c r="H280" s="584">
        <v>63788</v>
      </c>
      <c r="I280" s="3633">
        <v>34797</v>
      </c>
      <c r="J280" s="88">
        <v>770</v>
      </c>
      <c r="K280" s="584">
        <v>126383</v>
      </c>
      <c r="L280" s="3633">
        <v>18336</v>
      </c>
      <c r="M280" s="643">
        <v>515</v>
      </c>
      <c r="N280" s="2375">
        <f t="shared" si="1"/>
        <v>4928</v>
      </c>
      <c r="O280" s="3633">
        <v>3661</v>
      </c>
      <c r="P280" s="3633">
        <v>1186</v>
      </c>
      <c r="Q280" s="643">
        <v>81</v>
      </c>
      <c r="R280" s="3446">
        <v>37706</v>
      </c>
      <c r="S280" s="954"/>
      <c r="T280" s="954"/>
    </row>
    <row r="281" spans="1:28">
      <c r="A281" s="53">
        <f t="shared" si="3"/>
        <v>2016.08</v>
      </c>
      <c r="B281" s="49">
        <v>6269</v>
      </c>
      <c r="C281" s="3633">
        <v>3948</v>
      </c>
      <c r="D281" s="88">
        <v>138</v>
      </c>
      <c r="E281" s="584">
        <v>13405</v>
      </c>
      <c r="F281" s="3633">
        <v>2986</v>
      </c>
      <c r="G281" s="88">
        <v>88</v>
      </c>
      <c r="H281" s="584">
        <v>73053</v>
      </c>
      <c r="I281" s="3633">
        <v>43651</v>
      </c>
      <c r="J281" s="88">
        <v>919</v>
      </c>
      <c r="K281" s="584">
        <v>140016</v>
      </c>
      <c r="L281" s="3633">
        <v>21806</v>
      </c>
      <c r="M281" s="643">
        <v>609</v>
      </c>
      <c r="N281" s="2375">
        <f t="shared" si="1"/>
        <v>6106</v>
      </c>
      <c r="O281" s="3633">
        <v>4531</v>
      </c>
      <c r="P281" s="3633">
        <v>1452</v>
      </c>
      <c r="Q281" s="643">
        <v>123</v>
      </c>
      <c r="R281" s="3446">
        <v>43552</v>
      </c>
      <c r="S281" s="954"/>
      <c r="T281" s="954"/>
    </row>
    <row r="282" spans="1:28">
      <c r="A282" s="53">
        <f t="shared" si="3"/>
        <v>2016.09</v>
      </c>
      <c r="B282" s="49">
        <v>6082</v>
      </c>
      <c r="C282" s="3633">
        <v>4283</v>
      </c>
      <c r="D282" s="88">
        <v>131</v>
      </c>
      <c r="E282" s="584">
        <v>13378</v>
      </c>
      <c r="F282" s="3633">
        <v>3185</v>
      </c>
      <c r="G282" s="88">
        <v>113</v>
      </c>
      <c r="H282" s="584">
        <v>71263</v>
      </c>
      <c r="I282" s="3633">
        <v>44318</v>
      </c>
      <c r="J282" s="88">
        <v>1040</v>
      </c>
      <c r="K282" s="584">
        <v>136727</v>
      </c>
      <c r="L282" s="3633">
        <v>21944</v>
      </c>
      <c r="M282" s="643">
        <v>650</v>
      </c>
      <c r="N282" s="2375">
        <f t="shared" si="1"/>
        <v>5925</v>
      </c>
      <c r="O282" s="3633">
        <v>4287</v>
      </c>
      <c r="P282" s="3633">
        <v>1516</v>
      </c>
      <c r="Q282" s="643">
        <v>122</v>
      </c>
      <c r="R282" s="3446">
        <v>42599</v>
      </c>
      <c r="S282" s="954"/>
      <c r="T282" s="954"/>
    </row>
    <row r="283" spans="1:28">
      <c r="A283" s="53">
        <f t="shared" si="3"/>
        <v>2016.1</v>
      </c>
      <c r="B283" s="49">
        <v>5213</v>
      </c>
      <c r="C283" s="3633">
        <v>4044</v>
      </c>
      <c r="D283" s="88">
        <v>171</v>
      </c>
      <c r="E283" s="584">
        <v>12298</v>
      </c>
      <c r="F283" s="3633">
        <v>2924</v>
      </c>
      <c r="G283" s="88">
        <v>92</v>
      </c>
      <c r="H283" s="584">
        <v>63718</v>
      </c>
      <c r="I283" s="3633">
        <v>43454</v>
      </c>
      <c r="J283" s="88">
        <v>1132</v>
      </c>
      <c r="K283" s="584">
        <v>125944</v>
      </c>
      <c r="L283" s="3633">
        <v>20007</v>
      </c>
      <c r="M283" s="643">
        <v>642</v>
      </c>
      <c r="N283" s="2375">
        <f t="shared" si="1"/>
        <v>5049</v>
      </c>
      <c r="O283" s="3633">
        <v>3580</v>
      </c>
      <c r="P283" s="3633">
        <v>1350</v>
      </c>
      <c r="Q283" s="643">
        <v>119</v>
      </c>
      <c r="R283" s="3446">
        <v>37832</v>
      </c>
      <c r="S283" s="954"/>
      <c r="T283" s="954"/>
    </row>
    <row r="284" spans="1:28">
      <c r="A284" s="53">
        <f t="shared" si="3"/>
        <v>2016.11</v>
      </c>
      <c r="B284" s="49">
        <v>4906</v>
      </c>
      <c r="C284" s="3633">
        <v>4187</v>
      </c>
      <c r="D284" s="88">
        <v>160</v>
      </c>
      <c r="E284" s="584">
        <v>11991</v>
      </c>
      <c r="F284" s="3633">
        <v>2921</v>
      </c>
      <c r="G284" s="88">
        <v>103</v>
      </c>
      <c r="H284" s="584">
        <v>60124</v>
      </c>
      <c r="I284" s="3633">
        <v>48669</v>
      </c>
      <c r="J284" s="88">
        <v>1265</v>
      </c>
      <c r="K284" s="584">
        <v>130586</v>
      </c>
      <c r="L284" s="3633">
        <v>21226</v>
      </c>
      <c r="M284" s="643">
        <v>675</v>
      </c>
      <c r="N284" s="2375">
        <f t="shared" si="1"/>
        <v>4694</v>
      </c>
      <c r="O284" s="3633">
        <v>3298</v>
      </c>
      <c r="P284" s="3633">
        <v>1291</v>
      </c>
      <c r="Q284" s="643">
        <v>105</v>
      </c>
      <c r="R284" s="3446">
        <v>46962</v>
      </c>
      <c r="S284" s="954"/>
      <c r="T284" s="954"/>
    </row>
    <row r="285" spans="1:28">
      <c r="A285" s="53">
        <f t="shared" si="3"/>
        <v>2016.12</v>
      </c>
      <c r="B285" s="49">
        <v>3147</v>
      </c>
      <c r="C285" s="3633">
        <v>4464</v>
      </c>
      <c r="D285" s="88">
        <v>198</v>
      </c>
      <c r="E285" s="584">
        <v>13272</v>
      </c>
      <c r="F285" s="3633">
        <v>3049</v>
      </c>
      <c r="G285" s="88">
        <v>114</v>
      </c>
      <c r="H285" s="584">
        <v>40863</v>
      </c>
      <c r="I285" s="3633">
        <v>48812</v>
      </c>
      <c r="J285" s="88">
        <v>1402</v>
      </c>
      <c r="K285" s="584">
        <v>143338</v>
      </c>
      <c r="L285" s="3633">
        <v>21833</v>
      </c>
      <c r="M285" s="643">
        <v>638</v>
      </c>
      <c r="N285" s="2375">
        <f t="shared" si="1"/>
        <v>3033</v>
      </c>
      <c r="O285" s="3633">
        <v>2183</v>
      </c>
      <c r="P285" s="3633">
        <v>759</v>
      </c>
      <c r="Q285" s="643">
        <v>91</v>
      </c>
      <c r="R285" s="3446">
        <v>40087</v>
      </c>
      <c r="S285" s="954"/>
      <c r="T285" s="954"/>
      <c r="U285" s="1012"/>
      <c r="V285" s="1012"/>
      <c r="W285" s="1012"/>
      <c r="X285" s="1012"/>
      <c r="Y285" s="1012"/>
      <c r="Z285" s="1012"/>
      <c r="AA285" s="1012"/>
      <c r="AB285" s="1012"/>
    </row>
    <row r="286" spans="1:28">
      <c r="A286" s="53">
        <f t="shared" si="3"/>
        <v>2017.01</v>
      </c>
      <c r="B286" s="49">
        <v>8257</v>
      </c>
      <c r="C286" s="3633">
        <v>6418</v>
      </c>
      <c r="D286" s="88">
        <v>163</v>
      </c>
      <c r="E286" s="584">
        <v>12826</v>
      </c>
      <c r="F286" s="3633">
        <v>3011</v>
      </c>
      <c r="G286" s="88">
        <v>83</v>
      </c>
      <c r="H286" s="584">
        <v>95415</v>
      </c>
      <c r="I286" s="3633">
        <v>64552</v>
      </c>
      <c r="J286" s="88">
        <v>1286</v>
      </c>
      <c r="K286" s="584">
        <v>144910</v>
      </c>
      <c r="L286" s="3633">
        <v>23134</v>
      </c>
      <c r="M286" s="643">
        <v>643</v>
      </c>
      <c r="N286" s="2375">
        <f t="shared" si="1"/>
        <v>8067</v>
      </c>
      <c r="O286" s="3633">
        <v>6062</v>
      </c>
      <c r="P286" s="3633">
        <v>1890</v>
      </c>
      <c r="Q286" s="643">
        <v>115</v>
      </c>
      <c r="R286" s="3446">
        <v>26762</v>
      </c>
      <c r="S286" s="954"/>
      <c r="T286" s="954"/>
    </row>
    <row r="287" spans="1:28">
      <c r="A287" s="53">
        <f t="shared" si="3"/>
        <v>2017.02</v>
      </c>
      <c r="B287" s="49">
        <v>5045</v>
      </c>
      <c r="C287" s="3633">
        <v>4522</v>
      </c>
      <c r="D287" s="88">
        <v>94</v>
      </c>
      <c r="E287" s="584">
        <v>10747</v>
      </c>
      <c r="F287" s="3633">
        <v>2660</v>
      </c>
      <c r="G287" s="88">
        <v>57</v>
      </c>
      <c r="H287" s="584">
        <v>59103</v>
      </c>
      <c r="I287" s="3633">
        <v>49500</v>
      </c>
      <c r="J287" s="88">
        <v>784</v>
      </c>
      <c r="K287" s="584">
        <v>116337</v>
      </c>
      <c r="L287" s="3633">
        <v>19355</v>
      </c>
      <c r="M287" s="643">
        <v>464</v>
      </c>
      <c r="N287" s="2375">
        <f t="shared" si="1"/>
        <v>4917</v>
      </c>
      <c r="O287" s="3633">
        <v>3701</v>
      </c>
      <c r="P287" s="3633">
        <v>1108</v>
      </c>
      <c r="Q287" s="643">
        <v>108</v>
      </c>
      <c r="R287" s="3446">
        <v>24036</v>
      </c>
      <c r="S287" s="954"/>
      <c r="T287" s="954"/>
    </row>
    <row r="288" spans="1:28">
      <c r="A288" s="53">
        <f t="shared" si="3"/>
        <v>2017.03</v>
      </c>
      <c r="B288" s="49">
        <v>6568</v>
      </c>
      <c r="C288" s="3633">
        <v>5886</v>
      </c>
      <c r="D288" s="88">
        <v>148</v>
      </c>
      <c r="E288" s="584">
        <v>13929</v>
      </c>
      <c r="F288" s="3633">
        <v>3610</v>
      </c>
      <c r="G288" s="88">
        <v>105</v>
      </c>
      <c r="H288" s="584">
        <v>78478</v>
      </c>
      <c r="I288" s="3633">
        <v>66414</v>
      </c>
      <c r="J288" s="88">
        <v>1049</v>
      </c>
      <c r="K288" s="584">
        <v>152222</v>
      </c>
      <c r="L288" s="3633">
        <v>27092</v>
      </c>
      <c r="M288" s="643">
        <v>616</v>
      </c>
      <c r="N288" s="2375">
        <f t="shared" si="1"/>
        <v>6394</v>
      </c>
      <c r="O288" s="3633">
        <v>4804</v>
      </c>
      <c r="P288" s="3633">
        <v>1434</v>
      </c>
      <c r="Q288" s="643">
        <v>156</v>
      </c>
      <c r="R288" s="3446">
        <v>40107</v>
      </c>
      <c r="S288" s="954"/>
      <c r="T288" s="954"/>
    </row>
    <row r="289" spans="1:20">
      <c r="A289" s="53">
        <f t="shared" si="3"/>
        <v>2017.04</v>
      </c>
      <c r="B289" s="49">
        <v>5635</v>
      </c>
      <c r="C289" s="3633">
        <v>4527</v>
      </c>
      <c r="D289" s="88">
        <v>134</v>
      </c>
      <c r="E289" s="584">
        <v>11447</v>
      </c>
      <c r="F289" s="3633">
        <v>2727</v>
      </c>
      <c r="G289" s="88">
        <v>79</v>
      </c>
      <c r="H289" s="584">
        <v>65133</v>
      </c>
      <c r="I289" s="3633">
        <v>50448</v>
      </c>
      <c r="J289" s="88">
        <v>956</v>
      </c>
      <c r="K289" s="584">
        <v>125075</v>
      </c>
      <c r="L289" s="3633">
        <v>20418</v>
      </c>
      <c r="M289" s="643">
        <v>527</v>
      </c>
      <c r="N289" s="2375">
        <f t="shared" si="1"/>
        <v>5494</v>
      </c>
      <c r="O289" s="3633">
        <v>4045</v>
      </c>
      <c r="P289" s="3633">
        <v>1338</v>
      </c>
      <c r="Q289" s="643">
        <v>111</v>
      </c>
      <c r="R289" s="3446">
        <v>37730</v>
      </c>
      <c r="S289" s="954"/>
      <c r="T289" s="954"/>
    </row>
    <row r="290" spans="1:20">
      <c r="A290" s="53">
        <f t="shared" si="3"/>
        <v>2017.05</v>
      </c>
      <c r="B290" s="49">
        <v>6370</v>
      </c>
      <c r="C290" s="3633">
        <v>4782</v>
      </c>
      <c r="D290" s="88">
        <v>159</v>
      </c>
      <c r="E290" s="584">
        <v>13501</v>
      </c>
      <c r="F290" s="3633">
        <v>2894</v>
      </c>
      <c r="G290" s="88">
        <v>100</v>
      </c>
      <c r="H290" s="584">
        <v>77850</v>
      </c>
      <c r="I290" s="3633">
        <v>53497</v>
      </c>
      <c r="J290" s="88">
        <v>1358</v>
      </c>
      <c r="K290" s="584">
        <v>143853</v>
      </c>
      <c r="L290" s="3633">
        <v>21772</v>
      </c>
      <c r="M290" s="643">
        <v>591</v>
      </c>
      <c r="N290" s="2375">
        <f t="shared" si="1"/>
        <v>6164</v>
      </c>
      <c r="O290" s="3633">
        <v>4541</v>
      </c>
      <c r="P290" s="3633">
        <v>1463</v>
      </c>
      <c r="Q290" s="643">
        <v>160</v>
      </c>
      <c r="R290" s="3446">
        <v>45273</v>
      </c>
      <c r="S290" s="954"/>
      <c r="T290" s="954"/>
    </row>
    <row r="291" spans="1:20">
      <c r="A291" s="53">
        <f t="shared" si="3"/>
        <v>2017.06</v>
      </c>
      <c r="B291" s="49">
        <v>6807</v>
      </c>
      <c r="C291" s="3633">
        <v>4441</v>
      </c>
      <c r="D291" s="88">
        <v>192</v>
      </c>
      <c r="E291" s="584">
        <v>13054</v>
      </c>
      <c r="F291" s="3633">
        <v>2637</v>
      </c>
      <c r="G291" s="88">
        <v>85</v>
      </c>
      <c r="H291" s="584">
        <v>78572</v>
      </c>
      <c r="I291" s="3633">
        <v>46341</v>
      </c>
      <c r="J291" s="88">
        <v>1417</v>
      </c>
      <c r="K291" s="584">
        <v>137306</v>
      </c>
      <c r="L291" s="3633">
        <v>18940</v>
      </c>
      <c r="M291" s="643">
        <v>654</v>
      </c>
      <c r="N291" s="2375">
        <f t="shared" si="1"/>
        <v>6584</v>
      </c>
      <c r="O291" s="3633">
        <v>4848</v>
      </c>
      <c r="P291" s="3633">
        <v>1621</v>
      </c>
      <c r="Q291" s="643">
        <v>115</v>
      </c>
      <c r="R291" s="3446">
        <v>45496</v>
      </c>
      <c r="S291" s="954"/>
      <c r="T291" s="954"/>
    </row>
    <row r="292" spans="1:20">
      <c r="A292" s="53">
        <f t="shared" si="3"/>
        <v>2017.07</v>
      </c>
      <c r="B292" s="49">
        <v>6834</v>
      </c>
      <c r="C292" s="3633">
        <v>5273</v>
      </c>
      <c r="D292" s="88">
        <v>145</v>
      </c>
      <c r="E292" s="584">
        <v>14868</v>
      </c>
      <c r="F292" s="3633">
        <v>3110</v>
      </c>
      <c r="G292" s="88">
        <v>118</v>
      </c>
      <c r="H292" s="584">
        <v>80966</v>
      </c>
      <c r="I292" s="3633">
        <v>52219</v>
      </c>
      <c r="J292" s="88">
        <v>1442</v>
      </c>
      <c r="K292" s="584">
        <v>157755</v>
      </c>
      <c r="L292" s="3633">
        <v>21847</v>
      </c>
      <c r="M292" s="643">
        <v>678</v>
      </c>
      <c r="N292" s="2375">
        <f t="shared" si="1"/>
        <v>6611</v>
      </c>
      <c r="O292" s="3633">
        <v>4947</v>
      </c>
      <c r="P292" s="3633">
        <v>1551</v>
      </c>
      <c r="Q292" s="643">
        <v>113</v>
      </c>
      <c r="R292" s="3446">
        <v>38169</v>
      </c>
      <c r="S292" s="954"/>
      <c r="T292" s="954"/>
    </row>
    <row r="293" spans="1:20">
      <c r="A293" s="53">
        <f t="shared" si="3"/>
        <v>2017.08</v>
      </c>
      <c r="B293" s="49">
        <v>7589</v>
      </c>
      <c r="C293" s="3633">
        <v>5714</v>
      </c>
      <c r="D293" s="88">
        <v>177</v>
      </c>
      <c r="E293" s="584">
        <v>15906</v>
      </c>
      <c r="F293" s="3633">
        <v>3405</v>
      </c>
      <c r="G293" s="88">
        <v>80</v>
      </c>
      <c r="H293" s="584">
        <v>87371</v>
      </c>
      <c r="I293" s="3633">
        <v>59740</v>
      </c>
      <c r="J293" s="88">
        <v>1394</v>
      </c>
      <c r="K293" s="584">
        <v>164997</v>
      </c>
      <c r="L293" s="3633">
        <v>23430</v>
      </c>
      <c r="M293" s="643">
        <v>646</v>
      </c>
      <c r="N293" s="2375">
        <f t="shared" si="1"/>
        <v>7376</v>
      </c>
      <c r="O293" s="3633">
        <v>5494</v>
      </c>
      <c r="P293" s="3633">
        <v>1736</v>
      </c>
      <c r="Q293" s="643">
        <v>146</v>
      </c>
      <c r="R293" s="3446">
        <v>45262</v>
      </c>
      <c r="S293" s="954"/>
      <c r="T293" s="954"/>
    </row>
    <row r="294" spans="1:20">
      <c r="A294" s="53">
        <f t="shared" si="3"/>
        <v>2017.09</v>
      </c>
      <c r="B294" s="49">
        <v>6820</v>
      </c>
      <c r="C294" s="3633">
        <v>5963</v>
      </c>
      <c r="D294" s="88">
        <v>175</v>
      </c>
      <c r="E294" s="584">
        <v>15438</v>
      </c>
      <c r="F294" s="3633">
        <v>3472</v>
      </c>
      <c r="G294" s="88">
        <v>103</v>
      </c>
      <c r="H294" s="584">
        <v>80419</v>
      </c>
      <c r="I294" s="3633">
        <v>62718</v>
      </c>
      <c r="J294" s="88">
        <v>1354</v>
      </c>
      <c r="K294" s="584">
        <v>161110</v>
      </c>
      <c r="L294" s="3633">
        <v>24659</v>
      </c>
      <c r="M294" s="643">
        <v>783</v>
      </c>
      <c r="N294" s="2375">
        <f t="shared" si="1"/>
        <v>6583</v>
      </c>
      <c r="O294" s="3633">
        <v>4914</v>
      </c>
      <c r="P294" s="3633">
        <v>1547</v>
      </c>
      <c r="Q294" s="643">
        <v>122</v>
      </c>
      <c r="R294" s="3446">
        <v>46961</v>
      </c>
      <c r="S294" s="954"/>
      <c r="T294" s="954"/>
    </row>
    <row r="295" spans="1:20">
      <c r="A295" s="53">
        <f t="shared" si="3"/>
        <v>2017.1</v>
      </c>
      <c r="B295" s="49">
        <v>6518</v>
      </c>
      <c r="C295" s="3633">
        <v>6546</v>
      </c>
      <c r="D295" s="88">
        <v>192</v>
      </c>
      <c r="E295" s="584">
        <v>14798</v>
      </c>
      <c r="F295" s="3633">
        <v>3261</v>
      </c>
      <c r="G295" s="88">
        <v>83</v>
      </c>
      <c r="H295" s="584">
        <v>78761</v>
      </c>
      <c r="I295" s="3633">
        <v>68992</v>
      </c>
      <c r="J295" s="88">
        <v>1447</v>
      </c>
      <c r="K295" s="584">
        <v>159213</v>
      </c>
      <c r="L295" s="3633">
        <v>24305</v>
      </c>
      <c r="M295" s="643">
        <v>722</v>
      </c>
      <c r="N295" s="2375">
        <f t="shared" si="1"/>
        <v>6301</v>
      </c>
      <c r="O295" s="3633">
        <v>4677</v>
      </c>
      <c r="P295" s="3633">
        <v>1468</v>
      </c>
      <c r="Q295" s="643">
        <v>156</v>
      </c>
      <c r="R295" s="3446">
        <v>43854</v>
      </c>
      <c r="S295" s="954"/>
      <c r="T295" s="954"/>
    </row>
    <row r="296" spans="1:20">
      <c r="A296" s="53">
        <f t="shared" si="3"/>
        <v>2017.11</v>
      </c>
      <c r="B296" s="49">
        <v>6043</v>
      </c>
      <c r="C296" s="3633">
        <v>6195</v>
      </c>
      <c r="D296" s="88">
        <v>214</v>
      </c>
      <c r="E296" s="584">
        <v>14277</v>
      </c>
      <c r="F296" s="3633">
        <v>3289</v>
      </c>
      <c r="G296" s="88">
        <v>111</v>
      </c>
      <c r="H296" s="584">
        <v>73392</v>
      </c>
      <c r="I296" s="3633">
        <v>67434</v>
      </c>
      <c r="J296" s="88">
        <v>1677</v>
      </c>
      <c r="K296" s="584">
        <v>159061</v>
      </c>
      <c r="L296" s="3633">
        <v>24763</v>
      </c>
      <c r="M296" s="643">
        <v>735</v>
      </c>
      <c r="N296" s="2375">
        <f t="shared" si="1"/>
        <v>5783</v>
      </c>
      <c r="O296" s="3633">
        <v>4279</v>
      </c>
      <c r="P296" s="3633">
        <v>1369</v>
      </c>
      <c r="Q296" s="643">
        <v>135</v>
      </c>
      <c r="R296" s="3446">
        <v>45228</v>
      </c>
      <c r="S296" s="954"/>
      <c r="T296" s="954"/>
    </row>
    <row r="297" spans="1:20">
      <c r="A297" s="53">
        <f t="shared" si="3"/>
        <v>2017.12</v>
      </c>
      <c r="B297" s="49">
        <v>4064</v>
      </c>
      <c r="C297" s="3633">
        <v>5534</v>
      </c>
      <c r="D297" s="88">
        <v>217</v>
      </c>
      <c r="E297" s="584">
        <v>13882</v>
      </c>
      <c r="F297" s="3633">
        <v>3001</v>
      </c>
      <c r="G297" s="88">
        <v>107</v>
      </c>
      <c r="H297" s="584">
        <v>47834</v>
      </c>
      <c r="I297" s="3633">
        <v>58456</v>
      </c>
      <c r="J297" s="88">
        <v>1431</v>
      </c>
      <c r="K297" s="584">
        <v>157294</v>
      </c>
      <c r="L297" s="3633">
        <v>23409</v>
      </c>
      <c r="M297" s="643">
        <v>658</v>
      </c>
      <c r="N297" s="2375">
        <f t="shared" si="1"/>
        <v>3925</v>
      </c>
      <c r="O297" s="3633">
        <v>2899</v>
      </c>
      <c r="P297" s="3633">
        <v>984</v>
      </c>
      <c r="Q297" s="643">
        <v>42</v>
      </c>
      <c r="R297" s="3446">
        <v>33280</v>
      </c>
      <c r="S297" s="954"/>
      <c r="T297" s="954"/>
    </row>
    <row r="298" spans="1:20">
      <c r="A298" s="53">
        <f t="shared" si="3"/>
        <v>2018.01</v>
      </c>
      <c r="B298" s="49">
        <v>10383</v>
      </c>
      <c r="C298" s="3633">
        <v>7982</v>
      </c>
      <c r="D298" s="88">
        <v>151</v>
      </c>
      <c r="E298" s="584">
        <v>14627</v>
      </c>
      <c r="F298" s="3633">
        <v>3441</v>
      </c>
      <c r="G298" s="88">
        <v>77</v>
      </c>
      <c r="H298" s="584">
        <v>120805</v>
      </c>
      <c r="I298" s="3633">
        <v>77802</v>
      </c>
      <c r="J298" s="88">
        <v>1233</v>
      </c>
      <c r="K298" s="584">
        <v>165054</v>
      </c>
      <c r="L298" s="3633">
        <v>26745</v>
      </c>
      <c r="M298" s="643">
        <v>679</v>
      </c>
      <c r="N298" s="2375">
        <f t="shared" si="1"/>
        <v>10149</v>
      </c>
      <c r="O298" s="3633">
        <v>7806</v>
      </c>
      <c r="P298" s="3633">
        <v>2208</v>
      </c>
      <c r="Q298" s="643">
        <v>135</v>
      </c>
      <c r="R298" s="3446">
        <v>21858</v>
      </c>
      <c r="S298" s="954"/>
      <c r="T298" s="954"/>
    </row>
    <row r="299" spans="1:20">
      <c r="A299" s="53">
        <f t="shared" si="3"/>
        <v>2018.02</v>
      </c>
      <c r="B299" s="49">
        <v>5990</v>
      </c>
      <c r="C299" s="3633">
        <v>5903</v>
      </c>
      <c r="D299" s="88">
        <v>100</v>
      </c>
      <c r="E299" s="584">
        <v>12329</v>
      </c>
      <c r="F299" s="3633">
        <v>2931</v>
      </c>
      <c r="G299" s="88">
        <v>84</v>
      </c>
      <c r="H299" s="584">
        <v>69812</v>
      </c>
      <c r="I299" s="3633">
        <v>58639</v>
      </c>
      <c r="J299" s="88">
        <v>883</v>
      </c>
      <c r="K299" s="584">
        <v>130844</v>
      </c>
      <c r="L299" s="3633">
        <v>22674</v>
      </c>
      <c r="M299" s="643">
        <v>542</v>
      </c>
      <c r="N299" s="2375">
        <f t="shared" si="1"/>
        <v>5813</v>
      </c>
      <c r="O299" s="3633">
        <v>4506</v>
      </c>
      <c r="P299" s="3633">
        <v>1174</v>
      </c>
      <c r="Q299" s="643">
        <v>133</v>
      </c>
      <c r="R299" s="3446">
        <v>39085</v>
      </c>
      <c r="S299" s="954"/>
      <c r="T299" s="954"/>
    </row>
    <row r="300" spans="1:20">
      <c r="A300" s="53">
        <f t="shared" si="3"/>
        <v>2018.03</v>
      </c>
      <c r="B300" s="49">
        <v>7436</v>
      </c>
      <c r="C300" s="3633">
        <v>7087</v>
      </c>
      <c r="D300" s="88">
        <v>139</v>
      </c>
      <c r="E300" s="584">
        <v>14163</v>
      </c>
      <c r="F300" s="3633">
        <v>3497</v>
      </c>
      <c r="G300" s="88">
        <v>102</v>
      </c>
      <c r="H300" s="584">
        <v>85634</v>
      </c>
      <c r="I300" s="3633">
        <v>70282</v>
      </c>
      <c r="J300" s="88">
        <v>1037</v>
      </c>
      <c r="K300" s="584">
        <v>150893</v>
      </c>
      <c r="L300" s="3633">
        <v>27868</v>
      </c>
      <c r="M300" s="643">
        <v>634</v>
      </c>
      <c r="N300" s="2375">
        <f t="shared" si="1"/>
        <v>7204</v>
      </c>
      <c r="O300" s="3633">
        <v>5752</v>
      </c>
      <c r="P300" s="3633">
        <v>1326</v>
      </c>
      <c r="Q300" s="643">
        <v>126</v>
      </c>
      <c r="R300" s="3446">
        <v>49655</v>
      </c>
      <c r="S300" s="954"/>
      <c r="T300" s="954"/>
    </row>
    <row r="301" spans="1:20">
      <c r="A301" s="53">
        <f t="shared" si="3"/>
        <v>2018.04</v>
      </c>
      <c r="B301" s="49">
        <v>6405</v>
      </c>
      <c r="C301" s="3633">
        <v>6142</v>
      </c>
      <c r="D301" s="88">
        <v>129</v>
      </c>
      <c r="E301" s="584">
        <v>13168</v>
      </c>
      <c r="F301" s="3633">
        <v>3282</v>
      </c>
      <c r="G301" s="88">
        <v>93</v>
      </c>
      <c r="H301" s="584">
        <v>77804</v>
      </c>
      <c r="I301" s="3633">
        <v>63389</v>
      </c>
      <c r="J301" s="88">
        <v>1035</v>
      </c>
      <c r="K301" s="584">
        <v>142896</v>
      </c>
      <c r="L301" s="3633">
        <v>24634</v>
      </c>
      <c r="M301" s="643">
        <v>606</v>
      </c>
      <c r="N301" s="2375">
        <f t="shared" si="1"/>
        <v>6256</v>
      </c>
      <c r="O301" s="3633">
        <v>4938</v>
      </c>
      <c r="P301" s="3633">
        <v>1198</v>
      </c>
      <c r="Q301" s="643">
        <v>120</v>
      </c>
      <c r="R301" s="3446">
        <v>45802</v>
      </c>
      <c r="S301" s="954"/>
      <c r="T301" s="954"/>
    </row>
    <row r="302" spans="1:20">
      <c r="A302" s="53">
        <f t="shared" si="3"/>
        <v>2018.05</v>
      </c>
      <c r="B302" s="49">
        <v>7094</v>
      </c>
      <c r="C302" s="3633">
        <v>5392</v>
      </c>
      <c r="D302" s="88">
        <v>162</v>
      </c>
      <c r="E302" s="584">
        <v>14132</v>
      </c>
      <c r="F302" s="3633">
        <v>3111</v>
      </c>
      <c r="G302" s="88">
        <v>99</v>
      </c>
      <c r="H302" s="584">
        <v>83424</v>
      </c>
      <c r="I302" s="3633">
        <v>59114</v>
      </c>
      <c r="J302" s="88">
        <v>1240</v>
      </c>
      <c r="K302" s="584">
        <v>155698</v>
      </c>
      <c r="L302" s="3633">
        <v>24054</v>
      </c>
      <c r="M302" s="643">
        <v>645</v>
      </c>
      <c r="N302" s="2375">
        <f t="shared" si="1"/>
        <v>6879</v>
      </c>
      <c r="O302" s="3633">
        <v>5288</v>
      </c>
      <c r="P302" s="3633">
        <v>1472</v>
      </c>
      <c r="Q302" s="643">
        <v>119</v>
      </c>
      <c r="R302" s="3446">
        <v>46835</v>
      </c>
      <c r="S302" s="954"/>
      <c r="T302" s="954"/>
    </row>
    <row r="303" spans="1:20">
      <c r="A303" s="53">
        <f t="shared" si="3"/>
        <v>2018.06</v>
      </c>
      <c r="B303" s="49">
        <v>5438</v>
      </c>
      <c r="C303" s="3633">
        <v>3485</v>
      </c>
      <c r="D303" s="88">
        <v>122</v>
      </c>
      <c r="E303" s="584">
        <v>12809</v>
      </c>
      <c r="F303" s="3633">
        <v>2701</v>
      </c>
      <c r="G303" s="88">
        <v>70</v>
      </c>
      <c r="H303" s="584">
        <v>64801</v>
      </c>
      <c r="I303" s="3633">
        <v>39481</v>
      </c>
      <c r="J303" s="88">
        <v>963</v>
      </c>
      <c r="K303" s="584">
        <v>131626</v>
      </c>
      <c r="L303" s="3633">
        <v>19681</v>
      </c>
      <c r="M303" s="643">
        <v>550</v>
      </c>
      <c r="N303" s="2375">
        <f t="shared" si="1"/>
        <v>5261</v>
      </c>
      <c r="O303" s="3633">
        <v>4080</v>
      </c>
      <c r="P303" s="3633">
        <v>1074</v>
      </c>
      <c r="Q303" s="643">
        <v>107</v>
      </c>
      <c r="R303" s="3446">
        <v>39420</v>
      </c>
      <c r="S303" s="954"/>
      <c r="T303" s="954"/>
    </row>
    <row r="304" spans="1:20">
      <c r="A304" s="53">
        <f t="shared" si="3"/>
        <v>2018.07</v>
      </c>
      <c r="B304" s="49">
        <v>5572</v>
      </c>
      <c r="C304" s="3633">
        <v>3953</v>
      </c>
      <c r="D304" s="88">
        <v>121</v>
      </c>
      <c r="E304" s="584">
        <v>15239</v>
      </c>
      <c r="F304" s="3633">
        <v>3311</v>
      </c>
      <c r="G304" s="88">
        <v>100</v>
      </c>
      <c r="H304" s="584">
        <v>67366</v>
      </c>
      <c r="I304" s="3633">
        <v>40159</v>
      </c>
      <c r="J304" s="88">
        <v>1010</v>
      </c>
      <c r="K304" s="584">
        <v>153775</v>
      </c>
      <c r="L304" s="3633">
        <v>22709</v>
      </c>
      <c r="M304" s="643">
        <v>682</v>
      </c>
      <c r="N304" s="2375">
        <f t="shared" si="1"/>
        <v>5353</v>
      </c>
      <c r="O304" s="3633">
        <v>4191</v>
      </c>
      <c r="P304" s="3633">
        <v>1085</v>
      </c>
      <c r="Q304" s="643">
        <v>77</v>
      </c>
      <c r="R304" s="3446">
        <v>41450</v>
      </c>
      <c r="S304" s="954"/>
      <c r="T304" s="954"/>
    </row>
    <row r="305" spans="1:20">
      <c r="A305" s="53">
        <f t="shared" si="3"/>
        <v>2018.08</v>
      </c>
      <c r="B305" s="49">
        <v>5392</v>
      </c>
      <c r="C305" s="3633">
        <v>4011</v>
      </c>
      <c r="D305" s="88">
        <v>138</v>
      </c>
      <c r="E305" s="584">
        <v>15510</v>
      </c>
      <c r="F305" s="3633">
        <v>3555</v>
      </c>
      <c r="G305" s="88">
        <v>99</v>
      </c>
      <c r="H305" s="584">
        <v>65658</v>
      </c>
      <c r="I305" s="3633">
        <v>41800</v>
      </c>
      <c r="J305" s="88">
        <v>974</v>
      </c>
      <c r="K305" s="584">
        <v>162126</v>
      </c>
      <c r="L305" s="3633">
        <v>25444</v>
      </c>
      <c r="M305" s="643">
        <v>656</v>
      </c>
      <c r="N305" s="2375">
        <f t="shared" si="1"/>
        <v>5202</v>
      </c>
      <c r="O305" s="3633">
        <v>3934</v>
      </c>
      <c r="P305" s="3633">
        <v>1181</v>
      </c>
      <c r="Q305" s="643">
        <v>87</v>
      </c>
      <c r="R305" s="3446">
        <v>49335</v>
      </c>
      <c r="S305" s="954"/>
      <c r="T305" s="954"/>
    </row>
    <row r="306" spans="1:20">
      <c r="A306" s="53">
        <f t="shared" si="3"/>
        <v>2018.09</v>
      </c>
      <c r="B306" s="49">
        <v>4298</v>
      </c>
      <c r="C306" s="3633">
        <v>3623</v>
      </c>
      <c r="D306" s="88">
        <v>117</v>
      </c>
      <c r="E306" s="584">
        <v>12886</v>
      </c>
      <c r="F306" s="3633">
        <v>3606</v>
      </c>
      <c r="G306" s="88">
        <v>95</v>
      </c>
      <c r="H306" s="584">
        <v>52897</v>
      </c>
      <c r="I306" s="3633">
        <v>36929</v>
      </c>
      <c r="J306" s="88">
        <v>837</v>
      </c>
      <c r="K306" s="584">
        <v>141693</v>
      </c>
      <c r="L306" s="3633">
        <v>26415</v>
      </c>
      <c r="M306" s="643">
        <v>626</v>
      </c>
      <c r="N306" s="2375">
        <f t="shared" si="1"/>
        <v>4150</v>
      </c>
      <c r="O306" s="3633">
        <v>3216</v>
      </c>
      <c r="P306" s="3633">
        <v>879</v>
      </c>
      <c r="Q306" s="643">
        <v>55</v>
      </c>
      <c r="R306" s="3446">
        <v>37267</v>
      </c>
      <c r="S306" s="954"/>
      <c r="T306" s="954"/>
    </row>
    <row r="307" spans="1:20">
      <c r="A307" s="53">
        <f t="shared" si="3"/>
        <v>2018.1</v>
      </c>
      <c r="B307" s="49">
        <v>3870</v>
      </c>
      <c r="C307" s="3633">
        <v>3770</v>
      </c>
      <c r="D307" s="88">
        <v>144</v>
      </c>
      <c r="E307" s="584">
        <v>13005</v>
      </c>
      <c r="F307" s="3633">
        <v>3928</v>
      </c>
      <c r="G307" s="88">
        <v>123</v>
      </c>
      <c r="H307" s="584">
        <v>48777</v>
      </c>
      <c r="I307" s="3633">
        <v>37892</v>
      </c>
      <c r="J307" s="88">
        <v>914</v>
      </c>
      <c r="K307" s="584">
        <v>143461</v>
      </c>
      <c r="L307" s="3633">
        <v>29501</v>
      </c>
      <c r="M307" s="643">
        <v>687</v>
      </c>
      <c r="N307" s="2375">
        <f t="shared" si="1"/>
        <v>3714</v>
      </c>
      <c r="O307" s="3633">
        <v>2726</v>
      </c>
      <c r="P307" s="3633">
        <v>928</v>
      </c>
      <c r="Q307" s="643">
        <v>60</v>
      </c>
      <c r="R307" s="3446">
        <v>38659</v>
      </c>
      <c r="S307" s="954"/>
      <c r="T307" s="954"/>
    </row>
    <row r="308" spans="1:20">
      <c r="A308" s="53">
        <f t="shared" si="3"/>
        <v>2018.11</v>
      </c>
      <c r="B308" s="49">
        <v>3118</v>
      </c>
      <c r="C308" s="3633">
        <v>2990</v>
      </c>
      <c r="D308" s="88">
        <v>108</v>
      </c>
      <c r="E308" s="584">
        <v>11183</v>
      </c>
      <c r="F308" s="3633">
        <v>3192</v>
      </c>
      <c r="G308" s="88">
        <v>110</v>
      </c>
      <c r="H308" s="584">
        <v>39914</v>
      </c>
      <c r="I308" s="3633">
        <v>31178</v>
      </c>
      <c r="J308" s="88">
        <v>803</v>
      </c>
      <c r="K308" s="584">
        <v>127108</v>
      </c>
      <c r="L308" s="3633">
        <v>26257</v>
      </c>
      <c r="M308" s="643">
        <v>656</v>
      </c>
      <c r="N308" s="2375">
        <f t="shared" si="1"/>
        <v>2983</v>
      </c>
      <c r="O308" s="3633">
        <v>2167</v>
      </c>
      <c r="P308" s="3633">
        <v>752</v>
      </c>
      <c r="Q308" s="643">
        <v>64</v>
      </c>
      <c r="R308" s="3446">
        <v>36808</v>
      </c>
      <c r="S308" s="954"/>
      <c r="T308" s="954"/>
    </row>
    <row r="309" spans="1:20">
      <c r="A309" s="53">
        <f t="shared" si="3"/>
        <v>2018.12</v>
      </c>
      <c r="B309" s="49">
        <v>1969</v>
      </c>
      <c r="C309" s="3633">
        <v>2617</v>
      </c>
      <c r="D309" s="88">
        <v>130</v>
      </c>
      <c r="E309" s="584">
        <v>10745</v>
      </c>
      <c r="F309" s="3633">
        <v>2903</v>
      </c>
      <c r="G309" s="88">
        <v>105</v>
      </c>
      <c r="H309" s="584">
        <v>28545</v>
      </c>
      <c r="I309" s="3633">
        <v>26817</v>
      </c>
      <c r="J309" s="88">
        <v>677</v>
      </c>
      <c r="K309" s="584">
        <v>122881</v>
      </c>
      <c r="L309" s="3633">
        <v>23394</v>
      </c>
      <c r="M309" s="643">
        <v>569</v>
      </c>
      <c r="N309" s="2375">
        <f t="shared" si="1"/>
        <v>1885</v>
      </c>
      <c r="O309" s="3633">
        <v>1373</v>
      </c>
      <c r="P309" s="3633">
        <v>483</v>
      </c>
      <c r="Q309" s="643">
        <v>29</v>
      </c>
      <c r="R309" s="3446">
        <v>20475</v>
      </c>
      <c r="S309" s="954"/>
      <c r="T309" s="954"/>
    </row>
    <row r="310" spans="1:20">
      <c r="A310" s="53">
        <f t="shared" si="3"/>
        <v>2019.01</v>
      </c>
      <c r="B310" s="49">
        <v>5172</v>
      </c>
      <c r="C310" s="3633">
        <v>4851</v>
      </c>
      <c r="D310" s="88">
        <v>88</v>
      </c>
      <c r="E310" s="584">
        <v>12784</v>
      </c>
      <c r="F310" s="3633">
        <v>3739</v>
      </c>
      <c r="G310" s="88">
        <v>104</v>
      </c>
      <c r="H310" s="584">
        <v>60351</v>
      </c>
      <c r="I310" s="3633">
        <v>42853</v>
      </c>
      <c r="J310" s="88">
        <v>578</v>
      </c>
      <c r="K310" s="584">
        <v>148616</v>
      </c>
      <c r="L310" s="3633">
        <v>29924</v>
      </c>
      <c r="M310" s="643">
        <v>619</v>
      </c>
      <c r="N310" s="2375">
        <f t="shared" si="1"/>
        <v>5172</v>
      </c>
      <c r="O310" s="3633">
        <v>4085</v>
      </c>
      <c r="P310" s="3633">
        <v>1032</v>
      </c>
      <c r="Q310" s="643">
        <v>55</v>
      </c>
      <c r="R310" s="3446">
        <v>14803</v>
      </c>
      <c r="S310" s="954"/>
      <c r="T310" s="954"/>
    </row>
    <row r="311" spans="1:20">
      <c r="A311" s="53">
        <f t="shared" si="3"/>
        <v>2019.02</v>
      </c>
      <c r="B311" s="49">
        <v>3278</v>
      </c>
      <c r="C311" s="3633">
        <v>3870</v>
      </c>
      <c r="D311" s="88">
        <v>90</v>
      </c>
      <c r="E311" s="584">
        <v>12573</v>
      </c>
      <c r="F311" s="3633">
        <v>3679</v>
      </c>
      <c r="G311" s="88">
        <v>126</v>
      </c>
      <c r="H311" s="584">
        <v>40294</v>
      </c>
      <c r="I311" s="3633">
        <v>33876</v>
      </c>
      <c r="J311" s="88">
        <v>597</v>
      </c>
      <c r="K311" s="584">
        <v>133863</v>
      </c>
      <c r="L311" s="3633">
        <v>28827</v>
      </c>
      <c r="M311" s="643">
        <v>560</v>
      </c>
      <c r="N311" s="2375">
        <f t="shared" si="1"/>
        <v>3278</v>
      </c>
      <c r="O311" s="3633">
        <v>2471</v>
      </c>
      <c r="P311" s="3633">
        <v>739</v>
      </c>
      <c r="Q311" s="643">
        <v>68</v>
      </c>
      <c r="R311" s="3446">
        <v>32662</v>
      </c>
      <c r="S311" s="954"/>
      <c r="T311" s="954"/>
    </row>
    <row r="312" spans="1:20">
      <c r="A312" s="53">
        <f t="shared" si="3"/>
        <v>2019.03</v>
      </c>
      <c r="B312" s="49">
        <v>3224</v>
      </c>
      <c r="C312" s="3633">
        <v>3495</v>
      </c>
      <c r="D312" s="88">
        <v>92</v>
      </c>
      <c r="E312" s="584">
        <v>11438</v>
      </c>
      <c r="F312" s="3633">
        <v>3516</v>
      </c>
      <c r="G312" s="88">
        <v>119</v>
      </c>
      <c r="H312" s="584">
        <v>39282</v>
      </c>
      <c r="I312" s="3633">
        <v>32206</v>
      </c>
      <c r="J312" s="88">
        <v>641</v>
      </c>
      <c r="K312" s="584">
        <v>125880</v>
      </c>
      <c r="L312" s="3633">
        <v>27437</v>
      </c>
      <c r="M312" s="643">
        <v>673</v>
      </c>
      <c r="N312" s="2375">
        <f t="shared" si="1"/>
        <v>3224</v>
      </c>
      <c r="O312" s="3633">
        <v>2372</v>
      </c>
      <c r="P312" s="3633">
        <v>765</v>
      </c>
      <c r="Q312" s="643">
        <v>87</v>
      </c>
      <c r="R312" s="3446">
        <v>29227</v>
      </c>
      <c r="S312" s="954"/>
      <c r="T312" s="954"/>
    </row>
    <row r="313" spans="1:20">
      <c r="A313" s="53">
        <f t="shared" si="3"/>
        <v>2019.04</v>
      </c>
      <c r="B313" s="49">
        <v>3193</v>
      </c>
      <c r="C313" s="3633">
        <v>3168</v>
      </c>
      <c r="D313" s="88">
        <v>91</v>
      </c>
      <c r="E313" s="584">
        <v>12061</v>
      </c>
      <c r="F313" s="3633">
        <v>3654</v>
      </c>
      <c r="G313" s="88">
        <v>118</v>
      </c>
      <c r="H313" s="584">
        <v>37498</v>
      </c>
      <c r="I313" s="3633">
        <v>30487</v>
      </c>
      <c r="J313" s="88">
        <v>606</v>
      </c>
      <c r="K313" s="584">
        <v>132340</v>
      </c>
      <c r="L313" s="3633">
        <v>28305</v>
      </c>
      <c r="M313" s="643">
        <v>680</v>
      </c>
      <c r="N313" s="2375">
        <f t="shared" si="1"/>
        <v>3193</v>
      </c>
      <c r="O313" s="3633">
        <v>2150</v>
      </c>
      <c r="P313" s="3633">
        <v>971</v>
      </c>
      <c r="Q313" s="643">
        <v>72</v>
      </c>
      <c r="R313" s="3446">
        <v>30294</v>
      </c>
      <c r="T313" s="954"/>
    </row>
    <row r="314" spans="1:20">
      <c r="A314" s="53">
        <f t="shared" si="3"/>
        <v>2019.05</v>
      </c>
      <c r="B314" s="49">
        <v>3327</v>
      </c>
      <c r="C314" s="3633">
        <v>2858</v>
      </c>
      <c r="D314" s="88">
        <v>115</v>
      </c>
      <c r="E314" s="584">
        <v>14285</v>
      </c>
      <c r="F314" s="3633">
        <v>4138</v>
      </c>
      <c r="G314" s="88">
        <v>134</v>
      </c>
      <c r="H314" s="584">
        <v>36959</v>
      </c>
      <c r="I314" s="3633">
        <v>26976</v>
      </c>
      <c r="J314" s="88">
        <v>844</v>
      </c>
      <c r="K314" s="584">
        <v>152015</v>
      </c>
      <c r="L314" s="3633">
        <v>30736</v>
      </c>
      <c r="M314" s="643">
        <v>779</v>
      </c>
      <c r="N314" s="2375">
        <f t="shared" si="1"/>
        <v>3327</v>
      </c>
      <c r="O314" s="3633">
        <v>2171</v>
      </c>
      <c r="P314" s="3633">
        <v>1068</v>
      </c>
      <c r="Q314" s="643">
        <v>88</v>
      </c>
      <c r="R314" s="3446">
        <v>30280</v>
      </c>
      <c r="T314" s="954"/>
    </row>
    <row r="315" spans="1:20">
      <c r="A315" s="53">
        <f t="shared" si="3"/>
        <v>2019.06</v>
      </c>
      <c r="B315" s="49">
        <v>3302</v>
      </c>
      <c r="C315" s="3633">
        <v>2367</v>
      </c>
      <c r="D315" s="88">
        <v>107</v>
      </c>
      <c r="E315" s="584">
        <v>11421</v>
      </c>
      <c r="F315" s="3633">
        <v>3155</v>
      </c>
      <c r="G315" s="88">
        <v>108</v>
      </c>
      <c r="H315" s="584">
        <v>36320</v>
      </c>
      <c r="I315" s="3633">
        <v>21574</v>
      </c>
      <c r="J315" s="88">
        <v>667</v>
      </c>
      <c r="K315" s="584">
        <v>121609</v>
      </c>
      <c r="L315" s="3633">
        <v>23190</v>
      </c>
      <c r="M315" s="643">
        <v>698</v>
      </c>
      <c r="N315" s="2375">
        <f t="shared" ref="N315:N378" si="4">SUM(O315:Q315)</f>
        <v>3302</v>
      </c>
      <c r="O315" s="3633">
        <v>2511</v>
      </c>
      <c r="P315" s="3633">
        <v>721</v>
      </c>
      <c r="Q315" s="643">
        <v>70</v>
      </c>
      <c r="R315" s="3446">
        <v>23916</v>
      </c>
      <c r="T315" s="954"/>
    </row>
    <row r="316" spans="1:20">
      <c r="A316" s="53">
        <f t="shared" si="3"/>
        <v>2019.07</v>
      </c>
      <c r="B316" s="49">
        <v>4337</v>
      </c>
      <c r="C316" s="3633">
        <v>3715</v>
      </c>
      <c r="D316" s="88">
        <v>111</v>
      </c>
      <c r="E316" s="584">
        <v>15966</v>
      </c>
      <c r="F316" s="3633">
        <v>3777</v>
      </c>
      <c r="G316" s="88">
        <v>114</v>
      </c>
      <c r="H316" s="584">
        <v>50055</v>
      </c>
      <c r="I316" s="3633">
        <v>31158</v>
      </c>
      <c r="J316" s="88">
        <v>808</v>
      </c>
      <c r="K316" s="584">
        <v>166432</v>
      </c>
      <c r="L316" s="3633">
        <v>28546</v>
      </c>
      <c r="M316" s="643">
        <v>805</v>
      </c>
      <c r="N316" s="2375">
        <f t="shared" si="4"/>
        <v>4337</v>
      </c>
      <c r="O316" s="3633">
        <v>3354</v>
      </c>
      <c r="P316" s="3633">
        <v>901</v>
      </c>
      <c r="Q316" s="643">
        <v>82</v>
      </c>
      <c r="R316" s="3446">
        <v>21646</v>
      </c>
      <c r="T316" s="954"/>
    </row>
    <row r="317" spans="1:20">
      <c r="A317" s="53">
        <f t="shared" si="3"/>
        <v>2019.08</v>
      </c>
      <c r="B317" s="49">
        <v>4299</v>
      </c>
      <c r="C317" s="3633">
        <v>3110</v>
      </c>
      <c r="D317" s="88">
        <v>133</v>
      </c>
      <c r="E317" s="584">
        <v>15925</v>
      </c>
      <c r="F317" s="3633">
        <v>3838</v>
      </c>
      <c r="G317" s="88">
        <v>159</v>
      </c>
      <c r="H317" s="584">
        <v>44574</v>
      </c>
      <c r="I317" s="3633">
        <v>28574</v>
      </c>
      <c r="J317" s="88">
        <v>866</v>
      </c>
      <c r="K317" s="584">
        <v>161709</v>
      </c>
      <c r="L317" s="3633">
        <v>28935</v>
      </c>
      <c r="M317" s="643">
        <v>802</v>
      </c>
      <c r="N317" s="2375">
        <f t="shared" si="4"/>
        <v>4299</v>
      </c>
      <c r="O317" s="3633">
        <v>3090</v>
      </c>
      <c r="P317" s="3633">
        <v>1118</v>
      </c>
      <c r="Q317" s="643">
        <v>91</v>
      </c>
      <c r="R317" s="3446">
        <v>30815</v>
      </c>
      <c r="T317" s="954"/>
    </row>
    <row r="318" spans="1:20">
      <c r="A318" s="53">
        <f t="shared" si="3"/>
        <v>2019.09</v>
      </c>
      <c r="B318" s="49">
        <v>3364</v>
      </c>
      <c r="C318" s="3633">
        <v>2326</v>
      </c>
      <c r="D318" s="88">
        <v>145</v>
      </c>
      <c r="E318" s="584">
        <v>14829</v>
      </c>
      <c r="F318" s="3633">
        <v>3858</v>
      </c>
      <c r="G318" s="88">
        <v>127</v>
      </c>
      <c r="H318" s="584">
        <v>36296</v>
      </c>
      <c r="I318" s="3633">
        <v>19884</v>
      </c>
      <c r="J318" s="88">
        <v>861</v>
      </c>
      <c r="K318" s="584">
        <v>152715</v>
      </c>
      <c r="L318" s="3633">
        <v>29683</v>
      </c>
      <c r="M318" s="643">
        <v>827</v>
      </c>
      <c r="N318" s="2375">
        <f t="shared" si="4"/>
        <v>3364</v>
      </c>
      <c r="O318" s="3633">
        <v>2310</v>
      </c>
      <c r="P318" s="3633">
        <v>949</v>
      </c>
      <c r="Q318" s="643">
        <v>105</v>
      </c>
      <c r="R318" s="3446">
        <v>27687</v>
      </c>
      <c r="T318" s="954"/>
    </row>
    <row r="319" spans="1:20">
      <c r="A319" s="53">
        <f t="shared" si="3"/>
        <v>2019.1</v>
      </c>
      <c r="B319" s="49">
        <v>2975</v>
      </c>
      <c r="C319" s="3633">
        <v>2888</v>
      </c>
      <c r="D319" s="88">
        <v>144</v>
      </c>
      <c r="E319" s="584">
        <v>14498</v>
      </c>
      <c r="F319" s="3633">
        <v>3952</v>
      </c>
      <c r="G319" s="88">
        <v>119</v>
      </c>
      <c r="H319" s="584">
        <v>32781</v>
      </c>
      <c r="I319" s="3633">
        <v>24047</v>
      </c>
      <c r="J319" s="88">
        <v>974</v>
      </c>
      <c r="K319" s="584">
        <v>153040</v>
      </c>
      <c r="L319" s="3633">
        <v>30233</v>
      </c>
      <c r="M319" s="643">
        <v>866</v>
      </c>
      <c r="N319" s="2375">
        <f t="shared" si="4"/>
        <v>2975</v>
      </c>
      <c r="O319" s="3633">
        <v>1938</v>
      </c>
      <c r="P319" s="3633">
        <v>922</v>
      </c>
      <c r="Q319" s="643">
        <v>115</v>
      </c>
      <c r="R319" s="3446">
        <v>31834</v>
      </c>
      <c r="T319" s="954"/>
    </row>
    <row r="320" spans="1:20">
      <c r="A320" s="53">
        <f t="shared" si="3"/>
        <v>2019.11</v>
      </c>
      <c r="B320" s="49">
        <v>2311</v>
      </c>
      <c r="C320" s="3633">
        <v>2036</v>
      </c>
      <c r="D320" s="88">
        <v>109</v>
      </c>
      <c r="E320" s="584">
        <v>11616</v>
      </c>
      <c r="F320" s="3633">
        <v>3381</v>
      </c>
      <c r="G320" s="88">
        <v>129</v>
      </c>
      <c r="H320" s="584">
        <v>26004</v>
      </c>
      <c r="I320" s="3633">
        <v>18845</v>
      </c>
      <c r="J320" s="88">
        <v>801</v>
      </c>
      <c r="K320" s="584">
        <v>128996</v>
      </c>
      <c r="L320" s="3633">
        <v>27194</v>
      </c>
      <c r="M320" s="643">
        <v>707</v>
      </c>
      <c r="N320" s="2375">
        <f t="shared" si="4"/>
        <v>2311</v>
      </c>
      <c r="O320" s="3633">
        <v>1539</v>
      </c>
      <c r="P320" s="3633">
        <v>695</v>
      </c>
      <c r="Q320" s="643">
        <v>77</v>
      </c>
      <c r="R320" s="3446">
        <v>27099</v>
      </c>
      <c r="T320" s="954"/>
    </row>
    <row r="321" spans="1:20">
      <c r="A321" s="53">
        <f t="shared" si="3"/>
        <v>2019.12</v>
      </c>
      <c r="B321" s="49">
        <v>1897</v>
      </c>
      <c r="C321" s="3633">
        <v>1981</v>
      </c>
      <c r="D321" s="88">
        <v>107</v>
      </c>
      <c r="E321" s="584">
        <v>12833</v>
      </c>
      <c r="F321" s="3633">
        <v>3281</v>
      </c>
      <c r="G321" s="88">
        <v>170</v>
      </c>
      <c r="H321" s="584">
        <v>21502</v>
      </c>
      <c r="I321" s="3633">
        <v>17432</v>
      </c>
      <c r="J321" s="88">
        <v>701</v>
      </c>
      <c r="K321" s="584">
        <v>140901</v>
      </c>
      <c r="L321" s="3633">
        <v>26953</v>
      </c>
      <c r="M321" s="643">
        <v>729</v>
      </c>
      <c r="N321" s="2375">
        <f t="shared" si="4"/>
        <v>1898</v>
      </c>
      <c r="O321" s="3633">
        <v>1354</v>
      </c>
      <c r="P321" s="3633">
        <v>502</v>
      </c>
      <c r="Q321" s="643">
        <v>42</v>
      </c>
      <c r="R321" s="3446">
        <v>14524</v>
      </c>
      <c r="T321" s="954"/>
    </row>
    <row r="322" spans="1:20">
      <c r="A322" s="53">
        <f t="shared" si="3"/>
        <v>2020.01</v>
      </c>
      <c r="B322" s="49">
        <v>4135</v>
      </c>
      <c r="C322" s="3633">
        <v>3249</v>
      </c>
      <c r="D322" s="88">
        <v>124</v>
      </c>
      <c r="E322" s="584">
        <v>13630</v>
      </c>
      <c r="F322" s="3633">
        <v>3726</v>
      </c>
      <c r="G322" s="88">
        <v>126</v>
      </c>
      <c r="H322" s="584">
        <v>45170</v>
      </c>
      <c r="I322" s="3633">
        <v>27287</v>
      </c>
      <c r="J322" s="88">
        <v>603</v>
      </c>
      <c r="K322" s="584">
        <v>153478</v>
      </c>
      <c r="L322" s="3633">
        <v>29790</v>
      </c>
      <c r="M322" s="643">
        <v>625</v>
      </c>
      <c r="N322" s="2375">
        <f t="shared" si="4"/>
        <v>4135</v>
      </c>
      <c r="O322" s="3633">
        <v>2924</v>
      </c>
      <c r="P322" s="3633">
        <v>1116</v>
      </c>
      <c r="Q322" s="643">
        <v>95</v>
      </c>
      <c r="R322" s="3446">
        <v>20683</v>
      </c>
      <c r="T322" s="954"/>
    </row>
    <row r="323" spans="1:20">
      <c r="A323" s="53">
        <f t="shared" si="3"/>
        <v>2020.02</v>
      </c>
      <c r="B323" s="49">
        <v>2503</v>
      </c>
      <c r="C323" s="3633">
        <v>2604</v>
      </c>
      <c r="D323" s="88">
        <v>81</v>
      </c>
      <c r="E323" s="584">
        <v>12042</v>
      </c>
      <c r="F323" s="3633">
        <v>3272</v>
      </c>
      <c r="G323" s="88">
        <v>105</v>
      </c>
      <c r="H323" s="584">
        <v>27804</v>
      </c>
      <c r="I323" s="3633">
        <v>22065</v>
      </c>
      <c r="J323" s="88">
        <v>487</v>
      </c>
      <c r="K323" s="584">
        <v>125060</v>
      </c>
      <c r="L323" s="3633">
        <v>24912</v>
      </c>
      <c r="M323" s="643">
        <v>600</v>
      </c>
      <c r="N323" s="2375">
        <f t="shared" si="4"/>
        <v>2503</v>
      </c>
      <c r="O323" s="3633">
        <v>1793</v>
      </c>
      <c r="P323" s="3633">
        <v>604</v>
      </c>
      <c r="Q323" s="643">
        <v>106</v>
      </c>
      <c r="R323" s="3446">
        <v>26133</v>
      </c>
      <c r="T323" s="954"/>
    </row>
    <row r="324" spans="1:20">
      <c r="A324" s="53">
        <f t="shared" si="3"/>
        <v>2020.03</v>
      </c>
      <c r="B324" s="49">
        <v>1633</v>
      </c>
      <c r="C324" s="3633">
        <v>2416</v>
      </c>
      <c r="D324" s="88">
        <v>63</v>
      </c>
      <c r="E324" s="584">
        <v>9158</v>
      </c>
      <c r="F324" s="3633">
        <v>2523</v>
      </c>
      <c r="G324" s="88">
        <v>63</v>
      </c>
      <c r="H324" s="584">
        <v>17924</v>
      </c>
      <c r="I324" s="3633">
        <v>19889</v>
      </c>
      <c r="J324" s="88">
        <v>427</v>
      </c>
      <c r="K324" s="584">
        <v>95030</v>
      </c>
      <c r="L324" s="3633">
        <v>19415</v>
      </c>
      <c r="M324" s="643">
        <v>462</v>
      </c>
      <c r="N324" s="2375">
        <f t="shared" si="4"/>
        <v>1633</v>
      </c>
      <c r="O324" s="3633">
        <v>1160</v>
      </c>
      <c r="P324" s="3633">
        <v>397</v>
      </c>
      <c r="Q324" s="643">
        <v>76</v>
      </c>
      <c r="R324" s="3446">
        <v>19146</v>
      </c>
      <c r="T324" s="954"/>
    </row>
    <row r="325" spans="1:20">
      <c r="A325" s="53">
        <f t="shared" si="3"/>
        <v>2020.04</v>
      </c>
      <c r="B325" s="49">
        <v>381</v>
      </c>
      <c r="C325" s="3633">
        <v>514</v>
      </c>
      <c r="D325" s="88">
        <v>20</v>
      </c>
      <c r="E325" s="584">
        <v>2196</v>
      </c>
      <c r="F325" s="3633">
        <v>540</v>
      </c>
      <c r="G325" s="88">
        <v>5</v>
      </c>
      <c r="H325" s="584">
        <v>4428</v>
      </c>
      <c r="I325" s="3633">
        <v>4433</v>
      </c>
      <c r="J325" s="88">
        <v>122</v>
      </c>
      <c r="K325" s="584">
        <v>18027</v>
      </c>
      <c r="L325" s="3633">
        <v>3273</v>
      </c>
      <c r="M325" s="643">
        <v>74</v>
      </c>
      <c r="N325" s="2375">
        <f t="shared" si="4"/>
        <v>381</v>
      </c>
      <c r="O325" s="3633">
        <v>204</v>
      </c>
      <c r="P325" s="3633">
        <v>128</v>
      </c>
      <c r="Q325" s="643">
        <v>49</v>
      </c>
      <c r="R325" s="3446">
        <v>0</v>
      </c>
      <c r="T325" s="954"/>
    </row>
    <row r="326" spans="1:20">
      <c r="A326" s="53">
        <f t="shared" si="3"/>
        <v>2020.05</v>
      </c>
      <c r="B326" s="49">
        <v>2307</v>
      </c>
      <c r="C326" s="3633">
        <v>2208</v>
      </c>
      <c r="D326" s="88">
        <v>113</v>
      </c>
      <c r="E326" s="584">
        <v>8599</v>
      </c>
      <c r="F326" s="3633">
        <v>2586</v>
      </c>
      <c r="G326" s="88">
        <v>111</v>
      </c>
      <c r="H326" s="584">
        <v>21274</v>
      </c>
      <c r="I326" s="3633">
        <v>16685</v>
      </c>
      <c r="J326" s="88">
        <v>525</v>
      </c>
      <c r="K326" s="584">
        <v>77842</v>
      </c>
      <c r="L326" s="3633">
        <v>17839</v>
      </c>
      <c r="M326" s="643">
        <v>344</v>
      </c>
      <c r="N326" s="2375">
        <f t="shared" si="4"/>
        <v>2307</v>
      </c>
      <c r="O326" s="3633">
        <v>1435</v>
      </c>
      <c r="P326" s="3633">
        <v>758</v>
      </c>
      <c r="Q326" s="643">
        <v>114</v>
      </c>
      <c r="R326" s="3446">
        <v>4802</v>
      </c>
      <c r="T326" s="954"/>
    </row>
    <row r="327" spans="1:20">
      <c r="A327" s="53">
        <f t="shared" ref="A327:A390" si="5">A315+1</f>
        <v>2020.06</v>
      </c>
      <c r="B327" s="49">
        <v>4136</v>
      </c>
      <c r="C327" s="3633">
        <v>2952</v>
      </c>
      <c r="D327" s="88">
        <v>126</v>
      </c>
      <c r="E327" s="584">
        <v>14702</v>
      </c>
      <c r="F327" s="3633">
        <v>4032</v>
      </c>
      <c r="G327" s="88">
        <v>105</v>
      </c>
      <c r="H327" s="584">
        <v>37398</v>
      </c>
      <c r="I327" s="3633">
        <v>23791</v>
      </c>
      <c r="J327" s="88">
        <v>837</v>
      </c>
      <c r="K327" s="584">
        <v>128406</v>
      </c>
      <c r="L327" s="3633">
        <v>26831</v>
      </c>
      <c r="M327" s="643">
        <v>485</v>
      </c>
      <c r="N327" s="2375">
        <f t="shared" si="4"/>
        <v>4136</v>
      </c>
      <c r="O327" s="3633">
        <v>2934</v>
      </c>
      <c r="P327" s="3633">
        <v>1065</v>
      </c>
      <c r="Q327" s="643">
        <v>137</v>
      </c>
      <c r="R327" s="3446">
        <v>15657</v>
      </c>
      <c r="T327" s="954"/>
    </row>
    <row r="328" spans="1:20">
      <c r="A328" s="53">
        <f t="shared" si="5"/>
        <v>2020.07</v>
      </c>
      <c r="B328" s="49">
        <v>3526</v>
      </c>
      <c r="C328" s="3633">
        <v>3257</v>
      </c>
      <c r="D328" s="88">
        <v>173</v>
      </c>
      <c r="E328" s="584">
        <v>18124</v>
      </c>
      <c r="F328" s="3633">
        <v>4820</v>
      </c>
      <c r="G328" s="88">
        <v>127</v>
      </c>
      <c r="H328" s="584">
        <v>30596</v>
      </c>
      <c r="I328" s="3633">
        <v>24057</v>
      </c>
      <c r="J328" s="88">
        <v>951</v>
      </c>
      <c r="K328" s="584">
        <v>147668</v>
      </c>
      <c r="L328" s="3633">
        <v>30087</v>
      </c>
      <c r="M328" s="643">
        <v>615</v>
      </c>
      <c r="N328" s="2375">
        <f t="shared" si="4"/>
        <v>3526</v>
      </c>
      <c r="O328" s="3633">
        <v>2396</v>
      </c>
      <c r="P328" s="3633">
        <v>961</v>
      </c>
      <c r="Q328" s="643">
        <v>169</v>
      </c>
      <c r="R328" s="3446">
        <v>21316</v>
      </c>
      <c r="T328" s="954"/>
    </row>
    <row r="329" spans="1:20">
      <c r="A329" s="53">
        <f t="shared" si="5"/>
        <v>2020.08</v>
      </c>
      <c r="B329" s="49">
        <v>3325</v>
      </c>
      <c r="C329" s="3633">
        <v>3321</v>
      </c>
      <c r="D329" s="88">
        <v>151</v>
      </c>
      <c r="E329" s="584">
        <v>17753</v>
      </c>
      <c r="F329" s="3633">
        <v>4940</v>
      </c>
      <c r="G329" s="88">
        <v>130</v>
      </c>
      <c r="H329" s="584">
        <v>30723</v>
      </c>
      <c r="I329" s="3633">
        <v>27234</v>
      </c>
      <c r="J329" s="88">
        <v>893</v>
      </c>
      <c r="K329" s="584">
        <v>154745</v>
      </c>
      <c r="L329" s="3633">
        <v>31552</v>
      </c>
      <c r="M329" s="643">
        <v>725</v>
      </c>
      <c r="N329" s="2375">
        <f t="shared" si="4"/>
        <v>3325</v>
      </c>
      <c r="O329" s="3633">
        <v>2214</v>
      </c>
      <c r="P329" s="3633">
        <v>965</v>
      </c>
      <c r="Q329" s="643">
        <v>146</v>
      </c>
      <c r="R329" s="3446">
        <v>25835</v>
      </c>
      <c r="T329" s="954"/>
    </row>
    <row r="330" spans="1:20">
      <c r="A330" s="53">
        <f t="shared" si="5"/>
        <v>2020.09</v>
      </c>
      <c r="B330" s="49">
        <v>3380</v>
      </c>
      <c r="C330" s="3633">
        <v>3503</v>
      </c>
      <c r="D330" s="88">
        <v>161</v>
      </c>
      <c r="E330" s="584">
        <v>16297</v>
      </c>
      <c r="F330" s="3633">
        <v>4790</v>
      </c>
      <c r="G330" s="88">
        <v>141</v>
      </c>
      <c r="H330" s="584">
        <v>35125</v>
      </c>
      <c r="I330" s="3633">
        <v>29658</v>
      </c>
      <c r="J330" s="88">
        <v>863</v>
      </c>
      <c r="K330" s="584">
        <v>159588</v>
      </c>
      <c r="L330" s="3633">
        <v>34497</v>
      </c>
      <c r="M330" s="643">
        <v>922</v>
      </c>
      <c r="N330" s="2375">
        <f t="shared" si="4"/>
        <v>3380</v>
      </c>
      <c r="O330" s="3633">
        <v>2202</v>
      </c>
      <c r="P330" s="3633">
        <v>1023</v>
      </c>
      <c r="Q330" s="643">
        <v>155</v>
      </c>
      <c r="R330" s="3446">
        <v>32149</v>
      </c>
      <c r="T330" s="954"/>
    </row>
    <row r="331" spans="1:20">
      <c r="A331" s="53">
        <f t="shared" si="5"/>
        <v>2020.1</v>
      </c>
      <c r="B331" s="49">
        <v>3870</v>
      </c>
      <c r="C331" s="3633">
        <v>3601</v>
      </c>
      <c r="D331" s="88">
        <v>149</v>
      </c>
      <c r="E331" s="584">
        <v>14865</v>
      </c>
      <c r="F331" s="3633">
        <v>4904</v>
      </c>
      <c r="G331" s="88">
        <v>120</v>
      </c>
      <c r="H331" s="584">
        <v>37638</v>
      </c>
      <c r="I331" s="3633">
        <v>29782</v>
      </c>
      <c r="J331" s="88">
        <v>877</v>
      </c>
      <c r="K331" s="584">
        <v>154415</v>
      </c>
      <c r="L331" s="3633">
        <v>34769</v>
      </c>
      <c r="M331" s="643">
        <v>830</v>
      </c>
      <c r="N331" s="2375">
        <f t="shared" si="4"/>
        <v>3870</v>
      </c>
      <c r="O331" s="3633">
        <v>2505</v>
      </c>
      <c r="P331" s="3633">
        <v>1213</v>
      </c>
      <c r="Q331" s="643">
        <v>152</v>
      </c>
      <c r="R331" s="3446">
        <v>28706</v>
      </c>
      <c r="T331" s="954"/>
    </row>
    <row r="332" spans="1:20">
      <c r="A332" s="53">
        <f t="shared" si="5"/>
        <v>2020.11</v>
      </c>
      <c r="B332" s="49">
        <v>3511</v>
      </c>
      <c r="C332" s="3633">
        <v>2884</v>
      </c>
      <c r="D332" s="88">
        <v>156</v>
      </c>
      <c r="E332" s="584">
        <v>13577</v>
      </c>
      <c r="F332" s="3633">
        <v>4524</v>
      </c>
      <c r="G332" s="88">
        <v>136</v>
      </c>
      <c r="H332" s="584">
        <v>34975</v>
      </c>
      <c r="I332" s="3633">
        <v>25289</v>
      </c>
      <c r="J332" s="88">
        <v>800</v>
      </c>
      <c r="K332" s="584">
        <v>144616</v>
      </c>
      <c r="L332" s="3633">
        <v>33901</v>
      </c>
      <c r="M332" s="643">
        <v>837</v>
      </c>
      <c r="N332" s="2375">
        <f t="shared" si="4"/>
        <v>3512</v>
      </c>
      <c r="O332" s="3633">
        <v>2376</v>
      </c>
      <c r="P332" s="3633">
        <v>1023</v>
      </c>
      <c r="Q332" s="643">
        <v>113</v>
      </c>
      <c r="R332" s="3446">
        <v>32570</v>
      </c>
      <c r="T332" s="954"/>
    </row>
    <row r="333" spans="1:20">
      <c r="A333" s="53">
        <f t="shared" si="5"/>
        <v>2020.12</v>
      </c>
      <c r="B333" s="49">
        <v>1918</v>
      </c>
      <c r="C333" s="3633">
        <v>2582</v>
      </c>
      <c r="D333" s="88">
        <v>167</v>
      </c>
      <c r="E333" s="584">
        <v>13461</v>
      </c>
      <c r="F333" s="3633">
        <v>3924</v>
      </c>
      <c r="G333" s="88">
        <v>158</v>
      </c>
      <c r="H333" s="584">
        <v>20792</v>
      </c>
      <c r="I333" s="3633">
        <v>22245</v>
      </c>
      <c r="J333" s="88">
        <v>859</v>
      </c>
      <c r="K333" s="584">
        <v>142099</v>
      </c>
      <c r="L333" s="3633">
        <v>31540</v>
      </c>
      <c r="M333" s="643">
        <v>874</v>
      </c>
      <c r="N333" s="2375">
        <f t="shared" si="4"/>
        <v>1918</v>
      </c>
      <c r="O333" s="3633">
        <v>1231</v>
      </c>
      <c r="P333" s="3633">
        <v>614</v>
      </c>
      <c r="Q333" s="643">
        <v>73</v>
      </c>
      <c r="R333" s="3446">
        <v>30172</v>
      </c>
      <c r="T333" s="954"/>
    </row>
    <row r="334" spans="1:20">
      <c r="A334" s="53">
        <f t="shared" si="5"/>
        <v>2021.01</v>
      </c>
      <c r="B334" s="49">
        <v>4830</v>
      </c>
      <c r="C334" s="3633">
        <v>3535</v>
      </c>
      <c r="D334" s="88">
        <v>106</v>
      </c>
      <c r="E334" s="584">
        <v>11984</v>
      </c>
      <c r="F334" s="3633">
        <v>3917</v>
      </c>
      <c r="G334" s="88">
        <v>140</v>
      </c>
      <c r="H334" s="584">
        <v>49882</v>
      </c>
      <c r="I334" s="3633">
        <v>29480</v>
      </c>
      <c r="J334" s="88">
        <v>663</v>
      </c>
      <c r="K334" s="584">
        <v>132640</v>
      </c>
      <c r="L334" s="3633">
        <v>30201</v>
      </c>
      <c r="M334" s="643">
        <v>860</v>
      </c>
      <c r="N334" s="2375">
        <f t="shared" si="4"/>
        <v>4830</v>
      </c>
      <c r="O334" s="3633">
        <v>3387</v>
      </c>
      <c r="P334" s="3633">
        <v>1295</v>
      </c>
      <c r="Q334" s="643">
        <v>148</v>
      </c>
      <c r="R334" s="3446">
        <v>24308</v>
      </c>
      <c r="T334" s="954"/>
    </row>
    <row r="335" spans="1:20">
      <c r="A335" s="53">
        <f t="shared" si="5"/>
        <v>2021.02</v>
      </c>
      <c r="B335" s="49">
        <v>2938</v>
      </c>
      <c r="C335" s="3633">
        <v>3038</v>
      </c>
      <c r="D335" s="88">
        <v>120</v>
      </c>
      <c r="E335" s="584">
        <v>11837</v>
      </c>
      <c r="F335" s="3633">
        <v>3812</v>
      </c>
      <c r="G335" s="88">
        <v>127</v>
      </c>
      <c r="H335" s="584">
        <v>30632</v>
      </c>
      <c r="I335" s="3633">
        <v>25561</v>
      </c>
      <c r="J335" s="88">
        <v>649</v>
      </c>
      <c r="K335" s="584">
        <v>125698</v>
      </c>
      <c r="L335" s="3633">
        <v>38371</v>
      </c>
      <c r="M335" s="643">
        <v>683</v>
      </c>
      <c r="N335" s="2375">
        <f t="shared" si="4"/>
        <v>2938</v>
      </c>
      <c r="O335" s="3633">
        <v>2043</v>
      </c>
      <c r="P335" s="3633">
        <v>772</v>
      </c>
      <c r="Q335" s="643">
        <v>123</v>
      </c>
      <c r="R335" s="3446">
        <v>21809</v>
      </c>
      <c r="T335" s="954"/>
    </row>
    <row r="336" spans="1:20">
      <c r="A336" s="53">
        <f t="shared" si="5"/>
        <v>2021.03</v>
      </c>
      <c r="B336" s="49">
        <v>3399</v>
      </c>
      <c r="C336" s="3633">
        <v>4177</v>
      </c>
      <c r="D336" s="88">
        <v>183</v>
      </c>
      <c r="E336" s="584">
        <v>14613</v>
      </c>
      <c r="F336" s="3633">
        <v>4704</v>
      </c>
      <c r="G336" s="88">
        <v>136</v>
      </c>
      <c r="H336" s="584">
        <v>37075</v>
      </c>
      <c r="I336" s="3633">
        <v>35349</v>
      </c>
      <c r="J336" s="88">
        <v>975</v>
      </c>
      <c r="K336" s="584">
        <v>157156</v>
      </c>
      <c r="L336" s="3633">
        <v>36317</v>
      </c>
      <c r="M336" s="643">
        <v>879</v>
      </c>
      <c r="N336" s="2375">
        <f t="shared" si="4"/>
        <v>3399</v>
      </c>
      <c r="O336" s="3633">
        <v>2281</v>
      </c>
      <c r="P336" s="3633">
        <v>931</v>
      </c>
      <c r="Q336" s="643">
        <v>187</v>
      </c>
      <c r="R336" s="3446">
        <v>43160</v>
      </c>
      <c r="T336" s="954"/>
    </row>
    <row r="337" spans="1:20">
      <c r="A337" s="53">
        <f t="shared" si="5"/>
        <v>2021.04</v>
      </c>
      <c r="B337" s="49">
        <v>3094</v>
      </c>
      <c r="C337" s="3633">
        <v>3834</v>
      </c>
      <c r="D337" s="88">
        <v>119</v>
      </c>
      <c r="E337" s="584">
        <v>12224</v>
      </c>
      <c r="F337" s="3633">
        <v>3833</v>
      </c>
      <c r="G337" s="88">
        <v>169</v>
      </c>
      <c r="H337" s="584">
        <v>32643</v>
      </c>
      <c r="I337" s="3633">
        <v>30718</v>
      </c>
      <c r="J337" s="88">
        <v>893</v>
      </c>
      <c r="K337" s="584">
        <v>128481</v>
      </c>
      <c r="L337" s="3633">
        <v>28645</v>
      </c>
      <c r="M337" s="643">
        <v>847</v>
      </c>
      <c r="N337" s="2375">
        <f t="shared" si="4"/>
        <v>3094</v>
      </c>
      <c r="O337" s="3633">
        <v>1961</v>
      </c>
      <c r="P337" s="3633">
        <v>997</v>
      </c>
      <c r="Q337" s="643">
        <v>136</v>
      </c>
      <c r="R337" s="3446">
        <v>29315</v>
      </c>
      <c r="T337" s="954"/>
    </row>
    <row r="338" spans="1:20">
      <c r="A338" s="53">
        <f t="shared" si="5"/>
        <v>2021.05</v>
      </c>
      <c r="B338" s="49">
        <v>2212</v>
      </c>
      <c r="C338" s="3633">
        <v>2715</v>
      </c>
      <c r="D338" s="88">
        <v>115</v>
      </c>
      <c r="E338" s="584">
        <v>9676</v>
      </c>
      <c r="F338" s="3633">
        <v>3139</v>
      </c>
      <c r="G338" s="88">
        <v>105</v>
      </c>
      <c r="H338" s="584">
        <v>23083</v>
      </c>
      <c r="I338" s="3633">
        <v>21790</v>
      </c>
      <c r="J338" s="88">
        <v>746</v>
      </c>
      <c r="K338" s="584">
        <v>97672</v>
      </c>
      <c r="L338" s="3633">
        <v>22353</v>
      </c>
      <c r="M338" s="643">
        <v>652</v>
      </c>
      <c r="N338" s="2375">
        <f t="shared" si="4"/>
        <v>2212</v>
      </c>
      <c r="O338" s="3633">
        <v>1388</v>
      </c>
      <c r="P338" s="3633">
        <v>710</v>
      </c>
      <c r="Q338" s="643">
        <v>114</v>
      </c>
      <c r="R338" s="3446">
        <v>34953</v>
      </c>
      <c r="T338" s="954"/>
    </row>
    <row r="339" spans="1:20">
      <c r="A339" s="53">
        <f t="shared" si="5"/>
        <v>2021.06</v>
      </c>
      <c r="B339" s="49">
        <v>3791</v>
      </c>
      <c r="C339" s="3633">
        <v>3971</v>
      </c>
      <c r="D339" s="88">
        <v>154</v>
      </c>
      <c r="E339" s="584">
        <v>14112</v>
      </c>
      <c r="F339" s="3633">
        <v>4323</v>
      </c>
      <c r="G339" s="88">
        <v>147</v>
      </c>
      <c r="H339" s="584">
        <v>38430</v>
      </c>
      <c r="I339" s="3633">
        <v>31395</v>
      </c>
      <c r="J339" s="88">
        <v>1164</v>
      </c>
      <c r="K339" s="584">
        <v>142214</v>
      </c>
      <c r="L339" s="3633">
        <v>31676</v>
      </c>
      <c r="M339" s="643">
        <v>941</v>
      </c>
      <c r="N339" s="2375">
        <f t="shared" si="4"/>
        <v>3791</v>
      </c>
      <c r="O339" s="3633">
        <v>2311</v>
      </c>
      <c r="P339" s="3633">
        <v>1327</v>
      </c>
      <c r="Q339" s="643">
        <v>153</v>
      </c>
      <c r="R339" s="3446">
        <v>40035</v>
      </c>
      <c r="T339" s="954"/>
    </row>
    <row r="340" spans="1:20">
      <c r="A340" s="53">
        <f t="shared" si="5"/>
        <v>2021.07</v>
      </c>
      <c r="B340" s="49">
        <v>3312</v>
      </c>
      <c r="C340" s="3633">
        <v>4069</v>
      </c>
      <c r="D340" s="88">
        <v>187</v>
      </c>
      <c r="E340" s="584">
        <v>14823</v>
      </c>
      <c r="F340" s="3633">
        <v>4448</v>
      </c>
      <c r="G340" s="88">
        <v>165</v>
      </c>
      <c r="H340" s="584">
        <v>33169</v>
      </c>
      <c r="I340" s="3633">
        <v>32481</v>
      </c>
      <c r="J340" s="88">
        <v>1223</v>
      </c>
      <c r="K340" s="584">
        <v>148330</v>
      </c>
      <c r="L340" s="3633">
        <v>30803</v>
      </c>
      <c r="M340" s="643">
        <v>860</v>
      </c>
      <c r="N340" s="2375">
        <f t="shared" si="4"/>
        <v>3312</v>
      </c>
      <c r="O340" s="3633">
        <v>2085</v>
      </c>
      <c r="P340" s="3633">
        <v>1108</v>
      </c>
      <c r="Q340" s="643">
        <v>119</v>
      </c>
      <c r="R340" s="3446">
        <v>31935</v>
      </c>
      <c r="T340" s="954"/>
    </row>
    <row r="341" spans="1:20">
      <c r="A341" s="53">
        <f t="shared" si="5"/>
        <v>2021.08</v>
      </c>
      <c r="B341" s="49">
        <v>3124</v>
      </c>
      <c r="C341" s="3633">
        <v>4467</v>
      </c>
      <c r="D341" s="88">
        <v>187</v>
      </c>
      <c r="E341" s="584">
        <v>15142</v>
      </c>
      <c r="F341" s="3633">
        <v>4474</v>
      </c>
      <c r="G341" s="88">
        <v>142</v>
      </c>
      <c r="H341" s="584">
        <v>31989</v>
      </c>
      <c r="I341" s="3633">
        <v>36724</v>
      </c>
      <c r="J341" s="88">
        <v>1244</v>
      </c>
      <c r="K341" s="584">
        <v>153347</v>
      </c>
      <c r="L341" s="3633">
        <v>31768</v>
      </c>
      <c r="M341" s="643">
        <v>843</v>
      </c>
      <c r="N341" s="2375">
        <f t="shared" si="4"/>
        <v>3124</v>
      </c>
      <c r="O341" s="3633">
        <v>2038</v>
      </c>
      <c r="P341" s="3633">
        <v>918</v>
      </c>
      <c r="Q341" s="643">
        <v>168</v>
      </c>
      <c r="R341" s="3446">
        <v>38362</v>
      </c>
      <c r="T341" s="954"/>
    </row>
    <row r="342" spans="1:20">
      <c r="A342" s="53">
        <f t="shared" si="5"/>
        <v>2021.09</v>
      </c>
      <c r="B342" s="49">
        <v>3070</v>
      </c>
      <c r="C342" s="3633">
        <v>4946</v>
      </c>
      <c r="D342" s="88">
        <v>187</v>
      </c>
      <c r="E342" s="584">
        <v>15958</v>
      </c>
      <c r="F342" s="3633">
        <v>5033</v>
      </c>
      <c r="G342" s="88">
        <v>157</v>
      </c>
      <c r="H342" s="584">
        <v>32137</v>
      </c>
      <c r="I342" s="3633">
        <v>40467</v>
      </c>
      <c r="J342" s="88">
        <v>1393</v>
      </c>
      <c r="K342" s="584">
        <v>161232</v>
      </c>
      <c r="L342" s="3633">
        <v>34501</v>
      </c>
      <c r="M342" s="643">
        <v>973</v>
      </c>
      <c r="N342" s="2375">
        <f t="shared" si="4"/>
        <v>3070</v>
      </c>
      <c r="O342" s="3633">
        <v>1788</v>
      </c>
      <c r="P342" s="3633">
        <v>1125</v>
      </c>
      <c r="Q342" s="643">
        <v>157</v>
      </c>
      <c r="R342" s="3446">
        <v>43535</v>
      </c>
      <c r="T342" s="954"/>
    </row>
    <row r="343" spans="1:20">
      <c r="A343" s="53">
        <f t="shared" si="5"/>
        <v>2021.1</v>
      </c>
      <c r="B343" s="49">
        <v>2798</v>
      </c>
      <c r="C343" s="3633">
        <v>4474</v>
      </c>
      <c r="D343" s="88">
        <v>228</v>
      </c>
      <c r="E343" s="584">
        <v>13535</v>
      </c>
      <c r="F343" s="3633">
        <v>4270</v>
      </c>
      <c r="G343" s="88">
        <v>126</v>
      </c>
      <c r="H343" s="584">
        <v>28240</v>
      </c>
      <c r="I343" s="3633">
        <v>37795</v>
      </c>
      <c r="J343" s="88">
        <v>1259</v>
      </c>
      <c r="K343" s="584">
        <v>140882</v>
      </c>
      <c r="L343" s="3633">
        <v>31056</v>
      </c>
      <c r="M343" s="643">
        <v>899</v>
      </c>
      <c r="N343" s="2375">
        <f t="shared" si="4"/>
        <v>2798</v>
      </c>
      <c r="O343" s="3633">
        <v>1607</v>
      </c>
      <c r="P343" s="3633">
        <v>1054</v>
      </c>
      <c r="Q343" s="643">
        <v>137</v>
      </c>
      <c r="R343" s="3446">
        <v>41002</v>
      </c>
      <c r="T343" s="954"/>
    </row>
    <row r="344" spans="1:20">
      <c r="A344" s="53">
        <f t="shared" si="5"/>
        <v>2021.11</v>
      </c>
      <c r="B344" s="49">
        <v>2833</v>
      </c>
      <c r="C344" s="3633">
        <v>4530</v>
      </c>
      <c r="D344" s="88">
        <v>230</v>
      </c>
      <c r="E344" s="584">
        <v>14026</v>
      </c>
      <c r="F344" s="3633">
        <v>4572</v>
      </c>
      <c r="G344" s="88">
        <v>159</v>
      </c>
      <c r="H344" s="584">
        <v>28735</v>
      </c>
      <c r="I344" s="3633">
        <v>38542</v>
      </c>
      <c r="J344" s="88">
        <v>1482</v>
      </c>
      <c r="K344" s="584">
        <v>152903</v>
      </c>
      <c r="L344" s="3633">
        <v>35227</v>
      </c>
      <c r="M344" s="643">
        <v>921</v>
      </c>
      <c r="N344" s="2375">
        <f t="shared" si="4"/>
        <v>2833</v>
      </c>
      <c r="O344" s="3633">
        <v>1613</v>
      </c>
      <c r="P344" s="3633">
        <v>1081</v>
      </c>
      <c r="Q344" s="643">
        <v>139</v>
      </c>
      <c r="R344" s="3446">
        <v>46490</v>
      </c>
      <c r="T344" s="954"/>
    </row>
    <row r="345" spans="1:20">
      <c r="A345" s="53">
        <f t="shared" si="5"/>
        <v>2021.12</v>
      </c>
      <c r="B345" s="49">
        <v>1707</v>
      </c>
      <c r="C345" s="3633">
        <v>3874</v>
      </c>
      <c r="D345" s="88">
        <v>179</v>
      </c>
      <c r="E345" s="584">
        <v>14153</v>
      </c>
      <c r="F345" s="3633">
        <v>4504</v>
      </c>
      <c r="G345" s="88">
        <v>161</v>
      </c>
      <c r="H345" s="584">
        <v>17949</v>
      </c>
      <c r="I345" s="3633">
        <v>34838</v>
      </c>
      <c r="J345" s="88">
        <v>1268</v>
      </c>
      <c r="K345" s="584">
        <v>150741</v>
      </c>
      <c r="L345" s="3633">
        <v>34166</v>
      </c>
      <c r="M345" s="643">
        <v>850</v>
      </c>
      <c r="N345" s="2375">
        <f t="shared" si="4"/>
        <v>1707</v>
      </c>
      <c r="O345" s="3633">
        <v>986</v>
      </c>
      <c r="P345" s="3633">
        <v>615</v>
      </c>
      <c r="Q345" s="643">
        <v>106</v>
      </c>
      <c r="R345" s="3446">
        <v>39849</v>
      </c>
      <c r="T345" s="954"/>
    </row>
    <row r="346" spans="1:20">
      <c r="A346" s="53">
        <f t="shared" si="5"/>
        <v>2022.01</v>
      </c>
      <c r="B346" s="49">
        <v>4399</v>
      </c>
      <c r="C346" s="3633">
        <v>4538</v>
      </c>
      <c r="D346" s="88">
        <v>146</v>
      </c>
      <c r="E346" s="584">
        <v>10356</v>
      </c>
      <c r="F346" s="3633">
        <v>3795</v>
      </c>
      <c r="G346" s="88">
        <v>111</v>
      </c>
      <c r="H346" s="584">
        <v>43794</v>
      </c>
      <c r="I346" s="3633">
        <v>36516</v>
      </c>
      <c r="J346" s="88">
        <v>842</v>
      </c>
      <c r="K346" s="584">
        <v>117878</v>
      </c>
      <c r="L346" s="3633">
        <v>28226</v>
      </c>
      <c r="M346" s="643">
        <v>745</v>
      </c>
      <c r="N346" s="2375">
        <f t="shared" si="4"/>
        <v>4399</v>
      </c>
      <c r="O346" s="3633">
        <v>2998</v>
      </c>
      <c r="P346" s="3633">
        <v>1268</v>
      </c>
      <c r="Q346" s="643">
        <v>133</v>
      </c>
      <c r="R346" s="3446">
        <v>18651</v>
      </c>
      <c r="T346" s="954"/>
    </row>
    <row r="347" spans="1:20">
      <c r="A347" s="53">
        <f t="shared" si="5"/>
        <v>2022.02</v>
      </c>
      <c r="B347" s="49">
        <v>2848</v>
      </c>
      <c r="C347" s="3633">
        <v>4430</v>
      </c>
      <c r="D347" s="88">
        <v>128</v>
      </c>
      <c r="E347" s="584">
        <v>11473</v>
      </c>
      <c r="F347" s="3633">
        <v>4067</v>
      </c>
      <c r="G347" s="88">
        <v>111</v>
      </c>
      <c r="H347" s="584">
        <v>29321</v>
      </c>
      <c r="I347" s="3633">
        <v>36287</v>
      </c>
      <c r="J347" s="88">
        <v>885</v>
      </c>
      <c r="K347" s="584">
        <v>212658</v>
      </c>
      <c r="L347" s="3633">
        <v>30479</v>
      </c>
      <c r="M347" s="643">
        <v>588</v>
      </c>
      <c r="N347" s="2375">
        <f t="shared" si="4"/>
        <v>2848</v>
      </c>
      <c r="O347" s="3633">
        <v>1896</v>
      </c>
      <c r="P347" s="3633">
        <v>823</v>
      </c>
      <c r="Q347" s="643">
        <v>129</v>
      </c>
      <c r="R347" s="3446">
        <v>37661</v>
      </c>
      <c r="T347" s="954"/>
    </row>
    <row r="348" spans="1:20">
      <c r="A348" s="53">
        <f t="shared" si="5"/>
        <v>2022.03</v>
      </c>
      <c r="B348" s="49">
        <v>3443</v>
      </c>
      <c r="C348" s="3633">
        <v>5044</v>
      </c>
      <c r="D348" s="88">
        <v>122</v>
      </c>
      <c r="E348" s="584">
        <v>12875</v>
      </c>
      <c r="F348" s="3633">
        <v>4807</v>
      </c>
      <c r="G348" s="88">
        <v>155</v>
      </c>
      <c r="H348" s="584">
        <v>34782</v>
      </c>
      <c r="I348" s="3633">
        <v>45825</v>
      </c>
      <c r="J348" s="88">
        <v>1071</v>
      </c>
      <c r="K348" s="584">
        <v>140255</v>
      </c>
      <c r="L348" s="3633">
        <v>36345</v>
      </c>
      <c r="M348" s="643">
        <v>808</v>
      </c>
      <c r="N348" s="2375">
        <f t="shared" si="4"/>
        <v>3443</v>
      </c>
      <c r="O348" s="3633">
        <v>2171</v>
      </c>
      <c r="P348" s="3633">
        <v>1097</v>
      </c>
      <c r="Q348" s="643">
        <v>175</v>
      </c>
      <c r="R348" s="3446">
        <v>48746</v>
      </c>
      <c r="T348" s="954"/>
    </row>
    <row r="349" spans="1:20">
      <c r="A349" s="53">
        <f t="shared" si="5"/>
        <v>2022.04</v>
      </c>
      <c r="B349" s="49">
        <v>2990</v>
      </c>
      <c r="C349" s="3633">
        <v>4634</v>
      </c>
      <c r="D349" s="88">
        <v>192</v>
      </c>
      <c r="E349" s="584">
        <v>12087</v>
      </c>
      <c r="F349" s="3633">
        <v>4459</v>
      </c>
      <c r="G349" s="88">
        <v>166</v>
      </c>
      <c r="H349" s="584">
        <v>32119</v>
      </c>
      <c r="I349" s="3633">
        <v>41474</v>
      </c>
      <c r="J349" s="88">
        <v>1109</v>
      </c>
      <c r="K349" s="584">
        <v>130411</v>
      </c>
      <c r="L349" s="3633">
        <v>32998</v>
      </c>
      <c r="M349" s="643">
        <v>830</v>
      </c>
      <c r="N349" s="2375">
        <f t="shared" si="4"/>
        <v>2990</v>
      </c>
      <c r="O349" s="3633">
        <v>1930</v>
      </c>
      <c r="P349" s="3633">
        <v>927</v>
      </c>
      <c r="Q349" s="643">
        <v>133</v>
      </c>
      <c r="R349" s="3446">
        <v>43826</v>
      </c>
      <c r="T349" s="954"/>
    </row>
    <row r="350" spans="1:20">
      <c r="A350" s="53">
        <f t="shared" si="5"/>
        <v>2022.05</v>
      </c>
      <c r="B350" s="49">
        <v>3615</v>
      </c>
      <c r="C350" s="3633">
        <v>4841</v>
      </c>
      <c r="D350" s="88">
        <v>224</v>
      </c>
      <c r="E350" s="584">
        <v>13271</v>
      </c>
      <c r="F350" s="3633">
        <v>4833</v>
      </c>
      <c r="G350" s="88">
        <v>149</v>
      </c>
      <c r="H350" s="584">
        <v>35553</v>
      </c>
      <c r="I350" s="3633">
        <v>42368</v>
      </c>
      <c r="J350" s="88">
        <v>1460</v>
      </c>
      <c r="K350" s="584">
        <v>138591</v>
      </c>
      <c r="L350" s="3633">
        <v>35587</v>
      </c>
      <c r="M350" s="643">
        <v>758</v>
      </c>
      <c r="N350" s="2375">
        <f t="shared" si="4"/>
        <v>3615</v>
      </c>
      <c r="O350" s="3633">
        <v>2416</v>
      </c>
      <c r="P350" s="3633">
        <v>1059</v>
      </c>
      <c r="Q350" s="643">
        <v>140</v>
      </c>
      <c r="R350" s="3446">
        <v>46422</v>
      </c>
      <c r="T350" s="954"/>
    </row>
    <row r="351" spans="1:20">
      <c r="A351" s="53">
        <f t="shared" si="5"/>
        <v>2022.06</v>
      </c>
      <c r="B351" s="49">
        <v>3788</v>
      </c>
      <c r="C351" s="3633">
        <v>4248</v>
      </c>
      <c r="D351" s="88">
        <v>184</v>
      </c>
      <c r="E351" s="584">
        <v>13127</v>
      </c>
      <c r="F351" s="3633">
        <v>4611</v>
      </c>
      <c r="G351" s="88">
        <v>141</v>
      </c>
      <c r="H351" s="584">
        <v>35656</v>
      </c>
      <c r="I351" s="3633">
        <v>37363</v>
      </c>
      <c r="J351" s="88">
        <v>1302</v>
      </c>
      <c r="K351" s="584">
        <v>134134</v>
      </c>
      <c r="L351" s="3633">
        <v>32570</v>
      </c>
      <c r="M351" s="643">
        <v>781</v>
      </c>
      <c r="N351" s="2375">
        <f t="shared" si="4"/>
        <v>3788</v>
      </c>
      <c r="O351" s="3633">
        <v>2486</v>
      </c>
      <c r="P351" s="3633">
        <v>1158</v>
      </c>
      <c r="Q351" s="643">
        <v>144</v>
      </c>
      <c r="R351" s="3446">
        <v>48392</v>
      </c>
      <c r="T351" s="954"/>
    </row>
    <row r="352" spans="1:20">
      <c r="A352" s="53">
        <f t="shared" si="5"/>
        <v>2022.07</v>
      </c>
      <c r="B352" s="49">
        <v>3889</v>
      </c>
      <c r="C352" s="3633">
        <v>4385</v>
      </c>
      <c r="D352" s="88">
        <v>224</v>
      </c>
      <c r="E352" s="584">
        <v>14027</v>
      </c>
      <c r="F352" s="3633">
        <v>5009</v>
      </c>
      <c r="G352" s="88">
        <v>139</v>
      </c>
      <c r="H352" s="584">
        <v>39107</v>
      </c>
      <c r="I352" s="3633">
        <v>36599</v>
      </c>
      <c r="J352" s="88">
        <v>1431</v>
      </c>
      <c r="K352" s="584">
        <v>146183</v>
      </c>
      <c r="L352" s="3633">
        <v>35452</v>
      </c>
      <c r="M352" s="643">
        <v>819</v>
      </c>
      <c r="N352" s="2375">
        <f t="shared" si="4"/>
        <v>3889</v>
      </c>
      <c r="O352" s="3633">
        <v>2624</v>
      </c>
      <c r="P352" s="3633">
        <v>1126</v>
      </c>
      <c r="Q352" s="643">
        <v>139</v>
      </c>
      <c r="R352" s="3446">
        <v>44033</v>
      </c>
      <c r="T352" s="954"/>
    </row>
    <row r="353" spans="1:20">
      <c r="A353" s="53">
        <f t="shared" si="5"/>
        <v>2022.08</v>
      </c>
      <c r="B353" s="49">
        <v>3582</v>
      </c>
      <c r="C353" s="3633">
        <v>3972</v>
      </c>
      <c r="D353" s="88">
        <v>229</v>
      </c>
      <c r="E353" s="584">
        <v>13709</v>
      </c>
      <c r="F353" s="3633">
        <v>5275</v>
      </c>
      <c r="G353" s="88">
        <v>117</v>
      </c>
      <c r="H353" s="584">
        <v>38595</v>
      </c>
      <c r="I353" s="3633">
        <v>35384</v>
      </c>
      <c r="J353" s="88">
        <v>1564</v>
      </c>
      <c r="K353" s="584">
        <v>143753</v>
      </c>
      <c r="L353" s="3633">
        <v>37143</v>
      </c>
      <c r="M353" s="643">
        <v>964</v>
      </c>
      <c r="N353" s="2375">
        <f t="shared" si="4"/>
        <v>3582</v>
      </c>
      <c r="O353" s="3633">
        <v>2342</v>
      </c>
      <c r="P353" s="3633">
        <v>1112</v>
      </c>
      <c r="Q353" s="643">
        <v>128</v>
      </c>
      <c r="R353" s="3446">
        <v>54057</v>
      </c>
      <c r="T353" s="954"/>
    </row>
    <row r="354" spans="1:20">
      <c r="A354" s="53">
        <f t="shared" si="5"/>
        <v>2022.09</v>
      </c>
      <c r="B354" s="49">
        <v>3351</v>
      </c>
      <c r="C354" s="3633">
        <v>3802</v>
      </c>
      <c r="D354" s="88">
        <v>194</v>
      </c>
      <c r="E354" s="584">
        <v>12710</v>
      </c>
      <c r="F354" s="3633">
        <v>5519</v>
      </c>
      <c r="G354" s="88">
        <v>154</v>
      </c>
      <c r="H354" s="584">
        <v>35020</v>
      </c>
      <c r="I354" s="3633">
        <v>34476</v>
      </c>
      <c r="J354" s="88">
        <v>1476</v>
      </c>
      <c r="K354" s="584">
        <v>136967</v>
      </c>
      <c r="L354" s="3633">
        <v>38090</v>
      </c>
      <c r="M354" s="643">
        <v>957</v>
      </c>
      <c r="N354" s="2375">
        <f t="shared" si="4"/>
        <v>3351</v>
      </c>
      <c r="O354" s="3633">
        <v>2179</v>
      </c>
      <c r="P354" s="3633">
        <v>1029</v>
      </c>
      <c r="Q354" s="643">
        <v>143</v>
      </c>
      <c r="R354" s="3446">
        <v>52193</v>
      </c>
      <c r="T354" s="954"/>
    </row>
    <row r="355" spans="1:20">
      <c r="A355" s="53">
        <f t="shared" si="5"/>
        <v>2022.1</v>
      </c>
      <c r="B355" s="49">
        <v>3315</v>
      </c>
      <c r="C355" s="3633">
        <v>3539</v>
      </c>
      <c r="D355" s="88">
        <v>158</v>
      </c>
      <c r="E355" s="584">
        <v>10605</v>
      </c>
      <c r="F355" s="3633">
        <v>4580</v>
      </c>
      <c r="G355" s="88">
        <v>161</v>
      </c>
      <c r="H355" s="584">
        <v>32646</v>
      </c>
      <c r="I355" s="3633">
        <v>33026</v>
      </c>
      <c r="J355" s="88">
        <v>1233</v>
      </c>
      <c r="K355" s="584">
        <v>118223</v>
      </c>
      <c r="L355" s="3633">
        <v>32997</v>
      </c>
      <c r="M355" s="643">
        <v>840</v>
      </c>
      <c r="N355" s="2375">
        <f t="shared" si="4"/>
        <v>3315</v>
      </c>
      <c r="O355" s="3633">
        <v>2102</v>
      </c>
      <c r="P355" s="3633">
        <v>1087</v>
      </c>
      <c r="Q355" s="643">
        <v>126</v>
      </c>
      <c r="R355" s="3446">
        <v>52415</v>
      </c>
      <c r="T355" s="954"/>
    </row>
    <row r="356" spans="1:20">
      <c r="A356" s="53">
        <f t="shared" si="5"/>
        <v>2022.11</v>
      </c>
      <c r="B356" s="49">
        <v>3208</v>
      </c>
      <c r="C356" s="3633">
        <v>3703</v>
      </c>
      <c r="D356" s="88">
        <v>153</v>
      </c>
      <c r="E356" s="584">
        <v>11246</v>
      </c>
      <c r="F356" s="3633">
        <v>4892</v>
      </c>
      <c r="G356" s="88">
        <v>195</v>
      </c>
      <c r="H356" s="584">
        <v>33907</v>
      </c>
      <c r="I356" s="3633">
        <v>35362</v>
      </c>
      <c r="J356" s="88">
        <v>1249</v>
      </c>
      <c r="K356" s="584">
        <v>127187</v>
      </c>
      <c r="L356" s="3633">
        <v>35589</v>
      </c>
      <c r="M356" s="643">
        <v>861</v>
      </c>
      <c r="N356" s="2375">
        <f t="shared" si="4"/>
        <v>3208</v>
      </c>
      <c r="O356" s="3633">
        <v>2071</v>
      </c>
      <c r="P356" s="3633">
        <v>1041</v>
      </c>
      <c r="Q356" s="643">
        <v>96</v>
      </c>
      <c r="R356" s="3446">
        <v>53378</v>
      </c>
      <c r="T356" s="954"/>
    </row>
    <row r="357" spans="1:20">
      <c r="A357" s="53">
        <f t="shared" si="5"/>
        <v>2022.12</v>
      </c>
      <c r="B357" s="49">
        <v>1793</v>
      </c>
      <c r="C357" s="3633">
        <v>3154</v>
      </c>
      <c r="D357" s="88">
        <v>146</v>
      </c>
      <c r="E357" s="584">
        <v>10434</v>
      </c>
      <c r="F357" s="3633">
        <v>4227</v>
      </c>
      <c r="G357" s="88">
        <v>162</v>
      </c>
      <c r="H357" s="584">
        <v>19890</v>
      </c>
      <c r="I357" s="3633">
        <v>29578</v>
      </c>
      <c r="J357" s="88">
        <v>1001</v>
      </c>
      <c r="K357" s="584">
        <v>116258</v>
      </c>
      <c r="L357" s="3633">
        <v>29845</v>
      </c>
      <c r="M357" s="643">
        <v>722</v>
      </c>
      <c r="N357" s="2375">
        <f t="shared" si="4"/>
        <v>1793</v>
      </c>
      <c r="O357" s="3633">
        <v>1056</v>
      </c>
      <c r="P357" s="3633">
        <v>636</v>
      </c>
      <c r="Q357" s="643">
        <v>101</v>
      </c>
      <c r="R357" s="3446">
        <v>37119</v>
      </c>
      <c r="T357" s="954"/>
    </row>
    <row r="358" spans="1:20">
      <c r="A358" s="53">
        <f t="shared" si="5"/>
        <v>2023.01</v>
      </c>
      <c r="B358" s="49">
        <v>4615</v>
      </c>
      <c r="C358" s="3633">
        <v>4801</v>
      </c>
      <c r="D358" s="88">
        <v>137</v>
      </c>
      <c r="E358" s="584">
        <v>11445</v>
      </c>
      <c r="F358" s="3633">
        <v>4916</v>
      </c>
      <c r="G358" s="88">
        <v>143</v>
      </c>
      <c r="H358" s="584">
        <v>50616</v>
      </c>
      <c r="I358" s="3633">
        <v>42824</v>
      </c>
      <c r="J358" s="88">
        <v>1122</v>
      </c>
      <c r="K358" s="584">
        <v>133101</v>
      </c>
      <c r="L358" s="3633">
        <v>35878</v>
      </c>
      <c r="M358" s="643">
        <v>700</v>
      </c>
      <c r="N358" s="2375">
        <f t="shared" si="4"/>
        <v>4615</v>
      </c>
      <c r="O358" s="3633">
        <v>3141</v>
      </c>
      <c r="P358" s="3633">
        <v>1370</v>
      </c>
      <c r="Q358" s="643">
        <v>104</v>
      </c>
      <c r="R358" s="3446">
        <v>27184</v>
      </c>
      <c r="T358" s="954"/>
    </row>
    <row r="359" spans="1:20">
      <c r="A359" s="53">
        <f t="shared" si="5"/>
        <v>2023.02</v>
      </c>
      <c r="B359" s="49">
        <v>2678</v>
      </c>
      <c r="C359" s="3633">
        <v>3998</v>
      </c>
      <c r="D359" s="88">
        <v>112</v>
      </c>
      <c r="E359" s="584">
        <v>9937</v>
      </c>
      <c r="F359" s="3633">
        <v>4065</v>
      </c>
      <c r="G359" s="88">
        <v>90</v>
      </c>
      <c r="H359" s="584">
        <v>30705</v>
      </c>
      <c r="I359" s="3633">
        <v>36643</v>
      </c>
      <c r="J359" s="88">
        <v>782</v>
      </c>
      <c r="K359" s="584">
        <v>111686</v>
      </c>
      <c r="L359" s="3633">
        <v>30853</v>
      </c>
      <c r="M359" s="643">
        <v>505</v>
      </c>
      <c r="N359" s="2375">
        <f t="shared" si="4"/>
        <v>2678</v>
      </c>
      <c r="O359" s="3633">
        <v>1825</v>
      </c>
      <c r="P359" s="3633">
        <v>764</v>
      </c>
      <c r="Q359" s="643">
        <v>89</v>
      </c>
      <c r="R359" s="3446">
        <v>46286</v>
      </c>
      <c r="T359" s="954"/>
    </row>
    <row r="360" spans="1:20">
      <c r="A360" s="53">
        <f t="shared" si="5"/>
        <v>2023.03</v>
      </c>
      <c r="B360" s="49">
        <v>3486</v>
      </c>
      <c r="C360" s="3633">
        <v>4956</v>
      </c>
      <c r="D360" s="88">
        <v>157</v>
      </c>
      <c r="E360" s="584">
        <v>12937</v>
      </c>
      <c r="F360" s="3633">
        <v>5424</v>
      </c>
      <c r="G360" s="88">
        <v>87</v>
      </c>
      <c r="H360" s="584">
        <v>40131</v>
      </c>
      <c r="I360" s="3633">
        <v>49664</v>
      </c>
      <c r="J360" s="88">
        <v>1052</v>
      </c>
      <c r="K360" s="584">
        <v>146852</v>
      </c>
      <c r="L360" s="3633">
        <v>41983</v>
      </c>
      <c r="M360" s="643">
        <v>664</v>
      </c>
      <c r="N360" s="2375">
        <f t="shared" si="4"/>
        <v>3486</v>
      </c>
      <c r="O360" s="3633">
        <v>2265</v>
      </c>
      <c r="P360" s="3633">
        <v>1068</v>
      </c>
      <c r="Q360" s="643">
        <v>153</v>
      </c>
      <c r="R360" s="3446">
        <v>61104</v>
      </c>
      <c r="T360" s="954"/>
    </row>
    <row r="361" spans="1:20">
      <c r="A361" s="53">
        <f t="shared" si="5"/>
        <v>2023.04</v>
      </c>
      <c r="B361" s="49">
        <v>2928</v>
      </c>
      <c r="C361" s="3633">
        <v>4137</v>
      </c>
      <c r="D361" s="88">
        <v>156</v>
      </c>
      <c r="E361" s="584">
        <v>11290</v>
      </c>
      <c r="F361" s="3633">
        <v>4601</v>
      </c>
      <c r="G361" s="88">
        <v>126</v>
      </c>
      <c r="H361" s="584">
        <v>34963</v>
      </c>
      <c r="I361" s="3633">
        <v>40889</v>
      </c>
      <c r="J361" s="88">
        <v>1078</v>
      </c>
      <c r="K361" s="584">
        <v>130209</v>
      </c>
      <c r="L361" s="3633">
        <v>35412</v>
      </c>
      <c r="M361" s="643">
        <v>595</v>
      </c>
      <c r="N361" s="2375">
        <f t="shared" si="4"/>
        <v>2928</v>
      </c>
      <c r="O361" s="3633">
        <v>1892</v>
      </c>
      <c r="P361" s="3633">
        <v>937</v>
      </c>
      <c r="Q361" s="643">
        <v>99</v>
      </c>
      <c r="R361" s="3446">
        <v>54399</v>
      </c>
    </row>
    <row r="362" spans="1:20">
      <c r="A362" s="53">
        <f t="shared" si="5"/>
        <v>2023.05</v>
      </c>
      <c r="B362" s="49">
        <v>3696</v>
      </c>
      <c r="C362" s="3633">
        <v>4284</v>
      </c>
      <c r="D362" s="88">
        <v>160</v>
      </c>
      <c r="E362" s="584">
        <v>12339</v>
      </c>
      <c r="F362" s="3633">
        <v>5077</v>
      </c>
      <c r="G362" s="88">
        <v>134</v>
      </c>
      <c r="H362" s="584">
        <v>40361</v>
      </c>
      <c r="I362" s="3633">
        <v>41051</v>
      </c>
      <c r="J362" s="88">
        <v>1291</v>
      </c>
      <c r="K362" s="584">
        <v>142232</v>
      </c>
      <c r="L362" s="3633">
        <v>37509</v>
      </c>
      <c r="M362" s="643">
        <v>652</v>
      </c>
      <c r="N362" s="2375">
        <f t="shared" si="4"/>
        <v>3696</v>
      </c>
      <c r="O362" s="3633">
        <v>2366</v>
      </c>
      <c r="P362" s="3633">
        <v>1227</v>
      </c>
      <c r="Q362" s="643">
        <v>103</v>
      </c>
      <c r="R362" s="3446">
        <v>53282</v>
      </c>
    </row>
    <row r="363" spans="1:20">
      <c r="A363" s="53">
        <f t="shared" si="5"/>
        <v>2023.06</v>
      </c>
      <c r="B363" s="49">
        <v>3514</v>
      </c>
      <c r="C363" s="3633">
        <v>3290</v>
      </c>
      <c r="D363" s="88">
        <v>120</v>
      </c>
      <c r="E363" s="584">
        <v>11654</v>
      </c>
      <c r="F363" s="3633">
        <v>4324</v>
      </c>
      <c r="G363" s="88">
        <v>113</v>
      </c>
      <c r="H363" s="584">
        <v>40301</v>
      </c>
      <c r="I363" s="3633">
        <v>34563</v>
      </c>
      <c r="J363" s="88">
        <v>1079</v>
      </c>
      <c r="K363" s="584">
        <v>134148</v>
      </c>
      <c r="L363" s="3633">
        <v>34067</v>
      </c>
      <c r="M363" s="643">
        <v>695</v>
      </c>
      <c r="N363" s="2375">
        <f t="shared" si="4"/>
        <v>3514</v>
      </c>
      <c r="O363" s="1013">
        <v>2332</v>
      </c>
      <c r="P363" s="3633">
        <v>1076</v>
      </c>
      <c r="Q363" s="643">
        <v>106</v>
      </c>
      <c r="R363" s="3446">
        <v>53522</v>
      </c>
    </row>
    <row r="364" spans="1:20">
      <c r="A364" s="53">
        <f t="shared" si="5"/>
        <v>2023.07</v>
      </c>
      <c r="B364" s="49">
        <v>3959</v>
      </c>
      <c r="C364" s="3633">
        <v>3675</v>
      </c>
      <c r="D364" s="88">
        <v>153</v>
      </c>
      <c r="E364" s="584">
        <v>13476</v>
      </c>
      <c r="F364" s="3633">
        <v>5110</v>
      </c>
      <c r="G364" s="88">
        <v>141</v>
      </c>
      <c r="H364" s="584">
        <v>44325</v>
      </c>
      <c r="I364" s="3633">
        <v>38304</v>
      </c>
      <c r="J364" s="88">
        <v>1144</v>
      </c>
      <c r="K364" s="584">
        <v>154444</v>
      </c>
      <c r="L364" s="3633">
        <v>37289</v>
      </c>
      <c r="M364" s="643">
        <v>640</v>
      </c>
      <c r="N364" s="2375">
        <f t="shared" si="4"/>
        <v>3959</v>
      </c>
      <c r="O364" s="3633">
        <v>2725</v>
      </c>
      <c r="P364" s="3633">
        <v>1150</v>
      </c>
      <c r="Q364" s="643">
        <v>84</v>
      </c>
      <c r="R364" s="3446">
        <v>49254</v>
      </c>
    </row>
    <row r="365" spans="1:20">
      <c r="A365" s="53">
        <f t="shared" si="5"/>
        <v>2023.08</v>
      </c>
      <c r="B365" s="49">
        <v>3371</v>
      </c>
      <c r="C365" s="3633">
        <v>4554</v>
      </c>
      <c r="D365" s="88">
        <v>153</v>
      </c>
      <c r="E365" s="584">
        <v>14447</v>
      </c>
      <c r="F365" s="3633">
        <v>5564</v>
      </c>
      <c r="G365" s="88">
        <v>141</v>
      </c>
      <c r="H365" s="584">
        <v>39701</v>
      </c>
      <c r="I365" s="3633">
        <v>43494</v>
      </c>
      <c r="J365" s="88">
        <v>1252</v>
      </c>
      <c r="K365" s="584">
        <v>162509</v>
      </c>
      <c r="L365" s="3633">
        <v>41059</v>
      </c>
      <c r="M365" s="643">
        <v>741</v>
      </c>
      <c r="N365" s="2375">
        <f t="shared" si="4"/>
        <v>3371</v>
      </c>
      <c r="O365" s="3633">
        <v>2081</v>
      </c>
      <c r="P365" s="3633">
        <v>1179</v>
      </c>
      <c r="Q365" s="643">
        <v>111</v>
      </c>
      <c r="R365" s="3446">
        <v>63455</v>
      </c>
    </row>
    <row r="366" spans="1:20">
      <c r="A366" s="53">
        <f t="shared" si="5"/>
        <v>2023.09</v>
      </c>
      <c r="B366" s="49">
        <v>2802</v>
      </c>
      <c r="C366" s="3633">
        <v>3650</v>
      </c>
      <c r="D366" s="88">
        <v>137</v>
      </c>
      <c r="E366" s="584">
        <v>12514</v>
      </c>
      <c r="F366" s="3633">
        <v>5354</v>
      </c>
      <c r="G366" s="88">
        <v>121</v>
      </c>
      <c r="H366" s="584">
        <v>33844</v>
      </c>
      <c r="I366" s="3633">
        <v>35497</v>
      </c>
      <c r="J366" s="88">
        <v>1092</v>
      </c>
      <c r="K366" s="584">
        <v>143838</v>
      </c>
      <c r="L366" s="3633">
        <v>39434</v>
      </c>
      <c r="M366" s="643">
        <v>681</v>
      </c>
      <c r="N366" s="2375">
        <f t="shared" si="4"/>
        <v>2802</v>
      </c>
      <c r="O366" s="3633">
        <v>1659</v>
      </c>
      <c r="P366" s="3633">
        <v>1057</v>
      </c>
      <c r="Q366" s="643">
        <v>86</v>
      </c>
      <c r="R366" s="3446">
        <v>56750</v>
      </c>
    </row>
    <row r="367" spans="1:20">
      <c r="A367" s="53">
        <f t="shared" si="5"/>
        <v>2023.1</v>
      </c>
      <c r="B367" s="49">
        <v>3529</v>
      </c>
      <c r="C367" s="3633">
        <v>4802</v>
      </c>
      <c r="D367" s="88">
        <v>138</v>
      </c>
      <c r="E367" s="584">
        <v>12137</v>
      </c>
      <c r="F367" s="3633">
        <v>5388</v>
      </c>
      <c r="G367" s="88">
        <v>153</v>
      </c>
      <c r="H367" s="584">
        <v>42151</v>
      </c>
      <c r="I367" s="3633">
        <v>43770</v>
      </c>
      <c r="J367" s="88">
        <v>1190</v>
      </c>
      <c r="K367" s="584">
        <v>141592</v>
      </c>
      <c r="L367" s="3633">
        <v>39195</v>
      </c>
      <c r="M367" s="643">
        <v>726</v>
      </c>
      <c r="N367" s="2375">
        <f t="shared" si="4"/>
        <v>3529</v>
      </c>
      <c r="O367" s="3633">
        <v>2230</v>
      </c>
      <c r="P367" s="3633">
        <v>1221</v>
      </c>
      <c r="Q367" s="643">
        <v>78</v>
      </c>
      <c r="R367" s="3446">
        <v>51937</v>
      </c>
    </row>
    <row r="368" spans="1:20">
      <c r="A368" s="53">
        <f t="shared" si="5"/>
        <v>2023.11</v>
      </c>
      <c r="B368" s="49">
        <v>2958</v>
      </c>
      <c r="C368" s="3633">
        <v>4327</v>
      </c>
      <c r="D368" s="88">
        <v>136</v>
      </c>
      <c r="E368" s="584">
        <v>10977</v>
      </c>
      <c r="F368" s="3633">
        <v>5352</v>
      </c>
      <c r="G368" s="88">
        <v>153</v>
      </c>
      <c r="H368" s="584">
        <v>36211</v>
      </c>
      <c r="I368" s="3633">
        <v>41107</v>
      </c>
      <c r="J368" s="88">
        <v>1197</v>
      </c>
      <c r="K368" s="584">
        <v>132344</v>
      </c>
      <c r="L368" s="3633">
        <v>40204</v>
      </c>
      <c r="M368" s="643">
        <v>708</v>
      </c>
      <c r="N368" s="2375">
        <f t="shared" si="4"/>
        <v>2958</v>
      </c>
      <c r="O368" s="3633">
        <v>1868</v>
      </c>
      <c r="P368" s="3633">
        <v>1027</v>
      </c>
      <c r="Q368" s="643">
        <v>63</v>
      </c>
      <c r="R368" s="3446">
        <v>56569</v>
      </c>
    </row>
    <row r="369" spans="1:18">
      <c r="A369" s="53">
        <f t="shared" si="5"/>
        <v>2023.12</v>
      </c>
      <c r="B369" s="49">
        <v>1326</v>
      </c>
      <c r="C369" s="3633">
        <v>3636</v>
      </c>
      <c r="D369" s="88">
        <v>117</v>
      </c>
      <c r="E369" s="584">
        <v>10057</v>
      </c>
      <c r="F369" s="3633">
        <v>4743</v>
      </c>
      <c r="G369" s="88">
        <v>169</v>
      </c>
      <c r="H369" s="584">
        <v>18798</v>
      </c>
      <c r="I369" s="3633">
        <v>33584</v>
      </c>
      <c r="J369" s="88">
        <v>910</v>
      </c>
      <c r="K369" s="584">
        <v>122031</v>
      </c>
      <c r="L369" s="3633">
        <v>36656</v>
      </c>
      <c r="M369" s="643">
        <v>746</v>
      </c>
      <c r="N369" s="2375">
        <f t="shared" si="4"/>
        <v>1326</v>
      </c>
      <c r="O369" s="3633">
        <v>700</v>
      </c>
      <c r="P369" s="3633">
        <v>586</v>
      </c>
      <c r="Q369" s="643">
        <v>40</v>
      </c>
      <c r="R369" s="3446">
        <v>36973</v>
      </c>
    </row>
    <row r="370" spans="1:18">
      <c r="A370" s="53">
        <f t="shared" si="5"/>
        <v>2024.01</v>
      </c>
      <c r="B370" s="49">
        <v>2517</v>
      </c>
      <c r="C370" s="3633">
        <v>3889</v>
      </c>
      <c r="D370" s="88">
        <v>88</v>
      </c>
      <c r="E370" s="584">
        <v>9407</v>
      </c>
      <c r="F370" s="3633">
        <v>4927</v>
      </c>
      <c r="G370" s="88">
        <v>118</v>
      </c>
      <c r="H370" s="584">
        <v>34165</v>
      </c>
      <c r="I370" s="3633">
        <v>34116</v>
      </c>
      <c r="J370" s="88">
        <v>600</v>
      </c>
      <c r="K370" s="584">
        <v>116149</v>
      </c>
      <c r="L370" s="3633">
        <v>38353</v>
      </c>
      <c r="M370" s="643">
        <v>557</v>
      </c>
      <c r="N370" s="2375">
        <f t="shared" si="4"/>
        <v>2517</v>
      </c>
      <c r="O370" s="3633">
        <v>1744</v>
      </c>
      <c r="P370" s="3633">
        <v>726</v>
      </c>
      <c r="Q370" s="643">
        <v>47</v>
      </c>
      <c r="R370" s="3446">
        <v>22643</v>
      </c>
    </row>
    <row r="371" spans="1:18">
      <c r="A371" s="53">
        <f t="shared" si="5"/>
        <v>2024.02</v>
      </c>
      <c r="B371" s="49">
        <v>2175</v>
      </c>
      <c r="C371" s="3633">
        <v>3272</v>
      </c>
      <c r="D371" s="88">
        <v>74</v>
      </c>
      <c r="E371" s="584">
        <v>8959</v>
      </c>
      <c r="F371" s="3633">
        <v>4444</v>
      </c>
      <c r="G371" s="88">
        <v>105</v>
      </c>
      <c r="H371" s="584">
        <v>25213</v>
      </c>
      <c r="I371" s="3633">
        <v>31492</v>
      </c>
      <c r="J371" s="88">
        <v>469</v>
      </c>
      <c r="K371" s="584">
        <v>106238</v>
      </c>
      <c r="L371" s="3633">
        <v>34603</v>
      </c>
      <c r="M371" s="643">
        <v>432</v>
      </c>
      <c r="N371" s="2375">
        <f t="shared" si="4"/>
        <v>2175</v>
      </c>
      <c r="O371" s="3633">
        <v>1466</v>
      </c>
      <c r="P371" s="3633">
        <v>637</v>
      </c>
      <c r="Q371" s="643">
        <v>72</v>
      </c>
      <c r="R371" s="3446">
        <v>37491</v>
      </c>
    </row>
    <row r="372" spans="1:18">
      <c r="A372" s="53">
        <f t="shared" si="5"/>
        <v>2024.03</v>
      </c>
      <c r="B372" s="49">
        <v>2217</v>
      </c>
      <c r="C372" s="3633">
        <v>3177</v>
      </c>
      <c r="D372" s="88">
        <v>71</v>
      </c>
      <c r="E372" s="584">
        <v>8940</v>
      </c>
      <c r="F372" s="3633">
        <v>4413</v>
      </c>
      <c r="G372" s="88">
        <v>111</v>
      </c>
      <c r="H372" s="584">
        <v>25975</v>
      </c>
      <c r="I372" s="3633">
        <v>29381</v>
      </c>
      <c r="J372" s="88">
        <v>466</v>
      </c>
      <c r="K372" s="584">
        <v>105990</v>
      </c>
      <c r="L372" s="3633">
        <v>34683</v>
      </c>
      <c r="M372" s="643">
        <v>503</v>
      </c>
      <c r="N372" s="2375">
        <f t="shared" si="4"/>
        <v>2217</v>
      </c>
      <c r="O372" s="3633">
        <v>1487</v>
      </c>
      <c r="P372" s="3633">
        <v>667</v>
      </c>
      <c r="Q372" s="643">
        <v>63</v>
      </c>
      <c r="R372" s="3446">
        <v>43159</v>
      </c>
    </row>
    <row r="373" spans="1:18">
      <c r="A373" s="53">
        <f t="shared" si="5"/>
        <v>2024.04</v>
      </c>
      <c r="B373" s="49">
        <v>2654</v>
      </c>
      <c r="C373" s="3633">
        <v>3850</v>
      </c>
      <c r="D373" s="88">
        <v>106</v>
      </c>
      <c r="E373" s="584">
        <v>11366</v>
      </c>
      <c r="F373" s="3633">
        <v>5322</v>
      </c>
      <c r="G373" s="88">
        <v>131</v>
      </c>
      <c r="H373" s="584">
        <v>33122</v>
      </c>
      <c r="I373" s="3633">
        <v>39183</v>
      </c>
      <c r="J373" s="88">
        <v>778</v>
      </c>
      <c r="K373" s="584">
        <v>136256</v>
      </c>
      <c r="L373" s="3633">
        <v>41317</v>
      </c>
      <c r="M373" s="643">
        <v>601</v>
      </c>
      <c r="N373" s="2375">
        <f t="shared" si="4"/>
        <v>2654</v>
      </c>
      <c r="O373" s="3633">
        <v>1764</v>
      </c>
      <c r="P373" s="3633">
        <v>805</v>
      </c>
      <c r="Q373" s="643">
        <v>85</v>
      </c>
      <c r="R373" s="3446">
        <v>42974</v>
      </c>
    </row>
    <row r="374" spans="1:18">
      <c r="A374" s="53">
        <f t="shared" si="5"/>
        <v>2024.05</v>
      </c>
      <c r="B374" s="49">
        <v>3179</v>
      </c>
      <c r="C374" s="3633">
        <v>4139</v>
      </c>
      <c r="D374" s="88">
        <v>137</v>
      </c>
      <c r="E374" s="584">
        <v>13202</v>
      </c>
      <c r="F374" s="3633">
        <v>5612</v>
      </c>
      <c r="G374" s="88">
        <v>161</v>
      </c>
      <c r="H374" s="584">
        <v>34964</v>
      </c>
      <c r="I374" s="3633">
        <v>39871</v>
      </c>
      <c r="J374" s="88">
        <v>995</v>
      </c>
      <c r="K374" s="584">
        <v>150975</v>
      </c>
      <c r="L374" s="3633">
        <v>41782</v>
      </c>
      <c r="M374" s="643">
        <v>692</v>
      </c>
      <c r="N374" s="2375">
        <f t="shared" si="4"/>
        <v>3179</v>
      </c>
      <c r="O374" s="3633">
        <v>2101</v>
      </c>
      <c r="P374" s="3633">
        <v>1023</v>
      </c>
      <c r="Q374" s="643">
        <v>55</v>
      </c>
      <c r="R374" s="3446">
        <v>38440</v>
      </c>
    </row>
    <row r="375" spans="1:18">
      <c r="A375" s="53">
        <f t="shared" si="5"/>
        <v>2024.06</v>
      </c>
      <c r="B375" s="49">
        <v>3142</v>
      </c>
      <c r="C375" s="3633">
        <v>3667</v>
      </c>
      <c r="D375" s="88">
        <v>81</v>
      </c>
      <c r="E375" s="584">
        <v>11574</v>
      </c>
      <c r="F375" s="3633">
        <v>4285</v>
      </c>
      <c r="G375" s="88">
        <v>131</v>
      </c>
      <c r="H375" s="584">
        <v>31057</v>
      </c>
      <c r="I375" s="3633">
        <v>33494</v>
      </c>
      <c r="J375" s="88">
        <v>695</v>
      </c>
      <c r="K375" s="584">
        <v>123928</v>
      </c>
      <c r="L375" s="3633">
        <v>30856</v>
      </c>
      <c r="M375" s="643">
        <v>553</v>
      </c>
      <c r="N375" s="2375">
        <f>SUM(O375:Q375)</f>
        <v>3142</v>
      </c>
      <c r="O375" s="3633">
        <v>2202</v>
      </c>
      <c r="P375" s="3633">
        <v>885</v>
      </c>
      <c r="Q375" s="643">
        <v>55</v>
      </c>
      <c r="R375" s="3446">
        <v>32029</v>
      </c>
    </row>
    <row r="376" spans="1:18">
      <c r="A376" s="53">
        <f t="shared" si="5"/>
        <v>2024.07</v>
      </c>
      <c r="B376" s="49">
        <v>4460</v>
      </c>
      <c r="C376" s="3633">
        <v>4252</v>
      </c>
      <c r="D376" s="88">
        <v>160</v>
      </c>
      <c r="E376" s="584">
        <v>17822</v>
      </c>
      <c r="F376" s="3633">
        <v>6449</v>
      </c>
      <c r="G376" s="88">
        <v>164</v>
      </c>
      <c r="H376" s="584">
        <v>43352</v>
      </c>
      <c r="I376" s="3633">
        <v>40962</v>
      </c>
      <c r="J376" s="88">
        <v>1085</v>
      </c>
      <c r="K376" s="584">
        <v>183718</v>
      </c>
      <c r="L376" s="3633">
        <v>44334</v>
      </c>
      <c r="M376" s="643">
        <v>782</v>
      </c>
      <c r="N376" s="2375">
        <f t="shared" si="4"/>
        <v>4460</v>
      </c>
      <c r="O376" s="3633">
        <v>3067</v>
      </c>
      <c r="P376" s="3633">
        <v>1286</v>
      </c>
      <c r="Q376" s="643">
        <v>107</v>
      </c>
      <c r="R376" s="3446">
        <v>44436</v>
      </c>
    </row>
    <row r="377" spans="1:18">
      <c r="A377" s="53">
        <f t="shared" si="5"/>
        <v>2024.08</v>
      </c>
      <c r="B377" s="49">
        <v>3733</v>
      </c>
      <c r="C377" s="3633">
        <v>6245</v>
      </c>
      <c r="D377" s="88">
        <v>250</v>
      </c>
      <c r="E377" s="584">
        <v>17087</v>
      </c>
      <c r="F377" s="3633">
        <v>6481</v>
      </c>
      <c r="G377" s="88">
        <v>187</v>
      </c>
      <c r="H377" s="584">
        <v>41688</v>
      </c>
      <c r="I377" s="3633">
        <v>55617</v>
      </c>
      <c r="J377" s="88">
        <v>1504</v>
      </c>
      <c r="K377" s="584">
        <v>176511</v>
      </c>
      <c r="L377" s="3633">
        <v>44508</v>
      </c>
      <c r="M377" s="643">
        <v>781</v>
      </c>
      <c r="N377" s="2375">
        <f t="shared" si="4"/>
        <v>3733</v>
      </c>
      <c r="O377" s="3633">
        <v>2318</v>
      </c>
      <c r="P377" s="3633">
        <v>1295</v>
      </c>
      <c r="Q377" s="643">
        <v>120</v>
      </c>
      <c r="R377" s="3446">
        <v>51650</v>
      </c>
    </row>
    <row r="378" spans="1:18">
      <c r="A378" s="53">
        <f t="shared" si="5"/>
        <v>2024.09</v>
      </c>
      <c r="B378" s="49">
        <v>4102</v>
      </c>
      <c r="C378" s="3633">
        <v>4401</v>
      </c>
      <c r="D378" s="88">
        <v>173</v>
      </c>
      <c r="E378" s="584">
        <v>15132</v>
      </c>
      <c r="F378" s="3633">
        <v>6597</v>
      </c>
      <c r="G378" s="88">
        <v>156</v>
      </c>
      <c r="H378" s="584">
        <v>43874</v>
      </c>
      <c r="I378" s="3633">
        <v>41218</v>
      </c>
      <c r="J378" s="88">
        <v>1029</v>
      </c>
      <c r="K378" s="584">
        <v>162545</v>
      </c>
      <c r="L378" s="3633">
        <v>45016</v>
      </c>
      <c r="M378" s="643">
        <v>850</v>
      </c>
      <c r="N378" s="2375">
        <f t="shared" si="4"/>
        <v>4102</v>
      </c>
      <c r="O378" s="3633">
        <v>2604</v>
      </c>
      <c r="P378" s="3633">
        <v>1384</v>
      </c>
      <c r="Q378" s="643">
        <v>114</v>
      </c>
      <c r="R378" s="3446">
        <v>49611</v>
      </c>
    </row>
    <row r="379" spans="1:18">
      <c r="A379" s="53">
        <f t="shared" si="5"/>
        <v>2024.1</v>
      </c>
      <c r="B379" s="49">
        <v>3908</v>
      </c>
      <c r="C379" s="3633">
        <v>5369</v>
      </c>
      <c r="D379" s="88">
        <v>188</v>
      </c>
      <c r="E379" s="584">
        <v>15127</v>
      </c>
      <c r="F379" s="3633">
        <v>6740</v>
      </c>
      <c r="G379" s="88">
        <v>234</v>
      </c>
      <c r="H379" s="584">
        <v>44695</v>
      </c>
      <c r="I379" s="3633">
        <v>47042</v>
      </c>
      <c r="J379" s="88">
        <v>1242</v>
      </c>
      <c r="K379" s="584">
        <v>171642</v>
      </c>
      <c r="L379" s="3633">
        <v>49282</v>
      </c>
      <c r="M379" s="643">
        <v>999</v>
      </c>
      <c r="N379" s="2375">
        <f t="shared" ref="N379:N442" si="6">SUM(O379:Q379)</f>
        <v>3908</v>
      </c>
      <c r="O379" s="3633">
        <v>2597</v>
      </c>
      <c r="P379" s="3633">
        <v>1213</v>
      </c>
      <c r="Q379" s="643">
        <v>98</v>
      </c>
      <c r="R379" s="3446">
        <v>52419</v>
      </c>
    </row>
    <row r="380" spans="1:18">
      <c r="A380" s="53">
        <f t="shared" si="5"/>
        <v>2024.11</v>
      </c>
      <c r="B380" s="49">
        <v>3250</v>
      </c>
      <c r="C380" s="3633">
        <v>5308</v>
      </c>
      <c r="D380" s="88">
        <v>178</v>
      </c>
      <c r="E380" s="584">
        <v>12925</v>
      </c>
      <c r="F380" s="3633">
        <v>5747</v>
      </c>
      <c r="G380" s="88">
        <v>164</v>
      </c>
      <c r="H380" s="584">
        <v>36426</v>
      </c>
      <c r="I380" s="3633">
        <v>51197</v>
      </c>
      <c r="J380" s="88">
        <v>980</v>
      </c>
      <c r="K380" s="584">
        <v>151244</v>
      </c>
      <c r="L380" s="3633">
        <v>43813</v>
      </c>
      <c r="M380" s="643">
        <v>845</v>
      </c>
      <c r="N380" s="2375">
        <f t="shared" si="6"/>
        <v>3250</v>
      </c>
      <c r="O380" s="3633">
        <v>2010</v>
      </c>
      <c r="P380" s="3633">
        <v>1159</v>
      </c>
      <c r="Q380" s="643">
        <v>81</v>
      </c>
      <c r="R380" s="3446">
        <v>53701</v>
      </c>
    </row>
    <row r="381" spans="1:18">
      <c r="A381" s="53">
        <f t="shared" si="5"/>
        <v>2024.12</v>
      </c>
      <c r="B381" s="49">
        <v>1755</v>
      </c>
      <c r="C381" s="3633">
        <v>5558</v>
      </c>
      <c r="D381" s="88">
        <v>170</v>
      </c>
      <c r="E381" s="584">
        <v>13356</v>
      </c>
      <c r="F381" s="3633">
        <v>5678</v>
      </c>
      <c r="G381" s="88">
        <v>182</v>
      </c>
      <c r="H381" s="584">
        <v>22013</v>
      </c>
      <c r="I381" s="3633">
        <v>50697</v>
      </c>
      <c r="J381" s="88">
        <v>994</v>
      </c>
      <c r="K381" s="584">
        <v>160412</v>
      </c>
      <c r="L381" s="3633">
        <v>43555</v>
      </c>
      <c r="M381" s="643">
        <v>884</v>
      </c>
      <c r="N381" s="2375">
        <f t="shared" si="6"/>
        <v>1755</v>
      </c>
      <c r="O381" s="3633">
        <v>1056</v>
      </c>
      <c r="P381" s="3633">
        <v>619</v>
      </c>
      <c r="Q381" s="643">
        <v>80</v>
      </c>
      <c r="R381" s="3446">
        <v>38018</v>
      </c>
    </row>
    <row r="382" spans="1:18">
      <c r="A382" s="53">
        <f t="shared" si="5"/>
        <v>2025.01</v>
      </c>
      <c r="B382" s="49">
        <v>6531</v>
      </c>
      <c r="C382" s="3633">
        <v>6371</v>
      </c>
      <c r="D382" s="88">
        <v>190</v>
      </c>
      <c r="E382" s="584">
        <v>14062</v>
      </c>
      <c r="F382" s="3633">
        <v>6376</v>
      </c>
      <c r="G382" s="88">
        <v>146</v>
      </c>
      <c r="H382" s="584">
        <v>69792</v>
      </c>
      <c r="I382" s="3633">
        <v>60324</v>
      </c>
      <c r="J382" s="88">
        <v>916</v>
      </c>
      <c r="K382" s="584">
        <v>170088</v>
      </c>
      <c r="L382" s="3633">
        <v>48466</v>
      </c>
      <c r="M382" s="643">
        <v>711</v>
      </c>
      <c r="N382" s="2375">
        <f t="shared" si="6"/>
        <v>6531</v>
      </c>
      <c r="O382" s="3633">
        <v>4478</v>
      </c>
      <c r="P382" s="3633">
        <v>1931</v>
      </c>
      <c r="Q382" s="643">
        <v>122</v>
      </c>
      <c r="R382" s="3446">
        <v>30058</v>
      </c>
    </row>
    <row r="383" spans="1:18">
      <c r="A383" s="53">
        <f t="shared" si="5"/>
        <v>2025.02</v>
      </c>
      <c r="B383" s="49">
        <v>4044</v>
      </c>
      <c r="C383" s="3633">
        <v>4263</v>
      </c>
      <c r="D383" s="88">
        <v>160</v>
      </c>
      <c r="E383" s="584">
        <v>12882</v>
      </c>
      <c r="F383" s="3633">
        <v>5754</v>
      </c>
      <c r="G383" s="88">
        <v>123</v>
      </c>
      <c r="H383" s="584">
        <v>44759</v>
      </c>
      <c r="I383" s="3633">
        <v>41878</v>
      </c>
      <c r="J383" s="88">
        <v>986</v>
      </c>
      <c r="K383" s="584">
        <v>149547</v>
      </c>
      <c r="L383" s="3633">
        <v>43308</v>
      </c>
      <c r="M383" s="643">
        <v>572</v>
      </c>
      <c r="N383" s="2375">
        <f t="shared" si="6"/>
        <v>4044</v>
      </c>
      <c r="O383" s="3633">
        <v>2717</v>
      </c>
      <c r="P383" s="3633">
        <v>1202</v>
      </c>
      <c r="Q383" s="643">
        <v>125</v>
      </c>
      <c r="R383" s="3446">
        <v>42419</v>
      </c>
    </row>
    <row r="384" spans="1:18">
      <c r="A384" s="53">
        <f t="shared" si="5"/>
        <v>2025.03</v>
      </c>
      <c r="B384" s="49">
        <v>4471</v>
      </c>
      <c r="C384" s="3633">
        <v>5607</v>
      </c>
      <c r="D384" s="88">
        <v>145</v>
      </c>
      <c r="E384" s="584">
        <v>12447</v>
      </c>
      <c r="F384" s="3633">
        <v>5432</v>
      </c>
      <c r="G384" s="88">
        <v>154</v>
      </c>
      <c r="H384" s="584">
        <v>48560</v>
      </c>
      <c r="I384" s="3633">
        <v>51972</v>
      </c>
      <c r="J384" s="88">
        <v>749</v>
      </c>
      <c r="K384" s="584">
        <v>143121</v>
      </c>
      <c r="L384" s="3633">
        <v>40597</v>
      </c>
      <c r="M384" s="643">
        <v>710</v>
      </c>
      <c r="N384" s="2375">
        <f t="shared" si="6"/>
        <v>4471</v>
      </c>
      <c r="O384" s="3633">
        <v>3127</v>
      </c>
      <c r="P384" s="3633">
        <v>1233</v>
      </c>
      <c r="Q384" s="643">
        <v>111</v>
      </c>
      <c r="R384" s="3446">
        <v>41565</v>
      </c>
    </row>
    <row r="385" spans="1:18">
      <c r="A385" s="53">
        <f t="shared" si="5"/>
        <v>2025.04</v>
      </c>
      <c r="B385" s="49">
        <v>5040</v>
      </c>
      <c r="C385" s="3633">
        <v>5815</v>
      </c>
      <c r="D385" s="88">
        <v>236</v>
      </c>
      <c r="E385" s="584">
        <v>13624</v>
      </c>
      <c r="F385" s="3633">
        <v>5870</v>
      </c>
      <c r="G385" s="88">
        <v>201</v>
      </c>
      <c r="H385" s="584">
        <v>55225</v>
      </c>
      <c r="I385" s="3633">
        <v>53995</v>
      </c>
      <c r="J385" s="88">
        <v>1294</v>
      </c>
      <c r="K385" s="584">
        <v>159208</v>
      </c>
      <c r="L385" s="3633">
        <v>42556</v>
      </c>
      <c r="M385" s="643">
        <v>804</v>
      </c>
      <c r="N385" s="2375">
        <f t="shared" si="6"/>
        <v>5040</v>
      </c>
      <c r="O385" s="3633">
        <v>3351</v>
      </c>
      <c r="P385" s="3633">
        <v>1551</v>
      </c>
      <c r="Q385" s="643">
        <v>138</v>
      </c>
      <c r="R385" s="3446">
        <v>45479</v>
      </c>
    </row>
    <row r="386" spans="1:18">
      <c r="A386" s="53">
        <f t="shared" si="5"/>
        <v>2025.05</v>
      </c>
      <c r="B386" s="49">
        <v>5201</v>
      </c>
      <c r="C386" s="3633">
        <v>5277</v>
      </c>
      <c r="D386" s="88">
        <v>276</v>
      </c>
      <c r="E386" s="584">
        <v>13648</v>
      </c>
      <c r="F386" s="3633">
        <v>5918</v>
      </c>
      <c r="G386" s="88">
        <v>203</v>
      </c>
      <c r="H386" s="584">
        <v>56535</v>
      </c>
      <c r="I386" s="3633">
        <v>54076</v>
      </c>
      <c r="J386" s="88">
        <v>1337</v>
      </c>
      <c r="K386" s="584">
        <v>155014</v>
      </c>
      <c r="L386" s="3633">
        <v>41496</v>
      </c>
      <c r="M386" s="643">
        <v>877</v>
      </c>
      <c r="N386" s="2375">
        <f t="shared" si="6"/>
        <v>5201</v>
      </c>
      <c r="O386" s="3633">
        <v>3647</v>
      </c>
      <c r="P386" s="3633">
        <v>1432</v>
      </c>
      <c r="Q386" s="643">
        <v>122</v>
      </c>
      <c r="R386" s="3446">
        <v>48109</v>
      </c>
    </row>
    <row r="387" spans="1:18">
      <c r="A387" s="53">
        <f t="shared" si="5"/>
        <v>2025.06</v>
      </c>
      <c r="B387" s="3633">
        <v>4830</v>
      </c>
      <c r="C387" s="3633">
        <v>4458</v>
      </c>
      <c r="D387" s="88">
        <v>201</v>
      </c>
      <c r="E387" s="584">
        <v>12736</v>
      </c>
      <c r="F387" s="3633">
        <v>5234</v>
      </c>
      <c r="G387" s="88">
        <v>178</v>
      </c>
      <c r="H387" s="584">
        <v>52961</v>
      </c>
      <c r="I387" s="3633">
        <v>48344</v>
      </c>
      <c r="J387" s="88">
        <v>974</v>
      </c>
      <c r="K387" s="584">
        <v>143669</v>
      </c>
      <c r="L387" s="3633">
        <v>36631</v>
      </c>
      <c r="M387" s="643">
        <v>768</v>
      </c>
      <c r="N387" s="2375">
        <f t="shared" si="6"/>
        <v>4830</v>
      </c>
      <c r="O387" s="3633">
        <v>3438</v>
      </c>
      <c r="P387" s="3633">
        <v>1275</v>
      </c>
      <c r="Q387" s="643">
        <v>117</v>
      </c>
      <c r="R387" s="3446">
        <v>42848</v>
      </c>
    </row>
    <row r="388" spans="1:18">
      <c r="A388" s="53">
        <f t="shared" si="5"/>
        <v>2025.07</v>
      </c>
      <c r="B388" s="49">
        <v>5719</v>
      </c>
      <c r="C388" s="3633">
        <v>5397</v>
      </c>
      <c r="D388" s="88">
        <v>228</v>
      </c>
      <c r="E388" s="584">
        <v>16258</v>
      </c>
      <c r="F388" s="3633">
        <v>5887</v>
      </c>
      <c r="G388" s="88">
        <v>241</v>
      </c>
      <c r="H388" s="584">
        <v>63040</v>
      </c>
      <c r="I388" s="3633">
        <v>55165</v>
      </c>
      <c r="J388" s="88">
        <v>1137</v>
      </c>
      <c r="K388" s="584">
        <v>179489</v>
      </c>
      <c r="L388" s="3633">
        <v>42205</v>
      </c>
      <c r="M388" s="643">
        <v>841</v>
      </c>
      <c r="N388" s="2375">
        <f t="shared" si="6"/>
        <v>5719</v>
      </c>
      <c r="O388" s="3633">
        <v>3948</v>
      </c>
      <c r="P388" s="3633">
        <v>1625</v>
      </c>
      <c r="Q388" s="643">
        <v>146</v>
      </c>
      <c r="R388" s="3446">
        <v>37112</v>
      </c>
    </row>
    <row r="389" spans="1:18">
      <c r="A389" s="53">
        <f t="shared" si="5"/>
        <v>2025.08</v>
      </c>
      <c r="B389" s="49">
        <v>5108</v>
      </c>
      <c r="C389" s="3633">
        <v>5489</v>
      </c>
      <c r="D389" s="88">
        <v>224</v>
      </c>
      <c r="E389" s="584">
        <v>15208</v>
      </c>
      <c r="F389" s="3633">
        <v>5734</v>
      </c>
      <c r="G389" s="88">
        <v>232</v>
      </c>
      <c r="H389" s="584">
        <v>55117</v>
      </c>
      <c r="I389" s="3633">
        <v>55349</v>
      </c>
      <c r="J389" s="88">
        <v>1059</v>
      </c>
      <c r="K389" s="584">
        <v>167702</v>
      </c>
      <c r="L389" s="3633">
        <v>40728</v>
      </c>
      <c r="M389" s="643">
        <v>1070</v>
      </c>
      <c r="N389" s="2375">
        <f t="shared" si="6"/>
        <v>5108</v>
      </c>
      <c r="O389" s="3633">
        <v>3438</v>
      </c>
      <c r="P389" s="3633">
        <v>1515</v>
      </c>
      <c r="Q389" s="643">
        <v>155</v>
      </c>
      <c r="R389" s="3446">
        <v>44545</v>
      </c>
    </row>
    <row r="390" spans="1:18">
      <c r="A390" s="53">
        <f t="shared" si="5"/>
        <v>2025.09</v>
      </c>
      <c r="B390" s="49">
        <v>5274</v>
      </c>
      <c r="C390" s="3633">
        <v>5420</v>
      </c>
      <c r="D390" s="88">
        <v>247</v>
      </c>
      <c r="E390" s="584">
        <v>15165</v>
      </c>
      <c r="F390" s="3633">
        <v>6314</v>
      </c>
      <c r="G390" s="88">
        <v>266</v>
      </c>
      <c r="H390" s="584">
        <v>56485</v>
      </c>
      <c r="I390" s="3633">
        <v>59912</v>
      </c>
      <c r="J390" s="88">
        <v>1104</v>
      </c>
      <c r="K390" s="3633">
        <v>171679</v>
      </c>
      <c r="L390" s="3633">
        <v>45741</v>
      </c>
      <c r="M390" s="643">
        <v>1164</v>
      </c>
      <c r="N390" s="2375">
        <f>SUM(O390:Q390)</f>
        <v>5274</v>
      </c>
      <c r="O390" s="3633">
        <v>3622</v>
      </c>
      <c r="P390" s="3633">
        <v>1496</v>
      </c>
      <c r="Q390" s="643">
        <v>156</v>
      </c>
      <c r="R390" s="3446">
        <v>47108</v>
      </c>
    </row>
    <row r="391" spans="1:18">
      <c r="A391" s="53">
        <f t="shared" ref="A391:A453" si="7">A379+1</f>
        <v>2025.1</v>
      </c>
      <c r="B391" s="49">
        <v>4845</v>
      </c>
      <c r="C391" s="3633">
        <v>5886</v>
      </c>
      <c r="D391" s="88">
        <v>225</v>
      </c>
      <c r="E391" s="584">
        <v>14324</v>
      </c>
      <c r="F391" s="3633">
        <v>6322</v>
      </c>
      <c r="G391" s="88">
        <v>279</v>
      </c>
      <c r="H391" s="584">
        <v>52559</v>
      </c>
      <c r="I391" s="3633">
        <v>64033</v>
      </c>
      <c r="J391" s="88">
        <v>1064</v>
      </c>
      <c r="K391" s="584">
        <v>166612</v>
      </c>
      <c r="L391" s="3633">
        <v>46910</v>
      </c>
      <c r="M391" s="643">
        <v>1133</v>
      </c>
      <c r="N391" s="2375">
        <f t="shared" si="6"/>
        <v>4845</v>
      </c>
      <c r="O391" s="3633">
        <v>3138</v>
      </c>
      <c r="P391" s="3633">
        <v>1536</v>
      </c>
      <c r="Q391" s="643">
        <v>171</v>
      </c>
      <c r="R391" s="3446">
        <v>47204</v>
      </c>
    </row>
    <row r="392" spans="1:18">
      <c r="A392" s="53">
        <f t="shared" si="7"/>
        <v>2025.11</v>
      </c>
      <c r="B392" s="49">
        <v>3341</v>
      </c>
      <c r="C392" s="3633">
        <v>4948</v>
      </c>
      <c r="D392" s="88">
        <v>190</v>
      </c>
      <c r="E392" s="584">
        <v>11276</v>
      </c>
      <c r="F392" s="3633">
        <v>5161</v>
      </c>
      <c r="G392" s="88">
        <v>137</v>
      </c>
      <c r="H392" s="584">
        <v>35721</v>
      </c>
      <c r="I392" s="3633">
        <v>52742</v>
      </c>
      <c r="J392" s="88">
        <v>954</v>
      </c>
      <c r="K392" s="584">
        <v>132107</v>
      </c>
      <c r="L392" s="3633">
        <v>38014</v>
      </c>
      <c r="M392" s="643">
        <v>882</v>
      </c>
      <c r="N392" s="2375">
        <f t="shared" si="6"/>
        <v>3341</v>
      </c>
      <c r="O392" s="3633">
        <v>2000</v>
      </c>
      <c r="P392" s="3633">
        <v>1236</v>
      </c>
      <c r="Q392" s="643">
        <v>105</v>
      </c>
      <c r="R392" s="3446">
        <v>37961</v>
      </c>
    </row>
    <row r="393" spans="1:18">
      <c r="A393" s="53">
        <f t="shared" si="7"/>
        <v>2025.12</v>
      </c>
      <c r="B393" s="49">
        <v>2215</v>
      </c>
      <c r="C393" s="3633">
        <v>5821</v>
      </c>
      <c r="D393" s="88">
        <v>150</v>
      </c>
      <c r="E393" s="584">
        <v>13375</v>
      </c>
      <c r="F393" s="3633">
        <v>5917</v>
      </c>
      <c r="G393" s="88">
        <v>216</v>
      </c>
      <c r="H393" s="584">
        <v>24382</v>
      </c>
      <c r="I393" s="3633">
        <v>60777</v>
      </c>
      <c r="J393" s="88">
        <v>910</v>
      </c>
      <c r="K393" s="584">
        <v>151835</v>
      </c>
      <c r="L393" s="3633">
        <v>40865</v>
      </c>
      <c r="M393" s="643">
        <v>886</v>
      </c>
      <c r="N393" s="2375">
        <f t="shared" si="6"/>
        <v>2215</v>
      </c>
      <c r="O393" s="3633">
        <v>1146</v>
      </c>
      <c r="P393" s="3633">
        <v>982</v>
      </c>
      <c r="Q393" s="643">
        <v>87</v>
      </c>
      <c r="R393" s="3446">
        <v>26468</v>
      </c>
    </row>
    <row r="394" spans="1:18">
      <c r="A394" s="53">
        <f t="shared" si="7"/>
        <v>2026.01</v>
      </c>
      <c r="B394" s="49">
        <v>6350</v>
      </c>
      <c r="C394" s="3633">
        <v>7058</v>
      </c>
      <c r="D394" s="88">
        <v>169</v>
      </c>
      <c r="E394" s="584">
        <v>13269</v>
      </c>
      <c r="F394" s="3633">
        <v>5911</v>
      </c>
      <c r="G394" s="88">
        <v>211</v>
      </c>
      <c r="H394" s="584">
        <v>66768</v>
      </c>
      <c r="I394" s="3633">
        <v>69426</v>
      </c>
      <c r="J394" s="88">
        <v>897</v>
      </c>
      <c r="K394" s="584">
        <v>153361</v>
      </c>
      <c r="L394" s="3633">
        <v>43351</v>
      </c>
      <c r="M394" s="643">
        <v>804</v>
      </c>
      <c r="N394" s="2376" t="e">
        <f t="shared" si="6"/>
        <v>#N/A</v>
      </c>
      <c r="O394" s="3633" t="e">
        <v>#N/A</v>
      </c>
      <c r="P394" s="3633" t="e">
        <v>#N/A</v>
      </c>
      <c r="Q394" s="643" t="e">
        <v>#N/A</v>
      </c>
      <c r="R394" s="3446">
        <v>20998</v>
      </c>
    </row>
    <row r="395" spans="1:18">
      <c r="A395" s="53">
        <f t="shared" si="7"/>
        <v>2026.02</v>
      </c>
      <c r="B395" s="49">
        <v>3733</v>
      </c>
      <c r="C395" s="3633">
        <v>7203</v>
      </c>
      <c r="D395" s="88">
        <v>145</v>
      </c>
      <c r="E395" s="584">
        <v>11682</v>
      </c>
      <c r="F395" s="3633">
        <v>5337</v>
      </c>
      <c r="G395" s="88">
        <v>207</v>
      </c>
      <c r="H395" s="584">
        <v>42301</v>
      </c>
      <c r="I395" s="3633">
        <v>71598</v>
      </c>
      <c r="J395" s="88">
        <v>735</v>
      </c>
      <c r="K395" s="584">
        <v>130976</v>
      </c>
      <c r="L395" s="3633">
        <v>38228</v>
      </c>
      <c r="M395" s="643">
        <v>703</v>
      </c>
      <c r="N395" s="2376" t="e">
        <f t="shared" si="6"/>
        <v>#N/A</v>
      </c>
      <c r="O395" s="3633" t="e">
        <v>#N/A</v>
      </c>
      <c r="P395" s="3633" t="e">
        <v>#N/A</v>
      </c>
      <c r="Q395" s="643" t="e">
        <v>#N/A</v>
      </c>
      <c r="R395" s="3446">
        <v>29632</v>
      </c>
    </row>
    <row r="396" spans="1:18">
      <c r="A396" s="53">
        <f t="shared" si="7"/>
        <v>2026.03</v>
      </c>
      <c r="B396" s="49" t="e">
        <v>#N/A</v>
      </c>
      <c r="C396" s="3633" t="e">
        <v>#N/A</v>
      </c>
      <c r="D396" s="88" t="e">
        <v>#N/A</v>
      </c>
      <c r="E396" s="584" t="e">
        <v>#N/A</v>
      </c>
      <c r="F396" s="3633" t="e">
        <v>#N/A</v>
      </c>
      <c r="G396" s="88" t="e">
        <v>#N/A</v>
      </c>
      <c r="H396" s="584" t="e">
        <v>#N/A</v>
      </c>
      <c r="I396" s="3633" t="e">
        <v>#N/A</v>
      </c>
      <c r="J396" s="88" t="e">
        <v>#N/A</v>
      </c>
      <c r="K396" s="584" t="e">
        <v>#N/A</v>
      </c>
      <c r="L396" s="3633" t="e">
        <v>#N/A</v>
      </c>
      <c r="M396" s="643" t="e">
        <v>#N/A</v>
      </c>
      <c r="N396" s="2376" t="e">
        <f t="shared" si="6"/>
        <v>#N/A</v>
      </c>
      <c r="O396" s="3633" t="e">
        <v>#N/A</v>
      </c>
      <c r="P396" s="3633" t="e">
        <v>#N/A</v>
      </c>
      <c r="Q396" s="643" t="e">
        <v>#N/A</v>
      </c>
      <c r="R396" s="3446" t="e">
        <v>#N/A</v>
      </c>
    </row>
    <row r="397" spans="1:18">
      <c r="A397" s="53">
        <f t="shared" si="7"/>
        <v>2026.04</v>
      </c>
      <c r="B397" s="49" t="e">
        <v>#N/A</v>
      </c>
      <c r="C397" s="3633" t="e">
        <v>#N/A</v>
      </c>
      <c r="D397" s="88" t="e">
        <v>#N/A</v>
      </c>
      <c r="E397" s="584" t="e">
        <v>#N/A</v>
      </c>
      <c r="F397" s="3633" t="e">
        <v>#N/A</v>
      </c>
      <c r="G397" s="88" t="e">
        <v>#N/A</v>
      </c>
      <c r="H397" s="584" t="e">
        <v>#N/A</v>
      </c>
      <c r="I397" s="3633" t="e">
        <v>#N/A</v>
      </c>
      <c r="J397" s="88" t="e">
        <v>#N/A</v>
      </c>
      <c r="K397" s="584" t="e">
        <v>#N/A</v>
      </c>
      <c r="L397" s="3633" t="e">
        <v>#N/A</v>
      </c>
      <c r="M397" s="643" t="e">
        <v>#N/A</v>
      </c>
      <c r="N397" s="2376" t="e">
        <f t="shared" si="6"/>
        <v>#N/A</v>
      </c>
      <c r="O397" s="3633" t="e">
        <v>#N/A</v>
      </c>
      <c r="P397" s="3633" t="e">
        <v>#N/A</v>
      </c>
      <c r="Q397" s="643" t="e">
        <v>#N/A</v>
      </c>
      <c r="R397" s="3446" t="e">
        <v>#N/A</v>
      </c>
    </row>
    <row r="398" spans="1:18">
      <c r="A398" s="53">
        <f t="shared" si="7"/>
        <v>2026.05</v>
      </c>
      <c r="B398" s="49" t="e">
        <v>#N/A</v>
      </c>
      <c r="C398" s="3633" t="e">
        <v>#N/A</v>
      </c>
      <c r="D398" s="88" t="e">
        <v>#N/A</v>
      </c>
      <c r="E398" s="584" t="e">
        <v>#N/A</v>
      </c>
      <c r="F398" s="3633" t="e">
        <v>#N/A</v>
      </c>
      <c r="G398" s="88" t="e">
        <v>#N/A</v>
      </c>
      <c r="H398" s="584" t="e">
        <v>#N/A</v>
      </c>
      <c r="I398" s="3633" t="e">
        <v>#N/A</v>
      </c>
      <c r="J398" s="88" t="e">
        <v>#N/A</v>
      </c>
      <c r="K398" s="584" t="e">
        <v>#N/A</v>
      </c>
      <c r="L398" s="3633" t="e">
        <v>#N/A</v>
      </c>
      <c r="M398" s="643" t="e">
        <v>#N/A</v>
      </c>
      <c r="N398" s="2376" t="e">
        <f t="shared" si="6"/>
        <v>#N/A</v>
      </c>
      <c r="O398" s="3633" t="e">
        <v>#N/A</v>
      </c>
      <c r="P398" s="3633" t="e">
        <v>#N/A</v>
      </c>
      <c r="Q398" s="643" t="e">
        <v>#N/A</v>
      </c>
      <c r="R398" s="3446" t="e">
        <v>#N/A</v>
      </c>
    </row>
    <row r="399" spans="1:18">
      <c r="A399" s="53">
        <f t="shared" si="7"/>
        <v>2026.06</v>
      </c>
      <c r="B399" s="49" t="e">
        <v>#N/A</v>
      </c>
      <c r="C399" s="3633" t="e">
        <v>#N/A</v>
      </c>
      <c r="D399" s="88" t="e">
        <v>#N/A</v>
      </c>
      <c r="E399" s="584" t="e">
        <v>#N/A</v>
      </c>
      <c r="F399" s="3633" t="e">
        <v>#N/A</v>
      </c>
      <c r="G399" s="88" t="e">
        <v>#N/A</v>
      </c>
      <c r="H399" s="584" t="e">
        <v>#N/A</v>
      </c>
      <c r="I399" s="3633" t="e">
        <v>#N/A</v>
      </c>
      <c r="J399" s="88" t="e">
        <v>#N/A</v>
      </c>
      <c r="K399" s="584" t="e">
        <v>#N/A</v>
      </c>
      <c r="L399" s="3633" t="e">
        <v>#N/A</v>
      </c>
      <c r="M399" s="643" t="e">
        <v>#N/A</v>
      </c>
      <c r="N399" s="2376" t="e">
        <f t="shared" si="6"/>
        <v>#N/A</v>
      </c>
      <c r="O399" s="3633" t="e">
        <v>#N/A</v>
      </c>
      <c r="P399" s="3633" t="e">
        <v>#N/A</v>
      </c>
      <c r="Q399" s="643" t="e">
        <v>#N/A</v>
      </c>
      <c r="R399" s="3446" t="e">
        <v>#N/A</v>
      </c>
    </row>
    <row r="400" spans="1:18">
      <c r="A400" s="53">
        <f t="shared" si="7"/>
        <v>2026.07</v>
      </c>
      <c r="B400" s="49" t="e">
        <v>#N/A</v>
      </c>
      <c r="C400" s="3633" t="e">
        <v>#N/A</v>
      </c>
      <c r="D400" s="88" t="e">
        <v>#N/A</v>
      </c>
      <c r="E400" s="584" t="e">
        <v>#N/A</v>
      </c>
      <c r="F400" s="3633" t="e">
        <v>#N/A</v>
      </c>
      <c r="G400" s="88" t="e">
        <v>#N/A</v>
      </c>
      <c r="H400" s="584" t="e">
        <v>#N/A</v>
      </c>
      <c r="I400" s="3633" t="e">
        <v>#N/A</v>
      </c>
      <c r="J400" s="88" t="e">
        <v>#N/A</v>
      </c>
      <c r="K400" s="584" t="e">
        <v>#N/A</v>
      </c>
      <c r="L400" s="3633" t="e">
        <v>#N/A</v>
      </c>
      <c r="M400" s="643" t="e">
        <v>#N/A</v>
      </c>
      <c r="N400" s="2376" t="e">
        <f t="shared" si="6"/>
        <v>#N/A</v>
      </c>
      <c r="O400" s="3633" t="e">
        <v>#N/A</v>
      </c>
      <c r="P400" s="3633" t="e">
        <v>#N/A</v>
      </c>
      <c r="Q400" s="643" t="e">
        <v>#N/A</v>
      </c>
      <c r="R400" s="3446" t="e">
        <v>#N/A</v>
      </c>
    </row>
    <row r="401" spans="1:18">
      <c r="A401" s="53">
        <f t="shared" si="7"/>
        <v>2026.08</v>
      </c>
      <c r="B401" s="49" t="e">
        <v>#N/A</v>
      </c>
      <c r="C401" s="3633" t="e">
        <v>#N/A</v>
      </c>
      <c r="D401" s="88" t="e">
        <v>#N/A</v>
      </c>
      <c r="E401" s="584" t="e">
        <v>#N/A</v>
      </c>
      <c r="F401" s="3633" t="e">
        <v>#N/A</v>
      </c>
      <c r="G401" s="88" t="e">
        <v>#N/A</v>
      </c>
      <c r="H401" s="584" t="e">
        <v>#N/A</v>
      </c>
      <c r="I401" s="3633" t="e">
        <v>#N/A</v>
      </c>
      <c r="J401" s="88" t="e">
        <v>#N/A</v>
      </c>
      <c r="K401" s="584" t="e">
        <v>#N/A</v>
      </c>
      <c r="L401" s="3633" t="e">
        <v>#N/A</v>
      </c>
      <c r="M401" s="643" t="e">
        <v>#N/A</v>
      </c>
      <c r="N401" s="2376" t="e">
        <f t="shared" si="6"/>
        <v>#N/A</v>
      </c>
      <c r="O401" s="3633" t="e">
        <v>#N/A</v>
      </c>
      <c r="P401" s="3633" t="e">
        <v>#N/A</v>
      </c>
      <c r="Q401" s="643" t="e">
        <v>#N/A</v>
      </c>
      <c r="R401" s="3446" t="e">
        <v>#N/A</v>
      </c>
    </row>
    <row r="402" spans="1:18">
      <c r="A402" s="53">
        <f t="shared" si="7"/>
        <v>2026.09</v>
      </c>
      <c r="B402" s="49" t="e">
        <v>#N/A</v>
      </c>
      <c r="C402" s="3633" t="e">
        <v>#N/A</v>
      </c>
      <c r="D402" s="88" t="e">
        <v>#N/A</v>
      </c>
      <c r="E402" s="584" t="e">
        <v>#N/A</v>
      </c>
      <c r="F402" s="3633" t="e">
        <v>#N/A</v>
      </c>
      <c r="G402" s="88" t="e">
        <v>#N/A</v>
      </c>
      <c r="H402" s="584" t="e">
        <v>#N/A</v>
      </c>
      <c r="I402" s="3633" t="e">
        <v>#N/A</v>
      </c>
      <c r="J402" s="88" t="e">
        <v>#N/A</v>
      </c>
      <c r="K402" s="584" t="e">
        <v>#N/A</v>
      </c>
      <c r="L402" s="3633" t="e">
        <v>#N/A</v>
      </c>
      <c r="M402" s="643" t="e">
        <v>#N/A</v>
      </c>
      <c r="N402" s="2376" t="e">
        <f>SUM(O402:Q402)</f>
        <v>#N/A</v>
      </c>
      <c r="O402" s="3633" t="e">
        <v>#N/A</v>
      </c>
      <c r="P402" s="3633" t="e">
        <v>#N/A</v>
      </c>
      <c r="Q402" s="643" t="e">
        <v>#N/A</v>
      </c>
      <c r="R402" s="3446" t="e">
        <v>#N/A</v>
      </c>
    </row>
    <row r="403" spans="1:18">
      <c r="A403" s="53">
        <f t="shared" si="7"/>
        <v>2026.1</v>
      </c>
      <c r="B403" s="49" t="e">
        <v>#N/A</v>
      </c>
      <c r="C403" s="3633" t="e">
        <v>#N/A</v>
      </c>
      <c r="D403" s="88" t="e">
        <v>#N/A</v>
      </c>
      <c r="E403" s="584" t="e">
        <v>#N/A</v>
      </c>
      <c r="F403" s="3633" t="e">
        <v>#N/A</v>
      </c>
      <c r="G403" s="88" t="e">
        <v>#N/A</v>
      </c>
      <c r="H403" s="584" t="e">
        <v>#N/A</v>
      </c>
      <c r="I403" s="3633" t="e">
        <v>#N/A</v>
      </c>
      <c r="J403" s="88" t="e">
        <v>#N/A</v>
      </c>
      <c r="K403" s="584" t="e">
        <v>#N/A</v>
      </c>
      <c r="L403" s="3633" t="e">
        <v>#N/A</v>
      </c>
      <c r="M403" s="643" t="e">
        <v>#N/A</v>
      </c>
      <c r="N403" s="2376" t="e">
        <f t="shared" si="6"/>
        <v>#N/A</v>
      </c>
      <c r="O403" s="3633" t="e">
        <v>#N/A</v>
      </c>
      <c r="P403" s="3633" t="e">
        <v>#N/A</v>
      </c>
      <c r="Q403" s="643" t="e">
        <v>#N/A</v>
      </c>
      <c r="R403" s="3446" t="e">
        <v>#N/A</v>
      </c>
    </row>
    <row r="404" spans="1:18">
      <c r="A404" s="53">
        <f t="shared" si="7"/>
        <v>2026.11</v>
      </c>
      <c r="B404" s="49" t="e">
        <v>#N/A</v>
      </c>
      <c r="C404" s="3633" t="e">
        <v>#N/A</v>
      </c>
      <c r="D404" s="88" t="e">
        <v>#N/A</v>
      </c>
      <c r="E404" s="584" t="e">
        <v>#N/A</v>
      </c>
      <c r="F404" s="3633" t="e">
        <v>#N/A</v>
      </c>
      <c r="G404" s="88" t="e">
        <v>#N/A</v>
      </c>
      <c r="H404" s="584" t="e">
        <v>#N/A</v>
      </c>
      <c r="I404" s="3633" t="e">
        <v>#N/A</v>
      </c>
      <c r="J404" s="88" t="e">
        <v>#N/A</v>
      </c>
      <c r="K404" s="584" t="e">
        <v>#N/A</v>
      </c>
      <c r="L404" s="3633" t="e">
        <v>#N/A</v>
      </c>
      <c r="M404" s="643" t="e">
        <v>#N/A</v>
      </c>
      <c r="N404" s="2376" t="e">
        <f t="shared" si="6"/>
        <v>#N/A</v>
      </c>
      <c r="O404" s="3633" t="e">
        <v>#N/A</v>
      </c>
      <c r="P404" s="3633" t="e">
        <v>#N/A</v>
      </c>
      <c r="Q404" s="643" t="e">
        <v>#N/A</v>
      </c>
      <c r="R404" s="3446" t="e">
        <v>#N/A</v>
      </c>
    </row>
    <row r="405" spans="1:18">
      <c r="A405" s="53">
        <f t="shared" si="7"/>
        <v>2026.12</v>
      </c>
      <c r="B405" s="49" t="e">
        <v>#N/A</v>
      </c>
      <c r="C405" s="3633" t="e">
        <v>#N/A</v>
      </c>
      <c r="D405" s="88" t="e">
        <v>#N/A</v>
      </c>
      <c r="E405" s="584" t="e">
        <v>#N/A</v>
      </c>
      <c r="F405" s="3633" t="e">
        <v>#N/A</v>
      </c>
      <c r="G405" s="88" t="e">
        <v>#N/A</v>
      </c>
      <c r="H405" s="584" t="e">
        <v>#N/A</v>
      </c>
      <c r="I405" s="3633" t="e">
        <v>#N/A</v>
      </c>
      <c r="J405" s="88" t="e">
        <v>#N/A</v>
      </c>
      <c r="K405" s="584" t="e">
        <v>#N/A</v>
      </c>
      <c r="L405" s="3633" t="e">
        <v>#N/A</v>
      </c>
      <c r="M405" s="643" t="e">
        <v>#N/A</v>
      </c>
      <c r="N405" s="2376" t="e">
        <f t="shared" si="6"/>
        <v>#N/A</v>
      </c>
      <c r="O405" s="3633" t="e">
        <v>#N/A</v>
      </c>
      <c r="P405" s="3633" t="e">
        <v>#N/A</v>
      </c>
      <c r="Q405" s="643" t="e">
        <v>#N/A</v>
      </c>
      <c r="R405" s="3446" t="e">
        <v>#N/A</v>
      </c>
    </row>
    <row r="406" spans="1:18">
      <c r="A406" s="53">
        <f t="shared" si="7"/>
        <v>2027.01</v>
      </c>
      <c r="B406" s="49" t="e">
        <v>#N/A</v>
      </c>
      <c r="C406" s="3633" t="e">
        <v>#N/A</v>
      </c>
      <c r="D406" s="88" t="e">
        <v>#N/A</v>
      </c>
      <c r="E406" s="584" t="e">
        <v>#N/A</v>
      </c>
      <c r="F406" s="3633" t="e">
        <v>#N/A</v>
      </c>
      <c r="G406" s="88" t="e">
        <v>#N/A</v>
      </c>
      <c r="H406" s="584" t="e">
        <v>#N/A</v>
      </c>
      <c r="I406" s="3633" t="e">
        <v>#N/A</v>
      </c>
      <c r="J406" s="88" t="e">
        <v>#N/A</v>
      </c>
      <c r="K406" s="584" t="e">
        <v>#N/A</v>
      </c>
      <c r="L406" s="3633" t="e">
        <v>#N/A</v>
      </c>
      <c r="M406" s="643" t="e">
        <v>#N/A</v>
      </c>
      <c r="N406" s="2376" t="e">
        <f t="shared" si="6"/>
        <v>#N/A</v>
      </c>
      <c r="O406" s="3633" t="e">
        <v>#N/A</v>
      </c>
      <c r="P406" s="3633" t="e">
        <v>#N/A</v>
      </c>
      <c r="Q406" s="643" t="e">
        <v>#N/A</v>
      </c>
      <c r="R406" s="3446" t="e">
        <v>#N/A</v>
      </c>
    </row>
    <row r="407" spans="1:18">
      <c r="A407" s="53">
        <f t="shared" si="7"/>
        <v>2027.02</v>
      </c>
      <c r="B407" s="49" t="e">
        <v>#N/A</v>
      </c>
      <c r="C407" s="3633" t="e">
        <v>#N/A</v>
      </c>
      <c r="D407" s="88" t="e">
        <v>#N/A</v>
      </c>
      <c r="E407" s="584" t="e">
        <v>#N/A</v>
      </c>
      <c r="F407" s="3633" t="e">
        <v>#N/A</v>
      </c>
      <c r="G407" s="88" t="e">
        <v>#N/A</v>
      </c>
      <c r="H407" s="584" t="e">
        <v>#N/A</v>
      </c>
      <c r="I407" s="3633" t="e">
        <v>#N/A</v>
      </c>
      <c r="J407" s="88" t="e">
        <v>#N/A</v>
      </c>
      <c r="K407" s="584" t="e">
        <v>#N/A</v>
      </c>
      <c r="L407" s="3633" t="e">
        <v>#N/A</v>
      </c>
      <c r="M407" s="643" t="e">
        <v>#N/A</v>
      </c>
      <c r="N407" s="2376" t="e">
        <f t="shared" si="6"/>
        <v>#N/A</v>
      </c>
      <c r="O407" s="3633" t="e">
        <v>#N/A</v>
      </c>
      <c r="P407" s="3633" t="e">
        <v>#N/A</v>
      </c>
      <c r="Q407" s="643" t="e">
        <v>#N/A</v>
      </c>
      <c r="R407" s="3446" t="e">
        <v>#N/A</v>
      </c>
    </row>
    <row r="408" spans="1:18">
      <c r="A408" s="53">
        <f t="shared" si="7"/>
        <v>2027.03</v>
      </c>
      <c r="B408" s="49" t="e">
        <v>#N/A</v>
      </c>
      <c r="C408" s="3633" t="e">
        <v>#N/A</v>
      </c>
      <c r="D408" s="88" t="e">
        <v>#N/A</v>
      </c>
      <c r="E408" s="584" t="e">
        <v>#N/A</v>
      </c>
      <c r="F408" s="3633" t="e">
        <v>#N/A</v>
      </c>
      <c r="G408" s="88" t="e">
        <v>#N/A</v>
      </c>
      <c r="H408" s="584" t="e">
        <v>#N/A</v>
      </c>
      <c r="I408" s="3633" t="e">
        <v>#N/A</v>
      </c>
      <c r="J408" s="88" t="e">
        <v>#N/A</v>
      </c>
      <c r="K408" s="584" t="e">
        <v>#N/A</v>
      </c>
      <c r="L408" s="3633" t="e">
        <v>#N/A</v>
      </c>
      <c r="M408" s="643" t="e">
        <v>#N/A</v>
      </c>
      <c r="N408" s="2376" t="e">
        <f t="shared" si="6"/>
        <v>#N/A</v>
      </c>
      <c r="O408" s="3633" t="e">
        <v>#N/A</v>
      </c>
      <c r="P408" s="3633" t="e">
        <v>#N/A</v>
      </c>
      <c r="Q408" s="643" t="e">
        <v>#N/A</v>
      </c>
      <c r="R408" s="3446" t="e">
        <v>#N/A</v>
      </c>
    </row>
    <row r="409" spans="1:18">
      <c r="A409" s="53">
        <f t="shared" si="7"/>
        <v>2027.04</v>
      </c>
      <c r="B409" s="49" t="e">
        <v>#N/A</v>
      </c>
      <c r="C409" s="3633" t="e">
        <v>#N/A</v>
      </c>
      <c r="D409" s="88" t="e">
        <v>#N/A</v>
      </c>
      <c r="E409" s="584" t="e">
        <v>#N/A</v>
      </c>
      <c r="F409" s="3633" t="e">
        <v>#N/A</v>
      </c>
      <c r="G409" s="88" t="e">
        <v>#N/A</v>
      </c>
      <c r="H409" s="584" t="e">
        <v>#N/A</v>
      </c>
      <c r="I409" s="3633" t="e">
        <v>#N/A</v>
      </c>
      <c r="J409" s="88" t="e">
        <v>#N/A</v>
      </c>
      <c r="K409" s="584" t="e">
        <v>#N/A</v>
      </c>
      <c r="L409" s="3633" t="e">
        <v>#N/A</v>
      </c>
      <c r="M409" s="643" t="e">
        <v>#N/A</v>
      </c>
      <c r="N409" s="2376" t="e">
        <f t="shared" si="6"/>
        <v>#N/A</v>
      </c>
      <c r="O409" s="3633" t="e">
        <v>#N/A</v>
      </c>
      <c r="P409" s="3633" t="e">
        <v>#N/A</v>
      </c>
      <c r="Q409" s="643" t="e">
        <v>#N/A</v>
      </c>
      <c r="R409" s="3446" t="e">
        <v>#N/A</v>
      </c>
    </row>
    <row r="410" spans="1:18">
      <c r="A410" s="53">
        <f t="shared" si="7"/>
        <v>2027.05</v>
      </c>
      <c r="B410" s="49" t="e">
        <v>#N/A</v>
      </c>
      <c r="C410" s="3633" t="e">
        <v>#N/A</v>
      </c>
      <c r="D410" s="88" t="e">
        <v>#N/A</v>
      </c>
      <c r="E410" s="584" t="e">
        <v>#N/A</v>
      </c>
      <c r="F410" s="3633" t="e">
        <v>#N/A</v>
      </c>
      <c r="G410" s="88" t="e">
        <v>#N/A</v>
      </c>
      <c r="H410" s="584" t="e">
        <v>#N/A</v>
      </c>
      <c r="I410" s="3633" t="e">
        <v>#N/A</v>
      </c>
      <c r="J410" s="88" t="e">
        <v>#N/A</v>
      </c>
      <c r="K410" s="584" t="e">
        <v>#N/A</v>
      </c>
      <c r="L410" s="3633" t="e">
        <v>#N/A</v>
      </c>
      <c r="M410" s="643" t="e">
        <v>#N/A</v>
      </c>
      <c r="N410" s="2376" t="e">
        <f t="shared" si="6"/>
        <v>#N/A</v>
      </c>
      <c r="O410" s="3633" t="e">
        <v>#N/A</v>
      </c>
      <c r="P410" s="3633" t="e">
        <v>#N/A</v>
      </c>
      <c r="Q410" s="643" t="e">
        <v>#N/A</v>
      </c>
      <c r="R410" s="3446" t="e">
        <v>#N/A</v>
      </c>
    </row>
    <row r="411" spans="1:18">
      <c r="A411" s="53">
        <f t="shared" si="7"/>
        <v>2027.06</v>
      </c>
      <c r="B411" s="49" t="e">
        <v>#N/A</v>
      </c>
      <c r="C411" s="3633" t="e">
        <v>#N/A</v>
      </c>
      <c r="D411" s="88" t="e">
        <v>#N/A</v>
      </c>
      <c r="E411" s="584" t="e">
        <v>#N/A</v>
      </c>
      <c r="F411" s="3633" t="e">
        <v>#N/A</v>
      </c>
      <c r="G411" s="88" t="e">
        <v>#N/A</v>
      </c>
      <c r="H411" s="584" t="e">
        <v>#N/A</v>
      </c>
      <c r="I411" s="3633" t="e">
        <v>#N/A</v>
      </c>
      <c r="J411" s="88" t="e">
        <v>#N/A</v>
      </c>
      <c r="K411" s="584" t="e">
        <v>#N/A</v>
      </c>
      <c r="L411" s="3633" t="e">
        <v>#N/A</v>
      </c>
      <c r="M411" s="643" t="e">
        <v>#N/A</v>
      </c>
      <c r="N411" s="2376" t="e">
        <f t="shared" si="6"/>
        <v>#N/A</v>
      </c>
      <c r="O411" s="3633" t="e">
        <v>#N/A</v>
      </c>
      <c r="P411" s="3633" t="e">
        <v>#N/A</v>
      </c>
      <c r="Q411" s="643" t="e">
        <v>#N/A</v>
      </c>
      <c r="R411" s="3446" t="e">
        <v>#N/A</v>
      </c>
    </row>
    <row r="412" spans="1:18">
      <c r="A412" s="53">
        <f t="shared" si="7"/>
        <v>2027.07</v>
      </c>
      <c r="B412" s="49" t="e">
        <v>#N/A</v>
      </c>
      <c r="C412" s="3633" t="e">
        <v>#N/A</v>
      </c>
      <c r="D412" s="88" t="e">
        <v>#N/A</v>
      </c>
      <c r="E412" s="584" t="e">
        <v>#N/A</v>
      </c>
      <c r="F412" s="3633" t="e">
        <v>#N/A</v>
      </c>
      <c r="G412" s="88" t="e">
        <v>#N/A</v>
      </c>
      <c r="H412" s="584" t="e">
        <v>#N/A</v>
      </c>
      <c r="I412" s="3633" t="e">
        <v>#N/A</v>
      </c>
      <c r="J412" s="88" t="e">
        <v>#N/A</v>
      </c>
      <c r="K412" s="584" t="e">
        <v>#N/A</v>
      </c>
      <c r="L412" s="3633" t="e">
        <v>#N/A</v>
      </c>
      <c r="M412" s="643" t="e">
        <v>#N/A</v>
      </c>
      <c r="N412" s="2376" t="e">
        <f t="shared" si="6"/>
        <v>#N/A</v>
      </c>
      <c r="O412" s="3633" t="e">
        <v>#N/A</v>
      </c>
      <c r="P412" s="3633" t="e">
        <v>#N/A</v>
      </c>
      <c r="Q412" s="643" t="e">
        <v>#N/A</v>
      </c>
      <c r="R412" s="3446" t="e">
        <v>#N/A</v>
      </c>
    </row>
    <row r="413" spans="1:18">
      <c r="A413" s="53">
        <f t="shared" si="7"/>
        <v>2027.08</v>
      </c>
      <c r="B413" s="49" t="e">
        <v>#N/A</v>
      </c>
      <c r="C413" s="3633" t="e">
        <v>#N/A</v>
      </c>
      <c r="D413" s="88" t="e">
        <v>#N/A</v>
      </c>
      <c r="E413" s="584" t="e">
        <v>#N/A</v>
      </c>
      <c r="F413" s="3633" t="e">
        <v>#N/A</v>
      </c>
      <c r="G413" s="88" t="e">
        <v>#N/A</v>
      </c>
      <c r="H413" s="584" t="e">
        <v>#N/A</v>
      </c>
      <c r="I413" s="3633" t="e">
        <v>#N/A</v>
      </c>
      <c r="J413" s="88" t="e">
        <v>#N/A</v>
      </c>
      <c r="K413" s="584" t="e">
        <v>#N/A</v>
      </c>
      <c r="L413" s="3633" t="e">
        <v>#N/A</v>
      </c>
      <c r="M413" s="643" t="e">
        <v>#N/A</v>
      </c>
      <c r="N413" s="2376" t="e">
        <f t="shared" si="6"/>
        <v>#N/A</v>
      </c>
      <c r="O413" s="3633" t="e">
        <v>#N/A</v>
      </c>
      <c r="P413" s="3633" t="e">
        <v>#N/A</v>
      </c>
      <c r="Q413" s="643" t="e">
        <v>#N/A</v>
      </c>
      <c r="R413" s="3446" t="e">
        <v>#N/A</v>
      </c>
    </row>
    <row r="414" spans="1:18">
      <c r="A414" s="53">
        <f t="shared" si="7"/>
        <v>2027.09</v>
      </c>
      <c r="B414" s="49" t="e">
        <v>#N/A</v>
      </c>
      <c r="C414" s="3633" t="e">
        <v>#N/A</v>
      </c>
      <c r="D414" s="88" t="e">
        <v>#N/A</v>
      </c>
      <c r="E414" s="584" t="e">
        <v>#N/A</v>
      </c>
      <c r="F414" s="3633" t="e">
        <v>#N/A</v>
      </c>
      <c r="G414" s="88" t="e">
        <v>#N/A</v>
      </c>
      <c r="H414" s="584" t="e">
        <v>#N/A</v>
      </c>
      <c r="I414" s="3633" t="e">
        <v>#N/A</v>
      </c>
      <c r="J414" s="88" t="e">
        <v>#N/A</v>
      </c>
      <c r="K414" s="584" t="e">
        <v>#N/A</v>
      </c>
      <c r="L414" s="3633" t="e">
        <v>#N/A</v>
      </c>
      <c r="M414" s="643" t="e">
        <v>#N/A</v>
      </c>
      <c r="N414" s="2376" t="e">
        <f t="shared" si="6"/>
        <v>#N/A</v>
      </c>
      <c r="O414" s="3633" t="e">
        <v>#N/A</v>
      </c>
      <c r="P414" s="3633" t="e">
        <v>#N/A</v>
      </c>
      <c r="Q414" s="643" t="e">
        <v>#N/A</v>
      </c>
      <c r="R414" s="3446" t="e">
        <v>#N/A</v>
      </c>
    </row>
    <row r="415" spans="1:18">
      <c r="A415" s="53">
        <f t="shared" si="7"/>
        <v>2027.1</v>
      </c>
      <c r="B415" s="49" t="e">
        <v>#N/A</v>
      </c>
      <c r="C415" s="3633" t="e">
        <v>#N/A</v>
      </c>
      <c r="D415" s="88" t="e">
        <v>#N/A</v>
      </c>
      <c r="E415" s="584" t="e">
        <v>#N/A</v>
      </c>
      <c r="F415" s="3633" t="e">
        <v>#N/A</v>
      </c>
      <c r="G415" s="88" t="e">
        <v>#N/A</v>
      </c>
      <c r="H415" s="584" t="e">
        <v>#N/A</v>
      </c>
      <c r="I415" s="3633" t="e">
        <v>#N/A</v>
      </c>
      <c r="J415" s="88" t="e">
        <v>#N/A</v>
      </c>
      <c r="K415" s="584" t="e">
        <v>#N/A</v>
      </c>
      <c r="L415" s="3633" t="e">
        <v>#N/A</v>
      </c>
      <c r="M415" s="643" t="e">
        <v>#N/A</v>
      </c>
      <c r="N415" s="2376" t="e">
        <f t="shared" si="6"/>
        <v>#N/A</v>
      </c>
      <c r="O415" s="3633" t="e">
        <v>#N/A</v>
      </c>
      <c r="P415" s="3633" t="e">
        <v>#N/A</v>
      </c>
      <c r="Q415" s="643" t="e">
        <v>#N/A</v>
      </c>
      <c r="R415" s="3446" t="e">
        <v>#N/A</v>
      </c>
    </row>
    <row r="416" spans="1:18">
      <c r="A416" s="53">
        <f t="shared" si="7"/>
        <v>2027.11</v>
      </c>
      <c r="B416" s="49" t="e">
        <v>#N/A</v>
      </c>
      <c r="C416" s="3633" t="e">
        <v>#N/A</v>
      </c>
      <c r="D416" s="88" t="e">
        <v>#N/A</v>
      </c>
      <c r="E416" s="584" t="e">
        <v>#N/A</v>
      </c>
      <c r="F416" s="3633" t="e">
        <v>#N/A</v>
      </c>
      <c r="G416" s="88" t="e">
        <v>#N/A</v>
      </c>
      <c r="H416" s="584" t="e">
        <v>#N/A</v>
      </c>
      <c r="I416" s="3633" t="e">
        <v>#N/A</v>
      </c>
      <c r="J416" s="88" t="e">
        <v>#N/A</v>
      </c>
      <c r="K416" s="584" t="e">
        <v>#N/A</v>
      </c>
      <c r="L416" s="3633" t="e">
        <v>#N/A</v>
      </c>
      <c r="M416" s="643" t="e">
        <v>#N/A</v>
      </c>
      <c r="N416" s="2376" t="e">
        <f t="shared" si="6"/>
        <v>#N/A</v>
      </c>
      <c r="O416" s="3633" t="e">
        <v>#N/A</v>
      </c>
      <c r="P416" s="3633" t="e">
        <v>#N/A</v>
      </c>
      <c r="Q416" s="643" t="e">
        <v>#N/A</v>
      </c>
      <c r="R416" s="3446" t="e">
        <v>#N/A</v>
      </c>
    </row>
    <row r="417" spans="1:18">
      <c r="A417" s="53">
        <f t="shared" si="7"/>
        <v>2027.12</v>
      </c>
      <c r="B417" s="49" t="e">
        <v>#N/A</v>
      </c>
      <c r="C417" s="3633" t="e">
        <v>#N/A</v>
      </c>
      <c r="D417" s="88" t="e">
        <v>#N/A</v>
      </c>
      <c r="E417" s="584" t="e">
        <v>#N/A</v>
      </c>
      <c r="F417" s="3633" t="e">
        <v>#N/A</v>
      </c>
      <c r="G417" s="88" t="e">
        <v>#N/A</v>
      </c>
      <c r="H417" s="584" t="e">
        <v>#N/A</v>
      </c>
      <c r="I417" s="3633" t="e">
        <v>#N/A</v>
      </c>
      <c r="J417" s="88" t="e">
        <v>#N/A</v>
      </c>
      <c r="K417" s="584" t="e">
        <v>#N/A</v>
      </c>
      <c r="L417" s="3633" t="e">
        <v>#N/A</v>
      </c>
      <c r="M417" s="643" t="e">
        <v>#N/A</v>
      </c>
      <c r="N417" s="2376" t="e">
        <f t="shared" si="6"/>
        <v>#N/A</v>
      </c>
      <c r="O417" s="3633" t="e">
        <v>#N/A</v>
      </c>
      <c r="P417" s="3633" t="e">
        <v>#N/A</v>
      </c>
      <c r="Q417" s="643" t="e">
        <v>#N/A</v>
      </c>
      <c r="R417" s="3446" t="e">
        <v>#N/A</v>
      </c>
    </row>
    <row r="418" spans="1:18">
      <c r="A418" s="53">
        <f t="shared" si="7"/>
        <v>2028.01</v>
      </c>
      <c r="B418" s="49" t="e">
        <v>#N/A</v>
      </c>
      <c r="C418" s="3633" t="e">
        <v>#N/A</v>
      </c>
      <c r="D418" s="88" t="e">
        <v>#N/A</v>
      </c>
      <c r="E418" s="584" t="e">
        <v>#N/A</v>
      </c>
      <c r="F418" s="3633" t="e">
        <v>#N/A</v>
      </c>
      <c r="G418" s="88" t="e">
        <v>#N/A</v>
      </c>
      <c r="H418" s="584" t="e">
        <v>#N/A</v>
      </c>
      <c r="I418" s="3633" t="e">
        <v>#N/A</v>
      </c>
      <c r="J418" s="88" t="e">
        <v>#N/A</v>
      </c>
      <c r="K418" s="584" t="e">
        <v>#N/A</v>
      </c>
      <c r="L418" s="3633" t="e">
        <v>#N/A</v>
      </c>
      <c r="M418" s="643" t="e">
        <v>#N/A</v>
      </c>
      <c r="N418" s="2376" t="e">
        <f t="shared" si="6"/>
        <v>#N/A</v>
      </c>
      <c r="O418" s="3633" t="e">
        <v>#N/A</v>
      </c>
      <c r="P418" s="3633" t="e">
        <v>#N/A</v>
      </c>
      <c r="Q418" s="643" t="e">
        <v>#N/A</v>
      </c>
      <c r="R418" s="3446" t="e">
        <v>#N/A</v>
      </c>
    </row>
    <row r="419" spans="1:18">
      <c r="A419" s="53">
        <f t="shared" si="7"/>
        <v>2028.02</v>
      </c>
      <c r="B419" s="49" t="e">
        <v>#N/A</v>
      </c>
      <c r="C419" s="3633" t="e">
        <v>#N/A</v>
      </c>
      <c r="D419" s="88" t="e">
        <v>#N/A</v>
      </c>
      <c r="E419" s="584" t="e">
        <v>#N/A</v>
      </c>
      <c r="F419" s="3633" t="e">
        <v>#N/A</v>
      </c>
      <c r="G419" s="88" t="e">
        <v>#N/A</v>
      </c>
      <c r="H419" s="584" t="e">
        <v>#N/A</v>
      </c>
      <c r="I419" s="3633" t="e">
        <v>#N/A</v>
      </c>
      <c r="J419" s="88" t="e">
        <v>#N/A</v>
      </c>
      <c r="K419" s="584" t="e">
        <v>#N/A</v>
      </c>
      <c r="L419" s="3633" t="e">
        <v>#N/A</v>
      </c>
      <c r="M419" s="643" t="e">
        <v>#N/A</v>
      </c>
      <c r="N419" s="2376" t="e">
        <f t="shared" si="6"/>
        <v>#N/A</v>
      </c>
      <c r="O419" s="3633" t="e">
        <v>#N/A</v>
      </c>
      <c r="P419" s="3633" t="e">
        <v>#N/A</v>
      </c>
      <c r="Q419" s="643" t="e">
        <v>#N/A</v>
      </c>
      <c r="R419" s="3446" t="e">
        <v>#N/A</v>
      </c>
    </row>
    <row r="420" spans="1:18">
      <c r="A420" s="53">
        <f t="shared" si="7"/>
        <v>2028.03</v>
      </c>
      <c r="B420" s="49" t="e">
        <v>#N/A</v>
      </c>
      <c r="C420" s="3633" t="e">
        <v>#N/A</v>
      </c>
      <c r="D420" s="88" t="e">
        <v>#N/A</v>
      </c>
      <c r="E420" s="584" t="e">
        <v>#N/A</v>
      </c>
      <c r="F420" s="3633" t="e">
        <v>#N/A</v>
      </c>
      <c r="G420" s="88" t="e">
        <v>#N/A</v>
      </c>
      <c r="H420" s="584" t="e">
        <v>#N/A</v>
      </c>
      <c r="I420" s="3633" t="e">
        <v>#N/A</v>
      </c>
      <c r="J420" s="88" t="e">
        <v>#N/A</v>
      </c>
      <c r="K420" s="584" t="e">
        <v>#N/A</v>
      </c>
      <c r="L420" s="3633" t="e">
        <v>#N/A</v>
      </c>
      <c r="M420" s="643" t="e">
        <v>#N/A</v>
      </c>
      <c r="N420" s="2376" t="e">
        <f t="shared" si="6"/>
        <v>#N/A</v>
      </c>
      <c r="O420" s="3633" t="e">
        <v>#N/A</v>
      </c>
      <c r="P420" s="3633" t="e">
        <v>#N/A</v>
      </c>
      <c r="Q420" s="643" t="e">
        <v>#N/A</v>
      </c>
      <c r="R420" s="3446" t="e">
        <v>#N/A</v>
      </c>
    </row>
    <row r="421" spans="1:18">
      <c r="A421" s="53">
        <f t="shared" si="7"/>
        <v>2028.04</v>
      </c>
      <c r="B421" s="49" t="e">
        <v>#N/A</v>
      </c>
      <c r="C421" s="3633" t="e">
        <v>#N/A</v>
      </c>
      <c r="D421" s="88" t="e">
        <v>#N/A</v>
      </c>
      <c r="E421" s="584" t="e">
        <v>#N/A</v>
      </c>
      <c r="F421" s="3633" t="e">
        <v>#N/A</v>
      </c>
      <c r="G421" s="88" t="e">
        <v>#N/A</v>
      </c>
      <c r="H421" s="584" t="e">
        <v>#N/A</v>
      </c>
      <c r="I421" s="3633" t="e">
        <v>#N/A</v>
      </c>
      <c r="J421" s="88" t="e">
        <v>#N/A</v>
      </c>
      <c r="K421" s="584" t="e">
        <v>#N/A</v>
      </c>
      <c r="L421" s="3633" t="e">
        <v>#N/A</v>
      </c>
      <c r="M421" s="643" t="e">
        <v>#N/A</v>
      </c>
      <c r="N421" s="2376" t="e">
        <f t="shared" si="6"/>
        <v>#N/A</v>
      </c>
      <c r="O421" s="3633" t="e">
        <v>#N/A</v>
      </c>
      <c r="P421" s="3633" t="e">
        <v>#N/A</v>
      </c>
      <c r="Q421" s="643" t="e">
        <v>#N/A</v>
      </c>
      <c r="R421" s="3446" t="e">
        <v>#N/A</v>
      </c>
    </row>
    <row r="422" spans="1:18">
      <c r="A422" s="53">
        <f t="shared" si="7"/>
        <v>2028.05</v>
      </c>
      <c r="B422" s="49" t="e">
        <v>#N/A</v>
      </c>
      <c r="C422" s="3633" t="e">
        <v>#N/A</v>
      </c>
      <c r="D422" s="88" t="e">
        <v>#N/A</v>
      </c>
      <c r="E422" s="584" t="e">
        <v>#N/A</v>
      </c>
      <c r="F422" s="3633" t="e">
        <v>#N/A</v>
      </c>
      <c r="G422" s="88" t="e">
        <v>#N/A</v>
      </c>
      <c r="H422" s="584" t="e">
        <v>#N/A</v>
      </c>
      <c r="I422" s="3633" t="e">
        <v>#N/A</v>
      </c>
      <c r="J422" s="88" t="e">
        <v>#N/A</v>
      </c>
      <c r="K422" s="584" t="e">
        <v>#N/A</v>
      </c>
      <c r="L422" s="3633" t="e">
        <v>#N/A</v>
      </c>
      <c r="M422" s="643" t="e">
        <v>#N/A</v>
      </c>
      <c r="N422" s="2376" t="e">
        <f t="shared" si="6"/>
        <v>#N/A</v>
      </c>
      <c r="O422" s="3633" t="e">
        <v>#N/A</v>
      </c>
      <c r="P422" s="3633" t="e">
        <v>#N/A</v>
      </c>
      <c r="Q422" s="643" t="e">
        <v>#N/A</v>
      </c>
      <c r="R422" s="3446" t="e">
        <v>#N/A</v>
      </c>
    </row>
    <row r="423" spans="1:18">
      <c r="A423" s="53">
        <f t="shared" si="7"/>
        <v>2028.06</v>
      </c>
      <c r="B423" s="49" t="e">
        <v>#N/A</v>
      </c>
      <c r="C423" s="3633" t="e">
        <v>#N/A</v>
      </c>
      <c r="D423" s="88" t="e">
        <v>#N/A</v>
      </c>
      <c r="E423" s="584" t="e">
        <v>#N/A</v>
      </c>
      <c r="F423" s="3633" t="e">
        <v>#N/A</v>
      </c>
      <c r="G423" s="88" t="e">
        <v>#N/A</v>
      </c>
      <c r="H423" s="584" t="e">
        <v>#N/A</v>
      </c>
      <c r="I423" s="3633" t="e">
        <v>#N/A</v>
      </c>
      <c r="J423" s="88" t="e">
        <v>#N/A</v>
      </c>
      <c r="K423" s="584" t="e">
        <v>#N/A</v>
      </c>
      <c r="L423" s="3633" t="e">
        <v>#N/A</v>
      </c>
      <c r="M423" s="643" t="e">
        <v>#N/A</v>
      </c>
      <c r="N423" s="2376" t="e">
        <f t="shared" si="6"/>
        <v>#N/A</v>
      </c>
      <c r="O423" s="3633" t="e">
        <v>#N/A</v>
      </c>
      <c r="P423" s="3633" t="e">
        <v>#N/A</v>
      </c>
      <c r="Q423" s="643" t="e">
        <v>#N/A</v>
      </c>
      <c r="R423" s="3446" t="e">
        <v>#N/A</v>
      </c>
    </row>
    <row r="424" spans="1:18">
      <c r="A424" s="53">
        <f t="shared" si="7"/>
        <v>2028.07</v>
      </c>
      <c r="B424" s="49" t="e">
        <v>#N/A</v>
      </c>
      <c r="C424" s="3633" t="e">
        <v>#N/A</v>
      </c>
      <c r="D424" s="88" t="e">
        <v>#N/A</v>
      </c>
      <c r="E424" s="584" t="e">
        <v>#N/A</v>
      </c>
      <c r="F424" s="3633" t="e">
        <v>#N/A</v>
      </c>
      <c r="G424" s="88" t="e">
        <v>#N/A</v>
      </c>
      <c r="H424" s="584" t="e">
        <v>#N/A</v>
      </c>
      <c r="I424" s="3633" t="e">
        <v>#N/A</v>
      </c>
      <c r="J424" s="88" t="e">
        <v>#N/A</v>
      </c>
      <c r="K424" s="584" t="e">
        <v>#N/A</v>
      </c>
      <c r="L424" s="3633" t="e">
        <v>#N/A</v>
      </c>
      <c r="M424" s="643" t="e">
        <v>#N/A</v>
      </c>
      <c r="N424" s="2376" t="e">
        <f t="shared" si="6"/>
        <v>#N/A</v>
      </c>
      <c r="O424" s="3633" t="e">
        <v>#N/A</v>
      </c>
      <c r="P424" s="3633" t="e">
        <v>#N/A</v>
      </c>
      <c r="Q424" s="643" t="e">
        <v>#N/A</v>
      </c>
      <c r="R424" s="3446" t="e">
        <v>#N/A</v>
      </c>
    </row>
    <row r="425" spans="1:18">
      <c r="A425" s="53">
        <f t="shared" si="7"/>
        <v>2028.08</v>
      </c>
      <c r="B425" s="49" t="e">
        <v>#N/A</v>
      </c>
      <c r="C425" s="3633" t="e">
        <v>#N/A</v>
      </c>
      <c r="D425" s="88" t="e">
        <v>#N/A</v>
      </c>
      <c r="E425" s="584" t="e">
        <v>#N/A</v>
      </c>
      <c r="F425" s="3633" t="e">
        <v>#N/A</v>
      </c>
      <c r="G425" s="88" t="e">
        <v>#N/A</v>
      </c>
      <c r="H425" s="584" t="e">
        <v>#N/A</v>
      </c>
      <c r="I425" s="3633" t="e">
        <v>#N/A</v>
      </c>
      <c r="J425" s="88" t="e">
        <v>#N/A</v>
      </c>
      <c r="K425" s="584" t="e">
        <v>#N/A</v>
      </c>
      <c r="L425" s="3633" t="e">
        <v>#N/A</v>
      </c>
      <c r="M425" s="643" t="e">
        <v>#N/A</v>
      </c>
      <c r="N425" s="2376" t="e">
        <f t="shared" si="6"/>
        <v>#N/A</v>
      </c>
      <c r="O425" s="3633" t="e">
        <v>#N/A</v>
      </c>
      <c r="P425" s="3633" t="e">
        <v>#N/A</v>
      </c>
      <c r="Q425" s="643" t="e">
        <v>#N/A</v>
      </c>
      <c r="R425" s="3446" t="e">
        <v>#N/A</v>
      </c>
    </row>
    <row r="426" spans="1:18">
      <c r="A426" s="53">
        <f t="shared" si="7"/>
        <v>2028.09</v>
      </c>
      <c r="B426" s="49" t="e">
        <v>#N/A</v>
      </c>
      <c r="C426" s="3633" t="e">
        <v>#N/A</v>
      </c>
      <c r="D426" s="88" t="e">
        <v>#N/A</v>
      </c>
      <c r="E426" s="584" t="e">
        <v>#N/A</v>
      </c>
      <c r="F426" s="3633" t="e">
        <v>#N/A</v>
      </c>
      <c r="G426" s="88" t="e">
        <v>#N/A</v>
      </c>
      <c r="H426" s="584" t="e">
        <v>#N/A</v>
      </c>
      <c r="I426" s="3633" t="e">
        <v>#N/A</v>
      </c>
      <c r="J426" s="88" t="e">
        <v>#N/A</v>
      </c>
      <c r="K426" s="584" t="e">
        <v>#N/A</v>
      </c>
      <c r="L426" s="3633" t="e">
        <v>#N/A</v>
      </c>
      <c r="M426" s="643" t="e">
        <v>#N/A</v>
      </c>
      <c r="N426" s="2376" t="e">
        <f t="shared" si="6"/>
        <v>#N/A</v>
      </c>
      <c r="O426" s="3633" t="e">
        <v>#N/A</v>
      </c>
      <c r="P426" s="3633" t="e">
        <v>#N/A</v>
      </c>
      <c r="Q426" s="643" t="e">
        <v>#N/A</v>
      </c>
      <c r="R426" s="3446" t="e">
        <v>#N/A</v>
      </c>
    </row>
    <row r="427" spans="1:18">
      <c r="A427" s="53">
        <f t="shared" si="7"/>
        <v>2028.1</v>
      </c>
      <c r="B427" s="49" t="e">
        <v>#N/A</v>
      </c>
      <c r="C427" s="3633" t="e">
        <v>#N/A</v>
      </c>
      <c r="D427" s="88" t="e">
        <v>#N/A</v>
      </c>
      <c r="E427" s="584" t="e">
        <v>#N/A</v>
      </c>
      <c r="F427" s="3633" t="e">
        <v>#N/A</v>
      </c>
      <c r="G427" s="88" t="e">
        <v>#N/A</v>
      </c>
      <c r="H427" s="584" t="e">
        <v>#N/A</v>
      </c>
      <c r="I427" s="3633" t="e">
        <v>#N/A</v>
      </c>
      <c r="J427" s="88" t="e">
        <v>#N/A</v>
      </c>
      <c r="K427" s="584" t="e">
        <v>#N/A</v>
      </c>
      <c r="L427" s="3633" t="e">
        <v>#N/A</v>
      </c>
      <c r="M427" s="643" t="e">
        <v>#N/A</v>
      </c>
      <c r="N427" s="2376" t="e">
        <f t="shared" si="6"/>
        <v>#N/A</v>
      </c>
      <c r="O427" s="3633" t="e">
        <v>#N/A</v>
      </c>
      <c r="P427" s="3633" t="e">
        <v>#N/A</v>
      </c>
      <c r="Q427" s="643" t="e">
        <v>#N/A</v>
      </c>
      <c r="R427" s="3446" t="e">
        <v>#N/A</v>
      </c>
    </row>
    <row r="428" spans="1:18">
      <c r="A428" s="53">
        <f t="shared" si="7"/>
        <v>2028.11</v>
      </c>
      <c r="B428" s="49" t="e">
        <v>#N/A</v>
      </c>
      <c r="C428" s="3633" t="e">
        <v>#N/A</v>
      </c>
      <c r="D428" s="88" t="e">
        <v>#N/A</v>
      </c>
      <c r="E428" s="584" t="e">
        <v>#N/A</v>
      </c>
      <c r="F428" s="3633" t="e">
        <v>#N/A</v>
      </c>
      <c r="G428" s="88" t="e">
        <v>#N/A</v>
      </c>
      <c r="H428" s="584" t="e">
        <v>#N/A</v>
      </c>
      <c r="I428" s="3633" t="e">
        <v>#N/A</v>
      </c>
      <c r="J428" s="88" t="e">
        <v>#N/A</v>
      </c>
      <c r="K428" s="584" t="e">
        <v>#N/A</v>
      </c>
      <c r="L428" s="3633" t="e">
        <v>#N/A</v>
      </c>
      <c r="M428" s="643" t="e">
        <v>#N/A</v>
      </c>
      <c r="N428" s="2376" t="e">
        <f t="shared" si="6"/>
        <v>#N/A</v>
      </c>
      <c r="O428" s="3633" t="e">
        <v>#N/A</v>
      </c>
      <c r="P428" s="3633" t="e">
        <v>#N/A</v>
      </c>
      <c r="Q428" s="643" t="e">
        <v>#N/A</v>
      </c>
      <c r="R428" s="3446" t="e">
        <v>#N/A</v>
      </c>
    </row>
    <row r="429" spans="1:18">
      <c r="A429" s="53">
        <f t="shared" si="7"/>
        <v>2028.12</v>
      </c>
      <c r="B429" s="49" t="e">
        <v>#N/A</v>
      </c>
      <c r="C429" s="3633" t="e">
        <v>#N/A</v>
      </c>
      <c r="D429" s="88" t="e">
        <v>#N/A</v>
      </c>
      <c r="E429" s="584" t="e">
        <v>#N/A</v>
      </c>
      <c r="F429" s="3633" t="e">
        <v>#N/A</v>
      </c>
      <c r="G429" s="88" t="e">
        <v>#N/A</v>
      </c>
      <c r="H429" s="584" t="e">
        <v>#N/A</v>
      </c>
      <c r="I429" s="3633" t="e">
        <v>#N/A</v>
      </c>
      <c r="J429" s="88" t="e">
        <v>#N/A</v>
      </c>
      <c r="K429" s="584" t="e">
        <v>#N/A</v>
      </c>
      <c r="L429" s="3633" t="e">
        <v>#N/A</v>
      </c>
      <c r="M429" s="643" t="e">
        <v>#N/A</v>
      </c>
      <c r="N429" s="2376" t="e">
        <f t="shared" si="6"/>
        <v>#N/A</v>
      </c>
      <c r="O429" s="3633" t="e">
        <v>#N/A</v>
      </c>
      <c r="P429" s="3633" t="e">
        <v>#N/A</v>
      </c>
      <c r="Q429" s="643" t="e">
        <v>#N/A</v>
      </c>
      <c r="R429" s="3446" t="e">
        <v>#N/A</v>
      </c>
    </row>
    <row r="430" spans="1:18">
      <c r="A430" s="53">
        <f t="shared" si="7"/>
        <v>2029.01</v>
      </c>
      <c r="B430" s="49" t="e">
        <v>#N/A</v>
      </c>
      <c r="C430" s="3633" t="e">
        <v>#N/A</v>
      </c>
      <c r="D430" s="88" t="e">
        <v>#N/A</v>
      </c>
      <c r="E430" s="584" t="e">
        <v>#N/A</v>
      </c>
      <c r="F430" s="3633" t="e">
        <v>#N/A</v>
      </c>
      <c r="G430" s="88" t="e">
        <v>#N/A</v>
      </c>
      <c r="H430" s="584" t="e">
        <v>#N/A</v>
      </c>
      <c r="I430" s="3633" t="e">
        <v>#N/A</v>
      </c>
      <c r="J430" s="88" t="e">
        <v>#N/A</v>
      </c>
      <c r="K430" s="584" t="e">
        <v>#N/A</v>
      </c>
      <c r="L430" s="3633" t="e">
        <v>#N/A</v>
      </c>
      <c r="M430" s="643" t="e">
        <v>#N/A</v>
      </c>
      <c r="N430" s="2376" t="e">
        <f t="shared" si="6"/>
        <v>#N/A</v>
      </c>
      <c r="O430" s="3633" t="e">
        <v>#N/A</v>
      </c>
      <c r="P430" s="3633" t="e">
        <v>#N/A</v>
      </c>
      <c r="Q430" s="643" t="e">
        <v>#N/A</v>
      </c>
      <c r="R430" s="3446" t="e">
        <v>#N/A</v>
      </c>
    </row>
    <row r="431" spans="1:18">
      <c r="A431" s="53">
        <f t="shared" si="7"/>
        <v>2029.02</v>
      </c>
      <c r="B431" s="49" t="e">
        <v>#N/A</v>
      </c>
      <c r="C431" s="3633" t="e">
        <v>#N/A</v>
      </c>
      <c r="D431" s="88" t="e">
        <v>#N/A</v>
      </c>
      <c r="E431" s="584" t="e">
        <v>#N/A</v>
      </c>
      <c r="F431" s="3633" t="e">
        <v>#N/A</v>
      </c>
      <c r="G431" s="88" t="e">
        <v>#N/A</v>
      </c>
      <c r="H431" s="584" t="e">
        <v>#N/A</v>
      </c>
      <c r="I431" s="3633" t="e">
        <v>#N/A</v>
      </c>
      <c r="J431" s="88" t="e">
        <v>#N/A</v>
      </c>
      <c r="K431" s="584" t="e">
        <v>#N/A</v>
      </c>
      <c r="L431" s="3633" t="e">
        <v>#N/A</v>
      </c>
      <c r="M431" s="643" t="e">
        <v>#N/A</v>
      </c>
      <c r="N431" s="2376" t="e">
        <f t="shared" si="6"/>
        <v>#N/A</v>
      </c>
      <c r="O431" s="3633" t="e">
        <v>#N/A</v>
      </c>
      <c r="P431" s="3633" t="e">
        <v>#N/A</v>
      </c>
      <c r="Q431" s="643" t="e">
        <v>#N/A</v>
      </c>
      <c r="R431" s="3446" t="e">
        <v>#N/A</v>
      </c>
    </row>
    <row r="432" spans="1:18">
      <c r="A432" s="53">
        <f t="shared" si="7"/>
        <v>2029.03</v>
      </c>
      <c r="B432" s="49" t="e">
        <v>#N/A</v>
      </c>
      <c r="C432" s="3633" t="e">
        <v>#N/A</v>
      </c>
      <c r="D432" s="88" t="e">
        <v>#N/A</v>
      </c>
      <c r="E432" s="584" t="e">
        <v>#N/A</v>
      </c>
      <c r="F432" s="3633" t="e">
        <v>#N/A</v>
      </c>
      <c r="G432" s="88" t="e">
        <v>#N/A</v>
      </c>
      <c r="H432" s="584" t="e">
        <v>#N/A</v>
      </c>
      <c r="I432" s="3633" t="e">
        <v>#N/A</v>
      </c>
      <c r="J432" s="88" t="e">
        <v>#N/A</v>
      </c>
      <c r="K432" s="584" t="e">
        <v>#N/A</v>
      </c>
      <c r="L432" s="3633" t="e">
        <v>#N/A</v>
      </c>
      <c r="M432" s="643" t="e">
        <v>#N/A</v>
      </c>
      <c r="N432" s="2376" t="e">
        <f t="shared" si="6"/>
        <v>#N/A</v>
      </c>
      <c r="O432" s="3633" t="e">
        <v>#N/A</v>
      </c>
      <c r="P432" s="3633" t="e">
        <v>#N/A</v>
      </c>
      <c r="Q432" s="643" t="e">
        <v>#N/A</v>
      </c>
      <c r="R432" s="3446" t="e">
        <v>#N/A</v>
      </c>
    </row>
    <row r="433" spans="1:18">
      <c r="A433" s="53">
        <f t="shared" si="7"/>
        <v>2029.04</v>
      </c>
      <c r="B433" s="49" t="e">
        <v>#N/A</v>
      </c>
      <c r="C433" s="3633" t="e">
        <v>#N/A</v>
      </c>
      <c r="D433" s="88" t="e">
        <v>#N/A</v>
      </c>
      <c r="E433" s="584" t="e">
        <v>#N/A</v>
      </c>
      <c r="F433" s="3633" t="e">
        <v>#N/A</v>
      </c>
      <c r="G433" s="88" t="e">
        <v>#N/A</v>
      </c>
      <c r="H433" s="584" t="e">
        <v>#N/A</v>
      </c>
      <c r="I433" s="3633" t="e">
        <v>#N/A</v>
      </c>
      <c r="J433" s="88" t="e">
        <v>#N/A</v>
      </c>
      <c r="K433" s="584" t="e">
        <v>#N/A</v>
      </c>
      <c r="L433" s="3633" t="e">
        <v>#N/A</v>
      </c>
      <c r="M433" s="643" t="e">
        <v>#N/A</v>
      </c>
      <c r="N433" s="2376" t="e">
        <f t="shared" si="6"/>
        <v>#N/A</v>
      </c>
      <c r="O433" s="3633" t="e">
        <v>#N/A</v>
      </c>
      <c r="P433" s="3633" t="e">
        <v>#N/A</v>
      </c>
      <c r="Q433" s="643" t="e">
        <v>#N/A</v>
      </c>
      <c r="R433" s="3446" t="e">
        <v>#N/A</v>
      </c>
    </row>
    <row r="434" spans="1:18">
      <c r="A434" s="53">
        <f t="shared" si="7"/>
        <v>2029.05</v>
      </c>
      <c r="B434" s="49" t="e">
        <v>#N/A</v>
      </c>
      <c r="C434" s="3633" t="e">
        <v>#N/A</v>
      </c>
      <c r="D434" s="88" t="e">
        <v>#N/A</v>
      </c>
      <c r="E434" s="584" t="e">
        <v>#N/A</v>
      </c>
      <c r="F434" s="3633" t="e">
        <v>#N/A</v>
      </c>
      <c r="G434" s="88" t="e">
        <v>#N/A</v>
      </c>
      <c r="H434" s="584" t="e">
        <v>#N/A</v>
      </c>
      <c r="I434" s="3633" t="e">
        <v>#N/A</v>
      </c>
      <c r="J434" s="88" t="e">
        <v>#N/A</v>
      </c>
      <c r="K434" s="584" t="e">
        <v>#N/A</v>
      </c>
      <c r="L434" s="3633" t="e">
        <v>#N/A</v>
      </c>
      <c r="M434" s="643" t="e">
        <v>#N/A</v>
      </c>
      <c r="N434" s="2376" t="e">
        <f t="shared" si="6"/>
        <v>#N/A</v>
      </c>
      <c r="O434" s="3633" t="e">
        <v>#N/A</v>
      </c>
      <c r="P434" s="3633" t="e">
        <v>#N/A</v>
      </c>
      <c r="Q434" s="643" t="e">
        <v>#N/A</v>
      </c>
      <c r="R434" s="3446" t="e">
        <v>#N/A</v>
      </c>
    </row>
    <row r="435" spans="1:18">
      <c r="A435" s="53">
        <f t="shared" si="7"/>
        <v>2029.06</v>
      </c>
      <c r="B435" s="49" t="e">
        <v>#N/A</v>
      </c>
      <c r="C435" s="3633" t="e">
        <v>#N/A</v>
      </c>
      <c r="D435" s="88" t="e">
        <v>#N/A</v>
      </c>
      <c r="E435" s="584" t="e">
        <v>#N/A</v>
      </c>
      <c r="F435" s="3633" t="e">
        <v>#N/A</v>
      </c>
      <c r="G435" s="88" t="e">
        <v>#N/A</v>
      </c>
      <c r="H435" s="584" t="e">
        <v>#N/A</v>
      </c>
      <c r="I435" s="3633" t="e">
        <v>#N/A</v>
      </c>
      <c r="J435" s="88" t="e">
        <v>#N/A</v>
      </c>
      <c r="K435" s="584" t="e">
        <v>#N/A</v>
      </c>
      <c r="L435" s="3633" t="e">
        <v>#N/A</v>
      </c>
      <c r="M435" s="643" t="e">
        <v>#N/A</v>
      </c>
      <c r="N435" s="2376" t="e">
        <f t="shared" si="6"/>
        <v>#N/A</v>
      </c>
      <c r="O435" s="3633" t="e">
        <v>#N/A</v>
      </c>
      <c r="P435" s="3633" t="e">
        <v>#N/A</v>
      </c>
      <c r="Q435" s="643" t="e">
        <v>#N/A</v>
      </c>
      <c r="R435" s="3446" t="e">
        <v>#N/A</v>
      </c>
    </row>
    <row r="436" spans="1:18">
      <c r="A436" s="53">
        <f t="shared" si="7"/>
        <v>2029.07</v>
      </c>
      <c r="B436" s="49" t="e">
        <v>#N/A</v>
      </c>
      <c r="C436" s="3633" t="e">
        <v>#N/A</v>
      </c>
      <c r="D436" s="88" t="e">
        <v>#N/A</v>
      </c>
      <c r="E436" s="584" t="e">
        <v>#N/A</v>
      </c>
      <c r="F436" s="3633" t="e">
        <v>#N/A</v>
      </c>
      <c r="G436" s="88" t="e">
        <v>#N/A</v>
      </c>
      <c r="H436" s="584" t="e">
        <v>#N/A</v>
      </c>
      <c r="I436" s="3633" t="e">
        <v>#N/A</v>
      </c>
      <c r="J436" s="88" t="e">
        <v>#N/A</v>
      </c>
      <c r="K436" s="584" t="e">
        <v>#N/A</v>
      </c>
      <c r="L436" s="3633" t="e">
        <v>#N/A</v>
      </c>
      <c r="M436" s="643" t="e">
        <v>#N/A</v>
      </c>
      <c r="N436" s="2376" t="e">
        <f t="shared" si="6"/>
        <v>#N/A</v>
      </c>
      <c r="O436" s="3633" t="e">
        <v>#N/A</v>
      </c>
      <c r="P436" s="3633" t="e">
        <v>#N/A</v>
      </c>
      <c r="Q436" s="643" t="e">
        <v>#N/A</v>
      </c>
      <c r="R436" s="3446" t="e">
        <v>#N/A</v>
      </c>
    </row>
    <row r="437" spans="1:18">
      <c r="A437" s="53">
        <f t="shared" si="7"/>
        <v>2029.08</v>
      </c>
      <c r="B437" s="49" t="e">
        <v>#N/A</v>
      </c>
      <c r="C437" s="3633" t="e">
        <v>#N/A</v>
      </c>
      <c r="D437" s="88" t="e">
        <v>#N/A</v>
      </c>
      <c r="E437" s="584" t="e">
        <v>#N/A</v>
      </c>
      <c r="F437" s="3633" t="e">
        <v>#N/A</v>
      </c>
      <c r="G437" s="88" t="e">
        <v>#N/A</v>
      </c>
      <c r="H437" s="584" t="e">
        <v>#N/A</v>
      </c>
      <c r="I437" s="3633" t="e">
        <v>#N/A</v>
      </c>
      <c r="J437" s="88" t="e">
        <v>#N/A</v>
      </c>
      <c r="K437" s="584" t="e">
        <v>#N/A</v>
      </c>
      <c r="L437" s="3633" t="e">
        <v>#N/A</v>
      </c>
      <c r="M437" s="643" t="e">
        <v>#N/A</v>
      </c>
      <c r="N437" s="2376" t="e">
        <f t="shared" si="6"/>
        <v>#N/A</v>
      </c>
      <c r="O437" s="3633" t="e">
        <v>#N/A</v>
      </c>
      <c r="P437" s="3633" t="e">
        <v>#N/A</v>
      </c>
      <c r="Q437" s="643" t="e">
        <v>#N/A</v>
      </c>
      <c r="R437" s="3446" t="e">
        <v>#N/A</v>
      </c>
    </row>
    <row r="438" spans="1:18">
      <c r="A438" s="53">
        <f t="shared" si="7"/>
        <v>2029.09</v>
      </c>
      <c r="B438" s="49" t="e">
        <v>#N/A</v>
      </c>
      <c r="C438" s="3633" t="e">
        <v>#N/A</v>
      </c>
      <c r="D438" s="88" t="e">
        <v>#N/A</v>
      </c>
      <c r="E438" s="584" t="e">
        <v>#N/A</v>
      </c>
      <c r="F438" s="3633" t="e">
        <v>#N/A</v>
      </c>
      <c r="G438" s="88" t="e">
        <v>#N/A</v>
      </c>
      <c r="H438" s="584" t="e">
        <v>#N/A</v>
      </c>
      <c r="I438" s="3633" t="e">
        <v>#N/A</v>
      </c>
      <c r="J438" s="88" t="e">
        <v>#N/A</v>
      </c>
      <c r="K438" s="584" t="e">
        <v>#N/A</v>
      </c>
      <c r="L438" s="3633" t="e">
        <v>#N/A</v>
      </c>
      <c r="M438" s="643" t="e">
        <v>#N/A</v>
      </c>
      <c r="N438" s="2376" t="e">
        <f t="shared" si="6"/>
        <v>#N/A</v>
      </c>
      <c r="O438" s="3633" t="e">
        <v>#N/A</v>
      </c>
      <c r="P438" s="3633" t="e">
        <v>#N/A</v>
      </c>
      <c r="Q438" s="643" t="e">
        <v>#N/A</v>
      </c>
      <c r="R438" s="3446" t="e">
        <v>#N/A</v>
      </c>
    </row>
    <row r="439" spans="1:18">
      <c r="A439" s="53">
        <f t="shared" si="7"/>
        <v>2029.1</v>
      </c>
      <c r="B439" s="49" t="e">
        <v>#N/A</v>
      </c>
      <c r="C439" s="3633" t="e">
        <v>#N/A</v>
      </c>
      <c r="D439" s="88" t="e">
        <v>#N/A</v>
      </c>
      <c r="E439" s="584" t="e">
        <v>#N/A</v>
      </c>
      <c r="F439" s="3633" t="e">
        <v>#N/A</v>
      </c>
      <c r="G439" s="88" t="e">
        <v>#N/A</v>
      </c>
      <c r="H439" s="584" t="e">
        <v>#N/A</v>
      </c>
      <c r="I439" s="3633" t="e">
        <v>#N/A</v>
      </c>
      <c r="J439" s="88" t="e">
        <v>#N/A</v>
      </c>
      <c r="K439" s="584" t="e">
        <v>#N/A</v>
      </c>
      <c r="L439" s="3633" t="e">
        <v>#N/A</v>
      </c>
      <c r="M439" s="643" t="e">
        <v>#N/A</v>
      </c>
      <c r="N439" s="2376" t="e">
        <f t="shared" si="6"/>
        <v>#N/A</v>
      </c>
      <c r="O439" s="3633" t="e">
        <v>#N/A</v>
      </c>
      <c r="P439" s="3633" t="e">
        <v>#N/A</v>
      </c>
      <c r="Q439" s="643" t="e">
        <v>#N/A</v>
      </c>
      <c r="R439" s="3446" t="e">
        <v>#N/A</v>
      </c>
    </row>
    <row r="440" spans="1:18">
      <c r="A440" s="53">
        <f t="shared" si="7"/>
        <v>2029.11</v>
      </c>
      <c r="B440" s="49" t="e">
        <v>#N/A</v>
      </c>
      <c r="C440" s="3633" t="e">
        <v>#N/A</v>
      </c>
      <c r="D440" s="88" t="e">
        <v>#N/A</v>
      </c>
      <c r="E440" s="584" t="e">
        <v>#N/A</v>
      </c>
      <c r="F440" s="3633" t="e">
        <v>#N/A</v>
      </c>
      <c r="G440" s="88" t="e">
        <v>#N/A</v>
      </c>
      <c r="H440" s="584" t="e">
        <v>#N/A</v>
      </c>
      <c r="I440" s="3633" t="e">
        <v>#N/A</v>
      </c>
      <c r="J440" s="88" t="e">
        <v>#N/A</v>
      </c>
      <c r="K440" s="584" t="e">
        <v>#N/A</v>
      </c>
      <c r="L440" s="3633" t="e">
        <v>#N/A</v>
      </c>
      <c r="M440" s="643" t="e">
        <v>#N/A</v>
      </c>
      <c r="N440" s="2376" t="e">
        <f t="shared" si="6"/>
        <v>#N/A</v>
      </c>
      <c r="O440" s="3633" t="e">
        <v>#N/A</v>
      </c>
      <c r="P440" s="3633" t="e">
        <v>#N/A</v>
      </c>
      <c r="Q440" s="643" t="e">
        <v>#N/A</v>
      </c>
      <c r="R440" s="3446" t="e">
        <v>#N/A</v>
      </c>
    </row>
    <row r="441" spans="1:18">
      <c r="A441" s="53">
        <f t="shared" si="7"/>
        <v>2029.12</v>
      </c>
      <c r="B441" s="49" t="e">
        <v>#N/A</v>
      </c>
      <c r="C441" s="3633" t="e">
        <v>#N/A</v>
      </c>
      <c r="D441" s="88" t="e">
        <v>#N/A</v>
      </c>
      <c r="E441" s="584" t="e">
        <v>#N/A</v>
      </c>
      <c r="F441" s="3633" t="e">
        <v>#N/A</v>
      </c>
      <c r="G441" s="88" t="e">
        <v>#N/A</v>
      </c>
      <c r="H441" s="584" t="e">
        <v>#N/A</v>
      </c>
      <c r="I441" s="3633" t="e">
        <v>#N/A</v>
      </c>
      <c r="J441" s="88" t="e">
        <v>#N/A</v>
      </c>
      <c r="K441" s="584" t="e">
        <v>#N/A</v>
      </c>
      <c r="L441" s="3633" t="e">
        <v>#N/A</v>
      </c>
      <c r="M441" s="643" t="e">
        <v>#N/A</v>
      </c>
      <c r="N441" s="2376" t="e">
        <f t="shared" si="6"/>
        <v>#N/A</v>
      </c>
      <c r="O441" s="3633" t="e">
        <v>#N/A</v>
      </c>
      <c r="P441" s="3633" t="e">
        <v>#N/A</v>
      </c>
      <c r="Q441" s="643" t="e">
        <v>#N/A</v>
      </c>
      <c r="R441" s="3446" t="e">
        <v>#N/A</v>
      </c>
    </row>
    <row r="442" spans="1:18">
      <c r="A442" s="53">
        <f t="shared" si="7"/>
        <v>2030.01</v>
      </c>
      <c r="B442" s="49" t="e">
        <v>#N/A</v>
      </c>
      <c r="C442" s="3633" t="e">
        <v>#N/A</v>
      </c>
      <c r="D442" s="88" t="e">
        <v>#N/A</v>
      </c>
      <c r="E442" s="584" t="e">
        <v>#N/A</v>
      </c>
      <c r="F442" s="3633" t="e">
        <v>#N/A</v>
      </c>
      <c r="G442" s="88" t="e">
        <v>#N/A</v>
      </c>
      <c r="H442" s="584" t="e">
        <v>#N/A</v>
      </c>
      <c r="I442" s="3633" t="e">
        <v>#N/A</v>
      </c>
      <c r="J442" s="88" t="e">
        <v>#N/A</v>
      </c>
      <c r="K442" s="584" t="e">
        <v>#N/A</v>
      </c>
      <c r="L442" s="3633" t="e">
        <v>#N/A</v>
      </c>
      <c r="M442" s="643" t="e">
        <v>#N/A</v>
      </c>
      <c r="N442" s="2376" t="e">
        <f t="shared" si="6"/>
        <v>#N/A</v>
      </c>
      <c r="O442" s="3633" t="e">
        <v>#N/A</v>
      </c>
      <c r="P442" s="3633" t="e">
        <v>#N/A</v>
      </c>
      <c r="Q442" s="643" t="e">
        <v>#N/A</v>
      </c>
      <c r="R442" s="3446" t="e">
        <v>#N/A</v>
      </c>
    </row>
    <row r="443" spans="1:18">
      <c r="A443" s="53">
        <f t="shared" si="7"/>
        <v>2030.02</v>
      </c>
      <c r="B443" s="49" t="e">
        <v>#N/A</v>
      </c>
      <c r="C443" s="3633" t="e">
        <v>#N/A</v>
      </c>
      <c r="D443" s="88" t="e">
        <v>#N/A</v>
      </c>
      <c r="E443" s="584" t="e">
        <v>#N/A</v>
      </c>
      <c r="F443" s="3633" t="e">
        <v>#N/A</v>
      </c>
      <c r="G443" s="88" t="e">
        <v>#N/A</v>
      </c>
      <c r="H443" s="584" t="e">
        <v>#N/A</v>
      </c>
      <c r="I443" s="3633" t="e">
        <v>#N/A</v>
      </c>
      <c r="J443" s="88" t="e">
        <v>#N/A</v>
      </c>
      <c r="K443" s="584" t="e">
        <v>#N/A</v>
      </c>
      <c r="L443" s="3633" t="e">
        <v>#N/A</v>
      </c>
      <c r="M443" s="643" t="e">
        <v>#N/A</v>
      </c>
      <c r="N443" s="2376" t="e">
        <f t="shared" ref="N443:N453" si="8">SUM(O443:Q443)</f>
        <v>#N/A</v>
      </c>
      <c r="O443" s="3633" t="e">
        <v>#N/A</v>
      </c>
      <c r="P443" s="3633" t="e">
        <v>#N/A</v>
      </c>
      <c r="Q443" s="643" t="e">
        <v>#N/A</v>
      </c>
      <c r="R443" s="3446" t="e">
        <v>#N/A</v>
      </c>
    </row>
    <row r="444" spans="1:18">
      <c r="A444" s="53">
        <f t="shared" si="7"/>
        <v>2030.03</v>
      </c>
      <c r="B444" s="49" t="e">
        <v>#N/A</v>
      </c>
      <c r="C444" s="3633" t="e">
        <v>#N/A</v>
      </c>
      <c r="D444" s="88" t="e">
        <v>#N/A</v>
      </c>
      <c r="E444" s="584" t="e">
        <v>#N/A</v>
      </c>
      <c r="F444" s="3633" t="e">
        <v>#N/A</v>
      </c>
      <c r="G444" s="88" t="e">
        <v>#N/A</v>
      </c>
      <c r="H444" s="584" t="e">
        <v>#N/A</v>
      </c>
      <c r="I444" s="3633" t="e">
        <v>#N/A</v>
      </c>
      <c r="J444" s="88" t="e">
        <v>#N/A</v>
      </c>
      <c r="K444" s="584" t="e">
        <v>#N/A</v>
      </c>
      <c r="L444" s="3633" t="e">
        <v>#N/A</v>
      </c>
      <c r="M444" s="643" t="e">
        <v>#N/A</v>
      </c>
      <c r="N444" s="2376" t="e">
        <f t="shared" si="8"/>
        <v>#N/A</v>
      </c>
      <c r="O444" s="3633" t="e">
        <v>#N/A</v>
      </c>
      <c r="P444" s="3633" t="e">
        <v>#N/A</v>
      </c>
      <c r="Q444" s="643" t="e">
        <v>#N/A</v>
      </c>
      <c r="R444" s="3446" t="e">
        <v>#N/A</v>
      </c>
    </row>
    <row r="445" spans="1:18">
      <c r="A445" s="53">
        <f t="shared" si="7"/>
        <v>2030.04</v>
      </c>
      <c r="B445" s="49" t="e">
        <v>#N/A</v>
      </c>
      <c r="C445" s="3633" t="e">
        <v>#N/A</v>
      </c>
      <c r="D445" s="88" t="e">
        <v>#N/A</v>
      </c>
      <c r="E445" s="584" t="e">
        <v>#N/A</v>
      </c>
      <c r="F445" s="3633" t="e">
        <v>#N/A</v>
      </c>
      <c r="G445" s="88" t="e">
        <v>#N/A</v>
      </c>
      <c r="H445" s="584" t="e">
        <v>#N/A</v>
      </c>
      <c r="I445" s="3633" t="e">
        <v>#N/A</v>
      </c>
      <c r="J445" s="88" t="e">
        <v>#N/A</v>
      </c>
      <c r="K445" s="584" t="e">
        <v>#N/A</v>
      </c>
      <c r="L445" s="3633" t="e">
        <v>#N/A</v>
      </c>
      <c r="M445" s="643" t="e">
        <v>#N/A</v>
      </c>
      <c r="N445" s="2376" t="e">
        <f t="shared" si="8"/>
        <v>#N/A</v>
      </c>
      <c r="O445" s="3633" t="e">
        <v>#N/A</v>
      </c>
      <c r="P445" s="3633" t="e">
        <v>#N/A</v>
      </c>
      <c r="Q445" s="643" t="e">
        <v>#N/A</v>
      </c>
      <c r="R445" s="3446" t="e">
        <v>#N/A</v>
      </c>
    </row>
    <row r="446" spans="1:18">
      <c r="A446" s="53">
        <f t="shared" si="7"/>
        <v>2030.05</v>
      </c>
      <c r="B446" s="49" t="e">
        <v>#N/A</v>
      </c>
      <c r="C446" s="3633" t="e">
        <v>#N/A</v>
      </c>
      <c r="D446" s="88" t="e">
        <v>#N/A</v>
      </c>
      <c r="E446" s="584" t="e">
        <v>#N/A</v>
      </c>
      <c r="F446" s="3633" t="e">
        <v>#N/A</v>
      </c>
      <c r="G446" s="88" t="e">
        <v>#N/A</v>
      </c>
      <c r="H446" s="584" t="e">
        <v>#N/A</v>
      </c>
      <c r="I446" s="3633" t="e">
        <v>#N/A</v>
      </c>
      <c r="J446" s="88" t="e">
        <v>#N/A</v>
      </c>
      <c r="K446" s="584" t="e">
        <v>#N/A</v>
      </c>
      <c r="L446" s="3633" t="e">
        <v>#N/A</v>
      </c>
      <c r="M446" s="643" t="e">
        <v>#N/A</v>
      </c>
      <c r="N446" s="2376" t="e">
        <f t="shared" si="8"/>
        <v>#N/A</v>
      </c>
      <c r="O446" s="3633" t="e">
        <v>#N/A</v>
      </c>
      <c r="P446" s="3633" t="e">
        <v>#N/A</v>
      </c>
      <c r="Q446" s="643" t="e">
        <v>#N/A</v>
      </c>
      <c r="R446" s="3446" t="e">
        <v>#N/A</v>
      </c>
    </row>
    <row r="447" spans="1:18">
      <c r="A447" s="53">
        <f t="shared" si="7"/>
        <v>2030.06</v>
      </c>
      <c r="B447" s="49" t="e">
        <v>#N/A</v>
      </c>
      <c r="C447" s="3633" t="e">
        <v>#N/A</v>
      </c>
      <c r="D447" s="88" t="e">
        <v>#N/A</v>
      </c>
      <c r="E447" s="584" t="e">
        <v>#N/A</v>
      </c>
      <c r="F447" s="3633" t="e">
        <v>#N/A</v>
      </c>
      <c r="G447" s="88" t="e">
        <v>#N/A</v>
      </c>
      <c r="H447" s="584" t="e">
        <v>#N/A</v>
      </c>
      <c r="I447" s="3633" t="e">
        <v>#N/A</v>
      </c>
      <c r="J447" s="88" t="e">
        <v>#N/A</v>
      </c>
      <c r="K447" s="584" t="e">
        <v>#N/A</v>
      </c>
      <c r="L447" s="3633" t="e">
        <v>#N/A</v>
      </c>
      <c r="M447" s="643" t="e">
        <v>#N/A</v>
      </c>
      <c r="N447" s="2376" t="e">
        <f t="shared" si="8"/>
        <v>#N/A</v>
      </c>
      <c r="O447" s="3633" t="e">
        <v>#N/A</v>
      </c>
      <c r="P447" s="3633" t="e">
        <v>#N/A</v>
      </c>
      <c r="Q447" s="643" t="e">
        <v>#N/A</v>
      </c>
      <c r="R447" s="3446" t="e">
        <v>#N/A</v>
      </c>
    </row>
    <row r="448" spans="1:18">
      <c r="A448" s="53">
        <f t="shared" si="7"/>
        <v>2030.07</v>
      </c>
      <c r="B448" s="49" t="e">
        <v>#N/A</v>
      </c>
      <c r="C448" s="3633" t="e">
        <v>#N/A</v>
      </c>
      <c r="D448" s="88" t="e">
        <v>#N/A</v>
      </c>
      <c r="E448" s="584" t="e">
        <v>#N/A</v>
      </c>
      <c r="F448" s="3633" t="e">
        <v>#N/A</v>
      </c>
      <c r="G448" s="88" t="e">
        <v>#N/A</v>
      </c>
      <c r="H448" s="584" t="e">
        <v>#N/A</v>
      </c>
      <c r="I448" s="3633" t="e">
        <v>#N/A</v>
      </c>
      <c r="J448" s="88" t="e">
        <v>#N/A</v>
      </c>
      <c r="K448" s="584" t="e">
        <v>#N/A</v>
      </c>
      <c r="L448" s="3633" t="e">
        <v>#N/A</v>
      </c>
      <c r="M448" s="643" t="e">
        <v>#N/A</v>
      </c>
      <c r="N448" s="2376" t="e">
        <f t="shared" si="8"/>
        <v>#N/A</v>
      </c>
      <c r="O448" s="3633" t="e">
        <v>#N/A</v>
      </c>
      <c r="P448" s="3633" t="e">
        <v>#N/A</v>
      </c>
      <c r="Q448" s="643" t="e">
        <v>#N/A</v>
      </c>
      <c r="R448" s="3446" t="e">
        <v>#N/A</v>
      </c>
    </row>
    <row r="449" spans="1:18">
      <c r="A449" s="53">
        <f t="shared" si="7"/>
        <v>2030.08</v>
      </c>
      <c r="B449" s="49" t="e">
        <v>#N/A</v>
      </c>
      <c r="C449" s="3633" t="e">
        <v>#N/A</v>
      </c>
      <c r="D449" s="88" t="e">
        <v>#N/A</v>
      </c>
      <c r="E449" s="584" t="e">
        <v>#N/A</v>
      </c>
      <c r="F449" s="3633" t="e">
        <v>#N/A</v>
      </c>
      <c r="G449" s="88" t="e">
        <v>#N/A</v>
      </c>
      <c r="H449" s="584" t="e">
        <v>#N/A</v>
      </c>
      <c r="I449" s="3633" t="e">
        <v>#N/A</v>
      </c>
      <c r="J449" s="88" t="e">
        <v>#N/A</v>
      </c>
      <c r="K449" s="584" t="e">
        <v>#N/A</v>
      </c>
      <c r="L449" s="3633" t="e">
        <v>#N/A</v>
      </c>
      <c r="M449" s="643" t="e">
        <v>#N/A</v>
      </c>
      <c r="N449" s="2376" t="e">
        <f t="shared" si="8"/>
        <v>#N/A</v>
      </c>
      <c r="O449" s="3633" t="e">
        <v>#N/A</v>
      </c>
      <c r="P449" s="3633" t="e">
        <v>#N/A</v>
      </c>
      <c r="Q449" s="643" t="e">
        <v>#N/A</v>
      </c>
      <c r="R449" s="3446" t="e">
        <v>#N/A</v>
      </c>
    </row>
    <row r="450" spans="1:18">
      <c r="A450" s="53">
        <f t="shared" si="7"/>
        <v>2030.09</v>
      </c>
      <c r="B450" s="49" t="e">
        <v>#N/A</v>
      </c>
      <c r="C450" s="3633" t="e">
        <v>#N/A</v>
      </c>
      <c r="D450" s="88" t="e">
        <v>#N/A</v>
      </c>
      <c r="E450" s="584" t="e">
        <v>#N/A</v>
      </c>
      <c r="F450" s="3633" t="e">
        <v>#N/A</v>
      </c>
      <c r="G450" s="88" t="e">
        <v>#N/A</v>
      </c>
      <c r="H450" s="584" t="e">
        <v>#N/A</v>
      </c>
      <c r="I450" s="3633" t="e">
        <v>#N/A</v>
      </c>
      <c r="J450" s="88" t="e">
        <v>#N/A</v>
      </c>
      <c r="K450" s="584" t="e">
        <v>#N/A</v>
      </c>
      <c r="L450" s="3633" t="e">
        <v>#N/A</v>
      </c>
      <c r="M450" s="643" t="e">
        <v>#N/A</v>
      </c>
      <c r="N450" s="2376" t="e">
        <f t="shared" si="8"/>
        <v>#N/A</v>
      </c>
      <c r="O450" s="3633" t="e">
        <v>#N/A</v>
      </c>
      <c r="P450" s="3633" t="e">
        <v>#N/A</v>
      </c>
      <c r="Q450" s="643" t="e">
        <v>#N/A</v>
      </c>
      <c r="R450" s="3446" t="e">
        <v>#N/A</v>
      </c>
    </row>
    <row r="451" spans="1:18">
      <c r="A451" s="53">
        <f t="shared" si="7"/>
        <v>2030.1</v>
      </c>
      <c r="B451" s="49" t="e">
        <v>#N/A</v>
      </c>
      <c r="C451" s="3633" t="e">
        <v>#N/A</v>
      </c>
      <c r="D451" s="88" t="e">
        <v>#N/A</v>
      </c>
      <c r="E451" s="584" t="e">
        <v>#N/A</v>
      </c>
      <c r="F451" s="3633" t="e">
        <v>#N/A</v>
      </c>
      <c r="G451" s="88" t="e">
        <v>#N/A</v>
      </c>
      <c r="H451" s="584" t="e">
        <v>#N/A</v>
      </c>
      <c r="I451" s="3633" t="e">
        <v>#N/A</v>
      </c>
      <c r="J451" s="88" t="e">
        <v>#N/A</v>
      </c>
      <c r="K451" s="584" t="e">
        <v>#N/A</v>
      </c>
      <c r="L451" s="3633" t="e">
        <v>#N/A</v>
      </c>
      <c r="M451" s="643" t="e">
        <v>#N/A</v>
      </c>
      <c r="N451" s="2376" t="e">
        <f t="shared" si="8"/>
        <v>#N/A</v>
      </c>
      <c r="O451" s="3633" t="e">
        <v>#N/A</v>
      </c>
      <c r="P451" s="3633" t="e">
        <v>#N/A</v>
      </c>
      <c r="Q451" s="643" t="e">
        <v>#N/A</v>
      </c>
      <c r="R451" s="3446" t="e">
        <v>#N/A</v>
      </c>
    </row>
    <row r="452" spans="1:18">
      <c r="A452" s="53">
        <f t="shared" si="7"/>
        <v>2030.11</v>
      </c>
      <c r="B452" s="49" t="e">
        <v>#N/A</v>
      </c>
      <c r="C452" s="3633" t="e">
        <v>#N/A</v>
      </c>
      <c r="D452" s="88" t="e">
        <v>#N/A</v>
      </c>
      <c r="E452" s="584" t="e">
        <v>#N/A</v>
      </c>
      <c r="F452" s="3633" t="e">
        <v>#N/A</v>
      </c>
      <c r="G452" s="88" t="e">
        <v>#N/A</v>
      </c>
      <c r="H452" s="584" t="e">
        <v>#N/A</v>
      </c>
      <c r="I452" s="3633" t="e">
        <v>#N/A</v>
      </c>
      <c r="J452" s="88" t="e">
        <v>#N/A</v>
      </c>
      <c r="K452" s="584" t="e">
        <v>#N/A</v>
      </c>
      <c r="L452" s="3633" t="e">
        <v>#N/A</v>
      </c>
      <c r="M452" s="643" t="e">
        <v>#N/A</v>
      </c>
      <c r="N452" s="2376" t="e">
        <f t="shared" si="8"/>
        <v>#N/A</v>
      </c>
      <c r="O452" s="3633" t="e">
        <v>#N/A</v>
      </c>
      <c r="P452" s="3633" t="e">
        <v>#N/A</v>
      </c>
      <c r="Q452" s="643" t="e">
        <v>#N/A</v>
      </c>
      <c r="R452" s="3446" t="e">
        <v>#N/A</v>
      </c>
    </row>
    <row r="453" spans="1:18">
      <c r="A453" s="53">
        <f t="shared" si="7"/>
        <v>2030.12</v>
      </c>
      <c r="B453" s="49" t="e">
        <v>#N/A</v>
      </c>
      <c r="C453" s="3633" t="e">
        <v>#N/A</v>
      </c>
      <c r="D453" s="88" t="e">
        <v>#N/A</v>
      </c>
      <c r="E453" s="584" t="e">
        <v>#N/A</v>
      </c>
      <c r="F453" s="3633" t="e">
        <v>#N/A</v>
      </c>
      <c r="G453" s="88" t="e">
        <v>#N/A</v>
      </c>
      <c r="H453" s="584" t="e">
        <v>#N/A</v>
      </c>
      <c r="I453" s="3633" t="e">
        <v>#N/A</v>
      </c>
      <c r="J453" s="88" t="e">
        <v>#N/A</v>
      </c>
      <c r="K453" s="584" t="e">
        <v>#N/A</v>
      </c>
      <c r="L453" s="3633" t="e">
        <v>#N/A</v>
      </c>
      <c r="M453" s="643" t="e">
        <v>#N/A</v>
      </c>
      <c r="N453" s="2376" t="e">
        <f t="shared" si="8"/>
        <v>#N/A</v>
      </c>
      <c r="O453" s="3633" t="e">
        <v>#N/A</v>
      </c>
      <c r="P453" s="3633" t="e">
        <v>#N/A</v>
      </c>
      <c r="Q453" s="643" t="e">
        <v>#N/A</v>
      </c>
      <c r="R453" s="3446" t="e">
        <v>#N/A</v>
      </c>
    </row>
  </sheetData>
  <phoneticPr fontId="0" type="noConversion"/>
  <hyperlinks>
    <hyperlink ref="A5" location="INDICE!A13" display="VOLVER AL INDICE" xr:uid="{00000000-0004-0000-1A00-000000000000}"/>
  </hyperlinks>
  <pageMargins left="0.75" right="0.75" top="1" bottom="1" header="0" footer="0"/>
  <pageSetup paperSize="9" orientation="portrait" horizontalDpi="300" verticalDpi="300" r:id="rId1"/>
  <headerFooter alignWithMargins="0"/>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52"/>
  <dimension ref="A1:P333"/>
  <sheetViews>
    <sheetView workbookViewId="0">
      <pane xSplit="1" ySplit="9" topLeftCell="G93" activePane="bottomRight" state="frozen"/>
      <selection pane="topRight" activeCell="B1" sqref="B1"/>
      <selection pane="bottomLeft" activeCell="A10" sqref="A10"/>
      <selection pane="bottomRight" activeCell="A5" sqref="A5"/>
    </sheetView>
  </sheetViews>
  <sheetFormatPr baseColWidth="10" defaultColWidth="11.42578125" defaultRowHeight="12.75"/>
  <cols>
    <col min="1" max="1" width="10.42578125" style="21" bestFit="1" customWidth="1"/>
    <col min="2" max="9" width="13.42578125" style="832" customWidth="1"/>
    <col min="10" max="13" width="11.42578125" style="832"/>
    <col min="14" max="16384" width="11.42578125" style="300"/>
  </cols>
  <sheetData>
    <row r="1" spans="1:13" ht="5.25" customHeight="1">
      <c r="A1" s="2761"/>
      <c r="B1" s="300"/>
      <c r="C1" s="300"/>
      <c r="D1" s="300"/>
      <c r="E1" s="1358"/>
      <c r="F1" s="300"/>
      <c r="G1" s="300"/>
      <c r="H1" s="300"/>
      <c r="I1" s="311"/>
      <c r="J1" s="300"/>
      <c r="K1" s="300"/>
      <c r="L1" s="300"/>
      <c r="M1" s="306"/>
    </row>
    <row r="2" spans="1:13" ht="40.35" customHeight="1">
      <c r="A2" s="2762" t="s">
        <v>99</v>
      </c>
      <c r="B2" s="315" t="s">
        <v>1147</v>
      </c>
      <c r="C2" s="2957"/>
      <c r="D2" s="2958"/>
      <c r="E2" s="2906" t="s">
        <v>1148</v>
      </c>
      <c r="F2" s="2906"/>
      <c r="G2" s="2906"/>
      <c r="H2" s="2959"/>
      <c r="I2" s="2959"/>
      <c r="J2" s="303" t="s">
        <v>1149</v>
      </c>
      <c r="K2" s="2960"/>
      <c r="L2" s="2960"/>
      <c r="M2" s="2961"/>
    </row>
    <row r="3" spans="1:13">
      <c r="A3" s="2762" t="s">
        <v>193</v>
      </c>
      <c r="B3" s="303" t="s">
        <v>1150</v>
      </c>
      <c r="C3" s="2957"/>
      <c r="D3" s="2958"/>
      <c r="E3" s="2957"/>
      <c r="F3" s="2957"/>
      <c r="G3" s="2957"/>
      <c r="H3" s="2959"/>
      <c r="I3" s="2959"/>
      <c r="J3" s="303" t="s">
        <v>1151</v>
      </c>
      <c r="K3" s="2962"/>
      <c r="L3" s="2962"/>
      <c r="M3" s="2963"/>
    </row>
    <row r="4" spans="1:13" ht="5.25" hidden="1" customHeight="1">
      <c r="A4" s="2762"/>
      <c r="B4" s="307"/>
      <c r="C4" s="308"/>
      <c r="D4" s="308"/>
      <c r="E4" s="2749"/>
      <c r="F4" s="308"/>
      <c r="G4" s="308"/>
      <c r="H4" s="308"/>
      <c r="I4" s="312"/>
      <c r="J4" s="309"/>
      <c r="K4" s="308"/>
      <c r="L4" s="308"/>
      <c r="M4" s="310"/>
    </row>
    <row r="5" spans="1:13" ht="22.5">
      <c r="A5" s="2867" t="s">
        <v>140</v>
      </c>
      <c r="B5" s="589" t="s">
        <v>1152</v>
      </c>
      <c r="C5" s="591" t="s">
        <v>1153</v>
      </c>
      <c r="D5" s="589" t="s">
        <v>1154</v>
      </c>
      <c r="E5" s="2964" t="s">
        <v>1155</v>
      </c>
      <c r="F5" s="591" t="s">
        <v>1156</v>
      </c>
      <c r="G5" s="589" t="s">
        <v>1157</v>
      </c>
      <c r="H5" s="591" t="s">
        <v>1158</v>
      </c>
      <c r="I5" s="304" t="s">
        <v>1154</v>
      </c>
      <c r="J5" s="595" t="s">
        <v>1157</v>
      </c>
      <c r="K5" s="598" t="s">
        <v>1155</v>
      </c>
      <c r="L5" s="598" t="s">
        <v>1156</v>
      </c>
      <c r="M5" s="599" t="s">
        <v>1158</v>
      </c>
    </row>
    <row r="6" spans="1:13" ht="6.75" hidden="1" customHeight="1">
      <c r="A6" s="2762"/>
      <c r="B6" s="301"/>
      <c r="C6" s="592"/>
      <c r="D6" s="301"/>
      <c r="E6" s="2965"/>
      <c r="F6" s="592"/>
      <c r="G6" s="301"/>
      <c r="H6" s="592"/>
      <c r="I6" s="313"/>
      <c r="J6" s="301"/>
      <c r="K6" s="592"/>
      <c r="L6" s="592"/>
      <c r="M6" s="302"/>
    </row>
    <row r="7" spans="1:13" ht="22.5">
      <c r="A7" s="2762" t="s">
        <v>125</v>
      </c>
      <c r="B7" s="589" t="s">
        <v>1159</v>
      </c>
      <c r="C7" s="591" t="s">
        <v>1159</v>
      </c>
      <c r="D7" s="589" t="s">
        <v>1159</v>
      </c>
      <c r="E7" s="2964" t="s">
        <v>279</v>
      </c>
      <c r="F7" s="591" t="s">
        <v>279</v>
      </c>
      <c r="G7" s="589" t="s">
        <v>279</v>
      </c>
      <c r="H7" s="591" t="s">
        <v>279</v>
      </c>
      <c r="I7" s="304" t="s">
        <v>279</v>
      </c>
      <c r="J7" s="589" t="s">
        <v>1159</v>
      </c>
      <c r="K7" s="591" t="s">
        <v>1159</v>
      </c>
      <c r="L7" s="591" t="s">
        <v>1159</v>
      </c>
      <c r="M7" s="600" t="s">
        <v>1159</v>
      </c>
    </row>
    <row r="8" spans="1:13">
      <c r="A8" s="2751" t="s">
        <v>144</v>
      </c>
      <c r="B8" s="2966" t="s">
        <v>1160</v>
      </c>
      <c r="C8" s="2238" t="s">
        <v>1161</v>
      </c>
      <c r="D8" s="2966" t="s">
        <v>1162</v>
      </c>
      <c r="E8" s="2967" t="s">
        <v>1163</v>
      </c>
      <c r="F8" s="2238" t="s">
        <v>1164</v>
      </c>
      <c r="G8" s="2966" t="s">
        <v>1165</v>
      </c>
      <c r="H8" s="2238" t="s">
        <v>1166</v>
      </c>
      <c r="I8" s="2239" t="s">
        <v>1167</v>
      </c>
      <c r="J8" s="2967" t="s">
        <v>1168</v>
      </c>
      <c r="K8" s="2238" t="s">
        <v>1169</v>
      </c>
      <c r="L8" s="2238" t="s">
        <v>1170</v>
      </c>
      <c r="M8" s="2240" t="s">
        <v>1171</v>
      </c>
    </row>
    <row r="9" spans="1:13" ht="13.5" thickBot="1">
      <c r="A9" s="2140"/>
      <c r="B9" s="2241"/>
      <c r="C9" s="1761"/>
      <c r="D9" s="1760"/>
      <c r="E9" s="1762"/>
      <c r="F9" s="1761"/>
      <c r="G9" s="1760"/>
      <c r="H9" s="1761"/>
      <c r="I9" s="1763"/>
      <c r="J9" s="1760"/>
      <c r="K9" s="1761"/>
      <c r="L9" s="1761"/>
      <c r="M9" s="1764"/>
    </row>
    <row r="10" spans="1:13">
      <c r="A10" s="2237" t="s">
        <v>51</v>
      </c>
      <c r="B10" s="150">
        <v>858</v>
      </c>
      <c r="C10" s="642">
        <v>101</v>
      </c>
      <c r="D10" s="1765">
        <f t="shared" ref="D10:D41" si="0">B10+C10</f>
        <v>959</v>
      </c>
      <c r="E10" s="1766">
        <v>11.3</v>
      </c>
      <c r="F10" s="1767">
        <v>5</v>
      </c>
      <c r="G10" s="1768">
        <v>10.5</v>
      </c>
      <c r="H10" s="1767">
        <v>14.4</v>
      </c>
      <c r="I10" s="1769">
        <v>41.1</v>
      </c>
      <c r="J10" s="1770"/>
      <c r="K10" s="1771"/>
      <c r="L10" s="1771"/>
      <c r="M10" s="1772"/>
    </row>
    <row r="11" spans="1:13">
      <c r="A11" s="1162" t="s">
        <v>428</v>
      </c>
      <c r="B11" s="151">
        <v>1408</v>
      </c>
      <c r="C11" s="3504">
        <v>305</v>
      </c>
      <c r="D11" s="2403">
        <f t="shared" si="0"/>
        <v>1713</v>
      </c>
      <c r="E11" s="454">
        <v>38.5</v>
      </c>
      <c r="F11" s="3634">
        <v>17.3</v>
      </c>
      <c r="G11" s="454">
        <v>39.6</v>
      </c>
      <c r="H11" s="3634">
        <v>18.3</v>
      </c>
      <c r="I11" s="593">
        <v>113.69999999999999</v>
      </c>
      <c r="J11" s="596"/>
      <c r="K11" s="3635"/>
      <c r="L11" s="3635"/>
      <c r="M11" s="601"/>
    </row>
    <row r="12" spans="1:13">
      <c r="A12" s="1162" t="s">
        <v>429</v>
      </c>
      <c r="B12" s="151">
        <v>2381</v>
      </c>
      <c r="C12" s="3504">
        <v>437</v>
      </c>
      <c r="D12" s="2403">
        <f t="shared" si="0"/>
        <v>2818</v>
      </c>
      <c r="E12" s="455">
        <v>42.7</v>
      </c>
      <c r="F12" s="3634">
        <v>40</v>
      </c>
      <c r="G12" s="454">
        <v>77.599999999999994</v>
      </c>
      <c r="H12" s="3634">
        <v>26.3</v>
      </c>
      <c r="I12" s="593">
        <v>186.6</v>
      </c>
      <c r="J12" s="596"/>
      <c r="K12" s="3635"/>
      <c r="L12" s="3635"/>
      <c r="M12" s="601"/>
    </row>
    <row r="13" spans="1:13">
      <c r="A13" s="1162" t="s">
        <v>430</v>
      </c>
      <c r="B13" s="151">
        <v>3160</v>
      </c>
      <c r="C13" s="3504">
        <v>779</v>
      </c>
      <c r="D13" s="2403">
        <f t="shared" si="0"/>
        <v>3939</v>
      </c>
      <c r="E13" s="455">
        <v>86.7</v>
      </c>
      <c r="F13" s="3634">
        <v>50.2</v>
      </c>
      <c r="G13" s="454">
        <v>83.4</v>
      </c>
      <c r="H13" s="3634">
        <v>51.6</v>
      </c>
      <c r="I13" s="593">
        <v>271.89999999999998</v>
      </c>
      <c r="J13" s="596"/>
      <c r="K13" s="3635"/>
      <c r="L13" s="3635"/>
      <c r="M13" s="601"/>
    </row>
    <row r="14" spans="1:13">
      <c r="A14" s="1162" t="s">
        <v>431</v>
      </c>
      <c r="B14" s="151">
        <v>1939</v>
      </c>
      <c r="C14" s="3504">
        <v>1025</v>
      </c>
      <c r="D14" s="2403">
        <f t="shared" si="0"/>
        <v>2964</v>
      </c>
      <c r="E14" s="455">
        <v>146.19999999999999</v>
      </c>
      <c r="F14" s="3634">
        <v>32.4</v>
      </c>
      <c r="G14" s="454">
        <v>48.1</v>
      </c>
      <c r="H14" s="3634">
        <v>42.8</v>
      </c>
      <c r="I14" s="593">
        <v>269.5</v>
      </c>
      <c r="J14" s="596"/>
      <c r="K14" s="3635"/>
      <c r="L14" s="3635"/>
      <c r="M14" s="601"/>
    </row>
    <row r="15" spans="1:13">
      <c r="A15" s="1162" t="s">
        <v>432</v>
      </c>
      <c r="B15" s="151">
        <v>2685</v>
      </c>
      <c r="C15" s="3504">
        <v>1296</v>
      </c>
      <c r="D15" s="2403">
        <f t="shared" si="0"/>
        <v>3981</v>
      </c>
      <c r="E15" s="455">
        <v>133.5</v>
      </c>
      <c r="F15" s="3634">
        <v>72.8</v>
      </c>
      <c r="G15" s="454">
        <v>97.6</v>
      </c>
      <c r="H15" s="3634">
        <v>43.5</v>
      </c>
      <c r="I15" s="593">
        <v>347.4</v>
      </c>
      <c r="J15" s="596"/>
      <c r="K15" s="3635"/>
      <c r="L15" s="3635"/>
      <c r="M15" s="601"/>
    </row>
    <row r="16" spans="1:13">
      <c r="A16" s="1162" t="s">
        <v>433</v>
      </c>
      <c r="B16" s="151">
        <v>3232</v>
      </c>
      <c r="C16" s="3504">
        <v>2002</v>
      </c>
      <c r="D16" s="2403">
        <f t="shared" si="0"/>
        <v>5234</v>
      </c>
      <c r="E16" s="455">
        <v>143.5</v>
      </c>
      <c r="F16" s="3634">
        <v>140.6</v>
      </c>
      <c r="G16" s="454">
        <v>124.1</v>
      </c>
      <c r="H16" s="3634">
        <v>51.3</v>
      </c>
      <c r="I16" s="593">
        <v>459.5</v>
      </c>
      <c r="J16" s="596"/>
      <c r="K16" s="3635"/>
      <c r="L16" s="3635"/>
      <c r="M16" s="601"/>
    </row>
    <row r="17" spans="1:13">
      <c r="A17" s="1162" t="s">
        <v>434</v>
      </c>
      <c r="B17" s="151">
        <v>4174</v>
      </c>
      <c r="C17" s="3504">
        <v>2555</v>
      </c>
      <c r="D17" s="2403">
        <f t="shared" si="0"/>
        <v>6729</v>
      </c>
      <c r="E17" s="455">
        <v>230.3</v>
      </c>
      <c r="F17" s="3634">
        <v>154.69999999999999</v>
      </c>
      <c r="G17" s="454">
        <v>96.7</v>
      </c>
      <c r="H17" s="3634">
        <v>99</v>
      </c>
      <c r="I17" s="593">
        <v>580.79999999999995</v>
      </c>
      <c r="J17" s="596"/>
      <c r="K17" s="3635"/>
      <c r="L17" s="3635"/>
      <c r="M17" s="601"/>
    </row>
    <row r="18" spans="1:13">
      <c r="A18" s="1162" t="s">
        <v>38</v>
      </c>
      <c r="B18" s="151">
        <v>2732</v>
      </c>
      <c r="C18" s="3504">
        <v>3223</v>
      </c>
      <c r="D18" s="2403">
        <f t="shared" si="0"/>
        <v>5955</v>
      </c>
      <c r="E18" s="455">
        <v>347</v>
      </c>
      <c r="F18" s="3634">
        <v>99</v>
      </c>
      <c r="G18" s="454">
        <v>48.3</v>
      </c>
      <c r="H18" s="3634">
        <v>90.6</v>
      </c>
      <c r="I18" s="593">
        <v>584.9</v>
      </c>
      <c r="J18" s="596"/>
      <c r="K18" s="3635"/>
      <c r="L18" s="3635"/>
      <c r="M18" s="601"/>
    </row>
    <row r="19" spans="1:13">
      <c r="A19" s="1162" t="s">
        <v>435</v>
      </c>
      <c r="B19" s="151">
        <v>3329</v>
      </c>
      <c r="C19" s="3504">
        <v>2755</v>
      </c>
      <c r="D19" s="2403">
        <f t="shared" si="0"/>
        <v>6084</v>
      </c>
      <c r="E19" s="455">
        <v>195.5</v>
      </c>
      <c r="F19" s="3634">
        <v>184.9</v>
      </c>
      <c r="G19" s="454">
        <v>116.9</v>
      </c>
      <c r="H19" s="3634">
        <v>65.7</v>
      </c>
      <c r="I19" s="593">
        <v>563</v>
      </c>
      <c r="J19" s="596"/>
      <c r="K19" s="3635"/>
      <c r="L19" s="3635"/>
      <c r="M19" s="601"/>
    </row>
    <row r="20" spans="1:13">
      <c r="A20" s="1162" t="s">
        <v>436</v>
      </c>
      <c r="B20" s="151">
        <v>3790</v>
      </c>
      <c r="C20" s="3504">
        <v>2750</v>
      </c>
      <c r="D20" s="2403">
        <f t="shared" si="0"/>
        <v>6540</v>
      </c>
      <c r="E20" s="455">
        <v>173.6</v>
      </c>
      <c r="F20" s="3634">
        <v>173.4</v>
      </c>
      <c r="G20" s="454">
        <v>138.4</v>
      </c>
      <c r="H20" s="3634">
        <v>98.7</v>
      </c>
      <c r="I20" s="593">
        <v>580.5</v>
      </c>
      <c r="J20" s="596"/>
      <c r="K20" s="3635"/>
      <c r="L20" s="3635"/>
      <c r="M20" s="601"/>
    </row>
    <row r="21" spans="1:13">
      <c r="A21" s="1162" t="s">
        <v>437</v>
      </c>
      <c r="B21" s="151">
        <v>3727</v>
      </c>
      <c r="C21" s="3504">
        <v>3277</v>
      </c>
      <c r="D21" s="2403">
        <f t="shared" si="0"/>
        <v>7004</v>
      </c>
      <c r="E21" s="455">
        <v>274.8</v>
      </c>
      <c r="F21" s="3634">
        <v>155.5</v>
      </c>
      <c r="G21" s="454">
        <v>85.5</v>
      </c>
      <c r="H21" s="3634">
        <v>146.5</v>
      </c>
      <c r="I21" s="593">
        <v>662.3</v>
      </c>
      <c r="J21" s="596"/>
      <c r="K21" s="3635"/>
      <c r="L21" s="3635"/>
      <c r="M21" s="601"/>
    </row>
    <row r="22" spans="1:13">
      <c r="A22" s="1162" t="s">
        <v>438</v>
      </c>
      <c r="B22" s="151">
        <v>2540</v>
      </c>
      <c r="C22" s="3504">
        <v>2118</v>
      </c>
      <c r="D22" s="2403">
        <f t="shared" si="0"/>
        <v>4658</v>
      </c>
      <c r="E22" s="455">
        <v>268.39999999999998</v>
      </c>
      <c r="F22" s="3634">
        <v>89.5</v>
      </c>
      <c r="G22" s="454">
        <v>40.6</v>
      </c>
      <c r="H22" s="3634">
        <v>101.2</v>
      </c>
      <c r="I22" s="593">
        <v>499.7</v>
      </c>
      <c r="J22" s="596"/>
      <c r="K22" s="3635"/>
      <c r="L22" s="3635"/>
      <c r="M22" s="601"/>
    </row>
    <row r="23" spans="1:13">
      <c r="A23" s="1162" t="s">
        <v>439</v>
      </c>
      <c r="B23" s="151">
        <v>3283</v>
      </c>
      <c r="C23" s="3504">
        <v>2075</v>
      </c>
      <c r="D23" s="2403">
        <f t="shared" si="0"/>
        <v>5358</v>
      </c>
      <c r="E23" s="455">
        <v>136.19999999999999</v>
      </c>
      <c r="F23" s="3634">
        <v>170.4</v>
      </c>
      <c r="G23" s="454">
        <v>107.7</v>
      </c>
      <c r="H23" s="3634">
        <v>85.3</v>
      </c>
      <c r="I23" s="593">
        <v>499.6</v>
      </c>
      <c r="J23" s="596"/>
      <c r="K23" s="3635"/>
      <c r="L23" s="3635"/>
      <c r="M23" s="601"/>
    </row>
    <row r="24" spans="1:13">
      <c r="A24" s="1162" t="s">
        <v>440</v>
      </c>
      <c r="B24" s="151">
        <v>3862</v>
      </c>
      <c r="C24" s="3504">
        <v>2726</v>
      </c>
      <c r="D24" s="2403">
        <f t="shared" si="0"/>
        <v>6588</v>
      </c>
      <c r="E24" s="455">
        <v>125.9</v>
      </c>
      <c r="F24" s="3634">
        <v>228.6</v>
      </c>
      <c r="G24" s="454">
        <v>139.6</v>
      </c>
      <c r="H24" s="3634">
        <v>98.4</v>
      </c>
      <c r="I24" s="593">
        <v>592.5</v>
      </c>
      <c r="J24" s="596"/>
      <c r="K24" s="3635"/>
      <c r="L24" s="3635"/>
      <c r="M24" s="601"/>
    </row>
    <row r="25" spans="1:13">
      <c r="A25" s="1162" t="s">
        <v>441</v>
      </c>
      <c r="B25" s="151">
        <v>3810</v>
      </c>
      <c r="C25" s="3504">
        <v>3461</v>
      </c>
      <c r="D25" s="2403">
        <f t="shared" si="0"/>
        <v>7271</v>
      </c>
      <c r="E25" s="455">
        <v>309.8</v>
      </c>
      <c r="F25" s="3634">
        <v>178.7</v>
      </c>
      <c r="G25" s="454">
        <v>101.9</v>
      </c>
      <c r="H25" s="3634">
        <v>145.1</v>
      </c>
      <c r="I25" s="593">
        <v>735.6</v>
      </c>
      <c r="J25" s="596"/>
      <c r="K25" s="3635"/>
      <c r="L25" s="3635"/>
      <c r="M25" s="601"/>
    </row>
    <row r="26" spans="1:13">
      <c r="A26" s="1162" t="s">
        <v>442</v>
      </c>
      <c r="B26" s="151">
        <v>2852</v>
      </c>
      <c r="C26" s="3504">
        <v>1727</v>
      </c>
      <c r="D26" s="2403">
        <f t="shared" si="0"/>
        <v>4579</v>
      </c>
      <c r="E26" s="455">
        <v>278.10000000000002</v>
      </c>
      <c r="F26" s="3634">
        <v>89.3</v>
      </c>
      <c r="G26" s="454">
        <v>54.5</v>
      </c>
      <c r="H26" s="3634">
        <v>98</v>
      </c>
      <c r="I26" s="593">
        <v>519.90000000000009</v>
      </c>
      <c r="J26" s="596"/>
      <c r="K26" s="3635"/>
      <c r="L26" s="3635"/>
      <c r="M26" s="601"/>
    </row>
    <row r="27" spans="1:13">
      <c r="A27" s="1162" t="s">
        <v>443</v>
      </c>
      <c r="B27" s="151">
        <v>3454</v>
      </c>
      <c r="C27" s="3504">
        <v>2076</v>
      </c>
      <c r="D27" s="2403">
        <f t="shared" si="0"/>
        <v>5530</v>
      </c>
      <c r="E27" s="455">
        <v>108.1</v>
      </c>
      <c r="F27" s="3634">
        <v>164.3</v>
      </c>
      <c r="G27" s="454">
        <v>135.1</v>
      </c>
      <c r="H27" s="3634">
        <v>90.8</v>
      </c>
      <c r="I27" s="593">
        <v>498.3</v>
      </c>
      <c r="J27" s="596"/>
      <c r="K27" s="3635"/>
      <c r="L27" s="3635"/>
      <c r="M27" s="601"/>
    </row>
    <row r="28" spans="1:13">
      <c r="A28" s="1162" t="s">
        <v>444</v>
      </c>
      <c r="B28" s="151">
        <v>3492</v>
      </c>
      <c r="C28" s="3504">
        <v>1933</v>
      </c>
      <c r="D28" s="2403">
        <f t="shared" si="0"/>
        <v>5425</v>
      </c>
      <c r="E28" s="455">
        <v>90.6</v>
      </c>
      <c r="F28" s="3634">
        <v>193.7</v>
      </c>
      <c r="G28" s="454">
        <v>144.4</v>
      </c>
      <c r="H28" s="3634">
        <v>97.3</v>
      </c>
      <c r="I28" s="593">
        <v>526</v>
      </c>
      <c r="J28" s="596"/>
      <c r="K28" s="3635"/>
      <c r="L28" s="3635"/>
      <c r="M28" s="601"/>
    </row>
    <row r="29" spans="1:13">
      <c r="A29" s="1162" t="s">
        <v>445</v>
      </c>
      <c r="B29" s="151">
        <v>3695</v>
      </c>
      <c r="C29" s="3504">
        <v>3045</v>
      </c>
      <c r="D29" s="2403">
        <f t="shared" si="0"/>
        <v>6740</v>
      </c>
      <c r="E29" s="455">
        <v>275.5</v>
      </c>
      <c r="F29" s="3634">
        <v>185.9</v>
      </c>
      <c r="G29" s="454">
        <v>107.6</v>
      </c>
      <c r="H29" s="3634">
        <v>135.6</v>
      </c>
      <c r="I29" s="593">
        <v>704.5</v>
      </c>
      <c r="J29" s="596"/>
      <c r="K29" s="3635"/>
      <c r="L29" s="3635"/>
      <c r="M29" s="601"/>
    </row>
    <row r="30" spans="1:13">
      <c r="A30" s="1162" t="s">
        <v>446</v>
      </c>
      <c r="B30" s="151">
        <v>3632</v>
      </c>
      <c r="C30" s="3504">
        <v>2029</v>
      </c>
      <c r="D30" s="2403">
        <f t="shared" si="0"/>
        <v>5661</v>
      </c>
      <c r="E30" s="455">
        <v>355.9</v>
      </c>
      <c r="F30" s="3634">
        <v>117.3</v>
      </c>
      <c r="G30" s="454">
        <v>79</v>
      </c>
      <c r="H30" s="3634">
        <v>140.30000000000001</v>
      </c>
      <c r="I30" s="593">
        <v>692.5</v>
      </c>
      <c r="J30" s="596"/>
      <c r="K30" s="3635"/>
      <c r="L30" s="3635"/>
      <c r="M30" s="601"/>
    </row>
    <row r="31" spans="1:13">
      <c r="A31" s="1162" t="s">
        <v>447</v>
      </c>
      <c r="B31" s="151">
        <v>4187</v>
      </c>
      <c r="C31" s="3504">
        <v>2341</v>
      </c>
      <c r="D31" s="2403">
        <f t="shared" si="0"/>
        <v>6528</v>
      </c>
      <c r="E31" s="455">
        <v>149.80000000000001</v>
      </c>
      <c r="F31" s="3634">
        <v>260.3</v>
      </c>
      <c r="G31" s="454">
        <v>134.19999999999999</v>
      </c>
      <c r="H31" s="3634">
        <v>123</v>
      </c>
      <c r="I31" s="593">
        <v>667.3</v>
      </c>
      <c r="J31" s="596"/>
      <c r="K31" s="3635"/>
      <c r="L31" s="3635"/>
      <c r="M31" s="601"/>
    </row>
    <row r="32" spans="1:13">
      <c r="A32" s="1162" t="s">
        <v>448</v>
      </c>
      <c r="B32" s="151">
        <v>4010</v>
      </c>
      <c r="C32" s="3504">
        <v>2999</v>
      </c>
      <c r="D32" s="2403">
        <f t="shared" si="0"/>
        <v>7009</v>
      </c>
      <c r="E32" s="455">
        <v>198.5</v>
      </c>
      <c r="F32" s="3634">
        <v>297.7</v>
      </c>
      <c r="G32" s="454">
        <v>178.9</v>
      </c>
      <c r="H32" s="3634">
        <v>131.4</v>
      </c>
      <c r="I32" s="593">
        <v>806.5</v>
      </c>
      <c r="J32" s="596"/>
      <c r="K32" s="3635"/>
      <c r="L32" s="3635"/>
      <c r="M32" s="601"/>
    </row>
    <row r="33" spans="1:13">
      <c r="A33" s="1162" t="s">
        <v>449</v>
      </c>
      <c r="B33" s="151">
        <v>4974</v>
      </c>
      <c r="C33" s="3504">
        <v>3876</v>
      </c>
      <c r="D33" s="2403">
        <f t="shared" si="0"/>
        <v>8850</v>
      </c>
      <c r="E33" s="455">
        <v>422.1</v>
      </c>
      <c r="F33" s="3634">
        <v>332.2</v>
      </c>
      <c r="G33" s="454">
        <v>162.5</v>
      </c>
      <c r="H33" s="3634">
        <v>225.5</v>
      </c>
      <c r="I33" s="593">
        <v>1142.2</v>
      </c>
      <c r="J33" s="596"/>
      <c r="K33" s="3635"/>
      <c r="L33" s="3635"/>
      <c r="M33" s="601"/>
    </row>
    <row r="34" spans="1:13">
      <c r="A34" s="1162" t="s">
        <v>450</v>
      </c>
      <c r="B34" s="151">
        <v>3310</v>
      </c>
      <c r="C34" s="3504">
        <v>3533</v>
      </c>
      <c r="D34" s="2403">
        <f t="shared" si="0"/>
        <v>6843</v>
      </c>
      <c r="E34" s="455">
        <v>537.1</v>
      </c>
      <c r="F34" s="3634">
        <v>198</v>
      </c>
      <c r="G34" s="454">
        <v>73.900000000000006</v>
      </c>
      <c r="H34" s="3634">
        <v>206.2</v>
      </c>
      <c r="I34" s="593">
        <v>1015.2</v>
      </c>
      <c r="J34" s="596"/>
      <c r="K34" s="3635"/>
      <c r="L34" s="3635"/>
      <c r="M34" s="601"/>
    </row>
    <row r="35" spans="1:13">
      <c r="A35" s="1162" t="s">
        <v>451</v>
      </c>
      <c r="B35" s="151">
        <v>3766</v>
      </c>
      <c r="C35" s="3504">
        <v>2794</v>
      </c>
      <c r="D35" s="2403">
        <f t="shared" si="0"/>
        <v>6560</v>
      </c>
      <c r="E35" s="455">
        <v>264.2</v>
      </c>
      <c r="F35" s="3634">
        <v>245.6</v>
      </c>
      <c r="G35" s="454">
        <v>173.4</v>
      </c>
      <c r="H35" s="3634">
        <v>175.1</v>
      </c>
      <c r="I35" s="593">
        <v>858.3</v>
      </c>
      <c r="J35" s="596"/>
      <c r="K35" s="3635"/>
      <c r="L35" s="3635"/>
      <c r="M35" s="601"/>
    </row>
    <row r="36" spans="1:13">
      <c r="A36" s="1162" t="s">
        <v>452</v>
      </c>
      <c r="B36" s="151">
        <v>3302</v>
      </c>
      <c r="C36" s="3504">
        <v>3697</v>
      </c>
      <c r="D36" s="2403">
        <f t="shared" si="0"/>
        <v>6999</v>
      </c>
      <c r="E36" s="455">
        <v>234.2</v>
      </c>
      <c r="F36" s="3634">
        <v>400.4</v>
      </c>
      <c r="G36" s="454">
        <v>220.7</v>
      </c>
      <c r="H36" s="3634">
        <v>139.19999999999999</v>
      </c>
      <c r="I36" s="593">
        <v>994.5</v>
      </c>
      <c r="J36" s="596"/>
      <c r="K36" s="3635"/>
      <c r="L36" s="3635"/>
      <c r="M36" s="601"/>
    </row>
    <row r="37" spans="1:13">
      <c r="A37" s="1162" t="s">
        <v>453</v>
      </c>
      <c r="B37" s="151">
        <v>3255</v>
      </c>
      <c r="C37" s="3504">
        <v>2985</v>
      </c>
      <c r="D37" s="2403">
        <f t="shared" si="0"/>
        <v>6240</v>
      </c>
      <c r="E37" s="455">
        <v>324</v>
      </c>
      <c r="F37" s="3634">
        <v>267.7</v>
      </c>
      <c r="G37" s="454">
        <v>147.4</v>
      </c>
      <c r="H37" s="3634">
        <v>170.5</v>
      </c>
      <c r="I37" s="593">
        <v>909.6</v>
      </c>
      <c r="J37" s="596"/>
      <c r="K37" s="3635"/>
      <c r="L37" s="3635"/>
      <c r="M37" s="601"/>
    </row>
    <row r="38" spans="1:13">
      <c r="A38" s="1162" t="s">
        <v>454</v>
      </c>
      <c r="B38" s="151">
        <v>1300</v>
      </c>
      <c r="C38" s="3504">
        <v>1353</v>
      </c>
      <c r="D38" s="2403">
        <f t="shared" si="0"/>
        <v>2653</v>
      </c>
      <c r="E38" s="455">
        <v>152.4</v>
      </c>
      <c r="F38" s="3634">
        <v>55.7</v>
      </c>
      <c r="G38" s="454">
        <v>25.1</v>
      </c>
      <c r="H38" s="3634">
        <v>73.2</v>
      </c>
      <c r="I38" s="593">
        <v>306.39999999999998</v>
      </c>
      <c r="J38" s="596"/>
      <c r="K38" s="3635"/>
      <c r="L38" s="3635"/>
      <c r="M38" s="601"/>
    </row>
    <row r="39" spans="1:13">
      <c r="A39" s="1162" t="s">
        <v>455</v>
      </c>
      <c r="B39" s="151">
        <v>2644</v>
      </c>
      <c r="C39" s="3504">
        <v>1125</v>
      </c>
      <c r="D39" s="2403">
        <f t="shared" si="0"/>
        <v>3769</v>
      </c>
      <c r="E39" s="455">
        <v>93.2</v>
      </c>
      <c r="F39" s="3634">
        <v>260.8</v>
      </c>
      <c r="G39" s="454">
        <v>93.1</v>
      </c>
      <c r="H39" s="3634">
        <v>113</v>
      </c>
      <c r="I39" s="593">
        <v>560.1</v>
      </c>
      <c r="J39" s="596"/>
      <c r="K39" s="3635"/>
      <c r="L39" s="3635"/>
      <c r="M39" s="601"/>
    </row>
    <row r="40" spans="1:13">
      <c r="A40" s="1162" t="s">
        <v>456</v>
      </c>
      <c r="B40" s="151">
        <v>2647</v>
      </c>
      <c r="C40" s="3504">
        <v>1431</v>
      </c>
      <c r="D40" s="2403">
        <f t="shared" si="0"/>
        <v>4078</v>
      </c>
      <c r="E40" s="455">
        <v>101.6</v>
      </c>
      <c r="F40" s="3634">
        <v>236.1</v>
      </c>
      <c r="G40" s="454">
        <v>204.5</v>
      </c>
      <c r="H40" s="3634">
        <v>152.69999999999999</v>
      </c>
      <c r="I40" s="593">
        <v>694.9</v>
      </c>
      <c r="J40" s="596"/>
      <c r="K40" s="3635"/>
      <c r="L40" s="3635"/>
      <c r="M40" s="601"/>
    </row>
    <row r="41" spans="1:13">
      <c r="A41" s="1162" t="s">
        <v>457</v>
      </c>
      <c r="B41" s="151">
        <v>3082</v>
      </c>
      <c r="C41" s="3504">
        <v>1869</v>
      </c>
      <c r="D41" s="2403">
        <f t="shared" si="0"/>
        <v>4951</v>
      </c>
      <c r="E41" s="455">
        <v>133.30000000000001</v>
      </c>
      <c r="F41" s="3634">
        <v>198.3</v>
      </c>
      <c r="G41" s="454">
        <v>181.5</v>
      </c>
      <c r="H41" s="3634">
        <v>180.1</v>
      </c>
      <c r="I41" s="593">
        <v>693.4</v>
      </c>
      <c r="J41" s="596"/>
      <c r="K41" s="3635"/>
      <c r="L41" s="3635"/>
      <c r="M41" s="601"/>
    </row>
    <row r="42" spans="1:13">
      <c r="A42" s="1162" t="s">
        <v>458</v>
      </c>
      <c r="B42" s="151">
        <v>2166</v>
      </c>
      <c r="C42" s="3504">
        <v>1897</v>
      </c>
      <c r="D42" s="2403">
        <f t="shared" ref="D42:D61" si="1">B42+C42</f>
        <v>4063</v>
      </c>
      <c r="E42" s="455">
        <v>359.5</v>
      </c>
      <c r="F42" s="3634">
        <v>174.1</v>
      </c>
      <c r="G42" s="454">
        <v>57.4</v>
      </c>
      <c r="H42" s="3634">
        <v>168.6</v>
      </c>
      <c r="I42" s="593">
        <v>759.7</v>
      </c>
      <c r="J42" s="596"/>
      <c r="K42" s="3635"/>
      <c r="L42" s="3635"/>
      <c r="M42" s="601"/>
    </row>
    <row r="43" spans="1:13">
      <c r="A43" s="1162" t="s">
        <v>459</v>
      </c>
      <c r="B43" s="151">
        <v>3454</v>
      </c>
      <c r="C43" s="3504">
        <v>1839</v>
      </c>
      <c r="D43" s="2403">
        <f t="shared" si="1"/>
        <v>5293</v>
      </c>
      <c r="E43" s="455">
        <v>143.19999999999999</v>
      </c>
      <c r="F43" s="3634">
        <v>269.7</v>
      </c>
      <c r="G43" s="454">
        <v>202.1</v>
      </c>
      <c r="H43" s="3634">
        <v>173</v>
      </c>
      <c r="I43" s="593">
        <v>787.9</v>
      </c>
      <c r="J43" s="596"/>
      <c r="K43" s="3635"/>
      <c r="L43" s="3635"/>
      <c r="M43" s="601"/>
    </row>
    <row r="44" spans="1:13">
      <c r="A44" s="1162" t="s">
        <v>460</v>
      </c>
      <c r="B44" s="151">
        <v>4855</v>
      </c>
      <c r="C44" s="3504">
        <v>2219</v>
      </c>
      <c r="D44" s="2403">
        <f t="shared" si="1"/>
        <v>7074</v>
      </c>
      <c r="E44" s="455">
        <v>166.2</v>
      </c>
      <c r="F44" s="3634">
        <v>342.7</v>
      </c>
      <c r="G44" s="454">
        <v>278.10000000000002</v>
      </c>
      <c r="H44" s="3634">
        <v>198.9</v>
      </c>
      <c r="I44" s="593">
        <v>985.9</v>
      </c>
      <c r="J44" s="596"/>
      <c r="K44" s="3635"/>
      <c r="L44" s="3635"/>
      <c r="M44" s="601"/>
    </row>
    <row r="45" spans="1:13">
      <c r="A45" s="1162" t="s">
        <v>461</v>
      </c>
      <c r="B45" s="151">
        <v>3750</v>
      </c>
      <c r="C45" s="3504">
        <v>3256</v>
      </c>
      <c r="D45" s="2403">
        <f t="shared" si="1"/>
        <v>7006</v>
      </c>
      <c r="E45" s="455">
        <v>555.9</v>
      </c>
      <c r="F45" s="3634">
        <v>485.1</v>
      </c>
      <c r="G45" s="454">
        <v>285.39999999999998</v>
      </c>
      <c r="H45" s="3634">
        <v>293.39999999999998</v>
      </c>
      <c r="I45" s="593">
        <v>1619.8</v>
      </c>
      <c r="J45" s="596"/>
      <c r="K45" s="3635"/>
      <c r="L45" s="3635"/>
      <c r="M45" s="601"/>
    </row>
    <row r="46" spans="1:13">
      <c r="A46" s="1162" t="s">
        <v>462</v>
      </c>
      <c r="B46" s="151">
        <v>2673</v>
      </c>
      <c r="C46" s="3504">
        <v>1656</v>
      </c>
      <c r="D46" s="2403">
        <f t="shared" si="1"/>
        <v>4329</v>
      </c>
      <c r="E46" s="455">
        <v>350.8</v>
      </c>
      <c r="F46" s="3634">
        <v>211.9</v>
      </c>
      <c r="G46" s="454">
        <v>139.80000000000001</v>
      </c>
      <c r="H46" s="3634">
        <v>298.5</v>
      </c>
      <c r="I46" s="593">
        <v>1001.1</v>
      </c>
      <c r="J46" s="596"/>
      <c r="K46" s="3635"/>
      <c r="L46" s="3635"/>
      <c r="M46" s="601"/>
    </row>
    <row r="47" spans="1:13">
      <c r="A47" s="1162" t="s">
        <v>463</v>
      </c>
      <c r="B47" s="151">
        <v>3811</v>
      </c>
      <c r="C47" s="3504">
        <v>1189</v>
      </c>
      <c r="D47" s="2403">
        <f t="shared" si="1"/>
        <v>5000</v>
      </c>
      <c r="E47" s="455">
        <v>228.9</v>
      </c>
      <c r="F47" s="3634">
        <v>230.9</v>
      </c>
      <c r="G47" s="454">
        <v>294.10000000000002</v>
      </c>
      <c r="H47" s="3634">
        <v>327.60000000000002</v>
      </c>
      <c r="I47" s="593">
        <v>1081.5</v>
      </c>
      <c r="J47" s="596"/>
      <c r="K47" s="3635"/>
      <c r="L47" s="3635"/>
      <c r="M47" s="601"/>
    </row>
    <row r="48" spans="1:13">
      <c r="A48" s="1162" t="s">
        <v>464</v>
      </c>
      <c r="B48" s="151">
        <v>3832</v>
      </c>
      <c r="C48" s="3504">
        <v>1465</v>
      </c>
      <c r="D48" s="2403">
        <f t="shared" si="1"/>
        <v>5297</v>
      </c>
      <c r="E48" s="455">
        <v>277.5</v>
      </c>
      <c r="F48" s="3634">
        <v>280.3</v>
      </c>
      <c r="G48" s="454">
        <v>466.1</v>
      </c>
      <c r="H48" s="3634">
        <v>344.6</v>
      </c>
      <c r="I48" s="593">
        <v>1368.5</v>
      </c>
      <c r="J48" s="596"/>
      <c r="K48" s="3635"/>
      <c r="L48" s="3635"/>
      <c r="M48" s="601"/>
    </row>
    <row r="49" spans="1:13">
      <c r="A49" s="1162" t="s">
        <v>465</v>
      </c>
      <c r="B49" s="151">
        <v>4252</v>
      </c>
      <c r="C49" s="3504">
        <v>2140</v>
      </c>
      <c r="D49" s="2403">
        <f t="shared" si="1"/>
        <v>6392</v>
      </c>
      <c r="E49" s="455">
        <v>344.7</v>
      </c>
      <c r="F49" s="3634">
        <v>447.2</v>
      </c>
      <c r="G49" s="454">
        <v>327.10000000000002</v>
      </c>
      <c r="H49" s="3634">
        <v>437.3</v>
      </c>
      <c r="I49" s="593">
        <v>1556.3000000000002</v>
      </c>
      <c r="J49" s="596"/>
      <c r="K49" s="3635"/>
      <c r="L49" s="3635"/>
      <c r="M49" s="601"/>
    </row>
    <row r="50" spans="1:13">
      <c r="A50" s="1162" t="s">
        <v>466</v>
      </c>
      <c r="B50" s="151">
        <v>2270</v>
      </c>
      <c r="C50" s="3504">
        <v>865</v>
      </c>
      <c r="D50" s="2403">
        <f t="shared" si="1"/>
        <v>3135</v>
      </c>
      <c r="E50" s="455">
        <v>276</v>
      </c>
      <c r="F50" s="3634">
        <v>192.8</v>
      </c>
      <c r="G50" s="454">
        <v>85.6</v>
      </c>
      <c r="H50" s="3634">
        <v>274.60000000000002</v>
      </c>
      <c r="I50" s="593">
        <v>828.8</v>
      </c>
      <c r="J50" s="596"/>
      <c r="K50" s="3635"/>
      <c r="L50" s="3635"/>
      <c r="M50" s="601"/>
    </row>
    <row r="51" spans="1:13">
      <c r="A51" s="1162" t="s">
        <v>467</v>
      </c>
      <c r="B51" s="151">
        <v>2977</v>
      </c>
      <c r="C51" s="3504">
        <v>988</v>
      </c>
      <c r="D51" s="2403">
        <f t="shared" si="1"/>
        <v>3965</v>
      </c>
      <c r="E51" s="455">
        <v>312.39999999999998</v>
      </c>
      <c r="F51" s="3634">
        <v>314.10000000000002</v>
      </c>
      <c r="G51" s="454">
        <v>186.2</v>
      </c>
      <c r="H51" s="3634">
        <v>375.9</v>
      </c>
      <c r="I51" s="593">
        <v>1188.5999999999999</v>
      </c>
      <c r="J51" s="596"/>
      <c r="K51" s="3635"/>
      <c r="L51" s="3635"/>
      <c r="M51" s="601"/>
    </row>
    <row r="52" spans="1:13">
      <c r="A52" s="1162" t="s">
        <v>468</v>
      </c>
      <c r="B52" s="151">
        <v>2766</v>
      </c>
      <c r="C52" s="3504">
        <v>1621</v>
      </c>
      <c r="D52" s="2403">
        <f t="shared" si="1"/>
        <v>4387</v>
      </c>
      <c r="E52" s="455">
        <v>345.2</v>
      </c>
      <c r="F52" s="3634">
        <v>509</v>
      </c>
      <c r="G52" s="454">
        <v>316.7</v>
      </c>
      <c r="H52" s="3634">
        <v>294.10000000000002</v>
      </c>
      <c r="I52" s="593">
        <v>1465</v>
      </c>
      <c r="J52" s="596"/>
      <c r="K52" s="3635"/>
      <c r="L52" s="3635"/>
      <c r="M52" s="601"/>
    </row>
    <row r="53" spans="1:13">
      <c r="A53" s="1162" t="s">
        <v>469</v>
      </c>
      <c r="B53" s="151">
        <v>3817</v>
      </c>
      <c r="C53" s="3504">
        <v>1893</v>
      </c>
      <c r="D53" s="2403">
        <f t="shared" si="1"/>
        <v>5710</v>
      </c>
      <c r="E53" s="455">
        <v>497.9</v>
      </c>
      <c r="F53" s="3634">
        <v>764.7</v>
      </c>
      <c r="G53" s="454">
        <v>379</v>
      </c>
      <c r="H53" s="3634">
        <v>489.6</v>
      </c>
      <c r="I53" s="593">
        <v>2131.1999999999998</v>
      </c>
      <c r="J53" s="596"/>
      <c r="K53" s="3635"/>
      <c r="L53" s="3635"/>
      <c r="M53" s="601"/>
    </row>
    <row r="54" spans="1:13">
      <c r="A54" s="1162" t="s">
        <v>470</v>
      </c>
      <c r="B54" s="151">
        <v>2537</v>
      </c>
      <c r="C54" s="3504">
        <v>1356</v>
      </c>
      <c r="D54" s="2403">
        <f t="shared" si="1"/>
        <v>3893</v>
      </c>
      <c r="E54" s="455">
        <v>700.4</v>
      </c>
      <c r="F54" s="3634">
        <v>616.79999999999995</v>
      </c>
      <c r="G54" s="454">
        <v>90</v>
      </c>
      <c r="H54" s="3634">
        <v>445.9</v>
      </c>
      <c r="I54" s="593">
        <v>1853.1</v>
      </c>
      <c r="J54" s="596"/>
      <c r="K54" s="3635"/>
      <c r="L54" s="3635"/>
      <c r="M54" s="601"/>
    </row>
    <row r="55" spans="1:13">
      <c r="A55" s="1162" t="s">
        <v>471</v>
      </c>
      <c r="B55" s="151">
        <v>4313</v>
      </c>
      <c r="C55" s="3504">
        <v>1367</v>
      </c>
      <c r="D55" s="2403">
        <f t="shared" si="1"/>
        <v>5680</v>
      </c>
      <c r="E55" s="455">
        <v>314.10000000000002</v>
      </c>
      <c r="F55" s="3634">
        <v>520.29999999999995</v>
      </c>
      <c r="G55" s="454">
        <v>724.6</v>
      </c>
      <c r="H55" s="3634">
        <v>659.6</v>
      </c>
      <c r="I55" s="593">
        <v>2345.8000000000002</v>
      </c>
      <c r="J55" s="596"/>
      <c r="K55" s="3635"/>
      <c r="L55" s="3635"/>
      <c r="M55" s="601"/>
    </row>
    <row r="56" spans="1:13">
      <c r="A56" s="1162" t="s">
        <v>472</v>
      </c>
      <c r="B56" s="151">
        <v>3021</v>
      </c>
      <c r="C56" s="3504">
        <v>1559</v>
      </c>
      <c r="D56" s="2403">
        <f t="shared" si="1"/>
        <v>4580</v>
      </c>
      <c r="E56" s="455">
        <v>477.6</v>
      </c>
      <c r="F56" s="3634">
        <v>1072.4000000000001</v>
      </c>
      <c r="G56" s="454">
        <v>292</v>
      </c>
      <c r="H56" s="3634">
        <v>522.9</v>
      </c>
      <c r="I56" s="593">
        <v>2364.9</v>
      </c>
      <c r="J56" s="596"/>
      <c r="K56" s="3635"/>
      <c r="L56" s="3635"/>
      <c r="M56" s="601"/>
    </row>
    <row r="57" spans="1:13">
      <c r="A57" s="1162" t="s">
        <v>473</v>
      </c>
      <c r="B57" s="151">
        <v>4651</v>
      </c>
      <c r="C57" s="3504">
        <v>1579</v>
      </c>
      <c r="D57" s="2403">
        <f t="shared" si="1"/>
        <v>6230</v>
      </c>
      <c r="E57" s="455">
        <v>787.6</v>
      </c>
      <c r="F57" s="3634">
        <v>1172.7</v>
      </c>
      <c r="G57" s="454">
        <v>415.9</v>
      </c>
      <c r="H57" s="3634">
        <v>758.8</v>
      </c>
      <c r="I57" s="593">
        <v>3135</v>
      </c>
      <c r="J57" s="596"/>
      <c r="K57" s="3635"/>
      <c r="L57" s="3635"/>
      <c r="M57" s="601"/>
    </row>
    <row r="58" spans="1:13">
      <c r="A58" s="1162" t="s">
        <v>65</v>
      </c>
      <c r="B58" s="151">
        <v>1764</v>
      </c>
      <c r="C58" s="3504">
        <v>658</v>
      </c>
      <c r="D58" s="2403">
        <f t="shared" si="1"/>
        <v>2422</v>
      </c>
      <c r="E58" s="455">
        <v>453.7</v>
      </c>
      <c r="F58" s="3634">
        <v>572.70000000000005</v>
      </c>
      <c r="G58" s="454">
        <v>82.2</v>
      </c>
      <c r="H58" s="3634">
        <v>417.2</v>
      </c>
      <c r="I58" s="593">
        <v>1525.8000000000002</v>
      </c>
      <c r="J58" s="596"/>
      <c r="K58" s="3635"/>
      <c r="L58" s="3635"/>
      <c r="M58" s="601"/>
    </row>
    <row r="59" spans="1:13">
      <c r="A59" s="1162" t="s">
        <v>474</v>
      </c>
      <c r="B59" s="151">
        <v>3548</v>
      </c>
      <c r="C59" s="3504">
        <v>763</v>
      </c>
      <c r="D59" s="2403">
        <f t="shared" si="1"/>
        <v>4311</v>
      </c>
      <c r="E59" s="455">
        <v>692</v>
      </c>
      <c r="F59" s="3634">
        <v>880.5</v>
      </c>
      <c r="G59" s="454">
        <v>352.4</v>
      </c>
      <c r="H59" s="3634">
        <v>696.1</v>
      </c>
      <c r="I59" s="593">
        <v>2621</v>
      </c>
      <c r="J59" s="596"/>
      <c r="K59" s="3635"/>
      <c r="L59" s="3635"/>
      <c r="M59" s="601"/>
    </row>
    <row r="60" spans="1:13">
      <c r="A60" s="1162" t="s">
        <v>475</v>
      </c>
      <c r="B60" s="151">
        <v>3292</v>
      </c>
      <c r="C60" s="3504">
        <v>546</v>
      </c>
      <c r="D60" s="2403">
        <f t="shared" si="1"/>
        <v>3838</v>
      </c>
      <c r="E60" s="455">
        <v>480.1</v>
      </c>
      <c r="F60" s="3634">
        <v>885.3</v>
      </c>
      <c r="G60" s="454">
        <v>389.3</v>
      </c>
      <c r="H60" s="3634">
        <v>517.29999999999995</v>
      </c>
      <c r="I60" s="593">
        <v>2271.9</v>
      </c>
      <c r="J60" s="596"/>
      <c r="K60" s="3635"/>
      <c r="L60" s="3635"/>
      <c r="M60" s="601"/>
    </row>
    <row r="61" spans="1:13">
      <c r="A61" s="1162" t="s">
        <v>476</v>
      </c>
      <c r="B61" s="151">
        <v>3565</v>
      </c>
      <c r="C61" s="3504">
        <v>616</v>
      </c>
      <c r="D61" s="2403">
        <f t="shared" si="1"/>
        <v>4181</v>
      </c>
      <c r="E61" s="455">
        <v>547.20000000000005</v>
      </c>
      <c r="F61" s="3634">
        <v>904.8</v>
      </c>
      <c r="G61" s="454">
        <v>374.5</v>
      </c>
      <c r="H61" s="3634">
        <v>718.3</v>
      </c>
      <c r="I61" s="593">
        <v>2544.8000000000002</v>
      </c>
      <c r="J61" s="596"/>
      <c r="K61" s="3635"/>
      <c r="L61" s="3635"/>
      <c r="M61" s="601"/>
    </row>
    <row r="62" spans="1:13">
      <c r="A62" s="1162" t="s">
        <v>477</v>
      </c>
      <c r="B62" s="151">
        <f>SUM(J62:M62)</f>
        <v>2378</v>
      </c>
      <c r="C62" s="3504">
        <v>369</v>
      </c>
      <c r="D62" s="590">
        <v>2747</v>
      </c>
      <c r="E62" s="455">
        <v>822</v>
      </c>
      <c r="F62" s="3634">
        <v>569.70000000000005</v>
      </c>
      <c r="G62" s="454">
        <v>115.3</v>
      </c>
      <c r="H62" s="3634">
        <v>427.8</v>
      </c>
      <c r="I62" s="593">
        <v>1934.8</v>
      </c>
      <c r="J62" s="117">
        <v>174</v>
      </c>
      <c r="K62" s="3636">
        <v>141</v>
      </c>
      <c r="L62" s="3636">
        <v>849</v>
      </c>
      <c r="M62" s="314">
        <v>1214</v>
      </c>
    </row>
    <row r="63" spans="1:13">
      <c r="A63" s="1162" t="s">
        <v>478</v>
      </c>
      <c r="B63" s="151">
        <v>3312</v>
      </c>
      <c r="C63" s="3504">
        <v>421</v>
      </c>
      <c r="D63" s="590">
        <v>3733</v>
      </c>
      <c r="E63" s="455">
        <v>647.9</v>
      </c>
      <c r="F63" s="3634">
        <v>836</v>
      </c>
      <c r="G63" s="454">
        <v>288</v>
      </c>
      <c r="H63" s="3634">
        <v>650.1</v>
      </c>
      <c r="I63" s="593">
        <v>2422</v>
      </c>
      <c r="J63" s="597">
        <v>290</v>
      </c>
      <c r="K63" s="3637">
        <v>130</v>
      </c>
      <c r="L63" s="3637">
        <v>1166</v>
      </c>
      <c r="M63" s="602">
        <v>1764</v>
      </c>
    </row>
    <row r="64" spans="1:13">
      <c r="A64" s="1162" t="s">
        <v>479</v>
      </c>
      <c r="B64" s="151">
        <v>2666</v>
      </c>
      <c r="C64" s="3504">
        <v>391</v>
      </c>
      <c r="D64" s="590">
        <v>3057</v>
      </c>
      <c r="E64" s="455">
        <v>510.6</v>
      </c>
      <c r="F64" s="3634">
        <v>846.3</v>
      </c>
      <c r="G64" s="454">
        <v>264.2</v>
      </c>
      <c r="H64" s="3634">
        <v>453.3</v>
      </c>
      <c r="I64" s="593">
        <v>2074.4</v>
      </c>
      <c r="J64" s="597">
        <v>319</v>
      </c>
      <c r="K64" s="3637">
        <v>96</v>
      </c>
      <c r="L64" s="3637">
        <v>1225</v>
      </c>
      <c r="M64" s="602">
        <v>1322</v>
      </c>
    </row>
    <row r="65" spans="1:16">
      <c r="A65" s="1162" t="s">
        <v>480</v>
      </c>
      <c r="B65" s="151">
        <v>4008</v>
      </c>
      <c r="C65" s="3504">
        <v>241</v>
      </c>
      <c r="D65" s="590">
        <v>4249</v>
      </c>
      <c r="E65" s="455">
        <v>652.6</v>
      </c>
      <c r="F65" s="3634">
        <v>1258.5</v>
      </c>
      <c r="G65" s="454">
        <v>437.6</v>
      </c>
      <c r="H65" s="3634">
        <v>639.79999999999995</v>
      </c>
      <c r="I65" s="593">
        <v>2988.4</v>
      </c>
      <c r="J65" s="597">
        <v>365</v>
      </c>
      <c r="K65" s="3637">
        <v>182</v>
      </c>
      <c r="L65" s="3637">
        <v>1758</v>
      </c>
      <c r="M65" s="602">
        <v>1434</v>
      </c>
    </row>
    <row r="66" spans="1:16">
      <c r="A66" s="1162" t="s">
        <v>481</v>
      </c>
      <c r="B66" s="151">
        <v>2583</v>
      </c>
      <c r="C66" s="3504">
        <v>421</v>
      </c>
      <c r="D66" s="590">
        <v>3004</v>
      </c>
      <c r="E66" s="455">
        <v>1225.7</v>
      </c>
      <c r="F66" s="3634">
        <v>873.5</v>
      </c>
      <c r="G66" s="454">
        <v>193.8</v>
      </c>
      <c r="H66" s="3634">
        <v>747.6</v>
      </c>
      <c r="I66" s="593">
        <v>3040.6</v>
      </c>
      <c r="J66" s="151">
        <v>186</v>
      </c>
      <c r="K66" s="3504">
        <v>113</v>
      </c>
      <c r="L66" s="3504">
        <v>1224</v>
      </c>
      <c r="M66" s="603">
        <f>218+532+677</f>
        <v>1427</v>
      </c>
    </row>
    <row r="67" spans="1:16">
      <c r="A67" s="1162" t="s">
        <v>482</v>
      </c>
      <c r="B67" s="151">
        <v>3834</v>
      </c>
      <c r="C67" s="3504">
        <v>381</v>
      </c>
      <c r="D67" s="590">
        <v>4215</v>
      </c>
      <c r="E67" s="455">
        <v>1039.4000000000001</v>
      </c>
      <c r="F67" s="3634">
        <v>1672.4</v>
      </c>
      <c r="G67" s="454">
        <v>609</v>
      </c>
      <c r="H67" s="3634">
        <v>960.80000000000007</v>
      </c>
      <c r="I67" s="593">
        <v>4281.6000000000004</v>
      </c>
      <c r="J67" s="151">
        <v>473</v>
      </c>
      <c r="K67" s="3504">
        <v>97</v>
      </c>
      <c r="L67" s="3504">
        <v>1439</v>
      </c>
      <c r="M67" s="603">
        <f>209+641+971</f>
        <v>1821</v>
      </c>
    </row>
    <row r="68" spans="1:16">
      <c r="A68" s="1162" t="s">
        <v>483</v>
      </c>
      <c r="B68" s="151">
        <v>4234</v>
      </c>
      <c r="C68" s="3504">
        <v>723</v>
      </c>
      <c r="D68" s="590">
        <v>4957</v>
      </c>
      <c r="E68" s="455">
        <v>1001.748007</v>
      </c>
      <c r="F68" s="3634">
        <v>2208.7948139999999</v>
      </c>
      <c r="G68" s="454">
        <v>975.79066</v>
      </c>
      <c r="H68" s="3634">
        <v>966.89053045090998</v>
      </c>
      <c r="I68" s="593">
        <v>5153.2240114509095</v>
      </c>
      <c r="J68" s="151">
        <v>686</v>
      </c>
      <c r="K68" s="3504">
        <v>188</v>
      </c>
      <c r="L68" s="3504">
        <v>1439</v>
      </c>
      <c r="M68" s="603">
        <f>352+471+1074</f>
        <v>1897</v>
      </c>
    </row>
    <row r="69" spans="1:16">
      <c r="A69" s="1162" t="s">
        <v>484</v>
      </c>
      <c r="B69" s="151">
        <v>4513</v>
      </c>
      <c r="C69" s="3504">
        <v>1001</v>
      </c>
      <c r="D69" s="590">
        <v>5514</v>
      </c>
      <c r="E69" s="455">
        <v>2148.1999807070179</v>
      </c>
      <c r="F69" s="3634">
        <v>2369.8211518177523</v>
      </c>
      <c r="G69" s="454">
        <v>1025.69905404</v>
      </c>
      <c r="H69" s="3634">
        <v>1870.4556993888248</v>
      </c>
      <c r="I69" s="593">
        <v>7414.1758859535948</v>
      </c>
      <c r="J69" s="151">
        <v>674</v>
      </c>
      <c r="K69" s="3504">
        <v>251</v>
      </c>
      <c r="L69" s="3504">
        <v>1268</v>
      </c>
      <c r="M69" s="603">
        <f>363+529+1282</f>
        <v>2174</v>
      </c>
    </row>
    <row r="70" spans="1:16">
      <c r="A70" s="1162" t="s">
        <v>485</v>
      </c>
      <c r="B70" s="151">
        <v>3517</v>
      </c>
      <c r="C70" s="3504">
        <v>716</v>
      </c>
      <c r="D70" s="590">
        <v>4233</v>
      </c>
      <c r="E70" s="455">
        <v>2043.6622342700175</v>
      </c>
      <c r="F70" s="3634">
        <v>1903.7863937849572</v>
      </c>
      <c r="G70" s="454">
        <v>338.51572748099994</v>
      </c>
      <c r="H70" s="3634">
        <v>1451.2602802185536</v>
      </c>
      <c r="I70" s="593">
        <v>5737.2246357545282</v>
      </c>
      <c r="J70" s="151">
        <v>340</v>
      </c>
      <c r="K70" s="3504">
        <v>201</v>
      </c>
      <c r="L70" s="3504">
        <v>1169</v>
      </c>
      <c r="M70" s="603">
        <f>220+688+923</f>
        <v>1831</v>
      </c>
    </row>
    <row r="71" spans="1:16">
      <c r="A71" s="1162" t="s">
        <v>486</v>
      </c>
      <c r="B71" s="151">
        <v>4810.0000021569658</v>
      </c>
      <c r="C71" s="3504">
        <v>1418</v>
      </c>
      <c r="D71" s="590">
        <v>6228.0000021569658</v>
      </c>
      <c r="E71" s="455">
        <v>2349.8022346754019</v>
      </c>
      <c r="F71" s="3634">
        <v>2976.4252142264613</v>
      </c>
      <c r="G71" s="454">
        <v>1065.2166509838</v>
      </c>
      <c r="H71" s="3634">
        <v>1886.3622380782499</v>
      </c>
      <c r="I71" s="593">
        <v>8277.8063379639134</v>
      </c>
      <c r="J71" s="151">
        <v>630</v>
      </c>
      <c r="K71" s="3504">
        <v>263</v>
      </c>
      <c r="L71" s="3504">
        <v>1766</v>
      </c>
      <c r="M71" s="603">
        <v>2305</v>
      </c>
    </row>
    <row r="72" spans="1:16">
      <c r="A72" s="1162" t="s">
        <v>487</v>
      </c>
      <c r="B72" s="151">
        <v>4663</v>
      </c>
      <c r="C72" s="3504">
        <v>1413</v>
      </c>
      <c r="D72" s="590">
        <v>6076</v>
      </c>
      <c r="E72" s="455">
        <v>1831.8521721829252</v>
      </c>
      <c r="F72" s="3634">
        <v>3745.3296014273874</v>
      </c>
      <c r="G72" s="454">
        <v>1314.2989624684783</v>
      </c>
      <c r="H72" s="3634">
        <v>1410.0437061462324</v>
      </c>
      <c r="I72" s="593">
        <v>8301.5244422250234</v>
      </c>
      <c r="J72" s="151">
        <v>715</v>
      </c>
      <c r="K72" s="3504">
        <v>254</v>
      </c>
      <c r="L72" s="3504">
        <v>2080</v>
      </c>
      <c r="M72" s="603">
        <v>2348</v>
      </c>
    </row>
    <row r="73" spans="1:16">
      <c r="A73" s="1162" t="s">
        <v>488</v>
      </c>
      <c r="B73" s="151">
        <v>4728</v>
      </c>
      <c r="C73" s="3504">
        <v>1507</v>
      </c>
      <c r="D73" s="590">
        <v>6235</v>
      </c>
      <c r="E73" s="455">
        <v>2225.6299501865597</v>
      </c>
      <c r="F73" s="3634">
        <v>3536.1048356240408</v>
      </c>
      <c r="G73" s="454">
        <v>1194.7781401908001</v>
      </c>
      <c r="H73" s="3634">
        <v>1925.0835041014257</v>
      </c>
      <c r="I73" s="594">
        <v>8881.5964301028253</v>
      </c>
      <c r="J73" s="151">
        <v>563</v>
      </c>
      <c r="K73" s="3504">
        <v>271</v>
      </c>
      <c r="L73" s="3504">
        <v>2022</v>
      </c>
      <c r="M73" s="603">
        <v>2096</v>
      </c>
      <c r="P73" s="322"/>
    </row>
    <row r="74" spans="1:16">
      <c r="A74" s="1162" t="s">
        <v>489</v>
      </c>
      <c r="B74" s="151">
        <v>2776</v>
      </c>
      <c r="C74" s="3504">
        <v>960</v>
      </c>
      <c r="D74" s="590">
        <v>3736</v>
      </c>
      <c r="E74" s="455">
        <v>2120.1271073081398</v>
      </c>
      <c r="F74" s="3634">
        <v>2220.4795152007773</v>
      </c>
      <c r="G74" s="454">
        <v>310.40746167653327</v>
      </c>
      <c r="H74" s="3634">
        <v>1297.51180282473</v>
      </c>
      <c r="I74" s="2377">
        <f t="shared" ref="I74:I97" si="2">E74+F74+G74+H74</f>
        <v>5948.5258870101798</v>
      </c>
      <c r="J74" s="151">
        <v>262</v>
      </c>
      <c r="K74" s="3504">
        <v>248</v>
      </c>
      <c r="L74" s="3504">
        <v>1575</v>
      </c>
      <c r="M74" s="603">
        <f>187+677+753</f>
        <v>1617</v>
      </c>
    </row>
    <row r="75" spans="1:16">
      <c r="A75" s="1162" t="s">
        <v>490</v>
      </c>
      <c r="B75" s="151">
        <v>3727</v>
      </c>
      <c r="C75" s="3504">
        <v>846</v>
      </c>
      <c r="D75" s="590">
        <v>4573</v>
      </c>
      <c r="E75" s="455">
        <v>1454.31628098136</v>
      </c>
      <c r="F75" s="3634">
        <v>3246.9782679053396</v>
      </c>
      <c r="G75" s="454">
        <v>1119.5625841076512</v>
      </c>
      <c r="H75" s="3634">
        <v>1893.276966460154</v>
      </c>
      <c r="I75" s="2377">
        <f t="shared" si="2"/>
        <v>7714.1340994545053</v>
      </c>
      <c r="J75" s="151">
        <v>461</v>
      </c>
      <c r="K75" s="3504">
        <v>170</v>
      </c>
      <c r="L75" s="3504">
        <v>1432</v>
      </c>
      <c r="M75" s="603">
        <f>285+754+1065</f>
        <v>2104</v>
      </c>
    </row>
    <row r="76" spans="1:16">
      <c r="A76" s="1162" t="s">
        <v>491</v>
      </c>
      <c r="B76" s="151">
        <v>2745</v>
      </c>
      <c r="C76" s="3504">
        <v>668</v>
      </c>
      <c r="D76" s="590">
        <v>3413</v>
      </c>
      <c r="E76" s="455">
        <v>1126.9065197831301</v>
      </c>
      <c r="F76" s="3634">
        <v>3381.5464686675841</v>
      </c>
      <c r="G76" s="454">
        <v>1628.0936305119189</v>
      </c>
      <c r="H76" s="3634">
        <v>1419.2062290658796</v>
      </c>
      <c r="I76" s="2377">
        <f t="shared" si="2"/>
        <v>7555.7528480285127</v>
      </c>
      <c r="J76" s="151">
        <v>507</v>
      </c>
      <c r="K76" s="3504">
        <v>105</v>
      </c>
      <c r="L76" s="3504">
        <v>1218</v>
      </c>
      <c r="M76" s="603">
        <f>180+511+672</f>
        <v>1363</v>
      </c>
    </row>
    <row r="77" spans="1:16">
      <c r="A77" s="1162" t="s">
        <v>492</v>
      </c>
      <c r="B77" s="151">
        <v>3382</v>
      </c>
      <c r="C77" s="3504">
        <v>836</v>
      </c>
      <c r="D77" s="590">
        <v>4218</v>
      </c>
      <c r="E77" s="455">
        <v>1775.9117233903498</v>
      </c>
      <c r="F77" s="3634">
        <v>4019.4896664183912</v>
      </c>
      <c r="G77" s="454">
        <v>1376.4664654246808</v>
      </c>
      <c r="H77" s="3634">
        <v>2474.0895418718392</v>
      </c>
      <c r="I77" s="2377">
        <f t="shared" si="2"/>
        <v>9645.9573971052614</v>
      </c>
      <c r="J77" s="151">
        <v>426</v>
      </c>
      <c r="K77" s="3504">
        <v>53</v>
      </c>
      <c r="L77" s="3504">
        <v>745</v>
      </c>
      <c r="M77" s="603">
        <f>156+430+734</f>
        <v>1320</v>
      </c>
    </row>
    <row r="78" spans="1:16">
      <c r="A78" s="1162" t="s">
        <v>493</v>
      </c>
      <c r="B78" s="151">
        <v>2665</v>
      </c>
      <c r="C78" s="3504">
        <v>681</v>
      </c>
      <c r="D78" s="590">
        <v>3346</v>
      </c>
      <c r="E78" s="455">
        <v>3768.1450031118275</v>
      </c>
      <c r="F78" s="3634">
        <v>3188.5850364330472</v>
      </c>
      <c r="G78" s="454">
        <v>734.39568868769993</v>
      </c>
      <c r="H78" s="3634">
        <v>2094.2778623615268</v>
      </c>
      <c r="I78" s="2377">
        <f t="shared" si="2"/>
        <v>9785.4035905941018</v>
      </c>
      <c r="J78" s="151">
        <v>239</v>
      </c>
      <c r="K78" s="3504">
        <v>71</v>
      </c>
      <c r="L78" s="3504">
        <v>488</v>
      </c>
      <c r="M78" s="603">
        <f>65+520+497</f>
        <v>1082</v>
      </c>
    </row>
    <row r="79" spans="1:16">
      <c r="A79" s="1162" t="s">
        <v>494</v>
      </c>
      <c r="B79" s="151">
        <v>3609</v>
      </c>
      <c r="C79" s="3504">
        <v>819</v>
      </c>
      <c r="D79" s="590">
        <v>4428</v>
      </c>
      <c r="E79" s="455">
        <v>2937.9246546843706</v>
      </c>
      <c r="F79" s="3634">
        <v>5969.8932912600239</v>
      </c>
      <c r="G79" s="454">
        <v>2204.8020134559001</v>
      </c>
      <c r="H79" s="3634">
        <v>2947.7669668885219</v>
      </c>
      <c r="I79" s="2377">
        <f t="shared" si="2"/>
        <v>14060.386926288815</v>
      </c>
      <c r="J79" s="151">
        <v>551</v>
      </c>
      <c r="K79" s="3504">
        <v>107</v>
      </c>
      <c r="L79" s="3504">
        <v>760</v>
      </c>
      <c r="M79" s="603">
        <f>130+769+881</f>
        <v>1780</v>
      </c>
    </row>
    <row r="80" spans="1:16">
      <c r="A80" s="1162" t="s">
        <v>495</v>
      </c>
      <c r="B80" s="151">
        <v>3384</v>
      </c>
      <c r="C80" s="3504">
        <v>960</v>
      </c>
      <c r="D80" s="590">
        <v>4344</v>
      </c>
      <c r="E80" s="455">
        <v>2172.9316986771923</v>
      </c>
      <c r="F80" s="3634">
        <v>7037.9381615612047</v>
      </c>
      <c r="G80" s="454">
        <v>2814.6810113190841</v>
      </c>
      <c r="H80" s="3634">
        <v>2969.5095792784796</v>
      </c>
      <c r="I80" s="2377">
        <f t="shared" si="2"/>
        <v>14995.060450835961</v>
      </c>
      <c r="J80" s="151">
        <v>630</v>
      </c>
      <c r="K80" s="3504">
        <v>74</v>
      </c>
      <c r="L80" s="3504">
        <v>911</v>
      </c>
      <c r="M80" s="603">
        <f>212+685+681</f>
        <v>1578</v>
      </c>
    </row>
    <row r="81" spans="1:13">
      <c r="A81" s="1162" t="s">
        <v>496</v>
      </c>
      <c r="B81" s="151">
        <v>3508</v>
      </c>
      <c r="C81" s="3504">
        <v>1144</v>
      </c>
      <c r="D81" s="590">
        <v>4652</v>
      </c>
      <c r="E81" s="455">
        <v>3084.9582990938206</v>
      </c>
      <c r="F81" s="3634">
        <v>6668.6744121213778</v>
      </c>
      <c r="G81" s="454">
        <v>2383.9526333994395</v>
      </c>
      <c r="H81" s="3634">
        <v>4770.6308375651897</v>
      </c>
      <c r="I81" s="2377">
        <f t="shared" si="2"/>
        <v>16908.216182179829</v>
      </c>
      <c r="J81" s="151">
        <v>502</v>
      </c>
      <c r="K81" s="3504">
        <v>70</v>
      </c>
      <c r="L81" s="3504">
        <v>698</v>
      </c>
      <c r="M81" s="603">
        <f>317+794+737</f>
        <v>1848</v>
      </c>
    </row>
    <row r="82" spans="1:13">
      <c r="A82" s="1162" t="s">
        <v>497</v>
      </c>
      <c r="B82" s="151">
        <v>2232</v>
      </c>
      <c r="C82" s="3504">
        <v>825</v>
      </c>
      <c r="D82" s="590">
        <v>3057</v>
      </c>
      <c r="E82" s="455">
        <v>4062.2807536668838</v>
      </c>
      <c r="F82" s="3634">
        <v>4317.9728413232897</v>
      </c>
      <c r="G82" s="454">
        <v>1202.6816706880004</v>
      </c>
      <c r="H82" s="3634">
        <v>3488.7366647662329</v>
      </c>
      <c r="I82" s="2377">
        <f t="shared" si="2"/>
        <v>13071.671930444407</v>
      </c>
      <c r="J82" s="151">
        <v>191</v>
      </c>
      <c r="K82" s="3504">
        <v>122</v>
      </c>
      <c r="L82" s="3504">
        <v>581</v>
      </c>
      <c r="M82" s="603">
        <v>1219</v>
      </c>
    </row>
    <row r="83" spans="1:13">
      <c r="A83" s="1162" t="s">
        <v>498</v>
      </c>
      <c r="B83" s="151">
        <v>5039</v>
      </c>
      <c r="C83" s="3504">
        <v>996</v>
      </c>
      <c r="D83" s="590">
        <v>6035</v>
      </c>
      <c r="E83" s="455">
        <v>5889.4281122487691</v>
      </c>
      <c r="F83" s="3634">
        <v>10006.011168056721</v>
      </c>
      <c r="G83" s="454">
        <v>5928.0660543042004</v>
      </c>
      <c r="H83" s="3634">
        <v>7112.8175673167625</v>
      </c>
      <c r="I83" s="2377">
        <f t="shared" si="2"/>
        <v>28936.322901926455</v>
      </c>
      <c r="J83" s="151">
        <v>632</v>
      </c>
      <c r="K83" s="3504">
        <v>70</v>
      </c>
      <c r="L83" s="3504">
        <v>761</v>
      </c>
      <c r="M83" s="603">
        <v>2024</v>
      </c>
    </row>
    <row r="84" spans="1:13">
      <c r="A84" s="1162" t="s">
        <v>499</v>
      </c>
      <c r="B84" s="151">
        <v>4833</v>
      </c>
      <c r="C84" s="3504">
        <v>497</v>
      </c>
      <c r="D84" s="590">
        <v>5330</v>
      </c>
      <c r="E84" s="455">
        <v>3459.7623597757738</v>
      </c>
      <c r="F84" s="3634">
        <v>10203.991618295529</v>
      </c>
      <c r="G84" s="454">
        <v>5712.888150910002</v>
      </c>
      <c r="H84" s="3634">
        <v>7422.7878526755057</v>
      </c>
      <c r="I84" s="2377">
        <f t="shared" si="2"/>
        <v>26799.429981656809</v>
      </c>
      <c r="J84" s="151">
        <v>619</v>
      </c>
      <c r="K84" s="3504">
        <v>139</v>
      </c>
      <c r="L84" s="3504">
        <v>1275</v>
      </c>
      <c r="M84" s="603">
        <v>1956</v>
      </c>
    </row>
    <row r="85" spans="1:13">
      <c r="A85" s="1162" t="s">
        <v>500</v>
      </c>
      <c r="B85" s="151">
        <v>5113</v>
      </c>
      <c r="C85" s="3504">
        <v>365</v>
      </c>
      <c r="D85" s="590">
        <v>5478</v>
      </c>
      <c r="E85" s="455">
        <v>5063.2327219198987</v>
      </c>
      <c r="F85" s="3634">
        <v>11114.475612357413</v>
      </c>
      <c r="G85" s="454">
        <v>5915.2423241639972</v>
      </c>
      <c r="H85" s="3634">
        <v>9917.46973158316</v>
      </c>
      <c r="I85" s="2377">
        <f t="shared" si="2"/>
        <v>32010.420390024468</v>
      </c>
      <c r="J85" s="151">
        <v>618</v>
      </c>
      <c r="K85" s="3504">
        <v>141</v>
      </c>
      <c r="L85" s="3504">
        <v>1368</v>
      </c>
      <c r="M85" s="603">
        <v>2183</v>
      </c>
    </row>
    <row r="86" spans="1:13">
      <c r="A86" s="1162" t="s">
        <v>501</v>
      </c>
      <c r="B86" s="151">
        <v>3654</v>
      </c>
      <c r="C86" s="3504">
        <v>263</v>
      </c>
      <c r="D86" s="590">
        <v>3917</v>
      </c>
      <c r="E86" s="455">
        <v>4877.7843783641993</v>
      </c>
      <c r="F86" s="3634">
        <v>9738.4071827974985</v>
      </c>
      <c r="G86" s="454">
        <v>3961.836959703001</v>
      </c>
      <c r="H86" s="3634">
        <v>6700.15307276778</v>
      </c>
      <c r="I86" s="2377">
        <f t="shared" si="2"/>
        <v>25278.181593632478</v>
      </c>
      <c r="J86" s="151">
        <v>414</v>
      </c>
      <c r="K86" s="3504">
        <v>148</v>
      </c>
      <c r="L86" s="3504">
        <v>1437</v>
      </c>
      <c r="M86" s="603">
        <v>2117</v>
      </c>
    </row>
    <row r="87" spans="1:13">
      <c r="A87" s="1162" t="s">
        <v>502</v>
      </c>
      <c r="B87" s="151">
        <v>5293</v>
      </c>
      <c r="C87" s="3504">
        <v>338</v>
      </c>
      <c r="D87" s="590">
        <v>5631</v>
      </c>
      <c r="E87" s="455">
        <v>8295.8561708154994</v>
      </c>
      <c r="F87" s="3634">
        <v>14787.142309134098</v>
      </c>
      <c r="G87" s="454">
        <v>10715.30173796999</v>
      </c>
      <c r="H87" s="3634">
        <v>9981.717728378233</v>
      </c>
      <c r="I87" s="2377">
        <f t="shared" si="2"/>
        <v>43780.017946297827</v>
      </c>
      <c r="J87" s="151">
        <v>727</v>
      </c>
      <c r="K87" s="3504">
        <v>202</v>
      </c>
      <c r="L87" s="3504">
        <v>1741</v>
      </c>
      <c r="M87" s="603">
        <v>2593</v>
      </c>
    </row>
    <row r="88" spans="1:13">
      <c r="A88" s="1162" t="s">
        <v>503</v>
      </c>
      <c r="B88" s="151">
        <v>5707</v>
      </c>
      <c r="C88" s="3504">
        <v>449</v>
      </c>
      <c r="D88" s="590">
        <v>6156</v>
      </c>
      <c r="E88" s="455">
        <v>6856.376267451672</v>
      </c>
      <c r="F88" s="3634">
        <v>17843.817197806693</v>
      </c>
      <c r="G88" s="454">
        <v>10817.203675789993</v>
      </c>
      <c r="H88" s="3634">
        <v>13482.100382548109</v>
      </c>
      <c r="I88" s="2377">
        <f t="shared" si="2"/>
        <v>48999.497523596467</v>
      </c>
      <c r="J88" s="151">
        <v>765</v>
      </c>
      <c r="K88" s="3504">
        <v>199</v>
      </c>
      <c r="L88" s="3504">
        <v>2023</v>
      </c>
      <c r="M88" s="603">
        <v>2520</v>
      </c>
    </row>
    <row r="89" spans="1:13">
      <c r="A89" s="1162" t="s">
        <v>504</v>
      </c>
      <c r="B89" s="151">
        <v>5908</v>
      </c>
      <c r="C89" s="3504">
        <v>306</v>
      </c>
      <c r="D89" s="590">
        <v>6214</v>
      </c>
      <c r="E89" s="455">
        <v>7078.5811836077073</v>
      </c>
      <c r="F89" s="3634">
        <v>17477.928404104401</v>
      </c>
      <c r="G89" s="454">
        <v>11237.883113299995</v>
      </c>
      <c r="H89" s="3634">
        <v>17125.642768179692</v>
      </c>
      <c r="I89" s="2377">
        <f t="shared" si="2"/>
        <v>52920.035469191796</v>
      </c>
      <c r="J89" s="151">
        <v>730</v>
      </c>
      <c r="K89" s="3504">
        <v>179</v>
      </c>
      <c r="L89" s="3504">
        <v>1862</v>
      </c>
      <c r="M89" s="603">
        <v>2622</v>
      </c>
    </row>
    <row r="90" spans="1:13">
      <c r="A90" s="1162" t="s">
        <v>505</v>
      </c>
      <c r="B90" s="151">
        <v>2429</v>
      </c>
      <c r="C90" s="3504">
        <v>171</v>
      </c>
      <c r="D90" s="590">
        <v>2600</v>
      </c>
      <c r="E90" s="455">
        <v>8861.0295312261169</v>
      </c>
      <c r="F90" s="3634">
        <v>16310.0651503843</v>
      </c>
      <c r="G90" s="454">
        <v>7575.5532434660036</v>
      </c>
      <c r="H90" s="3634">
        <v>11438.909453824201</v>
      </c>
      <c r="I90" s="2377">
        <f t="shared" si="2"/>
        <v>44185.557378900623</v>
      </c>
      <c r="J90" s="151">
        <v>483</v>
      </c>
      <c r="K90" s="3504">
        <v>236</v>
      </c>
      <c r="L90" s="3504">
        <v>1722</v>
      </c>
      <c r="M90" s="603">
        <v>1974</v>
      </c>
    </row>
    <row r="91" spans="1:13">
      <c r="A91" s="1162" t="s">
        <v>506</v>
      </c>
      <c r="B91" s="151">
        <v>5922</v>
      </c>
      <c r="C91" s="3504">
        <v>430</v>
      </c>
      <c r="D91" s="590">
        <v>6352</v>
      </c>
      <c r="E91" s="455">
        <v>14702.698712180954</v>
      </c>
      <c r="F91" s="3634">
        <v>25347.703396010744</v>
      </c>
      <c r="G91" s="454">
        <v>19533.217044650013</v>
      </c>
      <c r="H91" s="3634">
        <v>19187.995994100056</v>
      </c>
      <c r="I91" s="2377">
        <f t="shared" si="2"/>
        <v>78771.615146941767</v>
      </c>
      <c r="J91" s="151">
        <v>772</v>
      </c>
      <c r="K91" s="3504">
        <v>292</v>
      </c>
      <c r="L91" s="3504">
        <v>2030</v>
      </c>
      <c r="M91" s="603">
        <v>2943</v>
      </c>
    </row>
    <row r="92" spans="1:13">
      <c r="A92" s="1162" t="s">
        <v>507</v>
      </c>
      <c r="B92" s="151">
        <v>5851</v>
      </c>
      <c r="C92" s="3504">
        <v>318</v>
      </c>
      <c r="D92" s="590">
        <v>6169</v>
      </c>
      <c r="E92" s="455">
        <v>14167.889045345875</v>
      </c>
      <c r="F92" s="3634">
        <v>34164.830038552391</v>
      </c>
      <c r="G92" s="454">
        <v>14219.528447646006</v>
      </c>
      <c r="H92" s="3634">
        <v>20843.421958742583</v>
      </c>
      <c r="I92" s="2377">
        <f t="shared" si="2"/>
        <v>83395.669490286848</v>
      </c>
      <c r="J92" s="151">
        <v>775</v>
      </c>
      <c r="K92" s="3504">
        <v>232</v>
      </c>
      <c r="L92" s="3504">
        <v>2437</v>
      </c>
      <c r="M92" s="603">
        <v>2917</v>
      </c>
    </row>
    <row r="93" spans="1:13">
      <c r="A93" s="1162" t="s">
        <v>508</v>
      </c>
      <c r="B93" s="151">
        <v>4570</v>
      </c>
      <c r="C93" s="3504">
        <v>272</v>
      </c>
      <c r="D93" s="590">
        <v>4842</v>
      </c>
      <c r="E93" s="455">
        <v>10653.244742979034</v>
      </c>
      <c r="F93" s="3634">
        <v>30950.054602172109</v>
      </c>
      <c r="G93" s="3634">
        <v>13145.350266390002</v>
      </c>
      <c r="H93" s="3634">
        <v>20026.204236005196</v>
      </c>
      <c r="I93" s="2377">
        <f t="shared" si="2"/>
        <v>74774.853847546343</v>
      </c>
      <c r="J93" s="151">
        <v>686</v>
      </c>
      <c r="K93" s="3504">
        <v>140</v>
      </c>
      <c r="L93" s="3504">
        <v>1934</v>
      </c>
      <c r="M93" s="603">
        <v>2344</v>
      </c>
    </row>
    <row r="94" spans="1:13">
      <c r="A94" s="1162" t="s">
        <v>509</v>
      </c>
      <c r="B94" s="151">
        <v>1585</v>
      </c>
      <c r="C94" s="3504">
        <v>106</v>
      </c>
      <c r="D94" s="590">
        <v>1691</v>
      </c>
      <c r="E94" s="455">
        <v>16850.492343752601</v>
      </c>
      <c r="F94" s="3634">
        <v>33623.074913130331</v>
      </c>
      <c r="G94" s="3634">
        <v>7039.5810130199989</v>
      </c>
      <c r="H94" s="3634">
        <v>21028.84790931164</v>
      </c>
      <c r="I94" s="2377">
        <f t="shared" si="2"/>
        <v>78541.996179214562</v>
      </c>
      <c r="J94" s="151">
        <v>346</v>
      </c>
      <c r="K94" s="3504">
        <v>231</v>
      </c>
      <c r="L94" s="3504">
        <v>1865</v>
      </c>
      <c r="M94" s="603">
        <v>1748</v>
      </c>
    </row>
    <row r="95" spans="1:13">
      <c r="A95" s="1162" t="s">
        <v>510</v>
      </c>
      <c r="B95" s="151">
        <v>4587</v>
      </c>
      <c r="C95" s="3504">
        <v>174</v>
      </c>
      <c r="D95" s="590">
        <v>4761</v>
      </c>
      <c r="E95" s="455">
        <v>19862.464843382404</v>
      </c>
      <c r="F95" s="3634">
        <v>57537.977984828787</v>
      </c>
      <c r="G95" s="3634">
        <v>18927.161213739997</v>
      </c>
      <c r="H95" s="3634">
        <v>30273.848508139774</v>
      </c>
      <c r="I95" s="2377">
        <f t="shared" si="2"/>
        <v>126601.45255009097</v>
      </c>
      <c r="J95" s="151">
        <v>510</v>
      </c>
      <c r="K95" s="3504">
        <v>252</v>
      </c>
      <c r="L95" s="3504">
        <v>2410</v>
      </c>
      <c r="M95" s="603">
        <v>1989</v>
      </c>
    </row>
    <row r="96" spans="1:13">
      <c r="A96" s="1162" t="s">
        <v>511</v>
      </c>
      <c r="B96" s="151">
        <v>4093</v>
      </c>
      <c r="C96" s="3504">
        <v>317</v>
      </c>
      <c r="D96" s="590">
        <v>4410</v>
      </c>
      <c r="E96" s="455">
        <v>22356.185153013939</v>
      </c>
      <c r="F96" s="3634">
        <v>76452.853677458843</v>
      </c>
      <c r="G96" s="3634">
        <v>25079.457814042984</v>
      </c>
      <c r="H96" s="3634">
        <v>35977.908623174168</v>
      </c>
      <c r="I96" s="2377">
        <f t="shared" si="2"/>
        <v>159866.40526768993</v>
      </c>
      <c r="J96" s="151">
        <v>503</v>
      </c>
      <c r="K96" s="3504">
        <v>173</v>
      </c>
      <c r="L96" s="3504">
        <v>2296</v>
      </c>
      <c r="M96" s="603">
        <v>1768</v>
      </c>
    </row>
    <row r="97" spans="1:13">
      <c r="A97" s="1162" t="s">
        <v>512</v>
      </c>
      <c r="B97" s="151">
        <v>1777</v>
      </c>
      <c r="C97" s="3504">
        <v>52</v>
      </c>
      <c r="D97" s="590">
        <v>1829</v>
      </c>
      <c r="E97" s="455">
        <v>21162.768046268757</v>
      </c>
      <c r="F97" s="3634">
        <v>73353.845812399129</v>
      </c>
      <c r="G97" s="3634">
        <v>27762.920028422592</v>
      </c>
      <c r="H97" s="3634">
        <v>30006.460496071359</v>
      </c>
      <c r="I97" s="2377">
        <f t="shared" si="2"/>
        <v>152285.99438316183</v>
      </c>
      <c r="J97" s="151">
        <v>321</v>
      </c>
      <c r="K97" s="3504">
        <v>141</v>
      </c>
      <c r="L97" s="3504">
        <v>1745</v>
      </c>
      <c r="M97" s="603">
        <v>1419</v>
      </c>
    </row>
    <row r="98" spans="1:13">
      <c r="A98" s="1162" t="s">
        <v>513</v>
      </c>
      <c r="B98" s="151">
        <v>2748</v>
      </c>
      <c r="C98" s="3504">
        <v>23</v>
      </c>
      <c r="D98" s="590">
        <v>2771</v>
      </c>
      <c r="E98" s="455">
        <v>64982.398090858638</v>
      </c>
      <c r="F98" s="3634">
        <v>111937.13932755678</v>
      </c>
      <c r="G98" s="3634">
        <v>21298.927885670008</v>
      </c>
      <c r="H98" s="3634">
        <v>71724.315224049642</v>
      </c>
      <c r="I98" s="2377">
        <f t="shared" ref="I98:I104" si="3">E98+F98+G98+H98</f>
        <v>269942.78052813507</v>
      </c>
      <c r="J98" s="151">
        <v>215</v>
      </c>
      <c r="K98" s="3504">
        <v>41</v>
      </c>
      <c r="L98" s="3504">
        <v>1049</v>
      </c>
      <c r="M98" s="603">
        <v>1156</v>
      </c>
    </row>
    <row r="99" spans="1:13">
      <c r="A99" s="1162" t="s">
        <v>514</v>
      </c>
      <c r="B99" s="151">
        <v>3723</v>
      </c>
      <c r="C99" s="3504">
        <v>190</v>
      </c>
      <c r="D99" s="590">
        <v>3913</v>
      </c>
      <c r="E99" s="455">
        <v>69637.815236878989</v>
      </c>
      <c r="F99" s="3634">
        <v>179836.21725585763</v>
      </c>
      <c r="G99" s="3634">
        <v>95544.920331849979</v>
      </c>
      <c r="H99" s="3634">
        <v>100610.05904306295</v>
      </c>
      <c r="I99" s="2377">
        <f t="shared" si="3"/>
        <v>445629.01186764956</v>
      </c>
      <c r="J99" s="151">
        <v>372</v>
      </c>
      <c r="K99" s="3504">
        <v>143</v>
      </c>
      <c r="L99" s="3504">
        <v>1424</v>
      </c>
      <c r="M99" s="603">
        <v>1419</v>
      </c>
    </row>
    <row r="100" spans="1:13">
      <c r="A100" s="1162" t="s">
        <v>515</v>
      </c>
      <c r="B100" s="151">
        <v>4428</v>
      </c>
      <c r="C100" s="3504">
        <v>591</v>
      </c>
      <c r="D100" s="590">
        <v>5019</v>
      </c>
      <c r="E100" s="455">
        <v>86729.942451798168</v>
      </c>
      <c r="F100" s="3634">
        <v>265491.33047163015</v>
      </c>
      <c r="G100" s="3634">
        <v>151872.92774968306</v>
      </c>
      <c r="H100" s="3634">
        <v>148219.33617267507</v>
      </c>
      <c r="I100" s="2377">
        <f t="shared" si="3"/>
        <v>652313.5368457865</v>
      </c>
      <c r="J100" s="151">
        <v>583</v>
      </c>
      <c r="K100" s="3504">
        <v>108</v>
      </c>
      <c r="L100" s="3504">
        <v>1588</v>
      </c>
      <c r="M100" s="603">
        <v>1599</v>
      </c>
    </row>
    <row r="101" spans="1:13">
      <c r="A101" s="1162" t="s">
        <v>516</v>
      </c>
      <c r="B101" s="151">
        <v>5704</v>
      </c>
      <c r="C101" s="3504">
        <v>580</v>
      </c>
      <c r="D101" s="590">
        <v>6284</v>
      </c>
      <c r="E101" s="455">
        <v>101675.85699426875</v>
      </c>
      <c r="F101" s="3634">
        <v>216353.03911369044</v>
      </c>
      <c r="G101" s="3634">
        <v>89523.849776907038</v>
      </c>
      <c r="H101" s="3634">
        <v>164583.70522491602</v>
      </c>
      <c r="I101" s="2377">
        <f t="shared" si="3"/>
        <v>572136.45110978221</v>
      </c>
      <c r="J101" s="151">
        <v>477</v>
      </c>
      <c r="K101" s="3504">
        <v>158</v>
      </c>
      <c r="L101" s="3504">
        <v>1584</v>
      </c>
      <c r="M101" s="603">
        <v>1577</v>
      </c>
    </row>
    <row r="102" spans="1:13">
      <c r="A102" s="1162" t="s">
        <v>517</v>
      </c>
      <c r="B102" s="151">
        <v>2854</v>
      </c>
      <c r="C102" s="3504">
        <v>531</v>
      </c>
      <c r="D102" s="590">
        <v>5387</v>
      </c>
      <c r="E102" s="455">
        <v>136563.89355885997</v>
      </c>
      <c r="F102" s="3634">
        <v>165054.5483855193</v>
      </c>
      <c r="G102" s="3634">
        <v>46254.718602795983</v>
      </c>
      <c r="H102" s="3634">
        <v>164173.004799691</v>
      </c>
      <c r="I102" s="2377">
        <f t="shared" si="3"/>
        <v>512046.16534686624</v>
      </c>
      <c r="J102" s="151">
        <v>234</v>
      </c>
      <c r="K102" s="3504">
        <v>214</v>
      </c>
      <c r="L102" s="3504">
        <v>1214</v>
      </c>
      <c r="M102" s="603">
        <v>1210</v>
      </c>
    </row>
    <row r="103" spans="1:13">
      <c r="A103" s="1162" t="s">
        <v>518</v>
      </c>
      <c r="B103" s="151">
        <v>3608</v>
      </c>
      <c r="C103" s="3504">
        <v>665</v>
      </c>
      <c r="D103" s="590">
        <v>4880</v>
      </c>
      <c r="E103" s="455">
        <v>159060</v>
      </c>
      <c r="F103" s="3634">
        <v>250319.8</v>
      </c>
      <c r="G103" s="3634">
        <v>138202.1</v>
      </c>
      <c r="H103" s="3634">
        <v>196244.6</v>
      </c>
      <c r="I103" s="2377">
        <f t="shared" si="3"/>
        <v>743826.5</v>
      </c>
      <c r="J103" s="151">
        <v>516</v>
      </c>
      <c r="K103" s="3504">
        <v>212</v>
      </c>
      <c r="L103" s="3504">
        <v>1616</v>
      </c>
      <c r="M103" s="603">
        <v>1741</v>
      </c>
    </row>
    <row r="104" spans="1:13">
      <c r="A104" s="1162" t="s">
        <v>519</v>
      </c>
      <c r="B104" s="151">
        <v>3240</v>
      </c>
      <c r="C104" s="3504">
        <v>699</v>
      </c>
      <c r="D104" s="590">
        <v>4487</v>
      </c>
      <c r="E104" s="455">
        <v>101903.80119621981</v>
      </c>
      <c r="F104" s="3634">
        <v>257932.33597882319</v>
      </c>
      <c r="G104" s="3634">
        <v>140708.26742303156</v>
      </c>
      <c r="H104" s="3634">
        <v>191260.571396379</v>
      </c>
      <c r="I104" s="2377">
        <f t="shared" si="3"/>
        <v>691804.97599445353</v>
      </c>
      <c r="J104" s="151">
        <v>603</v>
      </c>
      <c r="K104" s="3504">
        <v>166</v>
      </c>
      <c r="L104" s="3504">
        <v>1718</v>
      </c>
      <c r="M104" s="603">
        <v>1496</v>
      </c>
    </row>
    <row r="105" spans="1:13">
      <c r="A105" s="1162" t="s">
        <v>520</v>
      </c>
      <c r="B105" s="151">
        <v>3099</v>
      </c>
      <c r="C105" s="3504">
        <v>630</v>
      </c>
      <c r="D105" s="590">
        <v>4054</v>
      </c>
      <c r="E105" s="455">
        <v>147240.1</v>
      </c>
      <c r="F105" s="3634">
        <v>244681.7</v>
      </c>
      <c r="G105" s="3634">
        <v>80648.2</v>
      </c>
      <c r="H105" s="3634">
        <v>198824.7</v>
      </c>
      <c r="I105" s="2377">
        <f>E105+F105+G105+H105</f>
        <v>671394.70000000007</v>
      </c>
      <c r="J105" s="151">
        <v>377</v>
      </c>
      <c r="K105" s="3504">
        <v>242</v>
      </c>
      <c r="L105" s="3504">
        <v>1282</v>
      </c>
      <c r="M105" s="603">
        <v>1542</v>
      </c>
    </row>
    <row r="106" spans="1:13">
      <c r="A106" s="1162" t="s">
        <v>521</v>
      </c>
      <c r="B106" s="151" t="e">
        <f>SUM(J106:M106)</f>
        <v>#N/A</v>
      </c>
      <c r="C106" s="3504" t="e">
        <f>D106-B106</f>
        <v>#N/A</v>
      </c>
      <c r="D106" s="590" t="e">
        <v>#N/A</v>
      </c>
      <c r="E106" s="455" t="e">
        <v>#N/A</v>
      </c>
      <c r="F106" s="3634" t="e">
        <v>#N/A</v>
      </c>
      <c r="G106" s="3634" t="e">
        <v>#N/A</v>
      </c>
      <c r="H106" s="3634" t="e">
        <v>#N/A</v>
      </c>
      <c r="I106" s="2377" t="e">
        <f t="shared" ref="I106:I118" si="4">E106+F106+G106+H106</f>
        <v>#N/A</v>
      </c>
      <c r="J106" s="151" t="e">
        <v>#N/A</v>
      </c>
      <c r="K106" s="3504" t="e">
        <v>#N/A</v>
      </c>
      <c r="L106" s="3504" t="e">
        <v>#N/A</v>
      </c>
      <c r="M106" s="603" t="e">
        <v>#N/A</v>
      </c>
    </row>
    <row r="107" spans="1:13">
      <c r="A107" s="1162" t="s">
        <v>522</v>
      </c>
      <c r="B107" s="151" t="e">
        <f>SUM(J107:M107)</f>
        <v>#N/A</v>
      </c>
      <c r="C107" s="3504" t="e">
        <f>D107-B107</f>
        <v>#N/A</v>
      </c>
      <c r="D107" s="590" t="e">
        <v>#N/A</v>
      </c>
      <c r="E107" s="455" t="e">
        <v>#N/A</v>
      </c>
      <c r="F107" s="3634" t="e">
        <v>#N/A</v>
      </c>
      <c r="G107" s="3634" t="e">
        <v>#N/A</v>
      </c>
      <c r="H107" s="3634" t="e">
        <v>#N/A</v>
      </c>
      <c r="I107" s="2377" t="e">
        <f t="shared" si="4"/>
        <v>#N/A</v>
      </c>
      <c r="J107" s="151" t="e">
        <v>#N/A</v>
      </c>
      <c r="K107" s="3504" t="e">
        <v>#N/A</v>
      </c>
      <c r="L107" s="3504" t="e">
        <v>#N/A</v>
      </c>
      <c r="M107" s="603" t="e">
        <v>#N/A</v>
      </c>
    </row>
    <row r="108" spans="1:13">
      <c r="A108" s="1162" t="s">
        <v>523</v>
      </c>
      <c r="B108" s="151" t="e">
        <f t="shared" ref="B108" si="5">SUM(J108:M108)</f>
        <v>#N/A</v>
      </c>
      <c r="C108" s="3504" t="e">
        <f>D108-B108</f>
        <v>#N/A</v>
      </c>
      <c r="D108" s="590" t="e">
        <v>#N/A</v>
      </c>
      <c r="E108" s="455" t="e">
        <v>#N/A</v>
      </c>
      <c r="F108" s="3634" t="e">
        <v>#N/A</v>
      </c>
      <c r="G108" s="3634" t="e">
        <v>#N/A</v>
      </c>
      <c r="H108" s="3634" t="e">
        <v>#N/A</v>
      </c>
      <c r="I108" s="2377" t="e">
        <f t="shared" si="4"/>
        <v>#N/A</v>
      </c>
      <c r="J108" s="151" t="e">
        <v>#N/A</v>
      </c>
      <c r="K108" s="3504" t="e">
        <v>#N/A</v>
      </c>
      <c r="L108" s="3504" t="e">
        <v>#N/A</v>
      </c>
      <c r="M108" s="603" t="e">
        <v>#N/A</v>
      </c>
    </row>
    <row r="109" spans="1:13">
      <c r="A109" s="1162" t="s">
        <v>524</v>
      </c>
      <c r="B109" s="151" t="e">
        <f>SUM(J109:M109)</f>
        <v>#N/A</v>
      </c>
      <c r="C109" s="3504" t="e">
        <f t="shared" ref="C109" si="6">D109-B109</f>
        <v>#N/A</v>
      </c>
      <c r="D109" s="590" t="e">
        <v>#N/A</v>
      </c>
      <c r="E109" s="455" t="e">
        <v>#N/A</v>
      </c>
      <c r="F109" s="3634" t="e">
        <v>#N/A</v>
      </c>
      <c r="G109" s="3634" t="e">
        <v>#N/A</v>
      </c>
      <c r="H109" s="3634" t="e">
        <v>#N/A</v>
      </c>
      <c r="I109" s="2377" t="e">
        <f t="shared" si="4"/>
        <v>#N/A</v>
      </c>
      <c r="J109" s="151" t="e">
        <v>#N/A</v>
      </c>
      <c r="K109" s="3504" t="e">
        <v>#N/A</v>
      </c>
      <c r="L109" s="3504" t="e">
        <v>#N/A</v>
      </c>
      <c r="M109" s="603" t="e">
        <v>#N/A</v>
      </c>
    </row>
    <row r="110" spans="1:13">
      <c r="A110" s="1162" t="s">
        <v>525</v>
      </c>
      <c r="B110" s="151" t="e">
        <f>SUM(J110:M110)</f>
        <v>#N/A</v>
      </c>
      <c r="C110" s="3504" t="e">
        <f t="shared" ref="C110:C118" si="7">D110-B110</f>
        <v>#N/A</v>
      </c>
      <c r="D110" s="590" t="e">
        <v>#N/A</v>
      </c>
      <c r="E110" s="455" t="e">
        <v>#N/A</v>
      </c>
      <c r="F110" s="3634" t="e">
        <v>#N/A</v>
      </c>
      <c r="G110" s="3634" t="e">
        <v>#N/A</v>
      </c>
      <c r="H110" s="3634" t="e">
        <v>#N/A</v>
      </c>
      <c r="I110" s="2377" t="e">
        <f t="shared" si="4"/>
        <v>#N/A</v>
      </c>
      <c r="J110" s="151" t="e">
        <v>#N/A</v>
      </c>
      <c r="K110" s="3504" t="e">
        <v>#N/A</v>
      </c>
      <c r="L110" s="3504" t="e">
        <v>#N/A</v>
      </c>
      <c r="M110" s="603" t="e">
        <v>#N/A</v>
      </c>
    </row>
    <row r="111" spans="1:13">
      <c r="A111" s="1162" t="s">
        <v>526</v>
      </c>
      <c r="B111" s="151" t="e">
        <f>SUM(J111:M111)</f>
        <v>#N/A</v>
      </c>
      <c r="C111" s="3504" t="e">
        <f t="shared" si="7"/>
        <v>#N/A</v>
      </c>
      <c r="D111" s="590" t="e">
        <v>#N/A</v>
      </c>
      <c r="E111" s="455" t="e">
        <v>#N/A</v>
      </c>
      <c r="F111" s="3634" t="e">
        <v>#N/A</v>
      </c>
      <c r="G111" s="3634" t="e">
        <v>#N/A</v>
      </c>
      <c r="H111" s="3634" t="e">
        <v>#N/A</v>
      </c>
      <c r="I111" s="2377" t="e">
        <f t="shared" si="4"/>
        <v>#N/A</v>
      </c>
      <c r="J111" s="151" t="e">
        <v>#N/A</v>
      </c>
      <c r="K111" s="3504" t="e">
        <v>#N/A</v>
      </c>
      <c r="L111" s="3504" t="e">
        <v>#N/A</v>
      </c>
      <c r="M111" s="603" t="e">
        <v>#N/A</v>
      </c>
    </row>
    <row r="112" spans="1:13">
      <c r="A112" s="1162" t="s">
        <v>527</v>
      </c>
      <c r="B112" s="151" t="e">
        <f>SUM(J112:M112)</f>
        <v>#N/A</v>
      </c>
      <c r="C112" s="3504" t="e">
        <f t="shared" si="7"/>
        <v>#N/A</v>
      </c>
      <c r="D112" s="590" t="e">
        <v>#N/A</v>
      </c>
      <c r="E112" s="455" t="e">
        <v>#N/A</v>
      </c>
      <c r="F112" s="3634" t="e">
        <v>#N/A</v>
      </c>
      <c r="G112" s="3634" t="e">
        <v>#N/A</v>
      </c>
      <c r="H112" s="3634" t="e">
        <v>#N/A</v>
      </c>
      <c r="I112" s="2377" t="e">
        <f t="shared" si="4"/>
        <v>#N/A</v>
      </c>
      <c r="J112" s="151" t="e">
        <v>#N/A</v>
      </c>
      <c r="K112" s="3504" t="e">
        <v>#N/A</v>
      </c>
      <c r="L112" s="3504" t="e">
        <v>#N/A</v>
      </c>
      <c r="M112" s="603" t="e">
        <v>#N/A</v>
      </c>
    </row>
    <row r="113" spans="1:13">
      <c r="A113" s="1162" t="s">
        <v>528</v>
      </c>
      <c r="B113" s="151" t="e">
        <f t="shared" ref="B113:B118" si="8">SUM(J113:M113)</f>
        <v>#N/A</v>
      </c>
      <c r="C113" s="3504" t="e">
        <f t="shared" si="7"/>
        <v>#N/A</v>
      </c>
      <c r="D113" s="590" t="e">
        <v>#N/A</v>
      </c>
      <c r="E113" s="455" t="e">
        <v>#N/A</v>
      </c>
      <c r="F113" s="3634" t="e">
        <v>#N/A</v>
      </c>
      <c r="G113" s="3634" t="e">
        <v>#N/A</v>
      </c>
      <c r="H113" s="3634" t="e">
        <v>#N/A</v>
      </c>
      <c r="I113" s="2377" t="e">
        <f t="shared" si="4"/>
        <v>#N/A</v>
      </c>
      <c r="J113" s="151" t="e">
        <v>#N/A</v>
      </c>
      <c r="K113" s="3504" t="e">
        <v>#N/A</v>
      </c>
      <c r="L113" s="3504" t="e">
        <v>#N/A</v>
      </c>
      <c r="M113" s="603" t="e">
        <v>#N/A</v>
      </c>
    </row>
    <row r="114" spans="1:13">
      <c r="A114" s="1162" t="s">
        <v>529</v>
      </c>
      <c r="B114" s="151" t="e">
        <f t="shared" si="8"/>
        <v>#N/A</v>
      </c>
      <c r="C114" s="3504" t="e">
        <f t="shared" si="7"/>
        <v>#N/A</v>
      </c>
      <c r="D114" s="590" t="e">
        <v>#N/A</v>
      </c>
      <c r="E114" s="455" t="e">
        <v>#N/A</v>
      </c>
      <c r="F114" s="3634" t="e">
        <v>#N/A</v>
      </c>
      <c r="G114" s="3634" t="e">
        <v>#N/A</v>
      </c>
      <c r="H114" s="3634" t="e">
        <v>#N/A</v>
      </c>
      <c r="I114" s="2377" t="e">
        <f t="shared" si="4"/>
        <v>#N/A</v>
      </c>
      <c r="J114" s="151" t="e">
        <v>#N/A</v>
      </c>
      <c r="K114" s="3504" t="e">
        <v>#N/A</v>
      </c>
      <c r="L114" s="3504" t="e">
        <v>#N/A</v>
      </c>
      <c r="M114" s="603" t="e">
        <v>#N/A</v>
      </c>
    </row>
    <row r="115" spans="1:13">
      <c r="A115" s="1162" t="s">
        <v>530</v>
      </c>
      <c r="B115" s="151" t="e">
        <f t="shared" si="8"/>
        <v>#N/A</v>
      </c>
      <c r="C115" s="3504" t="e">
        <f t="shared" si="7"/>
        <v>#N/A</v>
      </c>
      <c r="D115" s="590" t="e">
        <v>#N/A</v>
      </c>
      <c r="E115" s="455" t="e">
        <v>#N/A</v>
      </c>
      <c r="F115" s="3634" t="e">
        <v>#N/A</v>
      </c>
      <c r="G115" s="3634" t="e">
        <v>#N/A</v>
      </c>
      <c r="H115" s="3634" t="e">
        <v>#N/A</v>
      </c>
      <c r="I115" s="2377" t="e">
        <f t="shared" si="4"/>
        <v>#N/A</v>
      </c>
      <c r="J115" s="151" t="e">
        <v>#N/A</v>
      </c>
      <c r="K115" s="3504" t="e">
        <v>#N/A</v>
      </c>
      <c r="L115" s="3504" t="e">
        <v>#N/A</v>
      </c>
      <c r="M115" s="603" t="e">
        <v>#N/A</v>
      </c>
    </row>
    <row r="116" spans="1:13">
      <c r="A116" s="1162" t="s">
        <v>531</v>
      </c>
      <c r="B116" s="151" t="e">
        <f t="shared" si="8"/>
        <v>#N/A</v>
      </c>
      <c r="C116" s="3504" t="e">
        <f t="shared" si="7"/>
        <v>#N/A</v>
      </c>
      <c r="D116" s="590" t="e">
        <v>#N/A</v>
      </c>
      <c r="E116" s="455" t="e">
        <v>#N/A</v>
      </c>
      <c r="F116" s="3634" t="e">
        <v>#N/A</v>
      </c>
      <c r="G116" s="3634" t="e">
        <v>#N/A</v>
      </c>
      <c r="H116" s="3634" t="e">
        <v>#N/A</v>
      </c>
      <c r="I116" s="2377" t="e">
        <f t="shared" si="4"/>
        <v>#N/A</v>
      </c>
      <c r="J116" s="151" t="e">
        <v>#N/A</v>
      </c>
      <c r="K116" s="3504" t="e">
        <v>#N/A</v>
      </c>
      <c r="L116" s="3504" t="e">
        <v>#N/A</v>
      </c>
      <c r="M116" s="603" t="e">
        <v>#N/A</v>
      </c>
    </row>
    <row r="117" spans="1:13">
      <c r="A117" s="1162" t="s">
        <v>532</v>
      </c>
      <c r="B117" s="151" t="e">
        <f t="shared" si="8"/>
        <v>#N/A</v>
      </c>
      <c r="C117" s="3504" t="e">
        <f t="shared" si="7"/>
        <v>#N/A</v>
      </c>
      <c r="D117" s="590" t="e">
        <v>#N/A</v>
      </c>
      <c r="E117" s="455" t="e">
        <v>#N/A</v>
      </c>
      <c r="F117" s="3634" t="e">
        <v>#N/A</v>
      </c>
      <c r="G117" s="3634" t="e">
        <v>#N/A</v>
      </c>
      <c r="H117" s="3634" t="e">
        <v>#N/A</v>
      </c>
      <c r="I117" s="2377" t="e">
        <f t="shared" si="4"/>
        <v>#N/A</v>
      </c>
      <c r="J117" s="151" t="e">
        <v>#N/A</v>
      </c>
      <c r="K117" s="3504" t="e">
        <v>#N/A</v>
      </c>
      <c r="L117" s="3504" t="e">
        <v>#N/A</v>
      </c>
      <c r="M117" s="603" t="e">
        <v>#N/A</v>
      </c>
    </row>
    <row r="118" spans="1:13">
      <c r="A118" s="1162" t="s">
        <v>533</v>
      </c>
      <c r="B118" s="151" t="e">
        <f t="shared" si="8"/>
        <v>#N/A</v>
      </c>
      <c r="C118" s="3504" t="e">
        <f t="shared" si="7"/>
        <v>#N/A</v>
      </c>
      <c r="D118" s="590" t="e">
        <v>#N/A</v>
      </c>
      <c r="E118" s="455" t="e">
        <v>#N/A</v>
      </c>
      <c r="F118" s="3634" t="e">
        <v>#N/A</v>
      </c>
      <c r="G118" s="3634" t="e">
        <v>#N/A</v>
      </c>
      <c r="H118" s="3634" t="e">
        <v>#N/A</v>
      </c>
      <c r="I118" s="2377" t="e">
        <f t="shared" si="4"/>
        <v>#N/A</v>
      </c>
      <c r="J118" s="151" t="e">
        <v>#N/A</v>
      </c>
      <c r="K118" s="3504" t="e">
        <v>#N/A</v>
      </c>
      <c r="L118" s="3504" t="e">
        <v>#N/A</v>
      </c>
      <c r="M118" s="603" t="e">
        <v>#N/A</v>
      </c>
    </row>
    <row r="119" spans="1:13">
      <c r="A119" s="1162" t="s">
        <v>534</v>
      </c>
      <c r="B119" s="151" t="e">
        <f t="shared" ref="B119:B122" si="9">SUM(J119:M119)</f>
        <v>#N/A</v>
      </c>
      <c r="C119" s="3504" t="e">
        <f t="shared" ref="C119:C122" si="10">D119-B119</f>
        <v>#N/A</v>
      </c>
      <c r="D119" s="590" t="e">
        <v>#N/A</v>
      </c>
      <c r="E119" s="455" t="e">
        <v>#N/A</v>
      </c>
      <c r="F119" s="3634" t="e">
        <v>#N/A</v>
      </c>
      <c r="G119" s="3634" t="e">
        <v>#N/A</v>
      </c>
      <c r="H119" s="3634" t="e">
        <v>#N/A</v>
      </c>
      <c r="I119" s="2377" t="e">
        <f t="shared" ref="I119:I122" si="11">E119+F119+G119+H119</f>
        <v>#N/A</v>
      </c>
      <c r="J119" s="151" t="e">
        <v>#N/A</v>
      </c>
      <c r="K119" s="3504" t="e">
        <v>#N/A</v>
      </c>
      <c r="L119" s="3504" t="e">
        <v>#N/A</v>
      </c>
      <c r="M119" s="603" t="e">
        <v>#N/A</v>
      </c>
    </row>
    <row r="120" spans="1:13">
      <c r="A120" s="1162" t="s">
        <v>535</v>
      </c>
      <c r="B120" s="151" t="e">
        <f t="shared" si="9"/>
        <v>#N/A</v>
      </c>
      <c r="C120" s="3504" t="e">
        <f t="shared" si="10"/>
        <v>#N/A</v>
      </c>
      <c r="D120" s="590" t="e">
        <v>#N/A</v>
      </c>
      <c r="E120" s="455" t="e">
        <v>#N/A</v>
      </c>
      <c r="F120" s="3634" t="e">
        <v>#N/A</v>
      </c>
      <c r="G120" s="3634" t="e">
        <v>#N/A</v>
      </c>
      <c r="H120" s="3634" t="e">
        <v>#N/A</v>
      </c>
      <c r="I120" s="2377" t="e">
        <f t="shared" si="11"/>
        <v>#N/A</v>
      </c>
      <c r="J120" s="151" t="e">
        <v>#N/A</v>
      </c>
      <c r="K120" s="3504" t="e">
        <v>#N/A</v>
      </c>
      <c r="L120" s="3504" t="e">
        <v>#N/A</v>
      </c>
      <c r="M120" s="603" t="e">
        <v>#N/A</v>
      </c>
    </row>
    <row r="121" spans="1:13">
      <c r="A121" s="1162" t="s">
        <v>536</v>
      </c>
      <c r="B121" s="151" t="e">
        <f t="shared" si="9"/>
        <v>#N/A</v>
      </c>
      <c r="C121" s="3504" t="e">
        <f t="shared" si="10"/>
        <v>#N/A</v>
      </c>
      <c r="D121" s="590" t="e">
        <v>#N/A</v>
      </c>
      <c r="E121" s="455" t="e">
        <v>#N/A</v>
      </c>
      <c r="F121" s="3634" t="e">
        <v>#N/A</v>
      </c>
      <c r="G121" s="3634" t="e">
        <v>#N/A</v>
      </c>
      <c r="H121" s="3634" t="e">
        <v>#N/A</v>
      </c>
      <c r="I121" s="2377" t="e">
        <f t="shared" si="11"/>
        <v>#N/A</v>
      </c>
      <c r="J121" s="151" t="e">
        <v>#N/A</v>
      </c>
      <c r="K121" s="3504" t="e">
        <v>#N/A</v>
      </c>
      <c r="L121" s="3504" t="e">
        <v>#N/A</v>
      </c>
      <c r="M121" s="603" t="e">
        <v>#N/A</v>
      </c>
    </row>
    <row r="122" spans="1:13">
      <c r="A122" s="1162" t="s">
        <v>537</v>
      </c>
      <c r="B122" s="151" t="e">
        <f t="shared" si="9"/>
        <v>#N/A</v>
      </c>
      <c r="C122" s="3504" t="e">
        <f t="shared" si="10"/>
        <v>#N/A</v>
      </c>
      <c r="D122" s="590" t="e">
        <v>#N/A</v>
      </c>
      <c r="E122" s="455" t="e">
        <v>#N/A</v>
      </c>
      <c r="F122" s="3634" t="e">
        <v>#N/A</v>
      </c>
      <c r="G122" s="3634" t="e">
        <v>#N/A</v>
      </c>
      <c r="H122" s="3634" t="e">
        <v>#N/A</v>
      </c>
      <c r="I122" s="2377" t="e">
        <f t="shared" si="11"/>
        <v>#N/A</v>
      </c>
      <c r="J122" s="151" t="e">
        <v>#N/A</v>
      </c>
      <c r="K122" s="3504" t="e">
        <v>#N/A</v>
      </c>
      <c r="L122" s="3504" t="e">
        <v>#N/A</v>
      </c>
      <c r="M122" s="603" t="e">
        <v>#N/A</v>
      </c>
    </row>
    <row r="123" spans="1:13">
      <c r="A123" s="1162" t="s">
        <v>538</v>
      </c>
      <c r="B123" s="151" t="e">
        <f t="shared" ref="B123:B125" si="12">SUM(J123:M123)</f>
        <v>#N/A</v>
      </c>
      <c r="C123" s="3504" t="e">
        <f t="shared" ref="C123:C124" si="13">D123-B123</f>
        <v>#N/A</v>
      </c>
      <c r="D123" s="590" t="e">
        <v>#N/A</v>
      </c>
      <c r="E123" s="455" t="e">
        <v>#N/A</v>
      </c>
      <c r="F123" s="3634" t="e">
        <v>#N/A</v>
      </c>
      <c r="G123" s="3634" t="e">
        <v>#N/A</v>
      </c>
      <c r="H123" s="3634" t="e">
        <v>#N/A</v>
      </c>
      <c r="I123" s="2377" t="e">
        <f t="shared" ref="I123:I125" si="14">E123+F123+G123+H123</f>
        <v>#N/A</v>
      </c>
      <c r="J123" s="151" t="e">
        <v>#N/A</v>
      </c>
      <c r="K123" s="3504" t="e">
        <v>#N/A</v>
      </c>
      <c r="L123" s="3504" t="e">
        <v>#N/A</v>
      </c>
      <c r="M123" s="603" t="e">
        <v>#N/A</v>
      </c>
    </row>
    <row r="124" spans="1:13">
      <c r="A124" s="1162" t="s">
        <v>539</v>
      </c>
      <c r="B124" s="151" t="e">
        <f t="shared" si="12"/>
        <v>#N/A</v>
      </c>
      <c r="C124" s="3504" t="e">
        <f t="shared" si="13"/>
        <v>#N/A</v>
      </c>
      <c r="D124" s="590" t="e">
        <v>#N/A</v>
      </c>
      <c r="E124" s="455" t="e">
        <v>#N/A</v>
      </c>
      <c r="F124" s="3634" t="e">
        <v>#N/A</v>
      </c>
      <c r="G124" s="3634" t="e">
        <v>#N/A</v>
      </c>
      <c r="H124" s="3634" t="e">
        <v>#N/A</v>
      </c>
      <c r="I124" s="2377" t="e">
        <f t="shared" si="14"/>
        <v>#N/A</v>
      </c>
      <c r="J124" s="151" t="e">
        <v>#N/A</v>
      </c>
      <c r="K124" s="3504" t="e">
        <v>#N/A</v>
      </c>
      <c r="L124" s="3504" t="e">
        <v>#N/A</v>
      </c>
      <c r="M124" s="603" t="e">
        <v>#N/A</v>
      </c>
    </row>
    <row r="125" spans="1:13">
      <c r="A125" s="1162" t="s">
        <v>540</v>
      </c>
      <c r="B125" s="151" t="e">
        <f t="shared" si="12"/>
        <v>#N/A</v>
      </c>
      <c r="C125" s="3504" t="e">
        <f>D125-B125</f>
        <v>#N/A</v>
      </c>
      <c r="D125" s="590" t="e">
        <v>#N/A</v>
      </c>
      <c r="E125" s="455" t="e">
        <v>#N/A</v>
      </c>
      <c r="F125" s="3634" t="e">
        <v>#N/A</v>
      </c>
      <c r="G125" s="3634" t="e">
        <v>#N/A</v>
      </c>
      <c r="H125" s="3634" t="e">
        <v>#N/A</v>
      </c>
      <c r="I125" s="2377" t="e">
        <f t="shared" si="14"/>
        <v>#N/A</v>
      </c>
      <c r="J125" s="151" t="e">
        <v>#N/A</v>
      </c>
      <c r="K125" s="3504" t="e">
        <v>#N/A</v>
      </c>
      <c r="L125" s="3504" t="e">
        <v>#N/A</v>
      </c>
      <c r="M125" s="603" t="e">
        <v>#N/A</v>
      </c>
    </row>
    <row r="126" spans="1:13">
      <c r="A126" s="1247"/>
      <c r="I126" s="2378"/>
    </row>
    <row r="127" spans="1:13">
      <c r="A127" s="1247"/>
      <c r="I127" s="2378"/>
    </row>
    <row r="128" spans="1:13">
      <c r="A128" s="1247"/>
      <c r="I128" s="2378"/>
    </row>
    <row r="129" spans="1:9">
      <c r="A129" s="1247"/>
      <c r="I129" s="2378"/>
    </row>
    <row r="130" spans="1:9">
      <c r="A130" s="1247"/>
      <c r="I130" s="2378"/>
    </row>
    <row r="131" spans="1:9">
      <c r="A131" s="1247"/>
      <c r="I131" s="2378"/>
    </row>
    <row r="132" spans="1:9">
      <c r="A132" s="1247"/>
      <c r="I132" s="2378"/>
    </row>
    <row r="133" spans="1:9">
      <c r="A133" s="1247"/>
      <c r="I133" s="2378"/>
    </row>
    <row r="134" spans="1:9">
      <c r="A134" s="1247"/>
      <c r="I134" s="2378"/>
    </row>
    <row r="135" spans="1:9">
      <c r="A135" s="1247"/>
      <c r="I135" s="2378"/>
    </row>
    <row r="136" spans="1:9">
      <c r="A136" s="1247"/>
      <c r="I136" s="2378"/>
    </row>
    <row r="137" spans="1:9">
      <c r="A137" s="1247"/>
      <c r="I137" s="2378"/>
    </row>
    <row r="138" spans="1:9">
      <c r="A138" s="1247"/>
      <c r="I138" s="2378"/>
    </row>
    <row r="139" spans="1:9">
      <c r="A139" s="1247"/>
      <c r="I139" s="2378"/>
    </row>
    <row r="140" spans="1:9">
      <c r="A140" s="1247"/>
      <c r="I140" s="2378"/>
    </row>
    <row r="141" spans="1:9">
      <c r="A141" s="1247"/>
      <c r="I141" s="2378"/>
    </row>
    <row r="142" spans="1:9">
      <c r="A142" s="1247"/>
      <c r="I142" s="2378"/>
    </row>
    <row r="143" spans="1:9">
      <c r="A143" s="1247"/>
      <c r="I143" s="2378"/>
    </row>
    <row r="144" spans="1:9">
      <c r="A144" s="1247"/>
      <c r="I144" s="2378"/>
    </row>
    <row r="145" spans="1:9">
      <c r="A145" s="1247"/>
      <c r="I145" s="2378"/>
    </row>
    <row r="146" spans="1:9">
      <c r="A146" s="1247"/>
    </row>
    <row r="147" spans="1:9">
      <c r="A147" s="1247"/>
    </row>
    <row r="148" spans="1:9">
      <c r="A148" s="1247"/>
    </row>
    <row r="149" spans="1:9">
      <c r="A149" s="1247"/>
    </row>
    <row r="150" spans="1:9">
      <c r="A150" s="1247"/>
    </row>
    <row r="151" spans="1:9">
      <c r="A151" s="1247"/>
    </row>
    <row r="152" spans="1:9">
      <c r="A152" s="1247"/>
    </row>
    <row r="153" spans="1:9">
      <c r="A153" s="1247"/>
    </row>
    <row r="154" spans="1:9">
      <c r="A154" s="1247"/>
    </row>
    <row r="155" spans="1:9">
      <c r="A155" s="1247"/>
    </row>
    <row r="156" spans="1:9">
      <c r="A156" s="1247"/>
    </row>
    <row r="157" spans="1:9">
      <c r="A157" s="1247"/>
    </row>
    <row r="158" spans="1:9">
      <c r="A158" s="1247"/>
    </row>
    <row r="159" spans="1:9">
      <c r="A159" s="1247"/>
    </row>
    <row r="160" spans="1:9">
      <c r="A160" s="1247"/>
    </row>
    <row r="161" spans="1:1">
      <c r="A161" s="1247"/>
    </row>
    <row r="162" spans="1:1">
      <c r="A162" s="1247"/>
    </row>
    <row r="163" spans="1:1">
      <c r="A163" s="1247"/>
    </row>
    <row r="164" spans="1:1">
      <c r="A164" s="1247"/>
    </row>
    <row r="165" spans="1:1">
      <c r="A165" s="1247"/>
    </row>
    <row r="166" spans="1:1">
      <c r="A166" s="1247"/>
    </row>
    <row r="167" spans="1:1">
      <c r="A167" s="1247"/>
    </row>
    <row r="168" spans="1:1">
      <c r="A168" s="1247"/>
    </row>
    <row r="169" spans="1:1">
      <c r="A169" s="1247"/>
    </row>
    <row r="170" spans="1:1">
      <c r="A170" s="1247"/>
    </row>
    <row r="171" spans="1:1">
      <c r="A171" s="1247"/>
    </row>
    <row r="172" spans="1:1">
      <c r="A172" s="1247"/>
    </row>
    <row r="173" spans="1:1">
      <c r="A173" s="1247"/>
    </row>
    <row r="174" spans="1:1">
      <c r="A174" s="1247"/>
    </row>
    <row r="175" spans="1:1">
      <c r="A175" s="1247"/>
    </row>
    <row r="176" spans="1:1">
      <c r="A176" s="1247"/>
    </row>
    <row r="177" spans="1:1">
      <c r="A177" s="1247"/>
    </row>
    <row r="178" spans="1:1">
      <c r="A178" s="1247"/>
    </row>
    <row r="179" spans="1:1">
      <c r="A179" s="1247"/>
    </row>
    <row r="180" spans="1:1">
      <c r="A180" s="1247"/>
    </row>
    <row r="181" spans="1:1">
      <c r="A181" s="1247"/>
    </row>
    <row r="182" spans="1:1">
      <c r="A182" s="1247"/>
    </row>
    <row r="183" spans="1:1">
      <c r="A183" s="1247"/>
    </row>
    <row r="184" spans="1:1">
      <c r="A184" s="1247"/>
    </row>
    <row r="185" spans="1:1">
      <c r="A185" s="1247"/>
    </row>
    <row r="186" spans="1:1">
      <c r="A186" s="1247"/>
    </row>
    <row r="187" spans="1:1">
      <c r="A187" s="1247"/>
    </row>
    <row r="188" spans="1:1">
      <c r="A188" s="1247"/>
    </row>
    <row r="189" spans="1:1">
      <c r="A189" s="1247"/>
    </row>
    <row r="190" spans="1:1">
      <c r="A190" s="1247"/>
    </row>
    <row r="191" spans="1:1">
      <c r="A191" s="1247"/>
    </row>
    <row r="192" spans="1:1">
      <c r="A192" s="1247"/>
    </row>
    <row r="193" spans="1:1">
      <c r="A193" s="1247"/>
    </row>
    <row r="194" spans="1:1">
      <c r="A194" s="1247"/>
    </row>
    <row r="195" spans="1:1">
      <c r="A195" s="1247"/>
    </row>
    <row r="196" spans="1:1">
      <c r="A196" s="1247"/>
    </row>
    <row r="197" spans="1:1">
      <c r="A197" s="1247"/>
    </row>
    <row r="198" spans="1:1">
      <c r="A198" s="1247"/>
    </row>
    <row r="199" spans="1:1">
      <c r="A199" s="1247"/>
    </row>
    <row r="200" spans="1:1">
      <c r="A200" s="1247"/>
    </row>
    <row r="201" spans="1:1">
      <c r="A201" s="1247"/>
    </row>
    <row r="202" spans="1:1">
      <c r="A202" s="1247"/>
    </row>
    <row r="203" spans="1:1">
      <c r="A203" s="1247"/>
    </row>
    <row r="204" spans="1:1">
      <c r="A204" s="1247"/>
    </row>
    <row r="205" spans="1:1">
      <c r="A205" s="1247"/>
    </row>
    <row r="206" spans="1:1">
      <c r="A206" s="1247"/>
    </row>
    <row r="207" spans="1:1">
      <c r="A207" s="1247"/>
    </row>
    <row r="208" spans="1:1">
      <c r="A208" s="1247"/>
    </row>
    <row r="209" spans="1:1">
      <c r="A209" s="1247"/>
    </row>
    <row r="210" spans="1:1">
      <c r="A210" s="1247"/>
    </row>
    <row r="211" spans="1:1">
      <c r="A211" s="1247"/>
    </row>
    <row r="212" spans="1:1">
      <c r="A212" s="1247"/>
    </row>
    <row r="213" spans="1:1">
      <c r="A213" s="1247"/>
    </row>
    <row r="214" spans="1:1">
      <c r="A214" s="1247"/>
    </row>
    <row r="215" spans="1:1">
      <c r="A215" s="1247"/>
    </row>
    <row r="216" spans="1:1">
      <c r="A216" s="1247"/>
    </row>
    <row r="217" spans="1:1">
      <c r="A217" s="1247"/>
    </row>
    <row r="218" spans="1:1">
      <c r="A218" s="1247"/>
    </row>
    <row r="219" spans="1:1">
      <c r="A219" s="1247"/>
    </row>
    <row r="220" spans="1:1">
      <c r="A220" s="1247"/>
    </row>
    <row r="221" spans="1:1">
      <c r="A221" s="1247"/>
    </row>
    <row r="222" spans="1:1">
      <c r="A222" s="1247"/>
    </row>
    <row r="223" spans="1:1">
      <c r="A223" s="1247"/>
    </row>
    <row r="224" spans="1:1">
      <c r="A224" s="1247"/>
    </row>
    <row r="225" spans="1:1">
      <c r="A225" s="1247"/>
    </row>
    <row r="226" spans="1:1">
      <c r="A226" s="1247"/>
    </row>
    <row r="227" spans="1:1">
      <c r="A227" s="1247"/>
    </row>
    <row r="228" spans="1:1">
      <c r="A228" s="1247"/>
    </row>
    <row r="229" spans="1:1">
      <c r="A229" s="1247"/>
    </row>
    <row r="230" spans="1:1">
      <c r="A230" s="1247"/>
    </row>
    <row r="231" spans="1:1">
      <c r="A231" s="1247"/>
    </row>
    <row r="232" spans="1:1">
      <c r="A232" s="1247"/>
    </row>
    <row r="233" spans="1:1">
      <c r="A233" s="1247"/>
    </row>
    <row r="234" spans="1:1">
      <c r="A234" s="1247"/>
    </row>
    <row r="235" spans="1:1">
      <c r="A235" s="1247"/>
    </row>
    <row r="236" spans="1:1">
      <c r="A236" s="1247"/>
    </row>
    <row r="237" spans="1:1">
      <c r="A237" s="1247"/>
    </row>
    <row r="238" spans="1:1">
      <c r="A238" s="1247"/>
    </row>
    <row r="239" spans="1:1">
      <c r="A239" s="1247"/>
    </row>
    <row r="240" spans="1:1">
      <c r="A240" s="1247"/>
    </row>
    <row r="241" spans="1:1">
      <c r="A241" s="1247"/>
    </row>
    <row r="242" spans="1:1">
      <c r="A242" s="1247"/>
    </row>
    <row r="243" spans="1:1">
      <c r="A243" s="1247"/>
    </row>
    <row r="244" spans="1:1">
      <c r="A244" s="1247"/>
    </row>
    <row r="245" spans="1:1">
      <c r="A245" s="1247"/>
    </row>
    <row r="246" spans="1:1">
      <c r="A246" s="1247"/>
    </row>
    <row r="247" spans="1:1">
      <c r="A247" s="1247"/>
    </row>
    <row r="248" spans="1:1">
      <c r="A248" s="1247"/>
    </row>
    <row r="249" spans="1:1">
      <c r="A249" s="1247"/>
    </row>
    <row r="250" spans="1:1">
      <c r="A250" s="1247"/>
    </row>
    <row r="251" spans="1:1">
      <c r="A251" s="1247"/>
    </row>
    <row r="252" spans="1:1">
      <c r="A252" s="1247"/>
    </row>
    <row r="253" spans="1:1">
      <c r="A253" s="1247"/>
    </row>
    <row r="254" spans="1:1">
      <c r="A254" s="1247"/>
    </row>
    <row r="255" spans="1:1">
      <c r="A255" s="1247"/>
    </row>
    <row r="256" spans="1:1">
      <c r="A256" s="1247"/>
    </row>
    <row r="257" spans="1:1">
      <c r="A257" s="388"/>
    </row>
    <row r="258" spans="1:1">
      <c r="A258" s="388"/>
    </row>
    <row r="259" spans="1:1">
      <c r="A259" s="388"/>
    </row>
    <row r="260" spans="1:1">
      <c r="A260" s="388"/>
    </row>
    <row r="261" spans="1:1">
      <c r="A261" s="388"/>
    </row>
    <row r="262" spans="1:1">
      <c r="A262" s="388"/>
    </row>
    <row r="263" spans="1:1">
      <c r="A263" s="388"/>
    </row>
    <row r="264" spans="1:1">
      <c r="A264" s="388"/>
    </row>
    <row r="265" spans="1:1">
      <c r="A265" s="388"/>
    </row>
    <row r="266" spans="1:1">
      <c r="A266" s="388"/>
    </row>
    <row r="267" spans="1:1">
      <c r="A267" s="388"/>
    </row>
    <row r="268" spans="1:1">
      <c r="A268" s="388"/>
    </row>
    <row r="269" spans="1:1">
      <c r="A269" s="388"/>
    </row>
    <row r="270" spans="1:1">
      <c r="A270" s="388"/>
    </row>
    <row r="271" spans="1:1">
      <c r="A271" s="388"/>
    </row>
    <row r="272" spans="1:1">
      <c r="A272" s="388"/>
    </row>
    <row r="273" spans="1:1">
      <c r="A273" s="388"/>
    </row>
    <row r="274" spans="1:1">
      <c r="A274" s="388"/>
    </row>
    <row r="275" spans="1:1">
      <c r="A275" s="388"/>
    </row>
    <row r="276" spans="1:1">
      <c r="A276" s="388"/>
    </row>
    <row r="277" spans="1:1">
      <c r="A277" s="388"/>
    </row>
    <row r="278" spans="1:1">
      <c r="A278" s="388"/>
    </row>
    <row r="279" spans="1:1">
      <c r="A279" s="388"/>
    </row>
    <row r="280" spans="1:1">
      <c r="A280" s="388"/>
    </row>
    <row r="281" spans="1:1">
      <c r="A281" s="388"/>
    </row>
    <row r="282" spans="1:1">
      <c r="A282" s="388"/>
    </row>
    <row r="283" spans="1:1">
      <c r="A283" s="388"/>
    </row>
    <row r="284" spans="1:1">
      <c r="A284" s="388"/>
    </row>
    <row r="285" spans="1:1">
      <c r="A285" s="388"/>
    </row>
    <row r="286" spans="1:1">
      <c r="A286" s="388"/>
    </row>
    <row r="287" spans="1:1">
      <c r="A287" s="388"/>
    </row>
    <row r="288" spans="1:1">
      <c r="A288" s="388"/>
    </row>
    <row r="289" spans="1:1">
      <c r="A289" s="388"/>
    </row>
    <row r="290" spans="1:1">
      <c r="A290" s="388"/>
    </row>
    <row r="291" spans="1:1">
      <c r="A291" s="388"/>
    </row>
    <row r="292" spans="1:1">
      <c r="A292" s="388"/>
    </row>
    <row r="293" spans="1:1">
      <c r="A293" s="388"/>
    </row>
    <row r="294" spans="1:1">
      <c r="A294" s="388"/>
    </row>
    <row r="295" spans="1:1">
      <c r="A295" s="388"/>
    </row>
    <row r="296" spans="1:1">
      <c r="A296" s="388"/>
    </row>
    <row r="297" spans="1:1">
      <c r="A297" s="388"/>
    </row>
    <row r="298" spans="1:1">
      <c r="A298" s="388"/>
    </row>
    <row r="299" spans="1:1">
      <c r="A299" s="388"/>
    </row>
    <row r="300" spans="1:1">
      <c r="A300" s="388"/>
    </row>
    <row r="301" spans="1:1">
      <c r="A301" s="388"/>
    </row>
    <row r="302" spans="1:1">
      <c r="A302" s="388"/>
    </row>
    <row r="303" spans="1:1">
      <c r="A303" s="388"/>
    </row>
    <row r="304" spans="1:1">
      <c r="A304" s="388"/>
    </row>
    <row r="305" spans="1:1">
      <c r="A305" s="388"/>
    </row>
    <row r="306" spans="1:1">
      <c r="A306" s="388"/>
    </row>
    <row r="307" spans="1:1">
      <c r="A307" s="388"/>
    </row>
    <row r="308" spans="1:1">
      <c r="A308" s="388"/>
    </row>
    <row r="309" spans="1:1">
      <c r="A309" s="388"/>
    </row>
    <row r="310" spans="1:1">
      <c r="A310" s="388"/>
    </row>
    <row r="311" spans="1:1">
      <c r="A311" s="388"/>
    </row>
    <row r="312" spans="1:1">
      <c r="A312" s="388"/>
    </row>
    <row r="313" spans="1:1">
      <c r="A313" s="388"/>
    </row>
    <row r="314" spans="1:1">
      <c r="A314" s="388"/>
    </row>
    <row r="315" spans="1:1">
      <c r="A315" s="388"/>
    </row>
    <row r="316" spans="1:1">
      <c r="A316" s="388"/>
    </row>
    <row r="317" spans="1:1">
      <c r="A317" s="388"/>
    </row>
    <row r="318" spans="1:1">
      <c r="A318" s="388"/>
    </row>
    <row r="319" spans="1:1">
      <c r="A319" s="388"/>
    </row>
    <row r="320" spans="1:1">
      <c r="A320" s="388"/>
    </row>
    <row r="321" spans="1:1">
      <c r="A321" s="388"/>
    </row>
    <row r="322" spans="1:1">
      <c r="A322" s="388"/>
    </row>
    <row r="323" spans="1:1">
      <c r="A323" s="388"/>
    </row>
    <row r="324" spans="1:1">
      <c r="A324" s="388"/>
    </row>
    <row r="325" spans="1:1">
      <c r="A325" s="388"/>
    </row>
    <row r="326" spans="1:1">
      <c r="A326" s="388"/>
    </row>
    <row r="327" spans="1:1">
      <c r="A327" s="388"/>
    </row>
    <row r="328" spans="1:1">
      <c r="A328" s="388"/>
    </row>
    <row r="329" spans="1:1">
      <c r="A329" s="388"/>
    </row>
    <row r="330" spans="1:1">
      <c r="A330" s="388"/>
    </row>
    <row r="331" spans="1:1">
      <c r="A331" s="388"/>
    </row>
    <row r="332" spans="1:1">
      <c r="A332" s="388"/>
    </row>
    <row r="333" spans="1:1">
      <c r="A333" s="388"/>
    </row>
  </sheetData>
  <phoneticPr fontId="71" type="noConversion"/>
  <hyperlinks>
    <hyperlink ref="A5" location="INDICE!A13" display="VOLVER AL INDICE" xr:uid="{00000000-0004-0000-1B00-000000000000}"/>
  </hyperlinks>
  <pageMargins left="0.7" right="0.7" top="0.75" bottom="0.75" header="0.3" footer="0.3"/>
  <pageSetup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0">
    <pageSetUpPr autoPageBreaks="0" fitToPage="1"/>
  </sheetPr>
  <dimension ref="A1:Q465"/>
  <sheetViews>
    <sheetView zoomScaleNormal="100"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10.5703125" style="21" customWidth="1"/>
    <col min="2" max="2" width="11.140625" style="21" customWidth="1"/>
    <col min="3" max="3" width="16.42578125" style="21" bestFit="1" customWidth="1"/>
    <col min="4" max="13" width="13" style="21" customWidth="1"/>
    <col min="14" max="14" width="13.42578125" style="21" customWidth="1"/>
    <col min="15" max="16" width="13" style="21" customWidth="1"/>
    <col min="17" max="17" width="15" style="21" customWidth="1"/>
    <col min="18" max="16384" width="11.42578125" style="6"/>
  </cols>
  <sheetData>
    <row r="1" spans="1:17" s="10" customFormat="1" ht="3" customHeight="1">
      <c r="A1" s="2761"/>
      <c r="B1" s="63"/>
      <c r="C1" s="64"/>
      <c r="D1" s="191"/>
      <c r="E1" s="120"/>
      <c r="F1" s="120"/>
      <c r="G1" s="120"/>
      <c r="H1" s="120"/>
      <c r="I1" s="120"/>
      <c r="J1" s="120"/>
      <c r="K1" s="120"/>
      <c r="L1" s="120"/>
      <c r="M1" s="120"/>
      <c r="N1" s="262"/>
      <c r="O1" s="120"/>
      <c r="P1" s="120"/>
      <c r="Q1" s="121"/>
    </row>
    <row r="2" spans="1:17" s="10" customFormat="1" ht="41.25" customHeight="1">
      <c r="A2" s="2762" t="s">
        <v>99</v>
      </c>
      <c r="B2" s="56" t="s">
        <v>1172</v>
      </c>
      <c r="C2" s="2742"/>
      <c r="D2" s="2745" t="s">
        <v>1173</v>
      </c>
      <c r="E2" s="2742"/>
      <c r="F2" s="2742"/>
      <c r="G2" s="2742"/>
      <c r="H2" s="2742"/>
      <c r="I2" s="2742"/>
      <c r="J2" s="2742"/>
      <c r="K2" s="2742"/>
      <c r="L2" s="2742"/>
      <c r="M2" s="2742"/>
      <c r="N2" s="2745" t="s">
        <v>1174</v>
      </c>
      <c r="O2" s="2742"/>
      <c r="P2" s="2742"/>
      <c r="Q2" s="2913"/>
    </row>
    <row r="3" spans="1:17" s="10" customFormat="1" ht="33.75">
      <c r="A3" s="2762" t="s">
        <v>193</v>
      </c>
      <c r="B3" s="56" t="s">
        <v>117</v>
      </c>
      <c r="C3" s="2742"/>
      <c r="D3" s="2745" t="s">
        <v>117</v>
      </c>
      <c r="E3" s="2742"/>
      <c r="F3" s="2742"/>
      <c r="G3" s="2742"/>
      <c r="H3" s="2742"/>
      <c r="I3" s="2742"/>
      <c r="J3" s="2742"/>
      <c r="K3" s="2742"/>
      <c r="L3" s="2742"/>
      <c r="M3" s="2742"/>
      <c r="N3" s="2736" t="s">
        <v>117</v>
      </c>
      <c r="O3" s="2742"/>
      <c r="P3" s="2742"/>
      <c r="Q3" s="2913"/>
    </row>
    <row r="4" spans="1:17" s="10" customFormat="1" ht="3" hidden="1" customHeight="1">
      <c r="A4" s="2762"/>
      <c r="B4" s="63"/>
      <c r="C4" s="64"/>
      <c r="D4" s="191"/>
      <c r="E4" s="120"/>
      <c r="F4" s="120"/>
      <c r="G4" s="120"/>
      <c r="H4" s="120"/>
      <c r="I4" s="120"/>
      <c r="J4" s="120"/>
      <c r="K4" s="120"/>
      <c r="L4" s="120"/>
      <c r="M4" s="120"/>
      <c r="N4" s="2754"/>
      <c r="O4" s="120"/>
      <c r="P4" s="120"/>
      <c r="Q4" s="65"/>
    </row>
    <row r="5" spans="1:17" s="10" customFormat="1" ht="33.75">
      <c r="A5" s="2867" t="s">
        <v>140</v>
      </c>
      <c r="B5" s="1359" t="s">
        <v>167</v>
      </c>
      <c r="C5" s="5" t="s">
        <v>168</v>
      </c>
      <c r="D5" s="2758" t="s">
        <v>1175</v>
      </c>
      <c r="E5" s="952" t="s">
        <v>1176</v>
      </c>
      <c r="F5" s="5" t="s">
        <v>1177</v>
      </c>
      <c r="G5" s="952" t="s">
        <v>1178</v>
      </c>
      <c r="H5" s="5" t="s">
        <v>1179</v>
      </c>
      <c r="I5" s="952" t="s">
        <v>1180</v>
      </c>
      <c r="J5" s="5" t="s">
        <v>1181</v>
      </c>
      <c r="K5" s="952" t="s">
        <v>1182</v>
      </c>
      <c r="L5" s="5" t="s">
        <v>1183</v>
      </c>
      <c r="M5" s="2060" t="s">
        <v>1184</v>
      </c>
      <c r="N5" s="2758" t="s">
        <v>1185</v>
      </c>
      <c r="O5" s="952" t="s">
        <v>1186</v>
      </c>
      <c r="P5" s="952" t="s">
        <v>1187</v>
      </c>
      <c r="Q5" s="1" t="s">
        <v>1188</v>
      </c>
    </row>
    <row r="6" spans="1:17" s="10" customFormat="1" ht="3" hidden="1" customHeight="1">
      <c r="A6" s="2762"/>
      <c r="B6" s="604"/>
      <c r="C6" s="64"/>
      <c r="D6" s="142" t="s">
        <v>1189</v>
      </c>
      <c r="E6" s="3638"/>
      <c r="F6" s="142"/>
      <c r="G6" s="3638"/>
      <c r="H6" s="142"/>
      <c r="I6" s="3638" t="s">
        <v>1190</v>
      </c>
      <c r="J6" s="142" t="s">
        <v>1191</v>
      </c>
      <c r="K6" s="3638"/>
      <c r="L6" s="142"/>
      <c r="M6" s="2968"/>
      <c r="N6" s="2754"/>
      <c r="O6" s="3639"/>
      <c r="P6" s="3639"/>
      <c r="Q6" s="65"/>
    </row>
    <row r="7" spans="1:17" s="10" customFormat="1" ht="22.5">
      <c r="A7" s="2762" t="s">
        <v>125</v>
      </c>
      <c r="B7" s="1359" t="s">
        <v>131</v>
      </c>
      <c r="C7" s="5" t="s">
        <v>131</v>
      </c>
      <c r="D7" s="2758" t="s">
        <v>131</v>
      </c>
      <c r="E7" s="952" t="s">
        <v>131</v>
      </c>
      <c r="F7" s="5" t="s">
        <v>131</v>
      </c>
      <c r="G7" s="952" t="s">
        <v>131</v>
      </c>
      <c r="H7" s="5" t="s">
        <v>131</v>
      </c>
      <c r="I7" s="952" t="s">
        <v>131</v>
      </c>
      <c r="J7" s="5" t="s">
        <v>131</v>
      </c>
      <c r="K7" s="952" t="s">
        <v>131</v>
      </c>
      <c r="L7" s="5" t="s">
        <v>131</v>
      </c>
      <c r="M7" s="2060" t="s">
        <v>131</v>
      </c>
      <c r="N7" s="2758" t="s">
        <v>131</v>
      </c>
      <c r="O7" s="952" t="s">
        <v>131</v>
      </c>
      <c r="P7" s="952" t="s">
        <v>131</v>
      </c>
      <c r="Q7" s="1" t="s">
        <v>131</v>
      </c>
    </row>
    <row r="8" spans="1:17" s="10" customFormat="1">
      <c r="A8" s="2751" t="s">
        <v>144</v>
      </c>
      <c r="B8" s="2969" t="s">
        <v>1192</v>
      </c>
      <c r="C8" s="2239" t="s">
        <v>1193</v>
      </c>
      <c r="D8" s="2967" t="s">
        <v>1194</v>
      </c>
      <c r="E8" s="2238" t="s">
        <v>1195</v>
      </c>
      <c r="F8" s="2966" t="s">
        <v>1196</v>
      </c>
      <c r="G8" s="2238" t="s">
        <v>1197</v>
      </c>
      <c r="H8" s="2966" t="s">
        <v>1198</v>
      </c>
      <c r="I8" s="2238" t="s">
        <v>1199</v>
      </c>
      <c r="J8" s="2966" t="s">
        <v>1200</v>
      </c>
      <c r="K8" s="2238" t="s">
        <v>1201</v>
      </c>
      <c r="L8" s="2966" t="s">
        <v>1202</v>
      </c>
      <c r="M8" s="3640" t="s">
        <v>1203</v>
      </c>
      <c r="N8" s="2967" t="s">
        <v>1204</v>
      </c>
      <c r="O8" s="2238" t="s">
        <v>1205</v>
      </c>
      <c r="P8" s="2238" t="s">
        <v>1206</v>
      </c>
      <c r="Q8" s="2240" t="s">
        <v>1207</v>
      </c>
    </row>
    <row r="9" spans="1:17" s="11" customFormat="1" ht="13.5" thickBot="1">
      <c r="A9" s="2140"/>
      <c r="B9" s="1360"/>
      <c r="C9" s="1322"/>
      <c r="D9" s="1361"/>
      <c r="E9" s="1362"/>
      <c r="F9" s="1322"/>
      <c r="G9" s="1362"/>
      <c r="H9" s="1322"/>
      <c r="I9" s="1362"/>
      <c r="J9" s="1322"/>
      <c r="K9" s="1362"/>
      <c r="L9" s="1322"/>
      <c r="M9" s="1363"/>
      <c r="N9" s="573"/>
      <c r="O9" s="1244"/>
      <c r="P9" s="1244"/>
      <c r="Q9" s="1364"/>
    </row>
    <row r="10" spans="1:17" s="11" customFormat="1">
      <c r="A10" s="57">
        <v>1993.01</v>
      </c>
      <c r="B10" s="1773">
        <v>89.949200799362714</v>
      </c>
      <c r="C10" s="564">
        <v>94.315820963404406</v>
      </c>
      <c r="D10" s="174">
        <v>95.887407385408309</v>
      </c>
      <c r="E10" s="483">
        <v>91.852542577412223</v>
      </c>
      <c r="F10" s="563">
        <v>61.891483761232791</v>
      </c>
      <c r="G10" s="483">
        <v>98.162618368687205</v>
      </c>
      <c r="H10" s="563">
        <v>100.6113537117904</v>
      </c>
      <c r="I10" s="483">
        <v>94.351180434936765</v>
      </c>
      <c r="J10" s="563">
        <v>88.533291643130283</v>
      </c>
      <c r="K10" s="483">
        <v>90.424484352908223</v>
      </c>
      <c r="L10" s="563">
        <v>77.084698830988145</v>
      </c>
      <c r="M10" s="605">
        <v>90.631010136943871</v>
      </c>
      <c r="N10" s="606"/>
      <c r="O10" s="607"/>
      <c r="P10" s="607"/>
      <c r="Q10" s="1774"/>
    </row>
    <row r="11" spans="1:17" s="11" customFormat="1">
      <c r="A11" s="53">
        <v>1993.02</v>
      </c>
      <c r="B11" s="1267">
        <v>72.419346746197675</v>
      </c>
      <c r="C11" s="615">
        <v>95.597170805912</v>
      </c>
      <c r="D11" s="1192">
        <v>85.994966614957633</v>
      </c>
      <c r="E11" s="3535">
        <v>92.641242546423825</v>
      </c>
      <c r="F11" s="615">
        <v>88.210894686912184</v>
      </c>
      <c r="G11" s="3535">
        <v>86.521400176134193</v>
      </c>
      <c r="H11" s="615">
        <v>89.078743484997887</v>
      </c>
      <c r="I11" s="3535">
        <v>76.412389119145715</v>
      </c>
      <c r="J11" s="615">
        <v>89.429594007681231</v>
      </c>
      <c r="K11" s="3535">
        <v>73.914308036243966</v>
      </c>
      <c r="L11" s="615">
        <v>42.831168955865529</v>
      </c>
      <c r="M11" s="2970">
        <v>17.526321096383143</v>
      </c>
      <c r="N11" s="1365"/>
      <c r="O11" s="3641"/>
      <c r="P11" s="3641"/>
      <c r="Q11" s="1366"/>
    </row>
    <row r="12" spans="1:17" s="11" customFormat="1">
      <c r="A12" s="53">
        <v>1993.03</v>
      </c>
      <c r="B12" s="1267">
        <v>98.852640647497836</v>
      </c>
      <c r="C12" s="615">
        <v>96.110081546769578</v>
      </c>
      <c r="D12" s="1192">
        <v>100.34639102762318</v>
      </c>
      <c r="E12" s="3535">
        <v>104.05558145490762</v>
      </c>
      <c r="F12" s="615">
        <v>103.91218681157127</v>
      </c>
      <c r="G12" s="3535">
        <v>101.10836186051199</v>
      </c>
      <c r="H12" s="615">
        <v>95.992393294830251</v>
      </c>
      <c r="I12" s="3535">
        <v>100.07853515921551</v>
      </c>
      <c r="J12" s="615">
        <v>103.84903866970726</v>
      </c>
      <c r="K12" s="3535">
        <v>100.30556834926637</v>
      </c>
      <c r="L12" s="615">
        <v>96.368668408306235</v>
      </c>
      <c r="M12" s="2970">
        <v>91.865500940404999</v>
      </c>
      <c r="N12" s="1365"/>
      <c r="O12" s="3641"/>
      <c r="P12" s="3641"/>
      <c r="Q12" s="1366"/>
    </row>
    <row r="13" spans="1:17" s="11" customFormat="1">
      <c r="A13" s="53">
        <v>1993.04</v>
      </c>
      <c r="B13" s="1267">
        <v>99.758386948579258</v>
      </c>
      <c r="C13" s="615">
        <v>98.689813539924913</v>
      </c>
      <c r="D13" s="1192">
        <v>88.687076412509285</v>
      </c>
      <c r="E13" s="3535">
        <v>101.61846585012324</v>
      </c>
      <c r="F13" s="615">
        <v>110.5917575762245</v>
      </c>
      <c r="G13" s="3535">
        <v>103.79285037868109</v>
      </c>
      <c r="H13" s="615">
        <v>95.016199464713338</v>
      </c>
      <c r="I13" s="3535">
        <v>109.3986587604351</v>
      </c>
      <c r="J13" s="615">
        <v>94.40154353554361</v>
      </c>
      <c r="K13" s="3535">
        <v>102.84554056129944</v>
      </c>
      <c r="L13" s="615">
        <v>108.66777033830169</v>
      </c>
      <c r="M13" s="2970">
        <v>91.235320230176328</v>
      </c>
      <c r="N13" s="1365"/>
      <c r="O13" s="3641"/>
      <c r="P13" s="3641"/>
      <c r="Q13" s="1366"/>
    </row>
    <row r="14" spans="1:17" s="11" customFormat="1">
      <c r="A14" s="53">
        <v>1993.05</v>
      </c>
      <c r="B14" s="1267">
        <v>100.55983054662174</v>
      </c>
      <c r="C14" s="615">
        <v>100.63440817855816</v>
      </c>
      <c r="D14" s="1192">
        <v>89.483956926180255</v>
      </c>
      <c r="E14" s="3535">
        <v>93.690127743419637</v>
      </c>
      <c r="F14" s="615">
        <v>108.17085022556118</v>
      </c>
      <c r="G14" s="3535">
        <v>105.69575257950537</v>
      </c>
      <c r="H14" s="615">
        <v>106.59106916467107</v>
      </c>
      <c r="I14" s="3535">
        <v>98.404856265110027</v>
      </c>
      <c r="J14" s="615">
        <v>93.298301517556752</v>
      </c>
      <c r="K14" s="3535">
        <v>106.57704407403705</v>
      </c>
      <c r="L14" s="615">
        <v>115.82320146039633</v>
      </c>
      <c r="M14" s="2970">
        <v>97.665692916395273</v>
      </c>
      <c r="N14" s="1365"/>
      <c r="O14" s="3641"/>
      <c r="P14" s="3641"/>
      <c r="Q14" s="1366"/>
    </row>
    <row r="15" spans="1:17" s="11" customFormat="1">
      <c r="A15" s="53">
        <v>1993.06</v>
      </c>
      <c r="B15" s="1267">
        <v>101.66780605557591</v>
      </c>
      <c r="C15" s="615">
        <v>103.17786525310834</v>
      </c>
      <c r="D15" s="1192">
        <v>96.004678626925198</v>
      </c>
      <c r="E15" s="3535">
        <v>92.394446029483646</v>
      </c>
      <c r="F15" s="615">
        <v>112.70000507231242</v>
      </c>
      <c r="G15" s="3535">
        <v>95.098088007019498</v>
      </c>
      <c r="H15" s="615">
        <v>104.56684040005635</v>
      </c>
      <c r="I15" s="3535">
        <v>98.553857923671927</v>
      </c>
      <c r="J15" s="615">
        <v>85.924290865466929</v>
      </c>
      <c r="K15" s="3535">
        <v>102.93817583041167</v>
      </c>
      <c r="L15" s="615">
        <v>112.42870862912497</v>
      </c>
      <c r="M15" s="2970">
        <v>106.55071952331588</v>
      </c>
      <c r="N15" s="1365"/>
      <c r="O15" s="3641"/>
      <c r="P15" s="3641"/>
      <c r="Q15" s="1366"/>
    </row>
    <row r="16" spans="1:17" s="11" customFormat="1">
      <c r="A16" s="53">
        <v>1993.07</v>
      </c>
      <c r="B16" s="1267">
        <v>105.85058067149227</v>
      </c>
      <c r="C16" s="615">
        <v>100.94473609941328</v>
      </c>
      <c r="D16" s="1192">
        <v>104.52887558031782</v>
      </c>
      <c r="E16" s="3535">
        <v>101.58761628550572</v>
      </c>
      <c r="F16" s="615">
        <v>110.97581807313068</v>
      </c>
      <c r="G16" s="3535">
        <v>107.46990877260453</v>
      </c>
      <c r="H16" s="615">
        <v>104.35131708691365</v>
      </c>
      <c r="I16" s="3535">
        <v>103.11201710669229</v>
      </c>
      <c r="J16" s="615">
        <v>109.0803747531906</v>
      </c>
      <c r="K16" s="3535">
        <v>104.08625419386107</v>
      </c>
      <c r="L16" s="615">
        <v>108.13629376119259</v>
      </c>
      <c r="M16" s="2970">
        <v>112.19341100704972</v>
      </c>
      <c r="N16" s="1365"/>
      <c r="O16" s="3641"/>
      <c r="P16" s="3641"/>
      <c r="Q16" s="1366"/>
    </row>
    <row r="17" spans="1:17" s="11" customFormat="1">
      <c r="A17" s="53">
        <v>1993.08</v>
      </c>
      <c r="B17" s="1267">
        <v>104.94994158404991</v>
      </c>
      <c r="C17" s="615">
        <v>101.01405529868198</v>
      </c>
      <c r="D17" s="1192">
        <v>107.42450473057669</v>
      </c>
      <c r="E17" s="3535">
        <v>97.515473755992588</v>
      </c>
      <c r="F17" s="615">
        <v>109.72574273052871</v>
      </c>
      <c r="G17" s="3535">
        <v>91.057239330754442</v>
      </c>
      <c r="H17" s="615">
        <v>97.754613325820529</v>
      </c>
      <c r="I17" s="3535">
        <v>100.24319108018021</v>
      </c>
      <c r="J17" s="615">
        <v>105.57999098971803</v>
      </c>
      <c r="K17" s="3535">
        <v>108.45602872947377</v>
      </c>
      <c r="L17" s="615">
        <v>108.55742923592769</v>
      </c>
      <c r="M17" s="2970">
        <v>115.22387965720949</v>
      </c>
      <c r="N17" s="1365"/>
      <c r="O17" s="3641"/>
      <c r="P17" s="3641"/>
      <c r="Q17" s="1366"/>
    </row>
    <row r="18" spans="1:17" s="11" customFormat="1">
      <c r="A18" s="53">
        <v>1993.09</v>
      </c>
      <c r="B18" s="1267">
        <v>107.965175000052</v>
      </c>
      <c r="C18" s="615">
        <v>102.93973261541748</v>
      </c>
      <c r="D18" s="1192">
        <v>107.31973928542453</v>
      </c>
      <c r="E18" s="3535">
        <v>100.47703195927487</v>
      </c>
      <c r="F18" s="615">
        <v>107.27410069291288</v>
      </c>
      <c r="G18" s="3535">
        <v>104.0248324457593</v>
      </c>
      <c r="H18" s="615">
        <v>100.1464995069728</v>
      </c>
      <c r="I18" s="3535">
        <v>109.02126359475773</v>
      </c>
      <c r="J18" s="615">
        <v>109.99603305572732</v>
      </c>
      <c r="K18" s="3535">
        <v>105.98841544550834</v>
      </c>
      <c r="L18" s="615">
        <v>110.91869408195117</v>
      </c>
      <c r="M18" s="2970">
        <v>120.66922634096554</v>
      </c>
      <c r="N18" s="1365"/>
      <c r="O18" s="3641"/>
      <c r="P18" s="3641"/>
      <c r="Q18" s="1366"/>
    </row>
    <row r="19" spans="1:17" s="11" customFormat="1">
      <c r="A19" s="53">
        <v>1993.1</v>
      </c>
      <c r="B19" s="1267">
        <v>107.09023949851979</v>
      </c>
      <c r="C19" s="615">
        <v>102.03557869319117</v>
      </c>
      <c r="D19" s="1192">
        <v>106.83708278524199</v>
      </c>
      <c r="E19" s="3535">
        <v>101.8035632378284</v>
      </c>
      <c r="F19" s="615">
        <v>104.05713905605656</v>
      </c>
      <c r="G19" s="3535">
        <v>108.37015170565793</v>
      </c>
      <c r="H19" s="615">
        <v>104.03437103817438</v>
      </c>
      <c r="I19" s="3535">
        <v>109.40922663746933</v>
      </c>
      <c r="J19" s="615">
        <v>100.25019397503307</v>
      </c>
      <c r="K19" s="3535">
        <v>110.08799361547055</v>
      </c>
      <c r="L19" s="615">
        <v>109.39149991445021</v>
      </c>
      <c r="M19" s="2970">
        <v>113.2909808426913</v>
      </c>
      <c r="N19" s="1365"/>
      <c r="O19" s="3641"/>
      <c r="P19" s="3641"/>
      <c r="Q19" s="1366"/>
    </row>
    <row r="20" spans="1:17" s="11" customFormat="1">
      <c r="A20" s="53">
        <v>1993.11</v>
      </c>
      <c r="B20" s="1267">
        <v>105.62397746192727</v>
      </c>
      <c r="C20" s="615">
        <v>102.3733869002543</v>
      </c>
      <c r="D20" s="1192">
        <v>105.97959877260091</v>
      </c>
      <c r="E20" s="3535">
        <v>102.805279450524</v>
      </c>
      <c r="F20" s="615">
        <v>104.72443040149281</v>
      </c>
      <c r="G20" s="3535">
        <v>99.837951776479045</v>
      </c>
      <c r="H20" s="615">
        <v>97.019298492745449</v>
      </c>
      <c r="I20" s="3535">
        <v>99.624006761397553</v>
      </c>
      <c r="J20" s="615">
        <v>109.87728972481163</v>
      </c>
      <c r="K20" s="3535">
        <v>103.24083389665438</v>
      </c>
      <c r="L20" s="615">
        <v>111.24222086934091</v>
      </c>
      <c r="M20" s="2970">
        <v>123.34514695025322</v>
      </c>
      <c r="N20" s="1365"/>
      <c r="O20" s="3641"/>
      <c r="P20" s="3641"/>
      <c r="Q20" s="1366"/>
    </row>
    <row r="21" spans="1:17" s="11" customFormat="1">
      <c r="A21" s="53">
        <v>1993.12</v>
      </c>
      <c r="B21" s="1267">
        <v>105.31287404012357</v>
      </c>
      <c r="C21" s="615">
        <v>102.87272938263017</v>
      </c>
      <c r="D21" s="1192">
        <v>111.50572185223425</v>
      </c>
      <c r="E21" s="3535">
        <v>119.55862910910415</v>
      </c>
      <c r="F21" s="615">
        <v>77.765590912064056</v>
      </c>
      <c r="G21" s="3535">
        <v>98.860844598205432</v>
      </c>
      <c r="H21" s="615">
        <v>104.83730102831386</v>
      </c>
      <c r="I21" s="3535">
        <v>101.39081715698785</v>
      </c>
      <c r="J21" s="615">
        <v>109.78005726243342</v>
      </c>
      <c r="K21" s="3535">
        <v>91.135352914865052</v>
      </c>
      <c r="L21" s="615">
        <v>98.54964551415469</v>
      </c>
      <c r="M21" s="2970">
        <v>119.80279035821124</v>
      </c>
      <c r="N21" s="1365"/>
      <c r="O21" s="3641"/>
      <c r="P21" s="3641"/>
      <c r="Q21" s="1366"/>
    </row>
    <row r="22" spans="1:17">
      <c r="A22" s="53">
        <v>1994.01</v>
      </c>
      <c r="B22" s="1267">
        <v>92.580863413314702</v>
      </c>
      <c r="C22" s="615">
        <v>101.67152161974001</v>
      </c>
      <c r="D22" s="1192">
        <v>99.823377082073307</v>
      </c>
      <c r="E22" s="3535">
        <v>99.55154502074916</v>
      </c>
      <c r="F22" s="615">
        <v>61.160459734395687</v>
      </c>
      <c r="G22" s="3535">
        <v>96.432502452678392</v>
      </c>
      <c r="H22" s="615">
        <v>98.40329623890689</v>
      </c>
      <c r="I22" s="3535">
        <v>101.22737760067803</v>
      </c>
      <c r="J22" s="615">
        <v>91.807205126857113</v>
      </c>
      <c r="K22" s="3535">
        <v>96.544033939354549</v>
      </c>
      <c r="L22" s="615">
        <v>58.218489180181606</v>
      </c>
      <c r="M22" s="2970">
        <v>117.78082799986854</v>
      </c>
      <c r="N22" s="1365"/>
      <c r="O22" s="3641"/>
      <c r="P22" s="3641"/>
      <c r="Q22" s="1366"/>
    </row>
    <row r="23" spans="1:17">
      <c r="A23" s="53">
        <v>1994.02</v>
      </c>
      <c r="B23" s="1318">
        <v>80.396418030792546</v>
      </c>
      <c r="C23" s="615">
        <v>101.711362765126</v>
      </c>
      <c r="D23" s="1192">
        <v>91.251410324965875</v>
      </c>
      <c r="E23" s="3535">
        <v>97.793119837550307</v>
      </c>
      <c r="F23" s="615">
        <v>75.102039968839449</v>
      </c>
      <c r="G23" s="3535">
        <v>92.652231674584925</v>
      </c>
      <c r="H23" s="615">
        <v>85.080786026200869</v>
      </c>
      <c r="I23" s="3535">
        <v>91.205972778576992</v>
      </c>
      <c r="J23" s="615">
        <v>106.83550018527202</v>
      </c>
      <c r="K23" s="3535">
        <v>81.406673651647864</v>
      </c>
      <c r="L23" s="615">
        <v>57.977880167412778</v>
      </c>
      <c r="M23" s="2970">
        <v>30.308757042446782</v>
      </c>
      <c r="N23" s="1365"/>
      <c r="O23" s="3641"/>
      <c r="P23" s="3641"/>
      <c r="Q23" s="1366"/>
    </row>
    <row r="24" spans="1:17">
      <c r="A24" s="53">
        <v>1994.03</v>
      </c>
      <c r="B24" s="1318">
        <v>104.60853981525115</v>
      </c>
      <c r="C24" s="615">
        <v>101.14230008110907</v>
      </c>
      <c r="D24" s="1192">
        <v>104.29362596931691</v>
      </c>
      <c r="E24" s="3535">
        <v>114.39018560177807</v>
      </c>
      <c r="F24" s="615">
        <v>98.359464479537294</v>
      </c>
      <c r="G24" s="3535">
        <v>112.24769473751829</v>
      </c>
      <c r="H24" s="615">
        <v>87.70733906183969</v>
      </c>
      <c r="I24" s="3535">
        <v>107.50878170033644</v>
      </c>
      <c r="J24" s="615">
        <v>103.30896560427956</v>
      </c>
      <c r="K24" s="3535">
        <v>114.55125119647218</v>
      </c>
      <c r="L24" s="615">
        <v>98.165983727745214</v>
      </c>
      <c r="M24" s="2970">
        <v>120.02347310793297</v>
      </c>
      <c r="N24" s="1365"/>
      <c r="O24" s="3641"/>
      <c r="P24" s="3641"/>
      <c r="Q24" s="1366"/>
    </row>
    <row r="25" spans="1:17">
      <c r="A25" s="53">
        <v>1994.04</v>
      </c>
      <c r="B25" s="1318">
        <v>102.64081913072607</v>
      </c>
      <c r="C25" s="615">
        <v>102.83784930241322</v>
      </c>
      <c r="D25" s="1192">
        <v>94.236401052289736</v>
      </c>
      <c r="E25" s="3535">
        <v>92.456145158718698</v>
      </c>
      <c r="F25" s="615">
        <v>94.144648401396807</v>
      </c>
      <c r="G25" s="3535">
        <v>106.81260250613944</v>
      </c>
      <c r="H25" s="615">
        <v>81.139498520918423</v>
      </c>
      <c r="I25" s="3535">
        <v>117.01534673300245</v>
      </c>
      <c r="J25" s="615">
        <v>101.9328791177721</v>
      </c>
      <c r="K25" s="3535">
        <v>118.16911885204246</v>
      </c>
      <c r="L25" s="615">
        <v>100.73170338529543</v>
      </c>
      <c r="M25" s="2970">
        <v>123.80765958451303</v>
      </c>
      <c r="N25" s="1365"/>
      <c r="O25" s="3641"/>
      <c r="P25" s="3641"/>
      <c r="Q25" s="1366"/>
    </row>
    <row r="26" spans="1:17">
      <c r="A26" s="53">
        <v>1994.05</v>
      </c>
      <c r="B26" s="1318">
        <v>105.34602661002764</v>
      </c>
      <c r="C26" s="615">
        <v>104.58123089770449</v>
      </c>
      <c r="D26" s="1192">
        <v>98.09031202481313</v>
      </c>
      <c r="E26" s="3535">
        <v>100.26108500695221</v>
      </c>
      <c r="F26" s="615">
        <v>108.02518114576924</v>
      </c>
      <c r="G26" s="3535">
        <v>107.66709119989076</v>
      </c>
      <c r="H26" s="615">
        <v>90.645217636286787</v>
      </c>
      <c r="I26" s="3535">
        <v>115.02525113484073</v>
      </c>
      <c r="J26" s="615">
        <v>111.3395526898604</v>
      </c>
      <c r="K26" s="3535">
        <v>114.68801716376458</v>
      </c>
      <c r="L26" s="615">
        <v>102.97263549971755</v>
      </c>
      <c r="M26" s="2970">
        <v>120.89242365656357</v>
      </c>
      <c r="N26" s="1365"/>
      <c r="O26" s="3641"/>
      <c r="P26" s="3641"/>
      <c r="Q26" s="1366"/>
    </row>
    <row r="27" spans="1:17">
      <c r="A27" s="53">
        <v>1994.06</v>
      </c>
      <c r="B27" s="1318">
        <v>102.57321323873435</v>
      </c>
      <c r="C27" s="615">
        <v>103.66914621055577</v>
      </c>
      <c r="D27" s="1192">
        <v>100.73624289681126</v>
      </c>
      <c r="E27" s="3535">
        <v>98.749456340693541</v>
      </c>
      <c r="F27" s="615">
        <v>97.735112566712132</v>
      </c>
      <c r="G27" s="3535">
        <v>97.601122425576378</v>
      </c>
      <c r="H27" s="615">
        <v>88.747640512748276</v>
      </c>
      <c r="I27" s="3535">
        <v>110.04495813515486</v>
      </c>
      <c r="J27" s="615">
        <v>99.161129581685344</v>
      </c>
      <c r="K27" s="3535">
        <v>110.53356764201877</v>
      </c>
      <c r="L27" s="615">
        <v>97.343780150076242</v>
      </c>
      <c r="M27" s="2970">
        <v>121.62590394296272</v>
      </c>
      <c r="N27" s="1365"/>
      <c r="O27" s="3641"/>
      <c r="P27" s="3641"/>
      <c r="Q27" s="1366"/>
    </row>
    <row r="28" spans="1:17">
      <c r="A28" s="53">
        <v>1994.07</v>
      </c>
      <c r="B28" s="1318">
        <v>103.85214918742872</v>
      </c>
      <c r="C28" s="615">
        <v>103.86127912398572</v>
      </c>
      <c r="D28" s="1192">
        <v>110.2731469699828</v>
      </c>
      <c r="E28" s="3535">
        <v>97.206978109817356</v>
      </c>
      <c r="F28" s="615">
        <v>104.51651184853156</v>
      </c>
      <c r="G28" s="3535">
        <v>111.77328368829595</v>
      </c>
      <c r="H28" s="615">
        <v>91.047358782927162</v>
      </c>
      <c r="I28" s="3535">
        <v>110.11100538166508</v>
      </c>
      <c r="J28" s="615">
        <v>105.06146186953734</v>
      </c>
      <c r="K28" s="3535">
        <v>117.27576192189771</v>
      </c>
      <c r="L28" s="615">
        <v>82.0693941169542</v>
      </c>
      <c r="M28" s="2970">
        <v>127.76669957495879</v>
      </c>
      <c r="N28" s="1365"/>
      <c r="O28" s="3641"/>
      <c r="P28" s="3641"/>
      <c r="Q28" s="1366"/>
    </row>
    <row r="29" spans="1:17">
      <c r="A29" s="53">
        <v>1994.08</v>
      </c>
      <c r="B29" s="1318">
        <v>110.01054997328163</v>
      </c>
      <c r="C29" s="615">
        <v>104.13490581101281</v>
      </c>
      <c r="D29" s="1192">
        <v>117.89666058579107</v>
      </c>
      <c r="E29" s="3535">
        <v>102.4822536594139</v>
      </c>
      <c r="F29" s="615">
        <v>97.603481972243941</v>
      </c>
      <c r="G29" s="3535">
        <v>91.18461078862012</v>
      </c>
      <c r="H29" s="615">
        <v>85.216016340329617</v>
      </c>
      <c r="I29" s="3535">
        <v>109.97726236277238</v>
      </c>
      <c r="J29" s="615">
        <v>113.1663717422759</v>
      </c>
      <c r="K29" s="3535">
        <v>127.31841660581929</v>
      </c>
      <c r="L29" s="615">
        <v>96.862717417036137</v>
      </c>
      <c r="M29" s="2970">
        <v>146.60185777402489</v>
      </c>
      <c r="N29" s="1365"/>
      <c r="O29" s="3641"/>
      <c r="P29" s="3641"/>
      <c r="Q29" s="1366"/>
    </row>
    <row r="30" spans="1:17">
      <c r="A30" s="53">
        <v>1994.09</v>
      </c>
      <c r="B30" s="1318">
        <v>111.40154568946824</v>
      </c>
      <c r="C30" s="615">
        <v>105.80688550346984</v>
      </c>
      <c r="D30" s="1192">
        <v>118.35632473724279</v>
      </c>
      <c r="E30" s="3535">
        <v>106.15335184889925</v>
      </c>
      <c r="F30" s="615">
        <v>99.91552056180906</v>
      </c>
      <c r="G30" s="3535">
        <v>106.55869963347328</v>
      </c>
      <c r="H30" s="615">
        <v>92.710222500528232</v>
      </c>
      <c r="I30" s="3535">
        <v>108.75611181796998</v>
      </c>
      <c r="J30" s="615">
        <v>125.07948699878415</v>
      </c>
      <c r="K30" s="3535">
        <v>121.13109680832099</v>
      </c>
      <c r="L30" s="615">
        <v>91.681481699133471</v>
      </c>
      <c r="M30" s="2970">
        <v>148.25910821011152</v>
      </c>
      <c r="N30" s="1365"/>
      <c r="O30" s="3641"/>
      <c r="P30" s="3641"/>
      <c r="Q30" s="1366"/>
    </row>
    <row r="31" spans="1:17">
      <c r="A31" s="53">
        <v>1994.1</v>
      </c>
      <c r="B31" s="1318">
        <v>109.09400189634394</v>
      </c>
      <c r="C31" s="615">
        <v>104.3793837686303</v>
      </c>
      <c r="D31" s="1192">
        <v>113.36972725019081</v>
      </c>
      <c r="E31" s="3535">
        <v>97.546323320610099</v>
      </c>
      <c r="F31" s="615">
        <v>94.229704580760583</v>
      </c>
      <c r="G31" s="3535">
        <v>112.25287355147918</v>
      </c>
      <c r="H31" s="615">
        <v>92.865885269932377</v>
      </c>
      <c r="I31" s="3535">
        <v>118.91138910411851</v>
      </c>
      <c r="J31" s="615">
        <v>111.91950956631237</v>
      </c>
      <c r="K31" s="3535">
        <v>132.4279031982179</v>
      </c>
      <c r="L31" s="615">
        <v>90.672639008833144</v>
      </c>
      <c r="M31" s="2970">
        <v>133.57079041212248</v>
      </c>
      <c r="N31" s="1365"/>
      <c r="O31" s="3641"/>
      <c r="P31" s="3641"/>
      <c r="Q31" s="1366"/>
    </row>
    <row r="32" spans="1:17">
      <c r="A32" s="53">
        <v>1994.11</v>
      </c>
      <c r="B32" s="1318">
        <v>108.31823565311845</v>
      </c>
      <c r="C32" s="615">
        <v>104.97744098025184</v>
      </c>
      <c r="D32" s="1192">
        <v>110.87623449615018</v>
      </c>
      <c r="E32" s="3535">
        <v>105.56721012116628</v>
      </c>
      <c r="F32" s="615">
        <v>94.291443569396193</v>
      </c>
      <c r="G32" s="3535">
        <v>104.22718561926186</v>
      </c>
      <c r="H32" s="615">
        <v>91.638991407240439</v>
      </c>
      <c r="I32" s="3535">
        <v>115.45919241969617</v>
      </c>
      <c r="J32" s="615">
        <v>116.43063823204085</v>
      </c>
      <c r="K32" s="3535">
        <v>120.86505569239455</v>
      </c>
      <c r="L32" s="615">
        <v>86.230847484776504</v>
      </c>
      <c r="M32" s="2970">
        <v>139.16545492379558</v>
      </c>
      <c r="N32" s="1365"/>
      <c r="O32" s="3641"/>
      <c r="P32" s="3641"/>
      <c r="Q32" s="1366"/>
    </row>
    <row r="33" spans="1:17">
      <c r="A33" s="53">
        <v>1994.12</v>
      </c>
      <c r="B33" s="1318">
        <v>106.92547624693927</v>
      </c>
      <c r="C33" s="615">
        <v>106.8009836452573</v>
      </c>
      <c r="D33" s="1192">
        <v>115.91794862304137</v>
      </c>
      <c r="E33" s="3535">
        <v>116.67305338347485</v>
      </c>
      <c r="F33" s="615">
        <v>90.301241698767981</v>
      </c>
      <c r="G33" s="3535">
        <v>104.96832313722661</v>
      </c>
      <c r="H33" s="615">
        <v>88.729764755599376</v>
      </c>
      <c r="I33" s="3535">
        <v>115.03916205474727</v>
      </c>
      <c r="J33" s="615">
        <v>109.3921675928908</v>
      </c>
      <c r="K33" s="3535">
        <v>116.318172070336</v>
      </c>
      <c r="L33" s="615">
        <v>81.740287850030839</v>
      </c>
      <c r="M33" s="2970">
        <v>113.79743188581841</v>
      </c>
      <c r="N33" s="1365"/>
      <c r="O33" s="3641"/>
      <c r="P33" s="3641"/>
      <c r="Q33" s="1366"/>
    </row>
    <row r="34" spans="1:17">
      <c r="A34" s="53">
        <v>1995.01</v>
      </c>
      <c r="B34" s="1318">
        <v>91.587397697081542</v>
      </c>
      <c r="C34" s="615">
        <v>104.09142002353884</v>
      </c>
      <c r="D34" s="1192">
        <v>104.47071803126533</v>
      </c>
      <c r="E34" s="3535">
        <v>103.09020602933145</v>
      </c>
      <c r="F34" s="615">
        <v>68.40271983100773</v>
      </c>
      <c r="G34" s="3535">
        <v>109.06038193485119</v>
      </c>
      <c r="H34" s="615">
        <v>94.362382025637402</v>
      </c>
      <c r="I34" s="3535">
        <v>119.03825623210574</v>
      </c>
      <c r="J34" s="615">
        <v>118.20627345299094</v>
      </c>
      <c r="K34" s="3535">
        <v>110.53805412941615</v>
      </c>
      <c r="L34" s="615">
        <v>55.675489783160238</v>
      </c>
      <c r="M34" s="2970">
        <v>32.640007288071182</v>
      </c>
      <c r="N34" s="1365"/>
      <c r="O34" s="3641"/>
      <c r="P34" s="3641"/>
      <c r="Q34" s="1366"/>
    </row>
    <row r="35" spans="1:17">
      <c r="A35" s="53">
        <v>1995.02</v>
      </c>
      <c r="B35" s="1318">
        <v>90.441316500714493</v>
      </c>
      <c r="C35" s="615">
        <v>104.67838708240384</v>
      </c>
      <c r="D35" s="1192">
        <v>92.627997927807286</v>
      </c>
      <c r="E35" s="3535">
        <v>96.034694654351455</v>
      </c>
      <c r="F35" s="615">
        <v>86.128171336312704</v>
      </c>
      <c r="G35" s="3535">
        <v>99.773925820943305</v>
      </c>
      <c r="H35" s="615">
        <v>82.379822642273552</v>
      </c>
      <c r="I35" s="3535">
        <v>99.619773908969833</v>
      </c>
      <c r="J35" s="615">
        <v>113.15676823331114</v>
      </c>
      <c r="K35" s="3535">
        <v>96.863747093420216</v>
      </c>
      <c r="L35" s="615">
        <v>51.571955223161112</v>
      </c>
      <c r="M35" s="2970">
        <v>114.10813163613162</v>
      </c>
      <c r="N35" s="1365"/>
      <c r="O35" s="3641"/>
      <c r="P35" s="3641"/>
      <c r="Q35" s="1366"/>
    </row>
    <row r="36" spans="1:17">
      <c r="A36" s="53">
        <v>1995.03</v>
      </c>
      <c r="B36" s="1318">
        <v>105.62542280217194</v>
      </c>
      <c r="C36" s="615">
        <v>101.55395954239992</v>
      </c>
      <c r="D36" s="1192">
        <v>104.29430591923308</v>
      </c>
      <c r="E36" s="3535">
        <v>111.89137086775867</v>
      </c>
      <c r="F36" s="615">
        <v>99.134854771686918</v>
      </c>
      <c r="G36" s="3535">
        <v>112.00899953351767</v>
      </c>
      <c r="H36" s="615">
        <v>89.804672423052551</v>
      </c>
      <c r="I36" s="3535">
        <v>113.50257587200912</v>
      </c>
      <c r="J36" s="615">
        <v>120.18905498627967</v>
      </c>
      <c r="K36" s="3535">
        <v>125.55632670959055</v>
      </c>
      <c r="L36" s="615">
        <v>79.271243920153651</v>
      </c>
      <c r="M36" s="2970">
        <v>125.38436279980475</v>
      </c>
      <c r="N36" s="1365"/>
      <c r="O36" s="3641"/>
      <c r="P36" s="3641"/>
      <c r="Q36" s="1366"/>
    </row>
    <row r="37" spans="1:17">
      <c r="A37" s="53">
        <v>1995.04</v>
      </c>
      <c r="B37" s="1318">
        <v>92.616021876134624</v>
      </c>
      <c r="C37" s="615">
        <v>99.184539275231401</v>
      </c>
      <c r="D37" s="1192">
        <v>91.648182083889864</v>
      </c>
      <c r="E37" s="3535">
        <v>96.158092912821544</v>
      </c>
      <c r="F37" s="615">
        <v>95.976502696431552</v>
      </c>
      <c r="G37" s="3535">
        <v>106.53164292364599</v>
      </c>
      <c r="H37" s="615">
        <v>87.609977857796864</v>
      </c>
      <c r="I37" s="3535">
        <v>106.79023118728665</v>
      </c>
      <c r="J37" s="615">
        <v>91.438170920089291</v>
      </c>
      <c r="K37" s="3535">
        <v>125.66740060547872</v>
      </c>
      <c r="L37" s="615">
        <v>65.003601349510092</v>
      </c>
      <c r="M37" s="2970">
        <v>86.828171837691599</v>
      </c>
      <c r="N37" s="1365"/>
      <c r="O37" s="3641"/>
      <c r="P37" s="3641"/>
      <c r="Q37" s="1366"/>
    </row>
    <row r="38" spans="1:17">
      <c r="A38" s="53">
        <v>1995.05</v>
      </c>
      <c r="B38" s="1318">
        <v>98.356177614234113</v>
      </c>
      <c r="C38" s="615">
        <v>96.399344725994212</v>
      </c>
      <c r="D38" s="1192">
        <v>101.32521323257286</v>
      </c>
      <c r="E38" s="3535">
        <v>101.27912063933049</v>
      </c>
      <c r="F38" s="615">
        <v>90.948626096849935</v>
      </c>
      <c r="G38" s="3535">
        <v>118.50623920676435</v>
      </c>
      <c r="H38" s="615">
        <v>90.811452165908037</v>
      </c>
      <c r="I38" s="3535">
        <v>109.02662964778399</v>
      </c>
      <c r="J38" s="615">
        <v>102.48050684213329</v>
      </c>
      <c r="K38" s="3535">
        <v>128.00313090240149</v>
      </c>
      <c r="L38" s="615">
        <v>63.326343044664952</v>
      </c>
      <c r="M38" s="2970">
        <v>108.77356133890645</v>
      </c>
      <c r="N38" s="1365"/>
      <c r="O38" s="3641"/>
      <c r="P38" s="3641"/>
      <c r="Q38" s="1366"/>
    </row>
    <row r="39" spans="1:17">
      <c r="A39" s="53">
        <v>1995.06</v>
      </c>
      <c r="B39" s="1318">
        <v>94.391973016544569</v>
      </c>
      <c r="C39" s="615">
        <v>94.937605621381408</v>
      </c>
      <c r="D39" s="1192">
        <v>105.63202814746766</v>
      </c>
      <c r="E39" s="3535">
        <v>97.885668531402871</v>
      </c>
      <c r="F39" s="615">
        <v>90.891064522243553</v>
      </c>
      <c r="G39" s="3535">
        <v>115.32523108392263</v>
      </c>
      <c r="H39" s="615">
        <v>87.694645661470787</v>
      </c>
      <c r="I39" s="3535">
        <v>104.95141477191136</v>
      </c>
      <c r="J39" s="615">
        <v>91.749594117012094</v>
      </c>
      <c r="K39" s="3535">
        <v>125.57531083301031</v>
      </c>
      <c r="L39" s="615">
        <v>62.434282240209527</v>
      </c>
      <c r="M39" s="2970">
        <v>76.153556890825399</v>
      </c>
      <c r="N39" s="1365"/>
      <c r="O39" s="3641"/>
      <c r="P39" s="3641"/>
      <c r="Q39" s="1366"/>
    </row>
    <row r="40" spans="1:17">
      <c r="A40" s="53">
        <v>1995.07</v>
      </c>
      <c r="B40" s="1318">
        <v>98.530208283345573</v>
      </c>
      <c r="C40" s="615">
        <v>95.6551987337958</v>
      </c>
      <c r="D40" s="1192">
        <v>112.62555817975094</v>
      </c>
      <c r="E40" s="3535">
        <v>92.918888627981545</v>
      </c>
      <c r="F40" s="615">
        <v>86.331639745507147</v>
      </c>
      <c r="G40" s="3535">
        <v>121.28339663717801</v>
      </c>
      <c r="H40" s="615">
        <v>93.821989012536974</v>
      </c>
      <c r="I40" s="3535">
        <v>109.04423084649444</v>
      </c>
      <c r="J40" s="615">
        <v>99.371771570991513</v>
      </c>
      <c r="K40" s="3535">
        <v>133.97149417919155</v>
      </c>
      <c r="L40" s="615">
        <v>68.915278492545809</v>
      </c>
      <c r="M40" s="2970">
        <v>81.691377448672341</v>
      </c>
      <c r="N40" s="1365"/>
      <c r="O40" s="3641"/>
      <c r="P40" s="3641"/>
      <c r="Q40" s="1366"/>
    </row>
    <row r="41" spans="1:17">
      <c r="A41" s="53">
        <v>1995.08</v>
      </c>
      <c r="B41" s="1318">
        <v>101.75926664864568</v>
      </c>
      <c r="C41" s="615">
        <v>95.557299684605823</v>
      </c>
      <c r="D41" s="1192">
        <v>117.7747113533843</v>
      </c>
      <c r="E41" s="3535">
        <v>102.94499712867677</v>
      </c>
      <c r="F41" s="615">
        <v>81.497635942415727</v>
      </c>
      <c r="G41" s="3535">
        <v>109.80893604196318</v>
      </c>
      <c r="H41" s="615">
        <v>94.823623045499346</v>
      </c>
      <c r="I41" s="3535">
        <v>105.54819893091046</v>
      </c>
      <c r="J41" s="615">
        <v>97.018272782048868</v>
      </c>
      <c r="K41" s="3535">
        <v>132.07892662075346</v>
      </c>
      <c r="L41" s="615">
        <v>79.471982723340361</v>
      </c>
      <c r="M41" s="2970">
        <v>85.143149775873709</v>
      </c>
      <c r="N41" s="1365"/>
      <c r="O41" s="3641"/>
      <c r="P41" s="3641"/>
      <c r="Q41" s="1366"/>
    </row>
    <row r="42" spans="1:17">
      <c r="A42" s="53">
        <v>1995.09</v>
      </c>
      <c r="B42" s="1318">
        <v>98.750635614736922</v>
      </c>
      <c r="C42" s="615">
        <v>94.915579856338596</v>
      </c>
      <c r="D42" s="1192">
        <v>116.82478645920352</v>
      </c>
      <c r="E42" s="3535">
        <v>97.361225932904972</v>
      </c>
      <c r="F42" s="615">
        <v>83.455607315723682</v>
      </c>
      <c r="G42" s="3535">
        <v>110.04104697041413</v>
      </c>
      <c r="H42" s="615">
        <v>82.709437949006897</v>
      </c>
      <c r="I42" s="3535">
        <v>111.10484064160302</v>
      </c>
      <c r="J42" s="615">
        <v>103.62516429873685</v>
      </c>
      <c r="K42" s="3535">
        <v>126.61903882406023</v>
      </c>
      <c r="L42" s="615">
        <v>72.897799771185134</v>
      </c>
      <c r="M42" s="2970">
        <v>75.410592279318877</v>
      </c>
      <c r="N42" s="1365"/>
      <c r="O42" s="3641"/>
      <c r="P42" s="3641"/>
      <c r="Q42" s="1366"/>
    </row>
    <row r="43" spans="1:17">
      <c r="A43" s="53">
        <v>1995.1</v>
      </c>
      <c r="B43" s="1318">
        <v>101.69962772433527</v>
      </c>
      <c r="C43" s="615">
        <v>96.351362492707437</v>
      </c>
      <c r="D43" s="1192">
        <v>115.93689516891359</v>
      </c>
      <c r="E43" s="3535">
        <v>101.6801649793583</v>
      </c>
      <c r="F43" s="615">
        <v>85.382479613877962</v>
      </c>
      <c r="G43" s="3535">
        <v>119.09896857180007</v>
      </c>
      <c r="H43" s="615">
        <v>89.017551767854627</v>
      </c>
      <c r="I43" s="3535">
        <v>117.99279632796325</v>
      </c>
      <c r="J43" s="615">
        <v>90.230185407656109</v>
      </c>
      <c r="K43" s="3535">
        <v>136.98432520945676</v>
      </c>
      <c r="L43" s="615">
        <v>72.680004688706873</v>
      </c>
      <c r="M43" s="2970">
        <v>79.285532260465047</v>
      </c>
      <c r="N43" s="1365"/>
      <c r="O43" s="3641"/>
      <c r="P43" s="3641"/>
      <c r="Q43" s="1366"/>
    </row>
    <row r="44" spans="1:17">
      <c r="A44" s="53">
        <v>1995.11</v>
      </c>
      <c r="B44" s="1318">
        <v>100.78358348181963</v>
      </c>
      <c r="C44" s="615">
        <v>97.475369929010597</v>
      </c>
      <c r="D44" s="1192">
        <v>113.44961645218558</v>
      </c>
      <c r="E44" s="3535">
        <v>103.87048406720247</v>
      </c>
      <c r="F44" s="615">
        <v>79.771780006724029</v>
      </c>
      <c r="G44" s="3535">
        <v>124.10780599009544</v>
      </c>
      <c r="H44" s="615">
        <v>86.667164389350603</v>
      </c>
      <c r="I44" s="3535">
        <v>112.43929785167062</v>
      </c>
      <c r="J44" s="615">
        <v>90.070898696425317</v>
      </c>
      <c r="K44" s="3535">
        <v>134.74505959747475</v>
      </c>
      <c r="L44" s="615">
        <v>78.86141933688846</v>
      </c>
      <c r="M44" s="2970">
        <v>79.349613473710761</v>
      </c>
      <c r="N44" s="1365"/>
      <c r="O44" s="3641"/>
      <c r="P44" s="3641"/>
      <c r="Q44" s="1366"/>
    </row>
    <row r="45" spans="1:17">
      <c r="A45" s="53">
        <v>1995.12</v>
      </c>
      <c r="B45" s="1318">
        <v>96.845575698365366</v>
      </c>
      <c r="C45" s="615">
        <v>99.307532388096249</v>
      </c>
      <c r="D45" s="1192">
        <v>115.19572622541412</v>
      </c>
      <c r="E45" s="3535">
        <v>119.11016898825922</v>
      </c>
      <c r="F45" s="615">
        <v>72.566620111659205</v>
      </c>
      <c r="G45" s="3535">
        <v>106.70763998156966</v>
      </c>
      <c r="H45" s="615">
        <v>90.710550781800251</v>
      </c>
      <c r="I45" s="3535">
        <v>104.9880701765177</v>
      </c>
      <c r="J45" s="615">
        <v>86.49192304073631</v>
      </c>
      <c r="K45" s="3535">
        <v>113.30906572417668</v>
      </c>
      <c r="L45" s="615">
        <v>67.104500852613398</v>
      </c>
      <c r="M45" s="2970">
        <v>63.245550830870172</v>
      </c>
      <c r="N45" s="1365"/>
      <c r="O45" s="3641"/>
      <c r="P45" s="3641"/>
      <c r="Q45" s="1366"/>
    </row>
    <row r="46" spans="1:17">
      <c r="A46" s="53">
        <v>1996.01</v>
      </c>
      <c r="B46" s="1318">
        <v>88.691675856887272</v>
      </c>
      <c r="C46" s="615">
        <v>100.69394845954835</v>
      </c>
      <c r="D46" s="1192">
        <v>103.3118257149325</v>
      </c>
      <c r="E46" s="3535">
        <v>107.50117734792563</v>
      </c>
      <c r="F46" s="615">
        <v>75.140358652674763</v>
      </c>
      <c r="G46" s="3535">
        <v>112.71367251012393</v>
      </c>
      <c r="H46" s="615">
        <v>90.08126496689674</v>
      </c>
      <c r="I46" s="3535">
        <v>120.96322079749497</v>
      </c>
      <c r="J46" s="615">
        <v>87.614492545031865</v>
      </c>
      <c r="K46" s="3535">
        <v>110.16048299110849</v>
      </c>
      <c r="L46" s="615">
        <v>48.779400060116338</v>
      </c>
      <c r="M46" s="2970">
        <v>17.519604353480918</v>
      </c>
      <c r="N46" s="1365"/>
      <c r="O46" s="3641"/>
      <c r="P46" s="3641"/>
      <c r="Q46" s="1366"/>
    </row>
    <row r="47" spans="1:17">
      <c r="A47" s="53">
        <v>1996.02</v>
      </c>
      <c r="B47" s="1318">
        <v>91.834256613594022</v>
      </c>
      <c r="C47" s="615">
        <v>100.67406448616737</v>
      </c>
      <c r="D47" s="1192">
        <v>97.591029435877473</v>
      </c>
      <c r="E47" s="3535">
        <v>91.84957793425248</v>
      </c>
      <c r="F47" s="615">
        <v>90.592849642255857</v>
      </c>
      <c r="G47" s="3535">
        <v>114.19008791153574</v>
      </c>
      <c r="H47" s="615">
        <v>82.754021693196222</v>
      </c>
      <c r="I47" s="3535">
        <v>107.90520154638756</v>
      </c>
      <c r="J47" s="615">
        <v>85.201605828809306</v>
      </c>
      <c r="K47" s="3535">
        <v>121.07452046659935</v>
      </c>
      <c r="L47" s="615">
        <v>70.199913411736858</v>
      </c>
      <c r="M47" s="2970">
        <v>71.902711904144269</v>
      </c>
      <c r="N47" s="1365"/>
      <c r="O47" s="3641"/>
      <c r="P47" s="3641"/>
      <c r="Q47" s="1366"/>
    </row>
    <row r="48" spans="1:17">
      <c r="A48" s="53">
        <v>1996.03</v>
      </c>
      <c r="B48" s="1318">
        <v>105.52892224875734</v>
      </c>
      <c r="C48" s="615">
        <v>104.04848070430066</v>
      </c>
      <c r="D48" s="1192">
        <v>105.31277315598594</v>
      </c>
      <c r="E48" s="3535">
        <v>99.529378374588887</v>
      </c>
      <c r="F48" s="615">
        <v>98.602715756321444</v>
      </c>
      <c r="G48" s="3535">
        <v>125.29756225984323</v>
      </c>
      <c r="H48" s="615">
        <v>92.701394562614439</v>
      </c>
      <c r="I48" s="3535">
        <v>120.92972055930269</v>
      </c>
      <c r="J48" s="615">
        <v>95.481263446927414</v>
      </c>
      <c r="K48" s="3535">
        <v>144.13218598813575</v>
      </c>
      <c r="L48" s="615">
        <v>95.155761378705009</v>
      </c>
      <c r="M48" s="2970">
        <v>85.343177278376487</v>
      </c>
      <c r="N48" s="1365"/>
      <c r="O48" s="3641"/>
      <c r="P48" s="3641"/>
      <c r="Q48" s="1366"/>
    </row>
    <row r="49" spans="1:17">
      <c r="A49" s="53">
        <v>1996.04</v>
      </c>
      <c r="B49" s="1318">
        <v>105.044783505643</v>
      </c>
      <c r="C49" s="615">
        <v>104.8639040135817</v>
      </c>
      <c r="D49" s="1192">
        <v>99.279118486212852</v>
      </c>
      <c r="E49" s="3535">
        <v>101.09442306198278</v>
      </c>
      <c r="F49" s="615">
        <v>97.297788278342694</v>
      </c>
      <c r="G49" s="3535">
        <v>121.39254591126712</v>
      </c>
      <c r="H49" s="615">
        <v>89.921650936751647</v>
      </c>
      <c r="I49" s="3535">
        <v>127.77551640385826</v>
      </c>
      <c r="J49" s="615">
        <v>93.694302296710063</v>
      </c>
      <c r="K49" s="3535">
        <v>135.52777764816017</v>
      </c>
      <c r="L49" s="615">
        <v>99.782954991247621</v>
      </c>
      <c r="M49" s="2970">
        <v>92.871566666753267</v>
      </c>
      <c r="N49" s="1365"/>
      <c r="O49" s="3641"/>
      <c r="P49" s="3641"/>
      <c r="Q49" s="1366"/>
    </row>
    <row r="50" spans="1:17">
      <c r="A50" s="53">
        <v>1996.05</v>
      </c>
      <c r="B50" s="1318">
        <v>109.04842970680301</v>
      </c>
      <c r="C50" s="615">
        <v>106.37706197075235</v>
      </c>
      <c r="D50" s="1192">
        <v>103.80479719469889</v>
      </c>
      <c r="E50" s="3535">
        <v>102.57029399789329</v>
      </c>
      <c r="F50" s="615">
        <v>101.51851742319333</v>
      </c>
      <c r="G50" s="3535">
        <v>118.66450569130069</v>
      </c>
      <c r="H50" s="615">
        <v>93.998168756162841</v>
      </c>
      <c r="I50" s="3535">
        <v>125.29453967691563</v>
      </c>
      <c r="J50" s="615">
        <v>86.824047040880544</v>
      </c>
      <c r="K50" s="3535">
        <v>139.96156727412466</v>
      </c>
      <c r="L50" s="615">
        <v>106.50006838892546</v>
      </c>
      <c r="M50" s="2970">
        <v>104.66844898229492</v>
      </c>
      <c r="N50" s="1365"/>
      <c r="O50" s="3641"/>
      <c r="P50" s="3641"/>
      <c r="Q50" s="1366"/>
    </row>
    <row r="51" spans="1:17">
      <c r="A51" s="53">
        <v>1996.06</v>
      </c>
      <c r="B51" s="1318">
        <v>101.40631393094799</v>
      </c>
      <c r="C51" s="615">
        <v>104.75746139493597</v>
      </c>
      <c r="D51" s="1192">
        <v>99.432400645177623</v>
      </c>
      <c r="E51" s="3535">
        <v>88.881366096873492</v>
      </c>
      <c r="F51" s="615">
        <v>97.192230668569707</v>
      </c>
      <c r="G51" s="3535">
        <v>117.20559243185613</v>
      </c>
      <c r="H51" s="615">
        <v>96.072179180166202</v>
      </c>
      <c r="I51" s="3535">
        <v>122.19926039626458</v>
      </c>
      <c r="J51" s="615">
        <v>77.846530258123209</v>
      </c>
      <c r="K51" s="3535">
        <v>140.42391673176058</v>
      </c>
      <c r="L51" s="615">
        <v>91.095892081313806</v>
      </c>
      <c r="M51" s="2970">
        <v>91.843862439641157</v>
      </c>
      <c r="N51" s="1365"/>
      <c r="O51" s="3641"/>
      <c r="P51" s="3641"/>
      <c r="Q51" s="1366"/>
    </row>
    <row r="52" spans="1:17">
      <c r="A52" s="53">
        <v>1996.07</v>
      </c>
      <c r="B52" s="1318">
        <v>113.32600625495351</v>
      </c>
      <c r="C52" s="615">
        <v>107.27084149934922</v>
      </c>
      <c r="D52" s="1192">
        <v>117.23316407289299</v>
      </c>
      <c r="E52" s="3535">
        <v>101.69824220723287</v>
      </c>
      <c r="F52" s="615">
        <v>100.37431075514299</v>
      </c>
      <c r="G52" s="3535">
        <v>129.5905915318489</v>
      </c>
      <c r="H52" s="615">
        <v>103.92783490632482</v>
      </c>
      <c r="I52" s="3535">
        <v>123.63425889697221</v>
      </c>
      <c r="J52" s="615">
        <v>94.264021907407383</v>
      </c>
      <c r="K52" s="3535">
        <v>144.37130323513242</v>
      </c>
      <c r="L52" s="615">
        <v>106.31023145141424</v>
      </c>
      <c r="M52" s="2970">
        <v>110.29483382102045</v>
      </c>
      <c r="N52" s="1365"/>
      <c r="O52" s="3641"/>
      <c r="P52" s="3641"/>
      <c r="Q52" s="1366"/>
    </row>
    <row r="53" spans="1:17">
      <c r="A53" s="53">
        <v>1996.08</v>
      </c>
      <c r="B53" s="1318">
        <v>113.754363747159</v>
      </c>
      <c r="C53" s="615">
        <v>106.9664761392639</v>
      </c>
      <c r="D53" s="1192">
        <v>120.34783431342217</v>
      </c>
      <c r="E53" s="3535">
        <v>100.33084512742181</v>
      </c>
      <c r="F53" s="615">
        <v>92.80578720656375</v>
      </c>
      <c r="G53" s="3535">
        <v>125.51953772404178</v>
      </c>
      <c r="H53" s="615">
        <v>102.17427806733343</v>
      </c>
      <c r="I53" s="3535">
        <v>117.73734497247291</v>
      </c>
      <c r="J53" s="615">
        <v>94.842558370651972</v>
      </c>
      <c r="K53" s="3535">
        <v>143.0124058463669</v>
      </c>
      <c r="L53" s="615">
        <v>109.71205194900492</v>
      </c>
      <c r="M53" s="2970">
        <v>113.10159641306448</v>
      </c>
      <c r="N53" s="1365"/>
      <c r="O53" s="3641"/>
      <c r="P53" s="3641"/>
      <c r="Q53" s="1366"/>
    </row>
    <row r="54" spans="1:17">
      <c r="A54" s="53">
        <v>1996.09</v>
      </c>
      <c r="B54" s="1318">
        <v>106.25838275329519</v>
      </c>
      <c r="C54" s="615">
        <v>103.97495505980736</v>
      </c>
      <c r="D54" s="1192">
        <v>116.60763251092497</v>
      </c>
      <c r="E54" s="3535">
        <v>97.98949089014927</v>
      </c>
      <c r="F54" s="615">
        <v>91.470987399066757</v>
      </c>
      <c r="G54" s="3535">
        <v>121.83162778860617</v>
      </c>
      <c r="H54" s="615">
        <v>96.012973658261728</v>
      </c>
      <c r="I54" s="3535">
        <v>120.89290713390295</v>
      </c>
      <c r="J54" s="615">
        <v>98.277202666212972</v>
      </c>
      <c r="K54" s="3535">
        <v>138.45856029580537</v>
      </c>
      <c r="L54" s="615">
        <v>84.947683862336177</v>
      </c>
      <c r="M54" s="2970">
        <v>97.710912146478236</v>
      </c>
      <c r="N54" s="1365"/>
      <c r="O54" s="3641"/>
      <c r="P54" s="3641"/>
      <c r="Q54" s="1366"/>
    </row>
    <row r="55" spans="1:17">
      <c r="A55" s="53">
        <v>1996.1</v>
      </c>
      <c r="B55" s="1318">
        <v>115.25894046461646</v>
      </c>
      <c r="C55" s="615">
        <v>107.12160252908039</v>
      </c>
      <c r="D55" s="1192">
        <v>121.10000293753029</v>
      </c>
      <c r="E55" s="3535">
        <v>111.2345484685479</v>
      </c>
      <c r="F55" s="615">
        <v>93.386777510469898</v>
      </c>
      <c r="G55" s="3535">
        <v>114.90984059730178</v>
      </c>
      <c r="H55" s="615">
        <v>95.996957317932115</v>
      </c>
      <c r="I55" s="3535">
        <v>134.89310587581781</v>
      </c>
      <c r="J55" s="615">
        <v>101.19792027362548</v>
      </c>
      <c r="K55" s="3535">
        <v>149.89328932674675</v>
      </c>
      <c r="L55" s="615">
        <v>97.198600284114235</v>
      </c>
      <c r="M55" s="2970">
        <v>111.8580731098095</v>
      </c>
      <c r="N55" s="1365"/>
      <c r="O55" s="3641"/>
      <c r="P55" s="3641"/>
      <c r="Q55" s="1366"/>
    </row>
    <row r="56" spans="1:17">
      <c r="A56" s="53">
        <v>1996.11</v>
      </c>
      <c r="B56" s="1318">
        <v>109.03585959893007</v>
      </c>
      <c r="C56" s="615">
        <v>106.46830362244268</v>
      </c>
      <c r="D56" s="1192">
        <v>110.99482456999394</v>
      </c>
      <c r="E56" s="3535">
        <v>95.262890991880852</v>
      </c>
      <c r="F56" s="615">
        <v>89.732135209185984</v>
      </c>
      <c r="G56" s="3535">
        <v>110.76720164624633</v>
      </c>
      <c r="H56" s="615">
        <v>91.415142977884202</v>
      </c>
      <c r="I56" s="3535">
        <v>125.58589851801955</v>
      </c>
      <c r="J56" s="615">
        <v>114.28439835575988</v>
      </c>
      <c r="K56" s="3535">
        <v>146.26718682558848</v>
      </c>
      <c r="L56" s="615">
        <v>91.296608536256556</v>
      </c>
      <c r="M56" s="2970">
        <v>111.0546006002054</v>
      </c>
      <c r="N56" s="1365"/>
      <c r="O56" s="3641"/>
      <c r="P56" s="3641"/>
      <c r="Q56" s="1366"/>
    </row>
    <row r="57" spans="1:17">
      <c r="A57" s="53">
        <v>1996.12</v>
      </c>
      <c r="B57" s="1318">
        <v>103.01572818756804</v>
      </c>
      <c r="C57" s="615">
        <v>106.08901476000729</v>
      </c>
      <c r="D57" s="1192">
        <v>119.38095553816436</v>
      </c>
      <c r="E57" s="3535">
        <v>115.07050858232316</v>
      </c>
      <c r="F57" s="615">
        <v>80.302817208550351</v>
      </c>
      <c r="G57" s="3535">
        <v>115.80252978945728</v>
      </c>
      <c r="H57" s="615">
        <v>93.2298492745457</v>
      </c>
      <c r="I57" s="3535">
        <v>113.96609339511315</v>
      </c>
      <c r="J57" s="615">
        <v>100.52820467893818</v>
      </c>
      <c r="K57" s="3535">
        <v>134.92685240144667</v>
      </c>
      <c r="L57" s="615">
        <v>61.762165613307872</v>
      </c>
      <c r="M57" s="2970">
        <v>89.75054950383246</v>
      </c>
      <c r="N57" s="1365"/>
      <c r="O57" s="3641"/>
      <c r="P57" s="3641"/>
      <c r="Q57" s="1366"/>
    </row>
    <row r="58" spans="1:17">
      <c r="A58" s="53">
        <v>1997.01</v>
      </c>
      <c r="B58" s="1318">
        <v>96.224019946566045</v>
      </c>
      <c r="C58" s="615">
        <v>108.23504077920386</v>
      </c>
      <c r="D58" s="1192">
        <v>104.19525691895741</v>
      </c>
      <c r="E58" s="3535">
        <v>106.274541895534</v>
      </c>
      <c r="F58" s="615">
        <v>76.021455837314292</v>
      </c>
      <c r="G58" s="3535">
        <v>119.35996998197086</v>
      </c>
      <c r="H58" s="615">
        <v>100.061642484857</v>
      </c>
      <c r="I58" s="3535">
        <v>115.8754909693597</v>
      </c>
      <c r="J58" s="615">
        <v>105.02591688405511</v>
      </c>
      <c r="K58" s="3535">
        <v>113.34126357801739</v>
      </c>
      <c r="L58" s="615">
        <v>65.902023609849977</v>
      </c>
      <c r="M58" s="2970">
        <v>52.760833949888649</v>
      </c>
      <c r="N58" s="1365"/>
      <c r="O58" s="3641"/>
      <c r="P58" s="3641"/>
      <c r="Q58" s="1366"/>
    </row>
    <row r="59" spans="1:17">
      <c r="A59" s="53">
        <v>1997.02</v>
      </c>
      <c r="B59" s="1318">
        <v>95.063838135576447</v>
      </c>
      <c r="C59" s="615">
        <v>108.63295676702961</v>
      </c>
      <c r="D59" s="1192">
        <v>95.725406855863142</v>
      </c>
      <c r="E59" s="3535">
        <v>94.912990294058559</v>
      </c>
      <c r="F59" s="615">
        <v>91.024494286128061</v>
      </c>
      <c r="G59" s="3535">
        <v>111.12492835753849</v>
      </c>
      <c r="H59" s="615">
        <v>95.180419777433428</v>
      </c>
      <c r="I59" s="3535">
        <v>103.71252483121415</v>
      </c>
      <c r="J59" s="615">
        <v>100.57225391810302</v>
      </c>
      <c r="K59" s="3535">
        <v>115.84710629602371</v>
      </c>
      <c r="L59" s="615">
        <v>65.27626891091694</v>
      </c>
      <c r="M59" s="2970">
        <v>97.120405439912332</v>
      </c>
      <c r="N59" s="1365"/>
      <c r="O59" s="3641"/>
      <c r="P59" s="3641"/>
      <c r="Q59" s="1366"/>
    </row>
    <row r="60" spans="1:17">
      <c r="A60" s="53">
        <v>1997.03</v>
      </c>
      <c r="B60" s="1318">
        <v>110.07919825654734</v>
      </c>
      <c r="C60" s="615">
        <v>111.592891388564</v>
      </c>
      <c r="D60" s="1192">
        <v>106.40551003292296</v>
      </c>
      <c r="E60" s="3535">
        <v>98.455252680814297</v>
      </c>
      <c r="F60" s="615">
        <v>102.00847729935394</v>
      </c>
      <c r="G60" s="3535">
        <v>127.06618620374783</v>
      </c>
      <c r="H60" s="615">
        <v>105.38519509790109</v>
      </c>
      <c r="I60" s="3535">
        <v>126.54637642033057</v>
      </c>
      <c r="J60" s="615">
        <v>107.89191551922239</v>
      </c>
      <c r="K60" s="3535">
        <v>143.55574830945997</v>
      </c>
      <c r="L60" s="615">
        <v>89.552034223807084</v>
      </c>
      <c r="M60" s="2970">
        <v>116.63200966403292</v>
      </c>
      <c r="N60" s="1365"/>
      <c r="O60" s="3641"/>
      <c r="P60" s="3641"/>
      <c r="Q60" s="1366"/>
    </row>
    <row r="61" spans="1:17">
      <c r="A61" s="53">
        <v>1997.04</v>
      </c>
      <c r="B61" s="1318">
        <v>115.70217383410835</v>
      </c>
      <c r="C61" s="615">
        <v>112.60314168870804</v>
      </c>
      <c r="D61" s="1192">
        <v>107.73539209458214</v>
      </c>
      <c r="E61" s="3535">
        <v>101.7521104829854</v>
      </c>
      <c r="F61" s="615">
        <v>106.37045199344989</v>
      </c>
      <c r="G61" s="3535">
        <v>114.58033675149677</v>
      </c>
      <c r="H61" s="615">
        <v>100.60167629243554</v>
      </c>
      <c r="I61" s="3535">
        <v>128.64160332098422</v>
      </c>
      <c r="J61" s="615">
        <v>118.05426937308184</v>
      </c>
      <c r="K61" s="3535">
        <v>146.37197117059765</v>
      </c>
      <c r="L61" s="615">
        <v>105.51294112144389</v>
      </c>
      <c r="M61" s="2970">
        <v>131.68984949513182</v>
      </c>
      <c r="N61" s="1365"/>
      <c r="O61" s="3641"/>
      <c r="P61" s="3641"/>
      <c r="Q61" s="1366"/>
    </row>
    <row r="62" spans="1:17">
      <c r="A62" s="53">
        <v>1997.05</v>
      </c>
      <c r="B62" s="1318">
        <v>114.24661497521795</v>
      </c>
      <c r="C62" s="615">
        <v>112.81811233636725</v>
      </c>
      <c r="D62" s="1192">
        <v>108.01380118359317</v>
      </c>
      <c r="E62" s="3535">
        <v>100.46738591741024</v>
      </c>
      <c r="F62" s="615">
        <v>100.31953676415992</v>
      </c>
      <c r="G62" s="3535">
        <v>117.21645109585201</v>
      </c>
      <c r="H62" s="615">
        <v>103.87822228482884</v>
      </c>
      <c r="I62" s="3535">
        <v>126.27552384170394</v>
      </c>
      <c r="J62" s="615">
        <v>104.62503988973634</v>
      </c>
      <c r="K62" s="3535">
        <v>142.99977948397176</v>
      </c>
      <c r="L62" s="615">
        <v>101.02675417549617</v>
      </c>
      <c r="M62" s="2970">
        <v>141.72570690482075</v>
      </c>
      <c r="N62" s="1365"/>
      <c r="O62" s="3641"/>
      <c r="P62" s="3641"/>
      <c r="Q62" s="1366"/>
    </row>
    <row r="63" spans="1:17">
      <c r="A63" s="53">
        <v>1997.06</v>
      </c>
      <c r="B63" s="1318">
        <v>112.70782477502513</v>
      </c>
      <c r="C63" s="615">
        <v>114.88230745256347</v>
      </c>
      <c r="D63" s="1192">
        <v>113.48334408958434</v>
      </c>
      <c r="E63" s="3535">
        <v>89.229230106439729</v>
      </c>
      <c r="F63" s="615">
        <v>91.712651567921796</v>
      </c>
      <c r="G63" s="3535">
        <v>120.73428507477098</v>
      </c>
      <c r="H63" s="615">
        <v>98.81748133539935</v>
      </c>
      <c r="I63" s="3535">
        <v>124.72492789362953</v>
      </c>
      <c r="J63" s="615">
        <v>101.46519360745819</v>
      </c>
      <c r="K63" s="3535">
        <v>144.61010126676248</v>
      </c>
      <c r="L63" s="615">
        <v>99.112231935299292</v>
      </c>
      <c r="M63" s="2970">
        <v>137.72491446634021</v>
      </c>
      <c r="N63" s="1365"/>
      <c r="O63" s="3641"/>
      <c r="P63" s="3641"/>
      <c r="Q63" s="1366"/>
    </row>
    <row r="64" spans="1:17">
      <c r="A64" s="53">
        <v>1997.07</v>
      </c>
      <c r="B64" s="1318">
        <v>122.92625276417252</v>
      </c>
      <c r="C64" s="615">
        <v>115.93463284023579</v>
      </c>
      <c r="D64" s="1192">
        <v>123.77222949765867</v>
      </c>
      <c r="E64" s="3535">
        <v>93.55953043055041</v>
      </c>
      <c r="F64" s="615">
        <v>95.3135228198812</v>
      </c>
      <c r="G64" s="3535">
        <v>130.67819456393593</v>
      </c>
      <c r="H64" s="615">
        <v>105.97201014227355</v>
      </c>
      <c r="I64" s="3535">
        <v>135.73918126863703</v>
      </c>
      <c r="J64" s="615">
        <v>115.12706777502153</v>
      </c>
      <c r="K64" s="3535">
        <v>152.5335169821735</v>
      </c>
      <c r="L64" s="615">
        <v>111.61990406248479</v>
      </c>
      <c r="M64" s="2970">
        <v>159.46509253938848</v>
      </c>
      <c r="N64" s="1365"/>
      <c r="O64" s="3641"/>
      <c r="P64" s="3641"/>
      <c r="Q64" s="1366"/>
    </row>
    <row r="65" spans="1:17">
      <c r="A65" s="53">
        <v>1997.08</v>
      </c>
      <c r="B65" s="1318">
        <v>120.5583647529039</v>
      </c>
      <c r="C65" s="615">
        <v>114.94318550343658</v>
      </c>
      <c r="D65" s="1192">
        <v>126.60169962121189</v>
      </c>
      <c r="E65" s="3535">
        <v>97.360793422009024</v>
      </c>
      <c r="F65" s="615">
        <v>88.892154908870893</v>
      </c>
      <c r="G65" s="3535">
        <v>127.93046645436056</v>
      </c>
      <c r="H65" s="615">
        <v>107.19588674461191</v>
      </c>
      <c r="I65" s="3535">
        <v>123.86154337961914</v>
      </c>
      <c r="J65" s="615">
        <v>123.74026871485657</v>
      </c>
      <c r="K65" s="3535">
        <v>145.04835354207012</v>
      </c>
      <c r="L65" s="615">
        <v>106.96497971906295</v>
      </c>
      <c r="M65" s="2970">
        <v>154.64410970361246</v>
      </c>
      <c r="N65" s="1365"/>
      <c r="O65" s="3641"/>
      <c r="P65" s="3641"/>
      <c r="Q65" s="1366"/>
    </row>
    <row r="66" spans="1:17">
      <c r="A66" s="53">
        <v>1997.09</v>
      </c>
      <c r="B66" s="1318">
        <v>124.17853759163816</v>
      </c>
      <c r="C66" s="615">
        <v>118.04685462535218</v>
      </c>
      <c r="D66" s="1192">
        <v>132.07399771249786</v>
      </c>
      <c r="E66" s="3535">
        <v>98.722241471779242</v>
      </c>
      <c r="F66" s="615">
        <v>89.560625103830986</v>
      </c>
      <c r="G66" s="3535">
        <v>122.40987509383049</v>
      </c>
      <c r="H66" s="615">
        <v>105.4836596703761</v>
      </c>
      <c r="I66" s="3535">
        <v>124.89747484033617</v>
      </c>
      <c r="J66" s="615">
        <v>123.43172525378563</v>
      </c>
      <c r="K66" s="3535">
        <v>146.08050681200359</v>
      </c>
      <c r="L66" s="615">
        <v>113.06104787183732</v>
      </c>
      <c r="M66" s="2970">
        <v>170.10171852763247</v>
      </c>
      <c r="N66" s="1365"/>
      <c r="O66" s="3641"/>
      <c r="P66" s="3641"/>
      <c r="Q66" s="1366"/>
    </row>
    <row r="67" spans="1:17">
      <c r="A67" s="53">
        <v>1997.1</v>
      </c>
      <c r="B67" s="1318">
        <v>129.35624537728646</v>
      </c>
      <c r="C67" s="615">
        <v>115.752752233766</v>
      </c>
      <c r="D67" s="1192">
        <v>125.78479313755221</v>
      </c>
      <c r="E67" s="3535">
        <v>107.27242289035637</v>
      </c>
      <c r="F67" s="615">
        <v>89.06397422835893</v>
      </c>
      <c r="G67" s="3535">
        <v>122.27694954580684</v>
      </c>
      <c r="H67" s="615">
        <v>108.50669108325116</v>
      </c>
      <c r="I67" s="3535">
        <v>138.62272135108168</v>
      </c>
      <c r="J67" s="615">
        <v>143.16923176063014</v>
      </c>
      <c r="K67" s="3535">
        <v>155.26086435552506</v>
      </c>
      <c r="L67" s="615">
        <v>113.65407016326768</v>
      </c>
      <c r="M67" s="2970">
        <v>197.59280971707324</v>
      </c>
      <c r="N67" s="1365"/>
      <c r="O67" s="3641"/>
      <c r="P67" s="3641"/>
      <c r="Q67" s="1366"/>
    </row>
    <row r="68" spans="1:17">
      <c r="A68" s="53">
        <v>1997.11</v>
      </c>
      <c r="B68" s="1318">
        <v>114.93700357935721</v>
      </c>
      <c r="C68" s="615">
        <v>114.30354648153596</v>
      </c>
      <c r="D68" s="1192">
        <v>108.19394181546539</v>
      </c>
      <c r="E68" s="3535">
        <v>91.058748728290965</v>
      </c>
      <c r="F68" s="615">
        <v>81.905784980728257</v>
      </c>
      <c r="G68" s="3535">
        <v>126.08458227952758</v>
      </c>
      <c r="H68" s="615">
        <v>101.73456824904916</v>
      </c>
      <c r="I68" s="3535">
        <v>127.35489332022718</v>
      </c>
      <c r="J68" s="615">
        <v>125.16643436125595</v>
      </c>
      <c r="K68" s="3535">
        <v>147.89174750771366</v>
      </c>
      <c r="L68" s="615">
        <v>99.316196801370822</v>
      </c>
      <c r="M68" s="2970">
        <v>164.01700779348616</v>
      </c>
      <c r="N68" s="1365"/>
      <c r="O68" s="3641"/>
      <c r="P68" s="3641"/>
      <c r="Q68" s="1366"/>
    </row>
    <row r="69" spans="1:17">
      <c r="A69" s="53">
        <v>1997.12</v>
      </c>
      <c r="B69" s="1318">
        <v>111.86082195506154</v>
      </c>
      <c r="C69" s="615">
        <v>114.28709533302072</v>
      </c>
      <c r="D69" s="1192">
        <v>126.72410769881087</v>
      </c>
      <c r="E69" s="3535">
        <v>117.59865508238094</v>
      </c>
      <c r="F69" s="615">
        <v>63.408632141141197</v>
      </c>
      <c r="G69" s="3535">
        <v>118.68531055836053</v>
      </c>
      <c r="H69" s="615">
        <v>105.32586279757712</v>
      </c>
      <c r="I69" s="3535">
        <v>127.17654562594417</v>
      </c>
      <c r="J69" s="615">
        <v>118.65544524469576</v>
      </c>
      <c r="K69" s="3535">
        <v>139.02430795039902</v>
      </c>
      <c r="L69" s="615">
        <v>87.762085785381757</v>
      </c>
      <c r="M69" s="2970">
        <v>97.72678572944055</v>
      </c>
      <c r="N69" s="1365"/>
      <c r="O69" s="3641"/>
      <c r="P69" s="3641"/>
      <c r="Q69" s="1366"/>
    </row>
    <row r="70" spans="1:17">
      <c r="A70" s="53">
        <v>1998.01</v>
      </c>
      <c r="B70" s="1318">
        <v>98.928942124142878</v>
      </c>
      <c r="C70" s="615">
        <v>115.220465503849</v>
      </c>
      <c r="D70" s="1192">
        <v>105.10685734094497</v>
      </c>
      <c r="E70" s="3535">
        <v>103.9906054849189</v>
      </c>
      <c r="F70" s="615">
        <v>58.381202012797104</v>
      </c>
      <c r="G70" s="3535">
        <v>122.10757025303408</v>
      </c>
      <c r="H70" s="615">
        <v>100.03434286519229</v>
      </c>
      <c r="I70" s="3535">
        <v>129.2638899020981</v>
      </c>
      <c r="J70" s="615">
        <v>118.9519104057965</v>
      </c>
      <c r="K70" s="3535">
        <v>134.55155130573186</v>
      </c>
      <c r="L70" s="615">
        <v>61.493526900187206</v>
      </c>
      <c r="M70" s="2970">
        <v>74.48559350470353</v>
      </c>
      <c r="N70" s="1365"/>
      <c r="O70" s="3641"/>
      <c r="P70" s="3641"/>
      <c r="Q70" s="1366"/>
    </row>
    <row r="71" spans="1:17">
      <c r="A71" s="53">
        <v>1998.02</v>
      </c>
      <c r="B71" s="1318">
        <v>100.69271409514951</v>
      </c>
      <c r="C71" s="615">
        <v>113.73017621068055</v>
      </c>
      <c r="D71" s="1192">
        <v>93.732318270597005</v>
      </c>
      <c r="E71" s="3535">
        <v>93.502368038288012</v>
      </c>
      <c r="F71" s="615">
        <v>74.639608085225703</v>
      </c>
      <c r="G71" s="3535">
        <v>115.77056420265257</v>
      </c>
      <c r="H71" s="615">
        <v>99.69474573883646</v>
      </c>
      <c r="I71" s="3535">
        <v>113.40268965485164</v>
      </c>
      <c r="J71" s="615">
        <v>117.89309110614496</v>
      </c>
      <c r="K71" s="3535">
        <v>127.69463829376733</v>
      </c>
      <c r="L71" s="615">
        <v>75.178883195262742</v>
      </c>
      <c r="M71" s="2970">
        <v>129.69960788190079</v>
      </c>
      <c r="N71" s="1365"/>
      <c r="O71" s="3641"/>
      <c r="P71" s="3641"/>
      <c r="Q71" s="1366"/>
    </row>
    <row r="72" spans="1:17">
      <c r="A72" s="53">
        <v>1998.03</v>
      </c>
      <c r="B72" s="1318">
        <v>118.02492116344141</v>
      </c>
      <c r="C72" s="615">
        <v>115.51666542394587</v>
      </c>
      <c r="D72" s="1192">
        <v>108.85949964280496</v>
      </c>
      <c r="E72" s="3535">
        <v>99.696598439598162</v>
      </c>
      <c r="F72" s="615">
        <v>88.651178742735411</v>
      </c>
      <c r="G72" s="3535">
        <v>130.19515585819508</v>
      </c>
      <c r="H72" s="615">
        <v>112.98623749823918</v>
      </c>
      <c r="I72" s="3535">
        <v>132.98907477462913</v>
      </c>
      <c r="J72" s="615">
        <v>125.33187581205746</v>
      </c>
      <c r="K72" s="3535">
        <v>133.57581827116502</v>
      </c>
      <c r="L72" s="615">
        <v>104.69511538110891</v>
      </c>
      <c r="M72" s="2970">
        <v>152.72452277959576</v>
      </c>
      <c r="N72" s="1365"/>
      <c r="O72" s="3641"/>
      <c r="P72" s="3641"/>
      <c r="Q72" s="1366"/>
    </row>
    <row r="73" spans="1:17">
      <c r="A73" s="53">
        <v>1998.04</v>
      </c>
      <c r="B73" s="1318">
        <v>117.90317309861298</v>
      </c>
      <c r="C73" s="615">
        <v>117.5186466778802</v>
      </c>
      <c r="D73" s="1192">
        <v>102.95559328090837</v>
      </c>
      <c r="E73" s="3535">
        <v>106.56013420794591</v>
      </c>
      <c r="F73" s="615">
        <v>85.29276100867304</v>
      </c>
      <c r="G73" s="3535">
        <v>122.83334225919546</v>
      </c>
      <c r="H73" s="615">
        <v>109.04456965769826</v>
      </c>
      <c r="I73" s="3535">
        <v>134.68533162565012</v>
      </c>
      <c r="J73" s="615">
        <v>119.9412428367709</v>
      </c>
      <c r="K73" s="3535">
        <v>149.78977602297257</v>
      </c>
      <c r="L73" s="615">
        <v>113.62756815247795</v>
      </c>
      <c r="M73" s="2970">
        <v>157.27058805380966</v>
      </c>
      <c r="N73" s="1365"/>
      <c r="O73" s="3641"/>
      <c r="P73" s="3641"/>
      <c r="Q73" s="1366"/>
    </row>
    <row r="74" spans="1:17">
      <c r="A74" s="53">
        <v>1998.05</v>
      </c>
      <c r="B74" s="1318">
        <v>115.92366017787941</v>
      </c>
      <c r="C74" s="615">
        <v>116.78578543353244</v>
      </c>
      <c r="D74" s="1192">
        <v>104.59251008096628</v>
      </c>
      <c r="E74" s="3535">
        <v>94.139019758169226</v>
      </c>
      <c r="F74" s="615">
        <v>87.177161776522041</v>
      </c>
      <c r="G74" s="3535">
        <v>125.70301863695563</v>
      </c>
      <c r="H74" s="615">
        <v>112.47384138611069</v>
      </c>
      <c r="I74" s="3535">
        <v>133.35835021504604</v>
      </c>
      <c r="J74" s="615">
        <v>110.44458640245962</v>
      </c>
      <c r="K74" s="3535">
        <v>155.54547859877874</v>
      </c>
      <c r="L74" s="615">
        <v>104.02551168688265</v>
      </c>
      <c r="M74" s="2970">
        <v>154.86038518041389</v>
      </c>
      <c r="N74" s="1365"/>
      <c r="O74" s="3641"/>
      <c r="P74" s="3641"/>
      <c r="Q74" s="1366"/>
    </row>
    <row r="75" spans="1:17">
      <c r="A75" s="53">
        <v>1998.06</v>
      </c>
      <c r="B75" s="1318">
        <v>118.83663486826413</v>
      </c>
      <c r="C75" s="615">
        <v>118.57162770479833</v>
      </c>
      <c r="D75" s="1192">
        <v>116.00392904923777</v>
      </c>
      <c r="E75" s="3535">
        <v>94.220002333255408</v>
      </c>
      <c r="F75" s="615">
        <v>86.343227211850092</v>
      </c>
      <c r="G75" s="3535">
        <v>128.31511117140556</v>
      </c>
      <c r="H75" s="615">
        <v>106.43690660656431</v>
      </c>
      <c r="I75" s="3535">
        <v>118.39830729670911</v>
      </c>
      <c r="J75" s="615">
        <v>121.82119153922606</v>
      </c>
      <c r="K75" s="3535">
        <v>150.21922337557106</v>
      </c>
      <c r="L75" s="615">
        <v>117.6108397096487</v>
      </c>
      <c r="M75" s="2970">
        <v>166.90090188844394</v>
      </c>
      <c r="N75" s="1365"/>
      <c r="O75" s="3641"/>
      <c r="P75" s="3641"/>
      <c r="Q75" s="1366"/>
    </row>
    <row r="76" spans="1:17">
      <c r="A76" s="53">
        <v>1998.07</v>
      </c>
      <c r="B76" s="1318">
        <v>124.91465590002122</v>
      </c>
      <c r="C76" s="615">
        <v>117.69090464592304</v>
      </c>
      <c r="D76" s="1192">
        <v>128.61311338089908</v>
      </c>
      <c r="E76" s="3535">
        <v>105.73771566480734</v>
      </c>
      <c r="F76" s="615">
        <v>86.565179005521514</v>
      </c>
      <c r="G76" s="3535">
        <v>124.863803020148</v>
      </c>
      <c r="H76" s="615">
        <v>109.94993661079025</v>
      </c>
      <c r="I76" s="3535">
        <v>131.8569678530161</v>
      </c>
      <c r="J76" s="615">
        <v>114.00814967259872</v>
      </c>
      <c r="K76" s="3535">
        <v>143.88478801100447</v>
      </c>
      <c r="L76" s="615">
        <v>113.76552377075316</v>
      </c>
      <c r="M76" s="2970">
        <v>166.86394216417625</v>
      </c>
      <c r="N76" s="1365"/>
      <c r="O76" s="3641"/>
      <c r="P76" s="3641"/>
      <c r="Q76" s="1366"/>
    </row>
    <row r="77" spans="1:17">
      <c r="A77" s="53">
        <v>1998.08</v>
      </c>
      <c r="B77" s="1318">
        <v>122.56243428820976</v>
      </c>
      <c r="C77" s="615">
        <v>117.30351408450976</v>
      </c>
      <c r="D77" s="1192">
        <v>129.53112750292695</v>
      </c>
      <c r="E77" s="3535">
        <v>96.212418996113001</v>
      </c>
      <c r="F77" s="615">
        <v>82.153225504640787</v>
      </c>
      <c r="G77" s="3535">
        <v>130.14233192629149</v>
      </c>
      <c r="H77" s="615">
        <v>102.67437667277079</v>
      </c>
      <c r="I77" s="3535">
        <v>128.46968219477009</v>
      </c>
      <c r="J77" s="615">
        <v>125.50828973958187</v>
      </c>
      <c r="K77" s="3535">
        <v>154.43901452322186</v>
      </c>
      <c r="L77" s="615">
        <v>102.49416634377904</v>
      </c>
      <c r="M77" s="2970">
        <v>176.40503465476928</v>
      </c>
      <c r="N77" s="1365"/>
      <c r="O77" s="3641"/>
      <c r="P77" s="3641"/>
      <c r="Q77" s="1366"/>
    </row>
    <row r="78" spans="1:17">
      <c r="A78" s="53">
        <v>1998.09</v>
      </c>
      <c r="B78" s="1318">
        <v>121.8524545436585</v>
      </c>
      <c r="C78" s="615">
        <v>116.02069548441055</v>
      </c>
      <c r="D78" s="1192">
        <v>135.80790575886243</v>
      </c>
      <c r="E78" s="3535">
        <v>97.144446042337634</v>
      </c>
      <c r="F78" s="615">
        <v>80.969209481049816</v>
      </c>
      <c r="G78" s="3535">
        <v>122.47626532167284</v>
      </c>
      <c r="H78" s="615">
        <v>104.11035357092548</v>
      </c>
      <c r="I78" s="3535">
        <v>126.38929677426913</v>
      </c>
      <c r="J78" s="615">
        <v>125.39808938437459</v>
      </c>
      <c r="K78" s="3535">
        <v>142.2589885352935</v>
      </c>
      <c r="L78" s="615">
        <v>97.801174520984745</v>
      </c>
      <c r="M78" s="2970">
        <v>171.11169814628116</v>
      </c>
      <c r="N78" s="1365"/>
      <c r="O78" s="3641"/>
      <c r="P78" s="3641"/>
      <c r="Q78" s="1366"/>
    </row>
    <row r="79" spans="1:17">
      <c r="A79" s="53">
        <v>1998.1</v>
      </c>
      <c r="B79" s="1318">
        <v>122.54523298544591</v>
      </c>
      <c r="C79" s="615">
        <v>115.23807320099939</v>
      </c>
      <c r="D79" s="1192">
        <v>138.01363046357289</v>
      </c>
      <c r="E79" s="3535">
        <v>104.14351258592825</v>
      </c>
      <c r="F79" s="615">
        <v>77.300874454796215</v>
      </c>
      <c r="G79" s="3535">
        <v>121.46998266501363</v>
      </c>
      <c r="H79" s="615">
        <v>114.88347654599238</v>
      </c>
      <c r="I79" s="3535">
        <v>136.27749082159733</v>
      </c>
      <c r="J79" s="615">
        <v>125.7730150482634</v>
      </c>
      <c r="K79" s="3535">
        <v>144.19257352275511</v>
      </c>
      <c r="L79" s="615">
        <v>93.513378136417629</v>
      </c>
      <c r="M79" s="2970">
        <v>145.19107331239485</v>
      </c>
      <c r="N79" s="1365"/>
      <c r="O79" s="3641"/>
      <c r="P79" s="3641"/>
      <c r="Q79" s="1366"/>
    </row>
    <row r="80" spans="1:17">
      <c r="A80" s="53">
        <v>1998.11</v>
      </c>
      <c r="B80" s="1318">
        <v>114.94739414833322</v>
      </c>
      <c r="C80" s="615">
        <v>113.25969408950785</v>
      </c>
      <c r="D80" s="1192">
        <v>127.61788407071282</v>
      </c>
      <c r="E80" s="3535">
        <v>97.926974864443153</v>
      </c>
      <c r="F80" s="615">
        <v>77.266077057353939</v>
      </c>
      <c r="G80" s="3535">
        <v>121.34071548055746</v>
      </c>
      <c r="H80" s="615">
        <v>107.92798985772644</v>
      </c>
      <c r="I80" s="3535">
        <v>129.97200764196609</v>
      </c>
      <c r="J80" s="615">
        <v>127.70677596513096</v>
      </c>
      <c r="K80" s="3535">
        <v>142.20783490949509</v>
      </c>
      <c r="L80" s="615">
        <v>86.408037504616644</v>
      </c>
      <c r="M80" s="2970">
        <v>122.01499468431744</v>
      </c>
      <c r="N80" s="1365"/>
      <c r="O80" s="3641"/>
      <c r="P80" s="3641"/>
      <c r="Q80" s="1366"/>
    </row>
    <row r="81" spans="1:17">
      <c r="A81" s="53">
        <v>1998.12</v>
      </c>
      <c r="B81" s="1318">
        <v>106.58200592948</v>
      </c>
      <c r="C81" s="615">
        <v>108.76988350429059</v>
      </c>
      <c r="D81" s="1192">
        <v>135.9870287034318</v>
      </c>
      <c r="E81" s="3535">
        <v>122.27116407387216</v>
      </c>
      <c r="F81" s="615">
        <v>59.979333519048112</v>
      </c>
      <c r="G81" s="3535">
        <v>106.1528181569702</v>
      </c>
      <c r="H81" s="615">
        <v>113.14225947316523</v>
      </c>
      <c r="I81" s="3535">
        <v>108.82786075506471</v>
      </c>
      <c r="J81" s="615">
        <v>117.76669369875587</v>
      </c>
      <c r="K81" s="3535">
        <v>122.82978902010538</v>
      </c>
      <c r="L81" s="615">
        <v>77.128611553236524</v>
      </c>
      <c r="M81" s="2970">
        <v>52.138283808869076</v>
      </c>
      <c r="N81" s="1365"/>
      <c r="O81" s="3641"/>
      <c r="P81" s="3641"/>
      <c r="Q81" s="1366"/>
    </row>
    <row r="82" spans="1:17">
      <c r="A82" s="53">
        <v>1999.01</v>
      </c>
      <c r="B82" s="1318">
        <v>95.58763892239719</v>
      </c>
      <c r="C82" s="615">
        <v>108.25855920647103</v>
      </c>
      <c r="D82" s="1192">
        <v>115.57187314431106</v>
      </c>
      <c r="E82" s="3535">
        <v>95.521743518673574</v>
      </c>
      <c r="F82" s="615">
        <v>51.161638707974525</v>
      </c>
      <c r="G82" s="3535">
        <v>102.74504013372123</v>
      </c>
      <c r="H82" s="615">
        <v>117.24016058599803</v>
      </c>
      <c r="I82" s="3535">
        <v>123.78916720017409</v>
      </c>
      <c r="J82" s="615">
        <v>115.56263069844174</v>
      </c>
      <c r="K82" s="3535">
        <v>109.79298213351107</v>
      </c>
      <c r="L82" s="615">
        <v>50.746089263690138</v>
      </c>
      <c r="M82" s="2970">
        <v>39.390796944126443</v>
      </c>
      <c r="N82" s="1365"/>
      <c r="O82" s="3641"/>
      <c r="P82" s="3641"/>
      <c r="Q82" s="1366"/>
    </row>
    <row r="83" spans="1:17">
      <c r="A83" s="53">
        <v>1999.02</v>
      </c>
      <c r="B83" s="1318">
        <v>92.768668571430041</v>
      </c>
      <c r="C83" s="615">
        <v>107.17169676572445</v>
      </c>
      <c r="D83" s="1192">
        <v>109.50742005463977</v>
      </c>
      <c r="E83" s="3535">
        <v>93.597429737674332</v>
      </c>
      <c r="F83" s="615">
        <v>71.666092483389988</v>
      </c>
      <c r="G83" s="3535">
        <v>100.16336242356695</v>
      </c>
      <c r="H83" s="615">
        <v>97.103606141710102</v>
      </c>
      <c r="I83" s="3535">
        <v>100.52469756522076</v>
      </c>
      <c r="J83" s="615">
        <v>119.74562809231833</v>
      </c>
      <c r="K83" s="3535">
        <v>97.748019878398296</v>
      </c>
      <c r="L83" s="615">
        <v>64.769102998092976</v>
      </c>
      <c r="M83" s="2970">
        <v>68.171088237631182</v>
      </c>
      <c r="N83" s="1365"/>
      <c r="O83" s="3641"/>
      <c r="P83" s="3641"/>
      <c r="Q83" s="1366"/>
    </row>
    <row r="84" spans="1:17">
      <c r="A84" s="53">
        <v>1999.03</v>
      </c>
      <c r="B84" s="1318">
        <v>110.53238014451419</v>
      </c>
      <c r="C84" s="615">
        <v>106.67000277284276</v>
      </c>
      <c r="D84" s="1192">
        <v>121.81957167233794</v>
      </c>
      <c r="E84" s="3535">
        <v>112.54777556386448</v>
      </c>
      <c r="F84" s="615">
        <v>64.704459531522261</v>
      </c>
      <c r="G84" s="3535">
        <v>108.33732221561101</v>
      </c>
      <c r="H84" s="615">
        <v>112.0353993520214</v>
      </c>
      <c r="I84" s="3535">
        <v>132.10014744439115</v>
      </c>
      <c r="J84" s="615">
        <v>123.1566043686698</v>
      </c>
      <c r="K84" s="3535">
        <v>116.45018935116674</v>
      </c>
      <c r="L84" s="615">
        <v>94.857688637311057</v>
      </c>
      <c r="M84" s="2970">
        <v>67.537292346485586</v>
      </c>
      <c r="N84" s="1365"/>
      <c r="O84" s="3641"/>
      <c r="P84" s="3641"/>
      <c r="Q84" s="1366"/>
    </row>
    <row r="85" spans="1:17">
      <c r="A85" s="53">
        <v>1999.04</v>
      </c>
      <c r="B85" s="1318">
        <v>105.69990964933905</v>
      </c>
      <c r="C85" s="615">
        <v>105.13209819204592</v>
      </c>
      <c r="D85" s="1192">
        <v>109.63280402123954</v>
      </c>
      <c r="E85" s="3535">
        <v>95.805482389243252</v>
      </c>
      <c r="F85" s="615">
        <v>59.701733981518238</v>
      </c>
      <c r="G85" s="3535">
        <v>121.61517922318862</v>
      </c>
      <c r="H85" s="615">
        <v>111.47584166784053</v>
      </c>
      <c r="I85" s="3535">
        <v>136.60940379420293</v>
      </c>
      <c r="J85" s="615">
        <v>117.44236247295525</v>
      </c>
      <c r="K85" s="3535">
        <v>121.93690808624976</v>
      </c>
      <c r="L85" s="615">
        <v>86.477484571533978</v>
      </c>
      <c r="M85" s="2970">
        <v>79.095963116060716</v>
      </c>
      <c r="N85" s="1365"/>
      <c r="O85" s="3641"/>
      <c r="P85" s="3641"/>
      <c r="Q85" s="1366"/>
    </row>
    <row r="86" spans="1:17">
      <c r="A86" s="53">
        <v>1999.05</v>
      </c>
      <c r="B86" s="1318">
        <v>108.99934221331921</v>
      </c>
      <c r="C86" s="615">
        <v>105.928552005743</v>
      </c>
      <c r="D86" s="1192">
        <v>112.91796835160866</v>
      </c>
      <c r="E86" s="3535">
        <v>95.116889257415494</v>
      </c>
      <c r="F86" s="615">
        <v>69.30482158084736</v>
      </c>
      <c r="G86" s="3535">
        <v>117.46149324209325</v>
      </c>
      <c r="H86" s="615">
        <v>110.86067051697421</v>
      </c>
      <c r="I86" s="3535">
        <v>135.22968370978575</v>
      </c>
      <c r="J86" s="615">
        <v>126.51182510279352</v>
      </c>
      <c r="K86" s="3535">
        <v>130.78309386024185</v>
      </c>
      <c r="L86" s="615">
        <v>91.880186150678014</v>
      </c>
      <c r="M86" s="2970">
        <v>84.03612846062218</v>
      </c>
      <c r="N86" s="1365"/>
      <c r="O86" s="3641"/>
      <c r="P86" s="3641"/>
      <c r="Q86" s="1366"/>
    </row>
    <row r="87" spans="1:17">
      <c r="A87" s="53">
        <v>1999.06</v>
      </c>
      <c r="B87" s="1318">
        <v>107.82965565529251</v>
      </c>
      <c r="C87" s="615">
        <v>106.72371763345288</v>
      </c>
      <c r="D87" s="1192">
        <v>118.15127195147744</v>
      </c>
      <c r="E87" s="3535">
        <v>95.98487260749414</v>
      </c>
      <c r="F87" s="615">
        <v>69.351611126566283</v>
      </c>
      <c r="G87" s="3535">
        <v>116.55050728434347</v>
      </c>
      <c r="H87" s="615">
        <v>105.03714607691224</v>
      </c>
      <c r="I87" s="3535">
        <v>119.75038539237478</v>
      </c>
      <c r="J87" s="615">
        <v>122.30867489101783</v>
      </c>
      <c r="K87" s="3535">
        <v>128.42103467499254</v>
      </c>
      <c r="L87" s="615">
        <v>90.835829147555813</v>
      </c>
      <c r="M87" s="2970">
        <v>92.69920401158825</v>
      </c>
      <c r="N87" s="1365"/>
      <c r="O87" s="3641"/>
      <c r="P87" s="3641"/>
      <c r="Q87" s="1366"/>
    </row>
    <row r="88" spans="1:17">
      <c r="A88" s="53">
        <v>1999.07</v>
      </c>
      <c r="B88" s="1318">
        <v>110.37658134549899</v>
      </c>
      <c r="C88" s="615">
        <v>105.2774056819062</v>
      </c>
      <c r="D88" s="1192">
        <v>126.612049725308</v>
      </c>
      <c r="E88" s="3535">
        <v>98.660640444159682</v>
      </c>
      <c r="F88" s="615">
        <v>72.748379782405038</v>
      </c>
      <c r="G88" s="3535">
        <v>119.75156074458104</v>
      </c>
      <c r="H88" s="615">
        <v>113.01450908578674</v>
      </c>
      <c r="I88" s="3535">
        <v>136.35206854314416</v>
      </c>
      <c r="J88" s="615">
        <v>84.105437660756124</v>
      </c>
      <c r="K88" s="3535">
        <v>142.4067230373121</v>
      </c>
      <c r="L88" s="615">
        <v>83.634987141200412</v>
      </c>
      <c r="M88" s="2970">
        <v>92.130037131246866</v>
      </c>
      <c r="N88" s="1365"/>
      <c r="O88" s="3641"/>
      <c r="P88" s="3641"/>
      <c r="Q88" s="1366"/>
    </row>
    <row r="89" spans="1:17">
      <c r="A89" s="53">
        <v>1999.08</v>
      </c>
      <c r="B89" s="1318">
        <v>114.99037177947588</v>
      </c>
      <c r="C89" s="615">
        <v>109.40080847817626</v>
      </c>
      <c r="D89" s="1192">
        <v>136.451922300239</v>
      </c>
      <c r="E89" s="3535">
        <v>96.552843941667376</v>
      </c>
      <c r="F89" s="615">
        <v>70.380668000607514</v>
      </c>
      <c r="G89" s="3535">
        <v>127.00186373517133</v>
      </c>
      <c r="H89" s="615">
        <v>114.73577968727989</v>
      </c>
      <c r="I89" s="3535">
        <v>126.36613999848613</v>
      </c>
      <c r="J89" s="615">
        <v>95.402778244318213</v>
      </c>
      <c r="K89" s="3535">
        <v>145.32489303388141</v>
      </c>
      <c r="L89" s="615">
        <v>86.550984303250729</v>
      </c>
      <c r="M89" s="2970">
        <v>108.5706595338458</v>
      </c>
      <c r="N89" s="1365"/>
      <c r="O89" s="3641"/>
      <c r="P89" s="3641"/>
      <c r="Q89" s="1366"/>
    </row>
    <row r="90" spans="1:17">
      <c r="A90" s="53">
        <v>1999.09</v>
      </c>
      <c r="B90" s="1318">
        <v>114.53191045151223</v>
      </c>
      <c r="C90" s="615">
        <v>108.5425731484482</v>
      </c>
      <c r="D90" s="1192">
        <v>140.83407299961419</v>
      </c>
      <c r="E90" s="3535">
        <v>98.825068623571084</v>
      </c>
      <c r="F90" s="615">
        <v>69.704824749419075</v>
      </c>
      <c r="G90" s="3535">
        <v>123.54267794476304</v>
      </c>
      <c r="H90" s="615">
        <v>107.82834202000279</v>
      </c>
      <c r="I90" s="3535">
        <v>125.59099161632943</v>
      </c>
      <c r="J90" s="615">
        <v>96.331935168946401</v>
      </c>
      <c r="K90" s="3535">
        <v>146.07348307826877</v>
      </c>
      <c r="L90" s="615">
        <v>77.798032695431914</v>
      </c>
      <c r="M90" s="2970">
        <v>113.65165956359047</v>
      </c>
      <c r="N90" s="1365"/>
      <c r="O90" s="3641"/>
      <c r="P90" s="3641"/>
      <c r="Q90" s="1366"/>
    </row>
    <row r="91" spans="1:17">
      <c r="A91" s="53">
        <v>1999.1</v>
      </c>
      <c r="B91" s="1318">
        <v>114.19984147918146</v>
      </c>
      <c r="C91" s="615">
        <v>110.08316540415115</v>
      </c>
      <c r="D91" s="1192">
        <v>138.31187865644625</v>
      </c>
      <c r="E91" s="3535">
        <v>100.35613251553879</v>
      </c>
      <c r="F91" s="615">
        <v>65.691581426626428</v>
      </c>
      <c r="G91" s="3535">
        <v>124.67948954773931</v>
      </c>
      <c r="H91" s="615">
        <v>111.04044231581913</v>
      </c>
      <c r="I91" s="3535">
        <v>127.44430662688528</v>
      </c>
      <c r="J91" s="615">
        <v>116.66940189178111</v>
      </c>
      <c r="K91" s="3535">
        <v>154.75452583405419</v>
      </c>
      <c r="L91" s="615">
        <v>72.88861827117816</v>
      </c>
      <c r="M91" s="2970">
        <v>116.31980915655785</v>
      </c>
      <c r="N91" s="1365"/>
      <c r="O91" s="3641"/>
      <c r="P91" s="3641"/>
      <c r="Q91" s="1366"/>
    </row>
    <row r="92" spans="1:17">
      <c r="A92" s="53">
        <v>1999.11</v>
      </c>
      <c r="B92" s="1318">
        <v>115.54929791883515</v>
      </c>
      <c r="C92" s="615">
        <v>112.13555662521317</v>
      </c>
      <c r="D92" s="1192">
        <v>132.41688174395688</v>
      </c>
      <c r="E92" s="3535">
        <v>101.22673807860994</v>
      </c>
      <c r="F92" s="615">
        <v>67.557770052690401</v>
      </c>
      <c r="G92" s="3535">
        <v>113.81614370310008</v>
      </c>
      <c r="H92" s="615">
        <v>110.92794759825328</v>
      </c>
      <c r="I92" s="3535">
        <v>127.73736974833102</v>
      </c>
      <c r="J92" s="615">
        <v>124.67639604283501</v>
      </c>
      <c r="K92" s="3535">
        <v>152.54411341054717</v>
      </c>
      <c r="L92" s="615">
        <v>81.004483865391634</v>
      </c>
      <c r="M92" s="2970">
        <v>121.63924398997732</v>
      </c>
      <c r="N92" s="1365"/>
      <c r="O92" s="3641"/>
      <c r="P92" s="3641"/>
      <c r="Q92" s="1366"/>
    </row>
    <row r="93" spans="1:17">
      <c r="A93" s="53">
        <v>1999.12</v>
      </c>
      <c r="B93" s="1318">
        <v>118.32707521852338</v>
      </c>
      <c r="C93" s="615">
        <v>111.856932637516</v>
      </c>
      <c r="D93" s="1192">
        <v>135.85910362367909</v>
      </c>
      <c r="E93" s="3535">
        <v>146.88181084476341</v>
      </c>
      <c r="F93" s="615">
        <v>57.517189609685232</v>
      </c>
      <c r="G93" s="3535">
        <v>120.77520417764831</v>
      </c>
      <c r="H93" s="615">
        <v>110.04396393858289</v>
      </c>
      <c r="I93" s="3535">
        <v>130.42011940095213</v>
      </c>
      <c r="J93" s="615">
        <v>114.86051183910234</v>
      </c>
      <c r="K93" s="3535">
        <v>144.63420393807289</v>
      </c>
      <c r="L93" s="615">
        <v>79.577115018477457</v>
      </c>
      <c r="M93" s="2970">
        <v>116.85390245320731</v>
      </c>
      <c r="N93" s="1365"/>
      <c r="O93" s="3641"/>
      <c r="P93" s="3641"/>
      <c r="Q93" s="1366"/>
    </row>
    <row r="94" spans="1:17">
      <c r="A94" s="53">
        <v>2000.01</v>
      </c>
      <c r="B94" s="1318">
        <v>98.707994036595181</v>
      </c>
      <c r="C94" s="615">
        <v>111.77162457511346</v>
      </c>
      <c r="D94" s="1192">
        <v>112.41379219062451</v>
      </c>
      <c r="E94" s="3535">
        <v>70.523585494760937</v>
      </c>
      <c r="F94" s="615">
        <v>52.575572318200585</v>
      </c>
      <c r="G94" s="3535">
        <v>128.03399940537997</v>
      </c>
      <c r="H94" s="615">
        <v>106.25683899140724</v>
      </c>
      <c r="I94" s="3535">
        <v>128.1665053730955</v>
      </c>
      <c r="J94" s="615">
        <v>111.12857417327839</v>
      </c>
      <c r="K94" s="3535">
        <v>134.03237982348273</v>
      </c>
      <c r="L94" s="615">
        <v>54.590461787562504</v>
      </c>
      <c r="M94" s="2970">
        <v>78.831910187561633</v>
      </c>
      <c r="N94" s="1365"/>
      <c r="O94" s="3641"/>
      <c r="P94" s="3641"/>
      <c r="Q94" s="1366"/>
    </row>
    <row r="95" spans="1:17">
      <c r="A95" s="53">
        <v>2000.02</v>
      </c>
      <c r="B95" s="1318">
        <v>99.511587239953741</v>
      </c>
      <c r="C95" s="615">
        <v>110.22932351851846</v>
      </c>
      <c r="D95" s="1192">
        <v>111.0485398798746</v>
      </c>
      <c r="E95" s="3535">
        <v>97.949533917065366</v>
      </c>
      <c r="F95" s="615">
        <v>66.633691756187517</v>
      </c>
      <c r="G95" s="3535">
        <v>114.60450617489266</v>
      </c>
      <c r="H95" s="615">
        <v>105.60012677841951</v>
      </c>
      <c r="I95" s="3535">
        <v>115.10928491733844</v>
      </c>
      <c r="J95" s="615">
        <v>106.40827716184327</v>
      </c>
      <c r="K95" s="3535">
        <v>139.17754759300303</v>
      </c>
      <c r="L95" s="615">
        <v>69.289879211199519</v>
      </c>
      <c r="M95" s="2970">
        <v>70.098161724544994</v>
      </c>
      <c r="N95" s="1365"/>
      <c r="O95" s="3641"/>
      <c r="P95" s="3641"/>
      <c r="Q95" s="1366"/>
    </row>
    <row r="96" spans="1:17">
      <c r="A96" s="53">
        <v>2000.03</v>
      </c>
      <c r="B96" s="1318">
        <v>115.94745649039659</v>
      </c>
      <c r="C96" s="615">
        <v>111.16793898843598</v>
      </c>
      <c r="D96" s="1192">
        <v>121.49778626674085</v>
      </c>
      <c r="E96" s="3535">
        <v>107.88888665515188</v>
      </c>
      <c r="F96" s="615">
        <v>73.200484208210682</v>
      </c>
      <c r="G96" s="3535">
        <v>129.92202671170776</v>
      </c>
      <c r="H96" s="615">
        <v>105.61593182138328</v>
      </c>
      <c r="I96" s="3535">
        <v>130.43364919125577</v>
      </c>
      <c r="J96" s="615">
        <v>114.49322167865843</v>
      </c>
      <c r="K96" s="3535">
        <v>160.89191078716348</v>
      </c>
      <c r="L96" s="615">
        <v>95.144571808626466</v>
      </c>
      <c r="M96" s="2970">
        <v>120.64640166256581</v>
      </c>
      <c r="N96" s="1365"/>
      <c r="O96" s="3641"/>
      <c r="P96" s="3641"/>
      <c r="Q96" s="1366"/>
    </row>
    <row r="97" spans="1:17">
      <c r="A97" s="53">
        <v>2000.04</v>
      </c>
      <c r="B97" s="1318">
        <v>105.02767400756018</v>
      </c>
      <c r="C97" s="615">
        <v>107.7418093793159</v>
      </c>
      <c r="D97" s="1192">
        <v>107.57402575528205</v>
      </c>
      <c r="E97" s="3535">
        <v>96.399706702905988</v>
      </c>
      <c r="F97" s="615">
        <v>66.140185059176957</v>
      </c>
      <c r="G97" s="3535">
        <v>131.61917599803473</v>
      </c>
      <c r="H97" s="615">
        <v>103.23380757853219</v>
      </c>
      <c r="I97" s="3535">
        <v>128.98312527392397</v>
      </c>
      <c r="J97" s="615">
        <v>99.025794061354929</v>
      </c>
      <c r="K97" s="3535">
        <v>154.67327195944145</v>
      </c>
      <c r="L97" s="615">
        <v>77.125860984112109</v>
      </c>
      <c r="M97" s="2970">
        <v>103.06340218692291</v>
      </c>
      <c r="N97" s="1365"/>
      <c r="O97" s="3641"/>
      <c r="P97" s="3641"/>
      <c r="Q97" s="1366"/>
    </row>
    <row r="98" spans="1:17">
      <c r="A98" s="53">
        <v>2000.05</v>
      </c>
      <c r="B98" s="1318">
        <v>107.45071928614914</v>
      </c>
      <c r="C98" s="615">
        <v>106.12125080340343</v>
      </c>
      <c r="D98" s="1192">
        <v>111.46423718152143</v>
      </c>
      <c r="E98" s="3535">
        <v>97.16459080803287</v>
      </c>
      <c r="F98" s="615">
        <v>72.825790530157988</v>
      </c>
      <c r="G98" s="3535">
        <v>134.43072404777121</v>
      </c>
      <c r="H98" s="615">
        <v>110.09623890688829</v>
      </c>
      <c r="I98" s="3535">
        <v>126.3296199715452</v>
      </c>
      <c r="J98" s="615">
        <v>100.71468807589883</v>
      </c>
      <c r="K98" s="3535">
        <v>152.30445594482802</v>
      </c>
      <c r="L98" s="615">
        <v>74.363971151069919</v>
      </c>
      <c r="M98" s="2970">
        <v>109.23354017142339</v>
      </c>
      <c r="N98" s="1365"/>
      <c r="O98" s="3641"/>
      <c r="P98" s="3641"/>
      <c r="Q98" s="1366"/>
    </row>
    <row r="99" spans="1:17">
      <c r="A99" s="53">
        <v>2000.06</v>
      </c>
      <c r="B99" s="1318">
        <v>107.93748276641216</v>
      </c>
      <c r="C99" s="615">
        <v>105.66759552877573</v>
      </c>
      <c r="D99" s="1192">
        <v>118.13915247548331</v>
      </c>
      <c r="E99" s="3535">
        <v>97.035269433156216</v>
      </c>
      <c r="F99" s="615">
        <v>72.45652507961141</v>
      </c>
      <c r="G99" s="3535">
        <v>124.97679584816227</v>
      </c>
      <c r="H99" s="615">
        <v>105.27096774193548</v>
      </c>
      <c r="I99" s="3535">
        <v>127.71637244722932</v>
      </c>
      <c r="J99" s="615">
        <v>101.23106110730505</v>
      </c>
      <c r="K99" s="3535">
        <v>144.78996048120433</v>
      </c>
      <c r="L99" s="615">
        <v>73.249509806548105</v>
      </c>
      <c r="M99" s="2970">
        <v>105.58676861454586</v>
      </c>
      <c r="N99" s="1365"/>
      <c r="O99" s="3641"/>
      <c r="P99" s="3641"/>
      <c r="Q99" s="1366"/>
    </row>
    <row r="100" spans="1:17">
      <c r="A100" s="53">
        <v>2000.07</v>
      </c>
      <c r="B100" s="1318">
        <v>107.82302640586666</v>
      </c>
      <c r="C100" s="615">
        <v>105.48266191986781</v>
      </c>
      <c r="D100" s="1192">
        <v>123.18105117524695</v>
      </c>
      <c r="E100" s="3535">
        <v>87.327651837572304</v>
      </c>
      <c r="F100" s="615">
        <v>74.16456115305688</v>
      </c>
      <c r="G100" s="3535">
        <v>130.50315445593216</v>
      </c>
      <c r="H100" s="615">
        <v>102.94640090153541</v>
      </c>
      <c r="I100" s="3535">
        <v>136.46460104307602</v>
      </c>
      <c r="J100" s="615">
        <v>103.32404351999888</v>
      </c>
      <c r="K100" s="3535">
        <v>155.86808176335146</v>
      </c>
      <c r="L100" s="615">
        <v>65.086996505439629</v>
      </c>
      <c r="M100" s="2970">
        <v>105.20692058718419</v>
      </c>
      <c r="N100" s="1365"/>
      <c r="O100" s="3641"/>
      <c r="P100" s="3641"/>
      <c r="Q100" s="1366"/>
    </row>
    <row r="101" spans="1:17">
      <c r="A101" s="53">
        <v>2000.08</v>
      </c>
      <c r="B101" s="1318">
        <v>113.53771525965676</v>
      </c>
      <c r="C101" s="615">
        <v>106.6150801376789</v>
      </c>
      <c r="D101" s="1192">
        <v>135.13863379113579</v>
      </c>
      <c r="E101" s="3535">
        <v>95.179081979684426</v>
      </c>
      <c r="F101" s="615">
        <v>71.313662641733373</v>
      </c>
      <c r="G101" s="3535">
        <v>131.03278299456858</v>
      </c>
      <c r="H101" s="615">
        <v>115.08835047189743</v>
      </c>
      <c r="I101" s="3535">
        <v>125.40457674315793</v>
      </c>
      <c r="J101" s="615">
        <v>107.84020904413957</v>
      </c>
      <c r="K101" s="3535">
        <v>166.58741902119851</v>
      </c>
      <c r="L101" s="615">
        <v>73.203297381352925</v>
      </c>
      <c r="M101" s="2970">
        <v>111.01420870462616</v>
      </c>
      <c r="N101" s="1365"/>
      <c r="O101" s="3641"/>
      <c r="P101" s="3641"/>
      <c r="Q101" s="1366"/>
    </row>
    <row r="102" spans="1:17">
      <c r="A102" s="53">
        <v>2000.09</v>
      </c>
      <c r="B102" s="1318">
        <v>112.10328027255837</v>
      </c>
      <c r="C102" s="615">
        <v>107.29946744845215</v>
      </c>
      <c r="D102" s="1192">
        <v>136.04197220043224</v>
      </c>
      <c r="E102" s="3535">
        <v>90.911723405271601</v>
      </c>
      <c r="F102" s="615">
        <v>66.507334429819565</v>
      </c>
      <c r="G102" s="3535">
        <v>132.52264817576466</v>
      </c>
      <c r="H102" s="615">
        <v>96.350373292012961</v>
      </c>
      <c r="I102" s="3535">
        <v>125.9537596739525</v>
      </c>
      <c r="J102" s="615">
        <v>119.05571746316272</v>
      </c>
      <c r="K102" s="3535">
        <v>165.73372790902818</v>
      </c>
      <c r="L102" s="615">
        <v>70.785997814714761</v>
      </c>
      <c r="M102" s="2970">
        <v>111.99437116886153</v>
      </c>
      <c r="N102" s="1365"/>
      <c r="O102" s="3641"/>
      <c r="P102" s="3641"/>
      <c r="Q102" s="1366"/>
    </row>
    <row r="103" spans="1:17">
      <c r="A103" s="53">
        <v>2000.1</v>
      </c>
      <c r="B103" s="1318">
        <v>110.20641630773135</v>
      </c>
      <c r="C103" s="615">
        <v>106.42313091741669</v>
      </c>
      <c r="D103" s="1192">
        <v>132.08350098687353</v>
      </c>
      <c r="E103" s="3535">
        <v>94.451525847744747</v>
      </c>
      <c r="F103" s="615">
        <v>58.960050768635831</v>
      </c>
      <c r="G103" s="3535">
        <v>128.86465875708166</v>
      </c>
      <c r="H103" s="615">
        <v>105.34487956050147</v>
      </c>
      <c r="I103" s="3535">
        <v>130.93271377469421</v>
      </c>
      <c r="J103" s="615">
        <v>105.55309068788367</v>
      </c>
      <c r="K103" s="3535">
        <v>166.92926841887493</v>
      </c>
      <c r="L103" s="615">
        <v>64.816188804801101</v>
      </c>
      <c r="M103" s="2970">
        <v>105.30181841828615</v>
      </c>
      <c r="N103" s="1365"/>
      <c r="O103" s="3641"/>
      <c r="P103" s="3641"/>
      <c r="Q103" s="1366"/>
    </row>
    <row r="104" spans="1:17">
      <c r="A104" s="53">
        <v>2000.11</v>
      </c>
      <c r="B104" s="1318">
        <v>109.71917491223842</v>
      </c>
      <c r="C104" s="615">
        <v>106.6363634118064</v>
      </c>
      <c r="D104" s="1192">
        <v>120.91570481662943</v>
      </c>
      <c r="E104" s="3535">
        <v>93.859491853169857</v>
      </c>
      <c r="F104" s="615">
        <v>63.559930189641086</v>
      </c>
      <c r="G104" s="3535">
        <v>125.54586647148155</v>
      </c>
      <c r="H104" s="615">
        <v>108.90063389209747</v>
      </c>
      <c r="I104" s="3535">
        <v>137.63828548165463</v>
      </c>
      <c r="J104" s="615">
        <v>109.33269449537129</v>
      </c>
      <c r="K104" s="3535">
        <v>165.73055972929916</v>
      </c>
      <c r="L104" s="615">
        <v>64.592904730474288</v>
      </c>
      <c r="M104" s="2970">
        <v>109.73674597502141</v>
      </c>
      <c r="N104" s="1365"/>
      <c r="O104" s="3641"/>
      <c r="P104" s="3641"/>
      <c r="Q104" s="1366"/>
    </row>
    <row r="105" spans="1:17">
      <c r="A105" s="53">
        <v>2000.12</v>
      </c>
      <c r="B105" s="1318">
        <v>112.22560404384305</v>
      </c>
      <c r="C105" s="615">
        <v>109.13943485869</v>
      </c>
      <c r="D105" s="1192">
        <v>135.39503793668445</v>
      </c>
      <c r="E105" s="3535">
        <v>108.29357124380456</v>
      </c>
      <c r="F105" s="615">
        <v>59.392352543148476</v>
      </c>
      <c r="G105" s="3535">
        <v>130.40899771293937</v>
      </c>
      <c r="H105" s="615">
        <v>111.69352021411467</v>
      </c>
      <c r="I105" s="3535">
        <v>144.49382557558738</v>
      </c>
      <c r="J105" s="615">
        <v>102.84499450517842</v>
      </c>
      <c r="K105" s="3535">
        <v>161.84904028244623</v>
      </c>
      <c r="L105" s="615">
        <v>57.297309270739376</v>
      </c>
      <c r="M105" s="2970">
        <v>91.804841085539763</v>
      </c>
      <c r="N105" s="1365"/>
      <c r="O105" s="3641"/>
      <c r="P105" s="3641"/>
      <c r="Q105" s="1366"/>
    </row>
    <row r="106" spans="1:17">
      <c r="A106" s="53">
        <v>2001.01</v>
      </c>
      <c r="B106" s="1318">
        <v>100.31625572419127</v>
      </c>
      <c r="C106" s="615">
        <v>110.490023737809</v>
      </c>
      <c r="D106" s="1192">
        <v>115.02720251286378</v>
      </c>
      <c r="E106" s="3535">
        <v>95.135121350104455</v>
      </c>
      <c r="F106" s="615">
        <v>51.178041656798356</v>
      </c>
      <c r="G106" s="3535">
        <v>123.66898977782927</v>
      </c>
      <c r="H106" s="615">
        <v>110.91843921679107</v>
      </c>
      <c r="I106" s="3535">
        <v>145.85107717998417</v>
      </c>
      <c r="J106" s="615">
        <v>106.92662930667589</v>
      </c>
      <c r="K106" s="3535">
        <v>143.38413096307528</v>
      </c>
      <c r="L106" s="615">
        <v>45.545063594187425</v>
      </c>
      <c r="M106" s="2970">
        <v>51.087346861146173</v>
      </c>
      <c r="N106" s="1365"/>
      <c r="O106" s="3641"/>
      <c r="P106" s="3641"/>
      <c r="Q106" s="1366"/>
    </row>
    <row r="107" spans="1:17">
      <c r="A107" s="53">
        <v>2001.02</v>
      </c>
      <c r="B107" s="1318">
        <v>97.574190469274839</v>
      </c>
      <c r="C107" s="615">
        <v>111.72624043114993</v>
      </c>
      <c r="D107" s="1192">
        <v>105.34760525596889</v>
      </c>
      <c r="E107" s="3535">
        <v>87.612023124216648</v>
      </c>
      <c r="F107" s="615">
        <v>64.756062435282246</v>
      </c>
      <c r="G107" s="3535">
        <v>119.87478288594579</v>
      </c>
      <c r="H107" s="615">
        <v>102.29830962107339</v>
      </c>
      <c r="I107" s="3535">
        <v>139.34442604294793</v>
      </c>
      <c r="J107" s="615">
        <v>100.5678298640323</v>
      </c>
      <c r="K107" s="3535">
        <v>135.73551087502057</v>
      </c>
      <c r="L107" s="615">
        <v>56.489578898753663</v>
      </c>
      <c r="M107" s="2970">
        <v>51.521545335438141</v>
      </c>
      <c r="N107" s="1365"/>
      <c r="O107" s="3641"/>
      <c r="P107" s="3641"/>
      <c r="Q107" s="1366"/>
    </row>
    <row r="108" spans="1:17">
      <c r="A108" s="53">
        <v>2001.03</v>
      </c>
      <c r="B108" s="1318">
        <v>111.43994511221238</v>
      </c>
      <c r="C108" s="615">
        <v>107.92757175411326</v>
      </c>
      <c r="D108" s="1192">
        <v>117.39637035476733</v>
      </c>
      <c r="E108" s="3535">
        <v>99.718842209669987</v>
      </c>
      <c r="F108" s="615">
        <v>71.646759831274281</v>
      </c>
      <c r="G108" s="3535">
        <v>135.24507385557934</v>
      </c>
      <c r="H108" s="615">
        <v>107.14999295675447</v>
      </c>
      <c r="I108" s="3535">
        <v>160.57291580935532</v>
      </c>
      <c r="J108" s="615">
        <v>88.676781802855686</v>
      </c>
      <c r="K108" s="3535">
        <v>161.91781400219145</v>
      </c>
      <c r="L108" s="615">
        <v>74.275280497367532</v>
      </c>
      <c r="M108" s="2970">
        <v>86.060766915006582</v>
      </c>
      <c r="N108" s="1365"/>
      <c r="O108" s="3641"/>
      <c r="P108" s="3641"/>
      <c r="Q108" s="1366"/>
    </row>
    <row r="109" spans="1:17">
      <c r="A109" s="53">
        <v>2001.04</v>
      </c>
      <c r="B109" s="1318">
        <v>107.62834667909502</v>
      </c>
      <c r="C109" s="615">
        <v>109.59725317580963</v>
      </c>
      <c r="D109" s="1192">
        <v>105.67926636659179</v>
      </c>
      <c r="E109" s="3535">
        <v>89.616010841770986</v>
      </c>
      <c r="F109" s="615">
        <v>71.329738109992135</v>
      </c>
      <c r="G109" s="3535">
        <v>123.24524121318296</v>
      </c>
      <c r="H109" s="615">
        <v>108.4254261163544</v>
      </c>
      <c r="I109" s="3535">
        <v>154.66622174311144</v>
      </c>
      <c r="J109" s="615">
        <v>89.818618973741934</v>
      </c>
      <c r="K109" s="3535">
        <v>160.06359255100648</v>
      </c>
      <c r="L109" s="615">
        <v>72.301063159900821</v>
      </c>
      <c r="M109" s="2970">
        <v>97.398757083991967</v>
      </c>
      <c r="N109" s="1365"/>
      <c r="O109" s="3641"/>
      <c r="P109" s="3641"/>
      <c r="Q109" s="1366"/>
    </row>
    <row r="110" spans="1:17">
      <c r="A110" s="53">
        <v>2001.05</v>
      </c>
      <c r="B110" s="1318">
        <v>110.38535710982863</v>
      </c>
      <c r="C110" s="615">
        <v>108.4001248746324</v>
      </c>
      <c r="D110" s="1192">
        <v>109.46814262011026</v>
      </c>
      <c r="E110" s="3535">
        <v>89.639086316104894</v>
      </c>
      <c r="F110" s="615">
        <v>71.174879249303999</v>
      </c>
      <c r="G110" s="3535">
        <v>136.91657294597513</v>
      </c>
      <c r="H110" s="615">
        <v>111.5102831384702</v>
      </c>
      <c r="I110" s="3535">
        <v>143.79715147809929</v>
      </c>
      <c r="J110" s="615">
        <v>100.96232128032489</v>
      </c>
      <c r="K110" s="3535">
        <v>164.41662331093448</v>
      </c>
      <c r="L110" s="615">
        <v>83.589051404825057</v>
      </c>
      <c r="M110" s="2970">
        <v>103.50649593950162</v>
      </c>
      <c r="N110" s="1365"/>
      <c r="O110" s="3641"/>
      <c r="P110" s="3641"/>
      <c r="Q110" s="1366"/>
    </row>
    <row r="111" spans="1:17">
      <c r="A111" s="53">
        <v>2001.06</v>
      </c>
      <c r="B111" s="1318">
        <v>108.09451104531951</v>
      </c>
      <c r="C111" s="615">
        <v>106.87985903025108</v>
      </c>
      <c r="D111" s="1192">
        <v>117.22713214675539</v>
      </c>
      <c r="E111" s="3535">
        <v>85.521718324862476</v>
      </c>
      <c r="F111" s="615">
        <v>70.389840012810708</v>
      </c>
      <c r="G111" s="3535">
        <v>133.25257074003537</v>
      </c>
      <c r="H111" s="615">
        <v>108.68815326102268</v>
      </c>
      <c r="I111" s="3535">
        <v>138.1000969471115</v>
      </c>
      <c r="J111" s="615">
        <v>101.06030449844307</v>
      </c>
      <c r="K111" s="3535">
        <v>146.57892132062136</v>
      </c>
      <c r="L111" s="615">
        <v>78.535610700164597</v>
      </c>
      <c r="M111" s="2970">
        <v>90.838580549057681</v>
      </c>
      <c r="N111" s="1365"/>
      <c r="O111" s="3641"/>
      <c r="P111" s="3641"/>
      <c r="Q111" s="1366"/>
    </row>
    <row r="112" spans="1:17">
      <c r="A112" s="53">
        <v>2001.07</v>
      </c>
      <c r="B112" s="1318">
        <v>109.86577141437702</v>
      </c>
      <c r="C112" s="615">
        <v>106.66587912275621</v>
      </c>
      <c r="D112" s="1192">
        <v>126.89746941521113</v>
      </c>
      <c r="E112" s="3535">
        <v>83.43141352550829</v>
      </c>
      <c r="F112" s="615">
        <v>68.067458695587192</v>
      </c>
      <c r="G112" s="3535">
        <v>129.57441911025791</v>
      </c>
      <c r="H112" s="615">
        <v>113.35981124101986</v>
      </c>
      <c r="I112" s="3535">
        <v>159.00039389925254</v>
      </c>
      <c r="J112" s="615">
        <v>98.794323447219057</v>
      </c>
      <c r="K112" s="3535">
        <v>141.62864535296919</v>
      </c>
      <c r="L112" s="615">
        <v>64.7972918364066</v>
      </c>
      <c r="M112" s="2970">
        <v>81.152997515452043</v>
      </c>
      <c r="N112" s="1365"/>
      <c r="O112" s="3641"/>
      <c r="P112" s="3641"/>
      <c r="Q112" s="1366"/>
    </row>
    <row r="113" spans="1:17">
      <c r="A113" s="53">
        <v>2001.08</v>
      </c>
      <c r="B113" s="1318">
        <v>110.16956235703731</v>
      </c>
      <c r="C113" s="615">
        <v>103.74435692840527</v>
      </c>
      <c r="D113" s="1192">
        <v>133.13221008539955</v>
      </c>
      <c r="E113" s="3535">
        <v>93.595887876434745</v>
      </c>
      <c r="F113" s="615">
        <v>63.337126084440506</v>
      </c>
      <c r="G113" s="3535">
        <v>140.15919156495195</v>
      </c>
      <c r="H113" s="615">
        <v>111.72141146640371</v>
      </c>
      <c r="I113" s="3535">
        <v>159.36209748553694</v>
      </c>
      <c r="J113" s="615">
        <v>98.367477725851927</v>
      </c>
      <c r="K113" s="3535">
        <v>119.86237667716922</v>
      </c>
      <c r="L113" s="615">
        <v>65.557034244851849</v>
      </c>
      <c r="M113" s="2970">
        <v>69.484604860311208</v>
      </c>
      <c r="N113" s="1365"/>
      <c r="O113" s="3641"/>
      <c r="P113" s="3641"/>
      <c r="Q113" s="1366"/>
    </row>
    <row r="114" spans="1:17">
      <c r="A114" s="53">
        <v>2001.09</v>
      </c>
      <c r="B114" s="1318">
        <v>103.04449848070533</v>
      </c>
      <c r="C114" s="615">
        <v>100.60824002575499</v>
      </c>
      <c r="D114" s="1192">
        <v>126.08344893167147</v>
      </c>
      <c r="E114" s="3535">
        <v>76.046749018893848</v>
      </c>
      <c r="F114" s="615">
        <v>57.912837633935993</v>
      </c>
      <c r="G114" s="3535">
        <v>130.54512672226153</v>
      </c>
      <c r="H114" s="615">
        <v>104.86223411748132</v>
      </c>
      <c r="I114" s="3535">
        <v>154.74423076101417</v>
      </c>
      <c r="J114" s="615">
        <v>91.071556454129151</v>
      </c>
      <c r="K114" s="3535">
        <v>144.80398702393526</v>
      </c>
      <c r="L114" s="615">
        <v>44.792476229524468</v>
      </c>
      <c r="M114" s="2970">
        <v>57.715317816667756</v>
      </c>
      <c r="N114" s="1365"/>
      <c r="O114" s="3641"/>
      <c r="P114" s="3641"/>
      <c r="Q114" s="1366"/>
    </row>
    <row r="115" spans="1:17">
      <c r="A115" s="53">
        <v>2001.1</v>
      </c>
      <c r="B115" s="1318">
        <v>104.2560794812261</v>
      </c>
      <c r="C115" s="615">
        <v>99.559808712972156</v>
      </c>
      <c r="D115" s="1192">
        <v>129.57460354386282</v>
      </c>
      <c r="E115" s="3535">
        <v>90.18029935492018</v>
      </c>
      <c r="F115" s="615">
        <v>54.305656686153469</v>
      </c>
      <c r="G115" s="3535">
        <v>137.0377157894749</v>
      </c>
      <c r="H115" s="615">
        <v>98.286448795604997</v>
      </c>
      <c r="I115" s="3535">
        <v>163.35297270577965</v>
      </c>
      <c r="J115" s="615">
        <v>80.480434188109939</v>
      </c>
      <c r="K115" s="3535">
        <v>142.8022707378214</v>
      </c>
      <c r="L115" s="615">
        <v>42.132348683833712</v>
      </c>
      <c r="M115" s="2970">
        <v>62.617195599964894</v>
      </c>
      <c r="N115" s="1365"/>
      <c r="O115" s="3641"/>
      <c r="P115" s="3641"/>
      <c r="Q115" s="1366"/>
    </row>
    <row r="116" spans="1:17">
      <c r="A116" s="53">
        <v>2001.11</v>
      </c>
      <c r="B116" s="1318">
        <v>101.93590849664906</v>
      </c>
      <c r="C116" s="615">
        <v>98.091868274690441</v>
      </c>
      <c r="D116" s="1192">
        <v>118.61957333749925</v>
      </c>
      <c r="E116" s="3535">
        <v>93.418500411918814</v>
      </c>
      <c r="F116" s="615">
        <v>48.569591121030996</v>
      </c>
      <c r="G116" s="3535">
        <v>125.21941665894853</v>
      </c>
      <c r="H116" s="615">
        <v>98.751387519368919</v>
      </c>
      <c r="I116" s="3535">
        <v>165.0921009094798</v>
      </c>
      <c r="J116" s="615">
        <v>88.7385610179564</v>
      </c>
      <c r="K116" s="3535">
        <v>134.11846046048308</v>
      </c>
      <c r="L116" s="615">
        <v>43.559213519740808</v>
      </c>
      <c r="M116" s="2970">
        <v>60.024420599357605</v>
      </c>
      <c r="N116" s="1365"/>
      <c r="O116" s="3641"/>
      <c r="P116" s="3641"/>
      <c r="Q116" s="1366"/>
    </row>
    <row r="117" spans="1:17">
      <c r="A117" s="53">
        <v>2001.12</v>
      </c>
      <c r="B117" s="1318">
        <v>90.573230864873906</v>
      </c>
      <c r="C117" s="615">
        <v>94.061509524468335</v>
      </c>
      <c r="D117" s="1192">
        <v>122.7912827503618</v>
      </c>
      <c r="E117" s="3535">
        <v>89.23454610341463</v>
      </c>
      <c r="F117" s="615">
        <v>42.14560475933218</v>
      </c>
      <c r="G117" s="3535">
        <v>114.4894552077329</v>
      </c>
      <c r="H117" s="615">
        <v>100.1878292717284</v>
      </c>
      <c r="I117" s="3535">
        <v>132.55214414610211</v>
      </c>
      <c r="J117" s="615">
        <v>68.764911372811412</v>
      </c>
      <c r="K117" s="3535">
        <v>123.20806087493972</v>
      </c>
      <c r="L117" s="615">
        <v>29.717349625059114</v>
      </c>
      <c r="M117" s="2970">
        <v>26.725376188790083</v>
      </c>
      <c r="N117" s="1365"/>
      <c r="O117" s="3641"/>
      <c r="P117" s="3641"/>
      <c r="Q117" s="1366"/>
    </row>
    <row r="118" spans="1:17">
      <c r="A118" s="53">
        <v>2002.01</v>
      </c>
      <c r="B118" s="1318">
        <v>83.087778402925451</v>
      </c>
      <c r="C118" s="615">
        <v>93.267233994850173</v>
      </c>
      <c r="D118" s="1192">
        <v>101.42295862133079</v>
      </c>
      <c r="E118" s="3535">
        <v>90.658319528581615</v>
      </c>
      <c r="F118" s="615">
        <v>39.369159677295265</v>
      </c>
      <c r="G118" s="3535">
        <v>116.35219722353924</v>
      </c>
      <c r="H118" s="615">
        <v>105.42212987744752</v>
      </c>
      <c r="I118" s="3535">
        <v>125.97357550554389</v>
      </c>
      <c r="J118" s="615">
        <v>63.206584494711649</v>
      </c>
      <c r="K118" s="3535">
        <v>115.86002096010731</v>
      </c>
      <c r="L118" s="615">
        <v>21.593139113890039</v>
      </c>
      <c r="M118" s="2970">
        <v>15.413689800560068</v>
      </c>
      <c r="N118" s="1365"/>
      <c r="O118" s="3641"/>
      <c r="P118" s="3641"/>
      <c r="Q118" s="1366"/>
    </row>
    <row r="119" spans="1:17">
      <c r="A119" s="53">
        <v>2002.02</v>
      </c>
      <c r="B119" s="1318">
        <v>82.265516623225679</v>
      </c>
      <c r="C119" s="615">
        <v>91.439427083285452</v>
      </c>
      <c r="D119" s="1192">
        <v>93.004490344251721</v>
      </c>
      <c r="E119" s="3535">
        <v>84.398211733004629</v>
      </c>
      <c r="F119" s="615">
        <v>42.387211326386421</v>
      </c>
      <c r="G119" s="3535">
        <v>118.7534682905314</v>
      </c>
      <c r="H119" s="615">
        <v>91.290435272573589</v>
      </c>
      <c r="I119" s="3535">
        <v>138.57465069092379</v>
      </c>
      <c r="J119" s="615">
        <v>61.339302605878451</v>
      </c>
      <c r="K119" s="3535">
        <v>128.64334104899618</v>
      </c>
      <c r="L119" s="615">
        <v>23.411463931844853</v>
      </c>
      <c r="M119" s="2970">
        <v>28.653846865847861</v>
      </c>
      <c r="N119" s="1365"/>
      <c r="O119" s="3641"/>
      <c r="P119" s="3641"/>
      <c r="Q119" s="1366"/>
    </row>
    <row r="120" spans="1:17">
      <c r="A120" s="53">
        <v>2002.03</v>
      </c>
      <c r="B120" s="1318">
        <v>92.628124917443301</v>
      </c>
      <c r="C120" s="615">
        <v>93.808916180201692</v>
      </c>
      <c r="D120" s="1192">
        <v>100.61863871234313</v>
      </c>
      <c r="E120" s="3535">
        <v>96.99256438085618</v>
      </c>
      <c r="F120" s="615">
        <v>53.462400019211039</v>
      </c>
      <c r="G120" s="3535">
        <v>125.15620482745578</v>
      </c>
      <c r="H120" s="615">
        <v>101.1453444147063</v>
      </c>
      <c r="I120" s="3535">
        <v>149.73359579242387</v>
      </c>
      <c r="J120" s="615">
        <v>65.906676412229785</v>
      </c>
      <c r="K120" s="3535">
        <v>146.4632228932432</v>
      </c>
      <c r="L120" s="615">
        <v>33.518103795041355</v>
      </c>
      <c r="M120" s="2970">
        <v>39.173303369520582</v>
      </c>
      <c r="N120" s="1365"/>
      <c r="O120" s="3641"/>
      <c r="P120" s="3641"/>
      <c r="Q120" s="1366"/>
    </row>
    <row r="121" spans="1:17">
      <c r="A121" s="53">
        <v>2002.04</v>
      </c>
      <c r="B121" s="1318">
        <v>96.154520053729073</v>
      </c>
      <c r="C121" s="615">
        <v>94.120958181921779</v>
      </c>
      <c r="D121" s="1192">
        <v>94.510785966581111</v>
      </c>
      <c r="E121" s="3535">
        <v>85.892163598737454</v>
      </c>
      <c r="F121" s="615">
        <v>58.014645513977818</v>
      </c>
      <c r="G121" s="3535">
        <v>131.6103230215345</v>
      </c>
      <c r="H121" s="615">
        <v>101.90187350331033</v>
      </c>
      <c r="I121" s="3535">
        <v>166.95211748241644</v>
      </c>
      <c r="J121" s="615">
        <v>68.294296441956988</v>
      </c>
      <c r="K121" s="3535">
        <v>162.20759845142288</v>
      </c>
      <c r="L121" s="615">
        <v>35.927206812102185</v>
      </c>
      <c r="M121" s="2970">
        <v>58.674237763471901</v>
      </c>
      <c r="N121" s="1365"/>
      <c r="O121" s="3641"/>
      <c r="P121" s="3641"/>
      <c r="Q121" s="1366"/>
    </row>
    <row r="122" spans="1:17">
      <c r="A122" s="53">
        <v>2002.05</v>
      </c>
      <c r="B122" s="1318">
        <v>97.13354369455989</v>
      </c>
      <c r="C122" s="615">
        <v>94.911128198053731</v>
      </c>
      <c r="D122" s="1192">
        <v>99.559007271808511</v>
      </c>
      <c r="E122" s="3535">
        <v>92.762467144570977</v>
      </c>
      <c r="F122" s="615">
        <v>61.169271337518438</v>
      </c>
      <c r="G122" s="3535">
        <v>135.74519078817173</v>
      </c>
      <c r="H122" s="615">
        <v>104.57968727989856</v>
      </c>
      <c r="I122" s="3535">
        <v>154.70699215495475</v>
      </c>
      <c r="J122" s="615">
        <v>70.058633958911543</v>
      </c>
      <c r="K122" s="3535">
        <v>161.06600803420449</v>
      </c>
      <c r="L122" s="615">
        <v>41.286215018170807</v>
      </c>
      <c r="M122" s="2970">
        <v>55.186420345297115</v>
      </c>
      <c r="N122" s="1365"/>
      <c r="O122" s="3641"/>
      <c r="P122" s="3641"/>
      <c r="Q122" s="1366"/>
    </row>
    <row r="123" spans="1:17">
      <c r="A123" s="53">
        <v>2002.06</v>
      </c>
      <c r="B123" s="1318">
        <v>96.609339500936414</v>
      </c>
      <c r="C123" s="615">
        <v>97.278319466474812</v>
      </c>
      <c r="D123" s="1192">
        <v>110.71314617331596</v>
      </c>
      <c r="E123" s="3535">
        <v>100.3741585331361</v>
      </c>
      <c r="F123" s="615">
        <v>59.542606454246631</v>
      </c>
      <c r="G123" s="3535">
        <v>132.44251948563482</v>
      </c>
      <c r="H123" s="615">
        <v>99.858712494717551</v>
      </c>
      <c r="I123" s="3535">
        <v>146.53204626134914</v>
      </c>
      <c r="J123" s="615">
        <v>76.695820302146956</v>
      </c>
      <c r="K123" s="3535">
        <v>151.66645219440099</v>
      </c>
      <c r="L123" s="615">
        <v>37.558750126481861</v>
      </c>
      <c r="M123" s="2970">
        <v>50.333843442081772</v>
      </c>
      <c r="N123" s="1365"/>
      <c r="O123" s="3641"/>
      <c r="P123" s="3641"/>
      <c r="Q123" s="1366"/>
    </row>
    <row r="124" spans="1:17">
      <c r="A124" s="53">
        <v>2002.07</v>
      </c>
      <c r="B124" s="1318">
        <v>101.23735837683789</v>
      </c>
      <c r="C124" s="615">
        <v>96.95899252226549</v>
      </c>
      <c r="D124" s="1192">
        <v>121.37386995636899</v>
      </c>
      <c r="E124" s="3535">
        <v>72.333617680625863</v>
      </c>
      <c r="F124" s="615">
        <v>67.682644455813659</v>
      </c>
      <c r="G124" s="3535">
        <v>135.79434292148926</v>
      </c>
      <c r="H124" s="615">
        <v>101.37785603606142</v>
      </c>
      <c r="I124" s="3535">
        <v>152.31118775579887</v>
      </c>
      <c r="J124" s="615">
        <v>72.781002629042618</v>
      </c>
      <c r="K124" s="3535">
        <v>159.05535934880714</v>
      </c>
      <c r="L124" s="615">
        <v>46.864958720537224</v>
      </c>
      <c r="M124" s="2970">
        <v>57.553983240669858</v>
      </c>
      <c r="N124" s="1365"/>
      <c r="O124" s="3641"/>
      <c r="P124" s="3641"/>
      <c r="Q124" s="1366"/>
    </row>
    <row r="125" spans="1:17">
      <c r="A125" s="53">
        <v>2002.08</v>
      </c>
      <c r="B125" s="1318">
        <v>100.16968208424851</v>
      </c>
      <c r="C125" s="615">
        <v>95.692475969647518</v>
      </c>
      <c r="D125" s="1192">
        <v>121.84492732975716</v>
      </c>
      <c r="E125" s="3535">
        <v>92.995071010813234</v>
      </c>
      <c r="F125" s="615">
        <v>65.297006655239855</v>
      </c>
      <c r="G125" s="3535">
        <v>140.60070437096965</v>
      </c>
      <c r="H125" s="615">
        <v>95.780969150584568</v>
      </c>
      <c r="I125" s="3535">
        <v>138.0267340645419</v>
      </c>
      <c r="J125" s="615">
        <v>77.523680328455328</v>
      </c>
      <c r="K125" s="3535">
        <v>164.57033858259209</v>
      </c>
      <c r="L125" s="615">
        <v>45.973713108392097</v>
      </c>
      <c r="M125" s="2970">
        <v>54.498010411704641</v>
      </c>
      <c r="N125" s="1365"/>
      <c r="O125" s="3641"/>
      <c r="P125" s="3641"/>
      <c r="Q125" s="1366"/>
    </row>
    <row r="126" spans="1:17">
      <c r="A126" s="53">
        <v>2002.09</v>
      </c>
      <c r="B126" s="1318">
        <v>102.15968117537756</v>
      </c>
      <c r="C126" s="615">
        <v>99.108080888562242</v>
      </c>
      <c r="D126" s="1192">
        <v>120.25142761646234</v>
      </c>
      <c r="E126" s="3535">
        <v>88.319446830286921</v>
      </c>
      <c r="F126" s="615">
        <v>68.335718572643799</v>
      </c>
      <c r="G126" s="3535">
        <v>136.16643628924584</v>
      </c>
      <c r="H126" s="615">
        <v>102.59235103535708</v>
      </c>
      <c r="I126" s="3535">
        <v>149.99201255569102</v>
      </c>
      <c r="J126" s="615">
        <v>87.52743489213367</v>
      </c>
      <c r="K126" s="3535">
        <v>160.9786045745945</v>
      </c>
      <c r="L126" s="615">
        <v>45.601027155204662</v>
      </c>
      <c r="M126" s="2970">
        <v>56.4073200221031</v>
      </c>
      <c r="N126" s="1365"/>
      <c r="O126" s="3641"/>
      <c r="P126" s="3641"/>
      <c r="Q126" s="1366"/>
    </row>
    <row r="127" spans="1:17">
      <c r="A127" s="53">
        <v>2002.1</v>
      </c>
      <c r="B127" s="1318">
        <v>100.78590251505446</v>
      </c>
      <c r="C127" s="615">
        <v>96.796043049811686</v>
      </c>
      <c r="D127" s="1192">
        <v>114.64602448611012</v>
      </c>
      <c r="E127" s="3535">
        <v>100.10971051231306</v>
      </c>
      <c r="F127" s="615">
        <v>67.262784010938603</v>
      </c>
      <c r="G127" s="3535">
        <v>133.50459966549084</v>
      </c>
      <c r="H127" s="615">
        <v>107.85139287058476</v>
      </c>
      <c r="I127" s="3535">
        <v>138.23129826867046</v>
      </c>
      <c r="J127" s="615">
        <v>78.321173864800272</v>
      </c>
      <c r="K127" s="3535">
        <v>170.20234384214507</v>
      </c>
      <c r="L127" s="615">
        <v>45.858632133613092</v>
      </c>
      <c r="M127" s="2970">
        <v>57.636749769095772</v>
      </c>
      <c r="N127" s="1365"/>
      <c r="O127" s="3641"/>
      <c r="P127" s="3641"/>
      <c r="Q127" s="1366"/>
    </row>
    <row r="128" spans="1:17">
      <c r="A128" s="53">
        <v>2002.11</v>
      </c>
      <c r="B128" s="1318">
        <v>97.660455804756552</v>
      </c>
      <c r="C128" s="615">
        <v>99.977695647750195</v>
      </c>
      <c r="D128" s="1192">
        <v>106.62399276168986</v>
      </c>
      <c r="E128" s="3535">
        <v>99.998977851092334</v>
      </c>
      <c r="F128" s="615">
        <v>64.565500926173584</v>
      </c>
      <c r="G128" s="3535">
        <v>130.81400665722035</v>
      </c>
      <c r="H128" s="615">
        <v>104.01714607278534</v>
      </c>
      <c r="I128" s="3535">
        <v>141.14860341629978</v>
      </c>
      <c r="J128" s="615">
        <v>83.723251845246381</v>
      </c>
      <c r="K128" s="3535">
        <v>156.55836117370612</v>
      </c>
      <c r="L128" s="615">
        <v>43.697898978567565</v>
      </c>
      <c r="M128" s="2970">
        <v>55.284432734647723</v>
      </c>
      <c r="N128" s="1365"/>
      <c r="O128" s="3641"/>
      <c r="P128" s="3641"/>
      <c r="Q128" s="1366"/>
    </row>
    <row r="129" spans="1:17">
      <c r="A129" s="53">
        <v>2002.12</v>
      </c>
      <c r="B129" s="1318">
        <v>100.04375241572305</v>
      </c>
      <c r="C129" s="615">
        <v>102.61836692870209</v>
      </c>
      <c r="D129" s="1192">
        <v>118.16604249000943</v>
      </c>
      <c r="E129" s="3535">
        <v>113.01262605839071</v>
      </c>
      <c r="F129" s="615">
        <v>56.483577254475144</v>
      </c>
      <c r="G129" s="3535">
        <v>139.42428655970332</v>
      </c>
      <c r="H129" s="615">
        <v>110.87812367939148</v>
      </c>
      <c r="I129" s="3535">
        <v>146.7711256330912</v>
      </c>
      <c r="J129" s="615">
        <v>81.949353428528212</v>
      </c>
      <c r="K129" s="3535">
        <v>157.19185404062151</v>
      </c>
      <c r="L129" s="615">
        <v>37.315700366331058</v>
      </c>
      <c r="M129" s="2970">
        <v>42.224134560624186</v>
      </c>
      <c r="N129" s="1365"/>
      <c r="O129" s="3641"/>
      <c r="P129" s="3641"/>
      <c r="Q129" s="1366"/>
    </row>
    <row r="130" spans="1:17">
      <c r="A130" s="53">
        <v>2003.01</v>
      </c>
      <c r="B130" s="1318">
        <v>94.967368599386745</v>
      </c>
      <c r="C130" s="615">
        <v>103.71598803860552</v>
      </c>
      <c r="D130" s="1192">
        <v>104.39325337360442</v>
      </c>
      <c r="E130" s="3535">
        <v>107.66859485014851</v>
      </c>
      <c r="F130" s="615">
        <v>41.565464698092086</v>
      </c>
      <c r="G130" s="3535">
        <v>142.74952619986362</v>
      </c>
      <c r="H130" s="615">
        <v>107.92563600455527</v>
      </c>
      <c r="I130" s="3535">
        <v>145.21867592820837</v>
      </c>
      <c r="J130" s="615">
        <v>86.145175579742528</v>
      </c>
      <c r="K130" s="3535">
        <v>154.81653869100344</v>
      </c>
      <c r="L130" s="615">
        <v>39.258573250494251</v>
      </c>
      <c r="M130" s="2970">
        <v>30.338829894094548</v>
      </c>
      <c r="N130" s="1365"/>
      <c r="O130" s="3641"/>
      <c r="P130" s="3641"/>
      <c r="Q130" s="1366"/>
    </row>
    <row r="131" spans="1:17">
      <c r="A131" s="53">
        <v>2003.02</v>
      </c>
      <c r="B131" s="1318">
        <v>92.581762656792705</v>
      </c>
      <c r="C131" s="615">
        <v>104.5708047922234</v>
      </c>
      <c r="D131" s="1192">
        <v>96.387030783137831</v>
      </c>
      <c r="E131" s="3535">
        <v>93.953289337398132</v>
      </c>
      <c r="F131" s="615">
        <v>56.544309344871166</v>
      </c>
      <c r="G131" s="3535">
        <v>139.77211950396855</v>
      </c>
      <c r="H131" s="615">
        <v>95.860755035920548</v>
      </c>
      <c r="I131" s="3535">
        <v>142.38455117758494</v>
      </c>
      <c r="J131" s="615">
        <v>83.44648668012313</v>
      </c>
      <c r="K131" s="3535">
        <v>158.73922262487031</v>
      </c>
      <c r="L131" s="615">
        <v>48.067864128480323</v>
      </c>
      <c r="M131" s="2970">
        <v>37.410433772785744</v>
      </c>
      <c r="N131" s="1365"/>
      <c r="O131" s="3641"/>
      <c r="P131" s="3641"/>
      <c r="Q131" s="1366"/>
    </row>
    <row r="132" spans="1:17">
      <c r="A132" s="53">
        <v>2003.03</v>
      </c>
      <c r="B132" s="1318">
        <v>106.18105075853794</v>
      </c>
      <c r="C132" s="615">
        <v>105.48063735536151</v>
      </c>
      <c r="D132" s="1192">
        <v>101.55659934293911</v>
      </c>
      <c r="E132" s="3535">
        <v>99.92896723215803</v>
      </c>
      <c r="F132" s="615">
        <v>82.13947279843876</v>
      </c>
      <c r="G132" s="3535">
        <v>153.12426357918946</v>
      </c>
      <c r="H132" s="615">
        <v>106.34393576560079</v>
      </c>
      <c r="I132" s="3535">
        <v>165.06495136376199</v>
      </c>
      <c r="J132" s="615">
        <v>89.618637830485824</v>
      </c>
      <c r="K132" s="3535">
        <v>183.44780508701234</v>
      </c>
      <c r="L132" s="615">
        <v>66.461589141605003</v>
      </c>
      <c r="M132" s="2970">
        <v>51.686314416130898</v>
      </c>
      <c r="N132" s="1365"/>
      <c r="O132" s="3641"/>
      <c r="P132" s="3641"/>
      <c r="Q132" s="1366"/>
    </row>
    <row r="133" spans="1:17">
      <c r="A133" s="53">
        <v>2003.04</v>
      </c>
      <c r="B133" s="1318">
        <v>107.19642500838349</v>
      </c>
      <c r="C133" s="615">
        <v>107.68968613964645</v>
      </c>
      <c r="D133" s="1192">
        <v>96.067827797405826</v>
      </c>
      <c r="E133" s="3535">
        <v>103.1402020677332</v>
      </c>
      <c r="F133" s="615">
        <v>82.476246520462567</v>
      </c>
      <c r="G133" s="3535">
        <v>146.85404215976428</v>
      </c>
      <c r="H133" s="615">
        <v>105.201281870686</v>
      </c>
      <c r="I133" s="3535">
        <v>167.46820868730165</v>
      </c>
      <c r="J133" s="615">
        <v>82.45401053722324</v>
      </c>
      <c r="K133" s="3535">
        <v>176.19512336039537</v>
      </c>
      <c r="L133" s="615">
        <v>77.831454578292806</v>
      </c>
      <c r="M133" s="2970">
        <v>56.980006226063281</v>
      </c>
      <c r="N133" s="1365"/>
      <c r="O133" s="3641"/>
      <c r="P133" s="3641"/>
      <c r="Q133" s="1366"/>
    </row>
    <row r="134" spans="1:17">
      <c r="A134" s="53">
        <v>2003.05</v>
      </c>
      <c r="B134" s="1318">
        <v>108.46099571260396</v>
      </c>
      <c r="C134" s="615">
        <v>107.03031782791473</v>
      </c>
      <c r="D134" s="1192">
        <v>100.51668813055187</v>
      </c>
      <c r="E134" s="3535">
        <v>98.119645820261894</v>
      </c>
      <c r="F134" s="615">
        <v>84.116407450350891</v>
      </c>
      <c r="G134" s="3535">
        <v>151.50693966358028</v>
      </c>
      <c r="H134" s="615">
        <v>108.72525707846175</v>
      </c>
      <c r="I134" s="3535">
        <v>173.86604135323194</v>
      </c>
      <c r="J134" s="615">
        <v>74.113241769697069</v>
      </c>
      <c r="K134" s="3535">
        <v>181.35492024184285</v>
      </c>
      <c r="L134" s="615">
        <v>80.95299396349607</v>
      </c>
      <c r="M134" s="2970">
        <v>52.240860948224203</v>
      </c>
      <c r="N134" s="1365"/>
      <c r="O134" s="3641"/>
      <c r="P134" s="3641"/>
      <c r="Q134" s="1366"/>
    </row>
    <row r="135" spans="1:17">
      <c r="A135" s="53">
        <v>2003.06</v>
      </c>
      <c r="B135" s="1318">
        <v>106.44860503289502</v>
      </c>
      <c r="C135" s="615">
        <v>106.30506354092861</v>
      </c>
      <c r="D135" s="1192">
        <v>113.64567576078613</v>
      </c>
      <c r="E135" s="3535">
        <v>93.657315529501147</v>
      </c>
      <c r="F135" s="615">
        <v>77.524714577929885</v>
      </c>
      <c r="G135" s="3535">
        <v>150.731694443305</v>
      </c>
      <c r="H135" s="615">
        <v>107.79719678828003</v>
      </c>
      <c r="I135" s="3535">
        <v>147.61903159743204</v>
      </c>
      <c r="J135" s="615">
        <v>83.39712834465044</v>
      </c>
      <c r="K135" s="3535">
        <v>173.80825810462741</v>
      </c>
      <c r="L135" s="615">
        <v>78.13735567455808</v>
      </c>
      <c r="M135" s="2970">
        <v>49.819287817637075</v>
      </c>
      <c r="N135" s="1365"/>
      <c r="O135" s="3641"/>
      <c r="P135" s="3641"/>
      <c r="Q135" s="1366"/>
    </row>
    <row r="136" spans="1:17">
      <c r="A136" s="53">
        <v>2003.07</v>
      </c>
      <c r="B136" s="1318">
        <v>112.51190880703356</v>
      </c>
      <c r="C136" s="615">
        <v>107.3852498500366</v>
      </c>
      <c r="D136" s="1192">
        <v>122.52209656315105</v>
      </c>
      <c r="E136" s="3535">
        <v>97.7151969222829</v>
      </c>
      <c r="F136" s="615">
        <v>74.148724293182894</v>
      </c>
      <c r="G136" s="3535">
        <v>151.53361449235945</v>
      </c>
      <c r="H136" s="615">
        <v>109.43368093767607</v>
      </c>
      <c r="I136" s="3535">
        <v>156.1635751480905</v>
      </c>
      <c r="J136" s="615">
        <v>102.52419481147976</v>
      </c>
      <c r="K136" s="3535">
        <v>174.92423670662487</v>
      </c>
      <c r="L136" s="615">
        <v>87.814783653629931</v>
      </c>
      <c r="M136" s="2970">
        <v>45.391297990344235</v>
      </c>
      <c r="N136" s="1365"/>
      <c r="O136" s="3641"/>
      <c r="P136" s="3641"/>
      <c r="Q136" s="1366"/>
    </row>
    <row r="137" spans="1:17">
      <c r="A137" s="53">
        <v>2003.08</v>
      </c>
      <c r="B137" s="1318">
        <v>109.68690562510082</v>
      </c>
      <c r="C137" s="615">
        <v>106.83641666943971</v>
      </c>
      <c r="D137" s="1192">
        <v>125.19260702893152</v>
      </c>
      <c r="E137" s="3535">
        <v>93.915402370100054</v>
      </c>
      <c r="F137" s="615">
        <v>69.075313127104096</v>
      </c>
      <c r="G137" s="3535">
        <v>155.5200845601037</v>
      </c>
      <c r="H137" s="615">
        <v>109.89003931118881</v>
      </c>
      <c r="I137" s="3535">
        <v>160.33071309624415</v>
      </c>
      <c r="J137" s="615">
        <v>89.828471191196115</v>
      </c>
      <c r="K137" s="3535">
        <v>177.50662299986064</v>
      </c>
      <c r="L137" s="615">
        <v>62.482314005864829</v>
      </c>
      <c r="M137" s="2970">
        <v>56.694688844341663</v>
      </c>
      <c r="N137" s="1365"/>
      <c r="O137" s="3641"/>
      <c r="P137" s="3641"/>
      <c r="Q137" s="1366"/>
    </row>
    <row r="138" spans="1:17">
      <c r="A138" s="53">
        <v>2003.09</v>
      </c>
      <c r="B138" s="1318">
        <v>114.88817371883549</v>
      </c>
      <c r="C138" s="615">
        <v>109.77507172733175</v>
      </c>
      <c r="D138" s="1192">
        <v>131.69582169084231</v>
      </c>
      <c r="E138" s="3535">
        <v>100.95029698104618</v>
      </c>
      <c r="F138" s="615">
        <v>72.002173592240581</v>
      </c>
      <c r="G138" s="3535">
        <v>151.22671225325749</v>
      </c>
      <c r="H138" s="615">
        <v>102.92634034587358</v>
      </c>
      <c r="I138" s="3535">
        <v>177.92151046440154</v>
      </c>
      <c r="J138" s="615">
        <v>100.19352973727896</v>
      </c>
      <c r="K138" s="3535">
        <v>170.91383621146372</v>
      </c>
      <c r="L138" s="615">
        <v>66.408495223840106</v>
      </c>
      <c r="M138" s="2970">
        <v>59.557171369362308</v>
      </c>
      <c r="N138" s="1365"/>
      <c r="O138" s="3641"/>
      <c r="P138" s="3641"/>
      <c r="Q138" s="1366"/>
    </row>
    <row r="139" spans="1:17">
      <c r="A139" s="53">
        <v>2003.1</v>
      </c>
      <c r="B139" s="1318">
        <v>119.11606837961838</v>
      </c>
      <c r="C139" s="615">
        <v>112.42732558084575</v>
      </c>
      <c r="D139" s="1192">
        <v>130.23899534231231</v>
      </c>
      <c r="E139" s="3535">
        <v>108.09887223760785</v>
      </c>
      <c r="F139" s="615">
        <v>72.354952182257009</v>
      </c>
      <c r="G139" s="3535">
        <v>141.97004935727801</v>
      </c>
      <c r="H139" s="615">
        <v>108.11757092592093</v>
      </c>
      <c r="I139" s="3535">
        <v>154.99794559961413</v>
      </c>
      <c r="J139" s="615">
        <v>112.00796625753813</v>
      </c>
      <c r="K139" s="3535">
        <v>184.11668306264815</v>
      </c>
      <c r="L139" s="615">
        <v>101.97254271498173</v>
      </c>
      <c r="M139" s="2970">
        <v>60.896563233526429</v>
      </c>
      <c r="N139" s="1365"/>
      <c r="O139" s="3641"/>
      <c r="P139" s="3641"/>
      <c r="Q139" s="1366"/>
    </row>
    <row r="140" spans="1:17">
      <c r="A140" s="53">
        <v>2003.11</v>
      </c>
      <c r="B140" s="1318">
        <v>116.03320582857904</v>
      </c>
      <c r="C140" s="615">
        <v>115.41724687009516</v>
      </c>
      <c r="D140" s="1192">
        <v>115.1024524854206</v>
      </c>
      <c r="E140" s="3535">
        <v>106.09820269922379</v>
      </c>
      <c r="F140" s="615">
        <v>70.060878632094571</v>
      </c>
      <c r="G140" s="3535">
        <v>151.01833607559206</v>
      </c>
      <c r="H140" s="615">
        <v>109.54920079894495</v>
      </c>
      <c r="I140" s="3535">
        <v>169.68343058318365</v>
      </c>
      <c r="J140" s="615">
        <v>106.25425891007347</v>
      </c>
      <c r="K140" s="3535">
        <v>172.24661016630427</v>
      </c>
      <c r="L140" s="615">
        <v>90.861241768302762</v>
      </c>
      <c r="M140" s="2970">
        <v>70.793296647794477</v>
      </c>
      <c r="N140" s="1365"/>
      <c r="O140" s="3641"/>
      <c r="P140" s="3641"/>
      <c r="Q140" s="1366"/>
    </row>
    <row r="141" spans="1:17">
      <c r="A141" s="53">
        <v>2003.12</v>
      </c>
      <c r="B141" s="1318">
        <v>114.20774216894509</v>
      </c>
      <c r="C141" s="615">
        <v>115.13228191414728</v>
      </c>
      <c r="D141" s="1192">
        <v>129.09404961741251</v>
      </c>
      <c r="E141" s="3535">
        <v>124.34799563437528</v>
      </c>
      <c r="F141" s="615">
        <v>60.466123254680646</v>
      </c>
      <c r="G141" s="3535">
        <v>147.21948105407989</v>
      </c>
      <c r="H141" s="615">
        <v>107.94149429357829</v>
      </c>
      <c r="I141" s="3535">
        <v>163.89607683252706</v>
      </c>
      <c r="J141" s="615">
        <v>97.816334891266393</v>
      </c>
      <c r="K141" s="3535">
        <v>170.77282950000944</v>
      </c>
      <c r="L141" s="615">
        <v>77.929281220477975</v>
      </c>
      <c r="M141" s="2970">
        <v>49.621170008852857</v>
      </c>
      <c r="N141" s="1365"/>
      <c r="O141" s="3641"/>
      <c r="P141" s="3641"/>
      <c r="Q141" s="1366"/>
    </row>
    <row r="142" spans="1:17">
      <c r="A142" s="53">
        <v>2004.01</v>
      </c>
      <c r="B142" s="1318">
        <v>111.33825965421393</v>
      </c>
      <c r="C142" s="615">
        <v>115.862563359348</v>
      </c>
      <c r="D142" s="1192">
        <v>116.71186409278145</v>
      </c>
      <c r="E142" s="3535">
        <v>100.83144471441811</v>
      </c>
      <c r="F142" s="615">
        <v>55.099855910445974</v>
      </c>
      <c r="G142" s="3535">
        <v>157.04835358898686</v>
      </c>
      <c r="H142" s="615">
        <v>113.83443929266805</v>
      </c>
      <c r="I142" s="3535">
        <v>173.61196959534294</v>
      </c>
      <c r="J142" s="615">
        <v>102.14037605606761</v>
      </c>
      <c r="K142" s="3535">
        <v>162.91891159991343</v>
      </c>
      <c r="L142" s="615">
        <v>76.48640005855475</v>
      </c>
      <c r="M142" s="2970">
        <v>41.677380412871841</v>
      </c>
      <c r="N142" s="1365"/>
      <c r="O142" s="3641"/>
      <c r="P142" s="3641"/>
      <c r="Q142" s="1366"/>
    </row>
    <row r="143" spans="1:17">
      <c r="A143" s="53">
        <v>2004.02</v>
      </c>
      <c r="B143" s="1318">
        <v>105.59772566924002</v>
      </c>
      <c r="C143" s="615">
        <v>116.48013844874743</v>
      </c>
      <c r="D143" s="1192">
        <v>106.16843577235726</v>
      </c>
      <c r="E143" s="3535">
        <v>97.161214631681133</v>
      </c>
      <c r="F143" s="615">
        <v>72.967178949140973</v>
      </c>
      <c r="G143" s="3535">
        <v>153.44593504540728</v>
      </c>
      <c r="H143" s="615">
        <v>98.830312456280637</v>
      </c>
      <c r="I143" s="3535">
        <v>146.54136692875286</v>
      </c>
      <c r="J143" s="615">
        <v>100.86653712845596</v>
      </c>
      <c r="K143" s="3535">
        <v>168.21865148836537</v>
      </c>
      <c r="L143" s="615">
        <v>84.482764659058489</v>
      </c>
      <c r="M143" s="2970">
        <v>55.011666956176938</v>
      </c>
      <c r="N143" s="1365"/>
      <c r="O143" s="3641"/>
      <c r="P143" s="3641"/>
      <c r="Q143" s="1366"/>
    </row>
    <row r="144" spans="1:17">
      <c r="A144" s="53">
        <v>2004.03</v>
      </c>
      <c r="B144" s="1318">
        <v>120.18878574457055</v>
      </c>
      <c r="C144" s="615">
        <v>116.67481124361198</v>
      </c>
      <c r="D144" s="1192">
        <v>117.76437646823604</v>
      </c>
      <c r="E144" s="3535">
        <v>107.91949559316541</v>
      </c>
      <c r="F144" s="615">
        <v>87.986720312536292</v>
      </c>
      <c r="G144" s="3535">
        <v>164.4913371136771</v>
      </c>
      <c r="H144" s="615">
        <v>113.07729767573551</v>
      </c>
      <c r="I144" s="3535">
        <v>157.76013870663414</v>
      </c>
      <c r="J144" s="615">
        <v>119.43105618754436</v>
      </c>
      <c r="K144" s="3535">
        <v>174.40496076095312</v>
      </c>
      <c r="L144" s="615">
        <v>98.601792508006753</v>
      </c>
      <c r="M144" s="2970">
        <v>83.382422023923397</v>
      </c>
      <c r="N144" s="1365"/>
      <c r="O144" s="3641"/>
      <c r="P144" s="3641"/>
      <c r="Q144" s="1366"/>
    </row>
    <row r="145" spans="1:17">
      <c r="A145" s="53">
        <v>2004.04</v>
      </c>
      <c r="B145" s="1318">
        <v>114.25364967687896</v>
      </c>
      <c r="C145" s="615">
        <v>115.55440345670921</v>
      </c>
      <c r="D145" s="1192">
        <v>104.41236503979229</v>
      </c>
      <c r="E145" s="3535">
        <v>90.150829382832342</v>
      </c>
      <c r="F145" s="615">
        <v>88.996083283232636</v>
      </c>
      <c r="G145" s="3535">
        <v>156.78711983253871</v>
      </c>
      <c r="H145" s="615">
        <v>102.6680504291221</v>
      </c>
      <c r="I145" s="3535">
        <v>164.38760498681796</v>
      </c>
      <c r="J145" s="615">
        <v>89.292431149435856</v>
      </c>
      <c r="K145" s="3535">
        <v>168.54379746826623</v>
      </c>
      <c r="L145" s="615">
        <v>107.65214271436277</v>
      </c>
      <c r="M145" s="2970">
        <v>76.446217208162523</v>
      </c>
      <c r="N145" s="1365"/>
      <c r="O145" s="3641"/>
      <c r="P145" s="3641"/>
      <c r="Q145" s="1366"/>
    </row>
    <row r="146" spans="1:17">
      <c r="A146" s="53">
        <v>2004.05</v>
      </c>
      <c r="B146" s="1318">
        <v>118.00932710289152</v>
      </c>
      <c r="C146" s="615">
        <v>119.10692995775933</v>
      </c>
      <c r="D146" s="1192">
        <v>108.64448080922676</v>
      </c>
      <c r="E146" s="3535">
        <v>87.690079926594493</v>
      </c>
      <c r="F146" s="615">
        <v>91.082390746632257</v>
      </c>
      <c r="G146" s="3535">
        <v>156.58222167497516</v>
      </c>
      <c r="H146" s="615">
        <v>108.46781149226219</v>
      </c>
      <c r="I146" s="3535">
        <v>173.5929830611089</v>
      </c>
      <c r="J146" s="615">
        <v>107.13680602913441</v>
      </c>
      <c r="K146" s="3535">
        <v>176.02712670335004</v>
      </c>
      <c r="L146" s="615">
        <v>104.01236961218294</v>
      </c>
      <c r="M146" s="2970">
        <v>80.842780133267809</v>
      </c>
      <c r="N146" s="1365"/>
      <c r="O146" s="3641"/>
      <c r="P146" s="3641"/>
      <c r="Q146" s="1366"/>
    </row>
    <row r="147" spans="1:17">
      <c r="A147" s="53">
        <v>2004.06</v>
      </c>
      <c r="B147" s="1318">
        <v>122.26031768833275</v>
      </c>
      <c r="C147" s="615">
        <v>120.42339995309324</v>
      </c>
      <c r="D147" s="1192">
        <v>124.74520597645483</v>
      </c>
      <c r="E147" s="3535">
        <v>97.786186706398155</v>
      </c>
      <c r="F147" s="615">
        <v>84.304281734836565</v>
      </c>
      <c r="G147" s="3535">
        <v>159.80410362784238</v>
      </c>
      <c r="H147" s="615">
        <v>108.30888315069957</v>
      </c>
      <c r="I147" s="3535">
        <v>162.43833961203566</v>
      </c>
      <c r="J147" s="615">
        <v>106.68304527191708</v>
      </c>
      <c r="K147" s="3535">
        <v>168.79819179327802</v>
      </c>
      <c r="L147" s="615">
        <v>106.59075042055221</v>
      </c>
      <c r="M147" s="2970">
        <v>85.525225376903478</v>
      </c>
      <c r="N147" s="1365"/>
      <c r="O147" s="3641"/>
      <c r="P147" s="3641"/>
      <c r="Q147" s="1366"/>
    </row>
    <row r="148" spans="1:17">
      <c r="A148" s="53">
        <v>2004.07</v>
      </c>
      <c r="B148" s="1318">
        <v>120.05159675128318</v>
      </c>
      <c r="C148" s="615">
        <v>120.734799979756</v>
      </c>
      <c r="D148" s="1192">
        <v>131.14111057420973</v>
      </c>
      <c r="E148" s="3535">
        <v>82.411081451539886</v>
      </c>
      <c r="F148" s="615">
        <v>83.025310534460559</v>
      </c>
      <c r="G148" s="3535">
        <v>164.717575134264</v>
      </c>
      <c r="H148" s="615">
        <v>115.13525046157673</v>
      </c>
      <c r="I148" s="3535">
        <v>159.38559603174508</v>
      </c>
      <c r="J148" s="615">
        <v>108.18919601875245</v>
      </c>
      <c r="K148" s="3535">
        <v>177.06678136542723</v>
      </c>
      <c r="L148" s="615">
        <v>94.025359132576526</v>
      </c>
      <c r="M148" s="2970">
        <v>80.414247607881151</v>
      </c>
      <c r="N148" s="1365"/>
      <c r="O148" s="3641"/>
      <c r="P148" s="3641"/>
      <c r="Q148" s="1366"/>
    </row>
    <row r="149" spans="1:17">
      <c r="A149" s="53">
        <v>2004.08</v>
      </c>
      <c r="B149" s="1318">
        <v>126.75354589682587</v>
      </c>
      <c r="C149" s="615">
        <v>122.54777885461766</v>
      </c>
      <c r="D149" s="1192">
        <v>137.06359283358</v>
      </c>
      <c r="E149" s="3535">
        <v>91.38574115641957</v>
      </c>
      <c r="F149" s="615">
        <v>79.593854256571888</v>
      </c>
      <c r="G149" s="3535">
        <v>164.26454882900794</v>
      </c>
      <c r="H149" s="615">
        <v>111.95798377845637</v>
      </c>
      <c r="I149" s="3535">
        <v>182.90280569993996</v>
      </c>
      <c r="J149" s="615">
        <v>114.41135827557872</v>
      </c>
      <c r="K149" s="3535">
        <v>168.33062769845483</v>
      </c>
      <c r="L149" s="615">
        <v>103.54147659761971</v>
      </c>
      <c r="M149" s="2970">
        <v>88.340334928969767</v>
      </c>
      <c r="N149" s="1365"/>
      <c r="O149" s="3641"/>
      <c r="P149" s="3641"/>
      <c r="Q149" s="1366"/>
    </row>
    <row r="150" spans="1:17">
      <c r="A150" s="53">
        <v>2004.09</v>
      </c>
      <c r="B150" s="1318">
        <v>127.98013237368458</v>
      </c>
      <c r="C150" s="615">
        <v>121.58339679555996</v>
      </c>
      <c r="D150" s="1192">
        <v>140.17526582731412</v>
      </c>
      <c r="E150" s="3535">
        <v>96.122375903898671</v>
      </c>
      <c r="F150" s="615">
        <v>81.003598990805088</v>
      </c>
      <c r="G150" s="3535">
        <v>159.3496042162389</v>
      </c>
      <c r="H150" s="615">
        <v>112.99155420372394</v>
      </c>
      <c r="I150" s="3535">
        <v>173.43089817632216</v>
      </c>
      <c r="J150" s="615">
        <v>127.1218093589803</v>
      </c>
      <c r="K150" s="3535">
        <v>169.90351540335456</v>
      </c>
      <c r="L150" s="615">
        <v>101.84178385488357</v>
      </c>
      <c r="M150" s="2970">
        <v>94.137868737509223</v>
      </c>
      <c r="N150" s="1365"/>
      <c r="O150" s="3641"/>
      <c r="P150" s="3641"/>
      <c r="Q150" s="1366"/>
    </row>
    <row r="151" spans="1:17">
      <c r="A151" s="53">
        <v>2004.1</v>
      </c>
      <c r="B151" s="1318">
        <v>128.19514365914472</v>
      </c>
      <c r="C151" s="615">
        <v>123.60761915739533</v>
      </c>
      <c r="D151" s="1192">
        <v>134.83822777270979</v>
      </c>
      <c r="E151" s="3535">
        <v>96.222953505438596</v>
      </c>
      <c r="F151" s="615">
        <v>77.18536257484898</v>
      </c>
      <c r="G151" s="3535">
        <v>160.27451971890926</v>
      </c>
      <c r="H151" s="615">
        <v>117.46606663694379</v>
      </c>
      <c r="I151" s="3535">
        <v>180.78679577687055</v>
      </c>
      <c r="J151" s="615">
        <v>115.96529404636172</v>
      </c>
      <c r="K151" s="3535">
        <v>192.80609555738025</v>
      </c>
      <c r="L151" s="615">
        <v>103.70138629132039</v>
      </c>
      <c r="M151" s="2970">
        <v>93.906686356085032</v>
      </c>
      <c r="N151" s="1365"/>
      <c r="O151" s="3641"/>
      <c r="P151" s="3641"/>
      <c r="Q151" s="1366"/>
    </row>
    <row r="152" spans="1:17">
      <c r="A152" s="53">
        <v>2004.11</v>
      </c>
      <c r="B152" s="1318">
        <v>124.55956177908948</v>
      </c>
      <c r="C152" s="615">
        <v>121.07794835106202</v>
      </c>
      <c r="D152" s="1192">
        <v>124.98913925364715</v>
      </c>
      <c r="E152" s="3535">
        <v>102.57966054270244</v>
      </c>
      <c r="F152" s="615">
        <v>75.247319272411374</v>
      </c>
      <c r="G152" s="3535">
        <v>164.03208146790777</v>
      </c>
      <c r="H152" s="615">
        <v>100.46683824031113</v>
      </c>
      <c r="I152" s="3535">
        <v>180.2433698035654</v>
      </c>
      <c r="J152" s="615">
        <v>124.18396939457074</v>
      </c>
      <c r="K152" s="3535">
        <v>188.59568745981477</v>
      </c>
      <c r="L152" s="615">
        <v>95.269479373618566</v>
      </c>
      <c r="M152" s="2970">
        <v>106.81412718207449</v>
      </c>
      <c r="N152" s="1365"/>
      <c r="O152" s="3641"/>
      <c r="P152" s="3641"/>
      <c r="Q152" s="1366"/>
    </row>
    <row r="153" spans="1:17">
      <c r="A153" s="53">
        <v>2004.12</v>
      </c>
      <c r="B153" s="1318">
        <v>124.43344309464378</v>
      </c>
      <c r="C153" s="615">
        <v>124.32333487340695</v>
      </c>
      <c r="D153" s="1192">
        <v>135.31564118685139</v>
      </c>
      <c r="E153" s="3535">
        <v>115.99654032416002</v>
      </c>
      <c r="F153" s="615">
        <v>66.920321319202102</v>
      </c>
      <c r="G153" s="3535">
        <v>152.67821020582264</v>
      </c>
      <c r="H153" s="615">
        <v>114.71383297892417</v>
      </c>
      <c r="I153" s="3535">
        <v>177.13839553468844</v>
      </c>
      <c r="J153" s="615">
        <v>115.77950510301484</v>
      </c>
      <c r="K153" s="3535">
        <v>185.30809431284121</v>
      </c>
      <c r="L153" s="615">
        <v>85.005288469401066</v>
      </c>
      <c r="M153" s="2970">
        <v>83.773005062619816</v>
      </c>
      <c r="N153" s="1365"/>
      <c r="O153" s="3641"/>
      <c r="P153" s="3641"/>
      <c r="Q153" s="1366"/>
    </row>
    <row r="154" spans="1:17">
      <c r="A154" s="53">
        <v>2005.01</v>
      </c>
      <c r="B154" s="1318">
        <v>112.93065706355846</v>
      </c>
      <c r="C154" s="615">
        <v>127.82636246095088</v>
      </c>
      <c r="D154" s="1192">
        <v>121.03167875387024</v>
      </c>
      <c r="E154" s="3535">
        <v>90.993877646821943</v>
      </c>
      <c r="F154" s="615">
        <v>56.716445729411632</v>
      </c>
      <c r="G154" s="3535">
        <v>161.41630154638381</v>
      </c>
      <c r="H154" s="615">
        <v>107.50598506666871</v>
      </c>
      <c r="I154" s="3535">
        <v>175.02742165835224</v>
      </c>
      <c r="J154" s="615">
        <v>120.81871633837747</v>
      </c>
      <c r="K154" s="3535">
        <v>173.3940760905864</v>
      </c>
      <c r="L154" s="615">
        <v>62.079498856979583</v>
      </c>
      <c r="M154" s="2970">
        <v>73.323431231725337</v>
      </c>
      <c r="N154" s="1365"/>
      <c r="O154" s="3641"/>
      <c r="P154" s="3641"/>
      <c r="Q154" s="1366"/>
    </row>
    <row r="155" spans="1:17">
      <c r="A155" s="53">
        <v>2005.02</v>
      </c>
      <c r="B155" s="1318">
        <v>112.57051787873409</v>
      </c>
      <c r="C155" s="615">
        <v>127.44745931128446</v>
      </c>
      <c r="D155" s="1192">
        <v>114.08962943386956</v>
      </c>
      <c r="E155" s="3535">
        <v>91.125603436764891</v>
      </c>
      <c r="F155" s="615">
        <v>76.286043352377561</v>
      </c>
      <c r="G155" s="3535">
        <v>155.64568211573933</v>
      </c>
      <c r="H155" s="615">
        <v>105.34033650206014</v>
      </c>
      <c r="I155" s="3535">
        <v>162.23203684596393</v>
      </c>
      <c r="J155" s="615">
        <v>108.54579690096624</v>
      </c>
      <c r="K155" s="3535">
        <v>170.37128657486173</v>
      </c>
      <c r="L155" s="615">
        <v>91.56280832910636</v>
      </c>
      <c r="M155" s="2970">
        <v>51.776271956461812</v>
      </c>
      <c r="N155" s="1365"/>
      <c r="O155" s="3641"/>
      <c r="P155" s="3641"/>
      <c r="Q155" s="1366"/>
    </row>
    <row r="156" spans="1:17">
      <c r="A156" s="53">
        <v>2005.03</v>
      </c>
      <c r="B156" s="1318">
        <v>132.44175503909665</v>
      </c>
      <c r="C156" s="615">
        <v>128.68382432599699</v>
      </c>
      <c r="D156" s="1192">
        <v>123.57863496341781</v>
      </c>
      <c r="E156" s="3535">
        <v>103.64147232426429</v>
      </c>
      <c r="F156" s="615">
        <v>94.3034821678132</v>
      </c>
      <c r="G156" s="3535">
        <v>161.86853014052934</v>
      </c>
      <c r="H156" s="615">
        <v>114.84747222801516</v>
      </c>
      <c r="I156" s="3535">
        <v>179.76214874596153</v>
      </c>
      <c r="J156" s="615">
        <v>114.94089184175122</v>
      </c>
      <c r="K156" s="3535">
        <v>188.56354585451686</v>
      </c>
      <c r="L156" s="615">
        <v>129.66012400098327</v>
      </c>
      <c r="M156" s="2970">
        <v>103.07072577811894</v>
      </c>
      <c r="N156" s="1365"/>
      <c r="O156" s="3641"/>
      <c r="P156" s="3641"/>
      <c r="Q156" s="1366"/>
    </row>
    <row r="157" spans="1:17">
      <c r="A157" s="53">
        <v>2005.04</v>
      </c>
      <c r="B157" s="1318">
        <v>129.39076976960382</v>
      </c>
      <c r="C157" s="615">
        <v>127.9077920273579</v>
      </c>
      <c r="D157" s="1192">
        <v>114.86819510219357</v>
      </c>
      <c r="E157" s="3535">
        <v>91.931254624542532</v>
      </c>
      <c r="F157" s="615">
        <v>91.804530492943513</v>
      </c>
      <c r="G157" s="3535">
        <v>159.84076861262571</v>
      </c>
      <c r="H157" s="615">
        <v>101.9868498328639</v>
      </c>
      <c r="I157" s="3535">
        <v>176.64299338166308</v>
      </c>
      <c r="J157" s="615">
        <v>129.81251909017297</v>
      </c>
      <c r="K157" s="3535">
        <v>185.38109343435997</v>
      </c>
      <c r="L157" s="615">
        <v>142.20556122180278</v>
      </c>
      <c r="M157" s="2970">
        <v>101.36794140347578</v>
      </c>
      <c r="N157" s="1365"/>
      <c r="O157" s="3641"/>
      <c r="P157" s="3641"/>
      <c r="Q157" s="1366"/>
    </row>
    <row r="158" spans="1:17">
      <c r="A158" s="53">
        <v>2005.05</v>
      </c>
      <c r="B158" s="1318">
        <v>128.30712862885323</v>
      </c>
      <c r="C158" s="615">
        <v>128.22179903633983</v>
      </c>
      <c r="D158" s="1192">
        <v>118.86563527999347</v>
      </c>
      <c r="E158" s="3535">
        <v>90.237799858410781</v>
      </c>
      <c r="F158" s="615">
        <v>94.907080496333705</v>
      </c>
      <c r="G158" s="3535">
        <v>170.43775702197541</v>
      </c>
      <c r="H158" s="615">
        <v>103.66445903592687</v>
      </c>
      <c r="I158" s="3535">
        <v>171.2106217814916</v>
      </c>
      <c r="J158" s="615">
        <v>124.7255320380041</v>
      </c>
      <c r="K158" s="3535">
        <v>193.17295300547414</v>
      </c>
      <c r="L158" s="615">
        <v>129.84377881150129</v>
      </c>
      <c r="M158" s="2970">
        <v>98.634176317418579</v>
      </c>
      <c r="N158" s="1365"/>
      <c r="O158" s="3641"/>
      <c r="P158" s="3641"/>
      <c r="Q158" s="1366"/>
    </row>
    <row r="159" spans="1:17">
      <c r="A159" s="53">
        <v>2005.06</v>
      </c>
      <c r="B159" s="1318">
        <v>126.56000451354804</v>
      </c>
      <c r="C159" s="615">
        <v>128.24172210265505</v>
      </c>
      <c r="D159" s="1192">
        <v>128.9504358987711</v>
      </c>
      <c r="E159" s="3535">
        <v>91.003765549273155</v>
      </c>
      <c r="F159" s="615">
        <v>90.668309507796579</v>
      </c>
      <c r="G159" s="3535">
        <v>157.95630443877411</v>
      </c>
      <c r="H159" s="615">
        <v>103.72548866030161</v>
      </c>
      <c r="I159" s="3535">
        <v>167.21243749191567</v>
      </c>
      <c r="J159" s="615">
        <v>108.44578028519275</v>
      </c>
      <c r="K159" s="3535">
        <v>178.48813562267281</v>
      </c>
      <c r="L159" s="615">
        <v>123.31359463961977</v>
      </c>
      <c r="M159" s="2970">
        <v>98.44988808049979</v>
      </c>
      <c r="N159" s="1365"/>
      <c r="O159" s="3641"/>
      <c r="P159" s="3641"/>
      <c r="Q159" s="1366"/>
    </row>
    <row r="160" spans="1:17">
      <c r="A160" s="53">
        <v>2005.07</v>
      </c>
      <c r="B160" s="1318">
        <v>131.07875348957694</v>
      </c>
      <c r="C160" s="615">
        <v>128.59400976806839</v>
      </c>
      <c r="D160" s="1192">
        <v>141.09891888817401</v>
      </c>
      <c r="E160" s="3535">
        <v>88.965792717353551</v>
      </c>
      <c r="F160" s="615">
        <v>87.310517867686428</v>
      </c>
      <c r="G160" s="3535">
        <v>162.03431762523314</v>
      </c>
      <c r="H160" s="615">
        <v>104.35403333105894</v>
      </c>
      <c r="I160" s="3535">
        <v>171.36314194463327</v>
      </c>
      <c r="J160" s="615">
        <v>137.54818883902743</v>
      </c>
      <c r="K160" s="3535">
        <v>181.55554606774743</v>
      </c>
      <c r="L160" s="615">
        <v>120.74399774765325</v>
      </c>
      <c r="M160" s="2970">
        <v>104.77393332561547</v>
      </c>
      <c r="N160" s="1365"/>
      <c r="O160" s="3641"/>
      <c r="P160" s="3641"/>
      <c r="Q160" s="1366"/>
    </row>
    <row r="161" spans="1:17">
      <c r="A161" s="53">
        <v>2005.08</v>
      </c>
      <c r="B161" s="1318">
        <v>138.1130452954485</v>
      </c>
      <c r="C161" s="615">
        <v>130.7486867039124</v>
      </c>
      <c r="D161" s="1192">
        <v>151.07083815361364</v>
      </c>
      <c r="E161" s="3535">
        <v>95.366112401108509</v>
      </c>
      <c r="F161" s="615">
        <v>82.48381169881759</v>
      </c>
      <c r="G161" s="3535">
        <v>160.15073500002555</v>
      </c>
      <c r="H161" s="615">
        <v>113.82771110959177</v>
      </c>
      <c r="I161" s="3535">
        <v>171.9489778136294</v>
      </c>
      <c r="J161" s="615">
        <v>134.19447489080673</v>
      </c>
      <c r="K161" s="3535">
        <v>185.66514771294518</v>
      </c>
      <c r="L161" s="615">
        <v>130.19732730143039</v>
      </c>
      <c r="M161" s="2970">
        <v>114.1177156468399</v>
      </c>
      <c r="N161" s="1365"/>
      <c r="O161" s="3641"/>
      <c r="P161" s="3641"/>
      <c r="Q161" s="1366"/>
    </row>
    <row r="162" spans="1:17">
      <c r="A162" s="53">
        <v>2005.09</v>
      </c>
      <c r="B162" s="1318">
        <v>137.38422105162584</v>
      </c>
      <c r="C162" s="615">
        <v>129.56195046405733</v>
      </c>
      <c r="D162" s="1192">
        <v>152.57212680479671</v>
      </c>
      <c r="E162" s="3535">
        <v>95.674857928757135</v>
      </c>
      <c r="F162" s="615">
        <v>83.76102207700491</v>
      </c>
      <c r="G162" s="3535">
        <v>156.02601818360637</v>
      </c>
      <c r="H162" s="615">
        <v>113.52010231517808</v>
      </c>
      <c r="I162" s="3535">
        <v>178.9989068388096</v>
      </c>
      <c r="J162" s="615">
        <v>140.24711053540068</v>
      </c>
      <c r="K162" s="3535">
        <v>165.13384887729885</v>
      </c>
      <c r="L162" s="615">
        <v>123.15389033524336</v>
      </c>
      <c r="M162" s="2970">
        <v>112.95861088236408</v>
      </c>
      <c r="N162" s="1365"/>
      <c r="O162" s="3641"/>
      <c r="P162" s="3641"/>
      <c r="Q162" s="1366"/>
    </row>
    <row r="163" spans="1:17">
      <c r="A163" s="53">
        <v>2005.1</v>
      </c>
      <c r="B163" s="1318">
        <v>136.89793831664974</v>
      </c>
      <c r="C163" s="615">
        <v>131.59672835947154</v>
      </c>
      <c r="D163" s="1192">
        <v>150.23896889535865</v>
      </c>
      <c r="E163" s="3535">
        <v>95.386811841975572</v>
      </c>
      <c r="F163" s="615">
        <v>79.150739323991033</v>
      </c>
      <c r="G163" s="3535">
        <v>148.61570264230394</v>
      </c>
      <c r="H163" s="615">
        <v>113.46718247721674</v>
      </c>
      <c r="I163" s="3535">
        <v>189.46833284188131</v>
      </c>
      <c r="J163" s="615">
        <v>146.77244914357561</v>
      </c>
      <c r="K163" s="3535">
        <v>183.08761745043552</v>
      </c>
      <c r="L163" s="615">
        <v>113.64917845611387</v>
      </c>
      <c r="M163" s="2970">
        <v>115.30732957678799</v>
      </c>
      <c r="N163" s="1365"/>
      <c r="O163" s="3641"/>
      <c r="P163" s="3641"/>
      <c r="Q163" s="1366"/>
    </row>
    <row r="164" spans="1:17">
      <c r="A164" s="53">
        <v>2005.11</v>
      </c>
      <c r="B164" s="1318">
        <v>137.43534564058771</v>
      </c>
      <c r="C164" s="615">
        <v>134.01123265492527</v>
      </c>
      <c r="D164" s="1192">
        <v>135.92811876459172</v>
      </c>
      <c r="E164" s="3535">
        <v>100.38434752733798</v>
      </c>
      <c r="F164" s="615">
        <v>78.921487926073851</v>
      </c>
      <c r="G164" s="3535">
        <v>147.23508052538617</v>
      </c>
      <c r="H164" s="615">
        <v>111.1275794885111</v>
      </c>
      <c r="I164" s="3535">
        <v>190.58306025838624</v>
      </c>
      <c r="J164" s="615">
        <v>142.10561207359206</v>
      </c>
      <c r="K164" s="3535">
        <v>187.70339550722471</v>
      </c>
      <c r="L164" s="615">
        <v>119.60099375859731</v>
      </c>
      <c r="M164" s="2970">
        <v>133.6565580092533</v>
      </c>
      <c r="N164" s="1365"/>
      <c r="O164" s="3641"/>
      <c r="P164" s="3641"/>
      <c r="Q164" s="1366"/>
    </row>
    <row r="165" spans="1:17">
      <c r="A165" s="53">
        <v>2005.12</v>
      </c>
      <c r="B165" s="1318">
        <v>131.57617843820086</v>
      </c>
      <c r="C165" s="615">
        <v>132.80058824346045</v>
      </c>
      <c r="D165" s="1192">
        <v>143.48133432069591</v>
      </c>
      <c r="E165" s="3535">
        <v>113.94359249658379</v>
      </c>
      <c r="F165" s="615">
        <v>66.919726171474736</v>
      </c>
      <c r="G165" s="3535">
        <v>151.61027169864656</v>
      </c>
      <c r="H165" s="615">
        <v>116.5137290119537</v>
      </c>
      <c r="I165" s="3535">
        <v>172.08604009373764</v>
      </c>
      <c r="J165" s="615">
        <v>153.51195984167765</v>
      </c>
      <c r="K165" s="3535">
        <v>187.56844424421206</v>
      </c>
      <c r="L165" s="615">
        <v>106.16680769106644</v>
      </c>
      <c r="M165" s="2970">
        <v>87.094688410011315</v>
      </c>
      <c r="N165" s="1365"/>
      <c r="O165" s="3641"/>
      <c r="P165" s="3641"/>
      <c r="Q165" s="1366"/>
    </row>
    <row r="166" spans="1:17">
      <c r="A166" s="53">
        <v>2006.01</v>
      </c>
      <c r="B166" s="1318">
        <v>118.2371278929694</v>
      </c>
      <c r="C166" s="615">
        <v>133.31369335776924</v>
      </c>
      <c r="D166" s="1192">
        <v>126.53913758773169</v>
      </c>
      <c r="E166" s="3535">
        <v>100.64639668601636</v>
      </c>
      <c r="F166" s="615">
        <v>67.45918307276996</v>
      </c>
      <c r="G166" s="3535">
        <v>156.97883980493688</v>
      </c>
      <c r="H166" s="615">
        <v>115.25076805490357</v>
      </c>
      <c r="I166" s="3535">
        <v>179.41959495828073</v>
      </c>
      <c r="J166" s="615">
        <v>139.14836167144475</v>
      </c>
      <c r="K166" s="3535">
        <v>171.9481700132888</v>
      </c>
      <c r="L166" s="615">
        <v>75.881565941008574</v>
      </c>
      <c r="M166" s="2970">
        <v>44.274455489408851</v>
      </c>
      <c r="N166" s="1365"/>
      <c r="O166" s="3641"/>
      <c r="P166" s="3641"/>
      <c r="Q166" s="1366"/>
    </row>
    <row r="167" spans="1:17">
      <c r="A167" s="53">
        <v>2006.02</v>
      </c>
      <c r="B167" s="1318">
        <v>122.50472845695786</v>
      </c>
      <c r="C167" s="615">
        <v>136.11948046638383</v>
      </c>
      <c r="D167" s="1192">
        <v>119.11618768744989</v>
      </c>
      <c r="E167" s="3535">
        <v>97.611609637218876</v>
      </c>
      <c r="F167" s="615">
        <v>88.262556920161288</v>
      </c>
      <c r="G167" s="3535">
        <v>151.38171030585687</v>
      </c>
      <c r="H167" s="615">
        <v>107.18803148647144</v>
      </c>
      <c r="I167" s="3535">
        <v>158.30530203227588</v>
      </c>
      <c r="J167" s="615">
        <v>131.87204093130677</v>
      </c>
      <c r="K167" s="3535">
        <v>175.29658546807858</v>
      </c>
      <c r="L167" s="615">
        <v>103.56861629826378</v>
      </c>
      <c r="M167" s="2970">
        <v>110.07801015964294</v>
      </c>
      <c r="N167" s="1365"/>
      <c r="O167" s="3641"/>
      <c r="P167" s="3641"/>
      <c r="Q167" s="1366"/>
    </row>
    <row r="168" spans="1:17">
      <c r="A168" s="53">
        <v>2006.03</v>
      </c>
      <c r="B168" s="1318">
        <v>138.94082685937414</v>
      </c>
      <c r="C168" s="615">
        <v>134.4619067126502</v>
      </c>
      <c r="D168" s="1192">
        <v>133.20041960584965</v>
      </c>
      <c r="E168" s="3535">
        <v>110.18840271289014</v>
      </c>
      <c r="F168" s="615">
        <v>102.50838736065712</v>
      </c>
      <c r="G168" s="3535">
        <v>161.20638969679365</v>
      </c>
      <c r="H168" s="615">
        <v>116.30394523116566</v>
      </c>
      <c r="I168" s="3535">
        <v>183.27873080068383</v>
      </c>
      <c r="J168" s="615">
        <v>133.3878544029773</v>
      </c>
      <c r="K168" s="3535">
        <v>200.35151516756363</v>
      </c>
      <c r="L168" s="615">
        <v>122.98189067768533</v>
      </c>
      <c r="M168" s="2970">
        <v>133.87843029162801</v>
      </c>
      <c r="N168" s="1365"/>
      <c r="O168" s="3641"/>
      <c r="P168" s="3641"/>
      <c r="Q168" s="1366"/>
    </row>
    <row r="169" spans="1:17">
      <c r="A169" s="53">
        <v>2006.04</v>
      </c>
      <c r="B169" s="1318">
        <v>133.18857190815967</v>
      </c>
      <c r="C169" s="615">
        <v>137.60693971369383</v>
      </c>
      <c r="D169" s="1192">
        <v>121.40206294318898</v>
      </c>
      <c r="E169" s="3535">
        <v>95.93700457205972</v>
      </c>
      <c r="F169" s="615">
        <v>101.88736956532402</v>
      </c>
      <c r="G169" s="3535">
        <v>158.62828863540318</v>
      </c>
      <c r="H169" s="615">
        <v>113.46821856038606</v>
      </c>
      <c r="I169" s="3535">
        <v>177.71328903209962</v>
      </c>
      <c r="J169" s="615">
        <v>143.78428801668875</v>
      </c>
      <c r="K169" s="3535">
        <v>191.59029862909372</v>
      </c>
      <c r="L169" s="615">
        <v>125.01508337313727</v>
      </c>
      <c r="M169" s="2970">
        <v>124.54851222136018</v>
      </c>
      <c r="N169" s="1365"/>
      <c r="O169" s="3641"/>
      <c r="P169" s="3641"/>
      <c r="Q169" s="1366"/>
    </row>
    <row r="170" spans="1:17">
      <c r="A170" s="53">
        <v>2006.05</v>
      </c>
      <c r="B170" s="1318">
        <v>138.95982929823296</v>
      </c>
      <c r="C170" s="615">
        <v>136.54644825874055</v>
      </c>
      <c r="D170" s="1192">
        <v>133.86975385421474</v>
      </c>
      <c r="E170" s="3535">
        <v>99.884440821562976</v>
      </c>
      <c r="F170" s="615">
        <v>104.01789381392956</v>
      </c>
      <c r="G170" s="3535">
        <v>169.85350382411661</v>
      </c>
      <c r="H170" s="615">
        <v>116.33039562570862</v>
      </c>
      <c r="I170" s="3535">
        <v>182.32826057469725</v>
      </c>
      <c r="J170" s="615">
        <v>150.78589545049437</v>
      </c>
      <c r="K170" s="3535">
        <v>195.38282827345418</v>
      </c>
      <c r="L170" s="615">
        <v>133.33434496246093</v>
      </c>
      <c r="M170" s="2970">
        <v>119.36360043770307</v>
      </c>
      <c r="N170" s="1365"/>
      <c r="O170" s="3641"/>
      <c r="P170" s="3641"/>
      <c r="Q170" s="1366"/>
    </row>
    <row r="171" spans="1:17">
      <c r="A171" s="53">
        <v>2006.06</v>
      </c>
      <c r="B171" s="1318">
        <v>142.35273892685134</v>
      </c>
      <c r="C171" s="615">
        <v>139.7334833699573</v>
      </c>
      <c r="D171" s="1192">
        <v>146.56785587663398</v>
      </c>
      <c r="E171" s="3535">
        <v>104.59707213980447</v>
      </c>
      <c r="F171" s="615">
        <v>97.709692264339992</v>
      </c>
      <c r="G171" s="3535">
        <v>157.1011670588675</v>
      </c>
      <c r="H171" s="615">
        <v>115.42067821055066</v>
      </c>
      <c r="I171" s="3535">
        <v>184.07040527937662</v>
      </c>
      <c r="J171" s="615">
        <v>155.36821133145969</v>
      </c>
      <c r="K171" s="3535">
        <v>194.52394336387158</v>
      </c>
      <c r="L171" s="615">
        <v>128.96852297027328</v>
      </c>
      <c r="M171" s="2970">
        <v>132.64722892316601</v>
      </c>
      <c r="N171" s="1365"/>
      <c r="O171" s="3641"/>
      <c r="P171" s="3641"/>
      <c r="Q171" s="1366"/>
    </row>
    <row r="172" spans="1:17">
      <c r="A172" s="53">
        <v>2006.07</v>
      </c>
      <c r="B172" s="1318">
        <v>144.17367870510782</v>
      </c>
      <c r="C172" s="615">
        <v>142.09031124004139</v>
      </c>
      <c r="D172" s="1192">
        <v>152.568136110632</v>
      </c>
      <c r="E172" s="3535">
        <v>96.64632490936269</v>
      </c>
      <c r="F172" s="615">
        <v>94.602305272803818</v>
      </c>
      <c r="G172" s="3535">
        <v>176.56426158498277</v>
      </c>
      <c r="H172" s="615">
        <v>116.4175608797096</v>
      </c>
      <c r="I172" s="3535">
        <v>186.68150724890413</v>
      </c>
      <c r="J172" s="615">
        <v>142.82931000558224</v>
      </c>
      <c r="K172" s="3535">
        <v>194.29083494064122</v>
      </c>
      <c r="L172" s="615">
        <v>129.98318010555056</v>
      </c>
      <c r="M172" s="2970">
        <v>138.78101034664905</v>
      </c>
      <c r="N172" s="1365"/>
      <c r="O172" s="3641"/>
      <c r="P172" s="3641"/>
      <c r="Q172" s="1366"/>
    </row>
    <row r="173" spans="1:17">
      <c r="A173" s="53">
        <v>2006.08</v>
      </c>
      <c r="B173" s="1318">
        <v>150.92184609967137</v>
      </c>
      <c r="C173" s="615">
        <v>141.2962419089651</v>
      </c>
      <c r="D173" s="1192">
        <v>162.36738811256319</v>
      </c>
      <c r="E173" s="3535">
        <v>103.84552985438337</v>
      </c>
      <c r="F173" s="615">
        <v>94.149370651109663</v>
      </c>
      <c r="G173" s="3535">
        <v>172.166152332862</v>
      </c>
      <c r="H173" s="615">
        <v>122.97869700060913</v>
      </c>
      <c r="I173" s="3535">
        <v>188.65621474833787</v>
      </c>
      <c r="J173" s="615">
        <v>152.67934304266643</v>
      </c>
      <c r="K173" s="3535">
        <v>187.15472791423363</v>
      </c>
      <c r="L173" s="615">
        <v>136.35921221115592</v>
      </c>
      <c r="M173" s="2970">
        <v>151.51435182463081</v>
      </c>
      <c r="N173" s="1365"/>
      <c r="O173" s="3641"/>
      <c r="P173" s="3641"/>
      <c r="Q173" s="1366"/>
    </row>
    <row r="174" spans="1:17">
      <c r="A174" s="53">
        <v>2006.09</v>
      </c>
      <c r="B174" s="1318">
        <v>150.05466283244579</v>
      </c>
      <c r="C174" s="615">
        <v>142.65834806544811</v>
      </c>
      <c r="D174" s="1192">
        <v>165.75076149351571</v>
      </c>
      <c r="E174" s="3535">
        <v>98.145350294492516</v>
      </c>
      <c r="F174" s="615">
        <v>94.385527557525563</v>
      </c>
      <c r="G174" s="3535">
        <v>171.69043255882792</v>
      </c>
      <c r="H174" s="615">
        <v>105.12026385823042</v>
      </c>
      <c r="I174" s="3535">
        <v>192.40571409997693</v>
      </c>
      <c r="J174" s="615">
        <v>162.5762958834257</v>
      </c>
      <c r="K174" s="3535">
        <v>191.70899865697618</v>
      </c>
      <c r="L174" s="615">
        <v>134.46134267632655</v>
      </c>
      <c r="M174" s="2970">
        <v>159.87954620828521</v>
      </c>
      <c r="N174" s="1365"/>
      <c r="O174" s="3641"/>
      <c r="P174" s="3641"/>
      <c r="Q174" s="1366"/>
    </row>
    <row r="175" spans="1:17">
      <c r="A175" s="53">
        <v>2006.1</v>
      </c>
      <c r="B175" s="1318">
        <v>149.19233002380216</v>
      </c>
      <c r="C175" s="615">
        <v>141.07589218372181</v>
      </c>
      <c r="D175" s="1192">
        <v>158.37589812432171</v>
      </c>
      <c r="E175" s="3535">
        <v>101.97102763138946</v>
      </c>
      <c r="F175" s="615">
        <v>90.542981269958759</v>
      </c>
      <c r="G175" s="3535">
        <v>158.91125454002398</v>
      </c>
      <c r="H175" s="615">
        <v>110.49151031595161</v>
      </c>
      <c r="I175" s="3535">
        <v>198.6949310284233</v>
      </c>
      <c r="J175" s="615">
        <v>161.18549966401608</v>
      </c>
      <c r="K175" s="3535">
        <v>196.55976013189891</v>
      </c>
      <c r="L175" s="615">
        <v>134.78230676400031</v>
      </c>
      <c r="M175" s="2970">
        <v>152.34845530682827</v>
      </c>
      <c r="N175" s="1365"/>
      <c r="O175" s="3641"/>
      <c r="P175" s="3641"/>
      <c r="Q175" s="1366"/>
    </row>
    <row r="176" spans="1:17">
      <c r="A176" s="53">
        <v>2006.11</v>
      </c>
      <c r="B176" s="1318">
        <v>146.64759206854919</v>
      </c>
      <c r="C176" s="615">
        <v>142.91970908042478</v>
      </c>
      <c r="D176" s="1192">
        <v>143.1861817603255</v>
      </c>
      <c r="E176" s="3535">
        <v>104.07293927093532</v>
      </c>
      <c r="F176" s="615">
        <v>92.36028549645502</v>
      </c>
      <c r="G176" s="3535">
        <v>160.1741407773909</v>
      </c>
      <c r="H176" s="615">
        <v>118.0945414860058</v>
      </c>
      <c r="I176" s="3535">
        <v>192.64641206750244</v>
      </c>
      <c r="J176" s="615">
        <v>164.90010894440337</v>
      </c>
      <c r="K176" s="3535">
        <v>166.05880043667614</v>
      </c>
      <c r="L176" s="615">
        <v>135.83634862182495</v>
      </c>
      <c r="M176" s="2970">
        <v>175.8782495625762</v>
      </c>
      <c r="N176" s="1365"/>
      <c r="O176" s="3641"/>
      <c r="P176" s="3641"/>
      <c r="Q176" s="1366"/>
    </row>
    <row r="177" spans="1:17">
      <c r="A177" s="53">
        <v>2006.12</v>
      </c>
      <c r="B177" s="1318">
        <v>140.77007418062999</v>
      </c>
      <c r="C177" s="615">
        <v>145.19519639293651</v>
      </c>
      <c r="D177" s="1192">
        <v>147.37781429936916</v>
      </c>
      <c r="E177" s="3535">
        <v>116.14109398006222</v>
      </c>
      <c r="F177" s="615">
        <v>81.190458966754107</v>
      </c>
      <c r="G177" s="3535">
        <v>180.78641113022547</v>
      </c>
      <c r="H177" s="615">
        <v>123.69644520371746</v>
      </c>
      <c r="I177" s="3535">
        <v>185.36003722693943</v>
      </c>
      <c r="J177" s="615">
        <v>152.85598373855339</v>
      </c>
      <c r="K177" s="3535">
        <v>164.86432841841389</v>
      </c>
      <c r="L177" s="615">
        <v>110.34067237086711</v>
      </c>
      <c r="M177" s="2970">
        <v>141.21879187434698</v>
      </c>
      <c r="N177" s="1365"/>
      <c r="O177" s="3641"/>
      <c r="P177" s="3641"/>
      <c r="Q177" s="1366"/>
    </row>
    <row r="178" spans="1:17">
      <c r="A178" s="53">
        <v>2007.01</v>
      </c>
      <c r="B178" s="1318">
        <v>125.24999684825129</v>
      </c>
      <c r="C178" s="615">
        <v>143.15583754248604</v>
      </c>
      <c r="D178" s="1192">
        <v>136.21054436527766</v>
      </c>
      <c r="E178" s="3535">
        <v>104.48882410251802</v>
      </c>
      <c r="F178" s="615">
        <v>73.001993297327104</v>
      </c>
      <c r="G178" s="3535">
        <v>162.90365113122746</v>
      </c>
      <c r="H178" s="615">
        <v>119.55217656018549</v>
      </c>
      <c r="I178" s="3535">
        <v>186.46586372739225</v>
      </c>
      <c r="J178" s="615">
        <v>138.70199176765837</v>
      </c>
      <c r="K178" s="3535">
        <v>148.23418542167931</v>
      </c>
      <c r="L178" s="615">
        <v>91.149848197864301</v>
      </c>
      <c r="M178" s="2970">
        <v>61.586894324644391</v>
      </c>
      <c r="N178" s="1365"/>
      <c r="O178" s="3641"/>
      <c r="P178" s="3641"/>
      <c r="Q178" s="1366"/>
    </row>
    <row r="179" spans="1:17">
      <c r="A179" s="53">
        <v>2007.02</v>
      </c>
      <c r="B179" s="1318">
        <v>126.79172839066688</v>
      </c>
      <c r="C179" s="615">
        <v>145.67826885629481</v>
      </c>
      <c r="D179" s="1192">
        <v>125.20870133790594</v>
      </c>
      <c r="E179" s="3535">
        <v>98.489537652947647</v>
      </c>
      <c r="F179" s="615">
        <v>94.182119166726679</v>
      </c>
      <c r="G179" s="3535">
        <v>160.06823510781268</v>
      </c>
      <c r="H179" s="615">
        <v>111.9777078665349</v>
      </c>
      <c r="I179" s="3535">
        <v>158.26919014985143</v>
      </c>
      <c r="J179" s="615">
        <v>132.60759559885682</v>
      </c>
      <c r="K179" s="3535">
        <v>169.39004447359019</v>
      </c>
      <c r="L179" s="615">
        <v>106.74833057260783</v>
      </c>
      <c r="M179" s="2970">
        <v>128.30645597688959</v>
      </c>
      <c r="N179" s="1365"/>
      <c r="O179" s="3641"/>
      <c r="P179" s="3641"/>
      <c r="Q179" s="1366"/>
    </row>
    <row r="180" spans="1:17">
      <c r="A180" s="53">
        <v>2007.03</v>
      </c>
      <c r="B180" s="1318">
        <v>151.98676430912317</v>
      </c>
      <c r="C180" s="615">
        <v>149.00082561348503</v>
      </c>
      <c r="D180" s="1192">
        <v>139.6364832675302</v>
      </c>
      <c r="E180" s="3535">
        <v>113.60235990942773</v>
      </c>
      <c r="F180" s="615">
        <v>104.51323688410137</v>
      </c>
      <c r="G180" s="3535">
        <v>176.64626376785816</v>
      </c>
      <c r="H180" s="615">
        <v>127.67421142045066</v>
      </c>
      <c r="I180" s="3535">
        <v>189.75267935909082</v>
      </c>
      <c r="J180" s="615">
        <v>151.67132020467096</v>
      </c>
      <c r="K180" s="3535">
        <v>193.17578202099719</v>
      </c>
      <c r="L180" s="615">
        <v>158.44148858356226</v>
      </c>
      <c r="M180" s="2970">
        <v>161.7412373584682</v>
      </c>
      <c r="N180" s="1365"/>
      <c r="O180" s="3641"/>
      <c r="P180" s="3641"/>
      <c r="Q180" s="1366"/>
    </row>
    <row r="181" spans="1:17">
      <c r="A181" s="53">
        <v>2007.04</v>
      </c>
      <c r="B181" s="1318">
        <v>144.08077732530006</v>
      </c>
      <c r="C181" s="615">
        <v>147.72708880998678</v>
      </c>
      <c r="D181" s="1192">
        <v>128.54256688878539</v>
      </c>
      <c r="E181" s="3535">
        <v>98.777606568407023</v>
      </c>
      <c r="F181" s="615">
        <v>105.30324172702562</v>
      </c>
      <c r="G181" s="3535">
        <v>165.39789587936949</v>
      </c>
      <c r="H181" s="615">
        <v>118.99975804730458</v>
      </c>
      <c r="I181" s="3535">
        <v>196.12653207510849</v>
      </c>
      <c r="J181" s="615">
        <v>142.20984015321818</v>
      </c>
      <c r="K181" s="3535">
        <v>190.59850316379672</v>
      </c>
      <c r="L181" s="615">
        <v>145.19202783733681</v>
      </c>
      <c r="M181" s="2970">
        <v>155.64609392698591</v>
      </c>
      <c r="N181" s="1365"/>
      <c r="O181" s="3641"/>
      <c r="P181" s="3641"/>
      <c r="Q181" s="1366"/>
    </row>
    <row r="182" spans="1:17">
      <c r="A182" s="53">
        <v>2007.05</v>
      </c>
      <c r="B182" s="1318">
        <v>151.86034657323333</v>
      </c>
      <c r="C182" s="615">
        <v>148.06913285834315</v>
      </c>
      <c r="D182" s="1192">
        <v>138.84833523771971</v>
      </c>
      <c r="E182" s="3535">
        <v>105.4911159680894</v>
      </c>
      <c r="F182" s="615">
        <v>109.17623637310786</v>
      </c>
      <c r="G182" s="3535">
        <v>178.56761628628428</v>
      </c>
      <c r="H182" s="615">
        <v>122.76583031722734</v>
      </c>
      <c r="I182" s="3535">
        <v>186.16286572734651</v>
      </c>
      <c r="J182" s="615">
        <v>167.44790282645539</v>
      </c>
      <c r="K182" s="3535">
        <v>183.62736347335257</v>
      </c>
      <c r="L182" s="615">
        <v>160.66873993951202</v>
      </c>
      <c r="M182" s="2970">
        <v>166.53400399040677</v>
      </c>
      <c r="N182" s="1365"/>
      <c r="O182" s="3641"/>
      <c r="P182" s="3641"/>
      <c r="Q182" s="1366"/>
    </row>
    <row r="183" spans="1:17">
      <c r="A183" s="53">
        <v>2007.06</v>
      </c>
      <c r="B183" s="1318">
        <v>148.43002772490647</v>
      </c>
      <c r="C183" s="615">
        <v>147.25723948208906</v>
      </c>
      <c r="D183" s="1192">
        <v>149.56434419005581</v>
      </c>
      <c r="E183" s="3535">
        <v>94.113215948340539</v>
      </c>
      <c r="F183" s="615">
        <v>95.183932389055556</v>
      </c>
      <c r="G183" s="3535">
        <v>172.02933458163244</v>
      </c>
      <c r="H183" s="615">
        <v>123.4534138588288</v>
      </c>
      <c r="I183" s="3535">
        <v>169.57497305039243</v>
      </c>
      <c r="J183" s="615">
        <v>161.93808311369102</v>
      </c>
      <c r="K183" s="3535">
        <v>179.3564578993925</v>
      </c>
      <c r="L183" s="615">
        <v>150.68408293525155</v>
      </c>
      <c r="M183" s="2970">
        <v>172.95489113200375</v>
      </c>
      <c r="N183" s="1365"/>
      <c r="O183" s="3641"/>
      <c r="P183" s="3641"/>
      <c r="Q183" s="1366"/>
    </row>
    <row r="184" spans="1:17">
      <c r="A184" s="53">
        <v>2007.07</v>
      </c>
      <c r="B184" s="1318">
        <v>147.56599066018055</v>
      </c>
      <c r="C184" s="615">
        <v>146.62564547172994</v>
      </c>
      <c r="D184" s="1192">
        <v>156.35130489033006</v>
      </c>
      <c r="E184" s="3535">
        <v>98.449359179989784</v>
      </c>
      <c r="F184" s="615">
        <v>94.018794383716653</v>
      </c>
      <c r="G184" s="3535">
        <v>175.36428721296969</v>
      </c>
      <c r="H184" s="615">
        <v>128.71981261785743</v>
      </c>
      <c r="I184" s="3535">
        <v>159.25543303082816</v>
      </c>
      <c r="J184" s="615">
        <v>157.70753216103716</v>
      </c>
      <c r="K184" s="3535">
        <v>154.66155455042127</v>
      </c>
      <c r="L184" s="615">
        <v>153.19211809689074</v>
      </c>
      <c r="M184" s="2970">
        <v>164.71255260620427</v>
      </c>
      <c r="N184" s="1365"/>
      <c r="O184" s="3641"/>
      <c r="P184" s="3641"/>
      <c r="Q184" s="1366"/>
    </row>
    <row r="185" spans="1:17">
      <c r="A185" s="53">
        <v>2007.08</v>
      </c>
      <c r="B185" s="1318">
        <v>162.05566947852026</v>
      </c>
      <c r="C185" s="615">
        <v>150.33984251436351</v>
      </c>
      <c r="D185" s="1192">
        <v>164.57391656264738</v>
      </c>
      <c r="E185" s="3535">
        <v>107.05854224187179</v>
      </c>
      <c r="F185" s="615">
        <v>94.753512540366799</v>
      </c>
      <c r="G185" s="3535">
        <v>172.77503133684348</v>
      </c>
      <c r="H185" s="615">
        <v>125.32901551660005</v>
      </c>
      <c r="I185" s="3535">
        <v>187.7456473072358</v>
      </c>
      <c r="J185" s="615">
        <v>168.62700741962072</v>
      </c>
      <c r="K185" s="3535">
        <v>195.43697556992461</v>
      </c>
      <c r="L185" s="615">
        <v>166.70213639015748</v>
      </c>
      <c r="M185" s="2970">
        <v>201.11482776450748</v>
      </c>
      <c r="N185" s="1365"/>
      <c r="O185" s="3641"/>
      <c r="P185" s="3641"/>
      <c r="Q185" s="1366"/>
    </row>
    <row r="186" spans="1:17">
      <c r="A186" s="53">
        <v>2007.09</v>
      </c>
      <c r="B186" s="1318">
        <v>158.40477985139088</v>
      </c>
      <c r="C186" s="615">
        <v>152.39127072432163</v>
      </c>
      <c r="D186" s="1192">
        <v>166.26673783831194</v>
      </c>
      <c r="E186" s="3535">
        <v>97.832966986184175</v>
      </c>
      <c r="F186" s="615">
        <v>98.484485252730892</v>
      </c>
      <c r="G186" s="3535">
        <v>173.44423293027251</v>
      </c>
      <c r="H186" s="615">
        <v>120.55126368480596</v>
      </c>
      <c r="I186" s="3535">
        <v>203.38199470027078</v>
      </c>
      <c r="J186" s="615">
        <v>158.8826317830208</v>
      </c>
      <c r="K186" s="3535">
        <v>194.68420050888497</v>
      </c>
      <c r="L186" s="615">
        <v>152.76278152197156</v>
      </c>
      <c r="M186" s="2970">
        <v>182.85509598105921</v>
      </c>
      <c r="N186" s="1365"/>
      <c r="O186" s="3641"/>
      <c r="P186" s="3641"/>
      <c r="Q186" s="1366"/>
    </row>
    <row r="187" spans="1:17">
      <c r="A187" s="53">
        <v>2007.1</v>
      </c>
      <c r="B187" s="1318">
        <v>167.50847295658753</v>
      </c>
      <c r="C187" s="615">
        <v>155.41067615661507</v>
      </c>
      <c r="D187" s="1192">
        <v>166.55611726771954</v>
      </c>
      <c r="E187" s="3535">
        <v>113.29088419531044</v>
      </c>
      <c r="F187" s="615">
        <v>94.251235125521518</v>
      </c>
      <c r="G187" s="3535">
        <v>180.14103763180856</v>
      </c>
      <c r="H187" s="615">
        <v>120.74271685423892</v>
      </c>
      <c r="I187" s="3535">
        <v>222.0455569755562</v>
      </c>
      <c r="J187" s="615">
        <v>166.18295035811775</v>
      </c>
      <c r="K187" s="3535">
        <v>201.05242356403949</v>
      </c>
      <c r="L187" s="615">
        <v>166.99278611263188</v>
      </c>
      <c r="M187" s="2970">
        <v>206.32128800842412</v>
      </c>
      <c r="N187" s="1365"/>
      <c r="O187" s="3641"/>
      <c r="P187" s="3641"/>
      <c r="Q187" s="1366"/>
    </row>
    <row r="188" spans="1:17">
      <c r="A188" s="53">
        <v>2007.11</v>
      </c>
      <c r="B188" s="1318">
        <v>162.0750442156785</v>
      </c>
      <c r="C188" s="615">
        <v>158.23504190972071</v>
      </c>
      <c r="D188" s="1192">
        <v>152.53480401488068</v>
      </c>
      <c r="E188" s="3535">
        <v>115.1980585751995</v>
      </c>
      <c r="F188" s="615">
        <v>94.149448281399074</v>
      </c>
      <c r="G188" s="3535">
        <v>181.73601781987674</v>
      </c>
      <c r="H188" s="615">
        <v>118.66600793176745</v>
      </c>
      <c r="I188" s="3535">
        <v>217.10010718207732</v>
      </c>
      <c r="J188" s="615">
        <v>181.06903137761026</v>
      </c>
      <c r="K188" s="3535">
        <v>200.07498061577675</v>
      </c>
      <c r="L188" s="615">
        <v>150.0259940337902</v>
      </c>
      <c r="M188" s="2970">
        <v>222.42786783302998</v>
      </c>
      <c r="N188" s="1365"/>
      <c r="O188" s="3641"/>
      <c r="P188" s="3641"/>
      <c r="Q188" s="1366"/>
    </row>
    <row r="189" spans="1:17">
      <c r="A189" s="53">
        <v>2007.12</v>
      </c>
      <c r="B189" s="1318">
        <v>152.54211187383103</v>
      </c>
      <c r="C189" s="615">
        <v>158.78677949692798</v>
      </c>
      <c r="D189" s="1192">
        <v>158.55482921190054</v>
      </c>
      <c r="E189" s="3535">
        <v>118.67476193519524</v>
      </c>
      <c r="F189" s="615">
        <v>83.955732135827148</v>
      </c>
      <c r="G189" s="3535">
        <v>178.822138634276</v>
      </c>
      <c r="H189" s="615">
        <v>120.31457106841081</v>
      </c>
      <c r="I189" s="3535">
        <v>193.64453271264381</v>
      </c>
      <c r="J189" s="615">
        <v>166.33108816021652</v>
      </c>
      <c r="K189" s="3535">
        <v>205.53709504050587</v>
      </c>
      <c r="L189" s="615">
        <v>123.25335409113667</v>
      </c>
      <c r="M189" s="2970">
        <v>190.96271038308896</v>
      </c>
      <c r="N189" s="1365"/>
      <c r="O189" s="3641"/>
      <c r="P189" s="3641"/>
      <c r="Q189" s="1366"/>
    </row>
    <row r="190" spans="1:17">
      <c r="A190" s="53">
        <f t="shared" ref="A190:A221" si="0">A178+1</f>
        <v>2008.01</v>
      </c>
      <c r="B190" s="1318">
        <v>143.46600980177917</v>
      </c>
      <c r="C190" s="615">
        <v>161.11767547214194</v>
      </c>
      <c r="D190" s="1192">
        <v>142.22265436819356</v>
      </c>
      <c r="E190" s="3535">
        <v>115.27713588117487</v>
      </c>
      <c r="F190" s="615">
        <v>75.685316275717085</v>
      </c>
      <c r="G190" s="3535">
        <v>168.70730549288078</v>
      </c>
      <c r="H190" s="615">
        <v>122.86627316153171</v>
      </c>
      <c r="I190" s="3535">
        <v>199.72054570353049</v>
      </c>
      <c r="J190" s="615">
        <v>145.36979228174746</v>
      </c>
      <c r="K190" s="3535">
        <v>186.35929157202037</v>
      </c>
      <c r="L190" s="615">
        <v>119.03947718634478</v>
      </c>
      <c r="M190" s="2970">
        <v>145.8847441800684</v>
      </c>
      <c r="N190" s="1365"/>
      <c r="O190" s="3641"/>
      <c r="P190" s="3641"/>
      <c r="Q190" s="1366"/>
    </row>
    <row r="191" spans="1:17">
      <c r="A191" s="53">
        <f t="shared" si="0"/>
        <v>2008.02</v>
      </c>
      <c r="B191" s="1318">
        <v>137.02450078221719</v>
      </c>
      <c r="C191" s="615">
        <v>158.59538648860701</v>
      </c>
      <c r="D191" s="1192">
        <v>137.17303612841863</v>
      </c>
      <c r="E191" s="3535">
        <v>109.77223344832166</v>
      </c>
      <c r="F191" s="615">
        <v>92.034456723063315</v>
      </c>
      <c r="G191" s="3535">
        <v>168.01937614928056</v>
      </c>
      <c r="H191" s="615">
        <v>111.28185871412828</v>
      </c>
      <c r="I191" s="3535">
        <v>180.17280582299387</v>
      </c>
      <c r="J191" s="615">
        <v>147.78986378248158</v>
      </c>
      <c r="K191" s="3535">
        <v>189.96219228423357</v>
      </c>
      <c r="L191" s="615">
        <v>119.74374706275833</v>
      </c>
      <c r="M191" s="2970">
        <v>132.30286504203113</v>
      </c>
      <c r="N191" s="1365"/>
      <c r="O191" s="3641"/>
      <c r="P191" s="3641"/>
      <c r="Q191" s="1366"/>
    </row>
    <row r="192" spans="1:17">
      <c r="A192" s="53">
        <f t="shared" si="0"/>
        <v>2008.03</v>
      </c>
      <c r="B192" s="1318">
        <v>149.72476469583955</v>
      </c>
      <c r="C192" s="615">
        <v>154.47403777048524</v>
      </c>
      <c r="D192" s="1192">
        <v>124.09525091140145</v>
      </c>
      <c r="E192" s="3535">
        <v>111.55249271937421</v>
      </c>
      <c r="F192" s="615">
        <v>108.51588138258261</v>
      </c>
      <c r="G192" s="3535">
        <v>171.00492888163924</v>
      </c>
      <c r="H192" s="615">
        <v>116.75765200482067</v>
      </c>
      <c r="I192" s="3535">
        <v>192.08693584101732</v>
      </c>
      <c r="J192" s="615">
        <v>151.05436333419783</v>
      </c>
      <c r="K192" s="3535">
        <v>214.12558393192398</v>
      </c>
      <c r="L192" s="615">
        <v>156.68364659065162</v>
      </c>
      <c r="M192" s="2970">
        <v>186.94893277735824</v>
      </c>
      <c r="N192" s="1365"/>
      <c r="O192" s="3641"/>
      <c r="P192" s="3641"/>
      <c r="Q192" s="1366"/>
    </row>
    <row r="193" spans="1:17">
      <c r="A193" s="53">
        <f t="shared" si="0"/>
        <v>2008.04</v>
      </c>
      <c r="B193" s="1318">
        <v>160.13544902042406</v>
      </c>
      <c r="C193" s="615">
        <v>157.40740628235233</v>
      </c>
      <c r="D193" s="1192">
        <v>147.74122305839248</v>
      </c>
      <c r="E193" s="3535">
        <v>108.85364447244442</v>
      </c>
      <c r="F193" s="615">
        <v>103.66467098887293</v>
      </c>
      <c r="G193" s="3535">
        <v>163.8036223693268</v>
      </c>
      <c r="H193" s="615">
        <v>117.7144287487674</v>
      </c>
      <c r="I193" s="3535">
        <v>193.03388940486212</v>
      </c>
      <c r="J193" s="615">
        <v>164.0482400799882</v>
      </c>
      <c r="K193" s="3535">
        <v>211.12915038327839</v>
      </c>
      <c r="L193" s="615">
        <v>173.02464287206038</v>
      </c>
      <c r="M193" s="2970">
        <v>207.12955133664531</v>
      </c>
      <c r="N193" s="1365"/>
      <c r="O193" s="3641"/>
      <c r="P193" s="3641"/>
      <c r="Q193" s="1366"/>
    </row>
    <row r="194" spans="1:17">
      <c r="A194" s="53">
        <f t="shared" si="0"/>
        <v>2008.05</v>
      </c>
      <c r="B194" s="1318">
        <v>162.68130373157797</v>
      </c>
      <c r="C194" s="615">
        <v>158.38588246996434</v>
      </c>
      <c r="D194" s="1192">
        <v>147.40270338907823</v>
      </c>
      <c r="E194" s="3535">
        <v>107.444335174144</v>
      </c>
      <c r="F194" s="615">
        <v>109.54404906529393</v>
      </c>
      <c r="G194" s="3535">
        <v>169.89255474668005</v>
      </c>
      <c r="H194" s="615">
        <v>124.7911576901511</v>
      </c>
      <c r="I194" s="3535">
        <v>196.45046807862587</v>
      </c>
      <c r="J194" s="615">
        <v>163.19211247325887</v>
      </c>
      <c r="K194" s="3535">
        <v>210.87544727282045</v>
      </c>
      <c r="L194" s="615">
        <v>166.86410446916645</v>
      </c>
      <c r="M194" s="2970">
        <v>212.33459067617221</v>
      </c>
      <c r="N194" s="1365"/>
      <c r="O194" s="3641"/>
      <c r="P194" s="3641"/>
      <c r="Q194" s="1366"/>
    </row>
    <row r="195" spans="1:17">
      <c r="A195" s="53">
        <f t="shared" si="0"/>
        <v>2008.06</v>
      </c>
      <c r="B195" s="1318">
        <v>149.22923846916325</v>
      </c>
      <c r="C195" s="615">
        <v>153.73028353915893</v>
      </c>
      <c r="D195" s="1192">
        <v>142.36419672640704</v>
      </c>
      <c r="E195" s="3535">
        <v>98.669227728966618</v>
      </c>
      <c r="F195" s="615">
        <v>108.52453565639777</v>
      </c>
      <c r="G195" s="3535">
        <v>170.10021142020653</v>
      </c>
      <c r="H195" s="615">
        <v>114.0142903001363</v>
      </c>
      <c r="I195" s="3535">
        <v>173.23188409913584</v>
      </c>
      <c r="J195" s="615">
        <v>150.14735849326797</v>
      </c>
      <c r="K195" s="3535">
        <v>208.99617885595956</v>
      </c>
      <c r="L195" s="615">
        <v>148.34918660017075</v>
      </c>
      <c r="M195" s="2970">
        <v>194.93729326532386</v>
      </c>
      <c r="N195" s="1365"/>
      <c r="O195" s="3641"/>
      <c r="P195" s="3641"/>
      <c r="Q195" s="1366"/>
    </row>
    <row r="196" spans="1:17">
      <c r="A196" s="53">
        <f t="shared" si="0"/>
        <v>2008.07</v>
      </c>
      <c r="B196" s="1318">
        <v>162.26747919543234</v>
      </c>
      <c r="C196" s="615">
        <v>154.79564389494936</v>
      </c>
      <c r="D196" s="1192">
        <v>175.03608090038858</v>
      </c>
      <c r="E196" s="3535">
        <v>111.99279559834298</v>
      </c>
      <c r="F196" s="615">
        <v>102.82890187187449</v>
      </c>
      <c r="G196" s="3535">
        <v>174.0977268129262</v>
      </c>
      <c r="H196" s="615">
        <v>113.33919312546563</v>
      </c>
      <c r="I196" s="3535">
        <v>167.29346273854017</v>
      </c>
      <c r="J196" s="615">
        <v>174.10208598066748</v>
      </c>
      <c r="K196" s="3535">
        <v>223.25836031128648</v>
      </c>
      <c r="L196" s="615">
        <v>155.66165912096744</v>
      </c>
      <c r="M196" s="2970">
        <v>233.94945400787546</v>
      </c>
      <c r="N196" s="1365"/>
      <c r="O196" s="3641"/>
      <c r="P196" s="3641"/>
      <c r="Q196" s="1366"/>
    </row>
    <row r="197" spans="1:17">
      <c r="A197" s="53">
        <f t="shared" si="0"/>
        <v>2008.08</v>
      </c>
      <c r="B197" s="1318">
        <v>158.15838594536757</v>
      </c>
      <c r="C197" s="615">
        <v>150.34870576254067</v>
      </c>
      <c r="D197" s="1192">
        <v>170.76103479978519</v>
      </c>
      <c r="E197" s="3535">
        <v>103.37761229614286</v>
      </c>
      <c r="F197" s="615">
        <v>105.85210494920004</v>
      </c>
      <c r="G197" s="3535">
        <v>163.18712194073726</v>
      </c>
      <c r="H197" s="615">
        <v>123.90008921329698</v>
      </c>
      <c r="I197" s="3535">
        <v>166.32785134125251</v>
      </c>
      <c r="J197" s="615">
        <v>165.70359506800713</v>
      </c>
      <c r="K197" s="3535">
        <v>212.94849834402277</v>
      </c>
      <c r="L197" s="615">
        <v>144.14728039016913</v>
      </c>
      <c r="M197" s="2970">
        <v>219.26889439347025</v>
      </c>
      <c r="N197" s="1365"/>
      <c r="O197" s="3641"/>
      <c r="P197" s="3641"/>
      <c r="Q197" s="1366"/>
    </row>
    <row r="198" spans="1:17">
      <c r="A198" s="53">
        <f t="shared" si="0"/>
        <v>2008.09</v>
      </c>
      <c r="B198" s="1318">
        <v>167.80234044872461</v>
      </c>
      <c r="C198" s="615">
        <v>147.61699581184001</v>
      </c>
      <c r="D198" s="1192">
        <v>183.28004597227039</v>
      </c>
      <c r="E198" s="3535">
        <v>107.26606417809741</v>
      </c>
      <c r="F198" s="615">
        <v>102.03975427280707</v>
      </c>
      <c r="G198" s="3535">
        <v>159.36413162688834</v>
      </c>
      <c r="H198" s="615">
        <v>119.85324986284928</v>
      </c>
      <c r="I198" s="3535">
        <v>190.70803840890218</v>
      </c>
      <c r="J198" s="615">
        <v>167.21976703238093</v>
      </c>
      <c r="K198" s="3535">
        <v>209.95143138476936</v>
      </c>
      <c r="L198" s="615">
        <v>152.93501173665916</v>
      </c>
      <c r="M198" s="2970">
        <v>238.01023988300992</v>
      </c>
      <c r="N198" s="1365"/>
      <c r="O198" s="3641"/>
      <c r="P198" s="3641"/>
      <c r="Q198" s="1366"/>
    </row>
    <row r="199" spans="1:17">
      <c r="A199" s="53">
        <f t="shared" si="0"/>
        <v>2008.1</v>
      </c>
      <c r="B199" s="1318">
        <v>159.97902966247702</v>
      </c>
      <c r="C199" s="615">
        <v>146.98557843019262</v>
      </c>
      <c r="D199" s="1192">
        <v>167.35759505250797</v>
      </c>
      <c r="E199" s="3535">
        <v>119.11663690797694</v>
      </c>
      <c r="F199" s="615">
        <v>96.238475747871789</v>
      </c>
      <c r="G199" s="3535">
        <v>157.4533680177214</v>
      </c>
      <c r="H199" s="615">
        <v>119.32296654141979</v>
      </c>
      <c r="I199" s="3535">
        <v>196.39721826424102</v>
      </c>
      <c r="J199" s="615">
        <v>168.57984091055209</v>
      </c>
      <c r="K199" s="3535">
        <v>210.69889698420837</v>
      </c>
      <c r="L199" s="615">
        <v>136.35707319049015</v>
      </c>
      <c r="M199" s="2970">
        <v>220.67628545460431</v>
      </c>
      <c r="N199" s="1365"/>
      <c r="O199" s="3641"/>
      <c r="P199" s="3641"/>
      <c r="Q199" s="1366"/>
    </row>
    <row r="200" spans="1:17">
      <c r="A200" s="53">
        <f t="shared" si="0"/>
        <v>2008.11</v>
      </c>
      <c r="B200" s="1318">
        <v>136.14729134895035</v>
      </c>
      <c r="C200" s="615">
        <v>138.43865644456858</v>
      </c>
      <c r="D200" s="1192">
        <v>148.03196902681299</v>
      </c>
      <c r="E200" s="3535">
        <v>106.75568096017831</v>
      </c>
      <c r="F200" s="615">
        <v>99.09562695457258</v>
      </c>
      <c r="G200" s="3535">
        <v>153.29155388803963</v>
      </c>
      <c r="H200" s="615">
        <v>103.81280507432827</v>
      </c>
      <c r="I200" s="3535">
        <v>158.4082692693317</v>
      </c>
      <c r="J200" s="615">
        <v>165.26893318213891</v>
      </c>
      <c r="K200" s="3535">
        <v>172.88490476016884</v>
      </c>
      <c r="L200" s="615">
        <v>102.80717381966909</v>
      </c>
      <c r="M200" s="2970">
        <v>164.36805907367881</v>
      </c>
      <c r="N200" s="1365"/>
      <c r="O200" s="3641"/>
      <c r="P200" s="3641"/>
      <c r="Q200" s="1366"/>
    </row>
    <row r="201" spans="1:17">
      <c r="A201" s="53">
        <f t="shared" si="0"/>
        <v>2008.12</v>
      </c>
      <c r="B201" s="1318">
        <v>129.65355216195397</v>
      </c>
      <c r="C201" s="615">
        <v>138.31308317848999</v>
      </c>
      <c r="D201" s="1192">
        <v>159.41574252652055</v>
      </c>
      <c r="E201" s="3535">
        <v>137.37025457214972</v>
      </c>
      <c r="F201" s="615">
        <v>82.506460315303187</v>
      </c>
      <c r="G201" s="3535">
        <v>154.88962387663247</v>
      </c>
      <c r="H201" s="615">
        <v>116.27686101255456</v>
      </c>
      <c r="I201" s="3535">
        <v>143.87181253095528</v>
      </c>
      <c r="J201" s="615">
        <v>150.30561001370324</v>
      </c>
      <c r="K201" s="3535">
        <v>131.91002054662849</v>
      </c>
      <c r="L201" s="615">
        <v>98.774933025848838</v>
      </c>
      <c r="M201" s="2970">
        <v>93.254258196745269</v>
      </c>
      <c r="N201" s="1365"/>
      <c r="O201" s="3641"/>
      <c r="P201" s="3641"/>
      <c r="Q201" s="1366"/>
    </row>
    <row r="202" spans="1:17">
      <c r="A202" s="53">
        <f t="shared" si="0"/>
        <v>2009.01</v>
      </c>
      <c r="B202" s="1318">
        <v>118.82610980809662</v>
      </c>
      <c r="C202" s="615">
        <v>134.54645612526443</v>
      </c>
      <c r="D202" s="1192">
        <v>144.00853409652606</v>
      </c>
      <c r="E202" s="3535">
        <v>114.02912168050329</v>
      </c>
      <c r="F202" s="615">
        <v>64.301457949938651</v>
      </c>
      <c r="G202" s="3535">
        <v>151.16939687709234</v>
      </c>
      <c r="H202" s="615">
        <v>111.51516363431675</v>
      </c>
      <c r="I202" s="3535">
        <v>160.8722502287614</v>
      </c>
      <c r="J202" s="615">
        <v>140.96827323538849</v>
      </c>
      <c r="K202" s="3535">
        <v>138.68895381394753</v>
      </c>
      <c r="L202" s="615">
        <v>80.050127251705149</v>
      </c>
      <c r="M202" s="2970">
        <v>62.461900527891686</v>
      </c>
      <c r="N202" s="1365"/>
      <c r="O202" s="3641"/>
      <c r="P202" s="3641"/>
      <c r="Q202" s="1366"/>
    </row>
    <row r="203" spans="1:17">
      <c r="A203" s="53">
        <f t="shared" si="0"/>
        <v>2009.02</v>
      </c>
      <c r="B203" s="1318">
        <v>115.92543878166197</v>
      </c>
      <c r="C203" s="615">
        <v>134.64239759140483</v>
      </c>
      <c r="D203" s="1192">
        <v>133.19995477749586</v>
      </c>
      <c r="E203" s="3535">
        <v>100.65348344800032</v>
      </c>
      <c r="F203" s="615">
        <v>74.98445757705187</v>
      </c>
      <c r="G203" s="3535">
        <v>147.7074987149266</v>
      </c>
      <c r="H203" s="615">
        <v>98.836190912719829</v>
      </c>
      <c r="I203" s="3535">
        <v>155.53793710297626</v>
      </c>
      <c r="J203" s="615">
        <v>136.77751323481885</v>
      </c>
      <c r="K203" s="3535">
        <v>128.21768631783326</v>
      </c>
      <c r="L203" s="615">
        <v>102.42726471177582</v>
      </c>
      <c r="M203" s="2970">
        <v>54.612994948086595</v>
      </c>
      <c r="N203" s="1365"/>
      <c r="O203" s="3641"/>
      <c r="P203" s="3641"/>
      <c r="Q203" s="1366"/>
    </row>
    <row r="204" spans="1:17">
      <c r="A204" s="53">
        <f t="shared" si="0"/>
        <v>2009.03</v>
      </c>
      <c r="B204" s="1318">
        <v>142.00405776184323</v>
      </c>
      <c r="C204" s="615">
        <v>140.92806868009123</v>
      </c>
      <c r="D204" s="1192">
        <v>144.89091665928254</v>
      </c>
      <c r="E204" s="3535">
        <v>114.04252458234703</v>
      </c>
      <c r="F204" s="615">
        <v>88.16694204879056</v>
      </c>
      <c r="G204" s="3535">
        <v>153.41454371109376</v>
      </c>
      <c r="H204" s="615">
        <v>112.71115987809684</v>
      </c>
      <c r="I204" s="3535">
        <v>189.82186504113409</v>
      </c>
      <c r="J204" s="615">
        <v>155.15341020348072</v>
      </c>
      <c r="K204" s="3535">
        <v>132.51220543756219</v>
      </c>
      <c r="L204" s="615">
        <v>141.25975859166124</v>
      </c>
      <c r="M204" s="2970">
        <v>132.20969171347858</v>
      </c>
      <c r="N204" s="1365"/>
      <c r="O204" s="3641"/>
      <c r="P204" s="3641"/>
      <c r="Q204" s="1366"/>
    </row>
    <row r="205" spans="1:17">
      <c r="A205" s="53">
        <f t="shared" si="0"/>
        <v>2009.04</v>
      </c>
      <c r="B205" s="1318">
        <v>141.18902528185711</v>
      </c>
      <c r="C205" s="615">
        <v>141.6748491294147</v>
      </c>
      <c r="D205" s="1192">
        <v>144.36451147646068</v>
      </c>
      <c r="E205" s="3535">
        <v>114.34711529063297</v>
      </c>
      <c r="F205" s="615">
        <v>87.167633928325714</v>
      </c>
      <c r="G205" s="3535">
        <v>141.59386513976003</v>
      </c>
      <c r="H205" s="615">
        <v>110.64863137152349</v>
      </c>
      <c r="I205" s="3535">
        <v>195.80316291342209</v>
      </c>
      <c r="J205" s="615">
        <v>145.29736868670753</v>
      </c>
      <c r="K205" s="3535">
        <v>137.09944648313098</v>
      </c>
      <c r="L205" s="615">
        <v>141.22257368251979</v>
      </c>
      <c r="M205" s="2970">
        <v>127.48671339668051</v>
      </c>
      <c r="N205" s="1365"/>
      <c r="O205" s="3641"/>
      <c r="P205" s="3641"/>
      <c r="Q205" s="1366"/>
    </row>
    <row r="206" spans="1:17">
      <c r="A206" s="53">
        <f t="shared" si="0"/>
        <v>2009.05</v>
      </c>
      <c r="B206" s="1318">
        <v>143.18698346924958</v>
      </c>
      <c r="C206" s="615">
        <v>141.81307226267637</v>
      </c>
      <c r="D206" s="1192">
        <v>147.4786787264141</v>
      </c>
      <c r="E206" s="3535">
        <v>101.07034497679881</v>
      </c>
      <c r="F206" s="615">
        <v>94.583543791205102</v>
      </c>
      <c r="G206" s="3535">
        <v>146.085335274757</v>
      </c>
      <c r="H206" s="615">
        <v>112.08272624098427</v>
      </c>
      <c r="I206" s="3535">
        <v>184.382630907779</v>
      </c>
      <c r="J206" s="615">
        <v>156.34355840883887</v>
      </c>
      <c r="K206" s="3535">
        <v>135.78007557072488</v>
      </c>
      <c r="L206" s="615">
        <v>145.85979029735543</v>
      </c>
      <c r="M206" s="2970">
        <v>149.2173747583424</v>
      </c>
      <c r="N206" s="1365"/>
      <c r="O206" s="3641"/>
      <c r="P206" s="3641"/>
      <c r="Q206" s="1366"/>
    </row>
    <row r="207" spans="1:17">
      <c r="A207" s="53">
        <f t="shared" si="0"/>
        <v>2009.06</v>
      </c>
      <c r="B207" s="1318">
        <v>150.04324383199818</v>
      </c>
      <c r="C207" s="615">
        <v>146.34844085485992</v>
      </c>
      <c r="D207" s="1192">
        <v>165.21691256739959</v>
      </c>
      <c r="E207" s="3535">
        <v>99.255890814341598</v>
      </c>
      <c r="F207" s="615">
        <v>90.876472514836337</v>
      </c>
      <c r="G207" s="3535">
        <v>156.0536795560015</v>
      </c>
      <c r="H207" s="615">
        <v>110.86629598434583</v>
      </c>
      <c r="I207" s="3535">
        <v>186.87952540109632</v>
      </c>
      <c r="J207" s="615">
        <v>160.91598233135011</v>
      </c>
      <c r="K207" s="3535">
        <v>149.50159738133101</v>
      </c>
      <c r="L207" s="615">
        <v>147.59855020796368</v>
      </c>
      <c r="M207" s="2970">
        <v>155.52316883430959</v>
      </c>
      <c r="N207" s="1365"/>
      <c r="O207" s="3641"/>
      <c r="P207" s="3641"/>
      <c r="Q207" s="1366"/>
    </row>
    <row r="208" spans="1:17">
      <c r="A208" s="53">
        <f t="shared" si="0"/>
        <v>2009.07</v>
      </c>
      <c r="B208" s="1318">
        <v>153.4944896468854</v>
      </c>
      <c r="C208" s="615">
        <v>147.29396736684953</v>
      </c>
      <c r="D208" s="1192">
        <v>169.64506111525714</v>
      </c>
      <c r="E208" s="3535">
        <v>107.90886915213724</v>
      </c>
      <c r="F208" s="615">
        <v>88.067115320014253</v>
      </c>
      <c r="G208" s="3535">
        <v>159.77158641486994</v>
      </c>
      <c r="H208" s="615">
        <v>104.37581959369903</v>
      </c>
      <c r="I208" s="3535">
        <v>186.70844596684205</v>
      </c>
      <c r="J208" s="615">
        <v>157.07154907237515</v>
      </c>
      <c r="K208" s="3535">
        <v>163.72134226363065</v>
      </c>
      <c r="L208" s="615">
        <v>160.09127852673049</v>
      </c>
      <c r="M208" s="2970">
        <v>165.05554579062161</v>
      </c>
      <c r="N208" s="1365"/>
      <c r="O208" s="3641"/>
      <c r="P208" s="3641"/>
      <c r="Q208" s="1366"/>
    </row>
    <row r="209" spans="1:17">
      <c r="A209" s="53">
        <f t="shared" si="0"/>
        <v>2009.08</v>
      </c>
      <c r="B209" s="1318">
        <v>155.32974343747929</v>
      </c>
      <c r="C209" s="615">
        <v>148.53878503330424</v>
      </c>
      <c r="D209" s="1192">
        <v>164.36708177190445</v>
      </c>
      <c r="E209" s="3535">
        <v>100.21604402561933</v>
      </c>
      <c r="F209" s="615">
        <v>84.354034797005696</v>
      </c>
      <c r="G209" s="3535">
        <v>160.0222811869549</v>
      </c>
      <c r="H209" s="615">
        <v>108.84200346683815</v>
      </c>
      <c r="I209" s="3535">
        <v>198.08458527749528</v>
      </c>
      <c r="J209" s="615">
        <v>166.54141616809551</v>
      </c>
      <c r="K209" s="3535">
        <v>169.06990188273355</v>
      </c>
      <c r="L209" s="615">
        <v>160.65423975038061</v>
      </c>
      <c r="M209" s="2970">
        <v>166.09946871834754</v>
      </c>
      <c r="N209" s="1365"/>
      <c r="O209" s="3641"/>
      <c r="P209" s="3641"/>
      <c r="Q209" s="1366"/>
    </row>
    <row r="210" spans="1:17">
      <c r="A210" s="53">
        <f t="shared" si="0"/>
        <v>2009.09</v>
      </c>
      <c r="B210" s="1318">
        <v>159.95742487226141</v>
      </c>
      <c r="C210" s="615">
        <v>149.61228656403466</v>
      </c>
      <c r="D210" s="1192">
        <v>167.56603688931875</v>
      </c>
      <c r="E210" s="3535">
        <v>107.12153581883818</v>
      </c>
      <c r="F210" s="615">
        <v>87.371258674398902</v>
      </c>
      <c r="G210" s="3535">
        <v>162.96265197126891</v>
      </c>
      <c r="H210" s="615">
        <v>100.26547093449855</v>
      </c>
      <c r="I210" s="3535">
        <v>202.96232853929351</v>
      </c>
      <c r="J210" s="615">
        <v>167.68462869122311</v>
      </c>
      <c r="K210" s="3535">
        <v>175.29793389240928</v>
      </c>
      <c r="L210" s="615">
        <v>165.42008808743932</v>
      </c>
      <c r="M210" s="2970">
        <v>190.23787377176396</v>
      </c>
      <c r="N210" s="1365"/>
      <c r="O210" s="3641"/>
      <c r="P210" s="3641"/>
      <c r="Q210" s="1366"/>
    </row>
    <row r="211" spans="1:17">
      <c r="A211" s="53">
        <f t="shared" si="0"/>
        <v>2009.1</v>
      </c>
      <c r="B211" s="1318">
        <v>160.61326535231461</v>
      </c>
      <c r="C211" s="615">
        <v>149.47517739088318</v>
      </c>
      <c r="D211" s="1192">
        <v>163.45135845510461</v>
      </c>
      <c r="E211" s="3535">
        <v>112.92074124716871</v>
      </c>
      <c r="F211" s="615">
        <v>81.006883575722952</v>
      </c>
      <c r="G211" s="3535">
        <v>167.19191264216005</v>
      </c>
      <c r="H211" s="615">
        <v>97.499887820495161</v>
      </c>
      <c r="I211" s="3535">
        <v>196.00153200615082</v>
      </c>
      <c r="J211" s="615">
        <v>174.75821342318875</v>
      </c>
      <c r="K211" s="3535">
        <v>192.18431602581745</v>
      </c>
      <c r="L211" s="615">
        <v>170.04947819129526</v>
      </c>
      <c r="M211" s="2970">
        <v>207.17439627488653</v>
      </c>
      <c r="N211" s="1365"/>
      <c r="O211" s="3641"/>
      <c r="P211" s="3641"/>
      <c r="Q211" s="1366"/>
    </row>
    <row r="212" spans="1:17">
      <c r="A212" s="53">
        <f t="shared" si="0"/>
        <v>2009.11</v>
      </c>
      <c r="B212" s="1318">
        <v>150.50428028377297</v>
      </c>
      <c r="C212" s="615">
        <v>151.34431087298501</v>
      </c>
      <c r="D212" s="1192">
        <v>148.59912456160771</v>
      </c>
      <c r="E212" s="3535">
        <v>104.89840019813646</v>
      </c>
      <c r="F212" s="615">
        <v>82.206753819838639</v>
      </c>
      <c r="G212" s="3535">
        <v>166.82704513689652</v>
      </c>
      <c r="H212" s="615">
        <v>110.75738122501848</v>
      </c>
      <c r="I212" s="3535">
        <v>190.33254701239497</v>
      </c>
      <c r="J212" s="615">
        <v>154.14886232857583</v>
      </c>
      <c r="K212" s="3535">
        <v>185.7270045572123</v>
      </c>
      <c r="L212" s="615">
        <v>139.72375235947021</v>
      </c>
      <c r="M212" s="2970">
        <v>198.31654828087377</v>
      </c>
      <c r="N212" s="1365"/>
      <c r="O212" s="3641"/>
      <c r="P212" s="3641"/>
      <c r="Q212" s="1366"/>
    </row>
    <row r="213" spans="1:17">
      <c r="A213" s="53">
        <f t="shared" si="0"/>
        <v>2009.12</v>
      </c>
      <c r="B213" s="1318">
        <v>148.59222121572589</v>
      </c>
      <c r="C213" s="615">
        <v>150.91840385434992</v>
      </c>
      <c r="D213" s="1192">
        <v>152.39908688347961</v>
      </c>
      <c r="E213" s="3535">
        <v>130.43655270306201</v>
      </c>
      <c r="F213" s="615">
        <v>75.159136085971241</v>
      </c>
      <c r="G213" s="3535">
        <v>168.08885350163447</v>
      </c>
      <c r="H213" s="615">
        <v>112.13793380141912</v>
      </c>
      <c r="I213" s="3535">
        <v>183.99485000032905</v>
      </c>
      <c r="J213" s="615">
        <v>156.7231319782328</v>
      </c>
      <c r="K213" s="3535">
        <v>180.00732534943145</v>
      </c>
      <c r="L213" s="615">
        <v>123.05046822540731</v>
      </c>
      <c r="M213" s="2970">
        <v>186.27741340991523</v>
      </c>
      <c r="N213" s="1365"/>
      <c r="O213" s="3641"/>
      <c r="P213" s="3641"/>
      <c r="Q213" s="1366"/>
    </row>
    <row r="214" spans="1:17">
      <c r="A214" s="53">
        <f t="shared" si="0"/>
        <v>2010.01</v>
      </c>
      <c r="B214" s="1318">
        <v>133.50021343657789</v>
      </c>
      <c r="C214" s="615">
        <v>155.31870445033664</v>
      </c>
      <c r="D214" s="1192">
        <v>136.80366236838626</v>
      </c>
      <c r="E214" s="3535">
        <v>106.49111817897487</v>
      </c>
      <c r="F214" s="615">
        <v>78.840512609745346</v>
      </c>
      <c r="G214" s="3535">
        <v>160.2388765594778</v>
      </c>
      <c r="H214" s="615">
        <v>112.5972228201155</v>
      </c>
      <c r="I214" s="3535">
        <v>191.33254618330946</v>
      </c>
      <c r="J214" s="615">
        <v>159.61794146171513</v>
      </c>
      <c r="K214" s="3535">
        <v>165.39008280048171</v>
      </c>
      <c r="L214" s="615">
        <v>103.44282376229913</v>
      </c>
      <c r="M214" s="2970">
        <v>107.65088059094471</v>
      </c>
      <c r="N214" s="562">
        <v>130.09632913441746</v>
      </c>
      <c r="O214" s="3642">
        <v>87.840758509818485</v>
      </c>
      <c r="P214" s="3642">
        <v>150.24596311277429</v>
      </c>
      <c r="Q214" s="139">
        <v>223.23467362291578</v>
      </c>
    </row>
    <row r="215" spans="1:17">
      <c r="A215" s="53">
        <f t="shared" si="0"/>
        <v>2010.02</v>
      </c>
      <c r="B215" s="1318">
        <v>134.13007687644034</v>
      </c>
      <c r="C215" s="615">
        <v>158.21411426734909</v>
      </c>
      <c r="D215" s="1192">
        <v>125.5537127205974</v>
      </c>
      <c r="E215" s="3535">
        <v>105.84859270199047</v>
      </c>
      <c r="F215" s="615">
        <v>88.603308247401827</v>
      </c>
      <c r="G215" s="3535">
        <v>154.22104286575532</v>
      </c>
      <c r="H215" s="615">
        <v>105.18109722496128</v>
      </c>
      <c r="I215" s="3535">
        <v>182.12471399681172</v>
      </c>
      <c r="J215" s="615">
        <v>149.56404250606488</v>
      </c>
      <c r="K215" s="3535">
        <v>162.9358954252632</v>
      </c>
      <c r="L215" s="615">
        <v>122.34121850192832</v>
      </c>
      <c r="M215" s="2970">
        <v>141.46804540440999</v>
      </c>
      <c r="N215" s="1192">
        <v>121.19351103134707</v>
      </c>
      <c r="O215" s="3535">
        <v>113.64156092983214</v>
      </c>
      <c r="P215" s="3535">
        <v>136.401178807669</v>
      </c>
      <c r="Q215" s="1367">
        <v>319.07921112629572</v>
      </c>
    </row>
    <row r="216" spans="1:17">
      <c r="A216" s="53">
        <f t="shared" si="0"/>
        <v>2010.03</v>
      </c>
      <c r="B216" s="1318">
        <v>160.63814618541346</v>
      </c>
      <c r="C216" s="615">
        <v>155.74923523382742</v>
      </c>
      <c r="D216" s="1192">
        <v>140.74738310021132</v>
      </c>
      <c r="E216" s="3535">
        <v>118.76276031826674</v>
      </c>
      <c r="F216" s="615">
        <v>99.281677959029309</v>
      </c>
      <c r="G216" s="3535">
        <v>165.0881364384241</v>
      </c>
      <c r="H216" s="615">
        <v>116.18232876461474</v>
      </c>
      <c r="I216" s="3535">
        <v>204.06237563486985</v>
      </c>
      <c r="J216" s="615">
        <v>163.38570029693523</v>
      </c>
      <c r="K216" s="3535">
        <v>196.94631626893124</v>
      </c>
      <c r="L216" s="615">
        <v>179.51174848785303</v>
      </c>
      <c r="M216" s="2970">
        <v>187.64249627667371</v>
      </c>
      <c r="N216" s="1192">
        <v>135.88279007561414</v>
      </c>
      <c r="O216" s="3535">
        <v>161.07394403163659</v>
      </c>
      <c r="P216" s="3535">
        <v>167.83539971284546</v>
      </c>
      <c r="Q216" s="1367">
        <v>425.32189731354629</v>
      </c>
    </row>
    <row r="217" spans="1:17">
      <c r="A217" s="53">
        <f t="shared" si="0"/>
        <v>2010.04</v>
      </c>
      <c r="B217" s="1318">
        <v>157.23179697534084</v>
      </c>
      <c r="C217" s="615">
        <v>157.45114133478776</v>
      </c>
      <c r="D217" s="1192">
        <v>141.70856902160457</v>
      </c>
      <c r="E217" s="3535">
        <v>99.449029449559958</v>
      </c>
      <c r="F217" s="615">
        <v>101.19719560558805</v>
      </c>
      <c r="G217" s="3535">
        <v>156.17624989781373</v>
      </c>
      <c r="H217" s="615">
        <v>108.21281435413439</v>
      </c>
      <c r="I217" s="3535">
        <v>194.00079059664208</v>
      </c>
      <c r="J217" s="615">
        <v>172.55981417156329</v>
      </c>
      <c r="K217" s="3535">
        <v>190.51938820214102</v>
      </c>
      <c r="L217" s="615">
        <v>179.67512737363316</v>
      </c>
      <c r="M217" s="2970">
        <v>201.84095602300476</v>
      </c>
      <c r="N217" s="1192">
        <v>132.35769393660235</v>
      </c>
      <c r="O217" s="3535">
        <v>167.56062879485557</v>
      </c>
      <c r="P217" s="3535">
        <v>155.1470879555375</v>
      </c>
      <c r="Q217" s="1367">
        <v>436.00150514909916</v>
      </c>
    </row>
    <row r="218" spans="1:17">
      <c r="A218" s="53">
        <f t="shared" si="0"/>
        <v>2010.05</v>
      </c>
      <c r="B218" s="1318">
        <v>159.17683012006455</v>
      </c>
      <c r="C218" s="615">
        <v>158.09258390510101</v>
      </c>
      <c r="D218" s="1192">
        <v>145.22481651486424</v>
      </c>
      <c r="E218" s="3535">
        <v>100.79114284320178</v>
      </c>
      <c r="F218" s="615">
        <v>107.77976738059849</v>
      </c>
      <c r="G218" s="3535">
        <v>154.39389755888911</v>
      </c>
      <c r="H218" s="615">
        <v>109.63911480490209</v>
      </c>
      <c r="I218" s="3535">
        <v>196.11254317352868</v>
      </c>
      <c r="J218" s="615">
        <v>164.48138765598858</v>
      </c>
      <c r="K218" s="3535">
        <v>195.71528643371764</v>
      </c>
      <c r="L218" s="615">
        <v>178.28203668337568</v>
      </c>
      <c r="M218" s="2970">
        <v>208.55220224638074</v>
      </c>
      <c r="N218" s="1192">
        <v>135.3928652849383</v>
      </c>
      <c r="O218" s="3535">
        <v>167.18290497267063</v>
      </c>
      <c r="P218" s="3535">
        <v>164.10241603624161</v>
      </c>
      <c r="Q218" s="1367">
        <v>454.97336160748722</v>
      </c>
    </row>
    <row r="219" spans="1:17">
      <c r="A219" s="53">
        <f t="shared" si="0"/>
        <v>2010.06</v>
      </c>
      <c r="B219" s="1318">
        <v>165.13318358868145</v>
      </c>
      <c r="C219" s="615">
        <v>160.16837606289366</v>
      </c>
      <c r="D219" s="1192">
        <v>158.79475128105469</v>
      </c>
      <c r="E219" s="3535">
        <v>100.15173070427859</v>
      </c>
      <c r="F219" s="615">
        <v>103.36992230809345</v>
      </c>
      <c r="G219" s="3535">
        <v>155.15404596336992</v>
      </c>
      <c r="H219" s="615">
        <v>105.86240161994647</v>
      </c>
      <c r="I219" s="3535">
        <v>196.28236080677183</v>
      </c>
      <c r="J219" s="615">
        <v>169.81643811293603</v>
      </c>
      <c r="K219" s="3535">
        <v>187.5155978030152</v>
      </c>
      <c r="L219" s="615">
        <v>175.49050917306874</v>
      </c>
      <c r="M219" s="2970">
        <v>230.93606939197218</v>
      </c>
      <c r="N219" s="1192">
        <v>145.81866196314363</v>
      </c>
      <c r="O219" s="3535">
        <v>170.06734366981155</v>
      </c>
      <c r="P219" s="3535">
        <v>148.62867464383035</v>
      </c>
      <c r="Q219" s="1367">
        <v>397.15420637380066</v>
      </c>
    </row>
    <row r="220" spans="1:17">
      <c r="A220" s="53">
        <f t="shared" si="0"/>
        <v>2010.07</v>
      </c>
      <c r="B220" s="1318">
        <v>161.74768710065013</v>
      </c>
      <c r="C220" s="615">
        <v>157.53032638372838</v>
      </c>
      <c r="D220" s="1192">
        <v>166.05441926506879</v>
      </c>
      <c r="E220" s="3535">
        <v>103.00555173906449</v>
      </c>
      <c r="F220" s="615">
        <v>96.243112381646412</v>
      </c>
      <c r="G220" s="3535">
        <v>160.74893948306513</v>
      </c>
      <c r="H220" s="615">
        <v>111.25897108043388</v>
      </c>
      <c r="I220" s="3535">
        <v>170.97051100177714</v>
      </c>
      <c r="J220" s="615">
        <v>173.76494756956868</v>
      </c>
      <c r="K220" s="3535">
        <v>193.44652153185822</v>
      </c>
      <c r="L220" s="615">
        <v>192.49912267254345</v>
      </c>
      <c r="M220" s="2970">
        <v>203.81907247616076</v>
      </c>
      <c r="N220" s="1192">
        <v>152.10343706183332</v>
      </c>
      <c r="O220" s="3535">
        <v>175.6775969064681</v>
      </c>
      <c r="P220" s="3535">
        <v>153.64145872812043</v>
      </c>
      <c r="Q220" s="1367">
        <v>422.99684218256391</v>
      </c>
    </row>
    <row r="221" spans="1:17">
      <c r="A221" s="53">
        <f t="shared" si="0"/>
        <v>2010.08</v>
      </c>
      <c r="B221" s="1318">
        <v>172.38374699499388</v>
      </c>
      <c r="C221" s="615">
        <v>161.86400060980188</v>
      </c>
      <c r="D221" s="1192">
        <v>174.48030981532455</v>
      </c>
      <c r="E221" s="3535">
        <v>104.56309751429119</v>
      </c>
      <c r="F221" s="615">
        <v>94.090524346209165</v>
      </c>
      <c r="G221" s="3535">
        <v>160.31700636930162</v>
      </c>
      <c r="H221" s="615">
        <v>116.3754209184392</v>
      </c>
      <c r="I221" s="3535">
        <v>188.01201453721961</v>
      </c>
      <c r="J221" s="615">
        <v>171.32765521694654</v>
      </c>
      <c r="K221" s="3535">
        <v>206.14226701286816</v>
      </c>
      <c r="L221" s="615">
        <v>193.45782356729001</v>
      </c>
      <c r="M221" s="2970">
        <v>249.29003003122091</v>
      </c>
      <c r="N221" s="1192">
        <v>159.00955161163046</v>
      </c>
      <c r="O221" s="3535">
        <v>188.23333411070405</v>
      </c>
      <c r="P221" s="3535">
        <v>163.25163163497356</v>
      </c>
      <c r="Q221" s="1367">
        <v>441.78653720153579</v>
      </c>
    </row>
    <row r="222" spans="1:17">
      <c r="A222" s="53">
        <f t="shared" ref="A222:A253" si="1">A210+1</f>
        <v>2010.09</v>
      </c>
      <c r="B222" s="1318">
        <v>172.95291423793341</v>
      </c>
      <c r="C222" s="615">
        <v>160.52675521721008</v>
      </c>
      <c r="D222" s="1192">
        <v>171.86181187015777</v>
      </c>
      <c r="E222" s="3535">
        <v>107.10729442582816</v>
      </c>
      <c r="F222" s="615">
        <v>95.91228410270763</v>
      </c>
      <c r="G222" s="3535">
        <v>159.46758071174401</v>
      </c>
      <c r="H222" s="615">
        <v>107.67630718411043</v>
      </c>
      <c r="I222" s="3535">
        <v>191.74485831510702</v>
      </c>
      <c r="J222" s="615">
        <v>183.90221005253082</v>
      </c>
      <c r="K222" s="3535">
        <v>197.48805222995537</v>
      </c>
      <c r="L222" s="615">
        <v>199.57826314254211</v>
      </c>
      <c r="M222" s="2970">
        <v>257.22601717358759</v>
      </c>
      <c r="N222" s="1192">
        <v>157.53341620036491</v>
      </c>
      <c r="O222" s="3535">
        <v>194.78233128905714</v>
      </c>
      <c r="P222" s="3535">
        <v>161.99908592835877</v>
      </c>
      <c r="Q222" s="1367">
        <v>435.46477839452939</v>
      </c>
    </row>
    <row r="223" spans="1:17">
      <c r="A223" s="53">
        <f t="shared" si="1"/>
        <v>2010.1</v>
      </c>
      <c r="B223" s="1318">
        <v>162.30978333539525</v>
      </c>
      <c r="C223" s="615">
        <v>162.28364233763801</v>
      </c>
      <c r="D223" s="1192">
        <v>154.71201023520086</v>
      </c>
      <c r="E223" s="3535">
        <v>103.4082576366426</v>
      </c>
      <c r="F223" s="615">
        <v>90.752744805650536</v>
      </c>
      <c r="G223" s="3535">
        <v>161.01562983256892</v>
      </c>
      <c r="H223" s="615">
        <v>101.10798906888296</v>
      </c>
      <c r="I223" s="3535">
        <v>194.723879397752</v>
      </c>
      <c r="J223" s="615">
        <v>190.99865308585677</v>
      </c>
      <c r="K223" s="3535">
        <v>206.81979411773412</v>
      </c>
      <c r="L223" s="615">
        <v>178.05441630492959</v>
      </c>
      <c r="M223" s="2970">
        <v>228.85688562123715</v>
      </c>
      <c r="N223" s="1192">
        <v>143.35989928465162</v>
      </c>
      <c r="O223" s="3535">
        <v>172.15294811222498</v>
      </c>
      <c r="P223" s="3535">
        <v>166.15754118527337</v>
      </c>
      <c r="Q223" s="1367">
        <v>451.23616162653497</v>
      </c>
    </row>
    <row r="224" spans="1:17">
      <c r="A224" s="53">
        <f t="shared" si="1"/>
        <v>2010.11</v>
      </c>
      <c r="B224" s="1318">
        <v>166.76795205309784</v>
      </c>
      <c r="C224" s="615">
        <v>164.03426019925703</v>
      </c>
      <c r="D224" s="1192">
        <v>153.37376359712056</v>
      </c>
      <c r="E224" s="3535">
        <v>109.13299036501256</v>
      </c>
      <c r="F224" s="615">
        <v>90.001733318604309</v>
      </c>
      <c r="G224" s="3535">
        <v>167.08294259280484</v>
      </c>
      <c r="H224" s="615">
        <v>107.35926943231442</v>
      </c>
      <c r="I224" s="3535">
        <v>207.78244169675872</v>
      </c>
      <c r="J224" s="615">
        <v>197.77369655278412</v>
      </c>
      <c r="K224" s="3535">
        <v>199.07385282936752</v>
      </c>
      <c r="L224" s="615">
        <v>163.67916721153358</v>
      </c>
      <c r="M224" s="2970">
        <v>263.05193077234503</v>
      </c>
      <c r="N224" s="1192">
        <v>143.58449593479574</v>
      </c>
      <c r="O224" s="3535">
        <v>174.84427633585665</v>
      </c>
      <c r="P224" s="3535">
        <v>163.45134969128222</v>
      </c>
      <c r="Q224" s="1367">
        <v>385.55053637471781</v>
      </c>
    </row>
    <row r="225" spans="1:17">
      <c r="A225" s="53">
        <f t="shared" si="1"/>
        <v>2010.12</v>
      </c>
      <c r="B225" s="1318">
        <v>160.45295607426175</v>
      </c>
      <c r="C225" s="615">
        <v>163.73044479899119</v>
      </c>
      <c r="D225" s="1192">
        <v>159.1385339272808</v>
      </c>
      <c r="E225" s="3535">
        <v>129.63107242187232</v>
      </c>
      <c r="F225" s="615">
        <v>77.605100395930762</v>
      </c>
      <c r="G225" s="3535">
        <v>181.27593439443521</v>
      </c>
      <c r="H225" s="615">
        <v>100.72602128468795</v>
      </c>
      <c r="I225" s="3535">
        <v>186.15973126317593</v>
      </c>
      <c r="J225" s="615">
        <v>191.55034703616053</v>
      </c>
      <c r="K225" s="3535">
        <v>187.02975461747647</v>
      </c>
      <c r="L225" s="615">
        <v>163.84786345586602</v>
      </c>
      <c r="M225" s="2970">
        <v>228.84617175567544</v>
      </c>
      <c r="N225" s="1192">
        <v>152.60934337275069</v>
      </c>
      <c r="O225" s="3535">
        <v>162.84162331013715</v>
      </c>
      <c r="P225" s="3535">
        <v>154.23041694533651</v>
      </c>
      <c r="Q225" s="1367">
        <v>346.92444423546272</v>
      </c>
    </row>
    <row r="226" spans="1:17">
      <c r="A226" s="53">
        <f t="shared" si="1"/>
        <v>2011.01</v>
      </c>
      <c r="B226" s="1318">
        <v>143.07456209931857</v>
      </c>
      <c r="C226" s="615">
        <v>167.61263117130329</v>
      </c>
      <c r="D226" s="1192">
        <v>144.50938402556997</v>
      </c>
      <c r="E226" s="3535">
        <v>113.25704839283794</v>
      </c>
      <c r="F226" s="615">
        <v>76.948022024405361</v>
      </c>
      <c r="G226" s="3535">
        <v>164.73762344973636</v>
      </c>
      <c r="H226" s="615">
        <v>108.9917198760389</v>
      </c>
      <c r="I226" s="3535">
        <v>191.06807749904786</v>
      </c>
      <c r="J226" s="615">
        <v>172.3591072105819</v>
      </c>
      <c r="K226" s="3535">
        <v>173.86629370471809</v>
      </c>
      <c r="L226" s="615">
        <v>121.25049960666121</v>
      </c>
      <c r="M226" s="2970">
        <v>159.1653401169072</v>
      </c>
      <c r="N226" s="1192">
        <v>137.5941007646619</v>
      </c>
      <c r="O226" s="3535">
        <v>124.13302718850846</v>
      </c>
      <c r="P226" s="3535">
        <v>154.65602222269229</v>
      </c>
      <c r="Q226" s="1367">
        <v>236.12084464006608</v>
      </c>
    </row>
    <row r="227" spans="1:17">
      <c r="A227" s="53">
        <f t="shared" si="1"/>
        <v>2011.02</v>
      </c>
      <c r="B227" s="1318">
        <v>139.9643351109122</v>
      </c>
      <c r="C227" s="615">
        <v>164.8877958585922</v>
      </c>
      <c r="D227" s="1192">
        <v>133.5413064820433</v>
      </c>
      <c r="E227" s="3535">
        <v>103.28338723694897</v>
      </c>
      <c r="F227" s="615">
        <v>94.263986744606981</v>
      </c>
      <c r="G227" s="3535">
        <v>158.58527976814042</v>
      </c>
      <c r="H227" s="615">
        <v>102.1584723059586</v>
      </c>
      <c r="I227" s="3535">
        <v>171.25963372998444</v>
      </c>
      <c r="J227" s="615">
        <v>167.39230251567162</v>
      </c>
      <c r="K227" s="3535">
        <v>191.74633750201409</v>
      </c>
      <c r="L227" s="615">
        <v>148.14410507740197</v>
      </c>
      <c r="M227" s="2970">
        <v>150.45639616766812</v>
      </c>
      <c r="N227" s="1192">
        <v>126.84606024750718</v>
      </c>
      <c r="O227" s="3535">
        <v>127.34526616260797</v>
      </c>
      <c r="P227" s="3535">
        <v>146.50247887697441</v>
      </c>
      <c r="Q227" s="1367">
        <v>352.56090241047571</v>
      </c>
    </row>
    <row r="228" spans="1:17">
      <c r="A228" s="53">
        <f t="shared" si="1"/>
        <v>2011.03</v>
      </c>
      <c r="B228" s="1318">
        <v>163.80150326944164</v>
      </c>
      <c r="C228" s="615">
        <v>166.78342245440999</v>
      </c>
      <c r="D228" s="1192">
        <v>151.51967084147185</v>
      </c>
      <c r="E228" s="3535">
        <v>118.76123449880073</v>
      </c>
      <c r="F228" s="615">
        <v>108.14864410474439</v>
      </c>
      <c r="G228" s="3535">
        <v>165.88224841185783</v>
      </c>
      <c r="H228" s="615">
        <v>111.10818699816876</v>
      </c>
      <c r="I228" s="3535">
        <v>194.09317939925921</v>
      </c>
      <c r="J228" s="615">
        <v>176.54615011765267</v>
      </c>
      <c r="K228" s="3535">
        <v>208.54007120603154</v>
      </c>
      <c r="L228" s="615">
        <v>172.06500240289225</v>
      </c>
      <c r="M228" s="2970">
        <v>245.91916199236729</v>
      </c>
      <c r="N228" s="1192">
        <v>144.27112887148428</v>
      </c>
      <c r="O228" s="3535">
        <v>170.27177937906941</v>
      </c>
      <c r="P228" s="3535">
        <v>156.82124210375727</v>
      </c>
      <c r="Q228" s="1367">
        <v>381.3390323239397</v>
      </c>
    </row>
    <row r="229" spans="1:17">
      <c r="A229" s="53">
        <f t="shared" si="1"/>
        <v>2011.04</v>
      </c>
      <c r="B229" s="1318">
        <v>165.15422358710879</v>
      </c>
      <c r="C229" s="615">
        <v>168.11114473070486</v>
      </c>
      <c r="D229" s="1192">
        <v>147.74767725681119</v>
      </c>
      <c r="E229" s="3535">
        <v>107.53931851563618</v>
      </c>
      <c r="F229" s="615">
        <v>107.95323062688544</v>
      </c>
      <c r="G229" s="3535">
        <v>156.96929191721557</v>
      </c>
      <c r="H229" s="615">
        <v>104.43715748696999</v>
      </c>
      <c r="I229" s="3535">
        <v>186.70073930596857</v>
      </c>
      <c r="J229" s="615">
        <v>185.04749157505969</v>
      </c>
      <c r="K229" s="3535">
        <v>204.56030328849286</v>
      </c>
      <c r="L229" s="615">
        <v>199.11743336324139</v>
      </c>
      <c r="M229" s="2970">
        <v>250.91419083395181</v>
      </c>
      <c r="N229" s="1192">
        <v>138.85067213632937</v>
      </c>
      <c r="O229" s="3535">
        <v>191.8540903232884</v>
      </c>
      <c r="P229" s="3535">
        <v>150.55119781109258</v>
      </c>
      <c r="Q229" s="1367">
        <v>399.35243312140699</v>
      </c>
    </row>
    <row r="230" spans="1:17">
      <c r="A230" s="53">
        <f t="shared" si="1"/>
        <v>2011.05</v>
      </c>
      <c r="B230" s="1318">
        <v>170.54529840997478</v>
      </c>
      <c r="C230" s="615">
        <v>166.48326933013868</v>
      </c>
      <c r="D230" s="1192">
        <v>155.6619073961601</v>
      </c>
      <c r="E230" s="3535">
        <v>107.74992540832355</v>
      </c>
      <c r="F230" s="615">
        <v>107.38273420727911</v>
      </c>
      <c r="G230" s="3535">
        <v>161.94871386459195</v>
      </c>
      <c r="H230" s="615">
        <v>101.11504365403579</v>
      </c>
      <c r="I230" s="3535">
        <v>191.48536597075784</v>
      </c>
      <c r="J230" s="615">
        <v>199.13170515042657</v>
      </c>
      <c r="K230" s="3535">
        <v>215.45991318040308</v>
      </c>
      <c r="L230" s="615">
        <v>200.19150974196313</v>
      </c>
      <c r="M230" s="2970">
        <v>277.60548461511081</v>
      </c>
      <c r="N230" s="1192">
        <v>145.06030209756602</v>
      </c>
      <c r="O230" s="3535">
        <v>200.50978619486634</v>
      </c>
      <c r="P230" s="3535">
        <v>167.01613937231087</v>
      </c>
      <c r="Q230" s="1367">
        <v>381.34639069922076</v>
      </c>
    </row>
    <row r="231" spans="1:17">
      <c r="A231" s="53">
        <f t="shared" si="1"/>
        <v>2011.06</v>
      </c>
      <c r="B231" s="1318">
        <v>172.48107219405088</v>
      </c>
      <c r="C231" s="615">
        <v>167.59011066430907</v>
      </c>
      <c r="D231" s="1192">
        <v>163.08339997934519</v>
      </c>
      <c r="E231" s="3535">
        <v>104.77270426409365</v>
      </c>
      <c r="F231" s="615">
        <v>102.80920245334288</v>
      </c>
      <c r="G231" s="3535">
        <v>158.62513854971729</v>
      </c>
      <c r="H231" s="615">
        <v>106.24708871672067</v>
      </c>
      <c r="I231" s="3535">
        <v>184.5050628589525</v>
      </c>
      <c r="J231" s="615">
        <v>182.31681947310861</v>
      </c>
      <c r="K231" s="3535">
        <v>206.38097339206752</v>
      </c>
      <c r="L231" s="615">
        <v>209.33212112411655</v>
      </c>
      <c r="M231" s="2970">
        <v>281.06846096087634</v>
      </c>
      <c r="N231" s="1192">
        <v>150.18084502312445</v>
      </c>
      <c r="O231" s="3535">
        <v>209.73269985707617</v>
      </c>
      <c r="P231" s="3535">
        <v>155.77622366947475</v>
      </c>
      <c r="Q231" s="1367">
        <v>379.8864125932231</v>
      </c>
    </row>
    <row r="232" spans="1:17">
      <c r="A232" s="53">
        <f t="shared" si="1"/>
        <v>2011.07</v>
      </c>
      <c r="B232" s="1318">
        <v>169.07453594117845</v>
      </c>
      <c r="C232" s="615">
        <v>166.27677532215594</v>
      </c>
      <c r="D232" s="1192">
        <v>169.90256479832033</v>
      </c>
      <c r="E232" s="3535">
        <v>100.39062047780732</v>
      </c>
      <c r="F232" s="615">
        <v>95.420638916999067</v>
      </c>
      <c r="G232" s="3535">
        <v>160.6809017674137</v>
      </c>
      <c r="H232" s="615">
        <v>111.30872320045076</v>
      </c>
      <c r="I232" s="3535">
        <v>173.77268225956149</v>
      </c>
      <c r="J232" s="615">
        <v>190.24665976468111</v>
      </c>
      <c r="K232" s="3535">
        <v>215.97939069495973</v>
      </c>
      <c r="L232" s="615">
        <v>207.61576934795335</v>
      </c>
      <c r="M232" s="2970">
        <v>248.0467830365036</v>
      </c>
      <c r="N232" s="1192">
        <v>154.52148126453918</v>
      </c>
      <c r="O232" s="3535">
        <v>198.42545536188226</v>
      </c>
      <c r="P232" s="3535">
        <v>157.20464644989357</v>
      </c>
      <c r="Q232" s="1367">
        <v>358.02082683733249</v>
      </c>
    </row>
    <row r="233" spans="1:17">
      <c r="A233" s="53">
        <f t="shared" si="1"/>
        <v>2011.08</v>
      </c>
      <c r="B233" s="1318">
        <v>177.57340492081207</v>
      </c>
      <c r="C233" s="615">
        <v>164.37238381215067</v>
      </c>
      <c r="D233" s="1192">
        <v>177.39862035608934</v>
      </c>
      <c r="E233" s="3535">
        <v>115.43484811036903</v>
      </c>
      <c r="F233" s="615">
        <v>91.054139190101381</v>
      </c>
      <c r="G233" s="3535">
        <v>157.83916688978456</v>
      </c>
      <c r="H233" s="615">
        <v>98.5938743344133</v>
      </c>
      <c r="I233" s="3535">
        <v>179.45583801942669</v>
      </c>
      <c r="J233" s="615">
        <v>195.69454036231235</v>
      </c>
      <c r="K233" s="3535">
        <v>213.15978044784094</v>
      </c>
      <c r="L233" s="615">
        <v>216.96998935927166</v>
      </c>
      <c r="M233" s="2970">
        <v>298.86412545255479</v>
      </c>
      <c r="N233" s="1192">
        <v>163.68773992689151</v>
      </c>
      <c r="O233" s="3535">
        <v>217.80668037816019</v>
      </c>
      <c r="P233" s="3535">
        <v>151.77952182304907</v>
      </c>
      <c r="Q233" s="1367">
        <v>349.65951927306088</v>
      </c>
    </row>
    <row r="234" spans="1:17">
      <c r="A234" s="53">
        <f t="shared" si="1"/>
        <v>2011.09</v>
      </c>
      <c r="B234" s="1318">
        <v>181.45868786073106</v>
      </c>
      <c r="C234" s="615">
        <v>168.35507062025192</v>
      </c>
      <c r="D234" s="1192">
        <v>182.82286129285305</v>
      </c>
      <c r="E234" s="3535">
        <v>111.35605749968083</v>
      </c>
      <c r="F234" s="615">
        <v>91.344115621690491</v>
      </c>
      <c r="G234" s="3535">
        <v>155.9175850801777</v>
      </c>
      <c r="H234" s="615">
        <v>110.8324375968446</v>
      </c>
      <c r="I234" s="3535">
        <v>196.84656686993958</v>
      </c>
      <c r="J234" s="615">
        <v>208.80822136824804</v>
      </c>
      <c r="K234" s="3535">
        <v>205.66444274049417</v>
      </c>
      <c r="L234" s="615">
        <v>220.40493680019387</v>
      </c>
      <c r="M234" s="2970">
        <v>281.60666695763092</v>
      </c>
      <c r="N234" s="1192">
        <v>167.00922106482761</v>
      </c>
      <c r="O234" s="3535">
        <v>215.14108862707801</v>
      </c>
      <c r="P234" s="3535">
        <v>160.97121774746842</v>
      </c>
      <c r="Q234" s="1367">
        <v>402.05892896262026</v>
      </c>
    </row>
    <row r="235" spans="1:17">
      <c r="A235" s="53">
        <f t="shared" si="1"/>
        <v>2011.1</v>
      </c>
      <c r="B235" s="1318">
        <v>176.42866944146635</v>
      </c>
      <c r="C235" s="615">
        <v>166.20468277621598</v>
      </c>
      <c r="D235" s="1192">
        <v>169.41256554584209</v>
      </c>
      <c r="E235" s="3535">
        <v>108.29329544869688</v>
      </c>
      <c r="F235" s="615">
        <v>85.030644641247576</v>
      </c>
      <c r="G235" s="3535">
        <v>160.06470943158644</v>
      </c>
      <c r="H235" s="615">
        <v>100.95764283701929</v>
      </c>
      <c r="I235" s="3535">
        <v>213.96533660478434</v>
      </c>
      <c r="J235" s="615">
        <v>204.79563065259083</v>
      </c>
      <c r="K235" s="3535">
        <v>221.90844636646278</v>
      </c>
      <c r="L235" s="615">
        <v>213.78255013477329</v>
      </c>
      <c r="M235" s="2970">
        <v>255.36235217889586</v>
      </c>
      <c r="N235" s="1192">
        <v>155.88855024059762</v>
      </c>
      <c r="O235" s="3535">
        <v>203.6064266704806</v>
      </c>
      <c r="P235" s="3535">
        <v>161.11771169510715</v>
      </c>
      <c r="Q235" s="1367">
        <v>426.40956341637616</v>
      </c>
    </row>
    <row r="236" spans="1:17">
      <c r="A236" s="53">
        <f t="shared" si="1"/>
        <v>2011.11</v>
      </c>
      <c r="B236" s="1318">
        <v>172.34352581282846</v>
      </c>
      <c r="C236" s="615">
        <v>169.45862019744513</v>
      </c>
      <c r="D236" s="1192">
        <v>161.29892946170037</v>
      </c>
      <c r="E236" s="3535">
        <v>109.98001266991619</v>
      </c>
      <c r="F236" s="615">
        <v>83.838399761422437</v>
      </c>
      <c r="G236" s="3535">
        <v>166.45715198174375</v>
      </c>
      <c r="H236" s="615">
        <v>97.876997055923368</v>
      </c>
      <c r="I236" s="3535">
        <v>213.25436538751495</v>
      </c>
      <c r="J236" s="615">
        <v>196.2580283860035</v>
      </c>
      <c r="K236" s="3535">
        <v>196.38536128273128</v>
      </c>
      <c r="L236" s="615">
        <v>201.02194774360626</v>
      </c>
      <c r="M236" s="2970">
        <v>270.16897220634615</v>
      </c>
      <c r="N236" s="1192">
        <v>149.94346309180543</v>
      </c>
      <c r="O236" s="3535">
        <v>198.56415524750435</v>
      </c>
      <c r="P236" s="3535">
        <v>151.29142872734829</v>
      </c>
      <c r="Q236" s="1367">
        <v>353.75514014953097</v>
      </c>
    </row>
    <row r="237" spans="1:17">
      <c r="A237" s="53">
        <f t="shared" si="1"/>
        <v>2011.12</v>
      </c>
      <c r="B237" s="1318">
        <v>164.56656413650796</v>
      </c>
      <c r="C237" s="615">
        <v>171.09508629114097</v>
      </c>
      <c r="D237" s="1192">
        <v>171.05297074405809</v>
      </c>
      <c r="E237" s="3535">
        <v>128.1420864599153</v>
      </c>
      <c r="F237" s="615">
        <v>72.624348180519192</v>
      </c>
      <c r="G237" s="3535">
        <v>180.6712840136814</v>
      </c>
      <c r="H237" s="615">
        <v>110.08749947879983</v>
      </c>
      <c r="I237" s="3535">
        <v>198.4940324254226</v>
      </c>
      <c r="J237" s="615">
        <v>187.36477021592216</v>
      </c>
      <c r="K237" s="3535">
        <v>185.91664127173985</v>
      </c>
      <c r="L237" s="615">
        <v>190.25636460556765</v>
      </c>
      <c r="M237" s="2970">
        <v>184.61681843155398</v>
      </c>
      <c r="N237" s="1192">
        <v>161.55797096906193</v>
      </c>
      <c r="O237" s="3535">
        <v>163.84638053244248</v>
      </c>
      <c r="P237" s="3535">
        <v>143.65244480651492</v>
      </c>
      <c r="Q237" s="1367">
        <v>316.894334887752</v>
      </c>
    </row>
    <row r="238" spans="1:17">
      <c r="A238" s="53">
        <f t="shared" si="1"/>
        <v>2012.01</v>
      </c>
      <c r="B238" s="1318">
        <v>144.19165349097804</v>
      </c>
      <c r="C238" s="615">
        <v>167.66117184957719</v>
      </c>
      <c r="D238" s="1192">
        <v>156.16883115781661</v>
      </c>
      <c r="E238" s="3535">
        <v>113.65534527064092</v>
      </c>
      <c r="F238" s="615">
        <v>71.746106750790474</v>
      </c>
      <c r="G238" s="3535">
        <v>162.83776742071575</v>
      </c>
      <c r="H238" s="615">
        <v>105.39932053810395</v>
      </c>
      <c r="I238" s="3535">
        <v>197.460571339431</v>
      </c>
      <c r="J238" s="615">
        <v>174.99246620692938</v>
      </c>
      <c r="K238" s="3535">
        <v>169.77094341311852</v>
      </c>
      <c r="L238" s="615">
        <v>123.72951763403161</v>
      </c>
      <c r="M238" s="2970">
        <v>142.2114671176943</v>
      </c>
      <c r="N238" s="1192">
        <v>146.761764730099</v>
      </c>
      <c r="O238" s="3535">
        <v>110.11352327780357</v>
      </c>
      <c r="P238" s="3535">
        <v>149.99655452493576</v>
      </c>
      <c r="Q238" s="1367">
        <v>267.9620431931308</v>
      </c>
    </row>
    <row r="239" spans="1:17">
      <c r="A239" s="53">
        <f t="shared" si="1"/>
        <v>2012.02</v>
      </c>
      <c r="B239" s="1318">
        <v>146.54386877852502</v>
      </c>
      <c r="C239" s="615">
        <v>164.9821913926026</v>
      </c>
      <c r="D239" s="1192">
        <v>145.64525445893923</v>
      </c>
      <c r="E239" s="3535">
        <v>111.1199355490896</v>
      </c>
      <c r="F239" s="615">
        <v>86.653144232683317</v>
      </c>
      <c r="G239" s="3535">
        <v>158.01006055616637</v>
      </c>
      <c r="H239" s="615">
        <v>97.71746365685307</v>
      </c>
      <c r="I239" s="3535">
        <v>178.98421579386104</v>
      </c>
      <c r="J239" s="615">
        <v>161.81826668877071</v>
      </c>
      <c r="K239" s="3535">
        <v>188.12425183707867</v>
      </c>
      <c r="L239" s="615">
        <v>153.77706001509381</v>
      </c>
      <c r="M239" s="2970">
        <v>184.5324491821188</v>
      </c>
      <c r="N239" s="1192">
        <v>138.00574991948528</v>
      </c>
      <c r="O239" s="3535">
        <v>148.73962947669446</v>
      </c>
      <c r="P239" s="3535">
        <v>142.71938883707756</v>
      </c>
      <c r="Q239" s="1367">
        <v>272.40781084472513</v>
      </c>
    </row>
    <row r="240" spans="1:17">
      <c r="A240" s="53">
        <f t="shared" si="1"/>
        <v>2012.03</v>
      </c>
      <c r="B240" s="1318">
        <v>178.43059040998529</v>
      </c>
      <c r="C240" s="615">
        <v>164.59700108814101</v>
      </c>
      <c r="D240" s="1192">
        <v>167.56655123519209</v>
      </c>
      <c r="E240" s="3535">
        <v>120.8282225802257</v>
      </c>
      <c r="F240" s="615">
        <v>102.13625457159038</v>
      </c>
      <c r="G240" s="3535">
        <v>163.22254822623574</v>
      </c>
      <c r="H240" s="615">
        <v>107.38225943090576</v>
      </c>
      <c r="I240" s="3535">
        <v>211.86519323640914</v>
      </c>
      <c r="J240" s="615">
        <v>192.01972338208438</v>
      </c>
      <c r="K240" s="3535">
        <v>209.94280747653826</v>
      </c>
      <c r="L240" s="615">
        <v>230.2278825739854</v>
      </c>
      <c r="M240" s="2970">
        <v>233.26563470443966</v>
      </c>
      <c r="N240" s="1192">
        <v>157.22464317466313</v>
      </c>
      <c r="O240" s="3535">
        <v>210.98375274095599</v>
      </c>
      <c r="P240" s="3535">
        <v>164.40128905864498</v>
      </c>
      <c r="Q240" s="1367">
        <v>371.08477677208111</v>
      </c>
    </row>
    <row r="241" spans="1:17">
      <c r="A241" s="53">
        <f t="shared" si="1"/>
        <v>2012.04</v>
      </c>
      <c r="B241" s="1318">
        <v>159.0460443551147</v>
      </c>
      <c r="C241" s="615">
        <v>161.68133471185476</v>
      </c>
      <c r="D241" s="1192">
        <v>151.14514241251089</v>
      </c>
      <c r="E241" s="3535">
        <v>101.90770581505551</v>
      </c>
      <c r="F241" s="615">
        <v>102.24148193256518</v>
      </c>
      <c r="G241" s="3535">
        <v>152.93174792955716</v>
      </c>
      <c r="H241" s="615">
        <v>102.52966781236795</v>
      </c>
      <c r="I241" s="3535">
        <v>191.09625578235588</v>
      </c>
      <c r="J241" s="615">
        <v>159.27902665400381</v>
      </c>
      <c r="K241" s="3535">
        <v>204.48364204276359</v>
      </c>
      <c r="L241" s="615">
        <v>199.94365041136081</v>
      </c>
      <c r="M241" s="2970">
        <v>190.02616160785075</v>
      </c>
      <c r="N241" s="1192">
        <v>140.25025042383686</v>
      </c>
      <c r="O241" s="3535">
        <v>175.90808975931398</v>
      </c>
      <c r="P241" s="3535">
        <v>151.63234449965015</v>
      </c>
      <c r="Q241" s="1367">
        <v>338.45329944043164</v>
      </c>
    </row>
    <row r="242" spans="1:17">
      <c r="A242" s="53">
        <f t="shared" si="1"/>
        <v>2012.05</v>
      </c>
      <c r="B242" s="1318">
        <v>169.28951779123608</v>
      </c>
      <c r="C242" s="615">
        <v>162.52252948576802</v>
      </c>
      <c r="D242" s="1192">
        <v>159.95938613115132</v>
      </c>
      <c r="E242" s="3535">
        <v>109.63262436063634</v>
      </c>
      <c r="F242" s="615">
        <v>104.60100235693632</v>
      </c>
      <c r="G242" s="3535">
        <v>157.08513438101588</v>
      </c>
      <c r="H242" s="615">
        <v>106.60894433441331</v>
      </c>
      <c r="I242" s="3535">
        <v>200.57417674297253</v>
      </c>
      <c r="J242" s="615">
        <v>169.67585133091549</v>
      </c>
      <c r="K242" s="3535">
        <v>200.34376974179918</v>
      </c>
      <c r="L242" s="615">
        <v>219.58382396908408</v>
      </c>
      <c r="M242" s="2970">
        <v>212.67093174450054</v>
      </c>
      <c r="N242" s="1192">
        <v>148.82345640937888</v>
      </c>
      <c r="O242" s="3535">
        <v>190.3855180776325</v>
      </c>
      <c r="P242" s="3535">
        <v>157.4107454271842</v>
      </c>
      <c r="Q242" s="1367">
        <v>401.85742808684427</v>
      </c>
    </row>
    <row r="243" spans="1:17">
      <c r="A243" s="53">
        <f t="shared" si="1"/>
        <v>2012.06</v>
      </c>
      <c r="B243" s="1318">
        <v>165.43305441733611</v>
      </c>
      <c r="C243" s="615">
        <v>163.29068636247825</v>
      </c>
      <c r="D243" s="1192">
        <v>166.87070645063429</v>
      </c>
      <c r="E243" s="3535">
        <v>106.75044455508012</v>
      </c>
      <c r="F243" s="615">
        <v>101.492642835472</v>
      </c>
      <c r="G243" s="3535">
        <v>152.94591342682824</v>
      </c>
      <c r="H243" s="615">
        <v>106.37780250739539</v>
      </c>
      <c r="I243" s="3535">
        <v>183.02491390057224</v>
      </c>
      <c r="J243" s="615">
        <v>179.51108939158115</v>
      </c>
      <c r="K243" s="3535">
        <v>200.30401155244468</v>
      </c>
      <c r="L243" s="615">
        <v>214.84060906483566</v>
      </c>
      <c r="M243" s="2970">
        <v>183.27510193024631</v>
      </c>
      <c r="N243" s="1192">
        <v>153.56774421403586</v>
      </c>
      <c r="O243" s="3535">
        <v>178.93094836443126</v>
      </c>
      <c r="P243" s="3535">
        <v>152.80678089194632</v>
      </c>
      <c r="Q243" s="1367">
        <v>376.07140303923512</v>
      </c>
    </row>
    <row r="244" spans="1:17">
      <c r="A244" s="53">
        <f t="shared" si="1"/>
        <v>2012.07</v>
      </c>
      <c r="B244" s="1318">
        <v>173.28511066841304</v>
      </c>
      <c r="C244" s="615">
        <v>167.04759383102106</v>
      </c>
      <c r="D244" s="1192">
        <v>173.56167488097856</v>
      </c>
      <c r="E244" s="3535">
        <v>98.548943030674593</v>
      </c>
      <c r="F244" s="615">
        <v>93.845705491813504</v>
      </c>
      <c r="G244" s="3535">
        <v>154.75725540106663</v>
      </c>
      <c r="H244" s="615">
        <v>113.95929360473302</v>
      </c>
      <c r="I244" s="3535">
        <v>199.03916499358914</v>
      </c>
      <c r="J244" s="615">
        <v>179.65146776412274</v>
      </c>
      <c r="K244" s="3535">
        <v>170.51600249348633</v>
      </c>
      <c r="L244" s="615">
        <v>225.8422902511858</v>
      </c>
      <c r="M244" s="2970">
        <v>232.08638062590254</v>
      </c>
      <c r="N244" s="1192">
        <v>156.96341819336971</v>
      </c>
      <c r="O244" s="3535">
        <v>200.70179184451064</v>
      </c>
      <c r="P244" s="3535">
        <v>154.96668395022743</v>
      </c>
      <c r="Q244" s="1367">
        <v>416.06739141499497</v>
      </c>
    </row>
    <row r="245" spans="1:17">
      <c r="A245" s="53">
        <f t="shared" si="1"/>
        <v>2012.08</v>
      </c>
      <c r="B245" s="1318">
        <v>178.01432332779106</v>
      </c>
      <c r="C245" s="615">
        <v>165.05441199574486</v>
      </c>
      <c r="D245" s="1192">
        <v>175.67422276817061</v>
      </c>
      <c r="E245" s="3535">
        <v>111.21682351802163</v>
      </c>
      <c r="F245" s="615">
        <v>87.271156038070075</v>
      </c>
      <c r="G245" s="3535">
        <v>151.71772393231635</v>
      </c>
      <c r="H245" s="615">
        <v>113.95799450626849</v>
      </c>
      <c r="I245" s="3535">
        <v>200.93585516709911</v>
      </c>
      <c r="J245" s="615">
        <v>175.92425267594805</v>
      </c>
      <c r="K245" s="3535">
        <v>174.32754185320624</v>
      </c>
      <c r="L245" s="615">
        <v>220.66974967277847</v>
      </c>
      <c r="M245" s="2970">
        <v>278.29113055710383</v>
      </c>
      <c r="N245" s="1192">
        <v>161.41157119183927</v>
      </c>
      <c r="O245" s="3535">
        <v>211.47322559713766</v>
      </c>
      <c r="P245" s="3535">
        <v>155.66936693204292</v>
      </c>
      <c r="Q245" s="1367">
        <v>441.26674489820033</v>
      </c>
    </row>
    <row r="246" spans="1:17">
      <c r="A246" s="53">
        <f t="shared" si="1"/>
        <v>2012.09</v>
      </c>
      <c r="B246" s="1318">
        <v>168.37633181342574</v>
      </c>
      <c r="C246" s="615">
        <v>160.4419880270992</v>
      </c>
      <c r="D246" s="1192">
        <v>179.50935775544511</v>
      </c>
      <c r="E246" s="3535">
        <v>100.14197857693117</v>
      </c>
      <c r="F246" s="615">
        <v>87.421269194966627</v>
      </c>
      <c r="G246" s="3535">
        <v>151.09933471028367</v>
      </c>
      <c r="H246" s="615">
        <v>114.71340836737566</v>
      </c>
      <c r="I246" s="3535">
        <v>196.47975042525002</v>
      </c>
      <c r="J246" s="615">
        <v>178.77435385227366</v>
      </c>
      <c r="K246" s="3535">
        <v>178.72700816398043</v>
      </c>
      <c r="L246" s="615">
        <v>181.41415345483748</v>
      </c>
      <c r="M246" s="2970">
        <v>241.15913356656836</v>
      </c>
      <c r="N246" s="1192">
        <v>161.94753725200451</v>
      </c>
      <c r="O246" s="3535">
        <v>171.72052561584175</v>
      </c>
      <c r="P246" s="3535">
        <v>154.65182008909446</v>
      </c>
      <c r="Q246" s="1367">
        <v>411.23070811810447</v>
      </c>
    </row>
    <row r="247" spans="1:17">
      <c r="A247" s="53">
        <f t="shared" si="1"/>
        <v>2012.1</v>
      </c>
      <c r="B247" s="1318">
        <v>178.07928651352461</v>
      </c>
      <c r="C247" s="615">
        <v>163.09495958306928</v>
      </c>
      <c r="D247" s="1192">
        <v>173.69460516503463</v>
      </c>
      <c r="E247" s="3535">
        <v>112.20630337430994</v>
      </c>
      <c r="F247" s="615">
        <v>82.217961192165717</v>
      </c>
      <c r="G247" s="3535">
        <v>156.26871906468148</v>
      </c>
      <c r="H247" s="615">
        <v>114.92192189040709</v>
      </c>
      <c r="I247" s="3535">
        <v>210.24286346482847</v>
      </c>
      <c r="J247" s="615">
        <v>196.11839258279855</v>
      </c>
      <c r="K247" s="3535">
        <v>188.63434898049326</v>
      </c>
      <c r="L247" s="615">
        <v>208.46792461548415</v>
      </c>
      <c r="M247" s="2970">
        <v>278.39952059877504</v>
      </c>
      <c r="N247" s="1192">
        <v>160.08893328463543</v>
      </c>
      <c r="O247" s="3535">
        <v>201.1189217661973</v>
      </c>
      <c r="P247" s="3535">
        <v>160.95766626845682</v>
      </c>
      <c r="Q247" s="1367">
        <v>449.93164817819735</v>
      </c>
    </row>
    <row r="248" spans="1:17">
      <c r="A248" s="53">
        <f t="shared" si="1"/>
        <v>2012.11</v>
      </c>
      <c r="B248" s="1318">
        <v>166.68502294071868</v>
      </c>
      <c r="C248" s="615">
        <v>163.41116415974136</v>
      </c>
      <c r="D248" s="1192">
        <v>158.89851426775866</v>
      </c>
      <c r="E248" s="3535">
        <v>113.48707873287059</v>
      </c>
      <c r="F248" s="615">
        <v>81.3058513721232</v>
      </c>
      <c r="G248" s="3535">
        <v>158.05320419842363</v>
      </c>
      <c r="H248" s="615">
        <v>105.15074406254401</v>
      </c>
      <c r="I248" s="3535">
        <v>200.08295407881974</v>
      </c>
      <c r="J248" s="615">
        <v>191.49846781433732</v>
      </c>
      <c r="K248" s="3535">
        <v>181.21663996282646</v>
      </c>
      <c r="L248" s="615">
        <v>180.2293350824439</v>
      </c>
      <c r="M248" s="2970">
        <v>273.04327801028279</v>
      </c>
      <c r="N248" s="1192">
        <v>148.85021120015318</v>
      </c>
      <c r="O248" s="3535">
        <v>185.92562721018697</v>
      </c>
      <c r="P248" s="3535">
        <v>154.24081912132047</v>
      </c>
      <c r="Q248" s="1367">
        <v>394.27230103320505</v>
      </c>
    </row>
    <row r="249" spans="1:17">
      <c r="A249" s="53">
        <f t="shared" si="1"/>
        <v>2012.12</v>
      </c>
      <c r="B249" s="1318">
        <v>154.48666089412578</v>
      </c>
      <c r="C249" s="615">
        <v>164.03543524508788</v>
      </c>
      <c r="D249" s="1192">
        <v>166.01209083606713</v>
      </c>
      <c r="E249" s="3535">
        <v>121.0826523962065</v>
      </c>
      <c r="F249" s="615">
        <v>70.773082322550735</v>
      </c>
      <c r="G249" s="3535">
        <v>166.21548162424202</v>
      </c>
      <c r="H249" s="615">
        <v>113.39568091280461</v>
      </c>
      <c r="I249" s="3535">
        <v>187.4378343537131</v>
      </c>
      <c r="J249" s="615">
        <v>164.15293578534281</v>
      </c>
      <c r="K249" s="3535">
        <v>164.62188959875235</v>
      </c>
      <c r="L249" s="615">
        <v>142.4661575037685</v>
      </c>
      <c r="M249" s="2970">
        <v>212.1476120794884</v>
      </c>
      <c r="N249" s="1192">
        <v>156.07044048338895</v>
      </c>
      <c r="O249" s="3535">
        <v>143.1818267351037</v>
      </c>
      <c r="P249" s="3535">
        <v>146.94816457760118</v>
      </c>
      <c r="Q249" s="1367">
        <v>327.69214061719146</v>
      </c>
    </row>
    <row r="250" spans="1:17">
      <c r="A250" s="53">
        <f t="shared" si="1"/>
        <v>2013.01</v>
      </c>
      <c r="B250" s="1318">
        <v>139.19084977579405</v>
      </c>
      <c r="C250" s="615">
        <v>160.47632498403382</v>
      </c>
      <c r="D250" s="1192">
        <v>157.96978970332381</v>
      </c>
      <c r="E250" s="3535">
        <v>110.13954934236183</v>
      </c>
      <c r="F250" s="615">
        <v>65.735295677154497</v>
      </c>
      <c r="G250" s="3535">
        <v>153.93588187009573</v>
      </c>
      <c r="H250" s="615">
        <v>108.44157616565712</v>
      </c>
      <c r="I250" s="3535">
        <v>201.2162881368497</v>
      </c>
      <c r="J250" s="615">
        <v>179.8000486788786</v>
      </c>
      <c r="K250" s="3535">
        <v>162.15783134105763</v>
      </c>
      <c r="L250" s="615">
        <v>86.904813682944265</v>
      </c>
      <c r="M250" s="2970">
        <v>148.60577321456469</v>
      </c>
      <c r="N250" s="1192">
        <v>147.38627158101912</v>
      </c>
      <c r="O250" s="3535">
        <v>91.557057355042062</v>
      </c>
      <c r="P250" s="3535">
        <v>150.24596311277429</v>
      </c>
      <c r="Q250" s="1367">
        <v>223.23467362291578</v>
      </c>
    </row>
    <row r="251" spans="1:17">
      <c r="A251" s="53">
        <f t="shared" si="1"/>
        <v>2013.02</v>
      </c>
      <c r="B251" s="1318">
        <v>137.92787875732463</v>
      </c>
      <c r="C251" s="615">
        <v>161.81141250791455</v>
      </c>
      <c r="D251" s="1192">
        <v>138.91591454330435</v>
      </c>
      <c r="E251" s="3535">
        <v>102.40886686412787</v>
      </c>
      <c r="F251" s="615">
        <v>81.317635914742525</v>
      </c>
      <c r="G251" s="3535">
        <v>150.26780677969199</v>
      </c>
      <c r="H251" s="615">
        <v>98.350307000986064</v>
      </c>
      <c r="I251" s="3535">
        <v>171.37856489994897</v>
      </c>
      <c r="J251" s="615">
        <v>160.87097698329535</v>
      </c>
      <c r="K251" s="3535">
        <v>155.40769532751926</v>
      </c>
      <c r="L251" s="615">
        <v>130.23903234930881</v>
      </c>
      <c r="M251" s="2970">
        <v>186.46688953691631</v>
      </c>
      <c r="N251" s="1192">
        <v>130.83790787245024</v>
      </c>
      <c r="O251" s="3535">
        <v>125.10045481400294</v>
      </c>
      <c r="P251" s="3535">
        <v>136.401178807669</v>
      </c>
      <c r="Q251" s="1367">
        <v>319.07921112629572</v>
      </c>
    </row>
    <row r="252" spans="1:17">
      <c r="A252" s="53">
        <f t="shared" si="1"/>
        <v>2013.03</v>
      </c>
      <c r="B252" s="1318">
        <v>173.81136206335773</v>
      </c>
      <c r="C252" s="615">
        <v>164.772780840579</v>
      </c>
      <c r="D252" s="1192">
        <v>150.84512690863946</v>
      </c>
      <c r="E252" s="3535">
        <v>115.45441228725817</v>
      </c>
      <c r="F252" s="615">
        <v>98.646554349648369</v>
      </c>
      <c r="G252" s="3535">
        <v>157.90720062629939</v>
      </c>
      <c r="H252" s="615">
        <v>114.64862645443019</v>
      </c>
      <c r="I252" s="3535">
        <v>221.49405239836682</v>
      </c>
      <c r="J252" s="615">
        <v>184.22148988943627</v>
      </c>
      <c r="K252" s="3535">
        <v>208.23386678644977</v>
      </c>
      <c r="L252" s="615">
        <v>195.1284438499269</v>
      </c>
      <c r="M252" s="2970">
        <v>277.66047078174125</v>
      </c>
      <c r="N252" s="1192">
        <v>143.01413407377154</v>
      </c>
      <c r="O252" s="3535">
        <v>194.40710496343999</v>
      </c>
      <c r="P252" s="3535">
        <v>167.83539971284546</v>
      </c>
      <c r="Q252" s="1367">
        <v>425.32189731354629</v>
      </c>
    </row>
    <row r="253" spans="1:17">
      <c r="A253" s="53">
        <f t="shared" si="1"/>
        <v>2013.04</v>
      </c>
      <c r="B253" s="1318">
        <v>169.64338672069911</v>
      </c>
      <c r="C253" s="615">
        <v>167.39094869720279</v>
      </c>
      <c r="D253" s="1192">
        <v>158.97658758655959</v>
      </c>
      <c r="E253" s="3535">
        <v>102.4389797411423</v>
      </c>
      <c r="F253" s="615">
        <v>98.616430115543992</v>
      </c>
      <c r="G253" s="3535">
        <v>148.70781019058384</v>
      </c>
      <c r="H253" s="615">
        <v>96.292440836737555</v>
      </c>
      <c r="I253" s="3535">
        <v>202.42460493440041</v>
      </c>
      <c r="J253" s="615">
        <v>192.06409650812697</v>
      </c>
      <c r="K253" s="3535">
        <v>196.41318582853032</v>
      </c>
      <c r="L253" s="615">
        <v>205.12374277501232</v>
      </c>
      <c r="M253" s="2970">
        <v>265.01225396056367</v>
      </c>
      <c r="N253" s="1192">
        <v>146.46636826280093</v>
      </c>
      <c r="O253" s="3535">
        <v>195.33292375901974</v>
      </c>
      <c r="P253" s="3535">
        <v>155.1470879555375</v>
      </c>
      <c r="Q253" s="1367">
        <v>436.00150514909916</v>
      </c>
    </row>
    <row r="254" spans="1:17">
      <c r="A254" s="53">
        <f t="shared" ref="A254:A319" si="2">A242+1</f>
        <v>2013.05</v>
      </c>
      <c r="B254" s="1318">
        <v>177.20850456421465</v>
      </c>
      <c r="C254" s="615">
        <v>169.42752892834423</v>
      </c>
      <c r="D254" s="1192">
        <v>167.83618351284287</v>
      </c>
      <c r="E254" s="3535">
        <v>102.21950791756646</v>
      </c>
      <c r="F254" s="615">
        <v>104.7618733841912</v>
      </c>
      <c r="G254" s="3535">
        <v>153.71670454523604</v>
      </c>
      <c r="H254" s="615">
        <v>101.20239237920832</v>
      </c>
      <c r="I254" s="3535">
        <v>217.22422119404851</v>
      </c>
      <c r="J254" s="615">
        <v>198.31914145397695</v>
      </c>
      <c r="K254" s="3535">
        <v>205.49227000765887</v>
      </c>
      <c r="L254" s="615">
        <v>206.1739684638394</v>
      </c>
      <c r="M254" s="2970">
        <v>279.98809923794249</v>
      </c>
      <c r="N254" s="1192">
        <v>153.31701593084603</v>
      </c>
      <c r="O254" s="3535">
        <v>199.2981327640278</v>
      </c>
      <c r="P254" s="3535">
        <v>164.10241603624161</v>
      </c>
      <c r="Q254" s="1367">
        <v>454.97336160748722</v>
      </c>
    </row>
    <row r="255" spans="1:17">
      <c r="A255" s="53">
        <f t="shared" si="2"/>
        <v>2013.06</v>
      </c>
      <c r="B255" s="1318">
        <v>162.14619661510005</v>
      </c>
      <c r="C255" s="615">
        <v>163.38615510131251</v>
      </c>
      <c r="D255" s="1192">
        <v>166.36302287099733</v>
      </c>
      <c r="E255" s="3535">
        <v>99.064048477828493</v>
      </c>
      <c r="F255" s="615">
        <v>95.505915375430931</v>
      </c>
      <c r="G255" s="3535">
        <v>153.22900978642244</v>
      </c>
      <c r="H255" s="615">
        <v>106.15101400197209</v>
      </c>
      <c r="I255" s="3535">
        <v>176.79111528431741</v>
      </c>
      <c r="J255" s="615">
        <v>186.7302196038147</v>
      </c>
      <c r="K255" s="3535">
        <v>186.39997431415452</v>
      </c>
      <c r="L255" s="615">
        <v>188.7381625234911</v>
      </c>
      <c r="M255" s="2970">
        <v>223.61104607137199</v>
      </c>
      <c r="N255" s="1192">
        <v>151.4716087838552</v>
      </c>
      <c r="O255" s="3535">
        <v>172.29815875747812</v>
      </c>
      <c r="P255" s="3535">
        <v>148.62867464383035</v>
      </c>
      <c r="Q255" s="1367">
        <v>397.15420637380066</v>
      </c>
    </row>
    <row r="256" spans="1:17">
      <c r="A256" s="53">
        <f t="shared" si="2"/>
        <v>2013.07</v>
      </c>
      <c r="B256" s="1318">
        <v>172.23333290773476</v>
      </c>
      <c r="C256" s="615">
        <v>164.41363844819415</v>
      </c>
      <c r="D256" s="1192">
        <v>180.94618832028954</v>
      </c>
      <c r="E256" s="3535">
        <v>102.11090634426951</v>
      </c>
      <c r="F256" s="615">
        <v>93.673788252556037</v>
      </c>
      <c r="G256" s="3535">
        <v>156.53156381407723</v>
      </c>
      <c r="H256" s="615">
        <v>109.57701214255526</v>
      </c>
      <c r="I256" s="3535">
        <v>187.53377723715036</v>
      </c>
      <c r="J256" s="615">
        <v>197.40781582283384</v>
      </c>
      <c r="K256" s="3535">
        <v>197.08287849348505</v>
      </c>
      <c r="L256" s="615">
        <v>199.61213992789612</v>
      </c>
      <c r="M256" s="2970">
        <v>252.53718355284946</v>
      </c>
      <c r="N256" s="1192">
        <v>163.50210630912756</v>
      </c>
      <c r="O256" s="3535">
        <v>188.15050164847082</v>
      </c>
      <c r="P256" s="3535">
        <v>153.64145872812043</v>
      </c>
      <c r="Q256" s="1367">
        <v>422.99684218256391</v>
      </c>
    </row>
    <row r="257" spans="1:17">
      <c r="A257" s="53">
        <f t="shared" si="2"/>
        <v>2013.08</v>
      </c>
      <c r="B257" s="1318">
        <v>178.40888060721144</v>
      </c>
      <c r="C257" s="615">
        <v>167.7850468694044</v>
      </c>
      <c r="D257" s="1192">
        <v>180.56235303030729</v>
      </c>
      <c r="E257" s="3535">
        <v>109.64654491817436</v>
      </c>
      <c r="F257" s="615">
        <v>90.283906008098782</v>
      </c>
      <c r="G257" s="3535">
        <v>153.28829415148658</v>
      </c>
      <c r="H257" s="615">
        <v>112.6913689815467</v>
      </c>
      <c r="I257" s="3535">
        <v>207.34629336393391</v>
      </c>
      <c r="J257" s="615">
        <v>207.71125207724785</v>
      </c>
      <c r="K257" s="3535">
        <v>205.51432896431993</v>
      </c>
      <c r="L257" s="615">
        <v>210.51616089581552</v>
      </c>
      <c r="M257" s="2970">
        <v>248.70068707406949</v>
      </c>
      <c r="N257" s="1192">
        <v>164.87063300865307</v>
      </c>
      <c r="O257" s="3535">
        <v>192.07039723297549</v>
      </c>
      <c r="P257" s="3535">
        <v>163.25163163497356</v>
      </c>
      <c r="Q257" s="1367">
        <v>441.78653720153579</v>
      </c>
    </row>
    <row r="258" spans="1:17">
      <c r="A258" s="53">
        <f t="shared" si="2"/>
        <v>2013.09</v>
      </c>
      <c r="B258" s="1318">
        <v>178.39294807848603</v>
      </c>
      <c r="C258" s="615">
        <v>168.01535556458293</v>
      </c>
      <c r="D258" s="1192">
        <v>183.70202527045629</v>
      </c>
      <c r="E258" s="3535">
        <v>98.535006209246106</v>
      </c>
      <c r="F258" s="615">
        <v>90.694705722154168</v>
      </c>
      <c r="G258" s="3535">
        <v>152.77022550385291</v>
      </c>
      <c r="H258" s="615">
        <v>113.25152294689393</v>
      </c>
      <c r="I258" s="3535">
        <v>205.57697410055226</v>
      </c>
      <c r="J258" s="615">
        <v>206.05334452620204</v>
      </c>
      <c r="K258" s="3535">
        <v>200.45736177497531</v>
      </c>
      <c r="L258" s="615">
        <v>211.50804234933307</v>
      </c>
      <c r="M258" s="2970">
        <v>253.44559711489563</v>
      </c>
      <c r="N258" s="1192">
        <v>164.85690379804439</v>
      </c>
      <c r="O258" s="3535">
        <v>195.6107129110284</v>
      </c>
      <c r="P258" s="3535">
        <v>161.99908592835877</v>
      </c>
      <c r="Q258" s="1367">
        <v>435.46477839452939</v>
      </c>
    </row>
    <row r="259" spans="1:17">
      <c r="A259" s="53">
        <f t="shared" si="2"/>
        <v>2013.1</v>
      </c>
      <c r="B259" s="1318">
        <v>183.1427956473978</v>
      </c>
      <c r="C259" s="615">
        <v>167.6773508541246</v>
      </c>
      <c r="D259" s="1192">
        <v>181.60629768407665</v>
      </c>
      <c r="E259" s="3535">
        <v>112.1484711392811</v>
      </c>
      <c r="F259" s="615">
        <v>87.971202796620958</v>
      </c>
      <c r="G259" s="3535">
        <v>155.93141317946026</v>
      </c>
      <c r="H259" s="615">
        <v>111.33117916607974</v>
      </c>
      <c r="I259" s="3535">
        <v>214.70062530187175</v>
      </c>
      <c r="J259" s="615">
        <v>222.12210791788954</v>
      </c>
      <c r="K259" s="3535">
        <v>210.90620655493132</v>
      </c>
      <c r="L259" s="615">
        <v>220.06888134708112</v>
      </c>
      <c r="M259" s="2970">
        <v>266.42486352426539</v>
      </c>
      <c r="N259" s="1192">
        <v>166.23718892725091</v>
      </c>
      <c r="O259" s="3535">
        <v>204.87517472293672</v>
      </c>
      <c r="P259" s="3535">
        <v>166.15754118527337</v>
      </c>
      <c r="Q259" s="1367">
        <v>451.23616162653497</v>
      </c>
    </row>
    <row r="260" spans="1:17">
      <c r="A260" s="53">
        <f t="shared" si="2"/>
        <v>2013.11</v>
      </c>
      <c r="B260" s="1318">
        <v>162.11083418861847</v>
      </c>
      <c r="C260" s="615">
        <v>162.90942251329673</v>
      </c>
      <c r="D260" s="1192">
        <v>160.21306719874642</v>
      </c>
      <c r="E260" s="3535">
        <v>108.0552731649252</v>
      </c>
      <c r="F260" s="615">
        <v>87.476871721410831</v>
      </c>
      <c r="G260" s="3535">
        <v>157.77836530714833</v>
      </c>
      <c r="H260" s="615">
        <v>108.05876006479784</v>
      </c>
      <c r="I260" s="3535">
        <v>214.11792126092553</v>
      </c>
      <c r="J260" s="615">
        <v>201.9587969770887</v>
      </c>
      <c r="K260" s="3535">
        <v>207.24857471019504</v>
      </c>
      <c r="L260" s="615">
        <v>152.89372371107135</v>
      </c>
      <c r="M260" s="2970">
        <v>221.13260035878136</v>
      </c>
      <c r="N260" s="1192">
        <v>148.67198034217847</v>
      </c>
      <c r="O260" s="3535">
        <v>146.15261382748525</v>
      </c>
      <c r="P260" s="3535">
        <v>163.45134969128222</v>
      </c>
      <c r="Q260" s="1367">
        <v>385.55053637471781</v>
      </c>
    </row>
    <row r="261" spans="1:17">
      <c r="A261" s="53">
        <f t="shared" si="2"/>
        <v>2013.12</v>
      </c>
      <c r="B261" s="1318">
        <v>154.79672870157944</v>
      </c>
      <c r="C261" s="615">
        <v>162.9648220722799</v>
      </c>
      <c r="D261" s="1192">
        <v>167.90488537891949</v>
      </c>
      <c r="E261" s="3535">
        <v>126.55487723647131</v>
      </c>
      <c r="F261" s="615">
        <v>76.006395701813048</v>
      </c>
      <c r="G261" s="3535">
        <v>163.88072452074212</v>
      </c>
      <c r="H261" s="615">
        <v>112.46483534300604</v>
      </c>
      <c r="I261" s="3535">
        <v>194.87532027781671</v>
      </c>
      <c r="J261" s="615">
        <v>185.43494350510042</v>
      </c>
      <c r="K261" s="3535">
        <v>197.03493894764475</v>
      </c>
      <c r="L261" s="615">
        <v>145.00251195597949</v>
      </c>
      <c r="M261" s="2970">
        <v>161.98865586172531</v>
      </c>
      <c r="N261" s="1192">
        <v>158.75526461117127</v>
      </c>
      <c r="O261" s="3535">
        <v>122.4194638189708</v>
      </c>
      <c r="P261" s="3535">
        <v>154.23041694533651</v>
      </c>
      <c r="Q261" s="1367">
        <v>346.92444423546272</v>
      </c>
    </row>
    <row r="262" spans="1:17">
      <c r="A262" s="53">
        <f t="shared" si="2"/>
        <v>2014.01</v>
      </c>
      <c r="B262" s="1318">
        <v>141.13520505712751</v>
      </c>
      <c r="C262" s="615">
        <v>163.54887667718259</v>
      </c>
      <c r="D262" s="1192">
        <v>162.41552944435409</v>
      </c>
      <c r="E262" s="3535">
        <v>130.88667067950945</v>
      </c>
      <c r="F262" s="615">
        <v>71.676976386355861</v>
      </c>
      <c r="G262" s="3535">
        <v>154.95649221110358</v>
      </c>
      <c r="H262" s="615">
        <v>110.93636272714464</v>
      </c>
      <c r="I262" s="3535">
        <v>202.68252079185507</v>
      </c>
      <c r="J262" s="615">
        <v>185.66890144096314</v>
      </c>
      <c r="K262" s="3535">
        <v>187.76750237145819</v>
      </c>
      <c r="L262" s="615">
        <v>84.148350339337199</v>
      </c>
      <c r="M262" s="2970">
        <v>123.93534005175462</v>
      </c>
      <c r="N262" s="1192">
        <v>155.43905921139947</v>
      </c>
      <c r="O262" s="3535">
        <v>77.848691928714402</v>
      </c>
      <c r="P262" s="3535">
        <v>154.65602222269229</v>
      </c>
      <c r="Q262" s="1367">
        <v>236.12084464006608</v>
      </c>
    </row>
    <row r="263" spans="1:17">
      <c r="A263" s="53">
        <f t="shared" si="2"/>
        <v>2014.02</v>
      </c>
      <c r="B263" s="1318">
        <v>149.20600378465463</v>
      </c>
      <c r="C263" s="615">
        <v>161.39324451936801</v>
      </c>
      <c r="D263" s="1192">
        <v>141.90680384391891</v>
      </c>
      <c r="E263" s="3535">
        <v>93.027846205254178</v>
      </c>
      <c r="F263" s="615">
        <v>86.819406202109903</v>
      </c>
      <c r="G263" s="3535">
        <v>150.00187547355733</v>
      </c>
      <c r="H263" s="615">
        <v>101.45550169037895</v>
      </c>
      <c r="I263" s="3535">
        <v>192.23793133553019</v>
      </c>
      <c r="J263" s="615">
        <v>161.45420967441007</v>
      </c>
      <c r="K263" s="3535">
        <v>175.40416948846564</v>
      </c>
      <c r="L263" s="615">
        <v>170.79139655997304</v>
      </c>
      <c r="M263" s="2970">
        <v>188.80420826549076</v>
      </c>
      <c r="N263" s="1192">
        <v>131.09123340011257</v>
      </c>
      <c r="O263" s="3535">
        <v>151.54049060955955</v>
      </c>
      <c r="P263" s="3535">
        <v>146.50247887697441</v>
      </c>
      <c r="Q263" s="1367">
        <v>352.56090241047571</v>
      </c>
    </row>
    <row r="264" spans="1:17">
      <c r="A264" s="53">
        <f t="shared" si="2"/>
        <v>2014.03</v>
      </c>
      <c r="B264" s="1318">
        <v>156.77854558701952</v>
      </c>
      <c r="C264" s="615">
        <v>160.27162359824399</v>
      </c>
      <c r="D264" s="1192">
        <v>149.57968076046356</v>
      </c>
      <c r="E264" s="3535">
        <v>101.63879633019748</v>
      </c>
      <c r="F264" s="615">
        <v>101.79938432025305</v>
      </c>
      <c r="G264" s="3535">
        <v>161.99480826677785</v>
      </c>
      <c r="H264" s="615">
        <v>92.087405705028843</v>
      </c>
      <c r="I264" s="3535">
        <v>205.65965802734158</v>
      </c>
      <c r="J264" s="615">
        <v>182.5939553341056</v>
      </c>
      <c r="K264" s="3535">
        <v>209.57078318881591</v>
      </c>
      <c r="L264" s="615">
        <v>164.18096565205607</v>
      </c>
      <c r="M264" s="2970">
        <v>207.25243417994844</v>
      </c>
      <c r="N264" s="1192">
        <v>138.97168014541435</v>
      </c>
      <c r="O264" s="3535">
        <v>149.71976223668244</v>
      </c>
      <c r="P264" s="3535">
        <v>156.82124210375727</v>
      </c>
      <c r="Q264" s="1367">
        <v>381.3390323239397</v>
      </c>
    </row>
    <row r="265" spans="1:17">
      <c r="A265" s="53">
        <f t="shared" si="2"/>
        <v>2014.04</v>
      </c>
      <c r="B265" s="1318">
        <v>156.79053131695986</v>
      </c>
      <c r="C265" s="615">
        <v>156.21850162311279</v>
      </c>
      <c r="D265" s="1192">
        <v>154.19016597546039</v>
      </c>
      <c r="E265" s="3535">
        <v>119.71282387094062</v>
      </c>
      <c r="F265" s="615">
        <v>98.970326324087821</v>
      </c>
      <c r="G265" s="3535">
        <v>147.50961220658905</v>
      </c>
      <c r="H265" s="615">
        <v>102.7355402873644</v>
      </c>
      <c r="I265" s="3535">
        <v>183.36077775892505</v>
      </c>
      <c r="J265" s="615">
        <v>180.43940020082195</v>
      </c>
      <c r="K265" s="3535">
        <v>211.52336827591839</v>
      </c>
      <c r="L265" s="615">
        <v>166.42978565530115</v>
      </c>
      <c r="M265" s="2970">
        <v>209.40820602980182</v>
      </c>
      <c r="N265" s="1192">
        <v>146.56127738492972</v>
      </c>
      <c r="O265" s="3535">
        <v>149.64325253982605</v>
      </c>
      <c r="P265" s="3535">
        <v>150.55119781109258</v>
      </c>
      <c r="Q265" s="1367">
        <v>399.35243312140699</v>
      </c>
    </row>
    <row r="266" spans="1:17">
      <c r="A266" s="53">
        <f t="shared" si="2"/>
        <v>2014.05</v>
      </c>
      <c r="B266" s="1318">
        <v>163.65210006756138</v>
      </c>
      <c r="C266" s="615">
        <v>159.2986129792676</v>
      </c>
      <c r="D266" s="1192">
        <v>160.58751451676522</v>
      </c>
      <c r="E266" s="3535">
        <v>85.418472235983131</v>
      </c>
      <c r="F266" s="615">
        <v>100.12628440256917</v>
      </c>
      <c r="G266" s="3535">
        <v>148.31107409548653</v>
      </c>
      <c r="H266" s="615">
        <v>115.22772927172839</v>
      </c>
      <c r="I266" s="3535">
        <v>217.90800391557357</v>
      </c>
      <c r="J266" s="615">
        <v>183.04794166241581</v>
      </c>
      <c r="K266" s="3535">
        <v>216.02525537980216</v>
      </c>
      <c r="L266" s="615">
        <v>182.92061265423524</v>
      </c>
      <c r="M266" s="2970">
        <v>180.63297411594746</v>
      </c>
      <c r="N266" s="1192">
        <v>143.95467062530406</v>
      </c>
      <c r="O266" s="3535">
        <v>153.20984926609447</v>
      </c>
      <c r="P266" s="3535">
        <v>167.01613937231087</v>
      </c>
      <c r="Q266" s="1367">
        <v>381.34639069922076</v>
      </c>
    </row>
    <row r="267" spans="1:17">
      <c r="A267" s="53">
        <f t="shared" si="2"/>
        <v>2014.06</v>
      </c>
      <c r="B267" s="1318">
        <v>159.18825499228873</v>
      </c>
      <c r="C267" s="615">
        <v>157.90684431518739</v>
      </c>
      <c r="D267" s="1192">
        <v>167.0855394086052</v>
      </c>
      <c r="E267" s="3535">
        <v>96.1823653502626</v>
      </c>
      <c r="F267" s="615">
        <v>94.856806766941986</v>
      </c>
      <c r="G267" s="3535">
        <v>147.41847053794913</v>
      </c>
      <c r="H267" s="615">
        <v>111.34010022538388</v>
      </c>
      <c r="I267" s="3535">
        <v>192.46449838868259</v>
      </c>
      <c r="J267" s="615">
        <v>177.95601857970544</v>
      </c>
      <c r="K267" s="3535">
        <v>204.46799612132028</v>
      </c>
      <c r="L267" s="615">
        <v>172.89358967789519</v>
      </c>
      <c r="M267" s="2970">
        <v>180.00112152302529</v>
      </c>
      <c r="N267" s="1192">
        <v>151.39661495595161</v>
      </c>
      <c r="O267" s="3535">
        <v>145.66105009205708</v>
      </c>
      <c r="P267" s="3535">
        <v>155.77622366947475</v>
      </c>
      <c r="Q267" s="1367">
        <v>379.8864125932231</v>
      </c>
    </row>
    <row r="268" spans="1:17">
      <c r="A268" s="53">
        <f t="shared" si="2"/>
        <v>2014.07</v>
      </c>
      <c r="B268" s="1318">
        <v>163.69065460066139</v>
      </c>
      <c r="C268" s="615">
        <v>156.0634143329122</v>
      </c>
      <c r="D268" s="1192">
        <v>179.40812928921122</v>
      </c>
      <c r="E268" s="3535">
        <v>107.1393045510666</v>
      </c>
      <c r="F268" s="615">
        <v>92.396657600354644</v>
      </c>
      <c r="G268" s="3535">
        <v>158.52416794180729</v>
      </c>
      <c r="H268" s="615">
        <v>112.56391221298772</v>
      </c>
      <c r="I268" s="3535">
        <v>194.48216397155542</v>
      </c>
      <c r="J268" s="615">
        <v>196.90558023661887</v>
      </c>
      <c r="K268" s="3535">
        <v>203.56671215788194</v>
      </c>
      <c r="L268" s="615">
        <v>176.34045155075387</v>
      </c>
      <c r="M268" s="2970">
        <v>175.77410559691739</v>
      </c>
      <c r="N268" s="1192">
        <v>163.41702386047751</v>
      </c>
      <c r="O268" s="3535">
        <v>149.74242192246044</v>
      </c>
      <c r="P268" s="3535">
        <v>157.20464644989357</v>
      </c>
      <c r="Q268" s="1367">
        <v>358.02082683733249</v>
      </c>
    </row>
    <row r="269" spans="1:17">
      <c r="A269" s="53">
        <f t="shared" si="2"/>
        <v>2014.08</v>
      </c>
      <c r="B269" s="1318">
        <v>159.01658795417913</v>
      </c>
      <c r="C269" s="615">
        <v>152.1990526337618</v>
      </c>
      <c r="D269" s="1192">
        <v>183.72546792192102</v>
      </c>
      <c r="E269" s="3535">
        <v>100.74542502242122</v>
      </c>
      <c r="F269" s="615">
        <v>88.378606955404479</v>
      </c>
      <c r="G269" s="3535">
        <v>152.5081294477871</v>
      </c>
      <c r="H269" s="615">
        <v>108.763134624595</v>
      </c>
      <c r="I269" s="3535">
        <v>180.76416425884378</v>
      </c>
      <c r="J269" s="615">
        <v>197.2019448610364</v>
      </c>
      <c r="K269" s="3535">
        <v>201.42336806291326</v>
      </c>
      <c r="L269" s="615">
        <v>167.27189528432464</v>
      </c>
      <c r="M269" s="2970">
        <v>159.4044107250721</v>
      </c>
      <c r="N269" s="1192">
        <v>165.364264189956</v>
      </c>
      <c r="O269" s="3535">
        <v>137.67887956487644</v>
      </c>
      <c r="P269" s="3535">
        <v>151.77952182304907</v>
      </c>
      <c r="Q269" s="1367">
        <v>349.65951927306088</v>
      </c>
    </row>
    <row r="270" spans="1:17">
      <c r="A270" s="53">
        <f t="shared" si="2"/>
        <v>2014.09</v>
      </c>
      <c r="B270" s="1318">
        <v>168.23982281767903</v>
      </c>
      <c r="C270" s="615">
        <v>156.44188827154133</v>
      </c>
      <c r="D270" s="1192">
        <v>190.29916797000652</v>
      </c>
      <c r="E270" s="3535">
        <v>101.2473313969747</v>
      </c>
      <c r="F270" s="615">
        <v>88.346200802672357</v>
      </c>
      <c r="G270" s="3535">
        <v>152.49881353115276</v>
      </c>
      <c r="H270" s="615">
        <v>107.55707077053106</v>
      </c>
      <c r="I270" s="3535">
        <v>209.80011839750097</v>
      </c>
      <c r="J270" s="615">
        <v>202.83486868671667</v>
      </c>
      <c r="K270" s="3535">
        <v>196.19676500613252</v>
      </c>
      <c r="L270" s="615">
        <v>168.26578433109248</v>
      </c>
      <c r="M270" s="2970">
        <v>198.86624079026382</v>
      </c>
      <c r="N270" s="1192">
        <v>170.59444311220642</v>
      </c>
      <c r="O270" s="3535">
        <v>146.44940216967262</v>
      </c>
      <c r="P270" s="3535">
        <v>160.97121774746842</v>
      </c>
      <c r="Q270" s="1367">
        <v>402.05892896262026</v>
      </c>
    </row>
    <row r="271" spans="1:17">
      <c r="A271" s="53">
        <f t="shared" si="2"/>
        <v>2014.1</v>
      </c>
      <c r="B271" s="1318">
        <v>169.66136319342789</v>
      </c>
      <c r="C271" s="615">
        <v>155.70090688959939</v>
      </c>
      <c r="D271" s="1192">
        <v>189.17206229814144</v>
      </c>
      <c r="E271" s="3535">
        <v>114.86471854065516</v>
      </c>
      <c r="F271" s="615">
        <v>82.317477553182258</v>
      </c>
      <c r="G271" s="3535">
        <v>148.06623567576162</v>
      </c>
      <c r="H271" s="615">
        <v>113.50876747429213</v>
      </c>
      <c r="I271" s="3535">
        <v>204.37196060917134</v>
      </c>
      <c r="J271" s="615">
        <v>213.73777986841966</v>
      </c>
      <c r="K271" s="3535">
        <v>207.25042341769583</v>
      </c>
      <c r="L271" s="615">
        <v>165.44984190687202</v>
      </c>
      <c r="M271" s="2970">
        <v>212.58773844370995</v>
      </c>
      <c r="N271" s="1192">
        <v>172.72988861591276</v>
      </c>
      <c r="O271" s="3535">
        <v>146.24106102424008</v>
      </c>
      <c r="P271" s="3535">
        <v>161.11771169510715</v>
      </c>
      <c r="Q271" s="1367">
        <v>426.40956341637616</v>
      </c>
    </row>
    <row r="272" spans="1:17">
      <c r="A272" s="53">
        <f t="shared" si="2"/>
        <v>2014.11</v>
      </c>
      <c r="B272" s="1318">
        <v>154.82248927821649</v>
      </c>
      <c r="C272" s="615">
        <v>156.17197947790015</v>
      </c>
      <c r="D272" s="1192">
        <v>168.12861084639698</v>
      </c>
      <c r="E272" s="3535">
        <v>103.5983680785981</v>
      </c>
      <c r="F272" s="615">
        <v>82.724035677604093</v>
      </c>
      <c r="G272" s="3535">
        <v>157.63007229952359</v>
      </c>
      <c r="H272" s="615">
        <v>102.42774937315113</v>
      </c>
      <c r="I272" s="3535">
        <v>187.17006317903429</v>
      </c>
      <c r="J272" s="615">
        <v>194.49982230460054</v>
      </c>
      <c r="K272" s="3535">
        <v>203.29744399593164</v>
      </c>
      <c r="L272" s="615">
        <v>147.77299569417352</v>
      </c>
      <c r="M272" s="2970">
        <v>190.74373533098409</v>
      </c>
      <c r="N272" s="1192">
        <v>153.84984100088442</v>
      </c>
      <c r="O272" s="3535">
        <v>134.89424425558877</v>
      </c>
      <c r="P272" s="3535">
        <v>151.29142872734829</v>
      </c>
      <c r="Q272" s="1367">
        <v>353.75514014953097</v>
      </c>
    </row>
    <row r="273" spans="1:17">
      <c r="A273" s="53">
        <f t="shared" si="2"/>
        <v>2014.12</v>
      </c>
      <c r="B273" s="1318">
        <v>146.3154841311447</v>
      </c>
      <c r="C273" s="615">
        <v>152.48549833212712</v>
      </c>
      <c r="D273" s="1192">
        <v>172.72462531093001</v>
      </c>
      <c r="E273" s="3535">
        <v>120.68895222075989</v>
      </c>
      <c r="F273" s="615">
        <v>72.059155636162899</v>
      </c>
      <c r="G273" s="3535">
        <v>162.43792275698166</v>
      </c>
      <c r="H273" s="615">
        <v>112.69781722777856</v>
      </c>
      <c r="I273" s="3535">
        <v>163.66863905076559</v>
      </c>
      <c r="J273" s="615">
        <v>182.76726396567011</v>
      </c>
      <c r="K273" s="3535">
        <v>204.28064756478031</v>
      </c>
      <c r="L273" s="615">
        <v>128.15282735950242</v>
      </c>
      <c r="M273" s="2970">
        <v>140.90934880249679</v>
      </c>
      <c r="N273" s="1192">
        <v>161.21056046408833</v>
      </c>
      <c r="O273" s="3535">
        <v>105.80756985832896</v>
      </c>
      <c r="P273" s="3535">
        <v>143.65244480651492</v>
      </c>
      <c r="Q273" s="1367">
        <v>316.894334887752</v>
      </c>
    </row>
    <row r="274" spans="1:17">
      <c r="A274" s="53">
        <f t="shared" si="2"/>
        <v>2015.01</v>
      </c>
      <c r="B274" s="1318">
        <v>131.78592269320691</v>
      </c>
      <c r="C274" s="615">
        <v>155.11092486067091</v>
      </c>
      <c r="D274" s="1192">
        <v>159.80277752163971</v>
      </c>
      <c r="E274" s="3535">
        <v>101.75934162093176</v>
      </c>
      <c r="F274" s="615">
        <v>67.997802877494195</v>
      </c>
      <c r="G274" s="3535">
        <v>153.63740808327165</v>
      </c>
      <c r="H274" s="615">
        <v>112.69244372446823</v>
      </c>
      <c r="I274" s="3535">
        <v>170.5214869390249</v>
      </c>
      <c r="J274" s="615">
        <v>188.94239570352511</v>
      </c>
      <c r="K274" s="3535">
        <v>180.75315665189044</v>
      </c>
      <c r="L274" s="615">
        <v>91.139500734645026</v>
      </c>
      <c r="M274" s="2970">
        <v>87.27331172243268</v>
      </c>
      <c r="N274" s="1192">
        <v>146.9593598197844</v>
      </c>
      <c r="O274" s="3535">
        <v>70.737119558570924</v>
      </c>
      <c r="P274" s="3535">
        <v>144.0574591797546</v>
      </c>
      <c r="Q274" s="1367">
        <v>221.13485084291099</v>
      </c>
    </row>
    <row r="275" spans="1:17">
      <c r="A275" s="53">
        <f t="shared" si="2"/>
        <v>2015.02</v>
      </c>
      <c r="B275" s="1318">
        <v>135.049231404029</v>
      </c>
      <c r="C275" s="615">
        <v>156.15536030477782</v>
      </c>
      <c r="D275" s="1192">
        <v>145.16831810275363</v>
      </c>
      <c r="E275" s="3535">
        <v>100.55585074589877</v>
      </c>
      <c r="F275" s="615">
        <v>87.727907846360168</v>
      </c>
      <c r="G275" s="3535">
        <v>149.95788822834638</v>
      </c>
      <c r="H275" s="615">
        <v>100.67272325679677</v>
      </c>
      <c r="I275" s="3535">
        <v>167.15668835939633</v>
      </c>
      <c r="J275" s="615">
        <v>175.69988925904687</v>
      </c>
      <c r="K275" s="3535">
        <v>171.56864984076734</v>
      </c>
      <c r="L275" s="615">
        <v>115.85241832850078</v>
      </c>
      <c r="M275" s="2970">
        <v>159.5297197433764</v>
      </c>
      <c r="N275" s="1192">
        <v>135.29680474240337</v>
      </c>
      <c r="O275" s="3535">
        <v>104.39111848408815</v>
      </c>
      <c r="P275" s="3535">
        <v>137.07183310135247</v>
      </c>
      <c r="Q275" s="1367">
        <v>313.99832108536071</v>
      </c>
    </row>
    <row r="276" spans="1:17">
      <c r="A276" s="53">
        <f t="shared" si="2"/>
        <v>2015.03</v>
      </c>
      <c r="B276" s="1318">
        <v>161.56772996701301</v>
      </c>
      <c r="C276" s="615">
        <v>156.42490443418686</v>
      </c>
      <c r="D276" s="1192">
        <v>158.83770952536304</v>
      </c>
      <c r="E276" s="3535">
        <v>113.85498946204579</v>
      </c>
      <c r="F276" s="615">
        <v>104.81565216231674</v>
      </c>
      <c r="G276" s="3535">
        <v>159.15042294659202</v>
      </c>
      <c r="H276" s="615">
        <v>113.1335875757149</v>
      </c>
      <c r="I276" s="3535">
        <v>199.88660009125269</v>
      </c>
      <c r="J276" s="615">
        <v>193.0992210924133</v>
      </c>
      <c r="K276" s="3535">
        <v>193.77815225455294</v>
      </c>
      <c r="L276" s="615">
        <v>181.14611487123256</v>
      </c>
      <c r="M276" s="2970">
        <v>184.53931365934559</v>
      </c>
      <c r="N276" s="1192">
        <v>148.88426941325272</v>
      </c>
      <c r="O276" s="3535">
        <v>149.81000135487278</v>
      </c>
      <c r="P276" s="3535">
        <v>158.99147998288831</v>
      </c>
      <c r="Q276" s="1367">
        <v>406.27106929354574</v>
      </c>
    </row>
    <row r="277" spans="1:17">
      <c r="A277" s="53">
        <f t="shared" si="2"/>
        <v>2015.04</v>
      </c>
      <c r="B277" s="1318">
        <v>163.03787423956706</v>
      </c>
      <c r="C277" s="615">
        <v>161.88631884220973</v>
      </c>
      <c r="D277" s="1192">
        <v>167.9230245178799</v>
      </c>
      <c r="E277" s="3535">
        <v>101.90094297350008</v>
      </c>
      <c r="F277" s="615">
        <v>104.03236305128988</v>
      </c>
      <c r="G277" s="3535">
        <v>143.4200809599395</v>
      </c>
      <c r="H277" s="615">
        <v>110.47500105648682</v>
      </c>
      <c r="I277" s="3535">
        <v>208.09160718443849</v>
      </c>
      <c r="J277" s="615">
        <v>183.17935997717282</v>
      </c>
      <c r="K277" s="3535">
        <v>179.69006337297765</v>
      </c>
      <c r="L277" s="615">
        <v>192.00221532221758</v>
      </c>
      <c r="M277" s="2970">
        <v>166.68242840524374</v>
      </c>
      <c r="N277" s="1192">
        <v>153.31415173731307</v>
      </c>
      <c r="O277" s="3535">
        <v>157.60229372604005</v>
      </c>
      <c r="P277" s="3535">
        <v>158.76194543373933</v>
      </c>
      <c r="Q277" s="1367">
        <v>359.87701825374052</v>
      </c>
    </row>
    <row r="278" spans="1:17">
      <c r="A278" s="53">
        <f t="shared" si="2"/>
        <v>2015.05</v>
      </c>
      <c r="B278" s="1318">
        <v>159.99958735112807</v>
      </c>
      <c r="C278" s="615">
        <v>158.15886091003796</v>
      </c>
      <c r="D278" s="1192">
        <v>159.32450328996811</v>
      </c>
      <c r="E278" s="3535">
        <v>100.22160188318081</v>
      </c>
      <c r="F278" s="615">
        <v>104.64078695441845</v>
      </c>
      <c r="G278" s="3535">
        <v>148.77470705963609</v>
      </c>
      <c r="H278" s="615">
        <v>111.65710133821665</v>
      </c>
      <c r="I278" s="3535">
        <v>215.01695818594516</v>
      </c>
      <c r="J278" s="615">
        <v>161.22730412487681</v>
      </c>
      <c r="K278" s="3535">
        <v>191.06688394671781</v>
      </c>
      <c r="L278" s="615">
        <v>183.79503159449843</v>
      </c>
      <c r="M278" s="2970">
        <v>164.00303510529625</v>
      </c>
      <c r="N278" s="1192">
        <v>146.2466549789641</v>
      </c>
      <c r="O278" s="3535">
        <v>148.18327409594991</v>
      </c>
      <c r="P278" s="3535">
        <v>160.18036832280924</v>
      </c>
      <c r="Q278" s="1367">
        <v>375.10277997916467</v>
      </c>
    </row>
    <row r="279" spans="1:17">
      <c r="A279" s="53">
        <f t="shared" si="2"/>
        <v>2015.06</v>
      </c>
      <c r="B279" s="1318">
        <v>165.23308212915455</v>
      </c>
      <c r="C279" s="615">
        <v>162.00502206546676</v>
      </c>
      <c r="D279" s="1192">
        <v>179.18307783088326</v>
      </c>
      <c r="E279" s="3535">
        <v>92.795317611949585</v>
      </c>
      <c r="F279" s="615">
        <v>98.201657987446438</v>
      </c>
      <c r="G279" s="3535">
        <v>146.64635515875167</v>
      </c>
      <c r="H279" s="615">
        <v>106.17948622397519</v>
      </c>
      <c r="I279" s="3535">
        <v>213.87979477329111</v>
      </c>
      <c r="J279" s="615">
        <v>170.42558589400721</v>
      </c>
      <c r="K279" s="3535">
        <v>191.11093737961781</v>
      </c>
      <c r="L279" s="615">
        <v>179.77471933463158</v>
      </c>
      <c r="M279" s="2970">
        <v>191.63862490819614</v>
      </c>
      <c r="N279" s="1192">
        <v>160.06783987843883</v>
      </c>
      <c r="O279" s="3535">
        <v>151.51091419895423</v>
      </c>
      <c r="P279" s="3535">
        <v>158.72379722519901</v>
      </c>
      <c r="Q279" s="1367">
        <v>406.85144796186916</v>
      </c>
    </row>
    <row r="280" spans="1:17">
      <c r="A280" s="53">
        <f t="shared" si="2"/>
        <v>2015.07</v>
      </c>
      <c r="B280" s="1318">
        <v>166.65010550024732</v>
      </c>
      <c r="C280" s="615">
        <v>158.60410679798525</v>
      </c>
      <c r="D280" s="1192">
        <v>193.00906789682506</v>
      </c>
      <c r="E280" s="3535">
        <v>106.69734319950399</v>
      </c>
      <c r="F280" s="615">
        <v>93.871515726939066</v>
      </c>
      <c r="G280" s="3535">
        <v>158.68145666957912</v>
      </c>
      <c r="H280" s="615">
        <v>117.32898095506408</v>
      </c>
      <c r="I280" s="3535">
        <v>203.47226195436758</v>
      </c>
      <c r="J280" s="615">
        <v>182.14877185236202</v>
      </c>
      <c r="K280" s="3535">
        <v>184.42996729168385</v>
      </c>
      <c r="L280" s="615">
        <v>183.60887318758739</v>
      </c>
      <c r="M280" s="2970">
        <v>159.82802532983715</v>
      </c>
      <c r="N280" s="1192">
        <v>173.91065451634293</v>
      </c>
      <c r="O280" s="3535">
        <v>146.68521479109094</v>
      </c>
      <c r="P280" s="3535">
        <v>157.08536626884566</v>
      </c>
      <c r="Q280" s="1367">
        <v>373.06860789161857</v>
      </c>
    </row>
    <row r="281" spans="1:17">
      <c r="A281" s="53">
        <f t="shared" si="2"/>
        <v>2015.08</v>
      </c>
      <c r="B281" s="1318">
        <v>168.36333057166627</v>
      </c>
      <c r="C281" s="615">
        <v>160.67155781068192</v>
      </c>
      <c r="D281" s="1192">
        <v>194.79821020721849</v>
      </c>
      <c r="E281" s="3535">
        <v>100.0226937623877</v>
      </c>
      <c r="F281" s="615">
        <v>90.692122018743717</v>
      </c>
      <c r="G281" s="3535">
        <v>150.23053841395966</v>
      </c>
      <c r="H281" s="615">
        <v>111.04223821665025</v>
      </c>
      <c r="I281" s="3535">
        <v>213.50550469162175</v>
      </c>
      <c r="J281" s="615">
        <v>192.2554567214811</v>
      </c>
      <c r="K281" s="3535">
        <v>208.50364349228204</v>
      </c>
      <c r="L281" s="615">
        <v>175.47355363188871</v>
      </c>
      <c r="M281" s="2970">
        <v>170.65895492690663</v>
      </c>
      <c r="N281" s="1192">
        <v>173.82699224396259</v>
      </c>
      <c r="O281" s="3535">
        <v>145.17061234991633</v>
      </c>
      <c r="P281" s="3535">
        <v>161.76905036447417</v>
      </c>
      <c r="Q281" s="1367">
        <v>371.08276384095751</v>
      </c>
    </row>
    <row r="282" spans="1:17">
      <c r="A282" s="53">
        <f t="shared" si="2"/>
        <v>2015.09</v>
      </c>
      <c r="B282" s="1318">
        <v>171.01662745268428</v>
      </c>
      <c r="C282" s="615">
        <v>159.36645840549349</v>
      </c>
      <c r="D282" s="1192">
        <v>199.63995964374124</v>
      </c>
      <c r="E282" s="3535">
        <v>97.323794922171942</v>
      </c>
      <c r="F282" s="615">
        <v>89.306485104572502</v>
      </c>
      <c r="G282" s="3535">
        <v>152.63742193919018</v>
      </c>
      <c r="H282" s="615">
        <v>103.49716075503592</v>
      </c>
      <c r="I282" s="3535">
        <v>209.36488908175181</v>
      </c>
      <c r="J282" s="615">
        <v>211.56978574976463</v>
      </c>
      <c r="K282" s="3535">
        <v>188.94180463496974</v>
      </c>
      <c r="L282" s="615">
        <v>177.95272391483249</v>
      </c>
      <c r="M282" s="2970">
        <v>184.45959378549873</v>
      </c>
      <c r="N282" s="1192">
        <v>177.00020338570548</v>
      </c>
      <c r="O282" s="3535">
        <v>150.3396468212818</v>
      </c>
      <c r="P282" s="3535">
        <v>162.06799036071021</v>
      </c>
      <c r="Q282" s="1367">
        <v>385.92779002254053</v>
      </c>
    </row>
    <row r="283" spans="1:17">
      <c r="A283" s="53">
        <f t="shared" si="2"/>
        <v>2015.1</v>
      </c>
      <c r="B283" s="1318">
        <v>170.09478233992562</v>
      </c>
      <c r="C283" s="615">
        <v>158.71387748276811</v>
      </c>
      <c r="D283" s="1192">
        <v>189.6098133414564</v>
      </c>
      <c r="E283" s="3535">
        <v>103.21639000348651</v>
      </c>
      <c r="F283" s="615">
        <v>85.569821613301372</v>
      </c>
      <c r="G283" s="3535">
        <v>152.91400909867264</v>
      </c>
      <c r="H283" s="615">
        <v>111.26707120721227</v>
      </c>
      <c r="I283" s="3535">
        <v>239.08440825184215</v>
      </c>
      <c r="J283" s="615">
        <v>218.99173016106667</v>
      </c>
      <c r="K283" s="3535">
        <v>203.99348812083625</v>
      </c>
      <c r="L283" s="615">
        <v>171.17929370848444</v>
      </c>
      <c r="M283" s="2970">
        <v>159.30116890601579</v>
      </c>
      <c r="N283" s="1192">
        <v>170.49332229635567</v>
      </c>
      <c r="O283" s="3535">
        <v>143.16953476915933</v>
      </c>
      <c r="P283" s="3535">
        <v>171.44637708947306</v>
      </c>
      <c r="Q283" s="1367">
        <v>331.71556564125501</v>
      </c>
    </row>
    <row r="284" spans="1:17">
      <c r="A284" s="53">
        <f t="shared" si="2"/>
        <v>2015.11</v>
      </c>
      <c r="B284" s="1318">
        <v>157.45926226122316</v>
      </c>
      <c r="C284" s="615">
        <v>156.73575559436364</v>
      </c>
      <c r="D284" s="1192">
        <v>170.91344610818879</v>
      </c>
      <c r="E284" s="3535">
        <v>105.4364061162141</v>
      </c>
      <c r="F284" s="615">
        <v>85.125172769613144</v>
      </c>
      <c r="G284" s="3535">
        <v>161.34127057026987</v>
      </c>
      <c r="H284" s="615">
        <v>105.44251191717144</v>
      </c>
      <c r="I284" s="3535">
        <v>220.76728247404031</v>
      </c>
      <c r="J284" s="615">
        <v>193.94116029532262</v>
      </c>
      <c r="K284" s="3535">
        <v>183.64231732000985</v>
      </c>
      <c r="L284" s="615">
        <v>147.19192622868306</v>
      </c>
      <c r="M284" s="2970">
        <v>160.33075229153687</v>
      </c>
      <c r="N284" s="1192">
        <v>156.42517604890793</v>
      </c>
      <c r="O284" s="3535">
        <v>130.52424082367492</v>
      </c>
      <c r="P284" s="3535">
        <v>161.22019655217883</v>
      </c>
      <c r="Q284" s="1367">
        <v>297.86561612354325</v>
      </c>
    </row>
    <row r="285" spans="1:17">
      <c r="A285" s="53">
        <f t="shared" si="2"/>
        <v>2015.12</v>
      </c>
      <c r="B285" s="1318">
        <v>147.25231990186703</v>
      </c>
      <c r="C285" s="615">
        <v>153.79264133181178</v>
      </c>
      <c r="D285" s="1192">
        <v>175.14791087699285</v>
      </c>
      <c r="E285" s="3535">
        <v>129.38309868554632</v>
      </c>
      <c r="F285" s="615">
        <v>74.526712598242909</v>
      </c>
      <c r="G285" s="3535">
        <v>165.33779805174424</v>
      </c>
      <c r="H285" s="615">
        <v>111.72217158754751</v>
      </c>
      <c r="I285" s="3535">
        <v>185.31879619209423</v>
      </c>
      <c r="J285" s="615">
        <v>183.36429832556442</v>
      </c>
      <c r="K285" s="3535">
        <v>176.65455571406619</v>
      </c>
      <c r="L285" s="615">
        <v>132.49992910249989</v>
      </c>
      <c r="M285" s="2970">
        <v>111.29668619670902</v>
      </c>
      <c r="N285" s="1192">
        <v>165.02141526382502</v>
      </c>
      <c r="O285" s="3535">
        <v>105.85218755256574</v>
      </c>
      <c r="P285" s="3535">
        <v>147.11995716889081</v>
      </c>
      <c r="Q285" s="1367">
        <v>258.20604760915353</v>
      </c>
    </row>
    <row r="286" spans="1:17">
      <c r="A286" s="53">
        <f t="shared" si="2"/>
        <v>2016.01</v>
      </c>
      <c r="B286" s="1318">
        <v>128.23689278051395</v>
      </c>
      <c r="C286" s="615">
        <v>152.90406558372766</v>
      </c>
      <c r="D286" s="1192">
        <v>161.43986020934091</v>
      </c>
      <c r="E286" s="3535">
        <v>100.22528655517873</v>
      </c>
      <c r="F286" s="615">
        <v>70.526108418350859</v>
      </c>
      <c r="G286" s="3535">
        <v>161.58882725240446</v>
      </c>
      <c r="H286" s="615">
        <v>108.49451972108746</v>
      </c>
      <c r="I286" s="3535">
        <v>194.11926544057008</v>
      </c>
      <c r="J286" s="615">
        <v>177.03233601100644</v>
      </c>
      <c r="K286" s="3535">
        <v>162.43401421861424</v>
      </c>
      <c r="L286" s="615">
        <v>73.346780938708719</v>
      </c>
      <c r="M286" s="2970">
        <v>61.528645010153141</v>
      </c>
      <c r="N286" s="1192">
        <v>147.89475684526172</v>
      </c>
      <c r="O286" s="3535">
        <v>51.569082227363509</v>
      </c>
      <c r="P286" s="3535">
        <v>146.59166177049562</v>
      </c>
      <c r="Q286" s="1367">
        <v>191.11595378057399</v>
      </c>
    </row>
    <row r="287" spans="1:17">
      <c r="A287" s="53">
        <f t="shared" si="2"/>
        <v>2016.02</v>
      </c>
      <c r="B287" s="1318">
        <v>140.41337814361762</v>
      </c>
      <c r="C287" s="615">
        <v>154.35061831616878</v>
      </c>
      <c r="D287" s="1192">
        <v>153.9171381072359</v>
      </c>
      <c r="E287" s="3535">
        <v>95.733021697887025</v>
      </c>
      <c r="F287" s="615">
        <v>89.685173190919457</v>
      </c>
      <c r="G287" s="3535">
        <v>154.75579050224775</v>
      </c>
      <c r="H287" s="615">
        <v>103.42727191153681</v>
      </c>
      <c r="I287" s="3535">
        <v>192.55692189031404</v>
      </c>
      <c r="J287" s="615">
        <v>162.05435140418405</v>
      </c>
      <c r="K287" s="3535">
        <v>158.0121080914723</v>
      </c>
      <c r="L287" s="615">
        <v>136.81553183531952</v>
      </c>
      <c r="M287" s="2970">
        <v>123.37984310893584</v>
      </c>
      <c r="N287" s="1192">
        <v>141.04259167382034</v>
      </c>
      <c r="O287" s="3535">
        <v>111.48533544465819</v>
      </c>
      <c r="P287" s="3535">
        <v>144.40610483402162</v>
      </c>
      <c r="Q287" s="1367">
        <v>274.64260887131724</v>
      </c>
    </row>
    <row r="288" spans="1:17">
      <c r="A288" s="53">
        <f t="shared" si="2"/>
        <v>2016.03</v>
      </c>
      <c r="B288" s="1318">
        <v>158.24592139596231</v>
      </c>
      <c r="C288" s="615">
        <v>153.11454274873012</v>
      </c>
      <c r="D288" s="1192">
        <v>164.66015996316798</v>
      </c>
      <c r="E288" s="3535">
        <v>104.79643251521486</v>
      </c>
      <c r="F288" s="615">
        <v>105.78697430340276</v>
      </c>
      <c r="G288" s="3535">
        <v>155.67144141548323</v>
      </c>
      <c r="H288" s="615">
        <v>106.30707908156079</v>
      </c>
      <c r="I288" s="3535">
        <v>208.91225554135303</v>
      </c>
      <c r="J288" s="615">
        <v>179.15688516488606</v>
      </c>
      <c r="K288" s="3535">
        <v>161.56979574954457</v>
      </c>
      <c r="L288" s="615">
        <v>170.0755895731109</v>
      </c>
      <c r="M288" s="2970">
        <v>168.90067028811302</v>
      </c>
      <c r="N288" s="1192">
        <v>151.41396175189524</v>
      </c>
      <c r="O288" s="3535">
        <v>138.39135766643815</v>
      </c>
      <c r="P288" s="3535">
        <v>156.72698039507353</v>
      </c>
      <c r="Q288" s="1367">
        <v>385.1325400122488</v>
      </c>
    </row>
    <row r="289" spans="1:17">
      <c r="A289" s="53">
        <f t="shared" si="2"/>
        <v>2016.04</v>
      </c>
      <c r="B289" s="1318">
        <v>152.4535909478349</v>
      </c>
      <c r="C289" s="615">
        <v>151.51491607497616</v>
      </c>
      <c r="D289" s="1192">
        <v>153.17848097341343</v>
      </c>
      <c r="E289" s="3535">
        <v>109.242367496364</v>
      </c>
      <c r="F289" s="615">
        <v>101.79161164953582</v>
      </c>
      <c r="G289" s="3535">
        <v>142.51071151548302</v>
      </c>
      <c r="H289" s="615">
        <v>100.99770194393575</v>
      </c>
      <c r="I289" s="3535">
        <v>205.3475662116993</v>
      </c>
      <c r="J289" s="615">
        <v>158.77995585021708</v>
      </c>
      <c r="K289" s="3535">
        <v>158.78274235029011</v>
      </c>
      <c r="L289" s="615">
        <v>167.98281164907942</v>
      </c>
      <c r="M289" s="2970">
        <v>165.45715560492116</v>
      </c>
      <c r="N289" s="1192">
        <v>143.45662614477845</v>
      </c>
      <c r="O289" s="3535">
        <v>133.00827810078007</v>
      </c>
      <c r="P289" s="3535">
        <v>150.66093333838361</v>
      </c>
      <c r="Q289" s="1367">
        <v>402.01959902798666</v>
      </c>
    </row>
    <row r="290" spans="1:17">
      <c r="A290" s="53">
        <f t="shared" si="2"/>
        <v>2016.05</v>
      </c>
      <c r="B290" s="1318">
        <v>150.85135121648329</v>
      </c>
      <c r="C290" s="615">
        <v>147.23455169126754</v>
      </c>
      <c r="D290" s="1192">
        <v>159.59604808117231</v>
      </c>
      <c r="E290" s="3535">
        <v>60.824152288670064</v>
      </c>
      <c r="F290" s="615">
        <v>103.18242662688361</v>
      </c>
      <c r="G290" s="3535">
        <v>138.91188513908332</v>
      </c>
      <c r="H290" s="615">
        <v>102.91935990984643</v>
      </c>
      <c r="I290" s="3535">
        <v>200.85361795032509</v>
      </c>
      <c r="J290" s="615">
        <v>180.03500555558179</v>
      </c>
      <c r="K290" s="3535">
        <v>177.28749961587221</v>
      </c>
      <c r="L290" s="615">
        <v>171.87117703781757</v>
      </c>
      <c r="M290" s="2970">
        <v>147.91144800949218</v>
      </c>
      <c r="N290" s="1192">
        <v>137.7405411632615</v>
      </c>
      <c r="O290" s="3535">
        <v>131.35637332520719</v>
      </c>
      <c r="P290" s="3535">
        <v>152.85864592604523</v>
      </c>
      <c r="Q290" s="1367">
        <v>385.58108634192655</v>
      </c>
    </row>
    <row r="291" spans="1:17">
      <c r="A291" s="53">
        <f t="shared" si="2"/>
        <v>2016.06</v>
      </c>
      <c r="B291" s="1318">
        <v>150.28621437285673</v>
      </c>
      <c r="C291" s="615">
        <v>147.8663118941993</v>
      </c>
      <c r="D291" s="1192">
        <v>166.31670535095304</v>
      </c>
      <c r="E291" s="3535">
        <v>86.809427277318719</v>
      </c>
      <c r="F291" s="615">
        <v>97.779915377707766</v>
      </c>
      <c r="G291" s="3535">
        <v>143.55559710726544</v>
      </c>
      <c r="H291" s="615">
        <v>105.95227784194958</v>
      </c>
      <c r="I291" s="3535">
        <v>177.42739153372645</v>
      </c>
      <c r="J291" s="615">
        <v>171.36765699951135</v>
      </c>
      <c r="K291" s="3535">
        <v>163.91481942646934</v>
      </c>
      <c r="L291" s="615">
        <v>166.22928582119405</v>
      </c>
      <c r="M291" s="2970">
        <v>153.48644606473488</v>
      </c>
      <c r="N291" s="1192">
        <v>148.72392906555064</v>
      </c>
      <c r="O291" s="3535">
        <v>131.18230371241512</v>
      </c>
      <c r="P291" s="3535">
        <v>145.15989988803958</v>
      </c>
      <c r="Q291" s="1367">
        <v>372.88314078542726</v>
      </c>
    </row>
    <row r="292" spans="1:17">
      <c r="A292" s="53">
        <f t="shared" si="2"/>
        <v>2016.07</v>
      </c>
      <c r="B292" s="1318">
        <v>152.2247481718326</v>
      </c>
      <c r="C292" s="615">
        <v>148.74996195822143</v>
      </c>
      <c r="D292" s="1192">
        <v>176.99020178345125</v>
      </c>
      <c r="E292" s="3535">
        <v>78.393140990068446</v>
      </c>
      <c r="F292" s="615">
        <v>92.596516804556217</v>
      </c>
      <c r="G292" s="3535">
        <v>144.73053192312469</v>
      </c>
      <c r="H292" s="615">
        <v>107.79146640371881</v>
      </c>
      <c r="I292" s="3535">
        <v>188.20661404553803</v>
      </c>
      <c r="J292" s="615">
        <v>171.09073436404228</v>
      </c>
      <c r="K292" s="3535">
        <v>166.63650752559008</v>
      </c>
      <c r="L292" s="615">
        <v>172.48968208240402</v>
      </c>
      <c r="M292" s="2970">
        <v>138.41950456982028</v>
      </c>
      <c r="N292" s="1192">
        <v>155.17338104749626</v>
      </c>
      <c r="O292" s="3535">
        <v>132.33147602126456</v>
      </c>
      <c r="P292" s="3535">
        <v>145.69840393773333</v>
      </c>
      <c r="Q292" s="1367">
        <v>356.15236082313078</v>
      </c>
    </row>
    <row r="293" spans="1:17">
      <c r="A293" s="53">
        <f t="shared" si="2"/>
        <v>2016.08</v>
      </c>
      <c r="B293" s="1318">
        <v>161.74895715178636</v>
      </c>
      <c r="C293" s="615">
        <v>150.18301432530569</v>
      </c>
      <c r="D293" s="1192">
        <v>191.74276553380696</v>
      </c>
      <c r="E293" s="3535">
        <v>95.778553804288606</v>
      </c>
      <c r="F293" s="615">
        <v>89.481424762060044</v>
      </c>
      <c r="G293" s="3535">
        <v>131.63265977677275</v>
      </c>
      <c r="H293" s="615">
        <v>102.09672910269052</v>
      </c>
      <c r="I293" s="3535">
        <v>206.09719621706355</v>
      </c>
      <c r="J293" s="615">
        <v>192.7956964392161</v>
      </c>
      <c r="K293" s="3535">
        <v>151.9984773275018</v>
      </c>
      <c r="L293" s="615">
        <v>177.29334456406585</v>
      </c>
      <c r="M293" s="2970">
        <v>155.84983174636326</v>
      </c>
      <c r="N293" s="1192">
        <v>170.50852196180549</v>
      </c>
      <c r="O293" s="3535">
        <v>136.22715366911197</v>
      </c>
      <c r="P293" s="3535">
        <v>151.49956009687594</v>
      </c>
      <c r="Q293" s="1367">
        <v>401.66818100285968</v>
      </c>
    </row>
    <row r="294" spans="1:17">
      <c r="A294" s="53">
        <f t="shared" si="2"/>
        <v>2016.09</v>
      </c>
      <c r="B294" s="1318">
        <v>157.38021280855943</v>
      </c>
      <c r="C294" s="615">
        <v>147.06494575835006</v>
      </c>
      <c r="D294" s="1192">
        <v>187.49210758591119</v>
      </c>
      <c r="E294" s="3535">
        <v>86.410111746892071</v>
      </c>
      <c r="F294" s="615">
        <v>87.355363288905437</v>
      </c>
      <c r="G294" s="3535">
        <v>147.11016983163245</v>
      </c>
      <c r="H294" s="615">
        <v>103.90192405972671</v>
      </c>
      <c r="I294" s="3535">
        <v>191.91890414561587</v>
      </c>
      <c r="J294" s="615">
        <v>194.80880693013296</v>
      </c>
      <c r="K294" s="3535">
        <v>152.4051070016987</v>
      </c>
      <c r="L294" s="615">
        <v>170.8863961478682</v>
      </c>
      <c r="M294" s="2970">
        <v>148.22469516935669</v>
      </c>
      <c r="N294" s="1192">
        <v>165.12543899450395</v>
      </c>
      <c r="O294" s="3535">
        <v>133.91516265325009</v>
      </c>
      <c r="P294" s="3535">
        <v>149.13101821884985</v>
      </c>
      <c r="Q294" s="1367">
        <v>363.72793827453694</v>
      </c>
    </row>
    <row r="295" spans="1:17">
      <c r="A295" s="53">
        <f t="shared" si="2"/>
        <v>2016.1</v>
      </c>
      <c r="B295" s="1318">
        <v>157.22797245639418</v>
      </c>
      <c r="C295" s="615">
        <v>149.14573139048446</v>
      </c>
      <c r="D295" s="1192">
        <v>177.8801983201098</v>
      </c>
      <c r="E295" s="3535">
        <v>88.1940192874563</v>
      </c>
      <c r="F295" s="615">
        <v>83.710355525493682</v>
      </c>
      <c r="G295" s="3535">
        <v>149.96331409850563</v>
      </c>
      <c r="H295" s="615">
        <v>104.950607888435</v>
      </c>
      <c r="I295" s="3535">
        <v>216.27599901203996</v>
      </c>
      <c r="J295" s="615">
        <v>186.86476247472891</v>
      </c>
      <c r="K295" s="3535">
        <v>175.78476044045942</v>
      </c>
      <c r="L295" s="615">
        <v>168.49845901974047</v>
      </c>
      <c r="M295" s="2970">
        <v>132.59733067640525</v>
      </c>
      <c r="N295" s="1192">
        <v>158.03511090367547</v>
      </c>
      <c r="O295" s="3535">
        <v>128.16835180020828</v>
      </c>
      <c r="P295" s="3535">
        <v>157.29987889278405</v>
      </c>
      <c r="Q295" s="1367">
        <v>348.3487715946053</v>
      </c>
    </row>
    <row r="296" spans="1:17">
      <c r="A296" s="53">
        <f t="shared" si="2"/>
        <v>2016.11</v>
      </c>
      <c r="B296" s="1318">
        <v>155.08435862991672</v>
      </c>
      <c r="C296" s="615">
        <v>152.43730565618768</v>
      </c>
      <c r="D296" s="1192">
        <v>170.10879220237115</v>
      </c>
      <c r="E296" s="3535">
        <v>93.985163107560965</v>
      </c>
      <c r="F296" s="615">
        <v>82.54664635309409</v>
      </c>
      <c r="G296" s="3535">
        <v>149.3588180373448</v>
      </c>
      <c r="H296" s="615">
        <v>101.52815493731508</v>
      </c>
      <c r="I296" s="3535">
        <v>208.60776536993311</v>
      </c>
      <c r="J296" s="615">
        <v>195.33360815742179</v>
      </c>
      <c r="K296" s="3535">
        <v>164.47046400144282</v>
      </c>
      <c r="L296" s="615">
        <v>156.87875153289431</v>
      </c>
      <c r="M296" s="2970">
        <v>164.15793694895353</v>
      </c>
      <c r="N296" s="1192">
        <v>153.26472447491551</v>
      </c>
      <c r="O296" s="3535">
        <v>124.03649434484868</v>
      </c>
      <c r="P296" s="3535">
        <v>153.99959991690949</v>
      </c>
      <c r="Q296" s="1367">
        <v>402.98367744602081</v>
      </c>
    </row>
    <row r="297" spans="1:17">
      <c r="A297" s="53">
        <f t="shared" si="2"/>
        <v>2016.12</v>
      </c>
      <c r="B297" s="1318">
        <v>145.80667299238769</v>
      </c>
      <c r="C297" s="615">
        <v>154.09834447207095</v>
      </c>
      <c r="D297" s="1192">
        <v>176.15600559276515</v>
      </c>
      <c r="E297" s="3535">
        <v>106.54256661487882</v>
      </c>
      <c r="F297" s="615">
        <v>71.467064368483875</v>
      </c>
      <c r="G297" s="3535">
        <v>153.39383162286401</v>
      </c>
      <c r="H297" s="615">
        <v>107.09418289899983</v>
      </c>
      <c r="I297" s="3535">
        <v>178.00912746384154</v>
      </c>
      <c r="J297" s="615">
        <v>188.09728312743343</v>
      </c>
      <c r="K297" s="3535">
        <v>158.13838894442929</v>
      </c>
      <c r="L297" s="615">
        <v>128.30922623197264</v>
      </c>
      <c r="M297" s="2970">
        <v>140.84525416264623</v>
      </c>
      <c r="N297" s="1192">
        <v>160.75246407973236</v>
      </c>
      <c r="O297" s="3535">
        <v>102.03067211456067</v>
      </c>
      <c r="P297" s="3535">
        <v>142.79406298868352</v>
      </c>
      <c r="Q297" s="1367">
        <v>343.54432935883591</v>
      </c>
    </row>
    <row r="298" spans="1:17">
      <c r="A298" s="53">
        <f t="shared" si="2"/>
        <v>2017.01</v>
      </c>
      <c r="B298" s="1318">
        <v>133.94167555361662</v>
      </c>
      <c r="C298" s="615">
        <v>152.53161035072031</v>
      </c>
      <c r="D298" s="1192">
        <v>159.60772187704274</v>
      </c>
      <c r="E298" s="3535">
        <v>101.49306545490948</v>
      </c>
      <c r="F298" s="615">
        <v>67.544378306790875</v>
      </c>
      <c r="G298" s="3535">
        <v>147.18809584255746</v>
      </c>
      <c r="H298" s="615">
        <v>107.82350770531058</v>
      </c>
      <c r="I298" s="3535">
        <v>194.32518050681495</v>
      </c>
      <c r="J298" s="615">
        <v>174.84419704933708</v>
      </c>
      <c r="K298" s="3535">
        <v>148.70609985962946</v>
      </c>
      <c r="L298" s="615">
        <v>85.031604936401905</v>
      </c>
      <c r="M298" s="2970">
        <v>94.856481524250782</v>
      </c>
      <c r="N298" s="1192">
        <v>146.7485450304811</v>
      </c>
      <c r="O298" s="3535">
        <v>65.087521013366825</v>
      </c>
      <c r="P298" s="3535">
        <v>149.69569161001274</v>
      </c>
      <c r="Q298" s="1367">
        <v>249.23188149577416</v>
      </c>
    </row>
    <row r="299" spans="1:17">
      <c r="A299" s="53">
        <f t="shared" si="2"/>
        <v>2017.02</v>
      </c>
      <c r="B299" s="1318">
        <v>127.5249065811898</v>
      </c>
      <c r="C299" s="615">
        <v>152.16337305600399</v>
      </c>
      <c r="D299" s="1192">
        <v>139.36976995902447</v>
      </c>
      <c r="E299" s="3535">
        <v>82.969051356864114</v>
      </c>
      <c r="F299" s="615">
        <v>86.825856744540374</v>
      </c>
      <c r="G299" s="3535">
        <v>139.22328491918978</v>
      </c>
      <c r="H299" s="615">
        <v>94.029593745597992</v>
      </c>
      <c r="I299" s="3535">
        <v>176.08947261628595</v>
      </c>
      <c r="J299" s="615">
        <v>160.42355372551322</v>
      </c>
      <c r="K299" s="3535">
        <v>143.79647651101166</v>
      </c>
      <c r="L299" s="615">
        <v>127.97845418792981</v>
      </c>
      <c r="M299" s="2970">
        <v>89.469201644240229</v>
      </c>
      <c r="N299" s="1192">
        <v>126.88984046395623</v>
      </c>
      <c r="O299" s="3535">
        <v>91.711789397123738</v>
      </c>
      <c r="P299" s="3535">
        <v>134.8444098985843</v>
      </c>
      <c r="Q299" s="1367">
        <v>272.71952748322735</v>
      </c>
    </row>
    <row r="300" spans="1:17">
      <c r="A300" s="53">
        <f t="shared" si="2"/>
        <v>2017.03</v>
      </c>
      <c r="B300" s="1318">
        <v>157.72554637503299</v>
      </c>
      <c r="C300" s="615">
        <v>150.62522805632477</v>
      </c>
      <c r="D300" s="1192">
        <v>165.73211879236896</v>
      </c>
      <c r="E300" s="3535">
        <v>101.45988057825039</v>
      </c>
      <c r="F300" s="615">
        <v>102.05897100862295</v>
      </c>
      <c r="G300" s="3535">
        <v>156.47325605221801</v>
      </c>
      <c r="H300" s="615">
        <v>101.66576464995072</v>
      </c>
      <c r="I300" s="3535">
        <v>213.37714853317146</v>
      </c>
      <c r="J300" s="615">
        <v>201.97088263130101</v>
      </c>
      <c r="K300" s="3535">
        <v>181.81642421027749</v>
      </c>
      <c r="L300" s="615">
        <v>171.44042440131017</v>
      </c>
      <c r="M300" s="2970">
        <v>144.35283435743091</v>
      </c>
      <c r="N300" s="1192">
        <v>151.5104382662683</v>
      </c>
      <c r="O300" s="3535">
        <v>126.30598379939158</v>
      </c>
      <c r="P300" s="3535">
        <v>159.58266877203567</v>
      </c>
      <c r="Q300" s="1367">
        <v>408.43791192004767</v>
      </c>
    </row>
    <row r="301" spans="1:17">
      <c r="A301" s="53">
        <f t="shared" si="2"/>
        <v>2017.04</v>
      </c>
      <c r="B301" s="1318">
        <v>148.15407426967187</v>
      </c>
      <c r="C301" s="615">
        <v>151.66450820397131</v>
      </c>
      <c r="D301" s="1192">
        <v>150.77834478135131</v>
      </c>
      <c r="E301" s="3535">
        <v>88.111829877402286</v>
      </c>
      <c r="F301" s="615">
        <v>100.36751168961655</v>
      </c>
      <c r="G301" s="3535">
        <v>135.31535675438289</v>
      </c>
      <c r="H301" s="615">
        <v>101.49276245950134</v>
      </c>
      <c r="I301" s="3535">
        <v>199.27243419670569</v>
      </c>
      <c r="J301" s="615">
        <v>171.62473146379574</v>
      </c>
      <c r="K301" s="3535">
        <v>173.71510921375261</v>
      </c>
      <c r="L301" s="615">
        <v>158.12702233577292</v>
      </c>
      <c r="M301" s="2970">
        <v>139.89488916734425</v>
      </c>
      <c r="N301" s="1192">
        <v>136.9119667087682</v>
      </c>
      <c r="O301" s="3535">
        <v>114.8834179090485</v>
      </c>
      <c r="P301" s="3535">
        <v>153.75880141715677</v>
      </c>
      <c r="Q301" s="1367">
        <v>406.26505098989276</v>
      </c>
    </row>
    <row r="302" spans="1:17">
      <c r="A302" s="53">
        <f t="shared" si="2"/>
        <v>2017.05</v>
      </c>
      <c r="B302" s="1318">
        <v>159.32744156809883</v>
      </c>
      <c r="C302" s="615">
        <v>153.87837668958329</v>
      </c>
      <c r="D302" s="1192">
        <v>164.619807845521</v>
      </c>
      <c r="E302" s="3535">
        <v>90.735481693585569</v>
      </c>
      <c r="F302" s="615">
        <v>101.97890301226845</v>
      </c>
      <c r="G302" s="3535">
        <v>136.25889496981037</v>
      </c>
      <c r="H302" s="615">
        <v>102.17646723482183</v>
      </c>
      <c r="I302" s="3535">
        <v>218.88616383930375</v>
      </c>
      <c r="J302" s="615">
        <v>187.51789324581682</v>
      </c>
      <c r="K302" s="3535">
        <v>183.49764854349652</v>
      </c>
      <c r="L302" s="615">
        <v>172.25850054472517</v>
      </c>
      <c r="M302" s="2970">
        <v>168.07424122783132</v>
      </c>
      <c r="N302" s="1192">
        <v>148.27123633757816</v>
      </c>
      <c r="O302" s="3535">
        <v>130.48812034165184</v>
      </c>
      <c r="P302" s="3535">
        <v>160.61992124676493</v>
      </c>
      <c r="Q302" s="1367">
        <v>448.58363215144544</v>
      </c>
    </row>
    <row r="303" spans="1:17">
      <c r="A303" s="53">
        <f t="shared" si="2"/>
        <v>2017.06</v>
      </c>
      <c r="B303" s="1318">
        <v>157.66265953829455</v>
      </c>
      <c r="C303" s="615">
        <v>155.85073081121618</v>
      </c>
      <c r="D303" s="1192">
        <v>165.53565371708913</v>
      </c>
      <c r="E303" s="3535">
        <v>89.287781963092499</v>
      </c>
      <c r="F303" s="615">
        <v>97.768208337058795</v>
      </c>
      <c r="G303" s="3535">
        <v>141.56110459580503</v>
      </c>
      <c r="H303" s="615">
        <v>104.42986092407381</v>
      </c>
      <c r="I303" s="3535">
        <v>198.30422214673715</v>
      </c>
      <c r="J303" s="615">
        <v>195.15703716942565</v>
      </c>
      <c r="K303" s="3535">
        <v>170.66975932659554</v>
      </c>
      <c r="L303" s="615">
        <v>174.46486347698999</v>
      </c>
      <c r="M303" s="2970">
        <v>167.09172986174758</v>
      </c>
      <c r="N303" s="1192">
        <v>148.66409450255045</v>
      </c>
      <c r="O303" s="3535">
        <v>131.9886763406661</v>
      </c>
      <c r="P303" s="3535">
        <v>156.0874059820402</v>
      </c>
      <c r="Q303" s="1367">
        <v>446.94986455796237</v>
      </c>
    </row>
    <row r="304" spans="1:17">
      <c r="A304" s="53">
        <f t="shared" si="2"/>
        <v>2017.07</v>
      </c>
      <c r="B304" s="1318">
        <v>160.26598865931064</v>
      </c>
      <c r="C304" s="615">
        <v>156.08234345456555</v>
      </c>
      <c r="D304" s="1192">
        <v>179.03569193146791</v>
      </c>
      <c r="E304" s="3535">
        <v>82.350764382799696</v>
      </c>
      <c r="F304" s="615">
        <v>92.621101527615721</v>
      </c>
      <c r="G304" s="3535">
        <v>154.34181220545312</v>
      </c>
      <c r="H304" s="615">
        <v>103.96950380335257</v>
      </c>
      <c r="I304" s="3535">
        <v>201.35954950331066</v>
      </c>
      <c r="J304" s="615">
        <v>199.80435309607927</v>
      </c>
      <c r="K304" s="3535">
        <v>182.07831270037994</v>
      </c>
      <c r="L304" s="615">
        <v>189.04324117873557</v>
      </c>
      <c r="M304" s="2970">
        <v>139.79924049707228</v>
      </c>
      <c r="N304" s="1192">
        <v>157.64197374935694</v>
      </c>
      <c r="O304" s="3535">
        <v>139.54053350341479</v>
      </c>
      <c r="P304" s="3535">
        <v>155.743367770611</v>
      </c>
      <c r="Q304" s="1367">
        <v>395.66905978461739</v>
      </c>
    </row>
    <row r="305" spans="1:17">
      <c r="A305" s="53">
        <f t="shared" si="2"/>
        <v>2017.08</v>
      </c>
      <c r="B305" s="1318">
        <v>166.93138683803355</v>
      </c>
      <c r="C305" s="615">
        <v>154.60576129336692</v>
      </c>
      <c r="D305" s="1192">
        <v>188.2105089326019</v>
      </c>
      <c r="E305" s="3535">
        <v>94.991647428963859</v>
      </c>
      <c r="F305" s="615">
        <v>89.600271220178726</v>
      </c>
      <c r="G305" s="3535">
        <v>148.48850301525079</v>
      </c>
      <c r="H305" s="615">
        <v>106.09730276095223</v>
      </c>
      <c r="I305" s="3535">
        <v>214.36079009104222</v>
      </c>
      <c r="J305" s="615">
        <v>216.75344949957559</v>
      </c>
      <c r="K305" s="3535">
        <v>186.28445251304294</v>
      </c>
      <c r="L305" s="615">
        <v>184.88008103685763</v>
      </c>
      <c r="M305" s="2970">
        <v>161.73447687666865</v>
      </c>
      <c r="N305" s="1192">
        <v>167.58373594089446</v>
      </c>
      <c r="O305" s="3535">
        <v>139.1581287188516</v>
      </c>
      <c r="P305" s="3535">
        <v>161.1673830712426</v>
      </c>
      <c r="Q305" s="1367">
        <v>436.68217662413571</v>
      </c>
    </row>
    <row r="306" spans="1:17">
      <c r="A306" s="53">
        <f t="shared" si="2"/>
        <v>2017.09</v>
      </c>
      <c r="B306" s="1318">
        <v>164.84153444407502</v>
      </c>
      <c r="C306" s="615">
        <v>156.69549379524082</v>
      </c>
      <c r="D306" s="1192">
        <v>178.93076832943578</v>
      </c>
      <c r="E306" s="3535">
        <v>96.244972690680015</v>
      </c>
      <c r="F306" s="615">
        <v>87.773156477631431</v>
      </c>
      <c r="G306" s="3535">
        <v>151.25539462744473</v>
      </c>
      <c r="H306" s="615">
        <v>103.05896327651783</v>
      </c>
      <c r="I306" s="3535">
        <v>222.00536205280238</v>
      </c>
      <c r="J306" s="615">
        <v>215.41753181603505</v>
      </c>
      <c r="K306" s="3535">
        <v>188.63507715652415</v>
      </c>
      <c r="L306" s="615">
        <v>170.082335222192</v>
      </c>
      <c r="M306" s="2970">
        <v>162.79893856922462</v>
      </c>
      <c r="N306" s="1192">
        <v>160.63467343223763</v>
      </c>
      <c r="O306" s="3535">
        <v>129.68331190607563</v>
      </c>
      <c r="P306" s="3535">
        <v>166.21609759691918</v>
      </c>
      <c r="Q306" s="1367">
        <v>428.50326024173501</v>
      </c>
    </row>
    <row r="307" spans="1:17">
      <c r="A307" s="53">
        <f t="shared" si="2"/>
        <v>2017.1</v>
      </c>
      <c r="B307" s="1318">
        <v>160.89393988462271</v>
      </c>
      <c r="C307" s="615">
        <v>151.79039955038405</v>
      </c>
      <c r="D307" s="1192">
        <v>181.2851557169256</v>
      </c>
      <c r="E307" s="3535">
        <v>83.797542945293287</v>
      </c>
      <c r="F307" s="615">
        <v>84.182403073643115</v>
      </c>
      <c r="G307" s="3535">
        <v>149.52772305938609</v>
      </c>
      <c r="H307" s="615">
        <v>93.497766093815997</v>
      </c>
      <c r="I307" s="3535">
        <v>222.49978139421347</v>
      </c>
      <c r="J307" s="615">
        <v>216.50882515275052</v>
      </c>
      <c r="K307" s="3535">
        <v>193.75523675253106</v>
      </c>
      <c r="L307" s="615">
        <v>162.6101432792432</v>
      </c>
      <c r="M307" s="2970">
        <v>153.17535257015007</v>
      </c>
      <c r="N307" s="1192">
        <v>159.71382534763697</v>
      </c>
      <c r="O307" s="3535">
        <v>123.4804971219022</v>
      </c>
      <c r="P307" s="3535">
        <v>162.51725768864387</v>
      </c>
      <c r="Q307" s="1367">
        <v>406.41569748485375</v>
      </c>
    </row>
    <row r="308" spans="1:17">
      <c r="A308" s="53">
        <f t="shared" si="2"/>
        <v>2017.11</v>
      </c>
      <c r="B308" s="1318">
        <v>156.02057977012066</v>
      </c>
      <c r="C308" s="615">
        <v>153.51900933980534</v>
      </c>
      <c r="D308" s="1192">
        <v>170.76490386450851</v>
      </c>
      <c r="E308" s="3535">
        <v>96.056763198896235</v>
      </c>
      <c r="F308" s="615">
        <v>83.087501348119531</v>
      </c>
      <c r="G308" s="3535">
        <v>129.94967658377189</v>
      </c>
      <c r="H308" s="615">
        <v>97.186150133821641</v>
      </c>
      <c r="I308" s="3535">
        <v>216.07802014107727</v>
      </c>
      <c r="J308" s="615">
        <v>223.56724113376538</v>
      </c>
      <c r="K308" s="3535">
        <v>193.02929622362637</v>
      </c>
      <c r="L308" s="615">
        <v>147.63078516858141</v>
      </c>
      <c r="M308" s="2970">
        <v>158.14080861281363</v>
      </c>
      <c r="N308" s="1192">
        <v>154.2340448378512</v>
      </c>
      <c r="O308" s="3535">
        <v>117.69475666746791</v>
      </c>
      <c r="P308" s="3535">
        <v>159.76952042811624</v>
      </c>
      <c r="Q308" s="1367">
        <v>382.53230844745588</v>
      </c>
    </row>
    <row r="309" spans="1:17">
      <c r="A309" s="53">
        <f t="shared" si="2"/>
        <v>2017.12</v>
      </c>
      <c r="B309" s="1318">
        <v>146.05967323103141</v>
      </c>
      <c r="C309" s="615">
        <v>156.40110463780525</v>
      </c>
      <c r="D309" s="1192">
        <v>165.9207391147618</v>
      </c>
      <c r="E309" s="3535">
        <v>101.44001654359317</v>
      </c>
      <c r="F309" s="615">
        <v>71.91295206135284</v>
      </c>
      <c r="G309" s="3535">
        <v>136.52983157008623</v>
      </c>
      <c r="H309" s="615">
        <v>109.66718287082686</v>
      </c>
      <c r="I309" s="3535">
        <v>197.64129336636645</v>
      </c>
      <c r="J309" s="615">
        <v>198.6051609335891</v>
      </c>
      <c r="K309" s="3535">
        <v>180.56038817440412</v>
      </c>
      <c r="L309" s="615">
        <v>130.79386711122734</v>
      </c>
      <c r="M309" s="2970">
        <v>116.56986575622311</v>
      </c>
      <c r="N309" s="1192">
        <v>151.65292672826473</v>
      </c>
      <c r="O309" s="3535">
        <v>95.896491878205609</v>
      </c>
      <c r="P309" s="3535">
        <v>153.10595413777605</v>
      </c>
      <c r="Q309" s="1367">
        <v>332.37513427564795</v>
      </c>
    </row>
    <row r="310" spans="1:17">
      <c r="A310" s="53">
        <f t="shared" si="2"/>
        <v>2018.01</v>
      </c>
      <c r="B310" s="1318">
        <v>135.42939374281889</v>
      </c>
      <c r="C310" s="615">
        <v>155.32849679549062</v>
      </c>
      <c r="D310" s="1192">
        <v>163.04679921362228</v>
      </c>
      <c r="E310" s="3535">
        <v>97.470598745317346</v>
      </c>
      <c r="F310" s="615">
        <v>68.578665959456615</v>
      </c>
      <c r="G310" s="3535">
        <v>153.49573997346442</v>
      </c>
      <c r="H310" s="615">
        <v>102.92029464713339</v>
      </c>
      <c r="I310" s="3535">
        <v>204.92120908260387</v>
      </c>
      <c r="J310" s="615">
        <v>197.63071066642462</v>
      </c>
      <c r="K310" s="3535">
        <v>170.15516234247298</v>
      </c>
      <c r="L310" s="615">
        <v>83.838155161566291</v>
      </c>
      <c r="M310" s="2970">
        <v>75.588436884151719</v>
      </c>
      <c r="N310" s="1192">
        <v>148.53658766522619</v>
      </c>
      <c r="O310" s="3535">
        <v>63.403155388062288</v>
      </c>
      <c r="P310" s="3535">
        <v>155.76606183802753</v>
      </c>
      <c r="Q310" s="1367">
        <v>202.0958477596451</v>
      </c>
    </row>
    <row r="311" spans="1:17">
      <c r="A311" s="53">
        <f t="shared" si="2"/>
        <v>2018.02</v>
      </c>
      <c r="B311" s="1318">
        <v>137.16439357684831</v>
      </c>
      <c r="C311" s="615">
        <v>155.31628147731277</v>
      </c>
      <c r="D311" s="1192">
        <v>147.25557923614508</v>
      </c>
      <c r="E311" s="3535">
        <v>87.574409484061093</v>
      </c>
      <c r="F311" s="615">
        <v>87.019293332635243</v>
      </c>
      <c r="G311" s="3535">
        <v>147.54860540054943</v>
      </c>
      <c r="H311" s="615">
        <v>94.744081208620941</v>
      </c>
      <c r="I311" s="3535">
        <v>191.33589930943589</v>
      </c>
      <c r="J311" s="615">
        <v>181.39718663016731</v>
      </c>
      <c r="K311" s="3535">
        <v>184.80162373359039</v>
      </c>
      <c r="L311" s="615">
        <v>115.52191302361972</v>
      </c>
      <c r="M311" s="2970">
        <v>140.85197842527697</v>
      </c>
      <c r="N311" s="1192">
        <v>134.04977602744844</v>
      </c>
      <c r="O311" s="3535">
        <v>98.37127764440109</v>
      </c>
      <c r="P311" s="3535">
        <v>146.15962865166827</v>
      </c>
      <c r="Q311" s="1367">
        <v>302.7915756140867</v>
      </c>
    </row>
    <row r="312" spans="1:17">
      <c r="A312" s="53">
        <f t="shared" si="2"/>
        <v>2018.03</v>
      </c>
      <c r="B312" s="1318">
        <v>162.10753307883508</v>
      </c>
      <c r="C312" s="615">
        <v>159.36904516854432</v>
      </c>
      <c r="D312" s="1192">
        <v>165.93095172954153</v>
      </c>
      <c r="E312" s="3535">
        <v>95.307817212833356</v>
      </c>
      <c r="F312" s="615">
        <v>96.804740829854978</v>
      </c>
      <c r="G312" s="3535">
        <v>159.90361907183319</v>
      </c>
      <c r="H312" s="615">
        <v>100.57740832511621</v>
      </c>
      <c r="I312" s="3535">
        <v>218.17281252367528</v>
      </c>
      <c r="J312" s="615">
        <v>210.43108043796371</v>
      </c>
      <c r="K312" s="3535">
        <v>206.63327530479947</v>
      </c>
      <c r="L312" s="615">
        <v>160.68434188341166</v>
      </c>
      <c r="M312" s="2970">
        <v>181.40385128434858</v>
      </c>
      <c r="N312" s="1192">
        <v>150.30399233375329</v>
      </c>
      <c r="O312" s="3535">
        <v>134.20373476601844</v>
      </c>
      <c r="P312" s="3535">
        <v>166.97705274114031</v>
      </c>
      <c r="Q312" s="1367">
        <v>399.64349983656257</v>
      </c>
    </row>
    <row r="313" spans="1:17">
      <c r="A313" s="53">
        <f t="shared" si="2"/>
        <v>2018.04</v>
      </c>
      <c r="B313" s="1318">
        <v>154.50746235608378</v>
      </c>
      <c r="C313" s="615">
        <v>154.14387207741797</v>
      </c>
      <c r="D313" s="1192">
        <v>158.36234515148954</v>
      </c>
      <c r="E313" s="3535">
        <v>89.447493861065169</v>
      </c>
      <c r="F313" s="615">
        <v>96.641664050671153</v>
      </c>
      <c r="G313" s="3535">
        <v>144.17431793660523</v>
      </c>
      <c r="H313" s="615">
        <v>96.996283941400193</v>
      </c>
      <c r="I313" s="3535">
        <v>216.77801629502642</v>
      </c>
      <c r="J313" s="615">
        <v>185.74360466136486</v>
      </c>
      <c r="K313" s="3535">
        <v>201.74096915895436</v>
      </c>
      <c r="L313" s="615">
        <v>152.97070576404602</v>
      </c>
      <c r="M313" s="2970">
        <v>170.27852883000779</v>
      </c>
      <c r="N313" s="1192">
        <v>143.11338190096339</v>
      </c>
      <c r="O313" s="3535">
        <v>123.19734239537473</v>
      </c>
      <c r="P313" s="3535">
        <v>159.79426729860307</v>
      </c>
      <c r="Q313" s="1367">
        <v>405.30241659438423</v>
      </c>
    </row>
    <row r="314" spans="1:17">
      <c r="A314" s="53">
        <f t="shared" si="2"/>
        <v>2018.05</v>
      </c>
      <c r="B314" s="1318">
        <v>158.15759526191061</v>
      </c>
      <c r="C314" s="615">
        <v>152.94455215134795</v>
      </c>
      <c r="D314" s="1192">
        <v>162.07369491514035</v>
      </c>
      <c r="E314" s="3535">
        <v>91.529163250291617</v>
      </c>
      <c r="F314" s="615">
        <v>100.71384987245868</v>
      </c>
      <c r="G314" s="3535">
        <v>149.44272522027615</v>
      </c>
      <c r="H314" s="615">
        <v>98.990521580504293</v>
      </c>
      <c r="I314" s="3535">
        <v>211.14219951393579</v>
      </c>
      <c r="J314" s="615">
        <v>186.1747930929819</v>
      </c>
      <c r="K314" s="3535">
        <v>191.91952264675655</v>
      </c>
      <c r="L314" s="615">
        <v>161.79174044410024</v>
      </c>
      <c r="M314" s="2970">
        <v>174.20086458551552</v>
      </c>
      <c r="N314" s="1192">
        <v>146.46412817096419</v>
      </c>
      <c r="O314" s="3535">
        <v>130.91317825850385</v>
      </c>
      <c r="P314" s="3535">
        <v>161.7840645330931</v>
      </c>
      <c r="Q314" s="1367">
        <v>408.36861564526936</v>
      </c>
    </row>
    <row r="315" spans="1:17">
      <c r="A315" s="53">
        <f t="shared" si="2"/>
        <v>2018.06</v>
      </c>
      <c r="B315" s="1318">
        <v>146.71438491646995</v>
      </c>
      <c r="C315" s="615">
        <v>147.44016358667469</v>
      </c>
      <c r="D315" s="1192">
        <v>160.6872482898531</v>
      </c>
      <c r="E315" s="3535">
        <v>83.538434367114249</v>
      </c>
      <c r="F315" s="615">
        <v>95.714360514007666</v>
      </c>
      <c r="G315" s="3535">
        <v>149.55640963844826</v>
      </c>
      <c r="H315" s="615">
        <v>85.686106536131845</v>
      </c>
      <c r="I315" s="3535">
        <v>173.42366584896538</v>
      </c>
      <c r="J315" s="615">
        <v>189.57374226540577</v>
      </c>
      <c r="K315" s="3535">
        <v>179.33761965974594</v>
      </c>
      <c r="L315" s="615">
        <v>159.36298090890679</v>
      </c>
      <c r="M315" s="2970">
        <v>144.97728086459992</v>
      </c>
      <c r="N315" s="1192">
        <v>143.61633532550943</v>
      </c>
      <c r="O315" s="3535">
        <v>123.73231721256289</v>
      </c>
      <c r="P315" s="3535">
        <v>144.69082858034486</v>
      </c>
      <c r="Q315" s="1367">
        <v>365.55438877750032</v>
      </c>
    </row>
    <row r="316" spans="1:17">
      <c r="A316" s="53">
        <f t="shared" si="2"/>
        <v>2018.07</v>
      </c>
      <c r="B316" s="1318">
        <v>153.15564442948752</v>
      </c>
      <c r="C316" s="615">
        <v>146.83202967560325</v>
      </c>
      <c r="D316" s="1192">
        <v>178.50450614289011</v>
      </c>
      <c r="E316" s="3535">
        <v>82.789111399371734</v>
      </c>
      <c r="F316" s="615">
        <v>90.220988579634422</v>
      </c>
      <c r="G316" s="3535">
        <v>155.19249152988851</v>
      </c>
      <c r="H316" s="615">
        <v>85.430429116776992</v>
      </c>
      <c r="I316" s="3535">
        <v>175.28278812760075</v>
      </c>
      <c r="J316" s="615">
        <v>191.15948646301604</v>
      </c>
      <c r="K316" s="3535">
        <v>201.39203239794779</v>
      </c>
      <c r="L316" s="615">
        <v>168.17045886437177</v>
      </c>
      <c r="M316" s="2970">
        <v>151.63115447902575</v>
      </c>
      <c r="N316" s="1192">
        <v>157.32531893398848</v>
      </c>
      <c r="O316" s="3535">
        <v>129.28060551449377</v>
      </c>
      <c r="P316" s="3535">
        <v>145.37115102271557</v>
      </c>
      <c r="Q316" s="1367">
        <v>390.93641069165648</v>
      </c>
    </row>
    <row r="317" spans="1:17">
      <c r="A317" s="53">
        <f t="shared" si="2"/>
        <v>2018.08</v>
      </c>
      <c r="B317" s="1318">
        <v>154.4781689851628</v>
      </c>
      <c r="C317" s="615">
        <v>142.48278094062582</v>
      </c>
      <c r="D317" s="1192">
        <v>183.21244575932946</v>
      </c>
      <c r="E317" s="3535">
        <v>90.74146836009524</v>
      </c>
      <c r="F317" s="615">
        <v>86.824065697822277</v>
      </c>
      <c r="G317" s="3535">
        <v>153.76018804379015</v>
      </c>
      <c r="H317" s="615">
        <v>100.61805437385547</v>
      </c>
      <c r="I317" s="3535">
        <v>153.87926784481695</v>
      </c>
      <c r="J317" s="615">
        <v>211.62131797724976</v>
      </c>
      <c r="K317" s="3535">
        <v>200.16764659053933</v>
      </c>
      <c r="L317" s="615">
        <v>163.81353466512087</v>
      </c>
      <c r="M317" s="2970">
        <v>176.35763290373609</v>
      </c>
      <c r="N317" s="1192">
        <v>162.75115897284712</v>
      </c>
      <c r="O317" s="3535">
        <v>132.60358949404872</v>
      </c>
      <c r="P317" s="3535">
        <v>141.58470723056396</v>
      </c>
      <c r="Q317" s="1367">
        <v>413.04154370182476</v>
      </c>
    </row>
    <row r="318" spans="1:17">
      <c r="A318" s="53">
        <f>A306+1</f>
        <v>2018.09</v>
      </c>
      <c r="B318" s="1318">
        <v>149.19851985947693</v>
      </c>
      <c r="C318" s="615">
        <v>144.01357700062255</v>
      </c>
      <c r="D318" s="1192">
        <v>174.26009409610049</v>
      </c>
      <c r="E318" s="3535">
        <v>75.008975835073286</v>
      </c>
      <c r="F318" s="615">
        <v>85.446380298405657</v>
      </c>
      <c r="G318" s="3535">
        <v>150.95703155188528</v>
      </c>
      <c r="H318" s="615">
        <v>94.342271841104392</v>
      </c>
      <c r="I318" s="3535">
        <v>183.11384124649675</v>
      </c>
      <c r="J318" s="615">
        <v>198.71714722727117</v>
      </c>
      <c r="K318" s="3535">
        <v>191.57733508102538</v>
      </c>
      <c r="L318" s="615">
        <v>151.04870358369664</v>
      </c>
      <c r="M318" s="2970">
        <v>128.92101864428221</v>
      </c>
      <c r="N318" s="1192">
        <v>152.29854841187841</v>
      </c>
      <c r="O318" s="3535">
        <v>112.82826194833163</v>
      </c>
      <c r="P318" s="3535">
        <v>150.22039973965889</v>
      </c>
      <c r="Q318" s="1367">
        <v>353.95296206386439</v>
      </c>
    </row>
    <row r="319" spans="1:17">
      <c r="A319" s="53">
        <f t="shared" si="2"/>
        <v>2018.1</v>
      </c>
      <c r="B319" s="1318">
        <v>156.21202512453192</v>
      </c>
      <c r="C319" s="615">
        <v>145.03927265048631</v>
      </c>
      <c r="D319" s="1192">
        <v>180.38361490108497</v>
      </c>
      <c r="E319" s="3535">
        <v>100.28466703113712</v>
      </c>
      <c r="F319" s="615">
        <v>80.611792314469739</v>
      </c>
      <c r="G319" s="3535">
        <v>154.75169119788796</v>
      </c>
      <c r="H319" s="615">
        <v>101.59199661924214</v>
      </c>
      <c r="I319" s="3535">
        <v>204.67776231592055</v>
      </c>
      <c r="J319" s="615">
        <v>196.93008522541334</v>
      </c>
      <c r="K319" s="3535">
        <v>196.18113041056276</v>
      </c>
      <c r="L319" s="615">
        <v>146.59536476884492</v>
      </c>
      <c r="M319" s="2970">
        <v>134.57615745657333</v>
      </c>
      <c r="N319" s="1192">
        <v>162.65991834506616</v>
      </c>
      <c r="O319" s="3535">
        <v>108.14655779259216</v>
      </c>
      <c r="P319" s="3535">
        <v>159.24882048924081</v>
      </c>
      <c r="Q319" s="1367">
        <v>378.65812132282758</v>
      </c>
    </row>
    <row r="320" spans="1:17">
      <c r="A320" s="53">
        <f t="shared" ref="A320:A383" si="3">A308+1</f>
        <v>2018.11</v>
      </c>
      <c r="B320" s="1318">
        <v>143.58658930930915</v>
      </c>
      <c r="C320" s="615">
        <v>141.72710856708335</v>
      </c>
      <c r="D320" s="1192">
        <v>162.76749691108051</v>
      </c>
      <c r="E320" s="3535">
        <v>86.979230684869066</v>
      </c>
      <c r="F320" s="615">
        <v>79.76136625661448</v>
      </c>
      <c r="G320" s="3535">
        <v>160.5649313890008</v>
      </c>
      <c r="H320" s="615">
        <v>91.21207665868431</v>
      </c>
      <c r="I320" s="3535">
        <v>187.47869800265343</v>
      </c>
      <c r="J320" s="615">
        <v>191.6120542940846</v>
      </c>
      <c r="K320" s="3535">
        <v>197.13695833481842</v>
      </c>
      <c r="L320" s="615">
        <v>133.49487445790348</v>
      </c>
      <c r="M320" s="2970">
        <v>128.24401352315539</v>
      </c>
      <c r="N320" s="1192">
        <v>145.99763577281567</v>
      </c>
      <c r="O320" s="3535">
        <v>101.39935751796611</v>
      </c>
      <c r="P320" s="3535">
        <v>148.34139787058086</v>
      </c>
      <c r="Q320" s="1367">
        <v>340.26207352523573</v>
      </c>
    </row>
    <row r="321" spans="1:17">
      <c r="A321" s="53">
        <f t="shared" si="3"/>
        <v>2018.12</v>
      </c>
      <c r="B321" s="1318">
        <v>129.91556913048342</v>
      </c>
      <c r="C321" s="615">
        <v>139.19157544124465</v>
      </c>
      <c r="D321" s="1192">
        <v>160.5303603226667</v>
      </c>
      <c r="E321" s="3535">
        <v>92.727075907050462</v>
      </c>
      <c r="F321" s="615">
        <v>70.460963282910285</v>
      </c>
      <c r="G321" s="3535">
        <v>152.85314336972993</v>
      </c>
      <c r="H321" s="615">
        <v>99.97240029018171</v>
      </c>
      <c r="I321" s="3535">
        <v>154.48526668333056</v>
      </c>
      <c r="J321" s="615">
        <v>166.57558765056348</v>
      </c>
      <c r="K321" s="3535">
        <v>167.63002275874055</v>
      </c>
      <c r="L321" s="615">
        <v>115.19585746412424</v>
      </c>
      <c r="M321" s="2970">
        <v>71.415075031627936</v>
      </c>
      <c r="N321" s="1192">
        <v>145.52735628277603</v>
      </c>
      <c r="O321" s="3535">
        <v>78.78210985956423</v>
      </c>
      <c r="P321" s="3535">
        <v>135.40110840705813</v>
      </c>
      <c r="Q321" s="1367">
        <v>246.56448897423118</v>
      </c>
    </row>
    <row r="322" spans="1:17">
      <c r="A322" s="53">
        <f t="shared" si="3"/>
        <v>2019.01</v>
      </c>
      <c r="B322" s="1318">
        <v>121.53423197341792</v>
      </c>
      <c r="C322" s="615">
        <v>138.40043914696921</v>
      </c>
      <c r="D322" s="1192">
        <v>156.92876739799868</v>
      </c>
      <c r="E322" s="3535">
        <v>88.916039773521007</v>
      </c>
      <c r="F322" s="615">
        <v>66.685917960029059</v>
      </c>
      <c r="G322" s="3535">
        <v>153.71749844378982</v>
      </c>
      <c r="H322" s="615">
        <v>99.334374628820953</v>
      </c>
      <c r="I322" s="3535">
        <v>168.33536612683969</v>
      </c>
      <c r="J322" s="615">
        <v>166.52491735620146</v>
      </c>
      <c r="K322" s="3535">
        <v>169.03623080257057</v>
      </c>
      <c r="L322" s="615">
        <v>73.122604107917766</v>
      </c>
      <c r="M322" s="2970">
        <v>50.94263648033732</v>
      </c>
      <c r="N322" s="1192">
        <v>141.87941933014892</v>
      </c>
      <c r="O322" s="3535">
        <v>51.265678774314999</v>
      </c>
      <c r="P322" s="3535">
        <v>137.87627652505822</v>
      </c>
      <c r="Q322" s="1367">
        <v>163.16080192942059</v>
      </c>
    </row>
    <row r="323" spans="1:17">
      <c r="A323" s="53">
        <f t="shared" si="3"/>
        <v>2019.02</v>
      </c>
      <c r="B323" s="1318">
        <v>128.82987539140709</v>
      </c>
      <c r="C323" s="615">
        <v>145.42022793275811</v>
      </c>
      <c r="D323" s="1192">
        <v>141.9734416016617</v>
      </c>
      <c r="E323" s="3535">
        <v>94.210106409917387</v>
      </c>
      <c r="F323" s="615">
        <v>85.209767226023089</v>
      </c>
      <c r="G323" s="3535">
        <v>142.97519809171757</v>
      </c>
      <c r="H323" s="615">
        <v>85.222611480490201</v>
      </c>
      <c r="I323" s="3535">
        <v>177.30620074524973</v>
      </c>
      <c r="J323" s="615">
        <v>179.63539302478327</v>
      </c>
      <c r="K323" s="3535">
        <v>146.45730887971294</v>
      </c>
      <c r="L323" s="615">
        <v>104.79337130658156</v>
      </c>
      <c r="M323" s="2970">
        <v>117.13106640251497</v>
      </c>
      <c r="N323" s="1192">
        <v>131.40472775517804</v>
      </c>
      <c r="O323" s="3535">
        <v>80.782915660187157</v>
      </c>
      <c r="P323" s="3535">
        <v>137.68438412908196</v>
      </c>
      <c r="Q323" s="1367">
        <v>303.86298334206452</v>
      </c>
    </row>
    <row r="324" spans="1:17">
      <c r="A324" s="53">
        <f t="shared" si="3"/>
        <v>2019.03</v>
      </c>
      <c r="B324" s="1318">
        <v>141.78628798149992</v>
      </c>
      <c r="C324" s="615">
        <v>139.37422114614634</v>
      </c>
      <c r="D324" s="1192">
        <v>150.91325081059043</v>
      </c>
      <c r="E324" s="3535">
        <v>76.184463943311655</v>
      </c>
      <c r="F324" s="615">
        <v>96.106465574896248</v>
      </c>
      <c r="G324" s="3535">
        <v>148.82504074695805</v>
      </c>
      <c r="H324" s="615">
        <v>99.823076179743623</v>
      </c>
      <c r="I324" s="3535">
        <v>185.88380068237356</v>
      </c>
      <c r="J324" s="615">
        <v>188.21895988631258</v>
      </c>
      <c r="K324" s="3535">
        <v>178.56971530903473</v>
      </c>
      <c r="L324" s="615">
        <v>151.71723635199072</v>
      </c>
      <c r="M324" s="2970">
        <v>106.25171899869807</v>
      </c>
      <c r="N324" s="1192">
        <v>134.37782334673005</v>
      </c>
      <c r="O324" s="3535">
        <v>110.15188819670151</v>
      </c>
      <c r="P324" s="3535">
        <v>149.87843858142486</v>
      </c>
      <c r="Q324" s="1367">
        <v>313.97617942776651</v>
      </c>
    </row>
    <row r="325" spans="1:17">
      <c r="A325" s="53">
        <f t="shared" si="3"/>
        <v>2019.04</v>
      </c>
      <c r="B325" s="1318">
        <v>141.5454818934449</v>
      </c>
      <c r="C325" s="615">
        <v>141.16496718493912</v>
      </c>
      <c r="D325" s="1192">
        <v>159.99784519756219</v>
      </c>
      <c r="E325" s="3535">
        <v>82.61560666105855</v>
      </c>
      <c r="F325" s="615">
        <v>96.090533777981904</v>
      </c>
      <c r="G325" s="3535">
        <v>135.37625544366432</v>
      </c>
      <c r="H325" s="615">
        <v>89.587727609522474</v>
      </c>
      <c r="I325" s="3535">
        <v>172.65477457982985</v>
      </c>
      <c r="J325" s="615">
        <v>182.53832345799532</v>
      </c>
      <c r="K325" s="3535">
        <v>188.1243277479546</v>
      </c>
      <c r="L325" s="615">
        <v>145.2795236912028</v>
      </c>
      <c r="M325" s="2970">
        <v>112.07268407112504</v>
      </c>
      <c r="N325" s="1192">
        <v>142.87528177921013</v>
      </c>
      <c r="O325" s="3535">
        <v>102.12737110999139</v>
      </c>
      <c r="P325" s="3535">
        <v>144.80281226591575</v>
      </c>
      <c r="Q325" s="1367">
        <v>351.9225984996196</v>
      </c>
    </row>
    <row r="326" spans="1:17">
      <c r="A326" s="53">
        <f t="shared" si="3"/>
        <v>2019.05</v>
      </c>
      <c r="B326" s="1318">
        <v>149.70397055434097</v>
      </c>
      <c r="C326" s="615">
        <v>144.7519001413398</v>
      </c>
      <c r="D326" s="1192">
        <v>164.69198422918183</v>
      </c>
      <c r="E326" s="3535">
        <v>92.160013401050861</v>
      </c>
      <c r="F326" s="615">
        <v>100.29624155178828</v>
      </c>
      <c r="G326" s="3535">
        <v>141.08333249401295</v>
      </c>
      <c r="H326" s="615">
        <v>100.8077727848993</v>
      </c>
      <c r="I326" s="3535">
        <v>199.01826952469446</v>
      </c>
      <c r="J326" s="615">
        <v>184.49513461438102</v>
      </c>
      <c r="K326" s="3535">
        <v>184.72281053157224</v>
      </c>
      <c r="L326" s="615">
        <v>154.94018268371224</v>
      </c>
      <c r="M326" s="2970">
        <v>112.05198919246615</v>
      </c>
      <c r="N326" s="1192">
        <v>148.64265180030833</v>
      </c>
      <c r="O326" s="3535">
        <v>109.47339711876565</v>
      </c>
      <c r="P326" s="3535">
        <v>155.56018206543183</v>
      </c>
      <c r="Q326" s="1367">
        <v>351.10830871051536</v>
      </c>
    </row>
    <row r="327" spans="1:17">
      <c r="A327" s="53">
        <f t="shared" si="3"/>
        <v>2019.06</v>
      </c>
      <c r="B327" s="1318">
        <v>137.36717013454683</v>
      </c>
      <c r="C327" s="615">
        <v>139.77601404405326</v>
      </c>
      <c r="D327" s="1192">
        <v>165.41326614861177</v>
      </c>
      <c r="E327" s="3535">
        <v>66.345524687081308</v>
      </c>
      <c r="F327" s="615">
        <v>94.344945361317102</v>
      </c>
      <c r="G327" s="3535">
        <v>141.61028104860873</v>
      </c>
      <c r="H327" s="615">
        <v>92.13896293844202</v>
      </c>
      <c r="I327" s="3535">
        <v>151.17398348212112</v>
      </c>
      <c r="J327" s="615">
        <v>173.72650820856228</v>
      </c>
      <c r="K327" s="3535">
        <v>182.86361256162886</v>
      </c>
      <c r="L327" s="615">
        <v>152.41717583569402</v>
      </c>
      <c r="M327" s="2970">
        <v>87.526287739365074</v>
      </c>
      <c r="N327" s="1192">
        <v>143.49229671209486</v>
      </c>
      <c r="O327" s="3535">
        <v>105.11621053022736</v>
      </c>
      <c r="P327" s="3535">
        <v>137.20587783602656</v>
      </c>
      <c r="Q327" s="1367">
        <v>301.17654164106153</v>
      </c>
    </row>
    <row r="328" spans="1:17">
      <c r="A328" s="53">
        <f t="shared" si="3"/>
        <v>2019.07</v>
      </c>
      <c r="B328" s="1318">
        <v>150.69067281973878</v>
      </c>
      <c r="C328" s="615">
        <v>142.36941642733305</v>
      </c>
      <c r="D328" s="1192">
        <v>192.08545088155921</v>
      </c>
      <c r="E328" s="3535">
        <v>85.171278993641948</v>
      </c>
      <c r="F328" s="615">
        <v>89.310550204296504</v>
      </c>
      <c r="G328" s="3535">
        <v>142.22094048657979</v>
      </c>
      <c r="H328" s="615">
        <v>96.924405183828682</v>
      </c>
      <c r="I328" s="3535">
        <v>183.86243194310086</v>
      </c>
      <c r="J328" s="615">
        <v>187.58030221001931</v>
      </c>
      <c r="K328" s="3535">
        <v>184.70747307275576</v>
      </c>
      <c r="L328" s="615">
        <v>167.3210450639699</v>
      </c>
      <c r="M328" s="2970">
        <v>78.747312030771241</v>
      </c>
      <c r="N328" s="1192">
        <v>168.42828196148619</v>
      </c>
      <c r="O328" s="3535">
        <v>112.74036115581499</v>
      </c>
      <c r="P328" s="3535">
        <v>146.25333801371175</v>
      </c>
      <c r="Q328" s="1367">
        <v>301.59932663364572</v>
      </c>
    </row>
    <row r="329" spans="1:17">
      <c r="A329" s="53">
        <f t="shared" si="3"/>
        <v>2019.08</v>
      </c>
      <c r="B329" s="1318">
        <v>153.06510094421589</v>
      </c>
      <c r="C329" s="615">
        <v>142.61286112506809</v>
      </c>
      <c r="D329" s="1192">
        <v>191.1807385138647</v>
      </c>
      <c r="E329" s="3535">
        <v>91.938515995062204</v>
      </c>
      <c r="F329" s="615">
        <v>86.250288573784417</v>
      </c>
      <c r="G329" s="3535">
        <v>145.3871330151826</v>
      </c>
      <c r="H329" s="615">
        <v>102.95555092266517</v>
      </c>
      <c r="I329" s="3535">
        <v>169.28280916190562</v>
      </c>
      <c r="J329" s="615">
        <v>203.21990233250193</v>
      </c>
      <c r="K329" s="3535">
        <v>189.91295637484825</v>
      </c>
      <c r="L329" s="615">
        <v>159.60792945603919</v>
      </c>
      <c r="M329" s="2970">
        <v>109.54876868245834</v>
      </c>
      <c r="N329" s="1192">
        <v>169.22116121299877</v>
      </c>
      <c r="O329" s="3535">
        <v>111.73143898493225</v>
      </c>
      <c r="P329" s="3535">
        <v>147.95940313913724</v>
      </c>
      <c r="Q329" s="1367">
        <v>352.80670542259838</v>
      </c>
    </row>
    <row r="330" spans="1:17">
      <c r="A330" s="53">
        <f t="shared" si="3"/>
        <v>2019.09</v>
      </c>
      <c r="B330" s="1318">
        <v>146.09519459693172</v>
      </c>
      <c r="C330" s="615">
        <v>139.25085327089585</v>
      </c>
      <c r="D330" s="1192">
        <v>182.09748487566472</v>
      </c>
      <c r="E330" s="3535">
        <v>80.149989760515339</v>
      </c>
      <c r="F330" s="615">
        <v>84.794599600370447</v>
      </c>
      <c r="G330" s="3535">
        <v>144.98800663236909</v>
      </c>
      <c r="H330" s="615">
        <v>96.374799690097177</v>
      </c>
      <c r="I330" s="3535">
        <v>174.5884343561886</v>
      </c>
      <c r="J330" s="615">
        <v>183.37918239028656</v>
      </c>
      <c r="K330" s="3535">
        <v>179.65764463092361</v>
      </c>
      <c r="L330" s="615">
        <v>147.44584994581857</v>
      </c>
      <c r="M330" s="2970">
        <v>95.445689950414604</v>
      </c>
      <c r="N330" s="1192">
        <v>159.53930507284309</v>
      </c>
      <c r="O330" s="3535">
        <v>101.13494425436002</v>
      </c>
      <c r="P330" s="3535">
        <v>145.95569385560381</v>
      </c>
      <c r="Q330" s="1367">
        <v>324.5629225069527</v>
      </c>
    </row>
    <row r="331" spans="1:17">
      <c r="A331" s="53">
        <f t="shared" si="3"/>
        <v>2019.1</v>
      </c>
      <c r="B331" s="1318">
        <v>153.90917696901909</v>
      </c>
      <c r="C331" s="615">
        <v>143.62550715077393</v>
      </c>
      <c r="D331" s="1192">
        <v>184.79281542947416</v>
      </c>
      <c r="E331" s="3535">
        <v>88.22911375216519</v>
      </c>
      <c r="F331" s="615">
        <v>80.982856899479401</v>
      </c>
      <c r="G331" s="3535">
        <v>151.32149988972432</v>
      </c>
      <c r="H331" s="615">
        <v>104.43706071277643</v>
      </c>
      <c r="I331" s="3535">
        <v>207.16752093074885</v>
      </c>
      <c r="J331" s="615">
        <v>189.64067177162087</v>
      </c>
      <c r="K331" s="3535">
        <v>179.57645433041012</v>
      </c>
      <c r="L331" s="615">
        <v>143.93135617526514</v>
      </c>
      <c r="M331" s="2970">
        <v>110.73342058741656</v>
      </c>
      <c r="N331" s="1192">
        <v>163.42592120218222</v>
      </c>
      <c r="O331" s="3535">
        <v>102.58711508772342</v>
      </c>
      <c r="P331" s="3535">
        <v>158.99740185945913</v>
      </c>
      <c r="Q331" s="1367">
        <v>338.1445662735465</v>
      </c>
    </row>
    <row r="332" spans="1:17">
      <c r="A332" s="53">
        <f t="shared" si="3"/>
        <v>2019.11</v>
      </c>
      <c r="B332" s="1318">
        <v>139.66119850301016</v>
      </c>
      <c r="C332" s="615">
        <v>140.1770877447351</v>
      </c>
      <c r="D332" s="1192">
        <v>162.85254475261766</v>
      </c>
      <c r="E332" s="3535">
        <v>87.322236504999353</v>
      </c>
      <c r="F332" s="615">
        <v>78.73182662864717</v>
      </c>
      <c r="G332" s="3535">
        <v>158.99461616199187</v>
      </c>
      <c r="H332" s="615">
        <v>98.468019580222574</v>
      </c>
      <c r="I332" s="3535">
        <v>187.40597041343943</v>
      </c>
      <c r="J332" s="615">
        <v>172.79555805980604</v>
      </c>
      <c r="K332" s="3535">
        <v>167.10093848317351</v>
      </c>
      <c r="L332" s="615">
        <v>135.10768638193269</v>
      </c>
      <c r="M332" s="2970">
        <v>94.613411871666585</v>
      </c>
      <c r="N332" s="1192">
        <v>146.13976262797749</v>
      </c>
      <c r="O332" s="3535">
        <v>100.10753495262445</v>
      </c>
      <c r="P332" s="3535">
        <v>145.24134469643434</v>
      </c>
      <c r="Q332" s="1367">
        <v>265.7071349803964</v>
      </c>
    </row>
    <row r="333" spans="1:17">
      <c r="A333" s="53">
        <f t="shared" si="3"/>
        <v>2019.12</v>
      </c>
      <c r="B333" s="1318">
        <v>133.08789019656979</v>
      </c>
      <c r="C333" s="615">
        <v>141.48052694094059</v>
      </c>
      <c r="D333" s="1192">
        <v>170.54315835595904</v>
      </c>
      <c r="E333" s="3535">
        <v>89.533680757702328</v>
      </c>
      <c r="F333" s="615">
        <v>69.572808976610631</v>
      </c>
      <c r="G333" s="3535">
        <v>153.79269448019423</v>
      </c>
      <c r="H333" s="615">
        <v>101.40271348077192</v>
      </c>
      <c r="I333" s="3535">
        <v>168.35357492003763</v>
      </c>
      <c r="J333" s="615">
        <v>156.88908676298809</v>
      </c>
      <c r="K333" s="3535">
        <v>155.35260516785394</v>
      </c>
      <c r="L333" s="615">
        <v>113.71043422992042</v>
      </c>
      <c r="M333" s="2970">
        <v>50.780282568168161</v>
      </c>
      <c r="N333" s="1192">
        <v>152.61798658660803</v>
      </c>
      <c r="O333" s="3535">
        <v>77.174147647259161</v>
      </c>
      <c r="P333" s="3535">
        <v>141.97823236787249</v>
      </c>
      <c r="Q333" s="1367">
        <v>193.6658562038925</v>
      </c>
    </row>
    <row r="334" spans="1:17">
      <c r="A334" s="53">
        <f t="shared" si="3"/>
        <v>2020.01</v>
      </c>
      <c r="B334" s="1318">
        <v>129.50038404573709</v>
      </c>
      <c r="C334" s="615">
        <v>134.64334810689201</v>
      </c>
      <c r="D334" s="1192">
        <v>160.98982632895428</v>
      </c>
      <c r="E334" s="3535">
        <v>89.605344296308843</v>
      </c>
      <c r="F334" s="615">
        <v>68.021721933365356</v>
      </c>
      <c r="G334" s="3535">
        <v>149.9994628151897</v>
      </c>
      <c r="H334" s="615">
        <v>104.14162431328356</v>
      </c>
      <c r="I334" s="3535">
        <v>199.55054957522029</v>
      </c>
      <c r="J334" s="615">
        <v>156.85053643941018</v>
      </c>
      <c r="K334" s="3535">
        <v>150.80288783393621</v>
      </c>
      <c r="L334" s="615">
        <v>76.503138914379349</v>
      </c>
      <c r="M334" s="2970">
        <v>70.932616925995021</v>
      </c>
      <c r="N334" s="1192">
        <v>145.19440164485715</v>
      </c>
      <c r="O334" s="3535">
        <v>53.675573622271301</v>
      </c>
      <c r="P334" s="3535">
        <v>148.35225967428164</v>
      </c>
      <c r="Q334" s="1367">
        <v>218.5538489240775</v>
      </c>
    </row>
    <row r="335" spans="1:17">
      <c r="A335" s="53">
        <f t="shared" si="3"/>
        <v>2020.02</v>
      </c>
      <c r="B335" s="1318">
        <v>128.37073191647909</v>
      </c>
      <c r="C335" s="615">
        <v>130.72044122413899</v>
      </c>
      <c r="D335" s="1192">
        <v>149.4961272298616</v>
      </c>
      <c r="E335" s="3535">
        <v>84.00512226170909</v>
      </c>
      <c r="F335" s="615">
        <v>84.916983096038194</v>
      </c>
      <c r="G335" s="3535">
        <v>144.73793559990693</v>
      </c>
      <c r="H335" s="615">
        <v>96.86556275531764</v>
      </c>
      <c r="I335" s="3535">
        <v>183.00734612296679</v>
      </c>
      <c r="J335" s="615">
        <v>140.69588257361087</v>
      </c>
      <c r="K335" s="3535">
        <v>158.20794977661376</v>
      </c>
      <c r="L335" s="615">
        <v>103.021517881492</v>
      </c>
      <c r="M335" s="2970">
        <v>93.613460895982016</v>
      </c>
      <c r="N335" s="1192">
        <v>135.0047671050209</v>
      </c>
      <c r="O335" s="3535">
        <v>76.531024004605825</v>
      </c>
      <c r="P335" s="3535">
        <v>139.22468064775143</v>
      </c>
      <c r="Q335" s="1367">
        <v>259.83267516838629</v>
      </c>
    </row>
    <row r="336" spans="1:17">
      <c r="A336" s="53">
        <f t="shared" si="3"/>
        <v>2020.03</v>
      </c>
      <c r="B336" s="1318">
        <v>129.390290228948</v>
      </c>
      <c r="C336" s="615">
        <v>125.23278388635133</v>
      </c>
      <c r="D336" s="1192">
        <v>151.427528334497</v>
      </c>
      <c r="E336" s="3535">
        <v>72.959380738179689</v>
      </c>
      <c r="F336" s="615">
        <v>95.842631177617577</v>
      </c>
      <c r="G336" s="3535">
        <v>144.73861727209339</v>
      </c>
      <c r="H336" s="615">
        <v>91.670745597971532</v>
      </c>
      <c r="I336" s="3535">
        <v>179.15779396690388</v>
      </c>
      <c r="J336" s="615">
        <v>103.59905210852133</v>
      </c>
      <c r="K336" s="3535">
        <v>142.16983157510302</v>
      </c>
      <c r="L336" s="615">
        <v>140.90723677971027</v>
      </c>
      <c r="M336" s="2970">
        <v>69.570799188806106</v>
      </c>
      <c r="N336" s="1192">
        <v>134.06468307505486</v>
      </c>
      <c r="O336" s="3535">
        <v>99.309060666064539</v>
      </c>
      <c r="P336" s="3535">
        <v>133.29212733925942</v>
      </c>
      <c r="Q336" s="1367">
        <v>232.79231605707989</v>
      </c>
    </row>
    <row r="337" spans="1:17">
      <c r="A337" s="53">
        <f t="shared" si="3"/>
        <v>2020.04</v>
      </c>
      <c r="B337" s="1318">
        <v>101.28743716894104</v>
      </c>
      <c r="C337" s="615">
        <v>125.845505207054</v>
      </c>
      <c r="D337" s="1192">
        <v>155.57156298959029</v>
      </c>
      <c r="E337" s="3535">
        <v>34.875722306446278</v>
      </c>
      <c r="F337" s="615">
        <v>95.242105241747623</v>
      </c>
      <c r="G337" s="3535">
        <v>114.08451467741401</v>
      </c>
      <c r="H337" s="615">
        <v>58.107639385828989</v>
      </c>
      <c r="I337" s="3535">
        <v>142.82376945290889</v>
      </c>
      <c r="J337" s="615">
        <v>63.950643879233411</v>
      </c>
      <c r="K337" s="3535">
        <v>63.88931158942556</v>
      </c>
      <c r="L337" s="615">
        <v>111.2142618402907</v>
      </c>
      <c r="M337" s="2970">
        <v>0</v>
      </c>
      <c r="N337" s="1192">
        <v>128.86488939738658</v>
      </c>
      <c r="O337" s="3535">
        <v>74.419257151303981</v>
      </c>
      <c r="P337" s="3535">
        <v>98.011089597608887</v>
      </c>
      <c r="Q337" s="1367">
        <v>61.187818099360975</v>
      </c>
    </row>
    <row r="338" spans="1:17">
      <c r="A338" s="53">
        <f t="shared" si="3"/>
        <v>2020.05</v>
      </c>
      <c r="B338" s="1318">
        <v>119.0193854012421</v>
      </c>
      <c r="C338" s="615">
        <v>125.02907903266276</v>
      </c>
      <c r="D338" s="1192">
        <v>158.62696735695022</v>
      </c>
      <c r="E338" s="3535">
        <v>77.939796860255157</v>
      </c>
      <c r="F338" s="615">
        <v>96.187294232748201</v>
      </c>
      <c r="G338" s="3535">
        <v>128.14502272202174</v>
      </c>
      <c r="H338" s="615">
        <v>74.117615438794189</v>
      </c>
      <c r="I338" s="3535">
        <v>170.2717676367046</v>
      </c>
      <c r="J338" s="615">
        <v>109.4037507362932</v>
      </c>
      <c r="K338" s="3535">
        <v>91.136625730611982</v>
      </c>
      <c r="L338" s="615">
        <v>125.58991463024779</v>
      </c>
      <c r="M338" s="2970">
        <v>17.745360467748835</v>
      </c>
      <c r="N338" s="1192">
        <v>140.77311329423378</v>
      </c>
      <c r="O338" s="3535">
        <v>84.61868387614517</v>
      </c>
      <c r="P338" s="3535">
        <v>120.83683868977093</v>
      </c>
      <c r="Q338" s="1367">
        <v>113.52795323159592</v>
      </c>
    </row>
    <row r="339" spans="1:17">
      <c r="A339" s="53">
        <f t="shared" si="3"/>
        <v>2020.06</v>
      </c>
      <c r="B339" s="1318">
        <v>131.25284592838139</v>
      </c>
      <c r="C339" s="615">
        <v>129.15073656019402</v>
      </c>
      <c r="D339" s="1192">
        <v>174.36774207991698</v>
      </c>
      <c r="E339" s="3535">
        <v>103.58070366998604</v>
      </c>
      <c r="F339" s="615">
        <v>91.838386354272444</v>
      </c>
      <c r="G339" s="3535">
        <v>135.58304996505143</v>
      </c>
      <c r="H339" s="615">
        <v>84.05823676574164</v>
      </c>
      <c r="I339" s="3535">
        <v>155.52787997928411</v>
      </c>
      <c r="J339" s="615">
        <v>160.46672401836452</v>
      </c>
      <c r="K339" s="3535">
        <v>108.26047445519642</v>
      </c>
      <c r="L339" s="615">
        <v>131.37943922199301</v>
      </c>
      <c r="M339" s="2970">
        <v>57.165609505526291</v>
      </c>
      <c r="N339" s="1192">
        <v>158.70451525559091</v>
      </c>
      <c r="O339" s="3535">
        <v>91.951600105343573</v>
      </c>
      <c r="P339" s="3535">
        <v>126.45476937682065</v>
      </c>
      <c r="Q339" s="1367">
        <v>200.46150396923247</v>
      </c>
    </row>
    <row r="340" spans="1:17">
      <c r="A340" s="53">
        <f t="shared" si="3"/>
        <v>2020.07</v>
      </c>
      <c r="B340" s="1318">
        <v>141.91504168149498</v>
      </c>
      <c r="C340" s="615">
        <v>134.44419795611952</v>
      </c>
      <c r="D340" s="1192">
        <v>187.54474550901452</v>
      </c>
      <c r="E340" s="3535">
        <v>72.710513652805147</v>
      </c>
      <c r="F340" s="615">
        <v>88.149424474696275</v>
      </c>
      <c r="G340" s="3535">
        <v>140.7809657405522</v>
      </c>
      <c r="H340" s="615">
        <v>88.164746302296095</v>
      </c>
      <c r="I340" s="3535">
        <v>177.53090228331465</v>
      </c>
      <c r="J340" s="615">
        <v>172.70323648311773</v>
      </c>
      <c r="K340" s="3535">
        <v>138.15043369621708</v>
      </c>
      <c r="L340" s="615">
        <v>149.38693087288931</v>
      </c>
      <c r="M340" s="2970">
        <v>77.695937578733407</v>
      </c>
      <c r="N340" s="1192">
        <v>162.13508491063135</v>
      </c>
      <c r="O340" s="3535">
        <v>103.11896469014225</v>
      </c>
      <c r="P340" s="3535">
        <v>137.58376827557805</v>
      </c>
      <c r="Q340" s="1367">
        <v>272.47324282046441</v>
      </c>
    </row>
    <row r="341" spans="1:17">
      <c r="A341" s="53">
        <f t="shared" si="3"/>
        <v>2020.08</v>
      </c>
      <c r="B341" s="1318">
        <v>147.69891633230316</v>
      </c>
      <c r="C341" s="615">
        <v>138.91249326886418</v>
      </c>
      <c r="D341" s="1192">
        <v>186.12503111570908</v>
      </c>
      <c r="E341" s="3535">
        <v>88.618020963924465</v>
      </c>
      <c r="F341" s="615">
        <v>85.993774655299944</v>
      </c>
      <c r="G341" s="3535">
        <v>136.17211637500097</v>
      </c>
      <c r="H341" s="615">
        <v>89.64207324975348</v>
      </c>
      <c r="I341" s="3535">
        <v>192.29481095382948</v>
      </c>
      <c r="J341" s="615">
        <v>181.17807975803592</v>
      </c>
      <c r="K341" s="3535">
        <v>142.76337280181119</v>
      </c>
      <c r="L341" s="615">
        <v>147.81932862880842</v>
      </c>
      <c r="M341" s="2970">
        <v>92.007737385872474</v>
      </c>
      <c r="N341" s="1192">
        <v>164.54940863910883</v>
      </c>
      <c r="O341" s="3535">
        <v>103.39521543003457</v>
      </c>
      <c r="P341" s="3535">
        <v>146.63132681090579</v>
      </c>
      <c r="Q341" s="1367">
        <v>301.5377101006477</v>
      </c>
    </row>
    <row r="342" spans="1:17">
      <c r="A342" s="53">
        <f t="shared" si="3"/>
        <v>2020.09</v>
      </c>
      <c r="B342" s="1318">
        <v>151.21268913850648</v>
      </c>
      <c r="C342" s="615">
        <v>142.4122942238273</v>
      </c>
      <c r="D342" s="1192">
        <v>186.73396830900941</v>
      </c>
      <c r="E342" s="3535">
        <v>81.371507887128232</v>
      </c>
      <c r="F342" s="615">
        <v>84.72693218243684</v>
      </c>
      <c r="G342" s="3535">
        <v>143.80176358950905</v>
      </c>
      <c r="H342" s="615">
        <v>75.007325426116353</v>
      </c>
      <c r="I342" s="3535">
        <v>193.47798511279458</v>
      </c>
      <c r="J342" s="615">
        <v>203.1023092390285</v>
      </c>
      <c r="K342" s="3535">
        <v>147.53397264828951</v>
      </c>
      <c r="L342" s="615">
        <v>139.06907145406532</v>
      </c>
      <c r="M342" s="2970">
        <v>111.24162647789669</v>
      </c>
      <c r="N342" s="1192">
        <v>163.42015050524782</v>
      </c>
      <c r="O342" s="3535">
        <v>101.0666780054749</v>
      </c>
      <c r="P342" s="3535">
        <v>154.65448323605861</v>
      </c>
      <c r="Q342" s="1367">
        <v>324.91699821058796</v>
      </c>
    </row>
    <row r="343" spans="1:17">
      <c r="A343" s="53">
        <f t="shared" si="3"/>
        <v>2020.1</v>
      </c>
      <c r="B343" s="1318">
        <v>149.92485711161535</v>
      </c>
      <c r="C343" s="615">
        <v>142.92166166578801</v>
      </c>
      <c r="D343" s="1192">
        <v>182.20541720207314</v>
      </c>
      <c r="E343" s="3535">
        <v>95.693168996331508</v>
      </c>
      <c r="F343" s="615">
        <v>80.900204567125712</v>
      </c>
      <c r="G343" s="3535">
        <v>134.30611564927744</v>
      </c>
      <c r="H343" s="615">
        <v>83.352409029440764</v>
      </c>
      <c r="I343" s="3535">
        <v>201.20419165293413</v>
      </c>
      <c r="J343" s="615">
        <v>210.04633867335133</v>
      </c>
      <c r="K343" s="3535">
        <v>162.64305802925423</v>
      </c>
      <c r="L343" s="615">
        <v>136.02194054349167</v>
      </c>
      <c r="M343" s="2970">
        <v>100.34796640716455</v>
      </c>
      <c r="N343" s="1192">
        <v>163.06263347828309</v>
      </c>
      <c r="O343" s="3535">
        <v>99.26207552333652</v>
      </c>
      <c r="P343" s="3535">
        <v>155.13641804483251</v>
      </c>
      <c r="Q343" s="1367">
        <v>291.89780773491702</v>
      </c>
    </row>
    <row r="344" spans="1:17">
      <c r="A344" s="53">
        <f t="shared" si="3"/>
        <v>2020.11</v>
      </c>
      <c r="B344" s="1318">
        <v>144.82352522309779</v>
      </c>
      <c r="C344" s="615">
        <v>145.63295234521456</v>
      </c>
      <c r="D344" s="1192">
        <v>167.86753938787598</v>
      </c>
      <c r="E344" s="3535">
        <v>93.549961512597335</v>
      </c>
      <c r="F344" s="615">
        <v>79.637377862542152</v>
      </c>
      <c r="G344" s="3535">
        <v>154.39543211346222</v>
      </c>
      <c r="H344" s="615">
        <v>86.581821383293416</v>
      </c>
      <c r="I344" s="3535">
        <v>187.11161724450534</v>
      </c>
      <c r="J344" s="615">
        <v>217.47857915624934</v>
      </c>
      <c r="K344" s="3535">
        <v>164.66034923331699</v>
      </c>
      <c r="L344" s="615">
        <v>125.63911611230411</v>
      </c>
      <c r="M344" s="2970">
        <v>113.73188927307916</v>
      </c>
      <c r="N344" s="1192">
        <v>151.42310117654802</v>
      </c>
      <c r="O344" s="3535">
        <v>94.867673590825717</v>
      </c>
      <c r="P344" s="3535">
        <v>152.86188310928014</v>
      </c>
      <c r="Q344" s="1367">
        <v>305.12038528812781</v>
      </c>
    </row>
    <row r="345" spans="1:17">
      <c r="A345" s="53">
        <f t="shared" si="3"/>
        <v>2020.12</v>
      </c>
      <c r="B345" s="1318">
        <v>137.97674076711098</v>
      </c>
      <c r="C345" s="615">
        <v>145.41130751570424</v>
      </c>
      <c r="D345" s="1192">
        <v>161.1131070596708</v>
      </c>
      <c r="E345" s="3535">
        <v>97.767399938537366</v>
      </c>
      <c r="F345" s="615">
        <v>70.631543494521921</v>
      </c>
      <c r="G345" s="3535">
        <v>151.86777232521644</v>
      </c>
      <c r="H345" s="615">
        <v>94.429287223552592</v>
      </c>
      <c r="I345" s="3535">
        <v>165.5487394276314</v>
      </c>
      <c r="J345" s="615">
        <v>197.01119265631985</v>
      </c>
      <c r="K345" s="3535">
        <v>168.00421056438458</v>
      </c>
      <c r="L345" s="615">
        <v>112.47978633299437</v>
      </c>
      <c r="M345" s="2970">
        <v>105.52691701084188</v>
      </c>
      <c r="N345" s="1192">
        <v>147.09644240928978</v>
      </c>
      <c r="O345" s="3535">
        <v>81.341808930357274</v>
      </c>
      <c r="P345" s="3535">
        <v>146.78158067984248</v>
      </c>
      <c r="Q345" s="1367">
        <v>308.00611432398654</v>
      </c>
    </row>
    <row r="346" spans="1:17">
      <c r="A346" s="53">
        <f t="shared" si="3"/>
        <v>2021.01</v>
      </c>
      <c r="B346" s="1318">
        <v>135.91891160574883</v>
      </c>
      <c r="C346" s="615">
        <v>157.33104565261579</v>
      </c>
      <c r="D346" s="1192">
        <v>162.58353320012236</v>
      </c>
      <c r="E346" s="3535">
        <v>92.142920891278891</v>
      </c>
      <c r="F346" s="615">
        <v>68.605381535699493</v>
      </c>
      <c r="G346" s="3535">
        <v>133.35464571672986</v>
      </c>
      <c r="H346" s="615">
        <v>100.51173165234542</v>
      </c>
      <c r="I346" s="3535">
        <v>199.55726662155419</v>
      </c>
      <c r="J346" s="615">
        <v>182.14043439199568</v>
      </c>
      <c r="K346" s="3535">
        <v>165.11787386117797</v>
      </c>
      <c r="L346" s="615">
        <v>89.418128516343288</v>
      </c>
      <c r="M346" s="2970">
        <v>83.472842085140627</v>
      </c>
      <c r="N346" s="1192">
        <v>146.99696095438981</v>
      </c>
      <c r="O346" s="3535">
        <v>66.089451468816335</v>
      </c>
      <c r="P346" s="3535">
        <v>154.4682233856054</v>
      </c>
      <c r="Q346" s="1367">
        <v>233.8981409692226</v>
      </c>
    </row>
    <row r="347" spans="1:17">
      <c r="A347" s="53">
        <f t="shared" si="3"/>
        <v>2021.02</v>
      </c>
      <c r="B347" s="1318">
        <v>129.58902274798186</v>
      </c>
      <c r="C347" s="615">
        <v>151.50823770451592</v>
      </c>
      <c r="D347" s="1192">
        <v>152.15017657461883</v>
      </c>
      <c r="E347" s="3535">
        <v>96.318453268642486</v>
      </c>
      <c r="F347" s="615">
        <v>85.980584873246684</v>
      </c>
      <c r="G347" s="3535">
        <v>135.76887151085313</v>
      </c>
      <c r="H347" s="615">
        <v>90.419565150021128</v>
      </c>
      <c r="I347" s="3535">
        <v>162.86012746454003</v>
      </c>
      <c r="J347" s="615">
        <v>165.66575204463811</v>
      </c>
      <c r="K347" s="3535">
        <v>148.33004989066148</v>
      </c>
      <c r="L347" s="615">
        <v>118.97034139787581</v>
      </c>
      <c r="M347" s="2970">
        <v>77.97737266499324</v>
      </c>
      <c r="N347" s="1192">
        <v>139.79615010623877</v>
      </c>
      <c r="O347" s="3535">
        <v>81.403753371415576</v>
      </c>
      <c r="P347" s="3535">
        <v>135.99996706351325</v>
      </c>
      <c r="Q347" s="1367">
        <v>265.88830340301092</v>
      </c>
    </row>
    <row r="348" spans="1:17">
      <c r="A348" s="53">
        <f t="shared" si="3"/>
        <v>2021.03</v>
      </c>
      <c r="B348" s="1318">
        <v>167.24238571948075</v>
      </c>
      <c r="C348" s="615">
        <v>159.06828942780663</v>
      </c>
      <c r="D348" s="1192">
        <v>175.5780052859584</v>
      </c>
      <c r="E348" s="3535">
        <v>101.610952130165</v>
      </c>
      <c r="F348" s="615">
        <v>96.707495124024547</v>
      </c>
      <c r="G348" s="3535">
        <v>158.16535419373753</v>
      </c>
      <c r="H348" s="615">
        <v>95.861487265812102</v>
      </c>
      <c r="I348" s="3535">
        <v>216.01736784914596</v>
      </c>
      <c r="J348" s="615">
        <v>194.59218611615034</v>
      </c>
      <c r="K348" s="3535">
        <v>180.56008316631531</v>
      </c>
      <c r="L348" s="615">
        <v>193.12073907034042</v>
      </c>
      <c r="M348" s="2970">
        <v>156.67540908473237</v>
      </c>
      <c r="N348" s="1192">
        <v>159.21112856487156</v>
      </c>
      <c r="O348" s="3535">
        <v>142.85890532011973</v>
      </c>
      <c r="P348" s="3535">
        <v>165.541238276988</v>
      </c>
      <c r="Q348" s="1367">
        <v>439.90266460762172</v>
      </c>
    </row>
    <row r="349" spans="1:17">
      <c r="A349" s="53">
        <f t="shared" si="3"/>
        <v>2021.04</v>
      </c>
      <c r="B349" s="1318">
        <v>160.45344830582502</v>
      </c>
      <c r="C349" s="615">
        <v>158.94700395947433</v>
      </c>
      <c r="D349" s="1192">
        <v>168.56429976494738</v>
      </c>
      <c r="E349" s="3535">
        <v>87.78466962764216</v>
      </c>
      <c r="F349" s="615">
        <v>95.653553158801515</v>
      </c>
      <c r="G349" s="3535">
        <v>138.57402469982</v>
      </c>
      <c r="H349" s="615">
        <v>91.732684462600375</v>
      </c>
      <c r="I349" s="3535">
        <v>206.08162493465829</v>
      </c>
      <c r="J349" s="615">
        <v>189.30721939697253</v>
      </c>
      <c r="K349" s="3535">
        <v>157.44681618519351</v>
      </c>
      <c r="L349" s="615">
        <v>216.2233325763616</v>
      </c>
      <c r="M349" s="2970">
        <v>106.85408832957947</v>
      </c>
      <c r="N349" s="1192">
        <v>150.68998692396443</v>
      </c>
      <c r="O349" s="3535">
        <v>165.15804538978719</v>
      </c>
      <c r="P349" s="3535">
        <v>157.41986757289627</v>
      </c>
      <c r="Q349" s="1367">
        <v>269.53553924817135</v>
      </c>
    </row>
    <row r="350" spans="1:17">
      <c r="A350" s="53">
        <f t="shared" si="3"/>
        <v>2021.05</v>
      </c>
      <c r="B350" s="1318">
        <v>158.37371843364747</v>
      </c>
      <c r="C350" s="615">
        <v>156.97709440029263</v>
      </c>
      <c r="D350" s="1192">
        <v>164.83864036348311</v>
      </c>
      <c r="E350" s="3535">
        <v>89.80763106141886</v>
      </c>
      <c r="F350" s="615">
        <v>96.813961929132205</v>
      </c>
      <c r="G350" s="3535">
        <v>131.33590439554459</v>
      </c>
      <c r="H350" s="615">
        <v>98.148088153261014</v>
      </c>
      <c r="I350" s="3535">
        <v>216.22067330153513</v>
      </c>
      <c r="J350" s="615">
        <v>177.52891988467493</v>
      </c>
      <c r="K350" s="3535">
        <v>169.84737280159663</v>
      </c>
      <c r="L350" s="615">
        <v>181.88188549190204</v>
      </c>
      <c r="M350" s="2970">
        <v>127.17449910215441</v>
      </c>
      <c r="N350" s="1192">
        <v>148.23633937794733</v>
      </c>
      <c r="O350" s="3535">
        <v>140.00002956356587</v>
      </c>
      <c r="P350" s="3535">
        <v>162.74341161649318</v>
      </c>
      <c r="Q350" s="1367">
        <v>321.1007156203072</v>
      </c>
    </row>
    <row r="351" spans="1:17">
      <c r="A351" s="53">
        <f t="shared" si="3"/>
        <v>2021.06</v>
      </c>
      <c r="B351" s="1318">
        <v>161.69537274032311</v>
      </c>
      <c r="C351" s="615">
        <v>157.95357951536315</v>
      </c>
      <c r="D351" s="1192">
        <v>182.49440854651425</v>
      </c>
      <c r="E351" s="3535">
        <v>74.505740461276062</v>
      </c>
      <c r="F351" s="615">
        <v>92.774056096061514</v>
      </c>
      <c r="G351" s="3535">
        <v>136.67007972112913</v>
      </c>
      <c r="H351" s="615">
        <v>92.771058120862094</v>
      </c>
      <c r="I351" s="3535">
        <v>205.82276008144854</v>
      </c>
      <c r="J351" s="615">
        <v>190.41318814199701</v>
      </c>
      <c r="K351" s="3535">
        <v>171.02665077284564</v>
      </c>
      <c r="L351" s="615">
        <v>177.07118636790682</v>
      </c>
      <c r="M351" s="2970">
        <v>145.70461044921296</v>
      </c>
      <c r="N351" s="1192">
        <v>158.59948313826817</v>
      </c>
      <c r="O351" s="3535">
        <v>138.58134529654939</v>
      </c>
      <c r="P351" s="3535">
        <v>161.35585552738704</v>
      </c>
      <c r="Q351" s="1367">
        <v>356.61894353123336</v>
      </c>
    </row>
    <row r="352" spans="1:17">
      <c r="A352" s="53">
        <f t="shared" si="3"/>
        <v>2021.07</v>
      </c>
      <c r="B352" s="1318">
        <v>161.60942153437816</v>
      </c>
      <c r="C352" s="615">
        <v>155.66457713868689</v>
      </c>
      <c r="D352" s="1192">
        <v>191.72286719942801</v>
      </c>
      <c r="E352" s="3535">
        <v>85.562581041163554</v>
      </c>
      <c r="F352" s="615">
        <v>88.367693875815391</v>
      </c>
      <c r="G352" s="3535">
        <v>153.79704351726505</v>
      </c>
      <c r="H352" s="615">
        <v>93.871048161712906</v>
      </c>
      <c r="I352" s="3535">
        <v>194.64292177525613</v>
      </c>
      <c r="J352" s="615">
        <v>205.98751887151263</v>
      </c>
      <c r="K352" s="3535">
        <v>182.15176302236142</v>
      </c>
      <c r="L352" s="615">
        <v>188.67962322997184</v>
      </c>
      <c r="M352" s="2970">
        <v>116.0697183285078</v>
      </c>
      <c r="N352" s="1192">
        <v>168.23251247936133</v>
      </c>
      <c r="O352" s="3535">
        <v>135.56595175620697</v>
      </c>
      <c r="P352" s="3535">
        <v>156.10512293636839</v>
      </c>
      <c r="Q352" s="1367">
        <v>356.41630961795363</v>
      </c>
    </row>
    <row r="353" spans="1:17">
      <c r="A353" s="53">
        <f t="shared" si="3"/>
        <v>2021.08</v>
      </c>
      <c r="B353" s="1318">
        <v>166.8164329007129</v>
      </c>
      <c r="C353" s="615">
        <v>154.1584382394723</v>
      </c>
      <c r="D353" s="1192">
        <v>195.65710757592711</v>
      </c>
      <c r="E353" s="3535">
        <v>95.748853694448727</v>
      </c>
      <c r="F353" s="615">
        <v>86.201552866061974</v>
      </c>
      <c r="G353" s="3535">
        <v>146.19415008675151</v>
      </c>
      <c r="H353" s="615">
        <v>97.903324369629502</v>
      </c>
      <c r="I353" s="3535">
        <v>207.9369300832507</v>
      </c>
      <c r="J353" s="615">
        <v>211.58658175904776</v>
      </c>
      <c r="K353" s="3535">
        <v>181.83073897720868</v>
      </c>
      <c r="L353" s="615">
        <v>184.24895553441468</v>
      </c>
      <c r="M353" s="2970">
        <v>139.68870980752789</v>
      </c>
      <c r="N353" s="1192">
        <v>173.55015583278976</v>
      </c>
      <c r="O353" s="3535">
        <v>136.53537229772374</v>
      </c>
      <c r="P353" s="3535">
        <v>161.20256535308215</v>
      </c>
      <c r="Q353" s="1367">
        <v>391.33168241264548</v>
      </c>
    </row>
    <row r="354" spans="1:17">
      <c r="A354" s="53">
        <f t="shared" si="3"/>
        <v>2021.09</v>
      </c>
      <c r="B354" s="1318">
        <v>164.77891839340927</v>
      </c>
      <c r="C354" s="615">
        <v>155.35679387144262</v>
      </c>
      <c r="D354" s="1192">
        <v>195.99394773169413</v>
      </c>
      <c r="E354" s="3535">
        <v>85.923140880552481</v>
      </c>
      <c r="F354" s="615">
        <v>85.999417522727086</v>
      </c>
      <c r="G354" s="3535">
        <v>154.07623150257999</v>
      </c>
      <c r="H354" s="615">
        <v>95.402466009297072</v>
      </c>
      <c r="I354" s="3535">
        <v>202.43062149719646</v>
      </c>
      <c r="J354" s="615">
        <v>216.79178634870851</v>
      </c>
      <c r="K354" s="3535">
        <v>181.27495817533659</v>
      </c>
      <c r="L354" s="615">
        <v>157.5830406173379</v>
      </c>
      <c r="M354" s="2970">
        <v>158.57853938482344</v>
      </c>
      <c r="N354" s="1192">
        <v>171.63830221843105</v>
      </c>
      <c r="O354" s="3535">
        <v>120.40680151665758</v>
      </c>
      <c r="P354" s="3535">
        <v>163.83081275149021</v>
      </c>
      <c r="Q354" s="1367">
        <v>416.39571633571921</v>
      </c>
    </row>
    <row r="355" spans="1:17">
      <c r="A355" s="53">
        <f t="shared" si="3"/>
        <v>2021.1</v>
      </c>
      <c r="B355" s="1318">
        <v>157.9108365628523</v>
      </c>
      <c r="C355" s="615">
        <v>153.85796874736431</v>
      </c>
      <c r="D355" s="1192">
        <v>182.26717782079112</v>
      </c>
      <c r="E355" s="3535">
        <v>88.683285978394707</v>
      </c>
      <c r="F355" s="615">
        <v>81.212173826561681</v>
      </c>
      <c r="G355" s="3535">
        <v>150.15466878309417</v>
      </c>
      <c r="H355" s="615">
        <v>100.53027257360192</v>
      </c>
      <c r="I355" s="3535">
        <v>203.34850018027839</v>
      </c>
      <c r="J355" s="615">
        <v>221.65319177354289</v>
      </c>
      <c r="K355" s="3535">
        <v>187.73846932372146</v>
      </c>
      <c r="L355" s="615">
        <v>147.05016491760708</v>
      </c>
      <c r="M355" s="2970">
        <v>149.54533499628238</v>
      </c>
      <c r="N355" s="1192">
        <v>161.55963364381918</v>
      </c>
      <c r="O355" s="3535">
        <v>115.31269141606795</v>
      </c>
      <c r="P355" s="3535">
        <v>160.80907686240587</v>
      </c>
      <c r="Q355" s="1367">
        <v>372.48930849962488</v>
      </c>
    </row>
    <row r="356" spans="1:17">
      <c r="A356" s="53">
        <f t="shared" si="3"/>
        <v>2021.11</v>
      </c>
      <c r="B356" s="1318">
        <v>157.14136091487015</v>
      </c>
      <c r="C356" s="615">
        <v>155.92786215710507</v>
      </c>
      <c r="D356" s="1192">
        <v>177.43101831743729</v>
      </c>
      <c r="E356" s="3535">
        <v>106.62097016636297</v>
      </c>
      <c r="F356" s="615">
        <v>81.415849806789026</v>
      </c>
      <c r="G356" s="3535">
        <v>163.11661013217588</v>
      </c>
      <c r="H356" s="615">
        <v>97.71435597971545</v>
      </c>
      <c r="I356" s="3535">
        <v>209.88571489612801</v>
      </c>
      <c r="J356" s="615">
        <v>218.54469160893345</v>
      </c>
      <c r="K356" s="3535">
        <v>186.38266251160121</v>
      </c>
      <c r="L356" s="615">
        <v>133.33624320526815</v>
      </c>
      <c r="M356" s="2970">
        <v>169.41292941326896</v>
      </c>
      <c r="N356" s="1192">
        <v>161.76270006955696</v>
      </c>
      <c r="O356" s="3535">
        <v>111.81447011743481</v>
      </c>
      <c r="P356" s="3535">
        <v>160.09594996889629</v>
      </c>
      <c r="Q356" s="1367">
        <v>380.04417739176165</v>
      </c>
    </row>
    <row r="357" spans="1:17">
      <c r="A357" s="53">
        <f t="shared" si="3"/>
        <v>2021.12</v>
      </c>
      <c r="B357" s="1318">
        <v>149.96863209057199</v>
      </c>
      <c r="C357" s="615">
        <v>159.09847941874486</v>
      </c>
      <c r="D357" s="1192">
        <v>182.9769671247185</v>
      </c>
      <c r="E357" s="3535">
        <v>104.9605349232239</v>
      </c>
      <c r="F357" s="615">
        <v>73.205673947273283</v>
      </c>
      <c r="G357" s="3535">
        <v>154.06172808490203</v>
      </c>
      <c r="H357" s="615">
        <v>103.02550218340612</v>
      </c>
      <c r="I357" s="3535">
        <v>156.80918042674557</v>
      </c>
      <c r="J357" s="615">
        <v>201.7131420230443</v>
      </c>
      <c r="K357" s="3535">
        <v>182.27315649790145</v>
      </c>
      <c r="L357" s="615">
        <v>127.26263021330031</v>
      </c>
      <c r="M357" s="2970">
        <v>145.46372060302448</v>
      </c>
      <c r="N357" s="1192">
        <v>165.71407407189614</v>
      </c>
      <c r="O357" s="3535">
        <v>104.10820830913627</v>
      </c>
      <c r="P357" s="3535">
        <v>148.15775766620419</v>
      </c>
      <c r="Q357" s="1367">
        <v>336.43609346063926</v>
      </c>
    </row>
    <row r="358" spans="1:17">
      <c r="A358" s="53">
        <f t="shared" si="3"/>
        <v>2022.01</v>
      </c>
      <c r="B358" s="1318">
        <v>134.78372021142064</v>
      </c>
      <c r="C358" s="615">
        <v>155.24089158701045</v>
      </c>
      <c r="D358" s="1192">
        <v>159.74263191496939</v>
      </c>
      <c r="E358" s="3535">
        <v>90.432062651763786</v>
      </c>
      <c r="F358" s="615">
        <v>68.309416899155678</v>
      </c>
      <c r="G358" s="3535">
        <v>150.64709529585221</v>
      </c>
      <c r="H358" s="615">
        <v>100.2914967037611</v>
      </c>
      <c r="I358" s="3535">
        <v>206.04638652671022</v>
      </c>
      <c r="J358" s="615">
        <v>177.05129942441306</v>
      </c>
      <c r="K358" s="3535">
        <v>161.58916968515757</v>
      </c>
      <c r="L358" s="615">
        <v>94.313239124621745</v>
      </c>
      <c r="M358" s="2970">
        <v>67.992328454754173</v>
      </c>
      <c r="N358" s="1192">
        <v>144.40610714886975</v>
      </c>
      <c r="O358" s="3535">
        <v>67.502378758341678</v>
      </c>
      <c r="P358" s="3535">
        <v>154.85833507919131</v>
      </c>
      <c r="Q358" s="1367">
        <v>207.17726250327291</v>
      </c>
    </row>
    <row r="359" spans="1:17">
      <c r="A359" s="53">
        <f t="shared" si="3"/>
        <v>2022.02</v>
      </c>
      <c r="B359" s="1318">
        <v>141.00585199367384</v>
      </c>
      <c r="C359" s="615">
        <v>162.07366646927804</v>
      </c>
      <c r="D359" s="1192">
        <v>157.25322342897158</v>
      </c>
      <c r="E359" s="3535">
        <v>91.316755360021858</v>
      </c>
      <c r="F359" s="615">
        <v>85.884800085245899</v>
      </c>
      <c r="G359" s="3535">
        <v>147.35580679201541</v>
      </c>
      <c r="H359" s="615">
        <v>81.388835624735862</v>
      </c>
      <c r="I359" s="3535">
        <v>199.36861369283719</v>
      </c>
      <c r="J359" s="615">
        <v>184.43044647666875</v>
      </c>
      <c r="K359" s="3535">
        <v>145.74092383351493</v>
      </c>
      <c r="L359" s="615">
        <v>127.68458373186411</v>
      </c>
      <c r="M359" s="2970">
        <v>137.38347701091675</v>
      </c>
      <c r="N359" s="1192">
        <v>142.66329455840591</v>
      </c>
      <c r="O359" s="3535">
        <v>104.00905134116641</v>
      </c>
      <c r="P359" s="3535">
        <v>145.22786096927021</v>
      </c>
      <c r="Q359" s="1367">
        <v>317.2458961845046</v>
      </c>
    </row>
    <row r="360" spans="1:17">
      <c r="A360" s="53">
        <f t="shared" si="3"/>
        <v>2022.03</v>
      </c>
      <c r="B360" s="1318">
        <v>171.4045878753021</v>
      </c>
      <c r="C360" s="615">
        <v>162.2648262472359</v>
      </c>
      <c r="D360" s="1192">
        <v>178.27882673322804</v>
      </c>
      <c r="E360" s="3535">
        <v>89.769328241989726</v>
      </c>
      <c r="F360" s="615">
        <v>96.713021968912003</v>
      </c>
      <c r="G360" s="3535">
        <v>157.2972077256687</v>
      </c>
      <c r="H360" s="615">
        <v>93.837758219467531</v>
      </c>
      <c r="I360" s="3535">
        <v>210.94089525089308</v>
      </c>
      <c r="J360" s="615">
        <v>205.47531255653686</v>
      </c>
      <c r="K360" s="3535">
        <v>182.45552746910232</v>
      </c>
      <c r="L360" s="615">
        <v>214.53885307412531</v>
      </c>
      <c r="M360" s="2970">
        <v>177.86582953973758</v>
      </c>
      <c r="N360" s="1192">
        <v>158.69410639294159</v>
      </c>
      <c r="O360" s="3535">
        <v>169.84793175510839</v>
      </c>
      <c r="P360" s="3535">
        <v>163.6535218570078</v>
      </c>
      <c r="Q360" s="1367">
        <v>422.3230635259614</v>
      </c>
    </row>
    <row r="361" spans="1:17">
      <c r="A361" s="53">
        <f t="shared" si="3"/>
        <v>2022.04</v>
      </c>
      <c r="B361" s="1318">
        <v>167.15031571589643</v>
      </c>
      <c r="C361" s="615">
        <v>167.563708351206</v>
      </c>
      <c r="D361" s="1192">
        <v>171.21216522326148</v>
      </c>
      <c r="E361" s="3535">
        <v>89.269112423577269</v>
      </c>
      <c r="F361" s="615">
        <v>95.638625225369751</v>
      </c>
      <c r="G361" s="3535">
        <v>143.14389552923262</v>
      </c>
      <c r="H361" s="615">
        <v>102.53522007324973</v>
      </c>
      <c r="I361" s="3535">
        <v>207.00702567289966</v>
      </c>
      <c r="J361" s="615">
        <v>202.60814868948069</v>
      </c>
      <c r="K361" s="3535">
        <v>158.49350358535929</v>
      </c>
      <c r="L361" s="615">
        <v>220.18051560721668</v>
      </c>
      <c r="M361" s="2970">
        <v>159.84093002270947</v>
      </c>
      <c r="N361" s="1192">
        <v>153.0804189105196</v>
      </c>
      <c r="O361" s="3535">
        <v>177.47021200670864</v>
      </c>
      <c r="P361" s="3535">
        <v>159.39908871723051</v>
      </c>
      <c r="Q361" s="1367">
        <v>349.73638095724391</v>
      </c>
    </row>
    <row r="362" spans="1:17">
      <c r="A362" s="53">
        <f t="shared" si="3"/>
        <v>2022.05</v>
      </c>
      <c r="B362" s="1318">
        <v>171.74351656852318</v>
      </c>
      <c r="C362" s="615">
        <v>167.50920880320368</v>
      </c>
      <c r="D362" s="1192">
        <v>177.8414995533482</v>
      </c>
      <c r="E362" s="3535">
        <v>101.7624598949233</v>
      </c>
      <c r="F362" s="615">
        <v>97.084786375967724</v>
      </c>
      <c r="G362" s="3535">
        <v>147.15301989215234</v>
      </c>
      <c r="H362" s="615">
        <v>105.69475744471053</v>
      </c>
      <c r="I362" s="3535">
        <v>219.6445403090425</v>
      </c>
      <c r="J362" s="615">
        <v>212.61040822433009</v>
      </c>
      <c r="K362" s="3535">
        <v>192.90946577296592</v>
      </c>
      <c r="L362" s="615">
        <v>203.6488641631972</v>
      </c>
      <c r="M362" s="2970">
        <v>169.67151326103854</v>
      </c>
      <c r="N362" s="1192">
        <v>161.00729824313166</v>
      </c>
      <c r="O362" s="3535">
        <v>170.29308265171875</v>
      </c>
      <c r="P362" s="3535">
        <v>168.17806595287615</v>
      </c>
      <c r="Q362" s="1367">
        <v>340.70498604597185</v>
      </c>
    </row>
    <row r="363" spans="1:17">
      <c r="A363" s="53">
        <f t="shared" si="3"/>
        <v>2022.06</v>
      </c>
      <c r="B363" s="1318">
        <v>170.46490790068074</v>
      </c>
      <c r="C363" s="615">
        <v>165.4124675031959</v>
      </c>
      <c r="D363" s="1192">
        <v>184.26731206069579</v>
      </c>
      <c r="E363" s="3535">
        <v>80.687868578386755</v>
      </c>
      <c r="F363" s="615">
        <v>92.678278007898015</v>
      </c>
      <c r="G363" s="3535">
        <v>148.29169956054088</v>
      </c>
      <c r="H363" s="615">
        <v>102.26703376531904</v>
      </c>
      <c r="I363" s="3535">
        <v>215.87412022067718</v>
      </c>
      <c r="J363" s="615">
        <v>211.66141511668778</v>
      </c>
      <c r="K363" s="3535">
        <v>197.58457712239189</v>
      </c>
      <c r="L363" s="615">
        <v>189.79684076798225</v>
      </c>
      <c r="M363" s="2970">
        <v>176.5350450789322</v>
      </c>
      <c r="N363" s="1192">
        <v>161.34802691974176</v>
      </c>
      <c r="O363" s="3535">
        <v>157.48251141668007</v>
      </c>
      <c r="P363" s="3535">
        <v>168.70543458119542</v>
      </c>
      <c r="Q363" s="1367">
        <v>376.21006975159423</v>
      </c>
    </row>
    <row r="364" spans="1:17">
      <c r="A364" s="53">
        <f t="shared" si="3"/>
        <v>2022.07</v>
      </c>
      <c r="B364" s="1318">
        <v>165.34379545940351</v>
      </c>
      <c r="C364" s="615">
        <v>162.16225884350098</v>
      </c>
      <c r="D364" s="1192">
        <v>194.93534880580034</v>
      </c>
      <c r="E364" s="3535">
        <v>99.272475540279984</v>
      </c>
      <c r="F364" s="615">
        <v>88.400407002195706</v>
      </c>
      <c r="G364" s="3535">
        <v>152.59996295892117</v>
      </c>
      <c r="H364" s="615">
        <v>102.00104710522608</v>
      </c>
      <c r="I364" s="3535">
        <v>194.81038160711768</v>
      </c>
      <c r="J364" s="615">
        <v>221.76484041545768</v>
      </c>
      <c r="K364" s="3535">
        <v>197.85263515319744</v>
      </c>
      <c r="L364" s="615">
        <v>166.462171094203</v>
      </c>
      <c r="M364" s="2970">
        <v>160.25030201627618</v>
      </c>
      <c r="N364" s="1192">
        <v>173.76778315702484</v>
      </c>
      <c r="O364" s="3535">
        <v>128.69147208806805</v>
      </c>
      <c r="P364" s="3535">
        <v>160.22470465805299</v>
      </c>
      <c r="Q364" s="1367">
        <v>409.70148049745853</v>
      </c>
    </row>
    <row r="365" spans="1:17">
      <c r="A365" s="53">
        <f t="shared" si="3"/>
        <v>2022.08</v>
      </c>
      <c r="B365" s="1318">
        <v>176.00708429279041</v>
      </c>
      <c r="C365" s="615">
        <v>160.1460275859333</v>
      </c>
      <c r="D365" s="1192">
        <v>202.29379561832826</v>
      </c>
      <c r="E365" s="3535">
        <v>105.63891253022422</v>
      </c>
      <c r="F365" s="615">
        <v>86.434986936222344</v>
      </c>
      <c r="G365" s="3535">
        <v>139.04421817076778</v>
      </c>
      <c r="H365" s="615">
        <v>105.32349149175941</v>
      </c>
      <c r="I365" s="3535">
        <v>203.47819461078319</v>
      </c>
      <c r="J365" s="615">
        <v>229.55755128716402</v>
      </c>
      <c r="K365" s="3535">
        <v>196.81919968041859</v>
      </c>
      <c r="L365" s="615">
        <v>190.77138089813158</v>
      </c>
      <c r="M365" s="2970">
        <v>197.20788075531095</v>
      </c>
      <c r="N365" s="1192">
        <v>180.90672544991025</v>
      </c>
      <c r="O365" s="3535">
        <v>156.92116050421953</v>
      </c>
      <c r="P365" s="3535">
        <v>163.60845647398338</v>
      </c>
      <c r="Q365" s="1367">
        <v>441.52023243327341</v>
      </c>
    </row>
    <row r="366" spans="1:17">
      <c r="A366" s="53">
        <f t="shared" si="3"/>
        <v>2022.09</v>
      </c>
      <c r="B366" s="1318">
        <v>164.17618285861533</v>
      </c>
      <c r="C366" s="615">
        <v>154.86004577947946</v>
      </c>
      <c r="D366" s="1192">
        <v>196.60525315242245</v>
      </c>
      <c r="E366" s="3535">
        <v>92.09383799998983</v>
      </c>
      <c r="F366" s="615">
        <v>86.173426169801985</v>
      </c>
      <c r="G366" s="3535">
        <v>144.74591845863046</v>
      </c>
      <c r="H366" s="615">
        <v>99.015445921960819</v>
      </c>
      <c r="I366" s="3535">
        <v>171.03333892289984</v>
      </c>
      <c r="J366" s="615">
        <v>228.91735664907534</v>
      </c>
      <c r="K366" s="3535">
        <v>188.43874255750015</v>
      </c>
      <c r="L366" s="615">
        <v>159.15384248904186</v>
      </c>
      <c r="M366" s="2970">
        <v>190.59021115058823</v>
      </c>
      <c r="N366" s="1192">
        <v>173.47974828550036</v>
      </c>
      <c r="O366" s="3535">
        <v>132.1949007254027</v>
      </c>
      <c r="P366" s="3535">
        <v>154.77852004688239</v>
      </c>
      <c r="Q366" s="1367">
        <v>430.65369519285912</v>
      </c>
    </row>
    <row r="367" spans="1:17">
      <c r="A367" s="53">
        <f t="shared" si="3"/>
        <v>2022.1</v>
      </c>
      <c r="B367" s="1318">
        <v>158.11970764473904</v>
      </c>
      <c r="C367" s="615">
        <v>155.11768762924601</v>
      </c>
      <c r="D367" s="1192">
        <v>184.70107800898359</v>
      </c>
      <c r="E367" s="3535">
        <v>99.930348058670319</v>
      </c>
      <c r="F367" s="615">
        <v>81.636521840135501</v>
      </c>
      <c r="G367" s="3535">
        <v>153.82996585045126</v>
      </c>
      <c r="H367" s="615">
        <v>94.928941343851236</v>
      </c>
      <c r="I367" s="3535">
        <v>175.29079322789909</v>
      </c>
      <c r="J367" s="615">
        <v>206.86490601874999</v>
      </c>
      <c r="K367" s="3535">
        <v>208.57280458687208</v>
      </c>
      <c r="L367" s="615">
        <v>150.17018733172361</v>
      </c>
      <c r="M367" s="2970">
        <v>191.1128435119997</v>
      </c>
      <c r="N367" s="1192">
        <v>165.94364442931891</v>
      </c>
      <c r="O367" s="3535">
        <v>125.19656215431652</v>
      </c>
      <c r="P367" s="3535">
        <v>149.52460620515524</v>
      </c>
      <c r="Q367" s="1367">
        <v>433.93580695588832</v>
      </c>
    </row>
    <row r="368" spans="1:17">
      <c r="A368" s="53">
        <f t="shared" si="3"/>
        <v>2022.11</v>
      </c>
      <c r="B368" s="1318">
        <v>156.40295634795442</v>
      </c>
      <c r="C368" s="615">
        <v>155.07385269347665</v>
      </c>
      <c r="D368" s="1192">
        <v>181.92286491450335</v>
      </c>
      <c r="E368" s="3535">
        <v>105.2149043912864</v>
      </c>
      <c r="F368" s="615">
        <v>81.717388900312201</v>
      </c>
      <c r="G368" s="3535">
        <v>160.00847659628812</v>
      </c>
      <c r="H368" s="615">
        <v>100.0732553880828</v>
      </c>
      <c r="I368" s="3535">
        <v>172.67827228927837</v>
      </c>
      <c r="J368" s="615">
        <v>229.4403310094539</v>
      </c>
      <c r="K368" s="3535">
        <v>197.01683111515928</v>
      </c>
      <c r="L368" s="615">
        <v>132.99235957521233</v>
      </c>
      <c r="M368" s="2970">
        <v>194.7597460518935</v>
      </c>
      <c r="N368" s="1192">
        <v>164.9495006956376</v>
      </c>
      <c r="O368" s="3535">
        <v>119.66925700889941</v>
      </c>
      <c r="P368" s="3535">
        <v>151.74389401499508</v>
      </c>
      <c r="Q368" s="1367">
        <v>393.33029473795983</v>
      </c>
    </row>
    <row r="369" spans="1:17">
      <c r="A369" s="53">
        <f t="shared" si="3"/>
        <v>2022.12</v>
      </c>
      <c r="B369" s="1318">
        <v>144.29039016806402</v>
      </c>
      <c r="C369" s="615">
        <v>155.62245812814078</v>
      </c>
      <c r="D369" s="1192">
        <v>180.8602756454363</v>
      </c>
      <c r="E369" s="3535">
        <v>100.73121509596707</v>
      </c>
      <c r="F369" s="615">
        <v>73.45492006933199</v>
      </c>
      <c r="G369" s="3535">
        <v>156.49706718691948</v>
      </c>
      <c r="H369" s="615">
        <v>111.25471233976616</v>
      </c>
      <c r="I369" s="3535">
        <v>145.1851682343777</v>
      </c>
      <c r="J369" s="615">
        <v>217.92960328326996</v>
      </c>
      <c r="K369" s="3535">
        <v>194.81760279274934</v>
      </c>
      <c r="L369" s="615">
        <v>114.10358069276569</v>
      </c>
      <c r="M369" s="2970">
        <v>135.2668411816785</v>
      </c>
      <c r="N369" s="1192">
        <v>163.12991598074356</v>
      </c>
      <c r="O369" s="3535">
        <v>92.801219924407775</v>
      </c>
      <c r="P369" s="3535">
        <v>143.8544308876123</v>
      </c>
      <c r="Q369" s="1367">
        <v>318.60231049050242</v>
      </c>
    </row>
    <row r="370" spans="1:17">
      <c r="A370" s="53">
        <f t="shared" si="3"/>
        <v>2023.01</v>
      </c>
      <c r="B370" s="1318">
        <v>139.9605664716442</v>
      </c>
      <c r="C370" s="615">
        <v>158.65048126173863</v>
      </c>
      <c r="D370" s="1192">
        <v>169.627353706001</v>
      </c>
      <c r="E370" s="3535">
        <v>90.662280612678529</v>
      </c>
      <c r="F370" s="615">
        <v>68.815480007951763</v>
      </c>
      <c r="G370" s="3535">
        <v>166.70419222297474</v>
      </c>
      <c r="H370" s="615">
        <v>109.94249184392166</v>
      </c>
      <c r="I370" s="3535">
        <v>170.3319202488716</v>
      </c>
      <c r="J370" s="615">
        <v>220.80047997891083</v>
      </c>
      <c r="K370" s="3535">
        <v>195.59525429136147</v>
      </c>
      <c r="L370" s="615">
        <v>101.1653171484118</v>
      </c>
      <c r="M370" s="2970">
        <v>99.258950311910269</v>
      </c>
      <c r="N370" s="1192">
        <v>152.15455248641103</v>
      </c>
      <c r="O370" s="3535">
        <v>80.588449321291705</v>
      </c>
      <c r="P370" s="3535">
        <v>152.88327824328422</v>
      </c>
      <c r="Q370" s="1367">
        <v>237.71087701491172</v>
      </c>
    </row>
    <row r="371" spans="1:17">
      <c r="A371" s="53">
        <f t="shared" si="3"/>
        <v>2023.02</v>
      </c>
      <c r="B371" s="1318">
        <v>138.05244730524433</v>
      </c>
      <c r="C371" s="615">
        <v>159.11015722691167</v>
      </c>
      <c r="D371" s="1192">
        <v>150.87410630968495</v>
      </c>
      <c r="E371" s="3535">
        <v>94.570660696384692</v>
      </c>
      <c r="F371" s="615">
        <v>87.149869512462431</v>
      </c>
      <c r="G371" s="3535">
        <v>152.15402296379563</v>
      </c>
      <c r="H371" s="615">
        <v>101.69951655162699</v>
      </c>
      <c r="I371" s="3535">
        <v>145.90963410955425</v>
      </c>
      <c r="J371" s="615">
        <v>207.38531760526365</v>
      </c>
      <c r="K371" s="3535">
        <v>165.31447075108755</v>
      </c>
      <c r="L371" s="615">
        <v>122.22151156549799</v>
      </c>
      <c r="M371" s="2970">
        <v>168.79982196323454</v>
      </c>
      <c r="N371" s="1192">
        <v>138.41570065461087</v>
      </c>
      <c r="O371" s="3535">
        <v>107.59053583162191</v>
      </c>
      <c r="P371" s="3535">
        <v>137.65694044782907</v>
      </c>
      <c r="Q371" s="1367">
        <v>350.11902533010641</v>
      </c>
    </row>
    <row r="372" spans="1:17">
      <c r="A372" s="53">
        <f t="shared" si="3"/>
        <v>2023.03</v>
      </c>
      <c r="B372" s="1318">
        <v>171.89835648571207</v>
      </c>
      <c r="C372" s="615">
        <v>162.17798557150053</v>
      </c>
      <c r="D372" s="1192">
        <v>176.23877762913685</v>
      </c>
      <c r="E372" s="3535">
        <v>102.98554209446229</v>
      </c>
      <c r="F372" s="615">
        <v>96.779797642768528</v>
      </c>
      <c r="G372" s="3535">
        <v>159.45513441054118</v>
      </c>
      <c r="H372" s="615">
        <v>111.24476120580364</v>
      </c>
      <c r="I372" s="3535">
        <v>178.61719321823153</v>
      </c>
      <c r="J372" s="615">
        <v>244.1888815573954</v>
      </c>
      <c r="K372" s="3535">
        <v>189.13304981691601</v>
      </c>
      <c r="L372" s="615">
        <v>193.90003699638444</v>
      </c>
      <c r="M372" s="2970">
        <v>222.90169014379356</v>
      </c>
      <c r="N372" s="1192">
        <v>160.02984913645361</v>
      </c>
      <c r="O372" s="3535">
        <v>164.8669006553886</v>
      </c>
      <c r="P372" s="3535">
        <v>162.7309119797192</v>
      </c>
      <c r="Q372" s="1367">
        <v>473.04422237442373</v>
      </c>
    </row>
    <row r="373" spans="1:17">
      <c r="A373" s="53">
        <f t="shared" si="3"/>
        <v>2023.04</v>
      </c>
      <c r="B373" s="1318">
        <v>168.22006163757692</v>
      </c>
      <c r="C373" s="615">
        <v>160.586876499032</v>
      </c>
      <c r="D373" s="1192">
        <v>168.30779961365974</v>
      </c>
      <c r="E373" s="3535">
        <v>105.3792622336905</v>
      </c>
      <c r="F373" s="615">
        <v>95.75532899818532</v>
      </c>
      <c r="G373" s="3535">
        <v>145.71750773766593</v>
      </c>
      <c r="H373" s="615">
        <v>109.93021048034934</v>
      </c>
      <c r="I373" s="3535">
        <v>181.61358514856113</v>
      </c>
      <c r="J373" s="615">
        <v>226.85732656920993</v>
      </c>
      <c r="K373" s="3535">
        <v>190.84178592227977</v>
      </c>
      <c r="L373" s="615">
        <v>201.87568266416829</v>
      </c>
      <c r="M373" s="2970">
        <v>198.47963195621267</v>
      </c>
      <c r="N373" s="1192">
        <v>154.3834431658378</v>
      </c>
      <c r="O373" s="3535">
        <v>172.88078983885396</v>
      </c>
      <c r="P373" s="3535">
        <v>160.13833640171239</v>
      </c>
      <c r="Q373" s="1367">
        <v>392.3452593974348</v>
      </c>
    </row>
    <row r="374" spans="1:17">
      <c r="A374" s="53">
        <f t="shared" si="3"/>
        <v>2023.05</v>
      </c>
      <c r="B374" s="1318">
        <v>166.3171938955951</v>
      </c>
      <c r="C374" s="615">
        <v>159.62563748841436</v>
      </c>
      <c r="D374" s="1192">
        <v>176.57712596018661</v>
      </c>
      <c r="E374" s="3535">
        <v>96.894362812783086</v>
      </c>
      <c r="F374" s="615">
        <v>97.327539960376242</v>
      </c>
      <c r="G374" s="3535">
        <v>154.08958417678454</v>
      </c>
      <c r="H374" s="615">
        <v>108.67603738554725</v>
      </c>
      <c r="I374" s="3535">
        <v>187.21627379211836</v>
      </c>
      <c r="J374" s="615">
        <v>237.12945504229992</v>
      </c>
      <c r="K374" s="3535">
        <v>193.1103178108807</v>
      </c>
      <c r="L374" s="615">
        <v>176.18407420744927</v>
      </c>
      <c r="M374" s="2970">
        <v>194.6791093148972</v>
      </c>
      <c r="N374" s="1192">
        <v>158.94551964916829</v>
      </c>
      <c r="O374" s="3535">
        <v>155.22694662837898</v>
      </c>
      <c r="P374" s="3535">
        <v>162.56844567344061</v>
      </c>
      <c r="Q374" s="1367">
        <v>371.02318743002513</v>
      </c>
    </row>
    <row r="375" spans="1:17">
      <c r="A375" s="53">
        <f t="shared" si="3"/>
        <v>2023.06</v>
      </c>
      <c r="B375" s="1318">
        <v>166.3205302002377</v>
      </c>
      <c r="C375" s="615">
        <v>160.91627208119488</v>
      </c>
      <c r="D375" s="1192">
        <v>180.54901710693341</v>
      </c>
      <c r="E375" s="3535">
        <v>93.644227293216517</v>
      </c>
      <c r="F375" s="615">
        <v>92.638222742054765</v>
      </c>
      <c r="G375" s="3535">
        <v>155.92796662192842</v>
      </c>
      <c r="H375" s="615">
        <v>104.52960976193827</v>
      </c>
      <c r="I375" s="3535">
        <v>187.98860775741244</v>
      </c>
      <c r="J375" s="615">
        <v>235.10195990767974</v>
      </c>
      <c r="K375" s="3535">
        <v>196.94016390322417</v>
      </c>
      <c r="L375" s="615">
        <v>169.10398294448817</v>
      </c>
      <c r="M375" s="2970">
        <v>195.44653982982351</v>
      </c>
      <c r="N375" s="1192">
        <v>161.31937470983519</v>
      </c>
      <c r="O375" s="3535">
        <v>149.46108632434652</v>
      </c>
      <c r="P375" s="3535">
        <v>163.31582055234404</v>
      </c>
      <c r="Q375" s="1367">
        <v>376.30511144612922</v>
      </c>
    </row>
    <row r="376" spans="1:17">
      <c r="A376" s="53">
        <f t="shared" si="3"/>
        <v>2023.07</v>
      </c>
      <c r="B376" s="1318">
        <v>158.71940724670952</v>
      </c>
      <c r="C376" s="615">
        <v>156.10307415329328</v>
      </c>
      <c r="D376" s="1192">
        <v>188.4978043187437</v>
      </c>
      <c r="E376" s="3535">
        <v>85.047213150593535</v>
      </c>
      <c r="F376" s="615">
        <v>88.742143195236295</v>
      </c>
      <c r="G376" s="3535">
        <v>163.85203201739546</v>
      </c>
      <c r="H376" s="615">
        <v>108.02904662628541</v>
      </c>
      <c r="I376" s="3535">
        <v>178.73147744882363</v>
      </c>
      <c r="J376" s="615">
        <v>232.28852515726865</v>
      </c>
      <c r="K376" s="3535">
        <v>163.19091945100041</v>
      </c>
      <c r="L376" s="615">
        <v>139.27222995217056</v>
      </c>
      <c r="M376" s="2970">
        <v>179.7842932100894</v>
      </c>
      <c r="N376" s="1192">
        <v>165.60703065487425</v>
      </c>
      <c r="O376" s="3535">
        <v>119.14411586564239</v>
      </c>
      <c r="P376" s="3535">
        <v>156.99247820352119</v>
      </c>
      <c r="Q376" s="1367">
        <v>388.48350925293181</v>
      </c>
    </row>
    <row r="377" spans="1:17">
      <c r="A377" s="53">
        <f t="shared" si="3"/>
        <v>2023.08</v>
      </c>
      <c r="B377" s="1318">
        <v>174.65587499860641</v>
      </c>
      <c r="C377" s="615">
        <v>159.07337017272692</v>
      </c>
      <c r="D377" s="1192">
        <v>198.15966577758462</v>
      </c>
      <c r="E377" s="3535">
        <v>108.14088008974754</v>
      </c>
      <c r="F377" s="615">
        <v>86.211536175200962</v>
      </c>
      <c r="G377" s="3535">
        <v>164.94088078659732</v>
      </c>
      <c r="H377" s="615">
        <v>95.283298436399491</v>
      </c>
      <c r="I377" s="3535">
        <v>190.08195695584101</v>
      </c>
      <c r="J377" s="615">
        <v>255.66235572672616</v>
      </c>
      <c r="K377" s="3535">
        <v>190.15551409813895</v>
      </c>
      <c r="L377" s="615">
        <v>177.89769200643238</v>
      </c>
      <c r="M377" s="2970">
        <v>226.39641990872255</v>
      </c>
      <c r="N377" s="1192">
        <v>178.24098164626517</v>
      </c>
      <c r="O377" s="3535">
        <v>160.76434194471247</v>
      </c>
      <c r="P377" s="3535">
        <v>161.52037212434414</v>
      </c>
      <c r="Q377" s="1367">
        <v>428.27400692667146</v>
      </c>
    </row>
    <row r="378" spans="1:17">
      <c r="A378" s="53">
        <f t="shared" si="3"/>
        <v>2023.09</v>
      </c>
      <c r="B378" s="1318">
        <v>164.50099897219621</v>
      </c>
      <c r="C378" s="615">
        <v>157.3962621020703</v>
      </c>
      <c r="D378" s="1192">
        <v>188.27239835933261</v>
      </c>
      <c r="E378" s="3535">
        <v>78.630345143386464</v>
      </c>
      <c r="F378" s="615">
        <v>86.375514496519969</v>
      </c>
      <c r="G378" s="3535">
        <v>157.51878697328257</v>
      </c>
      <c r="H378" s="615">
        <v>104.50532522890545</v>
      </c>
      <c r="I378" s="3535">
        <v>184.75839215803171</v>
      </c>
      <c r="J378" s="615">
        <v>254.53025007031209</v>
      </c>
      <c r="K378" s="3535">
        <v>196.06708388678658</v>
      </c>
      <c r="L378" s="615">
        <v>140.83738929574895</v>
      </c>
      <c r="M378" s="2970">
        <v>207.37466164646429</v>
      </c>
      <c r="N378" s="1192">
        <v>164.01162424612622</v>
      </c>
      <c r="O378" s="3535">
        <v>126.09308039702037</v>
      </c>
      <c r="P378" s="3535">
        <v>165.17666308994373</v>
      </c>
      <c r="Q378" s="1367">
        <v>423.98228969223049</v>
      </c>
    </row>
    <row r="379" spans="1:17">
      <c r="A379" s="53">
        <f t="shared" si="3"/>
        <v>2023.1</v>
      </c>
      <c r="B379" s="1318">
        <v>157.07677456811663</v>
      </c>
      <c r="C379" s="615">
        <v>152.23544994892694</v>
      </c>
      <c r="D379" s="1192">
        <v>183.69358619230314</v>
      </c>
      <c r="E379" s="3535">
        <v>95.571711175475869</v>
      </c>
      <c r="F379" s="615">
        <v>82.057159388828254</v>
      </c>
      <c r="G379" s="3535">
        <v>151.12340589708538</v>
      </c>
      <c r="H379" s="615">
        <v>96.23102476405127</v>
      </c>
      <c r="I379" s="3535">
        <v>186.47475263483645</v>
      </c>
      <c r="J379" s="615">
        <v>238.13435149598212</v>
      </c>
      <c r="K379" s="3535">
        <v>201.39189039805839</v>
      </c>
      <c r="L379" s="615">
        <v>128.19161526742928</v>
      </c>
      <c r="M379" s="2970">
        <v>189.50042385022024</v>
      </c>
      <c r="N379" s="1192">
        <v>164.19463627748601</v>
      </c>
      <c r="O379" s="3535">
        <v>113.11343828087242</v>
      </c>
      <c r="P379" s="3535">
        <v>156.39660252944387</v>
      </c>
      <c r="Q379" s="1367">
        <v>399.36830649310468</v>
      </c>
    </row>
    <row r="380" spans="1:17">
      <c r="A380" s="53">
        <f t="shared" si="3"/>
        <v>2023.11</v>
      </c>
      <c r="B380" s="1318">
        <v>154.28689270919006</v>
      </c>
      <c r="C380" s="615">
        <v>152.78761742694741</v>
      </c>
      <c r="D380" s="1192">
        <v>175.00580511169457</v>
      </c>
      <c r="E380" s="3535">
        <v>101.52016124450434</v>
      </c>
      <c r="F380" s="615">
        <v>82.937639540611073</v>
      </c>
      <c r="G380" s="3535">
        <v>166.18887670393278</v>
      </c>
      <c r="H380" s="615">
        <v>109.1540625158473</v>
      </c>
      <c r="I380" s="3535">
        <v>168.83764025541427</v>
      </c>
      <c r="J380" s="615">
        <v>233.02117174812747</v>
      </c>
      <c r="K380" s="3535">
        <v>183.17552029836722</v>
      </c>
      <c r="L380" s="615">
        <v>116.63327666574742</v>
      </c>
      <c r="M380" s="2970">
        <v>206.63798613461296</v>
      </c>
      <c r="N380" s="1192">
        <v>158.74545104012253</v>
      </c>
      <c r="O380" s="3535">
        <v>114.4784406876974</v>
      </c>
      <c r="P380" s="3535">
        <v>154.77658418438398</v>
      </c>
      <c r="Q380" s="1367">
        <v>377.0941135183204</v>
      </c>
    </row>
    <row r="381" spans="1:17">
      <c r="A381" s="53">
        <f t="shared" si="3"/>
        <v>2023.12</v>
      </c>
      <c r="B381" s="1318">
        <v>135.40074950424523</v>
      </c>
      <c r="C381" s="615">
        <v>148.32114208195836</v>
      </c>
      <c r="D381" s="1192">
        <v>168.3102857715522</v>
      </c>
      <c r="E381" s="3535">
        <v>75.9207668008914</v>
      </c>
      <c r="F381" s="615">
        <v>73.198861291294563</v>
      </c>
      <c r="G381" s="3535">
        <v>165.53866768327867</v>
      </c>
      <c r="H381" s="615">
        <v>112.8524706719256</v>
      </c>
      <c r="I381" s="3535">
        <v>143.03294362694913</v>
      </c>
      <c r="J381" s="615">
        <v>217.00877292476605</v>
      </c>
      <c r="K381" s="3535">
        <v>155.47107591752052</v>
      </c>
      <c r="L381" s="615">
        <v>91.397206152042912</v>
      </c>
      <c r="M381" s="2970">
        <v>134.54281139298683</v>
      </c>
      <c r="N381" s="1192">
        <v>147.86702349735575</v>
      </c>
      <c r="O381" s="3535">
        <v>77.363450867590799</v>
      </c>
      <c r="P381" s="3535">
        <v>142.58257198828659</v>
      </c>
      <c r="Q381" s="1367">
        <v>305.81302421834278</v>
      </c>
    </row>
    <row r="382" spans="1:17">
      <c r="A382" s="53">
        <f t="shared" si="3"/>
        <v>2024.01</v>
      </c>
      <c r="B382" s="1318">
        <v>131.24456361361914</v>
      </c>
      <c r="C382" s="615">
        <v>146.48095244643486</v>
      </c>
      <c r="D382" s="1192">
        <v>159.83948267697039</v>
      </c>
      <c r="E382" s="3535">
        <v>100.63309743870974</v>
      </c>
      <c r="F382" s="615">
        <v>68.752243181971266</v>
      </c>
      <c r="G382" s="3535">
        <v>164.13258138119377</v>
      </c>
      <c r="H382" s="615">
        <v>110.78798071559373</v>
      </c>
      <c r="I382" s="3535">
        <v>158.01801393511693</v>
      </c>
      <c r="J382" s="615">
        <v>192.15865656923404</v>
      </c>
      <c r="K382" s="3535">
        <v>179.60367272290677</v>
      </c>
      <c r="L382" s="615">
        <v>82.0081666800601</v>
      </c>
      <c r="M382" s="2970">
        <v>82.940675286476761</v>
      </c>
      <c r="N382" s="1192">
        <v>146.73873623713621</v>
      </c>
      <c r="O382" s="3535">
        <v>66.733578949541823</v>
      </c>
      <c r="P382" s="3535">
        <v>147.01182458518949</v>
      </c>
      <c r="Q382" s="1367">
        <v>189.77500057836656</v>
      </c>
    </row>
    <row r="383" spans="1:17">
      <c r="A383" s="53">
        <f t="shared" si="3"/>
        <v>2024.02</v>
      </c>
      <c r="B383" s="1318">
        <v>127.447589348913</v>
      </c>
      <c r="C383" s="615">
        <v>141.23212043105733</v>
      </c>
      <c r="D383" s="1192">
        <v>148.47604645675648</v>
      </c>
      <c r="E383" s="3535">
        <v>82.521082361087878</v>
      </c>
      <c r="F383" s="615">
        <v>86.168568501803975</v>
      </c>
      <c r="G383" s="3535">
        <v>156.70238537737521</v>
      </c>
      <c r="H383" s="615">
        <v>98.5647568389914</v>
      </c>
      <c r="I383" s="3535">
        <v>151.79983871076072</v>
      </c>
      <c r="J383" s="615">
        <v>138.1154390769687</v>
      </c>
      <c r="K383" s="3535">
        <v>148.32567881375147</v>
      </c>
      <c r="L383" s="615">
        <v>103.25060338801126</v>
      </c>
      <c r="M383" s="2970">
        <v>136.80897456337865</v>
      </c>
      <c r="N383" s="1192">
        <v>133.88202492363064</v>
      </c>
      <c r="O383" s="3535">
        <v>89.481991101032619</v>
      </c>
      <c r="P383" s="3535">
        <v>129.8580736680793</v>
      </c>
      <c r="Q383" s="1367">
        <v>289.67701178287854</v>
      </c>
    </row>
    <row r="384" spans="1:17">
      <c r="A384" s="53">
        <f t="shared" ref="A384:A447" si="4">A372+1</f>
        <v>2024.03</v>
      </c>
      <c r="B384" s="1318">
        <v>145.24429979415035</v>
      </c>
      <c r="C384" s="615">
        <v>142.65403910116325</v>
      </c>
      <c r="D384" s="1192">
        <v>158.00969685229902</v>
      </c>
      <c r="E384" s="3535">
        <v>82.261889872093079</v>
      </c>
      <c r="F384" s="615">
        <v>97.013866561600821</v>
      </c>
      <c r="G384" s="3535">
        <v>155.18377430987928</v>
      </c>
      <c r="H384" s="615">
        <v>106.23777067192562</v>
      </c>
      <c r="I384" s="3535">
        <v>157.77233716033402</v>
      </c>
      <c r="J384" s="615">
        <v>132.59665000578747</v>
      </c>
      <c r="K384" s="3535">
        <v>127.95710925267684</v>
      </c>
      <c r="L384" s="615">
        <v>162.49754249814958</v>
      </c>
      <c r="M384" s="2970">
        <v>157.39234881535378</v>
      </c>
      <c r="N384" s="1192">
        <v>141.24878823361348</v>
      </c>
      <c r="O384" s="3535">
        <v>133.40247045347468</v>
      </c>
      <c r="P384" s="3535">
        <v>139.63922706177601</v>
      </c>
      <c r="Q384" s="1367">
        <v>348.99308748029711</v>
      </c>
    </row>
    <row r="385" spans="1:17">
      <c r="A385" s="53">
        <f t="shared" si="4"/>
        <v>2024.04</v>
      </c>
      <c r="B385" s="1318">
        <v>143.39329166510876</v>
      </c>
      <c r="C385" s="615">
        <v>140.20297268981906</v>
      </c>
      <c r="D385" s="1192">
        <v>164.09911090933383</v>
      </c>
      <c r="E385" s="3535">
        <v>88.014618580353414</v>
      </c>
      <c r="F385" s="615">
        <v>95.606825236268421</v>
      </c>
      <c r="G385" s="3535">
        <v>142.2605815453623</v>
      </c>
      <c r="H385" s="615">
        <v>105.91350169037894</v>
      </c>
      <c r="I385" s="3535">
        <v>122.00813669652118</v>
      </c>
      <c r="J385" s="615">
        <v>146.70728352105402</v>
      </c>
      <c r="K385" s="3535">
        <v>153.23695103928901</v>
      </c>
      <c r="L385" s="615">
        <v>172.85223682506</v>
      </c>
      <c r="M385" s="2970">
        <v>156.55152647638619</v>
      </c>
      <c r="N385" s="1192">
        <v>147.26370307292794</v>
      </c>
      <c r="O385" s="3535">
        <v>142.37815808205971</v>
      </c>
      <c r="P385" s="3535">
        <v>128.02987533947791</v>
      </c>
      <c r="Q385" s="1367">
        <v>338.29553382878998</v>
      </c>
    </row>
    <row r="386" spans="1:17">
      <c r="A386" s="53">
        <f t="shared" si="4"/>
        <v>2024.05</v>
      </c>
      <c r="B386" s="1318">
        <v>147.50011072715481</v>
      </c>
      <c r="C386" s="615">
        <v>141.32720016179596</v>
      </c>
      <c r="D386" s="1192">
        <v>170.66448606027706</v>
      </c>
      <c r="E386" s="3535">
        <v>81.920446890906319</v>
      </c>
      <c r="F386" s="615">
        <v>97.26986630188803</v>
      </c>
      <c r="G386" s="3535">
        <v>134.41223168126081</v>
      </c>
      <c r="H386" s="615">
        <v>111.7520462459501</v>
      </c>
      <c r="I386" s="3535">
        <v>167.77874091957065</v>
      </c>
      <c r="J386" s="615">
        <v>170.27125250128546</v>
      </c>
      <c r="K386" s="3535">
        <v>152.72309163399268</v>
      </c>
      <c r="L386" s="615">
        <v>149.57972472668678</v>
      </c>
      <c r="M386" s="2970">
        <v>139.64402852931775</v>
      </c>
      <c r="N386" s="1192">
        <v>151.02786831160003</v>
      </c>
      <c r="O386" s="3535">
        <v>119.13719826140903</v>
      </c>
      <c r="P386" s="3535">
        <v>145.85226256987946</v>
      </c>
      <c r="Q386" s="1367">
        <v>332.17536412825586</v>
      </c>
    </row>
    <row r="387" spans="1:17">
      <c r="A387" s="53">
        <f t="shared" si="4"/>
        <v>2024.06</v>
      </c>
      <c r="B387" s="1318">
        <v>143.32718993239536</v>
      </c>
      <c r="C387" s="615">
        <v>142.66791841985918</v>
      </c>
      <c r="D387" s="1192">
        <v>175.77166628755242</v>
      </c>
      <c r="E387" s="3535">
        <v>68.700418798264465</v>
      </c>
      <c r="F387" s="615">
        <v>92.792755488722079</v>
      </c>
      <c r="G387" s="3535">
        <v>136.3137560072999</v>
      </c>
      <c r="H387" s="615">
        <v>103.99845471193126</v>
      </c>
      <c r="I387" s="3535">
        <v>162.59104550296891</v>
      </c>
      <c r="J387" s="615">
        <v>156.07587532903162</v>
      </c>
      <c r="K387" s="3535">
        <v>138.40218392713209</v>
      </c>
      <c r="L387" s="615">
        <v>139.03539365492796</v>
      </c>
      <c r="M387" s="2970">
        <v>116.87373117704573</v>
      </c>
      <c r="N387" s="1192">
        <v>152.07974085233045</v>
      </c>
      <c r="O387" s="3535">
        <v>114.2122611949124</v>
      </c>
      <c r="P387" s="3535">
        <v>143.83969949130571</v>
      </c>
      <c r="Q387" s="1367">
        <v>249.5568614649041</v>
      </c>
    </row>
    <row r="388" spans="1:17">
      <c r="A388" s="53">
        <f t="shared" si="4"/>
        <v>2024.07</v>
      </c>
      <c r="B388" s="1318">
        <v>154.65841582429957</v>
      </c>
      <c r="C388" s="615">
        <v>145.68989883448631</v>
      </c>
      <c r="D388" s="1192">
        <v>205.03291829756304</v>
      </c>
      <c r="E388" s="3535">
        <v>85.824132904860292</v>
      </c>
      <c r="F388" s="615">
        <v>88.946609305038123</v>
      </c>
      <c r="G388" s="3535">
        <v>144.30905002329953</v>
      </c>
      <c r="H388" s="615">
        <v>101.12688678687138</v>
      </c>
      <c r="I388" s="3535">
        <v>172.54108096526676</v>
      </c>
      <c r="J388" s="615">
        <v>214.52086037808004</v>
      </c>
      <c r="K388" s="3535">
        <v>152.01905832735179</v>
      </c>
      <c r="L388" s="615">
        <v>127.68653966269237</v>
      </c>
      <c r="M388" s="2970">
        <v>162.20072049347982</v>
      </c>
      <c r="N388" s="1192">
        <v>178.65528918635053</v>
      </c>
      <c r="O388" s="3535">
        <v>108.6012288295195</v>
      </c>
      <c r="P388" s="3535">
        <v>146.55501732007735</v>
      </c>
      <c r="Q388" s="1367">
        <v>353.34643949827512</v>
      </c>
    </row>
    <row r="389" spans="1:17">
      <c r="A389" s="53">
        <f t="shared" si="4"/>
        <v>2024.08</v>
      </c>
      <c r="B389" s="1318">
        <v>156.54645482531748</v>
      </c>
      <c r="C389" s="615">
        <v>144.76130438134538</v>
      </c>
      <c r="D389" s="1192">
        <v>198.25553189277548</v>
      </c>
      <c r="E389" s="3535">
        <v>84.584784346889776</v>
      </c>
      <c r="F389" s="615">
        <v>86.305878038937422</v>
      </c>
      <c r="G389" s="3535">
        <v>144.44122316800025</v>
      </c>
      <c r="H389" s="615">
        <v>108.62298450485983</v>
      </c>
      <c r="I389" s="3535">
        <v>144.20294216081874</v>
      </c>
      <c r="J389" s="615">
        <v>209.30152624141959</v>
      </c>
      <c r="K389" s="3535">
        <v>164.32656610085311</v>
      </c>
      <c r="L389" s="615">
        <v>148.49444761403075</v>
      </c>
      <c r="M389" s="2970">
        <v>184.09103937131778</v>
      </c>
      <c r="N389" s="1192">
        <v>173.10331840714773</v>
      </c>
      <c r="O389" s="3535">
        <v>129.49547603053196</v>
      </c>
      <c r="P389" s="3535">
        <v>143.11775706251871</v>
      </c>
      <c r="Q389" s="1367">
        <v>376.51340890874297</v>
      </c>
    </row>
    <row r="390" spans="1:17">
      <c r="A390" s="53">
        <f t="shared" si="4"/>
        <v>2024.09</v>
      </c>
      <c r="B390" s="1318">
        <v>156.09336501904176</v>
      </c>
      <c r="C390" s="615">
        <v>149.43606875052811</v>
      </c>
      <c r="D390" s="1192">
        <v>197.35228720812719</v>
      </c>
      <c r="E390" s="3535">
        <v>82.595591463534703</v>
      </c>
      <c r="F390" s="615">
        <v>85.941633395920121</v>
      </c>
      <c r="G390" s="3535">
        <v>149.94808334851894</v>
      </c>
      <c r="H390" s="615">
        <v>104.37444911959429</v>
      </c>
      <c r="I390" s="3535">
        <v>169.28729800230502</v>
      </c>
      <c r="J390" s="615">
        <v>209.01761323295455</v>
      </c>
      <c r="K390" s="3535">
        <v>168.92796473490969</v>
      </c>
      <c r="L390" s="615">
        <v>114.74972238653548</v>
      </c>
      <c r="M390" s="2970">
        <v>180.89338114788401</v>
      </c>
      <c r="N390" s="1192">
        <v>171.95978322104759</v>
      </c>
      <c r="O390" s="3535">
        <v>99.29467068893284</v>
      </c>
      <c r="P390" s="3535">
        <v>155.3005706512611</v>
      </c>
      <c r="Q390" s="1367">
        <v>401.71657292262444</v>
      </c>
    </row>
    <row r="391" spans="1:17">
      <c r="A391" s="53">
        <f t="shared" si="4"/>
        <v>2024.1</v>
      </c>
      <c r="B391" s="1318">
        <v>157.58314765007799</v>
      </c>
      <c r="C391" s="615">
        <v>150.31687183553447</v>
      </c>
      <c r="D391" s="1192">
        <v>197.58696153843167</v>
      </c>
      <c r="E391" s="3535">
        <v>91.761261183674137</v>
      </c>
      <c r="F391" s="615">
        <v>82.007563138256614</v>
      </c>
      <c r="G391" s="3535">
        <v>138.10273402549117</v>
      </c>
      <c r="H391" s="615">
        <v>108.61067960276097</v>
      </c>
      <c r="I391" s="3535">
        <v>181.04093730729539</v>
      </c>
      <c r="J391" s="615">
        <v>196.25111243454705</v>
      </c>
      <c r="K391" s="3535">
        <v>170.45908494913076</v>
      </c>
      <c r="L391" s="615">
        <v>112.88261920677041</v>
      </c>
      <c r="M391" s="2970">
        <v>191.20189263100721</v>
      </c>
      <c r="N391" s="1192">
        <v>174.17064146439969</v>
      </c>
      <c r="O391" s="3535">
        <v>101.92021365121755</v>
      </c>
      <c r="P391" s="3535">
        <v>155.84698555977587</v>
      </c>
      <c r="Q391" s="1367">
        <v>402.1274056695259</v>
      </c>
    </row>
    <row r="392" spans="1:17">
      <c r="A392" s="53">
        <f t="shared" si="4"/>
        <v>2024.11</v>
      </c>
      <c r="B392" s="1318">
        <v>150.58703814538416</v>
      </c>
      <c r="C392" s="615">
        <v>150.89544127365414</v>
      </c>
      <c r="D392" s="1192">
        <v>179.25902472588243</v>
      </c>
      <c r="E392" s="3535">
        <v>89.192988654918366</v>
      </c>
      <c r="F392" s="615">
        <v>82.91553577107986</v>
      </c>
      <c r="G392" s="3535">
        <v>152.47377161294989</v>
      </c>
      <c r="H392" s="615">
        <v>109.00503942808845</v>
      </c>
      <c r="I392" s="3535">
        <v>174.18370903893646</v>
      </c>
      <c r="J392" s="615">
        <v>191.64223609994596</v>
      </c>
      <c r="K392" s="3535">
        <v>161.65589844585023</v>
      </c>
      <c r="L392" s="615">
        <v>100.65604492818342</v>
      </c>
      <c r="M392" s="2970">
        <v>195.9923991967041</v>
      </c>
      <c r="N392" s="1192">
        <v>159.32988538291573</v>
      </c>
      <c r="O392" s="3535">
        <v>98.966516989195995</v>
      </c>
      <c r="P392" s="3535">
        <v>153.78040115801662</v>
      </c>
      <c r="Q392" s="1367">
        <v>372.46121443266821</v>
      </c>
    </row>
    <row r="393" spans="1:17">
      <c r="A393" s="53">
        <f t="shared" si="4"/>
        <v>2024.12</v>
      </c>
      <c r="B393" s="1318">
        <v>139.64117110824262</v>
      </c>
      <c r="C393" s="615">
        <v>150.45279990723972</v>
      </c>
      <c r="D393" s="1192">
        <v>185.18665774457463</v>
      </c>
      <c r="E393" s="3535">
        <v>89.704135708057407</v>
      </c>
      <c r="F393" s="615">
        <v>73.310101588129726</v>
      </c>
      <c r="G393" s="3535">
        <v>149.90285977052457</v>
      </c>
      <c r="H393" s="615">
        <v>114.36071274827439</v>
      </c>
      <c r="I393" s="3535">
        <v>141.71344393904636</v>
      </c>
      <c r="J393" s="615">
        <v>164.72969524816659</v>
      </c>
      <c r="K393" s="3535">
        <v>135.01419891985111</v>
      </c>
      <c r="L393" s="615">
        <v>91.023560357230139</v>
      </c>
      <c r="M393" s="2970">
        <v>138.62128592560353</v>
      </c>
      <c r="N393" s="1192">
        <v>164.05899886787739</v>
      </c>
      <c r="O393" s="3535">
        <v>79.995650502541508</v>
      </c>
      <c r="P393" s="3535">
        <v>140.42361275251307</v>
      </c>
      <c r="Q393" s="1367">
        <v>296.88254321725219</v>
      </c>
    </row>
    <row r="394" spans="1:17">
      <c r="A394" s="53">
        <f t="shared" si="4"/>
        <v>2025.01</v>
      </c>
      <c r="B394" s="1318">
        <v>134.61884148361878</v>
      </c>
      <c r="C394" s="615">
        <v>150.05177704366071</v>
      </c>
      <c r="D394" s="1192">
        <v>167.72913693661877</v>
      </c>
      <c r="E394" s="3535">
        <v>89.089337819751236</v>
      </c>
      <c r="F394" s="615">
        <v>69.980996004553305</v>
      </c>
      <c r="G394" s="3535">
        <v>153.0985576508632</v>
      </c>
      <c r="H394" s="615">
        <v>116.06620121143824</v>
      </c>
      <c r="I394" s="3535">
        <v>159.86213554538247</v>
      </c>
      <c r="J394" s="615">
        <v>176.51667867849253</v>
      </c>
      <c r="K394" s="3535">
        <v>151.17911051940112</v>
      </c>
      <c r="L394" s="615">
        <v>81.930606882417081</v>
      </c>
      <c r="M394" s="2970">
        <v>110.14652809086954</v>
      </c>
      <c r="N394" s="1192">
        <v>150.32830991156655</v>
      </c>
      <c r="O394" s="3535">
        <v>74.370088390723737</v>
      </c>
      <c r="P394" s="3535">
        <v>147.03494669502979</v>
      </c>
      <c r="Q394" s="1367">
        <v>211.01212061332703</v>
      </c>
    </row>
    <row r="395" spans="1:17">
      <c r="A395" s="53">
        <f t="shared" si="4"/>
        <v>2025.02</v>
      </c>
      <c r="B395" s="1318">
        <v>131.13286895981153</v>
      </c>
      <c r="C395" s="615">
        <v>150.49847346042793</v>
      </c>
      <c r="D395" s="1192">
        <v>157.17189165183666</v>
      </c>
      <c r="E395" s="3535">
        <v>85.26011401690586</v>
      </c>
      <c r="F395" s="615">
        <v>86.193354230451277</v>
      </c>
      <c r="G395" s="3535">
        <v>144.26675204095275</v>
      </c>
      <c r="H395" s="615">
        <v>91.491009635159884</v>
      </c>
      <c r="I395" s="3535">
        <v>141.89273705084705</v>
      </c>
      <c r="J395" s="615">
        <v>167.88571568111877</v>
      </c>
      <c r="K395" s="3535">
        <v>144.15455258762674</v>
      </c>
      <c r="L395" s="615">
        <v>102.68772346733243</v>
      </c>
      <c r="M395" s="2970">
        <v>154.47235940619225</v>
      </c>
      <c r="N395" s="1192">
        <v>141.25979093766978</v>
      </c>
      <c r="O395" s="3535">
        <v>90.421139925986992</v>
      </c>
      <c r="P395" s="3535">
        <v>129.9559479124791</v>
      </c>
      <c r="Q395" s="1367">
        <v>328.50535754891274</v>
      </c>
    </row>
    <row r="396" spans="1:17">
      <c r="A396" s="53">
        <f t="shared" si="4"/>
        <v>2025.03</v>
      </c>
      <c r="B396" s="1318">
        <v>146.22435793183604</v>
      </c>
      <c r="C396" s="615">
        <v>148.81779464528</v>
      </c>
      <c r="D396" s="1192">
        <v>163.61058921030178</v>
      </c>
      <c r="E396" s="3535">
        <v>86.005215530226124</v>
      </c>
      <c r="F396" s="615">
        <v>97.741120707649245</v>
      </c>
      <c r="G396" s="3535">
        <v>159.32002586284585</v>
      </c>
      <c r="H396" s="615">
        <v>104.13885678264541</v>
      </c>
      <c r="I396" s="3535">
        <v>136.09383739673339</v>
      </c>
      <c r="J396" s="615">
        <v>166.99496899667236</v>
      </c>
      <c r="K396" s="3535">
        <v>159.64274567018037</v>
      </c>
      <c r="L396" s="615">
        <v>160.77103782987732</v>
      </c>
      <c r="M396" s="2970">
        <v>151.39938737586453</v>
      </c>
      <c r="N396" s="1192">
        <v>146.43865211500614</v>
      </c>
      <c r="O396" s="3535">
        <v>130.35438536366536</v>
      </c>
      <c r="P396" s="3535">
        <v>140.02534568827301</v>
      </c>
      <c r="Q396" s="1367">
        <v>344.72768196213394</v>
      </c>
    </row>
    <row r="397" spans="1:17">
      <c r="A397" s="53">
        <f t="shared" si="4"/>
        <v>2025.04</v>
      </c>
      <c r="B397" s="1318">
        <v>148.04773600072508</v>
      </c>
      <c r="C397" s="615">
        <v>147.31589326817533</v>
      </c>
      <c r="D397" s="1192">
        <v>170.79792705720561</v>
      </c>
      <c r="E397" s="3535">
        <v>78.564272162879931</v>
      </c>
      <c r="F397" s="615">
        <v>96.078708511880819</v>
      </c>
      <c r="G397" s="3535">
        <v>135.16976733020243</v>
      </c>
      <c r="H397" s="615">
        <v>111.05049981687563</v>
      </c>
      <c r="I397" s="3535">
        <v>139.77006385705351</v>
      </c>
      <c r="J397" s="615">
        <v>195.61356459338631</v>
      </c>
      <c r="K397" s="3535">
        <v>155.84200593303419</v>
      </c>
      <c r="L397" s="615">
        <v>155.04637372374108</v>
      </c>
      <c r="M397" s="2970">
        <v>165.73826823619152</v>
      </c>
      <c r="N397" s="1192">
        <v>150.38915322095252</v>
      </c>
      <c r="O397" s="3535">
        <v>133.29621204882588</v>
      </c>
      <c r="P397" s="3535">
        <v>140.74210720438955</v>
      </c>
      <c r="Q397" s="1367">
        <v>334.05421515306114</v>
      </c>
    </row>
    <row r="398" spans="1:17">
      <c r="A398" s="53">
        <f t="shared" si="4"/>
        <v>2025.05</v>
      </c>
      <c r="B398" s="1318">
        <v>151.87879041927533</v>
      </c>
      <c r="C398" s="615">
        <v>147.70847709924777</v>
      </c>
      <c r="D398" s="1192">
        <v>177.76228169737868</v>
      </c>
      <c r="E398" s="3535">
        <v>82.024469154831436</v>
      </c>
      <c r="F398" s="615">
        <v>98.294780143981768</v>
      </c>
      <c r="G398" s="3535">
        <v>138.81876572006129</v>
      </c>
      <c r="H398" s="615">
        <v>100.24801432596138</v>
      </c>
      <c r="I398" s="3535">
        <v>165.46025931073271</v>
      </c>
      <c r="J398" s="615">
        <v>193.86449709680841</v>
      </c>
      <c r="K398" s="3535">
        <v>167.19755663620373</v>
      </c>
      <c r="L398" s="615">
        <v>146.25664286728465</v>
      </c>
      <c r="M398" s="2970">
        <v>175.11743172676501</v>
      </c>
      <c r="N398" s="1192">
        <v>156.57813404544999</v>
      </c>
      <c r="O398" s="3535">
        <v>124.03089175131079</v>
      </c>
      <c r="P398" s="3535">
        <v>146.37913202006538</v>
      </c>
      <c r="Q398" s="1367">
        <v>378.12237198913681</v>
      </c>
    </row>
    <row r="399" spans="1:17">
      <c r="A399" s="53">
        <f t="shared" si="4"/>
        <v>2025.06</v>
      </c>
      <c r="B399" s="1318">
        <v>147.66458249418943</v>
      </c>
      <c r="C399" s="615">
        <v>145.35977354831707</v>
      </c>
      <c r="D399" s="1192">
        <v>182.22820303142674</v>
      </c>
      <c r="E399" s="3535">
        <v>79.718404351516185</v>
      </c>
      <c r="F399" s="615">
        <v>93.716595988672196</v>
      </c>
      <c r="G399" s="3535">
        <v>137.17707229704888</v>
      </c>
      <c r="H399" s="615">
        <v>109.96353570925481</v>
      </c>
      <c r="I399" s="3535">
        <v>133.60158027418714</v>
      </c>
      <c r="J399" s="615">
        <v>184.63633432012736</v>
      </c>
      <c r="K399" s="3535">
        <v>150.98229925525408</v>
      </c>
      <c r="L399" s="615">
        <v>141.36302611570719</v>
      </c>
      <c r="M399" s="2970">
        <v>155.81785874962995</v>
      </c>
      <c r="N399" s="1192">
        <v>159.54560089823477</v>
      </c>
      <c r="O399" s="3535">
        <v>115.89133729587979</v>
      </c>
      <c r="P399" s="3535">
        <v>140.36321710639672</v>
      </c>
      <c r="Q399" s="1367">
        <v>356.27616410464253</v>
      </c>
    </row>
    <row r="400" spans="1:17">
      <c r="A400" s="53">
        <f t="shared" si="4"/>
        <v>2025.07</v>
      </c>
      <c r="B400" s="1318">
        <v>149.70002172988458</v>
      </c>
      <c r="C400" s="615">
        <v>143.44299534935715</v>
      </c>
      <c r="D400" s="1192">
        <v>204.28459787964104</v>
      </c>
      <c r="E400" s="3535">
        <v>84.580831900670972</v>
      </c>
      <c r="F400" s="615">
        <v>89.473893456838695</v>
      </c>
      <c r="G400" s="3535">
        <v>134.26278676073358</v>
      </c>
      <c r="H400" s="615">
        <v>111.38444178053246</v>
      </c>
      <c r="I400" s="3535">
        <v>143.5469287998398</v>
      </c>
      <c r="J400" s="615">
        <v>184.91499542140693</v>
      </c>
      <c r="K400" s="3535">
        <v>156.61302899985952</v>
      </c>
      <c r="L400" s="615">
        <v>133.51723031482061</v>
      </c>
      <c r="M400" s="2970">
        <v>135.13189472472089</v>
      </c>
      <c r="N400" s="1192">
        <v>177.79744316359327</v>
      </c>
      <c r="O400" s="3535">
        <v>103.97564693176665</v>
      </c>
      <c r="P400" s="3535">
        <v>139.15311616523653</v>
      </c>
      <c r="Q400" s="1367">
        <v>341.42670071425829</v>
      </c>
    </row>
    <row r="401" spans="1:17">
      <c r="A401" s="53">
        <f t="shared" si="4"/>
        <v>2025.08</v>
      </c>
      <c r="B401" s="1318">
        <v>154.79079044048342</v>
      </c>
      <c r="C401" s="615">
        <v>145.20375521160631</v>
      </c>
      <c r="D401" s="1192">
        <v>204.03579280621892</v>
      </c>
      <c r="E401" s="3535">
        <v>76.730459281633955</v>
      </c>
      <c r="F401" s="615">
        <v>87.036847422130705</v>
      </c>
      <c r="G401" s="3535">
        <v>133.87511975447751</v>
      </c>
      <c r="H401" s="615">
        <v>117.10424414706296</v>
      </c>
      <c r="I401" s="3535">
        <v>146.97108243560859</v>
      </c>
      <c r="J401" s="615">
        <v>200.93384358731274</v>
      </c>
      <c r="K401" s="3535">
        <v>170.29720325071852</v>
      </c>
      <c r="L401" s="615">
        <v>141.31944488440001</v>
      </c>
      <c r="M401" s="2970">
        <v>158.02943241920238</v>
      </c>
      <c r="N401" s="1192">
        <v>175.86662003486143</v>
      </c>
      <c r="O401" s="3535">
        <v>112.01310569442606</v>
      </c>
      <c r="P401" s="3535">
        <v>144.72175465199319</v>
      </c>
      <c r="Q401" s="1367">
        <v>388.80251234020903</v>
      </c>
    </row>
    <row r="402" spans="1:17">
      <c r="A402" s="53">
        <f t="shared" si="4"/>
        <v>2025.09</v>
      </c>
      <c r="B402" s="1318">
        <v>150.3618644462959</v>
      </c>
      <c r="C402" s="615">
        <v>141.86058076725215</v>
      </c>
      <c r="D402" s="1192">
        <v>207.89204061172279</v>
      </c>
      <c r="E402" s="3535">
        <v>76.476394607269867</v>
      </c>
      <c r="F402" s="615">
        <v>86.708217197877303</v>
      </c>
      <c r="G402" s="3535">
        <v>139.77179226545846</v>
      </c>
      <c r="H402" s="615">
        <v>117.44331138188477</v>
      </c>
      <c r="I402" s="3535">
        <v>132.16434862582489</v>
      </c>
      <c r="J402" s="615">
        <v>198.73242095869583</v>
      </c>
      <c r="K402" s="3535">
        <v>165.95455754847438</v>
      </c>
      <c r="L402" s="615">
        <v>108.65050822311385</v>
      </c>
      <c r="M402" s="2970">
        <v>171.29263614010912</v>
      </c>
      <c r="N402" s="1192">
        <v>178.8133686137104</v>
      </c>
      <c r="O402" s="3535">
        <v>87.542238461053529</v>
      </c>
      <c r="P402" s="3535">
        <v>141.94250947127608</v>
      </c>
      <c r="Q402" s="1367">
        <v>425.00524961190268</v>
      </c>
    </row>
    <row r="403" spans="1:17">
      <c r="A403" s="53">
        <f t="shared" si="4"/>
        <v>2025.1</v>
      </c>
      <c r="B403" s="1318">
        <v>150.46036352961247</v>
      </c>
      <c r="C403" s="615">
        <v>142.97771872379897</v>
      </c>
      <c r="D403" s="1192">
        <v>202.39515280286602</v>
      </c>
      <c r="E403" s="3535">
        <v>88.846478324247528</v>
      </c>
      <c r="F403" s="615">
        <v>81.571584440967939</v>
      </c>
      <c r="G403" s="3535">
        <v>136.18135523390438</v>
      </c>
      <c r="H403" s="615">
        <v>112.39477141850965</v>
      </c>
      <c r="I403" s="3535">
        <v>148.85461863947572</v>
      </c>
      <c r="J403" s="615">
        <v>219.29339854689209</v>
      </c>
      <c r="K403" s="3535">
        <v>173.88671758441942</v>
      </c>
      <c r="L403" s="615">
        <v>104.35447812255003</v>
      </c>
      <c r="M403" s="2970">
        <v>171.69214688457339</v>
      </c>
      <c r="N403" s="1192">
        <v>177.26995073323613</v>
      </c>
      <c r="O403" s="3535">
        <v>87.777907757723057</v>
      </c>
      <c r="P403" s="3535">
        <v>144.63004737985688</v>
      </c>
      <c r="Q403" s="1367">
        <v>402.30550954848775</v>
      </c>
    </row>
    <row r="404" spans="1:17">
      <c r="A404" s="53">
        <f t="shared" si="4"/>
        <v>2025.11</v>
      </c>
      <c r="B404" s="1318">
        <v>140.09830588874328</v>
      </c>
      <c r="C404" s="615">
        <v>142.20826815931682</v>
      </c>
      <c r="D404" s="1192">
        <v>178.28415247428157</v>
      </c>
      <c r="E404" s="3535">
        <v>74.210223226935412</v>
      </c>
      <c r="F404" s="615">
        <v>81.334744774642928</v>
      </c>
      <c r="G404" s="3535">
        <v>148.28294142344515</v>
      </c>
      <c r="H404" s="615">
        <v>114.48512083392026</v>
      </c>
      <c r="I404" s="3535">
        <v>148.06941672942492</v>
      </c>
      <c r="J404" s="615">
        <v>194.08926352511196</v>
      </c>
      <c r="K404" s="3535">
        <v>169.78185182478975</v>
      </c>
      <c r="L404" s="615">
        <v>96.884816754053617</v>
      </c>
      <c r="M404" s="2970">
        <v>137.80351016214939</v>
      </c>
      <c r="N404" s="1192">
        <v>155.25545121883601</v>
      </c>
      <c r="O404" s="3535">
        <v>78.762540420025687</v>
      </c>
      <c r="P404" s="3535">
        <v>145.4580866990139</v>
      </c>
      <c r="Q404" s="1367">
        <v>333.3881442580643</v>
      </c>
    </row>
    <row r="405" spans="1:17">
      <c r="A405" s="53">
        <f t="shared" si="4"/>
        <v>2025.12</v>
      </c>
      <c r="B405" s="1318">
        <v>133.87561179529547</v>
      </c>
      <c r="C405" s="615">
        <v>141.98300522106817</v>
      </c>
      <c r="D405" s="1192">
        <v>187.63351406211135</v>
      </c>
      <c r="E405" s="3535">
        <v>96.25138446419011</v>
      </c>
      <c r="F405" s="615">
        <v>70.975176144593604</v>
      </c>
      <c r="G405" s="3535">
        <v>144.77520426274356</v>
      </c>
      <c r="H405" s="615">
        <v>119.26633168051836</v>
      </c>
      <c r="I405" s="3535">
        <v>117.8710173657234</v>
      </c>
      <c r="J405" s="615">
        <v>176.72901646762398</v>
      </c>
      <c r="K405" s="3535">
        <v>147.07441044729819</v>
      </c>
      <c r="L405" s="615">
        <v>91.93429126091057</v>
      </c>
      <c r="M405" s="2970">
        <v>95.834637421040995</v>
      </c>
      <c r="N405" s="1192">
        <v>167.41315937947505</v>
      </c>
      <c r="O405" s="3535">
        <v>66.683747055955223</v>
      </c>
      <c r="P405" s="3535">
        <v>133.03903337039463</v>
      </c>
      <c r="Q405" s="1367">
        <v>276.52154438190706</v>
      </c>
    </row>
    <row r="406" spans="1:17">
      <c r="A406" s="53">
        <f t="shared" si="4"/>
        <v>2026.01</v>
      </c>
      <c r="B406" s="1318">
        <v>129.30239752834339</v>
      </c>
      <c r="C406" s="615">
        <v>143.47940535746289</v>
      </c>
      <c r="D406" s="1192">
        <v>170.64204554728028</v>
      </c>
      <c r="E406" s="3535">
        <v>80.430750414116829</v>
      </c>
      <c r="F406" s="615">
        <v>67.867139318903511</v>
      </c>
      <c r="G406" s="3535">
        <v>142.21249445253068</v>
      </c>
      <c r="H406" s="615">
        <v>118.80779408367374</v>
      </c>
      <c r="I406" s="3535">
        <v>152.42542514815591</v>
      </c>
      <c r="J406" s="615">
        <v>171.4421199997102</v>
      </c>
      <c r="K406" s="3535">
        <v>164.93743557407836</v>
      </c>
      <c r="L406" s="615">
        <v>75.251131789142889</v>
      </c>
      <c r="M406" s="2970">
        <v>76.792972767097723</v>
      </c>
      <c r="N406" s="1192">
        <v>150.6807643646404</v>
      </c>
      <c r="O406" s="3535">
        <v>62.566511253728976</v>
      </c>
      <c r="P406" s="3535">
        <v>143.57434433263543</v>
      </c>
      <c r="Q406" s="1367">
        <v>166.83928109398585</v>
      </c>
    </row>
    <row r="407" spans="1:17">
      <c r="A407" s="53">
        <f t="shared" si="4"/>
        <v>2026.02</v>
      </c>
      <c r="B407" s="1318">
        <v>125.95575160834422</v>
      </c>
      <c r="C407" s="615">
        <v>144.2298226680544</v>
      </c>
      <c r="D407" s="1192">
        <v>157.28869163843612</v>
      </c>
      <c r="E407" s="3535">
        <v>81.466240113164432</v>
      </c>
      <c r="F407" s="615">
        <v>85.026579384930358</v>
      </c>
      <c r="G407" s="3535">
        <v>136.48495510165529</v>
      </c>
      <c r="H407" s="615">
        <v>103.29334987809551</v>
      </c>
      <c r="I407" s="3535">
        <v>141.08062520231286</v>
      </c>
      <c r="J407" s="615">
        <v>139.99932027942847</v>
      </c>
      <c r="K407" s="3535">
        <v>150.71867269119562</v>
      </c>
      <c r="L407" s="615">
        <v>97.860589004296401</v>
      </c>
      <c r="M407" s="2970">
        <v>107.54774227209802</v>
      </c>
      <c r="N407" s="1192">
        <v>140.51126623268294</v>
      </c>
      <c r="O407" s="3535">
        <v>76.133162419700199</v>
      </c>
      <c r="P407" s="3535">
        <v>129.40977331979542</v>
      </c>
      <c r="Q407" s="1367">
        <v>273.96994372027132</v>
      </c>
    </row>
    <row r="408" spans="1:17">
      <c r="A408" s="53">
        <f t="shared" si="4"/>
        <v>2026.03</v>
      </c>
      <c r="B408" s="1318" t="e">
        <v>#N/A</v>
      </c>
      <c r="C408" s="615" t="e">
        <v>#N/A</v>
      </c>
      <c r="D408" s="1192" t="e">
        <v>#N/A</v>
      </c>
      <c r="E408" s="3535" t="e">
        <v>#N/A</v>
      </c>
      <c r="F408" s="615" t="e">
        <v>#N/A</v>
      </c>
      <c r="G408" s="3535" t="e">
        <v>#N/A</v>
      </c>
      <c r="H408" s="615" t="e">
        <v>#N/A</v>
      </c>
      <c r="I408" s="3535" t="e">
        <v>#N/A</v>
      </c>
      <c r="J408" s="615" t="e">
        <v>#N/A</v>
      </c>
      <c r="K408" s="3535" t="e">
        <v>#N/A</v>
      </c>
      <c r="L408" s="615" t="e">
        <v>#N/A</v>
      </c>
      <c r="M408" s="2970" t="e">
        <v>#N/A</v>
      </c>
      <c r="N408" s="1192" t="e">
        <v>#N/A</v>
      </c>
      <c r="O408" s="3535" t="e">
        <v>#N/A</v>
      </c>
      <c r="P408" s="3535" t="e">
        <v>#N/A</v>
      </c>
      <c r="Q408" s="1367" t="e">
        <v>#N/A</v>
      </c>
    </row>
    <row r="409" spans="1:17">
      <c r="A409" s="53">
        <f t="shared" si="4"/>
        <v>2026.04</v>
      </c>
      <c r="B409" s="1318" t="e">
        <v>#N/A</v>
      </c>
      <c r="C409" s="615" t="e">
        <v>#N/A</v>
      </c>
      <c r="D409" s="1192" t="e">
        <v>#N/A</v>
      </c>
      <c r="E409" s="3535" t="e">
        <v>#N/A</v>
      </c>
      <c r="F409" s="615" t="e">
        <v>#N/A</v>
      </c>
      <c r="G409" s="3535" t="e">
        <v>#N/A</v>
      </c>
      <c r="H409" s="615" t="e">
        <v>#N/A</v>
      </c>
      <c r="I409" s="3535" t="e">
        <v>#N/A</v>
      </c>
      <c r="J409" s="615" t="e">
        <v>#N/A</v>
      </c>
      <c r="K409" s="3535" t="e">
        <v>#N/A</v>
      </c>
      <c r="L409" s="615" t="e">
        <v>#N/A</v>
      </c>
      <c r="M409" s="2970" t="e">
        <v>#N/A</v>
      </c>
      <c r="N409" s="1192" t="e">
        <v>#N/A</v>
      </c>
      <c r="O409" s="3535" t="e">
        <v>#N/A</v>
      </c>
      <c r="P409" s="3535" t="e">
        <v>#N/A</v>
      </c>
      <c r="Q409" s="1367" t="e">
        <v>#N/A</v>
      </c>
    </row>
    <row r="410" spans="1:17">
      <c r="A410" s="53">
        <f t="shared" si="4"/>
        <v>2026.05</v>
      </c>
      <c r="B410" s="1318" t="e">
        <v>#N/A</v>
      </c>
      <c r="C410" s="615" t="e">
        <v>#N/A</v>
      </c>
      <c r="D410" s="1192" t="e">
        <v>#N/A</v>
      </c>
      <c r="E410" s="3535" t="e">
        <v>#N/A</v>
      </c>
      <c r="F410" s="615" t="e">
        <v>#N/A</v>
      </c>
      <c r="G410" s="3535" t="e">
        <v>#N/A</v>
      </c>
      <c r="H410" s="615" t="e">
        <v>#N/A</v>
      </c>
      <c r="I410" s="3535" t="e">
        <v>#N/A</v>
      </c>
      <c r="J410" s="615" t="e">
        <v>#N/A</v>
      </c>
      <c r="K410" s="3535" t="e">
        <v>#N/A</v>
      </c>
      <c r="L410" s="615" t="e">
        <v>#N/A</v>
      </c>
      <c r="M410" s="2970" t="e">
        <v>#N/A</v>
      </c>
      <c r="N410" s="1192" t="e">
        <v>#N/A</v>
      </c>
      <c r="O410" s="3535" t="e">
        <v>#N/A</v>
      </c>
      <c r="P410" s="3535" t="e">
        <v>#N/A</v>
      </c>
      <c r="Q410" s="1367" t="e">
        <v>#N/A</v>
      </c>
    </row>
    <row r="411" spans="1:17">
      <c r="A411" s="53">
        <f t="shared" si="4"/>
        <v>2026.06</v>
      </c>
      <c r="B411" s="1318" t="e">
        <v>#N/A</v>
      </c>
      <c r="C411" s="615" t="e">
        <v>#N/A</v>
      </c>
      <c r="D411" s="1192" t="e">
        <v>#N/A</v>
      </c>
      <c r="E411" s="3535" t="e">
        <v>#N/A</v>
      </c>
      <c r="F411" s="615" t="e">
        <v>#N/A</v>
      </c>
      <c r="G411" s="3535" t="e">
        <v>#N/A</v>
      </c>
      <c r="H411" s="615" t="e">
        <v>#N/A</v>
      </c>
      <c r="I411" s="3535" t="e">
        <v>#N/A</v>
      </c>
      <c r="J411" s="615" t="e">
        <v>#N/A</v>
      </c>
      <c r="K411" s="3535" t="e">
        <v>#N/A</v>
      </c>
      <c r="L411" s="615" t="e">
        <v>#N/A</v>
      </c>
      <c r="M411" s="2970" t="e">
        <v>#N/A</v>
      </c>
      <c r="N411" s="1192" t="e">
        <v>#N/A</v>
      </c>
      <c r="O411" s="3535" t="e">
        <v>#N/A</v>
      </c>
      <c r="P411" s="3535" t="e">
        <v>#N/A</v>
      </c>
      <c r="Q411" s="1367" t="e">
        <v>#N/A</v>
      </c>
    </row>
    <row r="412" spans="1:17">
      <c r="A412" s="53">
        <f t="shared" si="4"/>
        <v>2026.07</v>
      </c>
      <c r="B412" s="1318" t="e">
        <v>#N/A</v>
      </c>
      <c r="C412" s="615" t="e">
        <v>#N/A</v>
      </c>
      <c r="D412" s="1192" t="e">
        <v>#N/A</v>
      </c>
      <c r="E412" s="3535" t="e">
        <v>#N/A</v>
      </c>
      <c r="F412" s="615" t="e">
        <v>#N/A</v>
      </c>
      <c r="G412" s="3535" t="e">
        <v>#N/A</v>
      </c>
      <c r="H412" s="615" t="e">
        <v>#N/A</v>
      </c>
      <c r="I412" s="3535" t="e">
        <v>#N/A</v>
      </c>
      <c r="J412" s="615" t="e">
        <v>#N/A</v>
      </c>
      <c r="K412" s="3535" t="e">
        <v>#N/A</v>
      </c>
      <c r="L412" s="615" t="e">
        <v>#N/A</v>
      </c>
      <c r="M412" s="2970" t="e">
        <v>#N/A</v>
      </c>
      <c r="N412" s="1192" t="e">
        <v>#N/A</v>
      </c>
      <c r="O412" s="3535" t="e">
        <v>#N/A</v>
      </c>
      <c r="P412" s="3535" t="e">
        <v>#N/A</v>
      </c>
      <c r="Q412" s="1367" t="e">
        <v>#N/A</v>
      </c>
    </row>
    <row r="413" spans="1:17">
      <c r="A413" s="53">
        <f t="shared" si="4"/>
        <v>2026.08</v>
      </c>
      <c r="B413" s="1318" t="e">
        <v>#N/A</v>
      </c>
      <c r="C413" s="615" t="e">
        <v>#N/A</v>
      </c>
      <c r="D413" s="1192" t="e">
        <v>#N/A</v>
      </c>
      <c r="E413" s="3535" t="e">
        <v>#N/A</v>
      </c>
      <c r="F413" s="615" t="e">
        <v>#N/A</v>
      </c>
      <c r="G413" s="3535" t="e">
        <v>#N/A</v>
      </c>
      <c r="H413" s="615" t="e">
        <v>#N/A</v>
      </c>
      <c r="I413" s="3535" t="e">
        <v>#N/A</v>
      </c>
      <c r="J413" s="615" t="e">
        <v>#N/A</v>
      </c>
      <c r="K413" s="3535" t="e">
        <v>#N/A</v>
      </c>
      <c r="L413" s="615" t="e">
        <v>#N/A</v>
      </c>
      <c r="M413" s="2970" t="e">
        <v>#N/A</v>
      </c>
      <c r="N413" s="1192" t="e">
        <v>#N/A</v>
      </c>
      <c r="O413" s="3535" t="e">
        <v>#N/A</v>
      </c>
      <c r="P413" s="3535" t="e">
        <v>#N/A</v>
      </c>
      <c r="Q413" s="1367" t="e">
        <v>#N/A</v>
      </c>
    </row>
    <row r="414" spans="1:17">
      <c r="A414" s="53">
        <f t="shared" si="4"/>
        <v>2026.09</v>
      </c>
      <c r="B414" s="1318" t="e">
        <v>#N/A</v>
      </c>
      <c r="C414" s="615" t="e">
        <v>#N/A</v>
      </c>
      <c r="D414" s="1192" t="e">
        <v>#N/A</v>
      </c>
      <c r="E414" s="3535" t="e">
        <v>#N/A</v>
      </c>
      <c r="F414" s="615" t="e">
        <v>#N/A</v>
      </c>
      <c r="G414" s="3535" t="e">
        <v>#N/A</v>
      </c>
      <c r="H414" s="615" t="e">
        <v>#N/A</v>
      </c>
      <c r="I414" s="3535" t="e">
        <v>#N/A</v>
      </c>
      <c r="J414" s="615" t="e">
        <v>#N/A</v>
      </c>
      <c r="K414" s="3535" t="e">
        <v>#N/A</v>
      </c>
      <c r="L414" s="615" t="e">
        <v>#N/A</v>
      </c>
      <c r="M414" s="2970" t="e">
        <v>#N/A</v>
      </c>
      <c r="N414" s="1192" t="e">
        <v>#N/A</v>
      </c>
      <c r="O414" s="3535" t="e">
        <v>#N/A</v>
      </c>
      <c r="P414" s="3535" t="e">
        <v>#N/A</v>
      </c>
      <c r="Q414" s="1367" t="e">
        <v>#N/A</v>
      </c>
    </row>
    <row r="415" spans="1:17">
      <c r="A415" s="53">
        <f t="shared" si="4"/>
        <v>2026.1</v>
      </c>
      <c r="B415" s="1318" t="e">
        <v>#N/A</v>
      </c>
      <c r="C415" s="615" t="e">
        <v>#N/A</v>
      </c>
      <c r="D415" s="1192" t="e">
        <v>#N/A</v>
      </c>
      <c r="E415" s="3535" t="e">
        <v>#N/A</v>
      </c>
      <c r="F415" s="615" t="e">
        <v>#N/A</v>
      </c>
      <c r="G415" s="3535" t="e">
        <v>#N/A</v>
      </c>
      <c r="H415" s="615" t="e">
        <v>#N/A</v>
      </c>
      <c r="I415" s="3535" t="e">
        <v>#N/A</v>
      </c>
      <c r="J415" s="615" t="e">
        <v>#N/A</v>
      </c>
      <c r="K415" s="3535" t="e">
        <v>#N/A</v>
      </c>
      <c r="L415" s="615" t="e">
        <v>#N/A</v>
      </c>
      <c r="M415" s="2970" t="e">
        <v>#N/A</v>
      </c>
      <c r="N415" s="1192" t="e">
        <v>#N/A</v>
      </c>
      <c r="O415" s="3535" t="e">
        <v>#N/A</v>
      </c>
      <c r="P415" s="3535" t="e">
        <v>#N/A</v>
      </c>
      <c r="Q415" s="1367" t="e">
        <v>#N/A</v>
      </c>
    </row>
    <row r="416" spans="1:17">
      <c r="A416" s="53">
        <f t="shared" si="4"/>
        <v>2026.11</v>
      </c>
      <c r="B416" s="1318" t="e">
        <v>#N/A</v>
      </c>
      <c r="C416" s="615" t="e">
        <v>#N/A</v>
      </c>
      <c r="D416" s="1192" t="e">
        <v>#N/A</v>
      </c>
      <c r="E416" s="3535" t="e">
        <v>#N/A</v>
      </c>
      <c r="F416" s="615" t="e">
        <v>#N/A</v>
      </c>
      <c r="G416" s="3535" t="e">
        <v>#N/A</v>
      </c>
      <c r="H416" s="615" t="e">
        <v>#N/A</v>
      </c>
      <c r="I416" s="3535" t="e">
        <v>#N/A</v>
      </c>
      <c r="J416" s="615" t="e">
        <v>#N/A</v>
      </c>
      <c r="K416" s="3535" t="e">
        <v>#N/A</v>
      </c>
      <c r="L416" s="615" t="e">
        <v>#N/A</v>
      </c>
      <c r="M416" s="2970" t="e">
        <v>#N/A</v>
      </c>
      <c r="N416" s="1192" t="e">
        <v>#N/A</v>
      </c>
      <c r="O416" s="3535" t="e">
        <v>#N/A</v>
      </c>
      <c r="P416" s="3535" t="e">
        <v>#N/A</v>
      </c>
      <c r="Q416" s="1367" t="e">
        <v>#N/A</v>
      </c>
    </row>
    <row r="417" spans="1:17">
      <c r="A417" s="53">
        <f t="shared" si="4"/>
        <v>2026.12</v>
      </c>
      <c r="B417" s="1318" t="e">
        <v>#N/A</v>
      </c>
      <c r="C417" s="615" t="e">
        <v>#N/A</v>
      </c>
      <c r="D417" s="1192" t="e">
        <v>#N/A</v>
      </c>
      <c r="E417" s="3535" t="e">
        <v>#N/A</v>
      </c>
      <c r="F417" s="615" t="e">
        <v>#N/A</v>
      </c>
      <c r="G417" s="3535" t="e">
        <v>#N/A</v>
      </c>
      <c r="H417" s="615" t="e">
        <v>#N/A</v>
      </c>
      <c r="I417" s="3535" t="e">
        <v>#N/A</v>
      </c>
      <c r="J417" s="615" t="e">
        <v>#N/A</v>
      </c>
      <c r="K417" s="3535" t="e">
        <v>#N/A</v>
      </c>
      <c r="L417" s="615" t="e">
        <v>#N/A</v>
      </c>
      <c r="M417" s="2970" t="e">
        <v>#N/A</v>
      </c>
      <c r="N417" s="1192" t="e">
        <v>#N/A</v>
      </c>
      <c r="O417" s="3535" t="e">
        <v>#N/A</v>
      </c>
      <c r="P417" s="3535" t="e">
        <v>#N/A</v>
      </c>
      <c r="Q417" s="1367" t="e">
        <v>#N/A</v>
      </c>
    </row>
    <row r="418" spans="1:17">
      <c r="A418" s="53">
        <f t="shared" si="4"/>
        <v>2027.01</v>
      </c>
      <c r="B418" s="1318" t="e">
        <v>#N/A</v>
      </c>
      <c r="C418" s="615" t="e">
        <v>#N/A</v>
      </c>
      <c r="D418" s="1192" t="e">
        <v>#N/A</v>
      </c>
      <c r="E418" s="3535" t="e">
        <v>#N/A</v>
      </c>
      <c r="F418" s="615" t="e">
        <v>#N/A</v>
      </c>
      <c r="G418" s="3535" t="e">
        <v>#N/A</v>
      </c>
      <c r="H418" s="615" t="e">
        <v>#N/A</v>
      </c>
      <c r="I418" s="3535" t="e">
        <v>#N/A</v>
      </c>
      <c r="J418" s="615" t="e">
        <v>#N/A</v>
      </c>
      <c r="K418" s="3535" t="e">
        <v>#N/A</v>
      </c>
      <c r="L418" s="615" t="e">
        <v>#N/A</v>
      </c>
      <c r="M418" s="2970" t="e">
        <v>#N/A</v>
      </c>
      <c r="N418" s="1192" t="e">
        <v>#N/A</v>
      </c>
      <c r="O418" s="3535" t="e">
        <v>#N/A</v>
      </c>
      <c r="P418" s="3535" t="e">
        <v>#N/A</v>
      </c>
      <c r="Q418" s="1367" t="e">
        <v>#N/A</v>
      </c>
    </row>
    <row r="419" spans="1:17">
      <c r="A419" s="53">
        <f t="shared" si="4"/>
        <v>2027.02</v>
      </c>
      <c r="B419" s="1318" t="e">
        <v>#N/A</v>
      </c>
      <c r="C419" s="615" t="e">
        <v>#N/A</v>
      </c>
      <c r="D419" s="1192" t="e">
        <v>#N/A</v>
      </c>
      <c r="E419" s="3535" t="e">
        <v>#N/A</v>
      </c>
      <c r="F419" s="615" t="e">
        <v>#N/A</v>
      </c>
      <c r="G419" s="3535" t="e">
        <v>#N/A</v>
      </c>
      <c r="H419" s="615" t="e">
        <v>#N/A</v>
      </c>
      <c r="I419" s="3535" t="e">
        <v>#N/A</v>
      </c>
      <c r="J419" s="615" t="e">
        <v>#N/A</v>
      </c>
      <c r="K419" s="3535" t="e">
        <v>#N/A</v>
      </c>
      <c r="L419" s="615" t="e">
        <v>#N/A</v>
      </c>
      <c r="M419" s="2970" t="e">
        <v>#N/A</v>
      </c>
      <c r="N419" s="1192" t="e">
        <v>#N/A</v>
      </c>
      <c r="O419" s="3535" t="e">
        <v>#N/A</v>
      </c>
      <c r="P419" s="3535" t="e">
        <v>#N/A</v>
      </c>
      <c r="Q419" s="1367" t="e">
        <v>#N/A</v>
      </c>
    </row>
    <row r="420" spans="1:17">
      <c r="A420" s="53">
        <f t="shared" si="4"/>
        <v>2027.03</v>
      </c>
      <c r="B420" s="1318" t="e">
        <v>#N/A</v>
      </c>
      <c r="C420" s="615" t="e">
        <v>#N/A</v>
      </c>
      <c r="D420" s="1192" t="e">
        <v>#N/A</v>
      </c>
      <c r="E420" s="3535" t="e">
        <v>#N/A</v>
      </c>
      <c r="F420" s="615" t="e">
        <v>#N/A</v>
      </c>
      <c r="G420" s="3535" t="e">
        <v>#N/A</v>
      </c>
      <c r="H420" s="615" t="e">
        <v>#N/A</v>
      </c>
      <c r="I420" s="3535" t="e">
        <v>#N/A</v>
      </c>
      <c r="J420" s="615" t="e">
        <v>#N/A</v>
      </c>
      <c r="K420" s="3535" t="e">
        <v>#N/A</v>
      </c>
      <c r="L420" s="615" t="e">
        <v>#N/A</v>
      </c>
      <c r="M420" s="2970" t="e">
        <v>#N/A</v>
      </c>
      <c r="N420" s="1192" t="e">
        <v>#N/A</v>
      </c>
      <c r="O420" s="3535" t="e">
        <v>#N/A</v>
      </c>
      <c r="P420" s="3535" t="e">
        <v>#N/A</v>
      </c>
      <c r="Q420" s="1367" t="e">
        <v>#N/A</v>
      </c>
    </row>
    <row r="421" spans="1:17">
      <c r="A421" s="53">
        <f t="shared" si="4"/>
        <v>2027.04</v>
      </c>
      <c r="B421" s="1318" t="e">
        <v>#N/A</v>
      </c>
      <c r="C421" s="615" t="e">
        <v>#N/A</v>
      </c>
      <c r="D421" s="1192" t="e">
        <v>#N/A</v>
      </c>
      <c r="E421" s="3535" t="e">
        <v>#N/A</v>
      </c>
      <c r="F421" s="615" t="e">
        <v>#N/A</v>
      </c>
      <c r="G421" s="3535" t="e">
        <v>#N/A</v>
      </c>
      <c r="H421" s="615" t="e">
        <v>#N/A</v>
      </c>
      <c r="I421" s="3535" t="e">
        <v>#N/A</v>
      </c>
      <c r="J421" s="615" t="e">
        <v>#N/A</v>
      </c>
      <c r="K421" s="3535" t="e">
        <v>#N/A</v>
      </c>
      <c r="L421" s="615" t="e">
        <v>#N/A</v>
      </c>
      <c r="M421" s="2970" t="e">
        <v>#N/A</v>
      </c>
      <c r="N421" s="1192" t="e">
        <v>#N/A</v>
      </c>
      <c r="O421" s="3535" t="e">
        <v>#N/A</v>
      </c>
      <c r="P421" s="3535" t="e">
        <v>#N/A</v>
      </c>
      <c r="Q421" s="1367" t="e">
        <v>#N/A</v>
      </c>
    </row>
    <row r="422" spans="1:17">
      <c r="A422" s="53">
        <f t="shared" si="4"/>
        <v>2027.05</v>
      </c>
      <c r="B422" s="1318" t="e">
        <v>#N/A</v>
      </c>
      <c r="C422" s="615" t="e">
        <v>#N/A</v>
      </c>
      <c r="D422" s="1192" t="e">
        <v>#N/A</v>
      </c>
      <c r="E422" s="3535" t="e">
        <v>#N/A</v>
      </c>
      <c r="F422" s="615" t="e">
        <v>#N/A</v>
      </c>
      <c r="G422" s="3535" t="e">
        <v>#N/A</v>
      </c>
      <c r="H422" s="615" t="e">
        <v>#N/A</v>
      </c>
      <c r="I422" s="3535" t="e">
        <v>#N/A</v>
      </c>
      <c r="J422" s="615" t="e">
        <v>#N/A</v>
      </c>
      <c r="K422" s="3535" t="e">
        <v>#N/A</v>
      </c>
      <c r="L422" s="615" t="e">
        <v>#N/A</v>
      </c>
      <c r="M422" s="2970" t="e">
        <v>#N/A</v>
      </c>
      <c r="N422" s="1192" t="e">
        <v>#N/A</v>
      </c>
      <c r="O422" s="3535" t="e">
        <v>#N/A</v>
      </c>
      <c r="P422" s="3535" t="e">
        <v>#N/A</v>
      </c>
      <c r="Q422" s="1367" t="e">
        <v>#N/A</v>
      </c>
    </row>
    <row r="423" spans="1:17">
      <c r="A423" s="53">
        <f t="shared" si="4"/>
        <v>2027.06</v>
      </c>
      <c r="B423" s="1318" t="e">
        <v>#N/A</v>
      </c>
      <c r="C423" s="615" t="e">
        <v>#N/A</v>
      </c>
      <c r="D423" s="1192" t="e">
        <v>#N/A</v>
      </c>
      <c r="E423" s="3535" t="e">
        <v>#N/A</v>
      </c>
      <c r="F423" s="615" t="e">
        <v>#N/A</v>
      </c>
      <c r="G423" s="3535" t="e">
        <v>#N/A</v>
      </c>
      <c r="H423" s="615" t="e">
        <v>#N/A</v>
      </c>
      <c r="I423" s="3535" t="e">
        <v>#N/A</v>
      </c>
      <c r="J423" s="615" t="e">
        <v>#N/A</v>
      </c>
      <c r="K423" s="3535" t="e">
        <v>#N/A</v>
      </c>
      <c r="L423" s="615" t="e">
        <v>#N/A</v>
      </c>
      <c r="M423" s="2970" t="e">
        <v>#N/A</v>
      </c>
      <c r="N423" s="1192" t="e">
        <v>#N/A</v>
      </c>
      <c r="O423" s="3535" t="e">
        <v>#N/A</v>
      </c>
      <c r="P423" s="3535" t="e">
        <v>#N/A</v>
      </c>
      <c r="Q423" s="1367" t="e">
        <v>#N/A</v>
      </c>
    </row>
    <row r="424" spans="1:17">
      <c r="A424" s="53">
        <f t="shared" si="4"/>
        <v>2027.07</v>
      </c>
      <c r="B424" s="1318" t="e">
        <v>#N/A</v>
      </c>
      <c r="C424" s="615" t="e">
        <v>#N/A</v>
      </c>
      <c r="D424" s="1192" t="e">
        <v>#N/A</v>
      </c>
      <c r="E424" s="3535" t="e">
        <v>#N/A</v>
      </c>
      <c r="F424" s="615" t="e">
        <v>#N/A</v>
      </c>
      <c r="G424" s="3535" t="e">
        <v>#N/A</v>
      </c>
      <c r="H424" s="615" t="e">
        <v>#N/A</v>
      </c>
      <c r="I424" s="3535" t="e">
        <v>#N/A</v>
      </c>
      <c r="J424" s="615" t="e">
        <v>#N/A</v>
      </c>
      <c r="K424" s="3535" t="e">
        <v>#N/A</v>
      </c>
      <c r="L424" s="615" t="e">
        <v>#N/A</v>
      </c>
      <c r="M424" s="2970" t="e">
        <v>#N/A</v>
      </c>
      <c r="N424" s="1192" t="e">
        <v>#N/A</v>
      </c>
      <c r="O424" s="3535" t="e">
        <v>#N/A</v>
      </c>
      <c r="P424" s="3535" t="e">
        <v>#N/A</v>
      </c>
      <c r="Q424" s="1367" t="e">
        <v>#N/A</v>
      </c>
    </row>
    <row r="425" spans="1:17">
      <c r="A425" s="53">
        <f t="shared" si="4"/>
        <v>2027.08</v>
      </c>
      <c r="B425" s="1318" t="e">
        <v>#N/A</v>
      </c>
      <c r="C425" s="615" t="e">
        <v>#N/A</v>
      </c>
      <c r="D425" s="1192" t="e">
        <v>#N/A</v>
      </c>
      <c r="E425" s="3535" t="e">
        <v>#N/A</v>
      </c>
      <c r="F425" s="615" t="e">
        <v>#N/A</v>
      </c>
      <c r="G425" s="3535" t="e">
        <v>#N/A</v>
      </c>
      <c r="H425" s="615" t="e">
        <v>#N/A</v>
      </c>
      <c r="I425" s="3535" t="e">
        <v>#N/A</v>
      </c>
      <c r="J425" s="615" t="e">
        <v>#N/A</v>
      </c>
      <c r="K425" s="3535" t="e">
        <v>#N/A</v>
      </c>
      <c r="L425" s="615" t="e">
        <v>#N/A</v>
      </c>
      <c r="M425" s="2970" t="e">
        <v>#N/A</v>
      </c>
      <c r="N425" s="1192" t="e">
        <v>#N/A</v>
      </c>
      <c r="O425" s="3535" t="e">
        <v>#N/A</v>
      </c>
      <c r="P425" s="3535" t="e">
        <v>#N/A</v>
      </c>
      <c r="Q425" s="1367" t="e">
        <v>#N/A</v>
      </c>
    </row>
    <row r="426" spans="1:17">
      <c r="A426" s="53">
        <f t="shared" si="4"/>
        <v>2027.09</v>
      </c>
      <c r="B426" s="1318" t="e">
        <v>#N/A</v>
      </c>
      <c r="C426" s="615" t="e">
        <v>#N/A</v>
      </c>
      <c r="D426" s="1192" t="e">
        <v>#N/A</v>
      </c>
      <c r="E426" s="3535" t="e">
        <v>#N/A</v>
      </c>
      <c r="F426" s="615" t="e">
        <v>#N/A</v>
      </c>
      <c r="G426" s="3535" t="e">
        <v>#N/A</v>
      </c>
      <c r="H426" s="615" t="e">
        <v>#N/A</v>
      </c>
      <c r="I426" s="3535" t="e">
        <v>#N/A</v>
      </c>
      <c r="J426" s="615" t="e">
        <v>#N/A</v>
      </c>
      <c r="K426" s="3535" t="e">
        <v>#N/A</v>
      </c>
      <c r="L426" s="615" t="e">
        <v>#N/A</v>
      </c>
      <c r="M426" s="2970" t="e">
        <v>#N/A</v>
      </c>
      <c r="N426" s="1192" t="e">
        <v>#N/A</v>
      </c>
      <c r="O426" s="3535" t="e">
        <v>#N/A</v>
      </c>
      <c r="P426" s="3535" t="e">
        <v>#N/A</v>
      </c>
      <c r="Q426" s="1367" t="e">
        <v>#N/A</v>
      </c>
    </row>
    <row r="427" spans="1:17">
      <c r="A427" s="53">
        <f t="shared" si="4"/>
        <v>2027.1</v>
      </c>
      <c r="B427" s="1318" t="e">
        <v>#N/A</v>
      </c>
      <c r="C427" s="615" t="e">
        <v>#N/A</v>
      </c>
      <c r="D427" s="1192" t="e">
        <v>#N/A</v>
      </c>
      <c r="E427" s="3535" t="e">
        <v>#N/A</v>
      </c>
      <c r="F427" s="615" t="e">
        <v>#N/A</v>
      </c>
      <c r="G427" s="3535" t="e">
        <v>#N/A</v>
      </c>
      <c r="H427" s="615" t="e">
        <v>#N/A</v>
      </c>
      <c r="I427" s="3535" t="e">
        <v>#N/A</v>
      </c>
      <c r="J427" s="615" t="e">
        <v>#N/A</v>
      </c>
      <c r="K427" s="3535" t="e">
        <v>#N/A</v>
      </c>
      <c r="L427" s="615" t="e">
        <v>#N/A</v>
      </c>
      <c r="M427" s="2970" t="e">
        <v>#N/A</v>
      </c>
      <c r="N427" s="1192" t="e">
        <v>#N/A</v>
      </c>
      <c r="O427" s="3535" t="e">
        <v>#N/A</v>
      </c>
      <c r="P427" s="3535" t="e">
        <v>#N/A</v>
      </c>
      <c r="Q427" s="1367" t="e">
        <v>#N/A</v>
      </c>
    </row>
    <row r="428" spans="1:17">
      <c r="A428" s="53">
        <f t="shared" si="4"/>
        <v>2027.11</v>
      </c>
      <c r="B428" s="1318" t="e">
        <v>#N/A</v>
      </c>
      <c r="C428" s="615" t="e">
        <v>#N/A</v>
      </c>
      <c r="D428" s="1192" t="e">
        <v>#N/A</v>
      </c>
      <c r="E428" s="3535" t="e">
        <v>#N/A</v>
      </c>
      <c r="F428" s="615" t="e">
        <v>#N/A</v>
      </c>
      <c r="G428" s="3535" t="e">
        <v>#N/A</v>
      </c>
      <c r="H428" s="615" t="e">
        <v>#N/A</v>
      </c>
      <c r="I428" s="3535" t="e">
        <v>#N/A</v>
      </c>
      <c r="J428" s="615" t="e">
        <v>#N/A</v>
      </c>
      <c r="K428" s="3535" t="e">
        <v>#N/A</v>
      </c>
      <c r="L428" s="615" t="e">
        <v>#N/A</v>
      </c>
      <c r="M428" s="2970" t="e">
        <v>#N/A</v>
      </c>
      <c r="N428" s="1192" t="e">
        <v>#N/A</v>
      </c>
      <c r="O428" s="3535" t="e">
        <v>#N/A</v>
      </c>
      <c r="P428" s="3535" t="e">
        <v>#N/A</v>
      </c>
      <c r="Q428" s="1367" t="e">
        <v>#N/A</v>
      </c>
    </row>
    <row r="429" spans="1:17">
      <c r="A429" s="53">
        <f t="shared" si="4"/>
        <v>2027.12</v>
      </c>
      <c r="B429" s="1318" t="e">
        <v>#N/A</v>
      </c>
      <c r="C429" s="615" t="e">
        <v>#N/A</v>
      </c>
      <c r="D429" s="1192" t="e">
        <v>#N/A</v>
      </c>
      <c r="E429" s="3535" t="e">
        <v>#N/A</v>
      </c>
      <c r="F429" s="615" t="e">
        <v>#N/A</v>
      </c>
      <c r="G429" s="3535" t="e">
        <v>#N/A</v>
      </c>
      <c r="H429" s="615" t="e">
        <v>#N/A</v>
      </c>
      <c r="I429" s="3535" t="e">
        <v>#N/A</v>
      </c>
      <c r="J429" s="615" t="e">
        <v>#N/A</v>
      </c>
      <c r="K429" s="3535" t="e">
        <v>#N/A</v>
      </c>
      <c r="L429" s="615" t="e">
        <v>#N/A</v>
      </c>
      <c r="M429" s="2970" t="e">
        <v>#N/A</v>
      </c>
      <c r="N429" s="1192" t="e">
        <v>#N/A</v>
      </c>
      <c r="O429" s="3535" t="e">
        <v>#N/A</v>
      </c>
      <c r="P429" s="3535" t="e">
        <v>#N/A</v>
      </c>
      <c r="Q429" s="1367" t="e">
        <v>#N/A</v>
      </c>
    </row>
    <row r="430" spans="1:17">
      <c r="A430" s="53">
        <f t="shared" si="4"/>
        <v>2028.01</v>
      </c>
      <c r="B430" s="1318" t="e">
        <v>#N/A</v>
      </c>
      <c r="C430" s="615" t="e">
        <v>#N/A</v>
      </c>
      <c r="D430" s="1192" t="e">
        <v>#N/A</v>
      </c>
      <c r="E430" s="3535" t="e">
        <v>#N/A</v>
      </c>
      <c r="F430" s="615" t="e">
        <v>#N/A</v>
      </c>
      <c r="G430" s="3535" t="e">
        <v>#N/A</v>
      </c>
      <c r="H430" s="615" t="e">
        <v>#N/A</v>
      </c>
      <c r="I430" s="3535" t="e">
        <v>#N/A</v>
      </c>
      <c r="J430" s="615" t="e">
        <v>#N/A</v>
      </c>
      <c r="K430" s="3535" t="e">
        <v>#N/A</v>
      </c>
      <c r="L430" s="615" t="e">
        <v>#N/A</v>
      </c>
      <c r="M430" s="2970" t="e">
        <v>#N/A</v>
      </c>
      <c r="N430" s="1192" t="e">
        <v>#N/A</v>
      </c>
      <c r="O430" s="3535" t="e">
        <v>#N/A</v>
      </c>
      <c r="P430" s="3535" t="e">
        <v>#N/A</v>
      </c>
      <c r="Q430" s="1367" t="e">
        <v>#N/A</v>
      </c>
    </row>
    <row r="431" spans="1:17">
      <c r="A431" s="53">
        <f t="shared" si="4"/>
        <v>2028.02</v>
      </c>
      <c r="B431" s="1318" t="e">
        <v>#N/A</v>
      </c>
      <c r="C431" s="615" t="e">
        <v>#N/A</v>
      </c>
      <c r="D431" s="1192" t="e">
        <v>#N/A</v>
      </c>
      <c r="E431" s="3535" t="e">
        <v>#N/A</v>
      </c>
      <c r="F431" s="615" t="e">
        <v>#N/A</v>
      </c>
      <c r="G431" s="3535" t="e">
        <v>#N/A</v>
      </c>
      <c r="H431" s="615" t="e">
        <v>#N/A</v>
      </c>
      <c r="I431" s="3535" t="e">
        <v>#N/A</v>
      </c>
      <c r="J431" s="615" t="e">
        <v>#N/A</v>
      </c>
      <c r="K431" s="3535" t="e">
        <v>#N/A</v>
      </c>
      <c r="L431" s="615" t="e">
        <v>#N/A</v>
      </c>
      <c r="M431" s="2970" t="e">
        <v>#N/A</v>
      </c>
      <c r="N431" s="1192" t="e">
        <v>#N/A</v>
      </c>
      <c r="O431" s="3535" t="e">
        <v>#N/A</v>
      </c>
      <c r="P431" s="3535" t="e">
        <v>#N/A</v>
      </c>
      <c r="Q431" s="1367" t="e">
        <v>#N/A</v>
      </c>
    </row>
    <row r="432" spans="1:17">
      <c r="A432" s="53">
        <f t="shared" si="4"/>
        <v>2028.03</v>
      </c>
      <c r="B432" s="1318" t="e">
        <v>#N/A</v>
      </c>
      <c r="C432" s="615" t="e">
        <v>#N/A</v>
      </c>
      <c r="D432" s="1192" t="e">
        <v>#N/A</v>
      </c>
      <c r="E432" s="3535" t="e">
        <v>#N/A</v>
      </c>
      <c r="F432" s="615" t="e">
        <v>#N/A</v>
      </c>
      <c r="G432" s="3535" t="e">
        <v>#N/A</v>
      </c>
      <c r="H432" s="615" t="e">
        <v>#N/A</v>
      </c>
      <c r="I432" s="3535" t="e">
        <v>#N/A</v>
      </c>
      <c r="J432" s="615" t="e">
        <v>#N/A</v>
      </c>
      <c r="K432" s="3535" t="e">
        <v>#N/A</v>
      </c>
      <c r="L432" s="615" t="e">
        <v>#N/A</v>
      </c>
      <c r="M432" s="2970" t="e">
        <v>#N/A</v>
      </c>
      <c r="N432" s="1192" t="e">
        <v>#N/A</v>
      </c>
      <c r="O432" s="3535" t="e">
        <v>#N/A</v>
      </c>
      <c r="P432" s="3535" t="e">
        <v>#N/A</v>
      </c>
      <c r="Q432" s="1367" t="e">
        <v>#N/A</v>
      </c>
    </row>
    <row r="433" spans="1:17">
      <c r="A433" s="53">
        <f t="shared" si="4"/>
        <v>2028.04</v>
      </c>
      <c r="B433" s="1318" t="e">
        <v>#N/A</v>
      </c>
      <c r="C433" s="615" t="e">
        <v>#N/A</v>
      </c>
      <c r="D433" s="1192" t="e">
        <v>#N/A</v>
      </c>
      <c r="E433" s="3535" t="e">
        <v>#N/A</v>
      </c>
      <c r="F433" s="615" t="e">
        <v>#N/A</v>
      </c>
      <c r="G433" s="3535" t="e">
        <v>#N/A</v>
      </c>
      <c r="H433" s="615" t="e">
        <v>#N/A</v>
      </c>
      <c r="I433" s="3535" t="e">
        <v>#N/A</v>
      </c>
      <c r="J433" s="615" t="e">
        <v>#N/A</v>
      </c>
      <c r="K433" s="3535" t="e">
        <v>#N/A</v>
      </c>
      <c r="L433" s="615" t="e">
        <v>#N/A</v>
      </c>
      <c r="M433" s="2970" t="e">
        <v>#N/A</v>
      </c>
      <c r="N433" s="1192" t="e">
        <v>#N/A</v>
      </c>
      <c r="O433" s="3535" t="e">
        <v>#N/A</v>
      </c>
      <c r="P433" s="3535" t="e">
        <v>#N/A</v>
      </c>
      <c r="Q433" s="1367" t="e">
        <v>#N/A</v>
      </c>
    </row>
    <row r="434" spans="1:17">
      <c r="A434" s="53">
        <f t="shared" si="4"/>
        <v>2028.05</v>
      </c>
      <c r="B434" s="1318" t="e">
        <v>#N/A</v>
      </c>
      <c r="C434" s="615" t="e">
        <v>#N/A</v>
      </c>
      <c r="D434" s="1192" t="e">
        <v>#N/A</v>
      </c>
      <c r="E434" s="3535" t="e">
        <v>#N/A</v>
      </c>
      <c r="F434" s="615" t="e">
        <v>#N/A</v>
      </c>
      <c r="G434" s="3535" t="e">
        <v>#N/A</v>
      </c>
      <c r="H434" s="615" t="e">
        <v>#N/A</v>
      </c>
      <c r="I434" s="3535" t="e">
        <v>#N/A</v>
      </c>
      <c r="J434" s="615" t="e">
        <v>#N/A</v>
      </c>
      <c r="K434" s="3535" t="e">
        <v>#N/A</v>
      </c>
      <c r="L434" s="615" t="e">
        <v>#N/A</v>
      </c>
      <c r="M434" s="2970" t="e">
        <v>#N/A</v>
      </c>
      <c r="N434" s="1192" t="e">
        <v>#N/A</v>
      </c>
      <c r="O434" s="3535" t="e">
        <v>#N/A</v>
      </c>
      <c r="P434" s="3535" t="e">
        <v>#N/A</v>
      </c>
      <c r="Q434" s="1367" t="e">
        <v>#N/A</v>
      </c>
    </row>
    <row r="435" spans="1:17">
      <c r="A435" s="53">
        <f t="shared" si="4"/>
        <v>2028.06</v>
      </c>
      <c r="B435" s="1318" t="e">
        <v>#N/A</v>
      </c>
      <c r="C435" s="615" t="e">
        <v>#N/A</v>
      </c>
      <c r="D435" s="1192" t="e">
        <v>#N/A</v>
      </c>
      <c r="E435" s="3535" t="e">
        <v>#N/A</v>
      </c>
      <c r="F435" s="615" t="e">
        <v>#N/A</v>
      </c>
      <c r="G435" s="3535" t="e">
        <v>#N/A</v>
      </c>
      <c r="H435" s="615" t="e">
        <v>#N/A</v>
      </c>
      <c r="I435" s="3535" t="e">
        <v>#N/A</v>
      </c>
      <c r="J435" s="615" t="e">
        <v>#N/A</v>
      </c>
      <c r="K435" s="3535" t="e">
        <v>#N/A</v>
      </c>
      <c r="L435" s="615" t="e">
        <v>#N/A</v>
      </c>
      <c r="M435" s="2970" t="e">
        <v>#N/A</v>
      </c>
      <c r="N435" s="1192" t="e">
        <v>#N/A</v>
      </c>
      <c r="O435" s="3535" t="e">
        <v>#N/A</v>
      </c>
      <c r="P435" s="3535" t="e">
        <v>#N/A</v>
      </c>
      <c r="Q435" s="1367" t="e">
        <v>#N/A</v>
      </c>
    </row>
    <row r="436" spans="1:17">
      <c r="A436" s="53">
        <f t="shared" si="4"/>
        <v>2028.07</v>
      </c>
      <c r="B436" s="1318" t="e">
        <v>#N/A</v>
      </c>
      <c r="C436" s="615" t="e">
        <v>#N/A</v>
      </c>
      <c r="D436" s="1192" t="e">
        <v>#N/A</v>
      </c>
      <c r="E436" s="3535" t="e">
        <v>#N/A</v>
      </c>
      <c r="F436" s="615" t="e">
        <v>#N/A</v>
      </c>
      <c r="G436" s="3535" t="e">
        <v>#N/A</v>
      </c>
      <c r="H436" s="615" t="e">
        <v>#N/A</v>
      </c>
      <c r="I436" s="3535" t="e">
        <v>#N/A</v>
      </c>
      <c r="J436" s="615" t="e">
        <v>#N/A</v>
      </c>
      <c r="K436" s="3535" t="e">
        <v>#N/A</v>
      </c>
      <c r="L436" s="615" t="e">
        <v>#N/A</v>
      </c>
      <c r="M436" s="2970" t="e">
        <v>#N/A</v>
      </c>
      <c r="N436" s="1192" t="e">
        <v>#N/A</v>
      </c>
      <c r="O436" s="3535" t="e">
        <v>#N/A</v>
      </c>
      <c r="P436" s="3535" t="e">
        <v>#N/A</v>
      </c>
      <c r="Q436" s="1367" t="e">
        <v>#N/A</v>
      </c>
    </row>
    <row r="437" spans="1:17">
      <c r="A437" s="53">
        <f t="shared" si="4"/>
        <v>2028.08</v>
      </c>
      <c r="B437" s="1318" t="e">
        <v>#N/A</v>
      </c>
      <c r="C437" s="615" t="e">
        <v>#N/A</v>
      </c>
      <c r="D437" s="1192" t="e">
        <v>#N/A</v>
      </c>
      <c r="E437" s="3535" t="e">
        <v>#N/A</v>
      </c>
      <c r="F437" s="615" t="e">
        <v>#N/A</v>
      </c>
      <c r="G437" s="3535" t="e">
        <v>#N/A</v>
      </c>
      <c r="H437" s="615" t="e">
        <v>#N/A</v>
      </c>
      <c r="I437" s="3535" t="e">
        <v>#N/A</v>
      </c>
      <c r="J437" s="615" t="e">
        <v>#N/A</v>
      </c>
      <c r="K437" s="3535" t="e">
        <v>#N/A</v>
      </c>
      <c r="L437" s="615" t="e">
        <v>#N/A</v>
      </c>
      <c r="M437" s="2970" t="e">
        <v>#N/A</v>
      </c>
      <c r="N437" s="1192" t="e">
        <v>#N/A</v>
      </c>
      <c r="O437" s="3535" t="e">
        <v>#N/A</v>
      </c>
      <c r="P437" s="3535" t="e">
        <v>#N/A</v>
      </c>
      <c r="Q437" s="1367" t="e">
        <v>#N/A</v>
      </c>
    </row>
    <row r="438" spans="1:17">
      <c r="A438" s="53">
        <f t="shared" si="4"/>
        <v>2028.09</v>
      </c>
      <c r="B438" s="1318" t="e">
        <v>#N/A</v>
      </c>
      <c r="C438" s="615" t="e">
        <v>#N/A</v>
      </c>
      <c r="D438" s="1192" t="e">
        <v>#N/A</v>
      </c>
      <c r="E438" s="3535" t="e">
        <v>#N/A</v>
      </c>
      <c r="F438" s="615" t="e">
        <v>#N/A</v>
      </c>
      <c r="G438" s="3535" t="e">
        <v>#N/A</v>
      </c>
      <c r="H438" s="615" t="e">
        <v>#N/A</v>
      </c>
      <c r="I438" s="3535" t="e">
        <v>#N/A</v>
      </c>
      <c r="J438" s="615" t="e">
        <v>#N/A</v>
      </c>
      <c r="K438" s="3535" t="e">
        <v>#N/A</v>
      </c>
      <c r="L438" s="615" t="e">
        <v>#N/A</v>
      </c>
      <c r="M438" s="2970" t="e">
        <v>#N/A</v>
      </c>
      <c r="N438" s="1192" t="e">
        <v>#N/A</v>
      </c>
      <c r="O438" s="3535" t="e">
        <v>#N/A</v>
      </c>
      <c r="P438" s="3535" t="e">
        <v>#N/A</v>
      </c>
      <c r="Q438" s="1367" t="e">
        <v>#N/A</v>
      </c>
    </row>
    <row r="439" spans="1:17">
      <c r="A439" s="53">
        <f t="shared" si="4"/>
        <v>2028.1</v>
      </c>
      <c r="B439" s="1318" t="e">
        <v>#N/A</v>
      </c>
      <c r="C439" s="615" t="e">
        <v>#N/A</v>
      </c>
      <c r="D439" s="1192" t="e">
        <v>#N/A</v>
      </c>
      <c r="E439" s="3535" t="e">
        <v>#N/A</v>
      </c>
      <c r="F439" s="615" t="e">
        <v>#N/A</v>
      </c>
      <c r="G439" s="3535" t="e">
        <v>#N/A</v>
      </c>
      <c r="H439" s="615" t="e">
        <v>#N/A</v>
      </c>
      <c r="I439" s="3535" t="e">
        <v>#N/A</v>
      </c>
      <c r="J439" s="615" t="e">
        <v>#N/A</v>
      </c>
      <c r="K439" s="3535" t="e">
        <v>#N/A</v>
      </c>
      <c r="L439" s="615" t="e">
        <v>#N/A</v>
      </c>
      <c r="M439" s="2970" t="e">
        <v>#N/A</v>
      </c>
      <c r="N439" s="1192" t="e">
        <v>#N/A</v>
      </c>
      <c r="O439" s="3535" t="e">
        <v>#N/A</v>
      </c>
      <c r="P439" s="3535" t="e">
        <v>#N/A</v>
      </c>
      <c r="Q439" s="1367" t="e">
        <v>#N/A</v>
      </c>
    </row>
    <row r="440" spans="1:17">
      <c r="A440" s="53">
        <f t="shared" si="4"/>
        <v>2028.11</v>
      </c>
      <c r="B440" s="1318" t="e">
        <v>#N/A</v>
      </c>
      <c r="C440" s="615" t="e">
        <v>#N/A</v>
      </c>
      <c r="D440" s="1192" t="e">
        <v>#N/A</v>
      </c>
      <c r="E440" s="3535" t="e">
        <v>#N/A</v>
      </c>
      <c r="F440" s="615" t="e">
        <v>#N/A</v>
      </c>
      <c r="G440" s="3535" t="e">
        <v>#N/A</v>
      </c>
      <c r="H440" s="615" t="e">
        <v>#N/A</v>
      </c>
      <c r="I440" s="3535" t="e">
        <v>#N/A</v>
      </c>
      <c r="J440" s="615" t="e">
        <v>#N/A</v>
      </c>
      <c r="K440" s="3535" t="e">
        <v>#N/A</v>
      </c>
      <c r="L440" s="615" t="e">
        <v>#N/A</v>
      </c>
      <c r="M440" s="2970" t="e">
        <v>#N/A</v>
      </c>
      <c r="N440" s="1192" t="e">
        <v>#N/A</v>
      </c>
      <c r="O440" s="3535" t="e">
        <v>#N/A</v>
      </c>
      <c r="P440" s="3535" t="e">
        <v>#N/A</v>
      </c>
      <c r="Q440" s="1367" t="e">
        <v>#N/A</v>
      </c>
    </row>
    <row r="441" spans="1:17">
      <c r="A441" s="53">
        <f t="shared" si="4"/>
        <v>2028.12</v>
      </c>
      <c r="B441" s="1318" t="e">
        <v>#N/A</v>
      </c>
      <c r="C441" s="615" t="e">
        <v>#N/A</v>
      </c>
      <c r="D441" s="1192" t="e">
        <v>#N/A</v>
      </c>
      <c r="E441" s="3535" t="e">
        <v>#N/A</v>
      </c>
      <c r="F441" s="615" t="e">
        <v>#N/A</v>
      </c>
      <c r="G441" s="3535" t="e">
        <v>#N/A</v>
      </c>
      <c r="H441" s="615" t="e">
        <v>#N/A</v>
      </c>
      <c r="I441" s="3535" t="e">
        <v>#N/A</v>
      </c>
      <c r="J441" s="615" t="e">
        <v>#N/A</v>
      </c>
      <c r="K441" s="3535" t="e">
        <v>#N/A</v>
      </c>
      <c r="L441" s="615" t="e">
        <v>#N/A</v>
      </c>
      <c r="M441" s="2970" t="e">
        <v>#N/A</v>
      </c>
      <c r="N441" s="1192" t="e">
        <v>#N/A</v>
      </c>
      <c r="O441" s="3535" t="e">
        <v>#N/A</v>
      </c>
      <c r="P441" s="3535" t="e">
        <v>#N/A</v>
      </c>
      <c r="Q441" s="1367" t="e">
        <v>#N/A</v>
      </c>
    </row>
    <row r="442" spans="1:17">
      <c r="A442" s="53">
        <f t="shared" si="4"/>
        <v>2029.01</v>
      </c>
      <c r="B442" s="1318" t="e">
        <v>#N/A</v>
      </c>
      <c r="C442" s="615" t="e">
        <v>#N/A</v>
      </c>
      <c r="D442" s="1192" t="e">
        <v>#N/A</v>
      </c>
      <c r="E442" s="3535" t="e">
        <v>#N/A</v>
      </c>
      <c r="F442" s="615" t="e">
        <v>#N/A</v>
      </c>
      <c r="G442" s="3535" t="e">
        <v>#N/A</v>
      </c>
      <c r="H442" s="615" t="e">
        <v>#N/A</v>
      </c>
      <c r="I442" s="3535" t="e">
        <v>#N/A</v>
      </c>
      <c r="J442" s="615" t="e">
        <v>#N/A</v>
      </c>
      <c r="K442" s="3535" t="e">
        <v>#N/A</v>
      </c>
      <c r="L442" s="615" t="e">
        <v>#N/A</v>
      </c>
      <c r="M442" s="2970" t="e">
        <v>#N/A</v>
      </c>
      <c r="N442" s="1192" t="e">
        <v>#N/A</v>
      </c>
      <c r="O442" s="3535" t="e">
        <v>#N/A</v>
      </c>
      <c r="P442" s="3535" t="e">
        <v>#N/A</v>
      </c>
      <c r="Q442" s="1367" t="e">
        <v>#N/A</v>
      </c>
    </row>
    <row r="443" spans="1:17">
      <c r="A443" s="53">
        <f t="shared" si="4"/>
        <v>2029.02</v>
      </c>
      <c r="B443" s="1318" t="e">
        <v>#N/A</v>
      </c>
      <c r="C443" s="615" t="e">
        <v>#N/A</v>
      </c>
      <c r="D443" s="1192" t="e">
        <v>#N/A</v>
      </c>
      <c r="E443" s="3535" t="e">
        <v>#N/A</v>
      </c>
      <c r="F443" s="615" t="e">
        <v>#N/A</v>
      </c>
      <c r="G443" s="3535" t="e">
        <v>#N/A</v>
      </c>
      <c r="H443" s="615" t="e">
        <v>#N/A</v>
      </c>
      <c r="I443" s="3535" t="e">
        <v>#N/A</v>
      </c>
      <c r="J443" s="615" t="e">
        <v>#N/A</v>
      </c>
      <c r="K443" s="3535" t="e">
        <v>#N/A</v>
      </c>
      <c r="L443" s="615" t="e">
        <v>#N/A</v>
      </c>
      <c r="M443" s="2970" t="e">
        <v>#N/A</v>
      </c>
      <c r="N443" s="1192" t="e">
        <v>#N/A</v>
      </c>
      <c r="O443" s="3535" t="e">
        <v>#N/A</v>
      </c>
      <c r="P443" s="3535" t="e">
        <v>#N/A</v>
      </c>
      <c r="Q443" s="1367" t="e">
        <v>#N/A</v>
      </c>
    </row>
    <row r="444" spans="1:17">
      <c r="A444" s="53">
        <f t="shared" si="4"/>
        <v>2029.03</v>
      </c>
      <c r="B444" s="1318" t="e">
        <v>#N/A</v>
      </c>
      <c r="C444" s="615" t="e">
        <v>#N/A</v>
      </c>
      <c r="D444" s="1192" t="e">
        <v>#N/A</v>
      </c>
      <c r="E444" s="3535" t="e">
        <v>#N/A</v>
      </c>
      <c r="F444" s="615" t="e">
        <v>#N/A</v>
      </c>
      <c r="G444" s="3535" t="e">
        <v>#N/A</v>
      </c>
      <c r="H444" s="615" t="e">
        <v>#N/A</v>
      </c>
      <c r="I444" s="3535" t="e">
        <v>#N/A</v>
      </c>
      <c r="J444" s="615" t="e">
        <v>#N/A</v>
      </c>
      <c r="K444" s="3535" t="e">
        <v>#N/A</v>
      </c>
      <c r="L444" s="615" t="e">
        <v>#N/A</v>
      </c>
      <c r="M444" s="2970" t="e">
        <v>#N/A</v>
      </c>
      <c r="N444" s="1192" t="e">
        <v>#N/A</v>
      </c>
      <c r="O444" s="3535" t="e">
        <v>#N/A</v>
      </c>
      <c r="P444" s="3535" t="e">
        <v>#N/A</v>
      </c>
      <c r="Q444" s="1367" t="e">
        <v>#N/A</v>
      </c>
    </row>
    <row r="445" spans="1:17">
      <c r="A445" s="53">
        <f t="shared" si="4"/>
        <v>2029.04</v>
      </c>
      <c r="B445" s="1318" t="e">
        <v>#N/A</v>
      </c>
      <c r="C445" s="615" t="e">
        <v>#N/A</v>
      </c>
      <c r="D445" s="1192" t="e">
        <v>#N/A</v>
      </c>
      <c r="E445" s="3535" t="e">
        <v>#N/A</v>
      </c>
      <c r="F445" s="615" t="e">
        <v>#N/A</v>
      </c>
      <c r="G445" s="3535" t="e">
        <v>#N/A</v>
      </c>
      <c r="H445" s="615" t="e">
        <v>#N/A</v>
      </c>
      <c r="I445" s="3535" t="e">
        <v>#N/A</v>
      </c>
      <c r="J445" s="615" t="e">
        <v>#N/A</v>
      </c>
      <c r="K445" s="3535" t="e">
        <v>#N/A</v>
      </c>
      <c r="L445" s="615" t="e">
        <v>#N/A</v>
      </c>
      <c r="M445" s="2970" t="e">
        <v>#N/A</v>
      </c>
      <c r="N445" s="1192" t="e">
        <v>#N/A</v>
      </c>
      <c r="O445" s="3535" t="e">
        <v>#N/A</v>
      </c>
      <c r="P445" s="3535" t="e">
        <v>#N/A</v>
      </c>
      <c r="Q445" s="1367" t="e">
        <v>#N/A</v>
      </c>
    </row>
    <row r="446" spans="1:17">
      <c r="A446" s="53">
        <f t="shared" si="4"/>
        <v>2029.05</v>
      </c>
      <c r="B446" s="1318" t="e">
        <v>#N/A</v>
      </c>
      <c r="C446" s="615" t="e">
        <v>#N/A</v>
      </c>
      <c r="D446" s="1192" t="e">
        <v>#N/A</v>
      </c>
      <c r="E446" s="3535" t="e">
        <v>#N/A</v>
      </c>
      <c r="F446" s="615" t="e">
        <v>#N/A</v>
      </c>
      <c r="G446" s="3535" t="e">
        <v>#N/A</v>
      </c>
      <c r="H446" s="615" t="e">
        <v>#N/A</v>
      </c>
      <c r="I446" s="3535" t="e">
        <v>#N/A</v>
      </c>
      <c r="J446" s="615" t="e">
        <v>#N/A</v>
      </c>
      <c r="K446" s="3535" t="e">
        <v>#N/A</v>
      </c>
      <c r="L446" s="615" t="e">
        <v>#N/A</v>
      </c>
      <c r="M446" s="2970" t="e">
        <v>#N/A</v>
      </c>
      <c r="N446" s="1192" t="e">
        <v>#N/A</v>
      </c>
      <c r="O446" s="3535" t="e">
        <v>#N/A</v>
      </c>
      <c r="P446" s="3535" t="e">
        <v>#N/A</v>
      </c>
      <c r="Q446" s="1367" t="e">
        <v>#N/A</v>
      </c>
    </row>
    <row r="447" spans="1:17">
      <c r="A447" s="53">
        <f t="shared" si="4"/>
        <v>2029.06</v>
      </c>
      <c r="B447" s="1318" t="e">
        <v>#N/A</v>
      </c>
      <c r="C447" s="615" t="e">
        <v>#N/A</v>
      </c>
      <c r="D447" s="1192" t="e">
        <v>#N/A</v>
      </c>
      <c r="E447" s="3535" t="e">
        <v>#N/A</v>
      </c>
      <c r="F447" s="615" t="e">
        <v>#N/A</v>
      </c>
      <c r="G447" s="3535" t="e">
        <v>#N/A</v>
      </c>
      <c r="H447" s="615" t="e">
        <v>#N/A</v>
      </c>
      <c r="I447" s="3535" t="e">
        <v>#N/A</v>
      </c>
      <c r="J447" s="615" t="e">
        <v>#N/A</v>
      </c>
      <c r="K447" s="3535" t="e">
        <v>#N/A</v>
      </c>
      <c r="L447" s="615" t="e">
        <v>#N/A</v>
      </c>
      <c r="M447" s="2970" t="e">
        <v>#N/A</v>
      </c>
      <c r="N447" s="1192" t="e">
        <v>#N/A</v>
      </c>
      <c r="O447" s="3535" t="e">
        <v>#N/A</v>
      </c>
      <c r="P447" s="3535" t="e">
        <v>#N/A</v>
      </c>
      <c r="Q447" s="1367" t="e">
        <v>#N/A</v>
      </c>
    </row>
    <row r="448" spans="1:17">
      <c r="A448" s="53">
        <f t="shared" ref="A448:A465" si="5">A436+1</f>
        <v>2029.07</v>
      </c>
      <c r="B448" s="1318" t="e">
        <v>#N/A</v>
      </c>
      <c r="C448" s="615" t="e">
        <v>#N/A</v>
      </c>
      <c r="D448" s="1192" t="e">
        <v>#N/A</v>
      </c>
      <c r="E448" s="3535" t="e">
        <v>#N/A</v>
      </c>
      <c r="F448" s="615" t="e">
        <v>#N/A</v>
      </c>
      <c r="G448" s="3535" t="e">
        <v>#N/A</v>
      </c>
      <c r="H448" s="615" t="e">
        <v>#N/A</v>
      </c>
      <c r="I448" s="3535" t="e">
        <v>#N/A</v>
      </c>
      <c r="J448" s="615" t="e">
        <v>#N/A</v>
      </c>
      <c r="K448" s="3535" t="e">
        <v>#N/A</v>
      </c>
      <c r="L448" s="615" t="e">
        <v>#N/A</v>
      </c>
      <c r="M448" s="2970" t="e">
        <v>#N/A</v>
      </c>
      <c r="N448" s="1192" t="e">
        <v>#N/A</v>
      </c>
      <c r="O448" s="3535" t="e">
        <v>#N/A</v>
      </c>
      <c r="P448" s="3535" t="e">
        <v>#N/A</v>
      </c>
      <c r="Q448" s="1367" t="e">
        <v>#N/A</v>
      </c>
    </row>
    <row r="449" spans="1:17">
      <c r="A449" s="53">
        <f t="shared" si="5"/>
        <v>2029.08</v>
      </c>
      <c r="B449" s="1318" t="e">
        <v>#N/A</v>
      </c>
      <c r="C449" s="615" t="e">
        <v>#N/A</v>
      </c>
      <c r="D449" s="1192" t="e">
        <v>#N/A</v>
      </c>
      <c r="E449" s="3535" t="e">
        <v>#N/A</v>
      </c>
      <c r="F449" s="615" t="e">
        <v>#N/A</v>
      </c>
      <c r="G449" s="3535" t="e">
        <v>#N/A</v>
      </c>
      <c r="H449" s="615" t="e">
        <v>#N/A</v>
      </c>
      <c r="I449" s="3535" t="e">
        <v>#N/A</v>
      </c>
      <c r="J449" s="615" t="e">
        <v>#N/A</v>
      </c>
      <c r="K449" s="3535" t="e">
        <v>#N/A</v>
      </c>
      <c r="L449" s="615" t="e">
        <v>#N/A</v>
      </c>
      <c r="M449" s="2970" t="e">
        <v>#N/A</v>
      </c>
      <c r="N449" s="1192" t="e">
        <v>#N/A</v>
      </c>
      <c r="O449" s="3535" t="e">
        <v>#N/A</v>
      </c>
      <c r="P449" s="3535" t="e">
        <v>#N/A</v>
      </c>
      <c r="Q449" s="1367" t="e">
        <v>#N/A</v>
      </c>
    </row>
    <row r="450" spans="1:17">
      <c r="A450" s="53">
        <f t="shared" si="5"/>
        <v>2029.09</v>
      </c>
      <c r="B450" s="1318" t="e">
        <v>#N/A</v>
      </c>
      <c r="C450" s="615" t="e">
        <v>#N/A</v>
      </c>
      <c r="D450" s="1192" t="e">
        <v>#N/A</v>
      </c>
      <c r="E450" s="3535" t="e">
        <v>#N/A</v>
      </c>
      <c r="F450" s="615" t="e">
        <v>#N/A</v>
      </c>
      <c r="G450" s="3535" t="e">
        <v>#N/A</v>
      </c>
      <c r="H450" s="615" t="e">
        <v>#N/A</v>
      </c>
      <c r="I450" s="3535" t="e">
        <v>#N/A</v>
      </c>
      <c r="J450" s="615" t="e">
        <v>#N/A</v>
      </c>
      <c r="K450" s="3535" t="e">
        <v>#N/A</v>
      </c>
      <c r="L450" s="615" t="e">
        <v>#N/A</v>
      </c>
      <c r="M450" s="2970" t="e">
        <v>#N/A</v>
      </c>
      <c r="N450" s="1192" t="e">
        <v>#N/A</v>
      </c>
      <c r="O450" s="3535" t="e">
        <v>#N/A</v>
      </c>
      <c r="P450" s="3535" t="e">
        <v>#N/A</v>
      </c>
      <c r="Q450" s="1367" t="e">
        <v>#N/A</v>
      </c>
    </row>
    <row r="451" spans="1:17">
      <c r="A451" s="53">
        <f t="shared" si="5"/>
        <v>2029.1</v>
      </c>
      <c r="B451" s="1318" t="e">
        <v>#N/A</v>
      </c>
      <c r="C451" s="615" t="e">
        <v>#N/A</v>
      </c>
      <c r="D451" s="1192" t="e">
        <v>#N/A</v>
      </c>
      <c r="E451" s="3535" t="e">
        <v>#N/A</v>
      </c>
      <c r="F451" s="615" t="e">
        <v>#N/A</v>
      </c>
      <c r="G451" s="3535" t="e">
        <v>#N/A</v>
      </c>
      <c r="H451" s="615" t="e">
        <v>#N/A</v>
      </c>
      <c r="I451" s="3535" t="e">
        <v>#N/A</v>
      </c>
      <c r="J451" s="615" t="e">
        <v>#N/A</v>
      </c>
      <c r="K451" s="3535" t="e">
        <v>#N/A</v>
      </c>
      <c r="L451" s="615" t="e">
        <v>#N/A</v>
      </c>
      <c r="M451" s="2970" t="e">
        <v>#N/A</v>
      </c>
      <c r="N451" s="1192" t="e">
        <v>#N/A</v>
      </c>
      <c r="O451" s="3535" t="e">
        <v>#N/A</v>
      </c>
      <c r="P451" s="3535" t="e">
        <v>#N/A</v>
      </c>
      <c r="Q451" s="1367" t="e">
        <v>#N/A</v>
      </c>
    </row>
    <row r="452" spans="1:17">
      <c r="A452" s="53">
        <f t="shared" si="5"/>
        <v>2029.11</v>
      </c>
      <c r="B452" s="1318" t="e">
        <v>#N/A</v>
      </c>
      <c r="C452" s="615" t="e">
        <v>#N/A</v>
      </c>
      <c r="D452" s="1192" t="e">
        <v>#N/A</v>
      </c>
      <c r="E452" s="3535" t="e">
        <v>#N/A</v>
      </c>
      <c r="F452" s="615" t="e">
        <v>#N/A</v>
      </c>
      <c r="G452" s="3535" t="e">
        <v>#N/A</v>
      </c>
      <c r="H452" s="615" t="e">
        <v>#N/A</v>
      </c>
      <c r="I452" s="3535" t="e">
        <v>#N/A</v>
      </c>
      <c r="J452" s="615" t="e">
        <v>#N/A</v>
      </c>
      <c r="K452" s="3535" t="e">
        <v>#N/A</v>
      </c>
      <c r="L452" s="615" t="e">
        <v>#N/A</v>
      </c>
      <c r="M452" s="2970" t="e">
        <v>#N/A</v>
      </c>
      <c r="N452" s="1192" t="e">
        <v>#N/A</v>
      </c>
      <c r="O452" s="3535" t="e">
        <v>#N/A</v>
      </c>
      <c r="P452" s="3535" t="e">
        <v>#N/A</v>
      </c>
      <c r="Q452" s="1367" t="e">
        <v>#N/A</v>
      </c>
    </row>
    <row r="453" spans="1:17">
      <c r="A453" s="53">
        <f t="shared" si="5"/>
        <v>2029.12</v>
      </c>
      <c r="B453" s="1318" t="e">
        <v>#N/A</v>
      </c>
      <c r="C453" s="615" t="e">
        <v>#N/A</v>
      </c>
      <c r="D453" s="1192" t="e">
        <v>#N/A</v>
      </c>
      <c r="E453" s="3535" t="e">
        <v>#N/A</v>
      </c>
      <c r="F453" s="615" t="e">
        <v>#N/A</v>
      </c>
      <c r="G453" s="3535" t="e">
        <v>#N/A</v>
      </c>
      <c r="H453" s="615" t="e">
        <v>#N/A</v>
      </c>
      <c r="I453" s="3535" t="e">
        <v>#N/A</v>
      </c>
      <c r="J453" s="615" t="e">
        <v>#N/A</v>
      </c>
      <c r="K453" s="3535" t="e">
        <v>#N/A</v>
      </c>
      <c r="L453" s="615" t="e">
        <v>#N/A</v>
      </c>
      <c r="M453" s="2970" t="e">
        <v>#N/A</v>
      </c>
      <c r="N453" s="1192" t="e">
        <v>#N/A</v>
      </c>
      <c r="O453" s="3535" t="e">
        <v>#N/A</v>
      </c>
      <c r="P453" s="3535" t="e">
        <v>#N/A</v>
      </c>
      <c r="Q453" s="1367" t="e">
        <v>#N/A</v>
      </c>
    </row>
    <row r="454" spans="1:17">
      <c r="A454" s="53">
        <f t="shared" si="5"/>
        <v>2030.01</v>
      </c>
      <c r="B454" s="1318" t="e">
        <v>#N/A</v>
      </c>
      <c r="C454" s="615" t="e">
        <v>#N/A</v>
      </c>
      <c r="D454" s="1192" t="e">
        <v>#N/A</v>
      </c>
      <c r="E454" s="3535" t="e">
        <v>#N/A</v>
      </c>
      <c r="F454" s="615" t="e">
        <v>#N/A</v>
      </c>
      <c r="G454" s="3535" t="e">
        <v>#N/A</v>
      </c>
      <c r="H454" s="615" t="e">
        <v>#N/A</v>
      </c>
      <c r="I454" s="3535" t="e">
        <v>#N/A</v>
      </c>
      <c r="J454" s="615" t="e">
        <v>#N/A</v>
      </c>
      <c r="K454" s="3535" t="e">
        <v>#N/A</v>
      </c>
      <c r="L454" s="615" t="e">
        <v>#N/A</v>
      </c>
      <c r="M454" s="2970" t="e">
        <v>#N/A</v>
      </c>
      <c r="N454" s="1192" t="e">
        <v>#N/A</v>
      </c>
      <c r="O454" s="3535" t="e">
        <v>#N/A</v>
      </c>
      <c r="P454" s="3535" t="e">
        <v>#N/A</v>
      </c>
      <c r="Q454" s="1367" t="e">
        <v>#N/A</v>
      </c>
    </row>
    <row r="455" spans="1:17">
      <c r="A455" s="53">
        <f t="shared" si="5"/>
        <v>2030.02</v>
      </c>
      <c r="B455" s="1318" t="e">
        <v>#N/A</v>
      </c>
      <c r="C455" s="615" t="e">
        <v>#N/A</v>
      </c>
      <c r="D455" s="1192" t="e">
        <v>#N/A</v>
      </c>
      <c r="E455" s="3535" t="e">
        <v>#N/A</v>
      </c>
      <c r="F455" s="615" t="e">
        <v>#N/A</v>
      </c>
      <c r="G455" s="3535" t="e">
        <v>#N/A</v>
      </c>
      <c r="H455" s="615" t="e">
        <v>#N/A</v>
      </c>
      <c r="I455" s="3535" t="e">
        <v>#N/A</v>
      </c>
      <c r="J455" s="615" t="e">
        <v>#N/A</v>
      </c>
      <c r="K455" s="3535" t="e">
        <v>#N/A</v>
      </c>
      <c r="L455" s="615" t="e">
        <v>#N/A</v>
      </c>
      <c r="M455" s="2970" t="e">
        <v>#N/A</v>
      </c>
      <c r="N455" s="1192" t="e">
        <v>#N/A</v>
      </c>
      <c r="O455" s="3535" t="e">
        <v>#N/A</v>
      </c>
      <c r="P455" s="3535" t="e">
        <v>#N/A</v>
      </c>
      <c r="Q455" s="1367" t="e">
        <v>#N/A</v>
      </c>
    </row>
    <row r="456" spans="1:17">
      <c r="A456" s="53">
        <f t="shared" si="5"/>
        <v>2030.03</v>
      </c>
      <c r="B456" s="1318" t="e">
        <v>#N/A</v>
      </c>
      <c r="C456" s="615" t="e">
        <v>#N/A</v>
      </c>
      <c r="D456" s="1192" t="e">
        <v>#N/A</v>
      </c>
      <c r="E456" s="3535" t="e">
        <v>#N/A</v>
      </c>
      <c r="F456" s="615" t="e">
        <v>#N/A</v>
      </c>
      <c r="G456" s="3535" t="e">
        <v>#N/A</v>
      </c>
      <c r="H456" s="615" t="e">
        <v>#N/A</v>
      </c>
      <c r="I456" s="3535" t="e">
        <v>#N/A</v>
      </c>
      <c r="J456" s="615" t="e">
        <v>#N/A</v>
      </c>
      <c r="K456" s="3535" t="e">
        <v>#N/A</v>
      </c>
      <c r="L456" s="615" t="e">
        <v>#N/A</v>
      </c>
      <c r="M456" s="2970" t="e">
        <v>#N/A</v>
      </c>
      <c r="N456" s="1192" t="e">
        <v>#N/A</v>
      </c>
      <c r="O456" s="3535" t="e">
        <v>#N/A</v>
      </c>
      <c r="P456" s="3535" t="e">
        <v>#N/A</v>
      </c>
      <c r="Q456" s="1367" t="e">
        <v>#N/A</v>
      </c>
    </row>
    <row r="457" spans="1:17">
      <c r="A457" s="53">
        <f t="shared" si="5"/>
        <v>2030.04</v>
      </c>
      <c r="B457" s="1318" t="e">
        <v>#N/A</v>
      </c>
      <c r="C457" s="615" t="e">
        <v>#N/A</v>
      </c>
      <c r="D457" s="1192" t="e">
        <v>#N/A</v>
      </c>
      <c r="E457" s="3535" t="e">
        <v>#N/A</v>
      </c>
      <c r="F457" s="615" t="e">
        <v>#N/A</v>
      </c>
      <c r="G457" s="3535" t="e">
        <v>#N/A</v>
      </c>
      <c r="H457" s="615" t="e">
        <v>#N/A</v>
      </c>
      <c r="I457" s="3535" t="e">
        <v>#N/A</v>
      </c>
      <c r="J457" s="615" t="e">
        <v>#N/A</v>
      </c>
      <c r="K457" s="3535" t="e">
        <v>#N/A</v>
      </c>
      <c r="L457" s="615" t="e">
        <v>#N/A</v>
      </c>
      <c r="M457" s="2970" t="e">
        <v>#N/A</v>
      </c>
      <c r="N457" s="1192" t="e">
        <v>#N/A</v>
      </c>
      <c r="O457" s="3535" t="e">
        <v>#N/A</v>
      </c>
      <c r="P457" s="3535" t="e">
        <v>#N/A</v>
      </c>
      <c r="Q457" s="1367" t="e">
        <v>#N/A</v>
      </c>
    </row>
    <row r="458" spans="1:17">
      <c r="A458" s="53">
        <f t="shared" si="5"/>
        <v>2030.05</v>
      </c>
      <c r="B458" s="1318" t="e">
        <v>#N/A</v>
      </c>
      <c r="C458" s="615" t="e">
        <v>#N/A</v>
      </c>
      <c r="D458" s="1192" t="e">
        <v>#N/A</v>
      </c>
      <c r="E458" s="3535" t="e">
        <v>#N/A</v>
      </c>
      <c r="F458" s="615" t="e">
        <v>#N/A</v>
      </c>
      <c r="G458" s="3535" t="e">
        <v>#N/A</v>
      </c>
      <c r="H458" s="615" t="e">
        <v>#N/A</v>
      </c>
      <c r="I458" s="3535" t="e">
        <v>#N/A</v>
      </c>
      <c r="J458" s="615" t="e">
        <v>#N/A</v>
      </c>
      <c r="K458" s="3535" t="e">
        <v>#N/A</v>
      </c>
      <c r="L458" s="615" t="e">
        <v>#N/A</v>
      </c>
      <c r="M458" s="2970" t="e">
        <v>#N/A</v>
      </c>
      <c r="N458" s="1192" t="e">
        <v>#N/A</v>
      </c>
      <c r="O458" s="3535" t="e">
        <v>#N/A</v>
      </c>
      <c r="P458" s="3535" t="e">
        <v>#N/A</v>
      </c>
      <c r="Q458" s="1367" t="e">
        <v>#N/A</v>
      </c>
    </row>
    <row r="459" spans="1:17">
      <c r="A459" s="53">
        <f t="shared" si="5"/>
        <v>2030.06</v>
      </c>
      <c r="B459" s="1318" t="e">
        <v>#N/A</v>
      </c>
      <c r="C459" s="615" t="e">
        <v>#N/A</v>
      </c>
      <c r="D459" s="1192" t="e">
        <v>#N/A</v>
      </c>
      <c r="E459" s="3535" t="e">
        <v>#N/A</v>
      </c>
      <c r="F459" s="615" t="e">
        <v>#N/A</v>
      </c>
      <c r="G459" s="3535" t="e">
        <v>#N/A</v>
      </c>
      <c r="H459" s="615" t="e">
        <v>#N/A</v>
      </c>
      <c r="I459" s="3535" t="e">
        <v>#N/A</v>
      </c>
      <c r="J459" s="615" t="e">
        <v>#N/A</v>
      </c>
      <c r="K459" s="3535" t="e">
        <v>#N/A</v>
      </c>
      <c r="L459" s="615" t="e">
        <v>#N/A</v>
      </c>
      <c r="M459" s="2970" t="e">
        <v>#N/A</v>
      </c>
      <c r="N459" s="1192" t="e">
        <v>#N/A</v>
      </c>
      <c r="O459" s="3535" t="e">
        <v>#N/A</v>
      </c>
      <c r="P459" s="3535" t="e">
        <v>#N/A</v>
      </c>
      <c r="Q459" s="1367" t="e">
        <v>#N/A</v>
      </c>
    </row>
    <row r="460" spans="1:17">
      <c r="A460" s="53">
        <f t="shared" si="5"/>
        <v>2030.07</v>
      </c>
      <c r="B460" s="1318" t="e">
        <v>#N/A</v>
      </c>
      <c r="C460" s="615" t="e">
        <v>#N/A</v>
      </c>
      <c r="D460" s="1192" t="e">
        <v>#N/A</v>
      </c>
      <c r="E460" s="3535" t="e">
        <v>#N/A</v>
      </c>
      <c r="F460" s="615" t="e">
        <v>#N/A</v>
      </c>
      <c r="G460" s="3535" t="e">
        <v>#N/A</v>
      </c>
      <c r="H460" s="615" t="e">
        <v>#N/A</v>
      </c>
      <c r="I460" s="3535" t="e">
        <v>#N/A</v>
      </c>
      <c r="J460" s="615" t="e">
        <v>#N/A</v>
      </c>
      <c r="K460" s="3535" t="e">
        <v>#N/A</v>
      </c>
      <c r="L460" s="615" t="e">
        <v>#N/A</v>
      </c>
      <c r="M460" s="2970" t="e">
        <v>#N/A</v>
      </c>
      <c r="N460" s="1192" t="e">
        <v>#N/A</v>
      </c>
      <c r="O460" s="3535" t="e">
        <v>#N/A</v>
      </c>
      <c r="P460" s="3535" t="e">
        <v>#N/A</v>
      </c>
      <c r="Q460" s="1367" t="e">
        <v>#N/A</v>
      </c>
    </row>
    <row r="461" spans="1:17">
      <c r="A461" s="53">
        <f t="shared" si="5"/>
        <v>2030.08</v>
      </c>
      <c r="B461" s="1318" t="e">
        <v>#N/A</v>
      </c>
      <c r="C461" s="615" t="e">
        <v>#N/A</v>
      </c>
      <c r="D461" s="1192" t="e">
        <v>#N/A</v>
      </c>
      <c r="E461" s="3535" t="e">
        <v>#N/A</v>
      </c>
      <c r="F461" s="615" t="e">
        <v>#N/A</v>
      </c>
      <c r="G461" s="3535" t="e">
        <v>#N/A</v>
      </c>
      <c r="H461" s="615" t="e">
        <v>#N/A</v>
      </c>
      <c r="I461" s="3535" t="e">
        <v>#N/A</v>
      </c>
      <c r="J461" s="615" t="e">
        <v>#N/A</v>
      </c>
      <c r="K461" s="3535" t="e">
        <v>#N/A</v>
      </c>
      <c r="L461" s="615" t="e">
        <v>#N/A</v>
      </c>
      <c r="M461" s="2970" t="e">
        <v>#N/A</v>
      </c>
      <c r="N461" s="1192" t="e">
        <v>#N/A</v>
      </c>
      <c r="O461" s="3535" t="e">
        <v>#N/A</v>
      </c>
      <c r="P461" s="3535" t="e">
        <v>#N/A</v>
      </c>
      <c r="Q461" s="1367" t="e">
        <v>#N/A</v>
      </c>
    </row>
    <row r="462" spans="1:17">
      <c r="A462" s="53">
        <f t="shared" si="5"/>
        <v>2030.09</v>
      </c>
      <c r="B462" s="1318" t="e">
        <v>#N/A</v>
      </c>
      <c r="C462" s="615" t="e">
        <v>#N/A</v>
      </c>
      <c r="D462" s="1192" t="e">
        <v>#N/A</v>
      </c>
      <c r="E462" s="3535" t="e">
        <v>#N/A</v>
      </c>
      <c r="F462" s="615" t="e">
        <v>#N/A</v>
      </c>
      <c r="G462" s="3535" t="e">
        <v>#N/A</v>
      </c>
      <c r="H462" s="615" t="e">
        <v>#N/A</v>
      </c>
      <c r="I462" s="3535" t="e">
        <v>#N/A</v>
      </c>
      <c r="J462" s="615" t="e">
        <v>#N/A</v>
      </c>
      <c r="K462" s="3535" t="e">
        <v>#N/A</v>
      </c>
      <c r="L462" s="615" t="e">
        <v>#N/A</v>
      </c>
      <c r="M462" s="2970" t="e">
        <v>#N/A</v>
      </c>
      <c r="N462" s="1192" t="e">
        <v>#N/A</v>
      </c>
      <c r="O462" s="3535" t="e">
        <v>#N/A</v>
      </c>
      <c r="P462" s="3535" t="e">
        <v>#N/A</v>
      </c>
      <c r="Q462" s="1367" t="e">
        <v>#N/A</v>
      </c>
    </row>
    <row r="463" spans="1:17">
      <c r="A463" s="53">
        <f t="shared" si="5"/>
        <v>2030.1</v>
      </c>
      <c r="B463" s="1318" t="e">
        <v>#N/A</v>
      </c>
      <c r="C463" s="615" t="e">
        <v>#N/A</v>
      </c>
      <c r="D463" s="1192" t="e">
        <v>#N/A</v>
      </c>
      <c r="E463" s="3535" t="e">
        <v>#N/A</v>
      </c>
      <c r="F463" s="615" t="e">
        <v>#N/A</v>
      </c>
      <c r="G463" s="3535" t="e">
        <v>#N/A</v>
      </c>
      <c r="H463" s="615" t="e">
        <v>#N/A</v>
      </c>
      <c r="I463" s="3535" t="e">
        <v>#N/A</v>
      </c>
      <c r="J463" s="615" t="e">
        <v>#N/A</v>
      </c>
      <c r="K463" s="3535" t="e">
        <v>#N/A</v>
      </c>
      <c r="L463" s="615" t="e">
        <v>#N/A</v>
      </c>
      <c r="M463" s="2970" t="e">
        <v>#N/A</v>
      </c>
      <c r="N463" s="1192" t="e">
        <v>#N/A</v>
      </c>
      <c r="O463" s="3535" t="e">
        <v>#N/A</v>
      </c>
      <c r="P463" s="3535" t="e">
        <v>#N/A</v>
      </c>
      <c r="Q463" s="1367" t="e">
        <v>#N/A</v>
      </c>
    </row>
    <row r="464" spans="1:17">
      <c r="A464" s="53">
        <f t="shared" si="5"/>
        <v>2030.11</v>
      </c>
      <c r="B464" s="1318" t="e">
        <v>#N/A</v>
      </c>
      <c r="C464" s="615" t="e">
        <v>#N/A</v>
      </c>
      <c r="D464" s="1192" t="e">
        <v>#N/A</v>
      </c>
      <c r="E464" s="3535" t="e">
        <v>#N/A</v>
      </c>
      <c r="F464" s="615" t="e">
        <v>#N/A</v>
      </c>
      <c r="G464" s="3535" t="e">
        <v>#N/A</v>
      </c>
      <c r="H464" s="615" t="e">
        <v>#N/A</v>
      </c>
      <c r="I464" s="3535" t="e">
        <v>#N/A</v>
      </c>
      <c r="J464" s="615" t="e">
        <v>#N/A</v>
      </c>
      <c r="K464" s="3535" t="e">
        <v>#N/A</v>
      </c>
      <c r="L464" s="615" t="e">
        <v>#N/A</v>
      </c>
      <c r="M464" s="2970" t="e">
        <v>#N/A</v>
      </c>
      <c r="N464" s="1192" t="e">
        <v>#N/A</v>
      </c>
      <c r="O464" s="3535" t="e">
        <v>#N/A</v>
      </c>
      <c r="P464" s="3535" t="e">
        <v>#N/A</v>
      </c>
      <c r="Q464" s="1367" t="e">
        <v>#N/A</v>
      </c>
    </row>
    <row r="465" spans="1:17">
      <c r="A465" s="53">
        <f t="shared" si="5"/>
        <v>2030.12</v>
      </c>
      <c r="B465" s="1318" t="e">
        <v>#N/A</v>
      </c>
      <c r="C465" s="615" t="e">
        <v>#N/A</v>
      </c>
      <c r="D465" s="1192" t="e">
        <v>#N/A</v>
      </c>
      <c r="E465" s="3535" t="e">
        <v>#N/A</v>
      </c>
      <c r="F465" s="615" t="e">
        <v>#N/A</v>
      </c>
      <c r="G465" s="3535" t="e">
        <v>#N/A</v>
      </c>
      <c r="H465" s="615" t="e">
        <v>#N/A</v>
      </c>
      <c r="I465" s="3535" t="e">
        <v>#N/A</v>
      </c>
      <c r="J465" s="615" t="e">
        <v>#N/A</v>
      </c>
      <c r="K465" s="3535" t="e">
        <v>#N/A</v>
      </c>
      <c r="L465" s="615" t="e">
        <v>#N/A</v>
      </c>
      <c r="M465" s="2970" t="e">
        <v>#N/A</v>
      </c>
      <c r="N465" s="1192" t="e">
        <v>#N/A</v>
      </c>
      <c r="O465" s="3535" t="e">
        <v>#N/A</v>
      </c>
      <c r="P465" s="3535" t="e">
        <v>#N/A</v>
      </c>
      <c r="Q465" s="1367" t="e">
        <v>#N/A</v>
      </c>
    </row>
  </sheetData>
  <phoneticPr fontId="0" type="noConversion"/>
  <hyperlinks>
    <hyperlink ref="A5" location="INDICE!A13" display="VOLVER AL INDICE" xr:uid="{00000000-0004-0000-1C00-000000000000}"/>
  </hyperlinks>
  <printOptions gridLines="1"/>
  <pageMargins left="0.39370078740157483" right="0.39370078740157483" top="0.59055118110236227" bottom="0.59055118110236227" header="0" footer="0"/>
  <pageSetup paperSize="9" scale="5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4AC0D-E7BE-4F07-A733-C898CEDF4276}">
  <sheetPr codeName="Hoja10"/>
  <dimension ref="A1:T359"/>
  <sheetViews>
    <sheetView zoomScaleNormal="100"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9.5703125" style="371" bestFit="1" customWidth="1"/>
    <col min="2" max="3" width="15.5703125" style="1228" customWidth="1"/>
    <col min="4" max="4" width="15.5703125" style="1227" customWidth="1"/>
    <col min="5" max="20" width="15.5703125" style="226" customWidth="1"/>
    <col min="21" max="16384" width="11.42578125" style="226"/>
  </cols>
  <sheetData>
    <row r="1" spans="1:20" s="1223" customFormat="1" ht="3" customHeight="1">
      <c r="A1" s="2734"/>
      <c r="B1" s="3523"/>
      <c r="C1" s="2740"/>
      <c r="D1" s="2741"/>
      <c r="E1" s="880"/>
      <c r="F1" s="67"/>
      <c r="G1" s="67"/>
      <c r="H1" s="67"/>
      <c r="I1" s="67"/>
      <c r="J1" s="67"/>
      <c r="K1" s="67"/>
      <c r="L1" s="67"/>
      <c r="M1" s="67"/>
      <c r="N1" s="67"/>
      <c r="O1" s="67"/>
      <c r="P1" s="67"/>
      <c r="Q1" s="67"/>
      <c r="R1" s="67"/>
      <c r="S1" s="67"/>
      <c r="T1" s="1100"/>
    </row>
    <row r="2" spans="1:20" s="1223" customFormat="1" ht="41.25" customHeight="1">
      <c r="A2" s="2735" t="s">
        <v>99</v>
      </c>
      <c r="B2" s="1254" t="s">
        <v>148</v>
      </c>
      <c r="C2" s="1255"/>
      <c r="D2" s="1256"/>
      <c r="E2" s="2742" t="s">
        <v>149</v>
      </c>
      <c r="F2" s="320"/>
      <c r="G2" s="320"/>
      <c r="H2" s="320"/>
      <c r="I2" s="320"/>
      <c r="J2" s="320"/>
      <c r="K2" s="320"/>
      <c r="L2" s="320"/>
      <c r="M2" s="320"/>
      <c r="N2" s="320"/>
      <c r="O2" s="320"/>
      <c r="P2" s="320"/>
      <c r="Q2" s="320"/>
      <c r="R2" s="320"/>
      <c r="S2" s="320"/>
      <c r="T2" s="316"/>
    </row>
    <row r="3" spans="1:20" s="1223" customFormat="1">
      <c r="A3" s="2735" t="s">
        <v>104</v>
      </c>
      <c r="B3" s="1257" t="s">
        <v>150</v>
      </c>
      <c r="C3" s="2743"/>
      <c r="D3" s="2744"/>
      <c r="E3" s="2745" t="s">
        <v>150</v>
      </c>
      <c r="F3" s="2746"/>
      <c r="G3" s="2746"/>
      <c r="H3" s="2746"/>
      <c r="I3" s="2746"/>
      <c r="J3" s="2746"/>
      <c r="K3" s="2746"/>
      <c r="L3" s="2746"/>
      <c r="M3" s="2746"/>
      <c r="N3" s="2746"/>
      <c r="O3" s="2746"/>
      <c r="P3" s="2746"/>
      <c r="Q3" s="2746"/>
      <c r="R3" s="2746"/>
      <c r="S3" s="2746"/>
      <c r="T3" s="2747"/>
    </row>
    <row r="4" spans="1:20" s="1223" customFormat="1" ht="42" customHeight="1">
      <c r="A4" s="2735"/>
      <c r="B4" s="1229"/>
      <c r="C4" s="1230"/>
      <c r="D4" s="1231"/>
      <c r="E4" s="1724" t="s">
        <v>151</v>
      </c>
      <c r="F4" s="1725" t="s">
        <v>152</v>
      </c>
      <c r="G4" s="1725" t="s">
        <v>153</v>
      </c>
      <c r="H4" s="1726" t="s">
        <v>154</v>
      </c>
      <c r="I4" s="1725" t="s">
        <v>155</v>
      </c>
      <c r="J4" s="1725" t="s">
        <v>156</v>
      </c>
      <c r="K4" s="1725" t="s">
        <v>157</v>
      </c>
      <c r="L4" s="1095" t="s">
        <v>158</v>
      </c>
      <c r="M4" s="1095" t="s">
        <v>159</v>
      </c>
      <c r="N4" s="1095" t="s">
        <v>160</v>
      </c>
      <c r="O4" s="1095" t="s">
        <v>161</v>
      </c>
      <c r="P4" s="1095" t="s">
        <v>162</v>
      </c>
      <c r="Q4" s="1095" t="s">
        <v>163</v>
      </c>
      <c r="R4" s="1095" t="s">
        <v>164</v>
      </c>
      <c r="S4" s="1095" t="s">
        <v>165</v>
      </c>
      <c r="T4" s="1727" t="s">
        <v>166</v>
      </c>
    </row>
    <row r="5" spans="1:20" s="1223" customFormat="1" ht="22.5">
      <c r="A5" s="2738" t="s">
        <v>140</v>
      </c>
      <c r="B5" s="1258" t="s">
        <v>167</v>
      </c>
      <c r="C5" s="1259" t="s">
        <v>168</v>
      </c>
      <c r="D5" s="1260" t="s">
        <v>169</v>
      </c>
      <c r="E5" s="3524" t="s">
        <v>170</v>
      </c>
      <c r="F5" s="2748"/>
      <c r="G5" s="2748"/>
      <c r="H5" s="2748"/>
      <c r="I5" s="2748"/>
      <c r="J5" s="2748"/>
      <c r="K5" s="2748"/>
      <c r="L5" s="2748"/>
      <c r="M5" s="2748"/>
      <c r="N5" s="2748"/>
      <c r="O5" s="2748"/>
      <c r="P5" s="2748"/>
      <c r="Q5" s="2748"/>
      <c r="R5" s="2748"/>
      <c r="S5" s="2748"/>
      <c r="T5" s="1856"/>
    </row>
    <row r="6" spans="1:20" s="1223" customFormat="1">
      <c r="A6" s="2735"/>
      <c r="B6" s="1232"/>
      <c r="C6" s="1233"/>
      <c r="D6" s="1234"/>
      <c r="E6" s="2749"/>
      <c r="F6" s="58"/>
      <c r="G6" s="308"/>
      <c r="H6" s="308"/>
      <c r="I6" s="308"/>
      <c r="J6" s="308"/>
      <c r="K6" s="308"/>
      <c r="L6" s="308"/>
      <c r="M6" s="308"/>
      <c r="N6" s="308"/>
      <c r="O6" s="308"/>
      <c r="P6" s="308"/>
      <c r="Q6" s="308"/>
      <c r="R6" s="308"/>
      <c r="S6" s="308"/>
      <c r="T6" s="310"/>
    </row>
    <row r="7" spans="1:20" s="1223" customFormat="1" ht="22.5">
      <c r="A7" s="2735" t="s">
        <v>125</v>
      </c>
      <c r="B7" s="1258" t="s">
        <v>130</v>
      </c>
      <c r="C7" s="1259" t="s">
        <v>130</v>
      </c>
      <c r="D7" s="1260" t="s">
        <v>130</v>
      </c>
      <c r="E7" s="2750" t="s">
        <v>130</v>
      </c>
      <c r="F7" s="876"/>
      <c r="G7" s="876"/>
      <c r="H7" s="876"/>
      <c r="I7" s="876"/>
      <c r="J7" s="877"/>
      <c r="K7" s="876"/>
      <c r="L7" s="876"/>
      <c r="M7" s="876"/>
      <c r="N7" s="876"/>
      <c r="O7" s="876"/>
      <c r="P7" s="876"/>
      <c r="Q7" s="876"/>
      <c r="R7" s="876"/>
      <c r="S7" s="876"/>
      <c r="T7" s="878"/>
    </row>
    <row r="8" spans="1:20" s="1223" customFormat="1">
      <c r="A8" s="2751" t="s">
        <v>144</v>
      </c>
      <c r="B8" s="2130" t="s">
        <v>171</v>
      </c>
      <c r="C8" s="2131" t="s">
        <v>172</v>
      </c>
      <c r="D8" s="2132" t="s">
        <v>173</v>
      </c>
      <c r="E8" s="2133" t="s">
        <v>174</v>
      </c>
      <c r="F8" s="2131" t="s">
        <v>175</v>
      </c>
      <c r="G8" s="2131" t="s">
        <v>176</v>
      </c>
      <c r="H8" s="2131" t="s">
        <v>177</v>
      </c>
      <c r="I8" s="2131" t="s">
        <v>178</v>
      </c>
      <c r="J8" s="2131" t="s">
        <v>179</v>
      </c>
      <c r="K8" s="2131" t="s">
        <v>180</v>
      </c>
      <c r="L8" s="2131" t="s">
        <v>181</v>
      </c>
      <c r="M8" s="2131" t="s">
        <v>182</v>
      </c>
      <c r="N8" s="2131" t="s">
        <v>183</v>
      </c>
      <c r="O8" s="2131" t="s">
        <v>184</v>
      </c>
      <c r="P8" s="2131" t="s">
        <v>185</v>
      </c>
      <c r="Q8" s="2131" t="s">
        <v>186</v>
      </c>
      <c r="R8" s="2131" t="s">
        <v>187</v>
      </c>
      <c r="S8" s="2131" t="s">
        <v>188</v>
      </c>
      <c r="T8" s="2134" t="s">
        <v>189</v>
      </c>
    </row>
    <row r="9" spans="1:20" s="1224" customFormat="1" ht="13.5" thickBot="1">
      <c r="A9" s="2126"/>
      <c r="B9" s="1250"/>
      <c r="C9" s="1251"/>
      <c r="D9" s="1252"/>
      <c r="E9" s="1196"/>
      <c r="F9" s="1197"/>
      <c r="G9" s="1197"/>
      <c r="H9" s="1197"/>
      <c r="I9" s="1197"/>
      <c r="J9" s="1197"/>
      <c r="K9" s="1197"/>
      <c r="L9" s="1197"/>
      <c r="M9" s="1197"/>
      <c r="N9" s="1197"/>
      <c r="O9" s="1197"/>
      <c r="P9" s="1197"/>
      <c r="Q9" s="1197"/>
      <c r="R9" s="1197"/>
      <c r="S9" s="1197"/>
      <c r="T9" s="1198"/>
    </row>
    <row r="10" spans="1:20">
      <c r="A10" s="1683">
        <v>2004.01</v>
      </c>
      <c r="B10" s="1719">
        <v>78.515312606372447</v>
      </c>
      <c r="C10" s="2006">
        <v>94.098904223340796</v>
      </c>
      <c r="D10" s="2008">
        <v>94.704086970615506</v>
      </c>
      <c r="E10" s="2007">
        <v>41.465990488107593</v>
      </c>
      <c r="F10" s="1720">
        <v>75.456413982113673</v>
      </c>
      <c r="G10" s="1720">
        <v>109.38200034258278</v>
      </c>
      <c r="H10" s="1720">
        <v>81.311449271513126</v>
      </c>
      <c r="I10" s="1720">
        <v>98.533781691552605</v>
      </c>
      <c r="J10" s="1099">
        <v>75.650827522866365</v>
      </c>
      <c r="K10" s="1721">
        <v>89.059489865966981</v>
      </c>
      <c r="L10" s="1722">
        <v>96.158531463122884</v>
      </c>
      <c r="M10" s="1722">
        <v>75.785679216361643</v>
      </c>
      <c r="N10" s="1722">
        <v>103.27652039809662</v>
      </c>
      <c r="O10" s="1722">
        <v>95.749486330510948</v>
      </c>
      <c r="P10" s="1722">
        <v>100.52445858593914</v>
      </c>
      <c r="Q10" s="1722">
        <v>100.0278405813844</v>
      </c>
      <c r="R10" s="1722">
        <v>99.736742337452114</v>
      </c>
      <c r="S10" s="1722">
        <v>95.843054151443397</v>
      </c>
      <c r="T10" s="1723">
        <v>92.634137408566289</v>
      </c>
    </row>
    <row r="11" spans="1:20">
      <c r="A11" s="388">
        <v>2004.02</v>
      </c>
      <c r="B11" s="885">
        <v>78.019872282562417</v>
      </c>
      <c r="C11" s="3525">
        <v>94.199758957408903</v>
      </c>
      <c r="D11" s="2005">
        <v>95.861061338404994</v>
      </c>
      <c r="E11" s="1096">
        <v>46.838570465979181</v>
      </c>
      <c r="F11" s="3526">
        <v>81.563620302318839</v>
      </c>
      <c r="G11" s="3526">
        <v>105.04424591252253</v>
      </c>
      <c r="H11" s="3526">
        <v>79.797070686128606</v>
      </c>
      <c r="I11" s="3526">
        <v>93.337075251163114</v>
      </c>
      <c r="J11" s="3527">
        <v>76.602444036221556</v>
      </c>
      <c r="K11" s="1097">
        <v>83.624295580005324</v>
      </c>
      <c r="L11" s="1261">
        <v>96.819096678122094</v>
      </c>
      <c r="M11" s="1261">
        <v>75.811596919460499</v>
      </c>
      <c r="N11" s="1261">
        <v>94.583033468731514</v>
      </c>
      <c r="O11" s="1261">
        <v>96.547548445596163</v>
      </c>
      <c r="P11" s="1261">
        <v>100.26880058647858</v>
      </c>
      <c r="Q11" s="1261">
        <v>99.836903543118467</v>
      </c>
      <c r="R11" s="1261">
        <v>98.574806322877293</v>
      </c>
      <c r="S11" s="1261">
        <v>96.11307630445333</v>
      </c>
      <c r="T11" s="2752">
        <v>92.695786007103237</v>
      </c>
    </row>
    <row r="12" spans="1:20">
      <c r="A12" s="388">
        <v>2004.03</v>
      </c>
      <c r="B12" s="885">
        <v>129.99382512697906</v>
      </c>
      <c r="C12" s="3525">
        <v>102.29352158381499</v>
      </c>
      <c r="D12" s="2005">
        <v>97.147446399069807</v>
      </c>
      <c r="E12" s="1096">
        <v>233.3971610542792</v>
      </c>
      <c r="F12" s="3526">
        <v>151.77889101835734</v>
      </c>
      <c r="G12" s="3526">
        <v>106.35914848877228</v>
      </c>
      <c r="H12" s="3526">
        <v>108.0150811515954</v>
      </c>
      <c r="I12" s="3526">
        <v>124.96339559973981</v>
      </c>
      <c r="J12" s="3527">
        <v>99.247929613578393</v>
      </c>
      <c r="K12" s="1097">
        <v>97.679819475498491</v>
      </c>
      <c r="L12" s="1261">
        <v>95.613961405563515</v>
      </c>
      <c r="M12" s="1261">
        <v>120.42887439605276</v>
      </c>
      <c r="N12" s="1261">
        <v>97.533501873441125</v>
      </c>
      <c r="O12" s="1261">
        <v>102.96014890848357</v>
      </c>
      <c r="P12" s="1261">
        <v>100.43358922543024</v>
      </c>
      <c r="Q12" s="1261">
        <v>99.618699993201119</v>
      </c>
      <c r="R12" s="1261">
        <v>98.263594828431991</v>
      </c>
      <c r="S12" s="1261">
        <v>96.406887157298485</v>
      </c>
      <c r="T12" s="2752">
        <v>87.906843878224763</v>
      </c>
    </row>
    <row r="13" spans="1:20">
      <c r="A13" s="388">
        <v>2004.04</v>
      </c>
      <c r="B13" s="885">
        <v>145.23625710453601</v>
      </c>
      <c r="C13" s="3525">
        <v>99.636364239850394</v>
      </c>
      <c r="D13" s="2005">
        <v>98.394064082921403</v>
      </c>
      <c r="E13" s="1096">
        <v>327.65217700857636</v>
      </c>
      <c r="F13" s="3526">
        <v>71.856918310381047</v>
      </c>
      <c r="G13" s="3526">
        <v>79.991777280199159</v>
      </c>
      <c r="H13" s="3526">
        <v>96.570089778129329</v>
      </c>
      <c r="I13" s="3526">
        <v>113.21113882904135</v>
      </c>
      <c r="J13" s="3527">
        <v>80.408152992712829</v>
      </c>
      <c r="K13" s="1097">
        <v>100.02977807822944</v>
      </c>
      <c r="L13" s="1261">
        <v>90.313368151612309</v>
      </c>
      <c r="M13" s="1261">
        <v>129.0182933848771</v>
      </c>
      <c r="N13" s="1261">
        <v>96.683000438749104</v>
      </c>
      <c r="O13" s="1261">
        <v>98.000705894597303</v>
      </c>
      <c r="P13" s="1261">
        <v>100.29169169537627</v>
      </c>
      <c r="Q13" s="1261">
        <v>99.444467276199092</v>
      </c>
      <c r="R13" s="1261">
        <v>98.614621115537517</v>
      </c>
      <c r="S13" s="1261">
        <v>96.651774441401187</v>
      </c>
      <c r="T13" s="2752">
        <v>86.543661889734054</v>
      </c>
    </row>
    <row r="14" spans="1:20">
      <c r="A14" s="388">
        <v>2004.05</v>
      </c>
      <c r="B14" s="885">
        <v>120.56582985424021</v>
      </c>
      <c r="C14" s="3525">
        <v>100.290610363196</v>
      </c>
      <c r="D14" s="2005">
        <v>99.392399372232106</v>
      </c>
      <c r="E14" s="1096">
        <v>203.054887903544</v>
      </c>
      <c r="F14" s="3526">
        <v>81.605524410556043</v>
      </c>
      <c r="G14" s="3526">
        <v>93.621601648806333</v>
      </c>
      <c r="H14" s="3526">
        <v>98.458591696409442</v>
      </c>
      <c r="I14" s="3526">
        <v>99.051753966737849</v>
      </c>
      <c r="J14" s="3527">
        <v>93.418322301194905</v>
      </c>
      <c r="K14" s="1097">
        <v>101.95770825570453</v>
      </c>
      <c r="L14" s="1261">
        <v>91.551296377423753</v>
      </c>
      <c r="M14" s="1261">
        <v>113.33598269672959</v>
      </c>
      <c r="N14" s="1261">
        <v>99.490311262498693</v>
      </c>
      <c r="O14" s="1261">
        <v>97.247711377491086</v>
      </c>
      <c r="P14" s="1261">
        <v>100.18830187621288</v>
      </c>
      <c r="Q14" s="1261">
        <v>99.602064372537171</v>
      </c>
      <c r="R14" s="1261">
        <v>98.948577831067752</v>
      </c>
      <c r="S14" s="1261">
        <v>96.872640127674202</v>
      </c>
      <c r="T14" s="2752">
        <v>89.958925907898717</v>
      </c>
    </row>
    <row r="15" spans="1:20">
      <c r="A15" s="388">
        <v>2004.06</v>
      </c>
      <c r="B15" s="885">
        <v>93.650528859951905</v>
      </c>
      <c r="C15" s="3525">
        <v>100.53469180894299</v>
      </c>
      <c r="D15" s="2005">
        <v>100.00389327850699</v>
      </c>
      <c r="E15" s="1096">
        <v>59.715033610057787</v>
      </c>
      <c r="F15" s="3526">
        <v>118.81607374366136</v>
      </c>
      <c r="G15" s="3526">
        <v>107.53253836040484</v>
      </c>
      <c r="H15" s="3526">
        <v>106.20800233371259</v>
      </c>
      <c r="I15" s="3526">
        <v>93.782994376252688</v>
      </c>
      <c r="J15" s="3527">
        <v>107.48425700958921</v>
      </c>
      <c r="K15" s="1097">
        <v>101.69490035055415</v>
      </c>
      <c r="L15" s="1261">
        <v>92.94825221563724</v>
      </c>
      <c r="M15" s="1261">
        <v>95.167407414172089</v>
      </c>
      <c r="N15" s="1261">
        <v>99.299697956404827</v>
      </c>
      <c r="O15" s="1261">
        <v>99.554883002759794</v>
      </c>
      <c r="P15" s="1261">
        <v>99.90469185308406</v>
      </c>
      <c r="Q15" s="1261">
        <v>99.684406420882794</v>
      </c>
      <c r="R15" s="1261">
        <v>99.33504922543591</v>
      </c>
      <c r="S15" s="1261">
        <v>97.523751361585681</v>
      </c>
      <c r="T15" s="2752">
        <v>94.664739057418416</v>
      </c>
    </row>
    <row r="16" spans="1:20">
      <c r="A16" s="388">
        <v>2004.07</v>
      </c>
      <c r="B16" s="885">
        <v>88.436830327405772</v>
      </c>
      <c r="C16" s="3525">
        <v>99.482340548253504</v>
      </c>
      <c r="D16" s="2005">
        <v>100.216925709119</v>
      </c>
      <c r="E16" s="1096">
        <v>40.151537078091252</v>
      </c>
      <c r="F16" s="3526">
        <v>127.77578458688967</v>
      </c>
      <c r="G16" s="3526">
        <v>133.37892012271749</v>
      </c>
      <c r="H16" s="3526">
        <v>103.1658974247722</v>
      </c>
      <c r="I16" s="3526">
        <v>98.932570223501983</v>
      </c>
      <c r="J16" s="3527">
        <v>99.172130164422413</v>
      </c>
      <c r="K16" s="1097">
        <v>99.22123246260017</v>
      </c>
      <c r="L16" s="1261">
        <v>98.771003841581816</v>
      </c>
      <c r="M16" s="1261">
        <v>93.349986219045874</v>
      </c>
      <c r="N16" s="1261">
        <v>99.120738605190184</v>
      </c>
      <c r="O16" s="1261">
        <v>101.33540923689516</v>
      </c>
      <c r="P16" s="1261">
        <v>99.979502196940658</v>
      </c>
      <c r="Q16" s="1261">
        <v>99.704467575442166</v>
      </c>
      <c r="R16" s="1261">
        <v>99.916983308679121</v>
      </c>
      <c r="S16" s="1261">
        <v>98.748676499365587</v>
      </c>
      <c r="T16" s="2752">
        <v>98.439131052379082</v>
      </c>
    </row>
    <row r="17" spans="1:20">
      <c r="A17" s="388">
        <v>2004.08</v>
      </c>
      <c r="B17" s="885">
        <v>92.032379332183339</v>
      </c>
      <c r="C17" s="3525">
        <v>100.198232317105</v>
      </c>
      <c r="D17" s="2005">
        <v>100.19267484432901</v>
      </c>
      <c r="E17" s="1096">
        <v>41.088133590005008</v>
      </c>
      <c r="F17" s="3526">
        <v>122.97772684604125</v>
      </c>
      <c r="G17" s="3526">
        <v>100.98849746944751</v>
      </c>
      <c r="H17" s="3526">
        <v>115.07515973412596</v>
      </c>
      <c r="I17" s="3526">
        <v>98.382968417166154</v>
      </c>
      <c r="J17" s="3527">
        <v>101.12685852163222</v>
      </c>
      <c r="K17" s="1097">
        <v>96.355917971428681</v>
      </c>
      <c r="L17" s="1261">
        <v>100.94242839059717</v>
      </c>
      <c r="M17" s="1261">
        <v>97.669688182416508</v>
      </c>
      <c r="N17" s="1261">
        <v>100.29555609476404</v>
      </c>
      <c r="O17" s="1261">
        <v>103.15550703400271</v>
      </c>
      <c r="P17" s="1261">
        <v>100.04159893746642</v>
      </c>
      <c r="Q17" s="1261">
        <v>100.18823011457519</v>
      </c>
      <c r="R17" s="1261">
        <v>100.50688036851359</v>
      </c>
      <c r="S17" s="1261">
        <v>100.69359592251359</v>
      </c>
      <c r="T17" s="2752">
        <v>102.73954784834945</v>
      </c>
    </row>
    <row r="18" spans="1:20">
      <c r="A18" s="388">
        <v>2004.09</v>
      </c>
      <c r="B18" s="885">
        <v>89.765110362681739</v>
      </c>
      <c r="C18" s="3525">
        <v>99.538296038317</v>
      </c>
      <c r="D18" s="2005">
        <v>100.231702906344</v>
      </c>
      <c r="E18" s="1096">
        <v>39.432615412796778</v>
      </c>
      <c r="F18" s="3526">
        <v>82.156328143427785</v>
      </c>
      <c r="G18" s="3526">
        <v>118.32769401285633</v>
      </c>
      <c r="H18" s="3526">
        <v>104.53593716110909</v>
      </c>
      <c r="I18" s="3526">
        <v>95.437752801725608</v>
      </c>
      <c r="J18" s="3527">
        <v>118.85819771588059</v>
      </c>
      <c r="K18" s="1097">
        <v>100.50057584747348</v>
      </c>
      <c r="L18" s="1261">
        <v>104.70292477288908</v>
      </c>
      <c r="M18" s="1261">
        <v>94.248965173157501</v>
      </c>
      <c r="N18" s="1261">
        <v>99.466831163734327</v>
      </c>
      <c r="O18" s="1261">
        <v>101.45889489746932</v>
      </c>
      <c r="P18" s="1261">
        <v>99.87791165456656</v>
      </c>
      <c r="Q18" s="1261">
        <v>100.21138343028608</v>
      </c>
      <c r="R18" s="1261">
        <v>101.04214406354538</v>
      </c>
      <c r="S18" s="1261">
        <v>102.78060601248387</v>
      </c>
      <c r="T18" s="2752">
        <v>108.92661771318146</v>
      </c>
    </row>
    <row r="19" spans="1:20">
      <c r="A19" s="388">
        <v>2004.1</v>
      </c>
      <c r="B19" s="885">
        <v>92.146253729304561</v>
      </c>
      <c r="C19" s="3525">
        <v>100.942398132327</v>
      </c>
      <c r="D19" s="2005">
        <v>100.613558420102</v>
      </c>
      <c r="E19" s="1096">
        <v>38.330402029172639</v>
      </c>
      <c r="F19" s="3526">
        <v>83.562468673846908</v>
      </c>
      <c r="G19" s="3526">
        <v>106.73669835286429</v>
      </c>
      <c r="H19" s="3526">
        <v>111.88034664434916</v>
      </c>
      <c r="I19" s="3526">
        <v>92.097329774599274</v>
      </c>
      <c r="J19" s="3527">
        <v>122.303813535519</v>
      </c>
      <c r="K19" s="1097">
        <v>102.24562729658903</v>
      </c>
      <c r="L19" s="1261">
        <v>110.8680909607186</v>
      </c>
      <c r="M19" s="1261">
        <v>98.954394242677182</v>
      </c>
      <c r="N19" s="1261">
        <v>101.31424816537684</v>
      </c>
      <c r="O19" s="1261">
        <v>98.784113575164326</v>
      </c>
      <c r="P19" s="1261">
        <v>99.620926113479527</v>
      </c>
      <c r="Q19" s="1261">
        <v>100.48613435409922</v>
      </c>
      <c r="R19" s="1261">
        <v>101.31436531046202</v>
      </c>
      <c r="S19" s="1261">
        <v>105.07193669598166</v>
      </c>
      <c r="T19" s="2752">
        <v>116.02362607748383</v>
      </c>
    </row>
    <row r="20" spans="1:20">
      <c r="A20" s="388">
        <v>2004.11</v>
      </c>
      <c r="B20" s="885">
        <v>94.732004751917884</v>
      </c>
      <c r="C20" s="3525">
        <v>101.994727397736</v>
      </c>
      <c r="D20" s="2005">
        <v>101.40867453836999</v>
      </c>
      <c r="E20" s="1096">
        <v>70.412704745255397</v>
      </c>
      <c r="F20" s="3526">
        <v>94.587880253794481</v>
      </c>
      <c r="G20" s="3526">
        <v>96.538287925003573</v>
      </c>
      <c r="H20" s="3526">
        <v>96.437039416962193</v>
      </c>
      <c r="I20" s="3526">
        <v>94.555337815573807</v>
      </c>
      <c r="J20" s="3527">
        <v>114.75092016240245</v>
      </c>
      <c r="K20" s="1097">
        <v>103.47541299274091</v>
      </c>
      <c r="L20" s="1261">
        <v>111.90238017648626</v>
      </c>
      <c r="M20" s="1261">
        <v>102.40825264515519</v>
      </c>
      <c r="N20" s="1261">
        <v>102.72620698908217</v>
      </c>
      <c r="O20" s="1261">
        <v>100.94564959490864</v>
      </c>
      <c r="P20" s="1261">
        <v>99.481009650514522</v>
      </c>
      <c r="Q20" s="1261">
        <v>100.56365603012365</v>
      </c>
      <c r="R20" s="1261">
        <v>101.70732494074849</v>
      </c>
      <c r="S20" s="1261">
        <v>106.55353579752608</v>
      </c>
      <c r="T20" s="2752">
        <v>117.13871163777378</v>
      </c>
    </row>
    <row r="21" spans="1:20">
      <c r="A21" s="388">
        <v>2004.12</v>
      </c>
      <c r="B21" s="885">
        <v>96.905795661864687</v>
      </c>
      <c r="C21" s="3525">
        <v>101.06684245491201</v>
      </c>
      <c r="D21" s="2005">
        <v>102.52293994386601</v>
      </c>
      <c r="E21" s="1096">
        <v>58.46078661413484</v>
      </c>
      <c r="F21" s="3526">
        <v>107.86236972861165</v>
      </c>
      <c r="G21" s="3526">
        <v>42.098590083822984</v>
      </c>
      <c r="H21" s="3526">
        <v>98.545334701192999</v>
      </c>
      <c r="I21" s="3526">
        <v>97.713901252945789</v>
      </c>
      <c r="J21" s="3527">
        <v>110.97614642398017</v>
      </c>
      <c r="K21" s="1097">
        <v>124.15524182320874</v>
      </c>
      <c r="L21" s="1261">
        <v>109.40866556624533</v>
      </c>
      <c r="M21" s="1261">
        <v>103.82087950989413</v>
      </c>
      <c r="N21" s="1261">
        <v>106.21035358393038</v>
      </c>
      <c r="O21" s="1261">
        <v>104.25994170212095</v>
      </c>
      <c r="P21" s="1261">
        <v>99.387517624511077</v>
      </c>
      <c r="Q21" s="1261">
        <v>100.63174630815057</v>
      </c>
      <c r="R21" s="1261">
        <v>102.03891034724882</v>
      </c>
      <c r="S21" s="1261">
        <v>106.74046552827296</v>
      </c>
      <c r="T21" s="2752">
        <v>112.32827152188656</v>
      </c>
    </row>
    <row r="22" spans="1:20">
      <c r="A22" s="388">
        <v>2005.01</v>
      </c>
      <c r="B22" s="885">
        <v>85.671971853181404</v>
      </c>
      <c r="C22" s="3525">
        <v>103.858794934017</v>
      </c>
      <c r="D22" s="2005">
        <v>103.84816223944701</v>
      </c>
      <c r="E22" s="1096">
        <v>42.824522436060455</v>
      </c>
      <c r="F22" s="3526">
        <v>126.63523168719576</v>
      </c>
      <c r="G22" s="3526">
        <v>143.38327012700719</v>
      </c>
      <c r="H22" s="3526">
        <v>91.144926915546634</v>
      </c>
      <c r="I22" s="3526">
        <v>121.60912136380351</v>
      </c>
      <c r="J22" s="3527">
        <v>95.168022719468482</v>
      </c>
      <c r="K22" s="1097">
        <v>99.427401997338421</v>
      </c>
      <c r="L22" s="1261">
        <v>112.64994934714375</v>
      </c>
      <c r="M22" s="1261">
        <v>88.147442265271124</v>
      </c>
      <c r="N22" s="1261">
        <v>105.42746096792666</v>
      </c>
      <c r="O22" s="1261">
        <v>97.154117361519511</v>
      </c>
      <c r="P22" s="1261">
        <v>101.67544261763544</v>
      </c>
      <c r="Q22" s="1261">
        <v>102.69852235930898</v>
      </c>
      <c r="R22" s="1261">
        <v>97.875634079222237</v>
      </c>
      <c r="S22" s="1261">
        <v>107.18937052139771</v>
      </c>
      <c r="T22" s="2752">
        <v>102.79988321133233</v>
      </c>
    </row>
    <row r="23" spans="1:20">
      <c r="A23" s="388">
        <v>2005.02</v>
      </c>
      <c r="B23" s="885">
        <v>84.874986223300297</v>
      </c>
      <c r="C23" s="3525">
        <v>105.24296254202601</v>
      </c>
      <c r="D23" s="2005">
        <v>105.15292804026301</v>
      </c>
      <c r="E23" s="1096">
        <v>50.29801764277633</v>
      </c>
      <c r="F23" s="3526">
        <v>134.88746698786446</v>
      </c>
      <c r="G23" s="3526">
        <v>133.36835312796808</v>
      </c>
      <c r="H23" s="3526">
        <v>90.706918718368399</v>
      </c>
      <c r="I23" s="3526">
        <v>107.23329712944216</v>
      </c>
      <c r="J23" s="3527">
        <v>95.530901416321981</v>
      </c>
      <c r="K23" s="1097">
        <v>85.672753721938676</v>
      </c>
      <c r="L23" s="1261">
        <v>114.34043858347727</v>
      </c>
      <c r="M23" s="1261">
        <v>90.795413192295939</v>
      </c>
      <c r="N23" s="1261">
        <v>103.62924249609371</v>
      </c>
      <c r="O23" s="1261">
        <v>101.13328381426074</v>
      </c>
      <c r="P23" s="1261">
        <v>101.47452545618384</v>
      </c>
      <c r="Q23" s="1261">
        <v>102.68889072696993</v>
      </c>
      <c r="R23" s="1261">
        <v>98.188937515222079</v>
      </c>
      <c r="S23" s="1261">
        <v>105.53362344067736</v>
      </c>
      <c r="T23" s="2752">
        <v>99.149844030804289</v>
      </c>
    </row>
    <row r="24" spans="1:20">
      <c r="A24" s="388">
        <v>2005.03</v>
      </c>
      <c r="B24" s="885">
        <v>136.47878770734886</v>
      </c>
      <c r="C24" s="3525">
        <v>107.604432019199</v>
      </c>
      <c r="D24" s="2005">
        <v>106.292307100288</v>
      </c>
      <c r="E24" s="1096">
        <v>257.84817741004787</v>
      </c>
      <c r="F24" s="3526">
        <v>134.39551675335147</v>
      </c>
      <c r="G24" s="3526">
        <v>112.54756837843168</v>
      </c>
      <c r="H24" s="3526">
        <v>104.20361051450185</v>
      </c>
      <c r="I24" s="3526">
        <v>115.46412268629136</v>
      </c>
      <c r="J24" s="3527">
        <v>120.68493295169066</v>
      </c>
      <c r="K24" s="1097">
        <v>99.470382707149824</v>
      </c>
      <c r="L24" s="1261">
        <v>114.21766236480545</v>
      </c>
      <c r="M24" s="1261">
        <v>134.7020805290669</v>
      </c>
      <c r="N24" s="1261">
        <v>110.40030418064252</v>
      </c>
      <c r="O24" s="1261">
        <v>104.99828524864334</v>
      </c>
      <c r="P24" s="1261">
        <v>101.70023589958795</v>
      </c>
      <c r="Q24" s="1261">
        <v>102.61995272092838</v>
      </c>
      <c r="R24" s="1261">
        <v>98.392114493308469</v>
      </c>
      <c r="S24" s="1261">
        <v>105.61676955915704</v>
      </c>
      <c r="T24" s="2752">
        <v>97.483472091592247</v>
      </c>
    </row>
    <row r="25" spans="1:20">
      <c r="A25" s="388">
        <v>2005.04</v>
      </c>
      <c r="B25" s="885">
        <v>161.25777401131478</v>
      </c>
      <c r="C25" s="3525">
        <v>112.23134537309799</v>
      </c>
      <c r="D25" s="2005">
        <v>107.07887258629501</v>
      </c>
      <c r="E25" s="1096">
        <v>370.77318208514043</v>
      </c>
      <c r="F25" s="3526">
        <v>101.6532401637772</v>
      </c>
      <c r="G25" s="3526">
        <v>126.30396849248322</v>
      </c>
      <c r="H25" s="3526">
        <v>106.50007831962074</v>
      </c>
      <c r="I25" s="3526">
        <v>115.95167877883618</v>
      </c>
      <c r="J25" s="3527">
        <v>108.22188003797515</v>
      </c>
      <c r="K25" s="1097">
        <v>105.7707902457567</v>
      </c>
      <c r="L25" s="1261">
        <v>110.01709533522299</v>
      </c>
      <c r="M25" s="1261">
        <v>151.85949492513959</v>
      </c>
      <c r="N25" s="1261">
        <v>114.09072437915853</v>
      </c>
      <c r="O25" s="1261">
        <v>102.06634645701591</v>
      </c>
      <c r="P25" s="1261">
        <v>101.60156738739971</v>
      </c>
      <c r="Q25" s="1261">
        <v>102.56738639226631</v>
      </c>
      <c r="R25" s="1261">
        <v>98.37598763555431</v>
      </c>
      <c r="S25" s="1261">
        <v>107.56427645350777</v>
      </c>
      <c r="T25" s="2752">
        <v>105.15046519721174</v>
      </c>
    </row>
    <row r="26" spans="1:20">
      <c r="A26" s="388">
        <v>2005.05</v>
      </c>
      <c r="B26" s="885">
        <v>130.39702155102461</v>
      </c>
      <c r="C26" s="3525">
        <v>107.49088892122801</v>
      </c>
      <c r="D26" s="2005">
        <v>107.565627947569</v>
      </c>
      <c r="E26" s="1096">
        <v>227.12327902713815</v>
      </c>
      <c r="F26" s="3526">
        <v>136.10584840978925</v>
      </c>
      <c r="G26" s="3526">
        <v>135.87269043489724</v>
      </c>
      <c r="H26" s="3526">
        <v>99.818798503582613</v>
      </c>
      <c r="I26" s="3526">
        <v>113.04959051887771</v>
      </c>
      <c r="J26" s="3527">
        <v>126.93418514400112</v>
      </c>
      <c r="K26" s="1097">
        <v>107.93439503242497</v>
      </c>
      <c r="L26" s="1261">
        <v>110.40599242574692</v>
      </c>
      <c r="M26" s="1261">
        <v>129.29413098605937</v>
      </c>
      <c r="N26" s="1261">
        <v>119.02211839490985</v>
      </c>
      <c r="O26" s="1261">
        <v>100.55937947196735</v>
      </c>
      <c r="P26" s="1261">
        <v>101.5659333676449</v>
      </c>
      <c r="Q26" s="1261">
        <v>102.8618492395249</v>
      </c>
      <c r="R26" s="1261">
        <v>98.526275333331569</v>
      </c>
      <c r="S26" s="1261">
        <v>109.63974518735951</v>
      </c>
      <c r="T26" s="2752">
        <v>111.87857032678077</v>
      </c>
    </row>
    <row r="27" spans="1:20">
      <c r="A27" s="388">
        <v>2005.06</v>
      </c>
      <c r="B27" s="885">
        <v>101.06359708224097</v>
      </c>
      <c r="C27" s="3525">
        <v>108.392037470777</v>
      </c>
      <c r="D27" s="2005">
        <v>107.84534593819799</v>
      </c>
      <c r="E27" s="1096">
        <v>63.380908590629247</v>
      </c>
      <c r="F27" s="3526">
        <v>123.43353220533595</v>
      </c>
      <c r="G27" s="3526">
        <v>129.84153313347105</v>
      </c>
      <c r="H27" s="3526">
        <v>117.30234974548084</v>
      </c>
      <c r="I27" s="3526">
        <v>103.18890338788721</v>
      </c>
      <c r="J27" s="3527">
        <v>139.18054580703293</v>
      </c>
      <c r="K27" s="1097">
        <v>104.14640018578645</v>
      </c>
      <c r="L27" s="1261">
        <v>110.5372059203311</v>
      </c>
      <c r="M27" s="1261">
        <v>109.79762704446151</v>
      </c>
      <c r="N27" s="1261">
        <v>119.5830884981834</v>
      </c>
      <c r="O27" s="1261">
        <v>100.59614041898337</v>
      </c>
      <c r="P27" s="1261">
        <v>101.3364236874128</v>
      </c>
      <c r="Q27" s="1261">
        <v>103.05287161776872</v>
      </c>
      <c r="R27" s="1261">
        <v>98.799651504969532</v>
      </c>
      <c r="S27" s="1261">
        <v>110.79259042853477</v>
      </c>
      <c r="T27" s="2752">
        <v>112.37220402138973</v>
      </c>
    </row>
    <row r="28" spans="1:20">
      <c r="A28" s="388">
        <v>2005.07</v>
      </c>
      <c r="B28" s="885">
        <v>94.161101365156313</v>
      </c>
      <c r="C28" s="3525">
        <v>106.689812711255</v>
      </c>
      <c r="D28" s="2005">
        <v>108.01574486427999</v>
      </c>
      <c r="E28" s="1096">
        <v>40.87602803661995</v>
      </c>
      <c r="F28" s="3526">
        <v>127.43120256897207</v>
      </c>
      <c r="G28" s="3526">
        <v>167.31238742308548</v>
      </c>
      <c r="H28" s="3526">
        <v>108.60429765517456</v>
      </c>
      <c r="I28" s="3526">
        <v>109.21761872532404</v>
      </c>
      <c r="J28" s="3527">
        <v>124.06312320509265</v>
      </c>
      <c r="K28" s="1097">
        <v>104.79243434138418</v>
      </c>
      <c r="L28" s="1261">
        <v>114.76327258845315</v>
      </c>
      <c r="M28" s="1261">
        <v>106.29878992450085</v>
      </c>
      <c r="N28" s="1261">
        <v>120.20001313791578</v>
      </c>
      <c r="O28" s="1261">
        <v>105.49260936085858</v>
      </c>
      <c r="P28" s="1261">
        <v>101.47192474535144</v>
      </c>
      <c r="Q28" s="1261">
        <v>103.15567456386543</v>
      </c>
      <c r="R28" s="1261">
        <v>99.314861928121914</v>
      </c>
      <c r="S28" s="1261">
        <v>111.07525494829281</v>
      </c>
      <c r="T28" s="2752">
        <v>104.69172429514137</v>
      </c>
    </row>
    <row r="29" spans="1:20">
      <c r="A29" s="388">
        <v>2005.08</v>
      </c>
      <c r="B29" s="885">
        <v>101.63480133968743</v>
      </c>
      <c r="C29" s="3525">
        <v>109.337763437242</v>
      </c>
      <c r="D29" s="2005">
        <v>108.29488884314399</v>
      </c>
      <c r="E29" s="1096">
        <v>44.433346611927796</v>
      </c>
      <c r="F29" s="3526">
        <v>88.597018869774033</v>
      </c>
      <c r="G29" s="3526">
        <v>140.60114734245124</v>
      </c>
      <c r="H29" s="3526">
        <v>130.62067866206709</v>
      </c>
      <c r="I29" s="3526">
        <v>101.6915308810829</v>
      </c>
      <c r="J29" s="3527">
        <v>131.68123030751693</v>
      </c>
      <c r="K29" s="1097">
        <v>103.00780367762374</v>
      </c>
      <c r="L29" s="1261">
        <v>116.36091063469325</v>
      </c>
      <c r="M29" s="1261">
        <v>115.88215880194059</v>
      </c>
      <c r="N29" s="1261">
        <v>117.04170257851902</v>
      </c>
      <c r="O29" s="1261">
        <v>108.64043095021036</v>
      </c>
      <c r="P29" s="1261">
        <v>101.59616531900485</v>
      </c>
      <c r="Q29" s="1261">
        <v>103.69832403560702</v>
      </c>
      <c r="R29" s="1261">
        <v>99.863890846384578</v>
      </c>
      <c r="S29" s="1261">
        <v>111.79730151719446</v>
      </c>
      <c r="T29" s="2752">
        <v>100.63886315005277</v>
      </c>
    </row>
    <row r="30" spans="1:20">
      <c r="A30" s="388">
        <v>2005.09</v>
      </c>
      <c r="B30" s="885">
        <v>97.48106141131862</v>
      </c>
      <c r="C30" s="3525">
        <v>107.781356795658</v>
      </c>
      <c r="D30" s="2005">
        <v>108.86035984389601</v>
      </c>
      <c r="E30" s="1096">
        <v>41.308849737790041</v>
      </c>
      <c r="F30" s="3526">
        <v>120.72320824977123</v>
      </c>
      <c r="G30" s="3526">
        <v>175.01491352237093</v>
      </c>
      <c r="H30" s="3526">
        <v>114.25499585387419</v>
      </c>
      <c r="I30" s="3526">
        <v>105.40658642367424</v>
      </c>
      <c r="J30" s="3527">
        <v>148.06245560555575</v>
      </c>
      <c r="K30" s="1097">
        <v>107.66982863383549</v>
      </c>
      <c r="L30" s="1261">
        <v>119.65602163236954</v>
      </c>
      <c r="M30" s="1261">
        <v>107.24344816764143</v>
      </c>
      <c r="N30" s="1261">
        <v>117.10972423370616</v>
      </c>
      <c r="O30" s="1261">
        <v>108.88861523801522</v>
      </c>
      <c r="P30" s="1261">
        <v>101.50137611087345</v>
      </c>
      <c r="Q30" s="1261">
        <v>103.74258698257256</v>
      </c>
      <c r="R30" s="1261">
        <v>100.50524932911171</v>
      </c>
      <c r="S30" s="1261">
        <v>113.03792512629605</v>
      </c>
      <c r="T30" s="2752">
        <v>102.62051349005566</v>
      </c>
    </row>
    <row r="31" spans="1:20">
      <c r="A31" s="388">
        <v>2005.1</v>
      </c>
      <c r="B31" s="885">
        <v>101.88495165079176</v>
      </c>
      <c r="C31" s="3525">
        <v>111.51075409529</v>
      </c>
      <c r="D31" s="2005">
        <v>109.78087492037</v>
      </c>
      <c r="E31" s="1096">
        <v>40.901000819853287</v>
      </c>
      <c r="F31" s="3526">
        <v>138.92076926100972</v>
      </c>
      <c r="G31" s="3526">
        <v>148.69731305465399</v>
      </c>
      <c r="H31" s="3526">
        <v>129.73607318225976</v>
      </c>
      <c r="I31" s="3526">
        <v>99.865314006463379</v>
      </c>
      <c r="J31" s="3527">
        <v>163.51279443208665</v>
      </c>
      <c r="K31" s="1097">
        <v>105.56074133088001</v>
      </c>
      <c r="L31" s="1261">
        <v>125.47594904069152</v>
      </c>
      <c r="M31" s="1261">
        <v>115.30776569565458</v>
      </c>
      <c r="N31" s="1261">
        <v>118.61491852343494</v>
      </c>
      <c r="O31" s="1261">
        <v>103.87394842958406</v>
      </c>
      <c r="P31" s="1261">
        <v>101.30491884179673</v>
      </c>
      <c r="Q31" s="1261">
        <v>104.02806163382546</v>
      </c>
      <c r="R31" s="1261">
        <v>101.03531791935652</v>
      </c>
      <c r="S31" s="1261">
        <v>114.80558702075962</v>
      </c>
      <c r="T31" s="2752">
        <v>108.76706810640061</v>
      </c>
    </row>
    <row r="32" spans="1:20">
      <c r="A32" s="388">
        <v>2005.11</v>
      </c>
      <c r="B32" s="885">
        <v>101.58523406478263</v>
      </c>
      <c r="C32" s="3525">
        <v>109.11346728798</v>
      </c>
      <c r="D32" s="2005">
        <v>111.05320848304299</v>
      </c>
      <c r="E32" s="1096">
        <v>72.566187410004957</v>
      </c>
      <c r="F32" s="3526">
        <v>182.13417498324151</v>
      </c>
      <c r="G32" s="3526">
        <v>138.62678217737988</v>
      </c>
      <c r="H32" s="3526">
        <v>107.89708162776013</v>
      </c>
      <c r="I32" s="3526">
        <v>104.64748486539457</v>
      </c>
      <c r="J32" s="3527">
        <v>149.85954498622405</v>
      </c>
      <c r="K32" s="1097">
        <v>104.47741851922049</v>
      </c>
      <c r="L32" s="1261">
        <v>126.58092202906909</v>
      </c>
      <c r="M32" s="1261">
        <v>114.13480693203846</v>
      </c>
      <c r="N32" s="1261">
        <v>122.65021838378325</v>
      </c>
      <c r="O32" s="1261">
        <v>103.27438726595355</v>
      </c>
      <c r="P32" s="1261">
        <v>101.23095257939855</v>
      </c>
      <c r="Q32" s="1261">
        <v>104.0907801750248</v>
      </c>
      <c r="R32" s="1261">
        <v>101.66431637447617</v>
      </c>
      <c r="S32" s="1261">
        <v>116.0659017436103</v>
      </c>
      <c r="T32" s="2752">
        <v>112.17893253695991</v>
      </c>
    </row>
    <row r="33" spans="1:20">
      <c r="A33" s="388">
        <v>2005.12</v>
      </c>
      <c r="B33" s="885">
        <v>104.14063550003148</v>
      </c>
      <c r="C33" s="3525">
        <v>109.600948903513</v>
      </c>
      <c r="D33" s="2005">
        <v>112.716533513828</v>
      </c>
      <c r="E33" s="1096">
        <v>60.788965365854054</v>
      </c>
      <c r="F33" s="3526">
        <v>176.14921819942583</v>
      </c>
      <c r="G33" s="3526">
        <v>135.36911859880348</v>
      </c>
      <c r="H33" s="3526">
        <v>112.30543735659384</v>
      </c>
      <c r="I33" s="3526">
        <v>111.62204408289843</v>
      </c>
      <c r="J33" s="3527">
        <v>182.67576485408657</v>
      </c>
      <c r="K33" s="1097">
        <v>112.21689460460165</v>
      </c>
      <c r="L33" s="1261">
        <v>124.13157065425126</v>
      </c>
      <c r="M33" s="1261">
        <v>117.70620889234434</v>
      </c>
      <c r="N33" s="1261">
        <v>128.92544241089382</v>
      </c>
      <c r="O33" s="1261">
        <v>111.99251272443935</v>
      </c>
      <c r="P33" s="1261">
        <v>101.20615755089221</v>
      </c>
      <c r="Q33" s="1261">
        <v>104.12783710221554</v>
      </c>
      <c r="R33" s="1261">
        <v>102.06875195804044</v>
      </c>
      <c r="S33" s="1261">
        <v>116.70533090847125</v>
      </c>
      <c r="T33" s="2752">
        <v>112.15621770732621</v>
      </c>
    </row>
    <row r="34" spans="1:20">
      <c r="A34" s="388">
        <v>2006.01</v>
      </c>
      <c r="B34" s="885">
        <v>97.048035077715596</v>
      </c>
      <c r="C34" s="3525">
        <v>116.24821640395901</v>
      </c>
      <c r="D34" s="2005">
        <v>114.60762199389799</v>
      </c>
      <c r="E34" s="1096">
        <v>44.463703078835088</v>
      </c>
      <c r="F34" s="3526">
        <v>124.14289494164457</v>
      </c>
      <c r="G34" s="3526">
        <v>155.30583823546712</v>
      </c>
      <c r="H34" s="3526">
        <v>108.96753907143575</v>
      </c>
      <c r="I34" s="3526">
        <v>113.06776973987496</v>
      </c>
      <c r="J34" s="3527">
        <v>115.96157917426527</v>
      </c>
      <c r="K34" s="1097">
        <v>118.35018909080807</v>
      </c>
      <c r="L34" s="1261">
        <v>127.58118464199359</v>
      </c>
      <c r="M34" s="1261">
        <v>103.84024177077401</v>
      </c>
      <c r="N34" s="1261">
        <v>128.48311645893301</v>
      </c>
      <c r="O34" s="1261">
        <v>100.3453153387412</v>
      </c>
      <c r="P34" s="1261">
        <v>101.25900858068923</v>
      </c>
      <c r="Q34" s="1261">
        <v>105.20784655493874</v>
      </c>
      <c r="R34" s="1261">
        <v>100.16123603074639</v>
      </c>
      <c r="S34" s="1261">
        <v>117.43495137599473</v>
      </c>
      <c r="T34" s="2752">
        <v>109.86167796531751</v>
      </c>
    </row>
    <row r="35" spans="1:20">
      <c r="A35" s="388">
        <v>2006.02</v>
      </c>
      <c r="B35" s="885">
        <v>94.606606408538397</v>
      </c>
      <c r="C35" s="3525">
        <v>116.930459859094</v>
      </c>
      <c r="D35" s="2005">
        <v>116.417225996372</v>
      </c>
      <c r="E35" s="1096">
        <v>44.584758398144572</v>
      </c>
      <c r="F35" s="3526">
        <v>145.7979677370644</v>
      </c>
      <c r="G35" s="3526">
        <v>153.9004433308489</v>
      </c>
      <c r="H35" s="3526">
        <v>104.09164526982966</v>
      </c>
      <c r="I35" s="3526">
        <v>109.06314338260484</v>
      </c>
      <c r="J35" s="3527">
        <v>129.06784428970167</v>
      </c>
      <c r="K35" s="1097">
        <v>108.4527063235733</v>
      </c>
      <c r="L35" s="1261">
        <v>129.8322148240386</v>
      </c>
      <c r="M35" s="1261">
        <v>100.83107724518311</v>
      </c>
      <c r="N35" s="1261">
        <v>122.85962458653148</v>
      </c>
      <c r="O35" s="1261">
        <v>106.4109881178461</v>
      </c>
      <c r="P35" s="1261">
        <v>101.1317839621498</v>
      </c>
      <c r="Q35" s="1261">
        <v>104.90860394096251</v>
      </c>
      <c r="R35" s="1261">
        <v>100.27348524347094</v>
      </c>
      <c r="S35" s="1261">
        <v>116.7653949425039</v>
      </c>
      <c r="T35" s="2752">
        <v>109.43436953254327</v>
      </c>
    </row>
    <row r="36" spans="1:20">
      <c r="A36" s="388">
        <v>2006.03</v>
      </c>
      <c r="B36" s="885">
        <v>147.60829289656715</v>
      </c>
      <c r="C36" s="3525">
        <v>117.038154305386</v>
      </c>
      <c r="D36" s="2005">
        <v>117.878530046001</v>
      </c>
      <c r="E36" s="1096">
        <v>247.73660234731798</v>
      </c>
      <c r="F36" s="3526">
        <v>163.6085818427936</v>
      </c>
      <c r="G36" s="3526">
        <v>142.36249813991958</v>
      </c>
      <c r="H36" s="3526">
        <v>123.43716093118802</v>
      </c>
      <c r="I36" s="3526">
        <v>114.37766527061082</v>
      </c>
      <c r="J36" s="3527">
        <v>151.65069355659307</v>
      </c>
      <c r="K36" s="1097">
        <v>125.67187689230417</v>
      </c>
      <c r="L36" s="1261">
        <v>128.44548038769457</v>
      </c>
      <c r="M36" s="1261">
        <v>145.69568936464623</v>
      </c>
      <c r="N36" s="1261">
        <v>128.92035089827363</v>
      </c>
      <c r="O36" s="1261">
        <v>111.17150927763754</v>
      </c>
      <c r="P36" s="1261">
        <v>101.43276388047394</v>
      </c>
      <c r="Q36" s="1261">
        <v>104.95318349010603</v>
      </c>
      <c r="R36" s="1261">
        <v>100.25392821307415</v>
      </c>
      <c r="S36" s="1261">
        <v>118.91349900121241</v>
      </c>
      <c r="T36" s="2752">
        <v>106.15701045941991</v>
      </c>
    </row>
    <row r="37" spans="1:20">
      <c r="A37" s="388">
        <v>2006.04</v>
      </c>
      <c r="B37" s="885">
        <v>169.31373484019991</v>
      </c>
      <c r="C37" s="3525">
        <v>120.019651927002</v>
      </c>
      <c r="D37" s="2005">
        <v>118.88686338737099</v>
      </c>
      <c r="E37" s="1096">
        <v>352.7449881156889</v>
      </c>
      <c r="F37" s="3526">
        <v>55.527035502252012</v>
      </c>
      <c r="G37" s="3526">
        <v>152.53185355329225</v>
      </c>
      <c r="H37" s="3526">
        <v>125.32221550339536</v>
      </c>
      <c r="I37" s="3526">
        <v>109.89225711971712</v>
      </c>
      <c r="J37" s="3527">
        <v>139.1598676233836</v>
      </c>
      <c r="K37" s="1097">
        <v>127.78581945448184</v>
      </c>
      <c r="L37" s="1261">
        <v>124.9427213453435</v>
      </c>
      <c r="M37" s="1261">
        <v>161.80764541000531</v>
      </c>
      <c r="N37" s="1261">
        <v>129.5442284196493</v>
      </c>
      <c r="O37" s="1261">
        <v>104.59256302377202</v>
      </c>
      <c r="P37" s="1261">
        <v>101.41450885709338</v>
      </c>
      <c r="Q37" s="1261">
        <v>105.0766812267984</v>
      </c>
      <c r="R37" s="1261">
        <v>99.905708987129728</v>
      </c>
      <c r="S37" s="1261">
        <v>118.40012602010728</v>
      </c>
      <c r="T37" s="2752">
        <v>108.07808147123323</v>
      </c>
    </row>
    <row r="38" spans="1:20">
      <c r="A38" s="388">
        <v>2006.05</v>
      </c>
      <c r="B38" s="885">
        <v>147.36419629504337</v>
      </c>
      <c r="C38" s="3525">
        <v>120.77649917610201</v>
      </c>
      <c r="D38" s="2005">
        <v>119.510268956316</v>
      </c>
      <c r="E38" s="1096">
        <v>214.79344917196542</v>
      </c>
      <c r="F38" s="3526">
        <v>142.23663000001599</v>
      </c>
      <c r="G38" s="3526">
        <v>160.72533489028797</v>
      </c>
      <c r="H38" s="3526">
        <v>135.90865918576631</v>
      </c>
      <c r="I38" s="3526">
        <v>116.3614157745652</v>
      </c>
      <c r="J38" s="3527">
        <v>166.2710050023062</v>
      </c>
      <c r="K38" s="1097">
        <v>141.53294715860423</v>
      </c>
      <c r="L38" s="1261">
        <v>126.86741308035356</v>
      </c>
      <c r="M38" s="1261">
        <v>146.16042432155103</v>
      </c>
      <c r="N38" s="1261">
        <v>135.85838385983033</v>
      </c>
      <c r="O38" s="1261">
        <v>104.21475872262734</v>
      </c>
      <c r="P38" s="1261">
        <v>101.46064856362851</v>
      </c>
      <c r="Q38" s="1261">
        <v>105.34750008579434</v>
      </c>
      <c r="R38" s="1261">
        <v>100.04989857017031</v>
      </c>
      <c r="S38" s="1261">
        <v>119.2300707094749</v>
      </c>
      <c r="T38" s="2752">
        <v>113.12519772544908</v>
      </c>
    </row>
    <row r="39" spans="1:20">
      <c r="A39" s="388">
        <v>2006.06</v>
      </c>
      <c r="B39" s="885">
        <v>109.22010067468732</v>
      </c>
      <c r="C39" s="3525">
        <v>116.91391336923699</v>
      </c>
      <c r="D39" s="2005">
        <v>119.873566364914</v>
      </c>
      <c r="E39" s="1096">
        <v>57.230402145338758</v>
      </c>
      <c r="F39" s="3526">
        <v>112.40735971747998</v>
      </c>
      <c r="G39" s="3526">
        <v>158.28986822111034</v>
      </c>
      <c r="H39" s="3526">
        <v>121.59308258557913</v>
      </c>
      <c r="I39" s="3526">
        <v>114.19339145223697</v>
      </c>
      <c r="J39" s="3527">
        <v>161.93499374721975</v>
      </c>
      <c r="K39" s="1097">
        <v>134.21219900589477</v>
      </c>
      <c r="L39" s="1261">
        <v>127.96994279944336</v>
      </c>
      <c r="M39" s="1261">
        <v>116.28248592821328</v>
      </c>
      <c r="N39" s="1261">
        <v>140.20045792013903</v>
      </c>
      <c r="O39" s="1261">
        <v>107.77834223134809</v>
      </c>
      <c r="P39" s="1261">
        <v>101.31892071794779</v>
      </c>
      <c r="Q39" s="1261">
        <v>105.63225010078182</v>
      </c>
      <c r="R39" s="1261">
        <v>100.1457584622277</v>
      </c>
      <c r="S39" s="1261">
        <v>120.96444398200211</v>
      </c>
      <c r="T39" s="2752">
        <v>118.75705064245929</v>
      </c>
    </row>
    <row r="40" spans="1:20">
      <c r="A40" s="388">
        <v>2006.07</v>
      </c>
      <c r="B40" s="885">
        <v>105.99705342540663</v>
      </c>
      <c r="C40" s="3525">
        <v>119.148088146421</v>
      </c>
      <c r="D40" s="2005">
        <v>120.390366437054</v>
      </c>
      <c r="E40" s="1096">
        <v>37.919111832034893</v>
      </c>
      <c r="F40" s="3526">
        <v>45.759607974877319</v>
      </c>
      <c r="G40" s="3526">
        <v>190.3882571940803</v>
      </c>
      <c r="H40" s="3526">
        <v>127.12725807455958</v>
      </c>
      <c r="I40" s="3526">
        <v>118.11526872615613</v>
      </c>
      <c r="J40" s="3527">
        <v>150.36285288511709</v>
      </c>
      <c r="K40" s="1097">
        <v>130.14605121619712</v>
      </c>
      <c r="L40" s="1261">
        <v>132.47566823421539</v>
      </c>
      <c r="M40" s="1261">
        <v>118.37519145273899</v>
      </c>
      <c r="N40" s="1261">
        <v>139.39466887280844</v>
      </c>
      <c r="O40" s="1261">
        <v>107.57611235980093</v>
      </c>
      <c r="P40" s="1261">
        <v>101.54666492249513</v>
      </c>
      <c r="Q40" s="1261">
        <v>105.54729632408394</v>
      </c>
      <c r="R40" s="1261">
        <v>100.56570887291038</v>
      </c>
      <c r="S40" s="1261">
        <v>120.36845145475637</v>
      </c>
      <c r="T40" s="2752">
        <v>120.23760504625727</v>
      </c>
    </row>
    <row r="41" spans="1:20">
      <c r="A41" s="388">
        <v>2006.08</v>
      </c>
      <c r="B41" s="885">
        <v>113.15622444669553</v>
      </c>
      <c r="C41" s="3525">
        <v>121.373531266255</v>
      </c>
      <c r="D41" s="2005">
        <v>121.13148468129501</v>
      </c>
      <c r="E41" s="1096">
        <v>41.444092389199341</v>
      </c>
      <c r="F41" s="3526">
        <v>69.344515617336469</v>
      </c>
      <c r="G41" s="3526">
        <v>156.42616641520638</v>
      </c>
      <c r="H41" s="3526">
        <v>142.41501987434091</v>
      </c>
      <c r="I41" s="3526">
        <v>118.53152526302996</v>
      </c>
      <c r="J41" s="3527">
        <v>187.89894268687328</v>
      </c>
      <c r="K41" s="1097">
        <v>130.77193369516601</v>
      </c>
      <c r="L41" s="1261">
        <v>132.96522853882144</v>
      </c>
      <c r="M41" s="1261">
        <v>124.78371561062315</v>
      </c>
      <c r="N41" s="1261">
        <v>141.89230956865387</v>
      </c>
      <c r="O41" s="1261">
        <v>112.22829888518631</v>
      </c>
      <c r="P41" s="1261">
        <v>101.76992030504077</v>
      </c>
      <c r="Q41" s="1261">
        <v>106.02339821487219</v>
      </c>
      <c r="R41" s="1261">
        <v>100.79196538599652</v>
      </c>
      <c r="S41" s="1261">
        <v>120.50857067051386</v>
      </c>
      <c r="T41" s="2752">
        <v>119.37548564195386</v>
      </c>
    </row>
    <row r="42" spans="1:20">
      <c r="A42" s="388">
        <v>2006.09</v>
      </c>
      <c r="B42" s="885">
        <v>110.72502650327939</v>
      </c>
      <c r="C42" s="3525">
        <v>123.169942610459</v>
      </c>
      <c r="D42" s="2005">
        <v>121.927650750756</v>
      </c>
      <c r="E42" s="1096">
        <v>39.792218006794783</v>
      </c>
      <c r="F42" s="3526">
        <v>60.256185834254275</v>
      </c>
      <c r="G42" s="3526">
        <v>173.6343286259717</v>
      </c>
      <c r="H42" s="3526">
        <v>137.83467783280804</v>
      </c>
      <c r="I42" s="3526">
        <v>110.7428295564236</v>
      </c>
      <c r="J42" s="3527">
        <v>171.59125860337895</v>
      </c>
      <c r="K42" s="1097">
        <v>131.59603172312828</v>
      </c>
      <c r="L42" s="1261">
        <v>132.75560008840807</v>
      </c>
      <c r="M42" s="1261">
        <v>121.33188102172227</v>
      </c>
      <c r="N42" s="1261">
        <v>140.45451398379564</v>
      </c>
      <c r="O42" s="1261">
        <v>110.55182013924349</v>
      </c>
      <c r="P42" s="1261">
        <v>101.78231834029432</v>
      </c>
      <c r="Q42" s="1261">
        <v>106.13102792948524</v>
      </c>
      <c r="R42" s="1261">
        <v>101.57350804593618</v>
      </c>
      <c r="S42" s="1261">
        <v>121.16318229590266</v>
      </c>
      <c r="T42" s="2752">
        <v>118.02576958924539</v>
      </c>
    </row>
    <row r="43" spans="1:20">
      <c r="A43" s="388">
        <v>2006.1</v>
      </c>
      <c r="B43" s="885">
        <v>112.46969481202215</v>
      </c>
      <c r="C43" s="3525">
        <v>121.49378459929</v>
      </c>
      <c r="D43" s="2005">
        <v>122.752383977313</v>
      </c>
      <c r="E43" s="1096">
        <v>39.993632430670296</v>
      </c>
      <c r="F43" s="3526">
        <v>88.798408874536506</v>
      </c>
      <c r="G43" s="3526">
        <v>159.75362914046667</v>
      </c>
      <c r="H43" s="3526">
        <v>139.16450294881281</v>
      </c>
      <c r="I43" s="3526">
        <v>107.80344112159256</v>
      </c>
      <c r="J43" s="3527">
        <v>164.31248415255911</v>
      </c>
      <c r="K43" s="1097">
        <v>139.6801719772632</v>
      </c>
      <c r="L43" s="1261">
        <v>135.87517726001295</v>
      </c>
      <c r="M43" s="1261">
        <v>126.1914661589651</v>
      </c>
      <c r="N43" s="1261">
        <v>144.57430780042276</v>
      </c>
      <c r="O43" s="1261">
        <v>108.1698333670937</v>
      </c>
      <c r="P43" s="1261">
        <v>101.70431944567596</v>
      </c>
      <c r="Q43" s="1261">
        <v>106.45237155421324</v>
      </c>
      <c r="R43" s="1261">
        <v>102.21309891093148</v>
      </c>
      <c r="S43" s="1261">
        <v>122.38533967831049</v>
      </c>
      <c r="T43" s="2752">
        <v>114.90722328139145</v>
      </c>
    </row>
    <row r="44" spans="1:20">
      <c r="A44" s="388">
        <v>2006.11</v>
      </c>
      <c r="B44" s="885">
        <v>115.80818142529387</v>
      </c>
      <c r="C44" s="3525">
        <v>124.15523056212299</v>
      </c>
      <c r="D44" s="2005">
        <v>123.50782178905</v>
      </c>
      <c r="E44" s="1096">
        <v>75.814114382859714</v>
      </c>
      <c r="F44" s="3526">
        <v>96.962792810434578</v>
      </c>
      <c r="G44" s="3526">
        <v>146.2028670572719</v>
      </c>
      <c r="H44" s="3526">
        <v>122.71185807510446</v>
      </c>
      <c r="I44" s="3526">
        <v>112.44469067467293</v>
      </c>
      <c r="J44" s="3527">
        <v>184.44074157286687</v>
      </c>
      <c r="K44" s="1097">
        <v>137.9984248146107</v>
      </c>
      <c r="L44" s="1261">
        <v>137.91059672993592</v>
      </c>
      <c r="M44" s="1261">
        <v>131.27885042875349</v>
      </c>
      <c r="N44" s="1261">
        <v>146.4076937533606</v>
      </c>
      <c r="O44" s="1261">
        <v>108.39493581393714</v>
      </c>
      <c r="P44" s="1261">
        <v>101.76072472050453</v>
      </c>
      <c r="Q44" s="1261">
        <v>106.5466025316848</v>
      </c>
      <c r="R44" s="1261">
        <v>103.10892506043231</v>
      </c>
      <c r="S44" s="1261">
        <v>122.22966381082878</v>
      </c>
      <c r="T44" s="2752">
        <v>113.714062752562</v>
      </c>
    </row>
    <row r="45" spans="1:20">
      <c r="A45" s="388">
        <v>2006.12</v>
      </c>
      <c r="B45" s="885">
        <v>118.79757863141678</v>
      </c>
      <c r="C45" s="3525">
        <v>126.068812307835</v>
      </c>
      <c r="D45" s="2005">
        <v>124.088169299813</v>
      </c>
      <c r="E45" s="1096">
        <v>58.047733676161229</v>
      </c>
      <c r="F45" s="3526">
        <v>91.526085435607342</v>
      </c>
      <c r="G45" s="3526">
        <v>118.13012571832569</v>
      </c>
      <c r="H45" s="3526">
        <v>127.45175605833148</v>
      </c>
      <c r="I45" s="3526">
        <v>125.37986968601091</v>
      </c>
      <c r="J45" s="3527">
        <v>247.83846337702161</v>
      </c>
      <c r="K45" s="1097">
        <v>149.47226195194835</v>
      </c>
      <c r="L45" s="1261">
        <v>138.95308205980103</v>
      </c>
      <c r="M45" s="1261">
        <v>131.43768129633935</v>
      </c>
      <c r="N45" s="1261">
        <v>151.37169793760847</v>
      </c>
      <c r="O45" s="1261">
        <v>117.46426543959176</v>
      </c>
      <c r="P45" s="1261">
        <v>101.88111270786038</v>
      </c>
      <c r="Q45" s="1261">
        <v>106.79768775190594</v>
      </c>
      <c r="R45" s="1261">
        <v>103.06665459970887</v>
      </c>
      <c r="S45" s="1261">
        <v>122.67117184591257</v>
      </c>
      <c r="T45" s="2752">
        <v>114.62330934806354</v>
      </c>
    </row>
    <row r="46" spans="1:20">
      <c r="A46" s="388">
        <v>2007.01</v>
      </c>
      <c r="B46" s="885">
        <v>103.14511931761076</v>
      </c>
      <c r="C46" s="3525">
        <v>121.862886664268</v>
      </c>
      <c r="D46" s="2005">
        <v>124.512757090158</v>
      </c>
      <c r="E46" s="1096">
        <v>38.577684892169643</v>
      </c>
      <c r="F46" s="3526">
        <v>54.754926299670046</v>
      </c>
      <c r="G46" s="3526">
        <v>156.61522111254459</v>
      </c>
      <c r="H46" s="3526">
        <v>112.3058859708797</v>
      </c>
      <c r="I46" s="3526">
        <v>136.12137501906136</v>
      </c>
      <c r="J46" s="3527">
        <v>137.88019151498534</v>
      </c>
      <c r="K46" s="1097">
        <v>134.31935711445229</v>
      </c>
      <c r="L46" s="1261">
        <v>133.386505256904</v>
      </c>
      <c r="M46" s="1261">
        <v>110.62047547555876</v>
      </c>
      <c r="N46" s="1261">
        <v>155.93878663585056</v>
      </c>
      <c r="O46" s="1261">
        <v>109.07950496570106</v>
      </c>
      <c r="P46" s="1261">
        <v>104.61773183818242</v>
      </c>
      <c r="Q46" s="1261">
        <v>107.79231127786205</v>
      </c>
      <c r="R46" s="1261">
        <v>107.15801083954912</v>
      </c>
      <c r="S46" s="1261">
        <v>129.23847701271103</v>
      </c>
      <c r="T46" s="2752">
        <v>119.33224802955664</v>
      </c>
    </row>
    <row r="47" spans="1:20">
      <c r="A47" s="388">
        <v>2007.02</v>
      </c>
      <c r="B47" s="885">
        <v>101.44371698175641</v>
      </c>
      <c r="C47" s="3525">
        <v>124.94495504203201</v>
      </c>
      <c r="D47" s="2005">
        <v>125.08097913188899</v>
      </c>
      <c r="E47" s="1096">
        <v>41.586183462530329</v>
      </c>
      <c r="F47" s="3526">
        <v>26.187749115494483</v>
      </c>
      <c r="G47" s="3526">
        <v>154.32083481308294</v>
      </c>
      <c r="H47" s="3526">
        <v>110.7067161547218</v>
      </c>
      <c r="I47" s="3526">
        <v>108.58629435038392</v>
      </c>
      <c r="J47" s="3527">
        <v>162.95349519939194</v>
      </c>
      <c r="K47" s="1097">
        <v>120.3107784129987</v>
      </c>
      <c r="L47" s="1261">
        <v>133.82818515423898</v>
      </c>
      <c r="M47" s="1261">
        <v>107.96539548045972</v>
      </c>
      <c r="N47" s="1261">
        <v>150.2161089567237</v>
      </c>
      <c r="O47" s="1261">
        <v>113.4008093671484</v>
      </c>
      <c r="P47" s="1261">
        <v>105.02382514982163</v>
      </c>
      <c r="Q47" s="1261">
        <v>107.5696042785833</v>
      </c>
      <c r="R47" s="1261">
        <v>107.15001776112568</v>
      </c>
      <c r="S47" s="1261">
        <v>130.17808860919817</v>
      </c>
      <c r="T47" s="2752">
        <v>121.69883907856394</v>
      </c>
    </row>
    <row r="48" spans="1:20">
      <c r="A48" s="388">
        <v>2007.03</v>
      </c>
      <c r="B48" s="885">
        <v>159.53314340771573</v>
      </c>
      <c r="C48" s="3525">
        <v>129.17593505060799</v>
      </c>
      <c r="D48" s="2005">
        <v>125.904478877342</v>
      </c>
      <c r="E48" s="1096">
        <v>263.06026743335343</v>
      </c>
      <c r="F48" s="3526">
        <v>42.938228960044434</v>
      </c>
      <c r="G48" s="3526">
        <v>100.41869023141372</v>
      </c>
      <c r="H48" s="3526">
        <v>136.53049814608377</v>
      </c>
      <c r="I48" s="3526">
        <v>120.77807707861197</v>
      </c>
      <c r="J48" s="3527">
        <v>167.09022775099342</v>
      </c>
      <c r="K48" s="1097">
        <v>135.22573154271896</v>
      </c>
      <c r="L48" s="1261">
        <v>137.61055185036602</v>
      </c>
      <c r="M48" s="1261">
        <v>160.47631649675128</v>
      </c>
      <c r="N48" s="1261">
        <v>158.57499704708079</v>
      </c>
      <c r="O48" s="1261">
        <v>119.2983600585587</v>
      </c>
      <c r="P48" s="1261">
        <v>104.90982790797398</v>
      </c>
      <c r="Q48" s="1261">
        <v>107.69715496905656</v>
      </c>
      <c r="R48" s="1261">
        <v>106.8538362808862</v>
      </c>
      <c r="S48" s="1261">
        <v>130.07156582389399</v>
      </c>
      <c r="T48" s="2752">
        <v>117.46238850414726</v>
      </c>
    </row>
    <row r="49" spans="1:20">
      <c r="A49" s="388">
        <v>2007.04</v>
      </c>
      <c r="B49" s="885">
        <v>178.06052697349301</v>
      </c>
      <c r="C49" s="3525">
        <v>125.71199216097899</v>
      </c>
      <c r="D49" s="2005">
        <v>126.98836980071999</v>
      </c>
      <c r="E49" s="1096">
        <v>381.24491692854383</v>
      </c>
      <c r="F49" s="3526">
        <v>49.13382687744047</v>
      </c>
      <c r="G49" s="3526">
        <v>131.55447635417866</v>
      </c>
      <c r="H49" s="3526">
        <v>122.70566481222195</v>
      </c>
      <c r="I49" s="3526">
        <v>113.56196726820265</v>
      </c>
      <c r="J49" s="3527">
        <v>153.51801828872053</v>
      </c>
      <c r="K49" s="1097">
        <v>134.12496973633966</v>
      </c>
      <c r="L49" s="1261">
        <v>136.75163295894043</v>
      </c>
      <c r="M49" s="1261">
        <v>172.32320539818562</v>
      </c>
      <c r="N49" s="1261">
        <v>159.42317233697224</v>
      </c>
      <c r="O49" s="1261">
        <v>105.76740722700184</v>
      </c>
      <c r="P49" s="1261">
        <v>105.62556931253897</v>
      </c>
      <c r="Q49" s="1261">
        <v>107.9021367179806</v>
      </c>
      <c r="R49" s="1261">
        <v>109.17846724162308</v>
      </c>
      <c r="S49" s="1261">
        <v>129.16851609372253</v>
      </c>
      <c r="T49" s="2752">
        <v>115.84291260193298</v>
      </c>
    </row>
    <row r="50" spans="1:20">
      <c r="A50" s="388">
        <v>2007.05</v>
      </c>
      <c r="B50" s="885">
        <v>155.04063957723318</v>
      </c>
      <c r="C50" s="3525">
        <v>127.96663361458199</v>
      </c>
      <c r="D50" s="2005">
        <v>128.29763589099801</v>
      </c>
      <c r="E50" s="1096">
        <v>231.43234414682436</v>
      </c>
      <c r="F50" s="3526">
        <v>35.176057227766663</v>
      </c>
      <c r="G50" s="3526">
        <v>153.54858358184023</v>
      </c>
      <c r="H50" s="3526">
        <v>133.49214812958166</v>
      </c>
      <c r="I50" s="3526">
        <v>120.98035975257532</v>
      </c>
      <c r="J50" s="3527">
        <v>173.2379700272059</v>
      </c>
      <c r="K50" s="1097">
        <v>155.57901105337106</v>
      </c>
      <c r="L50" s="1261">
        <v>135.54844066513868</v>
      </c>
      <c r="M50" s="1261">
        <v>155.99128036528384</v>
      </c>
      <c r="N50" s="1261">
        <v>165.7577013585171</v>
      </c>
      <c r="O50" s="1261">
        <v>107.84850292144746</v>
      </c>
      <c r="P50" s="1261">
        <v>105.26248682223061</v>
      </c>
      <c r="Q50" s="1261">
        <v>108.04135246352826</v>
      </c>
      <c r="R50" s="1261">
        <v>108.9912370778022</v>
      </c>
      <c r="S50" s="1261">
        <v>129.11284732954124</v>
      </c>
      <c r="T50" s="2752">
        <v>117.49021377800773</v>
      </c>
    </row>
    <row r="51" spans="1:20">
      <c r="A51" s="388">
        <v>2007.06</v>
      </c>
      <c r="B51" s="885">
        <v>119.76933570665081</v>
      </c>
      <c r="C51" s="3525">
        <v>129.29867638670501</v>
      </c>
      <c r="D51" s="2005">
        <v>129.815575120326</v>
      </c>
      <c r="E51" s="1096">
        <v>55.939178219187156</v>
      </c>
      <c r="F51" s="3526">
        <v>36.310022773861469</v>
      </c>
      <c r="G51" s="3526">
        <v>162.99171268147865</v>
      </c>
      <c r="H51" s="3526">
        <v>134.12619376414969</v>
      </c>
      <c r="I51" s="3526">
        <v>109.3987512499227</v>
      </c>
      <c r="J51" s="3527">
        <v>189.78389689443898</v>
      </c>
      <c r="K51" s="1097">
        <v>156.23671756051738</v>
      </c>
      <c r="L51" s="1261">
        <v>133.03066451446847</v>
      </c>
      <c r="M51" s="1261">
        <v>129.1276391892232</v>
      </c>
      <c r="N51" s="1261">
        <v>167.96628180735615</v>
      </c>
      <c r="O51" s="1261">
        <v>114.15094969236013</v>
      </c>
      <c r="P51" s="1261">
        <v>105.37186240543267</v>
      </c>
      <c r="Q51" s="1261">
        <v>108.49777954225486</v>
      </c>
      <c r="R51" s="1261">
        <v>109.11721975580784</v>
      </c>
      <c r="S51" s="1261">
        <v>129.08003099835869</v>
      </c>
      <c r="T51" s="2752">
        <v>119.69363626418769</v>
      </c>
    </row>
    <row r="52" spans="1:20">
      <c r="A52" s="388">
        <v>2007.07</v>
      </c>
      <c r="B52" s="885">
        <v>121.50024025279761</v>
      </c>
      <c r="C52" s="3525">
        <v>133.783633560477</v>
      </c>
      <c r="D52" s="2005">
        <v>131.44107350892401</v>
      </c>
      <c r="E52" s="1096">
        <v>34.087143435161323</v>
      </c>
      <c r="F52" s="3526">
        <v>116.03118686879712</v>
      </c>
      <c r="G52" s="3526">
        <v>195.12766388199034</v>
      </c>
      <c r="H52" s="3526">
        <v>157.02723890206195</v>
      </c>
      <c r="I52" s="3526">
        <v>114.69504949448987</v>
      </c>
      <c r="J52" s="3527">
        <v>170.28392651668474</v>
      </c>
      <c r="K52" s="1097">
        <v>155.97862921475843</v>
      </c>
      <c r="L52" s="1261">
        <v>140.72752249591056</v>
      </c>
      <c r="M52" s="1261">
        <v>135.58240647158681</v>
      </c>
      <c r="N52" s="1261">
        <v>163.65203497866722</v>
      </c>
      <c r="O52" s="1261">
        <v>113.4901571056313</v>
      </c>
      <c r="P52" s="1261">
        <v>105.85866626759994</v>
      </c>
      <c r="Q52" s="1261">
        <v>109.32050724633405</v>
      </c>
      <c r="R52" s="1261">
        <v>109.93053180712865</v>
      </c>
      <c r="S52" s="1261">
        <v>127.39781904215198</v>
      </c>
      <c r="T52" s="2752">
        <v>117.88887632095063</v>
      </c>
    </row>
    <row r="53" spans="1:20">
      <c r="A53" s="388">
        <v>2007.08</v>
      </c>
      <c r="B53" s="885">
        <v>122.87788876441238</v>
      </c>
      <c r="C53" s="3525">
        <v>131.27621253296601</v>
      </c>
      <c r="D53" s="2005">
        <v>133.19331609730301</v>
      </c>
      <c r="E53" s="1096">
        <v>36.324895347790502</v>
      </c>
      <c r="F53" s="3526">
        <v>103.81772547356778</v>
      </c>
      <c r="G53" s="3526">
        <v>165.03358531645571</v>
      </c>
      <c r="H53" s="3526">
        <v>151.73114185628117</v>
      </c>
      <c r="I53" s="3526">
        <v>111.61109233601508</v>
      </c>
      <c r="J53" s="3527">
        <v>195.71378396415571</v>
      </c>
      <c r="K53" s="1097">
        <v>161.01200735455055</v>
      </c>
      <c r="L53" s="1261">
        <v>143.56211382207741</v>
      </c>
      <c r="M53" s="1261">
        <v>138.29713258761905</v>
      </c>
      <c r="N53" s="1261">
        <v>165.51370388335027</v>
      </c>
      <c r="O53" s="1261">
        <v>119.38256989030633</v>
      </c>
      <c r="P53" s="1261">
        <v>105.61505230418544</v>
      </c>
      <c r="Q53" s="1261">
        <v>109.39856111182308</v>
      </c>
      <c r="R53" s="1261">
        <v>110.50526493876528</v>
      </c>
      <c r="S53" s="1261">
        <v>127.69854511569869</v>
      </c>
      <c r="T53" s="2752">
        <v>115.26032731253792</v>
      </c>
    </row>
    <row r="54" spans="1:20">
      <c r="A54" s="388">
        <v>2007.09</v>
      </c>
      <c r="B54" s="885">
        <v>120.75899957163223</v>
      </c>
      <c r="C54" s="3525">
        <v>134.94707019230401</v>
      </c>
      <c r="D54" s="2005">
        <v>134.99528655011699</v>
      </c>
      <c r="E54" s="1096">
        <v>29.632960593378353</v>
      </c>
      <c r="F54" s="3526">
        <v>47.425073769943843</v>
      </c>
      <c r="G54" s="3526">
        <v>145.14143348914385</v>
      </c>
      <c r="H54" s="3526">
        <v>151.52898411018953</v>
      </c>
      <c r="I54" s="3526">
        <v>108.84794094304874</v>
      </c>
      <c r="J54" s="3527">
        <v>194.86074892508847</v>
      </c>
      <c r="K54" s="1097">
        <v>157.03079589573699</v>
      </c>
      <c r="L54" s="1261">
        <v>142.66354869698304</v>
      </c>
      <c r="M54" s="1261">
        <v>138.36090821873509</v>
      </c>
      <c r="N54" s="1261">
        <v>160.37352331982984</v>
      </c>
      <c r="O54" s="1261">
        <v>119.65865728342636</v>
      </c>
      <c r="P54" s="1261">
        <v>108.16630485120639</v>
      </c>
      <c r="Q54" s="1261">
        <v>109.57545154612475</v>
      </c>
      <c r="R54" s="1261">
        <v>113.05721644672455</v>
      </c>
      <c r="S54" s="1261">
        <v>128.72156359383669</v>
      </c>
      <c r="T54" s="2752">
        <v>112.10597438194497</v>
      </c>
    </row>
    <row r="55" spans="1:20">
      <c r="A55" s="388">
        <v>2007.1</v>
      </c>
      <c r="B55" s="885">
        <v>127.74726305403783</v>
      </c>
      <c r="C55" s="3525">
        <v>136.307409458873</v>
      </c>
      <c r="D55" s="2005">
        <v>136.53315030568399</v>
      </c>
      <c r="E55" s="1096">
        <v>34.584312669579987</v>
      </c>
      <c r="F55" s="3526">
        <v>33.461481500386611</v>
      </c>
      <c r="G55" s="3526">
        <v>177.95800030332165</v>
      </c>
      <c r="H55" s="3526">
        <v>162.39091328384637</v>
      </c>
      <c r="I55" s="3526">
        <v>126.11716971991977</v>
      </c>
      <c r="J55" s="3527">
        <v>179.71335807853131</v>
      </c>
      <c r="K55" s="1097">
        <v>175.53270781885175</v>
      </c>
      <c r="L55" s="1261">
        <v>144.76873086595509</v>
      </c>
      <c r="M55" s="1261">
        <v>145.36990481248824</v>
      </c>
      <c r="N55" s="1261">
        <v>166.76400372640015</v>
      </c>
      <c r="O55" s="1261">
        <v>112.22934769243513</v>
      </c>
      <c r="P55" s="1261">
        <v>111.42606608466309</v>
      </c>
      <c r="Q55" s="1261">
        <v>109.73503838574541</v>
      </c>
      <c r="R55" s="1261">
        <v>113.12766492370267</v>
      </c>
      <c r="S55" s="1261">
        <v>129.35194904859563</v>
      </c>
      <c r="T55" s="2752">
        <v>107.24861178062848</v>
      </c>
    </row>
    <row r="56" spans="1:20">
      <c r="A56" s="388">
        <v>2007.11</v>
      </c>
      <c r="B56" s="885">
        <v>132.75306289963001</v>
      </c>
      <c r="C56" s="3525">
        <v>142.00349253201099</v>
      </c>
      <c r="D56" s="2005">
        <v>137.68194347657101</v>
      </c>
      <c r="E56" s="1096">
        <v>83.125072452509201</v>
      </c>
      <c r="F56" s="3526">
        <v>48.433460684368065</v>
      </c>
      <c r="G56" s="3526">
        <v>201.39024351233994</v>
      </c>
      <c r="H56" s="3526">
        <v>145.64430677123059</v>
      </c>
      <c r="I56" s="3526">
        <v>126.93037760046916</v>
      </c>
      <c r="J56" s="3527">
        <v>217.89418450148611</v>
      </c>
      <c r="K56" s="1097">
        <v>168.7759055637938</v>
      </c>
      <c r="L56" s="1261">
        <v>146.04024612456436</v>
      </c>
      <c r="M56" s="1261">
        <v>151.49831575692923</v>
      </c>
      <c r="N56" s="1261">
        <v>167.02512634045115</v>
      </c>
      <c r="O56" s="1261">
        <v>108.18608378682679</v>
      </c>
      <c r="P56" s="1261">
        <v>109.71524775687925</v>
      </c>
      <c r="Q56" s="1261">
        <v>109.91739546500369</v>
      </c>
      <c r="R56" s="1261">
        <v>113.66016665470242</v>
      </c>
      <c r="S56" s="1261">
        <v>129.06376717435873</v>
      </c>
      <c r="T56" s="2752">
        <v>106.5687535860455</v>
      </c>
    </row>
    <row r="57" spans="1:20">
      <c r="A57" s="388">
        <v>2007.12</v>
      </c>
      <c r="B57" s="885">
        <v>131.83006224227987</v>
      </c>
      <c r="C57" s="3525">
        <v>139.44620322979901</v>
      </c>
      <c r="D57" s="2005">
        <v>138.49554627264601</v>
      </c>
      <c r="E57" s="1096">
        <v>62.96268828309708</v>
      </c>
      <c r="F57" s="3526">
        <v>68.080879749225488</v>
      </c>
      <c r="G57" s="3526">
        <v>152.49780068507908</v>
      </c>
      <c r="H57" s="3526">
        <v>142.21557644018924</v>
      </c>
      <c r="I57" s="3526">
        <v>133.5531729107561</v>
      </c>
      <c r="J57" s="3527">
        <v>214.91069624330126</v>
      </c>
      <c r="K57" s="1097">
        <v>181.03503337332529</v>
      </c>
      <c r="L57" s="1261">
        <v>142.58263467728665</v>
      </c>
      <c r="M57" s="1261">
        <v>148.93033712210783</v>
      </c>
      <c r="N57" s="1261">
        <v>169.01088204421433</v>
      </c>
      <c r="O57" s="1261">
        <v>129.12903108980436</v>
      </c>
      <c r="P57" s="1261">
        <v>110.03462694670263</v>
      </c>
      <c r="Q57" s="1261">
        <v>110.20607765991933</v>
      </c>
      <c r="R57" s="1261">
        <v>113.25053490035118</v>
      </c>
      <c r="S57" s="1261">
        <v>130.43923593682598</v>
      </c>
      <c r="T57" s="2752">
        <v>110.42793042322647</v>
      </c>
    </row>
    <row r="58" spans="1:20">
      <c r="A58" s="388">
        <f t="shared" ref="A58:A121" si="0">A46+1</f>
        <v>2008.01</v>
      </c>
      <c r="B58" s="885">
        <v>118.43372947435395</v>
      </c>
      <c r="C58" s="3525">
        <v>139.54240262763199</v>
      </c>
      <c r="D58" s="2005">
        <v>139.00356425025001</v>
      </c>
      <c r="E58" s="1096">
        <v>50.073136715950447</v>
      </c>
      <c r="F58" s="3526">
        <v>25.220768746927991</v>
      </c>
      <c r="G58" s="3526">
        <v>205.03918992499695</v>
      </c>
      <c r="H58" s="3526">
        <v>126.6112311779936</v>
      </c>
      <c r="I58" s="3526">
        <v>128.23672591266904</v>
      </c>
      <c r="J58" s="3527">
        <v>161.48037419112467</v>
      </c>
      <c r="K58" s="1097">
        <v>167.07086699645942</v>
      </c>
      <c r="L58" s="1261">
        <v>143.81789243061618</v>
      </c>
      <c r="M58" s="1261">
        <v>134.1293374494079</v>
      </c>
      <c r="N58" s="1261">
        <v>169.57413930434205</v>
      </c>
      <c r="O58" s="1261">
        <v>109.74081933985313</v>
      </c>
      <c r="P58" s="1261">
        <v>110.57676000538825</v>
      </c>
      <c r="Q58" s="1261">
        <v>110.44084280478184</v>
      </c>
      <c r="R58" s="1261">
        <v>116.25604422946665</v>
      </c>
      <c r="S58" s="1261">
        <v>142.7362281003756</v>
      </c>
      <c r="T58" s="2752">
        <v>119.43361363875795</v>
      </c>
    </row>
    <row r="59" spans="1:20">
      <c r="A59" s="388">
        <f t="shared" si="0"/>
        <v>2008.02</v>
      </c>
      <c r="B59" s="885">
        <v>115.74457432502005</v>
      </c>
      <c r="C59" s="3525">
        <v>136.50244927345599</v>
      </c>
      <c r="D59" s="2005">
        <v>139.307800947061</v>
      </c>
      <c r="E59" s="1096">
        <v>51.963104831227326</v>
      </c>
      <c r="F59" s="3526">
        <v>38.157539539469887</v>
      </c>
      <c r="G59" s="3526">
        <v>192.83064245670627</v>
      </c>
      <c r="H59" s="3526">
        <v>119.56574868570509</v>
      </c>
      <c r="I59" s="3526">
        <v>128.18653449825152</v>
      </c>
      <c r="J59" s="3527">
        <v>176.79469975789166</v>
      </c>
      <c r="K59" s="1097">
        <v>155.3130814235104</v>
      </c>
      <c r="L59" s="1261">
        <v>143.30436603655625</v>
      </c>
      <c r="M59" s="1261">
        <v>132.75641601166063</v>
      </c>
      <c r="N59" s="1261">
        <v>160.24236709128027</v>
      </c>
      <c r="O59" s="1261">
        <v>117.28433237291677</v>
      </c>
      <c r="P59" s="1261">
        <v>110.73400910820409</v>
      </c>
      <c r="Q59" s="1261">
        <v>110.3720988825808</v>
      </c>
      <c r="R59" s="1261">
        <v>116.491276846102</v>
      </c>
      <c r="S59" s="1261">
        <v>142.86172658879616</v>
      </c>
      <c r="T59" s="2752">
        <v>128.03422847515486</v>
      </c>
    </row>
    <row r="60" spans="1:20">
      <c r="A60" s="388">
        <f t="shared" si="0"/>
        <v>2008.03</v>
      </c>
      <c r="B60" s="885">
        <v>160.051225011181</v>
      </c>
      <c r="C60" s="3525">
        <v>132.43212811518401</v>
      </c>
      <c r="D60" s="2005">
        <v>139.45606777868301</v>
      </c>
      <c r="E60" s="1096">
        <v>267.09385056447138</v>
      </c>
      <c r="F60" s="3526">
        <v>41.204403261662414</v>
      </c>
      <c r="G60" s="3526">
        <v>157.43893649575841</v>
      </c>
      <c r="H60" s="3526">
        <v>116.19603002972114</v>
      </c>
      <c r="I60" s="3526">
        <v>122.30706468562209</v>
      </c>
      <c r="J60" s="3527">
        <v>175.69072886644551</v>
      </c>
      <c r="K60" s="1097">
        <v>153.67583800773463</v>
      </c>
      <c r="L60" s="1261">
        <v>148.29977986828553</v>
      </c>
      <c r="M60" s="1261">
        <v>173.65238020001954</v>
      </c>
      <c r="N60" s="1261">
        <v>157.67781077279764</v>
      </c>
      <c r="O60" s="1261">
        <v>119.89985094841528</v>
      </c>
      <c r="P60" s="1261">
        <v>111.00947397624077</v>
      </c>
      <c r="Q60" s="1261">
        <v>110.59312799307445</v>
      </c>
      <c r="R60" s="1261">
        <v>117.33219346221045</v>
      </c>
      <c r="S60" s="1261">
        <v>145.64423107000982</v>
      </c>
      <c r="T60" s="2752">
        <v>132.85717068765985</v>
      </c>
    </row>
    <row r="61" spans="1:20">
      <c r="A61" s="388">
        <f t="shared" si="0"/>
        <v>2008.04</v>
      </c>
      <c r="B61" s="885">
        <v>199.55512085823429</v>
      </c>
      <c r="C61" s="3525">
        <v>140.71081480885599</v>
      </c>
      <c r="D61" s="2005">
        <v>139.57169088713999</v>
      </c>
      <c r="E61" s="1096">
        <v>400.30733439754351</v>
      </c>
      <c r="F61" s="3526">
        <v>37.807681641136725</v>
      </c>
      <c r="G61" s="3526">
        <v>196.51559992902423</v>
      </c>
      <c r="H61" s="3526">
        <v>145.0244774394977</v>
      </c>
      <c r="I61" s="3526">
        <v>122.01332668163974</v>
      </c>
      <c r="J61" s="3527">
        <v>177.68338763157598</v>
      </c>
      <c r="K61" s="1097">
        <v>172.46766227309499</v>
      </c>
      <c r="L61" s="1261">
        <v>146.27900488988888</v>
      </c>
      <c r="M61" s="1261">
        <v>202.43687995574385</v>
      </c>
      <c r="N61" s="1261">
        <v>164.12021466470003</v>
      </c>
      <c r="O61" s="1261">
        <v>115.87679072846916</v>
      </c>
      <c r="P61" s="1261">
        <v>110.95750850018956</v>
      </c>
      <c r="Q61" s="1261">
        <v>110.83022649132374</v>
      </c>
      <c r="R61" s="1261">
        <v>117.40474440226899</v>
      </c>
      <c r="S61" s="1261">
        <v>144.98244768103797</v>
      </c>
      <c r="T61" s="2752">
        <v>138.70297201172531</v>
      </c>
    </row>
    <row r="62" spans="1:20">
      <c r="A62" s="388">
        <f t="shared" si="0"/>
        <v>2008.05</v>
      </c>
      <c r="B62" s="885">
        <v>165.47826629631649</v>
      </c>
      <c r="C62" s="3525">
        <v>139.19414672077201</v>
      </c>
      <c r="D62" s="2005">
        <v>139.51163746587099</v>
      </c>
      <c r="E62" s="1096">
        <v>237.45831925143196</v>
      </c>
      <c r="F62" s="3526">
        <v>62.492592088086084</v>
      </c>
      <c r="G62" s="3526">
        <v>184.99907770263619</v>
      </c>
      <c r="H62" s="3526">
        <v>145.21650885685688</v>
      </c>
      <c r="I62" s="3526">
        <v>124.93535630718779</v>
      </c>
      <c r="J62" s="3527">
        <v>186.31911976807592</v>
      </c>
      <c r="K62" s="1097">
        <v>168.27642777099499</v>
      </c>
      <c r="L62" s="1261">
        <v>145.90272337973266</v>
      </c>
      <c r="M62" s="1261">
        <v>178.44495032865478</v>
      </c>
      <c r="N62" s="1261">
        <v>166.47500563087502</v>
      </c>
      <c r="O62" s="1261">
        <v>117.21185590597682</v>
      </c>
      <c r="P62" s="1261">
        <v>110.97024109429668</v>
      </c>
      <c r="Q62" s="1261">
        <v>111.33487068894158</v>
      </c>
      <c r="R62" s="1261">
        <v>117.57709843501235</v>
      </c>
      <c r="S62" s="1261">
        <v>144.94047449865667</v>
      </c>
      <c r="T62" s="2752">
        <v>144.27475117823511</v>
      </c>
    </row>
    <row r="63" spans="1:20">
      <c r="A63" s="388">
        <f t="shared" si="0"/>
        <v>2008.06</v>
      </c>
      <c r="B63" s="885">
        <v>117.6604976333317</v>
      </c>
      <c r="C63" s="3525">
        <v>126.427078099531</v>
      </c>
      <c r="D63" s="2005">
        <v>139.10173864374099</v>
      </c>
      <c r="E63" s="1096">
        <v>55.628066244281129</v>
      </c>
      <c r="F63" s="3526">
        <v>73.563158850785044</v>
      </c>
      <c r="G63" s="3526">
        <v>135.34968884273391</v>
      </c>
      <c r="H63" s="3526">
        <v>124.68713970385859</v>
      </c>
      <c r="I63" s="3526">
        <v>117.54095390892529</v>
      </c>
      <c r="J63" s="3527">
        <v>172.41513920704861</v>
      </c>
      <c r="K63" s="1097">
        <v>150.590459518003</v>
      </c>
      <c r="L63" s="1261">
        <v>147.27295397351494</v>
      </c>
      <c r="M63" s="1261">
        <v>142.61208254796338</v>
      </c>
      <c r="N63" s="1261">
        <v>165.45056459435978</v>
      </c>
      <c r="O63" s="1261">
        <v>117.07823631791244</v>
      </c>
      <c r="P63" s="1261">
        <v>110.92570758344195</v>
      </c>
      <c r="Q63" s="1261">
        <v>111.88645797860318</v>
      </c>
      <c r="R63" s="1261">
        <v>117.67095657463486</v>
      </c>
      <c r="S63" s="1261">
        <v>145.68656591307646</v>
      </c>
      <c r="T63" s="2752">
        <v>144.02623794034486</v>
      </c>
    </row>
    <row r="64" spans="1:20">
      <c r="A64" s="388">
        <f t="shared" si="0"/>
        <v>2008.07</v>
      </c>
      <c r="B64" s="885">
        <v>128.66179611826584</v>
      </c>
      <c r="C64" s="3525">
        <v>138.630347308853</v>
      </c>
      <c r="D64" s="2005">
        <v>138.196841898451</v>
      </c>
      <c r="E64" s="1096">
        <v>40.861985170806456</v>
      </c>
      <c r="F64" s="3526">
        <v>53.616830064803722</v>
      </c>
      <c r="G64" s="3526">
        <v>244.18573995002797</v>
      </c>
      <c r="H64" s="3526">
        <v>148.82774157843735</v>
      </c>
      <c r="I64" s="3526">
        <v>145.21924973165594</v>
      </c>
      <c r="J64" s="3527">
        <v>187.74715657137469</v>
      </c>
      <c r="K64" s="1097">
        <v>180.63372567340019</v>
      </c>
      <c r="L64" s="1261">
        <v>151.84323788391845</v>
      </c>
      <c r="M64" s="1261">
        <v>152.48229354572209</v>
      </c>
      <c r="N64" s="1261">
        <v>161.28591894554518</v>
      </c>
      <c r="O64" s="1261">
        <v>122.06540051830355</v>
      </c>
      <c r="P64" s="1261">
        <v>111.09149835300293</v>
      </c>
      <c r="Q64" s="1261">
        <v>112.13417926093432</v>
      </c>
      <c r="R64" s="1261">
        <v>118.47902817195936</v>
      </c>
      <c r="S64" s="1261">
        <v>148.00137283083825</v>
      </c>
      <c r="T64" s="2752">
        <v>131.23199955752401</v>
      </c>
    </row>
    <row r="65" spans="1:20">
      <c r="A65" s="388">
        <f t="shared" si="0"/>
        <v>2008.08</v>
      </c>
      <c r="B65" s="885">
        <v>125.09191124692869</v>
      </c>
      <c r="C65" s="3525">
        <v>136.16065262005199</v>
      </c>
      <c r="D65" s="2005">
        <v>136.68270875526699</v>
      </c>
      <c r="E65" s="1096">
        <v>41.20695643640758</v>
      </c>
      <c r="F65" s="3526">
        <v>37.884738950389846</v>
      </c>
      <c r="G65" s="3526">
        <v>164.38901364533223</v>
      </c>
      <c r="H65" s="3526">
        <v>145.81393796390321</v>
      </c>
      <c r="I65" s="3526">
        <v>123.38210674480655</v>
      </c>
      <c r="J65" s="3527">
        <v>192.21050816578119</v>
      </c>
      <c r="K65" s="1097">
        <v>166.31516895938941</v>
      </c>
      <c r="L65" s="1261">
        <v>153.7498757122965</v>
      </c>
      <c r="M65" s="1261">
        <v>152.95468451853532</v>
      </c>
      <c r="N65" s="1261">
        <v>171.45560263025575</v>
      </c>
      <c r="O65" s="1261">
        <v>118.34210485277363</v>
      </c>
      <c r="P65" s="1261">
        <v>111.6736113421112</v>
      </c>
      <c r="Q65" s="1261">
        <v>113.72950136229836</v>
      </c>
      <c r="R65" s="1261">
        <v>119.10050242415929</v>
      </c>
      <c r="S65" s="1261">
        <v>147.16627487400348</v>
      </c>
      <c r="T65" s="2752">
        <v>124.84959945613852</v>
      </c>
    </row>
    <row r="66" spans="1:20">
      <c r="A66" s="388">
        <f t="shared" si="0"/>
        <v>2008.09</v>
      </c>
      <c r="B66" s="885">
        <v>124.84800888530431</v>
      </c>
      <c r="C66" s="3525">
        <v>135.428247305284</v>
      </c>
      <c r="D66" s="2005">
        <v>134.75437010774399</v>
      </c>
      <c r="E66" s="1096">
        <v>39.56430469211687</v>
      </c>
      <c r="F66" s="3526">
        <v>46.107856564365179</v>
      </c>
      <c r="G66" s="3526">
        <v>199.50172732054844</v>
      </c>
      <c r="H66" s="3526">
        <v>148.7712553537765</v>
      </c>
      <c r="I66" s="3526">
        <v>129.97845418393044</v>
      </c>
      <c r="J66" s="3527">
        <v>193.28186751129047</v>
      </c>
      <c r="K66" s="1097">
        <v>162.05901247006045</v>
      </c>
      <c r="L66" s="1261">
        <v>154.0022168754561</v>
      </c>
      <c r="M66" s="1261">
        <v>153.29852172344948</v>
      </c>
      <c r="N66" s="1261">
        <v>169.80328687644482</v>
      </c>
      <c r="O66" s="1261">
        <v>116.58167880630235</v>
      </c>
      <c r="P66" s="1261">
        <v>111.60905915341358</v>
      </c>
      <c r="Q66" s="1261">
        <v>114.11255303964512</v>
      </c>
      <c r="R66" s="1261">
        <v>119.54733010632123</v>
      </c>
      <c r="S66" s="1261">
        <v>148.83993290192055</v>
      </c>
      <c r="T66" s="2752">
        <v>123.2334138467687</v>
      </c>
    </row>
    <row r="67" spans="1:20">
      <c r="A67" s="388">
        <f t="shared" si="0"/>
        <v>2008.1</v>
      </c>
      <c r="B67" s="885">
        <v>124.05828538525041</v>
      </c>
      <c r="C67" s="3525">
        <v>132.26542929275899</v>
      </c>
      <c r="D67" s="2005">
        <v>132.59613178643599</v>
      </c>
      <c r="E67" s="1096">
        <v>38.275301268362696</v>
      </c>
      <c r="F67" s="3526">
        <v>40.174315323025809</v>
      </c>
      <c r="G67" s="3526">
        <v>166.58620740887403</v>
      </c>
      <c r="H67" s="3526">
        <v>143.53510904622925</v>
      </c>
      <c r="I67" s="3526">
        <v>120.42368067755484</v>
      </c>
      <c r="J67" s="3527">
        <v>186.25965573474716</v>
      </c>
      <c r="K67" s="1097">
        <v>168.04180092436542</v>
      </c>
      <c r="L67" s="1261">
        <v>160.99028154838794</v>
      </c>
      <c r="M67" s="1261">
        <v>152.66989652242404</v>
      </c>
      <c r="N67" s="1261">
        <v>181.80484494134785</v>
      </c>
      <c r="O67" s="1261">
        <v>115.85639644927261</v>
      </c>
      <c r="P67" s="1261">
        <v>111.09460866329778</v>
      </c>
      <c r="Q67" s="1261">
        <v>114.48511260378136</v>
      </c>
      <c r="R67" s="1261">
        <v>120.07170539078317</v>
      </c>
      <c r="S67" s="1261">
        <v>149.48860319005982</v>
      </c>
      <c r="T67" s="2752">
        <v>126.73054295455033</v>
      </c>
    </row>
    <row r="68" spans="1:20">
      <c r="A68" s="388">
        <f t="shared" si="0"/>
        <v>2008.11</v>
      </c>
      <c r="B68" s="885">
        <v>119.32894819105121</v>
      </c>
      <c r="C68" s="3525">
        <v>130.463492243254</v>
      </c>
      <c r="D68" s="2005">
        <v>130.258521858617</v>
      </c>
      <c r="E68" s="1096">
        <v>74.480094479599401</v>
      </c>
      <c r="F68" s="3526">
        <v>38.508283154001347</v>
      </c>
      <c r="G68" s="3526">
        <v>143.25201944986892</v>
      </c>
      <c r="H68" s="3526">
        <v>112.34050314595314</v>
      </c>
      <c r="I68" s="3526">
        <v>140.2015178218488</v>
      </c>
      <c r="J68" s="3527">
        <v>192.10308186006694</v>
      </c>
      <c r="K68" s="1097">
        <v>148.63706809428004</v>
      </c>
      <c r="L68" s="1261">
        <v>159.17895951999003</v>
      </c>
      <c r="M68" s="1261">
        <v>150.27788071090214</v>
      </c>
      <c r="N68" s="1261">
        <v>175.65418009924011</v>
      </c>
      <c r="O68" s="1261">
        <v>115.02296177327163</v>
      </c>
      <c r="P68" s="1261">
        <v>112.95314868338491</v>
      </c>
      <c r="Q68" s="1261">
        <v>114.8636418544897</v>
      </c>
      <c r="R68" s="1261">
        <v>120.99875234538092</v>
      </c>
      <c r="S68" s="1261">
        <v>148.87610402117463</v>
      </c>
      <c r="T68" s="2752">
        <v>131.14827088273859</v>
      </c>
    </row>
    <row r="69" spans="1:20">
      <c r="A69" s="388">
        <f t="shared" si="0"/>
        <v>2008.12</v>
      </c>
      <c r="B69" s="885">
        <v>123.93073150970068</v>
      </c>
      <c r="C69" s="3525">
        <v>127.904791131648</v>
      </c>
      <c r="D69" s="2005">
        <v>127.817674228944</v>
      </c>
      <c r="E69" s="1096">
        <v>60.766417607868263</v>
      </c>
      <c r="F69" s="3526">
        <v>57.478552689443106</v>
      </c>
      <c r="G69" s="3526">
        <v>119.51893638967599</v>
      </c>
      <c r="H69" s="3526">
        <v>117.17497094763365</v>
      </c>
      <c r="I69" s="3526">
        <v>154.98713344784002</v>
      </c>
      <c r="J69" s="3527">
        <v>249.46866148183901</v>
      </c>
      <c r="K69" s="1097">
        <v>167.16119382114334</v>
      </c>
      <c r="L69" s="1261">
        <v>155.17821700459422</v>
      </c>
      <c r="M69" s="1261">
        <v>152.98262455892342</v>
      </c>
      <c r="N69" s="1261">
        <v>176.53359268995982</v>
      </c>
      <c r="O69" s="1261">
        <v>120.53550492244277</v>
      </c>
      <c r="P69" s="1261">
        <v>112.49222455839612</v>
      </c>
      <c r="Q69" s="1261">
        <v>115.18141241679213</v>
      </c>
      <c r="R69" s="1261">
        <v>120.82112260097324</v>
      </c>
      <c r="S69" s="1261">
        <v>150.10978416999836</v>
      </c>
      <c r="T69" s="2752">
        <v>135.24424017651862</v>
      </c>
    </row>
    <row r="70" spans="1:20">
      <c r="A70" s="388">
        <f t="shared" si="0"/>
        <v>2009.01</v>
      </c>
      <c r="B70" s="885">
        <v>104.7489550789218</v>
      </c>
      <c r="C70" s="3525">
        <v>124.331813775847</v>
      </c>
      <c r="D70" s="2005">
        <v>125.458480432659</v>
      </c>
      <c r="E70" s="1096">
        <v>38.876765315531273</v>
      </c>
      <c r="F70" s="3526">
        <v>43.782416009957252</v>
      </c>
      <c r="G70" s="3526">
        <v>167.81981857263773</v>
      </c>
      <c r="H70" s="3526">
        <v>99.090413327120416</v>
      </c>
      <c r="I70" s="3526">
        <v>149.05711891093748</v>
      </c>
      <c r="J70" s="3527">
        <v>154.86180856281214</v>
      </c>
      <c r="K70" s="1097">
        <v>141.68019506362583</v>
      </c>
      <c r="L70" s="1261">
        <v>149.88187106486109</v>
      </c>
      <c r="M70" s="1261">
        <v>136.28453701684222</v>
      </c>
      <c r="N70" s="1261">
        <v>173.62064738687397</v>
      </c>
      <c r="O70" s="1261">
        <v>107.17236240570645</v>
      </c>
      <c r="P70" s="1261">
        <v>113.59702246712958</v>
      </c>
      <c r="Q70" s="1261">
        <v>112.71266287530229</v>
      </c>
      <c r="R70" s="1261">
        <v>118.03614355581793</v>
      </c>
      <c r="S70" s="1261">
        <v>159.97096797875781</v>
      </c>
      <c r="T70" s="2752">
        <v>142.09090534032327</v>
      </c>
    </row>
    <row r="71" spans="1:20">
      <c r="A71" s="388">
        <f t="shared" si="0"/>
        <v>2009.02</v>
      </c>
      <c r="B71" s="885">
        <v>103.12476059252349</v>
      </c>
      <c r="C71" s="3525">
        <v>125.92841700903701</v>
      </c>
      <c r="D71" s="2005">
        <v>123.361008584527</v>
      </c>
      <c r="E71" s="1096">
        <v>42.042124837570753</v>
      </c>
      <c r="F71" s="3526">
        <v>38.136658848507103</v>
      </c>
      <c r="G71" s="3526">
        <v>143.90396115653837</v>
      </c>
      <c r="H71" s="3526">
        <v>98.190199317313429</v>
      </c>
      <c r="I71" s="3526">
        <v>135.44006152634057</v>
      </c>
      <c r="J71" s="3527">
        <v>167.9696538079892</v>
      </c>
      <c r="K71" s="1097">
        <v>128.32598729062445</v>
      </c>
      <c r="L71" s="1261">
        <v>151.37543749221851</v>
      </c>
      <c r="M71" s="1261">
        <v>131.69048742010872</v>
      </c>
      <c r="N71" s="1261">
        <v>165.9719393155172</v>
      </c>
      <c r="O71" s="1261">
        <v>113.16219296038713</v>
      </c>
      <c r="P71" s="1261">
        <v>113.15361212746068</v>
      </c>
      <c r="Q71" s="1261">
        <v>112.44098574458123</v>
      </c>
      <c r="R71" s="1261">
        <v>117.99667313362752</v>
      </c>
      <c r="S71" s="1261">
        <v>159.5882406488287</v>
      </c>
      <c r="T71" s="2752">
        <v>141.94341488238854</v>
      </c>
    </row>
    <row r="72" spans="1:20">
      <c r="A72" s="388">
        <f t="shared" si="0"/>
        <v>2009.03</v>
      </c>
      <c r="B72" s="885">
        <v>145.49077838525022</v>
      </c>
      <c r="C72" s="3525">
        <v>119.951116065346</v>
      </c>
      <c r="D72" s="2005">
        <v>121.843803094986</v>
      </c>
      <c r="E72" s="1096">
        <v>202.40102845305259</v>
      </c>
      <c r="F72" s="3526">
        <v>60.986990200660472</v>
      </c>
      <c r="G72" s="3526">
        <v>140.1384672200783</v>
      </c>
      <c r="H72" s="3526">
        <v>115.32357763432934</v>
      </c>
      <c r="I72" s="3526">
        <v>166.75046514017325</v>
      </c>
      <c r="J72" s="3527">
        <v>176.56347817155577</v>
      </c>
      <c r="K72" s="1097">
        <v>140.94327609879514</v>
      </c>
      <c r="L72" s="1261">
        <v>153.89197377843783</v>
      </c>
      <c r="M72" s="1261">
        <v>170.31649774544894</v>
      </c>
      <c r="N72" s="1261">
        <v>172.3937768855823</v>
      </c>
      <c r="O72" s="1261">
        <v>116.67968851919369</v>
      </c>
      <c r="P72" s="1261">
        <v>112.73548163221452</v>
      </c>
      <c r="Q72" s="1261">
        <v>112.82951629061972</v>
      </c>
      <c r="R72" s="1261">
        <v>118.18600164705612</v>
      </c>
      <c r="S72" s="1261">
        <v>158.74947077388924</v>
      </c>
      <c r="T72" s="2752">
        <v>132.33992124732029</v>
      </c>
    </row>
    <row r="73" spans="1:20">
      <c r="A73" s="388">
        <f t="shared" si="0"/>
        <v>2009.04</v>
      </c>
      <c r="B73" s="885">
        <v>166.01845640865679</v>
      </c>
      <c r="C73" s="3525">
        <v>118.226909141609</v>
      </c>
      <c r="D73" s="2005">
        <v>121.13500892845499</v>
      </c>
      <c r="E73" s="1096">
        <v>290.42544448341255</v>
      </c>
      <c r="F73" s="3526">
        <v>51.318069578719502</v>
      </c>
      <c r="G73" s="3526">
        <v>132.92031746951983</v>
      </c>
      <c r="H73" s="3526">
        <v>121.34050863511499</v>
      </c>
      <c r="I73" s="3526">
        <v>148.06358382807045</v>
      </c>
      <c r="J73" s="3527">
        <v>172.9921886746113</v>
      </c>
      <c r="K73" s="1097">
        <v>149.44457714879138</v>
      </c>
      <c r="L73" s="1261">
        <v>153.95616829415832</v>
      </c>
      <c r="M73" s="1261">
        <v>186.830674426391</v>
      </c>
      <c r="N73" s="1261">
        <v>176.02908990490548</v>
      </c>
      <c r="O73" s="1261">
        <v>108.53830779660424</v>
      </c>
      <c r="P73" s="1261">
        <v>112.29884313860202</v>
      </c>
      <c r="Q73" s="1261">
        <v>113.37554637597081</v>
      </c>
      <c r="R73" s="1261">
        <v>118.22151452685183</v>
      </c>
      <c r="S73" s="1261">
        <v>156.03567302471834</v>
      </c>
      <c r="T73" s="2752">
        <v>119.39074059955114</v>
      </c>
    </row>
    <row r="74" spans="1:20">
      <c r="A74" s="388">
        <f t="shared" si="0"/>
        <v>2009.05</v>
      </c>
      <c r="B74" s="885">
        <v>140.33670411313264</v>
      </c>
      <c r="C74" s="3525">
        <v>120.216595137307</v>
      </c>
      <c r="D74" s="2005">
        <v>121.252808155449</v>
      </c>
      <c r="E74" s="1096">
        <v>177.96105264711048</v>
      </c>
      <c r="F74" s="3526">
        <v>40.30011711645291</v>
      </c>
      <c r="G74" s="3526">
        <v>115.98439215105437</v>
      </c>
      <c r="H74" s="3526">
        <v>113.04137557165286</v>
      </c>
      <c r="I74" s="3526">
        <v>134.15358492463412</v>
      </c>
      <c r="J74" s="3527">
        <v>175.28670022517085</v>
      </c>
      <c r="K74" s="1097">
        <v>152.37333356054137</v>
      </c>
      <c r="L74" s="1261">
        <v>151.70251463640597</v>
      </c>
      <c r="M74" s="1261">
        <v>167.82847797029456</v>
      </c>
      <c r="N74" s="1261">
        <v>177.90734730246939</v>
      </c>
      <c r="O74" s="1261">
        <v>107.04692286069812</v>
      </c>
      <c r="P74" s="1261">
        <v>111.78465398373505</v>
      </c>
      <c r="Q74" s="1261">
        <v>113.50851419509235</v>
      </c>
      <c r="R74" s="1261">
        <v>117.96343994315097</v>
      </c>
      <c r="S74" s="1261">
        <v>154.34252255711755</v>
      </c>
      <c r="T74" s="2752">
        <v>116.16144943062793</v>
      </c>
    </row>
    <row r="75" spans="1:20">
      <c r="A75" s="388">
        <f t="shared" si="0"/>
        <v>2009.06</v>
      </c>
      <c r="B75" s="885">
        <v>121.23789104389728</v>
      </c>
      <c r="C75" s="3525">
        <v>127.858793250213</v>
      </c>
      <c r="D75" s="2005">
        <v>122.001124808995</v>
      </c>
      <c r="E75" s="1096">
        <v>54.217338629614765</v>
      </c>
      <c r="F75" s="3526">
        <v>51.511366990338217</v>
      </c>
      <c r="G75" s="3526">
        <v>133.08671529037755</v>
      </c>
      <c r="H75" s="3526">
        <v>133.39997809107001</v>
      </c>
      <c r="I75" s="3526">
        <v>137.00740643382051</v>
      </c>
      <c r="J75" s="3527">
        <v>163.93309124890166</v>
      </c>
      <c r="K75" s="1097">
        <v>155.83576388971878</v>
      </c>
      <c r="L75" s="1261">
        <v>148.11318013003427</v>
      </c>
      <c r="M75" s="1261">
        <v>155.47530216096359</v>
      </c>
      <c r="N75" s="1261">
        <v>182.87985530064731</v>
      </c>
      <c r="O75" s="1261">
        <v>109.73041779057974</v>
      </c>
      <c r="P75" s="1261">
        <v>111.46604197754132</v>
      </c>
      <c r="Q75" s="1261">
        <v>114.55787293982006</v>
      </c>
      <c r="R75" s="1261">
        <v>117.99793951237865</v>
      </c>
      <c r="S75" s="1261">
        <v>153.65031490255032</v>
      </c>
      <c r="T75" s="2752">
        <v>117.75709008000264</v>
      </c>
    </row>
    <row r="76" spans="1:20">
      <c r="A76" s="388">
        <f t="shared" si="0"/>
        <v>2009.07</v>
      </c>
      <c r="B76" s="885">
        <v>115.24456142382601</v>
      </c>
      <c r="C76" s="3525">
        <v>123.25736021360299</v>
      </c>
      <c r="D76" s="2005">
        <v>122.96136623152999</v>
      </c>
      <c r="E76" s="1096">
        <v>37.708070442491341</v>
      </c>
      <c r="F76" s="3526">
        <v>38.822956706140012</v>
      </c>
      <c r="G76" s="3526">
        <v>150.04967059687624</v>
      </c>
      <c r="H76" s="3526">
        <v>121.67471492944503</v>
      </c>
      <c r="I76" s="3526">
        <v>152.86710636818128</v>
      </c>
      <c r="J76" s="3527">
        <v>170.98070004836106</v>
      </c>
      <c r="K76" s="1097">
        <v>155.27669951156918</v>
      </c>
      <c r="L76" s="1261">
        <v>143.75460521228501</v>
      </c>
      <c r="M76" s="1261">
        <v>154.2579523511447</v>
      </c>
      <c r="N76" s="1261">
        <v>174.54240541286538</v>
      </c>
      <c r="O76" s="1261">
        <v>114.59382532388302</v>
      </c>
      <c r="P76" s="1261">
        <v>111.59428446035966</v>
      </c>
      <c r="Q76" s="1261">
        <v>115.31846075440323</v>
      </c>
      <c r="R76" s="1261">
        <v>118.36021272285691</v>
      </c>
      <c r="S76" s="1261">
        <v>153.18187856421432</v>
      </c>
      <c r="T76" s="2752">
        <v>123.58092727233543</v>
      </c>
    </row>
    <row r="77" spans="1:20">
      <c r="A77" s="388">
        <f t="shared" si="0"/>
        <v>2009.08</v>
      </c>
      <c r="B77" s="885">
        <v>116.15780093976808</v>
      </c>
      <c r="C77" s="3525">
        <v>125.942220676489</v>
      </c>
      <c r="D77" s="2005">
        <v>123.80933695748</v>
      </c>
      <c r="E77" s="1096">
        <v>38.366464659122741</v>
      </c>
      <c r="F77" s="3526">
        <v>49.548827574812094</v>
      </c>
      <c r="G77" s="3526">
        <v>115.36562560085501</v>
      </c>
      <c r="H77" s="3526">
        <v>127.9231488556611</v>
      </c>
      <c r="I77" s="3526">
        <v>120.98646065397283</v>
      </c>
      <c r="J77" s="3527">
        <v>165.22078815926747</v>
      </c>
      <c r="K77" s="1097">
        <v>150.92862657895904</v>
      </c>
      <c r="L77" s="1261">
        <v>150.70783814392263</v>
      </c>
      <c r="M77" s="1261">
        <v>159.95623961936536</v>
      </c>
      <c r="N77" s="1261">
        <v>175.52482743550379</v>
      </c>
      <c r="O77" s="1261">
        <v>114.1569272950785</v>
      </c>
      <c r="P77" s="1261">
        <v>112.33810830755064</v>
      </c>
      <c r="Q77" s="1261">
        <v>114.33658646397483</v>
      </c>
      <c r="R77" s="1261">
        <v>118.65523850175546</v>
      </c>
      <c r="S77" s="1261">
        <v>156.19250899356103</v>
      </c>
      <c r="T77" s="2752">
        <v>128.31254434569138</v>
      </c>
    </row>
    <row r="78" spans="1:20">
      <c r="A78" s="388">
        <f t="shared" si="0"/>
        <v>2009.09</v>
      </c>
      <c r="B78" s="885">
        <v>114.97774664307711</v>
      </c>
      <c r="C78" s="3525">
        <v>124.216065324006</v>
      </c>
      <c r="D78" s="2005">
        <v>124.391429857785</v>
      </c>
      <c r="E78" s="1096">
        <v>35.432364343497674</v>
      </c>
      <c r="F78" s="3526">
        <v>60.898625669634775</v>
      </c>
      <c r="G78" s="3526">
        <v>125.89049531529137</v>
      </c>
      <c r="H78" s="3526">
        <v>123.75103115699086</v>
      </c>
      <c r="I78" s="3526">
        <v>118.67464375877049</v>
      </c>
      <c r="J78" s="3527">
        <v>169.26894538271753</v>
      </c>
      <c r="K78" s="1097">
        <v>151.83260701409674</v>
      </c>
      <c r="L78" s="1261">
        <v>156.61946381386508</v>
      </c>
      <c r="M78" s="1261">
        <v>157.17241790485366</v>
      </c>
      <c r="N78" s="1261">
        <v>178.71613991890385</v>
      </c>
      <c r="O78" s="1261">
        <v>115.17172871531545</v>
      </c>
      <c r="P78" s="1261">
        <v>111.42689945145739</v>
      </c>
      <c r="Q78" s="1261">
        <v>115.68609478642627</v>
      </c>
      <c r="R78" s="1261">
        <v>118.8852826619387</v>
      </c>
      <c r="S78" s="1261">
        <v>165.97546079911464</v>
      </c>
      <c r="T78" s="2752">
        <v>132.78937309742619</v>
      </c>
    </row>
    <row r="79" spans="1:20">
      <c r="A79" s="388">
        <f t="shared" si="0"/>
        <v>2009.1</v>
      </c>
      <c r="B79" s="885">
        <v>121.26977775156021</v>
      </c>
      <c r="C79" s="3525">
        <v>130.75474748079699</v>
      </c>
      <c r="D79" s="2005">
        <v>124.72461213970099</v>
      </c>
      <c r="E79" s="1096">
        <v>39.619651844805148</v>
      </c>
      <c r="F79" s="3526">
        <v>42.796415117928852</v>
      </c>
      <c r="G79" s="3526">
        <v>135.04120440350468</v>
      </c>
      <c r="H79" s="3526">
        <v>135.09814715394174</v>
      </c>
      <c r="I79" s="3526">
        <v>119.48530919602747</v>
      </c>
      <c r="J79" s="3527">
        <v>175.3231116974876</v>
      </c>
      <c r="K79" s="1097">
        <v>161.85077696340659</v>
      </c>
      <c r="L79" s="1261">
        <v>166.65185943808996</v>
      </c>
      <c r="M79" s="1261">
        <v>163.9100658795129</v>
      </c>
      <c r="N79" s="1261">
        <v>176.33070647411134</v>
      </c>
      <c r="O79" s="1261">
        <v>113.25212931869538</v>
      </c>
      <c r="P79" s="1261">
        <v>110.9872130104236</v>
      </c>
      <c r="Q79" s="1261">
        <v>115.75213285909305</v>
      </c>
      <c r="R79" s="1261">
        <v>119.99402653587936</v>
      </c>
      <c r="S79" s="1261">
        <v>169.02328690970157</v>
      </c>
      <c r="T79" s="2752">
        <v>136.1290273054716</v>
      </c>
    </row>
    <row r="80" spans="1:20">
      <c r="A80" s="388">
        <f t="shared" si="0"/>
        <v>2009.11</v>
      </c>
      <c r="B80" s="885">
        <v>114.8480735100858</v>
      </c>
      <c r="C80" s="3525">
        <v>124.03793003</v>
      </c>
      <c r="D80" s="2005">
        <v>125.209393164731</v>
      </c>
      <c r="E80" s="1096">
        <v>52.826966438477641</v>
      </c>
      <c r="F80" s="3526">
        <v>34.242654877532182</v>
      </c>
      <c r="G80" s="3526">
        <v>112.18149211552762</v>
      </c>
      <c r="H80" s="3526">
        <v>110.208924367356</v>
      </c>
      <c r="I80" s="3526">
        <v>126.83401311246328</v>
      </c>
      <c r="J80" s="3527">
        <v>160.34991792650831</v>
      </c>
      <c r="K80" s="1097">
        <v>155.12333168322633</v>
      </c>
      <c r="L80" s="1261">
        <v>161.31092701952679</v>
      </c>
      <c r="M80" s="1261">
        <v>158.59970019677561</v>
      </c>
      <c r="N80" s="1261">
        <v>175.91211764114004</v>
      </c>
      <c r="O80" s="1261">
        <v>110.66541776561782</v>
      </c>
      <c r="P80" s="1261">
        <v>111.1646912638586</v>
      </c>
      <c r="Q80" s="1261">
        <v>115.70501219741637</v>
      </c>
      <c r="R80" s="1261">
        <v>120.31117692585352</v>
      </c>
      <c r="S80" s="1261">
        <v>171.38624179541253</v>
      </c>
      <c r="T80" s="2752">
        <v>137.64486972136595</v>
      </c>
    </row>
    <row r="81" spans="1:20">
      <c r="A81" s="388">
        <f t="shared" si="0"/>
        <v>2009.12</v>
      </c>
      <c r="B81" s="885">
        <v>121.31100804537145</v>
      </c>
      <c r="C81" s="3525">
        <v>125.06801442371</v>
      </c>
      <c r="D81" s="2005">
        <v>126.105989749766</v>
      </c>
      <c r="E81" s="1096">
        <v>45.720127009322361</v>
      </c>
      <c r="F81" s="3526">
        <v>34.211800928782388</v>
      </c>
      <c r="G81" s="3526">
        <v>93.32915852775686</v>
      </c>
      <c r="H81" s="3526">
        <v>119.38177080323086</v>
      </c>
      <c r="I81" s="3526">
        <v>126.80021593365257</v>
      </c>
      <c r="J81" s="3527">
        <v>194.56094772088838</v>
      </c>
      <c r="K81" s="1097">
        <v>171.7558049845747</v>
      </c>
      <c r="L81" s="1261">
        <v>161.02614513633378</v>
      </c>
      <c r="M81" s="1261">
        <v>165.33978298367364</v>
      </c>
      <c r="N81" s="1261">
        <v>175.51920014081512</v>
      </c>
      <c r="O81" s="1261">
        <v>120.05169534674337</v>
      </c>
      <c r="P81" s="1261">
        <v>111.23380190782203</v>
      </c>
      <c r="Q81" s="1261">
        <v>115.55150053580255</v>
      </c>
      <c r="R81" s="1261">
        <v>120.36429734646023</v>
      </c>
      <c r="S81" s="1261">
        <v>174.26947359012041</v>
      </c>
      <c r="T81" s="2752">
        <v>134.96530992309081</v>
      </c>
    </row>
    <row r="82" spans="1:20">
      <c r="A82" s="388">
        <f t="shared" si="0"/>
        <v>2010.01</v>
      </c>
      <c r="B82" s="885">
        <v>107.13152755116546</v>
      </c>
      <c r="C82" s="3525">
        <v>128.17980833192499</v>
      </c>
      <c r="D82" s="2005">
        <v>127.512787344589</v>
      </c>
      <c r="E82" s="1096">
        <v>34.739844760096702</v>
      </c>
      <c r="F82" s="3526">
        <v>21.828923745596626</v>
      </c>
      <c r="G82" s="3526">
        <v>136.36893549164211</v>
      </c>
      <c r="H82" s="3526">
        <v>102.88031686539767</v>
      </c>
      <c r="I82" s="3526">
        <v>151.85258520047182</v>
      </c>
      <c r="J82" s="3527">
        <v>153.47636450673625</v>
      </c>
      <c r="K82" s="1097">
        <v>147.54361962053946</v>
      </c>
      <c r="L82" s="1261">
        <v>158.47419256630283</v>
      </c>
      <c r="M82" s="1261">
        <v>151.07583267547949</v>
      </c>
      <c r="N82" s="1261">
        <v>167.96122293428311</v>
      </c>
      <c r="O82" s="1261">
        <v>103.72436068767762</v>
      </c>
      <c r="P82" s="1261">
        <v>116.42120229674779</v>
      </c>
      <c r="Q82" s="1261">
        <v>115.61139207516803</v>
      </c>
      <c r="R82" s="1261">
        <v>121.53412032276594</v>
      </c>
      <c r="S82" s="1261">
        <v>185.01858083373241</v>
      </c>
      <c r="T82" s="2752">
        <v>131.20013908433347</v>
      </c>
    </row>
    <row r="83" spans="1:20">
      <c r="A83" s="388">
        <f t="shared" si="0"/>
        <v>2010.02</v>
      </c>
      <c r="B83" s="885">
        <v>106.01366987281088</v>
      </c>
      <c r="C83" s="3525">
        <v>128.97425192397799</v>
      </c>
      <c r="D83" s="2005">
        <v>129.23136403094699</v>
      </c>
      <c r="E83" s="1096">
        <v>47.0742254731488</v>
      </c>
      <c r="F83" s="3526">
        <v>23.278651119201754</v>
      </c>
      <c r="G83" s="3526">
        <v>117.00871262998014</v>
      </c>
      <c r="H83" s="3526">
        <v>97.344924802596793</v>
      </c>
      <c r="I83" s="3526">
        <v>158.22546330063298</v>
      </c>
      <c r="J83" s="3527">
        <v>150.38481336935513</v>
      </c>
      <c r="K83" s="1097">
        <v>135.2241360852835</v>
      </c>
      <c r="L83" s="1261">
        <v>157.67111773713196</v>
      </c>
      <c r="M83" s="1261">
        <v>148.20884232360768</v>
      </c>
      <c r="N83" s="1261">
        <v>160.38141481871548</v>
      </c>
      <c r="O83" s="1261">
        <v>108.96078887679046</v>
      </c>
      <c r="P83" s="1261">
        <v>116.10710449820562</v>
      </c>
      <c r="Q83" s="1261">
        <v>114.95995012779403</v>
      </c>
      <c r="R83" s="1261">
        <v>121.50010273235637</v>
      </c>
      <c r="S83" s="1261">
        <v>186.06846166451734</v>
      </c>
      <c r="T83" s="2752">
        <v>132.04789826741668</v>
      </c>
    </row>
    <row r="84" spans="1:20">
      <c r="A84" s="388">
        <f t="shared" si="0"/>
        <v>2010.03</v>
      </c>
      <c r="B84" s="885">
        <v>159.90882396398197</v>
      </c>
      <c r="C84" s="3525">
        <v>130.82365993310199</v>
      </c>
      <c r="D84" s="2005">
        <v>130.88663378470201</v>
      </c>
      <c r="E84" s="1096">
        <v>257.34075544892733</v>
      </c>
      <c r="F84" s="3526">
        <v>46.146475499733235</v>
      </c>
      <c r="G84" s="3526">
        <v>134.56452123187844</v>
      </c>
      <c r="H84" s="3526">
        <v>115.5527247942042</v>
      </c>
      <c r="I84" s="3526">
        <v>162.9968302726474</v>
      </c>
      <c r="J84" s="3527">
        <v>164.54255291361639</v>
      </c>
      <c r="K84" s="1097">
        <v>153.97245423354093</v>
      </c>
      <c r="L84" s="1261">
        <v>160.34152851635665</v>
      </c>
      <c r="M84" s="1261">
        <v>196.94767891194832</v>
      </c>
      <c r="N84" s="1261">
        <v>167.7229233757632</v>
      </c>
      <c r="O84" s="1261">
        <v>108.7629241720779</v>
      </c>
      <c r="P84" s="1261">
        <v>116.62074552566774</v>
      </c>
      <c r="Q84" s="1261">
        <v>115.01425762811307</v>
      </c>
      <c r="R84" s="1261">
        <v>121.6808582105169</v>
      </c>
      <c r="S84" s="1261">
        <v>185.30168315383145</v>
      </c>
      <c r="T84" s="2752">
        <v>133.61131015061824</v>
      </c>
    </row>
    <row r="85" spans="1:20">
      <c r="A85" s="388">
        <f t="shared" si="0"/>
        <v>2010.04</v>
      </c>
      <c r="B85" s="885">
        <v>190.19727051066937</v>
      </c>
      <c r="C85" s="3525">
        <v>136.974002543772</v>
      </c>
      <c r="D85" s="2005">
        <v>132.15502593692</v>
      </c>
      <c r="E85" s="1096">
        <v>361.1425631625915</v>
      </c>
      <c r="F85" s="3526">
        <v>16.139874195910831</v>
      </c>
      <c r="G85" s="3526">
        <v>137.73387163216867</v>
      </c>
      <c r="H85" s="3526">
        <v>140.9272051328189</v>
      </c>
      <c r="I85" s="3526">
        <v>149.99249539932339</v>
      </c>
      <c r="J85" s="3527">
        <v>172.94370297743134</v>
      </c>
      <c r="K85" s="1097">
        <v>158.3859195400191</v>
      </c>
      <c r="L85" s="1261">
        <v>160.65519615406987</v>
      </c>
      <c r="M85" s="1261">
        <v>220.74429352360892</v>
      </c>
      <c r="N85" s="1261">
        <v>167.48517365324602</v>
      </c>
      <c r="O85" s="1261">
        <v>110.66369521255643</v>
      </c>
      <c r="P85" s="1261">
        <v>116.24747582547062</v>
      </c>
      <c r="Q85" s="1261">
        <v>115.29280950223527</v>
      </c>
      <c r="R85" s="1261">
        <v>122.33006527333207</v>
      </c>
      <c r="S85" s="1261">
        <v>183.83700774499181</v>
      </c>
      <c r="T85" s="2752">
        <v>143.18949261134856</v>
      </c>
    </row>
    <row r="86" spans="1:20">
      <c r="A86" s="388">
        <f t="shared" si="0"/>
        <v>2010.05</v>
      </c>
      <c r="B86" s="885">
        <v>154.55158652705057</v>
      </c>
      <c r="C86" s="3525">
        <v>133.06665475569</v>
      </c>
      <c r="D86" s="2005">
        <v>132.990438738412</v>
      </c>
      <c r="E86" s="1096">
        <v>220.78374126461782</v>
      </c>
      <c r="F86" s="3526">
        <v>20.856315874740687</v>
      </c>
      <c r="G86" s="3526">
        <v>126.18058707968309</v>
      </c>
      <c r="H86" s="3526">
        <v>118.7141537796218</v>
      </c>
      <c r="I86" s="3526">
        <v>175.68020761432334</v>
      </c>
      <c r="J86" s="3527">
        <v>155.34905188551446</v>
      </c>
      <c r="K86" s="1097">
        <v>161.50994957121648</v>
      </c>
      <c r="L86" s="1261">
        <v>160.33052904542126</v>
      </c>
      <c r="M86" s="1261">
        <v>191.77460409517528</v>
      </c>
      <c r="N86" s="1261">
        <v>170.74543271752316</v>
      </c>
      <c r="O86" s="1261">
        <v>108.74591028763254</v>
      </c>
      <c r="P86" s="1261">
        <v>116.3928880746019</v>
      </c>
      <c r="Q86" s="1261">
        <v>115.21499717406557</v>
      </c>
      <c r="R86" s="1261">
        <v>122.64621989363994</v>
      </c>
      <c r="S86" s="1261">
        <v>184.31547891552344</v>
      </c>
      <c r="T86" s="2752">
        <v>150.47873810976859</v>
      </c>
    </row>
    <row r="87" spans="1:20">
      <c r="A87" s="388">
        <f t="shared" si="0"/>
        <v>2010.06</v>
      </c>
      <c r="B87" s="885">
        <v>127.66057807895348</v>
      </c>
      <c r="C87" s="3525">
        <v>133.44192945942601</v>
      </c>
      <c r="D87" s="2005">
        <v>133.51648906227501</v>
      </c>
      <c r="E87" s="1096">
        <v>59.084349278979111</v>
      </c>
      <c r="F87" s="3526">
        <v>28.677802293821269</v>
      </c>
      <c r="G87" s="3526">
        <v>142.52158523558671</v>
      </c>
      <c r="H87" s="3526">
        <v>129.11446822541185</v>
      </c>
      <c r="I87" s="3526">
        <v>165.62767500204566</v>
      </c>
      <c r="J87" s="3527">
        <v>171.90982526268596</v>
      </c>
      <c r="K87" s="1097">
        <v>177.2711620912138</v>
      </c>
      <c r="L87" s="1261">
        <v>158.74287508878109</v>
      </c>
      <c r="M87" s="1261">
        <v>169.00815706435077</v>
      </c>
      <c r="N87" s="1261">
        <v>178.63542302501236</v>
      </c>
      <c r="O87" s="1261">
        <v>113.33124755289657</v>
      </c>
      <c r="P87" s="1261">
        <v>116.31599770528277</v>
      </c>
      <c r="Q87" s="1261">
        <v>116.10826034960246</v>
      </c>
      <c r="R87" s="1261">
        <v>122.7956780460417</v>
      </c>
      <c r="S87" s="1261">
        <v>184.86751500340193</v>
      </c>
      <c r="T87" s="2752">
        <v>148.55635889283471</v>
      </c>
    </row>
    <row r="88" spans="1:20">
      <c r="A88" s="388">
        <f t="shared" si="0"/>
        <v>2010.07</v>
      </c>
      <c r="B88" s="885">
        <v>123.79253011737721</v>
      </c>
      <c r="C88" s="3525">
        <v>133.383039249402</v>
      </c>
      <c r="D88" s="2005">
        <v>133.883123910161</v>
      </c>
      <c r="E88" s="1096">
        <v>36.485681817256861</v>
      </c>
      <c r="F88" s="3526">
        <v>41.6360948104915</v>
      </c>
      <c r="G88" s="3526">
        <v>171.77969687533405</v>
      </c>
      <c r="H88" s="3526">
        <v>129.66779080334155</v>
      </c>
      <c r="I88" s="3526">
        <v>179.26894194002185</v>
      </c>
      <c r="J88" s="3527">
        <v>182.08035663193263</v>
      </c>
      <c r="K88" s="1097">
        <v>172.65335279083769</v>
      </c>
      <c r="L88" s="1261">
        <v>164.11463681804733</v>
      </c>
      <c r="M88" s="1261">
        <v>171.71364057274479</v>
      </c>
      <c r="N88" s="1261">
        <v>167.3102665323398</v>
      </c>
      <c r="O88" s="1261">
        <v>122.87374768976436</v>
      </c>
      <c r="P88" s="1261">
        <v>116.10129079575772</v>
      </c>
      <c r="Q88" s="1261">
        <v>116.7666858764625</v>
      </c>
      <c r="R88" s="1261">
        <v>122.62936419318406</v>
      </c>
      <c r="S88" s="1261">
        <v>185.16538807199592</v>
      </c>
      <c r="T88" s="2752">
        <v>136.1112888322042</v>
      </c>
    </row>
    <row r="89" spans="1:20">
      <c r="A89" s="388">
        <f t="shared" si="0"/>
        <v>2010.08</v>
      </c>
      <c r="B89" s="885">
        <v>125.25660311140993</v>
      </c>
      <c r="C89" s="3525">
        <v>133.75524243850501</v>
      </c>
      <c r="D89" s="2005">
        <v>134.335776890478</v>
      </c>
      <c r="E89" s="1096">
        <v>38.76924818494885</v>
      </c>
      <c r="F89" s="3526">
        <v>63.94896750877794</v>
      </c>
      <c r="G89" s="3526">
        <v>129.64511935632916</v>
      </c>
      <c r="H89" s="3526">
        <v>137.27224220009998</v>
      </c>
      <c r="I89" s="3526">
        <v>160.73143606529504</v>
      </c>
      <c r="J89" s="3527">
        <v>170.41944814647155</v>
      </c>
      <c r="K89" s="1097">
        <v>168.92103546408313</v>
      </c>
      <c r="L89" s="1261">
        <v>163.70065413292167</v>
      </c>
      <c r="M89" s="1261">
        <v>177.87956909138396</v>
      </c>
      <c r="N89" s="1261">
        <v>174.46796998055868</v>
      </c>
      <c r="O89" s="1261">
        <v>121.46614744812857</v>
      </c>
      <c r="P89" s="1261">
        <v>111.69321753731222</v>
      </c>
      <c r="Q89" s="1261">
        <v>115.81523331991696</v>
      </c>
      <c r="R89" s="1261">
        <v>122.86083180587693</v>
      </c>
      <c r="S89" s="1261">
        <v>186.54849044346022</v>
      </c>
      <c r="T89" s="2752">
        <v>129.820614938468</v>
      </c>
    </row>
    <row r="90" spans="1:20">
      <c r="A90" s="388">
        <f t="shared" si="0"/>
        <v>2010.09</v>
      </c>
      <c r="B90" s="885">
        <v>125.38711530672583</v>
      </c>
      <c r="C90" s="3525">
        <v>135.45176890352201</v>
      </c>
      <c r="D90" s="2005">
        <v>135.102124449168</v>
      </c>
      <c r="E90" s="1096">
        <v>33.350534078525115</v>
      </c>
      <c r="F90" s="3526">
        <v>36.683212864751383</v>
      </c>
      <c r="G90" s="3526">
        <v>145.6773174053059</v>
      </c>
      <c r="H90" s="3526">
        <v>136.55135149834112</v>
      </c>
      <c r="I90" s="3526">
        <v>146.8281424366067</v>
      </c>
      <c r="J90" s="3527">
        <v>175.52877693878608</v>
      </c>
      <c r="K90" s="1097">
        <v>176.72918987606033</v>
      </c>
      <c r="L90" s="1261">
        <v>170.23165828345262</v>
      </c>
      <c r="M90" s="1261">
        <v>176.15237283409991</v>
      </c>
      <c r="N90" s="1261">
        <v>177.22953183835355</v>
      </c>
      <c r="O90" s="1261">
        <v>120.62458096784549</v>
      </c>
      <c r="P90" s="1261">
        <v>112.5580205739017</v>
      </c>
      <c r="Q90" s="1261">
        <v>117.07164276862787</v>
      </c>
      <c r="R90" s="1261">
        <v>123.66030491437375</v>
      </c>
      <c r="S90" s="1261">
        <v>187.76857342809461</v>
      </c>
      <c r="T90" s="2752">
        <v>130.31296824303033</v>
      </c>
    </row>
    <row r="91" spans="1:20">
      <c r="A91" s="388">
        <f t="shared" si="0"/>
        <v>2010.1</v>
      </c>
      <c r="B91" s="885">
        <v>125.18487130790275</v>
      </c>
      <c r="C91" s="3525">
        <v>136.30396803086799</v>
      </c>
      <c r="D91" s="2005">
        <v>136.21355360925301</v>
      </c>
      <c r="E91" s="1096">
        <v>32.228779192207909</v>
      </c>
      <c r="F91" s="3526">
        <v>45.537123716236927</v>
      </c>
      <c r="G91" s="3526">
        <v>154.20803928473546</v>
      </c>
      <c r="H91" s="3526">
        <v>140.13142356504659</v>
      </c>
      <c r="I91" s="3526">
        <v>154.57677086514968</v>
      </c>
      <c r="J91" s="3527">
        <v>177.6450615068137</v>
      </c>
      <c r="K91" s="1097">
        <v>173.05452060836893</v>
      </c>
      <c r="L91" s="1261">
        <v>171.49957100314882</v>
      </c>
      <c r="M91" s="1261">
        <v>181.48530204179622</v>
      </c>
      <c r="N91" s="1261">
        <v>180.18884166526232</v>
      </c>
      <c r="O91" s="1261">
        <v>110.45918487712191</v>
      </c>
      <c r="P91" s="1261">
        <v>112.53999331700729</v>
      </c>
      <c r="Q91" s="1261">
        <v>117.08593872704949</v>
      </c>
      <c r="R91" s="1261">
        <v>124.81751509657701</v>
      </c>
      <c r="S91" s="1261">
        <v>189.31458864641675</v>
      </c>
      <c r="T91" s="2752">
        <v>137.49391981784493</v>
      </c>
    </row>
    <row r="92" spans="1:20">
      <c r="A92" s="388">
        <f t="shared" si="0"/>
        <v>2010.11</v>
      </c>
      <c r="B92" s="885">
        <v>128.29331059349246</v>
      </c>
      <c r="C92" s="3525">
        <v>137.089469127825</v>
      </c>
      <c r="D92" s="2005">
        <v>137.461385662282</v>
      </c>
      <c r="E92" s="1096">
        <v>64.173050394715162</v>
      </c>
      <c r="F92" s="3526">
        <v>43.155647422282769</v>
      </c>
      <c r="G92" s="3526">
        <v>157.46369970846874</v>
      </c>
      <c r="H92" s="3526">
        <v>126.84244820313759</v>
      </c>
      <c r="I92" s="3526">
        <v>140.06112284741184</v>
      </c>
      <c r="J92" s="3527">
        <v>183.86689725650041</v>
      </c>
      <c r="K92" s="1097">
        <v>175.11805538872551</v>
      </c>
      <c r="L92" s="1261">
        <v>169.88897226429256</v>
      </c>
      <c r="M92" s="1261">
        <v>182.9364898324159</v>
      </c>
      <c r="N92" s="1261">
        <v>187.093438528485</v>
      </c>
      <c r="O92" s="1261">
        <v>108.42237843597843</v>
      </c>
      <c r="P92" s="1261">
        <v>113.7766652434772</v>
      </c>
      <c r="Q92" s="1261">
        <v>117.04556602400216</v>
      </c>
      <c r="R92" s="1261">
        <v>125.2560123358947</v>
      </c>
      <c r="S92" s="1261">
        <v>188.60368368949128</v>
      </c>
      <c r="T92" s="2752">
        <v>136.53488284662964</v>
      </c>
    </row>
    <row r="93" spans="1:20">
      <c r="A93" s="388">
        <f t="shared" si="0"/>
        <v>2010.12</v>
      </c>
      <c r="B93" s="885">
        <v>133.46970230141852</v>
      </c>
      <c r="C93" s="3525">
        <v>137.23346513070899</v>
      </c>
      <c r="D93" s="2005">
        <v>138.69335734186501</v>
      </c>
      <c r="E93" s="1096">
        <v>52.095335666905171</v>
      </c>
      <c r="F93" s="3526">
        <v>22.923401973151833</v>
      </c>
      <c r="G93" s="3526">
        <v>138.08479453176531</v>
      </c>
      <c r="H93" s="3526">
        <v>128.6176883853615</v>
      </c>
      <c r="I93" s="3526">
        <v>163.61847203715868</v>
      </c>
      <c r="J93" s="3527">
        <v>220.91994821212157</v>
      </c>
      <c r="K93" s="1097">
        <v>199.77614581916214</v>
      </c>
      <c r="L93" s="1261">
        <v>170.17898068866143</v>
      </c>
      <c r="M93" s="1261">
        <v>187.44700500600379</v>
      </c>
      <c r="N93" s="1261">
        <v>189.08075410757593</v>
      </c>
      <c r="O93" s="1261">
        <v>117.48959937244857</v>
      </c>
      <c r="P93" s="1261">
        <v>115.85294075173113</v>
      </c>
      <c r="Q93" s="1261">
        <v>116.99466969817512</v>
      </c>
      <c r="R93" s="1261">
        <v>125.31238532142103</v>
      </c>
      <c r="S93" s="1261">
        <v>192.88416716914298</v>
      </c>
      <c r="T93" s="2752">
        <v>127.55564945764408</v>
      </c>
    </row>
    <row r="94" spans="1:20">
      <c r="A94" s="388">
        <f t="shared" si="0"/>
        <v>2011.01</v>
      </c>
      <c r="B94" s="885">
        <v>119.39763682920257</v>
      </c>
      <c r="C94" s="3525">
        <v>142.38628201610501</v>
      </c>
      <c r="D94" s="2005">
        <v>139.76467766923599</v>
      </c>
      <c r="E94" s="1096">
        <v>38.42907328341331</v>
      </c>
      <c r="F94" s="3526">
        <v>33.794137863061465</v>
      </c>
      <c r="G94" s="3526">
        <v>179.09359610303989</v>
      </c>
      <c r="H94" s="3526">
        <v>124.52605254508411</v>
      </c>
      <c r="I94" s="3526">
        <v>185.00333148979874</v>
      </c>
      <c r="J94" s="3527">
        <v>162.13800923082539</v>
      </c>
      <c r="K94" s="1097">
        <v>159.24504794027499</v>
      </c>
      <c r="L94" s="1261">
        <v>167.29384695296301</v>
      </c>
      <c r="M94" s="1261">
        <v>174.56333613290116</v>
      </c>
      <c r="N94" s="1261">
        <v>185.27815997474315</v>
      </c>
      <c r="O94" s="1261">
        <v>109.19203359399948</v>
      </c>
      <c r="P94" s="1261">
        <v>115.88138965269596</v>
      </c>
      <c r="Q94" s="1261">
        <v>116.40570514547962</v>
      </c>
      <c r="R94" s="1261">
        <v>133.67695268798835</v>
      </c>
      <c r="S94" s="1261">
        <v>194.68852152445774</v>
      </c>
      <c r="T94" s="2752">
        <v>112.53060193244782</v>
      </c>
    </row>
    <row r="95" spans="1:20">
      <c r="A95" s="388">
        <f t="shared" si="0"/>
        <v>2011.02</v>
      </c>
      <c r="B95" s="885">
        <v>116.16244819091487</v>
      </c>
      <c r="C95" s="3525">
        <v>140.97441865516601</v>
      </c>
      <c r="D95" s="2005">
        <v>140.580643632451</v>
      </c>
      <c r="E95" s="1096">
        <v>49.4294937319697</v>
      </c>
      <c r="F95" s="3526">
        <v>45.394878290982028</v>
      </c>
      <c r="G95" s="3526">
        <v>153.71961923686038</v>
      </c>
      <c r="H95" s="3526">
        <v>111.02159688476665</v>
      </c>
      <c r="I95" s="3526">
        <v>162.78844512577851</v>
      </c>
      <c r="J95" s="3527">
        <v>160.07439744850205</v>
      </c>
      <c r="K95" s="1097">
        <v>151.84857261772456</v>
      </c>
      <c r="L95" s="1261">
        <v>170.39220639105037</v>
      </c>
      <c r="M95" s="1261">
        <v>167.79167915234603</v>
      </c>
      <c r="N95" s="1261">
        <v>180.62906685883985</v>
      </c>
      <c r="O95" s="1261">
        <v>114.34092401263121</v>
      </c>
      <c r="P95" s="1261">
        <v>115.60395566832858</v>
      </c>
      <c r="Q95" s="1261">
        <v>116.31044905240694</v>
      </c>
      <c r="R95" s="1261">
        <v>134.56913045005746</v>
      </c>
      <c r="S95" s="1261">
        <v>195.09871380444326</v>
      </c>
      <c r="T95" s="2752">
        <v>105.78192854091648</v>
      </c>
    </row>
    <row r="96" spans="1:20">
      <c r="A96" s="388">
        <f t="shared" si="0"/>
        <v>2011.03</v>
      </c>
      <c r="B96" s="885">
        <v>170.12535133233581</v>
      </c>
      <c r="C96" s="3525">
        <v>139.413782247645</v>
      </c>
      <c r="D96" s="2005">
        <v>141.13557397922099</v>
      </c>
      <c r="E96" s="1096">
        <v>252.90240767846095</v>
      </c>
      <c r="F96" s="3526">
        <v>62.169870568136353</v>
      </c>
      <c r="G96" s="3526">
        <v>162.90970950804495</v>
      </c>
      <c r="H96" s="3526">
        <v>134.379855151832</v>
      </c>
      <c r="I96" s="3526">
        <v>187.81091252621991</v>
      </c>
      <c r="J96" s="3527">
        <v>179.89821402796494</v>
      </c>
      <c r="K96" s="1097">
        <v>164.98511899773362</v>
      </c>
      <c r="L96" s="1261">
        <v>175.6975283423038</v>
      </c>
      <c r="M96" s="1261">
        <v>219.52066581440101</v>
      </c>
      <c r="N96" s="1261">
        <v>187.40859017934969</v>
      </c>
      <c r="O96" s="1261">
        <v>118.5378132485188</v>
      </c>
      <c r="P96" s="1261">
        <v>116.13816633036726</v>
      </c>
      <c r="Q96" s="1261">
        <v>116.0239402231235</v>
      </c>
      <c r="R96" s="1261">
        <v>134.80613332254504</v>
      </c>
      <c r="S96" s="1261">
        <v>193.59805152968727</v>
      </c>
      <c r="T96" s="2752">
        <v>103.00446017852985</v>
      </c>
    </row>
    <row r="97" spans="1:20">
      <c r="A97" s="388">
        <f t="shared" si="0"/>
        <v>2011.04</v>
      </c>
      <c r="B97" s="885">
        <v>192.1247295093327</v>
      </c>
      <c r="C97" s="3525">
        <v>141.46487407033101</v>
      </c>
      <c r="D97" s="2005">
        <v>141.54517855521499</v>
      </c>
      <c r="E97" s="1096">
        <v>353.56872413413652</v>
      </c>
      <c r="F97" s="3526">
        <v>47.007465937885982</v>
      </c>
      <c r="G97" s="3526">
        <v>164.8323741063592</v>
      </c>
      <c r="H97" s="3526">
        <v>135.57945403497936</v>
      </c>
      <c r="I97" s="3526">
        <v>167.61802446892776</v>
      </c>
      <c r="J97" s="3527">
        <v>179.34726783085674</v>
      </c>
      <c r="K97" s="1097">
        <v>170.33992688210895</v>
      </c>
      <c r="L97" s="1261">
        <v>175.6355279440385</v>
      </c>
      <c r="M97" s="1261">
        <v>234.28367516783393</v>
      </c>
      <c r="N97" s="1261">
        <v>191.79217841365983</v>
      </c>
      <c r="O97" s="1261">
        <v>117.2494396056123</v>
      </c>
      <c r="P97" s="1261">
        <v>115.77961854293801</v>
      </c>
      <c r="Q97" s="1261">
        <v>116.4229670734739</v>
      </c>
      <c r="R97" s="1261">
        <v>135.23806874798166</v>
      </c>
      <c r="S97" s="1261">
        <v>193.06233745264757</v>
      </c>
      <c r="T97" s="2752">
        <v>112.47012550449804</v>
      </c>
    </row>
    <row r="98" spans="1:20">
      <c r="A98" s="388">
        <f t="shared" si="0"/>
        <v>2011.05</v>
      </c>
      <c r="B98" s="885">
        <v>168.14760379106406</v>
      </c>
      <c r="C98" s="3525">
        <v>143.46714370145699</v>
      </c>
      <c r="D98" s="2005">
        <v>141.84870899442501</v>
      </c>
      <c r="E98" s="1096">
        <v>217.14008417098717</v>
      </c>
      <c r="F98" s="3526">
        <v>35.202342216094479</v>
      </c>
      <c r="G98" s="3526">
        <v>168.27780397367883</v>
      </c>
      <c r="H98" s="3526">
        <v>144.35201472162925</v>
      </c>
      <c r="I98" s="3526">
        <v>175.45740678960399</v>
      </c>
      <c r="J98" s="3527">
        <v>175.75188830000644</v>
      </c>
      <c r="K98" s="1097">
        <v>179.09783038847172</v>
      </c>
      <c r="L98" s="1261">
        <v>170.30989167121584</v>
      </c>
      <c r="M98" s="1261">
        <v>218.10022733754124</v>
      </c>
      <c r="N98" s="1261">
        <v>200.0761921744766</v>
      </c>
      <c r="O98" s="1261">
        <v>117.69639229863765</v>
      </c>
      <c r="P98" s="1261">
        <v>115.92368281840032</v>
      </c>
      <c r="Q98" s="1261">
        <v>117.06802611799466</v>
      </c>
      <c r="R98" s="1261">
        <v>135.74393176336406</v>
      </c>
      <c r="S98" s="1261">
        <v>191.41515701743481</v>
      </c>
      <c r="T98" s="2752">
        <v>120.53797973922863</v>
      </c>
    </row>
    <row r="99" spans="1:20">
      <c r="A99" s="388">
        <f t="shared" si="0"/>
        <v>2011.06</v>
      </c>
      <c r="B99" s="885">
        <v>135.44657999754483</v>
      </c>
      <c r="C99" s="3525">
        <v>140.387711477236</v>
      </c>
      <c r="D99" s="2005">
        <v>142.147783669078</v>
      </c>
      <c r="E99" s="1096">
        <v>59.171675351354878</v>
      </c>
      <c r="F99" s="3526">
        <v>50.099843964610244</v>
      </c>
      <c r="G99" s="3526">
        <v>164.33912265963292</v>
      </c>
      <c r="H99" s="3526">
        <v>139.14919843670273</v>
      </c>
      <c r="I99" s="3526">
        <v>169.29735592883583</v>
      </c>
      <c r="J99" s="3527">
        <v>175.19499061325149</v>
      </c>
      <c r="K99" s="1097">
        <v>186.92793135245131</v>
      </c>
      <c r="L99" s="1261">
        <v>171.48447329198228</v>
      </c>
      <c r="M99" s="1261">
        <v>190.29325226668922</v>
      </c>
      <c r="N99" s="1261">
        <v>205.92749534177227</v>
      </c>
      <c r="O99" s="1261">
        <v>122.22859590899797</v>
      </c>
      <c r="P99" s="1261">
        <v>115.83372490559034</v>
      </c>
      <c r="Q99" s="1261">
        <v>116.93838015164073</v>
      </c>
      <c r="R99" s="1261">
        <v>136.19658323173923</v>
      </c>
      <c r="S99" s="1261">
        <v>193.15121848257445</v>
      </c>
      <c r="T99" s="2752">
        <v>123.75989639491455</v>
      </c>
    </row>
    <row r="100" spans="1:20">
      <c r="A100" s="388">
        <f t="shared" si="0"/>
        <v>2011.07</v>
      </c>
      <c r="B100" s="885">
        <v>136.78410249459637</v>
      </c>
      <c r="C100" s="3525">
        <v>149.09685503859501</v>
      </c>
      <c r="D100" s="2005">
        <v>142.44404173207801</v>
      </c>
      <c r="E100" s="1096">
        <v>36.622281758294932</v>
      </c>
      <c r="F100" s="3526">
        <v>71.275474844992758</v>
      </c>
      <c r="G100" s="3526">
        <v>200.26767217471863</v>
      </c>
      <c r="H100" s="3526">
        <v>156.15691231867436</v>
      </c>
      <c r="I100" s="3526">
        <v>194.26071381427835</v>
      </c>
      <c r="J100" s="3527">
        <v>178.29502557204901</v>
      </c>
      <c r="K100" s="1097">
        <v>183.93553278762667</v>
      </c>
      <c r="L100" s="1261">
        <v>177.82001065320085</v>
      </c>
      <c r="M100" s="1261">
        <v>201.11477216313799</v>
      </c>
      <c r="N100" s="1261">
        <v>197.24907516494815</v>
      </c>
      <c r="O100" s="1261">
        <v>130.04704429309447</v>
      </c>
      <c r="P100" s="1261">
        <v>115.5930694481595</v>
      </c>
      <c r="Q100" s="1261">
        <v>116.82202824141889</v>
      </c>
      <c r="R100" s="1261">
        <v>136.34869756062579</v>
      </c>
      <c r="S100" s="1261">
        <v>193.97216374795687</v>
      </c>
      <c r="T100" s="2752">
        <v>118.17922142730771</v>
      </c>
    </row>
    <row r="101" spans="1:20">
      <c r="A101" s="388">
        <f t="shared" si="0"/>
        <v>2011.08</v>
      </c>
      <c r="B101" s="885">
        <v>135.41221017115728</v>
      </c>
      <c r="C101" s="3525">
        <v>142.774925507056</v>
      </c>
      <c r="D101" s="2005">
        <v>142.57597895976599</v>
      </c>
      <c r="E101" s="1096">
        <v>39.484445349760193</v>
      </c>
      <c r="F101" s="3526">
        <v>20.554526995793299</v>
      </c>
      <c r="G101" s="3526">
        <v>158.25286102785509</v>
      </c>
      <c r="H101" s="3526">
        <v>147.29704615570992</v>
      </c>
      <c r="I101" s="3526">
        <v>173.25213178328664</v>
      </c>
      <c r="J101" s="3527">
        <v>183.67504317967462</v>
      </c>
      <c r="K101" s="1097">
        <v>183.58040787663307</v>
      </c>
      <c r="L101" s="1261">
        <v>177.45802430712899</v>
      </c>
      <c r="M101" s="1261">
        <v>204.26814199217097</v>
      </c>
      <c r="N101" s="1261">
        <v>207.02869520965285</v>
      </c>
      <c r="O101" s="1261">
        <v>133.3524724882229</v>
      </c>
      <c r="P101" s="1261">
        <v>115.52059693295624</v>
      </c>
      <c r="Q101" s="1261">
        <v>116.50872944867569</v>
      </c>
      <c r="R101" s="1261">
        <v>136.91924825824881</v>
      </c>
      <c r="S101" s="1261">
        <v>195.72827869007375</v>
      </c>
      <c r="T101" s="2752">
        <v>117.74191537909965</v>
      </c>
    </row>
    <row r="102" spans="1:20">
      <c r="A102" s="388">
        <f t="shared" si="0"/>
        <v>2011.09</v>
      </c>
      <c r="B102" s="885">
        <v>132.7376619241509</v>
      </c>
      <c r="C102" s="3525">
        <v>143.459997321869</v>
      </c>
      <c r="D102" s="2005">
        <v>142.396090115352</v>
      </c>
      <c r="E102" s="1096">
        <v>36.61389172621918</v>
      </c>
      <c r="F102" s="3526">
        <v>32.248294675915687</v>
      </c>
      <c r="G102" s="3526">
        <v>194.55237405921787</v>
      </c>
      <c r="H102" s="3526">
        <v>145.21862109792997</v>
      </c>
      <c r="I102" s="3526">
        <v>161.25441363354233</v>
      </c>
      <c r="J102" s="3527">
        <v>182.36145226316268</v>
      </c>
      <c r="K102" s="1097">
        <v>180.2575250952105</v>
      </c>
      <c r="L102" s="1261">
        <v>179.00365965731876</v>
      </c>
      <c r="M102" s="1261">
        <v>202.18482058870578</v>
      </c>
      <c r="N102" s="1261">
        <v>209.28171289551591</v>
      </c>
      <c r="O102" s="1261">
        <v>125.07876818030874</v>
      </c>
      <c r="P102" s="1261">
        <v>115.53924824550035</v>
      </c>
      <c r="Q102" s="1261">
        <v>116.27010863935887</v>
      </c>
      <c r="R102" s="1261">
        <v>138.13562510914738</v>
      </c>
      <c r="S102" s="1261">
        <v>197.54570183822088</v>
      </c>
      <c r="T102" s="2752">
        <v>122.33102422076453</v>
      </c>
    </row>
    <row r="103" spans="1:20">
      <c r="A103" s="388">
        <f t="shared" si="0"/>
        <v>2011.1</v>
      </c>
      <c r="B103" s="885">
        <v>129.86635041742147</v>
      </c>
      <c r="C103" s="3525">
        <v>141.01223751423601</v>
      </c>
      <c r="D103" s="2005">
        <v>142.09826066604001</v>
      </c>
      <c r="E103" s="1096">
        <v>35.859273561132973</v>
      </c>
      <c r="F103" s="3526">
        <v>45.113029924645595</v>
      </c>
      <c r="G103" s="3526">
        <v>153.89401253282134</v>
      </c>
      <c r="H103" s="3526">
        <v>139.9305358060698</v>
      </c>
      <c r="I103" s="3526">
        <v>129.9251423609366</v>
      </c>
      <c r="J103" s="3527">
        <v>180.85317881942308</v>
      </c>
      <c r="K103" s="1097">
        <v>180.42893086901825</v>
      </c>
      <c r="L103" s="1261">
        <v>179.81302532254983</v>
      </c>
      <c r="M103" s="1261">
        <v>203.27017264453002</v>
      </c>
      <c r="N103" s="1261">
        <v>211.24059098262893</v>
      </c>
      <c r="O103" s="1261">
        <v>114.98932684282651</v>
      </c>
      <c r="P103" s="1261">
        <v>115.38366969466665</v>
      </c>
      <c r="Q103" s="1261">
        <v>115.82807064634108</v>
      </c>
      <c r="R103" s="1261">
        <v>138.887182035949</v>
      </c>
      <c r="S103" s="1261">
        <v>198.51148504359963</v>
      </c>
      <c r="T103" s="2752">
        <v>131.84166760295014</v>
      </c>
    </row>
    <row r="104" spans="1:20">
      <c r="A104" s="388">
        <f t="shared" si="0"/>
        <v>2011.11</v>
      </c>
      <c r="B104" s="885">
        <v>133.8540116414834</v>
      </c>
      <c r="C104" s="3525">
        <v>142.86737470840899</v>
      </c>
      <c r="D104" s="2005">
        <v>141.83975227354</v>
      </c>
      <c r="E104" s="1096">
        <v>62.074598347698938</v>
      </c>
      <c r="F104" s="3526">
        <v>39.128161424255275</v>
      </c>
      <c r="G104" s="3526">
        <v>155.72978973091546</v>
      </c>
      <c r="H104" s="3526">
        <v>132.99347681499322</v>
      </c>
      <c r="I104" s="3526">
        <v>155.70947438661619</v>
      </c>
      <c r="J104" s="3527">
        <v>185.93688281412292</v>
      </c>
      <c r="K104" s="1097">
        <v>180.54099622219974</v>
      </c>
      <c r="L104" s="1261">
        <v>182.93645289570773</v>
      </c>
      <c r="M104" s="1261">
        <v>207.52144065827821</v>
      </c>
      <c r="N104" s="1261">
        <v>210.73976575990758</v>
      </c>
      <c r="O104" s="1261">
        <v>113.99588444028524</v>
      </c>
      <c r="P104" s="1261">
        <v>115.12039638262003</v>
      </c>
      <c r="Q104" s="1261">
        <v>115.33481829996161</v>
      </c>
      <c r="R104" s="1261">
        <v>139.73998680075923</v>
      </c>
      <c r="S104" s="1261">
        <v>197.93885059418264</v>
      </c>
      <c r="T104" s="2752">
        <v>136.3352419499013</v>
      </c>
    </row>
    <row r="105" spans="1:20">
      <c r="A105" s="388">
        <f t="shared" si="0"/>
        <v>2011.12</v>
      </c>
      <c r="B105" s="885">
        <v>135.51610580580015</v>
      </c>
      <c r="C105" s="3525">
        <v>140.28618111514899</v>
      </c>
      <c r="D105" s="2005">
        <v>141.495268934931</v>
      </c>
      <c r="E105" s="1096">
        <v>55.0827399695469</v>
      </c>
      <c r="F105" s="3526">
        <v>43.776065772183522</v>
      </c>
      <c r="G105" s="3526">
        <v>138.90806356729962</v>
      </c>
      <c r="H105" s="3526">
        <v>130.21180382364088</v>
      </c>
      <c r="I105" s="3526">
        <v>158.90926444550524</v>
      </c>
      <c r="J105" s="3527">
        <v>206.89017527414401</v>
      </c>
      <c r="K105" s="1097">
        <v>194.14045796025377</v>
      </c>
      <c r="L105" s="1261">
        <v>182.45060485114334</v>
      </c>
      <c r="M105" s="1261">
        <v>211.01788585441273</v>
      </c>
      <c r="N105" s="1261">
        <v>211.54446776907369</v>
      </c>
      <c r="O105" s="1261">
        <v>119.6406325507045</v>
      </c>
      <c r="P105" s="1261">
        <v>115.09648175481345</v>
      </c>
      <c r="Q105" s="1261">
        <v>114.74114735090484</v>
      </c>
      <c r="R105" s="1261">
        <v>138.67658555032665</v>
      </c>
      <c r="S105" s="1261">
        <v>199.70585818880033</v>
      </c>
      <c r="T105" s="2752">
        <v>136.66097484043573</v>
      </c>
    </row>
    <row r="106" spans="1:20">
      <c r="A106" s="388">
        <f t="shared" si="0"/>
        <v>2012.01</v>
      </c>
      <c r="B106" s="885">
        <v>119.08868936278579</v>
      </c>
      <c r="C106" s="3525">
        <v>140.21464236442401</v>
      </c>
      <c r="D106" s="2005">
        <v>141.01194366499399</v>
      </c>
      <c r="E106" s="1098">
        <v>40.516811224172436</v>
      </c>
      <c r="F106" s="3528">
        <v>17.197062439013624</v>
      </c>
      <c r="G106" s="3528">
        <v>163.37481996341131</v>
      </c>
      <c r="H106" s="3528">
        <v>108.64420257416074</v>
      </c>
      <c r="I106" s="3528">
        <v>172.52387412731713</v>
      </c>
      <c r="J106" s="3529">
        <v>154.49537182443419</v>
      </c>
      <c r="K106" s="1097">
        <v>170.46385020407669</v>
      </c>
      <c r="L106" s="1261">
        <v>180.50987923968648</v>
      </c>
      <c r="M106" s="1261">
        <v>183.36601215420166</v>
      </c>
      <c r="N106" s="1261">
        <v>203.74240275692625</v>
      </c>
      <c r="O106" s="1261">
        <v>114.93739495577383</v>
      </c>
      <c r="P106" s="1261">
        <v>118.99080841259848</v>
      </c>
      <c r="Q106" s="1261">
        <v>113.41913180388462</v>
      </c>
      <c r="R106" s="1261">
        <v>150.27060603272221</v>
      </c>
      <c r="S106" s="1261">
        <v>198.55572828496634</v>
      </c>
      <c r="T106" s="2752">
        <v>134.28353876857574</v>
      </c>
    </row>
    <row r="107" spans="1:20">
      <c r="A107" s="388">
        <f t="shared" si="0"/>
        <v>2012.02</v>
      </c>
      <c r="B107" s="885">
        <v>121.75040428629583</v>
      </c>
      <c r="C107" s="3525">
        <v>142.14012928976001</v>
      </c>
      <c r="D107" s="2005">
        <v>140.539920765039</v>
      </c>
      <c r="E107" s="1098">
        <v>51.205472667465088</v>
      </c>
      <c r="F107" s="3528">
        <v>51.079078604164643</v>
      </c>
      <c r="G107" s="3528">
        <v>145.11385318723916</v>
      </c>
      <c r="H107" s="3528">
        <v>121.53528798011513</v>
      </c>
      <c r="I107" s="3528">
        <v>173.01523207916503</v>
      </c>
      <c r="J107" s="3529">
        <v>159.92140529140741</v>
      </c>
      <c r="K107" s="1097">
        <v>151.2495227364326</v>
      </c>
      <c r="L107" s="1261">
        <v>179.92370749145124</v>
      </c>
      <c r="M107" s="1261">
        <v>184.18452400799998</v>
      </c>
      <c r="N107" s="1261">
        <v>194.58980721496886</v>
      </c>
      <c r="O107" s="1261">
        <v>119.9134613996096</v>
      </c>
      <c r="P107" s="1261">
        <v>118.57463989391985</v>
      </c>
      <c r="Q107" s="1261">
        <v>112.63323746631455</v>
      </c>
      <c r="R107" s="1261">
        <v>147.76980867883699</v>
      </c>
      <c r="S107" s="1261">
        <v>196.53337797801385</v>
      </c>
      <c r="T107" s="2752">
        <v>128.76172633279535</v>
      </c>
    </row>
    <row r="108" spans="1:20">
      <c r="A108" s="388">
        <f t="shared" si="0"/>
        <v>2012.03</v>
      </c>
      <c r="B108" s="885">
        <v>171.06403249083024</v>
      </c>
      <c r="C108" s="3525">
        <v>141.768733203023</v>
      </c>
      <c r="D108" s="2005">
        <v>140.169270496688</v>
      </c>
      <c r="E108" s="1098">
        <v>223.01070777061858</v>
      </c>
      <c r="F108" s="3528">
        <v>55.626302734086444</v>
      </c>
      <c r="G108" s="3528">
        <v>146.37605870827664</v>
      </c>
      <c r="H108" s="3528">
        <v>145.55736084832228</v>
      </c>
      <c r="I108" s="3528">
        <v>194.86345393759018</v>
      </c>
      <c r="J108" s="3529">
        <v>172.52982296980804</v>
      </c>
      <c r="K108" s="1097">
        <v>174.62993721499777</v>
      </c>
      <c r="L108" s="1261">
        <v>177.51487565097315</v>
      </c>
      <c r="M108" s="1261">
        <v>229.51258434775474</v>
      </c>
      <c r="N108" s="1261">
        <v>204.9499089603766</v>
      </c>
      <c r="O108" s="1261">
        <v>126.86935138547835</v>
      </c>
      <c r="P108" s="1261">
        <v>120.18619148546298</v>
      </c>
      <c r="Q108" s="1261">
        <v>112.48300637386585</v>
      </c>
      <c r="R108" s="1261">
        <v>149.03391068514935</v>
      </c>
      <c r="S108" s="1261">
        <v>195.91549261936845</v>
      </c>
      <c r="T108" s="2752">
        <v>117.52911720061745</v>
      </c>
    </row>
    <row r="109" spans="1:20">
      <c r="A109" s="388">
        <f t="shared" si="0"/>
        <v>2012.04</v>
      </c>
      <c r="B109" s="885">
        <v>181.01587768493593</v>
      </c>
      <c r="C109" s="3525">
        <v>134.82550779587001</v>
      </c>
      <c r="D109" s="2005">
        <v>140.024860287541</v>
      </c>
      <c r="E109" s="1098">
        <v>304.45486974226856</v>
      </c>
      <c r="F109" s="3528">
        <v>23.20982120901953</v>
      </c>
      <c r="G109" s="3528">
        <v>149.02206431094734</v>
      </c>
      <c r="H109" s="3528">
        <v>134.96055632689047</v>
      </c>
      <c r="I109" s="3528">
        <v>180.62283547888512</v>
      </c>
      <c r="J109" s="3529">
        <v>158.2877873350063</v>
      </c>
      <c r="K109" s="1097">
        <v>161.96919499079939</v>
      </c>
      <c r="L109" s="1261">
        <v>181.11943316657087</v>
      </c>
      <c r="M109" s="1261">
        <v>234.83042116971976</v>
      </c>
      <c r="N109" s="1261">
        <v>202.46386892581617</v>
      </c>
      <c r="O109" s="1261">
        <v>118.51950752522721</v>
      </c>
      <c r="P109" s="1261">
        <v>121.34504428244375</v>
      </c>
      <c r="Q109" s="1261">
        <v>114.40467397708379</v>
      </c>
      <c r="R109" s="1261">
        <v>149.16558754449352</v>
      </c>
      <c r="S109" s="1261">
        <v>194.65222330812699</v>
      </c>
      <c r="T109" s="2752">
        <v>108.57473717314669</v>
      </c>
    </row>
    <row r="110" spans="1:20">
      <c r="A110" s="388">
        <f t="shared" si="0"/>
        <v>2012.05</v>
      </c>
      <c r="B110" s="885">
        <v>162.61893905229337</v>
      </c>
      <c r="C110" s="3525">
        <v>137.38866884452199</v>
      </c>
      <c r="D110" s="2005">
        <v>140.179967093843</v>
      </c>
      <c r="E110" s="1098">
        <v>190.43622376325021</v>
      </c>
      <c r="F110" s="3528">
        <v>28.104601472753671</v>
      </c>
      <c r="G110" s="3528">
        <v>149.17866577164193</v>
      </c>
      <c r="H110" s="3528">
        <v>139.16877807733206</v>
      </c>
      <c r="I110" s="3528">
        <v>188.5181380338378</v>
      </c>
      <c r="J110" s="3529">
        <v>178.09534005268492</v>
      </c>
      <c r="K110" s="1097">
        <v>178.03353602883226</v>
      </c>
      <c r="L110" s="1261">
        <v>176.88821269152459</v>
      </c>
      <c r="M110" s="1261">
        <v>220.84323208777693</v>
      </c>
      <c r="N110" s="1261">
        <v>208.93948742351992</v>
      </c>
      <c r="O110" s="1261">
        <v>122.37000522868408</v>
      </c>
      <c r="P110" s="1261">
        <v>121.3817136535697</v>
      </c>
      <c r="Q110" s="1261">
        <v>113.80798405635049</v>
      </c>
      <c r="R110" s="1261">
        <v>149.24271124777582</v>
      </c>
      <c r="S110" s="1261">
        <v>194.36144084061004</v>
      </c>
      <c r="T110" s="2752">
        <v>106.99675169558056</v>
      </c>
    </row>
    <row r="111" spans="1:20">
      <c r="A111" s="388">
        <f t="shared" si="0"/>
        <v>2012.06</v>
      </c>
      <c r="B111" s="885">
        <v>136.00466665236465</v>
      </c>
      <c r="C111" s="3525">
        <v>141.479651486759</v>
      </c>
      <c r="D111" s="2005">
        <v>140.55646380486701</v>
      </c>
      <c r="E111" s="1098">
        <v>55.092856579305639</v>
      </c>
      <c r="F111" s="3528">
        <v>34.701013555228826</v>
      </c>
      <c r="G111" s="3528">
        <v>166.21129760401746</v>
      </c>
      <c r="H111" s="3528">
        <v>146.59096064377118</v>
      </c>
      <c r="I111" s="3528">
        <v>190.79484095520212</v>
      </c>
      <c r="J111" s="3529">
        <v>176.08619772196653</v>
      </c>
      <c r="K111" s="1097">
        <v>174.26695718602221</v>
      </c>
      <c r="L111" s="1261">
        <v>177.78126932367104</v>
      </c>
      <c r="M111" s="1261">
        <v>199.43466949788598</v>
      </c>
      <c r="N111" s="1261">
        <v>208.98583768448779</v>
      </c>
      <c r="O111" s="1261">
        <v>124.64440308982996</v>
      </c>
      <c r="P111" s="1261">
        <v>121.17651222550278</v>
      </c>
      <c r="Q111" s="1261">
        <v>114.44848290070593</v>
      </c>
      <c r="R111" s="1261">
        <v>148.79974398647332</v>
      </c>
      <c r="S111" s="1261">
        <v>195.43782299044904</v>
      </c>
      <c r="T111" s="2752">
        <v>110.93829415443474</v>
      </c>
    </row>
    <row r="112" spans="1:20">
      <c r="A112" s="388">
        <f t="shared" si="0"/>
        <v>2012.07</v>
      </c>
      <c r="B112" s="885">
        <v>132.19847182714028</v>
      </c>
      <c r="C112" s="3525">
        <v>142.55444295062901</v>
      </c>
      <c r="D112" s="2005">
        <v>141.02427068825199</v>
      </c>
      <c r="E112" s="1098">
        <v>38.255441038733032</v>
      </c>
      <c r="F112" s="3528">
        <v>36.60504128071323</v>
      </c>
      <c r="G112" s="3528">
        <v>193.06260830796302</v>
      </c>
      <c r="H112" s="3528">
        <v>138.38566204990215</v>
      </c>
      <c r="I112" s="3528">
        <v>199.9508231740912</v>
      </c>
      <c r="J112" s="3529">
        <v>168.31855652043379</v>
      </c>
      <c r="K112" s="1097">
        <v>182.31507896516104</v>
      </c>
      <c r="L112" s="1261">
        <v>183.70509226952959</v>
      </c>
      <c r="M112" s="1261">
        <v>200.09193306060695</v>
      </c>
      <c r="N112" s="1261">
        <v>203.83768701514401</v>
      </c>
      <c r="O112" s="1261">
        <v>130.5949606491468</v>
      </c>
      <c r="P112" s="1261">
        <v>121.0875025023209</v>
      </c>
      <c r="Q112" s="1261">
        <v>114.59057318430609</v>
      </c>
      <c r="R112" s="1261">
        <v>148.47013243998077</v>
      </c>
      <c r="S112" s="1261">
        <v>194.66195934011526</v>
      </c>
      <c r="T112" s="2752">
        <v>117.52412322110581</v>
      </c>
    </row>
    <row r="113" spans="1:20">
      <c r="A113" s="388">
        <f t="shared" si="0"/>
        <v>2012.08</v>
      </c>
      <c r="B113" s="885">
        <v>140.53857504538234</v>
      </c>
      <c r="C113" s="3525">
        <v>148.41182499029799</v>
      </c>
      <c r="D113" s="2005">
        <v>141.57384451250999</v>
      </c>
      <c r="E113" s="1098">
        <v>37.738677231383768</v>
      </c>
      <c r="F113" s="3528">
        <v>45.43571589837314</v>
      </c>
      <c r="G113" s="3528">
        <v>126.67597596155329</v>
      </c>
      <c r="H113" s="3528">
        <v>162.34226902962467</v>
      </c>
      <c r="I113" s="3528">
        <v>187.92002567504898</v>
      </c>
      <c r="J113" s="3529">
        <v>180.75480086532434</v>
      </c>
      <c r="K113" s="1097">
        <v>183.57500462568424</v>
      </c>
      <c r="L113" s="1261">
        <v>184.51497485236939</v>
      </c>
      <c r="M113" s="1261">
        <v>212.86706069123389</v>
      </c>
      <c r="N113" s="1261">
        <v>210.146669520589</v>
      </c>
      <c r="O113" s="1261">
        <v>134.52083843556881</v>
      </c>
      <c r="P113" s="1261">
        <v>121.16670345027137</v>
      </c>
      <c r="Q113" s="1261">
        <v>114.633321480219</v>
      </c>
      <c r="R113" s="1261">
        <v>152.56113759684277</v>
      </c>
      <c r="S113" s="1261">
        <v>193.6840151326922</v>
      </c>
      <c r="T113" s="2752">
        <v>120.41250508250266</v>
      </c>
    </row>
    <row r="114" spans="1:20">
      <c r="A114" s="388">
        <f t="shared" si="0"/>
        <v>2012.09</v>
      </c>
      <c r="B114" s="885">
        <v>128.21212529306754</v>
      </c>
      <c r="C114" s="3525">
        <v>141.95336166158401</v>
      </c>
      <c r="D114" s="2005">
        <v>141.99321969840699</v>
      </c>
      <c r="E114" s="1098">
        <v>34.577329838137381</v>
      </c>
      <c r="F114" s="3528">
        <v>46.375962557234899</v>
      </c>
      <c r="G114" s="3528">
        <v>139.85414342058544</v>
      </c>
      <c r="H114" s="3528">
        <v>134.01718143822484</v>
      </c>
      <c r="I114" s="3528">
        <v>181.44893486031893</v>
      </c>
      <c r="J114" s="3529">
        <v>160.83675851511188</v>
      </c>
      <c r="K114" s="1097">
        <v>174.56289173786752</v>
      </c>
      <c r="L114" s="1261">
        <v>186.68122249273333</v>
      </c>
      <c r="M114" s="1261">
        <v>202.88814105736901</v>
      </c>
      <c r="N114" s="1261">
        <v>204.3292566071454</v>
      </c>
      <c r="O114" s="1261">
        <v>125.89125524366625</v>
      </c>
      <c r="P114" s="1261">
        <v>121.24786379486332</v>
      </c>
      <c r="Q114" s="1261">
        <v>114.63764942388319</v>
      </c>
      <c r="R114" s="1261">
        <v>152.63532127684823</v>
      </c>
      <c r="S114" s="1261">
        <v>194.00316820681118</v>
      </c>
      <c r="T114" s="2752">
        <v>122.65780364013006</v>
      </c>
    </row>
    <row r="115" spans="1:20">
      <c r="A115" s="388">
        <f t="shared" si="0"/>
        <v>2012.1</v>
      </c>
      <c r="B115" s="885">
        <v>134.42279657363386</v>
      </c>
      <c r="C115" s="3525">
        <v>141.84539598524401</v>
      </c>
      <c r="D115" s="2005">
        <v>142.269451476928</v>
      </c>
      <c r="E115" s="1098">
        <v>36.635131717098432</v>
      </c>
      <c r="F115" s="3528">
        <v>49.799559923022343</v>
      </c>
      <c r="G115" s="3528">
        <v>141.32706230752677</v>
      </c>
      <c r="H115" s="3528">
        <v>145.93062126477508</v>
      </c>
      <c r="I115" s="3528">
        <v>188.55022998629534</v>
      </c>
      <c r="J115" s="3529">
        <v>164.08003602689732</v>
      </c>
      <c r="K115" s="1097">
        <v>188.04104312914919</v>
      </c>
      <c r="L115" s="1261">
        <v>189.58150855879938</v>
      </c>
      <c r="M115" s="1261">
        <v>213.49438090740176</v>
      </c>
      <c r="N115" s="1261">
        <v>213.72740338375021</v>
      </c>
      <c r="O115" s="1261">
        <v>115.49759213454438</v>
      </c>
      <c r="P115" s="1261">
        <v>122.74668007990797</v>
      </c>
      <c r="Q115" s="1261">
        <v>114.8197028279575</v>
      </c>
      <c r="R115" s="1261">
        <v>152.92679440682457</v>
      </c>
      <c r="S115" s="1261">
        <v>195.20931406927187</v>
      </c>
      <c r="T115" s="2752">
        <v>120.61414133396536</v>
      </c>
    </row>
    <row r="116" spans="1:20">
      <c r="A116" s="388">
        <f t="shared" si="0"/>
        <v>2012.11</v>
      </c>
      <c r="B116" s="885">
        <v>132.76235961925792</v>
      </c>
      <c r="C116" s="3525">
        <v>141.23383863115899</v>
      </c>
      <c r="D116" s="2005">
        <v>142.64396596192</v>
      </c>
      <c r="E116" s="1098">
        <v>59.193503136415728</v>
      </c>
      <c r="F116" s="3528">
        <v>43.578945263672544</v>
      </c>
      <c r="G116" s="3528">
        <v>144.7170916597</v>
      </c>
      <c r="H116" s="3528">
        <v>126.46573537136263</v>
      </c>
      <c r="I116" s="3528">
        <v>180.61396955230765</v>
      </c>
      <c r="J116" s="3529">
        <v>178.25526631809529</v>
      </c>
      <c r="K116" s="1097">
        <v>183.37278787688248</v>
      </c>
      <c r="L116" s="1261">
        <v>189.5144212414871</v>
      </c>
      <c r="M116" s="1261">
        <v>211.21495779519387</v>
      </c>
      <c r="N116" s="1261">
        <v>213.80293899455882</v>
      </c>
      <c r="O116" s="1261">
        <v>113.62338200372474</v>
      </c>
      <c r="P116" s="1261">
        <v>122.75501450695052</v>
      </c>
      <c r="Q116" s="1261">
        <v>115.16111645935801</v>
      </c>
      <c r="R116" s="1261">
        <v>153.31507255032156</v>
      </c>
      <c r="S116" s="1261">
        <v>196.38442061291252</v>
      </c>
      <c r="T116" s="2752">
        <v>120.72013041163083</v>
      </c>
    </row>
    <row r="117" spans="1:20">
      <c r="A117" s="388">
        <f t="shared" si="0"/>
        <v>2012.12</v>
      </c>
      <c r="B117" s="885">
        <v>142.33471304556838</v>
      </c>
      <c r="C117" s="3525">
        <v>148.18490090557299</v>
      </c>
      <c r="D117" s="2005">
        <v>143.42183707862901</v>
      </c>
      <c r="E117" s="1098">
        <v>60.792203132898038</v>
      </c>
      <c r="F117" s="3528">
        <v>32.906750307541095</v>
      </c>
      <c r="G117" s="3528">
        <v>102.52841263427661</v>
      </c>
      <c r="H117" s="3528">
        <v>144.13247556099375</v>
      </c>
      <c r="I117" s="3528">
        <v>192.14693791995001</v>
      </c>
      <c r="J117" s="3529">
        <v>167.89186872432705</v>
      </c>
      <c r="K117" s="1097">
        <v>201.14428952658068</v>
      </c>
      <c r="L117" s="1261">
        <v>189.04056082228698</v>
      </c>
      <c r="M117" s="1261">
        <v>223.89835114487889</v>
      </c>
      <c r="N117" s="1261">
        <v>218.93525050991673</v>
      </c>
      <c r="O117" s="1261">
        <v>118.80612557837664</v>
      </c>
      <c r="P117" s="1261">
        <v>122.79577929889459</v>
      </c>
      <c r="Q117" s="1261">
        <v>115.51468228652635</v>
      </c>
      <c r="R117" s="1261">
        <v>153.927276053919</v>
      </c>
      <c r="S117" s="1261">
        <v>198.61281586506394</v>
      </c>
      <c r="T117" s="2752">
        <v>121.1981062028368</v>
      </c>
    </row>
    <row r="118" spans="1:20">
      <c r="A118" s="388">
        <f t="shared" si="0"/>
        <v>2013.01</v>
      </c>
      <c r="B118" s="885">
        <v>117.18163044170262</v>
      </c>
      <c r="C118" s="3525">
        <v>136.293607517212</v>
      </c>
      <c r="D118" s="2005">
        <v>144.73874903657099</v>
      </c>
      <c r="E118" s="1098">
        <v>39.436367235109735</v>
      </c>
      <c r="F118" s="3528">
        <v>10.220358353199382</v>
      </c>
      <c r="G118" s="3528">
        <v>185.28418230363712</v>
      </c>
      <c r="H118" s="3528">
        <v>101.52930293049131</v>
      </c>
      <c r="I118" s="3528">
        <v>207.07971963566365</v>
      </c>
      <c r="J118" s="3529">
        <v>155.22777143654974</v>
      </c>
      <c r="K118" s="1097">
        <v>164.77469389572309</v>
      </c>
      <c r="L118" s="1261">
        <v>187.2712910931503</v>
      </c>
      <c r="M118" s="1261">
        <v>194.78015331293287</v>
      </c>
      <c r="N118" s="1261">
        <v>209.59582105270647</v>
      </c>
      <c r="O118" s="1261">
        <v>113.18142097993848</v>
      </c>
      <c r="P118" s="1261">
        <v>122.99725854180674</v>
      </c>
      <c r="Q118" s="1261">
        <v>115.62978343082789</v>
      </c>
      <c r="R118" s="1261">
        <v>154.90772265338995</v>
      </c>
      <c r="S118" s="1261">
        <v>194.37126088134954</v>
      </c>
      <c r="T118" s="2752">
        <v>126.31589791168138</v>
      </c>
    </row>
    <row r="119" spans="1:20">
      <c r="A119" s="388">
        <f t="shared" si="0"/>
        <v>2013.02</v>
      </c>
      <c r="B119" s="885">
        <v>118.70212473956222</v>
      </c>
      <c r="C119" s="3525">
        <v>143.871058543316</v>
      </c>
      <c r="D119" s="2005">
        <v>146.38791680665199</v>
      </c>
      <c r="E119" s="1098">
        <v>56.726957326000885</v>
      </c>
      <c r="F119" s="3528">
        <v>13.344701109007751</v>
      </c>
      <c r="G119" s="3528">
        <v>157.00666958631848</v>
      </c>
      <c r="H119" s="3528">
        <v>105.54058256203854</v>
      </c>
      <c r="I119" s="3528">
        <v>199.58201174165393</v>
      </c>
      <c r="J119" s="3529">
        <v>165.3481590463935</v>
      </c>
      <c r="K119" s="1097">
        <v>145.57812133565716</v>
      </c>
      <c r="L119" s="1261">
        <v>187.56726060109426</v>
      </c>
      <c r="M119" s="1261">
        <v>192.52427566314117</v>
      </c>
      <c r="N119" s="1261">
        <v>199.97098054869684</v>
      </c>
      <c r="O119" s="1261">
        <v>117.80955918283315</v>
      </c>
      <c r="P119" s="1261">
        <v>123.19708034656776</v>
      </c>
      <c r="Q119" s="1261">
        <v>115.88922373050741</v>
      </c>
      <c r="R119" s="1261">
        <v>155.04884725343106</v>
      </c>
      <c r="S119" s="1261">
        <v>194.00993325065491</v>
      </c>
      <c r="T119" s="2752">
        <v>126.42507680956969</v>
      </c>
    </row>
    <row r="120" spans="1:20">
      <c r="A120" s="388">
        <f t="shared" si="0"/>
        <v>2013.03</v>
      </c>
      <c r="B120" s="885">
        <v>178.84353413669288</v>
      </c>
      <c r="C120" s="3525">
        <v>149.943347298802</v>
      </c>
      <c r="D120" s="2005">
        <v>148.100738006391</v>
      </c>
      <c r="E120" s="1098">
        <v>276.24321170636273</v>
      </c>
      <c r="F120" s="3528">
        <v>19.571660563221872</v>
      </c>
      <c r="G120" s="3528">
        <v>155.72741600141254</v>
      </c>
      <c r="H120" s="3528">
        <v>135.04691479572236</v>
      </c>
      <c r="I120" s="3528">
        <v>180.72732391573379</v>
      </c>
      <c r="J120" s="3529">
        <v>165.95652670506109</v>
      </c>
      <c r="K120" s="1097">
        <v>167.23701540404264</v>
      </c>
      <c r="L120" s="1261">
        <v>189.9590538395781</v>
      </c>
      <c r="M120" s="1261">
        <v>252.36605819574109</v>
      </c>
      <c r="N120" s="1261">
        <v>207.74616404688246</v>
      </c>
      <c r="O120" s="1261">
        <v>127.20360186024041</v>
      </c>
      <c r="P120" s="1261">
        <v>123.18661348373027</v>
      </c>
      <c r="Q120" s="1261">
        <v>116.35581653268216</v>
      </c>
      <c r="R120" s="1261">
        <v>155.19947683237481</v>
      </c>
      <c r="S120" s="1261">
        <v>193.23659178353259</v>
      </c>
      <c r="T120" s="2752">
        <v>118.55374249642266</v>
      </c>
    </row>
    <row r="121" spans="1:20">
      <c r="A121" s="388">
        <f t="shared" si="0"/>
        <v>2013.04</v>
      </c>
      <c r="B121" s="885">
        <v>200.43563031117736</v>
      </c>
      <c r="C121" s="3525">
        <v>149.34786462212799</v>
      </c>
      <c r="D121" s="2005">
        <v>149.483240266178</v>
      </c>
      <c r="E121" s="1098">
        <v>386.24504920677828</v>
      </c>
      <c r="F121" s="3528">
        <v>12.13363611191957</v>
      </c>
      <c r="G121" s="3528">
        <v>177.41089034567986</v>
      </c>
      <c r="H121" s="3528">
        <v>132.26781525812174</v>
      </c>
      <c r="I121" s="3528">
        <v>195.41908425732984</v>
      </c>
      <c r="J121" s="3529">
        <v>170.25598065406868</v>
      </c>
      <c r="K121" s="1097">
        <v>166.54349592881022</v>
      </c>
      <c r="L121" s="1261">
        <v>183.19271245595419</v>
      </c>
      <c r="M121" s="1261">
        <v>264.37091504041337</v>
      </c>
      <c r="N121" s="1261">
        <v>212.32685789920387</v>
      </c>
      <c r="O121" s="1261">
        <v>120.68587412715746</v>
      </c>
      <c r="P121" s="1261">
        <v>123.73845611483367</v>
      </c>
      <c r="Q121" s="1261">
        <v>116.68510356702964</v>
      </c>
      <c r="R121" s="1261">
        <v>155.4427489550641</v>
      </c>
      <c r="S121" s="1261">
        <v>194.83873950006364</v>
      </c>
      <c r="T121" s="2752">
        <v>111.71927468104828</v>
      </c>
    </row>
    <row r="122" spans="1:20">
      <c r="A122" s="388">
        <f t="shared" ref="A122:A185" si="1">A110+1</f>
        <v>2013.05</v>
      </c>
      <c r="B122" s="885">
        <v>177.54287693922743</v>
      </c>
      <c r="C122" s="3525">
        <v>150.75074175606201</v>
      </c>
      <c r="D122" s="2005">
        <v>150.28127047081699</v>
      </c>
      <c r="E122" s="1098">
        <v>236.52316784914805</v>
      </c>
      <c r="F122" s="3528">
        <v>15.948781641278526</v>
      </c>
      <c r="G122" s="3528">
        <v>170.01723691000689</v>
      </c>
      <c r="H122" s="3528">
        <v>141.73610249709168</v>
      </c>
      <c r="I122" s="3528">
        <v>212.36589464977061</v>
      </c>
      <c r="J122" s="3529">
        <v>198.71668867265606</v>
      </c>
      <c r="K122" s="1097">
        <v>185.8810426954588</v>
      </c>
      <c r="L122" s="1261">
        <v>185.45324283195913</v>
      </c>
      <c r="M122" s="1261">
        <v>246.51005055951589</v>
      </c>
      <c r="N122" s="1261">
        <v>214.6431796694101</v>
      </c>
      <c r="O122" s="1261">
        <v>125.38115136311997</v>
      </c>
      <c r="P122" s="1261">
        <v>126.80857456095841</v>
      </c>
      <c r="Q122" s="1261">
        <v>120.64388648554724</v>
      </c>
      <c r="R122" s="1261">
        <v>155.72260628210012</v>
      </c>
      <c r="S122" s="1261">
        <v>200.70077334208895</v>
      </c>
      <c r="T122" s="2752">
        <v>111.73642833077106</v>
      </c>
    </row>
    <row r="123" spans="1:20">
      <c r="A123" s="388">
        <f t="shared" si="1"/>
        <v>2013.06</v>
      </c>
      <c r="B123" s="885">
        <v>145.24453977829586</v>
      </c>
      <c r="C123" s="3525">
        <v>151.96789618595199</v>
      </c>
      <c r="D123" s="2005">
        <v>150.37184140778899</v>
      </c>
      <c r="E123" s="1098">
        <v>64.430268765038051</v>
      </c>
      <c r="F123" s="3528">
        <v>15.062568974760762</v>
      </c>
      <c r="G123" s="3528">
        <v>175.77725702874852</v>
      </c>
      <c r="H123" s="3528">
        <v>163.26216288697606</v>
      </c>
      <c r="I123" s="3528">
        <v>189.2060384744</v>
      </c>
      <c r="J123" s="3529">
        <v>168.58549423523371</v>
      </c>
      <c r="K123" s="1097">
        <v>177.6971612361144</v>
      </c>
      <c r="L123" s="1261">
        <v>185.49619447692919</v>
      </c>
      <c r="M123" s="1261">
        <v>224.23351257132697</v>
      </c>
      <c r="N123" s="1261">
        <v>224.48997145929718</v>
      </c>
      <c r="O123" s="1261">
        <v>124.84535106178228</v>
      </c>
      <c r="P123" s="1261">
        <v>124.72710767287268</v>
      </c>
      <c r="Q123" s="1261">
        <v>122.44887962734515</v>
      </c>
      <c r="R123" s="1261">
        <v>156.31777679699306</v>
      </c>
      <c r="S123" s="1261">
        <v>194.79704267835692</v>
      </c>
      <c r="T123" s="2752">
        <v>115.35005740159629</v>
      </c>
    </row>
    <row r="124" spans="1:20">
      <c r="A124" s="388">
        <f t="shared" si="1"/>
        <v>2013.07</v>
      </c>
      <c r="B124" s="885">
        <v>140.39812002877753</v>
      </c>
      <c r="C124" s="3525">
        <v>149.67932723547699</v>
      </c>
      <c r="D124" s="2005">
        <v>150.01166033248501</v>
      </c>
      <c r="E124" s="1098">
        <v>41.242677851235065</v>
      </c>
      <c r="F124" s="3528">
        <v>16.597101595127928</v>
      </c>
      <c r="G124" s="3528">
        <v>213.6623870504288</v>
      </c>
      <c r="H124" s="3528">
        <v>150.56026872468621</v>
      </c>
      <c r="I124" s="3528">
        <v>204.53026385039516</v>
      </c>
      <c r="J124" s="3529">
        <v>180.29993098197167</v>
      </c>
      <c r="K124" s="1097">
        <v>190.59027899913104</v>
      </c>
      <c r="L124" s="1261">
        <v>190.82367439325031</v>
      </c>
      <c r="M124" s="1261">
        <v>222.72228627485367</v>
      </c>
      <c r="N124" s="1261">
        <v>217.3293386199243</v>
      </c>
      <c r="O124" s="1261">
        <v>132.66842419045255</v>
      </c>
      <c r="P124" s="1261">
        <v>126.57702116498376</v>
      </c>
      <c r="Q124" s="1261">
        <v>121.02851253827289</v>
      </c>
      <c r="R124" s="1261">
        <v>156.7436408496369</v>
      </c>
      <c r="S124" s="1261">
        <v>189.11860196739806</v>
      </c>
      <c r="T124" s="2752">
        <v>119.15524524566366</v>
      </c>
    </row>
    <row r="125" spans="1:20">
      <c r="A125" s="388">
        <f t="shared" si="1"/>
        <v>2013.08</v>
      </c>
      <c r="B125" s="885">
        <v>139.69289772106492</v>
      </c>
      <c r="C125" s="3525">
        <v>149.24920915577101</v>
      </c>
      <c r="D125" s="2005">
        <v>149.53946733956101</v>
      </c>
      <c r="E125" s="1098">
        <v>39.974598660436804</v>
      </c>
      <c r="F125" s="3528">
        <v>20.024529082885362</v>
      </c>
      <c r="G125" s="3528">
        <v>178.44551450143652</v>
      </c>
      <c r="H125" s="3528">
        <v>149.25320131468757</v>
      </c>
      <c r="I125" s="3528">
        <v>195.06554268057829</v>
      </c>
      <c r="J125" s="3529">
        <v>206.14885345031601</v>
      </c>
      <c r="K125" s="1097">
        <v>182.23445907095027</v>
      </c>
      <c r="L125" s="1261">
        <v>190.80549781925836</v>
      </c>
      <c r="M125" s="1261">
        <v>225.17771047670169</v>
      </c>
      <c r="N125" s="1261">
        <v>223.64370784146521</v>
      </c>
      <c r="O125" s="1261">
        <v>137.17619841664958</v>
      </c>
      <c r="P125" s="1261">
        <v>126.58132299606939</v>
      </c>
      <c r="Q125" s="1261">
        <v>121.11937916571551</v>
      </c>
      <c r="R125" s="1261">
        <v>157.43213233527965</v>
      </c>
      <c r="S125" s="1261">
        <v>187.87461887123655</v>
      </c>
      <c r="T125" s="2752">
        <v>121.81546367814633</v>
      </c>
    </row>
    <row r="126" spans="1:20">
      <c r="A126" s="388">
        <f t="shared" si="1"/>
        <v>2013.09</v>
      </c>
      <c r="B126" s="885">
        <v>134.63162044812051</v>
      </c>
      <c r="C126" s="3525">
        <v>147.13912614799401</v>
      </c>
      <c r="D126" s="2005">
        <v>149.42857615793</v>
      </c>
      <c r="E126" s="1098">
        <v>35.14833297576299</v>
      </c>
      <c r="F126" s="3528">
        <v>21.680915944898707</v>
      </c>
      <c r="G126" s="3528">
        <v>203.28528508069758</v>
      </c>
      <c r="H126" s="3528">
        <v>141.43161781274662</v>
      </c>
      <c r="I126" s="3528">
        <v>182.01543503937322</v>
      </c>
      <c r="J126" s="3529">
        <v>184.51040484028087</v>
      </c>
      <c r="K126" s="1097">
        <v>180.87412735154632</v>
      </c>
      <c r="L126" s="1261">
        <v>189.34723676250229</v>
      </c>
      <c r="M126" s="1261">
        <v>220.18524904726314</v>
      </c>
      <c r="N126" s="1261">
        <v>224.49320766473431</v>
      </c>
      <c r="O126" s="1261">
        <v>130.17041705582696</v>
      </c>
      <c r="P126" s="1261">
        <v>126.46122990476816</v>
      </c>
      <c r="Q126" s="1261">
        <v>120.98613004793825</v>
      </c>
      <c r="R126" s="1261">
        <v>158.46033946305215</v>
      </c>
      <c r="S126" s="1261">
        <v>191.84490532306799</v>
      </c>
      <c r="T126" s="2752">
        <v>124.12713972530486</v>
      </c>
    </row>
    <row r="127" spans="1:20">
      <c r="A127" s="388">
        <f t="shared" si="1"/>
        <v>2013.1</v>
      </c>
      <c r="B127" s="885">
        <v>142.97372073348782</v>
      </c>
      <c r="C127" s="3525">
        <v>150.05788359518499</v>
      </c>
      <c r="D127" s="2005">
        <v>149.72592160564199</v>
      </c>
      <c r="E127" s="1098">
        <v>37.150069781792276</v>
      </c>
      <c r="F127" s="3528">
        <v>24.866573539571775</v>
      </c>
      <c r="G127" s="3528">
        <v>205.29015395599762</v>
      </c>
      <c r="H127" s="3528">
        <v>158.73973030446939</v>
      </c>
      <c r="I127" s="3528">
        <v>200.6943271470154</v>
      </c>
      <c r="J127" s="3529">
        <v>186.9525145450838</v>
      </c>
      <c r="K127" s="1097">
        <v>196.41602042590489</v>
      </c>
      <c r="L127" s="1261">
        <v>195.83855551704258</v>
      </c>
      <c r="M127" s="1261">
        <v>233.44346281028035</v>
      </c>
      <c r="N127" s="1261">
        <v>229.63847361615225</v>
      </c>
      <c r="O127" s="1261">
        <v>120.54479169584587</v>
      </c>
      <c r="P127" s="1261">
        <v>127.79402854670346</v>
      </c>
      <c r="Q127" s="1261">
        <v>120.83047668964397</v>
      </c>
      <c r="R127" s="1261">
        <v>159.50009704472834</v>
      </c>
      <c r="S127" s="1261">
        <v>191.91685484566742</v>
      </c>
      <c r="T127" s="2752">
        <v>124.44068851838401</v>
      </c>
    </row>
    <row r="128" spans="1:20">
      <c r="A128" s="388">
        <f t="shared" si="1"/>
        <v>2013.11</v>
      </c>
      <c r="B128" s="885">
        <v>134.7458515344056</v>
      </c>
      <c r="C128" s="3525">
        <v>144.205973547545</v>
      </c>
      <c r="D128" s="2005">
        <v>150.054649309312</v>
      </c>
      <c r="E128" s="1098">
        <v>57.701301245462254</v>
      </c>
      <c r="F128" s="3528">
        <v>13.58591711917555</v>
      </c>
      <c r="G128" s="3528">
        <v>165.79626580236013</v>
      </c>
      <c r="H128" s="3528">
        <v>128.01626875271666</v>
      </c>
      <c r="I128" s="3528">
        <v>188.70849352345471</v>
      </c>
      <c r="J128" s="3529">
        <v>188.26149368501814</v>
      </c>
      <c r="K128" s="1097">
        <v>181.66406761965703</v>
      </c>
      <c r="L128" s="1261">
        <v>196.25594281532202</v>
      </c>
      <c r="M128" s="1261">
        <v>223.89425827318604</v>
      </c>
      <c r="N128" s="1261">
        <v>225.71087473629285</v>
      </c>
      <c r="O128" s="1261">
        <v>116.09591329720156</v>
      </c>
      <c r="P128" s="1261">
        <v>127.84463044057198</v>
      </c>
      <c r="Q128" s="1261">
        <v>120.42358403667808</v>
      </c>
      <c r="R128" s="1261">
        <v>160.24730727262371</v>
      </c>
      <c r="S128" s="1261">
        <v>192.07788724802253</v>
      </c>
      <c r="T128" s="2752">
        <v>129.30833008367804</v>
      </c>
    </row>
    <row r="129" spans="1:20">
      <c r="A129" s="388">
        <f t="shared" si="1"/>
        <v>2013.12</v>
      </c>
      <c r="B129" s="885">
        <v>150.50608326487898</v>
      </c>
      <c r="C129" s="3525">
        <v>153.805388037912</v>
      </c>
      <c r="D129" s="2005">
        <v>150.254938473371</v>
      </c>
      <c r="E129" s="1098">
        <v>53.683516718882018</v>
      </c>
      <c r="F129" s="3528">
        <v>10.847796921093963</v>
      </c>
      <c r="G129" s="3528">
        <v>144.93179029620674</v>
      </c>
      <c r="H129" s="3528">
        <v>159.2177737693828</v>
      </c>
      <c r="I129" s="3528">
        <v>216.49870801988232</v>
      </c>
      <c r="J129" s="3529">
        <v>193.40898295245495</v>
      </c>
      <c r="K129" s="1097">
        <v>211.62956469654165</v>
      </c>
      <c r="L129" s="1261">
        <v>193.00153209565974</v>
      </c>
      <c r="M129" s="1261">
        <v>241.22799177545613</v>
      </c>
      <c r="N129" s="1261">
        <v>235.95824813884806</v>
      </c>
      <c r="O129" s="1261">
        <v>124.01080384515491</v>
      </c>
      <c r="P129" s="1261">
        <v>128.06539553331436</v>
      </c>
      <c r="Q129" s="1261">
        <v>120.11234216402583</v>
      </c>
      <c r="R129" s="1261">
        <v>161.0766815070005</v>
      </c>
      <c r="S129" s="1261">
        <v>195.05883847903846</v>
      </c>
      <c r="T129" s="2752">
        <v>134.95878035144551</v>
      </c>
    </row>
    <row r="130" spans="1:20">
      <c r="A130" s="388">
        <f t="shared" si="1"/>
        <v>2014.01</v>
      </c>
      <c r="B130" s="885">
        <v>128.80715824632841</v>
      </c>
      <c r="C130" s="3525">
        <v>150.050725456777</v>
      </c>
      <c r="D130" s="2005">
        <v>150.21732082757001</v>
      </c>
      <c r="E130" s="1098">
        <v>41.250752414153588</v>
      </c>
      <c r="F130" s="3528">
        <v>12.816370017522475</v>
      </c>
      <c r="G130" s="3528">
        <v>162.15379733523798</v>
      </c>
      <c r="H130" s="3528">
        <v>113.04098697285254</v>
      </c>
      <c r="I130" s="3528">
        <v>223.96020269197416</v>
      </c>
      <c r="J130" s="3529">
        <v>162.1153526901935</v>
      </c>
      <c r="K130" s="1097">
        <v>195.28186563767224</v>
      </c>
      <c r="L130" s="1261">
        <v>193.78690337409654</v>
      </c>
      <c r="M130" s="1261">
        <v>206.21575625770549</v>
      </c>
      <c r="N130" s="1261">
        <v>236.48307252235114</v>
      </c>
      <c r="O130" s="1261">
        <v>117.84489187857044</v>
      </c>
      <c r="P130" s="1261">
        <v>128.65510303758549</v>
      </c>
      <c r="Q130" s="1261">
        <v>119.29584653091712</v>
      </c>
      <c r="R130" s="1261">
        <v>158.55675691781624</v>
      </c>
      <c r="S130" s="1261">
        <v>194.2070065481166</v>
      </c>
      <c r="T130" s="2752">
        <v>147.09685118193195</v>
      </c>
    </row>
    <row r="131" spans="1:20">
      <c r="A131" s="388">
        <f t="shared" si="1"/>
        <v>2014.02</v>
      </c>
      <c r="B131" s="885">
        <v>124.2060009643691</v>
      </c>
      <c r="C131" s="3525">
        <v>150.49764048575599</v>
      </c>
      <c r="D131" s="2005">
        <v>149.89123955898299</v>
      </c>
      <c r="E131" s="1098">
        <v>50.979363000352762</v>
      </c>
      <c r="F131" s="3528">
        <v>16.967699548101429</v>
      </c>
      <c r="G131" s="3528">
        <v>123.94105059443361</v>
      </c>
      <c r="H131" s="3528">
        <v>115.55756113486959</v>
      </c>
      <c r="I131" s="3528">
        <v>207.92148854730354</v>
      </c>
      <c r="J131" s="3529">
        <v>157.53577503577361</v>
      </c>
      <c r="K131" s="1097">
        <v>156.10506554991764</v>
      </c>
      <c r="L131" s="1261">
        <v>191.33872435366121</v>
      </c>
      <c r="M131" s="1261">
        <v>201.61730584310763</v>
      </c>
      <c r="N131" s="1261">
        <v>223.17852986373995</v>
      </c>
      <c r="O131" s="1261">
        <v>122.97394911629955</v>
      </c>
      <c r="P131" s="1261">
        <v>129.24798488057763</v>
      </c>
      <c r="Q131" s="1261">
        <v>120.78635319252147</v>
      </c>
      <c r="R131" s="1261">
        <v>159.80036106333935</v>
      </c>
      <c r="S131" s="1261">
        <v>193.89162442953256</v>
      </c>
      <c r="T131" s="2752">
        <v>151.94578704690994</v>
      </c>
    </row>
    <row r="132" spans="1:20">
      <c r="A132" s="388">
        <f t="shared" si="1"/>
        <v>2014.03</v>
      </c>
      <c r="B132" s="885">
        <v>174.29166915988819</v>
      </c>
      <c r="C132" s="3525">
        <v>146.24933120473901</v>
      </c>
      <c r="D132" s="2005">
        <v>149.405691784309</v>
      </c>
      <c r="E132" s="1098">
        <v>247.98688163371506</v>
      </c>
      <c r="F132" s="3528">
        <v>25.941283733802479</v>
      </c>
      <c r="G132" s="3528">
        <v>139.98878507993126</v>
      </c>
      <c r="H132" s="3528">
        <v>138.5195234722045</v>
      </c>
      <c r="I132" s="3528">
        <v>203.63760535233536</v>
      </c>
      <c r="J132" s="3529">
        <v>161.3246523231326</v>
      </c>
      <c r="K132" s="1097">
        <v>162.12717330520729</v>
      </c>
      <c r="L132" s="1261">
        <v>195.82874917813587</v>
      </c>
      <c r="M132" s="1261">
        <v>252.08700577569377</v>
      </c>
      <c r="N132" s="1261">
        <v>227.01661559794252</v>
      </c>
      <c r="O132" s="1261">
        <v>126.10187559646528</v>
      </c>
      <c r="P132" s="1261">
        <v>128.8958036203023</v>
      </c>
      <c r="Q132" s="1261">
        <v>120.20223294688043</v>
      </c>
      <c r="R132" s="1261">
        <v>158.85240724643353</v>
      </c>
      <c r="S132" s="1261">
        <v>192.723818944713</v>
      </c>
      <c r="T132" s="2752">
        <v>146.00355878541214</v>
      </c>
    </row>
    <row r="133" spans="1:20">
      <c r="A133" s="388">
        <f t="shared" si="1"/>
        <v>2014.04</v>
      </c>
      <c r="B133" s="885">
        <v>197.45169487307462</v>
      </c>
      <c r="C133" s="3525">
        <v>148.761625672631</v>
      </c>
      <c r="D133" s="2005">
        <v>149.008302512179</v>
      </c>
      <c r="E133" s="1098">
        <v>347.42326842433755</v>
      </c>
      <c r="F133" s="3528">
        <v>23.524253146698875</v>
      </c>
      <c r="G133" s="3528">
        <v>150.95895160839186</v>
      </c>
      <c r="H133" s="3528">
        <v>144.76514400020966</v>
      </c>
      <c r="I133" s="3528">
        <v>168.16830315360463</v>
      </c>
      <c r="J133" s="3529">
        <v>170.27618091638394</v>
      </c>
      <c r="K133" s="1097">
        <v>168.33738861516065</v>
      </c>
      <c r="L133" s="1261">
        <v>195.88506366140234</v>
      </c>
      <c r="M133" s="1261">
        <v>267.00826884472326</v>
      </c>
      <c r="N133" s="1261">
        <v>236.99110452539912</v>
      </c>
      <c r="O133" s="1261">
        <v>122.15741840160359</v>
      </c>
      <c r="P133" s="1261">
        <v>128.56292239295612</v>
      </c>
      <c r="Q133" s="1261">
        <v>120.24737933550408</v>
      </c>
      <c r="R133" s="1261">
        <v>157.50821970123204</v>
      </c>
      <c r="S133" s="1261">
        <v>193.14537487409822</v>
      </c>
      <c r="T133" s="2752">
        <v>136.84183892650728</v>
      </c>
    </row>
    <row r="134" spans="1:20">
      <c r="A134" s="388">
        <f t="shared" si="1"/>
        <v>2014.05</v>
      </c>
      <c r="B134" s="885">
        <v>176.07006561468003</v>
      </c>
      <c r="C134" s="3525">
        <v>152.18280190858101</v>
      </c>
      <c r="D134" s="2005">
        <v>148.90514226166599</v>
      </c>
      <c r="E134" s="1098">
        <v>213.34946925480881</v>
      </c>
      <c r="F134" s="3528">
        <v>20.672427816754304</v>
      </c>
      <c r="G134" s="3528">
        <v>149.55902737229727</v>
      </c>
      <c r="H134" s="3528">
        <v>148.01089163541013</v>
      </c>
      <c r="I134" s="3528">
        <v>156.92232935558303</v>
      </c>
      <c r="J134" s="3529">
        <v>178.8422537366036</v>
      </c>
      <c r="K134" s="1097">
        <v>199.51191815710047</v>
      </c>
      <c r="L134" s="1261">
        <v>194.0684429204511</v>
      </c>
      <c r="M134" s="1261">
        <v>249.9359467895527</v>
      </c>
      <c r="N134" s="1261">
        <v>242.09465293759317</v>
      </c>
      <c r="O134" s="1261">
        <v>121.22361205145046</v>
      </c>
      <c r="P134" s="1261">
        <v>129.09797888659921</v>
      </c>
      <c r="Q134" s="1261">
        <v>120.1568668724293</v>
      </c>
      <c r="R134" s="1261">
        <v>155.41106572176972</v>
      </c>
      <c r="S134" s="1261">
        <v>188.74911841705946</v>
      </c>
      <c r="T134" s="2752">
        <v>133.80759035393675</v>
      </c>
    </row>
    <row r="135" spans="1:20">
      <c r="A135" s="388">
        <f t="shared" si="1"/>
        <v>2014.06</v>
      </c>
      <c r="B135" s="885">
        <v>144.29360850141558</v>
      </c>
      <c r="C135" s="3525">
        <v>148.877806992009</v>
      </c>
      <c r="D135" s="2005">
        <v>149.19411647145401</v>
      </c>
      <c r="E135" s="1098">
        <v>60.86474132714109</v>
      </c>
      <c r="F135" s="3528">
        <v>20.849053342267531</v>
      </c>
      <c r="G135" s="3528">
        <v>159.91428241043945</v>
      </c>
      <c r="H135" s="3528">
        <v>153.35704585932612</v>
      </c>
      <c r="I135" s="3528">
        <v>190.5430896212153</v>
      </c>
      <c r="J135" s="3529">
        <v>170.22114894259138</v>
      </c>
      <c r="K135" s="1097">
        <v>187.85878760414801</v>
      </c>
      <c r="L135" s="1261">
        <v>189.48746672371055</v>
      </c>
      <c r="M135" s="1261">
        <v>226.92677146343348</v>
      </c>
      <c r="N135" s="1261">
        <v>245.9831139172378</v>
      </c>
      <c r="O135" s="1261">
        <v>124.84263273495213</v>
      </c>
      <c r="P135" s="1261">
        <v>128.86397767100422</v>
      </c>
      <c r="Q135" s="1261">
        <v>120.7679763114664</v>
      </c>
      <c r="R135" s="1261">
        <v>156.1266502785096</v>
      </c>
      <c r="S135" s="1261">
        <v>187.88206682799341</v>
      </c>
      <c r="T135" s="2752">
        <v>133.73602603319841</v>
      </c>
    </row>
    <row r="136" spans="1:20">
      <c r="A136" s="388">
        <f t="shared" si="1"/>
        <v>2014.07</v>
      </c>
      <c r="B136" s="885">
        <v>138.59691338521466</v>
      </c>
      <c r="C136" s="3525">
        <v>147.588507065909</v>
      </c>
      <c r="D136" s="2005">
        <v>149.730924323045</v>
      </c>
      <c r="E136" s="1098">
        <v>40.454426613256246</v>
      </c>
      <c r="F136" s="3528">
        <v>22.531561022022871</v>
      </c>
      <c r="G136" s="3528">
        <v>182.84975329340844</v>
      </c>
      <c r="H136" s="3528">
        <v>145.77565815818318</v>
      </c>
      <c r="I136" s="3528">
        <v>207.29036660634981</v>
      </c>
      <c r="J136" s="3529">
        <v>184.49066277063551</v>
      </c>
      <c r="K136" s="1097">
        <v>180.81307474365298</v>
      </c>
      <c r="L136" s="1261">
        <v>192.46536848538156</v>
      </c>
      <c r="M136" s="1261">
        <v>227.73284049189647</v>
      </c>
      <c r="N136" s="1261">
        <v>237.84346063020325</v>
      </c>
      <c r="O136" s="1261">
        <v>136.95372150065893</v>
      </c>
      <c r="P136" s="1261">
        <v>129.24656494761561</v>
      </c>
      <c r="Q136" s="1261">
        <v>120.3407292529386</v>
      </c>
      <c r="R136" s="1261">
        <v>156.22503669443057</v>
      </c>
      <c r="S136" s="1261">
        <v>189.02009562547013</v>
      </c>
      <c r="T136" s="2752">
        <v>133.25113310578382</v>
      </c>
    </row>
    <row r="137" spans="1:20">
      <c r="A137" s="388">
        <f t="shared" si="1"/>
        <v>2014.08</v>
      </c>
      <c r="B137" s="885">
        <v>138.97421819428263</v>
      </c>
      <c r="C137" s="3525">
        <v>149.999139410184</v>
      </c>
      <c r="D137" s="2005">
        <v>150.250763744799</v>
      </c>
      <c r="E137" s="1098">
        <v>39.197702396496396</v>
      </c>
      <c r="F137" s="3528">
        <v>24.01131141402325</v>
      </c>
      <c r="G137" s="3528">
        <v>149.70183965629133</v>
      </c>
      <c r="H137" s="3528">
        <v>148.39094213468459</v>
      </c>
      <c r="I137" s="3528">
        <v>195.99339684362792</v>
      </c>
      <c r="J137" s="3529">
        <v>176.21620107326251</v>
      </c>
      <c r="K137" s="1097">
        <v>180.64492139155379</v>
      </c>
      <c r="L137" s="1261">
        <v>195.71953860794954</v>
      </c>
      <c r="M137" s="1261">
        <v>231.16703589684465</v>
      </c>
      <c r="N137" s="1261">
        <v>236.29332321670771</v>
      </c>
      <c r="O137" s="1261">
        <v>137.65603517021694</v>
      </c>
      <c r="P137" s="1261">
        <v>130.50241173889407</v>
      </c>
      <c r="Q137" s="1261">
        <v>120.33825395065281</v>
      </c>
      <c r="R137" s="1261">
        <v>157.84828114477023</v>
      </c>
      <c r="S137" s="1261">
        <v>190.98985671341933</v>
      </c>
      <c r="T137" s="2752">
        <v>132.78063247985682</v>
      </c>
    </row>
    <row r="138" spans="1:20">
      <c r="A138" s="388">
        <f t="shared" si="1"/>
        <v>2014.09</v>
      </c>
      <c r="B138" s="885">
        <v>140.86876864623949</v>
      </c>
      <c r="C138" s="3525">
        <v>151.92384441223999</v>
      </c>
      <c r="D138" s="2005">
        <v>150.60034152080399</v>
      </c>
      <c r="E138" s="1098">
        <v>37.718006245327082</v>
      </c>
      <c r="F138" s="3528">
        <v>18.248155897945161</v>
      </c>
      <c r="G138" s="3528">
        <v>172.27800574831983</v>
      </c>
      <c r="H138" s="3528">
        <v>153.56744207784246</v>
      </c>
      <c r="I138" s="3528">
        <v>177.19245819561118</v>
      </c>
      <c r="J138" s="3529">
        <v>177.17336162621083</v>
      </c>
      <c r="K138" s="1097">
        <v>188.90967892819083</v>
      </c>
      <c r="L138" s="1261">
        <v>191.843475967573</v>
      </c>
      <c r="M138" s="1261">
        <v>231.61973435397169</v>
      </c>
      <c r="N138" s="1261">
        <v>239.32039811735368</v>
      </c>
      <c r="O138" s="1261">
        <v>131.97830387797049</v>
      </c>
      <c r="P138" s="1261">
        <v>130.65153911009119</v>
      </c>
      <c r="Q138" s="1261">
        <v>120.41625715772658</v>
      </c>
      <c r="R138" s="1261">
        <v>157.46335137316692</v>
      </c>
      <c r="S138" s="1261">
        <v>189.21411139312733</v>
      </c>
      <c r="T138" s="2752">
        <v>132.7467082696414</v>
      </c>
    </row>
    <row r="139" spans="1:20">
      <c r="A139" s="388">
        <f t="shared" si="1"/>
        <v>2014.1</v>
      </c>
      <c r="B139" s="885">
        <v>145.1773643795228</v>
      </c>
      <c r="C139" s="3525">
        <v>151.47006851997901</v>
      </c>
      <c r="D139" s="2005">
        <v>150.83014519209601</v>
      </c>
      <c r="E139" s="1098">
        <v>37.60923386173576</v>
      </c>
      <c r="F139" s="3528">
        <v>20.75869411620284</v>
      </c>
      <c r="G139" s="3528">
        <v>170.02575597017147</v>
      </c>
      <c r="H139" s="3528">
        <v>159.8804330172398</v>
      </c>
      <c r="I139" s="3528">
        <v>171.50622676723614</v>
      </c>
      <c r="J139" s="3529">
        <v>193.80572067676655</v>
      </c>
      <c r="K139" s="1097">
        <v>199.84366207478291</v>
      </c>
      <c r="L139" s="1261">
        <v>203.36691704018352</v>
      </c>
      <c r="M139" s="1261">
        <v>241.22148608591715</v>
      </c>
      <c r="N139" s="1261">
        <v>243.89488749541789</v>
      </c>
      <c r="O139" s="1261">
        <v>125.73950908768441</v>
      </c>
      <c r="P139" s="1261">
        <v>130.7838149825285</v>
      </c>
      <c r="Q139" s="1261">
        <v>121.00757976901812</v>
      </c>
      <c r="R139" s="1261">
        <v>158.08312743684996</v>
      </c>
      <c r="S139" s="1261">
        <v>190.63387130631656</v>
      </c>
      <c r="T139" s="2752">
        <v>133.06894140667509</v>
      </c>
    </row>
    <row r="140" spans="1:20">
      <c r="A140" s="388">
        <f t="shared" si="1"/>
        <v>2014.11</v>
      </c>
      <c r="B140" s="885">
        <v>142.18309296911187</v>
      </c>
      <c r="C140" s="3525">
        <v>152.96026512646901</v>
      </c>
      <c r="D140" s="2005">
        <v>151.19596703807801</v>
      </c>
      <c r="E140" s="1098">
        <v>77.74514154301184</v>
      </c>
      <c r="F140" s="3528">
        <v>18.378814709153708</v>
      </c>
      <c r="G140" s="3528">
        <v>143.55454401787202</v>
      </c>
      <c r="H140" s="3528">
        <v>140.69096591757071</v>
      </c>
      <c r="I140" s="3528">
        <v>187.8051644194515</v>
      </c>
      <c r="J140" s="3529">
        <v>174.78726978160546</v>
      </c>
      <c r="K140" s="1097">
        <v>178.57188326998232</v>
      </c>
      <c r="L140" s="1261">
        <v>202.67697568695411</v>
      </c>
      <c r="M140" s="1261">
        <v>234.9545813143182</v>
      </c>
      <c r="N140" s="1261">
        <v>235.18385680813191</v>
      </c>
      <c r="O140" s="1261">
        <v>114.90531523526367</v>
      </c>
      <c r="P140" s="1261">
        <v>131.03828888690995</v>
      </c>
      <c r="Q140" s="1261">
        <v>121.22778872823412</v>
      </c>
      <c r="R140" s="1261">
        <v>158.75850544301451</v>
      </c>
      <c r="S140" s="1261">
        <v>193.41213278666473</v>
      </c>
      <c r="T140" s="2752">
        <v>132.5137376831477</v>
      </c>
    </row>
    <row r="141" spans="1:20">
      <c r="A141" s="388">
        <f t="shared" si="1"/>
        <v>2014.12</v>
      </c>
      <c r="B141" s="885">
        <v>146.14744092576305</v>
      </c>
      <c r="C141" s="3525">
        <v>146.55313803262101</v>
      </c>
      <c r="D141" s="2005">
        <v>151.74871385425999</v>
      </c>
      <c r="E141" s="1098">
        <v>68.417710133206739</v>
      </c>
      <c r="F141" s="3528">
        <v>19.402990884723341</v>
      </c>
      <c r="G141" s="3528">
        <v>125.43466696588739</v>
      </c>
      <c r="H141" s="3528">
        <v>139.06799610236985</v>
      </c>
      <c r="I141" s="3528">
        <v>207.19877704349264</v>
      </c>
      <c r="J141" s="3529">
        <v>189.16519023200294</v>
      </c>
      <c r="K141" s="1097">
        <v>205.44382809860514</v>
      </c>
      <c r="L141" s="1261">
        <v>196.70769334248541</v>
      </c>
      <c r="M141" s="1261">
        <v>238.89367898460546</v>
      </c>
      <c r="N141" s="1261">
        <v>238.76147438072488</v>
      </c>
      <c r="O141" s="1261">
        <v>121.27348833085361</v>
      </c>
      <c r="P141" s="1261">
        <v>130.91660113764343</v>
      </c>
      <c r="Q141" s="1261">
        <v>121.1835714713515</v>
      </c>
      <c r="R141" s="1261">
        <v>158.17225191412098</v>
      </c>
      <c r="S141" s="1261">
        <v>193.80971319962634</v>
      </c>
      <c r="T141" s="2752">
        <v>129.74712505526225</v>
      </c>
    </row>
    <row r="142" spans="1:20">
      <c r="A142" s="388">
        <f t="shared" si="1"/>
        <v>2015.01</v>
      </c>
      <c r="B142" s="885">
        <v>122.36228124025689</v>
      </c>
      <c r="C142" s="3525">
        <v>144.31965505661799</v>
      </c>
      <c r="D142" s="2005">
        <v>152.73273550434601</v>
      </c>
      <c r="E142" s="1098">
        <v>34.808931727304419</v>
      </c>
      <c r="F142" s="3528">
        <v>27.046213322473484</v>
      </c>
      <c r="G142" s="3528">
        <v>131.21960174886499</v>
      </c>
      <c r="H142" s="3528">
        <v>108.22235164504903</v>
      </c>
      <c r="I142" s="3528">
        <v>214.68526467860121</v>
      </c>
      <c r="J142" s="3529">
        <v>177.53843650395805</v>
      </c>
      <c r="K142" s="1097">
        <v>175.5506133916474</v>
      </c>
      <c r="L142" s="1261">
        <v>195.75549776377133</v>
      </c>
      <c r="M142" s="1261">
        <v>199.2644690123208</v>
      </c>
      <c r="N142" s="1261">
        <v>233.25626582737223</v>
      </c>
      <c r="O142" s="1261">
        <v>116.72629100008864</v>
      </c>
      <c r="P142" s="1261">
        <v>130.30679841608483</v>
      </c>
      <c r="Q142" s="1261">
        <v>122.015776199321</v>
      </c>
      <c r="R142" s="1261">
        <v>154.83663699964001</v>
      </c>
      <c r="S142" s="1261">
        <v>191.24563523931246</v>
      </c>
      <c r="T142" s="2752">
        <v>127.99491717116452</v>
      </c>
    </row>
    <row r="143" spans="1:20">
      <c r="A143" s="388">
        <f t="shared" si="1"/>
        <v>2015.02</v>
      </c>
      <c r="B143" s="885">
        <v>126.16682125403985</v>
      </c>
      <c r="C143" s="3525">
        <v>152.39042073826801</v>
      </c>
      <c r="D143" s="2005">
        <v>154.383416500419</v>
      </c>
      <c r="E143" s="1098">
        <v>47.84845738661005</v>
      </c>
      <c r="F143" s="3528">
        <v>40.074855643057703</v>
      </c>
      <c r="G143" s="3528">
        <v>146.52685216775356</v>
      </c>
      <c r="H143" s="3528">
        <v>120.43773946511844</v>
      </c>
      <c r="I143" s="3528">
        <v>214.74901944960794</v>
      </c>
      <c r="J143" s="3529">
        <v>163.79666697573825</v>
      </c>
      <c r="K143" s="1097">
        <v>160.65218840789407</v>
      </c>
      <c r="L143" s="1261">
        <v>195.40309969166486</v>
      </c>
      <c r="M143" s="1261">
        <v>207.71726712871788</v>
      </c>
      <c r="N143" s="1261">
        <v>226.92396782299622</v>
      </c>
      <c r="O143" s="1261">
        <v>120.9306476669085</v>
      </c>
      <c r="P143" s="1261">
        <v>132.14461564945185</v>
      </c>
      <c r="Q143" s="1261">
        <v>122.09776276212219</v>
      </c>
      <c r="R143" s="1261">
        <v>155.33269898410683</v>
      </c>
      <c r="S143" s="1261">
        <v>193.78765915534899</v>
      </c>
      <c r="T143" s="2752">
        <v>125.00121407968524</v>
      </c>
    </row>
    <row r="144" spans="1:20">
      <c r="A144" s="388">
        <f t="shared" si="1"/>
        <v>2015.03</v>
      </c>
      <c r="B144" s="885">
        <v>189.97554145022667</v>
      </c>
      <c r="C144" s="3525">
        <v>158.406236060163</v>
      </c>
      <c r="D144" s="2005">
        <v>156.41305514675199</v>
      </c>
      <c r="E144" s="1098">
        <v>291.2527867869411</v>
      </c>
      <c r="F144" s="3528">
        <v>54.215455759145435</v>
      </c>
      <c r="G144" s="3528">
        <v>137.39151388153962</v>
      </c>
      <c r="H144" s="3528">
        <v>145.49690766115268</v>
      </c>
      <c r="I144" s="3528">
        <v>233.44076705689946</v>
      </c>
      <c r="J144" s="3529">
        <v>184.72608065954878</v>
      </c>
      <c r="K144" s="1097">
        <v>178.9723535075986</v>
      </c>
      <c r="L144" s="1261">
        <v>194.7592486473321</v>
      </c>
      <c r="M144" s="1261">
        <v>265.6852514111124</v>
      </c>
      <c r="N144" s="1261">
        <v>234.15325885683558</v>
      </c>
      <c r="O144" s="1261">
        <v>127.4301570144337</v>
      </c>
      <c r="P144" s="1261">
        <v>131.92178850735843</v>
      </c>
      <c r="Q144" s="1261">
        <v>122.11568100426842</v>
      </c>
      <c r="R144" s="1261">
        <v>155.26125942230766</v>
      </c>
      <c r="S144" s="1261">
        <v>193.8451193630263</v>
      </c>
      <c r="T144" s="2752">
        <v>117.75322167120937</v>
      </c>
    </row>
    <row r="145" spans="1:20">
      <c r="A145" s="388">
        <f t="shared" si="1"/>
        <v>2015.04</v>
      </c>
      <c r="B145" s="885">
        <v>221.39396672723132</v>
      </c>
      <c r="C145" s="3525">
        <v>168.41445099415699</v>
      </c>
      <c r="D145" s="2005">
        <v>158.15817502158001</v>
      </c>
      <c r="E145" s="1098">
        <v>415.68507224635096</v>
      </c>
      <c r="F145" s="3528">
        <v>23.548805526480947</v>
      </c>
      <c r="G145" s="3528">
        <v>167.02104453226869</v>
      </c>
      <c r="H145" s="3528">
        <v>159.55380768080926</v>
      </c>
      <c r="I145" s="3528">
        <v>228.84767734411827</v>
      </c>
      <c r="J145" s="3529">
        <v>196.22761044013782</v>
      </c>
      <c r="K145" s="1097">
        <v>184.903744849465</v>
      </c>
      <c r="L145" s="1261">
        <v>191.40670744415502</v>
      </c>
      <c r="M145" s="1261">
        <v>288.46064955120039</v>
      </c>
      <c r="N145" s="1261">
        <v>240.52687374764025</v>
      </c>
      <c r="O145" s="1261">
        <v>125.88485993430348</v>
      </c>
      <c r="P145" s="1261">
        <v>131.66086010158972</v>
      </c>
      <c r="Q145" s="1261">
        <v>123.80269032217274</v>
      </c>
      <c r="R145" s="1261">
        <v>154.84528699246985</v>
      </c>
      <c r="S145" s="1261">
        <v>191.59642196031911</v>
      </c>
      <c r="T145" s="2752">
        <v>114.82435390588958</v>
      </c>
    </row>
    <row r="146" spans="1:20">
      <c r="A146" s="388">
        <f t="shared" si="1"/>
        <v>2015.05</v>
      </c>
      <c r="B146" s="885">
        <v>180.43254788890974</v>
      </c>
      <c r="C146" s="3525">
        <v>158.98379272299599</v>
      </c>
      <c r="D146" s="2005">
        <v>159.23565557792901</v>
      </c>
      <c r="E146" s="1098">
        <v>250.42560118233274</v>
      </c>
      <c r="F146" s="3528">
        <v>40.160318615516154</v>
      </c>
      <c r="G146" s="3528">
        <v>149.43256152839183</v>
      </c>
      <c r="H146" s="3528">
        <v>136.20737029037139</v>
      </c>
      <c r="I146" s="3528">
        <v>222.94497045533441</v>
      </c>
      <c r="J146" s="3529">
        <v>193.58028289274699</v>
      </c>
      <c r="K146" s="1097">
        <v>188.36638582664062</v>
      </c>
      <c r="L146" s="1261">
        <v>196.10402698258099</v>
      </c>
      <c r="M146" s="1261">
        <v>257.6838494657228</v>
      </c>
      <c r="N146" s="1261">
        <v>239.83099039641155</v>
      </c>
      <c r="O146" s="1261">
        <v>123.12028729417149</v>
      </c>
      <c r="P146" s="1261">
        <v>133.89958877321527</v>
      </c>
      <c r="Q146" s="1261">
        <v>123.73403925605942</v>
      </c>
      <c r="R146" s="1261">
        <v>155.42471456266099</v>
      </c>
      <c r="S146" s="1261">
        <v>194.41598091758016</v>
      </c>
      <c r="T146" s="2752">
        <v>118.48591639716888</v>
      </c>
    </row>
    <row r="147" spans="1:20">
      <c r="A147" s="388">
        <f t="shared" si="1"/>
        <v>2015.06</v>
      </c>
      <c r="B147" s="885">
        <v>159.36450326386711</v>
      </c>
      <c r="C147" s="3525">
        <v>162.741259657608</v>
      </c>
      <c r="D147" s="2005">
        <v>159.50193731216399</v>
      </c>
      <c r="E147" s="1098">
        <v>62.670849276505649</v>
      </c>
      <c r="F147" s="3528">
        <v>29.584745350552922</v>
      </c>
      <c r="G147" s="3528">
        <v>172.9800668550626</v>
      </c>
      <c r="H147" s="3528">
        <v>179.67513787244357</v>
      </c>
      <c r="I147" s="3528">
        <v>223.12462070413409</v>
      </c>
      <c r="J147" s="3529">
        <v>192.47065845967097</v>
      </c>
      <c r="K147" s="1097">
        <v>208.75414722307181</v>
      </c>
      <c r="L147" s="1261">
        <v>193.31846968138811</v>
      </c>
      <c r="M147" s="1261">
        <v>255.02035878562185</v>
      </c>
      <c r="N147" s="1261">
        <v>251.84614886158818</v>
      </c>
      <c r="O147" s="1261">
        <v>129.61089042567994</v>
      </c>
      <c r="P147" s="1261">
        <v>136.53341761760197</v>
      </c>
      <c r="Q147" s="1261">
        <v>124.05257729911766</v>
      </c>
      <c r="R147" s="1261">
        <v>156.11920432381925</v>
      </c>
      <c r="S147" s="1261">
        <v>191.66490528997042</v>
      </c>
      <c r="T147" s="2752">
        <v>120.17837499228547</v>
      </c>
    </row>
    <row r="148" spans="1:20">
      <c r="A148" s="388">
        <f t="shared" si="1"/>
        <v>2015.07</v>
      </c>
      <c r="B148" s="885">
        <v>148.80897399180233</v>
      </c>
      <c r="C148" s="3525">
        <v>157.892753872349</v>
      </c>
      <c r="D148" s="2005">
        <v>158.94842705498499</v>
      </c>
      <c r="E148" s="1098">
        <v>34.856121877401876</v>
      </c>
      <c r="F148" s="3528">
        <v>36.943482940644117</v>
      </c>
      <c r="G148" s="3528">
        <v>175.8744220925073</v>
      </c>
      <c r="H148" s="3528">
        <v>165.64148656614324</v>
      </c>
      <c r="I148" s="3528">
        <v>219.49719820961059</v>
      </c>
      <c r="J148" s="3529">
        <v>197.28837360214598</v>
      </c>
      <c r="K148" s="1097">
        <v>198.04539898309218</v>
      </c>
      <c r="L148" s="1261">
        <v>197.31708762741502</v>
      </c>
      <c r="M148" s="1261">
        <v>251.02764652075496</v>
      </c>
      <c r="N148" s="1261">
        <v>244.91138942851654</v>
      </c>
      <c r="O148" s="1261">
        <v>138.79932745143657</v>
      </c>
      <c r="P148" s="1261">
        <v>137.61163215396246</v>
      </c>
      <c r="Q148" s="1261">
        <v>124.8757821510341</v>
      </c>
      <c r="R148" s="1261">
        <v>158.41321030999234</v>
      </c>
      <c r="S148" s="1261">
        <v>194.81906977688183</v>
      </c>
      <c r="T148" s="2752">
        <v>120.78708117045305</v>
      </c>
    </row>
    <row r="149" spans="1:20">
      <c r="A149" s="388">
        <f t="shared" si="1"/>
        <v>2015.08</v>
      </c>
      <c r="B149" s="885">
        <v>144.43265435584627</v>
      </c>
      <c r="C149" s="3525">
        <v>155.17034708461199</v>
      </c>
      <c r="D149" s="2005">
        <v>157.90594914506201</v>
      </c>
      <c r="E149" s="1098">
        <v>35.007854945893456</v>
      </c>
      <c r="F149" s="3528">
        <v>27.758913467796752</v>
      </c>
      <c r="G149" s="3528">
        <v>135.06202627297841</v>
      </c>
      <c r="H149" s="3528">
        <v>162.12811180329231</v>
      </c>
      <c r="I149" s="3528">
        <v>200.02806082695784</v>
      </c>
      <c r="J149" s="3529">
        <v>178.0006831671061</v>
      </c>
      <c r="K149" s="1097">
        <v>188.12281102812767</v>
      </c>
      <c r="L149" s="1261">
        <v>198.25819838712181</v>
      </c>
      <c r="M149" s="1261">
        <v>249.29074271057914</v>
      </c>
      <c r="N149" s="1261">
        <v>240.95979980153524</v>
      </c>
      <c r="O149" s="1261">
        <v>132.67132387351361</v>
      </c>
      <c r="P149" s="1261">
        <v>137.52053856034235</v>
      </c>
      <c r="Q149" s="1261">
        <v>125.04578885102168</v>
      </c>
      <c r="R149" s="1261">
        <v>158.01757481667937</v>
      </c>
      <c r="S149" s="1261">
        <v>194.89810603460745</v>
      </c>
      <c r="T149" s="2752">
        <v>120.87364421653392</v>
      </c>
    </row>
    <row r="150" spans="1:20">
      <c r="A150" s="388">
        <f t="shared" si="1"/>
        <v>2015.09</v>
      </c>
      <c r="B150" s="885">
        <v>146.02048812327118</v>
      </c>
      <c r="C150" s="3525">
        <v>156.91592215719001</v>
      </c>
      <c r="D150" s="2005">
        <v>156.76690098556301</v>
      </c>
      <c r="E150" s="1098">
        <v>32.750793816513188</v>
      </c>
      <c r="F150" s="3528">
        <v>31.571994248598095</v>
      </c>
      <c r="G150" s="3528">
        <v>176.79315989425911</v>
      </c>
      <c r="H150" s="3528">
        <v>164.41509709793996</v>
      </c>
      <c r="I150" s="3528">
        <v>204.09068395860567</v>
      </c>
      <c r="J150" s="3529">
        <v>191.17867231912896</v>
      </c>
      <c r="K150" s="1097">
        <v>194.39117271359757</v>
      </c>
      <c r="L150" s="1261">
        <v>197.94733243682572</v>
      </c>
      <c r="M150" s="1261">
        <v>247.96410398663409</v>
      </c>
      <c r="N150" s="1261">
        <v>237.30005560361298</v>
      </c>
      <c r="O150" s="1261">
        <v>131.68775830355227</v>
      </c>
      <c r="P150" s="1261">
        <v>137.38830019951592</v>
      </c>
      <c r="Q150" s="1261">
        <v>125.28609507439113</v>
      </c>
      <c r="R150" s="1261">
        <v>158.53295492463408</v>
      </c>
      <c r="S150" s="1261">
        <v>195.9493612936358</v>
      </c>
      <c r="T150" s="2752">
        <v>120.45827372171412</v>
      </c>
    </row>
    <row r="151" spans="1:20">
      <c r="A151" s="388">
        <f t="shared" si="1"/>
        <v>2015.1</v>
      </c>
      <c r="B151" s="885">
        <v>151.18631970792973</v>
      </c>
      <c r="C151" s="3525">
        <v>159.26168876464899</v>
      </c>
      <c r="D151" s="2005">
        <v>155.87970985053499</v>
      </c>
      <c r="E151" s="1098">
        <v>32.117785042065037</v>
      </c>
      <c r="F151" s="3528">
        <v>32.327425880150614</v>
      </c>
      <c r="G151" s="3528">
        <v>165.91874840555306</v>
      </c>
      <c r="H151" s="3528">
        <v>177.44250792609211</v>
      </c>
      <c r="I151" s="3528">
        <v>203.78437648147471</v>
      </c>
      <c r="J151" s="3529">
        <v>187.79504209767623</v>
      </c>
      <c r="K151" s="1097">
        <v>205.54269664710426</v>
      </c>
      <c r="L151" s="1261">
        <v>199.6008369317272</v>
      </c>
      <c r="M151" s="1261">
        <v>258.74651677566828</v>
      </c>
      <c r="N151" s="1261">
        <v>238.71187902756984</v>
      </c>
      <c r="O151" s="1261">
        <v>122.16177016719172</v>
      </c>
      <c r="P151" s="1261">
        <v>137.1305409935664</v>
      </c>
      <c r="Q151" s="1261">
        <v>125.46846808004706</v>
      </c>
      <c r="R151" s="1261">
        <v>159.28166365695688</v>
      </c>
      <c r="S151" s="1261">
        <v>199.03334808457373</v>
      </c>
      <c r="T151" s="2752">
        <v>119.75996028582954</v>
      </c>
    </row>
    <row r="152" spans="1:20">
      <c r="A152" s="388">
        <f t="shared" si="1"/>
        <v>2015.11</v>
      </c>
      <c r="B152" s="885">
        <v>145.11880008781671</v>
      </c>
      <c r="C152" s="3525">
        <v>153.00375400019701</v>
      </c>
      <c r="D152" s="2005">
        <v>155.21487882151899</v>
      </c>
      <c r="E152" s="1098">
        <v>63.803841969820951</v>
      </c>
      <c r="F152" s="3528">
        <v>34.588320641932967</v>
      </c>
      <c r="G152" s="3528">
        <v>151.48765782644017</v>
      </c>
      <c r="H152" s="3528">
        <v>146.13115879356516</v>
      </c>
      <c r="I152" s="3528">
        <v>185.20249284010586</v>
      </c>
      <c r="J152" s="3529">
        <v>177.09600234035173</v>
      </c>
      <c r="K152" s="1097">
        <v>195.26154089928832</v>
      </c>
      <c r="L152" s="1261">
        <v>202.31634087962803</v>
      </c>
      <c r="M152" s="1261">
        <v>246.75965856610193</v>
      </c>
      <c r="N152" s="1261">
        <v>236.81677540948854</v>
      </c>
      <c r="O152" s="1261">
        <v>117.96855488852975</v>
      </c>
      <c r="P152" s="1261">
        <v>136.85518327938101</v>
      </c>
      <c r="Q152" s="1261">
        <v>125.35464021000405</v>
      </c>
      <c r="R152" s="1261">
        <v>157.48482999387912</v>
      </c>
      <c r="S152" s="1261">
        <v>193.94082962826005</v>
      </c>
      <c r="T152" s="2752">
        <v>120.87055296100017</v>
      </c>
    </row>
    <row r="153" spans="1:20">
      <c r="A153" s="388">
        <f t="shared" si="1"/>
        <v>2015.12</v>
      </c>
      <c r="B153" s="885">
        <v>152.59483683421436</v>
      </c>
      <c r="C153" s="3525">
        <v>152.25756507607599</v>
      </c>
      <c r="D153" s="2005">
        <v>154.551117410655</v>
      </c>
      <c r="E153" s="1098">
        <v>55.015030359215487</v>
      </c>
      <c r="F153" s="3528">
        <v>31.781425488798533</v>
      </c>
      <c r="G153" s="3528">
        <v>113.74655233079018</v>
      </c>
      <c r="H153" s="3528">
        <v>154.75402332711337</v>
      </c>
      <c r="I153" s="3528">
        <v>211.40012900289403</v>
      </c>
      <c r="J153" s="3529">
        <v>203.14365405696813</v>
      </c>
      <c r="K153" s="1097">
        <v>216.27279190034682</v>
      </c>
      <c r="L153" s="1261">
        <v>201.53796062375974</v>
      </c>
      <c r="M153" s="1261">
        <v>267.9204791784498</v>
      </c>
      <c r="N153" s="1261">
        <v>242.15015292719625</v>
      </c>
      <c r="O153" s="1261">
        <v>123.03895204331724</v>
      </c>
      <c r="P153" s="1261">
        <v>139.75766388288415</v>
      </c>
      <c r="Q153" s="1261">
        <v>125.38829689320612</v>
      </c>
      <c r="R153" s="1261">
        <v>158.56043066195713</v>
      </c>
      <c r="S153" s="1261">
        <v>197.89103883459245</v>
      </c>
      <c r="T153" s="2752">
        <v>121.48848586187268</v>
      </c>
    </row>
    <row r="154" spans="1:20">
      <c r="A154" s="388">
        <f t="shared" si="1"/>
        <v>2016.01</v>
      </c>
      <c r="B154" s="885">
        <v>130.17934677320113</v>
      </c>
      <c r="C154" s="3525">
        <v>155.413337364375</v>
      </c>
      <c r="D154" s="2005">
        <v>153.57556601586199</v>
      </c>
      <c r="E154" s="1098">
        <v>35.617731559725819</v>
      </c>
      <c r="F154" s="3528">
        <v>14.961621881371995</v>
      </c>
      <c r="G154" s="3528">
        <v>148.53706993306906</v>
      </c>
      <c r="H154" s="3528">
        <v>129.3264394513487</v>
      </c>
      <c r="I154" s="3528">
        <v>246.73915898422533</v>
      </c>
      <c r="J154" s="3529">
        <v>156.29884862667279</v>
      </c>
      <c r="K154" s="1097">
        <v>172.88533191239139</v>
      </c>
      <c r="L154" s="1261">
        <v>200.31793508452859</v>
      </c>
      <c r="M154" s="1261">
        <v>228.06423520407287</v>
      </c>
      <c r="N154" s="1261">
        <v>245.17425434082116</v>
      </c>
      <c r="O154" s="1261">
        <v>115.16225210527416</v>
      </c>
      <c r="P154" s="1261">
        <v>138.18517643049998</v>
      </c>
      <c r="Q154" s="1261">
        <v>125.11274804054186</v>
      </c>
      <c r="R154" s="1261">
        <v>165.15417127418107</v>
      </c>
      <c r="S154" s="1261">
        <v>198.24356249195193</v>
      </c>
      <c r="T154" s="2752">
        <v>125.64937851414342</v>
      </c>
    </row>
    <row r="155" spans="1:20">
      <c r="A155" s="388">
        <f t="shared" si="1"/>
        <v>2016.02</v>
      </c>
      <c r="B155" s="885">
        <v>133.51329451777912</v>
      </c>
      <c r="C155" s="3525">
        <v>154.949307791058</v>
      </c>
      <c r="D155" s="2005">
        <v>152.20832126388399</v>
      </c>
      <c r="E155" s="1098">
        <v>48.015027468840167</v>
      </c>
      <c r="F155" s="3528">
        <v>37.498925635321612</v>
      </c>
      <c r="G155" s="3528">
        <v>134.53730985195679</v>
      </c>
      <c r="H155" s="3528">
        <v>136.70530531096497</v>
      </c>
      <c r="I155" s="3528">
        <v>225.73985775721167</v>
      </c>
      <c r="J155" s="3529">
        <v>157.26334988940877</v>
      </c>
      <c r="K155" s="1097">
        <v>163.33293205365649</v>
      </c>
      <c r="L155" s="1261">
        <v>195.52796357936307</v>
      </c>
      <c r="M155" s="1261">
        <v>232.50332902244315</v>
      </c>
      <c r="N155" s="1261">
        <v>240.60462900685548</v>
      </c>
      <c r="O155" s="1261">
        <v>123.12974399836391</v>
      </c>
      <c r="P155" s="1261">
        <v>138.05610441565429</v>
      </c>
      <c r="Q155" s="1261">
        <v>125.02101053591267</v>
      </c>
      <c r="R155" s="1261">
        <v>164.42073086681523</v>
      </c>
      <c r="S155" s="1261">
        <v>192.71322648584106</v>
      </c>
      <c r="T155" s="2752">
        <v>124.49406486142104</v>
      </c>
    </row>
    <row r="156" spans="1:20">
      <c r="A156" s="388">
        <f t="shared" si="1"/>
        <v>2016.03</v>
      </c>
      <c r="B156" s="885">
        <v>182.62854533302971</v>
      </c>
      <c r="C156" s="3525">
        <v>151.37386807969</v>
      </c>
      <c r="D156" s="2005">
        <v>150.95608635359201</v>
      </c>
      <c r="E156" s="1098">
        <v>213.54681741307081</v>
      </c>
      <c r="F156" s="3528">
        <v>37.49311197653342</v>
      </c>
      <c r="G156" s="3528">
        <v>148.07662286229794</v>
      </c>
      <c r="H156" s="3528">
        <v>169.13034830940254</v>
      </c>
      <c r="I156" s="3528">
        <v>198.84823443856831</v>
      </c>
      <c r="J156" s="3529">
        <v>175.3357279976284</v>
      </c>
      <c r="K156" s="1097">
        <v>181.17079539041242</v>
      </c>
      <c r="L156" s="1261">
        <v>196.03968337307114</v>
      </c>
      <c r="M156" s="1261">
        <v>284.45555389956797</v>
      </c>
      <c r="N156" s="1261">
        <v>249.07157723363946</v>
      </c>
      <c r="O156" s="1261">
        <v>128.0845856128314</v>
      </c>
      <c r="P156" s="1261">
        <v>138.69106282456346</v>
      </c>
      <c r="Q156" s="1261">
        <v>125.06195491437073</v>
      </c>
      <c r="R156" s="1261">
        <v>163.57349875296515</v>
      </c>
      <c r="S156" s="1261">
        <v>194.77218222189583</v>
      </c>
      <c r="T156" s="2752">
        <v>116.16005737535065</v>
      </c>
    </row>
    <row r="157" spans="1:20">
      <c r="A157" s="388">
        <f t="shared" si="1"/>
        <v>2016.04</v>
      </c>
      <c r="B157" s="885">
        <v>188.76614736700404</v>
      </c>
      <c r="C157" s="3525">
        <v>146.244602546772</v>
      </c>
      <c r="D157" s="2005">
        <v>150.36256590363499</v>
      </c>
      <c r="E157" s="1098">
        <v>290.75400153807624</v>
      </c>
      <c r="F157" s="3528">
        <v>22.090382296898404</v>
      </c>
      <c r="G157" s="3528">
        <v>110.07347105115686</v>
      </c>
      <c r="H157" s="3528">
        <v>145.43588065274514</v>
      </c>
      <c r="I157" s="3528">
        <v>218.66540878203591</v>
      </c>
      <c r="J157" s="3529">
        <v>161.3036034748107</v>
      </c>
      <c r="K157" s="1097">
        <v>171.19360151869239</v>
      </c>
      <c r="L157" s="1261">
        <v>194.94255384249243</v>
      </c>
      <c r="M157" s="1261">
        <v>281.48908543260558</v>
      </c>
      <c r="N157" s="1261">
        <v>247.52931820001601</v>
      </c>
      <c r="O157" s="1261">
        <v>122.81318801467228</v>
      </c>
      <c r="P157" s="1261">
        <v>138.59962662294842</v>
      </c>
      <c r="Q157" s="1261">
        <v>125.0828269103954</v>
      </c>
      <c r="R157" s="1261">
        <v>165.2407864545082</v>
      </c>
      <c r="S157" s="1261">
        <v>194.61378218771046</v>
      </c>
      <c r="T157" s="2752">
        <v>108.88655413624596</v>
      </c>
    </row>
    <row r="158" spans="1:20">
      <c r="A158" s="388">
        <f t="shared" si="1"/>
        <v>2016.05</v>
      </c>
      <c r="B158" s="885">
        <v>168.15982091238624</v>
      </c>
      <c r="C158" s="3525">
        <v>147.34718373259901</v>
      </c>
      <c r="D158" s="2005">
        <v>150.59491008136999</v>
      </c>
      <c r="E158" s="1098">
        <v>180.13028403248609</v>
      </c>
      <c r="F158" s="3528">
        <v>55.797833459188581</v>
      </c>
      <c r="G158" s="3528">
        <v>147.74730953973358</v>
      </c>
      <c r="H158" s="3528">
        <v>145.24651687929781</v>
      </c>
      <c r="I158" s="3528">
        <v>221.60298157000352</v>
      </c>
      <c r="J158" s="3529">
        <v>184.55773198412248</v>
      </c>
      <c r="K158" s="1097">
        <v>181.26473930797459</v>
      </c>
      <c r="L158" s="1261">
        <v>188.60907715729189</v>
      </c>
      <c r="M158" s="1261">
        <v>265.72228909945977</v>
      </c>
      <c r="N158" s="1261">
        <v>246.00650408742473</v>
      </c>
      <c r="O158" s="1261">
        <v>122.98290948554974</v>
      </c>
      <c r="P158" s="1261">
        <v>138.75074136235236</v>
      </c>
      <c r="Q158" s="1261">
        <v>125.9323084810551</v>
      </c>
      <c r="R158" s="1261">
        <v>164.19124788131592</v>
      </c>
      <c r="S158" s="1261">
        <v>191.01121315437456</v>
      </c>
      <c r="T158" s="2752">
        <v>109.10891274056671</v>
      </c>
    </row>
    <row r="159" spans="1:20">
      <c r="A159" s="388">
        <f t="shared" si="1"/>
        <v>2016.06</v>
      </c>
      <c r="B159" s="885">
        <v>147.27655480608007</v>
      </c>
      <c r="C159" s="3525">
        <v>150.991869581072</v>
      </c>
      <c r="D159" s="2005">
        <v>151.612392602233</v>
      </c>
      <c r="E159" s="1098">
        <v>52.184760399882698</v>
      </c>
      <c r="F159" s="3528">
        <v>66.882012100656979</v>
      </c>
      <c r="G159" s="3528">
        <v>152.44939108257634</v>
      </c>
      <c r="H159" s="3528">
        <v>160.52219977605492</v>
      </c>
      <c r="I159" s="3528">
        <v>234.92559576130839</v>
      </c>
      <c r="J159" s="3529">
        <v>188.4092755364008</v>
      </c>
      <c r="K159" s="1097">
        <v>186.09159255566348</v>
      </c>
      <c r="L159" s="1261">
        <v>192.47509074585838</v>
      </c>
      <c r="M159" s="1261">
        <v>250.37103899368907</v>
      </c>
      <c r="N159" s="1261">
        <v>248.1929894552969</v>
      </c>
      <c r="O159" s="1261">
        <v>123.52944261196353</v>
      </c>
      <c r="P159" s="1261">
        <v>138.64363052892577</v>
      </c>
      <c r="Q159" s="1261">
        <v>126.0771430540581</v>
      </c>
      <c r="R159" s="1261">
        <v>164.02533731039131</v>
      </c>
      <c r="S159" s="1261">
        <v>190.8967654479967</v>
      </c>
      <c r="T159" s="2752">
        <v>114.37296962285295</v>
      </c>
    </row>
    <row r="160" spans="1:20">
      <c r="A160" s="388">
        <f t="shared" si="1"/>
        <v>2016.07</v>
      </c>
      <c r="B160" s="885">
        <v>142.96259700684953</v>
      </c>
      <c r="C160" s="3525">
        <v>154.55171092572499</v>
      </c>
      <c r="D160" s="2005">
        <v>153.46505025931401</v>
      </c>
      <c r="E160" s="1098">
        <v>33.335934002943269</v>
      </c>
      <c r="F160" s="3528">
        <v>61.499860736689186</v>
      </c>
      <c r="G160" s="3528">
        <v>162.84346607201826</v>
      </c>
      <c r="H160" s="3528">
        <v>159.86036961529081</v>
      </c>
      <c r="I160" s="3528">
        <v>230.32798713232677</v>
      </c>
      <c r="J160" s="3529">
        <v>177.73654292182499</v>
      </c>
      <c r="K160" s="1097">
        <v>182.88476902210971</v>
      </c>
      <c r="L160" s="1261">
        <v>199.77358149291877</v>
      </c>
      <c r="M160" s="1261">
        <v>247.94493050628461</v>
      </c>
      <c r="N160" s="1261">
        <v>246.32372425327512</v>
      </c>
      <c r="O160" s="1261">
        <v>130.10673961055934</v>
      </c>
      <c r="P160" s="1261">
        <v>138.43862804767841</v>
      </c>
      <c r="Q160" s="1261">
        <v>126.03337727652064</v>
      </c>
      <c r="R160" s="1261">
        <v>164.80245341389303</v>
      </c>
      <c r="S160" s="1261">
        <v>192.76870240991812</v>
      </c>
      <c r="T160" s="2752">
        <v>123.12216996109429</v>
      </c>
    </row>
    <row r="161" spans="1:20">
      <c r="A161" s="388">
        <f t="shared" si="1"/>
        <v>2016.08</v>
      </c>
      <c r="B161" s="885">
        <v>151.47776505539164</v>
      </c>
      <c r="C161" s="3525">
        <v>158.40569222239299</v>
      </c>
      <c r="D161" s="2005">
        <v>155.66082204027899</v>
      </c>
      <c r="E161" s="1098">
        <v>37.004137715456707</v>
      </c>
      <c r="F161" s="3528">
        <v>41.500689266186626</v>
      </c>
      <c r="G161" s="3528">
        <v>185.98709367846581</v>
      </c>
      <c r="H161" s="3528">
        <v>174.47641564895994</v>
      </c>
      <c r="I161" s="3528">
        <v>202.09017765426819</v>
      </c>
      <c r="J161" s="3529">
        <v>195.47233141929178</v>
      </c>
      <c r="K161" s="1097">
        <v>196.13206880295979</v>
      </c>
      <c r="L161" s="1261">
        <v>196.8185494683346</v>
      </c>
      <c r="M161" s="1261">
        <v>259.89858711918873</v>
      </c>
      <c r="N161" s="1261">
        <v>253.52967033548936</v>
      </c>
      <c r="O161" s="1261">
        <v>134.72658349736824</v>
      </c>
      <c r="P161" s="1261">
        <v>138.14817819158839</v>
      </c>
      <c r="Q161" s="1261">
        <v>124.73574104757462</v>
      </c>
      <c r="R161" s="1261">
        <v>164.76303726204068</v>
      </c>
      <c r="S161" s="1261">
        <v>189.41541610046227</v>
      </c>
      <c r="T161" s="2752">
        <v>127.76871601568824</v>
      </c>
    </row>
    <row r="162" spans="1:20">
      <c r="A162" s="388">
        <f t="shared" si="1"/>
        <v>2016.09</v>
      </c>
      <c r="B162" s="885">
        <v>147.23877912314325</v>
      </c>
      <c r="C162" s="3525">
        <v>157.607686902175</v>
      </c>
      <c r="D162" s="2005">
        <v>157.43235266205801</v>
      </c>
      <c r="E162" s="1098">
        <v>33.119718501920943</v>
      </c>
      <c r="F162" s="3528">
        <v>52.543791131008803</v>
      </c>
      <c r="G162" s="3528">
        <v>186.93263702079886</v>
      </c>
      <c r="H162" s="3528">
        <v>167.62229508879872</v>
      </c>
      <c r="I162" s="3528">
        <v>197.74096163451856</v>
      </c>
      <c r="J162" s="3529">
        <v>198.71992065614862</v>
      </c>
      <c r="K162" s="1097">
        <v>194.20322695355938</v>
      </c>
      <c r="L162" s="1261">
        <v>202.86919264818098</v>
      </c>
      <c r="M162" s="1261">
        <v>247.90270734122186</v>
      </c>
      <c r="N162" s="1261">
        <v>243.75601652557913</v>
      </c>
      <c r="O162" s="1261">
        <v>129.2758922661105</v>
      </c>
      <c r="P162" s="1261">
        <v>138.51877934421913</v>
      </c>
      <c r="Q162" s="1261">
        <v>124.81053475450912</v>
      </c>
      <c r="R162" s="1261">
        <v>165.59508575390007</v>
      </c>
      <c r="S162" s="1261">
        <v>191.73831848672674</v>
      </c>
      <c r="T162" s="2752">
        <v>130.69631655467484</v>
      </c>
    </row>
    <row r="163" spans="1:20">
      <c r="A163" s="388">
        <f t="shared" si="1"/>
        <v>2016.1</v>
      </c>
      <c r="B163" s="885">
        <v>146.56291311631836</v>
      </c>
      <c r="C163" s="3525">
        <v>156.203506425369</v>
      </c>
      <c r="D163" s="2005">
        <v>158.49595088783499</v>
      </c>
      <c r="E163" s="1098">
        <v>33.367676103300845</v>
      </c>
      <c r="F163" s="3528">
        <v>48.847914297217528</v>
      </c>
      <c r="G163" s="3528">
        <v>171.25771725394742</v>
      </c>
      <c r="H163" s="3528">
        <v>170.05753482355394</v>
      </c>
      <c r="I163" s="3528">
        <v>185.52520977952813</v>
      </c>
      <c r="J163" s="3529">
        <v>183.60720284631935</v>
      </c>
      <c r="K163" s="1097">
        <v>194.47941203962756</v>
      </c>
      <c r="L163" s="1261">
        <v>201.71661577065549</v>
      </c>
      <c r="M163" s="1261">
        <v>251.07599997225611</v>
      </c>
      <c r="N163" s="1261">
        <v>242.20145598489529</v>
      </c>
      <c r="O163" s="1261">
        <v>118.21920036334939</v>
      </c>
      <c r="P163" s="1261">
        <v>138.81644682139552</v>
      </c>
      <c r="Q163" s="1261">
        <v>125.78098462695085</v>
      </c>
      <c r="R163" s="1261">
        <v>167.07911198930185</v>
      </c>
      <c r="S163" s="1261">
        <v>194.07061625430933</v>
      </c>
      <c r="T163" s="2752">
        <v>130.37741022375411</v>
      </c>
    </row>
    <row r="164" spans="1:20">
      <c r="A164" s="388">
        <f t="shared" si="1"/>
        <v>2016.11</v>
      </c>
      <c r="B164" s="885">
        <v>154.80118637912128</v>
      </c>
      <c r="C164" s="3525">
        <v>159.69128536040699</v>
      </c>
      <c r="D164" s="2005">
        <v>159.05007647678499</v>
      </c>
      <c r="E164" s="1098">
        <v>83.710721090465185</v>
      </c>
      <c r="F164" s="3528">
        <v>50.495473849630514</v>
      </c>
      <c r="G164" s="3528">
        <v>178.33696772104977</v>
      </c>
      <c r="H164" s="3528">
        <v>159.43218981002514</v>
      </c>
      <c r="I164" s="3528">
        <v>199.05999069599216</v>
      </c>
      <c r="J164" s="3529">
        <v>200.53613195879194</v>
      </c>
      <c r="K164" s="1097">
        <v>196.3195721279518</v>
      </c>
      <c r="L164" s="1261">
        <v>208.28040906365251</v>
      </c>
      <c r="M164" s="1261">
        <v>256.54890385664049</v>
      </c>
      <c r="N164" s="1261">
        <v>240.02059397048626</v>
      </c>
      <c r="O164" s="1261">
        <v>115.10869728617058</v>
      </c>
      <c r="P164" s="1261">
        <v>139.0004716401356</v>
      </c>
      <c r="Q164" s="1261">
        <v>125.85902244846356</v>
      </c>
      <c r="R164" s="1261">
        <v>166.82875528085313</v>
      </c>
      <c r="S164" s="1261">
        <v>198.4696810623974</v>
      </c>
      <c r="T164" s="2752">
        <v>128.52680004996532</v>
      </c>
    </row>
    <row r="165" spans="1:20">
      <c r="A165" s="388">
        <f t="shared" si="1"/>
        <v>2016.12</v>
      </c>
      <c r="B165" s="885">
        <v>162.08073209072438</v>
      </c>
      <c r="C165" s="3525">
        <v>163.34737281776</v>
      </c>
      <c r="D165" s="2005">
        <v>159.58006403475599</v>
      </c>
      <c r="E165" s="1098">
        <v>69.867264593882155</v>
      </c>
      <c r="F165" s="3528">
        <v>50.416953833080711</v>
      </c>
      <c r="G165" s="3528">
        <v>156.34002093538774</v>
      </c>
      <c r="H165" s="3528">
        <v>164.16560589899126</v>
      </c>
      <c r="I165" s="3528">
        <v>223.14991104975491</v>
      </c>
      <c r="J165" s="3529">
        <v>247.53217127985369</v>
      </c>
      <c r="K165" s="1097">
        <v>227.6821907790395</v>
      </c>
      <c r="L165" s="1261">
        <v>203.32510984852362</v>
      </c>
      <c r="M165" s="1261">
        <v>265.13220589073308</v>
      </c>
      <c r="N165" s="1261">
        <v>251.26225733847457</v>
      </c>
      <c r="O165" s="1261">
        <v>122.30207150408641</v>
      </c>
      <c r="P165" s="1261">
        <v>139.15262010130715</v>
      </c>
      <c r="Q165" s="1261">
        <v>125.80152997955057</v>
      </c>
      <c r="R165" s="1261">
        <v>168.38494668998317</v>
      </c>
      <c r="S165" s="1261">
        <v>197.63444942980362</v>
      </c>
      <c r="T165" s="2752">
        <v>126.05065294789785</v>
      </c>
    </row>
    <row r="166" spans="1:20">
      <c r="A166" s="388">
        <f t="shared" si="1"/>
        <v>2017.01</v>
      </c>
      <c r="B166" s="885">
        <v>133.29504807776473</v>
      </c>
      <c r="C166" s="3525">
        <v>157.09026631169201</v>
      </c>
      <c r="D166" s="2005">
        <v>160.29487328070701</v>
      </c>
      <c r="E166" s="1098">
        <v>33.686111063382441</v>
      </c>
      <c r="F166" s="3528">
        <v>44.858148462184964</v>
      </c>
      <c r="G166" s="3528">
        <v>137.21871605724726</v>
      </c>
      <c r="H166" s="3528">
        <v>134.7428792306074</v>
      </c>
      <c r="I166" s="3528">
        <v>233.99439755021203</v>
      </c>
      <c r="J166" s="3529">
        <v>165.62551429127728</v>
      </c>
      <c r="K166" s="1097">
        <v>183.375648370406</v>
      </c>
      <c r="L166" s="1261">
        <v>205.40897331344323</v>
      </c>
      <c r="M166" s="1261">
        <v>224.42652642827071</v>
      </c>
      <c r="N166" s="1261">
        <v>245.14828980111761</v>
      </c>
      <c r="O166" s="1261">
        <v>117.05233808767521</v>
      </c>
      <c r="P166" s="1261">
        <v>139.83714442443784</v>
      </c>
      <c r="Q166" s="1261">
        <v>126.51809565633228</v>
      </c>
      <c r="R166" s="1261">
        <v>167.1409502586084</v>
      </c>
      <c r="S166" s="1261">
        <v>190.34131599694265</v>
      </c>
      <c r="T166" s="2752">
        <v>126.21824319596658</v>
      </c>
    </row>
    <row r="167" spans="1:20">
      <c r="A167" s="388">
        <f t="shared" si="1"/>
        <v>2017.02</v>
      </c>
      <c r="B167" s="885">
        <v>132.6539654037212</v>
      </c>
      <c r="C167" s="3525">
        <v>159.191170572788</v>
      </c>
      <c r="D167" s="2005">
        <v>161.14590076883201</v>
      </c>
      <c r="E167" s="1098">
        <v>48.705793681347551</v>
      </c>
      <c r="F167" s="3528">
        <v>55.723135780800384</v>
      </c>
      <c r="G167" s="3528">
        <v>134.85549775129343</v>
      </c>
      <c r="H167" s="3528">
        <v>136.86973114604353</v>
      </c>
      <c r="I167" s="3528">
        <v>201.68649145599466</v>
      </c>
      <c r="J167" s="3529">
        <v>184.51617753566626</v>
      </c>
      <c r="K167" s="1097">
        <v>157.80139509704469</v>
      </c>
      <c r="L167" s="1261">
        <v>206.4591404863686</v>
      </c>
      <c r="M167" s="1261">
        <v>216.83514736262833</v>
      </c>
      <c r="N167" s="1261">
        <v>234.7990279539255</v>
      </c>
      <c r="O167" s="1261">
        <v>123.18248803811507</v>
      </c>
      <c r="P167" s="1261">
        <v>139.79568181285379</v>
      </c>
      <c r="Q167" s="1261">
        <v>126.57520700580953</v>
      </c>
      <c r="R167" s="1261">
        <v>168.51487411060171</v>
      </c>
      <c r="S167" s="1261">
        <v>196.05367815108315</v>
      </c>
      <c r="T167" s="2752">
        <v>124.29408742158724</v>
      </c>
    </row>
    <row r="168" spans="1:20">
      <c r="A168" s="388">
        <f t="shared" si="1"/>
        <v>2017.03</v>
      </c>
      <c r="B168" s="885">
        <v>196.53835419857134</v>
      </c>
      <c r="C168" s="3525">
        <v>164.241529056334</v>
      </c>
      <c r="D168" s="2005">
        <v>161.93441446132601</v>
      </c>
      <c r="E168" s="1098">
        <v>249.99952176756995</v>
      </c>
      <c r="F168" s="3528">
        <v>67.594470285484249</v>
      </c>
      <c r="G168" s="3528">
        <v>157.68718843322375</v>
      </c>
      <c r="H168" s="3528">
        <v>179.46770368102634</v>
      </c>
      <c r="I168" s="3528">
        <v>209.1223461620875</v>
      </c>
      <c r="J168" s="3529">
        <v>213.36528693815811</v>
      </c>
      <c r="K168" s="1097">
        <v>192.70379600400935</v>
      </c>
      <c r="L168" s="1261">
        <v>209.55486558807382</v>
      </c>
      <c r="M168" s="1261">
        <v>288.51632385609889</v>
      </c>
      <c r="N168" s="1261">
        <v>250.71804065119943</v>
      </c>
      <c r="O168" s="1261">
        <v>126.61333080285051</v>
      </c>
      <c r="P168" s="1261">
        <v>139.71063182650931</v>
      </c>
      <c r="Q168" s="1261">
        <v>126.82886675713237</v>
      </c>
      <c r="R168" s="1261">
        <v>167.1346567885119</v>
      </c>
      <c r="S168" s="1261">
        <v>191.02496471418237</v>
      </c>
      <c r="T168" s="2752">
        <v>116.89250704864089</v>
      </c>
    </row>
    <row r="169" spans="1:20">
      <c r="A169" s="388">
        <f t="shared" si="1"/>
        <v>2017.04</v>
      </c>
      <c r="B169" s="885">
        <v>207.00975289586972</v>
      </c>
      <c r="C169" s="3525">
        <v>163.22865625808001</v>
      </c>
      <c r="D169" s="2005">
        <v>162.44190196987</v>
      </c>
      <c r="E169" s="1098">
        <v>344.92136863647238</v>
      </c>
      <c r="F169" s="3528">
        <v>46.761245391749966</v>
      </c>
      <c r="G169" s="3528">
        <v>142.92124325214547</v>
      </c>
      <c r="H169" s="3528">
        <v>166.87557765477885</v>
      </c>
      <c r="I169" s="3528">
        <v>173.99668107179821</v>
      </c>
      <c r="J169" s="3529">
        <v>185.78356672762266</v>
      </c>
      <c r="K169" s="1097">
        <v>176.84690710782263</v>
      </c>
      <c r="L169" s="1261">
        <v>207.3841192158585</v>
      </c>
      <c r="M169" s="1261">
        <v>284.82311055539981</v>
      </c>
      <c r="N169" s="1261">
        <v>241.5551087175667</v>
      </c>
      <c r="O169" s="1261">
        <v>121.35516844418186</v>
      </c>
      <c r="P169" s="1261">
        <v>139.7089547664865</v>
      </c>
      <c r="Q169" s="1261">
        <v>126.33146960009594</v>
      </c>
      <c r="R169" s="1261">
        <v>167.95676971127546</v>
      </c>
      <c r="S169" s="1261">
        <v>194.29638228477955</v>
      </c>
      <c r="T169" s="2752">
        <v>114.97239044823505</v>
      </c>
    </row>
    <row r="170" spans="1:20">
      <c r="A170" s="388">
        <f t="shared" si="1"/>
        <v>2017.05</v>
      </c>
      <c r="B170" s="885">
        <v>188.35437497946921</v>
      </c>
      <c r="C170" s="3525">
        <v>164.09814100414701</v>
      </c>
      <c r="D170" s="2005">
        <v>162.77769468819201</v>
      </c>
      <c r="E170" s="1098">
        <v>210.91093041357283</v>
      </c>
      <c r="F170" s="3528">
        <v>34.380649338842517</v>
      </c>
      <c r="G170" s="3528">
        <v>160.08277959268386</v>
      </c>
      <c r="H170" s="3528">
        <v>180.11237739041442</v>
      </c>
      <c r="I170" s="3528">
        <v>195.55462326735912</v>
      </c>
      <c r="J170" s="3529">
        <v>213.03627249495619</v>
      </c>
      <c r="K170" s="1097">
        <v>198.59705141885598</v>
      </c>
      <c r="L170" s="1261">
        <v>204.20905870026002</v>
      </c>
      <c r="M170" s="1261">
        <v>271.73420530864615</v>
      </c>
      <c r="N170" s="1261">
        <v>245.36307573607994</v>
      </c>
      <c r="O170" s="1261">
        <v>123.25200667990775</v>
      </c>
      <c r="P170" s="1261">
        <v>139.73314837801374</v>
      </c>
      <c r="Q170" s="1261">
        <v>126.63679928114902</v>
      </c>
      <c r="R170" s="1261">
        <v>167.54338188487952</v>
      </c>
      <c r="S170" s="1261">
        <v>190.49367904605316</v>
      </c>
      <c r="T170" s="2752">
        <v>118.9930902892482</v>
      </c>
    </row>
    <row r="171" spans="1:20">
      <c r="A171" s="388">
        <f t="shared" si="1"/>
        <v>2017.06</v>
      </c>
      <c r="B171" s="885">
        <v>156.00067132311412</v>
      </c>
      <c r="C171" s="3525">
        <v>160.455013472084</v>
      </c>
      <c r="D171" s="2005">
        <v>162.98249360786599</v>
      </c>
      <c r="E171" s="1098">
        <v>55.585833724241049</v>
      </c>
      <c r="F171" s="3528">
        <v>42.39126199722066</v>
      </c>
      <c r="G171" s="3528">
        <v>164.19805597021661</v>
      </c>
      <c r="H171" s="3528">
        <v>172.10695919871773</v>
      </c>
      <c r="I171" s="3528">
        <v>225.08271148753374</v>
      </c>
      <c r="J171" s="3529">
        <v>229.75050789434187</v>
      </c>
      <c r="K171" s="1097">
        <v>203.36555184315998</v>
      </c>
      <c r="L171" s="1261">
        <v>207.72523021467492</v>
      </c>
      <c r="M171" s="1261">
        <v>246.8203034082666</v>
      </c>
      <c r="N171" s="1261">
        <v>248.50246669156883</v>
      </c>
      <c r="O171" s="1261">
        <v>127.8873206869057</v>
      </c>
      <c r="P171" s="1261">
        <v>139.81358469466105</v>
      </c>
      <c r="Q171" s="1261">
        <v>126.80807650867763</v>
      </c>
      <c r="R171" s="1261">
        <v>167.47118464544448</v>
      </c>
      <c r="S171" s="1261">
        <v>190.42895188156015</v>
      </c>
      <c r="T171" s="2752">
        <v>127.53148482449573</v>
      </c>
    </row>
    <row r="172" spans="1:20">
      <c r="A172" s="388">
        <f t="shared" si="1"/>
        <v>2017.07</v>
      </c>
      <c r="B172" s="885">
        <v>152.13766335679023</v>
      </c>
      <c r="C172" s="3525">
        <v>163.626382272737</v>
      </c>
      <c r="D172" s="2005">
        <v>163.06544773824001</v>
      </c>
      <c r="E172" s="1098">
        <v>30.726219726891856</v>
      </c>
      <c r="F172" s="3528">
        <v>54.250776820618249</v>
      </c>
      <c r="G172" s="3528">
        <v>145.61505706208709</v>
      </c>
      <c r="H172" s="3528">
        <v>176.81431542148221</v>
      </c>
      <c r="I172" s="3528">
        <v>235.98709143831138</v>
      </c>
      <c r="J172" s="3529">
        <v>210.01188328926673</v>
      </c>
      <c r="K172" s="1097">
        <v>202.20551912444338</v>
      </c>
      <c r="L172" s="1261">
        <v>213.61766699847388</v>
      </c>
      <c r="M172" s="1261">
        <v>246.55902548746741</v>
      </c>
      <c r="N172" s="1261">
        <v>242.82943802839534</v>
      </c>
      <c r="O172" s="1261">
        <v>132.84177058713379</v>
      </c>
      <c r="P172" s="1261">
        <v>139.62034174513397</v>
      </c>
      <c r="Q172" s="1261">
        <v>127.03410399531332</v>
      </c>
      <c r="R172" s="1261">
        <v>168.31726018678361</v>
      </c>
      <c r="S172" s="1261">
        <v>192.87979430755297</v>
      </c>
      <c r="T172" s="2752">
        <v>136.6803718578407</v>
      </c>
    </row>
    <row r="173" spans="1:20">
      <c r="A173" s="388">
        <f t="shared" si="1"/>
        <v>2017.08</v>
      </c>
      <c r="B173" s="885">
        <v>156.0843362884043</v>
      </c>
      <c r="C173" s="3525">
        <v>162.53252294635701</v>
      </c>
      <c r="D173" s="2005">
        <v>163.15865639513899</v>
      </c>
      <c r="E173" s="1098">
        <v>32.426098077964269</v>
      </c>
      <c r="F173" s="3528">
        <v>66.882012100656979</v>
      </c>
      <c r="G173" s="3528">
        <v>172.47962049444351</v>
      </c>
      <c r="H173" s="3528">
        <v>181.64793118014586</v>
      </c>
      <c r="I173" s="3528">
        <v>214.40160828707292</v>
      </c>
      <c r="J173" s="3529">
        <v>220.77237569363973</v>
      </c>
      <c r="K173" s="1097">
        <v>211.01577419593752</v>
      </c>
      <c r="L173" s="1261">
        <v>210.11049206475994</v>
      </c>
      <c r="M173" s="1261">
        <v>247.63200103053089</v>
      </c>
      <c r="N173" s="1261">
        <v>246.96444762744028</v>
      </c>
      <c r="O173" s="1261">
        <v>137.55648902041972</v>
      </c>
      <c r="P173" s="1261">
        <v>139.68763387772168</v>
      </c>
      <c r="Q173" s="1261">
        <v>127.28457017831427</v>
      </c>
      <c r="R173" s="1261">
        <v>168.12666009054317</v>
      </c>
      <c r="S173" s="1261">
        <v>193.39610088894926</v>
      </c>
      <c r="T173" s="2752">
        <v>140.02481080946328</v>
      </c>
    </row>
    <row r="174" spans="1:20">
      <c r="A174" s="388">
        <f t="shared" si="1"/>
        <v>2017.09</v>
      </c>
      <c r="B174" s="885">
        <v>151.2117689079725</v>
      </c>
      <c r="C174" s="3525">
        <v>163.05940640254801</v>
      </c>
      <c r="D174" s="2005">
        <v>163.540733691827</v>
      </c>
      <c r="E174" s="1098">
        <v>26.602831711028262</v>
      </c>
      <c r="F174" s="3528">
        <v>63.943122088244607</v>
      </c>
      <c r="G174" s="3528">
        <v>168.30744637438465</v>
      </c>
      <c r="H174" s="3528">
        <v>172.58278412394594</v>
      </c>
      <c r="I174" s="3528">
        <v>206.40808152215195</v>
      </c>
      <c r="J174" s="3529">
        <v>232.44485469558671</v>
      </c>
      <c r="K174" s="1097">
        <v>209.6937910703117</v>
      </c>
      <c r="L174" s="1261">
        <v>218.37788342506474</v>
      </c>
      <c r="M174" s="1261">
        <v>231.0794498808603</v>
      </c>
      <c r="N174" s="1261">
        <v>242.62290253277575</v>
      </c>
      <c r="O174" s="1261">
        <v>133.26986991400628</v>
      </c>
      <c r="P174" s="1261">
        <v>139.63828422801635</v>
      </c>
      <c r="Q174" s="1261">
        <v>127.50307978676096</v>
      </c>
      <c r="R174" s="1261">
        <v>170.21237663468469</v>
      </c>
      <c r="S174" s="1261">
        <v>198.23998607005856</v>
      </c>
      <c r="T174" s="2752">
        <v>139.11411718887501</v>
      </c>
    </row>
    <row r="175" spans="1:20">
      <c r="A175" s="388">
        <f t="shared" si="1"/>
        <v>2017.1</v>
      </c>
      <c r="B175" s="885">
        <v>156.91102110242335</v>
      </c>
      <c r="C175" s="3525">
        <v>165.80222887692599</v>
      </c>
      <c r="D175" s="2005">
        <v>163.909366079015</v>
      </c>
      <c r="E175" s="1098">
        <v>28.916929589171055</v>
      </c>
      <c r="F175" s="3528">
        <v>46.933182925494322</v>
      </c>
      <c r="G175" s="3528">
        <v>168.66354776295302</v>
      </c>
      <c r="H175" s="3528">
        <v>191.7681254627592</v>
      </c>
      <c r="I175" s="3528">
        <v>207.72054901086946</v>
      </c>
      <c r="J175" s="3529">
        <v>203.70628723175858</v>
      </c>
      <c r="K175" s="1097">
        <v>217.33393939324409</v>
      </c>
      <c r="L175" s="1261">
        <v>218.33383665458007</v>
      </c>
      <c r="M175" s="1261">
        <v>240.24041065934907</v>
      </c>
      <c r="N175" s="1261">
        <v>249.75596279292159</v>
      </c>
      <c r="O175" s="1261">
        <v>121.51682763571046</v>
      </c>
      <c r="P175" s="1261">
        <v>139.53895938001509</v>
      </c>
      <c r="Q175" s="1261">
        <v>127.99255945156081</v>
      </c>
      <c r="R175" s="1261">
        <v>169.28575486645437</v>
      </c>
      <c r="S175" s="1261">
        <v>195.32530188737539</v>
      </c>
      <c r="T175" s="2752">
        <v>132.14020000501299</v>
      </c>
    </row>
    <row r="176" spans="1:20">
      <c r="A176" s="388">
        <f t="shared" si="1"/>
        <v>2017.11</v>
      </c>
      <c r="B176" s="885">
        <v>158.86889019838722</v>
      </c>
      <c r="C176" s="3525">
        <v>162.054500202143</v>
      </c>
      <c r="D176" s="2005">
        <v>163.83879226970501</v>
      </c>
      <c r="E176" s="1098">
        <v>85.972281896041835</v>
      </c>
      <c r="F176" s="3528">
        <v>38.739913799981082</v>
      </c>
      <c r="G176" s="3528">
        <v>182.07964305237812</v>
      </c>
      <c r="H176" s="3528">
        <v>157.13508955830844</v>
      </c>
      <c r="I176" s="3528">
        <v>214.00261461413663</v>
      </c>
      <c r="J176" s="3529">
        <v>211.78449112604497</v>
      </c>
      <c r="K176" s="1097">
        <v>214.38495035346227</v>
      </c>
      <c r="L176" s="1261">
        <v>222.46137134100218</v>
      </c>
      <c r="M176" s="1261">
        <v>253.12083926326795</v>
      </c>
      <c r="N176" s="1261">
        <v>251.31012091926613</v>
      </c>
      <c r="O176" s="1261">
        <v>117.85609299736124</v>
      </c>
      <c r="P176" s="1261">
        <v>139.85513736535174</v>
      </c>
      <c r="Q176" s="1261">
        <v>128.12464064491758</v>
      </c>
      <c r="R176" s="1261">
        <v>169.55670128895642</v>
      </c>
      <c r="S176" s="1261">
        <v>195.02923752228818</v>
      </c>
      <c r="T176" s="2752">
        <v>126.33765624860166</v>
      </c>
    </row>
    <row r="177" spans="1:20">
      <c r="A177" s="388">
        <f t="shared" si="1"/>
        <v>2017.12</v>
      </c>
      <c r="B177" s="885">
        <v>160.91114950711787</v>
      </c>
      <c r="C177" s="3525">
        <v>164.289048993183</v>
      </c>
      <c r="D177" s="2005">
        <v>163.066732208264</v>
      </c>
      <c r="E177" s="1098">
        <v>64.957853172757666</v>
      </c>
      <c r="F177" s="3528">
        <v>57.542645334975973</v>
      </c>
      <c r="G177" s="3528">
        <v>156.9857766072557</v>
      </c>
      <c r="H177" s="3528">
        <v>155.08750585828957</v>
      </c>
      <c r="I177" s="3528">
        <v>208.49763285492239</v>
      </c>
      <c r="J177" s="3529">
        <v>285.28382981580569</v>
      </c>
      <c r="K177" s="1097">
        <v>235.27304187154508</v>
      </c>
      <c r="L177" s="1261">
        <v>220.84910420537133</v>
      </c>
      <c r="M177" s="1261">
        <v>250.10948612042722</v>
      </c>
      <c r="N177" s="1261">
        <v>259.04219265533288</v>
      </c>
      <c r="O177" s="1261">
        <v>124.67192530440211</v>
      </c>
      <c r="P177" s="1261">
        <v>140.04440742642089</v>
      </c>
      <c r="Q177" s="1261">
        <v>128.0946362890034</v>
      </c>
      <c r="R177" s="1261">
        <v>171.95820375250651</v>
      </c>
      <c r="S177" s="1261">
        <v>204.00771129281407</v>
      </c>
      <c r="T177" s="2752">
        <v>121.34450691272434</v>
      </c>
    </row>
    <row r="178" spans="1:20">
      <c r="A178" s="388">
        <f t="shared" si="1"/>
        <v>2018.01</v>
      </c>
      <c r="B178" s="885">
        <v>139.40214039617334</v>
      </c>
      <c r="C178" s="3525">
        <v>162.63159504768799</v>
      </c>
      <c r="D178" s="2005">
        <v>161.63067858914499</v>
      </c>
      <c r="E178" s="1098">
        <v>41.215148926684037</v>
      </c>
      <c r="F178" s="3528">
        <v>41.144460173772998</v>
      </c>
      <c r="G178" s="3528">
        <v>168.09511550077542</v>
      </c>
      <c r="H178" s="3528">
        <v>133.73155911962834</v>
      </c>
      <c r="I178" s="3528">
        <v>221.4092451792194</v>
      </c>
      <c r="J178" s="3529">
        <v>182.78515300690853</v>
      </c>
      <c r="K178" s="1097">
        <v>201.01528850314401</v>
      </c>
      <c r="L178" s="1261">
        <v>216.59419950357355</v>
      </c>
      <c r="M178" s="1261">
        <v>225.14565240903016</v>
      </c>
      <c r="N178" s="1261">
        <v>262.79861806691366</v>
      </c>
      <c r="O178" s="1261">
        <v>124.09783466732681</v>
      </c>
      <c r="P178" s="1261">
        <v>140.86179832138527</v>
      </c>
      <c r="Q178" s="1261">
        <v>127.60228182581133</v>
      </c>
      <c r="R178" s="1261">
        <v>167.69031599760638</v>
      </c>
      <c r="S178" s="1261">
        <v>196.96963463106451</v>
      </c>
      <c r="T178" s="2752">
        <v>119.35531865263883</v>
      </c>
    </row>
    <row r="179" spans="1:20">
      <c r="A179" s="388">
        <f t="shared" si="1"/>
        <v>2018.02</v>
      </c>
      <c r="B179" s="885">
        <v>135.04542931161484</v>
      </c>
      <c r="C179" s="3525">
        <v>161.624635574997</v>
      </c>
      <c r="D179" s="2005">
        <v>159.93980494159101</v>
      </c>
      <c r="E179" s="1098">
        <v>52.4490051869507</v>
      </c>
      <c r="F179" s="3528">
        <v>54.891340850014579</v>
      </c>
      <c r="G179" s="3528">
        <v>145.39807960461999</v>
      </c>
      <c r="H179" s="3528">
        <v>123.50944759097149</v>
      </c>
      <c r="I179" s="3528">
        <v>218.04030914633518</v>
      </c>
      <c r="J179" s="3529">
        <v>204.67172083361436</v>
      </c>
      <c r="K179" s="1097">
        <v>177.78131945041639</v>
      </c>
      <c r="L179" s="1261">
        <v>225.3646469749051</v>
      </c>
      <c r="M179" s="1261">
        <v>214.89779837040987</v>
      </c>
      <c r="N179" s="1261">
        <v>258.71014151952676</v>
      </c>
      <c r="O179" s="1261">
        <v>125.35364014119543</v>
      </c>
      <c r="P179" s="1261">
        <v>141.11475227528564</v>
      </c>
      <c r="Q179" s="1261">
        <v>127.99359927051997</v>
      </c>
      <c r="R179" s="1261">
        <v>169.80933526808005</v>
      </c>
      <c r="S179" s="1261">
        <v>202.60557427023221</v>
      </c>
      <c r="T179" s="2752">
        <v>119.10534264530945</v>
      </c>
    </row>
    <row r="180" spans="1:20">
      <c r="A180" s="388">
        <f t="shared" si="1"/>
        <v>2018.03</v>
      </c>
      <c r="B180" s="885">
        <v>181.92676345936854</v>
      </c>
      <c r="C180" s="3525">
        <v>154.50343601143999</v>
      </c>
      <c r="D180" s="2005">
        <v>158.48640535470301</v>
      </c>
      <c r="E180" s="1098">
        <v>196.5742209938708</v>
      </c>
      <c r="F180" s="3528">
        <v>54.770222958593948</v>
      </c>
      <c r="G180" s="3528">
        <v>160.10579830414002</v>
      </c>
      <c r="H180" s="3528">
        <v>154.17547279971026</v>
      </c>
      <c r="I180" s="3528">
        <v>235.36512580177828</v>
      </c>
      <c r="J180" s="3529">
        <v>232.49662178691125</v>
      </c>
      <c r="K180" s="1097">
        <v>206.53667166137978</v>
      </c>
      <c r="L180" s="1261">
        <v>229.32672082027591</v>
      </c>
      <c r="M180" s="1261">
        <v>261.12883313146426</v>
      </c>
      <c r="N180" s="1261">
        <v>269.15887933258466</v>
      </c>
      <c r="O180" s="1261">
        <v>129.86606189245023</v>
      </c>
      <c r="P180" s="1261">
        <v>139.79689560911075</v>
      </c>
      <c r="Q180" s="1261">
        <v>128.00143645146855</v>
      </c>
      <c r="R180" s="1261">
        <v>170.96701932410349</v>
      </c>
      <c r="S180" s="1261">
        <v>204.02265162224472</v>
      </c>
      <c r="T180" s="2752">
        <v>117.42402803154302</v>
      </c>
    </row>
    <row r="181" spans="1:20">
      <c r="A181" s="388">
        <f t="shared" si="1"/>
        <v>2018.04</v>
      </c>
      <c r="B181" s="885">
        <v>191.69303277336709</v>
      </c>
      <c r="C181" s="3525">
        <v>149.76744488487901</v>
      </c>
      <c r="D181" s="2005">
        <v>157.69276216978199</v>
      </c>
      <c r="E181" s="1098">
        <v>261.48067698893971</v>
      </c>
      <c r="F181" s="3528">
        <v>26.004723746194198</v>
      </c>
      <c r="G181" s="3528">
        <v>151.28629412989545</v>
      </c>
      <c r="H181" s="3528">
        <v>153.55001747371193</v>
      </c>
      <c r="I181" s="3528">
        <v>217.5680275897667</v>
      </c>
      <c r="J181" s="3529">
        <v>206.82772176589751</v>
      </c>
      <c r="K181" s="1097">
        <v>196.96785740986195</v>
      </c>
      <c r="L181" s="1261">
        <v>225.67603607842392</v>
      </c>
      <c r="M181" s="1261">
        <v>262.7100210817577</v>
      </c>
      <c r="N181" s="1261">
        <v>278.3427123903752</v>
      </c>
      <c r="O181" s="1261">
        <v>126.14071242654826</v>
      </c>
      <c r="P181" s="1261">
        <v>139.66305181930841</v>
      </c>
      <c r="Q181" s="1261">
        <v>127.53465009757002</v>
      </c>
      <c r="R181" s="1261">
        <v>168.71974601899069</v>
      </c>
      <c r="S181" s="1261">
        <v>196.1493611652237</v>
      </c>
      <c r="T181" s="2752">
        <v>122.51073947711532</v>
      </c>
    </row>
    <row r="182" spans="1:20">
      <c r="A182" s="388">
        <f t="shared" si="1"/>
        <v>2018.05</v>
      </c>
      <c r="B182" s="885">
        <v>177.99492271456569</v>
      </c>
      <c r="C182" s="3525">
        <v>155.506616742815</v>
      </c>
      <c r="D182" s="2005">
        <v>157.486500795219</v>
      </c>
      <c r="E182" s="1098">
        <v>163.15418480545364</v>
      </c>
      <c r="F182" s="3528">
        <v>49.961130211010087</v>
      </c>
      <c r="G182" s="3528">
        <v>125.26752435302116</v>
      </c>
      <c r="H182" s="3528">
        <v>163.75593550401325</v>
      </c>
      <c r="I182" s="3528">
        <v>244.09179443215828</v>
      </c>
      <c r="J182" s="3529">
        <v>211.81708166207568</v>
      </c>
      <c r="K182" s="1097">
        <v>212.96450697815732</v>
      </c>
      <c r="L182" s="1261">
        <v>220.03586309733359</v>
      </c>
      <c r="M182" s="1261">
        <v>255.0745851691359</v>
      </c>
      <c r="N182" s="1261">
        <v>284.695181866947</v>
      </c>
      <c r="O182" s="1261">
        <v>126.99781442875999</v>
      </c>
      <c r="P182" s="1261">
        <v>140.25126533783049</v>
      </c>
      <c r="Q182" s="1261">
        <v>127.758033245946</v>
      </c>
      <c r="R182" s="1261">
        <v>169.65128597147171</v>
      </c>
      <c r="S182" s="1261">
        <v>195.73949816987206</v>
      </c>
      <c r="T182" s="2752">
        <v>124.70219999842193</v>
      </c>
    </row>
    <row r="183" spans="1:20">
      <c r="A183" s="388">
        <f t="shared" si="1"/>
        <v>2018.06</v>
      </c>
      <c r="B183" s="885">
        <v>152.10399183594478</v>
      </c>
      <c r="C183" s="3525">
        <v>158.70746527309601</v>
      </c>
      <c r="D183" s="2005">
        <v>157.44210178807899</v>
      </c>
      <c r="E183" s="1098">
        <v>51.38884300346318</v>
      </c>
      <c r="F183" s="3528">
        <v>52.454733857905389</v>
      </c>
      <c r="G183" s="3528">
        <v>146.06952536679557</v>
      </c>
      <c r="H183" s="3528">
        <v>154.02806611177527</v>
      </c>
      <c r="I183" s="3528">
        <v>247.46895891474961</v>
      </c>
      <c r="J183" s="3529">
        <v>224.55148100417489</v>
      </c>
      <c r="K183" s="1097">
        <v>215.35221816940913</v>
      </c>
      <c r="L183" s="1261">
        <v>222.01376560451334</v>
      </c>
      <c r="M183" s="1261">
        <v>220.92446205720745</v>
      </c>
      <c r="N183" s="1261">
        <v>276.64579215599042</v>
      </c>
      <c r="O183" s="1261">
        <v>129.93853039752881</v>
      </c>
      <c r="P183" s="1261">
        <v>140.33335831807119</v>
      </c>
      <c r="Q183" s="1261">
        <v>127.83606658723394</v>
      </c>
      <c r="R183" s="1261">
        <v>171.20042268466187</v>
      </c>
      <c r="S183" s="1261">
        <v>197.76098142192342</v>
      </c>
      <c r="T183" s="2752">
        <v>122.96194581554865</v>
      </c>
    </row>
    <row r="184" spans="1:20">
      <c r="A184" s="388">
        <f t="shared" si="1"/>
        <v>2018.07</v>
      </c>
      <c r="B184" s="885">
        <v>150.20451676347494</v>
      </c>
      <c r="C184" s="3525">
        <v>159.255139106135</v>
      </c>
      <c r="D184" s="2005">
        <v>157.23332515874401</v>
      </c>
      <c r="E184" s="1098">
        <v>34.618931329765168</v>
      </c>
      <c r="F184" s="3528">
        <v>67.861642104794441</v>
      </c>
      <c r="G184" s="3528">
        <v>170.85681826120685</v>
      </c>
      <c r="H184" s="3528">
        <v>162.77302686287695</v>
      </c>
      <c r="I184" s="3528">
        <v>244.64622659307759</v>
      </c>
      <c r="J184" s="3529">
        <v>230.94567932118935</v>
      </c>
      <c r="K184" s="1097">
        <v>208.33811161297592</v>
      </c>
      <c r="L184" s="1261">
        <v>229.01650394417976</v>
      </c>
      <c r="M184" s="1261">
        <v>222.61478891553827</v>
      </c>
      <c r="N184" s="1261">
        <v>272.52675853552415</v>
      </c>
      <c r="O184" s="1261">
        <v>131.43613764886467</v>
      </c>
      <c r="P184" s="1261">
        <v>140.1779830927664</v>
      </c>
      <c r="Q184" s="1261">
        <v>127.75398981368204</v>
      </c>
      <c r="R184" s="1261">
        <v>170.50561108965516</v>
      </c>
      <c r="S184" s="1261">
        <v>195.43112507133733</v>
      </c>
      <c r="T184" s="2752">
        <v>113.92687746022413</v>
      </c>
    </row>
    <row r="185" spans="1:20">
      <c r="A185" s="388">
        <f t="shared" si="1"/>
        <v>2018.08</v>
      </c>
      <c r="B185" s="885">
        <v>152.54919823415182</v>
      </c>
      <c r="C185" s="3525">
        <v>158.81270406021099</v>
      </c>
      <c r="D185" s="2005">
        <v>156.64866626591501</v>
      </c>
      <c r="E185" s="1098">
        <v>36.654362828004224</v>
      </c>
      <c r="F185" s="3528">
        <v>66.169553915829752</v>
      </c>
      <c r="G185" s="3528">
        <v>160.76935630405802</v>
      </c>
      <c r="H185" s="3528">
        <v>168.37747292998338</v>
      </c>
      <c r="I185" s="3528">
        <v>222.97379911629048</v>
      </c>
      <c r="J185" s="3529">
        <v>217.1970412816585</v>
      </c>
      <c r="K185" s="1097">
        <v>210.39920786195819</v>
      </c>
      <c r="L185" s="1261">
        <v>235.97935760828562</v>
      </c>
      <c r="M185" s="1261">
        <v>229.34439381666468</v>
      </c>
      <c r="N185" s="1261">
        <v>273.53393887309755</v>
      </c>
      <c r="O185" s="1261">
        <v>133.94049313373216</v>
      </c>
      <c r="P185" s="1261">
        <v>140.80269061384828</v>
      </c>
      <c r="Q185" s="1261">
        <v>128.14659769118776</v>
      </c>
      <c r="R185" s="1261">
        <v>169.89600472794052</v>
      </c>
      <c r="S185" s="1261">
        <v>198.51801800638609</v>
      </c>
      <c r="T185" s="2752">
        <v>109.81697731778318</v>
      </c>
    </row>
    <row r="186" spans="1:20">
      <c r="A186" s="388">
        <f t="shared" ref="A186:A249" si="2">A174+1</f>
        <v>2018.09</v>
      </c>
      <c r="B186" s="885">
        <v>142.20052027903463</v>
      </c>
      <c r="C186" s="3525">
        <v>154.64899191269299</v>
      </c>
      <c r="D186" s="2005">
        <v>155.704339320743</v>
      </c>
      <c r="E186" s="1098">
        <v>28.968973240305363</v>
      </c>
      <c r="F186" s="3528">
        <v>54.503051139283698</v>
      </c>
      <c r="G186" s="3528">
        <v>145.53907335497402</v>
      </c>
      <c r="H186" s="3528">
        <v>152.88527592820685</v>
      </c>
      <c r="I186" s="3528">
        <v>199.79176376633123</v>
      </c>
      <c r="J186" s="3529">
        <v>236.24532942974085</v>
      </c>
      <c r="K186" s="1097">
        <v>191.71975641537858</v>
      </c>
      <c r="L186" s="1261">
        <v>231.3226452734753</v>
      </c>
      <c r="M186" s="1261">
        <v>217.23732671564818</v>
      </c>
      <c r="N186" s="1261">
        <v>257.55953697777676</v>
      </c>
      <c r="O186" s="1261">
        <v>129.07310849542452</v>
      </c>
      <c r="P186" s="1261">
        <v>140.53408613717255</v>
      </c>
      <c r="Q186" s="1261">
        <v>128.26835398589816</v>
      </c>
      <c r="R186" s="1261">
        <v>170.09009951341733</v>
      </c>
      <c r="S186" s="1261">
        <v>200.05096598815697</v>
      </c>
      <c r="T186" s="2752">
        <v>112.21216500300663</v>
      </c>
    </row>
    <row r="187" spans="1:20">
      <c r="A187" s="388">
        <f t="shared" si="2"/>
        <v>2018.1</v>
      </c>
      <c r="B187" s="885">
        <v>145.13250819157543</v>
      </c>
      <c r="C187" s="3525">
        <v>151.96922426763501</v>
      </c>
      <c r="D187" s="2005">
        <v>154.71159629054799</v>
      </c>
      <c r="E187" s="1098">
        <v>33.321743389777829</v>
      </c>
      <c r="F187" s="3528">
        <v>65.546153004105918</v>
      </c>
      <c r="G187" s="3528">
        <v>132.8220286552081</v>
      </c>
      <c r="H187" s="3528">
        <v>161.61754580884946</v>
      </c>
      <c r="I187" s="3528">
        <v>192.35297868155263</v>
      </c>
      <c r="J187" s="3529">
        <v>208.83880530234836</v>
      </c>
      <c r="K187" s="1097">
        <v>198.31510643640439</v>
      </c>
      <c r="L187" s="1261">
        <v>227.64755255376886</v>
      </c>
      <c r="M187" s="1261">
        <v>227.7747772430065</v>
      </c>
      <c r="N187" s="1261">
        <v>253.40959129303323</v>
      </c>
      <c r="O187" s="1261">
        <v>118.28289631486547</v>
      </c>
      <c r="P187" s="1261">
        <v>140.32702374647258</v>
      </c>
      <c r="Q187" s="1261">
        <v>128.54814399177755</v>
      </c>
      <c r="R187" s="1261">
        <v>170.91888279167154</v>
      </c>
      <c r="S187" s="1261">
        <v>197.34031263169427</v>
      </c>
      <c r="T187" s="2752">
        <v>118.69131947694166</v>
      </c>
    </row>
    <row r="188" spans="1:20">
      <c r="A188" s="388">
        <f t="shared" si="2"/>
        <v>2018.11</v>
      </c>
      <c r="B188" s="885">
        <v>144.50750314037529</v>
      </c>
      <c r="C188" s="3525">
        <v>145.793944760785</v>
      </c>
      <c r="D188" s="2005">
        <v>154.13517850843999</v>
      </c>
      <c r="E188" s="1098">
        <v>89.533827583927788</v>
      </c>
      <c r="F188" s="3528">
        <v>45.419209282736446</v>
      </c>
      <c r="G188" s="3528">
        <v>120.38992936699677</v>
      </c>
      <c r="H188" s="3528">
        <v>132.07185547256742</v>
      </c>
      <c r="I188" s="3528">
        <v>184.67425026399357</v>
      </c>
      <c r="J188" s="3529">
        <v>193.71378888075529</v>
      </c>
      <c r="K188" s="1097">
        <v>184.10567664833724</v>
      </c>
      <c r="L188" s="1261">
        <v>229.89029118320138</v>
      </c>
      <c r="M188" s="1261">
        <v>230.29336665953377</v>
      </c>
      <c r="N188" s="1261">
        <v>240.98353937770833</v>
      </c>
      <c r="O188" s="1261">
        <v>114.26688185653006</v>
      </c>
      <c r="P188" s="1261">
        <v>140.39199709631524</v>
      </c>
      <c r="Q188" s="1261">
        <v>128.7287706175822</v>
      </c>
      <c r="R188" s="1261">
        <v>169.91895982130825</v>
      </c>
      <c r="S188" s="1261">
        <v>197.37062481432321</v>
      </c>
      <c r="T188" s="2752">
        <v>121.08467454056425</v>
      </c>
    </row>
    <row r="189" spans="1:20">
      <c r="A189" s="388">
        <f t="shared" si="2"/>
        <v>2018.12</v>
      </c>
      <c r="B189" s="885">
        <v>152.32077710114635</v>
      </c>
      <c r="C189" s="3525">
        <v>155.967403172704</v>
      </c>
      <c r="D189" s="2005">
        <v>154.20638407678101</v>
      </c>
      <c r="E189" s="1098">
        <v>68.142071868972238</v>
      </c>
      <c r="F189" s="3528">
        <v>43.816178366875164</v>
      </c>
      <c r="G189" s="3528">
        <v>101.20590558630627</v>
      </c>
      <c r="H189" s="3528">
        <v>147.46180137961173</v>
      </c>
      <c r="I189" s="3528">
        <v>172.22388605686183</v>
      </c>
      <c r="J189" s="3529">
        <v>264.04540739675303</v>
      </c>
      <c r="K189" s="1097">
        <v>211.47527968765166</v>
      </c>
      <c r="L189" s="1261">
        <v>229.00071595300665</v>
      </c>
      <c r="M189" s="1261">
        <v>236.3499440839912</v>
      </c>
      <c r="N189" s="1261">
        <v>247.08690902736151</v>
      </c>
      <c r="O189" s="1261">
        <v>118.08174592116568</v>
      </c>
      <c r="P189" s="1261">
        <v>140.47994088630614</v>
      </c>
      <c r="Q189" s="1261">
        <v>128.92648790183415</v>
      </c>
      <c r="R189" s="1261">
        <v>171.27494824996234</v>
      </c>
      <c r="S189" s="1261">
        <v>198.86672645493886</v>
      </c>
      <c r="T189" s="2752">
        <v>118.26707874954377</v>
      </c>
    </row>
    <row r="190" spans="1:20">
      <c r="A190" s="388">
        <f t="shared" si="2"/>
        <v>2019.01</v>
      </c>
      <c r="B190" s="885">
        <v>133.18701511476399</v>
      </c>
      <c r="C190" s="3525">
        <v>155.625681851792</v>
      </c>
      <c r="D190" s="2005">
        <v>154.81353186576101</v>
      </c>
      <c r="E190" s="1098">
        <v>36.193466150268847</v>
      </c>
      <c r="F190" s="3528">
        <v>54.057764773766678</v>
      </c>
      <c r="G190" s="3528">
        <v>130.63879225489234</v>
      </c>
      <c r="H190" s="3528">
        <v>136.73163001505523</v>
      </c>
      <c r="I190" s="3528">
        <v>186.64962314683368</v>
      </c>
      <c r="J190" s="3529">
        <v>200.1431945263997</v>
      </c>
      <c r="K190" s="1097">
        <v>176.88231176975756</v>
      </c>
      <c r="L190" s="1261">
        <v>224.29233822503809</v>
      </c>
      <c r="M190" s="1261">
        <v>208.91662211471419</v>
      </c>
      <c r="N190" s="1261">
        <v>235.7509085364419</v>
      </c>
      <c r="O190" s="1261">
        <v>117.5143615656628</v>
      </c>
      <c r="P190" s="1261">
        <v>141.87617439086767</v>
      </c>
      <c r="Q190" s="1261">
        <v>129.42058880502256</v>
      </c>
      <c r="R190" s="1261">
        <v>171.16629630216985</v>
      </c>
      <c r="S190" s="1261">
        <v>199.6031906728528</v>
      </c>
      <c r="T190" s="2752">
        <v>113.5351457810453</v>
      </c>
    </row>
    <row r="191" spans="1:20">
      <c r="A191" s="388">
        <f t="shared" si="2"/>
        <v>2019.02</v>
      </c>
      <c r="B191" s="885">
        <v>128.77462199369492</v>
      </c>
      <c r="C191" s="3525">
        <v>153.278144822662</v>
      </c>
      <c r="D191" s="2005">
        <v>155.485491348631</v>
      </c>
      <c r="E191" s="1098">
        <v>49.139585494043523</v>
      </c>
      <c r="F191" s="3528">
        <v>54.592108412387141</v>
      </c>
      <c r="G191" s="3528">
        <v>170.64345917024204</v>
      </c>
      <c r="H191" s="3528">
        <v>119.42368241913763</v>
      </c>
      <c r="I191" s="3528">
        <v>191.50831800887153</v>
      </c>
      <c r="J191" s="3529">
        <v>199.70053378838281</v>
      </c>
      <c r="K191" s="1097">
        <v>167.48568132594477</v>
      </c>
      <c r="L191" s="1261">
        <v>222.4013089518732</v>
      </c>
      <c r="M191" s="1261">
        <v>199.52152859517605</v>
      </c>
      <c r="N191" s="1261">
        <v>219.94200633921946</v>
      </c>
      <c r="O191" s="1261">
        <v>121.19866362076012</v>
      </c>
      <c r="P191" s="1261">
        <v>141.70504247869692</v>
      </c>
      <c r="Q191" s="1261">
        <v>128.43330658963683</v>
      </c>
      <c r="R191" s="1261">
        <v>171.44794346512182</v>
      </c>
      <c r="S191" s="1261">
        <v>199.62618886380255</v>
      </c>
      <c r="T191" s="2752">
        <v>108.82800342012358</v>
      </c>
    </row>
    <row r="192" spans="1:20">
      <c r="A192" s="388">
        <f t="shared" si="2"/>
        <v>2019.03</v>
      </c>
      <c r="B192" s="885">
        <v>181.23412249646142</v>
      </c>
      <c r="C192" s="3525">
        <v>156.82243041133</v>
      </c>
      <c r="D192" s="2005">
        <v>155.808488441836</v>
      </c>
      <c r="E192" s="1098">
        <v>254.33099964985627</v>
      </c>
      <c r="F192" s="3528">
        <v>84.729980203310362</v>
      </c>
      <c r="G192" s="3528">
        <v>141.69050792143136</v>
      </c>
      <c r="H192" s="3528">
        <v>137.11198613755161</v>
      </c>
      <c r="I192" s="3528">
        <v>199.6419756980232</v>
      </c>
      <c r="J192" s="3529">
        <v>215.34485483036741</v>
      </c>
      <c r="K192" s="1097">
        <v>181.95817066474467</v>
      </c>
      <c r="L192" s="1261">
        <v>229.31052161666875</v>
      </c>
      <c r="M192" s="1261">
        <v>255.98380253958695</v>
      </c>
      <c r="N192" s="1261">
        <v>221.69512363424118</v>
      </c>
      <c r="O192" s="1261">
        <v>122.25463046442029</v>
      </c>
      <c r="P192" s="1261">
        <v>140.38784815162461</v>
      </c>
      <c r="Q192" s="1261">
        <v>128.90599744940704</v>
      </c>
      <c r="R192" s="1261">
        <v>173.54957657954805</v>
      </c>
      <c r="S192" s="1261">
        <v>200.33472941035575</v>
      </c>
      <c r="T192" s="2752">
        <v>100.22865585159771</v>
      </c>
    </row>
    <row r="193" spans="1:20">
      <c r="A193" s="388">
        <f t="shared" si="2"/>
        <v>2019.04</v>
      </c>
      <c r="B193" s="885">
        <v>202.2834701116978</v>
      </c>
      <c r="C193" s="3525">
        <v>156.57284729303501</v>
      </c>
      <c r="D193" s="2005">
        <v>155.67487853518901</v>
      </c>
      <c r="E193" s="1098">
        <v>357.98921255426188</v>
      </c>
      <c r="F193" s="3528">
        <v>68.48504301651829</v>
      </c>
      <c r="G193" s="3528">
        <v>182.0599830084841</v>
      </c>
      <c r="H193" s="3528">
        <v>142.16416597698398</v>
      </c>
      <c r="I193" s="3528">
        <v>206.13143421057836</v>
      </c>
      <c r="J193" s="3529">
        <v>203.4214167853637</v>
      </c>
      <c r="K193" s="1097">
        <v>175.85540268711216</v>
      </c>
      <c r="L193" s="1261">
        <v>217.95477139569843</v>
      </c>
      <c r="M193" s="1261">
        <v>266.0414594341795</v>
      </c>
      <c r="N193" s="1261">
        <v>228.65240587719882</v>
      </c>
      <c r="O193" s="1261">
        <v>120.38577249088095</v>
      </c>
      <c r="P193" s="1261">
        <v>140.11275890740953</v>
      </c>
      <c r="Q193" s="1261">
        <v>129.15278439192818</v>
      </c>
      <c r="R193" s="1261">
        <v>171.70890539117664</v>
      </c>
      <c r="S193" s="1261">
        <v>192.94411627285805</v>
      </c>
      <c r="T193" s="2752">
        <v>95.928447410642391</v>
      </c>
    </row>
    <row r="194" spans="1:20">
      <c r="A194" s="388">
        <f t="shared" si="2"/>
        <v>2019.05</v>
      </c>
      <c r="B194" s="885">
        <v>186.04822850905438</v>
      </c>
      <c r="C194" s="3525">
        <v>162.55252073383701</v>
      </c>
      <c r="D194" s="2005">
        <v>155.16590945077499</v>
      </c>
      <c r="E194" s="1098">
        <v>218.00003095492451</v>
      </c>
      <c r="F194" s="3528">
        <v>60.915174802728863</v>
      </c>
      <c r="G194" s="3528">
        <v>181.99096524627001</v>
      </c>
      <c r="H194" s="3528">
        <v>173.18487198739035</v>
      </c>
      <c r="I194" s="3528">
        <v>194.11849626153338</v>
      </c>
      <c r="J194" s="3529">
        <v>215.08301466797795</v>
      </c>
      <c r="K194" s="1097">
        <v>195.99728574262977</v>
      </c>
      <c r="L194" s="1261">
        <v>218.42940855137792</v>
      </c>
      <c r="M194" s="1261">
        <v>255.1525189751996</v>
      </c>
      <c r="N194" s="1261">
        <v>224.94686311671163</v>
      </c>
      <c r="O194" s="1261">
        <v>120.44096112630727</v>
      </c>
      <c r="P194" s="1261">
        <v>140.99555329961251</v>
      </c>
      <c r="Q194" s="1261">
        <v>129.29993990499696</v>
      </c>
      <c r="R194" s="1261">
        <v>171.84358799343039</v>
      </c>
      <c r="S194" s="1261">
        <v>191.33568120932071</v>
      </c>
      <c r="T194" s="2752">
        <v>98.054498108652339</v>
      </c>
    </row>
    <row r="195" spans="1:20">
      <c r="A195" s="388">
        <f t="shared" si="2"/>
        <v>2019.06</v>
      </c>
      <c r="B195" s="885">
        <v>144.76068971320075</v>
      </c>
      <c r="C195" s="3525">
        <v>152.674680400092</v>
      </c>
      <c r="D195" s="2005">
        <v>154.53097938723201</v>
      </c>
      <c r="E195" s="1098">
        <v>55.45859775274041</v>
      </c>
      <c r="F195" s="3528">
        <v>74.629994860653184</v>
      </c>
      <c r="G195" s="3528">
        <v>229.07488262872201</v>
      </c>
      <c r="H195" s="3528">
        <v>151.08227962208764</v>
      </c>
      <c r="I195" s="3528">
        <v>202.81874986801782</v>
      </c>
      <c r="J195" s="3529">
        <v>211.40933036366869</v>
      </c>
      <c r="K195" s="1097">
        <v>187.52377537810892</v>
      </c>
      <c r="L195" s="1261">
        <v>224.70713589263485</v>
      </c>
      <c r="M195" s="1261">
        <v>230.02073718441807</v>
      </c>
      <c r="N195" s="1261">
        <v>223.11893086720019</v>
      </c>
      <c r="O195" s="1261">
        <v>122.13041095040329</v>
      </c>
      <c r="P195" s="1261">
        <v>140.96566825875445</v>
      </c>
      <c r="Q195" s="1261">
        <v>129.22667111942445</v>
      </c>
      <c r="R195" s="1261">
        <v>172.66145270214037</v>
      </c>
      <c r="S195" s="1261">
        <v>194.68609663254657</v>
      </c>
      <c r="T195" s="2752">
        <v>105.46959735265061</v>
      </c>
    </row>
    <row r="196" spans="1:20">
      <c r="A196" s="388">
        <f t="shared" si="2"/>
        <v>2019.07</v>
      </c>
      <c r="B196" s="885">
        <v>146.6538244622156</v>
      </c>
      <c r="C196" s="3525">
        <v>153.410300198057</v>
      </c>
      <c r="D196" s="2005">
        <v>153.781010102858</v>
      </c>
      <c r="E196" s="1098">
        <v>32.431701066722361</v>
      </c>
      <c r="F196" s="3528">
        <v>76.143968503411088</v>
      </c>
      <c r="G196" s="3528">
        <v>175.65710661107983</v>
      </c>
      <c r="H196" s="3528">
        <v>163.58320341732534</v>
      </c>
      <c r="I196" s="3528">
        <v>220.75143922866201</v>
      </c>
      <c r="J196" s="3529">
        <v>203.84065962561598</v>
      </c>
      <c r="K196" s="1097">
        <v>198.96006923863149</v>
      </c>
      <c r="L196" s="1261">
        <v>225.13964234723977</v>
      </c>
      <c r="M196" s="1261">
        <v>238.04307173537555</v>
      </c>
      <c r="N196" s="1261">
        <v>230.90568009016806</v>
      </c>
      <c r="O196" s="1261">
        <v>127.65435916901654</v>
      </c>
      <c r="P196" s="1261">
        <v>140.71717845517486</v>
      </c>
      <c r="Q196" s="1261">
        <v>128.66583387480455</v>
      </c>
      <c r="R196" s="1261">
        <v>170.5193878823917</v>
      </c>
      <c r="S196" s="1261">
        <v>191.44697634057243</v>
      </c>
      <c r="T196" s="2752">
        <v>111.84586324986371</v>
      </c>
    </row>
    <row r="197" spans="1:20">
      <c r="A197" s="388">
        <f t="shared" si="2"/>
        <v>2019.08</v>
      </c>
      <c r="B197" s="885">
        <v>145.25122191510553</v>
      </c>
      <c r="C197" s="3525">
        <v>152.96560446171301</v>
      </c>
      <c r="D197" s="2005">
        <v>152.90528931502601</v>
      </c>
      <c r="E197" s="1098">
        <v>32.826608500786456</v>
      </c>
      <c r="F197" s="3528">
        <v>68.574100289621668</v>
      </c>
      <c r="G197" s="3528">
        <v>246.38059351988923</v>
      </c>
      <c r="H197" s="3528">
        <v>158.33783213744357</v>
      </c>
      <c r="I197" s="3528">
        <v>195.09482879371566</v>
      </c>
      <c r="J197" s="3529">
        <v>204.61486426732063</v>
      </c>
      <c r="K197" s="1097">
        <v>197.81826382087337</v>
      </c>
      <c r="L197" s="1261">
        <v>227.2468115135714</v>
      </c>
      <c r="M197" s="1261">
        <v>234.74093509963717</v>
      </c>
      <c r="N197" s="1261">
        <v>234.82680298295685</v>
      </c>
      <c r="O197" s="1261">
        <v>130.74540031985006</v>
      </c>
      <c r="P197" s="1261">
        <v>142.42231905325275</v>
      </c>
      <c r="Q197" s="1261">
        <v>131.02457070071043</v>
      </c>
      <c r="R197" s="1261">
        <v>170.00082079788234</v>
      </c>
      <c r="S197" s="1261">
        <v>194.93008723469845</v>
      </c>
      <c r="T197" s="2752">
        <v>118.66079316830266</v>
      </c>
    </row>
    <row r="198" spans="1:20">
      <c r="A198" s="388">
        <f t="shared" si="2"/>
        <v>2019.09</v>
      </c>
      <c r="B198" s="885">
        <v>142.57642256058847</v>
      </c>
      <c r="C198" s="3525">
        <v>152.857568769068</v>
      </c>
      <c r="D198" s="2005">
        <v>152.03131958581099</v>
      </c>
      <c r="E198" s="1098">
        <v>28.822145115770674</v>
      </c>
      <c r="F198" s="3528">
        <v>56.827445967282564</v>
      </c>
      <c r="G198" s="3528">
        <v>176.88069293833249</v>
      </c>
      <c r="H198" s="3528">
        <v>162.33804731462865</v>
      </c>
      <c r="I198" s="3528">
        <v>173.94399265212837</v>
      </c>
      <c r="J198" s="3529">
        <v>199.95265491870242</v>
      </c>
      <c r="K198" s="1097">
        <v>191.21064841414977</v>
      </c>
      <c r="L198" s="1261">
        <v>225.93302569448318</v>
      </c>
      <c r="M198" s="1261">
        <v>225.18986258625088</v>
      </c>
      <c r="N198" s="1261">
        <v>227.66920196005734</v>
      </c>
      <c r="O198" s="1261">
        <v>124.25673132219539</v>
      </c>
      <c r="P198" s="1261">
        <v>142.30490422079717</v>
      </c>
      <c r="Q198" s="1261">
        <v>130.41731125897587</v>
      </c>
      <c r="R198" s="1261">
        <v>171.09671115926426</v>
      </c>
      <c r="S198" s="1261">
        <v>190.96973783064556</v>
      </c>
      <c r="T198" s="2752">
        <v>125.72935192818734</v>
      </c>
    </row>
    <row r="199" spans="1:20">
      <c r="A199" s="388">
        <f t="shared" si="2"/>
        <v>2019.1</v>
      </c>
      <c r="B199" s="885">
        <v>142.8018407681507</v>
      </c>
      <c r="C199" s="3525">
        <v>150.15413133882899</v>
      </c>
      <c r="D199" s="2005">
        <v>151.10350757781799</v>
      </c>
      <c r="E199" s="1098">
        <v>31.644522294988104</v>
      </c>
      <c r="F199" s="3528">
        <v>50.050187484113486</v>
      </c>
      <c r="G199" s="3528">
        <v>227.1966135284672</v>
      </c>
      <c r="H199" s="3528">
        <v>157.32204562849589</v>
      </c>
      <c r="I199" s="3528">
        <v>181.1559822466873</v>
      </c>
      <c r="J199" s="3529">
        <v>171.97005355125066</v>
      </c>
      <c r="K199" s="1097">
        <v>207.65067292126596</v>
      </c>
      <c r="L199" s="1261">
        <v>221.10406736751034</v>
      </c>
      <c r="M199" s="1261">
        <v>220.83922343734417</v>
      </c>
      <c r="N199" s="1261">
        <v>241.28787172760138</v>
      </c>
      <c r="O199" s="1261">
        <v>112.77563261702605</v>
      </c>
      <c r="P199" s="1261">
        <v>142.53501381205965</v>
      </c>
      <c r="Q199" s="1261">
        <v>130.39645710317993</v>
      </c>
      <c r="R199" s="1261">
        <v>171.14584770062925</v>
      </c>
      <c r="S199" s="1261">
        <v>188.30985621364354</v>
      </c>
      <c r="T199" s="2752">
        <v>132.64849351963105</v>
      </c>
    </row>
    <row r="200" spans="1:20">
      <c r="A200" s="388">
        <f t="shared" si="2"/>
        <v>2019.11</v>
      </c>
      <c r="B200" s="885">
        <v>150.19318841037571</v>
      </c>
      <c r="C200" s="3525">
        <v>152.169766099443</v>
      </c>
      <c r="D200" s="2005">
        <v>149.87899091230099</v>
      </c>
      <c r="E200" s="1098">
        <v>100.56098980116637</v>
      </c>
      <c r="F200" s="3528">
        <v>65.978080778657443</v>
      </c>
      <c r="G200" s="3528">
        <v>157.26978878921469</v>
      </c>
      <c r="H200" s="3528">
        <v>141.5541493027753</v>
      </c>
      <c r="I200" s="3528">
        <v>185.87061119754006</v>
      </c>
      <c r="J200" s="3529">
        <v>215.94934428254535</v>
      </c>
      <c r="K200" s="1097">
        <v>189.78338869075478</v>
      </c>
      <c r="L200" s="1261">
        <v>229.34048201474258</v>
      </c>
      <c r="M200" s="1261">
        <v>225.04565209192293</v>
      </c>
      <c r="N200" s="1261">
        <v>239.28550212474656</v>
      </c>
      <c r="O200" s="1261">
        <v>106.80650255346283</v>
      </c>
      <c r="P200" s="1261">
        <v>142.73591328831859</v>
      </c>
      <c r="Q200" s="1261">
        <v>130.19126074687188</v>
      </c>
      <c r="R200" s="1261">
        <v>173.07567913718469</v>
      </c>
      <c r="S200" s="1261">
        <v>189.13769439475442</v>
      </c>
      <c r="T200" s="2752">
        <v>133.73484032450909</v>
      </c>
    </row>
    <row r="201" spans="1:20">
      <c r="A201" s="388">
        <f t="shared" si="2"/>
        <v>2019.12</v>
      </c>
      <c r="B201" s="885">
        <v>143.70371718152111</v>
      </c>
      <c r="C201" s="3525">
        <v>146.19865907545201</v>
      </c>
      <c r="D201" s="2005">
        <v>148.35908599381</v>
      </c>
      <c r="E201" s="1098">
        <v>75.91873560507598</v>
      </c>
      <c r="F201" s="3528">
        <v>73.579119038033042</v>
      </c>
      <c r="G201" s="3528">
        <v>213.57250726740585</v>
      </c>
      <c r="H201" s="3528">
        <v>117.63516042217039</v>
      </c>
      <c r="I201" s="3528">
        <v>181.66587209827685</v>
      </c>
      <c r="J201" s="3529">
        <v>220.94063273098891</v>
      </c>
      <c r="K201" s="1097">
        <v>214.76620856175245</v>
      </c>
      <c r="L201" s="1261">
        <v>223.69306499219317</v>
      </c>
      <c r="M201" s="1261">
        <v>214.81026977331607</v>
      </c>
      <c r="N201" s="1261">
        <v>253.41336590229449</v>
      </c>
      <c r="O201" s="1261">
        <v>114.81807384858662</v>
      </c>
      <c r="P201" s="1261">
        <v>141.53956022757041</v>
      </c>
      <c r="Q201" s="1261">
        <v>128.31679195620023</v>
      </c>
      <c r="R201" s="1261">
        <v>176.49001097090405</v>
      </c>
      <c r="S201" s="1261">
        <v>195.27348439740808</v>
      </c>
      <c r="T201" s="2752">
        <v>130.92193311816075</v>
      </c>
    </row>
    <row r="202" spans="1:20">
      <c r="A202" s="388">
        <f t="shared" si="2"/>
        <v>2020.01</v>
      </c>
      <c r="B202" s="885">
        <v>126.50108758249822</v>
      </c>
      <c r="C202" s="3525">
        <v>147.985282995511</v>
      </c>
      <c r="D202" s="2005">
        <v>146.856496155076</v>
      </c>
      <c r="E202" s="1098">
        <v>40.589965464866765</v>
      </c>
      <c r="F202" s="3528">
        <v>62.591685642450798</v>
      </c>
      <c r="G202" s="3528">
        <v>152.28670635735736</v>
      </c>
      <c r="H202" s="3528">
        <v>123.53735547906494</v>
      </c>
      <c r="I202" s="3528">
        <v>204.74014644535993</v>
      </c>
      <c r="J202" s="3529">
        <v>130.80188615047743</v>
      </c>
      <c r="K202" s="1097">
        <v>173.03190512765559</v>
      </c>
      <c r="L202" s="1261">
        <v>218.95535548206857</v>
      </c>
      <c r="M202" s="1261">
        <v>195.95713443946005</v>
      </c>
      <c r="N202" s="1261">
        <v>243.30547409659866</v>
      </c>
      <c r="O202" s="1261">
        <v>118.18036980583406</v>
      </c>
      <c r="P202" s="1261">
        <v>134.13887873108854</v>
      </c>
      <c r="Q202" s="1261">
        <v>127.02059412662757</v>
      </c>
      <c r="R202" s="1261">
        <v>144.37724029696932</v>
      </c>
      <c r="S202" s="1261">
        <v>210.72031858015183</v>
      </c>
      <c r="T202" s="2752">
        <v>123.93110244942828</v>
      </c>
    </row>
    <row r="203" spans="1:20">
      <c r="A203" s="388">
        <f t="shared" si="2"/>
        <v>2020.02</v>
      </c>
      <c r="B203" s="885">
        <v>126.73016971700717</v>
      </c>
      <c r="C203" s="3525">
        <v>146.51337168168101</v>
      </c>
      <c r="D203" s="2005">
        <v>145.72877862602601</v>
      </c>
      <c r="E203" s="1098">
        <v>59.007877606024358</v>
      </c>
      <c r="F203" s="3528">
        <v>43.804879550660246</v>
      </c>
      <c r="G203" s="3528">
        <v>128.3661359419855</v>
      </c>
      <c r="H203" s="3528">
        <v>116.99080525435362</v>
      </c>
      <c r="I203" s="3528">
        <v>206.59730464066035</v>
      </c>
      <c r="J203" s="3529">
        <v>141.36010442911081</v>
      </c>
      <c r="K203" s="1097">
        <v>162.41960871872789</v>
      </c>
      <c r="L203" s="1261">
        <v>219.61187469387272</v>
      </c>
      <c r="M203" s="1261">
        <v>192.71050021330271</v>
      </c>
      <c r="N203" s="1261">
        <v>245.6600899947799</v>
      </c>
      <c r="O203" s="1261">
        <v>122.0954818097762</v>
      </c>
      <c r="P203" s="1261">
        <v>134.95224338512151</v>
      </c>
      <c r="Q203" s="1261">
        <v>126.16400733650097</v>
      </c>
      <c r="R203" s="1261">
        <v>141.4693856730884</v>
      </c>
      <c r="S203" s="1261">
        <v>201.7036001143677</v>
      </c>
      <c r="T203" s="2752">
        <v>109.81632289054019</v>
      </c>
    </row>
    <row r="204" spans="1:20">
      <c r="A204" s="388">
        <f t="shared" si="2"/>
        <v>2020.03</v>
      </c>
      <c r="B204" s="885">
        <v>166.26652301217322</v>
      </c>
      <c r="C204" s="3525">
        <v>142.44436781881899</v>
      </c>
      <c r="D204" s="2005">
        <v>145.013140231763</v>
      </c>
      <c r="E204" s="1098">
        <v>255.65787701465715</v>
      </c>
      <c r="F204" s="3528">
        <v>46.68288803833579</v>
      </c>
      <c r="G204" s="3528">
        <v>102.38292040444399</v>
      </c>
      <c r="H204" s="3528">
        <v>124.98428719123676</v>
      </c>
      <c r="I204" s="3528">
        <v>198.78672052698454</v>
      </c>
      <c r="J204" s="3529">
        <v>141.26744598554629</v>
      </c>
      <c r="K204" s="1097">
        <v>147.91805650257533</v>
      </c>
      <c r="L204" s="1261">
        <v>199.67468004479616</v>
      </c>
      <c r="M204" s="1261">
        <v>219.03443365214792</v>
      </c>
      <c r="N204" s="1261">
        <v>277.82657701877298</v>
      </c>
      <c r="O204" s="1261">
        <v>120.28657699563377</v>
      </c>
      <c r="P204" s="1261">
        <v>134.00308816426647</v>
      </c>
      <c r="Q204" s="1261">
        <v>125.61886575302921</v>
      </c>
      <c r="R204" s="1261">
        <v>133.14836200071034</v>
      </c>
      <c r="S204" s="1261">
        <v>161.31659648540216</v>
      </c>
      <c r="T204" s="2752">
        <v>86.53603048165067</v>
      </c>
    </row>
    <row r="205" spans="1:20">
      <c r="A205" s="388">
        <f t="shared" si="2"/>
        <v>2020.04</v>
      </c>
      <c r="B205" s="885">
        <v>175.97532022556766</v>
      </c>
      <c r="C205" s="3525">
        <v>136.334034909889</v>
      </c>
      <c r="D205" s="2005">
        <v>144.589460985009</v>
      </c>
      <c r="E205" s="1098">
        <v>350.18607705112515</v>
      </c>
      <c r="F205" s="3528">
        <v>63.893741510198687</v>
      </c>
      <c r="G205" s="3528">
        <v>75.770657262722608</v>
      </c>
      <c r="H205" s="3528">
        <v>124.26513033844198</v>
      </c>
      <c r="I205" s="3528">
        <v>189.34426120665569</v>
      </c>
      <c r="J205" s="3529">
        <v>107.79444510124367</v>
      </c>
      <c r="K205" s="1097">
        <v>138.20286827205905</v>
      </c>
      <c r="L205" s="1261">
        <v>142.83078758500218</v>
      </c>
      <c r="M205" s="1261">
        <v>216.32122912209425</v>
      </c>
      <c r="N205" s="1261">
        <v>290.22114015283324</v>
      </c>
      <c r="O205" s="1261">
        <v>103.4261700061568</v>
      </c>
      <c r="P205" s="1261">
        <v>69.09812736666494</v>
      </c>
      <c r="Q205" s="1261">
        <v>124.91192894526444</v>
      </c>
      <c r="R205" s="1261">
        <v>114.27088806710921</v>
      </c>
      <c r="S205" s="1261">
        <v>90.146407467822485</v>
      </c>
      <c r="T205" s="2752">
        <v>60.524244661461857</v>
      </c>
    </row>
    <row r="206" spans="1:20">
      <c r="A206" s="388">
        <f t="shared" si="2"/>
        <v>2020.05</v>
      </c>
      <c r="B206" s="885">
        <v>163.23472639995623</v>
      </c>
      <c r="C206" s="3525">
        <v>145.81535248453699</v>
      </c>
      <c r="D206" s="2005">
        <v>144.36539929620201</v>
      </c>
      <c r="E206" s="1098">
        <v>216.41779031142741</v>
      </c>
      <c r="F206" s="3528">
        <v>57.759198293295178</v>
      </c>
      <c r="G206" s="3528">
        <v>129.75043505839383</v>
      </c>
      <c r="H206" s="3528">
        <v>143.22283399214894</v>
      </c>
      <c r="I206" s="3528">
        <v>208.09178054616768</v>
      </c>
      <c r="J206" s="3529">
        <v>136.84403543727049</v>
      </c>
      <c r="K206" s="1097">
        <v>177.80045746166724</v>
      </c>
      <c r="L206" s="1261">
        <v>128.99670048553438</v>
      </c>
      <c r="M206" s="1261">
        <v>210.49218088491034</v>
      </c>
      <c r="N206" s="1261">
        <v>292.14721882098058</v>
      </c>
      <c r="O206" s="1261">
        <v>105.0712629313967</v>
      </c>
      <c r="P206" s="1261">
        <v>113.69785908205014</v>
      </c>
      <c r="Q206" s="1261">
        <v>124.54353230853164</v>
      </c>
      <c r="R206" s="1261">
        <v>106.67101510589667</v>
      </c>
      <c r="S206" s="1261">
        <v>69.005799174209315</v>
      </c>
      <c r="T206" s="2752">
        <v>54.475291307092697</v>
      </c>
    </row>
    <row r="207" spans="1:20">
      <c r="A207" s="388">
        <f t="shared" si="2"/>
        <v>2020.06</v>
      </c>
      <c r="B207" s="885">
        <v>142.50245647552001</v>
      </c>
      <c r="C207" s="3525">
        <v>146.52087821221099</v>
      </c>
      <c r="D207" s="2005">
        <v>144.37843957887199</v>
      </c>
      <c r="E207" s="1098">
        <v>65.082351174685414</v>
      </c>
      <c r="F207" s="3528">
        <v>56.73243423758543</v>
      </c>
      <c r="G207" s="3528">
        <v>179.97663255765016</v>
      </c>
      <c r="H207" s="3528">
        <v>152.34890941451755</v>
      </c>
      <c r="I207" s="3528">
        <v>212.20082955418331</v>
      </c>
      <c r="J207" s="3529">
        <v>154.37154388668012</v>
      </c>
      <c r="K207" s="1097">
        <v>209.64510771994753</v>
      </c>
      <c r="L207" s="1261">
        <v>128.8768783203044</v>
      </c>
      <c r="M207" s="1261">
        <v>195.84548612820265</v>
      </c>
      <c r="N207" s="1261">
        <v>310.80636574416849</v>
      </c>
      <c r="O207" s="1261">
        <v>114.6044235903166</v>
      </c>
      <c r="P207" s="1261">
        <v>114.32633872726748</v>
      </c>
      <c r="Q207" s="1261">
        <v>124.84314491937548</v>
      </c>
      <c r="R207" s="1261">
        <v>109.06731440239101</v>
      </c>
      <c r="S207" s="1261">
        <v>71.850873585634787</v>
      </c>
      <c r="T207" s="2752">
        <v>67.037358736169722</v>
      </c>
    </row>
    <row r="208" spans="1:20">
      <c r="A208" s="388">
        <f t="shared" si="2"/>
        <v>2020.07</v>
      </c>
      <c r="B208" s="885">
        <v>137.07934148767964</v>
      </c>
      <c r="C208" s="3525">
        <v>143.19862437970099</v>
      </c>
      <c r="D208" s="2005">
        <v>144.51689026906101</v>
      </c>
      <c r="E208" s="1098">
        <v>41.096887654288068</v>
      </c>
      <c r="F208" s="3528">
        <v>54.40733447374997</v>
      </c>
      <c r="G208" s="3528">
        <v>204.42863974207057</v>
      </c>
      <c r="H208" s="3528">
        <v>144.46259055150412</v>
      </c>
      <c r="I208" s="3528">
        <v>215.98097303195058</v>
      </c>
      <c r="J208" s="3529">
        <v>150.71640160537515</v>
      </c>
      <c r="K208" s="1097">
        <v>206.0596168330249</v>
      </c>
      <c r="L208" s="1261">
        <v>140.39669752530688</v>
      </c>
      <c r="M208" s="1261">
        <v>189.50266596500342</v>
      </c>
      <c r="N208" s="1261">
        <v>310.9442087991481</v>
      </c>
      <c r="O208" s="1261">
        <v>126.35707682033836</v>
      </c>
      <c r="P208" s="1261">
        <v>117.40941860893244</v>
      </c>
      <c r="Q208" s="1261">
        <v>124.85301838111167</v>
      </c>
      <c r="R208" s="1261">
        <v>121.92157806983089</v>
      </c>
      <c r="S208" s="1261">
        <v>110.88039774485478</v>
      </c>
      <c r="T208" s="2752">
        <v>96.068410030867042</v>
      </c>
    </row>
    <row r="209" spans="1:20">
      <c r="A209" s="388">
        <f t="shared" si="2"/>
        <v>2020.08</v>
      </c>
      <c r="B209" s="885">
        <v>133.60268677522399</v>
      </c>
      <c r="C209" s="3525">
        <v>142.58400713989801</v>
      </c>
      <c r="D209" s="2005">
        <v>144.64674103558201</v>
      </c>
      <c r="E209" s="1098">
        <v>39.848785925757547</v>
      </c>
      <c r="F209" s="3528">
        <v>44.146948227915701</v>
      </c>
      <c r="G209" s="3528">
        <v>226.7263067773797</v>
      </c>
      <c r="H209" s="3528">
        <v>135.27334592292831</v>
      </c>
      <c r="I209" s="3528">
        <v>183.97351838795865</v>
      </c>
      <c r="J209" s="3529">
        <v>157.77621669272907</v>
      </c>
      <c r="K209" s="1097">
        <v>196.59375425926191</v>
      </c>
      <c r="L209" s="1261">
        <v>149.33986424939272</v>
      </c>
      <c r="M209" s="1261">
        <v>183.9999759090592</v>
      </c>
      <c r="N209" s="1261">
        <v>318.69095181338741</v>
      </c>
      <c r="O209" s="1261">
        <v>131.09781618350888</v>
      </c>
      <c r="P209" s="1261">
        <v>116.55062826250523</v>
      </c>
      <c r="Q209" s="1261">
        <v>124.97267866793436</v>
      </c>
      <c r="R209" s="1261">
        <v>130.30169007684765</v>
      </c>
      <c r="S209" s="1261">
        <v>135.41901001209911</v>
      </c>
      <c r="T209" s="2752">
        <v>115.07352163902004</v>
      </c>
    </row>
    <row r="210" spans="1:20">
      <c r="A210" s="388">
        <f t="shared" si="2"/>
        <v>2020.09</v>
      </c>
      <c r="B210" s="885">
        <v>136.60589936252879</v>
      </c>
      <c r="C210" s="3525">
        <v>144.445773564333</v>
      </c>
      <c r="D210" s="2005">
        <v>144.544741974837</v>
      </c>
      <c r="E210" s="1098">
        <v>32.110218700162697</v>
      </c>
      <c r="F210" s="3528">
        <v>50.408162879952947</v>
      </c>
      <c r="G210" s="3528">
        <v>215.69233853540996</v>
      </c>
      <c r="H210" s="3528">
        <v>147.31184670027721</v>
      </c>
      <c r="I210" s="3528">
        <v>182.83862269302278</v>
      </c>
      <c r="J210" s="3529">
        <v>166.7478733004358</v>
      </c>
      <c r="K210" s="1097">
        <v>197.34719679625482</v>
      </c>
      <c r="L210" s="1261">
        <v>153.5370537119903</v>
      </c>
      <c r="M210" s="1261">
        <v>186.35852974150171</v>
      </c>
      <c r="N210" s="1261">
        <v>319.34957044571746</v>
      </c>
      <c r="O210" s="1261">
        <v>128.46954315686904</v>
      </c>
      <c r="P210" s="1261">
        <v>124.38519092728819</v>
      </c>
      <c r="Q210" s="1261">
        <v>126.05088764432936</v>
      </c>
      <c r="R210" s="1261">
        <v>136.03347376069479</v>
      </c>
      <c r="S210" s="1261">
        <v>153.75729432020955</v>
      </c>
      <c r="T210" s="2752">
        <v>123.64025480787745</v>
      </c>
    </row>
    <row r="211" spans="1:20">
      <c r="A211" s="388">
        <f t="shared" si="2"/>
        <v>2020.1</v>
      </c>
      <c r="B211" s="885">
        <v>137.60943827299261</v>
      </c>
      <c r="C211" s="3525">
        <v>146.739122051186</v>
      </c>
      <c r="D211" s="2005">
        <v>144.32250307262501</v>
      </c>
      <c r="E211" s="1098">
        <v>34.393293855241595</v>
      </c>
      <c r="F211" s="3528">
        <v>42.595827673465784</v>
      </c>
      <c r="G211" s="3528">
        <v>168.27516395826706</v>
      </c>
      <c r="H211" s="3528">
        <v>143.16181485467075</v>
      </c>
      <c r="I211" s="3528">
        <v>175.76084337280435</v>
      </c>
      <c r="J211" s="3529">
        <v>159.35335599219653</v>
      </c>
      <c r="K211" s="1097">
        <v>210.88630148426824</v>
      </c>
      <c r="L211" s="1261">
        <v>157.19620379860024</v>
      </c>
      <c r="M211" s="1261">
        <v>190.9143061774372</v>
      </c>
      <c r="N211" s="1261">
        <v>332.28794111012326</v>
      </c>
      <c r="O211" s="1261">
        <v>114.73990937825695</v>
      </c>
      <c r="P211" s="1261">
        <v>124.67223359833078</v>
      </c>
      <c r="Q211" s="1261">
        <v>125.82562544276233</v>
      </c>
      <c r="R211" s="1261">
        <v>139.01957058905265</v>
      </c>
      <c r="S211" s="1261">
        <v>171.26239171653708</v>
      </c>
      <c r="T211" s="2752">
        <v>122.54778287220405</v>
      </c>
    </row>
    <row r="212" spans="1:20">
      <c r="A212" s="388">
        <f t="shared" si="2"/>
        <v>2020.11</v>
      </c>
      <c r="B212" s="885">
        <v>144.25917084511585</v>
      </c>
      <c r="C212" s="3525">
        <v>145.84224159416399</v>
      </c>
      <c r="D212" s="2005">
        <v>144.21659126549201</v>
      </c>
      <c r="E212" s="1098">
        <v>79.780839091415729</v>
      </c>
      <c r="F212" s="3528">
        <v>28.924241062113236</v>
      </c>
      <c r="G212" s="3528">
        <v>150.62337828799781</v>
      </c>
      <c r="H212" s="3528">
        <v>139.0566290322958</v>
      </c>
      <c r="I212" s="3528">
        <v>198.49326031875651</v>
      </c>
      <c r="J212" s="3529">
        <v>160.63178169342217</v>
      </c>
      <c r="K212" s="1097">
        <v>196.84614120625861</v>
      </c>
      <c r="L212" s="1261">
        <v>162.11583939379139</v>
      </c>
      <c r="M212" s="1261">
        <v>200.28212887003821</v>
      </c>
      <c r="N212" s="1261">
        <v>332.79964763591983</v>
      </c>
      <c r="O212" s="1261">
        <v>115.53104787025239</v>
      </c>
      <c r="P212" s="1261">
        <v>124.57837861635531</v>
      </c>
      <c r="Q212" s="1261">
        <v>126.41558966988694</v>
      </c>
      <c r="R212" s="1261">
        <v>140.16186065698963</v>
      </c>
      <c r="S212" s="1261">
        <v>180.77381205097606</v>
      </c>
      <c r="T212" s="2752">
        <v>120.7157526188022</v>
      </c>
    </row>
    <row r="213" spans="1:20">
      <c r="A213" s="388">
        <f t="shared" si="2"/>
        <v>2020.12</v>
      </c>
      <c r="B213" s="885">
        <v>139.87203942783611</v>
      </c>
      <c r="C213" s="3525">
        <v>141.678377667711</v>
      </c>
      <c r="D213" s="2005">
        <v>144.14658331143301</v>
      </c>
      <c r="E213" s="1098">
        <v>62.221578800086128</v>
      </c>
      <c r="F213" s="3528">
        <v>39.445317493468735</v>
      </c>
      <c r="G213" s="3528">
        <v>168.19431457967343</v>
      </c>
      <c r="H213" s="3528">
        <v>112.93203269881786</v>
      </c>
      <c r="I213" s="3528">
        <v>192.59164768100993</v>
      </c>
      <c r="J213" s="3529">
        <v>213.96586814242568</v>
      </c>
      <c r="K213" s="1097">
        <v>222.36622557471566</v>
      </c>
      <c r="L213" s="1261">
        <v>169.16268463234596</v>
      </c>
      <c r="M213" s="1261">
        <v>191.3253521681313</v>
      </c>
      <c r="N213" s="1261">
        <v>341.4884622992148</v>
      </c>
      <c r="O213" s="1261">
        <v>119.62056267501227</v>
      </c>
      <c r="P213" s="1261">
        <v>123.69188664946074</v>
      </c>
      <c r="Q213" s="1261">
        <v>127.34791787729377</v>
      </c>
      <c r="R213" s="1261">
        <v>140.62913591921586</v>
      </c>
      <c r="S213" s="1261">
        <v>187.51430015788173</v>
      </c>
      <c r="T213" s="2752">
        <v>119.68271104408187</v>
      </c>
    </row>
    <row r="214" spans="1:20">
      <c r="A214" s="388">
        <f t="shared" si="2"/>
        <v>2021.01</v>
      </c>
      <c r="B214" s="885">
        <v>131.45258068989867</v>
      </c>
      <c r="C214" s="3525">
        <v>157.34930756440301</v>
      </c>
      <c r="D214" s="2005">
        <v>159.773458098502</v>
      </c>
      <c r="E214" s="1098">
        <v>38.106246799719848</v>
      </c>
      <c r="F214" s="3528">
        <v>12.289903688269854</v>
      </c>
      <c r="G214" s="3528">
        <v>191.96501785423757</v>
      </c>
      <c r="H214" s="3528">
        <v>127.40446825416363</v>
      </c>
      <c r="I214" s="3528">
        <v>211.31108974871881</v>
      </c>
      <c r="J214" s="3529">
        <v>137.17237475245363</v>
      </c>
      <c r="K214" s="1097">
        <v>181.12101513994537</v>
      </c>
      <c r="L214" s="1261">
        <v>169.16840695642247</v>
      </c>
      <c r="M214" s="1261">
        <v>189.66336936241959</v>
      </c>
      <c r="N214" s="1261">
        <v>333.63384366384986</v>
      </c>
      <c r="O214" s="1261">
        <v>122.32473370610531</v>
      </c>
      <c r="P214" s="1261">
        <v>144.32030267061441</v>
      </c>
      <c r="Q214" s="1261">
        <v>129.14393450457055</v>
      </c>
      <c r="R214" s="1261">
        <v>194.84265487901268</v>
      </c>
      <c r="S214" s="1261">
        <v>175.57022295071982</v>
      </c>
      <c r="T214" s="2752">
        <v>118.79352751409783</v>
      </c>
    </row>
    <row r="215" spans="1:20">
      <c r="A215" s="388">
        <f t="shared" si="2"/>
        <v>2021.02</v>
      </c>
      <c r="B215" s="885">
        <v>135.37620753765128</v>
      </c>
      <c r="C215" s="3525">
        <v>160.37138330129</v>
      </c>
      <c r="D215" s="2005">
        <v>159.274634037201</v>
      </c>
      <c r="E215" s="1098">
        <v>58.251300960905773</v>
      </c>
      <c r="F215" s="3528">
        <v>22.976776460678437</v>
      </c>
      <c r="G215" s="3528">
        <v>168.02177017413825</v>
      </c>
      <c r="H215" s="3528">
        <v>132.91125220571178</v>
      </c>
      <c r="I215" s="3528">
        <v>188.1846840855427</v>
      </c>
      <c r="J215" s="3529">
        <v>143.70424635840035</v>
      </c>
      <c r="K215" s="1097">
        <v>171.52217573643961</v>
      </c>
      <c r="L215" s="1261">
        <v>171.44775833498369</v>
      </c>
      <c r="M215" s="1261">
        <v>189.14249373772665</v>
      </c>
      <c r="N215" s="1261">
        <v>330.47324767332907</v>
      </c>
      <c r="O215" s="1261">
        <v>124.90610367659554</v>
      </c>
      <c r="P215" s="1261">
        <v>144.70352095301226</v>
      </c>
      <c r="Q215" s="1261">
        <v>130.33294195697272</v>
      </c>
      <c r="R215" s="1261">
        <v>193.3548883402996</v>
      </c>
      <c r="S215" s="1261">
        <v>175.21343924355443</v>
      </c>
      <c r="T215" s="2752">
        <v>115.77963194580873</v>
      </c>
    </row>
    <row r="216" spans="1:20">
      <c r="A216" s="388">
        <f t="shared" si="2"/>
        <v>2021.03</v>
      </c>
      <c r="B216" s="885">
        <v>190.7297299543703</v>
      </c>
      <c r="C216" s="3525">
        <v>161.55175472028699</v>
      </c>
      <c r="D216" s="2005">
        <v>158.52978062366401</v>
      </c>
      <c r="E216" s="1098">
        <v>254.96458461638062</v>
      </c>
      <c r="F216" s="3528">
        <v>75.553696897281739</v>
      </c>
      <c r="G216" s="3528">
        <v>194.57783313805669</v>
      </c>
      <c r="H216" s="3528">
        <v>152.65650660129339</v>
      </c>
      <c r="I216" s="3528">
        <v>206.03006507507527</v>
      </c>
      <c r="J216" s="3529">
        <v>166.4195529673124</v>
      </c>
      <c r="K216" s="1097">
        <v>203.93255920295471</v>
      </c>
      <c r="L216" s="1261">
        <v>173.69084856807959</v>
      </c>
      <c r="M216" s="1261">
        <v>233.11812720329533</v>
      </c>
      <c r="N216" s="1261">
        <v>356.73547199156394</v>
      </c>
      <c r="O216" s="1261">
        <v>134.04947465553863</v>
      </c>
      <c r="P216" s="1261">
        <v>144.05787481094612</v>
      </c>
      <c r="Q216" s="1261">
        <v>130.94085895735762</v>
      </c>
      <c r="R216" s="1261">
        <v>194.45937234716067</v>
      </c>
      <c r="S216" s="1261">
        <v>168.71406455839309</v>
      </c>
      <c r="T216" s="2752">
        <v>106.97667565928126</v>
      </c>
    </row>
    <row r="217" spans="1:20">
      <c r="A217" s="388">
        <f t="shared" si="2"/>
        <v>2021.04</v>
      </c>
      <c r="B217" s="885">
        <v>205.12226461470129</v>
      </c>
      <c r="C217" s="3525">
        <v>158.80477296233599</v>
      </c>
      <c r="D217" s="2005">
        <v>157.64473304113599</v>
      </c>
      <c r="E217" s="1098">
        <v>343.07581842953635</v>
      </c>
      <c r="F217" s="3528">
        <v>23.644706008953971</v>
      </c>
      <c r="G217" s="3528">
        <v>174.64550341062758</v>
      </c>
      <c r="H217" s="3528">
        <v>156.24917854525472</v>
      </c>
      <c r="I217" s="3528">
        <v>207.74899763370456</v>
      </c>
      <c r="J217" s="3529">
        <v>157.31341975925568</v>
      </c>
      <c r="K217" s="1097">
        <v>187.85227360995344</v>
      </c>
      <c r="L217" s="1261">
        <v>165.66286791226403</v>
      </c>
      <c r="M217" s="1261">
        <v>236.32858498454169</v>
      </c>
      <c r="N217" s="1261">
        <v>355.97200861305129</v>
      </c>
      <c r="O217" s="1261">
        <v>121.51376828037124</v>
      </c>
      <c r="P217" s="1261">
        <v>143.64376362587933</v>
      </c>
      <c r="Q217" s="1261">
        <v>131.45315830349631</v>
      </c>
      <c r="R217" s="1261">
        <v>195.19229938135283</v>
      </c>
      <c r="S217" s="1261">
        <v>167.71282899432131</v>
      </c>
      <c r="T217" s="2752">
        <v>100.99494516414514</v>
      </c>
    </row>
    <row r="218" spans="1:20">
      <c r="A218" s="388">
        <f t="shared" si="2"/>
        <v>2021.05</v>
      </c>
      <c r="B218" s="885">
        <v>173.46454671661283</v>
      </c>
      <c r="C218" s="3525">
        <v>154.58922479059601</v>
      </c>
      <c r="D218" s="2005">
        <v>156.687474122021</v>
      </c>
      <c r="E218" s="1098">
        <v>209.36756965945679</v>
      </c>
      <c r="F218" s="3528">
        <v>26.004723746194198</v>
      </c>
      <c r="G218" s="3528">
        <v>168.41517141875855</v>
      </c>
      <c r="H218" s="3528">
        <v>141.87104667992529</v>
      </c>
      <c r="I218" s="3528">
        <v>214.46852191025357</v>
      </c>
      <c r="J218" s="3529">
        <v>159.10626981196438</v>
      </c>
      <c r="K218" s="1097">
        <v>192.80918316630226</v>
      </c>
      <c r="L218" s="1261">
        <v>155.23606165721822</v>
      </c>
      <c r="M218" s="1261">
        <v>207.65054780433692</v>
      </c>
      <c r="N218" s="1261">
        <v>345.01005388848347</v>
      </c>
      <c r="O218" s="1261">
        <v>120.29673688706615</v>
      </c>
      <c r="P218" s="1261">
        <v>144.5309074823561</v>
      </c>
      <c r="Q218" s="1261">
        <v>131.84778130798918</v>
      </c>
      <c r="R218" s="1261">
        <v>193.64834566085244</v>
      </c>
      <c r="S218" s="1261">
        <v>172.53307081230474</v>
      </c>
      <c r="T218" s="2752">
        <v>104.63693579483035</v>
      </c>
    </row>
    <row r="219" spans="1:20">
      <c r="A219" s="388">
        <f t="shared" si="2"/>
        <v>2021.06</v>
      </c>
      <c r="B219" s="885">
        <v>151.05857186172707</v>
      </c>
      <c r="C219" s="3525">
        <v>155.110274981646</v>
      </c>
      <c r="D219" s="2005">
        <v>155.946333840352</v>
      </c>
      <c r="E219" s="1098">
        <v>61.675320441415451</v>
      </c>
      <c r="F219" s="3528">
        <v>45.463737919288135</v>
      </c>
      <c r="G219" s="3528">
        <v>196.66414149298546</v>
      </c>
      <c r="H219" s="3528">
        <v>154.10138841247178</v>
      </c>
      <c r="I219" s="3528">
        <v>220.72648628845238</v>
      </c>
      <c r="J219" s="3529">
        <v>178.80308611502178</v>
      </c>
      <c r="K219" s="1097">
        <v>213.29154562627488</v>
      </c>
      <c r="L219" s="1261">
        <v>151.1191955559047</v>
      </c>
      <c r="M219" s="1261">
        <v>187.39764402173481</v>
      </c>
      <c r="N219" s="1261">
        <v>352.0844913519735</v>
      </c>
      <c r="O219" s="1261">
        <v>124.29710116330639</v>
      </c>
      <c r="P219" s="1261">
        <v>143.25355548039104</v>
      </c>
      <c r="Q219" s="1261">
        <v>132.60534299460991</v>
      </c>
      <c r="R219" s="1261">
        <v>194.7712934441648</v>
      </c>
      <c r="S219" s="1261">
        <v>169.34158976781154</v>
      </c>
      <c r="T219" s="2752">
        <v>112.75687451774678</v>
      </c>
    </row>
    <row r="220" spans="1:20">
      <c r="A220" s="388">
        <f t="shared" si="2"/>
        <v>2021.07</v>
      </c>
      <c r="B220" s="885">
        <v>147.0241731834771</v>
      </c>
      <c r="C220" s="3525">
        <v>155.20394715824401</v>
      </c>
      <c r="D220" s="2005">
        <v>156.00174534092</v>
      </c>
      <c r="E220" s="1098">
        <v>38.141192594549182</v>
      </c>
      <c r="F220" s="3528">
        <v>29.923243762744008</v>
      </c>
      <c r="G220" s="3528">
        <v>209.93428523069167</v>
      </c>
      <c r="H220" s="3528">
        <v>155.9216786655285</v>
      </c>
      <c r="I220" s="3528">
        <v>223.73085799605425</v>
      </c>
      <c r="J220" s="3529">
        <v>169.24636688178177</v>
      </c>
      <c r="K220" s="1097">
        <v>213.26745389721279</v>
      </c>
      <c r="L220" s="1261">
        <v>164.58514023023565</v>
      </c>
      <c r="M220" s="1261">
        <v>178.03747808773215</v>
      </c>
      <c r="N220" s="1261">
        <v>346.17308681032119</v>
      </c>
      <c r="O220" s="1261">
        <v>134.02309371782863</v>
      </c>
      <c r="P220" s="1261">
        <v>143.35523568464362</v>
      </c>
      <c r="Q220" s="1261">
        <v>133.0102592993606</v>
      </c>
      <c r="R220" s="1261">
        <v>194.51582481309237</v>
      </c>
      <c r="S220" s="1261">
        <v>167.9803759529733</v>
      </c>
      <c r="T220" s="2752">
        <v>124.53331098689716</v>
      </c>
    </row>
    <row r="221" spans="1:20">
      <c r="A221" s="388">
        <f t="shared" si="2"/>
        <v>2021.08</v>
      </c>
      <c r="B221" s="885">
        <v>148.29824020953544</v>
      </c>
      <c r="C221" s="3525">
        <v>156.25241385244601</v>
      </c>
      <c r="D221" s="2005">
        <v>157.00962320271299</v>
      </c>
      <c r="E221" s="1098">
        <v>38.677543586218214</v>
      </c>
      <c r="F221" s="3528">
        <v>30.902873766881456</v>
      </c>
      <c r="G221" s="3528">
        <v>162.87698898509367</v>
      </c>
      <c r="H221" s="3528">
        <v>155.17226665346314</v>
      </c>
      <c r="I221" s="3528">
        <v>217.08681442612243</v>
      </c>
      <c r="J221" s="3529">
        <v>178.30656083427502</v>
      </c>
      <c r="K221" s="1097">
        <v>213.60523876609454</v>
      </c>
      <c r="L221" s="1261">
        <v>167.68702842919089</v>
      </c>
      <c r="M221" s="1261">
        <v>195.23413849594385</v>
      </c>
      <c r="N221" s="1261">
        <v>347.73929402748041</v>
      </c>
      <c r="O221" s="1261">
        <v>135.63580788882973</v>
      </c>
      <c r="P221" s="1261">
        <v>143.70645154891656</v>
      </c>
      <c r="Q221" s="1261">
        <v>133.30239308091305</v>
      </c>
      <c r="R221" s="1261">
        <v>192.9532638307017</v>
      </c>
      <c r="S221" s="1261">
        <v>167.74134065493195</v>
      </c>
      <c r="T221" s="2752">
        <v>128.46937298604931</v>
      </c>
    </row>
    <row r="222" spans="1:20">
      <c r="A222" s="388">
        <f t="shared" si="2"/>
        <v>2021.09</v>
      </c>
      <c r="B222" s="885">
        <v>151.11958566496844</v>
      </c>
      <c r="C222" s="3525">
        <v>159.821270636311</v>
      </c>
      <c r="D222" s="2005">
        <v>158.71887505331799</v>
      </c>
      <c r="E222" s="1098">
        <v>31.930871573482456</v>
      </c>
      <c r="F222" s="3528">
        <v>33.36619794092163</v>
      </c>
      <c r="G222" s="3528">
        <v>206.57706408299202</v>
      </c>
      <c r="H222" s="3528">
        <v>169.78730994482342</v>
      </c>
      <c r="I222" s="3528">
        <v>194.72016057662324</v>
      </c>
      <c r="J222" s="3529">
        <v>195.3783984921663</v>
      </c>
      <c r="K222" s="1097">
        <v>216.14087840972439</v>
      </c>
      <c r="L222" s="1261">
        <v>176.68526645211915</v>
      </c>
      <c r="M222" s="1261">
        <v>198.09186325211584</v>
      </c>
      <c r="N222" s="1261">
        <v>337.77983531964497</v>
      </c>
      <c r="O222" s="1261">
        <v>129.34343326147453</v>
      </c>
      <c r="P222" s="1261">
        <v>143.64420617099302</v>
      </c>
      <c r="Q222" s="1261">
        <v>133.49972846123836</v>
      </c>
      <c r="R222" s="1261">
        <v>192.74013454907796</v>
      </c>
      <c r="S222" s="1261">
        <v>166.66455258446189</v>
      </c>
      <c r="T222" s="2752">
        <v>124.92693509380169</v>
      </c>
    </row>
    <row r="223" spans="1:20">
      <c r="A223" s="388">
        <f t="shared" si="2"/>
        <v>2021.1</v>
      </c>
      <c r="B223" s="885">
        <v>146.94383018308332</v>
      </c>
      <c r="C223" s="3525">
        <v>159.179566299751</v>
      </c>
      <c r="D223" s="2005">
        <v>160.470785891063</v>
      </c>
      <c r="E223" s="1098">
        <v>32.130182182890273</v>
      </c>
      <c r="F223" s="3528">
        <v>51.831332946181575</v>
      </c>
      <c r="G223" s="3528">
        <v>181.03457625558906</v>
      </c>
      <c r="H223" s="3528">
        <v>158.52907087796447</v>
      </c>
      <c r="I223" s="3528">
        <v>193.82647359241662</v>
      </c>
      <c r="J223" s="3529">
        <v>171.56536082815984</v>
      </c>
      <c r="K223" s="1097">
        <v>222.56181518352258</v>
      </c>
      <c r="L223" s="1261">
        <v>185.13995475565724</v>
      </c>
      <c r="M223" s="1261">
        <v>193.0431302943349</v>
      </c>
      <c r="N223" s="1261">
        <v>333.66139930637371</v>
      </c>
      <c r="O223" s="1261">
        <v>117.84846412448654</v>
      </c>
      <c r="P223" s="1261">
        <v>143.59921410640686</v>
      </c>
      <c r="Q223" s="1261">
        <v>133.71368158795426</v>
      </c>
      <c r="R223" s="1261">
        <v>193.78699883977191</v>
      </c>
      <c r="S223" s="1261">
        <v>167.97337178652427</v>
      </c>
      <c r="T223" s="2752">
        <v>114.68485145034253</v>
      </c>
    </row>
    <row r="224" spans="1:20">
      <c r="A224" s="388">
        <f t="shared" si="2"/>
        <v>2021.11</v>
      </c>
      <c r="B224" s="885">
        <v>163.50877589353601</v>
      </c>
      <c r="C224" s="3525">
        <v>163.750465058066</v>
      </c>
      <c r="D224" s="2005">
        <v>161.585963447593</v>
      </c>
      <c r="E224" s="1098">
        <v>120.41912179001095</v>
      </c>
      <c r="F224" s="3528">
        <v>43.816178366875157</v>
      </c>
      <c r="G224" s="3528">
        <v>190.44859902159087</v>
      </c>
      <c r="H224" s="3528">
        <v>149.47593338270238</v>
      </c>
      <c r="I224" s="3528">
        <v>190.6078330984804</v>
      </c>
      <c r="J224" s="3529">
        <v>186.23603144578146</v>
      </c>
      <c r="K224" s="1097">
        <v>228.12827032545064</v>
      </c>
      <c r="L224" s="1261">
        <v>186.88884164586921</v>
      </c>
      <c r="M224" s="1261">
        <v>205.6923759229187</v>
      </c>
      <c r="N224" s="1261">
        <v>329.04223159392546</v>
      </c>
      <c r="O224" s="1261">
        <v>114.34473240018228</v>
      </c>
      <c r="P224" s="1261">
        <v>143.53170777345906</v>
      </c>
      <c r="Q224" s="1261">
        <v>128.19390099901753</v>
      </c>
      <c r="R224" s="1261">
        <v>192.62012000214423</v>
      </c>
      <c r="S224" s="1261">
        <v>168.19837869463652</v>
      </c>
      <c r="T224" s="2752">
        <v>105.54444501923138</v>
      </c>
    </row>
    <row r="225" spans="1:20">
      <c r="A225" s="388">
        <f t="shared" si="2"/>
        <v>2021.12</v>
      </c>
      <c r="B225" s="885">
        <v>160.80421063341154</v>
      </c>
      <c r="C225" s="3525">
        <v>163.92332440532101</v>
      </c>
      <c r="D225" s="2005">
        <v>161.796822681858</v>
      </c>
      <c r="E225" s="1098">
        <v>93.234506766411215</v>
      </c>
      <c r="F225" s="3528">
        <v>30.99193103998487</v>
      </c>
      <c r="G225" s="3528">
        <v>188.73301464655492</v>
      </c>
      <c r="H225" s="3528">
        <v>144.469308575106</v>
      </c>
      <c r="I225" s="3528">
        <v>206.2844674522967</v>
      </c>
      <c r="J225" s="3529">
        <v>194.61619755540679</v>
      </c>
      <c r="K225" s="1097">
        <v>249.807498086637</v>
      </c>
      <c r="L225" s="1261">
        <v>188.64733342631408</v>
      </c>
      <c r="M225" s="1261">
        <v>195.89265231810467</v>
      </c>
      <c r="N225" s="1261">
        <v>323.25338511512956</v>
      </c>
      <c r="O225" s="1261">
        <v>115.58435994522492</v>
      </c>
      <c r="P225" s="1261">
        <v>143.70798898312435</v>
      </c>
      <c r="Q225" s="1261">
        <v>133.66605464636612</v>
      </c>
      <c r="R225" s="1261">
        <v>194.00283401966865</v>
      </c>
      <c r="S225" s="1261">
        <v>176.37013756349282</v>
      </c>
      <c r="T225" s="2752">
        <v>101.21497891875558</v>
      </c>
    </row>
    <row r="226" spans="1:20">
      <c r="A226" s="388">
        <f t="shared" si="2"/>
        <v>2022.01</v>
      </c>
      <c r="B226" s="885">
        <v>130.2085730135949</v>
      </c>
      <c r="C226" s="3525">
        <v>155.68605503419101</v>
      </c>
      <c r="D226" s="2005">
        <v>161.327079565524</v>
      </c>
      <c r="E226" s="1098">
        <v>38.618608340772106</v>
      </c>
      <c r="F226" s="3528">
        <v>17.188053708957117</v>
      </c>
      <c r="G226" s="3528">
        <v>108.07491385104314</v>
      </c>
      <c r="H226" s="3528">
        <v>116.08011165703802</v>
      </c>
      <c r="I226" s="3528">
        <v>220.31304166289476</v>
      </c>
      <c r="J226" s="3529">
        <v>136.51103819748718</v>
      </c>
      <c r="K226" s="1097">
        <v>196.51781016315422</v>
      </c>
      <c r="L226" s="1261">
        <v>186.5447045957294</v>
      </c>
      <c r="M226" s="1261">
        <v>172.22586785086889</v>
      </c>
      <c r="N226" s="1261">
        <v>316.5644039308167</v>
      </c>
      <c r="O226" s="1261">
        <v>124.75005021536386</v>
      </c>
      <c r="P226" s="1261">
        <v>144.14470588335141</v>
      </c>
      <c r="Q226" s="1261">
        <v>131.55702822098561</v>
      </c>
      <c r="R226" s="1261">
        <v>197.05872554846931</v>
      </c>
      <c r="S226" s="1261">
        <v>175.78757700485343</v>
      </c>
      <c r="T226" s="2752">
        <v>102.53963055769455</v>
      </c>
    </row>
    <row r="227" spans="1:20">
      <c r="A227" s="388">
        <f t="shared" si="2"/>
        <v>2022.02</v>
      </c>
      <c r="B227" s="885">
        <v>137.7860224066479</v>
      </c>
      <c r="C227" s="3525">
        <v>163.34734674067099</v>
      </c>
      <c r="D227" s="2005">
        <v>160.59304493972101</v>
      </c>
      <c r="E227" s="1098">
        <v>55.085954109683165</v>
      </c>
      <c r="F227" s="3528">
        <v>22.19307245736848</v>
      </c>
      <c r="G227" s="3528">
        <v>150.95762145072035</v>
      </c>
      <c r="H227" s="3528">
        <v>131.76747576355274</v>
      </c>
      <c r="I227" s="3528">
        <v>199.81384576886015</v>
      </c>
      <c r="J227" s="3529">
        <v>166.45355058268481</v>
      </c>
      <c r="K227" s="1097">
        <v>191.45622924349937</v>
      </c>
      <c r="L227" s="1261">
        <v>190.87665817644105</v>
      </c>
      <c r="M227" s="1261">
        <v>178.38546093684084</v>
      </c>
      <c r="N227" s="1261">
        <v>299.94621551211725</v>
      </c>
      <c r="O227" s="1261">
        <v>124.64365274782772</v>
      </c>
      <c r="P227" s="1261">
        <v>144.23494595677062</v>
      </c>
      <c r="Q227" s="1261">
        <v>131.12508761264908</v>
      </c>
      <c r="R227" s="1261">
        <v>196.12714525192655</v>
      </c>
      <c r="S227" s="1261">
        <v>180.09925940800457</v>
      </c>
      <c r="T227" s="2752">
        <v>105.87355984772086</v>
      </c>
    </row>
    <row r="228" spans="1:20">
      <c r="A228" s="388">
        <f t="shared" si="2"/>
        <v>2022.03</v>
      </c>
      <c r="B228" s="885">
        <v>186.71455648652761</v>
      </c>
      <c r="C228" s="3525">
        <v>157.50733419666099</v>
      </c>
      <c r="D228" s="2005">
        <v>160.047153067995</v>
      </c>
      <c r="E228" s="1098">
        <v>226.86012130199873</v>
      </c>
      <c r="F228" s="3528">
        <v>35.552553995610232</v>
      </c>
      <c r="G228" s="3528">
        <v>145.63240811188754</v>
      </c>
      <c r="H228" s="3528">
        <v>150.55711920537814</v>
      </c>
      <c r="I228" s="3528">
        <v>209.23992111446839</v>
      </c>
      <c r="J228" s="3529">
        <v>180.05827732343519</v>
      </c>
      <c r="K228" s="1097">
        <v>224.25580968242645</v>
      </c>
      <c r="L228" s="1261">
        <v>202.96542878840256</v>
      </c>
      <c r="M228" s="1261">
        <v>215.09632622123328</v>
      </c>
      <c r="N228" s="1261">
        <v>317.46801855258565</v>
      </c>
      <c r="O228" s="1261">
        <v>131.08972608651098</v>
      </c>
      <c r="P228" s="1261">
        <v>143.09332586105398</v>
      </c>
      <c r="Q228" s="1261">
        <v>131.17623939618562</v>
      </c>
      <c r="R228" s="1261">
        <v>196.87650910160164</v>
      </c>
      <c r="S228" s="1261">
        <v>170.77489424695673</v>
      </c>
      <c r="T228" s="2752">
        <v>111.0797771625128</v>
      </c>
    </row>
    <row r="229" spans="1:20">
      <c r="A229" s="388">
        <f t="shared" si="2"/>
        <v>2022.04</v>
      </c>
      <c r="B229" s="885">
        <v>202.37932044140737</v>
      </c>
      <c r="C229" s="3525">
        <v>157.769132552976</v>
      </c>
      <c r="D229" s="2005">
        <v>159.87592068683199</v>
      </c>
      <c r="E229" s="1098">
        <v>306.73970099689501</v>
      </c>
      <c r="F229" s="3528">
        <v>49.783015664803273</v>
      </c>
      <c r="G229" s="3528">
        <v>148.73524950742666</v>
      </c>
      <c r="H229" s="3528">
        <v>156.02172219931452</v>
      </c>
      <c r="I229" s="3528">
        <v>227.87185926330346</v>
      </c>
      <c r="J229" s="3529">
        <v>168.35962617180718</v>
      </c>
      <c r="K229" s="1097">
        <v>211.84694407414719</v>
      </c>
      <c r="L229" s="1261">
        <v>205.49306388341779</v>
      </c>
      <c r="M229" s="1261">
        <v>226.69634212773974</v>
      </c>
      <c r="N229" s="1261">
        <v>312.86774590580319</v>
      </c>
      <c r="O229" s="1261">
        <v>128.87174826727005</v>
      </c>
      <c r="P229" s="1261">
        <v>142.96546213626723</v>
      </c>
      <c r="Q229" s="1261">
        <v>131.3803039117455</v>
      </c>
      <c r="R229" s="1261">
        <v>198.26682322134604</v>
      </c>
      <c r="S229" s="1261">
        <v>170.68391154473102</v>
      </c>
      <c r="T229" s="2752">
        <v>124.9715241567157</v>
      </c>
    </row>
    <row r="230" spans="1:20">
      <c r="A230" s="388">
        <f t="shared" si="2"/>
        <v>2022.05</v>
      </c>
      <c r="B230" s="885">
        <v>183.06588441708521</v>
      </c>
      <c r="C230" s="3525">
        <v>160.70793438825899</v>
      </c>
      <c r="D230" s="2005">
        <v>159.98191704726301</v>
      </c>
      <c r="E230" s="1098">
        <v>192.17965329795359</v>
      </c>
      <c r="F230" s="3528">
        <v>19.414485536542241</v>
      </c>
      <c r="G230" s="3528">
        <v>140.11295907082359</v>
      </c>
      <c r="H230" s="3528">
        <v>160.52516587563255</v>
      </c>
      <c r="I230" s="3528">
        <v>222.70186633255341</v>
      </c>
      <c r="J230" s="3529">
        <v>185.12604211678254</v>
      </c>
      <c r="K230" s="1097">
        <v>224.64703342608644</v>
      </c>
      <c r="L230" s="1261">
        <v>206.81643598242206</v>
      </c>
      <c r="M230" s="1261">
        <v>224.6108712200691</v>
      </c>
      <c r="N230" s="1261">
        <v>293.3117519409135</v>
      </c>
      <c r="O230" s="1261">
        <v>129.21442360980174</v>
      </c>
      <c r="P230" s="1261">
        <v>143.56107701371502</v>
      </c>
      <c r="Q230" s="1261">
        <v>131.40814987189839</v>
      </c>
      <c r="R230" s="1261">
        <v>196.92205852129786</v>
      </c>
      <c r="S230" s="1261">
        <v>176.1933034179678</v>
      </c>
      <c r="T230" s="2752">
        <v>134.09420536284495</v>
      </c>
    </row>
    <row r="231" spans="1:20">
      <c r="A231" s="388">
        <f t="shared" si="2"/>
        <v>2022.06</v>
      </c>
      <c r="B231" s="885">
        <v>161.35309344771431</v>
      </c>
      <c r="C231" s="3525">
        <v>166.36975408061801</v>
      </c>
      <c r="D231" s="2005">
        <v>159.991907112783</v>
      </c>
      <c r="E231" s="1098">
        <v>57.829971702940384</v>
      </c>
      <c r="F231" s="3528">
        <v>14.071049150337952</v>
      </c>
      <c r="G231" s="3528">
        <v>200.57646264249277</v>
      </c>
      <c r="H231" s="3528">
        <v>174.30071620229995</v>
      </c>
      <c r="I231" s="3528">
        <v>227.29803107506243</v>
      </c>
      <c r="J231" s="3529">
        <v>188.22764548719914</v>
      </c>
      <c r="K231" s="1097">
        <v>235.59318915488052</v>
      </c>
      <c r="L231" s="1261">
        <v>203.73136924696576</v>
      </c>
      <c r="M231" s="1261">
        <v>207.86785157075127</v>
      </c>
      <c r="N231" s="1261">
        <v>299.27564265159771</v>
      </c>
      <c r="O231" s="1261">
        <v>129.81569050551445</v>
      </c>
      <c r="P231" s="1261">
        <v>143.5745882148542</v>
      </c>
      <c r="Q231" s="1261">
        <v>131.35634841755831</v>
      </c>
      <c r="R231" s="1261">
        <v>195.62774138161495</v>
      </c>
      <c r="S231" s="1261">
        <v>175.13606670678291</v>
      </c>
      <c r="T231" s="2752">
        <v>135.47448617196994</v>
      </c>
    </row>
    <row r="232" spans="1:20">
      <c r="A232" s="388">
        <f t="shared" si="2"/>
        <v>2022.07</v>
      </c>
      <c r="B232" s="885">
        <v>150.21604624424327</v>
      </c>
      <c r="C232" s="3525">
        <v>160.196306032264</v>
      </c>
      <c r="D232" s="2005">
        <v>159.46135005721999</v>
      </c>
      <c r="E232" s="1098">
        <v>36.69087402003349</v>
      </c>
      <c r="F232" s="3528">
        <v>22.70960464136822</v>
      </c>
      <c r="G232" s="3528">
        <v>218.94307513569368</v>
      </c>
      <c r="H232" s="3528">
        <v>158.2887505289992</v>
      </c>
      <c r="I232" s="3528">
        <v>232.90875786173169</v>
      </c>
      <c r="J232" s="3529">
        <v>186.80211130152043</v>
      </c>
      <c r="K232" s="1097">
        <v>225.98429042082503</v>
      </c>
      <c r="L232" s="1261">
        <v>210.31869127268567</v>
      </c>
      <c r="M232" s="1261">
        <v>195.19191264834922</v>
      </c>
      <c r="N232" s="1261">
        <v>293.19150373671584</v>
      </c>
      <c r="O232" s="1261">
        <v>129.721536445753</v>
      </c>
      <c r="P232" s="1261">
        <v>143.60515300851759</v>
      </c>
      <c r="Q232" s="1261">
        <v>131.29119170077274</v>
      </c>
      <c r="R232" s="1261">
        <v>197.34058443119488</v>
      </c>
      <c r="S232" s="1261">
        <v>176.48325231091852</v>
      </c>
      <c r="T232" s="2752">
        <v>127.8537981229328</v>
      </c>
    </row>
    <row r="233" spans="1:20">
      <c r="A233" s="388">
        <f t="shared" si="2"/>
        <v>2022.08</v>
      </c>
      <c r="B233" s="885">
        <v>152.50252722912543</v>
      </c>
      <c r="C233" s="3525">
        <v>158.71086714724299</v>
      </c>
      <c r="D233" s="2005">
        <v>158.52909266760599</v>
      </c>
      <c r="E233" s="1098">
        <v>38.459073106536032</v>
      </c>
      <c r="F233" s="3528">
        <v>23.33300555309205</v>
      </c>
      <c r="G233" s="3528">
        <v>221.01853784227453</v>
      </c>
      <c r="H233" s="3528">
        <v>169.46653188294601</v>
      </c>
      <c r="I233" s="3528">
        <v>214.27801436115863</v>
      </c>
      <c r="J233" s="3529">
        <v>179.53139208729814</v>
      </c>
      <c r="K233" s="1097">
        <v>219.93501037742385</v>
      </c>
      <c r="L233" s="1261">
        <v>208.08206998742207</v>
      </c>
      <c r="M233" s="1261">
        <v>200.9740338418637</v>
      </c>
      <c r="N233" s="1261">
        <v>295.63732930445133</v>
      </c>
      <c r="O233" s="1261">
        <v>130.72397478790779</v>
      </c>
      <c r="P233" s="1261">
        <v>143.27986628424705</v>
      </c>
      <c r="Q233" s="1261">
        <v>131.34607919087696</v>
      </c>
      <c r="R233" s="1261">
        <v>196.89394816947933</v>
      </c>
      <c r="S233" s="1261">
        <v>173.40149220122419</v>
      </c>
      <c r="T233" s="2752">
        <v>124.72294200253673</v>
      </c>
    </row>
    <row r="234" spans="1:20">
      <c r="A234" s="388">
        <f t="shared" si="2"/>
        <v>2022.09</v>
      </c>
      <c r="B234" s="885">
        <v>147.90741812296082</v>
      </c>
      <c r="C234" s="3525">
        <v>156.746291974847</v>
      </c>
      <c r="D234" s="2005">
        <v>157.51492889290199</v>
      </c>
      <c r="E234" s="1098">
        <v>32.384087897216183</v>
      </c>
      <c r="F234" s="3528">
        <v>9.7072427682711204</v>
      </c>
      <c r="G234" s="3528">
        <v>224.80564105176475</v>
      </c>
      <c r="H234" s="3528">
        <v>157.789696484594</v>
      </c>
      <c r="I234" s="3528">
        <v>193.24816840884364</v>
      </c>
      <c r="J234" s="3529">
        <v>211.76013910378751</v>
      </c>
      <c r="K234" s="1097">
        <v>221.29123662046931</v>
      </c>
      <c r="L234" s="1261">
        <v>211.17090005482567</v>
      </c>
      <c r="M234" s="1261">
        <v>180.5194978229668</v>
      </c>
      <c r="N234" s="1261">
        <v>293.0799345662108</v>
      </c>
      <c r="O234" s="1261">
        <v>130.25483689683441</v>
      </c>
      <c r="P234" s="1261">
        <v>143.21293313504785</v>
      </c>
      <c r="Q234" s="1261">
        <v>131.57986445422961</v>
      </c>
      <c r="R234" s="1261">
        <v>197.86987915545555</v>
      </c>
      <c r="S234" s="1261">
        <v>175.4698747039088</v>
      </c>
      <c r="T234" s="2752">
        <v>127.93556385520539</v>
      </c>
    </row>
    <row r="235" spans="1:20">
      <c r="A235" s="388">
        <f t="shared" si="2"/>
        <v>2022.1</v>
      </c>
      <c r="B235" s="885">
        <v>143.34731118297074</v>
      </c>
      <c r="C235" s="3525">
        <v>156.079984520219</v>
      </c>
      <c r="D235" s="2005">
        <v>156.68378207781799</v>
      </c>
      <c r="E235" s="1098">
        <v>29.256709760765791</v>
      </c>
      <c r="F235" s="3528">
        <v>6.5902382096519521</v>
      </c>
      <c r="G235" s="3528">
        <v>193.2388885511034</v>
      </c>
      <c r="H235" s="3528">
        <v>156.82088348256792</v>
      </c>
      <c r="I235" s="3528">
        <v>167.92726592056511</v>
      </c>
      <c r="J235" s="3529">
        <v>174.54102033799168</v>
      </c>
      <c r="K235" s="1097">
        <v>208.17091937744249</v>
      </c>
      <c r="L235" s="1261">
        <v>215.60127948972857</v>
      </c>
      <c r="M235" s="1261">
        <v>176.40535379589539</v>
      </c>
      <c r="N235" s="1261">
        <v>302.85799208159062</v>
      </c>
      <c r="O235" s="1261">
        <v>130.14101039856075</v>
      </c>
      <c r="P235" s="1261">
        <v>143.31652043243957</v>
      </c>
      <c r="Q235" s="1261">
        <v>131.73715016706348</v>
      </c>
      <c r="R235" s="1261">
        <v>198.68734545181368</v>
      </c>
      <c r="S235" s="1261">
        <v>180.70357839002787</v>
      </c>
      <c r="T235" s="2752">
        <v>136.88640840473886</v>
      </c>
    </row>
    <row r="236" spans="1:20">
      <c r="A236" s="388">
        <f t="shared" si="2"/>
        <v>2022.11</v>
      </c>
      <c r="B236" s="885">
        <v>153.16654005630721</v>
      </c>
      <c r="C236" s="3525">
        <v>153.74083181642399</v>
      </c>
      <c r="D236" s="2005">
        <v>156.294469829138</v>
      </c>
      <c r="E236" s="1098">
        <v>64.839087879214091</v>
      </c>
      <c r="F236" s="3528">
        <v>15.228793700682216</v>
      </c>
      <c r="G236" s="3528">
        <v>198.83228519453954</v>
      </c>
      <c r="H236" s="3528">
        <v>155.7647811639097</v>
      </c>
      <c r="I236" s="3528">
        <v>173.2576835318101</v>
      </c>
      <c r="J236" s="3529">
        <v>199.55300622841278</v>
      </c>
      <c r="K236" s="1097">
        <v>216.10551377199141</v>
      </c>
      <c r="L236" s="1261">
        <v>223.04828042639451</v>
      </c>
      <c r="M236" s="1261">
        <v>184.65545443854745</v>
      </c>
      <c r="N236" s="1261">
        <v>306.49264983153506</v>
      </c>
      <c r="O236" s="1261">
        <v>131.09259296211866</v>
      </c>
      <c r="P236" s="1261">
        <v>143.6688080123985</v>
      </c>
      <c r="Q236" s="1261">
        <v>131.86334887246076</v>
      </c>
      <c r="R236" s="1261">
        <v>200.02682260008027</v>
      </c>
      <c r="S236" s="1261">
        <v>179.38115449223758</v>
      </c>
      <c r="T236" s="2752">
        <v>139.92202950211231</v>
      </c>
    </row>
    <row r="237" spans="1:20">
      <c r="A237" s="388">
        <f t="shared" si="2"/>
        <v>2022.12</v>
      </c>
      <c r="B237" s="885">
        <v>151.73669964281277</v>
      </c>
      <c r="C237" s="3525">
        <v>157.15515869295001</v>
      </c>
      <c r="D237" s="2005">
        <v>156.11394547172699</v>
      </c>
      <c r="E237" s="1098">
        <v>54.332965749167059</v>
      </c>
      <c r="F237" s="3528">
        <v>11.221216411029005</v>
      </c>
      <c r="G237" s="3528">
        <v>190.3578899626809</v>
      </c>
      <c r="H237" s="3528">
        <v>144.75637733900192</v>
      </c>
      <c r="I237" s="3528">
        <v>194.45507638989375</v>
      </c>
      <c r="J237" s="3529">
        <v>195.88825853434281</v>
      </c>
      <c r="K237" s="1097">
        <v>237.4895492155832</v>
      </c>
      <c r="L237" s="1261">
        <v>216.56581848526233</v>
      </c>
      <c r="M237" s="1261">
        <v>174.29413530337825</v>
      </c>
      <c r="N237" s="1261">
        <v>312.98992272451233</v>
      </c>
      <c r="O237" s="1261">
        <v>132.79177064607237</v>
      </c>
      <c r="P237" s="1261">
        <v>143.97679738928068</v>
      </c>
      <c r="Q237" s="1261">
        <v>132.45640243560678</v>
      </c>
      <c r="R237" s="1261">
        <v>200.96664857275206</v>
      </c>
      <c r="S237" s="1261">
        <v>182.90520677997006</v>
      </c>
      <c r="T237" s="2752">
        <v>139.43612402769423</v>
      </c>
    </row>
    <row r="238" spans="1:20">
      <c r="A238" s="388">
        <f t="shared" si="2"/>
        <v>2023.01</v>
      </c>
      <c r="B238" s="885">
        <v>135.19838362575857</v>
      </c>
      <c r="C238" s="3525">
        <v>159.54326976506499</v>
      </c>
      <c r="D238" s="2005">
        <v>155.85838371149899</v>
      </c>
      <c r="E238" s="1098">
        <v>46.876580029884074</v>
      </c>
      <c r="F238" s="3528">
        <v>21.106573725506923</v>
      </c>
      <c r="G238" s="3528">
        <v>169.20098793996755</v>
      </c>
      <c r="H238" s="3528">
        <v>121.99746246847241</v>
      </c>
      <c r="I238" s="3528">
        <v>224.79654438608844</v>
      </c>
      <c r="J238" s="3529">
        <v>185.74947773059736</v>
      </c>
      <c r="K238" s="1097">
        <v>194.76167300974646</v>
      </c>
      <c r="L238" s="1261">
        <v>221.89594077892698</v>
      </c>
      <c r="M238" s="1261">
        <v>164.0910038480464</v>
      </c>
      <c r="N238" s="1261">
        <v>301.88206826045626</v>
      </c>
      <c r="O238" s="1261">
        <v>130.30377082474931</v>
      </c>
      <c r="P238" s="1261">
        <v>141.55528586412532</v>
      </c>
      <c r="Q238" s="1261">
        <v>132.16264223230667</v>
      </c>
      <c r="R238" s="1261">
        <v>197.34064008347517</v>
      </c>
      <c r="S238" s="1261">
        <v>184.08230456638199</v>
      </c>
      <c r="T238" s="2752">
        <v>135.76166161423447</v>
      </c>
    </row>
    <row r="239" spans="1:20">
      <c r="A239" s="388">
        <f t="shared" si="2"/>
        <v>2023.02</v>
      </c>
      <c r="B239" s="885">
        <v>130.02401443440874</v>
      </c>
      <c r="C239" s="3525">
        <v>154.23556624499099</v>
      </c>
      <c r="D239" s="2005">
        <v>155.513234025754</v>
      </c>
      <c r="E239" s="1098">
        <v>46.176345274399829</v>
      </c>
      <c r="F239" s="3528">
        <v>21.106573725506937</v>
      </c>
      <c r="G239" s="3528">
        <v>145.9351002975979</v>
      </c>
      <c r="H239" s="3528">
        <v>119.93311608447634</v>
      </c>
      <c r="I239" s="3528">
        <v>204.19373436662545</v>
      </c>
      <c r="J239" s="3529">
        <v>165.90886087134484</v>
      </c>
      <c r="K239" s="1097">
        <v>176.37974693317972</v>
      </c>
      <c r="L239" s="1261">
        <v>220.01450097693888</v>
      </c>
      <c r="M239" s="1261">
        <v>163.58710242175994</v>
      </c>
      <c r="N239" s="1261">
        <v>293.6700817557367</v>
      </c>
      <c r="O239" s="1261">
        <v>128.91866454981218</v>
      </c>
      <c r="P239" s="1261">
        <v>142.19213002198393</v>
      </c>
      <c r="Q239" s="1261">
        <v>131.70550939481154</v>
      </c>
      <c r="R239" s="1261">
        <v>197.4751758524599</v>
      </c>
      <c r="S239" s="1261">
        <v>187.63967574219498</v>
      </c>
      <c r="T239" s="2752">
        <v>133.02576020837787</v>
      </c>
    </row>
    <row r="240" spans="1:20">
      <c r="A240" s="388">
        <f t="shared" si="2"/>
        <v>2023.03</v>
      </c>
      <c r="B240" s="885">
        <v>163.83753394091949</v>
      </c>
      <c r="C240" s="3525">
        <v>137.87340013898</v>
      </c>
      <c r="D240" s="2005">
        <v>155.22439894785799</v>
      </c>
      <c r="E240" s="1098">
        <v>128.81258485512942</v>
      </c>
      <c r="F240" s="3528">
        <v>26.271895565504416</v>
      </c>
      <c r="G240" s="3528">
        <v>176.75547499831546</v>
      </c>
      <c r="H240" s="3528">
        <v>143.14943968383551</v>
      </c>
      <c r="I240" s="3528">
        <v>237.91158759362071</v>
      </c>
      <c r="J240" s="3529">
        <v>224.36426535819058</v>
      </c>
      <c r="K240" s="1097">
        <v>210.20330722782433</v>
      </c>
      <c r="L240" s="1261">
        <v>230.03069391321208</v>
      </c>
      <c r="M240" s="1261">
        <v>186.62759509465957</v>
      </c>
      <c r="N240" s="1261">
        <v>330.49657748525749</v>
      </c>
      <c r="O240" s="1261">
        <v>134.43752560845789</v>
      </c>
      <c r="P240" s="1261">
        <v>141.51730119196122</v>
      </c>
      <c r="Q240" s="1261">
        <v>132.18578798255143</v>
      </c>
      <c r="R240" s="1261">
        <v>198.41275872543213</v>
      </c>
      <c r="S240" s="1261">
        <v>177.88673680220754</v>
      </c>
      <c r="T240" s="2752">
        <v>128.75085537018373</v>
      </c>
    </row>
    <row r="241" spans="1:20">
      <c r="A241" s="388">
        <f t="shared" si="2"/>
        <v>2023.04</v>
      </c>
      <c r="B241" s="885">
        <v>168.21680852640728</v>
      </c>
      <c r="C241" s="3525">
        <v>131.85799057765399</v>
      </c>
      <c r="D241" s="2005">
        <v>155.13583626396201</v>
      </c>
      <c r="E241" s="1098">
        <v>165.4900119751851</v>
      </c>
      <c r="F241" s="3528">
        <v>4.0966345627566199</v>
      </c>
      <c r="G241" s="3528">
        <v>162.92234351454863</v>
      </c>
      <c r="H241" s="3528">
        <v>143.57007565864183</v>
      </c>
      <c r="I241" s="3528">
        <v>202.79690239060898</v>
      </c>
      <c r="J241" s="3529">
        <v>186.50869907090586</v>
      </c>
      <c r="K241" s="1097">
        <v>202.33687490525031</v>
      </c>
      <c r="L241" s="1261">
        <v>220.39211054134881</v>
      </c>
      <c r="M241" s="1261">
        <v>186.90825614244926</v>
      </c>
      <c r="N241" s="1261">
        <v>343.80702171776534</v>
      </c>
      <c r="O241" s="1261">
        <v>131.97183526314922</v>
      </c>
      <c r="P241" s="1261">
        <v>141.25008963224343</v>
      </c>
      <c r="Q241" s="1261">
        <v>132.73306660781174</v>
      </c>
      <c r="R241" s="1261">
        <v>197.93349508452943</v>
      </c>
      <c r="S241" s="1261">
        <v>176.93337103729331</v>
      </c>
      <c r="T241" s="2752">
        <v>129.15619956791676</v>
      </c>
    </row>
    <row r="242" spans="1:20">
      <c r="A242" s="388">
        <f t="shared" si="2"/>
        <v>2023.05</v>
      </c>
      <c r="B242" s="885">
        <v>162.58715886954323</v>
      </c>
      <c r="C242" s="3525">
        <v>140.41801981461799</v>
      </c>
      <c r="D242" s="2005">
        <v>155.453864658226</v>
      </c>
      <c r="E242" s="1098">
        <v>109.0146217787958</v>
      </c>
      <c r="F242" s="3528">
        <v>7.8370400330996199</v>
      </c>
      <c r="G242" s="3528">
        <v>171.72013626078183</v>
      </c>
      <c r="H242" s="3528">
        <v>157.00642409939104</v>
      </c>
      <c r="I242" s="3528">
        <v>218.40437435167254</v>
      </c>
      <c r="J242" s="3529">
        <v>179.41362512923453</v>
      </c>
      <c r="K242" s="1097">
        <v>214.7747028998869</v>
      </c>
      <c r="L242" s="1261">
        <v>221.22516688683612</v>
      </c>
      <c r="M242" s="1261">
        <v>186.91682101833294</v>
      </c>
      <c r="N242" s="1261">
        <v>326.12997854634</v>
      </c>
      <c r="O242" s="1261">
        <v>131.59409084446358</v>
      </c>
      <c r="P242" s="1261">
        <v>142.76173633058079</v>
      </c>
      <c r="Q242" s="1261">
        <v>134.38481168849012</v>
      </c>
      <c r="R242" s="1261">
        <v>196.50313087821871</v>
      </c>
      <c r="S242" s="1261">
        <v>181.01647578540809</v>
      </c>
      <c r="T242" s="2752">
        <v>129.83514914475029</v>
      </c>
    </row>
    <row r="243" spans="1:20">
      <c r="A243" s="388">
        <f t="shared" si="2"/>
        <v>2023.06</v>
      </c>
      <c r="B243" s="885">
        <v>146.30477433924614</v>
      </c>
      <c r="C243" s="3525">
        <v>151.636568564377</v>
      </c>
      <c r="D243" s="2005">
        <v>156.00669793099101</v>
      </c>
      <c r="E243" s="1098">
        <v>44.132317170112863</v>
      </c>
      <c r="F243" s="3528">
        <v>9.7963000413745238</v>
      </c>
      <c r="G243" s="3528">
        <v>175.37709169009696</v>
      </c>
      <c r="H243" s="3528">
        <v>147.77440986088399</v>
      </c>
      <c r="I243" s="3528">
        <v>220.76419966512367</v>
      </c>
      <c r="J243" s="3529">
        <v>175.30841426839345</v>
      </c>
      <c r="K243" s="1097">
        <v>212.82386299969028</v>
      </c>
      <c r="L243" s="1261">
        <v>219.5011824563492</v>
      </c>
      <c r="M243" s="1261">
        <v>176.48107885540048</v>
      </c>
      <c r="N243" s="1261">
        <v>336.1738898853468</v>
      </c>
      <c r="O243" s="1261">
        <v>132.12690085777461</v>
      </c>
      <c r="P243" s="1261">
        <v>143.46652466711842</v>
      </c>
      <c r="Q243" s="1261">
        <v>135.08026241725429</v>
      </c>
      <c r="R243" s="1261">
        <v>196.69114969118829</v>
      </c>
      <c r="S243" s="1261">
        <v>180.66193621457899</v>
      </c>
      <c r="T243" s="2752">
        <v>130.88255579642959</v>
      </c>
    </row>
    <row r="244" spans="1:20">
      <c r="A244" s="388">
        <f t="shared" si="2"/>
        <v>2023.07</v>
      </c>
      <c r="B244" s="885">
        <v>143.95302810435328</v>
      </c>
      <c r="C244" s="3525">
        <v>153.32060221700399</v>
      </c>
      <c r="D244" s="2005">
        <v>156.30230459978699</v>
      </c>
      <c r="E244" s="1098">
        <v>34.80176380488043</v>
      </c>
      <c r="F244" s="3528">
        <v>21.908089183437575</v>
      </c>
      <c r="G244" s="3528">
        <v>178.23639898182356</v>
      </c>
      <c r="H244" s="3528">
        <v>142.70155244938323</v>
      </c>
      <c r="I244" s="3528">
        <v>214.29054363967145</v>
      </c>
      <c r="J244" s="3529">
        <v>169.99480793823997</v>
      </c>
      <c r="K244" s="1097">
        <v>217.73508483331022</v>
      </c>
      <c r="L244" s="1261">
        <v>223.94377462348132</v>
      </c>
      <c r="M244" s="1261">
        <v>180.5110022435546</v>
      </c>
      <c r="N244" s="1261">
        <v>338.14704979849967</v>
      </c>
      <c r="O244" s="1261">
        <v>130.66691370346206</v>
      </c>
      <c r="P244" s="1261">
        <v>149.00847908663678</v>
      </c>
      <c r="Q244" s="1261">
        <v>135.06315556228932</v>
      </c>
      <c r="R244" s="1261">
        <v>196.98063134184724</v>
      </c>
      <c r="S244" s="1261">
        <v>180.05620308081816</v>
      </c>
      <c r="T244" s="2752">
        <v>129.98044045588424</v>
      </c>
    </row>
    <row r="245" spans="1:20">
      <c r="A245" s="388">
        <f t="shared" si="2"/>
        <v>2023.08</v>
      </c>
      <c r="B245" s="885">
        <v>146.33532471852169</v>
      </c>
      <c r="C245" s="3525">
        <v>152.02854333156401</v>
      </c>
      <c r="D245" s="2005">
        <v>155.72984363996099</v>
      </c>
      <c r="E245" s="1098">
        <v>32.969722259825836</v>
      </c>
      <c r="F245" s="3528">
        <v>9.7072427682711204</v>
      </c>
      <c r="G245" s="3528">
        <v>152.16740422553022</v>
      </c>
      <c r="H245" s="3528">
        <v>146.8536821859187</v>
      </c>
      <c r="I245" s="3528">
        <v>189.19867029020926</v>
      </c>
      <c r="J245" s="3529">
        <v>194.13530923985621</v>
      </c>
      <c r="K245" s="1097">
        <v>219.08314999108774</v>
      </c>
      <c r="L245" s="1261">
        <v>221.33572524070712</v>
      </c>
      <c r="M245" s="1261">
        <v>188.42246454900391</v>
      </c>
      <c r="N245" s="1261">
        <v>342.72717828421622</v>
      </c>
      <c r="O245" s="1261">
        <v>134.72176564664107</v>
      </c>
      <c r="P245" s="1261">
        <v>150.08374923291876</v>
      </c>
      <c r="Q245" s="1261">
        <v>135.01825786500527</v>
      </c>
      <c r="R245" s="1261">
        <v>197.92606836813189</v>
      </c>
      <c r="S245" s="1261">
        <v>178.57436968128974</v>
      </c>
      <c r="T245" s="2752">
        <v>129.44832385221025</v>
      </c>
    </row>
    <row r="246" spans="1:20">
      <c r="A246" s="388">
        <f t="shared" si="2"/>
        <v>2023.09</v>
      </c>
      <c r="B246" s="885">
        <v>141.81979199092356</v>
      </c>
      <c r="C246" s="3525">
        <v>152.735946301783</v>
      </c>
      <c r="D246" s="2005">
        <v>154.04635444971899</v>
      </c>
      <c r="E246" s="1098">
        <v>29.730961912070615</v>
      </c>
      <c r="F246" s="3528">
        <v>20.304167694845251</v>
      </c>
      <c r="G246" s="3528">
        <v>161.1150641125711</v>
      </c>
      <c r="H246" s="3528">
        <v>142.58381729782923</v>
      </c>
      <c r="I246" s="3528">
        <v>158.69731752457173</v>
      </c>
      <c r="J246" s="3529">
        <v>193.28796731398484</v>
      </c>
      <c r="K246" s="1097">
        <v>211.42577109523552</v>
      </c>
      <c r="L246" s="1261">
        <v>223.15467134528677</v>
      </c>
      <c r="M246" s="1261">
        <v>170.455400934127</v>
      </c>
      <c r="N246" s="1261">
        <v>340.61106071412246</v>
      </c>
      <c r="O246" s="1261">
        <v>133.48818562082013</v>
      </c>
      <c r="P246" s="1261">
        <v>154.05725819076531</v>
      </c>
      <c r="Q246" s="1261">
        <v>134.97613838312776</v>
      </c>
      <c r="R246" s="1261">
        <v>199.35724011028935</v>
      </c>
      <c r="S246" s="1261">
        <v>181.76026502673074</v>
      </c>
      <c r="T246" s="2752">
        <v>130.34302865270644</v>
      </c>
    </row>
    <row r="247" spans="1:20">
      <c r="A247" s="388">
        <f t="shared" si="2"/>
        <v>2023.1</v>
      </c>
      <c r="B247" s="885">
        <v>140.98906506152221</v>
      </c>
      <c r="C247" s="3525">
        <v>152.808145371237</v>
      </c>
      <c r="D247" s="2005">
        <v>151.69117260942801</v>
      </c>
      <c r="E247" s="1098">
        <v>28.870943824007767</v>
      </c>
      <c r="F247" s="3528">
        <v>13.447648238614118</v>
      </c>
      <c r="G247" s="3528">
        <v>171.92324567529761</v>
      </c>
      <c r="H247" s="3528">
        <v>134.46569637097198</v>
      </c>
      <c r="I247" s="3528">
        <v>152.45742197543785</v>
      </c>
      <c r="J247" s="3529">
        <v>173.58011940752701</v>
      </c>
      <c r="K247" s="1097">
        <v>223.07956383354812</v>
      </c>
      <c r="L247" s="1261">
        <v>222.42329407610723</v>
      </c>
      <c r="M247" s="1261">
        <v>166.34385646805862</v>
      </c>
      <c r="N247" s="1261">
        <v>359.60972790670905</v>
      </c>
      <c r="O247" s="1261">
        <v>132.89629020438113</v>
      </c>
      <c r="P247" s="1261">
        <v>154.04277990994319</v>
      </c>
      <c r="Q247" s="1261">
        <v>136.0819863738046</v>
      </c>
      <c r="R247" s="1261">
        <v>199.62187699026609</v>
      </c>
      <c r="S247" s="1261">
        <v>185.33632965908359</v>
      </c>
      <c r="T247" s="2752">
        <v>131.73519114637341</v>
      </c>
    </row>
    <row r="248" spans="1:20">
      <c r="A248" s="388">
        <f t="shared" si="2"/>
        <v>2023.11</v>
      </c>
      <c r="B248" s="885">
        <v>143.97283469359718</v>
      </c>
      <c r="C248" s="3525">
        <v>144.88585756986799</v>
      </c>
      <c r="D248" s="2005">
        <v>149.43426025071301</v>
      </c>
      <c r="E248" s="1098">
        <v>81.893167607426648</v>
      </c>
      <c r="F248" s="3528">
        <v>34.821393783431269</v>
      </c>
      <c r="G248" s="3528">
        <v>129.14307875090984</v>
      </c>
      <c r="H248" s="3528">
        <v>118.21401512406054</v>
      </c>
      <c r="I248" s="3528">
        <v>155.65115693919751</v>
      </c>
      <c r="J248" s="3529">
        <v>154.86769550018653</v>
      </c>
      <c r="K248" s="1097">
        <v>210.11190143379065</v>
      </c>
      <c r="L248" s="1261">
        <v>221.31137312318492</v>
      </c>
      <c r="M248" s="1261">
        <v>172.7263834171103</v>
      </c>
      <c r="N248" s="1261">
        <v>347.17488104381255</v>
      </c>
      <c r="O248" s="1261">
        <v>129.93461722537046</v>
      </c>
      <c r="P248" s="1261">
        <v>154.32911967780802</v>
      </c>
      <c r="Q248" s="1261">
        <v>136.08450289239681</v>
      </c>
      <c r="R248" s="1261">
        <v>200.89489098225584</v>
      </c>
      <c r="S248" s="1261">
        <v>182.71225818133348</v>
      </c>
      <c r="T248" s="2752">
        <v>134.6355713273374</v>
      </c>
    </row>
    <row r="249" spans="1:20">
      <c r="A249" s="388">
        <f t="shared" si="2"/>
        <v>2023.12</v>
      </c>
      <c r="B249" s="885">
        <v>138.94277912561213</v>
      </c>
      <c r="C249" s="3525">
        <v>145.92500630566499</v>
      </c>
      <c r="D249" s="2005">
        <v>148.134978846797</v>
      </c>
      <c r="E249" s="1098">
        <v>61.614573351388579</v>
      </c>
      <c r="F249" s="3528">
        <v>27.607754662055484</v>
      </c>
      <c r="G249" s="3528">
        <v>133.42513791227827</v>
      </c>
      <c r="H249" s="3528">
        <v>117.45280768844427</v>
      </c>
      <c r="I249" s="3528">
        <v>168.45110107786905</v>
      </c>
      <c r="J249" s="3529">
        <v>202.02157973004674</v>
      </c>
      <c r="K249" s="1097">
        <v>195.9808909790116</v>
      </c>
      <c r="L249" s="1261">
        <v>219.95354396810555</v>
      </c>
      <c r="M249" s="1261">
        <v>169.446885747821</v>
      </c>
      <c r="N249" s="1261">
        <v>328.71143630517071</v>
      </c>
      <c r="O249" s="1261">
        <v>134.77803737364863</v>
      </c>
      <c r="P249" s="1261">
        <v>154.725990649442</v>
      </c>
      <c r="Q249" s="1261">
        <v>135.70395380604441</v>
      </c>
      <c r="R249" s="1261">
        <v>202.14984576458843</v>
      </c>
      <c r="S249" s="1261">
        <v>189.05992986047113</v>
      </c>
      <c r="T249" s="2752">
        <v>140.18336377726337</v>
      </c>
    </row>
    <row r="250" spans="1:20">
      <c r="A250" s="388">
        <f t="shared" ref="A250:A313" si="3">A238+1</f>
        <v>2024.01</v>
      </c>
      <c r="B250" s="885">
        <v>125.96420381375555</v>
      </c>
      <c r="C250" s="3525">
        <v>146.325044028051</v>
      </c>
      <c r="D250" s="2005">
        <v>148.020423057627</v>
      </c>
      <c r="E250" s="1098">
        <v>35.862817185946597</v>
      </c>
      <c r="F250" s="3528">
        <v>20.394115540679685</v>
      </c>
      <c r="G250" s="3528">
        <v>92.809170817318119</v>
      </c>
      <c r="H250" s="3528">
        <v>119.42246541562425</v>
      </c>
      <c r="I250" s="3528">
        <v>193.07263769143341</v>
      </c>
      <c r="J250" s="3529">
        <v>128.68449806237754</v>
      </c>
      <c r="K250" s="1097">
        <v>168.28079917311896</v>
      </c>
      <c r="L250" s="1261">
        <v>215.56532647507456</v>
      </c>
      <c r="M250" s="1261">
        <v>159.44024307557243</v>
      </c>
      <c r="N250" s="1261">
        <v>315.85384766139583</v>
      </c>
      <c r="O250" s="1261">
        <v>130.86437370676853</v>
      </c>
      <c r="P250" s="1261">
        <v>150.90473302334343</v>
      </c>
      <c r="Q250" s="1261">
        <v>135.39307805949954</v>
      </c>
      <c r="R250" s="1261">
        <v>205.56000733081851</v>
      </c>
      <c r="S250" s="1261">
        <v>179.75990434438094</v>
      </c>
      <c r="T250" s="2752">
        <v>148.41229880451951</v>
      </c>
    </row>
    <row r="251" spans="1:20">
      <c r="A251" s="388">
        <f t="shared" si="3"/>
        <v>2024.02</v>
      </c>
      <c r="B251" s="885">
        <v>128.62900437412065</v>
      </c>
      <c r="C251" s="3525">
        <v>147.16196628550401</v>
      </c>
      <c r="D251" s="2005">
        <v>148.64990436410301</v>
      </c>
      <c r="E251" s="1098">
        <v>52.608894962913553</v>
      </c>
      <c r="F251" s="3528">
        <v>43.014662908944516</v>
      </c>
      <c r="G251" s="3528">
        <v>97.439276693851923</v>
      </c>
      <c r="H251" s="3528">
        <v>118.95688669684704</v>
      </c>
      <c r="I251" s="3528">
        <v>212.73377229029722</v>
      </c>
      <c r="J251" s="3529">
        <v>133.13304264474331</v>
      </c>
      <c r="K251" s="1097">
        <v>158.8832720919807</v>
      </c>
      <c r="L251" s="1261">
        <v>216.49412829124586</v>
      </c>
      <c r="M251" s="1261">
        <v>181.49878277172061</v>
      </c>
      <c r="N251" s="1261">
        <v>297.66855477380881</v>
      </c>
      <c r="O251" s="1261">
        <v>129.58273263279096</v>
      </c>
      <c r="P251" s="1261">
        <v>151.10875690254224</v>
      </c>
      <c r="Q251" s="1261">
        <v>135.05182059516923</v>
      </c>
      <c r="R251" s="1261">
        <v>204.43197446586959</v>
      </c>
      <c r="S251" s="1261">
        <v>181.44299602982193</v>
      </c>
      <c r="T251" s="2752">
        <v>149.58761155685812</v>
      </c>
    </row>
    <row r="252" spans="1:20">
      <c r="A252" s="388">
        <f t="shared" si="3"/>
        <v>2024.03</v>
      </c>
      <c r="B252" s="885">
        <v>176.55789951736895</v>
      </c>
      <c r="C252" s="3525">
        <v>151.583448733761</v>
      </c>
      <c r="D252" s="2005">
        <v>149.59222659919899</v>
      </c>
      <c r="E252" s="1098">
        <v>264.47170727326517</v>
      </c>
      <c r="F252" s="3528">
        <v>30.101358308950825</v>
      </c>
      <c r="G252" s="3528">
        <v>140.28353154029557</v>
      </c>
      <c r="H252" s="3528">
        <v>129.61904801810195</v>
      </c>
      <c r="I252" s="3528">
        <v>221.2600937288569</v>
      </c>
      <c r="J252" s="3529">
        <v>160.48401400099607</v>
      </c>
      <c r="K252" s="1097">
        <v>163.27799391218983</v>
      </c>
      <c r="L252" s="1261">
        <v>217.07191659991423</v>
      </c>
      <c r="M252" s="1261">
        <v>198.38979549198308</v>
      </c>
      <c r="N252" s="1261">
        <v>316.78703201902556</v>
      </c>
      <c r="O252" s="1261">
        <v>125.87363897465458</v>
      </c>
      <c r="P252" s="1261">
        <v>150.81262797218557</v>
      </c>
      <c r="Q252" s="1261">
        <v>135.15689622097776</v>
      </c>
      <c r="R252" s="1261">
        <v>205.80089306749827</v>
      </c>
      <c r="S252" s="1261">
        <v>169.33154804909151</v>
      </c>
      <c r="T252" s="2752">
        <v>141.0601524720478</v>
      </c>
    </row>
    <row r="253" spans="1:20">
      <c r="A253" s="388">
        <f t="shared" si="3"/>
        <v>2024.04</v>
      </c>
      <c r="B253" s="885">
        <v>201.01789277194766</v>
      </c>
      <c r="C253" s="3525">
        <v>152.976539117908</v>
      </c>
      <c r="D253" s="2005">
        <v>150.46302487045801</v>
      </c>
      <c r="E253" s="1098">
        <v>365.4936825239526</v>
      </c>
      <c r="F253" s="3528">
        <v>8.6385554910302638</v>
      </c>
      <c r="G253" s="3528">
        <v>112.84798509216327</v>
      </c>
      <c r="H253" s="3528">
        <v>138.32886677684465</v>
      </c>
      <c r="I253" s="3528">
        <v>219.23654590969034</v>
      </c>
      <c r="J253" s="3529">
        <v>141.09044746775112</v>
      </c>
      <c r="K253" s="1097">
        <v>168.54183541864489</v>
      </c>
      <c r="L253" s="1261">
        <v>205.70632240075906</v>
      </c>
      <c r="M253" s="1261">
        <v>213.19777056264718</v>
      </c>
      <c r="N253" s="1261">
        <v>337.30298893274261</v>
      </c>
      <c r="O253" s="1261">
        <v>129.90597782863281</v>
      </c>
      <c r="P253" s="1261">
        <v>150.28254122755726</v>
      </c>
      <c r="Q253" s="1261">
        <v>135.24524219355621</v>
      </c>
      <c r="R253" s="1261">
        <v>203.83915170213922</v>
      </c>
      <c r="S253" s="1261">
        <v>173.58285304541619</v>
      </c>
      <c r="T253" s="2752">
        <v>129.13992928482833</v>
      </c>
    </row>
    <row r="254" spans="1:20">
      <c r="A254" s="388">
        <f t="shared" si="3"/>
        <v>2024.05</v>
      </c>
      <c r="B254" s="885">
        <v>180.99477596856991</v>
      </c>
      <c r="C254" s="3525">
        <v>155.699508819486</v>
      </c>
      <c r="D254" s="2005">
        <v>150.933542565957</v>
      </c>
      <c r="E254" s="1098">
        <v>224.47212189076686</v>
      </c>
      <c r="F254" s="3528">
        <v>11.942580323166581</v>
      </c>
      <c r="G254" s="3528">
        <v>133.26836899524918</v>
      </c>
      <c r="H254" s="3528">
        <v>151.01420257377788</v>
      </c>
      <c r="I254" s="3528">
        <v>218.28229479240895</v>
      </c>
      <c r="J254" s="3529">
        <v>156.53234308716992</v>
      </c>
      <c r="K254" s="1097">
        <v>195.87945958997182</v>
      </c>
      <c r="L254" s="1261">
        <v>206.97343291779677</v>
      </c>
      <c r="M254" s="1261">
        <v>199.31118136515079</v>
      </c>
      <c r="N254" s="1261">
        <v>318.32771390696257</v>
      </c>
      <c r="O254" s="1261">
        <v>134.57117232131063</v>
      </c>
      <c r="P254" s="1261">
        <v>151.24825606878215</v>
      </c>
      <c r="Q254" s="1261">
        <v>135.27459834803068</v>
      </c>
      <c r="R254" s="1261">
        <v>203.03482620882519</v>
      </c>
      <c r="S254" s="1261">
        <v>178.04587330572321</v>
      </c>
      <c r="T254" s="2752">
        <v>122.26725976196018</v>
      </c>
    </row>
    <row r="255" spans="1:20">
      <c r="A255" s="388">
        <f t="shared" si="3"/>
        <v>2024.06</v>
      </c>
      <c r="B255" s="885">
        <v>138.15810119140698</v>
      </c>
      <c r="C255" s="3525">
        <v>147.53832704705599</v>
      </c>
      <c r="D255" s="2005">
        <v>151.10987280373899</v>
      </c>
      <c r="E255" s="1098">
        <v>59.315612997849719</v>
      </c>
      <c r="F255" s="3528">
        <v>26.182838292400994</v>
      </c>
      <c r="G255" s="3528">
        <v>121.69507623997795</v>
      </c>
      <c r="H255" s="3528">
        <v>131.56538146413754</v>
      </c>
      <c r="I255" s="3528">
        <v>207.37348614708927</v>
      </c>
      <c r="J255" s="3529">
        <v>143.25493397750267</v>
      </c>
      <c r="K255" s="1097">
        <v>184.49601107489576</v>
      </c>
      <c r="L255" s="1261">
        <v>203.26137657386212</v>
      </c>
      <c r="M255" s="1261">
        <v>162.50994070953698</v>
      </c>
      <c r="N255" s="1261">
        <v>321.15169074962319</v>
      </c>
      <c r="O255" s="1261">
        <v>137.20414644120592</v>
      </c>
      <c r="P255" s="1261">
        <v>152.95154900995962</v>
      </c>
      <c r="Q255" s="1261">
        <v>135.16786639277984</v>
      </c>
      <c r="R255" s="1261">
        <v>203.48248711917893</v>
      </c>
      <c r="S255" s="1261">
        <v>175.83598443565077</v>
      </c>
      <c r="T255" s="2752">
        <v>118.42662946300025</v>
      </c>
    </row>
    <row r="256" spans="1:20">
      <c r="A256" s="388">
        <f t="shared" si="3"/>
        <v>2024.07</v>
      </c>
      <c r="B256" s="885">
        <v>141.50468221203798</v>
      </c>
      <c r="C256" s="3525">
        <v>147.072159630279</v>
      </c>
      <c r="D256" s="2005">
        <v>151.43866288282501</v>
      </c>
      <c r="E256" s="1098">
        <v>35.971129473923135</v>
      </c>
      <c r="F256" s="3528">
        <v>15.798760248544008</v>
      </c>
      <c r="G256" s="3528">
        <v>130.1744013119947</v>
      </c>
      <c r="H256" s="3528">
        <v>143.49938486211056</v>
      </c>
      <c r="I256" s="3528">
        <v>203.14492399011803</v>
      </c>
      <c r="J256" s="3529">
        <v>168.04319238388345</v>
      </c>
      <c r="K256" s="1097">
        <v>204.95251811514919</v>
      </c>
      <c r="L256" s="1261">
        <v>206.89386908599005</v>
      </c>
      <c r="M256" s="1261">
        <v>171.25783324614434</v>
      </c>
      <c r="N256" s="1261">
        <v>334.2262272722495</v>
      </c>
      <c r="O256" s="1261">
        <v>132.94242177778435</v>
      </c>
      <c r="P256" s="1261">
        <v>152.75624423791047</v>
      </c>
      <c r="Q256" s="1261">
        <v>135.1030189349041</v>
      </c>
      <c r="R256" s="1261">
        <v>203.3128201499031</v>
      </c>
      <c r="S256" s="1261">
        <v>175.76961560786876</v>
      </c>
      <c r="T256" s="2752">
        <v>111.39259071254587</v>
      </c>
    </row>
    <row r="257" spans="1:20">
      <c r="A257" s="388">
        <f t="shared" si="3"/>
        <v>2024.08</v>
      </c>
      <c r="B257" s="885">
        <v>147.63545638459627</v>
      </c>
      <c r="C257" s="3525">
        <v>155.13968055996801</v>
      </c>
      <c r="D257" s="2005">
        <v>152.30077462847299</v>
      </c>
      <c r="E257" s="1098">
        <v>33.513930300369168</v>
      </c>
      <c r="F257" s="3528">
        <v>24.134521011022695</v>
      </c>
      <c r="G257" s="3528">
        <v>139.36756723891145</v>
      </c>
      <c r="H257" s="3528">
        <v>165.21273856404679</v>
      </c>
      <c r="I257" s="3528">
        <v>186.95944487474952</v>
      </c>
      <c r="J257" s="3529">
        <v>164.54937873845853</v>
      </c>
      <c r="K257" s="1097">
        <v>205.35879202897075</v>
      </c>
      <c r="L257" s="1261">
        <v>206.50206272217181</v>
      </c>
      <c r="M257" s="1261">
        <v>178.06030164249478</v>
      </c>
      <c r="N257" s="1261">
        <v>332.62054354071233</v>
      </c>
      <c r="O257" s="1261">
        <v>138.55994217499574</v>
      </c>
      <c r="P257" s="1261">
        <v>152.68065769554033</v>
      </c>
      <c r="Q257" s="1261">
        <v>134.93976393159139</v>
      </c>
      <c r="R257" s="1261">
        <v>203.7048498782251</v>
      </c>
      <c r="S257" s="1261">
        <v>171.79310104238729</v>
      </c>
      <c r="T257" s="2752">
        <v>111.17527199881795</v>
      </c>
    </row>
    <row r="258" spans="1:20">
      <c r="A258" s="388">
        <f t="shared" si="3"/>
        <v>2024.09</v>
      </c>
      <c r="B258" s="885">
        <v>141.89041370564391</v>
      </c>
      <c r="C258" s="3525">
        <v>153.37781279009999</v>
      </c>
      <c r="D258" s="2005">
        <v>153.904468725692</v>
      </c>
      <c r="E258" s="1098">
        <v>26.395327012608465</v>
      </c>
      <c r="F258" s="3528">
        <v>29.317654305640843</v>
      </c>
      <c r="G258" s="3528">
        <v>151.1400255365719</v>
      </c>
      <c r="H258" s="3528">
        <v>159.21101783933796</v>
      </c>
      <c r="I258" s="3528">
        <v>190.78329749206608</v>
      </c>
      <c r="J258" s="3529">
        <v>161.60904666859733</v>
      </c>
      <c r="K258" s="1097">
        <v>196.31057197932086</v>
      </c>
      <c r="L258" s="1261">
        <v>207.92600977737794</v>
      </c>
      <c r="M258" s="1261">
        <v>163.79380228630441</v>
      </c>
      <c r="N258" s="1261">
        <v>331.92339738184586</v>
      </c>
      <c r="O258" s="1261">
        <v>136.29655957812483</v>
      </c>
      <c r="P258" s="1261">
        <v>152.22988114852768</v>
      </c>
      <c r="Q258" s="1261">
        <v>134.88522495568066</v>
      </c>
      <c r="R258" s="1261">
        <v>203.47603194062162</v>
      </c>
      <c r="S258" s="1261">
        <v>170.45397890288484</v>
      </c>
      <c r="T258" s="2752">
        <v>119.14661211490272</v>
      </c>
    </row>
    <row r="259" spans="1:20">
      <c r="A259" s="388">
        <f>A247+1</f>
        <v>2024.1</v>
      </c>
      <c r="B259" s="885">
        <v>143.22366396074673</v>
      </c>
      <c r="C259" s="3525">
        <v>154.29171742397099</v>
      </c>
      <c r="D259" s="2005">
        <v>156.007387526369</v>
      </c>
      <c r="E259" s="1098">
        <v>28.411382906016325</v>
      </c>
      <c r="F259" s="3528">
        <v>34.358295963293557</v>
      </c>
      <c r="G259" s="3528">
        <v>157.55867742248228</v>
      </c>
      <c r="H259" s="3528">
        <v>149.57711620364375</v>
      </c>
      <c r="I259" s="3528">
        <v>193.74383016064405</v>
      </c>
      <c r="J259" s="3529">
        <v>164.06070021692437</v>
      </c>
      <c r="K259" s="1097">
        <v>211.65204637882087</v>
      </c>
      <c r="L259" s="1261">
        <v>210.1007458062459</v>
      </c>
      <c r="M259" s="1261">
        <v>162.08184564281123</v>
      </c>
      <c r="N259" s="1261">
        <v>347.16355259047657</v>
      </c>
      <c r="O259" s="1261">
        <v>138.6698329574476</v>
      </c>
      <c r="P259" s="1261">
        <v>152.64255350928892</v>
      </c>
      <c r="Q259" s="1261">
        <v>134.81358261500768</v>
      </c>
      <c r="R259" s="1261">
        <v>203.95461796648289</v>
      </c>
      <c r="S259" s="1261">
        <v>180.00327315495863</v>
      </c>
      <c r="T259" s="2752">
        <v>133.75012715648538</v>
      </c>
    </row>
    <row r="260" spans="1:20">
      <c r="A260" s="388">
        <f t="shared" si="3"/>
        <v>2024.11</v>
      </c>
      <c r="B260" s="885">
        <v>155.8790640180668</v>
      </c>
      <c r="C260" s="3525">
        <v>158.70795631586799</v>
      </c>
      <c r="D260" s="2005">
        <v>158.16175688554301</v>
      </c>
      <c r="E260" s="1098">
        <v>84.952423815414321</v>
      </c>
      <c r="F260" s="3528">
        <v>26.832956386055866</v>
      </c>
      <c r="G260" s="3528">
        <v>140.37522656723712</v>
      </c>
      <c r="H260" s="3528">
        <v>157.18798066564139</v>
      </c>
      <c r="I260" s="3528">
        <v>176.77495635678412</v>
      </c>
      <c r="J260" s="3529">
        <v>164.41416604478292</v>
      </c>
      <c r="K260" s="1097">
        <v>205.88118648707598</v>
      </c>
      <c r="L260" s="1261">
        <v>213.53362485518267</v>
      </c>
      <c r="M260" s="1261">
        <v>175.64749500506059</v>
      </c>
      <c r="N260" s="1261">
        <v>347.25186503835266</v>
      </c>
      <c r="O260" s="1261">
        <v>135.5143787507786</v>
      </c>
      <c r="P260" s="1261">
        <v>152.84665320670018</v>
      </c>
      <c r="Q260" s="1261">
        <v>134.7041853994788</v>
      </c>
      <c r="R260" s="1261">
        <v>205.17288687004663</v>
      </c>
      <c r="S260" s="1261">
        <v>175.8585714584745</v>
      </c>
      <c r="T260" s="2752">
        <v>139.52498693647016</v>
      </c>
    </row>
    <row r="261" spans="1:20">
      <c r="A261" s="388">
        <f t="shared" si="3"/>
        <v>2024.12</v>
      </c>
      <c r="B261" s="885">
        <v>153.80045162166095</v>
      </c>
      <c r="C261" s="3525">
        <v>160.03390573224101</v>
      </c>
      <c r="D261" s="2005">
        <v>160.136110927668</v>
      </c>
      <c r="E261" s="1098">
        <v>67.844400602747896</v>
      </c>
      <c r="F261" s="3528">
        <v>20.153660903300505</v>
      </c>
      <c r="G261" s="3528">
        <v>128.85419011764228</v>
      </c>
      <c r="H261" s="3528">
        <v>145.02765727826988</v>
      </c>
      <c r="I261" s="3528">
        <v>173.80962803906237</v>
      </c>
      <c r="J261" s="3529">
        <v>192.79454370418009</v>
      </c>
      <c r="K261" s="1097">
        <v>226.92054117481564</v>
      </c>
      <c r="L261" s="1261">
        <v>202.36616627637946</v>
      </c>
      <c r="M261" s="1261">
        <v>168.30446291640254</v>
      </c>
      <c r="N261" s="1261">
        <v>347.77384882664006</v>
      </c>
      <c r="O261" s="1261">
        <v>142.43605309915245</v>
      </c>
      <c r="P261" s="1261">
        <v>153.17906825151192</v>
      </c>
      <c r="Q261" s="1261">
        <v>133.82251485683383</v>
      </c>
      <c r="R261" s="1261">
        <v>205.17957932411269</v>
      </c>
      <c r="S261" s="1261">
        <v>175.70709143117162</v>
      </c>
      <c r="T261" s="2752">
        <v>138.92404190222288</v>
      </c>
    </row>
    <row r="262" spans="1:20">
      <c r="A262" s="388">
        <f t="shared" si="3"/>
        <v>2025.01</v>
      </c>
      <c r="B262" s="885">
        <v>140.97399400591294</v>
      </c>
      <c r="C262" s="3525">
        <v>163.36683734092901</v>
      </c>
      <c r="D262" s="2005">
        <v>161.694195420472</v>
      </c>
      <c r="E262" s="1098">
        <v>47.284752798067728</v>
      </c>
      <c r="F262" s="3528">
        <v>20.732533178472622</v>
      </c>
      <c r="G262" s="3528">
        <v>129.14307875090984</v>
      </c>
      <c r="H262" s="3528">
        <v>144.47313419000781</v>
      </c>
      <c r="I262" s="3528">
        <v>217.96338476796518</v>
      </c>
      <c r="J262" s="3529">
        <v>163.2940538739654</v>
      </c>
      <c r="K262" s="1097">
        <v>192.15651563523568</v>
      </c>
      <c r="L262" s="1261">
        <v>199.42351591987372</v>
      </c>
      <c r="M262" s="1261">
        <v>153.89052987938265</v>
      </c>
      <c r="N262" s="1261">
        <v>348.87174649063911</v>
      </c>
      <c r="O262" s="1261">
        <v>130.26170148641006</v>
      </c>
      <c r="P262" s="1261">
        <v>152.95937360206898</v>
      </c>
      <c r="Q262" s="1261">
        <v>133.61978029011303</v>
      </c>
      <c r="R262" s="1261">
        <v>206.92674982181387</v>
      </c>
      <c r="S262" s="1261">
        <v>171.72431632335278</v>
      </c>
      <c r="T262" s="2752">
        <v>131.8241447137668</v>
      </c>
    </row>
    <row r="263" spans="1:20">
      <c r="A263" s="388">
        <f t="shared" si="3"/>
        <v>2025.02</v>
      </c>
      <c r="B263" s="885">
        <v>136.61530916380119</v>
      </c>
      <c r="C263" s="3525">
        <v>162.66769584115301</v>
      </c>
      <c r="D263" s="2005">
        <v>162.75162468620999</v>
      </c>
      <c r="E263" s="1098">
        <v>52.222912017402344</v>
      </c>
      <c r="F263" s="3528">
        <v>13.447648238614123</v>
      </c>
      <c r="G263" s="3528">
        <v>118.20967924816641</v>
      </c>
      <c r="H263" s="3528">
        <v>134.12374485922106</v>
      </c>
      <c r="I263" s="3528">
        <v>202.88756331152362</v>
      </c>
      <c r="J263" s="3529">
        <v>151.83575846958729</v>
      </c>
      <c r="K263" s="1097">
        <v>180.37580178278083</v>
      </c>
      <c r="L263" s="1261">
        <v>200.42845716618845</v>
      </c>
      <c r="M263" s="1261">
        <v>153.29621679358354</v>
      </c>
      <c r="N263" s="1261">
        <v>339.29848063798755</v>
      </c>
      <c r="O263" s="1261">
        <v>134.23081429503085</v>
      </c>
      <c r="P263" s="1261">
        <v>152.99136948328805</v>
      </c>
      <c r="Q263" s="1261">
        <v>133.29647054443069</v>
      </c>
      <c r="R263" s="1261">
        <v>205.84504078424766</v>
      </c>
      <c r="S263" s="1261">
        <v>177.09728345616682</v>
      </c>
      <c r="T263" s="2752">
        <v>129.1517165918811</v>
      </c>
    </row>
    <row r="264" spans="1:20">
      <c r="A264" s="388">
        <f t="shared" si="3"/>
        <v>2025.03</v>
      </c>
      <c r="B264" s="885">
        <v>188.64264299373272</v>
      </c>
      <c r="C264" s="3525">
        <v>161.61084665817299</v>
      </c>
      <c r="D264" s="2753">
        <v>163.15903105884999</v>
      </c>
      <c r="E264" s="1098">
        <v>268.06229161818237</v>
      </c>
      <c r="F264" s="3528">
        <v>19.904300538610975</v>
      </c>
      <c r="G264" s="3528">
        <v>111.35029965211749</v>
      </c>
      <c r="H264" s="3528">
        <v>146.3750674605848</v>
      </c>
      <c r="I264" s="3528">
        <v>220.47430449792282</v>
      </c>
      <c r="J264" s="3529">
        <v>165.70441771667882</v>
      </c>
      <c r="K264" s="1097">
        <v>192.92918553934072</v>
      </c>
      <c r="L264" s="1261">
        <v>211.4267084851443</v>
      </c>
      <c r="M264" s="1261">
        <v>188.18069082178997</v>
      </c>
      <c r="N264" s="1261">
        <v>364.02935273145596</v>
      </c>
      <c r="O264" s="1261">
        <v>135.54257975687503</v>
      </c>
      <c r="P264" s="1261">
        <v>154.44630668255624</v>
      </c>
      <c r="Q264" s="1261">
        <v>133.68967816804366</v>
      </c>
      <c r="R264" s="1261">
        <v>204.06977984720473</v>
      </c>
      <c r="S264" s="1261">
        <v>168.90335321424547</v>
      </c>
      <c r="T264" s="2752">
        <v>126.68988512336961</v>
      </c>
    </row>
    <row r="265" spans="1:20">
      <c r="A265" s="388">
        <f t="shared" si="3"/>
        <v>2025.04</v>
      </c>
      <c r="B265" s="885">
        <v>217.39880302648058</v>
      </c>
      <c r="C265" s="3525">
        <v>164.55848219988999</v>
      </c>
      <c r="D265" s="2753">
        <v>162.898841918692</v>
      </c>
      <c r="E265" s="1098">
        <v>379.4613885576872</v>
      </c>
      <c r="F265" s="3528">
        <v>17.366168255163934</v>
      </c>
      <c r="G265" s="3528">
        <v>130.50568657062234</v>
      </c>
      <c r="H265" s="3528">
        <v>160.37325339463985</v>
      </c>
      <c r="I265" s="3528">
        <v>215.28965288190918</v>
      </c>
      <c r="J265" s="3529">
        <v>162.75464707969405</v>
      </c>
      <c r="K265" s="1097">
        <v>201.88502233687399</v>
      </c>
      <c r="L265" s="1261">
        <v>204.73508440912468</v>
      </c>
      <c r="M265" s="1261">
        <v>207.61910608008458</v>
      </c>
      <c r="N265" s="1261">
        <v>385.11206956172896</v>
      </c>
      <c r="O265" s="1261">
        <v>130.78283940603018</v>
      </c>
      <c r="P265" s="1261">
        <v>154.28816466075742</v>
      </c>
      <c r="Q265" s="1261">
        <v>133.96693855315434</v>
      </c>
      <c r="R265" s="1261">
        <v>203.89842474040105</v>
      </c>
      <c r="S265" s="1261">
        <v>170.75458587035803</v>
      </c>
      <c r="T265" s="2752">
        <v>131.48417378078975</v>
      </c>
    </row>
    <row r="266" spans="1:20">
      <c r="A266" s="388">
        <f t="shared" si="3"/>
        <v>2025.05</v>
      </c>
      <c r="B266" s="885">
        <v>188.54871090003917</v>
      </c>
      <c r="C266" s="3525">
        <v>163.47608895733001</v>
      </c>
      <c r="D266" s="2753">
        <v>162.173676789387</v>
      </c>
      <c r="E266" s="1098">
        <v>229.69319517613465</v>
      </c>
      <c r="F266" s="3528">
        <v>21.997146456540982</v>
      </c>
      <c r="G266" s="3528">
        <v>139.5995819432575</v>
      </c>
      <c r="H266" s="3528">
        <v>163.80287244304603</v>
      </c>
      <c r="I266" s="3528">
        <v>213.69713927864876</v>
      </c>
      <c r="J266" s="3529">
        <v>165.22754937464416</v>
      </c>
      <c r="K266" s="1097">
        <v>212.22165784408008</v>
      </c>
      <c r="L266" s="1261">
        <v>207.75310055870267</v>
      </c>
      <c r="M266" s="1261">
        <v>188.53984611225391</v>
      </c>
      <c r="N266" s="1261">
        <v>351.22511100777007</v>
      </c>
      <c r="O266" s="1261">
        <v>129.77180748211208</v>
      </c>
      <c r="P266" s="1261">
        <v>155.24636271087502</v>
      </c>
      <c r="Q266" s="1261">
        <v>134.08150776742647</v>
      </c>
      <c r="R266" s="1261">
        <v>203.56801108518823</v>
      </c>
      <c r="S266" s="1261">
        <v>174.93304897490651</v>
      </c>
      <c r="T266" s="2752">
        <v>139.33629693713888</v>
      </c>
    </row>
    <row r="267" spans="1:20">
      <c r="A267" s="388">
        <f t="shared" si="3"/>
        <v>2025.06</v>
      </c>
      <c r="B267" s="885">
        <v>149.67978871423762</v>
      </c>
      <c r="C267" s="3530">
        <v>158.78335481755701</v>
      </c>
      <c r="D267" s="1594">
        <v>161.37774313221701</v>
      </c>
      <c r="E267" s="1098">
        <v>57.340253741653555</v>
      </c>
      <c r="F267" s="3528">
        <v>12.859870236131647</v>
      </c>
      <c r="G267" s="3528">
        <v>135.80260118246983</v>
      </c>
      <c r="H267" s="3528">
        <v>154.70999131427649</v>
      </c>
      <c r="I267" s="3528">
        <v>205.20101507233946</v>
      </c>
      <c r="J267" s="3529">
        <v>169.37712925591583</v>
      </c>
      <c r="K267" s="1097">
        <v>207.83070437387124</v>
      </c>
      <c r="L267" s="1261">
        <v>198.57950582390413</v>
      </c>
      <c r="M267" s="1261">
        <v>157.88131903249473</v>
      </c>
      <c r="N267" s="1261">
        <v>351.36564055157294</v>
      </c>
      <c r="O267" s="1261">
        <v>137.86259072228162</v>
      </c>
      <c r="P267" s="1261">
        <v>154.47701817090106</v>
      </c>
      <c r="Q267" s="1261">
        <v>134.11202488172466</v>
      </c>
      <c r="R267" s="1261">
        <v>202.49971955368935</v>
      </c>
      <c r="S267" s="1261">
        <v>171.55910772327724</v>
      </c>
      <c r="T267" s="2752">
        <v>145.45944164930938</v>
      </c>
    </row>
    <row r="268" spans="1:20">
      <c r="A268" s="388">
        <f t="shared" si="3"/>
        <v>2025.07</v>
      </c>
      <c r="B268" s="885">
        <v>156.13072616340563</v>
      </c>
      <c r="C268" s="3531">
        <v>162.45774649875699</v>
      </c>
      <c r="D268" s="1594">
        <v>160.87288597774901</v>
      </c>
      <c r="E268" s="1098">
        <v>33.760331236052437</v>
      </c>
      <c r="F268" s="3528">
        <v>33.325231595294071</v>
      </c>
      <c r="G268" s="3528">
        <v>126.50226361641872</v>
      </c>
      <c r="H268" s="3528">
        <v>188.17168497869062</v>
      </c>
      <c r="I268" s="3528">
        <v>192.76357618831514</v>
      </c>
      <c r="J268" s="3529">
        <v>174.07993968394385</v>
      </c>
      <c r="K268" s="1097">
        <v>214.55472589697496</v>
      </c>
      <c r="L268" s="1261">
        <v>205.99331020175245</v>
      </c>
      <c r="M268" s="1261">
        <v>172.18421232932872</v>
      </c>
      <c r="N268" s="1261">
        <v>347.52366630593008</v>
      </c>
      <c r="O268" s="1261">
        <v>136.52264843457954</v>
      </c>
      <c r="P268" s="1261">
        <v>154.01212559191453</v>
      </c>
      <c r="Q268" s="1261">
        <v>134.63084861104758</v>
      </c>
      <c r="R268" s="1261">
        <v>203.7357592623643</v>
      </c>
      <c r="S268" s="1261">
        <v>176.84227379967658</v>
      </c>
      <c r="T268" s="2752">
        <v>124.08055229719882</v>
      </c>
    </row>
    <row r="269" spans="1:20">
      <c r="A269" s="388">
        <f t="shared" si="3"/>
        <v>2025.08</v>
      </c>
      <c r="B269" s="885">
        <v>150.02595460761921</v>
      </c>
      <c r="C269" s="3531">
        <v>159.51692295583001</v>
      </c>
      <c r="D269" s="1594">
        <v>160.862286313417</v>
      </c>
      <c r="E269" s="1098">
        <v>32.989687106603924</v>
      </c>
      <c r="F269" s="3528">
        <v>29.014859577089275</v>
      </c>
      <c r="G269" s="3528">
        <v>138.80094514563731</v>
      </c>
      <c r="H269" s="3528">
        <v>171.81196889785318</v>
      </c>
      <c r="I269" s="3528">
        <v>200.70240456635236</v>
      </c>
      <c r="J269" s="3529">
        <v>174.59405719497286</v>
      </c>
      <c r="K269" s="1097">
        <v>208.81768842518517</v>
      </c>
      <c r="L269" s="1261">
        <v>208.78509365598816</v>
      </c>
      <c r="M269" s="1261">
        <v>165.39175194997733</v>
      </c>
      <c r="N269" s="1261">
        <v>348.63830943289884</v>
      </c>
      <c r="O269" s="1261">
        <v>137.66312147397755</v>
      </c>
      <c r="P269" s="1261">
        <v>153.73710333787091</v>
      </c>
      <c r="Q269" s="1261">
        <v>134.65504424513992</v>
      </c>
      <c r="R269" s="1261">
        <v>205.06171440128477</v>
      </c>
      <c r="S269" s="1261">
        <v>165.7891084893582</v>
      </c>
      <c r="T269" s="2752">
        <v>113.39314315199361</v>
      </c>
    </row>
    <row r="270" spans="1:20">
      <c r="A270" s="388">
        <f t="shared" si="3"/>
        <v>2025.09</v>
      </c>
      <c r="B270" s="885">
        <v>149.83366940931941</v>
      </c>
      <c r="C270" s="3531">
        <v>160.60296552456799</v>
      </c>
      <c r="D270" s="1594">
        <v>161.342085493106</v>
      </c>
      <c r="E270" s="1098">
        <v>27.634396995421266</v>
      </c>
      <c r="F270" s="3528">
        <v>17.544282801370738</v>
      </c>
      <c r="G270" s="3528">
        <v>151.97417460959829</v>
      </c>
      <c r="H270" s="3528">
        <v>173.5394466806105</v>
      </c>
      <c r="I270" s="3528">
        <v>174.84318111072395</v>
      </c>
      <c r="J270" s="3529">
        <v>180.40521405173854</v>
      </c>
      <c r="K270" s="1097">
        <v>212.92476018755809</v>
      </c>
      <c r="L270" s="1261">
        <v>205.85579531042129</v>
      </c>
      <c r="M270" s="1261">
        <v>153.11935446281248</v>
      </c>
      <c r="N270" s="1261">
        <v>375.90278611661677</v>
      </c>
      <c r="O270" s="1261">
        <v>136.14286419447305</v>
      </c>
      <c r="P270" s="1261">
        <v>154.92642703796611</v>
      </c>
      <c r="Q270" s="1261">
        <v>134.63109688147463</v>
      </c>
      <c r="R270" s="1261">
        <v>205.47167209619136</v>
      </c>
      <c r="S270" s="1261">
        <v>162.33659383424271</v>
      </c>
      <c r="T270" s="2752">
        <v>126.49535747539007</v>
      </c>
    </row>
    <row r="271" spans="1:20">
      <c r="A271" s="388">
        <f t="shared" si="3"/>
        <v>2025.1</v>
      </c>
      <c r="B271" s="885">
        <v>148.61082369269931</v>
      </c>
      <c r="C271" s="3531">
        <v>160.68422259258799</v>
      </c>
      <c r="D271" s="1594">
        <v>162.19035319952499</v>
      </c>
      <c r="E271" s="1098">
        <v>29.169520844881092</v>
      </c>
      <c r="F271" s="3528">
        <v>28.854556485503146</v>
      </c>
      <c r="G271" s="3528">
        <v>169.38313456167756</v>
      </c>
      <c r="H271" s="3528">
        <v>170.17681161380173</v>
      </c>
      <c r="I271" s="3528">
        <v>195.4414046033165</v>
      </c>
      <c r="J271" s="3529">
        <v>156.22049288141466</v>
      </c>
      <c r="K271" s="1097">
        <v>218.71820084416461</v>
      </c>
      <c r="L271" s="1261">
        <v>211.47233655655461</v>
      </c>
      <c r="M271" s="1261">
        <v>153.42658108052893</v>
      </c>
      <c r="N271" s="1261">
        <v>371.22545710617806</v>
      </c>
      <c r="O271" s="1261">
        <v>123.14814740286913</v>
      </c>
      <c r="P271" s="1261">
        <v>154.77826675316356</v>
      </c>
      <c r="Q271" s="1261">
        <v>134.58291367775522</v>
      </c>
      <c r="R271" s="1261">
        <v>206.93307739199139</v>
      </c>
      <c r="S271" s="1261">
        <v>165.03985769479851</v>
      </c>
      <c r="T271" s="2752">
        <v>140.50462854735795</v>
      </c>
    </row>
    <row r="272" spans="1:20">
      <c r="A272" s="388">
        <f t="shared" si="3"/>
        <v>2025.11</v>
      </c>
      <c r="B272" s="885">
        <v>161.89696727679313</v>
      </c>
      <c r="C272" s="3531">
        <v>166.533232275377</v>
      </c>
      <c r="D272" s="1594">
        <v>163.07532854724701</v>
      </c>
      <c r="E272" s="1098">
        <v>122.88210520982562</v>
      </c>
      <c r="F272" s="3528">
        <v>18.479384168956496</v>
      </c>
      <c r="G272" s="3528">
        <v>133.89537399984584</v>
      </c>
      <c r="H272" s="3528">
        <v>161.95143380140883</v>
      </c>
      <c r="I272" s="3528">
        <v>186.55582541812532</v>
      </c>
      <c r="J272" s="3529">
        <v>155.89075315960795</v>
      </c>
      <c r="K272" s="1097">
        <v>197.97077485215516</v>
      </c>
      <c r="L272" s="1261">
        <v>207.84570537736002</v>
      </c>
      <c r="M272" s="1261">
        <v>168.64391842195113</v>
      </c>
      <c r="N272" s="1261">
        <v>390.84340176239618</v>
      </c>
      <c r="O272" s="1261">
        <v>114.26663846169551</v>
      </c>
      <c r="P272" s="1261">
        <v>155.02426848159345</v>
      </c>
      <c r="Q272" s="1261">
        <v>134.51905736528164</v>
      </c>
      <c r="R272" s="1261">
        <v>209.15936697803085</v>
      </c>
      <c r="S272" s="1261">
        <v>172.31685789105933</v>
      </c>
      <c r="T272" s="2752">
        <v>147.05188012638081</v>
      </c>
    </row>
    <row r="273" spans="1:20">
      <c r="A273" s="388">
        <f t="shared" si="3"/>
        <v>2025.12</v>
      </c>
      <c r="B273" s="885">
        <v>158.93721806795475</v>
      </c>
      <c r="C273" s="3531">
        <v>163.734690963681</v>
      </c>
      <c r="D273" s="1594">
        <v>163.62230050072699</v>
      </c>
      <c r="E273" s="1098">
        <v>91.717604293053967</v>
      </c>
      <c r="F273" s="3528">
        <v>17.77226942051546</v>
      </c>
      <c r="G273" s="3528">
        <v>127.30488064506318</v>
      </c>
      <c r="H273" s="3528">
        <v>149.851559345776</v>
      </c>
      <c r="I273" s="3528">
        <v>196.50759877162363</v>
      </c>
      <c r="J273" s="3529">
        <v>156.47851887094009</v>
      </c>
      <c r="K273" s="1097">
        <v>237.64252440778199</v>
      </c>
      <c r="L273" s="1261">
        <v>200.95107551259238</v>
      </c>
      <c r="M273" s="1261">
        <v>157.32516802580716</v>
      </c>
      <c r="N273" s="1261">
        <v>396.89442104328816</v>
      </c>
      <c r="O273" s="1261">
        <v>116.418605787592</v>
      </c>
      <c r="P273" s="1261">
        <v>155.46359092430811</v>
      </c>
      <c r="Q273" s="1261">
        <v>133.9077884723433</v>
      </c>
      <c r="R273" s="1261">
        <v>207.2345292827124</v>
      </c>
      <c r="S273" s="1261">
        <v>167.45040914409907</v>
      </c>
      <c r="T273" s="2752">
        <v>145.93170475741704</v>
      </c>
    </row>
    <row r="274" spans="1:20">
      <c r="A274" s="388">
        <f t="shared" si="3"/>
        <v>2026.01</v>
      </c>
      <c r="B274" s="885" t="e">
        <v>#N/A</v>
      </c>
      <c r="C274" s="3531" t="e">
        <v>#N/A</v>
      </c>
      <c r="D274" s="1594" t="e">
        <v>#N/A</v>
      </c>
      <c r="E274" s="1098" t="e">
        <v>#N/A</v>
      </c>
      <c r="F274" s="3528" t="e">
        <v>#N/A</v>
      </c>
      <c r="G274" s="3528" t="e">
        <v>#N/A</v>
      </c>
      <c r="H274" s="3528" t="e">
        <v>#N/A</v>
      </c>
      <c r="I274" s="3528" t="e">
        <v>#N/A</v>
      </c>
      <c r="J274" s="3529" t="e">
        <v>#N/A</v>
      </c>
      <c r="K274" s="1097" t="e">
        <v>#N/A</v>
      </c>
      <c r="L274" s="1261" t="e">
        <v>#N/A</v>
      </c>
      <c r="M274" s="1261" t="e">
        <v>#N/A</v>
      </c>
      <c r="N274" s="1261" t="e">
        <v>#N/A</v>
      </c>
      <c r="O274" s="1261" t="e">
        <v>#N/A</v>
      </c>
      <c r="P274" s="1261" t="e">
        <v>#N/A</v>
      </c>
      <c r="Q274" s="1261" t="e">
        <v>#N/A</v>
      </c>
      <c r="R274" s="1261" t="e">
        <v>#N/A</v>
      </c>
      <c r="S274" s="1261" t="e">
        <v>#N/A</v>
      </c>
      <c r="T274" s="2752" t="e">
        <v>#N/A</v>
      </c>
    </row>
    <row r="275" spans="1:20">
      <c r="A275" s="388">
        <f t="shared" si="3"/>
        <v>2026.02</v>
      </c>
      <c r="B275" s="885" t="e">
        <v>#N/A</v>
      </c>
      <c r="C275" s="3531" t="e">
        <v>#N/A</v>
      </c>
      <c r="D275" s="1594" t="e">
        <v>#N/A</v>
      </c>
      <c r="E275" s="1098" t="e">
        <v>#N/A</v>
      </c>
      <c r="F275" s="3528" t="e">
        <v>#N/A</v>
      </c>
      <c r="G275" s="3528" t="e">
        <v>#N/A</v>
      </c>
      <c r="H275" s="3528" t="e">
        <v>#N/A</v>
      </c>
      <c r="I275" s="3528" t="e">
        <v>#N/A</v>
      </c>
      <c r="J275" s="3529" t="e">
        <v>#N/A</v>
      </c>
      <c r="K275" s="1097" t="e">
        <v>#N/A</v>
      </c>
      <c r="L275" s="1261" t="e">
        <v>#N/A</v>
      </c>
      <c r="M275" s="1261" t="e">
        <v>#N/A</v>
      </c>
      <c r="N275" s="1261" t="e">
        <v>#N/A</v>
      </c>
      <c r="O275" s="1261" t="e">
        <v>#N/A</v>
      </c>
      <c r="P275" s="1261" t="e">
        <v>#N/A</v>
      </c>
      <c r="Q275" s="1261" t="e">
        <v>#N/A</v>
      </c>
      <c r="R275" s="1261" t="e">
        <v>#N/A</v>
      </c>
      <c r="S275" s="1261" t="e">
        <v>#N/A</v>
      </c>
      <c r="T275" s="2752" t="e">
        <v>#N/A</v>
      </c>
    </row>
    <row r="276" spans="1:20">
      <c r="A276" s="388">
        <f t="shared" si="3"/>
        <v>2026.03</v>
      </c>
      <c r="B276" s="885" t="e">
        <v>#N/A</v>
      </c>
      <c r="C276" s="3531" t="e">
        <v>#N/A</v>
      </c>
      <c r="D276" s="1594" t="e">
        <v>#N/A</v>
      </c>
      <c r="E276" s="1098" t="e">
        <v>#N/A</v>
      </c>
      <c r="F276" s="3528" t="e">
        <v>#N/A</v>
      </c>
      <c r="G276" s="3528" t="e">
        <v>#N/A</v>
      </c>
      <c r="H276" s="3528" t="e">
        <v>#N/A</v>
      </c>
      <c r="I276" s="3528" t="e">
        <v>#N/A</v>
      </c>
      <c r="J276" s="3529" t="e">
        <v>#N/A</v>
      </c>
      <c r="K276" s="1097" t="e">
        <v>#N/A</v>
      </c>
      <c r="L276" s="1261" t="e">
        <v>#N/A</v>
      </c>
      <c r="M276" s="1261" t="e">
        <v>#N/A</v>
      </c>
      <c r="N276" s="1261" t="e">
        <v>#N/A</v>
      </c>
      <c r="O276" s="1261" t="e">
        <v>#N/A</v>
      </c>
      <c r="P276" s="1261" t="e">
        <v>#N/A</v>
      </c>
      <c r="Q276" s="1261" t="e">
        <v>#N/A</v>
      </c>
      <c r="R276" s="1261" t="e">
        <v>#N/A</v>
      </c>
      <c r="S276" s="1261" t="e">
        <v>#N/A</v>
      </c>
      <c r="T276" s="2752" t="e">
        <v>#N/A</v>
      </c>
    </row>
    <row r="277" spans="1:20">
      <c r="A277" s="388">
        <f t="shared" si="3"/>
        <v>2026.04</v>
      </c>
      <c r="B277" s="885" t="e">
        <v>#N/A</v>
      </c>
      <c r="C277" s="3531" t="e">
        <v>#N/A</v>
      </c>
      <c r="D277" s="1594" t="e">
        <v>#N/A</v>
      </c>
      <c r="E277" s="1098" t="e">
        <v>#N/A</v>
      </c>
      <c r="F277" s="3528" t="e">
        <v>#N/A</v>
      </c>
      <c r="G277" s="3528" t="e">
        <v>#N/A</v>
      </c>
      <c r="H277" s="3528" t="e">
        <v>#N/A</v>
      </c>
      <c r="I277" s="3528" t="e">
        <v>#N/A</v>
      </c>
      <c r="J277" s="3529" t="e">
        <v>#N/A</v>
      </c>
      <c r="K277" s="1097" t="e">
        <v>#N/A</v>
      </c>
      <c r="L277" s="1261" t="e">
        <v>#N/A</v>
      </c>
      <c r="M277" s="1261" t="e">
        <v>#N/A</v>
      </c>
      <c r="N277" s="1261" t="e">
        <v>#N/A</v>
      </c>
      <c r="O277" s="1261" t="e">
        <v>#N/A</v>
      </c>
      <c r="P277" s="1261" t="e">
        <v>#N/A</v>
      </c>
      <c r="Q277" s="1261" t="e">
        <v>#N/A</v>
      </c>
      <c r="R277" s="1261" t="e">
        <v>#N/A</v>
      </c>
      <c r="S277" s="1261" t="e">
        <v>#N/A</v>
      </c>
      <c r="T277" s="2752" t="e">
        <v>#N/A</v>
      </c>
    </row>
    <row r="278" spans="1:20">
      <c r="A278" s="388">
        <f t="shared" si="3"/>
        <v>2026.05</v>
      </c>
      <c r="B278" s="885" t="e">
        <v>#N/A</v>
      </c>
      <c r="C278" s="3531" t="e">
        <v>#N/A</v>
      </c>
      <c r="D278" s="1594" t="e">
        <v>#N/A</v>
      </c>
      <c r="E278" s="1098" t="e">
        <v>#N/A</v>
      </c>
      <c r="F278" s="3528" t="e">
        <v>#N/A</v>
      </c>
      <c r="G278" s="3528" t="e">
        <v>#N/A</v>
      </c>
      <c r="H278" s="3528" t="e">
        <v>#N/A</v>
      </c>
      <c r="I278" s="3528" t="e">
        <v>#N/A</v>
      </c>
      <c r="J278" s="3529" t="e">
        <v>#N/A</v>
      </c>
      <c r="K278" s="1097" t="e">
        <v>#N/A</v>
      </c>
      <c r="L278" s="1261" t="e">
        <v>#N/A</v>
      </c>
      <c r="M278" s="1261" t="e">
        <v>#N/A</v>
      </c>
      <c r="N278" s="1261" t="e">
        <v>#N/A</v>
      </c>
      <c r="O278" s="1261" t="e">
        <v>#N/A</v>
      </c>
      <c r="P278" s="1261" t="e">
        <v>#N/A</v>
      </c>
      <c r="Q278" s="1261" t="e">
        <v>#N/A</v>
      </c>
      <c r="R278" s="1261" t="e">
        <v>#N/A</v>
      </c>
      <c r="S278" s="1261" t="e">
        <v>#N/A</v>
      </c>
      <c r="T278" s="2752" t="e">
        <v>#N/A</v>
      </c>
    </row>
    <row r="279" spans="1:20">
      <c r="A279" s="388">
        <f t="shared" si="3"/>
        <v>2026.06</v>
      </c>
      <c r="B279" s="885" t="e">
        <v>#N/A</v>
      </c>
      <c r="C279" s="3531" t="e">
        <v>#N/A</v>
      </c>
      <c r="D279" s="1594" t="e">
        <v>#N/A</v>
      </c>
      <c r="E279" s="1098" t="e">
        <v>#N/A</v>
      </c>
      <c r="F279" s="3528" t="e">
        <v>#N/A</v>
      </c>
      <c r="G279" s="3528" t="e">
        <v>#N/A</v>
      </c>
      <c r="H279" s="3528" t="e">
        <v>#N/A</v>
      </c>
      <c r="I279" s="3528" t="e">
        <v>#N/A</v>
      </c>
      <c r="J279" s="3529" t="e">
        <v>#N/A</v>
      </c>
      <c r="K279" s="1097" t="e">
        <v>#N/A</v>
      </c>
      <c r="L279" s="1261" t="e">
        <v>#N/A</v>
      </c>
      <c r="M279" s="1261" t="e">
        <v>#N/A</v>
      </c>
      <c r="N279" s="1261" t="e">
        <v>#N/A</v>
      </c>
      <c r="O279" s="1261" t="e">
        <v>#N/A</v>
      </c>
      <c r="P279" s="1261" t="e">
        <v>#N/A</v>
      </c>
      <c r="Q279" s="1261" t="e">
        <v>#N/A</v>
      </c>
      <c r="R279" s="1261" t="e">
        <v>#N/A</v>
      </c>
      <c r="S279" s="1261" t="e">
        <v>#N/A</v>
      </c>
      <c r="T279" s="2752" t="e">
        <v>#N/A</v>
      </c>
    </row>
    <row r="280" spans="1:20">
      <c r="A280" s="388">
        <f t="shared" si="3"/>
        <v>2026.07</v>
      </c>
      <c r="B280" s="885" t="e">
        <v>#N/A</v>
      </c>
      <c r="C280" s="3531" t="e">
        <v>#N/A</v>
      </c>
      <c r="D280" s="1594" t="e">
        <v>#N/A</v>
      </c>
      <c r="E280" s="1098" t="e">
        <v>#N/A</v>
      </c>
      <c r="F280" s="3528" t="e">
        <v>#N/A</v>
      </c>
      <c r="G280" s="3528" t="e">
        <v>#N/A</v>
      </c>
      <c r="H280" s="3528" t="e">
        <v>#N/A</v>
      </c>
      <c r="I280" s="3528" t="e">
        <v>#N/A</v>
      </c>
      <c r="J280" s="3529" t="e">
        <v>#N/A</v>
      </c>
      <c r="K280" s="1097" t="e">
        <v>#N/A</v>
      </c>
      <c r="L280" s="1261" t="e">
        <v>#N/A</v>
      </c>
      <c r="M280" s="1261" t="e">
        <v>#N/A</v>
      </c>
      <c r="N280" s="1261" t="e">
        <v>#N/A</v>
      </c>
      <c r="O280" s="1261" t="e">
        <v>#N/A</v>
      </c>
      <c r="P280" s="1261" t="e">
        <v>#N/A</v>
      </c>
      <c r="Q280" s="1261" t="e">
        <v>#N/A</v>
      </c>
      <c r="R280" s="1261" t="e">
        <v>#N/A</v>
      </c>
      <c r="S280" s="1261" t="e">
        <v>#N/A</v>
      </c>
      <c r="T280" s="2752" t="e">
        <v>#N/A</v>
      </c>
    </row>
    <row r="281" spans="1:20">
      <c r="A281" s="388">
        <f t="shared" si="3"/>
        <v>2026.08</v>
      </c>
      <c r="B281" s="885" t="e">
        <v>#N/A</v>
      </c>
      <c r="C281" s="3531" t="e">
        <v>#N/A</v>
      </c>
      <c r="D281" s="1594" t="e">
        <v>#N/A</v>
      </c>
      <c r="E281" s="1098" t="e">
        <v>#N/A</v>
      </c>
      <c r="F281" s="3528" t="e">
        <v>#N/A</v>
      </c>
      <c r="G281" s="3528" t="e">
        <v>#N/A</v>
      </c>
      <c r="H281" s="3528" t="e">
        <v>#N/A</v>
      </c>
      <c r="I281" s="3528" t="e">
        <v>#N/A</v>
      </c>
      <c r="J281" s="3529" t="e">
        <v>#N/A</v>
      </c>
      <c r="K281" s="1097" t="e">
        <v>#N/A</v>
      </c>
      <c r="L281" s="1261" t="e">
        <v>#N/A</v>
      </c>
      <c r="M281" s="1261" t="e">
        <v>#N/A</v>
      </c>
      <c r="N281" s="1261" t="e">
        <v>#N/A</v>
      </c>
      <c r="O281" s="1261" t="e">
        <v>#N/A</v>
      </c>
      <c r="P281" s="1261" t="e">
        <v>#N/A</v>
      </c>
      <c r="Q281" s="1261" t="e">
        <v>#N/A</v>
      </c>
      <c r="R281" s="1261" t="e">
        <v>#N/A</v>
      </c>
      <c r="S281" s="1261" t="e">
        <v>#N/A</v>
      </c>
      <c r="T281" s="2752" t="e">
        <v>#N/A</v>
      </c>
    </row>
    <row r="282" spans="1:20">
      <c r="A282" s="388">
        <f t="shared" si="3"/>
        <v>2026.09</v>
      </c>
      <c r="B282" s="885" t="e">
        <v>#N/A</v>
      </c>
      <c r="C282" s="3531" t="e">
        <v>#N/A</v>
      </c>
      <c r="D282" s="1594" t="e">
        <v>#N/A</v>
      </c>
      <c r="E282" s="1098" t="e">
        <v>#N/A</v>
      </c>
      <c r="F282" s="3528" t="e">
        <v>#N/A</v>
      </c>
      <c r="G282" s="3528" t="e">
        <v>#N/A</v>
      </c>
      <c r="H282" s="3528" t="e">
        <v>#N/A</v>
      </c>
      <c r="I282" s="3528" t="e">
        <v>#N/A</v>
      </c>
      <c r="J282" s="3529" t="e">
        <v>#N/A</v>
      </c>
      <c r="K282" s="1097" t="e">
        <v>#N/A</v>
      </c>
      <c r="L282" s="1261" t="e">
        <v>#N/A</v>
      </c>
      <c r="M282" s="1261" t="e">
        <v>#N/A</v>
      </c>
      <c r="N282" s="1261" t="e">
        <v>#N/A</v>
      </c>
      <c r="O282" s="1261" t="e">
        <v>#N/A</v>
      </c>
      <c r="P282" s="1261" t="e">
        <v>#N/A</v>
      </c>
      <c r="Q282" s="1261" t="e">
        <v>#N/A</v>
      </c>
      <c r="R282" s="1261" t="e">
        <v>#N/A</v>
      </c>
      <c r="S282" s="1261" t="e">
        <v>#N/A</v>
      </c>
      <c r="T282" s="2752" t="e">
        <v>#N/A</v>
      </c>
    </row>
    <row r="283" spans="1:20">
      <c r="A283" s="388">
        <f t="shared" si="3"/>
        <v>2026.1</v>
      </c>
      <c r="B283" s="885" t="e">
        <v>#N/A</v>
      </c>
      <c r="C283" s="3531" t="e">
        <v>#N/A</v>
      </c>
      <c r="D283" s="1594" t="e">
        <v>#N/A</v>
      </c>
      <c r="E283" s="1098" t="e">
        <v>#N/A</v>
      </c>
      <c r="F283" s="3528" t="e">
        <v>#N/A</v>
      </c>
      <c r="G283" s="3528" t="e">
        <v>#N/A</v>
      </c>
      <c r="H283" s="3528" t="e">
        <v>#N/A</v>
      </c>
      <c r="I283" s="3528" t="e">
        <v>#N/A</v>
      </c>
      <c r="J283" s="3529" t="e">
        <v>#N/A</v>
      </c>
      <c r="K283" s="1097" t="e">
        <v>#N/A</v>
      </c>
      <c r="L283" s="1261" t="e">
        <v>#N/A</v>
      </c>
      <c r="M283" s="1261" t="e">
        <v>#N/A</v>
      </c>
      <c r="N283" s="1261" t="e">
        <v>#N/A</v>
      </c>
      <c r="O283" s="1261" t="e">
        <v>#N/A</v>
      </c>
      <c r="P283" s="1261" t="e">
        <v>#N/A</v>
      </c>
      <c r="Q283" s="1261" t="e">
        <v>#N/A</v>
      </c>
      <c r="R283" s="1261" t="e">
        <v>#N/A</v>
      </c>
      <c r="S283" s="1261" t="e">
        <v>#N/A</v>
      </c>
      <c r="T283" s="2752" t="e">
        <v>#N/A</v>
      </c>
    </row>
    <row r="284" spans="1:20">
      <c r="A284" s="388">
        <f t="shared" si="3"/>
        <v>2026.11</v>
      </c>
      <c r="B284" s="885" t="e">
        <v>#N/A</v>
      </c>
      <c r="C284" s="3531" t="e">
        <v>#N/A</v>
      </c>
      <c r="D284" s="1594" t="e">
        <v>#N/A</v>
      </c>
      <c r="E284" s="1098" t="e">
        <v>#N/A</v>
      </c>
      <c r="F284" s="3528" t="e">
        <v>#N/A</v>
      </c>
      <c r="G284" s="3528" t="e">
        <v>#N/A</v>
      </c>
      <c r="H284" s="3528" t="e">
        <v>#N/A</v>
      </c>
      <c r="I284" s="3528" t="e">
        <v>#N/A</v>
      </c>
      <c r="J284" s="3529" t="e">
        <v>#N/A</v>
      </c>
      <c r="K284" s="1097" t="e">
        <v>#N/A</v>
      </c>
      <c r="L284" s="1261" t="e">
        <v>#N/A</v>
      </c>
      <c r="M284" s="1261" t="e">
        <v>#N/A</v>
      </c>
      <c r="N284" s="1261" t="e">
        <v>#N/A</v>
      </c>
      <c r="O284" s="1261" t="e">
        <v>#N/A</v>
      </c>
      <c r="P284" s="1261" t="e">
        <v>#N/A</v>
      </c>
      <c r="Q284" s="1261" t="e">
        <v>#N/A</v>
      </c>
      <c r="R284" s="1261" t="e">
        <v>#N/A</v>
      </c>
      <c r="S284" s="1261" t="e">
        <v>#N/A</v>
      </c>
      <c r="T284" s="2752" t="e">
        <v>#N/A</v>
      </c>
    </row>
    <row r="285" spans="1:20">
      <c r="A285" s="388">
        <f t="shared" si="3"/>
        <v>2026.12</v>
      </c>
      <c r="B285" s="885" t="e">
        <v>#N/A</v>
      </c>
      <c r="C285" s="3531" t="e">
        <v>#N/A</v>
      </c>
      <c r="D285" s="1594" t="e">
        <v>#N/A</v>
      </c>
      <c r="E285" s="1098" t="e">
        <v>#N/A</v>
      </c>
      <c r="F285" s="3528" t="e">
        <v>#N/A</v>
      </c>
      <c r="G285" s="3528" t="e">
        <v>#N/A</v>
      </c>
      <c r="H285" s="3528" t="e">
        <v>#N/A</v>
      </c>
      <c r="I285" s="3528" t="e">
        <v>#N/A</v>
      </c>
      <c r="J285" s="3529" t="e">
        <v>#N/A</v>
      </c>
      <c r="K285" s="1097" t="e">
        <v>#N/A</v>
      </c>
      <c r="L285" s="1261" t="e">
        <v>#N/A</v>
      </c>
      <c r="M285" s="1261" t="e">
        <v>#N/A</v>
      </c>
      <c r="N285" s="1261" t="e">
        <v>#N/A</v>
      </c>
      <c r="O285" s="1261" t="e">
        <v>#N/A</v>
      </c>
      <c r="P285" s="1261" t="e">
        <v>#N/A</v>
      </c>
      <c r="Q285" s="1261" t="e">
        <v>#N/A</v>
      </c>
      <c r="R285" s="1261" t="e">
        <v>#N/A</v>
      </c>
      <c r="S285" s="1261" t="e">
        <v>#N/A</v>
      </c>
      <c r="T285" s="2752" t="e">
        <v>#N/A</v>
      </c>
    </row>
    <row r="286" spans="1:20">
      <c r="A286" s="388">
        <f t="shared" si="3"/>
        <v>2027.01</v>
      </c>
      <c r="B286" s="885" t="e">
        <v>#N/A</v>
      </c>
      <c r="C286" s="3531" t="e">
        <v>#N/A</v>
      </c>
      <c r="D286" s="1594" t="e">
        <v>#N/A</v>
      </c>
      <c r="E286" s="1098" t="e">
        <v>#N/A</v>
      </c>
      <c r="F286" s="3528" t="e">
        <v>#N/A</v>
      </c>
      <c r="G286" s="3528" t="e">
        <v>#N/A</v>
      </c>
      <c r="H286" s="3528" t="e">
        <v>#N/A</v>
      </c>
      <c r="I286" s="3528" t="e">
        <v>#N/A</v>
      </c>
      <c r="J286" s="3529" t="e">
        <v>#N/A</v>
      </c>
      <c r="K286" s="1097" t="e">
        <v>#N/A</v>
      </c>
      <c r="L286" s="1261" t="e">
        <v>#N/A</v>
      </c>
      <c r="M286" s="1261" t="e">
        <v>#N/A</v>
      </c>
      <c r="N286" s="1261" t="e">
        <v>#N/A</v>
      </c>
      <c r="O286" s="1261" t="e">
        <v>#N/A</v>
      </c>
      <c r="P286" s="1261" t="e">
        <v>#N/A</v>
      </c>
      <c r="Q286" s="1261" t="e">
        <v>#N/A</v>
      </c>
      <c r="R286" s="1261" t="e">
        <v>#N/A</v>
      </c>
      <c r="S286" s="1261" t="e">
        <v>#N/A</v>
      </c>
      <c r="T286" s="2752" t="e">
        <v>#N/A</v>
      </c>
    </row>
    <row r="287" spans="1:20">
      <c r="A287" s="388">
        <f t="shared" si="3"/>
        <v>2027.02</v>
      </c>
      <c r="B287" s="885" t="e">
        <v>#N/A</v>
      </c>
      <c r="C287" s="3531" t="e">
        <v>#N/A</v>
      </c>
      <c r="D287" s="1594" t="e">
        <v>#N/A</v>
      </c>
      <c r="E287" s="1098" t="e">
        <v>#N/A</v>
      </c>
      <c r="F287" s="3528" t="e">
        <v>#N/A</v>
      </c>
      <c r="G287" s="3528" t="e">
        <v>#N/A</v>
      </c>
      <c r="H287" s="3528" t="e">
        <v>#N/A</v>
      </c>
      <c r="I287" s="3528" t="e">
        <v>#N/A</v>
      </c>
      <c r="J287" s="3529" t="e">
        <v>#N/A</v>
      </c>
      <c r="K287" s="1097" t="e">
        <v>#N/A</v>
      </c>
      <c r="L287" s="1261" t="e">
        <v>#N/A</v>
      </c>
      <c r="M287" s="1261" t="e">
        <v>#N/A</v>
      </c>
      <c r="N287" s="1261" t="e">
        <v>#N/A</v>
      </c>
      <c r="O287" s="1261" t="e">
        <v>#N/A</v>
      </c>
      <c r="P287" s="1261" t="e">
        <v>#N/A</v>
      </c>
      <c r="Q287" s="1261" t="e">
        <v>#N/A</v>
      </c>
      <c r="R287" s="1261" t="e">
        <v>#N/A</v>
      </c>
      <c r="S287" s="1261" t="e">
        <v>#N/A</v>
      </c>
      <c r="T287" s="2752" t="e">
        <v>#N/A</v>
      </c>
    </row>
    <row r="288" spans="1:20">
      <c r="A288" s="388">
        <f t="shared" si="3"/>
        <v>2027.03</v>
      </c>
      <c r="B288" s="885" t="e">
        <v>#N/A</v>
      </c>
      <c r="C288" s="3531" t="e">
        <v>#N/A</v>
      </c>
      <c r="D288" s="1594" t="e">
        <v>#N/A</v>
      </c>
      <c r="E288" s="1098" t="e">
        <v>#N/A</v>
      </c>
      <c r="F288" s="3528" t="e">
        <v>#N/A</v>
      </c>
      <c r="G288" s="3528" t="e">
        <v>#N/A</v>
      </c>
      <c r="H288" s="3528" t="e">
        <v>#N/A</v>
      </c>
      <c r="I288" s="3528" t="e">
        <v>#N/A</v>
      </c>
      <c r="J288" s="3529" t="e">
        <v>#N/A</v>
      </c>
      <c r="K288" s="1097" t="e">
        <v>#N/A</v>
      </c>
      <c r="L288" s="1261" t="e">
        <v>#N/A</v>
      </c>
      <c r="M288" s="1261" t="e">
        <v>#N/A</v>
      </c>
      <c r="N288" s="1261" t="e">
        <v>#N/A</v>
      </c>
      <c r="O288" s="1261" t="e">
        <v>#N/A</v>
      </c>
      <c r="P288" s="1261" t="e">
        <v>#N/A</v>
      </c>
      <c r="Q288" s="1261" t="e">
        <v>#N/A</v>
      </c>
      <c r="R288" s="1261" t="e">
        <v>#N/A</v>
      </c>
      <c r="S288" s="1261" t="e">
        <v>#N/A</v>
      </c>
      <c r="T288" s="2752" t="e">
        <v>#N/A</v>
      </c>
    </row>
    <row r="289" spans="1:20">
      <c r="A289" s="388">
        <f t="shared" si="3"/>
        <v>2027.04</v>
      </c>
      <c r="B289" s="885" t="e">
        <v>#N/A</v>
      </c>
      <c r="C289" s="3531" t="e">
        <v>#N/A</v>
      </c>
      <c r="D289" s="1594" t="e">
        <v>#N/A</v>
      </c>
      <c r="E289" s="1098" t="e">
        <v>#N/A</v>
      </c>
      <c r="F289" s="3528" t="e">
        <v>#N/A</v>
      </c>
      <c r="G289" s="3528" t="e">
        <v>#N/A</v>
      </c>
      <c r="H289" s="3528" t="e">
        <v>#N/A</v>
      </c>
      <c r="I289" s="3528" t="e">
        <v>#N/A</v>
      </c>
      <c r="J289" s="3529" t="e">
        <v>#N/A</v>
      </c>
      <c r="K289" s="1097" t="e">
        <v>#N/A</v>
      </c>
      <c r="L289" s="1261" t="e">
        <v>#N/A</v>
      </c>
      <c r="M289" s="1261" t="e">
        <v>#N/A</v>
      </c>
      <c r="N289" s="1261" t="e">
        <v>#N/A</v>
      </c>
      <c r="O289" s="1261" t="e">
        <v>#N/A</v>
      </c>
      <c r="P289" s="1261" t="e">
        <v>#N/A</v>
      </c>
      <c r="Q289" s="1261" t="e">
        <v>#N/A</v>
      </c>
      <c r="R289" s="1261" t="e">
        <v>#N/A</v>
      </c>
      <c r="S289" s="1261" t="e">
        <v>#N/A</v>
      </c>
      <c r="T289" s="2752" t="e">
        <v>#N/A</v>
      </c>
    </row>
    <row r="290" spans="1:20">
      <c r="A290" s="388">
        <f t="shared" si="3"/>
        <v>2027.05</v>
      </c>
      <c r="B290" s="885" t="e">
        <v>#N/A</v>
      </c>
      <c r="C290" s="3531" t="e">
        <v>#N/A</v>
      </c>
      <c r="D290" s="1594" t="e">
        <v>#N/A</v>
      </c>
      <c r="E290" s="1098" t="e">
        <v>#N/A</v>
      </c>
      <c r="F290" s="3528" t="e">
        <v>#N/A</v>
      </c>
      <c r="G290" s="3528" t="e">
        <v>#N/A</v>
      </c>
      <c r="H290" s="3528" t="e">
        <v>#N/A</v>
      </c>
      <c r="I290" s="3528" t="e">
        <v>#N/A</v>
      </c>
      <c r="J290" s="3529" t="e">
        <v>#N/A</v>
      </c>
      <c r="K290" s="1097" t="e">
        <v>#N/A</v>
      </c>
      <c r="L290" s="1261" t="e">
        <v>#N/A</v>
      </c>
      <c r="M290" s="1261" t="e">
        <v>#N/A</v>
      </c>
      <c r="N290" s="1261" t="e">
        <v>#N/A</v>
      </c>
      <c r="O290" s="1261" t="e">
        <v>#N/A</v>
      </c>
      <c r="P290" s="1261" t="e">
        <v>#N/A</v>
      </c>
      <c r="Q290" s="1261" t="e">
        <v>#N/A</v>
      </c>
      <c r="R290" s="1261" t="e">
        <v>#N/A</v>
      </c>
      <c r="S290" s="1261" t="e">
        <v>#N/A</v>
      </c>
      <c r="T290" s="2752" t="e">
        <v>#N/A</v>
      </c>
    </row>
    <row r="291" spans="1:20">
      <c r="A291" s="388">
        <f t="shared" si="3"/>
        <v>2027.06</v>
      </c>
      <c r="B291" s="885" t="e">
        <v>#N/A</v>
      </c>
      <c r="C291" s="3531" t="e">
        <v>#N/A</v>
      </c>
      <c r="D291" s="1594" t="e">
        <v>#N/A</v>
      </c>
      <c r="E291" s="1098" t="e">
        <v>#N/A</v>
      </c>
      <c r="F291" s="3528" t="e">
        <v>#N/A</v>
      </c>
      <c r="G291" s="3528" t="e">
        <v>#N/A</v>
      </c>
      <c r="H291" s="3528" t="e">
        <v>#N/A</v>
      </c>
      <c r="I291" s="3528" t="e">
        <v>#N/A</v>
      </c>
      <c r="J291" s="3529" t="e">
        <v>#N/A</v>
      </c>
      <c r="K291" s="1097" t="e">
        <v>#N/A</v>
      </c>
      <c r="L291" s="1261" t="e">
        <v>#N/A</v>
      </c>
      <c r="M291" s="1261" t="e">
        <v>#N/A</v>
      </c>
      <c r="N291" s="1261" t="e">
        <v>#N/A</v>
      </c>
      <c r="O291" s="1261" t="e">
        <v>#N/A</v>
      </c>
      <c r="P291" s="1261" t="e">
        <v>#N/A</v>
      </c>
      <c r="Q291" s="1261" t="e">
        <v>#N/A</v>
      </c>
      <c r="R291" s="1261" t="e">
        <v>#N/A</v>
      </c>
      <c r="S291" s="1261" t="e">
        <v>#N/A</v>
      </c>
      <c r="T291" s="2752" t="e">
        <v>#N/A</v>
      </c>
    </row>
    <row r="292" spans="1:20">
      <c r="A292" s="388">
        <f t="shared" si="3"/>
        <v>2027.07</v>
      </c>
      <c r="B292" s="885" t="e">
        <v>#N/A</v>
      </c>
      <c r="C292" s="3531" t="e">
        <v>#N/A</v>
      </c>
      <c r="D292" s="1594" t="e">
        <v>#N/A</v>
      </c>
      <c r="E292" s="1098" t="e">
        <v>#N/A</v>
      </c>
      <c r="F292" s="3528" t="e">
        <v>#N/A</v>
      </c>
      <c r="G292" s="3528" t="e">
        <v>#N/A</v>
      </c>
      <c r="H292" s="3528" t="e">
        <v>#N/A</v>
      </c>
      <c r="I292" s="3528" t="e">
        <v>#N/A</v>
      </c>
      <c r="J292" s="3529" t="e">
        <v>#N/A</v>
      </c>
      <c r="K292" s="1097" t="e">
        <v>#N/A</v>
      </c>
      <c r="L292" s="1261" t="e">
        <v>#N/A</v>
      </c>
      <c r="M292" s="1261" t="e">
        <v>#N/A</v>
      </c>
      <c r="N292" s="1261" t="e">
        <v>#N/A</v>
      </c>
      <c r="O292" s="1261" t="e">
        <v>#N/A</v>
      </c>
      <c r="P292" s="1261" t="e">
        <v>#N/A</v>
      </c>
      <c r="Q292" s="1261" t="e">
        <v>#N/A</v>
      </c>
      <c r="R292" s="1261" t="e">
        <v>#N/A</v>
      </c>
      <c r="S292" s="1261" t="e">
        <v>#N/A</v>
      </c>
      <c r="T292" s="2752" t="e">
        <v>#N/A</v>
      </c>
    </row>
    <row r="293" spans="1:20">
      <c r="A293" s="388">
        <f t="shared" si="3"/>
        <v>2027.08</v>
      </c>
      <c r="B293" s="885" t="e">
        <v>#N/A</v>
      </c>
      <c r="C293" s="3531" t="e">
        <v>#N/A</v>
      </c>
      <c r="D293" s="1594" t="e">
        <v>#N/A</v>
      </c>
      <c r="E293" s="1098" t="e">
        <v>#N/A</v>
      </c>
      <c r="F293" s="3528" t="e">
        <v>#N/A</v>
      </c>
      <c r="G293" s="3528" t="e">
        <v>#N/A</v>
      </c>
      <c r="H293" s="3528" t="e">
        <v>#N/A</v>
      </c>
      <c r="I293" s="3528" t="e">
        <v>#N/A</v>
      </c>
      <c r="J293" s="3529" t="e">
        <v>#N/A</v>
      </c>
      <c r="K293" s="1097" t="e">
        <v>#N/A</v>
      </c>
      <c r="L293" s="1261" t="e">
        <v>#N/A</v>
      </c>
      <c r="M293" s="1261" t="e">
        <v>#N/A</v>
      </c>
      <c r="N293" s="1261" t="e">
        <v>#N/A</v>
      </c>
      <c r="O293" s="1261" t="e">
        <v>#N/A</v>
      </c>
      <c r="P293" s="1261" t="e">
        <v>#N/A</v>
      </c>
      <c r="Q293" s="1261" t="e">
        <v>#N/A</v>
      </c>
      <c r="R293" s="1261" t="e">
        <v>#N/A</v>
      </c>
      <c r="S293" s="1261" t="e">
        <v>#N/A</v>
      </c>
      <c r="T293" s="2752" t="e">
        <v>#N/A</v>
      </c>
    </row>
    <row r="294" spans="1:20">
      <c r="A294" s="388">
        <f t="shared" si="3"/>
        <v>2027.09</v>
      </c>
      <c r="B294" s="885" t="e">
        <v>#N/A</v>
      </c>
      <c r="C294" s="3531" t="e">
        <v>#N/A</v>
      </c>
      <c r="D294" s="1594" t="e">
        <v>#N/A</v>
      </c>
      <c r="E294" s="1098" t="e">
        <v>#N/A</v>
      </c>
      <c r="F294" s="3528" t="e">
        <v>#N/A</v>
      </c>
      <c r="G294" s="3528" t="e">
        <v>#N/A</v>
      </c>
      <c r="H294" s="3528" t="e">
        <v>#N/A</v>
      </c>
      <c r="I294" s="3528" t="e">
        <v>#N/A</v>
      </c>
      <c r="J294" s="3529" t="e">
        <v>#N/A</v>
      </c>
      <c r="K294" s="1097" t="e">
        <v>#N/A</v>
      </c>
      <c r="L294" s="1261" t="e">
        <v>#N/A</v>
      </c>
      <c r="M294" s="1261" t="e">
        <v>#N/A</v>
      </c>
      <c r="N294" s="1261" t="e">
        <v>#N/A</v>
      </c>
      <c r="O294" s="1261" t="e">
        <v>#N/A</v>
      </c>
      <c r="P294" s="1261" t="e">
        <v>#N/A</v>
      </c>
      <c r="Q294" s="1261" t="e">
        <v>#N/A</v>
      </c>
      <c r="R294" s="1261" t="e">
        <v>#N/A</v>
      </c>
      <c r="S294" s="1261" t="e">
        <v>#N/A</v>
      </c>
      <c r="T294" s="2752" t="e">
        <v>#N/A</v>
      </c>
    </row>
    <row r="295" spans="1:20">
      <c r="A295" s="388">
        <f t="shared" si="3"/>
        <v>2027.1</v>
      </c>
      <c r="B295" s="885" t="e">
        <v>#N/A</v>
      </c>
      <c r="C295" s="3531" t="e">
        <v>#N/A</v>
      </c>
      <c r="D295" s="1594" t="e">
        <v>#N/A</v>
      </c>
      <c r="E295" s="1098" t="e">
        <v>#N/A</v>
      </c>
      <c r="F295" s="3528" t="e">
        <v>#N/A</v>
      </c>
      <c r="G295" s="3528" t="e">
        <v>#N/A</v>
      </c>
      <c r="H295" s="3528" t="e">
        <v>#N/A</v>
      </c>
      <c r="I295" s="3528" t="e">
        <v>#N/A</v>
      </c>
      <c r="J295" s="3529" t="e">
        <v>#N/A</v>
      </c>
      <c r="K295" s="1097" t="e">
        <v>#N/A</v>
      </c>
      <c r="L295" s="1261" t="e">
        <v>#N/A</v>
      </c>
      <c r="M295" s="1261" t="e">
        <v>#N/A</v>
      </c>
      <c r="N295" s="1261" t="e">
        <v>#N/A</v>
      </c>
      <c r="O295" s="1261" t="e">
        <v>#N/A</v>
      </c>
      <c r="P295" s="1261" t="e">
        <v>#N/A</v>
      </c>
      <c r="Q295" s="1261" t="e">
        <v>#N/A</v>
      </c>
      <c r="R295" s="1261" t="e">
        <v>#N/A</v>
      </c>
      <c r="S295" s="1261" t="e">
        <v>#N/A</v>
      </c>
      <c r="T295" s="2752" t="e">
        <v>#N/A</v>
      </c>
    </row>
    <row r="296" spans="1:20">
      <c r="A296" s="388">
        <f t="shared" si="3"/>
        <v>2027.11</v>
      </c>
      <c r="B296" s="885" t="e">
        <v>#N/A</v>
      </c>
      <c r="C296" s="3531" t="e">
        <v>#N/A</v>
      </c>
      <c r="D296" s="1594" t="e">
        <v>#N/A</v>
      </c>
      <c r="E296" s="1098" t="e">
        <v>#N/A</v>
      </c>
      <c r="F296" s="3528" t="e">
        <v>#N/A</v>
      </c>
      <c r="G296" s="3528" t="e">
        <v>#N/A</v>
      </c>
      <c r="H296" s="3528" t="e">
        <v>#N/A</v>
      </c>
      <c r="I296" s="3528" t="e">
        <v>#N/A</v>
      </c>
      <c r="J296" s="3529" t="e">
        <v>#N/A</v>
      </c>
      <c r="K296" s="1097" t="e">
        <v>#N/A</v>
      </c>
      <c r="L296" s="1261" t="e">
        <v>#N/A</v>
      </c>
      <c r="M296" s="1261" t="e">
        <v>#N/A</v>
      </c>
      <c r="N296" s="1261" t="e">
        <v>#N/A</v>
      </c>
      <c r="O296" s="1261" t="e">
        <v>#N/A</v>
      </c>
      <c r="P296" s="1261" t="e">
        <v>#N/A</v>
      </c>
      <c r="Q296" s="1261" t="e">
        <v>#N/A</v>
      </c>
      <c r="R296" s="1261" t="e">
        <v>#N/A</v>
      </c>
      <c r="S296" s="1261" t="e">
        <v>#N/A</v>
      </c>
      <c r="T296" s="2752" t="e">
        <v>#N/A</v>
      </c>
    </row>
    <row r="297" spans="1:20">
      <c r="A297" s="388">
        <f t="shared" si="3"/>
        <v>2027.12</v>
      </c>
      <c r="B297" s="885" t="e">
        <v>#N/A</v>
      </c>
      <c r="C297" s="3531" t="e">
        <v>#N/A</v>
      </c>
      <c r="D297" s="1594" t="e">
        <v>#N/A</v>
      </c>
      <c r="E297" s="1098" t="e">
        <v>#N/A</v>
      </c>
      <c r="F297" s="3528" t="e">
        <v>#N/A</v>
      </c>
      <c r="G297" s="3528" t="e">
        <v>#N/A</v>
      </c>
      <c r="H297" s="3528" t="e">
        <v>#N/A</v>
      </c>
      <c r="I297" s="3528" t="e">
        <v>#N/A</v>
      </c>
      <c r="J297" s="3529" t="e">
        <v>#N/A</v>
      </c>
      <c r="K297" s="1097" t="e">
        <v>#N/A</v>
      </c>
      <c r="L297" s="1261" t="e">
        <v>#N/A</v>
      </c>
      <c r="M297" s="1261" t="e">
        <v>#N/A</v>
      </c>
      <c r="N297" s="1261" t="e">
        <v>#N/A</v>
      </c>
      <c r="O297" s="1261" t="e">
        <v>#N/A</v>
      </c>
      <c r="P297" s="1261" t="e">
        <v>#N/A</v>
      </c>
      <c r="Q297" s="1261" t="e">
        <v>#N/A</v>
      </c>
      <c r="R297" s="1261" t="e">
        <v>#N/A</v>
      </c>
      <c r="S297" s="1261" t="e">
        <v>#N/A</v>
      </c>
      <c r="T297" s="2752" t="e">
        <v>#N/A</v>
      </c>
    </row>
    <row r="298" spans="1:20">
      <c r="A298" s="388">
        <f t="shared" si="3"/>
        <v>2028.01</v>
      </c>
      <c r="B298" s="885" t="e">
        <v>#N/A</v>
      </c>
      <c r="C298" s="3531" t="e">
        <v>#N/A</v>
      </c>
      <c r="D298" s="1594" t="e">
        <v>#N/A</v>
      </c>
      <c r="E298" s="1098" t="e">
        <v>#N/A</v>
      </c>
      <c r="F298" s="3528" t="e">
        <v>#N/A</v>
      </c>
      <c r="G298" s="3528" t="e">
        <v>#N/A</v>
      </c>
      <c r="H298" s="3528" t="e">
        <v>#N/A</v>
      </c>
      <c r="I298" s="3528" t="e">
        <v>#N/A</v>
      </c>
      <c r="J298" s="3529" t="e">
        <v>#N/A</v>
      </c>
      <c r="K298" s="1097" t="e">
        <v>#N/A</v>
      </c>
      <c r="L298" s="1261" t="e">
        <v>#N/A</v>
      </c>
      <c r="M298" s="1261" t="e">
        <v>#N/A</v>
      </c>
      <c r="N298" s="1261" t="e">
        <v>#N/A</v>
      </c>
      <c r="O298" s="1261" t="e">
        <v>#N/A</v>
      </c>
      <c r="P298" s="1261" t="e">
        <v>#N/A</v>
      </c>
      <c r="Q298" s="1261" t="e">
        <v>#N/A</v>
      </c>
      <c r="R298" s="1261" t="e">
        <v>#N/A</v>
      </c>
      <c r="S298" s="1261" t="e">
        <v>#N/A</v>
      </c>
      <c r="T298" s="2752" t="e">
        <v>#N/A</v>
      </c>
    </row>
    <row r="299" spans="1:20">
      <c r="A299" s="388">
        <f t="shared" si="3"/>
        <v>2028.02</v>
      </c>
      <c r="B299" s="885" t="e">
        <v>#N/A</v>
      </c>
      <c r="C299" s="3531" t="e">
        <v>#N/A</v>
      </c>
      <c r="D299" s="1594" t="e">
        <v>#N/A</v>
      </c>
      <c r="E299" s="1098" t="e">
        <v>#N/A</v>
      </c>
      <c r="F299" s="3528" t="e">
        <v>#N/A</v>
      </c>
      <c r="G299" s="3528" t="e">
        <v>#N/A</v>
      </c>
      <c r="H299" s="3528" t="e">
        <v>#N/A</v>
      </c>
      <c r="I299" s="3528" t="e">
        <v>#N/A</v>
      </c>
      <c r="J299" s="3529" t="e">
        <v>#N/A</v>
      </c>
      <c r="K299" s="1097" t="e">
        <v>#N/A</v>
      </c>
      <c r="L299" s="1261" t="e">
        <v>#N/A</v>
      </c>
      <c r="M299" s="1261" t="e">
        <v>#N/A</v>
      </c>
      <c r="N299" s="1261" t="e">
        <v>#N/A</v>
      </c>
      <c r="O299" s="1261" t="e">
        <v>#N/A</v>
      </c>
      <c r="P299" s="1261" t="e">
        <v>#N/A</v>
      </c>
      <c r="Q299" s="1261" t="e">
        <v>#N/A</v>
      </c>
      <c r="R299" s="1261" t="e">
        <v>#N/A</v>
      </c>
      <c r="S299" s="1261" t="e">
        <v>#N/A</v>
      </c>
      <c r="T299" s="2752" t="e">
        <v>#N/A</v>
      </c>
    </row>
    <row r="300" spans="1:20">
      <c r="A300" s="388">
        <f t="shared" si="3"/>
        <v>2028.03</v>
      </c>
      <c r="B300" s="885" t="e">
        <v>#N/A</v>
      </c>
      <c r="C300" s="3531" t="e">
        <v>#N/A</v>
      </c>
      <c r="D300" s="1594" t="e">
        <v>#N/A</v>
      </c>
      <c r="E300" s="1098" t="e">
        <v>#N/A</v>
      </c>
      <c r="F300" s="3528" t="e">
        <v>#N/A</v>
      </c>
      <c r="G300" s="3528" t="e">
        <v>#N/A</v>
      </c>
      <c r="H300" s="3528" t="e">
        <v>#N/A</v>
      </c>
      <c r="I300" s="3528" t="e">
        <v>#N/A</v>
      </c>
      <c r="J300" s="3529" t="e">
        <v>#N/A</v>
      </c>
      <c r="K300" s="1097" t="e">
        <v>#N/A</v>
      </c>
      <c r="L300" s="1261" t="e">
        <v>#N/A</v>
      </c>
      <c r="M300" s="1261" t="e">
        <v>#N/A</v>
      </c>
      <c r="N300" s="1261" t="e">
        <v>#N/A</v>
      </c>
      <c r="O300" s="1261" t="e">
        <v>#N/A</v>
      </c>
      <c r="P300" s="1261" t="e">
        <v>#N/A</v>
      </c>
      <c r="Q300" s="1261" t="e">
        <v>#N/A</v>
      </c>
      <c r="R300" s="1261" t="e">
        <v>#N/A</v>
      </c>
      <c r="S300" s="1261" t="e">
        <v>#N/A</v>
      </c>
      <c r="T300" s="2752" t="e">
        <v>#N/A</v>
      </c>
    </row>
    <row r="301" spans="1:20">
      <c r="A301" s="388">
        <f t="shared" si="3"/>
        <v>2028.04</v>
      </c>
      <c r="B301" s="885" t="e">
        <v>#N/A</v>
      </c>
      <c r="C301" s="3531" t="e">
        <v>#N/A</v>
      </c>
      <c r="D301" s="1594" t="e">
        <v>#N/A</v>
      </c>
      <c r="E301" s="1098" t="e">
        <v>#N/A</v>
      </c>
      <c r="F301" s="3528" t="e">
        <v>#N/A</v>
      </c>
      <c r="G301" s="3528" t="e">
        <v>#N/A</v>
      </c>
      <c r="H301" s="3528" t="e">
        <v>#N/A</v>
      </c>
      <c r="I301" s="3528" t="e">
        <v>#N/A</v>
      </c>
      <c r="J301" s="3529" t="e">
        <v>#N/A</v>
      </c>
      <c r="K301" s="1097" t="e">
        <v>#N/A</v>
      </c>
      <c r="L301" s="1261" t="e">
        <v>#N/A</v>
      </c>
      <c r="M301" s="1261" t="e">
        <v>#N/A</v>
      </c>
      <c r="N301" s="1261" t="e">
        <v>#N/A</v>
      </c>
      <c r="O301" s="1261" t="e">
        <v>#N/A</v>
      </c>
      <c r="P301" s="1261" t="e">
        <v>#N/A</v>
      </c>
      <c r="Q301" s="1261" t="e">
        <v>#N/A</v>
      </c>
      <c r="R301" s="1261" t="e">
        <v>#N/A</v>
      </c>
      <c r="S301" s="1261" t="e">
        <v>#N/A</v>
      </c>
      <c r="T301" s="2752" t="e">
        <v>#N/A</v>
      </c>
    </row>
    <row r="302" spans="1:20">
      <c r="A302" s="388">
        <f t="shared" si="3"/>
        <v>2028.05</v>
      </c>
      <c r="B302" s="885" t="e">
        <v>#N/A</v>
      </c>
      <c r="C302" s="3531" t="e">
        <v>#N/A</v>
      </c>
      <c r="D302" s="1594" t="e">
        <v>#N/A</v>
      </c>
      <c r="E302" s="1098" t="e">
        <v>#N/A</v>
      </c>
      <c r="F302" s="3528" t="e">
        <v>#N/A</v>
      </c>
      <c r="G302" s="3528" t="e">
        <v>#N/A</v>
      </c>
      <c r="H302" s="3528" t="e">
        <v>#N/A</v>
      </c>
      <c r="I302" s="3528" t="e">
        <v>#N/A</v>
      </c>
      <c r="J302" s="3529" t="e">
        <v>#N/A</v>
      </c>
      <c r="K302" s="1097" t="e">
        <v>#N/A</v>
      </c>
      <c r="L302" s="1261" t="e">
        <v>#N/A</v>
      </c>
      <c r="M302" s="1261" t="e">
        <v>#N/A</v>
      </c>
      <c r="N302" s="1261" t="e">
        <v>#N/A</v>
      </c>
      <c r="O302" s="1261" t="e">
        <v>#N/A</v>
      </c>
      <c r="P302" s="1261" t="e">
        <v>#N/A</v>
      </c>
      <c r="Q302" s="1261" t="e">
        <v>#N/A</v>
      </c>
      <c r="R302" s="1261" t="e">
        <v>#N/A</v>
      </c>
      <c r="S302" s="1261" t="e">
        <v>#N/A</v>
      </c>
      <c r="T302" s="2752" t="e">
        <v>#N/A</v>
      </c>
    </row>
    <row r="303" spans="1:20">
      <c r="A303" s="388">
        <f t="shared" si="3"/>
        <v>2028.06</v>
      </c>
      <c r="B303" s="885" t="e">
        <v>#N/A</v>
      </c>
      <c r="C303" s="3531" t="e">
        <v>#N/A</v>
      </c>
      <c r="D303" s="1594" t="e">
        <v>#N/A</v>
      </c>
      <c r="E303" s="1098" t="e">
        <v>#N/A</v>
      </c>
      <c r="F303" s="3528" t="e">
        <v>#N/A</v>
      </c>
      <c r="G303" s="3528" t="e">
        <v>#N/A</v>
      </c>
      <c r="H303" s="3528" t="e">
        <v>#N/A</v>
      </c>
      <c r="I303" s="3528" t="e">
        <v>#N/A</v>
      </c>
      <c r="J303" s="3529" t="e">
        <v>#N/A</v>
      </c>
      <c r="K303" s="1097" t="e">
        <v>#N/A</v>
      </c>
      <c r="L303" s="1261" t="e">
        <v>#N/A</v>
      </c>
      <c r="M303" s="1261" t="e">
        <v>#N/A</v>
      </c>
      <c r="N303" s="1261" t="e">
        <v>#N/A</v>
      </c>
      <c r="O303" s="1261" t="e">
        <v>#N/A</v>
      </c>
      <c r="P303" s="1261" t="e">
        <v>#N/A</v>
      </c>
      <c r="Q303" s="1261" t="e">
        <v>#N/A</v>
      </c>
      <c r="R303" s="1261" t="e">
        <v>#N/A</v>
      </c>
      <c r="S303" s="1261" t="e">
        <v>#N/A</v>
      </c>
      <c r="T303" s="2752" t="e">
        <v>#N/A</v>
      </c>
    </row>
    <row r="304" spans="1:20">
      <c r="A304" s="388">
        <f t="shared" si="3"/>
        <v>2028.07</v>
      </c>
      <c r="B304" s="885" t="e">
        <v>#N/A</v>
      </c>
      <c r="C304" s="3531" t="e">
        <v>#N/A</v>
      </c>
      <c r="D304" s="1594" t="e">
        <v>#N/A</v>
      </c>
      <c r="E304" s="1098" t="e">
        <v>#N/A</v>
      </c>
      <c r="F304" s="3528" t="e">
        <v>#N/A</v>
      </c>
      <c r="G304" s="3528" t="e">
        <v>#N/A</v>
      </c>
      <c r="H304" s="3528" t="e">
        <v>#N/A</v>
      </c>
      <c r="I304" s="3528" t="e">
        <v>#N/A</v>
      </c>
      <c r="J304" s="3529" t="e">
        <v>#N/A</v>
      </c>
      <c r="K304" s="1097" t="e">
        <v>#N/A</v>
      </c>
      <c r="L304" s="1261" t="e">
        <v>#N/A</v>
      </c>
      <c r="M304" s="1261" t="e">
        <v>#N/A</v>
      </c>
      <c r="N304" s="1261" t="e">
        <v>#N/A</v>
      </c>
      <c r="O304" s="1261" t="e">
        <v>#N/A</v>
      </c>
      <c r="P304" s="1261" t="e">
        <v>#N/A</v>
      </c>
      <c r="Q304" s="1261" t="e">
        <v>#N/A</v>
      </c>
      <c r="R304" s="1261" t="e">
        <v>#N/A</v>
      </c>
      <c r="S304" s="1261" t="e">
        <v>#N/A</v>
      </c>
      <c r="T304" s="2752" t="e">
        <v>#N/A</v>
      </c>
    </row>
    <row r="305" spans="1:20">
      <c r="A305" s="388">
        <f t="shared" si="3"/>
        <v>2028.08</v>
      </c>
      <c r="B305" s="885" t="e">
        <v>#N/A</v>
      </c>
      <c r="C305" s="3531" t="e">
        <v>#N/A</v>
      </c>
      <c r="D305" s="1594" t="e">
        <v>#N/A</v>
      </c>
      <c r="E305" s="1098" t="e">
        <v>#N/A</v>
      </c>
      <c r="F305" s="3528" t="e">
        <v>#N/A</v>
      </c>
      <c r="G305" s="3528" t="e">
        <v>#N/A</v>
      </c>
      <c r="H305" s="3528" t="e">
        <v>#N/A</v>
      </c>
      <c r="I305" s="3528" t="e">
        <v>#N/A</v>
      </c>
      <c r="J305" s="3529" t="e">
        <v>#N/A</v>
      </c>
      <c r="K305" s="1097" t="e">
        <v>#N/A</v>
      </c>
      <c r="L305" s="1261" t="e">
        <v>#N/A</v>
      </c>
      <c r="M305" s="1261" t="e">
        <v>#N/A</v>
      </c>
      <c r="N305" s="1261" t="e">
        <v>#N/A</v>
      </c>
      <c r="O305" s="1261" t="e">
        <v>#N/A</v>
      </c>
      <c r="P305" s="1261" t="e">
        <v>#N/A</v>
      </c>
      <c r="Q305" s="1261" t="e">
        <v>#N/A</v>
      </c>
      <c r="R305" s="1261" t="e">
        <v>#N/A</v>
      </c>
      <c r="S305" s="1261" t="e">
        <v>#N/A</v>
      </c>
      <c r="T305" s="2752" t="e">
        <v>#N/A</v>
      </c>
    </row>
    <row r="306" spans="1:20">
      <c r="A306" s="388">
        <f t="shared" si="3"/>
        <v>2028.09</v>
      </c>
      <c r="B306" s="885" t="e">
        <v>#N/A</v>
      </c>
      <c r="C306" s="3531" t="e">
        <v>#N/A</v>
      </c>
      <c r="D306" s="1594" t="e">
        <v>#N/A</v>
      </c>
      <c r="E306" s="1098" t="e">
        <v>#N/A</v>
      </c>
      <c r="F306" s="3528" t="e">
        <v>#N/A</v>
      </c>
      <c r="G306" s="3528" t="e">
        <v>#N/A</v>
      </c>
      <c r="H306" s="3528" t="e">
        <v>#N/A</v>
      </c>
      <c r="I306" s="3528" t="e">
        <v>#N/A</v>
      </c>
      <c r="J306" s="3529" t="e">
        <v>#N/A</v>
      </c>
      <c r="K306" s="1097" t="e">
        <v>#N/A</v>
      </c>
      <c r="L306" s="1261" t="e">
        <v>#N/A</v>
      </c>
      <c r="M306" s="1261" t="e">
        <v>#N/A</v>
      </c>
      <c r="N306" s="1261" t="e">
        <v>#N/A</v>
      </c>
      <c r="O306" s="1261" t="e">
        <v>#N/A</v>
      </c>
      <c r="P306" s="1261" t="e">
        <v>#N/A</v>
      </c>
      <c r="Q306" s="1261" t="e">
        <v>#N/A</v>
      </c>
      <c r="R306" s="1261" t="e">
        <v>#N/A</v>
      </c>
      <c r="S306" s="1261" t="e">
        <v>#N/A</v>
      </c>
      <c r="T306" s="2752" t="e">
        <v>#N/A</v>
      </c>
    </row>
    <row r="307" spans="1:20">
      <c r="A307" s="388">
        <f t="shared" si="3"/>
        <v>2028.1</v>
      </c>
      <c r="B307" s="885" t="e">
        <v>#N/A</v>
      </c>
      <c r="C307" s="3531" t="e">
        <v>#N/A</v>
      </c>
      <c r="D307" s="1594" t="e">
        <v>#N/A</v>
      </c>
      <c r="E307" s="1098" t="e">
        <v>#N/A</v>
      </c>
      <c r="F307" s="3528" t="e">
        <v>#N/A</v>
      </c>
      <c r="G307" s="3528" t="e">
        <v>#N/A</v>
      </c>
      <c r="H307" s="3528" t="e">
        <v>#N/A</v>
      </c>
      <c r="I307" s="3528" t="e">
        <v>#N/A</v>
      </c>
      <c r="J307" s="3529" t="e">
        <v>#N/A</v>
      </c>
      <c r="K307" s="1097" t="e">
        <v>#N/A</v>
      </c>
      <c r="L307" s="1261" t="e">
        <v>#N/A</v>
      </c>
      <c r="M307" s="1261" t="e">
        <v>#N/A</v>
      </c>
      <c r="N307" s="1261" t="e">
        <v>#N/A</v>
      </c>
      <c r="O307" s="1261" t="e">
        <v>#N/A</v>
      </c>
      <c r="P307" s="1261" t="e">
        <v>#N/A</v>
      </c>
      <c r="Q307" s="1261" t="e">
        <v>#N/A</v>
      </c>
      <c r="R307" s="1261" t="e">
        <v>#N/A</v>
      </c>
      <c r="S307" s="1261" t="e">
        <v>#N/A</v>
      </c>
      <c r="T307" s="2752" t="e">
        <v>#N/A</v>
      </c>
    </row>
    <row r="308" spans="1:20">
      <c r="A308" s="388">
        <f t="shared" si="3"/>
        <v>2028.11</v>
      </c>
      <c r="B308" s="885" t="e">
        <v>#N/A</v>
      </c>
      <c r="C308" s="3531" t="e">
        <v>#N/A</v>
      </c>
      <c r="D308" s="1594" t="e">
        <v>#N/A</v>
      </c>
      <c r="E308" s="1098" t="e">
        <v>#N/A</v>
      </c>
      <c r="F308" s="3528" t="e">
        <v>#N/A</v>
      </c>
      <c r="G308" s="3528" t="e">
        <v>#N/A</v>
      </c>
      <c r="H308" s="3528" t="e">
        <v>#N/A</v>
      </c>
      <c r="I308" s="3528" t="e">
        <v>#N/A</v>
      </c>
      <c r="J308" s="3529" t="e">
        <v>#N/A</v>
      </c>
      <c r="K308" s="1097" t="e">
        <v>#N/A</v>
      </c>
      <c r="L308" s="1261" t="e">
        <v>#N/A</v>
      </c>
      <c r="M308" s="1261" t="e">
        <v>#N/A</v>
      </c>
      <c r="N308" s="1261" t="e">
        <v>#N/A</v>
      </c>
      <c r="O308" s="1261" t="e">
        <v>#N/A</v>
      </c>
      <c r="P308" s="1261" t="e">
        <v>#N/A</v>
      </c>
      <c r="Q308" s="1261" t="e">
        <v>#N/A</v>
      </c>
      <c r="R308" s="1261" t="e">
        <v>#N/A</v>
      </c>
      <c r="S308" s="1261" t="e">
        <v>#N/A</v>
      </c>
      <c r="T308" s="2752" t="e">
        <v>#N/A</v>
      </c>
    </row>
    <row r="309" spans="1:20">
      <c r="A309" s="388">
        <f t="shared" si="3"/>
        <v>2028.12</v>
      </c>
      <c r="B309" s="885" t="e">
        <v>#N/A</v>
      </c>
      <c r="C309" s="3531" t="e">
        <v>#N/A</v>
      </c>
      <c r="D309" s="1594" t="e">
        <v>#N/A</v>
      </c>
      <c r="E309" s="1098" t="e">
        <v>#N/A</v>
      </c>
      <c r="F309" s="3528" t="e">
        <v>#N/A</v>
      </c>
      <c r="G309" s="3528" t="e">
        <v>#N/A</v>
      </c>
      <c r="H309" s="3528" t="e">
        <v>#N/A</v>
      </c>
      <c r="I309" s="3528" t="e">
        <v>#N/A</v>
      </c>
      <c r="J309" s="3529" t="e">
        <v>#N/A</v>
      </c>
      <c r="K309" s="1097" t="e">
        <v>#N/A</v>
      </c>
      <c r="L309" s="1261" t="e">
        <v>#N/A</v>
      </c>
      <c r="M309" s="1261" t="e">
        <v>#N/A</v>
      </c>
      <c r="N309" s="1261" t="e">
        <v>#N/A</v>
      </c>
      <c r="O309" s="1261" t="e">
        <v>#N/A</v>
      </c>
      <c r="P309" s="1261" t="e">
        <v>#N/A</v>
      </c>
      <c r="Q309" s="1261" t="e">
        <v>#N/A</v>
      </c>
      <c r="R309" s="1261" t="e">
        <v>#N/A</v>
      </c>
      <c r="S309" s="1261" t="e">
        <v>#N/A</v>
      </c>
      <c r="T309" s="2752" t="e">
        <v>#N/A</v>
      </c>
    </row>
    <row r="310" spans="1:20">
      <c r="A310" s="388">
        <f t="shared" si="3"/>
        <v>2029.01</v>
      </c>
      <c r="B310" s="885" t="e">
        <v>#N/A</v>
      </c>
      <c r="C310" s="3531" t="e">
        <v>#N/A</v>
      </c>
      <c r="D310" s="1594" t="e">
        <v>#N/A</v>
      </c>
      <c r="E310" s="1098" t="e">
        <v>#N/A</v>
      </c>
      <c r="F310" s="3528" t="e">
        <v>#N/A</v>
      </c>
      <c r="G310" s="3528" t="e">
        <v>#N/A</v>
      </c>
      <c r="H310" s="3528" t="e">
        <v>#N/A</v>
      </c>
      <c r="I310" s="3528" t="e">
        <v>#N/A</v>
      </c>
      <c r="J310" s="3529" t="e">
        <v>#N/A</v>
      </c>
      <c r="K310" s="1097" t="e">
        <v>#N/A</v>
      </c>
      <c r="L310" s="1261" t="e">
        <v>#N/A</v>
      </c>
      <c r="M310" s="1261" t="e">
        <v>#N/A</v>
      </c>
      <c r="N310" s="1261" t="e">
        <v>#N/A</v>
      </c>
      <c r="O310" s="1261" t="e">
        <v>#N/A</v>
      </c>
      <c r="P310" s="1261" t="e">
        <v>#N/A</v>
      </c>
      <c r="Q310" s="1261" t="e">
        <v>#N/A</v>
      </c>
      <c r="R310" s="1261" t="e">
        <v>#N/A</v>
      </c>
      <c r="S310" s="1261" t="e">
        <v>#N/A</v>
      </c>
      <c r="T310" s="2752" t="e">
        <v>#N/A</v>
      </c>
    </row>
    <row r="311" spans="1:20">
      <c r="A311" s="388">
        <f t="shared" si="3"/>
        <v>2029.02</v>
      </c>
      <c r="B311" s="885" t="e">
        <v>#N/A</v>
      </c>
      <c r="C311" s="3531" t="e">
        <v>#N/A</v>
      </c>
      <c r="D311" s="1594" t="e">
        <v>#N/A</v>
      </c>
      <c r="E311" s="1098" t="e">
        <v>#N/A</v>
      </c>
      <c r="F311" s="3528" t="e">
        <v>#N/A</v>
      </c>
      <c r="G311" s="3528" t="e">
        <v>#N/A</v>
      </c>
      <c r="H311" s="3528" t="e">
        <v>#N/A</v>
      </c>
      <c r="I311" s="3528" t="e">
        <v>#N/A</v>
      </c>
      <c r="J311" s="3529" t="e">
        <v>#N/A</v>
      </c>
      <c r="K311" s="1097" t="e">
        <v>#N/A</v>
      </c>
      <c r="L311" s="1261" t="e">
        <v>#N/A</v>
      </c>
      <c r="M311" s="1261" t="e">
        <v>#N/A</v>
      </c>
      <c r="N311" s="1261" t="e">
        <v>#N/A</v>
      </c>
      <c r="O311" s="1261" t="e">
        <v>#N/A</v>
      </c>
      <c r="P311" s="1261" t="e">
        <v>#N/A</v>
      </c>
      <c r="Q311" s="1261" t="e">
        <v>#N/A</v>
      </c>
      <c r="R311" s="1261" t="e">
        <v>#N/A</v>
      </c>
      <c r="S311" s="1261" t="e">
        <v>#N/A</v>
      </c>
      <c r="T311" s="2752" t="e">
        <v>#N/A</v>
      </c>
    </row>
    <row r="312" spans="1:20">
      <c r="A312" s="388">
        <f t="shared" si="3"/>
        <v>2029.03</v>
      </c>
      <c r="B312" s="885" t="e">
        <v>#N/A</v>
      </c>
      <c r="C312" s="3531" t="e">
        <v>#N/A</v>
      </c>
      <c r="D312" s="1594" t="e">
        <v>#N/A</v>
      </c>
      <c r="E312" s="1098" t="e">
        <v>#N/A</v>
      </c>
      <c r="F312" s="3528" t="e">
        <v>#N/A</v>
      </c>
      <c r="G312" s="3528" t="e">
        <v>#N/A</v>
      </c>
      <c r="H312" s="3528" t="e">
        <v>#N/A</v>
      </c>
      <c r="I312" s="3528" t="e">
        <v>#N/A</v>
      </c>
      <c r="J312" s="3529" t="e">
        <v>#N/A</v>
      </c>
      <c r="K312" s="1097" t="e">
        <v>#N/A</v>
      </c>
      <c r="L312" s="1261" t="e">
        <v>#N/A</v>
      </c>
      <c r="M312" s="1261" t="e">
        <v>#N/A</v>
      </c>
      <c r="N312" s="1261" t="e">
        <v>#N/A</v>
      </c>
      <c r="O312" s="1261" t="e">
        <v>#N/A</v>
      </c>
      <c r="P312" s="1261" t="e">
        <v>#N/A</v>
      </c>
      <c r="Q312" s="1261" t="e">
        <v>#N/A</v>
      </c>
      <c r="R312" s="1261" t="e">
        <v>#N/A</v>
      </c>
      <c r="S312" s="1261" t="e">
        <v>#N/A</v>
      </c>
      <c r="T312" s="2752" t="e">
        <v>#N/A</v>
      </c>
    </row>
    <row r="313" spans="1:20">
      <c r="A313" s="388">
        <f t="shared" si="3"/>
        <v>2029.04</v>
      </c>
      <c r="B313" s="885" t="e">
        <v>#N/A</v>
      </c>
      <c r="C313" s="3531" t="e">
        <v>#N/A</v>
      </c>
      <c r="D313" s="1594" t="e">
        <v>#N/A</v>
      </c>
      <c r="E313" s="1098" t="e">
        <v>#N/A</v>
      </c>
      <c r="F313" s="3528" t="e">
        <v>#N/A</v>
      </c>
      <c r="G313" s="3528" t="e">
        <v>#N/A</v>
      </c>
      <c r="H313" s="3528" t="e">
        <v>#N/A</v>
      </c>
      <c r="I313" s="3528" t="e">
        <v>#N/A</v>
      </c>
      <c r="J313" s="3529" t="e">
        <v>#N/A</v>
      </c>
      <c r="K313" s="1097" t="e">
        <v>#N/A</v>
      </c>
      <c r="L313" s="1261" t="e">
        <v>#N/A</v>
      </c>
      <c r="M313" s="1261" t="e">
        <v>#N/A</v>
      </c>
      <c r="N313" s="1261" t="e">
        <v>#N/A</v>
      </c>
      <c r="O313" s="1261" t="e">
        <v>#N/A</v>
      </c>
      <c r="P313" s="1261" t="e">
        <v>#N/A</v>
      </c>
      <c r="Q313" s="1261" t="e">
        <v>#N/A</v>
      </c>
      <c r="R313" s="1261" t="e">
        <v>#N/A</v>
      </c>
      <c r="S313" s="1261" t="e">
        <v>#N/A</v>
      </c>
      <c r="T313" s="2752" t="e">
        <v>#N/A</v>
      </c>
    </row>
    <row r="314" spans="1:20">
      <c r="A314" s="388">
        <f t="shared" ref="A314:A333" si="4">A302+1</f>
        <v>2029.05</v>
      </c>
      <c r="B314" s="885" t="e">
        <v>#N/A</v>
      </c>
      <c r="C314" s="3531" t="e">
        <v>#N/A</v>
      </c>
      <c r="D314" s="1594" t="e">
        <v>#N/A</v>
      </c>
      <c r="E314" s="1098" t="e">
        <v>#N/A</v>
      </c>
      <c r="F314" s="3528" t="e">
        <v>#N/A</v>
      </c>
      <c r="G314" s="3528" t="e">
        <v>#N/A</v>
      </c>
      <c r="H314" s="3528" t="e">
        <v>#N/A</v>
      </c>
      <c r="I314" s="3528" t="e">
        <v>#N/A</v>
      </c>
      <c r="J314" s="3529" t="e">
        <v>#N/A</v>
      </c>
      <c r="K314" s="1097" t="e">
        <v>#N/A</v>
      </c>
      <c r="L314" s="1261" t="e">
        <v>#N/A</v>
      </c>
      <c r="M314" s="1261" t="e">
        <v>#N/A</v>
      </c>
      <c r="N314" s="1261" t="e">
        <v>#N/A</v>
      </c>
      <c r="O314" s="1261" t="e">
        <v>#N/A</v>
      </c>
      <c r="P314" s="1261" t="e">
        <v>#N/A</v>
      </c>
      <c r="Q314" s="1261" t="e">
        <v>#N/A</v>
      </c>
      <c r="R314" s="1261" t="e">
        <v>#N/A</v>
      </c>
      <c r="S314" s="1261" t="e">
        <v>#N/A</v>
      </c>
      <c r="T314" s="2752" t="e">
        <v>#N/A</v>
      </c>
    </row>
    <row r="315" spans="1:20">
      <c r="A315" s="388">
        <f t="shared" si="4"/>
        <v>2029.06</v>
      </c>
      <c r="B315" s="885" t="e">
        <v>#N/A</v>
      </c>
      <c r="C315" s="3531" t="e">
        <v>#N/A</v>
      </c>
      <c r="D315" s="1594" t="e">
        <v>#N/A</v>
      </c>
      <c r="E315" s="1098" t="e">
        <v>#N/A</v>
      </c>
      <c r="F315" s="3528" t="e">
        <v>#N/A</v>
      </c>
      <c r="G315" s="3528" t="e">
        <v>#N/A</v>
      </c>
      <c r="H315" s="3528" t="e">
        <v>#N/A</v>
      </c>
      <c r="I315" s="3528" t="e">
        <v>#N/A</v>
      </c>
      <c r="J315" s="3529" t="e">
        <v>#N/A</v>
      </c>
      <c r="K315" s="1097" t="e">
        <v>#N/A</v>
      </c>
      <c r="L315" s="1261" t="e">
        <v>#N/A</v>
      </c>
      <c r="M315" s="1261" t="e">
        <v>#N/A</v>
      </c>
      <c r="N315" s="1261" t="e">
        <v>#N/A</v>
      </c>
      <c r="O315" s="1261" t="e">
        <v>#N/A</v>
      </c>
      <c r="P315" s="1261" t="e">
        <v>#N/A</v>
      </c>
      <c r="Q315" s="1261" t="e">
        <v>#N/A</v>
      </c>
      <c r="R315" s="1261" t="e">
        <v>#N/A</v>
      </c>
      <c r="S315" s="1261" t="e">
        <v>#N/A</v>
      </c>
      <c r="T315" s="2752" t="e">
        <v>#N/A</v>
      </c>
    </row>
    <row r="316" spans="1:20">
      <c r="A316" s="388">
        <f t="shared" si="4"/>
        <v>2029.07</v>
      </c>
      <c r="B316" s="885" t="e">
        <v>#N/A</v>
      </c>
      <c r="C316" s="3531" t="e">
        <v>#N/A</v>
      </c>
      <c r="D316" s="1594" t="e">
        <v>#N/A</v>
      </c>
      <c r="E316" s="1098" t="e">
        <v>#N/A</v>
      </c>
      <c r="F316" s="3528" t="e">
        <v>#N/A</v>
      </c>
      <c r="G316" s="3528" t="e">
        <v>#N/A</v>
      </c>
      <c r="H316" s="3528" t="e">
        <v>#N/A</v>
      </c>
      <c r="I316" s="3528" t="e">
        <v>#N/A</v>
      </c>
      <c r="J316" s="3529" t="e">
        <v>#N/A</v>
      </c>
      <c r="K316" s="1097" t="e">
        <v>#N/A</v>
      </c>
      <c r="L316" s="1261" t="e">
        <v>#N/A</v>
      </c>
      <c r="M316" s="1261" t="e">
        <v>#N/A</v>
      </c>
      <c r="N316" s="1261" t="e">
        <v>#N/A</v>
      </c>
      <c r="O316" s="1261" t="e">
        <v>#N/A</v>
      </c>
      <c r="P316" s="1261" t="e">
        <v>#N/A</v>
      </c>
      <c r="Q316" s="1261" t="e">
        <v>#N/A</v>
      </c>
      <c r="R316" s="1261" t="e">
        <v>#N/A</v>
      </c>
      <c r="S316" s="1261" t="e">
        <v>#N/A</v>
      </c>
      <c r="T316" s="2752" t="e">
        <v>#N/A</v>
      </c>
    </row>
    <row r="317" spans="1:20">
      <c r="A317" s="388">
        <f t="shared" si="4"/>
        <v>2029.08</v>
      </c>
      <c r="B317" s="885" t="e">
        <v>#N/A</v>
      </c>
      <c r="C317" s="3531" t="e">
        <v>#N/A</v>
      </c>
      <c r="D317" s="1594" t="e">
        <v>#N/A</v>
      </c>
      <c r="E317" s="1098" t="e">
        <v>#N/A</v>
      </c>
      <c r="F317" s="3528" t="e">
        <v>#N/A</v>
      </c>
      <c r="G317" s="3528" t="e">
        <v>#N/A</v>
      </c>
      <c r="H317" s="3528" t="e">
        <v>#N/A</v>
      </c>
      <c r="I317" s="3528" t="e">
        <v>#N/A</v>
      </c>
      <c r="J317" s="3529" t="e">
        <v>#N/A</v>
      </c>
      <c r="K317" s="1097" t="e">
        <v>#N/A</v>
      </c>
      <c r="L317" s="1261" t="e">
        <v>#N/A</v>
      </c>
      <c r="M317" s="1261" t="e">
        <v>#N/A</v>
      </c>
      <c r="N317" s="1261" t="e">
        <v>#N/A</v>
      </c>
      <c r="O317" s="1261" t="e">
        <v>#N/A</v>
      </c>
      <c r="P317" s="1261" t="e">
        <v>#N/A</v>
      </c>
      <c r="Q317" s="1261" t="e">
        <v>#N/A</v>
      </c>
      <c r="R317" s="1261" t="e">
        <v>#N/A</v>
      </c>
      <c r="S317" s="1261" t="e">
        <v>#N/A</v>
      </c>
      <c r="T317" s="2752" t="e">
        <v>#N/A</v>
      </c>
    </row>
    <row r="318" spans="1:20">
      <c r="A318" s="388">
        <f t="shared" si="4"/>
        <v>2029.09</v>
      </c>
      <c r="B318" s="885" t="e">
        <v>#N/A</v>
      </c>
      <c r="C318" s="3531" t="e">
        <v>#N/A</v>
      </c>
      <c r="D318" s="1594" t="e">
        <v>#N/A</v>
      </c>
      <c r="E318" s="1098" t="e">
        <v>#N/A</v>
      </c>
      <c r="F318" s="3528" t="e">
        <v>#N/A</v>
      </c>
      <c r="G318" s="3528" t="e">
        <v>#N/A</v>
      </c>
      <c r="H318" s="3528" t="e">
        <v>#N/A</v>
      </c>
      <c r="I318" s="3528" t="e">
        <v>#N/A</v>
      </c>
      <c r="J318" s="3529" t="e">
        <v>#N/A</v>
      </c>
      <c r="K318" s="1097" t="e">
        <v>#N/A</v>
      </c>
      <c r="L318" s="1261" t="e">
        <v>#N/A</v>
      </c>
      <c r="M318" s="1261" t="e">
        <v>#N/A</v>
      </c>
      <c r="N318" s="1261" t="e">
        <v>#N/A</v>
      </c>
      <c r="O318" s="1261" t="e">
        <v>#N/A</v>
      </c>
      <c r="P318" s="1261" t="e">
        <v>#N/A</v>
      </c>
      <c r="Q318" s="1261" t="e">
        <v>#N/A</v>
      </c>
      <c r="R318" s="1261" t="e">
        <v>#N/A</v>
      </c>
      <c r="S318" s="1261" t="e">
        <v>#N/A</v>
      </c>
      <c r="T318" s="2752" t="e">
        <v>#N/A</v>
      </c>
    </row>
    <row r="319" spans="1:20">
      <c r="A319" s="388">
        <f t="shared" si="4"/>
        <v>2029.1</v>
      </c>
      <c r="B319" s="885" t="e">
        <v>#N/A</v>
      </c>
      <c r="C319" s="3531" t="e">
        <v>#N/A</v>
      </c>
      <c r="D319" s="1594" t="e">
        <v>#N/A</v>
      </c>
      <c r="E319" s="1098" t="e">
        <v>#N/A</v>
      </c>
      <c r="F319" s="3528" t="e">
        <v>#N/A</v>
      </c>
      <c r="G319" s="3528" t="e">
        <v>#N/A</v>
      </c>
      <c r="H319" s="3528" t="e">
        <v>#N/A</v>
      </c>
      <c r="I319" s="3528" t="e">
        <v>#N/A</v>
      </c>
      <c r="J319" s="3529" t="e">
        <v>#N/A</v>
      </c>
      <c r="K319" s="1097" t="e">
        <v>#N/A</v>
      </c>
      <c r="L319" s="1261" t="e">
        <v>#N/A</v>
      </c>
      <c r="M319" s="1261" t="e">
        <v>#N/A</v>
      </c>
      <c r="N319" s="1261" t="e">
        <v>#N/A</v>
      </c>
      <c r="O319" s="1261" t="e">
        <v>#N/A</v>
      </c>
      <c r="P319" s="1261" t="e">
        <v>#N/A</v>
      </c>
      <c r="Q319" s="1261" t="e">
        <v>#N/A</v>
      </c>
      <c r="R319" s="1261" t="e">
        <v>#N/A</v>
      </c>
      <c r="S319" s="1261" t="e">
        <v>#N/A</v>
      </c>
      <c r="T319" s="2752" t="e">
        <v>#N/A</v>
      </c>
    </row>
    <row r="320" spans="1:20">
      <c r="A320" s="388">
        <f t="shared" si="4"/>
        <v>2029.11</v>
      </c>
      <c r="B320" s="885" t="e">
        <v>#N/A</v>
      </c>
      <c r="C320" s="3531" t="e">
        <v>#N/A</v>
      </c>
      <c r="D320" s="1594" t="e">
        <v>#N/A</v>
      </c>
      <c r="E320" s="1098" t="e">
        <v>#N/A</v>
      </c>
      <c r="F320" s="3528" t="e">
        <v>#N/A</v>
      </c>
      <c r="G320" s="3528" t="e">
        <v>#N/A</v>
      </c>
      <c r="H320" s="3528" t="e">
        <v>#N/A</v>
      </c>
      <c r="I320" s="3528" t="e">
        <v>#N/A</v>
      </c>
      <c r="J320" s="3529" t="e">
        <v>#N/A</v>
      </c>
      <c r="K320" s="1097" t="e">
        <v>#N/A</v>
      </c>
      <c r="L320" s="1261" t="e">
        <v>#N/A</v>
      </c>
      <c r="M320" s="1261" t="e">
        <v>#N/A</v>
      </c>
      <c r="N320" s="1261" t="e">
        <v>#N/A</v>
      </c>
      <c r="O320" s="1261" t="e">
        <v>#N/A</v>
      </c>
      <c r="P320" s="1261" t="e">
        <v>#N/A</v>
      </c>
      <c r="Q320" s="1261" t="e">
        <v>#N/A</v>
      </c>
      <c r="R320" s="1261" t="e">
        <v>#N/A</v>
      </c>
      <c r="S320" s="1261" t="e">
        <v>#N/A</v>
      </c>
      <c r="T320" s="2752" t="e">
        <v>#N/A</v>
      </c>
    </row>
    <row r="321" spans="1:20">
      <c r="A321" s="388">
        <f t="shared" si="4"/>
        <v>2029.12</v>
      </c>
      <c r="B321" s="885" t="e">
        <v>#N/A</v>
      </c>
      <c r="C321" s="3531" t="e">
        <v>#N/A</v>
      </c>
      <c r="D321" s="1594" t="e">
        <v>#N/A</v>
      </c>
      <c r="E321" s="1098" t="e">
        <v>#N/A</v>
      </c>
      <c r="F321" s="3528" t="e">
        <v>#N/A</v>
      </c>
      <c r="G321" s="3528" t="e">
        <v>#N/A</v>
      </c>
      <c r="H321" s="3528" t="e">
        <v>#N/A</v>
      </c>
      <c r="I321" s="3528" t="e">
        <v>#N/A</v>
      </c>
      <c r="J321" s="3529" t="e">
        <v>#N/A</v>
      </c>
      <c r="K321" s="1097" t="e">
        <v>#N/A</v>
      </c>
      <c r="L321" s="1261" t="e">
        <v>#N/A</v>
      </c>
      <c r="M321" s="1261" t="e">
        <v>#N/A</v>
      </c>
      <c r="N321" s="1261" t="e">
        <v>#N/A</v>
      </c>
      <c r="O321" s="1261" t="e">
        <v>#N/A</v>
      </c>
      <c r="P321" s="1261" t="e">
        <v>#N/A</v>
      </c>
      <c r="Q321" s="1261" t="e">
        <v>#N/A</v>
      </c>
      <c r="R321" s="1261" t="e">
        <v>#N/A</v>
      </c>
      <c r="S321" s="1261" t="e">
        <v>#N/A</v>
      </c>
      <c r="T321" s="2752" t="e">
        <v>#N/A</v>
      </c>
    </row>
    <row r="322" spans="1:20">
      <c r="A322" s="388">
        <f t="shared" si="4"/>
        <v>2030.01</v>
      </c>
      <c r="B322" s="885" t="e">
        <v>#N/A</v>
      </c>
      <c r="C322" s="3531" t="e">
        <v>#N/A</v>
      </c>
      <c r="D322" s="1594" t="e">
        <v>#N/A</v>
      </c>
      <c r="E322" s="1098" t="e">
        <v>#N/A</v>
      </c>
      <c r="F322" s="3528" t="e">
        <v>#N/A</v>
      </c>
      <c r="G322" s="3528" t="e">
        <v>#N/A</v>
      </c>
      <c r="H322" s="3528" t="e">
        <v>#N/A</v>
      </c>
      <c r="I322" s="3528" t="e">
        <v>#N/A</v>
      </c>
      <c r="J322" s="3529" t="e">
        <v>#N/A</v>
      </c>
      <c r="K322" s="1097" t="e">
        <v>#N/A</v>
      </c>
      <c r="L322" s="1261" t="e">
        <v>#N/A</v>
      </c>
      <c r="M322" s="1261" t="e">
        <v>#N/A</v>
      </c>
      <c r="N322" s="1261" t="e">
        <v>#N/A</v>
      </c>
      <c r="O322" s="1261" t="e">
        <v>#N/A</v>
      </c>
      <c r="P322" s="1261" t="e">
        <v>#N/A</v>
      </c>
      <c r="Q322" s="1261" t="e">
        <v>#N/A</v>
      </c>
      <c r="R322" s="1261" t="e">
        <v>#N/A</v>
      </c>
      <c r="S322" s="1261" t="e">
        <v>#N/A</v>
      </c>
      <c r="T322" s="2752" t="e">
        <v>#N/A</v>
      </c>
    </row>
    <row r="323" spans="1:20">
      <c r="A323" s="388">
        <f t="shared" si="4"/>
        <v>2030.02</v>
      </c>
      <c r="B323" s="885" t="e">
        <v>#N/A</v>
      </c>
      <c r="C323" s="3531" t="e">
        <v>#N/A</v>
      </c>
      <c r="D323" s="1594" t="e">
        <v>#N/A</v>
      </c>
      <c r="E323" s="1098" t="e">
        <v>#N/A</v>
      </c>
      <c r="F323" s="3528" t="e">
        <v>#N/A</v>
      </c>
      <c r="G323" s="3528" t="e">
        <v>#N/A</v>
      </c>
      <c r="H323" s="3528" t="e">
        <v>#N/A</v>
      </c>
      <c r="I323" s="3528" t="e">
        <v>#N/A</v>
      </c>
      <c r="J323" s="3529" t="e">
        <v>#N/A</v>
      </c>
      <c r="K323" s="1097" t="e">
        <v>#N/A</v>
      </c>
      <c r="L323" s="1261" t="e">
        <v>#N/A</v>
      </c>
      <c r="M323" s="1261" t="e">
        <v>#N/A</v>
      </c>
      <c r="N323" s="1261" t="e">
        <v>#N/A</v>
      </c>
      <c r="O323" s="1261" t="e">
        <v>#N/A</v>
      </c>
      <c r="P323" s="1261" t="e">
        <v>#N/A</v>
      </c>
      <c r="Q323" s="1261" t="e">
        <v>#N/A</v>
      </c>
      <c r="R323" s="1261" t="e">
        <v>#N/A</v>
      </c>
      <c r="S323" s="1261" t="e">
        <v>#N/A</v>
      </c>
      <c r="T323" s="2752" t="e">
        <v>#N/A</v>
      </c>
    </row>
    <row r="324" spans="1:20">
      <c r="A324" s="388">
        <f t="shared" si="4"/>
        <v>2030.03</v>
      </c>
      <c r="B324" s="885" t="e">
        <v>#N/A</v>
      </c>
      <c r="C324" s="3531" t="e">
        <v>#N/A</v>
      </c>
      <c r="D324" s="1594" t="e">
        <v>#N/A</v>
      </c>
      <c r="E324" s="1098" t="e">
        <v>#N/A</v>
      </c>
      <c r="F324" s="3528" t="e">
        <v>#N/A</v>
      </c>
      <c r="G324" s="3528" t="e">
        <v>#N/A</v>
      </c>
      <c r="H324" s="3528" t="e">
        <v>#N/A</v>
      </c>
      <c r="I324" s="3528" t="e">
        <v>#N/A</v>
      </c>
      <c r="J324" s="3529" t="e">
        <v>#N/A</v>
      </c>
      <c r="K324" s="1097" t="e">
        <v>#N/A</v>
      </c>
      <c r="L324" s="1261" t="e">
        <v>#N/A</v>
      </c>
      <c r="M324" s="1261" t="e">
        <v>#N/A</v>
      </c>
      <c r="N324" s="1261" t="e">
        <v>#N/A</v>
      </c>
      <c r="O324" s="1261" t="e">
        <v>#N/A</v>
      </c>
      <c r="P324" s="1261" t="e">
        <v>#N/A</v>
      </c>
      <c r="Q324" s="1261" t="e">
        <v>#N/A</v>
      </c>
      <c r="R324" s="1261" t="e">
        <v>#N/A</v>
      </c>
      <c r="S324" s="1261" t="e">
        <v>#N/A</v>
      </c>
      <c r="T324" s="2752" t="e">
        <v>#N/A</v>
      </c>
    </row>
    <row r="325" spans="1:20">
      <c r="A325" s="388">
        <f t="shared" si="4"/>
        <v>2030.04</v>
      </c>
      <c r="B325" s="885" t="e">
        <v>#N/A</v>
      </c>
      <c r="C325" s="3531" t="e">
        <v>#N/A</v>
      </c>
      <c r="D325" s="1594" t="e">
        <v>#N/A</v>
      </c>
      <c r="E325" s="1098" t="e">
        <v>#N/A</v>
      </c>
      <c r="F325" s="3528" t="e">
        <v>#N/A</v>
      </c>
      <c r="G325" s="3528" t="e">
        <v>#N/A</v>
      </c>
      <c r="H325" s="3528" t="e">
        <v>#N/A</v>
      </c>
      <c r="I325" s="3528" t="e">
        <v>#N/A</v>
      </c>
      <c r="J325" s="3529" t="e">
        <v>#N/A</v>
      </c>
      <c r="K325" s="1097" t="e">
        <v>#N/A</v>
      </c>
      <c r="L325" s="1261" t="e">
        <v>#N/A</v>
      </c>
      <c r="M325" s="1261" t="e">
        <v>#N/A</v>
      </c>
      <c r="N325" s="1261" t="e">
        <v>#N/A</v>
      </c>
      <c r="O325" s="1261" t="e">
        <v>#N/A</v>
      </c>
      <c r="P325" s="1261" t="e">
        <v>#N/A</v>
      </c>
      <c r="Q325" s="1261" t="e">
        <v>#N/A</v>
      </c>
      <c r="R325" s="1261" t="e">
        <v>#N/A</v>
      </c>
      <c r="S325" s="1261" t="e">
        <v>#N/A</v>
      </c>
      <c r="T325" s="2752" t="e">
        <v>#N/A</v>
      </c>
    </row>
    <row r="326" spans="1:20">
      <c r="A326" s="388">
        <f t="shared" si="4"/>
        <v>2030.05</v>
      </c>
      <c r="B326" s="885" t="e">
        <v>#N/A</v>
      </c>
      <c r="C326" s="3531" t="e">
        <v>#N/A</v>
      </c>
      <c r="D326" s="1594" t="e">
        <v>#N/A</v>
      </c>
      <c r="E326" s="1098" t="e">
        <v>#N/A</v>
      </c>
      <c r="F326" s="3528" t="e">
        <v>#N/A</v>
      </c>
      <c r="G326" s="3528" t="e">
        <v>#N/A</v>
      </c>
      <c r="H326" s="3528" t="e">
        <v>#N/A</v>
      </c>
      <c r="I326" s="3528" t="e">
        <v>#N/A</v>
      </c>
      <c r="J326" s="3529" t="e">
        <v>#N/A</v>
      </c>
      <c r="K326" s="1097" t="e">
        <v>#N/A</v>
      </c>
      <c r="L326" s="1261" t="e">
        <v>#N/A</v>
      </c>
      <c r="M326" s="1261" t="e">
        <v>#N/A</v>
      </c>
      <c r="N326" s="1261" t="e">
        <v>#N/A</v>
      </c>
      <c r="O326" s="1261" t="e">
        <v>#N/A</v>
      </c>
      <c r="P326" s="1261" t="e">
        <v>#N/A</v>
      </c>
      <c r="Q326" s="1261" t="e">
        <v>#N/A</v>
      </c>
      <c r="R326" s="1261" t="e">
        <v>#N/A</v>
      </c>
      <c r="S326" s="1261" t="e">
        <v>#N/A</v>
      </c>
      <c r="T326" s="2752" t="e">
        <v>#N/A</v>
      </c>
    </row>
    <row r="327" spans="1:20">
      <c r="A327" s="388">
        <f t="shared" si="4"/>
        <v>2030.06</v>
      </c>
      <c r="B327" s="885" t="e">
        <v>#N/A</v>
      </c>
      <c r="C327" s="3531" t="e">
        <v>#N/A</v>
      </c>
      <c r="D327" s="1594" t="e">
        <v>#N/A</v>
      </c>
      <c r="E327" s="1098" t="e">
        <v>#N/A</v>
      </c>
      <c r="F327" s="3528" t="e">
        <v>#N/A</v>
      </c>
      <c r="G327" s="3528" t="e">
        <v>#N/A</v>
      </c>
      <c r="H327" s="3528" t="e">
        <v>#N/A</v>
      </c>
      <c r="I327" s="3528" t="e">
        <v>#N/A</v>
      </c>
      <c r="J327" s="3529" t="e">
        <v>#N/A</v>
      </c>
      <c r="K327" s="1097" t="e">
        <v>#N/A</v>
      </c>
      <c r="L327" s="1261" t="e">
        <v>#N/A</v>
      </c>
      <c r="M327" s="1261" t="e">
        <v>#N/A</v>
      </c>
      <c r="N327" s="1261" t="e">
        <v>#N/A</v>
      </c>
      <c r="O327" s="1261" t="e">
        <v>#N/A</v>
      </c>
      <c r="P327" s="1261" t="e">
        <v>#N/A</v>
      </c>
      <c r="Q327" s="1261" t="e">
        <v>#N/A</v>
      </c>
      <c r="R327" s="1261" t="e">
        <v>#N/A</v>
      </c>
      <c r="S327" s="1261" t="e">
        <v>#N/A</v>
      </c>
      <c r="T327" s="2752" t="e">
        <v>#N/A</v>
      </c>
    </row>
    <row r="328" spans="1:20">
      <c r="A328" s="388">
        <f t="shared" si="4"/>
        <v>2030.07</v>
      </c>
      <c r="B328" s="885" t="e">
        <v>#N/A</v>
      </c>
      <c r="C328" s="3531" t="e">
        <v>#N/A</v>
      </c>
      <c r="D328" s="1594" t="e">
        <v>#N/A</v>
      </c>
      <c r="E328" s="1098" t="e">
        <v>#N/A</v>
      </c>
      <c r="F328" s="3528" t="e">
        <v>#N/A</v>
      </c>
      <c r="G328" s="3528" t="e">
        <v>#N/A</v>
      </c>
      <c r="H328" s="3528" t="e">
        <v>#N/A</v>
      </c>
      <c r="I328" s="3528" t="e">
        <v>#N/A</v>
      </c>
      <c r="J328" s="3529" t="e">
        <v>#N/A</v>
      </c>
      <c r="K328" s="1097" t="e">
        <v>#N/A</v>
      </c>
      <c r="L328" s="1261" t="e">
        <v>#N/A</v>
      </c>
      <c r="M328" s="1261" t="e">
        <v>#N/A</v>
      </c>
      <c r="N328" s="1261" t="e">
        <v>#N/A</v>
      </c>
      <c r="O328" s="1261" t="e">
        <v>#N/A</v>
      </c>
      <c r="P328" s="1261" t="e">
        <v>#N/A</v>
      </c>
      <c r="Q328" s="1261" t="e">
        <v>#N/A</v>
      </c>
      <c r="R328" s="1261" t="e">
        <v>#N/A</v>
      </c>
      <c r="S328" s="1261" t="e">
        <v>#N/A</v>
      </c>
      <c r="T328" s="2752" t="e">
        <v>#N/A</v>
      </c>
    </row>
    <row r="329" spans="1:20">
      <c r="A329" s="388">
        <f t="shared" si="4"/>
        <v>2030.08</v>
      </c>
      <c r="B329" s="885" t="e">
        <v>#N/A</v>
      </c>
      <c r="C329" s="3531" t="e">
        <v>#N/A</v>
      </c>
      <c r="D329" s="1594" t="e">
        <v>#N/A</v>
      </c>
      <c r="E329" s="1098" t="e">
        <v>#N/A</v>
      </c>
      <c r="F329" s="3528" t="e">
        <v>#N/A</v>
      </c>
      <c r="G329" s="3528" t="e">
        <v>#N/A</v>
      </c>
      <c r="H329" s="3528" t="e">
        <v>#N/A</v>
      </c>
      <c r="I329" s="3528" t="e">
        <v>#N/A</v>
      </c>
      <c r="J329" s="3529" t="e">
        <v>#N/A</v>
      </c>
      <c r="K329" s="1097" t="e">
        <v>#N/A</v>
      </c>
      <c r="L329" s="1261" t="e">
        <v>#N/A</v>
      </c>
      <c r="M329" s="1261" t="e">
        <v>#N/A</v>
      </c>
      <c r="N329" s="1261" t="e">
        <v>#N/A</v>
      </c>
      <c r="O329" s="1261" t="e">
        <v>#N/A</v>
      </c>
      <c r="P329" s="1261" t="e">
        <v>#N/A</v>
      </c>
      <c r="Q329" s="1261" t="e">
        <v>#N/A</v>
      </c>
      <c r="R329" s="1261" t="e">
        <v>#N/A</v>
      </c>
      <c r="S329" s="1261" t="e">
        <v>#N/A</v>
      </c>
      <c r="T329" s="2752" t="e">
        <v>#N/A</v>
      </c>
    </row>
    <row r="330" spans="1:20">
      <c r="A330" s="388">
        <f t="shared" si="4"/>
        <v>2030.09</v>
      </c>
      <c r="B330" s="885" t="e">
        <v>#N/A</v>
      </c>
      <c r="C330" s="3531" t="e">
        <v>#N/A</v>
      </c>
      <c r="D330" s="1594" t="e">
        <v>#N/A</v>
      </c>
      <c r="E330" s="1098" t="e">
        <v>#N/A</v>
      </c>
      <c r="F330" s="3528" t="e">
        <v>#N/A</v>
      </c>
      <c r="G330" s="3528" t="e">
        <v>#N/A</v>
      </c>
      <c r="H330" s="3528" t="e">
        <v>#N/A</v>
      </c>
      <c r="I330" s="3528" t="e">
        <v>#N/A</v>
      </c>
      <c r="J330" s="3529" t="e">
        <v>#N/A</v>
      </c>
      <c r="K330" s="1097" t="e">
        <v>#N/A</v>
      </c>
      <c r="L330" s="1261" t="e">
        <v>#N/A</v>
      </c>
      <c r="M330" s="1261" t="e">
        <v>#N/A</v>
      </c>
      <c r="N330" s="1261" t="e">
        <v>#N/A</v>
      </c>
      <c r="O330" s="1261" t="e">
        <v>#N/A</v>
      </c>
      <c r="P330" s="1261" t="e">
        <v>#N/A</v>
      </c>
      <c r="Q330" s="1261" t="e">
        <v>#N/A</v>
      </c>
      <c r="R330" s="1261" t="e">
        <v>#N/A</v>
      </c>
      <c r="S330" s="1261" t="e">
        <v>#N/A</v>
      </c>
      <c r="T330" s="2752" t="e">
        <v>#N/A</v>
      </c>
    </row>
    <row r="331" spans="1:20">
      <c r="A331" s="388">
        <f t="shared" si="4"/>
        <v>2030.1</v>
      </c>
      <c r="B331" s="885" t="e">
        <v>#N/A</v>
      </c>
      <c r="C331" s="3531" t="e">
        <v>#N/A</v>
      </c>
      <c r="D331" s="1594" t="e">
        <v>#N/A</v>
      </c>
      <c r="E331" s="1098" t="e">
        <v>#N/A</v>
      </c>
      <c r="F331" s="3528" t="e">
        <v>#N/A</v>
      </c>
      <c r="G331" s="3528" t="e">
        <v>#N/A</v>
      </c>
      <c r="H331" s="3528" t="e">
        <v>#N/A</v>
      </c>
      <c r="I331" s="3528" t="e">
        <v>#N/A</v>
      </c>
      <c r="J331" s="3529" t="e">
        <v>#N/A</v>
      </c>
      <c r="K331" s="1097" t="e">
        <v>#N/A</v>
      </c>
      <c r="L331" s="1261" t="e">
        <v>#N/A</v>
      </c>
      <c r="M331" s="1261" t="e">
        <v>#N/A</v>
      </c>
      <c r="N331" s="1261" t="e">
        <v>#N/A</v>
      </c>
      <c r="O331" s="1261" t="e">
        <v>#N/A</v>
      </c>
      <c r="P331" s="1261" t="e">
        <v>#N/A</v>
      </c>
      <c r="Q331" s="1261" t="e">
        <v>#N/A</v>
      </c>
      <c r="R331" s="1261" t="e">
        <v>#N/A</v>
      </c>
      <c r="S331" s="1261" t="e">
        <v>#N/A</v>
      </c>
      <c r="T331" s="2752" t="e">
        <v>#N/A</v>
      </c>
    </row>
    <row r="332" spans="1:20">
      <c r="A332" s="388">
        <f t="shared" si="4"/>
        <v>2030.11</v>
      </c>
      <c r="B332" s="885" t="e">
        <v>#N/A</v>
      </c>
      <c r="C332" s="3531" t="e">
        <v>#N/A</v>
      </c>
      <c r="D332" s="1594" t="e">
        <v>#N/A</v>
      </c>
      <c r="E332" s="1098" t="e">
        <v>#N/A</v>
      </c>
      <c r="F332" s="3528" t="e">
        <v>#N/A</v>
      </c>
      <c r="G332" s="3528" t="e">
        <v>#N/A</v>
      </c>
      <c r="H332" s="3528" t="e">
        <v>#N/A</v>
      </c>
      <c r="I332" s="3528" t="e">
        <v>#N/A</v>
      </c>
      <c r="J332" s="3529" t="e">
        <v>#N/A</v>
      </c>
      <c r="K332" s="1097" t="e">
        <v>#N/A</v>
      </c>
      <c r="L332" s="1261" t="e">
        <v>#N/A</v>
      </c>
      <c r="M332" s="1261" t="e">
        <v>#N/A</v>
      </c>
      <c r="N332" s="1261" t="e">
        <v>#N/A</v>
      </c>
      <c r="O332" s="1261" t="e">
        <v>#N/A</v>
      </c>
      <c r="P332" s="1261" t="e">
        <v>#N/A</v>
      </c>
      <c r="Q332" s="1261" t="e">
        <v>#N/A</v>
      </c>
      <c r="R332" s="1261" t="e">
        <v>#N/A</v>
      </c>
      <c r="S332" s="1261" t="e">
        <v>#N/A</v>
      </c>
      <c r="T332" s="2752" t="e">
        <v>#N/A</v>
      </c>
    </row>
    <row r="333" spans="1:20">
      <c r="A333" s="388">
        <f t="shared" si="4"/>
        <v>2030.12</v>
      </c>
      <c r="B333" s="885" t="e">
        <v>#N/A</v>
      </c>
      <c r="C333" s="3531" t="e">
        <v>#N/A</v>
      </c>
      <c r="D333" s="1594" t="e">
        <v>#N/A</v>
      </c>
      <c r="E333" s="1098" t="e">
        <v>#N/A</v>
      </c>
      <c r="F333" s="3528" t="e">
        <v>#N/A</v>
      </c>
      <c r="G333" s="3528" t="e">
        <v>#N/A</v>
      </c>
      <c r="H333" s="3528" t="e">
        <v>#N/A</v>
      </c>
      <c r="I333" s="3528" t="e">
        <v>#N/A</v>
      </c>
      <c r="J333" s="3529" t="e">
        <v>#N/A</v>
      </c>
      <c r="K333" s="1097" t="e">
        <v>#N/A</v>
      </c>
      <c r="L333" s="1261" t="e">
        <v>#N/A</v>
      </c>
      <c r="M333" s="1261" t="e">
        <v>#N/A</v>
      </c>
      <c r="N333" s="1261" t="e">
        <v>#N/A</v>
      </c>
      <c r="O333" s="1261" t="e">
        <v>#N/A</v>
      </c>
      <c r="P333" s="1261" t="e">
        <v>#N/A</v>
      </c>
      <c r="Q333" s="1261" t="e">
        <v>#N/A</v>
      </c>
      <c r="R333" s="1261" t="e">
        <v>#N/A</v>
      </c>
      <c r="S333" s="1261" t="e">
        <v>#N/A</v>
      </c>
      <c r="T333" s="2752" t="e">
        <v>#N/A</v>
      </c>
    </row>
    <row r="334" spans="1:20">
      <c r="A334" s="1247"/>
      <c r="B334" s="1246"/>
      <c r="C334" s="1246"/>
      <c r="D334" s="1246"/>
      <c r="E334" s="1246"/>
      <c r="F334" s="1246"/>
      <c r="G334" s="1246"/>
      <c r="H334" s="1246"/>
      <c r="I334" s="1246"/>
      <c r="J334" s="1246"/>
      <c r="K334" s="1246"/>
      <c r="L334" s="1246"/>
      <c r="M334" s="1246"/>
      <c r="N334" s="1246"/>
      <c r="O334" s="1246"/>
      <c r="P334" s="1246"/>
      <c r="Q334" s="1246"/>
      <c r="R334" s="1246"/>
      <c r="S334" s="1246"/>
      <c r="T334" s="1246"/>
    </row>
    <row r="335" spans="1:20">
      <c r="A335" s="1246"/>
      <c r="B335" s="1246"/>
      <c r="C335" s="1246"/>
      <c r="D335" s="1246"/>
      <c r="E335" s="1246"/>
      <c r="F335" s="1246"/>
      <c r="G335" s="1246"/>
      <c r="H335" s="1246"/>
      <c r="I335" s="1246"/>
      <c r="J335" s="1246"/>
      <c r="K335" s="1246"/>
      <c r="L335" s="1246"/>
      <c r="M335" s="1246"/>
      <c r="N335" s="1246"/>
      <c r="O335" s="1246"/>
      <c r="P335" s="1246"/>
      <c r="Q335" s="1246"/>
      <c r="R335" s="1246"/>
      <c r="S335" s="1246"/>
      <c r="T335" s="1246"/>
    </row>
    <row r="336" spans="1:20">
      <c r="A336" s="1246"/>
      <c r="B336" s="1246"/>
      <c r="C336" s="1246"/>
      <c r="D336" s="1246"/>
      <c r="E336" s="1246"/>
      <c r="F336" s="1246"/>
      <c r="G336" s="1246"/>
      <c r="H336" s="1246"/>
      <c r="I336" s="1246"/>
      <c r="J336" s="1246"/>
      <c r="K336" s="1246"/>
      <c r="L336" s="1246"/>
      <c r="M336" s="1246"/>
      <c r="N336" s="1246"/>
      <c r="O336" s="1246"/>
      <c r="P336" s="1246"/>
      <c r="Q336" s="1246"/>
      <c r="R336" s="1246"/>
      <c r="S336" s="1246"/>
      <c r="T336" s="1246"/>
    </row>
    <row r="337" s="226" customFormat="1"/>
    <row r="338" s="226" customFormat="1"/>
    <row r="339" s="226" customFormat="1"/>
    <row r="340" s="226" customFormat="1"/>
    <row r="341" s="226" customFormat="1"/>
    <row r="342" s="226" customFormat="1"/>
    <row r="343" s="226" customFormat="1"/>
    <row r="344" s="226" customFormat="1"/>
    <row r="345" s="226" customFormat="1"/>
    <row r="346" s="226" customFormat="1"/>
    <row r="347" s="226" customFormat="1"/>
    <row r="348" s="226" customFormat="1"/>
    <row r="349" s="226" customFormat="1"/>
    <row r="350" s="226" customFormat="1"/>
    <row r="351" s="226" customFormat="1"/>
    <row r="352" s="226" customFormat="1"/>
    <row r="353" s="226" customFormat="1"/>
    <row r="354" s="226" customFormat="1"/>
    <row r="355" s="226" customFormat="1"/>
    <row r="356" s="226" customFormat="1"/>
    <row r="357" s="226" customFormat="1"/>
    <row r="358" s="226" customFormat="1"/>
    <row r="359" s="226" customFormat="1"/>
  </sheetData>
  <phoneticPr fontId="71" type="noConversion"/>
  <hyperlinks>
    <hyperlink ref="A5" location="INDICE!A13" display="VOLVER AL INDICE" xr:uid="{63B56C5A-4D5F-4497-A37F-01F87EF5A8EB}"/>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58">
    <pageSetUpPr autoPageBreaks="0" fitToPage="1"/>
  </sheetPr>
  <dimension ref="A1:N453"/>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10.5703125" style="21" customWidth="1"/>
    <col min="2" max="14" width="13.42578125" style="21" customWidth="1"/>
    <col min="15" max="16384" width="11.42578125" style="6"/>
  </cols>
  <sheetData>
    <row r="1" spans="1:14" s="10" customFormat="1" ht="4.5" customHeight="1">
      <c r="A1" s="2761"/>
      <c r="B1" s="2971">
        <v>0.86308581949998553</v>
      </c>
      <c r="C1" s="122"/>
      <c r="D1" s="122"/>
      <c r="E1" s="122"/>
      <c r="F1" s="122"/>
      <c r="G1" s="122">
        <v>0.86864621487411864</v>
      </c>
      <c r="H1" s="122">
        <v>0.93042729873694474</v>
      </c>
      <c r="I1" s="122">
        <v>0.86880344046162417</v>
      </c>
      <c r="J1" s="122">
        <v>0.94234423835026948</v>
      </c>
      <c r="K1" s="122">
        <v>0.88163337276193698</v>
      </c>
      <c r="L1" s="122">
        <v>0.8551881413911061</v>
      </c>
      <c r="M1" s="122">
        <v>0.74891407459184178</v>
      </c>
      <c r="N1" s="123">
        <v>0.94073377234242694</v>
      </c>
    </row>
    <row r="2" spans="1:14" s="10" customFormat="1" ht="16.5" customHeight="1">
      <c r="A2" s="2762" t="s">
        <v>99</v>
      </c>
      <c r="B2" s="2736" t="s">
        <v>1208</v>
      </c>
      <c r="C2" s="2742"/>
      <c r="D2" s="2742"/>
      <c r="E2" s="2742"/>
      <c r="F2" s="2742"/>
      <c r="G2" s="2742"/>
      <c r="H2" s="2742"/>
      <c r="I2" s="2742"/>
      <c r="J2" s="2742"/>
      <c r="K2" s="2742"/>
      <c r="L2" s="2742"/>
      <c r="M2" s="2742"/>
      <c r="N2" s="2913"/>
    </row>
    <row r="3" spans="1:14" s="10" customFormat="1">
      <c r="A3" s="2762" t="s">
        <v>104</v>
      </c>
      <c r="B3" s="2736" t="s">
        <v>135</v>
      </c>
      <c r="C3" s="2742"/>
      <c r="D3" s="2742"/>
      <c r="E3" s="2742"/>
      <c r="F3" s="2742"/>
      <c r="G3" s="2742"/>
      <c r="H3" s="2742"/>
      <c r="I3" s="2742"/>
      <c r="J3" s="2742"/>
      <c r="K3" s="2742"/>
      <c r="L3" s="2742"/>
      <c r="M3" s="2742"/>
      <c r="N3" s="2913"/>
    </row>
    <row r="4" spans="1:14" s="10" customFormat="1" ht="3" hidden="1" customHeight="1">
      <c r="A4" s="2762"/>
      <c r="B4" s="262"/>
      <c r="C4" s="120"/>
      <c r="D4" s="120"/>
      <c r="E4" s="120"/>
      <c r="F4" s="120"/>
      <c r="G4" s="120"/>
      <c r="H4" s="120"/>
      <c r="I4" s="120"/>
      <c r="J4" s="120"/>
      <c r="K4" s="120"/>
      <c r="L4" s="120"/>
      <c r="M4" s="120"/>
      <c r="N4" s="121"/>
    </row>
    <row r="5" spans="1:14" s="10" customFormat="1" ht="33.75">
      <c r="A5" s="2867" t="s">
        <v>140</v>
      </c>
      <c r="B5" s="2964" t="s">
        <v>1209</v>
      </c>
      <c r="C5" s="591" t="s">
        <v>1210</v>
      </c>
      <c r="D5" s="589" t="s">
        <v>1211</v>
      </c>
      <c r="E5" s="591" t="s">
        <v>1212</v>
      </c>
      <c r="F5" s="589" t="s">
        <v>1213</v>
      </c>
      <c r="G5" s="591" t="s">
        <v>1214</v>
      </c>
      <c r="H5" s="589" t="s">
        <v>1215</v>
      </c>
      <c r="I5" s="591" t="s">
        <v>1216</v>
      </c>
      <c r="J5" s="589" t="s">
        <v>1217</v>
      </c>
      <c r="K5" s="591" t="s">
        <v>1181</v>
      </c>
      <c r="L5" s="589" t="s">
        <v>1218</v>
      </c>
      <c r="M5" s="591" t="s">
        <v>1219</v>
      </c>
      <c r="N5" s="600" t="s">
        <v>1220</v>
      </c>
    </row>
    <row r="6" spans="1:14" s="10" customFormat="1" ht="3" hidden="1" customHeight="1">
      <c r="A6" s="2762"/>
      <c r="B6" s="263" t="s">
        <v>1189</v>
      </c>
      <c r="C6" s="3638"/>
      <c r="D6" s="142"/>
      <c r="E6" s="3638"/>
      <c r="F6" s="142"/>
      <c r="G6" s="3638"/>
      <c r="H6" s="142"/>
      <c r="I6" s="3638"/>
      <c r="J6" s="142" t="s">
        <v>1190</v>
      </c>
      <c r="K6" s="3638" t="s">
        <v>1191</v>
      </c>
      <c r="L6" s="142"/>
      <c r="M6" s="3638"/>
      <c r="N6" s="143"/>
    </row>
    <row r="7" spans="1:14" s="10" customFormat="1" ht="22.5">
      <c r="A7" s="2762" t="s">
        <v>125</v>
      </c>
      <c r="B7" s="2758" t="s">
        <v>241</v>
      </c>
      <c r="C7" s="952" t="s">
        <v>241</v>
      </c>
      <c r="D7" s="5" t="s">
        <v>241</v>
      </c>
      <c r="E7" s="952" t="s">
        <v>241</v>
      </c>
      <c r="F7" s="5" t="s">
        <v>241</v>
      </c>
      <c r="G7" s="952" t="s">
        <v>241</v>
      </c>
      <c r="H7" s="5" t="s">
        <v>241</v>
      </c>
      <c r="I7" s="952" t="s">
        <v>241</v>
      </c>
      <c r="J7" s="5" t="s">
        <v>241</v>
      </c>
      <c r="K7" s="952" t="s">
        <v>241</v>
      </c>
      <c r="L7" s="5" t="s">
        <v>241</v>
      </c>
      <c r="M7" s="952" t="s">
        <v>241</v>
      </c>
      <c r="N7" s="1" t="s">
        <v>241</v>
      </c>
    </row>
    <row r="8" spans="1:14" s="10" customFormat="1" ht="14.25" customHeight="1">
      <c r="A8" s="2751" t="s">
        <v>144</v>
      </c>
      <c r="B8" s="2797" t="s">
        <v>1221</v>
      </c>
      <c r="C8" s="2157" t="s">
        <v>1222</v>
      </c>
      <c r="D8" s="1750" t="s">
        <v>1223</v>
      </c>
      <c r="E8" s="2157" t="s">
        <v>1224</v>
      </c>
      <c r="F8" s="1750" t="s">
        <v>1225</v>
      </c>
      <c r="G8" s="2157" t="s">
        <v>1226</v>
      </c>
      <c r="H8" s="1750" t="s">
        <v>1227</v>
      </c>
      <c r="I8" s="2157" t="s">
        <v>1228</v>
      </c>
      <c r="J8" s="1750" t="s">
        <v>1229</v>
      </c>
      <c r="K8" s="2157" t="s">
        <v>1230</v>
      </c>
      <c r="L8" s="1750" t="s">
        <v>1231</v>
      </c>
      <c r="M8" s="2157" t="s">
        <v>1232</v>
      </c>
      <c r="N8" s="2141" t="s">
        <v>1233</v>
      </c>
    </row>
    <row r="9" spans="1:14" s="11" customFormat="1" ht="13.5" thickBot="1">
      <c r="A9" s="2140"/>
      <c r="B9" s="1361"/>
      <c r="C9" s="1362"/>
      <c r="D9" s="1322"/>
      <c r="E9" s="1362"/>
      <c r="F9" s="1322"/>
      <c r="G9" s="1362"/>
      <c r="H9" s="1322"/>
      <c r="I9" s="1362"/>
      <c r="J9" s="1322"/>
      <c r="K9" s="1362"/>
      <c r="L9" s="1322"/>
      <c r="M9" s="1362"/>
      <c r="N9" s="1333"/>
    </row>
    <row r="10" spans="1:14" s="11" customFormat="1">
      <c r="A10" s="53">
        <v>1994.01</v>
      </c>
      <c r="B10" s="608"/>
      <c r="C10" s="610"/>
      <c r="D10" s="611"/>
      <c r="E10" s="610"/>
      <c r="F10" s="611"/>
      <c r="G10" s="610"/>
      <c r="H10" s="611"/>
      <c r="I10" s="610"/>
      <c r="J10" s="611"/>
      <c r="K10" s="610"/>
      <c r="L10" s="611"/>
      <c r="M10" s="610"/>
      <c r="N10" s="614"/>
    </row>
    <row r="11" spans="1:14">
      <c r="A11" s="53">
        <v>1994.02</v>
      </c>
      <c r="B11" s="609"/>
      <c r="C11" s="3643"/>
      <c r="D11" s="612"/>
      <c r="E11" s="3643"/>
      <c r="F11" s="612"/>
      <c r="G11" s="3643"/>
      <c r="H11" s="612"/>
      <c r="I11" s="3643"/>
      <c r="J11" s="612"/>
      <c r="K11" s="3643"/>
      <c r="L11" s="612"/>
      <c r="M11" s="3643"/>
      <c r="N11" s="136"/>
    </row>
    <row r="12" spans="1:14">
      <c r="A12" s="53">
        <v>1994.03</v>
      </c>
      <c r="B12" s="609"/>
      <c r="C12" s="3643"/>
      <c r="D12" s="612"/>
      <c r="E12" s="3643"/>
      <c r="F12" s="612"/>
      <c r="G12" s="3643"/>
      <c r="H12" s="612"/>
      <c r="I12" s="3643"/>
      <c r="J12" s="612"/>
      <c r="K12" s="3643"/>
      <c r="L12" s="612"/>
      <c r="M12" s="3643"/>
      <c r="N12" s="136"/>
    </row>
    <row r="13" spans="1:14">
      <c r="A13" s="53">
        <v>1994.04</v>
      </c>
      <c r="B13" s="609"/>
      <c r="C13" s="3643"/>
      <c r="D13" s="612"/>
      <c r="E13" s="3643"/>
      <c r="F13" s="612"/>
      <c r="G13" s="3643"/>
      <c r="H13" s="612"/>
      <c r="I13" s="3643"/>
      <c r="J13" s="612"/>
      <c r="K13" s="3643"/>
      <c r="L13" s="612"/>
      <c r="M13" s="3643"/>
      <c r="N13" s="136"/>
    </row>
    <row r="14" spans="1:14">
      <c r="A14" s="53">
        <v>1994.05</v>
      </c>
      <c r="B14" s="609"/>
      <c r="C14" s="3643"/>
      <c r="D14" s="612"/>
      <c r="E14" s="3643"/>
      <c r="F14" s="612"/>
      <c r="G14" s="3643"/>
      <c r="H14" s="612"/>
      <c r="I14" s="3643"/>
      <c r="J14" s="612"/>
      <c r="K14" s="3643"/>
      <c r="L14" s="612"/>
      <c r="M14" s="3643"/>
      <c r="N14" s="136"/>
    </row>
    <row r="15" spans="1:14">
      <c r="A15" s="53">
        <v>1994.06</v>
      </c>
      <c r="B15" s="609"/>
      <c r="C15" s="3643"/>
      <c r="D15" s="612"/>
      <c r="E15" s="3643"/>
      <c r="F15" s="612"/>
      <c r="G15" s="3643"/>
      <c r="H15" s="612"/>
      <c r="I15" s="3643"/>
      <c r="J15" s="612"/>
      <c r="K15" s="3643"/>
      <c r="L15" s="612"/>
      <c r="M15" s="3643"/>
      <c r="N15" s="136"/>
    </row>
    <row r="16" spans="1:14">
      <c r="A16" s="53">
        <v>1994.07</v>
      </c>
      <c r="B16" s="609"/>
      <c r="C16" s="3643"/>
      <c r="D16" s="612"/>
      <c r="E16" s="3643"/>
      <c r="F16" s="612"/>
      <c r="G16" s="3643"/>
      <c r="H16" s="612"/>
      <c r="I16" s="3643"/>
      <c r="J16" s="612"/>
      <c r="K16" s="3643"/>
      <c r="L16" s="612"/>
      <c r="M16" s="3643"/>
      <c r="N16" s="136"/>
    </row>
    <row r="17" spans="1:14">
      <c r="A17" s="53">
        <v>1994.08</v>
      </c>
      <c r="B17" s="609"/>
      <c r="C17" s="3643"/>
      <c r="D17" s="612"/>
      <c r="E17" s="3643"/>
      <c r="F17" s="612"/>
      <c r="G17" s="3643"/>
      <c r="H17" s="612"/>
      <c r="I17" s="3643"/>
      <c r="J17" s="612"/>
      <c r="K17" s="3643"/>
      <c r="L17" s="612"/>
      <c r="M17" s="3643"/>
      <c r="N17" s="136"/>
    </row>
    <row r="18" spans="1:14">
      <c r="A18" s="53">
        <v>1994.09</v>
      </c>
      <c r="B18" s="1368"/>
      <c r="C18" s="3644"/>
      <c r="D18" s="1369"/>
      <c r="E18" s="3644"/>
      <c r="F18" s="1369"/>
      <c r="G18" s="3644"/>
      <c r="H18" s="1369"/>
      <c r="I18" s="3644"/>
      <c r="J18" s="1369"/>
      <c r="K18" s="3644"/>
      <c r="L18" s="1369"/>
      <c r="M18" s="3644"/>
      <c r="N18" s="1370"/>
    </row>
    <row r="19" spans="1:14">
      <c r="A19" s="53">
        <v>1994.1</v>
      </c>
      <c r="B19" s="1368"/>
      <c r="C19" s="3644"/>
      <c r="D19" s="1369"/>
      <c r="E19" s="3644"/>
      <c r="F19" s="1369"/>
      <c r="G19" s="3644"/>
      <c r="H19" s="1369"/>
      <c r="I19" s="3644"/>
      <c r="J19" s="1369"/>
      <c r="K19" s="3644"/>
      <c r="L19" s="1369"/>
      <c r="M19" s="3644"/>
      <c r="N19" s="1370"/>
    </row>
    <row r="20" spans="1:14">
      <c r="A20" s="53">
        <v>1994.11</v>
      </c>
      <c r="B20" s="1368"/>
      <c r="C20" s="3644"/>
      <c r="D20" s="1369"/>
      <c r="E20" s="3644"/>
      <c r="F20" s="1369"/>
      <c r="G20" s="3644"/>
      <c r="H20" s="1369"/>
      <c r="I20" s="3644"/>
      <c r="J20" s="1369"/>
      <c r="K20" s="3644"/>
      <c r="L20" s="1369"/>
      <c r="M20" s="3644"/>
      <c r="N20" s="1370"/>
    </row>
    <row r="21" spans="1:14">
      <c r="A21" s="53">
        <v>1994.12</v>
      </c>
      <c r="B21" s="1368"/>
      <c r="C21" s="3644"/>
      <c r="D21" s="1369"/>
      <c r="E21" s="3644"/>
      <c r="F21" s="1369"/>
      <c r="G21" s="3644"/>
      <c r="H21" s="1369"/>
      <c r="I21" s="3644"/>
      <c r="J21" s="1369"/>
      <c r="K21" s="3644"/>
      <c r="L21" s="1369"/>
      <c r="M21" s="3644"/>
      <c r="N21" s="1370"/>
    </row>
    <row r="22" spans="1:14">
      <c r="A22" s="53">
        <v>1995.01</v>
      </c>
      <c r="B22" s="1368"/>
      <c r="C22" s="3644"/>
      <c r="D22" s="1369"/>
      <c r="E22" s="3644"/>
      <c r="F22" s="1369"/>
      <c r="G22" s="3644"/>
      <c r="H22" s="1369"/>
      <c r="I22" s="3644"/>
      <c r="J22" s="1369"/>
      <c r="K22" s="3644"/>
      <c r="L22" s="1369"/>
      <c r="M22" s="3644"/>
      <c r="N22" s="1370"/>
    </row>
    <row r="23" spans="1:14">
      <c r="A23" s="53">
        <v>1995.02</v>
      </c>
      <c r="B23" s="1368"/>
      <c r="C23" s="3644"/>
      <c r="D23" s="1369"/>
      <c r="E23" s="3644"/>
      <c r="F23" s="1369"/>
      <c r="G23" s="3644"/>
      <c r="H23" s="1369"/>
      <c r="I23" s="3644"/>
      <c r="J23" s="1369"/>
      <c r="K23" s="3644"/>
      <c r="L23" s="1369"/>
      <c r="M23" s="3644"/>
      <c r="N23" s="1370"/>
    </row>
    <row r="24" spans="1:14">
      <c r="A24" s="53">
        <v>1995.03</v>
      </c>
      <c r="B24" s="1368"/>
      <c r="C24" s="3644"/>
      <c r="D24" s="1369"/>
      <c r="E24" s="3644"/>
      <c r="F24" s="1369"/>
      <c r="G24" s="3644"/>
      <c r="H24" s="1369"/>
      <c r="I24" s="3644"/>
      <c r="J24" s="1369"/>
      <c r="K24" s="3644"/>
      <c r="L24" s="1369"/>
      <c r="M24" s="3644"/>
      <c r="N24" s="1370"/>
    </row>
    <row r="25" spans="1:14">
      <c r="A25" s="53">
        <v>1995.04</v>
      </c>
      <c r="B25" s="1368"/>
      <c r="C25" s="3644"/>
      <c r="D25" s="1369"/>
      <c r="E25" s="3644"/>
      <c r="F25" s="1369"/>
      <c r="G25" s="3644"/>
      <c r="H25" s="1369"/>
      <c r="I25" s="3644"/>
      <c r="J25" s="1369"/>
      <c r="K25" s="3644"/>
      <c r="L25" s="1369"/>
      <c r="M25" s="3644"/>
      <c r="N25" s="1370"/>
    </row>
    <row r="26" spans="1:14">
      <c r="A26" s="53">
        <v>1995.05</v>
      </c>
      <c r="B26" s="1368"/>
      <c r="C26" s="3644"/>
      <c r="D26" s="1369"/>
      <c r="E26" s="3644"/>
      <c r="F26" s="1369"/>
      <c r="G26" s="3644"/>
      <c r="H26" s="1369"/>
      <c r="I26" s="3644"/>
      <c r="J26" s="1369"/>
      <c r="K26" s="3644"/>
      <c r="L26" s="1369"/>
      <c r="M26" s="3644"/>
      <c r="N26" s="1370"/>
    </row>
    <row r="27" spans="1:14">
      <c r="A27" s="53">
        <v>1995.06</v>
      </c>
      <c r="B27" s="1368"/>
      <c r="C27" s="3644"/>
      <c r="D27" s="1369"/>
      <c r="E27" s="3644"/>
      <c r="F27" s="1369"/>
      <c r="G27" s="3644"/>
      <c r="H27" s="1369"/>
      <c r="I27" s="3644"/>
      <c r="J27" s="1369"/>
      <c r="K27" s="3644"/>
      <c r="L27" s="1369"/>
      <c r="M27" s="3644"/>
      <c r="N27" s="1370"/>
    </row>
    <row r="28" spans="1:14">
      <c r="A28" s="53">
        <v>1995.07</v>
      </c>
      <c r="B28" s="1368"/>
      <c r="C28" s="3644"/>
      <c r="D28" s="1369"/>
      <c r="E28" s="3644"/>
      <c r="F28" s="1369"/>
      <c r="G28" s="3644"/>
      <c r="H28" s="1369"/>
      <c r="I28" s="3644"/>
      <c r="J28" s="1369"/>
      <c r="K28" s="3644"/>
      <c r="L28" s="1369"/>
      <c r="M28" s="3644"/>
      <c r="N28" s="1370"/>
    </row>
    <row r="29" spans="1:14">
      <c r="A29" s="53">
        <v>1995.08</v>
      </c>
      <c r="B29" s="1368"/>
      <c r="C29" s="3644"/>
      <c r="D29" s="1369"/>
      <c r="E29" s="3644"/>
      <c r="F29" s="1369"/>
      <c r="G29" s="3644"/>
      <c r="H29" s="1369"/>
      <c r="I29" s="3644"/>
      <c r="J29" s="1369"/>
      <c r="K29" s="3644"/>
      <c r="L29" s="1369"/>
      <c r="M29" s="3644"/>
      <c r="N29" s="1370"/>
    </row>
    <row r="30" spans="1:14">
      <c r="A30" s="53">
        <v>1995.09</v>
      </c>
      <c r="B30" s="1368"/>
      <c r="C30" s="3644"/>
      <c r="D30" s="1369"/>
      <c r="E30" s="3644"/>
      <c r="F30" s="1369"/>
      <c r="G30" s="3644"/>
      <c r="H30" s="1369"/>
      <c r="I30" s="3644"/>
      <c r="J30" s="1369"/>
      <c r="K30" s="3644"/>
      <c r="L30" s="1369"/>
      <c r="M30" s="3644"/>
      <c r="N30" s="1370"/>
    </row>
    <row r="31" spans="1:14">
      <c r="A31" s="53">
        <v>1995.1</v>
      </c>
      <c r="B31" s="1368"/>
      <c r="C31" s="3644"/>
      <c r="D31" s="1369"/>
      <c r="E31" s="3644"/>
      <c r="F31" s="1369"/>
      <c r="G31" s="3644"/>
      <c r="H31" s="1369"/>
      <c r="I31" s="3644"/>
      <c r="J31" s="1369"/>
      <c r="K31" s="3644"/>
      <c r="L31" s="1369"/>
      <c r="M31" s="3644"/>
      <c r="N31" s="1370"/>
    </row>
    <row r="32" spans="1:14">
      <c r="A32" s="53">
        <v>1995.11</v>
      </c>
      <c r="B32" s="1368"/>
      <c r="C32" s="3644"/>
      <c r="D32" s="1369"/>
      <c r="E32" s="3644"/>
      <c r="F32" s="1369"/>
      <c r="G32" s="3644"/>
      <c r="H32" s="1369"/>
      <c r="I32" s="3644"/>
      <c r="J32" s="1369"/>
      <c r="K32" s="3644"/>
      <c r="L32" s="1369"/>
      <c r="M32" s="3644"/>
      <c r="N32" s="1370"/>
    </row>
    <row r="33" spans="1:14">
      <c r="A33" s="53">
        <v>1995.12</v>
      </c>
      <c r="B33" s="1368"/>
      <c r="C33" s="3644"/>
      <c r="D33" s="1369"/>
      <c r="E33" s="3644"/>
      <c r="F33" s="1369"/>
      <c r="G33" s="3644"/>
      <c r="H33" s="1369"/>
      <c r="I33" s="3644"/>
      <c r="J33" s="1369"/>
      <c r="K33" s="3644"/>
      <c r="L33" s="1369"/>
      <c r="M33" s="3644"/>
      <c r="N33" s="1370"/>
    </row>
    <row r="34" spans="1:14">
      <c r="A34" s="53">
        <v>1996.01</v>
      </c>
      <c r="B34" s="1368"/>
      <c r="C34" s="3644"/>
      <c r="D34" s="1369"/>
      <c r="E34" s="3644"/>
      <c r="F34" s="1369"/>
      <c r="G34" s="3644"/>
      <c r="H34" s="1369"/>
      <c r="I34" s="3644"/>
      <c r="J34" s="1369"/>
      <c r="K34" s="3644"/>
      <c r="L34" s="1369"/>
      <c r="M34" s="3644"/>
      <c r="N34" s="1370"/>
    </row>
    <row r="35" spans="1:14">
      <c r="A35" s="53">
        <v>1996.02</v>
      </c>
      <c r="B35" s="1368"/>
      <c r="C35" s="3644"/>
      <c r="D35" s="1369"/>
      <c r="E35" s="3644"/>
      <c r="F35" s="1369"/>
      <c r="G35" s="3644"/>
      <c r="H35" s="1369"/>
      <c r="I35" s="3644"/>
      <c r="J35" s="1369"/>
      <c r="K35" s="3644"/>
      <c r="L35" s="1369"/>
      <c r="M35" s="3644"/>
      <c r="N35" s="1370"/>
    </row>
    <row r="36" spans="1:14">
      <c r="A36" s="53">
        <v>1996.03</v>
      </c>
      <c r="B36" s="1368"/>
      <c r="C36" s="3644"/>
      <c r="D36" s="1369"/>
      <c r="E36" s="3644"/>
      <c r="F36" s="1369"/>
      <c r="G36" s="3644"/>
      <c r="H36" s="1369"/>
      <c r="I36" s="3644"/>
      <c r="J36" s="1369"/>
      <c r="K36" s="3644"/>
      <c r="L36" s="1369"/>
      <c r="M36" s="3644"/>
      <c r="N36" s="1370"/>
    </row>
    <row r="37" spans="1:14">
      <c r="A37" s="53">
        <v>1996.04</v>
      </c>
      <c r="B37" s="1368"/>
      <c r="C37" s="3644"/>
      <c r="D37" s="1369"/>
      <c r="E37" s="3644"/>
      <c r="F37" s="1369"/>
      <c r="G37" s="3644"/>
      <c r="H37" s="1369"/>
      <c r="I37" s="3644"/>
      <c r="J37" s="1369"/>
      <c r="K37" s="3644"/>
      <c r="L37" s="1369"/>
      <c r="M37" s="3644"/>
      <c r="N37" s="1370"/>
    </row>
    <row r="38" spans="1:14">
      <c r="A38" s="53">
        <v>1996.05</v>
      </c>
      <c r="B38" s="1368"/>
      <c r="C38" s="3644"/>
      <c r="D38" s="1369"/>
      <c r="E38" s="3644"/>
      <c r="F38" s="1369"/>
      <c r="G38" s="3644"/>
      <c r="H38" s="1369"/>
      <c r="I38" s="3644"/>
      <c r="J38" s="1369"/>
      <c r="K38" s="3644"/>
      <c r="L38" s="1369"/>
      <c r="M38" s="3644"/>
      <c r="N38" s="1370"/>
    </row>
    <row r="39" spans="1:14">
      <c r="A39" s="53">
        <v>1996.06</v>
      </c>
      <c r="B39" s="1368"/>
      <c r="C39" s="3644"/>
      <c r="D39" s="1369"/>
      <c r="E39" s="3644"/>
      <c r="F39" s="1369"/>
      <c r="G39" s="3644"/>
      <c r="H39" s="1369"/>
      <c r="I39" s="3644"/>
      <c r="J39" s="1369"/>
      <c r="K39" s="3644"/>
      <c r="L39" s="1369"/>
      <c r="M39" s="3644"/>
      <c r="N39" s="1370"/>
    </row>
    <row r="40" spans="1:14">
      <c r="A40" s="53">
        <v>1996.07</v>
      </c>
      <c r="B40" s="1368"/>
      <c r="C40" s="3644"/>
      <c r="D40" s="1369"/>
      <c r="E40" s="3644"/>
      <c r="F40" s="1369"/>
      <c r="G40" s="3644"/>
      <c r="H40" s="1369"/>
      <c r="I40" s="3644"/>
      <c r="J40" s="1369"/>
      <c r="K40" s="3644"/>
      <c r="L40" s="1369"/>
      <c r="M40" s="3644"/>
      <c r="N40" s="1370"/>
    </row>
    <row r="41" spans="1:14">
      <c r="A41" s="53">
        <v>1996.08</v>
      </c>
      <c r="B41" s="1368"/>
      <c r="C41" s="3644"/>
      <c r="D41" s="1369"/>
      <c r="E41" s="3644"/>
      <c r="F41" s="1369"/>
      <c r="G41" s="3644"/>
      <c r="H41" s="1369"/>
      <c r="I41" s="3644"/>
      <c r="J41" s="1369"/>
      <c r="K41" s="3644"/>
      <c r="L41" s="1369"/>
      <c r="M41" s="3644"/>
      <c r="N41" s="1370"/>
    </row>
    <row r="42" spans="1:14">
      <c r="A42" s="53">
        <v>1996.09</v>
      </c>
      <c r="B42" s="1368"/>
      <c r="C42" s="3644"/>
      <c r="D42" s="1369"/>
      <c r="E42" s="3644"/>
      <c r="F42" s="1369"/>
      <c r="G42" s="3644"/>
      <c r="H42" s="1369"/>
      <c r="I42" s="3644"/>
      <c r="J42" s="1369"/>
      <c r="K42" s="3644"/>
      <c r="L42" s="1369"/>
      <c r="M42" s="3644"/>
      <c r="N42" s="1370"/>
    </row>
    <row r="43" spans="1:14">
      <c r="A43" s="53">
        <v>1996.1</v>
      </c>
      <c r="B43" s="1368"/>
      <c r="C43" s="3644"/>
      <c r="D43" s="1369"/>
      <c r="E43" s="3644"/>
      <c r="F43" s="1369"/>
      <c r="G43" s="3644"/>
      <c r="H43" s="1369"/>
      <c r="I43" s="3644"/>
      <c r="J43" s="1369"/>
      <c r="K43" s="3644"/>
      <c r="L43" s="1369"/>
      <c r="M43" s="3644"/>
      <c r="N43" s="1370"/>
    </row>
    <row r="44" spans="1:14">
      <c r="A44" s="53">
        <v>1996.11</v>
      </c>
      <c r="B44" s="1368"/>
      <c r="C44" s="3644"/>
      <c r="D44" s="1369"/>
      <c r="E44" s="3644"/>
      <c r="F44" s="1369"/>
      <c r="G44" s="3644"/>
      <c r="H44" s="1369"/>
      <c r="I44" s="3644"/>
      <c r="J44" s="1369"/>
      <c r="K44" s="3644"/>
      <c r="L44" s="1369"/>
      <c r="M44" s="3644"/>
      <c r="N44" s="1370"/>
    </row>
    <row r="45" spans="1:14">
      <c r="A45" s="53">
        <v>1996.12</v>
      </c>
      <c r="B45" s="1368"/>
      <c r="C45" s="3644"/>
      <c r="D45" s="1369"/>
      <c r="E45" s="3644"/>
      <c r="F45" s="1369"/>
      <c r="G45" s="3644"/>
      <c r="H45" s="1369"/>
      <c r="I45" s="3644"/>
      <c r="J45" s="1369"/>
      <c r="K45" s="3644"/>
      <c r="L45" s="1369"/>
      <c r="M45" s="3644"/>
      <c r="N45" s="1370"/>
    </row>
    <row r="46" spans="1:14">
      <c r="A46" s="53">
        <v>1997.01</v>
      </c>
      <c r="B46" s="1368"/>
      <c r="C46" s="3644"/>
      <c r="D46" s="1369"/>
      <c r="E46" s="3644"/>
      <c r="F46" s="1369"/>
      <c r="G46" s="3644"/>
      <c r="H46" s="1369"/>
      <c r="I46" s="3644"/>
      <c r="J46" s="1369"/>
      <c r="K46" s="3644"/>
      <c r="L46" s="1369"/>
      <c r="M46" s="3644"/>
      <c r="N46" s="1370"/>
    </row>
    <row r="47" spans="1:14">
      <c r="A47" s="53">
        <v>1997.02</v>
      </c>
      <c r="B47" s="1368"/>
      <c r="C47" s="3644"/>
      <c r="D47" s="1369"/>
      <c r="E47" s="3644"/>
      <c r="F47" s="1369"/>
      <c r="G47" s="3644"/>
      <c r="H47" s="1369"/>
      <c r="I47" s="3644"/>
      <c r="J47" s="1369"/>
      <c r="K47" s="3644"/>
      <c r="L47" s="1369"/>
      <c r="M47" s="3644"/>
      <c r="N47" s="1370"/>
    </row>
    <row r="48" spans="1:14">
      <c r="A48" s="53">
        <v>1997.03</v>
      </c>
      <c r="B48" s="1368"/>
      <c r="C48" s="3644"/>
      <c r="D48" s="1369"/>
      <c r="E48" s="3644"/>
      <c r="F48" s="1369"/>
      <c r="G48" s="3644"/>
      <c r="H48" s="1369"/>
      <c r="I48" s="3644"/>
      <c r="J48" s="1369"/>
      <c r="K48" s="3644"/>
      <c r="L48" s="1369"/>
      <c r="M48" s="3644"/>
      <c r="N48" s="1370"/>
    </row>
    <row r="49" spans="1:14">
      <c r="A49" s="53">
        <v>1997.04</v>
      </c>
      <c r="B49" s="1368"/>
      <c r="C49" s="3644"/>
      <c r="D49" s="1369"/>
      <c r="E49" s="3644"/>
      <c r="F49" s="1369"/>
      <c r="G49" s="3644"/>
      <c r="H49" s="1369"/>
      <c r="I49" s="3644"/>
      <c r="J49" s="1369"/>
      <c r="K49" s="3644"/>
      <c r="L49" s="1369"/>
      <c r="M49" s="3644"/>
      <c r="N49" s="1370"/>
    </row>
    <row r="50" spans="1:14">
      <c r="A50" s="53">
        <v>1997.05</v>
      </c>
      <c r="B50" s="1368"/>
      <c r="C50" s="3644"/>
      <c r="D50" s="1369"/>
      <c r="E50" s="3644"/>
      <c r="F50" s="1369"/>
      <c r="G50" s="3644"/>
      <c r="H50" s="1369"/>
      <c r="I50" s="3644"/>
      <c r="J50" s="1369"/>
      <c r="K50" s="3644"/>
      <c r="L50" s="1369"/>
      <c r="M50" s="3644"/>
      <c r="N50" s="1370"/>
    </row>
    <row r="51" spans="1:14">
      <c r="A51" s="53">
        <v>1997.06</v>
      </c>
      <c r="B51" s="1368"/>
      <c r="C51" s="3644"/>
      <c r="D51" s="1369"/>
      <c r="E51" s="3644"/>
      <c r="F51" s="1369"/>
      <c r="G51" s="3644"/>
      <c r="H51" s="1369"/>
      <c r="I51" s="3644"/>
      <c r="J51" s="1369"/>
      <c r="K51" s="3644"/>
      <c r="L51" s="1369"/>
      <c r="M51" s="3644"/>
      <c r="N51" s="1370"/>
    </row>
    <row r="52" spans="1:14">
      <c r="A52" s="53">
        <v>1997.07</v>
      </c>
      <c r="B52" s="1368"/>
      <c r="C52" s="3644"/>
      <c r="D52" s="1369"/>
      <c r="E52" s="3644"/>
      <c r="F52" s="1369"/>
      <c r="G52" s="3644"/>
      <c r="H52" s="1369"/>
      <c r="I52" s="3644"/>
      <c r="J52" s="1369"/>
      <c r="K52" s="3644"/>
      <c r="L52" s="1369"/>
      <c r="M52" s="3644"/>
      <c r="N52" s="1370"/>
    </row>
    <row r="53" spans="1:14">
      <c r="A53" s="53">
        <v>1997.08</v>
      </c>
      <c r="B53" s="1368"/>
      <c r="C53" s="3644"/>
      <c r="D53" s="1369"/>
      <c r="E53" s="3644"/>
      <c r="F53" s="1369"/>
      <c r="G53" s="3644"/>
      <c r="H53" s="1369"/>
      <c r="I53" s="3644"/>
      <c r="J53" s="1369"/>
      <c r="K53" s="3644"/>
      <c r="L53" s="1369"/>
      <c r="M53" s="3644"/>
      <c r="N53" s="1370"/>
    </row>
    <row r="54" spans="1:14">
      <c r="A54" s="53">
        <v>1997.09</v>
      </c>
      <c r="B54" s="1368"/>
      <c r="C54" s="3644"/>
      <c r="D54" s="1369"/>
      <c r="E54" s="3644"/>
      <c r="F54" s="1369"/>
      <c r="G54" s="3644"/>
      <c r="H54" s="1369"/>
      <c r="I54" s="3644"/>
      <c r="J54" s="1369"/>
      <c r="K54" s="3644"/>
      <c r="L54" s="1369"/>
      <c r="M54" s="3644"/>
      <c r="N54" s="1370"/>
    </row>
    <row r="55" spans="1:14">
      <c r="A55" s="53">
        <v>1997.1</v>
      </c>
      <c r="B55" s="1368"/>
      <c r="C55" s="3644"/>
      <c r="D55" s="1369"/>
      <c r="E55" s="3644"/>
      <c r="F55" s="1369"/>
      <c r="G55" s="3644"/>
      <c r="H55" s="1369"/>
      <c r="I55" s="3644"/>
      <c r="J55" s="1369"/>
      <c r="K55" s="3644"/>
      <c r="L55" s="1369"/>
      <c r="M55" s="3644"/>
      <c r="N55" s="1370"/>
    </row>
    <row r="56" spans="1:14">
      <c r="A56" s="53">
        <v>1997.11</v>
      </c>
      <c r="B56" s="1368"/>
      <c r="C56" s="3644"/>
      <c r="D56" s="1369"/>
      <c r="E56" s="3644"/>
      <c r="F56" s="1369"/>
      <c r="G56" s="3644"/>
      <c r="H56" s="1369"/>
      <c r="I56" s="3644"/>
      <c r="J56" s="1369"/>
      <c r="K56" s="3644"/>
      <c r="L56" s="1369"/>
      <c r="M56" s="3644"/>
      <c r="N56" s="1370"/>
    </row>
    <row r="57" spans="1:14">
      <c r="A57" s="53">
        <v>1997.12</v>
      </c>
      <c r="B57" s="1368"/>
      <c r="C57" s="3644"/>
      <c r="D57" s="1369"/>
      <c r="E57" s="3644"/>
      <c r="F57" s="1369"/>
      <c r="G57" s="3644"/>
      <c r="H57" s="1369"/>
      <c r="I57" s="3644"/>
      <c r="J57" s="1369"/>
      <c r="K57" s="3644"/>
      <c r="L57" s="1369"/>
      <c r="M57" s="3644"/>
      <c r="N57" s="1370"/>
    </row>
    <row r="58" spans="1:14">
      <c r="A58" s="53">
        <v>1998.01</v>
      </c>
      <c r="B58" s="1368"/>
      <c r="C58" s="3644"/>
      <c r="D58" s="1369"/>
      <c r="E58" s="3644"/>
      <c r="F58" s="1369"/>
      <c r="G58" s="3644"/>
      <c r="H58" s="1369"/>
      <c r="I58" s="3644"/>
      <c r="J58" s="1369"/>
      <c r="K58" s="3644"/>
      <c r="L58" s="1369"/>
      <c r="M58" s="3644"/>
      <c r="N58" s="1370"/>
    </row>
    <row r="59" spans="1:14">
      <c r="A59" s="53">
        <v>1998.02</v>
      </c>
      <c r="B59" s="1368"/>
      <c r="C59" s="3644"/>
      <c r="D59" s="1369"/>
      <c r="E59" s="3644"/>
      <c r="F59" s="1369"/>
      <c r="G59" s="3644"/>
      <c r="H59" s="1369"/>
      <c r="I59" s="3644"/>
      <c r="J59" s="1369"/>
      <c r="K59" s="3644"/>
      <c r="L59" s="1369"/>
      <c r="M59" s="3644"/>
      <c r="N59" s="1370"/>
    </row>
    <row r="60" spans="1:14">
      <c r="A60" s="53">
        <v>1998.03</v>
      </c>
      <c r="B60" s="1368"/>
      <c r="C60" s="3644"/>
      <c r="D60" s="1369"/>
      <c r="E60" s="3644"/>
      <c r="F60" s="1369"/>
      <c r="G60" s="3644"/>
      <c r="H60" s="1369"/>
      <c r="I60" s="3644"/>
      <c r="J60" s="1369"/>
      <c r="K60" s="3644"/>
      <c r="L60" s="1369"/>
      <c r="M60" s="3644"/>
      <c r="N60" s="1370"/>
    </row>
    <row r="61" spans="1:14">
      <c r="A61" s="53">
        <v>1998.04</v>
      </c>
      <c r="B61" s="1368"/>
      <c r="C61" s="3644"/>
      <c r="D61" s="1369"/>
      <c r="E61" s="3644"/>
      <c r="F61" s="1369"/>
      <c r="G61" s="3644"/>
      <c r="H61" s="1369"/>
      <c r="I61" s="3644"/>
      <c r="J61" s="1369"/>
      <c r="K61" s="3644"/>
      <c r="L61" s="1369"/>
      <c r="M61" s="3644"/>
      <c r="N61" s="1370"/>
    </row>
    <row r="62" spans="1:14">
      <c r="A62" s="53">
        <v>1998.05</v>
      </c>
      <c r="B62" s="1368"/>
      <c r="C62" s="3644"/>
      <c r="D62" s="1369"/>
      <c r="E62" s="3644"/>
      <c r="F62" s="1369"/>
      <c r="G62" s="3644"/>
      <c r="H62" s="1369"/>
      <c r="I62" s="3644"/>
      <c r="J62" s="1369"/>
      <c r="K62" s="3644"/>
      <c r="L62" s="1369"/>
      <c r="M62" s="3644"/>
      <c r="N62" s="1370"/>
    </row>
    <row r="63" spans="1:14">
      <c r="A63" s="53">
        <v>1998.06</v>
      </c>
      <c r="B63" s="1368"/>
      <c r="C63" s="3644"/>
      <c r="D63" s="1369"/>
      <c r="E63" s="3644"/>
      <c r="F63" s="1369"/>
      <c r="G63" s="3644"/>
      <c r="H63" s="1369"/>
      <c r="I63" s="3644"/>
      <c r="J63" s="1369"/>
      <c r="K63" s="3644"/>
      <c r="L63" s="1369"/>
      <c r="M63" s="3644"/>
      <c r="N63" s="1370"/>
    </row>
    <row r="64" spans="1:14">
      <c r="A64" s="53">
        <v>1998.07</v>
      </c>
      <c r="B64" s="1368"/>
      <c r="C64" s="3644"/>
      <c r="D64" s="1369"/>
      <c r="E64" s="3644"/>
      <c r="F64" s="1369"/>
      <c r="G64" s="3644"/>
      <c r="H64" s="1369"/>
      <c r="I64" s="3644"/>
      <c r="J64" s="1369"/>
      <c r="K64" s="3644"/>
      <c r="L64" s="1369"/>
      <c r="M64" s="3644"/>
      <c r="N64" s="1370"/>
    </row>
    <row r="65" spans="1:14">
      <c r="A65" s="53">
        <v>1998.08</v>
      </c>
      <c r="B65" s="1368"/>
      <c r="C65" s="3644"/>
      <c r="D65" s="1369"/>
      <c r="E65" s="3644"/>
      <c r="F65" s="1369"/>
      <c r="G65" s="3644"/>
      <c r="H65" s="1369"/>
      <c r="I65" s="3644"/>
      <c r="J65" s="1369"/>
      <c r="K65" s="3644"/>
      <c r="L65" s="1369"/>
      <c r="M65" s="3644"/>
      <c r="N65" s="1370"/>
    </row>
    <row r="66" spans="1:14">
      <c r="A66" s="53">
        <v>1998.09</v>
      </c>
      <c r="B66" s="1368"/>
      <c r="C66" s="3644"/>
      <c r="D66" s="1369"/>
      <c r="E66" s="3644"/>
      <c r="F66" s="1369"/>
      <c r="G66" s="3644"/>
      <c r="H66" s="1369"/>
      <c r="I66" s="3644"/>
      <c r="J66" s="1369"/>
      <c r="K66" s="3644"/>
      <c r="L66" s="1369"/>
      <c r="M66" s="3644"/>
      <c r="N66" s="1370"/>
    </row>
    <row r="67" spans="1:14">
      <c r="A67" s="53">
        <v>1998.1</v>
      </c>
      <c r="B67" s="1368"/>
      <c r="C67" s="3644"/>
      <c r="D67" s="1369"/>
      <c r="E67" s="3644"/>
      <c r="F67" s="1369"/>
      <c r="G67" s="3644"/>
      <c r="H67" s="1369"/>
      <c r="I67" s="3644"/>
      <c r="J67" s="1369"/>
      <c r="K67" s="3644"/>
      <c r="L67" s="1369"/>
      <c r="M67" s="3644"/>
      <c r="N67" s="1370"/>
    </row>
    <row r="68" spans="1:14">
      <c r="A68" s="53">
        <v>1998.11</v>
      </c>
      <c r="B68" s="1368"/>
      <c r="C68" s="3644"/>
      <c r="D68" s="1369"/>
      <c r="E68" s="3644"/>
      <c r="F68" s="1369"/>
      <c r="G68" s="3644"/>
      <c r="H68" s="1369"/>
      <c r="I68" s="3644"/>
      <c r="J68" s="1369"/>
      <c r="K68" s="3644"/>
      <c r="L68" s="1369"/>
      <c r="M68" s="3644"/>
      <c r="N68" s="1370"/>
    </row>
    <row r="69" spans="1:14">
      <c r="A69" s="53">
        <v>1998.12</v>
      </c>
      <c r="B69" s="1368"/>
      <c r="C69" s="3644"/>
      <c r="D69" s="1369"/>
      <c r="E69" s="3644"/>
      <c r="F69" s="1369"/>
      <c r="G69" s="3644"/>
      <c r="H69" s="1369"/>
      <c r="I69" s="3644"/>
      <c r="J69" s="1369"/>
      <c r="K69" s="3644"/>
      <c r="L69" s="1369"/>
      <c r="M69" s="3644"/>
      <c r="N69" s="1370"/>
    </row>
    <row r="70" spans="1:14">
      <c r="A70" s="53">
        <v>1999.01</v>
      </c>
      <c r="B70" s="1368"/>
      <c r="C70" s="3644"/>
      <c r="D70" s="1369"/>
      <c r="E70" s="3644"/>
      <c r="F70" s="1369"/>
      <c r="G70" s="3644"/>
      <c r="H70" s="1369"/>
      <c r="I70" s="3644"/>
      <c r="J70" s="1369"/>
      <c r="K70" s="3644"/>
      <c r="L70" s="1369"/>
      <c r="M70" s="3644"/>
      <c r="N70" s="1370"/>
    </row>
    <row r="71" spans="1:14">
      <c r="A71" s="53">
        <v>1999.02</v>
      </c>
      <c r="B71" s="1368"/>
      <c r="C71" s="3644"/>
      <c r="D71" s="1369"/>
      <c r="E71" s="3644"/>
      <c r="F71" s="1369"/>
      <c r="G71" s="3644"/>
      <c r="H71" s="1369"/>
      <c r="I71" s="3644"/>
      <c r="J71" s="1369"/>
      <c r="K71" s="3644"/>
      <c r="L71" s="1369"/>
      <c r="M71" s="3644"/>
      <c r="N71" s="1370"/>
    </row>
    <row r="72" spans="1:14">
      <c r="A72" s="53">
        <v>1999.03</v>
      </c>
      <c r="B72" s="1368"/>
      <c r="C72" s="3644"/>
      <c r="D72" s="1369"/>
      <c r="E72" s="3644"/>
      <c r="F72" s="1369"/>
      <c r="G72" s="3644"/>
      <c r="H72" s="1369"/>
      <c r="I72" s="3644"/>
      <c r="J72" s="1369"/>
      <c r="K72" s="3644"/>
      <c r="L72" s="1369"/>
      <c r="M72" s="3644"/>
      <c r="N72" s="1370"/>
    </row>
    <row r="73" spans="1:14">
      <c r="A73" s="53">
        <v>1999.04</v>
      </c>
      <c r="B73" s="1368"/>
      <c r="C73" s="3644"/>
      <c r="D73" s="1369"/>
      <c r="E73" s="3644"/>
      <c r="F73" s="1369"/>
      <c r="G73" s="3644"/>
      <c r="H73" s="1369"/>
      <c r="I73" s="3644"/>
      <c r="J73" s="1369"/>
      <c r="K73" s="3644"/>
      <c r="L73" s="1369"/>
      <c r="M73" s="3644"/>
      <c r="N73" s="1370"/>
    </row>
    <row r="74" spans="1:14">
      <c r="A74" s="53">
        <v>1999.05</v>
      </c>
      <c r="B74" s="1368"/>
      <c r="C74" s="3644"/>
      <c r="D74" s="1369"/>
      <c r="E74" s="3644"/>
      <c r="F74" s="1369"/>
      <c r="G74" s="3644"/>
      <c r="H74" s="1369"/>
      <c r="I74" s="3644"/>
      <c r="J74" s="1369"/>
      <c r="K74" s="3644"/>
      <c r="L74" s="1369"/>
      <c r="M74" s="3644"/>
      <c r="N74" s="1370"/>
    </row>
    <row r="75" spans="1:14">
      <c r="A75" s="53">
        <v>1999.06</v>
      </c>
      <c r="B75" s="1368"/>
      <c r="C75" s="3644"/>
      <c r="D75" s="1369"/>
      <c r="E75" s="3644"/>
      <c r="F75" s="1369"/>
      <c r="G75" s="3644"/>
      <c r="H75" s="1369"/>
      <c r="I75" s="3644"/>
      <c r="J75" s="1369"/>
      <c r="K75" s="3644"/>
      <c r="L75" s="1369"/>
      <c r="M75" s="3644"/>
      <c r="N75" s="1370"/>
    </row>
    <row r="76" spans="1:14">
      <c r="A76" s="53">
        <v>1999.07</v>
      </c>
      <c r="B76" s="1368"/>
      <c r="C76" s="3644"/>
      <c r="D76" s="1369"/>
      <c r="E76" s="3644"/>
      <c r="F76" s="1369"/>
      <c r="G76" s="3644"/>
      <c r="H76" s="1369"/>
      <c r="I76" s="3644"/>
      <c r="J76" s="1369"/>
      <c r="K76" s="3644"/>
      <c r="L76" s="1369"/>
      <c r="M76" s="3644"/>
      <c r="N76" s="1370"/>
    </row>
    <row r="77" spans="1:14">
      <c r="A77" s="53">
        <v>1999.08</v>
      </c>
      <c r="B77" s="1368"/>
      <c r="C77" s="3644"/>
      <c r="D77" s="1369"/>
      <c r="E77" s="3644"/>
      <c r="F77" s="1369"/>
      <c r="G77" s="3644"/>
      <c r="H77" s="1369"/>
      <c r="I77" s="3644"/>
      <c r="J77" s="1369"/>
      <c r="K77" s="3644"/>
      <c r="L77" s="1369"/>
      <c r="M77" s="3644"/>
      <c r="N77" s="1370"/>
    </row>
    <row r="78" spans="1:14">
      <c r="A78" s="53">
        <v>1999.09</v>
      </c>
      <c r="B78" s="1368"/>
      <c r="C78" s="3644"/>
      <c r="D78" s="1369"/>
      <c r="E78" s="3644"/>
      <c r="F78" s="1369"/>
      <c r="G78" s="3644"/>
      <c r="H78" s="1369"/>
      <c r="I78" s="3644"/>
      <c r="J78" s="1369"/>
      <c r="K78" s="3644"/>
      <c r="L78" s="1369"/>
      <c r="M78" s="3644"/>
      <c r="N78" s="1370"/>
    </row>
    <row r="79" spans="1:14">
      <c r="A79" s="53">
        <v>1999.1</v>
      </c>
      <c r="B79" s="1368"/>
      <c r="C79" s="3644"/>
      <c r="D79" s="1369"/>
      <c r="E79" s="3644"/>
      <c r="F79" s="1369"/>
      <c r="G79" s="3644"/>
      <c r="H79" s="1369"/>
      <c r="I79" s="3644"/>
      <c r="J79" s="1369"/>
      <c r="K79" s="3644"/>
      <c r="L79" s="1369"/>
      <c r="M79" s="3644"/>
      <c r="N79" s="1370"/>
    </row>
    <row r="80" spans="1:14">
      <c r="A80" s="53">
        <v>1999.11</v>
      </c>
      <c r="B80" s="1368"/>
      <c r="C80" s="3644"/>
      <c r="D80" s="1369"/>
      <c r="E80" s="3644"/>
      <c r="F80" s="1369"/>
      <c r="G80" s="3644"/>
      <c r="H80" s="1369"/>
      <c r="I80" s="3644"/>
      <c r="J80" s="1369"/>
      <c r="K80" s="3644"/>
      <c r="L80" s="1369"/>
      <c r="M80" s="3644"/>
      <c r="N80" s="1370"/>
    </row>
    <row r="81" spans="1:14">
      <c r="A81" s="53">
        <v>1999.12</v>
      </c>
      <c r="B81" s="1368"/>
      <c r="C81" s="3644"/>
      <c r="D81" s="1369"/>
      <c r="E81" s="3644"/>
      <c r="F81" s="1369"/>
      <c r="G81" s="3644"/>
      <c r="H81" s="1369"/>
      <c r="I81" s="3644"/>
      <c r="J81" s="1369"/>
      <c r="K81" s="3644"/>
      <c r="L81" s="1369"/>
      <c r="M81" s="3644"/>
      <c r="N81" s="1370"/>
    </row>
    <row r="82" spans="1:14">
      <c r="A82" s="53">
        <v>2000.01</v>
      </c>
      <c r="B82" s="1368"/>
      <c r="C82" s="3644"/>
      <c r="D82" s="1369"/>
      <c r="E82" s="3644"/>
      <c r="F82" s="1369"/>
      <c r="G82" s="3644"/>
      <c r="H82" s="1369"/>
      <c r="I82" s="3644"/>
      <c r="J82" s="1369"/>
      <c r="K82" s="3644"/>
      <c r="L82" s="1369"/>
      <c r="M82" s="3644"/>
      <c r="N82" s="1370"/>
    </row>
    <row r="83" spans="1:14">
      <c r="A83" s="53">
        <v>2000.02</v>
      </c>
      <c r="B83" s="1368"/>
      <c r="C83" s="3644"/>
      <c r="D83" s="1369"/>
      <c r="E83" s="3644"/>
      <c r="F83" s="1369"/>
      <c r="G83" s="3644"/>
      <c r="H83" s="1369"/>
      <c r="I83" s="3644"/>
      <c r="J83" s="1369"/>
      <c r="K83" s="3644"/>
      <c r="L83" s="1369"/>
      <c r="M83" s="3644"/>
      <c r="N83" s="1370"/>
    </row>
    <row r="84" spans="1:14">
      <c r="A84" s="53">
        <v>2000.03</v>
      </c>
      <c r="B84" s="1368"/>
      <c r="C84" s="3644"/>
      <c r="D84" s="1369"/>
      <c r="E84" s="3644"/>
      <c r="F84" s="1369"/>
      <c r="G84" s="3644"/>
      <c r="H84" s="1369"/>
      <c r="I84" s="3644"/>
      <c r="J84" s="1369"/>
      <c r="K84" s="3644"/>
      <c r="L84" s="1369"/>
      <c r="M84" s="3644"/>
      <c r="N84" s="1370"/>
    </row>
    <row r="85" spans="1:14">
      <c r="A85" s="53">
        <v>2000.04</v>
      </c>
      <c r="B85" s="1368"/>
      <c r="C85" s="3644"/>
      <c r="D85" s="1369"/>
      <c r="E85" s="3644"/>
      <c r="F85" s="1369"/>
      <c r="G85" s="3644"/>
      <c r="H85" s="1369"/>
      <c r="I85" s="3644"/>
      <c r="J85" s="1369"/>
      <c r="K85" s="3644"/>
      <c r="L85" s="1369"/>
      <c r="M85" s="3644"/>
      <c r="N85" s="1370"/>
    </row>
    <row r="86" spans="1:14">
      <c r="A86" s="53">
        <v>2000.05</v>
      </c>
      <c r="B86" s="1368"/>
      <c r="C86" s="3644"/>
      <c r="D86" s="1369"/>
      <c r="E86" s="3644"/>
      <c r="F86" s="1369"/>
      <c r="G86" s="3644"/>
      <c r="H86" s="1369"/>
      <c r="I86" s="3644"/>
      <c r="J86" s="1369"/>
      <c r="K86" s="3644"/>
      <c r="L86" s="1369"/>
      <c r="M86" s="3644"/>
      <c r="N86" s="1370"/>
    </row>
    <row r="87" spans="1:14">
      <c r="A87" s="53">
        <v>2000.06</v>
      </c>
      <c r="B87" s="1368"/>
      <c r="C87" s="3644"/>
      <c r="D87" s="1369"/>
      <c r="E87" s="3644"/>
      <c r="F87" s="1369"/>
      <c r="G87" s="3644"/>
      <c r="H87" s="1369"/>
      <c r="I87" s="3644"/>
      <c r="J87" s="1369"/>
      <c r="K87" s="3644"/>
      <c r="L87" s="1369"/>
      <c r="M87" s="3644"/>
      <c r="N87" s="1370"/>
    </row>
    <row r="88" spans="1:14">
      <c r="A88" s="53">
        <v>2000.07</v>
      </c>
      <c r="B88" s="1368"/>
      <c r="C88" s="3644"/>
      <c r="D88" s="1369"/>
      <c r="E88" s="3644"/>
      <c r="F88" s="1369"/>
      <c r="G88" s="3644"/>
      <c r="H88" s="1369"/>
      <c r="I88" s="3644"/>
      <c r="J88" s="1369"/>
      <c r="K88" s="3644"/>
      <c r="L88" s="1369"/>
      <c r="M88" s="3644"/>
      <c r="N88" s="1370"/>
    </row>
    <row r="89" spans="1:14">
      <c r="A89" s="53">
        <v>2000.08</v>
      </c>
      <c r="B89" s="1368"/>
      <c r="C89" s="3644"/>
      <c r="D89" s="1369"/>
      <c r="E89" s="3644"/>
      <c r="F89" s="1369"/>
      <c r="G89" s="3644"/>
      <c r="H89" s="1369"/>
      <c r="I89" s="3644"/>
      <c r="J89" s="1369"/>
      <c r="K89" s="3644"/>
      <c r="L89" s="1369"/>
      <c r="M89" s="3644"/>
      <c r="N89" s="1370"/>
    </row>
    <row r="90" spans="1:14">
      <c r="A90" s="53">
        <v>2000.09</v>
      </c>
      <c r="B90" s="1368"/>
      <c r="C90" s="3644"/>
      <c r="D90" s="1369"/>
      <c r="E90" s="3644"/>
      <c r="F90" s="1369"/>
      <c r="G90" s="3644"/>
      <c r="H90" s="1369"/>
      <c r="I90" s="3644"/>
      <c r="J90" s="1369"/>
      <c r="K90" s="3644"/>
      <c r="L90" s="1369"/>
      <c r="M90" s="3644"/>
      <c r="N90" s="1370"/>
    </row>
    <row r="91" spans="1:14">
      <c r="A91" s="53">
        <v>2000.1</v>
      </c>
      <c r="B91" s="1368"/>
      <c r="C91" s="3644"/>
      <c r="D91" s="1369"/>
      <c r="E91" s="3644"/>
      <c r="F91" s="1369"/>
      <c r="G91" s="3644"/>
      <c r="H91" s="1369"/>
      <c r="I91" s="3644"/>
      <c r="J91" s="1369"/>
      <c r="K91" s="3644"/>
      <c r="L91" s="1369"/>
      <c r="M91" s="3644"/>
      <c r="N91" s="1370"/>
    </row>
    <row r="92" spans="1:14">
      <c r="A92" s="53">
        <v>2000.11</v>
      </c>
      <c r="B92" s="1368"/>
      <c r="C92" s="3644"/>
      <c r="D92" s="1369"/>
      <c r="E92" s="3644"/>
      <c r="F92" s="1369"/>
      <c r="G92" s="3644"/>
      <c r="H92" s="1369"/>
      <c r="I92" s="3644"/>
      <c r="J92" s="1369"/>
      <c r="K92" s="3644"/>
      <c r="L92" s="1369"/>
      <c r="M92" s="3644"/>
      <c r="N92" s="1370"/>
    </row>
    <row r="93" spans="1:14">
      <c r="A93" s="53">
        <v>2000.12</v>
      </c>
      <c r="B93" s="1368"/>
      <c r="C93" s="3644"/>
      <c r="D93" s="1369"/>
      <c r="E93" s="3644"/>
      <c r="F93" s="1369"/>
      <c r="G93" s="3644"/>
      <c r="H93" s="1369"/>
      <c r="I93" s="3644"/>
      <c r="J93" s="1369"/>
      <c r="K93" s="3644"/>
      <c r="L93" s="1369"/>
      <c r="M93" s="3644"/>
      <c r="N93" s="1370"/>
    </row>
    <row r="94" spans="1:14">
      <c r="A94" s="53">
        <v>2001.01</v>
      </c>
      <c r="B94" s="1368"/>
      <c r="C94" s="3644"/>
      <c r="D94" s="1369"/>
      <c r="E94" s="3644"/>
      <c r="F94" s="1369"/>
      <c r="G94" s="3644"/>
      <c r="H94" s="1369"/>
      <c r="I94" s="3644"/>
      <c r="J94" s="1369"/>
      <c r="K94" s="3644"/>
      <c r="L94" s="1369"/>
      <c r="M94" s="3644"/>
      <c r="N94" s="1370"/>
    </row>
    <row r="95" spans="1:14">
      <c r="A95" s="53">
        <v>2001.02</v>
      </c>
      <c r="B95" s="1368"/>
      <c r="C95" s="3644"/>
      <c r="D95" s="1369"/>
      <c r="E95" s="3644"/>
      <c r="F95" s="1369"/>
      <c r="G95" s="3644"/>
      <c r="H95" s="1369"/>
      <c r="I95" s="3644"/>
      <c r="J95" s="1369"/>
      <c r="K95" s="3644"/>
      <c r="L95" s="1369"/>
      <c r="M95" s="3644"/>
      <c r="N95" s="1370"/>
    </row>
    <row r="96" spans="1:14">
      <c r="A96" s="53">
        <v>2001.03</v>
      </c>
      <c r="B96" s="1368"/>
      <c r="C96" s="3644"/>
      <c r="D96" s="1369"/>
      <c r="E96" s="3644"/>
      <c r="F96" s="1369"/>
      <c r="G96" s="3644"/>
      <c r="H96" s="1369"/>
      <c r="I96" s="3644"/>
      <c r="J96" s="1369"/>
      <c r="K96" s="3644"/>
      <c r="L96" s="1369"/>
      <c r="M96" s="3644"/>
      <c r="N96" s="1370"/>
    </row>
    <row r="97" spans="1:14">
      <c r="A97" s="53">
        <v>2001.04</v>
      </c>
      <c r="B97" s="1368"/>
      <c r="C97" s="3644"/>
      <c r="D97" s="1369"/>
      <c r="E97" s="3644"/>
      <c r="F97" s="1369"/>
      <c r="G97" s="3644"/>
      <c r="H97" s="1369"/>
      <c r="I97" s="3644"/>
      <c r="J97" s="1369"/>
      <c r="K97" s="3644"/>
      <c r="L97" s="1369"/>
      <c r="M97" s="3644"/>
      <c r="N97" s="1370"/>
    </row>
    <row r="98" spans="1:14">
      <c r="A98" s="53">
        <v>2001.05</v>
      </c>
      <c r="B98" s="1368"/>
      <c r="C98" s="3644"/>
      <c r="D98" s="1369"/>
      <c r="E98" s="3644"/>
      <c r="F98" s="1369"/>
      <c r="G98" s="3644"/>
      <c r="H98" s="1369"/>
      <c r="I98" s="3644"/>
      <c r="J98" s="1369"/>
      <c r="K98" s="3644"/>
      <c r="L98" s="1369"/>
      <c r="M98" s="3644"/>
      <c r="N98" s="1370"/>
    </row>
    <row r="99" spans="1:14">
      <c r="A99" s="53">
        <v>2001.06</v>
      </c>
      <c r="B99" s="1368"/>
      <c r="C99" s="3644"/>
      <c r="D99" s="1369"/>
      <c r="E99" s="3644"/>
      <c r="F99" s="1369"/>
      <c r="G99" s="3644"/>
      <c r="H99" s="1369"/>
      <c r="I99" s="3644"/>
      <c r="J99" s="1369"/>
      <c r="K99" s="3644"/>
      <c r="L99" s="1369"/>
      <c r="M99" s="3644"/>
      <c r="N99" s="1370"/>
    </row>
    <row r="100" spans="1:14">
      <c r="A100" s="53">
        <v>2001.07</v>
      </c>
      <c r="B100" s="1368"/>
      <c r="C100" s="3644"/>
      <c r="D100" s="1369"/>
      <c r="E100" s="3644"/>
      <c r="F100" s="1369"/>
      <c r="G100" s="3644"/>
      <c r="H100" s="1369"/>
      <c r="I100" s="3644"/>
      <c r="J100" s="1369"/>
      <c r="K100" s="3644"/>
      <c r="L100" s="1369"/>
      <c r="M100" s="3644"/>
      <c r="N100" s="1370"/>
    </row>
    <row r="101" spans="1:14">
      <c r="A101" s="53">
        <v>2001.08</v>
      </c>
      <c r="B101" s="1368"/>
      <c r="C101" s="3644"/>
      <c r="D101" s="1369"/>
      <c r="E101" s="3644"/>
      <c r="F101" s="1369"/>
      <c r="G101" s="3644"/>
      <c r="H101" s="1369"/>
      <c r="I101" s="3644"/>
      <c r="J101" s="1369"/>
      <c r="K101" s="3644"/>
      <c r="L101" s="1369"/>
      <c r="M101" s="3644"/>
      <c r="N101" s="1370"/>
    </row>
    <row r="102" spans="1:14">
      <c r="A102" s="53">
        <v>2001.09</v>
      </c>
      <c r="B102" s="1368"/>
      <c r="C102" s="3644"/>
      <c r="D102" s="1369"/>
      <c r="E102" s="3644"/>
      <c r="F102" s="1369"/>
      <c r="G102" s="3644"/>
      <c r="H102" s="1369"/>
      <c r="I102" s="3644"/>
      <c r="J102" s="1369"/>
      <c r="K102" s="3644"/>
      <c r="L102" s="1369"/>
      <c r="M102" s="3644"/>
      <c r="N102" s="1370"/>
    </row>
    <row r="103" spans="1:14">
      <c r="A103" s="53">
        <v>2001.1</v>
      </c>
      <c r="B103" s="1368"/>
      <c r="C103" s="3644"/>
      <c r="D103" s="1369"/>
      <c r="E103" s="3644"/>
      <c r="F103" s="1369"/>
      <c r="G103" s="3644"/>
      <c r="H103" s="1369"/>
      <c r="I103" s="3644"/>
      <c r="J103" s="1369"/>
      <c r="K103" s="3644"/>
      <c r="L103" s="1369"/>
      <c r="M103" s="3644"/>
      <c r="N103" s="1370"/>
    </row>
    <row r="104" spans="1:14">
      <c r="A104" s="53">
        <v>2001.11</v>
      </c>
      <c r="B104" s="1368"/>
      <c r="C104" s="3644"/>
      <c r="D104" s="1369"/>
      <c r="E104" s="3644"/>
      <c r="F104" s="1369"/>
      <c r="G104" s="3644"/>
      <c r="H104" s="1369"/>
      <c r="I104" s="3644"/>
      <c r="J104" s="1369"/>
      <c r="K104" s="3644"/>
      <c r="L104" s="1369"/>
      <c r="M104" s="3644"/>
      <c r="N104" s="1370"/>
    </row>
    <row r="105" spans="1:14">
      <c r="A105" s="53">
        <v>2001.12</v>
      </c>
      <c r="B105" s="1368"/>
      <c r="C105" s="3644"/>
      <c r="D105" s="1369"/>
      <c r="E105" s="3644"/>
      <c r="F105" s="1369"/>
      <c r="G105" s="3644"/>
      <c r="H105" s="1369"/>
      <c r="I105" s="3644"/>
      <c r="J105" s="1369"/>
      <c r="K105" s="3644"/>
      <c r="L105" s="1369"/>
      <c r="M105" s="3644"/>
      <c r="N105" s="1370"/>
    </row>
    <row r="106" spans="1:14">
      <c r="A106" s="53">
        <v>2002.01</v>
      </c>
      <c r="B106" s="2379">
        <v>48.161690777538603</v>
      </c>
      <c r="C106" s="2379">
        <v>64.1035050393685</v>
      </c>
      <c r="D106" s="2379">
        <v>64.107916126171304</v>
      </c>
      <c r="E106" s="2379">
        <v>26.4590948821096</v>
      </c>
      <c r="F106" s="2379">
        <v>66.877157258694893</v>
      </c>
      <c r="G106" s="2379">
        <v>53.2</v>
      </c>
      <c r="H106" s="2379">
        <v>82.832304046896098</v>
      </c>
      <c r="I106" s="2379">
        <v>57.748484242119297</v>
      </c>
      <c r="J106" s="2379">
        <v>40.087221783371298</v>
      </c>
      <c r="K106" s="2379">
        <v>32.0527827434844</v>
      </c>
      <c r="L106" s="2379">
        <v>61.840405399656298</v>
      </c>
      <c r="M106" s="2379">
        <v>6.77351276799424</v>
      </c>
      <c r="N106" s="2379">
        <v>23.175978838379802</v>
      </c>
    </row>
    <row r="107" spans="1:14">
      <c r="A107" s="53">
        <v>2002.02</v>
      </c>
      <c r="B107" s="1845">
        <v>51.117528037614697</v>
      </c>
      <c r="C107" s="3645">
        <v>65.050729839322898</v>
      </c>
      <c r="D107" s="1845">
        <v>64.132202138833904</v>
      </c>
      <c r="E107" s="3645">
        <v>28.3465918681262</v>
      </c>
      <c r="F107" s="1845">
        <v>81.066345151304404</v>
      </c>
      <c r="G107" s="3645">
        <v>52.1250413870359</v>
      </c>
      <c r="H107" s="1845">
        <v>79.530769984617194</v>
      </c>
      <c r="I107" s="3645">
        <v>61.103446557995703</v>
      </c>
      <c r="J107" s="1845">
        <v>46.692302547378802</v>
      </c>
      <c r="K107" s="3645">
        <v>34.034350048493401</v>
      </c>
      <c r="L107" s="1845">
        <v>75.511165915805904</v>
      </c>
      <c r="M107" s="3645">
        <v>13.276518887693699</v>
      </c>
      <c r="N107" s="1846">
        <v>24.9833161505614</v>
      </c>
    </row>
    <row r="108" spans="1:14">
      <c r="A108" s="53">
        <v>2002.03</v>
      </c>
      <c r="B108" s="1845">
        <v>50.306787426455301</v>
      </c>
      <c r="C108" s="3645">
        <v>62.169610337808997</v>
      </c>
      <c r="D108" s="1845">
        <v>59.699606665120598</v>
      </c>
      <c r="E108" s="3645">
        <v>30.376882726867201</v>
      </c>
      <c r="F108" s="1845">
        <v>68.041862439234905</v>
      </c>
      <c r="G108" s="3645">
        <v>48.699112873502003</v>
      </c>
      <c r="H108" s="1845">
        <v>79.740757154017203</v>
      </c>
      <c r="I108" s="3645">
        <v>55.768950996814702</v>
      </c>
      <c r="J108" s="1845">
        <v>48.581017579963302</v>
      </c>
      <c r="K108" s="3645">
        <v>31.297687770243499</v>
      </c>
      <c r="L108" s="1845">
        <v>78.765945074509304</v>
      </c>
      <c r="M108" s="3645">
        <v>17.110175481652099</v>
      </c>
      <c r="N108" s="1846">
        <v>30.4376208595524</v>
      </c>
    </row>
    <row r="109" spans="1:14">
      <c r="A109" s="53">
        <v>2002.04</v>
      </c>
      <c r="B109" s="1845">
        <v>55.097667653622999</v>
      </c>
      <c r="C109" s="3645">
        <v>65.078348335346206</v>
      </c>
      <c r="D109" s="1845">
        <v>64.118980007003898</v>
      </c>
      <c r="E109" s="3645">
        <v>44.399933217009497</v>
      </c>
      <c r="F109" s="1845">
        <v>77.276359568924704</v>
      </c>
      <c r="G109" s="3645">
        <v>47.354152010058598</v>
      </c>
      <c r="H109" s="1845">
        <v>83.220622421847906</v>
      </c>
      <c r="I109" s="3645">
        <v>64.009557280166902</v>
      </c>
      <c r="J109" s="1845">
        <v>51.4230117139588</v>
      </c>
      <c r="K109" s="3645">
        <v>35.5677333109955</v>
      </c>
      <c r="L109" s="1845">
        <v>89.650920864207905</v>
      </c>
      <c r="M109" s="3645">
        <v>26.109468226466198</v>
      </c>
      <c r="N109" s="1846">
        <v>31.2708386431873</v>
      </c>
    </row>
    <row r="110" spans="1:14">
      <c r="A110" s="53">
        <v>2002.05</v>
      </c>
      <c r="B110" s="1845">
        <v>55.182850953389902</v>
      </c>
      <c r="C110" s="3645">
        <v>65.740064424618197</v>
      </c>
      <c r="D110" s="1845">
        <v>64.751871059706801</v>
      </c>
      <c r="E110" s="3645">
        <v>37.9739397782065</v>
      </c>
      <c r="F110" s="1845">
        <v>79.125545898210603</v>
      </c>
      <c r="G110" s="3645">
        <v>47.131419189963303</v>
      </c>
      <c r="H110" s="1845">
        <v>82.689173523240498</v>
      </c>
      <c r="I110" s="3645">
        <v>60.280488493974097</v>
      </c>
      <c r="J110" s="1845">
        <v>54.358853124322202</v>
      </c>
      <c r="K110" s="3645">
        <v>37.597313336852899</v>
      </c>
      <c r="L110" s="1845">
        <v>88.821764682499804</v>
      </c>
      <c r="M110" s="3645">
        <v>23.834604823791299</v>
      </c>
      <c r="N110" s="1846">
        <v>35.978735585009503</v>
      </c>
    </row>
    <row r="111" spans="1:14">
      <c r="A111" s="53">
        <v>2002.06</v>
      </c>
      <c r="B111" s="1845">
        <v>55.370516159583502</v>
      </c>
      <c r="C111" s="3645">
        <v>66.548848106749404</v>
      </c>
      <c r="D111" s="1845">
        <v>57.826443618781902</v>
      </c>
      <c r="E111" s="3645">
        <v>41.257969148236803</v>
      </c>
      <c r="F111" s="1845">
        <v>78.5231377214253</v>
      </c>
      <c r="G111" s="3645">
        <v>47.643054984456498</v>
      </c>
      <c r="H111" s="1845">
        <v>81.508755126632195</v>
      </c>
      <c r="I111" s="3645">
        <v>62.832887927174198</v>
      </c>
      <c r="J111" s="1845">
        <v>55.246202842718198</v>
      </c>
      <c r="K111" s="3645">
        <v>34.842162397141301</v>
      </c>
      <c r="L111" s="1845">
        <v>85.013474513652</v>
      </c>
      <c r="M111" s="3645">
        <v>22.010695396159601</v>
      </c>
      <c r="N111" s="1846">
        <v>36.221500075709997</v>
      </c>
    </row>
    <row r="112" spans="1:14">
      <c r="A112" s="53">
        <v>2002.07</v>
      </c>
      <c r="B112" s="1845">
        <v>56.611092266197403</v>
      </c>
      <c r="C112" s="3645">
        <v>68.166195811949294</v>
      </c>
      <c r="D112" s="1845">
        <v>62.691632677415697</v>
      </c>
      <c r="E112" s="3645">
        <v>48.867540337984202</v>
      </c>
      <c r="F112" s="1845">
        <v>73.682909986601103</v>
      </c>
      <c r="G112" s="3645">
        <v>47.8256519009634</v>
      </c>
      <c r="H112" s="1845">
        <v>80.605313269935607</v>
      </c>
      <c r="I112" s="3645">
        <v>62.996418745510397</v>
      </c>
      <c r="J112" s="1845">
        <v>51.9035101449373</v>
      </c>
      <c r="K112" s="3645">
        <v>37.033324720392699</v>
      </c>
      <c r="L112" s="1845">
        <v>87.450362866342402</v>
      </c>
      <c r="M112" s="3645">
        <v>24.280957227660501</v>
      </c>
      <c r="N112" s="1846">
        <v>38.486039845689</v>
      </c>
    </row>
    <row r="113" spans="1:14">
      <c r="A113" s="53">
        <v>2002.08</v>
      </c>
      <c r="B113" s="1845">
        <v>56.859821717115899</v>
      </c>
      <c r="C113" s="3645">
        <v>68.806787400662202</v>
      </c>
      <c r="D113" s="1845">
        <v>59.083293082720203</v>
      </c>
      <c r="E113" s="3645">
        <v>56.433133342675397</v>
      </c>
      <c r="F113" s="1845">
        <v>81.417775868590397</v>
      </c>
      <c r="G113" s="3645">
        <v>44.529238414175701</v>
      </c>
      <c r="H113" s="1845">
        <v>77.407684557161005</v>
      </c>
      <c r="I113" s="3645">
        <v>61.683417175100303</v>
      </c>
      <c r="J113" s="1845">
        <v>53.385792616853301</v>
      </c>
      <c r="K113" s="3645">
        <v>41.036896553439</v>
      </c>
      <c r="L113" s="1845">
        <v>88.647856325982502</v>
      </c>
      <c r="M113" s="3645">
        <v>23.372913849342499</v>
      </c>
      <c r="N113" s="1846">
        <v>38.712380488376702</v>
      </c>
    </row>
    <row r="114" spans="1:14">
      <c r="A114" s="53">
        <v>2002.09</v>
      </c>
      <c r="B114" s="1845">
        <v>58.644970893340897</v>
      </c>
      <c r="C114" s="3645">
        <v>68.661752683948805</v>
      </c>
      <c r="D114" s="1845">
        <v>60.728696167296398</v>
      </c>
      <c r="E114" s="3645">
        <v>60.103419266518998</v>
      </c>
      <c r="F114" s="1845">
        <v>81.673395850027902</v>
      </c>
      <c r="G114" s="3645">
        <v>45.159271001646097</v>
      </c>
      <c r="H114" s="1845">
        <v>86.827799668531398</v>
      </c>
      <c r="I114" s="3645">
        <v>63.681454862015698</v>
      </c>
      <c r="J114" s="1845">
        <v>55.527975479542398</v>
      </c>
      <c r="K114" s="3645">
        <v>43.311366912697501</v>
      </c>
      <c r="L114" s="1845">
        <v>87.994058940542303</v>
      </c>
      <c r="M114" s="3645">
        <v>24.917559035286601</v>
      </c>
      <c r="N114" s="1846">
        <v>41.662717798925399</v>
      </c>
    </row>
    <row r="115" spans="1:14">
      <c r="A115" s="53">
        <v>2002.1</v>
      </c>
      <c r="B115" s="1845">
        <v>59.741126261354999</v>
      </c>
      <c r="C115" s="3645">
        <v>70.607137687395706</v>
      </c>
      <c r="D115" s="1845">
        <v>63.223995979505503</v>
      </c>
      <c r="E115" s="3645">
        <v>58.330043407178003</v>
      </c>
      <c r="F115" s="1845">
        <v>83.289982382483998</v>
      </c>
      <c r="G115" s="3645">
        <v>47.109607818015697</v>
      </c>
      <c r="H115" s="1845">
        <v>87.929487126247594</v>
      </c>
      <c r="I115" s="3645">
        <v>65.182532653857805</v>
      </c>
      <c r="J115" s="1845">
        <v>57.959185084381097</v>
      </c>
      <c r="K115" s="3645">
        <v>40.5229167119452</v>
      </c>
      <c r="L115" s="1845">
        <v>91.536430854567897</v>
      </c>
      <c r="M115" s="3645">
        <v>25.291322420815899</v>
      </c>
      <c r="N115" s="1846">
        <v>41.374679682128502</v>
      </c>
    </row>
    <row r="116" spans="1:14">
      <c r="A116" s="53">
        <v>2002.11</v>
      </c>
      <c r="B116" s="1845">
        <v>61.1949951383383</v>
      </c>
      <c r="C116" s="3645">
        <v>70.476782426118604</v>
      </c>
      <c r="D116" s="1845">
        <v>71.682303177044005</v>
      </c>
      <c r="E116" s="3645">
        <v>59.953123401198198</v>
      </c>
      <c r="F116" s="1845">
        <v>83.537298147091207</v>
      </c>
      <c r="G116" s="3645">
        <v>49.374929880700201</v>
      </c>
      <c r="H116" s="1845">
        <v>86.7893021263462</v>
      </c>
      <c r="I116" s="3645">
        <v>68.696970117152304</v>
      </c>
      <c r="J116" s="1845">
        <v>63.765306779201403</v>
      </c>
      <c r="K116" s="3645">
        <v>42.290365300805</v>
      </c>
      <c r="L116" s="1845">
        <v>85.783388630393205</v>
      </c>
      <c r="M116" s="3645">
        <v>25.0221680866401</v>
      </c>
      <c r="N116" s="1846">
        <v>45.229420857987201</v>
      </c>
    </row>
    <row r="117" spans="1:14">
      <c r="A117" s="53">
        <v>2002.12</v>
      </c>
      <c r="B117" s="1845">
        <v>59.979705505174699</v>
      </c>
      <c r="C117" s="3645">
        <v>70.893945221054096</v>
      </c>
      <c r="D117" s="1845">
        <v>74.321938989658506</v>
      </c>
      <c r="E117" s="3645">
        <v>57.661419095636099</v>
      </c>
      <c r="F117" s="1845">
        <v>82.591849056694201</v>
      </c>
      <c r="G117" s="3645">
        <v>50.9031997396918</v>
      </c>
      <c r="H117" s="1845">
        <v>88.547240404932197</v>
      </c>
      <c r="I117" s="3645">
        <v>64.439521469828605</v>
      </c>
      <c r="J117" s="1845">
        <v>64.004756712435693</v>
      </c>
      <c r="K117" s="3645">
        <v>42.395815655514703</v>
      </c>
      <c r="L117" s="1845">
        <v>84.528901277751302</v>
      </c>
      <c r="M117" s="3645">
        <v>18.260568275129401</v>
      </c>
      <c r="N117" s="1846">
        <v>44.337387967002698</v>
      </c>
    </row>
    <row r="118" spans="1:14">
      <c r="A118" s="53">
        <v>2003.01</v>
      </c>
      <c r="B118" s="1845">
        <v>58.817579862715299</v>
      </c>
      <c r="C118" s="3645">
        <v>67.522007181543401</v>
      </c>
      <c r="D118" s="1845">
        <v>71.855478999667994</v>
      </c>
      <c r="E118" s="3645">
        <v>67.865366830698406</v>
      </c>
      <c r="F118" s="1845">
        <v>74.548174960987396</v>
      </c>
      <c r="G118" s="3645">
        <v>50.402325565044698</v>
      </c>
      <c r="H118" s="1845">
        <v>88.220632500670504</v>
      </c>
      <c r="I118" s="3645">
        <v>66.858164434071696</v>
      </c>
      <c r="J118" s="1845">
        <v>58.022515804278299</v>
      </c>
      <c r="K118" s="3645">
        <v>41.8564097300371</v>
      </c>
      <c r="L118" s="1845">
        <v>81.265301103061205</v>
      </c>
      <c r="M118" s="3645">
        <v>13.6804711000319</v>
      </c>
      <c r="N118" s="1846">
        <v>44.500815615834902</v>
      </c>
    </row>
    <row r="119" spans="1:14">
      <c r="A119" s="53">
        <v>2003.02</v>
      </c>
      <c r="B119" s="1845">
        <v>61.1094290471286</v>
      </c>
      <c r="C119" s="3645">
        <v>67.269229360645795</v>
      </c>
      <c r="D119" s="1845">
        <v>66.910983178649005</v>
      </c>
      <c r="E119" s="3645">
        <v>72.3132931061336</v>
      </c>
      <c r="F119" s="1845">
        <v>83.949053011986393</v>
      </c>
      <c r="G119" s="3645">
        <v>51.066947281066703</v>
      </c>
      <c r="H119" s="1845">
        <v>85.964265906920602</v>
      </c>
      <c r="I119" s="3645">
        <v>67.9753430799434</v>
      </c>
      <c r="J119" s="1845">
        <v>59.724182994171201</v>
      </c>
      <c r="K119" s="3645">
        <v>44.952248674152997</v>
      </c>
      <c r="L119" s="1845">
        <v>91.929877327653998</v>
      </c>
      <c r="M119" s="3645">
        <v>16.827452757502801</v>
      </c>
      <c r="N119" s="1846">
        <v>49.614761634603603</v>
      </c>
    </row>
    <row r="120" spans="1:14">
      <c r="A120" s="53">
        <v>2003.03</v>
      </c>
      <c r="B120" s="1845">
        <v>61.804461970214597</v>
      </c>
      <c r="C120" s="3645">
        <v>62.532498250178101</v>
      </c>
      <c r="D120" s="1845">
        <v>64.361980176192702</v>
      </c>
      <c r="E120" s="3645">
        <v>75.977740369926394</v>
      </c>
      <c r="F120" s="1845">
        <v>85.453796725668894</v>
      </c>
      <c r="G120" s="3645">
        <v>54.107432065025399</v>
      </c>
      <c r="H120" s="1845">
        <v>86.564315413021106</v>
      </c>
      <c r="I120" s="3645">
        <v>67.952642314100999</v>
      </c>
      <c r="J120" s="1845">
        <v>56.468828040006699</v>
      </c>
      <c r="K120" s="3645">
        <v>45.743472681198803</v>
      </c>
      <c r="L120" s="1845">
        <v>95.806068896371201</v>
      </c>
      <c r="M120" s="3645">
        <v>21.3374855334167</v>
      </c>
      <c r="N120" s="1846">
        <v>55.851236163023401</v>
      </c>
    </row>
    <row r="121" spans="1:14">
      <c r="A121" s="53">
        <v>2003.04</v>
      </c>
      <c r="B121" s="1845">
        <v>63.190907964713901</v>
      </c>
      <c r="C121" s="3645">
        <v>64.931413642204006</v>
      </c>
      <c r="D121" s="1845">
        <v>72.639020241647799</v>
      </c>
      <c r="E121" s="3645">
        <v>76.526109046600695</v>
      </c>
      <c r="F121" s="1845">
        <v>80.455811833988506</v>
      </c>
      <c r="G121" s="3645">
        <v>58.058585231205598</v>
      </c>
      <c r="H121" s="1845">
        <v>88.219543308065994</v>
      </c>
      <c r="I121" s="3645">
        <v>67.005473222957406</v>
      </c>
      <c r="J121" s="1845">
        <v>53.689414004149199</v>
      </c>
      <c r="K121" s="3645">
        <v>45.0058862298742</v>
      </c>
      <c r="L121" s="1845">
        <v>94.769135489066699</v>
      </c>
      <c r="M121" s="3645">
        <v>24.660791363782401</v>
      </c>
      <c r="N121" s="1846">
        <v>59.245380752899898</v>
      </c>
    </row>
    <row r="122" spans="1:14">
      <c r="A122" s="53">
        <v>2003.05</v>
      </c>
      <c r="B122" s="1845">
        <v>64.165113525798404</v>
      </c>
      <c r="C122" s="3645">
        <v>65.259269643315506</v>
      </c>
      <c r="D122" s="1845">
        <v>68.045229839705996</v>
      </c>
      <c r="E122" s="3645">
        <v>79.972202095938499</v>
      </c>
      <c r="F122" s="1845">
        <v>87.3024303051847</v>
      </c>
      <c r="G122" s="3645">
        <v>61.096314883415801</v>
      </c>
      <c r="H122" s="1845">
        <v>88.381771542212107</v>
      </c>
      <c r="I122" s="3645">
        <v>76.480284040646595</v>
      </c>
      <c r="J122" s="1845">
        <v>54.3212887718581</v>
      </c>
      <c r="K122" s="3645">
        <v>37.3574064572189</v>
      </c>
      <c r="L122" s="1845">
        <v>95.670116800000002</v>
      </c>
      <c r="M122" s="3645">
        <v>22.194712227404199</v>
      </c>
      <c r="N122" s="1846">
        <v>55.120548512289403</v>
      </c>
    </row>
    <row r="123" spans="1:14">
      <c r="A123" s="53">
        <v>2003.06</v>
      </c>
      <c r="B123" s="1845">
        <v>64.268923452852903</v>
      </c>
      <c r="C123" s="3645">
        <v>66.110770252777598</v>
      </c>
      <c r="D123" s="1845">
        <v>67.037368878181397</v>
      </c>
      <c r="E123" s="3645">
        <v>77.117947040370794</v>
      </c>
      <c r="F123" s="1845">
        <v>88.005209792968699</v>
      </c>
      <c r="G123" s="3645">
        <v>61.024656935207403</v>
      </c>
      <c r="H123" s="1845">
        <v>90.2782042965231</v>
      </c>
      <c r="I123" s="3645">
        <v>74.166772100405296</v>
      </c>
      <c r="J123" s="1845">
        <v>58.376028520298597</v>
      </c>
      <c r="K123" s="3645">
        <v>41.966053850651598</v>
      </c>
      <c r="L123" s="1845">
        <v>92.888719104000003</v>
      </c>
      <c r="M123" s="3645">
        <v>21.758682681535099</v>
      </c>
      <c r="N123" s="1846">
        <v>55.608637122196498</v>
      </c>
    </row>
    <row r="124" spans="1:14">
      <c r="A124" s="53">
        <v>2003.07</v>
      </c>
      <c r="B124" s="1845">
        <v>65.9801371206037</v>
      </c>
      <c r="C124" s="3645">
        <v>68.8833147376141</v>
      </c>
      <c r="D124" s="1845">
        <v>67.075042855321001</v>
      </c>
      <c r="E124" s="3645">
        <v>75.378927016827902</v>
      </c>
      <c r="F124" s="1845">
        <v>85.212327592196104</v>
      </c>
      <c r="G124" s="3645">
        <v>62.576117877523401</v>
      </c>
      <c r="H124" s="1845">
        <v>87.433322393460998</v>
      </c>
      <c r="I124" s="3645">
        <v>78.341180375826298</v>
      </c>
      <c r="J124" s="1845">
        <v>65.475506800286297</v>
      </c>
      <c r="K124" s="3645">
        <v>47.458668590263301</v>
      </c>
      <c r="L124" s="1845">
        <v>93.767795743999997</v>
      </c>
      <c r="M124" s="3645">
        <v>18.617956969636399</v>
      </c>
      <c r="N124" s="1846">
        <v>56.485716484086602</v>
      </c>
    </row>
    <row r="125" spans="1:14">
      <c r="A125" s="53">
        <v>2003.08</v>
      </c>
      <c r="B125" s="1845">
        <v>66.222465384065998</v>
      </c>
      <c r="C125" s="3645">
        <v>68.497575943814695</v>
      </c>
      <c r="D125" s="1845">
        <v>59.058029384569998</v>
      </c>
      <c r="E125" s="3645">
        <v>76.628423819394001</v>
      </c>
      <c r="F125" s="1845">
        <v>86.794096226052204</v>
      </c>
      <c r="G125" s="3645">
        <v>65.2</v>
      </c>
      <c r="H125" s="1845">
        <v>87.976376411006598</v>
      </c>
      <c r="I125" s="3645">
        <v>73.709680622294101</v>
      </c>
      <c r="J125" s="1845">
        <v>65.043899999999994</v>
      </c>
      <c r="K125" s="3645">
        <v>50.509763740173497</v>
      </c>
      <c r="L125" s="1845">
        <v>94.685678800000005</v>
      </c>
      <c r="M125" s="3645">
        <v>23.830984921134501</v>
      </c>
      <c r="N125" s="1846">
        <v>58.623104020554401</v>
      </c>
    </row>
    <row r="126" spans="1:14">
      <c r="A126" s="53">
        <v>2003.09</v>
      </c>
      <c r="B126" s="1845">
        <v>67.421242128469402</v>
      </c>
      <c r="C126" s="3645">
        <v>73.134520987380199</v>
      </c>
      <c r="D126" s="1845">
        <v>71.278087377481299</v>
      </c>
      <c r="E126" s="3645">
        <v>76.814050658823405</v>
      </c>
      <c r="F126" s="1845">
        <v>82.440128187089002</v>
      </c>
      <c r="G126" s="3645">
        <v>71.427403805136095</v>
      </c>
      <c r="H126" s="1845">
        <v>84.549362473736693</v>
      </c>
      <c r="I126" s="3645">
        <v>75.611605267264096</v>
      </c>
      <c r="J126" s="1845">
        <v>59.806820584926903</v>
      </c>
      <c r="K126" s="3645">
        <v>53.047430031446801</v>
      </c>
      <c r="L126" s="1845">
        <v>91.512978399466604</v>
      </c>
      <c r="M126" s="3645">
        <v>25.979499405087601</v>
      </c>
      <c r="N126" s="1846">
        <v>56.033785856663698</v>
      </c>
    </row>
    <row r="127" spans="1:14">
      <c r="A127" s="53">
        <v>2003.1</v>
      </c>
      <c r="B127" s="1845">
        <v>69.541686990459397</v>
      </c>
      <c r="C127" s="3645">
        <v>74.166993037452997</v>
      </c>
      <c r="D127" s="1845">
        <v>68.110113321695906</v>
      </c>
      <c r="E127" s="3645">
        <v>76.232053303624497</v>
      </c>
      <c r="F127" s="1845">
        <v>86.334521906245897</v>
      </c>
      <c r="G127" s="3645">
        <v>76.717498506953305</v>
      </c>
      <c r="H127" s="1845">
        <v>86.320356321261499</v>
      </c>
      <c r="I127" s="3645">
        <v>77.439193049442807</v>
      </c>
      <c r="J127" s="1845">
        <v>64.117643419572502</v>
      </c>
      <c r="K127" s="3645">
        <v>55.591018793116199</v>
      </c>
      <c r="L127" s="1845">
        <v>96.503784272000004</v>
      </c>
      <c r="M127" s="3645">
        <v>26.317232897353701</v>
      </c>
      <c r="N127" s="1846">
        <v>58.795930559271</v>
      </c>
    </row>
    <row r="128" spans="1:14">
      <c r="A128" s="53">
        <v>2003.11</v>
      </c>
      <c r="B128" s="1845">
        <v>69.865373909694398</v>
      </c>
      <c r="C128" s="3645">
        <v>71.228257987409805</v>
      </c>
      <c r="D128" s="1845">
        <v>76.007386796804198</v>
      </c>
      <c r="E128" s="3645">
        <v>75.792748544182302</v>
      </c>
      <c r="F128" s="1845">
        <v>88.321195212934498</v>
      </c>
      <c r="G128" s="3645">
        <v>80.967374797372202</v>
      </c>
      <c r="H128" s="1845">
        <v>90.859942369290806</v>
      </c>
      <c r="I128" s="3645">
        <v>78.985986122155794</v>
      </c>
      <c r="J128" s="1845">
        <v>66.750557019943102</v>
      </c>
      <c r="K128" s="3645">
        <v>55.125854521538699</v>
      </c>
      <c r="L128" s="1845">
        <v>92.448982005866696</v>
      </c>
      <c r="M128" s="3645">
        <v>30.753476112312502</v>
      </c>
      <c r="N128" s="1846">
        <v>58.081299999999999</v>
      </c>
    </row>
    <row r="129" spans="1:14">
      <c r="A129" s="53">
        <v>2003.12</v>
      </c>
      <c r="B129" s="1845">
        <v>66.601366877273406</v>
      </c>
      <c r="C129" s="3645">
        <v>74.686129754377603</v>
      </c>
      <c r="D129" s="1845">
        <v>75.635763683971405</v>
      </c>
      <c r="E129" s="3645">
        <v>60.6390054035123</v>
      </c>
      <c r="F129" s="1845">
        <v>82.412221303506996</v>
      </c>
      <c r="G129" s="3645">
        <v>74.930735290721799</v>
      </c>
      <c r="H129" s="1845">
        <v>86.372645140740502</v>
      </c>
      <c r="I129" s="3645">
        <v>73.7086316353992</v>
      </c>
      <c r="J129" s="1845">
        <v>62.487948989876301</v>
      </c>
      <c r="K129" s="3645">
        <v>50.118862462484401</v>
      </c>
      <c r="L129" s="1845">
        <v>91.608812200000003</v>
      </c>
      <c r="M129" s="3645">
        <v>20.9123637563725</v>
      </c>
      <c r="N129" s="1846">
        <v>54.279899999999998</v>
      </c>
    </row>
    <row r="130" spans="1:14">
      <c r="A130" s="53">
        <v>2004.01</v>
      </c>
      <c r="B130" s="1845">
        <v>65.669840267303996</v>
      </c>
      <c r="C130" s="3645">
        <v>72.756127633869099</v>
      </c>
      <c r="D130" s="1845">
        <v>69.893110627545695</v>
      </c>
      <c r="E130" s="3645">
        <v>68.319335138507199</v>
      </c>
      <c r="F130" s="1845">
        <v>82.290808668684804</v>
      </c>
      <c r="G130" s="3645">
        <v>75.389991410782599</v>
      </c>
      <c r="H130" s="1845">
        <v>90.792165922187195</v>
      </c>
      <c r="I130" s="3645">
        <v>73.703168803550398</v>
      </c>
      <c r="J130" s="1845">
        <v>68.965898444998999</v>
      </c>
      <c r="K130" s="3645">
        <v>47.088389864524899</v>
      </c>
      <c r="L130" s="1845">
        <v>86.174567976000006</v>
      </c>
      <c r="M130" s="3645">
        <v>18.466105120897399</v>
      </c>
      <c r="N130" s="1846">
        <v>50.772272081098102</v>
      </c>
    </row>
    <row r="131" spans="1:14">
      <c r="A131" s="53">
        <v>2004.02</v>
      </c>
      <c r="B131" s="1845">
        <v>67.104843171392602</v>
      </c>
      <c r="C131" s="3645">
        <v>71.098310725553304</v>
      </c>
      <c r="D131" s="1845">
        <v>70.749795333531495</v>
      </c>
      <c r="E131" s="3645">
        <v>78.6952027979994</v>
      </c>
      <c r="F131" s="1845">
        <v>86.238793760156597</v>
      </c>
      <c r="G131" s="3645">
        <v>78.390804597701205</v>
      </c>
      <c r="H131" s="1845">
        <v>82.093296982613495</v>
      </c>
      <c r="I131" s="3645">
        <v>74.555196143952799</v>
      </c>
      <c r="J131" s="1845">
        <v>64.962089356838206</v>
      </c>
      <c r="K131" s="3645">
        <v>49.068137972491002</v>
      </c>
      <c r="L131" s="1845">
        <v>94.752447870069005</v>
      </c>
      <c r="M131" s="3645">
        <v>23.204189572965799</v>
      </c>
      <c r="N131" s="1846">
        <v>55.1071756484695</v>
      </c>
    </row>
    <row r="132" spans="1:14">
      <c r="A132" s="53">
        <v>2004.03</v>
      </c>
      <c r="B132" s="1845">
        <v>71.039879533712707</v>
      </c>
      <c r="C132" s="3645">
        <v>74.572738309068995</v>
      </c>
      <c r="D132" s="1845">
        <v>83.099207402261399</v>
      </c>
      <c r="E132" s="3645">
        <v>77.693272534266598</v>
      </c>
      <c r="F132" s="1845">
        <v>86.630299009305105</v>
      </c>
      <c r="G132" s="3645">
        <v>74.022222222222197</v>
      </c>
      <c r="H132" s="1845">
        <v>91.292687436411001</v>
      </c>
      <c r="I132" s="3645">
        <v>79.268315413572907</v>
      </c>
      <c r="J132" s="1845">
        <v>65.482768564896404</v>
      </c>
      <c r="K132" s="3645">
        <v>50.409379531407602</v>
      </c>
      <c r="L132" s="1845">
        <v>93.092694399999999</v>
      </c>
      <c r="M132" s="3645">
        <v>34.036288116347897</v>
      </c>
      <c r="N132" s="1846">
        <v>61.8403093120858</v>
      </c>
    </row>
    <row r="133" spans="1:14">
      <c r="A133" s="53">
        <v>2004.04</v>
      </c>
      <c r="B133" s="1845">
        <v>68.392055548120098</v>
      </c>
      <c r="C133" s="3645">
        <v>72.808476574791896</v>
      </c>
      <c r="D133" s="1845">
        <v>56.730177087202101</v>
      </c>
      <c r="E133" s="3645">
        <v>80.404815655882999</v>
      </c>
      <c r="F133" s="1845">
        <v>84.8477342945625</v>
      </c>
      <c r="G133" s="3645">
        <v>71.583209876543194</v>
      </c>
      <c r="H133" s="1845">
        <v>85.080517782305805</v>
      </c>
      <c r="I133" s="3645">
        <v>74.338069147130199</v>
      </c>
      <c r="J133" s="1845">
        <v>63.058795319483998</v>
      </c>
      <c r="K133" s="3645">
        <v>48.3724330228074</v>
      </c>
      <c r="L133" s="1845">
        <v>90.8186424362667</v>
      </c>
      <c r="M133" s="3645">
        <v>32.5587747409743</v>
      </c>
      <c r="N133" s="1846">
        <v>61.151505146734003</v>
      </c>
    </row>
    <row r="134" spans="1:14">
      <c r="A134" s="53">
        <v>2004.05</v>
      </c>
      <c r="B134" s="1845">
        <v>68.917114461902401</v>
      </c>
      <c r="C134" s="3645">
        <v>71.233942431592794</v>
      </c>
      <c r="D134" s="1845">
        <v>63.175239541145899</v>
      </c>
      <c r="E134" s="3645">
        <v>79.609871126905404</v>
      </c>
      <c r="F134" s="1845">
        <v>77.160724720413896</v>
      </c>
      <c r="G134" s="3645">
        <v>66.785185185185199</v>
      </c>
      <c r="H134" s="1845">
        <v>86.698733736444396</v>
      </c>
      <c r="I134" s="3645">
        <v>76.721123094180001</v>
      </c>
      <c r="J134" s="1845">
        <v>64.900599396477105</v>
      </c>
      <c r="K134" s="3645">
        <v>50.636743360985399</v>
      </c>
      <c r="L134" s="1845">
        <v>93.524847432000001</v>
      </c>
      <c r="M134" s="3645">
        <v>32.997866888102401</v>
      </c>
      <c r="N134" s="1846">
        <v>64.246373493215501</v>
      </c>
    </row>
    <row r="135" spans="1:14">
      <c r="A135" s="53">
        <v>2004.06</v>
      </c>
      <c r="B135" s="1845">
        <v>70.844509150540901</v>
      </c>
      <c r="C135" s="3645">
        <v>73.475303133207206</v>
      </c>
      <c r="D135" s="1845">
        <v>59.270167371449503</v>
      </c>
      <c r="E135" s="3645">
        <v>83.606911616479294</v>
      </c>
      <c r="F135" s="1845">
        <v>81.732092599198197</v>
      </c>
      <c r="G135" s="3645">
        <v>73.075802469135795</v>
      </c>
      <c r="H135" s="1845">
        <v>89.618468930743802</v>
      </c>
      <c r="I135" s="3645">
        <v>79.567755289736894</v>
      </c>
      <c r="J135" s="1845">
        <v>63.705379502066201</v>
      </c>
      <c r="K135" s="3645">
        <v>52.239953220631797</v>
      </c>
      <c r="L135" s="1845">
        <v>91.750298034133294</v>
      </c>
      <c r="M135" s="3645">
        <v>35.616212014625297</v>
      </c>
      <c r="N135" s="1846">
        <v>64.174230987693306</v>
      </c>
    </row>
    <row r="136" spans="1:14">
      <c r="A136" s="53">
        <v>2004.07</v>
      </c>
      <c r="B136" s="1845">
        <v>71.456338038664995</v>
      </c>
      <c r="C136" s="3645">
        <v>74.819382180038801</v>
      </c>
      <c r="D136" s="1845">
        <v>59.897914652693501</v>
      </c>
      <c r="E136" s="3645">
        <v>81.2332943698365</v>
      </c>
      <c r="F136" s="1845">
        <v>83.807418356181103</v>
      </c>
      <c r="G136" s="3645">
        <v>71.614814814814807</v>
      </c>
      <c r="H136" s="1845">
        <v>91.734118545210904</v>
      </c>
      <c r="I136" s="3645">
        <v>80.862602124957107</v>
      </c>
      <c r="J136" s="1845">
        <v>66.366850077472407</v>
      </c>
      <c r="K136" s="3645">
        <v>52.425438578603803</v>
      </c>
      <c r="L136" s="1845">
        <v>94.480300008</v>
      </c>
      <c r="M136" s="3645">
        <v>32.522371200131801</v>
      </c>
      <c r="N136" s="1846">
        <v>64.368971707163098</v>
      </c>
    </row>
    <row r="137" spans="1:14">
      <c r="A137" s="53">
        <v>2004.08</v>
      </c>
      <c r="B137" s="1845">
        <v>71.479216363106502</v>
      </c>
      <c r="C137" s="3645">
        <v>73.5830854731214</v>
      </c>
      <c r="D137" s="1845">
        <v>60.242206631733403</v>
      </c>
      <c r="E137" s="3645">
        <v>81.328523117998898</v>
      </c>
      <c r="F137" s="1845">
        <v>86.961851049003002</v>
      </c>
      <c r="G137" s="3645">
        <v>68.3986013986014</v>
      </c>
      <c r="H137" s="1845">
        <v>89.178684026812107</v>
      </c>
      <c r="I137" s="3645">
        <v>79.191016746120795</v>
      </c>
      <c r="J137" s="1845">
        <v>71.005171680372598</v>
      </c>
      <c r="K137" s="3645">
        <v>52.892113058941298</v>
      </c>
      <c r="L137" s="1845">
        <v>93.861718632000006</v>
      </c>
      <c r="M137" s="3645">
        <v>36.1499431422301</v>
      </c>
      <c r="N137" s="1846">
        <v>66.758412290943497</v>
      </c>
    </row>
    <row r="138" spans="1:14">
      <c r="A138" s="53">
        <v>2004.09</v>
      </c>
      <c r="B138" s="1845">
        <v>71.810514222883995</v>
      </c>
      <c r="C138" s="3645">
        <v>75.393963079424495</v>
      </c>
      <c r="D138" s="1845">
        <v>67.2487512924735</v>
      </c>
      <c r="E138" s="3645">
        <v>84.200008591097998</v>
      </c>
      <c r="F138" s="1845">
        <v>82.149079007111396</v>
      </c>
      <c r="G138" s="3645">
        <v>72.029836829836796</v>
      </c>
      <c r="H138" s="1845">
        <v>92.590981421375204</v>
      </c>
      <c r="I138" s="3645">
        <v>76.879506775446899</v>
      </c>
      <c r="J138" s="1845">
        <v>71.478064646464603</v>
      </c>
      <c r="K138" s="3645">
        <v>57.402981083102297</v>
      </c>
      <c r="L138" s="1845">
        <v>92.258909449599997</v>
      </c>
      <c r="M138" s="3645">
        <v>39.046120910520003</v>
      </c>
      <c r="N138" s="1846">
        <v>63.064545276112298</v>
      </c>
    </row>
    <row r="139" spans="1:14">
      <c r="A139" s="53">
        <v>2004.1</v>
      </c>
      <c r="B139" s="1845">
        <v>70.628199762880001</v>
      </c>
      <c r="C139" s="3645">
        <v>72.783205988795302</v>
      </c>
      <c r="D139" s="1845">
        <v>58.686592960189998</v>
      </c>
      <c r="E139" s="3645">
        <v>79.4831694213335</v>
      </c>
      <c r="F139" s="1845">
        <v>85.637645258210895</v>
      </c>
      <c r="G139" s="3645">
        <v>69.069930069930095</v>
      </c>
      <c r="H139" s="1845">
        <v>93.717721216372198</v>
      </c>
      <c r="I139" s="3645">
        <v>77.718409809965394</v>
      </c>
      <c r="J139" s="1845">
        <v>65.802713861013203</v>
      </c>
      <c r="K139" s="3645">
        <v>56.877882879483401</v>
      </c>
      <c r="L139" s="1845">
        <v>98.127802740645194</v>
      </c>
      <c r="M139" s="3645">
        <v>38.590309721460002</v>
      </c>
      <c r="N139" s="1846">
        <v>60.816125012622301</v>
      </c>
    </row>
    <row r="140" spans="1:14">
      <c r="A140" s="53">
        <v>2004.11</v>
      </c>
      <c r="B140" s="1845">
        <v>70.425364025325905</v>
      </c>
      <c r="C140" s="3645">
        <v>70.721313671544607</v>
      </c>
      <c r="D140" s="1845">
        <v>74.101690958313995</v>
      </c>
      <c r="E140" s="3645">
        <v>78.765740249716401</v>
      </c>
      <c r="F140" s="1845">
        <v>86.216645626837106</v>
      </c>
      <c r="G140" s="3645">
        <v>73.496736596736596</v>
      </c>
      <c r="H140" s="1845">
        <v>83.153613223659505</v>
      </c>
      <c r="I140" s="3645">
        <v>74.8784843111697</v>
      </c>
      <c r="J140" s="1845">
        <v>66.860093785663906</v>
      </c>
      <c r="K140" s="3645">
        <v>57.0170760700125</v>
      </c>
      <c r="L140" s="1845">
        <v>97.844244802162194</v>
      </c>
      <c r="M140" s="3645">
        <v>45.744270168399296</v>
      </c>
      <c r="N140" s="1846">
        <v>62.306890817292498</v>
      </c>
    </row>
    <row r="141" spans="1:14">
      <c r="A141" s="53">
        <v>2004.12</v>
      </c>
      <c r="B141" s="1845">
        <v>68.517193491133895</v>
      </c>
      <c r="C141" s="3645">
        <v>74.141086096765207</v>
      </c>
      <c r="D141" s="1845">
        <v>64.578072279665193</v>
      </c>
      <c r="E141" s="3645">
        <v>61.012675891831599</v>
      </c>
      <c r="F141" s="1845">
        <v>81.249796731758806</v>
      </c>
      <c r="G141" s="3645">
        <v>74.689044289044304</v>
      </c>
      <c r="H141" s="1845">
        <v>91.149901435674195</v>
      </c>
      <c r="I141" s="3645">
        <v>75.312111501962306</v>
      </c>
      <c r="J141" s="1845">
        <v>62.505646597764503</v>
      </c>
      <c r="K141" s="3645">
        <v>54.306583947629797</v>
      </c>
      <c r="L141" s="1845">
        <v>93.974916163487407</v>
      </c>
      <c r="M141" s="3645">
        <v>34.952000779955803</v>
      </c>
      <c r="N141" s="1846">
        <v>55.9583104054907</v>
      </c>
    </row>
    <row r="142" spans="1:14">
      <c r="A142" s="53">
        <v>2005.01</v>
      </c>
      <c r="B142" s="1845">
        <v>68.318735992250197</v>
      </c>
      <c r="C142" s="3645">
        <v>70.236657041125795</v>
      </c>
      <c r="D142" s="1845">
        <v>60.6758683792225</v>
      </c>
      <c r="E142" s="3645">
        <v>63.309770260812698</v>
      </c>
      <c r="F142" s="1845">
        <v>80.267482547444601</v>
      </c>
      <c r="G142" s="3645">
        <v>77</v>
      </c>
      <c r="H142" s="1845">
        <v>84.759776794847994</v>
      </c>
      <c r="I142" s="3645">
        <v>74.045599182084104</v>
      </c>
      <c r="J142" s="1845">
        <v>62.775639479738501</v>
      </c>
      <c r="K142" s="3645">
        <v>55.840598708904302</v>
      </c>
      <c r="L142" s="1845">
        <v>85.376807052024603</v>
      </c>
      <c r="M142" s="3645">
        <v>33.043882599841503</v>
      </c>
      <c r="N142" s="1846">
        <v>51.847507331378303</v>
      </c>
    </row>
    <row r="143" spans="1:14">
      <c r="A143" s="53">
        <v>2005.02</v>
      </c>
      <c r="B143" s="1845">
        <v>72.308496459725404</v>
      </c>
      <c r="C143" s="3645">
        <v>72.334652828673995</v>
      </c>
      <c r="D143" s="1845">
        <v>65.115322492285301</v>
      </c>
      <c r="E143" s="3645">
        <v>77.000424619597695</v>
      </c>
      <c r="F143" s="1845">
        <v>86.384053175150399</v>
      </c>
      <c r="G143" s="3645">
        <v>81.103867256342895</v>
      </c>
      <c r="H143" s="1845">
        <v>92.010741808638898</v>
      </c>
      <c r="I143" s="3645">
        <v>77.639102286377394</v>
      </c>
      <c r="J143" s="1845">
        <v>63.7384429926867</v>
      </c>
      <c r="K143" s="3645">
        <v>57.324362882730199</v>
      </c>
      <c r="L143" s="1845">
        <v>95.215014065375499</v>
      </c>
      <c r="M143" s="3645">
        <v>21.8575178566776</v>
      </c>
      <c r="N143" s="1846">
        <v>59.415584415584398</v>
      </c>
    </row>
    <row r="144" spans="1:14">
      <c r="A144" s="53">
        <v>2005.03</v>
      </c>
      <c r="B144" s="1845">
        <v>73.160305765733497</v>
      </c>
      <c r="C144" s="3645">
        <v>69.290257795139695</v>
      </c>
      <c r="D144" s="1845">
        <v>60.951253740019197</v>
      </c>
      <c r="E144" s="3645">
        <v>76.657231673577002</v>
      </c>
      <c r="F144" s="1845">
        <v>84.975728842559107</v>
      </c>
      <c r="G144" s="3645">
        <v>78.584551591128204</v>
      </c>
      <c r="H144" s="1845">
        <v>90.210347305274794</v>
      </c>
      <c r="I144" s="3645">
        <v>76.043793122300997</v>
      </c>
      <c r="J144" s="1845">
        <v>67.4250166675657</v>
      </c>
      <c r="K144" s="3645">
        <v>57.425808247039903</v>
      </c>
      <c r="L144" s="1845">
        <v>96.160147276351594</v>
      </c>
      <c r="M144" s="3645">
        <v>42.868237056137502</v>
      </c>
      <c r="N144" s="1846">
        <v>61.994134897360702</v>
      </c>
    </row>
    <row r="145" spans="1:14">
      <c r="A145" s="53">
        <v>2005.04</v>
      </c>
      <c r="B145" s="1845">
        <v>72.866326268040694</v>
      </c>
      <c r="C145" s="3645">
        <v>67.817813125539203</v>
      </c>
      <c r="D145" s="1845">
        <v>59.625096698705804</v>
      </c>
      <c r="E145" s="3645">
        <v>78.066525482358799</v>
      </c>
      <c r="F145" s="1845">
        <v>82.648795257609706</v>
      </c>
      <c r="G145" s="3645">
        <v>80.139517465429606</v>
      </c>
      <c r="H145" s="1845">
        <v>83.217504793546397</v>
      </c>
      <c r="I145" s="3645">
        <v>74.033244648463807</v>
      </c>
      <c r="J145" s="1845">
        <v>68.103546386877099</v>
      </c>
      <c r="K145" s="3645">
        <v>61.568504061587298</v>
      </c>
      <c r="L145" s="1845">
        <v>97.620594054572393</v>
      </c>
      <c r="M145" s="3645">
        <v>43.734508393910197</v>
      </c>
      <c r="N145" s="1846">
        <v>66.091954022988503</v>
      </c>
    </row>
    <row r="146" spans="1:14">
      <c r="A146" s="53">
        <v>2005.05</v>
      </c>
      <c r="B146" s="1845">
        <v>72.520698762256202</v>
      </c>
      <c r="C146" s="3645">
        <v>67.344641052453497</v>
      </c>
      <c r="D146" s="1845">
        <v>61.5465097891258</v>
      </c>
      <c r="E146" s="3645">
        <v>77.924238143240601</v>
      </c>
      <c r="F146" s="1845">
        <v>82.074905706880102</v>
      </c>
      <c r="G146" s="3645">
        <v>77.640179782217601</v>
      </c>
      <c r="H146" s="1845">
        <v>82.313400791983398</v>
      </c>
      <c r="I146" s="3645">
        <v>77.388108270005603</v>
      </c>
      <c r="J146" s="1845">
        <v>65.538446966270797</v>
      </c>
      <c r="K146" s="3645">
        <v>59.359940741912297</v>
      </c>
      <c r="L146" s="1845">
        <v>98.5237267556993</v>
      </c>
      <c r="M146" s="3645">
        <v>40.915637021342</v>
      </c>
      <c r="N146" s="1846">
        <v>64.349276974416</v>
      </c>
    </row>
    <row r="147" spans="1:14">
      <c r="A147" s="53">
        <v>2005.06</v>
      </c>
      <c r="B147" s="1845">
        <v>73.070211282229195</v>
      </c>
      <c r="C147" s="3645">
        <v>69.688757073792203</v>
      </c>
      <c r="D147" s="1845">
        <v>60.489736119976399</v>
      </c>
      <c r="E147" s="3645">
        <v>82.170517584756197</v>
      </c>
      <c r="F147" s="1845">
        <v>78.864762789728999</v>
      </c>
      <c r="G147" s="3645">
        <v>77.711336532220898</v>
      </c>
      <c r="H147" s="1845">
        <v>84.561690172847904</v>
      </c>
      <c r="I147" s="3645">
        <v>78.601429502707205</v>
      </c>
      <c r="J147" s="1845">
        <v>68.108731880063701</v>
      </c>
      <c r="K147" s="3645">
        <v>58.782665096969303</v>
      </c>
      <c r="L147" s="1845">
        <v>93.3300796105449</v>
      </c>
      <c r="M147" s="3645">
        <v>42.117823054810103</v>
      </c>
      <c r="N147" s="1846">
        <v>64.885057471264403</v>
      </c>
    </row>
    <row r="148" spans="1:14">
      <c r="A148" s="53">
        <v>2005.07</v>
      </c>
      <c r="B148" s="1845">
        <v>72.116858062621006</v>
      </c>
      <c r="C148" s="3645">
        <v>68.731147819347399</v>
      </c>
      <c r="D148" s="1845">
        <v>59.665415939991703</v>
      </c>
      <c r="E148" s="3645">
        <v>80.180535481695998</v>
      </c>
      <c r="F148" s="1845">
        <v>81.0621318210666</v>
      </c>
      <c r="G148" s="3645">
        <v>74.574607011586494</v>
      </c>
      <c r="H148" s="1845">
        <v>83.417452077623807</v>
      </c>
      <c r="I148" s="3645">
        <v>78.0770659622371</v>
      </c>
      <c r="J148" s="1845">
        <v>67.902503986085804</v>
      </c>
      <c r="K148" s="3645">
        <v>61.9503686386849</v>
      </c>
      <c r="L148" s="1845">
        <v>93.420361101335203</v>
      </c>
      <c r="M148" s="3645">
        <v>42.507780647514601</v>
      </c>
      <c r="N148" s="1846">
        <v>61.012235817575103</v>
      </c>
    </row>
    <row r="149" spans="1:14">
      <c r="A149" s="53">
        <v>2005.08</v>
      </c>
      <c r="B149" s="1845">
        <v>74.314661902584703</v>
      </c>
      <c r="C149" s="3645">
        <v>71.521262487349503</v>
      </c>
      <c r="D149" s="1845">
        <v>55.409652941218603</v>
      </c>
      <c r="E149" s="3645">
        <v>82.729113274900996</v>
      </c>
      <c r="F149" s="1845">
        <v>81.598975460694902</v>
      </c>
      <c r="G149" s="3645">
        <v>75.407490937853893</v>
      </c>
      <c r="H149" s="1845">
        <v>90.480078482722703</v>
      </c>
      <c r="I149" s="3645">
        <v>77.672219647508498</v>
      </c>
      <c r="J149" s="1845">
        <v>68.335215975018997</v>
      </c>
      <c r="K149" s="3645">
        <v>62.984666403438901</v>
      </c>
      <c r="L149" s="1845">
        <v>95.158526997636997</v>
      </c>
      <c r="M149" s="3645">
        <v>45.952823599714598</v>
      </c>
      <c r="N149" s="1846">
        <v>63.7931034482759</v>
      </c>
    </row>
    <row r="150" spans="1:14">
      <c r="A150" s="53">
        <v>2005.09</v>
      </c>
      <c r="B150" s="1845">
        <v>75.747818819954105</v>
      </c>
      <c r="C150" s="3645">
        <v>75.828248531140702</v>
      </c>
      <c r="D150" s="1845">
        <v>58.524049536935898</v>
      </c>
      <c r="E150" s="3645">
        <v>84.812736802873403</v>
      </c>
      <c r="F150" s="1845">
        <v>76.050555940763999</v>
      </c>
      <c r="G150" s="3645">
        <v>78.960771440696504</v>
      </c>
      <c r="H150" s="1845">
        <v>93.6103122232186</v>
      </c>
      <c r="I150" s="3645">
        <v>79.312726266303002</v>
      </c>
      <c r="J150" s="1845">
        <v>70.686166028768397</v>
      </c>
      <c r="K150" s="3645">
        <v>67.251165217096002</v>
      </c>
      <c r="L150" s="1845">
        <v>87.694163163281601</v>
      </c>
      <c r="M150" s="3645">
        <v>47.127962620393802</v>
      </c>
      <c r="N150" s="1846">
        <v>66.321839080459796</v>
      </c>
    </row>
    <row r="151" spans="1:14">
      <c r="A151" s="53">
        <v>2005.1</v>
      </c>
      <c r="B151" s="1845">
        <v>74.000191245929599</v>
      </c>
      <c r="C151" s="3645">
        <v>74.010043998939096</v>
      </c>
      <c r="D151" s="1845">
        <v>57.073918818585902</v>
      </c>
      <c r="E151" s="3645">
        <v>81.333090904865998</v>
      </c>
      <c r="F151" s="1845">
        <v>78.6382260705672</v>
      </c>
      <c r="G151" s="3645">
        <v>77.571432353763399</v>
      </c>
      <c r="H151" s="1845">
        <v>89.848579513304799</v>
      </c>
      <c r="I151" s="3645">
        <v>77.574512207696998</v>
      </c>
      <c r="J151" s="1845">
        <v>66.573507855002106</v>
      </c>
      <c r="K151" s="3645">
        <v>64.438324071876394</v>
      </c>
      <c r="L151" s="1845">
        <v>92.356085738461999</v>
      </c>
      <c r="M151" s="3645">
        <v>44.559277942142899</v>
      </c>
      <c r="N151" s="1846">
        <v>61.512791991101203</v>
      </c>
    </row>
    <row r="152" spans="1:14">
      <c r="A152" s="53">
        <v>2005.11</v>
      </c>
      <c r="B152" s="1845">
        <v>74.776075799346501</v>
      </c>
      <c r="C152" s="3645">
        <v>73.253773658294094</v>
      </c>
      <c r="D152" s="1845">
        <v>66.194322663495598</v>
      </c>
      <c r="E152" s="3645">
        <v>79.054873628959498</v>
      </c>
      <c r="F152" s="1845">
        <v>80.446490286982097</v>
      </c>
      <c r="G152" s="3645">
        <v>78.264575630185305</v>
      </c>
      <c r="H152" s="1845">
        <v>91.080544491050304</v>
      </c>
      <c r="I152" s="3645">
        <v>74.359134831974799</v>
      </c>
      <c r="J152" s="1845">
        <v>67.904119897824501</v>
      </c>
      <c r="K152" s="3645">
        <v>63.993870036865303</v>
      </c>
      <c r="L152" s="1845">
        <v>96.695739082399896</v>
      </c>
      <c r="M152" s="3645">
        <v>53.528738384526399</v>
      </c>
      <c r="N152" s="1846">
        <v>61.781609195402297</v>
      </c>
    </row>
    <row r="153" spans="1:14">
      <c r="A153" s="53">
        <v>2005.12</v>
      </c>
      <c r="B153" s="1845">
        <v>70.975469603590398</v>
      </c>
      <c r="C153" s="3645">
        <v>73.479828170716303</v>
      </c>
      <c r="D153" s="1845">
        <v>66.160879415215703</v>
      </c>
      <c r="E153" s="3645">
        <v>71.010152871423301</v>
      </c>
      <c r="F153" s="1845">
        <v>74.419052398459002</v>
      </c>
      <c r="G153" s="3645">
        <v>72.083412137488196</v>
      </c>
      <c r="H153" s="1845">
        <v>92.5755882144949</v>
      </c>
      <c r="I153" s="3645">
        <v>71.713761474273596</v>
      </c>
      <c r="J153" s="1845">
        <v>63.745645138597602</v>
      </c>
      <c r="K153" s="3645">
        <v>62.002303549518103</v>
      </c>
      <c r="L153" s="1845">
        <v>93.397331305624803</v>
      </c>
      <c r="M153" s="3645">
        <v>33.864642207479903</v>
      </c>
      <c r="N153" s="1846">
        <v>56.507230255839801</v>
      </c>
    </row>
    <row r="154" spans="1:14">
      <c r="A154" s="53">
        <v>2006.01</v>
      </c>
      <c r="B154" s="1845">
        <v>67.517537544902098</v>
      </c>
      <c r="C154" s="3645">
        <v>69.872455907700996</v>
      </c>
      <c r="D154" s="1845">
        <v>65.435262270719505</v>
      </c>
      <c r="E154" s="3645">
        <v>66.437823408009294</v>
      </c>
      <c r="F154" s="1845">
        <v>77.886157439211004</v>
      </c>
      <c r="G154" s="3645">
        <v>70.049116205114501</v>
      </c>
      <c r="H154" s="1845">
        <v>91.277413780425704</v>
      </c>
      <c r="I154" s="3645">
        <v>74.002518721118093</v>
      </c>
      <c r="J154" s="1845">
        <v>64.222044121258193</v>
      </c>
      <c r="K154" s="3645">
        <v>59.9409014292495</v>
      </c>
      <c r="L154" s="1845">
        <v>82.794851008593099</v>
      </c>
      <c r="M154" s="3645">
        <v>18.030854920495401</v>
      </c>
      <c r="N154" s="1846">
        <v>53.170189098998897</v>
      </c>
    </row>
    <row r="155" spans="1:14">
      <c r="A155" s="53">
        <v>2006.02</v>
      </c>
      <c r="B155" s="1845">
        <v>73.521538114939702</v>
      </c>
      <c r="C155" s="3645">
        <v>71.576835412477706</v>
      </c>
      <c r="D155" s="1845">
        <v>74.484998266063897</v>
      </c>
      <c r="E155" s="3645">
        <v>77.704091275017106</v>
      </c>
      <c r="F155" s="1845">
        <v>78.151704908615997</v>
      </c>
      <c r="G155" s="3645">
        <v>76.439113522319303</v>
      </c>
      <c r="H155" s="1845">
        <v>94.170076450522501</v>
      </c>
      <c r="I155" s="3645">
        <v>74.858704429042703</v>
      </c>
      <c r="J155" s="1845">
        <v>61.562807348918199</v>
      </c>
      <c r="K155" s="3645">
        <v>61.893970568135899</v>
      </c>
      <c r="L155" s="1845">
        <v>96.651869880006998</v>
      </c>
      <c r="M155" s="3645">
        <v>47.340932933971899</v>
      </c>
      <c r="N155" s="1846">
        <v>59.236453201970399</v>
      </c>
    </row>
    <row r="156" spans="1:14">
      <c r="A156" s="53">
        <v>2006.03</v>
      </c>
      <c r="B156" s="1845">
        <v>74.018181576553303</v>
      </c>
      <c r="C156" s="3645">
        <v>70.109867861887906</v>
      </c>
      <c r="D156" s="1845">
        <v>67.887767144575605</v>
      </c>
      <c r="E156" s="3645">
        <v>79.531182601677003</v>
      </c>
      <c r="F156" s="1845">
        <v>78.883072918914394</v>
      </c>
      <c r="G156" s="3645">
        <v>75.222710373077305</v>
      </c>
      <c r="H156" s="1845">
        <v>92.8473639329154</v>
      </c>
      <c r="I156" s="3645">
        <v>74.625037545096504</v>
      </c>
      <c r="J156" s="1845">
        <v>64.966643275557203</v>
      </c>
      <c r="K156" s="3645">
        <v>61.319465729271499</v>
      </c>
      <c r="L156" s="1845">
        <v>97.800115886275407</v>
      </c>
      <c r="M156" s="3645">
        <v>51.988989367699098</v>
      </c>
      <c r="N156" s="1846">
        <v>62.471264367816097</v>
      </c>
    </row>
    <row r="157" spans="1:14">
      <c r="A157" s="53">
        <v>2006.04</v>
      </c>
      <c r="B157" s="1845">
        <v>73.488354619557697</v>
      </c>
      <c r="C157" s="3645">
        <v>65.3041590804322</v>
      </c>
      <c r="D157" s="1845">
        <v>59.52001644512</v>
      </c>
      <c r="E157" s="3645">
        <v>80.914311602256703</v>
      </c>
      <c r="F157" s="1845">
        <v>78.433033343240496</v>
      </c>
      <c r="G157" s="3645">
        <v>74.810633308134697</v>
      </c>
      <c r="H157" s="1845">
        <v>93.169552894696494</v>
      </c>
      <c r="I157" s="3645">
        <v>76.4766619516746</v>
      </c>
      <c r="J157" s="1845">
        <v>63.420064197628299</v>
      </c>
      <c r="K157" s="3645">
        <v>64.527485994095898</v>
      </c>
      <c r="L157" s="1845">
        <v>96.325503518333207</v>
      </c>
      <c r="M157" s="3645">
        <v>50.601798260796201</v>
      </c>
      <c r="N157" s="1846">
        <v>65.245901639344297</v>
      </c>
    </row>
    <row r="158" spans="1:14">
      <c r="A158" s="53">
        <v>2006.05</v>
      </c>
      <c r="B158" s="1845">
        <v>72.885808895912305</v>
      </c>
      <c r="C158" s="3645">
        <v>67.318021509487494</v>
      </c>
      <c r="D158" s="1845">
        <v>68.040998027603294</v>
      </c>
      <c r="E158" s="3645">
        <v>79.402752668253598</v>
      </c>
      <c r="F158" s="1845">
        <v>79.4249833454423</v>
      </c>
      <c r="G158" s="3645">
        <v>72.450962160486398</v>
      </c>
      <c r="H158" s="1845">
        <v>92.322264595325805</v>
      </c>
      <c r="I158" s="3645">
        <v>74.798955481927905</v>
      </c>
      <c r="J158" s="1845">
        <v>61.157583840368403</v>
      </c>
      <c r="K158" s="3645">
        <v>64.671324341767402</v>
      </c>
      <c r="L158" s="1845">
        <v>95.823459206735706</v>
      </c>
      <c r="M158" s="3645">
        <v>46.3604643730731</v>
      </c>
      <c r="N158" s="1846">
        <v>64.3574828133263</v>
      </c>
    </row>
    <row r="159" spans="1:14">
      <c r="A159" s="53">
        <v>2006.06</v>
      </c>
      <c r="B159" s="1845">
        <v>74.758492584040297</v>
      </c>
      <c r="C159" s="3645">
        <v>69.391533134446505</v>
      </c>
      <c r="D159" s="1845">
        <v>60.091166319834002</v>
      </c>
      <c r="E159" s="3645">
        <v>81.518961469783804</v>
      </c>
      <c r="F159" s="1845">
        <v>77.151127964875201</v>
      </c>
      <c r="G159" s="3645">
        <v>73.900396714456605</v>
      </c>
      <c r="H159" s="1845">
        <v>94.605823357380302</v>
      </c>
      <c r="I159" s="3645">
        <v>76.289045837952202</v>
      </c>
      <c r="J159" s="1845">
        <v>64.929642124490101</v>
      </c>
      <c r="K159" s="3645">
        <v>67.067520459776105</v>
      </c>
      <c r="L159" s="1845">
        <v>97.835609203977896</v>
      </c>
      <c r="M159" s="3645">
        <v>54.251793732265803</v>
      </c>
      <c r="N159" s="1846">
        <v>63.879781420764999</v>
      </c>
    </row>
    <row r="160" spans="1:14">
      <c r="A160" s="53">
        <v>2006.07</v>
      </c>
      <c r="B160" s="1845">
        <v>73.713858166517596</v>
      </c>
      <c r="C160" s="3645">
        <v>69.061811043328305</v>
      </c>
      <c r="D160" s="1845">
        <v>66.679148420376904</v>
      </c>
      <c r="E160" s="3645">
        <v>82.533507553585594</v>
      </c>
      <c r="F160" s="1845">
        <v>79.410316553705499</v>
      </c>
      <c r="G160" s="3645">
        <v>72.544407081587707</v>
      </c>
      <c r="H160" s="1845">
        <v>92.197346651448797</v>
      </c>
      <c r="I160" s="3645">
        <v>76.656125160605001</v>
      </c>
      <c r="J160" s="1845">
        <v>64.619140503975899</v>
      </c>
      <c r="K160" s="3645">
        <v>63.385487090842098</v>
      </c>
      <c r="L160" s="1845">
        <v>93.987298093825999</v>
      </c>
      <c r="M160" s="3645">
        <v>55.123901030939997</v>
      </c>
      <c r="N160" s="1846">
        <v>61.396086726599698</v>
      </c>
    </row>
    <row r="161" spans="1:14">
      <c r="A161" s="53">
        <v>2006.08</v>
      </c>
      <c r="B161" s="1845">
        <v>74.5587994517997</v>
      </c>
      <c r="C161" s="3645">
        <v>72.561339639920405</v>
      </c>
      <c r="D161" s="1845">
        <v>66.123990498931306</v>
      </c>
      <c r="E161" s="3645">
        <v>83.586034928822798</v>
      </c>
      <c r="F161" s="1845">
        <v>78.0405350256312</v>
      </c>
      <c r="G161" s="3645">
        <v>71.715862114490093</v>
      </c>
      <c r="H161" s="1845">
        <v>97.070962717086104</v>
      </c>
      <c r="I161" s="3645">
        <v>72.300593576243102</v>
      </c>
      <c r="J161" s="1845">
        <v>64.813709062068796</v>
      </c>
      <c r="K161" s="3645">
        <v>66.646630061128505</v>
      </c>
      <c r="L161" s="1845">
        <v>91.269288594253595</v>
      </c>
      <c r="M161" s="3645">
        <v>60.588814606049297</v>
      </c>
      <c r="N161" s="1846">
        <v>62.799167533818903</v>
      </c>
    </row>
    <row r="162" spans="1:14">
      <c r="A162" s="53">
        <v>2006.09</v>
      </c>
      <c r="B162" s="1845">
        <v>76.040316486755202</v>
      </c>
      <c r="C162" s="3645">
        <v>74.697257907389996</v>
      </c>
      <c r="D162" s="1845">
        <v>67.962646239663599</v>
      </c>
      <c r="E162" s="3645">
        <v>85.757906974282093</v>
      </c>
      <c r="F162" s="1845">
        <v>78.979479163007497</v>
      </c>
      <c r="G162" s="3645">
        <v>75.191609965125295</v>
      </c>
      <c r="H162" s="1845">
        <v>86.539943922961896</v>
      </c>
      <c r="I162" s="3645">
        <v>77.890141263327706</v>
      </c>
      <c r="J162" s="1845">
        <v>63.753959898480602</v>
      </c>
      <c r="K162" s="3645">
        <v>69.493164868003404</v>
      </c>
      <c r="L162" s="1845">
        <v>96.563533244305205</v>
      </c>
      <c r="M162" s="3645">
        <v>61.004547333608897</v>
      </c>
      <c r="N162" s="1846">
        <v>64.126984126984098</v>
      </c>
    </row>
    <row r="163" spans="1:14">
      <c r="A163" s="53">
        <v>2006.1</v>
      </c>
      <c r="B163" s="1845">
        <v>75.246914907725198</v>
      </c>
      <c r="C163" s="3645">
        <v>74.417483297679993</v>
      </c>
      <c r="D163" s="1845">
        <v>64.462367775305495</v>
      </c>
      <c r="E163" s="3645">
        <v>81.928185697908702</v>
      </c>
      <c r="F163" s="1845">
        <v>80.185500236746194</v>
      </c>
      <c r="G163" s="3645">
        <v>75.082540488715793</v>
      </c>
      <c r="H163" s="1845">
        <v>87.371928597005805</v>
      </c>
      <c r="I163" s="3645">
        <v>80.172984750411203</v>
      </c>
      <c r="J163" s="1845">
        <v>62.8394283612663</v>
      </c>
      <c r="K163" s="3645">
        <v>67.148844813253007</v>
      </c>
      <c r="L163" s="1845">
        <v>94.741950251476496</v>
      </c>
      <c r="M163" s="3645">
        <v>56.469615543613102</v>
      </c>
      <c r="N163" s="1846">
        <v>60.931899641577097</v>
      </c>
    </row>
    <row r="164" spans="1:14">
      <c r="A164" s="53">
        <v>2006.11</v>
      </c>
      <c r="B164" s="1845">
        <v>76.182692165426104</v>
      </c>
      <c r="C164" s="3645">
        <v>76.973042222275097</v>
      </c>
      <c r="D164" s="1845">
        <v>72.363034529997506</v>
      </c>
      <c r="E164" s="3645">
        <v>83.968209222299095</v>
      </c>
      <c r="F164" s="1845">
        <v>81.304828717779003</v>
      </c>
      <c r="G164" s="3645">
        <v>78.316521026762899</v>
      </c>
      <c r="H164" s="1845">
        <v>95.732408888991202</v>
      </c>
      <c r="I164" s="3645">
        <v>79.330502112088396</v>
      </c>
      <c r="J164" s="1845">
        <v>66.112363761618894</v>
      </c>
      <c r="K164" s="3645">
        <v>71.988185771192093</v>
      </c>
      <c r="L164" s="1845">
        <v>84.191625503554704</v>
      </c>
      <c r="M164" s="3645">
        <v>62.065384615384602</v>
      </c>
      <c r="N164" s="1846">
        <v>59.788359788359799</v>
      </c>
    </row>
    <row r="165" spans="1:14">
      <c r="A165" s="53">
        <v>2006.12</v>
      </c>
      <c r="B165" s="1845">
        <v>72.178499760311894</v>
      </c>
      <c r="C165" s="3645">
        <v>73.101392649416695</v>
      </c>
      <c r="D165" s="1845">
        <v>61.765017786770201</v>
      </c>
      <c r="E165" s="3645">
        <v>73.994587760504203</v>
      </c>
      <c r="F165" s="1845">
        <v>77.612504894964005</v>
      </c>
      <c r="G165" s="3645">
        <v>71.296357925002596</v>
      </c>
      <c r="H165" s="1845">
        <v>95.8398852229261</v>
      </c>
      <c r="I165" s="3645">
        <v>79.950478090825897</v>
      </c>
      <c r="J165" s="1845">
        <v>64.451658082761</v>
      </c>
      <c r="K165" s="3645">
        <v>64.481023177140301</v>
      </c>
      <c r="L165" s="1845">
        <v>77.988365443843406</v>
      </c>
      <c r="M165" s="3645">
        <v>49.264267990074401</v>
      </c>
      <c r="N165" s="1846">
        <v>56.323604710701503</v>
      </c>
    </row>
    <row r="166" spans="1:14">
      <c r="A166" s="53">
        <v>2007.01</v>
      </c>
      <c r="B166" s="1845">
        <v>67.464813607056399</v>
      </c>
      <c r="C166" s="3645">
        <v>72.628133447833605</v>
      </c>
      <c r="D166" s="1845">
        <v>61.9545295270227</v>
      </c>
      <c r="E166" s="3645">
        <v>68.396296545206397</v>
      </c>
      <c r="F166" s="1845">
        <v>79.009114937599406</v>
      </c>
      <c r="G166" s="3645">
        <v>67.437596781793303</v>
      </c>
      <c r="H166" s="1845">
        <v>91.182087870670799</v>
      </c>
      <c r="I166" s="3645">
        <v>78.104827324739205</v>
      </c>
      <c r="J166" s="1845">
        <v>64.806875341793202</v>
      </c>
      <c r="K166" s="3645">
        <v>63.803356329764704</v>
      </c>
      <c r="L166" s="1845">
        <v>68.035003435827505</v>
      </c>
      <c r="M166" s="3645">
        <v>21.162531017369702</v>
      </c>
      <c r="N166" s="1846">
        <v>53.517665130568403</v>
      </c>
    </row>
    <row r="167" spans="1:14">
      <c r="A167" s="53">
        <v>2007.02</v>
      </c>
      <c r="B167" s="1845">
        <v>73.8349669346252</v>
      </c>
      <c r="C167" s="3645">
        <v>71.962704482482295</v>
      </c>
      <c r="D167" s="1845">
        <v>70.865939075485002</v>
      </c>
      <c r="E167" s="3645">
        <v>75.390302702700893</v>
      </c>
      <c r="F167" s="1845">
        <v>82.550893577797396</v>
      </c>
      <c r="G167" s="3645">
        <v>73.805935117221907</v>
      </c>
      <c r="H167" s="1845">
        <v>96.434714719608607</v>
      </c>
      <c r="I167" s="3645">
        <v>77.9891386223767</v>
      </c>
      <c r="J167" s="1845">
        <v>65.417080067761304</v>
      </c>
      <c r="K167" s="3645">
        <v>67.944649562730802</v>
      </c>
      <c r="L167" s="1845">
        <v>89.573664342724996</v>
      </c>
      <c r="M167" s="3645">
        <v>45.270408163265301</v>
      </c>
      <c r="N167" s="1846">
        <v>60.170068027210903</v>
      </c>
    </row>
    <row r="168" spans="1:14">
      <c r="A168" s="53">
        <v>2007.03</v>
      </c>
      <c r="B168" s="1845">
        <v>73.078269035902295</v>
      </c>
      <c r="C168" s="3645">
        <v>71.192481136696401</v>
      </c>
      <c r="D168" s="1845">
        <v>73.802560303986198</v>
      </c>
      <c r="E168" s="3645">
        <v>72.855134565910603</v>
      </c>
      <c r="F168" s="1845">
        <v>81.858420547434804</v>
      </c>
      <c r="G168" s="3645">
        <v>69.621002381634298</v>
      </c>
      <c r="H168" s="1845">
        <v>98.568211558486198</v>
      </c>
      <c r="I168" s="3645">
        <v>73.123657818152907</v>
      </c>
      <c r="J168" s="1845">
        <v>65.084661146850905</v>
      </c>
      <c r="K168" s="3645">
        <v>64.001439908403995</v>
      </c>
      <c r="L168" s="1845">
        <v>92.678335033104403</v>
      </c>
      <c r="M168" s="3645">
        <v>51.711981566820299</v>
      </c>
      <c r="N168" s="1846">
        <v>57.7377904566845</v>
      </c>
    </row>
    <row r="169" spans="1:14">
      <c r="A169" s="53">
        <v>2007.04</v>
      </c>
      <c r="B169" s="1845">
        <v>73.605078300078006</v>
      </c>
      <c r="C169" s="3645">
        <v>66.8071050750914</v>
      </c>
      <c r="D169" s="1845">
        <v>67.488677715102597</v>
      </c>
      <c r="E169" s="3645">
        <v>80.007306276305798</v>
      </c>
      <c r="F169" s="1845">
        <v>78.338413530224699</v>
      </c>
      <c r="G169" s="3645">
        <v>74.522878997934797</v>
      </c>
      <c r="H169" s="1845">
        <v>95.068243680769996</v>
      </c>
      <c r="I169" s="3645">
        <v>76.583820274535995</v>
      </c>
      <c r="J169" s="1845">
        <v>68.426554387981398</v>
      </c>
      <c r="K169" s="3645">
        <v>63.694817733946103</v>
      </c>
      <c r="L169" s="1845">
        <v>94.738345595338103</v>
      </c>
      <c r="M169" s="3645">
        <v>49.436904761904799</v>
      </c>
      <c r="N169" s="1846">
        <v>62.917611489040098</v>
      </c>
    </row>
    <row r="170" spans="1:14">
      <c r="A170" s="53">
        <v>2007.05</v>
      </c>
      <c r="B170" s="1845">
        <v>72.364984741987698</v>
      </c>
      <c r="C170" s="3645">
        <v>68.251861151714607</v>
      </c>
      <c r="D170" s="1845">
        <v>68.432993434713794</v>
      </c>
      <c r="E170" s="3645">
        <v>78.528800307247707</v>
      </c>
      <c r="F170" s="1845">
        <v>77.898036311645299</v>
      </c>
      <c r="G170" s="3645">
        <v>73.951524291568305</v>
      </c>
      <c r="H170" s="1845">
        <v>94.748874941040199</v>
      </c>
      <c r="I170" s="3645">
        <v>72.719379727735898</v>
      </c>
      <c r="J170" s="1845">
        <v>59.8800035675199</v>
      </c>
      <c r="K170" s="3645">
        <v>70.199696474883595</v>
      </c>
      <c r="L170" s="1845">
        <v>87.830898307046098</v>
      </c>
      <c r="M170" s="3645">
        <v>52.248847926267302</v>
      </c>
      <c r="N170" s="1846">
        <v>61.936459171482198</v>
      </c>
    </row>
    <row r="171" spans="1:14">
      <c r="A171" s="53">
        <v>2007.06</v>
      </c>
      <c r="B171" s="1845">
        <v>72.793919268983799</v>
      </c>
      <c r="C171" s="3645">
        <v>67.652368699152802</v>
      </c>
      <c r="D171" s="1845">
        <v>62.8348639211369</v>
      </c>
      <c r="E171" s="3645">
        <v>80.325302515391499</v>
      </c>
      <c r="F171" s="1845">
        <v>78.598670789090093</v>
      </c>
      <c r="G171" s="3645">
        <v>77.797785790531094</v>
      </c>
      <c r="H171" s="1845">
        <v>98.355864655220302</v>
      </c>
      <c r="I171" s="3645">
        <v>66.667586156012803</v>
      </c>
      <c r="J171" s="1845">
        <v>69.802418128821202</v>
      </c>
      <c r="K171" s="3645">
        <v>69.5631114436882</v>
      </c>
      <c r="L171" s="1845">
        <v>89.959262698035801</v>
      </c>
      <c r="M171" s="3645">
        <v>56.634523809523799</v>
      </c>
      <c r="N171" s="1846">
        <v>61.844293272864697</v>
      </c>
    </row>
    <row r="172" spans="1:14">
      <c r="A172" s="53">
        <v>2007.07</v>
      </c>
      <c r="B172" s="1845">
        <v>69.3044857385418</v>
      </c>
      <c r="C172" s="3645">
        <v>66.593264083434207</v>
      </c>
      <c r="D172" s="1845">
        <v>67.886348340103098</v>
      </c>
      <c r="E172" s="3645">
        <v>79.103006495770998</v>
      </c>
      <c r="F172" s="1845">
        <v>78.734343104823395</v>
      </c>
      <c r="G172" s="3645">
        <v>77.604646126205395</v>
      </c>
      <c r="H172" s="1845">
        <v>99.312288602687403</v>
      </c>
      <c r="I172" s="3645">
        <v>63.008387855734597</v>
      </c>
      <c r="J172" s="1845">
        <v>65.864684717240706</v>
      </c>
      <c r="K172" s="3645">
        <v>66.738538632983904</v>
      </c>
      <c r="L172" s="1845">
        <v>71.585243231157193</v>
      </c>
      <c r="M172" s="3645">
        <v>50.649769585253502</v>
      </c>
      <c r="N172" s="1846">
        <v>61.604856996562098</v>
      </c>
    </row>
    <row r="173" spans="1:14">
      <c r="A173" s="53">
        <v>2007.08</v>
      </c>
      <c r="B173" s="1845">
        <v>75.759354998895304</v>
      </c>
      <c r="C173" s="3645">
        <v>72.212185139860196</v>
      </c>
      <c r="D173" s="1845">
        <v>69.508649911205893</v>
      </c>
      <c r="E173" s="3645">
        <v>83.738660740726402</v>
      </c>
      <c r="F173" s="1845">
        <v>78.471202096730295</v>
      </c>
      <c r="G173" s="3645">
        <v>79.255808809741595</v>
      </c>
      <c r="H173" s="1845">
        <v>96.510799732732096</v>
      </c>
      <c r="I173" s="3645">
        <v>68.895261558346505</v>
      </c>
      <c r="J173" s="1845">
        <v>66.154351140457095</v>
      </c>
      <c r="K173" s="3645">
        <v>68.388529167838797</v>
      </c>
      <c r="L173" s="1845">
        <v>93.604392354666203</v>
      </c>
      <c r="M173" s="3645">
        <v>61.669354838709701</v>
      </c>
      <c r="N173" s="1846">
        <v>69.368249091751395</v>
      </c>
    </row>
    <row r="174" spans="1:14">
      <c r="A174" s="53">
        <v>2007.09</v>
      </c>
      <c r="B174" s="1845">
        <v>78.407124788501505</v>
      </c>
      <c r="C174" s="3645">
        <v>74.745128089845494</v>
      </c>
      <c r="D174" s="1845">
        <v>67.036491217300096</v>
      </c>
      <c r="E174" s="3645">
        <v>88.5294055958299</v>
      </c>
      <c r="F174" s="1845">
        <v>81.104565206716998</v>
      </c>
      <c r="G174" s="3645">
        <v>80.555959717090303</v>
      </c>
      <c r="H174" s="1845">
        <v>96.1947783642578</v>
      </c>
      <c r="I174" s="3645">
        <v>79.423108488134801</v>
      </c>
      <c r="J174" s="1845">
        <v>72.338541794678093</v>
      </c>
      <c r="K174" s="3645">
        <v>69.805319106247495</v>
      </c>
      <c r="L174" s="1845">
        <v>94.065426197930506</v>
      </c>
      <c r="M174" s="3645">
        <v>59.375</v>
      </c>
      <c r="N174" s="1846">
        <v>69.2567397329302</v>
      </c>
    </row>
    <row r="175" spans="1:14">
      <c r="A175" s="53">
        <v>2007.1</v>
      </c>
      <c r="B175" s="1845">
        <v>77.436618810411602</v>
      </c>
      <c r="C175" s="3645">
        <v>77.767543608267701</v>
      </c>
      <c r="D175" s="1845">
        <v>73.155585464535903</v>
      </c>
      <c r="E175" s="3645">
        <v>82.800565209564695</v>
      </c>
      <c r="F175" s="1845">
        <v>80.6253914067793</v>
      </c>
      <c r="G175" s="3645">
        <v>76.571575779057397</v>
      </c>
      <c r="H175" s="1845">
        <v>93.148447090454397</v>
      </c>
      <c r="I175" s="3645">
        <v>76.986390834778703</v>
      </c>
      <c r="J175" s="1845">
        <v>71.759324293745607</v>
      </c>
      <c r="K175" s="3645">
        <v>70.220371212268404</v>
      </c>
      <c r="L175" s="1845">
        <v>95.151498985714099</v>
      </c>
      <c r="M175" s="3645">
        <v>63.686635944700498</v>
      </c>
      <c r="N175" s="1846">
        <v>62.409479921000703</v>
      </c>
    </row>
    <row r="176" spans="1:14">
      <c r="A176" s="53">
        <v>2007.11</v>
      </c>
      <c r="B176" s="1845">
        <v>79.274832082342698</v>
      </c>
      <c r="C176" s="3645">
        <v>80.850457721726997</v>
      </c>
      <c r="D176" s="1845">
        <v>80.669891145663996</v>
      </c>
      <c r="E176" s="3645">
        <v>85.703699896186905</v>
      </c>
      <c r="F176" s="1845">
        <v>80.589417989417996</v>
      </c>
      <c r="G176" s="3645">
        <v>77.977149617680595</v>
      </c>
      <c r="H176" s="1845">
        <v>94.751422810334503</v>
      </c>
      <c r="I176" s="3645">
        <v>74.881068176612004</v>
      </c>
      <c r="J176" s="1845">
        <v>72.399961167211302</v>
      </c>
      <c r="K176" s="3645">
        <v>75.266343265002902</v>
      </c>
      <c r="L176" s="1845">
        <v>95.763004894760996</v>
      </c>
      <c r="M176" s="3645">
        <v>70.758333333333297</v>
      </c>
      <c r="N176" s="1846">
        <v>65.079365079365104</v>
      </c>
    </row>
    <row r="177" spans="1:14">
      <c r="A177" s="53">
        <v>2007.12</v>
      </c>
      <c r="B177" s="1845">
        <v>74.520201287564504</v>
      </c>
      <c r="C177" s="3645">
        <v>76.065658005999893</v>
      </c>
      <c r="D177" s="1845">
        <v>61.091863413238897</v>
      </c>
      <c r="E177" s="3645">
        <v>74.762695216923404</v>
      </c>
      <c r="F177" s="1845">
        <v>77.436251920122899</v>
      </c>
      <c r="G177" s="3645">
        <v>73.030727604611698</v>
      </c>
      <c r="H177" s="1845">
        <v>93.750814119065495</v>
      </c>
      <c r="I177" s="3645">
        <v>73.809335490048696</v>
      </c>
      <c r="J177" s="1845">
        <v>65.231229551861205</v>
      </c>
      <c r="K177" s="3645">
        <v>68.969031799301206</v>
      </c>
      <c r="L177" s="1845">
        <v>92.554782109909297</v>
      </c>
      <c r="M177" s="3645">
        <v>58.38133640553</v>
      </c>
      <c r="N177" s="1846">
        <v>58.761855996879</v>
      </c>
    </row>
    <row r="178" spans="1:14">
      <c r="A178" s="53">
        <f t="shared" ref="A178:A209" si="0">A166+1</f>
        <v>2008.01</v>
      </c>
      <c r="B178" s="1845">
        <v>70.634394993806694</v>
      </c>
      <c r="C178" s="3645">
        <v>74.570265677170497</v>
      </c>
      <c r="D178" s="1845">
        <v>67.940674722432107</v>
      </c>
      <c r="E178" s="3645">
        <v>69.229061078113702</v>
      </c>
      <c r="F178" s="1845">
        <v>76.990271377368103</v>
      </c>
      <c r="G178" s="3645">
        <v>69.642552817455595</v>
      </c>
      <c r="H178" s="1845">
        <v>93.959947115854305</v>
      </c>
      <c r="I178" s="3645">
        <v>73.018420270068006</v>
      </c>
      <c r="J178" s="1845">
        <v>65.279011367873295</v>
      </c>
      <c r="K178" s="3645">
        <v>65.217614331299004</v>
      </c>
      <c r="L178" s="1845">
        <v>80.202591162319294</v>
      </c>
      <c r="M178" s="3645">
        <v>47.497695852534598</v>
      </c>
      <c r="N178" s="1846">
        <v>52.593080242849801</v>
      </c>
    </row>
    <row r="179" spans="1:14">
      <c r="A179" s="53">
        <f t="shared" si="0"/>
        <v>2008.02</v>
      </c>
      <c r="B179" s="1845">
        <v>72.399947139723807</v>
      </c>
      <c r="C179" s="3645">
        <v>73.399190505031498</v>
      </c>
      <c r="D179" s="1845">
        <v>69.823962813026398</v>
      </c>
      <c r="E179" s="3645">
        <v>75.382397963926294</v>
      </c>
      <c r="F179" s="1845">
        <v>79.314176245210703</v>
      </c>
      <c r="G179" s="3645">
        <v>72.455671344794396</v>
      </c>
      <c r="H179" s="1845">
        <v>92.588746525962193</v>
      </c>
      <c r="I179" s="3645">
        <v>76.063479540379902</v>
      </c>
      <c r="J179" s="1845">
        <v>68.131217761276204</v>
      </c>
      <c r="K179" s="3645">
        <v>66.740224228322504</v>
      </c>
      <c r="L179" s="1845">
        <v>88.068253577852602</v>
      </c>
      <c r="M179" s="3645">
        <v>41.424876847290598</v>
      </c>
      <c r="N179" s="1846">
        <v>57.049026507154601</v>
      </c>
    </row>
    <row r="180" spans="1:14">
      <c r="A180" s="53">
        <f t="shared" si="0"/>
        <v>2008.03</v>
      </c>
      <c r="B180" s="1845">
        <v>71.727549060816401</v>
      </c>
      <c r="C180" s="3645">
        <v>59.585121584638799</v>
      </c>
      <c r="D180" s="1845">
        <v>64.848027457468305</v>
      </c>
      <c r="E180" s="3645">
        <v>76.549781219829697</v>
      </c>
      <c r="F180" s="1845">
        <v>76.435739887352796</v>
      </c>
      <c r="G180" s="3645">
        <v>70.394175647188604</v>
      </c>
      <c r="H180" s="1845">
        <v>94.784936537991001</v>
      </c>
      <c r="I180" s="3645">
        <v>75.059803227760995</v>
      </c>
      <c r="J180" s="1845">
        <v>70.367498612515803</v>
      </c>
      <c r="K180" s="3645">
        <v>65.705303526073806</v>
      </c>
      <c r="L180" s="1845">
        <v>94.963691005276402</v>
      </c>
      <c r="M180" s="3645">
        <v>57.132488479262697</v>
      </c>
      <c r="N180" s="1846">
        <v>59.7322800087777</v>
      </c>
    </row>
    <row r="181" spans="1:14">
      <c r="A181" s="53">
        <f t="shared" si="0"/>
        <v>2008.04</v>
      </c>
      <c r="B181" s="1845">
        <v>76.5007110128237</v>
      </c>
      <c r="C181" s="3645">
        <v>72.908147161041796</v>
      </c>
      <c r="D181" s="1845">
        <v>70.801658855944794</v>
      </c>
      <c r="E181" s="3645">
        <v>83.333490262506004</v>
      </c>
      <c r="F181" s="1845">
        <v>74.357142857142904</v>
      </c>
      <c r="G181" s="3645">
        <v>76.642236154456796</v>
      </c>
      <c r="H181" s="1845">
        <v>94.205590314948196</v>
      </c>
      <c r="I181" s="3645">
        <v>72.642026858965295</v>
      </c>
      <c r="J181" s="1845">
        <v>74.089699085561307</v>
      </c>
      <c r="K181" s="3645">
        <v>70.260494136586701</v>
      </c>
      <c r="L181" s="1845">
        <v>97.706134370054698</v>
      </c>
      <c r="M181" s="3645">
        <v>65.026190476190493</v>
      </c>
      <c r="N181" s="1846">
        <v>65.296044343663397</v>
      </c>
    </row>
    <row r="182" spans="1:14">
      <c r="A182" s="53">
        <f t="shared" si="0"/>
        <v>2008.05</v>
      </c>
      <c r="B182" s="1845">
        <v>74.858752864383604</v>
      </c>
      <c r="C182" s="3645">
        <v>69.230170482419894</v>
      </c>
      <c r="D182" s="1845">
        <v>64.2768920601373</v>
      </c>
      <c r="E182" s="3645">
        <v>83.133653934685498</v>
      </c>
      <c r="F182" s="1845">
        <v>75.548387096774206</v>
      </c>
      <c r="G182" s="3645">
        <v>75.197515293451602</v>
      </c>
      <c r="H182" s="1845">
        <v>95.8582472556987</v>
      </c>
      <c r="I182" s="3645">
        <v>70.258564633986794</v>
      </c>
      <c r="J182" s="1845">
        <v>68.182043743956896</v>
      </c>
      <c r="K182" s="3645">
        <v>70.821327726955502</v>
      </c>
      <c r="L182" s="1845">
        <v>95.647679515490694</v>
      </c>
      <c r="M182" s="3645">
        <v>64.538018433179701</v>
      </c>
      <c r="N182" s="1846">
        <v>64.735571648014002</v>
      </c>
    </row>
    <row r="183" spans="1:14">
      <c r="A183" s="53">
        <f t="shared" si="0"/>
        <v>2008.06</v>
      </c>
      <c r="B183" s="1845">
        <v>71.839057351274505</v>
      </c>
      <c r="C183" s="3645">
        <v>58.767160835181798</v>
      </c>
      <c r="D183" s="1845">
        <v>62.583615999598798</v>
      </c>
      <c r="E183" s="3645">
        <v>83.575507859967303</v>
      </c>
      <c r="F183" s="1845">
        <v>75.8322751322751</v>
      </c>
      <c r="G183" s="3645">
        <v>78.238064521856202</v>
      </c>
      <c r="H183" s="1845">
        <v>91.083250392875399</v>
      </c>
      <c r="I183" s="3645">
        <v>67.662898966891305</v>
      </c>
      <c r="J183" s="1845">
        <v>69.971656864256801</v>
      </c>
      <c r="K183" s="3645">
        <v>68.606478261275697</v>
      </c>
      <c r="L183" s="1845">
        <v>97.269409686697401</v>
      </c>
      <c r="M183" s="3645">
        <v>61.0107142857143</v>
      </c>
      <c r="N183" s="1846">
        <v>64.167296548248899</v>
      </c>
    </row>
    <row r="184" spans="1:14">
      <c r="A184" s="53">
        <f t="shared" si="0"/>
        <v>2008.07</v>
      </c>
      <c r="B184" s="1845">
        <v>73.226918610610298</v>
      </c>
      <c r="C184" s="3645">
        <v>71.309499895469003</v>
      </c>
      <c r="D184" s="1845">
        <v>65.9408677331391</v>
      </c>
      <c r="E184" s="3645">
        <v>76.491311747462703</v>
      </c>
      <c r="F184" s="1845">
        <v>75.646697388632901</v>
      </c>
      <c r="G184" s="3645">
        <v>76.2838451645502</v>
      </c>
      <c r="H184" s="1845">
        <v>91.764464544482905</v>
      </c>
      <c r="I184" s="3645">
        <v>62.277585236303899</v>
      </c>
      <c r="J184" s="1845">
        <v>59.349873592426</v>
      </c>
      <c r="K184" s="3645">
        <v>69.452945970158197</v>
      </c>
      <c r="L184" s="1845">
        <v>98.4904475639336</v>
      </c>
      <c r="M184" s="3645">
        <v>71.6347926267281</v>
      </c>
      <c r="N184" s="1846">
        <v>59.888328091093101</v>
      </c>
    </row>
    <row r="185" spans="1:14">
      <c r="A185" s="53">
        <f t="shared" si="0"/>
        <v>2008.08</v>
      </c>
      <c r="B185" s="1845">
        <v>76.361793236303299</v>
      </c>
      <c r="C185" s="3645">
        <v>74.174710086271702</v>
      </c>
      <c r="D185" s="1845">
        <v>63.076489494077698</v>
      </c>
      <c r="E185" s="3645">
        <v>78.135589694290402</v>
      </c>
      <c r="F185" s="1845">
        <v>74.659498207885306</v>
      </c>
      <c r="G185" s="3645">
        <v>80.494107421726895</v>
      </c>
      <c r="H185" s="1845">
        <v>95.551596665724901</v>
      </c>
      <c r="I185" s="3645">
        <v>74.888530436328907</v>
      </c>
      <c r="J185" s="1845">
        <v>61.751031112012903</v>
      </c>
      <c r="K185" s="3645">
        <v>71.4743940275455</v>
      </c>
      <c r="L185" s="1845">
        <v>97.050602188735496</v>
      </c>
      <c r="M185" s="3645">
        <v>66.908986175115203</v>
      </c>
      <c r="N185" s="1846">
        <v>61.290322580645203</v>
      </c>
    </row>
    <row r="186" spans="1:14">
      <c r="A186" s="53">
        <f t="shared" si="0"/>
        <v>2008.09</v>
      </c>
      <c r="B186" s="1845">
        <v>79.235337181298505</v>
      </c>
      <c r="C186" s="3645">
        <v>79.012142924387604</v>
      </c>
      <c r="D186" s="1845">
        <v>75.229010357979803</v>
      </c>
      <c r="E186" s="3645">
        <v>76.458626730891794</v>
      </c>
      <c r="F186" s="1845">
        <v>78.141269841269803</v>
      </c>
      <c r="G186" s="3645">
        <v>83.662667413320406</v>
      </c>
      <c r="H186" s="1845">
        <v>95.592244581942097</v>
      </c>
      <c r="I186" s="3645">
        <v>78.228275674665397</v>
      </c>
      <c r="J186" s="1845">
        <v>65.270373846562094</v>
      </c>
      <c r="K186" s="3645">
        <v>77.545645710336501</v>
      </c>
      <c r="L186" s="1845">
        <v>94.137488217880403</v>
      </c>
      <c r="M186" s="3645">
        <v>74.933333333333294</v>
      </c>
      <c r="N186" s="1846">
        <v>63.5</v>
      </c>
    </row>
    <row r="187" spans="1:14">
      <c r="A187" s="53">
        <f t="shared" si="0"/>
        <v>2008.1</v>
      </c>
      <c r="B187" s="1845">
        <v>76.893844383027897</v>
      </c>
      <c r="C187" s="3645">
        <v>82.056670979854104</v>
      </c>
      <c r="D187" s="1845">
        <v>72.735805330622995</v>
      </c>
      <c r="E187" s="3645">
        <v>73.278455315028197</v>
      </c>
      <c r="F187" s="1845">
        <v>73.485919098822293</v>
      </c>
      <c r="G187" s="3645">
        <v>80.112423953503097</v>
      </c>
      <c r="H187" s="1845">
        <v>92.196249921463803</v>
      </c>
      <c r="I187" s="3645">
        <v>75.577420578404599</v>
      </c>
      <c r="J187" s="1845">
        <v>63.736628449785698</v>
      </c>
      <c r="K187" s="3645">
        <v>76.0636699147895</v>
      </c>
      <c r="L187" s="1845">
        <v>90.162755438415601</v>
      </c>
      <c r="M187" s="3645">
        <v>66.903225806451601</v>
      </c>
      <c r="N187" s="1846">
        <v>59.447004608294897</v>
      </c>
    </row>
    <row r="188" spans="1:14">
      <c r="A188" s="53">
        <f t="shared" si="0"/>
        <v>2008.11</v>
      </c>
      <c r="B188" s="1845">
        <v>78.213792943651697</v>
      </c>
      <c r="C188" s="3645">
        <v>87.038533369329002</v>
      </c>
      <c r="D188" s="1845">
        <v>74.311066510558007</v>
      </c>
      <c r="E188" s="3645">
        <v>84.447466162540096</v>
      </c>
      <c r="F188" s="1845">
        <v>87.759404144015093</v>
      </c>
      <c r="G188" s="3645">
        <v>83.279595791682894</v>
      </c>
      <c r="H188" s="1845">
        <v>82.998877280846003</v>
      </c>
      <c r="I188" s="3645">
        <v>82.2047506334182</v>
      </c>
      <c r="J188" s="1845">
        <v>74.625627729344799</v>
      </c>
      <c r="K188" s="3645">
        <v>78.920492127819003</v>
      </c>
      <c r="L188" s="1845">
        <v>79.676181658483202</v>
      </c>
      <c r="M188" s="3645">
        <v>53.172606057007101</v>
      </c>
      <c r="N188" s="1846">
        <v>64.820999999999998</v>
      </c>
    </row>
    <row r="189" spans="1:14">
      <c r="A189" s="53">
        <f t="shared" si="0"/>
        <v>2008.12</v>
      </c>
      <c r="B189" s="1845">
        <v>76.135442792667007</v>
      </c>
      <c r="C189" s="3645">
        <v>87.3725866578297</v>
      </c>
      <c r="D189" s="1845">
        <v>71.250940252461504</v>
      </c>
      <c r="E189" s="3645">
        <v>78.748923124058393</v>
      </c>
      <c r="F189" s="1845">
        <v>89.746400919092693</v>
      </c>
      <c r="G189" s="3645">
        <v>84.4225111177537</v>
      </c>
      <c r="H189" s="1845">
        <v>92.819140681455494</v>
      </c>
      <c r="I189" s="3645">
        <v>83.958463451043698</v>
      </c>
      <c r="J189" s="1845">
        <v>69.148006396699003</v>
      </c>
      <c r="K189" s="3645">
        <v>73.797770365062505</v>
      </c>
      <c r="L189" s="1845">
        <v>67.290895523804295</v>
      </c>
      <c r="M189" s="3645">
        <v>34.184111849666699</v>
      </c>
      <c r="N189" s="1846">
        <v>63.248847926267302</v>
      </c>
    </row>
    <row r="190" spans="1:14">
      <c r="A190" s="53">
        <f t="shared" si="0"/>
        <v>2009.01</v>
      </c>
      <c r="B190" s="1845">
        <v>64.914751776764902</v>
      </c>
      <c r="C190" s="3645">
        <v>77.894032721573595</v>
      </c>
      <c r="D190" s="1845">
        <v>69.3179763444504</v>
      </c>
      <c r="E190" s="3645">
        <v>62.103500113027202</v>
      </c>
      <c r="F190" s="1845">
        <v>82.203572997554602</v>
      </c>
      <c r="G190" s="3645">
        <v>74.209718067861402</v>
      </c>
      <c r="H190" s="1845">
        <v>92.648418108561501</v>
      </c>
      <c r="I190" s="3645">
        <v>75.2561145258056</v>
      </c>
      <c r="J190" s="1845">
        <v>62.714246990821003</v>
      </c>
      <c r="K190" s="3645">
        <v>65.782005766015402</v>
      </c>
      <c r="L190" s="1845">
        <v>60.816340488657701</v>
      </c>
      <c r="M190" s="3645">
        <v>22.360670058807798</v>
      </c>
      <c r="N190" s="1846">
        <v>50</v>
      </c>
    </row>
    <row r="191" spans="1:14">
      <c r="A191" s="53">
        <f t="shared" si="0"/>
        <v>2009.02</v>
      </c>
      <c r="B191" s="1845">
        <v>71.326358616775707</v>
      </c>
      <c r="C191" s="3645">
        <v>84.721352689696005</v>
      </c>
      <c r="D191" s="1845">
        <v>78.422553437037493</v>
      </c>
      <c r="E191" s="3645">
        <v>67.2867901270521</v>
      </c>
      <c r="F191" s="1845">
        <v>88.479034010025302</v>
      </c>
      <c r="G191" s="3645">
        <v>80.944026497584005</v>
      </c>
      <c r="H191" s="1845">
        <v>87.552788698187101</v>
      </c>
      <c r="I191" s="3645">
        <v>86.997865719540798</v>
      </c>
      <c r="J191" s="1845">
        <v>73.966841755643003</v>
      </c>
      <c r="K191" s="3645">
        <v>70.858713526301798</v>
      </c>
      <c r="L191" s="1845">
        <v>64.678064897829699</v>
      </c>
      <c r="M191" s="3645">
        <v>23.3203380344418</v>
      </c>
      <c r="N191" s="1846">
        <v>61.632691517513699</v>
      </c>
    </row>
    <row r="192" spans="1:14">
      <c r="A192" s="53">
        <f t="shared" si="0"/>
        <v>2009.03</v>
      </c>
      <c r="B192" s="1845">
        <v>68.206723847285602</v>
      </c>
      <c r="C192" s="3645">
        <v>72.228296443991098</v>
      </c>
      <c r="D192" s="1845">
        <v>72.926597112527503</v>
      </c>
      <c r="E192" s="3645">
        <v>61.852449066529502</v>
      </c>
      <c r="F192" s="1845">
        <v>82.5484776706529</v>
      </c>
      <c r="G192" s="3645">
        <v>72.681851891675393</v>
      </c>
      <c r="H192" s="1845">
        <v>89.101492937429796</v>
      </c>
      <c r="I192" s="3645">
        <v>78.0479523704673</v>
      </c>
      <c r="J192" s="1845">
        <v>69.618544057734695</v>
      </c>
      <c r="K192" s="3645">
        <v>67.664624169257294</v>
      </c>
      <c r="L192" s="1845">
        <v>56.559918731347402</v>
      </c>
      <c r="M192" s="3645">
        <v>46.835108602789099</v>
      </c>
      <c r="N192" s="1846">
        <v>61.1668082573077</v>
      </c>
    </row>
    <row r="193" spans="1:14">
      <c r="A193" s="53">
        <f t="shared" si="0"/>
        <v>2009.04</v>
      </c>
      <c r="B193" s="1845">
        <v>73.101701983529594</v>
      </c>
      <c r="C193" s="3645">
        <v>79.9864906686295</v>
      </c>
      <c r="D193" s="1845">
        <v>75.364112230549793</v>
      </c>
      <c r="E193" s="3645">
        <v>72.616607961520799</v>
      </c>
      <c r="F193" s="1845">
        <v>79.420990696410698</v>
      </c>
      <c r="G193" s="3645">
        <v>82.292822908576298</v>
      </c>
      <c r="H193" s="1845">
        <v>91.758883526777197</v>
      </c>
      <c r="I193" s="3645">
        <v>80.305160616145997</v>
      </c>
      <c r="J193" s="1845">
        <v>75.640746332681104</v>
      </c>
      <c r="K193" s="3645">
        <v>70.781569597926094</v>
      </c>
      <c r="L193" s="1845">
        <v>64.085015262227103</v>
      </c>
      <c r="M193" s="3645">
        <v>45.467754557600998</v>
      </c>
      <c r="N193" s="1846">
        <v>68.427484214950994</v>
      </c>
    </row>
    <row r="194" spans="1:14">
      <c r="A194" s="53">
        <f t="shared" si="0"/>
        <v>2009.05</v>
      </c>
      <c r="B194" s="1845">
        <v>70.423623537718896</v>
      </c>
      <c r="C194" s="3645">
        <v>72.472611897708106</v>
      </c>
      <c r="D194" s="1845">
        <v>67.269296617377805</v>
      </c>
      <c r="E194" s="3645">
        <v>72.352117220200896</v>
      </c>
      <c r="F194" s="1845">
        <v>80.692605891605098</v>
      </c>
      <c r="G194" s="3645">
        <v>81.188300492424503</v>
      </c>
      <c r="H194" s="1845">
        <v>90.681514272247398</v>
      </c>
      <c r="I194" s="3645">
        <v>78.331748636952597</v>
      </c>
      <c r="J194" s="1845">
        <v>73.010121587870202</v>
      </c>
      <c r="K194" s="3645">
        <v>71.060424685149499</v>
      </c>
      <c r="L194" s="1845">
        <v>58.897354979685304</v>
      </c>
      <c r="M194" s="3645">
        <v>51.160025721209102</v>
      </c>
      <c r="N194" s="1846">
        <v>63.680701479722799</v>
      </c>
    </row>
    <row r="195" spans="1:14">
      <c r="A195" s="53">
        <f t="shared" si="0"/>
        <v>2009.06</v>
      </c>
      <c r="B195" s="1845">
        <v>69.650930391029803</v>
      </c>
      <c r="C195" s="3645">
        <v>68.799946676004495</v>
      </c>
      <c r="D195" s="1845">
        <v>66.547624602213304</v>
      </c>
      <c r="E195" s="3645">
        <v>72.434380221152793</v>
      </c>
      <c r="F195" s="1845">
        <v>77.733353681009902</v>
      </c>
      <c r="G195" s="3645">
        <v>80.786440565540204</v>
      </c>
      <c r="H195" s="1845">
        <v>89.992680143797998</v>
      </c>
      <c r="I195" s="3645">
        <v>79.042725315741507</v>
      </c>
      <c r="J195" s="1845">
        <v>64.427263525437795</v>
      </c>
      <c r="K195" s="3645">
        <v>68.040678400315201</v>
      </c>
      <c r="L195" s="1845">
        <v>66.223358691497495</v>
      </c>
      <c r="M195" s="3645">
        <v>53.708948738123503</v>
      </c>
      <c r="N195" s="1846">
        <v>59.7439996274218</v>
      </c>
    </row>
    <row r="196" spans="1:14">
      <c r="A196" s="53">
        <f t="shared" si="0"/>
        <v>2009.07</v>
      </c>
      <c r="B196" s="1845">
        <v>70.473810542436397</v>
      </c>
      <c r="C196" s="3645">
        <v>71.919791424152095</v>
      </c>
      <c r="D196" s="1845">
        <v>64.508729398940602</v>
      </c>
      <c r="E196" s="3645">
        <v>69.761987501624006</v>
      </c>
      <c r="F196" s="1845">
        <v>75.354534781428598</v>
      </c>
      <c r="G196" s="3645">
        <v>75.870548817725407</v>
      </c>
      <c r="H196" s="1845">
        <v>81.030225983426803</v>
      </c>
      <c r="I196" s="3645">
        <v>82.737188088549502</v>
      </c>
      <c r="J196" s="1845">
        <v>65.008216808883404</v>
      </c>
      <c r="K196" s="3645">
        <v>67.557021960041595</v>
      </c>
      <c r="L196" s="1845">
        <v>73.170564609208697</v>
      </c>
      <c r="M196" s="3645">
        <v>54.593250766224799</v>
      </c>
      <c r="N196" s="1846">
        <v>59.547131696337502</v>
      </c>
    </row>
    <row r="197" spans="1:14">
      <c r="A197" s="53">
        <f t="shared" si="0"/>
        <v>2009.08</v>
      </c>
      <c r="B197" s="1845">
        <v>73.631460025567705</v>
      </c>
      <c r="C197" s="3645">
        <v>75.523547591148599</v>
      </c>
      <c r="D197" s="1845">
        <v>61.061436667892799</v>
      </c>
      <c r="E197" s="3645">
        <v>75.906812277177096</v>
      </c>
      <c r="F197" s="1845">
        <v>78.845859957184302</v>
      </c>
      <c r="G197" s="3645">
        <v>83.522436045293503</v>
      </c>
      <c r="H197" s="1845">
        <v>84.566006460420397</v>
      </c>
      <c r="I197" s="3645">
        <v>82.918145841074207</v>
      </c>
      <c r="J197" s="1845">
        <v>65.650274476986297</v>
      </c>
      <c r="K197" s="3645">
        <v>73.397012013396704</v>
      </c>
      <c r="L197" s="1845">
        <v>76.4590409755954</v>
      </c>
      <c r="M197" s="3645">
        <v>56.146583065952797</v>
      </c>
      <c r="N197" s="1846">
        <v>64.176314272121701</v>
      </c>
    </row>
    <row r="198" spans="1:14">
      <c r="A198" s="53">
        <f t="shared" si="0"/>
        <v>2009.09</v>
      </c>
      <c r="B198" s="1845">
        <v>77.811595091630494</v>
      </c>
      <c r="C198" s="3645">
        <v>81.090157323570594</v>
      </c>
      <c r="D198" s="1845">
        <v>71.861858419697498</v>
      </c>
      <c r="E198" s="3645">
        <v>81.2</v>
      </c>
      <c r="F198" s="1845">
        <v>85.752662726875499</v>
      </c>
      <c r="G198" s="3645">
        <v>89.149804654323106</v>
      </c>
      <c r="H198" s="1845">
        <v>80.583453377101506</v>
      </c>
      <c r="I198" s="3645">
        <v>85.692154152795496</v>
      </c>
      <c r="J198" s="1845">
        <v>68.689240824673007</v>
      </c>
      <c r="K198" s="3645">
        <v>79.164840950283605</v>
      </c>
      <c r="L198" s="1845">
        <v>78.294014916763501</v>
      </c>
      <c r="M198" s="3645">
        <v>66.3603025534442</v>
      </c>
      <c r="N198" s="1846">
        <v>68.164189611146796</v>
      </c>
    </row>
    <row r="199" spans="1:14">
      <c r="A199" s="53">
        <f t="shared" si="0"/>
        <v>2009.1</v>
      </c>
      <c r="B199" s="1845">
        <v>75.654485727121596</v>
      </c>
      <c r="C199" s="3645">
        <v>82.422020808223493</v>
      </c>
      <c r="D199" s="1845">
        <v>68.164178777836298</v>
      </c>
      <c r="E199" s="3645">
        <v>84.011267231199795</v>
      </c>
      <c r="F199" s="1845">
        <v>78.011706849520095</v>
      </c>
      <c r="G199" s="3645">
        <v>80.8178040228687</v>
      </c>
      <c r="H199" s="1845">
        <v>75.709233679210698</v>
      </c>
      <c r="I199" s="3645">
        <v>82.0363608021907</v>
      </c>
      <c r="J199" s="1845">
        <v>66.800813866863507</v>
      </c>
      <c r="K199" s="3645">
        <v>76.574514568345094</v>
      </c>
      <c r="L199" s="1845">
        <v>81.933227193205099</v>
      </c>
      <c r="M199" s="3645">
        <v>66.476957027639799</v>
      </c>
      <c r="N199" s="1846">
        <v>61.705683214471698</v>
      </c>
    </row>
    <row r="200" spans="1:14">
      <c r="A200" s="53">
        <f t="shared" si="0"/>
        <v>2009.11</v>
      </c>
      <c r="B200" s="1845">
        <v>78.4379122348804</v>
      </c>
      <c r="C200" s="3645">
        <v>82.859409245737595</v>
      </c>
      <c r="D200" s="1845">
        <v>74.468341925564502</v>
      </c>
      <c r="E200" s="3645">
        <v>91.744672994118105</v>
      </c>
      <c r="F200" s="1845">
        <v>92.990208314579903</v>
      </c>
      <c r="G200" s="3645">
        <v>81.879948367356903</v>
      </c>
      <c r="H200" s="1845">
        <v>88.994278714226496</v>
      </c>
      <c r="I200" s="3645">
        <v>82.297081046493005</v>
      </c>
      <c r="J200" s="1845">
        <v>77.066575946228696</v>
      </c>
      <c r="K200" s="3645">
        <v>74.477065252614693</v>
      </c>
      <c r="L200" s="1845">
        <v>84.214024514291594</v>
      </c>
      <c r="M200" s="3645">
        <v>70.461130504256005</v>
      </c>
      <c r="N200" s="1846">
        <v>60.378455045739798</v>
      </c>
    </row>
    <row r="201" spans="1:14">
      <c r="A201" s="53">
        <f t="shared" si="0"/>
        <v>2009.12</v>
      </c>
      <c r="B201" s="1845">
        <v>79.766375689356195</v>
      </c>
      <c r="C201" s="3645">
        <v>78.351587911419799</v>
      </c>
      <c r="D201" s="1845">
        <v>59.576667291456097</v>
      </c>
      <c r="E201" s="3645">
        <v>91.433229536305106</v>
      </c>
      <c r="F201" s="1845">
        <v>90.460492971616404</v>
      </c>
      <c r="G201" s="3645">
        <v>85.493270908556397</v>
      </c>
      <c r="H201" s="1845">
        <v>89.863854289929904</v>
      </c>
      <c r="I201" s="3645">
        <v>91.434199486142305</v>
      </c>
      <c r="J201" s="1845">
        <v>87.781085108516805</v>
      </c>
      <c r="K201" s="3645">
        <v>75.372074734351102</v>
      </c>
      <c r="L201" s="1845">
        <v>92.971003379799001</v>
      </c>
      <c r="M201" s="3645">
        <v>66.960138323726397</v>
      </c>
      <c r="N201" s="1846">
        <v>58.022584201189602</v>
      </c>
    </row>
    <row r="202" spans="1:14">
      <c r="A202" s="53">
        <f t="shared" si="0"/>
        <v>2010.01</v>
      </c>
      <c r="B202" s="1845">
        <v>66.634651429655705</v>
      </c>
      <c r="C202" s="3645">
        <v>71.415585631257301</v>
      </c>
      <c r="D202" s="1845">
        <v>66.2696425141867</v>
      </c>
      <c r="E202" s="3645">
        <v>73.400215195931096</v>
      </c>
      <c r="F202" s="1845">
        <v>70.815370689600698</v>
      </c>
      <c r="G202" s="3645">
        <v>75.623075880153905</v>
      </c>
      <c r="H202" s="1845">
        <v>92.483797188039404</v>
      </c>
      <c r="I202" s="3645">
        <v>77.359907912337903</v>
      </c>
      <c r="J202" s="1845">
        <v>83.418972458011396</v>
      </c>
      <c r="K202" s="3645">
        <v>65.299784185935096</v>
      </c>
      <c r="L202" s="1845">
        <v>69.017230071458201</v>
      </c>
      <c r="M202" s="3645">
        <v>37.404220683089498</v>
      </c>
      <c r="N202" s="1846">
        <v>45.467923930854496</v>
      </c>
    </row>
    <row r="203" spans="1:14">
      <c r="A203" s="53">
        <f t="shared" si="0"/>
        <v>2010.02</v>
      </c>
      <c r="B203" s="1847">
        <v>76.901659064497593</v>
      </c>
      <c r="C203" s="3645">
        <v>75.8760035395632</v>
      </c>
      <c r="D203" s="1845">
        <v>71.679005804487602</v>
      </c>
      <c r="E203" s="3645">
        <v>84.423316889561406</v>
      </c>
      <c r="F203" s="1845">
        <v>83.472415500189697</v>
      </c>
      <c r="G203" s="3645">
        <v>83.921562546681102</v>
      </c>
      <c r="H203" s="1845">
        <v>92.294801364382494</v>
      </c>
      <c r="I203" s="3645">
        <v>89.181252574019297</v>
      </c>
      <c r="J203" s="1845">
        <v>84.613940384972693</v>
      </c>
      <c r="K203" s="3645">
        <v>71.679042218009499</v>
      </c>
      <c r="L203" s="1845">
        <v>90.134477340588404</v>
      </c>
      <c r="M203" s="3645">
        <v>56.702477682865002</v>
      </c>
      <c r="N203" s="1846">
        <v>56.948606962182602</v>
      </c>
    </row>
    <row r="204" spans="1:14">
      <c r="A204" s="53">
        <f t="shared" si="0"/>
        <v>2010.03</v>
      </c>
      <c r="B204" s="1847">
        <v>75.279359218374594</v>
      </c>
      <c r="C204" s="3645">
        <v>70.775709902165005</v>
      </c>
      <c r="D204" s="1845">
        <v>75.261973311325605</v>
      </c>
      <c r="E204" s="3645">
        <v>81.234869368127093</v>
      </c>
      <c r="F204" s="1845">
        <v>85.689346577146097</v>
      </c>
      <c r="G204" s="3645">
        <v>76.931337521490804</v>
      </c>
      <c r="H204" s="1845">
        <v>91.973566394020594</v>
      </c>
      <c r="I204" s="3645">
        <v>85.930290496557504</v>
      </c>
      <c r="J204" s="1845">
        <v>78.823673971480105</v>
      </c>
      <c r="K204" s="3645">
        <v>71.418640189789897</v>
      </c>
      <c r="L204" s="1845">
        <v>86.458025011655195</v>
      </c>
      <c r="M204" s="3645">
        <v>64.840741367711502</v>
      </c>
      <c r="N204" s="1846">
        <v>57.007465295810697</v>
      </c>
    </row>
    <row r="205" spans="1:14">
      <c r="A205" s="53">
        <f t="shared" si="0"/>
        <v>2010.04</v>
      </c>
      <c r="B205" s="1847">
        <v>79.495008697287801</v>
      </c>
      <c r="C205" s="3645">
        <v>77.667525413928701</v>
      </c>
      <c r="D205" s="1845">
        <v>75.516362199273701</v>
      </c>
      <c r="E205" s="3645">
        <v>88.452208204075205</v>
      </c>
      <c r="F205" s="1845">
        <v>82.442862537542396</v>
      </c>
      <c r="G205" s="3645">
        <v>85.5632825132178</v>
      </c>
      <c r="H205" s="1845">
        <v>88.011417356174903</v>
      </c>
      <c r="I205" s="3645">
        <v>83.028321484830599</v>
      </c>
      <c r="J205" s="1845">
        <v>81.376660649216603</v>
      </c>
      <c r="K205" s="3645">
        <v>75.433119576193405</v>
      </c>
      <c r="L205" s="1845">
        <v>89.794743662109795</v>
      </c>
      <c r="M205" s="3645">
        <v>70.788346117880593</v>
      </c>
      <c r="N205" s="1846">
        <v>69.180186541315507</v>
      </c>
    </row>
    <row r="206" spans="1:14">
      <c r="A206" s="53">
        <f t="shared" si="0"/>
        <v>2010.05</v>
      </c>
      <c r="B206" s="1847">
        <v>76.7311878152437</v>
      </c>
      <c r="C206" s="3645">
        <v>71.519969564164199</v>
      </c>
      <c r="D206" s="1845">
        <v>65.724311867890407</v>
      </c>
      <c r="E206" s="3645">
        <v>89.5279716239001</v>
      </c>
      <c r="F206" s="1845">
        <v>79.433013994760501</v>
      </c>
      <c r="G206" s="3645">
        <v>86.735273055820102</v>
      </c>
      <c r="H206" s="1845">
        <v>86.709316115307203</v>
      </c>
      <c r="I206" s="3645">
        <v>75.932530963710704</v>
      </c>
      <c r="J206" s="1845">
        <v>76.730284967500907</v>
      </c>
      <c r="K206" s="3645">
        <v>74.845415809763196</v>
      </c>
      <c r="L206" s="1845">
        <v>87.824097733463702</v>
      </c>
      <c r="M206" s="3645">
        <v>71.779532766261099</v>
      </c>
      <c r="N206" s="1846">
        <v>69.348283911418093</v>
      </c>
    </row>
    <row r="207" spans="1:14">
      <c r="A207" s="53">
        <f t="shared" si="0"/>
        <v>2010.06</v>
      </c>
      <c r="B207" s="1847">
        <v>75.023125001453494</v>
      </c>
      <c r="C207" s="3645">
        <v>67.971756764492895</v>
      </c>
      <c r="D207" s="1845">
        <v>61.148814358649297</v>
      </c>
      <c r="E207" s="3645">
        <v>85.674640239251403</v>
      </c>
      <c r="F207" s="1845">
        <v>75.003206624896393</v>
      </c>
      <c r="G207" s="3645">
        <v>85.509776712489995</v>
      </c>
      <c r="H207" s="1845">
        <v>85.151044068857601</v>
      </c>
      <c r="I207" s="3645">
        <v>77.276141858054501</v>
      </c>
      <c r="J207" s="1845">
        <v>68.022400880239204</v>
      </c>
      <c r="K207" s="3645">
        <v>71.103491924854296</v>
      </c>
      <c r="L207" s="1845">
        <v>84.259441390827604</v>
      </c>
      <c r="M207" s="3645">
        <v>78.924762132764201</v>
      </c>
      <c r="N207" s="1846">
        <v>64.881983595380007</v>
      </c>
    </row>
    <row r="208" spans="1:14">
      <c r="A208" s="53">
        <f t="shared" si="0"/>
        <v>2010.07</v>
      </c>
      <c r="B208" s="1847">
        <v>75.185646995692906</v>
      </c>
      <c r="C208" s="3645">
        <v>71.658137575628402</v>
      </c>
      <c r="D208" s="1845">
        <v>65.677335779539007</v>
      </c>
      <c r="E208" s="3645">
        <v>79.033886016055007</v>
      </c>
      <c r="F208" s="1845">
        <v>72.340353390171401</v>
      </c>
      <c r="G208" s="3645">
        <v>80.306467806246005</v>
      </c>
      <c r="H208" s="1845">
        <v>85.847984987936698</v>
      </c>
      <c r="I208" s="3645">
        <v>80.546763843726495</v>
      </c>
      <c r="J208" s="1845">
        <v>67.742082991832206</v>
      </c>
      <c r="K208" s="3645">
        <v>74.941375636784201</v>
      </c>
      <c r="L208" s="1845">
        <v>86.826310651977295</v>
      </c>
      <c r="M208" s="3645">
        <v>67.739312612743305</v>
      </c>
      <c r="N208" s="1846">
        <v>66.0377690512383</v>
      </c>
    </row>
    <row r="209" spans="1:14">
      <c r="A209" s="53">
        <f t="shared" si="0"/>
        <v>2010.08</v>
      </c>
      <c r="B209" s="1847">
        <v>79.149573090797503</v>
      </c>
      <c r="C209" s="3645">
        <v>77.075664536997493</v>
      </c>
      <c r="D209" s="1845">
        <v>63.375687686356102</v>
      </c>
      <c r="E209" s="3645">
        <v>76.358854765611397</v>
      </c>
      <c r="F209" s="1845">
        <v>75.692025558896901</v>
      </c>
      <c r="G209" s="3645">
        <v>85.113158804519799</v>
      </c>
      <c r="H209" s="1845">
        <v>90.149441515503497</v>
      </c>
      <c r="I209" s="3645">
        <v>76.975533133034403</v>
      </c>
      <c r="J209" s="1845">
        <v>68.844912551549797</v>
      </c>
      <c r="K209" s="3645">
        <v>76.268631252185202</v>
      </c>
      <c r="L209" s="1845">
        <v>93.000135271996498</v>
      </c>
      <c r="M209" s="3645">
        <v>84.127721526191095</v>
      </c>
      <c r="N209" s="1846">
        <v>67.497956086625607</v>
      </c>
    </row>
    <row r="210" spans="1:14">
      <c r="A210" s="53">
        <f t="shared" ref="A210:A241" si="1">A198+1</f>
        <v>2010.09</v>
      </c>
      <c r="B210" s="1847">
        <v>82.286748270506607</v>
      </c>
      <c r="C210" s="3645">
        <v>82.154268236128004</v>
      </c>
      <c r="D210" s="1845">
        <v>70.423839483676005</v>
      </c>
      <c r="E210" s="3645">
        <v>81.509561331337096</v>
      </c>
      <c r="F210" s="1845">
        <v>83.694598821430503</v>
      </c>
      <c r="G210" s="3645">
        <v>89.801647049530899</v>
      </c>
      <c r="H210" s="1845">
        <v>85.919562117606603</v>
      </c>
      <c r="I210" s="3645">
        <v>84.540793876955604</v>
      </c>
      <c r="J210" s="1845">
        <v>76.1566195363433</v>
      </c>
      <c r="K210" s="3645">
        <v>84.150909842576297</v>
      </c>
      <c r="L210" s="1845">
        <v>88.730135112001705</v>
      </c>
      <c r="M210" s="3645">
        <v>81.444108515023302</v>
      </c>
      <c r="N210" s="1846">
        <v>72.832337177097301</v>
      </c>
    </row>
    <row r="211" spans="1:14">
      <c r="A211" s="53">
        <f t="shared" si="1"/>
        <v>2010.1</v>
      </c>
      <c r="B211" s="1847">
        <v>79.228207819093697</v>
      </c>
      <c r="C211" s="3645">
        <v>84.030747498529394</v>
      </c>
      <c r="D211" s="1845">
        <v>63.047395459976102</v>
      </c>
      <c r="E211" s="3645">
        <v>81.993817603536002</v>
      </c>
      <c r="F211" s="1845">
        <v>73.877086386495606</v>
      </c>
      <c r="G211" s="3645">
        <v>80.225773991830593</v>
      </c>
      <c r="H211" s="1845">
        <v>77.9358770440532</v>
      </c>
      <c r="I211" s="3645">
        <v>86.943464924676803</v>
      </c>
      <c r="J211" s="1845">
        <v>76.030834383416902</v>
      </c>
      <c r="K211" s="3645">
        <v>81.008431189804298</v>
      </c>
      <c r="L211" s="1845">
        <v>88.280467145104495</v>
      </c>
      <c r="M211" s="3645">
        <v>67.743502058571806</v>
      </c>
      <c r="N211" s="1846">
        <v>69.331311356234295</v>
      </c>
    </row>
    <row r="212" spans="1:14">
      <c r="A212" s="53">
        <f t="shared" si="1"/>
        <v>2010.11</v>
      </c>
      <c r="B212" s="1847">
        <v>83.441166193758605</v>
      </c>
      <c r="C212" s="3645">
        <v>80.339841990263594</v>
      </c>
      <c r="D212" s="1845">
        <v>71.204296296296306</v>
      </c>
      <c r="E212" s="3645">
        <v>90.123857060886806</v>
      </c>
      <c r="F212" s="1845">
        <v>88.805648940423794</v>
      </c>
      <c r="G212" s="3645">
        <v>80.891609225887294</v>
      </c>
      <c r="H212" s="1845">
        <v>85.353656509695298</v>
      </c>
      <c r="I212" s="3645">
        <v>87.073588766648001</v>
      </c>
      <c r="J212" s="1845">
        <v>83.608491064786307</v>
      </c>
      <c r="K212" s="3645">
        <v>85.031377566352305</v>
      </c>
      <c r="L212" s="1845">
        <v>90.247169924203305</v>
      </c>
      <c r="M212" s="3645">
        <v>84.196396344876007</v>
      </c>
      <c r="N212" s="1846">
        <v>76.275517951653697</v>
      </c>
    </row>
    <row r="213" spans="1:14">
      <c r="A213" s="53">
        <f t="shared" si="1"/>
        <v>2010.12</v>
      </c>
      <c r="B213" s="1847">
        <v>82.907578939687497</v>
      </c>
      <c r="C213" s="3645">
        <v>80.404911771000101</v>
      </c>
      <c r="D213" s="1845">
        <v>68.421111111111102</v>
      </c>
      <c r="E213" s="3645">
        <v>89.872472602290401</v>
      </c>
      <c r="F213" s="1845">
        <v>90.641413957559607</v>
      </c>
      <c r="G213" s="3645">
        <v>82.270677496897406</v>
      </c>
      <c r="H213" s="1845">
        <v>79.529511046587999</v>
      </c>
      <c r="I213" s="3645">
        <v>92.921077785957195</v>
      </c>
      <c r="J213" s="1845">
        <v>88.135424646331501</v>
      </c>
      <c r="K213" s="3645">
        <v>82.521555687929094</v>
      </c>
      <c r="L213" s="1845">
        <v>94.548176667408001</v>
      </c>
      <c r="M213" s="3645">
        <v>74.094824952953303</v>
      </c>
      <c r="N213" s="1846">
        <v>72.956848696069898</v>
      </c>
    </row>
    <row r="214" spans="1:14">
      <c r="A214" s="53">
        <f t="shared" si="1"/>
        <v>2011.01</v>
      </c>
      <c r="B214" s="1847">
        <v>69.595499066231497</v>
      </c>
      <c r="C214" s="3645">
        <v>69.400000000000006</v>
      </c>
      <c r="D214" s="1845">
        <v>71.099999999999994</v>
      </c>
      <c r="E214" s="3645">
        <v>76.238814598560396</v>
      </c>
      <c r="F214" s="1845">
        <v>70.673739948221495</v>
      </c>
      <c r="G214" s="3645">
        <v>74.710260870118205</v>
      </c>
      <c r="H214" s="1845">
        <v>86.472350370816798</v>
      </c>
      <c r="I214" s="3645">
        <v>82.032858086439703</v>
      </c>
      <c r="J214" s="1845">
        <v>77.438629827962103</v>
      </c>
      <c r="K214" s="3645">
        <v>74.323107285472702</v>
      </c>
      <c r="L214" s="1845">
        <v>71.515338908982798</v>
      </c>
      <c r="M214" s="3645">
        <v>45.819573914131396</v>
      </c>
      <c r="N214" s="1846">
        <v>57.141700306971899</v>
      </c>
    </row>
    <row r="215" spans="1:14">
      <c r="A215" s="53">
        <f t="shared" si="1"/>
        <v>2011.02</v>
      </c>
      <c r="B215" s="1847">
        <v>80.396051624987905</v>
      </c>
      <c r="C215" s="3645">
        <v>78.435034961883701</v>
      </c>
      <c r="D215" s="1845">
        <v>77.900000000000006</v>
      </c>
      <c r="E215" s="3645">
        <v>88.629440393545195</v>
      </c>
      <c r="F215" s="1845">
        <v>83.305470669189305</v>
      </c>
      <c r="G215" s="3645">
        <v>84.740373713803194</v>
      </c>
      <c r="H215" s="1845">
        <v>88.972188515264705</v>
      </c>
      <c r="I215" s="3645">
        <v>90.539278005301497</v>
      </c>
      <c r="J215" s="1845">
        <v>89.823015909575403</v>
      </c>
      <c r="K215" s="3645">
        <v>77.641996009926501</v>
      </c>
      <c r="L215" s="1845">
        <v>91.088070719771906</v>
      </c>
      <c r="M215" s="3645">
        <v>59.4</v>
      </c>
      <c r="N215" s="1846">
        <v>70.400000000000006</v>
      </c>
    </row>
    <row r="216" spans="1:14">
      <c r="A216" s="53">
        <f t="shared" si="1"/>
        <v>2011.03</v>
      </c>
      <c r="B216" s="1847">
        <v>76.227537182587199</v>
      </c>
      <c r="C216" s="3645">
        <v>70.955298644158702</v>
      </c>
      <c r="D216" s="1845">
        <v>61.8</v>
      </c>
      <c r="E216" s="3645">
        <v>79.592386616435206</v>
      </c>
      <c r="F216" s="1845">
        <v>79.862471009900204</v>
      </c>
      <c r="G216" s="3645">
        <v>74.542544068568503</v>
      </c>
      <c r="H216" s="1845">
        <v>85.627390312833199</v>
      </c>
      <c r="I216" s="3645">
        <v>81.620900567046505</v>
      </c>
      <c r="J216" s="1845">
        <v>84.446393745360297</v>
      </c>
      <c r="K216" s="3645">
        <v>74.908795670328203</v>
      </c>
      <c r="L216" s="1845">
        <v>84.7543873781554</v>
      </c>
      <c r="M216" s="3645">
        <v>74.1565391798853</v>
      </c>
      <c r="N216" s="1846">
        <v>65.8220792924037</v>
      </c>
    </row>
    <row r="217" spans="1:14">
      <c r="A217" s="53">
        <f t="shared" si="1"/>
        <v>2011.04</v>
      </c>
      <c r="B217" s="1847">
        <v>80.949716367118</v>
      </c>
      <c r="C217" s="3645">
        <v>76.875591371291904</v>
      </c>
      <c r="D217" s="1845">
        <v>75.8</v>
      </c>
      <c r="E217" s="3645">
        <v>80.986780654013799</v>
      </c>
      <c r="F217" s="1845">
        <v>82.690191125154996</v>
      </c>
      <c r="G217" s="3645">
        <v>78.440390900705694</v>
      </c>
      <c r="H217" s="1845">
        <v>83.698857905722306</v>
      </c>
      <c r="I217" s="3645">
        <v>83.767666377940898</v>
      </c>
      <c r="J217" s="1845">
        <v>88.399370216790501</v>
      </c>
      <c r="K217" s="3645">
        <v>82.516221658728696</v>
      </c>
      <c r="L217" s="1845">
        <v>90.332008178648806</v>
      </c>
      <c r="M217" s="3645">
        <v>76.203735220438503</v>
      </c>
      <c r="N217" s="1846">
        <v>76.811760818983899</v>
      </c>
    </row>
    <row r="218" spans="1:14">
      <c r="A218" s="53">
        <f t="shared" si="1"/>
        <v>2011.05</v>
      </c>
      <c r="B218" s="1847">
        <v>78.170168577487004</v>
      </c>
      <c r="C218" s="3645">
        <v>70.000436847194905</v>
      </c>
      <c r="D218" s="1845">
        <v>74.356783662539996</v>
      </c>
      <c r="E218" s="3645">
        <v>83.802249872229893</v>
      </c>
      <c r="F218" s="1845">
        <v>81.339406330634802</v>
      </c>
      <c r="G218" s="3645">
        <v>82.395788296423405</v>
      </c>
      <c r="H218" s="1845">
        <v>79.425733561621399</v>
      </c>
      <c r="I218" s="3645">
        <v>74.231648484730798</v>
      </c>
      <c r="J218" s="1845">
        <v>82.807630685709597</v>
      </c>
      <c r="K218" s="3645">
        <v>84.178743727571003</v>
      </c>
      <c r="L218" s="1845">
        <v>88.364428020946306</v>
      </c>
      <c r="M218" s="3645">
        <v>81.648155726717704</v>
      </c>
      <c r="N218" s="1846">
        <v>76.318256359157104</v>
      </c>
    </row>
    <row r="219" spans="1:14">
      <c r="A219" s="53">
        <f t="shared" si="1"/>
        <v>2011.06</v>
      </c>
      <c r="B219" s="1847">
        <v>76.1469065009357</v>
      </c>
      <c r="C219" s="3645">
        <v>65.970068433040296</v>
      </c>
      <c r="D219" s="1845">
        <v>68.829851851851799</v>
      </c>
      <c r="E219" s="3645">
        <v>81.108224329402702</v>
      </c>
      <c r="F219" s="1845">
        <v>79.121596452328205</v>
      </c>
      <c r="G219" s="3645">
        <v>75.551073383833</v>
      </c>
      <c r="H219" s="1845">
        <v>84.384684672237896</v>
      </c>
      <c r="I219" s="3645">
        <v>76.480732922238403</v>
      </c>
      <c r="J219" s="1845">
        <v>72.976277618503801</v>
      </c>
      <c r="K219" s="3645">
        <v>77.429024548332293</v>
      </c>
      <c r="L219" s="1845">
        <v>84.821548674801505</v>
      </c>
      <c r="M219" s="3645">
        <v>83.986014760467199</v>
      </c>
      <c r="N219" s="1846">
        <v>72.047096139784998</v>
      </c>
    </row>
    <row r="220" spans="1:14">
      <c r="A220" s="53">
        <f t="shared" si="1"/>
        <v>2011.07</v>
      </c>
      <c r="B220" s="1847">
        <v>75.724146795700406</v>
      </c>
      <c r="C220" s="3645">
        <v>67.598989541060604</v>
      </c>
      <c r="D220" s="1845">
        <v>65.327407407407406</v>
      </c>
      <c r="E220" s="3645">
        <v>73.971625069413605</v>
      </c>
      <c r="F220" s="1845">
        <v>79.165188470066497</v>
      </c>
      <c r="G220" s="3645">
        <v>79.184696675556495</v>
      </c>
      <c r="H220" s="1845">
        <v>86.094343669019807</v>
      </c>
      <c r="I220" s="3645">
        <v>77.971237217619503</v>
      </c>
      <c r="J220" s="1845">
        <v>71.034014794525802</v>
      </c>
      <c r="K220" s="3645">
        <v>79.838777576887097</v>
      </c>
      <c r="L220" s="1845">
        <v>88.071099404000293</v>
      </c>
      <c r="M220" s="3645">
        <v>71.903660149856606</v>
      </c>
      <c r="N220" s="1846">
        <v>70.807832751779898</v>
      </c>
    </row>
    <row r="221" spans="1:14">
      <c r="A221" s="53">
        <f t="shared" si="1"/>
        <v>2011.08</v>
      </c>
      <c r="B221" s="1847">
        <v>78.059847407217106</v>
      </c>
      <c r="C221" s="3645">
        <v>72.191849442208706</v>
      </c>
      <c r="D221" s="1845">
        <v>62.546531612903202</v>
      </c>
      <c r="E221" s="3645">
        <v>72.862826619647606</v>
      </c>
      <c r="F221" s="1845">
        <v>79.552318862400597</v>
      </c>
      <c r="G221" s="3645">
        <v>81.258700930501703</v>
      </c>
      <c r="H221" s="1845">
        <v>75.450415512465398</v>
      </c>
      <c r="I221" s="3645">
        <v>77.328822219707007</v>
      </c>
      <c r="J221" s="1845">
        <v>71.285988214621</v>
      </c>
      <c r="K221" s="3645">
        <v>82.954776606507593</v>
      </c>
      <c r="L221" s="1845">
        <v>87.918714807287401</v>
      </c>
      <c r="M221" s="3645">
        <v>87.589414377327998</v>
      </c>
      <c r="N221" s="1846">
        <v>74.107767070759607</v>
      </c>
    </row>
    <row r="222" spans="1:14">
      <c r="A222" s="53">
        <f t="shared" si="1"/>
        <v>2011.09</v>
      </c>
      <c r="B222" s="1847">
        <v>83.653628692709304</v>
      </c>
      <c r="C222" s="3645">
        <v>79.342518001185695</v>
      </c>
      <c r="D222" s="1845">
        <v>68.796145185185196</v>
      </c>
      <c r="E222" s="3645">
        <v>73.906136690208896</v>
      </c>
      <c r="F222" s="1845">
        <v>89.1347477448234</v>
      </c>
      <c r="G222" s="3645">
        <v>90.879266814125302</v>
      </c>
      <c r="H222" s="1845">
        <v>87.466114235723595</v>
      </c>
      <c r="I222" s="3645">
        <v>86.168032866819303</v>
      </c>
      <c r="J222" s="1845">
        <v>77.7078121753228</v>
      </c>
      <c r="K222" s="3645">
        <v>90.096588230269703</v>
      </c>
      <c r="L222" s="1845">
        <v>84.932204885565</v>
      </c>
      <c r="M222" s="3645">
        <v>87.308084328104997</v>
      </c>
      <c r="N222" s="1846">
        <v>78.857604413978507</v>
      </c>
    </row>
    <row r="223" spans="1:14">
      <c r="A223" s="53">
        <f t="shared" si="1"/>
        <v>2011.1</v>
      </c>
      <c r="B223" s="1847">
        <v>80.036986572055497</v>
      </c>
      <c r="C223" s="3645">
        <v>83.008161946939893</v>
      </c>
      <c r="D223" s="1845">
        <v>58.275734767025099</v>
      </c>
      <c r="E223" s="3645">
        <v>71.178097819418099</v>
      </c>
      <c r="F223" s="1845">
        <v>81.634180457077605</v>
      </c>
      <c r="G223" s="3645">
        <v>82.472095663601905</v>
      </c>
      <c r="H223" s="1845">
        <v>77.296398891966803</v>
      </c>
      <c r="I223" s="3645">
        <v>83.774666814950706</v>
      </c>
      <c r="J223" s="1845">
        <v>76.542067447985303</v>
      </c>
      <c r="K223" s="3645">
        <v>83.962358351970806</v>
      </c>
      <c r="L223" s="1845">
        <v>86.4727044918329</v>
      </c>
      <c r="M223" s="3645">
        <v>74.653339268546205</v>
      </c>
      <c r="N223" s="1846">
        <v>74.120131442819996</v>
      </c>
    </row>
    <row r="224" spans="1:14">
      <c r="A224" s="53">
        <f t="shared" si="1"/>
        <v>2011.11</v>
      </c>
      <c r="B224" s="1847">
        <v>84.100708697195898</v>
      </c>
      <c r="C224" s="3645">
        <v>85.143023757950203</v>
      </c>
      <c r="D224" s="1845">
        <v>58.387522962962997</v>
      </c>
      <c r="E224" s="3645">
        <v>78.035565426385702</v>
      </c>
      <c r="F224" s="1845">
        <v>89.338482834066397</v>
      </c>
      <c r="G224" s="3645">
        <v>86.311347044021801</v>
      </c>
      <c r="H224" s="1845">
        <v>77.501120110803299</v>
      </c>
      <c r="I224" s="3645">
        <v>89.173274927763302</v>
      </c>
      <c r="J224" s="1845">
        <v>85.672082171709704</v>
      </c>
      <c r="K224" s="3645">
        <v>86.313548615873401</v>
      </c>
      <c r="L224" s="1845">
        <v>84.644863554341498</v>
      </c>
      <c r="M224" s="3645">
        <v>84.2805927412209</v>
      </c>
      <c r="N224" s="1846">
        <v>79.833009559559599</v>
      </c>
    </row>
    <row r="225" spans="1:14">
      <c r="A225" s="53">
        <f t="shared" si="1"/>
        <v>2011.12</v>
      </c>
      <c r="B225" s="1847">
        <v>81.958017955796507</v>
      </c>
      <c r="C225" s="3645">
        <v>84.044294917355103</v>
      </c>
      <c r="D225" s="1845">
        <v>59.800051111111102</v>
      </c>
      <c r="E225" s="3645">
        <v>77.958146599195601</v>
      </c>
      <c r="F225" s="1845">
        <v>87.8315301248753</v>
      </c>
      <c r="G225" s="3645">
        <v>85.150151209288794</v>
      </c>
      <c r="H225" s="1845">
        <v>87.402932640200106</v>
      </c>
      <c r="I225" s="3645">
        <v>91.388950045906796</v>
      </c>
      <c r="J225" s="1845">
        <v>83.713916558771999</v>
      </c>
      <c r="K225" s="3645">
        <v>84.365630390650907</v>
      </c>
      <c r="L225" s="1845">
        <v>83.144300244312205</v>
      </c>
      <c r="M225" s="3645">
        <v>58.683101362739002</v>
      </c>
      <c r="N225" s="1846">
        <v>80.8631211857018</v>
      </c>
    </row>
    <row r="226" spans="1:14">
      <c r="A226" s="53">
        <f t="shared" si="1"/>
        <v>2012.01</v>
      </c>
      <c r="B226" s="1847">
        <v>67.641832268171399</v>
      </c>
      <c r="C226" s="3645">
        <v>66.510693505503099</v>
      </c>
      <c r="D226" s="1845">
        <v>71.606520161290305</v>
      </c>
      <c r="E226" s="3645">
        <v>64.636966002032395</v>
      </c>
      <c r="F226" s="1845">
        <v>70.806492811672996</v>
      </c>
      <c r="G226" s="3645">
        <v>77.2981087919039</v>
      </c>
      <c r="H226" s="1845">
        <v>82.494622253759204</v>
      </c>
      <c r="I226" s="3645">
        <v>77.039365164344005</v>
      </c>
      <c r="J226" s="1845">
        <v>76.756770594779198</v>
      </c>
      <c r="K226" s="3645">
        <v>74.406096703464002</v>
      </c>
      <c r="L226" s="1845">
        <v>67.282097230638797</v>
      </c>
      <c r="M226" s="3645">
        <v>41.420894818374698</v>
      </c>
      <c r="N226" s="1846">
        <v>62.1583297618497</v>
      </c>
    </row>
    <row r="227" spans="1:14">
      <c r="A227" s="53">
        <f t="shared" si="1"/>
        <v>2012.02</v>
      </c>
      <c r="B227" s="1847">
        <v>75.270823246216494</v>
      </c>
      <c r="C227" s="3645">
        <v>73.1752038598013</v>
      </c>
      <c r="D227" s="1845">
        <v>69.209822988505707</v>
      </c>
      <c r="E227" s="3645">
        <v>79.781170475072599</v>
      </c>
      <c r="F227" s="1845">
        <v>78.180747921815794</v>
      </c>
      <c r="G227" s="3645">
        <v>85.500114995375299</v>
      </c>
      <c r="H227" s="1845">
        <v>81.179452003927807</v>
      </c>
      <c r="I227" s="3645">
        <v>81.706029840062797</v>
      </c>
      <c r="J227" s="1845">
        <v>86.339122931166798</v>
      </c>
      <c r="K227" s="3645">
        <v>72.0995632379136</v>
      </c>
      <c r="L227" s="1845">
        <v>86.880171579505102</v>
      </c>
      <c r="M227" s="3645">
        <v>62.250926159618999</v>
      </c>
      <c r="N227" s="1846">
        <v>62.3307862889706</v>
      </c>
    </row>
    <row r="228" spans="1:14">
      <c r="A228" s="53">
        <f t="shared" si="1"/>
        <v>2012.03</v>
      </c>
      <c r="B228" s="1847">
        <v>75.263468850170298</v>
      </c>
      <c r="C228" s="3645">
        <v>68.470577464228199</v>
      </c>
      <c r="D228" s="1845">
        <v>75.8</v>
      </c>
      <c r="E228" s="3645">
        <v>77.983084803521606</v>
      </c>
      <c r="F228" s="1845">
        <v>80.4215083069694</v>
      </c>
      <c r="G228" s="3645">
        <v>79.909607241505498</v>
      </c>
      <c r="H228" s="1845">
        <v>82.4612252703065</v>
      </c>
      <c r="I228" s="3645">
        <v>83.095356403424603</v>
      </c>
      <c r="J228" s="1845">
        <v>82.044554058865302</v>
      </c>
      <c r="K228" s="3645">
        <v>76.697652649745706</v>
      </c>
      <c r="L228" s="1845">
        <v>85.8</v>
      </c>
      <c r="M228" s="3645">
        <v>70.374555681711101</v>
      </c>
      <c r="N228" s="1846">
        <v>62.440049932965202</v>
      </c>
    </row>
    <row r="229" spans="1:14">
      <c r="A229" s="53">
        <f t="shared" si="1"/>
        <v>2012.04</v>
      </c>
      <c r="B229" s="1847">
        <v>78.871169005672201</v>
      </c>
      <c r="C229" s="3645">
        <v>75.476944333287804</v>
      </c>
      <c r="D229" s="1845">
        <v>91.2</v>
      </c>
      <c r="E229" s="3645">
        <v>81.248655534465001</v>
      </c>
      <c r="F229" s="1845">
        <v>86.493939916912197</v>
      </c>
      <c r="G229" s="3645">
        <v>87.617916636088196</v>
      </c>
      <c r="H229" s="1845">
        <v>83.112965900382207</v>
      </c>
      <c r="I229" s="3645">
        <v>83.255714893370296</v>
      </c>
      <c r="J229" s="1845">
        <v>87.515408713999605</v>
      </c>
      <c r="K229" s="3645">
        <v>77.5011085328631</v>
      </c>
      <c r="L229" s="1845">
        <v>89.741387603014005</v>
      </c>
      <c r="M229" s="3645">
        <v>58.600672384517203</v>
      </c>
      <c r="N229" s="1846">
        <v>75.653817757989003</v>
      </c>
    </row>
    <row r="230" spans="1:14">
      <c r="A230" s="53">
        <f t="shared" si="1"/>
        <v>2012.05</v>
      </c>
      <c r="B230" s="1847">
        <v>73.141299355907606</v>
      </c>
      <c r="C230" s="3645">
        <v>72.261078891062695</v>
      </c>
      <c r="D230" s="1845">
        <v>72.646577638301494</v>
      </c>
      <c r="E230" s="3645">
        <v>85.600522048869195</v>
      </c>
      <c r="F230" s="1845">
        <v>83.128873269908695</v>
      </c>
      <c r="G230" s="3645">
        <v>82.725371449609099</v>
      </c>
      <c r="H230" s="1845">
        <v>82.046782769154902</v>
      </c>
      <c r="I230" s="3645">
        <v>68.086798709354497</v>
      </c>
      <c r="J230" s="1845">
        <v>77.957828397178304</v>
      </c>
      <c r="K230" s="3645">
        <v>82.299479193074802</v>
      </c>
      <c r="L230" s="1845">
        <v>81.256160947053999</v>
      </c>
      <c r="M230" s="3645">
        <v>64.339775148798594</v>
      </c>
      <c r="N230" s="1846">
        <v>64.013369920949501</v>
      </c>
    </row>
    <row r="231" spans="1:14">
      <c r="A231" s="53">
        <f t="shared" si="1"/>
        <v>2012.06</v>
      </c>
      <c r="B231" s="1847">
        <v>71.962143156343501</v>
      </c>
      <c r="C231" s="3645">
        <v>66.280659691895494</v>
      </c>
      <c r="D231" s="1845">
        <v>63.901234567901199</v>
      </c>
      <c r="E231" s="3645">
        <v>84.760086123291501</v>
      </c>
      <c r="F231" s="1845">
        <v>84.841093865484098</v>
      </c>
      <c r="G231" s="3645">
        <v>74.424836601307206</v>
      </c>
      <c r="H231" s="1845">
        <v>85.872576177285296</v>
      </c>
      <c r="I231" s="3645">
        <v>75.370377840365705</v>
      </c>
      <c r="J231" s="1845">
        <v>77.2683016035311</v>
      </c>
      <c r="K231" s="3645">
        <v>77.933691935145603</v>
      </c>
      <c r="L231" s="1845">
        <v>83.422417845020703</v>
      </c>
      <c r="M231" s="3645">
        <v>58.071374335611203</v>
      </c>
      <c r="N231" s="1846">
        <v>61.986986986986999</v>
      </c>
    </row>
    <row r="232" spans="1:14">
      <c r="A232" s="53">
        <f t="shared" si="1"/>
        <v>2012.07</v>
      </c>
      <c r="B232" s="1847">
        <v>71.314511690103302</v>
      </c>
      <c r="C232" s="3645">
        <v>66.937527017599706</v>
      </c>
      <c r="D232" s="1845">
        <v>69.533581600807295</v>
      </c>
      <c r="E232" s="3645">
        <v>81.871014910271597</v>
      </c>
      <c r="F232" s="1845">
        <v>82.827919487872293</v>
      </c>
      <c r="G232" s="3645">
        <v>76.761543327008198</v>
      </c>
      <c r="H232" s="1845">
        <v>87.813174508263103</v>
      </c>
      <c r="I232" s="3645">
        <v>72.049498156481704</v>
      </c>
      <c r="J232" s="1845">
        <v>76.565674582140105</v>
      </c>
      <c r="K232" s="3645">
        <v>77.305679904445896</v>
      </c>
      <c r="L232" s="1845">
        <v>64.639596424049302</v>
      </c>
      <c r="M232" s="3645">
        <v>70.0290593413674</v>
      </c>
      <c r="N232" s="1846">
        <v>63.891250078684998</v>
      </c>
    </row>
    <row r="233" spans="1:14">
      <c r="A233" s="53">
        <f t="shared" si="1"/>
        <v>2012.08</v>
      </c>
      <c r="B233" s="1847">
        <v>74.0181221511979</v>
      </c>
      <c r="C233" s="3645">
        <v>71.406978414950302</v>
      </c>
      <c r="D233" s="1845">
        <v>69.026284348865005</v>
      </c>
      <c r="E233" s="3645">
        <v>78.029454717436195</v>
      </c>
      <c r="F233" s="1845">
        <v>81.823954239380797</v>
      </c>
      <c r="G233" s="3645">
        <v>83.303186085415604</v>
      </c>
      <c r="H233" s="1845">
        <v>87.391654007684707</v>
      </c>
      <c r="I233" s="3645">
        <v>69.347868671328698</v>
      </c>
      <c r="J233" s="1845">
        <v>74.621361125632603</v>
      </c>
      <c r="K233" s="3645">
        <v>76.524389845511905</v>
      </c>
      <c r="L233" s="1845">
        <v>70.4237495699834</v>
      </c>
      <c r="M233" s="3645">
        <v>81.471099619345196</v>
      </c>
      <c r="N233" s="1846">
        <v>65.572140327788205</v>
      </c>
    </row>
    <row r="234" spans="1:14">
      <c r="A234" s="53">
        <f t="shared" si="1"/>
        <v>2012.09</v>
      </c>
      <c r="B234" s="1847">
        <v>75.843105143114499</v>
      </c>
      <c r="C234" s="3645">
        <v>75.513148861758907</v>
      </c>
      <c r="D234" s="1845">
        <v>63.555118200860903</v>
      </c>
      <c r="E234" s="3645">
        <v>79.062634010591694</v>
      </c>
      <c r="F234" s="1845">
        <v>86.416532614524002</v>
      </c>
      <c r="G234" s="3645">
        <v>84.539969834087501</v>
      </c>
      <c r="H234" s="1845">
        <v>90.786162464643297</v>
      </c>
      <c r="I234" s="3645">
        <v>75.012289153330101</v>
      </c>
      <c r="J234" s="1845">
        <v>76.416141340883797</v>
      </c>
      <c r="K234" s="3645">
        <v>78.058174375267399</v>
      </c>
      <c r="L234" s="1845">
        <v>74.683906389866706</v>
      </c>
      <c r="M234" s="3645">
        <v>73.139895194541396</v>
      </c>
      <c r="N234" s="1846">
        <v>65.591397849462396</v>
      </c>
    </row>
    <row r="235" spans="1:14">
      <c r="A235" s="53">
        <f t="shared" si="1"/>
        <v>2012.1</v>
      </c>
      <c r="B235" s="1847">
        <v>76.400000000000006</v>
      </c>
      <c r="C235" s="3645">
        <v>75</v>
      </c>
      <c r="D235" s="1845">
        <v>71.2</v>
      </c>
      <c r="E235" s="3645">
        <v>78.3</v>
      </c>
      <c r="F235" s="1845">
        <v>82.2</v>
      </c>
      <c r="G235" s="3645">
        <v>79.900000000000006</v>
      </c>
      <c r="H235" s="1845">
        <v>88.3</v>
      </c>
      <c r="I235" s="3645">
        <v>78.099999999999994</v>
      </c>
      <c r="J235" s="1845">
        <v>75.400000000000006</v>
      </c>
      <c r="K235" s="3645">
        <v>83.1</v>
      </c>
      <c r="L235" s="1845">
        <v>75.3</v>
      </c>
      <c r="M235" s="3645">
        <v>80.5</v>
      </c>
      <c r="N235" s="1846">
        <v>63.3</v>
      </c>
    </row>
    <row r="236" spans="1:14">
      <c r="A236" s="53">
        <f t="shared" si="1"/>
        <v>2012.11</v>
      </c>
      <c r="B236" s="1847">
        <v>78.5</v>
      </c>
      <c r="C236" s="3645">
        <v>78.2</v>
      </c>
      <c r="D236" s="1845">
        <v>71.900000000000006</v>
      </c>
      <c r="E236" s="3645">
        <v>82.5</v>
      </c>
      <c r="F236" s="1845">
        <v>80.7</v>
      </c>
      <c r="G236" s="3645">
        <v>78</v>
      </c>
      <c r="H236" s="1845">
        <v>83.4</v>
      </c>
      <c r="I236" s="3645">
        <v>83</v>
      </c>
      <c r="J236" s="1845">
        <v>79.900000000000006</v>
      </c>
      <c r="K236" s="3645">
        <v>82.6</v>
      </c>
      <c r="L236" s="1845">
        <v>74.5</v>
      </c>
      <c r="M236" s="3645">
        <v>82.8</v>
      </c>
      <c r="N236" s="1846">
        <v>69.3</v>
      </c>
    </row>
    <row r="237" spans="1:14">
      <c r="A237" s="53">
        <f t="shared" si="1"/>
        <v>2012.12</v>
      </c>
      <c r="B237" s="1847">
        <v>75.8</v>
      </c>
      <c r="C237" s="3645">
        <v>78.8</v>
      </c>
      <c r="D237" s="1845">
        <v>62.6</v>
      </c>
      <c r="E237" s="3645">
        <v>71.8</v>
      </c>
      <c r="F237" s="1845">
        <v>76.2</v>
      </c>
      <c r="G237" s="3645">
        <v>73.3</v>
      </c>
      <c r="H237" s="1845">
        <v>87.2</v>
      </c>
      <c r="I237" s="3645">
        <v>82</v>
      </c>
      <c r="J237" s="1845">
        <v>77.5</v>
      </c>
      <c r="K237" s="3645">
        <v>76.099999999999994</v>
      </c>
      <c r="L237" s="1845">
        <v>68.900000000000006</v>
      </c>
      <c r="M237" s="3645">
        <v>66.3</v>
      </c>
      <c r="N237" s="1846">
        <v>72.5</v>
      </c>
    </row>
    <row r="238" spans="1:14">
      <c r="A238" s="53">
        <f t="shared" si="1"/>
        <v>2013.01</v>
      </c>
      <c r="B238" s="1847">
        <v>65.599999999999994</v>
      </c>
      <c r="C238" s="3645">
        <v>66</v>
      </c>
      <c r="D238" s="1845">
        <v>74.3</v>
      </c>
      <c r="E238" s="3645">
        <v>63.6</v>
      </c>
      <c r="F238" s="1845">
        <v>75</v>
      </c>
      <c r="G238" s="3645">
        <v>68.7</v>
      </c>
      <c r="H238" s="1845">
        <v>84</v>
      </c>
      <c r="I238" s="3645">
        <v>78</v>
      </c>
      <c r="J238" s="1845">
        <v>76.3</v>
      </c>
      <c r="K238" s="3645">
        <v>73.2</v>
      </c>
      <c r="L238" s="1845">
        <v>60.4</v>
      </c>
      <c r="M238" s="3645">
        <v>42.3</v>
      </c>
      <c r="N238" s="1846">
        <v>54.4</v>
      </c>
    </row>
    <row r="239" spans="1:14">
      <c r="A239" s="53">
        <f t="shared" si="1"/>
        <v>2013.02</v>
      </c>
      <c r="B239" s="1847">
        <v>71.5</v>
      </c>
      <c r="C239" s="3645">
        <v>70.7</v>
      </c>
      <c r="D239" s="1845">
        <v>70.7</v>
      </c>
      <c r="E239" s="3645">
        <v>70</v>
      </c>
      <c r="F239" s="1845">
        <v>77</v>
      </c>
      <c r="G239" s="3645">
        <v>73.3</v>
      </c>
      <c r="H239" s="1845">
        <v>84.2</v>
      </c>
      <c r="I239" s="3645">
        <v>84.3</v>
      </c>
      <c r="J239" s="1845">
        <v>77.099999999999994</v>
      </c>
      <c r="K239" s="3645">
        <v>78.900000000000006</v>
      </c>
      <c r="L239" s="1845">
        <v>65.900000000000006</v>
      </c>
      <c r="M239" s="3645">
        <v>61.4</v>
      </c>
      <c r="N239" s="1846">
        <v>58.6</v>
      </c>
    </row>
    <row r="240" spans="1:14">
      <c r="A240" s="53">
        <f t="shared" si="1"/>
        <v>2013.03</v>
      </c>
      <c r="B240" s="1847">
        <v>72.7</v>
      </c>
      <c r="C240" s="3645">
        <v>66.2</v>
      </c>
      <c r="D240" s="1845">
        <v>71.099999999999994</v>
      </c>
      <c r="E240" s="3645">
        <v>68.5</v>
      </c>
      <c r="F240" s="1845">
        <v>79</v>
      </c>
      <c r="G240" s="3645">
        <v>67</v>
      </c>
      <c r="H240" s="1845">
        <v>88.3</v>
      </c>
      <c r="I240" s="3645">
        <v>78.400000000000006</v>
      </c>
      <c r="J240" s="1845">
        <v>74.7</v>
      </c>
      <c r="K240" s="3645">
        <v>81.099999999999994</v>
      </c>
      <c r="L240" s="1845">
        <v>83.5</v>
      </c>
      <c r="M240" s="3645">
        <v>80.900000000000006</v>
      </c>
      <c r="N240" s="1846">
        <v>51.6</v>
      </c>
    </row>
    <row r="241" spans="1:14">
      <c r="A241" s="53">
        <f t="shared" si="1"/>
        <v>2013.04</v>
      </c>
      <c r="B241" s="1847">
        <v>75.900000000000006</v>
      </c>
      <c r="C241" s="3645">
        <v>70.3</v>
      </c>
      <c r="D241" s="1845">
        <v>66.8</v>
      </c>
      <c r="E241" s="3645">
        <v>75.599999999999994</v>
      </c>
      <c r="F241" s="1845">
        <v>79.8</v>
      </c>
      <c r="G241" s="3645">
        <v>72.5</v>
      </c>
      <c r="H241" s="1845">
        <v>76.3</v>
      </c>
      <c r="I241" s="3645">
        <v>81.7</v>
      </c>
      <c r="J241" s="1845">
        <v>76</v>
      </c>
      <c r="K241" s="3645">
        <v>82.2</v>
      </c>
      <c r="L241" s="1845">
        <v>83.8</v>
      </c>
      <c r="M241" s="3645">
        <v>79</v>
      </c>
      <c r="N241" s="1846">
        <v>68.2</v>
      </c>
    </row>
    <row r="242" spans="1:14">
      <c r="A242" s="53">
        <f t="shared" ref="A242:A305" si="2">A230+1</f>
        <v>2013.05</v>
      </c>
      <c r="B242" s="1847">
        <v>73.3</v>
      </c>
      <c r="C242" s="3645">
        <v>68</v>
      </c>
      <c r="D242" s="1845">
        <v>70.2</v>
      </c>
      <c r="E242" s="3645">
        <v>78</v>
      </c>
      <c r="F242" s="1845">
        <v>80.099999999999994</v>
      </c>
      <c r="G242" s="3645">
        <v>74.5</v>
      </c>
      <c r="H242" s="1845">
        <v>77.2</v>
      </c>
      <c r="I242" s="3645">
        <v>72.7</v>
      </c>
      <c r="J242" s="1845">
        <v>72.2</v>
      </c>
      <c r="K242" s="3645">
        <v>84.2</v>
      </c>
      <c r="L242" s="1845">
        <v>81</v>
      </c>
      <c r="M242" s="3645">
        <v>81.8</v>
      </c>
      <c r="N242" s="1846">
        <v>61.8</v>
      </c>
    </row>
    <row r="243" spans="1:14">
      <c r="A243" s="53">
        <f t="shared" si="2"/>
        <v>2013.06</v>
      </c>
      <c r="B243" s="1847">
        <v>71.5</v>
      </c>
      <c r="C243" s="3645">
        <v>66.8</v>
      </c>
      <c r="D243" s="1845">
        <v>55.4</v>
      </c>
      <c r="E243" s="3645">
        <v>80.599999999999994</v>
      </c>
      <c r="F243" s="1845">
        <v>81.5</v>
      </c>
      <c r="G243" s="3645">
        <v>76.5</v>
      </c>
      <c r="H243" s="1845">
        <v>84.2</v>
      </c>
      <c r="I243" s="3645">
        <v>70.3</v>
      </c>
      <c r="J243" s="1845">
        <v>74.900000000000006</v>
      </c>
      <c r="K243" s="3645">
        <v>82.8</v>
      </c>
      <c r="L243" s="1845">
        <v>75.8</v>
      </c>
      <c r="M243" s="3645">
        <v>67.5</v>
      </c>
      <c r="N243" s="1846">
        <v>63</v>
      </c>
    </row>
    <row r="244" spans="1:14">
      <c r="A244" s="53">
        <f t="shared" si="2"/>
        <v>2013.07</v>
      </c>
      <c r="B244" s="1847">
        <v>71.099999999999994</v>
      </c>
      <c r="C244" s="3645">
        <v>68.400000000000006</v>
      </c>
      <c r="D244" s="1845">
        <v>65.5</v>
      </c>
      <c r="E244" s="3645">
        <v>78</v>
      </c>
      <c r="F244" s="1845">
        <v>80.8</v>
      </c>
      <c r="G244" s="3645">
        <v>73.3</v>
      </c>
      <c r="H244" s="1845">
        <v>84</v>
      </c>
      <c r="I244" s="3645">
        <v>65.8</v>
      </c>
      <c r="J244" s="1845">
        <v>74.900000000000006</v>
      </c>
      <c r="K244" s="3645">
        <v>78.7</v>
      </c>
      <c r="L244" s="1845">
        <v>81.2</v>
      </c>
      <c r="M244" s="3645">
        <v>72.2</v>
      </c>
      <c r="N244" s="1846">
        <v>58.1</v>
      </c>
    </row>
    <row r="245" spans="1:14">
      <c r="A245" s="53">
        <f t="shared" si="2"/>
        <v>2013.08</v>
      </c>
      <c r="B245" s="1847">
        <v>73</v>
      </c>
      <c r="C245" s="3645">
        <v>69.599999999999994</v>
      </c>
      <c r="D245" s="1845">
        <v>63.4</v>
      </c>
      <c r="E245" s="3645">
        <v>77.599999999999994</v>
      </c>
      <c r="F245" s="1845">
        <v>81</v>
      </c>
      <c r="G245" s="3645">
        <v>72.900000000000006</v>
      </c>
      <c r="H245" s="1845">
        <v>86.7</v>
      </c>
      <c r="I245" s="3645">
        <v>69.8</v>
      </c>
      <c r="J245" s="1845">
        <v>75.2</v>
      </c>
      <c r="K245" s="3645">
        <v>81.8</v>
      </c>
      <c r="L245" s="1845">
        <v>83.5</v>
      </c>
      <c r="M245" s="3645">
        <v>71.099999999999994</v>
      </c>
      <c r="N245" s="1846">
        <v>62</v>
      </c>
    </row>
    <row r="246" spans="1:14">
      <c r="A246" s="53">
        <f t="shared" si="2"/>
        <v>2013.09</v>
      </c>
      <c r="B246" s="1847">
        <v>75.2</v>
      </c>
      <c r="C246" s="3645">
        <v>72.5</v>
      </c>
      <c r="D246" s="1845">
        <v>64.2</v>
      </c>
      <c r="E246" s="3645">
        <v>84.2</v>
      </c>
      <c r="F246" s="1845">
        <v>80.599999999999994</v>
      </c>
      <c r="G246" s="3645">
        <v>76.8</v>
      </c>
      <c r="H246" s="1845">
        <v>89.2</v>
      </c>
      <c r="I246" s="3645">
        <v>72.5</v>
      </c>
      <c r="J246" s="1845">
        <v>76.7</v>
      </c>
      <c r="K246" s="3645">
        <v>85.6</v>
      </c>
      <c r="L246" s="1845">
        <v>83.8</v>
      </c>
      <c r="M246" s="3645">
        <v>75.3</v>
      </c>
      <c r="N246" s="1846">
        <v>61.8</v>
      </c>
    </row>
    <row r="247" spans="1:14">
      <c r="A247" s="53">
        <f t="shared" si="2"/>
        <v>2013.1</v>
      </c>
      <c r="B247" s="1847">
        <v>75.400000000000006</v>
      </c>
      <c r="C247" s="3645">
        <v>73.8</v>
      </c>
      <c r="D247" s="1845">
        <v>67.099999999999994</v>
      </c>
      <c r="E247" s="3645">
        <v>81.599999999999994</v>
      </c>
      <c r="F247" s="1845">
        <v>82</v>
      </c>
      <c r="G247" s="3645">
        <v>75.599999999999994</v>
      </c>
      <c r="H247" s="1845">
        <v>85</v>
      </c>
      <c r="I247" s="3645">
        <v>75.900000000000006</v>
      </c>
      <c r="J247" s="1845">
        <v>76.599999999999994</v>
      </c>
      <c r="K247" s="3645">
        <v>87.7</v>
      </c>
      <c r="L247" s="1845">
        <v>83.7</v>
      </c>
      <c r="M247" s="3645">
        <v>75.2</v>
      </c>
      <c r="N247" s="1846">
        <v>60.1</v>
      </c>
    </row>
    <row r="248" spans="1:14">
      <c r="A248" s="53">
        <f t="shared" si="2"/>
        <v>2013.11</v>
      </c>
      <c r="B248" s="1847">
        <v>75.3</v>
      </c>
      <c r="C248" s="3645">
        <v>73</v>
      </c>
      <c r="D248" s="1845">
        <v>68.3</v>
      </c>
      <c r="E248" s="3645">
        <v>83.7</v>
      </c>
      <c r="F248" s="1845">
        <v>80</v>
      </c>
      <c r="G248" s="3645">
        <v>75.400000000000006</v>
      </c>
      <c r="H248" s="1845">
        <v>85.2</v>
      </c>
      <c r="I248" s="3645">
        <v>78.400000000000006</v>
      </c>
      <c r="J248" s="1845">
        <v>78.5</v>
      </c>
      <c r="K248" s="3645">
        <v>88.3</v>
      </c>
      <c r="L248" s="1845">
        <v>85.4</v>
      </c>
      <c r="M248" s="3645">
        <v>64.3</v>
      </c>
      <c r="N248" s="1846">
        <v>63.9</v>
      </c>
    </row>
    <row r="249" spans="1:14">
      <c r="A249" s="53">
        <f t="shared" si="2"/>
        <v>2013.12</v>
      </c>
      <c r="B249" s="1847">
        <v>72.099999999999994</v>
      </c>
      <c r="C249" s="3645">
        <v>79</v>
      </c>
      <c r="D249" s="1845">
        <v>63</v>
      </c>
      <c r="E249" s="3645">
        <v>75.7</v>
      </c>
      <c r="F249" s="1845">
        <v>77.099999999999994</v>
      </c>
      <c r="G249" s="3645">
        <v>72.900000000000006</v>
      </c>
      <c r="H249" s="1845">
        <v>86</v>
      </c>
      <c r="I249" s="3645">
        <v>78</v>
      </c>
      <c r="J249" s="1845">
        <v>71.900000000000006</v>
      </c>
      <c r="K249" s="3645">
        <v>80.099999999999994</v>
      </c>
      <c r="L249" s="1845">
        <v>81.400000000000006</v>
      </c>
      <c r="M249" s="3645">
        <v>44.8</v>
      </c>
      <c r="N249" s="1846">
        <v>59.7</v>
      </c>
    </row>
    <row r="250" spans="1:14">
      <c r="A250" s="53">
        <f t="shared" si="2"/>
        <v>2014.01</v>
      </c>
      <c r="B250" s="1847">
        <v>63.7</v>
      </c>
      <c r="C250" s="3645">
        <v>64.2</v>
      </c>
      <c r="D250" s="1845">
        <v>72.599999999999994</v>
      </c>
      <c r="E250" s="3645">
        <v>68</v>
      </c>
      <c r="F250" s="1845">
        <v>73.400000000000006</v>
      </c>
      <c r="G250" s="3645">
        <v>70.7</v>
      </c>
      <c r="H250" s="1845">
        <v>85.1</v>
      </c>
      <c r="I250" s="3645">
        <v>71.599999999999994</v>
      </c>
      <c r="J250" s="1845">
        <v>70.599999999999994</v>
      </c>
      <c r="K250" s="3645">
        <v>72.900000000000006</v>
      </c>
      <c r="L250" s="1845">
        <v>72</v>
      </c>
      <c r="M250" s="3645">
        <v>34.6</v>
      </c>
      <c r="N250" s="1846">
        <v>48.2</v>
      </c>
    </row>
    <row r="251" spans="1:14">
      <c r="A251" s="53">
        <f t="shared" si="2"/>
        <v>2014.02</v>
      </c>
      <c r="B251" s="1847">
        <v>70.14</v>
      </c>
      <c r="C251" s="3645">
        <v>70.099999999999994</v>
      </c>
      <c r="D251" s="1845">
        <v>74</v>
      </c>
      <c r="E251" s="3645">
        <v>76.2</v>
      </c>
      <c r="F251" s="1845">
        <v>78.400000000000006</v>
      </c>
      <c r="G251" s="3645">
        <v>77.2</v>
      </c>
      <c r="H251" s="1845">
        <v>84.9</v>
      </c>
      <c r="I251" s="3645">
        <v>77.8</v>
      </c>
      <c r="J251" s="1845">
        <v>68.5</v>
      </c>
      <c r="K251" s="3645">
        <v>74.5</v>
      </c>
      <c r="L251" s="1845">
        <v>74.099999999999994</v>
      </c>
      <c r="M251" s="3645">
        <v>58.2</v>
      </c>
      <c r="N251" s="1846">
        <v>53.5</v>
      </c>
    </row>
    <row r="252" spans="1:14">
      <c r="A252" s="53">
        <f t="shared" si="2"/>
        <v>2014.03</v>
      </c>
      <c r="B252" s="1847">
        <v>67.900000000000006</v>
      </c>
      <c r="C252" s="3645">
        <v>65.8</v>
      </c>
      <c r="D252" s="1845">
        <v>62</v>
      </c>
      <c r="E252" s="3645">
        <v>72.900000000000006</v>
      </c>
      <c r="F252" s="1845">
        <v>77.599999999999994</v>
      </c>
      <c r="G252" s="3645">
        <v>72.7</v>
      </c>
      <c r="H252" s="1845">
        <v>70</v>
      </c>
      <c r="I252" s="3645">
        <v>76.400000000000006</v>
      </c>
      <c r="J252" s="1845">
        <v>68.099999999999994</v>
      </c>
      <c r="K252" s="3645">
        <v>77</v>
      </c>
      <c r="L252" s="1845">
        <v>82.8</v>
      </c>
      <c r="M252" s="3645">
        <v>57.3</v>
      </c>
      <c r="N252" s="1846">
        <v>50.7</v>
      </c>
    </row>
    <row r="253" spans="1:14">
      <c r="A253" s="53">
        <f t="shared" si="2"/>
        <v>2014.04</v>
      </c>
      <c r="B253" s="1847">
        <v>73</v>
      </c>
      <c r="C253" s="3645">
        <v>72.599999999999994</v>
      </c>
      <c r="D253" s="1845">
        <v>69.7</v>
      </c>
      <c r="E253" s="3645">
        <v>77.5</v>
      </c>
      <c r="F253" s="1845">
        <v>77.3</v>
      </c>
      <c r="G253" s="3645">
        <v>77</v>
      </c>
      <c r="H253" s="1845">
        <v>81.7</v>
      </c>
      <c r="I253" s="3645">
        <v>81.5</v>
      </c>
      <c r="J253" s="1845">
        <v>70.2</v>
      </c>
      <c r="K253" s="3645">
        <v>81.7</v>
      </c>
      <c r="L253" s="1845">
        <v>89.2</v>
      </c>
      <c r="M253" s="3645">
        <v>59.7</v>
      </c>
      <c r="N253" s="1846">
        <v>53.7</v>
      </c>
    </row>
    <row r="254" spans="1:14">
      <c r="A254" s="53">
        <f t="shared" si="2"/>
        <v>2014.05</v>
      </c>
      <c r="B254" s="1847">
        <v>70.8</v>
      </c>
      <c r="C254" s="3645">
        <v>69.900000000000006</v>
      </c>
      <c r="D254" s="1845">
        <v>67.3</v>
      </c>
      <c r="E254" s="3645">
        <v>76</v>
      </c>
      <c r="F254" s="1845">
        <v>77.2</v>
      </c>
      <c r="G254" s="3645">
        <v>74.5</v>
      </c>
      <c r="H254" s="1845">
        <v>88.5</v>
      </c>
      <c r="I254" s="3645">
        <v>78.099999999999994</v>
      </c>
      <c r="J254" s="1845">
        <v>69.7</v>
      </c>
      <c r="K254" s="3645">
        <v>83.4</v>
      </c>
      <c r="L254" s="1845">
        <v>84.6</v>
      </c>
      <c r="M254" s="3645">
        <v>50</v>
      </c>
      <c r="N254" s="1846">
        <v>53.4</v>
      </c>
    </row>
    <row r="255" spans="1:14">
      <c r="A255" s="53">
        <f t="shared" si="2"/>
        <v>2014.06</v>
      </c>
      <c r="B255" s="1847">
        <v>71.099999999999994</v>
      </c>
      <c r="C255" s="3645">
        <v>68.2</v>
      </c>
      <c r="D255" s="1845">
        <v>65.599999999999994</v>
      </c>
      <c r="E255" s="3645">
        <v>78.8</v>
      </c>
      <c r="F255" s="1845">
        <v>76.8</v>
      </c>
      <c r="G255" s="3645">
        <v>75.599999999999994</v>
      </c>
      <c r="H255" s="1845">
        <v>88.1</v>
      </c>
      <c r="I255" s="3645">
        <v>73.2</v>
      </c>
      <c r="J255" s="1845">
        <v>70.2</v>
      </c>
      <c r="K255" s="3645">
        <v>81.5</v>
      </c>
      <c r="L255" s="1845">
        <v>85.2</v>
      </c>
      <c r="M255" s="3645">
        <v>51.7</v>
      </c>
      <c r="N255" s="1846">
        <v>60.7</v>
      </c>
    </row>
    <row r="256" spans="1:14">
      <c r="A256" s="53">
        <f t="shared" si="2"/>
        <v>2014.07</v>
      </c>
      <c r="B256" s="1847">
        <v>70.7</v>
      </c>
      <c r="C256" s="3645">
        <v>67.8</v>
      </c>
      <c r="D256" s="1845">
        <v>67.7</v>
      </c>
      <c r="E256" s="3645">
        <v>82.9</v>
      </c>
      <c r="F256" s="1845">
        <v>84.1</v>
      </c>
      <c r="G256" s="3645">
        <v>76</v>
      </c>
      <c r="H256" s="1845">
        <v>86.6</v>
      </c>
      <c r="I256" s="3645">
        <v>74</v>
      </c>
      <c r="J256" s="1845">
        <v>70.5</v>
      </c>
      <c r="K256" s="3645">
        <v>81.5</v>
      </c>
      <c r="L256" s="1845">
        <v>83.3</v>
      </c>
      <c r="M256" s="3645">
        <v>48.4</v>
      </c>
      <c r="N256" s="1846">
        <v>60.2</v>
      </c>
    </row>
    <row r="257" spans="1:14">
      <c r="A257" s="53">
        <f t="shared" si="2"/>
        <v>2014.08</v>
      </c>
      <c r="B257" s="1847">
        <v>71</v>
      </c>
      <c r="C257" s="3645">
        <v>73.400000000000006</v>
      </c>
      <c r="D257" s="1845">
        <v>65.400000000000006</v>
      </c>
      <c r="E257" s="3645">
        <v>80.2</v>
      </c>
      <c r="F257" s="1845">
        <v>80.400000000000006</v>
      </c>
      <c r="G257" s="3645">
        <v>73</v>
      </c>
      <c r="H257" s="1845">
        <v>84.2</v>
      </c>
      <c r="I257" s="3645">
        <v>72.900000000000006</v>
      </c>
      <c r="J257" s="1845">
        <v>73</v>
      </c>
      <c r="K257" s="3645">
        <v>80.8</v>
      </c>
      <c r="L257" s="1845">
        <v>81.900000000000006</v>
      </c>
      <c r="M257" s="3645">
        <v>44.8</v>
      </c>
      <c r="N257" s="1846">
        <v>62.8</v>
      </c>
    </row>
    <row r="258" spans="1:14">
      <c r="A258" s="53">
        <f t="shared" si="2"/>
        <v>2014.09</v>
      </c>
      <c r="B258" s="1847">
        <v>73.3</v>
      </c>
      <c r="C258" s="3645">
        <v>72.2</v>
      </c>
      <c r="D258" s="1845">
        <v>68.099999999999994</v>
      </c>
      <c r="E258" s="3645">
        <v>81.3</v>
      </c>
      <c r="F258" s="1845">
        <v>81.099999999999994</v>
      </c>
      <c r="G258" s="3645">
        <v>73.099999999999994</v>
      </c>
      <c r="H258" s="1845">
        <v>85.7</v>
      </c>
      <c r="I258" s="3645">
        <v>76.8</v>
      </c>
      <c r="J258" s="1845">
        <v>71.7</v>
      </c>
      <c r="K258" s="3645">
        <v>87.8</v>
      </c>
      <c r="L258" s="1845">
        <v>84.4</v>
      </c>
      <c r="M258" s="3645">
        <v>58.3</v>
      </c>
      <c r="N258" s="1846">
        <v>61.7</v>
      </c>
    </row>
    <row r="259" spans="1:14">
      <c r="A259" s="53">
        <f t="shared" si="2"/>
        <v>2014.1</v>
      </c>
      <c r="B259" s="1847">
        <v>74.099999999999994</v>
      </c>
      <c r="C259" s="3645">
        <v>75.7</v>
      </c>
      <c r="D259" s="1845">
        <v>64.099999999999994</v>
      </c>
      <c r="E259" s="3645">
        <v>74.5</v>
      </c>
      <c r="F259" s="1845">
        <v>82.3</v>
      </c>
      <c r="G259" s="3645">
        <v>73.7</v>
      </c>
      <c r="H259" s="1845">
        <v>87.5</v>
      </c>
      <c r="I259" s="3645">
        <v>77.099999999999994</v>
      </c>
      <c r="J259" s="1845">
        <v>72.900000000000006</v>
      </c>
      <c r="K259" s="3645">
        <v>87.6</v>
      </c>
      <c r="L259" s="1845">
        <v>84.6</v>
      </c>
      <c r="M259" s="3645">
        <v>59.6</v>
      </c>
      <c r="N259" s="1846">
        <v>60</v>
      </c>
    </row>
    <row r="260" spans="1:14">
      <c r="A260" s="53">
        <f t="shared" si="2"/>
        <v>2014.11</v>
      </c>
      <c r="B260" s="1847">
        <v>73.2</v>
      </c>
      <c r="C260" s="3645">
        <v>74.7</v>
      </c>
      <c r="D260" s="1845">
        <v>62.7</v>
      </c>
      <c r="E260" s="3645">
        <v>76.2</v>
      </c>
      <c r="F260" s="1845">
        <v>77.2</v>
      </c>
      <c r="G260" s="3645">
        <v>72.900000000000006</v>
      </c>
      <c r="H260" s="1845">
        <v>81.5</v>
      </c>
      <c r="I260" s="3645">
        <v>79.099999999999994</v>
      </c>
      <c r="J260" s="1845">
        <v>75.900000000000006</v>
      </c>
      <c r="K260" s="3645">
        <v>86.3</v>
      </c>
      <c r="L260" s="1845">
        <v>83.7</v>
      </c>
      <c r="M260" s="3645">
        <v>55.2</v>
      </c>
      <c r="N260" s="1846">
        <v>61.6</v>
      </c>
    </row>
    <row r="261" spans="1:14">
      <c r="A261" s="53">
        <f t="shared" si="2"/>
        <v>2014.12</v>
      </c>
      <c r="B261" s="1847">
        <v>70.599999999999994</v>
      </c>
      <c r="C261" s="3645">
        <v>79.5</v>
      </c>
      <c r="D261" s="1845">
        <v>62.2</v>
      </c>
      <c r="E261" s="3645">
        <v>67.599999999999994</v>
      </c>
      <c r="F261" s="1845">
        <v>76</v>
      </c>
      <c r="G261" s="3645">
        <v>71.3</v>
      </c>
      <c r="H261" s="1845">
        <v>87.1</v>
      </c>
      <c r="I261" s="3645">
        <v>72.900000000000006</v>
      </c>
      <c r="J261" s="1845">
        <v>68.3</v>
      </c>
      <c r="K261" s="3645">
        <v>78.8</v>
      </c>
      <c r="L261" s="1845">
        <v>83.2</v>
      </c>
      <c r="M261" s="3645">
        <v>40.1</v>
      </c>
      <c r="N261" s="1846">
        <v>58.7</v>
      </c>
    </row>
    <row r="262" spans="1:14">
      <c r="A262" s="53">
        <f t="shared" si="2"/>
        <v>2015.01</v>
      </c>
      <c r="B262" s="1847">
        <v>62.7</v>
      </c>
      <c r="C262" s="3645">
        <v>65</v>
      </c>
      <c r="D262" s="1845">
        <v>65.900000000000006</v>
      </c>
      <c r="E262" s="3645">
        <v>59.7</v>
      </c>
      <c r="F262" s="1845">
        <v>74.8</v>
      </c>
      <c r="G262" s="3645">
        <v>66.8</v>
      </c>
      <c r="H262" s="1845">
        <v>88.3</v>
      </c>
      <c r="I262" s="3645">
        <v>71.599999999999994</v>
      </c>
      <c r="J262" s="1845">
        <v>63</v>
      </c>
      <c r="K262" s="3645">
        <v>77.3</v>
      </c>
      <c r="L262" s="1845">
        <v>69.400000000000006</v>
      </c>
      <c r="M262" s="3645">
        <v>24.7</v>
      </c>
      <c r="N262" s="1846">
        <v>51.6</v>
      </c>
    </row>
    <row r="263" spans="1:14">
      <c r="A263" s="53">
        <f t="shared" si="2"/>
        <v>2015.02</v>
      </c>
      <c r="B263" s="1847">
        <v>68.8</v>
      </c>
      <c r="C263" s="3645">
        <v>68.2</v>
      </c>
      <c r="D263" s="1845">
        <v>61.7</v>
      </c>
      <c r="E263" s="3645">
        <v>65.2</v>
      </c>
      <c r="F263" s="1845">
        <v>81.7</v>
      </c>
      <c r="G263" s="3645">
        <v>73.5</v>
      </c>
      <c r="H263" s="1845">
        <v>86.1</v>
      </c>
      <c r="I263" s="3645">
        <v>72.599999999999994</v>
      </c>
      <c r="J263" s="1845">
        <v>72.099999999999994</v>
      </c>
      <c r="K263" s="3645">
        <v>80.8</v>
      </c>
      <c r="L263" s="1845">
        <v>73.8</v>
      </c>
      <c r="M263" s="3645">
        <v>49.5</v>
      </c>
      <c r="N263" s="1846">
        <v>58.7</v>
      </c>
    </row>
    <row r="264" spans="1:14">
      <c r="A264" s="53">
        <f t="shared" si="2"/>
        <v>2015.03</v>
      </c>
      <c r="B264" s="1847">
        <v>67.099999999999994</v>
      </c>
      <c r="C264" s="3645">
        <v>63</v>
      </c>
      <c r="D264" s="1845">
        <v>60.5</v>
      </c>
      <c r="E264" s="3645">
        <v>63.9</v>
      </c>
      <c r="F264" s="1845">
        <v>76.8</v>
      </c>
      <c r="G264" s="3645">
        <v>66.2</v>
      </c>
      <c r="H264" s="1845">
        <v>87.3</v>
      </c>
      <c r="I264" s="3645">
        <v>73.7</v>
      </c>
      <c r="J264" s="1845">
        <v>68.900000000000006</v>
      </c>
      <c r="K264" s="3645">
        <v>83.1</v>
      </c>
      <c r="L264" s="1845">
        <v>75.900000000000006</v>
      </c>
      <c r="M264" s="3645">
        <v>51.5</v>
      </c>
      <c r="N264" s="1846">
        <v>53.6</v>
      </c>
    </row>
    <row r="265" spans="1:14">
      <c r="A265" s="53">
        <f t="shared" si="2"/>
        <v>2015.04</v>
      </c>
      <c r="B265" s="1847">
        <v>71.8</v>
      </c>
      <c r="C265" s="3645">
        <v>75.3</v>
      </c>
      <c r="D265" s="1845">
        <v>62.6</v>
      </c>
      <c r="E265" s="3645">
        <v>71.5</v>
      </c>
      <c r="F265" s="1845">
        <v>81.099999999999994</v>
      </c>
      <c r="G265" s="3645">
        <v>76.599999999999994</v>
      </c>
      <c r="H265" s="1845">
        <v>88.3</v>
      </c>
      <c r="I265" s="3645">
        <v>81.5</v>
      </c>
      <c r="J265" s="1845">
        <v>73.900000000000006</v>
      </c>
      <c r="K265" s="3645">
        <v>85.8</v>
      </c>
      <c r="L265" s="1845">
        <v>71.5</v>
      </c>
      <c r="M265" s="3645">
        <v>47.4</v>
      </c>
      <c r="N265" s="1846">
        <v>58.8</v>
      </c>
    </row>
    <row r="266" spans="1:14">
      <c r="A266" s="53">
        <f t="shared" si="2"/>
        <v>2015.05</v>
      </c>
      <c r="B266" s="1847">
        <v>69.3</v>
      </c>
      <c r="C266" s="3645">
        <v>66.8</v>
      </c>
      <c r="D266" s="1845">
        <v>61.8</v>
      </c>
      <c r="E266" s="3645">
        <v>73.3</v>
      </c>
      <c r="F266" s="1845">
        <v>80.5</v>
      </c>
      <c r="G266" s="3645">
        <v>76.099999999999994</v>
      </c>
      <c r="H266" s="1845">
        <v>86</v>
      </c>
      <c r="I266" s="3645">
        <v>81</v>
      </c>
      <c r="J266" s="1845">
        <v>73</v>
      </c>
      <c r="K266" s="3645">
        <v>83.5</v>
      </c>
      <c r="L266" s="1845">
        <v>72.7</v>
      </c>
      <c r="M266" s="3645">
        <v>45.5</v>
      </c>
      <c r="N266" s="1846">
        <v>56.4</v>
      </c>
    </row>
    <row r="267" spans="1:14">
      <c r="A267" s="53">
        <f t="shared" si="2"/>
        <v>2015.06</v>
      </c>
      <c r="B267" s="1847">
        <v>71</v>
      </c>
      <c r="C267" s="3645">
        <v>70</v>
      </c>
      <c r="D267" s="1845">
        <v>62.1</v>
      </c>
      <c r="E267" s="3645">
        <v>74.2</v>
      </c>
      <c r="F267" s="1845">
        <v>79.3</v>
      </c>
      <c r="G267" s="3645">
        <v>81.5</v>
      </c>
      <c r="H267" s="1845">
        <v>84.9</v>
      </c>
      <c r="I267" s="3645">
        <v>75.099999999999994</v>
      </c>
      <c r="J267" s="1845">
        <v>75.900000000000006</v>
      </c>
      <c r="K267" s="3645">
        <v>83.7</v>
      </c>
      <c r="L267" s="1845">
        <v>79.400000000000006</v>
      </c>
      <c r="M267" s="3645">
        <v>55.2</v>
      </c>
      <c r="N267" s="1846">
        <v>55.4</v>
      </c>
    </row>
    <row r="268" spans="1:14">
      <c r="A268" s="53">
        <f t="shared" si="2"/>
        <v>2015.07</v>
      </c>
      <c r="B268" s="1847">
        <v>71.099999999999994</v>
      </c>
      <c r="C268" s="3645">
        <v>73.599999999999994</v>
      </c>
      <c r="D268" s="1845">
        <v>65</v>
      </c>
      <c r="E268" s="3645">
        <v>72.2</v>
      </c>
      <c r="F268" s="1845">
        <v>88</v>
      </c>
      <c r="G268" s="3645">
        <v>77.5</v>
      </c>
      <c r="H268" s="1845">
        <v>90.8</v>
      </c>
      <c r="I268" s="3645">
        <v>74.400000000000006</v>
      </c>
      <c r="J268" s="1845">
        <v>76.3</v>
      </c>
      <c r="K268" s="3645">
        <v>81.2</v>
      </c>
      <c r="L268" s="1845">
        <v>74.5</v>
      </c>
      <c r="M268" s="3645">
        <v>44.7</v>
      </c>
      <c r="N268" s="1846">
        <v>60.6</v>
      </c>
    </row>
    <row r="269" spans="1:14">
      <c r="A269" s="53">
        <f t="shared" si="2"/>
        <v>2015.08</v>
      </c>
      <c r="B269" s="1847">
        <v>71.2</v>
      </c>
      <c r="C269" s="3645">
        <v>74</v>
      </c>
      <c r="D269" s="1845">
        <v>59</v>
      </c>
      <c r="E269" s="3645">
        <v>74.5</v>
      </c>
      <c r="F269" s="1845">
        <v>85.8</v>
      </c>
      <c r="G269" s="3645">
        <v>76.2</v>
      </c>
      <c r="H269" s="1845">
        <v>85.8</v>
      </c>
      <c r="I269" s="3645">
        <v>70.400000000000006</v>
      </c>
      <c r="J269" s="1845">
        <v>75.099999999999994</v>
      </c>
      <c r="K269" s="3645">
        <v>83.2</v>
      </c>
      <c r="L269" s="1845">
        <v>81.5</v>
      </c>
      <c r="M269" s="3645">
        <v>48.1</v>
      </c>
      <c r="N269" s="1846">
        <v>61</v>
      </c>
    </row>
    <row r="270" spans="1:14">
      <c r="A270" s="53">
        <f t="shared" si="2"/>
        <v>2015.09</v>
      </c>
      <c r="B270" s="1847">
        <v>73.599999999999994</v>
      </c>
      <c r="C270" s="3645">
        <v>76.900000000000006</v>
      </c>
      <c r="D270" s="1845">
        <v>65.7</v>
      </c>
      <c r="E270" s="3645">
        <v>77.5</v>
      </c>
      <c r="F270" s="1845">
        <v>86.5</v>
      </c>
      <c r="G270" s="3645">
        <v>78.7</v>
      </c>
      <c r="H270" s="1845">
        <v>83</v>
      </c>
      <c r="I270" s="3645">
        <v>76.7</v>
      </c>
      <c r="J270" s="1845">
        <v>77.400000000000006</v>
      </c>
      <c r="K270" s="3645">
        <v>91.8</v>
      </c>
      <c r="L270" s="1845">
        <v>79.8</v>
      </c>
      <c r="M270" s="3645">
        <v>52.5</v>
      </c>
      <c r="N270" s="1846">
        <v>61.3</v>
      </c>
    </row>
    <row r="271" spans="1:14">
      <c r="A271" s="53">
        <f t="shared" si="2"/>
        <v>2015.1</v>
      </c>
      <c r="B271" s="1848">
        <v>74.3363636363636</v>
      </c>
      <c r="C271" s="3646">
        <v>79.776153846153804</v>
      </c>
      <c r="D271" s="1849">
        <v>81.608345978755693</v>
      </c>
      <c r="E271" s="3646">
        <v>83.484924623115603</v>
      </c>
      <c r="F271" s="1849">
        <v>92.862566844919797</v>
      </c>
      <c r="G271" s="3646">
        <v>64.322005988023903</v>
      </c>
      <c r="H271" s="1849">
        <v>84.328992072480204</v>
      </c>
      <c r="I271" s="3646">
        <v>71.177513966480404</v>
      </c>
      <c r="J271" s="1849">
        <v>68.040000000000006</v>
      </c>
      <c r="K271" s="3646">
        <v>71.621216041397204</v>
      </c>
      <c r="L271" s="1849">
        <v>79.480115273775198</v>
      </c>
      <c r="M271" s="3646">
        <v>49.224291497975699</v>
      </c>
      <c r="N271" s="1850">
        <v>60.697674418604599</v>
      </c>
    </row>
    <row r="272" spans="1:14">
      <c r="A272" s="53">
        <f t="shared" si="2"/>
        <v>2015.11</v>
      </c>
      <c r="B272" s="1848">
        <v>73.4334928229665</v>
      </c>
      <c r="C272" s="3646">
        <v>78.722307692307695</v>
      </c>
      <c r="D272" s="1849">
        <v>79.825948406676801</v>
      </c>
      <c r="E272" s="3646">
        <v>85.389949748743703</v>
      </c>
      <c r="F272" s="1849">
        <v>87.108021390374304</v>
      </c>
      <c r="G272" s="3646">
        <v>63.623802395209601</v>
      </c>
      <c r="H272" s="1849">
        <v>78.546432616081503</v>
      </c>
      <c r="I272" s="3646">
        <v>73.023882681564203</v>
      </c>
      <c r="J272" s="1849">
        <v>70.84</v>
      </c>
      <c r="K272" s="3646">
        <v>70.558344113842196</v>
      </c>
      <c r="L272" s="1849">
        <v>78.634582132564802</v>
      </c>
      <c r="M272" s="3646">
        <v>45.590283400809703</v>
      </c>
      <c r="N272" s="1850">
        <v>62.316279069767397</v>
      </c>
    </row>
    <row r="273" spans="1:14">
      <c r="A273" s="53">
        <f t="shared" si="2"/>
        <v>2015.12</v>
      </c>
      <c r="B273" s="1848">
        <v>70.825199362041502</v>
      </c>
      <c r="C273" s="3646">
        <v>83.780769230769195</v>
      </c>
      <c r="D273" s="1849">
        <v>79.189377845219994</v>
      </c>
      <c r="E273" s="3646">
        <v>75.752763819095506</v>
      </c>
      <c r="F273" s="1849">
        <v>85.754010695187205</v>
      </c>
      <c r="G273" s="3646">
        <v>62.227395209580799</v>
      </c>
      <c r="H273" s="1849">
        <v>83.943488108720302</v>
      </c>
      <c r="I273" s="3646">
        <v>67.300139664804504</v>
      </c>
      <c r="J273" s="1849">
        <v>63.746666666666698</v>
      </c>
      <c r="K273" s="3646">
        <v>64.426390685640399</v>
      </c>
      <c r="L273" s="1849">
        <v>78.164841498559099</v>
      </c>
      <c r="M273" s="3646">
        <v>33.119028340081002</v>
      </c>
      <c r="N273" s="1850">
        <v>59.3825581395349</v>
      </c>
    </row>
    <row r="274" spans="1:14">
      <c r="A274" s="53">
        <f t="shared" si="2"/>
        <v>2016.01</v>
      </c>
      <c r="B274" s="1851">
        <v>62.9</v>
      </c>
      <c r="C274" s="3647">
        <v>68.5</v>
      </c>
      <c r="D274" s="1852">
        <v>83.9</v>
      </c>
      <c r="E274" s="3647">
        <v>66.900000000000006</v>
      </c>
      <c r="F274" s="1852">
        <v>84.4</v>
      </c>
      <c r="G274" s="3647">
        <v>58.3</v>
      </c>
      <c r="H274" s="1852">
        <v>85.1</v>
      </c>
      <c r="I274" s="3647">
        <v>66.099999999999994</v>
      </c>
      <c r="J274" s="1852">
        <v>58.8</v>
      </c>
      <c r="K274" s="3647">
        <v>63.2</v>
      </c>
      <c r="L274" s="1852">
        <v>65.2</v>
      </c>
      <c r="M274" s="3647">
        <v>20.399999999999999</v>
      </c>
      <c r="N274" s="1853">
        <v>52.2</v>
      </c>
    </row>
    <row r="275" spans="1:14">
      <c r="A275" s="53">
        <f t="shared" si="2"/>
        <v>2016.02</v>
      </c>
      <c r="B275" s="1847">
        <v>64.2</v>
      </c>
      <c r="C275" s="3648">
        <v>66.8</v>
      </c>
      <c r="D275" s="1854">
        <v>81.3</v>
      </c>
      <c r="E275" s="3648">
        <v>72.2</v>
      </c>
      <c r="F275" s="1854">
        <v>79</v>
      </c>
      <c r="G275" s="3648">
        <v>53.6</v>
      </c>
      <c r="H275" s="1854">
        <v>86.8</v>
      </c>
      <c r="I275" s="3648">
        <v>66.8</v>
      </c>
      <c r="J275" s="1854">
        <v>53.6</v>
      </c>
      <c r="K275" s="3648">
        <v>73.099999999999994</v>
      </c>
      <c r="L275" s="1854">
        <v>70.7</v>
      </c>
      <c r="M275" s="3648">
        <v>43.1</v>
      </c>
      <c r="N275" s="1855">
        <v>51.1</v>
      </c>
    </row>
    <row r="276" spans="1:14">
      <c r="A276" s="53">
        <f t="shared" si="2"/>
        <v>2016.03</v>
      </c>
      <c r="B276" s="1847">
        <v>64.8</v>
      </c>
      <c r="C276" s="3648">
        <v>67.2</v>
      </c>
      <c r="D276" s="1854">
        <v>84.1</v>
      </c>
      <c r="E276" s="3648">
        <v>73.5</v>
      </c>
      <c r="F276" s="1854">
        <v>81.400000000000006</v>
      </c>
      <c r="G276" s="3648">
        <v>55</v>
      </c>
      <c r="H276" s="1854">
        <v>83.4</v>
      </c>
      <c r="I276" s="3648">
        <v>66.3</v>
      </c>
      <c r="J276" s="1854">
        <v>56.2</v>
      </c>
      <c r="K276" s="3648">
        <v>75.400000000000006</v>
      </c>
      <c r="L276" s="1854">
        <v>63.6</v>
      </c>
      <c r="M276" s="3648">
        <v>55.5</v>
      </c>
      <c r="N276" s="1855">
        <v>53.1</v>
      </c>
    </row>
    <row r="277" spans="1:14">
      <c r="A277" s="53">
        <f t="shared" si="2"/>
        <v>2016.04</v>
      </c>
      <c r="B277" s="1847">
        <v>64.8</v>
      </c>
      <c r="C277" s="3648">
        <v>63.5</v>
      </c>
      <c r="D277" s="1854">
        <v>81.400000000000006</v>
      </c>
      <c r="E277" s="3648">
        <v>74.400000000000006</v>
      </c>
      <c r="F277" s="1854">
        <v>83.8</v>
      </c>
      <c r="G277" s="3648">
        <v>58.5</v>
      </c>
      <c r="H277" s="1854">
        <v>82</v>
      </c>
      <c r="I277" s="3648">
        <v>67.900000000000006</v>
      </c>
      <c r="J277" s="1854">
        <v>60.2</v>
      </c>
      <c r="K277" s="3648">
        <v>75.400000000000006</v>
      </c>
      <c r="L277" s="1854">
        <v>65.2</v>
      </c>
      <c r="M277" s="3648">
        <v>54.6</v>
      </c>
      <c r="N277" s="1855">
        <v>53.2</v>
      </c>
    </row>
    <row r="278" spans="1:14">
      <c r="A278" s="53">
        <f t="shared" si="2"/>
        <v>2016.05</v>
      </c>
      <c r="B278" s="1847">
        <v>65</v>
      </c>
      <c r="C278" s="3648">
        <v>64.5</v>
      </c>
      <c r="D278" s="1854">
        <v>79</v>
      </c>
      <c r="E278" s="3648">
        <v>73.3</v>
      </c>
      <c r="F278" s="1854">
        <v>74.599999999999994</v>
      </c>
      <c r="G278" s="3648">
        <v>61.1</v>
      </c>
      <c r="H278" s="1854">
        <v>80.900000000000006</v>
      </c>
      <c r="I278" s="3648">
        <v>65.3</v>
      </c>
      <c r="J278" s="1854">
        <v>60.4</v>
      </c>
      <c r="K278" s="3648">
        <v>72.900000000000006</v>
      </c>
      <c r="L278" s="1854">
        <v>73.5</v>
      </c>
      <c r="M278" s="3648">
        <v>47.5</v>
      </c>
      <c r="N278" s="1855">
        <v>56</v>
      </c>
    </row>
    <row r="279" spans="1:14">
      <c r="A279" s="53">
        <f t="shared" si="2"/>
        <v>2016.06</v>
      </c>
      <c r="B279" s="1847">
        <v>64.900000000000006</v>
      </c>
      <c r="C279" s="3648">
        <v>62.7</v>
      </c>
      <c r="D279" s="1854">
        <v>69.099999999999994</v>
      </c>
      <c r="E279" s="3648">
        <v>73.900000000000006</v>
      </c>
      <c r="F279" s="1854">
        <v>79</v>
      </c>
      <c r="G279" s="3648">
        <v>58.9</v>
      </c>
      <c r="H279" s="1854">
        <v>86.1</v>
      </c>
      <c r="I279" s="3648">
        <v>64.599999999999994</v>
      </c>
      <c r="J279" s="1854">
        <v>62</v>
      </c>
      <c r="K279" s="3648">
        <v>71.5</v>
      </c>
      <c r="L279" s="1854">
        <v>73.3</v>
      </c>
      <c r="M279" s="3648">
        <v>50.7</v>
      </c>
      <c r="N279" s="1855">
        <v>54.8</v>
      </c>
    </row>
    <row r="280" spans="1:14">
      <c r="A280" s="53">
        <f t="shared" si="2"/>
        <v>2016.07</v>
      </c>
      <c r="B280" s="1847">
        <v>62</v>
      </c>
      <c r="C280" s="3645">
        <v>61.7</v>
      </c>
      <c r="D280" s="1845">
        <v>72.8</v>
      </c>
      <c r="E280" s="3645">
        <v>71.900000000000006</v>
      </c>
      <c r="F280" s="1845">
        <v>83.8</v>
      </c>
      <c r="G280" s="3645">
        <v>54.3</v>
      </c>
      <c r="H280" s="1845">
        <v>84.5</v>
      </c>
      <c r="I280" s="3645">
        <v>60.6</v>
      </c>
      <c r="J280" s="1845">
        <v>58.2</v>
      </c>
      <c r="K280" s="3645">
        <v>66.400000000000006</v>
      </c>
      <c r="L280" s="1845">
        <v>68.5</v>
      </c>
      <c r="M280" s="3645">
        <v>45</v>
      </c>
      <c r="N280" s="1855">
        <v>51.1</v>
      </c>
    </row>
    <row r="281" spans="1:14">
      <c r="A281" s="53">
        <f t="shared" si="2"/>
        <v>2016.08</v>
      </c>
      <c r="B281" s="1847">
        <v>63.6</v>
      </c>
      <c r="C281" s="3645">
        <v>68.400000000000006</v>
      </c>
      <c r="D281" s="1845">
        <v>73.400000000000006</v>
      </c>
      <c r="E281" s="3645">
        <v>74</v>
      </c>
      <c r="F281" s="1845">
        <v>91.8</v>
      </c>
      <c r="G281" s="3645">
        <v>51.8</v>
      </c>
      <c r="H281" s="1845">
        <v>80.2</v>
      </c>
      <c r="I281" s="3645">
        <v>59.1</v>
      </c>
      <c r="J281" s="1845">
        <v>56.6</v>
      </c>
      <c r="K281" s="3645">
        <v>73.099999999999994</v>
      </c>
      <c r="L281" s="1845">
        <v>66.599999999999994</v>
      </c>
      <c r="M281" s="3645">
        <v>51.4</v>
      </c>
      <c r="N281" s="1855">
        <v>51.2</v>
      </c>
    </row>
    <row r="282" spans="1:14">
      <c r="A282" s="53">
        <f t="shared" si="2"/>
        <v>2016.09</v>
      </c>
      <c r="B282" s="1847">
        <v>63.9</v>
      </c>
      <c r="C282" s="3645">
        <v>65.7</v>
      </c>
      <c r="D282" s="1845">
        <v>80.8</v>
      </c>
      <c r="E282" s="3645">
        <v>69.099999999999994</v>
      </c>
      <c r="F282" s="1845">
        <v>80.3</v>
      </c>
      <c r="G282" s="3645">
        <v>53.5</v>
      </c>
      <c r="H282" s="1845">
        <v>81.3</v>
      </c>
      <c r="I282" s="3645">
        <v>68.5</v>
      </c>
      <c r="J282" s="1845">
        <v>55.2</v>
      </c>
      <c r="K282" s="3645">
        <v>70.7</v>
      </c>
      <c r="L282" s="1845">
        <v>65.3</v>
      </c>
      <c r="M282" s="3645">
        <v>51.4</v>
      </c>
      <c r="N282" s="1846">
        <v>51.9</v>
      </c>
    </row>
    <row r="283" spans="1:14">
      <c r="A283" s="53">
        <f t="shared" si="2"/>
        <v>2016.1</v>
      </c>
      <c r="B283" s="1847">
        <v>65.400000000000006</v>
      </c>
      <c r="C283" s="3645">
        <v>65.7</v>
      </c>
      <c r="D283" s="1845">
        <v>57</v>
      </c>
      <c r="E283" s="3645">
        <v>59</v>
      </c>
      <c r="F283" s="1845">
        <v>86</v>
      </c>
      <c r="G283" s="3645">
        <v>60.2</v>
      </c>
      <c r="H283" s="1845">
        <v>84.5</v>
      </c>
      <c r="I283" s="3645">
        <v>70.3</v>
      </c>
      <c r="J283" s="1845">
        <v>52.8</v>
      </c>
      <c r="K283" s="3645">
        <v>70.7</v>
      </c>
      <c r="L283" s="1845">
        <v>72.8</v>
      </c>
      <c r="M283" s="3645">
        <v>44.1</v>
      </c>
      <c r="N283" s="1846">
        <v>55.7</v>
      </c>
    </row>
    <row r="284" spans="1:14">
      <c r="A284" s="53">
        <f t="shared" si="2"/>
        <v>2016.11</v>
      </c>
      <c r="B284" s="1847">
        <v>68.400000000000006</v>
      </c>
      <c r="C284" s="3645">
        <v>69</v>
      </c>
      <c r="D284" s="1845">
        <v>73.3</v>
      </c>
      <c r="E284" s="3645">
        <v>58.8</v>
      </c>
      <c r="F284" s="1845">
        <v>88.2</v>
      </c>
      <c r="G284" s="3645">
        <v>58.9</v>
      </c>
      <c r="H284" s="1845">
        <v>83.2</v>
      </c>
      <c r="I284" s="3645">
        <v>74.3</v>
      </c>
      <c r="J284" s="1845">
        <v>62.6</v>
      </c>
      <c r="K284" s="3645">
        <v>72.2</v>
      </c>
      <c r="L284" s="1845">
        <v>71.599999999999994</v>
      </c>
      <c r="M284" s="3645">
        <v>56.3</v>
      </c>
      <c r="N284" s="1846">
        <v>57.2</v>
      </c>
    </row>
    <row r="285" spans="1:14">
      <c r="A285" s="53">
        <f t="shared" si="2"/>
        <v>2016.12</v>
      </c>
      <c r="B285" s="1847">
        <v>63.6</v>
      </c>
      <c r="C285" s="3645">
        <v>66.900000000000006</v>
      </c>
      <c r="D285" s="1845">
        <v>75.5</v>
      </c>
      <c r="E285" s="3645">
        <v>48.9</v>
      </c>
      <c r="F285" s="1845">
        <v>76.7</v>
      </c>
      <c r="G285" s="3645">
        <v>58.6</v>
      </c>
      <c r="H285" s="1845">
        <v>84.4</v>
      </c>
      <c r="I285" s="3645">
        <v>65.099999999999994</v>
      </c>
      <c r="J285" s="1845">
        <v>62.9</v>
      </c>
      <c r="K285" s="3645">
        <v>69.599999999999994</v>
      </c>
      <c r="L285" s="1845">
        <v>62.8</v>
      </c>
      <c r="M285" s="3645">
        <v>45</v>
      </c>
      <c r="N285" s="1846">
        <v>54.7</v>
      </c>
    </row>
    <row r="286" spans="1:14">
      <c r="A286" s="53">
        <f t="shared" si="2"/>
        <v>2017.01</v>
      </c>
      <c r="B286" s="1847">
        <v>60.6</v>
      </c>
      <c r="C286" s="3645">
        <v>65.099999999999994</v>
      </c>
      <c r="D286" s="1845">
        <v>80.3</v>
      </c>
      <c r="E286" s="3645">
        <v>57.5</v>
      </c>
      <c r="F286" s="1845">
        <v>80</v>
      </c>
      <c r="G286" s="3645">
        <v>54</v>
      </c>
      <c r="H286" s="1845">
        <v>85</v>
      </c>
      <c r="I286" s="3645">
        <v>68.5</v>
      </c>
      <c r="J286" s="1845">
        <v>58.5</v>
      </c>
      <c r="K286" s="3645">
        <v>53.3</v>
      </c>
      <c r="L286" s="1845">
        <v>58.4</v>
      </c>
      <c r="M286" s="3645">
        <v>30.7</v>
      </c>
      <c r="N286" s="1846">
        <v>47.3</v>
      </c>
    </row>
    <row r="287" spans="1:14">
      <c r="A287" s="53">
        <f t="shared" si="2"/>
        <v>2017.02</v>
      </c>
      <c r="B287" s="1847">
        <v>60</v>
      </c>
      <c r="C287" s="3645">
        <v>62.4</v>
      </c>
      <c r="D287" s="1845">
        <v>78.3</v>
      </c>
      <c r="E287" s="3645">
        <v>53.9</v>
      </c>
      <c r="F287" s="1845">
        <v>85</v>
      </c>
      <c r="G287" s="3645">
        <v>47.6</v>
      </c>
      <c r="H287" s="1845">
        <v>81.599999999999994</v>
      </c>
      <c r="I287" s="3645">
        <v>68.8</v>
      </c>
      <c r="J287" s="1845">
        <v>54.1</v>
      </c>
      <c r="K287" s="3645">
        <v>68.7</v>
      </c>
      <c r="L287" s="1845">
        <v>65.7</v>
      </c>
      <c r="M287" s="3645">
        <v>31.5</v>
      </c>
      <c r="N287" s="1846">
        <v>42.1</v>
      </c>
    </row>
    <row r="288" spans="1:14">
      <c r="A288" s="53">
        <f t="shared" si="2"/>
        <v>2017.03</v>
      </c>
      <c r="B288" s="1847">
        <v>65.7</v>
      </c>
      <c r="C288" s="3645">
        <v>70.2</v>
      </c>
      <c r="D288" s="1845">
        <v>76</v>
      </c>
      <c r="E288" s="3645">
        <v>57.3</v>
      </c>
      <c r="F288" s="1845">
        <v>87.7</v>
      </c>
      <c r="G288" s="3645">
        <v>55.5</v>
      </c>
      <c r="H288" s="1845">
        <v>79.900000000000006</v>
      </c>
      <c r="I288" s="3645">
        <v>67.3</v>
      </c>
      <c r="J288" s="1845">
        <v>55</v>
      </c>
      <c r="K288" s="3645">
        <v>75.599999999999994</v>
      </c>
      <c r="L288" s="1845">
        <v>75.599999999999994</v>
      </c>
      <c r="M288" s="3645">
        <v>48.2</v>
      </c>
      <c r="N288" s="1846">
        <v>50.5</v>
      </c>
    </row>
    <row r="289" spans="1:14">
      <c r="A289" s="53">
        <f t="shared" si="2"/>
        <v>2017.04</v>
      </c>
      <c r="B289" s="1847">
        <v>64.5</v>
      </c>
      <c r="C289" s="3645">
        <v>64.3</v>
      </c>
      <c r="D289" s="1845">
        <v>62.4</v>
      </c>
      <c r="E289" s="3645">
        <v>54.9</v>
      </c>
      <c r="F289" s="1845">
        <v>79.599999999999994</v>
      </c>
      <c r="G289" s="3645">
        <v>56</v>
      </c>
      <c r="H289" s="1845">
        <v>82.4</v>
      </c>
      <c r="I289" s="3645">
        <v>68.599999999999994</v>
      </c>
      <c r="J289" s="1845">
        <v>57.9</v>
      </c>
      <c r="K289" s="3645">
        <v>71</v>
      </c>
      <c r="L289" s="1845">
        <v>73.599999999999994</v>
      </c>
      <c r="M289" s="3645">
        <v>46.5</v>
      </c>
      <c r="N289" s="1846">
        <v>54.5</v>
      </c>
    </row>
    <row r="290" spans="1:14">
      <c r="A290" s="53">
        <f t="shared" si="2"/>
        <v>2017.05</v>
      </c>
      <c r="B290" s="1847">
        <v>65.8</v>
      </c>
      <c r="C290" s="3645">
        <v>65</v>
      </c>
      <c r="D290" s="1845">
        <v>71.7</v>
      </c>
      <c r="E290" s="3645">
        <v>61.4</v>
      </c>
      <c r="F290" s="1845">
        <v>71.8</v>
      </c>
      <c r="G290" s="3645">
        <v>54.6</v>
      </c>
      <c r="H290" s="1845">
        <v>80.599999999999994</v>
      </c>
      <c r="I290" s="3645">
        <v>66.900000000000006</v>
      </c>
      <c r="J290" s="1845">
        <v>64</v>
      </c>
      <c r="K290" s="3645">
        <v>72.400000000000006</v>
      </c>
      <c r="L290" s="1845">
        <v>75.2</v>
      </c>
      <c r="M290" s="3645">
        <v>54.5</v>
      </c>
      <c r="N290" s="1846">
        <v>58.8</v>
      </c>
    </row>
    <row r="291" spans="1:14">
      <c r="A291" s="53">
        <f t="shared" si="2"/>
        <v>2017.06</v>
      </c>
      <c r="B291" s="1847">
        <v>67.099999999999994</v>
      </c>
      <c r="C291" s="3645">
        <v>64.3</v>
      </c>
      <c r="D291" s="1845">
        <v>76.099999999999994</v>
      </c>
      <c r="E291" s="3645">
        <v>66.2</v>
      </c>
      <c r="F291" s="1845">
        <v>77</v>
      </c>
      <c r="G291" s="3645">
        <v>63.1</v>
      </c>
      <c r="H291" s="1845">
        <v>86.4</v>
      </c>
      <c r="I291" s="3645">
        <v>67.5</v>
      </c>
      <c r="J291" s="1845">
        <v>65.8</v>
      </c>
      <c r="K291" s="3645">
        <v>76.7</v>
      </c>
      <c r="L291" s="1845">
        <v>73.7</v>
      </c>
      <c r="M291" s="3645">
        <v>55</v>
      </c>
      <c r="N291" s="1846">
        <v>58.6</v>
      </c>
    </row>
    <row r="292" spans="1:14">
      <c r="A292" s="53">
        <f t="shared" si="2"/>
        <v>2017.07</v>
      </c>
      <c r="B292" s="1847">
        <v>65.099999999999994</v>
      </c>
      <c r="C292" s="3645">
        <v>63.9</v>
      </c>
      <c r="D292" s="1845">
        <v>83.1</v>
      </c>
      <c r="E292" s="3645">
        <v>65.5</v>
      </c>
      <c r="F292" s="1845">
        <v>81.599999999999994</v>
      </c>
      <c r="G292" s="3645">
        <v>59.1</v>
      </c>
      <c r="H292" s="1845">
        <v>84.4</v>
      </c>
      <c r="I292" s="3645">
        <v>59.1</v>
      </c>
      <c r="J292" s="1845">
        <v>65</v>
      </c>
      <c r="K292" s="3645">
        <v>72.3</v>
      </c>
      <c r="L292" s="1845">
        <v>75.900000000000006</v>
      </c>
      <c r="M292" s="3645">
        <v>45.5</v>
      </c>
      <c r="N292" s="1846">
        <v>59.2</v>
      </c>
    </row>
    <row r="293" spans="1:14">
      <c r="A293" s="53">
        <f t="shared" si="2"/>
        <v>2017.08</v>
      </c>
      <c r="B293" s="1847">
        <v>67.3</v>
      </c>
      <c r="C293" s="3645">
        <v>65.900000000000006</v>
      </c>
      <c r="D293" s="1845">
        <v>77</v>
      </c>
      <c r="E293" s="3645">
        <v>69.099999999999994</v>
      </c>
      <c r="F293" s="1845">
        <v>88</v>
      </c>
      <c r="G293" s="3645">
        <v>54.1</v>
      </c>
      <c r="H293" s="1845">
        <v>85.3</v>
      </c>
      <c r="I293" s="3645">
        <v>62.3</v>
      </c>
      <c r="J293" s="1845">
        <v>60.1</v>
      </c>
      <c r="K293" s="3645">
        <v>77.099999999999994</v>
      </c>
      <c r="L293" s="1845">
        <v>79.5</v>
      </c>
      <c r="M293" s="3645">
        <v>55.1</v>
      </c>
      <c r="N293" s="1846">
        <v>61.1</v>
      </c>
    </row>
    <row r="294" spans="1:14">
      <c r="A294" s="53">
        <f t="shared" si="2"/>
        <v>2017.09</v>
      </c>
      <c r="B294" s="1847">
        <v>66.3</v>
      </c>
      <c r="C294" s="3645">
        <v>63.8</v>
      </c>
      <c r="D294" s="1845">
        <v>77.3</v>
      </c>
      <c r="E294" s="3645">
        <v>68.3</v>
      </c>
      <c r="F294" s="1845">
        <v>82.5</v>
      </c>
      <c r="G294" s="3645">
        <v>63</v>
      </c>
      <c r="H294" s="1845">
        <v>85.7</v>
      </c>
      <c r="I294" s="3645">
        <v>64</v>
      </c>
      <c r="J294" s="1845">
        <v>56.9</v>
      </c>
      <c r="K294" s="3645">
        <v>74.7</v>
      </c>
      <c r="L294" s="1845">
        <v>81</v>
      </c>
      <c r="M294" s="3645">
        <v>57.1</v>
      </c>
      <c r="N294" s="1846">
        <v>54.7</v>
      </c>
    </row>
    <row r="295" spans="1:14">
      <c r="A295" s="53">
        <f t="shared" si="2"/>
        <v>2017.1</v>
      </c>
      <c r="B295" s="1847">
        <v>68.3</v>
      </c>
      <c r="C295" s="3645">
        <v>66.3</v>
      </c>
      <c r="D295" s="1845">
        <v>71.599999999999994</v>
      </c>
      <c r="E295" s="3645">
        <v>62.5</v>
      </c>
      <c r="F295" s="1845">
        <v>86.8</v>
      </c>
      <c r="G295" s="3645">
        <v>61.6</v>
      </c>
      <c r="H295" s="1845">
        <v>73.400000000000006</v>
      </c>
      <c r="I295" s="3645">
        <v>70.900000000000006</v>
      </c>
      <c r="J295" s="1845">
        <v>55.5</v>
      </c>
      <c r="K295" s="3645">
        <v>77.2</v>
      </c>
      <c r="L295" s="1845">
        <v>82.9</v>
      </c>
      <c r="M295" s="3645">
        <v>52.9</v>
      </c>
      <c r="N295" s="1846">
        <v>62.3</v>
      </c>
    </row>
    <row r="296" spans="1:14">
      <c r="A296" s="53">
        <f t="shared" si="2"/>
        <v>2017.11</v>
      </c>
      <c r="B296" s="1847">
        <v>69.2</v>
      </c>
      <c r="C296" s="3645">
        <v>67.7</v>
      </c>
      <c r="D296" s="1845">
        <v>70.5</v>
      </c>
      <c r="E296" s="3645">
        <v>60.9</v>
      </c>
      <c r="F296" s="1845">
        <v>82.7</v>
      </c>
      <c r="G296" s="3645">
        <v>62.9</v>
      </c>
      <c r="H296" s="1845">
        <v>79</v>
      </c>
      <c r="I296" s="3645">
        <v>71</v>
      </c>
      <c r="J296" s="1845">
        <v>59.9</v>
      </c>
      <c r="K296" s="3645">
        <v>80.599999999999994</v>
      </c>
      <c r="L296" s="1845">
        <v>83.1</v>
      </c>
      <c r="M296" s="3645">
        <v>55</v>
      </c>
      <c r="N296" s="1846">
        <v>61.2</v>
      </c>
    </row>
    <row r="297" spans="1:14">
      <c r="A297" s="53">
        <f t="shared" si="2"/>
        <v>2017.12</v>
      </c>
      <c r="B297" s="1847">
        <v>64</v>
      </c>
      <c r="C297" s="3645">
        <v>61.2</v>
      </c>
      <c r="D297" s="1845">
        <v>61.8</v>
      </c>
      <c r="E297" s="3645">
        <v>55.7</v>
      </c>
      <c r="F297" s="1845">
        <v>72.8</v>
      </c>
      <c r="G297" s="3645">
        <v>57.8</v>
      </c>
      <c r="H297" s="1845">
        <v>86.3</v>
      </c>
      <c r="I297" s="3645">
        <v>68.900000000000006</v>
      </c>
      <c r="J297" s="1845">
        <v>61.5</v>
      </c>
      <c r="K297" s="3645">
        <v>76.7</v>
      </c>
      <c r="L297" s="1845">
        <v>73.3</v>
      </c>
      <c r="M297" s="3645">
        <v>38.299999999999997</v>
      </c>
      <c r="N297" s="1846">
        <v>55.6</v>
      </c>
    </row>
    <row r="298" spans="1:14">
      <c r="A298" s="53">
        <f t="shared" si="2"/>
        <v>2018.01</v>
      </c>
      <c r="B298" s="1847">
        <v>61.6</v>
      </c>
      <c r="C298" s="3645">
        <v>62.7</v>
      </c>
      <c r="D298" s="1845">
        <v>77.8</v>
      </c>
      <c r="E298" s="3645">
        <v>57.2</v>
      </c>
      <c r="F298" s="1845">
        <v>73.5</v>
      </c>
      <c r="G298" s="3645">
        <v>59.5</v>
      </c>
      <c r="H298" s="1845">
        <v>81.7</v>
      </c>
      <c r="I298" s="3645">
        <v>70.8</v>
      </c>
      <c r="J298" s="1845">
        <v>58.2</v>
      </c>
      <c r="K298" s="3645">
        <v>67.599999999999994</v>
      </c>
      <c r="L298" s="1845">
        <v>67.400000000000006</v>
      </c>
      <c r="M298" s="3645">
        <v>25.6</v>
      </c>
      <c r="N298" s="1846">
        <v>48.6</v>
      </c>
    </row>
    <row r="299" spans="1:14">
      <c r="A299" s="53">
        <f t="shared" si="2"/>
        <v>2018.02</v>
      </c>
      <c r="B299" s="1847">
        <v>64.400000000000006</v>
      </c>
      <c r="C299" s="3645">
        <v>61.4</v>
      </c>
      <c r="D299" s="1845">
        <v>71.5</v>
      </c>
      <c r="E299" s="3645">
        <v>48.3</v>
      </c>
      <c r="F299" s="1845">
        <v>77.2</v>
      </c>
      <c r="G299" s="3645">
        <v>51.2</v>
      </c>
      <c r="H299" s="1845">
        <v>82.8</v>
      </c>
      <c r="I299" s="3645">
        <v>73</v>
      </c>
      <c r="J299" s="1845">
        <v>53.3</v>
      </c>
      <c r="K299" s="3645">
        <v>74.2</v>
      </c>
      <c r="L299" s="1845">
        <v>86.2</v>
      </c>
      <c r="M299" s="3645">
        <v>50.4</v>
      </c>
      <c r="N299" s="1846">
        <v>46.2</v>
      </c>
    </row>
    <row r="300" spans="1:14">
      <c r="A300" s="53">
        <f t="shared" si="2"/>
        <v>2018.03</v>
      </c>
      <c r="B300" s="1847">
        <v>66.8</v>
      </c>
      <c r="C300" s="3645">
        <v>63.3</v>
      </c>
      <c r="D300" s="1845">
        <v>74.400000000000006</v>
      </c>
      <c r="E300" s="3645">
        <v>53.6</v>
      </c>
      <c r="F300" s="1845">
        <v>72.8</v>
      </c>
      <c r="G300" s="3645">
        <v>56.8</v>
      </c>
      <c r="H300" s="1845">
        <v>78.599999999999994</v>
      </c>
      <c r="I300" s="3645">
        <v>71.900000000000006</v>
      </c>
      <c r="J300" s="1845">
        <v>56.7</v>
      </c>
      <c r="K300" s="3645">
        <v>76.099999999999994</v>
      </c>
      <c r="L300" s="1845">
        <v>88</v>
      </c>
      <c r="M300" s="3645">
        <v>58.2</v>
      </c>
      <c r="N300" s="1846">
        <v>54.3</v>
      </c>
    </row>
    <row r="301" spans="1:14">
      <c r="A301" s="53">
        <f t="shared" si="2"/>
        <v>2018.04</v>
      </c>
      <c r="B301" s="1847">
        <v>67.599999999999994</v>
      </c>
      <c r="C301" s="3645">
        <v>65</v>
      </c>
      <c r="D301" s="1845">
        <v>69.2</v>
      </c>
      <c r="E301" s="3645">
        <v>52.3</v>
      </c>
      <c r="F301" s="1845">
        <v>73.099999999999994</v>
      </c>
      <c r="G301" s="3645">
        <v>58.6</v>
      </c>
      <c r="H301" s="1845">
        <v>78.400000000000006</v>
      </c>
      <c r="I301" s="3645">
        <v>72.400000000000006</v>
      </c>
      <c r="J301" s="1845">
        <v>61.8</v>
      </c>
      <c r="K301" s="3645">
        <v>74.2</v>
      </c>
      <c r="L301" s="1845">
        <v>88.6</v>
      </c>
      <c r="M301" s="3645">
        <v>55.8</v>
      </c>
      <c r="N301" s="1846">
        <v>55.4</v>
      </c>
    </row>
    <row r="302" spans="1:14">
      <c r="A302" s="53">
        <f t="shared" si="2"/>
        <v>2018.05</v>
      </c>
      <c r="B302" s="1847">
        <v>65.099999999999994</v>
      </c>
      <c r="C302" s="3645">
        <v>61.5</v>
      </c>
      <c r="D302" s="1845">
        <v>79.5</v>
      </c>
      <c r="E302" s="3645">
        <v>59.9</v>
      </c>
      <c r="F302" s="1845">
        <v>70.5</v>
      </c>
      <c r="G302" s="3645">
        <v>62.1</v>
      </c>
      <c r="H302" s="1845">
        <v>77.5</v>
      </c>
      <c r="I302" s="3645">
        <v>65.599999999999994</v>
      </c>
      <c r="J302" s="1845">
        <v>62.4</v>
      </c>
      <c r="K302" s="3645">
        <v>72.900000000000006</v>
      </c>
      <c r="L302" s="1845">
        <v>82</v>
      </c>
      <c r="M302" s="3645">
        <v>55.2</v>
      </c>
      <c r="N302" s="1846">
        <v>54.9</v>
      </c>
    </row>
    <row r="303" spans="1:14">
      <c r="A303" s="53">
        <f t="shared" si="2"/>
        <v>2018.06</v>
      </c>
      <c r="B303" s="1847">
        <v>61.8</v>
      </c>
      <c r="C303" s="3645">
        <v>59.1</v>
      </c>
      <c r="D303" s="1845">
        <v>68</v>
      </c>
      <c r="E303" s="3645">
        <v>55.4</v>
      </c>
      <c r="F303" s="1845">
        <v>71.7</v>
      </c>
      <c r="G303" s="3645">
        <v>60.1</v>
      </c>
      <c r="H303" s="1845">
        <v>68.7</v>
      </c>
      <c r="I303" s="3645">
        <v>61.8</v>
      </c>
      <c r="J303" s="1845">
        <v>54.8</v>
      </c>
      <c r="K303" s="3645">
        <v>70.599999999999994</v>
      </c>
      <c r="L303" s="1845">
        <v>80.5</v>
      </c>
      <c r="M303" s="3645">
        <v>47.7</v>
      </c>
      <c r="N303" s="1846">
        <v>53.6</v>
      </c>
    </row>
    <row r="304" spans="1:14">
      <c r="A304" s="53">
        <f t="shared" si="2"/>
        <v>2018.07</v>
      </c>
      <c r="B304" s="1847">
        <v>60.1</v>
      </c>
      <c r="C304" s="3645">
        <v>58.9</v>
      </c>
      <c r="D304" s="1845">
        <v>73</v>
      </c>
      <c r="E304" s="3645">
        <v>53.6</v>
      </c>
      <c r="F304" s="1845">
        <v>73.8</v>
      </c>
      <c r="G304" s="3645">
        <v>58.6</v>
      </c>
      <c r="H304" s="1845">
        <v>66.2</v>
      </c>
      <c r="I304" s="3645">
        <v>50.8</v>
      </c>
      <c r="J304" s="1845">
        <v>54.3</v>
      </c>
      <c r="K304" s="3645">
        <v>71.400000000000006</v>
      </c>
      <c r="L304" s="1845">
        <v>86.3</v>
      </c>
      <c r="M304" s="3645">
        <v>48.1</v>
      </c>
      <c r="N304" s="1846">
        <v>51.1</v>
      </c>
    </row>
    <row r="305" spans="1:14">
      <c r="A305" s="53">
        <f t="shared" si="2"/>
        <v>2018.08</v>
      </c>
      <c r="B305" s="1847">
        <v>63</v>
      </c>
      <c r="C305" s="3645">
        <v>61.7</v>
      </c>
      <c r="D305" s="1845">
        <v>76.7</v>
      </c>
      <c r="E305" s="3645">
        <v>53.4</v>
      </c>
      <c r="F305" s="1845">
        <v>76.099999999999994</v>
      </c>
      <c r="G305" s="3645">
        <v>53.9</v>
      </c>
      <c r="H305" s="1845">
        <v>78.099999999999994</v>
      </c>
      <c r="I305" s="3645">
        <v>54.1</v>
      </c>
      <c r="J305" s="1845">
        <v>57.6</v>
      </c>
      <c r="K305" s="3645">
        <v>72.099999999999994</v>
      </c>
      <c r="L305" s="1845">
        <v>85.2</v>
      </c>
      <c r="M305" s="3645">
        <v>57.3</v>
      </c>
      <c r="N305" s="1846">
        <v>53.9</v>
      </c>
    </row>
    <row r="306" spans="1:14">
      <c r="A306" s="53">
        <f t="shared" ref="A306:A369" si="3">A294+1</f>
        <v>2018.09</v>
      </c>
      <c r="B306" s="1847">
        <v>61.1</v>
      </c>
      <c r="C306" s="3645">
        <v>59.4</v>
      </c>
      <c r="D306" s="1845">
        <v>66.5</v>
      </c>
      <c r="E306" s="3645">
        <v>49.1</v>
      </c>
      <c r="F306" s="1845">
        <v>73.8</v>
      </c>
      <c r="G306" s="3645">
        <v>50.7</v>
      </c>
      <c r="H306" s="1845">
        <v>75.7</v>
      </c>
      <c r="I306" s="3645">
        <v>63.2</v>
      </c>
      <c r="J306" s="1845">
        <v>52.4</v>
      </c>
      <c r="K306" s="3645">
        <v>74.099999999999994</v>
      </c>
      <c r="L306" s="1845">
        <v>84.3</v>
      </c>
      <c r="M306" s="3645">
        <v>44.8</v>
      </c>
      <c r="N306" s="1846">
        <v>46</v>
      </c>
    </row>
    <row r="307" spans="1:14">
      <c r="A307" s="53">
        <f t="shared" si="3"/>
        <v>2018.1</v>
      </c>
      <c r="B307" s="1847">
        <v>64.8</v>
      </c>
      <c r="C307" s="3645">
        <v>66.599999999999994</v>
      </c>
      <c r="D307" s="1845">
        <v>71.400000000000006</v>
      </c>
      <c r="E307" s="3645">
        <v>47.4</v>
      </c>
      <c r="F307" s="1845">
        <v>76.5</v>
      </c>
      <c r="G307" s="3645">
        <v>59.5</v>
      </c>
      <c r="H307" s="1845">
        <v>78.8</v>
      </c>
      <c r="I307" s="3645">
        <v>69.099999999999994</v>
      </c>
      <c r="J307" s="1845">
        <v>52.1</v>
      </c>
      <c r="K307" s="3645">
        <v>73.7</v>
      </c>
      <c r="L307" s="1845">
        <v>83.9</v>
      </c>
      <c r="M307" s="3645">
        <v>45.9</v>
      </c>
      <c r="N307" s="1846">
        <v>49.2</v>
      </c>
    </row>
    <row r="308" spans="1:14">
      <c r="A308" s="53">
        <f t="shared" si="3"/>
        <v>2018.11</v>
      </c>
      <c r="B308" s="1847">
        <v>63.3</v>
      </c>
      <c r="C308" s="3645">
        <v>63.5</v>
      </c>
      <c r="D308" s="1845">
        <v>74.599999999999994</v>
      </c>
      <c r="E308" s="3645">
        <v>43.9</v>
      </c>
      <c r="F308" s="1845">
        <v>76.099999999999994</v>
      </c>
      <c r="G308" s="3645">
        <v>56.1</v>
      </c>
      <c r="H308" s="1845">
        <v>73.2</v>
      </c>
      <c r="I308" s="3645">
        <v>70</v>
      </c>
      <c r="J308" s="1845">
        <v>51.6</v>
      </c>
      <c r="K308" s="3645">
        <v>72.7</v>
      </c>
      <c r="L308" s="1845">
        <v>88</v>
      </c>
      <c r="M308" s="3645">
        <v>44.4</v>
      </c>
      <c r="N308" s="1846">
        <v>44.5</v>
      </c>
    </row>
    <row r="309" spans="1:14">
      <c r="A309" s="53">
        <f t="shared" si="3"/>
        <v>2018.12</v>
      </c>
      <c r="B309" s="1847">
        <v>56.6</v>
      </c>
      <c r="C309" s="3645">
        <v>58.9</v>
      </c>
      <c r="D309" s="1845">
        <v>56</v>
      </c>
      <c r="E309" s="3645">
        <v>32.299999999999997</v>
      </c>
      <c r="F309" s="1845">
        <v>66.8</v>
      </c>
      <c r="G309" s="3645">
        <v>48.9</v>
      </c>
      <c r="H309" s="1845">
        <v>77.400000000000006</v>
      </c>
      <c r="I309" s="3645">
        <v>66.400000000000006</v>
      </c>
      <c r="J309" s="1845">
        <v>47.2</v>
      </c>
      <c r="K309" s="3645">
        <v>61.5</v>
      </c>
      <c r="L309" s="1845">
        <v>69.400000000000006</v>
      </c>
      <c r="M309" s="3645">
        <v>25.6</v>
      </c>
      <c r="N309" s="1846">
        <v>42.8</v>
      </c>
    </row>
    <row r="310" spans="1:14">
      <c r="A310" s="53">
        <f t="shared" si="3"/>
        <v>2019.01</v>
      </c>
      <c r="B310" s="1847">
        <v>56.2</v>
      </c>
      <c r="C310" s="3645">
        <v>57.5</v>
      </c>
      <c r="D310" s="1845">
        <v>83.9</v>
      </c>
      <c r="E310" s="3645">
        <v>31.4</v>
      </c>
      <c r="F310" s="1845">
        <v>67.400000000000006</v>
      </c>
      <c r="G310" s="3645">
        <v>56.7</v>
      </c>
      <c r="H310" s="1845">
        <v>76.599999999999994</v>
      </c>
      <c r="I310" s="3645">
        <v>68.900000000000006</v>
      </c>
      <c r="J310" s="1845">
        <v>48.4</v>
      </c>
      <c r="K310" s="3645">
        <v>57.1</v>
      </c>
      <c r="L310" s="1845">
        <v>71.7</v>
      </c>
      <c r="M310" s="3645">
        <v>15.7</v>
      </c>
      <c r="N310" s="1846">
        <v>38.4</v>
      </c>
    </row>
    <row r="311" spans="1:14">
      <c r="A311" s="53">
        <f t="shared" si="3"/>
        <v>2019.02</v>
      </c>
      <c r="B311" s="1847">
        <v>58.5</v>
      </c>
      <c r="C311" s="3645">
        <v>57.6</v>
      </c>
      <c r="D311" s="1845">
        <v>72.900000000000006</v>
      </c>
      <c r="E311" s="3645">
        <v>43.2</v>
      </c>
      <c r="F311" s="1845">
        <v>71.7</v>
      </c>
      <c r="G311" s="3645">
        <v>52.1</v>
      </c>
      <c r="H311" s="1845">
        <v>71.7</v>
      </c>
      <c r="I311" s="3645">
        <v>69.400000000000006</v>
      </c>
      <c r="J311" s="1845">
        <v>50.8</v>
      </c>
      <c r="K311" s="3645">
        <v>67.5</v>
      </c>
      <c r="L311" s="1845">
        <v>68.7</v>
      </c>
      <c r="M311" s="3645">
        <v>42.1</v>
      </c>
      <c r="N311" s="1846">
        <v>42</v>
      </c>
    </row>
    <row r="312" spans="1:14">
      <c r="A312" s="53">
        <f t="shared" si="3"/>
        <v>2019.03</v>
      </c>
      <c r="B312" s="1847">
        <v>58.8</v>
      </c>
      <c r="C312" s="3645">
        <v>55.7</v>
      </c>
      <c r="D312" s="1845">
        <v>63.8</v>
      </c>
      <c r="E312" s="3645">
        <v>49.8</v>
      </c>
      <c r="F312" s="1845">
        <v>71.099999999999994</v>
      </c>
      <c r="G312" s="3645">
        <v>58.1</v>
      </c>
      <c r="H312" s="1845">
        <v>76.599999999999994</v>
      </c>
      <c r="I312" s="3645">
        <v>69.599999999999994</v>
      </c>
      <c r="J312" s="1845">
        <v>48.7</v>
      </c>
      <c r="K312" s="3645">
        <v>62.4</v>
      </c>
      <c r="L312" s="1845">
        <v>74.7</v>
      </c>
      <c r="M312" s="3645">
        <v>35</v>
      </c>
      <c r="N312" s="1846">
        <v>43.1</v>
      </c>
    </row>
    <row r="313" spans="1:14">
      <c r="A313" s="53">
        <f t="shared" si="3"/>
        <v>2019.04</v>
      </c>
      <c r="B313" s="1847">
        <v>61.6</v>
      </c>
      <c r="C313" s="3645">
        <v>60.7</v>
      </c>
      <c r="D313" s="1845">
        <v>58.6</v>
      </c>
      <c r="E313" s="3645">
        <v>49.5</v>
      </c>
      <c r="F313" s="1845">
        <v>68.400000000000006</v>
      </c>
      <c r="G313" s="3645">
        <v>59.8</v>
      </c>
      <c r="H313" s="1845">
        <v>72.099999999999994</v>
      </c>
      <c r="I313" s="3645">
        <v>70.5</v>
      </c>
      <c r="J313" s="1845">
        <v>51.5</v>
      </c>
      <c r="K313" s="3645">
        <v>67.2</v>
      </c>
      <c r="L313" s="1845">
        <v>82</v>
      </c>
      <c r="M313" s="3645">
        <v>37.6</v>
      </c>
      <c r="N313" s="1846">
        <v>46.7</v>
      </c>
    </row>
    <row r="314" spans="1:14">
      <c r="A314" s="53">
        <f t="shared" si="3"/>
        <v>2019.05</v>
      </c>
      <c r="B314" s="1847">
        <v>62</v>
      </c>
      <c r="C314" s="3645">
        <v>60.5</v>
      </c>
      <c r="D314" s="1845">
        <v>70.8</v>
      </c>
      <c r="E314" s="3645">
        <v>54.6</v>
      </c>
      <c r="F314" s="1845">
        <v>64.8</v>
      </c>
      <c r="G314" s="3645">
        <v>63.8</v>
      </c>
      <c r="H314" s="1845">
        <v>78.3</v>
      </c>
      <c r="I314" s="3645">
        <v>70.8</v>
      </c>
      <c r="J314" s="1845">
        <v>50.9</v>
      </c>
      <c r="K314" s="3645">
        <v>64.8</v>
      </c>
      <c r="L314" s="1845">
        <v>77.5</v>
      </c>
      <c r="M314" s="3645">
        <v>36.6</v>
      </c>
      <c r="N314" s="1846">
        <v>49.9</v>
      </c>
    </row>
    <row r="315" spans="1:14">
      <c r="A315" s="53">
        <f t="shared" si="3"/>
        <v>2019.06</v>
      </c>
      <c r="B315" s="1847">
        <v>59.1</v>
      </c>
      <c r="C315" s="3645">
        <v>59.8</v>
      </c>
      <c r="D315" s="1845">
        <v>54.6</v>
      </c>
      <c r="E315" s="3645">
        <v>53.5</v>
      </c>
      <c r="F315" s="1845">
        <v>68.7</v>
      </c>
      <c r="G315" s="3645">
        <v>59.1</v>
      </c>
      <c r="H315" s="1845">
        <v>73.8</v>
      </c>
      <c r="I315" s="3645">
        <v>57.2</v>
      </c>
      <c r="J315" s="1845">
        <v>50.1</v>
      </c>
      <c r="K315" s="3645">
        <v>67.099999999999994</v>
      </c>
      <c r="L315" s="1845">
        <v>80.2</v>
      </c>
      <c r="M315" s="3645">
        <v>34</v>
      </c>
      <c r="N315" s="1846">
        <v>48.2</v>
      </c>
    </row>
    <row r="316" spans="1:14">
      <c r="A316" s="53">
        <f t="shared" si="3"/>
        <v>2019.07</v>
      </c>
      <c r="B316" s="1847">
        <v>58.7</v>
      </c>
      <c r="C316" s="3645">
        <v>63.9</v>
      </c>
      <c r="D316" s="1845">
        <v>68.900000000000006</v>
      </c>
      <c r="E316" s="3645">
        <v>60.6</v>
      </c>
      <c r="F316" s="1845">
        <v>72.900000000000006</v>
      </c>
      <c r="G316" s="3645">
        <v>58.1</v>
      </c>
      <c r="H316" s="1845">
        <v>75.099999999999994</v>
      </c>
      <c r="I316" s="3645">
        <v>47.5</v>
      </c>
      <c r="J316" s="1845">
        <v>51.6</v>
      </c>
      <c r="K316" s="3645">
        <v>67.2</v>
      </c>
      <c r="L316" s="1845">
        <v>79.3</v>
      </c>
      <c r="M316" s="3645">
        <v>30</v>
      </c>
      <c r="N316" s="1846">
        <v>48.5</v>
      </c>
    </row>
    <row r="317" spans="1:14">
      <c r="A317" s="53">
        <f t="shared" si="3"/>
        <v>2019.08</v>
      </c>
      <c r="B317" s="1847">
        <v>60.5</v>
      </c>
      <c r="C317" s="3645">
        <v>63.3</v>
      </c>
      <c r="D317" s="1845">
        <v>64.599999999999994</v>
      </c>
      <c r="E317" s="3645">
        <v>58.8</v>
      </c>
      <c r="F317" s="1845">
        <v>73.400000000000006</v>
      </c>
      <c r="G317" s="3645">
        <v>57.9</v>
      </c>
      <c r="H317" s="1845">
        <v>79.8</v>
      </c>
      <c r="I317" s="3645">
        <v>51.6</v>
      </c>
      <c r="J317" s="1845">
        <v>50.2</v>
      </c>
      <c r="K317" s="3645">
        <v>71.900000000000006</v>
      </c>
      <c r="L317" s="1845">
        <v>81.8</v>
      </c>
      <c r="M317" s="3645">
        <v>43.5</v>
      </c>
      <c r="N317" s="1846">
        <v>47.5</v>
      </c>
    </row>
    <row r="318" spans="1:14">
      <c r="A318" s="53">
        <f t="shared" si="3"/>
        <v>2019.09</v>
      </c>
      <c r="B318" s="1847">
        <v>57.7</v>
      </c>
      <c r="C318" s="3645">
        <v>61.6</v>
      </c>
      <c r="D318" s="1845">
        <v>69.2</v>
      </c>
      <c r="E318" s="3645">
        <v>57.8</v>
      </c>
      <c r="F318" s="1845">
        <v>73.099999999999994</v>
      </c>
      <c r="G318" s="3645">
        <v>57.5</v>
      </c>
      <c r="H318" s="1845">
        <v>77</v>
      </c>
      <c r="I318" s="3645">
        <v>47.7</v>
      </c>
      <c r="J318" s="1845">
        <v>51.3</v>
      </c>
      <c r="K318" s="3645">
        <v>75.400000000000006</v>
      </c>
      <c r="L318" s="1845">
        <v>79.099999999999994</v>
      </c>
      <c r="M318" s="3645">
        <v>37.4</v>
      </c>
      <c r="N318" s="1846">
        <v>40</v>
      </c>
    </row>
    <row r="319" spans="1:14">
      <c r="A319" s="53">
        <f t="shared" si="3"/>
        <v>2019.1</v>
      </c>
      <c r="B319" s="1847">
        <v>62.1</v>
      </c>
      <c r="C319" s="3645">
        <v>64.400000000000006</v>
      </c>
      <c r="D319" s="1845">
        <v>73.099999999999994</v>
      </c>
      <c r="E319" s="3645">
        <v>51.4</v>
      </c>
      <c r="F319" s="1845">
        <v>75.099999999999994</v>
      </c>
      <c r="G319" s="3645">
        <v>61.3</v>
      </c>
      <c r="H319" s="1845">
        <v>80.8</v>
      </c>
      <c r="I319" s="3645">
        <v>63.7</v>
      </c>
      <c r="J319" s="1845">
        <v>53.4</v>
      </c>
      <c r="K319" s="3645">
        <v>72.2</v>
      </c>
      <c r="L319" s="1845">
        <v>73.099999999999994</v>
      </c>
      <c r="M319" s="3645">
        <v>43.2</v>
      </c>
      <c r="N319" s="1846">
        <v>47.3</v>
      </c>
    </row>
    <row r="320" spans="1:14">
      <c r="A320" s="53">
        <f t="shared" si="3"/>
        <v>2019.11</v>
      </c>
      <c r="B320" s="1847">
        <v>60.7</v>
      </c>
      <c r="C320" s="3645">
        <v>59.7</v>
      </c>
      <c r="D320" s="1845">
        <v>69.7</v>
      </c>
      <c r="E320" s="3645">
        <v>51.6</v>
      </c>
      <c r="F320" s="1845">
        <v>74.599999999999994</v>
      </c>
      <c r="G320" s="3645">
        <v>59.3</v>
      </c>
      <c r="H320" s="1845">
        <v>78.7</v>
      </c>
      <c r="I320" s="3645">
        <v>68.7</v>
      </c>
      <c r="J320" s="1845">
        <v>54.7</v>
      </c>
      <c r="K320" s="3645">
        <v>71.099999999999994</v>
      </c>
      <c r="L320" s="1845">
        <v>73.599999999999994</v>
      </c>
      <c r="M320" s="3645">
        <v>38.700000000000003</v>
      </c>
      <c r="N320" s="1846">
        <v>42.3</v>
      </c>
    </row>
    <row r="321" spans="1:14">
      <c r="A321" s="53">
        <f t="shared" si="3"/>
        <v>2019.12</v>
      </c>
      <c r="B321" s="1847">
        <v>56.9</v>
      </c>
      <c r="C321" s="3645">
        <v>63.3</v>
      </c>
      <c r="D321" s="1845">
        <v>50.1</v>
      </c>
      <c r="E321" s="3645">
        <v>41.1</v>
      </c>
      <c r="F321" s="1845">
        <v>68.099999999999994</v>
      </c>
      <c r="G321" s="3645">
        <v>49.3</v>
      </c>
      <c r="H321" s="1845">
        <v>78.599999999999994</v>
      </c>
      <c r="I321" s="3645">
        <v>68.8</v>
      </c>
      <c r="J321" s="1845">
        <v>44.7</v>
      </c>
      <c r="K321" s="3645">
        <v>57.2</v>
      </c>
      <c r="L321" s="1845">
        <v>66.099999999999994</v>
      </c>
      <c r="M321" s="3645">
        <v>21.1</v>
      </c>
      <c r="N321" s="1846">
        <v>40</v>
      </c>
    </row>
    <row r="322" spans="1:14">
      <c r="A322" s="53">
        <f t="shared" si="3"/>
        <v>2020.01</v>
      </c>
      <c r="B322" s="1847">
        <v>56.1</v>
      </c>
      <c r="C322" s="3645">
        <v>58.6</v>
      </c>
      <c r="D322" s="1845">
        <v>67.3</v>
      </c>
      <c r="E322" s="3645">
        <v>44.4</v>
      </c>
      <c r="F322" s="1845">
        <v>67.900000000000006</v>
      </c>
      <c r="G322" s="3645">
        <v>51.9</v>
      </c>
      <c r="H322" s="1845">
        <v>80.7</v>
      </c>
      <c r="I322" s="3645">
        <v>73.8</v>
      </c>
      <c r="J322" s="1845">
        <v>45.1</v>
      </c>
      <c r="K322" s="3645">
        <v>54.4</v>
      </c>
      <c r="L322" s="1845">
        <v>61.5</v>
      </c>
      <c r="M322" s="3645">
        <v>26.3</v>
      </c>
      <c r="N322" s="1846">
        <v>34.6</v>
      </c>
    </row>
    <row r="323" spans="1:14">
      <c r="A323" s="53">
        <f t="shared" si="3"/>
        <v>2020.02</v>
      </c>
      <c r="B323" s="1847">
        <v>59.4</v>
      </c>
      <c r="C323" s="3645">
        <v>60.2</v>
      </c>
      <c r="D323" s="1845">
        <v>58.2</v>
      </c>
      <c r="E323" s="3645">
        <v>43.9</v>
      </c>
      <c r="F323" s="1845">
        <v>73.7</v>
      </c>
      <c r="G323" s="3645">
        <v>53.6</v>
      </c>
      <c r="H323" s="1845">
        <v>80.099999999999994</v>
      </c>
      <c r="I323" s="3645">
        <v>71.400000000000006</v>
      </c>
      <c r="J323" s="1845">
        <v>47</v>
      </c>
      <c r="K323" s="3645">
        <v>62.4</v>
      </c>
      <c r="L323" s="1845">
        <v>72.900000000000006</v>
      </c>
      <c r="M323" s="3645">
        <v>37.5</v>
      </c>
      <c r="N323" s="1846">
        <v>39.799999999999997</v>
      </c>
    </row>
    <row r="324" spans="1:14">
      <c r="A324" s="53">
        <f t="shared" si="3"/>
        <v>2020.03</v>
      </c>
      <c r="B324" s="1847">
        <v>51.6</v>
      </c>
      <c r="C324" s="3645">
        <v>55.6</v>
      </c>
      <c r="D324" s="1845">
        <v>53.6</v>
      </c>
      <c r="E324" s="3645">
        <v>28.7</v>
      </c>
      <c r="F324" s="1845">
        <v>68.900000000000006</v>
      </c>
      <c r="G324" s="3645">
        <v>50.4</v>
      </c>
      <c r="H324" s="1845">
        <v>70.8</v>
      </c>
      <c r="I324" s="3645">
        <v>68.5</v>
      </c>
      <c r="J324" s="1845">
        <v>39.799999999999997</v>
      </c>
      <c r="K324" s="3645">
        <v>42.1</v>
      </c>
      <c r="L324" s="1845">
        <v>58.5</v>
      </c>
      <c r="M324" s="3645">
        <v>25.9</v>
      </c>
      <c r="N324" s="1846">
        <v>30.4</v>
      </c>
    </row>
    <row r="325" spans="1:14">
      <c r="A325" s="53">
        <f t="shared" si="3"/>
        <v>2020.04</v>
      </c>
      <c r="B325" s="1847">
        <v>42</v>
      </c>
      <c r="C325" s="3645">
        <v>59.7</v>
      </c>
      <c r="D325" s="1845">
        <v>0</v>
      </c>
      <c r="E325" s="3645">
        <v>4.2</v>
      </c>
      <c r="F325" s="1845">
        <v>59.9</v>
      </c>
      <c r="G325" s="3645">
        <v>57.6</v>
      </c>
      <c r="H325" s="1845">
        <v>46.2</v>
      </c>
      <c r="I325" s="3645">
        <v>69.3</v>
      </c>
      <c r="J325" s="1845">
        <v>31.7</v>
      </c>
      <c r="K325" s="3645">
        <v>22.5</v>
      </c>
      <c r="L325" s="1845">
        <v>25.1</v>
      </c>
      <c r="M325" s="3645">
        <v>0</v>
      </c>
      <c r="N325" s="1846">
        <v>20.100000000000001</v>
      </c>
    </row>
    <row r="326" spans="1:14">
      <c r="A326" s="53">
        <f t="shared" si="3"/>
        <v>2020.05</v>
      </c>
      <c r="B326" s="1847">
        <v>46.4</v>
      </c>
      <c r="C326" s="3645">
        <v>57</v>
      </c>
      <c r="D326" s="1845">
        <v>62.2</v>
      </c>
      <c r="E326" s="3645">
        <v>17.8</v>
      </c>
      <c r="F326" s="1845">
        <v>65</v>
      </c>
      <c r="G326" s="3645">
        <v>54.3</v>
      </c>
      <c r="H326" s="1845">
        <v>57</v>
      </c>
      <c r="I326" s="3645">
        <v>63</v>
      </c>
      <c r="J326" s="1845">
        <v>36.4</v>
      </c>
      <c r="K326" s="3645">
        <v>38.5</v>
      </c>
      <c r="L326" s="1845">
        <v>39</v>
      </c>
      <c r="M326" s="3645">
        <v>6.2</v>
      </c>
      <c r="N326" s="1846">
        <v>31.7</v>
      </c>
    </row>
    <row r="327" spans="1:14">
      <c r="A327" s="53">
        <f t="shared" si="3"/>
        <v>2020.06</v>
      </c>
      <c r="B327" s="1847">
        <v>53.3</v>
      </c>
      <c r="C327" s="3645">
        <v>60.1</v>
      </c>
      <c r="D327" s="1845">
        <v>97.1</v>
      </c>
      <c r="E327" s="3645">
        <v>37.799999999999997</v>
      </c>
      <c r="F327" s="1845">
        <v>68.099999999999994</v>
      </c>
      <c r="G327" s="3645">
        <v>52.5</v>
      </c>
      <c r="H327" s="1845">
        <v>67.3</v>
      </c>
      <c r="I327" s="3645">
        <v>59.8</v>
      </c>
      <c r="J327" s="1845">
        <v>46.6</v>
      </c>
      <c r="K327" s="3645">
        <v>61.8</v>
      </c>
      <c r="L327" s="1845">
        <v>48.4</v>
      </c>
      <c r="M327" s="3645">
        <v>23</v>
      </c>
      <c r="N327" s="1846">
        <v>43.1</v>
      </c>
    </row>
    <row r="328" spans="1:14">
      <c r="A328" s="53">
        <f t="shared" si="3"/>
        <v>2020.07</v>
      </c>
      <c r="B328" s="1847">
        <v>56.8</v>
      </c>
      <c r="C328" s="3645">
        <v>59.5</v>
      </c>
      <c r="D328" s="1845">
        <v>79.5</v>
      </c>
      <c r="E328" s="3645">
        <v>43.1</v>
      </c>
      <c r="F328" s="1845">
        <v>65</v>
      </c>
      <c r="G328" s="3645">
        <v>51.6</v>
      </c>
      <c r="H328" s="1845">
        <v>68.099999999999994</v>
      </c>
      <c r="I328" s="3645">
        <v>68.7</v>
      </c>
      <c r="J328" s="1845">
        <v>47.3</v>
      </c>
      <c r="K328" s="3645">
        <v>67.5</v>
      </c>
      <c r="L328" s="1845">
        <v>61</v>
      </c>
      <c r="M328" s="3645">
        <v>29.8</v>
      </c>
      <c r="N328" s="1846">
        <v>44.6</v>
      </c>
    </row>
    <row r="329" spans="1:14">
      <c r="A329" s="53">
        <f t="shared" si="3"/>
        <v>2020.08</v>
      </c>
      <c r="B329" s="1847">
        <v>58.4</v>
      </c>
      <c r="C329" s="3645">
        <v>60.6</v>
      </c>
      <c r="D329" s="1845">
        <v>61.5</v>
      </c>
      <c r="E329" s="3645">
        <v>42.3</v>
      </c>
      <c r="F329" s="1845">
        <v>65</v>
      </c>
      <c r="G329" s="3645">
        <v>50.3</v>
      </c>
      <c r="H329" s="1845">
        <v>69.099999999999994</v>
      </c>
      <c r="I329" s="3645">
        <v>71.099999999999994</v>
      </c>
      <c r="J329" s="1845">
        <v>48.6</v>
      </c>
      <c r="K329" s="3645">
        <v>70.400000000000006</v>
      </c>
      <c r="L329" s="1845">
        <v>62.9</v>
      </c>
      <c r="M329" s="3645">
        <v>35.4</v>
      </c>
      <c r="N329" s="1846">
        <v>46.9</v>
      </c>
    </row>
    <row r="330" spans="1:14">
      <c r="A330" s="53">
        <f t="shared" si="3"/>
        <v>2020.09</v>
      </c>
      <c r="B330" s="1847">
        <v>60.8</v>
      </c>
      <c r="C330" s="3645">
        <v>64.7</v>
      </c>
      <c r="D330" s="1845">
        <v>64.099999999999994</v>
      </c>
      <c r="E330" s="3645">
        <v>48.5</v>
      </c>
      <c r="F330" s="1845">
        <v>71.2</v>
      </c>
      <c r="G330" s="3645">
        <v>57.1</v>
      </c>
      <c r="H330" s="1845">
        <v>59.5</v>
      </c>
      <c r="I330" s="3645">
        <v>69.8</v>
      </c>
      <c r="J330" s="1845">
        <v>52.8</v>
      </c>
      <c r="K330" s="3645">
        <v>77.8</v>
      </c>
      <c r="L330" s="1845">
        <v>68.7</v>
      </c>
      <c r="M330" s="3645">
        <v>46.2</v>
      </c>
      <c r="N330" s="1846">
        <v>44.7</v>
      </c>
    </row>
    <row r="331" spans="1:14">
      <c r="A331" s="53">
        <f t="shared" si="3"/>
        <v>2020.1</v>
      </c>
      <c r="B331" s="1847">
        <v>61.8</v>
      </c>
      <c r="C331" s="3645">
        <v>63.7</v>
      </c>
      <c r="D331" s="1845">
        <v>54.5</v>
      </c>
      <c r="E331" s="3645">
        <v>48</v>
      </c>
      <c r="F331" s="1845">
        <v>66.099999999999994</v>
      </c>
      <c r="G331" s="3645">
        <v>55.7</v>
      </c>
      <c r="H331" s="1845">
        <v>64.3</v>
      </c>
      <c r="I331" s="3645">
        <v>69.3</v>
      </c>
      <c r="J331" s="1845">
        <v>54.2</v>
      </c>
      <c r="K331" s="3645">
        <v>77.599999999999994</v>
      </c>
      <c r="L331" s="1845">
        <v>71.3</v>
      </c>
      <c r="M331" s="3645">
        <v>40.299999999999997</v>
      </c>
      <c r="N331" s="1846">
        <v>54</v>
      </c>
    </row>
    <row r="332" spans="1:14">
      <c r="A332" s="53">
        <f t="shared" si="3"/>
        <v>2020.11</v>
      </c>
      <c r="B332" s="1847">
        <v>63.3</v>
      </c>
      <c r="C332" s="3645">
        <v>65.3</v>
      </c>
      <c r="D332" s="1845">
        <v>59.1</v>
      </c>
      <c r="E332" s="3645">
        <v>49.1</v>
      </c>
      <c r="F332" s="1845">
        <v>71.5</v>
      </c>
      <c r="G332" s="3645">
        <v>56.1</v>
      </c>
      <c r="H332" s="1845">
        <v>69.7</v>
      </c>
      <c r="I332" s="3645">
        <v>68.7</v>
      </c>
      <c r="J332" s="1845">
        <v>57.2</v>
      </c>
      <c r="K332" s="3645">
        <v>80.099999999999994</v>
      </c>
      <c r="L332" s="1845">
        <v>75</v>
      </c>
      <c r="M332" s="3645">
        <v>46.9</v>
      </c>
      <c r="N332" s="1846">
        <v>49.9</v>
      </c>
    </row>
    <row r="333" spans="1:14">
      <c r="A333" s="53">
        <f t="shared" si="3"/>
        <v>2020.12</v>
      </c>
      <c r="B333" s="1847">
        <v>58.4</v>
      </c>
      <c r="C333" s="3645">
        <v>56.9</v>
      </c>
      <c r="D333" s="1845">
        <v>46.7</v>
      </c>
      <c r="E333" s="3645">
        <v>42.4</v>
      </c>
      <c r="F333" s="1845">
        <v>62.6</v>
      </c>
      <c r="G333" s="3645">
        <v>52.1</v>
      </c>
      <c r="H333" s="1845">
        <v>72</v>
      </c>
      <c r="I333" s="3645">
        <v>63.7</v>
      </c>
      <c r="J333" s="1845">
        <v>49.5</v>
      </c>
      <c r="K333" s="3645">
        <v>69.2</v>
      </c>
      <c r="L333" s="1845">
        <v>73.5</v>
      </c>
      <c r="M333" s="3645">
        <v>41</v>
      </c>
      <c r="N333" s="1846">
        <v>49.7</v>
      </c>
    </row>
    <row r="334" spans="1:14">
      <c r="A334" s="53">
        <f t="shared" si="3"/>
        <v>2021.01</v>
      </c>
      <c r="B334" s="1847">
        <v>56.8</v>
      </c>
      <c r="C334" s="3645">
        <v>60</v>
      </c>
      <c r="D334" s="1845">
        <v>49.3</v>
      </c>
      <c r="E334" s="3645">
        <v>43</v>
      </c>
      <c r="F334" s="1845">
        <v>58.8</v>
      </c>
      <c r="G334" s="3645">
        <v>49.2</v>
      </c>
      <c r="H334" s="1845">
        <v>77.5</v>
      </c>
      <c r="I334" s="3645">
        <v>62.9</v>
      </c>
      <c r="J334" s="1845">
        <v>52.6</v>
      </c>
      <c r="K334" s="3645">
        <v>71.7</v>
      </c>
      <c r="L334" s="1845">
        <v>67.7</v>
      </c>
      <c r="M334" s="3645">
        <v>31.4</v>
      </c>
      <c r="N334" s="1846">
        <v>41.4</v>
      </c>
    </row>
    <row r="335" spans="1:14">
      <c r="A335" s="53">
        <f t="shared" si="3"/>
        <v>2021.02</v>
      </c>
      <c r="B335" s="1847">
        <v>57.9</v>
      </c>
      <c r="C335" s="3645">
        <v>62.8</v>
      </c>
      <c r="D335" s="1845">
        <v>56.7</v>
      </c>
      <c r="E335" s="3645">
        <v>49.8</v>
      </c>
      <c r="F335" s="1845">
        <v>69.099999999999994</v>
      </c>
      <c r="G335" s="3645">
        <v>53.5</v>
      </c>
      <c r="H335" s="1845">
        <v>77.3</v>
      </c>
      <c r="I335" s="3645">
        <v>55.5</v>
      </c>
      <c r="J335" s="1845">
        <v>50.6</v>
      </c>
      <c r="K335" s="3645">
        <v>75.3</v>
      </c>
      <c r="L335" s="1845">
        <v>67.099999999999994</v>
      </c>
      <c r="M335" s="3645">
        <v>33.4</v>
      </c>
      <c r="N335" s="1846">
        <v>46.3</v>
      </c>
    </row>
    <row r="336" spans="1:14">
      <c r="A336" s="53">
        <f t="shared" si="3"/>
        <v>2021.03</v>
      </c>
      <c r="B336" s="1847">
        <v>64.2</v>
      </c>
      <c r="C336" s="3645">
        <v>63.9</v>
      </c>
      <c r="D336" s="1845">
        <v>68.8</v>
      </c>
      <c r="E336" s="3645">
        <v>50.7</v>
      </c>
      <c r="F336" s="1845">
        <v>71.7</v>
      </c>
      <c r="G336" s="3645">
        <v>57.7</v>
      </c>
      <c r="H336" s="1845">
        <v>73.8</v>
      </c>
      <c r="I336" s="3645">
        <v>70.3</v>
      </c>
      <c r="J336" s="1845">
        <v>56.1</v>
      </c>
      <c r="K336" s="3645">
        <v>77.400000000000006</v>
      </c>
      <c r="L336" s="1845">
        <v>76.3</v>
      </c>
      <c r="M336" s="3645">
        <v>54.8</v>
      </c>
      <c r="N336" s="1846">
        <v>50.3</v>
      </c>
    </row>
    <row r="337" spans="1:14">
      <c r="A337" s="53">
        <f t="shared" si="3"/>
        <v>2021.04</v>
      </c>
      <c r="B337" s="1847">
        <v>63.2</v>
      </c>
      <c r="C337" s="3645">
        <v>64.8</v>
      </c>
      <c r="D337" s="1845">
        <v>65.7</v>
      </c>
      <c r="E337" s="3645">
        <v>52.4</v>
      </c>
      <c r="F337" s="1845">
        <v>73</v>
      </c>
      <c r="G337" s="3645">
        <v>55.9</v>
      </c>
      <c r="H337" s="1845">
        <v>73.099999999999994</v>
      </c>
      <c r="I337" s="3645">
        <v>75.400000000000006</v>
      </c>
      <c r="J337" s="1845">
        <v>52.1</v>
      </c>
      <c r="K337" s="3645">
        <v>74.7</v>
      </c>
      <c r="L337" s="1845">
        <v>66</v>
      </c>
      <c r="M337" s="3645">
        <v>39.1</v>
      </c>
      <c r="N337" s="1846">
        <v>53.7</v>
      </c>
    </row>
    <row r="338" spans="1:14">
      <c r="A338" s="53">
        <f t="shared" si="3"/>
        <v>2021.05</v>
      </c>
      <c r="B338" s="1847">
        <v>61.1</v>
      </c>
      <c r="C338" s="3645">
        <v>59.1</v>
      </c>
      <c r="D338" s="1845">
        <v>52.3</v>
      </c>
      <c r="E338" s="3645">
        <v>52.3</v>
      </c>
      <c r="F338" s="1845">
        <v>74</v>
      </c>
      <c r="G338" s="3645">
        <v>50.2</v>
      </c>
      <c r="H338" s="1845">
        <v>75.400000000000006</v>
      </c>
      <c r="I338" s="3645">
        <v>71.7</v>
      </c>
      <c r="J338" s="1845">
        <v>50.5</v>
      </c>
      <c r="K338" s="3645">
        <v>68.900000000000006</v>
      </c>
      <c r="L338" s="1845">
        <v>71.2</v>
      </c>
      <c r="M338" s="3645">
        <v>44.6</v>
      </c>
      <c r="N338" s="1846">
        <v>49.8</v>
      </c>
    </row>
    <row r="339" spans="1:14">
      <c r="A339" s="53">
        <f t="shared" si="3"/>
        <v>2021.06</v>
      </c>
      <c r="B339" s="1847">
        <v>64.5</v>
      </c>
      <c r="C339" s="3645">
        <v>63.2</v>
      </c>
      <c r="D339" s="1845">
        <v>64.2</v>
      </c>
      <c r="E339" s="3645">
        <v>62.1</v>
      </c>
      <c r="F339" s="1845">
        <v>72.5</v>
      </c>
      <c r="G339" s="3645">
        <v>59.8</v>
      </c>
      <c r="H339" s="1845">
        <v>73.599999999999994</v>
      </c>
      <c r="I339" s="3645">
        <v>69.599999999999994</v>
      </c>
      <c r="J339" s="1845">
        <v>54.3</v>
      </c>
      <c r="K339" s="3645">
        <v>74.2</v>
      </c>
      <c r="L339" s="1845">
        <v>74.8</v>
      </c>
      <c r="M339" s="3645">
        <v>51.9</v>
      </c>
      <c r="N339" s="1846">
        <v>56</v>
      </c>
    </row>
    <row r="340" spans="1:14">
      <c r="A340" s="53">
        <f t="shared" si="3"/>
        <v>2021.07</v>
      </c>
      <c r="B340" s="1847">
        <v>63.7</v>
      </c>
      <c r="C340" s="3645">
        <v>62.2</v>
      </c>
      <c r="D340" s="1845">
        <v>55.7</v>
      </c>
      <c r="E340" s="3645">
        <v>58.4</v>
      </c>
      <c r="F340" s="1845">
        <v>77.7</v>
      </c>
      <c r="G340" s="3645">
        <v>56.5</v>
      </c>
      <c r="H340" s="1845">
        <v>72.099999999999994</v>
      </c>
      <c r="I340" s="3645">
        <v>70.2</v>
      </c>
      <c r="J340" s="1845">
        <v>52.4</v>
      </c>
      <c r="K340" s="3645">
        <v>77.2</v>
      </c>
      <c r="L340" s="1845">
        <v>77.400000000000006</v>
      </c>
      <c r="M340" s="3645">
        <v>41.1</v>
      </c>
      <c r="N340" s="1846">
        <v>54.8</v>
      </c>
    </row>
    <row r="341" spans="1:14">
      <c r="A341" s="53">
        <f t="shared" si="3"/>
        <v>2021.08</v>
      </c>
      <c r="B341" s="1847">
        <v>64</v>
      </c>
      <c r="C341" s="3645">
        <v>65.7</v>
      </c>
      <c r="D341" s="1845">
        <v>60.7</v>
      </c>
      <c r="E341" s="3645">
        <v>54.4</v>
      </c>
      <c r="F341" s="1845">
        <v>72.400000000000006</v>
      </c>
      <c r="G341" s="3645">
        <v>57.4</v>
      </c>
      <c r="H341" s="1845">
        <v>75.400000000000006</v>
      </c>
      <c r="I341" s="3645">
        <v>63.5</v>
      </c>
      <c r="J341" s="1845">
        <v>56</v>
      </c>
      <c r="K341" s="3645">
        <v>79.8</v>
      </c>
      <c r="L341" s="1845">
        <v>76.599999999999994</v>
      </c>
      <c r="M341" s="3645">
        <v>47.7</v>
      </c>
      <c r="N341" s="1846">
        <v>55.3</v>
      </c>
    </row>
    <row r="342" spans="1:14">
      <c r="A342" s="53">
        <f t="shared" si="3"/>
        <v>2021.09</v>
      </c>
      <c r="B342" s="1847">
        <v>66.3</v>
      </c>
      <c r="C342" s="3645">
        <v>68.5</v>
      </c>
      <c r="D342" s="1845">
        <v>66.099999999999994</v>
      </c>
      <c r="E342" s="3645">
        <v>60.6</v>
      </c>
      <c r="F342" s="1845">
        <v>78.5</v>
      </c>
      <c r="G342" s="3645">
        <v>60.1</v>
      </c>
      <c r="H342" s="1845">
        <v>75.8</v>
      </c>
      <c r="I342" s="3645">
        <v>64.900000000000006</v>
      </c>
      <c r="J342" s="1845">
        <v>60</v>
      </c>
      <c r="K342" s="3645">
        <v>79.099999999999994</v>
      </c>
      <c r="L342" s="1845">
        <v>80.099999999999994</v>
      </c>
      <c r="M342" s="3645">
        <v>55</v>
      </c>
      <c r="N342" s="1846">
        <v>53.6</v>
      </c>
    </row>
    <row r="343" spans="1:14">
      <c r="A343" s="53">
        <f t="shared" si="3"/>
        <v>2021.1</v>
      </c>
      <c r="B343" s="1847">
        <v>64.3</v>
      </c>
      <c r="C343" s="3645">
        <v>63.7</v>
      </c>
      <c r="D343" s="1845">
        <v>59.9</v>
      </c>
      <c r="E343" s="3645">
        <v>54.8</v>
      </c>
      <c r="F343" s="1845">
        <v>75.400000000000006</v>
      </c>
      <c r="G343" s="3645">
        <v>56.4</v>
      </c>
      <c r="H343" s="1845">
        <v>77.400000000000006</v>
      </c>
      <c r="I343" s="3645">
        <v>64.2</v>
      </c>
      <c r="J343" s="1845">
        <v>55.2</v>
      </c>
      <c r="K343" s="3645">
        <v>78.599999999999994</v>
      </c>
      <c r="L343" s="1845">
        <v>80.2</v>
      </c>
      <c r="M343" s="3645">
        <v>50.8</v>
      </c>
      <c r="N343" s="1846">
        <v>54.7</v>
      </c>
    </row>
    <row r="344" spans="1:14">
      <c r="A344" s="53">
        <f t="shared" si="3"/>
        <v>2021.11</v>
      </c>
      <c r="B344" s="1847">
        <v>68.400000000000006</v>
      </c>
      <c r="C344" s="3645">
        <v>66.599999999999994</v>
      </c>
      <c r="D344" s="1845">
        <v>62.9</v>
      </c>
      <c r="E344" s="3645">
        <v>59.1</v>
      </c>
      <c r="F344" s="1845">
        <v>79.5</v>
      </c>
      <c r="G344" s="3645">
        <v>62.7</v>
      </c>
      <c r="H344" s="1845">
        <v>77.5</v>
      </c>
      <c r="I344" s="3645">
        <v>73.599999999999994</v>
      </c>
      <c r="J344" s="1845">
        <v>60.1</v>
      </c>
      <c r="K344" s="3645">
        <v>81.5</v>
      </c>
      <c r="L344" s="1845">
        <v>83.1</v>
      </c>
      <c r="M344" s="3645">
        <v>60.2</v>
      </c>
      <c r="N344" s="1846">
        <v>54.1</v>
      </c>
    </row>
    <row r="345" spans="1:14">
      <c r="A345" s="53">
        <f t="shared" si="3"/>
        <v>2021.12</v>
      </c>
      <c r="B345" s="1847">
        <v>64</v>
      </c>
      <c r="C345" s="3645">
        <v>65.3</v>
      </c>
      <c r="D345" s="1845">
        <v>53</v>
      </c>
      <c r="E345" s="3645">
        <v>47.4</v>
      </c>
      <c r="F345" s="1845">
        <v>70</v>
      </c>
      <c r="G345" s="3645">
        <v>56.1</v>
      </c>
      <c r="H345" s="1845">
        <v>79.2</v>
      </c>
      <c r="I345" s="3645">
        <v>70.8</v>
      </c>
      <c r="J345" s="1845">
        <v>51.5</v>
      </c>
      <c r="K345" s="3645">
        <v>70.2</v>
      </c>
      <c r="L345" s="1845">
        <v>77.3</v>
      </c>
      <c r="M345" s="3645">
        <v>49.8</v>
      </c>
      <c r="N345" s="1846">
        <v>51.9</v>
      </c>
    </row>
    <row r="346" spans="1:14">
      <c r="A346" s="53">
        <f t="shared" si="3"/>
        <v>2022.01</v>
      </c>
      <c r="B346" s="1847">
        <v>57.5</v>
      </c>
      <c r="C346" s="3645">
        <v>58.5</v>
      </c>
      <c r="D346" s="1845">
        <v>50.6</v>
      </c>
      <c r="E346" s="3645">
        <v>38.1</v>
      </c>
      <c r="F346" s="1845">
        <v>69.8</v>
      </c>
      <c r="G346" s="3645">
        <v>56.3</v>
      </c>
      <c r="H346" s="1845">
        <v>77.2</v>
      </c>
      <c r="I346" s="3645">
        <v>73.099999999999994</v>
      </c>
      <c r="J346" s="1845">
        <v>46.8</v>
      </c>
      <c r="K346" s="3645">
        <v>67.900000000000006</v>
      </c>
      <c r="L346" s="1845">
        <v>65.3</v>
      </c>
      <c r="M346" s="3645">
        <v>22.5</v>
      </c>
      <c r="N346" s="1846">
        <v>41.1</v>
      </c>
    </row>
    <row r="347" spans="1:14">
      <c r="A347" s="53">
        <f t="shared" si="3"/>
        <v>2022.02</v>
      </c>
      <c r="B347" s="1847">
        <v>64</v>
      </c>
      <c r="C347" s="3645">
        <v>65.400000000000006</v>
      </c>
      <c r="D347" s="1845">
        <v>66.400000000000006</v>
      </c>
      <c r="E347" s="3645">
        <v>58.1</v>
      </c>
      <c r="F347" s="1845">
        <v>77.900000000000006</v>
      </c>
      <c r="G347" s="3645">
        <v>63.6</v>
      </c>
      <c r="H347" s="1845">
        <v>69.099999999999994</v>
      </c>
      <c r="I347" s="3645">
        <v>71.900000000000006</v>
      </c>
      <c r="J347" s="1845">
        <v>54.7</v>
      </c>
      <c r="K347" s="3645">
        <v>76.099999999999994</v>
      </c>
      <c r="L347" s="1845">
        <v>65.599999999999994</v>
      </c>
      <c r="M347" s="3645">
        <v>51.6</v>
      </c>
      <c r="N347" s="1846">
        <v>52.3</v>
      </c>
    </row>
    <row r="348" spans="1:14">
      <c r="A348" s="53">
        <f t="shared" si="3"/>
        <v>2022.03</v>
      </c>
      <c r="B348" s="1847">
        <v>66.7</v>
      </c>
      <c r="C348" s="3645">
        <v>64.400000000000006</v>
      </c>
      <c r="D348" s="1845">
        <v>66.3</v>
      </c>
      <c r="E348" s="3645">
        <v>53.4</v>
      </c>
      <c r="F348" s="1845">
        <v>77.400000000000006</v>
      </c>
      <c r="G348" s="3645">
        <v>64.599999999999994</v>
      </c>
      <c r="H348" s="1845">
        <v>71.900000000000006</v>
      </c>
      <c r="I348" s="3645">
        <v>75.900000000000006</v>
      </c>
      <c r="J348" s="1845">
        <v>59.7</v>
      </c>
      <c r="K348" s="3645">
        <v>76.5</v>
      </c>
      <c r="L348" s="1845">
        <v>76.099999999999994</v>
      </c>
      <c r="M348" s="3645">
        <v>59.5</v>
      </c>
      <c r="N348" s="1846">
        <v>53.8</v>
      </c>
    </row>
    <row r="349" spans="1:14">
      <c r="A349" s="53">
        <f t="shared" si="3"/>
        <v>2022.04</v>
      </c>
      <c r="B349" s="1847">
        <v>67.099999999999994</v>
      </c>
      <c r="C349" s="3645">
        <v>66</v>
      </c>
      <c r="D349" s="1845">
        <v>58.8</v>
      </c>
      <c r="E349" s="3645">
        <v>55</v>
      </c>
      <c r="F349" s="1845">
        <v>76.400000000000006</v>
      </c>
      <c r="G349" s="3645">
        <v>58.9</v>
      </c>
      <c r="H349" s="1845">
        <v>81.400000000000006</v>
      </c>
      <c r="I349" s="3645">
        <v>73.3</v>
      </c>
      <c r="J349" s="1845">
        <v>59.9</v>
      </c>
      <c r="K349" s="3645">
        <v>79.400000000000006</v>
      </c>
      <c r="L349" s="1845">
        <v>68.7</v>
      </c>
      <c r="M349" s="3645">
        <v>56.9</v>
      </c>
      <c r="N349" s="1846">
        <v>61.1</v>
      </c>
    </row>
    <row r="350" spans="1:14">
      <c r="A350" s="53">
        <f t="shared" si="3"/>
        <v>2022.05</v>
      </c>
      <c r="B350" s="1847">
        <v>68</v>
      </c>
      <c r="C350" s="3645">
        <v>64.8</v>
      </c>
      <c r="D350" s="1845">
        <v>61.5</v>
      </c>
      <c r="E350" s="3645">
        <v>59.5</v>
      </c>
      <c r="F350" s="1845">
        <v>78</v>
      </c>
      <c r="G350" s="3645">
        <v>61.7</v>
      </c>
      <c r="H350" s="1845">
        <v>81.3</v>
      </c>
      <c r="I350" s="3645">
        <v>74.3</v>
      </c>
      <c r="J350" s="1845">
        <v>55.4</v>
      </c>
      <c r="K350" s="3645">
        <v>81.400000000000006</v>
      </c>
      <c r="L350" s="1845">
        <v>81.8</v>
      </c>
      <c r="M350" s="3645">
        <v>57.1</v>
      </c>
      <c r="N350" s="1846">
        <v>57.1</v>
      </c>
    </row>
    <row r="351" spans="1:14">
      <c r="A351" s="53">
        <f t="shared" si="3"/>
        <v>2022.06</v>
      </c>
      <c r="B351" s="1847">
        <v>69.5</v>
      </c>
      <c r="C351" s="3645">
        <v>65.400000000000006</v>
      </c>
      <c r="D351" s="1845">
        <v>55.9</v>
      </c>
      <c r="E351" s="3645">
        <v>67.599999999999994</v>
      </c>
      <c r="F351" s="1845">
        <v>78.400000000000006</v>
      </c>
      <c r="G351" s="3645">
        <v>64.099999999999994</v>
      </c>
      <c r="H351" s="1845">
        <v>81.2</v>
      </c>
      <c r="I351" s="3645">
        <v>73.3</v>
      </c>
      <c r="J351" s="1845">
        <v>55.6</v>
      </c>
      <c r="K351" s="3645">
        <v>82.7</v>
      </c>
      <c r="L351" s="1845">
        <v>87.2</v>
      </c>
      <c r="M351" s="3645">
        <v>59.8</v>
      </c>
      <c r="N351" s="1846">
        <v>59.8</v>
      </c>
    </row>
    <row r="352" spans="1:14">
      <c r="A352" s="53">
        <f t="shared" si="3"/>
        <v>2022.07</v>
      </c>
      <c r="B352" s="1847">
        <v>67.900000000000006</v>
      </c>
      <c r="C352" s="3645">
        <v>63.6</v>
      </c>
      <c r="D352" s="1845">
        <v>65.099999999999994</v>
      </c>
      <c r="E352" s="3645">
        <v>63.8</v>
      </c>
      <c r="F352" s="1845">
        <v>81.400000000000006</v>
      </c>
      <c r="G352" s="3645">
        <v>64.099999999999994</v>
      </c>
      <c r="H352" s="1845">
        <v>78.3</v>
      </c>
      <c r="I352" s="3645">
        <v>68.900000000000006</v>
      </c>
      <c r="J352" s="1845">
        <v>53.8</v>
      </c>
      <c r="K352" s="3645">
        <v>81.099999999999994</v>
      </c>
      <c r="L352" s="1845">
        <v>84.4</v>
      </c>
      <c r="M352" s="3645">
        <v>54</v>
      </c>
      <c r="N352" s="1846">
        <v>63.2</v>
      </c>
    </row>
    <row r="353" spans="1:14">
      <c r="A353" s="53">
        <f t="shared" si="3"/>
        <v>2022.08</v>
      </c>
      <c r="B353" s="1847">
        <v>69.599999999999994</v>
      </c>
      <c r="C353" s="3645">
        <v>67.400000000000006</v>
      </c>
      <c r="D353" s="1845">
        <v>64.099999999999994</v>
      </c>
      <c r="E353" s="3645">
        <v>64.5</v>
      </c>
      <c r="F353" s="1845">
        <v>77.599999999999994</v>
      </c>
      <c r="G353" s="3645">
        <v>65.2</v>
      </c>
      <c r="H353" s="1845">
        <v>80.7</v>
      </c>
      <c r="I353" s="3645">
        <v>69.400000000000006</v>
      </c>
      <c r="J353" s="1845">
        <v>57</v>
      </c>
      <c r="K353" s="3645">
        <v>83.8</v>
      </c>
      <c r="L353" s="1845">
        <v>83.3</v>
      </c>
      <c r="M353" s="3645">
        <v>65.3</v>
      </c>
      <c r="N353" s="1846">
        <v>61.9</v>
      </c>
    </row>
    <row r="354" spans="1:14">
      <c r="A354" s="53">
        <f t="shared" si="3"/>
        <v>2022.09</v>
      </c>
      <c r="B354" s="1847">
        <v>68.599999999999994</v>
      </c>
      <c r="C354" s="3645">
        <v>68.599999999999994</v>
      </c>
      <c r="D354" s="1845">
        <v>63.5</v>
      </c>
      <c r="E354" s="3645">
        <v>62.6</v>
      </c>
      <c r="F354" s="1845">
        <v>78.5</v>
      </c>
      <c r="G354" s="3645">
        <v>65.900000000000006</v>
      </c>
      <c r="H354" s="1845">
        <v>77.900000000000006</v>
      </c>
      <c r="I354" s="3645">
        <v>69.8</v>
      </c>
      <c r="J354" s="1845">
        <v>55.3</v>
      </c>
      <c r="K354" s="3645">
        <v>83.3</v>
      </c>
      <c r="L354" s="1845">
        <v>81.400000000000006</v>
      </c>
      <c r="M354" s="3645">
        <v>65.599999999999994</v>
      </c>
      <c r="N354" s="1846">
        <v>56.3</v>
      </c>
    </row>
    <row r="355" spans="1:14">
      <c r="A355" s="53">
        <f t="shared" si="3"/>
        <v>2022.1</v>
      </c>
      <c r="B355" s="1847">
        <v>66.7</v>
      </c>
      <c r="C355" s="3645">
        <v>62.5</v>
      </c>
      <c r="D355" s="1845">
        <v>57.5</v>
      </c>
      <c r="E355" s="3645">
        <v>53</v>
      </c>
      <c r="F355" s="1845">
        <v>75.2</v>
      </c>
      <c r="G355" s="3645">
        <v>56.2</v>
      </c>
      <c r="H355" s="1845">
        <v>72.400000000000006</v>
      </c>
      <c r="I355" s="3645">
        <v>71.3</v>
      </c>
      <c r="J355" s="1845">
        <v>56.9</v>
      </c>
      <c r="K355" s="3645">
        <v>79.8</v>
      </c>
      <c r="L355" s="1845">
        <v>89.6</v>
      </c>
      <c r="M355" s="3645">
        <v>62.3</v>
      </c>
      <c r="N355" s="1846">
        <v>54.8</v>
      </c>
    </row>
    <row r="356" spans="1:14">
      <c r="A356" s="53">
        <f t="shared" si="3"/>
        <v>2022.11</v>
      </c>
      <c r="B356" s="1847">
        <v>68.900000000000006</v>
      </c>
      <c r="C356" s="3645">
        <v>68.2</v>
      </c>
      <c r="D356" s="1845">
        <v>65.7</v>
      </c>
      <c r="E356" s="3645">
        <v>56.3</v>
      </c>
      <c r="F356" s="1845">
        <v>73.400000000000006</v>
      </c>
      <c r="G356" s="3645">
        <v>59.2</v>
      </c>
      <c r="H356" s="1845">
        <v>79</v>
      </c>
      <c r="I356" s="3645">
        <v>74.400000000000006</v>
      </c>
      <c r="J356" s="1845">
        <v>56.6</v>
      </c>
      <c r="K356" s="3645">
        <v>80.7</v>
      </c>
      <c r="L356" s="1845">
        <v>86.8</v>
      </c>
      <c r="M356" s="3645">
        <v>66.2</v>
      </c>
      <c r="N356" s="1846">
        <v>54.3</v>
      </c>
    </row>
    <row r="357" spans="1:14">
      <c r="A357" s="53">
        <f t="shared" si="3"/>
        <v>2022.12</v>
      </c>
      <c r="B357" s="1847">
        <v>63.8</v>
      </c>
      <c r="C357" s="3645">
        <v>63.9</v>
      </c>
      <c r="D357" s="1845">
        <v>52.6</v>
      </c>
      <c r="E357" s="3645">
        <v>43.7</v>
      </c>
      <c r="F357" s="1845">
        <v>67.599999999999994</v>
      </c>
      <c r="G357" s="3645">
        <v>51.6</v>
      </c>
      <c r="H357" s="1845">
        <v>85.1</v>
      </c>
      <c r="I357" s="3645">
        <v>70.599999999999994</v>
      </c>
      <c r="J357" s="1845">
        <v>47.2</v>
      </c>
      <c r="K357" s="3645">
        <v>69.8</v>
      </c>
      <c r="L357" s="1845">
        <v>81.3</v>
      </c>
      <c r="M357" s="3645">
        <v>44.9</v>
      </c>
      <c r="N357" s="1846">
        <v>54.6</v>
      </c>
    </row>
    <row r="358" spans="1:14">
      <c r="A358" s="53">
        <f t="shared" si="3"/>
        <v>2023.01</v>
      </c>
      <c r="B358" s="1847">
        <v>62</v>
      </c>
      <c r="C358" s="3645">
        <v>60.4</v>
      </c>
      <c r="D358" s="1845">
        <v>55.7</v>
      </c>
      <c r="E358" s="3645">
        <v>41</v>
      </c>
      <c r="F358" s="1845">
        <v>76.400000000000006</v>
      </c>
      <c r="G358" s="3645">
        <v>57.9</v>
      </c>
      <c r="H358" s="1845">
        <v>84.1</v>
      </c>
      <c r="I358" s="3645">
        <v>72.099999999999994</v>
      </c>
      <c r="J358" s="1845">
        <v>52.2</v>
      </c>
      <c r="K358" s="3645">
        <v>68.3</v>
      </c>
      <c r="L358" s="1845">
        <v>81.7</v>
      </c>
      <c r="M358" s="3645">
        <v>31</v>
      </c>
      <c r="N358" s="1846">
        <v>45.3</v>
      </c>
    </row>
    <row r="359" spans="1:14">
      <c r="A359" s="53">
        <f t="shared" si="3"/>
        <v>2023.02</v>
      </c>
      <c r="B359" s="1847">
        <v>65</v>
      </c>
      <c r="C359" s="3645">
        <v>59.3</v>
      </c>
      <c r="D359" s="1845">
        <v>51.7</v>
      </c>
      <c r="E359" s="3645">
        <v>52.4</v>
      </c>
      <c r="F359" s="1845">
        <v>77.2</v>
      </c>
      <c r="G359" s="3645">
        <v>59.6</v>
      </c>
      <c r="H359" s="1845">
        <v>86</v>
      </c>
      <c r="I359" s="3645">
        <v>74.2</v>
      </c>
      <c r="J359" s="1845">
        <v>53.7</v>
      </c>
      <c r="K359" s="3645">
        <v>74.400000000000006</v>
      </c>
      <c r="L359" s="1845">
        <v>74.5</v>
      </c>
      <c r="M359" s="3645">
        <v>60.5</v>
      </c>
      <c r="N359" s="1846">
        <v>52.2</v>
      </c>
    </row>
    <row r="360" spans="1:14">
      <c r="A360" s="53">
        <f t="shared" si="3"/>
        <v>2023.03</v>
      </c>
      <c r="B360" s="1847">
        <v>67.3</v>
      </c>
      <c r="C360" s="3645">
        <v>61.3</v>
      </c>
      <c r="D360" s="1845">
        <v>61.3</v>
      </c>
      <c r="E360" s="3645">
        <v>52.5</v>
      </c>
      <c r="F360" s="1845">
        <v>76.900000000000006</v>
      </c>
      <c r="G360" s="3645">
        <v>62.5</v>
      </c>
      <c r="H360" s="1845">
        <v>85.1</v>
      </c>
      <c r="I360" s="3645">
        <v>72.099999999999994</v>
      </c>
      <c r="J360" s="1845">
        <v>58</v>
      </c>
      <c r="K360" s="3645">
        <v>76.3</v>
      </c>
      <c r="L360" s="1845">
        <v>77.2</v>
      </c>
      <c r="M360" s="3645">
        <v>72.5</v>
      </c>
      <c r="N360" s="1846">
        <v>57.3</v>
      </c>
    </row>
    <row r="361" spans="1:14">
      <c r="A361" s="53">
        <f t="shared" si="3"/>
        <v>2023.04</v>
      </c>
      <c r="B361" s="1847">
        <v>68.900000000000006</v>
      </c>
      <c r="C361" s="3645">
        <v>62.7</v>
      </c>
      <c r="D361" s="1845">
        <v>63.3</v>
      </c>
      <c r="E361" s="3645">
        <v>53.9</v>
      </c>
      <c r="F361" s="1845">
        <v>74.599999999999994</v>
      </c>
      <c r="G361" s="3645">
        <v>60.6</v>
      </c>
      <c r="H361" s="1845">
        <v>86.8</v>
      </c>
      <c r="I361" s="3645">
        <v>77</v>
      </c>
      <c r="J361" s="1845">
        <v>56.8</v>
      </c>
      <c r="K361" s="3645">
        <v>72.3</v>
      </c>
      <c r="L361" s="1845">
        <v>82</v>
      </c>
      <c r="M361" s="3645">
        <v>66.599999999999994</v>
      </c>
      <c r="N361" s="1846">
        <v>61</v>
      </c>
    </row>
    <row r="362" spans="1:14">
      <c r="A362" s="53">
        <f t="shared" si="3"/>
        <v>2023.05</v>
      </c>
      <c r="B362" s="1847">
        <v>67.8</v>
      </c>
      <c r="C362" s="3645">
        <v>64.599999999999994</v>
      </c>
      <c r="D362" s="1845">
        <v>65.5</v>
      </c>
      <c r="E362" s="3645">
        <v>58</v>
      </c>
      <c r="F362" s="1845">
        <v>78.7</v>
      </c>
      <c r="G362" s="3645">
        <v>58.1</v>
      </c>
      <c r="H362" s="1845">
        <v>83.1</v>
      </c>
      <c r="I362" s="3645">
        <v>74.5</v>
      </c>
      <c r="J362" s="1845">
        <v>55.9</v>
      </c>
      <c r="K362" s="3645">
        <v>72.7</v>
      </c>
      <c r="L362" s="1845">
        <v>81.7</v>
      </c>
      <c r="M362" s="3645">
        <v>62.4</v>
      </c>
      <c r="N362" s="1846">
        <v>56.3</v>
      </c>
    </row>
    <row r="363" spans="1:14">
      <c r="A363" s="53">
        <f t="shared" si="3"/>
        <v>2023.06</v>
      </c>
      <c r="B363" s="1847">
        <v>68.599999999999994</v>
      </c>
      <c r="C363" s="3645">
        <v>64.2</v>
      </c>
      <c r="D363" s="1845">
        <v>56.8</v>
      </c>
      <c r="E363" s="3645">
        <v>64.400000000000006</v>
      </c>
      <c r="F363" s="1845">
        <v>77.400000000000006</v>
      </c>
      <c r="G363" s="3645">
        <v>61.2</v>
      </c>
      <c r="H363" s="1845">
        <v>82.4</v>
      </c>
      <c r="I363" s="3645">
        <v>74.7</v>
      </c>
      <c r="J363" s="1845">
        <v>55.4</v>
      </c>
      <c r="K363" s="3645">
        <v>74.400000000000006</v>
      </c>
      <c r="L363" s="1845">
        <v>81</v>
      </c>
      <c r="M363" s="3645">
        <v>64.900000000000006</v>
      </c>
      <c r="N363" s="1846">
        <v>60.1</v>
      </c>
    </row>
    <row r="364" spans="1:14">
      <c r="A364" s="53">
        <f t="shared" si="3"/>
        <v>2023.07</v>
      </c>
      <c r="B364" s="1847">
        <v>65</v>
      </c>
      <c r="C364" s="3645">
        <v>61.3</v>
      </c>
      <c r="D364" s="1845">
        <v>59.1</v>
      </c>
      <c r="E364" s="3645">
        <v>63.2</v>
      </c>
      <c r="F364" s="1845">
        <v>77.400000000000006</v>
      </c>
      <c r="G364" s="3645">
        <v>60.2</v>
      </c>
      <c r="H364" s="1845">
        <v>82.3</v>
      </c>
      <c r="I364" s="3645">
        <v>73.599999999999994</v>
      </c>
      <c r="J364" s="1845">
        <v>55.4</v>
      </c>
      <c r="K364" s="3645">
        <v>71.7</v>
      </c>
      <c r="L364" s="1845">
        <v>66.5</v>
      </c>
      <c r="M364" s="3645">
        <v>57.9</v>
      </c>
      <c r="N364" s="1846">
        <v>56.5</v>
      </c>
    </row>
    <row r="365" spans="1:14">
      <c r="A365" s="53">
        <f t="shared" si="3"/>
        <v>2023.08</v>
      </c>
      <c r="B365" s="1847">
        <v>67.900000000000006</v>
      </c>
      <c r="C365" s="3645">
        <v>64.5</v>
      </c>
      <c r="D365" s="1845">
        <v>59.7</v>
      </c>
      <c r="E365" s="3645">
        <v>59.3</v>
      </c>
      <c r="F365" s="1845">
        <v>79.8</v>
      </c>
      <c r="G365" s="3645">
        <v>60</v>
      </c>
      <c r="H365" s="1845">
        <v>72.2</v>
      </c>
      <c r="I365" s="3645">
        <v>70.400000000000006</v>
      </c>
      <c r="J365" s="1845">
        <v>57.1</v>
      </c>
      <c r="K365" s="3645">
        <v>77.8</v>
      </c>
      <c r="L365" s="1845">
        <v>78.7</v>
      </c>
      <c r="M365" s="3645">
        <v>74.3</v>
      </c>
      <c r="N365" s="1846">
        <v>61.2</v>
      </c>
    </row>
    <row r="366" spans="1:14">
      <c r="A366" s="53">
        <f t="shared" si="3"/>
        <v>2023.09</v>
      </c>
      <c r="B366" s="1847">
        <v>67.900000000000006</v>
      </c>
      <c r="C366" s="3645">
        <v>62.4</v>
      </c>
      <c r="D366" s="1845">
        <v>52.6</v>
      </c>
      <c r="E366" s="3645">
        <v>59.1</v>
      </c>
      <c r="F366" s="1845">
        <v>77.400000000000006</v>
      </c>
      <c r="G366" s="3645">
        <v>62.4</v>
      </c>
      <c r="H366" s="1845">
        <v>82</v>
      </c>
      <c r="I366" s="3645">
        <v>75.5</v>
      </c>
      <c r="J366" s="1845">
        <v>60</v>
      </c>
      <c r="K366" s="3645">
        <v>76.3</v>
      </c>
      <c r="L366" s="1845">
        <v>85</v>
      </c>
      <c r="M366" s="3645">
        <v>68.599999999999994</v>
      </c>
      <c r="N366" s="1846">
        <v>51</v>
      </c>
    </row>
    <row r="367" spans="1:14">
      <c r="A367" s="53">
        <f t="shared" si="3"/>
        <v>2023.1</v>
      </c>
      <c r="B367" s="1847">
        <v>65.3</v>
      </c>
      <c r="C367" s="3645">
        <v>59.6</v>
      </c>
      <c r="D367" s="1845">
        <v>48.2</v>
      </c>
      <c r="E367" s="3645">
        <v>55.8</v>
      </c>
      <c r="F367" s="1845">
        <v>76.400000000000006</v>
      </c>
      <c r="G367" s="3645">
        <v>56.4</v>
      </c>
      <c r="H367" s="1845">
        <v>72.099999999999994</v>
      </c>
      <c r="I367" s="3645">
        <v>70.7</v>
      </c>
      <c r="J367" s="1845">
        <v>57.8</v>
      </c>
      <c r="K367" s="3645">
        <v>72.900000000000006</v>
      </c>
      <c r="L367" s="1845">
        <v>84.5</v>
      </c>
      <c r="M367" s="3645">
        <v>61</v>
      </c>
      <c r="N367" s="1846">
        <v>55.4</v>
      </c>
    </row>
    <row r="368" spans="1:14">
      <c r="A368" s="53">
        <f t="shared" si="3"/>
        <v>2023.11</v>
      </c>
      <c r="B368" s="1847">
        <v>66.400000000000006</v>
      </c>
      <c r="C368" s="3645">
        <v>65.2</v>
      </c>
      <c r="D368" s="1845">
        <v>56.2</v>
      </c>
      <c r="E368" s="3645">
        <v>59.1</v>
      </c>
      <c r="F368" s="1845">
        <v>72.7</v>
      </c>
      <c r="G368" s="3645">
        <v>54.8</v>
      </c>
      <c r="H368" s="1845">
        <v>84.7</v>
      </c>
      <c r="I368" s="3645">
        <v>71.400000000000006</v>
      </c>
      <c r="J368" s="1845">
        <v>56.8</v>
      </c>
      <c r="K368" s="3645">
        <v>74.3</v>
      </c>
      <c r="L368" s="1845">
        <v>79.400000000000006</v>
      </c>
      <c r="M368" s="3645">
        <v>68.3</v>
      </c>
      <c r="N368" s="1846">
        <v>50.3</v>
      </c>
    </row>
    <row r="369" spans="1:14">
      <c r="A369" s="53">
        <f t="shared" si="3"/>
        <v>2023.12</v>
      </c>
      <c r="B369" s="1847">
        <v>54.9</v>
      </c>
      <c r="C369" s="3645">
        <v>57.4</v>
      </c>
      <c r="D369" s="1845">
        <v>44</v>
      </c>
      <c r="E369" s="3645">
        <v>39.9</v>
      </c>
      <c r="F369" s="1845">
        <v>67.3</v>
      </c>
      <c r="G369" s="3645">
        <v>44.2</v>
      </c>
      <c r="H369" s="1845">
        <v>85</v>
      </c>
      <c r="I369" s="3645">
        <v>58.2</v>
      </c>
      <c r="J369" s="1845">
        <v>46.5</v>
      </c>
      <c r="K369" s="3645">
        <v>60.8</v>
      </c>
      <c r="L369" s="1845">
        <v>64.5</v>
      </c>
      <c r="M369" s="3645">
        <v>42.6</v>
      </c>
      <c r="N369" s="1846">
        <v>37.9</v>
      </c>
    </row>
    <row r="370" spans="1:14">
      <c r="A370" s="53">
        <f t="shared" ref="A370:A433" si="4">A358+1</f>
        <v>2024.01</v>
      </c>
      <c r="B370" s="1847">
        <v>54.6</v>
      </c>
      <c r="C370" s="3645">
        <v>57.7</v>
      </c>
      <c r="D370" s="1845">
        <v>50.5</v>
      </c>
      <c r="E370" s="3645">
        <v>36.700000000000003</v>
      </c>
      <c r="F370" s="1845">
        <v>69.8</v>
      </c>
      <c r="G370" s="3645">
        <v>53.9</v>
      </c>
      <c r="H370" s="1845">
        <v>83.5</v>
      </c>
      <c r="I370" s="3645">
        <v>57.1</v>
      </c>
      <c r="J370" s="1845">
        <v>43.5</v>
      </c>
      <c r="K370" s="3645">
        <v>57</v>
      </c>
      <c r="L370" s="1845">
        <v>76.3</v>
      </c>
      <c r="M370" s="3645">
        <v>25.7</v>
      </c>
      <c r="N370" s="1846">
        <v>33.4</v>
      </c>
    </row>
    <row r="371" spans="1:14">
      <c r="A371" s="53">
        <f t="shared" si="4"/>
        <v>2024.02</v>
      </c>
      <c r="B371" s="1847">
        <v>57.6</v>
      </c>
      <c r="C371" s="3645">
        <v>58.1</v>
      </c>
      <c r="D371" s="1845">
        <v>52.2</v>
      </c>
      <c r="E371" s="3645">
        <v>45.6</v>
      </c>
      <c r="F371" s="1845">
        <v>75.400000000000006</v>
      </c>
      <c r="G371" s="3645">
        <v>51.3</v>
      </c>
      <c r="H371" s="1845">
        <v>79.2</v>
      </c>
      <c r="I371" s="3645">
        <v>67.8</v>
      </c>
      <c r="J371" s="1845">
        <v>45.9</v>
      </c>
      <c r="K371" s="3645">
        <v>59.6</v>
      </c>
      <c r="L371" s="1845">
        <v>66.5</v>
      </c>
      <c r="M371" s="3645">
        <v>47.3</v>
      </c>
      <c r="N371" s="1846">
        <v>37.299999999999997</v>
      </c>
    </row>
    <row r="372" spans="1:14">
      <c r="A372" s="53">
        <f t="shared" si="4"/>
        <v>2024.03</v>
      </c>
      <c r="B372" s="1847">
        <v>53.4</v>
      </c>
      <c r="C372" s="3645">
        <v>54.5</v>
      </c>
      <c r="D372" s="1845">
        <v>50.5</v>
      </c>
      <c r="E372" s="3645">
        <v>38.5</v>
      </c>
      <c r="F372" s="1845">
        <v>63.5</v>
      </c>
      <c r="G372" s="3645">
        <v>48.3</v>
      </c>
      <c r="H372" s="1845">
        <v>80</v>
      </c>
      <c r="I372" s="3645">
        <v>64.900000000000006</v>
      </c>
      <c r="J372" s="1845">
        <v>44.1</v>
      </c>
      <c r="K372" s="3645">
        <v>47.2</v>
      </c>
      <c r="L372" s="1845">
        <v>50</v>
      </c>
      <c r="M372" s="3645">
        <v>50.8</v>
      </c>
      <c r="N372" s="1846">
        <v>38</v>
      </c>
    </row>
    <row r="373" spans="1:14">
      <c r="A373" s="53">
        <f t="shared" si="4"/>
        <v>2024.04</v>
      </c>
      <c r="B373" s="1847">
        <v>56.6</v>
      </c>
      <c r="C373" s="3645">
        <v>57.9</v>
      </c>
      <c r="D373" s="1845">
        <v>52</v>
      </c>
      <c r="E373" s="3645">
        <v>37.700000000000003</v>
      </c>
      <c r="F373" s="1845">
        <v>69.5</v>
      </c>
      <c r="G373" s="3645">
        <v>49.9</v>
      </c>
      <c r="H373" s="1845">
        <v>82.2</v>
      </c>
      <c r="I373" s="3645">
        <v>63.3</v>
      </c>
      <c r="J373" s="1845">
        <v>42.4</v>
      </c>
      <c r="K373" s="3645">
        <v>42.7</v>
      </c>
      <c r="L373" s="1845">
        <v>63.7</v>
      </c>
      <c r="M373" s="3645">
        <v>52.6</v>
      </c>
      <c r="N373" s="1846">
        <v>44.5</v>
      </c>
    </row>
    <row r="374" spans="1:14">
      <c r="A374" s="53">
        <f t="shared" si="4"/>
        <v>2024.05</v>
      </c>
      <c r="B374" s="1847">
        <v>56.8</v>
      </c>
      <c r="C374" s="3645">
        <v>59.4</v>
      </c>
      <c r="D374" s="1845">
        <v>53</v>
      </c>
      <c r="E374" s="3645">
        <v>41.4</v>
      </c>
      <c r="F374" s="1845">
        <v>60.5</v>
      </c>
      <c r="G374" s="3645">
        <v>46</v>
      </c>
      <c r="H374" s="1845">
        <v>84.1</v>
      </c>
      <c r="I374" s="3645">
        <v>67.7</v>
      </c>
      <c r="J374" s="1845">
        <v>41.6</v>
      </c>
      <c r="K374" s="3645">
        <v>47.2</v>
      </c>
      <c r="L374" s="1845">
        <v>61.3</v>
      </c>
      <c r="M374" s="3645">
        <v>45.5</v>
      </c>
      <c r="N374" s="1846">
        <v>45.3</v>
      </c>
    </row>
    <row r="375" spans="1:14">
      <c r="A375" s="53">
        <f t="shared" si="4"/>
        <v>2024.06</v>
      </c>
      <c r="B375" s="1847">
        <v>54.5</v>
      </c>
      <c r="C375" s="3645">
        <v>59.4</v>
      </c>
      <c r="D375" s="1845">
        <v>35.4</v>
      </c>
      <c r="E375" s="3645">
        <v>43.9</v>
      </c>
      <c r="F375" s="1845">
        <v>60.4</v>
      </c>
      <c r="G375" s="3645">
        <v>41.3</v>
      </c>
      <c r="H375" s="1845">
        <v>80.8</v>
      </c>
      <c r="I375" s="3645">
        <v>66.3</v>
      </c>
      <c r="J375" s="1845">
        <v>39.4</v>
      </c>
      <c r="K375" s="3645">
        <v>46.8</v>
      </c>
      <c r="L375" s="1845">
        <v>56.6</v>
      </c>
      <c r="M375" s="3645">
        <v>39</v>
      </c>
      <c r="N375" s="1846">
        <v>42</v>
      </c>
    </row>
    <row r="376" spans="1:14">
      <c r="A376" s="53">
        <f t="shared" si="4"/>
        <v>2024.07</v>
      </c>
      <c r="B376" s="1847">
        <v>59.7</v>
      </c>
      <c r="C376" s="3645">
        <v>65.400000000000006</v>
      </c>
      <c r="D376" s="1845">
        <v>47.9</v>
      </c>
      <c r="E376" s="3645">
        <v>49</v>
      </c>
      <c r="F376" s="1845">
        <v>60.3</v>
      </c>
      <c r="G376" s="3645">
        <v>48.8</v>
      </c>
      <c r="H376" s="1845">
        <v>83.1</v>
      </c>
      <c r="I376" s="3645">
        <v>65.7</v>
      </c>
      <c r="J376" s="1845">
        <v>44</v>
      </c>
      <c r="K376" s="3645">
        <v>52.3</v>
      </c>
      <c r="L376" s="1845">
        <v>61.5</v>
      </c>
      <c r="M376" s="3645">
        <v>52.2</v>
      </c>
      <c r="N376" s="1846">
        <v>51.1</v>
      </c>
    </row>
    <row r="377" spans="1:14">
      <c r="A377" s="53">
        <f t="shared" si="4"/>
        <v>2024.08</v>
      </c>
      <c r="B377" s="1847">
        <v>61.3</v>
      </c>
      <c r="C377" s="3645">
        <v>64.5</v>
      </c>
      <c r="D377" s="1845">
        <v>54.4</v>
      </c>
      <c r="E377" s="3645">
        <v>50.4</v>
      </c>
      <c r="F377" s="1845">
        <v>65.5</v>
      </c>
      <c r="G377" s="3645">
        <v>51.4</v>
      </c>
      <c r="H377" s="1845">
        <v>82</v>
      </c>
      <c r="I377" s="3645">
        <v>64.400000000000006</v>
      </c>
      <c r="J377" s="1845">
        <v>48.7</v>
      </c>
      <c r="K377" s="3645">
        <v>61.7</v>
      </c>
      <c r="L377" s="1845">
        <v>66.8</v>
      </c>
      <c r="M377" s="3645">
        <v>59.9</v>
      </c>
      <c r="N377" s="1846">
        <v>50.8</v>
      </c>
    </row>
    <row r="378" spans="1:14">
      <c r="A378" s="53">
        <f t="shared" si="4"/>
        <v>2024.09</v>
      </c>
      <c r="B378" s="1847">
        <v>62.4</v>
      </c>
      <c r="C378" s="3645">
        <v>68.2</v>
      </c>
      <c r="D378" s="1845">
        <v>48.7</v>
      </c>
      <c r="E378" s="3645">
        <v>51.3</v>
      </c>
      <c r="F378" s="1845">
        <v>68.3</v>
      </c>
      <c r="G378" s="3645">
        <v>56.1</v>
      </c>
      <c r="H378" s="1845">
        <v>80.8</v>
      </c>
      <c r="I378" s="3645">
        <v>65.7</v>
      </c>
      <c r="J378" s="1845">
        <v>49.9</v>
      </c>
      <c r="K378" s="3645">
        <v>64.2</v>
      </c>
      <c r="L378" s="1845">
        <v>72.400000000000006</v>
      </c>
      <c r="M378" s="3645">
        <v>59.6</v>
      </c>
      <c r="N378" s="1846">
        <v>43.9</v>
      </c>
    </row>
    <row r="379" spans="1:14">
      <c r="A379" s="53">
        <f t="shared" si="4"/>
        <v>2024.1</v>
      </c>
      <c r="B379" s="1847">
        <v>63.2</v>
      </c>
      <c r="C379" s="3645">
        <v>69.5</v>
      </c>
      <c r="D379" s="1845">
        <v>48.9</v>
      </c>
      <c r="E379" s="3645">
        <v>47.8</v>
      </c>
      <c r="F379" s="1845">
        <v>72.900000000000006</v>
      </c>
      <c r="G379" s="3645">
        <v>57.8</v>
      </c>
      <c r="H379" s="1845">
        <v>81.5</v>
      </c>
      <c r="I379" s="3645">
        <v>63.5</v>
      </c>
      <c r="J379" s="1845">
        <v>48.9</v>
      </c>
      <c r="K379" s="3645">
        <v>63.1</v>
      </c>
      <c r="L379" s="1845">
        <v>68.900000000000006</v>
      </c>
      <c r="M379" s="3645">
        <v>61.2</v>
      </c>
      <c r="N379" s="1846">
        <v>50.7</v>
      </c>
    </row>
    <row r="380" spans="1:14">
      <c r="A380" s="53">
        <f t="shared" si="4"/>
        <v>2024.11</v>
      </c>
      <c r="B380" s="1847">
        <v>62.3</v>
      </c>
      <c r="C380" s="3645">
        <v>66.900000000000006</v>
      </c>
      <c r="D380" s="1845">
        <v>47.6</v>
      </c>
      <c r="E380" s="3645">
        <v>48.2</v>
      </c>
      <c r="F380" s="1845">
        <v>68.599999999999994</v>
      </c>
      <c r="G380" s="3645">
        <v>53</v>
      </c>
      <c r="H380" s="1845">
        <v>82.1</v>
      </c>
      <c r="I380" s="3645">
        <v>66.099999999999994</v>
      </c>
      <c r="J380" s="1845">
        <v>46.8</v>
      </c>
      <c r="K380" s="3645">
        <v>60.6</v>
      </c>
      <c r="L380" s="1845">
        <v>67.2</v>
      </c>
      <c r="M380" s="3645">
        <v>64.7</v>
      </c>
      <c r="N380" s="1846">
        <v>50</v>
      </c>
    </row>
    <row r="381" spans="1:14">
      <c r="A381" s="53">
        <f t="shared" si="4"/>
        <v>2024.12</v>
      </c>
      <c r="B381" s="1847">
        <v>56.7</v>
      </c>
      <c r="C381" s="3645">
        <v>65.900000000000006</v>
      </c>
      <c r="D381" s="1845">
        <v>37.200000000000003</v>
      </c>
      <c r="E381" s="3645">
        <v>43.1</v>
      </c>
      <c r="F381" s="1845">
        <v>57.7</v>
      </c>
      <c r="G381" s="3645">
        <v>48.1</v>
      </c>
      <c r="H381" s="1845">
        <v>83.4</v>
      </c>
      <c r="I381" s="3645">
        <v>64</v>
      </c>
      <c r="J381" s="1845">
        <v>42</v>
      </c>
      <c r="K381" s="3645">
        <v>50.9</v>
      </c>
      <c r="L381" s="1845">
        <v>52.4</v>
      </c>
      <c r="M381" s="3645">
        <v>44.2</v>
      </c>
      <c r="N381" s="1846">
        <v>45.7</v>
      </c>
    </row>
    <row r="382" spans="1:14">
      <c r="A382" s="53">
        <f t="shared" si="4"/>
        <v>2025.01</v>
      </c>
      <c r="B382" s="1847">
        <v>55</v>
      </c>
      <c r="C382" s="3645">
        <v>61</v>
      </c>
      <c r="D382" s="1845">
        <v>40.799999999999997</v>
      </c>
      <c r="E382" s="3645">
        <v>33.9</v>
      </c>
      <c r="F382" s="1845">
        <v>67.3</v>
      </c>
      <c r="G382" s="3645">
        <v>52.1</v>
      </c>
      <c r="H382" s="1845">
        <v>84.6</v>
      </c>
      <c r="I382" s="3645">
        <v>66</v>
      </c>
      <c r="J382" s="1845">
        <v>39.6</v>
      </c>
      <c r="K382" s="3645">
        <v>43.3</v>
      </c>
      <c r="L382" s="1845">
        <v>59.3</v>
      </c>
      <c r="M382" s="3645">
        <v>34.799999999999997</v>
      </c>
      <c r="N382" s="1846">
        <v>38.1</v>
      </c>
    </row>
    <row r="383" spans="1:14">
      <c r="A383" s="53">
        <f t="shared" si="4"/>
        <v>2025.02</v>
      </c>
      <c r="B383" s="1847">
        <v>58.6</v>
      </c>
      <c r="C383" s="3645">
        <v>62.4</v>
      </c>
      <c r="D383" s="1845">
        <v>49.9</v>
      </c>
      <c r="E383" s="3645">
        <v>46.4</v>
      </c>
      <c r="F383" s="1845">
        <v>68.8</v>
      </c>
      <c r="G383" s="3645">
        <v>52.8</v>
      </c>
      <c r="H383" s="1845">
        <v>73.900000000000006</v>
      </c>
      <c r="I383" s="3645">
        <v>63.4</v>
      </c>
      <c r="J383" s="1845">
        <v>46.3</v>
      </c>
      <c r="K383" s="3645">
        <v>55</v>
      </c>
      <c r="L383" s="1845">
        <v>67.3</v>
      </c>
      <c r="M383" s="3645">
        <v>54.6</v>
      </c>
      <c r="N383" s="1846">
        <v>44</v>
      </c>
    </row>
    <row r="384" spans="1:14">
      <c r="A384" s="53">
        <f t="shared" si="4"/>
        <v>2025.03</v>
      </c>
      <c r="B384" s="1847">
        <v>54.4</v>
      </c>
      <c r="C384" s="3645">
        <v>57.6</v>
      </c>
      <c r="D384" s="1845">
        <v>41.2</v>
      </c>
      <c r="E384" s="3645">
        <v>41</v>
      </c>
      <c r="F384" s="1845">
        <v>68.2</v>
      </c>
      <c r="G384" s="3645">
        <v>48.9</v>
      </c>
      <c r="H384" s="1845">
        <v>76</v>
      </c>
      <c r="I384" s="3645">
        <v>53.8</v>
      </c>
      <c r="J384" s="1845">
        <v>42</v>
      </c>
      <c r="K384" s="3645">
        <v>51.7</v>
      </c>
      <c r="L384" s="1845">
        <v>64.3</v>
      </c>
      <c r="M384" s="3645">
        <v>48.9</v>
      </c>
      <c r="N384" s="1846">
        <v>42.8</v>
      </c>
    </row>
    <row r="385" spans="1:14">
      <c r="A385" s="53">
        <f t="shared" si="4"/>
        <v>2025.04</v>
      </c>
      <c r="B385" s="1847">
        <v>58.3</v>
      </c>
      <c r="C385" s="3645">
        <v>61.5</v>
      </c>
      <c r="D385" s="1845">
        <v>45.7</v>
      </c>
      <c r="E385" s="3645">
        <v>42.6</v>
      </c>
      <c r="F385" s="1845">
        <v>67</v>
      </c>
      <c r="G385" s="3645">
        <v>53.8</v>
      </c>
      <c r="H385" s="1845">
        <v>84.2</v>
      </c>
      <c r="I385" s="3645">
        <v>56.5</v>
      </c>
      <c r="J385" s="1845">
        <v>45.2</v>
      </c>
      <c r="K385" s="3645">
        <v>56.2</v>
      </c>
      <c r="L385" s="1845">
        <v>63.9</v>
      </c>
      <c r="M385" s="3645">
        <v>56.8</v>
      </c>
      <c r="N385" s="1846">
        <v>49.3</v>
      </c>
    </row>
    <row r="386" spans="1:14">
      <c r="A386" s="53">
        <f t="shared" si="4"/>
        <v>2025.05</v>
      </c>
      <c r="B386" s="1847">
        <v>58.6</v>
      </c>
      <c r="C386" s="3645">
        <v>61.7</v>
      </c>
      <c r="D386" s="1845">
        <v>41.5</v>
      </c>
      <c r="E386" s="3645">
        <v>47.4</v>
      </c>
      <c r="F386" s="1845">
        <v>69.3</v>
      </c>
      <c r="G386" s="3645">
        <v>53.8</v>
      </c>
      <c r="H386" s="1845">
        <v>73.3</v>
      </c>
      <c r="I386" s="3645">
        <v>62.1</v>
      </c>
      <c r="J386" s="1845">
        <v>44.5</v>
      </c>
      <c r="K386" s="3645">
        <v>56.2</v>
      </c>
      <c r="L386" s="1845">
        <v>67.400000000000006</v>
      </c>
      <c r="M386" s="3645">
        <v>56.8</v>
      </c>
      <c r="N386" s="1846">
        <v>46</v>
      </c>
    </row>
    <row r="387" spans="1:14">
      <c r="A387" s="53">
        <f t="shared" si="4"/>
        <v>2025.06</v>
      </c>
      <c r="B387" s="1847">
        <v>58.8</v>
      </c>
      <c r="C387" s="3645">
        <v>62.7</v>
      </c>
      <c r="D387" s="1845">
        <v>40.200000000000003</v>
      </c>
      <c r="E387" s="3645">
        <v>50.4</v>
      </c>
      <c r="F387" s="1845">
        <v>68</v>
      </c>
      <c r="G387" s="3645">
        <v>52.8</v>
      </c>
      <c r="H387" s="1845">
        <v>83</v>
      </c>
      <c r="I387" s="3645">
        <v>64</v>
      </c>
      <c r="J387" s="1845">
        <v>41.7</v>
      </c>
      <c r="K387" s="3645">
        <v>55.1</v>
      </c>
      <c r="L387" s="1845">
        <v>64.3</v>
      </c>
      <c r="M387" s="3645">
        <v>52</v>
      </c>
      <c r="N387" s="1846">
        <v>45.9</v>
      </c>
    </row>
    <row r="388" spans="1:14">
      <c r="A388" s="53">
        <f t="shared" si="4"/>
        <v>2025.07</v>
      </c>
      <c r="B388" s="1847">
        <v>58.2</v>
      </c>
      <c r="C388" s="3645">
        <v>65.2</v>
      </c>
      <c r="D388" s="1845">
        <v>46.5</v>
      </c>
      <c r="E388" s="3645">
        <v>44.4</v>
      </c>
      <c r="F388" s="1845">
        <v>60.6</v>
      </c>
      <c r="G388" s="3645">
        <v>52.5</v>
      </c>
      <c r="H388" s="1845">
        <v>81.7</v>
      </c>
      <c r="I388" s="3645">
        <v>59.9</v>
      </c>
      <c r="J388" s="1845">
        <v>43.2</v>
      </c>
      <c r="K388" s="3645">
        <v>57.1</v>
      </c>
      <c r="L388" s="1845">
        <v>63.9</v>
      </c>
      <c r="M388" s="3645">
        <v>44.1</v>
      </c>
      <c r="N388" s="1846">
        <v>48.7</v>
      </c>
    </row>
    <row r="389" spans="1:14">
      <c r="A389" s="53">
        <f t="shared" si="4"/>
        <v>2025.08</v>
      </c>
      <c r="B389" s="1847">
        <v>59.4</v>
      </c>
      <c r="C389" s="3645">
        <v>66.599999999999994</v>
      </c>
      <c r="D389" s="1845">
        <v>46.9</v>
      </c>
      <c r="E389" s="3645">
        <v>41.5</v>
      </c>
      <c r="F389" s="1845">
        <v>61.4</v>
      </c>
      <c r="G389" s="3645">
        <v>50.9</v>
      </c>
      <c r="H389" s="1845">
        <v>86.1</v>
      </c>
      <c r="I389" s="3645">
        <v>60.1</v>
      </c>
      <c r="J389" s="1845">
        <v>42.1</v>
      </c>
      <c r="K389" s="3645">
        <v>58.5</v>
      </c>
      <c r="L389" s="1845">
        <v>70.400000000000006</v>
      </c>
      <c r="M389" s="3645">
        <v>53.3</v>
      </c>
      <c r="N389" s="1846">
        <v>44.4</v>
      </c>
    </row>
    <row r="390" spans="1:14">
      <c r="A390" s="53">
        <f t="shared" si="4"/>
        <v>2025.09</v>
      </c>
      <c r="B390" s="1847">
        <v>61.1</v>
      </c>
      <c r="C390" s="3645">
        <v>69.2</v>
      </c>
      <c r="D390" s="1845">
        <v>48.7</v>
      </c>
      <c r="E390" s="3645">
        <v>37.1</v>
      </c>
      <c r="F390" s="1845">
        <v>65</v>
      </c>
      <c r="G390" s="3645">
        <v>55.2</v>
      </c>
      <c r="H390" s="1845">
        <v>88.9</v>
      </c>
      <c r="I390" s="3645">
        <v>63.7</v>
      </c>
      <c r="J390" s="1845">
        <v>42.9</v>
      </c>
      <c r="K390" s="3645">
        <v>58.6</v>
      </c>
      <c r="L390" s="1845">
        <v>70.400000000000006</v>
      </c>
      <c r="M390" s="3645">
        <v>57.1</v>
      </c>
      <c r="N390" s="1846">
        <v>43.5</v>
      </c>
    </row>
    <row r="391" spans="1:14">
      <c r="A391" s="53">
        <f t="shared" si="4"/>
        <v>2025.1</v>
      </c>
      <c r="B391" s="1847">
        <v>61</v>
      </c>
      <c r="C391" s="3645">
        <v>68.7</v>
      </c>
      <c r="D391" s="1845">
        <v>42.9</v>
      </c>
      <c r="E391" s="3645">
        <v>32.5</v>
      </c>
      <c r="F391" s="1845">
        <v>62.3</v>
      </c>
      <c r="G391" s="3645">
        <v>53.2</v>
      </c>
      <c r="H391" s="1845">
        <v>82.2</v>
      </c>
      <c r="I391" s="3645">
        <v>63.6</v>
      </c>
      <c r="J391" s="1845">
        <v>42.6</v>
      </c>
      <c r="K391" s="3645">
        <v>60.5</v>
      </c>
      <c r="L391" s="1845">
        <v>71.099999999999994</v>
      </c>
      <c r="M391" s="3645">
        <v>56.1</v>
      </c>
      <c r="N391" s="1846">
        <v>48.2</v>
      </c>
    </row>
    <row r="392" spans="1:14">
      <c r="A392" s="53">
        <f t="shared" si="4"/>
        <v>2025.11</v>
      </c>
      <c r="B392" s="1847">
        <v>57.7</v>
      </c>
      <c r="C392" s="3645">
        <v>64.2</v>
      </c>
      <c r="D392" s="1845">
        <v>44.9</v>
      </c>
      <c r="E392" s="3645">
        <v>29.2</v>
      </c>
      <c r="F392" s="1845">
        <v>71.2</v>
      </c>
      <c r="G392" s="3645">
        <v>50.6</v>
      </c>
      <c r="H392" s="1845">
        <v>86.5</v>
      </c>
      <c r="I392" s="3645">
        <v>57.8</v>
      </c>
      <c r="J392" s="1845">
        <v>41</v>
      </c>
      <c r="K392" s="3645">
        <v>58.2</v>
      </c>
      <c r="L392" s="1845">
        <v>73.3</v>
      </c>
      <c r="M392" s="3645">
        <v>46.3</v>
      </c>
      <c r="N392" s="1846">
        <v>39.9</v>
      </c>
    </row>
    <row r="393" spans="1:14">
      <c r="A393" s="53">
        <f t="shared" si="4"/>
        <v>2025.12</v>
      </c>
      <c r="B393" s="1847">
        <v>53.8</v>
      </c>
      <c r="C393" s="3645">
        <v>63.6</v>
      </c>
      <c r="D393" s="1845">
        <v>38.6</v>
      </c>
      <c r="E393" s="3645">
        <v>35.200000000000003</v>
      </c>
      <c r="F393" s="1845">
        <v>65</v>
      </c>
      <c r="G393" s="3645">
        <v>46.5</v>
      </c>
      <c r="H393" s="1845">
        <v>87.1</v>
      </c>
      <c r="I393" s="3645">
        <v>58.6</v>
      </c>
      <c r="J393" s="1845">
        <v>33.4</v>
      </c>
      <c r="K393" s="3645">
        <v>51.1</v>
      </c>
      <c r="L393" s="1845">
        <v>57.5</v>
      </c>
      <c r="M393" s="3645">
        <v>31.2</v>
      </c>
      <c r="N393" s="1846">
        <v>38.9</v>
      </c>
    </row>
    <row r="394" spans="1:14">
      <c r="A394" s="53">
        <f t="shared" si="4"/>
        <v>2026.01</v>
      </c>
      <c r="B394" s="1847">
        <v>53.6</v>
      </c>
      <c r="C394" s="3645">
        <v>60.2</v>
      </c>
      <c r="D394" s="1845">
        <v>50.9</v>
      </c>
      <c r="E394" s="3645">
        <v>23.7</v>
      </c>
      <c r="F394" s="1845">
        <v>61.7</v>
      </c>
      <c r="G394" s="3645">
        <v>54</v>
      </c>
      <c r="H394" s="1845">
        <v>86.8</v>
      </c>
      <c r="I394" s="3645">
        <v>64.8</v>
      </c>
      <c r="J394" s="1845">
        <v>36.1</v>
      </c>
      <c r="K394" s="3645">
        <v>45.5</v>
      </c>
      <c r="L394" s="1845">
        <v>67.599999999999994</v>
      </c>
      <c r="M394" s="3645">
        <v>24</v>
      </c>
      <c r="N394" s="1846">
        <v>31.4</v>
      </c>
    </row>
    <row r="395" spans="1:14">
      <c r="A395" s="53">
        <f t="shared" si="4"/>
        <v>2026.02</v>
      </c>
      <c r="B395" s="1847" t="e">
        <v>#N/A</v>
      </c>
      <c r="C395" s="3645" t="e">
        <v>#N/A</v>
      </c>
      <c r="D395" s="1845" t="e">
        <v>#N/A</v>
      </c>
      <c r="E395" s="3645" t="e">
        <v>#N/A</v>
      </c>
      <c r="F395" s="1845" t="e">
        <v>#N/A</v>
      </c>
      <c r="G395" s="3645" t="e">
        <v>#N/A</v>
      </c>
      <c r="H395" s="1845" t="e">
        <v>#N/A</v>
      </c>
      <c r="I395" s="3645" t="e">
        <v>#N/A</v>
      </c>
      <c r="J395" s="1845" t="e">
        <v>#N/A</v>
      </c>
      <c r="K395" s="3645" t="e">
        <v>#N/A</v>
      </c>
      <c r="L395" s="1845" t="e">
        <v>#N/A</v>
      </c>
      <c r="M395" s="3645" t="e">
        <v>#N/A</v>
      </c>
      <c r="N395" s="1846" t="e">
        <v>#N/A</v>
      </c>
    </row>
    <row r="396" spans="1:14">
      <c r="A396" s="53">
        <f t="shared" si="4"/>
        <v>2026.03</v>
      </c>
      <c r="B396" s="1847" t="e">
        <v>#N/A</v>
      </c>
      <c r="C396" s="3645" t="e">
        <v>#N/A</v>
      </c>
      <c r="D396" s="1845" t="e">
        <v>#N/A</v>
      </c>
      <c r="E396" s="3645" t="e">
        <v>#N/A</v>
      </c>
      <c r="F396" s="1845" t="e">
        <v>#N/A</v>
      </c>
      <c r="G396" s="3645" t="e">
        <v>#N/A</v>
      </c>
      <c r="H396" s="1845" t="e">
        <v>#N/A</v>
      </c>
      <c r="I396" s="3645" t="e">
        <v>#N/A</v>
      </c>
      <c r="J396" s="1845" t="e">
        <v>#N/A</v>
      </c>
      <c r="K396" s="3645" t="e">
        <v>#N/A</v>
      </c>
      <c r="L396" s="1845" t="e">
        <v>#N/A</v>
      </c>
      <c r="M396" s="3645" t="e">
        <v>#N/A</v>
      </c>
      <c r="N396" s="1846" t="e">
        <v>#N/A</v>
      </c>
    </row>
    <row r="397" spans="1:14">
      <c r="A397" s="53">
        <f t="shared" si="4"/>
        <v>2026.04</v>
      </c>
      <c r="B397" s="1847" t="e">
        <v>#N/A</v>
      </c>
      <c r="C397" s="3645" t="e">
        <v>#N/A</v>
      </c>
      <c r="D397" s="1845" t="e">
        <v>#N/A</v>
      </c>
      <c r="E397" s="3645" t="e">
        <v>#N/A</v>
      </c>
      <c r="F397" s="1845" t="e">
        <v>#N/A</v>
      </c>
      <c r="G397" s="3645" t="e">
        <v>#N/A</v>
      </c>
      <c r="H397" s="1845" t="e">
        <v>#N/A</v>
      </c>
      <c r="I397" s="3645" t="e">
        <v>#N/A</v>
      </c>
      <c r="J397" s="1845" t="e">
        <v>#N/A</v>
      </c>
      <c r="K397" s="3645" t="e">
        <v>#N/A</v>
      </c>
      <c r="L397" s="1845" t="e">
        <v>#N/A</v>
      </c>
      <c r="M397" s="3645" t="e">
        <v>#N/A</v>
      </c>
      <c r="N397" s="1846" t="e">
        <v>#N/A</v>
      </c>
    </row>
    <row r="398" spans="1:14">
      <c r="A398" s="53">
        <f t="shared" si="4"/>
        <v>2026.05</v>
      </c>
      <c r="B398" s="1847" t="e">
        <v>#N/A</v>
      </c>
      <c r="C398" s="3645" t="e">
        <v>#N/A</v>
      </c>
      <c r="D398" s="1845" t="e">
        <v>#N/A</v>
      </c>
      <c r="E398" s="3645" t="e">
        <v>#N/A</v>
      </c>
      <c r="F398" s="1845" t="e">
        <v>#N/A</v>
      </c>
      <c r="G398" s="3645" t="e">
        <v>#N/A</v>
      </c>
      <c r="H398" s="1845" t="e">
        <v>#N/A</v>
      </c>
      <c r="I398" s="3645" t="e">
        <v>#N/A</v>
      </c>
      <c r="J398" s="1845" t="e">
        <v>#N/A</v>
      </c>
      <c r="K398" s="3645" t="e">
        <v>#N/A</v>
      </c>
      <c r="L398" s="1845" t="e">
        <v>#N/A</v>
      </c>
      <c r="M398" s="3645" t="e">
        <v>#N/A</v>
      </c>
      <c r="N398" s="1846" t="e">
        <v>#N/A</v>
      </c>
    </row>
    <row r="399" spans="1:14">
      <c r="A399" s="53">
        <f t="shared" si="4"/>
        <v>2026.06</v>
      </c>
      <c r="B399" s="1847" t="e">
        <v>#N/A</v>
      </c>
      <c r="C399" s="3645" t="e">
        <v>#N/A</v>
      </c>
      <c r="D399" s="1845" t="e">
        <v>#N/A</v>
      </c>
      <c r="E399" s="3645" t="e">
        <v>#N/A</v>
      </c>
      <c r="F399" s="1845" t="e">
        <v>#N/A</v>
      </c>
      <c r="G399" s="3645" t="e">
        <v>#N/A</v>
      </c>
      <c r="H399" s="1845" t="e">
        <v>#N/A</v>
      </c>
      <c r="I399" s="3645" t="e">
        <v>#N/A</v>
      </c>
      <c r="J399" s="1845" t="e">
        <v>#N/A</v>
      </c>
      <c r="K399" s="3645" t="e">
        <v>#N/A</v>
      </c>
      <c r="L399" s="1845" t="e">
        <v>#N/A</v>
      </c>
      <c r="M399" s="3645" t="e">
        <v>#N/A</v>
      </c>
      <c r="N399" s="1846" t="e">
        <v>#N/A</v>
      </c>
    </row>
    <row r="400" spans="1:14">
      <c r="A400" s="53">
        <f t="shared" si="4"/>
        <v>2026.07</v>
      </c>
      <c r="B400" s="1847" t="e">
        <v>#N/A</v>
      </c>
      <c r="C400" s="3645" t="e">
        <v>#N/A</v>
      </c>
      <c r="D400" s="1845" t="e">
        <v>#N/A</v>
      </c>
      <c r="E400" s="3645" t="e">
        <v>#N/A</v>
      </c>
      <c r="F400" s="1845" t="e">
        <v>#N/A</v>
      </c>
      <c r="G400" s="3645" t="e">
        <v>#N/A</v>
      </c>
      <c r="H400" s="1845" t="e">
        <v>#N/A</v>
      </c>
      <c r="I400" s="3645" t="e">
        <v>#N/A</v>
      </c>
      <c r="J400" s="1845" t="e">
        <v>#N/A</v>
      </c>
      <c r="K400" s="3645" t="e">
        <v>#N/A</v>
      </c>
      <c r="L400" s="1845" t="e">
        <v>#N/A</v>
      </c>
      <c r="M400" s="3645" t="e">
        <v>#N/A</v>
      </c>
      <c r="N400" s="1846" t="e">
        <v>#N/A</v>
      </c>
    </row>
    <row r="401" spans="1:14">
      <c r="A401" s="53">
        <f t="shared" si="4"/>
        <v>2026.08</v>
      </c>
      <c r="B401" s="1847" t="e">
        <v>#N/A</v>
      </c>
      <c r="C401" s="3645" t="e">
        <v>#N/A</v>
      </c>
      <c r="D401" s="1845" t="e">
        <v>#N/A</v>
      </c>
      <c r="E401" s="3645" t="e">
        <v>#N/A</v>
      </c>
      <c r="F401" s="1845" t="e">
        <v>#N/A</v>
      </c>
      <c r="G401" s="3645" t="e">
        <v>#N/A</v>
      </c>
      <c r="H401" s="1845" t="e">
        <v>#N/A</v>
      </c>
      <c r="I401" s="3645" t="e">
        <v>#N/A</v>
      </c>
      <c r="J401" s="1845" t="e">
        <v>#N/A</v>
      </c>
      <c r="K401" s="3645" t="e">
        <v>#N/A</v>
      </c>
      <c r="L401" s="1845" t="e">
        <v>#N/A</v>
      </c>
      <c r="M401" s="3645" t="e">
        <v>#N/A</v>
      </c>
      <c r="N401" s="1846" t="e">
        <v>#N/A</v>
      </c>
    </row>
    <row r="402" spans="1:14">
      <c r="A402" s="53">
        <f t="shared" si="4"/>
        <v>2026.09</v>
      </c>
      <c r="B402" s="1847" t="e">
        <v>#N/A</v>
      </c>
      <c r="C402" s="3645" t="e">
        <v>#N/A</v>
      </c>
      <c r="D402" s="1845" t="e">
        <v>#N/A</v>
      </c>
      <c r="E402" s="3645" t="e">
        <v>#N/A</v>
      </c>
      <c r="F402" s="1845" t="e">
        <v>#N/A</v>
      </c>
      <c r="G402" s="3645" t="e">
        <v>#N/A</v>
      </c>
      <c r="H402" s="1845" t="e">
        <v>#N/A</v>
      </c>
      <c r="I402" s="3645" t="e">
        <v>#N/A</v>
      </c>
      <c r="J402" s="1845" t="e">
        <v>#N/A</v>
      </c>
      <c r="K402" s="3645" t="e">
        <v>#N/A</v>
      </c>
      <c r="L402" s="1845" t="e">
        <v>#N/A</v>
      </c>
      <c r="M402" s="3645" t="e">
        <v>#N/A</v>
      </c>
      <c r="N402" s="1846" t="e">
        <v>#N/A</v>
      </c>
    </row>
    <row r="403" spans="1:14">
      <c r="A403" s="53">
        <f t="shared" si="4"/>
        <v>2026.1</v>
      </c>
      <c r="B403" s="1847" t="e">
        <v>#N/A</v>
      </c>
      <c r="C403" s="3645" t="e">
        <v>#N/A</v>
      </c>
      <c r="D403" s="1845" t="e">
        <v>#N/A</v>
      </c>
      <c r="E403" s="3645" t="e">
        <v>#N/A</v>
      </c>
      <c r="F403" s="1845" t="e">
        <v>#N/A</v>
      </c>
      <c r="G403" s="3645" t="e">
        <v>#N/A</v>
      </c>
      <c r="H403" s="1845" t="e">
        <v>#N/A</v>
      </c>
      <c r="I403" s="3645" t="e">
        <v>#N/A</v>
      </c>
      <c r="J403" s="1845" t="e">
        <v>#N/A</v>
      </c>
      <c r="K403" s="3645" t="e">
        <v>#N/A</v>
      </c>
      <c r="L403" s="1845" t="e">
        <v>#N/A</v>
      </c>
      <c r="M403" s="3645" t="e">
        <v>#N/A</v>
      </c>
      <c r="N403" s="1846" t="e">
        <v>#N/A</v>
      </c>
    </row>
    <row r="404" spans="1:14">
      <c r="A404" s="53">
        <f t="shared" si="4"/>
        <v>2026.11</v>
      </c>
      <c r="B404" s="1847" t="e">
        <v>#N/A</v>
      </c>
      <c r="C404" s="3645" t="e">
        <v>#N/A</v>
      </c>
      <c r="D404" s="1845" t="e">
        <v>#N/A</v>
      </c>
      <c r="E404" s="3645" t="e">
        <v>#N/A</v>
      </c>
      <c r="F404" s="1845" t="e">
        <v>#N/A</v>
      </c>
      <c r="G404" s="3645" t="e">
        <v>#N/A</v>
      </c>
      <c r="H404" s="1845" t="e">
        <v>#N/A</v>
      </c>
      <c r="I404" s="3645" t="e">
        <v>#N/A</v>
      </c>
      <c r="J404" s="1845" t="e">
        <v>#N/A</v>
      </c>
      <c r="K404" s="3645" t="e">
        <v>#N/A</v>
      </c>
      <c r="L404" s="1845" t="e">
        <v>#N/A</v>
      </c>
      <c r="M404" s="3645" t="e">
        <v>#N/A</v>
      </c>
      <c r="N404" s="1846" t="e">
        <v>#N/A</v>
      </c>
    </row>
    <row r="405" spans="1:14">
      <c r="A405" s="53">
        <f t="shared" si="4"/>
        <v>2026.12</v>
      </c>
      <c r="B405" s="1847" t="e">
        <v>#N/A</v>
      </c>
      <c r="C405" s="3645" t="e">
        <v>#N/A</v>
      </c>
      <c r="D405" s="1845" t="e">
        <v>#N/A</v>
      </c>
      <c r="E405" s="3645" t="e">
        <v>#N/A</v>
      </c>
      <c r="F405" s="1845" t="e">
        <v>#N/A</v>
      </c>
      <c r="G405" s="3645" t="e">
        <v>#N/A</v>
      </c>
      <c r="H405" s="1845" t="e">
        <v>#N/A</v>
      </c>
      <c r="I405" s="3645" t="e">
        <v>#N/A</v>
      </c>
      <c r="J405" s="1845" t="e">
        <v>#N/A</v>
      </c>
      <c r="K405" s="3645" t="e">
        <v>#N/A</v>
      </c>
      <c r="L405" s="1845" t="e">
        <v>#N/A</v>
      </c>
      <c r="M405" s="3645" t="e">
        <v>#N/A</v>
      </c>
      <c r="N405" s="1846" t="e">
        <v>#N/A</v>
      </c>
    </row>
    <row r="406" spans="1:14">
      <c r="A406" s="53">
        <f t="shared" si="4"/>
        <v>2027.01</v>
      </c>
      <c r="B406" s="1847" t="e">
        <v>#N/A</v>
      </c>
      <c r="C406" s="3645" t="e">
        <v>#N/A</v>
      </c>
      <c r="D406" s="1845" t="e">
        <v>#N/A</v>
      </c>
      <c r="E406" s="3645" t="e">
        <v>#N/A</v>
      </c>
      <c r="F406" s="1845" t="e">
        <v>#N/A</v>
      </c>
      <c r="G406" s="3645" t="e">
        <v>#N/A</v>
      </c>
      <c r="H406" s="1845" t="e">
        <v>#N/A</v>
      </c>
      <c r="I406" s="3645" t="e">
        <v>#N/A</v>
      </c>
      <c r="J406" s="1845" t="e">
        <v>#N/A</v>
      </c>
      <c r="K406" s="3645" t="e">
        <v>#N/A</v>
      </c>
      <c r="L406" s="1845" t="e">
        <v>#N/A</v>
      </c>
      <c r="M406" s="3645" t="e">
        <v>#N/A</v>
      </c>
      <c r="N406" s="1846" t="e">
        <v>#N/A</v>
      </c>
    </row>
    <row r="407" spans="1:14">
      <c r="A407" s="53">
        <f t="shared" si="4"/>
        <v>2027.02</v>
      </c>
      <c r="B407" s="1847" t="e">
        <v>#N/A</v>
      </c>
      <c r="C407" s="3645" t="e">
        <v>#N/A</v>
      </c>
      <c r="D407" s="1845" t="e">
        <v>#N/A</v>
      </c>
      <c r="E407" s="3645" t="e">
        <v>#N/A</v>
      </c>
      <c r="F407" s="1845" t="e">
        <v>#N/A</v>
      </c>
      <c r="G407" s="3645" t="e">
        <v>#N/A</v>
      </c>
      <c r="H407" s="1845" t="e">
        <v>#N/A</v>
      </c>
      <c r="I407" s="3645" t="e">
        <v>#N/A</v>
      </c>
      <c r="J407" s="1845" t="e">
        <v>#N/A</v>
      </c>
      <c r="K407" s="3645" t="e">
        <v>#N/A</v>
      </c>
      <c r="L407" s="1845" t="e">
        <v>#N/A</v>
      </c>
      <c r="M407" s="3645" t="e">
        <v>#N/A</v>
      </c>
      <c r="N407" s="1846" t="e">
        <v>#N/A</v>
      </c>
    </row>
    <row r="408" spans="1:14">
      <c r="A408" s="53">
        <f t="shared" si="4"/>
        <v>2027.03</v>
      </c>
      <c r="B408" s="1847" t="e">
        <v>#N/A</v>
      </c>
      <c r="C408" s="3645" t="e">
        <v>#N/A</v>
      </c>
      <c r="D408" s="1845" t="e">
        <v>#N/A</v>
      </c>
      <c r="E408" s="3645" t="e">
        <v>#N/A</v>
      </c>
      <c r="F408" s="1845" t="e">
        <v>#N/A</v>
      </c>
      <c r="G408" s="3645" t="e">
        <v>#N/A</v>
      </c>
      <c r="H408" s="1845" t="e">
        <v>#N/A</v>
      </c>
      <c r="I408" s="3645" t="e">
        <v>#N/A</v>
      </c>
      <c r="J408" s="1845" t="e">
        <v>#N/A</v>
      </c>
      <c r="K408" s="3645" t="e">
        <v>#N/A</v>
      </c>
      <c r="L408" s="1845" t="e">
        <v>#N/A</v>
      </c>
      <c r="M408" s="3645" t="e">
        <v>#N/A</v>
      </c>
      <c r="N408" s="1846" t="e">
        <v>#N/A</v>
      </c>
    </row>
    <row r="409" spans="1:14">
      <c r="A409" s="53">
        <f t="shared" si="4"/>
        <v>2027.04</v>
      </c>
      <c r="B409" s="1847" t="e">
        <v>#N/A</v>
      </c>
      <c r="C409" s="3645" t="e">
        <v>#N/A</v>
      </c>
      <c r="D409" s="1845" t="e">
        <v>#N/A</v>
      </c>
      <c r="E409" s="3645" t="e">
        <v>#N/A</v>
      </c>
      <c r="F409" s="1845" t="e">
        <v>#N/A</v>
      </c>
      <c r="G409" s="3645" t="e">
        <v>#N/A</v>
      </c>
      <c r="H409" s="1845" t="e">
        <v>#N/A</v>
      </c>
      <c r="I409" s="3645" t="e">
        <v>#N/A</v>
      </c>
      <c r="J409" s="1845" t="e">
        <v>#N/A</v>
      </c>
      <c r="K409" s="3645" t="e">
        <v>#N/A</v>
      </c>
      <c r="L409" s="1845" t="e">
        <v>#N/A</v>
      </c>
      <c r="M409" s="3645" t="e">
        <v>#N/A</v>
      </c>
      <c r="N409" s="1846" t="e">
        <v>#N/A</v>
      </c>
    </row>
    <row r="410" spans="1:14">
      <c r="A410" s="53">
        <f t="shared" si="4"/>
        <v>2027.05</v>
      </c>
      <c r="B410" s="1847" t="e">
        <v>#N/A</v>
      </c>
      <c r="C410" s="3645" t="e">
        <v>#N/A</v>
      </c>
      <c r="D410" s="1845" t="e">
        <v>#N/A</v>
      </c>
      <c r="E410" s="3645" t="e">
        <v>#N/A</v>
      </c>
      <c r="F410" s="1845" t="e">
        <v>#N/A</v>
      </c>
      <c r="G410" s="3645" t="e">
        <v>#N/A</v>
      </c>
      <c r="H410" s="1845" t="e">
        <v>#N/A</v>
      </c>
      <c r="I410" s="3645" t="e">
        <v>#N/A</v>
      </c>
      <c r="J410" s="1845" t="e">
        <v>#N/A</v>
      </c>
      <c r="K410" s="3645" t="e">
        <v>#N/A</v>
      </c>
      <c r="L410" s="1845" t="e">
        <v>#N/A</v>
      </c>
      <c r="M410" s="3645" t="e">
        <v>#N/A</v>
      </c>
      <c r="N410" s="1846" t="e">
        <v>#N/A</v>
      </c>
    </row>
    <row r="411" spans="1:14">
      <c r="A411" s="53">
        <f t="shared" si="4"/>
        <v>2027.06</v>
      </c>
      <c r="B411" s="1847" t="e">
        <v>#N/A</v>
      </c>
      <c r="C411" s="3645" t="e">
        <v>#N/A</v>
      </c>
      <c r="D411" s="1845" t="e">
        <v>#N/A</v>
      </c>
      <c r="E411" s="3645" t="e">
        <v>#N/A</v>
      </c>
      <c r="F411" s="1845" t="e">
        <v>#N/A</v>
      </c>
      <c r="G411" s="3645" t="e">
        <v>#N/A</v>
      </c>
      <c r="H411" s="1845" t="e">
        <v>#N/A</v>
      </c>
      <c r="I411" s="3645" t="e">
        <v>#N/A</v>
      </c>
      <c r="J411" s="1845" t="e">
        <v>#N/A</v>
      </c>
      <c r="K411" s="3645" t="e">
        <v>#N/A</v>
      </c>
      <c r="L411" s="1845" t="e">
        <v>#N/A</v>
      </c>
      <c r="M411" s="3645" t="e">
        <v>#N/A</v>
      </c>
      <c r="N411" s="1846" t="e">
        <v>#N/A</v>
      </c>
    </row>
    <row r="412" spans="1:14">
      <c r="A412" s="53">
        <f t="shared" si="4"/>
        <v>2027.07</v>
      </c>
      <c r="B412" s="1847" t="e">
        <v>#N/A</v>
      </c>
      <c r="C412" s="3645" t="e">
        <v>#N/A</v>
      </c>
      <c r="D412" s="1845" t="e">
        <v>#N/A</v>
      </c>
      <c r="E412" s="3645" t="e">
        <v>#N/A</v>
      </c>
      <c r="F412" s="1845" t="e">
        <v>#N/A</v>
      </c>
      <c r="G412" s="3645" t="e">
        <v>#N/A</v>
      </c>
      <c r="H412" s="1845" t="e">
        <v>#N/A</v>
      </c>
      <c r="I412" s="3645" t="e">
        <v>#N/A</v>
      </c>
      <c r="J412" s="1845" t="e">
        <v>#N/A</v>
      </c>
      <c r="K412" s="3645" t="e">
        <v>#N/A</v>
      </c>
      <c r="L412" s="1845" t="e">
        <v>#N/A</v>
      </c>
      <c r="M412" s="3645" t="e">
        <v>#N/A</v>
      </c>
      <c r="N412" s="1846" t="e">
        <v>#N/A</v>
      </c>
    </row>
    <row r="413" spans="1:14">
      <c r="A413" s="53">
        <f t="shared" si="4"/>
        <v>2027.08</v>
      </c>
      <c r="B413" s="1847" t="e">
        <v>#N/A</v>
      </c>
      <c r="C413" s="3645" t="e">
        <v>#N/A</v>
      </c>
      <c r="D413" s="1845" t="e">
        <v>#N/A</v>
      </c>
      <c r="E413" s="3645" t="e">
        <v>#N/A</v>
      </c>
      <c r="F413" s="1845" t="e">
        <v>#N/A</v>
      </c>
      <c r="G413" s="3645" t="e">
        <v>#N/A</v>
      </c>
      <c r="H413" s="1845" t="e">
        <v>#N/A</v>
      </c>
      <c r="I413" s="3645" t="e">
        <v>#N/A</v>
      </c>
      <c r="J413" s="1845" t="e">
        <v>#N/A</v>
      </c>
      <c r="K413" s="3645" t="e">
        <v>#N/A</v>
      </c>
      <c r="L413" s="1845" t="e">
        <v>#N/A</v>
      </c>
      <c r="M413" s="3645" t="e">
        <v>#N/A</v>
      </c>
      <c r="N413" s="1846" t="e">
        <v>#N/A</v>
      </c>
    </row>
    <row r="414" spans="1:14">
      <c r="A414" s="53">
        <f t="shared" si="4"/>
        <v>2027.09</v>
      </c>
      <c r="B414" s="1847" t="e">
        <v>#N/A</v>
      </c>
      <c r="C414" s="3645" t="e">
        <v>#N/A</v>
      </c>
      <c r="D414" s="1845" t="e">
        <v>#N/A</v>
      </c>
      <c r="E414" s="3645" t="e">
        <v>#N/A</v>
      </c>
      <c r="F414" s="1845" t="e">
        <v>#N/A</v>
      </c>
      <c r="G414" s="3645" t="e">
        <v>#N/A</v>
      </c>
      <c r="H414" s="1845" t="e">
        <v>#N/A</v>
      </c>
      <c r="I414" s="3645" t="e">
        <v>#N/A</v>
      </c>
      <c r="J414" s="1845" t="e">
        <v>#N/A</v>
      </c>
      <c r="K414" s="3645" t="e">
        <v>#N/A</v>
      </c>
      <c r="L414" s="1845" t="e">
        <v>#N/A</v>
      </c>
      <c r="M414" s="3645" t="e">
        <v>#N/A</v>
      </c>
      <c r="N414" s="1846" t="e">
        <v>#N/A</v>
      </c>
    </row>
    <row r="415" spans="1:14">
      <c r="A415" s="53">
        <f t="shared" si="4"/>
        <v>2027.1</v>
      </c>
      <c r="B415" s="1847" t="e">
        <v>#N/A</v>
      </c>
      <c r="C415" s="3645" t="e">
        <v>#N/A</v>
      </c>
      <c r="D415" s="1845" t="e">
        <v>#N/A</v>
      </c>
      <c r="E415" s="3645" t="e">
        <v>#N/A</v>
      </c>
      <c r="F415" s="1845" t="e">
        <v>#N/A</v>
      </c>
      <c r="G415" s="3645" t="e">
        <v>#N/A</v>
      </c>
      <c r="H415" s="1845" t="e">
        <v>#N/A</v>
      </c>
      <c r="I415" s="3645" t="e">
        <v>#N/A</v>
      </c>
      <c r="J415" s="1845" t="e">
        <v>#N/A</v>
      </c>
      <c r="K415" s="3645" t="e">
        <v>#N/A</v>
      </c>
      <c r="L415" s="1845" t="e">
        <v>#N/A</v>
      </c>
      <c r="M415" s="3645" t="e">
        <v>#N/A</v>
      </c>
      <c r="N415" s="1846" t="e">
        <v>#N/A</v>
      </c>
    </row>
    <row r="416" spans="1:14">
      <c r="A416" s="53">
        <f t="shared" si="4"/>
        <v>2027.11</v>
      </c>
      <c r="B416" s="1847" t="e">
        <v>#N/A</v>
      </c>
      <c r="C416" s="3645" t="e">
        <v>#N/A</v>
      </c>
      <c r="D416" s="1845" t="e">
        <v>#N/A</v>
      </c>
      <c r="E416" s="3645" t="e">
        <v>#N/A</v>
      </c>
      <c r="F416" s="1845" t="e">
        <v>#N/A</v>
      </c>
      <c r="G416" s="3645" t="e">
        <v>#N/A</v>
      </c>
      <c r="H416" s="1845" t="e">
        <v>#N/A</v>
      </c>
      <c r="I416" s="3645" t="e">
        <v>#N/A</v>
      </c>
      <c r="J416" s="1845" t="e">
        <v>#N/A</v>
      </c>
      <c r="K416" s="3645" t="e">
        <v>#N/A</v>
      </c>
      <c r="L416" s="1845" t="e">
        <v>#N/A</v>
      </c>
      <c r="M416" s="3645" t="e">
        <v>#N/A</v>
      </c>
      <c r="N416" s="1846" t="e">
        <v>#N/A</v>
      </c>
    </row>
    <row r="417" spans="1:14">
      <c r="A417" s="53">
        <f t="shared" si="4"/>
        <v>2027.12</v>
      </c>
      <c r="B417" s="1847" t="e">
        <v>#N/A</v>
      </c>
      <c r="C417" s="3645" t="e">
        <v>#N/A</v>
      </c>
      <c r="D417" s="1845" t="e">
        <v>#N/A</v>
      </c>
      <c r="E417" s="3645" t="e">
        <v>#N/A</v>
      </c>
      <c r="F417" s="1845" t="e">
        <v>#N/A</v>
      </c>
      <c r="G417" s="3645" t="e">
        <v>#N/A</v>
      </c>
      <c r="H417" s="1845" t="e">
        <v>#N/A</v>
      </c>
      <c r="I417" s="3645" t="e">
        <v>#N/A</v>
      </c>
      <c r="J417" s="1845" t="e">
        <v>#N/A</v>
      </c>
      <c r="K417" s="3645" t="e">
        <v>#N/A</v>
      </c>
      <c r="L417" s="1845" t="e">
        <v>#N/A</v>
      </c>
      <c r="M417" s="3645" t="e">
        <v>#N/A</v>
      </c>
      <c r="N417" s="1846" t="e">
        <v>#N/A</v>
      </c>
    </row>
    <row r="418" spans="1:14">
      <c r="A418" s="53">
        <f t="shared" si="4"/>
        <v>2028.01</v>
      </c>
      <c r="B418" s="1847" t="e">
        <v>#N/A</v>
      </c>
      <c r="C418" s="3645" t="e">
        <v>#N/A</v>
      </c>
      <c r="D418" s="1845" t="e">
        <v>#N/A</v>
      </c>
      <c r="E418" s="3645" t="e">
        <v>#N/A</v>
      </c>
      <c r="F418" s="1845" t="e">
        <v>#N/A</v>
      </c>
      <c r="G418" s="3645" t="e">
        <v>#N/A</v>
      </c>
      <c r="H418" s="1845" t="e">
        <v>#N/A</v>
      </c>
      <c r="I418" s="3645" t="e">
        <v>#N/A</v>
      </c>
      <c r="J418" s="1845" t="e">
        <v>#N/A</v>
      </c>
      <c r="K418" s="3645" t="e">
        <v>#N/A</v>
      </c>
      <c r="L418" s="1845" t="e">
        <v>#N/A</v>
      </c>
      <c r="M418" s="3645" t="e">
        <v>#N/A</v>
      </c>
      <c r="N418" s="1846" t="e">
        <v>#N/A</v>
      </c>
    </row>
    <row r="419" spans="1:14">
      <c r="A419" s="53">
        <f t="shared" si="4"/>
        <v>2028.02</v>
      </c>
      <c r="B419" s="1847" t="e">
        <v>#N/A</v>
      </c>
      <c r="C419" s="3645" t="e">
        <v>#N/A</v>
      </c>
      <c r="D419" s="1845" t="e">
        <v>#N/A</v>
      </c>
      <c r="E419" s="3645" t="e">
        <v>#N/A</v>
      </c>
      <c r="F419" s="1845" t="e">
        <v>#N/A</v>
      </c>
      <c r="G419" s="3645" t="e">
        <v>#N/A</v>
      </c>
      <c r="H419" s="1845" t="e">
        <v>#N/A</v>
      </c>
      <c r="I419" s="3645" t="e">
        <v>#N/A</v>
      </c>
      <c r="J419" s="1845" t="e">
        <v>#N/A</v>
      </c>
      <c r="K419" s="3645" t="e">
        <v>#N/A</v>
      </c>
      <c r="L419" s="1845" t="e">
        <v>#N/A</v>
      </c>
      <c r="M419" s="3645" t="e">
        <v>#N/A</v>
      </c>
      <c r="N419" s="1846" t="e">
        <v>#N/A</v>
      </c>
    </row>
    <row r="420" spans="1:14">
      <c r="A420" s="53">
        <f t="shared" si="4"/>
        <v>2028.03</v>
      </c>
      <c r="B420" s="1847" t="e">
        <v>#N/A</v>
      </c>
      <c r="C420" s="3645" t="e">
        <v>#N/A</v>
      </c>
      <c r="D420" s="1845" t="e">
        <v>#N/A</v>
      </c>
      <c r="E420" s="3645" t="e">
        <v>#N/A</v>
      </c>
      <c r="F420" s="1845" t="e">
        <v>#N/A</v>
      </c>
      <c r="G420" s="3645" t="e">
        <v>#N/A</v>
      </c>
      <c r="H420" s="1845" t="e">
        <v>#N/A</v>
      </c>
      <c r="I420" s="3645" t="e">
        <v>#N/A</v>
      </c>
      <c r="J420" s="1845" t="e">
        <v>#N/A</v>
      </c>
      <c r="K420" s="3645" t="e">
        <v>#N/A</v>
      </c>
      <c r="L420" s="1845" t="e">
        <v>#N/A</v>
      </c>
      <c r="M420" s="3645" t="e">
        <v>#N/A</v>
      </c>
      <c r="N420" s="1846" t="e">
        <v>#N/A</v>
      </c>
    </row>
    <row r="421" spans="1:14">
      <c r="A421" s="53">
        <f t="shared" si="4"/>
        <v>2028.04</v>
      </c>
      <c r="B421" s="1847" t="e">
        <v>#N/A</v>
      </c>
      <c r="C421" s="3645" t="e">
        <v>#N/A</v>
      </c>
      <c r="D421" s="1845" t="e">
        <v>#N/A</v>
      </c>
      <c r="E421" s="3645" t="e">
        <v>#N/A</v>
      </c>
      <c r="F421" s="1845" t="e">
        <v>#N/A</v>
      </c>
      <c r="G421" s="3645" t="e">
        <v>#N/A</v>
      </c>
      <c r="H421" s="1845" t="e">
        <v>#N/A</v>
      </c>
      <c r="I421" s="3645" t="e">
        <v>#N/A</v>
      </c>
      <c r="J421" s="1845" t="e">
        <v>#N/A</v>
      </c>
      <c r="K421" s="3645" t="e">
        <v>#N/A</v>
      </c>
      <c r="L421" s="1845" t="e">
        <v>#N/A</v>
      </c>
      <c r="M421" s="3645" t="e">
        <v>#N/A</v>
      </c>
      <c r="N421" s="1846" t="e">
        <v>#N/A</v>
      </c>
    </row>
    <row r="422" spans="1:14">
      <c r="A422" s="53">
        <f t="shared" si="4"/>
        <v>2028.05</v>
      </c>
      <c r="B422" s="1847" t="e">
        <v>#N/A</v>
      </c>
      <c r="C422" s="3645" t="e">
        <v>#N/A</v>
      </c>
      <c r="D422" s="1845" t="e">
        <v>#N/A</v>
      </c>
      <c r="E422" s="3645" t="e">
        <v>#N/A</v>
      </c>
      <c r="F422" s="1845" t="e">
        <v>#N/A</v>
      </c>
      <c r="G422" s="3645" t="e">
        <v>#N/A</v>
      </c>
      <c r="H422" s="1845" t="e">
        <v>#N/A</v>
      </c>
      <c r="I422" s="3645" t="e">
        <v>#N/A</v>
      </c>
      <c r="J422" s="1845" t="e">
        <v>#N/A</v>
      </c>
      <c r="K422" s="3645" t="e">
        <v>#N/A</v>
      </c>
      <c r="L422" s="1845" t="e">
        <v>#N/A</v>
      </c>
      <c r="M422" s="3645" t="e">
        <v>#N/A</v>
      </c>
      <c r="N422" s="1846" t="e">
        <v>#N/A</v>
      </c>
    </row>
    <row r="423" spans="1:14">
      <c r="A423" s="53">
        <f t="shared" si="4"/>
        <v>2028.06</v>
      </c>
      <c r="B423" s="1847" t="e">
        <v>#N/A</v>
      </c>
      <c r="C423" s="3645" t="e">
        <v>#N/A</v>
      </c>
      <c r="D423" s="1845" t="e">
        <v>#N/A</v>
      </c>
      <c r="E423" s="3645" t="e">
        <v>#N/A</v>
      </c>
      <c r="F423" s="1845" t="e">
        <v>#N/A</v>
      </c>
      <c r="G423" s="3645" t="e">
        <v>#N/A</v>
      </c>
      <c r="H423" s="1845" t="e">
        <v>#N/A</v>
      </c>
      <c r="I423" s="3645" t="e">
        <v>#N/A</v>
      </c>
      <c r="J423" s="1845" t="e">
        <v>#N/A</v>
      </c>
      <c r="K423" s="3645" t="e">
        <v>#N/A</v>
      </c>
      <c r="L423" s="1845" t="e">
        <v>#N/A</v>
      </c>
      <c r="M423" s="3645" t="e">
        <v>#N/A</v>
      </c>
      <c r="N423" s="1846" t="e">
        <v>#N/A</v>
      </c>
    </row>
    <row r="424" spans="1:14">
      <c r="A424" s="53">
        <f t="shared" si="4"/>
        <v>2028.07</v>
      </c>
      <c r="B424" s="1847" t="e">
        <v>#N/A</v>
      </c>
      <c r="C424" s="3645" t="e">
        <v>#N/A</v>
      </c>
      <c r="D424" s="1845" t="e">
        <v>#N/A</v>
      </c>
      <c r="E424" s="3645" t="e">
        <v>#N/A</v>
      </c>
      <c r="F424" s="1845" t="e">
        <v>#N/A</v>
      </c>
      <c r="G424" s="3645" t="e">
        <v>#N/A</v>
      </c>
      <c r="H424" s="1845" t="e">
        <v>#N/A</v>
      </c>
      <c r="I424" s="3645" t="e">
        <v>#N/A</v>
      </c>
      <c r="J424" s="1845" t="e">
        <v>#N/A</v>
      </c>
      <c r="K424" s="3645" t="e">
        <v>#N/A</v>
      </c>
      <c r="L424" s="1845" t="e">
        <v>#N/A</v>
      </c>
      <c r="M424" s="3645" t="e">
        <v>#N/A</v>
      </c>
      <c r="N424" s="1846" t="e">
        <v>#N/A</v>
      </c>
    </row>
    <row r="425" spans="1:14">
      <c r="A425" s="53">
        <f t="shared" si="4"/>
        <v>2028.08</v>
      </c>
      <c r="B425" s="1847" t="e">
        <v>#N/A</v>
      </c>
      <c r="C425" s="3645" t="e">
        <v>#N/A</v>
      </c>
      <c r="D425" s="1845" t="e">
        <v>#N/A</v>
      </c>
      <c r="E425" s="3645" t="e">
        <v>#N/A</v>
      </c>
      <c r="F425" s="1845" t="e">
        <v>#N/A</v>
      </c>
      <c r="G425" s="3645" t="e">
        <v>#N/A</v>
      </c>
      <c r="H425" s="1845" t="e">
        <v>#N/A</v>
      </c>
      <c r="I425" s="3645" t="e">
        <v>#N/A</v>
      </c>
      <c r="J425" s="1845" t="e">
        <v>#N/A</v>
      </c>
      <c r="K425" s="3645" t="e">
        <v>#N/A</v>
      </c>
      <c r="L425" s="1845" t="e">
        <v>#N/A</v>
      </c>
      <c r="M425" s="3645" t="e">
        <v>#N/A</v>
      </c>
      <c r="N425" s="1846" t="e">
        <v>#N/A</v>
      </c>
    </row>
    <row r="426" spans="1:14">
      <c r="A426" s="53">
        <f t="shared" si="4"/>
        <v>2028.09</v>
      </c>
      <c r="B426" s="1847" t="e">
        <v>#N/A</v>
      </c>
      <c r="C426" s="3645" t="e">
        <v>#N/A</v>
      </c>
      <c r="D426" s="1845" t="e">
        <v>#N/A</v>
      </c>
      <c r="E426" s="3645" t="e">
        <v>#N/A</v>
      </c>
      <c r="F426" s="1845" t="e">
        <v>#N/A</v>
      </c>
      <c r="G426" s="3645" t="e">
        <v>#N/A</v>
      </c>
      <c r="H426" s="1845" t="e">
        <v>#N/A</v>
      </c>
      <c r="I426" s="3645" t="e">
        <v>#N/A</v>
      </c>
      <c r="J426" s="1845" t="e">
        <v>#N/A</v>
      </c>
      <c r="K426" s="3645" t="e">
        <v>#N/A</v>
      </c>
      <c r="L426" s="1845" t="e">
        <v>#N/A</v>
      </c>
      <c r="M426" s="3645" t="e">
        <v>#N/A</v>
      </c>
      <c r="N426" s="1846" t="e">
        <v>#N/A</v>
      </c>
    </row>
    <row r="427" spans="1:14">
      <c r="A427" s="53">
        <f t="shared" si="4"/>
        <v>2028.1</v>
      </c>
      <c r="B427" s="1847" t="e">
        <v>#N/A</v>
      </c>
      <c r="C427" s="3645" t="e">
        <v>#N/A</v>
      </c>
      <c r="D427" s="1845" t="e">
        <v>#N/A</v>
      </c>
      <c r="E427" s="3645" t="e">
        <v>#N/A</v>
      </c>
      <c r="F427" s="1845" t="e">
        <v>#N/A</v>
      </c>
      <c r="G427" s="3645" t="e">
        <v>#N/A</v>
      </c>
      <c r="H427" s="1845" t="e">
        <v>#N/A</v>
      </c>
      <c r="I427" s="3645" t="e">
        <v>#N/A</v>
      </c>
      <c r="J427" s="1845" t="e">
        <v>#N/A</v>
      </c>
      <c r="K427" s="3645" t="e">
        <v>#N/A</v>
      </c>
      <c r="L427" s="1845" t="e">
        <v>#N/A</v>
      </c>
      <c r="M427" s="3645" t="e">
        <v>#N/A</v>
      </c>
      <c r="N427" s="1846" t="e">
        <v>#N/A</v>
      </c>
    </row>
    <row r="428" spans="1:14">
      <c r="A428" s="53">
        <f t="shared" si="4"/>
        <v>2028.11</v>
      </c>
      <c r="B428" s="1847" t="e">
        <v>#N/A</v>
      </c>
      <c r="C428" s="3645" t="e">
        <v>#N/A</v>
      </c>
      <c r="D428" s="1845" t="e">
        <v>#N/A</v>
      </c>
      <c r="E428" s="3645" t="e">
        <v>#N/A</v>
      </c>
      <c r="F428" s="1845" t="e">
        <v>#N/A</v>
      </c>
      <c r="G428" s="3645" t="e">
        <v>#N/A</v>
      </c>
      <c r="H428" s="1845" t="e">
        <v>#N/A</v>
      </c>
      <c r="I428" s="3645" t="e">
        <v>#N/A</v>
      </c>
      <c r="J428" s="1845" t="e">
        <v>#N/A</v>
      </c>
      <c r="K428" s="3645" t="e">
        <v>#N/A</v>
      </c>
      <c r="L428" s="1845" t="e">
        <v>#N/A</v>
      </c>
      <c r="M428" s="3645" t="e">
        <v>#N/A</v>
      </c>
      <c r="N428" s="1846" t="e">
        <v>#N/A</v>
      </c>
    </row>
    <row r="429" spans="1:14">
      <c r="A429" s="53">
        <f t="shared" si="4"/>
        <v>2028.12</v>
      </c>
      <c r="B429" s="1847" t="e">
        <v>#N/A</v>
      </c>
      <c r="C429" s="3645" t="e">
        <v>#N/A</v>
      </c>
      <c r="D429" s="1845" t="e">
        <v>#N/A</v>
      </c>
      <c r="E429" s="3645" t="e">
        <v>#N/A</v>
      </c>
      <c r="F429" s="1845" t="e">
        <v>#N/A</v>
      </c>
      <c r="G429" s="3645" t="e">
        <v>#N/A</v>
      </c>
      <c r="H429" s="1845" t="e">
        <v>#N/A</v>
      </c>
      <c r="I429" s="3645" t="e">
        <v>#N/A</v>
      </c>
      <c r="J429" s="1845" t="e">
        <v>#N/A</v>
      </c>
      <c r="K429" s="3645" t="e">
        <v>#N/A</v>
      </c>
      <c r="L429" s="1845" t="e">
        <v>#N/A</v>
      </c>
      <c r="M429" s="3645" t="e">
        <v>#N/A</v>
      </c>
      <c r="N429" s="1846" t="e">
        <v>#N/A</v>
      </c>
    </row>
    <row r="430" spans="1:14">
      <c r="A430" s="53">
        <f t="shared" si="4"/>
        <v>2029.01</v>
      </c>
      <c r="B430" s="1847" t="e">
        <v>#N/A</v>
      </c>
      <c r="C430" s="3645" t="e">
        <v>#N/A</v>
      </c>
      <c r="D430" s="1845" t="e">
        <v>#N/A</v>
      </c>
      <c r="E430" s="3645" t="e">
        <v>#N/A</v>
      </c>
      <c r="F430" s="1845" t="e">
        <v>#N/A</v>
      </c>
      <c r="G430" s="3645" t="e">
        <v>#N/A</v>
      </c>
      <c r="H430" s="1845" t="e">
        <v>#N/A</v>
      </c>
      <c r="I430" s="3645" t="e">
        <v>#N/A</v>
      </c>
      <c r="J430" s="1845" t="e">
        <v>#N/A</v>
      </c>
      <c r="K430" s="3645" t="e">
        <v>#N/A</v>
      </c>
      <c r="L430" s="1845" t="e">
        <v>#N/A</v>
      </c>
      <c r="M430" s="3645" t="e">
        <v>#N/A</v>
      </c>
      <c r="N430" s="1846" t="e">
        <v>#N/A</v>
      </c>
    </row>
    <row r="431" spans="1:14">
      <c r="A431" s="53">
        <f t="shared" si="4"/>
        <v>2029.02</v>
      </c>
      <c r="B431" s="1847" t="e">
        <v>#N/A</v>
      </c>
      <c r="C431" s="3645" t="e">
        <v>#N/A</v>
      </c>
      <c r="D431" s="1845" t="e">
        <v>#N/A</v>
      </c>
      <c r="E431" s="3645" t="e">
        <v>#N/A</v>
      </c>
      <c r="F431" s="1845" t="e">
        <v>#N/A</v>
      </c>
      <c r="G431" s="3645" t="e">
        <v>#N/A</v>
      </c>
      <c r="H431" s="1845" t="e">
        <v>#N/A</v>
      </c>
      <c r="I431" s="3645" t="e">
        <v>#N/A</v>
      </c>
      <c r="J431" s="1845" t="e">
        <v>#N/A</v>
      </c>
      <c r="K431" s="3645" t="e">
        <v>#N/A</v>
      </c>
      <c r="L431" s="1845" t="e">
        <v>#N/A</v>
      </c>
      <c r="M431" s="3645" t="e">
        <v>#N/A</v>
      </c>
      <c r="N431" s="1846" t="e">
        <v>#N/A</v>
      </c>
    </row>
    <row r="432" spans="1:14">
      <c r="A432" s="53">
        <f t="shared" si="4"/>
        <v>2029.03</v>
      </c>
      <c r="B432" s="1847" t="e">
        <v>#N/A</v>
      </c>
      <c r="C432" s="3645" t="e">
        <v>#N/A</v>
      </c>
      <c r="D432" s="1845" t="e">
        <v>#N/A</v>
      </c>
      <c r="E432" s="3645" t="e">
        <v>#N/A</v>
      </c>
      <c r="F432" s="1845" t="e">
        <v>#N/A</v>
      </c>
      <c r="G432" s="3645" t="e">
        <v>#N/A</v>
      </c>
      <c r="H432" s="1845" t="e">
        <v>#N/A</v>
      </c>
      <c r="I432" s="3645" t="e">
        <v>#N/A</v>
      </c>
      <c r="J432" s="1845" t="e">
        <v>#N/A</v>
      </c>
      <c r="K432" s="3645" t="e">
        <v>#N/A</v>
      </c>
      <c r="L432" s="1845" t="e">
        <v>#N/A</v>
      </c>
      <c r="M432" s="3645" t="e">
        <v>#N/A</v>
      </c>
      <c r="N432" s="1846" t="e">
        <v>#N/A</v>
      </c>
    </row>
    <row r="433" spans="1:14">
      <c r="A433" s="53">
        <f t="shared" si="4"/>
        <v>2029.04</v>
      </c>
      <c r="B433" s="1847" t="e">
        <v>#N/A</v>
      </c>
      <c r="C433" s="3645" t="e">
        <v>#N/A</v>
      </c>
      <c r="D433" s="1845" t="e">
        <v>#N/A</v>
      </c>
      <c r="E433" s="3645" t="e">
        <v>#N/A</v>
      </c>
      <c r="F433" s="1845" t="e">
        <v>#N/A</v>
      </c>
      <c r="G433" s="3645" t="e">
        <v>#N/A</v>
      </c>
      <c r="H433" s="1845" t="e">
        <v>#N/A</v>
      </c>
      <c r="I433" s="3645" t="e">
        <v>#N/A</v>
      </c>
      <c r="J433" s="1845" t="e">
        <v>#N/A</v>
      </c>
      <c r="K433" s="3645" t="e">
        <v>#N/A</v>
      </c>
      <c r="L433" s="1845" t="e">
        <v>#N/A</v>
      </c>
      <c r="M433" s="3645" t="e">
        <v>#N/A</v>
      </c>
      <c r="N433" s="1846" t="e">
        <v>#N/A</v>
      </c>
    </row>
    <row r="434" spans="1:14">
      <c r="A434" s="53">
        <f t="shared" ref="A434:A453" si="5">A422+1</f>
        <v>2029.05</v>
      </c>
      <c r="B434" s="1847" t="e">
        <v>#N/A</v>
      </c>
      <c r="C434" s="3645" t="e">
        <v>#N/A</v>
      </c>
      <c r="D434" s="1845" t="e">
        <v>#N/A</v>
      </c>
      <c r="E434" s="3645" t="e">
        <v>#N/A</v>
      </c>
      <c r="F434" s="1845" t="e">
        <v>#N/A</v>
      </c>
      <c r="G434" s="3645" t="e">
        <v>#N/A</v>
      </c>
      <c r="H434" s="1845" t="e">
        <v>#N/A</v>
      </c>
      <c r="I434" s="3645" t="e">
        <v>#N/A</v>
      </c>
      <c r="J434" s="1845" t="e">
        <v>#N/A</v>
      </c>
      <c r="K434" s="3645" t="e">
        <v>#N/A</v>
      </c>
      <c r="L434" s="1845" t="e">
        <v>#N/A</v>
      </c>
      <c r="M434" s="3645" t="e">
        <v>#N/A</v>
      </c>
      <c r="N434" s="1846" t="e">
        <v>#N/A</v>
      </c>
    </row>
    <row r="435" spans="1:14">
      <c r="A435" s="53">
        <f t="shared" si="5"/>
        <v>2029.06</v>
      </c>
      <c r="B435" s="1847" t="e">
        <v>#N/A</v>
      </c>
      <c r="C435" s="3645" t="e">
        <v>#N/A</v>
      </c>
      <c r="D435" s="1845" t="e">
        <v>#N/A</v>
      </c>
      <c r="E435" s="3645" t="e">
        <v>#N/A</v>
      </c>
      <c r="F435" s="1845" t="e">
        <v>#N/A</v>
      </c>
      <c r="G435" s="3645" t="e">
        <v>#N/A</v>
      </c>
      <c r="H435" s="1845" t="e">
        <v>#N/A</v>
      </c>
      <c r="I435" s="3645" t="e">
        <v>#N/A</v>
      </c>
      <c r="J435" s="1845" t="e">
        <v>#N/A</v>
      </c>
      <c r="K435" s="3645" t="e">
        <v>#N/A</v>
      </c>
      <c r="L435" s="1845" t="e">
        <v>#N/A</v>
      </c>
      <c r="M435" s="3645" t="e">
        <v>#N/A</v>
      </c>
      <c r="N435" s="1846" t="e">
        <v>#N/A</v>
      </c>
    </row>
    <row r="436" spans="1:14">
      <c r="A436" s="53">
        <f t="shared" si="5"/>
        <v>2029.07</v>
      </c>
      <c r="B436" s="1847" t="e">
        <v>#N/A</v>
      </c>
      <c r="C436" s="3645" t="e">
        <v>#N/A</v>
      </c>
      <c r="D436" s="1845" t="e">
        <v>#N/A</v>
      </c>
      <c r="E436" s="3645" t="e">
        <v>#N/A</v>
      </c>
      <c r="F436" s="1845" t="e">
        <v>#N/A</v>
      </c>
      <c r="G436" s="3645" t="e">
        <v>#N/A</v>
      </c>
      <c r="H436" s="1845" t="e">
        <v>#N/A</v>
      </c>
      <c r="I436" s="3645" t="e">
        <v>#N/A</v>
      </c>
      <c r="J436" s="1845" t="e">
        <v>#N/A</v>
      </c>
      <c r="K436" s="3645" t="e">
        <v>#N/A</v>
      </c>
      <c r="L436" s="1845" t="e">
        <v>#N/A</v>
      </c>
      <c r="M436" s="3645" t="e">
        <v>#N/A</v>
      </c>
      <c r="N436" s="1846" t="e">
        <v>#N/A</v>
      </c>
    </row>
    <row r="437" spans="1:14">
      <c r="A437" s="53">
        <f t="shared" si="5"/>
        <v>2029.08</v>
      </c>
      <c r="B437" s="1847" t="e">
        <v>#N/A</v>
      </c>
      <c r="C437" s="3645" t="e">
        <v>#N/A</v>
      </c>
      <c r="D437" s="1845" t="e">
        <v>#N/A</v>
      </c>
      <c r="E437" s="3645" t="e">
        <v>#N/A</v>
      </c>
      <c r="F437" s="1845" t="e">
        <v>#N/A</v>
      </c>
      <c r="G437" s="3645" t="e">
        <v>#N/A</v>
      </c>
      <c r="H437" s="1845" t="e">
        <v>#N/A</v>
      </c>
      <c r="I437" s="3645" t="e">
        <v>#N/A</v>
      </c>
      <c r="J437" s="1845" t="e">
        <v>#N/A</v>
      </c>
      <c r="K437" s="3645" t="e">
        <v>#N/A</v>
      </c>
      <c r="L437" s="1845" t="e">
        <v>#N/A</v>
      </c>
      <c r="M437" s="3645" t="e">
        <v>#N/A</v>
      </c>
      <c r="N437" s="1846" t="e">
        <v>#N/A</v>
      </c>
    </row>
    <row r="438" spans="1:14">
      <c r="A438" s="53">
        <f t="shared" si="5"/>
        <v>2029.09</v>
      </c>
      <c r="B438" s="1847" t="e">
        <v>#N/A</v>
      </c>
      <c r="C438" s="3645" t="e">
        <v>#N/A</v>
      </c>
      <c r="D438" s="1845" t="e">
        <v>#N/A</v>
      </c>
      <c r="E438" s="3645" t="e">
        <v>#N/A</v>
      </c>
      <c r="F438" s="1845" t="e">
        <v>#N/A</v>
      </c>
      <c r="G438" s="3645" t="e">
        <v>#N/A</v>
      </c>
      <c r="H438" s="1845" t="e">
        <v>#N/A</v>
      </c>
      <c r="I438" s="3645" t="e">
        <v>#N/A</v>
      </c>
      <c r="J438" s="1845" t="e">
        <v>#N/A</v>
      </c>
      <c r="K438" s="3645" t="e">
        <v>#N/A</v>
      </c>
      <c r="L438" s="1845" t="e">
        <v>#N/A</v>
      </c>
      <c r="M438" s="3645" t="e">
        <v>#N/A</v>
      </c>
      <c r="N438" s="1846" t="e">
        <v>#N/A</v>
      </c>
    </row>
    <row r="439" spans="1:14">
      <c r="A439" s="53">
        <f t="shared" si="5"/>
        <v>2029.1</v>
      </c>
      <c r="B439" s="1847" t="e">
        <v>#N/A</v>
      </c>
      <c r="C439" s="3645" t="e">
        <v>#N/A</v>
      </c>
      <c r="D439" s="1845" t="e">
        <v>#N/A</v>
      </c>
      <c r="E439" s="3645" t="e">
        <v>#N/A</v>
      </c>
      <c r="F439" s="1845" t="e">
        <v>#N/A</v>
      </c>
      <c r="G439" s="3645" t="e">
        <v>#N/A</v>
      </c>
      <c r="H439" s="1845" t="e">
        <v>#N/A</v>
      </c>
      <c r="I439" s="3645" t="e">
        <v>#N/A</v>
      </c>
      <c r="J439" s="1845" t="e">
        <v>#N/A</v>
      </c>
      <c r="K439" s="3645" t="e">
        <v>#N/A</v>
      </c>
      <c r="L439" s="1845" t="e">
        <v>#N/A</v>
      </c>
      <c r="M439" s="3645" t="e">
        <v>#N/A</v>
      </c>
      <c r="N439" s="1846" t="e">
        <v>#N/A</v>
      </c>
    </row>
    <row r="440" spans="1:14">
      <c r="A440" s="53">
        <f t="shared" si="5"/>
        <v>2029.11</v>
      </c>
      <c r="B440" s="1847" t="e">
        <v>#N/A</v>
      </c>
      <c r="C440" s="3645" t="e">
        <v>#N/A</v>
      </c>
      <c r="D440" s="1845" t="e">
        <v>#N/A</v>
      </c>
      <c r="E440" s="3645" t="e">
        <v>#N/A</v>
      </c>
      <c r="F440" s="1845" t="e">
        <v>#N/A</v>
      </c>
      <c r="G440" s="3645" t="e">
        <v>#N/A</v>
      </c>
      <c r="H440" s="1845" t="e">
        <v>#N/A</v>
      </c>
      <c r="I440" s="3645" t="e">
        <v>#N/A</v>
      </c>
      <c r="J440" s="1845" t="e">
        <v>#N/A</v>
      </c>
      <c r="K440" s="3645" t="e">
        <v>#N/A</v>
      </c>
      <c r="L440" s="1845" t="e">
        <v>#N/A</v>
      </c>
      <c r="M440" s="3645" t="e">
        <v>#N/A</v>
      </c>
      <c r="N440" s="1846" t="e">
        <v>#N/A</v>
      </c>
    </row>
    <row r="441" spans="1:14">
      <c r="A441" s="53">
        <f t="shared" si="5"/>
        <v>2029.12</v>
      </c>
      <c r="B441" s="1847" t="e">
        <v>#N/A</v>
      </c>
      <c r="C441" s="3645" t="e">
        <v>#N/A</v>
      </c>
      <c r="D441" s="1845" t="e">
        <v>#N/A</v>
      </c>
      <c r="E441" s="3645" t="e">
        <v>#N/A</v>
      </c>
      <c r="F441" s="1845" t="e">
        <v>#N/A</v>
      </c>
      <c r="G441" s="3645" t="e">
        <v>#N/A</v>
      </c>
      <c r="H441" s="1845" t="e">
        <v>#N/A</v>
      </c>
      <c r="I441" s="3645" t="e">
        <v>#N/A</v>
      </c>
      <c r="J441" s="1845" t="e">
        <v>#N/A</v>
      </c>
      <c r="K441" s="3645" t="e">
        <v>#N/A</v>
      </c>
      <c r="L441" s="1845" t="e">
        <v>#N/A</v>
      </c>
      <c r="M441" s="3645" t="e">
        <v>#N/A</v>
      </c>
      <c r="N441" s="1846" t="e">
        <v>#N/A</v>
      </c>
    </row>
    <row r="442" spans="1:14">
      <c r="A442" s="53">
        <f t="shared" si="5"/>
        <v>2030.01</v>
      </c>
      <c r="B442" s="1847" t="e">
        <v>#N/A</v>
      </c>
      <c r="C442" s="3645" t="e">
        <v>#N/A</v>
      </c>
      <c r="D442" s="1845" t="e">
        <v>#N/A</v>
      </c>
      <c r="E442" s="3645" t="e">
        <v>#N/A</v>
      </c>
      <c r="F442" s="1845" t="e">
        <v>#N/A</v>
      </c>
      <c r="G442" s="3645" t="e">
        <v>#N/A</v>
      </c>
      <c r="H442" s="1845" t="e">
        <v>#N/A</v>
      </c>
      <c r="I442" s="3645" t="e">
        <v>#N/A</v>
      </c>
      <c r="J442" s="1845" t="e">
        <v>#N/A</v>
      </c>
      <c r="K442" s="3645" t="e">
        <v>#N/A</v>
      </c>
      <c r="L442" s="1845" t="e">
        <v>#N/A</v>
      </c>
      <c r="M442" s="3645" t="e">
        <v>#N/A</v>
      </c>
      <c r="N442" s="1846" t="e">
        <v>#N/A</v>
      </c>
    </row>
    <row r="443" spans="1:14">
      <c r="A443" s="53">
        <f t="shared" si="5"/>
        <v>2030.02</v>
      </c>
      <c r="B443" s="1847" t="e">
        <v>#N/A</v>
      </c>
      <c r="C443" s="3645" t="e">
        <v>#N/A</v>
      </c>
      <c r="D443" s="1845" t="e">
        <v>#N/A</v>
      </c>
      <c r="E443" s="3645" t="e">
        <v>#N/A</v>
      </c>
      <c r="F443" s="1845" t="e">
        <v>#N/A</v>
      </c>
      <c r="G443" s="3645" t="e">
        <v>#N/A</v>
      </c>
      <c r="H443" s="1845" t="e">
        <v>#N/A</v>
      </c>
      <c r="I443" s="3645" t="e">
        <v>#N/A</v>
      </c>
      <c r="J443" s="1845" t="e">
        <v>#N/A</v>
      </c>
      <c r="K443" s="3645" t="e">
        <v>#N/A</v>
      </c>
      <c r="L443" s="1845" t="e">
        <v>#N/A</v>
      </c>
      <c r="M443" s="3645" t="e">
        <v>#N/A</v>
      </c>
      <c r="N443" s="1846" t="e">
        <v>#N/A</v>
      </c>
    </row>
    <row r="444" spans="1:14">
      <c r="A444" s="53">
        <f t="shared" si="5"/>
        <v>2030.03</v>
      </c>
      <c r="B444" s="1847" t="e">
        <v>#N/A</v>
      </c>
      <c r="C444" s="3645" t="e">
        <v>#N/A</v>
      </c>
      <c r="D444" s="1845" t="e">
        <v>#N/A</v>
      </c>
      <c r="E444" s="3645" t="e">
        <v>#N/A</v>
      </c>
      <c r="F444" s="1845" t="e">
        <v>#N/A</v>
      </c>
      <c r="G444" s="3645" t="e">
        <v>#N/A</v>
      </c>
      <c r="H444" s="1845" t="e">
        <v>#N/A</v>
      </c>
      <c r="I444" s="3645" t="e">
        <v>#N/A</v>
      </c>
      <c r="J444" s="1845" t="e">
        <v>#N/A</v>
      </c>
      <c r="K444" s="3645" t="e">
        <v>#N/A</v>
      </c>
      <c r="L444" s="1845" t="e">
        <v>#N/A</v>
      </c>
      <c r="M444" s="3645" t="e">
        <v>#N/A</v>
      </c>
      <c r="N444" s="1846" t="e">
        <v>#N/A</v>
      </c>
    </row>
    <row r="445" spans="1:14">
      <c r="A445" s="53">
        <f t="shared" si="5"/>
        <v>2030.04</v>
      </c>
      <c r="B445" s="1847" t="e">
        <v>#N/A</v>
      </c>
      <c r="C445" s="3645" t="e">
        <v>#N/A</v>
      </c>
      <c r="D445" s="1845" t="e">
        <v>#N/A</v>
      </c>
      <c r="E445" s="3645" t="e">
        <v>#N/A</v>
      </c>
      <c r="F445" s="1845" t="e">
        <v>#N/A</v>
      </c>
      <c r="G445" s="3645" t="e">
        <v>#N/A</v>
      </c>
      <c r="H445" s="1845" t="e">
        <v>#N/A</v>
      </c>
      <c r="I445" s="3645" t="e">
        <v>#N/A</v>
      </c>
      <c r="J445" s="1845" t="e">
        <v>#N/A</v>
      </c>
      <c r="K445" s="3645" t="e">
        <v>#N/A</v>
      </c>
      <c r="L445" s="1845" t="e">
        <v>#N/A</v>
      </c>
      <c r="M445" s="3645" t="e">
        <v>#N/A</v>
      </c>
      <c r="N445" s="1846" t="e">
        <v>#N/A</v>
      </c>
    </row>
    <row r="446" spans="1:14">
      <c r="A446" s="53">
        <f t="shared" si="5"/>
        <v>2030.05</v>
      </c>
      <c r="B446" s="1847" t="e">
        <v>#N/A</v>
      </c>
      <c r="C446" s="3645" t="e">
        <v>#N/A</v>
      </c>
      <c r="D446" s="1845" t="e">
        <v>#N/A</v>
      </c>
      <c r="E446" s="3645" t="e">
        <v>#N/A</v>
      </c>
      <c r="F446" s="1845" t="e">
        <v>#N/A</v>
      </c>
      <c r="G446" s="3645" t="e">
        <v>#N/A</v>
      </c>
      <c r="H446" s="1845" t="e">
        <v>#N/A</v>
      </c>
      <c r="I446" s="3645" t="e">
        <v>#N/A</v>
      </c>
      <c r="J446" s="1845" t="e">
        <v>#N/A</v>
      </c>
      <c r="K446" s="3645" t="e">
        <v>#N/A</v>
      </c>
      <c r="L446" s="1845" t="e">
        <v>#N/A</v>
      </c>
      <c r="M446" s="3645" t="e">
        <v>#N/A</v>
      </c>
      <c r="N446" s="1846" t="e">
        <v>#N/A</v>
      </c>
    </row>
    <row r="447" spans="1:14">
      <c r="A447" s="53">
        <f t="shared" si="5"/>
        <v>2030.06</v>
      </c>
      <c r="B447" s="1847" t="e">
        <v>#N/A</v>
      </c>
      <c r="C447" s="3645" t="e">
        <v>#N/A</v>
      </c>
      <c r="D447" s="1845" t="e">
        <v>#N/A</v>
      </c>
      <c r="E447" s="3645" t="e">
        <v>#N/A</v>
      </c>
      <c r="F447" s="1845" t="e">
        <v>#N/A</v>
      </c>
      <c r="G447" s="3645" t="e">
        <v>#N/A</v>
      </c>
      <c r="H447" s="1845" t="e">
        <v>#N/A</v>
      </c>
      <c r="I447" s="3645" t="e">
        <v>#N/A</v>
      </c>
      <c r="J447" s="1845" t="e">
        <v>#N/A</v>
      </c>
      <c r="K447" s="3645" t="e">
        <v>#N/A</v>
      </c>
      <c r="L447" s="1845" t="e">
        <v>#N/A</v>
      </c>
      <c r="M447" s="3645" t="e">
        <v>#N/A</v>
      </c>
      <c r="N447" s="1846" t="e">
        <v>#N/A</v>
      </c>
    </row>
    <row r="448" spans="1:14">
      <c r="A448" s="53">
        <f t="shared" si="5"/>
        <v>2030.07</v>
      </c>
      <c r="B448" s="1847" t="e">
        <v>#N/A</v>
      </c>
      <c r="C448" s="3645" t="e">
        <v>#N/A</v>
      </c>
      <c r="D448" s="1845" t="e">
        <v>#N/A</v>
      </c>
      <c r="E448" s="3645" t="e">
        <v>#N/A</v>
      </c>
      <c r="F448" s="1845" t="e">
        <v>#N/A</v>
      </c>
      <c r="G448" s="3645" t="e">
        <v>#N/A</v>
      </c>
      <c r="H448" s="1845" t="e">
        <v>#N/A</v>
      </c>
      <c r="I448" s="3645" t="e">
        <v>#N/A</v>
      </c>
      <c r="J448" s="1845" t="e">
        <v>#N/A</v>
      </c>
      <c r="K448" s="3645" t="e">
        <v>#N/A</v>
      </c>
      <c r="L448" s="1845" t="e">
        <v>#N/A</v>
      </c>
      <c r="M448" s="3645" t="e">
        <v>#N/A</v>
      </c>
      <c r="N448" s="1846" t="e">
        <v>#N/A</v>
      </c>
    </row>
    <row r="449" spans="1:14">
      <c r="A449" s="53">
        <f t="shared" si="5"/>
        <v>2030.08</v>
      </c>
      <c r="B449" s="1847" t="e">
        <v>#N/A</v>
      </c>
      <c r="C449" s="3645" t="e">
        <v>#N/A</v>
      </c>
      <c r="D449" s="1845" t="e">
        <v>#N/A</v>
      </c>
      <c r="E449" s="3645" t="e">
        <v>#N/A</v>
      </c>
      <c r="F449" s="1845" t="e">
        <v>#N/A</v>
      </c>
      <c r="G449" s="3645" t="e">
        <v>#N/A</v>
      </c>
      <c r="H449" s="1845" t="e">
        <v>#N/A</v>
      </c>
      <c r="I449" s="3645" t="e">
        <v>#N/A</v>
      </c>
      <c r="J449" s="1845" t="e">
        <v>#N/A</v>
      </c>
      <c r="K449" s="3645" t="e">
        <v>#N/A</v>
      </c>
      <c r="L449" s="1845" t="e">
        <v>#N/A</v>
      </c>
      <c r="M449" s="3645" t="e">
        <v>#N/A</v>
      </c>
      <c r="N449" s="1846" t="e">
        <v>#N/A</v>
      </c>
    </row>
    <row r="450" spans="1:14">
      <c r="A450" s="53">
        <f t="shared" si="5"/>
        <v>2030.09</v>
      </c>
      <c r="B450" s="1847" t="e">
        <v>#N/A</v>
      </c>
      <c r="C450" s="3645" t="e">
        <v>#N/A</v>
      </c>
      <c r="D450" s="1845" t="e">
        <v>#N/A</v>
      </c>
      <c r="E450" s="3645" t="e">
        <v>#N/A</v>
      </c>
      <c r="F450" s="1845" t="e">
        <v>#N/A</v>
      </c>
      <c r="G450" s="3645" t="e">
        <v>#N/A</v>
      </c>
      <c r="H450" s="1845" t="e">
        <v>#N/A</v>
      </c>
      <c r="I450" s="3645" t="e">
        <v>#N/A</v>
      </c>
      <c r="J450" s="1845" t="e">
        <v>#N/A</v>
      </c>
      <c r="K450" s="3645" t="e">
        <v>#N/A</v>
      </c>
      <c r="L450" s="1845" t="e">
        <v>#N/A</v>
      </c>
      <c r="M450" s="3645" t="e">
        <v>#N/A</v>
      </c>
      <c r="N450" s="1846" t="e">
        <v>#N/A</v>
      </c>
    </row>
    <row r="451" spans="1:14">
      <c r="A451" s="53">
        <f t="shared" si="5"/>
        <v>2030.1</v>
      </c>
      <c r="B451" s="1847" t="e">
        <v>#N/A</v>
      </c>
      <c r="C451" s="3645" t="e">
        <v>#N/A</v>
      </c>
      <c r="D451" s="1845" t="e">
        <v>#N/A</v>
      </c>
      <c r="E451" s="3645" t="e">
        <v>#N/A</v>
      </c>
      <c r="F451" s="1845" t="e">
        <v>#N/A</v>
      </c>
      <c r="G451" s="3645" t="e">
        <v>#N/A</v>
      </c>
      <c r="H451" s="1845" t="e">
        <v>#N/A</v>
      </c>
      <c r="I451" s="3645" t="e">
        <v>#N/A</v>
      </c>
      <c r="J451" s="1845" t="e">
        <v>#N/A</v>
      </c>
      <c r="K451" s="3645" t="e">
        <v>#N/A</v>
      </c>
      <c r="L451" s="1845" t="e">
        <v>#N/A</v>
      </c>
      <c r="M451" s="3645" t="e">
        <v>#N/A</v>
      </c>
      <c r="N451" s="1846" t="e">
        <v>#N/A</v>
      </c>
    </row>
    <row r="452" spans="1:14">
      <c r="A452" s="53">
        <f t="shared" si="5"/>
        <v>2030.11</v>
      </c>
      <c r="B452" s="1847" t="e">
        <v>#N/A</v>
      </c>
      <c r="C452" s="3645" t="e">
        <v>#N/A</v>
      </c>
      <c r="D452" s="1845" t="e">
        <v>#N/A</v>
      </c>
      <c r="E452" s="3645" t="e">
        <v>#N/A</v>
      </c>
      <c r="F452" s="1845" t="e">
        <v>#N/A</v>
      </c>
      <c r="G452" s="3645" t="e">
        <v>#N/A</v>
      </c>
      <c r="H452" s="1845" t="e">
        <v>#N/A</v>
      </c>
      <c r="I452" s="3645" t="e">
        <v>#N/A</v>
      </c>
      <c r="J452" s="1845" t="e">
        <v>#N/A</v>
      </c>
      <c r="K452" s="3645" t="e">
        <v>#N/A</v>
      </c>
      <c r="L452" s="1845" t="e">
        <v>#N/A</v>
      </c>
      <c r="M452" s="3645" t="e">
        <v>#N/A</v>
      </c>
      <c r="N452" s="1846" t="e">
        <v>#N/A</v>
      </c>
    </row>
    <row r="453" spans="1:14">
      <c r="A453" s="53">
        <f t="shared" si="5"/>
        <v>2030.12</v>
      </c>
      <c r="B453" s="1847" t="e">
        <v>#N/A</v>
      </c>
      <c r="C453" s="3645" t="e">
        <v>#N/A</v>
      </c>
      <c r="D453" s="1845" t="e">
        <v>#N/A</v>
      </c>
      <c r="E453" s="3645" t="e">
        <v>#N/A</v>
      </c>
      <c r="F453" s="1845" t="e">
        <v>#N/A</v>
      </c>
      <c r="G453" s="3645" t="e">
        <v>#N/A</v>
      </c>
      <c r="H453" s="1845" t="e">
        <v>#N/A</v>
      </c>
      <c r="I453" s="3645" t="e">
        <v>#N/A</v>
      </c>
      <c r="J453" s="1845" t="e">
        <v>#N/A</v>
      </c>
      <c r="K453" s="3645" t="e">
        <v>#N/A</v>
      </c>
      <c r="L453" s="1845" t="e">
        <v>#N/A</v>
      </c>
      <c r="M453" s="3645" t="e">
        <v>#N/A</v>
      </c>
      <c r="N453" s="1846" t="e">
        <v>#N/A</v>
      </c>
    </row>
  </sheetData>
  <phoneticPr fontId="0" type="noConversion"/>
  <hyperlinks>
    <hyperlink ref="A5" location="INDICE!A13" display="VOLVER AL INDICE" xr:uid="{00000000-0004-0000-1D00-000000000000}"/>
  </hyperlinks>
  <printOptions gridLines="1"/>
  <pageMargins left="0.39370078740157483" right="0.39370078740157483" top="0.59055118110236227" bottom="0.59055118110236227" header="0" footer="0"/>
  <pageSetup paperSize="9" scale="20" orientation="portrait" horizontalDpi="300" verticalDpi="300"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53">
    <pageSetUpPr autoPageBreaks="0" fitToPage="1"/>
  </sheetPr>
  <dimension ref="A1:CK453"/>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10.5703125" style="21" customWidth="1"/>
    <col min="2" max="4" width="15.140625" style="21" customWidth="1"/>
    <col min="5" max="88" width="14.85546875" style="21" customWidth="1"/>
    <col min="89" max="16384" width="11.42578125" style="6"/>
  </cols>
  <sheetData>
    <row r="1" spans="1:89" s="10" customFormat="1" ht="4.5" customHeight="1">
      <c r="A1" s="2761"/>
      <c r="B1" s="122"/>
      <c r="C1" s="122">
        <v>0.8544026657363164</v>
      </c>
      <c r="D1" s="122"/>
      <c r="E1" s="2971">
        <v>0.86308581949998553</v>
      </c>
      <c r="F1" s="122"/>
      <c r="G1" s="122"/>
      <c r="H1" s="122"/>
      <c r="I1" s="122"/>
      <c r="J1" s="122"/>
      <c r="K1" s="122"/>
      <c r="L1" s="122"/>
      <c r="M1" s="122"/>
      <c r="N1" s="122"/>
      <c r="O1" s="122"/>
      <c r="P1" s="122"/>
      <c r="Q1" s="122"/>
      <c r="R1" s="122"/>
      <c r="S1" s="122">
        <v>0.94822681585435242</v>
      </c>
      <c r="T1" s="122"/>
      <c r="U1" s="122"/>
      <c r="V1" s="122">
        <v>0.86864621487411864</v>
      </c>
      <c r="W1" s="122"/>
      <c r="X1" s="122"/>
      <c r="Y1" s="122"/>
      <c r="Z1" s="122"/>
      <c r="AA1" s="122">
        <v>0.93042729873694474</v>
      </c>
      <c r="AB1" s="122"/>
      <c r="AC1" s="122"/>
      <c r="AD1" s="122"/>
      <c r="AE1" s="122">
        <v>0.86880344046162417</v>
      </c>
      <c r="AF1" s="122"/>
      <c r="AG1" s="122"/>
      <c r="AH1" s="122"/>
      <c r="AI1" s="122">
        <v>0.94234423835026948</v>
      </c>
      <c r="AJ1" s="122"/>
      <c r="AK1" s="122"/>
      <c r="AL1" s="122"/>
      <c r="AM1" s="122"/>
      <c r="AN1" s="122"/>
      <c r="AO1" s="122">
        <v>0.88163337276193698</v>
      </c>
      <c r="AP1" s="122"/>
      <c r="AQ1" s="122"/>
      <c r="AR1" s="122"/>
      <c r="AS1" s="122"/>
      <c r="AT1" s="122"/>
      <c r="AU1" s="122"/>
      <c r="AV1" s="122"/>
      <c r="AW1" s="122"/>
      <c r="AX1" s="122">
        <v>0.8551881413911061</v>
      </c>
      <c r="AY1" s="122"/>
      <c r="AZ1" s="122"/>
      <c r="BA1" s="122"/>
      <c r="BB1" s="122">
        <v>0.74891407459184178</v>
      </c>
      <c r="BC1" s="122"/>
      <c r="BD1" s="122"/>
      <c r="BE1" s="122"/>
      <c r="BF1" s="122"/>
      <c r="BG1" s="122"/>
      <c r="BH1" s="122"/>
      <c r="BI1" s="122">
        <v>0.94073377234242694</v>
      </c>
      <c r="BJ1" s="122"/>
      <c r="BK1" s="122"/>
      <c r="BL1" s="122"/>
      <c r="BM1" s="122">
        <v>0.60044132437341435</v>
      </c>
      <c r="BN1" s="122"/>
      <c r="BO1" s="122"/>
      <c r="BP1" s="122"/>
      <c r="BQ1" s="122">
        <v>0.88331419485911145</v>
      </c>
      <c r="BR1" s="122"/>
      <c r="BS1" s="122"/>
      <c r="BT1" s="122"/>
      <c r="BU1" s="122"/>
      <c r="BV1" s="122"/>
      <c r="BW1" s="122"/>
      <c r="BX1" s="122"/>
      <c r="BY1" s="122"/>
      <c r="BZ1" s="122">
        <v>0.8544026657363164</v>
      </c>
      <c r="CA1" s="122"/>
      <c r="CB1" s="122"/>
      <c r="CC1" s="122"/>
      <c r="CD1" s="122">
        <v>0.86308581949998553</v>
      </c>
      <c r="CE1" s="122"/>
      <c r="CF1" s="122"/>
      <c r="CG1" s="122"/>
      <c r="CH1" s="122"/>
      <c r="CI1" s="122"/>
      <c r="CJ1" s="123"/>
      <c r="CK1" s="1371"/>
    </row>
    <row r="2" spans="1:89" s="10" customFormat="1" ht="17.25" customHeight="1">
      <c r="A2" s="2762" t="s">
        <v>99</v>
      </c>
      <c r="B2" s="1199" t="s">
        <v>1234</v>
      </c>
      <c r="C2" s="2742"/>
      <c r="D2" s="2742"/>
      <c r="E2" s="2742" t="s">
        <v>1235</v>
      </c>
      <c r="F2" s="2742"/>
      <c r="G2" s="2742"/>
      <c r="H2" s="2742"/>
      <c r="I2" s="2742"/>
      <c r="J2" s="2742"/>
      <c r="K2" s="2742"/>
      <c r="L2" s="2742"/>
      <c r="M2" s="2742"/>
      <c r="N2" s="2742"/>
      <c r="O2" s="2742"/>
      <c r="P2" s="2742"/>
      <c r="Q2" s="2742"/>
      <c r="R2" s="2742"/>
      <c r="S2" s="2742"/>
      <c r="T2" s="2742"/>
      <c r="U2" s="2742"/>
      <c r="V2" s="2742"/>
      <c r="W2" s="2742"/>
      <c r="X2" s="2742"/>
      <c r="Y2" s="2742"/>
      <c r="Z2" s="2742"/>
      <c r="AA2" s="2742"/>
      <c r="AB2" s="2742"/>
      <c r="AC2" s="2742"/>
      <c r="AD2" s="2742"/>
      <c r="AE2" s="2742"/>
      <c r="AF2" s="2742"/>
      <c r="AG2" s="2742"/>
      <c r="AH2" s="2742"/>
      <c r="AI2" s="2742"/>
      <c r="AJ2" s="2742"/>
      <c r="AK2" s="2742"/>
      <c r="AL2" s="2742"/>
      <c r="AM2" s="2742"/>
      <c r="AN2" s="2742"/>
      <c r="AO2" s="2742"/>
      <c r="AP2" s="2742"/>
      <c r="AQ2" s="2742"/>
      <c r="AR2" s="2742"/>
      <c r="AS2" s="2742"/>
      <c r="AT2" s="2742"/>
      <c r="AU2" s="2742"/>
      <c r="AV2" s="2742"/>
      <c r="AW2" s="2742"/>
      <c r="AX2" s="2742"/>
      <c r="AY2" s="2742"/>
      <c r="AZ2" s="2742"/>
      <c r="BA2" s="2742"/>
      <c r="BB2" s="2742"/>
      <c r="BC2" s="2742"/>
      <c r="BD2" s="2742"/>
      <c r="BE2" s="2742"/>
      <c r="BF2" s="2742"/>
      <c r="BG2" s="2742"/>
      <c r="BH2" s="2742"/>
      <c r="BI2" s="2742"/>
      <c r="BJ2" s="2742"/>
      <c r="BK2" s="2742"/>
      <c r="BL2" s="2742"/>
      <c r="BM2" s="2742"/>
      <c r="BN2" s="2742"/>
      <c r="BO2" s="2742"/>
      <c r="BP2" s="2742"/>
      <c r="BQ2" s="2742"/>
      <c r="BR2" s="2742"/>
      <c r="BS2" s="2742"/>
      <c r="BT2" s="2742"/>
      <c r="BU2" s="2742"/>
      <c r="BV2" s="2742"/>
      <c r="BW2" s="2742"/>
      <c r="BX2" s="2742"/>
      <c r="BY2" s="2742"/>
      <c r="BZ2" s="2742"/>
      <c r="CA2" s="2742"/>
      <c r="CB2" s="2742"/>
      <c r="CC2" s="2742"/>
      <c r="CD2" s="2742"/>
      <c r="CE2" s="2742"/>
      <c r="CF2" s="2742"/>
      <c r="CG2" s="2742"/>
      <c r="CH2" s="2742"/>
      <c r="CI2" s="2742"/>
      <c r="CJ2" s="2913"/>
      <c r="CK2" s="1371"/>
    </row>
    <row r="3" spans="1:89" s="10" customFormat="1">
      <c r="A3" s="2762" t="s">
        <v>104</v>
      </c>
      <c r="B3" s="1199" t="s">
        <v>135</v>
      </c>
      <c r="C3" s="2742"/>
      <c r="D3" s="2742"/>
      <c r="E3" s="2736" t="s">
        <v>135</v>
      </c>
      <c r="F3" s="2742"/>
      <c r="G3" s="2742"/>
      <c r="H3" s="2742"/>
      <c r="I3" s="2742"/>
      <c r="J3" s="2742"/>
      <c r="K3" s="2742"/>
      <c r="L3" s="2742"/>
      <c r="M3" s="2742"/>
      <c r="N3" s="2742"/>
      <c r="O3" s="2742"/>
      <c r="P3" s="2742"/>
      <c r="Q3" s="2742"/>
      <c r="R3" s="2742"/>
      <c r="S3" s="2742"/>
      <c r="T3" s="2742"/>
      <c r="U3" s="2742"/>
      <c r="V3" s="2742"/>
      <c r="W3" s="2742"/>
      <c r="X3" s="2742"/>
      <c r="Y3" s="2742"/>
      <c r="Z3" s="2742"/>
      <c r="AA3" s="2742"/>
      <c r="AB3" s="2742"/>
      <c r="AC3" s="2742"/>
      <c r="AD3" s="2742"/>
      <c r="AE3" s="2742"/>
      <c r="AF3" s="2742"/>
      <c r="AG3" s="2742"/>
      <c r="AH3" s="2742"/>
      <c r="AI3" s="2742"/>
      <c r="AJ3" s="2742"/>
      <c r="AK3" s="2742"/>
      <c r="AL3" s="2742"/>
      <c r="AM3" s="2742"/>
      <c r="AN3" s="2742"/>
      <c r="AO3" s="2742"/>
      <c r="AP3" s="2742"/>
      <c r="AQ3" s="2742"/>
      <c r="AR3" s="2742"/>
      <c r="AS3" s="2742"/>
      <c r="AT3" s="2742"/>
      <c r="AU3" s="2742"/>
      <c r="AV3" s="2742"/>
      <c r="AW3" s="2742"/>
      <c r="AX3" s="2742"/>
      <c r="AY3" s="2742"/>
      <c r="AZ3" s="2742"/>
      <c r="BA3" s="2742"/>
      <c r="BB3" s="2742"/>
      <c r="BC3" s="2742"/>
      <c r="BD3" s="2742"/>
      <c r="BE3" s="2742"/>
      <c r="BF3" s="2742"/>
      <c r="BG3" s="2742"/>
      <c r="BH3" s="2742"/>
      <c r="BI3" s="2742"/>
      <c r="BJ3" s="2742"/>
      <c r="BK3" s="2742"/>
      <c r="BL3" s="2742"/>
      <c r="BM3" s="2742"/>
      <c r="BN3" s="2742"/>
      <c r="BO3" s="2742"/>
      <c r="BP3" s="2742"/>
      <c r="BQ3" s="2742"/>
      <c r="BR3" s="2742"/>
      <c r="BS3" s="2742"/>
      <c r="BT3" s="2742"/>
      <c r="BU3" s="2742"/>
      <c r="BV3" s="2742"/>
      <c r="BW3" s="2742"/>
      <c r="BX3" s="2742"/>
      <c r="BY3" s="2742"/>
      <c r="BZ3" s="2742"/>
      <c r="CA3" s="2742"/>
      <c r="CB3" s="2742"/>
      <c r="CC3" s="2742"/>
      <c r="CD3" s="2742"/>
      <c r="CE3" s="2742"/>
      <c r="CF3" s="2742"/>
      <c r="CG3" s="2742"/>
      <c r="CH3" s="2742"/>
      <c r="CI3" s="2742"/>
      <c r="CJ3" s="2913"/>
      <c r="CK3" s="1371"/>
    </row>
    <row r="4" spans="1:89" s="10" customFormat="1" ht="67.5">
      <c r="A4" s="2867" t="s">
        <v>140</v>
      </c>
      <c r="B4" s="589" t="s">
        <v>167</v>
      </c>
      <c r="C4" s="591" t="s">
        <v>168</v>
      </c>
      <c r="D4" s="589" t="s">
        <v>169</v>
      </c>
      <c r="E4" s="2972" t="s">
        <v>1175</v>
      </c>
      <c r="F4" s="2643" t="s">
        <v>1236</v>
      </c>
      <c r="G4" s="2643" t="s">
        <v>1237</v>
      </c>
      <c r="H4" s="2643" t="s">
        <v>1238</v>
      </c>
      <c r="I4" s="2643" t="s">
        <v>1239</v>
      </c>
      <c r="J4" s="2643" t="s">
        <v>1240</v>
      </c>
      <c r="K4" s="2643" t="s">
        <v>1241</v>
      </c>
      <c r="L4" s="2643" t="s">
        <v>1242</v>
      </c>
      <c r="M4" s="2643" t="s">
        <v>1243</v>
      </c>
      <c r="N4" s="2643" t="s">
        <v>1244</v>
      </c>
      <c r="O4" s="2643" t="s">
        <v>1245</v>
      </c>
      <c r="P4" s="2643" t="s">
        <v>1246</v>
      </c>
      <c r="Q4" s="2643" t="s">
        <v>1247</v>
      </c>
      <c r="R4" s="2644" t="s">
        <v>1248</v>
      </c>
      <c r="S4" s="2642" t="s">
        <v>1249</v>
      </c>
      <c r="T4" s="591" t="s">
        <v>1250</v>
      </c>
      <c r="U4" s="591" t="s">
        <v>1176</v>
      </c>
      <c r="V4" s="2642" t="s">
        <v>1212</v>
      </c>
      <c r="W4" s="591" t="s">
        <v>1251</v>
      </c>
      <c r="X4" s="591" t="s">
        <v>1252</v>
      </c>
      <c r="Y4" s="591" t="s">
        <v>1253</v>
      </c>
      <c r="Z4" s="591" t="s">
        <v>1254</v>
      </c>
      <c r="AA4" s="2642" t="s">
        <v>1255</v>
      </c>
      <c r="AB4" s="591" t="s">
        <v>1256</v>
      </c>
      <c r="AC4" s="591" t="s">
        <v>1257</v>
      </c>
      <c r="AD4" s="591" t="s">
        <v>1258</v>
      </c>
      <c r="AE4" s="2642" t="s">
        <v>1259</v>
      </c>
      <c r="AF4" s="591" t="s">
        <v>1260</v>
      </c>
      <c r="AG4" s="591" t="s">
        <v>1261</v>
      </c>
      <c r="AH4" s="591" t="s">
        <v>1214</v>
      </c>
      <c r="AI4" s="2642" t="s">
        <v>1262</v>
      </c>
      <c r="AJ4" s="591" t="s">
        <v>1263</v>
      </c>
      <c r="AK4" s="591" t="s">
        <v>1264</v>
      </c>
      <c r="AL4" s="591" t="s">
        <v>1265</v>
      </c>
      <c r="AM4" s="591" t="s">
        <v>1266</v>
      </c>
      <c r="AN4" s="591" t="s">
        <v>1267</v>
      </c>
      <c r="AO4" s="2642" t="s">
        <v>1268</v>
      </c>
      <c r="AP4" s="591" t="s">
        <v>1269</v>
      </c>
      <c r="AQ4" s="591" t="s">
        <v>1270</v>
      </c>
      <c r="AR4" s="591" t="s">
        <v>1271</v>
      </c>
      <c r="AS4" s="591" t="s">
        <v>1272</v>
      </c>
      <c r="AT4" s="591" t="s">
        <v>1273</v>
      </c>
      <c r="AU4" s="591" t="s">
        <v>1274</v>
      </c>
      <c r="AV4" s="591" t="s">
        <v>1275</v>
      </c>
      <c r="AW4" s="591" t="s">
        <v>1276</v>
      </c>
      <c r="AX4" s="2642" t="s">
        <v>1277</v>
      </c>
      <c r="AY4" s="591" t="s">
        <v>1278</v>
      </c>
      <c r="AZ4" s="591" t="s">
        <v>1279</v>
      </c>
      <c r="BA4" s="591" t="s">
        <v>1280</v>
      </c>
      <c r="BB4" s="2642" t="s">
        <v>1281</v>
      </c>
      <c r="BC4" s="591" t="s">
        <v>1282</v>
      </c>
      <c r="BD4" s="591" t="s">
        <v>1283</v>
      </c>
      <c r="BE4" s="591" t="s">
        <v>1284</v>
      </c>
      <c r="BF4" s="591" t="s">
        <v>1285</v>
      </c>
      <c r="BG4" s="591" t="s">
        <v>1286</v>
      </c>
      <c r="BH4" s="591" t="s">
        <v>1287</v>
      </c>
      <c r="BI4" s="2642" t="s">
        <v>1218</v>
      </c>
      <c r="BJ4" s="591" t="s">
        <v>1288</v>
      </c>
      <c r="BK4" s="591" t="s">
        <v>1289</v>
      </c>
      <c r="BL4" s="591" t="s">
        <v>1290</v>
      </c>
      <c r="BM4" s="2642" t="s">
        <v>1291</v>
      </c>
      <c r="BN4" s="591" t="s">
        <v>1292</v>
      </c>
      <c r="BO4" s="591" t="s">
        <v>1293</v>
      </c>
      <c r="BP4" s="591" t="s">
        <v>1294</v>
      </c>
      <c r="BQ4" s="2642" t="s">
        <v>1295</v>
      </c>
      <c r="BR4" s="591" t="s">
        <v>1296</v>
      </c>
      <c r="BS4" s="591" t="s">
        <v>1297</v>
      </c>
      <c r="BT4" s="591" t="s">
        <v>1298</v>
      </c>
      <c r="BU4" s="591" t="s">
        <v>1299</v>
      </c>
      <c r="BV4" s="2642" t="s">
        <v>1300</v>
      </c>
      <c r="BW4" s="591" t="s">
        <v>1301</v>
      </c>
      <c r="BX4" s="591" t="s">
        <v>1302</v>
      </c>
      <c r="BY4" s="591" t="s">
        <v>1303</v>
      </c>
      <c r="BZ4" s="2642" t="s">
        <v>1304</v>
      </c>
      <c r="CA4" s="591" t="s">
        <v>1305</v>
      </c>
      <c r="CB4" s="591" t="s">
        <v>1306</v>
      </c>
      <c r="CC4" s="591" t="s">
        <v>1307</v>
      </c>
      <c r="CD4" s="2642" t="s">
        <v>1308</v>
      </c>
      <c r="CE4" s="591" t="s">
        <v>1309</v>
      </c>
      <c r="CF4" s="591" t="s">
        <v>1308</v>
      </c>
      <c r="CG4" s="2642" t="s">
        <v>1310</v>
      </c>
      <c r="CH4" s="591" t="s">
        <v>1311</v>
      </c>
      <c r="CI4" s="591" t="s">
        <v>1312</v>
      </c>
      <c r="CJ4" s="2067" t="s">
        <v>1313</v>
      </c>
      <c r="CK4" s="1371"/>
    </row>
    <row r="5" spans="1:89" s="10" customFormat="1" ht="22.5">
      <c r="A5" s="2762" t="s">
        <v>125</v>
      </c>
      <c r="B5" s="5" t="s">
        <v>130</v>
      </c>
      <c r="C5" s="952" t="s">
        <v>130</v>
      </c>
      <c r="D5" s="5" t="s">
        <v>130</v>
      </c>
      <c r="E5" s="2758" t="s">
        <v>130</v>
      </c>
      <c r="F5" s="2645" t="s">
        <v>130</v>
      </c>
      <c r="G5" s="2645" t="s">
        <v>130</v>
      </c>
      <c r="H5" s="2645" t="s">
        <v>130</v>
      </c>
      <c r="I5" s="2645" t="s">
        <v>130</v>
      </c>
      <c r="J5" s="2645" t="s">
        <v>130</v>
      </c>
      <c r="K5" s="2645" t="s">
        <v>130</v>
      </c>
      <c r="L5" s="2645" t="s">
        <v>130</v>
      </c>
      <c r="M5" s="2645" t="s">
        <v>130</v>
      </c>
      <c r="N5" s="2645" t="s">
        <v>130</v>
      </c>
      <c r="O5" s="2645" t="s">
        <v>130</v>
      </c>
      <c r="P5" s="2645" t="s">
        <v>130</v>
      </c>
      <c r="Q5" s="2645" t="s">
        <v>130</v>
      </c>
      <c r="R5" s="2646" t="s">
        <v>130</v>
      </c>
      <c r="S5" s="952" t="s">
        <v>130</v>
      </c>
      <c r="T5" s="952" t="s">
        <v>130</v>
      </c>
      <c r="U5" s="952" t="s">
        <v>130</v>
      </c>
      <c r="V5" s="952" t="s">
        <v>130</v>
      </c>
      <c r="W5" s="952" t="s">
        <v>130</v>
      </c>
      <c r="X5" s="952" t="s">
        <v>130</v>
      </c>
      <c r="Y5" s="952" t="s">
        <v>130</v>
      </c>
      <c r="Z5" s="952" t="s">
        <v>130</v>
      </c>
      <c r="AA5" s="952" t="s">
        <v>130</v>
      </c>
      <c r="AB5" s="952" t="s">
        <v>130</v>
      </c>
      <c r="AC5" s="952" t="s">
        <v>130</v>
      </c>
      <c r="AD5" s="952" t="s">
        <v>130</v>
      </c>
      <c r="AE5" s="952" t="s">
        <v>130</v>
      </c>
      <c r="AF5" s="952" t="s">
        <v>130</v>
      </c>
      <c r="AG5" s="952" t="s">
        <v>130</v>
      </c>
      <c r="AH5" s="952" t="s">
        <v>130</v>
      </c>
      <c r="AI5" s="952" t="s">
        <v>130</v>
      </c>
      <c r="AJ5" s="952" t="s">
        <v>130</v>
      </c>
      <c r="AK5" s="952" t="s">
        <v>130</v>
      </c>
      <c r="AL5" s="952" t="s">
        <v>130</v>
      </c>
      <c r="AM5" s="952" t="s">
        <v>130</v>
      </c>
      <c r="AN5" s="952" t="s">
        <v>130</v>
      </c>
      <c r="AO5" s="952" t="s">
        <v>130</v>
      </c>
      <c r="AP5" s="952" t="s">
        <v>130</v>
      </c>
      <c r="AQ5" s="952" t="s">
        <v>130</v>
      </c>
      <c r="AR5" s="952" t="s">
        <v>130</v>
      </c>
      <c r="AS5" s="952" t="s">
        <v>130</v>
      </c>
      <c r="AT5" s="952" t="s">
        <v>130</v>
      </c>
      <c r="AU5" s="952" t="s">
        <v>130</v>
      </c>
      <c r="AV5" s="952" t="s">
        <v>130</v>
      </c>
      <c r="AW5" s="952" t="s">
        <v>130</v>
      </c>
      <c r="AX5" s="952" t="s">
        <v>130</v>
      </c>
      <c r="AY5" s="952" t="s">
        <v>130</v>
      </c>
      <c r="AZ5" s="952" t="s">
        <v>130</v>
      </c>
      <c r="BA5" s="952" t="s">
        <v>130</v>
      </c>
      <c r="BB5" s="952" t="s">
        <v>130</v>
      </c>
      <c r="BC5" s="952" t="s">
        <v>130</v>
      </c>
      <c r="BD5" s="952" t="s">
        <v>130</v>
      </c>
      <c r="BE5" s="952" t="s">
        <v>130</v>
      </c>
      <c r="BF5" s="952" t="s">
        <v>130</v>
      </c>
      <c r="BG5" s="952" t="s">
        <v>130</v>
      </c>
      <c r="BH5" s="952" t="s">
        <v>130</v>
      </c>
      <c r="BI5" s="952" t="s">
        <v>130</v>
      </c>
      <c r="BJ5" s="952" t="s">
        <v>130</v>
      </c>
      <c r="BK5" s="952" t="s">
        <v>130</v>
      </c>
      <c r="BL5" s="952" t="s">
        <v>130</v>
      </c>
      <c r="BM5" s="952" t="s">
        <v>130</v>
      </c>
      <c r="BN5" s="952" t="s">
        <v>130</v>
      </c>
      <c r="BO5" s="952" t="s">
        <v>130</v>
      </c>
      <c r="BP5" s="952" t="s">
        <v>130</v>
      </c>
      <c r="BQ5" s="952" t="s">
        <v>130</v>
      </c>
      <c r="BR5" s="952" t="s">
        <v>130</v>
      </c>
      <c r="BS5" s="952" t="s">
        <v>130</v>
      </c>
      <c r="BT5" s="952" t="s">
        <v>130</v>
      </c>
      <c r="BU5" s="952" t="s">
        <v>130</v>
      </c>
      <c r="BV5" s="952" t="s">
        <v>130</v>
      </c>
      <c r="BW5" s="952" t="s">
        <v>130</v>
      </c>
      <c r="BX5" s="952" t="s">
        <v>130</v>
      </c>
      <c r="BY5" s="952" t="s">
        <v>130</v>
      </c>
      <c r="BZ5" s="952" t="s">
        <v>130</v>
      </c>
      <c r="CA5" s="952" t="s">
        <v>130</v>
      </c>
      <c r="CB5" s="952" t="s">
        <v>130</v>
      </c>
      <c r="CC5" s="952" t="s">
        <v>130</v>
      </c>
      <c r="CD5" s="952" t="s">
        <v>130</v>
      </c>
      <c r="CE5" s="952" t="s">
        <v>130</v>
      </c>
      <c r="CF5" s="952" t="s">
        <v>130</v>
      </c>
      <c r="CG5" s="952" t="s">
        <v>130</v>
      </c>
      <c r="CH5" s="952" t="s">
        <v>130</v>
      </c>
      <c r="CI5" s="952" t="s">
        <v>130</v>
      </c>
      <c r="CJ5" s="2068" t="s">
        <v>130</v>
      </c>
      <c r="CK5" s="1371"/>
    </row>
    <row r="6" spans="1:89" s="10" customFormat="1" ht="3" hidden="1" customHeight="1">
      <c r="A6" s="2762"/>
      <c r="B6" s="142"/>
      <c r="C6" s="3638"/>
      <c r="D6" s="142"/>
      <c r="E6" s="2973" t="s">
        <v>1189</v>
      </c>
      <c r="F6" s="2647"/>
      <c r="G6" s="2647"/>
      <c r="H6" s="2647"/>
      <c r="I6" s="2647"/>
      <c r="J6" s="2647"/>
      <c r="K6" s="2647"/>
      <c r="L6" s="2647"/>
      <c r="M6" s="2647"/>
      <c r="N6" s="2647"/>
      <c r="O6" s="2647"/>
      <c r="P6" s="2647"/>
      <c r="Q6" s="2647"/>
      <c r="R6" s="2648"/>
      <c r="S6" s="2444"/>
      <c r="T6" s="2444"/>
      <c r="U6" s="2444"/>
      <c r="V6" s="2444"/>
      <c r="W6" s="2444"/>
      <c r="X6" s="2444"/>
      <c r="Y6" s="2444"/>
      <c r="Z6" s="2444"/>
      <c r="AA6" s="2444"/>
      <c r="AB6" s="2444"/>
      <c r="AC6" s="2444"/>
      <c r="AD6" s="2444"/>
      <c r="AE6" s="2444"/>
      <c r="AF6" s="2444"/>
      <c r="AG6" s="2444"/>
      <c r="AH6" s="2444"/>
      <c r="AI6" s="2444" t="s">
        <v>1190</v>
      </c>
      <c r="AJ6" s="2444"/>
      <c r="AK6" s="2444"/>
      <c r="AL6" s="2444"/>
      <c r="AM6" s="2444"/>
      <c r="AN6" s="2444"/>
      <c r="AO6" s="2444" t="s">
        <v>1191</v>
      </c>
      <c r="AP6" s="2444"/>
      <c r="AQ6" s="2444"/>
      <c r="AR6" s="2444"/>
      <c r="AS6" s="2444"/>
      <c r="AT6" s="2444"/>
      <c r="AU6" s="2444"/>
      <c r="AV6" s="2444"/>
      <c r="AW6" s="2444"/>
      <c r="AX6" s="2444"/>
      <c r="AY6" s="2444"/>
      <c r="AZ6" s="2444"/>
      <c r="BA6" s="2444"/>
      <c r="BB6" s="2444"/>
      <c r="BC6" s="2444"/>
      <c r="BD6" s="2444"/>
      <c r="BE6" s="2444"/>
      <c r="BF6" s="2444"/>
      <c r="BG6" s="2444"/>
      <c r="BH6" s="2444"/>
      <c r="BI6" s="2444"/>
      <c r="BJ6" s="2444"/>
      <c r="BK6" s="2444"/>
      <c r="BL6" s="2444"/>
      <c r="BM6" s="2444"/>
      <c r="BN6" s="2444"/>
      <c r="BO6" s="2444"/>
      <c r="BP6" s="2444"/>
      <c r="BQ6" s="2444"/>
      <c r="BR6" s="2444"/>
      <c r="BS6" s="2444"/>
      <c r="BT6" s="2444"/>
      <c r="BU6" s="2444"/>
      <c r="BV6" s="2444"/>
      <c r="BW6" s="2444"/>
      <c r="BX6" s="2444"/>
      <c r="BY6" s="2444"/>
      <c r="BZ6" s="2444"/>
      <c r="CA6" s="2444"/>
      <c r="CB6" s="2444"/>
      <c r="CC6" s="2444"/>
      <c r="CD6" s="2444"/>
      <c r="CE6" s="2444"/>
      <c r="CF6" s="2444"/>
      <c r="CG6" s="2444"/>
      <c r="CH6" s="2444"/>
      <c r="CI6" s="2444"/>
      <c r="CJ6" s="2974"/>
      <c r="CK6" s="1371"/>
    </row>
    <row r="7" spans="1:89" ht="16.5" customHeight="1">
      <c r="A7" s="2762" t="s">
        <v>1314</v>
      </c>
      <c r="B7" s="58"/>
      <c r="C7" s="627"/>
      <c r="D7" s="58"/>
      <c r="E7" s="2975">
        <v>24.46</v>
      </c>
      <c r="F7" s="2649"/>
      <c r="G7" s="2649"/>
      <c r="H7" s="2649"/>
      <c r="I7" s="2649"/>
      <c r="J7" s="2649"/>
      <c r="K7" s="2649"/>
      <c r="L7" s="2649"/>
      <c r="M7" s="2649"/>
      <c r="N7" s="2649"/>
      <c r="O7" s="2649"/>
      <c r="P7" s="2649"/>
      <c r="Q7" s="2649"/>
      <c r="R7" s="2650"/>
      <c r="S7" s="1195">
        <v>0.69</v>
      </c>
      <c r="T7" s="1195"/>
      <c r="U7" s="1195"/>
      <c r="V7" s="1195">
        <v>2.93</v>
      </c>
      <c r="W7" s="1195"/>
      <c r="X7" s="1195"/>
      <c r="Y7" s="1195"/>
      <c r="Z7" s="1195"/>
      <c r="AA7" s="1195">
        <v>6.12</v>
      </c>
      <c r="AB7" s="1195"/>
      <c r="AC7" s="1195"/>
      <c r="AD7" s="1195"/>
      <c r="AE7" s="1195">
        <v>9.4</v>
      </c>
      <c r="AF7" s="1195"/>
      <c r="AG7" s="1195"/>
      <c r="AH7" s="1195"/>
      <c r="AI7" s="1195">
        <v>4.17</v>
      </c>
      <c r="AJ7" s="1195"/>
      <c r="AK7" s="1195"/>
      <c r="AL7" s="1195"/>
      <c r="AM7" s="1195"/>
      <c r="AN7" s="1195"/>
      <c r="AO7" s="1195">
        <v>12.71</v>
      </c>
      <c r="AP7" s="1195"/>
      <c r="AQ7" s="1195"/>
      <c r="AR7" s="1195"/>
      <c r="AS7" s="1195"/>
      <c r="AT7" s="1195"/>
      <c r="AU7" s="1195"/>
      <c r="AV7" s="1195"/>
      <c r="AW7" s="1195"/>
      <c r="AX7" s="1195">
        <v>4.93</v>
      </c>
      <c r="AY7" s="1195"/>
      <c r="AZ7" s="1195"/>
      <c r="BA7" s="1195"/>
      <c r="BB7" s="1195">
        <v>3.68</v>
      </c>
      <c r="BC7" s="1195"/>
      <c r="BD7" s="1195"/>
      <c r="BE7" s="1195"/>
      <c r="BF7" s="1195"/>
      <c r="BG7" s="1195"/>
      <c r="BH7" s="1195"/>
      <c r="BI7" s="1195">
        <v>9.0500000000000007</v>
      </c>
      <c r="BJ7" s="1195"/>
      <c r="BK7" s="1195"/>
      <c r="BL7" s="1195"/>
      <c r="BM7" s="1195">
        <v>5.15</v>
      </c>
      <c r="BN7" s="1195"/>
      <c r="BO7" s="1195"/>
      <c r="BP7" s="1195"/>
      <c r="BQ7" s="1195">
        <v>4.58</v>
      </c>
      <c r="BR7" s="1195"/>
      <c r="BS7" s="1195"/>
      <c r="BT7" s="1195"/>
      <c r="BU7" s="1195"/>
      <c r="BV7" s="1195">
        <v>3.36</v>
      </c>
      <c r="BW7" s="1195"/>
      <c r="BX7" s="1195"/>
      <c r="BY7" s="1195"/>
      <c r="BZ7" s="1195">
        <v>3.95</v>
      </c>
      <c r="CA7" s="1195"/>
      <c r="CB7" s="1195"/>
      <c r="CC7" s="1195"/>
      <c r="CD7" s="1195">
        <v>0.57999999999999996</v>
      </c>
      <c r="CE7" s="1195"/>
      <c r="CF7" s="1195"/>
      <c r="CG7" s="1195">
        <v>4.22</v>
      </c>
      <c r="CH7" s="1195"/>
      <c r="CI7" s="1195"/>
      <c r="CJ7" s="2069"/>
      <c r="CK7" s="166"/>
    </row>
    <row r="8" spans="1:89" s="10" customFormat="1" ht="14.25" customHeight="1">
      <c r="A8" s="2751" t="s">
        <v>144</v>
      </c>
      <c r="B8" s="2966" t="s">
        <v>1315</v>
      </c>
      <c r="C8" s="2238" t="s">
        <v>1316</v>
      </c>
      <c r="D8" s="2966" t="s">
        <v>1317</v>
      </c>
      <c r="E8" s="2967" t="s">
        <v>1318</v>
      </c>
      <c r="F8" s="2651"/>
      <c r="G8" s="2651"/>
      <c r="H8" s="2651"/>
      <c r="I8" s="2651"/>
      <c r="J8" s="2651"/>
      <c r="K8" s="2651"/>
      <c r="L8" s="2651"/>
      <c r="M8" s="2651"/>
      <c r="N8" s="2651"/>
      <c r="O8" s="2651"/>
      <c r="P8" s="2651"/>
      <c r="Q8" s="2651"/>
      <c r="R8" s="2652"/>
      <c r="S8" s="2238" t="s">
        <v>1319</v>
      </c>
      <c r="T8" s="2238"/>
      <c r="U8" s="2238"/>
      <c r="V8" s="2238" t="s">
        <v>1320</v>
      </c>
      <c r="W8" s="2238"/>
      <c r="X8" s="2238"/>
      <c r="Y8" s="2238"/>
      <c r="Z8" s="2238"/>
      <c r="AA8" s="2238" t="s">
        <v>1321</v>
      </c>
      <c r="AB8" s="2238"/>
      <c r="AC8" s="2238"/>
      <c r="AD8" s="2238"/>
      <c r="AE8" s="2238" t="s">
        <v>1322</v>
      </c>
      <c r="AF8" s="2238"/>
      <c r="AG8" s="2238"/>
      <c r="AH8" s="2238"/>
      <c r="AI8" s="2238" t="s">
        <v>1323</v>
      </c>
      <c r="AJ8" s="2238"/>
      <c r="AK8" s="2238"/>
      <c r="AL8" s="2238"/>
      <c r="AM8" s="2238"/>
      <c r="AN8" s="2238"/>
      <c r="AO8" s="2238" t="s">
        <v>1324</v>
      </c>
      <c r="AP8" s="2238"/>
      <c r="AQ8" s="2238"/>
      <c r="AR8" s="2238"/>
      <c r="AS8" s="2238"/>
      <c r="AT8" s="2238"/>
      <c r="AU8" s="2238"/>
      <c r="AV8" s="2238"/>
      <c r="AW8" s="2238"/>
      <c r="AX8" s="2238" t="s">
        <v>1325</v>
      </c>
      <c r="AY8" s="2238"/>
      <c r="AZ8" s="2238"/>
      <c r="BA8" s="2238"/>
      <c r="BB8" s="2238" t="s">
        <v>1326</v>
      </c>
      <c r="BC8" s="2238"/>
      <c r="BD8" s="2238"/>
      <c r="BE8" s="2238"/>
      <c r="BF8" s="2238"/>
      <c r="BG8" s="2238"/>
      <c r="BH8" s="2238"/>
      <c r="BI8" s="2238" t="s">
        <v>1327</v>
      </c>
      <c r="BJ8" s="2238"/>
      <c r="BK8" s="2238"/>
      <c r="BL8" s="2238"/>
      <c r="BM8" s="2238" t="s">
        <v>1328</v>
      </c>
      <c r="BN8" s="2238"/>
      <c r="BO8" s="2238"/>
      <c r="BP8" s="2238"/>
      <c r="BQ8" s="2238" t="s">
        <v>1329</v>
      </c>
      <c r="BR8" s="2238"/>
      <c r="BS8" s="2238"/>
      <c r="BT8" s="2238"/>
      <c r="BU8" s="2238"/>
      <c r="BV8" s="2238" t="s">
        <v>1330</v>
      </c>
      <c r="BW8" s="2238"/>
      <c r="BX8" s="2238"/>
      <c r="BY8" s="2238"/>
      <c r="BZ8" s="2238" t="s">
        <v>1331</v>
      </c>
      <c r="CA8" s="2238"/>
      <c r="CB8" s="2238"/>
      <c r="CC8" s="2238"/>
      <c r="CD8" s="2238" t="s">
        <v>1332</v>
      </c>
      <c r="CE8" s="2238"/>
      <c r="CF8" s="2238"/>
      <c r="CG8" s="2238" t="s">
        <v>1333</v>
      </c>
      <c r="CH8" s="2238"/>
      <c r="CI8" s="2238"/>
      <c r="CJ8" s="2976"/>
      <c r="CK8" s="1371"/>
    </row>
    <row r="9" spans="1:89" s="11" customFormat="1" ht="13.5" thickBot="1">
      <c r="A9" s="2140"/>
      <c r="B9" s="1322"/>
      <c r="C9" s="1362"/>
      <c r="D9" s="1372"/>
      <c r="E9" s="362">
        <v>24.46</v>
      </c>
      <c r="F9" s="2653"/>
      <c r="G9" s="2653"/>
      <c r="H9" s="2653"/>
      <c r="I9" s="2653"/>
      <c r="J9" s="2653"/>
      <c r="K9" s="2653"/>
      <c r="L9" s="2653"/>
      <c r="M9" s="2653"/>
      <c r="N9" s="2653"/>
      <c r="O9" s="2653"/>
      <c r="P9" s="2653"/>
      <c r="Q9" s="2653"/>
      <c r="R9" s="2654"/>
      <c r="S9" s="618">
        <v>0.69</v>
      </c>
      <c r="T9" s="618"/>
      <c r="U9" s="618"/>
      <c r="V9" s="618">
        <v>2.93</v>
      </c>
      <c r="W9" s="618"/>
      <c r="X9" s="618"/>
      <c r="Y9" s="618"/>
      <c r="Z9" s="618"/>
      <c r="AA9" s="618">
        <v>6.12</v>
      </c>
      <c r="AB9" s="618"/>
      <c r="AC9" s="618"/>
      <c r="AD9" s="618"/>
      <c r="AE9" s="618">
        <v>9.4</v>
      </c>
      <c r="AF9" s="618"/>
      <c r="AG9" s="618"/>
      <c r="AH9" s="618"/>
      <c r="AI9" s="618">
        <v>4.17</v>
      </c>
      <c r="AJ9" s="618"/>
      <c r="AK9" s="618"/>
      <c r="AL9" s="618"/>
      <c r="AM9" s="618"/>
      <c r="AN9" s="618"/>
      <c r="AO9" s="618">
        <v>12.71</v>
      </c>
      <c r="AP9" s="618"/>
      <c r="AQ9" s="618"/>
      <c r="AR9" s="618"/>
      <c r="AS9" s="618"/>
      <c r="AT9" s="618"/>
      <c r="AU9" s="618"/>
      <c r="AV9" s="618"/>
      <c r="AW9" s="618"/>
      <c r="AX9" s="618">
        <v>4.93</v>
      </c>
      <c r="AY9" s="618"/>
      <c r="AZ9" s="618"/>
      <c r="BA9" s="618"/>
      <c r="BB9" s="618">
        <v>3.68</v>
      </c>
      <c r="BC9" s="618"/>
      <c r="BD9" s="618"/>
      <c r="BE9" s="618"/>
      <c r="BF9" s="618"/>
      <c r="BG9" s="618"/>
      <c r="BH9" s="618"/>
      <c r="BI9" s="618">
        <v>9.0500000000000007</v>
      </c>
      <c r="BJ9" s="618"/>
      <c r="BK9" s="618"/>
      <c r="BL9" s="618"/>
      <c r="BM9" s="618">
        <v>5.15</v>
      </c>
      <c r="BN9" s="618"/>
      <c r="BO9" s="618"/>
      <c r="BP9" s="618"/>
      <c r="BQ9" s="618">
        <v>4.58</v>
      </c>
      <c r="BR9" s="618"/>
      <c r="BS9" s="618"/>
      <c r="BT9" s="618"/>
      <c r="BU9" s="618"/>
      <c r="BV9" s="618">
        <v>3.36</v>
      </c>
      <c r="BW9" s="618"/>
      <c r="BX9" s="618"/>
      <c r="BY9" s="618"/>
      <c r="BZ9" s="618">
        <v>3.95</v>
      </c>
      <c r="CA9" s="618"/>
      <c r="CB9" s="618"/>
      <c r="CC9" s="618"/>
      <c r="CD9" s="618">
        <v>0.57999999999999996</v>
      </c>
      <c r="CE9" s="618"/>
      <c r="CF9" s="618"/>
      <c r="CG9" s="618">
        <v>4.22</v>
      </c>
      <c r="CH9" s="618"/>
      <c r="CI9" s="618"/>
      <c r="CJ9" s="620"/>
      <c r="CK9" s="363">
        <f>SUM(E9:CG9)</f>
        <v>99.98</v>
      </c>
    </row>
    <row r="10" spans="1:89" s="11" customFormat="1">
      <c r="A10" s="57">
        <v>1994.01</v>
      </c>
      <c r="B10" s="2379">
        <v>76.246694525567776</v>
      </c>
      <c r="C10" s="2379">
        <v>80.572637291960589</v>
      </c>
      <c r="D10" s="616"/>
      <c r="E10" s="359"/>
      <c r="F10" s="2655"/>
      <c r="G10" s="2655"/>
      <c r="H10" s="2655"/>
      <c r="I10" s="2655"/>
      <c r="J10" s="2655"/>
      <c r="K10" s="2655"/>
      <c r="L10" s="2655"/>
      <c r="M10" s="2655"/>
      <c r="N10" s="2655"/>
      <c r="O10" s="2655"/>
      <c r="P10" s="2655"/>
      <c r="Q10" s="2655"/>
      <c r="R10" s="2656"/>
      <c r="S10" s="619"/>
      <c r="T10" s="619"/>
      <c r="U10" s="619"/>
      <c r="V10" s="619"/>
      <c r="W10" s="619"/>
      <c r="X10" s="619"/>
      <c r="Y10" s="619"/>
      <c r="Z10" s="619"/>
      <c r="AA10" s="619"/>
      <c r="AB10" s="619"/>
      <c r="AC10" s="619"/>
      <c r="AD10" s="619"/>
      <c r="AE10" s="619"/>
      <c r="AF10" s="619"/>
      <c r="AG10" s="619"/>
      <c r="AH10" s="619"/>
      <c r="AI10" s="619"/>
      <c r="AJ10" s="619"/>
      <c r="AK10" s="619"/>
      <c r="AL10" s="619"/>
      <c r="AM10" s="619"/>
      <c r="AN10" s="619"/>
      <c r="AO10" s="619"/>
      <c r="AP10" s="619"/>
      <c r="AQ10" s="619"/>
      <c r="AR10" s="619"/>
      <c r="AS10" s="619"/>
      <c r="AT10" s="619"/>
      <c r="AU10" s="619"/>
      <c r="AV10" s="619"/>
      <c r="AW10" s="619"/>
      <c r="AX10" s="619"/>
      <c r="AY10" s="619"/>
      <c r="AZ10" s="619"/>
      <c r="BA10" s="619"/>
      <c r="BB10" s="619"/>
      <c r="BC10" s="619"/>
      <c r="BD10" s="619"/>
      <c r="BE10" s="619"/>
      <c r="BF10" s="619"/>
      <c r="BG10" s="619"/>
      <c r="BH10" s="619"/>
      <c r="BI10" s="619"/>
      <c r="BJ10" s="619"/>
      <c r="BK10" s="619"/>
      <c r="BL10" s="619"/>
      <c r="BM10" s="619"/>
      <c r="BN10" s="619"/>
      <c r="BO10" s="619"/>
      <c r="BP10" s="619"/>
      <c r="BQ10" s="619"/>
      <c r="BR10" s="619"/>
      <c r="BS10" s="619"/>
      <c r="BT10" s="619"/>
      <c r="BU10" s="619"/>
      <c r="BV10" s="619"/>
      <c r="BW10" s="619"/>
      <c r="BX10" s="619"/>
      <c r="BY10" s="619"/>
      <c r="BZ10" s="619"/>
      <c r="CA10" s="619"/>
      <c r="CB10" s="619"/>
      <c r="CC10" s="619"/>
      <c r="CD10" s="619"/>
      <c r="CE10" s="619"/>
      <c r="CF10" s="619"/>
      <c r="CG10" s="619"/>
      <c r="CH10" s="619"/>
      <c r="CI10" s="619"/>
      <c r="CJ10" s="1775"/>
      <c r="CK10" s="1373"/>
    </row>
    <row r="11" spans="1:89">
      <c r="A11" s="53">
        <v>1994.02</v>
      </c>
      <c r="B11" s="613">
        <v>65.001082999205195</v>
      </c>
      <c r="C11" s="3532">
        <v>80.555718427173844</v>
      </c>
      <c r="D11" s="360"/>
      <c r="E11" s="361"/>
      <c r="F11" s="2657"/>
      <c r="G11" s="2657"/>
      <c r="H11" s="2657"/>
      <c r="I11" s="2657"/>
      <c r="J11" s="2657"/>
      <c r="K11" s="2657"/>
      <c r="L11" s="2657"/>
      <c r="M11" s="2657"/>
      <c r="N11" s="2657"/>
      <c r="O11" s="2657"/>
      <c r="P11" s="2657"/>
      <c r="Q11" s="2657"/>
      <c r="R11" s="2658"/>
      <c r="S11" s="3649"/>
      <c r="T11" s="3649"/>
      <c r="U11" s="3649"/>
      <c r="V11" s="3649"/>
      <c r="W11" s="3649"/>
      <c r="X11" s="3649"/>
      <c r="Y11" s="3649"/>
      <c r="Z11" s="3649"/>
      <c r="AA11" s="3649"/>
      <c r="AB11" s="3649"/>
      <c r="AC11" s="3649"/>
      <c r="AD11" s="3649"/>
      <c r="AE11" s="3649"/>
      <c r="AF11" s="3649"/>
      <c r="AG11" s="3649"/>
      <c r="AH11" s="3649"/>
      <c r="AI11" s="3649"/>
      <c r="AJ11" s="3649"/>
      <c r="AK11" s="3649"/>
      <c r="AL11" s="3649"/>
      <c r="AM11" s="3649"/>
      <c r="AN11" s="3649"/>
      <c r="AO11" s="3649"/>
      <c r="AP11" s="3649"/>
      <c r="AQ11" s="3649"/>
      <c r="AR11" s="3649"/>
      <c r="AS11" s="3649"/>
      <c r="AT11" s="3649"/>
      <c r="AU11" s="3649"/>
      <c r="AV11" s="3649"/>
      <c r="AW11" s="3649"/>
      <c r="AX11" s="3649"/>
      <c r="AY11" s="3649"/>
      <c r="AZ11" s="3649"/>
      <c r="BA11" s="3649"/>
      <c r="BB11" s="3649"/>
      <c r="BC11" s="3649"/>
      <c r="BD11" s="3649"/>
      <c r="BE11" s="3649"/>
      <c r="BF11" s="3649"/>
      <c r="BG11" s="3649"/>
      <c r="BH11" s="3649"/>
      <c r="BI11" s="3649"/>
      <c r="BJ11" s="3649"/>
      <c r="BK11" s="3649"/>
      <c r="BL11" s="3649"/>
      <c r="BM11" s="3649"/>
      <c r="BN11" s="3649"/>
      <c r="BO11" s="3649"/>
      <c r="BP11" s="3649"/>
      <c r="BQ11" s="3649"/>
      <c r="BR11" s="3649"/>
      <c r="BS11" s="3649"/>
      <c r="BT11" s="3649"/>
      <c r="BU11" s="3649"/>
      <c r="BV11" s="3649"/>
      <c r="BW11" s="3649"/>
      <c r="BX11" s="3649"/>
      <c r="BY11" s="3649"/>
      <c r="BZ11" s="3649"/>
      <c r="CA11" s="3649"/>
      <c r="CB11" s="3649"/>
      <c r="CC11" s="3649"/>
      <c r="CD11" s="3649"/>
      <c r="CE11" s="3649"/>
      <c r="CF11" s="3649"/>
      <c r="CG11" s="3649"/>
      <c r="CH11" s="3649"/>
      <c r="CI11" s="3649"/>
      <c r="CJ11" s="2977"/>
      <c r="CK11" s="166"/>
    </row>
    <row r="12" spans="1:89">
      <c r="A12" s="53">
        <v>1994.03</v>
      </c>
      <c r="B12" s="613">
        <v>80.498715075094012</v>
      </c>
      <c r="C12" s="3532">
        <v>80.337603651013495</v>
      </c>
      <c r="D12" s="360"/>
      <c r="E12" s="361"/>
      <c r="F12" s="2657"/>
      <c r="G12" s="2657"/>
      <c r="H12" s="2657"/>
      <c r="I12" s="2657"/>
      <c r="J12" s="2657"/>
      <c r="K12" s="2657"/>
      <c r="L12" s="2657"/>
      <c r="M12" s="2657"/>
      <c r="N12" s="2657"/>
      <c r="O12" s="2657"/>
      <c r="P12" s="2657"/>
      <c r="Q12" s="2657"/>
      <c r="R12" s="2658"/>
      <c r="S12" s="3649"/>
      <c r="T12" s="3649"/>
      <c r="U12" s="3649"/>
      <c r="V12" s="3649"/>
      <c r="W12" s="3649"/>
      <c r="X12" s="3649"/>
      <c r="Y12" s="3649"/>
      <c r="Z12" s="3649"/>
      <c r="AA12" s="3649"/>
      <c r="AB12" s="3649"/>
      <c r="AC12" s="3649"/>
      <c r="AD12" s="3649"/>
      <c r="AE12" s="3649"/>
      <c r="AF12" s="3649"/>
      <c r="AG12" s="3649"/>
      <c r="AH12" s="3649"/>
      <c r="AI12" s="3649"/>
      <c r="AJ12" s="3649"/>
      <c r="AK12" s="3649"/>
      <c r="AL12" s="3649"/>
      <c r="AM12" s="3649"/>
      <c r="AN12" s="3649"/>
      <c r="AO12" s="3649"/>
      <c r="AP12" s="3649"/>
      <c r="AQ12" s="3649"/>
      <c r="AR12" s="3649"/>
      <c r="AS12" s="3649"/>
      <c r="AT12" s="3649"/>
      <c r="AU12" s="3649"/>
      <c r="AV12" s="3649"/>
      <c r="AW12" s="3649"/>
      <c r="AX12" s="3649"/>
      <c r="AY12" s="3649"/>
      <c r="AZ12" s="3649"/>
      <c r="BA12" s="3649"/>
      <c r="BB12" s="3649"/>
      <c r="BC12" s="3649"/>
      <c r="BD12" s="3649"/>
      <c r="BE12" s="3649"/>
      <c r="BF12" s="3649"/>
      <c r="BG12" s="3649"/>
      <c r="BH12" s="3649"/>
      <c r="BI12" s="3649"/>
      <c r="BJ12" s="3649"/>
      <c r="BK12" s="3649"/>
      <c r="BL12" s="3649"/>
      <c r="BM12" s="3649"/>
      <c r="BN12" s="3649"/>
      <c r="BO12" s="3649"/>
      <c r="BP12" s="3649"/>
      <c r="BQ12" s="3649"/>
      <c r="BR12" s="3649"/>
      <c r="BS12" s="3649"/>
      <c r="BT12" s="3649"/>
      <c r="BU12" s="3649"/>
      <c r="BV12" s="3649"/>
      <c r="BW12" s="3649"/>
      <c r="BX12" s="3649"/>
      <c r="BY12" s="3649"/>
      <c r="BZ12" s="3649"/>
      <c r="CA12" s="3649"/>
      <c r="CB12" s="3649"/>
      <c r="CC12" s="3649"/>
      <c r="CD12" s="3649"/>
      <c r="CE12" s="3649"/>
      <c r="CF12" s="3649"/>
      <c r="CG12" s="3649"/>
      <c r="CH12" s="3649"/>
      <c r="CI12" s="3649"/>
      <c r="CJ12" s="2977"/>
      <c r="CK12" s="166"/>
    </row>
    <row r="13" spans="1:89">
      <c r="A13" s="53">
        <v>1994.04</v>
      </c>
      <c r="B13" s="613">
        <v>78.626170745497291</v>
      </c>
      <c r="C13" s="3532">
        <v>81.215891514894452</v>
      </c>
      <c r="D13" s="360"/>
      <c r="E13" s="361"/>
      <c r="F13" s="2657"/>
      <c r="G13" s="2657"/>
      <c r="H13" s="2657"/>
      <c r="I13" s="2657"/>
      <c r="J13" s="2657"/>
      <c r="K13" s="2657"/>
      <c r="L13" s="2657"/>
      <c r="M13" s="2657"/>
      <c r="N13" s="2657"/>
      <c r="O13" s="2657"/>
      <c r="P13" s="2657"/>
      <c r="Q13" s="2657"/>
      <c r="R13" s="2658"/>
      <c r="S13" s="3649"/>
      <c r="T13" s="3649"/>
      <c r="U13" s="3649"/>
      <c r="V13" s="3649"/>
      <c r="W13" s="3649"/>
      <c r="X13" s="3649"/>
      <c r="Y13" s="3649"/>
      <c r="Z13" s="3649"/>
      <c r="AA13" s="3649"/>
      <c r="AB13" s="3649"/>
      <c r="AC13" s="3649"/>
      <c r="AD13" s="3649"/>
      <c r="AE13" s="3649"/>
      <c r="AF13" s="3649"/>
      <c r="AG13" s="3649"/>
      <c r="AH13" s="3649"/>
      <c r="AI13" s="3649"/>
      <c r="AJ13" s="3649"/>
      <c r="AK13" s="3649"/>
      <c r="AL13" s="3649"/>
      <c r="AM13" s="3649"/>
      <c r="AN13" s="3649"/>
      <c r="AO13" s="3649"/>
      <c r="AP13" s="3649"/>
      <c r="AQ13" s="3649"/>
      <c r="AR13" s="3649"/>
      <c r="AS13" s="3649"/>
      <c r="AT13" s="3649"/>
      <c r="AU13" s="3649"/>
      <c r="AV13" s="3649"/>
      <c r="AW13" s="3649"/>
      <c r="AX13" s="3649"/>
      <c r="AY13" s="3649"/>
      <c r="AZ13" s="3649"/>
      <c r="BA13" s="3649"/>
      <c r="BB13" s="3649"/>
      <c r="BC13" s="3649"/>
      <c r="BD13" s="3649"/>
      <c r="BE13" s="3649"/>
      <c r="BF13" s="3649"/>
      <c r="BG13" s="3649"/>
      <c r="BH13" s="3649"/>
      <c r="BI13" s="3649"/>
      <c r="BJ13" s="3649"/>
      <c r="BK13" s="3649"/>
      <c r="BL13" s="3649"/>
      <c r="BM13" s="3649"/>
      <c r="BN13" s="3649"/>
      <c r="BO13" s="3649"/>
      <c r="BP13" s="3649"/>
      <c r="BQ13" s="3649"/>
      <c r="BR13" s="3649"/>
      <c r="BS13" s="3649"/>
      <c r="BT13" s="3649"/>
      <c r="BU13" s="3649"/>
      <c r="BV13" s="3649"/>
      <c r="BW13" s="3649"/>
      <c r="BX13" s="3649"/>
      <c r="BY13" s="3649"/>
      <c r="BZ13" s="3649"/>
      <c r="CA13" s="3649"/>
      <c r="CB13" s="3649"/>
      <c r="CC13" s="3649"/>
      <c r="CD13" s="3649"/>
      <c r="CE13" s="3649"/>
      <c r="CF13" s="3649"/>
      <c r="CG13" s="3649"/>
      <c r="CH13" s="3649"/>
      <c r="CI13" s="3649"/>
      <c r="CJ13" s="2977"/>
      <c r="CK13" s="166"/>
    </row>
    <row r="14" spans="1:89">
      <c r="A14" s="53">
        <v>1994.05</v>
      </c>
      <c r="B14" s="613">
        <v>80.9746103190799</v>
      </c>
      <c r="C14" s="3532">
        <v>81.605819065738572</v>
      </c>
      <c r="D14" s="360"/>
      <c r="E14" s="361"/>
      <c r="F14" s="2657"/>
      <c r="G14" s="2657"/>
      <c r="H14" s="2657"/>
      <c r="I14" s="2657"/>
      <c r="J14" s="2657"/>
      <c r="K14" s="2657"/>
      <c r="L14" s="2657"/>
      <c r="M14" s="2657"/>
      <c r="N14" s="2657"/>
      <c r="O14" s="2657"/>
      <c r="P14" s="2657"/>
      <c r="Q14" s="2657"/>
      <c r="R14" s="2658"/>
      <c r="S14" s="3649"/>
      <c r="T14" s="3649"/>
      <c r="U14" s="3649"/>
      <c r="V14" s="3649"/>
      <c r="W14" s="3649"/>
      <c r="X14" s="3649"/>
      <c r="Y14" s="3649"/>
      <c r="Z14" s="3649"/>
      <c r="AA14" s="3649"/>
      <c r="AB14" s="3649"/>
      <c r="AC14" s="3649"/>
      <c r="AD14" s="3649"/>
      <c r="AE14" s="3649"/>
      <c r="AF14" s="3649"/>
      <c r="AG14" s="3649"/>
      <c r="AH14" s="3649"/>
      <c r="AI14" s="3649"/>
      <c r="AJ14" s="3649"/>
      <c r="AK14" s="3649"/>
      <c r="AL14" s="3649"/>
      <c r="AM14" s="3649"/>
      <c r="AN14" s="3649"/>
      <c r="AO14" s="3649"/>
      <c r="AP14" s="3649"/>
      <c r="AQ14" s="3649"/>
      <c r="AR14" s="3649"/>
      <c r="AS14" s="3649"/>
      <c r="AT14" s="3649"/>
      <c r="AU14" s="3649"/>
      <c r="AV14" s="3649"/>
      <c r="AW14" s="3649"/>
      <c r="AX14" s="3649"/>
      <c r="AY14" s="3649"/>
      <c r="AZ14" s="3649"/>
      <c r="BA14" s="3649"/>
      <c r="BB14" s="3649"/>
      <c r="BC14" s="3649"/>
      <c r="BD14" s="3649"/>
      <c r="BE14" s="3649"/>
      <c r="BF14" s="3649"/>
      <c r="BG14" s="3649"/>
      <c r="BH14" s="3649"/>
      <c r="BI14" s="3649"/>
      <c r="BJ14" s="3649"/>
      <c r="BK14" s="3649"/>
      <c r="BL14" s="3649"/>
      <c r="BM14" s="3649"/>
      <c r="BN14" s="3649"/>
      <c r="BO14" s="3649"/>
      <c r="BP14" s="3649"/>
      <c r="BQ14" s="3649"/>
      <c r="BR14" s="3649"/>
      <c r="BS14" s="3649"/>
      <c r="BT14" s="3649"/>
      <c r="BU14" s="3649"/>
      <c r="BV14" s="3649"/>
      <c r="BW14" s="3649"/>
      <c r="BX14" s="3649"/>
      <c r="BY14" s="3649"/>
      <c r="BZ14" s="3649"/>
      <c r="CA14" s="3649"/>
      <c r="CB14" s="3649"/>
      <c r="CC14" s="3649"/>
      <c r="CD14" s="3649"/>
      <c r="CE14" s="3649"/>
      <c r="CF14" s="3649"/>
      <c r="CG14" s="3649"/>
      <c r="CH14" s="3649"/>
      <c r="CI14" s="3649"/>
      <c r="CJ14" s="2977"/>
      <c r="CK14" s="166"/>
    </row>
    <row r="15" spans="1:89">
      <c r="A15" s="53">
        <v>1994.06</v>
      </c>
      <c r="B15" s="613">
        <v>78.036474464906064</v>
      </c>
      <c r="C15" s="3532">
        <v>80.396413212303671</v>
      </c>
      <c r="D15" s="360"/>
      <c r="E15" s="361"/>
      <c r="F15" s="2657"/>
      <c r="G15" s="2657"/>
      <c r="H15" s="2657"/>
      <c r="I15" s="2657"/>
      <c r="J15" s="2657"/>
      <c r="K15" s="2657"/>
      <c r="L15" s="2657"/>
      <c r="M15" s="2657"/>
      <c r="N15" s="2657"/>
      <c r="O15" s="2657"/>
      <c r="P15" s="2657"/>
      <c r="Q15" s="2657"/>
      <c r="R15" s="2658"/>
      <c r="S15" s="3649"/>
      <c r="T15" s="3649"/>
      <c r="U15" s="3649"/>
      <c r="V15" s="3649"/>
      <c r="W15" s="3649"/>
      <c r="X15" s="3649"/>
      <c r="Y15" s="3649"/>
      <c r="Z15" s="3649"/>
      <c r="AA15" s="3649"/>
      <c r="AB15" s="3649"/>
      <c r="AC15" s="3649"/>
      <c r="AD15" s="3649"/>
      <c r="AE15" s="3649"/>
      <c r="AF15" s="3649"/>
      <c r="AG15" s="3649"/>
      <c r="AH15" s="3649"/>
      <c r="AI15" s="3649"/>
      <c r="AJ15" s="3649"/>
      <c r="AK15" s="3649"/>
      <c r="AL15" s="3649"/>
      <c r="AM15" s="3649"/>
      <c r="AN15" s="3649"/>
      <c r="AO15" s="3649"/>
      <c r="AP15" s="3649"/>
      <c r="AQ15" s="3649"/>
      <c r="AR15" s="3649"/>
      <c r="AS15" s="3649"/>
      <c r="AT15" s="3649"/>
      <c r="AU15" s="3649"/>
      <c r="AV15" s="3649"/>
      <c r="AW15" s="3649"/>
      <c r="AX15" s="3649"/>
      <c r="AY15" s="3649"/>
      <c r="AZ15" s="3649"/>
      <c r="BA15" s="3649"/>
      <c r="BB15" s="3649"/>
      <c r="BC15" s="3649"/>
      <c r="BD15" s="3649"/>
      <c r="BE15" s="3649"/>
      <c r="BF15" s="3649"/>
      <c r="BG15" s="3649"/>
      <c r="BH15" s="3649"/>
      <c r="BI15" s="3649"/>
      <c r="BJ15" s="3649"/>
      <c r="BK15" s="3649"/>
      <c r="BL15" s="3649"/>
      <c r="BM15" s="3649"/>
      <c r="BN15" s="3649"/>
      <c r="BO15" s="3649"/>
      <c r="BP15" s="3649"/>
      <c r="BQ15" s="3649"/>
      <c r="BR15" s="3649"/>
      <c r="BS15" s="3649"/>
      <c r="BT15" s="3649"/>
      <c r="BU15" s="3649"/>
      <c r="BV15" s="3649"/>
      <c r="BW15" s="3649"/>
      <c r="BX15" s="3649"/>
      <c r="BY15" s="3649"/>
      <c r="BZ15" s="3649"/>
      <c r="CA15" s="3649"/>
      <c r="CB15" s="3649"/>
      <c r="CC15" s="3649"/>
      <c r="CD15" s="3649"/>
      <c r="CE15" s="3649"/>
      <c r="CF15" s="3649"/>
      <c r="CG15" s="3649"/>
      <c r="CH15" s="3649"/>
      <c r="CI15" s="3649"/>
      <c r="CJ15" s="2977"/>
      <c r="CK15" s="166"/>
    </row>
    <row r="16" spans="1:89">
      <c r="A16" s="53">
        <v>1994.07</v>
      </c>
      <c r="B16" s="613">
        <v>82.009165197310125</v>
      </c>
      <c r="C16" s="3532">
        <v>80.389008773844623</v>
      </c>
      <c r="D16" s="360"/>
      <c r="E16" s="361"/>
      <c r="F16" s="2657"/>
      <c r="G16" s="2657"/>
      <c r="H16" s="2657"/>
      <c r="I16" s="2657"/>
      <c r="J16" s="2657"/>
      <c r="K16" s="2657"/>
      <c r="L16" s="2657"/>
      <c r="M16" s="2657"/>
      <c r="N16" s="2657"/>
      <c r="O16" s="2657"/>
      <c r="P16" s="2657"/>
      <c r="Q16" s="2657"/>
      <c r="R16" s="2658"/>
      <c r="S16" s="3649"/>
      <c r="T16" s="3649"/>
      <c r="U16" s="3649"/>
      <c r="V16" s="3649"/>
      <c r="W16" s="3649"/>
      <c r="X16" s="3649"/>
      <c r="Y16" s="3649"/>
      <c r="Z16" s="3649"/>
      <c r="AA16" s="3649"/>
      <c r="AB16" s="3649"/>
      <c r="AC16" s="3649"/>
      <c r="AD16" s="3649"/>
      <c r="AE16" s="3649"/>
      <c r="AF16" s="3649"/>
      <c r="AG16" s="3649"/>
      <c r="AH16" s="3649"/>
      <c r="AI16" s="3649"/>
      <c r="AJ16" s="3649"/>
      <c r="AK16" s="3649"/>
      <c r="AL16" s="3649"/>
      <c r="AM16" s="3649"/>
      <c r="AN16" s="3649"/>
      <c r="AO16" s="3649"/>
      <c r="AP16" s="3649"/>
      <c r="AQ16" s="3649"/>
      <c r="AR16" s="3649"/>
      <c r="AS16" s="3649"/>
      <c r="AT16" s="3649"/>
      <c r="AU16" s="3649"/>
      <c r="AV16" s="3649"/>
      <c r="AW16" s="3649"/>
      <c r="AX16" s="3649"/>
      <c r="AY16" s="3649"/>
      <c r="AZ16" s="3649"/>
      <c r="BA16" s="3649"/>
      <c r="BB16" s="3649"/>
      <c r="BC16" s="3649"/>
      <c r="BD16" s="3649"/>
      <c r="BE16" s="3649"/>
      <c r="BF16" s="3649"/>
      <c r="BG16" s="3649"/>
      <c r="BH16" s="3649"/>
      <c r="BI16" s="3649"/>
      <c r="BJ16" s="3649"/>
      <c r="BK16" s="3649"/>
      <c r="BL16" s="3649"/>
      <c r="BM16" s="3649"/>
      <c r="BN16" s="3649"/>
      <c r="BO16" s="3649"/>
      <c r="BP16" s="3649"/>
      <c r="BQ16" s="3649"/>
      <c r="BR16" s="3649"/>
      <c r="BS16" s="3649"/>
      <c r="BT16" s="3649"/>
      <c r="BU16" s="3649"/>
      <c r="BV16" s="3649"/>
      <c r="BW16" s="3649"/>
      <c r="BX16" s="3649"/>
      <c r="BY16" s="3649"/>
      <c r="BZ16" s="3649"/>
      <c r="CA16" s="3649"/>
      <c r="CB16" s="3649"/>
      <c r="CC16" s="3649"/>
      <c r="CD16" s="3649"/>
      <c r="CE16" s="3649"/>
      <c r="CF16" s="3649"/>
      <c r="CG16" s="3649"/>
      <c r="CH16" s="3649"/>
      <c r="CI16" s="3649"/>
      <c r="CJ16" s="2977"/>
      <c r="CK16" s="166"/>
    </row>
    <row r="17" spans="1:88">
      <c r="A17" s="53">
        <v>1994.08</v>
      </c>
      <c r="B17" s="613">
        <v>86.706044344475373</v>
      </c>
      <c r="C17" s="3532">
        <v>82.843986568359782</v>
      </c>
      <c r="D17" s="360"/>
      <c r="E17" s="361"/>
      <c r="F17" s="2657"/>
      <c r="G17" s="2657"/>
      <c r="H17" s="2657"/>
      <c r="I17" s="2657"/>
      <c r="J17" s="2657"/>
      <c r="K17" s="2657"/>
      <c r="L17" s="2657"/>
      <c r="M17" s="2657"/>
      <c r="N17" s="2657"/>
      <c r="O17" s="2657"/>
      <c r="P17" s="2657"/>
      <c r="Q17" s="2657"/>
      <c r="R17" s="2658"/>
      <c r="S17" s="3649"/>
      <c r="T17" s="3649"/>
      <c r="U17" s="3649"/>
      <c r="V17" s="3649"/>
      <c r="W17" s="3649"/>
      <c r="X17" s="3649"/>
      <c r="Y17" s="3649"/>
      <c r="Z17" s="3649"/>
      <c r="AA17" s="3649"/>
      <c r="AB17" s="3649"/>
      <c r="AC17" s="3649"/>
      <c r="AD17" s="3649"/>
      <c r="AE17" s="3649"/>
      <c r="AF17" s="3649"/>
      <c r="AG17" s="3649"/>
      <c r="AH17" s="3649"/>
      <c r="AI17" s="3649"/>
      <c r="AJ17" s="3649"/>
      <c r="AK17" s="3649"/>
      <c r="AL17" s="3649"/>
      <c r="AM17" s="3649"/>
      <c r="AN17" s="3649"/>
      <c r="AO17" s="3649"/>
      <c r="AP17" s="3649"/>
      <c r="AQ17" s="3649"/>
      <c r="AR17" s="3649"/>
      <c r="AS17" s="3649"/>
      <c r="AT17" s="3649"/>
      <c r="AU17" s="3649"/>
      <c r="AV17" s="3649"/>
      <c r="AW17" s="3649"/>
      <c r="AX17" s="3649"/>
      <c r="AY17" s="3649"/>
      <c r="AZ17" s="3649"/>
      <c r="BA17" s="3649"/>
      <c r="BB17" s="3649"/>
      <c r="BC17" s="3649"/>
      <c r="BD17" s="3649"/>
      <c r="BE17" s="3649"/>
      <c r="BF17" s="3649"/>
      <c r="BG17" s="3649"/>
      <c r="BH17" s="3649"/>
      <c r="BI17" s="3649"/>
      <c r="BJ17" s="3649"/>
      <c r="BK17" s="3649"/>
      <c r="BL17" s="3649"/>
      <c r="BM17" s="3649"/>
      <c r="BN17" s="3649"/>
      <c r="BO17" s="3649"/>
      <c r="BP17" s="3649"/>
      <c r="BQ17" s="3649"/>
      <c r="BR17" s="3649"/>
      <c r="BS17" s="3649"/>
      <c r="BT17" s="3649"/>
      <c r="BU17" s="3649"/>
      <c r="BV17" s="3649"/>
      <c r="BW17" s="3649"/>
      <c r="BX17" s="3649"/>
      <c r="BY17" s="3649"/>
      <c r="BZ17" s="3649"/>
      <c r="CA17" s="3649"/>
      <c r="CB17" s="3649"/>
      <c r="CC17" s="3649"/>
      <c r="CD17" s="3649"/>
      <c r="CE17" s="3649"/>
      <c r="CF17" s="3649"/>
      <c r="CG17" s="3649"/>
      <c r="CH17" s="3649"/>
      <c r="CI17" s="3649"/>
      <c r="CJ17" s="2977"/>
    </row>
    <row r="18" spans="1:88">
      <c r="A18" s="53">
        <v>1994.09</v>
      </c>
      <c r="B18" s="613">
        <v>86.819845381080697</v>
      </c>
      <c r="C18" s="3532">
        <v>82.697688100526321</v>
      </c>
      <c r="D18" s="360"/>
      <c r="E18" s="361"/>
      <c r="F18" s="2657"/>
      <c r="G18" s="2657"/>
      <c r="H18" s="2657"/>
      <c r="I18" s="2657"/>
      <c r="J18" s="2657"/>
      <c r="K18" s="2657"/>
      <c r="L18" s="2657"/>
      <c r="M18" s="2657"/>
      <c r="N18" s="2657"/>
      <c r="O18" s="2657"/>
      <c r="P18" s="2657"/>
      <c r="Q18" s="2657"/>
      <c r="R18" s="2658"/>
      <c r="S18" s="3649"/>
      <c r="T18" s="3649"/>
      <c r="U18" s="3649"/>
      <c r="V18" s="3649"/>
      <c r="W18" s="3649"/>
      <c r="X18" s="3649"/>
      <c r="Y18" s="3649"/>
      <c r="Z18" s="3649"/>
      <c r="AA18" s="3649"/>
      <c r="AB18" s="3649"/>
      <c r="AC18" s="3649"/>
      <c r="AD18" s="3649"/>
      <c r="AE18" s="3649"/>
      <c r="AF18" s="3649"/>
      <c r="AG18" s="3649"/>
      <c r="AH18" s="3649"/>
      <c r="AI18" s="3649"/>
      <c r="AJ18" s="3649"/>
      <c r="AK18" s="3649"/>
      <c r="AL18" s="3649"/>
      <c r="AM18" s="3649"/>
      <c r="AN18" s="3649"/>
      <c r="AO18" s="3649"/>
      <c r="AP18" s="3649"/>
      <c r="AQ18" s="3649"/>
      <c r="AR18" s="3649"/>
      <c r="AS18" s="3649"/>
      <c r="AT18" s="3649"/>
      <c r="AU18" s="3649"/>
      <c r="AV18" s="3649"/>
      <c r="AW18" s="3649"/>
      <c r="AX18" s="3649"/>
      <c r="AY18" s="3649"/>
      <c r="AZ18" s="3649"/>
      <c r="BA18" s="3649"/>
      <c r="BB18" s="3649"/>
      <c r="BC18" s="3649"/>
      <c r="BD18" s="3649"/>
      <c r="BE18" s="3649"/>
      <c r="BF18" s="3649"/>
      <c r="BG18" s="3649"/>
      <c r="BH18" s="3649"/>
      <c r="BI18" s="3649"/>
      <c r="BJ18" s="3649"/>
      <c r="BK18" s="3649"/>
      <c r="BL18" s="3649"/>
      <c r="BM18" s="3649"/>
      <c r="BN18" s="3649"/>
      <c r="BO18" s="3649"/>
      <c r="BP18" s="3649"/>
      <c r="BQ18" s="3649"/>
      <c r="BR18" s="3649"/>
      <c r="BS18" s="3649"/>
      <c r="BT18" s="3649"/>
      <c r="BU18" s="3649"/>
      <c r="BV18" s="3649"/>
      <c r="BW18" s="3649"/>
      <c r="BX18" s="3649"/>
      <c r="BY18" s="3649"/>
      <c r="BZ18" s="3649"/>
      <c r="CA18" s="3649"/>
      <c r="CB18" s="3649"/>
      <c r="CC18" s="3649"/>
      <c r="CD18" s="3649"/>
      <c r="CE18" s="3649"/>
      <c r="CF18" s="3649"/>
      <c r="CG18" s="3649"/>
      <c r="CH18" s="3649"/>
      <c r="CI18" s="3649"/>
      <c r="CJ18" s="2977"/>
    </row>
    <row r="19" spans="1:88">
      <c r="A19" s="53">
        <v>1994.1</v>
      </c>
      <c r="B19" s="613">
        <v>83.219594404839512</v>
      </c>
      <c r="C19" s="3532">
        <v>81.682504481831955</v>
      </c>
      <c r="D19" s="360"/>
      <c r="E19" s="361"/>
      <c r="F19" s="2657"/>
      <c r="G19" s="2657"/>
      <c r="H19" s="2657"/>
      <c r="I19" s="2657"/>
      <c r="J19" s="2657"/>
      <c r="K19" s="2657"/>
      <c r="L19" s="2657"/>
      <c r="M19" s="2657"/>
      <c r="N19" s="2657"/>
      <c r="O19" s="2657"/>
      <c r="P19" s="2657"/>
      <c r="Q19" s="2657"/>
      <c r="R19" s="2658"/>
      <c r="S19" s="3649"/>
      <c r="T19" s="3649"/>
      <c r="U19" s="3649"/>
      <c r="V19" s="3649"/>
      <c r="W19" s="3649"/>
      <c r="X19" s="3649"/>
      <c r="Y19" s="3649"/>
      <c r="Z19" s="3649"/>
      <c r="AA19" s="3649"/>
      <c r="AB19" s="3649"/>
      <c r="AC19" s="3649"/>
      <c r="AD19" s="3649"/>
      <c r="AE19" s="3649"/>
      <c r="AF19" s="3649"/>
      <c r="AG19" s="3649"/>
      <c r="AH19" s="3649"/>
      <c r="AI19" s="3649"/>
      <c r="AJ19" s="3649"/>
      <c r="AK19" s="3649"/>
      <c r="AL19" s="3649"/>
      <c r="AM19" s="3649"/>
      <c r="AN19" s="3649"/>
      <c r="AO19" s="3649"/>
      <c r="AP19" s="3649"/>
      <c r="AQ19" s="3649"/>
      <c r="AR19" s="3649"/>
      <c r="AS19" s="3649"/>
      <c r="AT19" s="3649"/>
      <c r="AU19" s="3649"/>
      <c r="AV19" s="3649"/>
      <c r="AW19" s="3649"/>
      <c r="AX19" s="3649"/>
      <c r="AY19" s="3649"/>
      <c r="AZ19" s="3649"/>
      <c r="BA19" s="3649"/>
      <c r="BB19" s="3649"/>
      <c r="BC19" s="3649"/>
      <c r="BD19" s="3649"/>
      <c r="BE19" s="3649"/>
      <c r="BF19" s="3649"/>
      <c r="BG19" s="3649"/>
      <c r="BH19" s="3649"/>
      <c r="BI19" s="3649"/>
      <c r="BJ19" s="3649"/>
      <c r="BK19" s="3649"/>
      <c r="BL19" s="3649"/>
      <c r="BM19" s="3649"/>
      <c r="BN19" s="3649"/>
      <c r="BO19" s="3649"/>
      <c r="BP19" s="3649"/>
      <c r="BQ19" s="3649"/>
      <c r="BR19" s="3649"/>
      <c r="BS19" s="3649"/>
      <c r="BT19" s="3649"/>
      <c r="BU19" s="3649"/>
      <c r="BV19" s="3649"/>
      <c r="BW19" s="3649"/>
      <c r="BX19" s="3649"/>
      <c r="BY19" s="3649"/>
      <c r="BZ19" s="3649"/>
      <c r="CA19" s="3649"/>
      <c r="CB19" s="3649"/>
      <c r="CC19" s="3649"/>
      <c r="CD19" s="3649"/>
      <c r="CE19" s="3649"/>
      <c r="CF19" s="3649"/>
      <c r="CG19" s="3649"/>
      <c r="CH19" s="3649"/>
      <c r="CI19" s="3649"/>
      <c r="CJ19" s="2977"/>
    </row>
    <row r="20" spans="1:88">
      <c r="A20" s="53">
        <v>1994.11</v>
      </c>
      <c r="B20" s="613">
        <v>84.336913673328155</v>
      </c>
      <c r="C20" s="3532">
        <v>83.447330938326814</v>
      </c>
      <c r="D20" s="360"/>
      <c r="E20" s="361"/>
      <c r="F20" s="2657"/>
      <c r="G20" s="2657"/>
      <c r="H20" s="2657"/>
      <c r="I20" s="2657"/>
      <c r="J20" s="2657"/>
      <c r="K20" s="2657"/>
      <c r="L20" s="2657"/>
      <c r="M20" s="2657"/>
      <c r="N20" s="2657"/>
      <c r="O20" s="2657"/>
      <c r="P20" s="2657"/>
      <c r="Q20" s="2657"/>
      <c r="R20" s="2658"/>
      <c r="S20" s="3649"/>
      <c r="T20" s="3649"/>
      <c r="U20" s="3649"/>
      <c r="V20" s="3649"/>
      <c r="W20" s="3649"/>
      <c r="X20" s="3649"/>
      <c r="Y20" s="3649"/>
      <c r="Z20" s="3649"/>
      <c r="AA20" s="3649"/>
      <c r="AB20" s="3649"/>
      <c r="AC20" s="3649"/>
      <c r="AD20" s="3649"/>
      <c r="AE20" s="3649"/>
      <c r="AF20" s="3649"/>
      <c r="AG20" s="3649"/>
      <c r="AH20" s="3649"/>
      <c r="AI20" s="3649"/>
      <c r="AJ20" s="3649"/>
      <c r="AK20" s="3649"/>
      <c r="AL20" s="3649"/>
      <c r="AM20" s="3649"/>
      <c r="AN20" s="3649"/>
      <c r="AO20" s="3649"/>
      <c r="AP20" s="3649"/>
      <c r="AQ20" s="3649"/>
      <c r="AR20" s="3649"/>
      <c r="AS20" s="3649"/>
      <c r="AT20" s="3649"/>
      <c r="AU20" s="3649"/>
      <c r="AV20" s="3649"/>
      <c r="AW20" s="3649"/>
      <c r="AX20" s="3649"/>
      <c r="AY20" s="3649"/>
      <c r="AZ20" s="3649"/>
      <c r="BA20" s="3649"/>
      <c r="BB20" s="3649"/>
      <c r="BC20" s="3649"/>
      <c r="BD20" s="3649"/>
      <c r="BE20" s="3649"/>
      <c r="BF20" s="3649"/>
      <c r="BG20" s="3649"/>
      <c r="BH20" s="3649"/>
      <c r="BI20" s="3649"/>
      <c r="BJ20" s="3649"/>
      <c r="BK20" s="3649"/>
      <c r="BL20" s="3649"/>
      <c r="BM20" s="3649"/>
      <c r="BN20" s="3649"/>
      <c r="BO20" s="3649"/>
      <c r="BP20" s="3649"/>
      <c r="BQ20" s="3649"/>
      <c r="BR20" s="3649"/>
      <c r="BS20" s="3649"/>
      <c r="BT20" s="3649"/>
      <c r="BU20" s="3649"/>
      <c r="BV20" s="3649"/>
      <c r="BW20" s="3649"/>
      <c r="BX20" s="3649"/>
      <c r="BY20" s="3649"/>
      <c r="BZ20" s="3649"/>
      <c r="CA20" s="3649"/>
      <c r="CB20" s="3649"/>
      <c r="CC20" s="3649"/>
      <c r="CD20" s="3649"/>
      <c r="CE20" s="3649"/>
      <c r="CF20" s="3649"/>
      <c r="CG20" s="3649"/>
      <c r="CH20" s="3649"/>
      <c r="CI20" s="3649"/>
      <c r="CJ20" s="2977"/>
    </row>
    <row r="21" spans="1:88">
      <c r="A21" s="53">
        <v>1994.12</v>
      </c>
      <c r="B21" s="613">
        <v>79.453814648081476</v>
      </c>
      <c r="C21" s="3532">
        <v>83.699438799809101</v>
      </c>
      <c r="D21" s="360"/>
      <c r="E21" s="361"/>
      <c r="F21" s="2657"/>
      <c r="G21" s="2657"/>
      <c r="H21" s="2657"/>
      <c r="I21" s="2657"/>
      <c r="J21" s="2657"/>
      <c r="K21" s="2657"/>
      <c r="L21" s="2657"/>
      <c r="M21" s="2657"/>
      <c r="N21" s="2657"/>
      <c r="O21" s="2657"/>
      <c r="P21" s="2657"/>
      <c r="Q21" s="2657"/>
      <c r="R21" s="2658"/>
      <c r="S21" s="3649"/>
      <c r="T21" s="3649"/>
      <c r="U21" s="3649"/>
      <c r="V21" s="3649"/>
      <c r="W21" s="3649"/>
      <c r="X21" s="3649"/>
      <c r="Y21" s="3649"/>
      <c r="Z21" s="3649"/>
      <c r="AA21" s="3649"/>
      <c r="AB21" s="3649"/>
      <c r="AC21" s="3649"/>
      <c r="AD21" s="3649"/>
      <c r="AE21" s="3649"/>
      <c r="AF21" s="3649"/>
      <c r="AG21" s="3649"/>
      <c r="AH21" s="3649"/>
      <c r="AI21" s="3649"/>
      <c r="AJ21" s="3649"/>
      <c r="AK21" s="3649"/>
      <c r="AL21" s="3649"/>
      <c r="AM21" s="3649"/>
      <c r="AN21" s="3649"/>
      <c r="AO21" s="3649"/>
      <c r="AP21" s="3649"/>
      <c r="AQ21" s="3649"/>
      <c r="AR21" s="3649"/>
      <c r="AS21" s="3649"/>
      <c r="AT21" s="3649"/>
      <c r="AU21" s="3649"/>
      <c r="AV21" s="3649"/>
      <c r="AW21" s="3649"/>
      <c r="AX21" s="3649"/>
      <c r="AY21" s="3649"/>
      <c r="AZ21" s="3649"/>
      <c r="BA21" s="3649"/>
      <c r="BB21" s="3649"/>
      <c r="BC21" s="3649"/>
      <c r="BD21" s="3649"/>
      <c r="BE21" s="3649"/>
      <c r="BF21" s="3649"/>
      <c r="BG21" s="3649"/>
      <c r="BH21" s="3649"/>
      <c r="BI21" s="3649"/>
      <c r="BJ21" s="3649"/>
      <c r="BK21" s="3649"/>
      <c r="BL21" s="3649"/>
      <c r="BM21" s="3649"/>
      <c r="BN21" s="3649"/>
      <c r="BO21" s="3649"/>
      <c r="BP21" s="3649"/>
      <c r="BQ21" s="3649"/>
      <c r="BR21" s="3649"/>
      <c r="BS21" s="3649"/>
      <c r="BT21" s="3649"/>
      <c r="BU21" s="3649"/>
      <c r="BV21" s="3649"/>
      <c r="BW21" s="3649"/>
      <c r="BX21" s="3649"/>
      <c r="BY21" s="3649"/>
      <c r="BZ21" s="3649"/>
      <c r="CA21" s="3649"/>
      <c r="CB21" s="3649"/>
      <c r="CC21" s="3649"/>
      <c r="CD21" s="3649"/>
      <c r="CE21" s="3649"/>
      <c r="CF21" s="3649"/>
      <c r="CG21" s="3649"/>
      <c r="CH21" s="3649"/>
      <c r="CI21" s="3649"/>
      <c r="CJ21" s="2977"/>
    </row>
    <row r="22" spans="1:88">
      <c r="A22" s="53">
        <v>1995.01</v>
      </c>
      <c r="B22" s="613">
        <v>71.208412268586557</v>
      </c>
      <c r="C22" s="3532">
        <v>81.43767302503052</v>
      </c>
      <c r="D22" s="360"/>
      <c r="E22" s="361"/>
      <c r="F22" s="2657"/>
      <c r="G22" s="2657"/>
      <c r="H22" s="2657"/>
      <c r="I22" s="2657"/>
      <c r="J22" s="2657"/>
      <c r="K22" s="2657"/>
      <c r="L22" s="2657"/>
      <c r="M22" s="2657"/>
      <c r="N22" s="2657"/>
      <c r="O22" s="2657"/>
      <c r="P22" s="2657"/>
      <c r="Q22" s="2657"/>
      <c r="R22" s="2658"/>
      <c r="S22" s="3649"/>
      <c r="T22" s="3649"/>
      <c r="U22" s="3649"/>
      <c r="V22" s="3649"/>
      <c r="W22" s="3649"/>
      <c r="X22" s="3649"/>
      <c r="Y22" s="3649"/>
      <c r="Z22" s="3649"/>
      <c r="AA22" s="3649"/>
      <c r="AB22" s="3649"/>
      <c r="AC22" s="3649"/>
      <c r="AD22" s="3649"/>
      <c r="AE22" s="3649"/>
      <c r="AF22" s="3649"/>
      <c r="AG22" s="3649"/>
      <c r="AH22" s="3649"/>
      <c r="AI22" s="3649"/>
      <c r="AJ22" s="3649"/>
      <c r="AK22" s="3649"/>
      <c r="AL22" s="3649"/>
      <c r="AM22" s="3649"/>
      <c r="AN22" s="3649"/>
      <c r="AO22" s="3649"/>
      <c r="AP22" s="3649"/>
      <c r="AQ22" s="3649"/>
      <c r="AR22" s="3649"/>
      <c r="AS22" s="3649"/>
      <c r="AT22" s="3649"/>
      <c r="AU22" s="3649"/>
      <c r="AV22" s="3649"/>
      <c r="AW22" s="3649"/>
      <c r="AX22" s="3649"/>
      <c r="AY22" s="3649"/>
      <c r="AZ22" s="3649"/>
      <c r="BA22" s="3649"/>
      <c r="BB22" s="3649"/>
      <c r="BC22" s="3649"/>
      <c r="BD22" s="3649"/>
      <c r="BE22" s="3649"/>
      <c r="BF22" s="3649"/>
      <c r="BG22" s="3649"/>
      <c r="BH22" s="3649"/>
      <c r="BI22" s="3649"/>
      <c r="BJ22" s="3649"/>
      <c r="BK22" s="3649"/>
      <c r="BL22" s="3649"/>
      <c r="BM22" s="3649"/>
      <c r="BN22" s="3649"/>
      <c r="BO22" s="3649"/>
      <c r="BP22" s="3649"/>
      <c r="BQ22" s="3649"/>
      <c r="BR22" s="3649"/>
      <c r="BS22" s="3649"/>
      <c r="BT22" s="3649"/>
      <c r="BU22" s="3649"/>
      <c r="BV22" s="3649"/>
      <c r="BW22" s="3649"/>
      <c r="BX22" s="3649"/>
      <c r="BY22" s="3649"/>
      <c r="BZ22" s="3649"/>
      <c r="CA22" s="3649"/>
      <c r="CB22" s="3649"/>
      <c r="CC22" s="3649"/>
      <c r="CD22" s="3649"/>
      <c r="CE22" s="3649"/>
      <c r="CF22" s="3649"/>
      <c r="CG22" s="3649"/>
      <c r="CH22" s="3649"/>
      <c r="CI22" s="3649"/>
      <c r="CJ22" s="2977"/>
    </row>
    <row r="23" spans="1:88">
      <c r="A23" s="53">
        <v>1995.02</v>
      </c>
      <c r="B23" s="613">
        <v>72.263658244381389</v>
      </c>
      <c r="C23" s="3532">
        <v>81.512242186191457</v>
      </c>
      <c r="D23" s="360"/>
      <c r="E23" s="361"/>
      <c r="F23" s="2657"/>
      <c r="G23" s="2657"/>
      <c r="H23" s="2657"/>
      <c r="I23" s="2657"/>
      <c r="J23" s="2657"/>
      <c r="K23" s="2657"/>
      <c r="L23" s="2657"/>
      <c r="M23" s="2657"/>
      <c r="N23" s="2657"/>
      <c r="O23" s="2657"/>
      <c r="P23" s="2657"/>
      <c r="Q23" s="2657"/>
      <c r="R23" s="2658"/>
      <c r="S23" s="3649"/>
      <c r="T23" s="3649"/>
      <c r="U23" s="3649"/>
      <c r="V23" s="3649"/>
      <c r="W23" s="3649"/>
      <c r="X23" s="3649"/>
      <c r="Y23" s="3649"/>
      <c r="Z23" s="3649"/>
      <c r="AA23" s="3649"/>
      <c r="AB23" s="3649"/>
      <c r="AC23" s="3649"/>
      <c r="AD23" s="3649"/>
      <c r="AE23" s="3649"/>
      <c r="AF23" s="3649"/>
      <c r="AG23" s="3649"/>
      <c r="AH23" s="3649"/>
      <c r="AI23" s="3649"/>
      <c r="AJ23" s="3649"/>
      <c r="AK23" s="3649"/>
      <c r="AL23" s="3649"/>
      <c r="AM23" s="3649"/>
      <c r="AN23" s="3649"/>
      <c r="AO23" s="3649"/>
      <c r="AP23" s="3649"/>
      <c r="AQ23" s="3649"/>
      <c r="AR23" s="3649"/>
      <c r="AS23" s="3649"/>
      <c r="AT23" s="3649"/>
      <c r="AU23" s="3649"/>
      <c r="AV23" s="3649"/>
      <c r="AW23" s="3649"/>
      <c r="AX23" s="3649"/>
      <c r="AY23" s="3649"/>
      <c r="AZ23" s="3649"/>
      <c r="BA23" s="3649"/>
      <c r="BB23" s="3649"/>
      <c r="BC23" s="3649"/>
      <c r="BD23" s="3649"/>
      <c r="BE23" s="3649"/>
      <c r="BF23" s="3649"/>
      <c r="BG23" s="3649"/>
      <c r="BH23" s="3649"/>
      <c r="BI23" s="3649"/>
      <c r="BJ23" s="3649"/>
      <c r="BK23" s="3649"/>
      <c r="BL23" s="3649"/>
      <c r="BM23" s="3649"/>
      <c r="BN23" s="3649"/>
      <c r="BO23" s="3649"/>
      <c r="BP23" s="3649"/>
      <c r="BQ23" s="3649"/>
      <c r="BR23" s="3649"/>
      <c r="BS23" s="3649"/>
      <c r="BT23" s="3649"/>
      <c r="BU23" s="3649"/>
      <c r="BV23" s="3649"/>
      <c r="BW23" s="3649"/>
      <c r="BX23" s="3649"/>
      <c r="BY23" s="3649"/>
      <c r="BZ23" s="3649"/>
      <c r="CA23" s="3649"/>
      <c r="CB23" s="3649"/>
      <c r="CC23" s="3649"/>
      <c r="CD23" s="3649"/>
      <c r="CE23" s="3649"/>
      <c r="CF23" s="3649"/>
      <c r="CG23" s="3649"/>
      <c r="CH23" s="3649"/>
      <c r="CI23" s="3649"/>
      <c r="CJ23" s="2977"/>
    </row>
    <row r="24" spans="1:88">
      <c r="A24" s="53">
        <v>1995.03</v>
      </c>
      <c r="B24" s="613">
        <v>81.233249038637467</v>
      </c>
      <c r="C24" s="3532">
        <v>81.39192296110005</v>
      </c>
      <c r="D24" s="360"/>
      <c r="E24" s="361"/>
      <c r="F24" s="2657"/>
      <c r="G24" s="2657"/>
      <c r="H24" s="2657"/>
      <c r="I24" s="2657"/>
      <c r="J24" s="2657"/>
      <c r="K24" s="2657"/>
      <c r="L24" s="2657"/>
      <c r="M24" s="2657"/>
      <c r="N24" s="2657"/>
      <c r="O24" s="2657"/>
      <c r="P24" s="2657"/>
      <c r="Q24" s="2657"/>
      <c r="R24" s="2658"/>
      <c r="S24" s="3649"/>
      <c r="T24" s="3649"/>
      <c r="U24" s="3649"/>
      <c r="V24" s="3649"/>
      <c r="W24" s="3649"/>
      <c r="X24" s="3649"/>
      <c r="Y24" s="3649"/>
      <c r="Z24" s="3649"/>
      <c r="AA24" s="3649"/>
      <c r="AB24" s="3649"/>
      <c r="AC24" s="3649"/>
      <c r="AD24" s="3649"/>
      <c r="AE24" s="3649"/>
      <c r="AF24" s="3649"/>
      <c r="AG24" s="3649"/>
      <c r="AH24" s="3649"/>
      <c r="AI24" s="3649"/>
      <c r="AJ24" s="3649"/>
      <c r="AK24" s="3649"/>
      <c r="AL24" s="3649"/>
      <c r="AM24" s="3649"/>
      <c r="AN24" s="3649"/>
      <c r="AO24" s="3649"/>
      <c r="AP24" s="3649"/>
      <c r="AQ24" s="3649"/>
      <c r="AR24" s="3649"/>
      <c r="AS24" s="3649"/>
      <c r="AT24" s="3649"/>
      <c r="AU24" s="3649"/>
      <c r="AV24" s="3649"/>
      <c r="AW24" s="3649"/>
      <c r="AX24" s="3649"/>
      <c r="AY24" s="3649"/>
      <c r="AZ24" s="3649"/>
      <c r="BA24" s="3649"/>
      <c r="BB24" s="3649"/>
      <c r="BC24" s="3649"/>
      <c r="BD24" s="3649"/>
      <c r="BE24" s="3649"/>
      <c r="BF24" s="3649"/>
      <c r="BG24" s="3649"/>
      <c r="BH24" s="3649"/>
      <c r="BI24" s="3649"/>
      <c r="BJ24" s="3649"/>
      <c r="BK24" s="3649"/>
      <c r="BL24" s="3649"/>
      <c r="BM24" s="3649"/>
      <c r="BN24" s="3649"/>
      <c r="BO24" s="3649"/>
      <c r="BP24" s="3649"/>
      <c r="BQ24" s="3649"/>
      <c r="BR24" s="3649"/>
      <c r="BS24" s="3649"/>
      <c r="BT24" s="3649"/>
      <c r="BU24" s="3649"/>
      <c r="BV24" s="3649"/>
      <c r="BW24" s="3649"/>
      <c r="BX24" s="3649"/>
      <c r="BY24" s="3649"/>
      <c r="BZ24" s="3649"/>
      <c r="CA24" s="3649"/>
      <c r="CB24" s="3649"/>
      <c r="CC24" s="3649"/>
      <c r="CD24" s="3649"/>
      <c r="CE24" s="3649"/>
      <c r="CF24" s="3649"/>
      <c r="CG24" s="3649"/>
      <c r="CH24" s="3649"/>
      <c r="CI24" s="3649"/>
      <c r="CJ24" s="2977"/>
    </row>
    <row r="25" spans="1:88">
      <c r="A25" s="53">
        <v>1995.04</v>
      </c>
      <c r="B25" s="613">
        <v>70.763553670947573</v>
      </c>
      <c r="C25" s="3532">
        <v>79.488748474207</v>
      </c>
      <c r="D25" s="360"/>
      <c r="E25" s="361"/>
      <c r="F25" s="2657"/>
      <c r="G25" s="2657"/>
      <c r="H25" s="2657"/>
      <c r="I25" s="2657"/>
      <c r="J25" s="2657"/>
      <c r="K25" s="2657"/>
      <c r="L25" s="2657"/>
      <c r="M25" s="2657"/>
      <c r="N25" s="2657"/>
      <c r="O25" s="2657"/>
      <c r="P25" s="2657"/>
      <c r="Q25" s="2657"/>
      <c r="R25" s="2658"/>
      <c r="S25" s="3649"/>
      <c r="T25" s="3649"/>
      <c r="U25" s="3649"/>
      <c r="V25" s="3649"/>
      <c r="W25" s="3649"/>
      <c r="X25" s="3649"/>
      <c r="Y25" s="3649"/>
      <c r="Z25" s="3649"/>
      <c r="AA25" s="3649"/>
      <c r="AB25" s="3649"/>
      <c r="AC25" s="3649"/>
      <c r="AD25" s="3649"/>
      <c r="AE25" s="3649"/>
      <c r="AF25" s="3649"/>
      <c r="AG25" s="3649"/>
      <c r="AH25" s="3649"/>
      <c r="AI25" s="3649"/>
      <c r="AJ25" s="3649"/>
      <c r="AK25" s="3649"/>
      <c r="AL25" s="3649"/>
      <c r="AM25" s="3649"/>
      <c r="AN25" s="3649"/>
      <c r="AO25" s="3649"/>
      <c r="AP25" s="3649"/>
      <c r="AQ25" s="3649"/>
      <c r="AR25" s="3649"/>
      <c r="AS25" s="3649"/>
      <c r="AT25" s="3649"/>
      <c r="AU25" s="3649"/>
      <c r="AV25" s="3649"/>
      <c r="AW25" s="3649"/>
      <c r="AX25" s="3649"/>
      <c r="AY25" s="3649"/>
      <c r="AZ25" s="3649"/>
      <c r="BA25" s="3649"/>
      <c r="BB25" s="3649"/>
      <c r="BC25" s="3649"/>
      <c r="BD25" s="3649"/>
      <c r="BE25" s="3649"/>
      <c r="BF25" s="3649"/>
      <c r="BG25" s="3649"/>
      <c r="BH25" s="3649"/>
      <c r="BI25" s="3649"/>
      <c r="BJ25" s="3649"/>
      <c r="BK25" s="3649"/>
      <c r="BL25" s="3649"/>
      <c r="BM25" s="3649"/>
      <c r="BN25" s="3649"/>
      <c r="BO25" s="3649"/>
      <c r="BP25" s="3649"/>
      <c r="BQ25" s="3649"/>
      <c r="BR25" s="3649"/>
      <c r="BS25" s="3649"/>
      <c r="BT25" s="3649"/>
      <c r="BU25" s="3649"/>
      <c r="BV25" s="3649"/>
      <c r="BW25" s="3649"/>
      <c r="BX25" s="3649"/>
      <c r="BY25" s="3649"/>
      <c r="BZ25" s="3649"/>
      <c r="CA25" s="3649"/>
      <c r="CB25" s="3649"/>
      <c r="CC25" s="3649"/>
      <c r="CD25" s="3649"/>
      <c r="CE25" s="3649"/>
      <c r="CF25" s="3649"/>
      <c r="CG25" s="3649"/>
      <c r="CH25" s="3649"/>
      <c r="CI25" s="3649"/>
      <c r="CJ25" s="2977"/>
    </row>
    <row r="26" spans="1:88">
      <c r="A26" s="53">
        <v>1995.05</v>
      </c>
      <c r="B26" s="613">
        <v>78.036474464906078</v>
      </c>
      <c r="C26" s="3532">
        <v>77.705831774899806</v>
      </c>
      <c r="D26" s="360"/>
      <c r="E26" s="361"/>
      <c r="F26" s="2657"/>
      <c r="G26" s="2657"/>
      <c r="H26" s="2657"/>
      <c r="I26" s="2657"/>
      <c r="J26" s="2657"/>
      <c r="K26" s="2657"/>
      <c r="L26" s="2657"/>
      <c r="M26" s="2657"/>
      <c r="N26" s="2657"/>
      <c r="O26" s="2657"/>
      <c r="P26" s="2657"/>
      <c r="Q26" s="2657"/>
      <c r="R26" s="2658"/>
      <c r="S26" s="3649"/>
      <c r="T26" s="3649"/>
      <c r="U26" s="3649"/>
      <c r="V26" s="3649"/>
      <c r="W26" s="3649"/>
      <c r="X26" s="3649"/>
      <c r="Y26" s="3649"/>
      <c r="Z26" s="3649"/>
      <c r="AA26" s="3649"/>
      <c r="AB26" s="3649"/>
      <c r="AC26" s="3649"/>
      <c r="AD26" s="3649"/>
      <c r="AE26" s="3649"/>
      <c r="AF26" s="3649"/>
      <c r="AG26" s="3649"/>
      <c r="AH26" s="3649"/>
      <c r="AI26" s="3649"/>
      <c r="AJ26" s="3649"/>
      <c r="AK26" s="3649"/>
      <c r="AL26" s="3649"/>
      <c r="AM26" s="3649"/>
      <c r="AN26" s="3649"/>
      <c r="AO26" s="3649"/>
      <c r="AP26" s="3649"/>
      <c r="AQ26" s="3649"/>
      <c r="AR26" s="3649"/>
      <c r="AS26" s="3649"/>
      <c r="AT26" s="3649"/>
      <c r="AU26" s="3649"/>
      <c r="AV26" s="3649"/>
      <c r="AW26" s="3649"/>
      <c r="AX26" s="3649"/>
      <c r="AY26" s="3649"/>
      <c r="AZ26" s="3649"/>
      <c r="BA26" s="3649"/>
      <c r="BB26" s="3649"/>
      <c r="BC26" s="3649"/>
      <c r="BD26" s="3649"/>
      <c r="BE26" s="3649"/>
      <c r="BF26" s="3649"/>
      <c r="BG26" s="3649"/>
      <c r="BH26" s="3649"/>
      <c r="BI26" s="3649"/>
      <c r="BJ26" s="3649"/>
      <c r="BK26" s="3649"/>
      <c r="BL26" s="3649"/>
      <c r="BM26" s="3649"/>
      <c r="BN26" s="3649"/>
      <c r="BO26" s="3649"/>
      <c r="BP26" s="3649"/>
      <c r="BQ26" s="3649"/>
      <c r="BR26" s="3649"/>
      <c r="BS26" s="3649"/>
      <c r="BT26" s="3649"/>
      <c r="BU26" s="3649"/>
      <c r="BV26" s="3649"/>
      <c r="BW26" s="3649"/>
      <c r="BX26" s="3649"/>
      <c r="BY26" s="3649"/>
      <c r="BZ26" s="3649"/>
      <c r="CA26" s="3649"/>
      <c r="CB26" s="3649"/>
      <c r="CC26" s="3649"/>
      <c r="CD26" s="3649"/>
      <c r="CE26" s="3649"/>
      <c r="CF26" s="3649"/>
      <c r="CG26" s="3649"/>
      <c r="CH26" s="3649"/>
      <c r="CI26" s="3649"/>
      <c r="CJ26" s="2977"/>
    </row>
    <row r="27" spans="1:88">
      <c r="A27" s="53">
        <v>1995.06</v>
      </c>
      <c r="B27" s="613">
        <v>77.229521659886501</v>
      </c>
      <c r="C27" s="3532">
        <v>78.174362587461786</v>
      </c>
      <c r="D27" s="360"/>
      <c r="E27" s="361"/>
      <c r="F27" s="2657"/>
      <c r="G27" s="2657"/>
      <c r="H27" s="2657"/>
      <c r="I27" s="2657"/>
      <c r="J27" s="2657"/>
      <c r="K27" s="2657"/>
      <c r="L27" s="2657"/>
      <c r="M27" s="2657"/>
      <c r="N27" s="2657"/>
      <c r="O27" s="2657"/>
      <c r="P27" s="2657"/>
      <c r="Q27" s="2657"/>
      <c r="R27" s="2658"/>
      <c r="S27" s="3649"/>
      <c r="T27" s="3649"/>
      <c r="U27" s="3649"/>
      <c r="V27" s="3649"/>
      <c r="W27" s="3649"/>
      <c r="X27" s="3649"/>
      <c r="Y27" s="3649"/>
      <c r="Z27" s="3649"/>
      <c r="AA27" s="3649"/>
      <c r="AB27" s="3649"/>
      <c r="AC27" s="3649"/>
      <c r="AD27" s="3649"/>
      <c r="AE27" s="3649"/>
      <c r="AF27" s="3649"/>
      <c r="AG27" s="3649"/>
      <c r="AH27" s="3649"/>
      <c r="AI27" s="3649"/>
      <c r="AJ27" s="3649"/>
      <c r="AK27" s="3649"/>
      <c r="AL27" s="3649"/>
      <c r="AM27" s="3649"/>
      <c r="AN27" s="3649"/>
      <c r="AO27" s="3649"/>
      <c r="AP27" s="3649"/>
      <c r="AQ27" s="3649"/>
      <c r="AR27" s="3649"/>
      <c r="AS27" s="3649"/>
      <c r="AT27" s="3649"/>
      <c r="AU27" s="3649"/>
      <c r="AV27" s="3649"/>
      <c r="AW27" s="3649"/>
      <c r="AX27" s="3649"/>
      <c r="AY27" s="3649"/>
      <c r="AZ27" s="3649"/>
      <c r="BA27" s="3649"/>
      <c r="BB27" s="3649"/>
      <c r="BC27" s="3649"/>
      <c r="BD27" s="3649"/>
      <c r="BE27" s="3649"/>
      <c r="BF27" s="3649"/>
      <c r="BG27" s="3649"/>
      <c r="BH27" s="3649"/>
      <c r="BI27" s="3649"/>
      <c r="BJ27" s="3649"/>
      <c r="BK27" s="3649"/>
      <c r="BL27" s="3649"/>
      <c r="BM27" s="3649"/>
      <c r="BN27" s="3649"/>
      <c r="BO27" s="3649"/>
      <c r="BP27" s="3649"/>
      <c r="BQ27" s="3649"/>
      <c r="BR27" s="3649"/>
      <c r="BS27" s="3649"/>
      <c r="BT27" s="3649"/>
      <c r="BU27" s="3649"/>
      <c r="BV27" s="3649"/>
      <c r="BW27" s="3649"/>
      <c r="BX27" s="3649"/>
      <c r="BY27" s="3649"/>
      <c r="BZ27" s="3649"/>
      <c r="CA27" s="3649"/>
      <c r="CB27" s="3649"/>
      <c r="CC27" s="3649"/>
      <c r="CD27" s="3649"/>
      <c r="CE27" s="3649"/>
      <c r="CF27" s="3649"/>
      <c r="CG27" s="3649"/>
      <c r="CH27" s="3649"/>
      <c r="CI27" s="3649"/>
      <c r="CJ27" s="2977"/>
    </row>
    <row r="28" spans="1:88">
      <c r="A28" s="53">
        <v>1995.07</v>
      </c>
      <c r="B28" s="613">
        <v>79.515887940775301</v>
      </c>
      <c r="C28" s="3532">
        <v>77.162269414171519</v>
      </c>
      <c r="D28" s="360"/>
      <c r="E28" s="361"/>
      <c r="F28" s="2657"/>
      <c r="G28" s="2657"/>
      <c r="H28" s="2657"/>
      <c r="I28" s="2657"/>
      <c r="J28" s="2657"/>
      <c r="K28" s="2657"/>
      <c r="L28" s="2657"/>
      <c r="M28" s="2657"/>
      <c r="N28" s="2657"/>
      <c r="O28" s="2657"/>
      <c r="P28" s="2657"/>
      <c r="Q28" s="2657"/>
      <c r="R28" s="2658"/>
      <c r="S28" s="3649"/>
      <c r="T28" s="3649"/>
      <c r="U28" s="3649"/>
      <c r="V28" s="3649"/>
      <c r="W28" s="3649"/>
      <c r="X28" s="3649"/>
      <c r="Y28" s="3649"/>
      <c r="Z28" s="3649"/>
      <c r="AA28" s="3649"/>
      <c r="AB28" s="3649"/>
      <c r="AC28" s="3649"/>
      <c r="AD28" s="3649"/>
      <c r="AE28" s="3649"/>
      <c r="AF28" s="3649"/>
      <c r="AG28" s="3649"/>
      <c r="AH28" s="3649"/>
      <c r="AI28" s="3649"/>
      <c r="AJ28" s="3649"/>
      <c r="AK28" s="3649"/>
      <c r="AL28" s="3649"/>
      <c r="AM28" s="3649"/>
      <c r="AN28" s="3649"/>
      <c r="AO28" s="3649"/>
      <c r="AP28" s="3649"/>
      <c r="AQ28" s="3649"/>
      <c r="AR28" s="3649"/>
      <c r="AS28" s="3649"/>
      <c r="AT28" s="3649"/>
      <c r="AU28" s="3649"/>
      <c r="AV28" s="3649"/>
      <c r="AW28" s="3649"/>
      <c r="AX28" s="3649"/>
      <c r="AY28" s="3649"/>
      <c r="AZ28" s="3649"/>
      <c r="BA28" s="3649"/>
      <c r="BB28" s="3649"/>
      <c r="BC28" s="3649"/>
      <c r="BD28" s="3649"/>
      <c r="BE28" s="3649"/>
      <c r="BF28" s="3649"/>
      <c r="BG28" s="3649"/>
      <c r="BH28" s="3649"/>
      <c r="BI28" s="3649"/>
      <c r="BJ28" s="3649"/>
      <c r="BK28" s="3649"/>
      <c r="BL28" s="3649"/>
      <c r="BM28" s="3649"/>
      <c r="BN28" s="3649"/>
      <c r="BO28" s="3649"/>
      <c r="BP28" s="3649"/>
      <c r="BQ28" s="3649"/>
      <c r="BR28" s="3649"/>
      <c r="BS28" s="3649"/>
      <c r="BT28" s="3649"/>
      <c r="BU28" s="3649"/>
      <c r="BV28" s="3649"/>
      <c r="BW28" s="3649"/>
      <c r="BX28" s="3649"/>
      <c r="BY28" s="3649"/>
      <c r="BZ28" s="3649"/>
      <c r="CA28" s="3649"/>
      <c r="CB28" s="3649"/>
      <c r="CC28" s="3649"/>
      <c r="CD28" s="3649"/>
      <c r="CE28" s="3649"/>
      <c r="CF28" s="3649"/>
      <c r="CG28" s="3649"/>
      <c r="CH28" s="3649"/>
      <c r="CI28" s="3649"/>
      <c r="CJ28" s="2977"/>
    </row>
    <row r="29" spans="1:88">
      <c r="A29" s="53">
        <v>1995.08</v>
      </c>
      <c r="B29" s="613">
        <v>79.288285867564639</v>
      </c>
      <c r="C29" s="3532">
        <v>75.377578977922482</v>
      </c>
      <c r="D29" s="360"/>
      <c r="E29" s="361"/>
      <c r="F29" s="2657"/>
      <c r="G29" s="2657"/>
      <c r="H29" s="2657"/>
      <c r="I29" s="2657"/>
      <c r="J29" s="2657"/>
      <c r="K29" s="2657"/>
      <c r="L29" s="2657"/>
      <c r="M29" s="2657"/>
      <c r="N29" s="2657"/>
      <c r="O29" s="2657"/>
      <c r="P29" s="2657"/>
      <c r="Q29" s="2657"/>
      <c r="R29" s="2658"/>
      <c r="S29" s="3649"/>
      <c r="T29" s="3649"/>
      <c r="U29" s="3649"/>
      <c r="V29" s="3649"/>
      <c r="W29" s="3649"/>
      <c r="X29" s="3649"/>
      <c r="Y29" s="3649"/>
      <c r="Z29" s="3649"/>
      <c r="AA29" s="3649"/>
      <c r="AB29" s="3649"/>
      <c r="AC29" s="3649"/>
      <c r="AD29" s="3649"/>
      <c r="AE29" s="3649"/>
      <c r="AF29" s="3649"/>
      <c r="AG29" s="3649"/>
      <c r="AH29" s="3649"/>
      <c r="AI29" s="3649"/>
      <c r="AJ29" s="3649"/>
      <c r="AK29" s="3649"/>
      <c r="AL29" s="3649"/>
      <c r="AM29" s="3649"/>
      <c r="AN29" s="3649"/>
      <c r="AO29" s="3649"/>
      <c r="AP29" s="3649"/>
      <c r="AQ29" s="3649"/>
      <c r="AR29" s="3649"/>
      <c r="AS29" s="3649"/>
      <c r="AT29" s="3649"/>
      <c r="AU29" s="3649"/>
      <c r="AV29" s="3649"/>
      <c r="AW29" s="3649"/>
      <c r="AX29" s="3649"/>
      <c r="AY29" s="3649"/>
      <c r="AZ29" s="3649"/>
      <c r="BA29" s="3649"/>
      <c r="BB29" s="3649"/>
      <c r="BC29" s="3649"/>
      <c r="BD29" s="3649"/>
      <c r="BE29" s="3649"/>
      <c r="BF29" s="3649"/>
      <c r="BG29" s="3649"/>
      <c r="BH29" s="3649"/>
      <c r="BI29" s="3649"/>
      <c r="BJ29" s="3649"/>
      <c r="BK29" s="3649"/>
      <c r="BL29" s="3649"/>
      <c r="BM29" s="3649"/>
      <c r="BN29" s="3649"/>
      <c r="BO29" s="3649"/>
      <c r="BP29" s="3649"/>
      <c r="BQ29" s="3649"/>
      <c r="BR29" s="3649"/>
      <c r="BS29" s="3649"/>
      <c r="BT29" s="3649"/>
      <c r="BU29" s="3649"/>
      <c r="BV29" s="3649"/>
      <c r="BW29" s="3649"/>
      <c r="BX29" s="3649"/>
      <c r="BY29" s="3649"/>
      <c r="BZ29" s="3649"/>
      <c r="CA29" s="3649"/>
      <c r="CB29" s="3649"/>
      <c r="CC29" s="3649"/>
      <c r="CD29" s="3649"/>
      <c r="CE29" s="3649"/>
      <c r="CF29" s="3649"/>
      <c r="CG29" s="3649"/>
      <c r="CH29" s="3649"/>
      <c r="CI29" s="3649"/>
      <c r="CJ29" s="2977"/>
    </row>
    <row r="30" spans="1:88">
      <c r="A30" s="53">
        <v>1995.09</v>
      </c>
      <c r="B30" s="613">
        <v>76.091511293833236</v>
      </c>
      <c r="C30" s="3532">
        <v>75.4705561983276</v>
      </c>
      <c r="D30" s="360"/>
      <c r="E30" s="361"/>
      <c r="F30" s="2657"/>
      <c r="G30" s="2657"/>
      <c r="H30" s="2657"/>
      <c r="I30" s="2657"/>
      <c r="J30" s="2657"/>
      <c r="K30" s="2657"/>
      <c r="L30" s="2657"/>
      <c r="M30" s="2657"/>
      <c r="N30" s="2657"/>
      <c r="O30" s="2657"/>
      <c r="P30" s="2657"/>
      <c r="Q30" s="2657"/>
      <c r="R30" s="2658"/>
      <c r="S30" s="3649"/>
      <c r="T30" s="3649"/>
      <c r="U30" s="3649"/>
      <c r="V30" s="3649"/>
      <c r="W30" s="3649"/>
      <c r="X30" s="3649"/>
      <c r="Y30" s="3649"/>
      <c r="Z30" s="3649"/>
      <c r="AA30" s="3649"/>
      <c r="AB30" s="3649"/>
      <c r="AC30" s="3649"/>
      <c r="AD30" s="3649"/>
      <c r="AE30" s="3649"/>
      <c r="AF30" s="3649"/>
      <c r="AG30" s="3649"/>
      <c r="AH30" s="3649"/>
      <c r="AI30" s="3649"/>
      <c r="AJ30" s="3649"/>
      <c r="AK30" s="3649"/>
      <c r="AL30" s="3649"/>
      <c r="AM30" s="3649"/>
      <c r="AN30" s="3649"/>
      <c r="AO30" s="3649"/>
      <c r="AP30" s="3649"/>
      <c r="AQ30" s="3649"/>
      <c r="AR30" s="3649"/>
      <c r="AS30" s="3649"/>
      <c r="AT30" s="3649"/>
      <c r="AU30" s="3649"/>
      <c r="AV30" s="3649"/>
      <c r="AW30" s="3649"/>
      <c r="AX30" s="3649"/>
      <c r="AY30" s="3649"/>
      <c r="AZ30" s="3649"/>
      <c r="BA30" s="3649"/>
      <c r="BB30" s="3649"/>
      <c r="BC30" s="3649"/>
      <c r="BD30" s="3649"/>
      <c r="BE30" s="3649"/>
      <c r="BF30" s="3649"/>
      <c r="BG30" s="3649"/>
      <c r="BH30" s="3649"/>
      <c r="BI30" s="3649"/>
      <c r="BJ30" s="3649"/>
      <c r="BK30" s="3649"/>
      <c r="BL30" s="3649"/>
      <c r="BM30" s="3649"/>
      <c r="BN30" s="3649"/>
      <c r="BO30" s="3649"/>
      <c r="BP30" s="3649"/>
      <c r="BQ30" s="3649"/>
      <c r="BR30" s="3649"/>
      <c r="BS30" s="3649"/>
      <c r="BT30" s="3649"/>
      <c r="BU30" s="3649"/>
      <c r="BV30" s="3649"/>
      <c r="BW30" s="3649"/>
      <c r="BX30" s="3649"/>
      <c r="BY30" s="3649"/>
      <c r="BZ30" s="3649"/>
      <c r="CA30" s="3649"/>
      <c r="CB30" s="3649"/>
      <c r="CC30" s="3649"/>
      <c r="CD30" s="3649"/>
      <c r="CE30" s="3649"/>
      <c r="CF30" s="3649"/>
      <c r="CG30" s="3649"/>
      <c r="CH30" s="3649"/>
      <c r="CI30" s="3649"/>
      <c r="CJ30" s="2977"/>
    </row>
    <row r="31" spans="1:88">
      <c r="A31" s="53">
        <v>1995.1</v>
      </c>
      <c r="B31" s="613">
        <v>79.029647148007086</v>
      </c>
      <c r="C31" s="3532">
        <v>75.923062114058155</v>
      </c>
      <c r="D31" s="360"/>
      <c r="E31" s="361"/>
      <c r="F31" s="2657"/>
      <c r="G31" s="2657"/>
      <c r="H31" s="2657"/>
      <c r="I31" s="2657"/>
      <c r="J31" s="2657"/>
      <c r="K31" s="2657"/>
      <c r="L31" s="2657"/>
      <c r="M31" s="2657"/>
      <c r="N31" s="2657"/>
      <c r="O31" s="2657"/>
      <c r="P31" s="2657"/>
      <c r="Q31" s="2657"/>
      <c r="R31" s="2658"/>
      <c r="S31" s="3649"/>
      <c r="T31" s="3649"/>
      <c r="U31" s="3649"/>
      <c r="V31" s="3649"/>
      <c r="W31" s="3649"/>
      <c r="X31" s="3649"/>
      <c r="Y31" s="3649"/>
      <c r="Z31" s="3649"/>
      <c r="AA31" s="3649"/>
      <c r="AB31" s="3649"/>
      <c r="AC31" s="3649"/>
      <c r="AD31" s="3649"/>
      <c r="AE31" s="3649"/>
      <c r="AF31" s="3649"/>
      <c r="AG31" s="3649"/>
      <c r="AH31" s="3649"/>
      <c r="AI31" s="3649"/>
      <c r="AJ31" s="3649"/>
      <c r="AK31" s="3649"/>
      <c r="AL31" s="3649"/>
      <c r="AM31" s="3649"/>
      <c r="AN31" s="3649"/>
      <c r="AO31" s="3649"/>
      <c r="AP31" s="3649"/>
      <c r="AQ31" s="3649"/>
      <c r="AR31" s="3649"/>
      <c r="AS31" s="3649"/>
      <c r="AT31" s="3649"/>
      <c r="AU31" s="3649"/>
      <c r="AV31" s="3649"/>
      <c r="AW31" s="3649"/>
      <c r="AX31" s="3649"/>
      <c r="AY31" s="3649"/>
      <c r="AZ31" s="3649"/>
      <c r="BA31" s="3649"/>
      <c r="BB31" s="3649"/>
      <c r="BC31" s="3649"/>
      <c r="BD31" s="3649"/>
      <c r="BE31" s="3649"/>
      <c r="BF31" s="3649"/>
      <c r="BG31" s="3649"/>
      <c r="BH31" s="3649"/>
      <c r="BI31" s="3649"/>
      <c r="BJ31" s="3649"/>
      <c r="BK31" s="3649"/>
      <c r="BL31" s="3649"/>
      <c r="BM31" s="3649"/>
      <c r="BN31" s="3649"/>
      <c r="BO31" s="3649"/>
      <c r="BP31" s="3649"/>
      <c r="BQ31" s="3649"/>
      <c r="BR31" s="3649"/>
      <c r="BS31" s="3649"/>
      <c r="BT31" s="3649"/>
      <c r="BU31" s="3649"/>
      <c r="BV31" s="3649"/>
      <c r="BW31" s="3649"/>
      <c r="BX31" s="3649"/>
      <c r="BY31" s="3649"/>
      <c r="BZ31" s="3649"/>
      <c r="CA31" s="3649"/>
      <c r="CB31" s="3649"/>
      <c r="CC31" s="3649"/>
      <c r="CD31" s="3649"/>
      <c r="CE31" s="3649"/>
      <c r="CF31" s="3649"/>
      <c r="CG31" s="3649"/>
      <c r="CH31" s="3649"/>
      <c r="CI31" s="3649"/>
      <c r="CJ31" s="2977"/>
    </row>
    <row r="32" spans="1:88">
      <c r="A32" s="53">
        <v>1995.11</v>
      </c>
      <c r="B32" s="613">
        <v>76.950191842764312</v>
      </c>
      <c r="C32" s="3532">
        <v>75.979903163675715</v>
      </c>
      <c r="D32" s="360"/>
      <c r="E32" s="361"/>
      <c r="F32" s="2657"/>
      <c r="G32" s="2657"/>
      <c r="H32" s="2657"/>
      <c r="I32" s="2657"/>
      <c r="J32" s="2657"/>
      <c r="K32" s="2657"/>
      <c r="L32" s="2657"/>
      <c r="M32" s="2657"/>
      <c r="N32" s="2657"/>
      <c r="O32" s="2657"/>
      <c r="P32" s="2657"/>
      <c r="Q32" s="2657"/>
      <c r="R32" s="2658"/>
      <c r="S32" s="3649"/>
      <c r="T32" s="3649"/>
      <c r="U32" s="3649"/>
      <c r="V32" s="3649"/>
      <c r="W32" s="3649"/>
      <c r="X32" s="3649"/>
      <c r="Y32" s="3649"/>
      <c r="Z32" s="3649"/>
      <c r="AA32" s="3649"/>
      <c r="AB32" s="3649"/>
      <c r="AC32" s="3649"/>
      <c r="AD32" s="3649"/>
      <c r="AE32" s="3649"/>
      <c r="AF32" s="3649"/>
      <c r="AG32" s="3649"/>
      <c r="AH32" s="3649"/>
      <c r="AI32" s="3649"/>
      <c r="AJ32" s="3649"/>
      <c r="AK32" s="3649"/>
      <c r="AL32" s="3649"/>
      <c r="AM32" s="3649"/>
      <c r="AN32" s="3649"/>
      <c r="AO32" s="3649"/>
      <c r="AP32" s="3649"/>
      <c r="AQ32" s="3649"/>
      <c r="AR32" s="3649"/>
      <c r="AS32" s="3649"/>
      <c r="AT32" s="3649"/>
      <c r="AU32" s="3649"/>
      <c r="AV32" s="3649"/>
      <c r="AW32" s="3649"/>
      <c r="AX32" s="3649"/>
      <c r="AY32" s="3649"/>
      <c r="AZ32" s="3649"/>
      <c r="BA32" s="3649"/>
      <c r="BB32" s="3649"/>
      <c r="BC32" s="3649"/>
      <c r="BD32" s="3649"/>
      <c r="BE32" s="3649"/>
      <c r="BF32" s="3649"/>
      <c r="BG32" s="3649"/>
      <c r="BH32" s="3649"/>
      <c r="BI32" s="3649"/>
      <c r="BJ32" s="3649"/>
      <c r="BK32" s="3649"/>
      <c r="BL32" s="3649"/>
      <c r="BM32" s="3649"/>
      <c r="BN32" s="3649"/>
      <c r="BO32" s="3649"/>
      <c r="BP32" s="3649"/>
      <c r="BQ32" s="3649"/>
      <c r="BR32" s="3649"/>
      <c r="BS32" s="3649"/>
      <c r="BT32" s="3649"/>
      <c r="BU32" s="3649"/>
      <c r="BV32" s="3649"/>
      <c r="BW32" s="3649"/>
      <c r="BX32" s="3649"/>
      <c r="BY32" s="3649"/>
      <c r="BZ32" s="3649"/>
      <c r="CA32" s="3649"/>
      <c r="CB32" s="3649"/>
      <c r="CC32" s="3649"/>
      <c r="CD32" s="3649"/>
      <c r="CE32" s="3649"/>
      <c r="CF32" s="3649"/>
      <c r="CG32" s="3649"/>
      <c r="CH32" s="3649"/>
      <c r="CI32" s="3649"/>
      <c r="CJ32" s="2977"/>
    </row>
    <row r="33" spans="1:88">
      <c r="A33" s="53">
        <v>1995.12</v>
      </c>
      <c r="B33" s="613">
        <v>71.094611231981233</v>
      </c>
      <c r="C33" s="3532">
        <v>76.289465981734566</v>
      </c>
      <c r="D33" s="360"/>
      <c r="E33" s="361"/>
      <c r="F33" s="2657"/>
      <c r="G33" s="2657"/>
      <c r="H33" s="2657"/>
      <c r="I33" s="2657"/>
      <c r="J33" s="2657"/>
      <c r="K33" s="2657"/>
      <c r="L33" s="2657"/>
      <c r="M33" s="2657"/>
      <c r="N33" s="2657"/>
      <c r="O33" s="2657"/>
      <c r="P33" s="2657"/>
      <c r="Q33" s="2657"/>
      <c r="R33" s="2658"/>
      <c r="S33" s="3649"/>
      <c r="T33" s="3649"/>
      <c r="U33" s="3649"/>
      <c r="V33" s="3649"/>
      <c r="W33" s="3649"/>
      <c r="X33" s="3649"/>
      <c r="Y33" s="3649"/>
      <c r="Z33" s="3649"/>
      <c r="AA33" s="3649"/>
      <c r="AB33" s="3649"/>
      <c r="AC33" s="3649"/>
      <c r="AD33" s="3649"/>
      <c r="AE33" s="3649"/>
      <c r="AF33" s="3649"/>
      <c r="AG33" s="3649"/>
      <c r="AH33" s="3649"/>
      <c r="AI33" s="3649"/>
      <c r="AJ33" s="3649"/>
      <c r="AK33" s="3649"/>
      <c r="AL33" s="3649"/>
      <c r="AM33" s="3649"/>
      <c r="AN33" s="3649"/>
      <c r="AO33" s="3649"/>
      <c r="AP33" s="3649"/>
      <c r="AQ33" s="3649"/>
      <c r="AR33" s="3649"/>
      <c r="AS33" s="3649"/>
      <c r="AT33" s="3649"/>
      <c r="AU33" s="3649"/>
      <c r="AV33" s="3649"/>
      <c r="AW33" s="3649"/>
      <c r="AX33" s="3649"/>
      <c r="AY33" s="3649"/>
      <c r="AZ33" s="3649"/>
      <c r="BA33" s="3649"/>
      <c r="BB33" s="3649"/>
      <c r="BC33" s="3649"/>
      <c r="BD33" s="3649"/>
      <c r="BE33" s="3649"/>
      <c r="BF33" s="3649"/>
      <c r="BG33" s="3649"/>
      <c r="BH33" s="3649"/>
      <c r="BI33" s="3649"/>
      <c r="BJ33" s="3649"/>
      <c r="BK33" s="3649"/>
      <c r="BL33" s="3649"/>
      <c r="BM33" s="3649"/>
      <c r="BN33" s="3649"/>
      <c r="BO33" s="3649"/>
      <c r="BP33" s="3649"/>
      <c r="BQ33" s="3649"/>
      <c r="BR33" s="3649"/>
      <c r="BS33" s="3649"/>
      <c r="BT33" s="3649"/>
      <c r="BU33" s="3649"/>
      <c r="BV33" s="3649"/>
      <c r="BW33" s="3649"/>
      <c r="BX33" s="3649"/>
      <c r="BY33" s="3649"/>
      <c r="BZ33" s="3649"/>
      <c r="CA33" s="3649"/>
      <c r="CB33" s="3649"/>
      <c r="CC33" s="3649"/>
      <c r="CD33" s="3649"/>
      <c r="CE33" s="3649"/>
      <c r="CF33" s="3649"/>
      <c r="CG33" s="3649"/>
      <c r="CH33" s="3649"/>
      <c r="CI33" s="3649"/>
      <c r="CJ33" s="2977"/>
    </row>
    <row r="34" spans="1:88">
      <c r="A34" s="53">
        <v>1996.01</v>
      </c>
      <c r="B34" s="613">
        <v>69.263449097513742</v>
      </c>
      <c r="C34" s="3532">
        <v>78.495941525909501</v>
      </c>
      <c r="D34" s="360"/>
      <c r="E34" s="361"/>
      <c r="F34" s="2657"/>
      <c r="G34" s="2657"/>
      <c r="H34" s="2657"/>
      <c r="I34" s="2657"/>
      <c r="J34" s="2657"/>
      <c r="K34" s="2657"/>
      <c r="L34" s="2657"/>
      <c r="M34" s="2657"/>
      <c r="N34" s="2657"/>
      <c r="O34" s="2657"/>
      <c r="P34" s="2657"/>
      <c r="Q34" s="2657"/>
      <c r="R34" s="2658"/>
      <c r="S34" s="3649"/>
      <c r="T34" s="3649"/>
      <c r="U34" s="3649"/>
      <c r="V34" s="3649"/>
      <c r="W34" s="3649"/>
      <c r="X34" s="3649"/>
      <c r="Y34" s="3649"/>
      <c r="Z34" s="3649"/>
      <c r="AA34" s="3649"/>
      <c r="AB34" s="3649"/>
      <c r="AC34" s="3649"/>
      <c r="AD34" s="3649"/>
      <c r="AE34" s="3649"/>
      <c r="AF34" s="3649"/>
      <c r="AG34" s="3649"/>
      <c r="AH34" s="3649"/>
      <c r="AI34" s="3649"/>
      <c r="AJ34" s="3649"/>
      <c r="AK34" s="3649"/>
      <c r="AL34" s="3649"/>
      <c r="AM34" s="3649"/>
      <c r="AN34" s="3649"/>
      <c r="AO34" s="3649"/>
      <c r="AP34" s="3649"/>
      <c r="AQ34" s="3649"/>
      <c r="AR34" s="3649"/>
      <c r="AS34" s="3649"/>
      <c r="AT34" s="3649"/>
      <c r="AU34" s="3649"/>
      <c r="AV34" s="3649"/>
      <c r="AW34" s="3649"/>
      <c r="AX34" s="3649"/>
      <c r="AY34" s="3649"/>
      <c r="AZ34" s="3649"/>
      <c r="BA34" s="3649"/>
      <c r="BB34" s="3649"/>
      <c r="BC34" s="3649"/>
      <c r="BD34" s="3649"/>
      <c r="BE34" s="3649"/>
      <c r="BF34" s="3649"/>
      <c r="BG34" s="3649"/>
      <c r="BH34" s="3649"/>
      <c r="BI34" s="3649"/>
      <c r="BJ34" s="3649"/>
      <c r="BK34" s="3649"/>
      <c r="BL34" s="3649"/>
      <c r="BM34" s="3649"/>
      <c r="BN34" s="3649"/>
      <c r="BO34" s="3649"/>
      <c r="BP34" s="3649"/>
      <c r="BQ34" s="3649"/>
      <c r="BR34" s="3649"/>
      <c r="BS34" s="3649"/>
      <c r="BT34" s="3649"/>
      <c r="BU34" s="3649"/>
      <c r="BV34" s="3649"/>
      <c r="BW34" s="3649"/>
      <c r="BX34" s="3649"/>
      <c r="BY34" s="3649"/>
      <c r="BZ34" s="3649"/>
      <c r="CA34" s="3649"/>
      <c r="CB34" s="3649"/>
      <c r="CC34" s="3649"/>
      <c r="CD34" s="3649"/>
      <c r="CE34" s="3649"/>
      <c r="CF34" s="3649"/>
      <c r="CG34" s="3649"/>
      <c r="CH34" s="3649"/>
      <c r="CI34" s="3649"/>
      <c r="CJ34" s="2977"/>
    </row>
    <row r="35" spans="1:88">
      <c r="A35" s="53">
        <v>1996.02</v>
      </c>
      <c r="B35" s="613">
        <v>71.539469829620245</v>
      </c>
      <c r="C35" s="3532">
        <v>79.656834984834404</v>
      </c>
      <c r="D35" s="360"/>
      <c r="E35" s="361"/>
      <c r="F35" s="2657"/>
      <c r="G35" s="2657"/>
      <c r="H35" s="2657"/>
      <c r="I35" s="2657"/>
      <c r="J35" s="2657"/>
      <c r="K35" s="2657"/>
      <c r="L35" s="2657"/>
      <c r="M35" s="2657"/>
      <c r="N35" s="2657"/>
      <c r="O35" s="2657"/>
      <c r="P35" s="2657"/>
      <c r="Q35" s="2657"/>
      <c r="R35" s="2658"/>
      <c r="S35" s="3649"/>
      <c r="T35" s="3649"/>
      <c r="U35" s="3649"/>
      <c r="V35" s="3649"/>
      <c r="W35" s="3649"/>
      <c r="X35" s="3649"/>
      <c r="Y35" s="3649"/>
      <c r="Z35" s="3649"/>
      <c r="AA35" s="3649"/>
      <c r="AB35" s="3649"/>
      <c r="AC35" s="3649"/>
      <c r="AD35" s="3649"/>
      <c r="AE35" s="3649"/>
      <c r="AF35" s="3649"/>
      <c r="AG35" s="3649"/>
      <c r="AH35" s="3649"/>
      <c r="AI35" s="3649"/>
      <c r="AJ35" s="3649"/>
      <c r="AK35" s="3649"/>
      <c r="AL35" s="3649"/>
      <c r="AM35" s="3649"/>
      <c r="AN35" s="3649"/>
      <c r="AO35" s="3649"/>
      <c r="AP35" s="3649"/>
      <c r="AQ35" s="3649"/>
      <c r="AR35" s="3649"/>
      <c r="AS35" s="3649"/>
      <c r="AT35" s="3649"/>
      <c r="AU35" s="3649"/>
      <c r="AV35" s="3649"/>
      <c r="AW35" s="3649"/>
      <c r="AX35" s="3649"/>
      <c r="AY35" s="3649"/>
      <c r="AZ35" s="3649"/>
      <c r="BA35" s="3649"/>
      <c r="BB35" s="3649"/>
      <c r="BC35" s="3649"/>
      <c r="BD35" s="3649"/>
      <c r="BE35" s="3649"/>
      <c r="BF35" s="3649"/>
      <c r="BG35" s="3649"/>
      <c r="BH35" s="3649"/>
      <c r="BI35" s="3649"/>
      <c r="BJ35" s="3649"/>
      <c r="BK35" s="3649"/>
      <c r="BL35" s="3649"/>
      <c r="BM35" s="3649"/>
      <c r="BN35" s="3649"/>
      <c r="BO35" s="3649"/>
      <c r="BP35" s="3649"/>
      <c r="BQ35" s="3649"/>
      <c r="BR35" s="3649"/>
      <c r="BS35" s="3649"/>
      <c r="BT35" s="3649"/>
      <c r="BU35" s="3649"/>
      <c r="BV35" s="3649"/>
      <c r="BW35" s="3649"/>
      <c r="BX35" s="3649"/>
      <c r="BY35" s="3649"/>
      <c r="BZ35" s="3649"/>
      <c r="CA35" s="3649"/>
      <c r="CB35" s="3649"/>
      <c r="CC35" s="3649"/>
      <c r="CD35" s="3649"/>
      <c r="CE35" s="3649"/>
      <c r="CF35" s="3649"/>
      <c r="CG35" s="3649"/>
      <c r="CH35" s="3649"/>
      <c r="CI35" s="3649"/>
      <c r="CJ35" s="2977"/>
    </row>
    <row r="36" spans="1:88">
      <c r="A36" s="53">
        <v>1996.03</v>
      </c>
      <c r="B36" s="613">
        <v>76.960537391546637</v>
      </c>
      <c r="C36" s="3532">
        <v>79.3900630741296</v>
      </c>
      <c r="D36" s="360"/>
      <c r="E36" s="361"/>
      <c r="F36" s="2657"/>
      <c r="G36" s="2657"/>
      <c r="H36" s="2657"/>
      <c r="I36" s="2657"/>
      <c r="J36" s="2657"/>
      <c r="K36" s="2657"/>
      <c r="L36" s="2657"/>
      <c r="M36" s="2657"/>
      <c r="N36" s="2657"/>
      <c r="O36" s="2657"/>
      <c r="P36" s="2657"/>
      <c r="Q36" s="2657"/>
      <c r="R36" s="2658"/>
      <c r="S36" s="3649"/>
      <c r="T36" s="3649"/>
      <c r="U36" s="3649"/>
      <c r="V36" s="3649"/>
      <c r="W36" s="3649"/>
      <c r="X36" s="3649"/>
      <c r="Y36" s="3649"/>
      <c r="Z36" s="3649"/>
      <c r="AA36" s="3649"/>
      <c r="AB36" s="3649"/>
      <c r="AC36" s="3649"/>
      <c r="AD36" s="3649"/>
      <c r="AE36" s="3649"/>
      <c r="AF36" s="3649"/>
      <c r="AG36" s="3649"/>
      <c r="AH36" s="3649"/>
      <c r="AI36" s="3649"/>
      <c r="AJ36" s="3649"/>
      <c r="AK36" s="3649"/>
      <c r="AL36" s="3649"/>
      <c r="AM36" s="3649"/>
      <c r="AN36" s="3649"/>
      <c r="AO36" s="3649"/>
      <c r="AP36" s="3649"/>
      <c r="AQ36" s="3649"/>
      <c r="AR36" s="3649"/>
      <c r="AS36" s="3649"/>
      <c r="AT36" s="3649"/>
      <c r="AU36" s="3649"/>
      <c r="AV36" s="3649"/>
      <c r="AW36" s="3649"/>
      <c r="AX36" s="3649"/>
      <c r="AY36" s="3649"/>
      <c r="AZ36" s="3649"/>
      <c r="BA36" s="3649"/>
      <c r="BB36" s="3649"/>
      <c r="BC36" s="3649"/>
      <c r="BD36" s="3649"/>
      <c r="BE36" s="3649"/>
      <c r="BF36" s="3649"/>
      <c r="BG36" s="3649"/>
      <c r="BH36" s="3649"/>
      <c r="BI36" s="3649"/>
      <c r="BJ36" s="3649"/>
      <c r="BK36" s="3649"/>
      <c r="BL36" s="3649"/>
      <c r="BM36" s="3649"/>
      <c r="BN36" s="3649"/>
      <c r="BO36" s="3649"/>
      <c r="BP36" s="3649"/>
      <c r="BQ36" s="3649"/>
      <c r="BR36" s="3649"/>
      <c r="BS36" s="3649"/>
      <c r="BT36" s="3649"/>
      <c r="BU36" s="3649"/>
      <c r="BV36" s="3649"/>
      <c r="BW36" s="3649"/>
      <c r="BX36" s="3649"/>
      <c r="BY36" s="3649"/>
      <c r="BZ36" s="3649"/>
      <c r="CA36" s="3649"/>
      <c r="CB36" s="3649"/>
      <c r="CC36" s="3649"/>
      <c r="CD36" s="3649"/>
      <c r="CE36" s="3649"/>
      <c r="CF36" s="3649"/>
      <c r="CG36" s="3649"/>
      <c r="CH36" s="3649"/>
      <c r="CI36" s="3649"/>
      <c r="CJ36" s="2977"/>
    </row>
    <row r="37" spans="1:88">
      <c r="A37" s="53">
        <v>1996.04</v>
      </c>
      <c r="B37" s="613">
        <v>78.71928068453802</v>
      </c>
      <c r="C37" s="3532">
        <v>80.457721589492351</v>
      </c>
      <c r="D37" s="360"/>
      <c r="E37" s="361"/>
      <c r="F37" s="2657"/>
      <c r="G37" s="2657"/>
      <c r="H37" s="2657"/>
      <c r="I37" s="2657"/>
      <c r="J37" s="2657"/>
      <c r="K37" s="2657"/>
      <c r="L37" s="2657"/>
      <c r="M37" s="2657"/>
      <c r="N37" s="2657"/>
      <c r="O37" s="2657"/>
      <c r="P37" s="2657"/>
      <c r="Q37" s="2657"/>
      <c r="R37" s="2658"/>
      <c r="S37" s="3649"/>
      <c r="T37" s="3649"/>
      <c r="U37" s="3649"/>
      <c r="V37" s="3649"/>
      <c r="W37" s="3649"/>
      <c r="X37" s="3649"/>
      <c r="Y37" s="3649"/>
      <c r="Z37" s="3649"/>
      <c r="AA37" s="3649"/>
      <c r="AB37" s="3649"/>
      <c r="AC37" s="3649"/>
      <c r="AD37" s="3649"/>
      <c r="AE37" s="3649"/>
      <c r="AF37" s="3649"/>
      <c r="AG37" s="3649"/>
      <c r="AH37" s="3649"/>
      <c r="AI37" s="3649"/>
      <c r="AJ37" s="3649"/>
      <c r="AK37" s="3649"/>
      <c r="AL37" s="3649"/>
      <c r="AM37" s="3649"/>
      <c r="AN37" s="3649"/>
      <c r="AO37" s="3649"/>
      <c r="AP37" s="3649"/>
      <c r="AQ37" s="3649"/>
      <c r="AR37" s="3649"/>
      <c r="AS37" s="3649"/>
      <c r="AT37" s="3649"/>
      <c r="AU37" s="3649"/>
      <c r="AV37" s="3649"/>
      <c r="AW37" s="3649"/>
      <c r="AX37" s="3649"/>
      <c r="AY37" s="3649"/>
      <c r="AZ37" s="3649"/>
      <c r="BA37" s="3649"/>
      <c r="BB37" s="3649"/>
      <c r="BC37" s="3649"/>
      <c r="BD37" s="3649"/>
      <c r="BE37" s="3649"/>
      <c r="BF37" s="3649"/>
      <c r="BG37" s="3649"/>
      <c r="BH37" s="3649"/>
      <c r="BI37" s="3649"/>
      <c r="BJ37" s="3649"/>
      <c r="BK37" s="3649"/>
      <c r="BL37" s="3649"/>
      <c r="BM37" s="3649"/>
      <c r="BN37" s="3649"/>
      <c r="BO37" s="3649"/>
      <c r="BP37" s="3649"/>
      <c r="BQ37" s="3649"/>
      <c r="BR37" s="3649"/>
      <c r="BS37" s="3649"/>
      <c r="BT37" s="3649"/>
      <c r="BU37" s="3649"/>
      <c r="BV37" s="3649"/>
      <c r="BW37" s="3649"/>
      <c r="BX37" s="3649"/>
      <c r="BY37" s="3649"/>
      <c r="BZ37" s="3649"/>
      <c r="CA37" s="3649"/>
      <c r="CB37" s="3649"/>
      <c r="CC37" s="3649"/>
      <c r="CD37" s="3649"/>
      <c r="CE37" s="3649"/>
      <c r="CF37" s="3649"/>
      <c r="CG37" s="3649"/>
      <c r="CH37" s="3649"/>
      <c r="CI37" s="3649"/>
      <c r="CJ37" s="2977"/>
    </row>
    <row r="38" spans="1:88">
      <c r="A38" s="53">
        <v>1996.05</v>
      </c>
      <c r="B38" s="613">
        <v>81.409123367936601</v>
      </c>
      <c r="C38" s="3532">
        <v>81.247451169779737</v>
      </c>
      <c r="D38" s="360"/>
      <c r="E38" s="361"/>
      <c r="F38" s="2657"/>
      <c r="G38" s="2657"/>
      <c r="H38" s="2657"/>
      <c r="I38" s="2657"/>
      <c r="J38" s="2657"/>
      <c r="K38" s="2657"/>
      <c r="L38" s="2657"/>
      <c r="M38" s="2657"/>
      <c r="N38" s="2657"/>
      <c r="O38" s="2657"/>
      <c r="P38" s="2657"/>
      <c r="Q38" s="2657"/>
      <c r="R38" s="2658"/>
      <c r="S38" s="3649"/>
      <c r="T38" s="3649"/>
      <c r="U38" s="3649"/>
      <c r="V38" s="3649"/>
      <c r="W38" s="3649"/>
      <c r="X38" s="3649"/>
      <c r="Y38" s="3649"/>
      <c r="Z38" s="3649"/>
      <c r="AA38" s="3649"/>
      <c r="AB38" s="3649"/>
      <c r="AC38" s="3649"/>
      <c r="AD38" s="3649"/>
      <c r="AE38" s="3649"/>
      <c r="AF38" s="3649"/>
      <c r="AG38" s="3649"/>
      <c r="AH38" s="3649"/>
      <c r="AI38" s="3649"/>
      <c r="AJ38" s="3649"/>
      <c r="AK38" s="3649"/>
      <c r="AL38" s="3649"/>
      <c r="AM38" s="3649"/>
      <c r="AN38" s="3649"/>
      <c r="AO38" s="3649"/>
      <c r="AP38" s="3649"/>
      <c r="AQ38" s="3649"/>
      <c r="AR38" s="3649"/>
      <c r="AS38" s="3649"/>
      <c r="AT38" s="3649"/>
      <c r="AU38" s="3649"/>
      <c r="AV38" s="3649"/>
      <c r="AW38" s="3649"/>
      <c r="AX38" s="3649"/>
      <c r="AY38" s="3649"/>
      <c r="AZ38" s="3649"/>
      <c r="BA38" s="3649"/>
      <c r="BB38" s="3649"/>
      <c r="BC38" s="3649"/>
      <c r="BD38" s="3649"/>
      <c r="BE38" s="3649"/>
      <c r="BF38" s="3649"/>
      <c r="BG38" s="3649"/>
      <c r="BH38" s="3649"/>
      <c r="BI38" s="3649"/>
      <c r="BJ38" s="3649"/>
      <c r="BK38" s="3649"/>
      <c r="BL38" s="3649"/>
      <c r="BM38" s="3649"/>
      <c r="BN38" s="3649"/>
      <c r="BO38" s="3649"/>
      <c r="BP38" s="3649"/>
      <c r="BQ38" s="3649"/>
      <c r="BR38" s="3649"/>
      <c r="BS38" s="3649"/>
      <c r="BT38" s="3649"/>
      <c r="BU38" s="3649"/>
      <c r="BV38" s="3649"/>
      <c r="BW38" s="3649"/>
      <c r="BX38" s="3649"/>
      <c r="BY38" s="3649"/>
      <c r="BZ38" s="3649"/>
      <c r="CA38" s="3649"/>
      <c r="CB38" s="3649"/>
      <c r="CC38" s="3649"/>
      <c r="CD38" s="3649"/>
      <c r="CE38" s="3649"/>
      <c r="CF38" s="3649"/>
      <c r="CG38" s="3649"/>
      <c r="CH38" s="3649"/>
      <c r="CI38" s="3649"/>
      <c r="CJ38" s="2977"/>
    </row>
    <row r="39" spans="1:88">
      <c r="A39" s="53">
        <v>1996.06</v>
      </c>
      <c r="B39" s="613">
        <v>77.281249403798</v>
      </c>
      <c r="C39" s="3532">
        <v>81.128081202662017</v>
      </c>
      <c r="D39" s="360"/>
      <c r="E39" s="361"/>
      <c r="F39" s="2657"/>
      <c r="G39" s="2657"/>
      <c r="H39" s="2657"/>
      <c r="I39" s="2657"/>
      <c r="J39" s="2657"/>
      <c r="K39" s="2657"/>
      <c r="L39" s="2657"/>
      <c r="M39" s="2657"/>
      <c r="N39" s="2657"/>
      <c r="O39" s="2657"/>
      <c r="P39" s="2657"/>
      <c r="Q39" s="2657"/>
      <c r="R39" s="2658"/>
      <c r="S39" s="3649"/>
      <c r="T39" s="3649"/>
      <c r="U39" s="3649"/>
      <c r="V39" s="3649"/>
      <c r="W39" s="3649"/>
      <c r="X39" s="3649"/>
      <c r="Y39" s="3649"/>
      <c r="Z39" s="3649"/>
      <c r="AA39" s="3649"/>
      <c r="AB39" s="3649"/>
      <c r="AC39" s="3649"/>
      <c r="AD39" s="3649"/>
      <c r="AE39" s="3649"/>
      <c r="AF39" s="3649"/>
      <c r="AG39" s="3649"/>
      <c r="AH39" s="3649"/>
      <c r="AI39" s="3649"/>
      <c r="AJ39" s="3649"/>
      <c r="AK39" s="3649"/>
      <c r="AL39" s="3649"/>
      <c r="AM39" s="3649"/>
      <c r="AN39" s="3649"/>
      <c r="AO39" s="3649"/>
      <c r="AP39" s="3649"/>
      <c r="AQ39" s="3649"/>
      <c r="AR39" s="3649"/>
      <c r="AS39" s="3649"/>
      <c r="AT39" s="3649"/>
      <c r="AU39" s="3649"/>
      <c r="AV39" s="3649"/>
      <c r="AW39" s="3649"/>
      <c r="AX39" s="3649"/>
      <c r="AY39" s="3649"/>
      <c r="AZ39" s="3649"/>
      <c r="BA39" s="3649"/>
      <c r="BB39" s="3649"/>
      <c r="BC39" s="3649"/>
      <c r="BD39" s="3649"/>
      <c r="BE39" s="3649"/>
      <c r="BF39" s="3649"/>
      <c r="BG39" s="3649"/>
      <c r="BH39" s="3649"/>
      <c r="BI39" s="3649"/>
      <c r="BJ39" s="3649"/>
      <c r="BK39" s="3649"/>
      <c r="BL39" s="3649"/>
      <c r="BM39" s="3649"/>
      <c r="BN39" s="3649"/>
      <c r="BO39" s="3649"/>
      <c r="BP39" s="3649"/>
      <c r="BQ39" s="3649"/>
      <c r="BR39" s="3649"/>
      <c r="BS39" s="3649"/>
      <c r="BT39" s="3649"/>
      <c r="BU39" s="3649"/>
      <c r="BV39" s="3649"/>
      <c r="BW39" s="3649"/>
      <c r="BX39" s="3649"/>
      <c r="BY39" s="3649"/>
      <c r="BZ39" s="3649"/>
      <c r="CA39" s="3649"/>
      <c r="CB39" s="3649"/>
      <c r="CC39" s="3649"/>
      <c r="CD39" s="3649"/>
      <c r="CE39" s="3649"/>
      <c r="CF39" s="3649"/>
      <c r="CG39" s="3649"/>
      <c r="CH39" s="3649"/>
      <c r="CI39" s="3649"/>
      <c r="CJ39" s="2977"/>
    </row>
    <row r="40" spans="1:88">
      <c r="A40" s="53">
        <v>1996.07</v>
      </c>
      <c r="B40" s="613">
        <v>86.468096722482414</v>
      </c>
      <c r="C40" s="3532">
        <v>82.047735610201826</v>
      </c>
      <c r="D40" s="360"/>
      <c r="E40" s="361"/>
      <c r="F40" s="2657"/>
      <c r="G40" s="2657"/>
      <c r="H40" s="2657"/>
      <c r="I40" s="2657"/>
      <c r="J40" s="2657"/>
      <c r="K40" s="2657"/>
      <c r="L40" s="2657"/>
      <c r="M40" s="2657"/>
      <c r="N40" s="2657"/>
      <c r="O40" s="2657"/>
      <c r="P40" s="2657"/>
      <c r="Q40" s="2657"/>
      <c r="R40" s="2658"/>
      <c r="S40" s="3649"/>
      <c r="T40" s="3649"/>
      <c r="U40" s="3649"/>
      <c r="V40" s="3649"/>
      <c r="W40" s="3649"/>
      <c r="X40" s="3649"/>
      <c r="Y40" s="3649"/>
      <c r="Z40" s="3649"/>
      <c r="AA40" s="3649"/>
      <c r="AB40" s="3649"/>
      <c r="AC40" s="3649"/>
      <c r="AD40" s="3649"/>
      <c r="AE40" s="3649"/>
      <c r="AF40" s="3649"/>
      <c r="AG40" s="3649"/>
      <c r="AH40" s="3649"/>
      <c r="AI40" s="3649"/>
      <c r="AJ40" s="3649"/>
      <c r="AK40" s="3649"/>
      <c r="AL40" s="3649"/>
      <c r="AM40" s="3649"/>
      <c r="AN40" s="3649"/>
      <c r="AO40" s="3649"/>
      <c r="AP40" s="3649"/>
      <c r="AQ40" s="3649"/>
      <c r="AR40" s="3649"/>
      <c r="AS40" s="3649"/>
      <c r="AT40" s="3649"/>
      <c r="AU40" s="3649"/>
      <c r="AV40" s="3649"/>
      <c r="AW40" s="3649"/>
      <c r="AX40" s="3649"/>
      <c r="AY40" s="3649"/>
      <c r="AZ40" s="3649"/>
      <c r="BA40" s="3649"/>
      <c r="BB40" s="3649"/>
      <c r="BC40" s="3649"/>
      <c r="BD40" s="3649"/>
      <c r="BE40" s="3649"/>
      <c r="BF40" s="3649"/>
      <c r="BG40" s="3649"/>
      <c r="BH40" s="3649"/>
      <c r="BI40" s="3649"/>
      <c r="BJ40" s="3649"/>
      <c r="BK40" s="3649"/>
      <c r="BL40" s="3649"/>
      <c r="BM40" s="3649"/>
      <c r="BN40" s="3649"/>
      <c r="BO40" s="3649"/>
      <c r="BP40" s="3649"/>
      <c r="BQ40" s="3649"/>
      <c r="BR40" s="3649"/>
      <c r="BS40" s="3649"/>
      <c r="BT40" s="3649"/>
      <c r="BU40" s="3649"/>
      <c r="BV40" s="3649"/>
      <c r="BW40" s="3649"/>
      <c r="BX40" s="3649"/>
      <c r="BY40" s="3649"/>
      <c r="BZ40" s="3649"/>
      <c r="CA40" s="3649"/>
      <c r="CB40" s="3649"/>
      <c r="CC40" s="3649"/>
      <c r="CD40" s="3649"/>
      <c r="CE40" s="3649"/>
      <c r="CF40" s="3649"/>
      <c r="CG40" s="3649"/>
      <c r="CH40" s="3649"/>
      <c r="CI40" s="3649"/>
      <c r="CJ40" s="2977"/>
    </row>
    <row r="41" spans="1:88">
      <c r="A41" s="53">
        <v>1996.08</v>
      </c>
      <c r="B41" s="613">
        <v>85.288704161299947</v>
      </c>
      <c r="C41" s="3532">
        <v>82.401907535551246</v>
      </c>
      <c r="D41" s="360"/>
      <c r="E41" s="361"/>
      <c r="F41" s="2657"/>
      <c r="G41" s="2657"/>
      <c r="H41" s="2657"/>
      <c r="I41" s="2657"/>
      <c r="J41" s="2657"/>
      <c r="K41" s="2657"/>
      <c r="L41" s="2657"/>
      <c r="M41" s="2657"/>
      <c r="N41" s="2657"/>
      <c r="O41" s="2657"/>
      <c r="P41" s="2657"/>
      <c r="Q41" s="2657"/>
      <c r="R41" s="2658"/>
      <c r="S41" s="3649"/>
      <c r="T41" s="3649"/>
      <c r="U41" s="3649"/>
      <c r="V41" s="3649"/>
      <c r="W41" s="3649"/>
      <c r="X41" s="3649"/>
      <c r="Y41" s="3649"/>
      <c r="Z41" s="3649"/>
      <c r="AA41" s="3649"/>
      <c r="AB41" s="3649"/>
      <c r="AC41" s="3649"/>
      <c r="AD41" s="3649"/>
      <c r="AE41" s="3649"/>
      <c r="AF41" s="3649"/>
      <c r="AG41" s="3649"/>
      <c r="AH41" s="3649"/>
      <c r="AI41" s="3649"/>
      <c r="AJ41" s="3649"/>
      <c r="AK41" s="3649"/>
      <c r="AL41" s="3649"/>
      <c r="AM41" s="3649"/>
      <c r="AN41" s="3649"/>
      <c r="AO41" s="3649"/>
      <c r="AP41" s="3649"/>
      <c r="AQ41" s="3649"/>
      <c r="AR41" s="3649"/>
      <c r="AS41" s="3649"/>
      <c r="AT41" s="3649"/>
      <c r="AU41" s="3649"/>
      <c r="AV41" s="3649"/>
      <c r="AW41" s="3649"/>
      <c r="AX41" s="3649"/>
      <c r="AY41" s="3649"/>
      <c r="AZ41" s="3649"/>
      <c r="BA41" s="3649"/>
      <c r="BB41" s="3649"/>
      <c r="BC41" s="3649"/>
      <c r="BD41" s="3649"/>
      <c r="BE41" s="3649"/>
      <c r="BF41" s="3649"/>
      <c r="BG41" s="3649"/>
      <c r="BH41" s="3649"/>
      <c r="BI41" s="3649"/>
      <c r="BJ41" s="3649"/>
      <c r="BK41" s="3649"/>
      <c r="BL41" s="3649"/>
      <c r="BM41" s="3649"/>
      <c r="BN41" s="3649"/>
      <c r="BO41" s="3649"/>
      <c r="BP41" s="3649"/>
      <c r="BQ41" s="3649"/>
      <c r="BR41" s="3649"/>
      <c r="BS41" s="3649"/>
      <c r="BT41" s="3649"/>
      <c r="BU41" s="3649"/>
      <c r="BV41" s="3649"/>
      <c r="BW41" s="3649"/>
      <c r="BX41" s="3649"/>
      <c r="BY41" s="3649"/>
      <c r="BZ41" s="3649"/>
      <c r="CA41" s="3649"/>
      <c r="CB41" s="3649"/>
      <c r="CC41" s="3649"/>
      <c r="CD41" s="3649"/>
      <c r="CE41" s="3649"/>
      <c r="CF41" s="3649"/>
      <c r="CG41" s="3649"/>
      <c r="CH41" s="3649"/>
      <c r="CI41" s="3649"/>
      <c r="CJ41" s="2977"/>
    </row>
    <row r="42" spans="1:88">
      <c r="A42" s="53">
        <v>1996.09</v>
      </c>
      <c r="B42" s="613">
        <v>81.647070989929546</v>
      </c>
      <c r="C42" s="3532">
        <v>80.885959132458538</v>
      </c>
      <c r="D42" s="360"/>
      <c r="E42" s="361"/>
      <c r="F42" s="2657"/>
      <c r="G42" s="2657"/>
      <c r="H42" s="2657"/>
      <c r="I42" s="2657"/>
      <c r="J42" s="2657"/>
      <c r="K42" s="2657"/>
      <c r="L42" s="2657"/>
      <c r="M42" s="2657"/>
      <c r="N42" s="2657"/>
      <c r="O42" s="2657"/>
      <c r="P42" s="2657"/>
      <c r="Q42" s="2657"/>
      <c r="R42" s="2658"/>
      <c r="S42" s="3649"/>
      <c r="T42" s="3649"/>
      <c r="U42" s="3649"/>
      <c r="V42" s="3649"/>
      <c r="W42" s="3649"/>
      <c r="X42" s="3649"/>
      <c r="Y42" s="3649"/>
      <c r="Z42" s="3649"/>
      <c r="AA42" s="3649"/>
      <c r="AB42" s="3649"/>
      <c r="AC42" s="3649"/>
      <c r="AD42" s="3649"/>
      <c r="AE42" s="3649"/>
      <c r="AF42" s="3649"/>
      <c r="AG42" s="3649"/>
      <c r="AH42" s="3649"/>
      <c r="AI42" s="3649"/>
      <c r="AJ42" s="3649"/>
      <c r="AK42" s="3649"/>
      <c r="AL42" s="3649"/>
      <c r="AM42" s="3649"/>
      <c r="AN42" s="3649"/>
      <c r="AO42" s="3649"/>
      <c r="AP42" s="3649"/>
      <c r="AQ42" s="3649"/>
      <c r="AR42" s="3649"/>
      <c r="AS42" s="3649"/>
      <c r="AT42" s="3649"/>
      <c r="AU42" s="3649"/>
      <c r="AV42" s="3649"/>
      <c r="AW42" s="3649"/>
      <c r="AX42" s="3649"/>
      <c r="AY42" s="3649"/>
      <c r="AZ42" s="3649"/>
      <c r="BA42" s="3649"/>
      <c r="BB42" s="3649"/>
      <c r="BC42" s="3649"/>
      <c r="BD42" s="3649"/>
      <c r="BE42" s="3649"/>
      <c r="BF42" s="3649"/>
      <c r="BG42" s="3649"/>
      <c r="BH42" s="3649"/>
      <c r="BI42" s="3649"/>
      <c r="BJ42" s="3649"/>
      <c r="BK42" s="3649"/>
      <c r="BL42" s="3649"/>
      <c r="BM42" s="3649"/>
      <c r="BN42" s="3649"/>
      <c r="BO42" s="3649"/>
      <c r="BP42" s="3649"/>
      <c r="BQ42" s="3649"/>
      <c r="BR42" s="3649"/>
      <c r="BS42" s="3649"/>
      <c r="BT42" s="3649"/>
      <c r="BU42" s="3649"/>
      <c r="BV42" s="3649"/>
      <c r="BW42" s="3649"/>
      <c r="BX42" s="3649"/>
      <c r="BY42" s="3649"/>
      <c r="BZ42" s="3649"/>
      <c r="CA42" s="3649"/>
      <c r="CB42" s="3649"/>
      <c r="CC42" s="3649"/>
      <c r="CD42" s="3649"/>
      <c r="CE42" s="3649"/>
      <c r="CF42" s="3649"/>
      <c r="CG42" s="3649"/>
      <c r="CH42" s="3649"/>
      <c r="CI42" s="3649"/>
      <c r="CJ42" s="2977"/>
    </row>
    <row r="43" spans="1:88">
      <c r="A43" s="53">
        <v>1996.1</v>
      </c>
      <c r="B43" s="613">
        <v>87.388850564107301</v>
      </c>
      <c r="C43" s="3532">
        <v>82.944613171755776</v>
      </c>
      <c r="D43" s="360"/>
      <c r="E43" s="361"/>
      <c r="F43" s="2657"/>
      <c r="G43" s="2657"/>
      <c r="H43" s="2657"/>
      <c r="I43" s="2657"/>
      <c r="J43" s="2657"/>
      <c r="K43" s="2657"/>
      <c r="L43" s="2657"/>
      <c r="M43" s="2657"/>
      <c r="N43" s="2657"/>
      <c r="O43" s="2657"/>
      <c r="P43" s="2657"/>
      <c r="Q43" s="2657"/>
      <c r="R43" s="2658"/>
      <c r="S43" s="3649"/>
      <c r="T43" s="3649"/>
      <c r="U43" s="3649"/>
      <c r="V43" s="3649"/>
      <c r="W43" s="3649"/>
      <c r="X43" s="3649"/>
      <c r="Y43" s="3649"/>
      <c r="Z43" s="3649"/>
      <c r="AA43" s="3649"/>
      <c r="AB43" s="3649"/>
      <c r="AC43" s="3649"/>
      <c r="AD43" s="3649"/>
      <c r="AE43" s="3649"/>
      <c r="AF43" s="3649"/>
      <c r="AG43" s="3649"/>
      <c r="AH43" s="3649"/>
      <c r="AI43" s="3649"/>
      <c r="AJ43" s="3649"/>
      <c r="AK43" s="3649"/>
      <c r="AL43" s="3649"/>
      <c r="AM43" s="3649"/>
      <c r="AN43" s="3649"/>
      <c r="AO43" s="3649"/>
      <c r="AP43" s="3649"/>
      <c r="AQ43" s="3649"/>
      <c r="AR43" s="3649"/>
      <c r="AS43" s="3649"/>
      <c r="AT43" s="3649"/>
      <c r="AU43" s="3649"/>
      <c r="AV43" s="3649"/>
      <c r="AW43" s="3649"/>
      <c r="AX43" s="3649"/>
      <c r="AY43" s="3649"/>
      <c r="AZ43" s="3649"/>
      <c r="BA43" s="3649"/>
      <c r="BB43" s="3649"/>
      <c r="BC43" s="3649"/>
      <c r="BD43" s="3649"/>
      <c r="BE43" s="3649"/>
      <c r="BF43" s="3649"/>
      <c r="BG43" s="3649"/>
      <c r="BH43" s="3649"/>
      <c r="BI43" s="3649"/>
      <c r="BJ43" s="3649"/>
      <c r="BK43" s="3649"/>
      <c r="BL43" s="3649"/>
      <c r="BM43" s="3649"/>
      <c r="BN43" s="3649"/>
      <c r="BO43" s="3649"/>
      <c r="BP43" s="3649"/>
      <c r="BQ43" s="3649"/>
      <c r="BR43" s="3649"/>
      <c r="BS43" s="3649"/>
      <c r="BT43" s="3649"/>
      <c r="BU43" s="3649"/>
      <c r="BV43" s="3649"/>
      <c r="BW43" s="3649"/>
      <c r="BX43" s="3649"/>
      <c r="BY43" s="3649"/>
      <c r="BZ43" s="3649"/>
      <c r="CA43" s="3649"/>
      <c r="CB43" s="3649"/>
      <c r="CC43" s="3649"/>
      <c r="CD43" s="3649"/>
      <c r="CE43" s="3649"/>
      <c r="CF43" s="3649"/>
      <c r="CG43" s="3649"/>
      <c r="CH43" s="3649"/>
      <c r="CI43" s="3649"/>
      <c r="CJ43" s="2977"/>
    </row>
    <row r="44" spans="1:88">
      <c r="A44" s="53">
        <v>1996.11</v>
      </c>
      <c r="B44" s="613">
        <v>82.505751538860636</v>
      </c>
      <c r="C44" s="3532">
        <v>82.625187214522228</v>
      </c>
      <c r="D44" s="360"/>
      <c r="E44" s="361"/>
      <c r="F44" s="2657"/>
      <c r="G44" s="2657"/>
      <c r="H44" s="2657"/>
      <c r="I44" s="2657"/>
      <c r="J44" s="2657"/>
      <c r="K44" s="2657"/>
      <c r="L44" s="2657"/>
      <c r="M44" s="2657"/>
      <c r="N44" s="2657"/>
      <c r="O44" s="2657"/>
      <c r="P44" s="2657"/>
      <c r="Q44" s="2657"/>
      <c r="R44" s="2658"/>
      <c r="S44" s="3649"/>
      <c r="T44" s="3649"/>
      <c r="U44" s="3649"/>
      <c r="V44" s="3649"/>
      <c r="W44" s="3649"/>
      <c r="X44" s="3649"/>
      <c r="Y44" s="3649"/>
      <c r="Z44" s="3649"/>
      <c r="AA44" s="3649"/>
      <c r="AB44" s="3649"/>
      <c r="AC44" s="3649"/>
      <c r="AD44" s="3649"/>
      <c r="AE44" s="3649"/>
      <c r="AF44" s="3649"/>
      <c r="AG44" s="3649"/>
      <c r="AH44" s="3649"/>
      <c r="AI44" s="3649"/>
      <c r="AJ44" s="3649"/>
      <c r="AK44" s="3649"/>
      <c r="AL44" s="3649"/>
      <c r="AM44" s="3649"/>
      <c r="AN44" s="3649"/>
      <c r="AO44" s="3649"/>
      <c r="AP44" s="3649"/>
      <c r="AQ44" s="3649"/>
      <c r="AR44" s="3649"/>
      <c r="AS44" s="3649"/>
      <c r="AT44" s="3649"/>
      <c r="AU44" s="3649"/>
      <c r="AV44" s="3649"/>
      <c r="AW44" s="3649"/>
      <c r="AX44" s="3649"/>
      <c r="AY44" s="3649"/>
      <c r="AZ44" s="3649"/>
      <c r="BA44" s="3649"/>
      <c r="BB44" s="3649"/>
      <c r="BC44" s="3649"/>
      <c r="BD44" s="3649"/>
      <c r="BE44" s="3649"/>
      <c r="BF44" s="3649"/>
      <c r="BG44" s="3649"/>
      <c r="BH44" s="3649"/>
      <c r="BI44" s="3649"/>
      <c r="BJ44" s="3649"/>
      <c r="BK44" s="3649"/>
      <c r="BL44" s="3649"/>
      <c r="BM44" s="3649"/>
      <c r="BN44" s="3649"/>
      <c r="BO44" s="3649"/>
      <c r="BP44" s="3649"/>
      <c r="BQ44" s="3649"/>
      <c r="BR44" s="3649"/>
      <c r="BS44" s="3649"/>
      <c r="BT44" s="3649"/>
      <c r="BU44" s="3649"/>
      <c r="BV44" s="3649"/>
      <c r="BW44" s="3649"/>
      <c r="BX44" s="3649"/>
      <c r="BY44" s="3649"/>
      <c r="BZ44" s="3649"/>
      <c r="CA44" s="3649"/>
      <c r="CB44" s="3649"/>
      <c r="CC44" s="3649"/>
      <c r="CD44" s="3649"/>
      <c r="CE44" s="3649"/>
      <c r="CF44" s="3649"/>
      <c r="CG44" s="3649"/>
      <c r="CH44" s="3649"/>
      <c r="CI44" s="3649"/>
      <c r="CJ44" s="2977"/>
    </row>
    <row r="45" spans="1:88">
      <c r="A45" s="53">
        <v>1996.12</v>
      </c>
      <c r="B45" s="613">
        <v>78.688244038191101</v>
      </c>
      <c r="C45" s="3532">
        <v>83.210852958042821</v>
      </c>
      <c r="D45" s="360"/>
      <c r="E45" s="361"/>
      <c r="F45" s="2657"/>
      <c r="G45" s="2657"/>
      <c r="H45" s="2657"/>
      <c r="I45" s="2657"/>
      <c r="J45" s="2657"/>
      <c r="K45" s="2657"/>
      <c r="L45" s="2657"/>
      <c r="M45" s="2657"/>
      <c r="N45" s="2657"/>
      <c r="O45" s="2657"/>
      <c r="P45" s="2657"/>
      <c r="Q45" s="2657"/>
      <c r="R45" s="2658"/>
      <c r="S45" s="3649"/>
      <c r="T45" s="3649"/>
      <c r="U45" s="3649"/>
      <c r="V45" s="3649"/>
      <c r="W45" s="3649"/>
      <c r="X45" s="3649"/>
      <c r="Y45" s="3649"/>
      <c r="Z45" s="3649"/>
      <c r="AA45" s="3649"/>
      <c r="AB45" s="3649"/>
      <c r="AC45" s="3649"/>
      <c r="AD45" s="3649"/>
      <c r="AE45" s="3649"/>
      <c r="AF45" s="3649"/>
      <c r="AG45" s="3649"/>
      <c r="AH45" s="3649"/>
      <c r="AI45" s="3649"/>
      <c r="AJ45" s="3649"/>
      <c r="AK45" s="3649"/>
      <c r="AL45" s="3649"/>
      <c r="AM45" s="3649"/>
      <c r="AN45" s="3649"/>
      <c r="AO45" s="3649"/>
      <c r="AP45" s="3649"/>
      <c r="AQ45" s="3649"/>
      <c r="AR45" s="3649"/>
      <c r="AS45" s="3649"/>
      <c r="AT45" s="3649"/>
      <c r="AU45" s="3649"/>
      <c r="AV45" s="3649"/>
      <c r="AW45" s="3649"/>
      <c r="AX45" s="3649"/>
      <c r="AY45" s="3649"/>
      <c r="AZ45" s="3649"/>
      <c r="BA45" s="3649"/>
      <c r="BB45" s="3649"/>
      <c r="BC45" s="3649"/>
      <c r="BD45" s="3649"/>
      <c r="BE45" s="3649"/>
      <c r="BF45" s="3649"/>
      <c r="BG45" s="3649"/>
      <c r="BH45" s="3649"/>
      <c r="BI45" s="3649"/>
      <c r="BJ45" s="3649"/>
      <c r="BK45" s="3649"/>
      <c r="BL45" s="3649"/>
      <c r="BM45" s="3649"/>
      <c r="BN45" s="3649"/>
      <c r="BO45" s="3649"/>
      <c r="BP45" s="3649"/>
      <c r="BQ45" s="3649"/>
      <c r="BR45" s="3649"/>
      <c r="BS45" s="3649"/>
      <c r="BT45" s="3649"/>
      <c r="BU45" s="3649"/>
      <c r="BV45" s="3649"/>
      <c r="BW45" s="3649"/>
      <c r="BX45" s="3649"/>
      <c r="BY45" s="3649"/>
      <c r="BZ45" s="3649"/>
      <c r="CA45" s="3649"/>
      <c r="CB45" s="3649"/>
      <c r="CC45" s="3649"/>
      <c r="CD45" s="3649"/>
      <c r="CE45" s="3649"/>
      <c r="CF45" s="3649"/>
      <c r="CG45" s="3649"/>
      <c r="CH45" s="3649"/>
      <c r="CI45" s="3649"/>
      <c r="CJ45" s="2977"/>
    </row>
    <row r="46" spans="1:88">
      <c r="A46" s="53">
        <v>1997.01</v>
      </c>
      <c r="B46" s="613">
        <v>74.529333427705595</v>
      </c>
      <c r="C46" s="3532">
        <v>83.809320989738993</v>
      </c>
      <c r="D46" s="360"/>
      <c r="E46" s="361"/>
      <c r="F46" s="2657"/>
      <c r="G46" s="2657"/>
      <c r="H46" s="2657"/>
      <c r="I46" s="2657"/>
      <c r="J46" s="2657"/>
      <c r="K46" s="2657"/>
      <c r="L46" s="2657"/>
      <c r="M46" s="2657"/>
      <c r="N46" s="2657"/>
      <c r="O46" s="2657"/>
      <c r="P46" s="2657"/>
      <c r="Q46" s="2657"/>
      <c r="R46" s="2658"/>
      <c r="S46" s="3649"/>
      <c r="T46" s="3649"/>
      <c r="U46" s="3649"/>
      <c r="V46" s="3649"/>
      <c r="W46" s="3649"/>
      <c r="X46" s="3649"/>
      <c r="Y46" s="3649"/>
      <c r="Z46" s="3649"/>
      <c r="AA46" s="3649"/>
      <c r="AB46" s="3649"/>
      <c r="AC46" s="3649"/>
      <c r="AD46" s="3649"/>
      <c r="AE46" s="3649"/>
      <c r="AF46" s="3649"/>
      <c r="AG46" s="3649"/>
      <c r="AH46" s="3649"/>
      <c r="AI46" s="3649"/>
      <c r="AJ46" s="3649"/>
      <c r="AK46" s="3649"/>
      <c r="AL46" s="3649"/>
      <c r="AM46" s="3649"/>
      <c r="AN46" s="3649"/>
      <c r="AO46" s="3649"/>
      <c r="AP46" s="3649"/>
      <c r="AQ46" s="3649"/>
      <c r="AR46" s="3649"/>
      <c r="AS46" s="3649"/>
      <c r="AT46" s="3649"/>
      <c r="AU46" s="3649"/>
      <c r="AV46" s="3649"/>
      <c r="AW46" s="3649"/>
      <c r="AX46" s="3649"/>
      <c r="AY46" s="3649"/>
      <c r="AZ46" s="3649"/>
      <c r="BA46" s="3649"/>
      <c r="BB46" s="3649"/>
      <c r="BC46" s="3649"/>
      <c r="BD46" s="3649"/>
      <c r="BE46" s="3649"/>
      <c r="BF46" s="3649"/>
      <c r="BG46" s="3649"/>
      <c r="BH46" s="3649"/>
      <c r="BI46" s="3649"/>
      <c r="BJ46" s="3649"/>
      <c r="BK46" s="3649"/>
      <c r="BL46" s="3649"/>
      <c r="BM46" s="3649"/>
      <c r="BN46" s="3649"/>
      <c r="BO46" s="3649"/>
      <c r="BP46" s="3649"/>
      <c r="BQ46" s="3649"/>
      <c r="BR46" s="3649"/>
      <c r="BS46" s="3649"/>
      <c r="BT46" s="3649"/>
      <c r="BU46" s="3649"/>
      <c r="BV46" s="3649"/>
      <c r="BW46" s="3649"/>
      <c r="BX46" s="3649"/>
      <c r="BY46" s="3649"/>
      <c r="BZ46" s="3649"/>
      <c r="CA46" s="3649"/>
      <c r="CB46" s="3649"/>
      <c r="CC46" s="3649"/>
      <c r="CD46" s="3649"/>
      <c r="CE46" s="3649"/>
      <c r="CF46" s="3649"/>
      <c r="CG46" s="3649"/>
      <c r="CH46" s="3649"/>
      <c r="CI46" s="3649"/>
      <c r="CJ46" s="2977"/>
    </row>
    <row r="47" spans="1:88">
      <c r="A47" s="53">
        <v>1997.02</v>
      </c>
      <c r="B47" s="613">
        <v>74.094820378848894</v>
      </c>
      <c r="C47" s="3532">
        <v>84.545022173312418</v>
      </c>
      <c r="D47" s="360"/>
      <c r="E47" s="361"/>
      <c r="F47" s="2657"/>
      <c r="G47" s="2657"/>
      <c r="H47" s="2657"/>
      <c r="I47" s="2657"/>
      <c r="J47" s="2657"/>
      <c r="K47" s="2657"/>
      <c r="L47" s="2657"/>
      <c r="M47" s="2657"/>
      <c r="N47" s="2657"/>
      <c r="O47" s="2657"/>
      <c r="P47" s="2657"/>
      <c r="Q47" s="2657"/>
      <c r="R47" s="2658"/>
      <c r="S47" s="3649"/>
      <c r="T47" s="3649"/>
      <c r="U47" s="3649"/>
      <c r="V47" s="3649"/>
      <c r="W47" s="3649"/>
      <c r="X47" s="3649"/>
      <c r="Y47" s="3649"/>
      <c r="Z47" s="3649"/>
      <c r="AA47" s="3649"/>
      <c r="AB47" s="3649"/>
      <c r="AC47" s="3649"/>
      <c r="AD47" s="3649"/>
      <c r="AE47" s="3649"/>
      <c r="AF47" s="3649"/>
      <c r="AG47" s="3649"/>
      <c r="AH47" s="3649"/>
      <c r="AI47" s="3649"/>
      <c r="AJ47" s="3649"/>
      <c r="AK47" s="3649"/>
      <c r="AL47" s="3649"/>
      <c r="AM47" s="3649"/>
      <c r="AN47" s="3649"/>
      <c r="AO47" s="3649"/>
      <c r="AP47" s="3649"/>
      <c r="AQ47" s="3649"/>
      <c r="AR47" s="3649"/>
      <c r="AS47" s="3649"/>
      <c r="AT47" s="3649"/>
      <c r="AU47" s="3649"/>
      <c r="AV47" s="3649"/>
      <c r="AW47" s="3649"/>
      <c r="AX47" s="3649"/>
      <c r="AY47" s="3649"/>
      <c r="AZ47" s="3649"/>
      <c r="BA47" s="3649"/>
      <c r="BB47" s="3649"/>
      <c r="BC47" s="3649"/>
      <c r="BD47" s="3649"/>
      <c r="BE47" s="3649"/>
      <c r="BF47" s="3649"/>
      <c r="BG47" s="3649"/>
      <c r="BH47" s="3649"/>
      <c r="BI47" s="3649"/>
      <c r="BJ47" s="3649"/>
      <c r="BK47" s="3649"/>
      <c r="BL47" s="3649"/>
      <c r="BM47" s="3649"/>
      <c r="BN47" s="3649"/>
      <c r="BO47" s="3649"/>
      <c r="BP47" s="3649"/>
      <c r="BQ47" s="3649"/>
      <c r="BR47" s="3649"/>
      <c r="BS47" s="3649"/>
      <c r="BT47" s="3649"/>
      <c r="BU47" s="3649"/>
      <c r="BV47" s="3649"/>
      <c r="BW47" s="3649"/>
      <c r="BX47" s="3649"/>
      <c r="BY47" s="3649"/>
      <c r="BZ47" s="3649"/>
      <c r="CA47" s="3649"/>
      <c r="CB47" s="3649"/>
      <c r="CC47" s="3649"/>
      <c r="CD47" s="3649"/>
      <c r="CE47" s="3649"/>
      <c r="CF47" s="3649"/>
      <c r="CG47" s="3649"/>
      <c r="CH47" s="3649"/>
      <c r="CI47" s="3649"/>
      <c r="CJ47" s="2977"/>
    </row>
    <row r="48" spans="1:88">
      <c r="A48" s="53">
        <v>1997.03</v>
      </c>
      <c r="B48" s="613">
        <v>81.584997697235735</v>
      </c>
      <c r="C48" s="3532">
        <v>84.419226839974371</v>
      </c>
      <c r="D48" s="360"/>
      <c r="E48" s="361"/>
      <c r="F48" s="2657"/>
      <c r="G48" s="2657"/>
      <c r="H48" s="2657"/>
      <c r="I48" s="2657"/>
      <c r="J48" s="2657"/>
      <c r="K48" s="2657"/>
      <c r="L48" s="2657"/>
      <c r="M48" s="2657"/>
      <c r="N48" s="2657"/>
      <c r="O48" s="2657"/>
      <c r="P48" s="2657"/>
      <c r="Q48" s="2657"/>
      <c r="R48" s="2658"/>
      <c r="S48" s="3649"/>
      <c r="T48" s="3649"/>
      <c r="U48" s="3649"/>
      <c r="V48" s="3649"/>
      <c r="W48" s="3649"/>
      <c r="X48" s="3649"/>
      <c r="Y48" s="3649"/>
      <c r="Z48" s="3649"/>
      <c r="AA48" s="3649"/>
      <c r="AB48" s="3649"/>
      <c r="AC48" s="3649"/>
      <c r="AD48" s="3649"/>
      <c r="AE48" s="3649"/>
      <c r="AF48" s="3649"/>
      <c r="AG48" s="3649"/>
      <c r="AH48" s="3649"/>
      <c r="AI48" s="3649"/>
      <c r="AJ48" s="3649"/>
      <c r="AK48" s="3649"/>
      <c r="AL48" s="3649"/>
      <c r="AM48" s="3649"/>
      <c r="AN48" s="3649"/>
      <c r="AO48" s="3649"/>
      <c r="AP48" s="3649"/>
      <c r="AQ48" s="3649"/>
      <c r="AR48" s="3649"/>
      <c r="AS48" s="3649"/>
      <c r="AT48" s="3649"/>
      <c r="AU48" s="3649"/>
      <c r="AV48" s="3649"/>
      <c r="AW48" s="3649"/>
      <c r="AX48" s="3649"/>
      <c r="AY48" s="3649"/>
      <c r="AZ48" s="3649"/>
      <c r="BA48" s="3649"/>
      <c r="BB48" s="3649"/>
      <c r="BC48" s="3649"/>
      <c r="BD48" s="3649"/>
      <c r="BE48" s="3649"/>
      <c r="BF48" s="3649"/>
      <c r="BG48" s="3649"/>
      <c r="BH48" s="3649"/>
      <c r="BI48" s="3649"/>
      <c r="BJ48" s="3649"/>
      <c r="BK48" s="3649"/>
      <c r="BL48" s="3649"/>
      <c r="BM48" s="3649"/>
      <c r="BN48" s="3649"/>
      <c r="BO48" s="3649"/>
      <c r="BP48" s="3649"/>
      <c r="BQ48" s="3649"/>
      <c r="BR48" s="3649"/>
      <c r="BS48" s="3649"/>
      <c r="BT48" s="3649"/>
      <c r="BU48" s="3649"/>
      <c r="BV48" s="3649"/>
      <c r="BW48" s="3649"/>
      <c r="BX48" s="3649"/>
      <c r="BY48" s="3649"/>
      <c r="BZ48" s="3649"/>
      <c r="CA48" s="3649"/>
      <c r="CB48" s="3649"/>
      <c r="CC48" s="3649"/>
      <c r="CD48" s="3649"/>
      <c r="CE48" s="3649"/>
      <c r="CF48" s="3649"/>
      <c r="CG48" s="3649"/>
      <c r="CH48" s="3649"/>
      <c r="CI48" s="3649"/>
      <c r="CJ48" s="2977"/>
    </row>
    <row r="49" spans="1:88">
      <c r="A49" s="53">
        <v>1997.04</v>
      </c>
      <c r="B49" s="613">
        <v>87.037101905509033</v>
      </c>
      <c r="C49" s="3532">
        <v>86.402326722414628</v>
      </c>
      <c r="D49" s="360"/>
      <c r="E49" s="361"/>
      <c r="F49" s="2657"/>
      <c r="G49" s="2657"/>
      <c r="H49" s="2657"/>
      <c r="I49" s="2657"/>
      <c r="J49" s="2657"/>
      <c r="K49" s="2657"/>
      <c r="L49" s="2657"/>
      <c r="M49" s="2657"/>
      <c r="N49" s="2657"/>
      <c r="O49" s="2657"/>
      <c r="P49" s="2657"/>
      <c r="Q49" s="2657"/>
      <c r="R49" s="2658"/>
      <c r="S49" s="3649"/>
      <c r="T49" s="3649"/>
      <c r="U49" s="3649"/>
      <c r="V49" s="3649"/>
      <c r="W49" s="3649"/>
      <c r="X49" s="3649"/>
      <c r="Y49" s="3649"/>
      <c r="Z49" s="3649"/>
      <c r="AA49" s="3649"/>
      <c r="AB49" s="3649"/>
      <c r="AC49" s="3649"/>
      <c r="AD49" s="3649"/>
      <c r="AE49" s="3649"/>
      <c r="AF49" s="3649"/>
      <c r="AG49" s="3649"/>
      <c r="AH49" s="3649"/>
      <c r="AI49" s="3649"/>
      <c r="AJ49" s="3649"/>
      <c r="AK49" s="3649"/>
      <c r="AL49" s="3649"/>
      <c r="AM49" s="3649"/>
      <c r="AN49" s="3649"/>
      <c r="AO49" s="3649"/>
      <c r="AP49" s="3649"/>
      <c r="AQ49" s="3649"/>
      <c r="AR49" s="3649"/>
      <c r="AS49" s="3649"/>
      <c r="AT49" s="3649"/>
      <c r="AU49" s="3649"/>
      <c r="AV49" s="3649"/>
      <c r="AW49" s="3649"/>
      <c r="AX49" s="3649"/>
      <c r="AY49" s="3649"/>
      <c r="AZ49" s="3649"/>
      <c r="BA49" s="3649"/>
      <c r="BB49" s="3649"/>
      <c r="BC49" s="3649"/>
      <c r="BD49" s="3649"/>
      <c r="BE49" s="3649"/>
      <c r="BF49" s="3649"/>
      <c r="BG49" s="3649"/>
      <c r="BH49" s="3649"/>
      <c r="BI49" s="3649"/>
      <c r="BJ49" s="3649"/>
      <c r="BK49" s="3649"/>
      <c r="BL49" s="3649"/>
      <c r="BM49" s="3649"/>
      <c r="BN49" s="3649"/>
      <c r="BO49" s="3649"/>
      <c r="BP49" s="3649"/>
      <c r="BQ49" s="3649"/>
      <c r="BR49" s="3649"/>
      <c r="BS49" s="3649"/>
      <c r="BT49" s="3649"/>
      <c r="BU49" s="3649"/>
      <c r="BV49" s="3649"/>
      <c r="BW49" s="3649"/>
      <c r="BX49" s="3649"/>
      <c r="BY49" s="3649"/>
      <c r="BZ49" s="3649"/>
      <c r="CA49" s="3649"/>
      <c r="CB49" s="3649"/>
      <c r="CC49" s="3649"/>
      <c r="CD49" s="3649"/>
      <c r="CE49" s="3649"/>
      <c r="CF49" s="3649"/>
      <c r="CG49" s="3649"/>
      <c r="CH49" s="3649"/>
      <c r="CI49" s="3649"/>
      <c r="CJ49" s="2977"/>
    </row>
    <row r="50" spans="1:88">
      <c r="A50" s="53">
        <v>1997.05</v>
      </c>
      <c r="B50" s="613">
        <v>86.995719710379831</v>
      </c>
      <c r="C50" s="3532">
        <v>88.106462381015135</v>
      </c>
      <c r="D50" s="360"/>
      <c r="E50" s="361"/>
      <c r="F50" s="2657"/>
      <c r="G50" s="2657"/>
      <c r="H50" s="2657"/>
      <c r="I50" s="2657"/>
      <c r="J50" s="2657"/>
      <c r="K50" s="2657"/>
      <c r="L50" s="2657"/>
      <c r="M50" s="2657"/>
      <c r="N50" s="2657"/>
      <c r="O50" s="2657"/>
      <c r="P50" s="2657"/>
      <c r="Q50" s="2657"/>
      <c r="R50" s="2658"/>
      <c r="S50" s="3649"/>
      <c r="T50" s="3649"/>
      <c r="U50" s="3649"/>
      <c r="V50" s="3649"/>
      <c r="W50" s="3649"/>
      <c r="X50" s="3649"/>
      <c r="Y50" s="3649"/>
      <c r="Z50" s="3649"/>
      <c r="AA50" s="3649"/>
      <c r="AB50" s="3649"/>
      <c r="AC50" s="3649"/>
      <c r="AD50" s="3649"/>
      <c r="AE50" s="3649"/>
      <c r="AF50" s="3649"/>
      <c r="AG50" s="3649"/>
      <c r="AH50" s="3649"/>
      <c r="AI50" s="3649"/>
      <c r="AJ50" s="3649"/>
      <c r="AK50" s="3649"/>
      <c r="AL50" s="3649"/>
      <c r="AM50" s="3649"/>
      <c r="AN50" s="3649"/>
      <c r="AO50" s="3649"/>
      <c r="AP50" s="3649"/>
      <c r="AQ50" s="3649"/>
      <c r="AR50" s="3649"/>
      <c r="AS50" s="3649"/>
      <c r="AT50" s="3649"/>
      <c r="AU50" s="3649"/>
      <c r="AV50" s="3649"/>
      <c r="AW50" s="3649"/>
      <c r="AX50" s="3649"/>
      <c r="AY50" s="3649"/>
      <c r="AZ50" s="3649"/>
      <c r="BA50" s="3649"/>
      <c r="BB50" s="3649"/>
      <c r="BC50" s="3649"/>
      <c r="BD50" s="3649"/>
      <c r="BE50" s="3649"/>
      <c r="BF50" s="3649"/>
      <c r="BG50" s="3649"/>
      <c r="BH50" s="3649"/>
      <c r="BI50" s="3649"/>
      <c r="BJ50" s="3649"/>
      <c r="BK50" s="3649"/>
      <c r="BL50" s="3649"/>
      <c r="BM50" s="3649"/>
      <c r="BN50" s="3649"/>
      <c r="BO50" s="3649"/>
      <c r="BP50" s="3649"/>
      <c r="BQ50" s="3649"/>
      <c r="BR50" s="3649"/>
      <c r="BS50" s="3649"/>
      <c r="BT50" s="3649"/>
      <c r="BU50" s="3649"/>
      <c r="BV50" s="3649"/>
      <c r="BW50" s="3649"/>
      <c r="BX50" s="3649"/>
      <c r="BY50" s="3649"/>
      <c r="BZ50" s="3649"/>
      <c r="CA50" s="3649"/>
      <c r="CB50" s="3649"/>
      <c r="CC50" s="3649"/>
      <c r="CD50" s="3649"/>
      <c r="CE50" s="3649"/>
      <c r="CF50" s="3649"/>
      <c r="CG50" s="3649"/>
      <c r="CH50" s="3649"/>
      <c r="CI50" s="3649"/>
      <c r="CJ50" s="2977"/>
    </row>
    <row r="51" spans="1:88">
      <c r="A51" s="53">
        <v>1997.06</v>
      </c>
      <c r="B51" s="613">
        <v>85.464578490599095</v>
      </c>
      <c r="C51" s="3532">
        <v>88.283089358491594</v>
      </c>
      <c r="D51" s="360"/>
      <c r="E51" s="361"/>
      <c r="F51" s="2657"/>
      <c r="G51" s="2657"/>
      <c r="H51" s="2657"/>
      <c r="I51" s="2657"/>
      <c r="J51" s="2657"/>
      <c r="K51" s="2657"/>
      <c r="L51" s="2657"/>
      <c r="M51" s="2657"/>
      <c r="N51" s="2657"/>
      <c r="O51" s="2657"/>
      <c r="P51" s="2657"/>
      <c r="Q51" s="2657"/>
      <c r="R51" s="2658"/>
      <c r="S51" s="3649"/>
      <c r="T51" s="3649"/>
      <c r="U51" s="3649"/>
      <c r="V51" s="3649"/>
      <c r="W51" s="3649"/>
      <c r="X51" s="3649"/>
      <c r="Y51" s="3649"/>
      <c r="Z51" s="3649"/>
      <c r="AA51" s="3649"/>
      <c r="AB51" s="3649"/>
      <c r="AC51" s="3649"/>
      <c r="AD51" s="3649"/>
      <c r="AE51" s="3649"/>
      <c r="AF51" s="3649"/>
      <c r="AG51" s="3649"/>
      <c r="AH51" s="3649"/>
      <c r="AI51" s="3649"/>
      <c r="AJ51" s="3649"/>
      <c r="AK51" s="3649"/>
      <c r="AL51" s="3649"/>
      <c r="AM51" s="3649"/>
      <c r="AN51" s="3649"/>
      <c r="AO51" s="3649"/>
      <c r="AP51" s="3649"/>
      <c r="AQ51" s="3649"/>
      <c r="AR51" s="3649"/>
      <c r="AS51" s="3649"/>
      <c r="AT51" s="3649"/>
      <c r="AU51" s="3649"/>
      <c r="AV51" s="3649"/>
      <c r="AW51" s="3649"/>
      <c r="AX51" s="3649"/>
      <c r="AY51" s="3649"/>
      <c r="AZ51" s="3649"/>
      <c r="BA51" s="3649"/>
      <c r="BB51" s="3649"/>
      <c r="BC51" s="3649"/>
      <c r="BD51" s="3649"/>
      <c r="BE51" s="3649"/>
      <c r="BF51" s="3649"/>
      <c r="BG51" s="3649"/>
      <c r="BH51" s="3649"/>
      <c r="BI51" s="3649"/>
      <c r="BJ51" s="3649"/>
      <c r="BK51" s="3649"/>
      <c r="BL51" s="3649"/>
      <c r="BM51" s="3649"/>
      <c r="BN51" s="3649"/>
      <c r="BO51" s="3649"/>
      <c r="BP51" s="3649"/>
      <c r="BQ51" s="3649"/>
      <c r="BR51" s="3649"/>
      <c r="BS51" s="3649"/>
      <c r="BT51" s="3649"/>
      <c r="BU51" s="3649"/>
      <c r="BV51" s="3649"/>
      <c r="BW51" s="3649"/>
      <c r="BX51" s="3649"/>
      <c r="BY51" s="3649"/>
      <c r="BZ51" s="3649"/>
      <c r="CA51" s="3649"/>
      <c r="CB51" s="3649"/>
      <c r="CC51" s="3649"/>
      <c r="CD51" s="3649"/>
      <c r="CE51" s="3649"/>
      <c r="CF51" s="3649"/>
      <c r="CG51" s="3649"/>
      <c r="CH51" s="3649"/>
      <c r="CI51" s="3649"/>
      <c r="CJ51" s="2977"/>
    </row>
    <row r="52" spans="1:88">
      <c r="A52" s="53">
        <v>1997.07</v>
      </c>
      <c r="B52" s="613">
        <v>94.072075077474594</v>
      </c>
      <c r="C52" s="3532">
        <v>89.776427489162074</v>
      </c>
      <c r="D52" s="360"/>
      <c r="E52" s="361"/>
      <c r="F52" s="2657"/>
      <c r="G52" s="2657"/>
      <c r="H52" s="2657"/>
      <c r="I52" s="2657"/>
      <c r="J52" s="2657"/>
      <c r="K52" s="2657"/>
      <c r="L52" s="2657"/>
      <c r="M52" s="2657"/>
      <c r="N52" s="2657"/>
      <c r="O52" s="2657"/>
      <c r="P52" s="2657"/>
      <c r="Q52" s="2657"/>
      <c r="R52" s="2658"/>
      <c r="S52" s="3649"/>
      <c r="T52" s="3649"/>
      <c r="U52" s="3649"/>
      <c r="V52" s="3649"/>
      <c r="W52" s="3649"/>
      <c r="X52" s="3649"/>
      <c r="Y52" s="3649"/>
      <c r="Z52" s="3649"/>
      <c r="AA52" s="3649"/>
      <c r="AB52" s="3649"/>
      <c r="AC52" s="3649"/>
      <c r="AD52" s="3649"/>
      <c r="AE52" s="3649"/>
      <c r="AF52" s="3649"/>
      <c r="AG52" s="3649"/>
      <c r="AH52" s="3649"/>
      <c r="AI52" s="3649"/>
      <c r="AJ52" s="3649"/>
      <c r="AK52" s="3649"/>
      <c r="AL52" s="3649"/>
      <c r="AM52" s="3649"/>
      <c r="AN52" s="3649"/>
      <c r="AO52" s="3649"/>
      <c r="AP52" s="3649"/>
      <c r="AQ52" s="3649"/>
      <c r="AR52" s="3649"/>
      <c r="AS52" s="3649"/>
      <c r="AT52" s="3649"/>
      <c r="AU52" s="3649"/>
      <c r="AV52" s="3649"/>
      <c r="AW52" s="3649"/>
      <c r="AX52" s="3649"/>
      <c r="AY52" s="3649"/>
      <c r="AZ52" s="3649"/>
      <c r="BA52" s="3649"/>
      <c r="BB52" s="3649"/>
      <c r="BC52" s="3649"/>
      <c r="BD52" s="3649"/>
      <c r="BE52" s="3649"/>
      <c r="BF52" s="3649"/>
      <c r="BG52" s="3649"/>
      <c r="BH52" s="3649"/>
      <c r="BI52" s="3649"/>
      <c r="BJ52" s="3649"/>
      <c r="BK52" s="3649"/>
      <c r="BL52" s="3649"/>
      <c r="BM52" s="3649"/>
      <c r="BN52" s="3649"/>
      <c r="BO52" s="3649"/>
      <c r="BP52" s="3649"/>
      <c r="BQ52" s="3649"/>
      <c r="BR52" s="3649"/>
      <c r="BS52" s="3649"/>
      <c r="BT52" s="3649"/>
      <c r="BU52" s="3649"/>
      <c r="BV52" s="3649"/>
      <c r="BW52" s="3649"/>
      <c r="BX52" s="3649"/>
      <c r="BY52" s="3649"/>
      <c r="BZ52" s="3649"/>
      <c r="CA52" s="3649"/>
      <c r="CB52" s="3649"/>
      <c r="CC52" s="3649"/>
      <c r="CD52" s="3649"/>
      <c r="CE52" s="3649"/>
      <c r="CF52" s="3649"/>
      <c r="CG52" s="3649"/>
      <c r="CH52" s="3649"/>
      <c r="CI52" s="3649"/>
      <c r="CJ52" s="2977"/>
    </row>
    <row r="53" spans="1:88">
      <c r="A53" s="53">
        <v>1997.08</v>
      </c>
      <c r="B53" s="613">
        <v>91.289122455035269</v>
      </c>
      <c r="C53" s="3532">
        <v>89.583056747289149</v>
      </c>
      <c r="D53" s="360"/>
      <c r="E53" s="361"/>
      <c r="F53" s="2657"/>
      <c r="G53" s="2657"/>
      <c r="H53" s="2657"/>
      <c r="I53" s="2657"/>
      <c r="J53" s="2657"/>
      <c r="K53" s="2657"/>
      <c r="L53" s="2657"/>
      <c r="M53" s="2657"/>
      <c r="N53" s="2657"/>
      <c r="O53" s="2657"/>
      <c r="P53" s="2657"/>
      <c r="Q53" s="2657"/>
      <c r="R53" s="2658"/>
      <c r="S53" s="3649"/>
      <c r="T53" s="3649"/>
      <c r="U53" s="3649"/>
      <c r="V53" s="3649"/>
      <c r="W53" s="3649"/>
      <c r="X53" s="3649"/>
      <c r="Y53" s="3649"/>
      <c r="Z53" s="3649"/>
      <c r="AA53" s="3649"/>
      <c r="AB53" s="3649"/>
      <c r="AC53" s="3649"/>
      <c r="AD53" s="3649"/>
      <c r="AE53" s="3649"/>
      <c r="AF53" s="3649"/>
      <c r="AG53" s="3649"/>
      <c r="AH53" s="3649"/>
      <c r="AI53" s="3649"/>
      <c r="AJ53" s="3649"/>
      <c r="AK53" s="3649"/>
      <c r="AL53" s="3649"/>
      <c r="AM53" s="3649"/>
      <c r="AN53" s="3649"/>
      <c r="AO53" s="3649"/>
      <c r="AP53" s="3649"/>
      <c r="AQ53" s="3649"/>
      <c r="AR53" s="3649"/>
      <c r="AS53" s="3649"/>
      <c r="AT53" s="3649"/>
      <c r="AU53" s="3649"/>
      <c r="AV53" s="3649"/>
      <c r="AW53" s="3649"/>
      <c r="AX53" s="3649"/>
      <c r="AY53" s="3649"/>
      <c r="AZ53" s="3649"/>
      <c r="BA53" s="3649"/>
      <c r="BB53" s="3649"/>
      <c r="BC53" s="3649"/>
      <c r="BD53" s="3649"/>
      <c r="BE53" s="3649"/>
      <c r="BF53" s="3649"/>
      <c r="BG53" s="3649"/>
      <c r="BH53" s="3649"/>
      <c r="BI53" s="3649"/>
      <c r="BJ53" s="3649"/>
      <c r="BK53" s="3649"/>
      <c r="BL53" s="3649"/>
      <c r="BM53" s="3649"/>
      <c r="BN53" s="3649"/>
      <c r="BO53" s="3649"/>
      <c r="BP53" s="3649"/>
      <c r="BQ53" s="3649"/>
      <c r="BR53" s="3649"/>
      <c r="BS53" s="3649"/>
      <c r="BT53" s="3649"/>
      <c r="BU53" s="3649"/>
      <c r="BV53" s="3649"/>
      <c r="BW53" s="3649"/>
      <c r="BX53" s="3649"/>
      <c r="BY53" s="3649"/>
      <c r="BZ53" s="3649"/>
      <c r="CA53" s="3649"/>
      <c r="CB53" s="3649"/>
      <c r="CC53" s="3649"/>
      <c r="CD53" s="3649"/>
      <c r="CE53" s="3649"/>
      <c r="CF53" s="3649"/>
      <c r="CG53" s="3649"/>
      <c r="CH53" s="3649"/>
      <c r="CI53" s="3649"/>
      <c r="CJ53" s="2977"/>
    </row>
    <row r="54" spans="1:88">
      <c r="A54" s="53">
        <v>1997.09</v>
      </c>
      <c r="B54" s="613">
        <v>93.699635321311703</v>
      </c>
      <c r="C54" s="3532">
        <v>91.557212650305033</v>
      </c>
      <c r="D54" s="360"/>
      <c r="E54" s="361"/>
      <c r="F54" s="2657"/>
      <c r="G54" s="2657"/>
      <c r="H54" s="2657"/>
      <c r="I54" s="2657"/>
      <c r="J54" s="2657"/>
      <c r="K54" s="2657"/>
      <c r="L54" s="2657"/>
      <c r="M54" s="2657"/>
      <c r="N54" s="2657"/>
      <c r="O54" s="2657"/>
      <c r="P54" s="2657"/>
      <c r="Q54" s="2657"/>
      <c r="R54" s="2658"/>
      <c r="S54" s="3649"/>
      <c r="T54" s="3649"/>
      <c r="U54" s="3649"/>
      <c r="V54" s="3649"/>
      <c r="W54" s="3649"/>
      <c r="X54" s="3649"/>
      <c r="Y54" s="3649"/>
      <c r="Z54" s="3649"/>
      <c r="AA54" s="3649"/>
      <c r="AB54" s="3649"/>
      <c r="AC54" s="3649"/>
      <c r="AD54" s="3649"/>
      <c r="AE54" s="3649"/>
      <c r="AF54" s="3649"/>
      <c r="AG54" s="3649"/>
      <c r="AH54" s="3649"/>
      <c r="AI54" s="3649"/>
      <c r="AJ54" s="3649"/>
      <c r="AK54" s="3649"/>
      <c r="AL54" s="3649"/>
      <c r="AM54" s="3649"/>
      <c r="AN54" s="3649"/>
      <c r="AO54" s="3649"/>
      <c r="AP54" s="3649"/>
      <c r="AQ54" s="3649"/>
      <c r="AR54" s="3649"/>
      <c r="AS54" s="3649"/>
      <c r="AT54" s="3649"/>
      <c r="AU54" s="3649"/>
      <c r="AV54" s="3649"/>
      <c r="AW54" s="3649"/>
      <c r="AX54" s="3649"/>
      <c r="AY54" s="3649"/>
      <c r="AZ54" s="3649"/>
      <c r="BA54" s="3649"/>
      <c r="BB54" s="3649"/>
      <c r="BC54" s="3649"/>
      <c r="BD54" s="3649"/>
      <c r="BE54" s="3649"/>
      <c r="BF54" s="3649"/>
      <c r="BG54" s="3649"/>
      <c r="BH54" s="3649"/>
      <c r="BI54" s="3649"/>
      <c r="BJ54" s="3649"/>
      <c r="BK54" s="3649"/>
      <c r="BL54" s="3649"/>
      <c r="BM54" s="3649"/>
      <c r="BN54" s="3649"/>
      <c r="BO54" s="3649"/>
      <c r="BP54" s="3649"/>
      <c r="BQ54" s="3649"/>
      <c r="BR54" s="3649"/>
      <c r="BS54" s="3649"/>
      <c r="BT54" s="3649"/>
      <c r="BU54" s="3649"/>
      <c r="BV54" s="3649"/>
      <c r="BW54" s="3649"/>
      <c r="BX54" s="3649"/>
      <c r="BY54" s="3649"/>
      <c r="BZ54" s="3649"/>
      <c r="CA54" s="3649"/>
      <c r="CB54" s="3649"/>
      <c r="CC54" s="3649"/>
      <c r="CD54" s="3649"/>
      <c r="CE54" s="3649"/>
      <c r="CF54" s="3649"/>
      <c r="CG54" s="3649"/>
      <c r="CH54" s="3649"/>
      <c r="CI54" s="3649"/>
      <c r="CJ54" s="2977"/>
    </row>
    <row r="55" spans="1:88">
      <c r="A55" s="53">
        <v>1997.1</v>
      </c>
      <c r="B55" s="613">
        <v>98.01372916353175</v>
      </c>
      <c r="C55" s="3532">
        <v>90.88406032083968</v>
      </c>
      <c r="D55" s="360"/>
      <c r="E55" s="361"/>
      <c r="F55" s="2657"/>
      <c r="G55" s="2657"/>
      <c r="H55" s="2657"/>
      <c r="I55" s="2657"/>
      <c r="J55" s="2657"/>
      <c r="K55" s="2657"/>
      <c r="L55" s="2657"/>
      <c r="M55" s="2657"/>
      <c r="N55" s="2657"/>
      <c r="O55" s="2657"/>
      <c r="P55" s="2657"/>
      <c r="Q55" s="2657"/>
      <c r="R55" s="2658"/>
      <c r="S55" s="3649"/>
      <c r="T55" s="3649"/>
      <c r="U55" s="3649"/>
      <c r="V55" s="3649"/>
      <c r="W55" s="3649"/>
      <c r="X55" s="3649"/>
      <c r="Y55" s="3649"/>
      <c r="Z55" s="3649"/>
      <c r="AA55" s="3649"/>
      <c r="AB55" s="3649"/>
      <c r="AC55" s="3649"/>
      <c r="AD55" s="3649"/>
      <c r="AE55" s="3649"/>
      <c r="AF55" s="3649"/>
      <c r="AG55" s="3649"/>
      <c r="AH55" s="3649"/>
      <c r="AI55" s="3649"/>
      <c r="AJ55" s="3649"/>
      <c r="AK55" s="3649"/>
      <c r="AL55" s="3649"/>
      <c r="AM55" s="3649"/>
      <c r="AN55" s="3649"/>
      <c r="AO55" s="3649"/>
      <c r="AP55" s="3649"/>
      <c r="AQ55" s="3649"/>
      <c r="AR55" s="3649"/>
      <c r="AS55" s="3649"/>
      <c r="AT55" s="3649"/>
      <c r="AU55" s="3649"/>
      <c r="AV55" s="3649"/>
      <c r="AW55" s="3649"/>
      <c r="AX55" s="3649"/>
      <c r="AY55" s="3649"/>
      <c r="AZ55" s="3649"/>
      <c r="BA55" s="3649"/>
      <c r="BB55" s="3649"/>
      <c r="BC55" s="3649"/>
      <c r="BD55" s="3649"/>
      <c r="BE55" s="3649"/>
      <c r="BF55" s="3649"/>
      <c r="BG55" s="3649"/>
      <c r="BH55" s="3649"/>
      <c r="BI55" s="3649"/>
      <c r="BJ55" s="3649"/>
      <c r="BK55" s="3649"/>
      <c r="BL55" s="3649"/>
      <c r="BM55" s="3649"/>
      <c r="BN55" s="3649"/>
      <c r="BO55" s="3649"/>
      <c r="BP55" s="3649"/>
      <c r="BQ55" s="3649"/>
      <c r="BR55" s="3649"/>
      <c r="BS55" s="3649"/>
      <c r="BT55" s="3649"/>
      <c r="BU55" s="3649"/>
      <c r="BV55" s="3649"/>
      <c r="BW55" s="3649"/>
      <c r="BX55" s="3649"/>
      <c r="BY55" s="3649"/>
      <c r="BZ55" s="3649"/>
      <c r="CA55" s="3649"/>
      <c r="CB55" s="3649"/>
      <c r="CC55" s="3649"/>
      <c r="CD55" s="3649"/>
      <c r="CE55" s="3649"/>
      <c r="CF55" s="3649"/>
      <c r="CG55" s="3649"/>
      <c r="CH55" s="3649"/>
      <c r="CI55" s="3649"/>
      <c r="CJ55" s="2977"/>
    </row>
    <row r="56" spans="1:88">
      <c r="A56" s="53">
        <v>1997.11</v>
      </c>
      <c r="B56" s="613">
        <v>89.757981235254547</v>
      </c>
      <c r="C56" s="3532">
        <v>90.834572414982233</v>
      </c>
      <c r="D56" s="360"/>
      <c r="E56" s="361"/>
      <c r="F56" s="2657"/>
      <c r="G56" s="2657"/>
      <c r="H56" s="2657"/>
      <c r="I56" s="2657"/>
      <c r="J56" s="2657"/>
      <c r="K56" s="2657"/>
      <c r="L56" s="2657"/>
      <c r="M56" s="2657"/>
      <c r="N56" s="2657"/>
      <c r="O56" s="2657"/>
      <c r="P56" s="2657"/>
      <c r="Q56" s="2657"/>
      <c r="R56" s="2658"/>
      <c r="S56" s="3649"/>
      <c r="T56" s="3649"/>
      <c r="U56" s="3649"/>
      <c r="V56" s="3649"/>
      <c r="W56" s="3649"/>
      <c r="X56" s="3649"/>
      <c r="Y56" s="3649"/>
      <c r="Z56" s="3649"/>
      <c r="AA56" s="3649"/>
      <c r="AB56" s="3649"/>
      <c r="AC56" s="3649"/>
      <c r="AD56" s="3649"/>
      <c r="AE56" s="3649"/>
      <c r="AF56" s="3649"/>
      <c r="AG56" s="3649"/>
      <c r="AH56" s="3649"/>
      <c r="AI56" s="3649"/>
      <c r="AJ56" s="3649"/>
      <c r="AK56" s="3649"/>
      <c r="AL56" s="3649"/>
      <c r="AM56" s="3649"/>
      <c r="AN56" s="3649"/>
      <c r="AO56" s="3649"/>
      <c r="AP56" s="3649"/>
      <c r="AQ56" s="3649"/>
      <c r="AR56" s="3649"/>
      <c r="AS56" s="3649"/>
      <c r="AT56" s="3649"/>
      <c r="AU56" s="3649"/>
      <c r="AV56" s="3649"/>
      <c r="AW56" s="3649"/>
      <c r="AX56" s="3649"/>
      <c r="AY56" s="3649"/>
      <c r="AZ56" s="3649"/>
      <c r="BA56" s="3649"/>
      <c r="BB56" s="3649"/>
      <c r="BC56" s="3649"/>
      <c r="BD56" s="3649"/>
      <c r="BE56" s="3649"/>
      <c r="BF56" s="3649"/>
      <c r="BG56" s="3649"/>
      <c r="BH56" s="3649"/>
      <c r="BI56" s="3649"/>
      <c r="BJ56" s="3649"/>
      <c r="BK56" s="3649"/>
      <c r="BL56" s="3649"/>
      <c r="BM56" s="3649"/>
      <c r="BN56" s="3649"/>
      <c r="BO56" s="3649"/>
      <c r="BP56" s="3649"/>
      <c r="BQ56" s="3649"/>
      <c r="BR56" s="3649"/>
      <c r="BS56" s="3649"/>
      <c r="BT56" s="3649"/>
      <c r="BU56" s="3649"/>
      <c r="BV56" s="3649"/>
      <c r="BW56" s="3649"/>
      <c r="BX56" s="3649"/>
      <c r="BY56" s="3649"/>
      <c r="BZ56" s="3649"/>
      <c r="CA56" s="3649"/>
      <c r="CB56" s="3649"/>
      <c r="CC56" s="3649"/>
      <c r="CD56" s="3649"/>
      <c r="CE56" s="3649"/>
      <c r="CF56" s="3649"/>
      <c r="CG56" s="3649"/>
      <c r="CH56" s="3649"/>
      <c r="CI56" s="3649"/>
      <c r="CJ56" s="2977"/>
    </row>
    <row r="57" spans="1:88">
      <c r="A57" s="53">
        <v>1997.12</v>
      </c>
      <c r="B57" s="613">
        <v>87.306086173848911</v>
      </c>
      <c r="C57" s="3532">
        <v>90.953416638221483</v>
      </c>
      <c r="D57" s="360"/>
      <c r="E57" s="361"/>
      <c r="F57" s="2657"/>
      <c r="G57" s="2657"/>
      <c r="H57" s="2657"/>
      <c r="I57" s="2657"/>
      <c r="J57" s="2657"/>
      <c r="K57" s="2657"/>
      <c r="L57" s="2657"/>
      <c r="M57" s="2657"/>
      <c r="N57" s="2657"/>
      <c r="O57" s="2657"/>
      <c r="P57" s="2657"/>
      <c r="Q57" s="2657"/>
      <c r="R57" s="2658"/>
      <c r="S57" s="3649"/>
      <c r="T57" s="3649"/>
      <c r="U57" s="3649"/>
      <c r="V57" s="3649"/>
      <c r="W57" s="3649"/>
      <c r="X57" s="3649"/>
      <c r="Y57" s="3649"/>
      <c r="Z57" s="3649"/>
      <c r="AA57" s="3649"/>
      <c r="AB57" s="3649"/>
      <c r="AC57" s="3649"/>
      <c r="AD57" s="3649"/>
      <c r="AE57" s="3649"/>
      <c r="AF57" s="3649"/>
      <c r="AG57" s="3649"/>
      <c r="AH57" s="3649"/>
      <c r="AI57" s="3649"/>
      <c r="AJ57" s="3649"/>
      <c r="AK57" s="3649"/>
      <c r="AL57" s="3649"/>
      <c r="AM57" s="3649"/>
      <c r="AN57" s="3649"/>
      <c r="AO57" s="3649"/>
      <c r="AP57" s="3649"/>
      <c r="AQ57" s="3649"/>
      <c r="AR57" s="3649"/>
      <c r="AS57" s="3649"/>
      <c r="AT57" s="3649"/>
      <c r="AU57" s="3649"/>
      <c r="AV57" s="3649"/>
      <c r="AW57" s="3649"/>
      <c r="AX57" s="3649"/>
      <c r="AY57" s="3649"/>
      <c r="AZ57" s="3649"/>
      <c r="BA57" s="3649"/>
      <c r="BB57" s="3649"/>
      <c r="BC57" s="3649"/>
      <c r="BD57" s="3649"/>
      <c r="BE57" s="3649"/>
      <c r="BF57" s="3649"/>
      <c r="BG57" s="3649"/>
      <c r="BH57" s="3649"/>
      <c r="BI57" s="3649"/>
      <c r="BJ57" s="3649"/>
      <c r="BK57" s="3649"/>
      <c r="BL57" s="3649"/>
      <c r="BM57" s="3649"/>
      <c r="BN57" s="3649"/>
      <c r="BO57" s="3649"/>
      <c r="BP57" s="3649"/>
      <c r="BQ57" s="3649"/>
      <c r="BR57" s="3649"/>
      <c r="BS57" s="3649"/>
      <c r="BT57" s="3649"/>
      <c r="BU57" s="3649"/>
      <c r="BV57" s="3649"/>
      <c r="BW57" s="3649"/>
      <c r="BX57" s="3649"/>
      <c r="BY57" s="3649"/>
      <c r="BZ57" s="3649"/>
      <c r="CA57" s="3649"/>
      <c r="CB57" s="3649"/>
      <c r="CC57" s="3649"/>
      <c r="CD57" s="3649"/>
      <c r="CE57" s="3649"/>
      <c r="CF57" s="3649"/>
      <c r="CG57" s="3649"/>
      <c r="CH57" s="3649"/>
      <c r="CI57" s="3649"/>
      <c r="CJ57" s="2977"/>
    </row>
    <row r="58" spans="1:88">
      <c r="A58" s="53">
        <v>1998.01</v>
      </c>
      <c r="B58" s="613">
        <v>79.898673245720474</v>
      </c>
      <c r="C58" s="3532">
        <v>90.002219087093806</v>
      </c>
      <c r="D58" s="360"/>
      <c r="E58" s="361"/>
      <c r="F58" s="2657"/>
      <c r="G58" s="2657"/>
      <c r="H58" s="2657"/>
      <c r="I58" s="2657"/>
      <c r="J58" s="2657"/>
      <c r="K58" s="2657"/>
      <c r="L58" s="2657"/>
      <c r="M58" s="2657"/>
      <c r="N58" s="2657"/>
      <c r="O58" s="2657"/>
      <c r="P58" s="2657"/>
      <c r="Q58" s="2657"/>
      <c r="R58" s="2658"/>
      <c r="S58" s="3649"/>
      <c r="T58" s="3649"/>
      <c r="U58" s="3649"/>
      <c r="V58" s="3649"/>
      <c r="W58" s="3649"/>
      <c r="X58" s="3649"/>
      <c r="Y58" s="3649"/>
      <c r="Z58" s="3649"/>
      <c r="AA58" s="3649"/>
      <c r="AB58" s="3649"/>
      <c r="AC58" s="3649"/>
      <c r="AD58" s="3649"/>
      <c r="AE58" s="3649"/>
      <c r="AF58" s="3649"/>
      <c r="AG58" s="3649"/>
      <c r="AH58" s="3649"/>
      <c r="AI58" s="3649"/>
      <c r="AJ58" s="3649"/>
      <c r="AK58" s="3649"/>
      <c r="AL58" s="3649"/>
      <c r="AM58" s="3649"/>
      <c r="AN58" s="3649"/>
      <c r="AO58" s="3649"/>
      <c r="AP58" s="3649"/>
      <c r="AQ58" s="3649"/>
      <c r="AR58" s="3649"/>
      <c r="AS58" s="3649"/>
      <c r="AT58" s="3649"/>
      <c r="AU58" s="3649"/>
      <c r="AV58" s="3649"/>
      <c r="AW58" s="3649"/>
      <c r="AX58" s="3649"/>
      <c r="AY58" s="3649"/>
      <c r="AZ58" s="3649"/>
      <c r="BA58" s="3649"/>
      <c r="BB58" s="3649"/>
      <c r="BC58" s="3649"/>
      <c r="BD58" s="3649"/>
      <c r="BE58" s="3649"/>
      <c r="BF58" s="3649"/>
      <c r="BG58" s="3649"/>
      <c r="BH58" s="3649"/>
      <c r="BI58" s="3649"/>
      <c r="BJ58" s="3649"/>
      <c r="BK58" s="3649"/>
      <c r="BL58" s="3649"/>
      <c r="BM58" s="3649"/>
      <c r="BN58" s="3649"/>
      <c r="BO58" s="3649"/>
      <c r="BP58" s="3649"/>
      <c r="BQ58" s="3649"/>
      <c r="BR58" s="3649"/>
      <c r="BS58" s="3649"/>
      <c r="BT58" s="3649"/>
      <c r="BU58" s="3649"/>
      <c r="BV58" s="3649"/>
      <c r="BW58" s="3649"/>
      <c r="BX58" s="3649"/>
      <c r="BY58" s="3649"/>
      <c r="BZ58" s="3649"/>
      <c r="CA58" s="3649"/>
      <c r="CB58" s="3649"/>
      <c r="CC58" s="3649"/>
      <c r="CD58" s="3649"/>
      <c r="CE58" s="3649"/>
      <c r="CF58" s="3649"/>
      <c r="CG58" s="3649"/>
      <c r="CH58" s="3649"/>
      <c r="CI58" s="3649"/>
      <c r="CJ58" s="2977"/>
    </row>
    <row r="59" spans="1:88">
      <c r="A59" s="53">
        <v>1998.02</v>
      </c>
      <c r="B59" s="613">
        <v>79.215867026088517</v>
      </c>
      <c r="C59" s="3532">
        <v>90.615400067702168</v>
      </c>
      <c r="D59" s="360"/>
      <c r="E59" s="361"/>
      <c r="F59" s="2657"/>
      <c r="G59" s="2657"/>
      <c r="H59" s="2657"/>
      <c r="I59" s="2657"/>
      <c r="J59" s="2657"/>
      <c r="K59" s="2657"/>
      <c r="L59" s="2657"/>
      <c r="M59" s="2657"/>
      <c r="N59" s="2657"/>
      <c r="O59" s="2657"/>
      <c r="P59" s="2657"/>
      <c r="Q59" s="2657"/>
      <c r="R59" s="2658"/>
      <c r="S59" s="3649"/>
      <c r="T59" s="3649"/>
      <c r="U59" s="3649"/>
      <c r="V59" s="3649"/>
      <c r="W59" s="3649"/>
      <c r="X59" s="3649"/>
      <c r="Y59" s="3649"/>
      <c r="Z59" s="3649"/>
      <c r="AA59" s="3649"/>
      <c r="AB59" s="3649"/>
      <c r="AC59" s="3649"/>
      <c r="AD59" s="3649"/>
      <c r="AE59" s="3649"/>
      <c r="AF59" s="3649"/>
      <c r="AG59" s="3649"/>
      <c r="AH59" s="3649"/>
      <c r="AI59" s="3649"/>
      <c r="AJ59" s="3649"/>
      <c r="AK59" s="3649"/>
      <c r="AL59" s="3649"/>
      <c r="AM59" s="3649"/>
      <c r="AN59" s="3649"/>
      <c r="AO59" s="3649"/>
      <c r="AP59" s="3649"/>
      <c r="AQ59" s="3649"/>
      <c r="AR59" s="3649"/>
      <c r="AS59" s="3649"/>
      <c r="AT59" s="3649"/>
      <c r="AU59" s="3649"/>
      <c r="AV59" s="3649"/>
      <c r="AW59" s="3649"/>
      <c r="AX59" s="3649"/>
      <c r="AY59" s="3649"/>
      <c r="AZ59" s="3649"/>
      <c r="BA59" s="3649"/>
      <c r="BB59" s="3649"/>
      <c r="BC59" s="3649"/>
      <c r="BD59" s="3649"/>
      <c r="BE59" s="3649"/>
      <c r="BF59" s="3649"/>
      <c r="BG59" s="3649"/>
      <c r="BH59" s="3649"/>
      <c r="BI59" s="3649"/>
      <c r="BJ59" s="3649"/>
      <c r="BK59" s="3649"/>
      <c r="BL59" s="3649"/>
      <c r="BM59" s="3649"/>
      <c r="BN59" s="3649"/>
      <c r="BO59" s="3649"/>
      <c r="BP59" s="3649"/>
      <c r="BQ59" s="3649"/>
      <c r="BR59" s="3649"/>
      <c r="BS59" s="3649"/>
      <c r="BT59" s="3649"/>
      <c r="BU59" s="3649"/>
      <c r="BV59" s="3649"/>
      <c r="BW59" s="3649"/>
      <c r="BX59" s="3649"/>
      <c r="BY59" s="3649"/>
      <c r="BZ59" s="3649"/>
      <c r="CA59" s="3649"/>
      <c r="CB59" s="3649"/>
      <c r="CC59" s="3649"/>
      <c r="CD59" s="3649"/>
      <c r="CE59" s="3649"/>
      <c r="CF59" s="3649"/>
      <c r="CG59" s="3649"/>
      <c r="CH59" s="3649"/>
      <c r="CI59" s="3649"/>
      <c r="CJ59" s="2977"/>
    </row>
    <row r="60" spans="1:88">
      <c r="A60" s="53">
        <v>1998.03</v>
      </c>
      <c r="B60" s="613">
        <v>90.326986418281166</v>
      </c>
      <c r="C60" s="3532">
        <v>92.23852677996986</v>
      </c>
      <c r="D60" s="360"/>
      <c r="E60" s="361"/>
      <c r="F60" s="2657"/>
      <c r="G60" s="2657"/>
      <c r="H60" s="2657"/>
      <c r="I60" s="2657"/>
      <c r="J60" s="2657"/>
      <c r="K60" s="2657"/>
      <c r="L60" s="2657"/>
      <c r="M60" s="2657"/>
      <c r="N60" s="2657"/>
      <c r="O60" s="2657"/>
      <c r="P60" s="2657"/>
      <c r="Q60" s="2657"/>
      <c r="R60" s="2658"/>
      <c r="S60" s="3649"/>
      <c r="T60" s="3649"/>
      <c r="U60" s="3649"/>
      <c r="V60" s="3649"/>
      <c r="W60" s="3649"/>
      <c r="X60" s="3649"/>
      <c r="Y60" s="3649"/>
      <c r="Z60" s="3649"/>
      <c r="AA60" s="3649"/>
      <c r="AB60" s="3649"/>
      <c r="AC60" s="3649"/>
      <c r="AD60" s="3649"/>
      <c r="AE60" s="3649"/>
      <c r="AF60" s="3649"/>
      <c r="AG60" s="3649"/>
      <c r="AH60" s="3649"/>
      <c r="AI60" s="3649"/>
      <c r="AJ60" s="3649"/>
      <c r="AK60" s="3649"/>
      <c r="AL60" s="3649"/>
      <c r="AM60" s="3649"/>
      <c r="AN60" s="3649"/>
      <c r="AO60" s="3649"/>
      <c r="AP60" s="3649"/>
      <c r="AQ60" s="3649"/>
      <c r="AR60" s="3649"/>
      <c r="AS60" s="3649"/>
      <c r="AT60" s="3649"/>
      <c r="AU60" s="3649"/>
      <c r="AV60" s="3649"/>
      <c r="AW60" s="3649"/>
      <c r="AX60" s="3649"/>
      <c r="AY60" s="3649"/>
      <c r="AZ60" s="3649"/>
      <c r="BA60" s="3649"/>
      <c r="BB60" s="3649"/>
      <c r="BC60" s="3649"/>
      <c r="BD60" s="3649"/>
      <c r="BE60" s="3649"/>
      <c r="BF60" s="3649"/>
      <c r="BG60" s="3649"/>
      <c r="BH60" s="3649"/>
      <c r="BI60" s="3649"/>
      <c r="BJ60" s="3649"/>
      <c r="BK60" s="3649"/>
      <c r="BL60" s="3649"/>
      <c r="BM60" s="3649"/>
      <c r="BN60" s="3649"/>
      <c r="BO60" s="3649"/>
      <c r="BP60" s="3649"/>
      <c r="BQ60" s="3649"/>
      <c r="BR60" s="3649"/>
      <c r="BS60" s="3649"/>
      <c r="BT60" s="3649"/>
      <c r="BU60" s="3649"/>
      <c r="BV60" s="3649"/>
      <c r="BW60" s="3649"/>
      <c r="BX60" s="3649"/>
      <c r="BY60" s="3649"/>
      <c r="BZ60" s="3649"/>
      <c r="CA60" s="3649"/>
      <c r="CB60" s="3649"/>
      <c r="CC60" s="3649"/>
      <c r="CD60" s="3649"/>
      <c r="CE60" s="3649"/>
      <c r="CF60" s="3649"/>
      <c r="CG60" s="3649"/>
      <c r="CH60" s="3649"/>
      <c r="CI60" s="3649"/>
      <c r="CJ60" s="2977"/>
    </row>
    <row r="61" spans="1:88">
      <c r="A61" s="53">
        <v>1998.04</v>
      </c>
      <c r="B61" s="613">
        <v>90.213185381675828</v>
      </c>
      <c r="C61" s="3532">
        <v>92.541570191378227</v>
      </c>
      <c r="D61" s="360"/>
      <c r="E61" s="361"/>
      <c r="F61" s="2657"/>
      <c r="G61" s="2657"/>
      <c r="H61" s="2657"/>
      <c r="I61" s="2657"/>
      <c r="J61" s="2657"/>
      <c r="K61" s="2657"/>
      <c r="L61" s="2657"/>
      <c r="M61" s="2657"/>
      <c r="N61" s="2657"/>
      <c r="O61" s="2657"/>
      <c r="P61" s="2657"/>
      <c r="Q61" s="2657"/>
      <c r="R61" s="2658"/>
      <c r="S61" s="3649"/>
      <c r="T61" s="3649"/>
      <c r="U61" s="3649"/>
      <c r="V61" s="3649"/>
      <c r="W61" s="3649"/>
      <c r="X61" s="3649"/>
      <c r="Y61" s="3649"/>
      <c r="Z61" s="3649"/>
      <c r="AA61" s="3649"/>
      <c r="AB61" s="3649"/>
      <c r="AC61" s="3649"/>
      <c r="AD61" s="3649"/>
      <c r="AE61" s="3649"/>
      <c r="AF61" s="3649"/>
      <c r="AG61" s="3649"/>
      <c r="AH61" s="3649"/>
      <c r="AI61" s="3649"/>
      <c r="AJ61" s="3649"/>
      <c r="AK61" s="3649"/>
      <c r="AL61" s="3649"/>
      <c r="AM61" s="3649"/>
      <c r="AN61" s="3649"/>
      <c r="AO61" s="3649"/>
      <c r="AP61" s="3649"/>
      <c r="AQ61" s="3649"/>
      <c r="AR61" s="3649"/>
      <c r="AS61" s="3649"/>
      <c r="AT61" s="3649"/>
      <c r="AU61" s="3649"/>
      <c r="AV61" s="3649"/>
      <c r="AW61" s="3649"/>
      <c r="AX61" s="3649"/>
      <c r="AY61" s="3649"/>
      <c r="AZ61" s="3649"/>
      <c r="BA61" s="3649"/>
      <c r="BB61" s="3649"/>
      <c r="BC61" s="3649"/>
      <c r="BD61" s="3649"/>
      <c r="BE61" s="3649"/>
      <c r="BF61" s="3649"/>
      <c r="BG61" s="3649"/>
      <c r="BH61" s="3649"/>
      <c r="BI61" s="3649"/>
      <c r="BJ61" s="3649"/>
      <c r="BK61" s="3649"/>
      <c r="BL61" s="3649"/>
      <c r="BM61" s="3649"/>
      <c r="BN61" s="3649"/>
      <c r="BO61" s="3649"/>
      <c r="BP61" s="3649"/>
      <c r="BQ61" s="3649"/>
      <c r="BR61" s="3649"/>
      <c r="BS61" s="3649"/>
      <c r="BT61" s="3649"/>
      <c r="BU61" s="3649"/>
      <c r="BV61" s="3649"/>
      <c r="BW61" s="3649"/>
      <c r="BX61" s="3649"/>
      <c r="BY61" s="3649"/>
      <c r="BZ61" s="3649"/>
      <c r="CA61" s="3649"/>
      <c r="CB61" s="3649"/>
      <c r="CC61" s="3649"/>
      <c r="CD61" s="3649"/>
      <c r="CE61" s="3649"/>
      <c r="CF61" s="3649"/>
      <c r="CG61" s="3649"/>
      <c r="CH61" s="3649"/>
      <c r="CI61" s="3649"/>
      <c r="CJ61" s="2977"/>
    </row>
    <row r="62" spans="1:88">
      <c r="A62" s="53">
        <v>1998.05</v>
      </c>
      <c r="B62" s="613">
        <v>88.599279771636674</v>
      </c>
      <c r="C62" s="3532">
        <v>91.894204011044494</v>
      </c>
      <c r="D62" s="360"/>
      <c r="E62" s="361"/>
      <c r="F62" s="2657"/>
      <c r="G62" s="2657"/>
      <c r="H62" s="2657"/>
      <c r="I62" s="2657"/>
      <c r="J62" s="2657"/>
      <c r="K62" s="2657"/>
      <c r="L62" s="2657"/>
      <c r="M62" s="2657"/>
      <c r="N62" s="2657"/>
      <c r="O62" s="2657"/>
      <c r="P62" s="2657"/>
      <c r="Q62" s="2657"/>
      <c r="R62" s="2658"/>
      <c r="S62" s="3649"/>
      <c r="T62" s="3649"/>
      <c r="U62" s="3649"/>
      <c r="V62" s="3649"/>
      <c r="W62" s="3649"/>
      <c r="X62" s="3649"/>
      <c r="Y62" s="3649"/>
      <c r="Z62" s="3649"/>
      <c r="AA62" s="3649"/>
      <c r="AB62" s="3649"/>
      <c r="AC62" s="3649"/>
      <c r="AD62" s="3649"/>
      <c r="AE62" s="3649"/>
      <c r="AF62" s="3649"/>
      <c r="AG62" s="3649"/>
      <c r="AH62" s="3649"/>
      <c r="AI62" s="3649"/>
      <c r="AJ62" s="3649"/>
      <c r="AK62" s="3649"/>
      <c r="AL62" s="3649"/>
      <c r="AM62" s="3649"/>
      <c r="AN62" s="3649"/>
      <c r="AO62" s="3649"/>
      <c r="AP62" s="3649"/>
      <c r="AQ62" s="3649"/>
      <c r="AR62" s="3649"/>
      <c r="AS62" s="3649"/>
      <c r="AT62" s="3649"/>
      <c r="AU62" s="3649"/>
      <c r="AV62" s="3649"/>
      <c r="AW62" s="3649"/>
      <c r="AX62" s="3649"/>
      <c r="AY62" s="3649"/>
      <c r="AZ62" s="3649"/>
      <c r="BA62" s="3649"/>
      <c r="BB62" s="3649"/>
      <c r="BC62" s="3649"/>
      <c r="BD62" s="3649"/>
      <c r="BE62" s="3649"/>
      <c r="BF62" s="3649"/>
      <c r="BG62" s="3649"/>
      <c r="BH62" s="3649"/>
      <c r="BI62" s="3649"/>
      <c r="BJ62" s="3649"/>
      <c r="BK62" s="3649"/>
      <c r="BL62" s="3649"/>
      <c r="BM62" s="3649"/>
      <c r="BN62" s="3649"/>
      <c r="BO62" s="3649"/>
      <c r="BP62" s="3649"/>
      <c r="BQ62" s="3649"/>
      <c r="BR62" s="3649"/>
      <c r="BS62" s="3649"/>
      <c r="BT62" s="3649"/>
      <c r="BU62" s="3649"/>
      <c r="BV62" s="3649"/>
      <c r="BW62" s="3649"/>
      <c r="BX62" s="3649"/>
      <c r="BY62" s="3649"/>
      <c r="BZ62" s="3649"/>
      <c r="CA62" s="3649"/>
      <c r="CB62" s="3649"/>
      <c r="CC62" s="3649"/>
      <c r="CD62" s="3649"/>
      <c r="CE62" s="3649"/>
      <c r="CF62" s="3649"/>
      <c r="CG62" s="3649"/>
      <c r="CH62" s="3649"/>
      <c r="CI62" s="3649"/>
      <c r="CJ62" s="2977"/>
    </row>
    <row r="63" spans="1:88">
      <c r="A63" s="53">
        <v>1998.06</v>
      </c>
      <c r="B63" s="613">
        <v>92.840954772380599</v>
      </c>
      <c r="C63" s="3532">
        <v>93.474999176840598</v>
      </c>
      <c r="D63" s="360"/>
      <c r="E63" s="361"/>
      <c r="F63" s="2657"/>
      <c r="G63" s="2657"/>
      <c r="H63" s="2657"/>
      <c r="I63" s="2657"/>
      <c r="J63" s="2657"/>
      <c r="K63" s="2657"/>
      <c r="L63" s="2657"/>
      <c r="M63" s="2657"/>
      <c r="N63" s="2657"/>
      <c r="O63" s="2657"/>
      <c r="P63" s="2657"/>
      <c r="Q63" s="2657"/>
      <c r="R63" s="2658"/>
      <c r="S63" s="3649"/>
      <c r="T63" s="3649"/>
      <c r="U63" s="3649"/>
      <c r="V63" s="3649"/>
      <c r="W63" s="3649"/>
      <c r="X63" s="3649"/>
      <c r="Y63" s="3649"/>
      <c r="Z63" s="3649"/>
      <c r="AA63" s="3649"/>
      <c r="AB63" s="3649"/>
      <c r="AC63" s="3649"/>
      <c r="AD63" s="3649"/>
      <c r="AE63" s="3649"/>
      <c r="AF63" s="3649"/>
      <c r="AG63" s="3649"/>
      <c r="AH63" s="3649"/>
      <c r="AI63" s="3649"/>
      <c r="AJ63" s="3649"/>
      <c r="AK63" s="3649"/>
      <c r="AL63" s="3649"/>
      <c r="AM63" s="3649"/>
      <c r="AN63" s="3649"/>
      <c r="AO63" s="3649"/>
      <c r="AP63" s="3649"/>
      <c r="AQ63" s="3649"/>
      <c r="AR63" s="3649"/>
      <c r="AS63" s="3649"/>
      <c r="AT63" s="3649"/>
      <c r="AU63" s="3649"/>
      <c r="AV63" s="3649"/>
      <c r="AW63" s="3649"/>
      <c r="AX63" s="3649"/>
      <c r="AY63" s="3649"/>
      <c r="AZ63" s="3649"/>
      <c r="BA63" s="3649"/>
      <c r="BB63" s="3649"/>
      <c r="BC63" s="3649"/>
      <c r="BD63" s="3649"/>
      <c r="BE63" s="3649"/>
      <c r="BF63" s="3649"/>
      <c r="BG63" s="3649"/>
      <c r="BH63" s="3649"/>
      <c r="BI63" s="3649"/>
      <c r="BJ63" s="3649"/>
      <c r="BK63" s="3649"/>
      <c r="BL63" s="3649"/>
      <c r="BM63" s="3649"/>
      <c r="BN63" s="3649"/>
      <c r="BO63" s="3649"/>
      <c r="BP63" s="3649"/>
      <c r="BQ63" s="3649"/>
      <c r="BR63" s="3649"/>
      <c r="BS63" s="3649"/>
      <c r="BT63" s="3649"/>
      <c r="BU63" s="3649"/>
      <c r="BV63" s="3649"/>
      <c r="BW63" s="3649"/>
      <c r="BX63" s="3649"/>
      <c r="BY63" s="3649"/>
      <c r="BZ63" s="3649"/>
      <c r="CA63" s="3649"/>
      <c r="CB63" s="3649"/>
      <c r="CC63" s="3649"/>
      <c r="CD63" s="3649"/>
      <c r="CE63" s="3649"/>
      <c r="CF63" s="3649"/>
      <c r="CG63" s="3649"/>
      <c r="CH63" s="3649"/>
      <c r="CI63" s="3649"/>
      <c r="CJ63" s="2977"/>
    </row>
    <row r="64" spans="1:88">
      <c r="A64" s="53">
        <v>1998.07</v>
      </c>
      <c r="B64" s="613">
        <v>96.141184833935043</v>
      </c>
      <c r="C64" s="3532">
        <v>92.254977007893316</v>
      </c>
      <c r="D64" s="360"/>
      <c r="E64" s="361"/>
      <c r="F64" s="2657"/>
      <c r="G64" s="2657"/>
      <c r="H64" s="2657"/>
      <c r="I64" s="2657"/>
      <c r="J64" s="2657"/>
      <c r="K64" s="2657"/>
      <c r="L64" s="2657"/>
      <c r="M64" s="2657"/>
      <c r="N64" s="2657"/>
      <c r="O64" s="2657"/>
      <c r="P64" s="2657"/>
      <c r="Q64" s="2657"/>
      <c r="R64" s="2658"/>
      <c r="S64" s="3649"/>
      <c r="T64" s="3649"/>
      <c r="U64" s="3649"/>
      <c r="V64" s="3649"/>
      <c r="W64" s="3649"/>
      <c r="X64" s="3649"/>
      <c r="Y64" s="3649"/>
      <c r="Z64" s="3649"/>
      <c r="AA64" s="3649"/>
      <c r="AB64" s="3649"/>
      <c r="AC64" s="3649"/>
      <c r="AD64" s="3649"/>
      <c r="AE64" s="3649"/>
      <c r="AF64" s="3649"/>
      <c r="AG64" s="3649"/>
      <c r="AH64" s="3649"/>
      <c r="AI64" s="3649"/>
      <c r="AJ64" s="3649"/>
      <c r="AK64" s="3649"/>
      <c r="AL64" s="3649"/>
      <c r="AM64" s="3649"/>
      <c r="AN64" s="3649"/>
      <c r="AO64" s="3649"/>
      <c r="AP64" s="3649"/>
      <c r="AQ64" s="3649"/>
      <c r="AR64" s="3649"/>
      <c r="AS64" s="3649"/>
      <c r="AT64" s="3649"/>
      <c r="AU64" s="3649"/>
      <c r="AV64" s="3649"/>
      <c r="AW64" s="3649"/>
      <c r="AX64" s="3649"/>
      <c r="AY64" s="3649"/>
      <c r="AZ64" s="3649"/>
      <c r="BA64" s="3649"/>
      <c r="BB64" s="3649"/>
      <c r="BC64" s="3649"/>
      <c r="BD64" s="3649"/>
      <c r="BE64" s="3649"/>
      <c r="BF64" s="3649"/>
      <c r="BG64" s="3649"/>
      <c r="BH64" s="3649"/>
      <c r="BI64" s="3649"/>
      <c r="BJ64" s="3649"/>
      <c r="BK64" s="3649"/>
      <c r="BL64" s="3649"/>
      <c r="BM64" s="3649"/>
      <c r="BN64" s="3649"/>
      <c r="BO64" s="3649"/>
      <c r="BP64" s="3649"/>
      <c r="BQ64" s="3649"/>
      <c r="BR64" s="3649"/>
      <c r="BS64" s="3649"/>
      <c r="BT64" s="3649"/>
      <c r="BU64" s="3649"/>
      <c r="BV64" s="3649"/>
      <c r="BW64" s="3649"/>
      <c r="BX64" s="3649"/>
      <c r="BY64" s="3649"/>
      <c r="BZ64" s="3649"/>
      <c r="CA64" s="3649"/>
      <c r="CB64" s="3649"/>
      <c r="CC64" s="3649"/>
      <c r="CD64" s="3649"/>
      <c r="CE64" s="3649"/>
      <c r="CF64" s="3649"/>
      <c r="CG64" s="3649"/>
      <c r="CH64" s="3649"/>
      <c r="CI64" s="3649"/>
      <c r="CJ64" s="2977"/>
    </row>
    <row r="65" spans="1:88">
      <c r="A65" s="53">
        <v>1998.08</v>
      </c>
      <c r="B65" s="613">
        <v>93.792745260352419</v>
      </c>
      <c r="C65" s="3532">
        <v>92.160119823942537</v>
      </c>
      <c r="D65" s="360"/>
      <c r="E65" s="361"/>
      <c r="F65" s="2657"/>
      <c r="G65" s="2657"/>
      <c r="H65" s="2657"/>
      <c r="I65" s="2657"/>
      <c r="J65" s="2657"/>
      <c r="K65" s="2657"/>
      <c r="L65" s="2657"/>
      <c r="M65" s="2657"/>
      <c r="N65" s="2657"/>
      <c r="O65" s="2657"/>
      <c r="P65" s="2657"/>
      <c r="Q65" s="2657"/>
      <c r="R65" s="2658"/>
      <c r="S65" s="3649"/>
      <c r="T65" s="3649"/>
      <c r="U65" s="3649"/>
      <c r="V65" s="3649"/>
      <c r="W65" s="3649"/>
      <c r="X65" s="3649"/>
      <c r="Y65" s="3649"/>
      <c r="Z65" s="3649"/>
      <c r="AA65" s="3649"/>
      <c r="AB65" s="3649"/>
      <c r="AC65" s="3649"/>
      <c r="AD65" s="3649"/>
      <c r="AE65" s="3649"/>
      <c r="AF65" s="3649"/>
      <c r="AG65" s="3649"/>
      <c r="AH65" s="3649"/>
      <c r="AI65" s="3649"/>
      <c r="AJ65" s="3649"/>
      <c r="AK65" s="3649"/>
      <c r="AL65" s="3649"/>
      <c r="AM65" s="3649"/>
      <c r="AN65" s="3649"/>
      <c r="AO65" s="3649"/>
      <c r="AP65" s="3649"/>
      <c r="AQ65" s="3649"/>
      <c r="AR65" s="3649"/>
      <c r="AS65" s="3649"/>
      <c r="AT65" s="3649"/>
      <c r="AU65" s="3649"/>
      <c r="AV65" s="3649"/>
      <c r="AW65" s="3649"/>
      <c r="AX65" s="3649"/>
      <c r="AY65" s="3649"/>
      <c r="AZ65" s="3649"/>
      <c r="BA65" s="3649"/>
      <c r="BB65" s="3649"/>
      <c r="BC65" s="3649"/>
      <c r="BD65" s="3649"/>
      <c r="BE65" s="3649"/>
      <c r="BF65" s="3649"/>
      <c r="BG65" s="3649"/>
      <c r="BH65" s="3649"/>
      <c r="BI65" s="3649"/>
      <c r="BJ65" s="3649"/>
      <c r="BK65" s="3649"/>
      <c r="BL65" s="3649"/>
      <c r="BM65" s="3649"/>
      <c r="BN65" s="3649"/>
      <c r="BO65" s="3649"/>
      <c r="BP65" s="3649"/>
      <c r="BQ65" s="3649"/>
      <c r="BR65" s="3649"/>
      <c r="BS65" s="3649"/>
      <c r="BT65" s="3649"/>
      <c r="BU65" s="3649"/>
      <c r="BV65" s="3649"/>
      <c r="BW65" s="3649"/>
      <c r="BX65" s="3649"/>
      <c r="BY65" s="3649"/>
      <c r="BZ65" s="3649"/>
      <c r="CA65" s="3649"/>
      <c r="CB65" s="3649"/>
      <c r="CC65" s="3649"/>
      <c r="CD65" s="3649"/>
      <c r="CE65" s="3649"/>
      <c r="CF65" s="3649"/>
      <c r="CG65" s="3649"/>
      <c r="CH65" s="3649"/>
      <c r="CI65" s="3649"/>
      <c r="CJ65" s="2977"/>
    </row>
    <row r="66" spans="1:88">
      <c r="A66" s="53">
        <v>1998.09</v>
      </c>
      <c r="B66" s="613">
        <v>92.903028065074423</v>
      </c>
      <c r="C66" s="3532">
        <v>90.166261078839298</v>
      </c>
      <c r="D66" s="360"/>
      <c r="E66" s="361"/>
      <c r="F66" s="2657"/>
      <c r="G66" s="2657"/>
      <c r="H66" s="2657"/>
      <c r="I66" s="2657"/>
      <c r="J66" s="2657"/>
      <c r="K66" s="2657"/>
      <c r="L66" s="2657"/>
      <c r="M66" s="2657"/>
      <c r="N66" s="2657"/>
      <c r="O66" s="2657"/>
      <c r="P66" s="2657"/>
      <c r="Q66" s="2657"/>
      <c r="R66" s="2658"/>
      <c r="S66" s="3649"/>
      <c r="T66" s="3649"/>
      <c r="U66" s="3649"/>
      <c r="V66" s="3649"/>
      <c r="W66" s="3649"/>
      <c r="X66" s="3649"/>
      <c r="Y66" s="3649"/>
      <c r="Z66" s="3649"/>
      <c r="AA66" s="3649"/>
      <c r="AB66" s="3649"/>
      <c r="AC66" s="3649"/>
      <c r="AD66" s="3649"/>
      <c r="AE66" s="3649"/>
      <c r="AF66" s="3649"/>
      <c r="AG66" s="3649"/>
      <c r="AH66" s="3649"/>
      <c r="AI66" s="3649"/>
      <c r="AJ66" s="3649"/>
      <c r="AK66" s="3649"/>
      <c r="AL66" s="3649"/>
      <c r="AM66" s="3649"/>
      <c r="AN66" s="3649"/>
      <c r="AO66" s="3649"/>
      <c r="AP66" s="3649"/>
      <c r="AQ66" s="3649"/>
      <c r="AR66" s="3649"/>
      <c r="AS66" s="3649"/>
      <c r="AT66" s="3649"/>
      <c r="AU66" s="3649"/>
      <c r="AV66" s="3649"/>
      <c r="AW66" s="3649"/>
      <c r="AX66" s="3649"/>
      <c r="AY66" s="3649"/>
      <c r="AZ66" s="3649"/>
      <c r="BA66" s="3649"/>
      <c r="BB66" s="3649"/>
      <c r="BC66" s="3649"/>
      <c r="BD66" s="3649"/>
      <c r="BE66" s="3649"/>
      <c r="BF66" s="3649"/>
      <c r="BG66" s="3649"/>
      <c r="BH66" s="3649"/>
      <c r="BI66" s="3649"/>
      <c r="BJ66" s="3649"/>
      <c r="BK66" s="3649"/>
      <c r="BL66" s="3649"/>
      <c r="BM66" s="3649"/>
      <c r="BN66" s="3649"/>
      <c r="BO66" s="3649"/>
      <c r="BP66" s="3649"/>
      <c r="BQ66" s="3649"/>
      <c r="BR66" s="3649"/>
      <c r="BS66" s="3649"/>
      <c r="BT66" s="3649"/>
      <c r="BU66" s="3649"/>
      <c r="BV66" s="3649"/>
      <c r="BW66" s="3649"/>
      <c r="BX66" s="3649"/>
      <c r="BY66" s="3649"/>
      <c r="BZ66" s="3649"/>
      <c r="CA66" s="3649"/>
      <c r="CB66" s="3649"/>
      <c r="CC66" s="3649"/>
      <c r="CD66" s="3649"/>
      <c r="CE66" s="3649"/>
      <c r="CF66" s="3649"/>
      <c r="CG66" s="3649"/>
      <c r="CH66" s="3649"/>
      <c r="CI66" s="3649"/>
      <c r="CJ66" s="2977"/>
    </row>
    <row r="67" spans="1:88">
      <c r="A67" s="53">
        <v>1998.1</v>
      </c>
      <c r="B67" s="613">
        <v>92.603007150387668</v>
      </c>
      <c r="C67" s="3532">
        <v>89.152927568034698</v>
      </c>
      <c r="D67" s="360"/>
      <c r="E67" s="361"/>
      <c r="F67" s="2657"/>
      <c r="G67" s="2657"/>
      <c r="H67" s="2657"/>
      <c r="I67" s="2657"/>
      <c r="J67" s="2657"/>
      <c r="K67" s="2657"/>
      <c r="L67" s="2657"/>
      <c r="M67" s="2657"/>
      <c r="N67" s="2657"/>
      <c r="O67" s="2657"/>
      <c r="P67" s="2657"/>
      <c r="Q67" s="2657"/>
      <c r="R67" s="2658"/>
      <c r="S67" s="3649"/>
      <c r="T67" s="3649"/>
      <c r="U67" s="3649"/>
      <c r="V67" s="3649"/>
      <c r="W67" s="3649"/>
      <c r="X67" s="3649"/>
      <c r="Y67" s="3649"/>
      <c r="Z67" s="3649"/>
      <c r="AA67" s="3649"/>
      <c r="AB67" s="3649"/>
      <c r="AC67" s="3649"/>
      <c r="AD67" s="3649"/>
      <c r="AE67" s="3649"/>
      <c r="AF67" s="3649"/>
      <c r="AG67" s="3649"/>
      <c r="AH67" s="3649"/>
      <c r="AI67" s="3649"/>
      <c r="AJ67" s="3649"/>
      <c r="AK67" s="3649"/>
      <c r="AL67" s="3649"/>
      <c r="AM67" s="3649"/>
      <c r="AN67" s="3649"/>
      <c r="AO67" s="3649"/>
      <c r="AP67" s="3649"/>
      <c r="AQ67" s="3649"/>
      <c r="AR67" s="3649"/>
      <c r="AS67" s="3649"/>
      <c r="AT67" s="3649"/>
      <c r="AU67" s="3649"/>
      <c r="AV67" s="3649"/>
      <c r="AW67" s="3649"/>
      <c r="AX67" s="3649"/>
      <c r="AY67" s="3649"/>
      <c r="AZ67" s="3649"/>
      <c r="BA67" s="3649"/>
      <c r="BB67" s="3649"/>
      <c r="BC67" s="3649"/>
      <c r="BD67" s="3649"/>
      <c r="BE67" s="3649"/>
      <c r="BF67" s="3649"/>
      <c r="BG67" s="3649"/>
      <c r="BH67" s="3649"/>
      <c r="BI67" s="3649"/>
      <c r="BJ67" s="3649"/>
      <c r="BK67" s="3649"/>
      <c r="BL67" s="3649"/>
      <c r="BM67" s="3649"/>
      <c r="BN67" s="3649"/>
      <c r="BO67" s="3649"/>
      <c r="BP67" s="3649"/>
      <c r="BQ67" s="3649"/>
      <c r="BR67" s="3649"/>
      <c r="BS67" s="3649"/>
      <c r="BT67" s="3649"/>
      <c r="BU67" s="3649"/>
      <c r="BV67" s="3649"/>
      <c r="BW67" s="3649"/>
      <c r="BX67" s="3649"/>
      <c r="BY67" s="3649"/>
      <c r="BZ67" s="3649"/>
      <c r="CA67" s="3649"/>
      <c r="CB67" s="3649"/>
      <c r="CC67" s="3649"/>
      <c r="CD67" s="3649"/>
      <c r="CE67" s="3649"/>
      <c r="CF67" s="3649"/>
      <c r="CG67" s="3649"/>
      <c r="CH67" s="3649"/>
      <c r="CI67" s="3649"/>
      <c r="CJ67" s="2977"/>
    </row>
    <row r="68" spans="1:88">
      <c r="A68" s="53">
        <v>1998.11</v>
      </c>
      <c r="B68" s="613">
        <v>87.740599222705598</v>
      </c>
      <c r="C68" s="3532">
        <v>87.634319938094848</v>
      </c>
      <c r="D68" s="360"/>
      <c r="E68" s="361"/>
      <c r="F68" s="2657"/>
      <c r="G68" s="2657"/>
      <c r="H68" s="2657"/>
      <c r="I68" s="2657"/>
      <c r="J68" s="2657"/>
      <c r="K68" s="2657"/>
      <c r="L68" s="2657"/>
      <c r="M68" s="2657"/>
      <c r="N68" s="2657"/>
      <c r="O68" s="2657"/>
      <c r="P68" s="2657"/>
      <c r="Q68" s="2657"/>
      <c r="R68" s="2658"/>
      <c r="S68" s="3649"/>
      <c r="T68" s="3649"/>
      <c r="U68" s="3649"/>
      <c r="V68" s="3649"/>
      <c r="W68" s="3649"/>
      <c r="X68" s="3649"/>
      <c r="Y68" s="3649"/>
      <c r="Z68" s="3649"/>
      <c r="AA68" s="3649"/>
      <c r="AB68" s="3649"/>
      <c r="AC68" s="3649"/>
      <c r="AD68" s="3649"/>
      <c r="AE68" s="3649"/>
      <c r="AF68" s="3649"/>
      <c r="AG68" s="3649"/>
      <c r="AH68" s="3649"/>
      <c r="AI68" s="3649"/>
      <c r="AJ68" s="3649"/>
      <c r="AK68" s="3649"/>
      <c r="AL68" s="3649"/>
      <c r="AM68" s="3649"/>
      <c r="AN68" s="3649"/>
      <c r="AO68" s="3649"/>
      <c r="AP68" s="3649"/>
      <c r="AQ68" s="3649"/>
      <c r="AR68" s="3649"/>
      <c r="AS68" s="3649"/>
      <c r="AT68" s="3649"/>
      <c r="AU68" s="3649"/>
      <c r="AV68" s="3649"/>
      <c r="AW68" s="3649"/>
      <c r="AX68" s="3649"/>
      <c r="AY68" s="3649"/>
      <c r="AZ68" s="3649"/>
      <c r="BA68" s="3649"/>
      <c r="BB68" s="3649"/>
      <c r="BC68" s="3649"/>
      <c r="BD68" s="3649"/>
      <c r="BE68" s="3649"/>
      <c r="BF68" s="3649"/>
      <c r="BG68" s="3649"/>
      <c r="BH68" s="3649"/>
      <c r="BI68" s="3649"/>
      <c r="BJ68" s="3649"/>
      <c r="BK68" s="3649"/>
      <c r="BL68" s="3649"/>
      <c r="BM68" s="3649"/>
      <c r="BN68" s="3649"/>
      <c r="BO68" s="3649"/>
      <c r="BP68" s="3649"/>
      <c r="BQ68" s="3649"/>
      <c r="BR68" s="3649"/>
      <c r="BS68" s="3649"/>
      <c r="BT68" s="3649"/>
      <c r="BU68" s="3649"/>
      <c r="BV68" s="3649"/>
      <c r="BW68" s="3649"/>
      <c r="BX68" s="3649"/>
      <c r="BY68" s="3649"/>
      <c r="BZ68" s="3649"/>
      <c r="CA68" s="3649"/>
      <c r="CB68" s="3649"/>
      <c r="CC68" s="3649"/>
      <c r="CD68" s="3649"/>
      <c r="CE68" s="3649"/>
      <c r="CF68" s="3649"/>
      <c r="CG68" s="3649"/>
      <c r="CH68" s="3649"/>
      <c r="CI68" s="3649"/>
      <c r="CJ68" s="2977"/>
    </row>
    <row r="69" spans="1:88">
      <c r="A69" s="53">
        <v>1998.12</v>
      </c>
      <c r="B69" s="613">
        <v>82.112620685133166</v>
      </c>
      <c r="C69" s="3532">
        <v>85.694633993432035</v>
      </c>
      <c r="D69" s="360"/>
      <c r="E69" s="361"/>
      <c r="F69" s="2657"/>
      <c r="G69" s="2657"/>
      <c r="H69" s="2657"/>
      <c r="I69" s="2657"/>
      <c r="J69" s="2657"/>
      <c r="K69" s="2657"/>
      <c r="L69" s="2657"/>
      <c r="M69" s="2657"/>
      <c r="N69" s="2657"/>
      <c r="O69" s="2657"/>
      <c r="P69" s="2657"/>
      <c r="Q69" s="2657"/>
      <c r="R69" s="2658"/>
      <c r="S69" s="3649"/>
      <c r="T69" s="3649"/>
      <c r="U69" s="3649"/>
      <c r="V69" s="3649"/>
      <c r="W69" s="3649"/>
      <c r="X69" s="3649"/>
      <c r="Y69" s="3649"/>
      <c r="Z69" s="3649"/>
      <c r="AA69" s="3649"/>
      <c r="AB69" s="3649"/>
      <c r="AC69" s="3649"/>
      <c r="AD69" s="3649"/>
      <c r="AE69" s="3649"/>
      <c r="AF69" s="3649"/>
      <c r="AG69" s="3649"/>
      <c r="AH69" s="3649"/>
      <c r="AI69" s="3649"/>
      <c r="AJ69" s="3649"/>
      <c r="AK69" s="3649"/>
      <c r="AL69" s="3649"/>
      <c r="AM69" s="3649"/>
      <c r="AN69" s="3649"/>
      <c r="AO69" s="3649"/>
      <c r="AP69" s="3649"/>
      <c r="AQ69" s="3649"/>
      <c r="AR69" s="3649"/>
      <c r="AS69" s="3649"/>
      <c r="AT69" s="3649"/>
      <c r="AU69" s="3649"/>
      <c r="AV69" s="3649"/>
      <c r="AW69" s="3649"/>
      <c r="AX69" s="3649"/>
      <c r="AY69" s="3649"/>
      <c r="AZ69" s="3649"/>
      <c r="BA69" s="3649"/>
      <c r="BB69" s="3649"/>
      <c r="BC69" s="3649"/>
      <c r="BD69" s="3649"/>
      <c r="BE69" s="3649"/>
      <c r="BF69" s="3649"/>
      <c r="BG69" s="3649"/>
      <c r="BH69" s="3649"/>
      <c r="BI69" s="3649"/>
      <c r="BJ69" s="3649"/>
      <c r="BK69" s="3649"/>
      <c r="BL69" s="3649"/>
      <c r="BM69" s="3649"/>
      <c r="BN69" s="3649"/>
      <c r="BO69" s="3649"/>
      <c r="BP69" s="3649"/>
      <c r="BQ69" s="3649"/>
      <c r="BR69" s="3649"/>
      <c r="BS69" s="3649"/>
      <c r="BT69" s="3649"/>
      <c r="BU69" s="3649"/>
      <c r="BV69" s="3649"/>
      <c r="BW69" s="3649"/>
      <c r="BX69" s="3649"/>
      <c r="BY69" s="3649"/>
      <c r="BZ69" s="3649"/>
      <c r="CA69" s="3649"/>
      <c r="CB69" s="3649"/>
      <c r="CC69" s="3649"/>
      <c r="CD69" s="3649"/>
      <c r="CE69" s="3649"/>
      <c r="CF69" s="3649"/>
      <c r="CG69" s="3649"/>
      <c r="CH69" s="3649"/>
      <c r="CI69" s="3649"/>
      <c r="CJ69" s="2977"/>
    </row>
    <row r="70" spans="1:88">
      <c r="A70" s="53">
        <v>1999.01</v>
      </c>
      <c r="B70" s="613">
        <v>75.801835927928778</v>
      </c>
      <c r="C70" s="3532">
        <v>86.188621024152852</v>
      </c>
      <c r="D70" s="360"/>
      <c r="E70" s="361"/>
      <c r="F70" s="2657"/>
      <c r="G70" s="2657"/>
      <c r="H70" s="2657"/>
      <c r="I70" s="2657"/>
      <c r="J70" s="2657"/>
      <c r="K70" s="2657"/>
      <c r="L70" s="2657"/>
      <c r="M70" s="2657"/>
      <c r="N70" s="2657"/>
      <c r="O70" s="2657"/>
      <c r="P70" s="2657"/>
      <c r="Q70" s="2657"/>
      <c r="R70" s="2658"/>
      <c r="S70" s="3649"/>
      <c r="T70" s="3649"/>
      <c r="U70" s="3649"/>
      <c r="V70" s="3649"/>
      <c r="W70" s="3649"/>
      <c r="X70" s="3649"/>
      <c r="Y70" s="3649"/>
      <c r="Z70" s="3649"/>
      <c r="AA70" s="3649"/>
      <c r="AB70" s="3649"/>
      <c r="AC70" s="3649"/>
      <c r="AD70" s="3649"/>
      <c r="AE70" s="3649"/>
      <c r="AF70" s="3649"/>
      <c r="AG70" s="3649"/>
      <c r="AH70" s="3649"/>
      <c r="AI70" s="3649"/>
      <c r="AJ70" s="3649"/>
      <c r="AK70" s="3649"/>
      <c r="AL70" s="3649"/>
      <c r="AM70" s="3649"/>
      <c r="AN70" s="3649"/>
      <c r="AO70" s="3649"/>
      <c r="AP70" s="3649"/>
      <c r="AQ70" s="3649"/>
      <c r="AR70" s="3649"/>
      <c r="AS70" s="3649"/>
      <c r="AT70" s="3649"/>
      <c r="AU70" s="3649"/>
      <c r="AV70" s="3649"/>
      <c r="AW70" s="3649"/>
      <c r="AX70" s="3649"/>
      <c r="AY70" s="3649"/>
      <c r="AZ70" s="3649"/>
      <c r="BA70" s="3649"/>
      <c r="BB70" s="3649"/>
      <c r="BC70" s="3649"/>
      <c r="BD70" s="3649"/>
      <c r="BE70" s="3649"/>
      <c r="BF70" s="3649"/>
      <c r="BG70" s="3649"/>
      <c r="BH70" s="3649"/>
      <c r="BI70" s="3649"/>
      <c r="BJ70" s="3649"/>
      <c r="BK70" s="3649"/>
      <c r="BL70" s="3649"/>
      <c r="BM70" s="3649"/>
      <c r="BN70" s="3649"/>
      <c r="BO70" s="3649"/>
      <c r="BP70" s="3649"/>
      <c r="BQ70" s="3649"/>
      <c r="BR70" s="3649"/>
      <c r="BS70" s="3649"/>
      <c r="BT70" s="3649"/>
      <c r="BU70" s="3649"/>
      <c r="BV70" s="3649"/>
      <c r="BW70" s="3649"/>
      <c r="BX70" s="3649"/>
      <c r="BY70" s="3649"/>
      <c r="BZ70" s="3649"/>
      <c r="CA70" s="3649"/>
      <c r="CB70" s="3649"/>
      <c r="CC70" s="3649"/>
      <c r="CD70" s="3649"/>
      <c r="CE70" s="3649"/>
      <c r="CF70" s="3649"/>
      <c r="CG70" s="3649"/>
      <c r="CH70" s="3649"/>
      <c r="CI70" s="3649"/>
      <c r="CJ70" s="2977"/>
    </row>
    <row r="71" spans="1:88">
      <c r="A71" s="53">
        <v>1999.02</v>
      </c>
      <c r="B71" s="613">
        <v>73.008537756707156</v>
      </c>
      <c r="C71" s="3532">
        <v>84.729888190104617</v>
      </c>
      <c r="D71" s="360"/>
      <c r="E71" s="361"/>
      <c r="F71" s="2657"/>
      <c r="G71" s="2657"/>
      <c r="H71" s="2657"/>
      <c r="I71" s="2657"/>
      <c r="J71" s="2657"/>
      <c r="K71" s="2657"/>
      <c r="L71" s="2657"/>
      <c r="M71" s="2657"/>
      <c r="N71" s="2657"/>
      <c r="O71" s="2657"/>
      <c r="P71" s="2657"/>
      <c r="Q71" s="2657"/>
      <c r="R71" s="2658"/>
      <c r="S71" s="3649"/>
      <c r="T71" s="3649"/>
      <c r="U71" s="3649"/>
      <c r="V71" s="3649"/>
      <c r="W71" s="3649"/>
      <c r="X71" s="3649"/>
      <c r="Y71" s="3649"/>
      <c r="Z71" s="3649"/>
      <c r="AA71" s="3649"/>
      <c r="AB71" s="3649"/>
      <c r="AC71" s="3649"/>
      <c r="AD71" s="3649"/>
      <c r="AE71" s="3649"/>
      <c r="AF71" s="3649"/>
      <c r="AG71" s="3649"/>
      <c r="AH71" s="3649"/>
      <c r="AI71" s="3649"/>
      <c r="AJ71" s="3649"/>
      <c r="AK71" s="3649"/>
      <c r="AL71" s="3649"/>
      <c r="AM71" s="3649"/>
      <c r="AN71" s="3649"/>
      <c r="AO71" s="3649"/>
      <c r="AP71" s="3649"/>
      <c r="AQ71" s="3649"/>
      <c r="AR71" s="3649"/>
      <c r="AS71" s="3649"/>
      <c r="AT71" s="3649"/>
      <c r="AU71" s="3649"/>
      <c r="AV71" s="3649"/>
      <c r="AW71" s="3649"/>
      <c r="AX71" s="3649"/>
      <c r="AY71" s="3649"/>
      <c r="AZ71" s="3649"/>
      <c r="BA71" s="3649"/>
      <c r="BB71" s="3649"/>
      <c r="BC71" s="3649"/>
      <c r="BD71" s="3649"/>
      <c r="BE71" s="3649"/>
      <c r="BF71" s="3649"/>
      <c r="BG71" s="3649"/>
      <c r="BH71" s="3649"/>
      <c r="BI71" s="3649"/>
      <c r="BJ71" s="3649"/>
      <c r="BK71" s="3649"/>
      <c r="BL71" s="3649"/>
      <c r="BM71" s="3649"/>
      <c r="BN71" s="3649"/>
      <c r="BO71" s="3649"/>
      <c r="BP71" s="3649"/>
      <c r="BQ71" s="3649"/>
      <c r="BR71" s="3649"/>
      <c r="BS71" s="3649"/>
      <c r="BT71" s="3649"/>
      <c r="BU71" s="3649"/>
      <c r="BV71" s="3649"/>
      <c r="BW71" s="3649"/>
      <c r="BX71" s="3649"/>
      <c r="BY71" s="3649"/>
      <c r="BZ71" s="3649"/>
      <c r="CA71" s="3649"/>
      <c r="CB71" s="3649"/>
      <c r="CC71" s="3649"/>
      <c r="CD71" s="3649"/>
      <c r="CE71" s="3649"/>
      <c r="CF71" s="3649"/>
      <c r="CG71" s="3649"/>
      <c r="CH71" s="3649"/>
      <c r="CI71" s="3649"/>
      <c r="CJ71" s="2977"/>
    </row>
    <row r="72" spans="1:88">
      <c r="A72" s="53">
        <v>1999.03</v>
      </c>
      <c r="B72" s="613">
        <v>83.167866660927999</v>
      </c>
      <c r="C72" s="3532">
        <v>83.860181205467242</v>
      </c>
      <c r="D72" s="360"/>
      <c r="E72" s="361"/>
      <c r="F72" s="2657"/>
      <c r="G72" s="2657"/>
      <c r="H72" s="2657"/>
      <c r="I72" s="2657"/>
      <c r="J72" s="2657"/>
      <c r="K72" s="2657"/>
      <c r="L72" s="2657"/>
      <c r="M72" s="2657"/>
      <c r="N72" s="2657"/>
      <c r="O72" s="2657"/>
      <c r="P72" s="2657"/>
      <c r="Q72" s="2657"/>
      <c r="R72" s="2658"/>
      <c r="S72" s="3649"/>
      <c r="T72" s="3649"/>
      <c r="U72" s="3649"/>
      <c r="V72" s="3649"/>
      <c r="W72" s="3649"/>
      <c r="X72" s="3649"/>
      <c r="Y72" s="3649"/>
      <c r="Z72" s="3649"/>
      <c r="AA72" s="3649"/>
      <c r="AB72" s="3649"/>
      <c r="AC72" s="3649"/>
      <c r="AD72" s="3649"/>
      <c r="AE72" s="3649"/>
      <c r="AF72" s="3649"/>
      <c r="AG72" s="3649"/>
      <c r="AH72" s="3649"/>
      <c r="AI72" s="3649"/>
      <c r="AJ72" s="3649"/>
      <c r="AK72" s="3649"/>
      <c r="AL72" s="3649"/>
      <c r="AM72" s="3649"/>
      <c r="AN72" s="3649"/>
      <c r="AO72" s="3649"/>
      <c r="AP72" s="3649"/>
      <c r="AQ72" s="3649"/>
      <c r="AR72" s="3649"/>
      <c r="AS72" s="3649"/>
      <c r="AT72" s="3649"/>
      <c r="AU72" s="3649"/>
      <c r="AV72" s="3649"/>
      <c r="AW72" s="3649"/>
      <c r="AX72" s="3649"/>
      <c r="AY72" s="3649"/>
      <c r="AZ72" s="3649"/>
      <c r="BA72" s="3649"/>
      <c r="BB72" s="3649"/>
      <c r="BC72" s="3649"/>
      <c r="BD72" s="3649"/>
      <c r="BE72" s="3649"/>
      <c r="BF72" s="3649"/>
      <c r="BG72" s="3649"/>
      <c r="BH72" s="3649"/>
      <c r="BI72" s="3649"/>
      <c r="BJ72" s="3649"/>
      <c r="BK72" s="3649"/>
      <c r="BL72" s="3649"/>
      <c r="BM72" s="3649"/>
      <c r="BN72" s="3649"/>
      <c r="BO72" s="3649"/>
      <c r="BP72" s="3649"/>
      <c r="BQ72" s="3649"/>
      <c r="BR72" s="3649"/>
      <c r="BS72" s="3649"/>
      <c r="BT72" s="3649"/>
      <c r="BU72" s="3649"/>
      <c r="BV72" s="3649"/>
      <c r="BW72" s="3649"/>
      <c r="BX72" s="3649"/>
      <c r="BY72" s="3649"/>
      <c r="BZ72" s="3649"/>
      <c r="CA72" s="3649"/>
      <c r="CB72" s="3649"/>
      <c r="CC72" s="3649"/>
      <c r="CD72" s="3649"/>
      <c r="CE72" s="3649"/>
      <c r="CF72" s="3649"/>
      <c r="CG72" s="3649"/>
      <c r="CH72" s="3649"/>
      <c r="CI72" s="3649"/>
      <c r="CJ72" s="2977"/>
    </row>
    <row r="73" spans="1:88">
      <c r="A73" s="53">
        <v>1999.04</v>
      </c>
      <c r="B73" s="613">
        <v>80.840118184909983</v>
      </c>
      <c r="C73" s="3532">
        <v>83.347053767815552</v>
      </c>
      <c r="D73" s="360"/>
      <c r="E73" s="361"/>
      <c r="F73" s="2657"/>
      <c r="G73" s="2657"/>
      <c r="H73" s="2657"/>
      <c r="I73" s="2657"/>
      <c r="J73" s="2657"/>
      <c r="K73" s="2657"/>
      <c r="L73" s="2657"/>
      <c r="M73" s="2657"/>
      <c r="N73" s="2657"/>
      <c r="O73" s="2657"/>
      <c r="P73" s="2657"/>
      <c r="Q73" s="2657"/>
      <c r="R73" s="2658"/>
      <c r="S73" s="3649"/>
      <c r="T73" s="3649"/>
      <c r="U73" s="3649"/>
      <c r="V73" s="3649"/>
      <c r="W73" s="3649"/>
      <c r="X73" s="3649"/>
      <c r="Y73" s="3649"/>
      <c r="Z73" s="3649"/>
      <c r="AA73" s="3649"/>
      <c r="AB73" s="3649"/>
      <c r="AC73" s="3649"/>
      <c r="AD73" s="3649"/>
      <c r="AE73" s="3649"/>
      <c r="AF73" s="3649"/>
      <c r="AG73" s="3649"/>
      <c r="AH73" s="3649"/>
      <c r="AI73" s="3649"/>
      <c r="AJ73" s="3649"/>
      <c r="AK73" s="3649"/>
      <c r="AL73" s="3649"/>
      <c r="AM73" s="3649"/>
      <c r="AN73" s="3649"/>
      <c r="AO73" s="3649"/>
      <c r="AP73" s="3649"/>
      <c r="AQ73" s="3649"/>
      <c r="AR73" s="3649"/>
      <c r="AS73" s="3649"/>
      <c r="AT73" s="3649"/>
      <c r="AU73" s="3649"/>
      <c r="AV73" s="3649"/>
      <c r="AW73" s="3649"/>
      <c r="AX73" s="3649"/>
      <c r="AY73" s="3649"/>
      <c r="AZ73" s="3649"/>
      <c r="BA73" s="3649"/>
      <c r="BB73" s="3649"/>
      <c r="BC73" s="3649"/>
      <c r="BD73" s="3649"/>
      <c r="BE73" s="3649"/>
      <c r="BF73" s="3649"/>
      <c r="BG73" s="3649"/>
      <c r="BH73" s="3649"/>
      <c r="BI73" s="3649"/>
      <c r="BJ73" s="3649"/>
      <c r="BK73" s="3649"/>
      <c r="BL73" s="3649"/>
      <c r="BM73" s="3649"/>
      <c r="BN73" s="3649"/>
      <c r="BO73" s="3649"/>
      <c r="BP73" s="3649"/>
      <c r="BQ73" s="3649"/>
      <c r="BR73" s="3649"/>
      <c r="BS73" s="3649"/>
      <c r="BT73" s="3649"/>
      <c r="BU73" s="3649"/>
      <c r="BV73" s="3649"/>
      <c r="BW73" s="3649"/>
      <c r="BX73" s="3649"/>
      <c r="BY73" s="3649"/>
      <c r="BZ73" s="3649"/>
      <c r="CA73" s="3649"/>
      <c r="CB73" s="3649"/>
      <c r="CC73" s="3649"/>
      <c r="CD73" s="3649"/>
      <c r="CE73" s="3649"/>
      <c r="CF73" s="3649"/>
      <c r="CG73" s="3649"/>
      <c r="CH73" s="3649"/>
      <c r="CI73" s="3649"/>
      <c r="CJ73" s="2977"/>
    </row>
    <row r="74" spans="1:88">
      <c r="A74" s="53">
        <v>1999.05</v>
      </c>
      <c r="B74" s="613">
        <v>80.622861660481647</v>
      </c>
      <c r="C74" s="3532">
        <v>83.040038436664773</v>
      </c>
      <c r="D74" s="360"/>
      <c r="E74" s="361"/>
      <c r="F74" s="2657"/>
      <c r="G74" s="2657"/>
      <c r="H74" s="2657"/>
      <c r="I74" s="2657"/>
      <c r="J74" s="2657"/>
      <c r="K74" s="2657"/>
      <c r="L74" s="2657"/>
      <c r="M74" s="2657"/>
      <c r="N74" s="2657"/>
      <c r="O74" s="2657"/>
      <c r="P74" s="2657"/>
      <c r="Q74" s="2657"/>
      <c r="R74" s="2658"/>
      <c r="S74" s="3649"/>
      <c r="T74" s="3649"/>
      <c r="U74" s="3649"/>
      <c r="V74" s="3649"/>
      <c r="W74" s="3649"/>
      <c r="X74" s="3649"/>
      <c r="Y74" s="3649"/>
      <c r="Z74" s="3649"/>
      <c r="AA74" s="3649"/>
      <c r="AB74" s="3649"/>
      <c r="AC74" s="3649"/>
      <c r="AD74" s="3649"/>
      <c r="AE74" s="3649"/>
      <c r="AF74" s="3649"/>
      <c r="AG74" s="3649"/>
      <c r="AH74" s="3649"/>
      <c r="AI74" s="3649"/>
      <c r="AJ74" s="3649"/>
      <c r="AK74" s="3649"/>
      <c r="AL74" s="3649"/>
      <c r="AM74" s="3649"/>
      <c r="AN74" s="3649"/>
      <c r="AO74" s="3649"/>
      <c r="AP74" s="3649"/>
      <c r="AQ74" s="3649"/>
      <c r="AR74" s="3649"/>
      <c r="AS74" s="3649"/>
      <c r="AT74" s="3649"/>
      <c r="AU74" s="3649"/>
      <c r="AV74" s="3649"/>
      <c r="AW74" s="3649"/>
      <c r="AX74" s="3649"/>
      <c r="AY74" s="3649"/>
      <c r="AZ74" s="3649"/>
      <c r="BA74" s="3649"/>
      <c r="BB74" s="3649"/>
      <c r="BC74" s="3649"/>
      <c r="BD74" s="3649"/>
      <c r="BE74" s="3649"/>
      <c r="BF74" s="3649"/>
      <c r="BG74" s="3649"/>
      <c r="BH74" s="3649"/>
      <c r="BI74" s="3649"/>
      <c r="BJ74" s="3649"/>
      <c r="BK74" s="3649"/>
      <c r="BL74" s="3649"/>
      <c r="BM74" s="3649"/>
      <c r="BN74" s="3649"/>
      <c r="BO74" s="3649"/>
      <c r="BP74" s="3649"/>
      <c r="BQ74" s="3649"/>
      <c r="BR74" s="3649"/>
      <c r="BS74" s="3649"/>
      <c r="BT74" s="3649"/>
      <c r="BU74" s="3649"/>
      <c r="BV74" s="3649"/>
      <c r="BW74" s="3649"/>
      <c r="BX74" s="3649"/>
      <c r="BY74" s="3649"/>
      <c r="BZ74" s="3649"/>
      <c r="CA74" s="3649"/>
      <c r="CB74" s="3649"/>
      <c r="CC74" s="3649"/>
      <c r="CD74" s="3649"/>
      <c r="CE74" s="3649"/>
      <c r="CF74" s="3649"/>
      <c r="CG74" s="3649"/>
      <c r="CH74" s="3649"/>
      <c r="CI74" s="3649"/>
      <c r="CJ74" s="2977"/>
    </row>
    <row r="75" spans="1:88">
      <c r="A75" s="53">
        <v>1999.06</v>
      </c>
      <c r="B75" s="613">
        <v>80.829772636127686</v>
      </c>
      <c r="C75" s="3532">
        <v>82.396951097287527</v>
      </c>
      <c r="D75" s="360"/>
      <c r="E75" s="361"/>
      <c r="F75" s="2657"/>
      <c r="G75" s="2657"/>
      <c r="H75" s="2657"/>
      <c r="I75" s="2657"/>
      <c r="J75" s="2657"/>
      <c r="K75" s="2657"/>
      <c r="L75" s="2657"/>
      <c r="M75" s="2657"/>
      <c r="N75" s="2657"/>
      <c r="O75" s="2657"/>
      <c r="P75" s="2657"/>
      <c r="Q75" s="2657"/>
      <c r="R75" s="2658"/>
      <c r="S75" s="3649"/>
      <c r="T75" s="3649"/>
      <c r="U75" s="3649"/>
      <c r="V75" s="3649"/>
      <c r="W75" s="3649"/>
      <c r="X75" s="3649"/>
      <c r="Y75" s="3649"/>
      <c r="Z75" s="3649"/>
      <c r="AA75" s="3649"/>
      <c r="AB75" s="3649"/>
      <c r="AC75" s="3649"/>
      <c r="AD75" s="3649"/>
      <c r="AE75" s="3649"/>
      <c r="AF75" s="3649"/>
      <c r="AG75" s="3649"/>
      <c r="AH75" s="3649"/>
      <c r="AI75" s="3649"/>
      <c r="AJ75" s="3649"/>
      <c r="AK75" s="3649"/>
      <c r="AL75" s="3649"/>
      <c r="AM75" s="3649"/>
      <c r="AN75" s="3649"/>
      <c r="AO75" s="3649"/>
      <c r="AP75" s="3649"/>
      <c r="AQ75" s="3649"/>
      <c r="AR75" s="3649"/>
      <c r="AS75" s="3649"/>
      <c r="AT75" s="3649"/>
      <c r="AU75" s="3649"/>
      <c r="AV75" s="3649"/>
      <c r="AW75" s="3649"/>
      <c r="AX75" s="3649"/>
      <c r="AY75" s="3649"/>
      <c r="AZ75" s="3649"/>
      <c r="BA75" s="3649"/>
      <c r="BB75" s="3649"/>
      <c r="BC75" s="3649"/>
      <c r="BD75" s="3649"/>
      <c r="BE75" s="3649"/>
      <c r="BF75" s="3649"/>
      <c r="BG75" s="3649"/>
      <c r="BH75" s="3649"/>
      <c r="BI75" s="3649"/>
      <c r="BJ75" s="3649"/>
      <c r="BK75" s="3649"/>
      <c r="BL75" s="3649"/>
      <c r="BM75" s="3649"/>
      <c r="BN75" s="3649"/>
      <c r="BO75" s="3649"/>
      <c r="BP75" s="3649"/>
      <c r="BQ75" s="3649"/>
      <c r="BR75" s="3649"/>
      <c r="BS75" s="3649"/>
      <c r="BT75" s="3649"/>
      <c r="BU75" s="3649"/>
      <c r="BV75" s="3649"/>
      <c r="BW75" s="3649"/>
      <c r="BX75" s="3649"/>
      <c r="BY75" s="3649"/>
      <c r="BZ75" s="3649"/>
      <c r="CA75" s="3649"/>
      <c r="CB75" s="3649"/>
      <c r="CC75" s="3649"/>
      <c r="CD75" s="3649"/>
      <c r="CE75" s="3649"/>
      <c r="CF75" s="3649"/>
      <c r="CG75" s="3649"/>
      <c r="CH75" s="3649"/>
      <c r="CI75" s="3649"/>
      <c r="CJ75" s="2977"/>
    </row>
    <row r="76" spans="1:88">
      <c r="A76" s="53">
        <v>1999.07</v>
      </c>
      <c r="B76" s="613">
        <v>82.53678818520757</v>
      </c>
      <c r="C76" s="3532">
        <v>83.497396595979509</v>
      </c>
      <c r="D76" s="360"/>
      <c r="E76" s="361"/>
      <c r="F76" s="2657"/>
      <c r="G76" s="2657"/>
      <c r="H76" s="2657"/>
      <c r="I76" s="2657"/>
      <c r="J76" s="2657"/>
      <c r="K76" s="2657"/>
      <c r="L76" s="2657"/>
      <c r="M76" s="2657"/>
      <c r="N76" s="2657"/>
      <c r="O76" s="2657"/>
      <c r="P76" s="2657"/>
      <c r="Q76" s="2657"/>
      <c r="R76" s="2658"/>
      <c r="S76" s="3649"/>
      <c r="T76" s="3649"/>
      <c r="U76" s="3649"/>
      <c r="V76" s="3649"/>
      <c r="W76" s="3649"/>
      <c r="X76" s="3649"/>
      <c r="Y76" s="3649"/>
      <c r="Z76" s="3649"/>
      <c r="AA76" s="3649"/>
      <c r="AB76" s="3649"/>
      <c r="AC76" s="3649"/>
      <c r="AD76" s="3649"/>
      <c r="AE76" s="3649"/>
      <c r="AF76" s="3649"/>
      <c r="AG76" s="3649"/>
      <c r="AH76" s="3649"/>
      <c r="AI76" s="3649"/>
      <c r="AJ76" s="3649"/>
      <c r="AK76" s="3649"/>
      <c r="AL76" s="3649"/>
      <c r="AM76" s="3649"/>
      <c r="AN76" s="3649"/>
      <c r="AO76" s="3649"/>
      <c r="AP76" s="3649"/>
      <c r="AQ76" s="3649"/>
      <c r="AR76" s="3649"/>
      <c r="AS76" s="3649"/>
      <c r="AT76" s="3649"/>
      <c r="AU76" s="3649"/>
      <c r="AV76" s="3649"/>
      <c r="AW76" s="3649"/>
      <c r="AX76" s="3649"/>
      <c r="AY76" s="3649"/>
      <c r="AZ76" s="3649"/>
      <c r="BA76" s="3649"/>
      <c r="BB76" s="3649"/>
      <c r="BC76" s="3649"/>
      <c r="BD76" s="3649"/>
      <c r="BE76" s="3649"/>
      <c r="BF76" s="3649"/>
      <c r="BG76" s="3649"/>
      <c r="BH76" s="3649"/>
      <c r="BI76" s="3649"/>
      <c r="BJ76" s="3649"/>
      <c r="BK76" s="3649"/>
      <c r="BL76" s="3649"/>
      <c r="BM76" s="3649"/>
      <c r="BN76" s="3649"/>
      <c r="BO76" s="3649"/>
      <c r="BP76" s="3649"/>
      <c r="BQ76" s="3649"/>
      <c r="BR76" s="3649"/>
      <c r="BS76" s="3649"/>
      <c r="BT76" s="3649"/>
      <c r="BU76" s="3649"/>
      <c r="BV76" s="3649"/>
      <c r="BW76" s="3649"/>
      <c r="BX76" s="3649"/>
      <c r="BY76" s="3649"/>
      <c r="BZ76" s="3649"/>
      <c r="CA76" s="3649"/>
      <c r="CB76" s="3649"/>
      <c r="CC76" s="3649"/>
      <c r="CD76" s="3649"/>
      <c r="CE76" s="3649"/>
      <c r="CF76" s="3649"/>
      <c r="CG76" s="3649"/>
      <c r="CH76" s="3649"/>
      <c r="CI76" s="3649"/>
      <c r="CJ76" s="2977"/>
    </row>
    <row r="77" spans="1:88">
      <c r="A77" s="53">
        <v>1999.08</v>
      </c>
      <c r="B77" s="613">
        <v>86.726735442039981</v>
      </c>
      <c r="C77" s="3532">
        <v>84.44318005436493</v>
      </c>
      <c r="D77" s="360"/>
      <c r="E77" s="361"/>
      <c r="F77" s="2657"/>
      <c r="G77" s="2657"/>
      <c r="H77" s="2657"/>
      <c r="I77" s="2657"/>
      <c r="J77" s="2657"/>
      <c r="K77" s="2657"/>
      <c r="L77" s="2657"/>
      <c r="M77" s="2657"/>
      <c r="N77" s="2657"/>
      <c r="O77" s="2657"/>
      <c r="P77" s="2657"/>
      <c r="Q77" s="2657"/>
      <c r="R77" s="2658"/>
      <c r="S77" s="3649"/>
      <c r="T77" s="3649"/>
      <c r="U77" s="3649"/>
      <c r="V77" s="3649"/>
      <c r="W77" s="3649"/>
      <c r="X77" s="3649"/>
      <c r="Y77" s="3649"/>
      <c r="Z77" s="3649"/>
      <c r="AA77" s="3649"/>
      <c r="AB77" s="3649"/>
      <c r="AC77" s="3649"/>
      <c r="AD77" s="3649"/>
      <c r="AE77" s="3649"/>
      <c r="AF77" s="3649"/>
      <c r="AG77" s="3649"/>
      <c r="AH77" s="3649"/>
      <c r="AI77" s="3649"/>
      <c r="AJ77" s="3649"/>
      <c r="AK77" s="3649"/>
      <c r="AL77" s="3649"/>
      <c r="AM77" s="3649"/>
      <c r="AN77" s="3649"/>
      <c r="AO77" s="3649"/>
      <c r="AP77" s="3649"/>
      <c r="AQ77" s="3649"/>
      <c r="AR77" s="3649"/>
      <c r="AS77" s="3649"/>
      <c r="AT77" s="3649"/>
      <c r="AU77" s="3649"/>
      <c r="AV77" s="3649"/>
      <c r="AW77" s="3649"/>
      <c r="AX77" s="3649"/>
      <c r="AY77" s="3649"/>
      <c r="AZ77" s="3649"/>
      <c r="BA77" s="3649"/>
      <c r="BB77" s="3649"/>
      <c r="BC77" s="3649"/>
      <c r="BD77" s="3649"/>
      <c r="BE77" s="3649"/>
      <c r="BF77" s="3649"/>
      <c r="BG77" s="3649"/>
      <c r="BH77" s="3649"/>
      <c r="BI77" s="3649"/>
      <c r="BJ77" s="3649"/>
      <c r="BK77" s="3649"/>
      <c r="BL77" s="3649"/>
      <c r="BM77" s="3649"/>
      <c r="BN77" s="3649"/>
      <c r="BO77" s="3649"/>
      <c r="BP77" s="3649"/>
      <c r="BQ77" s="3649"/>
      <c r="BR77" s="3649"/>
      <c r="BS77" s="3649"/>
      <c r="BT77" s="3649"/>
      <c r="BU77" s="3649"/>
      <c r="BV77" s="3649"/>
      <c r="BW77" s="3649"/>
      <c r="BX77" s="3649"/>
      <c r="BY77" s="3649"/>
      <c r="BZ77" s="3649"/>
      <c r="CA77" s="3649"/>
      <c r="CB77" s="3649"/>
      <c r="CC77" s="3649"/>
      <c r="CD77" s="3649"/>
      <c r="CE77" s="3649"/>
      <c r="CF77" s="3649"/>
      <c r="CG77" s="3649"/>
      <c r="CH77" s="3649"/>
      <c r="CI77" s="3649"/>
      <c r="CJ77" s="2977"/>
    </row>
    <row r="78" spans="1:88">
      <c r="A78" s="53">
        <v>1999.09</v>
      </c>
      <c r="B78" s="613">
        <v>88.744117454588931</v>
      </c>
      <c r="C78" s="3532">
        <v>85.595974855867965</v>
      </c>
      <c r="D78" s="360"/>
      <c r="E78" s="361"/>
      <c r="F78" s="2657"/>
      <c r="G78" s="2657"/>
      <c r="H78" s="2657"/>
      <c r="I78" s="2657"/>
      <c r="J78" s="2657"/>
      <c r="K78" s="2657"/>
      <c r="L78" s="2657"/>
      <c r="M78" s="2657"/>
      <c r="N78" s="2657"/>
      <c r="O78" s="2657"/>
      <c r="P78" s="2657"/>
      <c r="Q78" s="2657"/>
      <c r="R78" s="2658"/>
      <c r="S78" s="3649"/>
      <c r="T78" s="3649"/>
      <c r="U78" s="3649"/>
      <c r="V78" s="3649"/>
      <c r="W78" s="3649"/>
      <c r="X78" s="3649"/>
      <c r="Y78" s="3649"/>
      <c r="Z78" s="3649"/>
      <c r="AA78" s="3649"/>
      <c r="AB78" s="3649"/>
      <c r="AC78" s="3649"/>
      <c r="AD78" s="3649"/>
      <c r="AE78" s="3649"/>
      <c r="AF78" s="3649"/>
      <c r="AG78" s="3649"/>
      <c r="AH78" s="3649"/>
      <c r="AI78" s="3649"/>
      <c r="AJ78" s="3649"/>
      <c r="AK78" s="3649"/>
      <c r="AL78" s="3649"/>
      <c r="AM78" s="3649"/>
      <c r="AN78" s="3649"/>
      <c r="AO78" s="3649"/>
      <c r="AP78" s="3649"/>
      <c r="AQ78" s="3649"/>
      <c r="AR78" s="3649"/>
      <c r="AS78" s="3649"/>
      <c r="AT78" s="3649"/>
      <c r="AU78" s="3649"/>
      <c r="AV78" s="3649"/>
      <c r="AW78" s="3649"/>
      <c r="AX78" s="3649"/>
      <c r="AY78" s="3649"/>
      <c r="AZ78" s="3649"/>
      <c r="BA78" s="3649"/>
      <c r="BB78" s="3649"/>
      <c r="BC78" s="3649"/>
      <c r="BD78" s="3649"/>
      <c r="BE78" s="3649"/>
      <c r="BF78" s="3649"/>
      <c r="BG78" s="3649"/>
      <c r="BH78" s="3649"/>
      <c r="BI78" s="3649"/>
      <c r="BJ78" s="3649"/>
      <c r="BK78" s="3649"/>
      <c r="BL78" s="3649"/>
      <c r="BM78" s="3649"/>
      <c r="BN78" s="3649"/>
      <c r="BO78" s="3649"/>
      <c r="BP78" s="3649"/>
      <c r="BQ78" s="3649"/>
      <c r="BR78" s="3649"/>
      <c r="BS78" s="3649"/>
      <c r="BT78" s="3649"/>
      <c r="BU78" s="3649"/>
      <c r="BV78" s="3649"/>
      <c r="BW78" s="3649"/>
      <c r="BX78" s="3649"/>
      <c r="BY78" s="3649"/>
      <c r="BZ78" s="3649"/>
      <c r="CA78" s="3649"/>
      <c r="CB78" s="3649"/>
      <c r="CC78" s="3649"/>
      <c r="CD78" s="3649"/>
      <c r="CE78" s="3649"/>
      <c r="CF78" s="3649"/>
      <c r="CG78" s="3649"/>
      <c r="CH78" s="3649"/>
      <c r="CI78" s="3649"/>
      <c r="CJ78" s="2977"/>
    </row>
    <row r="79" spans="1:88">
      <c r="A79" s="53">
        <v>1999.1</v>
      </c>
      <c r="B79" s="613">
        <v>88.092347881303908</v>
      </c>
      <c r="C79" s="3532">
        <v>85.862646268507618</v>
      </c>
      <c r="D79" s="360"/>
      <c r="E79" s="361"/>
      <c r="F79" s="2657"/>
      <c r="G79" s="2657"/>
      <c r="H79" s="2657"/>
      <c r="I79" s="2657"/>
      <c r="J79" s="2657"/>
      <c r="K79" s="2657"/>
      <c r="L79" s="2657"/>
      <c r="M79" s="2657"/>
      <c r="N79" s="2657"/>
      <c r="O79" s="2657"/>
      <c r="P79" s="2657"/>
      <c r="Q79" s="2657"/>
      <c r="R79" s="2658"/>
      <c r="S79" s="3649"/>
      <c r="T79" s="3649"/>
      <c r="U79" s="3649"/>
      <c r="V79" s="3649"/>
      <c r="W79" s="3649"/>
      <c r="X79" s="3649"/>
      <c r="Y79" s="3649"/>
      <c r="Z79" s="3649"/>
      <c r="AA79" s="3649"/>
      <c r="AB79" s="3649"/>
      <c r="AC79" s="3649"/>
      <c r="AD79" s="3649"/>
      <c r="AE79" s="3649"/>
      <c r="AF79" s="3649"/>
      <c r="AG79" s="3649"/>
      <c r="AH79" s="3649"/>
      <c r="AI79" s="3649"/>
      <c r="AJ79" s="3649"/>
      <c r="AK79" s="3649"/>
      <c r="AL79" s="3649"/>
      <c r="AM79" s="3649"/>
      <c r="AN79" s="3649"/>
      <c r="AO79" s="3649"/>
      <c r="AP79" s="3649"/>
      <c r="AQ79" s="3649"/>
      <c r="AR79" s="3649"/>
      <c r="AS79" s="3649"/>
      <c r="AT79" s="3649"/>
      <c r="AU79" s="3649"/>
      <c r="AV79" s="3649"/>
      <c r="AW79" s="3649"/>
      <c r="AX79" s="3649"/>
      <c r="AY79" s="3649"/>
      <c r="AZ79" s="3649"/>
      <c r="BA79" s="3649"/>
      <c r="BB79" s="3649"/>
      <c r="BC79" s="3649"/>
      <c r="BD79" s="3649"/>
      <c r="BE79" s="3649"/>
      <c r="BF79" s="3649"/>
      <c r="BG79" s="3649"/>
      <c r="BH79" s="3649"/>
      <c r="BI79" s="3649"/>
      <c r="BJ79" s="3649"/>
      <c r="BK79" s="3649"/>
      <c r="BL79" s="3649"/>
      <c r="BM79" s="3649"/>
      <c r="BN79" s="3649"/>
      <c r="BO79" s="3649"/>
      <c r="BP79" s="3649"/>
      <c r="BQ79" s="3649"/>
      <c r="BR79" s="3649"/>
      <c r="BS79" s="3649"/>
      <c r="BT79" s="3649"/>
      <c r="BU79" s="3649"/>
      <c r="BV79" s="3649"/>
      <c r="BW79" s="3649"/>
      <c r="BX79" s="3649"/>
      <c r="BY79" s="3649"/>
      <c r="BZ79" s="3649"/>
      <c r="CA79" s="3649"/>
      <c r="CB79" s="3649"/>
      <c r="CC79" s="3649"/>
      <c r="CD79" s="3649"/>
      <c r="CE79" s="3649"/>
      <c r="CF79" s="3649"/>
      <c r="CG79" s="3649"/>
      <c r="CH79" s="3649"/>
      <c r="CI79" s="3649"/>
      <c r="CJ79" s="2977"/>
    </row>
    <row r="80" spans="1:88">
      <c r="A80" s="53">
        <v>1999.11</v>
      </c>
      <c r="B80" s="613">
        <v>88.77515410093585</v>
      </c>
      <c r="C80" s="3532">
        <v>87.491695721032698</v>
      </c>
      <c r="D80" s="360"/>
      <c r="E80" s="361"/>
      <c r="F80" s="2657"/>
      <c r="G80" s="2657"/>
      <c r="H80" s="2657"/>
      <c r="I80" s="2657"/>
      <c r="J80" s="2657"/>
      <c r="K80" s="2657"/>
      <c r="L80" s="2657"/>
      <c r="M80" s="2657"/>
      <c r="N80" s="2657"/>
      <c r="O80" s="2657"/>
      <c r="P80" s="2657"/>
      <c r="Q80" s="2657"/>
      <c r="R80" s="2658"/>
      <c r="S80" s="3649"/>
      <c r="T80" s="3649"/>
      <c r="U80" s="3649"/>
      <c r="V80" s="3649"/>
      <c r="W80" s="3649"/>
      <c r="X80" s="3649"/>
      <c r="Y80" s="3649"/>
      <c r="Z80" s="3649"/>
      <c r="AA80" s="3649"/>
      <c r="AB80" s="3649"/>
      <c r="AC80" s="3649"/>
      <c r="AD80" s="3649"/>
      <c r="AE80" s="3649"/>
      <c r="AF80" s="3649"/>
      <c r="AG80" s="3649"/>
      <c r="AH80" s="3649"/>
      <c r="AI80" s="3649"/>
      <c r="AJ80" s="3649"/>
      <c r="AK80" s="3649"/>
      <c r="AL80" s="3649"/>
      <c r="AM80" s="3649"/>
      <c r="AN80" s="3649"/>
      <c r="AO80" s="3649"/>
      <c r="AP80" s="3649"/>
      <c r="AQ80" s="3649"/>
      <c r="AR80" s="3649"/>
      <c r="AS80" s="3649"/>
      <c r="AT80" s="3649"/>
      <c r="AU80" s="3649"/>
      <c r="AV80" s="3649"/>
      <c r="AW80" s="3649"/>
      <c r="AX80" s="3649"/>
      <c r="AY80" s="3649"/>
      <c r="AZ80" s="3649"/>
      <c r="BA80" s="3649"/>
      <c r="BB80" s="3649"/>
      <c r="BC80" s="3649"/>
      <c r="BD80" s="3649"/>
      <c r="BE80" s="3649"/>
      <c r="BF80" s="3649"/>
      <c r="BG80" s="3649"/>
      <c r="BH80" s="3649"/>
      <c r="BI80" s="3649"/>
      <c r="BJ80" s="3649"/>
      <c r="BK80" s="3649"/>
      <c r="BL80" s="3649"/>
      <c r="BM80" s="3649"/>
      <c r="BN80" s="3649"/>
      <c r="BO80" s="3649"/>
      <c r="BP80" s="3649"/>
      <c r="BQ80" s="3649"/>
      <c r="BR80" s="3649"/>
      <c r="BS80" s="3649"/>
      <c r="BT80" s="3649"/>
      <c r="BU80" s="3649"/>
      <c r="BV80" s="3649"/>
      <c r="BW80" s="3649"/>
      <c r="BX80" s="3649"/>
      <c r="BY80" s="3649"/>
      <c r="BZ80" s="3649"/>
      <c r="CA80" s="3649"/>
      <c r="CB80" s="3649"/>
      <c r="CC80" s="3649"/>
      <c r="CD80" s="3649"/>
      <c r="CE80" s="3649"/>
      <c r="CF80" s="3649"/>
      <c r="CG80" s="3649"/>
      <c r="CH80" s="3649"/>
      <c r="CI80" s="3649"/>
      <c r="CJ80" s="2977"/>
    </row>
    <row r="81" spans="1:88">
      <c r="A81" s="53">
        <v>1999.12</v>
      </c>
      <c r="B81" s="613">
        <v>87.523342698277276</v>
      </c>
      <c r="C81" s="3532">
        <v>87.204469165201232</v>
      </c>
      <c r="D81" s="360"/>
      <c r="E81" s="361"/>
      <c r="F81" s="2657"/>
      <c r="G81" s="2657"/>
      <c r="H81" s="2657"/>
      <c r="I81" s="2657"/>
      <c r="J81" s="2657"/>
      <c r="K81" s="2657"/>
      <c r="L81" s="2657"/>
      <c r="M81" s="2657"/>
      <c r="N81" s="2657"/>
      <c r="O81" s="2657"/>
      <c r="P81" s="2657"/>
      <c r="Q81" s="2657"/>
      <c r="R81" s="2658"/>
      <c r="S81" s="3649"/>
      <c r="T81" s="3649"/>
      <c r="U81" s="3649"/>
      <c r="V81" s="3649"/>
      <c r="W81" s="3649"/>
      <c r="X81" s="3649"/>
      <c r="Y81" s="3649"/>
      <c r="Z81" s="3649"/>
      <c r="AA81" s="3649"/>
      <c r="AB81" s="3649"/>
      <c r="AC81" s="3649"/>
      <c r="AD81" s="3649"/>
      <c r="AE81" s="3649"/>
      <c r="AF81" s="3649"/>
      <c r="AG81" s="3649"/>
      <c r="AH81" s="3649"/>
      <c r="AI81" s="3649"/>
      <c r="AJ81" s="3649"/>
      <c r="AK81" s="3649"/>
      <c r="AL81" s="3649"/>
      <c r="AM81" s="3649"/>
      <c r="AN81" s="3649"/>
      <c r="AO81" s="3649"/>
      <c r="AP81" s="3649"/>
      <c r="AQ81" s="3649"/>
      <c r="AR81" s="3649"/>
      <c r="AS81" s="3649"/>
      <c r="AT81" s="3649"/>
      <c r="AU81" s="3649"/>
      <c r="AV81" s="3649"/>
      <c r="AW81" s="3649"/>
      <c r="AX81" s="3649"/>
      <c r="AY81" s="3649"/>
      <c r="AZ81" s="3649"/>
      <c r="BA81" s="3649"/>
      <c r="BB81" s="3649"/>
      <c r="BC81" s="3649"/>
      <c r="BD81" s="3649"/>
      <c r="BE81" s="3649"/>
      <c r="BF81" s="3649"/>
      <c r="BG81" s="3649"/>
      <c r="BH81" s="3649"/>
      <c r="BI81" s="3649"/>
      <c r="BJ81" s="3649"/>
      <c r="BK81" s="3649"/>
      <c r="BL81" s="3649"/>
      <c r="BM81" s="3649"/>
      <c r="BN81" s="3649"/>
      <c r="BO81" s="3649"/>
      <c r="BP81" s="3649"/>
      <c r="BQ81" s="3649"/>
      <c r="BR81" s="3649"/>
      <c r="BS81" s="3649"/>
      <c r="BT81" s="3649"/>
      <c r="BU81" s="3649"/>
      <c r="BV81" s="3649"/>
      <c r="BW81" s="3649"/>
      <c r="BX81" s="3649"/>
      <c r="BY81" s="3649"/>
      <c r="BZ81" s="3649"/>
      <c r="CA81" s="3649"/>
      <c r="CB81" s="3649"/>
      <c r="CC81" s="3649"/>
      <c r="CD81" s="3649"/>
      <c r="CE81" s="3649"/>
      <c r="CF81" s="3649"/>
      <c r="CG81" s="3649"/>
      <c r="CH81" s="3649"/>
      <c r="CI81" s="3649"/>
      <c r="CJ81" s="2977"/>
    </row>
    <row r="82" spans="1:88">
      <c r="A82" s="53">
        <v>2000.01</v>
      </c>
      <c r="B82" s="613">
        <v>77.001919586675868</v>
      </c>
      <c r="C82" s="3532">
        <v>86.990454510573613</v>
      </c>
      <c r="D82" s="360"/>
      <c r="E82" s="361"/>
      <c r="F82" s="2657"/>
      <c r="G82" s="2657"/>
      <c r="H82" s="2657"/>
      <c r="I82" s="2657"/>
      <c r="J82" s="2657"/>
      <c r="K82" s="2657"/>
      <c r="L82" s="2657"/>
      <c r="M82" s="2657"/>
      <c r="N82" s="2657"/>
      <c r="O82" s="2657"/>
      <c r="P82" s="2657"/>
      <c r="Q82" s="2657"/>
      <c r="R82" s="2658"/>
      <c r="S82" s="3649"/>
      <c r="T82" s="3649"/>
      <c r="U82" s="3649"/>
      <c r="V82" s="3649"/>
      <c r="W82" s="3649"/>
      <c r="X82" s="3649"/>
      <c r="Y82" s="3649"/>
      <c r="Z82" s="3649"/>
      <c r="AA82" s="3649"/>
      <c r="AB82" s="3649"/>
      <c r="AC82" s="3649"/>
      <c r="AD82" s="3649"/>
      <c r="AE82" s="3649"/>
      <c r="AF82" s="3649"/>
      <c r="AG82" s="3649"/>
      <c r="AH82" s="3649"/>
      <c r="AI82" s="3649"/>
      <c r="AJ82" s="3649"/>
      <c r="AK82" s="3649"/>
      <c r="AL82" s="3649"/>
      <c r="AM82" s="3649"/>
      <c r="AN82" s="3649"/>
      <c r="AO82" s="3649"/>
      <c r="AP82" s="3649"/>
      <c r="AQ82" s="3649"/>
      <c r="AR82" s="3649"/>
      <c r="AS82" s="3649"/>
      <c r="AT82" s="3649"/>
      <c r="AU82" s="3649"/>
      <c r="AV82" s="3649"/>
      <c r="AW82" s="3649"/>
      <c r="AX82" s="3649"/>
      <c r="AY82" s="3649"/>
      <c r="AZ82" s="3649"/>
      <c r="BA82" s="3649"/>
      <c r="BB82" s="3649"/>
      <c r="BC82" s="3649"/>
      <c r="BD82" s="3649"/>
      <c r="BE82" s="3649"/>
      <c r="BF82" s="3649"/>
      <c r="BG82" s="3649"/>
      <c r="BH82" s="3649"/>
      <c r="BI82" s="3649"/>
      <c r="BJ82" s="3649"/>
      <c r="BK82" s="3649"/>
      <c r="BL82" s="3649"/>
      <c r="BM82" s="3649"/>
      <c r="BN82" s="3649"/>
      <c r="BO82" s="3649"/>
      <c r="BP82" s="3649"/>
      <c r="BQ82" s="3649"/>
      <c r="BR82" s="3649"/>
      <c r="BS82" s="3649"/>
      <c r="BT82" s="3649"/>
      <c r="BU82" s="3649"/>
      <c r="BV82" s="3649"/>
      <c r="BW82" s="3649"/>
      <c r="BX82" s="3649"/>
      <c r="BY82" s="3649"/>
      <c r="BZ82" s="3649"/>
      <c r="CA82" s="3649"/>
      <c r="CB82" s="3649"/>
      <c r="CC82" s="3649"/>
      <c r="CD82" s="3649"/>
      <c r="CE82" s="3649"/>
      <c r="CF82" s="3649"/>
      <c r="CG82" s="3649"/>
      <c r="CH82" s="3649"/>
      <c r="CI82" s="3649"/>
      <c r="CJ82" s="2977"/>
    </row>
    <row r="83" spans="1:88">
      <c r="A83" s="53">
        <v>2000.02</v>
      </c>
      <c r="B83" s="613">
        <v>75.543197208371225</v>
      </c>
      <c r="C83" s="3532">
        <v>85.734792597037199</v>
      </c>
      <c r="D83" s="360"/>
      <c r="E83" s="361"/>
      <c r="F83" s="2657"/>
      <c r="G83" s="2657"/>
      <c r="H83" s="2657"/>
      <c r="I83" s="2657"/>
      <c r="J83" s="2657"/>
      <c r="K83" s="2657"/>
      <c r="L83" s="2657"/>
      <c r="M83" s="2657"/>
      <c r="N83" s="2657"/>
      <c r="O83" s="2657"/>
      <c r="P83" s="2657"/>
      <c r="Q83" s="2657"/>
      <c r="R83" s="2658"/>
      <c r="S83" s="3649"/>
      <c r="T83" s="3649"/>
      <c r="U83" s="3649"/>
      <c r="V83" s="3649"/>
      <c r="W83" s="3649"/>
      <c r="X83" s="3649"/>
      <c r="Y83" s="3649"/>
      <c r="Z83" s="3649"/>
      <c r="AA83" s="3649"/>
      <c r="AB83" s="3649"/>
      <c r="AC83" s="3649"/>
      <c r="AD83" s="3649"/>
      <c r="AE83" s="3649"/>
      <c r="AF83" s="3649"/>
      <c r="AG83" s="3649"/>
      <c r="AH83" s="3649"/>
      <c r="AI83" s="3649"/>
      <c r="AJ83" s="3649"/>
      <c r="AK83" s="3649"/>
      <c r="AL83" s="3649"/>
      <c r="AM83" s="3649"/>
      <c r="AN83" s="3649"/>
      <c r="AO83" s="3649"/>
      <c r="AP83" s="3649"/>
      <c r="AQ83" s="3649"/>
      <c r="AR83" s="3649"/>
      <c r="AS83" s="3649"/>
      <c r="AT83" s="3649"/>
      <c r="AU83" s="3649"/>
      <c r="AV83" s="3649"/>
      <c r="AW83" s="3649"/>
      <c r="AX83" s="3649"/>
      <c r="AY83" s="3649"/>
      <c r="AZ83" s="3649"/>
      <c r="BA83" s="3649"/>
      <c r="BB83" s="3649"/>
      <c r="BC83" s="3649"/>
      <c r="BD83" s="3649"/>
      <c r="BE83" s="3649"/>
      <c r="BF83" s="3649"/>
      <c r="BG83" s="3649"/>
      <c r="BH83" s="3649"/>
      <c r="BI83" s="3649"/>
      <c r="BJ83" s="3649"/>
      <c r="BK83" s="3649"/>
      <c r="BL83" s="3649"/>
      <c r="BM83" s="3649"/>
      <c r="BN83" s="3649"/>
      <c r="BO83" s="3649"/>
      <c r="BP83" s="3649"/>
      <c r="BQ83" s="3649"/>
      <c r="BR83" s="3649"/>
      <c r="BS83" s="3649"/>
      <c r="BT83" s="3649"/>
      <c r="BU83" s="3649"/>
      <c r="BV83" s="3649"/>
      <c r="BW83" s="3649"/>
      <c r="BX83" s="3649"/>
      <c r="BY83" s="3649"/>
      <c r="BZ83" s="3649"/>
      <c r="CA83" s="3649"/>
      <c r="CB83" s="3649"/>
      <c r="CC83" s="3649"/>
      <c r="CD83" s="3649"/>
      <c r="CE83" s="3649"/>
      <c r="CF83" s="3649"/>
      <c r="CG83" s="3649"/>
      <c r="CH83" s="3649"/>
      <c r="CI83" s="3649"/>
      <c r="CJ83" s="2977"/>
    </row>
    <row r="84" spans="1:88">
      <c r="A84" s="53">
        <v>2000.03</v>
      </c>
      <c r="B84" s="613">
        <v>86.602588856652361</v>
      </c>
      <c r="C84" s="3532">
        <v>86.5361276251205</v>
      </c>
      <c r="D84" s="360"/>
      <c r="E84" s="361"/>
      <c r="F84" s="2657"/>
      <c r="G84" s="2657"/>
      <c r="H84" s="2657"/>
      <c r="I84" s="2657"/>
      <c r="J84" s="2657"/>
      <c r="K84" s="2657"/>
      <c r="L84" s="2657"/>
      <c r="M84" s="2657"/>
      <c r="N84" s="2657"/>
      <c r="O84" s="2657"/>
      <c r="P84" s="2657"/>
      <c r="Q84" s="2657"/>
      <c r="R84" s="2658"/>
      <c r="S84" s="3649"/>
      <c r="T84" s="3649"/>
      <c r="U84" s="3649"/>
      <c r="V84" s="3649"/>
      <c r="W84" s="3649"/>
      <c r="X84" s="3649"/>
      <c r="Y84" s="3649"/>
      <c r="Z84" s="3649"/>
      <c r="AA84" s="3649"/>
      <c r="AB84" s="3649"/>
      <c r="AC84" s="3649"/>
      <c r="AD84" s="3649"/>
      <c r="AE84" s="3649"/>
      <c r="AF84" s="3649"/>
      <c r="AG84" s="3649"/>
      <c r="AH84" s="3649"/>
      <c r="AI84" s="3649"/>
      <c r="AJ84" s="3649"/>
      <c r="AK84" s="3649"/>
      <c r="AL84" s="3649"/>
      <c r="AM84" s="3649"/>
      <c r="AN84" s="3649"/>
      <c r="AO84" s="3649"/>
      <c r="AP84" s="3649"/>
      <c r="AQ84" s="3649"/>
      <c r="AR84" s="3649"/>
      <c r="AS84" s="3649"/>
      <c r="AT84" s="3649"/>
      <c r="AU84" s="3649"/>
      <c r="AV84" s="3649"/>
      <c r="AW84" s="3649"/>
      <c r="AX84" s="3649"/>
      <c r="AY84" s="3649"/>
      <c r="AZ84" s="3649"/>
      <c r="BA84" s="3649"/>
      <c r="BB84" s="3649"/>
      <c r="BC84" s="3649"/>
      <c r="BD84" s="3649"/>
      <c r="BE84" s="3649"/>
      <c r="BF84" s="3649"/>
      <c r="BG84" s="3649"/>
      <c r="BH84" s="3649"/>
      <c r="BI84" s="3649"/>
      <c r="BJ84" s="3649"/>
      <c r="BK84" s="3649"/>
      <c r="BL84" s="3649"/>
      <c r="BM84" s="3649"/>
      <c r="BN84" s="3649"/>
      <c r="BO84" s="3649"/>
      <c r="BP84" s="3649"/>
      <c r="BQ84" s="3649"/>
      <c r="BR84" s="3649"/>
      <c r="BS84" s="3649"/>
      <c r="BT84" s="3649"/>
      <c r="BU84" s="3649"/>
      <c r="BV84" s="3649"/>
      <c r="BW84" s="3649"/>
      <c r="BX84" s="3649"/>
      <c r="BY84" s="3649"/>
      <c r="BZ84" s="3649"/>
      <c r="CA84" s="3649"/>
      <c r="CB84" s="3649"/>
      <c r="CC84" s="3649"/>
      <c r="CD84" s="3649"/>
      <c r="CE84" s="3649"/>
      <c r="CF84" s="3649"/>
      <c r="CG84" s="3649"/>
      <c r="CH84" s="3649"/>
      <c r="CI84" s="3649"/>
      <c r="CJ84" s="2977"/>
    </row>
    <row r="85" spans="1:88">
      <c r="A85" s="53">
        <v>2000.04</v>
      </c>
      <c r="B85" s="613">
        <v>79.39174135538768</v>
      </c>
      <c r="C85" s="3532">
        <v>83.998178915185875</v>
      </c>
      <c r="D85" s="360"/>
      <c r="E85" s="361"/>
      <c r="F85" s="2657"/>
      <c r="G85" s="2657"/>
      <c r="H85" s="2657"/>
      <c r="I85" s="2657"/>
      <c r="J85" s="2657"/>
      <c r="K85" s="2657"/>
      <c r="L85" s="2657"/>
      <c r="M85" s="2657"/>
      <c r="N85" s="2657"/>
      <c r="O85" s="2657"/>
      <c r="P85" s="2657"/>
      <c r="Q85" s="2657"/>
      <c r="R85" s="2658"/>
      <c r="S85" s="3649"/>
      <c r="T85" s="3649"/>
      <c r="U85" s="3649"/>
      <c r="V85" s="3649"/>
      <c r="W85" s="3649"/>
      <c r="X85" s="3649"/>
      <c r="Y85" s="3649"/>
      <c r="Z85" s="3649"/>
      <c r="AA85" s="3649"/>
      <c r="AB85" s="3649"/>
      <c r="AC85" s="3649"/>
      <c r="AD85" s="3649"/>
      <c r="AE85" s="3649"/>
      <c r="AF85" s="3649"/>
      <c r="AG85" s="3649"/>
      <c r="AH85" s="3649"/>
      <c r="AI85" s="3649"/>
      <c r="AJ85" s="3649"/>
      <c r="AK85" s="3649"/>
      <c r="AL85" s="3649"/>
      <c r="AM85" s="3649"/>
      <c r="AN85" s="3649"/>
      <c r="AO85" s="3649"/>
      <c r="AP85" s="3649"/>
      <c r="AQ85" s="3649"/>
      <c r="AR85" s="3649"/>
      <c r="AS85" s="3649"/>
      <c r="AT85" s="3649"/>
      <c r="AU85" s="3649"/>
      <c r="AV85" s="3649"/>
      <c r="AW85" s="3649"/>
      <c r="AX85" s="3649"/>
      <c r="AY85" s="3649"/>
      <c r="AZ85" s="3649"/>
      <c r="BA85" s="3649"/>
      <c r="BB85" s="3649"/>
      <c r="BC85" s="3649"/>
      <c r="BD85" s="3649"/>
      <c r="BE85" s="3649"/>
      <c r="BF85" s="3649"/>
      <c r="BG85" s="3649"/>
      <c r="BH85" s="3649"/>
      <c r="BI85" s="3649"/>
      <c r="BJ85" s="3649"/>
      <c r="BK85" s="3649"/>
      <c r="BL85" s="3649"/>
      <c r="BM85" s="3649"/>
      <c r="BN85" s="3649"/>
      <c r="BO85" s="3649"/>
      <c r="BP85" s="3649"/>
      <c r="BQ85" s="3649"/>
      <c r="BR85" s="3649"/>
      <c r="BS85" s="3649"/>
      <c r="BT85" s="3649"/>
      <c r="BU85" s="3649"/>
      <c r="BV85" s="3649"/>
      <c r="BW85" s="3649"/>
      <c r="BX85" s="3649"/>
      <c r="BY85" s="3649"/>
      <c r="BZ85" s="3649"/>
      <c r="CA85" s="3649"/>
      <c r="CB85" s="3649"/>
      <c r="CC85" s="3649"/>
      <c r="CD85" s="3649"/>
      <c r="CE85" s="3649"/>
      <c r="CF85" s="3649"/>
      <c r="CG85" s="3649"/>
      <c r="CH85" s="3649"/>
      <c r="CI85" s="3649"/>
      <c r="CJ85" s="2977"/>
    </row>
    <row r="86" spans="1:88">
      <c r="A86" s="53">
        <v>2000.05</v>
      </c>
      <c r="B86" s="613">
        <v>83.302358795097945</v>
      </c>
      <c r="C86" s="3532">
        <v>83.861807690880426</v>
      </c>
      <c r="D86" s="360"/>
      <c r="E86" s="361"/>
      <c r="F86" s="2657"/>
      <c r="G86" s="2657"/>
      <c r="H86" s="2657"/>
      <c r="I86" s="2657"/>
      <c r="J86" s="2657"/>
      <c r="K86" s="2657"/>
      <c r="L86" s="2657"/>
      <c r="M86" s="2657"/>
      <c r="N86" s="2657"/>
      <c r="O86" s="2657"/>
      <c r="P86" s="2657"/>
      <c r="Q86" s="2657"/>
      <c r="R86" s="2658"/>
      <c r="S86" s="3649"/>
      <c r="T86" s="3649"/>
      <c r="U86" s="3649"/>
      <c r="V86" s="3649"/>
      <c r="W86" s="3649"/>
      <c r="X86" s="3649"/>
      <c r="Y86" s="3649"/>
      <c r="Z86" s="3649"/>
      <c r="AA86" s="3649"/>
      <c r="AB86" s="3649"/>
      <c r="AC86" s="3649"/>
      <c r="AD86" s="3649"/>
      <c r="AE86" s="3649"/>
      <c r="AF86" s="3649"/>
      <c r="AG86" s="3649"/>
      <c r="AH86" s="3649"/>
      <c r="AI86" s="3649"/>
      <c r="AJ86" s="3649"/>
      <c r="AK86" s="3649"/>
      <c r="AL86" s="3649"/>
      <c r="AM86" s="3649"/>
      <c r="AN86" s="3649"/>
      <c r="AO86" s="3649"/>
      <c r="AP86" s="3649"/>
      <c r="AQ86" s="3649"/>
      <c r="AR86" s="3649"/>
      <c r="AS86" s="3649"/>
      <c r="AT86" s="3649"/>
      <c r="AU86" s="3649"/>
      <c r="AV86" s="3649"/>
      <c r="AW86" s="3649"/>
      <c r="AX86" s="3649"/>
      <c r="AY86" s="3649"/>
      <c r="AZ86" s="3649"/>
      <c r="BA86" s="3649"/>
      <c r="BB86" s="3649"/>
      <c r="BC86" s="3649"/>
      <c r="BD86" s="3649"/>
      <c r="BE86" s="3649"/>
      <c r="BF86" s="3649"/>
      <c r="BG86" s="3649"/>
      <c r="BH86" s="3649"/>
      <c r="BI86" s="3649"/>
      <c r="BJ86" s="3649"/>
      <c r="BK86" s="3649"/>
      <c r="BL86" s="3649"/>
      <c r="BM86" s="3649"/>
      <c r="BN86" s="3649"/>
      <c r="BO86" s="3649"/>
      <c r="BP86" s="3649"/>
      <c r="BQ86" s="3649"/>
      <c r="BR86" s="3649"/>
      <c r="BS86" s="3649"/>
      <c r="BT86" s="3649"/>
      <c r="BU86" s="3649"/>
      <c r="BV86" s="3649"/>
      <c r="BW86" s="3649"/>
      <c r="BX86" s="3649"/>
      <c r="BY86" s="3649"/>
      <c r="BZ86" s="3649"/>
      <c r="CA86" s="3649"/>
      <c r="CB86" s="3649"/>
      <c r="CC86" s="3649"/>
      <c r="CD86" s="3649"/>
      <c r="CE86" s="3649"/>
      <c r="CF86" s="3649"/>
      <c r="CG86" s="3649"/>
      <c r="CH86" s="3649"/>
      <c r="CI86" s="3649"/>
      <c r="CJ86" s="2977"/>
    </row>
    <row r="87" spans="1:88">
      <c r="A87" s="53">
        <v>2000.06</v>
      </c>
      <c r="B87" s="613">
        <v>81.326358977678211</v>
      </c>
      <c r="C87" s="3532">
        <v>82.5346846531924</v>
      </c>
      <c r="D87" s="360"/>
      <c r="E87" s="361"/>
      <c r="F87" s="2657"/>
      <c r="G87" s="2657"/>
      <c r="H87" s="2657"/>
      <c r="I87" s="2657"/>
      <c r="J87" s="2657"/>
      <c r="K87" s="2657"/>
      <c r="L87" s="2657"/>
      <c r="M87" s="2657"/>
      <c r="N87" s="2657"/>
      <c r="O87" s="2657"/>
      <c r="P87" s="2657"/>
      <c r="Q87" s="2657"/>
      <c r="R87" s="2658"/>
      <c r="S87" s="3649"/>
      <c r="T87" s="3649"/>
      <c r="U87" s="3649"/>
      <c r="V87" s="3649"/>
      <c r="W87" s="3649"/>
      <c r="X87" s="3649"/>
      <c r="Y87" s="3649"/>
      <c r="Z87" s="3649"/>
      <c r="AA87" s="3649"/>
      <c r="AB87" s="3649"/>
      <c r="AC87" s="3649"/>
      <c r="AD87" s="3649"/>
      <c r="AE87" s="3649"/>
      <c r="AF87" s="3649"/>
      <c r="AG87" s="3649"/>
      <c r="AH87" s="3649"/>
      <c r="AI87" s="3649"/>
      <c r="AJ87" s="3649"/>
      <c r="AK87" s="3649"/>
      <c r="AL87" s="3649"/>
      <c r="AM87" s="3649"/>
      <c r="AN87" s="3649"/>
      <c r="AO87" s="3649"/>
      <c r="AP87" s="3649"/>
      <c r="AQ87" s="3649"/>
      <c r="AR87" s="3649"/>
      <c r="AS87" s="3649"/>
      <c r="AT87" s="3649"/>
      <c r="AU87" s="3649"/>
      <c r="AV87" s="3649"/>
      <c r="AW87" s="3649"/>
      <c r="AX87" s="3649"/>
      <c r="AY87" s="3649"/>
      <c r="AZ87" s="3649"/>
      <c r="BA87" s="3649"/>
      <c r="BB87" s="3649"/>
      <c r="BC87" s="3649"/>
      <c r="BD87" s="3649"/>
      <c r="BE87" s="3649"/>
      <c r="BF87" s="3649"/>
      <c r="BG87" s="3649"/>
      <c r="BH87" s="3649"/>
      <c r="BI87" s="3649"/>
      <c r="BJ87" s="3649"/>
      <c r="BK87" s="3649"/>
      <c r="BL87" s="3649"/>
      <c r="BM87" s="3649"/>
      <c r="BN87" s="3649"/>
      <c r="BO87" s="3649"/>
      <c r="BP87" s="3649"/>
      <c r="BQ87" s="3649"/>
      <c r="BR87" s="3649"/>
      <c r="BS87" s="3649"/>
      <c r="BT87" s="3649"/>
      <c r="BU87" s="3649"/>
      <c r="BV87" s="3649"/>
      <c r="BW87" s="3649"/>
      <c r="BX87" s="3649"/>
      <c r="BY87" s="3649"/>
      <c r="BZ87" s="3649"/>
      <c r="CA87" s="3649"/>
      <c r="CB87" s="3649"/>
      <c r="CC87" s="3649"/>
      <c r="CD87" s="3649"/>
      <c r="CE87" s="3649"/>
      <c r="CF87" s="3649"/>
      <c r="CG87" s="3649"/>
      <c r="CH87" s="3649"/>
      <c r="CI87" s="3649"/>
      <c r="CJ87" s="2977"/>
    </row>
    <row r="88" spans="1:88">
      <c r="A88" s="53">
        <v>2000.07</v>
      </c>
      <c r="B88" s="613">
        <v>84.978337697830924</v>
      </c>
      <c r="C88" s="3532">
        <v>83.618569777919276</v>
      </c>
      <c r="D88" s="360"/>
      <c r="E88" s="361"/>
      <c r="F88" s="2657"/>
      <c r="G88" s="2657"/>
      <c r="H88" s="2657"/>
      <c r="I88" s="2657"/>
      <c r="J88" s="2657"/>
      <c r="K88" s="2657"/>
      <c r="L88" s="2657"/>
      <c r="M88" s="2657"/>
      <c r="N88" s="2657"/>
      <c r="O88" s="2657"/>
      <c r="P88" s="2657"/>
      <c r="Q88" s="2657"/>
      <c r="R88" s="2658"/>
      <c r="S88" s="3649"/>
      <c r="T88" s="3649"/>
      <c r="U88" s="3649"/>
      <c r="V88" s="3649"/>
      <c r="W88" s="3649"/>
      <c r="X88" s="3649"/>
      <c r="Y88" s="3649"/>
      <c r="Z88" s="3649"/>
      <c r="AA88" s="3649"/>
      <c r="AB88" s="3649"/>
      <c r="AC88" s="3649"/>
      <c r="AD88" s="3649"/>
      <c r="AE88" s="3649"/>
      <c r="AF88" s="3649"/>
      <c r="AG88" s="3649"/>
      <c r="AH88" s="3649"/>
      <c r="AI88" s="3649"/>
      <c r="AJ88" s="3649"/>
      <c r="AK88" s="3649"/>
      <c r="AL88" s="3649"/>
      <c r="AM88" s="3649"/>
      <c r="AN88" s="3649"/>
      <c r="AO88" s="3649"/>
      <c r="AP88" s="3649"/>
      <c r="AQ88" s="3649"/>
      <c r="AR88" s="3649"/>
      <c r="AS88" s="3649"/>
      <c r="AT88" s="3649"/>
      <c r="AU88" s="3649"/>
      <c r="AV88" s="3649"/>
      <c r="AW88" s="3649"/>
      <c r="AX88" s="3649"/>
      <c r="AY88" s="3649"/>
      <c r="AZ88" s="3649"/>
      <c r="BA88" s="3649"/>
      <c r="BB88" s="3649"/>
      <c r="BC88" s="3649"/>
      <c r="BD88" s="3649"/>
      <c r="BE88" s="3649"/>
      <c r="BF88" s="3649"/>
      <c r="BG88" s="3649"/>
      <c r="BH88" s="3649"/>
      <c r="BI88" s="3649"/>
      <c r="BJ88" s="3649"/>
      <c r="BK88" s="3649"/>
      <c r="BL88" s="3649"/>
      <c r="BM88" s="3649"/>
      <c r="BN88" s="3649"/>
      <c r="BO88" s="3649"/>
      <c r="BP88" s="3649"/>
      <c r="BQ88" s="3649"/>
      <c r="BR88" s="3649"/>
      <c r="BS88" s="3649"/>
      <c r="BT88" s="3649"/>
      <c r="BU88" s="3649"/>
      <c r="BV88" s="3649"/>
      <c r="BW88" s="3649"/>
      <c r="BX88" s="3649"/>
      <c r="BY88" s="3649"/>
      <c r="BZ88" s="3649"/>
      <c r="CA88" s="3649"/>
      <c r="CB88" s="3649"/>
      <c r="CC88" s="3649"/>
      <c r="CD88" s="3649"/>
      <c r="CE88" s="3649"/>
      <c r="CF88" s="3649"/>
      <c r="CG88" s="3649"/>
      <c r="CH88" s="3649"/>
      <c r="CI88" s="3649"/>
      <c r="CJ88" s="2977"/>
    </row>
    <row r="89" spans="1:88">
      <c r="A89" s="53">
        <v>2000.08</v>
      </c>
      <c r="B89" s="613">
        <v>85.961164832149635</v>
      </c>
      <c r="C89" s="3532">
        <v>83.102511476572502</v>
      </c>
      <c r="D89" s="360"/>
      <c r="E89" s="361"/>
      <c r="F89" s="2657"/>
      <c r="G89" s="2657"/>
      <c r="H89" s="2657"/>
      <c r="I89" s="2657"/>
      <c r="J89" s="2657"/>
      <c r="K89" s="2657"/>
      <c r="L89" s="2657"/>
      <c r="M89" s="2657"/>
      <c r="N89" s="2657"/>
      <c r="O89" s="2657"/>
      <c r="P89" s="2657"/>
      <c r="Q89" s="2657"/>
      <c r="R89" s="2658"/>
      <c r="S89" s="3649"/>
      <c r="T89" s="3649"/>
      <c r="U89" s="3649"/>
      <c r="V89" s="3649"/>
      <c r="W89" s="3649"/>
      <c r="X89" s="3649"/>
      <c r="Y89" s="3649"/>
      <c r="Z89" s="3649"/>
      <c r="AA89" s="3649"/>
      <c r="AB89" s="3649"/>
      <c r="AC89" s="3649"/>
      <c r="AD89" s="3649"/>
      <c r="AE89" s="3649"/>
      <c r="AF89" s="3649"/>
      <c r="AG89" s="3649"/>
      <c r="AH89" s="3649"/>
      <c r="AI89" s="3649"/>
      <c r="AJ89" s="3649"/>
      <c r="AK89" s="3649"/>
      <c r="AL89" s="3649"/>
      <c r="AM89" s="3649"/>
      <c r="AN89" s="3649"/>
      <c r="AO89" s="3649"/>
      <c r="AP89" s="3649"/>
      <c r="AQ89" s="3649"/>
      <c r="AR89" s="3649"/>
      <c r="AS89" s="3649"/>
      <c r="AT89" s="3649"/>
      <c r="AU89" s="3649"/>
      <c r="AV89" s="3649"/>
      <c r="AW89" s="3649"/>
      <c r="AX89" s="3649"/>
      <c r="AY89" s="3649"/>
      <c r="AZ89" s="3649"/>
      <c r="BA89" s="3649"/>
      <c r="BB89" s="3649"/>
      <c r="BC89" s="3649"/>
      <c r="BD89" s="3649"/>
      <c r="BE89" s="3649"/>
      <c r="BF89" s="3649"/>
      <c r="BG89" s="3649"/>
      <c r="BH89" s="3649"/>
      <c r="BI89" s="3649"/>
      <c r="BJ89" s="3649"/>
      <c r="BK89" s="3649"/>
      <c r="BL89" s="3649"/>
      <c r="BM89" s="3649"/>
      <c r="BN89" s="3649"/>
      <c r="BO89" s="3649"/>
      <c r="BP89" s="3649"/>
      <c r="BQ89" s="3649"/>
      <c r="BR89" s="3649"/>
      <c r="BS89" s="3649"/>
      <c r="BT89" s="3649"/>
      <c r="BU89" s="3649"/>
      <c r="BV89" s="3649"/>
      <c r="BW89" s="3649"/>
      <c r="BX89" s="3649"/>
      <c r="BY89" s="3649"/>
      <c r="BZ89" s="3649"/>
      <c r="CA89" s="3649"/>
      <c r="CB89" s="3649"/>
      <c r="CC89" s="3649"/>
      <c r="CD89" s="3649"/>
      <c r="CE89" s="3649"/>
      <c r="CF89" s="3649"/>
      <c r="CG89" s="3649"/>
      <c r="CH89" s="3649"/>
      <c r="CI89" s="3649"/>
      <c r="CJ89" s="2977"/>
    </row>
    <row r="90" spans="1:88">
      <c r="A90" s="53">
        <v>2000.09</v>
      </c>
      <c r="B90" s="613">
        <v>86.106002515101864</v>
      </c>
      <c r="C90" s="3532">
        <v>84.111855504411892</v>
      </c>
      <c r="D90" s="360"/>
      <c r="E90" s="361"/>
      <c r="F90" s="2657"/>
      <c r="G90" s="2657"/>
      <c r="H90" s="2657"/>
      <c r="I90" s="2657"/>
      <c r="J90" s="2657"/>
      <c r="K90" s="2657"/>
      <c r="L90" s="2657"/>
      <c r="M90" s="2657"/>
      <c r="N90" s="2657"/>
      <c r="O90" s="2657"/>
      <c r="P90" s="2657"/>
      <c r="Q90" s="2657"/>
      <c r="R90" s="2658"/>
      <c r="S90" s="3649"/>
      <c r="T90" s="3649"/>
      <c r="U90" s="3649"/>
      <c r="V90" s="3649"/>
      <c r="W90" s="3649"/>
      <c r="X90" s="3649"/>
      <c r="Y90" s="3649"/>
      <c r="Z90" s="3649"/>
      <c r="AA90" s="3649"/>
      <c r="AB90" s="3649"/>
      <c r="AC90" s="3649"/>
      <c r="AD90" s="3649"/>
      <c r="AE90" s="3649"/>
      <c r="AF90" s="3649"/>
      <c r="AG90" s="3649"/>
      <c r="AH90" s="3649"/>
      <c r="AI90" s="3649"/>
      <c r="AJ90" s="3649"/>
      <c r="AK90" s="3649"/>
      <c r="AL90" s="3649"/>
      <c r="AM90" s="3649"/>
      <c r="AN90" s="3649"/>
      <c r="AO90" s="3649"/>
      <c r="AP90" s="3649"/>
      <c r="AQ90" s="3649"/>
      <c r="AR90" s="3649"/>
      <c r="AS90" s="3649"/>
      <c r="AT90" s="3649"/>
      <c r="AU90" s="3649"/>
      <c r="AV90" s="3649"/>
      <c r="AW90" s="3649"/>
      <c r="AX90" s="3649"/>
      <c r="AY90" s="3649"/>
      <c r="AZ90" s="3649"/>
      <c r="BA90" s="3649"/>
      <c r="BB90" s="3649"/>
      <c r="BC90" s="3649"/>
      <c r="BD90" s="3649"/>
      <c r="BE90" s="3649"/>
      <c r="BF90" s="3649"/>
      <c r="BG90" s="3649"/>
      <c r="BH90" s="3649"/>
      <c r="BI90" s="3649"/>
      <c r="BJ90" s="3649"/>
      <c r="BK90" s="3649"/>
      <c r="BL90" s="3649"/>
      <c r="BM90" s="3649"/>
      <c r="BN90" s="3649"/>
      <c r="BO90" s="3649"/>
      <c r="BP90" s="3649"/>
      <c r="BQ90" s="3649"/>
      <c r="BR90" s="3649"/>
      <c r="BS90" s="3649"/>
      <c r="BT90" s="3649"/>
      <c r="BU90" s="3649"/>
      <c r="BV90" s="3649"/>
      <c r="BW90" s="3649"/>
      <c r="BX90" s="3649"/>
      <c r="BY90" s="3649"/>
      <c r="BZ90" s="3649"/>
      <c r="CA90" s="3649"/>
      <c r="CB90" s="3649"/>
      <c r="CC90" s="3649"/>
      <c r="CD90" s="3649"/>
      <c r="CE90" s="3649"/>
      <c r="CF90" s="3649"/>
      <c r="CG90" s="3649"/>
      <c r="CH90" s="3649"/>
      <c r="CI90" s="3649"/>
      <c r="CJ90" s="2977"/>
    </row>
    <row r="91" spans="1:88">
      <c r="A91" s="53">
        <v>2000.1</v>
      </c>
      <c r="B91" s="613">
        <v>86.219803551707187</v>
      </c>
      <c r="C91" s="3532">
        <v>83.405901827314381</v>
      </c>
      <c r="D91" s="360"/>
      <c r="E91" s="361"/>
      <c r="F91" s="2657"/>
      <c r="G91" s="2657"/>
      <c r="H91" s="2657"/>
      <c r="I91" s="2657"/>
      <c r="J91" s="2657"/>
      <c r="K91" s="2657"/>
      <c r="L91" s="2657"/>
      <c r="M91" s="2657"/>
      <c r="N91" s="2657"/>
      <c r="O91" s="2657"/>
      <c r="P91" s="2657"/>
      <c r="Q91" s="2657"/>
      <c r="R91" s="2658"/>
      <c r="S91" s="3649"/>
      <c r="T91" s="3649"/>
      <c r="U91" s="3649"/>
      <c r="V91" s="3649"/>
      <c r="W91" s="3649"/>
      <c r="X91" s="3649"/>
      <c r="Y91" s="3649"/>
      <c r="Z91" s="3649"/>
      <c r="AA91" s="3649"/>
      <c r="AB91" s="3649"/>
      <c r="AC91" s="3649"/>
      <c r="AD91" s="3649"/>
      <c r="AE91" s="3649"/>
      <c r="AF91" s="3649"/>
      <c r="AG91" s="3649"/>
      <c r="AH91" s="3649"/>
      <c r="AI91" s="3649"/>
      <c r="AJ91" s="3649"/>
      <c r="AK91" s="3649"/>
      <c r="AL91" s="3649"/>
      <c r="AM91" s="3649"/>
      <c r="AN91" s="3649"/>
      <c r="AO91" s="3649"/>
      <c r="AP91" s="3649"/>
      <c r="AQ91" s="3649"/>
      <c r="AR91" s="3649"/>
      <c r="AS91" s="3649"/>
      <c r="AT91" s="3649"/>
      <c r="AU91" s="3649"/>
      <c r="AV91" s="3649"/>
      <c r="AW91" s="3649"/>
      <c r="AX91" s="3649"/>
      <c r="AY91" s="3649"/>
      <c r="AZ91" s="3649"/>
      <c r="BA91" s="3649"/>
      <c r="BB91" s="3649"/>
      <c r="BC91" s="3649"/>
      <c r="BD91" s="3649"/>
      <c r="BE91" s="3649"/>
      <c r="BF91" s="3649"/>
      <c r="BG91" s="3649"/>
      <c r="BH91" s="3649"/>
      <c r="BI91" s="3649"/>
      <c r="BJ91" s="3649"/>
      <c r="BK91" s="3649"/>
      <c r="BL91" s="3649"/>
      <c r="BM91" s="3649"/>
      <c r="BN91" s="3649"/>
      <c r="BO91" s="3649"/>
      <c r="BP91" s="3649"/>
      <c r="BQ91" s="3649"/>
      <c r="BR91" s="3649"/>
      <c r="BS91" s="3649"/>
      <c r="BT91" s="3649"/>
      <c r="BU91" s="3649"/>
      <c r="BV91" s="3649"/>
      <c r="BW91" s="3649"/>
      <c r="BX91" s="3649"/>
      <c r="BY91" s="3649"/>
      <c r="BZ91" s="3649"/>
      <c r="CA91" s="3649"/>
      <c r="CB91" s="3649"/>
      <c r="CC91" s="3649"/>
      <c r="CD91" s="3649"/>
      <c r="CE91" s="3649"/>
      <c r="CF91" s="3649"/>
      <c r="CG91" s="3649"/>
      <c r="CH91" s="3649"/>
      <c r="CI91" s="3649"/>
      <c r="CJ91" s="2977"/>
    </row>
    <row r="92" spans="1:88">
      <c r="A92" s="53">
        <v>2000.11</v>
      </c>
      <c r="B92" s="613">
        <v>83.612725258567011</v>
      </c>
      <c r="C92" s="3532">
        <v>82.57387384801973</v>
      </c>
      <c r="D92" s="360"/>
      <c r="E92" s="361"/>
      <c r="F92" s="2657"/>
      <c r="G92" s="2657"/>
      <c r="H92" s="2657"/>
      <c r="I92" s="2657"/>
      <c r="J92" s="2657"/>
      <c r="K92" s="2657"/>
      <c r="L92" s="2657"/>
      <c r="M92" s="2657"/>
      <c r="N92" s="2657"/>
      <c r="O92" s="2657"/>
      <c r="P92" s="2657"/>
      <c r="Q92" s="2657"/>
      <c r="R92" s="2658"/>
      <c r="S92" s="3649"/>
      <c r="T92" s="3649"/>
      <c r="U92" s="3649"/>
      <c r="V92" s="3649"/>
      <c r="W92" s="3649"/>
      <c r="X92" s="3649"/>
      <c r="Y92" s="3649"/>
      <c r="Z92" s="3649"/>
      <c r="AA92" s="3649"/>
      <c r="AB92" s="3649"/>
      <c r="AC92" s="3649"/>
      <c r="AD92" s="3649"/>
      <c r="AE92" s="3649"/>
      <c r="AF92" s="3649"/>
      <c r="AG92" s="3649"/>
      <c r="AH92" s="3649"/>
      <c r="AI92" s="3649"/>
      <c r="AJ92" s="3649"/>
      <c r="AK92" s="3649"/>
      <c r="AL92" s="3649"/>
      <c r="AM92" s="3649"/>
      <c r="AN92" s="3649"/>
      <c r="AO92" s="3649"/>
      <c r="AP92" s="3649"/>
      <c r="AQ92" s="3649"/>
      <c r="AR92" s="3649"/>
      <c r="AS92" s="3649"/>
      <c r="AT92" s="3649"/>
      <c r="AU92" s="3649"/>
      <c r="AV92" s="3649"/>
      <c r="AW92" s="3649"/>
      <c r="AX92" s="3649"/>
      <c r="AY92" s="3649"/>
      <c r="AZ92" s="3649"/>
      <c r="BA92" s="3649"/>
      <c r="BB92" s="3649"/>
      <c r="BC92" s="3649"/>
      <c r="BD92" s="3649"/>
      <c r="BE92" s="3649"/>
      <c r="BF92" s="3649"/>
      <c r="BG92" s="3649"/>
      <c r="BH92" s="3649"/>
      <c r="BI92" s="3649"/>
      <c r="BJ92" s="3649"/>
      <c r="BK92" s="3649"/>
      <c r="BL92" s="3649"/>
      <c r="BM92" s="3649"/>
      <c r="BN92" s="3649"/>
      <c r="BO92" s="3649"/>
      <c r="BP92" s="3649"/>
      <c r="BQ92" s="3649"/>
      <c r="BR92" s="3649"/>
      <c r="BS92" s="3649"/>
      <c r="BT92" s="3649"/>
      <c r="BU92" s="3649"/>
      <c r="BV92" s="3649"/>
      <c r="BW92" s="3649"/>
      <c r="BX92" s="3649"/>
      <c r="BY92" s="3649"/>
      <c r="BZ92" s="3649"/>
      <c r="CA92" s="3649"/>
      <c r="CB92" s="3649"/>
      <c r="CC92" s="3649"/>
      <c r="CD92" s="3649"/>
      <c r="CE92" s="3649"/>
      <c r="CF92" s="3649"/>
      <c r="CG92" s="3649"/>
      <c r="CH92" s="3649"/>
      <c r="CI92" s="3649"/>
      <c r="CJ92" s="2977"/>
    </row>
    <row r="93" spans="1:88">
      <c r="A93" s="53">
        <v>2000.12</v>
      </c>
      <c r="B93" s="613">
        <v>83.829981782995375</v>
      </c>
      <c r="C93" s="3532">
        <v>83.204803235873172</v>
      </c>
      <c r="D93" s="360"/>
      <c r="E93" s="361"/>
      <c r="F93" s="2657"/>
      <c r="G93" s="2657"/>
      <c r="H93" s="2657"/>
      <c r="I93" s="2657"/>
      <c r="J93" s="2657"/>
      <c r="K93" s="2657"/>
      <c r="L93" s="2657"/>
      <c r="M93" s="2657"/>
      <c r="N93" s="2657"/>
      <c r="O93" s="2657"/>
      <c r="P93" s="2657"/>
      <c r="Q93" s="2657"/>
      <c r="R93" s="2658"/>
      <c r="S93" s="3649"/>
      <c r="T93" s="3649"/>
      <c r="U93" s="3649"/>
      <c r="V93" s="3649"/>
      <c r="W93" s="3649"/>
      <c r="X93" s="3649"/>
      <c r="Y93" s="3649"/>
      <c r="Z93" s="3649"/>
      <c r="AA93" s="3649"/>
      <c r="AB93" s="3649"/>
      <c r="AC93" s="3649"/>
      <c r="AD93" s="3649"/>
      <c r="AE93" s="3649"/>
      <c r="AF93" s="3649"/>
      <c r="AG93" s="3649"/>
      <c r="AH93" s="3649"/>
      <c r="AI93" s="3649"/>
      <c r="AJ93" s="3649"/>
      <c r="AK93" s="3649"/>
      <c r="AL93" s="3649"/>
      <c r="AM93" s="3649"/>
      <c r="AN93" s="3649"/>
      <c r="AO93" s="3649"/>
      <c r="AP93" s="3649"/>
      <c r="AQ93" s="3649"/>
      <c r="AR93" s="3649"/>
      <c r="AS93" s="3649"/>
      <c r="AT93" s="3649"/>
      <c r="AU93" s="3649"/>
      <c r="AV93" s="3649"/>
      <c r="AW93" s="3649"/>
      <c r="AX93" s="3649"/>
      <c r="AY93" s="3649"/>
      <c r="AZ93" s="3649"/>
      <c r="BA93" s="3649"/>
      <c r="BB93" s="3649"/>
      <c r="BC93" s="3649"/>
      <c r="BD93" s="3649"/>
      <c r="BE93" s="3649"/>
      <c r="BF93" s="3649"/>
      <c r="BG93" s="3649"/>
      <c r="BH93" s="3649"/>
      <c r="BI93" s="3649"/>
      <c r="BJ93" s="3649"/>
      <c r="BK93" s="3649"/>
      <c r="BL93" s="3649"/>
      <c r="BM93" s="3649"/>
      <c r="BN93" s="3649"/>
      <c r="BO93" s="3649"/>
      <c r="BP93" s="3649"/>
      <c r="BQ93" s="3649"/>
      <c r="BR93" s="3649"/>
      <c r="BS93" s="3649"/>
      <c r="BT93" s="3649"/>
      <c r="BU93" s="3649"/>
      <c r="BV93" s="3649"/>
      <c r="BW93" s="3649"/>
      <c r="BX93" s="3649"/>
      <c r="BY93" s="3649"/>
      <c r="BZ93" s="3649"/>
      <c r="CA93" s="3649"/>
      <c r="CB93" s="3649"/>
      <c r="CC93" s="3649"/>
      <c r="CD93" s="3649"/>
      <c r="CE93" s="3649"/>
      <c r="CF93" s="3649"/>
      <c r="CG93" s="3649"/>
      <c r="CH93" s="3649"/>
      <c r="CI93" s="3649"/>
      <c r="CJ93" s="2977"/>
    </row>
    <row r="94" spans="1:88">
      <c r="A94" s="53">
        <v>2001.01</v>
      </c>
      <c r="B94" s="613">
        <v>75.915636964534116</v>
      </c>
      <c r="C94" s="3532">
        <v>83.422382128316897</v>
      </c>
      <c r="D94" s="360"/>
      <c r="E94" s="361"/>
      <c r="F94" s="2657"/>
      <c r="G94" s="2657"/>
      <c r="H94" s="2657"/>
      <c r="I94" s="2657"/>
      <c r="J94" s="2657"/>
      <c r="K94" s="2657"/>
      <c r="L94" s="2657"/>
      <c r="M94" s="2657"/>
      <c r="N94" s="2657"/>
      <c r="O94" s="2657"/>
      <c r="P94" s="2657"/>
      <c r="Q94" s="2657"/>
      <c r="R94" s="2658"/>
      <c r="S94" s="3649"/>
      <c r="T94" s="3649"/>
      <c r="U94" s="3649"/>
      <c r="V94" s="3649"/>
      <c r="W94" s="3649"/>
      <c r="X94" s="3649"/>
      <c r="Y94" s="3649"/>
      <c r="Z94" s="3649"/>
      <c r="AA94" s="3649"/>
      <c r="AB94" s="3649"/>
      <c r="AC94" s="3649"/>
      <c r="AD94" s="3649"/>
      <c r="AE94" s="3649"/>
      <c r="AF94" s="3649"/>
      <c r="AG94" s="3649"/>
      <c r="AH94" s="3649"/>
      <c r="AI94" s="3649"/>
      <c r="AJ94" s="3649"/>
      <c r="AK94" s="3649"/>
      <c r="AL94" s="3649"/>
      <c r="AM94" s="3649"/>
      <c r="AN94" s="3649"/>
      <c r="AO94" s="3649"/>
      <c r="AP94" s="3649"/>
      <c r="AQ94" s="3649"/>
      <c r="AR94" s="3649"/>
      <c r="AS94" s="3649"/>
      <c r="AT94" s="3649"/>
      <c r="AU94" s="3649"/>
      <c r="AV94" s="3649"/>
      <c r="AW94" s="3649"/>
      <c r="AX94" s="3649"/>
      <c r="AY94" s="3649"/>
      <c r="AZ94" s="3649"/>
      <c r="BA94" s="3649"/>
      <c r="BB94" s="3649"/>
      <c r="BC94" s="3649"/>
      <c r="BD94" s="3649"/>
      <c r="BE94" s="3649"/>
      <c r="BF94" s="3649"/>
      <c r="BG94" s="3649"/>
      <c r="BH94" s="3649"/>
      <c r="BI94" s="3649"/>
      <c r="BJ94" s="3649"/>
      <c r="BK94" s="3649"/>
      <c r="BL94" s="3649"/>
      <c r="BM94" s="3649"/>
      <c r="BN94" s="3649"/>
      <c r="BO94" s="3649"/>
      <c r="BP94" s="3649"/>
      <c r="BQ94" s="3649"/>
      <c r="BR94" s="3649"/>
      <c r="BS94" s="3649"/>
      <c r="BT94" s="3649"/>
      <c r="BU94" s="3649"/>
      <c r="BV94" s="3649"/>
      <c r="BW94" s="3649"/>
      <c r="BX94" s="3649"/>
      <c r="BY94" s="3649"/>
      <c r="BZ94" s="3649"/>
      <c r="CA94" s="3649"/>
      <c r="CB94" s="3649"/>
      <c r="CC94" s="3649"/>
      <c r="CD94" s="3649"/>
      <c r="CE94" s="3649"/>
      <c r="CF94" s="3649"/>
      <c r="CG94" s="3649"/>
      <c r="CH94" s="3649"/>
      <c r="CI94" s="3649"/>
      <c r="CJ94" s="2977"/>
    </row>
    <row r="95" spans="1:88">
      <c r="A95" s="53">
        <v>2001.02</v>
      </c>
      <c r="B95" s="613">
        <v>71.322213305191909</v>
      </c>
      <c r="C95" s="3532">
        <v>82.311459988253347</v>
      </c>
      <c r="D95" s="360"/>
      <c r="E95" s="361"/>
      <c r="F95" s="2657"/>
      <c r="G95" s="2657"/>
      <c r="H95" s="2657"/>
      <c r="I95" s="2657"/>
      <c r="J95" s="2657"/>
      <c r="K95" s="2657"/>
      <c r="L95" s="2657"/>
      <c r="M95" s="2657"/>
      <c r="N95" s="2657"/>
      <c r="O95" s="2657"/>
      <c r="P95" s="2657"/>
      <c r="Q95" s="2657"/>
      <c r="R95" s="2658"/>
      <c r="S95" s="3649"/>
      <c r="T95" s="3649"/>
      <c r="U95" s="3649"/>
      <c r="V95" s="3649"/>
      <c r="W95" s="3649"/>
      <c r="X95" s="3649"/>
      <c r="Y95" s="3649"/>
      <c r="Z95" s="3649"/>
      <c r="AA95" s="3649"/>
      <c r="AB95" s="3649"/>
      <c r="AC95" s="3649"/>
      <c r="AD95" s="3649"/>
      <c r="AE95" s="3649"/>
      <c r="AF95" s="3649"/>
      <c r="AG95" s="3649"/>
      <c r="AH95" s="3649"/>
      <c r="AI95" s="3649"/>
      <c r="AJ95" s="3649"/>
      <c r="AK95" s="3649"/>
      <c r="AL95" s="3649"/>
      <c r="AM95" s="3649"/>
      <c r="AN95" s="3649"/>
      <c r="AO95" s="3649"/>
      <c r="AP95" s="3649"/>
      <c r="AQ95" s="3649"/>
      <c r="AR95" s="3649"/>
      <c r="AS95" s="3649"/>
      <c r="AT95" s="3649"/>
      <c r="AU95" s="3649"/>
      <c r="AV95" s="3649"/>
      <c r="AW95" s="3649"/>
      <c r="AX95" s="3649"/>
      <c r="AY95" s="3649"/>
      <c r="AZ95" s="3649"/>
      <c r="BA95" s="3649"/>
      <c r="BB95" s="3649"/>
      <c r="BC95" s="3649"/>
      <c r="BD95" s="3649"/>
      <c r="BE95" s="3649"/>
      <c r="BF95" s="3649"/>
      <c r="BG95" s="3649"/>
      <c r="BH95" s="3649"/>
      <c r="BI95" s="3649"/>
      <c r="BJ95" s="3649"/>
      <c r="BK95" s="3649"/>
      <c r="BL95" s="3649"/>
      <c r="BM95" s="3649"/>
      <c r="BN95" s="3649"/>
      <c r="BO95" s="3649"/>
      <c r="BP95" s="3649"/>
      <c r="BQ95" s="3649"/>
      <c r="BR95" s="3649"/>
      <c r="BS95" s="3649"/>
      <c r="BT95" s="3649"/>
      <c r="BU95" s="3649"/>
      <c r="BV95" s="3649"/>
      <c r="BW95" s="3649"/>
      <c r="BX95" s="3649"/>
      <c r="BY95" s="3649"/>
      <c r="BZ95" s="3649"/>
      <c r="CA95" s="3649"/>
      <c r="CB95" s="3649"/>
      <c r="CC95" s="3649"/>
      <c r="CD95" s="3649"/>
      <c r="CE95" s="3649"/>
      <c r="CF95" s="3649"/>
      <c r="CG95" s="3649"/>
      <c r="CH95" s="3649"/>
      <c r="CI95" s="3649"/>
      <c r="CJ95" s="2977"/>
    </row>
    <row r="96" spans="1:88">
      <c r="A96" s="53">
        <v>2001.03</v>
      </c>
      <c r="B96" s="613">
        <v>79.45381464808149</v>
      </c>
      <c r="C96" s="3532">
        <v>81.217052237836938</v>
      </c>
      <c r="D96" s="360"/>
      <c r="E96" s="361"/>
      <c r="F96" s="2657"/>
      <c r="G96" s="2657"/>
      <c r="H96" s="2657"/>
      <c r="I96" s="2657"/>
      <c r="J96" s="2657"/>
      <c r="K96" s="2657"/>
      <c r="L96" s="2657"/>
      <c r="M96" s="2657"/>
      <c r="N96" s="2657"/>
      <c r="O96" s="2657"/>
      <c r="P96" s="2657"/>
      <c r="Q96" s="2657"/>
      <c r="R96" s="2658"/>
      <c r="S96" s="3649"/>
      <c r="T96" s="3649"/>
      <c r="U96" s="3649"/>
      <c r="V96" s="3649"/>
      <c r="W96" s="3649"/>
      <c r="X96" s="3649"/>
      <c r="Y96" s="3649"/>
      <c r="Z96" s="3649"/>
      <c r="AA96" s="3649"/>
      <c r="AB96" s="3649"/>
      <c r="AC96" s="3649"/>
      <c r="AD96" s="3649"/>
      <c r="AE96" s="3649"/>
      <c r="AF96" s="3649"/>
      <c r="AG96" s="3649"/>
      <c r="AH96" s="3649"/>
      <c r="AI96" s="3649"/>
      <c r="AJ96" s="3649"/>
      <c r="AK96" s="3649"/>
      <c r="AL96" s="3649"/>
      <c r="AM96" s="3649"/>
      <c r="AN96" s="3649"/>
      <c r="AO96" s="3649"/>
      <c r="AP96" s="3649"/>
      <c r="AQ96" s="3649"/>
      <c r="AR96" s="3649"/>
      <c r="AS96" s="3649"/>
      <c r="AT96" s="3649"/>
      <c r="AU96" s="3649"/>
      <c r="AV96" s="3649"/>
      <c r="AW96" s="3649"/>
      <c r="AX96" s="3649"/>
      <c r="AY96" s="3649"/>
      <c r="AZ96" s="3649"/>
      <c r="BA96" s="3649"/>
      <c r="BB96" s="3649"/>
      <c r="BC96" s="3649"/>
      <c r="BD96" s="3649"/>
      <c r="BE96" s="3649"/>
      <c r="BF96" s="3649"/>
      <c r="BG96" s="3649"/>
      <c r="BH96" s="3649"/>
      <c r="BI96" s="3649"/>
      <c r="BJ96" s="3649"/>
      <c r="BK96" s="3649"/>
      <c r="BL96" s="3649"/>
      <c r="BM96" s="3649"/>
      <c r="BN96" s="3649"/>
      <c r="BO96" s="3649"/>
      <c r="BP96" s="3649"/>
      <c r="BQ96" s="3649"/>
      <c r="BR96" s="3649"/>
      <c r="BS96" s="3649"/>
      <c r="BT96" s="3649"/>
      <c r="BU96" s="3649"/>
      <c r="BV96" s="3649"/>
      <c r="BW96" s="3649"/>
      <c r="BX96" s="3649"/>
      <c r="BY96" s="3649"/>
      <c r="BZ96" s="3649"/>
      <c r="CA96" s="3649"/>
      <c r="CB96" s="3649"/>
      <c r="CC96" s="3649"/>
      <c r="CD96" s="3649"/>
      <c r="CE96" s="3649"/>
      <c r="CF96" s="3649"/>
      <c r="CG96" s="3649"/>
      <c r="CH96" s="3649"/>
      <c r="CI96" s="3649"/>
      <c r="CJ96" s="2977"/>
    </row>
    <row r="97" spans="1:88">
      <c r="A97" s="53">
        <v>2001.04</v>
      </c>
      <c r="B97" s="613">
        <v>78.212348794205226</v>
      </c>
      <c r="C97" s="3532">
        <v>81.757674553064504</v>
      </c>
      <c r="D97" s="360"/>
      <c r="E97" s="361"/>
      <c r="F97" s="2657"/>
      <c r="G97" s="2657"/>
      <c r="H97" s="2657"/>
      <c r="I97" s="2657"/>
      <c r="J97" s="2657"/>
      <c r="K97" s="2657"/>
      <c r="L97" s="2657"/>
      <c r="M97" s="2657"/>
      <c r="N97" s="2657"/>
      <c r="O97" s="2657"/>
      <c r="P97" s="2657"/>
      <c r="Q97" s="2657"/>
      <c r="R97" s="2658"/>
      <c r="S97" s="3649"/>
      <c r="T97" s="3649"/>
      <c r="U97" s="3649"/>
      <c r="V97" s="3649"/>
      <c r="W97" s="3649"/>
      <c r="X97" s="3649"/>
      <c r="Y97" s="3649"/>
      <c r="Z97" s="3649"/>
      <c r="AA97" s="3649"/>
      <c r="AB97" s="3649"/>
      <c r="AC97" s="3649"/>
      <c r="AD97" s="3649"/>
      <c r="AE97" s="3649"/>
      <c r="AF97" s="3649"/>
      <c r="AG97" s="3649"/>
      <c r="AH97" s="3649"/>
      <c r="AI97" s="3649"/>
      <c r="AJ97" s="3649"/>
      <c r="AK97" s="3649"/>
      <c r="AL97" s="3649"/>
      <c r="AM97" s="3649"/>
      <c r="AN97" s="3649"/>
      <c r="AO97" s="3649"/>
      <c r="AP97" s="3649"/>
      <c r="AQ97" s="3649"/>
      <c r="AR97" s="3649"/>
      <c r="AS97" s="3649"/>
      <c r="AT97" s="3649"/>
      <c r="AU97" s="3649"/>
      <c r="AV97" s="3649"/>
      <c r="AW97" s="3649"/>
      <c r="AX97" s="3649"/>
      <c r="AY97" s="3649"/>
      <c r="AZ97" s="3649"/>
      <c r="BA97" s="3649"/>
      <c r="BB97" s="3649"/>
      <c r="BC97" s="3649"/>
      <c r="BD97" s="3649"/>
      <c r="BE97" s="3649"/>
      <c r="BF97" s="3649"/>
      <c r="BG97" s="3649"/>
      <c r="BH97" s="3649"/>
      <c r="BI97" s="3649"/>
      <c r="BJ97" s="3649"/>
      <c r="BK97" s="3649"/>
      <c r="BL97" s="3649"/>
      <c r="BM97" s="3649"/>
      <c r="BN97" s="3649"/>
      <c r="BO97" s="3649"/>
      <c r="BP97" s="3649"/>
      <c r="BQ97" s="3649"/>
      <c r="BR97" s="3649"/>
      <c r="BS97" s="3649"/>
      <c r="BT97" s="3649"/>
      <c r="BU97" s="3649"/>
      <c r="BV97" s="3649"/>
      <c r="BW97" s="3649"/>
      <c r="BX97" s="3649"/>
      <c r="BY97" s="3649"/>
      <c r="BZ97" s="3649"/>
      <c r="CA97" s="3649"/>
      <c r="CB97" s="3649"/>
      <c r="CC97" s="3649"/>
      <c r="CD97" s="3649"/>
      <c r="CE97" s="3649"/>
      <c r="CF97" s="3649"/>
      <c r="CG97" s="3649"/>
      <c r="CH97" s="3649"/>
      <c r="CI97" s="3649"/>
      <c r="CJ97" s="2977"/>
    </row>
    <row r="98" spans="1:88">
      <c r="A98" s="53">
        <v>2001.05</v>
      </c>
      <c r="B98" s="613">
        <v>80.653898306828566</v>
      </c>
      <c r="C98" s="3532">
        <v>81.041818647914511</v>
      </c>
      <c r="D98" s="360"/>
      <c r="E98" s="361"/>
      <c r="F98" s="2657"/>
      <c r="G98" s="2657"/>
      <c r="H98" s="2657"/>
      <c r="I98" s="2657"/>
      <c r="J98" s="2657"/>
      <c r="K98" s="2657"/>
      <c r="L98" s="2657"/>
      <c r="M98" s="2657"/>
      <c r="N98" s="2657"/>
      <c r="O98" s="2657"/>
      <c r="P98" s="2657"/>
      <c r="Q98" s="2657"/>
      <c r="R98" s="2658"/>
      <c r="S98" s="3649"/>
      <c r="T98" s="3649"/>
      <c r="U98" s="3649"/>
      <c r="V98" s="3649"/>
      <c r="W98" s="3649"/>
      <c r="X98" s="3649"/>
      <c r="Y98" s="3649"/>
      <c r="Z98" s="3649"/>
      <c r="AA98" s="3649"/>
      <c r="AB98" s="3649"/>
      <c r="AC98" s="3649"/>
      <c r="AD98" s="3649"/>
      <c r="AE98" s="3649"/>
      <c r="AF98" s="3649"/>
      <c r="AG98" s="3649"/>
      <c r="AH98" s="3649"/>
      <c r="AI98" s="3649"/>
      <c r="AJ98" s="3649"/>
      <c r="AK98" s="3649"/>
      <c r="AL98" s="3649"/>
      <c r="AM98" s="3649"/>
      <c r="AN98" s="3649"/>
      <c r="AO98" s="3649"/>
      <c r="AP98" s="3649"/>
      <c r="AQ98" s="3649"/>
      <c r="AR98" s="3649"/>
      <c r="AS98" s="3649"/>
      <c r="AT98" s="3649"/>
      <c r="AU98" s="3649"/>
      <c r="AV98" s="3649"/>
      <c r="AW98" s="3649"/>
      <c r="AX98" s="3649"/>
      <c r="AY98" s="3649"/>
      <c r="AZ98" s="3649"/>
      <c r="BA98" s="3649"/>
      <c r="BB98" s="3649"/>
      <c r="BC98" s="3649"/>
      <c r="BD98" s="3649"/>
      <c r="BE98" s="3649"/>
      <c r="BF98" s="3649"/>
      <c r="BG98" s="3649"/>
      <c r="BH98" s="3649"/>
      <c r="BI98" s="3649"/>
      <c r="BJ98" s="3649"/>
      <c r="BK98" s="3649"/>
      <c r="BL98" s="3649"/>
      <c r="BM98" s="3649"/>
      <c r="BN98" s="3649"/>
      <c r="BO98" s="3649"/>
      <c r="BP98" s="3649"/>
      <c r="BQ98" s="3649"/>
      <c r="BR98" s="3649"/>
      <c r="BS98" s="3649"/>
      <c r="BT98" s="3649"/>
      <c r="BU98" s="3649"/>
      <c r="BV98" s="3649"/>
      <c r="BW98" s="3649"/>
      <c r="BX98" s="3649"/>
      <c r="BY98" s="3649"/>
      <c r="BZ98" s="3649"/>
      <c r="CA98" s="3649"/>
      <c r="CB98" s="3649"/>
      <c r="CC98" s="3649"/>
      <c r="CD98" s="3649"/>
      <c r="CE98" s="3649"/>
      <c r="CF98" s="3649"/>
      <c r="CG98" s="3649"/>
      <c r="CH98" s="3649"/>
      <c r="CI98" s="3649"/>
      <c r="CJ98" s="2977"/>
    </row>
    <row r="99" spans="1:88">
      <c r="A99" s="53">
        <v>2001.06</v>
      </c>
      <c r="B99" s="613">
        <v>79.795217757897476</v>
      </c>
      <c r="C99" s="3532">
        <v>81.416838226289556</v>
      </c>
      <c r="D99" s="360"/>
      <c r="E99" s="361"/>
      <c r="F99" s="2657"/>
      <c r="G99" s="2657"/>
      <c r="H99" s="2657"/>
      <c r="I99" s="2657"/>
      <c r="J99" s="2657"/>
      <c r="K99" s="2657"/>
      <c r="L99" s="2657"/>
      <c r="M99" s="2657"/>
      <c r="N99" s="2657"/>
      <c r="O99" s="2657"/>
      <c r="P99" s="2657"/>
      <c r="Q99" s="2657"/>
      <c r="R99" s="2658"/>
      <c r="S99" s="3649"/>
      <c r="T99" s="3649"/>
      <c r="U99" s="3649"/>
      <c r="V99" s="3649"/>
      <c r="W99" s="3649"/>
      <c r="X99" s="3649"/>
      <c r="Y99" s="3649"/>
      <c r="Z99" s="3649"/>
      <c r="AA99" s="3649"/>
      <c r="AB99" s="3649"/>
      <c r="AC99" s="3649"/>
      <c r="AD99" s="3649"/>
      <c r="AE99" s="3649"/>
      <c r="AF99" s="3649"/>
      <c r="AG99" s="3649"/>
      <c r="AH99" s="3649"/>
      <c r="AI99" s="3649"/>
      <c r="AJ99" s="3649"/>
      <c r="AK99" s="3649"/>
      <c r="AL99" s="3649"/>
      <c r="AM99" s="3649"/>
      <c r="AN99" s="3649"/>
      <c r="AO99" s="3649"/>
      <c r="AP99" s="3649"/>
      <c r="AQ99" s="3649"/>
      <c r="AR99" s="3649"/>
      <c r="AS99" s="3649"/>
      <c r="AT99" s="3649"/>
      <c r="AU99" s="3649"/>
      <c r="AV99" s="3649"/>
      <c r="AW99" s="3649"/>
      <c r="AX99" s="3649"/>
      <c r="AY99" s="3649"/>
      <c r="AZ99" s="3649"/>
      <c r="BA99" s="3649"/>
      <c r="BB99" s="3649"/>
      <c r="BC99" s="3649"/>
      <c r="BD99" s="3649"/>
      <c r="BE99" s="3649"/>
      <c r="BF99" s="3649"/>
      <c r="BG99" s="3649"/>
      <c r="BH99" s="3649"/>
      <c r="BI99" s="3649"/>
      <c r="BJ99" s="3649"/>
      <c r="BK99" s="3649"/>
      <c r="BL99" s="3649"/>
      <c r="BM99" s="3649"/>
      <c r="BN99" s="3649"/>
      <c r="BO99" s="3649"/>
      <c r="BP99" s="3649"/>
      <c r="BQ99" s="3649"/>
      <c r="BR99" s="3649"/>
      <c r="BS99" s="3649"/>
      <c r="BT99" s="3649"/>
      <c r="BU99" s="3649"/>
      <c r="BV99" s="3649"/>
      <c r="BW99" s="3649"/>
      <c r="BX99" s="3649"/>
      <c r="BY99" s="3649"/>
      <c r="BZ99" s="3649"/>
      <c r="CA99" s="3649"/>
      <c r="CB99" s="3649"/>
      <c r="CC99" s="3649"/>
      <c r="CD99" s="3649"/>
      <c r="CE99" s="3649"/>
      <c r="CF99" s="3649"/>
      <c r="CG99" s="3649"/>
      <c r="CH99" s="3649"/>
      <c r="CI99" s="3649"/>
      <c r="CJ99" s="2977"/>
    </row>
    <row r="100" spans="1:88">
      <c r="A100" s="53">
        <v>2001.07</v>
      </c>
      <c r="B100" s="613">
        <v>81.191866843508294</v>
      </c>
      <c r="C100" s="3532">
        <v>79.244007294869903</v>
      </c>
      <c r="D100" s="360"/>
      <c r="E100" s="361"/>
      <c r="F100" s="2657"/>
      <c r="G100" s="2657"/>
      <c r="H100" s="2657"/>
      <c r="I100" s="2657"/>
      <c r="J100" s="2657"/>
      <c r="K100" s="2657"/>
      <c r="L100" s="2657"/>
      <c r="M100" s="2657"/>
      <c r="N100" s="2657"/>
      <c r="O100" s="2657"/>
      <c r="P100" s="2657"/>
      <c r="Q100" s="2657"/>
      <c r="R100" s="2658"/>
      <c r="S100" s="3649"/>
      <c r="T100" s="3649"/>
      <c r="U100" s="3649"/>
      <c r="V100" s="3649"/>
      <c r="W100" s="3649"/>
      <c r="X100" s="3649"/>
      <c r="Y100" s="3649"/>
      <c r="Z100" s="3649"/>
      <c r="AA100" s="3649"/>
      <c r="AB100" s="3649"/>
      <c r="AC100" s="3649"/>
      <c r="AD100" s="3649"/>
      <c r="AE100" s="3649"/>
      <c r="AF100" s="3649"/>
      <c r="AG100" s="3649"/>
      <c r="AH100" s="3649"/>
      <c r="AI100" s="3649"/>
      <c r="AJ100" s="3649"/>
      <c r="AK100" s="3649"/>
      <c r="AL100" s="3649"/>
      <c r="AM100" s="3649"/>
      <c r="AN100" s="3649"/>
      <c r="AO100" s="3649"/>
      <c r="AP100" s="3649"/>
      <c r="AQ100" s="3649"/>
      <c r="AR100" s="3649"/>
      <c r="AS100" s="3649"/>
      <c r="AT100" s="3649"/>
      <c r="AU100" s="3649"/>
      <c r="AV100" s="3649"/>
      <c r="AW100" s="3649"/>
      <c r="AX100" s="3649"/>
      <c r="AY100" s="3649"/>
      <c r="AZ100" s="3649"/>
      <c r="BA100" s="3649"/>
      <c r="BB100" s="3649"/>
      <c r="BC100" s="3649"/>
      <c r="BD100" s="3649"/>
      <c r="BE100" s="3649"/>
      <c r="BF100" s="3649"/>
      <c r="BG100" s="3649"/>
      <c r="BH100" s="3649"/>
      <c r="BI100" s="3649"/>
      <c r="BJ100" s="3649"/>
      <c r="BK100" s="3649"/>
      <c r="BL100" s="3649"/>
      <c r="BM100" s="3649"/>
      <c r="BN100" s="3649"/>
      <c r="BO100" s="3649"/>
      <c r="BP100" s="3649"/>
      <c r="BQ100" s="3649"/>
      <c r="BR100" s="3649"/>
      <c r="BS100" s="3649"/>
      <c r="BT100" s="3649"/>
      <c r="BU100" s="3649"/>
      <c r="BV100" s="3649"/>
      <c r="BW100" s="3649"/>
      <c r="BX100" s="3649"/>
      <c r="BY100" s="3649"/>
      <c r="BZ100" s="3649"/>
      <c r="CA100" s="3649"/>
      <c r="CB100" s="3649"/>
      <c r="CC100" s="3649"/>
      <c r="CD100" s="3649"/>
      <c r="CE100" s="3649"/>
      <c r="CF100" s="3649"/>
      <c r="CG100" s="3649"/>
      <c r="CH100" s="3649"/>
      <c r="CI100" s="3649"/>
      <c r="CJ100" s="2977"/>
    </row>
    <row r="101" spans="1:88">
      <c r="A101" s="53">
        <v>2001.08</v>
      </c>
      <c r="B101" s="613">
        <v>79.27794031878237</v>
      </c>
      <c r="C101" s="3532">
        <v>76.539169308246215</v>
      </c>
      <c r="D101" s="360"/>
      <c r="E101" s="361"/>
      <c r="F101" s="2657"/>
      <c r="G101" s="2657"/>
      <c r="H101" s="2657"/>
      <c r="I101" s="2657"/>
      <c r="J101" s="2657"/>
      <c r="K101" s="2657"/>
      <c r="L101" s="2657"/>
      <c r="M101" s="2657"/>
      <c r="N101" s="2657"/>
      <c r="O101" s="2657"/>
      <c r="P101" s="2657"/>
      <c r="Q101" s="2657"/>
      <c r="R101" s="2658"/>
      <c r="S101" s="3649"/>
      <c r="T101" s="3649"/>
      <c r="U101" s="3649"/>
      <c r="V101" s="3649"/>
      <c r="W101" s="3649"/>
      <c r="X101" s="3649"/>
      <c r="Y101" s="3649"/>
      <c r="Z101" s="3649"/>
      <c r="AA101" s="3649"/>
      <c r="AB101" s="3649"/>
      <c r="AC101" s="3649"/>
      <c r="AD101" s="3649"/>
      <c r="AE101" s="3649"/>
      <c r="AF101" s="3649"/>
      <c r="AG101" s="3649"/>
      <c r="AH101" s="3649"/>
      <c r="AI101" s="3649"/>
      <c r="AJ101" s="3649"/>
      <c r="AK101" s="3649"/>
      <c r="AL101" s="3649"/>
      <c r="AM101" s="3649"/>
      <c r="AN101" s="3649"/>
      <c r="AO101" s="3649"/>
      <c r="AP101" s="3649"/>
      <c r="AQ101" s="3649"/>
      <c r="AR101" s="3649"/>
      <c r="AS101" s="3649"/>
      <c r="AT101" s="3649"/>
      <c r="AU101" s="3649"/>
      <c r="AV101" s="3649"/>
      <c r="AW101" s="3649"/>
      <c r="AX101" s="3649"/>
      <c r="AY101" s="3649"/>
      <c r="AZ101" s="3649"/>
      <c r="BA101" s="3649"/>
      <c r="BB101" s="3649"/>
      <c r="BC101" s="3649"/>
      <c r="BD101" s="3649"/>
      <c r="BE101" s="3649"/>
      <c r="BF101" s="3649"/>
      <c r="BG101" s="3649"/>
      <c r="BH101" s="3649"/>
      <c r="BI101" s="3649"/>
      <c r="BJ101" s="3649"/>
      <c r="BK101" s="3649"/>
      <c r="BL101" s="3649"/>
      <c r="BM101" s="3649"/>
      <c r="BN101" s="3649"/>
      <c r="BO101" s="3649"/>
      <c r="BP101" s="3649"/>
      <c r="BQ101" s="3649"/>
      <c r="BR101" s="3649"/>
      <c r="BS101" s="3649"/>
      <c r="BT101" s="3649"/>
      <c r="BU101" s="3649"/>
      <c r="BV101" s="3649"/>
      <c r="BW101" s="3649"/>
      <c r="BX101" s="3649"/>
      <c r="BY101" s="3649"/>
      <c r="BZ101" s="3649"/>
      <c r="CA101" s="3649"/>
      <c r="CB101" s="3649"/>
      <c r="CC101" s="3649"/>
      <c r="CD101" s="3649"/>
      <c r="CE101" s="3649"/>
      <c r="CF101" s="3649"/>
      <c r="CG101" s="3649"/>
      <c r="CH101" s="3649"/>
      <c r="CI101" s="3649"/>
      <c r="CJ101" s="2977"/>
    </row>
    <row r="102" spans="1:88">
      <c r="A102" s="53">
        <v>2001.09</v>
      </c>
      <c r="B102" s="613">
        <v>75.812181476711103</v>
      </c>
      <c r="C102" s="3532">
        <v>75.249525313247915</v>
      </c>
      <c r="D102" s="360"/>
      <c r="E102" s="361"/>
      <c r="F102" s="2657"/>
      <c r="G102" s="2657"/>
      <c r="H102" s="2657"/>
      <c r="I102" s="2657"/>
      <c r="J102" s="2657"/>
      <c r="K102" s="2657"/>
      <c r="L102" s="2657"/>
      <c r="M102" s="2657"/>
      <c r="N102" s="2657"/>
      <c r="O102" s="2657"/>
      <c r="P102" s="2657"/>
      <c r="Q102" s="2657"/>
      <c r="R102" s="2658"/>
      <c r="S102" s="3649"/>
      <c r="T102" s="3649"/>
      <c r="U102" s="3649"/>
      <c r="V102" s="3649"/>
      <c r="W102" s="3649"/>
      <c r="X102" s="3649"/>
      <c r="Y102" s="3649"/>
      <c r="Z102" s="3649"/>
      <c r="AA102" s="3649"/>
      <c r="AB102" s="3649"/>
      <c r="AC102" s="3649"/>
      <c r="AD102" s="3649"/>
      <c r="AE102" s="3649"/>
      <c r="AF102" s="3649"/>
      <c r="AG102" s="3649"/>
      <c r="AH102" s="3649"/>
      <c r="AI102" s="3649"/>
      <c r="AJ102" s="3649"/>
      <c r="AK102" s="3649"/>
      <c r="AL102" s="3649"/>
      <c r="AM102" s="3649"/>
      <c r="AN102" s="3649"/>
      <c r="AO102" s="3649"/>
      <c r="AP102" s="3649"/>
      <c r="AQ102" s="3649"/>
      <c r="AR102" s="3649"/>
      <c r="AS102" s="3649"/>
      <c r="AT102" s="3649"/>
      <c r="AU102" s="3649"/>
      <c r="AV102" s="3649"/>
      <c r="AW102" s="3649"/>
      <c r="AX102" s="3649"/>
      <c r="AY102" s="3649"/>
      <c r="AZ102" s="3649"/>
      <c r="BA102" s="3649"/>
      <c r="BB102" s="3649"/>
      <c r="BC102" s="3649"/>
      <c r="BD102" s="3649"/>
      <c r="BE102" s="3649"/>
      <c r="BF102" s="3649"/>
      <c r="BG102" s="3649"/>
      <c r="BH102" s="3649"/>
      <c r="BI102" s="3649"/>
      <c r="BJ102" s="3649"/>
      <c r="BK102" s="3649"/>
      <c r="BL102" s="3649"/>
      <c r="BM102" s="3649"/>
      <c r="BN102" s="3649"/>
      <c r="BO102" s="3649"/>
      <c r="BP102" s="3649"/>
      <c r="BQ102" s="3649"/>
      <c r="BR102" s="3649"/>
      <c r="BS102" s="3649"/>
      <c r="BT102" s="3649"/>
      <c r="BU102" s="3649"/>
      <c r="BV102" s="3649"/>
      <c r="BW102" s="3649"/>
      <c r="BX102" s="3649"/>
      <c r="BY102" s="3649"/>
      <c r="BZ102" s="3649"/>
      <c r="CA102" s="3649"/>
      <c r="CB102" s="3649"/>
      <c r="CC102" s="3649"/>
      <c r="CD102" s="3649"/>
      <c r="CE102" s="3649"/>
      <c r="CF102" s="3649"/>
      <c r="CG102" s="3649"/>
      <c r="CH102" s="3649"/>
      <c r="CI102" s="3649"/>
      <c r="CJ102" s="2977"/>
    </row>
    <row r="103" spans="1:88">
      <c r="A103" s="53">
        <v>2001.1</v>
      </c>
      <c r="B103" s="613">
        <v>77.560579220920189</v>
      </c>
      <c r="C103" s="3532">
        <v>73.971945027345001</v>
      </c>
      <c r="D103" s="360"/>
      <c r="E103" s="361"/>
      <c r="F103" s="2657"/>
      <c r="G103" s="2657"/>
      <c r="H103" s="2657"/>
      <c r="I103" s="2657"/>
      <c r="J103" s="2657"/>
      <c r="K103" s="2657"/>
      <c r="L103" s="2657"/>
      <c r="M103" s="2657"/>
      <c r="N103" s="2657"/>
      <c r="O103" s="2657"/>
      <c r="P103" s="2657"/>
      <c r="Q103" s="2657"/>
      <c r="R103" s="2658"/>
      <c r="S103" s="3649"/>
      <c r="T103" s="3649"/>
      <c r="U103" s="3649"/>
      <c r="V103" s="3649"/>
      <c r="W103" s="3649"/>
      <c r="X103" s="3649"/>
      <c r="Y103" s="3649"/>
      <c r="Z103" s="3649"/>
      <c r="AA103" s="3649"/>
      <c r="AB103" s="3649"/>
      <c r="AC103" s="3649"/>
      <c r="AD103" s="3649"/>
      <c r="AE103" s="3649"/>
      <c r="AF103" s="3649"/>
      <c r="AG103" s="3649"/>
      <c r="AH103" s="3649"/>
      <c r="AI103" s="3649"/>
      <c r="AJ103" s="3649"/>
      <c r="AK103" s="3649"/>
      <c r="AL103" s="3649"/>
      <c r="AM103" s="3649"/>
      <c r="AN103" s="3649"/>
      <c r="AO103" s="3649"/>
      <c r="AP103" s="3649"/>
      <c r="AQ103" s="3649"/>
      <c r="AR103" s="3649"/>
      <c r="AS103" s="3649"/>
      <c r="AT103" s="3649"/>
      <c r="AU103" s="3649"/>
      <c r="AV103" s="3649"/>
      <c r="AW103" s="3649"/>
      <c r="AX103" s="3649"/>
      <c r="AY103" s="3649"/>
      <c r="AZ103" s="3649"/>
      <c r="BA103" s="3649"/>
      <c r="BB103" s="3649"/>
      <c r="BC103" s="3649"/>
      <c r="BD103" s="3649"/>
      <c r="BE103" s="3649"/>
      <c r="BF103" s="3649"/>
      <c r="BG103" s="3649"/>
      <c r="BH103" s="3649"/>
      <c r="BI103" s="3649"/>
      <c r="BJ103" s="3649"/>
      <c r="BK103" s="3649"/>
      <c r="BL103" s="3649"/>
      <c r="BM103" s="3649"/>
      <c r="BN103" s="3649"/>
      <c r="BO103" s="3649"/>
      <c r="BP103" s="3649"/>
      <c r="BQ103" s="3649"/>
      <c r="BR103" s="3649"/>
      <c r="BS103" s="3649"/>
      <c r="BT103" s="3649"/>
      <c r="BU103" s="3649"/>
      <c r="BV103" s="3649"/>
      <c r="BW103" s="3649"/>
      <c r="BX103" s="3649"/>
      <c r="BY103" s="3649"/>
      <c r="BZ103" s="3649"/>
      <c r="CA103" s="3649"/>
      <c r="CB103" s="3649"/>
      <c r="CC103" s="3649"/>
      <c r="CD103" s="3649"/>
      <c r="CE103" s="3649"/>
      <c r="CF103" s="3649"/>
      <c r="CG103" s="3649"/>
      <c r="CH103" s="3649"/>
      <c r="CI103" s="3649"/>
      <c r="CJ103" s="2977"/>
    </row>
    <row r="104" spans="1:88">
      <c r="A104" s="53">
        <v>2001.11</v>
      </c>
      <c r="B104" s="613">
        <v>73.887909403202883</v>
      </c>
      <c r="C104" s="3532">
        <v>72.318771337592437</v>
      </c>
      <c r="D104" s="360"/>
      <c r="E104" s="361"/>
      <c r="F104" s="2657"/>
      <c r="G104" s="2657"/>
      <c r="H104" s="2657"/>
      <c r="I104" s="2657"/>
      <c r="J104" s="2657"/>
      <c r="K104" s="2657"/>
      <c r="L104" s="2657"/>
      <c r="M104" s="2657"/>
      <c r="N104" s="2657"/>
      <c r="O104" s="2657"/>
      <c r="P104" s="2657"/>
      <c r="Q104" s="2657"/>
      <c r="R104" s="2658"/>
      <c r="S104" s="3649"/>
      <c r="T104" s="3649"/>
      <c r="U104" s="3649"/>
      <c r="V104" s="3649"/>
      <c r="W104" s="3649"/>
      <c r="X104" s="3649"/>
      <c r="Y104" s="3649"/>
      <c r="Z104" s="3649"/>
      <c r="AA104" s="3649"/>
      <c r="AB104" s="3649"/>
      <c r="AC104" s="3649"/>
      <c r="AD104" s="3649"/>
      <c r="AE104" s="3649"/>
      <c r="AF104" s="3649"/>
      <c r="AG104" s="3649"/>
      <c r="AH104" s="3649"/>
      <c r="AI104" s="3649"/>
      <c r="AJ104" s="3649"/>
      <c r="AK104" s="3649"/>
      <c r="AL104" s="3649"/>
      <c r="AM104" s="3649"/>
      <c r="AN104" s="3649"/>
      <c r="AO104" s="3649"/>
      <c r="AP104" s="3649"/>
      <c r="AQ104" s="3649"/>
      <c r="AR104" s="3649"/>
      <c r="AS104" s="3649"/>
      <c r="AT104" s="3649"/>
      <c r="AU104" s="3649"/>
      <c r="AV104" s="3649"/>
      <c r="AW104" s="3649"/>
      <c r="AX104" s="3649"/>
      <c r="AY104" s="3649"/>
      <c r="AZ104" s="3649"/>
      <c r="BA104" s="3649"/>
      <c r="BB104" s="3649"/>
      <c r="BC104" s="3649"/>
      <c r="BD104" s="3649"/>
      <c r="BE104" s="3649"/>
      <c r="BF104" s="3649"/>
      <c r="BG104" s="3649"/>
      <c r="BH104" s="3649"/>
      <c r="BI104" s="3649"/>
      <c r="BJ104" s="3649"/>
      <c r="BK104" s="3649"/>
      <c r="BL104" s="3649"/>
      <c r="BM104" s="3649"/>
      <c r="BN104" s="3649"/>
      <c r="BO104" s="3649"/>
      <c r="BP104" s="3649"/>
      <c r="BQ104" s="3649"/>
      <c r="BR104" s="3649"/>
      <c r="BS104" s="3649"/>
      <c r="BT104" s="3649"/>
      <c r="BU104" s="3649"/>
      <c r="BV104" s="3649"/>
      <c r="BW104" s="3649"/>
      <c r="BX104" s="3649"/>
      <c r="BY104" s="3649"/>
      <c r="BZ104" s="3649"/>
      <c r="CA104" s="3649"/>
      <c r="CB104" s="3649"/>
      <c r="CC104" s="3649"/>
      <c r="CD104" s="3649"/>
      <c r="CE104" s="3649"/>
      <c r="CF104" s="3649"/>
      <c r="CG104" s="3649"/>
      <c r="CH104" s="3649"/>
      <c r="CI104" s="3649"/>
      <c r="CJ104" s="2977"/>
    </row>
    <row r="105" spans="1:88">
      <c r="A105" s="53">
        <v>2001.12</v>
      </c>
      <c r="B105" s="613">
        <v>65.528705987102654</v>
      </c>
      <c r="C105" s="3532">
        <v>69.787530922900118</v>
      </c>
      <c r="D105" s="360"/>
      <c r="E105" s="361"/>
      <c r="F105" s="2657"/>
      <c r="G105" s="2657"/>
      <c r="H105" s="2657"/>
      <c r="I105" s="2657"/>
      <c r="J105" s="2657"/>
      <c r="K105" s="2657"/>
      <c r="L105" s="2657"/>
      <c r="M105" s="2657"/>
      <c r="N105" s="2657"/>
      <c r="O105" s="2657"/>
      <c r="P105" s="2657"/>
      <c r="Q105" s="2657"/>
      <c r="R105" s="2658"/>
      <c r="S105" s="3649"/>
      <c r="T105" s="3649"/>
      <c r="U105" s="3649"/>
      <c r="V105" s="3649"/>
      <c r="W105" s="3649"/>
      <c r="X105" s="3649"/>
      <c r="Y105" s="3649"/>
      <c r="Z105" s="3649"/>
      <c r="AA105" s="3649"/>
      <c r="AB105" s="3649"/>
      <c r="AC105" s="3649"/>
      <c r="AD105" s="3649"/>
      <c r="AE105" s="3649"/>
      <c r="AF105" s="3649"/>
      <c r="AG105" s="3649"/>
      <c r="AH105" s="3649"/>
      <c r="AI105" s="3649"/>
      <c r="AJ105" s="3649"/>
      <c r="AK105" s="3649"/>
      <c r="AL105" s="3649"/>
      <c r="AM105" s="3649"/>
      <c r="AN105" s="3649"/>
      <c r="AO105" s="3649"/>
      <c r="AP105" s="3649"/>
      <c r="AQ105" s="3649"/>
      <c r="AR105" s="3649"/>
      <c r="AS105" s="3649"/>
      <c r="AT105" s="3649"/>
      <c r="AU105" s="3649"/>
      <c r="AV105" s="3649"/>
      <c r="AW105" s="3649"/>
      <c r="AX105" s="3649"/>
      <c r="AY105" s="3649"/>
      <c r="AZ105" s="3649"/>
      <c r="BA105" s="3649"/>
      <c r="BB105" s="3649"/>
      <c r="BC105" s="3649"/>
      <c r="BD105" s="3649"/>
      <c r="BE105" s="3649"/>
      <c r="BF105" s="3649"/>
      <c r="BG105" s="3649"/>
      <c r="BH105" s="3649"/>
      <c r="BI105" s="3649"/>
      <c r="BJ105" s="3649"/>
      <c r="BK105" s="3649"/>
      <c r="BL105" s="3649"/>
      <c r="BM105" s="3649"/>
      <c r="BN105" s="3649"/>
      <c r="BO105" s="3649"/>
      <c r="BP105" s="3649"/>
      <c r="BQ105" s="3649"/>
      <c r="BR105" s="3649"/>
      <c r="BS105" s="3649"/>
      <c r="BT105" s="3649"/>
      <c r="BU105" s="3649"/>
      <c r="BV105" s="3649"/>
      <c r="BW105" s="3649"/>
      <c r="BX105" s="3649"/>
      <c r="BY105" s="3649"/>
      <c r="BZ105" s="3649"/>
      <c r="CA105" s="3649"/>
      <c r="CB105" s="3649"/>
      <c r="CC105" s="3649"/>
      <c r="CD105" s="3649"/>
      <c r="CE105" s="3649"/>
      <c r="CF105" s="3649"/>
      <c r="CG105" s="3649"/>
      <c r="CH105" s="3649"/>
      <c r="CI105" s="3649"/>
      <c r="CJ105" s="2977"/>
    </row>
    <row r="106" spans="1:88">
      <c r="A106" s="53">
        <v>2002.01</v>
      </c>
      <c r="B106" s="613">
        <v>60.749062449678995</v>
      </c>
      <c r="C106" s="3532">
        <v>67.637442720745938</v>
      </c>
      <c r="D106" s="617"/>
      <c r="E106" s="361"/>
      <c r="F106" s="2657"/>
      <c r="G106" s="2657"/>
      <c r="H106" s="2657"/>
      <c r="I106" s="2657"/>
      <c r="J106" s="2657"/>
      <c r="K106" s="2657"/>
      <c r="L106" s="2657"/>
      <c r="M106" s="2657"/>
      <c r="N106" s="2657"/>
      <c r="O106" s="2657"/>
      <c r="P106" s="2657"/>
      <c r="Q106" s="2657"/>
      <c r="R106" s="2658"/>
      <c r="S106" s="3649"/>
      <c r="T106" s="3649"/>
      <c r="U106" s="3649"/>
      <c r="V106" s="3649"/>
      <c r="W106" s="3649"/>
      <c r="X106" s="3649"/>
      <c r="Y106" s="3649"/>
      <c r="Z106" s="3649"/>
      <c r="AA106" s="3649"/>
      <c r="AB106" s="3649"/>
      <c r="AC106" s="3649"/>
      <c r="AD106" s="3649"/>
      <c r="AE106" s="3649"/>
      <c r="AF106" s="3649"/>
      <c r="AG106" s="3649"/>
      <c r="AH106" s="3649"/>
      <c r="AI106" s="3649"/>
      <c r="AJ106" s="3649"/>
      <c r="AK106" s="3649"/>
      <c r="AL106" s="3649"/>
      <c r="AM106" s="3649"/>
      <c r="AN106" s="3649"/>
      <c r="AO106" s="3649"/>
      <c r="AP106" s="3649"/>
      <c r="AQ106" s="3649"/>
      <c r="AR106" s="3649"/>
      <c r="AS106" s="3649"/>
      <c r="AT106" s="3649"/>
      <c r="AU106" s="3649"/>
      <c r="AV106" s="3649"/>
      <c r="AW106" s="3649"/>
      <c r="AX106" s="3649"/>
      <c r="AY106" s="3649"/>
      <c r="AZ106" s="3649"/>
      <c r="BA106" s="3649"/>
      <c r="BB106" s="3649"/>
      <c r="BC106" s="3649"/>
      <c r="BD106" s="3649"/>
      <c r="BE106" s="3649"/>
      <c r="BF106" s="3649"/>
      <c r="BG106" s="3649"/>
      <c r="BH106" s="3649"/>
      <c r="BI106" s="3649"/>
      <c r="BJ106" s="3649"/>
      <c r="BK106" s="3649"/>
      <c r="BL106" s="3649"/>
      <c r="BM106" s="3649"/>
      <c r="BN106" s="3649"/>
      <c r="BO106" s="3649"/>
      <c r="BP106" s="3649"/>
      <c r="BQ106" s="3649"/>
      <c r="BR106" s="3649"/>
      <c r="BS106" s="3649"/>
      <c r="BT106" s="3649"/>
      <c r="BU106" s="3649"/>
      <c r="BV106" s="3649"/>
      <c r="BW106" s="3649"/>
      <c r="BX106" s="3649"/>
      <c r="BY106" s="3649"/>
      <c r="BZ106" s="3649"/>
      <c r="CA106" s="3649"/>
      <c r="CB106" s="3649"/>
      <c r="CC106" s="3649"/>
      <c r="CD106" s="3649"/>
      <c r="CE106" s="3649"/>
      <c r="CF106" s="3649"/>
      <c r="CG106" s="3649"/>
      <c r="CH106" s="3649"/>
      <c r="CI106" s="3649"/>
      <c r="CJ106" s="2977"/>
    </row>
    <row r="107" spans="1:88">
      <c r="A107" s="53">
        <v>2002.02</v>
      </c>
      <c r="B107" s="613">
        <v>59.269648973809765</v>
      </c>
      <c r="C107" s="3532">
        <v>68.616702317294738</v>
      </c>
      <c r="D107" s="360"/>
      <c r="E107" s="361"/>
      <c r="F107" s="2657"/>
      <c r="G107" s="2657"/>
      <c r="H107" s="2657"/>
      <c r="I107" s="2657"/>
      <c r="J107" s="2657"/>
      <c r="K107" s="2657"/>
      <c r="L107" s="2657"/>
      <c r="M107" s="2657"/>
      <c r="N107" s="2657"/>
      <c r="O107" s="2657"/>
      <c r="P107" s="2657"/>
      <c r="Q107" s="2657"/>
      <c r="R107" s="2658"/>
      <c r="S107" s="3649"/>
      <c r="T107" s="3649"/>
      <c r="U107" s="3649"/>
      <c r="V107" s="3649"/>
      <c r="W107" s="3649"/>
      <c r="X107" s="3649"/>
      <c r="Y107" s="3649"/>
      <c r="Z107" s="3649"/>
      <c r="AA107" s="3649"/>
      <c r="AB107" s="3649"/>
      <c r="AC107" s="3649"/>
      <c r="AD107" s="3649"/>
      <c r="AE107" s="3649"/>
      <c r="AF107" s="3649"/>
      <c r="AG107" s="3649"/>
      <c r="AH107" s="3649"/>
      <c r="AI107" s="3649"/>
      <c r="AJ107" s="3649"/>
      <c r="AK107" s="3649"/>
      <c r="AL107" s="3649"/>
      <c r="AM107" s="3649"/>
      <c r="AN107" s="3649"/>
      <c r="AO107" s="3649"/>
      <c r="AP107" s="3649"/>
      <c r="AQ107" s="3649"/>
      <c r="AR107" s="3649"/>
      <c r="AS107" s="3649"/>
      <c r="AT107" s="3649"/>
      <c r="AU107" s="3649"/>
      <c r="AV107" s="3649"/>
      <c r="AW107" s="3649"/>
      <c r="AX107" s="3649"/>
      <c r="AY107" s="3649"/>
      <c r="AZ107" s="3649"/>
      <c r="BA107" s="3649"/>
      <c r="BB107" s="3649"/>
      <c r="BC107" s="3649"/>
      <c r="BD107" s="3649"/>
      <c r="BE107" s="3649"/>
      <c r="BF107" s="3649"/>
      <c r="BG107" s="3649"/>
      <c r="BH107" s="3649"/>
      <c r="BI107" s="3649"/>
      <c r="BJ107" s="3649"/>
      <c r="BK107" s="3649"/>
      <c r="BL107" s="3649"/>
      <c r="BM107" s="3649"/>
      <c r="BN107" s="3649"/>
      <c r="BO107" s="3649"/>
      <c r="BP107" s="3649"/>
      <c r="BQ107" s="3649"/>
      <c r="BR107" s="3649"/>
      <c r="BS107" s="3649"/>
      <c r="BT107" s="3649"/>
      <c r="BU107" s="3649"/>
      <c r="BV107" s="3649"/>
      <c r="BW107" s="3649"/>
      <c r="BX107" s="3649"/>
      <c r="BY107" s="3649"/>
      <c r="BZ107" s="3649"/>
      <c r="CA107" s="3649"/>
      <c r="CB107" s="3649"/>
      <c r="CC107" s="3649"/>
      <c r="CD107" s="3649"/>
      <c r="CE107" s="3649"/>
      <c r="CF107" s="3649"/>
      <c r="CG107" s="3649"/>
      <c r="CH107" s="3649"/>
      <c r="CI107" s="3649"/>
      <c r="CJ107" s="2977"/>
    </row>
    <row r="108" spans="1:88">
      <c r="A108" s="53">
        <v>2002.03</v>
      </c>
      <c r="B108" s="613">
        <v>61.731889583997706</v>
      </c>
      <c r="C108" s="3532">
        <v>67.91116625527259</v>
      </c>
      <c r="D108" s="360"/>
      <c r="E108" s="361"/>
      <c r="F108" s="2657"/>
      <c r="G108" s="2657"/>
      <c r="H108" s="2657"/>
      <c r="I108" s="2657"/>
      <c r="J108" s="2657"/>
      <c r="K108" s="2657"/>
      <c r="L108" s="2657"/>
      <c r="M108" s="2657"/>
      <c r="N108" s="2657"/>
      <c r="O108" s="2657"/>
      <c r="P108" s="2657"/>
      <c r="Q108" s="2657"/>
      <c r="R108" s="2658"/>
      <c r="S108" s="3649"/>
      <c r="T108" s="3649"/>
      <c r="U108" s="3649"/>
      <c r="V108" s="3649"/>
      <c r="W108" s="3649"/>
      <c r="X108" s="3649"/>
      <c r="Y108" s="3649"/>
      <c r="Z108" s="3649"/>
      <c r="AA108" s="3649"/>
      <c r="AB108" s="3649"/>
      <c r="AC108" s="3649"/>
      <c r="AD108" s="3649"/>
      <c r="AE108" s="3649"/>
      <c r="AF108" s="3649"/>
      <c r="AG108" s="3649"/>
      <c r="AH108" s="3649"/>
      <c r="AI108" s="3649"/>
      <c r="AJ108" s="3649"/>
      <c r="AK108" s="3649"/>
      <c r="AL108" s="3649"/>
      <c r="AM108" s="3649"/>
      <c r="AN108" s="3649"/>
      <c r="AO108" s="3649"/>
      <c r="AP108" s="3649"/>
      <c r="AQ108" s="3649"/>
      <c r="AR108" s="3649"/>
      <c r="AS108" s="3649"/>
      <c r="AT108" s="3649"/>
      <c r="AU108" s="3649"/>
      <c r="AV108" s="3649"/>
      <c r="AW108" s="3649"/>
      <c r="AX108" s="3649"/>
      <c r="AY108" s="3649"/>
      <c r="AZ108" s="3649"/>
      <c r="BA108" s="3649"/>
      <c r="BB108" s="3649"/>
      <c r="BC108" s="3649"/>
      <c r="BD108" s="3649"/>
      <c r="BE108" s="3649"/>
      <c r="BF108" s="3649"/>
      <c r="BG108" s="3649"/>
      <c r="BH108" s="3649"/>
      <c r="BI108" s="3649"/>
      <c r="BJ108" s="3649"/>
      <c r="BK108" s="3649"/>
      <c r="BL108" s="3649"/>
      <c r="BM108" s="3649"/>
      <c r="BN108" s="3649"/>
      <c r="BO108" s="3649"/>
      <c r="BP108" s="3649"/>
      <c r="BQ108" s="3649"/>
      <c r="BR108" s="3649"/>
      <c r="BS108" s="3649"/>
      <c r="BT108" s="3649"/>
      <c r="BU108" s="3649"/>
      <c r="BV108" s="3649"/>
      <c r="BW108" s="3649"/>
      <c r="BX108" s="3649"/>
      <c r="BY108" s="3649"/>
      <c r="BZ108" s="3649"/>
      <c r="CA108" s="3649"/>
      <c r="CB108" s="3649"/>
      <c r="CC108" s="3649"/>
      <c r="CD108" s="3649"/>
      <c r="CE108" s="3649"/>
      <c r="CF108" s="3649"/>
      <c r="CG108" s="3649"/>
      <c r="CH108" s="3649"/>
      <c r="CI108" s="3649"/>
      <c r="CJ108" s="2977"/>
    </row>
    <row r="109" spans="1:88">
      <c r="A109" s="53">
        <v>2002.04</v>
      </c>
      <c r="B109" s="613">
        <v>66.428768731162933</v>
      </c>
      <c r="C109" s="3532">
        <v>68.521721100859324</v>
      </c>
      <c r="D109" s="360"/>
      <c r="E109" s="361"/>
      <c r="F109" s="2657"/>
      <c r="G109" s="2657"/>
      <c r="H109" s="2657"/>
      <c r="I109" s="2657"/>
      <c r="J109" s="2657"/>
      <c r="K109" s="2657"/>
      <c r="L109" s="2657"/>
      <c r="M109" s="2657"/>
      <c r="N109" s="2657"/>
      <c r="O109" s="2657"/>
      <c r="P109" s="2657"/>
      <c r="Q109" s="2657"/>
      <c r="R109" s="2658"/>
      <c r="S109" s="3649"/>
      <c r="T109" s="3649"/>
      <c r="U109" s="3649"/>
      <c r="V109" s="3649"/>
      <c r="W109" s="3649"/>
      <c r="X109" s="3649"/>
      <c r="Y109" s="3649"/>
      <c r="Z109" s="3649"/>
      <c r="AA109" s="3649"/>
      <c r="AB109" s="3649"/>
      <c r="AC109" s="3649"/>
      <c r="AD109" s="3649"/>
      <c r="AE109" s="3649"/>
      <c r="AF109" s="3649"/>
      <c r="AG109" s="3649"/>
      <c r="AH109" s="3649"/>
      <c r="AI109" s="3649"/>
      <c r="AJ109" s="3649"/>
      <c r="AK109" s="3649"/>
      <c r="AL109" s="3649"/>
      <c r="AM109" s="3649"/>
      <c r="AN109" s="3649"/>
      <c r="AO109" s="3649"/>
      <c r="AP109" s="3649"/>
      <c r="AQ109" s="3649"/>
      <c r="AR109" s="3649"/>
      <c r="AS109" s="3649"/>
      <c r="AT109" s="3649"/>
      <c r="AU109" s="3649"/>
      <c r="AV109" s="3649"/>
      <c r="AW109" s="3649"/>
      <c r="AX109" s="3649"/>
      <c r="AY109" s="3649"/>
      <c r="AZ109" s="3649"/>
      <c r="BA109" s="3649"/>
      <c r="BB109" s="3649"/>
      <c r="BC109" s="3649"/>
      <c r="BD109" s="3649"/>
      <c r="BE109" s="3649"/>
      <c r="BF109" s="3649"/>
      <c r="BG109" s="3649"/>
      <c r="BH109" s="3649"/>
      <c r="BI109" s="3649"/>
      <c r="BJ109" s="3649"/>
      <c r="BK109" s="3649"/>
      <c r="BL109" s="3649"/>
      <c r="BM109" s="3649"/>
      <c r="BN109" s="3649"/>
      <c r="BO109" s="3649"/>
      <c r="BP109" s="3649"/>
      <c r="BQ109" s="3649"/>
      <c r="BR109" s="3649"/>
      <c r="BS109" s="3649"/>
      <c r="BT109" s="3649"/>
      <c r="BU109" s="3649"/>
      <c r="BV109" s="3649"/>
      <c r="BW109" s="3649"/>
      <c r="BX109" s="3649"/>
      <c r="BY109" s="3649"/>
      <c r="BZ109" s="3649"/>
      <c r="CA109" s="3649"/>
      <c r="CB109" s="3649"/>
      <c r="CC109" s="3649"/>
      <c r="CD109" s="3649"/>
      <c r="CE109" s="3649"/>
      <c r="CF109" s="3649"/>
      <c r="CG109" s="3649"/>
      <c r="CH109" s="3649"/>
      <c r="CI109" s="3649"/>
      <c r="CJ109" s="2977"/>
    </row>
    <row r="110" spans="1:88">
      <c r="A110" s="53">
        <v>2002.05</v>
      </c>
      <c r="B110" s="613">
        <v>68.839281597439367</v>
      </c>
      <c r="C110" s="3532">
        <v>68.923898441547124</v>
      </c>
      <c r="D110" s="360"/>
      <c r="E110" s="361"/>
      <c r="F110" s="2657"/>
      <c r="G110" s="2657"/>
      <c r="H110" s="2657"/>
      <c r="I110" s="2657"/>
      <c r="J110" s="2657"/>
      <c r="K110" s="2657"/>
      <c r="L110" s="2657"/>
      <c r="M110" s="2657"/>
      <c r="N110" s="2657"/>
      <c r="O110" s="2657"/>
      <c r="P110" s="2657"/>
      <c r="Q110" s="2657"/>
      <c r="R110" s="2658"/>
      <c r="S110" s="3649"/>
      <c r="T110" s="3649"/>
      <c r="U110" s="3649"/>
      <c r="V110" s="3649"/>
      <c r="W110" s="3649"/>
      <c r="X110" s="3649"/>
      <c r="Y110" s="3649"/>
      <c r="Z110" s="3649"/>
      <c r="AA110" s="3649"/>
      <c r="AB110" s="3649"/>
      <c r="AC110" s="3649"/>
      <c r="AD110" s="3649"/>
      <c r="AE110" s="3649"/>
      <c r="AF110" s="3649"/>
      <c r="AG110" s="3649"/>
      <c r="AH110" s="3649"/>
      <c r="AI110" s="3649"/>
      <c r="AJ110" s="3649"/>
      <c r="AK110" s="3649"/>
      <c r="AL110" s="3649"/>
      <c r="AM110" s="3649"/>
      <c r="AN110" s="3649"/>
      <c r="AO110" s="3649"/>
      <c r="AP110" s="3649"/>
      <c r="AQ110" s="3649"/>
      <c r="AR110" s="3649"/>
      <c r="AS110" s="3649"/>
      <c r="AT110" s="3649"/>
      <c r="AU110" s="3649"/>
      <c r="AV110" s="3649"/>
      <c r="AW110" s="3649"/>
      <c r="AX110" s="3649"/>
      <c r="AY110" s="3649"/>
      <c r="AZ110" s="3649"/>
      <c r="BA110" s="3649"/>
      <c r="BB110" s="3649"/>
      <c r="BC110" s="3649"/>
      <c r="BD110" s="3649"/>
      <c r="BE110" s="3649"/>
      <c r="BF110" s="3649"/>
      <c r="BG110" s="3649"/>
      <c r="BH110" s="3649"/>
      <c r="BI110" s="3649"/>
      <c r="BJ110" s="3649"/>
      <c r="BK110" s="3649"/>
      <c r="BL110" s="3649"/>
      <c r="BM110" s="3649"/>
      <c r="BN110" s="3649"/>
      <c r="BO110" s="3649"/>
      <c r="BP110" s="3649"/>
      <c r="BQ110" s="3649"/>
      <c r="BR110" s="3649"/>
      <c r="BS110" s="3649"/>
      <c r="BT110" s="3649"/>
      <c r="BU110" s="3649"/>
      <c r="BV110" s="3649"/>
      <c r="BW110" s="3649"/>
      <c r="BX110" s="3649"/>
      <c r="BY110" s="3649"/>
      <c r="BZ110" s="3649"/>
      <c r="CA110" s="3649"/>
      <c r="CB110" s="3649"/>
      <c r="CC110" s="3649"/>
      <c r="CD110" s="3649"/>
      <c r="CE110" s="3649"/>
      <c r="CF110" s="3649"/>
      <c r="CG110" s="3649"/>
      <c r="CH110" s="3649"/>
      <c r="CI110" s="3649"/>
      <c r="CJ110" s="2977"/>
    </row>
    <row r="111" spans="1:88">
      <c r="A111" s="53">
        <v>2002.06</v>
      </c>
      <c r="B111" s="613">
        <v>67.235721536182496</v>
      </c>
      <c r="C111" s="3532">
        <v>69.569941852637641</v>
      </c>
      <c r="D111" s="360"/>
      <c r="E111" s="361"/>
      <c r="F111" s="2657"/>
      <c r="G111" s="2657"/>
      <c r="H111" s="2657"/>
      <c r="I111" s="2657"/>
      <c r="J111" s="2657"/>
      <c r="K111" s="2657"/>
      <c r="L111" s="2657"/>
      <c r="M111" s="2657"/>
      <c r="N111" s="2657"/>
      <c r="O111" s="2657"/>
      <c r="P111" s="2657"/>
      <c r="Q111" s="2657"/>
      <c r="R111" s="2658"/>
      <c r="S111" s="3649"/>
      <c r="T111" s="3649"/>
      <c r="U111" s="3649"/>
      <c r="V111" s="3649"/>
      <c r="W111" s="3649"/>
      <c r="X111" s="3649"/>
      <c r="Y111" s="3649"/>
      <c r="Z111" s="3649"/>
      <c r="AA111" s="3649"/>
      <c r="AB111" s="3649"/>
      <c r="AC111" s="3649"/>
      <c r="AD111" s="3649"/>
      <c r="AE111" s="3649"/>
      <c r="AF111" s="3649"/>
      <c r="AG111" s="3649"/>
      <c r="AH111" s="3649"/>
      <c r="AI111" s="3649"/>
      <c r="AJ111" s="3649"/>
      <c r="AK111" s="3649"/>
      <c r="AL111" s="3649"/>
      <c r="AM111" s="3649"/>
      <c r="AN111" s="3649"/>
      <c r="AO111" s="3649"/>
      <c r="AP111" s="3649"/>
      <c r="AQ111" s="3649"/>
      <c r="AR111" s="3649"/>
      <c r="AS111" s="3649"/>
      <c r="AT111" s="3649"/>
      <c r="AU111" s="3649"/>
      <c r="AV111" s="3649"/>
      <c r="AW111" s="3649"/>
      <c r="AX111" s="3649"/>
      <c r="AY111" s="3649"/>
      <c r="AZ111" s="3649"/>
      <c r="BA111" s="3649"/>
      <c r="BB111" s="3649"/>
      <c r="BC111" s="3649"/>
      <c r="BD111" s="3649"/>
      <c r="BE111" s="3649"/>
      <c r="BF111" s="3649"/>
      <c r="BG111" s="3649"/>
      <c r="BH111" s="3649"/>
      <c r="BI111" s="3649"/>
      <c r="BJ111" s="3649"/>
      <c r="BK111" s="3649"/>
      <c r="BL111" s="3649"/>
      <c r="BM111" s="3649"/>
      <c r="BN111" s="3649"/>
      <c r="BO111" s="3649"/>
      <c r="BP111" s="3649"/>
      <c r="BQ111" s="3649"/>
      <c r="BR111" s="3649"/>
      <c r="BS111" s="3649"/>
      <c r="BT111" s="3649"/>
      <c r="BU111" s="3649"/>
      <c r="BV111" s="3649"/>
      <c r="BW111" s="3649"/>
      <c r="BX111" s="3649"/>
      <c r="BY111" s="3649"/>
      <c r="BZ111" s="3649"/>
      <c r="CA111" s="3649"/>
      <c r="CB111" s="3649"/>
      <c r="CC111" s="3649"/>
      <c r="CD111" s="3649"/>
      <c r="CE111" s="3649"/>
      <c r="CF111" s="3649"/>
      <c r="CG111" s="3649"/>
      <c r="CH111" s="3649"/>
      <c r="CI111" s="3649"/>
      <c r="CJ111" s="2977"/>
    </row>
    <row r="112" spans="1:88">
      <c r="A112" s="53">
        <v>2002.07</v>
      </c>
      <c r="B112" s="613">
        <v>71.280831110062692</v>
      </c>
      <c r="C112" s="3532">
        <v>68.647879264219924</v>
      </c>
      <c r="D112" s="360"/>
      <c r="E112" s="361"/>
      <c r="F112" s="2657"/>
      <c r="G112" s="2657"/>
      <c r="H112" s="2657"/>
      <c r="I112" s="2657"/>
      <c r="J112" s="2657"/>
      <c r="K112" s="2657"/>
      <c r="L112" s="2657"/>
      <c r="M112" s="2657"/>
      <c r="N112" s="2657"/>
      <c r="O112" s="2657"/>
      <c r="P112" s="2657"/>
      <c r="Q112" s="2657"/>
      <c r="R112" s="2658"/>
      <c r="S112" s="3649"/>
      <c r="T112" s="3649"/>
      <c r="U112" s="3649"/>
      <c r="V112" s="3649"/>
      <c r="W112" s="3649"/>
      <c r="X112" s="3649"/>
      <c r="Y112" s="3649"/>
      <c r="Z112" s="3649"/>
      <c r="AA112" s="3649"/>
      <c r="AB112" s="3649"/>
      <c r="AC112" s="3649"/>
      <c r="AD112" s="3649"/>
      <c r="AE112" s="3649"/>
      <c r="AF112" s="3649"/>
      <c r="AG112" s="3649"/>
      <c r="AH112" s="3649"/>
      <c r="AI112" s="3649"/>
      <c r="AJ112" s="3649"/>
      <c r="AK112" s="3649"/>
      <c r="AL112" s="3649"/>
      <c r="AM112" s="3649"/>
      <c r="AN112" s="3649"/>
      <c r="AO112" s="3649"/>
      <c r="AP112" s="3649"/>
      <c r="AQ112" s="3649"/>
      <c r="AR112" s="3649"/>
      <c r="AS112" s="3649"/>
      <c r="AT112" s="3649"/>
      <c r="AU112" s="3649"/>
      <c r="AV112" s="3649"/>
      <c r="AW112" s="3649"/>
      <c r="AX112" s="3649"/>
      <c r="AY112" s="3649"/>
      <c r="AZ112" s="3649"/>
      <c r="BA112" s="3649"/>
      <c r="BB112" s="3649"/>
      <c r="BC112" s="3649"/>
      <c r="BD112" s="3649"/>
      <c r="BE112" s="3649"/>
      <c r="BF112" s="3649"/>
      <c r="BG112" s="3649"/>
      <c r="BH112" s="3649"/>
      <c r="BI112" s="3649"/>
      <c r="BJ112" s="3649"/>
      <c r="BK112" s="3649"/>
      <c r="BL112" s="3649"/>
      <c r="BM112" s="3649"/>
      <c r="BN112" s="3649"/>
      <c r="BO112" s="3649"/>
      <c r="BP112" s="3649"/>
      <c r="BQ112" s="3649"/>
      <c r="BR112" s="3649"/>
      <c r="BS112" s="3649"/>
      <c r="BT112" s="3649"/>
      <c r="BU112" s="3649"/>
      <c r="BV112" s="3649"/>
      <c r="BW112" s="3649"/>
      <c r="BX112" s="3649"/>
      <c r="BY112" s="3649"/>
      <c r="BZ112" s="3649"/>
      <c r="CA112" s="3649"/>
      <c r="CB112" s="3649"/>
      <c r="CC112" s="3649"/>
      <c r="CD112" s="3649"/>
      <c r="CE112" s="3649"/>
      <c r="CF112" s="3649"/>
      <c r="CG112" s="3649"/>
      <c r="CH112" s="3649"/>
      <c r="CI112" s="3649"/>
      <c r="CJ112" s="2977"/>
    </row>
    <row r="113" spans="1:88">
      <c r="A113" s="53">
        <v>2002.08</v>
      </c>
      <c r="B113" s="613">
        <v>72.574024707850484</v>
      </c>
      <c r="C113" s="3532">
        <v>70.54749091781845</v>
      </c>
      <c r="D113" s="360"/>
      <c r="E113" s="361"/>
      <c r="F113" s="2657"/>
      <c r="G113" s="2657"/>
      <c r="H113" s="2657"/>
      <c r="I113" s="2657"/>
      <c r="J113" s="2657"/>
      <c r="K113" s="2657"/>
      <c r="L113" s="2657"/>
      <c r="M113" s="2657"/>
      <c r="N113" s="2657"/>
      <c r="O113" s="2657"/>
      <c r="P113" s="2657"/>
      <c r="Q113" s="2657"/>
      <c r="R113" s="2658"/>
      <c r="S113" s="3649"/>
      <c r="T113" s="3649"/>
      <c r="U113" s="3649"/>
      <c r="V113" s="3649"/>
      <c r="W113" s="3649"/>
      <c r="X113" s="3649"/>
      <c r="Y113" s="3649"/>
      <c r="Z113" s="3649"/>
      <c r="AA113" s="3649"/>
      <c r="AB113" s="3649"/>
      <c r="AC113" s="3649"/>
      <c r="AD113" s="3649"/>
      <c r="AE113" s="3649"/>
      <c r="AF113" s="3649"/>
      <c r="AG113" s="3649"/>
      <c r="AH113" s="3649"/>
      <c r="AI113" s="3649"/>
      <c r="AJ113" s="3649"/>
      <c r="AK113" s="3649"/>
      <c r="AL113" s="3649"/>
      <c r="AM113" s="3649"/>
      <c r="AN113" s="3649"/>
      <c r="AO113" s="3649"/>
      <c r="AP113" s="3649"/>
      <c r="AQ113" s="3649"/>
      <c r="AR113" s="3649"/>
      <c r="AS113" s="3649"/>
      <c r="AT113" s="3649"/>
      <c r="AU113" s="3649"/>
      <c r="AV113" s="3649"/>
      <c r="AW113" s="3649"/>
      <c r="AX113" s="3649"/>
      <c r="AY113" s="3649"/>
      <c r="AZ113" s="3649"/>
      <c r="BA113" s="3649"/>
      <c r="BB113" s="3649"/>
      <c r="BC113" s="3649"/>
      <c r="BD113" s="3649"/>
      <c r="BE113" s="3649"/>
      <c r="BF113" s="3649"/>
      <c r="BG113" s="3649"/>
      <c r="BH113" s="3649"/>
      <c r="BI113" s="3649"/>
      <c r="BJ113" s="3649"/>
      <c r="BK113" s="3649"/>
      <c r="BL113" s="3649"/>
      <c r="BM113" s="3649"/>
      <c r="BN113" s="3649"/>
      <c r="BO113" s="3649"/>
      <c r="BP113" s="3649"/>
      <c r="BQ113" s="3649"/>
      <c r="BR113" s="3649"/>
      <c r="BS113" s="3649"/>
      <c r="BT113" s="3649"/>
      <c r="BU113" s="3649"/>
      <c r="BV113" s="3649"/>
      <c r="BW113" s="3649"/>
      <c r="BX113" s="3649"/>
      <c r="BY113" s="3649"/>
      <c r="BZ113" s="3649"/>
      <c r="CA113" s="3649"/>
      <c r="CB113" s="3649"/>
      <c r="CC113" s="3649"/>
      <c r="CD113" s="3649"/>
      <c r="CE113" s="3649"/>
      <c r="CF113" s="3649"/>
      <c r="CG113" s="3649"/>
      <c r="CH113" s="3649"/>
      <c r="CI113" s="3649"/>
      <c r="CJ113" s="2977"/>
    </row>
    <row r="114" spans="1:88">
      <c r="A114" s="53">
        <v>2002.09</v>
      </c>
      <c r="B114" s="613">
        <v>72.346422634639836</v>
      </c>
      <c r="C114" s="3532">
        <v>71.494734153611958</v>
      </c>
      <c r="D114" s="360"/>
      <c r="E114" s="361"/>
      <c r="F114" s="2657"/>
      <c r="G114" s="2657"/>
      <c r="H114" s="2657"/>
      <c r="I114" s="2657"/>
      <c r="J114" s="2657"/>
      <c r="K114" s="2657"/>
      <c r="L114" s="2657"/>
      <c r="M114" s="2657"/>
      <c r="N114" s="2657"/>
      <c r="O114" s="2657"/>
      <c r="P114" s="2657"/>
      <c r="Q114" s="2657"/>
      <c r="R114" s="2658"/>
      <c r="S114" s="3649"/>
      <c r="T114" s="3649"/>
      <c r="U114" s="3649"/>
      <c r="V114" s="3649"/>
      <c r="W114" s="3649"/>
      <c r="X114" s="3649"/>
      <c r="Y114" s="3649"/>
      <c r="Z114" s="3649"/>
      <c r="AA114" s="3649"/>
      <c r="AB114" s="3649"/>
      <c r="AC114" s="3649"/>
      <c r="AD114" s="3649"/>
      <c r="AE114" s="3649"/>
      <c r="AF114" s="3649"/>
      <c r="AG114" s="3649"/>
      <c r="AH114" s="3649"/>
      <c r="AI114" s="3649"/>
      <c r="AJ114" s="3649"/>
      <c r="AK114" s="3649"/>
      <c r="AL114" s="3649"/>
      <c r="AM114" s="3649"/>
      <c r="AN114" s="3649"/>
      <c r="AO114" s="3649"/>
      <c r="AP114" s="3649"/>
      <c r="AQ114" s="3649"/>
      <c r="AR114" s="3649"/>
      <c r="AS114" s="3649"/>
      <c r="AT114" s="3649"/>
      <c r="AU114" s="3649"/>
      <c r="AV114" s="3649"/>
      <c r="AW114" s="3649"/>
      <c r="AX114" s="3649"/>
      <c r="AY114" s="3649"/>
      <c r="AZ114" s="3649"/>
      <c r="BA114" s="3649"/>
      <c r="BB114" s="3649"/>
      <c r="BC114" s="3649"/>
      <c r="BD114" s="3649"/>
      <c r="BE114" s="3649"/>
      <c r="BF114" s="3649"/>
      <c r="BG114" s="3649"/>
      <c r="BH114" s="3649"/>
      <c r="BI114" s="3649"/>
      <c r="BJ114" s="3649"/>
      <c r="BK114" s="3649"/>
      <c r="BL114" s="3649"/>
      <c r="BM114" s="3649"/>
      <c r="BN114" s="3649"/>
      <c r="BO114" s="3649"/>
      <c r="BP114" s="3649"/>
      <c r="BQ114" s="3649"/>
      <c r="BR114" s="3649"/>
      <c r="BS114" s="3649"/>
      <c r="BT114" s="3649"/>
      <c r="BU114" s="3649"/>
      <c r="BV114" s="3649"/>
      <c r="BW114" s="3649"/>
      <c r="BX114" s="3649"/>
      <c r="BY114" s="3649"/>
      <c r="BZ114" s="3649"/>
      <c r="CA114" s="3649"/>
      <c r="CB114" s="3649"/>
      <c r="CC114" s="3649"/>
      <c r="CD114" s="3649"/>
      <c r="CE114" s="3649"/>
      <c r="CF114" s="3649"/>
      <c r="CG114" s="3649"/>
      <c r="CH114" s="3649"/>
      <c r="CI114" s="3649"/>
      <c r="CJ114" s="2977"/>
    </row>
    <row r="115" spans="1:88">
      <c r="A115" s="53">
        <v>2002.1</v>
      </c>
      <c r="B115" s="613">
        <v>74.301731354494962</v>
      </c>
      <c r="C115" s="3532">
        <v>72.229804858552711</v>
      </c>
      <c r="D115" s="360"/>
      <c r="E115" s="361"/>
      <c r="F115" s="2657"/>
      <c r="G115" s="2657"/>
      <c r="H115" s="2657"/>
      <c r="I115" s="2657"/>
      <c r="J115" s="2657"/>
      <c r="K115" s="2657"/>
      <c r="L115" s="2657"/>
      <c r="M115" s="2657"/>
      <c r="N115" s="2657"/>
      <c r="O115" s="2657"/>
      <c r="P115" s="2657"/>
      <c r="Q115" s="2657"/>
      <c r="R115" s="2658"/>
      <c r="S115" s="3649"/>
      <c r="T115" s="3649"/>
      <c r="U115" s="3649"/>
      <c r="V115" s="3649"/>
      <c r="W115" s="3649"/>
      <c r="X115" s="3649"/>
      <c r="Y115" s="3649"/>
      <c r="Z115" s="3649"/>
      <c r="AA115" s="3649"/>
      <c r="AB115" s="3649"/>
      <c r="AC115" s="3649"/>
      <c r="AD115" s="3649"/>
      <c r="AE115" s="3649"/>
      <c r="AF115" s="3649"/>
      <c r="AG115" s="3649"/>
      <c r="AH115" s="3649"/>
      <c r="AI115" s="3649"/>
      <c r="AJ115" s="3649"/>
      <c r="AK115" s="3649"/>
      <c r="AL115" s="3649"/>
      <c r="AM115" s="3649"/>
      <c r="AN115" s="3649"/>
      <c r="AO115" s="3649"/>
      <c r="AP115" s="3649"/>
      <c r="AQ115" s="3649"/>
      <c r="AR115" s="3649"/>
      <c r="AS115" s="3649"/>
      <c r="AT115" s="3649"/>
      <c r="AU115" s="3649"/>
      <c r="AV115" s="3649"/>
      <c r="AW115" s="3649"/>
      <c r="AX115" s="3649"/>
      <c r="AY115" s="3649"/>
      <c r="AZ115" s="3649"/>
      <c r="BA115" s="3649"/>
      <c r="BB115" s="3649"/>
      <c r="BC115" s="3649"/>
      <c r="BD115" s="3649"/>
      <c r="BE115" s="3649"/>
      <c r="BF115" s="3649"/>
      <c r="BG115" s="3649"/>
      <c r="BH115" s="3649"/>
      <c r="BI115" s="3649"/>
      <c r="BJ115" s="3649"/>
      <c r="BK115" s="3649"/>
      <c r="BL115" s="3649"/>
      <c r="BM115" s="3649"/>
      <c r="BN115" s="3649"/>
      <c r="BO115" s="3649"/>
      <c r="BP115" s="3649"/>
      <c r="BQ115" s="3649"/>
      <c r="BR115" s="3649"/>
      <c r="BS115" s="3649"/>
      <c r="BT115" s="3649"/>
      <c r="BU115" s="3649"/>
      <c r="BV115" s="3649"/>
      <c r="BW115" s="3649"/>
      <c r="BX115" s="3649"/>
      <c r="BY115" s="3649"/>
      <c r="BZ115" s="3649"/>
      <c r="CA115" s="3649"/>
      <c r="CB115" s="3649"/>
      <c r="CC115" s="3649"/>
      <c r="CD115" s="3649"/>
      <c r="CE115" s="3649"/>
      <c r="CF115" s="3649"/>
      <c r="CG115" s="3649"/>
      <c r="CH115" s="3649"/>
      <c r="CI115" s="3649"/>
      <c r="CJ115" s="2977"/>
    </row>
    <row r="116" spans="1:88">
      <c r="A116" s="53">
        <v>2002.11</v>
      </c>
      <c r="B116" s="613">
        <v>74.363804647188772</v>
      </c>
      <c r="C116" s="3532">
        <v>73.829143594064533</v>
      </c>
      <c r="D116" s="360"/>
      <c r="E116" s="361"/>
      <c r="F116" s="2657"/>
      <c r="G116" s="2657"/>
      <c r="H116" s="2657"/>
      <c r="I116" s="2657"/>
      <c r="J116" s="2657"/>
      <c r="K116" s="2657"/>
      <c r="L116" s="2657"/>
      <c r="M116" s="2657"/>
      <c r="N116" s="2657"/>
      <c r="O116" s="2657"/>
      <c r="P116" s="2657"/>
      <c r="Q116" s="2657"/>
      <c r="R116" s="2658"/>
      <c r="S116" s="3649"/>
      <c r="T116" s="3649"/>
      <c r="U116" s="3649"/>
      <c r="V116" s="3649"/>
      <c r="W116" s="3649"/>
      <c r="X116" s="3649"/>
      <c r="Y116" s="3649"/>
      <c r="Z116" s="3649"/>
      <c r="AA116" s="3649"/>
      <c r="AB116" s="3649"/>
      <c r="AC116" s="3649"/>
      <c r="AD116" s="3649"/>
      <c r="AE116" s="3649"/>
      <c r="AF116" s="3649"/>
      <c r="AG116" s="3649"/>
      <c r="AH116" s="3649"/>
      <c r="AI116" s="3649"/>
      <c r="AJ116" s="3649"/>
      <c r="AK116" s="3649"/>
      <c r="AL116" s="3649"/>
      <c r="AM116" s="3649"/>
      <c r="AN116" s="3649"/>
      <c r="AO116" s="3649"/>
      <c r="AP116" s="3649"/>
      <c r="AQ116" s="3649"/>
      <c r="AR116" s="3649"/>
      <c r="AS116" s="3649"/>
      <c r="AT116" s="3649"/>
      <c r="AU116" s="3649"/>
      <c r="AV116" s="3649"/>
      <c r="AW116" s="3649"/>
      <c r="AX116" s="3649"/>
      <c r="AY116" s="3649"/>
      <c r="AZ116" s="3649"/>
      <c r="BA116" s="3649"/>
      <c r="BB116" s="3649"/>
      <c r="BC116" s="3649"/>
      <c r="BD116" s="3649"/>
      <c r="BE116" s="3649"/>
      <c r="BF116" s="3649"/>
      <c r="BG116" s="3649"/>
      <c r="BH116" s="3649"/>
      <c r="BI116" s="3649"/>
      <c r="BJ116" s="3649"/>
      <c r="BK116" s="3649"/>
      <c r="BL116" s="3649"/>
      <c r="BM116" s="3649"/>
      <c r="BN116" s="3649"/>
      <c r="BO116" s="3649"/>
      <c r="BP116" s="3649"/>
      <c r="BQ116" s="3649"/>
      <c r="BR116" s="3649"/>
      <c r="BS116" s="3649"/>
      <c r="BT116" s="3649"/>
      <c r="BU116" s="3649"/>
      <c r="BV116" s="3649"/>
      <c r="BW116" s="3649"/>
      <c r="BX116" s="3649"/>
      <c r="BY116" s="3649"/>
      <c r="BZ116" s="3649"/>
      <c r="CA116" s="3649"/>
      <c r="CB116" s="3649"/>
      <c r="CC116" s="3649"/>
      <c r="CD116" s="3649"/>
      <c r="CE116" s="3649"/>
      <c r="CF116" s="3649"/>
      <c r="CG116" s="3649"/>
      <c r="CH116" s="3649"/>
      <c r="CI116" s="3649"/>
      <c r="CJ116" s="2977"/>
    </row>
    <row r="117" spans="1:88">
      <c r="A117" s="53">
        <v>2002.12</v>
      </c>
      <c r="B117" s="613">
        <v>72.574024707850484</v>
      </c>
      <c r="C117" s="3532">
        <v>76.413550319714389</v>
      </c>
      <c r="D117" s="360"/>
      <c r="E117" s="361"/>
      <c r="F117" s="2657"/>
      <c r="G117" s="2657"/>
      <c r="H117" s="2657"/>
      <c r="I117" s="2657"/>
      <c r="J117" s="2657"/>
      <c r="K117" s="2657"/>
      <c r="L117" s="2657"/>
      <c r="M117" s="2657"/>
      <c r="N117" s="2657"/>
      <c r="O117" s="2657"/>
      <c r="P117" s="2657"/>
      <c r="Q117" s="2657"/>
      <c r="R117" s="2658"/>
      <c r="S117" s="3649"/>
      <c r="T117" s="3649"/>
      <c r="U117" s="3649"/>
      <c r="V117" s="3649"/>
      <c r="W117" s="3649"/>
      <c r="X117" s="3649"/>
      <c r="Y117" s="3649"/>
      <c r="Z117" s="3649"/>
      <c r="AA117" s="3649"/>
      <c r="AB117" s="3649"/>
      <c r="AC117" s="3649"/>
      <c r="AD117" s="3649"/>
      <c r="AE117" s="3649"/>
      <c r="AF117" s="3649"/>
      <c r="AG117" s="3649"/>
      <c r="AH117" s="3649"/>
      <c r="AI117" s="3649"/>
      <c r="AJ117" s="3649"/>
      <c r="AK117" s="3649"/>
      <c r="AL117" s="3649"/>
      <c r="AM117" s="3649"/>
      <c r="AN117" s="3649"/>
      <c r="AO117" s="3649"/>
      <c r="AP117" s="3649"/>
      <c r="AQ117" s="3649"/>
      <c r="AR117" s="3649"/>
      <c r="AS117" s="3649"/>
      <c r="AT117" s="3649"/>
      <c r="AU117" s="3649"/>
      <c r="AV117" s="3649"/>
      <c r="AW117" s="3649"/>
      <c r="AX117" s="3649"/>
      <c r="AY117" s="3649"/>
      <c r="AZ117" s="3649"/>
      <c r="BA117" s="3649"/>
      <c r="BB117" s="3649"/>
      <c r="BC117" s="3649"/>
      <c r="BD117" s="3649"/>
      <c r="BE117" s="3649"/>
      <c r="BF117" s="3649"/>
      <c r="BG117" s="3649"/>
      <c r="BH117" s="3649"/>
      <c r="BI117" s="3649"/>
      <c r="BJ117" s="3649"/>
      <c r="BK117" s="3649"/>
      <c r="BL117" s="3649"/>
      <c r="BM117" s="3649"/>
      <c r="BN117" s="3649"/>
      <c r="BO117" s="3649"/>
      <c r="BP117" s="3649"/>
      <c r="BQ117" s="3649"/>
      <c r="BR117" s="3649"/>
      <c r="BS117" s="3649"/>
      <c r="BT117" s="3649"/>
      <c r="BU117" s="3649"/>
      <c r="BV117" s="3649"/>
      <c r="BW117" s="3649"/>
      <c r="BX117" s="3649"/>
      <c r="BY117" s="3649"/>
      <c r="BZ117" s="3649"/>
      <c r="CA117" s="3649"/>
      <c r="CB117" s="3649"/>
      <c r="CC117" s="3649"/>
      <c r="CD117" s="3649"/>
      <c r="CE117" s="3649"/>
      <c r="CF117" s="3649"/>
      <c r="CG117" s="3649"/>
      <c r="CH117" s="3649"/>
      <c r="CI117" s="3649"/>
      <c r="CJ117" s="2977"/>
    </row>
    <row r="118" spans="1:88">
      <c r="A118" s="53">
        <v>2003.01</v>
      </c>
      <c r="B118" s="613">
        <v>71.736035256484001</v>
      </c>
      <c r="C118" s="3532">
        <v>78.406751367907333</v>
      </c>
      <c r="D118" s="360"/>
      <c r="E118" s="361"/>
      <c r="F118" s="2657"/>
      <c r="G118" s="2657"/>
      <c r="H118" s="2657"/>
      <c r="I118" s="2657"/>
      <c r="J118" s="2657"/>
      <c r="K118" s="2657"/>
      <c r="L118" s="2657"/>
      <c r="M118" s="2657"/>
      <c r="N118" s="2657"/>
      <c r="O118" s="2657"/>
      <c r="P118" s="2657"/>
      <c r="Q118" s="2657"/>
      <c r="R118" s="2658"/>
      <c r="S118" s="3649"/>
      <c r="T118" s="3649"/>
      <c r="U118" s="3649"/>
      <c r="V118" s="3649"/>
      <c r="W118" s="3649"/>
      <c r="X118" s="3649"/>
      <c r="Y118" s="3649"/>
      <c r="Z118" s="3649"/>
      <c r="AA118" s="3649"/>
      <c r="AB118" s="3649"/>
      <c r="AC118" s="3649"/>
      <c r="AD118" s="3649"/>
      <c r="AE118" s="3649"/>
      <c r="AF118" s="3649"/>
      <c r="AG118" s="3649"/>
      <c r="AH118" s="3649"/>
      <c r="AI118" s="3649"/>
      <c r="AJ118" s="3649"/>
      <c r="AK118" s="3649"/>
      <c r="AL118" s="3649"/>
      <c r="AM118" s="3649"/>
      <c r="AN118" s="3649"/>
      <c r="AO118" s="3649"/>
      <c r="AP118" s="3649"/>
      <c r="AQ118" s="3649"/>
      <c r="AR118" s="3649"/>
      <c r="AS118" s="3649"/>
      <c r="AT118" s="3649"/>
      <c r="AU118" s="3649"/>
      <c r="AV118" s="3649"/>
      <c r="AW118" s="3649"/>
      <c r="AX118" s="3649"/>
      <c r="AY118" s="3649"/>
      <c r="AZ118" s="3649"/>
      <c r="BA118" s="3649"/>
      <c r="BB118" s="3649"/>
      <c r="BC118" s="3649"/>
      <c r="BD118" s="3649"/>
      <c r="BE118" s="3649"/>
      <c r="BF118" s="3649"/>
      <c r="BG118" s="3649"/>
      <c r="BH118" s="3649"/>
      <c r="BI118" s="3649"/>
      <c r="BJ118" s="3649"/>
      <c r="BK118" s="3649"/>
      <c r="BL118" s="3649"/>
      <c r="BM118" s="3649"/>
      <c r="BN118" s="3649"/>
      <c r="BO118" s="3649"/>
      <c r="BP118" s="3649"/>
      <c r="BQ118" s="3649"/>
      <c r="BR118" s="3649"/>
      <c r="BS118" s="3649"/>
      <c r="BT118" s="3649"/>
      <c r="BU118" s="3649"/>
      <c r="BV118" s="3649"/>
      <c r="BW118" s="3649"/>
      <c r="BX118" s="3649"/>
      <c r="BY118" s="3649"/>
      <c r="BZ118" s="3649"/>
      <c r="CA118" s="3649"/>
      <c r="CB118" s="3649"/>
      <c r="CC118" s="3649"/>
      <c r="CD118" s="3649"/>
      <c r="CE118" s="3649"/>
      <c r="CF118" s="3649"/>
      <c r="CG118" s="3649"/>
      <c r="CH118" s="3649"/>
      <c r="CI118" s="3649"/>
      <c r="CJ118" s="2977"/>
    </row>
    <row r="119" spans="1:88">
      <c r="A119" s="53">
        <v>2003.02</v>
      </c>
      <c r="B119" s="613">
        <v>69.428977878030594</v>
      </c>
      <c r="C119" s="3532">
        <v>78.876945517657489</v>
      </c>
      <c r="D119" s="360"/>
      <c r="E119" s="361"/>
      <c r="F119" s="2657"/>
      <c r="G119" s="2657"/>
      <c r="H119" s="2657"/>
      <c r="I119" s="2657"/>
      <c r="J119" s="2657"/>
      <c r="K119" s="2657"/>
      <c r="L119" s="2657"/>
      <c r="M119" s="2657"/>
      <c r="N119" s="2657"/>
      <c r="O119" s="2657"/>
      <c r="P119" s="2657"/>
      <c r="Q119" s="2657"/>
      <c r="R119" s="2658"/>
      <c r="S119" s="3649"/>
      <c r="T119" s="3649"/>
      <c r="U119" s="3649"/>
      <c r="V119" s="3649"/>
      <c r="W119" s="3649"/>
      <c r="X119" s="3649"/>
      <c r="Y119" s="3649"/>
      <c r="Z119" s="3649"/>
      <c r="AA119" s="3649"/>
      <c r="AB119" s="3649"/>
      <c r="AC119" s="3649"/>
      <c r="AD119" s="3649"/>
      <c r="AE119" s="3649"/>
      <c r="AF119" s="3649"/>
      <c r="AG119" s="3649"/>
      <c r="AH119" s="3649"/>
      <c r="AI119" s="3649"/>
      <c r="AJ119" s="3649"/>
      <c r="AK119" s="3649"/>
      <c r="AL119" s="3649"/>
      <c r="AM119" s="3649"/>
      <c r="AN119" s="3649"/>
      <c r="AO119" s="3649"/>
      <c r="AP119" s="3649"/>
      <c r="AQ119" s="3649"/>
      <c r="AR119" s="3649"/>
      <c r="AS119" s="3649"/>
      <c r="AT119" s="3649"/>
      <c r="AU119" s="3649"/>
      <c r="AV119" s="3649"/>
      <c r="AW119" s="3649"/>
      <c r="AX119" s="3649"/>
      <c r="AY119" s="3649"/>
      <c r="AZ119" s="3649"/>
      <c r="BA119" s="3649"/>
      <c r="BB119" s="3649"/>
      <c r="BC119" s="3649"/>
      <c r="BD119" s="3649"/>
      <c r="BE119" s="3649"/>
      <c r="BF119" s="3649"/>
      <c r="BG119" s="3649"/>
      <c r="BH119" s="3649"/>
      <c r="BI119" s="3649"/>
      <c r="BJ119" s="3649"/>
      <c r="BK119" s="3649"/>
      <c r="BL119" s="3649"/>
      <c r="BM119" s="3649"/>
      <c r="BN119" s="3649"/>
      <c r="BO119" s="3649"/>
      <c r="BP119" s="3649"/>
      <c r="BQ119" s="3649"/>
      <c r="BR119" s="3649"/>
      <c r="BS119" s="3649"/>
      <c r="BT119" s="3649"/>
      <c r="BU119" s="3649"/>
      <c r="BV119" s="3649"/>
      <c r="BW119" s="3649"/>
      <c r="BX119" s="3649"/>
      <c r="BY119" s="3649"/>
      <c r="BZ119" s="3649"/>
      <c r="CA119" s="3649"/>
      <c r="CB119" s="3649"/>
      <c r="CC119" s="3649"/>
      <c r="CD119" s="3649"/>
      <c r="CE119" s="3649"/>
      <c r="CF119" s="3649"/>
      <c r="CG119" s="3649"/>
      <c r="CH119" s="3649"/>
      <c r="CI119" s="3649"/>
      <c r="CJ119" s="2977"/>
    </row>
    <row r="120" spans="1:88">
      <c r="A120" s="53">
        <v>2003.03</v>
      </c>
      <c r="B120" s="613">
        <v>76.908809647635138</v>
      </c>
      <c r="C120" s="3532">
        <v>78.835057939154396</v>
      </c>
      <c r="D120" s="360"/>
      <c r="E120" s="361"/>
      <c r="F120" s="2657"/>
      <c r="G120" s="2657"/>
      <c r="H120" s="2657"/>
      <c r="I120" s="2657"/>
      <c r="J120" s="2657"/>
      <c r="K120" s="2657"/>
      <c r="L120" s="2657"/>
      <c r="M120" s="2657"/>
      <c r="N120" s="2657"/>
      <c r="O120" s="2657"/>
      <c r="P120" s="2657"/>
      <c r="Q120" s="2657"/>
      <c r="R120" s="2658"/>
      <c r="S120" s="3649"/>
      <c r="T120" s="3649"/>
      <c r="U120" s="3649"/>
      <c r="V120" s="3649"/>
      <c r="W120" s="3649"/>
      <c r="X120" s="3649"/>
      <c r="Y120" s="3649"/>
      <c r="Z120" s="3649"/>
      <c r="AA120" s="3649"/>
      <c r="AB120" s="3649"/>
      <c r="AC120" s="3649"/>
      <c r="AD120" s="3649"/>
      <c r="AE120" s="3649"/>
      <c r="AF120" s="3649"/>
      <c r="AG120" s="3649"/>
      <c r="AH120" s="3649"/>
      <c r="AI120" s="3649"/>
      <c r="AJ120" s="3649"/>
      <c r="AK120" s="3649"/>
      <c r="AL120" s="3649"/>
      <c r="AM120" s="3649"/>
      <c r="AN120" s="3649"/>
      <c r="AO120" s="3649"/>
      <c r="AP120" s="3649"/>
      <c r="AQ120" s="3649"/>
      <c r="AR120" s="3649"/>
      <c r="AS120" s="3649"/>
      <c r="AT120" s="3649"/>
      <c r="AU120" s="3649"/>
      <c r="AV120" s="3649"/>
      <c r="AW120" s="3649"/>
      <c r="AX120" s="3649"/>
      <c r="AY120" s="3649"/>
      <c r="AZ120" s="3649"/>
      <c r="BA120" s="3649"/>
      <c r="BB120" s="3649"/>
      <c r="BC120" s="3649"/>
      <c r="BD120" s="3649"/>
      <c r="BE120" s="3649"/>
      <c r="BF120" s="3649"/>
      <c r="BG120" s="3649"/>
      <c r="BH120" s="3649"/>
      <c r="BI120" s="3649"/>
      <c r="BJ120" s="3649"/>
      <c r="BK120" s="3649"/>
      <c r="BL120" s="3649"/>
      <c r="BM120" s="3649"/>
      <c r="BN120" s="3649"/>
      <c r="BO120" s="3649"/>
      <c r="BP120" s="3649"/>
      <c r="BQ120" s="3649"/>
      <c r="BR120" s="3649"/>
      <c r="BS120" s="3649"/>
      <c r="BT120" s="3649"/>
      <c r="BU120" s="3649"/>
      <c r="BV120" s="3649"/>
      <c r="BW120" s="3649"/>
      <c r="BX120" s="3649"/>
      <c r="BY120" s="3649"/>
      <c r="BZ120" s="3649"/>
      <c r="CA120" s="3649"/>
      <c r="CB120" s="3649"/>
      <c r="CC120" s="3649"/>
      <c r="CD120" s="3649"/>
      <c r="CE120" s="3649"/>
      <c r="CF120" s="3649"/>
      <c r="CG120" s="3649"/>
      <c r="CH120" s="3649"/>
      <c r="CI120" s="3649"/>
      <c r="CJ120" s="2977"/>
    </row>
    <row r="121" spans="1:88">
      <c r="A121" s="53">
        <v>2003.04</v>
      </c>
      <c r="B121" s="613">
        <v>76.526024342689951</v>
      </c>
      <c r="C121" s="3532">
        <v>78.461301892501382</v>
      </c>
      <c r="D121" s="360"/>
      <c r="E121" s="361"/>
      <c r="F121" s="2657"/>
      <c r="G121" s="2657"/>
      <c r="H121" s="2657"/>
      <c r="I121" s="2657"/>
      <c r="J121" s="2657"/>
      <c r="K121" s="2657"/>
      <c r="L121" s="2657"/>
      <c r="M121" s="2657"/>
      <c r="N121" s="2657"/>
      <c r="O121" s="2657"/>
      <c r="P121" s="2657"/>
      <c r="Q121" s="2657"/>
      <c r="R121" s="2658"/>
      <c r="S121" s="3649"/>
      <c r="T121" s="3649"/>
      <c r="U121" s="3649"/>
      <c r="V121" s="3649"/>
      <c r="W121" s="3649"/>
      <c r="X121" s="3649"/>
      <c r="Y121" s="3649"/>
      <c r="Z121" s="3649"/>
      <c r="AA121" s="3649"/>
      <c r="AB121" s="3649"/>
      <c r="AC121" s="3649"/>
      <c r="AD121" s="3649"/>
      <c r="AE121" s="3649"/>
      <c r="AF121" s="3649"/>
      <c r="AG121" s="3649"/>
      <c r="AH121" s="3649"/>
      <c r="AI121" s="3649"/>
      <c r="AJ121" s="3649"/>
      <c r="AK121" s="3649"/>
      <c r="AL121" s="3649"/>
      <c r="AM121" s="3649"/>
      <c r="AN121" s="3649"/>
      <c r="AO121" s="3649"/>
      <c r="AP121" s="3649"/>
      <c r="AQ121" s="3649"/>
      <c r="AR121" s="3649"/>
      <c r="AS121" s="3649"/>
      <c r="AT121" s="3649"/>
      <c r="AU121" s="3649"/>
      <c r="AV121" s="3649"/>
      <c r="AW121" s="3649"/>
      <c r="AX121" s="3649"/>
      <c r="AY121" s="3649"/>
      <c r="AZ121" s="3649"/>
      <c r="BA121" s="3649"/>
      <c r="BB121" s="3649"/>
      <c r="BC121" s="3649"/>
      <c r="BD121" s="3649"/>
      <c r="BE121" s="3649"/>
      <c r="BF121" s="3649"/>
      <c r="BG121" s="3649"/>
      <c r="BH121" s="3649"/>
      <c r="BI121" s="3649"/>
      <c r="BJ121" s="3649"/>
      <c r="BK121" s="3649"/>
      <c r="BL121" s="3649"/>
      <c r="BM121" s="3649"/>
      <c r="BN121" s="3649"/>
      <c r="BO121" s="3649"/>
      <c r="BP121" s="3649"/>
      <c r="BQ121" s="3649"/>
      <c r="BR121" s="3649"/>
      <c r="BS121" s="3649"/>
      <c r="BT121" s="3649"/>
      <c r="BU121" s="3649"/>
      <c r="BV121" s="3649"/>
      <c r="BW121" s="3649"/>
      <c r="BX121" s="3649"/>
      <c r="BY121" s="3649"/>
      <c r="BZ121" s="3649"/>
      <c r="CA121" s="3649"/>
      <c r="CB121" s="3649"/>
      <c r="CC121" s="3649"/>
      <c r="CD121" s="3649"/>
      <c r="CE121" s="3649"/>
      <c r="CF121" s="3649"/>
      <c r="CG121" s="3649"/>
      <c r="CH121" s="3649"/>
      <c r="CI121" s="3649"/>
      <c r="CJ121" s="2977"/>
    </row>
    <row r="122" spans="1:88">
      <c r="A122" s="53">
        <v>2003.05</v>
      </c>
      <c r="B122" s="613">
        <v>77.901982330736146</v>
      </c>
      <c r="C122" s="3532">
        <v>79.106113550154092</v>
      </c>
      <c r="D122" s="360"/>
      <c r="E122" s="361"/>
      <c r="F122" s="2657"/>
      <c r="G122" s="2657"/>
      <c r="H122" s="2657"/>
      <c r="I122" s="2657"/>
      <c r="J122" s="2657"/>
      <c r="K122" s="2657"/>
      <c r="L122" s="2657"/>
      <c r="M122" s="2657"/>
      <c r="N122" s="2657"/>
      <c r="O122" s="2657"/>
      <c r="P122" s="2657"/>
      <c r="Q122" s="2657"/>
      <c r="R122" s="2658"/>
      <c r="S122" s="3649"/>
      <c r="T122" s="3649"/>
      <c r="U122" s="3649"/>
      <c r="V122" s="3649"/>
      <c r="W122" s="3649"/>
      <c r="X122" s="3649"/>
      <c r="Y122" s="3649"/>
      <c r="Z122" s="3649"/>
      <c r="AA122" s="3649"/>
      <c r="AB122" s="3649"/>
      <c r="AC122" s="3649"/>
      <c r="AD122" s="3649"/>
      <c r="AE122" s="3649"/>
      <c r="AF122" s="3649"/>
      <c r="AG122" s="3649"/>
      <c r="AH122" s="3649"/>
      <c r="AI122" s="3649"/>
      <c r="AJ122" s="3649"/>
      <c r="AK122" s="3649"/>
      <c r="AL122" s="3649"/>
      <c r="AM122" s="3649"/>
      <c r="AN122" s="3649"/>
      <c r="AO122" s="3649"/>
      <c r="AP122" s="3649"/>
      <c r="AQ122" s="3649"/>
      <c r="AR122" s="3649"/>
      <c r="AS122" s="3649"/>
      <c r="AT122" s="3649"/>
      <c r="AU122" s="3649"/>
      <c r="AV122" s="3649"/>
      <c r="AW122" s="3649"/>
      <c r="AX122" s="3649"/>
      <c r="AY122" s="3649"/>
      <c r="AZ122" s="3649"/>
      <c r="BA122" s="3649"/>
      <c r="BB122" s="3649"/>
      <c r="BC122" s="3649"/>
      <c r="BD122" s="3649"/>
      <c r="BE122" s="3649"/>
      <c r="BF122" s="3649"/>
      <c r="BG122" s="3649"/>
      <c r="BH122" s="3649"/>
      <c r="BI122" s="3649"/>
      <c r="BJ122" s="3649"/>
      <c r="BK122" s="3649"/>
      <c r="BL122" s="3649"/>
      <c r="BM122" s="3649"/>
      <c r="BN122" s="3649"/>
      <c r="BO122" s="3649"/>
      <c r="BP122" s="3649"/>
      <c r="BQ122" s="3649"/>
      <c r="BR122" s="3649"/>
      <c r="BS122" s="3649"/>
      <c r="BT122" s="3649"/>
      <c r="BU122" s="3649"/>
      <c r="BV122" s="3649"/>
      <c r="BW122" s="3649"/>
      <c r="BX122" s="3649"/>
      <c r="BY122" s="3649"/>
      <c r="BZ122" s="3649"/>
      <c r="CA122" s="3649"/>
      <c r="CB122" s="3649"/>
      <c r="CC122" s="3649"/>
      <c r="CD122" s="3649"/>
      <c r="CE122" s="3649"/>
      <c r="CF122" s="3649"/>
      <c r="CG122" s="3649"/>
      <c r="CH122" s="3649"/>
      <c r="CI122" s="3649"/>
      <c r="CJ122" s="2977"/>
    </row>
    <row r="123" spans="1:88">
      <c r="A123" s="53">
        <v>2003.06</v>
      </c>
      <c r="B123" s="613">
        <v>77.964055623429957</v>
      </c>
      <c r="C123" s="3532">
        <v>80.1754842469729</v>
      </c>
      <c r="D123" s="360"/>
      <c r="E123" s="361"/>
      <c r="F123" s="2657"/>
      <c r="G123" s="2657"/>
      <c r="H123" s="2657"/>
      <c r="I123" s="2657"/>
      <c r="J123" s="2657"/>
      <c r="K123" s="2657"/>
      <c r="L123" s="2657"/>
      <c r="M123" s="2657"/>
      <c r="N123" s="2657"/>
      <c r="O123" s="2657"/>
      <c r="P123" s="2657"/>
      <c r="Q123" s="2657"/>
      <c r="R123" s="2658"/>
      <c r="S123" s="3649"/>
      <c r="T123" s="3649"/>
      <c r="U123" s="3649"/>
      <c r="V123" s="3649"/>
      <c r="W123" s="3649"/>
      <c r="X123" s="3649"/>
      <c r="Y123" s="3649"/>
      <c r="Z123" s="3649"/>
      <c r="AA123" s="3649"/>
      <c r="AB123" s="3649"/>
      <c r="AC123" s="3649"/>
      <c r="AD123" s="3649"/>
      <c r="AE123" s="3649"/>
      <c r="AF123" s="3649"/>
      <c r="AG123" s="3649"/>
      <c r="AH123" s="3649"/>
      <c r="AI123" s="3649"/>
      <c r="AJ123" s="3649"/>
      <c r="AK123" s="3649"/>
      <c r="AL123" s="3649"/>
      <c r="AM123" s="3649"/>
      <c r="AN123" s="3649"/>
      <c r="AO123" s="3649"/>
      <c r="AP123" s="3649"/>
      <c r="AQ123" s="3649"/>
      <c r="AR123" s="3649"/>
      <c r="AS123" s="3649"/>
      <c r="AT123" s="3649"/>
      <c r="AU123" s="3649"/>
      <c r="AV123" s="3649"/>
      <c r="AW123" s="3649"/>
      <c r="AX123" s="3649"/>
      <c r="AY123" s="3649"/>
      <c r="AZ123" s="3649"/>
      <c r="BA123" s="3649"/>
      <c r="BB123" s="3649"/>
      <c r="BC123" s="3649"/>
      <c r="BD123" s="3649"/>
      <c r="BE123" s="3649"/>
      <c r="BF123" s="3649"/>
      <c r="BG123" s="3649"/>
      <c r="BH123" s="3649"/>
      <c r="BI123" s="3649"/>
      <c r="BJ123" s="3649"/>
      <c r="BK123" s="3649"/>
      <c r="BL123" s="3649"/>
      <c r="BM123" s="3649"/>
      <c r="BN123" s="3649"/>
      <c r="BO123" s="3649"/>
      <c r="BP123" s="3649"/>
      <c r="BQ123" s="3649"/>
      <c r="BR123" s="3649"/>
      <c r="BS123" s="3649"/>
      <c r="BT123" s="3649"/>
      <c r="BU123" s="3649"/>
      <c r="BV123" s="3649"/>
      <c r="BW123" s="3649"/>
      <c r="BX123" s="3649"/>
      <c r="BY123" s="3649"/>
      <c r="BZ123" s="3649"/>
      <c r="CA123" s="3649"/>
      <c r="CB123" s="3649"/>
      <c r="CC123" s="3649"/>
      <c r="CD123" s="3649"/>
      <c r="CE123" s="3649"/>
      <c r="CF123" s="3649"/>
      <c r="CG123" s="3649"/>
      <c r="CH123" s="3649"/>
      <c r="CI123" s="3649"/>
      <c r="CJ123" s="2977"/>
    </row>
    <row r="124" spans="1:88">
      <c r="A124" s="53">
        <v>2003.07</v>
      </c>
      <c r="B124" s="613">
        <v>83.333395441444836</v>
      </c>
      <c r="C124" s="3532">
        <v>81.301220487123871</v>
      </c>
      <c r="D124" s="360"/>
      <c r="E124" s="361"/>
      <c r="F124" s="2657"/>
      <c r="G124" s="2657"/>
      <c r="H124" s="2657"/>
      <c r="I124" s="2657"/>
      <c r="J124" s="2657"/>
      <c r="K124" s="2657"/>
      <c r="L124" s="2657"/>
      <c r="M124" s="2657"/>
      <c r="N124" s="2657"/>
      <c r="O124" s="2657"/>
      <c r="P124" s="2657"/>
      <c r="Q124" s="2657"/>
      <c r="R124" s="2658"/>
      <c r="S124" s="3649"/>
      <c r="T124" s="3649"/>
      <c r="U124" s="3649"/>
      <c r="V124" s="3649"/>
      <c r="W124" s="3649"/>
      <c r="X124" s="3649"/>
      <c r="Y124" s="3649"/>
      <c r="Z124" s="3649"/>
      <c r="AA124" s="3649"/>
      <c r="AB124" s="3649"/>
      <c r="AC124" s="3649"/>
      <c r="AD124" s="3649"/>
      <c r="AE124" s="3649"/>
      <c r="AF124" s="3649"/>
      <c r="AG124" s="3649"/>
      <c r="AH124" s="3649"/>
      <c r="AI124" s="3649"/>
      <c r="AJ124" s="3649"/>
      <c r="AK124" s="3649"/>
      <c r="AL124" s="3649"/>
      <c r="AM124" s="3649"/>
      <c r="AN124" s="3649"/>
      <c r="AO124" s="3649"/>
      <c r="AP124" s="3649"/>
      <c r="AQ124" s="3649"/>
      <c r="AR124" s="3649"/>
      <c r="AS124" s="3649"/>
      <c r="AT124" s="3649"/>
      <c r="AU124" s="3649"/>
      <c r="AV124" s="3649"/>
      <c r="AW124" s="3649"/>
      <c r="AX124" s="3649"/>
      <c r="AY124" s="3649"/>
      <c r="AZ124" s="3649"/>
      <c r="BA124" s="3649"/>
      <c r="BB124" s="3649"/>
      <c r="BC124" s="3649"/>
      <c r="BD124" s="3649"/>
      <c r="BE124" s="3649"/>
      <c r="BF124" s="3649"/>
      <c r="BG124" s="3649"/>
      <c r="BH124" s="3649"/>
      <c r="BI124" s="3649"/>
      <c r="BJ124" s="3649"/>
      <c r="BK124" s="3649"/>
      <c r="BL124" s="3649"/>
      <c r="BM124" s="3649"/>
      <c r="BN124" s="3649"/>
      <c r="BO124" s="3649"/>
      <c r="BP124" s="3649"/>
      <c r="BQ124" s="3649"/>
      <c r="BR124" s="3649"/>
      <c r="BS124" s="3649"/>
      <c r="BT124" s="3649"/>
      <c r="BU124" s="3649"/>
      <c r="BV124" s="3649"/>
      <c r="BW124" s="3649"/>
      <c r="BX124" s="3649"/>
      <c r="BY124" s="3649"/>
      <c r="BZ124" s="3649"/>
      <c r="CA124" s="3649"/>
      <c r="CB124" s="3649"/>
      <c r="CC124" s="3649"/>
      <c r="CD124" s="3649"/>
      <c r="CE124" s="3649"/>
      <c r="CF124" s="3649"/>
      <c r="CG124" s="3649"/>
      <c r="CH124" s="3649"/>
      <c r="CI124" s="3649"/>
      <c r="CJ124" s="2977"/>
    </row>
    <row r="125" spans="1:88">
      <c r="A125" s="53">
        <v>2003.08</v>
      </c>
      <c r="B125" s="613">
        <v>83.467887575614768</v>
      </c>
      <c r="C125" s="3532">
        <v>82.545849237173513</v>
      </c>
      <c r="D125" s="360"/>
      <c r="E125" s="361"/>
      <c r="F125" s="2657"/>
      <c r="G125" s="2657"/>
      <c r="H125" s="2657"/>
      <c r="I125" s="2657"/>
      <c r="J125" s="2657"/>
      <c r="K125" s="2657"/>
      <c r="L125" s="2657"/>
      <c r="M125" s="2657"/>
      <c r="N125" s="2657"/>
      <c r="O125" s="2657"/>
      <c r="P125" s="2657"/>
      <c r="Q125" s="2657"/>
      <c r="R125" s="2658"/>
      <c r="S125" s="3649"/>
      <c r="T125" s="3649"/>
      <c r="U125" s="3649"/>
      <c r="V125" s="3649"/>
      <c r="W125" s="3649"/>
      <c r="X125" s="3649"/>
      <c r="Y125" s="3649"/>
      <c r="Z125" s="3649"/>
      <c r="AA125" s="3649"/>
      <c r="AB125" s="3649"/>
      <c r="AC125" s="3649"/>
      <c r="AD125" s="3649"/>
      <c r="AE125" s="3649"/>
      <c r="AF125" s="3649"/>
      <c r="AG125" s="3649"/>
      <c r="AH125" s="3649"/>
      <c r="AI125" s="3649"/>
      <c r="AJ125" s="3649"/>
      <c r="AK125" s="3649"/>
      <c r="AL125" s="3649"/>
      <c r="AM125" s="3649"/>
      <c r="AN125" s="3649"/>
      <c r="AO125" s="3649"/>
      <c r="AP125" s="3649"/>
      <c r="AQ125" s="3649"/>
      <c r="AR125" s="3649"/>
      <c r="AS125" s="3649"/>
      <c r="AT125" s="3649"/>
      <c r="AU125" s="3649"/>
      <c r="AV125" s="3649"/>
      <c r="AW125" s="3649"/>
      <c r="AX125" s="3649"/>
      <c r="AY125" s="3649"/>
      <c r="AZ125" s="3649"/>
      <c r="BA125" s="3649"/>
      <c r="BB125" s="3649"/>
      <c r="BC125" s="3649"/>
      <c r="BD125" s="3649"/>
      <c r="BE125" s="3649"/>
      <c r="BF125" s="3649"/>
      <c r="BG125" s="3649"/>
      <c r="BH125" s="3649"/>
      <c r="BI125" s="3649"/>
      <c r="BJ125" s="3649"/>
      <c r="BK125" s="3649"/>
      <c r="BL125" s="3649"/>
      <c r="BM125" s="3649"/>
      <c r="BN125" s="3649"/>
      <c r="BO125" s="3649"/>
      <c r="BP125" s="3649"/>
      <c r="BQ125" s="3649"/>
      <c r="BR125" s="3649"/>
      <c r="BS125" s="3649"/>
      <c r="BT125" s="3649"/>
      <c r="BU125" s="3649"/>
      <c r="BV125" s="3649"/>
      <c r="BW125" s="3649"/>
      <c r="BX125" s="3649"/>
      <c r="BY125" s="3649"/>
      <c r="BZ125" s="3649"/>
      <c r="CA125" s="3649"/>
      <c r="CB125" s="3649"/>
      <c r="CC125" s="3649"/>
      <c r="CD125" s="3649"/>
      <c r="CE125" s="3649"/>
      <c r="CF125" s="3649"/>
      <c r="CG125" s="3649"/>
      <c r="CH125" s="3649"/>
      <c r="CI125" s="3649"/>
      <c r="CJ125" s="2977"/>
    </row>
    <row r="126" spans="1:88">
      <c r="A126" s="53">
        <v>2003.09</v>
      </c>
      <c r="B126" s="613">
        <v>83.364432087791741</v>
      </c>
      <c r="C126" s="3532">
        <v>82.232740878550203</v>
      </c>
      <c r="D126" s="360"/>
      <c r="E126" s="361"/>
      <c r="F126" s="2657"/>
      <c r="G126" s="2657"/>
      <c r="H126" s="2657"/>
      <c r="I126" s="2657"/>
      <c r="J126" s="2657"/>
      <c r="K126" s="2657"/>
      <c r="L126" s="2657"/>
      <c r="M126" s="2657"/>
      <c r="N126" s="2657"/>
      <c r="O126" s="2657"/>
      <c r="P126" s="2657"/>
      <c r="Q126" s="2657"/>
      <c r="R126" s="2658"/>
      <c r="S126" s="3649"/>
      <c r="T126" s="3649"/>
      <c r="U126" s="3649"/>
      <c r="V126" s="3649"/>
      <c r="W126" s="3649"/>
      <c r="X126" s="3649"/>
      <c r="Y126" s="3649"/>
      <c r="Z126" s="3649"/>
      <c r="AA126" s="3649"/>
      <c r="AB126" s="3649"/>
      <c r="AC126" s="3649"/>
      <c r="AD126" s="3649"/>
      <c r="AE126" s="3649"/>
      <c r="AF126" s="3649"/>
      <c r="AG126" s="3649"/>
      <c r="AH126" s="3649"/>
      <c r="AI126" s="3649"/>
      <c r="AJ126" s="3649"/>
      <c r="AK126" s="3649"/>
      <c r="AL126" s="3649"/>
      <c r="AM126" s="3649"/>
      <c r="AN126" s="3649"/>
      <c r="AO126" s="3649"/>
      <c r="AP126" s="3649"/>
      <c r="AQ126" s="3649"/>
      <c r="AR126" s="3649"/>
      <c r="AS126" s="3649"/>
      <c r="AT126" s="3649"/>
      <c r="AU126" s="3649"/>
      <c r="AV126" s="3649"/>
      <c r="AW126" s="3649"/>
      <c r="AX126" s="3649"/>
      <c r="AY126" s="3649"/>
      <c r="AZ126" s="3649"/>
      <c r="BA126" s="3649"/>
      <c r="BB126" s="3649"/>
      <c r="BC126" s="3649"/>
      <c r="BD126" s="3649"/>
      <c r="BE126" s="3649"/>
      <c r="BF126" s="3649"/>
      <c r="BG126" s="3649"/>
      <c r="BH126" s="3649"/>
      <c r="BI126" s="3649"/>
      <c r="BJ126" s="3649"/>
      <c r="BK126" s="3649"/>
      <c r="BL126" s="3649"/>
      <c r="BM126" s="3649"/>
      <c r="BN126" s="3649"/>
      <c r="BO126" s="3649"/>
      <c r="BP126" s="3649"/>
      <c r="BQ126" s="3649"/>
      <c r="BR126" s="3649"/>
      <c r="BS126" s="3649"/>
      <c r="BT126" s="3649"/>
      <c r="BU126" s="3649"/>
      <c r="BV126" s="3649"/>
      <c r="BW126" s="3649"/>
      <c r="BX126" s="3649"/>
      <c r="BY126" s="3649"/>
      <c r="BZ126" s="3649"/>
      <c r="CA126" s="3649"/>
      <c r="CB126" s="3649"/>
      <c r="CC126" s="3649"/>
      <c r="CD126" s="3649"/>
      <c r="CE126" s="3649"/>
      <c r="CF126" s="3649"/>
      <c r="CG126" s="3649"/>
      <c r="CH126" s="3649"/>
      <c r="CI126" s="3649"/>
      <c r="CJ126" s="2977"/>
    </row>
    <row r="127" spans="1:88">
      <c r="A127" s="53">
        <v>2003.1</v>
      </c>
      <c r="B127" s="613">
        <v>87.119866295767466</v>
      </c>
      <c r="C127" s="3532">
        <v>83.750480079845047</v>
      </c>
      <c r="D127" s="360"/>
      <c r="E127" s="361"/>
      <c r="F127" s="2657"/>
      <c r="G127" s="2657"/>
      <c r="H127" s="2657"/>
      <c r="I127" s="2657"/>
      <c r="J127" s="2657"/>
      <c r="K127" s="2657"/>
      <c r="L127" s="2657"/>
      <c r="M127" s="2657"/>
      <c r="N127" s="2657"/>
      <c r="O127" s="2657"/>
      <c r="P127" s="2657"/>
      <c r="Q127" s="2657"/>
      <c r="R127" s="2658"/>
      <c r="S127" s="3649"/>
      <c r="T127" s="3649"/>
      <c r="U127" s="3649"/>
      <c r="V127" s="3649"/>
      <c r="W127" s="3649"/>
      <c r="X127" s="3649"/>
      <c r="Y127" s="3649"/>
      <c r="Z127" s="3649"/>
      <c r="AA127" s="3649"/>
      <c r="AB127" s="3649"/>
      <c r="AC127" s="3649"/>
      <c r="AD127" s="3649"/>
      <c r="AE127" s="3649"/>
      <c r="AF127" s="3649"/>
      <c r="AG127" s="3649"/>
      <c r="AH127" s="3649"/>
      <c r="AI127" s="3649"/>
      <c r="AJ127" s="3649"/>
      <c r="AK127" s="3649"/>
      <c r="AL127" s="3649"/>
      <c r="AM127" s="3649"/>
      <c r="AN127" s="3649"/>
      <c r="AO127" s="3649"/>
      <c r="AP127" s="3649"/>
      <c r="AQ127" s="3649"/>
      <c r="AR127" s="3649"/>
      <c r="AS127" s="3649"/>
      <c r="AT127" s="3649"/>
      <c r="AU127" s="3649"/>
      <c r="AV127" s="3649"/>
      <c r="AW127" s="3649"/>
      <c r="AX127" s="3649"/>
      <c r="AY127" s="3649"/>
      <c r="AZ127" s="3649"/>
      <c r="BA127" s="3649"/>
      <c r="BB127" s="3649"/>
      <c r="BC127" s="3649"/>
      <c r="BD127" s="3649"/>
      <c r="BE127" s="3649"/>
      <c r="BF127" s="3649"/>
      <c r="BG127" s="3649"/>
      <c r="BH127" s="3649"/>
      <c r="BI127" s="3649"/>
      <c r="BJ127" s="3649"/>
      <c r="BK127" s="3649"/>
      <c r="BL127" s="3649"/>
      <c r="BM127" s="3649"/>
      <c r="BN127" s="3649"/>
      <c r="BO127" s="3649"/>
      <c r="BP127" s="3649"/>
      <c r="BQ127" s="3649"/>
      <c r="BR127" s="3649"/>
      <c r="BS127" s="3649"/>
      <c r="BT127" s="3649"/>
      <c r="BU127" s="3649"/>
      <c r="BV127" s="3649"/>
      <c r="BW127" s="3649"/>
      <c r="BX127" s="3649"/>
      <c r="BY127" s="3649"/>
      <c r="BZ127" s="3649"/>
      <c r="CA127" s="3649"/>
      <c r="CB127" s="3649"/>
      <c r="CC127" s="3649"/>
      <c r="CD127" s="3649"/>
      <c r="CE127" s="3649"/>
      <c r="CF127" s="3649"/>
      <c r="CG127" s="3649"/>
      <c r="CH127" s="3649"/>
      <c r="CI127" s="3649"/>
      <c r="CJ127" s="2977"/>
    </row>
    <row r="128" spans="1:88">
      <c r="A128" s="53">
        <v>2003.11</v>
      </c>
      <c r="B128" s="613">
        <v>85.009374344177814</v>
      </c>
      <c r="C128" s="3532">
        <v>85.395880143663874</v>
      </c>
      <c r="D128" s="360"/>
      <c r="E128" s="361"/>
      <c r="F128" s="2657"/>
      <c r="G128" s="2657"/>
      <c r="H128" s="2657"/>
      <c r="I128" s="2657"/>
      <c r="J128" s="2657"/>
      <c r="K128" s="2657"/>
      <c r="L128" s="2657"/>
      <c r="M128" s="2657"/>
      <c r="N128" s="2657"/>
      <c r="O128" s="2657"/>
      <c r="P128" s="2657"/>
      <c r="Q128" s="2657"/>
      <c r="R128" s="2658"/>
      <c r="S128" s="3649"/>
      <c r="T128" s="3649"/>
      <c r="U128" s="3649"/>
      <c r="V128" s="3649"/>
      <c r="W128" s="3649"/>
      <c r="X128" s="3649"/>
      <c r="Y128" s="3649"/>
      <c r="Z128" s="3649"/>
      <c r="AA128" s="3649"/>
      <c r="AB128" s="3649"/>
      <c r="AC128" s="3649"/>
      <c r="AD128" s="3649"/>
      <c r="AE128" s="3649"/>
      <c r="AF128" s="3649"/>
      <c r="AG128" s="3649"/>
      <c r="AH128" s="3649"/>
      <c r="AI128" s="3649"/>
      <c r="AJ128" s="3649"/>
      <c r="AK128" s="3649"/>
      <c r="AL128" s="3649"/>
      <c r="AM128" s="3649"/>
      <c r="AN128" s="3649"/>
      <c r="AO128" s="3649"/>
      <c r="AP128" s="3649"/>
      <c r="AQ128" s="3649"/>
      <c r="AR128" s="3649"/>
      <c r="AS128" s="3649"/>
      <c r="AT128" s="3649"/>
      <c r="AU128" s="3649"/>
      <c r="AV128" s="3649"/>
      <c r="AW128" s="3649"/>
      <c r="AX128" s="3649"/>
      <c r="AY128" s="3649"/>
      <c r="AZ128" s="3649"/>
      <c r="BA128" s="3649"/>
      <c r="BB128" s="3649"/>
      <c r="BC128" s="3649"/>
      <c r="BD128" s="3649"/>
      <c r="BE128" s="3649"/>
      <c r="BF128" s="3649"/>
      <c r="BG128" s="3649"/>
      <c r="BH128" s="3649"/>
      <c r="BI128" s="3649"/>
      <c r="BJ128" s="3649"/>
      <c r="BK128" s="3649"/>
      <c r="BL128" s="3649"/>
      <c r="BM128" s="3649"/>
      <c r="BN128" s="3649"/>
      <c r="BO128" s="3649"/>
      <c r="BP128" s="3649"/>
      <c r="BQ128" s="3649"/>
      <c r="BR128" s="3649"/>
      <c r="BS128" s="3649"/>
      <c r="BT128" s="3649"/>
      <c r="BU128" s="3649"/>
      <c r="BV128" s="3649"/>
      <c r="BW128" s="3649"/>
      <c r="BX128" s="3649"/>
      <c r="BY128" s="3649"/>
      <c r="BZ128" s="3649"/>
      <c r="CA128" s="3649"/>
      <c r="CB128" s="3649"/>
      <c r="CC128" s="3649"/>
      <c r="CD128" s="3649"/>
      <c r="CE128" s="3649"/>
      <c r="CF128" s="3649"/>
      <c r="CG128" s="3649"/>
      <c r="CH128" s="3649"/>
      <c r="CI128" s="3649"/>
      <c r="CJ128" s="2977"/>
    </row>
    <row r="129" spans="1:88">
      <c r="A129" s="53">
        <v>2003.12</v>
      </c>
      <c r="B129" s="613">
        <v>81.688453185058776</v>
      </c>
      <c r="C129" s="3532">
        <v>85.00298314765196</v>
      </c>
      <c r="D129" s="360"/>
      <c r="E129" s="361"/>
      <c r="F129" s="2657"/>
      <c r="G129" s="2657"/>
      <c r="H129" s="2657"/>
      <c r="I129" s="2657"/>
      <c r="J129" s="2657"/>
      <c r="K129" s="2657"/>
      <c r="L129" s="2657"/>
      <c r="M129" s="2657"/>
      <c r="N129" s="2657"/>
      <c r="O129" s="2657"/>
      <c r="P129" s="2657"/>
      <c r="Q129" s="2657"/>
      <c r="R129" s="2658"/>
      <c r="S129" s="3649"/>
      <c r="T129" s="3649"/>
      <c r="U129" s="3649"/>
      <c r="V129" s="3649"/>
      <c r="W129" s="3649"/>
      <c r="X129" s="3649"/>
      <c r="Y129" s="3649"/>
      <c r="Z129" s="3649"/>
      <c r="AA129" s="3649"/>
      <c r="AB129" s="3649"/>
      <c r="AC129" s="3649"/>
      <c r="AD129" s="3649"/>
      <c r="AE129" s="3649"/>
      <c r="AF129" s="3649"/>
      <c r="AG129" s="3649"/>
      <c r="AH129" s="3649"/>
      <c r="AI129" s="3649"/>
      <c r="AJ129" s="3649"/>
      <c r="AK129" s="3649"/>
      <c r="AL129" s="3649"/>
      <c r="AM129" s="3649"/>
      <c r="AN129" s="3649"/>
      <c r="AO129" s="3649"/>
      <c r="AP129" s="3649"/>
      <c r="AQ129" s="3649"/>
      <c r="AR129" s="3649"/>
      <c r="AS129" s="3649"/>
      <c r="AT129" s="3649"/>
      <c r="AU129" s="3649"/>
      <c r="AV129" s="3649"/>
      <c r="AW129" s="3649"/>
      <c r="AX129" s="3649"/>
      <c r="AY129" s="3649"/>
      <c r="AZ129" s="3649"/>
      <c r="BA129" s="3649"/>
      <c r="BB129" s="3649"/>
      <c r="BC129" s="3649"/>
      <c r="BD129" s="3649"/>
      <c r="BE129" s="3649"/>
      <c r="BF129" s="3649"/>
      <c r="BG129" s="3649"/>
      <c r="BH129" s="3649"/>
      <c r="BI129" s="3649"/>
      <c r="BJ129" s="3649"/>
      <c r="BK129" s="3649"/>
      <c r="BL129" s="3649"/>
      <c r="BM129" s="3649"/>
      <c r="BN129" s="3649"/>
      <c r="BO129" s="3649"/>
      <c r="BP129" s="3649"/>
      <c r="BQ129" s="3649"/>
      <c r="BR129" s="3649"/>
      <c r="BS129" s="3649"/>
      <c r="BT129" s="3649"/>
      <c r="BU129" s="3649"/>
      <c r="BV129" s="3649"/>
      <c r="BW129" s="3649"/>
      <c r="BX129" s="3649"/>
      <c r="BY129" s="3649"/>
      <c r="BZ129" s="3649"/>
      <c r="CA129" s="3649"/>
      <c r="CB129" s="3649"/>
      <c r="CC129" s="3649"/>
      <c r="CD129" s="3649"/>
      <c r="CE129" s="3649"/>
      <c r="CF129" s="3649"/>
      <c r="CG129" s="3649"/>
      <c r="CH129" s="3649"/>
      <c r="CI129" s="3649"/>
      <c r="CJ129" s="2977"/>
    </row>
    <row r="130" spans="1:88">
      <c r="A130" s="53">
        <v>2004.01</v>
      </c>
      <c r="B130" s="613">
        <v>80.540097270223214</v>
      </c>
      <c r="C130" s="3532">
        <v>87.673323864363894</v>
      </c>
      <c r="D130" s="360"/>
      <c r="E130" s="361"/>
      <c r="F130" s="2657"/>
      <c r="G130" s="2657"/>
      <c r="H130" s="2657"/>
      <c r="I130" s="2657"/>
      <c r="J130" s="2657"/>
      <c r="K130" s="2657"/>
      <c r="L130" s="2657"/>
      <c r="M130" s="2657"/>
      <c r="N130" s="2657"/>
      <c r="O130" s="2657"/>
      <c r="P130" s="2657"/>
      <c r="Q130" s="2657"/>
      <c r="R130" s="2658"/>
      <c r="S130" s="3649"/>
      <c r="T130" s="3649"/>
      <c r="U130" s="3649"/>
      <c r="V130" s="3649"/>
      <c r="W130" s="3649"/>
      <c r="X130" s="3649"/>
      <c r="Y130" s="3649"/>
      <c r="Z130" s="3649"/>
      <c r="AA130" s="3649"/>
      <c r="AB130" s="3649"/>
      <c r="AC130" s="3649"/>
      <c r="AD130" s="3649"/>
      <c r="AE130" s="3649"/>
      <c r="AF130" s="3649"/>
      <c r="AG130" s="3649"/>
      <c r="AH130" s="3649"/>
      <c r="AI130" s="3649"/>
      <c r="AJ130" s="3649"/>
      <c r="AK130" s="3649"/>
      <c r="AL130" s="3649"/>
      <c r="AM130" s="3649"/>
      <c r="AN130" s="3649"/>
      <c r="AO130" s="3649"/>
      <c r="AP130" s="3649"/>
      <c r="AQ130" s="3649"/>
      <c r="AR130" s="3649"/>
      <c r="AS130" s="3649"/>
      <c r="AT130" s="3649"/>
      <c r="AU130" s="3649"/>
      <c r="AV130" s="3649"/>
      <c r="AW130" s="3649"/>
      <c r="AX130" s="3649"/>
      <c r="AY130" s="3649"/>
      <c r="AZ130" s="3649"/>
      <c r="BA130" s="3649"/>
      <c r="BB130" s="3649"/>
      <c r="BC130" s="3649"/>
      <c r="BD130" s="3649"/>
      <c r="BE130" s="3649"/>
      <c r="BF130" s="3649"/>
      <c r="BG130" s="3649"/>
      <c r="BH130" s="3649"/>
      <c r="BI130" s="3649"/>
      <c r="BJ130" s="3649"/>
      <c r="BK130" s="3649"/>
      <c r="BL130" s="3649"/>
      <c r="BM130" s="3649"/>
      <c r="BN130" s="3649"/>
      <c r="BO130" s="3649"/>
      <c r="BP130" s="3649"/>
      <c r="BQ130" s="3649"/>
      <c r="BR130" s="3649"/>
      <c r="BS130" s="3649"/>
      <c r="BT130" s="3649"/>
      <c r="BU130" s="3649"/>
      <c r="BV130" s="3649"/>
      <c r="BW130" s="3649"/>
      <c r="BX130" s="3649"/>
      <c r="BY130" s="3649"/>
      <c r="BZ130" s="3649"/>
      <c r="CA130" s="3649"/>
      <c r="CB130" s="3649"/>
      <c r="CC130" s="3649"/>
      <c r="CD130" s="3649"/>
      <c r="CE130" s="3649"/>
      <c r="CF130" s="3649"/>
      <c r="CG130" s="3649"/>
      <c r="CH130" s="3649"/>
      <c r="CI130" s="3649"/>
      <c r="CJ130" s="2977"/>
    </row>
    <row r="131" spans="1:88">
      <c r="A131" s="53">
        <v>2004.02</v>
      </c>
      <c r="B131" s="613">
        <v>79.091720440700911</v>
      </c>
      <c r="C131" s="3532">
        <v>87.95015632381849</v>
      </c>
      <c r="D131" s="360"/>
      <c r="E131" s="361"/>
      <c r="F131" s="2657"/>
      <c r="G131" s="2657"/>
      <c r="H131" s="2657"/>
      <c r="I131" s="2657"/>
      <c r="J131" s="2657"/>
      <c r="K131" s="2657"/>
      <c r="L131" s="2657"/>
      <c r="M131" s="2657"/>
      <c r="N131" s="2657"/>
      <c r="O131" s="2657"/>
      <c r="P131" s="2657"/>
      <c r="Q131" s="2657"/>
      <c r="R131" s="2658"/>
      <c r="S131" s="3649"/>
      <c r="T131" s="3649"/>
      <c r="U131" s="3649"/>
      <c r="V131" s="3649"/>
      <c r="W131" s="3649"/>
      <c r="X131" s="3649"/>
      <c r="Y131" s="3649"/>
      <c r="Z131" s="3649"/>
      <c r="AA131" s="3649"/>
      <c r="AB131" s="3649"/>
      <c r="AC131" s="3649"/>
      <c r="AD131" s="3649"/>
      <c r="AE131" s="3649"/>
      <c r="AF131" s="3649"/>
      <c r="AG131" s="3649"/>
      <c r="AH131" s="3649"/>
      <c r="AI131" s="3649"/>
      <c r="AJ131" s="3649"/>
      <c r="AK131" s="3649"/>
      <c r="AL131" s="3649"/>
      <c r="AM131" s="3649"/>
      <c r="AN131" s="3649"/>
      <c r="AO131" s="3649"/>
      <c r="AP131" s="3649"/>
      <c r="AQ131" s="3649"/>
      <c r="AR131" s="3649"/>
      <c r="AS131" s="3649"/>
      <c r="AT131" s="3649"/>
      <c r="AU131" s="3649"/>
      <c r="AV131" s="3649"/>
      <c r="AW131" s="3649"/>
      <c r="AX131" s="3649"/>
      <c r="AY131" s="3649"/>
      <c r="AZ131" s="3649"/>
      <c r="BA131" s="3649"/>
      <c r="BB131" s="3649"/>
      <c r="BC131" s="3649"/>
      <c r="BD131" s="3649"/>
      <c r="BE131" s="3649"/>
      <c r="BF131" s="3649"/>
      <c r="BG131" s="3649"/>
      <c r="BH131" s="3649"/>
      <c r="BI131" s="3649"/>
      <c r="BJ131" s="3649"/>
      <c r="BK131" s="3649"/>
      <c r="BL131" s="3649"/>
      <c r="BM131" s="3649"/>
      <c r="BN131" s="3649"/>
      <c r="BO131" s="3649"/>
      <c r="BP131" s="3649"/>
      <c r="BQ131" s="3649"/>
      <c r="BR131" s="3649"/>
      <c r="BS131" s="3649"/>
      <c r="BT131" s="3649"/>
      <c r="BU131" s="3649"/>
      <c r="BV131" s="3649"/>
      <c r="BW131" s="3649"/>
      <c r="BX131" s="3649"/>
      <c r="BY131" s="3649"/>
      <c r="BZ131" s="3649"/>
      <c r="CA131" s="3649"/>
      <c r="CB131" s="3649"/>
      <c r="CC131" s="3649"/>
      <c r="CD131" s="3649"/>
      <c r="CE131" s="3649"/>
      <c r="CF131" s="3649"/>
      <c r="CG131" s="3649"/>
      <c r="CH131" s="3649"/>
      <c r="CI131" s="3649"/>
      <c r="CJ131" s="2977"/>
    </row>
    <row r="132" spans="1:88">
      <c r="A132" s="53">
        <v>2004.03</v>
      </c>
      <c r="B132" s="613">
        <v>89.023447271711092</v>
      </c>
      <c r="C132" s="3532">
        <v>88.693401811781769</v>
      </c>
      <c r="D132" s="360"/>
      <c r="E132" s="361"/>
      <c r="F132" s="2657"/>
      <c r="G132" s="2657"/>
      <c r="H132" s="2657"/>
      <c r="I132" s="2657"/>
      <c r="J132" s="2657"/>
      <c r="K132" s="2657"/>
      <c r="L132" s="2657"/>
      <c r="M132" s="2657"/>
      <c r="N132" s="2657"/>
      <c r="O132" s="2657"/>
      <c r="P132" s="2657"/>
      <c r="Q132" s="2657"/>
      <c r="R132" s="2658"/>
      <c r="S132" s="3649"/>
      <c r="T132" s="3649"/>
      <c r="U132" s="3649"/>
      <c r="V132" s="3649"/>
      <c r="W132" s="3649"/>
      <c r="X132" s="3649"/>
      <c r="Y132" s="3649"/>
      <c r="Z132" s="3649"/>
      <c r="AA132" s="3649"/>
      <c r="AB132" s="3649"/>
      <c r="AC132" s="3649"/>
      <c r="AD132" s="3649"/>
      <c r="AE132" s="3649"/>
      <c r="AF132" s="3649"/>
      <c r="AG132" s="3649"/>
      <c r="AH132" s="3649"/>
      <c r="AI132" s="3649"/>
      <c r="AJ132" s="3649"/>
      <c r="AK132" s="3649"/>
      <c r="AL132" s="3649"/>
      <c r="AM132" s="3649"/>
      <c r="AN132" s="3649"/>
      <c r="AO132" s="3649"/>
      <c r="AP132" s="3649"/>
      <c r="AQ132" s="3649"/>
      <c r="AR132" s="3649"/>
      <c r="AS132" s="3649"/>
      <c r="AT132" s="3649"/>
      <c r="AU132" s="3649"/>
      <c r="AV132" s="3649"/>
      <c r="AW132" s="3649"/>
      <c r="AX132" s="3649"/>
      <c r="AY132" s="3649"/>
      <c r="AZ132" s="3649"/>
      <c r="BA132" s="3649"/>
      <c r="BB132" s="3649"/>
      <c r="BC132" s="3649"/>
      <c r="BD132" s="3649"/>
      <c r="BE132" s="3649"/>
      <c r="BF132" s="3649"/>
      <c r="BG132" s="3649"/>
      <c r="BH132" s="3649"/>
      <c r="BI132" s="3649"/>
      <c r="BJ132" s="3649"/>
      <c r="BK132" s="3649"/>
      <c r="BL132" s="3649"/>
      <c r="BM132" s="3649"/>
      <c r="BN132" s="3649"/>
      <c r="BO132" s="3649"/>
      <c r="BP132" s="3649"/>
      <c r="BQ132" s="3649"/>
      <c r="BR132" s="3649"/>
      <c r="BS132" s="3649"/>
      <c r="BT132" s="3649"/>
      <c r="BU132" s="3649"/>
      <c r="BV132" s="3649"/>
      <c r="BW132" s="3649"/>
      <c r="BX132" s="3649"/>
      <c r="BY132" s="3649"/>
      <c r="BZ132" s="3649"/>
      <c r="CA132" s="3649"/>
      <c r="CB132" s="3649"/>
      <c r="CC132" s="3649"/>
      <c r="CD132" s="3649"/>
      <c r="CE132" s="3649"/>
      <c r="CF132" s="3649"/>
      <c r="CG132" s="3649"/>
      <c r="CH132" s="3649"/>
      <c r="CI132" s="3649"/>
      <c r="CJ132" s="2977"/>
    </row>
    <row r="133" spans="1:88">
      <c r="A133" s="53">
        <v>2004.04</v>
      </c>
      <c r="B133" s="613">
        <v>83.281667697533337</v>
      </c>
      <c r="C133" s="3532">
        <v>88.777188808615506</v>
      </c>
      <c r="D133" s="360"/>
      <c r="E133" s="361"/>
      <c r="F133" s="2657"/>
      <c r="G133" s="2657"/>
      <c r="H133" s="2657"/>
      <c r="I133" s="2657"/>
      <c r="J133" s="2657"/>
      <c r="K133" s="2657"/>
      <c r="L133" s="2657"/>
      <c r="M133" s="2657"/>
      <c r="N133" s="2657"/>
      <c r="O133" s="2657"/>
      <c r="P133" s="2657"/>
      <c r="Q133" s="2657"/>
      <c r="R133" s="2658"/>
      <c r="S133" s="3649"/>
      <c r="T133" s="3649"/>
      <c r="U133" s="3649"/>
      <c r="V133" s="3649"/>
      <c r="W133" s="3649"/>
      <c r="X133" s="3649"/>
      <c r="Y133" s="3649"/>
      <c r="Z133" s="3649"/>
      <c r="AA133" s="3649"/>
      <c r="AB133" s="3649"/>
      <c r="AC133" s="3649"/>
      <c r="AD133" s="3649"/>
      <c r="AE133" s="3649"/>
      <c r="AF133" s="3649"/>
      <c r="AG133" s="3649"/>
      <c r="AH133" s="3649"/>
      <c r="AI133" s="3649"/>
      <c r="AJ133" s="3649"/>
      <c r="AK133" s="3649"/>
      <c r="AL133" s="3649"/>
      <c r="AM133" s="3649"/>
      <c r="AN133" s="3649"/>
      <c r="AO133" s="3649"/>
      <c r="AP133" s="3649"/>
      <c r="AQ133" s="3649"/>
      <c r="AR133" s="3649"/>
      <c r="AS133" s="3649"/>
      <c r="AT133" s="3649"/>
      <c r="AU133" s="3649"/>
      <c r="AV133" s="3649"/>
      <c r="AW133" s="3649"/>
      <c r="AX133" s="3649"/>
      <c r="AY133" s="3649"/>
      <c r="AZ133" s="3649"/>
      <c r="BA133" s="3649"/>
      <c r="BB133" s="3649"/>
      <c r="BC133" s="3649"/>
      <c r="BD133" s="3649"/>
      <c r="BE133" s="3649"/>
      <c r="BF133" s="3649"/>
      <c r="BG133" s="3649"/>
      <c r="BH133" s="3649"/>
      <c r="BI133" s="3649"/>
      <c r="BJ133" s="3649"/>
      <c r="BK133" s="3649"/>
      <c r="BL133" s="3649"/>
      <c r="BM133" s="3649"/>
      <c r="BN133" s="3649"/>
      <c r="BO133" s="3649"/>
      <c r="BP133" s="3649"/>
      <c r="BQ133" s="3649"/>
      <c r="BR133" s="3649"/>
      <c r="BS133" s="3649"/>
      <c r="BT133" s="3649"/>
      <c r="BU133" s="3649"/>
      <c r="BV133" s="3649"/>
      <c r="BW133" s="3649"/>
      <c r="BX133" s="3649"/>
      <c r="BY133" s="3649"/>
      <c r="BZ133" s="3649"/>
      <c r="CA133" s="3649"/>
      <c r="CB133" s="3649"/>
      <c r="CC133" s="3649"/>
      <c r="CD133" s="3649"/>
      <c r="CE133" s="3649"/>
      <c r="CF133" s="3649"/>
      <c r="CG133" s="3649"/>
      <c r="CH133" s="3649"/>
      <c r="CI133" s="3649"/>
      <c r="CJ133" s="2977"/>
    </row>
    <row r="134" spans="1:88">
      <c r="A134" s="53">
        <v>2004.05</v>
      </c>
      <c r="B134" s="613">
        <v>86.654316600563874</v>
      </c>
      <c r="C134" s="3532">
        <v>88.998237382558756</v>
      </c>
      <c r="D134" s="360"/>
      <c r="E134" s="361"/>
      <c r="F134" s="2657"/>
      <c r="G134" s="2657"/>
      <c r="H134" s="2657"/>
      <c r="I134" s="2657"/>
      <c r="J134" s="2657"/>
      <c r="K134" s="2657"/>
      <c r="L134" s="2657"/>
      <c r="M134" s="2657"/>
      <c r="N134" s="2657"/>
      <c r="O134" s="2657"/>
      <c r="P134" s="2657"/>
      <c r="Q134" s="2657"/>
      <c r="R134" s="2658"/>
      <c r="S134" s="3649"/>
      <c r="T134" s="3649"/>
      <c r="U134" s="3649"/>
      <c r="V134" s="3649"/>
      <c r="W134" s="3649"/>
      <c r="X134" s="3649"/>
      <c r="Y134" s="3649"/>
      <c r="Z134" s="3649"/>
      <c r="AA134" s="3649"/>
      <c r="AB134" s="3649"/>
      <c r="AC134" s="3649"/>
      <c r="AD134" s="3649"/>
      <c r="AE134" s="3649"/>
      <c r="AF134" s="3649"/>
      <c r="AG134" s="3649"/>
      <c r="AH134" s="3649"/>
      <c r="AI134" s="3649"/>
      <c r="AJ134" s="3649"/>
      <c r="AK134" s="3649"/>
      <c r="AL134" s="3649"/>
      <c r="AM134" s="3649"/>
      <c r="AN134" s="3649"/>
      <c r="AO134" s="3649"/>
      <c r="AP134" s="3649"/>
      <c r="AQ134" s="3649"/>
      <c r="AR134" s="3649"/>
      <c r="AS134" s="3649"/>
      <c r="AT134" s="3649"/>
      <c r="AU134" s="3649"/>
      <c r="AV134" s="3649"/>
      <c r="AW134" s="3649"/>
      <c r="AX134" s="3649"/>
      <c r="AY134" s="3649"/>
      <c r="AZ134" s="3649"/>
      <c r="BA134" s="3649"/>
      <c r="BB134" s="3649"/>
      <c r="BC134" s="3649"/>
      <c r="BD134" s="3649"/>
      <c r="BE134" s="3649"/>
      <c r="BF134" s="3649"/>
      <c r="BG134" s="3649"/>
      <c r="BH134" s="3649"/>
      <c r="BI134" s="3649"/>
      <c r="BJ134" s="3649"/>
      <c r="BK134" s="3649"/>
      <c r="BL134" s="3649"/>
      <c r="BM134" s="3649"/>
      <c r="BN134" s="3649"/>
      <c r="BO134" s="3649"/>
      <c r="BP134" s="3649"/>
      <c r="BQ134" s="3649"/>
      <c r="BR134" s="3649"/>
      <c r="BS134" s="3649"/>
      <c r="BT134" s="3649"/>
      <c r="BU134" s="3649"/>
      <c r="BV134" s="3649"/>
      <c r="BW134" s="3649"/>
      <c r="BX134" s="3649"/>
      <c r="BY134" s="3649"/>
      <c r="BZ134" s="3649"/>
      <c r="CA134" s="3649"/>
      <c r="CB134" s="3649"/>
      <c r="CC134" s="3649"/>
      <c r="CD134" s="3649"/>
      <c r="CE134" s="3649"/>
      <c r="CF134" s="3649"/>
      <c r="CG134" s="3649"/>
      <c r="CH134" s="3649"/>
      <c r="CI134" s="3649"/>
      <c r="CJ134" s="2977"/>
    </row>
    <row r="135" spans="1:88">
      <c r="A135" s="53">
        <v>2004.06</v>
      </c>
      <c r="B135" s="613">
        <v>86.943991966468332</v>
      </c>
      <c r="C135" s="3532">
        <v>89.171328281714693</v>
      </c>
      <c r="D135" s="360"/>
      <c r="E135" s="361"/>
      <c r="F135" s="2657"/>
      <c r="G135" s="2657"/>
      <c r="H135" s="2657"/>
      <c r="I135" s="2657"/>
      <c r="J135" s="2657"/>
      <c r="K135" s="2657"/>
      <c r="L135" s="2657"/>
      <c r="M135" s="2657"/>
      <c r="N135" s="2657"/>
      <c r="O135" s="2657"/>
      <c r="P135" s="2657"/>
      <c r="Q135" s="2657"/>
      <c r="R135" s="2658"/>
      <c r="S135" s="3649"/>
      <c r="T135" s="3649"/>
      <c r="U135" s="3649"/>
      <c r="V135" s="3649"/>
      <c r="W135" s="3649"/>
      <c r="X135" s="3649"/>
      <c r="Y135" s="3649"/>
      <c r="Z135" s="3649"/>
      <c r="AA135" s="3649"/>
      <c r="AB135" s="3649"/>
      <c r="AC135" s="3649"/>
      <c r="AD135" s="3649"/>
      <c r="AE135" s="3649"/>
      <c r="AF135" s="3649"/>
      <c r="AG135" s="3649"/>
      <c r="AH135" s="3649"/>
      <c r="AI135" s="3649"/>
      <c r="AJ135" s="3649"/>
      <c r="AK135" s="3649"/>
      <c r="AL135" s="3649"/>
      <c r="AM135" s="3649"/>
      <c r="AN135" s="3649"/>
      <c r="AO135" s="3649"/>
      <c r="AP135" s="3649"/>
      <c r="AQ135" s="3649"/>
      <c r="AR135" s="3649"/>
      <c r="AS135" s="3649"/>
      <c r="AT135" s="3649"/>
      <c r="AU135" s="3649"/>
      <c r="AV135" s="3649"/>
      <c r="AW135" s="3649"/>
      <c r="AX135" s="3649"/>
      <c r="AY135" s="3649"/>
      <c r="AZ135" s="3649"/>
      <c r="BA135" s="3649"/>
      <c r="BB135" s="3649"/>
      <c r="BC135" s="3649"/>
      <c r="BD135" s="3649"/>
      <c r="BE135" s="3649"/>
      <c r="BF135" s="3649"/>
      <c r="BG135" s="3649"/>
      <c r="BH135" s="3649"/>
      <c r="BI135" s="3649"/>
      <c r="BJ135" s="3649"/>
      <c r="BK135" s="3649"/>
      <c r="BL135" s="3649"/>
      <c r="BM135" s="3649"/>
      <c r="BN135" s="3649"/>
      <c r="BO135" s="3649"/>
      <c r="BP135" s="3649"/>
      <c r="BQ135" s="3649"/>
      <c r="BR135" s="3649"/>
      <c r="BS135" s="3649"/>
      <c r="BT135" s="3649"/>
      <c r="BU135" s="3649"/>
      <c r="BV135" s="3649"/>
      <c r="BW135" s="3649"/>
      <c r="BX135" s="3649"/>
      <c r="BY135" s="3649"/>
      <c r="BZ135" s="3649"/>
      <c r="CA135" s="3649"/>
      <c r="CB135" s="3649"/>
      <c r="CC135" s="3649"/>
      <c r="CD135" s="3649"/>
      <c r="CE135" s="3649"/>
      <c r="CF135" s="3649"/>
      <c r="CG135" s="3649"/>
      <c r="CH135" s="3649"/>
      <c r="CI135" s="3649"/>
      <c r="CJ135" s="2977"/>
    </row>
    <row r="136" spans="1:88">
      <c r="A136" s="53">
        <v>2004.07</v>
      </c>
      <c r="B136" s="613">
        <v>91.278776906252986</v>
      </c>
      <c r="C136" s="3532">
        <v>90.655106828030213</v>
      </c>
      <c r="D136" s="360"/>
      <c r="E136" s="361"/>
      <c r="F136" s="2657"/>
      <c r="G136" s="2657"/>
      <c r="H136" s="2657"/>
      <c r="I136" s="2657"/>
      <c r="J136" s="2657"/>
      <c r="K136" s="2657"/>
      <c r="L136" s="2657"/>
      <c r="M136" s="2657"/>
      <c r="N136" s="2657"/>
      <c r="O136" s="2657"/>
      <c r="P136" s="2657"/>
      <c r="Q136" s="2657"/>
      <c r="R136" s="2658"/>
      <c r="S136" s="3649"/>
      <c r="T136" s="3649"/>
      <c r="U136" s="3649"/>
      <c r="V136" s="3649"/>
      <c r="W136" s="3649"/>
      <c r="X136" s="3649"/>
      <c r="Y136" s="3649"/>
      <c r="Z136" s="3649"/>
      <c r="AA136" s="3649"/>
      <c r="AB136" s="3649"/>
      <c r="AC136" s="3649"/>
      <c r="AD136" s="3649"/>
      <c r="AE136" s="3649"/>
      <c r="AF136" s="3649"/>
      <c r="AG136" s="3649"/>
      <c r="AH136" s="3649"/>
      <c r="AI136" s="3649"/>
      <c r="AJ136" s="3649"/>
      <c r="AK136" s="3649"/>
      <c r="AL136" s="3649"/>
      <c r="AM136" s="3649"/>
      <c r="AN136" s="3649"/>
      <c r="AO136" s="3649"/>
      <c r="AP136" s="3649"/>
      <c r="AQ136" s="3649"/>
      <c r="AR136" s="3649"/>
      <c r="AS136" s="3649"/>
      <c r="AT136" s="3649"/>
      <c r="AU136" s="3649"/>
      <c r="AV136" s="3649"/>
      <c r="AW136" s="3649"/>
      <c r="AX136" s="3649"/>
      <c r="AY136" s="3649"/>
      <c r="AZ136" s="3649"/>
      <c r="BA136" s="3649"/>
      <c r="BB136" s="3649"/>
      <c r="BC136" s="3649"/>
      <c r="BD136" s="3649"/>
      <c r="BE136" s="3649"/>
      <c r="BF136" s="3649"/>
      <c r="BG136" s="3649"/>
      <c r="BH136" s="3649"/>
      <c r="BI136" s="3649"/>
      <c r="BJ136" s="3649"/>
      <c r="BK136" s="3649"/>
      <c r="BL136" s="3649"/>
      <c r="BM136" s="3649"/>
      <c r="BN136" s="3649"/>
      <c r="BO136" s="3649"/>
      <c r="BP136" s="3649"/>
      <c r="BQ136" s="3649"/>
      <c r="BR136" s="3649"/>
      <c r="BS136" s="3649"/>
      <c r="BT136" s="3649"/>
      <c r="BU136" s="3649"/>
      <c r="BV136" s="3649"/>
      <c r="BW136" s="3649"/>
      <c r="BX136" s="3649"/>
      <c r="BY136" s="3649"/>
      <c r="BZ136" s="3649"/>
      <c r="CA136" s="3649"/>
      <c r="CB136" s="3649"/>
      <c r="CC136" s="3649"/>
      <c r="CD136" s="3649"/>
      <c r="CE136" s="3649"/>
      <c r="CF136" s="3649"/>
      <c r="CG136" s="3649"/>
      <c r="CH136" s="3649"/>
      <c r="CI136" s="3649"/>
      <c r="CJ136" s="2977"/>
    </row>
    <row r="137" spans="1:88">
      <c r="A137" s="53">
        <v>2004.08</v>
      </c>
      <c r="B137" s="613">
        <v>92.396096174741629</v>
      </c>
      <c r="C137" s="3532">
        <v>90.903226137424028</v>
      </c>
      <c r="D137" s="360"/>
      <c r="E137" s="361"/>
      <c r="F137" s="2657"/>
      <c r="G137" s="2657"/>
      <c r="H137" s="2657"/>
      <c r="I137" s="2657"/>
      <c r="J137" s="2657"/>
      <c r="K137" s="2657"/>
      <c r="L137" s="2657"/>
      <c r="M137" s="2657"/>
      <c r="N137" s="2657"/>
      <c r="O137" s="2657"/>
      <c r="P137" s="2657"/>
      <c r="Q137" s="2657"/>
      <c r="R137" s="2658"/>
      <c r="S137" s="3649"/>
      <c r="T137" s="3649"/>
      <c r="U137" s="3649"/>
      <c r="V137" s="3649"/>
      <c r="W137" s="3649"/>
      <c r="X137" s="3649"/>
      <c r="Y137" s="3649"/>
      <c r="Z137" s="3649"/>
      <c r="AA137" s="3649"/>
      <c r="AB137" s="3649"/>
      <c r="AC137" s="3649"/>
      <c r="AD137" s="3649"/>
      <c r="AE137" s="3649"/>
      <c r="AF137" s="3649"/>
      <c r="AG137" s="3649"/>
      <c r="AH137" s="3649"/>
      <c r="AI137" s="3649"/>
      <c r="AJ137" s="3649"/>
      <c r="AK137" s="3649"/>
      <c r="AL137" s="3649"/>
      <c r="AM137" s="3649"/>
      <c r="AN137" s="3649"/>
      <c r="AO137" s="3649"/>
      <c r="AP137" s="3649"/>
      <c r="AQ137" s="3649"/>
      <c r="AR137" s="3649"/>
      <c r="AS137" s="3649"/>
      <c r="AT137" s="3649"/>
      <c r="AU137" s="3649"/>
      <c r="AV137" s="3649"/>
      <c r="AW137" s="3649"/>
      <c r="AX137" s="3649"/>
      <c r="AY137" s="3649"/>
      <c r="AZ137" s="3649"/>
      <c r="BA137" s="3649"/>
      <c r="BB137" s="3649"/>
      <c r="BC137" s="3649"/>
      <c r="BD137" s="3649"/>
      <c r="BE137" s="3649"/>
      <c r="BF137" s="3649"/>
      <c r="BG137" s="3649"/>
      <c r="BH137" s="3649"/>
      <c r="BI137" s="3649"/>
      <c r="BJ137" s="3649"/>
      <c r="BK137" s="3649"/>
      <c r="BL137" s="3649"/>
      <c r="BM137" s="3649"/>
      <c r="BN137" s="3649"/>
      <c r="BO137" s="3649"/>
      <c r="BP137" s="3649"/>
      <c r="BQ137" s="3649"/>
      <c r="BR137" s="3649"/>
      <c r="BS137" s="3649"/>
      <c r="BT137" s="3649"/>
      <c r="BU137" s="3649"/>
      <c r="BV137" s="3649"/>
      <c r="BW137" s="3649"/>
      <c r="BX137" s="3649"/>
      <c r="BY137" s="3649"/>
      <c r="BZ137" s="3649"/>
      <c r="CA137" s="3649"/>
      <c r="CB137" s="3649"/>
      <c r="CC137" s="3649"/>
      <c r="CD137" s="3649"/>
      <c r="CE137" s="3649"/>
      <c r="CF137" s="3649"/>
      <c r="CG137" s="3649"/>
      <c r="CH137" s="3649"/>
      <c r="CI137" s="3649"/>
      <c r="CJ137" s="2977"/>
    </row>
    <row r="138" spans="1:88">
      <c r="A138" s="53">
        <v>2004.09</v>
      </c>
      <c r="B138" s="613">
        <v>92.137457455184077</v>
      </c>
      <c r="C138" s="3532">
        <v>90.918441855103367</v>
      </c>
      <c r="D138" s="360"/>
      <c r="E138" s="361"/>
      <c r="F138" s="2657"/>
      <c r="G138" s="2657"/>
      <c r="H138" s="2657"/>
      <c r="I138" s="2657"/>
      <c r="J138" s="2657"/>
      <c r="K138" s="2657"/>
      <c r="L138" s="2657"/>
      <c r="M138" s="2657"/>
      <c r="N138" s="2657"/>
      <c r="O138" s="2657"/>
      <c r="P138" s="2657"/>
      <c r="Q138" s="2657"/>
      <c r="R138" s="2658"/>
      <c r="S138" s="3649"/>
      <c r="T138" s="3649"/>
      <c r="U138" s="3649"/>
      <c r="V138" s="3649"/>
      <c r="W138" s="3649"/>
      <c r="X138" s="3649"/>
      <c r="Y138" s="3649"/>
      <c r="Z138" s="3649"/>
      <c r="AA138" s="3649"/>
      <c r="AB138" s="3649"/>
      <c r="AC138" s="3649"/>
      <c r="AD138" s="3649"/>
      <c r="AE138" s="3649"/>
      <c r="AF138" s="3649"/>
      <c r="AG138" s="3649"/>
      <c r="AH138" s="3649"/>
      <c r="AI138" s="3649"/>
      <c r="AJ138" s="3649"/>
      <c r="AK138" s="3649"/>
      <c r="AL138" s="3649"/>
      <c r="AM138" s="3649"/>
      <c r="AN138" s="3649"/>
      <c r="AO138" s="3649"/>
      <c r="AP138" s="3649"/>
      <c r="AQ138" s="3649"/>
      <c r="AR138" s="3649"/>
      <c r="AS138" s="3649"/>
      <c r="AT138" s="3649"/>
      <c r="AU138" s="3649"/>
      <c r="AV138" s="3649"/>
      <c r="AW138" s="3649"/>
      <c r="AX138" s="3649"/>
      <c r="AY138" s="3649"/>
      <c r="AZ138" s="3649"/>
      <c r="BA138" s="3649"/>
      <c r="BB138" s="3649"/>
      <c r="BC138" s="3649"/>
      <c r="BD138" s="3649"/>
      <c r="BE138" s="3649"/>
      <c r="BF138" s="3649"/>
      <c r="BG138" s="3649"/>
      <c r="BH138" s="3649"/>
      <c r="BI138" s="3649"/>
      <c r="BJ138" s="3649"/>
      <c r="BK138" s="3649"/>
      <c r="BL138" s="3649"/>
      <c r="BM138" s="3649"/>
      <c r="BN138" s="3649"/>
      <c r="BO138" s="3649"/>
      <c r="BP138" s="3649"/>
      <c r="BQ138" s="3649"/>
      <c r="BR138" s="3649"/>
      <c r="BS138" s="3649"/>
      <c r="BT138" s="3649"/>
      <c r="BU138" s="3649"/>
      <c r="BV138" s="3649"/>
      <c r="BW138" s="3649"/>
      <c r="BX138" s="3649"/>
      <c r="BY138" s="3649"/>
      <c r="BZ138" s="3649"/>
      <c r="CA138" s="3649"/>
      <c r="CB138" s="3649"/>
      <c r="CC138" s="3649"/>
      <c r="CD138" s="3649"/>
      <c r="CE138" s="3649"/>
      <c r="CF138" s="3649"/>
      <c r="CG138" s="3649"/>
      <c r="CH138" s="3649"/>
      <c r="CI138" s="3649"/>
      <c r="CJ138" s="2977"/>
    </row>
    <row r="139" spans="1:88">
      <c r="A139" s="53">
        <v>2004.1</v>
      </c>
      <c r="B139" s="613">
        <v>93.854818553046243</v>
      </c>
      <c r="C139" s="3532">
        <v>92.097400388014549</v>
      </c>
      <c r="D139" s="360"/>
      <c r="E139" s="361"/>
      <c r="F139" s="2657"/>
      <c r="G139" s="2657"/>
      <c r="H139" s="2657"/>
      <c r="I139" s="2657"/>
      <c r="J139" s="2657"/>
      <c r="K139" s="2657"/>
      <c r="L139" s="2657"/>
      <c r="M139" s="2657"/>
      <c r="N139" s="2657"/>
      <c r="O139" s="2657"/>
      <c r="P139" s="2657"/>
      <c r="Q139" s="2657"/>
      <c r="R139" s="2658"/>
      <c r="S139" s="3649"/>
      <c r="T139" s="3649"/>
      <c r="U139" s="3649"/>
      <c r="V139" s="3649"/>
      <c r="W139" s="3649"/>
      <c r="X139" s="3649"/>
      <c r="Y139" s="3649"/>
      <c r="Z139" s="3649"/>
      <c r="AA139" s="3649"/>
      <c r="AB139" s="3649"/>
      <c r="AC139" s="3649"/>
      <c r="AD139" s="3649"/>
      <c r="AE139" s="3649"/>
      <c r="AF139" s="3649"/>
      <c r="AG139" s="3649"/>
      <c r="AH139" s="3649"/>
      <c r="AI139" s="3649"/>
      <c r="AJ139" s="3649"/>
      <c r="AK139" s="3649"/>
      <c r="AL139" s="3649"/>
      <c r="AM139" s="3649"/>
      <c r="AN139" s="3649"/>
      <c r="AO139" s="3649"/>
      <c r="AP139" s="3649"/>
      <c r="AQ139" s="3649"/>
      <c r="AR139" s="3649"/>
      <c r="AS139" s="3649"/>
      <c r="AT139" s="3649"/>
      <c r="AU139" s="3649"/>
      <c r="AV139" s="3649"/>
      <c r="AW139" s="3649"/>
      <c r="AX139" s="3649"/>
      <c r="AY139" s="3649"/>
      <c r="AZ139" s="3649"/>
      <c r="BA139" s="3649"/>
      <c r="BB139" s="3649"/>
      <c r="BC139" s="3649"/>
      <c r="BD139" s="3649"/>
      <c r="BE139" s="3649"/>
      <c r="BF139" s="3649"/>
      <c r="BG139" s="3649"/>
      <c r="BH139" s="3649"/>
      <c r="BI139" s="3649"/>
      <c r="BJ139" s="3649"/>
      <c r="BK139" s="3649"/>
      <c r="BL139" s="3649"/>
      <c r="BM139" s="3649"/>
      <c r="BN139" s="3649"/>
      <c r="BO139" s="3649"/>
      <c r="BP139" s="3649"/>
      <c r="BQ139" s="3649"/>
      <c r="BR139" s="3649"/>
      <c r="BS139" s="3649"/>
      <c r="BT139" s="3649"/>
      <c r="BU139" s="3649"/>
      <c r="BV139" s="3649"/>
      <c r="BW139" s="3649"/>
      <c r="BX139" s="3649"/>
      <c r="BY139" s="3649"/>
      <c r="BZ139" s="3649"/>
      <c r="CA139" s="3649"/>
      <c r="CB139" s="3649"/>
      <c r="CC139" s="3649"/>
      <c r="CD139" s="3649"/>
      <c r="CE139" s="3649"/>
      <c r="CF139" s="3649"/>
      <c r="CG139" s="3649"/>
      <c r="CH139" s="3649"/>
      <c r="CI139" s="3649"/>
      <c r="CJ139" s="2977"/>
    </row>
    <row r="140" spans="1:88">
      <c r="A140" s="53">
        <v>2004.11</v>
      </c>
      <c r="B140" s="613">
        <v>91.982274223449522</v>
      </c>
      <c r="C140" s="3532">
        <v>92.255459318896669</v>
      </c>
      <c r="D140" s="360"/>
      <c r="E140" s="361"/>
      <c r="F140" s="2657"/>
      <c r="G140" s="2657"/>
      <c r="H140" s="2657"/>
      <c r="I140" s="2657"/>
      <c r="J140" s="2657"/>
      <c r="K140" s="2657"/>
      <c r="L140" s="2657"/>
      <c r="M140" s="2657"/>
      <c r="N140" s="2657"/>
      <c r="O140" s="2657"/>
      <c r="P140" s="2657"/>
      <c r="Q140" s="2657"/>
      <c r="R140" s="2658"/>
      <c r="S140" s="3649"/>
      <c r="T140" s="3649"/>
      <c r="U140" s="3649"/>
      <c r="V140" s="3649"/>
      <c r="W140" s="3649"/>
      <c r="X140" s="3649"/>
      <c r="Y140" s="3649"/>
      <c r="Z140" s="3649"/>
      <c r="AA140" s="3649"/>
      <c r="AB140" s="3649"/>
      <c r="AC140" s="3649"/>
      <c r="AD140" s="3649"/>
      <c r="AE140" s="3649"/>
      <c r="AF140" s="3649"/>
      <c r="AG140" s="3649"/>
      <c r="AH140" s="3649"/>
      <c r="AI140" s="3649"/>
      <c r="AJ140" s="3649"/>
      <c r="AK140" s="3649"/>
      <c r="AL140" s="3649"/>
      <c r="AM140" s="3649"/>
      <c r="AN140" s="3649"/>
      <c r="AO140" s="3649"/>
      <c r="AP140" s="3649"/>
      <c r="AQ140" s="3649"/>
      <c r="AR140" s="3649"/>
      <c r="AS140" s="3649"/>
      <c r="AT140" s="3649"/>
      <c r="AU140" s="3649"/>
      <c r="AV140" s="3649"/>
      <c r="AW140" s="3649"/>
      <c r="AX140" s="3649"/>
      <c r="AY140" s="3649"/>
      <c r="AZ140" s="3649"/>
      <c r="BA140" s="3649"/>
      <c r="BB140" s="3649"/>
      <c r="BC140" s="3649"/>
      <c r="BD140" s="3649"/>
      <c r="BE140" s="3649"/>
      <c r="BF140" s="3649"/>
      <c r="BG140" s="3649"/>
      <c r="BH140" s="3649"/>
      <c r="BI140" s="3649"/>
      <c r="BJ140" s="3649"/>
      <c r="BK140" s="3649"/>
      <c r="BL140" s="3649"/>
      <c r="BM140" s="3649"/>
      <c r="BN140" s="3649"/>
      <c r="BO140" s="3649"/>
      <c r="BP140" s="3649"/>
      <c r="BQ140" s="3649"/>
      <c r="BR140" s="3649"/>
      <c r="BS140" s="3649"/>
      <c r="BT140" s="3649"/>
      <c r="BU140" s="3649"/>
      <c r="BV140" s="3649"/>
      <c r="BW140" s="3649"/>
      <c r="BX140" s="3649"/>
      <c r="BY140" s="3649"/>
      <c r="BZ140" s="3649"/>
      <c r="CA140" s="3649"/>
      <c r="CB140" s="3649"/>
      <c r="CC140" s="3649"/>
      <c r="CD140" s="3649"/>
      <c r="CE140" s="3649"/>
      <c r="CF140" s="3649"/>
      <c r="CG140" s="3649"/>
      <c r="CH140" s="3649"/>
      <c r="CI140" s="3649"/>
      <c r="CJ140" s="2977"/>
    </row>
    <row r="141" spans="1:88">
      <c r="A141" s="53">
        <v>2004.12</v>
      </c>
      <c r="B141" s="613">
        <v>89.592452454737696</v>
      </c>
      <c r="C141" s="3532">
        <v>92.619031970350193</v>
      </c>
      <c r="D141" s="360"/>
      <c r="E141" s="361"/>
      <c r="F141" s="2657"/>
      <c r="G141" s="2657"/>
      <c r="H141" s="2657"/>
      <c r="I141" s="2657"/>
      <c r="J141" s="2657"/>
      <c r="K141" s="2657"/>
      <c r="L141" s="2657"/>
      <c r="M141" s="2657"/>
      <c r="N141" s="2657"/>
      <c r="O141" s="2657"/>
      <c r="P141" s="2657"/>
      <c r="Q141" s="2657"/>
      <c r="R141" s="2658"/>
      <c r="S141" s="3649"/>
      <c r="T141" s="3649"/>
      <c r="U141" s="3649"/>
      <c r="V141" s="3649"/>
      <c r="W141" s="3649"/>
      <c r="X141" s="3649"/>
      <c r="Y141" s="3649"/>
      <c r="Z141" s="3649"/>
      <c r="AA141" s="3649"/>
      <c r="AB141" s="3649"/>
      <c r="AC141" s="3649"/>
      <c r="AD141" s="3649"/>
      <c r="AE141" s="3649"/>
      <c r="AF141" s="3649"/>
      <c r="AG141" s="3649"/>
      <c r="AH141" s="3649"/>
      <c r="AI141" s="3649"/>
      <c r="AJ141" s="3649"/>
      <c r="AK141" s="3649"/>
      <c r="AL141" s="3649"/>
      <c r="AM141" s="3649"/>
      <c r="AN141" s="3649"/>
      <c r="AO141" s="3649"/>
      <c r="AP141" s="3649"/>
      <c r="AQ141" s="3649"/>
      <c r="AR141" s="3649"/>
      <c r="AS141" s="3649"/>
      <c r="AT141" s="3649"/>
      <c r="AU141" s="3649"/>
      <c r="AV141" s="3649"/>
      <c r="AW141" s="3649"/>
      <c r="AX141" s="3649"/>
      <c r="AY141" s="3649"/>
      <c r="AZ141" s="3649"/>
      <c r="BA141" s="3649"/>
      <c r="BB141" s="3649"/>
      <c r="BC141" s="3649"/>
      <c r="BD141" s="3649"/>
      <c r="BE141" s="3649"/>
      <c r="BF141" s="3649"/>
      <c r="BG141" s="3649"/>
      <c r="BH141" s="3649"/>
      <c r="BI141" s="3649"/>
      <c r="BJ141" s="3649"/>
      <c r="BK141" s="3649"/>
      <c r="BL141" s="3649"/>
      <c r="BM141" s="3649"/>
      <c r="BN141" s="3649"/>
      <c r="BO141" s="3649"/>
      <c r="BP141" s="3649"/>
      <c r="BQ141" s="3649"/>
      <c r="BR141" s="3649"/>
      <c r="BS141" s="3649"/>
      <c r="BT141" s="3649"/>
      <c r="BU141" s="3649"/>
      <c r="BV141" s="3649"/>
      <c r="BW141" s="3649"/>
      <c r="BX141" s="3649"/>
      <c r="BY141" s="3649"/>
      <c r="BZ141" s="3649"/>
      <c r="CA141" s="3649"/>
      <c r="CB141" s="3649"/>
      <c r="CC141" s="3649"/>
      <c r="CD141" s="3649"/>
      <c r="CE141" s="3649"/>
      <c r="CF141" s="3649"/>
      <c r="CG141" s="3649"/>
      <c r="CH141" s="3649"/>
      <c r="CI141" s="3649"/>
      <c r="CJ141" s="2977"/>
    </row>
    <row r="142" spans="1:88">
      <c r="A142" s="53">
        <v>2005.01</v>
      </c>
      <c r="B142" s="613">
        <v>86.830190929863008</v>
      </c>
      <c r="C142" s="3532">
        <v>93.547064187163073</v>
      </c>
      <c r="D142" s="360"/>
      <c r="E142" s="361"/>
      <c r="F142" s="2657"/>
      <c r="G142" s="2657"/>
      <c r="H142" s="2657"/>
      <c r="I142" s="2657"/>
      <c r="J142" s="2657"/>
      <c r="K142" s="2657"/>
      <c r="L142" s="2657"/>
      <c r="M142" s="2657"/>
      <c r="N142" s="2657"/>
      <c r="O142" s="2657"/>
      <c r="P142" s="2657"/>
      <c r="Q142" s="2657"/>
      <c r="R142" s="2658"/>
      <c r="S142" s="3649"/>
      <c r="T142" s="3649"/>
      <c r="U142" s="3649"/>
      <c r="V142" s="3649"/>
      <c r="W142" s="3649"/>
      <c r="X142" s="3649"/>
      <c r="Y142" s="3649"/>
      <c r="Z142" s="3649"/>
      <c r="AA142" s="3649"/>
      <c r="AB142" s="3649"/>
      <c r="AC142" s="3649"/>
      <c r="AD142" s="3649"/>
      <c r="AE142" s="3649"/>
      <c r="AF142" s="3649"/>
      <c r="AG142" s="3649"/>
      <c r="AH142" s="3649"/>
      <c r="AI142" s="3649"/>
      <c r="AJ142" s="3649"/>
      <c r="AK142" s="3649"/>
      <c r="AL142" s="3649"/>
      <c r="AM142" s="3649"/>
      <c r="AN142" s="3649"/>
      <c r="AO142" s="3649"/>
      <c r="AP142" s="3649"/>
      <c r="AQ142" s="3649"/>
      <c r="AR142" s="3649"/>
      <c r="AS142" s="3649"/>
      <c r="AT142" s="3649"/>
      <c r="AU142" s="3649"/>
      <c r="AV142" s="3649"/>
      <c r="AW142" s="3649"/>
      <c r="AX142" s="3649"/>
      <c r="AY142" s="3649"/>
      <c r="AZ142" s="3649"/>
      <c r="BA142" s="3649"/>
      <c r="BB142" s="3649"/>
      <c r="BC142" s="3649"/>
      <c r="BD142" s="3649"/>
      <c r="BE142" s="3649"/>
      <c r="BF142" s="3649"/>
      <c r="BG142" s="3649"/>
      <c r="BH142" s="3649"/>
      <c r="BI142" s="3649"/>
      <c r="BJ142" s="3649"/>
      <c r="BK142" s="3649"/>
      <c r="BL142" s="3649"/>
      <c r="BM142" s="3649"/>
      <c r="BN142" s="3649"/>
      <c r="BO142" s="3649"/>
      <c r="BP142" s="3649"/>
      <c r="BQ142" s="3649"/>
      <c r="BR142" s="3649"/>
      <c r="BS142" s="3649"/>
      <c r="BT142" s="3649"/>
      <c r="BU142" s="3649"/>
      <c r="BV142" s="3649"/>
      <c r="BW142" s="3649"/>
      <c r="BX142" s="3649"/>
      <c r="BY142" s="3649"/>
      <c r="BZ142" s="3649"/>
      <c r="CA142" s="3649"/>
      <c r="CB142" s="3649"/>
      <c r="CC142" s="3649"/>
      <c r="CD142" s="3649"/>
      <c r="CE142" s="3649"/>
      <c r="CF142" s="3649"/>
      <c r="CG142" s="3649"/>
      <c r="CH142" s="3649"/>
      <c r="CI142" s="3649"/>
      <c r="CJ142" s="2977"/>
    </row>
    <row r="143" spans="1:88">
      <c r="A143" s="53">
        <v>2005.02</v>
      </c>
      <c r="B143" s="613">
        <v>83.819636234213036</v>
      </c>
      <c r="C143" s="3532">
        <v>93.619549476743131</v>
      </c>
      <c r="D143" s="360"/>
      <c r="E143" s="361"/>
      <c r="F143" s="2657"/>
      <c r="G143" s="2657"/>
      <c r="H143" s="2657"/>
      <c r="I143" s="2657"/>
      <c r="J143" s="2657"/>
      <c r="K143" s="2657"/>
      <c r="L143" s="2657"/>
      <c r="M143" s="2657"/>
      <c r="N143" s="2657"/>
      <c r="O143" s="2657"/>
      <c r="P143" s="2657"/>
      <c r="Q143" s="2657"/>
      <c r="R143" s="2658"/>
      <c r="S143" s="3649"/>
      <c r="T143" s="3649"/>
      <c r="U143" s="3649"/>
      <c r="V143" s="3649"/>
      <c r="W143" s="3649"/>
      <c r="X143" s="3649"/>
      <c r="Y143" s="3649"/>
      <c r="Z143" s="3649"/>
      <c r="AA143" s="3649"/>
      <c r="AB143" s="3649"/>
      <c r="AC143" s="3649"/>
      <c r="AD143" s="3649"/>
      <c r="AE143" s="3649"/>
      <c r="AF143" s="3649"/>
      <c r="AG143" s="3649"/>
      <c r="AH143" s="3649"/>
      <c r="AI143" s="3649"/>
      <c r="AJ143" s="3649"/>
      <c r="AK143" s="3649"/>
      <c r="AL143" s="3649"/>
      <c r="AM143" s="3649"/>
      <c r="AN143" s="3649"/>
      <c r="AO143" s="3649"/>
      <c r="AP143" s="3649"/>
      <c r="AQ143" s="3649"/>
      <c r="AR143" s="3649"/>
      <c r="AS143" s="3649"/>
      <c r="AT143" s="3649"/>
      <c r="AU143" s="3649"/>
      <c r="AV143" s="3649"/>
      <c r="AW143" s="3649"/>
      <c r="AX143" s="3649"/>
      <c r="AY143" s="3649"/>
      <c r="AZ143" s="3649"/>
      <c r="BA143" s="3649"/>
      <c r="BB143" s="3649"/>
      <c r="BC143" s="3649"/>
      <c r="BD143" s="3649"/>
      <c r="BE143" s="3649"/>
      <c r="BF143" s="3649"/>
      <c r="BG143" s="3649"/>
      <c r="BH143" s="3649"/>
      <c r="BI143" s="3649"/>
      <c r="BJ143" s="3649"/>
      <c r="BK143" s="3649"/>
      <c r="BL143" s="3649"/>
      <c r="BM143" s="3649"/>
      <c r="BN143" s="3649"/>
      <c r="BO143" s="3649"/>
      <c r="BP143" s="3649"/>
      <c r="BQ143" s="3649"/>
      <c r="BR143" s="3649"/>
      <c r="BS143" s="3649"/>
      <c r="BT143" s="3649"/>
      <c r="BU143" s="3649"/>
      <c r="BV143" s="3649"/>
      <c r="BW143" s="3649"/>
      <c r="BX143" s="3649"/>
      <c r="BY143" s="3649"/>
      <c r="BZ143" s="3649"/>
      <c r="CA143" s="3649"/>
      <c r="CB143" s="3649"/>
      <c r="CC143" s="3649"/>
      <c r="CD143" s="3649"/>
      <c r="CE143" s="3649"/>
      <c r="CF143" s="3649"/>
      <c r="CG143" s="3649"/>
      <c r="CH143" s="3649"/>
      <c r="CI143" s="3649"/>
      <c r="CJ143" s="2977"/>
    </row>
    <row r="144" spans="1:88">
      <c r="A144" s="53">
        <v>2005.03</v>
      </c>
      <c r="B144" s="613">
        <v>95.623907394819938</v>
      </c>
      <c r="C144" s="3532">
        <v>95.211604999787738</v>
      </c>
      <c r="D144" s="360"/>
      <c r="E144" s="361"/>
      <c r="F144" s="2657"/>
      <c r="G144" s="2657"/>
      <c r="H144" s="2657"/>
      <c r="I144" s="2657"/>
      <c r="J144" s="2657"/>
      <c r="K144" s="2657"/>
      <c r="L144" s="2657"/>
      <c r="M144" s="2657"/>
      <c r="N144" s="2657"/>
      <c r="O144" s="2657"/>
      <c r="P144" s="2657"/>
      <c r="Q144" s="2657"/>
      <c r="R144" s="2658"/>
      <c r="S144" s="3649"/>
      <c r="T144" s="3649"/>
      <c r="U144" s="3649"/>
      <c r="V144" s="3649"/>
      <c r="W144" s="3649"/>
      <c r="X144" s="3649"/>
      <c r="Y144" s="3649"/>
      <c r="Z144" s="3649"/>
      <c r="AA144" s="3649"/>
      <c r="AB144" s="3649"/>
      <c r="AC144" s="3649"/>
      <c r="AD144" s="3649"/>
      <c r="AE144" s="3649"/>
      <c r="AF144" s="3649"/>
      <c r="AG144" s="3649"/>
      <c r="AH144" s="3649"/>
      <c r="AI144" s="3649"/>
      <c r="AJ144" s="3649"/>
      <c r="AK144" s="3649"/>
      <c r="AL144" s="3649"/>
      <c r="AM144" s="3649"/>
      <c r="AN144" s="3649"/>
      <c r="AO144" s="3649"/>
      <c r="AP144" s="3649"/>
      <c r="AQ144" s="3649"/>
      <c r="AR144" s="3649"/>
      <c r="AS144" s="3649"/>
      <c r="AT144" s="3649"/>
      <c r="AU144" s="3649"/>
      <c r="AV144" s="3649"/>
      <c r="AW144" s="3649"/>
      <c r="AX144" s="3649"/>
      <c r="AY144" s="3649"/>
      <c r="AZ144" s="3649"/>
      <c r="BA144" s="3649"/>
      <c r="BB144" s="3649"/>
      <c r="BC144" s="3649"/>
      <c r="BD144" s="3649"/>
      <c r="BE144" s="3649"/>
      <c r="BF144" s="3649"/>
      <c r="BG144" s="3649"/>
      <c r="BH144" s="3649"/>
      <c r="BI144" s="3649"/>
      <c r="BJ144" s="3649"/>
      <c r="BK144" s="3649"/>
      <c r="BL144" s="3649"/>
      <c r="BM144" s="3649"/>
      <c r="BN144" s="3649"/>
      <c r="BO144" s="3649"/>
      <c r="BP144" s="3649"/>
      <c r="BQ144" s="3649"/>
      <c r="BR144" s="3649"/>
      <c r="BS144" s="3649"/>
      <c r="BT144" s="3649"/>
      <c r="BU144" s="3649"/>
      <c r="BV144" s="3649"/>
      <c r="BW144" s="3649"/>
      <c r="BX144" s="3649"/>
      <c r="BY144" s="3649"/>
      <c r="BZ144" s="3649"/>
      <c r="CA144" s="3649"/>
      <c r="CB144" s="3649"/>
      <c r="CC144" s="3649"/>
      <c r="CD144" s="3649"/>
      <c r="CE144" s="3649"/>
      <c r="CF144" s="3649"/>
      <c r="CG144" s="3649"/>
      <c r="CH144" s="3649"/>
      <c r="CI144" s="3649"/>
      <c r="CJ144" s="2977"/>
    </row>
    <row r="145" spans="1:88">
      <c r="A145" s="53">
        <v>2005.04</v>
      </c>
      <c r="B145" s="613">
        <v>94.434169284855159</v>
      </c>
      <c r="C145" s="3532">
        <v>96.671552942132749</v>
      </c>
      <c r="D145" s="360"/>
      <c r="E145" s="361"/>
      <c r="F145" s="2657"/>
      <c r="G145" s="2657"/>
      <c r="H145" s="2657"/>
      <c r="I145" s="2657"/>
      <c r="J145" s="2657"/>
      <c r="K145" s="2657"/>
      <c r="L145" s="2657"/>
      <c r="M145" s="2657"/>
      <c r="N145" s="2657"/>
      <c r="O145" s="2657"/>
      <c r="P145" s="2657"/>
      <c r="Q145" s="2657"/>
      <c r="R145" s="2658"/>
      <c r="S145" s="3649"/>
      <c r="T145" s="3649"/>
      <c r="U145" s="3649"/>
      <c r="V145" s="3649"/>
      <c r="W145" s="3649"/>
      <c r="X145" s="3649"/>
      <c r="Y145" s="3649"/>
      <c r="Z145" s="3649"/>
      <c r="AA145" s="3649"/>
      <c r="AB145" s="3649"/>
      <c r="AC145" s="3649"/>
      <c r="AD145" s="3649"/>
      <c r="AE145" s="3649"/>
      <c r="AF145" s="3649"/>
      <c r="AG145" s="3649"/>
      <c r="AH145" s="3649"/>
      <c r="AI145" s="3649"/>
      <c r="AJ145" s="3649"/>
      <c r="AK145" s="3649"/>
      <c r="AL145" s="3649"/>
      <c r="AM145" s="3649"/>
      <c r="AN145" s="3649"/>
      <c r="AO145" s="3649"/>
      <c r="AP145" s="3649"/>
      <c r="AQ145" s="3649"/>
      <c r="AR145" s="3649"/>
      <c r="AS145" s="3649"/>
      <c r="AT145" s="3649"/>
      <c r="AU145" s="3649"/>
      <c r="AV145" s="3649"/>
      <c r="AW145" s="3649"/>
      <c r="AX145" s="3649"/>
      <c r="AY145" s="3649"/>
      <c r="AZ145" s="3649"/>
      <c r="BA145" s="3649"/>
      <c r="BB145" s="3649"/>
      <c r="BC145" s="3649"/>
      <c r="BD145" s="3649"/>
      <c r="BE145" s="3649"/>
      <c r="BF145" s="3649"/>
      <c r="BG145" s="3649"/>
      <c r="BH145" s="3649"/>
      <c r="BI145" s="3649"/>
      <c r="BJ145" s="3649"/>
      <c r="BK145" s="3649"/>
      <c r="BL145" s="3649"/>
      <c r="BM145" s="3649"/>
      <c r="BN145" s="3649"/>
      <c r="BO145" s="3649"/>
      <c r="BP145" s="3649"/>
      <c r="BQ145" s="3649"/>
      <c r="BR145" s="3649"/>
      <c r="BS145" s="3649"/>
      <c r="BT145" s="3649"/>
      <c r="BU145" s="3649"/>
      <c r="BV145" s="3649"/>
      <c r="BW145" s="3649"/>
      <c r="BX145" s="3649"/>
      <c r="BY145" s="3649"/>
      <c r="BZ145" s="3649"/>
      <c r="CA145" s="3649"/>
      <c r="CB145" s="3649"/>
      <c r="CC145" s="3649"/>
      <c r="CD145" s="3649"/>
      <c r="CE145" s="3649"/>
      <c r="CF145" s="3649"/>
      <c r="CG145" s="3649"/>
      <c r="CH145" s="3649"/>
      <c r="CI145" s="3649"/>
      <c r="CJ145" s="2977"/>
    </row>
    <row r="146" spans="1:88">
      <c r="A146" s="53">
        <v>2005.05</v>
      </c>
      <c r="B146" s="613">
        <v>96.151530382717326</v>
      </c>
      <c r="C146" s="3532">
        <v>97.746018741760366</v>
      </c>
      <c r="D146" s="360"/>
      <c r="E146" s="361"/>
      <c r="F146" s="2657"/>
      <c r="G146" s="2657"/>
      <c r="H146" s="2657"/>
      <c r="I146" s="2657"/>
      <c r="J146" s="2657"/>
      <c r="K146" s="2657"/>
      <c r="L146" s="2657"/>
      <c r="M146" s="2657"/>
      <c r="N146" s="2657"/>
      <c r="O146" s="2657"/>
      <c r="P146" s="2657"/>
      <c r="Q146" s="2657"/>
      <c r="R146" s="2658"/>
      <c r="S146" s="3649"/>
      <c r="T146" s="3649"/>
      <c r="U146" s="3649"/>
      <c r="V146" s="3649"/>
      <c r="W146" s="3649"/>
      <c r="X146" s="3649"/>
      <c r="Y146" s="3649"/>
      <c r="Z146" s="3649"/>
      <c r="AA146" s="3649"/>
      <c r="AB146" s="3649"/>
      <c r="AC146" s="3649"/>
      <c r="AD146" s="3649"/>
      <c r="AE146" s="3649"/>
      <c r="AF146" s="3649"/>
      <c r="AG146" s="3649"/>
      <c r="AH146" s="3649"/>
      <c r="AI146" s="3649"/>
      <c r="AJ146" s="3649"/>
      <c r="AK146" s="3649"/>
      <c r="AL146" s="3649"/>
      <c r="AM146" s="3649"/>
      <c r="AN146" s="3649"/>
      <c r="AO146" s="3649"/>
      <c r="AP146" s="3649"/>
      <c r="AQ146" s="3649"/>
      <c r="AR146" s="3649"/>
      <c r="AS146" s="3649"/>
      <c r="AT146" s="3649"/>
      <c r="AU146" s="3649"/>
      <c r="AV146" s="3649"/>
      <c r="AW146" s="3649"/>
      <c r="AX146" s="3649"/>
      <c r="AY146" s="3649"/>
      <c r="AZ146" s="3649"/>
      <c r="BA146" s="3649"/>
      <c r="BB146" s="3649"/>
      <c r="BC146" s="3649"/>
      <c r="BD146" s="3649"/>
      <c r="BE146" s="3649"/>
      <c r="BF146" s="3649"/>
      <c r="BG146" s="3649"/>
      <c r="BH146" s="3649"/>
      <c r="BI146" s="3649"/>
      <c r="BJ146" s="3649"/>
      <c r="BK146" s="3649"/>
      <c r="BL146" s="3649"/>
      <c r="BM146" s="3649"/>
      <c r="BN146" s="3649"/>
      <c r="BO146" s="3649"/>
      <c r="BP146" s="3649"/>
      <c r="BQ146" s="3649"/>
      <c r="BR146" s="3649"/>
      <c r="BS146" s="3649"/>
      <c r="BT146" s="3649"/>
      <c r="BU146" s="3649"/>
      <c r="BV146" s="3649"/>
      <c r="BW146" s="3649"/>
      <c r="BX146" s="3649"/>
      <c r="BY146" s="3649"/>
      <c r="BZ146" s="3649"/>
      <c r="CA146" s="3649"/>
      <c r="CB146" s="3649"/>
      <c r="CC146" s="3649"/>
      <c r="CD146" s="3649"/>
      <c r="CE146" s="3649"/>
      <c r="CF146" s="3649"/>
      <c r="CG146" s="3649"/>
      <c r="CH146" s="3649"/>
      <c r="CI146" s="3649"/>
      <c r="CJ146" s="2977"/>
    </row>
    <row r="147" spans="1:88">
      <c r="A147" s="53">
        <v>2005.06</v>
      </c>
      <c r="B147" s="613">
        <v>94.051383979909957</v>
      </c>
      <c r="C147" s="3532">
        <v>96.975329559861549</v>
      </c>
      <c r="D147" s="360"/>
      <c r="E147" s="361"/>
      <c r="F147" s="2657"/>
      <c r="G147" s="2657"/>
      <c r="H147" s="2657"/>
      <c r="I147" s="2657"/>
      <c r="J147" s="2657"/>
      <c r="K147" s="2657"/>
      <c r="L147" s="2657"/>
      <c r="M147" s="2657"/>
      <c r="N147" s="2657"/>
      <c r="O147" s="2657"/>
      <c r="P147" s="2657"/>
      <c r="Q147" s="2657"/>
      <c r="R147" s="2658"/>
      <c r="S147" s="3649"/>
      <c r="T147" s="3649"/>
      <c r="U147" s="3649"/>
      <c r="V147" s="3649"/>
      <c r="W147" s="3649"/>
      <c r="X147" s="3649"/>
      <c r="Y147" s="3649"/>
      <c r="Z147" s="3649"/>
      <c r="AA147" s="3649"/>
      <c r="AB147" s="3649"/>
      <c r="AC147" s="3649"/>
      <c r="AD147" s="3649"/>
      <c r="AE147" s="3649"/>
      <c r="AF147" s="3649"/>
      <c r="AG147" s="3649"/>
      <c r="AH147" s="3649"/>
      <c r="AI147" s="3649"/>
      <c r="AJ147" s="3649"/>
      <c r="AK147" s="3649"/>
      <c r="AL147" s="3649"/>
      <c r="AM147" s="3649"/>
      <c r="AN147" s="3649"/>
      <c r="AO147" s="3649"/>
      <c r="AP147" s="3649"/>
      <c r="AQ147" s="3649"/>
      <c r="AR147" s="3649"/>
      <c r="AS147" s="3649"/>
      <c r="AT147" s="3649"/>
      <c r="AU147" s="3649"/>
      <c r="AV147" s="3649"/>
      <c r="AW147" s="3649"/>
      <c r="AX147" s="3649"/>
      <c r="AY147" s="3649"/>
      <c r="AZ147" s="3649"/>
      <c r="BA147" s="3649"/>
      <c r="BB147" s="3649"/>
      <c r="BC147" s="3649"/>
      <c r="BD147" s="3649"/>
      <c r="BE147" s="3649"/>
      <c r="BF147" s="3649"/>
      <c r="BG147" s="3649"/>
      <c r="BH147" s="3649"/>
      <c r="BI147" s="3649"/>
      <c r="BJ147" s="3649"/>
      <c r="BK147" s="3649"/>
      <c r="BL147" s="3649"/>
      <c r="BM147" s="3649"/>
      <c r="BN147" s="3649"/>
      <c r="BO147" s="3649"/>
      <c r="BP147" s="3649"/>
      <c r="BQ147" s="3649"/>
      <c r="BR147" s="3649"/>
      <c r="BS147" s="3649"/>
      <c r="BT147" s="3649"/>
      <c r="BU147" s="3649"/>
      <c r="BV147" s="3649"/>
      <c r="BW147" s="3649"/>
      <c r="BX147" s="3649"/>
      <c r="BY147" s="3649"/>
      <c r="BZ147" s="3649"/>
      <c r="CA147" s="3649"/>
      <c r="CB147" s="3649"/>
      <c r="CC147" s="3649"/>
      <c r="CD147" s="3649"/>
      <c r="CE147" s="3649"/>
      <c r="CF147" s="3649"/>
      <c r="CG147" s="3649"/>
      <c r="CH147" s="3649"/>
      <c r="CI147" s="3649"/>
      <c r="CJ147" s="2977"/>
    </row>
    <row r="148" spans="1:88">
      <c r="A148" s="53">
        <v>2005.07</v>
      </c>
      <c r="B148" s="613">
        <v>96.244640321758041</v>
      </c>
      <c r="C148" s="3532">
        <v>97.193094717045426</v>
      </c>
      <c r="D148" s="360"/>
      <c r="E148" s="361"/>
      <c r="F148" s="2657"/>
      <c r="G148" s="2657"/>
      <c r="H148" s="2657"/>
      <c r="I148" s="2657"/>
      <c r="J148" s="2657"/>
      <c r="K148" s="2657"/>
      <c r="L148" s="2657"/>
      <c r="M148" s="2657"/>
      <c r="N148" s="2657"/>
      <c r="O148" s="2657"/>
      <c r="P148" s="2657"/>
      <c r="Q148" s="2657"/>
      <c r="R148" s="2658"/>
      <c r="S148" s="3649"/>
      <c r="T148" s="3649"/>
      <c r="U148" s="3649"/>
      <c r="V148" s="3649"/>
      <c r="W148" s="3649"/>
      <c r="X148" s="3649"/>
      <c r="Y148" s="3649"/>
      <c r="Z148" s="3649"/>
      <c r="AA148" s="3649"/>
      <c r="AB148" s="3649"/>
      <c r="AC148" s="3649"/>
      <c r="AD148" s="3649"/>
      <c r="AE148" s="3649"/>
      <c r="AF148" s="3649"/>
      <c r="AG148" s="3649"/>
      <c r="AH148" s="3649"/>
      <c r="AI148" s="3649"/>
      <c r="AJ148" s="3649"/>
      <c r="AK148" s="3649"/>
      <c r="AL148" s="3649"/>
      <c r="AM148" s="3649"/>
      <c r="AN148" s="3649"/>
      <c r="AO148" s="3649"/>
      <c r="AP148" s="3649"/>
      <c r="AQ148" s="3649"/>
      <c r="AR148" s="3649"/>
      <c r="AS148" s="3649"/>
      <c r="AT148" s="3649"/>
      <c r="AU148" s="3649"/>
      <c r="AV148" s="3649"/>
      <c r="AW148" s="3649"/>
      <c r="AX148" s="3649"/>
      <c r="AY148" s="3649"/>
      <c r="AZ148" s="3649"/>
      <c r="BA148" s="3649"/>
      <c r="BB148" s="3649"/>
      <c r="BC148" s="3649"/>
      <c r="BD148" s="3649"/>
      <c r="BE148" s="3649"/>
      <c r="BF148" s="3649"/>
      <c r="BG148" s="3649"/>
      <c r="BH148" s="3649"/>
      <c r="BI148" s="3649"/>
      <c r="BJ148" s="3649"/>
      <c r="BK148" s="3649"/>
      <c r="BL148" s="3649"/>
      <c r="BM148" s="3649"/>
      <c r="BN148" s="3649"/>
      <c r="BO148" s="3649"/>
      <c r="BP148" s="3649"/>
      <c r="BQ148" s="3649"/>
      <c r="BR148" s="3649"/>
      <c r="BS148" s="3649"/>
      <c r="BT148" s="3649"/>
      <c r="BU148" s="3649"/>
      <c r="BV148" s="3649"/>
      <c r="BW148" s="3649"/>
      <c r="BX148" s="3649"/>
      <c r="BY148" s="3649"/>
      <c r="BZ148" s="3649"/>
      <c r="CA148" s="3649"/>
      <c r="CB148" s="3649"/>
      <c r="CC148" s="3649"/>
      <c r="CD148" s="3649"/>
      <c r="CE148" s="3649"/>
      <c r="CF148" s="3649"/>
      <c r="CG148" s="3649"/>
      <c r="CH148" s="3649"/>
      <c r="CI148" s="3649"/>
      <c r="CJ148" s="2977"/>
    </row>
    <row r="149" spans="1:88">
      <c r="A149" s="53">
        <v>2005.08</v>
      </c>
      <c r="B149" s="613">
        <v>99.555215932094768</v>
      </c>
      <c r="C149" s="3532">
        <v>97.387327615182954</v>
      </c>
      <c r="D149" s="360"/>
      <c r="E149" s="361"/>
      <c r="F149" s="2657"/>
      <c r="G149" s="2657"/>
      <c r="H149" s="2657"/>
      <c r="I149" s="2657"/>
      <c r="J149" s="2657"/>
      <c r="K149" s="2657"/>
      <c r="L149" s="2657"/>
      <c r="M149" s="2657"/>
      <c r="N149" s="2657"/>
      <c r="O149" s="2657"/>
      <c r="P149" s="2657"/>
      <c r="Q149" s="2657"/>
      <c r="R149" s="2658"/>
      <c r="S149" s="3649"/>
      <c r="T149" s="3649"/>
      <c r="U149" s="3649"/>
      <c r="V149" s="3649"/>
      <c r="W149" s="3649"/>
      <c r="X149" s="3649"/>
      <c r="Y149" s="3649"/>
      <c r="Z149" s="3649"/>
      <c r="AA149" s="3649"/>
      <c r="AB149" s="3649"/>
      <c r="AC149" s="3649"/>
      <c r="AD149" s="3649"/>
      <c r="AE149" s="3649"/>
      <c r="AF149" s="3649"/>
      <c r="AG149" s="3649"/>
      <c r="AH149" s="3649"/>
      <c r="AI149" s="3649"/>
      <c r="AJ149" s="3649"/>
      <c r="AK149" s="3649"/>
      <c r="AL149" s="3649"/>
      <c r="AM149" s="3649"/>
      <c r="AN149" s="3649"/>
      <c r="AO149" s="3649"/>
      <c r="AP149" s="3649"/>
      <c r="AQ149" s="3649"/>
      <c r="AR149" s="3649"/>
      <c r="AS149" s="3649"/>
      <c r="AT149" s="3649"/>
      <c r="AU149" s="3649"/>
      <c r="AV149" s="3649"/>
      <c r="AW149" s="3649"/>
      <c r="AX149" s="3649"/>
      <c r="AY149" s="3649"/>
      <c r="AZ149" s="3649"/>
      <c r="BA149" s="3649"/>
      <c r="BB149" s="3649"/>
      <c r="BC149" s="3649"/>
      <c r="BD149" s="3649"/>
      <c r="BE149" s="3649"/>
      <c r="BF149" s="3649"/>
      <c r="BG149" s="3649"/>
      <c r="BH149" s="3649"/>
      <c r="BI149" s="3649"/>
      <c r="BJ149" s="3649"/>
      <c r="BK149" s="3649"/>
      <c r="BL149" s="3649"/>
      <c r="BM149" s="3649"/>
      <c r="BN149" s="3649"/>
      <c r="BO149" s="3649"/>
      <c r="BP149" s="3649"/>
      <c r="BQ149" s="3649"/>
      <c r="BR149" s="3649"/>
      <c r="BS149" s="3649"/>
      <c r="BT149" s="3649"/>
      <c r="BU149" s="3649"/>
      <c r="BV149" s="3649"/>
      <c r="BW149" s="3649"/>
      <c r="BX149" s="3649"/>
      <c r="BY149" s="3649"/>
      <c r="BZ149" s="3649"/>
      <c r="CA149" s="3649"/>
      <c r="CB149" s="3649"/>
      <c r="CC149" s="3649"/>
      <c r="CD149" s="3649"/>
      <c r="CE149" s="3649"/>
      <c r="CF149" s="3649"/>
      <c r="CG149" s="3649"/>
      <c r="CH149" s="3649"/>
      <c r="CI149" s="3649"/>
      <c r="CJ149" s="2977"/>
    </row>
    <row r="150" spans="1:88">
      <c r="A150" s="53">
        <v>2005.09</v>
      </c>
      <c r="B150" s="613">
        <v>99.824200200434618</v>
      </c>
      <c r="C150" s="3532">
        <v>97.945516276040834</v>
      </c>
      <c r="D150" s="360"/>
      <c r="E150" s="361"/>
      <c r="F150" s="2657"/>
      <c r="G150" s="2657"/>
      <c r="H150" s="2657"/>
      <c r="I150" s="2657"/>
      <c r="J150" s="2657"/>
      <c r="K150" s="2657"/>
      <c r="L150" s="2657"/>
      <c r="M150" s="2657"/>
      <c r="N150" s="2657"/>
      <c r="O150" s="2657"/>
      <c r="P150" s="2657"/>
      <c r="Q150" s="2657"/>
      <c r="R150" s="2658"/>
      <c r="S150" s="3649"/>
      <c r="T150" s="3649"/>
      <c r="U150" s="3649"/>
      <c r="V150" s="3649"/>
      <c r="W150" s="3649"/>
      <c r="X150" s="3649"/>
      <c r="Y150" s="3649"/>
      <c r="Z150" s="3649"/>
      <c r="AA150" s="3649"/>
      <c r="AB150" s="3649"/>
      <c r="AC150" s="3649"/>
      <c r="AD150" s="3649"/>
      <c r="AE150" s="3649"/>
      <c r="AF150" s="3649"/>
      <c r="AG150" s="3649"/>
      <c r="AH150" s="3649"/>
      <c r="AI150" s="3649"/>
      <c r="AJ150" s="3649"/>
      <c r="AK150" s="3649"/>
      <c r="AL150" s="3649"/>
      <c r="AM150" s="3649"/>
      <c r="AN150" s="3649"/>
      <c r="AO150" s="3649"/>
      <c r="AP150" s="3649"/>
      <c r="AQ150" s="3649"/>
      <c r="AR150" s="3649"/>
      <c r="AS150" s="3649"/>
      <c r="AT150" s="3649"/>
      <c r="AU150" s="3649"/>
      <c r="AV150" s="3649"/>
      <c r="AW150" s="3649"/>
      <c r="AX150" s="3649"/>
      <c r="AY150" s="3649"/>
      <c r="AZ150" s="3649"/>
      <c r="BA150" s="3649"/>
      <c r="BB150" s="3649"/>
      <c r="BC150" s="3649"/>
      <c r="BD150" s="3649"/>
      <c r="BE150" s="3649"/>
      <c r="BF150" s="3649"/>
      <c r="BG150" s="3649"/>
      <c r="BH150" s="3649"/>
      <c r="BI150" s="3649"/>
      <c r="BJ150" s="3649"/>
      <c r="BK150" s="3649"/>
      <c r="BL150" s="3649"/>
      <c r="BM150" s="3649"/>
      <c r="BN150" s="3649"/>
      <c r="BO150" s="3649"/>
      <c r="BP150" s="3649"/>
      <c r="BQ150" s="3649"/>
      <c r="BR150" s="3649"/>
      <c r="BS150" s="3649"/>
      <c r="BT150" s="3649"/>
      <c r="BU150" s="3649"/>
      <c r="BV150" s="3649"/>
      <c r="BW150" s="3649"/>
      <c r="BX150" s="3649"/>
      <c r="BY150" s="3649"/>
      <c r="BZ150" s="3649"/>
      <c r="CA150" s="3649"/>
      <c r="CB150" s="3649"/>
      <c r="CC150" s="3649"/>
      <c r="CD150" s="3649"/>
      <c r="CE150" s="3649"/>
      <c r="CF150" s="3649"/>
      <c r="CG150" s="3649"/>
      <c r="CH150" s="3649"/>
      <c r="CI150" s="3649"/>
      <c r="CJ150" s="2977"/>
    </row>
    <row r="151" spans="1:88">
      <c r="A151" s="53">
        <v>2005.1</v>
      </c>
      <c r="B151" s="613">
        <v>101.23119483482772</v>
      </c>
      <c r="C151" s="3532">
        <v>99.131271639225858</v>
      </c>
      <c r="D151" s="360"/>
      <c r="E151" s="361"/>
      <c r="F151" s="2657"/>
      <c r="G151" s="2657"/>
      <c r="H151" s="2657"/>
      <c r="I151" s="2657"/>
      <c r="J151" s="2657"/>
      <c r="K151" s="2657"/>
      <c r="L151" s="2657"/>
      <c r="M151" s="2657"/>
      <c r="N151" s="2657"/>
      <c r="O151" s="2657"/>
      <c r="P151" s="2657"/>
      <c r="Q151" s="2657"/>
      <c r="R151" s="2658"/>
      <c r="S151" s="3649"/>
      <c r="T151" s="3649"/>
      <c r="U151" s="3649"/>
      <c r="V151" s="3649"/>
      <c r="W151" s="3649"/>
      <c r="X151" s="3649"/>
      <c r="Y151" s="3649"/>
      <c r="Z151" s="3649"/>
      <c r="AA151" s="3649"/>
      <c r="AB151" s="3649"/>
      <c r="AC151" s="3649"/>
      <c r="AD151" s="3649"/>
      <c r="AE151" s="3649"/>
      <c r="AF151" s="3649"/>
      <c r="AG151" s="3649"/>
      <c r="AH151" s="3649"/>
      <c r="AI151" s="3649"/>
      <c r="AJ151" s="3649"/>
      <c r="AK151" s="3649"/>
      <c r="AL151" s="3649"/>
      <c r="AM151" s="3649"/>
      <c r="AN151" s="3649"/>
      <c r="AO151" s="3649"/>
      <c r="AP151" s="3649"/>
      <c r="AQ151" s="3649"/>
      <c r="AR151" s="3649"/>
      <c r="AS151" s="3649"/>
      <c r="AT151" s="3649"/>
      <c r="AU151" s="3649"/>
      <c r="AV151" s="3649"/>
      <c r="AW151" s="3649"/>
      <c r="AX151" s="3649"/>
      <c r="AY151" s="3649"/>
      <c r="AZ151" s="3649"/>
      <c r="BA151" s="3649"/>
      <c r="BB151" s="3649"/>
      <c r="BC151" s="3649"/>
      <c r="BD151" s="3649"/>
      <c r="BE151" s="3649"/>
      <c r="BF151" s="3649"/>
      <c r="BG151" s="3649"/>
      <c r="BH151" s="3649"/>
      <c r="BI151" s="3649"/>
      <c r="BJ151" s="3649"/>
      <c r="BK151" s="3649"/>
      <c r="BL151" s="3649"/>
      <c r="BM151" s="3649"/>
      <c r="BN151" s="3649"/>
      <c r="BO151" s="3649"/>
      <c r="BP151" s="3649"/>
      <c r="BQ151" s="3649"/>
      <c r="BR151" s="3649"/>
      <c r="BS151" s="3649"/>
      <c r="BT151" s="3649"/>
      <c r="BU151" s="3649"/>
      <c r="BV151" s="3649"/>
      <c r="BW151" s="3649"/>
      <c r="BX151" s="3649"/>
      <c r="BY151" s="3649"/>
      <c r="BZ151" s="3649"/>
      <c r="CA151" s="3649"/>
      <c r="CB151" s="3649"/>
      <c r="CC151" s="3649"/>
      <c r="CD151" s="3649"/>
      <c r="CE151" s="3649"/>
      <c r="CF151" s="3649"/>
      <c r="CG151" s="3649"/>
      <c r="CH151" s="3649"/>
      <c r="CI151" s="3649"/>
      <c r="CJ151" s="2977"/>
    </row>
    <row r="152" spans="1:88">
      <c r="A152" s="53">
        <v>2005.11</v>
      </c>
      <c r="B152" s="613">
        <v>100.91048282257637</v>
      </c>
      <c r="C152" s="3532">
        <v>98.961634025395625</v>
      </c>
      <c r="D152" s="360"/>
      <c r="E152" s="361"/>
      <c r="F152" s="2657"/>
      <c r="G152" s="2657"/>
      <c r="H152" s="2657"/>
      <c r="I152" s="2657"/>
      <c r="J152" s="2657"/>
      <c r="K152" s="2657"/>
      <c r="L152" s="2657"/>
      <c r="M152" s="2657"/>
      <c r="N152" s="2657"/>
      <c r="O152" s="2657"/>
      <c r="P152" s="2657"/>
      <c r="Q152" s="2657"/>
      <c r="R152" s="2658"/>
      <c r="S152" s="3649"/>
      <c r="T152" s="3649"/>
      <c r="U152" s="3649"/>
      <c r="V152" s="3649"/>
      <c r="W152" s="3649"/>
      <c r="X152" s="3649"/>
      <c r="Y152" s="3649"/>
      <c r="Z152" s="3649"/>
      <c r="AA152" s="3649"/>
      <c r="AB152" s="3649"/>
      <c r="AC152" s="3649"/>
      <c r="AD152" s="3649"/>
      <c r="AE152" s="3649"/>
      <c r="AF152" s="3649"/>
      <c r="AG152" s="3649"/>
      <c r="AH152" s="3649"/>
      <c r="AI152" s="3649"/>
      <c r="AJ152" s="3649"/>
      <c r="AK152" s="3649"/>
      <c r="AL152" s="3649"/>
      <c r="AM152" s="3649"/>
      <c r="AN152" s="3649"/>
      <c r="AO152" s="3649"/>
      <c r="AP152" s="3649"/>
      <c r="AQ152" s="3649"/>
      <c r="AR152" s="3649"/>
      <c r="AS152" s="3649"/>
      <c r="AT152" s="3649"/>
      <c r="AU152" s="3649"/>
      <c r="AV152" s="3649"/>
      <c r="AW152" s="3649"/>
      <c r="AX152" s="3649"/>
      <c r="AY152" s="3649"/>
      <c r="AZ152" s="3649"/>
      <c r="BA152" s="3649"/>
      <c r="BB152" s="3649"/>
      <c r="BC152" s="3649"/>
      <c r="BD152" s="3649"/>
      <c r="BE152" s="3649"/>
      <c r="BF152" s="3649"/>
      <c r="BG152" s="3649"/>
      <c r="BH152" s="3649"/>
      <c r="BI152" s="3649"/>
      <c r="BJ152" s="3649"/>
      <c r="BK152" s="3649"/>
      <c r="BL152" s="3649"/>
      <c r="BM152" s="3649"/>
      <c r="BN152" s="3649"/>
      <c r="BO152" s="3649"/>
      <c r="BP152" s="3649"/>
      <c r="BQ152" s="3649"/>
      <c r="BR152" s="3649"/>
      <c r="BS152" s="3649"/>
      <c r="BT152" s="3649"/>
      <c r="BU152" s="3649"/>
      <c r="BV152" s="3649"/>
      <c r="BW152" s="3649"/>
      <c r="BX152" s="3649"/>
      <c r="BY152" s="3649"/>
      <c r="BZ152" s="3649"/>
      <c r="CA152" s="3649"/>
      <c r="CB152" s="3649"/>
      <c r="CC152" s="3649"/>
      <c r="CD152" s="3649"/>
      <c r="CE152" s="3649"/>
      <c r="CF152" s="3649"/>
      <c r="CG152" s="3649"/>
      <c r="CH152" s="3649"/>
      <c r="CI152" s="3649"/>
      <c r="CJ152" s="2977"/>
    </row>
    <row r="153" spans="1:88">
      <c r="A153" s="53">
        <v>2005.12</v>
      </c>
      <c r="B153" s="613">
        <v>96.679153370614728</v>
      </c>
      <c r="C153" s="3532">
        <v>99.906837886650166</v>
      </c>
      <c r="D153" s="360"/>
      <c r="E153" s="361"/>
      <c r="F153" s="2657"/>
      <c r="G153" s="2657"/>
      <c r="H153" s="2657"/>
      <c r="I153" s="2657"/>
      <c r="J153" s="2657"/>
      <c r="K153" s="2657"/>
      <c r="L153" s="2657"/>
      <c r="M153" s="2657"/>
      <c r="N153" s="2657"/>
      <c r="O153" s="2657"/>
      <c r="P153" s="2657"/>
      <c r="Q153" s="2657"/>
      <c r="R153" s="2658"/>
      <c r="S153" s="3649"/>
      <c r="T153" s="3649"/>
      <c r="U153" s="3649"/>
      <c r="V153" s="3649"/>
      <c r="W153" s="3649"/>
      <c r="X153" s="3649"/>
      <c r="Y153" s="3649"/>
      <c r="Z153" s="3649"/>
      <c r="AA153" s="3649"/>
      <c r="AB153" s="3649"/>
      <c r="AC153" s="3649"/>
      <c r="AD153" s="3649"/>
      <c r="AE153" s="3649"/>
      <c r="AF153" s="3649"/>
      <c r="AG153" s="3649"/>
      <c r="AH153" s="3649"/>
      <c r="AI153" s="3649"/>
      <c r="AJ153" s="3649"/>
      <c r="AK153" s="3649"/>
      <c r="AL153" s="3649"/>
      <c r="AM153" s="3649"/>
      <c r="AN153" s="3649"/>
      <c r="AO153" s="3649"/>
      <c r="AP153" s="3649"/>
      <c r="AQ153" s="3649"/>
      <c r="AR153" s="3649"/>
      <c r="AS153" s="3649"/>
      <c r="AT153" s="3649"/>
      <c r="AU153" s="3649"/>
      <c r="AV153" s="3649"/>
      <c r="AW153" s="3649"/>
      <c r="AX153" s="3649"/>
      <c r="AY153" s="3649"/>
      <c r="AZ153" s="3649"/>
      <c r="BA153" s="3649"/>
      <c r="BB153" s="3649"/>
      <c r="BC153" s="3649"/>
      <c r="BD153" s="3649"/>
      <c r="BE153" s="3649"/>
      <c r="BF153" s="3649"/>
      <c r="BG153" s="3649"/>
      <c r="BH153" s="3649"/>
      <c r="BI153" s="3649"/>
      <c r="BJ153" s="3649"/>
      <c r="BK153" s="3649"/>
      <c r="BL153" s="3649"/>
      <c r="BM153" s="3649"/>
      <c r="BN153" s="3649"/>
      <c r="BO153" s="3649"/>
      <c r="BP153" s="3649"/>
      <c r="BQ153" s="3649"/>
      <c r="BR153" s="3649"/>
      <c r="BS153" s="3649"/>
      <c r="BT153" s="3649"/>
      <c r="BU153" s="3649"/>
      <c r="BV153" s="3649"/>
      <c r="BW153" s="3649"/>
      <c r="BX153" s="3649"/>
      <c r="BY153" s="3649"/>
      <c r="BZ153" s="3649"/>
      <c r="CA153" s="3649"/>
      <c r="CB153" s="3649"/>
      <c r="CC153" s="3649"/>
      <c r="CD153" s="3649"/>
      <c r="CE153" s="3649"/>
      <c r="CF153" s="3649"/>
      <c r="CG153" s="3649"/>
      <c r="CH153" s="3649"/>
      <c r="CI153" s="3649"/>
      <c r="CJ153" s="2977"/>
    </row>
    <row r="154" spans="1:88">
      <c r="A154" s="53">
        <v>2006.01</v>
      </c>
      <c r="B154" s="613">
        <v>89.551070259608466</v>
      </c>
      <c r="C154" s="3532">
        <v>100.25030650243176</v>
      </c>
      <c r="D154" s="360"/>
      <c r="E154" s="361"/>
      <c r="F154" s="2657"/>
      <c r="G154" s="2657"/>
      <c r="H154" s="2657"/>
      <c r="I154" s="2657"/>
      <c r="J154" s="2657"/>
      <c r="K154" s="2657"/>
      <c r="L154" s="2657"/>
      <c r="M154" s="2657"/>
      <c r="N154" s="2657"/>
      <c r="O154" s="2657"/>
      <c r="P154" s="2657"/>
      <c r="Q154" s="2657"/>
      <c r="R154" s="2658"/>
      <c r="S154" s="3649"/>
      <c r="T154" s="3649"/>
      <c r="U154" s="3649"/>
      <c r="V154" s="3649"/>
      <c r="W154" s="3649"/>
      <c r="X154" s="3649"/>
      <c r="Y154" s="3649"/>
      <c r="Z154" s="3649"/>
      <c r="AA154" s="3649"/>
      <c r="AB154" s="3649"/>
      <c r="AC154" s="3649"/>
      <c r="AD154" s="3649"/>
      <c r="AE154" s="3649"/>
      <c r="AF154" s="3649"/>
      <c r="AG154" s="3649"/>
      <c r="AH154" s="3649"/>
      <c r="AI154" s="3649"/>
      <c r="AJ154" s="3649"/>
      <c r="AK154" s="3649"/>
      <c r="AL154" s="3649"/>
      <c r="AM154" s="3649"/>
      <c r="AN154" s="3649"/>
      <c r="AO154" s="3649"/>
      <c r="AP154" s="3649"/>
      <c r="AQ154" s="3649"/>
      <c r="AR154" s="3649"/>
      <c r="AS154" s="3649"/>
      <c r="AT154" s="3649"/>
      <c r="AU154" s="3649"/>
      <c r="AV154" s="3649"/>
      <c r="AW154" s="3649"/>
      <c r="AX154" s="3649"/>
      <c r="AY154" s="3649"/>
      <c r="AZ154" s="3649"/>
      <c r="BA154" s="3649"/>
      <c r="BB154" s="3649"/>
      <c r="BC154" s="3649"/>
      <c r="BD154" s="3649"/>
      <c r="BE154" s="3649"/>
      <c r="BF154" s="3649"/>
      <c r="BG154" s="3649"/>
      <c r="BH154" s="3649"/>
      <c r="BI154" s="3649"/>
      <c r="BJ154" s="3649"/>
      <c r="BK154" s="3649"/>
      <c r="BL154" s="3649"/>
      <c r="BM154" s="3649"/>
      <c r="BN154" s="3649"/>
      <c r="BO154" s="3649"/>
      <c r="BP154" s="3649"/>
      <c r="BQ154" s="3649"/>
      <c r="BR154" s="3649"/>
      <c r="BS154" s="3649"/>
      <c r="BT154" s="3649"/>
      <c r="BU154" s="3649"/>
      <c r="BV154" s="3649"/>
      <c r="BW154" s="3649"/>
      <c r="BX154" s="3649"/>
      <c r="BY154" s="3649"/>
      <c r="BZ154" s="3649"/>
      <c r="CA154" s="3649"/>
      <c r="CB154" s="3649"/>
      <c r="CC154" s="3649"/>
      <c r="CD154" s="3649"/>
      <c r="CE154" s="3649"/>
      <c r="CF154" s="3649"/>
      <c r="CG154" s="3649"/>
      <c r="CH154" s="3649"/>
      <c r="CI154" s="3649"/>
      <c r="CJ154" s="2977"/>
    </row>
    <row r="155" spans="1:88">
      <c r="A155" s="53">
        <v>2006.02</v>
      </c>
      <c r="B155" s="613">
        <v>92.489206113782316</v>
      </c>
      <c r="C155" s="3532">
        <v>102.85441691434436</v>
      </c>
      <c r="D155" s="360"/>
      <c r="E155" s="361"/>
      <c r="F155" s="2657"/>
      <c r="G155" s="2657"/>
      <c r="H155" s="2657"/>
      <c r="I155" s="2657"/>
      <c r="J155" s="2657"/>
      <c r="K155" s="2657"/>
      <c r="L155" s="2657"/>
      <c r="M155" s="2657"/>
      <c r="N155" s="2657"/>
      <c r="O155" s="2657"/>
      <c r="P155" s="2657"/>
      <c r="Q155" s="2657"/>
      <c r="R155" s="2658"/>
      <c r="S155" s="3649"/>
      <c r="T155" s="3649"/>
      <c r="U155" s="3649"/>
      <c r="V155" s="3649"/>
      <c r="W155" s="3649"/>
      <c r="X155" s="3649"/>
      <c r="Y155" s="3649"/>
      <c r="Z155" s="3649"/>
      <c r="AA155" s="3649"/>
      <c r="AB155" s="3649"/>
      <c r="AC155" s="3649"/>
      <c r="AD155" s="3649"/>
      <c r="AE155" s="3649"/>
      <c r="AF155" s="3649"/>
      <c r="AG155" s="3649"/>
      <c r="AH155" s="3649"/>
      <c r="AI155" s="3649"/>
      <c r="AJ155" s="3649"/>
      <c r="AK155" s="3649"/>
      <c r="AL155" s="3649"/>
      <c r="AM155" s="3649"/>
      <c r="AN155" s="3649"/>
      <c r="AO155" s="3649"/>
      <c r="AP155" s="3649"/>
      <c r="AQ155" s="3649"/>
      <c r="AR155" s="3649"/>
      <c r="AS155" s="3649"/>
      <c r="AT155" s="3649"/>
      <c r="AU155" s="3649"/>
      <c r="AV155" s="3649"/>
      <c r="AW155" s="3649"/>
      <c r="AX155" s="3649"/>
      <c r="AY155" s="3649"/>
      <c r="AZ155" s="3649"/>
      <c r="BA155" s="3649"/>
      <c r="BB155" s="3649"/>
      <c r="BC155" s="3649"/>
      <c r="BD155" s="3649"/>
      <c r="BE155" s="3649"/>
      <c r="BF155" s="3649"/>
      <c r="BG155" s="3649"/>
      <c r="BH155" s="3649"/>
      <c r="BI155" s="3649"/>
      <c r="BJ155" s="3649"/>
      <c r="BK155" s="3649"/>
      <c r="BL155" s="3649"/>
      <c r="BM155" s="3649"/>
      <c r="BN155" s="3649"/>
      <c r="BO155" s="3649"/>
      <c r="BP155" s="3649"/>
      <c r="BQ155" s="3649"/>
      <c r="BR155" s="3649"/>
      <c r="BS155" s="3649"/>
      <c r="BT155" s="3649"/>
      <c r="BU155" s="3649"/>
      <c r="BV155" s="3649"/>
      <c r="BW155" s="3649"/>
      <c r="BX155" s="3649"/>
      <c r="BY155" s="3649"/>
      <c r="BZ155" s="3649"/>
      <c r="CA155" s="3649"/>
      <c r="CB155" s="3649"/>
      <c r="CC155" s="3649"/>
      <c r="CD155" s="3649"/>
      <c r="CE155" s="3649"/>
      <c r="CF155" s="3649"/>
      <c r="CG155" s="3649"/>
      <c r="CH155" s="3649"/>
      <c r="CI155" s="3649"/>
      <c r="CJ155" s="2977"/>
    </row>
    <row r="156" spans="1:88">
      <c r="A156" s="53">
        <v>2006.03</v>
      </c>
      <c r="B156" s="613">
        <v>103.39341453032891</v>
      </c>
      <c r="C156" s="3532">
        <v>103.50485254075079</v>
      </c>
      <c r="D156" s="360"/>
      <c r="E156" s="361"/>
      <c r="F156" s="2657"/>
      <c r="G156" s="2657"/>
      <c r="H156" s="2657"/>
      <c r="I156" s="2657"/>
      <c r="J156" s="2657"/>
      <c r="K156" s="2657"/>
      <c r="L156" s="2657"/>
      <c r="M156" s="2657"/>
      <c r="N156" s="2657"/>
      <c r="O156" s="2657"/>
      <c r="P156" s="2657"/>
      <c r="Q156" s="2657"/>
      <c r="R156" s="2658"/>
      <c r="S156" s="3649"/>
      <c r="T156" s="3649"/>
      <c r="U156" s="3649"/>
      <c r="V156" s="3649"/>
      <c r="W156" s="3649"/>
      <c r="X156" s="3649"/>
      <c r="Y156" s="3649"/>
      <c r="Z156" s="3649"/>
      <c r="AA156" s="3649"/>
      <c r="AB156" s="3649"/>
      <c r="AC156" s="3649"/>
      <c r="AD156" s="3649"/>
      <c r="AE156" s="3649"/>
      <c r="AF156" s="3649"/>
      <c r="AG156" s="3649"/>
      <c r="AH156" s="3649"/>
      <c r="AI156" s="3649"/>
      <c r="AJ156" s="3649"/>
      <c r="AK156" s="3649"/>
      <c r="AL156" s="3649"/>
      <c r="AM156" s="3649"/>
      <c r="AN156" s="3649"/>
      <c r="AO156" s="3649"/>
      <c r="AP156" s="3649"/>
      <c r="AQ156" s="3649"/>
      <c r="AR156" s="3649"/>
      <c r="AS156" s="3649"/>
      <c r="AT156" s="3649"/>
      <c r="AU156" s="3649"/>
      <c r="AV156" s="3649"/>
      <c r="AW156" s="3649"/>
      <c r="AX156" s="3649"/>
      <c r="AY156" s="3649"/>
      <c r="AZ156" s="3649"/>
      <c r="BA156" s="3649"/>
      <c r="BB156" s="3649"/>
      <c r="BC156" s="3649"/>
      <c r="BD156" s="3649"/>
      <c r="BE156" s="3649"/>
      <c r="BF156" s="3649"/>
      <c r="BG156" s="3649"/>
      <c r="BH156" s="3649"/>
      <c r="BI156" s="3649"/>
      <c r="BJ156" s="3649"/>
      <c r="BK156" s="3649"/>
      <c r="BL156" s="3649"/>
      <c r="BM156" s="3649"/>
      <c r="BN156" s="3649"/>
      <c r="BO156" s="3649"/>
      <c r="BP156" s="3649"/>
      <c r="BQ156" s="3649"/>
      <c r="BR156" s="3649"/>
      <c r="BS156" s="3649"/>
      <c r="BT156" s="3649"/>
      <c r="BU156" s="3649"/>
      <c r="BV156" s="3649"/>
      <c r="BW156" s="3649"/>
      <c r="BX156" s="3649"/>
      <c r="BY156" s="3649"/>
      <c r="BZ156" s="3649"/>
      <c r="CA156" s="3649"/>
      <c r="CB156" s="3649"/>
      <c r="CC156" s="3649"/>
      <c r="CD156" s="3649"/>
      <c r="CE156" s="3649"/>
      <c r="CF156" s="3649"/>
      <c r="CG156" s="3649"/>
      <c r="CH156" s="3649"/>
      <c r="CI156" s="3649"/>
      <c r="CJ156" s="2977"/>
    </row>
    <row r="157" spans="1:88">
      <c r="A157" s="53">
        <v>2006.04</v>
      </c>
      <c r="B157" s="613">
        <v>101.78985446907207</v>
      </c>
      <c r="C157" s="3532">
        <v>104.85026751763405</v>
      </c>
      <c r="D157" s="360"/>
      <c r="E157" s="361"/>
      <c r="F157" s="2657"/>
      <c r="G157" s="2657"/>
      <c r="H157" s="2657"/>
      <c r="I157" s="2657"/>
      <c r="J157" s="2657"/>
      <c r="K157" s="2657"/>
      <c r="L157" s="2657"/>
      <c r="M157" s="2657"/>
      <c r="N157" s="2657"/>
      <c r="O157" s="2657"/>
      <c r="P157" s="2657"/>
      <c r="Q157" s="2657"/>
      <c r="R157" s="2658"/>
      <c r="S157" s="3649"/>
      <c r="T157" s="3649"/>
      <c r="U157" s="3649"/>
      <c r="V157" s="3649"/>
      <c r="W157" s="3649"/>
      <c r="X157" s="3649"/>
      <c r="Y157" s="3649"/>
      <c r="Z157" s="3649"/>
      <c r="AA157" s="3649"/>
      <c r="AB157" s="3649"/>
      <c r="AC157" s="3649"/>
      <c r="AD157" s="3649"/>
      <c r="AE157" s="3649"/>
      <c r="AF157" s="3649"/>
      <c r="AG157" s="3649"/>
      <c r="AH157" s="3649"/>
      <c r="AI157" s="3649"/>
      <c r="AJ157" s="3649"/>
      <c r="AK157" s="3649"/>
      <c r="AL157" s="3649"/>
      <c r="AM157" s="3649"/>
      <c r="AN157" s="3649"/>
      <c r="AO157" s="3649"/>
      <c r="AP157" s="3649"/>
      <c r="AQ157" s="3649"/>
      <c r="AR157" s="3649"/>
      <c r="AS157" s="3649"/>
      <c r="AT157" s="3649"/>
      <c r="AU157" s="3649"/>
      <c r="AV157" s="3649"/>
      <c r="AW157" s="3649"/>
      <c r="AX157" s="3649"/>
      <c r="AY157" s="3649"/>
      <c r="AZ157" s="3649"/>
      <c r="BA157" s="3649"/>
      <c r="BB157" s="3649"/>
      <c r="BC157" s="3649"/>
      <c r="BD157" s="3649"/>
      <c r="BE157" s="3649"/>
      <c r="BF157" s="3649"/>
      <c r="BG157" s="3649"/>
      <c r="BH157" s="3649"/>
      <c r="BI157" s="3649"/>
      <c r="BJ157" s="3649"/>
      <c r="BK157" s="3649"/>
      <c r="BL157" s="3649"/>
      <c r="BM157" s="3649"/>
      <c r="BN157" s="3649"/>
      <c r="BO157" s="3649"/>
      <c r="BP157" s="3649"/>
      <c r="BQ157" s="3649"/>
      <c r="BR157" s="3649"/>
      <c r="BS157" s="3649"/>
      <c r="BT157" s="3649"/>
      <c r="BU157" s="3649"/>
      <c r="BV157" s="3649"/>
      <c r="BW157" s="3649"/>
      <c r="BX157" s="3649"/>
      <c r="BY157" s="3649"/>
      <c r="BZ157" s="3649"/>
      <c r="CA157" s="3649"/>
      <c r="CB157" s="3649"/>
      <c r="CC157" s="3649"/>
      <c r="CD157" s="3649"/>
      <c r="CE157" s="3649"/>
      <c r="CF157" s="3649"/>
      <c r="CG157" s="3649"/>
      <c r="CH157" s="3649"/>
      <c r="CI157" s="3649"/>
      <c r="CJ157" s="2977"/>
    </row>
    <row r="158" spans="1:88">
      <c r="A158" s="53">
        <v>2006.05</v>
      </c>
      <c r="B158" s="613">
        <v>103.53825221328114</v>
      </c>
      <c r="C158" s="3532">
        <v>104.51798393844687</v>
      </c>
      <c r="D158" s="360"/>
      <c r="E158" s="361"/>
      <c r="F158" s="2657"/>
      <c r="G158" s="2657"/>
      <c r="H158" s="2657"/>
      <c r="I158" s="2657"/>
      <c r="J158" s="2657"/>
      <c r="K158" s="2657"/>
      <c r="L158" s="2657"/>
      <c r="M158" s="2657"/>
      <c r="N158" s="2657"/>
      <c r="O158" s="2657"/>
      <c r="P158" s="2657"/>
      <c r="Q158" s="2657"/>
      <c r="R158" s="2658"/>
      <c r="S158" s="3649"/>
      <c r="T158" s="3649"/>
      <c r="U158" s="3649"/>
      <c r="V158" s="3649"/>
      <c r="W158" s="3649"/>
      <c r="X158" s="3649"/>
      <c r="Y158" s="3649"/>
      <c r="Z158" s="3649"/>
      <c r="AA158" s="3649"/>
      <c r="AB158" s="3649"/>
      <c r="AC158" s="3649"/>
      <c r="AD158" s="3649"/>
      <c r="AE158" s="3649"/>
      <c r="AF158" s="3649"/>
      <c r="AG158" s="3649"/>
      <c r="AH158" s="3649"/>
      <c r="AI158" s="3649"/>
      <c r="AJ158" s="3649"/>
      <c r="AK158" s="3649"/>
      <c r="AL158" s="3649"/>
      <c r="AM158" s="3649"/>
      <c r="AN158" s="3649"/>
      <c r="AO158" s="3649"/>
      <c r="AP158" s="3649"/>
      <c r="AQ158" s="3649"/>
      <c r="AR158" s="3649"/>
      <c r="AS158" s="3649"/>
      <c r="AT158" s="3649"/>
      <c r="AU158" s="3649"/>
      <c r="AV158" s="3649"/>
      <c r="AW158" s="3649"/>
      <c r="AX158" s="3649"/>
      <c r="AY158" s="3649"/>
      <c r="AZ158" s="3649"/>
      <c r="BA158" s="3649"/>
      <c r="BB158" s="3649"/>
      <c r="BC158" s="3649"/>
      <c r="BD158" s="3649"/>
      <c r="BE158" s="3649"/>
      <c r="BF158" s="3649"/>
      <c r="BG158" s="3649"/>
      <c r="BH158" s="3649"/>
      <c r="BI158" s="3649"/>
      <c r="BJ158" s="3649"/>
      <c r="BK158" s="3649"/>
      <c r="BL158" s="3649"/>
      <c r="BM158" s="3649"/>
      <c r="BN158" s="3649"/>
      <c r="BO158" s="3649"/>
      <c r="BP158" s="3649"/>
      <c r="BQ158" s="3649"/>
      <c r="BR158" s="3649"/>
      <c r="BS158" s="3649"/>
      <c r="BT158" s="3649"/>
      <c r="BU158" s="3649"/>
      <c r="BV158" s="3649"/>
      <c r="BW158" s="3649"/>
      <c r="BX158" s="3649"/>
      <c r="BY158" s="3649"/>
      <c r="BZ158" s="3649"/>
      <c r="CA158" s="3649"/>
      <c r="CB158" s="3649"/>
      <c r="CC158" s="3649"/>
      <c r="CD158" s="3649"/>
      <c r="CE158" s="3649"/>
      <c r="CF158" s="3649"/>
      <c r="CG158" s="3649"/>
      <c r="CH158" s="3649"/>
      <c r="CI158" s="3649"/>
      <c r="CJ158" s="2977"/>
    </row>
    <row r="159" spans="1:88">
      <c r="A159" s="53">
        <v>2006.06</v>
      </c>
      <c r="B159" s="613">
        <v>103.21754020102976</v>
      </c>
      <c r="C159" s="3532">
        <v>106.87993929359746</v>
      </c>
      <c r="D159" s="360"/>
      <c r="E159" s="361"/>
      <c r="F159" s="2657"/>
      <c r="G159" s="2657"/>
      <c r="H159" s="2657"/>
      <c r="I159" s="2657"/>
      <c r="J159" s="2657"/>
      <c r="K159" s="2657"/>
      <c r="L159" s="2657"/>
      <c r="M159" s="2657"/>
      <c r="N159" s="2657"/>
      <c r="O159" s="2657"/>
      <c r="P159" s="2657"/>
      <c r="Q159" s="2657"/>
      <c r="R159" s="2658"/>
      <c r="S159" s="3649"/>
      <c r="T159" s="3649"/>
      <c r="U159" s="3649"/>
      <c r="V159" s="3649"/>
      <c r="W159" s="3649"/>
      <c r="X159" s="3649"/>
      <c r="Y159" s="3649"/>
      <c r="Z159" s="3649"/>
      <c r="AA159" s="3649"/>
      <c r="AB159" s="3649"/>
      <c r="AC159" s="3649"/>
      <c r="AD159" s="3649"/>
      <c r="AE159" s="3649"/>
      <c r="AF159" s="3649"/>
      <c r="AG159" s="3649"/>
      <c r="AH159" s="3649"/>
      <c r="AI159" s="3649"/>
      <c r="AJ159" s="3649"/>
      <c r="AK159" s="3649"/>
      <c r="AL159" s="3649"/>
      <c r="AM159" s="3649"/>
      <c r="AN159" s="3649"/>
      <c r="AO159" s="3649"/>
      <c r="AP159" s="3649"/>
      <c r="AQ159" s="3649"/>
      <c r="AR159" s="3649"/>
      <c r="AS159" s="3649"/>
      <c r="AT159" s="3649"/>
      <c r="AU159" s="3649"/>
      <c r="AV159" s="3649"/>
      <c r="AW159" s="3649"/>
      <c r="AX159" s="3649"/>
      <c r="AY159" s="3649"/>
      <c r="AZ159" s="3649"/>
      <c r="BA159" s="3649"/>
      <c r="BB159" s="3649"/>
      <c r="BC159" s="3649"/>
      <c r="BD159" s="3649"/>
      <c r="BE159" s="3649"/>
      <c r="BF159" s="3649"/>
      <c r="BG159" s="3649"/>
      <c r="BH159" s="3649"/>
      <c r="BI159" s="3649"/>
      <c r="BJ159" s="3649"/>
      <c r="BK159" s="3649"/>
      <c r="BL159" s="3649"/>
      <c r="BM159" s="3649"/>
      <c r="BN159" s="3649"/>
      <c r="BO159" s="3649"/>
      <c r="BP159" s="3649"/>
      <c r="BQ159" s="3649"/>
      <c r="BR159" s="3649"/>
      <c r="BS159" s="3649"/>
      <c r="BT159" s="3649"/>
      <c r="BU159" s="3649"/>
      <c r="BV159" s="3649"/>
      <c r="BW159" s="3649"/>
      <c r="BX159" s="3649"/>
      <c r="BY159" s="3649"/>
      <c r="BZ159" s="3649"/>
      <c r="CA159" s="3649"/>
      <c r="CB159" s="3649"/>
      <c r="CC159" s="3649"/>
      <c r="CD159" s="3649"/>
      <c r="CE159" s="3649"/>
      <c r="CF159" s="3649"/>
      <c r="CG159" s="3649"/>
      <c r="CH159" s="3649"/>
      <c r="CI159" s="3649"/>
      <c r="CJ159" s="2977"/>
    </row>
    <row r="160" spans="1:88">
      <c r="A160" s="53">
        <v>2006.07</v>
      </c>
      <c r="B160" s="613">
        <v>105.60736196974159</v>
      </c>
      <c r="C160" s="3532">
        <v>107.42439656070002</v>
      </c>
      <c r="D160" s="360"/>
      <c r="E160" s="361"/>
      <c r="F160" s="2657"/>
      <c r="G160" s="2657"/>
      <c r="H160" s="2657"/>
      <c r="I160" s="2657"/>
      <c r="J160" s="2657"/>
      <c r="K160" s="2657"/>
      <c r="L160" s="2657"/>
      <c r="M160" s="2657"/>
      <c r="N160" s="2657"/>
      <c r="O160" s="2657"/>
      <c r="P160" s="2657"/>
      <c r="Q160" s="2657"/>
      <c r="R160" s="2658"/>
      <c r="S160" s="3649"/>
      <c r="T160" s="3649"/>
      <c r="U160" s="3649"/>
      <c r="V160" s="3649"/>
      <c r="W160" s="3649"/>
      <c r="X160" s="3649"/>
      <c r="Y160" s="3649"/>
      <c r="Z160" s="3649"/>
      <c r="AA160" s="3649"/>
      <c r="AB160" s="3649"/>
      <c r="AC160" s="3649"/>
      <c r="AD160" s="3649"/>
      <c r="AE160" s="3649"/>
      <c r="AF160" s="3649"/>
      <c r="AG160" s="3649"/>
      <c r="AH160" s="3649"/>
      <c r="AI160" s="3649"/>
      <c r="AJ160" s="3649"/>
      <c r="AK160" s="3649"/>
      <c r="AL160" s="3649"/>
      <c r="AM160" s="3649"/>
      <c r="AN160" s="3649"/>
      <c r="AO160" s="3649"/>
      <c r="AP160" s="3649"/>
      <c r="AQ160" s="3649"/>
      <c r="AR160" s="3649"/>
      <c r="AS160" s="3649"/>
      <c r="AT160" s="3649"/>
      <c r="AU160" s="3649"/>
      <c r="AV160" s="3649"/>
      <c r="AW160" s="3649"/>
      <c r="AX160" s="3649"/>
      <c r="AY160" s="3649"/>
      <c r="AZ160" s="3649"/>
      <c r="BA160" s="3649"/>
      <c r="BB160" s="3649"/>
      <c r="BC160" s="3649"/>
      <c r="BD160" s="3649"/>
      <c r="BE160" s="3649"/>
      <c r="BF160" s="3649"/>
      <c r="BG160" s="3649"/>
      <c r="BH160" s="3649"/>
      <c r="BI160" s="3649"/>
      <c r="BJ160" s="3649"/>
      <c r="BK160" s="3649"/>
      <c r="BL160" s="3649"/>
      <c r="BM160" s="3649"/>
      <c r="BN160" s="3649"/>
      <c r="BO160" s="3649"/>
      <c r="BP160" s="3649"/>
      <c r="BQ160" s="3649"/>
      <c r="BR160" s="3649"/>
      <c r="BS160" s="3649"/>
      <c r="BT160" s="3649"/>
      <c r="BU160" s="3649"/>
      <c r="BV160" s="3649"/>
      <c r="BW160" s="3649"/>
      <c r="BX160" s="3649"/>
      <c r="BY160" s="3649"/>
      <c r="BZ160" s="3649"/>
      <c r="CA160" s="3649"/>
      <c r="CB160" s="3649"/>
      <c r="CC160" s="3649"/>
      <c r="CD160" s="3649"/>
      <c r="CE160" s="3649"/>
      <c r="CF160" s="3649"/>
      <c r="CG160" s="3649"/>
      <c r="CH160" s="3649"/>
      <c r="CI160" s="3649"/>
      <c r="CJ160" s="2977"/>
    </row>
    <row r="161" spans="1:88">
      <c r="A161" s="53">
        <v>2006.08</v>
      </c>
      <c r="B161" s="613">
        <v>107.74889056767817</v>
      </c>
      <c r="C161" s="3532">
        <v>105.43391616969686</v>
      </c>
      <c r="D161" s="360"/>
      <c r="E161" s="361"/>
      <c r="F161" s="2657"/>
      <c r="G161" s="2657"/>
      <c r="H161" s="2657"/>
      <c r="I161" s="2657"/>
      <c r="J161" s="2657"/>
      <c r="K161" s="2657"/>
      <c r="L161" s="2657"/>
      <c r="M161" s="2657"/>
      <c r="N161" s="2657"/>
      <c r="O161" s="2657"/>
      <c r="P161" s="2657"/>
      <c r="Q161" s="2657"/>
      <c r="R161" s="2658"/>
      <c r="S161" s="3649"/>
      <c r="T161" s="3649"/>
      <c r="U161" s="3649"/>
      <c r="V161" s="3649"/>
      <c r="W161" s="3649"/>
      <c r="X161" s="3649"/>
      <c r="Y161" s="3649"/>
      <c r="Z161" s="3649"/>
      <c r="AA161" s="3649"/>
      <c r="AB161" s="3649"/>
      <c r="AC161" s="3649"/>
      <c r="AD161" s="3649"/>
      <c r="AE161" s="3649"/>
      <c r="AF161" s="3649"/>
      <c r="AG161" s="3649"/>
      <c r="AH161" s="3649"/>
      <c r="AI161" s="3649"/>
      <c r="AJ161" s="3649"/>
      <c r="AK161" s="3649"/>
      <c r="AL161" s="3649"/>
      <c r="AM161" s="3649"/>
      <c r="AN161" s="3649"/>
      <c r="AO161" s="3649"/>
      <c r="AP161" s="3649"/>
      <c r="AQ161" s="3649"/>
      <c r="AR161" s="3649"/>
      <c r="AS161" s="3649"/>
      <c r="AT161" s="3649"/>
      <c r="AU161" s="3649"/>
      <c r="AV161" s="3649"/>
      <c r="AW161" s="3649"/>
      <c r="AX161" s="3649"/>
      <c r="AY161" s="3649"/>
      <c r="AZ161" s="3649"/>
      <c r="BA161" s="3649"/>
      <c r="BB161" s="3649"/>
      <c r="BC161" s="3649"/>
      <c r="BD161" s="3649"/>
      <c r="BE161" s="3649"/>
      <c r="BF161" s="3649"/>
      <c r="BG161" s="3649"/>
      <c r="BH161" s="3649"/>
      <c r="BI161" s="3649"/>
      <c r="BJ161" s="3649"/>
      <c r="BK161" s="3649"/>
      <c r="BL161" s="3649"/>
      <c r="BM161" s="3649"/>
      <c r="BN161" s="3649"/>
      <c r="BO161" s="3649"/>
      <c r="BP161" s="3649"/>
      <c r="BQ161" s="3649"/>
      <c r="BR161" s="3649"/>
      <c r="BS161" s="3649"/>
      <c r="BT161" s="3649"/>
      <c r="BU161" s="3649"/>
      <c r="BV161" s="3649"/>
      <c r="BW161" s="3649"/>
      <c r="BX161" s="3649"/>
      <c r="BY161" s="3649"/>
      <c r="BZ161" s="3649"/>
      <c r="CA161" s="3649"/>
      <c r="CB161" s="3649"/>
      <c r="CC161" s="3649"/>
      <c r="CD161" s="3649"/>
      <c r="CE161" s="3649"/>
      <c r="CF161" s="3649"/>
      <c r="CG161" s="3649"/>
      <c r="CH161" s="3649"/>
      <c r="CI161" s="3649"/>
      <c r="CJ161" s="2977"/>
    </row>
    <row r="162" spans="1:88">
      <c r="A162" s="53">
        <v>2006.09</v>
      </c>
      <c r="B162" s="613">
        <v>108.7834454459084</v>
      </c>
      <c r="C162" s="3532">
        <v>106.81941489783146</v>
      </c>
      <c r="D162" s="360"/>
      <c r="E162" s="361"/>
      <c r="F162" s="2657"/>
      <c r="G162" s="2657"/>
      <c r="H162" s="2657"/>
      <c r="I162" s="2657"/>
      <c r="J162" s="2657"/>
      <c r="K162" s="2657"/>
      <c r="L162" s="2657"/>
      <c r="M162" s="2657"/>
      <c r="N162" s="2657"/>
      <c r="O162" s="2657"/>
      <c r="P162" s="2657"/>
      <c r="Q162" s="2657"/>
      <c r="R162" s="2658"/>
      <c r="S162" s="3649"/>
      <c r="T162" s="3649"/>
      <c r="U162" s="3649"/>
      <c r="V162" s="3649"/>
      <c r="W162" s="3649"/>
      <c r="X162" s="3649"/>
      <c r="Y162" s="3649"/>
      <c r="Z162" s="3649"/>
      <c r="AA162" s="3649"/>
      <c r="AB162" s="3649"/>
      <c r="AC162" s="3649"/>
      <c r="AD162" s="3649"/>
      <c r="AE162" s="3649"/>
      <c r="AF162" s="3649"/>
      <c r="AG162" s="3649"/>
      <c r="AH162" s="3649"/>
      <c r="AI162" s="3649"/>
      <c r="AJ162" s="3649"/>
      <c r="AK162" s="3649"/>
      <c r="AL162" s="3649"/>
      <c r="AM162" s="3649"/>
      <c r="AN162" s="3649"/>
      <c r="AO162" s="3649"/>
      <c r="AP162" s="3649"/>
      <c r="AQ162" s="3649"/>
      <c r="AR162" s="3649"/>
      <c r="AS162" s="3649"/>
      <c r="AT162" s="3649"/>
      <c r="AU162" s="3649"/>
      <c r="AV162" s="3649"/>
      <c r="AW162" s="3649"/>
      <c r="AX162" s="3649"/>
      <c r="AY162" s="3649"/>
      <c r="AZ162" s="3649"/>
      <c r="BA162" s="3649"/>
      <c r="BB162" s="3649"/>
      <c r="BC162" s="3649"/>
      <c r="BD162" s="3649"/>
      <c r="BE162" s="3649"/>
      <c r="BF162" s="3649"/>
      <c r="BG162" s="3649"/>
      <c r="BH162" s="3649"/>
      <c r="BI162" s="3649"/>
      <c r="BJ162" s="3649"/>
      <c r="BK162" s="3649"/>
      <c r="BL162" s="3649"/>
      <c r="BM162" s="3649"/>
      <c r="BN162" s="3649"/>
      <c r="BO162" s="3649"/>
      <c r="BP162" s="3649"/>
      <c r="BQ162" s="3649"/>
      <c r="BR162" s="3649"/>
      <c r="BS162" s="3649"/>
      <c r="BT162" s="3649"/>
      <c r="BU162" s="3649"/>
      <c r="BV162" s="3649"/>
      <c r="BW162" s="3649"/>
      <c r="BX162" s="3649"/>
      <c r="BY162" s="3649"/>
      <c r="BZ162" s="3649"/>
      <c r="CA162" s="3649"/>
      <c r="CB162" s="3649"/>
      <c r="CC162" s="3649"/>
      <c r="CD162" s="3649"/>
      <c r="CE162" s="3649"/>
      <c r="CF162" s="3649"/>
      <c r="CG162" s="3649"/>
      <c r="CH162" s="3649"/>
      <c r="CI162" s="3649"/>
      <c r="CJ162" s="2977"/>
    </row>
    <row r="163" spans="1:88">
      <c r="A163" s="53">
        <v>2006.1</v>
      </c>
      <c r="B163" s="613">
        <v>110.05594794613157</v>
      </c>
      <c r="C163" s="3532">
        <v>106.8779370839348</v>
      </c>
      <c r="D163" s="360"/>
      <c r="E163" s="361"/>
      <c r="F163" s="2657"/>
      <c r="G163" s="2657"/>
      <c r="H163" s="2657"/>
      <c r="I163" s="2657"/>
      <c r="J163" s="2657"/>
      <c r="K163" s="2657"/>
      <c r="L163" s="2657"/>
      <c r="M163" s="2657"/>
      <c r="N163" s="2657"/>
      <c r="O163" s="2657"/>
      <c r="P163" s="2657"/>
      <c r="Q163" s="2657"/>
      <c r="R163" s="2658"/>
      <c r="S163" s="3649"/>
      <c r="T163" s="3649"/>
      <c r="U163" s="3649"/>
      <c r="V163" s="3649"/>
      <c r="W163" s="3649"/>
      <c r="X163" s="3649"/>
      <c r="Y163" s="3649"/>
      <c r="Z163" s="3649"/>
      <c r="AA163" s="3649"/>
      <c r="AB163" s="3649"/>
      <c r="AC163" s="3649"/>
      <c r="AD163" s="3649"/>
      <c r="AE163" s="3649"/>
      <c r="AF163" s="3649"/>
      <c r="AG163" s="3649"/>
      <c r="AH163" s="3649"/>
      <c r="AI163" s="3649"/>
      <c r="AJ163" s="3649"/>
      <c r="AK163" s="3649"/>
      <c r="AL163" s="3649"/>
      <c r="AM163" s="3649"/>
      <c r="AN163" s="3649"/>
      <c r="AO163" s="3649"/>
      <c r="AP163" s="3649"/>
      <c r="AQ163" s="3649"/>
      <c r="AR163" s="3649"/>
      <c r="AS163" s="3649"/>
      <c r="AT163" s="3649"/>
      <c r="AU163" s="3649"/>
      <c r="AV163" s="3649"/>
      <c r="AW163" s="3649"/>
      <c r="AX163" s="3649"/>
      <c r="AY163" s="3649"/>
      <c r="AZ163" s="3649"/>
      <c r="BA163" s="3649"/>
      <c r="BB163" s="3649"/>
      <c r="BC163" s="3649"/>
      <c r="BD163" s="3649"/>
      <c r="BE163" s="3649"/>
      <c r="BF163" s="3649"/>
      <c r="BG163" s="3649"/>
      <c r="BH163" s="3649"/>
      <c r="BI163" s="3649"/>
      <c r="BJ163" s="3649"/>
      <c r="BK163" s="3649"/>
      <c r="BL163" s="3649"/>
      <c r="BM163" s="3649"/>
      <c r="BN163" s="3649"/>
      <c r="BO163" s="3649"/>
      <c r="BP163" s="3649"/>
      <c r="BQ163" s="3649"/>
      <c r="BR163" s="3649"/>
      <c r="BS163" s="3649"/>
      <c r="BT163" s="3649"/>
      <c r="BU163" s="3649"/>
      <c r="BV163" s="3649"/>
      <c r="BW163" s="3649"/>
      <c r="BX163" s="3649"/>
      <c r="BY163" s="3649"/>
      <c r="BZ163" s="3649"/>
      <c r="CA163" s="3649"/>
      <c r="CB163" s="3649"/>
      <c r="CC163" s="3649"/>
      <c r="CD163" s="3649"/>
      <c r="CE163" s="3649"/>
      <c r="CF163" s="3649"/>
      <c r="CG163" s="3649"/>
      <c r="CH163" s="3649"/>
      <c r="CI163" s="3649"/>
      <c r="CJ163" s="2977"/>
    </row>
    <row r="164" spans="1:88">
      <c r="A164" s="53">
        <v>2006.11</v>
      </c>
      <c r="B164" s="613">
        <v>109.80765477535633</v>
      </c>
      <c r="C164" s="3532">
        <v>107.2970794964189</v>
      </c>
      <c r="D164" s="360"/>
      <c r="E164" s="361"/>
      <c r="F164" s="2657"/>
      <c r="G164" s="2657"/>
      <c r="H164" s="2657"/>
      <c r="I164" s="2657"/>
      <c r="J164" s="2657"/>
      <c r="K164" s="2657"/>
      <c r="L164" s="2657"/>
      <c r="M164" s="2657"/>
      <c r="N164" s="2657"/>
      <c r="O164" s="2657"/>
      <c r="P164" s="2657"/>
      <c r="Q164" s="2657"/>
      <c r="R164" s="2658"/>
      <c r="S164" s="3649"/>
      <c r="T164" s="3649"/>
      <c r="U164" s="3649"/>
      <c r="V164" s="3649"/>
      <c r="W164" s="3649"/>
      <c r="X164" s="3649"/>
      <c r="Y164" s="3649"/>
      <c r="Z164" s="3649"/>
      <c r="AA164" s="3649"/>
      <c r="AB164" s="3649"/>
      <c r="AC164" s="3649"/>
      <c r="AD164" s="3649"/>
      <c r="AE164" s="3649"/>
      <c r="AF164" s="3649"/>
      <c r="AG164" s="3649"/>
      <c r="AH164" s="3649"/>
      <c r="AI164" s="3649"/>
      <c r="AJ164" s="3649"/>
      <c r="AK164" s="3649"/>
      <c r="AL164" s="3649"/>
      <c r="AM164" s="3649"/>
      <c r="AN164" s="3649"/>
      <c r="AO164" s="3649"/>
      <c r="AP164" s="3649"/>
      <c r="AQ164" s="3649"/>
      <c r="AR164" s="3649"/>
      <c r="AS164" s="3649"/>
      <c r="AT164" s="3649"/>
      <c r="AU164" s="3649"/>
      <c r="AV164" s="3649"/>
      <c r="AW164" s="3649"/>
      <c r="AX164" s="3649"/>
      <c r="AY164" s="3649"/>
      <c r="AZ164" s="3649"/>
      <c r="BA164" s="3649"/>
      <c r="BB164" s="3649"/>
      <c r="BC164" s="3649"/>
      <c r="BD164" s="3649"/>
      <c r="BE164" s="3649"/>
      <c r="BF164" s="3649"/>
      <c r="BG164" s="3649"/>
      <c r="BH164" s="3649"/>
      <c r="BI164" s="3649"/>
      <c r="BJ164" s="3649"/>
      <c r="BK164" s="3649"/>
      <c r="BL164" s="3649"/>
      <c r="BM164" s="3649"/>
      <c r="BN164" s="3649"/>
      <c r="BO164" s="3649"/>
      <c r="BP164" s="3649"/>
      <c r="BQ164" s="3649"/>
      <c r="BR164" s="3649"/>
      <c r="BS164" s="3649"/>
      <c r="BT164" s="3649"/>
      <c r="BU164" s="3649"/>
      <c r="BV164" s="3649"/>
      <c r="BW164" s="3649"/>
      <c r="BX164" s="3649"/>
      <c r="BY164" s="3649"/>
      <c r="BZ164" s="3649"/>
      <c r="CA164" s="3649"/>
      <c r="CB164" s="3649"/>
      <c r="CC164" s="3649"/>
      <c r="CD164" s="3649"/>
      <c r="CE164" s="3649"/>
      <c r="CF164" s="3649"/>
      <c r="CG164" s="3649"/>
      <c r="CH164" s="3649"/>
      <c r="CI164" s="3649"/>
      <c r="CJ164" s="2977"/>
    </row>
    <row r="165" spans="1:88">
      <c r="A165" s="53">
        <v>2006.12</v>
      </c>
      <c r="B165" s="613">
        <v>105.45217873800708</v>
      </c>
      <c r="C165" s="3532">
        <v>108.56001617395684</v>
      </c>
      <c r="D165" s="360"/>
      <c r="E165" s="361"/>
      <c r="F165" s="2657"/>
      <c r="G165" s="2657"/>
      <c r="H165" s="2657"/>
      <c r="I165" s="2657"/>
      <c r="J165" s="2657"/>
      <c r="K165" s="2657"/>
      <c r="L165" s="2657"/>
      <c r="M165" s="2657"/>
      <c r="N165" s="2657"/>
      <c r="O165" s="2657"/>
      <c r="P165" s="2657"/>
      <c r="Q165" s="2657"/>
      <c r="R165" s="2658"/>
      <c r="S165" s="3649"/>
      <c r="T165" s="3649"/>
      <c r="U165" s="3649"/>
      <c r="V165" s="3649"/>
      <c r="W165" s="3649"/>
      <c r="X165" s="3649"/>
      <c r="Y165" s="3649"/>
      <c r="Z165" s="3649"/>
      <c r="AA165" s="3649"/>
      <c r="AB165" s="3649"/>
      <c r="AC165" s="3649"/>
      <c r="AD165" s="3649"/>
      <c r="AE165" s="3649"/>
      <c r="AF165" s="3649"/>
      <c r="AG165" s="3649"/>
      <c r="AH165" s="3649"/>
      <c r="AI165" s="3649"/>
      <c r="AJ165" s="3649"/>
      <c r="AK165" s="3649"/>
      <c r="AL165" s="3649"/>
      <c r="AM165" s="3649"/>
      <c r="AN165" s="3649"/>
      <c r="AO165" s="3649"/>
      <c r="AP165" s="3649"/>
      <c r="AQ165" s="3649"/>
      <c r="AR165" s="3649"/>
      <c r="AS165" s="3649"/>
      <c r="AT165" s="3649"/>
      <c r="AU165" s="3649"/>
      <c r="AV165" s="3649"/>
      <c r="AW165" s="3649"/>
      <c r="AX165" s="3649"/>
      <c r="AY165" s="3649"/>
      <c r="AZ165" s="3649"/>
      <c r="BA165" s="3649"/>
      <c r="BB165" s="3649"/>
      <c r="BC165" s="3649"/>
      <c r="BD165" s="3649"/>
      <c r="BE165" s="3649"/>
      <c r="BF165" s="3649"/>
      <c r="BG165" s="3649"/>
      <c r="BH165" s="3649"/>
      <c r="BI165" s="3649"/>
      <c r="BJ165" s="3649"/>
      <c r="BK165" s="3649"/>
      <c r="BL165" s="3649"/>
      <c r="BM165" s="3649"/>
      <c r="BN165" s="3649"/>
      <c r="BO165" s="3649"/>
      <c r="BP165" s="3649"/>
      <c r="BQ165" s="3649"/>
      <c r="BR165" s="3649"/>
      <c r="BS165" s="3649"/>
      <c r="BT165" s="3649"/>
      <c r="BU165" s="3649"/>
      <c r="BV165" s="3649"/>
      <c r="BW165" s="3649"/>
      <c r="BX165" s="3649"/>
      <c r="BY165" s="3649"/>
      <c r="BZ165" s="3649"/>
      <c r="CA165" s="3649"/>
      <c r="CB165" s="3649"/>
      <c r="CC165" s="3649"/>
      <c r="CD165" s="3649"/>
      <c r="CE165" s="3649"/>
      <c r="CF165" s="3649"/>
      <c r="CG165" s="3649"/>
      <c r="CH165" s="3649"/>
      <c r="CI165" s="3649"/>
      <c r="CJ165" s="2977"/>
    </row>
    <row r="166" spans="1:88">
      <c r="A166" s="53">
        <v>2007.01</v>
      </c>
      <c r="B166" s="613">
        <v>95.065247760575588</v>
      </c>
      <c r="C166" s="3532">
        <v>109.26630047491919</v>
      </c>
      <c r="D166" s="360"/>
      <c r="E166" s="361"/>
      <c r="F166" s="2657"/>
      <c r="G166" s="2657"/>
      <c r="H166" s="2657"/>
      <c r="I166" s="2657"/>
      <c r="J166" s="2657"/>
      <c r="K166" s="2657"/>
      <c r="L166" s="2657"/>
      <c r="M166" s="2657"/>
      <c r="N166" s="2657"/>
      <c r="O166" s="2657"/>
      <c r="P166" s="2657"/>
      <c r="Q166" s="2657"/>
      <c r="R166" s="2658"/>
      <c r="S166" s="3649"/>
      <c r="T166" s="3649"/>
      <c r="U166" s="3649"/>
      <c r="V166" s="3649"/>
      <c r="W166" s="3649"/>
      <c r="X166" s="3649"/>
      <c r="Y166" s="3649"/>
      <c r="Z166" s="3649"/>
      <c r="AA166" s="3649"/>
      <c r="AB166" s="3649"/>
      <c r="AC166" s="3649"/>
      <c r="AD166" s="3649"/>
      <c r="AE166" s="3649"/>
      <c r="AF166" s="3649"/>
      <c r="AG166" s="3649"/>
      <c r="AH166" s="3649"/>
      <c r="AI166" s="3649"/>
      <c r="AJ166" s="3649"/>
      <c r="AK166" s="3649"/>
      <c r="AL166" s="3649"/>
      <c r="AM166" s="3649"/>
      <c r="AN166" s="3649"/>
      <c r="AO166" s="3649"/>
      <c r="AP166" s="3649"/>
      <c r="AQ166" s="3649"/>
      <c r="AR166" s="3649"/>
      <c r="AS166" s="3649"/>
      <c r="AT166" s="3649"/>
      <c r="AU166" s="3649"/>
      <c r="AV166" s="3649"/>
      <c r="AW166" s="3649"/>
      <c r="AX166" s="3649"/>
      <c r="AY166" s="3649"/>
      <c r="AZ166" s="3649"/>
      <c r="BA166" s="3649"/>
      <c r="BB166" s="3649"/>
      <c r="BC166" s="3649"/>
      <c r="BD166" s="3649"/>
      <c r="BE166" s="3649"/>
      <c r="BF166" s="3649"/>
      <c r="BG166" s="3649"/>
      <c r="BH166" s="3649"/>
      <c r="BI166" s="3649"/>
      <c r="BJ166" s="3649"/>
      <c r="BK166" s="3649"/>
      <c r="BL166" s="3649"/>
      <c r="BM166" s="3649"/>
      <c r="BN166" s="3649"/>
      <c r="BO166" s="3649"/>
      <c r="BP166" s="3649"/>
      <c r="BQ166" s="3649"/>
      <c r="BR166" s="3649"/>
      <c r="BS166" s="3649"/>
      <c r="BT166" s="3649"/>
      <c r="BU166" s="3649"/>
      <c r="BV166" s="3649"/>
      <c r="BW166" s="3649"/>
      <c r="BX166" s="3649"/>
      <c r="BY166" s="3649"/>
      <c r="BZ166" s="3649"/>
      <c r="CA166" s="3649"/>
      <c r="CB166" s="3649"/>
      <c r="CC166" s="3649"/>
      <c r="CD166" s="3649"/>
      <c r="CE166" s="3649"/>
      <c r="CF166" s="3649"/>
      <c r="CG166" s="3649"/>
      <c r="CH166" s="3649"/>
      <c r="CI166" s="3649"/>
      <c r="CJ166" s="2977"/>
    </row>
    <row r="167" spans="1:88">
      <c r="A167" s="53">
        <v>2007.02</v>
      </c>
      <c r="B167" s="613">
        <v>98.820681968551312</v>
      </c>
      <c r="C167" s="3532">
        <v>110.10143167437994</v>
      </c>
      <c r="D167" s="360"/>
      <c r="E167" s="361"/>
      <c r="F167" s="2657"/>
      <c r="G167" s="2657"/>
      <c r="H167" s="2657"/>
      <c r="I167" s="2657"/>
      <c r="J167" s="2657"/>
      <c r="K167" s="2657"/>
      <c r="L167" s="2657"/>
      <c r="M167" s="2657"/>
      <c r="N167" s="2657"/>
      <c r="O167" s="2657"/>
      <c r="P167" s="2657"/>
      <c r="Q167" s="2657"/>
      <c r="R167" s="2658"/>
      <c r="S167" s="3649"/>
      <c r="T167" s="3649"/>
      <c r="U167" s="3649"/>
      <c r="V167" s="3649"/>
      <c r="W167" s="3649"/>
      <c r="X167" s="3649"/>
      <c r="Y167" s="3649"/>
      <c r="Z167" s="3649"/>
      <c r="AA167" s="3649"/>
      <c r="AB167" s="3649"/>
      <c r="AC167" s="3649"/>
      <c r="AD167" s="3649"/>
      <c r="AE167" s="3649"/>
      <c r="AF167" s="3649"/>
      <c r="AG167" s="3649"/>
      <c r="AH167" s="3649"/>
      <c r="AI167" s="3649"/>
      <c r="AJ167" s="3649"/>
      <c r="AK167" s="3649"/>
      <c r="AL167" s="3649"/>
      <c r="AM167" s="3649"/>
      <c r="AN167" s="3649"/>
      <c r="AO167" s="3649"/>
      <c r="AP167" s="3649"/>
      <c r="AQ167" s="3649"/>
      <c r="AR167" s="3649"/>
      <c r="AS167" s="3649"/>
      <c r="AT167" s="3649"/>
      <c r="AU167" s="3649"/>
      <c r="AV167" s="3649"/>
      <c r="AW167" s="3649"/>
      <c r="AX167" s="3649"/>
      <c r="AY167" s="3649"/>
      <c r="AZ167" s="3649"/>
      <c r="BA167" s="3649"/>
      <c r="BB167" s="3649"/>
      <c r="BC167" s="3649"/>
      <c r="BD167" s="3649"/>
      <c r="BE167" s="3649"/>
      <c r="BF167" s="3649"/>
      <c r="BG167" s="3649"/>
      <c r="BH167" s="3649"/>
      <c r="BI167" s="3649"/>
      <c r="BJ167" s="3649"/>
      <c r="BK167" s="3649"/>
      <c r="BL167" s="3649"/>
      <c r="BM167" s="3649"/>
      <c r="BN167" s="3649"/>
      <c r="BO167" s="3649"/>
      <c r="BP167" s="3649"/>
      <c r="BQ167" s="3649"/>
      <c r="BR167" s="3649"/>
      <c r="BS167" s="3649"/>
      <c r="BT167" s="3649"/>
      <c r="BU167" s="3649"/>
      <c r="BV167" s="3649"/>
      <c r="BW167" s="3649"/>
      <c r="BX167" s="3649"/>
      <c r="BY167" s="3649"/>
      <c r="BZ167" s="3649"/>
      <c r="CA167" s="3649"/>
      <c r="CB167" s="3649"/>
      <c r="CC167" s="3649"/>
      <c r="CD167" s="3649"/>
      <c r="CE167" s="3649"/>
      <c r="CF167" s="3649"/>
      <c r="CG167" s="3649"/>
      <c r="CH167" s="3649"/>
      <c r="CI167" s="3649"/>
      <c r="CJ167" s="2977"/>
    </row>
    <row r="168" spans="1:88">
      <c r="A168" s="53">
        <v>2007.03</v>
      </c>
      <c r="B168" s="613">
        <v>110.63529867794051</v>
      </c>
      <c r="C168" s="3532">
        <v>111.68337423185771</v>
      </c>
      <c r="D168" s="360"/>
      <c r="E168" s="361"/>
      <c r="F168" s="2657"/>
      <c r="G168" s="2657"/>
      <c r="H168" s="2657"/>
      <c r="I168" s="2657"/>
      <c r="J168" s="2657"/>
      <c r="K168" s="2657"/>
      <c r="L168" s="2657"/>
      <c r="M168" s="2657"/>
      <c r="N168" s="2657"/>
      <c r="O168" s="2657"/>
      <c r="P168" s="2657"/>
      <c r="Q168" s="2657"/>
      <c r="R168" s="2658"/>
      <c r="S168" s="3649"/>
      <c r="T168" s="3649"/>
      <c r="U168" s="3649"/>
      <c r="V168" s="3649"/>
      <c r="W168" s="3649"/>
      <c r="X168" s="3649"/>
      <c r="Y168" s="3649"/>
      <c r="Z168" s="3649"/>
      <c r="AA168" s="3649"/>
      <c r="AB168" s="3649"/>
      <c r="AC168" s="3649"/>
      <c r="AD168" s="3649"/>
      <c r="AE168" s="3649"/>
      <c r="AF168" s="3649"/>
      <c r="AG168" s="3649"/>
      <c r="AH168" s="3649"/>
      <c r="AI168" s="3649"/>
      <c r="AJ168" s="3649"/>
      <c r="AK168" s="3649"/>
      <c r="AL168" s="3649"/>
      <c r="AM168" s="3649"/>
      <c r="AN168" s="3649"/>
      <c r="AO168" s="3649"/>
      <c r="AP168" s="3649"/>
      <c r="AQ168" s="3649"/>
      <c r="AR168" s="3649"/>
      <c r="AS168" s="3649"/>
      <c r="AT168" s="3649"/>
      <c r="AU168" s="3649"/>
      <c r="AV168" s="3649"/>
      <c r="AW168" s="3649"/>
      <c r="AX168" s="3649"/>
      <c r="AY168" s="3649"/>
      <c r="AZ168" s="3649"/>
      <c r="BA168" s="3649"/>
      <c r="BB168" s="3649"/>
      <c r="BC168" s="3649"/>
      <c r="BD168" s="3649"/>
      <c r="BE168" s="3649"/>
      <c r="BF168" s="3649"/>
      <c r="BG168" s="3649"/>
      <c r="BH168" s="3649"/>
      <c r="BI168" s="3649"/>
      <c r="BJ168" s="3649"/>
      <c r="BK168" s="3649"/>
      <c r="BL168" s="3649"/>
      <c r="BM168" s="3649"/>
      <c r="BN168" s="3649"/>
      <c r="BO168" s="3649"/>
      <c r="BP168" s="3649"/>
      <c r="BQ168" s="3649"/>
      <c r="BR168" s="3649"/>
      <c r="BS168" s="3649"/>
      <c r="BT168" s="3649"/>
      <c r="BU168" s="3649"/>
      <c r="BV168" s="3649"/>
      <c r="BW168" s="3649"/>
      <c r="BX168" s="3649"/>
      <c r="BY168" s="3649"/>
      <c r="BZ168" s="3649"/>
      <c r="CA168" s="3649"/>
      <c r="CB168" s="3649"/>
      <c r="CC168" s="3649"/>
      <c r="CD168" s="3649"/>
      <c r="CE168" s="3649"/>
      <c r="CF168" s="3649"/>
      <c r="CG168" s="3649"/>
      <c r="CH168" s="3649"/>
      <c r="CI168" s="3649"/>
      <c r="CJ168" s="2977"/>
    </row>
    <row r="169" spans="1:88">
      <c r="A169" s="53">
        <v>2007.04</v>
      </c>
      <c r="B169" s="613">
        <v>108.62826221417386</v>
      </c>
      <c r="C169" s="3532">
        <v>110.80058785935016</v>
      </c>
      <c r="D169" s="360"/>
      <c r="E169" s="361"/>
      <c r="F169" s="2657"/>
      <c r="G169" s="2657"/>
      <c r="H169" s="2657"/>
      <c r="I169" s="2657"/>
      <c r="J169" s="2657"/>
      <c r="K169" s="2657"/>
      <c r="L169" s="2657"/>
      <c r="M169" s="2657"/>
      <c r="N169" s="2657"/>
      <c r="O169" s="2657"/>
      <c r="P169" s="2657"/>
      <c r="Q169" s="2657"/>
      <c r="R169" s="2658"/>
      <c r="S169" s="3649"/>
      <c r="T169" s="3649"/>
      <c r="U169" s="3649"/>
      <c r="V169" s="3649"/>
      <c r="W169" s="3649"/>
      <c r="X169" s="3649"/>
      <c r="Y169" s="3649"/>
      <c r="Z169" s="3649"/>
      <c r="AA169" s="3649"/>
      <c r="AB169" s="3649"/>
      <c r="AC169" s="3649"/>
      <c r="AD169" s="3649"/>
      <c r="AE169" s="3649"/>
      <c r="AF169" s="3649"/>
      <c r="AG169" s="3649"/>
      <c r="AH169" s="3649"/>
      <c r="AI169" s="3649"/>
      <c r="AJ169" s="3649"/>
      <c r="AK169" s="3649"/>
      <c r="AL169" s="3649"/>
      <c r="AM169" s="3649"/>
      <c r="AN169" s="3649"/>
      <c r="AO169" s="3649"/>
      <c r="AP169" s="3649"/>
      <c r="AQ169" s="3649"/>
      <c r="AR169" s="3649"/>
      <c r="AS169" s="3649"/>
      <c r="AT169" s="3649"/>
      <c r="AU169" s="3649"/>
      <c r="AV169" s="3649"/>
      <c r="AW169" s="3649"/>
      <c r="AX169" s="3649"/>
      <c r="AY169" s="3649"/>
      <c r="AZ169" s="3649"/>
      <c r="BA169" s="3649"/>
      <c r="BB169" s="3649"/>
      <c r="BC169" s="3649"/>
      <c r="BD169" s="3649"/>
      <c r="BE169" s="3649"/>
      <c r="BF169" s="3649"/>
      <c r="BG169" s="3649"/>
      <c r="BH169" s="3649"/>
      <c r="BI169" s="3649"/>
      <c r="BJ169" s="3649"/>
      <c r="BK169" s="3649"/>
      <c r="BL169" s="3649"/>
      <c r="BM169" s="3649"/>
      <c r="BN169" s="3649"/>
      <c r="BO169" s="3649"/>
      <c r="BP169" s="3649"/>
      <c r="BQ169" s="3649"/>
      <c r="BR169" s="3649"/>
      <c r="BS169" s="3649"/>
      <c r="BT169" s="3649"/>
      <c r="BU169" s="3649"/>
      <c r="BV169" s="3649"/>
      <c r="BW169" s="3649"/>
      <c r="BX169" s="3649"/>
      <c r="BY169" s="3649"/>
      <c r="BZ169" s="3649"/>
      <c r="CA169" s="3649"/>
      <c r="CB169" s="3649"/>
      <c r="CC169" s="3649"/>
      <c r="CD169" s="3649"/>
      <c r="CE169" s="3649"/>
      <c r="CF169" s="3649"/>
      <c r="CG169" s="3649"/>
      <c r="CH169" s="3649"/>
      <c r="CI169" s="3649"/>
      <c r="CJ169" s="2977"/>
    </row>
    <row r="170" spans="1:88">
      <c r="A170" s="53">
        <v>2007.05</v>
      </c>
      <c r="B170" s="613">
        <v>110.76979081211043</v>
      </c>
      <c r="C170" s="3532">
        <v>111.67982026978747</v>
      </c>
      <c r="D170" s="360"/>
      <c r="E170" s="361"/>
      <c r="F170" s="2657"/>
      <c r="G170" s="2657"/>
      <c r="H170" s="2657"/>
      <c r="I170" s="2657"/>
      <c r="J170" s="2657"/>
      <c r="K170" s="2657"/>
      <c r="L170" s="2657"/>
      <c r="M170" s="2657"/>
      <c r="N170" s="2657"/>
      <c r="O170" s="2657"/>
      <c r="P170" s="2657"/>
      <c r="Q170" s="2657"/>
      <c r="R170" s="2658"/>
      <c r="S170" s="3649"/>
      <c r="T170" s="3649"/>
      <c r="U170" s="3649"/>
      <c r="V170" s="3649"/>
      <c r="W170" s="3649"/>
      <c r="X170" s="3649"/>
      <c r="Y170" s="3649"/>
      <c r="Z170" s="3649"/>
      <c r="AA170" s="3649"/>
      <c r="AB170" s="3649"/>
      <c r="AC170" s="3649"/>
      <c r="AD170" s="3649"/>
      <c r="AE170" s="3649"/>
      <c r="AF170" s="3649"/>
      <c r="AG170" s="3649"/>
      <c r="AH170" s="3649"/>
      <c r="AI170" s="3649"/>
      <c r="AJ170" s="3649"/>
      <c r="AK170" s="3649"/>
      <c r="AL170" s="3649"/>
      <c r="AM170" s="3649"/>
      <c r="AN170" s="3649"/>
      <c r="AO170" s="3649"/>
      <c r="AP170" s="3649"/>
      <c r="AQ170" s="3649"/>
      <c r="AR170" s="3649"/>
      <c r="AS170" s="3649"/>
      <c r="AT170" s="3649"/>
      <c r="AU170" s="3649"/>
      <c r="AV170" s="3649"/>
      <c r="AW170" s="3649"/>
      <c r="AX170" s="3649"/>
      <c r="AY170" s="3649"/>
      <c r="AZ170" s="3649"/>
      <c r="BA170" s="3649"/>
      <c r="BB170" s="3649"/>
      <c r="BC170" s="3649"/>
      <c r="BD170" s="3649"/>
      <c r="BE170" s="3649"/>
      <c r="BF170" s="3649"/>
      <c r="BG170" s="3649"/>
      <c r="BH170" s="3649"/>
      <c r="BI170" s="3649"/>
      <c r="BJ170" s="3649"/>
      <c r="BK170" s="3649"/>
      <c r="BL170" s="3649"/>
      <c r="BM170" s="3649"/>
      <c r="BN170" s="3649"/>
      <c r="BO170" s="3649"/>
      <c r="BP170" s="3649"/>
      <c r="BQ170" s="3649"/>
      <c r="BR170" s="3649"/>
      <c r="BS170" s="3649"/>
      <c r="BT170" s="3649"/>
      <c r="BU170" s="3649"/>
      <c r="BV170" s="3649"/>
      <c r="BW170" s="3649"/>
      <c r="BX170" s="3649"/>
      <c r="BY170" s="3649"/>
      <c r="BZ170" s="3649"/>
      <c r="CA170" s="3649"/>
      <c r="CB170" s="3649"/>
      <c r="CC170" s="3649"/>
      <c r="CD170" s="3649"/>
      <c r="CE170" s="3649"/>
      <c r="CF170" s="3649"/>
      <c r="CG170" s="3649"/>
      <c r="CH170" s="3649"/>
      <c r="CI170" s="3649"/>
      <c r="CJ170" s="2977"/>
    </row>
    <row r="171" spans="1:88">
      <c r="A171" s="53">
        <v>2007.06</v>
      </c>
      <c r="B171" s="613">
        <v>108.61791666539156</v>
      </c>
      <c r="C171" s="3532">
        <v>113.91598937735091</v>
      </c>
      <c r="D171" s="360"/>
      <c r="E171" s="361"/>
      <c r="F171" s="2657"/>
      <c r="G171" s="2657"/>
      <c r="H171" s="2657"/>
      <c r="I171" s="2657"/>
      <c r="J171" s="2657"/>
      <c r="K171" s="2657"/>
      <c r="L171" s="2657"/>
      <c r="M171" s="2657"/>
      <c r="N171" s="2657"/>
      <c r="O171" s="2657"/>
      <c r="P171" s="2657"/>
      <c r="Q171" s="2657"/>
      <c r="R171" s="2658"/>
      <c r="S171" s="3649"/>
      <c r="T171" s="3649"/>
      <c r="U171" s="3649"/>
      <c r="V171" s="3649"/>
      <c r="W171" s="3649"/>
      <c r="X171" s="3649"/>
      <c r="Y171" s="3649"/>
      <c r="Z171" s="3649"/>
      <c r="AA171" s="3649"/>
      <c r="AB171" s="3649"/>
      <c r="AC171" s="3649"/>
      <c r="AD171" s="3649"/>
      <c r="AE171" s="3649"/>
      <c r="AF171" s="3649"/>
      <c r="AG171" s="3649"/>
      <c r="AH171" s="3649"/>
      <c r="AI171" s="3649"/>
      <c r="AJ171" s="3649"/>
      <c r="AK171" s="3649"/>
      <c r="AL171" s="3649"/>
      <c r="AM171" s="3649"/>
      <c r="AN171" s="3649"/>
      <c r="AO171" s="3649"/>
      <c r="AP171" s="3649"/>
      <c r="AQ171" s="3649"/>
      <c r="AR171" s="3649"/>
      <c r="AS171" s="3649"/>
      <c r="AT171" s="3649"/>
      <c r="AU171" s="3649"/>
      <c r="AV171" s="3649"/>
      <c r="AW171" s="3649"/>
      <c r="AX171" s="3649"/>
      <c r="AY171" s="3649"/>
      <c r="AZ171" s="3649"/>
      <c r="BA171" s="3649"/>
      <c r="BB171" s="3649"/>
      <c r="BC171" s="3649"/>
      <c r="BD171" s="3649"/>
      <c r="BE171" s="3649"/>
      <c r="BF171" s="3649"/>
      <c r="BG171" s="3649"/>
      <c r="BH171" s="3649"/>
      <c r="BI171" s="3649"/>
      <c r="BJ171" s="3649"/>
      <c r="BK171" s="3649"/>
      <c r="BL171" s="3649"/>
      <c r="BM171" s="3649"/>
      <c r="BN171" s="3649"/>
      <c r="BO171" s="3649"/>
      <c r="BP171" s="3649"/>
      <c r="BQ171" s="3649"/>
      <c r="BR171" s="3649"/>
      <c r="BS171" s="3649"/>
      <c r="BT171" s="3649"/>
      <c r="BU171" s="3649"/>
      <c r="BV171" s="3649"/>
      <c r="BW171" s="3649"/>
      <c r="BX171" s="3649"/>
      <c r="BY171" s="3649"/>
      <c r="BZ171" s="3649"/>
      <c r="CA171" s="3649"/>
      <c r="CB171" s="3649"/>
      <c r="CC171" s="3649"/>
      <c r="CD171" s="3649"/>
      <c r="CE171" s="3649"/>
      <c r="CF171" s="3649"/>
      <c r="CG171" s="3649"/>
      <c r="CH171" s="3649"/>
      <c r="CI171" s="3649"/>
      <c r="CJ171" s="2977"/>
    </row>
    <row r="172" spans="1:88">
      <c r="A172" s="53">
        <v>2007.07</v>
      </c>
      <c r="B172" s="613">
        <v>107.66612617741974</v>
      </c>
      <c r="C172" s="3532">
        <v>114.25112003612811</v>
      </c>
      <c r="D172" s="360"/>
      <c r="E172" s="361"/>
      <c r="F172" s="2657"/>
      <c r="G172" s="2657"/>
      <c r="H172" s="2657"/>
      <c r="I172" s="2657"/>
      <c r="J172" s="2657"/>
      <c r="K172" s="2657"/>
      <c r="L172" s="2657"/>
      <c r="M172" s="2657"/>
      <c r="N172" s="2657"/>
      <c r="O172" s="2657"/>
      <c r="P172" s="2657"/>
      <c r="Q172" s="2657"/>
      <c r="R172" s="2658"/>
      <c r="S172" s="3649"/>
      <c r="T172" s="3649"/>
      <c r="U172" s="3649"/>
      <c r="V172" s="3649"/>
      <c r="W172" s="3649"/>
      <c r="X172" s="3649"/>
      <c r="Y172" s="3649"/>
      <c r="Z172" s="3649"/>
      <c r="AA172" s="3649"/>
      <c r="AB172" s="3649"/>
      <c r="AC172" s="3649"/>
      <c r="AD172" s="3649"/>
      <c r="AE172" s="3649"/>
      <c r="AF172" s="3649"/>
      <c r="AG172" s="3649"/>
      <c r="AH172" s="3649"/>
      <c r="AI172" s="3649"/>
      <c r="AJ172" s="3649"/>
      <c r="AK172" s="3649"/>
      <c r="AL172" s="3649"/>
      <c r="AM172" s="3649"/>
      <c r="AN172" s="3649"/>
      <c r="AO172" s="3649"/>
      <c r="AP172" s="3649"/>
      <c r="AQ172" s="3649"/>
      <c r="AR172" s="3649"/>
      <c r="AS172" s="3649"/>
      <c r="AT172" s="3649"/>
      <c r="AU172" s="3649"/>
      <c r="AV172" s="3649"/>
      <c r="AW172" s="3649"/>
      <c r="AX172" s="3649"/>
      <c r="AY172" s="3649"/>
      <c r="AZ172" s="3649"/>
      <c r="BA172" s="3649"/>
      <c r="BB172" s="3649"/>
      <c r="BC172" s="3649"/>
      <c r="BD172" s="3649"/>
      <c r="BE172" s="3649"/>
      <c r="BF172" s="3649"/>
      <c r="BG172" s="3649"/>
      <c r="BH172" s="3649"/>
      <c r="BI172" s="3649"/>
      <c r="BJ172" s="3649"/>
      <c r="BK172" s="3649"/>
      <c r="BL172" s="3649"/>
      <c r="BM172" s="3649"/>
      <c r="BN172" s="3649"/>
      <c r="BO172" s="3649"/>
      <c r="BP172" s="3649"/>
      <c r="BQ172" s="3649"/>
      <c r="BR172" s="3649"/>
      <c r="BS172" s="3649"/>
      <c r="BT172" s="3649"/>
      <c r="BU172" s="3649"/>
      <c r="BV172" s="3649"/>
      <c r="BW172" s="3649"/>
      <c r="BX172" s="3649"/>
      <c r="BY172" s="3649"/>
      <c r="BZ172" s="3649"/>
      <c r="CA172" s="3649"/>
      <c r="CB172" s="3649"/>
      <c r="CC172" s="3649"/>
      <c r="CD172" s="3649"/>
      <c r="CE172" s="3649"/>
      <c r="CF172" s="3649"/>
      <c r="CG172" s="3649"/>
      <c r="CH172" s="3649"/>
      <c r="CI172" s="3649"/>
      <c r="CJ172" s="2977"/>
    </row>
    <row r="173" spans="1:88">
      <c r="A173" s="53">
        <v>2007.08</v>
      </c>
      <c r="B173" s="613">
        <v>118.65309898422475</v>
      </c>
      <c r="C173" s="3532">
        <v>115.7630780922963</v>
      </c>
      <c r="D173" s="360"/>
      <c r="E173" s="361"/>
      <c r="F173" s="2657"/>
      <c r="G173" s="2657"/>
      <c r="H173" s="2657"/>
      <c r="I173" s="2657"/>
      <c r="J173" s="2657"/>
      <c r="K173" s="2657"/>
      <c r="L173" s="2657"/>
      <c r="M173" s="2657"/>
      <c r="N173" s="2657"/>
      <c r="O173" s="2657"/>
      <c r="P173" s="2657"/>
      <c r="Q173" s="2657"/>
      <c r="R173" s="2658"/>
      <c r="S173" s="3649"/>
      <c r="T173" s="3649"/>
      <c r="U173" s="3649"/>
      <c r="V173" s="3649"/>
      <c r="W173" s="3649"/>
      <c r="X173" s="3649"/>
      <c r="Y173" s="3649"/>
      <c r="Z173" s="3649"/>
      <c r="AA173" s="3649"/>
      <c r="AB173" s="3649"/>
      <c r="AC173" s="3649"/>
      <c r="AD173" s="3649"/>
      <c r="AE173" s="3649"/>
      <c r="AF173" s="3649"/>
      <c r="AG173" s="3649"/>
      <c r="AH173" s="3649"/>
      <c r="AI173" s="3649"/>
      <c r="AJ173" s="3649"/>
      <c r="AK173" s="3649"/>
      <c r="AL173" s="3649"/>
      <c r="AM173" s="3649"/>
      <c r="AN173" s="3649"/>
      <c r="AO173" s="3649"/>
      <c r="AP173" s="3649"/>
      <c r="AQ173" s="3649"/>
      <c r="AR173" s="3649"/>
      <c r="AS173" s="3649"/>
      <c r="AT173" s="3649"/>
      <c r="AU173" s="3649"/>
      <c r="AV173" s="3649"/>
      <c r="AW173" s="3649"/>
      <c r="AX173" s="3649"/>
      <c r="AY173" s="3649"/>
      <c r="AZ173" s="3649"/>
      <c r="BA173" s="3649"/>
      <c r="BB173" s="3649"/>
      <c r="BC173" s="3649"/>
      <c r="BD173" s="3649"/>
      <c r="BE173" s="3649"/>
      <c r="BF173" s="3649"/>
      <c r="BG173" s="3649"/>
      <c r="BH173" s="3649"/>
      <c r="BI173" s="3649"/>
      <c r="BJ173" s="3649"/>
      <c r="BK173" s="3649"/>
      <c r="BL173" s="3649"/>
      <c r="BM173" s="3649"/>
      <c r="BN173" s="3649"/>
      <c r="BO173" s="3649"/>
      <c r="BP173" s="3649"/>
      <c r="BQ173" s="3649"/>
      <c r="BR173" s="3649"/>
      <c r="BS173" s="3649"/>
      <c r="BT173" s="3649"/>
      <c r="BU173" s="3649"/>
      <c r="BV173" s="3649"/>
      <c r="BW173" s="3649"/>
      <c r="BX173" s="3649"/>
      <c r="BY173" s="3649"/>
      <c r="BZ173" s="3649"/>
      <c r="CA173" s="3649"/>
      <c r="CB173" s="3649"/>
      <c r="CC173" s="3649"/>
      <c r="CD173" s="3649"/>
      <c r="CE173" s="3649"/>
      <c r="CF173" s="3649"/>
      <c r="CG173" s="3649"/>
      <c r="CH173" s="3649"/>
      <c r="CI173" s="3649"/>
      <c r="CJ173" s="2977"/>
    </row>
    <row r="174" spans="1:88">
      <c r="A174" s="53">
        <v>2007.09</v>
      </c>
      <c r="B174" s="613">
        <v>118.27031367927957</v>
      </c>
      <c r="C174" s="3532">
        <v>116.35766812000749</v>
      </c>
      <c r="D174" s="360"/>
      <c r="E174" s="361"/>
      <c r="F174" s="2657"/>
      <c r="G174" s="2657"/>
      <c r="H174" s="2657"/>
      <c r="I174" s="2657"/>
      <c r="J174" s="2657"/>
      <c r="K174" s="2657"/>
      <c r="L174" s="2657"/>
      <c r="M174" s="2657"/>
      <c r="N174" s="2657"/>
      <c r="O174" s="2657"/>
      <c r="P174" s="2657"/>
      <c r="Q174" s="2657"/>
      <c r="R174" s="2658"/>
      <c r="S174" s="3649"/>
      <c r="T174" s="3649"/>
      <c r="U174" s="3649"/>
      <c r="V174" s="3649"/>
      <c r="W174" s="3649"/>
      <c r="X174" s="3649"/>
      <c r="Y174" s="3649"/>
      <c r="Z174" s="3649"/>
      <c r="AA174" s="3649"/>
      <c r="AB174" s="3649"/>
      <c r="AC174" s="3649"/>
      <c r="AD174" s="3649"/>
      <c r="AE174" s="3649"/>
      <c r="AF174" s="3649"/>
      <c r="AG174" s="3649"/>
      <c r="AH174" s="3649"/>
      <c r="AI174" s="3649"/>
      <c r="AJ174" s="3649"/>
      <c r="AK174" s="3649"/>
      <c r="AL174" s="3649"/>
      <c r="AM174" s="3649"/>
      <c r="AN174" s="3649"/>
      <c r="AO174" s="3649"/>
      <c r="AP174" s="3649"/>
      <c r="AQ174" s="3649"/>
      <c r="AR174" s="3649"/>
      <c r="AS174" s="3649"/>
      <c r="AT174" s="3649"/>
      <c r="AU174" s="3649"/>
      <c r="AV174" s="3649"/>
      <c r="AW174" s="3649"/>
      <c r="AX174" s="3649"/>
      <c r="AY174" s="3649"/>
      <c r="AZ174" s="3649"/>
      <c r="BA174" s="3649"/>
      <c r="BB174" s="3649"/>
      <c r="BC174" s="3649"/>
      <c r="BD174" s="3649"/>
      <c r="BE174" s="3649"/>
      <c r="BF174" s="3649"/>
      <c r="BG174" s="3649"/>
      <c r="BH174" s="3649"/>
      <c r="BI174" s="3649"/>
      <c r="BJ174" s="3649"/>
      <c r="BK174" s="3649"/>
      <c r="BL174" s="3649"/>
      <c r="BM174" s="3649"/>
      <c r="BN174" s="3649"/>
      <c r="BO174" s="3649"/>
      <c r="BP174" s="3649"/>
      <c r="BQ174" s="3649"/>
      <c r="BR174" s="3649"/>
      <c r="BS174" s="3649"/>
      <c r="BT174" s="3649"/>
      <c r="BU174" s="3649"/>
      <c r="BV174" s="3649"/>
      <c r="BW174" s="3649"/>
      <c r="BX174" s="3649"/>
      <c r="BY174" s="3649"/>
      <c r="BZ174" s="3649"/>
      <c r="CA174" s="3649"/>
      <c r="CB174" s="3649"/>
      <c r="CC174" s="3649"/>
      <c r="CD174" s="3649"/>
      <c r="CE174" s="3649"/>
      <c r="CF174" s="3649"/>
      <c r="CG174" s="3649"/>
      <c r="CH174" s="3649"/>
      <c r="CI174" s="3649"/>
      <c r="CJ174" s="2977"/>
    </row>
    <row r="175" spans="1:88">
      <c r="A175" s="53">
        <v>2007.1</v>
      </c>
      <c r="B175" s="613">
        <v>120.88773752120204</v>
      </c>
      <c r="C175" s="3532">
        <v>116.63036607775095</v>
      </c>
      <c r="D175" s="360"/>
      <c r="E175" s="361"/>
      <c r="F175" s="2657"/>
      <c r="G175" s="2657"/>
      <c r="H175" s="2657"/>
      <c r="I175" s="2657"/>
      <c r="J175" s="2657"/>
      <c r="K175" s="2657"/>
      <c r="L175" s="2657"/>
      <c r="M175" s="2657"/>
      <c r="N175" s="2657"/>
      <c r="O175" s="2657"/>
      <c r="P175" s="2657"/>
      <c r="Q175" s="2657"/>
      <c r="R175" s="2658"/>
      <c r="S175" s="3649"/>
      <c r="T175" s="3649"/>
      <c r="U175" s="3649"/>
      <c r="V175" s="3649"/>
      <c r="W175" s="3649"/>
      <c r="X175" s="3649"/>
      <c r="Y175" s="3649"/>
      <c r="Z175" s="3649"/>
      <c r="AA175" s="3649"/>
      <c r="AB175" s="3649"/>
      <c r="AC175" s="3649"/>
      <c r="AD175" s="3649"/>
      <c r="AE175" s="3649"/>
      <c r="AF175" s="3649"/>
      <c r="AG175" s="3649"/>
      <c r="AH175" s="3649"/>
      <c r="AI175" s="3649"/>
      <c r="AJ175" s="3649"/>
      <c r="AK175" s="3649"/>
      <c r="AL175" s="3649"/>
      <c r="AM175" s="3649"/>
      <c r="AN175" s="3649"/>
      <c r="AO175" s="3649"/>
      <c r="AP175" s="3649"/>
      <c r="AQ175" s="3649"/>
      <c r="AR175" s="3649"/>
      <c r="AS175" s="3649"/>
      <c r="AT175" s="3649"/>
      <c r="AU175" s="3649"/>
      <c r="AV175" s="3649"/>
      <c r="AW175" s="3649"/>
      <c r="AX175" s="3649"/>
      <c r="AY175" s="3649"/>
      <c r="AZ175" s="3649"/>
      <c r="BA175" s="3649"/>
      <c r="BB175" s="3649"/>
      <c r="BC175" s="3649"/>
      <c r="BD175" s="3649"/>
      <c r="BE175" s="3649"/>
      <c r="BF175" s="3649"/>
      <c r="BG175" s="3649"/>
      <c r="BH175" s="3649"/>
      <c r="BI175" s="3649"/>
      <c r="BJ175" s="3649"/>
      <c r="BK175" s="3649"/>
      <c r="BL175" s="3649"/>
      <c r="BM175" s="3649"/>
      <c r="BN175" s="3649"/>
      <c r="BO175" s="3649"/>
      <c r="BP175" s="3649"/>
      <c r="BQ175" s="3649"/>
      <c r="BR175" s="3649"/>
      <c r="BS175" s="3649"/>
      <c r="BT175" s="3649"/>
      <c r="BU175" s="3649"/>
      <c r="BV175" s="3649"/>
      <c r="BW175" s="3649"/>
      <c r="BX175" s="3649"/>
      <c r="BY175" s="3649"/>
      <c r="BZ175" s="3649"/>
      <c r="CA175" s="3649"/>
      <c r="CB175" s="3649"/>
      <c r="CC175" s="3649"/>
      <c r="CD175" s="3649"/>
      <c r="CE175" s="3649"/>
      <c r="CF175" s="3649"/>
      <c r="CG175" s="3649"/>
      <c r="CH175" s="3649"/>
      <c r="CI175" s="3649"/>
      <c r="CJ175" s="2977"/>
    </row>
    <row r="176" spans="1:88">
      <c r="A176" s="53">
        <v>2007.11</v>
      </c>
      <c r="B176" s="613">
        <v>121.29121392371182</v>
      </c>
      <c r="C176" s="3532">
        <v>118.10035367784388</v>
      </c>
      <c r="D176" s="360"/>
      <c r="E176" s="361"/>
      <c r="F176" s="2657"/>
      <c r="G176" s="2657"/>
      <c r="H176" s="2657"/>
      <c r="I176" s="2657"/>
      <c r="J176" s="2657"/>
      <c r="K176" s="2657"/>
      <c r="L176" s="2657"/>
      <c r="M176" s="2657"/>
      <c r="N176" s="2657"/>
      <c r="O176" s="2657"/>
      <c r="P176" s="2657"/>
      <c r="Q176" s="2657"/>
      <c r="R176" s="2658"/>
      <c r="S176" s="3649"/>
      <c r="T176" s="3649"/>
      <c r="U176" s="3649"/>
      <c r="V176" s="3649"/>
      <c r="W176" s="3649"/>
      <c r="X176" s="3649"/>
      <c r="Y176" s="3649"/>
      <c r="Z176" s="3649"/>
      <c r="AA176" s="3649"/>
      <c r="AB176" s="3649"/>
      <c r="AC176" s="3649"/>
      <c r="AD176" s="3649"/>
      <c r="AE176" s="3649"/>
      <c r="AF176" s="3649"/>
      <c r="AG176" s="3649"/>
      <c r="AH176" s="3649"/>
      <c r="AI176" s="3649"/>
      <c r="AJ176" s="3649"/>
      <c r="AK176" s="3649"/>
      <c r="AL176" s="3649"/>
      <c r="AM176" s="3649"/>
      <c r="AN176" s="3649"/>
      <c r="AO176" s="3649"/>
      <c r="AP176" s="3649"/>
      <c r="AQ176" s="3649"/>
      <c r="AR176" s="3649"/>
      <c r="AS176" s="3649"/>
      <c r="AT176" s="3649"/>
      <c r="AU176" s="3649"/>
      <c r="AV176" s="3649"/>
      <c r="AW176" s="3649"/>
      <c r="AX176" s="3649"/>
      <c r="AY176" s="3649"/>
      <c r="AZ176" s="3649"/>
      <c r="BA176" s="3649"/>
      <c r="BB176" s="3649"/>
      <c r="BC176" s="3649"/>
      <c r="BD176" s="3649"/>
      <c r="BE176" s="3649"/>
      <c r="BF176" s="3649"/>
      <c r="BG176" s="3649"/>
      <c r="BH176" s="3649"/>
      <c r="BI176" s="3649"/>
      <c r="BJ176" s="3649"/>
      <c r="BK176" s="3649"/>
      <c r="BL176" s="3649"/>
      <c r="BM176" s="3649"/>
      <c r="BN176" s="3649"/>
      <c r="BO176" s="3649"/>
      <c r="BP176" s="3649"/>
      <c r="BQ176" s="3649"/>
      <c r="BR176" s="3649"/>
      <c r="BS176" s="3649"/>
      <c r="BT176" s="3649"/>
      <c r="BU176" s="3649"/>
      <c r="BV176" s="3649"/>
      <c r="BW176" s="3649"/>
      <c r="BX176" s="3649"/>
      <c r="BY176" s="3649"/>
      <c r="BZ176" s="3649"/>
      <c r="CA176" s="3649"/>
      <c r="CB176" s="3649"/>
      <c r="CC176" s="3649"/>
      <c r="CD176" s="3649"/>
      <c r="CE176" s="3649"/>
      <c r="CF176" s="3649"/>
      <c r="CG176" s="3649"/>
      <c r="CH176" s="3649"/>
      <c r="CI176" s="3649"/>
      <c r="CJ176" s="2977"/>
    </row>
    <row r="177" spans="1:88">
      <c r="A177" s="53">
        <v>2007.12</v>
      </c>
      <c r="B177" s="613">
        <v>116.02532959351997</v>
      </c>
      <c r="C177" s="3532">
        <v>117.90888001750777</v>
      </c>
      <c r="D177" s="360"/>
      <c r="E177" s="361"/>
      <c r="F177" s="2657"/>
      <c r="G177" s="2657"/>
      <c r="H177" s="2657"/>
      <c r="I177" s="2657"/>
      <c r="J177" s="2657"/>
      <c r="K177" s="2657"/>
      <c r="L177" s="2657"/>
      <c r="M177" s="2657"/>
      <c r="N177" s="2657"/>
      <c r="O177" s="2657"/>
      <c r="P177" s="2657"/>
      <c r="Q177" s="2657"/>
      <c r="R177" s="2658"/>
      <c r="S177" s="3649"/>
      <c r="T177" s="3649"/>
      <c r="U177" s="3649"/>
      <c r="V177" s="3649"/>
      <c r="W177" s="3649"/>
      <c r="X177" s="3649"/>
      <c r="Y177" s="3649"/>
      <c r="Z177" s="3649"/>
      <c r="AA177" s="3649"/>
      <c r="AB177" s="3649"/>
      <c r="AC177" s="3649"/>
      <c r="AD177" s="3649"/>
      <c r="AE177" s="3649"/>
      <c r="AF177" s="3649"/>
      <c r="AG177" s="3649"/>
      <c r="AH177" s="3649"/>
      <c r="AI177" s="3649"/>
      <c r="AJ177" s="3649"/>
      <c r="AK177" s="3649"/>
      <c r="AL177" s="3649"/>
      <c r="AM177" s="3649"/>
      <c r="AN177" s="3649"/>
      <c r="AO177" s="3649"/>
      <c r="AP177" s="3649"/>
      <c r="AQ177" s="3649"/>
      <c r="AR177" s="3649"/>
      <c r="AS177" s="3649"/>
      <c r="AT177" s="3649"/>
      <c r="AU177" s="3649"/>
      <c r="AV177" s="3649"/>
      <c r="AW177" s="3649"/>
      <c r="AX177" s="3649"/>
      <c r="AY177" s="3649"/>
      <c r="AZ177" s="3649"/>
      <c r="BA177" s="3649"/>
      <c r="BB177" s="3649"/>
      <c r="BC177" s="3649"/>
      <c r="BD177" s="3649"/>
      <c r="BE177" s="3649"/>
      <c r="BF177" s="3649"/>
      <c r="BG177" s="3649"/>
      <c r="BH177" s="3649"/>
      <c r="BI177" s="3649"/>
      <c r="BJ177" s="3649"/>
      <c r="BK177" s="3649"/>
      <c r="BL177" s="3649"/>
      <c r="BM177" s="3649"/>
      <c r="BN177" s="3649"/>
      <c r="BO177" s="3649"/>
      <c r="BP177" s="3649"/>
      <c r="BQ177" s="3649"/>
      <c r="BR177" s="3649"/>
      <c r="BS177" s="3649"/>
      <c r="BT177" s="3649"/>
      <c r="BU177" s="3649"/>
      <c r="BV177" s="3649"/>
      <c r="BW177" s="3649"/>
      <c r="BX177" s="3649"/>
      <c r="BY177" s="3649"/>
      <c r="BZ177" s="3649"/>
      <c r="CA177" s="3649"/>
      <c r="CB177" s="3649"/>
      <c r="CC177" s="3649"/>
      <c r="CD177" s="3649"/>
      <c r="CE177" s="3649"/>
      <c r="CF177" s="3649"/>
      <c r="CG177" s="3649"/>
      <c r="CH177" s="3649"/>
      <c r="CI177" s="3649"/>
      <c r="CJ177" s="2977"/>
    </row>
    <row r="178" spans="1:88">
      <c r="A178" s="53">
        <v>2008.01</v>
      </c>
      <c r="B178" s="613">
        <v>107.65578062863743</v>
      </c>
      <c r="C178" s="3532">
        <v>118.25198885411235</v>
      </c>
      <c r="D178" s="360"/>
      <c r="E178" s="361"/>
      <c r="F178" s="2657"/>
      <c r="G178" s="2657"/>
      <c r="H178" s="2657"/>
      <c r="I178" s="2657"/>
      <c r="J178" s="2657"/>
      <c r="K178" s="2657"/>
      <c r="L178" s="2657"/>
      <c r="M178" s="2657"/>
      <c r="N178" s="2657"/>
      <c r="O178" s="2657"/>
      <c r="P178" s="2657"/>
      <c r="Q178" s="2657"/>
      <c r="R178" s="2658"/>
      <c r="S178" s="3649"/>
      <c r="T178" s="3649"/>
      <c r="U178" s="3649"/>
      <c r="V178" s="3649"/>
      <c r="W178" s="3649"/>
      <c r="X178" s="3649"/>
      <c r="Y178" s="3649"/>
      <c r="Z178" s="3649"/>
      <c r="AA178" s="3649"/>
      <c r="AB178" s="3649"/>
      <c r="AC178" s="3649"/>
      <c r="AD178" s="3649"/>
      <c r="AE178" s="3649"/>
      <c r="AF178" s="3649"/>
      <c r="AG178" s="3649"/>
      <c r="AH178" s="3649"/>
      <c r="AI178" s="3649"/>
      <c r="AJ178" s="3649"/>
      <c r="AK178" s="3649"/>
      <c r="AL178" s="3649"/>
      <c r="AM178" s="3649"/>
      <c r="AN178" s="3649"/>
      <c r="AO178" s="3649"/>
      <c r="AP178" s="3649"/>
      <c r="AQ178" s="3649"/>
      <c r="AR178" s="3649"/>
      <c r="AS178" s="3649"/>
      <c r="AT178" s="3649"/>
      <c r="AU178" s="3649"/>
      <c r="AV178" s="3649"/>
      <c r="AW178" s="3649"/>
      <c r="AX178" s="3649"/>
      <c r="AY178" s="3649"/>
      <c r="AZ178" s="3649"/>
      <c r="BA178" s="3649"/>
      <c r="BB178" s="3649"/>
      <c r="BC178" s="3649"/>
      <c r="BD178" s="3649"/>
      <c r="BE178" s="3649"/>
      <c r="BF178" s="3649"/>
      <c r="BG178" s="3649"/>
      <c r="BH178" s="3649"/>
      <c r="BI178" s="3649"/>
      <c r="BJ178" s="3649"/>
      <c r="BK178" s="3649"/>
      <c r="BL178" s="3649"/>
      <c r="BM178" s="3649"/>
      <c r="BN178" s="3649"/>
      <c r="BO178" s="3649"/>
      <c r="BP178" s="3649"/>
      <c r="BQ178" s="3649"/>
      <c r="BR178" s="3649"/>
      <c r="BS178" s="3649"/>
      <c r="BT178" s="3649"/>
      <c r="BU178" s="3649"/>
      <c r="BV178" s="3649"/>
      <c r="BW178" s="3649"/>
      <c r="BX178" s="3649"/>
      <c r="BY178" s="3649"/>
      <c r="BZ178" s="3649"/>
      <c r="CA178" s="3649"/>
      <c r="CB178" s="3649"/>
      <c r="CC178" s="3649"/>
      <c r="CD178" s="3649"/>
      <c r="CE178" s="3649"/>
      <c r="CF178" s="3649"/>
      <c r="CG178" s="3649"/>
      <c r="CH178" s="3649"/>
      <c r="CI178" s="3649"/>
      <c r="CJ178" s="2977"/>
    </row>
    <row r="179" spans="1:88">
      <c r="A179" s="53">
        <v>2008.02</v>
      </c>
      <c r="B179" s="613">
        <v>104.15898514021926</v>
      </c>
      <c r="C179" s="3532">
        <v>118.30917211350102</v>
      </c>
      <c r="D179" s="360"/>
      <c r="E179" s="361"/>
      <c r="F179" s="2657"/>
      <c r="G179" s="2657"/>
      <c r="H179" s="2657"/>
      <c r="I179" s="2657"/>
      <c r="J179" s="2657"/>
      <c r="K179" s="2657"/>
      <c r="L179" s="2657"/>
      <c r="M179" s="2657"/>
      <c r="N179" s="2657"/>
      <c r="O179" s="2657"/>
      <c r="P179" s="2657"/>
      <c r="Q179" s="2657"/>
      <c r="R179" s="2658"/>
      <c r="S179" s="3649"/>
      <c r="T179" s="3649"/>
      <c r="U179" s="3649"/>
      <c r="V179" s="3649"/>
      <c r="W179" s="3649"/>
      <c r="X179" s="3649"/>
      <c r="Y179" s="3649"/>
      <c r="Z179" s="3649"/>
      <c r="AA179" s="3649"/>
      <c r="AB179" s="3649"/>
      <c r="AC179" s="3649"/>
      <c r="AD179" s="3649"/>
      <c r="AE179" s="3649"/>
      <c r="AF179" s="3649"/>
      <c r="AG179" s="3649"/>
      <c r="AH179" s="3649"/>
      <c r="AI179" s="3649"/>
      <c r="AJ179" s="3649"/>
      <c r="AK179" s="3649"/>
      <c r="AL179" s="3649"/>
      <c r="AM179" s="3649"/>
      <c r="AN179" s="3649"/>
      <c r="AO179" s="3649"/>
      <c r="AP179" s="3649"/>
      <c r="AQ179" s="3649"/>
      <c r="AR179" s="3649"/>
      <c r="AS179" s="3649"/>
      <c r="AT179" s="3649"/>
      <c r="AU179" s="3649"/>
      <c r="AV179" s="3649"/>
      <c r="AW179" s="3649"/>
      <c r="AX179" s="3649"/>
      <c r="AY179" s="3649"/>
      <c r="AZ179" s="3649"/>
      <c r="BA179" s="3649"/>
      <c r="BB179" s="3649"/>
      <c r="BC179" s="3649"/>
      <c r="BD179" s="3649"/>
      <c r="BE179" s="3649"/>
      <c r="BF179" s="3649"/>
      <c r="BG179" s="3649"/>
      <c r="BH179" s="3649"/>
      <c r="BI179" s="3649"/>
      <c r="BJ179" s="3649"/>
      <c r="BK179" s="3649"/>
      <c r="BL179" s="3649"/>
      <c r="BM179" s="3649"/>
      <c r="BN179" s="3649"/>
      <c r="BO179" s="3649"/>
      <c r="BP179" s="3649"/>
      <c r="BQ179" s="3649"/>
      <c r="BR179" s="3649"/>
      <c r="BS179" s="3649"/>
      <c r="BT179" s="3649"/>
      <c r="BU179" s="3649"/>
      <c r="BV179" s="3649"/>
      <c r="BW179" s="3649"/>
      <c r="BX179" s="3649"/>
      <c r="BY179" s="3649"/>
      <c r="BZ179" s="3649"/>
      <c r="CA179" s="3649"/>
      <c r="CB179" s="3649"/>
      <c r="CC179" s="3649"/>
      <c r="CD179" s="3649"/>
      <c r="CE179" s="3649"/>
      <c r="CF179" s="3649"/>
      <c r="CG179" s="3649"/>
      <c r="CH179" s="3649"/>
      <c r="CI179" s="3649"/>
      <c r="CJ179" s="2977"/>
    </row>
    <row r="180" spans="1:88">
      <c r="A180" s="53">
        <v>2008.03</v>
      </c>
      <c r="B180" s="613">
        <v>113.52170678820281</v>
      </c>
      <c r="C180" s="3532">
        <v>117.64065197511695</v>
      </c>
      <c r="D180" s="360"/>
      <c r="E180" s="361"/>
      <c r="F180" s="2657"/>
      <c r="G180" s="2657"/>
      <c r="H180" s="2657"/>
      <c r="I180" s="2657"/>
      <c r="J180" s="2657"/>
      <c r="K180" s="2657"/>
      <c r="L180" s="2657"/>
      <c r="M180" s="2657"/>
      <c r="N180" s="2657"/>
      <c r="O180" s="2657"/>
      <c r="P180" s="2657"/>
      <c r="Q180" s="2657"/>
      <c r="R180" s="2658"/>
      <c r="S180" s="3649"/>
      <c r="T180" s="3649"/>
      <c r="U180" s="3649"/>
      <c r="V180" s="3649"/>
      <c r="W180" s="3649"/>
      <c r="X180" s="3649"/>
      <c r="Y180" s="3649"/>
      <c r="Z180" s="3649"/>
      <c r="AA180" s="3649"/>
      <c r="AB180" s="3649"/>
      <c r="AC180" s="3649"/>
      <c r="AD180" s="3649"/>
      <c r="AE180" s="3649"/>
      <c r="AF180" s="3649"/>
      <c r="AG180" s="3649"/>
      <c r="AH180" s="3649"/>
      <c r="AI180" s="3649"/>
      <c r="AJ180" s="3649"/>
      <c r="AK180" s="3649"/>
      <c r="AL180" s="3649"/>
      <c r="AM180" s="3649"/>
      <c r="AN180" s="3649"/>
      <c r="AO180" s="3649"/>
      <c r="AP180" s="3649"/>
      <c r="AQ180" s="3649"/>
      <c r="AR180" s="3649"/>
      <c r="AS180" s="3649"/>
      <c r="AT180" s="3649"/>
      <c r="AU180" s="3649"/>
      <c r="AV180" s="3649"/>
      <c r="AW180" s="3649"/>
      <c r="AX180" s="3649"/>
      <c r="AY180" s="3649"/>
      <c r="AZ180" s="3649"/>
      <c r="BA180" s="3649"/>
      <c r="BB180" s="3649"/>
      <c r="BC180" s="3649"/>
      <c r="BD180" s="3649"/>
      <c r="BE180" s="3649"/>
      <c r="BF180" s="3649"/>
      <c r="BG180" s="3649"/>
      <c r="BH180" s="3649"/>
      <c r="BI180" s="3649"/>
      <c r="BJ180" s="3649"/>
      <c r="BK180" s="3649"/>
      <c r="BL180" s="3649"/>
      <c r="BM180" s="3649"/>
      <c r="BN180" s="3649"/>
      <c r="BO180" s="3649"/>
      <c r="BP180" s="3649"/>
      <c r="BQ180" s="3649"/>
      <c r="BR180" s="3649"/>
      <c r="BS180" s="3649"/>
      <c r="BT180" s="3649"/>
      <c r="BU180" s="3649"/>
      <c r="BV180" s="3649"/>
      <c r="BW180" s="3649"/>
      <c r="BX180" s="3649"/>
      <c r="BY180" s="3649"/>
      <c r="BZ180" s="3649"/>
      <c r="CA180" s="3649"/>
      <c r="CB180" s="3649"/>
      <c r="CC180" s="3649"/>
      <c r="CD180" s="3649"/>
      <c r="CE180" s="3649"/>
      <c r="CF180" s="3649"/>
      <c r="CG180" s="3649"/>
      <c r="CH180" s="3649"/>
      <c r="CI180" s="3649"/>
      <c r="CJ180" s="2977"/>
    </row>
    <row r="181" spans="1:88">
      <c r="A181" s="53">
        <v>2008.04</v>
      </c>
      <c r="B181" s="613">
        <v>117.95994721581046</v>
      </c>
      <c r="C181" s="3532">
        <v>119.10008242704303</v>
      </c>
      <c r="D181" s="360"/>
      <c r="E181" s="361"/>
      <c r="F181" s="2657"/>
      <c r="G181" s="2657"/>
      <c r="H181" s="2657"/>
      <c r="I181" s="2657"/>
      <c r="J181" s="2657"/>
      <c r="K181" s="2657"/>
      <c r="L181" s="2657"/>
      <c r="M181" s="2657"/>
      <c r="N181" s="2657"/>
      <c r="O181" s="2657"/>
      <c r="P181" s="2657"/>
      <c r="Q181" s="2657"/>
      <c r="R181" s="2658"/>
      <c r="S181" s="3649"/>
      <c r="T181" s="3649"/>
      <c r="U181" s="3649"/>
      <c r="V181" s="3649"/>
      <c r="W181" s="3649"/>
      <c r="X181" s="3649"/>
      <c r="Y181" s="3649"/>
      <c r="Z181" s="3649"/>
      <c r="AA181" s="3649"/>
      <c r="AB181" s="3649"/>
      <c r="AC181" s="3649"/>
      <c r="AD181" s="3649"/>
      <c r="AE181" s="3649"/>
      <c r="AF181" s="3649"/>
      <c r="AG181" s="3649"/>
      <c r="AH181" s="3649"/>
      <c r="AI181" s="3649"/>
      <c r="AJ181" s="3649"/>
      <c r="AK181" s="3649"/>
      <c r="AL181" s="3649"/>
      <c r="AM181" s="3649"/>
      <c r="AN181" s="3649"/>
      <c r="AO181" s="3649"/>
      <c r="AP181" s="3649"/>
      <c r="AQ181" s="3649"/>
      <c r="AR181" s="3649"/>
      <c r="AS181" s="3649"/>
      <c r="AT181" s="3649"/>
      <c r="AU181" s="3649"/>
      <c r="AV181" s="3649"/>
      <c r="AW181" s="3649"/>
      <c r="AX181" s="3649"/>
      <c r="AY181" s="3649"/>
      <c r="AZ181" s="3649"/>
      <c r="BA181" s="3649"/>
      <c r="BB181" s="3649"/>
      <c r="BC181" s="3649"/>
      <c r="BD181" s="3649"/>
      <c r="BE181" s="3649"/>
      <c r="BF181" s="3649"/>
      <c r="BG181" s="3649"/>
      <c r="BH181" s="3649"/>
      <c r="BI181" s="3649"/>
      <c r="BJ181" s="3649"/>
      <c r="BK181" s="3649"/>
      <c r="BL181" s="3649"/>
      <c r="BM181" s="3649"/>
      <c r="BN181" s="3649"/>
      <c r="BO181" s="3649"/>
      <c r="BP181" s="3649"/>
      <c r="BQ181" s="3649"/>
      <c r="BR181" s="3649"/>
      <c r="BS181" s="3649"/>
      <c r="BT181" s="3649"/>
      <c r="BU181" s="3649"/>
      <c r="BV181" s="3649"/>
      <c r="BW181" s="3649"/>
      <c r="BX181" s="3649"/>
      <c r="BY181" s="3649"/>
      <c r="BZ181" s="3649"/>
      <c r="CA181" s="3649"/>
      <c r="CB181" s="3649"/>
      <c r="CC181" s="3649"/>
      <c r="CD181" s="3649"/>
      <c r="CE181" s="3649"/>
      <c r="CF181" s="3649"/>
      <c r="CG181" s="3649"/>
      <c r="CH181" s="3649"/>
      <c r="CI181" s="3649"/>
      <c r="CJ181" s="2977"/>
    </row>
    <row r="182" spans="1:88">
      <c r="A182" s="53">
        <v>2008.05</v>
      </c>
      <c r="B182" s="613">
        <v>118.43584245979638</v>
      </c>
      <c r="C182" s="3532">
        <v>119.8779579989049</v>
      </c>
      <c r="D182" s="360"/>
      <c r="E182" s="361"/>
      <c r="F182" s="2657"/>
      <c r="G182" s="2657"/>
      <c r="H182" s="2657"/>
      <c r="I182" s="2657"/>
      <c r="J182" s="2657"/>
      <c r="K182" s="2657"/>
      <c r="L182" s="2657"/>
      <c r="M182" s="2657"/>
      <c r="N182" s="2657"/>
      <c r="O182" s="2657"/>
      <c r="P182" s="2657"/>
      <c r="Q182" s="2657"/>
      <c r="R182" s="2658"/>
      <c r="S182" s="3649"/>
      <c r="T182" s="3649"/>
      <c r="U182" s="3649"/>
      <c r="V182" s="3649"/>
      <c r="W182" s="3649"/>
      <c r="X182" s="3649"/>
      <c r="Y182" s="3649"/>
      <c r="Z182" s="3649"/>
      <c r="AA182" s="3649"/>
      <c r="AB182" s="3649"/>
      <c r="AC182" s="3649"/>
      <c r="AD182" s="3649"/>
      <c r="AE182" s="3649"/>
      <c r="AF182" s="3649"/>
      <c r="AG182" s="3649"/>
      <c r="AH182" s="3649"/>
      <c r="AI182" s="3649"/>
      <c r="AJ182" s="3649"/>
      <c r="AK182" s="3649"/>
      <c r="AL182" s="3649"/>
      <c r="AM182" s="3649"/>
      <c r="AN182" s="3649"/>
      <c r="AO182" s="3649"/>
      <c r="AP182" s="3649"/>
      <c r="AQ182" s="3649"/>
      <c r="AR182" s="3649"/>
      <c r="AS182" s="3649"/>
      <c r="AT182" s="3649"/>
      <c r="AU182" s="3649"/>
      <c r="AV182" s="3649"/>
      <c r="AW182" s="3649"/>
      <c r="AX182" s="3649"/>
      <c r="AY182" s="3649"/>
      <c r="AZ182" s="3649"/>
      <c r="BA182" s="3649"/>
      <c r="BB182" s="3649"/>
      <c r="BC182" s="3649"/>
      <c r="BD182" s="3649"/>
      <c r="BE182" s="3649"/>
      <c r="BF182" s="3649"/>
      <c r="BG182" s="3649"/>
      <c r="BH182" s="3649"/>
      <c r="BI182" s="3649"/>
      <c r="BJ182" s="3649"/>
      <c r="BK182" s="3649"/>
      <c r="BL182" s="3649"/>
      <c r="BM182" s="3649"/>
      <c r="BN182" s="3649"/>
      <c r="BO182" s="3649"/>
      <c r="BP182" s="3649"/>
      <c r="BQ182" s="3649"/>
      <c r="BR182" s="3649"/>
      <c r="BS182" s="3649"/>
      <c r="BT182" s="3649"/>
      <c r="BU182" s="3649"/>
      <c r="BV182" s="3649"/>
      <c r="BW182" s="3649"/>
      <c r="BX182" s="3649"/>
      <c r="BY182" s="3649"/>
      <c r="BZ182" s="3649"/>
      <c r="CA182" s="3649"/>
      <c r="CB182" s="3649"/>
      <c r="CC182" s="3649"/>
      <c r="CD182" s="3649"/>
      <c r="CE182" s="3649"/>
      <c r="CF182" s="3649"/>
      <c r="CG182" s="3649"/>
      <c r="CH182" s="3649"/>
      <c r="CI182" s="3649"/>
      <c r="CJ182" s="2977"/>
    </row>
    <row r="183" spans="1:88">
      <c r="A183" s="53">
        <v>2008.06</v>
      </c>
      <c r="B183" s="613">
        <v>110.49046099498823</v>
      </c>
      <c r="C183" s="3532">
        <v>120.26404205876464</v>
      </c>
      <c r="D183" s="360"/>
      <c r="E183" s="361"/>
      <c r="F183" s="2657"/>
      <c r="G183" s="2657"/>
      <c r="H183" s="2657"/>
      <c r="I183" s="2657"/>
      <c r="J183" s="2657"/>
      <c r="K183" s="2657"/>
      <c r="L183" s="2657"/>
      <c r="M183" s="2657"/>
      <c r="N183" s="2657"/>
      <c r="O183" s="2657"/>
      <c r="P183" s="2657"/>
      <c r="Q183" s="2657"/>
      <c r="R183" s="2658"/>
      <c r="S183" s="3649"/>
      <c r="T183" s="3649"/>
      <c r="U183" s="3649"/>
      <c r="V183" s="3649"/>
      <c r="W183" s="3649"/>
      <c r="X183" s="3649"/>
      <c r="Y183" s="3649"/>
      <c r="Z183" s="3649"/>
      <c r="AA183" s="3649"/>
      <c r="AB183" s="3649"/>
      <c r="AC183" s="3649"/>
      <c r="AD183" s="3649"/>
      <c r="AE183" s="3649"/>
      <c r="AF183" s="3649"/>
      <c r="AG183" s="3649"/>
      <c r="AH183" s="3649"/>
      <c r="AI183" s="3649"/>
      <c r="AJ183" s="3649"/>
      <c r="AK183" s="3649"/>
      <c r="AL183" s="3649"/>
      <c r="AM183" s="3649"/>
      <c r="AN183" s="3649"/>
      <c r="AO183" s="3649"/>
      <c r="AP183" s="3649"/>
      <c r="AQ183" s="3649"/>
      <c r="AR183" s="3649"/>
      <c r="AS183" s="3649"/>
      <c r="AT183" s="3649"/>
      <c r="AU183" s="3649"/>
      <c r="AV183" s="3649"/>
      <c r="AW183" s="3649"/>
      <c r="AX183" s="3649"/>
      <c r="AY183" s="3649"/>
      <c r="AZ183" s="3649"/>
      <c r="BA183" s="3649"/>
      <c r="BB183" s="3649"/>
      <c r="BC183" s="3649"/>
      <c r="BD183" s="3649"/>
      <c r="BE183" s="3649"/>
      <c r="BF183" s="3649"/>
      <c r="BG183" s="3649"/>
      <c r="BH183" s="3649"/>
      <c r="BI183" s="3649"/>
      <c r="BJ183" s="3649"/>
      <c r="BK183" s="3649"/>
      <c r="BL183" s="3649"/>
      <c r="BM183" s="3649"/>
      <c r="BN183" s="3649"/>
      <c r="BO183" s="3649"/>
      <c r="BP183" s="3649"/>
      <c r="BQ183" s="3649"/>
      <c r="BR183" s="3649"/>
      <c r="BS183" s="3649"/>
      <c r="BT183" s="3649"/>
      <c r="BU183" s="3649"/>
      <c r="BV183" s="3649"/>
      <c r="BW183" s="3649"/>
      <c r="BX183" s="3649"/>
      <c r="BY183" s="3649"/>
      <c r="BZ183" s="3649"/>
      <c r="CA183" s="3649"/>
      <c r="CB183" s="3649"/>
      <c r="CC183" s="3649"/>
      <c r="CD183" s="3649"/>
      <c r="CE183" s="3649"/>
      <c r="CF183" s="3649"/>
      <c r="CG183" s="3649"/>
      <c r="CH183" s="3649"/>
      <c r="CI183" s="3649"/>
      <c r="CJ183" s="2977"/>
    </row>
    <row r="184" spans="1:88">
      <c r="A184" s="53">
        <v>2008.07</v>
      </c>
      <c r="B184" s="613">
        <v>118.33238697197334</v>
      </c>
      <c r="C184" s="3532">
        <v>120.62670438234321</v>
      </c>
      <c r="D184" s="360"/>
      <c r="E184" s="361"/>
      <c r="F184" s="2657"/>
      <c r="G184" s="2657"/>
      <c r="H184" s="2657"/>
      <c r="I184" s="2657"/>
      <c r="J184" s="2657"/>
      <c r="K184" s="2657"/>
      <c r="L184" s="2657"/>
      <c r="M184" s="2657"/>
      <c r="N184" s="2657"/>
      <c r="O184" s="2657"/>
      <c r="P184" s="2657"/>
      <c r="Q184" s="2657"/>
      <c r="R184" s="2658"/>
      <c r="S184" s="3649"/>
      <c r="T184" s="3649"/>
      <c r="U184" s="3649"/>
      <c r="V184" s="3649"/>
      <c r="W184" s="3649"/>
      <c r="X184" s="3649"/>
      <c r="Y184" s="3649"/>
      <c r="Z184" s="3649"/>
      <c r="AA184" s="3649"/>
      <c r="AB184" s="3649"/>
      <c r="AC184" s="3649"/>
      <c r="AD184" s="3649"/>
      <c r="AE184" s="3649"/>
      <c r="AF184" s="3649"/>
      <c r="AG184" s="3649"/>
      <c r="AH184" s="3649"/>
      <c r="AI184" s="3649"/>
      <c r="AJ184" s="3649"/>
      <c r="AK184" s="3649"/>
      <c r="AL184" s="3649"/>
      <c r="AM184" s="3649"/>
      <c r="AN184" s="3649"/>
      <c r="AO184" s="3649"/>
      <c r="AP184" s="3649"/>
      <c r="AQ184" s="3649"/>
      <c r="AR184" s="3649"/>
      <c r="AS184" s="3649"/>
      <c r="AT184" s="3649"/>
      <c r="AU184" s="3649"/>
      <c r="AV184" s="3649"/>
      <c r="AW184" s="3649"/>
      <c r="AX184" s="3649"/>
      <c r="AY184" s="3649"/>
      <c r="AZ184" s="3649"/>
      <c r="BA184" s="3649"/>
      <c r="BB184" s="3649"/>
      <c r="BC184" s="3649"/>
      <c r="BD184" s="3649"/>
      <c r="BE184" s="3649"/>
      <c r="BF184" s="3649"/>
      <c r="BG184" s="3649"/>
      <c r="BH184" s="3649"/>
      <c r="BI184" s="3649"/>
      <c r="BJ184" s="3649"/>
      <c r="BK184" s="3649"/>
      <c r="BL184" s="3649"/>
      <c r="BM184" s="3649"/>
      <c r="BN184" s="3649"/>
      <c r="BO184" s="3649"/>
      <c r="BP184" s="3649"/>
      <c r="BQ184" s="3649"/>
      <c r="BR184" s="3649"/>
      <c r="BS184" s="3649"/>
      <c r="BT184" s="3649"/>
      <c r="BU184" s="3649"/>
      <c r="BV184" s="3649"/>
      <c r="BW184" s="3649"/>
      <c r="BX184" s="3649"/>
      <c r="BY184" s="3649"/>
      <c r="BZ184" s="3649"/>
      <c r="CA184" s="3649"/>
      <c r="CB184" s="3649"/>
      <c r="CC184" s="3649"/>
      <c r="CD184" s="3649"/>
      <c r="CE184" s="3649"/>
      <c r="CF184" s="3649"/>
      <c r="CG184" s="3649"/>
      <c r="CH184" s="3649"/>
      <c r="CI184" s="3649"/>
      <c r="CJ184" s="2977"/>
    </row>
    <row r="185" spans="1:88">
      <c r="A185" s="53">
        <v>2008.08</v>
      </c>
      <c r="B185" s="613">
        <v>123.32928703382534</v>
      </c>
      <c r="C185" s="3532">
        <v>121.67246158695301</v>
      </c>
      <c r="D185" s="360"/>
      <c r="E185" s="361"/>
      <c r="F185" s="2657"/>
      <c r="G185" s="2657"/>
      <c r="H185" s="2657"/>
      <c r="I185" s="2657"/>
      <c r="J185" s="2657"/>
      <c r="K185" s="2657"/>
      <c r="L185" s="2657"/>
      <c r="M185" s="2657"/>
      <c r="N185" s="2657"/>
      <c r="O185" s="2657"/>
      <c r="P185" s="2657"/>
      <c r="Q185" s="2657"/>
      <c r="R185" s="2658"/>
      <c r="S185" s="3649"/>
      <c r="T185" s="3649"/>
      <c r="U185" s="3649"/>
      <c r="V185" s="3649"/>
      <c r="W185" s="3649"/>
      <c r="X185" s="3649"/>
      <c r="Y185" s="3649"/>
      <c r="Z185" s="3649"/>
      <c r="AA185" s="3649"/>
      <c r="AB185" s="3649"/>
      <c r="AC185" s="3649"/>
      <c r="AD185" s="3649"/>
      <c r="AE185" s="3649"/>
      <c r="AF185" s="3649"/>
      <c r="AG185" s="3649"/>
      <c r="AH185" s="3649"/>
      <c r="AI185" s="3649"/>
      <c r="AJ185" s="3649"/>
      <c r="AK185" s="3649"/>
      <c r="AL185" s="3649"/>
      <c r="AM185" s="3649"/>
      <c r="AN185" s="3649"/>
      <c r="AO185" s="3649"/>
      <c r="AP185" s="3649"/>
      <c r="AQ185" s="3649"/>
      <c r="AR185" s="3649"/>
      <c r="AS185" s="3649"/>
      <c r="AT185" s="3649"/>
      <c r="AU185" s="3649"/>
      <c r="AV185" s="3649"/>
      <c r="AW185" s="3649"/>
      <c r="AX185" s="3649"/>
      <c r="AY185" s="3649"/>
      <c r="AZ185" s="3649"/>
      <c r="BA185" s="3649"/>
      <c r="BB185" s="3649"/>
      <c r="BC185" s="3649"/>
      <c r="BD185" s="3649"/>
      <c r="BE185" s="3649"/>
      <c r="BF185" s="3649"/>
      <c r="BG185" s="3649"/>
      <c r="BH185" s="3649"/>
      <c r="BI185" s="3649"/>
      <c r="BJ185" s="3649"/>
      <c r="BK185" s="3649"/>
      <c r="BL185" s="3649"/>
      <c r="BM185" s="3649"/>
      <c r="BN185" s="3649"/>
      <c r="BO185" s="3649"/>
      <c r="BP185" s="3649"/>
      <c r="BQ185" s="3649"/>
      <c r="BR185" s="3649"/>
      <c r="BS185" s="3649"/>
      <c r="BT185" s="3649"/>
      <c r="BU185" s="3649"/>
      <c r="BV185" s="3649"/>
      <c r="BW185" s="3649"/>
      <c r="BX185" s="3649"/>
      <c r="BY185" s="3649"/>
      <c r="BZ185" s="3649"/>
      <c r="CA185" s="3649"/>
      <c r="CB185" s="3649"/>
      <c r="CC185" s="3649"/>
      <c r="CD185" s="3649"/>
      <c r="CE185" s="3649"/>
      <c r="CF185" s="3649"/>
      <c r="CG185" s="3649"/>
      <c r="CH185" s="3649"/>
      <c r="CI185" s="3649"/>
      <c r="CJ185" s="2977"/>
    </row>
    <row r="186" spans="1:88">
      <c r="A186" s="53">
        <v>2008.09</v>
      </c>
      <c r="B186" s="613">
        <v>125.25355910733356</v>
      </c>
      <c r="C186" s="3532">
        <v>120.80380383522389</v>
      </c>
      <c r="D186" s="360"/>
      <c r="E186" s="361"/>
      <c r="F186" s="2657"/>
      <c r="G186" s="2657"/>
      <c r="H186" s="2657"/>
      <c r="I186" s="2657"/>
      <c r="J186" s="2657"/>
      <c r="K186" s="2657"/>
      <c r="L186" s="2657"/>
      <c r="M186" s="2657"/>
      <c r="N186" s="2657"/>
      <c r="O186" s="2657"/>
      <c r="P186" s="2657"/>
      <c r="Q186" s="2657"/>
      <c r="R186" s="2658"/>
      <c r="S186" s="3649"/>
      <c r="T186" s="3649"/>
      <c r="U186" s="3649"/>
      <c r="V186" s="3649"/>
      <c r="W186" s="3649"/>
      <c r="X186" s="3649"/>
      <c r="Y186" s="3649"/>
      <c r="Z186" s="3649"/>
      <c r="AA186" s="3649"/>
      <c r="AB186" s="3649"/>
      <c r="AC186" s="3649"/>
      <c r="AD186" s="3649"/>
      <c r="AE186" s="3649"/>
      <c r="AF186" s="3649"/>
      <c r="AG186" s="3649"/>
      <c r="AH186" s="3649"/>
      <c r="AI186" s="3649"/>
      <c r="AJ186" s="3649"/>
      <c r="AK186" s="3649"/>
      <c r="AL186" s="3649"/>
      <c r="AM186" s="3649"/>
      <c r="AN186" s="3649"/>
      <c r="AO186" s="3649"/>
      <c r="AP186" s="3649"/>
      <c r="AQ186" s="3649"/>
      <c r="AR186" s="3649"/>
      <c r="AS186" s="3649"/>
      <c r="AT186" s="3649"/>
      <c r="AU186" s="3649"/>
      <c r="AV186" s="3649"/>
      <c r="AW186" s="3649"/>
      <c r="AX186" s="3649"/>
      <c r="AY186" s="3649"/>
      <c r="AZ186" s="3649"/>
      <c r="BA186" s="3649"/>
      <c r="BB186" s="3649"/>
      <c r="BC186" s="3649"/>
      <c r="BD186" s="3649"/>
      <c r="BE186" s="3649"/>
      <c r="BF186" s="3649"/>
      <c r="BG186" s="3649"/>
      <c r="BH186" s="3649"/>
      <c r="BI186" s="3649"/>
      <c r="BJ186" s="3649"/>
      <c r="BK186" s="3649"/>
      <c r="BL186" s="3649"/>
      <c r="BM186" s="3649"/>
      <c r="BN186" s="3649"/>
      <c r="BO186" s="3649"/>
      <c r="BP186" s="3649"/>
      <c r="BQ186" s="3649"/>
      <c r="BR186" s="3649"/>
      <c r="BS186" s="3649"/>
      <c r="BT186" s="3649"/>
      <c r="BU186" s="3649"/>
      <c r="BV186" s="3649"/>
      <c r="BW186" s="3649"/>
      <c r="BX186" s="3649"/>
      <c r="BY186" s="3649"/>
      <c r="BZ186" s="3649"/>
      <c r="CA186" s="3649"/>
      <c r="CB186" s="3649"/>
      <c r="CC186" s="3649"/>
      <c r="CD186" s="3649"/>
      <c r="CE186" s="3649"/>
      <c r="CF186" s="3649"/>
      <c r="CG186" s="3649"/>
      <c r="CH186" s="3649"/>
      <c r="CI186" s="3649"/>
      <c r="CJ186" s="2977"/>
    </row>
    <row r="187" spans="1:88">
      <c r="A187" s="53">
        <v>2008.1</v>
      </c>
      <c r="B187" s="613">
        <v>124.001747704675</v>
      </c>
      <c r="C187" s="3532">
        <v>119.52367560960481</v>
      </c>
      <c r="D187" s="360"/>
      <c r="E187" s="361"/>
      <c r="F187" s="2657"/>
      <c r="G187" s="2657"/>
      <c r="H187" s="2657"/>
      <c r="I187" s="2657"/>
      <c r="J187" s="2657"/>
      <c r="K187" s="2657"/>
      <c r="L187" s="2657"/>
      <c r="M187" s="2657"/>
      <c r="N187" s="2657"/>
      <c r="O187" s="2657"/>
      <c r="P187" s="2657"/>
      <c r="Q187" s="2657"/>
      <c r="R187" s="2658"/>
      <c r="S187" s="3649"/>
      <c r="T187" s="3649"/>
      <c r="U187" s="3649"/>
      <c r="V187" s="3649"/>
      <c r="W187" s="3649"/>
      <c r="X187" s="3649"/>
      <c r="Y187" s="3649"/>
      <c r="Z187" s="3649"/>
      <c r="AA187" s="3649"/>
      <c r="AB187" s="3649"/>
      <c r="AC187" s="3649"/>
      <c r="AD187" s="3649"/>
      <c r="AE187" s="3649"/>
      <c r="AF187" s="3649"/>
      <c r="AG187" s="3649"/>
      <c r="AH187" s="3649"/>
      <c r="AI187" s="3649"/>
      <c r="AJ187" s="3649"/>
      <c r="AK187" s="3649"/>
      <c r="AL187" s="3649"/>
      <c r="AM187" s="3649"/>
      <c r="AN187" s="3649"/>
      <c r="AO187" s="3649"/>
      <c r="AP187" s="3649"/>
      <c r="AQ187" s="3649"/>
      <c r="AR187" s="3649"/>
      <c r="AS187" s="3649"/>
      <c r="AT187" s="3649"/>
      <c r="AU187" s="3649"/>
      <c r="AV187" s="3649"/>
      <c r="AW187" s="3649"/>
      <c r="AX187" s="3649"/>
      <c r="AY187" s="3649"/>
      <c r="AZ187" s="3649"/>
      <c r="BA187" s="3649"/>
      <c r="BB187" s="3649"/>
      <c r="BC187" s="3649"/>
      <c r="BD187" s="3649"/>
      <c r="BE187" s="3649"/>
      <c r="BF187" s="3649"/>
      <c r="BG187" s="3649"/>
      <c r="BH187" s="3649"/>
      <c r="BI187" s="3649"/>
      <c r="BJ187" s="3649"/>
      <c r="BK187" s="3649"/>
      <c r="BL187" s="3649"/>
      <c r="BM187" s="3649"/>
      <c r="BN187" s="3649"/>
      <c r="BO187" s="3649"/>
      <c r="BP187" s="3649"/>
      <c r="BQ187" s="3649"/>
      <c r="BR187" s="3649"/>
      <c r="BS187" s="3649"/>
      <c r="BT187" s="3649"/>
      <c r="BU187" s="3649"/>
      <c r="BV187" s="3649"/>
      <c r="BW187" s="3649"/>
      <c r="BX187" s="3649"/>
      <c r="BY187" s="3649"/>
      <c r="BZ187" s="3649"/>
      <c r="CA187" s="3649"/>
      <c r="CB187" s="3649"/>
      <c r="CC187" s="3649"/>
      <c r="CD187" s="3649"/>
      <c r="CE187" s="3649"/>
      <c r="CF187" s="3649"/>
      <c r="CG187" s="3649"/>
      <c r="CH187" s="3649"/>
      <c r="CI187" s="3649"/>
      <c r="CJ187" s="2977"/>
    </row>
    <row r="188" spans="1:88">
      <c r="A188" s="53">
        <v>2008.11</v>
      </c>
      <c r="B188" s="613">
        <v>120.68082654555599</v>
      </c>
      <c r="C188" s="3532">
        <v>118.44426042165458</v>
      </c>
      <c r="D188" s="360"/>
      <c r="E188" s="361"/>
      <c r="F188" s="2657"/>
      <c r="G188" s="2657"/>
      <c r="H188" s="2657"/>
      <c r="I188" s="2657"/>
      <c r="J188" s="2657"/>
      <c r="K188" s="2657"/>
      <c r="L188" s="2657"/>
      <c r="M188" s="2657"/>
      <c r="N188" s="2657"/>
      <c r="O188" s="2657"/>
      <c r="P188" s="2657"/>
      <c r="Q188" s="2657"/>
      <c r="R188" s="2658"/>
      <c r="S188" s="3649"/>
      <c r="T188" s="3649"/>
      <c r="U188" s="3649"/>
      <c r="V188" s="3649"/>
      <c r="W188" s="3649"/>
      <c r="X188" s="3649"/>
      <c r="Y188" s="3649"/>
      <c r="Z188" s="3649"/>
      <c r="AA188" s="3649"/>
      <c r="AB188" s="3649"/>
      <c r="AC188" s="3649"/>
      <c r="AD188" s="3649"/>
      <c r="AE188" s="3649"/>
      <c r="AF188" s="3649"/>
      <c r="AG188" s="3649"/>
      <c r="AH188" s="3649"/>
      <c r="AI188" s="3649"/>
      <c r="AJ188" s="3649"/>
      <c r="AK188" s="3649"/>
      <c r="AL188" s="3649"/>
      <c r="AM188" s="3649"/>
      <c r="AN188" s="3649"/>
      <c r="AO188" s="3649"/>
      <c r="AP188" s="3649"/>
      <c r="AQ188" s="3649"/>
      <c r="AR188" s="3649"/>
      <c r="AS188" s="3649"/>
      <c r="AT188" s="3649"/>
      <c r="AU188" s="3649"/>
      <c r="AV188" s="3649"/>
      <c r="AW188" s="3649"/>
      <c r="AX188" s="3649"/>
      <c r="AY188" s="3649"/>
      <c r="AZ188" s="3649"/>
      <c r="BA188" s="3649"/>
      <c r="BB188" s="3649"/>
      <c r="BC188" s="3649"/>
      <c r="BD188" s="3649"/>
      <c r="BE188" s="3649"/>
      <c r="BF188" s="3649"/>
      <c r="BG188" s="3649"/>
      <c r="BH188" s="3649"/>
      <c r="BI188" s="3649"/>
      <c r="BJ188" s="3649"/>
      <c r="BK188" s="3649"/>
      <c r="BL188" s="3649"/>
      <c r="BM188" s="3649"/>
      <c r="BN188" s="3649"/>
      <c r="BO188" s="3649"/>
      <c r="BP188" s="3649"/>
      <c r="BQ188" s="3649"/>
      <c r="BR188" s="3649"/>
      <c r="BS188" s="3649"/>
      <c r="BT188" s="3649"/>
      <c r="BU188" s="3649"/>
      <c r="BV188" s="3649"/>
      <c r="BW188" s="3649"/>
      <c r="BX188" s="3649"/>
      <c r="BY188" s="3649"/>
      <c r="BZ188" s="3649"/>
      <c r="CA188" s="3649"/>
      <c r="CB188" s="3649"/>
      <c r="CC188" s="3649"/>
      <c r="CD188" s="3649"/>
      <c r="CE188" s="3649"/>
      <c r="CF188" s="3649"/>
      <c r="CG188" s="3649"/>
      <c r="CH188" s="3649"/>
      <c r="CI188" s="3649"/>
      <c r="CJ188" s="2977"/>
    </row>
    <row r="189" spans="1:88">
      <c r="A189" s="53">
        <v>2008.12</v>
      </c>
      <c r="B189" s="613">
        <v>118.12547599632732</v>
      </c>
      <c r="C189" s="3532">
        <v>116.47621093377123</v>
      </c>
      <c r="D189" s="360"/>
      <c r="E189" s="361"/>
      <c r="F189" s="2657"/>
      <c r="G189" s="2657"/>
      <c r="H189" s="2657"/>
      <c r="I189" s="2657"/>
      <c r="J189" s="2657"/>
      <c r="K189" s="2657"/>
      <c r="L189" s="2657"/>
      <c r="M189" s="2657"/>
      <c r="N189" s="2657"/>
      <c r="O189" s="2657"/>
      <c r="P189" s="2657"/>
      <c r="Q189" s="2657"/>
      <c r="R189" s="2658"/>
      <c r="S189" s="3649"/>
      <c r="T189" s="3649"/>
      <c r="U189" s="3649"/>
      <c r="V189" s="3649"/>
      <c r="W189" s="3649"/>
      <c r="X189" s="3649"/>
      <c r="Y189" s="3649"/>
      <c r="Z189" s="3649"/>
      <c r="AA189" s="3649"/>
      <c r="AB189" s="3649"/>
      <c r="AC189" s="3649"/>
      <c r="AD189" s="3649"/>
      <c r="AE189" s="3649"/>
      <c r="AF189" s="3649"/>
      <c r="AG189" s="3649"/>
      <c r="AH189" s="3649"/>
      <c r="AI189" s="3649"/>
      <c r="AJ189" s="3649"/>
      <c r="AK189" s="3649"/>
      <c r="AL189" s="3649"/>
      <c r="AM189" s="3649"/>
      <c r="AN189" s="3649"/>
      <c r="AO189" s="3649"/>
      <c r="AP189" s="3649"/>
      <c r="AQ189" s="3649"/>
      <c r="AR189" s="3649"/>
      <c r="AS189" s="3649"/>
      <c r="AT189" s="3649"/>
      <c r="AU189" s="3649"/>
      <c r="AV189" s="3649"/>
      <c r="AW189" s="3649"/>
      <c r="AX189" s="3649"/>
      <c r="AY189" s="3649"/>
      <c r="AZ189" s="3649"/>
      <c r="BA189" s="3649"/>
      <c r="BB189" s="3649"/>
      <c r="BC189" s="3649"/>
      <c r="BD189" s="3649"/>
      <c r="BE189" s="3649"/>
      <c r="BF189" s="3649"/>
      <c r="BG189" s="3649"/>
      <c r="BH189" s="3649"/>
      <c r="BI189" s="3649"/>
      <c r="BJ189" s="3649"/>
      <c r="BK189" s="3649"/>
      <c r="BL189" s="3649"/>
      <c r="BM189" s="3649"/>
      <c r="BN189" s="3649"/>
      <c r="BO189" s="3649"/>
      <c r="BP189" s="3649"/>
      <c r="BQ189" s="3649"/>
      <c r="BR189" s="3649"/>
      <c r="BS189" s="3649"/>
      <c r="BT189" s="3649"/>
      <c r="BU189" s="3649"/>
      <c r="BV189" s="3649"/>
      <c r="BW189" s="3649"/>
      <c r="BX189" s="3649"/>
      <c r="BY189" s="3649"/>
      <c r="BZ189" s="3649"/>
      <c r="CA189" s="3649"/>
      <c r="CB189" s="3649"/>
      <c r="CC189" s="3649"/>
      <c r="CD189" s="3649"/>
      <c r="CE189" s="3649"/>
      <c r="CF189" s="3649"/>
      <c r="CG189" s="3649"/>
      <c r="CH189" s="3649"/>
      <c r="CI189" s="3649"/>
      <c r="CJ189" s="2977"/>
    </row>
    <row r="190" spans="1:88">
      <c r="A190" s="53">
        <v>2009.01</v>
      </c>
      <c r="B190" s="613">
        <v>102.0795298349765</v>
      </c>
      <c r="C190" s="3532">
        <v>116.65854703641835</v>
      </c>
      <c r="D190" s="360"/>
      <c r="E190" s="361"/>
      <c r="F190" s="2657"/>
      <c r="G190" s="2657"/>
      <c r="H190" s="2657"/>
      <c r="I190" s="2657"/>
      <c r="J190" s="2657"/>
      <c r="K190" s="2657"/>
      <c r="L190" s="2657"/>
      <c r="M190" s="2657"/>
      <c r="N190" s="2657"/>
      <c r="O190" s="2657"/>
      <c r="P190" s="2657"/>
      <c r="Q190" s="2657"/>
      <c r="R190" s="2658"/>
      <c r="S190" s="3649"/>
      <c r="T190" s="3649"/>
      <c r="U190" s="3649"/>
      <c r="V190" s="3649"/>
      <c r="W190" s="3649"/>
      <c r="X190" s="3649"/>
      <c r="Y190" s="3649"/>
      <c r="Z190" s="3649"/>
      <c r="AA190" s="3649"/>
      <c r="AB190" s="3649"/>
      <c r="AC190" s="3649"/>
      <c r="AD190" s="3649"/>
      <c r="AE190" s="3649"/>
      <c r="AF190" s="3649"/>
      <c r="AG190" s="3649"/>
      <c r="AH190" s="3649"/>
      <c r="AI190" s="3649"/>
      <c r="AJ190" s="3649"/>
      <c r="AK190" s="3649"/>
      <c r="AL190" s="3649"/>
      <c r="AM190" s="3649"/>
      <c r="AN190" s="3649"/>
      <c r="AO190" s="3649"/>
      <c r="AP190" s="3649"/>
      <c r="AQ190" s="3649"/>
      <c r="AR190" s="3649"/>
      <c r="AS190" s="3649"/>
      <c r="AT190" s="3649"/>
      <c r="AU190" s="3649"/>
      <c r="AV190" s="3649"/>
      <c r="AW190" s="3649"/>
      <c r="AX190" s="3649"/>
      <c r="AY190" s="3649"/>
      <c r="AZ190" s="3649"/>
      <c r="BA190" s="3649"/>
      <c r="BB190" s="3649"/>
      <c r="BC190" s="3649"/>
      <c r="BD190" s="3649"/>
      <c r="BE190" s="3649"/>
      <c r="BF190" s="3649"/>
      <c r="BG190" s="3649"/>
      <c r="BH190" s="3649"/>
      <c r="BI190" s="3649"/>
      <c r="BJ190" s="3649"/>
      <c r="BK190" s="3649"/>
      <c r="BL190" s="3649"/>
      <c r="BM190" s="3649"/>
      <c r="BN190" s="3649"/>
      <c r="BO190" s="3649"/>
      <c r="BP190" s="3649"/>
      <c r="BQ190" s="3649"/>
      <c r="BR190" s="3649"/>
      <c r="BS190" s="3649"/>
      <c r="BT190" s="3649"/>
      <c r="BU190" s="3649"/>
      <c r="BV190" s="3649"/>
      <c r="BW190" s="3649"/>
      <c r="BX190" s="3649"/>
      <c r="BY190" s="3649"/>
      <c r="BZ190" s="3649"/>
      <c r="CA190" s="3649"/>
      <c r="CB190" s="3649"/>
      <c r="CC190" s="3649"/>
      <c r="CD190" s="3649"/>
      <c r="CE190" s="3649"/>
      <c r="CF190" s="3649"/>
      <c r="CG190" s="3649"/>
      <c r="CH190" s="3649"/>
      <c r="CI190" s="3649"/>
      <c r="CJ190" s="2977"/>
    </row>
    <row r="191" spans="1:88">
      <c r="A191" s="53">
        <v>2009.02</v>
      </c>
      <c r="B191" s="613">
        <v>102.13125757888801</v>
      </c>
      <c r="C191" s="3532">
        <v>114.93814750765863</v>
      </c>
      <c r="D191" s="360"/>
      <c r="E191" s="361"/>
      <c r="F191" s="2657"/>
      <c r="G191" s="2657"/>
      <c r="H191" s="2657"/>
      <c r="I191" s="2657"/>
      <c r="J191" s="2657"/>
      <c r="K191" s="2657"/>
      <c r="L191" s="2657"/>
      <c r="M191" s="2657"/>
      <c r="N191" s="2657"/>
      <c r="O191" s="2657"/>
      <c r="P191" s="2657"/>
      <c r="Q191" s="2657"/>
      <c r="R191" s="2658"/>
      <c r="S191" s="3649"/>
      <c r="T191" s="3649"/>
      <c r="U191" s="3649"/>
      <c r="V191" s="3649"/>
      <c r="W191" s="3649"/>
      <c r="X191" s="3649"/>
      <c r="Y191" s="3649"/>
      <c r="Z191" s="3649"/>
      <c r="AA191" s="3649"/>
      <c r="AB191" s="3649"/>
      <c r="AC191" s="3649"/>
      <c r="AD191" s="3649"/>
      <c r="AE191" s="3649"/>
      <c r="AF191" s="3649"/>
      <c r="AG191" s="3649"/>
      <c r="AH191" s="3649"/>
      <c r="AI191" s="3649"/>
      <c r="AJ191" s="3649"/>
      <c r="AK191" s="3649"/>
      <c r="AL191" s="3649"/>
      <c r="AM191" s="3649"/>
      <c r="AN191" s="3649"/>
      <c r="AO191" s="3649"/>
      <c r="AP191" s="3649"/>
      <c r="AQ191" s="3649"/>
      <c r="AR191" s="3649"/>
      <c r="AS191" s="3649"/>
      <c r="AT191" s="3649"/>
      <c r="AU191" s="3649"/>
      <c r="AV191" s="3649"/>
      <c r="AW191" s="3649"/>
      <c r="AX191" s="3649"/>
      <c r="AY191" s="3649"/>
      <c r="AZ191" s="3649"/>
      <c r="BA191" s="3649"/>
      <c r="BB191" s="3649"/>
      <c r="BC191" s="3649"/>
      <c r="BD191" s="3649"/>
      <c r="BE191" s="3649"/>
      <c r="BF191" s="3649"/>
      <c r="BG191" s="3649"/>
      <c r="BH191" s="3649"/>
      <c r="BI191" s="3649"/>
      <c r="BJ191" s="3649"/>
      <c r="BK191" s="3649"/>
      <c r="BL191" s="3649"/>
      <c r="BM191" s="3649"/>
      <c r="BN191" s="3649"/>
      <c r="BO191" s="3649"/>
      <c r="BP191" s="3649"/>
      <c r="BQ191" s="3649"/>
      <c r="BR191" s="3649"/>
      <c r="BS191" s="3649"/>
      <c r="BT191" s="3649"/>
      <c r="BU191" s="3649"/>
      <c r="BV191" s="3649"/>
      <c r="BW191" s="3649"/>
      <c r="BX191" s="3649"/>
      <c r="BY191" s="3649"/>
      <c r="BZ191" s="3649"/>
      <c r="CA191" s="3649"/>
      <c r="CB191" s="3649"/>
      <c r="CC191" s="3649"/>
      <c r="CD191" s="3649"/>
      <c r="CE191" s="3649"/>
      <c r="CF191" s="3649"/>
      <c r="CG191" s="3649"/>
      <c r="CH191" s="3649"/>
      <c r="CI191" s="3649"/>
      <c r="CJ191" s="2977"/>
    </row>
    <row r="192" spans="1:88">
      <c r="A192" s="53">
        <v>2009.03</v>
      </c>
      <c r="B192" s="613">
        <v>111.94918337329287</v>
      </c>
      <c r="C192" s="3532">
        <v>115.64660432797652</v>
      </c>
      <c r="D192" s="360"/>
      <c r="E192" s="361"/>
      <c r="F192" s="2657"/>
      <c r="G192" s="2657"/>
      <c r="H192" s="2657"/>
      <c r="I192" s="2657"/>
      <c r="J192" s="2657"/>
      <c r="K192" s="2657"/>
      <c r="L192" s="2657"/>
      <c r="M192" s="2657"/>
      <c r="N192" s="2657"/>
      <c r="O192" s="2657"/>
      <c r="P192" s="2657"/>
      <c r="Q192" s="2657"/>
      <c r="R192" s="2658"/>
      <c r="S192" s="3649"/>
      <c r="T192" s="3649"/>
      <c r="U192" s="3649"/>
      <c r="V192" s="3649"/>
      <c r="W192" s="3649"/>
      <c r="X192" s="3649"/>
      <c r="Y192" s="3649"/>
      <c r="Z192" s="3649"/>
      <c r="AA192" s="3649"/>
      <c r="AB192" s="3649"/>
      <c r="AC192" s="3649"/>
      <c r="AD192" s="3649"/>
      <c r="AE192" s="3649"/>
      <c r="AF192" s="3649"/>
      <c r="AG192" s="3649"/>
      <c r="AH192" s="3649"/>
      <c r="AI192" s="3649"/>
      <c r="AJ192" s="3649"/>
      <c r="AK192" s="3649"/>
      <c r="AL192" s="3649"/>
      <c r="AM192" s="3649"/>
      <c r="AN192" s="3649"/>
      <c r="AO192" s="3649"/>
      <c r="AP192" s="3649"/>
      <c r="AQ192" s="3649"/>
      <c r="AR192" s="3649"/>
      <c r="AS192" s="3649"/>
      <c r="AT192" s="3649"/>
      <c r="AU192" s="3649"/>
      <c r="AV192" s="3649"/>
      <c r="AW192" s="3649"/>
      <c r="AX192" s="3649"/>
      <c r="AY192" s="3649"/>
      <c r="AZ192" s="3649"/>
      <c r="BA192" s="3649"/>
      <c r="BB192" s="3649"/>
      <c r="BC192" s="3649"/>
      <c r="BD192" s="3649"/>
      <c r="BE192" s="3649"/>
      <c r="BF192" s="3649"/>
      <c r="BG192" s="3649"/>
      <c r="BH192" s="3649"/>
      <c r="BI192" s="3649"/>
      <c r="BJ192" s="3649"/>
      <c r="BK192" s="3649"/>
      <c r="BL192" s="3649"/>
      <c r="BM192" s="3649"/>
      <c r="BN192" s="3649"/>
      <c r="BO192" s="3649"/>
      <c r="BP192" s="3649"/>
      <c r="BQ192" s="3649"/>
      <c r="BR192" s="3649"/>
      <c r="BS192" s="3649"/>
      <c r="BT192" s="3649"/>
      <c r="BU192" s="3649"/>
      <c r="BV192" s="3649"/>
      <c r="BW192" s="3649"/>
      <c r="BX192" s="3649"/>
      <c r="BY192" s="3649"/>
      <c r="BZ192" s="3649"/>
      <c r="CA192" s="3649"/>
      <c r="CB192" s="3649"/>
      <c r="CC192" s="3649"/>
      <c r="CD192" s="3649"/>
      <c r="CE192" s="3649"/>
      <c r="CF192" s="3649"/>
      <c r="CG192" s="3649"/>
      <c r="CH192" s="3649"/>
      <c r="CI192" s="3649"/>
      <c r="CJ192" s="2977"/>
    </row>
    <row r="193" spans="1:88">
      <c r="A193" s="53">
        <v>2009.04</v>
      </c>
      <c r="B193" s="613">
        <v>115.84945526422084</v>
      </c>
      <c r="C193" s="3532">
        <v>116.44683629937693</v>
      </c>
      <c r="D193" s="360"/>
      <c r="E193" s="361"/>
      <c r="F193" s="2657"/>
      <c r="G193" s="2657"/>
      <c r="H193" s="2657"/>
      <c r="I193" s="2657"/>
      <c r="J193" s="2657"/>
      <c r="K193" s="2657"/>
      <c r="L193" s="2657"/>
      <c r="M193" s="2657"/>
      <c r="N193" s="2657"/>
      <c r="O193" s="2657"/>
      <c r="P193" s="2657"/>
      <c r="Q193" s="2657"/>
      <c r="R193" s="2658"/>
      <c r="S193" s="3649"/>
      <c r="T193" s="3649"/>
      <c r="U193" s="3649"/>
      <c r="V193" s="3649"/>
      <c r="W193" s="3649"/>
      <c r="X193" s="3649"/>
      <c r="Y193" s="3649"/>
      <c r="Z193" s="3649"/>
      <c r="AA193" s="3649"/>
      <c r="AB193" s="3649"/>
      <c r="AC193" s="3649"/>
      <c r="AD193" s="3649"/>
      <c r="AE193" s="3649"/>
      <c r="AF193" s="3649"/>
      <c r="AG193" s="3649"/>
      <c r="AH193" s="3649"/>
      <c r="AI193" s="3649"/>
      <c r="AJ193" s="3649"/>
      <c r="AK193" s="3649"/>
      <c r="AL193" s="3649"/>
      <c r="AM193" s="3649"/>
      <c r="AN193" s="3649"/>
      <c r="AO193" s="3649"/>
      <c r="AP193" s="3649"/>
      <c r="AQ193" s="3649"/>
      <c r="AR193" s="3649"/>
      <c r="AS193" s="3649"/>
      <c r="AT193" s="3649"/>
      <c r="AU193" s="3649"/>
      <c r="AV193" s="3649"/>
      <c r="AW193" s="3649"/>
      <c r="AX193" s="3649"/>
      <c r="AY193" s="3649"/>
      <c r="AZ193" s="3649"/>
      <c r="BA193" s="3649"/>
      <c r="BB193" s="3649"/>
      <c r="BC193" s="3649"/>
      <c r="BD193" s="3649"/>
      <c r="BE193" s="3649"/>
      <c r="BF193" s="3649"/>
      <c r="BG193" s="3649"/>
      <c r="BH193" s="3649"/>
      <c r="BI193" s="3649"/>
      <c r="BJ193" s="3649"/>
      <c r="BK193" s="3649"/>
      <c r="BL193" s="3649"/>
      <c r="BM193" s="3649"/>
      <c r="BN193" s="3649"/>
      <c r="BO193" s="3649"/>
      <c r="BP193" s="3649"/>
      <c r="BQ193" s="3649"/>
      <c r="BR193" s="3649"/>
      <c r="BS193" s="3649"/>
      <c r="BT193" s="3649"/>
      <c r="BU193" s="3649"/>
      <c r="BV193" s="3649"/>
      <c r="BW193" s="3649"/>
      <c r="BX193" s="3649"/>
      <c r="BY193" s="3649"/>
      <c r="BZ193" s="3649"/>
      <c r="CA193" s="3649"/>
      <c r="CB193" s="3649"/>
      <c r="CC193" s="3649"/>
      <c r="CD193" s="3649"/>
      <c r="CE193" s="3649"/>
      <c r="CF193" s="3649"/>
      <c r="CG193" s="3649"/>
      <c r="CH193" s="3649"/>
      <c r="CI193" s="3649"/>
      <c r="CJ193" s="2977"/>
    </row>
    <row r="194" spans="1:88">
      <c r="A194" s="53">
        <v>2009.05</v>
      </c>
      <c r="B194" s="613">
        <v>115.84945526422084</v>
      </c>
      <c r="C194" s="3532">
        <v>117.39741872486817</v>
      </c>
      <c r="D194" s="360"/>
      <c r="E194" s="361"/>
      <c r="F194" s="2657"/>
      <c r="G194" s="2657"/>
      <c r="H194" s="2657"/>
      <c r="I194" s="2657"/>
      <c r="J194" s="2657"/>
      <c r="K194" s="2657"/>
      <c r="L194" s="2657"/>
      <c r="M194" s="2657"/>
      <c r="N194" s="2657"/>
      <c r="O194" s="2657"/>
      <c r="P194" s="2657"/>
      <c r="Q194" s="2657"/>
      <c r="R194" s="2658"/>
      <c r="S194" s="3649"/>
      <c r="T194" s="3649"/>
      <c r="U194" s="3649"/>
      <c r="V194" s="3649"/>
      <c r="W194" s="3649"/>
      <c r="X194" s="3649"/>
      <c r="Y194" s="3649"/>
      <c r="Z194" s="3649"/>
      <c r="AA194" s="3649"/>
      <c r="AB194" s="3649"/>
      <c r="AC194" s="3649"/>
      <c r="AD194" s="3649"/>
      <c r="AE194" s="3649"/>
      <c r="AF194" s="3649"/>
      <c r="AG194" s="3649"/>
      <c r="AH194" s="3649"/>
      <c r="AI194" s="3649"/>
      <c r="AJ194" s="3649"/>
      <c r="AK194" s="3649"/>
      <c r="AL194" s="3649"/>
      <c r="AM194" s="3649"/>
      <c r="AN194" s="3649"/>
      <c r="AO194" s="3649"/>
      <c r="AP194" s="3649"/>
      <c r="AQ194" s="3649"/>
      <c r="AR194" s="3649"/>
      <c r="AS194" s="3649"/>
      <c r="AT194" s="3649"/>
      <c r="AU194" s="3649"/>
      <c r="AV194" s="3649"/>
      <c r="AW194" s="3649"/>
      <c r="AX194" s="3649"/>
      <c r="AY194" s="3649"/>
      <c r="AZ194" s="3649"/>
      <c r="BA194" s="3649"/>
      <c r="BB194" s="3649"/>
      <c r="BC194" s="3649"/>
      <c r="BD194" s="3649"/>
      <c r="BE194" s="3649"/>
      <c r="BF194" s="3649"/>
      <c r="BG194" s="3649"/>
      <c r="BH194" s="3649"/>
      <c r="BI194" s="3649"/>
      <c r="BJ194" s="3649"/>
      <c r="BK194" s="3649"/>
      <c r="BL194" s="3649"/>
      <c r="BM194" s="3649"/>
      <c r="BN194" s="3649"/>
      <c r="BO194" s="3649"/>
      <c r="BP194" s="3649"/>
      <c r="BQ194" s="3649"/>
      <c r="BR194" s="3649"/>
      <c r="BS194" s="3649"/>
      <c r="BT194" s="3649"/>
      <c r="BU194" s="3649"/>
      <c r="BV194" s="3649"/>
      <c r="BW194" s="3649"/>
      <c r="BX194" s="3649"/>
      <c r="BY194" s="3649"/>
      <c r="BZ194" s="3649"/>
      <c r="CA194" s="3649"/>
      <c r="CB194" s="3649"/>
      <c r="CC194" s="3649"/>
      <c r="CD194" s="3649"/>
      <c r="CE194" s="3649"/>
      <c r="CF194" s="3649"/>
      <c r="CG194" s="3649"/>
      <c r="CH194" s="3649"/>
      <c r="CI194" s="3649"/>
      <c r="CJ194" s="2977"/>
    </row>
    <row r="195" spans="1:88">
      <c r="A195" s="53">
        <v>2009.06</v>
      </c>
      <c r="B195" s="613">
        <v>110.66633532428739</v>
      </c>
      <c r="C195" s="3532">
        <v>117.72511162298088</v>
      </c>
      <c r="D195" s="360"/>
      <c r="E195" s="361"/>
      <c r="F195" s="2657"/>
      <c r="G195" s="2657"/>
      <c r="H195" s="2657"/>
      <c r="I195" s="2657"/>
      <c r="J195" s="2657"/>
      <c r="K195" s="2657"/>
      <c r="L195" s="2657"/>
      <c r="M195" s="2657"/>
      <c r="N195" s="2657"/>
      <c r="O195" s="2657"/>
      <c r="P195" s="2657"/>
      <c r="Q195" s="2657"/>
      <c r="R195" s="2658"/>
      <c r="S195" s="3649"/>
      <c r="T195" s="3649"/>
      <c r="U195" s="3649"/>
      <c r="V195" s="3649"/>
      <c r="W195" s="3649"/>
      <c r="X195" s="3649"/>
      <c r="Y195" s="3649"/>
      <c r="Z195" s="3649"/>
      <c r="AA195" s="3649"/>
      <c r="AB195" s="3649"/>
      <c r="AC195" s="3649"/>
      <c r="AD195" s="3649"/>
      <c r="AE195" s="3649"/>
      <c r="AF195" s="3649"/>
      <c r="AG195" s="3649"/>
      <c r="AH195" s="3649"/>
      <c r="AI195" s="3649"/>
      <c r="AJ195" s="3649"/>
      <c r="AK195" s="3649"/>
      <c r="AL195" s="3649"/>
      <c r="AM195" s="3649"/>
      <c r="AN195" s="3649"/>
      <c r="AO195" s="3649"/>
      <c r="AP195" s="3649"/>
      <c r="AQ195" s="3649"/>
      <c r="AR195" s="3649"/>
      <c r="AS195" s="3649"/>
      <c r="AT195" s="3649"/>
      <c r="AU195" s="3649"/>
      <c r="AV195" s="3649"/>
      <c r="AW195" s="3649"/>
      <c r="AX195" s="3649"/>
      <c r="AY195" s="3649"/>
      <c r="AZ195" s="3649"/>
      <c r="BA195" s="3649"/>
      <c r="BB195" s="3649"/>
      <c r="BC195" s="3649"/>
      <c r="BD195" s="3649"/>
      <c r="BE195" s="3649"/>
      <c r="BF195" s="3649"/>
      <c r="BG195" s="3649"/>
      <c r="BH195" s="3649"/>
      <c r="BI195" s="3649"/>
      <c r="BJ195" s="3649"/>
      <c r="BK195" s="3649"/>
      <c r="BL195" s="3649"/>
      <c r="BM195" s="3649"/>
      <c r="BN195" s="3649"/>
      <c r="BO195" s="3649"/>
      <c r="BP195" s="3649"/>
      <c r="BQ195" s="3649"/>
      <c r="BR195" s="3649"/>
      <c r="BS195" s="3649"/>
      <c r="BT195" s="3649"/>
      <c r="BU195" s="3649"/>
      <c r="BV195" s="3649"/>
      <c r="BW195" s="3649"/>
      <c r="BX195" s="3649"/>
      <c r="BY195" s="3649"/>
      <c r="BZ195" s="3649"/>
      <c r="CA195" s="3649"/>
      <c r="CB195" s="3649"/>
      <c r="CC195" s="3649"/>
      <c r="CD195" s="3649"/>
      <c r="CE195" s="3649"/>
      <c r="CF195" s="3649"/>
      <c r="CG195" s="3649"/>
      <c r="CH195" s="3649"/>
      <c r="CI195" s="3649"/>
      <c r="CJ195" s="2977"/>
    </row>
    <row r="196" spans="1:88">
      <c r="A196" s="53">
        <v>2009.07</v>
      </c>
      <c r="B196" s="613">
        <v>115.89083745935004</v>
      </c>
      <c r="C196" s="3532">
        <v>119.14382637922029</v>
      </c>
      <c r="D196" s="360"/>
      <c r="E196" s="361"/>
      <c r="F196" s="2657"/>
      <c r="G196" s="2657"/>
      <c r="H196" s="2657"/>
      <c r="I196" s="2657"/>
      <c r="J196" s="2657"/>
      <c r="K196" s="2657"/>
      <c r="L196" s="2657"/>
      <c r="M196" s="2657"/>
      <c r="N196" s="2657"/>
      <c r="O196" s="2657"/>
      <c r="P196" s="2657"/>
      <c r="Q196" s="2657"/>
      <c r="R196" s="2658"/>
      <c r="S196" s="3649"/>
      <c r="T196" s="3649"/>
      <c r="U196" s="3649"/>
      <c r="V196" s="3649"/>
      <c r="W196" s="3649"/>
      <c r="X196" s="3649"/>
      <c r="Y196" s="3649"/>
      <c r="Z196" s="3649"/>
      <c r="AA196" s="3649"/>
      <c r="AB196" s="3649"/>
      <c r="AC196" s="3649"/>
      <c r="AD196" s="3649"/>
      <c r="AE196" s="3649"/>
      <c r="AF196" s="3649"/>
      <c r="AG196" s="3649"/>
      <c r="AH196" s="3649"/>
      <c r="AI196" s="3649"/>
      <c r="AJ196" s="3649"/>
      <c r="AK196" s="3649"/>
      <c r="AL196" s="3649"/>
      <c r="AM196" s="3649"/>
      <c r="AN196" s="3649"/>
      <c r="AO196" s="3649"/>
      <c r="AP196" s="3649"/>
      <c r="AQ196" s="3649"/>
      <c r="AR196" s="3649"/>
      <c r="AS196" s="3649"/>
      <c r="AT196" s="3649"/>
      <c r="AU196" s="3649"/>
      <c r="AV196" s="3649"/>
      <c r="AW196" s="3649"/>
      <c r="AX196" s="3649"/>
      <c r="AY196" s="3649"/>
      <c r="AZ196" s="3649"/>
      <c r="BA196" s="3649"/>
      <c r="BB196" s="3649"/>
      <c r="BC196" s="3649"/>
      <c r="BD196" s="3649"/>
      <c r="BE196" s="3649"/>
      <c r="BF196" s="3649"/>
      <c r="BG196" s="3649"/>
      <c r="BH196" s="3649"/>
      <c r="BI196" s="3649"/>
      <c r="BJ196" s="3649"/>
      <c r="BK196" s="3649"/>
      <c r="BL196" s="3649"/>
      <c r="BM196" s="3649"/>
      <c r="BN196" s="3649"/>
      <c r="BO196" s="3649"/>
      <c r="BP196" s="3649"/>
      <c r="BQ196" s="3649"/>
      <c r="BR196" s="3649"/>
      <c r="BS196" s="3649"/>
      <c r="BT196" s="3649"/>
      <c r="BU196" s="3649"/>
      <c r="BV196" s="3649"/>
      <c r="BW196" s="3649"/>
      <c r="BX196" s="3649"/>
      <c r="BY196" s="3649"/>
      <c r="BZ196" s="3649"/>
      <c r="CA196" s="3649"/>
      <c r="CB196" s="3649"/>
      <c r="CC196" s="3649"/>
      <c r="CD196" s="3649"/>
      <c r="CE196" s="3649"/>
      <c r="CF196" s="3649"/>
      <c r="CG196" s="3649"/>
      <c r="CH196" s="3649"/>
      <c r="CI196" s="3649"/>
      <c r="CJ196" s="2977"/>
    </row>
    <row r="197" spans="1:88">
      <c r="A197" s="53">
        <v>2009.08</v>
      </c>
      <c r="B197" s="613">
        <v>121.08430294806578</v>
      </c>
      <c r="C197" s="3532">
        <v>119.85183517577777</v>
      </c>
      <c r="D197" s="360"/>
      <c r="E197" s="361"/>
      <c r="F197" s="2657"/>
      <c r="G197" s="2657"/>
      <c r="H197" s="2657"/>
      <c r="I197" s="2657"/>
      <c r="J197" s="2657"/>
      <c r="K197" s="2657"/>
      <c r="L197" s="2657"/>
      <c r="M197" s="2657"/>
      <c r="N197" s="2657"/>
      <c r="O197" s="2657"/>
      <c r="P197" s="2657"/>
      <c r="Q197" s="2657"/>
      <c r="R197" s="2658"/>
      <c r="S197" s="3649"/>
      <c r="T197" s="3649"/>
      <c r="U197" s="3649"/>
      <c r="V197" s="3649"/>
      <c r="W197" s="3649"/>
      <c r="X197" s="3649"/>
      <c r="Y197" s="3649"/>
      <c r="Z197" s="3649"/>
      <c r="AA197" s="3649"/>
      <c r="AB197" s="3649"/>
      <c r="AC197" s="3649"/>
      <c r="AD197" s="3649"/>
      <c r="AE197" s="3649"/>
      <c r="AF197" s="3649"/>
      <c r="AG197" s="3649"/>
      <c r="AH197" s="3649"/>
      <c r="AI197" s="3649"/>
      <c r="AJ197" s="3649"/>
      <c r="AK197" s="3649"/>
      <c r="AL197" s="3649"/>
      <c r="AM197" s="3649"/>
      <c r="AN197" s="3649"/>
      <c r="AO197" s="3649"/>
      <c r="AP197" s="3649"/>
      <c r="AQ197" s="3649"/>
      <c r="AR197" s="3649"/>
      <c r="AS197" s="3649"/>
      <c r="AT197" s="3649"/>
      <c r="AU197" s="3649"/>
      <c r="AV197" s="3649"/>
      <c r="AW197" s="3649"/>
      <c r="AX197" s="3649"/>
      <c r="AY197" s="3649"/>
      <c r="AZ197" s="3649"/>
      <c r="BA197" s="3649"/>
      <c r="BB197" s="3649"/>
      <c r="BC197" s="3649"/>
      <c r="BD197" s="3649"/>
      <c r="BE197" s="3649"/>
      <c r="BF197" s="3649"/>
      <c r="BG197" s="3649"/>
      <c r="BH197" s="3649"/>
      <c r="BI197" s="3649"/>
      <c r="BJ197" s="3649"/>
      <c r="BK197" s="3649"/>
      <c r="BL197" s="3649"/>
      <c r="BM197" s="3649"/>
      <c r="BN197" s="3649"/>
      <c r="BO197" s="3649"/>
      <c r="BP197" s="3649"/>
      <c r="BQ197" s="3649"/>
      <c r="BR197" s="3649"/>
      <c r="BS197" s="3649"/>
      <c r="BT197" s="3649"/>
      <c r="BU197" s="3649"/>
      <c r="BV197" s="3649"/>
      <c r="BW197" s="3649"/>
      <c r="BX197" s="3649"/>
      <c r="BY197" s="3649"/>
      <c r="BZ197" s="3649"/>
      <c r="CA197" s="3649"/>
      <c r="CB197" s="3649"/>
      <c r="CC197" s="3649"/>
      <c r="CD197" s="3649"/>
      <c r="CE197" s="3649"/>
      <c r="CF197" s="3649"/>
      <c r="CG197" s="3649"/>
      <c r="CH197" s="3649"/>
      <c r="CI197" s="3649"/>
      <c r="CJ197" s="2977"/>
    </row>
    <row r="198" spans="1:88">
      <c r="A198" s="53">
        <v>2009.09</v>
      </c>
      <c r="B198" s="613">
        <v>124.97422929021143</v>
      </c>
      <c r="C198" s="3532">
        <v>120.27588954571326</v>
      </c>
      <c r="D198" s="360"/>
      <c r="E198" s="361"/>
      <c r="F198" s="2657"/>
      <c r="G198" s="2657"/>
      <c r="H198" s="2657"/>
      <c r="I198" s="2657"/>
      <c r="J198" s="2657"/>
      <c r="K198" s="2657"/>
      <c r="L198" s="2657"/>
      <c r="M198" s="2657"/>
      <c r="N198" s="2657"/>
      <c r="O198" s="2657"/>
      <c r="P198" s="2657"/>
      <c r="Q198" s="2657"/>
      <c r="R198" s="2658"/>
      <c r="S198" s="3649"/>
      <c r="T198" s="3649"/>
      <c r="U198" s="3649"/>
      <c r="V198" s="3649"/>
      <c r="W198" s="3649"/>
      <c r="X198" s="3649"/>
      <c r="Y198" s="3649"/>
      <c r="Z198" s="3649"/>
      <c r="AA198" s="3649"/>
      <c r="AB198" s="3649"/>
      <c r="AC198" s="3649"/>
      <c r="AD198" s="3649"/>
      <c r="AE198" s="3649"/>
      <c r="AF198" s="3649"/>
      <c r="AG198" s="3649"/>
      <c r="AH198" s="3649"/>
      <c r="AI198" s="3649"/>
      <c r="AJ198" s="3649"/>
      <c r="AK198" s="3649"/>
      <c r="AL198" s="3649"/>
      <c r="AM198" s="3649"/>
      <c r="AN198" s="3649"/>
      <c r="AO198" s="3649"/>
      <c r="AP198" s="3649"/>
      <c r="AQ198" s="3649"/>
      <c r="AR198" s="3649"/>
      <c r="AS198" s="3649"/>
      <c r="AT198" s="3649"/>
      <c r="AU198" s="3649"/>
      <c r="AV198" s="3649"/>
      <c r="AW198" s="3649"/>
      <c r="AX198" s="3649"/>
      <c r="AY198" s="3649"/>
      <c r="AZ198" s="3649"/>
      <c r="BA198" s="3649"/>
      <c r="BB198" s="3649"/>
      <c r="BC198" s="3649"/>
      <c r="BD198" s="3649"/>
      <c r="BE198" s="3649"/>
      <c r="BF198" s="3649"/>
      <c r="BG198" s="3649"/>
      <c r="BH198" s="3649"/>
      <c r="BI198" s="3649"/>
      <c r="BJ198" s="3649"/>
      <c r="BK198" s="3649"/>
      <c r="BL198" s="3649"/>
      <c r="BM198" s="3649"/>
      <c r="BN198" s="3649"/>
      <c r="BO198" s="3649"/>
      <c r="BP198" s="3649"/>
      <c r="BQ198" s="3649"/>
      <c r="BR198" s="3649"/>
      <c r="BS198" s="3649"/>
      <c r="BT198" s="3649"/>
      <c r="BU198" s="3649"/>
      <c r="BV198" s="3649"/>
      <c r="BW198" s="3649"/>
      <c r="BX198" s="3649"/>
      <c r="BY198" s="3649"/>
      <c r="BZ198" s="3649"/>
      <c r="CA198" s="3649"/>
      <c r="CB198" s="3649"/>
      <c r="CC198" s="3649"/>
      <c r="CD198" s="3649"/>
      <c r="CE198" s="3649"/>
      <c r="CF198" s="3649"/>
      <c r="CG198" s="3649"/>
      <c r="CH198" s="3649"/>
      <c r="CI198" s="3649"/>
      <c r="CJ198" s="2977"/>
    </row>
    <row r="199" spans="1:88">
      <c r="A199" s="53">
        <v>2009.1</v>
      </c>
      <c r="B199" s="613">
        <v>125.62599886349648</v>
      </c>
      <c r="C199" s="3532">
        <v>122.07553528626947</v>
      </c>
      <c r="D199" s="360"/>
      <c r="E199" s="361"/>
      <c r="F199" s="2657"/>
      <c r="G199" s="2657"/>
      <c r="H199" s="2657"/>
      <c r="I199" s="2657"/>
      <c r="J199" s="2657"/>
      <c r="K199" s="2657"/>
      <c r="L199" s="2657"/>
      <c r="M199" s="2657"/>
      <c r="N199" s="2657"/>
      <c r="O199" s="2657"/>
      <c r="P199" s="2657"/>
      <c r="Q199" s="2657"/>
      <c r="R199" s="2658"/>
      <c r="S199" s="3649"/>
      <c r="T199" s="3649"/>
      <c r="U199" s="3649"/>
      <c r="V199" s="3649"/>
      <c r="W199" s="3649"/>
      <c r="X199" s="3649"/>
      <c r="Y199" s="3649"/>
      <c r="Z199" s="3649"/>
      <c r="AA199" s="3649"/>
      <c r="AB199" s="3649"/>
      <c r="AC199" s="3649"/>
      <c r="AD199" s="3649"/>
      <c r="AE199" s="3649"/>
      <c r="AF199" s="3649"/>
      <c r="AG199" s="3649"/>
      <c r="AH199" s="3649"/>
      <c r="AI199" s="3649"/>
      <c r="AJ199" s="3649"/>
      <c r="AK199" s="3649"/>
      <c r="AL199" s="3649"/>
      <c r="AM199" s="3649"/>
      <c r="AN199" s="3649"/>
      <c r="AO199" s="3649"/>
      <c r="AP199" s="3649"/>
      <c r="AQ199" s="3649"/>
      <c r="AR199" s="3649"/>
      <c r="AS199" s="3649"/>
      <c r="AT199" s="3649"/>
      <c r="AU199" s="3649"/>
      <c r="AV199" s="3649"/>
      <c r="AW199" s="3649"/>
      <c r="AX199" s="3649"/>
      <c r="AY199" s="3649"/>
      <c r="AZ199" s="3649"/>
      <c r="BA199" s="3649"/>
      <c r="BB199" s="3649"/>
      <c r="BC199" s="3649"/>
      <c r="BD199" s="3649"/>
      <c r="BE199" s="3649"/>
      <c r="BF199" s="3649"/>
      <c r="BG199" s="3649"/>
      <c r="BH199" s="3649"/>
      <c r="BI199" s="3649"/>
      <c r="BJ199" s="3649"/>
      <c r="BK199" s="3649"/>
      <c r="BL199" s="3649"/>
      <c r="BM199" s="3649"/>
      <c r="BN199" s="3649"/>
      <c r="BO199" s="3649"/>
      <c r="BP199" s="3649"/>
      <c r="BQ199" s="3649"/>
      <c r="BR199" s="3649"/>
      <c r="BS199" s="3649"/>
      <c r="BT199" s="3649"/>
      <c r="BU199" s="3649"/>
      <c r="BV199" s="3649"/>
      <c r="BW199" s="3649"/>
      <c r="BX199" s="3649"/>
      <c r="BY199" s="3649"/>
      <c r="BZ199" s="3649"/>
      <c r="CA199" s="3649"/>
      <c r="CB199" s="3649"/>
      <c r="CC199" s="3649"/>
      <c r="CD199" s="3649"/>
      <c r="CE199" s="3649"/>
      <c r="CF199" s="3649"/>
      <c r="CG199" s="3649"/>
      <c r="CH199" s="3649"/>
      <c r="CI199" s="3649"/>
      <c r="CJ199" s="2977"/>
    </row>
    <row r="200" spans="1:88">
      <c r="A200" s="53">
        <v>2009.11</v>
      </c>
      <c r="B200" s="613">
        <v>125.60530776593187</v>
      </c>
      <c r="C200" s="3532">
        <v>121.58065379451038</v>
      </c>
      <c r="D200" s="360"/>
      <c r="E200" s="361"/>
      <c r="F200" s="2657"/>
      <c r="G200" s="2657"/>
      <c r="H200" s="2657"/>
      <c r="I200" s="2657"/>
      <c r="J200" s="2657"/>
      <c r="K200" s="2657"/>
      <c r="L200" s="2657"/>
      <c r="M200" s="2657"/>
      <c r="N200" s="2657"/>
      <c r="O200" s="2657"/>
      <c r="P200" s="2657"/>
      <c r="Q200" s="2657"/>
      <c r="R200" s="2658"/>
      <c r="S200" s="3649"/>
      <c r="T200" s="3649"/>
      <c r="U200" s="3649"/>
      <c r="V200" s="3649"/>
      <c r="W200" s="3649"/>
      <c r="X200" s="3649"/>
      <c r="Y200" s="3649"/>
      <c r="Z200" s="3649"/>
      <c r="AA200" s="3649"/>
      <c r="AB200" s="3649"/>
      <c r="AC200" s="3649"/>
      <c r="AD200" s="3649"/>
      <c r="AE200" s="3649"/>
      <c r="AF200" s="3649"/>
      <c r="AG200" s="3649"/>
      <c r="AH200" s="3649"/>
      <c r="AI200" s="3649"/>
      <c r="AJ200" s="3649"/>
      <c r="AK200" s="3649"/>
      <c r="AL200" s="3649"/>
      <c r="AM200" s="3649"/>
      <c r="AN200" s="3649"/>
      <c r="AO200" s="3649"/>
      <c r="AP200" s="3649"/>
      <c r="AQ200" s="3649"/>
      <c r="AR200" s="3649"/>
      <c r="AS200" s="3649"/>
      <c r="AT200" s="3649"/>
      <c r="AU200" s="3649"/>
      <c r="AV200" s="3649"/>
      <c r="AW200" s="3649"/>
      <c r="AX200" s="3649"/>
      <c r="AY200" s="3649"/>
      <c r="AZ200" s="3649"/>
      <c r="BA200" s="3649"/>
      <c r="BB200" s="3649"/>
      <c r="BC200" s="3649"/>
      <c r="BD200" s="3649"/>
      <c r="BE200" s="3649"/>
      <c r="BF200" s="3649"/>
      <c r="BG200" s="3649"/>
      <c r="BH200" s="3649"/>
      <c r="BI200" s="3649"/>
      <c r="BJ200" s="3649"/>
      <c r="BK200" s="3649"/>
      <c r="BL200" s="3649"/>
      <c r="BM200" s="3649"/>
      <c r="BN200" s="3649"/>
      <c r="BO200" s="3649"/>
      <c r="BP200" s="3649"/>
      <c r="BQ200" s="3649"/>
      <c r="BR200" s="3649"/>
      <c r="BS200" s="3649"/>
      <c r="BT200" s="3649"/>
      <c r="BU200" s="3649"/>
      <c r="BV200" s="3649"/>
      <c r="BW200" s="3649"/>
      <c r="BX200" s="3649"/>
      <c r="BY200" s="3649"/>
      <c r="BZ200" s="3649"/>
      <c r="CA200" s="3649"/>
      <c r="CB200" s="3649"/>
      <c r="CC200" s="3649"/>
      <c r="CD200" s="3649"/>
      <c r="CE200" s="3649"/>
      <c r="CF200" s="3649"/>
      <c r="CG200" s="3649"/>
      <c r="CH200" s="3649"/>
      <c r="CI200" s="3649"/>
      <c r="CJ200" s="2977"/>
    </row>
    <row r="201" spans="1:88">
      <c r="A201" s="53">
        <v>2009.12</v>
      </c>
      <c r="B201" s="613">
        <v>131.11948526689898</v>
      </c>
      <c r="C201" s="3532">
        <v>123.61785902065135</v>
      </c>
      <c r="D201" s="360"/>
      <c r="E201" s="361"/>
      <c r="F201" s="2657"/>
      <c r="G201" s="2657"/>
      <c r="H201" s="2657"/>
      <c r="I201" s="2657"/>
      <c r="J201" s="2657"/>
      <c r="K201" s="2657"/>
      <c r="L201" s="2657"/>
      <c r="M201" s="2657"/>
      <c r="N201" s="2657"/>
      <c r="O201" s="2657"/>
      <c r="P201" s="2657"/>
      <c r="Q201" s="2657"/>
      <c r="R201" s="2658"/>
      <c r="S201" s="3649"/>
      <c r="T201" s="3649"/>
      <c r="U201" s="3649"/>
      <c r="V201" s="3649"/>
      <c r="W201" s="3649"/>
      <c r="X201" s="3649"/>
      <c r="Y201" s="3649"/>
      <c r="Z201" s="3649"/>
      <c r="AA201" s="3649"/>
      <c r="AB201" s="3649"/>
      <c r="AC201" s="3649"/>
      <c r="AD201" s="3649"/>
      <c r="AE201" s="3649"/>
      <c r="AF201" s="3649"/>
      <c r="AG201" s="3649"/>
      <c r="AH201" s="3649"/>
      <c r="AI201" s="3649"/>
      <c r="AJ201" s="3649"/>
      <c r="AK201" s="3649"/>
      <c r="AL201" s="3649"/>
      <c r="AM201" s="3649"/>
      <c r="AN201" s="3649"/>
      <c r="AO201" s="3649"/>
      <c r="AP201" s="3649"/>
      <c r="AQ201" s="3649"/>
      <c r="AR201" s="3649"/>
      <c r="AS201" s="3649"/>
      <c r="AT201" s="3649"/>
      <c r="AU201" s="3649"/>
      <c r="AV201" s="3649"/>
      <c r="AW201" s="3649"/>
      <c r="AX201" s="3649"/>
      <c r="AY201" s="3649"/>
      <c r="AZ201" s="3649"/>
      <c r="BA201" s="3649"/>
      <c r="BB201" s="3649"/>
      <c r="BC201" s="3649"/>
      <c r="BD201" s="3649"/>
      <c r="BE201" s="3649"/>
      <c r="BF201" s="3649"/>
      <c r="BG201" s="3649"/>
      <c r="BH201" s="3649"/>
      <c r="BI201" s="3649"/>
      <c r="BJ201" s="3649"/>
      <c r="BK201" s="3649"/>
      <c r="BL201" s="3649"/>
      <c r="BM201" s="3649"/>
      <c r="BN201" s="3649"/>
      <c r="BO201" s="3649"/>
      <c r="BP201" s="3649"/>
      <c r="BQ201" s="3649"/>
      <c r="BR201" s="3649"/>
      <c r="BS201" s="3649"/>
      <c r="BT201" s="3649"/>
      <c r="BU201" s="3649"/>
      <c r="BV201" s="3649"/>
      <c r="BW201" s="3649"/>
      <c r="BX201" s="3649"/>
      <c r="BY201" s="3649"/>
      <c r="BZ201" s="3649"/>
      <c r="CA201" s="3649"/>
      <c r="CB201" s="3649"/>
      <c r="CC201" s="3649"/>
      <c r="CD201" s="3649"/>
      <c r="CE201" s="3649"/>
      <c r="CF201" s="3649"/>
      <c r="CG201" s="3649"/>
      <c r="CH201" s="3649"/>
      <c r="CI201" s="3649"/>
      <c r="CJ201" s="2977"/>
    </row>
    <row r="202" spans="1:88">
      <c r="A202" s="53">
        <v>2010.01</v>
      </c>
      <c r="B202" s="613">
        <v>107.35575971395066</v>
      </c>
      <c r="C202" s="3532">
        <v>124.37842094346436</v>
      </c>
      <c r="D202" s="360"/>
      <c r="E202" s="361"/>
      <c r="F202" s="2657"/>
      <c r="G202" s="2657"/>
      <c r="H202" s="2657"/>
      <c r="I202" s="2657"/>
      <c r="J202" s="2657"/>
      <c r="K202" s="2657"/>
      <c r="L202" s="2657"/>
      <c r="M202" s="2657"/>
      <c r="N202" s="2657"/>
      <c r="O202" s="2657"/>
      <c r="P202" s="2657"/>
      <c r="Q202" s="2657"/>
      <c r="R202" s="2658"/>
      <c r="S202" s="3649"/>
      <c r="T202" s="3649"/>
      <c r="U202" s="3649"/>
      <c r="V202" s="3649"/>
      <c r="W202" s="3649"/>
      <c r="X202" s="3649"/>
      <c r="Y202" s="3649"/>
      <c r="Z202" s="3649"/>
      <c r="AA202" s="3649"/>
      <c r="AB202" s="3649"/>
      <c r="AC202" s="3649"/>
      <c r="AD202" s="3649"/>
      <c r="AE202" s="3649"/>
      <c r="AF202" s="3649"/>
      <c r="AG202" s="3649"/>
      <c r="AH202" s="3649"/>
      <c r="AI202" s="3649"/>
      <c r="AJ202" s="3649"/>
      <c r="AK202" s="3649"/>
      <c r="AL202" s="3649"/>
      <c r="AM202" s="3649"/>
      <c r="AN202" s="3649"/>
      <c r="AO202" s="3649"/>
      <c r="AP202" s="3649"/>
      <c r="AQ202" s="3649"/>
      <c r="AR202" s="3649"/>
      <c r="AS202" s="3649"/>
      <c r="AT202" s="3649"/>
      <c r="AU202" s="3649"/>
      <c r="AV202" s="3649"/>
      <c r="AW202" s="3649"/>
      <c r="AX202" s="3649"/>
      <c r="AY202" s="3649"/>
      <c r="AZ202" s="3649"/>
      <c r="BA202" s="3649"/>
      <c r="BB202" s="3649"/>
      <c r="BC202" s="3649"/>
      <c r="BD202" s="3649"/>
      <c r="BE202" s="3649"/>
      <c r="BF202" s="3649"/>
      <c r="BG202" s="3649"/>
      <c r="BH202" s="3649"/>
      <c r="BI202" s="3649"/>
      <c r="BJ202" s="3649"/>
      <c r="BK202" s="3649"/>
      <c r="BL202" s="3649"/>
      <c r="BM202" s="3649"/>
      <c r="BN202" s="3649"/>
      <c r="BO202" s="3649"/>
      <c r="BP202" s="3649"/>
      <c r="BQ202" s="3649"/>
      <c r="BR202" s="3649"/>
      <c r="BS202" s="3649"/>
      <c r="BT202" s="3649"/>
      <c r="BU202" s="3649"/>
      <c r="BV202" s="3649"/>
      <c r="BW202" s="3649"/>
      <c r="BX202" s="3649"/>
      <c r="BY202" s="3649"/>
      <c r="BZ202" s="3649"/>
      <c r="CA202" s="3649"/>
      <c r="CB202" s="3649"/>
      <c r="CC202" s="3649"/>
      <c r="CD202" s="3649"/>
      <c r="CE202" s="3649"/>
      <c r="CF202" s="3649"/>
      <c r="CG202" s="3649"/>
      <c r="CH202" s="3649"/>
      <c r="CI202" s="3649"/>
      <c r="CJ202" s="2977"/>
    </row>
    <row r="203" spans="1:88">
      <c r="A203" s="53">
        <v>2010.02</v>
      </c>
      <c r="B203" s="613">
        <v>113.35617800768597</v>
      </c>
      <c r="C203" s="3532">
        <v>126.61697193721795</v>
      </c>
      <c r="D203" s="360"/>
      <c r="E203" s="361"/>
      <c r="F203" s="2657"/>
      <c r="G203" s="2657"/>
      <c r="H203" s="2657"/>
      <c r="I203" s="2657"/>
      <c r="J203" s="2657"/>
      <c r="K203" s="2657"/>
      <c r="L203" s="2657"/>
      <c r="M203" s="2657"/>
      <c r="N203" s="2657"/>
      <c r="O203" s="2657"/>
      <c r="P203" s="2657"/>
      <c r="Q203" s="2657"/>
      <c r="R203" s="2658"/>
      <c r="S203" s="3649"/>
      <c r="T203" s="3649"/>
      <c r="U203" s="3649"/>
      <c r="V203" s="3649"/>
      <c r="W203" s="3649"/>
      <c r="X203" s="3649"/>
      <c r="Y203" s="3649"/>
      <c r="Z203" s="3649"/>
      <c r="AA203" s="3649"/>
      <c r="AB203" s="3649"/>
      <c r="AC203" s="3649"/>
      <c r="AD203" s="3649"/>
      <c r="AE203" s="3649"/>
      <c r="AF203" s="3649"/>
      <c r="AG203" s="3649"/>
      <c r="AH203" s="3649"/>
      <c r="AI203" s="3649"/>
      <c r="AJ203" s="3649"/>
      <c r="AK203" s="3649"/>
      <c r="AL203" s="3649"/>
      <c r="AM203" s="3649"/>
      <c r="AN203" s="3649"/>
      <c r="AO203" s="3649"/>
      <c r="AP203" s="3649"/>
      <c r="AQ203" s="3649"/>
      <c r="AR203" s="3649"/>
      <c r="AS203" s="3649"/>
      <c r="AT203" s="3649"/>
      <c r="AU203" s="3649"/>
      <c r="AV203" s="3649"/>
      <c r="AW203" s="3649"/>
      <c r="AX203" s="3649"/>
      <c r="AY203" s="3649"/>
      <c r="AZ203" s="3649"/>
      <c r="BA203" s="3649"/>
      <c r="BB203" s="3649"/>
      <c r="BC203" s="3649"/>
      <c r="BD203" s="3649"/>
      <c r="BE203" s="3649"/>
      <c r="BF203" s="3649"/>
      <c r="BG203" s="3649"/>
      <c r="BH203" s="3649"/>
      <c r="BI203" s="3649"/>
      <c r="BJ203" s="3649"/>
      <c r="BK203" s="3649"/>
      <c r="BL203" s="3649"/>
      <c r="BM203" s="3649"/>
      <c r="BN203" s="3649"/>
      <c r="BO203" s="3649"/>
      <c r="BP203" s="3649"/>
      <c r="BQ203" s="3649"/>
      <c r="BR203" s="3649"/>
      <c r="BS203" s="3649"/>
      <c r="BT203" s="3649"/>
      <c r="BU203" s="3649"/>
      <c r="BV203" s="3649"/>
      <c r="BW203" s="3649"/>
      <c r="BX203" s="3649"/>
      <c r="BY203" s="3649"/>
      <c r="BZ203" s="3649"/>
      <c r="CA203" s="3649"/>
      <c r="CB203" s="3649"/>
      <c r="CC203" s="3649"/>
      <c r="CD203" s="3649"/>
      <c r="CE203" s="3649"/>
      <c r="CF203" s="3649"/>
      <c r="CG203" s="3649"/>
      <c r="CH203" s="3649"/>
      <c r="CI203" s="3649"/>
      <c r="CJ203" s="2977"/>
    </row>
    <row r="204" spans="1:88">
      <c r="A204" s="53">
        <v>2010.03</v>
      </c>
      <c r="B204" s="613">
        <v>123.81552782659358</v>
      </c>
      <c r="C204" s="3532">
        <v>127.15480530523485</v>
      </c>
      <c r="D204" s="360"/>
      <c r="E204" s="361"/>
      <c r="F204" s="2657"/>
      <c r="G204" s="2657"/>
      <c r="H204" s="2657"/>
      <c r="I204" s="2657"/>
      <c r="J204" s="2657"/>
      <c r="K204" s="2657"/>
      <c r="L204" s="2657"/>
      <c r="M204" s="2657"/>
      <c r="N204" s="2657"/>
      <c r="O204" s="2657"/>
      <c r="P204" s="2657"/>
      <c r="Q204" s="2657"/>
      <c r="R204" s="2658"/>
      <c r="S204" s="3649"/>
      <c r="T204" s="3649"/>
      <c r="U204" s="3649"/>
      <c r="V204" s="3649"/>
      <c r="W204" s="3649"/>
      <c r="X204" s="3649"/>
      <c r="Y204" s="3649"/>
      <c r="Z204" s="3649"/>
      <c r="AA204" s="3649"/>
      <c r="AB204" s="3649"/>
      <c r="AC204" s="3649"/>
      <c r="AD204" s="3649"/>
      <c r="AE204" s="3649"/>
      <c r="AF204" s="3649"/>
      <c r="AG204" s="3649"/>
      <c r="AH204" s="3649"/>
      <c r="AI204" s="3649"/>
      <c r="AJ204" s="3649"/>
      <c r="AK204" s="3649"/>
      <c r="AL204" s="3649"/>
      <c r="AM204" s="3649"/>
      <c r="AN204" s="3649"/>
      <c r="AO204" s="3649"/>
      <c r="AP204" s="3649"/>
      <c r="AQ204" s="3649"/>
      <c r="AR204" s="3649"/>
      <c r="AS204" s="3649"/>
      <c r="AT204" s="3649"/>
      <c r="AU204" s="3649"/>
      <c r="AV204" s="3649"/>
      <c r="AW204" s="3649"/>
      <c r="AX204" s="3649"/>
      <c r="AY204" s="3649"/>
      <c r="AZ204" s="3649"/>
      <c r="BA204" s="3649"/>
      <c r="BB204" s="3649"/>
      <c r="BC204" s="3649"/>
      <c r="BD204" s="3649"/>
      <c r="BE204" s="3649"/>
      <c r="BF204" s="3649"/>
      <c r="BG204" s="3649"/>
      <c r="BH204" s="3649"/>
      <c r="BI204" s="3649"/>
      <c r="BJ204" s="3649"/>
      <c r="BK204" s="3649"/>
      <c r="BL204" s="3649"/>
      <c r="BM204" s="3649"/>
      <c r="BN204" s="3649"/>
      <c r="BO204" s="3649"/>
      <c r="BP204" s="3649"/>
      <c r="BQ204" s="3649"/>
      <c r="BR204" s="3649"/>
      <c r="BS204" s="3649"/>
      <c r="BT204" s="3649"/>
      <c r="BU204" s="3649"/>
      <c r="BV204" s="3649"/>
      <c r="BW204" s="3649"/>
      <c r="BX204" s="3649"/>
      <c r="BY204" s="3649"/>
      <c r="BZ204" s="3649"/>
      <c r="CA204" s="3649"/>
      <c r="CB204" s="3649"/>
      <c r="CC204" s="3649"/>
      <c r="CD204" s="3649"/>
      <c r="CE204" s="3649"/>
      <c r="CF204" s="3649"/>
      <c r="CG204" s="3649"/>
      <c r="CH204" s="3649"/>
      <c r="CI204" s="3649"/>
      <c r="CJ204" s="2977"/>
    </row>
    <row r="205" spans="1:88">
      <c r="A205" s="53">
        <v>2010.04</v>
      </c>
      <c r="B205" s="613">
        <v>127.6226897784808</v>
      </c>
      <c r="C205" s="3532">
        <v>127.7913211551265</v>
      </c>
      <c r="D205" s="360"/>
      <c r="E205" s="361"/>
      <c r="F205" s="2657"/>
      <c r="G205" s="2657"/>
      <c r="H205" s="2657"/>
      <c r="I205" s="2657"/>
      <c r="J205" s="2657"/>
      <c r="K205" s="2657"/>
      <c r="L205" s="2657"/>
      <c r="M205" s="2657"/>
      <c r="N205" s="2657"/>
      <c r="O205" s="2657"/>
      <c r="P205" s="2657"/>
      <c r="Q205" s="2657"/>
      <c r="R205" s="2658"/>
      <c r="S205" s="3649"/>
      <c r="T205" s="3649"/>
      <c r="U205" s="3649"/>
      <c r="V205" s="3649"/>
      <c r="W205" s="3649"/>
      <c r="X205" s="3649"/>
      <c r="Y205" s="3649"/>
      <c r="Z205" s="3649"/>
      <c r="AA205" s="3649"/>
      <c r="AB205" s="3649"/>
      <c r="AC205" s="3649"/>
      <c r="AD205" s="3649"/>
      <c r="AE205" s="3649"/>
      <c r="AF205" s="3649"/>
      <c r="AG205" s="3649"/>
      <c r="AH205" s="3649"/>
      <c r="AI205" s="3649"/>
      <c r="AJ205" s="3649"/>
      <c r="AK205" s="3649"/>
      <c r="AL205" s="3649"/>
      <c r="AM205" s="3649"/>
      <c r="AN205" s="3649"/>
      <c r="AO205" s="3649"/>
      <c r="AP205" s="3649"/>
      <c r="AQ205" s="3649"/>
      <c r="AR205" s="3649"/>
      <c r="AS205" s="3649"/>
      <c r="AT205" s="3649"/>
      <c r="AU205" s="3649"/>
      <c r="AV205" s="3649"/>
      <c r="AW205" s="3649"/>
      <c r="AX205" s="3649"/>
      <c r="AY205" s="3649"/>
      <c r="AZ205" s="3649"/>
      <c r="BA205" s="3649"/>
      <c r="BB205" s="3649"/>
      <c r="BC205" s="3649"/>
      <c r="BD205" s="3649"/>
      <c r="BE205" s="3649"/>
      <c r="BF205" s="3649"/>
      <c r="BG205" s="3649"/>
      <c r="BH205" s="3649"/>
      <c r="BI205" s="3649"/>
      <c r="BJ205" s="3649"/>
      <c r="BK205" s="3649"/>
      <c r="BL205" s="3649"/>
      <c r="BM205" s="3649"/>
      <c r="BN205" s="3649"/>
      <c r="BO205" s="3649"/>
      <c r="BP205" s="3649"/>
      <c r="BQ205" s="3649"/>
      <c r="BR205" s="3649"/>
      <c r="BS205" s="3649"/>
      <c r="BT205" s="3649"/>
      <c r="BU205" s="3649"/>
      <c r="BV205" s="3649"/>
      <c r="BW205" s="3649"/>
      <c r="BX205" s="3649"/>
      <c r="BY205" s="3649"/>
      <c r="BZ205" s="3649"/>
      <c r="CA205" s="3649"/>
      <c r="CB205" s="3649"/>
      <c r="CC205" s="3649"/>
      <c r="CD205" s="3649"/>
      <c r="CE205" s="3649"/>
      <c r="CF205" s="3649"/>
      <c r="CG205" s="3649"/>
      <c r="CH205" s="3649"/>
      <c r="CI205" s="3649"/>
      <c r="CJ205" s="2977"/>
    </row>
    <row r="206" spans="1:88">
      <c r="A206" s="53">
        <v>2010.05</v>
      </c>
      <c r="B206" s="613">
        <v>127.68476307117461</v>
      </c>
      <c r="C206" s="3532">
        <v>129.0580119334748</v>
      </c>
      <c r="D206" s="360"/>
      <c r="E206" s="361"/>
      <c r="F206" s="2657"/>
      <c r="G206" s="2657"/>
      <c r="H206" s="2657"/>
      <c r="I206" s="2657"/>
      <c r="J206" s="2657"/>
      <c r="K206" s="2657"/>
      <c r="L206" s="2657"/>
      <c r="M206" s="2657"/>
      <c r="N206" s="2657"/>
      <c r="O206" s="2657"/>
      <c r="P206" s="2657"/>
      <c r="Q206" s="2657"/>
      <c r="R206" s="2658"/>
      <c r="S206" s="3649"/>
      <c r="T206" s="3649"/>
      <c r="U206" s="3649"/>
      <c r="V206" s="3649"/>
      <c r="W206" s="3649"/>
      <c r="X206" s="3649"/>
      <c r="Y206" s="3649"/>
      <c r="Z206" s="3649"/>
      <c r="AA206" s="3649"/>
      <c r="AB206" s="3649"/>
      <c r="AC206" s="3649"/>
      <c r="AD206" s="3649"/>
      <c r="AE206" s="3649"/>
      <c r="AF206" s="3649"/>
      <c r="AG206" s="3649"/>
      <c r="AH206" s="3649"/>
      <c r="AI206" s="3649"/>
      <c r="AJ206" s="3649"/>
      <c r="AK206" s="3649"/>
      <c r="AL206" s="3649"/>
      <c r="AM206" s="3649"/>
      <c r="AN206" s="3649"/>
      <c r="AO206" s="3649"/>
      <c r="AP206" s="3649"/>
      <c r="AQ206" s="3649"/>
      <c r="AR206" s="3649"/>
      <c r="AS206" s="3649"/>
      <c r="AT206" s="3649"/>
      <c r="AU206" s="3649"/>
      <c r="AV206" s="3649"/>
      <c r="AW206" s="3649"/>
      <c r="AX206" s="3649"/>
      <c r="AY206" s="3649"/>
      <c r="AZ206" s="3649"/>
      <c r="BA206" s="3649"/>
      <c r="BB206" s="3649"/>
      <c r="BC206" s="3649"/>
      <c r="BD206" s="3649"/>
      <c r="BE206" s="3649"/>
      <c r="BF206" s="3649"/>
      <c r="BG206" s="3649"/>
      <c r="BH206" s="3649"/>
      <c r="BI206" s="3649"/>
      <c r="BJ206" s="3649"/>
      <c r="BK206" s="3649"/>
      <c r="BL206" s="3649"/>
      <c r="BM206" s="3649"/>
      <c r="BN206" s="3649"/>
      <c r="BO206" s="3649"/>
      <c r="BP206" s="3649"/>
      <c r="BQ206" s="3649"/>
      <c r="BR206" s="3649"/>
      <c r="BS206" s="3649"/>
      <c r="BT206" s="3649"/>
      <c r="BU206" s="3649"/>
      <c r="BV206" s="3649"/>
      <c r="BW206" s="3649"/>
      <c r="BX206" s="3649"/>
      <c r="BY206" s="3649"/>
      <c r="BZ206" s="3649"/>
      <c r="CA206" s="3649"/>
      <c r="CB206" s="3649"/>
      <c r="CC206" s="3649"/>
      <c r="CD206" s="3649"/>
      <c r="CE206" s="3649"/>
      <c r="CF206" s="3649"/>
      <c r="CG206" s="3649"/>
      <c r="CH206" s="3649"/>
      <c r="CI206" s="3649"/>
      <c r="CJ206" s="2977"/>
    </row>
    <row r="207" spans="1:88">
      <c r="A207" s="53">
        <v>2010.06</v>
      </c>
      <c r="B207" s="613">
        <v>121.47743380179324</v>
      </c>
      <c r="C207" s="3532">
        <v>129.6316827092289</v>
      </c>
      <c r="D207" s="360"/>
      <c r="E207" s="361"/>
      <c r="F207" s="2657"/>
      <c r="G207" s="2657"/>
      <c r="H207" s="2657"/>
      <c r="I207" s="2657"/>
      <c r="J207" s="2657"/>
      <c r="K207" s="2657"/>
      <c r="L207" s="2657"/>
      <c r="M207" s="2657"/>
      <c r="N207" s="2657"/>
      <c r="O207" s="2657"/>
      <c r="P207" s="2657"/>
      <c r="Q207" s="2657"/>
      <c r="R207" s="2658"/>
      <c r="S207" s="3649"/>
      <c r="T207" s="3649"/>
      <c r="U207" s="3649"/>
      <c r="V207" s="3649"/>
      <c r="W207" s="3649"/>
      <c r="X207" s="3649"/>
      <c r="Y207" s="3649"/>
      <c r="Z207" s="3649"/>
      <c r="AA207" s="3649"/>
      <c r="AB207" s="3649"/>
      <c r="AC207" s="3649"/>
      <c r="AD207" s="3649"/>
      <c r="AE207" s="3649"/>
      <c r="AF207" s="3649"/>
      <c r="AG207" s="3649"/>
      <c r="AH207" s="3649"/>
      <c r="AI207" s="3649"/>
      <c r="AJ207" s="3649"/>
      <c r="AK207" s="3649"/>
      <c r="AL207" s="3649"/>
      <c r="AM207" s="3649"/>
      <c r="AN207" s="3649"/>
      <c r="AO207" s="3649"/>
      <c r="AP207" s="3649"/>
      <c r="AQ207" s="3649"/>
      <c r="AR207" s="3649"/>
      <c r="AS207" s="3649"/>
      <c r="AT207" s="3649"/>
      <c r="AU207" s="3649"/>
      <c r="AV207" s="3649"/>
      <c r="AW207" s="3649"/>
      <c r="AX207" s="3649"/>
      <c r="AY207" s="3649"/>
      <c r="AZ207" s="3649"/>
      <c r="BA207" s="3649"/>
      <c r="BB207" s="3649"/>
      <c r="BC207" s="3649"/>
      <c r="BD207" s="3649"/>
      <c r="BE207" s="3649"/>
      <c r="BF207" s="3649"/>
      <c r="BG207" s="3649"/>
      <c r="BH207" s="3649"/>
      <c r="BI207" s="3649"/>
      <c r="BJ207" s="3649"/>
      <c r="BK207" s="3649"/>
      <c r="BL207" s="3649"/>
      <c r="BM207" s="3649"/>
      <c r="BN207" s="3649"/>
      <c r="BO207" s="3649"/>
      <c r="BP207" s="3649"/>
      <c r="BQ207" s="3649"/>
      <c r="BR207" s="3649"/>
      <c r="BS207" s="3649"/>
      <c r="BT207" s="3649"/>
      <c r="BU207" s="3649"/>
      <c r="BV207" s="3649"/>
      <c r="BW207" s="3649"/>
      <c r="BX207" s="3649"/>
      <c r="BY207" s="3649"/>
      <c r="BZ207" s="3649"/>
      <c r="CA207" s="3649"/>
      <c r="CB207" s="3649"/>
      <c r="CC207" s="3649"/>
      <c r="CD207" s="3649"/>
      <c r="CE207" s="3649"/>
      <c r="CF207" s="3649"/>
      <c r="CG207" s="3649"/>
      <c r="CH207" s="3649"/>
      <c r="CI207" s="3649"/>
      <c r="CJ207" s="2977"/>
    </row>
    <row r="208" spans="1:88">
      <c r="A208" s="53">
        <v>2010.07</v>
      </c>
      <c r="B208" s="613">
        <v>124.71559057065384</v>
      </c>
      <c r="C208" s="3532">
        <v>129.86159483212381</v>
      </c>
      <c r="D208" s="360"/>
      <c r="E208" s="361"/>
      <c r="F208" s="2657"/>
      <c r="G208" s="2657"/>
      <c r="H208" s="2657"/>
      <c r="I208" s="2657"/>
      <c r="J208" s="2657"/>
      <c r="K208" s="2657"/>
      <c r="L208" s="2657"/>
      <c r="M208" s="2657"/>
      <c r="N208" s="2657"/>
      <c r="O208" s="2657"/>
      <c r="P208" s="2657"/>
      <c r="Q208" s="2657"/>
      <c r="R208" s="2658"/>
      <c r="S208" s="3649"/>
      <c r="T208" s="3649"/>
      <c r="U208" s="3649"/>
      <c r="V208" s="3649"/>
      <c r="W208" s="3649"/>
      <c r="X208" s="3649"/>
      <c r="Y208" s="3649"/>
      <c r="Z208" s="3649"/>
      <c r="AA208" s="3649"/>
      <c r="AB208" s="3649"/>
      <c r="AC208" s="3649"/>
      <c r="AD208" s="3649"/>
      <c r="AE208" s="3649"/>
      <c r="AF208" s="3649"/>
      <c r="AG208" s="3649"/>
      <c r="AH208" s="3649"/>
      <c r="AI208" s="3649"/>
      <c r="AJ208" s="3649"/>
      <c r="AK208" s="3649"/>
      <c r="AL208" s="3649"/>
      <c r="AM208" s="3649"/>
      <c r="AN208" s="3649"/>
      <c r="AO208" s="3649"/>
      <c r="AP208" s="3649"/>
      <c r="AQ208" s="3649"/>
      <c r="AR208" s="3649"/>
      <c r="AS208" s="3649"/>
      <c r="AT208" s="3649"/>
      <c r="AU208" s="3649"/>
      <c r="AV208" s="3649"/>
      <c r="AW208" s="3649"/>
      <c r="AX208" s="3649"/>
      <c r="AY208" s="3649"/>
      <c r="AZ208" s="3649"/>
      <c r="BA208" s="3649"/>
      <c r="BB208" s="3649"/>
      <c r="BC208" s="3649"/>
      <c r="BD208" s="3649"/>
      <c r="BE208" s="3649"/>
      <c r="BF208" s="3649"/>
      <c r="BG208" s="3649"/>
      <c r="BH208" s="3649"/>
      <c r="BI208" s="3649"/>
      <c r="BJ208" s="3649"/>
      <c r="BK208" s="3649"/>
      <c r="BL208" s="3649"/>
      <c r="BM208" s="3649"/>
      <c r="BN208" s="3649"/>
      <c r="BO208" s="3649"/>
      <c r="BP208" s="3649"/>
      <c r="BQ208" s="3649"/>
      <c r="BR208" s="3649"/>
      <c r="BS208" s="3649"/>
      <c r="BT208" s="3649"/>
      <c r="BU208" s="3649"/>
      <c r="BV208" s="3649"/>
      <c r="BW208" s="3649"/>
      <c r="BX208" s="3649"/>
      <c r="BY208" s="3649"/>
      <c r="BZ208" s="3649"/>
      <c r="CA208" s="3649"/>
      <c r="CB208" s="3649"/>
      <c r="CC208" s="3649"/>
      <c r="CD208" s="3649"/>
      <c r="CE208" s="3649"/>
      <c r="CF208" s="3649"/>
      <c r="CG208" s="3649"/>
      <c r="CH208" s="3649"/>
      <c r="CI208" s="3649"/>
      <c r="CJ208" s="2977"/>
    </row>
    <row r="209" spans="1:88">
      <c r="A209" s="53">
        <v>2010.08</v>
      </c>
      <c r="B209" s="613">
        <v>133.28170496240014</v>
      </c>
      <c r="C209" s="3532">
        <v>132.00104938933239</v>
      </c>
      <c r="D209" s="360"/>
      <c r="E209" s="361"/>
      <c r="F209" s="2657"/>
      <c r="G209" s="2657"/>
      <c r="H209" s="2657"/>
      <c r="I209" s="2657"/>
      <c r="J209" s="2657"/>
      <c r="K209" s="2657"/>
      <c r="L209" s="2657"/>
      <c r="M209" s="2657"/>
      <c r="N209" s="2657"/>
      <c r="O209" s="2657"/>
      <c r="P209" s="2657"/>
      <c r="Q209" s="2657"/>
      <c r="R209" s="2658"/>
      <c r="S209" s="3649"/>
      <c r="T209" s="3649"/>
      <c r="U209" s="3649"/>
      <c r="V209" s="3649"/>
      <c r="W209" s="3649"/>
      <c r="X209" s="3649"/>
      <c r="Y209" s="3649"/>
      <c r="Z209" s="3649"/>
      <c r="AA209" s="3649"/>
      <c r="AB209" s="3649"/>
      <c r="AC209" s="3649"/>
      <c r="AD209" s="3649"/>
      <c r="AE209" s="3649"/>
      <c r="AF209" s="3649"/>
      <c r="AG209" s="3649"/>
      <c r="AH209" s="3649"/>
      <c r="AI209" s="3649"/>
      <c r="AJ209" s="3649"/>
      <c r="AK209" s="3649"/>
      <c r="AL209" s="3649"/>
      <c r="AM209" s="3649"/>
      <c r="AN209" s="3649"/>
      <c r="AO209" s="3649"/>
      <c r="AP209" s="3649"/>
      <c r="AQ209" s="3649"/>
      <c r="AR209" s="3649"/>
      <c r="AS209" s="3649"/>
      <c r="AT209" s="3649"/>
      <c r="AU209" s="3649"/>
      <c r="AV209" s="3649"/>
      <c r="AW209" s="3649"/>
      <c r="AX209" s="3649"/>
      <c r="AY209" s="3649"/>
      <c r="AZ209" s="3649"/>
      <c r="BA209" s="3649"/>
      <c r="BB209" s="3649"/>
      <c r="BC209" s="3649"/>
      <c r="BD209" s="3649"/>
      <c r="BE209" s="3649"/>
      <c r="BF209" s="3649"/>
      <c r="BG209" s="3649"/>
      <c r="BH209" s="3649"/>
      <c r="BI209" s="3649"/>
      <c r="BJ209" s="3649"/>
      <c r="BK209" s="3649"/>
      <c r="BL209" s="3649"/>
      <c r="BM209" s="3649"/>
      <c r="BN209" s="3649"/>
      <c r="BO209" s="3649"/>
      <c r="BP209" s="3649"/>
      <c r="BQ209" s="3649"/>
      <c r="BR209" s="3649"/>
      <c r="BS209" s="3649"/>
      <c r="BT209" s="3649"/>
      <c r="BU209" s="3649"/>
      <c r="BV209" s="3649"/>
      <c r="BW209" s="3649"/>
      <c r="BX209" s="3649"/>
      <c r="BY209" s="3649"/>
      <c r="BZ209" s="3649"/>
      <c r="CA209" s="3649"/>
      <c r="CB209" s="3649"/>
      <c r="CC209" s="3649"/>
      <c r="CD209" s="3649"/>
      <c r="CE209" s="3649"/>
      <c r="CF209" s="3649"/>
      <c r="CG209" s="3649"/>
      <c r="CH209" s="3649"/>
      <c r="CI209" s="3649"/>
      <c r="CJ209" s="2977"/>
    </row>
    <row r="210" spans="1:88">
      <c r="A210" s="53">
        <v>2010.09</v>
      </c>
      <c r="B210" s="613">
        <v>137.55441660949097</v>
      </c>
      <c r="C210" s="3532">
        <v>133.26414980076876</v>
      </c>
      <c r="D210" s="360"/>
      <c r="E210" s="361"/>
      <c r="F210" s="2657"/>
      <c r="G210" s="2657"/>
      <c r="H210" s="2657"/>
      <c r="I210" s="2657"/>
      <c r="J210" s="2657"/>
      <c r="K210" s="2657"/>
      <c r="L210" s="2657"/>
      <c r="M210" s="2657"/>
      <c r="N210" s="2657"/>
      <c r="O210" s="2657"/>
      <c r="P210" s="2657"/>
      <c r="Q210" s="2657"/>
      <c r="R210" s="2658"/>
      <c r="S210" s="3649"/>
      <c r="T210" s="3649"/>
      <c r="U210" s="3649"/>
      <c r="V210" s="3649"/>
      <c r="W210" s="3649"/>
      <c r="X210" s="3649"/>
      <c r="Y210" s="3649"/>
      <c r="Z210" s="3649"/>
      <c r="AA210" s="3649"/>
      <c r="AB210" s="3649"/>
      <c r="AC210" s="3649"/>
      <c r="AD210" s="3649"/>
      <c r="AE210" s="3649"/>
      <c r="AF210" s="3649"/>
      <c r="AG210" s="3649"/>
      <c r="AH210" s="3649"/>
      <c r="AI210" s="3649"/>
      <c r="AJ210" s="3649"/>
      <c r="AK210" s="3649"/>
      <c r="AL210" s="3649"/>
      <c r="AM210" s="3649"/>
      <c r="AN210" s="3649"/>
      <c r="AO210" s="3649"/>
      <c r="AP210" s="3649"/>
      <c r="AQ210" s="3649"/>
      <c r="AR210" s="3649"/>
      <c r="AS210" s="3649"/>
      <c r="AT210" s="3649"/>
      <c r="AU210" s="3649"/>
      <c r="AV210" s="3649"/>
      <c r="AW210" s="3649"/>
      <c r="AX210" s="3649"/>
      <c r="AY210" s="3649"/>
      <c r="AZ210" s="3649"/>
      <c r="BA210" s="3649"/>
      <c r="BB210" s="3649"/>
      <c r="BC210" s="3649"/>
      <c r="BD210" s="3649"/>
      <c r="BE210" s="3649"/>
      <c r="BF210" s="3649"/>
      <c r="BG210" s="3649"/>
      <c r="BH210" s="3649"/>
      <c r="BI210" s="3649"/>
      <c r="BJ210" s="3649"/>
      <c r="BK210" s="3649"/>
      <c r="BL210" s="3649"/>
      <c r="BM210" s="3649"/>
      <c r="BN210" s="3649"/>
      <c r="BO210" s="3649"/>
      <c r="BP210" s="3649"/>
      <c r="BQ210" s="3649"/>
      <c r="BR210" s="3649"/>
      <c r="BS210" s="3649"/>
      <c r="BT210" s="3649"/>
      <c r="BU210" s="3649"/>
      <c r="BV210" s="3649"/>
      <c r="BW210" s="3649"/>
      <c r="BX210" s="3649"/>
      <c r="BY210" s="3649"/>
      <c r="BZ210" s="3649"/>
      <c r="CA210" s="3649"/>
      <c r="CB210" s="3649"/>
      <c r="CC210" s="3649"/>
      <c r="CD210" s="3649"/>
      <c r="CE210" s="3649"/>
      <c r="CF210" s="3649"/>
      <c r="CG210" s="3649"/>
      <c r="CH210" s="3649"/>
      <c r="CI210" s="3649"/>
      <c r="CJ210" s="2977"/>
    </row>
    <row r="211" spans="1:88">
      <c r="A211" s="53">
        <v>2010.1</v>
      </c>
      <c r="B211" s="613">
        <v>136.11638532875097</v>
      </c>
      <c r="C211" s="3532">
        <v>133.65050135174286</v>
      </c>
      <c r="D211" s="360"/>
      <c r="E211" s="361"/>
      <c r="F211" s="2657"/>
      <c r="G211" s="2657"/>
      <c r="H211" s="2657"/>
      <c r="I211" s="2657"/>
      <c r="J211" s="2657"/>
      <c r="K211" s="2657"/>
      <c r="L211" s="2657"/>
      <c r="M211" s="2657"/>
      <c r="N211" s="2657"/>
      <c r="O211" s="2657"/>
      <c r="P211" s="2657"/>
      <c r="Q211" s="2657"/>
      <c r="R211" s="2658"/>
      <c r="S211" s="3649"/>
      <c r="T211" s="3649"/>
      <c r="U211" s="3649"/>
      <c r="V211" s="3649"/>
      <c r="W211" s="3649"/>
      <c r="X211" s="3649"/>
      <c r="Y211" s="3649"/>
      <c r="Z211" s="3649"/>
      <c r="AA211" s="3649"/>
      <c r="AB211" s="3649"/>
      <c r="AC211" s="3649"/>
      <c r="AD211" s="3649"/>
      <c r="AE211" s="3649"/>
      <c r="AF211" s="3649"/>
      <c r="AG211" s="3649"/>
      <c r="AH211" s="3649"/>
      <c r="AI211" s="3649"/>
      <c r="AJ211" s="3649"/>
      <c r="AK211" s="3649"/>
      <c r="AL211" s="3649"/>
      <c r="AM211" s="3649"/>
      <c r="AN211" s="3649"/>
      <c r="AO211" s="3649"/>
      <c r="AP211" s="3649"/>
      <c r="AQ211" s="3649"/>
      <c r="AR211" s="3649"/>
      <c r="AS211" s="3649"/>
      <c r="AT211" s="3649"/>
      <c r="AU211" s="3649"/>
      <c r="AV211" s="3649"/>
      <c r="AW211" s="3649"/>
      <c r="AX211" s="3649"/>
      <c r="AY211" s="3649"/>
      <c r="AZ211" s="3649"/>
      <c r="BA211" s="3649"/>
      <c r="BB211" s="3649"/>
      <c r="BC211" s="3649"/>
      <c r="BD211" s="3649"/>
      <c r="BE211" s="3649"/>
      <c r="BF211" s="3649"/>
      <c r="BG211" s="3649"/>
      <c r="BH211" s="3649"/>
      <c r="BI211" s="3649"/>
      <c r="BJ211" s="3649"/>
      <c r="BK211" s="3649"/>
      <c r="BL211" s="3649"/>
      <c r="BM211" s="3649"/>
      <c r="BN211" s="3649"/>
      <c r="BO211" s="3649"/>
      <c r="BP211" s="3649"/>
      <c r="BQ211" s="3649"/>
      <c r="BR211" s="3649"/>
      <c r="BS211" s="3649"/>
      <c r="BT211" s="3649"/>
      <c r="BU211" s="3649"/>
      <c r="BV211" s="3649"/>
      <c r="BW211" s="3649"/>
      <c r="BX211" s="3649"/>
      <c r="BY211" s="3649"/>
      <c r="BZ211" s="3649"/>
      <c r="CA211" s="3649"/>
      <c r="CB211" s="3649"/>
      <c r="CC211" s="3649"/>
      <c r="CD211" s="3649"/>
      <c r="CE211" s="3649"/>
      <c r="CF211" s="3649"/>
      <c r="CG211" s="3649"/>
      <c r="CH211" s="3649"/>
      <c r="CI211" s="3649"/>
      <c r="CJ211" s="2977"/>
    </row>
    <row r="212" spans="1:88">
      <c r="A212" s="53">
        <v>2010.11</v>
      </c>
      <c r="B212" s="613">
        <v>141.63056282971809</v>
      </c>
      <c r="C212" s="3532">
        <v>135.97409140665604</v>
      </c>
      <c r="D212" s="360"/>
      <c r="E212" s="361"/>
      <c r="F212" s="2657"/>
      <c r="G212" s="2657"/>
      <c r="H212" s="2657"/>
      <c r="I212" s="2657"/>
      <c r="J212" s="2657"/>
      <c r="K212" s="2657"/>
      <c r="L212" s="2657"/>
      <c r="M212" s="2657"/>
      <c r="N212" s="2657"/>
      <c r="O212" s="2657"/>
      <c r="P212" s="2657"/>
      <c r="Q212" s="2657"/>
      <c r="R212" s="2658"/>
      <c r="S212" s="3649"/>
      <c r="T212" s="3649"/>
      <c r="U212" s="3649"/>
      <c r="V212" s="3649"/>
      <c r="W212" s="3649"/>
      <c r="X212" s="3649"/>
      <c r="Y212" s="3649"/>
      <c r="Z212" s="3649"/>
      <c r="AA212" s="3649"/>
      <c r="AB212" s="3649"/>
      <c r="AC212" s="3649"/>
      <c r="AD212" s="3649"/>
      <c r="AE212" s="3649"/>
      <c r="AF212" s="3649"/>
      <c r="AG212" s="3649"/>
      <c r="AH212" s="3649"/>
      <c r="AI212" s="3649"/>
      <c r="AJ212" s="3649"/>
      <c r="AK212" s="3649"/>
      <c r="AL212" s="3649"/>
      <c r="AM212" s="3649"/>
      <c r="AN212" s="3649"/>
      <c r="AO212" s="3649"/>
      <c r="AP212" s="3649"/>
      <c r="AQ212" s="3649"/>
      <c r="AR212" s="3649"/>
      <c r="AS212" s="3649"/>
      <c r="AT212" s="3649"/>
      <c r="AU212" s="3649"/>
      <c r="AV212" s="3649"/>
      <c r="AW212" s="3649"/>
      <c r="AX212" s="3649"/>
      <c r="AY212" s="3649"/>
      <c r="AZ212" s="3649"/>
      <c r="BA212" s="3649"/>
      <c r="BB212" s="3649"/>
      <c r="BC212" s="3649"/>
      <c r="BD212" s="3649"/>
      <c r="BE212" s="3649"/>
      <c r="BF212" s="3649"/>
      <c r="BG212" s="3649"/>
      <c r="BH212" s="3649"/>
      <c r="BI212" s="3649"/>
      <c r="BJ212" s="3649"/>
      <c r="BK212" s="3649"/>
      <c r="BL212" s="3649"/>
      <c r="BM212" s="3649"/>
      <c r="BN212" s="3649"/>
      <c r="BO212" s="3649"/>
      <c r="BP212" s="3649"/>
      <c r="BQ212" s="3649"/>
      <c r="BR212" s="3649"/>
      <c r="BS212" s="3649"/>
      <c r="BT212" s="3649"/>
      <c r="BU212" s="3649"/>
      <c r="BV212" s="3649"/>
      <c r="BW212" s="3649"/>
      <c r="BX212" s="3649"/>
      <c r="BY212" s="3649"/>
      <c r="BZ212" s="3649"/>
      <c r="CA212" s="3649"/>
      <c r="CB212" s="3649"/>
      <c r="CC212" s="3649"/>
      <c r="CD212" s="3649"/>
      <c r="CE212" s="3649"/>
      <c r="CF212" s="3649"/>
      <c r="CG212" s="3649"/>
      <c r="CH212" s="3649"/>
      <c r="CI212" s="3649"/>
      <c r="CJ212" s="2977"/>
    </row>
    <row r="213" spans="1:88">
      <c r="A213" s="53">
        <v>2010.12</v>
      </c>
      <c r="B213" s="613">
        <v>144.96182953761942</v>
      </c>
      <c r="C213" s="3532">
        <v>136.14201710172208</v>
      </c>
      <c r="D213" s="360"/>
      <c r="E213" s="361"/>
      <c r="F213" s="2657"/>
      <c r="G213" s="2657"/>
      <c r="H213" s="2657"/>
      <c r="I213" s="2657"/>
      <c r="J213" s="2657"/>
      <c r="K213" s="2657"/>
      <c r="L213" s="2657"/>
      <c r="M213" s="2657"/>
      <c r="N213" s="2657"/>
      <c r="O213" s="2657"/>
      <c r="P213" s="2657"/>
      <c r="Q213" s="2657"/>
      <c r="R213" s="2658"/>
      <c r="S213" s="3649"/>
      <c r="T213" s="3649"/>
      <c r="U213" s="3649"/>
      <c r="V213" s="3649"/>
      <c r="W213" s="3649"/>
      <c r="X213" s="3649"/>
      <c r="Y213" s="3649"/>
      <c r="Z213" s="3649"/>
      <c r="AA213" s="3649"/>
      <c r="AB213" s="3649"/>
      <c r="AC213" s="3649"/>
      <c r="AD213" s="3649"/>
      <c r="AE213" s="3649"/>
      <c r="AF213" s="3649"/>
      <c r="AG213" s="3649"/>
      <c r="AH213" s="3649"/>
      <c r="AI213" s="3649"/>
      <c r="AJ213" s="3649"/>
      <c r="AK213" s="3649"/>
      <c r="AL213" s="3649"/>
      <c r="AM213" s="3649"/>
      <c r="AN213" s="3649"/>
      <c r="AO213" s="3649"/>
      <c r="AP213" s="3649"/>
      <c r="AQ213" s="3649"/>
      <c r="AR213" s="3649"/>
      <c r="AS213" s="3649"/>
      <c r="AT213" s="3649"/>
      <c r="AU213" s="3649"/>
      <c r="AV213" s="3649"/>
      <c r="AW213" s="3649"/>
      <c r="AX213" s="3649"/>
      <c r="AY213" s="3649"/>
      <c r="AZ213" s="3649"/>
      <c r="BA213" s="3649"/>
      <c r="BB213" s="3649"/>
      <c r="BC213" s="3649"/>
      <c r="BD213" s="3649"/>
      <c r="BE213" s="3649"/>
      <c r="BF213" s="3649"/>
      <c r="BG213" s="3649"/>
      <c r="BH213" s="3649"/>
      <c r="BI213" s="3649"/>
      <c r="BJ213" s="3649"/>
      <c r="BK213" s="3649"/>
      <c r="BL213" s="3649"/>
      <c r="BM213" s="3649"/>
      <c r="BN213" s="3649"/>
      <c r="BO213" s="3649"/>
      <c r="BP213" s="3649"/>
      <c r="BQ213" s="3649"/>
      <c r="BR213" s="3649"/>
      <c r="BS213" s="3649"/>
      <c r="BT213" s="3649"/>
      <c r="BU213" s="3649"/>
      <c r="BV213" s="3649"/>
      <c r="BW213" s="3649"/>
      <c r="BX213" s="3649"/>
      <c r="BY213" s="3649"/>
      <c r="BZ213" s="3649"/>
      <c r="CA213" s="3649"/>
      <c r="CB213" s="3649"/>
      <c r="CC213" s="3649"/>
      <c r="CD213" s="3649"/>
      <c r="CE213" s="3649"/>
      <c r="CF213" s="3649"/>
      <c r="CG213" s="3649"/>
      <c r="CH213" s="3649"/>
      <c r="CI213" s="3649"/>
      <c r="CJ213" s="2977"/>
    </row>
    <row r="214" spans="1:88">
      <c r="A214" s="53">
        <v>2011.01</v>
      </c>
      <c r="B214" s="613">
        <v>118.44618800857869</v>
      </c>
      <c r="C214" s="3532">
        <v>136.83953551153817</v>
      </c>
      <c r="D214" s="360"/>
      <c r="E214" s="361"/>
      <c r="F214" s="2657"/>
      <c r="G214" s="2657"/>
      <c r="H214" s="2657"/>
      <c r="I214" s="2657"/>
      <c r="J214" s="2657"/>
      <c r="K214" s="2657"/>
      <c r="L214" s="2657"/>
      <c r="M214" s="2657"/>
      <c r="N214" s="2657"/>
      <c r="O214" s="2657"/>
      <c r="P214" s="2657"/>
      <c r="Q214" s="2657"/>
      <c r="R214" s="2658"/>
      <c r="S214" s="3649"/>
      <c r="T214" s="3649"/>
      <c r="U214" s="3649"/>
      <c r="V214" s="3649"/>
      <c r="W214" s="3649"/>
      <c r="X214" s="3649"/>
      <c r="Y214" s="3649"/>
      <c r="Z214" s="3649"/>
      <c r="AA214" s="3649"/>
      <c r="AB214" s="3649"/>
      <c r="AC214" s="3649"/>
      <c r="AD214" s="3649"/>
      <c r="AE214" s="3649"/>
      <c r="AF214" s="3649"/>
      <c r="AG214" s="3649"/>
      <c r="AH214" s="3649"/>
      <c r="AI214" s="3649"/>
      <c r="AJ214" s="3649"/>
      <c r="AK214" s="3649"/>
      <c r="AL214" s="3649"/>
      <c r="AM214" s="3649"/>
      <c r="AN214" s="3649"/>
      <c r="AO214" s="3649"/>
      <c r="AP214" s="3649"/>
      <c r="AQ214" s="3649"/>
      <c r="AR214" s="3649"/>
      <c r="AS214" s="3649"/>
      <c r="AT214" s="3649"/>
      <c r="AU214" s="3649"/>
      <c r="AV214" s="3649"/>
      <c r="AW214" s="3649"/>
      <c r="AX214" s="3649"/>
      <c r="AY214" s="3649"/>
      <c r="AZ214" s="3649"/>
      <c r="BA214" s="3649"/>
      <c r="BB214" s="3649"/>
      <c r="BC214" s="3649"/>
      <c r="BD214" s="3649"/>
      <c r="BE214" s="3649"/>
      <c r="BF214" s="3649"/>
      <c r="BG214" s="3649"/>
      <c r="BH214" s="3649"/>
      <c r="BI214" s="3649"/>
      <c r="BJ214" s="3649"/>
      <c r="BK214" s="3649"/>
      <c r="BL214" s="3649"/>
      <c r="BM214" s="3649"/>
      <c r="BN214" s="3649"/>
      <c r="BO214" s="3649"/>
      <c r="BP214" s="3649"/>
      <c r="BQ214" s="3649"/>
      <c r="BR214" s="3649"/>
      <c r="BS214" s="3649"/>
      <c r="BT214" s="3649"/>
      <c r="BU214" s="3649"/>
      <c r="BV214" s="3649"/>
      <c r="BW214" s="3649"/>
      <c r="BX214" s="3649"/>
      <c r="BY214" s="3649"/>
      <c r="BZ214" s="3649"/>
      <c r="CA214" s="3649"/>
      <c r="CB214" s="3649"/>
      <c r="CC214" s="3649"/>
      <c r="CD214" s="3649"/>
      <c r="CE214" s="3649"/>
      <c r="CF214" s="3649"/>
      <c r="CG214" s="3649"/>
      <c r="CH214" s="3649"/>
      <c r="CI214" s="3649"/>
      <c r="CJ214" s="2977"/>
    </row>
    <row r="215" spans="1:88">
      <c r="A215" s="53">
        <v>2011.02</v>
      </c>
      <c r="B215" s="613">
        <v>123.51550691190681</v>
      </c>
      <c r="C215" s="3532">
        <v>137.26688819008015</v>
      </c>
      <c r="D215" s="360"/>
      <c r="E215" s="361"/>
      <c r="F215" s="2657"/>
      <c r="G215" s="2657"/>
      <c r="H215" s="2657"/>
      <c r="I215" s="2657"/>
      <c r="J215" s="2657"/>
      <c r="K215" s="2657"/>
      <c r="L215" s="2657"/>
      <c r="M215" s="2657"/>
      <c r="N215" s="2657"/>
      <c r="O215" s="2657"/>
      <c r="P215" s="2657"/>
      <c r="Q215" s="2657"/>
      <c r="R215" s="2658"/>
      <c r="S215" s="3649"/>
      <c r="T215" s="3649"/>
      <c r="U215" s="3649"/>
      <c r="V215" s="3649"/>
      <c r="W215" s="3649"/>
      <c r="X215" s="3649"/>
      <c r="Y215" s="3649"/>
      <c r="Z215" s="3649"/>
      <c r="AA215" s="3649"/>
      <c r="AB215" s="3649"/>
      <c r="AC215" s="3649"/>
      <c r="AD215" s="3649"/>
      <c r="AE215" s="3649"/>
      <c r="AF215" s="3649"/>
      <c r="AG215" s="3649"/>
      <c r="AH215" s="3649"/>
      <c r="AI215" s="3649"/>
      <c r="AJ215" s="3649"/>
      <c r="AK215" s="3649"/>
      <c r="AL215" s="3649"/>
      <c r="AM215" s="3649"/>
      <c r="AN215" s="3649"/>
      <c r="AO215" s="3649"/>
      <c r="AP215" s="3649"/>
      <c r="AQ215" s="3649"/>
      <c r="AR215" s="3649"/>
      <c r="AS215" s="3649"/>
      <c r="AT215" s="3649"/>
      <c r="AU215" s="3649"/>
      <c r="AV215" s="3649"/>
      <c r="AW215" s="3649"/>
      <c r="AX215" s="3649"/>
      <c r="AY215" s="3649"/>
      <c r="AZ215" s="3649"/>
      <c r="BA215" s="3649"/>
      <c r="BB215" s="3649"/>
      <c r="BC215" s="3649"/>
      <c r="BD215" s="3649"/>
      <c r="BE215" s="3649"/>
      <c r="BF215" s="3649"/>
      <c r="BG215" s="3649"/>
      <c r="BH215" s="3649"/>
      <c r="BI215" s="3649"/>
      <c r="BJ215" s="3649"/>
      <c r="BK215" s="3649"/>
      <c r="BL215" s="3649"/>
      <c r="BM215" s="3649"/>
      <c r="BN215" s="3649"/>
      <c r="BO215" s="3649"/>
      <c r="BP215" s="3649"/>
      <c r="BQ215" s="3649"/>
      <c r="BR215" s="3649"/>
      <c r="BS215" s="3649"/>
      <c r="BT215" s="3649"/>
      <c r="BU215" s="3649"/>
      <c r="BV215" s="3649"/>
      <c r="BW215" s="3649"/>
      <c r="BX215" s="3649"/>
      <c r="BY215" s="3649"/>
      <c r="BZ215" s="3649"/>
      <c r="CA215" s="3649"/>
      <c r="CB215" s="3649"/>
      <c r="CC215" s="3649"/>
      <c r="CD215" s="3649"/>
      <c r="CE215" s="3649"/>
      <c r="CF215" s="3649"/>
      <c r="CG215" s="3649"/>
      <c r="CH215" s="3649"/>
      <c r="CI215" s="3649"/>
      <c r="CJ215" s="2977"/>
    </row>
    <row r="216" spans="1:88">
      <c r="A216" s="53">
        <v>2011.03</v>
      </c>
      <c r="B216" s="613">
        <v>134.32660538941269</v>
      </c>
      <c r="C216" s="3532">
        <v>137.98995547720813</v>
      </c>
      <c r="D216" s="360"/>
      <c r="E216" s="361"/>
      <c r="F216" s="2657"/>
      <c r="G216" s="2657"/>
      <c r="H216" s="2657"/>
      <c r="I216" s="2657"/>
      <c r="J216" s="2657"/>
      <c r="K216" s="2657"/>
      <c r="L216" s="2657"/>
      <c r="M216" s="2657"/>
      <c r="N216" s="2657"/>
      <c r="O216" s="2657"/>
      <c r="P216" s="2657"/>
      <c r="Q216" s="2657"/>
      <c r="R216" s="2658"/>
      <c r="S216" s="3649"/>
      <c r="T216" s="3649"/>
      <c r="U216" s="3649"/>
      <c r="V216" s="3649"/>
      <c r="W216" s="3649"/>
      <c r="X216" s="3649"/>
      <c r="Y216" s="3649"/>
      <c r="Z216" s="3649"/>
      <c r="AA216" s="3649"/>
      <c r="AB216" s="3649"/>
      <c r="AC216" s="3649"/>
      <c r="AD216" s="3649"/>
      <c r="AE216" s="3649"/>
      <c r="AF216" s="3649"/>
      <c r="AG216" s="3649"/>
      <c r="AH216" s="3649"/>
      <c r="AI216" s="3649"/>
      <c r="AJ216" s="3649"/>
      <c r="AK216" s="3649"/>
      <c r="AL216" s="3649"/>
      <c r="AM216" s="3649"/>
      <c r="AN216" s="3649"/>
      <c r="AO216" s="3649"/>
      <c r="AP216" s="3649"/>
      <c r="AQ216" s="3649"/>
      <c r="AR216" s="3649"/>
      <c r="AS216" s="3649"/>
      <c r="AT216" s="3649"/>
      <c r="AU216" s="3649"/>
      <c r="AV216" s="3649"/>
      <c r="AW216" s="3649"/>
      <c r="AX216" s="3649"/>
      <c r="AY216" s="3649"/>
      <c r="AZ216" s="3649"/>
      <c r="BA216" s="3649"/>
      <c r="BB216" s="3649"/>
      <c r="BC216" s="3649"/>
      <c r="BD216" s="3649"/>
      <c r="BE216" s="3649"/>
      <c r="BF216" s="3649"/>
      <c r="BG216" s="3649"/>
      <c r="BH216" s="3649"/>
      <c r="BI216" s="3649"/>
      <c r="BJ216" s="3649"/>
      <c r="BK216" s="3649"/>
      <c r="BL216" s="3649"/>
      <c r="BM216" s="3649"/>
      <c r="BN216" s="3649"/>
      <c r="BO216" s="3649"/>
      <c r="BP216" s="3649"/>
      <c r="BQ216" s="3649"/>
      <c r="BR216" s="3649"/>
      <c r="BS216" s="3649"/>
      <c r="BT216" s="3649"/>
      <c r="BU216" s="3649"/>
      <c r="BV216" s="3649"/>
      <c r="BW216" s="3649"/>
      <c r="BX216" s="3649"/>
      <c r="BY216" s="3649"/>
      <c r="BZ216" s="3649"/>
      <c r="CA216" s="3649"/>
      <c r="CB216" s="3649"/>
      <c r="CC216" s="3649"/>
      <c r="CD216" s="3649"/>
      <c r="CE216" s="3649"/>
      <c r="CF216" s="3649"/>
      <c r="CG216" s="3649"/>
      <c r="CH216" s="3649"/>
      <c r="CI216" s="3649"/>
      <c r="CJ216" s="2977"/>
    </row>
    <row r="217" spans="1:88">
      <c r="A217" s="53">
        <v>2011.04</v>
      </c>
      <c r="B217" s="613">
        <v>138.11307624373532</v>
      </c>
      <c r="C217" s="3532">
        <v>138.95902125140432</v>
      </c>
      <c r="D217" s="360"/>
      <c r="E217" s="361"/>
      <c r="F217" s="2657"/>
      <c r="G217" s="2657"/>
      <c r="H217" s="2657"/>
      <c r="I217" s="2657"/>
      <c r="J217" s="2657"/>
      <c r="K217" s="2657"/>
      <c r="L217" s="2657"/>
      <c r="M217" s="2657"/>
      <c r="N217" s="2657"/>
      <c r="O217" s="2657"/>
      <c r="P217" s="2657"/>
      <c r="Q217" s="2657"/>
      <c r="R217" s="2658"/>
      <c r="S217" s="3649"/>
      <c r="T217" s="3649"/>
      <c r="U217" s="3649"/>
      <c r="V217" s="3649"/>
      <c r="W217" s="3649"/>
      <c r="X217" s="3649"/>
      <c r="Y217" s="3649"/>
      <c r="Z217" s="3649"/>
      <c r="AA217" s="3649"/>
      <c r="AB217" s="3649"/>
      <c r="AC217" s="3649"/>
      <c r="AD217" s="3649"/>
      <c r="AE217" s="3649"/>
      <c r="AF217" s="3649"/>
      <c r="AG217" s="3649"/>
      <c r="AH217" s="3649"/>
      <c r="AI217" s="3649"/>
      <c r="AJ217" s="3649"/>
      <c r="AK217" s="3649"/>
      <c r="AL217" s="3649"/>
      <c r="AM217" s="3649"/>
      <c r="AN217" s="3649"/>
      <c r="AO217" s="3649"/>
      <c r="AP217" s="3649"/>
      <c r="AQ217" s="3649"/>
      <c r="AR217" s="3649"/>
      <c r="AS217" s="3649"/>
      <c r="AT217" s="3649"/>
      <c r="AU217" s="3649"/>
      <c r="AV217" s="3649"/>
      <c r="AW217" s="3649"/>
      <c r="AX217" s="3649"/>
      <c r="AY217" s="3649"/>
      <c r="AZ217" s="3649"/>
      <c r="BA217" s="3649"/>
      <c r="BB217" s="3649"/>
      <c r="BC217" s="3649"/>
      <c r="BD217" s="3649"/>
      <c r="BE217" s="3649"/>
      <c r="BF217" s="3649"/>
      <c r="BG217" s="3649"/>
      <c r="BH217" s="3649"/>
      <c r="BI217" s="3649"/>
      <c r="BJ217" s="3649"/>
      <c r="BK217" s="3649"/>
      <c r="BL217" s="3649"/>
      <c r="BM217" s="3649"/>
      <c r="BN217" s="3649"/>
      <c r="BO217" s="3649"/>
      <c r="BP217" s="3649"/>
      <c r="BQ217" s="3649"/>
      <c r="BR217" s="3649"/>
      <c r="BS217" s="3649"/>
      <c r="BT217" s="3649"/>
      <c r="BU217" s="3649"/>
      <c r="BV217" s="3649"/>
      <c r="BW217" s="3649"/>
      <c r="BX217" s="3649"/>
      <c r="BY217" s="3649"/>
      <c r="BZ217" s="3649"/>
      <c r="CA217" s="3649"/>
      <c r="CB217" s="3649"/>
      <c r="CC217" s="3649"/>
      <c r="CD217" s="3649"/>
      <c r="CE217" s="3649"/>
      <c r="CF217" s="3649"/>
      <c r="CG217" s="3649"/>
      <c r="CH217" s="3649"/>
      <c r="CI217" s="3649"/>
      <c r="CJ217" s="2977"/>
    </row>
    <row r="218" spans="1:88">
      <c r="A218" s="53">
        <v>2011.05</v>
      </c>
      <c r="B218" s="613">
        <v>139.30281435370009</v>
      </c>
      <c r="C218" s="3532">
        <v>139.89464405076214</v>
      </c>
      <c r="D218" s="360"/>
      <c r="E218" s="361"/>
      <c r="F218" s="2657"/>
      <c r="G218" s="2657"/>
      <c r="H218" s="2657"/>
      <c r="I218" s="2657"/>
      <c r="J218" s="2657"/>
      <c r="K218" s="2657"/>
      <c r="L218" s="2657"/>
      <c r="M218" s="2657"/>
      <c r="N218" s="2657"/>
      <c r="O218" s="2657"/>
      <c r="P218" s="2657"/>
      <c r="Q218" s="2657"/>
      <c r="R218" s="2658"/>
      <c r="S218" s="3649"/>
      <c r="T218" s="3649"/>
      <c r="U218" s="3649"/>
      <c r="V218" s="3649"/>
      <c r="W218" s="3649"/>
      <c r="X218" s="3649"/>
      <c r="Y218" s="3649"/>
      <c r="Z218" s="3649"/>
      <c r="AA218" s="3649"/>
      <c r="AB218" s="3649"/>
      <c r="AC218" s="3649"/>
      <c r="AD218" s="3649"/>
      <c r="AE218" s="3649"/>
      <c r="AF218" s="3649"/>
      <c r="AG218" s="3649"/>
      <c r="AH218" s="3649"/>
      <c r="AI218" s="3649"/>
      <c r="AJ218" s="3649"/>
      <c r="AK218" s="3649"/>
      <c r="AL218" s="3649"/>
      <c r="AM218" s="3649"/>
      <c r="AN218" s="3649"/>
      <c r="AO218" s="3649"/>
      <c r="AP218" s="3649"/>
      <c r="AQ218" s="3649"/>
      <c r="AR218" s="3649"/>
      <c r="AS218" s="3649"/>
      <c r="AT218" s="3649"/>
      <c r="AU218" s="3649"/>
      <c r="AV218" s="3649"/>
      <c r="AW218" s="3649"/>
      <c r="AX218" s="3649"/>
      <c r="AY218" s="3649"/>
      <c r="AZ218" s="3649"/>
      <c r="BA218" s="3649"/>
      <c r="BB218" s="3649"/>
      <c r="BC218" s="3649"/>
      <c r="BD218" s="3649"/>
      <c r="BE218" s="3649"/>
      <c r="BF218" s="3649"/>
      <c r="BG218" s="3649"/>
      <c r="BH218" s="3649"/>
      <c r="BI218" s="3649"/>
      <c r="BJ218" s="3649"/>
      <c r="BK218" s="3649"/>
      <c r="BL218" s="3649"/>
      <c r="BM218" s="3649"/>
      <c r="BN218" s="3649"/>
      <c r="BO218" s="3649"/>
      <c r="BP218" s="3649"/>
      <c r="BQ218" s="3649"/>
      <c r="BR218" s="3649"/>
      <c r="BS218" s="3649"/>
      <c r="BT218" s="3649"/>
      <c r="BU218" s="3649"/>
      <c r="BV218" s="3649"/>
      <c r="BW218" s="3649"/>
      <c r="BX218" s="3649"/>
      <c r="BY218" s="3649"/>
      <c r="BZ218" s="3649"/>
      <c r="CA218" s="3649"/>
      <c r="CB218" s="3649"/>
      <c r="CC218" s="3649"/>
      <c r="CD218" s="3649"/>
      <c r="CE218" s="3649"/>
      <c r="CF218" s="3649"/>
      <c r="CG218" s="3649"/>
      <c r="CH218" s="3649"/>
      <c r="CI218" s="3649"/>
      <c r="CJ218" s="2977"/>
    </row>
    <row r="219" spans="1:88">
      <c r="A219" s="53">
        <v>2011.06</v>
      </c>
      <c r="B219" s="613">
        <v>131.38846953523884</v>
      </c>
      <c r="C219" s="3532">
        <v>140.00411761475269</v>
      </c>
      <c r="D219" s="360"/>
      <c r="E219" s="361"/>
      <c r="F219" s="2657"/>
      <c r="G219" s="2657"/>
      <c r="H219" s="2657"/>
      <c r="I219" s="2657"/>
      <c r="J219" s="2657"/>
      <c r="K219" s="2657"/>
      <c r="L219" s="2657"/>
      <c r="M219" s="2657"/>
      <c r="N219" s="2657"/>
      <c r="O219" s="2657"/>
      <c r="P219" s="2657"/>
      <c r="Q219" s="2657"/>
      <c r="R219" s="2658"/>
      <c r="S219" s="3649"/>
      <c r="T219" s="3649"/>
      <c r="U219" s="3649"/>
      <c r="V219" s="3649"/>
      <c r="W219" s="3649"/>
      <c r="X219" s="3649"/>
      <c r="Y219" s="3649"/>
      <c r="Z219" s="3649"/>
      <c r="AA219" s="3649"/>
      <c r="AB219" s="3649"/>
      <c r="AC219" s="3649"/>
      <c r="AD219" s="3649"/>
      <c r="AE219" s="3649"/>
      <c r="AF219" s="3649"/>
      <c r="AG219" s="3649"/>
      <c r="AH219" s="3649"/>
      <c r="AI219" s="3649"/>
      <c r="AJ219" s="3649"/>
      <c r="AK219" s="3649"/>
      <c r="AL219" s="3649"/>
      <c r="AM219" s="3649"/>
      <c r="AN219" s="3649"/>
      <c r="AO219" s="3649"/>
      <c r="AP219" s="3649"/>
      <c r="AQ219" s="3649"/>
      <c r="AR219" s="3649"/>
      <c r="AS219" s="3649"/>
      <c r="AT219" s="3649"/>
      <c r="AU219" s="3649"/>
      <c r="AV219" s="3649"/>
      <c r="AW219" s="3649"/>
      <c r="AX219" s="3649"/>
      <c r="AY219" s="3649"/>
      <c r="AZ219" s="3649"/>
      <c r="BA219" s="3649"/>
      <c r="BB219" s="3649"/>
      <c r="BC219" s="3649"/>
      <c r="BD219" s="3649"/>
      <c r="BE219" s="3649"/>
      <c r="BF219" s="3649"/>
      <c r="BG219" s="3649"/>
      <c r="BH219" s="3649"/>
      <c r="BI219" s="3649"/>
      <c r="BJ219" s="3649"/>
      <c r="BK219" s="3649"/>
      <c r="BL219" s="3649"/>
      <c r="BM219" s="3649"/>
      <c r="BN219" s="3649"/>
      <c r="BO219" s="3649"/>
      <c r="BP219" s="3649"/>
      <c r="BQ219" s="3649"/>
      <c r="BR219" s="3649"/>
      <c r="BS219" s="3649"/>
      <c r="BT219" s="3649"/>
      <c r="BU219" s="3649"/>
      <c r="BV219" s="3649"/>
      <c r="BW219" s="3649"/>
      <c r="BX219" s="3649"/>
      <c r="BY219" s="3649"/>
      <c r="BZ219" s="3649"/>
      <c r="CA219" s="3649"/>
      <c r="CB219" s="3649"/>
      <c r="CC219" s="3649"/>
      <c r="CD219" s="3649"/>
      <c r="CE219" s="3649"/>
      <c r="CF219" s="3649"/>
      <c r="CG219" s="3649"/>
      <c r="CH219" s="3649"/>
      <c r="CI219" s="3649"/>
      <c r="CJ219" s="2977"/>
    </row>
    <row r="220" spans="1:88">
      <c r="A220" s="53">
        <v>2011.07</v>
      </c>
      <c r="B220" s="613">
        <v>133.5196525843931</v>
      </c>
      <c r="C220" s="3532">
        <v>139.99805819496794</v>
      </c>
      <c r="D220" s="360"/>
      <c r="E220" s="361"/>
      <c r="F220" s="2657"/>
      <c r="G220" s="2657"/>
      <c r="H220" s="2657"/>
      <c r="I220" s="2657"/>
      <c r="J220" s="2657"/>
      <c r="K220" s="2657"/>
      <c r="L220" s="2657"/>
      <c r="M220" s="2657"/>
      <c r="N220" s="2657"/>
      <c r="O220" s="2657"/>
      <c r="P220" s="2657"/>
      <c r="Q220" s="2657"/>
      <c r="R220" s="2658"/>
      <c r="S220" s="3649"/>
      <c r="T220" s="3649"/>
      <c r="U220" s="3649"/>
      <c r="V220" s="3649"/>
      <c r="W220" s="3649"/>
      <c r="X220" s="3649"/>
      <c r="Y220" s="3649"/>
      <c r="Z220" s="3649"/>
      <c r="AA220" s="3649"/>
      <c r="AB220" s="3649"/>
      <c r="AC220" s="3649"/>
      <c r="AD220" s="3649"/>
      <c r="AE220" s="3649"/>
      <c r="AF220" s="3649"/>
      <c r="AG220" s="3649"/>
      <c r="AH220" s="3649"/>
      <c r="AI220" s="3649"/>
      <c r="AJ220" s="3649"/>
      <c r="AK220" s="3649"/>
      <c r="AL220" s="3649"/>
      <c r="AM220" s="3649"/>
      <c r="AN220" s="3649"/>
      <c r="AO220" s="3649"/>
      <c r="AP220" s="3649"/>
      <c r="AQ220" s="3649"/>
      <c r="AR220" s="3649"/>
      <c r="AS220" s="3649"/>
      <c r="AT220" s="3649"/>
      <c r="AU220" s="3649"/>
      <c r="AV220" s="3649"/>
      <c r="AW220" s="3649"/>
      <c r="AX220" s="3649"/>
      <c r="AY220" s="3649"/>
      <c r="AZ220" s="3649"/>
      <c r="BA220" s="3649"/>
      <c r="BB220" s="3649"/>
      <c r="BC220" s="3649"/>
      <c r="BD220" s="3649"/>
      <c r="BE220" s="3649"/>
      <c r="BF220" s="3649"/>
      <c r="BG220" s="3649"/>
      <c r="BH220" s="3649"/>
      <c r="BI220" s="3649"/>
      <c r="BJ220" s="3649"/>
      <c r="BK220" s="3649"/>
      <c r="BL220" s="3649"/>
      <c r="BM220" s="3649"/>
      <c r="BN220" s="3649"/>
      <c r="BO220" s="3649"/>
      <c r="BP220" s="3649"/>
      <c r="BQ220" s="3649"/>
      <c r="BR220" s="3649"/>
      <c r="BS220" s="3649"/>
      <c r="BT220" s="3649"/>
      <c r="BU220" s="3649"/>
      <c r="BV220" s="3649"/>
      <c r="BW220" s="3649"/>
      <c r="BX220" s="3649"/>
      <c r="BY220" s="3649"/>
      <c r="BZ220" s="3649"/>
      <c r="CA220" s="3649"/>
      <c r="CB220" s="3649"/>
      <c r="CC220" s="3649"/>
      <c r="CD220" s="3649"/>
      <c r="CE220" s="3649"/>
      <c r="CF220" s="3649"/>
      <c r="CG220" s="3649"/>
      <c r="CH220" s="3649"/>
      <c r="CI220" s="3649"/>
      <c r="CJ220" s="2977"/>
    </row>
    <row r="221" spans="1:88">
      <c r="A221" s="53">
        <v>2011.08</v>
      </c>
      <c r="B221" s="613">
        <v>140.18218600019577</v>
      </c>
      <c r="C221" s="3532">
        <v>138.69517510342652</v>
      </c>
      <c r="D221" s="360"/>
      <c r="E221" s="361"/>
      <c r="F221" s="2657"/>
      <c r="G221" s="2657"/>
      <c r="H221" s="2657"/>
      <c r="I221" s="2657"/>
      <c r="J221" s="2657"/>
      <c r="K221" s="2657"/>
      <c r="L221" s="2657"/>
      <c r="M221" s="2657"/>
      <c r="N221" s="2657"/>
      <c r="O221" s="2657"/>
      <c r="P221" s="2657"/>
      <c r="Q221" s="2657"/>
      <c r="R221" s="2658"/>
      <c r="S221" s="3649"/>
      <c r="T221" s="3649"/>
      <c r="U221" s="3649"/>
      <c r="V221" s="3649"/>
      <c r="W221" s="3649"/>
      <c r="X221" s="3649"/>
      <c r="Y221" s="3649"/>
      <c r="Z221" s="3649"/>
      <c r="AA221" s="3649"/>
      <c r="AB221" s="3649"/>
      <c r="AC221" s="3649"/>
      <c r="AD221" s="3649"/>
      <c r="AE221" s="3649"/>
      <c r="AF221" s="3649"/>
      <c r="AG221" s="3649"/>
      <c r="AH221" s="3649"/>
      <c r="AI221" s="3649"/>
      <c r="AJ221" s="3649"/>
      <c r="AK221" s="3649"/>
      <c r="AL221" s="3649"/>
      <c r="AM221" s="3649"/>
      <c r="AN221" s="3649"/>
      <c r="AO221" s="3649"/>
      <c r="AP221" s="3649"/>
      <c r="AQ221" s="3649"/>
      <c r="AR221" s="3649"/>
      <c r="AS221" s="3649"/>
      <c r="AT221" s="3649"/>
      <c r="AU221" s="3649"/>
      <c r="AV221" s="3649"/>
      <c r="AW221" s="3649"/>
      <c r="AX221" s="3649"/>
      <c r="AY221" s="3649"/>
      <c r="AZ221" s="3649"/>
      <c r="BA221" s="3649"/>
      <c r="BB221" s="3649"/>
      <c r="BC221" s="3649"/>
      <c r="BD221" s="3649"/>
      <c r="BE221" s="3649"/>
      <c r="BF221" s="3649"/>
      <c r="BG221" s="3649"/>
      <c r="BH221" s="3649"/>
      <c r="BI221" s="3649"/>
      <c r="BJ221" s="3649"/>
      <c r="BK221" s="3649"/>
      <c r="BL221" s="3649"/>
      <c r="BM221" s="3649"/>
      <c r="BN221" s="3649"/>
      <c r="BO221" s="3649"/>
      <c r="BP221" s="3649"/>
      <c r="BQ221" s="3649"/>
      <c r="BR221" s="3649"/>
      <c r="BS221" s="3649"/>
      <c r="BT221" s="3649"/>
      <c r="BU221" s="3649"/>
      <c r="BV221" s="3649"/>
      <c r="BW221" s="3649"/>
      <c r="BX221" s="3649"/>
      <c r="BY221" s="3649"/>
      <c r="BZ221" s="3649"/>
      <c r="CA221" s="3649"/>
      <c r="CB221" s="3649"/>
      <c r="CC221" s="3649"/>
      <c r="CD221" s="3649"/>
      <c r="CE221" s="3649"/>
      <c r="CF221" s="3649"/>
      <c r="CG221" s="3649"/>
      <c r="CH221" s="3649"/>
      <c r="CI221" s="3649"/>
      <c r="CJ221" s="2977"/>
    </row>
    <row r="222" spans="1:88">
      <c r="A222" s="53">
        <v>2011.09</v>
      </c>
      <c r="B222" s="613">
        <v>144.55835313510963</v>
      </c>
      <c r="C222" s="3532">
        <v>140.87749423853504</v>
      </c>
      <c r="D222" s="360"/>
      <c r="E222" s="361"/>
      <c r="F222" s="2657"/>
      <c r="G222" s="2657"/>
      <c r="H222" s="2657"/>
      <c r="I222" s="2657"/>
      <c r="J222" s="2657"/>
      <c r="K222" s="2657"/>
      <c r="L222" s="2657"/>
      <c r="M222" s="2657"/>
      <c r="N222" s="2657"/>
      <c r="O222" s="2657"/>
      <c r="P222" s="2657"/>
      <c r="Q222" s="2657"/>
      <c r="R222" s="2658"/>
      <c r="S222" s="3649"/>
      <c r="T222" s="3649"/>
      <c r="U222" s="3649"/>
      <c r="V222" s="3649"/>
      <c r="W222" s="3649"/>
      <c r="X222" s="3649"/>
      <c r="Y222" s="3649"/>
      <c r="Z222" s="3649"/>
      <c r="AA222" s="3649"/>
      <c r="AB222" s="3649"/>
      <c r="AC222" s="3649"/>
      <c r="AD222" s="3649"/>
      <c r="AE222" s="3649"/>
      <c r="AF222" s="3649"/>
      <c r="AG222" s="3649"/>
      <c r="AH222" s="3649"/>
      <c r="AI222" s="3649"/>
      <c r="AJ222" s="3649"/>
      <c r="AK222" s="3649"/>
      <c r="AL222" s="3649"/>
      <c r="AM222" s="3649"/>
      <c r="AN222" s="3649"/>
      <c r="AO222" s="3649"/>
      <c r="AP222" s="3649"/>
      <c r="AQ222" s="3649"/>
      <c r="AR222" s="3649"/>
      <c r="AS222" s="3649"/>
      <c r="AT222" s="3649"/>
      <c r="AU222" s="3649"/>
      <c r="AV222" s="3649"/>
      <c r="AW222" s="3649"/>
      <c r="AX222" s="3649"/>
      <c r="AY222" s="3649"/>
      <c r="AZ222" s="3649"/>
      <c r="BA222" s="3649"/>
      <c r="BB222" s="3649"/>
      <c r="BC222" s="3649"/>
      <c r="BD222" s="3649"/>
      <c r="BE222" s="3649"/>
      <c r="BF222" s="3649"/>
      <c r="BG222" s="3649"/>
      <c r="BH222" s="3649"/>
      <c r="BI222" s="3649"/>
      <c r="BJ222" s="3649"/>
      <c r="BK222" s="3649"/>
      <c r="BL222" s="3649"/>
      <c r="BM222" s="3649"/>
      <c r="BN222" s="3649"/>
      <c r="BO222" s="3649"/>
      <c r="BP222" s="3649"/>
      <c r="BQ222" s="3649"/>
      <c r="BR222" s="3649"/>
      <c r="BS222" s="3649"/>
      <c r="BT222" s="3649"/>
      <c r="BU222" s="3649"/>
      <c r="BV222" s="3649"/>
      <c r="BW222" s="3649"/>
      <c r="BX222" s="3649"/>
      <c r="BY222" s="3649"/>
      <c r="BZ222" s="3649"/>
      <c r="CA222" s="3649"/>
      <c r="CB222" s="3649"/>
      <c r="CC222" s="3649"/>
      <c r="CD222" s="3649"/>
      <c r="CE222" s="3649"/>
      <c r="CF222" s="3649"/>
      <c r="CG222" s="3649"/>
      <c r="CH222" s="3649"/>
      <c r="CI222" s="3649"/>
      <c r="CJ222" s="2977"/>
    </row>
    <row r="223" spans="1:88">
      <c r="A223" s="53">
        <v>2011.1</v>
      </c>
      <c r="B223" s="613">
        <v>141.72367276875883</v>
      </c>
      <c r="C223" s="3532">
        <v>139.12084220555946</v>
      </c>
      <c r="D223" s="360"/>
      <c r="E223" s="361"/>
      <c r="F223" s="2657"/>
      <c r="G223" s="2657"/>
      <c r="H223" s="2657"/>
      <c r="I223" s="2657"/>
      <c r="J223" s="2657"/>
      <c r="K223" s="2657"/>
      <c r="L223" s="2657"/>
      <c r="M223" s="2657"/>
      <c r="N223" s="2657"/>
      <c r="O223" s="2657"/>
      <c r="P223" s="2657"/>
      <c r="Q223" s="2657"/>
      <c r="R223" s="2658"/>
      <c r="S223" s="3649"/>
      <c r="T223" s="3649"/>
      <c r="U223" s="3649"/>
      <c r="V223" s="3649"/>
      <c r="W223" s="3649"/>
      <c r="X223" s="3649"/>
      <c r="Y223" s="3649"/>
      <c r="Z223" s="3649"/>
      <c r="AA223" s="3649"/>
      <c r="AB223" s="3649"/>
      <c r="AC223" s="3649"/>
      <c r="AD223" s="3649"/>
      <c r="AE223" s="3649"/>
      <c r="AF223" s="3649"/>
      <c r="AG223" s="3649"/>
      <c r="AH223" s="3649"/>
      <c r="AI223" s="3649"/>
      <c r="AJ223" s="3649"/>
      <c r="AK223" s="3649"/>
      <c r="AL223" s="3649"/>
      <c r="AM223" s="3649"/>
      <c r="AN223" s="3649"/>
      <c r="AO223" s="3649"/>
      <c r="AP223" s="3649"/>
      <c r="AQ223" s="3649"/>
      <c r="AR223" s="3649"/>
      <c r="AS223" s="3649"/>
      <c r="AT223" s="3649"/>
      <c r="AU223" s="3649"/>
      <c r="AV223" s="3649"/>
      <c r="AW223" s="3649"/>
      <c r="AX223" s="3649"/>
      <c r="AY223" s="3649"/>
      <c r="AZ223" s="3649"/>
      <c r="BA223" s="3649"/>
      <c r="BB223" s="3649"/>
      <c r="BC223" s="3649"/>
      <c r="BD223" s="3649"/>
      <c r="BE223" s="3649"/>
      <c r="BF223" s="3649"/>
      <c r="BG223" s="3649"/>
      <c r="BH223" s="3649"/>
      <c r="BI223" s="3649"/>
      <c r="BJ223" s="3649"/>
      <c r="BK223" s="3649"/>
      <c r="BL223" s="3649"/>
      <c r="BM223" s="3649"/>
      <c r="BN223" s="3649"/>
      <c r="BO223" s="3649"/>
      <c r="BP223" s="3649"/>
      <c r="BQ223" s="3649"/>
      <c r="BR223" s="3649"/>
      <c r="BS223" s="3649"/>
      <c r="BT223" s="3649"/>
      <c r="BU223" s="3649"/>
      <c r="BV223" s="3649"/>
      <c r="BW223" s="3649"/>
      <c r="BX223" s="3649"/>
      <c r="BY223" s="3649"/>
      <c r="BZ223" s="3649"/>
      <c r="CA223" s="3649"/>
      <c r="CB223" s="3649"/>
      <c r="CC223" s="3649"/>
      <c r="CD223" s="3649"/>
      <c r="CE223" s="3649"/>
      <c r="CF223" s="3649"/>
      <c r="CG223" s="3649"/>
      <c r="CH223" s="3649"/>
      <c r="CI223" s="3649"/>
      <c r="CJ223" s="2977"/>
    </row>
    <row r="224" spans="1:88">
      <c r="A224" s="53">
        <v>2011.11</v>
      </c>
      <c r="B224" s="613">
        <v>147.25854136729055</v>
      </c>
      <c r="C224" s="3532">
        <v>141.30032334503807</v>
      </c>
      <c r="D224" s="360"/>
      <c r="E224" s="361"/>
      <c r="F224" s="2657"/>
      <c r="G224" s="2657"/>
      <c r="H224" s="2657"/>
      <c r="I224" s="2657"/>
      <c r="J224" s="2657"/>
      <c r="K224" s="2657"/>
      <c r="L224" s="2657"/>
      <c r="M224" s="2657"/>
      <c r="N224" s="2657"/>
      <c r="O224" s="2657"/>
      <c r="P224" s="2657"/>
      <c r="Q224" s="2657"/>
      <c r="R224" s="2658"/>
      <c r="S224" s="3649"/>
      <c r="T224" s="3649"/>
      <c r="U224" s="3649"/>
      <c r="V224" s="3649"/>
      <c r="W224" s="3649"/>
      <c r="X224" s="3649"/>
      <c r="Y224" s="3649"/>
      <c r="Z224" s="3649"/>
      <c r="AA224" s="3649"/>
      <c r="AB224" s="3649"/>
      <c r="AC224" s="3649"/>
      <c r="AD224" s="3649"/>
      <c r="AE224" s="3649"/>
      <c r="AF224" s="3649"/>
      <c r="AG224" s="3649"/>
      <c r="AH224" s="3649"/>
      <c r="AI224" s="3649"/>
      <c r="AJ224" s="3649"/>
      <c r="AK224" s="3649"/>
      <c r="AL224" s="3649"/>
      <c r="AM224" s="3649"/>
      <c r="AN224" s="3649"/>
      <c r="AO224" s="3649"/>
      <c r="AP224" s="3649"/>
      <c r="AQ224" s="3649"/>
      <c r="AR224" s="3649"/>
      <c r="AS224" s="3649"/>
      <c r="AT224" s="3649"/>
      <c r="AU224" s="3649"/>
      <c r="AV224" s="3649"/>
      <c r="AW224" s="3649"/>
      <c r="AX224" s="3649"/>
      <c r="AY224" s="3649"/>
      <c r="AZ224" s="3649"/>
      <c r="BA224" s="3649"/>
      <c r="BB224" s="3649"/>
      <c r="BC224" s="3649"/>
      <c r="BD224" s="3649"/>
      <c r="BE224" s="3649"/>
      <c r="BF224" s="3649"/>
      <c r="BG224" s="3649"/>
      <c r="BH224" s="3649"/>
      <c r="BI224" s="3649"/>
      <c r="BJ224" s="3649"/>
      <c r="BK224" s="3649"/>
      <c r="BL224" s="3649"/>
      <c r="BM224" s="3649"/>
      <c r="BN224" s="3649"/>
      <c r="BO224" s="3649"/>
      <c r="BP224" s="3649"/>
      <c r="BQ224" s="3649"/>
      <c r="BR224" s="3649"/>
      <c r="BS224" s="3649"/>
      <c r="BT224" s="3649"/>
      <c r="BU224" s="3649"/>
      <c r="BV224" s="3649"/>
      <c r="BW224" s="3649"/>
      <c r="BX224" s="3649"/>
      <c r="BY224" s="3649"/>
      <c r="BZ224" s="3649"/>
      <c r="CA224" s="3649"/>
      <c r="CB224" s="3649"/>
      <c r="CC224" s="3649"/>
      <c r="CD224" s="3649"/>
      <c r="CE224" s="3649"/>
      <c r="CF224" s="3649"/>
      <c r="CG224" s="3649"/>
      <c r="CH224" s="3649"/>
      <c r="CI224" s="3649"/>
      <c r="CJ224" s="2977"/>
    </row>
    <row r="225" spans="1:88">
      <c r="A225" s="53">
        <v>2011.12</v>
      </c>
      <c r="B225" s="613">
        <v>147.99307533083402</v>
      </c>
      <c r="C225" s="3532">
        <v>142.26449654582609</v>
      </c>
      <c r="D225" s="360"/>
      <c r="E225" s="361"/>
      <c r="F225" s="2657"/>
      <c r="G225" s="2657"/>
      <c r="H225" s="2657"/>
      <c r="I225" s="2657"/>
      <c r="J225" s="2657"/>
      <c r="K225" s="2657"/>
      <c r="L225" s="2657"/>
      <c r="M225" s="2657"/>
      <c r="N225" s="2657"/>
      <c r="O225" s="2657"/>
      <c r="P225" s="2657"/>
      <c r="Q225" s="2657"/>
      <c r="R225" s="2658"/>
      <c r="S225" s="3649"/>
      <c r="T225" s="3649"/>
      <c r="U225" s="3649"/>
      <c r="V225" s="3649"/>
      <c r="W225" s="3649"/>
      <c r="X225" s="3649"/>
      <c r="Y225" s="3649"/>
      <c r="Z225" s="3649"/>
      <c r="AA225" s="3649"/>
      <c r="AB225" s="3649"/>
      <c r="AC225" s="3649"/>
      <c r="AD225" s="3649"/>
      <c r="AE225" s="3649"/>
      <c r="AF225" s="3649"/>
      <c r="AG225" s="3649"/>
      <c r="AH225" s="3649"/>
      <c r="AI225" s="3649"/>
      <c r="AJ225" s="3649"/>
      <c r="AK225" s="3649"/>
      <c r="AL225" s="3649"/>
      <c r="AM225" s="3649"/>
      <c r="AN225" s="3649"/>
      <c r="AO225" s="3649"/>
      <c r="AP225" s="3649"/>
      <c r="AQ225" s="3649"/>
      <c r="AR225" s="3649"/>
      <c r="AS225" s="3649"/>
      <c r="AT225" s="3649"/>
      <c r="AU225" s="3649"/>
      <c r="AV225" s="3649"/>
      <c r="AW225" s="3649"/>
      <c r="AX225" s="3649"/>
      <c r="AY225" s="3649"/>
      <c r="AZ225" s="3649"/>
      <c r="BA225" s="3649"/>
      <c r="BB225" s="3649"/>
      <c r="BC225" s="3649"/>
      <c r="BD225" s="3649"/>
      <c r="BE225" s="3649"/>
      <c r="BF225" s="3649"/>
      <c r="BG225" s="3649"/>
      <c r="BH225" s="3649"/>
      <c r="BI225" s="3649"/>
      <c r="BJ225" s="3649"/>
      <c r="BK225" s="3649"/>
      <c r="BL225" s="3649"/>
      <c r="BM225" s="3649"/>
      <c r="BN225" s="3649"/>
      <c r="BO225" s="3649"/>
      <c r="BP225" s="3649"/>
      <c r="BQ225" s="3649"/>
      <c r="BR225" s="3649"/>
      <c r="BS225" s="3649"/>
      <c r="BT225" s="3649"/>
      <c r="BU225" s="3649"/>
      <c r="BV225" s="3649"/>
      <c r="BW225" s="3649"/>
      <c r="BX225" s="3649"/>
      <c r="BY225" s="3649"/>
      <c r="BZ225" s="3649"/>
      <c r="CA225" s="3649"/>
      <c r="CB225" s="3649"/>
      <c r="CC225" s="3649"/>
      <c r="CD225" s="3649"/>
      <c r="CE225" s="3649"/>
      <c r="CF225" s="3649"/>
      <c r="CG225" s="3649"/>
      <c r="CH225" s="3649"/>
      <c r="CI225" s="3649"/>
      <c r="CJ225" s="2977"/>
    </row>
    <row r="226" spans="1:88">
      <c r="A226" s="53">
        <v>2012.01</v>
      </c>
      <c r="B226" s="613">
        <v>121.08430294806581</v>
      </c>
      <c r="C226" s="3532">
        <v>139.30549980950468</v>
      </c>
      <c r="D226" s="360"/>
      <c r="E226" s="361"/>
      <c r="F226" s="2657"/>
      <c r="G226" s="2657"/>
      <c r="H226" s="2657"/>
      <c r="I226" s="2657"/>
      <c r="J226" s="2657"/>
      <c r="K226" s="2657"/>
      <c r="L226" s="2657"/>
      <c r="M226" s="2657"/>
      <c r="N226" s="2657"/>
      <c r="O226" s="2657"/>
      <c r="P226" s="2657"/>
      <c r="Q226" s="2657"/>
      <c r="R226" s="2658"/>
      <c r="S226" s="3649"/>
      <c r="T226" s="3649"/>
      <c r="U226" s="3649"/>
      <c r="V226" s="3649"/>
      <c r="W226" s="3649"/>
      <c r="X226" s="3649"/>
      <c r="Y226" s="3649"/>
      <c r="Z226" s="3649"/>
      <c r="AA226" s="3649"/>
      <c r="AB226" s="3649"/>
      <c r="AC226" s="3649"/>
      <c r="AD226" s="3649"/>
      <c r="AE226" s="3649"/>
      <c r="AF226" s="3649"/>
      <c r="AG226" s="3649"/>
      <c r="AH226" s="3649"/>
      <c r="AI226" s="3649"/>
      <c r="AJ226" s="3649"/>
      <c r="AK226" s="3649"/>
      <c r="AL226" s="3649"/>
      <c r="AM226" s="3649"/>
      <c r="AN226" s="3649"/>
      <c r="AO226" s="3649"/>
      <c r="AP226" s="3649"/>
      <c r="AQ226" s="3649"/>
      <c r="AR226" s="3649"/>
      <c r="AS226" s="3649"/>
      <c r="AT226" s="3649"/>
      <c r="AU226" s="3649"/>
      <c r="AV226" s="3649"/>
      <c r="AW226" s="3649"/>
      <c r="AX226" s="3649"/>
      <c r="AY226" s="3649"/>
      <c r="AZ226" s="3649"/>
      <c r="BA226" s="3649"/>
      <c r="BB226" s="3649"/>
      <c r="BC226" s="3649"/>
      <c r="BD226" s="3649"/>
      <c r="BE226" s="3649"/>
      <c r="BF226" s="3649"/>
      <c r="BG226" s="3649"/>
      <c r="BH226" s="3649"/>
      <c r="BI226" s="3649"/>
      <c r="BJ226" s="3649"/>
      <c r="BK226" s="3649"/>
      <c r="BL226" s="3649"/>
      <c r="BM226" s="3649"/>
      <c r="BN226" s="3649"/>
      <c r="BO226" s="3649"/>
      <c r="BP226" s="3649"/>
      <c r="BQ226" s="3649"/>
      <c r="BR226" s="3649"/>
      <c r="BS226" s="3649"/>
      <c r="BT226" s="3649"/>
      <c r="BU226" s="3649"/>
      <c r="BV226" s="3649"/>
      <c r="BW226" s="3649"/>
      <c r="BX226" s="3649"/>
      <c r="BY226" s="3649"/>
      <c r="BZ226" s="3649"/>
      <c r="CA226" s="3649"/>
      <c r="CB226" s="3649"/>
      <c r="CC226" s="3649"/>
      <c r="CD226" s="3649"/>
      <c r="CE226" s="3649"/>
      <c r="CF226" s="3649"/>
      <c r="CG226" s="3649"/>
      <c r="CH226" s="3649"/>
      <c r="CI226" s="3649"/>
      <c r="CJ226" s="2977"/>
    </row>
    <row r="227" spans="1:88">
      <c r="A227" s="53">
        <v>2012.02</v>
      </c>
      <c r="B227" s="613">
        <v>126.89850136371967</v>
      </c>
      <c r="C227" s="3532">
        <v>139.34282813143756</v>
      </c>
      <c r="D227" s="360"/>
      <c r="E227" s="361"/>
      <c r="F227" s="2657"/>
      <c r="G227" s="2657"/>
      <c r="H227" s="2657"/>
      <c r="I227" s="2657"/>
      <c r="J227" s="2657"/>
      <c r="K227" s="2657"/>
      <c r="L227" s="2657"/>
      <c r="M227" s="2657"/>
      <c r="N227" s="2657"/>
      <c r="O227" s="2657"/>
      <c r="P227" s="2657"/>
      <c r="Q227" s="2657"/>
      <c r="R227" s="2658"/>
      <c r="S227" s="3649"/>
      <c r="T227" s="3649"/>
      <c r="U227" s="3649"/>
      <c r="V227" s="3649"/>
      <c r="W227" s="3649"/>
      <c r="X227" s="3649"/>
      <c r="Y227" s="3649"/>
      <c r="Z227" s="3649"/>
      <c r="AA227" s="3649"/>
      <c r="AB227" s="3649"/>
      <c r="AC227" s="3649"/>
      <c r="AD227" s="3649"/>
      <c r="AE227" s="3649"/>
      <c r="AF227" s="3649"/>
      <c r="AG227" s="3649"/>
      <c r="AH227" s="3649"/>
      <c r="AI227" s="3649"/>
      <c r="AJ227" s="3649"/>
      <c r="AK227" s="3649"/>
      <c r="AL227" s="3649"/>
      <c r="AM227" s="3649"/>
      <c r="AN227" s="3649"/>
      <c r="AO227" s="3649"/>
      <c r="AP227" s="3649"/>
      <c r="AQ227" s="3649"/>
      <c r="AR227" s="3649"/>
      <c r="AS227" s="3649"/>
      <c r="AT227" s="3649"/>
      <c r="AU227" s="3649"/>
      <c r="AV227" s="3649"/>
      <c r="AW227" s="3649"/>
      <c r="AX227" s="3649"/>
      <c r="AY227" s="3649"/>
      <c r="AZ227" s="3649"/>
      <c r="BA227" s="3649"/>
      <c r="BB227" s="3649"/>
      <c r="BC227" s="3649"/>
      <c r="BD227" s="3649"/>
      <c r="BE227" s="3649"/>
      <c r="BF227" s="3649"/>
      <c r="BG227" s="3649"/>
      <c r="BH227" s="3649"/>
      <c r="BI227" s="3649"/>
      <c r="BJ227" s="3649"/>
      <c r="BK227" s="3649"/>
      <c r="BL227" s="3649"/>
      <c r="BM227" s="3649"/>
      <c r="BN227" s="3649"/>
      <c r="BO227" s="3649"/>
      <c r="BP227" s="3649"/>
      <c r="BQ227" s="3649"/>
      <c r="BR227" s="3649"/>
      <c r="BS227" s="3649"/>
      <c r="BT227" s="3649"/>
      <c r="BU227" s="3649"/>
      <c r="BV227" s="3649"/>
      <c r="BW227" s="3649"/>
      <c r="BX227" s="3649"/>
      <c r="BY227" s="3649"/>
      <c r="BZ227" s="3649"/>
      <c r="CA227" s="3649"/>
      <c r="CB227" s="3649"/>
      <c r="CC227" s="3649"/>
      <c r="CD227" s="3649"/>
      <c r="CE227" s="3649"/>
      <c r="CF227" s="3649"/>
      <c r="CG227" s="3649"/>
      <c r="CH227" s="3649"/>
      <c r="CI227" s="3649"/>
      <c r="CJ227" s="2977"/>
    </row>
    <row r="228" spans="1:88">
      <c r="A228" s="53">
        <v>2012.03</v>
      </c>
      <c r="B228" s="613">
        <v>137.26474124358657</v>
      </c>
      <c r="C228" s="3532">
        <v>138.34147591373107</v>
      </c>
      <c r="D228" s="360"/>
      <c r="E228" s="361"/>
      <c r="F228" s="2657"/>
      <c r="G228" s="2657"/>
      <c r="H228" s="2657"/>
      <c r="I228" s="2657"/>
      <c r="J228" s="2657"/>
      <c r="K228" s="2657"/>
      <c r="L228" s="2657"/>
      <c r="M228" s="2657"/>
      <c r="N228" s="2657"/>
      <c r="O228" s="2657"/>
      <c r="P228" s="2657"/>
      <c r="Q228" s="2657"/>
      <c r="R228" s="2658"/>
      <c r="S228" s="3649"/>
      <c r="T228" s="3649"/>
      <c r="U228" s="3649"/>
      <c r="V228" s="3649"/>
      <c r="W228" s="3649"/>
      <c r="X228" s="3649"/>
      <c r="Y228" s="3649"/>
      <c r="Z228" s="3649"/>
      <c r="AA228" s="3649"/>
      <c r="AB228" s="3649"/>
      <c r="AC228" s="3649"/>
      <c r="AD228" s="3649"/>
      <c r="AE228" s="3649"/>
      <c r="AF228" s="3649"/>
      <c r="AG228" s="3649"/>
      <c r="AH228" s="3649"/>
      <c r="AI228" s="3649"/>
      <c r="AJ228" s="3649"/>
      <c r="AK228" s="3649"/>
      <c r="AL228" s="3649"/>
      <c r="AM228" s="3649"/>
      <c r="AN228" s="3649"/>
      <c r="AO228" s="3649"/>
      <c r="AP228" s="3649"/>
      <c r="AQ228" s="3649"/>
      <c r="AR228" s="3649"/>
      <c r="AS228" s="3649"/>
      <c r="AT228" s="3649"/>
      <c r="AU228" s="3649"/>
      <c r="AV228" s="3649"/>
      <c r="AW228" s="3649"/>
      <c r="AX228" s="3649"/>
      <c r="AY228" s="3649"/>
      <c r="AZ228" s="3649"/>
      <c r="BA228" s="3649"/>
      <c r="BB228" s="3649"/>
      <c r="BC228" s="3649"/>
      <c r="BD228" s="3649"/>
      <c r="BE228" s="3649"/>
      <c r="BF228" s="3649"/>
      <c r="BG228" s="3649"/>
      <c r="BH228" s="3649"/>
      <c r="BI228" s="3649"/>
      <c r="BJ228" s="3649"/>
      <c r="BK228" s="3649"/>
      <c r="BL228" s="3649"/>
      <c r="BM228" s="3649"/>
      <c r="BN228" s="3649"/>
      <c r="BO228" s="3649"/>
      <c r="BP228" s="3649"/>
      <c r="BQ228" s="3649"/>
      <c r="BR228" s="3649"/>
      <c r="BS228" s="3649"/>
      <c r="BT228" s="3649"/>
      <c r="BU228" s="3649"/>
      <c r="BV228" s="3649"/>
      <c r="BW228" s="3649"/>
      <c r="BX228" s="3649"/>
      <c r="BY228" s="3649"/>
      <c r="BZ228" s="3649"/>
      <c r="CA228" s="3649"/>
      <c r="CB228" s="3649"/>
      <c r="CC228" s="3649"/>
      <c r="CD228" s="3649"/>
      <c r="CE228" s="3649"/>
      <c r="CF228" s="3649"/>
      <c r="CG228" s="3649"/>
      <c r="CH228" s="3649"/>
      <c r="CI228" s="3649"/>
      <c r="CJ228" s="2977"/>
    </row>
    <row r="229" spans="1:88">
      <c r="A229" s="53">
        <v>2012.04</v>
      </c>
      <c r="B229" s="613">
        <v>137.43027002410341</v>
      </c>
      <c r="C229" s="3532">
        <v>138.13930903756204</v>
      </c>
      <c r="D229" s="360"/>
      <c r="E229" s="361"/>
      <c r="F229" s="2657"/>
      <c r="G229" s="2657"/>
      <c r="H229" s="2657"/>
      <c r="I229" s="2657"/>
      <c r="J229" s="2657"/>
      <c r="K229" s="2657"/>
      <c r="L229" s="2657"/>
      <c r="M229" s="2657"/>
      <c r="N229" s="2657"/>
      <c r="O229" s="2657"/>
      <c r="P229" s="2657"/>
      <c r="Q229" s="2657"/>
      <c r="R229" s="2658"/>
      <c r="S229" s="3649"/>
      <c r="T229" s="3649"/>
      <c r="U229" s="3649"/>
      <c r="V229" s="3649"/>
      <c r="W229" s="3649"/>
      <c r="X229" s="3649"/>
      <c r="Y229" s="3649"/>
      <c r="Z229" s="3649"/>
      <c r="AA229" s="3649"/>
      <c r="AB229" s="3649"/>
      <c r="AC229" s="3649"/>
      <c r="AD229" s="3649"/>
      <c r="AE229" s="3649"/>
      <c r="AF229" s="3649"/>
      <c r="AG229" s="3649"/>
      <c r="AH229" s="3649"/>
      <c r="AI229" s="3649"/>
      <c r="AJ229" s="3649"/>
      <c r="AK229" s="3649"/>
      <c r="AL229" s="3649"/>
      <c r="AM229" s="3649"/>
      <c r="AN229" s="3649"/>
      <c r="AO229" s="3649"/>
      <c r="AP229" s="3649"/>
      <c r="AQ229" s="3649"/>
      <c r="AR229" s="3649"/>
      <c r="AS229" s="3649"/>
      <c r="AT229" s="3649"/>
      <c r="AU229" s="3649"/>
      <c r="AV229" s="3649"/>
      <c r="AW229" s="3649"/>
      <c r="AX229" s="3649"/>
      <c r="AY229" s="3649"/>
      <c r="AZ229" s="3649"/>
      <c r="BA229" s="3649"/>
      <c r="BB229" s="3649"/>
      <c r="BC229" s="3649"/>
      <c r="BD229" s="3649"/>
      <c r="BE229" s="3649"/>
      <c r="BF229" s="3649"/>
      <c r="BG229" s="3649"/>
      <c r="BH229" s="3649"/>
      <c r="BI229" s="3649"/>
      <c r="BJ229" s="3649"/>
      <c r="BK229" s="3649"/>
      <c r="BL229" s="3649"/>
      <c r="BM229" s="3649"/>
      <c r="BN229" s="3649"/>
      <c r="BO229" s="3649"/>
      <c r="BP229" s="3649"/>
      <c r="BQ229" s="3649"/>
      <c r="BR229" s="3649"/>
      <c r="BS229" s="3649"/>
      <c r="BT229" s="3649"/>
      <c r="BU229" s="3649"/>
      <c r="BV229" s="3649"/>
      <c r="BW229" s="3649"/>
      <c r="BX229" s="3649"/>
      <c r="BY229" s="3649"/>
      <c r="BZ229" s="3649"/>
      <c r="CA229" s="3649"/>
      <c r="CB229" s="3649"/>
      <c r="CC229" s="3649"/>
      <c r="CD229" s="3649"/>
      <c r="CE229" s="3649"/>
      <c r="CF229" s="3649"/>
      <c r="CG229" s="3649"/>
      <c r="CH229" s="3649"/>
      <c r="CI229" s="3649"/>
      <c r="CJ229" s="2977"/>
    </row>
    <row r="230" spans="1:88">
      <c r="A230" s="53">
        <v>2012.05</v>
      </c>
      <c r="B230" s="613">
        <v>132.61958984033285</v>
      </c>
      <c r="C230" s="3532">
        <v>136.35572311990455</v>
      </c>
      <c r="D230" s="360"/>
      <c r="E230" s="361"/>
      <c r="F230" s="2657"/>
      <c r="G230" s="2657"/>
      <c r="H230" s="2657"/>
      <c r="I230" s="2657"/>
      <c r="J230" s="2657"/>
      <c r="K230" s="2657"/>
      <c r="L230" s="2657"/>
      <c r="M230" s="2657"/>
      <c r="N230" s="2657"/>
      <c r="O230" s="2657"/>
      <c r="P230" s="2657"/>
      <c r="Q230" s="2657"/>
      <c r="R230" s="2658"/>
      <c r="S230" s="3649"/>
      <c r="T230" s="3649"/>
      <c r="U230" s="3649"/>
      <c r="V230" s="3649"/>
      <c r="W230" s="3649"/>
      <c r="X230" s="3649"/>
      <c r="Y230" s="3649"/>
      <c r="Z230" s="3649"/>
      <c r="AA230" s="3649"/>
      <c r="AB230" s="3649"/>
      <c r="AC230" s="3649"/>
      <c r="AD230" s="3649"/>
      <c r="AE230" s="3649"/>
      <c r="AF230" s="3649"/>
      <c r="AG230" s="3649"/>
      <c r="AH230" s="3649"/>
      <c r="AI230" s="3649"/>
      <c r="AJ230" s="3649"/>
      <c r="AK230" s="3649"/>
      <c r="AL230" s="3649"/>
      <c r="AM230" s="3649"/>
      <c r="AN230" s="3649"/>
      <c r="AO230" s="3649"/>
      <c r="AP230" s="3649"/>
      <c r="AQ230" s="3649"/>
      <c r="AR230" s="3649"/>
      <c r="AS230" s="3649"/>
      <c r="AT230" s="3649"/>
      <c r="AU230" s="3649"/>
      <c r="AV230" s="3649"/>
      <c r="AW230" s="3649"/>
      <c r="AX230" s="3649"/>
      <c r="AY230" s="3649"/>
      <c r="AZ230" s="3649"/>
      <c r="BA230" s="3649"/>
      <c r="BB230" s="3649"/>
      <c r="BC230" s="3649"/>
      <c r="BD230" s="3649"/>
      <c r="BE230" s="3649"/>
      <c r="BF230" s="3649"/>
      <c r="BG230" s="3649"/>
      <c r="BH230" s="3649"/>
      <c r="BI230" s="3649"/>
      <c r="BJ230" s="3649"/>
      <c r="BK230" s="3649"/>
      <c r="BL230" s="3649"/>
      <c r="BM230" s="3649"/>
      <c r="BN230" s="3649"/>
      <c r="BO230" s="3649"/>
      <c r="BP230" s="3649"/>
      <c r="BQ230" s="3649"/>
      <c r="BR230" s="3649"/>
      <c r="BS230" s="3649"/>
      <c r="BT230" s="3649"/>
      <c r="BU230" s="3649"/>
      <c r="BV230" s="3649"/>
      <c r="BW230" s="3649"/>
      <c r="BX230" s="3649"/>
      <c r="BY230" s="3649"/>
      <c r="BZ230" s="3649"/>
      <c r="CA230" s="3649"/>
      <c r="CB230" s="3649"/>
      <c r="CC230" s="3649"/>
      <c r="CD230" s="3649"/>
      <c r="CE230" s="3649"/>
      <c r="CF230" s="3649"/>
      <c r="CG230" s="3649"/>
      <c r="CH230" s="3649"/>
      <c r="CI230" s="3649"/>
      <c r="CJ230" s="2977"/>
    </row>
    <row r="231" spans="1:88">
      <c r="A231" s="53">
        <v>2012.06</v>
      </c>
      <c r="B231" s="613">
        <v>125.22252246098672</v>
      </c>
      <c r="C231" s="3532">
        <v>134.32519154005988</v>
      </c>
      <c r="D231" s="360"/>
      <c r="E231" s="361"/>
      <c r="F231" s="2657"/>
      <c r="G231" s="2657"/>
      <c r="H231" s="2657"/>
      <c r="I231" s="2657"/>
      <c r="J231" s="2657"/>
      <c r="K231" s="2657"/>
      <c r="L231" s="2657"/>
      <c r="M231" s="2657"/>
      <c r="N231" s="2657"/>
      <c r="O231" s="2657"/>
      <c r="P231" s="2657"/>
      <c r="Q231" s="2657"/>
      <c r="R231" s="2658"/>
      <c r="S231" s="3649"/>
      <c r="T231" s="3649"/>
      <c r="U231" s="3649"/>
      <c r="V231" s="3649"/>
      <c r="W231" s="3649"/>
      <c r="X231" s="3649"/>
      <c r="Y231" s="3649"/>
      <c r="Z231" s="3649"/>
      <c r="AA231" s="3649"/>
      <c r="AB231" s="3649"/>
      <c r="AC231" s="3649"/>
      <c r="AD231" s="3649"/>
      <c r="AE231" s="3649"/>
      <c r="AF231" s="3649"/>
      <c r="AG231" s="3649"/>
      <c r="AH231" s="3649"/>
      <c r="AI231" s="3649"/>
      <c r="AJ231" s="3649"/>
      <c r="AK231" s="3649"/>
      <c r="AL231" s="3649"/>
      <c r="AM231" s="3649"/>
      <c r="AN231" s="3649"/>
      <c r="AO231" s="3649"/>
      <c r="AP231" s="3649"/>
      <c r="AQ231" s="3649"/>
      <c r="AR231" s="3649"/>
      <c r="AS231" s="3649"/>
      <c r="AT231" s="3649"/>
      <c r="AU231" s="3649"/>
      <c r="AV231" s="3649"/>
      <c r="AW231" s="3649"/>
      <c r="AX231" s="3649"/>
      <c r="AY231" s="3649"/>
      <c r="AZ231" s="3649"/>
      <c r="BA231" s="3649"/>
      <c r="BB231" s="3649"/>
      <c r="BC231" s="3649"/>
      <c r="BD231" s="3649"/>
      <c r="BE231" s="3649"/>
      <c r="BF231" s="3649"/>
      <c r="BG231" s="3649"/>
      <c r="BH231" s="3649"/>
      <c r="BI231" s="3649"/>
      <c r="BJ231" s="3649"/>
      <c r="BK231" s="3649"/>
      <c r="BL231" s="3649"/>
      <c r="BM231" s="3649"/>
      <c r="BN231" s="3649"/>
      <c r="BO231" s="3649"/>
      <c r="BP231" s="3649"/>
      <c r="BQ231" s="3649"/>
      <c r="BR231" s="3649"/>
      <c r="BS231" s="3649"/>
      <c r="BT231" s="3649"/>
      <c r="BU231" s="3649"/>
      <c r="BV231" s="3649"/>
      <c r="BW231" s="3649"/>
      <c r="BX231" s="3649"/>
      <c r="BY231" s="3649"/>
      <c r="BZ231" s="3649"/>
      <c r="CA231" s="3649"/>
      <c r="CB231" s="3649"/>
      <c r="CC231" s="3649"/>
      <c r="CD231" s="3649"/>
      <c r="CE231" s="3649"/>
      <c r="CF231" s="3649"/>
      <c r="CG231" s="3649"/>
      <c r="CH231" s="3649"/>
      <c r="CI231" s="3649"/>
      <c r="CJ231" s="2977"/>
    </row>
    <row r="232" spans="1:88">
      <c r="A232" s="53">
        <v>2012.07</v>
      </c>
      <c r="B232" s="613">
        <v>130.70566331560693</v>
      </c>
      <c r="C232" s="3532">
        <v>135.77714933832135</v>
      </c>
      <c r="D232" s="360"/>
      <c r="E232" s="361"/>
      <c r="F232" s="2657"/>
      <c r="G232" s="2657"/>
      <c r="H232" s="2657"/>
      <c r="I232" s="2657"/>
      <c r="J232" s="2657"/>
      <c r="K232" s="2657"/>
      <c r="L232" s="2657"/>
      <c r="M232" s="2657"/>
      <c r="N232" s="2657"/>
      <c r="O232" s="2657"/>
      <c r="P232" s="2657"/>
      <c r="Q232" s="2657"/>
      <c r="R232" s="2658"/>
      <c r="S232" s="3649"/>
      <c r="T232" s="3649"/>
      <c r="U232" s="3649"/>
      <c r="V232" s="3649"/>
      <c r="W232" s="3649"/>
      <c r="X232" s="3649"/>
      <c r="Y232" s="3649"/>
      <c r="Z232" s="3649"/>
      <c r="AA232" s="3649"/>
      <c r="AB232" s="3649"/>
      <c r="AC232" s="3649"/>
      <c r="AD232" s="3649"/>
      <c r="AE232" s="3649"/>
      <c r="AF232" s="3649"/>
      <c r="AG232" s="3649"/>
      <c r="AH232" s="3649"/>
      <c r="AI232" s="3649"/>
      <c r="AJ232" s="3649"/>
      <c r="AK232" s="3649"/>
      <c r="AL232" s="3649"/>
      <c r="AM232" s="3649"/>
      <c r="AN232" s="3649"/>
      <c r="AO232" s="3649"/>
      <c r="AP232" s="3649"/>
      <c r="AQ232" s="3649"/>
      <c r="AR232" s="3649"/>
      <c r="AS232" s="3649"/>
      <c r="AT232" s="3649"/>
      <c r="AU232" s="3649"/>
      <c r="AV232" s="3649"/>
      <c r="AW232" s="3649"/>
      <c r="AX232" s="3649"/>
      <c r="AY232" s="3649"/>
      <c r="AZ232" s="3649"/>
      <c r="BA232" s="3649"/>
      <c r="BB232" s="3649"/>
      <c r="BC232" s="3649"/>
      <c r="BD232" s="3649"/>
      <c r="BE232" s="3649"/>
      <c r="BF232" s="3649"/>
      <c r="BG232" s="3649"/>
      <c r="BH232" s="3649"/>
      <c r="BI232" s="3649"/>
      <c r="BJ232" s="3649"/>
      <c r="BK232" s="3649"/>
      <c r="BL232" s="3649"/>
      <c r="BM232" s="3649"/>
      <c r="BN232" s="3649"/>
      <c r="BO232" s="3649"/>
      <c r="BP232" s="3649"/>
      <c r="BQ232" s="3649"/>
      <c r="BR232" s="3649"/>
      <c r="BS232" s="3649"/>
      <c r="BT232" s="3649"/>
      <c r="BU232" s="3649"/>
      <c r="BV232" s="3649"/>
      <c r="BW232" s="3649"/>
      <c r="BX232" s="3649"/>
      <c r="BY232" s="3649"/>
      <c r="BZ232" s="3649"/>
      <c r="CA232" s="3649"/>
      <c r="CB232" s="3649"/>
      <c r="CC232" s="3649"/>
      <c r="CD232" s="3649"/>
      <c r="CE232" s="3649"/>
      <c r="CF232" s="3649"/>
      <c r="CG232" s="3649"/>
      <c r="CH232" s="3649"/>
      <c r="CI232" s="3649"/>
      <c r="CJ232" s="2977"/>
    </row>
    <row r="233" spans="1:88">
      <c r="A233" s="53">
        <v>2012.08</v>
      </c>
      <c r="B233" s="613">
        <v>138.8269191097142</v>
      </c>
      <c r="C233" s="3532">
        <v>137.29591796113598</v>
      </c>
      <c r="D233" s="360"/>
      <c r="E233" s="361"/>
      <c r="F233" s="2657"/>
      <c r="G233" s="2657"/>
      <c r="H233" s="2657"/>
      <c r="I233" s="2657"/>
      <c r="J233" s="2657"/>
      <c r="K233" s="2657"/>
      <c r="L233" s="2657"/>
      <c r="M233" s="2657"/>
      <c r="N233" s="2657"/>
      <c r="O233" s="2657"/>
      <c r="P233" s="2657"/>
      <c r="Q233" s="2657"/>
      <c r="R233" s="2658"/>
      <c r="S233" s="3649"/>
      <c r="T233" s="3649"/>
      <c r="U233" s="3649"/>
      <c r="V233" s="3649"/>
      <c r="W233" s="3649"/>
      <c r="X233" s="3649"/>
      <c r="Y233" s="3649"/>
      <c r="Z233" s="3649"/>
      <c r="AA233" s="3649"/>
      <c r="AB233" s="3649"/>
      <c r="AC233" s="3649"/>
      <c r="AD233" s="3649"/>
      <c r="AE233" s="3649"/>
      <c r="AF233" s="3649"/>
      <c r="AG233" s="3649"/>
      <c r="AH233" s="3649"/>
      <c r="AI233" s="3649"/>
      <c r="AJ233" s="3649"/>
      <c r="AK233" s="3649"/>
      <c r="AL233" s="3649"/>
      <c r="AM233" s="3649"/>
      <c r="AN233" s="3649"/>
      <c r="AO233" s="3649"/>
      <c r="AP233" s="3649"/>
      <c r="AQ233" s="3649"/>
      <c r="AR233" s="3649"/>
      <c r="AS233" s="3649"/>
      <c r="AT233" s="3649"/>
      <c r="AU233" s="3649"/>
      <c r="AV233" s="3649"/>
      <c r="AW233" s="3649"/>
      <c r="AX233" s="3649"/>
      <c r="AY233" s="3649"/>
      <c r="AZ233" s="3649"/>
      <c r="BA233" s="3649"/>
      <c r="BB233" s="3649"/>
      <c r="BC233" s="3649"/>
      <c r="BD233" s="3649"/>
      <c r="BE233" s="3649"/>
      <c r="BF233" s="3649"/>
      <c r="BG233" s="3649"/>
      <c r="BH233" s="3649"/>
      <c r="BI233" s="3649"/>
      <c r="BJ233" s="3649"/>
      <c r="BK233" s="3649"/>
      <c r="BL233" s="3649"/>
      <c r="BM233" s="3649"/>
      <c r="BN233" s="3649"/>
      <c r="BO233" s="3649"/>
      <c r="BP233" s="3649"/>
      <c r="BQ233" s="3649"/>
      <c r="BR233" s="3649"/>
      <c r="BS233" s="3649"/>
      <c r="BT233" s="3649"/>
      <c r="BU233" s="3649"/>
      <c r="BV233" s="3649"/>
      <c r="BW233" s="3649"/>
      <c r="BX233" s="3649"/>
      <c r="BY233" s="3649"/>
      <c r="BZ233" s="3649"/>
      <c r="CA233" s="3649"/>
      <c r="CB233" s="3649"/>
      <c r="CC233" s="3649"/>
      <c r="CD233" s="3649"/>
      <c r="CE233" s="3649"/>
      <c r="CF233" s="3649"/>
      <c r="CG233" s="3649"/>
      <c r="CH233" s="3649"/>
      <c r="CI233" s="3649"/>
      <c r="CJ233" s="2977"/>
    </row>
    <row r="234" spans="1:88">
      <c r="A234" s="53">
        <v>2012.09</v>
      </c>
      <c r="B234" s="613">
        <v>138.20618618277607</v>
      </c>
      <c r="C234" s="3532">
        <v>136.99313343621864</v>
      </c>
      <c r="D234" s="360"/>
      <c r="E234" s="361"/>
      <c r="F234" s="2657"/>
      <c r="G234" s="2657"/>
      <c r="H234" s="2657"/>
      <c r="I234" s="2657"/>
      <c r="J234" s="2657"/>
      <c r="K234" s="2657"/>
      <c r="L234" s="2657"/>
      <c r="M234" s="2657"/>
      <c r="N234" s="2657"/>
      <c r="O234" s="2657"/>
      <c r="P234" s="2657"/>
      <c r="Q234" s="2657"/>
      <c r="R234" s="2658"/>
      <c r="S234" s="3649"/>
      <c r="T234" s="3649"/>
      <c r="U234" s="3649"/>
      <c r="V234" s="3649"/>
      <c r="W234" s="3649"/>
      <c r="X234" s="3649"/>
      <c r="Y234" s="3649"/>
      <c r="Z234" s="3649"/>
      <c r="AA234" s="3649"/>
      <c r="AB234" s="3649"/>
      <c r="AC234" s="3649"/>
      <c r="AD234" s="3649"/>
      <c r="AE234" s="3649"/>
      <c r="AF234" s="3649"/>
      <c r="AG234" s="3649"/>
      <c r="AH234" s="3649"/>
      <c r="AI234" s="3649"/>
      <c r="AJ234" s="3649"/>
      <c r="AK234" s="3649"/>
      <c r="AL234" s="3649"/>
      <c r="AM234" s="3649"/>
      <c r="AN234" s="3649"/>
      <c r="AO234" s="3649"/>
      <c r="AP234" s="3649"/>
      <c r="AQ234" s="3649"/>
      <c r="AR234" s="3649"/>
      <c r="AS234" s="3649"/>
      <c r="AT234" s="3649"/>
      <c r="AU234" s="3649"/>
      <c r="AV234" s="3649"/>
      <c r="AW234" s="3649"/>
      <c r="AX234" s="3649"/>
      <c r="AY234" s="3649"/>
      <c r="AZ234" s="3649"/>
      <c r="BA234" s="3649"/>
      <c r="BB234" s="3649"/>
      <c r="BC234" s="3649"/>
      <c r="BD234" s="3649"/>
      <c r="BE234" s="3649"/>
      <c r="BF234" s="3649"/>
      <c r="BG234" s="3649"/>
      <c r="BH234" s="3649"/>
      <c r="BI234" s="3649"/>
      <c r="BJ234" s="3649"/>
      <c r="BK234" s="3649"/>
      <c r="BL234" s="3649"/>
      <c r="BM234" s="3649"/>
      <c r="BN234" s="3649"/>
      <c r="BO234" s="3649"/>
      <c r="BP234" s="3649"/>
      <c r="BQ234" s="3649"/>
      <c r="BR234" s="3649"/>
      <c r="BS234" s="3649"/>
      <c r="BT234" s="3649"/>
      <c r="BU234" s="3649"/>
      <c r="BV234" s="3649"/>
      <c r="BW234" s="3649"/>
      <c r="BX234" s="3649"/>
      <c r="BY234" s="3649"/>
      <c r="BZ234" s="3649"/>
      <c r="CA234" s="3649"/>
      <c r="CB234" s="3649"/>
      <c r="CC234" s="3649"/>
      <c r="CD234" s="3649"/>
      <c r="CE234" s="3649"/>
      <c r="CF234" s="3649"/>
      <c r="CG234" s="3649"/>
      <c r="CH234" s="3649"/>
      <c r="CI234" s="3649"/>
      <c r="CJ234" s="2977"/>
    </row>
    <row r="235" spans="1:88">
      <c r="A235" s="53">
        <v>2012.1</v>
      </c>
      <c r="B235" s="613">
        <v>144.72388191562646</v>
      </c>
      <c r="C235" s="3532">
        <v>139.60640978763271</v>
      </c>
      <c r="D235" s="360"/>
      <c r="E235" s="361"/>
      <c r="F235" s="2657"/>
      <c r="G235" s="2657"/>
      <c r="H235" s="2657"/>
      <c r="I235" s="2657"/>
      <c r="J235" s="2657"/>
      <c r="K235" s="2657"/>
      <c r="L235" s="2657"/>
      <c r="M235" s="2657"/>
      <c r="N235" s="2657"/>
      <c r="O235" s="2657"/>
      <c r="P235" s="2657"/>
      <c r="Q235" s="2657"/>
      <c r="R235" s="2658"/>
      <c r="S235" s="3649"/>
      <c r="T235" s="3649"/>
      <c r="U235" s="3649"/>
      <c r="V235" s="3649"/>
      <c r="W235" s="3649"/>
      <c r="X235" s="3649"/>
      <c r="Y235" s="3649"/>
      <c r="Z235" s="3649"/>
      <c r="AA235" s="3649"/>
      <c r="AB235" s="3649"/>
      <c r="AC235" s="3649"/>
      <c r="AD235" s="3649"/>
      <c r="AE235" s="3649"/>
      <c r="AF235" s="3649"/>
      <c r="AG235" s="3649"/>
      <c r="AH235" s="3649"/>
      <c r="AI235" s="3649"/>
      <c r="AJ235" s="3649"/>
      <c r="AK235" s="3649"/>
      <c r="AL235" s="3649"/>
      <c r="AM235" s="3649"/>
      <c r="AN235" s="3649"/>
      <c r="AO235" s="3649"/>
      <c r="AP235" s="3649"/>
      <c r="AQ235" s="3649"/>
      <c r="AR235" s="3649"/>
      <c r="AS235" s="3649"/>
      <c r="AT235" s="3649"/>
      <c r="AU235" s="3649"/>
      <c r="AV235" s="3649"/>
      <c r="AW235" s="3649"/>
      <c r="AX235" s="3649"/>
      <c r="AY235" s="3649"/>
      <c r="AZ235" s="3649"/>
      <c r="BA235" s="3649"/>
      <c r="BB235" s="3649"/>
      <c r="BC235" s="3649"/>
      <c r="BD235" s="3649"/>
      <c r="BE235" s="3649"/>
      <c r="BF235" s="3649"/>
      <c r="BG235" s="3649"/>
      <c r="BH235" s="3649"/>
      <c r="BI235" s="3649"/>
      <c r="BJ235" s="3649"/>
      <c r="BK235" s="3649"/>
      <c r="BL235" s="3649"/>
      <c r="BM235" s="3649"/>
      <c r="BN235" s="3649"/>
      <c r="BO235" s="3649"/>
      <c r="BP235" s="3649"/>
      <c r="BQ235" s="3649"/>
      <c r="BR235" s="3649"/>
      <c r="BS235" s="3649"/>
      <c r="BT235" s="3649"/>
      <c r="BU235" s="3649"/>
      <c r="BV235" s="3649"/>
      <c r="BW235" s="3649"/>
      <c r="BX235" s="3649"/>
      <c r="BY235" s="3649"/>
      <c r="BZ235" s="3649"/>
      <c r="CA235" s="3649"/>
      <c r="CB235" s="3649"/>
      <c r="CC235" s="3649"/>
      <c r="CD235" s="3649"/>
      <c r="CE235" s="3649"/>
      <c r="CF235" s="3649"/>
      <c r="CG235" s="3649"/>
      <c r="CH235" s="3649"/>
      <c r="CI235" s="3649"/>
      <c r="CJ235" s="2977"/>
    </row>
    <row r="236" spans="1:88">
      <c r="A236" s="53">
        <v>2012.11</v>
      </c>
      <c r="B236" s="613">
        <v>145.11701276935398</v>
      </c>
      <c r="C236" s="3532">
        <v>139.2705296761479</v>
      </c>
      <c r="D236" s="360"/>
      <c r="E236" s="361"/>
      <c r="F236" s="2657"/>
      <c r="G236" s="2657"/>
      <c r="H236" s="2657"/>
      <c r="I236" s="2657"/>
      <c r="J236" s="2657"/>
      <c r="K236" s="2657"/>
      <c r="L236" s="2657"/>
      <c r="M236" s="2657"/>
      <c r="N236" s="2657"/>
      <c r="O236" s="2657"/>
      <c r="P236" s="2657"/>
      <c r="Q236" s="2657"/>
      <c r="R236" s="2658"/>
      <c r="S236" s="3649"/>
      <c r="T236" s="3649"/>
      <c r="U236" s="3649"/>
      <c r="V236" s="3649"/>
      <c r="W236" s="3649"/>
      <c r="X236" s="3649"/>
      <c r="Y236" s="3649"/>
      <c r="Z236" s="3649"/>
      <c r="AA236" s="3649"/>
      <c r="AB236" s="3649"/>
      <c r="AC236" s="3649"/>
      <c r="AD236" s="3649"/>
      <c r="AE236" s="3649"/>
      <c r="AF236" s="3649"/>
      <c r="AG236" s="3649"/>
      <c r="AH236" s="3649"/>
      <c r="AI236" s="3649"/>
      <c r="AJ236" s="3649"/>
      <c r="AK236" s="3649"/>
      <c r="AL236" s="3649"/>
      <c r="AM236" s="3649"/>
      <c r="AN236" s="3649"/>
      <c r="AO236" s="3649"/>
      <c r="AP236" s="3649"/>
      <c r="AQ236" s="3649"/>
      <c r="AR236" s="3649"/>
      <c r="AS236" s="3649"/>
      <c r="AT236" s="3649"/>
      <c r="AU236" s="3649"/>
      <c r="AV236" s="3649"/>
      <c r="AW236" s="3649"/>
      <c r="AX236" s="3649"/>
      <c r="AY236" s="3649"/>
      <c r="AZ236" s="3649"/>
      <c r="BA236" s="3649"/>
      <c r="BB236" s="3649"/>
      <c r="BC236" s="3649"/>
      <c r="BD236" s="3649"/>
      <c r="BE236" s="3649"/>
      <c r="BF236" s="3649"/>
      <c r="BG236" s="3649"/>
      <c r="BH236" s="3649"/>
      <c r="BI236" s="3649"/>
      <c r="BJ236" s="3649"/>
      <c r="BK236" s="3649"/>
      <c r="BL236" s="3649"/>
      <c r="BM236" s="3649"/>
      <c r="BN236" s="3649"/>
      <c r="BO236" s="3649"/>
      <c r="BP236" s="3649"/>
      <c r="BQ236" s="3649"/>
      <c r="BR236" s="3649"/>
      <c r="BS236" s="3649"/>
      <c r="BT236" s="3649"/>
      <c r="BU236" s="3649"/>
      <c r="BV236" s="3649"/>
      <c r="BW236" s="3649"/>
      <c r="BX236" s="3649"/>
      <c r="BY236" s="3649"/>
      <c r="BZ236" s="3649"/>
      <c r="CA236" s="3649"/>
      <c r="CB236" s="3649"/>
      <c r="CC236" s="3649"/>
      <c r="CD236" s="3649"/>
      <c r="CE236" s="3649"/>
      <c r="CF236" s="3649"/>
      <c r="CG236" s="3649"/>
      <c r="CH236" s="3649"/>
      <c r="CI236" s="3649"/>
      <c r="CJ236" s="2977"/>
    </row>
    <row r="237" spans="1:88">
      <c r="A237" s="53">
        <v>2012.12</v>
      </c>
      <c r="B237" s="613">
        <v>143.17204959828112</v>
      </c>
      <c r="C237" s="3532">
        <v>138.80738115017809</v>
      </c>
      <c r="D237" s="360"/>
      <c r="E237" s="361"/>
      <c r="F237" s="2657"/>
      <c r="G237" s="2657"/>
      <c r="H237" s="2657"/>
      <c r="I237" s="2657"/>
      <c r="J237" s="2657"/>
      <c r="K237" s="2657"/>
      <c r="L237" s="2657"/>
      <c r="M237" s="2657"/>
      <c r="N237" s="2657"/>
      <c r="O237" s="2657"/>
      <c r="P237" s="2657"/>
      <c r="Q237" s="2657"/>
      <c r="R237" s="2658"/>
      <c r="S237" s="3649"/>
      <c r="T237" s="3649"/>
      <c r="U237" s="3649"/>
      <c r="V237" s="3649"/>
      <c r="W237" s="3649"/>
      <c r="X237" s="3649"/>
      <c r="Y237" s="3649"/>
      <c r="Z237" s="3649"/>
      <c r="AA237" s="3649"/>
      <c r="AB237" s="3649"/>
      <c r="AC237" s="3649"/>
      <c r="AD237" s="3649"/>
      <c r="AE237" s="3649"/>
      <c r="AF237" s="3649"/>
      <c r="AG237" s="3649"/>
      <c r="AH237" s="3649"/>
      <c r="AI237" s="3649"/>
      <c r="AJ237" s="3649"/>
      <c r="AK237" s="3649"/>
      <c r="AL237" s="3649"/>
      <c r="AM237" s="3649"/>
      <c r="AN237" s="3649"/>
      <c r="AO237" s="3649"/>
      <c r="AP237" s="3649"/>
      <c r="AQ237" s="3649"/>
      <c r="AR237" s="3649"/>
      <c r="AS237" s="3649"/>
      <c r="AT237" s="3649"/>
      <c r="AU237" s="3649"/>
      <c r="AV237" s="3649"/>
      <c r="AW237" s="3649"/>
      <c r="AX237" s="3649"/>
      <c r="AY237" s="3649"/>
      <c r="AZ237" s="3649"/>
      <c r="BA237" s="3649"/>
      <c r="BB237" s="3649"/>
      <c r="BC237" s="3649"/>
      <c r="BD237" s="3649"/>
      <c r="BE237" s="3649"/>
      <c r="BF237" s="3649"/>
      <c r="BG237" s="3649"/>
      <c r="BH237" s="3649"/>
      <c r="BI237" s="3649"/>
      <c r="BJ237" s="3649"/>
      <c r="BK237" s="3649"/>
      <c r="BL237" s="3649"/>
      <c r="BM237" s="3649"/>
      <c r="BN237" s="3649"/>
      <c r="BO237" s="3649"/>
      <c r="BP237" s="3649"/>
      <c r="BQ237" s="3649"/>
      <c r="BR237" s="3649"/>
      <c r="BS237" s="3649"/>
      <c r="BT237" s="3649"/>
      <c r="BU237" s="3649"/>
      <c r="BV237" s="3649"/>
      <c r="BW237" s="3649"/>
      <c r="BX237" s="3649"/>
      <c r="BY237" s="3649"/>
      <c r="BZ237" s="3649"/>
      <c r="CA237" s="3649"/>
      <c r="CB237" s="3649"/>
      <c r="CC237" s="3649"/>
      <c r="CD237" s="3649"/>
      <c r="CE237" s="3649"/>
      <c r="CF237" s="3649"/>
      <c r="CG237" s="3649"/>
      <c r="CH237" s="3649"/>
      <c r="CI237" s="3649"/>
      <c r="CJ237" s="2977"/>
    </row>
    <row r="238" spans="1:88">
      <c r="A238" s="53">
        <v>2013.01</v>
      </c>
      <c r="B238" s="613">
        <v>121.27052282614721</v>
      </c>
      <c r="C238" s="3532">
        <v>138.61831742236271</v>
      </c>
      <c r="D238" s="360"/>
      <c r="E238" s="361"/>
      <c r="F238" s="2657"/>
      <c r="G238" s="2657"/>
      <c r="H238" s="2657"/>
      <c r="I238" s="2657"/>
      <c r="J238" s="2657"/>
      <c r="K238" s="2657"/>
      <c r="L238" s="2657"/>
      <c r="M238" s="2657"/>
      <c r="N238" s="2657"/>
      <c r="O238" s="2657"/>
      <c r="P238" s="2657"/>
      <c r="Q238" s="2657"/>
      <c r="R238" s="2658"/>
      <c r="S238" s="3649"/>
      <c r="T238" s="3649"/>
      <c r="U238" s="3649"/>
      <c r="V238" s="3649"/>
      <c r="W238" s="3649"/>
      <c r="X238" s="3649"/>
      <c r="Y238" s="3649"/>
      <c r="Z238" s="3649"/>
      <c r="AA238" s="3649"/>
      <c r="AB238" s="3649"/>
      <c r="AC238" s="3649"/>
      <c r="AD238" s="3649"/>
      <c r="AE238" s="3649"/>
      <c r="AF238" s="3649"/>
      <c r="AG238" s="3649"/>
      <c r="AH238" s="3649"/>
      <c r="AI238" s="3649"/>
      <c r="AJ238" s="3649"/>
      <c r="AK238" s="3649"/>
      <c r="AL238" s="3649"/>
      <c r="AM238" s="3649"/>
      <c r="AN238" s="3649"/>
      <c r="AO238" s="3649"/>
      <c r="AP238" s="3649"/>
      <c r="AQ238" s="3649"/>
      <c r="AR238" s="3649"/>
      <c r="AS238" s="3649"/>
      <c r="AT238" s="3649"/>
      <c r="AU238" s="3649"/>
      <c r="AV238" s="3649"/>
      <c r="AW238" s="3649"/>
      <c r="AX238" s="3649"/>
      <c r="AY238" s="3649"/>
      <c r="AZ238" s="3649"/>
      <c r="BA238" s="3649"/>
      <c r="BB238" s="3649"/>
      <c r="BC238" s="3649"/>
      <c r="BD238" s="3649"/>
      <c r="BE238" s="3649"/>
      <c r="BF238" s="3649"/>
      <c r="BG238" s="3649"/>
      <c r="BH238" s="3649"/>
      <c r="BI238" s="3649"/>
      <c r="BJ238" s="3649"/>
      <c r="BK238" s="3649"/>
      <c r="BL238" s="3649"/>
      <c r="BM238" s="3649"/>
      <c r="BN238" s="3649"/>
      <c r="BO238" s="3649"/>
      <c r="BP238" s="3649"/>
      <c r="BQ238" s="3649"/>
      <c r="BR238" s="3649"/>
      <c r="BS238" s="3649"/>
      <c r="BT238" s="3649"/>
      <c r="BU238" s="3649"/>
      <c r="BV238" s="3649"/>
      <c r="BW238" s="3649"/>
      <c r="BX238" s="3649"/>
      <c r="BY238" s="3649"/>
      <c r="BZ238" s="3649"/>
      <c r="CA238" s="3649"/>
      <c r="CB238" s="3649"/>
      <c r="CC238" s="3649"/>
      <c r="CD238" s="3649"/>
      <c r="CE238" s="3649"/>
      <c r="CF238" s="3649"/>
      <c r="CG238" s="3649"/>
      <c r="CH238" s="3649"/>
      <c r="CI238" s="3649"/>
      <c r="CJ238" s="2977"/>
    </row>
    <row r="239" spans="1:88">
      <c r="A239" s="53">
        <v>2013.02</v>
      </c>
      <c r="B239" s="613">
        <v>121.37397831397023</v>
      </c>
      <c r="C239" s="3532">
        <v>139.54162222606121</v>
      </c>
      <c r="D239" s="360"/>
      <c r="E239" s="361"/>
      <c r="F239" s="2657"/>
      <c r="G239" s="2657"/>
      <c r="H239" s="2657"/>
      <c r="I239" s="2657"/>
      <c r="J239" s="2657"/>
      <c r="K239" s="2657"/>
      <c r="L239" s="2657"/>
      <c r="M239" s="2657"/>
      <c r="N239" s="2657"/>
      <c r="O239" s="2657"/>
      <c r="P239" s="2657"/>
      <c r="Q239" s="2657"/>
      <c r="R239" s="2658"/>
      <c r="S239" s="3649"/>
      <c r="T239" s="3649"/>
      <c r="U239" s="3649"/>
      <c r="V239" s="3649"/>
      <c r="W239" s="3649"/>
      <c r="X239" s="3649"/>
      <c r="Y239" s="3649"/>
      <c r="Z239" s="3649"/>
      <c r="AA239" s="3649"/>
      <c r="AB239" s="3649"/>
      <c r="AC239" s="3649"/>
      <c r="AD239" s="3649"/>
      <c r="AE239" s="3649"/>
      <c r="AF239" s="3649"/>
      <c r="AG239" s="3649"/>
      <c r="AH239" s="3649"/>
      <c r="AI239" s="3649"/>
      <c r="AJ239" s="3649"/>
      <c r="AK239" s="3649"/>
      <c r="AL239" s="3649"/>
      <c r="AM239" s="3649"/>
      <c r="AN239" s="3649"/>
      <c r="AO239" s="3649"/>
      <c r="AP239" s="3649"/>
      <c r="AQ239" s="3649"/>
      <c r="AR239" s="3649"/>
      <c r="AS239" s="3649"/>
      <c r="AT239" s="3649"/>
      <c r="AU239" s="3649"/>
      <c r="AV239" s="3649"/>
      <c r="AW239" s="3649"/>
      <c r="AX239" s="3649"/>
      <c r="AY239" s="3649"/>
      <c r="AZ239" s="3649"/>
      <c r="BA239" s="3649"/>
      <c r="BB239" s="3649"/>
      <c r="BC239" s="3649"/>
      <c r="BD239" s="3649"/>
      <c r="BE239" s="3649"/>
      <c r="BF239" s="3649"/>
      <c r="BG239" s="3649"/>
      <c r="BH239" s="3649"/>
      <c r="BI239" s="3649"/>
      <c r="BJ239" s="3649"/>
      <c r="BK239" s="3649"/>
      <c r="BL239" s="3649"/>
      <c r="BM239" s="3649"/>
      <c r="BN239" s="3649"/>
      <c r="BO239" s="3649"/>
      <c r="BP239" s="3649"/>
      <c r="BQ239" s="3649"/>
      <c r="BR239" s="3649"/>
      <c r="BS239" s="3649"/>
      <c r="BT239" s="3649"/>
      <c r="BU239" s="3649"/>
      <c r="BV239" s="3649"/>
      <c r="BW239" s="3649"/>
      <c r="BX239" s="3649"/>
      <c r="BY239" s="3649"/>
      <c r="BZ239" s="3649"/>
      <c r="CA239" s="3649"/>
      <c r="CB239" s="3649"/>
      <c r="CC239" s="3649"/>
      <c r="CD239" s="3649"/>
      <c r="CE239" s="3649"/>
      <c r="CF239" s="3649"/>
      <c r="CG239" s="3649"/>
      <c r="CH239" s="3649"/>
      <c r="CI239" s="3649"/>
      <c r="CJ239" s="2977"/>
    </row>
    <row r="240" spans="1:88">
      <c r="A240" s="53">
        <v>2013.03</v>
      </c>
      <c r="B240" s="613">
        <v>137.5854532558379</v>
      </c>
      <c r="C240" s="3532">
        <v>139.6587645604549</v>
      </c>
      <c r="D240" s="360"/>
      <c r="E240" s="361"/>
      <c r="F240" s="2657"/>
      <c r="G240" s="2657"/>
      <c r="H240" s="2657"/>
      <c r="I240" s="2657"/>
      <c r="J240" s="2657"/>
      <c r="K240" s="2657"/>
      <c r="L240" s="2657"/>
      <c r="M240" s="2657"/>
      <c r="N240" s="2657"/>
      <c r="O240" s="2657"/>
      <c r="P240" s="2657"/>
      <c r="Q240" s="2657"/>
      <c r="R240" s="2658"/>
      <c r="S240" s="3649"/>
      <c r="T240" s="3649"/>
      <c r="U240" s="3649"/>
      <c r="V240" s="3649"/>
      <c r="W240" s="3649"/>
      <c r="X240" s="3649"/>
      <c r="Y240" s="3649"/>
      <c r="Z240" s="3649"/>
      <c r="AA240" s="3649"/>
      <c r="AB240" s="3649"/>
      <c r="AC240" s="3649"/>
      <c r="AD240" s="3649"/>
      <c r="AE240" s="3649"/>
      <c r="AF240" s="3649"/>
      <c r="AG240" s="3649"/>
      <c r="AH240" s="3649"/>
      <c r="AI240" s="3649"/>
      <c r="AJ240" s="3649"/>
      <c r="AK240" s="3649"/>
      <c r="AL240" s="3649"/>
      <c r="AM240" s="3649"/>
      <c r="AN240" s="3649"/>
      <c r="AO240" s="3649"/>
      <c r="AP240" s="3649"/>
      <c r="AQ240" s="3649"/>
      <c r="AR240" s="3649"/>
      <c r="AS240" s="3649"/>
      <c r="AT240" s="3649"/>
      <c r="AU240" s="3649"/>
      <c r="AV240" s="3649"/>
      <c r="AW240" s="3649"/>
      <c r="AX240" s="3649"/>
      <c r="AY240" s="3649"/>
      <c r="AZ240" s="3649"/>
      <c r="BA240" s="3649"/>
      <c r="BB240" s="3649"/>
      <c r="BC240" s="3649"/>
      <c r="BD240" s="3649"/>
      <c r="BE240" s="3649"/>
      <c r="BF240" s="3649"/>
      <c r="BG240" s="3649"/>
      <c r="BH240" s="3649"/>
      <c r="BI240" s="3649"/>
      <c r="BJ240" s="3649"/>
      <c r="BK240" s="3649"/>
      <c r="BL240" s="3649"/>
      <c r="BM240" s="3649"/>
      <c r="BN240" s="3649"/>
      <c r="BO240" s="3649"/>
      <c r="BP240" s="3649"/>
      <c r="BQ240" s="3649"/>
      <c r="BR240" s="3649"/>
      <c r="BS240" s="3649"/>
      <c r="BT240" s="3649"/>
      <c r="BU240" s="3649"/>
      <c r="BV240" s="3649"/>
      <c r="BW240" s="3649"/>
      <c r="BX240" s="3649"/>
      <c r="BY240" s="3649"/>
      <c r="BZ240" s="3649"/>
      <c r="CA240" s="3649"/>
      <c r="CB240" s="3649"/>
      <c r="CC240" s="3649"/>
      <c r="CD240" s="3649"/>
      <c r="CE240" s="3649"/>
      <c r="CF240" s="3649"/>
      <c r="CG240" s="3649"/>
      <c r="CH240" s="3649"/>
      <c r="CI240" s="3649"/>
      <c r="CJ240" s="2977"/>
    </row>
    <row r="241" spans="1:88">
      <c r="A241" s="53">
        <v>2013.04</v>
      </c>
      <c r="B241" s="613">
        <v>139.72698185377445</v>
      </c>
      <c r="C241" s="3532">
        <v>139.94879678984879</v>
      </c>
      <c r="D241" s="360"/>
      <c r="E241" s="361"/>
      <c r="F241" s="2657"/>
      <c r="G241" s="2657"/>
      <c r="H241" s="2657"/>
      <c r="I241" s="2657"/>
      <c r="J241" s="2657"/>
      <c r="K241" s="2657"/>
      <c r="L241" s="2657"/>
      <c r="M241" s="2657"/>
      <c r="N241" s="2657"/>
      <c r="O241" s="2657"/>
      <c r="P241" s="2657"/>
      <c r="Q241" s="2657"/>
      <c r="R241" s="2658"/>
      <c r="S241" s="3649"/>
      <c r="T241" s="3649"/>
      <c r="U241" s="3649"/>
      <c r="V241" s="3649"/>
      <c r="W241" s="3649"/>
      <c r="X241" s="3649"/>
      <c r="Y241" s="3649"/>
      <c r="Z241" s="3649"/>
      <c r="AA241" s="3649"/>
      <c r="AB241" s="3649"/>
      <c r="AC241" s="3649"/>
      <c r="AD241" s="3649"/>
      <c r="AE241" s="3649"/>
      <c r="AF241" s="3649"/>
      <c r="AG241" s="3649"/>
      <c r="AH241" s="3649"/>
      <c r="AI241" s="3649"/>
      <c r="AJ241" s="3649"/>
      <c r="AK241" s="3649"/>
      <c r="AL241" s="3649"/>
      <c r="AM241" s="3649"/>
      <c r="AN241" s="3649"/>
      <c r="AO241" s="3649"/>
      <c r="AP241" s="3649"/>
      <c r="AQ241" s="3649"/>
      <c r="AR241" s="3649"/>
      <c r="AS241" s="3649"/>
      <c r="AT241" s="3649"/>
      <c r="AU241" s="3649"/>
      <c r="AV241" s="3649"/>
      <c r="AW241" s="3649"/>
      <c r="AX241" s="3649"/>
      <c r="AY241" s="3649"/>
      <c r="AZ241" s="3649"/>
      <c r="BA241" s="3649"/>
      <c r="BB241" s="3649"/>
      <c r="BC241" s="3649"/>
      <c r="BD241" s="3649"/>
      <c r="BE241" s="3649"/>
      <c r="BF241" s="3649"/>
      <c r="BG241" s="3649"/>
      <c r="BH241" s="3649"/>
      <c r="BI241" s="3649"/>
      <c r="BJ241" s="3649"/>
      <c r="BK241" s="3649"/>
      <c r="BL241" s="3649"/>
      <c r="BM241" s="3649"/>
      <c r="BN241" s="3649"/>
      <c r="BO241" s="3649"/>
      <c r="BP241" s="3649"/>
      <c r="BQ241" s="3649"/>
      <c r="BR241" s="3649"/>
      <c r="BS241" s="3649"/>
      <c r="BT241" s="3649"/>
      <c r="BU241" s="3649"/>
      <c r="BV241" s="3649"/>
      <c r="BW241" s="3649"/>
      <c r="BX241" s="3649"/>
      <c r="BY241" s="3649"/>
      <c r="BZ241" s="3649"/>
      <c r="CA241" s="3649"/>
      <c r="CB241" s="3649"/>
      <c r="CC241" s="3649"/>
      <c r="CD241" s="3649"/>
      <c r="CE241" s="3649"/>
      <c r="CF241" s="3649"/>
      <c r="CG241" s="3649"/>
      <c r="CH241" s="3649"/>
      <c r="CI241" s="3649"/>
      <c r="CJ241" s="2977"/>
    </row>
    <row r="242" spans="1:88">
      <c r="A242" s="53">
        <v>2013.05</v>
      </c>
      <c r="B242" s="613">
        <v>139.47868868299918</v>
      </c>
      <c r="C242" s="3532">
        <v>139.9597710942196</v>
      </c>
      <c r="D242" s="360"/>
      <c r="E242" s="361"/>
      <c r="F242" s="2657"/>
      <c r="G242" s="2657"/>
      <c r="H242" s="2657"/>
      <c r="I242" s="2657"/>
      <c r="J242" s="2657"/>
      <c r="K242" s="2657"/>
      <c r="L242" s="2657"/>
      <c r="M242" s="2657"/>
      <c r="N242" s="2657"/>
      <c r="O242" s="2657"/>
      <c r="P242" s="2657"/>
      <c r="Q242" s="2657"/>
      <c r="R242" s="2658"/>
      <c r="S242" s="3649"/>
      <c r="T242" s="3649"/>
      <c r="U242" s="3649"/>
      <c r="V242" s="3649"/>
      <c r="W242" s="3649"/>
      <c r="X242" s="3649"/>
      <c r="Y242" s="3649"/>
      <c r="Z242" s="3649"/>
      <c r="AA242" s="3649"/>
      <c r="AB242" s="3649"/>
      <c r="AC242" s="3649"/>
      <c r="AD242" s="3649"/>
      <c r="AE242" s="3649"/>
      <c r="AF242" s="3649"/>
      <c r="AG242" s="3649"/>
      <c r="AH242" s="3649"/>
      <c r="AI242" s="3649"/>
      <c r="AJ242" s="3649"/>
      <c r="AK242" s="3649"/>
      <c r="AL242" s="3649"/>
      <c r="AM242" s="3649"/>
      <c r="AN242" s="3649"/>
      <c r="AO242" s="3649"/>
      <c r="AP242" s="3649"/>
      <c r="AQ242" s="3649"/>
      <c r="AR242" s="3649"/>
      <c r="AS242" s="3649"/>
      <c r="AT242" s="3649"/>
      <c r="AU242" s="3649"/>
      <c r="AV242" s="3649"/>
      <c r="AW242" s="3649"/>
      <c r="AX242" s="3649"/>
      <c r="AY242" s="3649"/>
      <c r="AZ242" s="3649"/>
      <c r="BA242" s="3649"/>
      <c r="BB242" s="3649"/>
      <c r="BC242" s="3649"/>
      <c r="BD242" s="3649"/>
      <c r="BE242" s="3649"/>
      <c r="BF242" s="3649"/>
      <c r="BG242" s="3649"/>
      <c r="BH242" s="3649"/>
      <c r="BI242" s="3649"/>
      <c r="BJ242" s="3649"/>
      <c r="BK242" s="3649"/>
      <c r="BL242" s="3649"/>
      <c r="BM242" s="3649"/>
      <c r="BN242" s="3649"/>
      <c r="BO242" s="3649"/>
      <c r="BP242" s="3649"/>
      <c r="BQ242" s="3649"/>
      <c r="BR242" s="3649"/>
      <c r="BS242" s="3649"/>
      <c r="BT242" s="3649"/>
      <c r="BU242" s="3649"/>
      <c r="BV242" s="3649"/>
      <c r="BW242" s="3649"/>
      <c r="BX242" s="3649"/>
      <c r="BY242" s="3649"/>
      <c r="BZ242" s="3649"/>
      <c r="CA242" s="3649"/>
      <c r="CB242" s="3649"/>
      <c r="CC242" s="3649"/>
      <c r="CD242" s="3649"/>
      <c r="CE242" s="3649"/>
      <c r="CF242" s="3649"/>
      <c r="CG242" s="3649"/>
      <c r="CH242" s="3649"/>
      <c r="CI242" s="3649"/>
      <c r="CJ242" s="2977"/>
    </row>
    <row r="243" spans="1:88">
      <c r="A243" s="53">
        <v>2013.06</v>
      </c>
      <c r="B243" s="613">
        <v>130.01251154719262</v>
      </c>
      <c r="C243" s="3532">
        <v>138.85036943187242</v>
      </c>
      <c r="D243" s="360"/>
      <c r="E243" s="361"/>
      <c r="F243" s="2657"/>
      <c r="G243" s="2657"/>
      <c r="H243" s="2657"/>
      <c r="I243" s="2657"/>
      <c r="J243" s="2657"/>
      <c r="K243" s="2657"/>
      <c r="L243" s="2657"/>
      <c r="M243" s="2657"/>
      <c r="N243" s="2657"/>
      <c r="O243" s="2657"/>
      <c r="P243" s="2657"/>
      <c r="Q243" s="2657"/>
      <c r="R243" s="2658"/>
      <c r="S243" s="3649"/>
      <c r="T243" s="3649"/>
      <c r="U243" s="3649"/>
      <c r="V243" s="3649"/>
      <c r="W243" s="3649"/>
      <c r="X243" s="3649"/>
      <c r="Y243" s="3649"/>
      <c r="Z243" s="3649"/>
      <c r="AA243" s="3649"/>
      <c r="AB243" s="3649"/>
      <c r="AC243" s="3649"/>
      <c r="AD243" s="3649"/>
      <c r="AE243" s="3649"/>
      <c r="AF243" s="3649"/>
      <c r="AG243" s="3649"/>
      <c r="AH243" s="3649"/>
      <c r="AI243" s="3649"/>
      <c r="AJ243" s="3649"/>
      <c r="AK243" s="3649"/>
      <c r="AL243" s="3649"/>
      <c r="AM243" s="3649"/>
      <c r="AN243" s="3649"/>
      <c r="AO243" s="3649"/>
      <c r="AP243" s="3649"/>
      <c r="AQ243" s="3649"/>
      <c r="AR243" s="3649"/>
      <c r="AS243" s="3649"/>
      <c r="AT243" s="3649"/>
      <c r="AU243" s="3649"/>
      <c r="AV243" s="3649"/>
      <c r="AW243" s="3649"/>
      <c r="AX243" s="3649"/>
      <c r="AY243" s="3649"/>
      <c r="AZ243" s="3649"/>
      <c r="BA243" s="3649"/>
      <c r="BB243" s="3649"/>
      <c r="BC243" s="3649"/>
      <c r="BD243" s="3649"/>
      <c r="BE243" s="3649"/>
      <c r="BF243" s="3649"/>
      <c r="BG243" s="3649"/>
      <c r="BH243" s="3649"/>
      <c r="BI243" s="3649"/>
      <c r="BJ243" s="3649"/>
      <c r="BK243" s="3649"/>
      <c r="BL243" s="3649"/>
      <c r="BM243" s="3649"/>
      <c r="BN243" s="3649"/>
      <c r="BO243" s="3649"/>
      <c r="BP243" s="3649"/>
      <c r="BQ243" s="3649"/>
      <c r="BR243" s="3649"/>
      <c r="BS243" s="3649"/>
      <c r="BT243" s="3649"/>
      <c r="BU243" s="3649"/>
      <c r="BV243" s="3649"/>
      <c r="BW243" s="3649"/>
      <c r="BX243" s="3649"/>
      <c r="BY243" s="3649"/>
      <c r="BZ243" s="3649"/>
      <c r="CA243" s="3649"/>
      <c r="CB243" s="3649"/>
      <c r="CC243" s="3649"/>
      <c r="CD243" s="3649"/>
      <c r="CE243" s="3649"/>
      <c r="CF243" s="3649"/>
      <c r="CG243" s="3649"/>
      <c r="CH243" s="3649"/>
      <c r="CI243" s="3649"/>
      <c r="CJ243" s="2977"/>
    </row>
    <row r="244" spans="1:88">
      <c r="A244" s="53">
        <v>2013.07</v>
      </c>
      <c r="B244" s="613">
        <v>134.38867868210647</v>
      </c>
      <c r="C244" s="3532">
        <v>137.58724898830346</v>
      </c>
      <c r="D244" s="360"/>
      <c r="E244" s="361"/>
      <c r="F244" s="2657"/>
      <c r="G244" s="2657"/>
      <c r="H244" s="2657"/>
      <c r="I244" s="2657"/>
      <c r="J244" s="2657"/>
      <c r="K244" s="2657"/>
      <c r="L244" s="2657"/>
      <c r="M244" s="2657"/>
      <c r="N244" s="2657"/>
      <c r="O244" s="2657"/>
      <c r="P244" s="2657"/>
      <c r="Q244" s="2657"/>
      <c r="R244" s="2658"/>
      <c r="S244" s="3649"/>
      <c r="T244" s="3649"/>
      <c r="U244" s="3649"/>
      <c r="V244" s="3649"/>
      <c r="W244" s="3649"/>
      <c r="X244" s="3649"/>
      <c r="Y244" s="3649"/>
      <c r="Z244" s="3649"/>
      <c r="AA244" s="3649"/>
      <c r="AB244" s="3649"/>
      <c r="AC244" s="3649"/>
      <c r="AD244" s="3649"/>
      <c r="AE244" s="3649"/>
      <c r="AF244" s="3649"/>
      <c r="AG244" s="3649"/>
      <c r="AH244" s="3649"/>
      <c r="AI244" s="3649"/>
      <c r="AJ244" s="3649"/>
      <c r="AK244" s="3649"/>
      <c r="AL244" s="3649"/>
      <c r="AM244" s="3649"/>
      <c r="AN244" s="3649"/>
      <c r="AO244" s="3649"/>
      <c r="AP244" s="3649"/>
      <c r="AQ244" s="3649"/>
      <c r="AR244" s="3649"/>
      <c r="AS244" s="3649"/>
      <c r="AT244" s="3649"/>
      <c r="AU244" s="3649"/>
      <c r="AV244" s="3649"/>
      <c r="AW244" s="3649"/>
      <c r="AX244" s="3649"/>
      <c r="AY244" s="3649"/>
      <c r="AZ244" s="3649"/>
      <c r="BA244" s="3649"/>
      <c r="BB244" s="3649"/>
      <c r="BC244" s="3649"/>
      <c r="BD244" s="3649"/>
      <c r="BE244" s="3649"/>
      <c r="BF244" s="3649"/>
      <c r="BG244" s="3649"/>
      <c r="BH244" s="3649"/>
      <c r="BI244" s="3649"/>
      <c r="BJ244" s="3649"/>
      <c r="BK244" s="3649"/>
      <c r="BL244" s="3649"/>
      <c r="BM244" s="3649"/>
      <c r="BN244" s="3649"/>
      <c r="BO244" s="3649"/>
      <c r="BP244" s="3649"/>
      <c r="BQ244" s="3649"/>
      <c r="BR244" s="3649"/>
      <c r="BS244" s="3649"/>
      <c r="BT244" s="3649"/>
      <c r="BU244" s="3649"/>
      <c r="BV244" s="3649"/>
      <c r="BW244" s="3649"/>
      <c r="BX244" s="3649"/>
      <c r="BY244" s="3649"/>
      <c r="BZ244" s="3649"/>
      <c r="CA244" s="3649"/>
      <c r="CB244" s="3649"/>
      <c r="CC244" s="3649"/>
      <c r="CD244" s="3649"/>
      <c r="CE244" s="3649"/>
      <c r="CF244" s="3649"/>
      <c r="CG244" s="3649"/>
      <c r="CH244" s="3649"/>
      <c r="CI244" s="3649"/>
      <c r="CJ244" s="2977"/>
    </row>
    <row r="245" spans="1:88">
      <c r="A245" s="53">
        <v>2013.08</v>
      </c>
      <c r="B245" s="613">
        <v>138.20618618277601</v>
      </c>
      <c r="C245" s="3532">
        <v>137.55226406217324</v>
      </c>
      <c r="D245" s="360"/>
      <c r="E245" s="361"/>
      <c r="F245" s="2657"/>
      <c r="G245" s="2657"/>
      <c r="H245" s="2657"/>
      <c r="I245" s="2657"/>
      <c r="J245" s="2657"/>
      <c r="K245" s="2657"/>
      <c r="L245" s="2657"/>
      <c r="M245" s="2657"/>
      <c r="N245" s="2657"/>
      <c r="O245" s="2657"/>
      <c r="P245" s="2657"/>
      <c r="Q245" s="2657"/>
      <c r="R245" s="2658"/>
      <c r="S245" s="3649"/>
      <c r="T245" s="3649"/>
      <c r="U245" s="3649"/>
      <c r="V245" s="3649"/>
      <c r="W245" s="3649"/>
      <c r="X245" s="3649"/>
      <c r="Y245" s="3649"/>
      <c r="Z245" s="3649"/>
      <c r="AA245" s="3649"/>
      <c r="AB245" s="3649"/>
      <c r="AC245" s="3649"/>
      <c r="AD245" s="3649"/>
      <c r="AE245" s="3649"/>
      <c r="AF245" s="3649"/>
      <c r="AG245" s="3649"/>
      <c r="AH245" s="3649"/>
      <c r="AI245" s="3649"/>
      <c r="AJ245" s="3649"/>
      <c r="AK245" s="3649"/>
      <c r="AL245" s="3649"/>
      <c r="AM245" s="3649"/>
      <c r="AN245" s="3649"/>
      <c r="AO245" s="3649"/>
      <c r="AP245" s="3649"/>
      <c r="AQ245" s="3649"/>
      <c r="AR245" s="3649"/>
      <c r="AS245" s="3649"/>
      <c r="AT245" s="3649"/>
      <c r="AU245" s="3649"/>
      <c r="AV245" s="3649"/>
      <c r="AW245" s="3649"/>
      <c r="AX245" s="3649"/>
      <c r="AY245" s="3649"/>
      <c r="AZ245" s="3649"/>
      <c r="BA245" s="3649"/>
      <c r="BB245" s="3649"/>
      <c r="BC245" s="3649"/>
      <c r="BD245" s="3649"/>
      <c r="BE245" s="3649"/>
      <c r="BF245" s="3649"/>
      <c r="BG245" s="3649"/>
      <c r="BH245" s="3649"/>
      <c r="BI245" s="3649"/>
      <c r="BJ245" s="3649"/>
      <c r="BK245" s="3649"/>
      <c r="BL245" s="3649"/>
      <c r="BM245" s="3649"/>
      <c r="BN245" s="3649"/>
      <c r="BO245" s="3649"/>
      <c r="BP245" s="3649"/>
      <c r="BQ245" s="3649"/>
      <c r="BR245" s="3649"/>
      <c r="BS245" s="3649"/>
      <c r="BT245" s="3649"/>
      <c r="BU245" s="3649"/>
      <c r="BV245" s="3649"/>
      <c r="BW245" s="3649"/>
      <c r="BX245" s="3649"/>
      <c r="BY245" s="3649"/>
      <c r="BZ245" s="3649"/>
      <c r="CA245" s="3649"/>
      <c r="CB245" s="3649"/>
      <c r="CC245" s="3649"/>
      <c r="CD245" s="3649"/>
      <c r="CE245" s="3649"/>
      <c r="CF245" s="3649"/>
      <c r="CG245" s="3649"/>
      <c r="CH245" s="3649"/>
      <c r="CI245" s="3649"/>
      <c r="CJ245" s="2977"/>
    </row>
    <row r="246" spans="1:88">
      <c r="A246" s="53">
        <v>2013.09</v>
      </c>
      <c r="B246" s="613">
        <v>137.95789301200074</v>
      </c>
      <c r="C246" s="3532">
        <v>136.49927128956341</v>
      </c>
      <c r="D246" s="360"/>
      <c r="E246" s="361"/>
      <c r="F246" s="2657"/>
      <c r="G246" s="2657"/>
      <c r="H246" s="2657"/>
      <c r="I246" s="2657"/>
      <c r="J246" s="2657"/>
      <c r="K246" s="2657"/>
      <c r="L246" s="2657"/>
      <c r="M246" s="2657"/>
      <c r="N246" s="2657"/>
      <c r="O246" s="2657"/>
      <c r="P246" s="2657"/>
      <c r="Q246" s="2657"/>
      <c r="R246" s="2658"/>
      <c r="S246" s="3649"/>
      <c r="T246" s="3649"/>
      <c r="U246" s="3649"/>
      <c r="V246" s="3649"/>
      <c r="W246" s="3649"/>
      <c r="X246" s="3649"/>
      <c r="Y246" s="3649"/>
      <c r="Z246" s="3649"/>
      <c r="AA246" s="3649"/>
      <c r="AB246" s="3649"/>
      <c r="AC246" s="3649"/>
      <c r="AD246" s="3649"/>
      <c r="AE246" s="3649"/>
      <c r="AF246" s="3649"/>
      <c r="AG246" s="3649"/>
      <c r="AH246" s="3649"/>
      <c r="AI246" s="3649"/>
      <c r="AJ246" s="3649"/>
      <c r="AK246" s="3649"/>
      <c r="AL246" s="3649"/>
      <c r="AM246" s="3649"/>
      <c r="AN246" s="3649"/>
      <c r="AO246" s="3649"/>
      <c r="AP246" s="3649"/>
      <c r="AQ246" s="3649"/>
      <c r="AR246" s="3649"/>
      <c r="AS246" s="3649"/>
      <c r="AT246" s="3649"/>
      <c r="AU246" s="3649"/>
      <c r="AV246" s="3649"/>
      <c r="AW246" s="3649"/>
      <c r="AX246" s="3649"/>
      <c r="AY246" s="3649"/>
      <c r="AZ246" s="3649"/>
      <c r="BA246" s="3649"/>
      <c r="BB246" s="3649"/>
      <c r="BC246" s="3649"/>
      <c r="BD246" s="3649"/>
      <c r="BE246" s="3649"/>
      <c r="BF246" s="3649"/>
      <c r="BG246" s="3649"/>
      <c r="BH246" s="3649"/>
      <c r="BI246" s="3649"/>
      <c r="BJ246" s="3649"/>
      <c r="BK246" s="3649"/>
      <c r="BL246" s="3649"/>
      <c r="BM246" s="3649"/>
      <c r="BN246" s="3649"/>
      <c r="BO246" s="3649"/>
      <c r="BP246" s="3649"/>
      <c r="BQ246" s="3649"/>
      <c r="BR246" s="3649"/>
      <c r="BS246" s="3649"/>
      <c r="BT246" s="3649"/>
      <c r="BU246" s="3649"/>
      <c r="BV246" s="3649"/>
      <c r="BW246" s="3649"/>
      <c r="BX246" s="3649"/>
      <c r="BY246" s="3649"/>
      <c r="BZ246" s="3649"/>
      <c r="CA246" s="3649"/>
      <c r="CB246" s="3649"/>
      <c r="CC246" s="3649"/>
      <c r="CD246" s="3649"/>
      <c r="CE246" s="3649"/>
      <c r="CF246" s="3649"/>
      <c r="CG246" s="3649"/>
      <c r="CH246" s="3649"/>
      <c r="CI246" s="3649"/>
      <c r="CJ246" s="2977"/>
    </row>
    <row r="247" spans="1:88">
      <c r="A247" s="53">
        <v>2013.1</v>
      </c>
      <c r="B247" s="613">
        <v>144.05142124477678</v>
      </c>
      <c r="C247" s="3532">
        <v>135.59700970010766</v>
      </c>
      <c r="D247" s="360"/>
      <c r="E247" s="361"/>
      <c r="F247" s="2657"/>
      <c r="G247" s="2657"/>
      <c r="H247" s="2657"/>
      <c r="I247" s="2657"/>
      <c r="J247" s="2657"/>
      <c r="K247" s="2657"/>
      <c r="L247" s="2657"/>
      <c r="M247" s="2657"/>
      <c r="N247" s="2657"/>
      <c r="O247" s="2657"/>
      <c r="P247" s="2657"/>
      <c r="Q247" s="2657"/>
      <c r="R247" s="2658"/>
      <c r="S247" s="3649"/>
      <c r="T247" s="3649"/>
      <c r="U247" s="3649"/>
      <c r="V247" s="3649"/>
      <c r="W247" s="3649"/>
      <c r="X247" s="3649"/>
      <c r="Y247" s="3649"/>
      <c r="Z247" s="3649"/>
      <c r="AA247" s="3649"/>
      <c r="AB247" s="3649"/>
      <c r="AC247" s="3649"/>
      <c r="AD247" s="3649"/>
      <c r="AE247" s="3649"/>
      <c r="AF247" s="3649"/>
      <c r="AG247" s="3649"/>
      <c r="AH247" s="3649"/>
      <c r="AI247" s="3649"/>
      <c r="AJ247" s="3649"/>
      <c r="AK247" s="3649"/>
      <c r="AL247" s="3649"/>
      <c r="AM247" s="3649"/>
      <c r="AN247" s="3649"/>
      <c r="AO247" s="3649"/>
      <c r="AP247" s="3649"/>
      <c r="AQ247" s="3649"/>
      <c r="AR247" s="3649"/>
      <c r="AS247" s="3649"/>
      <c r="AT247" s="3649"/>
      <c r="AU247" s="3649"/>
      <c r="AV247" s="3649"/>
      <c r="AW247" s="3649"/>
      <c r="AX247" s="3649"/>
      <c r="AY247" s="3649"/>
      <c r="AZ247" s="3649"/>
      <c r="BA247" s="3649"/>
      <c r="BB247" s="3649"/>
      <c r="BC247" s="3649"/>
      <c r="BD247" s="3649"/>
      <c r="BE247" s="3649"/>
      <c r="BF247" s="3649"/>
      <c r="BG247" s="3649"/>
      <c r="BH247" s="3649"/>
      <c r="BI247" s="3649"/>
      <c r="BJ247" s="3649"/>
      <c r="BK247" s="3649"/>
      <c r="BL247" s="3649"/>
      <c r="BM247" s="3649"/>
      <c r="BN247" s="3649"/>
      <c r="BO247" s="3649"/>
      <c r="BP247" s="3649"/>
      <c r="BQ247" s="3649"/>
      <c r="BR247" s="3649"/>
      <c r="BS247" s="3649"/>
      <c r="BT247" s="3649"/>
      <c r="BU247" s="3649"/>
      <c r="BV247" s="3649"/>
      <c r="BW247" s="3649"/>
      <c r="BX247" s="3649"/>
      <c r="BY247" s="3649"/>
      <c r="BZ247" s="3649"/>
      <c r="CA247" s="3649"/>
      <c r="CB247" s="3649"/>
      <c r="CC247" s="3649"/>
      <c r="CD247" s="3649"/>
      <c r="CE247" s="3649"/>
      <c r="CF247" s="3649"/>
      <c r="CG247" s="3649"/>
      <c r="CH247" s="3649"/>
      <c r="CI247" s="3649"/>
      <c r="CJ247" s="2977"/>
    </row>
    <row r="248" spans="1:88">
      <c r="A248" s="53">
        <v>2013.11</v>
      </c>
      <c r="B248" s="613">
        <v>138.36136941451053</v>
      </c>
      <c r="C248" s="3532">
        <v>133.92159401476039</v>
      </c>
      <c r="D248" s="360"/>
      <c r="E248" s="361"/>
      <c r="F248" s="2657"/>
      <c r="G248" s="2657"/>
      <c r="H248" s="2657"/>
      <c r="I248" s="2657"/>
      <c r="J248" s="2657"/>
      <c r="K248" s="2657"/>
      <c r="L248" s="2657"/>
      <c r="M248" s="2657"/>
      <c r="N248" s="2657"/>
      <c r="O248" s="2657"/>
      <c r="P248" s="2657"/>
      <c r="Q248" s="2657"/>
      <c r="R248" s="2658"/>
      <c r="S248" s="3649"/>
      <c r="T248" s="3649"/>
      <c r="U248" s="3649"/>
      <c r="V248" s="3649"/>
      <c r="W248" s="3649"/>
      <c r="X248" s="3649"/>
      <c r="Y248" s="3649"/>
      <c r="Z248" s="3649"/>
      <c r="AA248" s="3649"/>
      <c r="AB248" s="3649"/>
      <c r="AC248" s="3649"/>
      <c r="AD248" s="3649"/>
      <c r="AE248" s="3649"/>
      <c r="AF248" s="3649"/>
      <c r="AG248" s="3649"/>
      <c r="AH248" s="3649"/>
      <c r="AI248" s="3649"/>
      <c r="AJ248" s="3649"/>
      <c r="AK248" s="3649"/>
      <c r="AL248" s="3649"/>
      <c r="AM248" s="3649"/>
      <c r="AN248" s="3649"/>
      <c r="AO248" s="3649"/>
      <c r="AP248" s="3649"/>
      <c r="AQ248" s="3649"/>
      <c r="AR248" s="3649"/>
      <c r="AS248" s="3649"/>
      <c r="AT248" s="3649"/>
      <c r="AU248" s="3649"/>
      <c r="AV248" s="3649"/>
      <c r="AW248" s="3649"/>
      <c r="AX248" s="3649"/>
      <c r="AY248" s="3649"/>
      <c r="AZ248" s="3649"/>
      <c r="BA248" s="3649"/>
      <c r="BB248" s="3649"/>
      <c r="BC248" s="3649"/>
      <c r="BD248" s="3649"/>
      <c r="BE248" s="3649"/>
      <c r="BF248" s="3649"/>
      <c r="BG248" s="3649"/>
      <c r="BH248" s="3649"/>
      <c r="BI248" s="3649"/>
      <c r="BJ248" s="3649"/>
      <c r="BK248" s="3649"/>
      <c r="BL248" s="3649"/>
      <c r="BM248" s="3649"/>
      <c r="BN248" s="3649"/>
      <c r="BO248" s="3649"/>
      <c r="BP248" s="3649"/>
      <c r="BQ248" s="3649"/>
      <c r="BR248" s="3649"/>
      <c r="BS248" s="3649"/>
      <c r="BT248" s="3649"/>
      <c r="BU248" s="3649"/>
      <c r="BV248" s="3649"/>
      <c r="BW248" s="3649"/>
      <c r="BX248" s="3649"/>
      <c r="BY248" s="3649"/>
      <c r="BZ248" s="3649"/>
      <c r="CA248" s="3649"/>
      <c r="CB248" s="3649"/>
      <c r="CC248" s="3649"/>
      <c r="CD248" s="3649"/>
      <c r="CE248" s="3649"/>
      <c r="CF248" s="3649"/>
      <c r="CG248" s="3649"/>
      <c r="CH248" s="3649"/>
      <c r="CI248" s="3649"/>
      <c r="CJ248" s="2977"/>
    </row>
    <row r="249" spans="1:88">
      <c r="A249" s="53">
        <v>2013.12</v>
      </c>
      <c r="B249" s="613">
        <v>135.38185136520747</v>
      </c>
      <c r="C249" s="3532">
        <v>134.70295742448488</v>
      </c>
      <c r="D249" s="360"/>
      <c r="E249" s="361"/>
      <c r="F249" s="2657"/>
      <c r="G249" s="2657"/>
      <c r="H249" s="2657"/>
      <c r="I249" s="2657"/>
      <c r="J249" s="2657"/>
      <c r="K249" s="2657"/>
      <c r="L249" s="2657"/>
      <c r="M249" s="2657"/>
      <c r="N249" s="2657"/>
      <c r="O249" s="2657"/>
      <c r="P249" s="2657"/>
      <c r="Q249" s="2657"/>
      <c r="R249" s="2658"/>
      <c r="S249" s="3649"/>
      <c r="T249" s="3649"/>
      <c r="U249" s="3649"/>
      <c r="V249" s="3649"/>
      <c r="W249" s="3649"/>
      <c r="X249" s="3649"/>
      <c r="Y249" s="3649"/>
      <c r="Z249" s="3649"/>
      <c r="AA249" s="3649"/>
      <c r="AB249" s="3649"/>
      <c r="AC249" s="3649"/>
      <c r="AD249" s="3649"/>
      <c r="AE249" s="3649"/>
      <c r="AF249" s="3649"/>
      <c r="AG249" s="3649"/>
      <c r="AH249" s="3649"/>
      <c r="AI249" s="3649"/>
      <c r="AJ249" s="3649"/>
      <c r="AK249" s="3649"/>
      <c r="AL249" s="3649"/>
      <c r="AM249" s="3649"/>
      <c r="AN249" s="3649"/>
      <c r="AO249" s="3649"/>
      <c r="AP249" s="3649"/>
      <c r="AQ249" s="3649"/>
      <c r="AR249" s="3649"/>
      <c r="AS249" s="3649"/>
      <c r="AT249" s="3649"/>
      <c r="AU249" s="3649"/>
      <c r="AV249" s="3649"/>
      <c r="AW249" s="3649"/>
      <c r="AX249" s="3649"/>
      <c r="AY249" s="3649"/>
      <c r="AZ249" s="3649"/>
      <c r="BA249" s="3649"/>
      <c r="BB249" s="3649"/>
      <c r="BC249" s="3649"/>
      <c r="BD249" s="3649"/>
      <c r="BE249" s="3649"/>
      <c r="BF249" s="3649"/>
      <c r="BG249" s="3649"/>
      <c r="BH249" s="3649"/>
      <c r="BI249" s="3649"/>
      <c r="BJ249" s="3649"/>
      <c r="BK249" s="3649"/>
      <c r="BL249" s="3649"/>
      <c r="BM249" s="3649"/>
      <c r="BN249" s="3649"/>
      <c r="BO249" s="3649"/>
      <c r="BP249" s="3649"/>
      <c r="BQ249" s="3649"/>
      <c r="BR249" s="3649"/>
      <c r="BS249" s="3649"/>
      <c r="BT249" s="3649"/>
      <c r="BU249" s="3649"/>
      <c r="BV249" s="3649"/>
      <c r="BW249" s="3649"/>
      <c r="BX249" s="3649"/>
      <c r="BY249" s="3649"/>
      <c r="BZ249" s="3649"/>
      <c r="CA249" s="3649"/>
      <c r="CB249" s="3649"/>
      <c r="CC249" s="3649"/>
      <c r="CD249" s="3649"/>
      <c r="CE249" s="3649"/>
      <c r="CF249" s="3649"/>
      <c r="CG249" s="3649"/>
      <c r="CH249" s="3649"/>
      <c r="CI249" s="3649"/>
      <c r="CJ249" s="2977"/>
    </row>
    <row r="250" spans="1:88">
      <c r="A250" s="53">
        <v>2014.01</v>
      </c>
      <c r="B250" s="613">
        <v>118.1254759963273</v>
      </c>
      <c r="C250" s="3532">
        <v>134.67995002681982</v>
      </c>
      <c r="D250" s="360"/>
      <c r="E250" s="361"/>
      <c r="F250" s="2657"/>
      <c r="G250" s="2657"/>
      <c r="H250" s="2657"/>
      <c r="I250" s="2657"/>
      <c r="J250" s="2657"/>
      <c r="K250" s="2657"/>
      <c r="L250" s="2657"/>
      <c r="M250" s="2657"/>
      <c r="N250" s="2657"/>
      <c r="O250" s="2657"/>
      <c r="P250" s="2657"/>
      <c r="Q250" s="2657"/>
      <c r="R250" s="2658"/>
      <c r="S250" s="3649"/>
      <c r="T250" s="3649"/>
      <c r="U250" s="3649"/>
      <c r="V250" s="3649"/>
      <c r="W250" s="3649"/>
      <c r="X250" s="3649"/>
      <c r="Y250" s="3649"/>
      <c r="Z250" s="3649"/>
      <c r="AA250" s="3649"/>
      <c r="AB250" s="3649"/>
      <c r="AC250" s="3649"/>
      <c r="AD250" s="3649"/>
      <c r="AE250" s="3649"/>
      <c r="AF250" s="3649"/>
      <c r="AG250" s="3649"/>
      <c r="AH250" s="3649"/>
      <c r="AI250" s="3649"/>
      <c r="AJ250" s="3649"/>
      <c r="AK250" s="3649"/>
      <c r="AL250" s="3649"/>
      <c r="AM250" s="3649"/>
      <c r="AN250" s="3649"/>
      <c r="AO250" s="3649"/>
      <c r="AP250" s="3649"/>
      <c r="AQ250" s="3649"/>
      <c r="AR250" s="3649"/>
      <c r="AS250" s="3649"/>
      <c r="AT250" s="3649"/>
      <c r="AU250" s="3649"/>
      <c r="AV250" s="3649"/>
      <c r="AW250" s="3649"/>
      <c r="AX250" s="3649"/>
      <c r="AY250" s="3649"/>
      <c r="AZ250" s="3649"/>
      <c r="BA250" s="3649"/>
      <c r="BB250" s="3649"/>
      <c r="BC250" s="3649"/>
      <c r="BD250" s="3649"/>
      <c r="BE250" s="3649"/>
      <c r="BF250" s="3649"/>
      <c r="BG250" s="3649"/>
      <c r="BH250" s="3649"/>
      <c r="BI250" s="3649"/>
      <c r="BJ250" s="3649"/>
      <c r="BK250" s="3649"/>
      <c r="BL250" s="3649"/>
      <c r="BM250" s="3649"/>
      <c r="BN250" s="3649"/>
      <c r="BO250" s="3649"/>
      <c r="BP250" s="3649"/>
      <c r="BQ250" s="3649"/>
      <c r="BR250" s="3649"/>
      <c r="BS250" s="3649"/>
      <c r="BT250" s="3649"/>
      <c r="BU250" s="3649"/>
      <c r="BV250" s="3649"/>
      <c r="BW250" s="3649"/>
      <c r="BX250" s="3649"/>
      <c r="BY250" s="3649"/>
      <c r="BZ250" s="3649"/>
      <c r="CA250" s="3649"/>
      <c r="CB250" s="3649"/>
      <c r="CC250" s="3649"/>
      <c r="CD250" s="3649"/>
      <c r="CE250" s="3649"/>
      <c r="CF250" s="3649"/>
      <c r="CG250" s="3649"/>
      <c r="CH250" s="3649"/>
      <c r="CI250" s="3649"/>
      <c r="CJ250" s="2977"/>
    </row>
    <row r="251" spans="1:88">
      <c r="A251" s="53">
        <v>2014.02</v>
      </c>
      <c r="B251" s="613">
        <v>120.71186319190286</v>
      </c>
      <c r="C251" s="3532">
        <v>135.0546907101494</v>
      </c>
      <c r="D251" s="360"/>
      <c r="E251" s="361"/>
      <c r="F251" s="2657"/>
      <c r="G251" s="2657"/>
      <c r="H251" s="2657"/>
      <c r="I251" s="2657"/>
      <c r="J251" s="2657"/>
      <c r="K251" s="2657"/>
      <c r="L251" s="2657"/>
      <c r="M251" s="2657"/>
      <c r="N251" s="2657"/>
      <c r="O251" s="2657"/>
      <c r="P251" s="2657"/>
      <c r="Q251" s="2657"/>
      <c r="R251" s="2658"/>
      <c r="S251" s="3649"/>
      <c r="T251" s="3649"/>
      <c r="U251" s="3649"/>
      <c r="V251" s="3649"/>
      <c r="W251" s="3649"/>
      <c r="X251" s="3649"/>
      <c r="Y251" s="3649"/>
      <c r="Z251" s="3649"/>
      <c r="AA251" s="3649"/>
      <c r="AB251" s="3649"/>
      <c r="AC251" s="3649"/>
      <c r="AD251" s="3649"/>
      <c r="AE251" s="3649"/>
      <c r="AF251" s="3649"/>
      <c r="AG251" s="3649"/>
      <c r="AH251" s="3649"/>
      <c r="AI251" s="3649"/>
      <c r="AJ251" s="3649"/>
      <c r="AK251" s="3649"/>
      <c r="AL251" s="3649"/>
      <c r="AM251" s="3649"/>
      <c r="AN251" s="3649"/>
      <c r="AO251" s="3649"/>
      <c r="AP251" s="3649"/>
      <c r="AQ251" s="3649"/>
      <c r="AR251" s="3649"/>
      <c r="AS251" s="3649"/>
      <c r="AT251" s="3649"/>
      <c r="AU251" s="3649"/>
      <c r="AV251" s="3649"/>
      <c r="AW251" s="3649"/>
      <c r="AX251" s="3649"/>
      <c r="AY251" s="3649"/>
      <c r="AZ251" s="3649"/>
      <c r="BA251" s="3649"/>
      <c r="BB251" s="3649"/>
      <c r="BC251" s="3649"/>
      <c r="BD251" s="3649"/>
      <c r="BE251" s="3649"/>
      <c r="BF251" s="3649"/>
      <c r="BG251" s="3649"/>
      <c r="BH251" s="3649"/>
      <c r="BI251" s="3649"/>
      <c r="BJ251" s="3649"/>
      <c r="BK251" s="3649"/>
      <c r="BL251" s="3649"/>
      <c r="BM251" s="3649"/>
      <c r="BN251" s="3649"/>
      <c r="BO251" s="3649"/>
      <c r="BP251" s="3649"/>
      <c r="BQ251" s="3649"/>
      <c r="BR251" s="3649"/>
      <c r="BS251" s="3649"/>
      <c r="BT251" s="3649"/>
      <c r="BU251" s="3649"/>
      <c r="BV251" s="3649"/>
      <c r="BW251" s="3649"/>
      <c r="BX251" s="3649"/>
      <c r="BY251" s="3649"/>
      <c r="BZ251" s="3649"/>
      <c r="CA251" s="3649"/>
      <c r="CB251" s="3649"/>
      <c r="CC251" s="3649"/>
      <c r="CD251" s="3649"/>
      <c r="CE251" s="3649"/>
      <c r="CF251" s="3649"/>
      <c r="CG251" s="3649"/>
      <c r="CH251" s="3649"/>
      <c r="CI251" s="3649"/>
      <c r="CJ251" s="2977"/>
    </row>
    <row r="252" spans="1:88">
      <c r="A252" s="53">
        <v>2014.03</v>
      </c>
      <c r="B252" s="613">
        <v>129.42281526660136</v>
      </c>
      <c r="C252" s="3532">
        <v>135.73506236881829</v>
      </c>
      <c r="D252" s="360"/>
      <c r="E252" s="361"/>
      <c r="F252" s="2657"/>
      <c r="G252" s="2657"/>
      <c r="H252" s="2657"/>
      <c r="I252" s="2657"/>
      <c r="J252" s="2657"/>
      <c r="K252" s="2657"/>
      <c r="L252" s="2657"/>
      <c r="M252" s="2657"/>
      <c r="N252" s="2657"/>
      <c r="O252" s="2657"/>
      <c r="P252" s="2657"/>
      <c r="Q252" s="2657"/>
      <c r="R252" s="2658"/>
      <c r="S252" s="3649"/>
      <c r="T252" s="3649"/>
      <c r="U252" s="3649"/>
      <c r="V252" s="3649"/>
      <c r="W252" s="3649"/>
      <c r="X252" s="3649"/>
      <c r="Y252" s="3649"/>
      <c r="Z252" s="3649"/>
      <c r="AA252" s="3649"/>
      <c r="AB252" s="3649"/>
      <c r="AC252" s="3649"/>
      <c r="AD252" s="3649"/>
      <c r="AE252" s="3649"/>
      <c r="AF252" s="3649"/>
      <c r="AG252" s="3649"/>
      <c r="AH252" s="3649"/>
      <c r="AI252" s="3649"/>
      <c r="AJ252" s="3649"/>
      <c r="AK252" s="3649"/>
      <c r="AL252" s="3649"/>
      <c r="AM252" s="3649"/>
      <c r="AN252" s="3649"/>
      <c r="AO252" s="3649"/>
      <c r="AP252" s="3649"/>
      <c r="AQ252" s="3649"/>
      <c r="AR252" s="3649"/>
      <c r="AS252" s="3649"/>
      <c r="AT252" s="3649"/>
      <c r="AU252" s="3649"/>
      <c r="AV252" s="3649"/>
      <c r="AW252" s="3649"/>
      <c r="AX252" s="3649"/>
      <c r="AY252" s="3649"/>
      <c r="AZ252" s="3649"/>
      <c r="BA252" s="3649"/>
      <c r="BB252" s="3649"/>
      <c r="BC252" s="3649"/>
      <c r="BD252" s="3649"/>
      <c r="BE252" s="3649"/>
      <c r="BF252" s="3649"/>
      <c r="BG252" s="3649"/>
      <c r="BH252" s="3649"/>
      <c r="BI252" s="3649"/>
      <c r="BJ252" s="3649"/>
      <c r="BK252" s="3649"/>
      <c r="BL252" s="3649"/>
      <c r="BM252" s="3649"/>
      <c r="BN252" s="3649"/>
      <c r="BO252" s="3649"/>
      <c r="BP252" s="3649"/>
      <c r="BQ252" s="3649"/>
      <c r="BR252" s="3649"/>
      <c r="BS252" s="3649"/>
      <c r="BT252" s="3649"/>
      <c r="BU252" s="3649"/>
      <c r="BV252" s="3649"/>
      <c r="BW252" s="3649"/>
      <c r="BX252" s="3649"/>
      <c r="BY252" s="3649"/>
      <c r="BZ252" s="3649"/>
      <c r="CA252" s="3649"/>
      <c r="CB252" s="3649"/>
      <c r="CC252" s="3649"/>
      <c r="CD252" s="3649"/>
      <c r="CE252" s="3649"/>
      <c r="CF252" s="3649"/>
      <c r="CG252" s="3649"/>
      <c r="CH252" s="3649"/>
      <c r="CI252" s="3649"/>
      <c r="CJ252" s="2977"/>
    </row>
    <row r="253" spans="1:88">
      <c r="A253" s="53">
        <v>2014.04</v>
      </c>
      <c r="B253" s="613">
        <v>134.07831221863739</v>
      </c>
      <c r="C253" s="3532">
        <v>134.90933729369797</v>
      </c>
      <c r="D253" s="360"/>
      <c r="E253" s="361"/>
      <c r="F253" s="2657"/>
      <c r="G253" s="2657"/>
      <c r="H253" s="2657"/>
      <c r="I253" s="2657"/>
      <c r="J253" s="2657"/>
      <c r="K253" s="2657"/>
      <c r="L253" s="2657"/>
      <c r="M253" s="2657"/>
      <c r="N253" s="2657"/>
      <c r="O253" s="2657"/>
      <c r="P253" s="2657"/>
      <c r="Q253" s="2657"/>
      <c r="R253" s="2658"/>
      <c r="S253" s="3649"/>
      <c r="T253" s="3649"/>
      <c r="U253" s="3649"/>
      <c r="V253" s="3649"/>
      <c r="W253" s="3649"/>
      <c r="X253" s="3649"/>
      <c r="Y253" s="3649"/>
      <c r="Z253" s="3649"/>
      <c r="AA253" s="3649"/>
      <c r="AB253" s="3649"/>
      <c r="AC253" s="3649"/>
      <c r="AD253" s="3649"/>
      <c r="AE253" s="3649"/>
      <c r="AF253" s="3649"/>
      <c r="AG253" s="3649"/>
      <c r="AH253" s="3649"/>
      <c r="AI253" s="3649"/>
      <c r="AJ253" s="3649"/>
      <c r="AK253" s="3649"/>
      <c r="AL253" s="3649"/>
      <c r="AM253" s="3649"/>
      <c r="AN253" s="3649"/>
      <c r="AO253" s="3649"/>
      <c r="AP253" s="3649"/>
      <c r="AQ253" s="3649"/>
      <c r="AR253" s="3649"/>
      <c r="AS253" s="3649"/>
      <c r="AT253" s="3649"/>
      <c r="AU253" s="3649"/>
      <c r="AV253" s="3649"/>
      <c r="AW253" s="3649"/>
      <c r="AX253" s="3649"/>
      <c r="AY253" s="3649"/>
      <c r="AZ253" s="3649"/>
      <c r="BA253" s="3649"/>
      <c r="BB253" s="3649"/>
      <c r="BC253" s="3649"/>
      <c r="BD253" s="3649"/>
      <c r="BE253" s="3649"/>
      <c r="BF253" s="3649"/>
      <c r="BG253" s="3649"/>
      <c r="BH253" s="3649"/>
      <c r="BI253" s="3649"/>
      <c r="BJ253" s="3649"/>
      <c r="BK253" s="3649"/>
      <c r="BL253" s="3649"/>
      <c r="BM253" s="3649"/>
      <c r="BN253" s="3649"/>
      <c r="BO253" s="3649"/>
      <c r="BP253" s="3649"/>
      <c r="BQ253" s="3649"/>
      <c r="BR253" s="3649"/>
      <c r="BS253" s="3649"/>
      <c r="BT253" s="3649"/>
      <c r="BU253" s="3649"/>
      <c r="BV253" s="3649"/>
      <c r="BW253" s="3649"/>
      <c r="BX253" s="3649"/>
      <c r="BY253" s="3649"/>
      <c r="BZ253" s="3649"/>
      <c r="CA253" s="3649"/>
      <c r="CB253" s="3649"/>
      <c r="CC253" s="3649"/>
      <c r="CD253" s="3649"/>
      <c r="CE253" s="3649"/>
      <c r="CF253" s="3649"/>
      <c r="CG253" s="3649"/>
      <c r="CH253" s="3649"/>
      <c r="CI253" s="3649"/>
      <c r="CJ253" s="2977"/>
    </row>
    <row r="254" spans="1:88">
      <c r="A254" s="53">
        <v>2014.05</v>
      </c>
      <c r="B254" s="613">
        <v>132.58855319398586</v>
      </c>
      <c r="C254" s="3532">
        <v>134.35469575907339</v>
      </c>
      <c r="D254" s="360"/>
      <c r="E254" s="361"/>
      <c r="F254" s="2657"/>
      <c r="G254" s="2657"/>
      <c r="H254" s="2657"/>
      <c r="I254" s="2657"/>
      <c r="J254" s="2657"/>
      <c r="K254" s="2657"/>
      <c r="L254" s="2657"/>
      <c r="M254" s="2657"/>
      <c r="N254" s="2657"/>
      <c r="O254" s="2657"/>
      <c r="P254" s="2657"/>
      <c r="Q254" s="2657"/>
      <c r="R254" s="2658"/>
      <c r="S254" s="3649"/>
      <c r="T254" s="3649"/>
      <c r="U254" s="3649"/>
      <c r="V254" s="3649"/>
      <c r="W254" s="3649"/>
      <c r="X254" s="3649"/>
      <c r="Y254" s="3649"/>
      <c r="Z254" s="3649"/>
      <c r="AA254" s="3649"/>
      <c r="AB254" s="3649"/>
      <c r="AC254" s="3649"/>
      <c r="AD254" s="3649"/>
      <c r="AE254" s="3649"/>
      <c r="AF254" s="3649"/>
      <c r="AG254" s="3649"/>
      <c r="AH254" s="3649"/>
      <c r="AI254" s="3649"/>
      <c r="AJ254" s="3649"/>
      <c r="AK254" s="3649"/>
      <c r="AL254" s="3649"/>
      <c r="AM254" s="3649"/>
      <c r="AN254" s="3649"/>
      <c r="AO254" s="3649"/>
      <c r="AP254" s="3649"/>
      <c r="AQ254" s="3649"/>
      <c r="AR254" s="3649"/>
      <c r="AS254" s="3649"/>
      <c r="AT254" s="3649"/>
      <c r="AU254" s="3649"/>
      <c r="AV254" s="3649"/>
      <c r="AW254" s="3649"/>
      <c r="AX254" s="3649"/>
      <c r="AY254" s="3649"/>
      <c r="AZ254" s="3649"/>
      <c r="BA254" s="3649"/>
      <c r="BB254" s="3649"/>
      <c r="BC254" s="3649"/>
      <c r="BD254" s="3649"/>
      <c r="BE254" s="3649"/>
      <c r="BF254" s="3649"/>
      <c r="BG254" s="3649"/>
      <c r="BH254" s="3649"/>
      <c r="BI254" s="3649"/>
      <c r="BJ254" s="3649"/>
      <c r="BK254" s="3649"/>
      <c r="BL254" s="3649"/>
      <c r="BM254" s="3649"/>
      <c r="BN254" s="3649"/>
      <c r="BO254" s="3649"/>
      <c r="BP254" s="3649"/>
      <c r="BQ254" s="3649"/>
      <c r="BR254" s="3649"/>
      <c r="BS254" s="3649"/>
      <c r="BT254" s="3649"/>
      <c r="BU254" s="3649"/>
      <c r="BV254" s="3649"/>
      <c r="BW254" s="3649"/>
      <c r="BX254" s="3649"/>
      <c r="BY254" s="3649"/>
      <c r="BZ254" s="3649"/>
      <c r="CA254" s="3649"/>
      <c r="CB254" s="3649"/>
      <c r="CC254" s="3649"/>
      <c r="CD254" s="3649"/>
      <c r="CE254" s="3649"/>
      <c r="CF254" s="3649"/>
      <c r="CG254" s="3649"/>
      <c r="CH254" s="3649"/>
      <c r="CI254" s="3649"/>
      <c r="CJ254" s="2977"/>
    </row>
    <row r="255" spans="1:88">
      <c r="A255" s="53">
        <v>2014.06</v>
      </c>
      <c r="B255" s="613">
        <v>129.5676529495536</v>
      </c>
      <c r="C255" s="3532">
        <v>135.9905957836344</v>
      </c>
      <c r="D255" s="360"/>
      <c r="E255" s="361"/>
      <c r="F255" s="2657"/>
      <c r="G255" s="2657"/>
      <c r="H255" s="2657"/>
      <c r="I255" s="2657"/>
      <c r="J255" s="2657"/>
      <c r="K255" s="2657"/>
      <c r="L255" s="2657"/>
      <c r="M255" s="2657"/>
      <c r="N255" s="2657"/>
      <c r="O255" s="2657"/>
      <c r="P255" s="2657"/>
      <c r="Q255" s="2657"/>
      <c r="R255" s="2658"/>
      <c r="S255" s="3649"/>
      <c r="T255" s="3649"/>
      <c r="U255" s="3649"/>
      <c r="V255" s="3649"/>
      <c r="W255" s="3649"/>
      <c r="X255" s="3649"/>
      <c r="Y255" s="3649"/>
      <c r="Z255" s="3649"/>
      <c r="AA255" s="3649"/>
      <c r="AB255" s="3649"/>
      <c r="AC255" s="3649"/>
      <c r="AD255" s="3649"/>
      <c r="AE255" s="3649"/>
      <c r="AF255" s="3649"/>
      <c r="AG255" s="3649"/>
      <c r="AH255" s="3649"/>
      <c r="AI255" s="3649"/>
      <c r="AJ255" s="3649"/>
      <c r="AK255" s="3649"/>
      <c r="AL255" s="3649"/>
      <c r="AM255" s="3649"/>
      <c r="AN255" s="3649"/>
      <c r="AO255" s="3649"/>
      <c r="AP255" s="3649"/>
      <c r="AQ255" s="3649"/>
      <c r="AR255" s="3649"/>
      <c r="AS255" s="3649"/>
      <c r="AT255" s="3649"/>
      <c r="AU255" s="3649"/>
      <c r="AV255" s="3649"/>
      <c r="AW255" s="3649"/>
      <c r="AX255" s="3649"/>
      <c r="AY255" s="3649"/>
      <c r="AZ255" s="3649"/>
      <c r="BA255" s="3649"/>
      <c r="BB255" s="3649"/>
      <c r="BC255" s="3649"/>
      <c r="BD255" s="3649"/>
      <c r="BE255" s="3649"/>
      <c r="BF255" s="3649"/>
      <c r="BG255" s="3649"/>
      <c r="BH255" s="3649"/>
      <c r="BI255" s="3649"/>
      <c r="BJ255" s="3649"/>
      <c r="BK255" s="3649"/>
      <c r="BL255" s="3649"/>
      <c r="BM255" s="3649"/>
      <c r="BN255" s="3649"/>
      <c r="BO255" s="3649"/>
      <c r="BP255" s="3649"/>
      <c r="BQ255" s="3649"/>
      <c r="BR255" s="3649"/>
      <c r="BS255" s="3649"/>
      <c r="BT255" s="3649"/>
      <c r="BU255" s="3649"/>
      <c r="BV255" s="3649"/>
      <c r="BW255" s="3649"/>
      <c r="BX255" s="3649"/>
      <c r="BY255" s="3649"/>
      <c r="BZ255" s="3649"/>
      <c r="CA255" s="3649"/>
      <c r="CB255" s="3649"/>
      <c r="CC255" s="3649"/>
      <c r="CD255" s="3649"/>
      <c r="CE255" s="3649"/>
      <c r="CF255" s="3649"/>
      <c r="CG255" s="3649"/>
      <c r="CH255" s="3649"/>
      <c r="CI255" s="3649"/>
      <c r="CJ255" s="2977"/>
    </row>
    <row r="256" spans="1:88">
      <c r="A256" s="53">
        <v>2014.07</v>
      </c>
      <c r="B256" s="613">
        <v>133.42654264535236</v>
      </c>
      <c r="C256" s="3532">
        <v>135.44675774113819</v>
      </c>
      <c r="D256" s="360"/>
      <c r="E256" s="361"/>
      <c r="F256" s="2657"/>
      <c r="G256" s="2657"/>
      <c r="H256" s="2657"/>
      <c r="I256" s="2657"/>
      <c r="J256" s="2657"/>
      <c r="K256" s="2657"/>
      <c r="L256" s="2657"/>
      <c r="M256" s="2657"/>
      <c r="N256" s="2657"/>
      <c r="O256" s="2657"/>
      <c r="P256" s="2657"/>
      <c r="Q256" s="2657"/>
      <c r="R256" s="2658"/>
      <c r="S256" s="3649"/>
      <c r="T256" s="3649"/>
      <c r="U256" s="3649"/>
      <c r="V256" s="3649"/>
      <c r="W256" s="3649"/>
      <c r="X256" s="3649"/>
      <c r="Y256" s="3649"/>
      <c r="Z256" s="3649"/>
      <c r="AA256" s="3649"/>
      <c r="AB256" s="3649"/>
      <c r="AC256" s="3649"/>
      <c r="AD256" s="3649"/>
      <c r="AE256" s="3649"/>
      <c r="AF256" s="3649"/>
      <c r="AG256" s="3649"/>
      <c r="AH256" s="3649"/>
      <c r="AI256" s="3649"/>
      <c r="AJ256" s="3649"/>
      <c r="AK256" s="3649"/>
      <c r="AL256" s="3649"/>
      <c r="AM256" s="3649"/>
      <c r="AN256" s="3649"/>
      <c r="AO256" s="3649"/>
      <c r="AP256" s="3649"/>
      <c r="AQ256" s="3649"/>
      <c r="AR256" s="3649"/>
      <c r="AS256" s="3649"/>
      <c r="AT256" s="3649"/>
      <c r="AU256" s="3649"/>
      <c r="AV256" s="3649"/>
      <c r="AW256" s="3649"/>
      <c r="AX256" s="3649"/>
      <c r="AY256" s="3649"/>
      <c r="AZ256" s="3649"/>
      <c r="BA256" s="3649"/>
      <c r="BB256" s="3649"/>
      <c r="BC256" s="3649"/>
      <c r="BD256" s="3649"/>
      <c r="BE256" s="3649"/>
      <c r="BF256" s="3649"/>
      <c r="BG256" s="3649"/>
      <c r="BH256" s="3649"/>
      <c r="BI256" s="3649"/>
      <c r="BJ256" s="3649"/>
      <c r="BK256" s="3649"/>
      <c r="BL256" s="3649"/>
      <c r="BM256" s="3649"/>
      <c r="BN256" s="3649"/>
      <c r="BO256" s="3649"/>
      <c r="BP256" s="3649"/>
      <c r="BQ256" s="3649"/>
      <c r="BR256" s="3649"/>
      <c r="BS256" s="3649"/>
      <c r="BT256" s="3649"/>
      <c r="BU256" s="3649"/>
      <c r="BV256" s="3649"/>
      <c r="BW256" s="3649"/>
      <c r="BX256" s="3649"/>
      <c r="BY256" s="3649"/>
      <c r="BZ256" s="3649"/>
      <c r="CA256" s="3649"/>
      <c r="CB256" s="3649"/>
      <c r="CC256" s="3649"/>
      <c r="CD256" s="3649"/>
      <c r="CE256" s="3649"/>
      <c r="CF256" s="3649"/>
      <c r="CG256" s="3649"/>
      <c r="CH256" s="3649"/>
      <c r="CI256" s="3649"/>
      <c r="CJ256" s="2977"/>
    </row>
    <row r="257" spans="1:88">
      <c r="A257" s="53">
        <v>2014.08</v>
      </c>
      <c r="B257" s="613">
        <v>134.1403855113312</v>
      </c>
      <c r="C257" s="3532">
        <v>134.3346366113802</v>
      </c>
      <c r="D257" s="360"/>
      <c r="E257" s="361"/>
      <c r="F257" s="2657"/>
      <c r="G257" s="2657"/>
      <c r="H257" s="2657"/>
      <c r="I257" s="2657"/>
      <c r="J257" s="2657"/>
      <c r="K257" s="2657"/>
      <c r="L257" s="2657"/>
      <c r="M257" s="2657"/>
      <c r="N257" s="2657"/>
      <c r="O257" s="2657"/>
      <c r="P257" s="2657"/>
      <c r="Q257" s="2657"/>
      <c r="R257" s="2658"/>
      <c r="S257" s="3649"/>
      <c r="T257" s="3649"/>
      <c r="U257" s="3649"/>
      <c r="V257" s="3649"/>
      <c r="W257" s="3649"/>
      <c r="X257" s="3649"/>
      <c r="Y257" s="3649"/>
      <c r="Z257" s="3649"/>
      <c r="AA257" s="3649"/>
      <c r="AB257" s="3649"/>
      <c r="AC257" s="3649"/>
      <c r="AD257" s="3649"/>
      <c r="AE257" s="3649"/>
      <c r="AF257" s="3649"/>
      <c r="AG257" s="3649"/>
      <c r="AH257" s="3649"/>
      <c r="AI257" s="3649"/>
      <c r="AJ257" s="3649"/>
      <c r="AK257" s="3649"/>
      <c r="AL257" s="3649"/>
      <c r="AM257" s="3649"/>
      <c r="AN257" s="3649"/>
      <c r="AO257" s="3649"/>
      <c r="AP257" s="3649"/>
      <c r="AQ257" s="3649"/>
      <c r="AR257" s="3649"/>
      <c r="AS257" s="3649"/>
      <c r="AT257" s="3649"/>
      <c r="AU257" s="3649"/>
      <c r="AV257" s="3649"/>
      <c r="AW257" s="3649"/>
      <c r="AX257" s="3649"/>
      <c r="AY257" s="3649"/>
      <c r="AZ257" s="3649"/>
      <c r="BA257" s="3649"/>
      <c r="BB257" s="3649"/>
      <c r="BC257" s="3649"/>
      <c r="BD257" s="3649"/>
      <c r="BE257" s="3649"/>
      <c r="BF257" s="3649"/>
      <c r="BG257" s="3649"/>
      <c r="BH257" s="3649"/>
      <c r="BI257" s="3649"/>
      <c r="BJ257" s="3649"/>
      <c r="BK257" s="3649"/>
      <c r="BL257" s="3649"/>
      <c r="BM257" s="3649"/>
      <c r="BN257" s="3649"/>
      <c r="BO257" s="3649"/>
      <c r="BP257" s="3649"/>
      <c r="BQ257" s="3649"/>
      <c r="BR257" s="3649"/>
      <c r="BS257" s="3649"/>
      <c r="BT257" s="3649"/>
      <c r="BU257" s="3649"/>
      <c r="BV257" s="3649"/>
      <c r="BW257" s="3649"/>
      <c r="BX257" s="3649"/>
      <c r="BY257" s="3649"/>
      <c r="BZ257" s="3649"/>
      <c r="CA257" s="3649"/>
      <c r="CB257" s="3649"/>
      <c r="CC257" s="3649"/>
      <c r="CD257" s="3649"/>
      <c r="CE257" s="3649"/>
      <c r="CF257" s="3649"/>
      <c r="CG257" s="3649"/>
      <c r="CH257" s="3649"/>
      <c r="CI257" s="3649"/>
      <c r="CJ257" s="2977"/>
    </row>
    <row r="258" spans="1:88">
      <c r="A258" s="53">
        <v>2014.09</v>
      </c>
      <c r="B258" s="613">
        <v>135.61979898720043</v>
      </c>
      <c r="C258" s="3532">
        <v>133.95589421870966</v>
      </c>
      <c r="D258" s="360"/>
      <c r="E258" s="361"/>
      <c r="F258" s="2657"/>
      <c r="G258" s="2657"/>
      <c r="H258" s="2657"/>
      <c r="I258" s="2657"/>
      <c r="J258" s="2657"/>
      <c r="K258" s="2657"/>
      <c r="L258" s="2657"/>
      <c r="M258" s="2657"/>
      <c r="N258" s="2657"/>
      <c r="O258" s="2657"/>
      <c r="P258" s="2657"/>
      <c r="Q258" s="2657"/>
      <c r="R258" s="2658"/>
      <c r="S258" s="3649"/>
      <c r="T258" s="3649"/>
      <c r="U258" s="3649"/>
      <c r="V258" s="3649"/>
      <c r="W258" s="3649"/>
      <c r="X258" s="3649"/>
      <c r="Y258" s="3649"/>
      <c r="Z258" s="3649"/>
      <c r="AA258" s="3649"/>
      <c r="AB258" s="3649"/>
      <c r="AC258" s="3649"/>
      <c r="AD258" s="3649"/>
      <c r="AE258" s="3649"/>
      <c r="AF258" s="3649"/>
      <c r="AG258" s="3649"/>
      <c r="AH258" s="3649"/>
      <c r="AI258" s="3649"/>
      <c r="AJ258" s="3649"/>
      <c r="AK258" s="3649"/>
      <c r="AL258" s="3649"/>
      <c r="AM258" s="3649"/>
      <c r="AN258" s="3649"/>
      <c r="AO258" s="3649"/>
      <c r="AP258" s="3649"/>
      <c r="AQ258" s="3649"/>
      <c r="AR258" s="3649"/>
      <c r="AS258" s="3649"/>
      <c r="AT258" s="3649"/>
      <c r="AU258" s="3649"/>
      <c r="AV258" s="3649"/>
      <c r="AW258" s="3649"/>
      <c r="AX258" s="3649"/>
      <c r="AY258" s="3649"/>
      <c r="AZ258" s="3649"/>
      <c r="BA258" s="3649"/>
      <c r="BB258" s="3649"/>
      <c r="BC258" s="3649"/>
      <c r="BD258" s="3649"/>
      <c r="BE258" s="3649"/>
      <c r="BF258" s="3649"/>
      <c r="BG258" s="3649"/>
      <c r="BH258" s="3649"/>
      <c r="BI258" s="3649"/>
      <c r="BJ258" s="3649"/>
      <c r="BK258" s="3649"/>
      <c r="BL258" s="3649"/>
      <c r="BM258" s="3649"/>
      <c r="BN258" s="3649"/>
      <c r="BO258" s="3649"/>
      <c r="BP258" s="3649"/>
      <c r="BQ258" s="3649"/>
      <c r="BR258" s="3649"/>
      <c r="BS258" s="3649"/>
      <c r="BT258" s="3649"/>
      <c r="BU258" s="3649"/>
      <c r="BV258" s="3649"/>
      <c r="BW258" s="3649"/>
      <c r="BX258" s="3649"/>
      <c r="BY258" s="3649"/>
      <c r="BZ258" s="3649"/>
      <c r="CA258" s="3649"/>
      <c r="CB258" s="3649"/>
      <c r="CC258" s="3649"/>
      <c r="CD258" s="3649"/>
      <c r="CE258" s="3649"/>
      <c r="CF258" s="3649"/>
      <c r="CG258" s="3649"/>
      <c r="CH258" s="3649"/>
      <c r="CI258" s="3649"/>
      <c r="CJ258" s="2977"/>
    </row>
    <row r="259" spans="1:88">
      <c r="A259" s="53">
        <v>2014.1</v>
      </c>
      <c r="B259" s="613">
        <v>141.40296075650741</v>
      </c>
      <c r="C259" s="3532">
        <v>133.59963269918239</v>
      </c>
      <c r="D259" s="360"/>
      <c r="E259" s="361"/>
      <c r="F259" s="2657"/>
      <c r="G259" s="2657"/>
      <c r="H259" s="2657"/>
      <c r="I259" s="2657"/>
      <c r="J259" s="2657"/>
      <c r="K259" s="2657"/>
      <c r="L259" s="2657"/>
      <c r="M259" s="2657"/>
      <c r="N259" s="2657"/>
      <c r="O259" s="2657"/>
      <c r="P259" s="2657"/>
      <c r="Q259" s="2657"/>
      <c r="R259" s="2658"/>
      <c r="S259" s="3649"/>
      <c r="T259" s="3649"/>
      <c r="U259" s="3649"/>
      <c r="V259" s="3649"/>
      <c r="W259" s="3649"/>
      <c r="X259" s="3649"/>
      <c r="Y259" s="3649"/>
      <c r="Z259" s="3649"/>
      <c r="AA259" s="3649"/>
      <c r="AB259" s="3649"/>
      <c r="AC259" s="3649"/>
      <c r="AD259" s="3649"/>
      <c r="AE259" s="3649"/>
      <c r="AF259" s="3649"/>
      <c r="AG259" s="3649"/>
      <c r="AH259" s="3649"/>
      <c r="AI259" s="3649"/>
      <c r="AJ259" s="3649"/>
      <c r="AK259" s="3649"/>
      <c r="AL259" s="3649"/>
      <c r="AM259" s="3649"/>
      <c r="AN259" s="3649"/>
      <c r="AO259" s="3649"/>
      <c r="AP259" s="3649"/>
      <c r="AQ259" s="3649"/>
      <c r="AR259" s="3649"/>
      <c r="AS259" s="3649"/>
      <c r="AT259" s="3649"/>
      <c r="AU259" s="3649"/>
      <c r="AV259" s="3649"/>
      <c r="AW259" s="3649"/>
      <c r="AX259" s="3649"/>
      <c r="AY259" s="3649"/>
      <c r="AZ259" s="3649"/>
      <c r="BA259" s="3649"/>
      <c r="BB259" s="3649"/>
      <c r="BC259" s="3649"/>
      <c r="BD259" s="3649"/>
      <c r="BE259" s="3649"/>
      <c r="BF259" s="3649"/>
      <c r="BG259" s="3649"/>
      <c r="BH259" s="3649"/>
      <c r="BI259" s="3649"/>
      <c r="BJ259" s="3649"/>
      <c r="BK259" s="3649"/>
      <c r="BL259" s="3649"/>
      <c r="BM259" s="3649"/>
      <c r="BN259" s="3649"/>
      <c r="BO259" s="3649"/>
      <c r="BP259" s="3649"/>
      <c r="BQ259" s="3649"/>
      <c r="BR259" s="3649"/>
      <c r="BS259" s="3649"/>
      <c r="BT259" s="3649"/>
      <c r="BU259" s="3649"/>
      <c r="BV259" s="3649"/>
      <c r="BW259" s="3649"/>
      <c r="BX259" s="3649"/>
      <c r="BY259" s="3649"/>
      <c r="BZ259" s="3649"/>
      <c r="CA259" s="3649"/>
      <c r="CB259" s="3649"/>
      <c r="CC259" s="3649"/>
      <c r="CD259" s="3649"/>
      <c r="CE259" s="3649"/>
      <c r="CF259" s="3649"/>
      <c r="CG259" s="3649"/>
      <c r="CH259" s="3649"/>
      <c r="CI259" s="3649"/>
      <c r="CJ259" s="2977"/>
    </row>
    <row r="260" spans="1:88">
      <c r="A260" s="53">
        <v>2014.11</v>
      </c>
      <c r="B260" s="613">
        <v>135.45427020668359</v>
      </c>
      <c r="C260" s="3532">
        <v>132.07246922298893</v>
      </c>
      <c r="D260" s="360"/>
      <c r="E260" s="361"/>
      <c r="F260" s="2657"/>
      <c r="G260" s="2657"/>
      <c r="H260" s="2657"/>
      <c r="I260" s="2657"/>
      <c r="J260" s="2657"/>
      <c r="K260" s="2657"/>
      <c r="L260" s="2657"/>
      <c r="M260" s="2657"/>
      <c r="N260" s="2657"/>
      <c r="O260" s="2657"/>
      <c r="P260" s="2657"/>
      <c r="Q260" s="2657"/>
      <c r="R260" s="2658"/>
      <c r="S260" s="3649"/>
      <c r="T260" s="3649"/>
      <c r="U260" s="3649"/>
      <c r="V260" s="3649"/>
      <c r="W260" s="3649"/>
      <c r="X260" s="3649"/>
      <c r="Y260" s="3649"/>
      <c r="Z260" s="3649"/>
      <c r="AA260" s="3649"/>
      <c r="AB260" s="3649"/>
      <c r="AC260" s="3649"/>
      <c r="AD260" s="3649"/>
      <c r="AE260" s="3649"/>
      <c r="AF260" s="3649"/>
      <c r="AG260" s="3649"/>
      <c r="AH260" s="3649"/>
      <c r="AI260" s="3649"/>
      <c r="AJ260" s="3649"/>
      <c r="AK260" s="3649"/>
      <c r="AL260" s="3649"/>
      <c r="AM260" s="3649"/>
      <c r="AN260" s="3649"/>
      <c r="AO260" s="3649"/>
      <c r="AP260" s="3649"/>
      <c r="AQ260" s="3649"/>
      <c r="AR260" s="3649"/>
      <c r="AS260" s="3649"/>
      <c r="AT260" s="3649"/>
      <c r="AU260" s="3649"/>
      <c r="AV260" s="3649"/>
      <c r="AW260" s="3649"/>
      <c r="AX260" s="3649"/>
      <c r="AY260" s="3649"/>
      <c r="AZ260" s="3649"/>
      <c r="BA260" s="3649"/>
      <c r="BB260" s="3649"/>
      <c r="BC260" s="3649"/>
      <c r="BD260" s="3649"/>
      <c r="BE260" s="3649"/>
      <c r="BF260" s="3649"/>
      <c r="BG260" s="3649"/>
      <c r="BH260" s="3649"/>
      <c r="BI260" s="3649"/>
      <c r="BJ260" s="3649"/>
      <c r="BK260" s="3649"/>
      <c r="BL260" s="3649"/>
      <c r="BM260" s="3649"/>
      <c r="BN260" s="3649"/>
      <c r="BO260" s="3649"/>
      <c r="BP260" s="3649"/>
      <c r="BQ260" s="3649"/>
      <c r="BR260" s="3649"/>
      <c r="BS260" s="3649"/>
      <c r="BT260" s="3649"/>
      <c r="BU260" s="3649"/>
      <c r="BV260" s="3649"/>
      <c r="BW260" s="3649"/>
      <c r="BX260" s="3649"/>
      <c r="BY260" s="3649"/>
      <c r="BZ260" s="3649"/>
      <c r="CA260" s="3649"/>
      <c r="CB260" s="3649"/>
      <c r="CC260" s="3649"/>
      <c r="CD260" s="3649"/>
      <c r="CE260" s="3649"/>
      <c r="CF260" s="3649"/>
      <c r="CG260" s="3649"/>
      <c r="CH260" s="3649"/>
      <c r="CI260" s="3649"/>
      <c r="CJ260" s="2977"/>
    </row>
    <row r="261" spans="1:88">
      <c r="A261" s="53">
        <v>2014.12</v>
      </c>
      <c r="B261" s="613">
        <v>132.21611343782297</v>
      </c>
      <c r="C261" s="3532">
        <v>132.2402657198011</v>
      </c>
      <c r="D261" s="360"/>
      <c r="E261" s="361"/>
      <c r="F261" s="2657"/>
      <c r="G261" s="2657"/>
      <c r="H261" s="2657"/>
      <c r="I261" s="2657"/>
      <c r="J261" s="2657"/>
      <c r="K261" s="2657"/>
      <c r="L261" s="2657"/>
      <c r="M261" s="2657"/>
      <c r="N261" s="2657"/>
      <c r="O261" s="2657"/>
      <c r="P261" s="2657"/>
      <c r="Q261" s="2657"/>
      <c r="R261" s="2658"/>
      <c r="S261" s="3649"/>
      <c r="T261" s="3649"/>
      <c r="U261" s="3649"/>
      <c r="V261" s="3649"/>
      <c r="W261" s="3649"/>
      <c r="X261" s="3649"/>
      <c r="Y261" s="3649"/>
      <c r="Z261" s="3649"/>
      <c r="AA261" s="3649"/>
      <c r="AB261" s="3649"/>
      <c r="AC261" s="3649"/>
      <c r="AD261" s="3649"/>
      <c r="AE261" s="3649"/>
      <c r="AF261" s="3649"/>
      <c r="AG261" s="3649"/>
      <c r="AH261" s="3649"/>
      <c r="AI261" s="3649"/>
      <c r="AJ261" s="3649"/>
      <c r="AK261" s="3649"/>
      <c r="AL261" s="3649"/>
      <c r="AM261" s="3649"/>
      <c r="AN261" s="3649"/>
      <c r="AO261" s="3649"/>
      <c r="AP261" s="3649"/>
      <c r="AQ261" s="3649"/>
      <c r="AR261" s="3649"/>
      <c r="AS261" s="3649"/>
      <c r="AT261" s="3649"/>
      <c r="AU261" s="3649"/>
      <c r="AV261" s="3649"/>
      <c r="AW261" s="3649"/>
      <c r="AX261" s="3649"/>
      <c r="AY261" s="3649"/>
      <c r="AZ261" s="3649"/>
      <c r="BA261" s="3649"/>
      <c r="BB261" s="3649"/>
      <c r="BC261" s="3649"/>
      <c r="BD261" s="3649"/>
      <c r="BE261" s="3649"/>
      <c r="BF261" s="3649"/>
      <c r="BG261" s="3649"/>
      <c r="BH261" s="3649"/>
      <c r="BI261" s="3649"/>
      <c r="BJ261" s="3649"/>
      <c r="BK261" s="3649"/>
      <c r="BL261" s="3649"/>
      <c r="BM261" s="3649"/>
      <c r="BN261" s="3649"/>
      <c r="BO261" s="3649"/>
      <c r="BP261" s="3649"/>
      <c r="BQ261" s="3649"/>
      <c r="BR261" s="3649"/>
      <c r="BS261" s="3649"/>
      <c r="BT261" s="3649"/>
      <c r="BU261" s="3649"/>
      <c r="BV261" s="3649"/>
      <c r="BW261" s="3649"/>
      <c r="BX261" s="3649"/>
      <c r="BY261" s="3649"/>
      <c r="BZ261" s="3649"/>
      <c r="CA261" s="3649"/>
      <c r="CB261" s="3649"/>
      <c r="CC261" s="3649"/>
      <c r="CD261" s="3649"/>
      <c r="CE261" s="3649"/>
      <c r="CF261" s="3649"/>
      <c r="CG261" s="3649"/>
      <c r="CH261" s="3649"/>
      <c r="CI261" s="3649"/>
      <c r="CJ261" s="2977"/>
    </row>
    <row r="262" spans="1:88">
      <c r="A262" s="53">
        <v>2015.01</v>
      </c>
      <c r="B262" s="613">
        <v>115.66323538613933</v>
      </c>
      <c r="C262" s="3532">
        <v>131.83691757107886</v>
      </c>
      <c r="D262" s="360"/>
      <c r="E262" s="361"/>
      <c r="F262" s="2657"/>
      <c r="G262" s="2657"/>
      <c r="H262" s="2657"/>
      <c r="I262" s="2657"/>
      <c r="J262" s="2657"/>
      <c r="K262" s="2657"/>
      <c r="L262" s="2657"/>
      <c r="M262" s="2657"/>
      <c r="N262" s="2657"/>
      <c r="O262" s="2657"/>
      <c r="P262" s="2657"/>
      <c r="Q262" s="2657"/>
      <c r="R262" s="2658"/>
      <c r="S262" s="3649"/>
      <c r="T262" s="3649"/>
      <c r="U262" s="3649"/>
      <c r="V262" s="3649"/>
      <c r="W262" s="3649"/>
      <c r="X262" s="3649"/>
      <c r="Y262" s="3649"/>
      <c r="Z262" s="3649"/>
      <c r="AA262" s="3649"/>
      <c r="AB262" s="3649"/>
      <c r="AC262" s="3649"/>
      <c r="AD262" s="3649"/>
      <c r="AE262" s="3649"/>
      <c r="AF262" s="3649"/>
      <c r="AG262" s="3649"/>
      <c r="AH262" s="3649"/>
      <c r="AI262" s="3649"/>
      <c r="AJ262" s="3649"/>
      <c r="AK262" s="3649"/>
      <c r="AL262" s="3649"/>
      <c r="AM262" s="3649"/>
      <c r="AN262" s="3649"/>
      <c r="AO262" s="3649"/>
      <c r="AP262" s="3649"/>
      <c r="AQ262" s="3649"/>
      <c r="AR262" s="3649"/>
      <c r="AS262" s="3649"/>
      <c r="AT262" s="3649"/>
      <c r="AU262" s="3649"/>
      <c r="AV262" s="3649"/>
      <c r="AW262" s="3649"/>
      <c r="AX262" s="3649"/>
      <c r="AY262" s="3649"/>
      <c r="AZ262" s="3649"/>
      <c r="BA262" s="3649"/>
      <c r="BB262" s="3649"/>
      <c r="BC262" s="3649"/>
      <c r="BD262" s="3649"/>
      <c r="BE262" s="3649"/>
      <c r="BF262" s="3649"/>
      <c r="BG262" s="3649"/>
      <c r="BH262" s="3649"/>
      <c r="BI262" s="3649"/>
      <c r="BJ262" s="3649"/>
      <c r="BK262" s="3649"/>
      <c r="BL262" s="3649"/>
      <c r="BM262" s="3649"/>
      <c r="BN262" s="3649"/>
      <c r="BO262" s="3649"/>
      <c r="BP262" s="3649"/>
      <c r="BQ262" s="3649"/>
      <c r="BR262" s="3649"/>
      <c r="BS262" s="3649"/>
      <c r="BT262" s="3649"/>
      <c r="BU262" s="3649"/>
      <c r="BV262" s="3649"/>
      <c r="BW262" s="3649"/>
      <c r="BX262" s="3649"/>
      <c r="BY262" s="3649"/>
      <c r="BZ262" s="3649"/>
      <c r="CA262" s="3649"/>
      <c r="CB262" s="3649"/>
      <c r="CC262" s="3649"/>
      <c r="CD262" s="3649"/>
      <c r="CE262" s="3649"/>
      <c r="CF262" s="3649"/>
      <c r="CG262" s="3649"/>
      <c r="CH262" s="3649"/>
      <c r="CI262" s="3649"/>
      <c r="CJ262" s="2977"/>
    </row>
    <row r="263" spans="1:88">
      <c r="A263" s="53">
        <v>2015.02</v>
      </c>
      <c r="B263" s="613">
        <v>118.14616709389189</v>
      </c>
      <c r="C263" s="3532">
        <v>132.59450148037854</v>
      </c>
      <c r="D263" s="360"/>
      <c r="E263" s="361"/>
      <c r="F263" s="2657"/>
      <c r="G263" s="2657"/>
      <c r="H263" s="2657"/>
      <c r="I263" s="2657"/>
      <c r="J263" s="2657"/>
      <c r="K263" s="2657"/>
      <c r="L263" s="2657"/>
      <c r="M263" s="2657"/>
      <c r="N263" s="2657"/>
      <c r="O263" s="2657"/>
      <c r="P263" s="2657"/>
      <c r="Q263" s="2657"/>
      <c r="R263" s="2658"/>
      <c r="S263" s="3649"/>
      <c r="T263" s="3649"/>
      <c r="U263" s="3649"/>
      <c r="V263" s="3649"/>
      <c r="W263" s="3649"/>
      <c r="X263" s="3649"/>
      <c r="Y263" s="3649"/>
      <c r="Z263" s="3649"/>
      <c r="AA263" s="3649"/>
      <c r="AB263" s="3649"/>
      <c r="AC263" s="3649"/>
      <c r="AD263" s="3649"/>
      <c r="AE263" s="3649"/>
      <c r="AF263" s="3649"/>
      <c r="AG263" s="3649"/>
      <c r="AH263" s="3649"/>
      <c r="AI263" s="3649"/>
      <c r="AJ263" s="3649"/>
      <c r="AK263" s="3649"/>
      <c r="AL263" s="3649"/>
      <c r="AM263" s="3649"/>
      <c r="AN263" s="3649"/>
      <c r="AO263" s="3649"/>
      <c r="AP263" s="3649"/>
      <c r="AQ263" s="3649"/>
      <c r="AR263" s="3649"/>
      <c r="AS263" s="3649"/>
      <c r="AT263" s="3649"/>
      <c r="AU263" s="3649"/>
      <c r="AV263" s="3649"/>
      <c r="AW263" s="3649"/>
      <c r="AX263" s="3649"/>
      <c r="AY263" s="3649"/>
      <c r="AZ263" s="3649"/>
      <c r="BA263" s="3649"/>
      <c r="BB263" s="3649"/>
      <c r="BC263" s="3649"/>
      <c r="BD263" s="3649"/>
      <c r="BE263" s="3649"/>
      <c r="BF263" s="3649"/>
      <c r="BG263" s="3649"/>
      <c r="BH263" s="3649"/>
      <c r="BI263" s="3649"/>
      <c r="BJ263" s="3649"/>
      <c r="BK263" s="3649"/>
      <c r="BL263" s="3649"/>
      <c r="BM263" s="3649"/>
      <c r="BN263" s="3649"/>
      <c r="BO263" s="3649"/>
      <c r="BP263" s="3649"/>
      <c r="BQ263" s="3649"/>
      <c r="BR263" s="3649"/>
      <c r="BS263" s="3649"/>
      <c r="BT263" s="3649"/>
      <c r="BU263" s="3649"/>
      <c r="BV263" s="3649"/>
      <c r="BW263" s="3649"/>
      <c r="BX263" s="3649"/>
      <c r="BY263" s="3649"/>
      <c r="BZ263" s="3649"/>
      <c r="CA263" s="3649"/>
      <c r="CB263" s="3649"/>
      <c r="CC263" s="3649"/>
      <c r="CD263" s="3649"/>
      <c r="CE263" s="3649"/>
      <c r="CF263" s="3649"/>
      <c r="CG263" s="3649"/>
      <c r="CH263" s="3649"/>
      <c r="CI263" s="3649"/>
      <c r="CJ263" s="2977"/>
    </row>
    <row r="264" spans="1:88">
      <c r="A264" s="53">
        <v>2015.03</v>
      </c>
      <c r="B264" s="613">
        <v>127.35370551014091</v>
      </c>
      <c r="C264" s="3532">
        <v>133.51419476230654</v>
      </c>
      <c r="D264" s="360"/>
      <c r="E264" s="361"/>
      <c r="F264" s="2657"/>
      <c r="G264" s="2657"/>
      <c r="H264" s="2657"/>
      <c r="I264" s="2657"/>
      <c r="J264" s="2657"/>
      <c r="K264" s="2657"/>
      <c r="L264" s="2657"/>
      <c r="M264" s="2657"/>
      <c r="N264" s="2657"/>
      <c r="O264" s="2657"/>
      <c r="P264" s="2657"/>
      <c r="Q264" s="2657"/>
      <c r="R264" s="2658"/>
      <c r="S264" s="3649"/>
      <c r="T264" s="3649"/>
      <c r="U264" s="3649"/>
      <c r="V264" s="3649"/>
      <c r="W264" s="3649"/>
      <c r="X264" s="3649"/>
      <c r="Y264" s="3649"/>
      <c r="Z264" s="3649"/>
      <c r="AA264" s="3649"/>
      <c r="AB264" s="3649"/>
      <c r="AC264" s="3649"/>
      <c r="AD264" s="3649"/>
      <c r="AE264" s="3649"/>
      <c r="AF264" s="3649"/>
      <c r="AG264" s="3649"/>
      <c r="AH264" s="3649"/>
      <c r="AI264" s="3649"/>
      <c r="AJ264" s="3649"/>
      <c r="AK264" s="3649"/>
      <c r="AL264" s="3649"/>
      <c r="AM264" s="3649"/>
      <c r="AN264" s="3649"/>
      <c r="AO264" s="3649"/>
      <c r="AP264" s="3649"/>
      <c r="AQ264" s="3649"/>
      <c r="AR264" s="3649"/>
      <c r="AS264" s="3649"/>
      <c r="AT264" s="3649"/>
      <c r="AU264" s="3649"/>
      <c r="AV264" s="3649"/>
      <c r="AW264" s="3649"/>
      <c r="AX264" s="3649"/>
      <c r="AY264" s="3649"/>
      <c r="AZ264" s="3649"/>
      <c r="BA264" s="3649"/>
      <c r="BB264" s="3649"/>
      <c r="BC264" s="3649"/>
      <c r="BD264" s="3649"/>
      <c r="BE264" s="3649"/>
      <c r="BF264" s="3649"/>
      <c r="BG264" s="3649"/>
      <c r="BH264" s="3649"/>
      <c r="BI264" s="3649"/>
      <c r="BJ264" s="3649"/>
      <c r="BK264" s="3649"/>
      <c r="BL264" s="3649"/>
      <c r="BM264" s="3649"/>
      <c r="BN264" s="3649"/>
      <c r="BO264" s="3649"/>
      <c r="BP264" s="3649"/>
      <c r="BQ264" s="3649"/>
      <c r="BR264" s="3649"/>
      <c r="BS264" s="3649"/>
      <c r="BT264" s="3649"/>
      <c r="BU264" s="3649"/>
      <c r="BV264" s="3649"/>
      <c r="BW264" s="3649"/>
      <c r="BX264" s="3649"/>
      <c r="BY264" s="3649"/>
      <c r="BZ264" s="3649"/>
      <c r="CA264" s="3649"/>
      <c r="CB264" s="3649"/>
      <c r="CC264" s="3649"/>
      <c r="CD264" s="3649"/>
      <c r="CE264" s="3649"/>
      <c r="CF264" s="3649"/>
      <c r="CG264" s="3649"/>
      <c r="CH264" s="3649"/>
      <c r="CI264" s="3649"/>
      <c r="CJ264" s="2977"/>
    </row>
    <row r="265" spans="1:88">
      <c r="A265" s="53">
        <v>2015.04</v>
      </c>
      <c r="B265" s="613">
        <v>132.00920246217694</v>
      </c>
      <c r="C265" s="3532">
        <v>133.49295446850573</v>
      </c>
      <c r="D265" s="360"/>
      <c r="E265" s="361"/>
      <c r="F265" s="2657"/>
      <c r="G265" s="2657"/>
      <c r="H265" s="2657"/>
      <c r="I265" s="2657"/>
      <c r="J265" s="2657"/>
      <c r="K265" s="2657"/>
      <c r="L265" s="2657"/>
      <c r="M265" s="2657"/>
      <c r="N265" s="2657"/>
      <c r="O265" s="2657"/>
      <c r="P265" s="2657"/>
      <c r="Q265" s="2657"/>
      <c r="R265" s="2658"/>
      <c r="S265" s="3649"/>
      <c r="T265" s="3649"/>
      <c r="U265" s="3649"/>
      <c r="V265" s="3649"/>
      <c r="W265" s="3649"/>
      <c r="X265" s="3649"/>
      <c r="Y265" s="3649"/>
      <c r="Z265" s="3649"/>
      <c r="AA265" s="3649"/>
      <c r="AB265" s="3649"/>
      <c r="AC265" s="3649"/>
      <c r="AD265" s="3649"/>
      <c r="AE265" s="3649"/>
      <c r="AF265" s="3649"/>
      <c r="AG265" s="3649"/>
      <c r="AH265" s="3649"/>
      <c r="AI265" s="3649"/>
      <c r="AJ265" s="3649"/>
      <c r="AK265" s="3649"/>
      <c r="AL265" s="3649"/>
      <c r="AM265" s="3649"/>
      <c r="AN265" s="3649"/>
      <c r="AO265" s="3649"/>
      <c r="AP265" s="3649"/>
      <c r="AQ265" s="3649"/>
      <c r="AR265" s="3649"/>
      <c r="AS265" s="3649"/>
      <c r="AT265" s="3649"/>
      <c r="AU265" s="3649"/>
      <c r="AV265" s="3649"/>
      <c r="AW265" s="3649"/>
      <c r="AX265" s="3649"/>
      <c r="AY265" s="3649"/>
      <c r="AZ265" s="3649"/>
      <c r="BA265" s="3649"/>
      <c r="BB265" s="3649"/>
      <c r="BC265" s="3649"/>
      <c r="BD265" s="3649"/>
      <c r="BE265" s="3649"/>
      <c r="BF265" s="3649"/>
      <c r="BG265" s="3649"/>
      <c r="BH265" s="3649"/>
      <c r="BI265" s="3649"/>
      <c r="BJ265" s="3649"/>
      <c r="BK265" s="3649"/>
      <c r="BL265" s="3649"/>
      <c r="BM265" s="3649"/>
      <c r="BN265" s="3649"/>
      <c r="BO265" s="3649"/>
      <c r="BP265" s="3649"/>
      <c r="BQ265" s="3649"/>
      <c r="BR265" s="3649"/>
      <c r="BS265" s="3649"/>
      <c r="BT265" s="3649"/>
      <c r="BU265" s="3649"/>
      <c r="BV265" s="3649"/>
      <c r="BW265" s="3649"/>
      <c r="BX265" s="3649"/>
      <c r="BY265" s="3649"/>
      <c r="BZ265" s="3649"/>
      <c r="CA265" s="3649"/>
      <c r="CB265" s="3649"/>
      <c r="CC265" s="3649"/>
      <c r="CD265" s="3649"/>
      <c r="CE265" s="3649"/>
      <c r="CF265" s="3649"/>
      <c r="CG265" s="3649"/>
      <c r="CH265" s="3649"/>
      <c r="CI265" s="3649"/>
      <c r="CJ265" s="2977"/>
    </row>
    <row r="266" spans="1:88">
      <c r="A266" s="53">
        <v>2015.05</v>
      </c>
      <c r="B266" s="613">
        <v>131.38846953523881</v>
      </c>
      <c r="C266" s="3532">
        <v>134.20503422929022</v>
      </c>
      <c r="D266" s="360"/>
      <c r="E266" s="361"/>
      <c r="F266" s="2657"/>
      <c r="G266" s="2657"/>
      <c r="H266" s="2657"/>
      <c r="I266" s="2657"/>
      <c r="J266" s="2657"/>
      <c r="K266" s="2657"/>
      <c r="L266" s="2657"/>
      <c r="M266" s="2657"/>
      <c r="N266" s="2657"/>
      <c r="O266" s="2657"/>
      <c r="P266" s="2657"/>
      <c r="Q266" s="2657"/>
      <c r="R266" s="2658"/>
      <c r="S266" s="3649"/>
      <c r="T266" s="3649"/>
      <c r="U266" s="3649"/>
      <c r="V266" s="3649"/>
      <c r="W266" s="3649"/>
      <c r="X266" s="3649"/>
      <c r="Y266" s="3649"/>
      <c r="Z266" s="3649"/>
      <c r="AA266" s="3649"/>
      <c r="AB266" s="3649"/>
      <c r="AC266" s="3649"/>
      <c r="AD266" s="3649"/>
      <c r="AE266" s="3649"/>
      <c r="AF266" s="3649"/>
      <c r="AG266" s="3649"/>
      <c r="AH266" s="3649"/>
      <c r="AI266" s="3649"/>
      <c r="AJ266" s="3649"/>
      <c r="AK266" s="3649"/>
      <c r="AL266" s="3649"/>
      <c r="AM266" s="3649"/>
      <c r="AN266" s="3649"/>
      <c r="AO266" s="3649"/>
      <c r="AP266" s="3649"/>
      <c r="AQ266" s="3649"/>
      <c r="AR266" s="3649"/>
      <c r="AS266" s="3649"/>
      <c r="AT266" s="3649"/>
      <c r="AU266" s="3649"/>
      <c r="AV266" s="3649"/>
      <c r="AW266" s="3649"/>
      <c r="AX266" s="3649"/>
      <c r="AY266" s="3649"/>
      <c r="AZ266" s="3649"/>
      <c r="BA266" s="3649"/>
      <c r="BB266" s="3649"/>
      <c r="BC266" s="3649"/>
      <c r="BD266" s="3649"/>
      <c r="BE266" s="3649"/>
      <c r="BF266" s="3649"/>
      <c r="BG266" s="3649"/>
      <c r="BH266" s="3649"/>
      <c r="BI266" s="3649"/>
      <c r="BJ266" s="3649"/>
      <c r="BK266" s="3649"/>
      <c r="BL266" s="3649"/>
      <c r="BM266" s="3649"/>
      <c r="BN266" s="3649"/>
      <c r="BO266" s="3649"/>
      <c r="BP266" s="3649"/>
      <c r="BQ266" s="3649"/>
      <c r="BR266" s="3649"/>
      <c r="BS266" s="3649"/>
      <c r="BT266" s="3649"/>
      <c r="BU266" s="3649"/>
      <c r="BV266" s="3649"/>
      <c r="BW266" s="3649"/>
      <c r="BX266" s="3649"/>
      <c r="BY266" s="3649"/>
      <c r="BZ266" s="3649"/>
      <c r="CA266" s="3649"/>
      <c r="CB266" s="3649"/>
      <c r="CC266" s="3649"/>
      <c r="CD266" s="3649"/>
      <c r="CE266" s="3649"/>
      <c r="CF266" s="3649"/>
      <c r="CG266" s="3649"/>
      <c r="CH266" s="3649"/>
      <c r="CI266" s="3649"/>
      <c r="CJ266" s="2977"/>
    </row>
    <row r="267" spans="1:88">
      <c r="A267" s="53">
        <v>2015.06</v>
      </c>
      <c r="B267" s="613">
        <v>130.76773660830068</v>
      </c>
      <c r="C267" s="3532">
        <v>135.18598923918583</v>
      </c>
      <c r="D267" s="360"/>
      <c r="E267" s="361"/>
      <c r="F267" s="2657"/>
      <c r="G267" s="2657"/>
      <c r="H267" s="2657"/>
      <c r="I267" s="2657"/>
      <c r="J267" s="2657"/>
      <c r="K267" s="2657"/>
      <c r="L267" s="2657"/>
      <c r="M267" s="2657"/>
      <c r="N267" s="2657"/>
      <c r="O267" s="2657"/>
      <c r="P267" s="2657"/>
      <c r="Q267" s="2657"/>
      <c r="R267" s="2658"/>
      <c r="S267" s="3649"/>
      <c r="T267" s="3649"/>
      <c r="U267" s="3649"/>
      <c r="V267" s="3649"/>
      <c r="W267" s="3649"/>
      <c r="X267" s="3649"/>
      <c r="Y267" s="3649"/>
      <c r="Z267" s="3649"/>
      <c r="AA267" s="3649"/>
      <c r="AB267" s="3649"/>
      <c r="AC267" s="3649"/>
      <c r="AD267" s="3649"/>
      <c r="AE267" s="3649"/>
      <c r="AF267" s="3649"/>
      <c r="AG267" s="3649"/>
      <c r="AH267" s="3649"/>
      <c r="AI267" s="3649"/>
      <c r="AJ267" s="3649"/>
      <c r="AK267" s="3649"/>
      <c r="AL267" s="3649"/>
      <c r="AM267" s="3649"/>
      <c r="AN267" s="3649"/>
      <c r="AO267" s="3649"/>
      <c r="AP267" s="3649"/>
      <c r="AQ267" s="3649"/>
      <c r="AR267" s="3649"/>
      <c r="AS267" s="3649"/>
      <c r="AT267" s="3649"/>
      <c r="AU267" s="3649"/>
      <c r="AV267" s="3649"/>
      <c r="AW267" s="3649"/>
      <c r="AX267" s="3649"/>
      <c r="AY267" s="3649"/>
      <c r="AZ267" s="3649"/>
      <c r="BA267" s="3649"/>
      <c r="BB267" s="3649"/>
      <c r="BC267" s="3649"/>
      <c r="BD267" s="3649"/>
      <c r="BE267" s="3649"/>
      <c r="BF267" s="3649"/>
      <c r="BG267" s="3649"/>
      <c r="BH267" s="3649"/>
      <c r="BI267" s="3649"/>
      <c r="BJ267" s="3649"/>
      <c r="BK267" s="3649"/>
      <c r="BL267" s="3649"/>
      <c r="BM267" s="3649"/>
      <c r="BN267" s="3649"/>
      <c r="BO267" s="3649"/>
      <c r="BP267" s="3649"/>
      <c r="BQ267" s="3649"/>
      <c r="BR267" s="3649"/>
      <c r="BS267" s="3649"/>
      <c r="BT267" s="3649"/>
      <c r="BU267" s="3649"/>
      <c r="BV267" s="3649"/>
      <c r="BW267" s="3649"/>
      <c r="BX267" s="3649"/>
      <c r="BY267" s="3649"/>
      <c r="BZ267" s="3649"/>
      <c r="CA267" s="3649"/>
      <c r="CB267" s="3649"/>
      <c r="CC267" s="3649"/>
      <c r="CD267" s="3649"/>
      <c r="CE267" s="3649"/>
      <c r="CF267" s="3649"/>
      <c r="CG267" s="3649"/>
      <c r="CH267" s="3649"/>
      <c r="CI267" s="3649"/>
      <c r="CJ267" s="2977"/>
    </row>
    <row r="268" spans="1:88">
      <c r="A268" s="53">
        <v>2015.07</v>
      </c>
      <c r="B268" s="613">
        <v>134.28522319428345</v>
      </c>
      <c r="C268" s="3532">
        <v>135.20257226893227</v>
      </c>
      <c r="D268" s="360"/>
      <c r="E268" s="361"/>
      <c r="F268" s="2657"/>
      <c r="G268" s="2657"/>
      <c r="H268" s="2657"/>
      <c r="I268" s="2657"/>
      <c r="J268" s="2657"/>
      <c r="K268" s="2657"/>
      <c r="L268" s="2657"/>
      <c r="M268" s="2657"/>
      <c r="N268" s="2657"/>
      <c r="O268" s="2657"/>
      <c r="P268" s="2657"/>
      <c r="Q268" s="2657"/>
      <c r="R268" s="2658"/>
      <c r="S268" s="3649"/>
      <c r="T268" s="3649"/>
      <c r="U268" s="3649"/>
      <c r="V268" s="3649"/>
      <c r="W268" s="3649"/>
      <c r="X268" s="3649"/>
      <c r="Y268" s="3649"/>
      <c r="Z268" s="3649"/>
      <c r="AA268" s="3649"/>
      <c r="AB268" s="3649"/>
      <c r="AC268" s="3649"/>
      <c r="AD268" s="3649"/>
      <c r="AE268" s="3649"/>
      <c r="AF268" s="3649"/>
      <c r="AG268" s="3649"/>
      <c r="AH268" s="3649"/>
      <c r="AI268" s="3649"/>
      <c r="AJ268" s="3649"/>
      <c r="AK268" s="3649"/>
      <c r="AL268" s="3649"/>
      <c r="AM268" s="3649"/>
      <c r="AN268" s="3649"/>
      <c r="AO268" s="3649"/>
      <c r="AP268" s="3649"/>
      <c r="AQ268" s="3649"/>
      <c r="AR268" s="3649"/>
      <c r="AS268" s="3649"/>
      <c r="AT268" s="3649"/>
      <c r="AU268" s="3649"/>
      <c r="AV268" s="3649"/>
      <c r="AW268" s="3649"/>
      <c r="AX268" s="3649"/>
      <c r="AY268" s="3649"/>
      <c r="AZ268" s="3649"/>
      <c r="BA268" s="3649"/>
      <c r="BB268" s="3649"/>
      <c r="BC268" s="3649"/>
      <c r="BD268" s="3649"/>
      <c r="BE268" s="3649"/>
      <c r="BF268" s="3649"/>
      <c r="BG268" s="3649"/>
      <c r="BH268" s="3649"/>
      <c r="BI268" s="3649"/>
      <c r="BJ268" s="3649"/>
      <c r="BK268" s="3649"/>
      <c r="BL268" s="3649"/>
      <c r="BM268" s="3649"/>
      <c r="BN268" s="3649"/>
      <c r="BO268" s="3649"/>
      <c r="BP268" s="3649"/>
      <c r="BQ268" s="3649"/>
      <c r="BR268" s="3649"/>
      <c r="BS268" s="3649"/>
      <c r="BT268" s="3649"/>
      <c r="BU268" s="3649"/>
      <c r="BV268" s="3649"/>
      <c r="BW268" s="3649"/>
      <c r="BX268" s="3649"/>
      <c r="BY268" s="3649"/>
      <c r="BZ268" s="3649"/>
      <c r="CA268" s="3649"/>
      <c r="CB268" s="3649"/>
      <c r="CC268" s="3649"/>
      <c r="CD268" s="3649"/>
      <c r="CE268" s="3649"/>
      <c r="CF268" s="3649"/>
      <c r="CG268" s="3649"/>
      <c r="CH268" s="3649"/>
      <c r="CI268" s="3649"/>
      <c r="CJ268" s="2977"/>
    </row>
    <row r="269" spans="1:88">
      <c r="A269" s="53">
        <v>2015.08</v>
      </c>
      <c r="B269" s="613">
        <v>134.90595612122158</v>
      </c>
      <c r="C269" s="3532">
        <v>135.2293910298373</v>
      </c>
      <c r="D269" s="360"/>
      <c r="E269" s="361"/>
      <c r="F269" s="2657"/>
      <c r="G269" s="2657"/>
      <c r="H269" s="2657"/>
      <c r="I269" s="2657"/>
      <c r="J269" s="2657"/>
      <c r="K269" s="2657"/>
      <c r="L269" s="2657"/>
      <c r="M269" s="2657"/>
      <c r="N269" s="2657"/>
      <c r="O269" s="2657"/>
      <c r="P269" s="2657"/>
      <c r="Q269" s="2657"/>
      <c r="R269" s="2658"/>
      <c r="S269" s="3649"/>
      <c r="T269" s="3649"/>
      <c r="U269" s="3649"/>
      <c r="V269" s="3649"/>
      <c r="W269" s="3649"/>
      <c r="X269" s="3649"/>
      <c r="Y269" s="3649"/>
      <c r="Z269" s="3649"/>
      <c r="AA269" s="3649"/>
      <c r="AB269" s="3649"/>
      <c r="AC269" s="3649"/>
      <c r="AD269" s="3649"/>
      <c r="AE269" s="3649"/>
      <c r="AF269" s="3649"/>
      <c r="AG269" s="3649"/>
      <c r="AH269" s="3649"/>
      <c r="AI269" s="3649"/>
      <c r="AJ269" s="3649"/>
      <c r="AK269" s="3649"/>
      <c r="AL269" s="3649"/>
      <c r="AM269" s="3649"/>
      <c r="AN269" s="3649"/>
      <c r="AO269" s="3649"/>
      <c r="AP269" s="3649"/>
      <c r="AQ269" s="3649"/>
      <c r="AR269" s="3649"/>
      <c r="AS269" s="3649"/>
      <c r="AT269" s="3649"/>
      <c r="AU269" s="3649"/>
      <c r="AV269" s="3649"/>
      <c r="AW269" s="3649"/>
      <c r="AX269" s="3649"/>
      <c r="AY269" s="3649"/>
      <c r="AZ269" s="3649"/>
      <c r="BA269" s="3649"/>
      <c r="BB269" s="3649"/>
      <c r="BC269" s="3649"/>
      <c r="BD269" s="3649"/>
      <c r="BE269" s="3649"/>
      <c r="BF269" s="3649"/>
      <c r="BG269" s="3649"/>
      <c r="BH269" s="3649"/>
      <c r="BI269" s="3649"/>
      <c r="BJ269" s="3649"/>
      <c r="BK269" s="3649"/>
      <c r="BL269" s="3649"/>
      <c r="BM269" s="3649"/>
      <c r="BN269" s="3649"/>
      <c r="BO269" s="3649"/>
      <c r="BP269" s="3649"/>
      <c r="BQ269" s="3649"/>
      <c r="BR269" s="3649"/>
      <c r="BS269" s="3649"/>
      <c r="BT269" s="3649"/>
      <c r="BU269" s="3649"/>
      <c r="BV269" s="3649"/>
      <c r="BW269" s="3649"/>
      <c r="BX269" s="3649"/>
      <c r="BY269" s="3649"/>
      <c r="BZ269" s="3649"/>
      <c r="CA269" s="3649"/>
      <c r="CB269" s="3649"/>
      <c r="CC269" s="3649"/>
      <c r="CD269" s="3649"/>
      <c r="CE269" s="3649"/>
      <c r="CF269" s="3649"/>
      <c r="CG269" s="3649"/>
      <c r="CH269" s="3649"/>
      <c r="CI269" s="3649"/>
      <c r="CJ269" s="2977"/>
    </row>
    <row r="270" spans="1:88">
      <c r="A270" s="53">
        <v>2015.09</v>
      </c>
      <c r="B270" s="613">
        <v>135.94051099945182</v>
      </c>
      <c r="C270" s="3532">
        <v>135.26800384715526</v>
      </c>
      <c r="D270" s="360"/>
      <c r="E270" s="361"/>
      <c r="F270" s="2657"/>
      <c r="G270" s="2657"/>
      <c r="H270" s="2657"/>
      <c r="I270" s="2657"/>
      <c r="J270" s="2657"/>
      <c r="K270" s="2657"/>
      <c r="L270" s="2657"/>
      <c r="M270" s="2657"/>
      <c r="N270" s="2657"/>
      <c r="O270" s="2657"/>
      <c r="P270" s="2657"/>
      <c r="Q270" s="2657"/>
      <c r="R270" s="2658"/>
      <c r="S270" s="3649"/>
      <c r="T270" s="3649"/>
      <c r="U270" s="3649"/>
      <c r="V270" s="3649"/>
      <c r="W270" s="3649"/>
      <c r="X270" s="3649"/>
      <c r="Y270" s="3649"/>
      <c r="Z270" s="3649"/>
      <c r="AA270" s="3649"/>
      <c r="AB270" s="3649"/>
      <c r="AC270" s="3649"/>
      <c r="AD270" s="3649"/>
      <c r="AE270" s="3649"/>
      <c r="AF270" s="3649"/>
      <c r="AG270" s="3649"/>
      <c r="AH270" s="3649"/>
      <c r="AI270" s="3649"/>
      <c r="AJ270" s="3649"/>
      <c r="AK270" s="3649"/>
      <c r="AL270" s="3649"/>
      <c r="AM270" s="3649"/>
      <c r="AN270" s="3649"/>
      <c r="AO270" s="3649"/>
      <c r="AP270" s="3649"/>
      <c r="AQ270" s="3649"/>
      <c r="AR270" s="3649"/>
      <c r="AS270" s="3649"/>
      <c r="AT270" s="3649"/>
      <c r="AU270" s="3649"/>
      <c r="AV270" s="3649"/>
      <c r="AW270" s="3649"/>
      <c r="AX270" s="3649"/>
      <c r="AY270" s="3649"/>
      <c r="AZ270" s="3649"/>
      <c r="BA270" s="3649"/>
      <c r="BB270" s="3649"/>
      <c r="BC270" s="3649"/>
      <c r="BD270" s="3649"/>
      <c r="BE270" s="3649"/>
      <c r="BF270" s="3649"/>
      <c r="BG270" s="3649"/>
      <c r="BH270" s="3649"/>
      <c r="BI270" s="3649"/>
      <c r="BJ270" s="3649"/>
      <c r="BK270" s="3649"/>
      <c r="BL270" s="3649"/>
      <c r="BM270" s="3649"/>
      <c r="BN270" s="3649"/>
      <c r="BO270" s="3649"/>
      <c r="BP270" s="3649"/>
      <c r="BQ270" s="3649"/>
      <c r="BR270" s="3649"/>
      <c r="BS270" s="3649"/>
      <c r="BT270" s="3649"/>
      <c r="BU270" s="3649"/>
      <c r="BV270" s="3649"/>
      <c r="BW270" s="3649"/>
      <c r="BX270" s="3649"/>
      <c r="BY270" s="3649"/>
      <c r="BZ270" s="3649"/>
      <c r="CA270" s="3649"/>
      <c r="CB270" s="3649"/>
      <c r="CC270" s="3649"/>
      <c r="CD270" s="3649"/>
      <c r="CE270" s="3649"/>
      <c r="CF270" s="3649"/>
      <c r="CG270" s="3649"/>
      <c r="CH270" s="3649"/>
      <c r="CI270" s="3649"/>
      <c r="CJ270" s="2977"/>
    </row>
    <row r="271" spans="1:88">
      <c r="A271" s="53">
        <v>2015.1</v>
      </c>
      <c r="B271" s="613">
        <v>138.76556248980708</v>
      </c>
      <c r="C271" s="3532">
        <v>134.95497858514335</v>
      </c>
      <c r="D271" s="360"/>
      <c r="E271" s="361"/>
      <c r="F271" s="2657"/>
      <c r="G271" s="2657"/>
      <c r="H271" s="2657"/>
      <c r="I271" s="2657"/>
      <c r="J271" s="2657"/>
      <c r="K271" s="2657"/>
      <c r="L271" s="2657"/>
      <c r="M271" s="2657"/>
      <c r="N271" s="2657"/>
      <c r="O271" s="2657"/>
      <c r="P271" s="2657"/>
      <c r="Q271" s="2657"/>
      <c r="R271" s="2658"/>
      <c r="S271" s="3649"/>
      <c r="T271" s="3649"/>
      <c r="U271" s="3649"/>
      <c r="V271" s="3649"/>
      <c r="W271" s="3649"/>
      <c r="X271" s="3649"/>
      <c r="Y271" s="3649"/>
      <c r="Z271" s="3649"/>
      <c r="AA271" s="3649"/>
      <c r="AB271" s="3649"/>
      <c r="AC271" s="3649"/>
      <c r="AD271" s="3649"/>
      <c r="AE271" s="3649"/>
      <c r="AF271" s="3649"/>
      <c r="AG271" s="3649"/>
      <c r="AH271" s="3649"/>
      <c r="AI271" s="3649"/>
      <c r="AJ271" s="3649"/>
      <c r="AK271" s="3649"/>
      <c r="AL271" s="3649"/>
      <c r="AM271" s="3649"/>
      <c r="AN271" s="3649"/>
      <c r="AO271" s="3649"/>
      <c r="AP271" s="3649"/>
      <c r="AQ271" s="3649"/>
      <c r="AR271" s="3649"/>
      <c r="AS271" s="3649"/>
      <c r="AT271" s="3649"/>
      <c r="AU271" s="3649"/>
      <c r="AV271" s="3649"/>
      <c r="AW271" s="3649"/>
      <c r="AX271" s="3649"/>
      <c r="AY271" s="3649"/>
      <c r="AZ271" s="3649"/>
      <c r="BA271" s="3649"/>
      <c r="BB271" s="3649"/>
      <c r="BC271" s="3649"/>
      <c r="BD271" s="3649"/>
      <c r="BE271" s="3649"/>
      <c r="BF271" s="3649"/>
      <c r="BG271" s="3649"/>
      <c r="BH271" s="3649"/>
      <c r="BI271" s="3649"/>
      <c r="BJ271" s="3649"/>
      <c r="BK271" s="3649"/>
      <c r="BL271" s="3649"/>
      <c r="BM271" s="3649"/>
      <c r="BN271" s="3649"/>
      <c r="BO271" s="3649"/>
      <c r="BP271" s="3649"/>
      <c r="BQ271" s="3649"/>
      <c r="BR271" s="3649"/>
      <c r="BS271" s="3649"/>
      <c r="BT271" s="3649"/>
      <c r="BU271" s="3649"/>
      <c r="BV271" s="3649"/>
      <c r="BW271" s="3649"/>
      <c r="BX271" s="3649"/>
      <c r="BY271" s="3649"/>
      <c r="BZ271" s="3649"/>
      <c r="CA271" s="3649"/>
      <c r="CB271" s="3649"/>
      <c r="CC271" s="3649"/>
      <c r="CD271" s="3649"/>
      <c r="CE271" s="3649"/>
      <c r="CF271" s="3649"/>
      <c r="CG271" s="3649"/>
      <c r="CH271" s="3649"/>
      <c r="CI271" s="3649"/>
      <c r="CJ271" s="2977"/>
    </row>
    <row r="272" spans="1:88">
      <c r="A272" s="53">
        <v>2015.11</v>
      </c>
      <c r="B272" s="613">
        <v>138.78532021505498</v>
      </c>
      <c r="C272" s="3532">
        <v>134.35378049960596</v>
      </c>
      <c r="D272" s="360"/>
      <c r="E272" s="361"/>
      <c r="F272" s="2657"/>
      <c r="G272" s="2657"/>
      <c r="H272" s="2657"/>
      <c r="I272" s="2657"/>
      <c r="J272" s="2657"/>
      <c r="K272" s="2657"/>
      <c r="L272" s="2657"/>
      <c r="M272" s="2657"/>
      <c r="N272" s="2657"/>
      <c r="O272" s="2657"/>
      <c r="P272" s="2657"/>
      <c r="Q272" s="2657"/>
      <c r="R272" s="2658"/>
      <c r="S272" s="3649"/>
      <c r="T272" s="3649"/>
      <c r="U272" s="3649"/>
      <c r="V272" s="3649"/>
      <c r="W272" s="3649"/>
      <c r="X272" s="3649"/>
      <c r="Y272" s="3649"/>
      <c r="Z272" s="3649"/>
      <c r="AA272" s="3649"/>
      <c r="AB272" s="3649"/>
      <c r="AC272" s="3649"/>
      <c r="AD272" s="3649"/>
      <c r="AE272" s="3649"/>
      <c r="AF272" s="3649"/>
      <c r="AG272" s="3649"/>
      <c r="AH272" s="3649"/>
      <c r="AI272" s="3649"/>
      <c r="AJ272" s="3649"/>
      <c r="AK272" s="3649"/>
      <c r="AL272" s="3649"/>
      <c r="AM272" s="3649"/>
      <c r="AN272" s="3649"/>
      <c r="AO272" s="3649"/>
      <c r="AP272" s="3649"/>
      <c r="AQ272" s="3649"/>
      <c r="AR272" s="3649"/>
      <c r="AS272" s="3649"/>
      <c r="AT272" s="3649"/>
      <c r="AU272" s="3649"/>
      <c r="AV272" s="3649"/>
      <c r="AW272" s="3649"/>
      <c r="AX272" s="3649"/>
      <c r="AY272" s="3649"/>
      <c r="AZ272" s="3649"/>
      <c r="BA272" s="3649"/>
      <c r="BB272" s="3649"/>
      <c r="BC272" s="3649"/>
      <c r="BD272" s="3649"/>
      <c r="BE272" s="3649"/>
      <c r="BF272" s="3649"/>
      <c r="BG272" s="3649"/>
      <c r="BH272" s="3649"/>
      <c r="BI272" s="3649"/>
      <c r="BJ272" s="3649"/>
      <c r="BK272" s="3649"/>
      <c r="BL272" s="3649"/>
      <c r="BM272" s="3649"/>
      <c r="BN272" s="3649"/>
      <c r="BO272" s="3649"/>
      <c r="BP272" s="3649"/>
      <c r="BQ272" s="3649"/>
      <c r="BR272" s="3649"/>
      <c r="BS272" s="3649"/>
      <c r="BT272" s="3649"/>
      <c r="BU272" s="3649"/>
      <c r="BV272" s="3649"/>
      <c r="BW272" s="3649"/>
      <c r="BX272" s="3649"/>
      <c r="BY272" s="3649"/>
      <c r="BZ272" s="3649"/>
      <c r="CA272" s="3649"/>
      <c r="CB272" s="3649"/>
      <c r="CC272" s="3649"/>
      <c r="CD272" s="3649"/>
      <c r="CE272" s="3649"/>
      <c r="CF272" s="3649"/>
      <c r="CG272" s="3649"/>
      <c r="CH272" s="3649"/>
      <c r="CI272" s="3649"/>
      <c r="CJ272" s="2977"/>
    </row>
    <row r="273" spans="1:88" ht="13.5" thickBot="1">
      <c r="A273" s="53">
        <v>2015.12</v>
      </c>
      <c r="B273" s="613">
        <v>137.94333541700342</v>
      </c>
      <c r="C273" s="3532">
        <v>132.80709898702847</v>
      </c>
      <c r="D273" s="360"/>
      <c r="E273" s="361"/>
      <c r="F273" s="2657"/>
      <c r="G273" s="2657"/>
      <c r="H273" s="2657"/>
      <c r="I273" s="2657"/>
      <c r="J273" s="2657"/>
      <c r="K273" s="2657"/>
      <c r="L273" s="2657"/>
      <c r="M273" s="2657"/>
      <c r="N273" s="2657"/>
      <c r="O273" s="2657"/>
      <c r="P273" s="2657"/>
      <c r="Q273" s="2657"/>
      <c r="R273" s="2658"/>
      <c r="S273" s="3649"/>
      <c r="T273" s="3649"/>
      <c r="U273" s="3649"/>
      <c r="V273" s="3649"/>
      <c r="W273" s="3649"/>
      <c r="X273" s="3649"/>
      <c r="Y273" s="3649"/>
      <c r="Z273" s="3649"/>
      <c r="AA273" s="3649"/>
      <c r="AB273" s="3649"/>
      <c r="AC273" s="3649"/>
      <c r="AD273" s="3649"/>
      <c r="AE273" s="3649"/>
      <c r="AF273" s="3649"/>
      <c r="AG273" s="3649"/>
      <c r="AH273" s="3649"/>
      <c r="AI273" s="3649"/>
      <c r="AJ273" s="3649"/>
      <c r="AK273" s="3649"/>
      <c r="AL273" s="3649"/>
      <c r="AM273" s="3649"/>
      <c r="AN273" s="3649"/>
      <c r="AO273" s="3649"/>
      <c r="AP273" s="3649"/>
      <c r="AQ273" s="3649"/>
      <c r="AR273" s="3649"/>
      <c r="AS273" s="3649"/>
      <c r="AT273" s="3649"/>
      <c r="AU273" s="3649"/>
      <c r="AV273" s="3649"/>
      <c r="AW273" s="3649"/>
      <c r="AX273" s="3649"/>
      <c r="AY273" s="3649"/>
      <c r="AZ273" s="3649"/>
      <c r="BA273" s="3649"/>
      <c r="BB273" s="3649"/>
      <c r="BC273" s="3649"/>
      <c r="BD273" s="3649"/>
      <c r="BE273" s="3649"/>
      <c r="BF273" s="3649"/>
      <c r="BG273" s="3649"/>
      <c r="BH273" s="3649"/>
      <c r="BI273" s="3649"/>
      <c r="BJ273" s="3649"/>
      <c r="BK273" s="3649"/>
      <c r="BL273" s="3649"/>
      <c r="BM273" s="3649"/>
      <c r="BN273" s="3649"/>
      <c r="BO273" s="3649"/>
      <c r="BP273" s="3649"/>
      <c r="BQ273" s="3649"/>
      <c r="BR273" s="3649"/>
      <c r="BS273" s="3649"/>
      <c r="BT273" s="3649"/>
      <c r="BU273" s="3649"/>
      <c r="BV273" s="3649"/>
      <c r="BW273" s="3649"/>
      <c r="BX273" s="3649"/>
      <c r="BY273" s="3649"/>
      <c r="BZ273" s="3649"/>
      <c r="CA273" s="3649"/>
      <c r="CB273" s="3649"/>
      <c r="CC273" s="3649"/>
      <c r="CD273" s="3649"/>
      <c r="CE273" s="3649"/>
      <c r="CF273" s="3649"/>
      <c r="CG273" s="3649"/>
      <c r="CH273" s="3649"/>
      <c r="CI273" s="3649"/>
      <c r="CJ273" s="2977"/>
    </row>
    <row r="274" spans="1:88">
      <c r="A274" s="53">
        <v>2016.01</v>
      </c>
      <c r="B274" s="174">
        <v>117.05119421077302</v>
      </c>
      <c r="C274" s="483">
        <v>134.46666056708301</v>
      </c>
      <c r="D274" s="564">
        <v>132.69837857499701</v>
      </c>
      <c r="E274" s="174">
        <v>130.67616072746296</v>
      </c>
      <c r="F274" s="2659">
        <v>83.169667830222807</v>
      </c>
      <c r="G274" s="2659">
        <v>212.00923787528865</v>
      </c>
      <c r="H274" s="2659">
        <v>143.3508705530069</v>
      </c>
      <c r="I274" s="2659">
        <v>145.11185072889822</v>
      </c>
      <c r="J274" s="2659">
        <v>180.46520203556574</v>
      </c>
      <c r="K274" s="2659">
        <v>125.64593549669752</v>
      </c>
      <c r="L274" s="2659">
        <v>124.92419237644656</v>
      </c>
      <c r="M274" s="2659">
        <v>95.801963897359727</v>
      </c>
      <c r="N274" s="2659">
        <v>50.68059984152729</v>
      </c>
      <c r="O274" s="2659">
        <v>95.725116938920422</v>
      </c>
      <c r="P274" s="2659">
        <v>173.51140752871876</v>
      </c>
      <c r="Q274" s="2659">
        <v>109.97700442456318</v>
      </c>
      <c r="R274" s="2660">
        <v>169.37412875914151</v>
      </c>
      <c r="S274" s="483">
        <v>106.19948389078264</v>
      </c>
      <c r="T274" s="483">
        <v>98.219477942460173</v>
      </c>
      <c r="U274" s="483">
        <v>110.02913543064786</v>
      </c>
      <c r="V274" s="483">
        <v>84.267648153137799</v>
      </c>
      <c r="W274" s="483">
        <v>13.783115436773079</v>
      </c>
      <c r="X274" s="483">
        <v>103.31625441696113</v>
      </c>
      <c r="Y274" s="483">
        <v>85.165524644297747</v>
      </c>
      <c r="Z274" s="483">
        <v>88.315496757973278</v>
      </c>
      <c r="AA274" s="483">
        <v>85.086863461117474</v>
      </c>
      <c r="AB274" s="483">
        <v>89.089392864577974</v>
      </c>
      <c r="AC274" s="483">
        <v>56.34547672794551</v>
      </c>
      <c r="AD274" s="483">
        <v>99.055375576942296</v>
      </c>
      <c r="AE274" s="483">
        <v>112.05220811386322</v>
      </c>
      <c r="AF274" s="483">
        <v>90.643741158680072</v>
      </c>
      <c r="AG274" s="483">
        <v>113.43553204066673</v>
      </c>
      <c r="AH274" s="483">
        <v>125.11659893266612</v>
      </c>
      <c r="AI274" s="483">
        <v>116.082454628975</v>
      </c>
      <c r="AJ274" s="483">
        <v>153.07394122496751</v>
      </c>
      <c r="AK274" s="483">
        <v>93.467617817988611</v>
      </c>
      <c r="AL274" s="483">
        <v>189.42528046763033</v>
      </c>
      <c r="AM274" s="483">
        <v>50.659437894172335</v>
      </c>
      <c r="AN274" s="483">
        <v>111.35618953480829</v>
      </c>
      <c r="AO274" s="483">
        <v>137.15259136180319</v>
      </c>
      <c r="AP274" s="483">
        <v>124.06133606244009</v>
      </c>
      <c r="AQ274" s="483">
        <v>85.105729340472905</v>
      </c>
      <c r="AR274" s="483">
        <v>115.30516569886694</v>
      </c>
      <c r="AS274" s="483">
        <v>102.23633936152309</v>
      </c>
      <c r="AT274" s="483">
        <v>117.81096196961617</v>
      </c>
      <c r="AU274" s="483">
        <v>190.76745247049064</v>
      </c>
      <c r="AV274" s="483">
        <v>158.01606434325589</v>
      </c>
      <c r="AW274" s="483">
        <v>106.08648647772657</v>
      </c>
      <c r="AX274" s="483">
        <v>119.0923090309344</v>
      </c>
      <c r="AY274" s="483">
        <v>117.30082938388627</v>
      </c>
      <c r="AZ274" s="483">
        <v>100.37985414684942</v>
      </c>
      <c r="BA274" s="483">
        <v>121.82331714810309</v>
      </c>
      <c r="BB274" s="483">
        <v>162.74024047405936</v>
      </c>
      <c r="BC274" s="483">
        <v>144.737427871389</v>
      </c>
      <c r="BD274" s="483">
        <v>147.20736097887021</v>
      </c>
      <c r="BE274" s="483">
        <v>165.7901540837839</v>
      </c>
      <c r="BF274" s="483">
        <v>190.54606844323831</v>
      </c>
      <c r="BG274" s="483">
        <v>201.88542808705907</v>
      </c>
      <c r="BH274" s="483">
        <v>155.03235949167825</v>
      </c>
      <c r="BI274" s="483">
        <v>94.796063398608794</v>
      </c>
      <c r="BJ274" s="483">
        <v>83.260151220980887</v>
      </c>
      <c r="BK274" s="483">
        <v>140.23029873522529</v>
      </c>
      <c r="BL274" s="483">
        <v>106.4239160872621</v>
      </c>
      <c r="BM274" s="483">
        <v>109.0918228586668</v>
      </c>
      <c r="BN274" s="483">
        <v>95.852059072522948</v>
      </c>
      <c r="BO274" s="483">
        <v>159.48942014234581</v>
      </c>
      <c r="BP274" s="483">
        <v>110.11292359273202</v>
      </c>
      <c r="BQ274" s="483">
        <v>118.26385336994944</v>
      </c>
      <c r="BR274" s="483">
        <v>102.44954827771129</v>
      </c>
      <c r="BS274" s="483">
        <v>114.67011399606594</v>
      </c>
      <c r="BT274" s="483">
        <v>114.42989890303635</v>
      </c>
      <c r="BU274" s="483">
        <v>182.27507327140026</v>
      </c>
      <c r="BV274" s="483">
        <v>133.32012068812969</v>
      </c>
      <c r="BW274" s="483">
        <v>254.1318771109882</v>
      </c>
      <c r="BX274" s="483">
        <v>105.52203444023034</v>
      </c>
      <c r="BY274" s="483">
        <v>91.054880599256606</v>
      </c>
      <c r="BZ274" s="483">
        <v>63.268128716067245</v>
      </c>
      <c r="CA274" s="483">
        <v>85.4083523754379</v>
      </c>
      <c r="CB274" s="483">
        <v>92.10074519370265</v>
      </c>
      <c r="CC274" s="483">
        <v>49.63229256928301</v>
      </c>
      <c r="CD274" s="483">
        <v>130.2030975868206</v>
      </c>
      <c r="CE274" s="483">
        <v>442.69848755527528</v>
      </c>
      <c r="CF274" s="483">
        <v>97.638556782584132</v>
      </c>
      <c r="CG274" s="483">
        <v>110.07757779040487</v>
      </c>
      <c r="CH274" s="483">
        <v>124.90968779650761</v>
      </c>
      <c r="CI274" s="483">
        <v>78.655307643017039</v>
      </c>
      <c r="CJ274" s="621">
        <v>117.05119421077309</v>
      </c>
    </row>
    <row r="275" spans="1:88">
      <c r="A275" s="53">
        <v>2016.02</v>
      </c>
      <c r="B275" s="615">
        <v>118.90029357259574</v>
      </c>
      <c r="C275" s="3535">
        <v>132.25655088856399</v>
      </c>
      <c r="D275" s="358">
        <v>131.933277349479</v>
      </c>
      <c r="E275" s="615">
        <v>129.2639730718447</v>
      </c>
      <c r="F275" s="1215">
        <v>79.919337987800361</v>
      </c>
      <c r="G275" s="1215">
        <v>195.38106235565817</v>
      </c>
      <c r="H275" s="1215">
        <v>139.49739479670893</v>
      </c>
      <c r="I275" s="1215">
        <v>155.8936110217914</v>
      </c>
      <c r="J275" s="1215">
        <v>153.60003604766575</v>
      </c>
      <c r="K275" s="1215">
        <v>114.55527385289814</v>
      </c>
      <c r="L275" s="1215">
        <v>133.72073556223359</v>
      </c>
      <c r="M275" s="1215">
        <v>106.63696442404063</v>
      </c>
      <c r="N275" s="1215">
        <v>77.473416532609747</v>
      </c>
      <c r="O275" s="1215">
        <v>109.18307310462819</v>
      </c>
      <c r="P275" s="1215">
        <v>153.96435947853436</v>
      </c>
      <c r="Q275" s="1215">
        <v>109.61515498107488</v>
      </c>
      <c r="R275" s="2661">
        <v>181.94431917397637</v>
      </c>
      <c r="S275" s="3535">
        <v>127.90479009035263</v>
      </c>
      <c r="T275" s="3535">
        <v>186.44067820316209</v>
      </c>
      <c r="U275" s="3535">
        <v>99.81307493370872</v>
      </c>
      <c r="V275" s="3535">
        <v>96.965228172780385</v>
      </c>
      <c r="W275" s="3535">
        <v>13.476069857206722</v>
      </c>
      <c r="X275" s="3535">
        <v>127.64773036151126</v>
      </c>
      <c r="Y275" s="3535">
        <v>117.71900624290728</v>
      </c>
      <c r="Z275" s="3535">
        <v>80.958885506152853</v>
      </c>
      <c r="AA275" s="3535">
        <v>102.30285068061991</v>
      </c>
      <c r="AB275" s="3535">
        <v>98.463116508893322</v>
      </c>
      <c r="AC275" s="3535">
        <v>63.614177365579131</v>
      </c>
      <c r="AD275" s="3535">
        <v>160.31178155531839</v>
      </c>
      <c r="AE275" s="3535">
        <v>110.44869988099354</v>
      </c>
      <c r="AF275" s="3535">
        <v>94.329158209639004</v>
      </c>
      <c r="AG275" s="3535">
        <v>105.00797970532328</v>
      </c>
      <c r="AH275" s="3535">
        <v>126.55726448217759</v>
      </c>
      <c r="AI275" s="3535">
        <v>111.27368225233077</v>
      </c>
      <c r="AJ275" s="3535">
        <v>142.58455463651484</v>
      </c>
      <c r="AK275" s="3535">
        <v>93.212190674108214</v>
      </c>
      <c r="AL275" s="3535">
        <v>182.26293707157916</v>
      </c>
      <c r="AM275" s="3535">
        <v>48.953492430806236</v>
      </c>
      <c r="AN275" s="3535">
        <v>104.96859838782754</v>
      </c>
      <c r="AO275" s="3535">
        <v>133.69415665335751</v>
      </c>
      <c r="AP275" s="3535">
        <v>124.99559575948625</v>
      </c>
      <c r="AQ275" s="3535">
        <v>94.236875608780878</v>
      </c>
      <c r="AR275" s="3535">
        <v>106.04101373970369</v>
      </c>
      <c r="AS275" s="3535">
        <v>99.555789263267897</v>
      </c>
      <c r="AT275" s="3535">
        <v>109.90061601538265</v>
      </c>
      <c r="AU275" s="3535">
        <v>171.1053731451247</v>
      </c>
      <c r="AV275" s="3535">
        <v>166.29799714408819</v>
      </c>
      <c r="AW275" s="3535">
        <v>125.91120600096751</v>
      </c>
      <c r="AX275" s="3535">
        <v>113.90864790192519</v>
      </c>
      <c r="AY275" s="3535">
        <v>95.556872037914701</v>
      </c>
      <c r="AZ275" s="3535">
        <v>94.930668698725825</v>
      </c>
      <c r="BA275" s="3535">
        <v>119.89673731304556</v>
      </c>
      <c r="BB275" s="3535">
        <v>159.84835193167331</v>
      </c>
      <c r="BC275" s="3535">
        <v>146.09450917314794</v>
      </c>
      <c r="BD275" s="3535">
        <v>160.76288034238206</v>
      </c>
      <c r="BE275" s="3535">
        <v>155.1416558670241</v>
      </c>
      <c r="BF275" s="3535">
        <v>176.48480341264695</v>
      </c>
      <c r="BG275" s="3535">
        <v>186.86567155392942</v>
      </c>
      <c r="BH275" s="3535">
        <v>150.15873238283535</v>
      </c>
      <c r="BI275" s="3535">
        <v>80.068261529251956</v>
      </c>
      <c r="BJ275" s="3535">
        <v>61.610495314047306</v>
      </c>
      <c r="BK275" s="3535">
        <v>126.2096534578142</v>
      </c>
      <c r="BL275" s="3535">
        <v>124.98196954558964</v>
      </c>
      <c r="BM275" s="3535">
        <v>105.93590527958594</v>
      </c>
      <c r="BN275" s="3535">
        <v>94.566135566763649</v>
      </c>
      <c r="BO275" s="3535">
        <v>146.03835614699489</v>
      </c>
      <c r="BP275" s="3535">
        <v>107.03296725794091</v>
      </c>
      <c r="BQ275" s="3535">
        <v>132.20384140671027</v>
      </c>
      <c r="BR275" s="3535">
        <v>97.049941606434714</v>
      </c>
      <c r="BS275" s="3535">
        <v>150.8736724174463</v>
      </c>
      <c r="BT275" s="3535">
        <v>119.60562020091228</v>
      </c>
      <c r="BU275" s="3535">
        <v>227.21810211379184</v>
      </c>
      <c r="BV275" s="3535">
        <v>157.27953051480023</v>
      </c>
      <c r="BW275" s="3535">
        <v>402.74579277225666</v>
      </c>
      <c r="BX275" s="3535">
        <v>88.441684794746749</v>
      </c>
      <c r="BY275" s="3535">
        <v>99.791816884271782</v>
      </c>
      <c r="BZ275" s="3535">
        <v>113.13788419960012</v>
      </c>
      <c r="CA275" s="3535">
        <v>178.48386481707647</v>
      </c>
      <c r="CB275" s="3535">
        <v>162.50489625503155</v>
      </c>
      <c r="CC275" s="3535">
        <v>77.594222554619662</v>
      </c>
      <c r="CD275" s="3535">
        <v>143.32330289733605</v>
      </c>
      <c r="CE275" s="3535">
        <v>437.79698934593563</v>
      </c>
      <c r="CF275" s="3535">
        <v>112.63676899647635</v>
      </c>
      <c r="CG275" s="3535">
        <v>104.75954868353593</v>
      </c>
      <c r="CH275" s="3535">
        <v>118.80374107984775</v>
      </c>
      <c r="CI275" s="3535">
        <v>68.722386392654315</v>
      </c>
      <c r="CJ275" s="2978">
        <v>118.9002935725958</v>
      </c>
    </row>
    <row r="276" spans="1:88">
      <c r="A276" s="53">
        <v>2016.03</v>
      </c>
      <c r="B276" s="615">
        <v>136.80623010580314</v>
      </c>
      <c r="C276" s="3535">
        <v>130.919664045454</v>
      </c>
      <c r="D276" s="358">
        <v>131.014832620475</v>
      </c>
      <c r="E276" s="615">
        <v>141.65062327052485</v>
      </c>
      <c r="F276" s="1215">
        <v>88.923323093402274</v>
      </c>
      <c r="G276" s="1215">
        <v>238.33718244803691</v>
      </c>
      <c r="H276" s="1215">
        <v>147.30733189191383</v>
      </c>
      <c r="I276" s="1215">
        <v>197.92067873496418</v>
      </c>
      <c r="J276" s="1215">
        <v>161.45628893161012</v>
      </c>
      <c r="K276" s="1215">
        <v>120.84589316829604</v>
      </c>
      <c r="L276" s="1215">
        <v>160.3432873866208</v>
      </c>
      <c r="M276" s="1215">
        <v>126.41338596238047</v>
      </c>
      <c r="N276" s="1215">
        <v>87.725125024417196</v>
      </c>
      <c r="O276" s="1215">
        <v>130.11251460142648</v>
      </c>
      <c r="P276" s="1215">
        <v>160.79781728499799</v>
      </c>
      <c r="Q276" s="1215">
        <v>126.42794337026201</v>
      </c>
      <c r="R276" s="2661">
        <v>174.43263816757482</v>
      </c>
      <c r="S276" s="3535">
        <v>148.56314934240984</v>
      </c>
      <c r="T276" s="3535">
        <v>228.32670511111212</v>
      </c>
      <c r="U276" s="3535">
        <v>110.28415228991393</v>
      </c>
      <c r="V276" s="3535">
        <v>119.3409024118058</v>
      </c>
      <c r="W276" s="3535">
        <v>105.74924747749657</v>
      </c>
      <c r="X276" s="3535">
        <v>136.01861918999731</v>
      </c>
      <c r="Y276" s="3535">
        <v>143.27891236266015</v>
      </c>
      <c r="Z276" s="3535">
        <v>93.361021753593747</v>
      </c>
      <c r="AA276" s="3535">
        <v>135.02520729455148</v>
      </c>
      <c r="AB276" s="3535">
        <v>134.13478290681505</v>
      </c>
      <c r="AC276" s="3535">
        <v>73.501401367491127</v>
      </c>
      <c r="AD276" s="3535">
        <v>205.11242877678478</v>
      </c>
      <c r="AE276" s="3535">
        <v>118.03318929102018</v>
      </c>
      <c r="AF276" s="3535">
        <v>103.37373725737837</v>
      </c>
      <c r="AG276" s="3535">
        <v>113.04772151027407</v>
      </c>
      <c r="AH276" s="3535">
        <v>132.71900010609741</v>
      </c>
      <c r="AI276" s="3535">
        <v>115.28262401793978</v>
      </c>
      <c r="AJ276" s="3535">
        <v>147.00745521050897</v>
      </c>
      <c r="AK276" s="3535">
        <v>101.75357918384191</v>
      </c>
      <c r="AL276" s="3535">
        <v>189.88174170492292</v>
      </c>
      <c r="AM276" s="3535">
        <v>52.16622436184575</v>
      </c>
      <c r="AN276" s="3535">
        <v>103.00148231661107</v>
      </c>
      <c r="AO276" s="3535">
        <v>148.31859864284024</v>
      </c>
      <c r="AP276" s="3535">
        <v>134.94685676108543</v>
      </c>
      <c r="AQ276" s="3535">
        <v>92.955721376206796</v>
      </c>
      <c r="AR276" s="3535">
        <v>111.84336414256593</v>
      </c>
      <c r="AS276" s="3535">
        <v>106.57965794954876</v>
      </c>
      <c r="AT276" s="3535">
        <v>109.50725645672819</v>
      </c>
      <c r="AU276" s="3535">
        <v>203.88568185737142</v>
      </c>
      <c r="AV276" s="3535">
        <v>183.12091861327906</v>
      </c>
      <c r="AW276" s="3535">
        <v>137.48915565855631</v>
      </c>
      <c r="AX276" s="3535">
        <v>136.58945230719007</v>
      </c>
      <c r="AY276" s="3535">
        <v>145.85308056872037</v>
      </c>
      <c r="AZ276" s="3535">
        <v>116.3506848151566</v>
      </c>
      <c r="BA276" s="3535">
        <v>137.36302462936038</v>
      </c>
      <c r="BB276" s="3535">
        <v>171.77895833246978</v>
      </c>
      <c r="BC276" s="3535">
        <v>150.49513207715975</v>
      </c>
      <c r="BD276" s="3535">
        <v>170.49462686309599</v>
      </c>
      <c r="BE276" s="3535">
        <v>167.42953582989622</v>
      </c>
      <c r="BF276" s="3535">
        <v>203.2277073926204</v>
      </c>
      <c r="BG276" s="3535">
        <v>212.22537927261672</v>
      </c>
      <c r="BH276" s="3535">
        <v>156.14454554960116</v>
      </c>
      <c r="BI276" s="3535">
        <v>100.90171178426834</v>
      </c>
      <c r="BJ276" s="3535">
        <v>86.451212298766066</v>
      </c>
      <c r="BK276" s="3535">
        <v>147.67862502126445</v>
      </c>
      <c r="BL276" s="3535">
        <v>125.51000555321792</v>
      </c>
      <c r="BM276" s="3535">
        <v>124.94458309102679</v>
      </c>
      <c r="BN276" s="3535">
        <v>111.7110429795602</v>
      </c>
      <c r="BO276" s="3535">
        <v>152.64422052076321</v>
      </c>
      <c r="BP276" s="3535">
        <v>127.53666967623008</v>
      </c>
      <c r="BQ276" s="3535">
        <v>156.46993532510791</v>
      </c>
      <c r="BR276" s="3535">
        <v>103.73466708207715</v>
      </c>
      <c r="BS276" s="3535">
        <v>193.65393287395315</v>
      </c>
      <c r="BT276" s="3535">
        <v>137.91791671029716</v>
      </c>
      <c r="BU276" s="3535">
        <v>280.04558057041777</v>
      </c>
      <c r="BV276" s="3535">
        <v>187.5511417132777</v>
      </c>
      <c r="BW276" s="3535">
        <v>458.66190144152034</v>
      </c>
      <c r="BX276" s="3535">
        <v>115.65134957642317</v>
      </c>
      <c r="BY276" s="3535">
        <v>114.57089780132087</v>
      </c>
      <c r="BZ276" s="3535">
        <v>151.33603399603416</v>
      </c>
      <c r="CA276" s="3535">
        <v>250.07412120467961</v>
      </c>
      <c r="CB276" s="3535">
        <v>186.02373440450179</v>
      </c>
      <c r="CC276" s="3535">
        <v>102.88072347501181</v>
      </c>
      <c r="CD276" s="3535">
        <v>174.82504820001336</v>
      </c>
      <c r="CE276" s="3535">
        <v>631.79767337853377</v>
      </c>
      <c r="CF276" s="3535">
        <v>127.20481386456544</v>
      </c>
      <c r="CG276" s="3535">
        <v>130.56408129497115</v>
      </c>
      <c r="CH276" s="3535">
        <v>150.33381048330781</v>
      </c>
      <c r="CI276" s="3535">
        <v>91.226608163094639</v>
      </c>
      <c r="CJ276" s="2978">
        <v>136.80623010580328</v>
      </c>
    </row>
    <row r="277" spans="1:88">
      <c r="A277" s="53">
        <v>2016.04</v>
      </c>
      <c r="B277" s="615">
        <v>132.0696490854989</v>
      </c>
      <c r="C277" s="3535">
        <v>130.96719358711201</v>
      </c>
      <c r="D277" s="358">
        <v>130.006764857707</v>
      </c>
      <c r="E277" s="615">
        <v>135.53429109059624</v>
      </c>
      <c r="F277" s="1215">
        <v>78.988738101995366</v>
      </c>
      <c r="G277" s="1215">
        <v>231.40877598152426</v>
      </c>
      <c r="H277" s="1215">
        <v>135.67956010351702</v>
      </c>
      <c r="I277" s="1215">
        <v>185.64736546726647</v>
      </c>
      <c r="J277" s="1215">
        <v>181.38928530636068</v>
      </c>
      <c r="K277" s="1215">
        <v>99.743586997052518</v>
      </c>
      <c r="L277" s="1215">
        <v>169.78378168189951</v>
      </c>
      <c r="M277" s="1215">
        <v>126.67718609933415</v>
      </c>
      <c r="N277" s="1215">
        <v>90.682897366712723</v>
      </c>
      <c r="O277" s="1215">
        <v>156.53806377238146</v>
      </c>
      <c r="P277" s="1215">
        <v>136.34119386157425</v>
      </c>
      <c r="Q277" s="1215">
        <v>130.70086163229598</v>
      </c>
      <c r="R277" s="2661">
        <v>150.59248675092945</v>
      </c>
      <c r="S277" s="3535">
        <v>117.2505286415723</v>
      </c>
      <c r="T277" s="3535">
        <v>146.14350465448382</v>
      </c>
      <c r="U277" s="3535">
        <v>103.38462042099059</v>
      </c>
      <c r="V277" s="3535">
        <v>123.19031910088518</v>
      </c>
      <c r="W277" s="3535">
        <v>211.80068675793541</v>
      </c>
      <c r="X277" s="3535">
        <v>130.39344930687685</v>
      </c>
      <c r="Y277" s="3535">
        <v>136.36644863529671</v>
      </c>
      <c r="Z277" s="3535">
        <v>89.950849562916815</v>
      </c>
      <c r="AA277" s="3535">
        <v>137.8840372572964</v>
      </c>
      <c r="AB277" s="3535">
        <v>139.5011320817035</v>
      </c>
      <c r="AC277" s="3535">
        <v>72.25075769371243</v>
      </c>
      <c r="AD277" s="3535">
        <v>201.74605819812285</v>
      </c>
      <c r="AE277" s="3535">
        <v>115.05218621844168</v>
      </c>
      <c r="AF277" s="3535">
        <v>102.08644741603632</v>
      </c>
      <c r="AG277" s="3535">
        <v>106.66559287587638</v>
      </c>
      <c r="AH277" s="3535">
        <v>131.88916827190829</v>
      </c>
      <c r="AI277" s="3535">
        <v>111.04323324435187</v>
      </c>
      <c r="AJ277" s="3535">
        <v>139.30914627568288</v>
      </c>
      <c r="AK277" s="3535">
        <v>95.371877343875269</v>
      </c>
      <c r="AL277" s="3535">
        <v>169.40888133216927</v>
      </c>
      <c r="AM277" s="3535">
        <v>46.851256314119603</v>
      </c>
      <c r="AN277" s="3535">
        <v>105.75971943118576</v>
      </c>
      <c r="AO277" s="3535">
        <v>147.76129110892197</v>
      </c>
      <c r="AP277" s="3535">
        <v>125.03835258842126</v>
      </c>
      <c r="AQ277" s="3535">
        <v>98.962083572738166</v>
      </c>
      <c r="AR277" s="3535">
        <v>112.06308737510216</v>
      </c>
      <c r="AS277" s="3535">
        <v>107.10715424266861</v>
      </c>
      <c r="AT277" s="3535">
        <v>102.32294653367097</v>
      </c>
      <c r="AU277" s="3535">
        <v>201.7200988365006</v>
      </c>
      <c r="AV277" s="3535">
        <v>177.77569548923847</v>
      </c>
      <c r="AW277" s="3535">
        <v>145.16029501951255</v>
      </c>
      <c r="AX277" s="3535">
        <v>130.90445655692022</v>
      </c>
      <c r="AY277" s="3535">
        <v>152.59810426540287</v>
      </c>
      <c r="AZ277" s="3535">
        <v>114.65730676068118</v>
      </c>
      <c r="BA277" s="3535">
        <v>128.75048417110574</v>
      </c>
      <c r="BB277" s="3535">
        <v>158.65511986968491</v>
      </c>
      <c r="BC277" s="3535">
        <v>157.52083492417199</v>
      </c>
      <c r="BD277" s="3535">
        <v>159.09998908265445</v>
      </c>
      <c r="BE277" s="3535">
        <v>146.3885009190023</v>
      </c>
      <c r="BF277" s="3535">
        <v>184.90601708588196</v>
      </c>
      <c r="BG277" s="3535">
        <v>183.64062763463218</v>
      </c>
      <c r="BH277" s="3535">
        <v>149.30772121663531</v>
      </c>
      <c r="BI277" s="3535">
        <v>101.24516621314987</v>
      </c>
      <c r="BJ277" s="3535">
        <v>88.801196765195996</v>
      </c>
      <c r="BK277" s="3535">
        <v>141.89120686286802</v>
      </c>
      <c r="BL277" s="3535">
        <v>122.07548239029568</v>
      </c>
      <c r="BM277" s="3535">
        <v>113.97378747830409</v>
      </c>
      <c r="BN277" s="3535">
        <v>114.23187617547288</v>
      </c>
      <c r="BO277" s="3535">
        <v>136.8577847163904</v>
      </c>
      <c r="BP277" s="3535">
        <v>112.29979347429307</v>
      </c>
      <c r="BQ277" s="3535">
        <v>136.63591489652029</v>
      </c>
      <c r="BR277" s="3535">
        <v>94.494039083704621</v>
      </c>
      <c r="BS277" s="3535">
        <v>150.58220969509</v>
      </c>
      <c r="BT277" s="3535">
        <v>128.03896885077341</v>
      </c>
      <c r="BU277" s="3535">
        <v>257.49894269544359</v>
      </c>
      <c r="BV277" s="3535">
        <v>175.24425744881489</v>
      </c>
      <c r="BW277" s="3535">
        <v>413.23051318662658</v>
      </c>
      <c r="BX277" s="3535">
        <v>110.41643507949235</v>
      </c>
      <c r="BY277" s="3535">
        <v>115.11536446827323</v>
      </c>
      <c r="BZ277" s="3535">
        <v>140.17021883323557</v>
      </c>
      <c r="CA277" s="3535">
        <v>237.15249430893667</v>
      </c>
      <c r="CB277" s="3535">
        <v>178.92852849121758</v>
      </c>
      <c r="CC277" s="3535">
        <v>91.95973453254318</v>
      </c>
      <c r="CD277" s="3535">
        <v>172.21929218375618</v>
      </c>
      <c r="CE277" s="3535">
        <v>633.48199071212764</v>
      </c>
      <c r="CF277" s="3535">
        <v>124.15199759353622</v>
      </c>
      <c r="CG277" s="3535">
        <v>137.48143822052026</v>
      </c>
      <c r="CH277" s="3535">
        <v>164.52104679728328</v>
      </c>
      <c r="CI277" s="3535">
        <v>95.308120599500427</v>
      </c>
      <c r="CJ277" s="2978">
        <v>132.06964908549895</v>
      </c>
    </row>
    <row r="278" spans="1:88">
      <c r="A278" s="53">
        <v>2016.05</v>
      </c>
      <c r="B278" s="615">
        <v>132.12673005161108</v>
      </c>
      <c r="C278" s="3535">
        <v>128.99976667639501</v>
      </c>
      <c r="D278" s="358">
        <v>128.97810551020001</v>
      </c>
      <c r="E278" s="615">
        <v>139.57321559211331</v>
      </c>
      <c r="F278" s="1215">
        <v>86.113940989801392</v>
      </c>
      <c r="G278" s="1215">
        <v>242.49422632794455</v>
      </c>
      <c r="H278" s="1215">
        <v>127.31042410108337</v>
      </c>
      <c r="I278" s="1215">
        <v>228.30039359421801</v>
      </c>
      <c r="J278" s="1215">
        <v>197.84668189187772</v>
      </c>
      <c r="K278" s="1215">
        <v>108.73537164184492</v>
      </c>
      <c r="L278" s="1215">
        <v>164.91482369352687</v>
      </c>
      <c r="M278" s="1215">
        <v>130.23986616007997</v>
      </c>
      <c r="N278" s="1215">
        <v>99.439911562615791</v>
      </c>
      <c r="O278" s="1215">
        <v>156.34573237563808</v>
      </c>
      <c r="P278" s="1215">
        <v>121.90438249265169</v>
      </c>
      <c r="Q278" s="1215">
        <v>128.78303409424689</v>
      </c>
      <c r="R278" s="2661">
        <v>153.19032664780107</v>
      </c>
      <c r="S278" s="3535">
        <v>85.525714324943593</v>
      </c>
      <c r="T278" s="3535">
        <v>47.646589222763502</v>
      </c>
      <c r="U278" s="3535">
        <v>103.7041280649491</v>
      </c>
      <c r="V278" s="3535">
        <v>134.89200489029912</v>
      </c>
      <c r="W278" s="3535">
        <v>357.97900655770201</v>
      </c>
      <c r="X278" s="3535">
        <v>128.13087795596627</v>
      </c>
      <c r="Y278" s="3535">
        <v>132.94205270257871</v>
      </c>
      <c r="Z278" s="3535">
        <v>93.688298321439163</v>
      </c>
      <c r="AA278" s="3535">
        <v>125.5829472600583</v>
      </c>
      <c r="AB278" s="3535">
        <v>126.4001957105571</v>
      </c>
      <c r="AC278" s="3535">
        <v>70.325386176462089</v>
      </c>
      <c r="AD278" s="3535">
        <v>181.66148731563067</v>
      </c>
      <c r="AE278" s="3535">
        <v>112.82572099139914</v>
      </c>
      <c r="AF278" s="3535">
        <v>95.314197941600455</v>
      </c>
      <c r="AG278" s="3535">
        <v>112.49439965071836</v>
      </c>
      <c r="AH278" s="3535">
        <v>124.92734353669108</v>
      </c>
      <c r="AI278" s="3535">
        <v>111.67808109142982</v>
      </c>
      <c r="AJ278" s="3535">
        <v>140.40186218660224</v>
      </c>
      <c r="AK278" s="3535">
        <v>98.643382145501334</v>
      </c>
      <c r="AL278" s="3535">
        <v>175.88557775649022</v>
      </c>
      <c r="AM278" s="3535">
        <v>62.025039175053195</v>
      </c>
      <c r="AN278" s="3535">
        <v>101.6793779723819</v>
      </c>
      <c r="AO278" s="3535">
        <v>147.22237407786781</v>
      </c>
      <c r="AP278" s="3535">
        <v>130.40786281567887</v>
      </c>
      <c r="AQ278" s="3535">
        <v>93.289957251361713</v>
      </c>
      <c r="AR278" s="3535">
        <v>116.98694236664538</v>
      </c>
      <c r="AS278" s="3535">
        <v>112.18769906075576</v>
      </c>
      <c r="AT278" s="3535">
        <v>90.549977405279606</v>
      </c>
      <c r="AU278" s="3535">
        <v>197.03088247349893</v>
      </c>
      <c r="AV278" s="3535">
        <v>169.94811767859565</v>
      </c>
      <c r="AW278" s="3535">
        <v>167.56576160078043</v>
      </c>
      <c r="AX278" s="3535">
        <v>124.96720653099499</v>
      </c>
      <c r="AY278" s="3535">
        <v>144.1824644549763</v>
      </c>
      <c r="AZ278" s="3535">
        <v>101.73100761500406</v>
      </c>
      <c r="BA278" s="3535">
        <v>124.18541359448847</v>
      </c>
      <c r="BB278" s="3535">
        <v>167.37824275604584</v>
      </c>
      <c r="BC278" s="3535">
        <v>155.46108261331739</v>
      </c>
      <c r="BD278" s="3535">
        <v>141.28193002546962</v>
      </c>
      <c r="BE278" s="3535">
        <v>173.30916771731665</v>
      </c>
      <c r="BF278" s="3535">
        <v>183.55559128835003</v>
      </c>
      <c r="BG278" s="3535">
        <v>218.44384151197173</v>
      </c>
      <c r="BH278" s="3535">
        <v>148.82332945467195</v>
      </c>
      <c r="BI278" s="3535">
        <v>102.46966081571969</v>
      </c>
      <c r="BJ278" s="3535">
        <v>88.914685729655972</v>
      </c>
      <c r="BK278" s="3535">
        <v>147.5057351156232</v>
      </c>
      <c r="BL278" s="3535">
        <v>124.40563634355779</v>
      </c>
      <c r="BM278" s="3535">
        <v>115.33640085672624</v>
      </c>
      <c r="BN278" s="3535">
        <v>118.41279106317782</v>
      </c>
      <c r="BO278" s="3535">
        <v>136.14864604504257</v>
      </c>
      <c r="BP278" s="3535">
        <v>112.84512066040915</v>
      </c>
      <c r="BQ278" s="3535">
        <v>146.98106790182371</v>
      </c>
      <c r="BR278" s="3535">
        <v>92.591021872469483</v>
      </c>
      <c r="BS278" s="3535">
        <v>203.82601419269463</v>
      </c>
      <c r="BT278" s="3535">
        <v>123.13080129259195</v>
      </c>
      <c r="BU278" s="3535">
        <v>244.53149609912549</v>
      </c>
      <c r="BV278" s="3535">
        <v>161.58221056050584</v>
      </c>
      <c r="BW278" s="3535">
        <v>343.64814148488529</v>
      </c>
      <c r="BX278" s="3535">
        <v>111.59370097873079</v>
      </c>
      <c r="BY278" s="3535">
        <v>116.48584270111746</v>
      </c>
      <c r="BZ278" s="3535">
        <v>136.20395313548048</v>
      </c>
      <c r="CA278" s="3535">
        <v>225.66307071766144</v>
      </c>
      <c r="CB278" s="3535">
        <v>176.92640450498652</v>
      </c>
      <c r="CC278" s="3535">
        <v>91.079168576888279</v>
      </c>
      <c r="CD278" s="3535">
        <v>160.70105197900003</v>
      </c>
      <c r="CE278" s="3535">
        <v>554.83753704789081</v>
      </c>
      <c r="CF278" s="3535">
        <v>119.6288503962507</v>
      </c>
      <c r="CG278" s="3535">
        <v>136.27415104720808</v>
      </c>
      <c r="CH278" s="3535">
        <v>163.30573611448631</v>
      </c>
      <c r="CI278" s="3535">
        <v>93.060576705875192</v>
      </c>
      <c r="CJ278" s="2978">
        <v>132.1267300516111</v>
      </c>
    </row>
    <row r="279" spans="1:88">
      <c r="A279" s="53">
        <v>2016.06</v>
      </c>
      <c r="B279" s="615">
        <v>124.9916505365282</v>
      </c>
      <c r="C279" s="3535">
        <v>124.443311683305</v>
      </c>
      <c r="D279" s="358">
        <v>128.08331873903501</v>
      </c>
      <c r="E279" s="615">
        <v>134.04408137778398</v>
      </c>
      <c r="F279" s="1215">
        <v>82.1519031572617</v>
      </c>
      <c r="G279" s="1215">
        <v>252.19399538106236</v>
      </c>
      <c r="H279" s="1215">
        <v>127.29129724938959</v>
      </c>
      <c r="I279" s="1215">
        <v>217.83918932769933</v>
      </c>
      <c r="J279" s="1215">
        <v>191.97251776598111</v>
      </c>
      <c r="K279" s="1215">
        <v>114.98504791259859</v>
      </c>
      <c r="L279" s="1215">
        <v>145.4450637062657</v>
      </c>
      <c r="M279" s="1215">
        <v>121.64780036058256</v>
      </c>
      <c r="N279" s="1215">
        <v>116.13253206117187</v>
      </c>
      <c r="O279" s="1215">
        <v>150.3821373377983</v>
      </c>
      <c r="P279" s="1215">
        <v>103.2427835337669</v>
      </c>
      <c r="Q279" s="1215">
        <v>119.55713835979454</v>
      </c>
      <c r="R279" s="2661">
        <v>154.37980294020113</v>
      </c>
      <c r="S279" s="3535">
        <v>54.457510243809779</v>
      </c>
      <c r="T279" s="3535">
        <v>4.3925542626721654</v>
      </c>
      <c r="U279" s="3535">
        <v>78.483975513143676</v>
      </c>
      <c r="V279" s="3535">
        <v>130.64792456729958</v>
      </c>
      <c r="W279" s="3535">
        <v>367.57592160283957</v>
      </c>
      <c r="X279" s="3535">
        <v>125.45460723022561</v>
      </c>
      <c r="Y279" s="3535">
        <v>123.73875671807954</v>
      </c>
      <c r="Z279" s="3535">
        <v>89.942679192583569</v>
      </c>
      <c r="AA279" s="3535">
        <v>112.10814824663827</v>
      </c>
      <c r="AB279" s="3535">
        <v>110.76925805812056</v>
      </c>
      <c r="AC279" s="3535">
        <v>68.260715115737455</v>
      </c>
      <c r="AD279" s="3535">
        <v>165.05105220818945</v>
      </c>
      <c r="AE279" s="3535">
        <v>107.27514984908085</v>
      </c>
      <c r="AF279" s="3535">
        <v>93.840551140306872</v>
      </c>
      <c r="AG279" s="3535">
        <v>105.71768415569827</v>
      </c>
      <c r="AH279" s="3535">
        <v>117.82028911728355</v>
      </c>
      <c r="AI279" s="3535">
        <v>113.29987978224041</v>
      </c>
      <c r="AJ279" s="3535">
        <v>140.24533930986621</v>
      </c>
      <c r="AK279" s="3535">
        <v>105.91891894773046</v>
      </c>
      <c r="AL279" s="3535">
        <v>212.01011567948242</v>
      </c>
      <c r="AM279" s="3535">
        <v>49.219853033489827</v>
      </c>
      <c r="AN279" s="3535">
        <v>93.297593871145679</v>
      </c>
      <c r="AO279" s="3535">
        <v>135.75660397981281</v>
      </c>
      <c r="AP279" s="3535">
        <v>130.69345537082529</v>
      </c>
      <c r="AQ279" s="3535">
        <v>76.680912418316993</v>
      </c>
      <c r="AR279" s="3535">
        <v>78.677330252115198</v>
      </c>
      <c r="AS279" s="3535">
        <v>79.802390012808132</v>
      </c>
      <c r="AT279" s="3535">
        <v>81.139710365637768</v>
      </c>
      <c r="AU279" s="3535">
        <v>204.27828656739959</v>
      </c>
      <c r="AV279" s="3535">
        <v>157.3213484088518</v>
      </c>
      <c r="AW279" s="3535">
        <v>171.93559501827792</v>
      </c>
      <c r="AX279" s="3535">
        <v>114.31556632437254</v>
      </c>
      <c r="AY279" s="3535">
        <v>134.89028436018958</v>
      </c>
      <c r="AZ279" s="3535">
        <v>97.492093534273678</v>
      </c>
      <c r="BA279" s="3535">
        <v>112.45275384272976</v>
      </c>
      <c r="BB279" s="3535">
        <v>156.69964915583628</v>
      </c>
      <c r="BC279" s="3535">
        <v>146.58640044786404</v>
      </c>
      <c r="BD279" s="3535">
        <v>132.26445061834642</v>
      </c>
      <c r="BE279" s="3535">
        <v>166.79538827946305</v>
      </c>
      <c r="BF279" s="3535">
        <v>173.62149268541822</v>
      </c>
      <c r="BG279" s="3535">
        <v>191.64805346585968</v>
      </c>
      <c r="BH279" s="3535">
        <v>144.82002830522913</v>
      </c>
      <c r="BI279" s="3535">
        <v>92.974579098439023</v>
      </c>
      <c r="BJ279" s="3535">
        <v>81.225291185409475</v>
      </c>
      <c r="BK279" s="3535">
        <v>129.11148804259861</v>
      </c>
      <c r="BL279" s="3535">
        <v>114.86139295817139</v>
      </c>
      <c r="BM279" s="3535">
        <v>111.5046359986854</v>
      </c>
      <c r="BN279" s="3535">
        <v>115.38898553145798</v>
      </c>
      <c r="BO279" s="3535">
        <v>126.55861243822785</v>
      </c>
      <c r="BP279" s="3535">
        <v>109.136973587442</v>
      </c>
      <c r="BQ279" s="3535">
        <v>147.24742750186587</v>
      </c>
      <c r="BR279" s="3535">
        <v>91.217132688457966</v>
      </c>
      <c r="BS279" s="3535">
        <v>220.52861413295227</v>
      </c>
      <c r="BT279" s="3535">
        <v>126.73861424571611</v>
      </c>
      <c r="BU279" s="3535">
        <v>211.95448486565999</v>
      </c>
      <c r="BV279" s="3535">
        <v>149.937904774553</v>
      </c>
      <c r="BW279" s="3535">
        <v>301.94473540015827</v>
      </c>
      <c r="BX279" s="3535">
        <v>106.68272908511044</v>
      </c>
      <c r="BY279" s="3535">
        <v>115.77811592300344</v>
      </c>
      <c r="BZ279" s="3535">
        <v>133.6557079686809</v>
      </c>
      <c r="CA279" s="3535">
        <v>227.00157847087436</v>
      </c>
      <c r="CB279" s="3535">
        <v>168.57254990065678</v>
      </c>
      <c r="CC279" s="3535">
        <v>87.567171857534404</v>
      </c>
      <c r="CD279" s="3535">
        <v>152.07372489574666</v>
      </c>
      <c r="CE279" s="3535">
        <v>513.10581253021314</v>
      </c>
      <c r="CF279" s="3535">
        <v>114.45126860735766</v>
      </c>
      <c r="CG279" s="3535">
        <v>131.48466334758101</v>
      </c>
      <c r="CH279" s="3535">
        <v>142.72604193336349</v>
      </c>
      <c r="CI279" s="3535">
        <v>117.48915167483878</v>
      </c>
      <c r="CJ279" s="2978">
        <v>124.99165053652817</v>
      </c>
    </row>
    <row r="280" spans="1:88">
      <c r="A280" s="53">
        <v>2016.07</v>
      </c>
      <c r="B280" s="615">
        <v>126.76147447449927</v>
      </c>
      <c r="C280" s="3535">
        <v>126.76517610475599</v>
      </c>
      <c r="D280" s="358">
        <v>127.53111904062099</v>
      </c>
      <c r="E280" s="615">
        <v>137.26341179592265</v>
      </c>
      <c r="F280" s="1215">
        <v>81.20723108591578</v>
      </c>
      <c r="G280" s="1215">
        <v>239.72286374133947</v>
      </c>
      <c r="H280" s="1215">
        <v>128.55026616367081</v>
      </c>
      <c r="I280" s="1215">
        <v>204.29386092803256</v>
      </c>
      <c r="J280" s="1215">
        <v>183.35352420482661</v>
      </c>
      <c r="K280" s="1215">
        <v>113.8049976206958</v>
      </c>
      <c r="L280" s="1215">
        <v>151.43338069044788</v>
      </c>
      <c r="M280" s="1215">
        <v>118.56436597136792</v>
      </c>
      <c r="N280" s="1215">
        <v>155.29197706915377</v>
      </c>
      <c r="O280" s="1215">
        <v>144.36983527157511</v>
      </c>
      <c r="P280" s="1215">
        <v>124.22592601025933</v>
      </c>
      <c r="Q280" s="1215">
        <v>123.5951986566876</v>
      </c>
      <c r="R280" s="2661">
        <v>160.38699529918156</v>
      </c>
      <c r="S280" s="3535">
        <v>58.914621933981117</v>
      </c>
      <c r="T280" s="3535">
        <v>0.5439883454791492</v>
      </c>
      <c r="U280" s="3535">
        <v>86.927030477624655</v>
      </c>
      <c r="V280" s="3535">
        <v>124.15173810271379</v>
      </c>
      <c r="W280" s="3535">
        <v>306.0119446025866</v>
      </c>
      <c r="X280" s="3535">
        <v>122.32970916009786</v>
      </c>
      <c r="Y280" s="3535">
        <v>117.41315727240902</v>
      </c>
      <c r="Z280" s="3535">
        <v>93.000500193857761</v>
      </c>
      <c r="AA280" s="3535">
        <v>108.36203643335836</v>
      </c>
      <c r="AB280" s="3535">
        <v>112.77382553229388</v>
      </c>
      <c r="AC280" s="3535">
        <v>64.931272251688426</v>
      </c>
      <c r="AD280" s="3535">
        <v>136.42237130930911</v>
      </c>
      <c r="AE280" s="3535">
        <v>109.10479157528621</v>
      </c>
      <c r="AF280" s="3535">
        <v>98.748598818186466</v>
      </c>
      <c r="AG280" s="3535">
        <v>106.37715888371005</v>
      </c>
      <c r="AH280" s="3535">
        <v>118.71105265925421</v>
      </c>
      <c r="AI280" s="3535">
        <v>115.44027678462089</v>
      </c>
      <c r="AJ280" s="3535">
        <v>144.18732386334392</v>
      </c>
      <c r="AK280" s="3535">
        <v>101.36587504265944</v>
      </c>
      <c r="AL280" s="3535">
        <v>216.53356585530159</v>
      </c>
      <c r="AM280" s="3535">
        <v>66.546120236026781</v>
      </c>
      <c r="AN280" s="3535">
        <v>101.14688882076602</v>
      </c>
      <c r="AO280" s="3535">
        <v>145.57893442430841</v>
      </c>
      <c r="AP280" s="3535">
        <v>127.41848657967063</v>
      </c>
      <c r="AQ280" s="3535">
        <v>91.448019260253616</v>
      </c>
      <c r="AR280" s="3535">
        <v>118.33059766738148</v>
      </c>
      <c r="AS280" s="3535">
        <v>100.84676464662981</v>
      </c>
      <c r="AT280" s="3535">
        <v>90.932092276813918</v>
      </c>
      <c r="AU280" s="3535">
        <v>201.67500307301088</v>
      </c>
      <c r="AV280" s="3535">
        <v>163.1330027212511</v>
      </c>
      <c r="AW280" s="3535">
        <v>163.31798703307541</v>
      </c>
      <c r="AX280" s="3535">
        <v>118.30104924141786</v>
      </c>
      <c r="AY280" s="3535">
        <v>144.26587677725121</v>
      </c>
      <c r="AZ280" s="3535">
        <v>96.193380685365938</v>
      </c>
      <c r="BA280" s="3535">
        <v>116.06185263042266</v>
      </c>
      <c r="BB280" s="3535">
        <v>160.47095814056402</v>
      </c>
      <c r="BC280" s="3535">
        <v>152.60662923367465</v>
      </c>
      <c r="BD280" s="3535">
        <v>138.85732452300005</v>
      </c>
      <c r="BE280" s="3535">
        <v>166.82512893613995</v>
      </c>
      <c r="BF280" s="3535">
        <v>170.12393358813625</v>
      </c>
      <c r="BG280" s="3535">
        <v>196.43598525088711</v>
      </c>
      <c r="BH280" s="3535">
        <v>148.05781752505538</v>
      </c>
      <c r="BI280" s="3535">
        <v>95.548472726987143</v>
      </c>
      <c r="BJ280" s="3535">
        <v>84.651333703719416</v>
      </c>
      <c r="BK280" s="3535">
        <v>133.9008510206794</v>
      </c>
      <c r="BL280" s="3535">
        <v>111.05624978355131</v>
      </c>
      <c r="BM280" s="3535">
        <v>113.57456180127978</v>
      </c>
      <c r="BN280" s="3535">
        <v>111.63136588294489</v>
      </c>
      <c r="BO280" s="3535">
        <v>132.89774049860102</v>
      </c>
      <c r="BP280" s="3535">
        <v>112.89786000709917</v>
      </c>
      <c r="BQ280" s="3535">
        <v>136.92596667642425</v>
      </c>
      <c r="BR280" s="3535">
        <v>88.752285556183338</v>
      </c>
      <c r="BS280" s="3535">
        <v>205.9614540343558</v>
      </c>
      <c r="BT280" s="3535">
        <v>115.59175260761536</v>
      </c>
      <c r="BU280" s="3535">
        <v>186.12722275966976</v>
      </c>
      <c r="BV280" s="3535">
        <v>144.36431609094819</v>
      </c>
      <c r="BW280" s="3535">
        <v>296.35966361452</v>
      </c>
      <c r="BX280" s="3535">
        <v>99.978441641208093</v>
      </c>
      <c r="BY280" s="3535">
        <v>112.81201209932861</v>
      </c>
      <c r="BZ280" s="3535">
        <v>129.05932147449377</v>
      </c>
      <c r="CA280" s="3535">
        <v>214.70887577570016</v>
      </c>
      <c r="CB280" s="3535">
        <v>162.43243647185514</v>
      </c>
      <c r="CC280" s="3535">
        <v>86.595065019347985</v>
      </c>
      <c r="CD280" s="3535">
        <v>154.18998162288725</v>
      </c>
      <c r="CE280" s="3535">
        <v>514.88900127326963</v>
      </c>
      <c r="CF280" s="3535">
        <v>116.60223370558617</v>
      </c>
      <c r="CG280" s="3535">
        <v>131.87703089265747</v>
      </c>
      <c r="CH280" s="3535">
        <v>140.42115513982321</v>
      </c>
      <c r="CI280" s="3535">
        <v>121.39006338073573</v>
      </c>
      <c r="CJ280" s="2978">
        <v>126.76147447449925</v>
      </c>
    </row>
    <row r="281" spans="1:88">
      <c r="A281" s="53">
        <v>2016.08</v>
      </c>
      <c r="B281" s="615">
        <v>133.7329827733621</v>
      </c>
      <c r="C281" s="3535">
        <v>124.273910600048</v>
      </c>
      <c r="D281" s="358">
        <v>127.407416484176</v>
      </c>
      <c r="E281" s="615">
        <v>151.47051550639057</v>
      </c>
      <c r="F281" s="1215">
        <v>90.545304558177989</v>
      </c>
      <c r="G281" s="1215">
        <v>259.12240184757502</v>
      </c>
      <c r="H281" s="1215">
        <v>146.18043885687896</v>
      </c>
      <c r="I281" s="1215">
        <v>213.57759518771005</v>
      </c>
      <c r="J281" s="1215">
        <v>173.45115745781564</v>
      </c>
      <c r="K281" s="1215">
        <v>122.43608646039341</v>
      </c>
      <c r="L281" s="1215">
        <v>173.4592920941059</v>
      </c>
      <c r="M281" s="1215">
        <v>131.72372487164273</v>
      </c>
      <c r="N281" s="1215">
        <v>188.36480621814187</v>
      </c>
      <c r="O281" s="1215">
        <v>140.54422932797743</v>
      </c>
      <c r="P281" s="1215">
        <v>145.50493698110603</v>
      </c>
      <c r="Q281" s="1215">
        <v>165.02486944370969</v>
      </c>
      <c r="R281" s="2661">
        <v>171.0375840343726</v>
      </c>
      <c r="S281" s="3535">
        <v>65.994223319716099</v>
      </c>
      <c r="T281" s="3535">
        <v>0</v>
      </c>
      <c r="U281" s="3535">
        <v>97.665237175500067</v>
      </c>
      <c r="V281" s="3535">
        <v>121.54443748097623</v>
      </c>
      <c r="W281" s="3535">
        <v>216.93518839411126</v>
      </c>
      <c r="X281" s="3535">
        <v>130.86055993476492</v>
      </c>
      <c r="Y281" s="3535">
        <v>125.3317010007997</v>
      </c>
      <c r="Z281" s="3535">
        <v>93.724925271250683</v>
      </c>
      <c r="AA281" s="3535">
        <v>128.15449445873858</v>
      </c>
      <c r="AB281" s="3535">
        <v>127.13615569326913</v>
      </c>
      <c r="AC281" s="3535">
        <v>67.261160653444037</v>
      </c>
      <c r="AD281" s="3535">
        <v>198.10574195186601</v>
      </c>
      <c r="AE281" s="3535">
        <v>115.60619562020312</v>
      </c>
      <c r="AF281" s="3535">
        <v>103.170907215645</v>
      </c>
      <c r="AG281" s="3535">
        <v>107.99989373872425</v>
      </c>
      <c r="AH281" s="3535">
        <v>131.33136895206994</v>
      </c>
      <c r="AI281" s="3535">
        <v>112.01827843613505</v>
      </c>
      <c r="AJ281" s="3535">
        <v>135.3025074838792</v>
      </c>
      <c r="AK281" s="3535">
        <v>95.37013387252783</v>
      </c>
      <c r="AL281" s="3535">
        <v>188.87451256650471</v>
      </c>
      <c r="AM281" s="3535">
        <v>77.340467868706611</v>
      </c>
      <c r="AN281" s="3535">
        <v>107.04828541717356</v>
      </c>
      <c r="AO281" s="3535">
        <v>145.12974375773439</v>
      </c>
      <c r="AP281" s="3535">
        <v>132.58273315612382</v>
      </c>
      <c r="AQ281" s="3535">
        <v>86.649348977129236</v>
      </c>
      <c r="AR281" s="3535">
        <v>123.43071243424798</v>
      </c>
      <c r="AS281" s="3535">
        <v>90.60408941541273</v>
      </c>
      <c r="AT281" s="3535">
        <v>113.57162724542245</v>
      </c>
      <c r="AU281" s="3535">
        <v>195.49364991774431</v>
      </c>
      <c r="AV281" s="3535">
        <v>158.60456022638121</v>
      </c>
      <c r="AW281" s="3535">
        <v>184.48404506140582</v>
      </c>
      <c r="AX281" s="3535">
        <v>128.20030794803392</v>
      </c>
      <c r="AY281" s="3535">
        <v>142.70509478672986</v>
      </c>
      <c r="AZ281" s="3535">
        <v>96.848087587522443</v>
      </c>
      <c r="BA281" s="3535">
        <v>129.36862107664629</v>
      </c>
      <c r="BB281" s="3535">
        <v>177.6376893441039</v>
      </c>
      <c r="BC281" s="3535">
        <v>137.2663268947706</v>
      </c>
      <c r="BD281" s="3535">
        <v>145.99622686042193</v>
      </c>
      <c r="BE281" s="3535">
        <v>196.10720387459997</v>
      </c>
      <c r="BF281" s="3535">
        <v>198.86100844741753</v>
      </c>
      <c r="BG281" s="3535">
        <v>244.17308182581513</v>
      </c>
      <c r="BH281" s="3535">
        <v>162.71424489565001</v>
      </c>
      <c r="BI281" s="3535">
        <v>76.090782971599722</v>
      </c>
      <c r="BJ281" s="3535">
        <v>55.660004988817668</v>
      </c>
      <c r="BK281" s="3535">
        <v>138.03219757486914</v>
      </c>
      <c r="BL281" s="3535">
        <v>115.03822929348232</v>
      </c>
      <c r="BM281" s="3535">
        <v>118.71793865872334</v>
      </c>
      <c r="BN281" s="3535">
        <v>121.5950977142887</v>
      </c>
      <c r="BO281" s="3535">
        <v>147.15823839408867</v>
      </c>
      <c r="BP281" s="3535">
        <v>115.76591336424542</v>
      </c>
      <c r="BQ281" s="3535">
        <v>148.44097593621655</v>
      </c>
      <c r="BR281" s="3535">
        <v>107.7179268141513</v>
      </c>
      <c r="BS281" s="3535">
        <v>205.55139598006858</v>
      </c>
      <c r="BT281" s="3535">
        <v>127.7806855556648</v>
      </c>
      <c r="BU281" s="3535">
        <v>196.56386994045678</v>
      </c>
      <c r="BV281" s="3535">
        <v>161.56578953532099</v>
      </c>
      <c r="BW281" s="3535">
        <v>342.88542475371105</v>
      </c>
      <c r="BX281" s="3535">
        <v>111.90830306323453</v>
      </c>
      <c r="BY281" s="3535">
        <v>116.36455970824143</v>
      </c>
      <c r="BZ281" s="3535">
        <v>146.19191001328073</v>
      </c>
      <c r="CA281" s="3535">
        <v>251.20648657696483</v>
      </c>
      <c r="CB281" s="3535">
        <v>186.08016070892074</v>
      </c>
      <c r="CC281" s="3535">
        <v>94.26224634011048</v>
      </c>
      <c r="CD281" s="3535">
        <v>174.55374077423312</v>
      </c>
      <c r="CE281" s="3535">
        <v>660.23267415018256</v>
      </c>
      <c r="CF281" s="3535">
        <v>123.94207752609462</v>
      </c>
      <c r="CG281" s="3535">
        <v>140.77998828630686</v>
      </c>
      <c r="CH281" s="3535">
        <v>166.97131728533626</v>
      </c>
      <c r="CI281" s="3535">
        <v>101.43455273413224</v>
      </c>
      <c r="CJ281" s="2978">
        <v>133.7329827733621</v>
      </c>
    </row>
    <row r="282" spans="1:88">
      <c r="A282" s="53">
        <v>2016.09</v>
      </c>
      <c r="B282" s="615">
        <v>135.51789212141713</v>
      </c>
      <c r="C282" s="3535">
        <v>128.299898749607</v>
      </c>
      <c r="D282" s="358">
        <v>127.611731321078</v>
      </c>
      <c r="E282" s="615">
        <v>146.86194873690607</v>
      </c>
      <c r="F282" s="1215">
        <v>85.970188632451965</v>
      </c>
      <c r="G282" s="1215">
        <v>245.26558891454962</v>
      </c>
      <c r="H282" s="1215">
        <v>142.87908748664728</v>
      </c>
      <c r="I282" s="1215">
        <v>224.99221633920482</v>
      </c>
      <c r="J282" s="1215">
        <v>161.52964211750466</v>
      </c>
      <c r="K282" s="1215">
        <v>118.00025323224898</v>
      </c>
      <c r="L282" s="1215">
        <v>164.4157796319092</v>
      </c>
      <c r="M282" s="1215">
        <v>126.13736340311517</v>
      </c>
      <c r="N282" s="1215">
        <v>195.74879967152791</v>
      </c>
      <c r="O282" s="1215">
        <v>121.81835804793641</v>
      </c>
      <c r="P282" s="1215">
        <v>156.25052828894079</v>
      </c>
      <c r="Q282" s="1215">
        <v>149.90340280180931</v>
      </c>
      <c r="R282" s="2661">
        <v>159.83490595735609</v>
      </c>
      <c r="S282" s="3535">
        <v>69.438846684941495</v>
      </c>
      <c r="T282" s="3535">
        <v>0</v>
      </c>
      <c r="U282" s="3535">
        <v>102.76295544570661</v>
      </c>
      <c r="V282" s="3535">
        <v>107.79925009361489</v>
      </c>
      <c r="W282" s="3535">
        <v>103.89729043125134</v>
      </c>
      <c r="X282" s="3535">
        <v>114.73878771405272</v>
      </c>
      <c r="Y282" s="3535">
        <v>119.37408918502824</v>
      </c>
      <c r="Z282" s="3535">
        <v>95.263217668306424</v>
      </c>
      <c r="AA282" s="3535">
        <v>128.20467559086268</v>
      </c>
      <c r="AB282" s="3535">
        <v>129.30763289114242</v>
      </c>
      <c r="AC282" s="3535">
        <v>67.585100817650002</v>
      </c>
      <c r="AD282" s="3535">
        <v>188.84791637774006</v>
      </c>
      <c r="AE282" s="3535">
        <v>112.3038622089752</v>
      </c>
      <c r="AF282" s="3535">
        <v>107.87625828425165</v>
      </c>
      <c r="AG282" s="3535">
        <v>107.59901634701762</v>
      </c>
      <c r="AH282" s="3535">
        <v>119.83458213221472</v>
      </c>
      <c r="AI282" s="3535">
        <v>115.66986166012596</v>
      </c>
      <c r="AJ282" s="3535">
        <v>144.45099996726961</v>
      </c>
      <c r="AK282" s="3535">
        <v>96.927914332552646</v>
      </c>
      <c r="AL282" s="3535">
        <v>136.07263954035551</v>
      </c>
      <c r="AM282" s="3535">
        <v>82.426387633857786</v>
      </c>
      <c r="AN282" s="3535">
        <v>118.07795153526651</v>
      </c>
      <c r="AO282" s="3535">
        <v>153.5491565594138</v>
      </c>
      <c r="AP282" s="3535">
        <v>128.63690870142111</v>
      </c>
      <c r="AQ282" s="3535">
        <v>98.729631835753139</v>
      </c>
      <c r="AR282" s="3535">
        <v>132.96018677908987</v>
      </c>
      <c r="AS282" s="3535">
        <v>99.254503050252367</v>
      </c>
      <c r="AT282" s="3535">
        <v>138.4885122589846</v>
      </c>
      <c r="AU282" s="3535">
        <v>199.75842505399226</v>
      </c>
      <c r="AV282" s="3535">
        <v>168.90860353547498</v>
      </c>
      <c r="AW282" s="3535">
        <v>188.80856856337005</v>
      </c>
      <c r="AX282" s="3535">
        <v>133.63721097688818</v>
      </c>
      <c r="AY282" s="3535">
        <v>139.58815165876777</v>
      </c>
      <c r="AZ282" s="3535">
        <v>101.18855813559853</v>
      </c>
      <c r="BA282" s="3535">
        <v>136.61002364160916</v>
      </c>
      <c r="BB282" s="3535">
        <v>174.20476604840681</v>
      </c>
      <c r="BC282" s="3535">
        <v>128.5148626714919</v>
      </c>
      <c r="BD282" s="3535">
        <v>148.66480108715788</v>
      </c>
      <c r="BE282" s="3535">
        <v>193.43764415624079</v>
      </c>
      <c r="BF282" s="3535">
        <v>196.29646165250369</v>
      </c>
      <c r="BG282" s="3535">
        <v>237.34241026688497</v>
      </c>
      <c r="BH282" s="3535">
        <v>158.44922474626395</v>
      </c>
      <c r="BI282" s="3535">
        <v>95.362564310308741</v>
      </c>
      <c r="BJ282" s="3535">
        <v>84.784592114538697</v>
      </c>
      <c r="BK282" s="3535">
        <v>131.2926207377142</v>
      </c>
      <c r="BL282" s="3535">
        <v>111.70312838166005</v>
      </c>
      <c r="BM282" s="3535">
        <v>121.44157684825966</v>
      </c>
      <c r="BN282" s="3535">
        <v>123.34662892168222</v>
      </c>
      <c r="BO282" s="3535">
        <v>159.03593744184846</v>
      </c>
      <c r="BP282" s="3535">
        <v>118.18654903830279</v>
      </c>
      <c r="BQ282" s="3535">
        <v>159.62476225333626</v>
      </c>
      <c r="BR282" s="3535">
        <v>115.8265778784662</v>
      </c>
      <c r="BS282" s="3535">
        <v>233.82842219690147</v>
      </c>
      <c r="BT282" s="3535">
        <v>122.34323749098918</v>
      </c>
      <c r="BU282" s="3535">
        <v>208.81117203595986</v>
      </c>
      <c r="BV282" s="3535">
        <v>165.64788729693007</v>
      </c>
      <c r="BW282" s="3535">
        <v>373.59794502607571</v>
      </c>
      <c r="BX282" s="3535">
        <v>107.9897390348092</v>
      </c>
      <c r="BY282" s="3535">
        <v>115.43311170227967</v>
      </c>
      <c r="BZ282" s="3535">
        <v>141.05773996372108</v>
      </c>
      <c r="CA282" s="3535">
        <v>244.94474551004996</v>
      </c>
      <c r="CB282" s="3535">
        <v>167.20920960024372</v>
      </c>
      <c r="CC282" s="3535">
        <v>91.436953459648791</v>
      </c>
      <c r="CD282" s="3535">
        <v>184.44227503832545</v>
      </c>
      <c r="CE282" s="3535">
        <v>721.32039947442479</v>
      </c>
      <c r="CF282" s="3535">
        <v>128.49524301373728</v>
      </c>
      <c r="CG282" s="3535">
        <v>137.10090750204151</v>
      </c>
      <c r="CH282" s="3535">
        <v>158.10644723453146</v>
      </c>
      <c r="CI282" s="3535">
        <v>102.15362585418006</v>
      </c>
      <c r="CJ282" s="2978">
        <v>135.51789212141708</v>
      </c>
    </row>
    <row r="283" spans="1:88">
      <c r="A283" s="53">
        <v>2016.1</v>
      </c>
      <c r="B283" s="615">
        <v>133.34114128281072</v>
      </c>
      <c r="C283" s="3535">
        <v>127.52701084836301</v>
      </c>
      <c r="D283" s="358">
        <v>128.006697048663</v>
      </c>
      <c r="E283" s="615">
        <v>144.68042812430696</v>
      </c>
      <c r="F283" s="1215">
        <v>85.021025041328784</v>
      </c>
      <c r="G283" s="1215">
        <v>234.18013856812934</v>
      </c>
      <c r="H283" s="1215">
        <v>133.88839623590445</v>
      </c>
      <c r="I283" s="1215">
        <v>223.82058993861759</v>
      </c>
      <c r="J283" s="1215">
        <v>167.05382388300197</v>
      </c>
      <c r="K283" s="1215">
        <v>118.42832046373285</v>
      </c>
      <c r="L283" s="1215">
        <v>132.08394789081908</v>
      </c>
      <c r="M283" s="1215">
        <v>116.94066277604182</v>
      </c>
      <c r="N283" s="1215">
        <v>184.68198164289782</v>
      </c>
      <c r="O283" s="1215">
        <v>114.59359902370109</v>
      </c>
      <c r="P283" s="1215">
        <v>173.86325180044878</v>
      </c>
      <c r="Q283" s="1215">
        <v>146.24540133782168</v>
      </c>
      <c r="R283" s="2661">
        <v>157.66810919292121</v>
      </c>
      <c r="S283" s="3535">
        <v>46.364382744959926</v>
      </c>
      <c r="T283" s="3535">
        <v>0</v>
      </c>
      <c r="U283" s="3535">
        <v>68.614921268864393</v>
      </c>
      <c r="V283" s="3535">
        <v>92.943569100660781</v>
      </c>
      <c r="W283" s="3535">
        <v>38.632602753343129</v>
      </c>
      <c r="X283" s="3535">
        <v>106.59907583582495</v>
      </c>
      <c r="Y283" s="3535">
        <v>110.1898745564022</v>
      </c>
      <c r="Z283" s="3535">
        <v>82.626832450114435</v>
      </c>
      <c r="AA283" s="3535">
        <v>122.99367627105732</v>
      </c>
      <c r="AB283" s="3535">
        <v>123.66893229288894</v>
      </c>
      <c r="AC283" s="3535">
        <v>67.567093390266606</v>
      </c>
      <c r="AD283" s="3535">
        <v>179.85766892455209</v>
      </c>
      <c r="AE283" s="3535">
        <v>116.20728885179832</v>
      </c>
      <c r="AF283" s="3535">
        <v>108.60957439755767</v>
      </c>
      <c r="AG283" s="3535">
        <v>112.62722636726755</v>
      </c>
      <c r="AH283" s="3535">
        <v>124.78249146265078</v>
      </c>
      <c r="AI283" s="3535">
        <v>117.10393156966144</v>
      </c>
      <c r="AJ283" s="3535">
        <v>151.96917692720194</v>
      </c>
      <c r="AK283" s="3535">
        <v>103.32520961161791</v>
      </c>
      <c r="AL283" s="3535">
        <v>114.21983445920436</v>
      </c>
      <c r="AM283" s="3535">
        <v>88.80422951078846</v>
      </c>
      <c r="AN283" s="3535">
        <v>113.37414076574878</v>
      </c>
      <c r="AO283" s="3535">
        <v>150.57608224534826</v>
      </c>
      <c r="AP283" s="3535">
        <v>124.84279708086012</v>
      </c>
      <c r="AQ283" s="3535">
        <v>100.12798717471314</v>
      </c>
      <c r="AR283" s="3535">
        <v>144.63128590991127</v>
      </c>
      <c r="AS283" s="3535">
        <v>105.17458570006208</v>
      </c>
      <c r="AT283" s="3535">
        <v>137.63342071825869</v>
      </c>
      <c r="AU283" s="3535">
        <v>185.0651266019735</v>
      </c>
      <c r="AV283" s="3535">
        <v>162.68963577432228</v>
      </c>
      <c r="AW283" s="3535">
        <v>186.37188270568038</v>
      </c>
      <c r="AX283" s="3535">
        <v>129.46612223508538</v>
      </c>
      <c r="AY283" s="3535">
        <v>143.63744075829382</v>
      </c>
      <c r="AZ283" s="3535">
        <v>93.512330552436026</v>
      </c>
      <c r="BA283" s="3535">
        <v>131.28517564683864</v>
      </c>
      <c r="BB283" s="3535">
        <v>169.28449214246567</v>
      </c>
      <c r="BC283" s="3535">
        <v>138.54365387896479</v>
      </c>
      <c r="BD283" s="3535">
        <v>145.24746512832746</v>
      </c>
      <c r="BE283" s="3535">
        <v>183.69748315695475</v>
      </c>
      <c r="BF283" s="3535">
        <v>184.68360419745588</v>
      </c>
      <c r="BG283" s="3535">
        <v>221.62036851597023</v>
      </c>
      <c r="BH283" s="3535">
        <v>154.66397317860088</v>
      </c>
      <c r="BI283" s="3535">
        <v>98.446361929932451</v>
      </c>
      <c r="BJ283" s="3535">
        <v>86.855555162101041</v>
      </c>
      <c r="BK283" s="3535">
        <v>149.83803353063129</v>
      </c>
      <c r="BL283" s="3535">
        <v>104.44144712841852</v>
      </c>
      <c r="BM283" s="3535">
        <v>114.80700557723982</v>
      </c>
      <c r="BN283" s="3535">
        <v>121.02114963502979</v>
      </c>
      <c r="BO283" s="3535">
        <v>161.64056074252105</v>
      </c>
      <c r="BP283" s="3535">
        <v>109.4425037524698</v>
      </c>
      <c r="BQ283" s="3535">
        <v>163.43830595974003</v>
      </c>
      <c r="BR283" s="3535">
        <v>118.76585087355028</v>
      </c>
      <c r="BS283" s="3535">
        <v>245.23394058735548</v>
      </c>
      <c r="BT283" s="3535">
        <v>113.7687007722253</v>
      </c>
      <c r="BU283" s="3535">
        <v>219.18906548650975</v>
      </c>
      <c r="BV283" s="3535">
        <v>153.65794166055906</v>
      </c>
      <c r="BW283" s="3535">
        <v>328.30391038490342</v>
      </c>
      <c r="BX283" s="3535">
        <v>104.34857617049109</v>
      </c>
      <c r="BY283" s="3535">
        <v>113.51921972451925</v>
      </c>
      <c r="BZ283" s="3535">
        <v>137.15451009978426</v>
      </c>
      <c r="CA283" s="3535">
        <v>213.40153351531094</v>
      </c>
      <c r="CB283" s="3535">
        <v>180.64965854921945</v>
      </c>
      <c r="CC283" s="3535">
        <v>97.537849988588718</v>
      </c>
      <c r="CD283" s="3535">
        <v>172.21683939907368</v>
      </c>
      <c r="CE283" s="3535">
        <v>737.72708435934385</v>
      </c>
      <c r="CF283" s="3535">
        <v>113.28610941588428</v>
      </c>
      <c r="CG283" s="3535">
        <v>140.04755378962471</v>
      </c>
      <c r="CH283" s="3535">
        <v>154.72947700636834</v>
      </c>
      <c r="CI283" s="3535">
        <v>120.28969285982576</v>
      </c>
      <c r="CJ283" s="2978">
        <v>133.34114128281075</v>
      </c>
    </row>
    <row r="284" spans="1:88">
      <c r="A284" s="53">
        <v>2016.11</v>
      </c>
      <c r="B284" s="615">
        <v>134.73703178156455</v>
      </c>
      <c r="C284" s="3535">
        <v>130.90724570696599</v>
      </c>
      <c r="D284" s="358">
        <v>128.426140250126</v>
      </c>
      <c r="E284" s="615">
        <v>143.80846778552308</v>
      </c>
      <c r="F284" s="1215">
        <v>90.317161031411658</v>
      </c>
      <c r="G284" s="1215">
        <v>246.65127020785218</v>
      </c>
      <c r="H284" s="1215">
        <v>151.81135234375961</v>
      </c>
      <c r="I284" s="1215">
        <v>241.46072258539641</v>
      </c>
      <c r="J284" s="1215">
        <v>163.41850040608151</v>
      </c>
      <c r="K284" s="1215">
        <v>111.41833126238738</v>
      </c>
      <c r="L284" s="1215">
        <v>136.90870868132455</v>
      </c>
      <c r="M284" s="1215">
        <v>116.93095766653173</v>
      </c>
      <c r="N284" s="1215">
        <v>136.19459120923739</v>
      </c>
      <c r="O284" s="1215">
        <v>110.31967058036673</v>
      </c>
      <c r="P284" s="1215">
        <v>183.07013791698506</v>
      </c>
      <c r="Q284" s="1215">
        <v>130.10977185734271</v>
      </c>
      <c r="R284" s="2661">
        <v>161.96279830301896</v>
      </c>
      <c r="S284" s="3535">
        <v>63.029838673082018</v>
      </c>
      <c r="T284" s="3535">
        <v>0</v>
      </c>
      <c r="U284" s="3535">
        <v>93.278226994467559</v>
      </c>
      <c r="V284" s="3535">
        <v>97.186968542728764</v>
      </c>
      <c r="W284" s="3535">
        <v>15.586410095657465</v>
      </c>
      <c r="X284" s="3535">
        <v>114.49252514270182</v>
      </c>
      <c r="Y284" s="3535">
        <v>116.26147655282954</v>
      </c>
      <c r="Z284" s="3535">
        <v>89.112028792248253</v>
      </c>
      <c r="AA284" s="3535">
        <v>110.73824268573613</v>
      </c>
      <c r="AB284" s="3535">
        <v>111.34579079358502</v>
      </c>
      <c r="AC284" s="3535">
        <v>63.231663207332488</v>
      </c>
      <c r="AD284" s="3535">
        <v>159.35455456728121</v>
      </c>
      <c r="AE284" s="3535">
        <v>114.15025601506368</v>
      </c>
      <c r="AF284" s="3535">
        <v>106.04661706372039</v>
      </c>
      <c r="AG284" s="3535">
        <v>108.81214373456316</v>
      </c>
      <c r="AH284" s="3535">
        <v>124.76676169028822</v>
      </c>
      <c r="AI284" s="3535">
        <v>111.29837607729438</v>
      </c>
      <c r="AJ284" s="3535">
        <v>137.53070580041805</v>
      </c>
      <c r="AK284" s="3535">
        <v>100.65464008241887</v>
      </c>
      <c r="AL284" s="3535">
        <v>98.785151109686382</v>
      </c>
      <c r="AM284" s="3535">
        <v>104.30875862742393</v>
      </c>
      <c r="AN284" s="3535">
        <v>109.8105462895366</v>
      </c>
      <c r="AO284" s="3535">
        <v>151.27980690093375</v>
      </c>
      <c r="AP284" s="3535">
        <v>140.34323584077143</v>
      </c>
      <c r="AQ284" s="3535">
        <v>96.3389671531597</v>
      </c>
      <c r="AR284" s="3535">
        <v>126.06790294223111</v>
      </c>
      <c r="AS284" s="3535">
        <v>107.09363635899709</v>
      </c>
      <c r="AT284" s="3535">
        <v>135.98636177737254</v>
      </c>
      <c r="AU284" s="3535">
        <v>190.07743764326679</v>
      </c>
      <c r="AV284" s="3535">
        <v>174.24112312731668</v>
      </c>
      <c r="AW284" s="3535">
        <v>185.75346148011164</v>
      </c>
      <c r="AX284" s="3535">
        <v>130.68289997617194</v>
      </c>
      <c r="AY284" s="3535">
        <v>144.17061611374407</v>
      </c>
      <c r="AZ284" s="3535">
        <v>99.759197522238381</v>
      </c>
      <c r="BA284" s="3535">
        <v>131.99461917792016</v>
      </c>
      <c r="BB284" s="3535">
        <v>177.63508179515813</v>
      </c>
      <c r="BC284" s="3535">
        <v>136.64641173480652</v>
      </c>
      <c r="BD284" s="3535">
        <v>149.83881400534247</v>
      </c>
      <c r="BE284" s="3535">
        <v>191.624999100585</v>
      </c>
      <c r="BF284" s="3535">
        <v>194.49820671022579</v>
      </c>
      <c r="BG284" s="3535">
        <v>243.65234706555211</v>
      </c>
      <c r="BH284" s="3535">
        <v>168.30184323103973</v>
      </c>
      <c r="BI284" s="3535">
        <v>100.01489982179265</v>
      </c>
      <c r="BJ284" s="3535">
        <v>88.690863311810503</v>
      </c>
      <c r="BK284" s="3535">
        <v>138.60295580760138</v>
      </c>
      <c r="BL284" s="3535">
        <v>117.38525711554608</v>
      </c>
      <c r="BM284" s="3535">
        <v>120.91649425678182</v>
      </c>
      <c r="BN284" s="3535">
        <v>130.09103069727806</v>
      </c>
      <c r="BO284" s="3535">
        <v>177.22285391731995</v>
      </c>
      <c r="BP284" s="3535">
        <v>113.88615326448875</v>
      </c>
      <c r="BQ284" s="3535">
        <v>161.42481540854428</v>
      </c>
      <c r="BR284" s="3535">
        <v>123.99451776604438</v>
      </c>
      <c r="BS284" s="3535">
        <v>231.51934172299678</v>
      </c>
      <c r="BT284" s="3535">
        <v>114.71943986837867</v>
      </c>
      <c r="BU284" s="3535">
        <v>212.80734345111742</v>
      </c>
      <c r="BV284" s="3535">
        <v>169.28264965807207</v>
      </c>
      <c r="BW284" s="3535">
        <v>376.69496258052533</v>
      </c>
      <c r="BX284" s="3535">
        <v>113.86314140166091</v>
      </c>
      <c r="BY284" s="3535">
        <v>114.39771474603884</v>
      </c>
      <c r="BZ284" s="3535">
        <v>162.49675009738945</v>
      </c>
      <c r="CA284" s="3535">
        <v>279.87755513399776</v>
      </c>
      <c r="CB284" s="3535">
        <v>193.72922645292817</v>
      </c>
      <c r="CC284" s="3535">
        <v>106.20913020597207</v>
      </c>
      <c r="CD284" s="3535">
        <v>178.82368039086467</v>
      </c>
      <c r="CE284" s="3535">
        <v>784.69192833756665</v>
      </c>
      <c r="CF284" s="3535">
        <v>115.68732089371082</v>
      </c>
      <c r="CG284" s="3535">
        <v>144.05848853436692</v>
      </c>
      <c r="CH284" s="3535">
        <v>160.46375269730876</v>
      </c>
      <c r="CI284" s="3535">
        <v>123.50537340515962</v>
      </c>
      <c r="CJ284" s="2978">
        <v>134.7370317815645</v>
      </c>
    </row>
    <row r="285" spans="1:88">
      <c r="A285" s="53">
        <v>2016.12</v>
      </c>
      <c r="B285" s="615">
        <v>124.08230099201045</v>
      </c>
      <c r="C285" s="3535">
        <v>130.30790244885401</v>
      </c>
      <c r="D285" s="358">
        <v>128.78376683133001</v>
      </c>
      <c r="E285" s="615">
        <v>139.17574439457098</v>
      </c>
      <c r="F285" s="1215">
        <v>92.307975785692875</v>
      </c>
      <c r="G285" s="1215">
        <v>250.80831408775981</v>
      </c>
      <c r="H285" s="1215">
        <v>163.38163726817967</v>
      </c>
      <c r="I285" s="1215">
        <v>224.6618909884142</v>
      </c>
      <c r="J285" s="1215">
        <v>154.83005007467045</v>
      </c>
      <c r="K285" s="1215">
        <v>117.93768291189967</v>
      </c>
      <c r="L285" s="1215">
        <v>122.69675680542704</v>
      </c>
      <c r="M285" s="1215">
        <v>103.3545173894412</v>
      </c>
      <c r="N285" s="1215">
        <v>64.992692638262312</v>
      </c>
      <c r="O285" s="1215">
        <v>107.2668557707713</v>
      </c>
      <c r="P285" s="1215">
        <v>188.78886880558704</v>
      </c>
      <c r="Q285" s="1215">
        <v>129.02787224846318</v>
      </c>
      <c r="R285" s="2661">
        <v>175.42003705622267</v>
      </c>
      <c r="S285" s="3535">
        <v>67.060437333355083</v>
      </c>
      <c r="T285" s="3535">
        <v>0</v>
      </c>
      <c r="U285" s="3535">
        <v>99.243133531934404</v>
      </c>
      <c r="V285" s="3535">
        <v>75.124671294458295</v>
      </c>
      <c r="W285" s="3535">
        <v>12.926300215800556</v>
      </c>
      <c r="X285" s="3535">
        <v>72.206306061429729</v>
      </c>
      <c r="Y285" s="3535">
        <v>95.156942471471623</v>
      </c>
      <c r="Z285" s="3535">
        <v>72.654367291227175</v>
      </c>
      <c r="AA285" s="3535">
        <v>108.3069567620411</v>
      </c>
      <c r="AB285" s="3535">
        <v>118.03922508262823</v>
      </c>
      <c r="AC285" s="3535">
        <v>71.97389883924815</v>
      </c>
      <c r="AD285" s="3535">
        <v>106.11243019332886</v>
      </c>
      <c r="AE285" s="3535">
        <v>105.82117002682234</v>
      </c>
      <c r="AF285" s="3535">
        <v>96.927962524114719</v>
      </c>
      <c r="AG285" s="3535">
        <v>101.17989173421701</v>
      </c>
      <c r="AH285" s="3535">
        <v>116.29467009853937</v>
      </c>
      <c r="AI285" s="3535">
        <v>121.3577722384782</v>
      </c>
      <c r="AJ285" s="3535">
        <v>167.38740791299438</v>
      </c>
      <c r="AK285" s="3535">
        <v>107.39093104712056</v>
      </c>
      <c r="AL285" s="3535">
        <v>132.57123014476568</v>
      </c>
      <c r="AM285" s="3535">
        <v>92.190289546654355</v>
      </c>
      <c r="AN285" s="3535">
        <v>109.04460925584073</v>
      </c>
      <c r="AO285" s="3535">
        <v>132.46059489628283</v>
      </c>
      <c r="AP285" s="3535">
        <v>123.22324811211168</v>
      </c>
      <c r="AQ285" s="3535">
        <v>90.09741415651861</v>
      </c>
      <c r="AR285" s="3535">
        <v>110.67969521920037</v>
      </c>
      <c r="AS285" s="3535">
        <v>109.62984248172445</v>
      </c>
      <c r="AT285" s="3535">
        <v>116.44818404985553</v>
      </c>
      <c r="AU285" s="3535">
        <v>172.6980223420091</v>
      </c>
      <c r="AV285" s="3535">
        <v>143.76979948199613</v>
      </c>
      <c r="AW285" s="3535">
        <v>125.98724776086499</v>
      </c>
      <c r="AX285" s="3535">
        <v>114.67413966083166</v>
      </c>
      <c r="AY285" s="3535">
        <v>123.41232227488152</v>
      </c>
      <c r="AZ285" s="3535">
        <v>93.857480859072325</v>
      </c>
      <c r="BA285" s="3535">
        <v>115.62355650775194</v>
      </c>
      <c r="BB285" s="3535">
        <v>160.53917893792149</v>
      </c>
      <c r="BC285" s="3535">
        <v>135.90392633431159</v>
      </c>
      <c r="BD285" s="3535">
        <v>124.88354068437167</v>
      </c>
      <c r="BE285" s="3535">
        <v>184.62059476516475</v>
      </c>
      <c r="BF285" s="3535">
        <v>185.55203083646305</v>
      </c>
      <c r="BG285" s="3535">
        <v>199.48495001413829</v>
      </c>
      <c r="BH285" s="3535">
        <v>153.72670533299996</v>
      </c>
      <c r="BI285" s="3535">
        <v>92.933972360166777</v>
      </c>
      <c r="BJ285" s="3535">
        <v>80.757769128345288</v>
      </c>
      <c r="BK285" s="3535">
        <v>148.16593377002687</v>
      </c>
      <c r="BL285" s="3535">
        <v>97.998619469814685</v>
      </c>
      <c r="BM285" s="3535">
        <v>113.50960482383616</v>
      </c>
      <c r="BN285" s="3535">
        <v>121.59953369825442</v>
      </c>
      <c r="BO285" s="3535">
        <v>172.05467466269997</v>
      </c>
      <c r="BP285" s="3535">
        <v>106.69389344010473</v>
      </c>
      <c r="BQ285" s="3535">
        <v>153.17922117615291</v>
      </c>
      <c r="BR285" s="3535">
        <v>117.45602669388234</v>
      </c>
      <c r="BS285" s="3535">
        <v>221.14990665249408</v>
      </c>
      <c r="BT285" s="3535">
        <v>106.23485453699159</v>
      </c>
      <c r="BU285" s="3535">
        <v>203.69614048338423</v>
      </c>
      <c r="BV285" s="3535">
        <v>125.5901008243455</v>
      </c>
      <c r="BW285" s="3535">
        <v>156.94380783671579</v>
      </c>
      <c r="BX285" s="3535">
        <v>119.77657660946667</v>
      </c>
      <c r="BY285" s="3535">
        <v>111.40337801333985</v>
      </c>
      <c r="BZ285" s="3535">
        <v>134.99984430027448</v>
      </c>
      <c r="CA285" s="3535">
        <v>223.06974574710915</v>
      </c>
      <c r="CB285" s="3535">
        <v>139.64108959941578</v>
      </c>
      <c r="CC285" s="3535">
        <v>95.24059501798979</v>
      </c>
      <c r="CD285" s="3535">
        <v>163.28749885699031</v>
      </c>
      <c r="CE285" s="3535">
        <v>763.26102546645382</v>
      </c>
      <c r="CF285" s="3535">
        <v>100.76541688097201</v>
      </c>
      <c r="CG285" s="3535">
        <v>131.43650123486822</v>
      </c>
      <c r="CH285" s="3535">
        <v>143.45453700694887</v>
      </c>
      <c r="CI285" s="3535">
        <v>116.81803054861093</v>
      </c>
      <c r="CJ285" s="2978">
        <v>124.08230099201052</v>
      </c>
    </row>
    <row r="286" spans="1:88">
      <c r="A286" s="53">
        <v>2017.01</v>
      </c>
      <c r="B286" s="615">
        <v>115.72788011075902</v>
      </c>
      <c r="C286" s="3535">
        <v>129.44268092372599</v>
      </c>
      <c r="D286" s="358">
        <v>129.10309561465999</v>
      </c>
      <c r="E286" s="615">
        <v>131.42410366621419</v>
      </c>
      <c r="F286" s="1215">
        <v>90.536425119810247</v>
      </c>
      <c r="G286" s="1215">
        <v>239.72286374133947</v>
      </c>
      <c r="H286" s="1215">
        <v>146.05508908737417</v>
      </c>
      <c r="I286" s="1215">
        <v>155.08393189922032</v>
      </c>
      <c r="J286" s="1215">
        <v>142.93448405184421</v>
      </c>
      <c r="K286" s="1215">
        <v>135.72833050123393</v>
      </c>
      <c r="L286" s="1215">
        <v>135.65120252852736</v>
      </c>
      <c r="M286" s="1215">
        <v>100.36677175600505</v>
      </c>
      <c r="N286" s="1215">
        <v>49.43261780242365</v>
      </c>
      <c r="O286" s="1215">
        <v>97.981062812589613</v>
      </c>
      <c r="P286" s="1215">
        <v>167.88590574049528</v>
      </c>
      <c r="Q286" s="1215">
        <v>105.41992342092128</v>
      </c>
      <c r="R286" s="2661">
        <v>183.62816495787982</v>
      </c>
      <c r="S286" s="3535">
        <v>99.648922598551607</v>
      </c>
      <c r="T286" s="3535">
        <v>87.231577089832228</v>
      </c>
      <c r="U286" s="3535">
        <v>105.60807935312798</v>
      </c>
      <c r="V286" s="3535">
        <v>72.936598329953796</v>
      </c>
      <c r="W286" s="3535">
        <v>7.101719053207372</v>
      </c>
      <c r="X286" s="3535">
        <v>81.666621364501225</v>
      </c>
      <c r="Y286" s="3535">
        <v>83.727468001110708</v>
      </c>
      <c r="Z286" s="3535">
        <v>73.002013553382341</v>
      </c>
      <c r="AA286" s="3535">
        <v>82.689071248267467</v>
      </c>
      <c r="AB286" s="3535">
        <v>85.204618408993241</v>
      </c>
      <c r="AC286" s="3535">
        <v>61.850131919188044</v>
      </c>
      <c r="AD286" s="3535">
        <v>94.459045348637787</v>
      </c>
      <c r="AE286" s="3535">
        <v>106.30105462075983</v>
      </c>
      <c r="AF286" s="3535">
        <v>88.798655956184163</v>
      </c>
      <c r="AG286" s="3535">
        <v>100.67275481903549</v>
      </c>
      <c r="AH286" s="3535">
        <v>123.52143689739404</v>
      </c>
      <c r="AI286" s="3535">
        <v>117.56072285930875</v>
      </c>
      <c r="AJ286" s="3535">
        <v>158.83870256854647</v>
      </c>
      <c r="AK286" s="3535">
        <v>102.104513931893</v>
      </c>
      <c r="AL286" s="3535">
        <v>149.1347235526724</v>
      </c>
      <c r="AM286" s="3535">
        <v>91.242246749361797</v>
      </c>
      <c r="AN286" s="3535">
        <v>106.72203290827467</v>
      </c>
      <c r="AO286" s="3535">
        <v>139.72456018245254</v>
      </c>
      <c r="AP286" s="3535">
        <v>118.95503121113569</v>
      </c>
      <c r="AQ286" s="3535">
        <v>89.534928204845627</v>
      </c>
      <c r="AR286" s="3535">
        <v>116.95072123433629</v>
      </c>
      <c r="AS286" s="3535">
        <v>104.24599925203211</v>
      </c>
      <c r="AT286" s="3535">
        <v>117.3611634659506</v>
      </c>
      <c r="AU286" s="3535">
        <v>183.15469852861034</v>
      </c>
      <c r="AV286" s="3535">
        <v>165.17903935193991</v>
      </c>
      <c r="AW286" s="3535">
        <v>138.31043562711409</v>
      </c>
      <c r="AX286" s="3535">
        <v>120.92175312298728</v>
      </c>
      <c r="AY286" s="3535">
        <v>118.95734597156398</v>
      </c>
      <c r="AZ286" s="3535">
        <v>91.488378923187398</v>
      </c>
      <c r="BA286" s="3535">
        <v>125.05131934356508</v>
      </c>
      <c r="BB286" s="3535">
        <v>152.98385497319688</v>
      </c>
      <c r="BC286" s="3535">
        <v>121.54768841221401</v>
      </c>
      <c r="BD286" s="3535">
        <v>129.12093773811466</v>
      </c>
      <c r="BE286" s="3535">
        <v>164.95396194315217</v>
      </c>
      <c r="BF286" s="3535">
        <v>177.37902015439022</v>
      </c>
      <c r="BG286" s="3535">
        <v>204.60823331370403</v>
      </c>
      <c r="BH286" s="3535">
        <v>144.69050315637841</v>
      </c>
      <c r="BI286" s="3535">
        <v>89.117226180067092</v>
      </c>
      <c r="BJ286" s="3535">
        <v>77.958333080595139</v>
      </c>
      <c r="BK286" s="3535">
        <v>140.84402876652763</v>
      </c>
      <c r="BL286" s="3535">
        <v>92.659575627715654</v>
      </c>
      <c r="BM286" s="3535">
        <v>103.36714805096747</v>
      </c>
      <c r="BN286" s="3535">
        <v>124.82893002530926</v>
      </c>
      <c r="BO286" s="3535">
        <v>171.58389850163317</v>
      </c>
      <c r="BP286" s="3535">
        <v>91.322132255998326</v>
      </c>
      <c r="BQ286" s="3535">
        <v>116.62055334062943</v>
      </c>
      <c r="BR286" s="3535">
        <v>104.6249977448541</v>
      </c>
      <c r="BS286" s="3535">
        <v>128.1738399790672</v>
      </c>
      <c r="BT286" s="3535">
        <v>88.112123722504904</v>
      </c>
      <c r="BU286" s="3535">
        <v>175.75365761613449</v>
      </c>
      <c r="BV286" s="3535">
        <v>105.60853804780058</v>
      </c>
      <c r="BW286" s="3535">
        <v>137.87815372408238</v>
      </c>
      <c r="BX286" s="3535">
        <v>95.852079969328429</v>
      </c>
      <c r="BY286" s="3535">
        <v>99.674831392992274</v>
      </c>
      <c r="BZ286" s="3535">
        <v>92.730003294431867</v>
      </c>
      <c r="CA286" s="3535">
        <v>146.52170909646043</v>
      </c>
      <c r="CB286" s="3535">
        <v>97.628923800600461</v>
      </c>
      <c r="CC286" s="3535">
        <v>68.174059057329501</v>
      </c>
      <c r="CD286" s="3535">
        <v>164.65862307304906</v>
      </c>
      <c r="CE286" s="3535">
        <v>743.09231848520903</v>
      </c>
      <c r="CF286" s="3535">
        <v>104.38116528816445</v>
      </c>
      <c r="CG286" s="3535">
        <v>107.48870013622027</v>
      </c>
      <c r="CH286" s="3535">
        <v>122.2861714021889</v>
      </c>
      <c r="CI286" s="3535">
        <v>75.071129088983724</v>
      </c>
      <c r="CJ286" s="2978">
        <v>115.72788011075906</v>
      </c>
    </row>
    <row r="287" spans="1:88">
      <c r="A287" s="53">
        <v>2017.02</v>
      </c>
      <c r="B287" s="615">
        <v>109.43840116663539</v>
      </c>
      <c r="C287" s="3535">
        <v>125.514385877435</v>
      </c>
      <c r="D287" s="358">
        <v>129.486238781731</v>
      </c>
      <c r="E287" s="615">
        <v>118.79586523543726</v>
      </c>
      <c r="F287" s="1215">
        <v>77.746107438779518</v>
      </c>
      <c r="G287" s="1215">
        <v>210.62355658198615</v>
      </c>
      <c r="H287" s="1215">
        <v>129.86602617187367</v>
      </c>
      <c r="I287" s="1215">
        <v>159.26816402530727</v>
      </c>
      <c r="J287" s="1215">
        <v>124.94701436022508</v>
      </c>
      <c r="K287" s="1215">
        <v>108.91412441662118</v>
      </c>
      <c r="L287" s="1215">
        <v>120.75043145434556</v>
      </c>
      <c r="M287" s="1215">
        <v>100.69842274190648</v>
      </c>
      <c r="N287" s="1215">
        <v>79.26011457741339</v>
      </c>
      <c r="O287" s="1215">
        <v>109.58502487995702</v>
      </c>
      <c r="P287" s="1215">
        <v>140.82767128731149</v>
      </c>
      <c r="Q287" s="1215">
        <v>84.153971387394861</v>
      </c>
      <c r="R287" s="2661">
        <v>167.71867440575895</v>
      </c>
      <c r="S287" s="3535">
        <v>107.56162560199387</v>
      </c>
      <c r="T287" s="3535">
        <v>137.81432252283594</v>
      </c>
      <c r="U287" s="3535">
        <v>93.043179362948919</v>
      </c>
      <c r="V287" s="3535">
        <v>81.061621909272688</v>
      </c>
      <c r="W287" s="3535">
        <v>11.419824973954874</v>
      </c>
      <c r="X287" s="3535">
        <v>100.01508562109269</v>
      </c>
      <c r="Y287" s="3535">
        <v>99.125128080483051</v>
      </c>
      <c r="Z287" s="3535">
        <v>70.504475858439903</v>
      </c>
      <c r="AA287" s="3535">
        <v>85.376028469020056</v>
      </c>
      <c r="AB287" s="3535">
        <v>82.173715900132535</v>
      </c>
      <c r="AC287" s="3535">
        <v>59.387710814242133</v>
      </c>
      <c r="AD287" s="3535">
        <v>126.98955123220198</v>
      </c>
      <c r="AE287" s="3535">
        <v>100.57074115936263</v>
      </c>
      <c r="AF287" s="3535">
        <v>83.979491994516181</v>
      </c>
      <c r="AG287" s="3535">
        <v>98.507918147056301</v>
      </c>
      <c r="AH287" s="3535">
        <v>113.72849086461162</v>
      </c>
      <c r="AI287" s="3535">
        <v>101.36978099622131</v>
      </c>
      <c r="AJ287" s="3535">
        <v>128.09815128429472</v>
      </c>
      <c r="AK287" s="3535">
        <v>86.453035279498295</v>
      </c>
      <c r="AL287" s="3535">
        <v>128.51746892658394</v>
      </c>
      <c r="AM287" s="3535">
        <v>87.186802463184748</v>
      </c>
      <c r="AN287" s="3535">
        <v>98.910483930777517</v>
      </c>
      <c r="AO287" s="3535">
        <v>127.67128597023004</v>
      </c>
      <c r="AP287" s="3535">
        <v>117.88140958370836</v>
      </c>
      <c r="AQ287" s="3535">
        <v>82.886604418391769</v>
      </c>
      <c r="AR287" s="3535">
        <v>99.462817204194522</v>
      </c>
      <c r="AS287" s="3535">
        <v>91.127148767100465</v>
      </c>
      <c r="AT287" s="3535">
        <v>107.15055391256682</v>
      </c>
      <c r="AU287" s="3535">
        <v>172.25527496196534</v>
      </c>
      <c r="AV287" s="3535">
        <v>150.20744877838587</v>
      </c>
      <c r="AW287" s="3535">
        <v>124.52892000907453</v>
      </c>
      <c r="AX287" s="3535">
        <v>105.35725813671097</v>
      </c>
      <c r="AY287" s="3535">
        <v>77.926540284360186</v>
      </c>
      <c r="AZ287" s="3535">
        <v>80.058955718355691</v>
      </c>
      <c r="BA287" s="3535">
        <v>113.91711413899628</v>
      </c>
      <c r="BB287" s="3535">
        <v>147.99382274674281</v>
      </c>
      <c r="BC287" s="3535">
        <v>115.63149309672663</v>
      </c>
      <c r="BD287" s="3535">
        <v>132.42428786020446</v>
      </c>
      <c r="BE287" s="3535">
        <v>156.7603150910648</v>
      </c>
      <c r="BF287" s="3535">
        <v>155.57892643136839</v>
      </c>
      <c r="BG287" s="3535">
        <v>198.6458809521373</v>
      </c>
      <c r="BH287" s="3535">
        <v>136.31362176184129</v>
      </c>
      <c r="BI287" s="3535">
        <v>79.872064099209325</v>
      </c>
      <c r="BJ287" s="3535">
        <v>67.04570405837363</v>
      </c>
      <c r="BK287" s="3535">
        <v>127.26510319878805</v>
      </c>
      <c r="BL287" s="3535">
        <v>95.895370992766885</v>
      </c>
      <c r="BM287" s="3535">
        <v>95.573676052389246</v>
      </c>
      <c r="BN287" s="3535">
        <v>108.50945685967517</v>
      </c>
      <c r="BO287" s="3535">
        <v>154.09513196848934</v>
      </c>
      <c r="BP287" s="3535">
        <v>87.107457201736565</v>
      </c>
      <c r="BQ287" s="3535">
        <v>127.39685520904274</v>
      </c>
      <c r="BR287" s="3535">
        <v>80.302281788610856</v>
      </c>
      <c r="BS287" s="3535">
        <v>189.37681169021948</v>
      </c>
      <c r="BT287" s="3535">
        <v>89.652911146708377</v>
      </c>
      <c r="BU287" s="3535">
        <v>212.44899084462818</v>
      </c>
      <c r="BV287" s="3535">
        <v>131.4184565137584</v>
      </c>
      <c r="BW287" s="3535">
        <v>279.00839747589686</v>
      </c>
      <c r="BX287" s="3535">
        <v>89.379310191187159</v>
      </c>
      <c r="BY287" s="3535">
        <v>98.345080054606584</v>
      </c>
      <c r="BZ287" s="3535">
        <v>103.17997263047486</v>
      </c>
      <c r="CA287" s="3535">
        <v>145.85877181745667</v>
      </c>
      <c r="CB287" s="3535">
        <v>165.00132950615341</v>
      </c>
      <c r="CC287" s="3535">
        <v>76.073345273975363</v>
      </c>
      <c r="CD287" s="3535">
        <v>157.92450530358633</v>
      </c>
      <c r="CE287" s="3535">
        <v>726.70139178354236</v>
      </c>
      <c r="CF287" s="3535">
        <v>98.653364919234335</v>
      </c>
      <c r="CG287" s="3535">
        <v>96.640450620115132</v>
      </c>
      <c r="CH287" s="3535">
        <v>109.59787146231753</v>
      </c>
      <c r="CI287" s="3535">
        <v>63.599144344169332</v>
      </c>
      <c r="CJ287" s="2978">
        <v>109.43840116663539</v>
      </c>
    </row>
    <row r="288" spans="1:88">
      <c r="A288" s="53">
        <v>2017.03</v>
      </c>
      <c r="B288" s="615">
        <v>135.73975556541561</v>
      </c>
      <c r="C288" s="3535">
        <v>129.28514591294899</v>
      </c>
      <c r="D288" s="358">
        <v>130.048377675913</v>
      </c>
      <c r="E288" s="615">
        <v>144.09184505470429</v>
      </c>
      <c r="F288" s="1215">
        <v>97.530172204092281</v>
      </c>
      <c r="G288" s="1215">
        <v>266.05080831408776</v>
      </c>
      <c r="H288" s="1215">
        <v>156.2000661434933</v>
      </c>
      <c r="I288" s="1215">
        <v>204.18616057797402</v>
      </c>
      <c r="J288" s="1215">
        <v>166.61706974673726</v>
      </c>
      <c r="K288" s="1215">
        <v>125.11422350349417</v>
      </c>
      <c r="L288" s="1215">
        <v>157.44874007831257</v>
      </c>
      <c r="M288" s="1215">
        <v>125.29248649093769</v>
      </c>
      <c r="N288" s="1215">
        <v>98.396893798497644</v>
      </c>
      <c r="O288" s="1215">
        <v>137.70645334866899</v>
      </c>
      <c r="P288" s="1215">
        <v>164.940840024339</v>
      </c>
      <c r="Q288" s="1215">
        <v>111.73816597022017</v>
      </c>
      <c r="R288" s="2661">
        <v>174.83876729949745</v>
      </c>
      <c r="S288" s="3535">
        <v>163.26213126740637</v>
      </c>
      <c r="T288" s="3535">
        <v>294.88013358643843</v>
      </c>
      <c r="U288" s="3535">
        <v>100.09788195240124</v>
      </c>
      <c r="V288" s="3535">
        <v>100.960958520188</v>
      </c>
      <c r="W288" s="3535">
        <v>57.723534379458322</v>
      </c>
      <c r="X288" s="3535">
        <v>106.08765969013318</v>
      </c>
      <c r="Y288" s="3535">
        <v>120.59705111923037</v>
      </c>
      <c r="Z288" s="3535">
        <v>90.732151430398915</v>
      </c>
      <c r="AA288" s="3535">
        <v>121.66571279528672</v>
      </c>
      <c r="AB288" s="3535">
        <v>121.92123587681171</v>
      </c>
      <c r="AC288" s="3535">
        <v>70.928965856418898</v>
      </c>
      <c r="AD288" s="3535">
        <v>175.25885070768487</v>
      </c>
      <c r="AE288" s="3535">
        <v>116.81869524790285</v>
      </c>
      <c r="AF288" s="3535">
        <v>106.4319024310612</v>
      </c>
      <c r="AG288" s="3535">
        <v>113.64192729947274</v>
      </c>
      <c r="AH288" s="3535">
        <v>126.88008728164495</v>
      </c>
      <c r="AI288" s="3535">
        <v>113.33654129333712</v>
      </c>
      <c r="AJ288" s="3535">
        <v>143.86340459789497</v>
      </c>
      <c r="AK288" s="3535">
        <v>94.193289614100422</v>
      </c>
      <c r="AL288" s="3535">
        <v>146.0691289324601</v>
      </c>
      <c r="AM288" s="3535">
        <v>110.6993708742198</v>
      </c>
      <c r="AN288" s="3535">
        <v>112.19826854253655</v>
      </c>
      <c r="AO288" s="3535">
        <v>145.92201154617871</v>
      </c>
      <c r="AP288" s="3535">
        <v>135.02950522730688</v>
      </c>
      <c r="AQ288" s="3535">
        <v>95.133615965479422</v>
      </c>
      <c r="AR288" s="3535">
        <v>117.38988667683573</v>
      </c>
      <c r="AS288" s="3535">
        <v>111.4569401219342</v>
      </c>
      <c r="AT288" s="3535">
        <v>124.84521901224778</v>
      </c>
      <c r="AU288" s="3535">
        <v>185.70287258707435</v>
      </c>
      <c r="AV288" s="3535">
        <v>183.81672414222493</v>
      </c>
      <c r="AW288" s="3535">
        <v>139.19421215465141</v>
      </c>
      <c r="AX288" s="3535">
        <v>130.61463109227239</v>
      </c>
      <c r="AY288" s="3535">
        <v>146.25592417061611</v>
      </c>
      <c r="AZ288" s="3535">
        <v>113.43862869513673</v>
      </c>
      <c r="BA288" s="3535">
        <v>129.75693592505723</v>
      </c>
      <c r="BB288" s="3535">
        <v>182.70294893096832</v>
      </c>
      <c r="BC288" s="3535">
        <v>134.34315693655691</v>
      </c>
      <c r="BD288" s="3535">
        <v>157.09467084850488</v>
      </c>
      <c r="BE288" s="3535">
        <v>195.30516552034558</v>
      </c>
      <c r="BF288" s="3535">
        <v>193.35551635601018</v>
      </c>
      <c r="BG288" s="3535">
        <v>260.71624292519891</v>
      </c>
      <c r="BH288" s="3535">
        <v>167.96409761717393</v>
      </c>
      <c r="BI288" s="3535">
        <v>104.11055659547146</v>
      </c>
      <c r="BJ288" s="3535">
        <v>90.697455637674054</v>
      </c>
      <c r="BK288" s="3535">
        <v>150.4759888193781</v>
      </c>
      <c r="BL288" s="3535">
        <v>124.0328718445779</v>
      </c>
      <c r="BM288" s="3535">
        <v>122.32826712082235</v>
      </c>
      <c r="BN288" s="3535">
        <v>126.26055854286618</v>
      </c>
      <c r="BO288" s="3535">
        <v>173.0212662558352</v>
      </c>
      <c r="BP288" s="3535">
        <v>117.47425667897656</v>
      </c>
      <c r="BQ288" s="3535">
        <v>154.63271530338679</v>
      </c>
      <c r="BR288" s="3535">
        <v>92.880059160963199</v>
      </c>
      <c r="BS288" s="3535">
        <v>233.46575335101787</v>
      </c>
      <c r="BT288" s="3535">
        <v>110.63050631108817</v>
      </c>
      <c r="BU288" s="3535">
        <v>262.63611653884112</v>
      </c>
      <c r="BV288" s="3535">
        <v>166.59512728566159</v>
      </c>
      <c r="BW288" s="3535">
        <v>332.5582049089038</v>
      </c>
      <c r="BX288" s="3535">
        <v>121.79876425343372</v>
      </c>
      <c r="BY288" s="3535">
        <v>123.71642433332369</v>
      </c>
      <c r="BZ288" s="3535">
        <v>153.32901328995959</v>
      </c>
      <c r="CA288" s="3535">
        <v>238.67565795044504</v>
      </c>
      <c r="CB288" s="3535">
        <v>198.44503938830314</v>
      </c>
      <c r="CC288" s="3535">
        <v>109.45412927001404</v>
      </c>
      <c r="CD288" s="3535">
        <v>196.62418246287001</v>
      </c>
      <c r="CE288" s="3535">
        <v>963.0454726809985</v>
      </c>
      <c r="CF288" s="3535">
        <v>116.75690064132621</v>
      </c>
      <c r="CG288" s="3535">
        <v>140.35432976211362</v>
      </c>
      <c r="CH288" s="3535">
        <v>161.76082379770619</v>
      </c>
      <c r="CI288" s="3535">
        <v>107.24220660777162</v>
      </c>
      <c r="CJ288" s="2978">
        <v>135.73975556541566</v>
      </c>
    </row>
    <row r="289" spans="1:88">
      <c r="A289" s="53">
        <v>2017.04</v>
      </c>
      <c r="B289" s="615">
        <v>127.06229310335894</v>
      </c>
      <c r="C289" s="3535">
        <v>129.63108079107801</v>
      </c>
      <c r="D289" s="358">
        <v>130.844467884979</v>
      </c>
      <c r="E289" s="615">
        <v>131.43232635057879</v>
      </c>
      <c r="F289" s="1215">
        <v>80.464224382140401</v>
      </c>
      <c r="G289" s="1215">
        <v>236.95150115473439</v>
      </c>
      <c r="H289" s="1215">
        <v>129.57101001866681</v>
      </c>
      <c r="I289" s="1215">
        <v>185.82709850903876</v>
      </c>
      <c r="J289" s="1215">
        <v>194.46281857947054</v>
      </c>
      <c r="K289" s="1215">
        <v>109.00376969887789</v>
      </c>
      <c r="L289" s="1215">
        <v>148.84110664265327</v>
      </c>
      <c r="M289" s="1215">
        <v>117.77264585389844</v>
      </c>
      <c r="N289" s="1215">
        <v>90.86464779943833</v>
      </c>
      <c r="O289" s="1215">
        <v>135.76606002165366</v>
      </c>
      <c r="P289" s="1215">
        <v>128.86086639025979</v>
      </c>
      <c r="Q289" s="1215">
        <v>107.00586224078516</v>
      </c>
      <c r="R289" s="2661">
        <v>147.22815705490154</v>
      </c>
      <c r="S289" s="3535">
        <v>117.49683078686658</v>
      </c>
      <c r="T289" s="3535">
        <v>196.64353608928707</v>
      </c>
      <c r="U289" s="3535">
        <v>79.513863881886948</v>
      </c>
      <c r="V289" s="3535">
        <v>99.139802703211146</v>
      </c>
      <c r="W289" s="3535">
        <v>153.15011495414478</v>
      </c>
      <c r="X289" s="3535">
        <v>98.71432454471325</v>
      </c>
      <c r="Y289" s="3535">
        <v>105.18422017753774</v>
      </c>
      <c r="Z289" s="3535">
        <v>83.042065125655867</v>
      </c>
      <c r="AA289" s="3535">
        <v>106.83941989075456</v>
      </c>
      <c r="AB289" s="3535">
        <v>108.7031294556936</v>
      </c>
      <c r="AC289" s="3535">
        <v>63.603671114458912</v>
      </c>
      <c r="AD289" s="3535">
        <v>145.51588557321199</v>
      </c>
      <c r="AE289" s="3535">
        <v>105.79193479712029</v>
      </c>
      <c r="AF289" s="3535">
        <v>93.301853224141979</v>
      </c>
      <c r="AG289" s="3535">
        <v>101.35127008603105</v>
      </c>
      <c r="AH289" s="3535">
        <v>118.4911740682317</v>
      </c>
      <c r="AI289" s="3535">
        <v>112.5247981661584</v>
      </c>
      <c r="AJ289" s="3535">
        <v>152.96528099356789</v>
      </c>
      <c r="AK289" s="3535">
        <v>92.933937162580833</v>
      </c>
      <c r="AL289" s="3535">
        <v>166.47004679164198</v>
      </c>
      <c r="AM289" s="3535">
        <v>109.28874904871655</v>
      </c>
      <c r="AN289" s="3535">
        <v>102.79692427790715</v>
      </c>
      <c r="AO289" s="3535">
        <v>145.70810714203691</v>
      </c>
      <c r="AP289" s="3535">
        <v>129.57523191180843</v>
      </c>
      <c r="AQ289" s="3535">
        <v>92.122718868684018</v>
      </c>
      <c r="AR289" s="3535">
        <v>120.78970680778102</v>
      </c>
      <c r="AS289" s="3535">
        <v>115.24132562582037</v>
      </c>
      <c r="AT289" s="3535">
        <v>107.66775074321021</v>
      </c>
      <c r="AU289" s="3535">
        <v>185.36558178016858</v>
      </c>
      <c r="AV289" s="3535">
        <v>174.15414825620158</v>
      </c>
      <c r="AW289" s="3535">
        <v>161.50221163170039</v>
      </c>
      <c r="AX289" s="3535">
        <v>124.16024811405454</v>
      </c>
      <c r="AY289" s="3535">
        <v>139.07582938388626</v>
      </c>
      <c r="AZ289" s="3535">
        <v>102.17339427761816</v>
      </c>
      <c r="BA289" s="3535">
        <v>124.05628288151385</v>
      </c>
      <c r="BB289" s="3535">
        <v>160.66109578100532</v>
      </c>
      <c r="BC289" s="3535">
        <v>137.23201906184795</v>
      </c>
      <c r="BD289" s="3535">
        <v>140.44376432133609</v>
      </c>
      <c r="BE289" s="3535">
        <v>166.09101440423149</v>
      </c>
      <c r="BF289" s="3535">
        <v>177.80310428358285</v>
      </c>
      <c r="BG289" s="3535">
        <v>211.79469463493101</v>
      </c>
      <c r="BH289" s="3535">
        <v>149.83416011097771</v>
      </c>
      <c r="BI289" s="3535">
        <v>104.02294771935216</v>
      </c>
      <c r="BJ289" s="3535">
        <v>91.047815385821721</v>
      </c>
      <c r="BK289" s="3535">
        <v>141.72444905534047</v>
      </c>
      <c r="BL289" s="3535">
        <v>130.37857436331345</v>
      </c>
      <c r="BM289" s="3535">
        <v>111.41916907872479</v>
      </c>
      <c r="BN289" s="3535">
        <v>122.97724794915086</v>
      </c>
      <c r="BO289" s="3535">
        <v>142.96383659744635</v>
      </c>
      <c r="BP289" s="3535">
        <v>105.29232052292869</v>
      </c>
      <c r="BQ289" s="3535">
        <v>164.48008703261743</v>
      </c>
      <c r="BR289" s="3535">
        <v>85.642277989589502</v>
      </c>
      <c r="BS289" s="3535">
        <v>293.45994289147649</v>
      </c>
      <c r="BT289" s="3535">
        <v>104.50670730241742</v>
      </c>
      <c r="BU289" s="3535">
        <v>251.29192080153624</v>
      </c>
      <c r="BV289" s="3535">
        <v>147.50692588353306</v>
      </c>
      <c r="BW289" s="3535">
        <v>295.0507342716802</v>
      </c>
      <c r="BX289" s="3535">
        <v>105.50435102196549</v>
      </c>
      <c r="BY289" s="3535">
        <v>114.39006205555647</v>
      </c>
      <c r="BZ289" s="3535">
        <v>134.31656464746462</v>
      </c>
      <c r="CA289" s="3535">
        <v>217.97317467259481</v>
      </c>
      <c r="CB289" s="3535">
        <v>186.30720136287351</v>
      </c>
      <c r="CC289" s="3535">
        <v>90.288283082428293</v>
      </c>
      <c r="CD289" s="3535">
        <v>182.10383076896011</v>
      </c>
      <c r="CE289" s="3535">
        <v>937.36996540491407</v>
      </c>
      <c r="CF289" s="3535">
        <v>103.39900615732905</v>
      </c>
      <c r="CG289" s="3535">
        <v>128.95025617393645</v>
      </c>
      <c r="CH289" s="3535">
        <v>148.50484619969689</v>
      </c>
      <c r="CI289" s="3535">
        <v>96.76234354057155</v>
      </c>
      <c r="CJ289" s="2978">
        <v>127.06229310335893</v>
      </c>
    </row>
    <row r="290" spans="1:88">
      <c r="A290" s="53">
        <v>2017.05</v>
      </c>
      <c r="B290" s="615">
        <v>137.32629188497592</v>
      </c>
      <c r="C290" s="3535">
        <v>131.53619019115899</v>
      </c>
      <c r="D290" s="358">
        <v>131.86289641176</v>
      </c>
      <c r="E290" s="615">
        <v>145.25789351245908</v>
      </c>
      <c r="F290" s="1215">
        <v>92.895968982833224</v>
      </c>
      <c r="G290" s="1215">
        <v>257.73672055427249</v>
      </c>
      <c r="H290" s="1215">
        <v>136.47854771169528</v>
      </c>
      <c r="I290" s="1215">
        <v>205.57465320420971</v>
      </c>
      <c r="J290" s="1215">
        <v>209.06577072213088</v>
      </c>
      <c r="K290" s="1215">
        <v>140.06253655993146</v>
      </c>
      <c r="L290" s="1215">
        <v>151.50172599185726</v>
      </c>
      <c r="M290" s="1215">
        <v>132.57564148058995</v>
      </c>
      <c r="N290" s="1215">
        <v>107.30700183726086</v>
      </c>
      <c r="O290" s="1215">
        <v>171.79826255285241</v>
      </c>
      <c r="P290" s="1215">
        <v>124.66858172002659</v>
      </c>
      <c r="Q290" s="1215">
        <v>120.50850643306165</v>
      </c>
      <c r="R290" s="2661">
        <v>162.84838889046219</v>
      </c>
      <c r="S290" s="3535">
        <v>95.952660958597676</v>
      </c>
      <c r="T290" s="3535">
        <v>112.08711066197003</v>
      </c>
      <c r="U290" s="3535">
        <v>88.20964415490883</v>
      </c>
      <c r="V290" s="3535">
        <v>120.86415518263202</v>
      </c>
      <c r="W290" s="3535">
        <v>272.77348887681501</v>
      </c>
      <c r="X290" s="3535">
        <v>111.93068768687144</v>
      </c>
      <c r="Y290" s="3535">
        <v>122.4274646110082</v>
      </c>
      <c r="Z290" s="3535">
        <v>92.603760169398655</v>
      </c>
      <c r="AA290" s="3535">
        <v>110.56965487521485</v>
      </c>
      <c r="AB290" s="3535">
        <v>112.70918597870173</v>
      </c>
      <c r="AC290" s="3535">
        <v>67.566563851325071</v>
      </c>
      <c r="AD290" s="3535">
        <v>147.82347366349447</v>
      </c>
      <c r="AE290" s="3535">
        <v>114.46730852707539</v>
      </c>
      <c r="AF290" s="3535">
        <v>108.77457746274355</v>
      </c>
      <c r="AG290" s="3535">
        <v>102.229919474901</v>
      </c>
      <c r="AH290" s="3535">
        <v>130.1369936346052</v>
      </c>
      <c r="AI290" s="3535">
        <v>114.06792773116712</v>
      </c>
      <c r="AJ290" s="3535">
        <v>155.00716503162525</v>
      </c>
      <c r="AK290" s="3535">
        <v>100.89948721638349</v>
      </c>
      <c r="AL290" s="3535">
        <v>108.3883828485986</v>
      </c>
      <c r="AM290" s="3535">
        <v>96.68961485226626</v>
      </c>
      <c r="AN290" s="3535">
        <v>105.9725144257069</v>
      </c>
      <c r="AO290" s="3535">
        <v>150.87234271338519</v>
      </c>
      <c r="AP290" s="3535">
        <v>126.78313361016993</v>
      </c>
      <c r="AQ290" s="3535">
        <v>93.215789917223987</v>
      </c>
      <c r="AR290" s="3535">
        <v>132.91325017396068</v>
      </c>
      <c r="AS290" s="3535">
        <v>105.80523117704801</v>
      </c>
      <c r="AT290" s="3535">
        <v>119.17185003390635</v>
      </c>
      <c r="AU290" s="3535">
        <v>189.62612763124096</v>
      </c>
      <c r="AV290" s="3535">
        <v>179.20751536595066</v>
      </c>
      <c r="AW290" s="3535">
        <v>185.37996572251353</v>
      </c>
      <c r="AX290" s="3535">
        <v>131.64128525502036</v>
      </c>
      <c r="AY290" s="3535">
        <v>149.90521327014218</v>
      </c>
      <c r="AZ290" s="3535">
        <v>111.58221121116935</v>
      </c>
      <c r="BA290" s="3535">
        <v>130.64017253902338</v>
      </c>
      <c r="BB290" s="3535">
        <v>172.52446537285158</v>
      </c>
      <c r="BC290" s="3535">
        <v>147.31293282768584</v>
      </c>
      <c r="BD290" s="3535">
        <v>135.23887483240543</v>
      </c>
      <c r="BE290" s="3535">
        <v>183.82220203979332</v>
      </c>
      <c r="BF290" s="3535">
        <v>184.59854699144265</v>
      </c>
      <c r="BG290" s="3535">
        <v>241.26328532555192</v>
      </c>
      <c r="BH290" s="3535">
        <v>160.23734760618197</v>
      </c>
      <c r="BI290" s="3535">
        <v>110.58554866501684</v>
      </c>
      <c r="BJ290" s="3535">
        <v>96.524904953282146</v>
      </c>
      <c r="BK290" s="3535">
        <v>149.25430723073254</v>
      </c>
      <c r="BL290" s="3535">
        <v>141.31275646009766</v>
      </c>
      <c r="BM290" s="3535">
        <v>125.3104153652006</v>
      </c>
      <c r="BN290" s="3535">
        <v>137.64346401370921</v>
      </c>
      <c r="BO290" s="3535">
        <v>148.14456633022544</v>
      </c>
      <c r="BP290" s="3535">
        <v>119.5230409155951</v>
      </c>
      <c r="BQ290" s="3535">
        <v>163.937402320752</v>
      </c>
      <c r="BR290" s="3535">
        <v>90.134223220340047</v>
      </c>
      <c r="BS290" s="3535">
        <v>267.13781548590833</v>
      </c>
      <c r="BT290" s="3535">
        <v>111.87418400771327</v>
      </c>
      <c r="BU290" s="3535">
        <v>274.17282956896474</v>
      </c>
      <c r="BV290" s="3535">
        <v>170.52609056627708</v>
      </c>
      <c r="BW290" s="3535">
        <v>340.32706910169634</v>
      </c>
      <c r="BX290" s="3535">
        <v>126.23108621365162</v>
      </c>
      <c r="BY290" s="3535">
        <v>123.12444498829247</v>
      </c>
      <c r="BZ290" s="3535">
        <v>157.17987253097672</v>
      </c>
      <c r="CA290" s="3535">
        <v>264.47642516664672</v>
      </c>
      <c r="CB290" s="3535">
        <v>197.88235083997111</v>
      </c>
      <c r="CC290" s="3535">
        <v>104.12868751351911</v>
      </c>
      <c r="CD290" s="3535">
        <v>216.85134797768927</v>
      </c>
      <c r="CE290" s="3535">
        <v>1175.0499729406538</v>
      </c>
      <c r="CF290" s="3535">
        <v>116.99932064275929</v>
      </c>
      <c r="CG290" s="3535">
        <v>144.57769814349138</v>
      </c>
      <c r="CH290" s="3535">
        <v>163.72779437593988</v>
      </c>
      <c r="CI290" s="3535">
        <v>117.55969090691727</v>
      </c>
      <c r="CJ290" s="2978">
        <v>137.326291884976</v>
      </c>
    </row>
    <row r="291" spans="1:88">
      <c r="A291" s="53">
        <v>2017.06</v>
      </c>
      <c r="B291" s="615">
        <v>134.50955603897785</v>
      </c>
      <c r="C291" s="3535">
        <v>132.84239810462799</v>
      </c>
      <c r="D291" s="358">
        <v>133.008104512274</v>
      </c>
      <c r="E291" s="615">
        <v>139.32606914072568</v>
      </c>
      <c r="F291" s="1215">
        <v>91.992614665998289</v>
      </c>
      <c r="G291" s="1215">
        <v>260.50808314087755</v>
      </c>
      <c r="H291" s="1215">
        <v>134.65773820276036</v>
      </c>
      <c r="I291" s="1215">
        <v>186.65512491944659</v>
      </c>
      <c r="J291" s="1215">
        <v>179.16190044291446</v>
      </c>
      <c r="K291" s="1215">
        <v>128.67389294722591</v>
      </c>
      <c r="L291" s="1215">
        <v>143.53780372758925</v>
      </c>
      <c r="M291" s="1215">
        <v>121.83809359797765</v>
      </c>
      <c r="N291" s="1215">
        <v>148.20117298550264</v>
      </c>
      <c r="O291" s="1215">
        <v>156.43088155976167</v>
      </c>
      <c r="P291" s="1215">
        <v>112.12266580022329</v>
      </c>
      <c r="Q291" s="1215">
        <v>130.65445455398677</v>
      </c>
      <c r="R291" s="2661">
        <v>169.54571443411319</v>
      </c>
      <c r="S291" s="3535">
        <v>78.865766717239083</v>
      </c>
      <c r="T291" s="3535">
        <v>59.999232900523971</v>
      </c>
      <c r="U291" s="3535">
        <v>87.919926670376796</v>
      </c>
      <c r="V291" s="3535">
        <v>125.63076691577835</v>
      </c>
      <c r="W291" s="3535">
        <v>342.70854527337968</v>
      </c>
      <c r="X291" s="3535">
        <v>111.57162272356619</v>
      </c>
      <c r="Y291" s="3535">
        <v>116.99602081956169</v>
      </c>
      <c r="Z291" s="3535">
        <v>95.082232435928432</v>
      </c>
      <c r="AA291" s="3535">
        <v>98.051502763662796</v>
      </c>
      <c r="AB291" s="3535">
        <v>100.69438713106042</v>
      </c>
      <c r="AC291" s="3535">
        <v>65.049471713512062</v>
      </c>
      <c r="AD291" s="3535">
        <v>122.38856500474382</v>
      </c>
      <c r="AE291" s="3535">
        <v>112.65770347323408</v>
      </c>
      <c r="AF291" s="3535">
        <v>104.79433983205108</v>
      </c>
      <c r="AG291" s="3535">
        <v>107.67534371578073</v>
      </c>
      <c r="AH291" s="3535">
        <v>122.76836598566106</v>
      </c>
      <c r="AI291" s="3535">
        <v>115.55094812063341</v>
      </c>
      <c r="AJ291" s="3535">
        <v>155.5404545929369</v>
      </c>
      <c r="AK291" s="3535">
        <v>98.277565652706357</v>
      </c>
      <c r="AL291" s="3535">
        <v>155.47124850084975</v>
      </c>
      <c r="AM291" s="3535">
        <v>98.252184735756316</v>
      </c>
      <c r="AN291" s="3535">
        <v>106.01799686054886</v>
      </c>
      <c r="AO291" s="3535">
        <v>147.90838474938775</v>
      </c>
      <c r="AP291" s="3535">
        <v>130.5446001549152</v>
      </c>
      <c r="AQ291" s="3535">
        <v>81.07036151499122</v>
      </c>
      <c r="AR291" s="3535">
        <v>126.58504749156027</v>
      </c>
      <c r="AS291" s="3535">
        <v>108.02164266063488</v>
      </c>
      <c r="AT291" s="3535">
        <v>106.97979466752858</v>
      </c>
      <c r="AU291" s="3535">
        <v>195.35708309261778</v>
      </c>
      <c r="AV291" s="3535">
        <v>168.49633966253549</v>
      </c>
      <c r="AW291" s="3535">
        <v>182.66803989792868</v>
      </c>
      <c r="AX291" s="3535">
        <v>125.74754986683639</v>
      </c>
      <c r="AY291" s="3535">
        <v>141.19668246445499</v>
      </c>
      <c r="AZ291" s="3535">
        <v>108.35085388616392</v>
      </c>
      <c r="BA291" s="3535">
        <v>124.95535349406485</v>
      </c>
      <c r="BB291" s="3535">
        <v>180.87317294115982</v>
      </c>
      <c r="BC291" s="3535">
        <v>149.42951757170525</v>
      </c>
      <c r="BD291" s="3535">
        <v>148.12098330531938</v>
      </c>
      <c r="BE291" s="3535">
        <v>189.73119083348192</v>
      </c>
      <c r="BF291" s="3535">
        <v>178.45741983006792</v>
      </c>
      <c r="BG291" s="3535">
        <v>256.23981486041305</v>
      </c>
      <c r="BH291" s="3535">
        <v>168.21552135544727</v>
      </c>
      <c r="BI291" s="3535">
        <v>107.24801914719652</v>
      </c>
      <c r="BJ291" s="3535">
        <v>92.404749577156281</v>
      </c>
      <c r="BK291" s="3535">
        <v>146.51621031762491</v>
      </c>
      <c r="BL291" s="3535">
        <v>141.22405348724953</v>
      </c>
      <c r="BM291" s="3535">
        <v>118.23802546833608</v>
      </c>
      <c r="BN291" s="3535">
        <v>134.96890691190706</v>
      </c>
      <c r="BO291" s="3535">
        <v>143.64600628431054</v>
      </c>
      <c r="BP291" s="3535">
        <v>110.77287235669232</v>
      </c>
      <c r="BQ291" s="3535">
        <v>174.83352606652392</v>
      </c>
      <c r="BR291" s="3535">
        <v>92.988303183708993</v>
      </c>
      <c r="BS291" s="3535">
        <v>305.03028103404938</v>
      </c>
      <c r="BT291" s="3535">
        <v>109.85217284707988</v>
      </c>
      <c r="BU291" s="3535">
        <v>276.56306228064028</v>
      </c>
      <c r="BV291" s="3535">
        <v>167.18154121316755</v>
      </c>
      <c r="BW291" s="3535">
        <v>351.38767651464985</v>
      </c>
      <c r="BX291" s="3535">
        <v>115.84833512182779</v>
      </c>
      <c r="BY291" s="3535">
        <v>123.29418744057939</v>
      </c>
      <c r="BZ291" s="3535">
        <v>159.11463963723079</v>
      </c>
      <c r="CA291" s="3535">
        <v>268.83139727142253</v>
      </c>
      <c r="CB291" s="3535">
        <v>200.68832503060082</v>
      </c>
      <c r="CC291" s="3535">
        <v>104.87299022362464</v>
      </c>
      <c r="CD291" s="3535">
        <v>212.39517520535762</v>
      </c>
      <c r="CE291" s="3535">
        <v>1151.3098753589952</v>
      </c>
      <c r="CF291" s="3535">
        <v>114.55268841559391</v>
      </c>
      <c r="CG291" s="3535">
        <v>146.39725349245637</v>
      </c>
      <c r="CH291" s="3535">
        <v>166.95805022795051</v>
      </c>
      <c r="CI291" s="3535">
        <v>120.80890355898246</v>
      </c>
      <c r="CJ291" s="2978">
        <v>134.50955603897793</v>
      </c>
    </row>
    <row r="292" spans="1:88">
      <c r="A292" s="53">
        <v>2017.07</v>
      </c>
      <c r="B292" s="615">
        <v>135.52441430007988</v>
      </c>
      <c r="C292" s="3535">
        <v>134.945520861918</v>
      </c>
      <c r="D292" s="358">
        <v>134.084862866615</v>
      </c>
      <c r="E292" s="615">
        <v>143.78390590856162</v>
      </c>
      <c r="F292" s="1215">
        <v>90.911335176767338</v>
      </c>
      <c r="G292" s="1215">
        <v>253.57967667436489</v>
      </c>
      <c r="H292" s="1215">
        <v>135.03995434874491</v>
      </c>
      <c r="I292" s="1215">
        <v>208.85400661162424</v>
      </c>
      <c r="J292" s="1215">
        <v>201.46663709779148</v>
      </c>
      <c r="K292" s="1215">
        <v>110.75575890420029</v>
      </c>
      <c r="L292" s="1215">
        <v>142.77761745063569</v>
      </c>
      <c r="M292" s="1215">
        <v>124.16559827905874</v>
      </c>
      <c r="N292" s="1215">
        <v>184.92989303794229</v>
      </c>
      <c r="O292" s="1215">
        <v>148.30894512694408</v>
      </c>
      <c r="P292" s="1215">
        <v>124.63800075557842</v>
      </c>
      <c r="Q292" s="1215">
        <v>125.75694127176989</v>
      </c>
      <c r="R292" s="2661">
        <v>172.07780170358657</v>
      </c>
      <c r="S292" s="3535">
        <v>70.785049729448303</v>
      </c>
      <c r="T292" s="3535">
        <v>5.1193037722253418</v>
      </c>
      <c r="U292" s="3535">
        <v>102.29842537728746</v>
      </c>
      <c r="V292" s="3535">
        <v>120.19038784208007</v>
      </c>
      <c r="W292" s="3535">
        <v>298.72420913805638</v>
      </c>
      <c r="X292" s="3535">
        <v>111.85091057352541</v>
      </c>
      <c r="Y292" s="3535">
        <v>120.54246905563004</v>
      </c>
      <c r="Z292" s="3535">
        <v>87.114507429257657</v>
      </c>
      <c r="AA292" s="3535">
        <v>104.04113393094433</v>
      </c>
      <c r="AB292" s="3535">
        <v>106.07024921054283</v>
      </c>
      <c r="AC292" s="3535">
        <v>63.657840487652479</v>
      </c>
      <c r="AD292" s="3535">
        <v>138.94074199778294</v>
      </c>
      <c r="AE292" s="3535">
        <v>118.16924034246746</v>
      </c>
      <c r="AF292" s="3535">
        <v>111.26584876202969</v>
      </c>
      <c r="AG292" s="3535">
        <v>114.36495622015855</v>
      </c>
      <c r="AH292" s="3535">
        <v>126.49426726949045</v>
      </c>
      <c r="AI292" s="3535">
        <v>111.33049274133295</v>
      </c>
      <c r="AJ292" s="3535">
        <v>149.27991842851068</v>
      </c>
      <c r="AK292" s="3535">
        <v>95.631068955284562</v>
      </c>
      <c r="AL292" s="3535">
        <v>151.16492426586038</v>
      </c>
      <c r="AM292" s="3535">
        <v>98.161888214315042</v>
      </c>
      <c r="AN292" s="3535">
        <v>101.07744731890585</v>
      </c>
      <c r="AO292" s="3535">
        <v>141.53838232521252</v>
      </c>
      <c r="AP292" s="3535">
        <v>128.42835416658846</v>
      </c>
      <c r="AQ292" s="3535">
        <v>66.480811474826638</v>
      </c>
      <c r="AR292" s="3535">
        <v>121.61388317500942</v>
      </c>
      <c r="AS292" s="3535">
        <v>77.03669427429017</v>
      </c>
      <c r="AT292" s="3535">
        <v>109.86376011144647</v>
      </c>
      <c r="AU292" s="3535">
        <v>196.46558745267691</v>
      </c>
      <c r="AV292" s="3535">
        <v>171.19203650443214</v>
      </c>
      <c r="AW292" s="3535">
        <v>175.27422823534664</v>
      </c>
      <c r="AX292" s="3535">
        <v>128.71814115489323</v>
      </c>
      <c r="AY292" s="3535">
        <v>152.65829383886256</v>
      </c>
      <c r="AZ292" s="3535">
        <v>107.57824554488951</v>
      </c>
      <c r="BA292" s="3535">
        <v>126.74981598639822</v>
      </c>
      <c r="BB292" s="3535">
        <v>177.70950227037812</v>
      </c>
      <c r="BC292" s="3535">
        <v>155.5256793983695</v>
      </c>
      <c r="BD292" s="3535">
        <v>140.44948434811033</v>
      </c>
      <c r="BE292" s="3535">
        <v>190.9593840166356</v>
      </c>
      <c r="BF292" s="3535">
        <v>194.25038092325966</v>
      </c>
      <c r="BG292" s="3535">
        <v>240.08550038354696</v>
      </c>
      <c r="BH292" s="3535">
        <v>164.16373450892672</v>
      </c>
      <c r="BI292" s="3535">
        <v>117.26267698599706</v>
      </c>
      <c r="BJ292" s="3535">
        <v>103.9284406867522</v>
      </c>
      <c r="BK292" s="3535">
        <v>155.80163787584067</v>
      </c>
      <c r="BL292" s="3535">
        <v>144.55180359758782</v>
      </c>
      <c r="BM292" s="3535">
        <v>125.46274200434135</v>
      </c>
      <c r="BN292" s="3535">
        <v>133.55468110067724</v>
      </c>
      <c r="BO292" s="3535">
        <v>179.16046275998244</v>
      </c>
      <c r="BP292" s="3535">
        <v>118.98229626017142</v>
      </c>
      <c r="BQ292" s="3535">
        <v>168.81087039358138</v>
      </c>
      <c r="BR292" s="3535">
        <v>86.685730594533652</v>
      </c>
      <c r="BS292" s="3535">
        <v>313.31650077046174</v>
      </c>
      <c r="BT292" s="3535">
        <v>110.01001677655806</v>
      </c>
      <c r="BU292" s="3535">
        <v>233.23586092334403</v>
      </c>
      <c r="BV292" s="3535">
        <v>168.80750464638143</v>
      </c>
      <c r="BW292" s="3535">
        <v>380.35007437253108</v>
      </c>
      <c r="BX292" s="3535">
        <v>110.95533616673221</v>
      </c>
      <c r="BY292" s="3535">
        <v>115.88273571857717</v>
      </c>
      <c r="BZ292" s="3535">
        <v>138.38203954158524</v>
      </c>
      <c r="CA292" s="3535">
        <v>220.81491024995788</v>
      </c>
      <c r="CB292" s="3535">
        <v>205.97248975333423</v>
      </c>
      <c r="CC292" s="3535">
        <v>92.844915745802737</v>
      </c>
      <c r="CD292" s="3535">
        <v>194.30859369648232</v>
      </c>
      <c r="CE292" s="3535">
        <v>1008.8327281744951</v>
      </c>
      <c r="CF292" s="3535">
        <v>109.42860741597364</v>
      </c>
      <c r="CG292" s="3535">
        <v>148.20982647820807</v>
      </c>
      <c r="CH292" s="3535">
        <v>170.35628077033923</v>
      </c>
      <c r="CI292" s="3535">
        <v>120.54882297210001</v>
      </c>
      <c r="CJ292" s="2978">
        <v>135.52441430007991</v>
      </c>
    </row>
    <row r="293" spans="1:88">
      <c r="A293" s="53">
        <v>2017.08</v>
      </c>
      <c r="B293" s="615">
        <v>143.01220222320006</v>
      </c>
      <c r="C293" s="3535">
        <v>133.27361391255599</v>
      </c>
      <c r="D293" s="358">
        <v>134.93346793195499</v>
      </c>
      <c r="E293" s="615">
        <v>153.17775912975171</v>
      </c>
      <c r="F293" s="1215">
        <v>96.062196959737705</v>
      </c>
      <c r="G293" s="1215">
        <v>254.96535796766744</v>
      </c>
      <c r="H293" s="1215">
        <v>149.58356909571074</v>
      </c>
      <c r="I293" s="1215">
        <v>269.16479988804099</v>
      </c>
      <c r="J293" s="1215">
        <v>177.87770692293012</v>
      </c>
      <c r="K293" s="1215">
        <v>115.75690279859204</v>
      </c>
      <c r="L293" s="1215">
        <v>154.63614560788844</v>
      </c>
      <c r="M293" s="1215">
        <v>127.24225856720173</v>
      </c>
      <c r="N293" s="1215">
        <v>194.48387044004667</v>
      </c>
      <c r="O293" s="1215">
        <v>124.55257526969825</v>
      </c>
      <c r="P293" s="1215">
        <v>157.37909702465024</v>
      </c>
      <c r="Q293" s="1215">
        <v>142.96435611038382</v>
      </c>
      <c r="R293" s="2661">
        <v>182.6518176686584</v>
      </c>
      <c r="S293" s="3535">
        <v>69.29506263745904</v>
      </c>
      <c r="T293" s="3535">
        <v>0</v>
      </c>
      <c r="U293" s="3535">
        <v>102.55016859266048</v>
      </c>
      <c r="V293" s="3535">
        <v>117.08425156975498</v>
      </c>
      <c r="W293" s="3535">
        <v>214.13603856416358</v>
      </c>
      <c r="X293" s="3535">
        <v>115.27602609404728</v>
      </c>
      <c r="Y293" s="3535">
        <v>128.72934745169698</v>
      </c>
      <c r="Z293" s="3535">
        <v>88.035803557286656</v>
      </c>
      <c r="AA293" s="3535">
        <v>108.16089060540634</v>
      </c>
      <c r="AB293" s="3535">
        <v>107.37316840726858</v>
      </c>
      <c r="AC293" s="3535">
        <v>65.061061344497659</v>
      </c>
      <c r="AD293" s="3535">
        <v>157.95629819409632</v>
      </c>
      <c r="AE293" s="3535">
        <v>121.94587146293838</v>
      </c>
      <c r="AF293" s="3535">
        <v>114.99999513928664</v>
      </c>
      <c r="AG293" s="3535">
        <v>114.14555599865527</v>
      </c>
      <c r="AH293" s="3535">
        <v>134.16569479283109</v>
      </c>
      <c r="AI293" s="3535">
        <v>117.23208044954657</v>
      </c>
      <c r="AJ293" s="3535">
        <v>158.8649898058805</v>
      </c>
      <c r="AK293" s="3535">
        <v>102.90515459634058</v>
      </c>
      <c r="AL293" s="3535">
        <v>133.63464795981773</v>
      </c>
      <c r="AM293" s="3535">
        <v>87.127269401919762</v>
      </c>
      <c r="AN293" s="3535">
        <v>107.25955511229677</v>
      </c>
      <c r="AO293" s="3535">
        <v>142.46974267602729</v>
      </c>
      <c r="AP293" s="3535">
        <v>138.26600115692392</v>
      </c>
      <c r="AQ293" s="3535">
        <v>80.743019371503692</v>
      </c>
      <c r="AR293" s="3535">
        <v>126.79694303542523</v>
      </c>
      <c r="AS293" s="3535">
        <v>103.64272554458482</v>
      </c>
      <c r="AT293" s="3535">
        <v>120.03792723530876</v>
      </c>
      <c r="AU293" s="3535">
        <v>180.72720485677164</v>
      </c>
      <c r="AV293" s="3535">
        <v>181.94589492174958</v>
      </c>
      <c r="AW293" s="3535">
        <v>139.92157995319275</v>
      </c>
      <c r="AX293" s="3535">
        <v>135.52641758346755</v>
      </c>
      <c r="AY293" s="3535">
        <v>157.19194312796208</v>
      </c>
      <c r="AZ293" s="3535">
        <v>103.82555856515377</v>
      </c>
      <c r="BA293" s="3535">
        <v>135.34535862882143</v>
      </c>
      <c r="BB293" s="3535">
        <v>191.01239675524673</v>
      </c>
      <c r="BC293" s="3535">
        <v>157.30033837051374</v>
      </c>
      <c r="BD293" s="3535">
        <v>148.17339318508579</v>
      </c>
      <c r="BE293" s="3535">
        <v>211.89469568992331</v>
      </c>
      <c r="BF293" s="3535">
        <v>202.96405800916472</v>
      </c>
      <c r="BG293" s="3535">
        <v>266.24506010956867</v>
      </c>
      <c r="BH293" s="3535">
        <v>171.01065138487192</v>
      </c>
      <c r="BI293" s="3535">
        <v>113.83032351418692</v>
      </c>
      <c r="BJ293" s="3535">
        <v>99.751029059058212</v>
      </c>
      <c r="BK293" s="3535">
        <v>149.16205882796328</v>
      </c>
      <c r="BL293" s="3535">
        <v>147.95524658385239</v>
      </c>
      <c r="BM293" s="3535">
        <v>138.07492995139881</v>
      </c>
      <c r="BN293" s="3535">
        <v>148.76549950441353</v>
      </c>
      <c r="BO293" s="3535">
        <v>185.09465481642027</v>
      </c>
      <c r="BP293" s="3535">
        <v>131.1713335649269</v>
      </c>
      <c r="BQ293" s="3535">
        <v>181.20590404548085</v>
      </c>
      <c r="BR293" s="3535">
        <v>96.731267057112376</v>
      </c>
      <c r="BS293" s="3535">
        <v>316.33209275189324</v>
      </c>
      <c r="BT293" s="3535">
        <v>116.54052646118961</v>
      </c>
      <c r="BU293" s="3535">
        <v>281.01938393831068</v>
      </c>
      <c r="BV293" s="3535">
        <v>209.84052224668139</v>
      </c>
      <c r="BW293" s="3535">
        <v>577.22603306250858</v>
      </c>
      <c r="BX293" s="3535">
        <v>106.48221149714666</v>
      </c>
      <c r="BY293" s="3535">
        <v>124.55713107820013</v>
      </c>
      <c r="BZ293" s="3535">
        <v>162.35392291131251</v>
      </c>
      <c r="CA293" s="3535">
        <v>265.97340066381355</v>
      </c>
      <c r="CB293" s="3535">
        <v>226.63069150259085</v>
      </c>
      <c r="CC293" s="3535">
        <v>107.83506390659939</v>
      </c>
      <c r="CD293" s="3535">
        <v>212.95112876542117</v>
      </c>
      <c r="CE293" s="3535">
        <v>1179.162497320375</v>
      </c>
      <c r="CF293" s="3535">
        <v>112.26410890250042</v>
      </c>
      <c r="CG293" s="3535">
        <v>151.78913651045443</v>
      </c>
      <c r="CH293" s="3535">
        <v>178.07350352015592</v>
      </c>
      <c r="CI293" s="3535">
        <v>113.72531625571314</v>
      </c>
      <c r="CJ293" s="2978">
        <v>143.01220222320012</v>
      </c>
    </row>
    <row r="294" spans="1:88">
      <c r="A294" s="53">
        <v>2017.09</v>
      </c>
      <c r="B294" s="615">
        <v>140.47537228449835</v>
      </c>
      <c r="C294" s="3535">
        <v>136.202467245782</v>
      </c>
      <c r="D294" s="358">
        <v>135.45895359448301</v>
      </c>
      <c r="E294" s="615">
        <v>143.85892708402633</v>
      </c>
      <c r="F294" s="1215">
        <v>92.686354565920396</v>
      </c>
      <c r="G294" s="1215">
        <v>228.63741339491918</v>
      </c>
      <c r="H294" s="1215">
        <v>146.08160565290021</v>
      </c>
      <c r="I294" s="1215">
        <v>234.74713163915527</v>
      </c>
      <c r="J294" s="1215">
        <v>151.45929614543417</v>
      </c>
      <c r="K294" s="1215">
        <v>109.76436305907787</v>
      </c>
      <c r="L294" s="1215">
        <v>148.62764354250845</v>
      </c>
      <c r="M294" s="1215">
        <v>118.69662858781614</v>
      </c>
      <c r="N294" s="1215">
        <v>182.21146919110402</v>
      </c>
      <c r="O294" s="1215">
        <v>111.11433293726805</v>
      </c>
      <c r="P294" s="1215">
        <v>162.88297385423476</v>
      </c>
      <c r="Q294" s="1215">
        <v>128.76241946083289</v>
      </c>
      <c r="R294" s="2661">
        <v>178.10730217100115</v>
      </c>
      <c r="S294" s="3535">
        <v>62.191024660692158</v>
      </c>
      <c r="T294" s="3535">
        <v>0</v>
      </c>
      <c r="U294" s="3535">
        <v>92.036861230235374</v>
      </c>
      <c r="V294" s="3535">
        <v>107.14552460144967</v>
      </c>
      <c r="W294" s="3535">
        <v>90.110780272943543</v>
      </c>
      <c r="X294" s="3535">
        <v>113.19869529763523</v>
      </c>
      <c r="Y294" s="3535">
        <v>125.87226072160617</v>
      </c>
      <c r="Z294" s="3535">
        <v>91.762546311227197</v>
      </c>
      <c r="AA294" s="3535">
        <v>113.14753340739679</v>
      </c>
      <c r="AB294" s="3535">
        <v>112.57882760323012</v>
      </c>
      <c r="AC294" s="3535">
        <v>65.838122977534056</v>
      </c>
      <c r="AD294" s="3535">
        <v>166.5490327986999</v>
      </c>
      <c r="AE294" s="3535">
        <v>123.98741138155337</v>
      </c>
      <c r="AF294" s="3535">
        <v>118.95409657751922</v>
      </c>
      <c r="AG294" s="3535">
        <v>116.22626217523617</v>
      </c>
      <c r="AH294" s="3535">
        <v>134.88264458273926</v>
      </c>
      <c r="AI294" s="3535">
        <v>118.22881045618965</v>
      </c>
      <c r="AJ294" s="3535">
        <v>160.70586007262938</v>
      </c>
      <c r="AK294" s="3535">
        <v>107.43589866171195</v>
      </c>
      <c r="AL294" s="3535">
        <v>97.694887193851685</v>
      </c>
      <c r="AM294" s="3535">
        <v>120.9762116367345</v>
      </c>
      <c r="AN294" s="3535">
        <v>107.91783877826069</v>
      </c>
      <c r="AO294" s="3535">
        <v>145.67165167414404</v>
      </c>
      <c r="AP294" s="3535">
        <v>132.43620355325993</v>
      </c>
      <c r="AQ294" s="3535">
        <v>90.205151072304318</v>
      </c>
      <c r="AR294" s="3535">
        <v>112.51355144989104</v>
      </c>
      <c r="AS294" s="3535">
        <v>109.71103287870703</v>
      </c>
      <c r="AT294" s="3535">
        <v>135.906099708982</v>
      </c>
      <c r="AU294" s="3535">
        <v>190.56205350022674</v>
      </c>
      <c r="AV294" s="3535">
        <v>169.28834835753227</v>
      </c>
      <c r="AW294" s="3535">
        <v>156.8759177643729</v>
      </c>
      <c r="AX294" s="3535">
        <v>136.86144763155053</v>
      </c>
      <c r="AY294" s="3535">
        <v>152.760663507109</v>
      </c>
      <c r="AZ294" s="3535">
        <v>105.19397678366722</v>
      </c>
      <c r="BA294" s="3535">
        <v>137.79848581611537</v>
      </c>
      <c r="BB294" s="3535">
        <v>188.10465508432213</v>
      </c>
      <c r="BC294" s="3535">
        <v>139.36838022766906</v>
      </c>
      <c r="BD294" s="3535">
        <v>148.58194192366011</v>
      </c>
      <c r="BE294" s="3535">
        <v>209.50776814759681</v>
      </c>
      <c r="BF294" s="3535">
        <v>195.24921087012083</v>
      </c>
      <c r="BG294" s="3535">
        <v>270.97276489395693</v>
      </c>
      <c r="BH294" s="3535">
        <v>174.22459013014787</v>
      </c>
      <c r="BI294" s="3535">
        <v>114.16900810212915</v>
      </c>
      <c r="BJ294" s="3535">
        <v>103.47006483754964</v>
      </c>
      <c r="BK294" s="3535">
        <v>142.1077591179718</v>
      </c>
      <c r="BL294" s="3535">
        <v>139.02089025838001</v>
      </c>
      <c r="BM294" s="3535">
        <v>134.78279413198172</v>
      </c>
      <c r="BN294" s="3535">
        <v>157.1916510473265</v>
      </c>
      <c r="BO294" s="3535">
        <v>169.61059954830765</v>
      </c>
      <c r="BP294" s="3535">
        <v>124.72894129928902</v>
      </c>
      <c r="BQ294" s="3535">
        <v>182.20667369175183</v>
      </c>
      <c r="BR294" s="3535">
        <v>113.79009443680032</v>
      </c>
      <c r="BS294" s="3535">
        <v>304.20824968921318</v>
      </c>
      <c r="BT294" s="3535">
        <v>109.22469323690403</v>
      </c>
      <c r="BU294" s="3535">
        <v>269.42087643459877</v>
      </c>
      <c r="BV294" s="3535">
        <v>193.81194853216564</v>
      </c>
      <c r="BW294" s="3535">
        <v>504.78579498349995</v>
      </c>
      <c r="BX294" s="3535">
        <v>106.18692607692927</v>
      </c>
      <c r="BY294" s="3535">
        <v>121.93907238976705</v>
      </c>
      <c r="BZ294" s="3535">
        <v>164.26800031398034</v>
      </c>
      <c r="CA294" s="3535">
        <v>269.85672520038923</v>
      </c>
      <c r="CB294" s="3535">
        <v>226.84013242536253</v>
      </c>
      <c r="CC294" s="3535">
        <v>109.09809597437994</v>
      </c>
      <c r="CD294" s="3535">
        <v>201.28311137341848</v>
      </c>
      <c r="CE294" s="3535">
        <v>1078.8895963421965</v>
      </c>
      <c r="CF294" s="3535">
        <v>109.82943523210565</v>
      </c>
      <c r="CG294" s="3535">
        <v>147.10664722399522</v>
      </c>
      <c r="CH294" s="3535">
        <v>176.72294883253898</v>
      </c>
      <c r="CI294" s="3535">
        <v>101.50123936488595</v>
      </c>
      <c r="CJ294" s="2978">
        <v>140.47537228449838</v>
      </c>
    </row>
    <row r="295" spans="1:88">
      <c r="A295" s="53">
        <v>2017.1</v>
      </c>
      <c r="B295" s="615">
        <v>142.91248117324935</v>
      </c>
      <c r="C295" s="3535">
        <v>134.36693019422501</v>
      </c>
      <c r="D295" s="358">
        <v>135.63684403384499</v>
      </c>
      <c r="E295" s="615">
        <v>146.48768862693058</v>
      </c>
      <c r="F295" s="1215">
        <v>99.546791199083899</v>
      </c>
      <c r="G295" s="1215">
        <v>246.65127020785218</v>
      </c>
      <c r="H295" s="1215">
        <v>152.76664753672702</v>
      </c>
      <c r="I295" s="1215">
        <v>217.12088895376002</v>
      </c>
      <c r="J295" s="1215">
        <v>161.42026127205546</v>
      </c>
      <c r="K295" s="1215">
        <v>115.15125425330346</v>
      </c>
      <c r="L295" s="1215">
        <v>139.67634138851983</v>
      </c>
      <c r="M295" s="1215">
        <v>121.09122184910269</v>
      </c>
      <c r="N295" s="1215">
        <v>146.4536455444522</v>
      </c>
      <c r="O295" s="1215">
        <v>112.62899808584683</v>
      </c>
      <c r="P295" s="1215">
        <v>179.01585463777286</v>
      </c>
      <c r="Q295" s="1215">
        <v>135.81086093925009</v>
      </c>
      <c r="R295" s="2661">
        <v>174.15234434335517</v>
      </c>
      <c r="S295" s="3535">
        <v>59.466206357786518</v>
      </c>
      <c r="T295" s="3535">
        <v>0</v>
      </c>
      <c r="U295" s="3535">
        <v>88.004386682816644</v>
      </c>
      <c r="V295" s="3535">
        <v>103.67807946143984</v>
      </c>
      <c r="W295" s="3535">
        <v>61.458750172464995</v>
      </c>
      <c r="X295" s="3535">
        <v>111.47689589562381</v>
      </c>
      <c r="Y295" s="3535">
        <v>124.95878869552068</v>
      </c>
      <c r="Z295" s="3535">
        <v>90.470813075022008</v>
      </c>
      <c r="AA295" s="3535">
        <v>117.86490165781865</v>
      </c>
      <c r="AB295" s="3535">
        <v>121.02268866205461</v>
      </c>
      <c r="AC295" s="3535">
        <v>67.34206984911124</v>
      </c>
      <c r="AD295" s="3535">
        <v>158.8963447100237</v>
      </c>
      <c r="AE295" s="3535">
        <v>122.06590275177314</v>
      </c>
      <c r="AF295" s="3535">
        <v>110.29653727497647</v>
      </c>
      <c r="AG295" s="3535">
        <v>118.09056941413311</v>
      </c>
      <c r="AH295" s="3535">
        <v>133.83005815713656</v>
      </c>
      <c r="AI295" s="3535">
        <v>111.00751325523794</v>
      </c>
      <c r="AJ295" s="3535">
        <v>147.96690127663553</v>
      </c>
      <c r="AK295" s="3535">
        <v>100.66422298097095</v>
      </c>
      <c r="AL295" s="3535">
        <v>105.39772124243602</v>
      </c>
      <c r="AM295" s="3535">
        <v>115.01859602189151</v>
      </c>
      <c r="AN295" s="3535">
        <v>101.26208193498609</v>
      </c>
      <c r="AO295" s="3535">
        <v>155.5085604418048</v>
      </c>
      <c r="AP295" s="3535">
        <v>140.62455991891312</v>
      </c>
      <c r="AQ295" s="3535">
        <v>94.293903194160251</v>
      </c>
      <c r="AR295" s="3535">
        <v>133.48132622045193</v>
      </c>
      <c r="AS295" s="3535">
        <v>105.60007864962024</v>
      </c>
      <c r="AT295" s="3535">
        <v>132.75568270890733</v>
      </c>
      <c r="AU295" s="3535">
        <v>198.08141070534955</v>
      </c>
      <c r="AV295" s="3535">
        <v>180.62997006597604</v>
      </c>
      <c r="AW295" s="3535">
        <v>193.0885201737259</v>
      </c>
      <c r="AX295" s="3535">
        <v>137.97209368517267</v>
      </c>
      <c r="AY295" s="3535">
        <v>152.18009478672985</v>
      </c>
      <c r="AZ295" s="3535">
        <v>103.57850108794739</v>
      </c>
      <c r="BA295" s="3535">
        <v>139.58537546534671</v>
      </c>
      <c r="BB295" s="3535">
        <v>197.90838810025843</v>
      </c>
      <c r="BC295" s="3535">
        <v>153.12054387493654</v>
      </c>
      <c r="BD295" s="3535">
        <v>163.20117131409006</v>
      </c>
      <c r="BE295" s="3535">
        <v>216.88632913153288</v>
      </c>
      <c r="BF295" s="3535">
        <v>206.14194458103782</v>
      </c>
      <c r="BG295" s="3535">
        <v>277.71925834661965</v>
      </c>
      <c r="BH295" s="3535">
        <v>178.034378269336</v>
      </c>
      <c r="BI295" s="3535">
        <v>94.983559888163256</v>
      </c>
      <c r="BJ295" s="3535">
        <v>73.174122930818157</v>
      </c>
      <c r="BK295" s="3535">
        <v>154.37883842300215</v>
      </c>
      <c r="BL295" s="3535">
        <v>143.22282645899011</v>
      </c>
      <c r="BM295" s="3535">
        <v>137.90847680163898</v>
      </c>
      <c r="BN295" s="3535">
        <v>165.53215397674722</v>
      </c>
      <c r="BO295" s="3535">
        <v>198.07587052175074</v>
      </c>
      <c r="BP295" s="3535">
        <v>124.32049511058747</v>
      </c>
      <c r="BQ295" s="3535">
        <v>209.38266029472015</v>
      </c>
      <c r="BR295" s="3535">
        <v>122.13997578367288</v>
      </c>
      <c r="BS295" s="3535">
        <v>387.66377910583509</v>
      </c>
      <c r="BT295" s="3535">
        <v>109.76946077165253</v>
      </c>
      <c r="BU295" s="3535">
        <v>285.04069879933087</v>
      </c>
      <c r="BV295" s="3535">
        <v>201.91706029224383</v>
      </c>
      <c r="BW295" s="3535">
        <v>546.85244129138448</v>
      </c>
      <c r="BX295" s="3535">
        <v>105.20314065810626</v>
      </c>
      <c r="BY295" s="3535">
        <v>121.09078800796145</v>
      </c>
      <c r="BZ295" s="3535">
        <v>162.19002975279426</v>
      </c>
      <c r="CA295" s="3535">
        <v>269.79951278313297</v>
      </c>
      <c r="CB295" s="3535">
        <v>183.71570483307244</v>
      </c>
      <c r="CC295" s="3535">
        <v>111.52326032199413</v>
      </c>
      <c r="CD295" s="3535">
        <v>207.24025102483944</v>
      </c>
      <c r="CE295" s="3535">
        <v>1163.2955593569216</v>
      </c>
      <c r="CF295" s="3535">
        <v>107.61157457482911</v>
      </c>
      <c r="CG295" s="3535">
        <v>160.06704536281379</v>
      </c>
      <c r="CH295" s="3535">
        <v>195.97845932804435</v>
      </c>
      <c r="CI295" s="3535">
        <v>112.36614683557345</v>
      </c>
      <c r="CJ295" s="2978">
        <v>142.91248117324932</v>
      </c>
    </row>
    <row r="296" spans="1:88">
      <c r="A296" s="53">
        <v>2017.11</v>
      </c>
      <c r="B296" s="615">
        <v>141.47192895606011</v>
      </c>
      <c r="C296" s="3535">
        <v>137.984039990486</v>
      </c>
      <c r="D296" s="358">
        <v>135.51176226469599</v>
      </c>
      <c r="E296" s="615">
        <v>143.84183476565198</v>
      </c>
      <c r="F296" s="1215">
        <v>99.103097273522437</v>
      </c>
      <c r="G296" s="1215">
        <v>245.26558891454962</v>
      </c>
      <c r="H296" s="1215">
        <v>159.51701660492424</v>
      </c>
      <c r="I296" s="1215">
        <v>222.3646699781776</v>
      </c>
      <c r="J296" s="1215">
        <v>151.54222528801634</v>
      </c>
      <c r="K296" s="1215">
        <v>110.17991553652877</v>
      </c>
      <c r="L296" s="1215">
        <v>134.81043192960308</v>
      </c>
      <c r="M296" s="1215">
        <v>117.92773839937645</v>
      </c>
      <c r="N296" s="1215">
        <v>105.68033546230866</v>
      </c>
      <c r="O296" s="1215">
        <v>100.75372065358411</v>
      </c>
      <c r="P296" s="1215">
        <v>190.49202433911256</v>
      </c>
      <c r="Q296" s="1215">
        <v>125.31873474722772</v>
      </c>
      <c r="R296" s="2661">
        <v>181.81458666278036</v>
      </c>
      <c r="S296" s="3535">
        <v>58.674951684179319</v>
      </c>
      <c r="T296" s="3535">
        <v>0</v>
      </c>
      <c r="U296" s="3535">
        <v>86.833404262284347</v>
      </c>
      <c r="V296" s="3535">
        <v>101.88570476598697</v>
      </c>
      <c r="W296" s="3535">
        <v>16.763682976953486</v>
      </c>
      <c r="X296" s="3535">
        <v>117.20426746398478</v>
      </c>
      <c r="Y296" s="3535">
        <v>123.52961128706612</v>
      </c>
      <c r="Z296" s="3535">
        <v>93.400970546967045</v>
      </c>
      <c r="AA296" s="3535">
        <v>104.28557378935332</v>
      </c>
      <c r="AB296" s="3535">
        <v>101.62672317131768</v>
      </c>
      <c r="AC296" s="3535">
        <v>63.364738421914154</v>
      </c>
      <c r="AD296" s="3535">
        <v>159.68275120017134</v>
      </c>
      <c r="AE296" s="3535">
        <v>126.39860912227189</v>
      </c>
      <c r="AF296" s="3535">
        <v>126.45889426126929</v>
      </c>
      <c r="AG296" s="3535">
        <v>115.85747297748256</v>
      </c>
      <c r="AH296" s="3535">
        <v>136.5567433518259</v>
      </c>
      <c r="AI296" s="3535">
        <v>113.95692314439221</v>
      </c>
      <c r="AJ296" s="3535">
        <v>158.15592162938646</v>
      </c>
      <c r="AK296" s="3535">
        <v>106.09817231793922</v>
      </c>
      <c r="AL296" s="3535">
        <v>91.70197946569705</v>
      </c>
      <c r="AM296" s="3535">
        <v>116.33414871175687</v>
      </c>
      <c r="AN296" s="3535">
        <v>99.492543082776294</v>
      </c>
      <c r="AO296" s="3535">
        <v>148.91840717021734</v>
      </c>
      <c r="AP296" s="3535">
        <v>133.45692343917733</v>
      </c>
      <c r="AQ296" s="3535">
        <v>76.597272407736455</v>
      </c>
      <c r="AR296" s="3535">
        <v>136.30543110354546</v>
      </c>
      <c r="AS296" s="3535">
        <v>93.983481999628182</v>
      </c>
      <c r="AT296" s="3535">
        <v>141.04951521705428</v>
      </c>
      <c r="AU296" s="3535">
        <v>186.67139041944756</v>
      </c>
      <c r="AV296" s="3535">
        <v>176.65674069783191</v>
      </c>
      <c r="AW296" s="3535">
        <v>198.05153209132794</v>
      </c>
      <c r="AX296" s="3535">
        <v>132.50457198416549</v>
      </c>
      <c r="AY296" s="3535">
        <v>142.65402843601896</v>
      </c>
      <c r="AZ296" s="3535">
        <v>103.59017212911377</v>
      </c>
      <c r="BA296" s="3535">
        <v>134.21023823167846</v>
      </c>
      <c r="BB296" s="3535">
        <v>200.02599738544492</v>
      </c>
      <c r="BC296" s="3535">
        <v>154.41617289071573</v>
      </c>
      <c r="BD296" s="3535">
        <v>165.01995975661063</v>
      </c>
      <c r="BE296" s="3535">
        <v>218.38890385693145</v>
      </c>
      <c r="BF296" s="3535">
        <v>187.43045393259953</v>
      </c>
      <c r="BG296" s="3535">
        <v>283.5368963232545</v>
      </c>
      <c r="BH296" s="3535">
        <v>181.57505415076818</v>
      </c>
      <c r="BI296" s="3535">
        <v>112.04786363045446</v>
      </c>
      <c r="BJ296" s="3535">
        <v>97.795735632712422</v>
      </c>
      <c r="BK296" s="3535">
        <v>158.11314637320189</v>
      </c>
      <c r="BL296" s="3535">
        <v>136.38719317283906</v>
      </c>
      <c r="BM296" s="3535">
        <v>146.62210422484574</v>
      </c>
      <c r="BN296" s="3535">
        <v>174.32273866392211</v>
      </c>
      <c r="BO296" s="3535">
        <v>214.77388894495868</v>
      </c>
      <c r="BP296" s="3535">
        <v>132.45451749702337</v>
      </c>
      <c r="BQ296" s="3535">
        <v>189.29213866287603</v>
      </c>
      <c r="BR296" s="3535">
        <v>108.94280346885168</v>
      </c>
      <c r="BS296" s="3535">
        <v>327.6453995425407</v>
      </c>
      <c r="BT296" s="3535">
        <v>114.05095372427148</v>
      </c>
      <c r="BU296" s="3535">
        <v>285.55835352788506</v>
      </c>
      <c r="BV296" s="3535">
        <v>191.25550771769301</v>
      </c>
      <c r="BW296" s="3535">
        <v>499.95548387822674</v>
      </c>
      <c r="BX296" s="3535">
        <v>102.1971205701104</v>
      </c>
      <c r="BY296" s="3535">
        <v>124.67268673450877</v>
      </c>
      <c r="BZ296" s="3535">
        <v>163.26988703134336</v>
      </c>
      <c r="CA296" s="3535">
        <v>266.66772843776806</v>
      </c>
      <c r="CB296" s="3535">
        <v>205.94870744679685</v>
      </c>
      <c r="CC296" s="3535">
        <v>111.69167103871871</v>
      </c>
      <c r="CD296" s="3535">
        <v>204.18465981905987</v>
      </c>
      <c r="CE296" s="3535">
        <v>1144.5101154749136</v>
      </c>
      <c r="CF296" s="3535">
        <v>106.19516092418526</v>
      </c>
      <c r="CG296" s="3535">
        <v>156.65617783470793</v>
      </c>
      <c r="CH296" s="3535">
        <v>177.21034870690653</v>
      </c>
      <c r="CI296" s="3535">
        <v>133.82761824746541</v>
      </c>
      <c r="CJ296" s="2978">
        <v>141.47192895606017</v>
      </c>
    </row>
    <row r="297" spans="1:88">
      <c r="A297" s="53">
        <v>2017.12</v>
      </c>
      <c r="B297" s="615">
        <v>126.4041221015147</v>
      </c>
      <c r="C297" s="3535">
        <v>136.22695122366301</v>
      </c>
      <c r="D297" s="358">
        <v>135.148031429897</v>
      </c>
      <c r="E297" s="615">
        <v>128.48627346553991</v>
      </c>
      <c r="F297" s="1215">
        <v>96.283748162337886</v>
      </c>
      <c r="G297" s="1215">
        <v>228.63741339491918</v>
      </c>
      <c r="H297" s="1215">
        <v>161.3152815561142</v>
      </c>
      <c r="I297" s="1215">
        <v>191.09737803736277</v>
      </c>
      <c r="J297" s="1215">
        <v>102.78879871263291</v>
      </c>
      <c r="K297" s="1215">
        <v>109.14726207387184</v>
      </c>
      <c r="L297" s="1215">
        <v>132.38305592975991</v>
      </c>
      <c r="M297" s="1215">
        <v>100.52452013405029</v>
      </c>
      <c r="N297" s="1215">
        <v>61.932103613628527</v>
      </c>
      <c r="O297" s="1215">
        <v>89.276496778790658</v>
      </c>
      <c r="P297" s="1215">
        <v>188.84817697248701</v>
      </c>
      <c r="Q297" s="1215">
        <v>107.56076404797467</v>
      </c>
      <c r="R297" s="2661">
        <v>169.82622078502342</v>
      </c>
      <c r="S297" s="3535">
        <v>51.38731253908869</v>
      </c>
      <c r="T297" s="3535">
        <v>0</v>
      </c>
      <c r="U297" s="3535">
        <v>76.048384456738788</v>
      </c>
      <c r="V297" s="3535">
        <v>88.00604741515788</v>
      </c>
      <c r="W297" s="3535">
        <v>23.885613753290155</v>
      </c>
      <c r="X297" s="3535">
        <v>93.006115792334882</v>
      </c>
      <c r="Y297" s="3535">
        <v>104.63563806558483</v>
      </c>
      <c r="Z297" s="3535">
        <v>84.716405038316253</v>
      </c>
      <c r="AA297" s="3535">
        <v>101.6508203099212</v>
      </c>
      <c r="AB297" s="3535">
        <v>110.94766982322056</v>
      </c>
      <c r="AC297" s="3535">
        <v>59.994514768843324</v>
      </c>
      <c r="AD297" s="3535">
        <v>107.04314866624152</v>
      </c>
      <c r="AE297" s="3535">
        <v>110.65483798507277</v>
      </c>
      <c r="AF297" s="3535">
        <v>112.46068912347579</v>
      </c>
      <c r="AG297" s="3535">
        <v>102.45743998022751</v>
      </c>
      <c r="AH297" s="3535">
        <v>117.37102566433198</v>
      </c>
      <c r="AI297" s="3535">
        <v>122.36176515833078</v>
      </c>
      <c r="AJ297" s="3535">
        <v>168.40873810691588</v>
      </c>
      <c r="AK297" s="3535">
        <v>111.53298439949582</v>
      </c>
      <c r="AL297" s="3535">
        <v>96.652862452448602</v>
      </c>
      <c r="AM297" s="3535">
        <v>108.06629581466285</v>
      </c>
      <c r="AN297" s="3535">
        <v>111.32876928294674</v>
      </c>
      <c r="AO297" s="3535">
        <v>138.35641550628804</v>
      </c>
      <c r="AP297" s="3535">
        <v>140.21282424914151</v>
      </c>
      <c r="AQ297" s="3535">
        <v>81.214114777929723</v>
      </c>
      <c r="AR297" s="3535">
        <v>128.28473167769792</v>
      </c>
      <c r="AS297" s="3535">
        <v>107.43272137477172</v>
      </c>
      <c r="AT297" s="3535">
        <v>120.24684927428524</v>
      </c>
      <c r="AU297" s="3535">
        <v>165.31061982529718</v>
      </c>
      <c r="AV297" s="3535">
        <v>156.15847126834944</v>
      </c>
      <c r="AW297" s="3535">
        <v>178.73258657142486</v>
      </c>
      <c r="AX297" s="3535">
        <v>112.953210218631</v>
      </c>
      <c r="AY297" s="3535">
        <v>124.4431279620853</v>
      </c>
      <c r="AZ297" s="3535">
        <v>96.248638195329988</v>
      </c>
      <c r="BA297" s="3535">
        <v>112.84351529095152</v>
      </c>
      <c r="BB297" s="3535">
        <v>177.07520094748534</v>
      </c>
      <c r="BC297" s="3535">
        <v>153.97207994972064</v>
      </c>
      <c r="BD297" s="3535">
        <v>152.54302523343401</v>
      </c>
      <c r="BE297" s="3535">
        <v>190.55548671144288</v>
      </c>
      <c r="BF297" s="3535">
        <v>162.1635401620693</v>
      </c>
      <c r="BG297" s="3535">
        <v>226.58670997903397</v>
      </c>
      <c r="BH297" s="3535">
        <v>162.26017386262842</v>
      </c>
      <c r="BI297" s="3535">
        <v>110.73525121880392</v>
      </c>
      <c r="BJ297" s="3535">
        <v>102.35126905082414</v>
      </c>
      <c r="BK297" s="3535">
        <v>148.57366316789836</v>
      </c>
      <c r="BL297" s="3535">
        <v>114.4125782528637</v>
      </c>
      <c r="BM297" s="3535">
        <v>127.84819192612093</v>
      </c>
      <c r="BN297" s="3535">
        <v>143.41945636663158</v>
      </c>
      <c r="BO297" s="3535">
        <v>208.24564732925853</v>
      </c>
      <c r="BP297" s="3535">
        <v>116.96729080899124</v>
      </c>
      <c r="BQ297" s="3535">
        <v>152.38284512306518</v>
      </c>
      <c r="BR297" s="3535">
        <v>108.06974340049436</v>
      </c>
      <c r="BS297" s="3535">
        <v>229.55079292452479</v>
      </c>
      <c r="BT297" s="3535">
        <v>98.721534487004334</v>
      </c>
      <c r="BU297" s="3535">
        <v>222.38823762268987</v>
      </c>
      <c r="BV297" s="3535">
        <v>146.85779436339254</v>
      </c>
      <c r="BW297" s="3535">
        <v>274.06609727095992</v>
      </c>
      <c r="BX297" s="3535">
        <v>110.94005677997836</v>
      </c>
      <c r="BY297" s="3535">
        <v>117.62593343677825</v>
      </c>
      <c r="BZ297" s="3535">
        <v>133.28539865835498</v>
      </c>
      <c r="CA297" s="3535">
        <v>197.09331598603558</v>
      </c>
      <c r="CB297" s="3535">
        <v>170.69994110704124</v>
      </c>
      <c r="CC297" s="3535">
        <v>99.998283130473581</v>
      </c>
      <c r="CD297" s="3535">
        <v>182.34623092135806</v>
      </c>
      <c r="CE297" s="3535">
        <v>1026.228736270388</v>
      </c>
      <c r="CF297" s="3535">
        <v>94.406865536819538</v>
      </c>
      <c r="CG297" s="3535">
        <v>136.98771518669233</v>
      </c>
      <c r="CH297" s="3535">
        <v>155.27894640197076</v>
      </c>
      <c r="CI297" s="3535">
        <v>114.23063854906292</v>
      </c>
      <c r="CJ297" s="2978">
        <v>126.40412210151472</v>
      </c>
    </row>
    <row r="298" spans="1:88">
      <c r="A298" s="53">
        <v>2018.01</v>
      </c>
      <c r="B298" s="615">
        <v>120.49879049928444</v>
      </c>
      <c r="C298" s="3535">
        <v>131.728353970142</v>
      </c>
      <c r="D298" s="358">
        <v>134.57868386692201</v>
      </c>
      <c r="E298" s="615">
        <v>132.35087943589363</v>
      </c>
      <c r="F298" s="1215">
        <v>100.01500917513636</v>
      </c>
      <c r="G298" s="1215">
        <v>228.31496345348725</v>
      </c>
      <c r="H298" s="1215">
        <v>160.84949570206288</v>
      </c>
      <c r="I298" s="1215">
        <v>154.68420936029023</v>
      </c>
      <c r="J298" s="1215">
        <v>128.47644699723472</v>
      </c>
      <c r="K298" s="1215">
        <v>150.65843001444986</v>
      </c>
      <c r="L298" s="1215">
        <v>132.09774050748536</v>
      </c>
      <c r="M298" s="1215">
        <v>105.46107011979353</v>
      </c>
      <c r="N298" s="1215">
        <v>41.299336005820621</v>
      </c>
      <c r="O298" s="1215">
        <v>101.62514236503948</v>
      </c>
      <c r="P298" s="1215">
        <v>178.01169988527801</v>
      </c>
      <c r="Q298" s="1215">
        <v>92.854477832486666</v>
      </c>
      <c r="R298" s="2661">
        <v>176.14292517824188</v>
      </c>
      <c r="S298" s="3535">
        <v>109.30244999172616</v>
      </c>
      <c r="T298" s="3535">
        <v>131.77237087859737</v>
      </c>
      <c r="U298" s="3535">
        <v>98.519003502798981</v>
      </c>
      <c r="V298" s="3535">
        <v>76.504189251659028</v>
      </c>
      <c r="W298" s="3535">
        <v>12.119815567002389</v>
      </c>
      <c r="X298" s="3535">
        <v>90.747188132239415</v>
      </c>
      <c r="Y298" s="3535">
        <v>87.589168350443003</v>
      </c>
      <c r="Z298" s="3535">
        <v>73.173574255744128</v>
      </c>
      <c r="AA298" s="3535">
        <v>79.494312263847561</v>
      </c>
      <c r="AB298" s="3535">
        <v>80.977472345115913</v>
      </c>
      <c r="AC298" s="3535">
        <v>60.089740197543414</v>
      </c>
      <c r="AD298" s="3535">
        <v>94.10488748698738</v>
      </c>
      <c r="AE298" s="3535">
        <v>111.38693289774872</v>
      </c>
      <c r="AF298" s="3535">
        <v>89.906694251910849</v>
      </c>
      <c r="AG298" s="3535">
        <v>108.37065014745768</v>
      </c>
      <c r="AH298" s="3535">
        <v>128.75628781873093</v>
      </c>
      <c r="AI298" s="3535">
        <v>117.2185378345594</v>
      </c>
      <c r="AJ298" s="3535">
        <v>163.95779518109606</v>
      </c>
      <c r="AK298" s="3535">
        <v>103.27873499122342</v>
      </c>
      <c r="AL298" s="3535">
        <v>94.68868886858489</v>
      </c>
      <c r="AM298" s="3535">
        <v>84.403310078877098</v>
      </c>
      <c r="AN298" s="3535">
        <v>109.56615846591815</v>
      </c>
      <c r="AO298" s="3535">
        <v>142.94755088723551</v>
      </c>
      <c r="AP298" s="3535">
        <v>133.63204424255736</v>
      </c>
      <c r="AQ298" s="3535">
        <v>94.609605451049873</v>
      </c>
      <c r="AR298" s="3535">
        <v>116.66209926084208</v>
      </c>
      <c r="AS298" s="3535">
        <v>118.01632668301485</v>
      </c>
      <c r="AT298" s="3535">
        <v>120.58180244280648</v>
      </c>
      <c r="AU298" s="3535">
        <v>174.19408914688429</v>
      </c>
      <c r="AV298" s="3535">
        <v>166.3321764248312</v>
      </c>
      <c r="AW298" s="3535">
        <v>168.70693707136996</v>
      </c>
      <c r="AX298" s="3535">
        <v>114.75965854331457</v>
      </c>
      <c r="AY298" s="3535">
        <v>97.677725118483423</v>
      </c>
      <c r="AZ298" s="3535">
        <v>86.305148701457341</v>
      </c>
      <c r="BA298" s="3535">
        <v>121.70706160322432</v>
      </c>
      <c r="BB298" s="3535">
        <v>178.01417730592519</v>
      </c>
      <c r="BC298" s="3535">
        <v>137.91419357306083</v>
      </c>
      <c r="BD298" s="3535">
        <v>146.91032775084594</v>
      </c>
      <c r="BE298" s="3535">
        <v>193.69571630611452</v>
      </c>
      <c r="BF298" s="3535">
        <v>170.00155198183947</v>
      </c>
      <c r="BG298" s="3535">
        <v>250.40119079154556</v>
      </c>
      <c r="BH298" s="3535">
        <v>164.58849200512014</v>
      </c>
      <c r="BI298" s="3535">
        <v>105.48521069930986</v>
      </c>
      <c r="BJ298" s="3535">
        <v>93.614023635617372</v>
      </c>
      <c r="BK298" s="3535">
        <v>149.34488125586645</v>
      </c>
      <c r="BL298" s="3535">
        <v>120.31926347858622</v>
      </c>
      <c r="BM298" s="3535">
        <v>117.85896607513635</v>
      </c>
      <c r="BN298" s="3535">
        <v>133.29602911252135</v>
      </c>
      <c r="BO298" s="3535">
        <v>211.0234559865836</v>
      </c>
      <c r="BP298" s="3535">
        <v>106.13898581526492</v>
      </c>
      <c r="BQ298" s="3535">
        <v>120.44776695666641</v>
      </c>
      <c r="BR298" s="3535">
        <v>82.356542966644611</v>
      </c>
      <c r="BS298" s="3535">
        <v>171.40015702795071</v>
      </c>
      <c r="BT298" s="3535">
        <v>84.931278340788595</v>
      </c>
      <c r="BU298" s="3535">
        <v>195.23837460208867</v>
      </c>
      <c r="BV298" s="3535">
        <v>117.77065267310012</v>
      </c>
      <c r="BW298" s="3535">
        <v>213.41034711153947</v>
      </c>
      <c r="BX298" s="3535">
        <v>86.604343939771468</v>
      </c>
      <c r="BY298" s="3535">
        <v>105.35409050746891</v>
      </c>
      <c r="BZ298" s="3535">
        <v>85.987814636199559</v>
      </c>
      <c r="CA298" s="3535">
        <v>133.926872756558</v>
      </c>
      <c r="CB298" s="3535">
        <v>113.82798841297628</v>
      </c>
      <c r="CC298" s="3535">
        <v>61.014576503349247</v>
      </c>
      <c r="CD298" s="3535">
        <v>193.11326460115123</v>
      </c>
      <c r="CE298" s="3535">
        <v>1169.8769361064196</v>
      </c>
      <c r="CF298" s="3535">
        <v>91.326609636289064</v>
      </c>
      <c r="CG298" s="3535">
        <v>116.19952307500795</v>
      </c>
      <c r="CH298" s="3535">
        <v>132.09883381365535</v>
      </c>
      <c r="CI298" s="3535">
        <v>85.164298215593675</v>
      </c>
      <c r="CJ298" s="2978">
        <v>120.49879049928437</v>
      </c>
    </row>
    <row r="299" spans="1:88">
      <c r="A299" s="53">
        <v>2018.02</v>
      </c>
      <c r="B299" s="615">
        <v>116.47032626071217</v>
      </c>
      <c r="C299" s="3535">
        <v>132.21020450212399</v>
      </c>
      <c r="D299" s="358">
        <v>133.790207560939</v>
      </c>
      <c r="E299" s="615">
        <v>121.85990797217029</v>
      </c>
      <c r="F299" s="1215">
        <v>90.028490502894172</v>
      </c>
      <c r="G299" s="1215">
        <v>198.43467765838335</v>
      </c>
      <c r="H299" s="1215">
        <v>141.8831147486552</v>
      </c>
      <c r="I299" s="1215">
        <v>152.46927686630266</v>
      </c>
      <c r="J299" s="1215">
        <v>113.39052689638916</v>
      </c>
      <c r="K299" s="1215">
        <v>123.56301311262486</v>
      </c>
      <c r="L299" s="1215">
        <v>129.40739806343848</v>
      </c>
      <c r="M299" s="1215">
        <v>106.30386713459885</v>
      </c>
      <c r="N299" s="1215">
        <v>79.742605978633449</v>
      </c>
      <c r="O299" s="1215">
        <v>108.16703197996641</v>
      </c>
      <c r="P299" s="1215">
        <v>152.5536246584237</v>
      </c>
      <c r="Q299" s="1215">
        <v>89.726132005577767</v>
      </c>
      <c r="R299" s="2661">
        <v>153.60474128906054</v>
      </c>
      <c r="S299" s="3535">
        <v>112.66550049931645</v>
      </c>
      <c r="T299" s="3535">
        <v>180.88711449683166</v>
      </c>
      <c r="U299" s="3535">
        <v>79.925548826398654</v>
      </c>
      <c r="V299" s="3535">
        <v>72.874402641105021</v>
      </c>
      <c r="W299" s="3535">
        <v>13.160123008734599</v>
      </c>
      <c r="X299" s="3535">
        <v>76.800372829306966</v>
      </c>
      <c r="Y299" s="3535">
        <v>99.762717906376963</v>
      </c>
      <c r="Z299" s="3535">
        <v>60.570979429441536</v>
      </c>
      <c r="AA299" s="3535">
        <v>83.281799099008538</v>
      </c>
      <c r="AB299" s="3535">
        <v>80.358893966262613</v>
      </c>
      <c r="AC299" s="3535">
        <v>58.576315719250843</v>
      </c>
      <c r="AD299" s="3535">
        <v>122.32566779273326</v>
      </c>
      <c r="AE299" s="3535">
        <v>105.71915457493132</v>
      </c>
      <c r="AF299" s="3535">
        <v>94.298129113799334</v>
      </c>
      <c r="AG299" s="3535">
        <v>105.50003856063287</v>
      </c>
      <c r="AH299" s="3535">
        <v>113.61476947189855</v>
      </c>
      <c r="AI299" s="3535">
        <v>107.0506013101529</v>
      </c>
      <c r="AJ299" s="3535">
        <v>149.70489834370565</v>
      </c>
      <c r="AK299" s="3535">
        <v>93.487696210254327</v>
      </c>
      <c r="AL299" s="3535">
        <v>74.264504439394031</v>
      </c>
      <c r="AM299" s="3535">
        <v>95.174177788868533</v>
      </c>
      <c r="AN299" s="3535">
        <v>102.17485386680791</v>
      </c>
      <c r="AO299" s="3535">
        <v>123.03747785051902</v>
      </c>
      <c r="AP299" s="3535">
        <v>111.61405792013682</v>
      </c>
      <c r="AQ299" s="3535">
        <v>86.632625729603603</v>
      </c>
      <c r="AR299" s="3535">
        <v>84.518419780178419</v>
      </c>
      <c r="AS299" s="3535">
        <v>107.02847406239093</v>
      </c>
      <c r="AT299" s="3535">
        <v>106.6587671840515</v>
      </c>
      <c r="AU299" s="3535">
        <v>150.15807093229478</v>
      </c>
      <c r="AV299" s="3535">
        <v>156.40137805350298</v>
      </c>
      <c r="AW299" s="3535">
        <v>129.28149872141688</v>
      </c>
      <c r="AX299" s="3535">
        <v>105.64518440857236</v>
      </c>
      <c r="AY299" s="3535">
        <v>84.158767772511851</v>
      </c>
      <c r="AZ299" s="3535">
        <v>80.36577976379418</v>
      </c>
      <c r="BA299" s="3535">
        <v>113.04564258422045</v>
      </c>
      <c r="BB299" s="3535">
        <v>168.28235240454686</v>
      </c>
      <c r="BC299" s="3535">
        <v>135.55469459220197</v>
      </c>
      <c r="BD299" s="3535">
        <v>147.22399080302148</v>
      </c>
      <c r="BE299" s="3535">
        <v>171.53240332487752</v>
      </c>
      <c r="BF299" s="3535">
        <v>156.44448425925984</v>
      </c>
      <c r="BG299" s="3535">
        <v>241.5013242512384</v>
      </c>
      <c r="BH299" s="3535">
        <v>152.31853744179406</v>
      </c>
      <c r="BI299" s="3535">
        <v>105.72962570776954</v>
      </c>
      <c r="BJ299" s="3535">
        <v>94.862049954334609</v>
      </c>
      <c r="BK299" s="3535">
        <v>143.71692951386967</v>
      </c>
      <c r="BL299" s="3535">
        <v>121.45394219584195</v>
      </c>
      <c r="BM299" s="3535">
        <v>105.02542387455516</v>
      </c>
      <c r="BN299" s="3535">
        <v>115.04391716335421</v>
      </c>
      <c r="BO299" s="3535">
        <v>162.59867473607989</v>
      </c>
      <c r="BP299" s="3535">
        <v>97.619541030662191</v>
      </c>
      <c r="BQ299" s="3535">
        <v>142.94577335769273</v>
      </c>
      <c r="BR299" s="3535">
        <v>76.841895899971689</v>
      </c>
      <c r="BS299" s="3535">
        <v>265.39676746382594</v>
      </c>
      <c r="BT299" s="3535">
        <v>79.130721629384766</v>
      </c>
      <c r="BU299" s="3535">
        <v>207.75695873114395</v>
      </c>
      <c r="BV299" s="3535">
        <v>146.35567275830184</v>
      </c>
      <c r="BW299" s="3535">
        <v>355.9313531950649</v>
      </c>
      <c r="BX299" s="3535">
        <v>88.039422542733362</v>
      </c>
      <c r="BY299" s="3535">
        <v>96.224704805733452</v>
      </c>
      <c r="BZ299" s="3535">
        <v>141.85392533473612</v>
      </c>
      <c r="CA299" s="3535">
        <v>234.28745866660839</v>
      </c>
      <c r="CB299" s="3535">
        <v>168.98066582164628</v>
      </c>
      <c r="CC299" s="3535">
        <v>97.196054657176106</v>
      </c>
      <c r="CD299" s="3535">
        <v>166.49422731248563</v>
      </c>
      <c r="CE299" s="3535">
        <v>1022.0690713119603</v>
      </c>
      <c r="CF299" s="3535">
        <v>77.336425908402006</v>
      </c>
      <c r="CG299" s="3535">
        <v>99.04232928894605</v>
      </c>
      <c r="CH299" s="3535">
        <v>114.19083739408018</v>
      </c>
      <c r="CI299" s="3535">
        <v>58.357916581909429</v>
      </c>
      <c r="CJ299" s="2978">
        <v>116.47032626071218</v>
      </c>
    </row>
    <row r="300" spans="1:88">
      <c r="A300" s="53">
        <v>2018.03</v>
      </c>
      <c r="B300" s="615">
        <v>137.87384466026174</v>
      </c>
      <c r="C300" s="3535">
        <v>134.285083248305</v>
      </c>
      <c r="D300" s="358">
        <v>132.75190644323499</v>
      </c>
      <c r="E300" s="615">
        <v>142.84648197917423</v>
      </c>
      <c r="F300" s="1215">
        <v>102.3113391117918</v>
      </c>
      <c r="G300" s="1215">
        <v>242.22771670780591</v>
      </c>
      <c r="H300" s="1215">
        <v>160.74391125656467</v>
      </c>
      <c r="I300" s="1215">
        <v>182.80563020973489</v>
      </c>
      <c r="J300" s="1215">
        <v>151.43573516688176</v>
      </c>
      <c r="K300" s="1215">
        <v>138.46346610716665</v>
      </c>
      <c r="L300" s="1215">
        <v>153.02674192087204</v>
      </c>
      <c r="M300" s="1215">
        <v>126.1268739114976</v>
      </c>
      <c r="N300" s="1215">
        <v>89.446887944339608</v>
      </c>
      <c r="O300" s="1215">
        <v>138.45787427671704</v>
      </c>
      <c r="P300" s="1215">
        <v>170.99865050062539</v>
      </c>
      <c r="Q300" s="1215">
        <v>106.94403879435414</v>
      </c>
      <c r="R300" s="2661">
        <v>173.4454575595982</v>
      </c>
      <c r="S300" s="3535">
        <v>127.47016707169418</v>
      </c>
      <c r="T300" s="3535">
        <v>203.76921505195139</v>
      </c>
      <c r="U300" s="3535">
        <v>90.85380757521196</v>
      </c>
      <c r="V300" s="3535">
        <v>101.73236614819174</v>
      </c>
      <c r="W300" s="3535">
        <v>136.08829650943133</v>
      </c>
      <c r="X300" s="3535">
        <v>106.59012934641142</v>
      </c>
      <c r="Y300" s="3535">
        <v>120.70192299158953</v>
      </c>
      <c r="Z300" s="3535">
        <v>76.086957698332</v>
      </c>
      <c r="AA300" s="3535">
        <v>109.66383577809167</v>
      </c>
      <c r="AB300" s="3535">
        <v>107.72073650347998</v>
      </c>
      <c r="AC300" s="3535">
        <v>68.719514259275769</v>
      </c>
      <c r="AD300" s="3535">
        <v>162.04523480058202</v>
      </c>
      <c r="AE300" s="3535">
        <v>118.45337586829685</v>
      </c>
      <c r="AF300" s="3535">
        <v>110.62976308454512</v>
      </c>
      <c r="AG300" s="3535">
        <v>112.17824849744392</v>
      </c>
      <c r="AH300" s="3535">
        <v>129.78806570571436</v>
      </c>
      <c r="AI300" s="3535">
        <v>119.77047612988432</v>
      </c>
      <c r="AJ300" s="3535">
        <v>157.66243603495397</v>
      </c>
      <c r="AK300" s="3535">
        <v>110.40573466807422</v>
      </c>
      <c r="AL300" s="3535">
        <v>77.353239969818901</v>
      </c>
      <c r="AM300" s="3535">
        <v>126.82090080148052</v>
      </c>
      <c r="AN300" s="3535">
        <v>113.6603717362343</v>
      </c>
      <c r="AO300" s="3535">
        <v>142.27842658600716</v>
      </c>
      <c r="AP300" s="3535">
        <v>119.51143836588093</v>
      </c>
      <c r="AQ300" s="3535">
        <v>95.045247334228961</v>
      </c>
      <c r="AR300" s="3535">
        <v>106.5988513039017</v>
      </c>
      <c r="AS300" s="3535">
        <v>114.34604044567796</v>
      </c>
      <c r="AT300" s="3535">
        <v>126.52149777070301</v>
      </c>
      <c r="AU300" s="3535">
        <v>178.7408610096798</v>
      </c>
      <c r="AV300" s="3535">
        <v>181.05611072429002</v>
      </c>
      <c r="AW300" s="3535">
        <v>141.33420948517252</v>
      </c>
      <c r="AX300" s="3535">
        <v>126.88490604929278</v>
      </c>
      <c r="AY300" s="3535">
        <v>121.06635071090048</v>
      </c>
      <c r="AZ300" s="3535">
        <v>103.07950978808967</v>
      </c>
      <c r="BA300" s="3535">
        <v>131.04813113263216</v>
      </c>
      <c r="BB300" s="3535">
        <v>192.51960078595232</v>
      </c>
      <c r="BC300" s="3535">
        <v>148.56467624024543</v>
      </c>
      <c r="BD300" s="3535">
        <v>156.13259078949832</v>
      </c>
      <c r="BE300" s="3535">
        <v>211.74368990408641</v>
      </c>
      <c r="BF300" s="3535">
        <v>171.62604569230061</v>
      </c>
      <c r="BG300" s="3535">
        <v>273.21388862391399</v>
      </c>
      <c r="BH300" s="3535">
        <v>177.46544435055355</v>
      </c>
      <c r="BI300" s="3535">
        <v>119.30892495392719</v>
      </c>
      <c r="BJ300" s="3535">
        <v>103.93253732823081</v>
      </c>
      <c r="BK300" s="3535">
        <v>156.56179784616523</v>
      </c>
      <c r="BL300" s="3535">
        <v>157.89924843558654</v>
      </c>
      <c r="BM300" s="3535">
        <v>127.46848143453632</v>
      </c>
      <c r="BN300" s="3535">
        <v>130.11423430571421</v>
      </c>
      <c r="BO300" s="3535">
        <v>163.93256243682498</v>
      </c>
      <c r="BP300" s="3535">
        <v>124.03925450578301</v>
      </c>
      <c r="BQ300" s="3535">
        <v>162.83936570078029</v>
      </c>
      <c r="BR300" s="3535">
        <v>82.005875207458899</v>
      </c>
      <c r="BS300" s="3535">
        <v>286.39466027121767</v>
      </c>
      <c r="BT300" s="3535">
        <v>103.66748283109379</v>
      </c>
      <c r="BU300" s="3535">
        <v>265.73958221729907</v>
      </c>
      <c r="BV300" s="3535">
        <v>175.11294622640577</v>
      </c>
      <c r="BW300" s="3535">
        <v>411.31098332203084</v>
      </c>
      <c r="BX300" s="3535">
        <v>108.01527080285732</v>
      </c>
      <c r="BY300" s="3535">
        <v>121.7690575216901</v>
      </c>
      <c r="BZ300" s="3535">
        <v>176.31000010642956</v>
      </c>
      <c r="CA300" s="3535">
        <v>302.99010787242037</v>
      </c>
      <c r="CB300" s="3535">
        <v>221.07986818302118</v>
      </c>
      <c r="CC300" s="3535">
        <v>114.1072740455476</v>
      </c>
      <c r="CD300" s="3535">
        <v>201.94896892447582</v>
      </c>
      <c r="CE300" s="3535">
        <v>1222.48915970027</v>
      </c>
      <c r="CF300" s="3535">
        <v>95.600447468730763</v>
      </c>
      <c r="CG300" s="3535">
        <v>140.79953268940432</v>
      </c>
      <c r="CH300" s="3535">
        <v>169.58169775557644</v>
      </c>
      <c r="CI300" s="3535">
        <v>93.544935375954537</v>
      </c>
      <c r="CJ300" s="2978">
        <v>137.8738446602618</v>
      </c>
    </row>
    <row r="301" spans="1:88">
      <c r="A301" s="53">
        <v>2018.04</v>
      </c>
      <c r="B301" s="615">
        <v>132.09178628946967</v>
      </c>
      <c r="C301" s="3535">
        <v>132.88812572878399</v>
      </c>
      <c r="D301" s="358">
        <v>131.41918558826299</v>
      </c>
      <c r="E301" s="615">
        <v>136.44259326811439</v>
      </c>
      <c r="F301" s="1215">
        <v>97.246496316072665</v>
      </c>
      <c r="G301" s="1215">
        <v>239.56939087698842</v>
      </c>
      <c r="H301" s="1215">
        <v>139.85394349307285</v>
      </c>
      <c r="I301" s="1215">
        <v>195.4546046315798</v>
      </c>
      <c r="J301" s="1215">
        <v>163.14218558483199</v>
      </c>
      <c r="K301" s="1215">
        <v>132.91503155955832</v>
      </c>
      <c r="L301" s="1215">
        <v>162.22992816581996</v>
      </c>
      <c r="M301" s="1215">
        <v>123.30608621677716</v>
      </c>
      <c r="N301" s="1215">
        <v>85.105849108361966</v>
      </c>
      <c r="O301" s="1215">
        <v>154.4116609947736</v>
      </c>
      <c r="P301" s="1215">
        <v>142.34760206893537</v>
      </c>
      <c r="Q301" s="1215">
        <v>105.16631807535643</v>
      </c>
      <c r="R301" s="2661">
        <v>147.96637216341506</v>
      </c>
      <c r="S301" s="3535">
        <v>103.14799907175457</v>
      </c>
      <c r="T301" s="3535">
        <v>147.75580966755263</v>
      </c>
      <c r="U301" s="3535">
        <v>81.740449798670909</v>
      </c>
      <c r="V301" s="3535">
        <v>109.58534964807154</v>
      </c>
      <c r="W301" s="3535">
        <v>290.52176212201823</v>
      </c>
      <c r="X301" s="3535">
        <v>106.86025037246073</v>
      </c>
      <c r="Y301" s="3535">
        <v>110.80956604609598</v>
      </c>
      <c r="Z301" s="3535">
        <v>72.375752339405139</v>
      </c>
      <c r="AA301" s="3535">
        <v>110.85725555091086</v>
      </c>
      <c r="AB301" s="3535">
        <v>109.63871172945612</v>
      </c>
      <c r="AC301" s="3535">
        <v>70.07005327060449</v>
      </c>
      <c r="AD301" s="3535">
        <v>159.99083145532182</v>
      </c>
      <c r="AE301" s="3535">
        <v>111.83388852370857</v>
      </c>
      <c r="AF301" s="3535">
        <v>100.41882472383027</v>
      </c>
      <c r="AG301" s="3535">
        <v>106.88635072860853</v>
      </c>
      <c r="AH301" s="3535">
        <v>124.30030463524261</v>
      </c>
      <c r="AI301" s="3535">
        <v>110.44369430677337</v>
      </c>
      <c r="AJ301" s="3535">
        <v>154.86931396486995</v>
      </c>
      <c r="AK301" s="3535">
        <v>99.35640408395227</v>
      </c>
      <c r="AL301" s="3535">
        <v>73.445712299572889</v>
      </c>
      <c r="AM301" s="3535">
        <v>104.60890509794925</v>
      </c>
      <c r="AN301" s="3535">
        <v>102.04400723096849</v>
      </c>
      <c r="AO301" s="3535">
        <v>139.20959516163177</v>
      </c>
      <c r="AP301" s="3535">
        <v>131.50479598318501</v>
      </c>
      <c r="AQ301" s="3535">
        <v>90.801034383089572</v>
      </c>
      <c r="AR301" s="3535">
        <v>98.024770127519929</v>
      </c>
      <c r="AS301" s="3535">
        <v>113.5554449949143</v>
      </c>
      <c r="AT301" s="3535">
        <v>114.59617058124847</v>
      </c>
      <c r="AU301" s="3535">
        <v>173.56463003404113</v>
      </c>
      <c r="AV301" s="3535">
        <v>176.28571986093107</v>
      </c>
      <c r="AW301" s="3535">
        <v>156.16992349020597</v>
      </c>
      <c r="AX301" s="3535">
        <v>125.0182359745008</v>
      </c>
      <c r="AY301" s="3535">
        <v>130.95971563981044</v>
      </c>
      <c r="AZ301" s="3535">
        <v>97.735284099769444</v>
      </c>
      <c r="BA301" s="3535">
        <v>127.33523535604131</v>
      </c>
      <c r="BB301" s="3535">
        <v>180.39748092788435</v>
      </c>
      <c r="BC301" s="3535">
        <v>144.69213386374571</v>
      </c>
      <c r="BD301" s="3535">
        <v>161.71565009980117</v>
      </c>
      <c r="BE301" s="3535">
        <v>186.64468629603306</v>
      </c>
      <c r="BF301" s="3535">
        <v>187.51798591330822</v>
      </c>
      <c r="BG301" s="3535">
        <v>242.31277936288529</v>
      </c>
      <c r="BH301" s="3535">
        <v>170.41398096072476</v>
      </c>
      <c r="BI301" s="3535">
        <v>113.28061175309443</v>
      </c>
      <c r="BJ301" s="3535">
        <v>100.79437854807753</v>
      </c>
      <c r="BK301" s="3535">
        <v>142.24956849779917</v>
      </c>
      <c r="BL301" s="3535">
        <v>145.88745850496269</v>
      </c>
      <c r="BM301" s="3535">
        <v>124.53274756986379</v>
      </c>
      <c r="BN301" s="3535">
        <v>129.17704738556878</v>
      </c>
      <c r="BO301" s="3535">
        <v>168.29307353533201</v>
      </c>
      <c r="BP301" s="3535">
        <v>119.91646183530574</v>
      </c>
      <c r="BQ301" s="3535">
        <v>153.9487370558042</v>
      </c>
      <c r="BR301" s="3535">
        <v>81.015292164595536</v>
      </c>
      <c r="BS301" s="3535">
        <v>272.73296399199154</v>
      </c>
      <c r="BT301" s="3535">
        <v>101.32894156468437</v>
      </c>
      <c r="BU301" s="3535">
        <v>230.94725564439264</v>
      </c>
      <c r="BV301" s="3535">
        <v>162.09769932534726</v>
      </c>
      <c r="BW301" s="3535">
        <v>359.23590630714222</v>
      </c>
      <c r="BX301" s="3535">
        <v>106.25197982419058</v>
      </c>
      <c r="BY301" s="3535">
        <v>117.21669142783367</v>
      </c>
      <c r="BZ301" s="3535">
        <v>163.58179003395051</v>
      </c>
      <c r="CA301" s="3535">
        <v>278.4639855064998</v>
      </c>
      <c r="CB301" s="3535">
        <v>204.33301090720525</v>
      </c>
      <c r="CC301" s="3535">
        <v>107.15224978358633</v>
      </c>
      <c r="CD301" s="3535">
        <v>186.91265023518233</v>
      </c>
      <c r="CE301" s="3535">
        <v>1084.7517269551997</v>
      </c>
      <c r="CF301" s="3535">
        <v>93.35057479964243</v>
      </c>
      <c r="CG301" s="3535">
        <v>134.1717405657788</v>
      </c>
      <c r="CH301" s="3535">
        <v>162.69333157297859</v>
      </c>
      <c r="CI301" s="3535">
        <v>86.661944358754155</v>
      </c>
      <c r="CJ301" s="2978">
        <v>132.09178628946972</v>
      </c>
    </row>
    <row r="302" spans="1:88">
      <c r="A302" s="53">
        <v>2018.05</v>
      </c>
      <c r="B302" s="615">
        <v>135.86546669164358</v>
      </c>
      <c r="C302" s="3535">
        <v>130.67990001055401</v>
      </c>
      <c r="D302" s="358">
        <v>129.74892810618999</v>
      </c>
      <c r="E302" s="615">
        <v>144.40567193473868</v>
      </c>
      <c r="F302" s="1215">
        <v>101.39292936877831</v>
      </c>
      <c r="G302" s="1215">
        <v>252.46678653810625</v>
      </c>
      <c r="H302" s="1215">
        <v>148.14950771305891</v>
      </c>
      <c r="I302" s="1215">
        <v>202.05428823573519</v>
      </c>
      <c r="J302" s="1215">
        <v>175.86155133224023</v>
      </c>
      <c r="K302" s="1215">
        <v>153.11058718037717</v>
      </c>
      <c r="L302" s="1215">
        <v>171.15527256676805</v>
      </c>
      <c r="M302" s="1215">
        <v>128.82772795922639</v>
      </c>
      <c r="N302" s="1215">
        <v>111.96103681024435</v>
      </c>
      <c r="O302" s="1215">
        <v>151.7231197421591</v>
      </c>
      <c r="P302" s="1215">
        <v>130.87404914602985</v>
      </c>
      <c r="Q302" s="1215">
        <v>116.39013219756775</v>
      </c>
      <c r="R302" s="2661">
        <v>161.53160495163124</v>
      </c>
      <c r="S302" s="3535">
        <v>95.931013143953479</v>
      </c>
      <c r="T302" s="3535">
        <v>94.042512581756938</v>
      </c>
      <c r="U302" s="3535">
        <v>96.837315612007743</v>
      </c>
      <c r="V302" s="3535">
        <v>118.37873292595246</v>
      </c>
      <c r="W302" s="3535">
        <v>323.21982245330412</v>
      </c>
      <c r="X302" s="3535">
        <v>112.51365739768433</v>
      </c>
      <c r="Y302" s="3535">
        <v>111.38496017487041</v>
      </c>
      <c r="Z302" s="3535">
        <v>84.756807004568998</v>
      </c>
      <c r="AA302" s="3535">
        <v>112.33577519694096</v>
      </c>
      <c r="AB302" s="3535">
        <v>115.12756706925434</v>
      </c>
      <c r="AC302" s="3535">
        <v>74.002448936723425</v>
      </c>
      <c r="AD302" s="3535">
        <v>141.78567548999411</v>
      </c>
      <c r="AE302" s="3535">
        <v>118.00464960744863</v>
      </c>
      <c r="AF302" s="3535">
        <v>110.39554273506798</v>
      </c>
      <c r="AG302" s="3535">
        <v>109.30538337022605</v>
      </c>
      <c r="AH302" s="3535">
        <v>131.54041541555452</v>
      </c>
      <c r="AI302" s="3535">
        <v>108.61757778054515</v>
      </c>
      <c r="AJ302" s="3535">
        <v>155.58085386385744</v>
      </c>
      <c r="AK302" s="3535">
        <v>96.989238529585734</v>
      </c>
      <c r="AL302" s="3535">
        <v>92.954346545693696</v>
      </c>
      <c r="AM302" s="3535">
        <v>53.227173149860278</v>
      </c>
      <c r="AN302" s="3535">
        <v>97.986669529211468</v>
      </c>
      <c r="AO302" s="3535">
        <v>142.86665048113835</v>
      </c>
      <c r="AP302" s="3535">
        <v>136.31303779087381</v>
      </c>
      <c r="AQ302" s="3535">
        <v>91.414550187941302</v>
      </c>
      <c r="AR302" s="3535">
        <v>81.174311832339271</v>
      </c>
      <c r="AS302" s="3535">
        <v>111.30725235801764</v>
      </c>
      <c r="AT302" s="3535">
        <v>115.83652981657519</v>
      </c>
      <c r="AU302" s="3535">
        <v>179.06219960642014</v>
      </c>
      <c r="AV302" s="3535">
        <v>183.98715283880861</v>
      </c>
      <c r="AW302" s="3535">
        <v>193.38148427437346</v>
      </c>
      <c r="AX302" s="3535">
        <v>127.05514082166242</v>
      </c>
      <c r="AY302" s="3535">
        <v>137.34597156398104</v>
      </c>
      <c r="AZ302" s="3535">
        <v>89.698459267779356</v>
      </c>
      <c r="BA302" s="3535">
        <v>129.80809234442452</v>
      </c>
      <c r="BB302" s="3535">
        <v>178.44513563403316</v>
      </c>
      <c r="BC302" s="3535">
        <v>143.82194096035084</v>
      </c>
      <c r="BD302" s="3535">
        <v>164.58342790633864</v>
      </c>
      <c r="BE302" s="3535">
        <v>174.20081179201048</v>
      </c>
      <c r="BF302" s="3535">
        <v>178.3333811158023</v>
      </c>
      <c r="BG302" s="3535">
        <v>249.8101401445476</v>
      </c>
      <c r="BH302" s="3535">
        <v>170.0771373576105</v>
      </c>
      <c r="BI302" s="3535">
        <v>109.48592888006706</v>
      </c>
      <c r="BJ302" s="3535">
        <v>91.39207314923803</v>
      </c>
      <c r="BK302" s="3535">
        <v>148.99718131695877</v>
      </c>
      <c r="BL302" s="3535">
        <v>159.18160650169062</v>
      </c>
      <c r="BM302" s="3535">
        <v>130.21777964027754</v>
      </c>
      <c r="BN302" s="3535">
        <v>138.86472111013418</v>
      </c>
      <c r="BO302" s="3535">
        <v>155.67535043316039</v>
      </c>
      <c r="BP302" s="3535">
        <v>125.50532696368367</v>
      </c>
      <c r="BQ302" s="3535">
        <v>145.27908989236417</v>
      </c>
      <c r="BR302" s="3535">
        <v>83.278930858305557</v>
      </c>
      <c r="BS302" s="3535">
        <v>225.17310693255916</v>
      </c>
      <c r="BT302" s="3535">
        <v>109.82757293742019</v>
      </c>
      <c r="BU302" s="3535">
        <v>238.83945666648199</v>
      </c>
      <c r="BV302" s="3535">
        <v>168.4391231902292</v>
      </c>
      <c r="BW302" s="3535">
        <v>371.91067840704306</v>
      </c>
      <c r="BX302" s="3535">
        <v>109.52984410239749</v>
      </c>
      <c r="BY302" s="3535">
        <v>125.0323473604289</v>
      </c>
      <c r="BZ302" s="3535">
        <v>170.4915267369818</v>
      </c>
      <c r="CA302" s="3535">
        <v>283.52316923880318</v>
      </c>
      <c r="CB302" s="3535">
        <v>213.26166366413167</v>
      </c>
      <c r="CC302" s="3535">
        <v>114.61891359514644</v>
      </c>
      <c r="CD302" s="3535">
        <v>191.45385060054642</v>
      </c>
      <c r="CE302" s="3535">
        <v>1059.9160404056145</v>
      </c>
      <c r="CF302" s="3535">
        <v>100.953083790199</v>
      </c>
      <c r="CG302" s="3535">
        <v>145.19303984650819</v>
      </c>
      <c r="CH302" s="3535">
        <v>178.08952384016033</v>
      </c>
      <c r="CI302" s="3535">
        <v>96.172159880137784</v>
      </c>
      <c r="CJ302" s="2978">
        <v>135.86546669164358</v>
      </c>
    </row>
    <row r="303" spans="1:88">
      <c r="A303" s="53">
        <v>2018.06</v>
      </c>
      <c r="B303" s="615">
        <v>123.7285406594831</v>
      </c>
      <c r="C303" s="3535">
        <v>124.671704299884</v>
      </c>
      <c r="D303" s="358">
        <v>127.75680876748601</v>
      </c>
      <c r="E303" s="615">
        <v>132.20344344813157</v>
      </c>
      <c r="F303" s="1215">
        <v>99.13595996176528</v>
      </c>
      <c r="G303" s="1215">
        <v>233.76173880812013</v>
      </c>
      <c r="H303" s="1215">
        <v>135.78078977721808</v>
      </c>
      <c r="I303" s="1215">
        <v>179.71516015286679</v>
      </c>
      <c r="J303" s="1215">
        <v>156.20067064584018</v>
      </c>
      <c r="K303" s="1215">
        <v>131.05316070097774</v>
      </c>
      <c r="L303" s="1215">
        <v>146.56813439041147</v>
      </c>
      <c r="M303" s="1215">
        <v>117.96501654299297</v>
      </c>
      <c r="N303" s="1215">
        <v>158.38722460542698</v>
      </c>
      <c r="O303" s="1215">
        <v>138.00840326481065</v>
      </c>
      <c r="P303" s="1215">
        <v>107.66750035074541</v>
      </c>
      <c r="Q303" s="1215">
        <v>113.35251958743191</v>
      </c>
      <c r="R303" s="2661">
        <v>148.2514267966512</v>
      </c>
      <c r="S303" s="3535">
        <v>64.719075734961976</v>
      </c>
      <c r="T303" s="3535">
        <v>33.806405771426057</v>
      </c>
      <c r="U303" s="3535">
        <v>79.554246898222431</v>
      </c>
      <c r="V303" s="3535">
        <v>120.95976402778784</v>
      </c>
      <c r="W303" s="3535">
        <v>447.78663524274305</v>
      </c>
      <c r="X303" s="3535">
        <v>102.031634136186</v>
      </c>
      <c r="Y303" s="3535">
        <v>95.812872057610889</v>
      </c>
      <c r="Z303" s="3535">
        <v>84.056141047995581</v>
      </c>
      <c r="AA303" s="3535">
        <v>93.494724091857833</v>
      </c>
      <c r="AB303" s="3535">
        <v>93.166652268998433</v>
      </c>
      <c r="AC303" s="3535">
        <v>69.724214619589716</v>
      </c>
      <c r="AD303" s="3535">
        <v>120.50602886829623</v>
      </c>
      <c r="AE303" s="3535">
        <v>110.758294518535</v>
      </c>
      <c r="AF303" s="3535">
        <v>107.87189124706093</v>
      </c>
      <c r="AG303" s="3535">
        <v>105.62654154539888</v>
      </c>
      <c r="AH303" s="3535">
        <v>117.66519359743567</v>
      </c>
      <c r="AI303" s="3535">
        <v>99.28844995611901</v>
      </c>
      <c r="AJ303" s="3535">
        <v>147.37506276448406</v>
      </c>
      <c r="AK303" s="3535">
        <v>84.513491338124297</v>
      </c>
      <c r="AL303" s="3535">
        <v>77.700411639325267</v>
      </c>
      <c r="AM303" s="3535">
        <v>69.038144644681097</v>
      </c>
      <c r="AN303" s="3535">
        <v>91.549766731909571</v>
      </c>
      <c r="AO303" s="3535">
        <v>133.50144362895341</v>
      </c>
      <c r="AP303" s="3535">
        <v>134.76622032436163</v>
      </c>
      <c r="AQ303" s="3535">
        <v>84.403554000586453</v>
      </c>
      <c r="AR303" s="3535">
        <v>69.764950016144951</v>
      </c>
      <c r="AS303" s="3535">
        <v>101.26519374049872</v>
      </c>
      <c r="AT303" s="3535">
        <v>108.71868510315153</v>
      </c>
      <c r="AU303" s="3535">
        <v>180.18405092198643</v>
      </c>
      <c r="AV303" s="3535">
        <v>157.1405854924333</v>
      </c>
      <c r="AW303" s="3535">
        <v>176.38008444454243</v>
      </c>
      <c r="AX303" s="3535">
        <v>110.82873414059141</v>
      </c>
      <c r="AY303" s="3535">
        <v>116.3744075829384</v>
      </c>
      <c r="AZ303" s="3535">
        <v>97.158515098408515</v>
      </c>
      <c r="BA303" s="3535">
        <v>111.48971106717676</v>
      </c>
      <c r="BB303" s="3535">
        <v>173.573295070163</v>
      </c>
      <c r="BC303" s="3535">
        <v>132.22395164050386</v>
      </c>
      <c r="BD303" s="3535">
        <v>135.99047278030372</v>
      </c>
      <c r="BE303" s="3535">
        <v>189.56944003620046</v>
      </c>
      <c r="BF303" s="3535">
        <v>176.00571712308908</v>
      </c>
      <c r="BG303" s="3535">
        <v>251.28352361637201</v>
      </c>
      <c r="BH303" s="3535">
        <v>165.17758075665779</v>
      </c>
      <c r="BI303" s="3535">
        <v>104.98826262066633</v>
      </c>
      <c r="BJ303" s="3535">
        <v>88.653256044392876</v>
      </c>
      <c r="BK303" s="3535">
        <v>135.15390918094201</v>
      </c>
      <c r="BL303" s="3535">
        <v>155.30706314611243</v>
      </c>
      <c r="BM303" s="3535">
        <v>122.05101055049299</v>
      </c>
      <c r="BN303" s="3535">
        <v>130.92038908410254</v>
      </c>
      <c r="BO303" s="3535">
        <v>138.44391618557182</v>
      </c>
      <c r="BP303" s="3535">
        <v>117.89095707282395</v>
      </c>
      <c r="BQ303" s="3535">
        <v>135.76829317845744</v>
      </c>
      <c r="BR303" s="3535">
        <v>97.797365900428559</v>
      </c>
      <c r="BS303" s="3535">
        <v>199.32513039481049</v>
      </c>
      <c r="BT303" s="3535">
        <v>100.71620986820693</v>
      </c>
      <c r="BU303" s="3535">
        <v>184.15174384314287</v>
      </c>
      <c r="BV303" s="3535">
        <v>130.32664892953784</v>
      </c>
      <c r="BW303" s="3535">
        <v>229.78368746251479</v>
      </c>
      <c r="BX303" s="3535">
        <v>96.014800760498659</v>
      </c>
      <c r="BY303" s="3535">
        <v>121.78271649797816</v>
      </c>
      <c r="BZ303" s="3535">
        <v>149.62421284334732</v>
      </c>
      <c r="CA303" s="3535">
        <v>237.1981592596542</v>
      </c>
      <c r="CB303" s="3535">
        <v>188.43064396446371</v>
      </c>
      <c r="CC303" s="3535">
        <v>105.58955076691696</v>
      </c>
      <c r="CD303" s="3535">
        <v>132.68158380574988</v>
      </c>
      <c r="CE303" s="3535">
        <v>520.19701357313158</v>
      </c>
      <c r="CF303" s="3535">
        <v>92.299349603174932</v>
      </c>
      <c r="CG303" s="3535">
        <v>123.68167936315386</v>
      </c>
      <c r="CH303" s="3535">
        <v>146.96097415272058</v>
      </c>
      <c r="CI303" s="3535">
        <v>83.449817142055977</v>
      </c>
      <c r="CJ303" s="2978">
        <v>123.72854065948313</v>
      </c>
    </row>
    <row r="304" spans="1:88">
      <c r="A304" s="53">
        <v>2018.07</v>
      </c>
      <c r="B304" s="615">
        <v>126.78055488105136</v>
      </c>
      <c r="C304" s="3535">
        <v>123.253891669113</v>
      </c>
      <c r="D304" s="358">
        <v>125.563885778526</v>
      </c>
      <c r="E304" s="615">
        <v>142.96544284912292</v>
      </c>
      <c r="F304" s="1215">
        <v>103.3672652270766</v>
      </c>
      <c r="G304" s="1215">
        <v>252.16471444597687</v>
      </c>
      <c r="H304" s="1215">
        <v>142.42071834114199</v>
      </c>
      <c r="I304" s="1215">
        <v>257.16330088171651</v>
      </c>
      <c r="J304" s="1215">
        <v>162.98826688732265</v>
      </c>
      <c r="K304" s="1215">
        <v>108.02786357586159</v>
      </c>
      <c r="L304" s="1215">
        <v>153.67002207495744</v>
      </c>
      <c r="M304" s="1215">
        <v>125.33052771593375</v>
      </c>
      <c r="N304" s="1215">
        <v>174.61749046833935</v>
      </c>
      <c r="O304" s="1215">
        <v>158.53973709510791</v>
      </c>
      <c r="P304" s="1215">
        <v>126.20314148353971</v>
      </c>
      <c r="Q304" s="1215">
        <v>128.49152885071808</v>
      </c>
      <c r="R304" s="2661">
        <v>163.52065550990193</v>
      </c>
      <c r="S304" s="3535">
        <v>60.240973737359802</v>
      </c>
      <c r="T304" s="3535">
        <v>2.0977862886162759</v>
      </c>
      <c r="U304" s="3535">
        <v>88.144229547909774</v>
      </c>
      <c r="V304" s="3535">
        <v>115.29648964969286</v>
      </c>
      <c r="W304" s="3535">
        <v>372.68662179791551</v>
      </c>
      <c r="X304" s="3535">
        <v>99.555981526296776</v>
      </c>
      <c r="Y304" s="3535">
        <v>99.593476953371137</v>
      </c>
      <c r="Z304" s="3535">
        <v>83.204481752366632</v>
      </c>
      <c r="AA304" s="3535">
        <v>93.128349728653717</v>
      </c>
      <c r="AB304" s="3535">
        <v>92.922213450505012</v>
      </c>
      <c r="AC304" s="3535">
        <v>75.559287652430655</v>
      </c>
      <c r="AD304" s="3535">
        <v>112.93829678360372</v>
      </c>
      <c r="AE304" s="3535">
        <v>114.43872361267883</v>
      </c>
      <c r="AF304" s="3535">
        <v>114.577643779407</v>
      </c>
      <c r="AG304" s="3535">
        <v>110.07902760903718</v>
      </c>
      <c r="AH304" s="3535">
        <v>118.56332839538894</v>
      </c>
      <c r="AI304" s="3535">
        <v>102.36116422022437</v>
      </c>
      <c r="AJ304" s="3535">
        <v>164.99968680815624</v>
      </c>
      <c r="AK304" s="3535">
        <v>89.992147847912079</v>
      </c>
      <c r="AL304" s="3535">
        <v>62.779879534285385</v>
      </c>
      <c r="AM304" s="3535">
        <v>34.203707796726803</v>
      </c>
      <c r="AN304" s="3535">
        <v>87.113851618494721</v>
      </c>
      <c r="AO304" s="3535">
        <v>127.8346431778504</v>
      </c>
      <c r="AP304" s="3535">
        <v>139.95177458179572</v>
      </c>
      <c r="AQ304" s="3535">
        <v>55.255965317114253</v>
      </c>
      <c r="AR304" s="3535">
        <v>90.673700443314388</v>
      </c>
      <c r="AS304" s="3535">
        <v>65.1280205616183</v>
      </c>
      <c r="AT304" s="3535">
        <v>97.156406910312811</v>
      </c>
      <c r="AU304" s="3535">
        <v>179.79877538708894</v>
      </c>
      <c r="AV304" s="3535">
        <v>161.60557826356117</v>
      </c>
      <c r="AW304" s="3535">
        <v>175.76018669022636</v>
      </c>
      <c r="AX304" s="3535">
        <v>113.1653977276021</v>
      </c>
      <c r="AY304" s="3535">
        <v>127.58293838862559</v>
      </c>
      <c r="AZ304" s="3535">
        <v>96.699943319825934</v>
      </c>
      <c r="BA304" s="3535">
        <v>112.45543116217443</v>
      </c>
      <c r="BB304" s="3535">
        <v>177.15896598409796</v>
      </c>
      <c r="BC304" s="3535">
        <v>145.44692723630754</v>
      </c>
      <c r="BD304" s="3535">
        <v>140.78482056943017</v>
      </c>
      <c r="BE304" s="3535">
        <v>180.7665894102476</v>
      </c>
      <c r="BF304" s="3535">
        <v>167.79659632539438</v>
      </c>
      <c r="BG304" s="3535">
        <v>266.63078582374118</v>
      </c>
      <c r="BH304" s="3535">
        <v>165.84593511412479</v>
      </c>
      <c r="BI304" s="3535">
        <v>112.10555894273875</v>
      </c>
      <c r="BJ304" s="3535">
        <v>94.275026298232262</v>
      </c>
      <c r="BK304" s="3535">
        <v>151.87031947301111</v>
      </c>
      <c r="BL304" s="3535">
        <v>160.25715205208641</v>
      </c>
      <c r="BM304" s="3535">
        <v>124.45613199281595</v>
      </c>
      <c r="BN304" s="3535">
        <v>134.06094971380048</v>
      </c>
      <c r="BO304" s="3535">
        <v>160.82014604439252</v>
      </c>
      <c r="BP304" s="3535">
        <v>118.66121775461698</v>
      </c>
      <c r="BQ304" s="3535">
        <v>128.34409703970292</v>
      </c>
      <c r="BR304" s="3535">
        <v>100.4634617315952</v>
      </c>
      <c r="BS304" s="3535">
        <v>193.80660743484091</v>
      </c>
      <c r="BT304" s="3535">
        <v>101.80159386409304</v>
      </c>
      <c r="BU304" s="3535">
        <v>127.36684659886738</v>
      </c>
      <c r="BV304" s="3535">
        <v>130.25651393031484</v>
      </c>
      <c r="BW304" s="3535">
        <v>221.02294206839375</v>
      </c>
      <c r="BX304" s="3535">
        <v>99.210432582151711</v>
      </c>
      <c r="BY304" s="3535">
        <v>121.84448324860956</v>
      </c>
      <c r="BZ304" s="3535">
        <v>152.4302160661297</v>
      </c>
      <c r="CA304" s="3535">
        <v>249.37293579232741</v>
      </c>
      <c r="CB304" s="3535">
        <v>174.96562133930496</v>
      </c>
      <c r="CC304" s="3535">
        <v>106.37212302889374</v>
      </c>
      <c r="CD304" s="3535">
        <v>112.13854863282462</v>
      </c>
      <c r="CE304" s="3535">
        <v>297.72137341695031</v>
      </c>
      <c r="CF304" s="3535">
        <v>92.799321033792893</v>
      </c>
      <c r="CG304" s="3535">
        <v>128.88608656342308</v>
      </c>
      <c r="CH304" s="3535">
        <v>151.54252050196737</v>
      </c>
      <c r="CI304" s="3535">
        <v>91.524082985465142</v>
      </c>
      <c r="CJ304" s="2978">
        <v>126.78055488105143</v>
      </c>
    </row>
    <row r="305" spans="1:88">
      <c r="A305" s="53">
        <v>2018.08</v>
      </c>
      <c r="B305" s="615">
        <v>134.23017565612599</v>
      </c>
      <c r="C305" s="3535">
        <v>123.87933781820701</v>
      </c>
      <c r="D305" s="358">
        <v>123.330700436024</v>
      </c>
      <c r="E305" s="615">
        <v>150.16331743838091</v>
      </c>
      <c r="F305" s="1215">
        <v>108.44801204163468</v>
      </c>
      <c r="G305" s="1215">
        <v>257.18302482401845</v>
      </c>
      <c r="H305" s="1215">
        <v>145.52082294832724</v>
      </c>
      <c r="I305" s="1215">
        <v>252.27738098353555</v>
      </c>
      <c r="J305" s="1215">
        <v>144.65078887572545</v>
      </c>
      <c r="K305" s="1215">
        <v>120.48980550171042</v>
      </c>
      <c r="L305" s="1215">
        <v>160.89684177767347</v>
      </c>
      <c r="M305" s="1215">
        <v>130.60431535113119</v>
      </c>
      <c r="N305" s="1215">
        <v>191.08041940189645</v>
      </c>
      <c r="O305" s="1215">
        <v>130.33410089982502</v>
      </c>
      <c r="P305" s="1215">
        <v>144.09904963005343</v>
      </c>
      <c r="Q305" s="1215">
        <v>149.29121057496772</v>
      </c>
      <c r="R305" s="2661">
        <v>180.95560051573491</v>
      </c>
      <c r="S305" s="3535">
        <v>64.64122074185579</v>
      </c>
      <c r="T305" s="3535">
        <v>0</v>
      </c>
      <c r="U305" s="3535">
        <v>95.662920745081365</v>
      </c>
      <c r="V305" s="3535">
        <v>102.72888051494709</v>
      </c>
      <c r="W305" s="3535">
        <v>232.01625109475907</v>
      </c>
      <c r="X305" s="3535">
        <v>102.78555071926058</v>
      </c>
      <c r="Y305" s="3535">
        <v>98.473522065181797</v>
      </c>
      <c r="Z305" s="3535">
        <v>79.433415010800658</v>
      </c>
      <c r="AA305" s="3535">
        <v>102.57711976727015</v>
      </c>
      <c r="AB305" s="3535">
        <v>101.57977066655185</v>
      </c>
      <c r="AC305" s="3535">
        <v>74.027391726856749</v>
      </c>
      <c r="AD305" s="3535">
        <v>137.58260086566881</v>
      </c>
      <c r="AE305" s="3535">
        <v>117.98549463395324</v>
      </c>
      <c r="AF305" s="3535">
        <v>116.38090105246523</v>
      </c>
      <c r="AG305" s="3535">
        <v>110.61613460692648</v>
      </c>
      <c r="AH305" s="3535">
        <v>126.19495758640322</v>
      </c>
      <c r="AI305" s="3535">
        <v>111.6489710294033</v>
      </c>
      <c r="AJ305" s="3535">
        <v>159.97416253449472</v>
      </c>
      <c r="AK305" s="3535">
        <v>98.084607470824096</v>
      </c>
      <c r="AL305" s="3535">
        <v>71.598183435128121</v>
      </c>
      <c r="AM305" s="3535">
        <v>73.896569179811564</v>
      </c>
      <c r="AN305" s="3535">
        <v>105.3768155358712</v>
      </c>
      <c r="AO305" s="3535">
        <v>130.19414077145842</v>
      </c>
      <c r="AP305" s="3535">
        <v>143.87800928809173</v>
      </c>
      <c r="AQ305" s="3535">
        <v>59.080981543937291</v>
      </c>
      <c r="AR305" s="3535">
        <v>117.08568706017233</v>
      </c>
      <c r="AS305" s="3535">
        <v>65.615146984833913</v>
      </c>
      <c r="AT305" s="3535">
        <v>97.42647536923603</v>
      </c>
      <c r="AU305" s="3535">
        <v>189.49136867587058</v>
      </c>
      <c r="AV305" s="3535">
        <v>158.138938722852</v>
      </c>
      <c r="AW305" s="3535">
        <v>127.85426441267863</v>
      </c>
      <c r="AX305" s="3535">
        <v>118.29636339925977</v>
      </c>
      <c r="AY305" s="3535">
        <v>128.04502369668248</v>
      </c>
      <c r="AZ305" s="3535">
        <v>96.472931493548231</v>
      </c>
      <c r="BA305" s="3535">
        <v>119.17727614896367</v>
      </c>
      <c r="BB305" s="3535">
        <v>188.56821410397811</v>
      </c>
      <c r="BC305" s="3535">
        <v>143.06794947001808</v>
      </c>
      <c r="BD305" s="3535">
        <v>139.4056693500861</v>
      </c>
      <c r="BE305" s="3535">
        <v>210.01892369203071</v>
      </c>
      <c r="BF305" s="3535">
        <v>191.889391105752</v>
      </c>
      <c r="BG305" s="3535">
        <v>281.88779117957353</v>
      </c>
      <c r="BH305" s="3535">
        <v>174.37786444493744</v>
      </c>
      <c r="BI305" s="3535">
        <v>119.08406331920983</v>
      </c>
      <c r="BJ305" s="3535">
        <v>104.39698595798474</v>
      </c>
      <c r="BK305" s="3535">
        <v>152.41270003642964</v>
      </c>
      <c r="BL305" s="3535">
        <v>158.17777512440259</v>
      </c>
      <c r="BM305" s="3535">
        <v>129.72992679250933</v>
      </c>
      <c r="BN305" s="3535">
        <v>142.43243287277883</v>
      </c>
      <c r="BO305" s="3535">
        <v>173.90466016271503</v>
      </c>
      <c r="BP305" s="3535">
        <v>122.33755640725443</v>
      </c>
      <c r="BQ305" s="3535">
        <v>148.89416410941772</v>
      </c>
      <c r="BR305" s="3535">
        <v>125.2336606373044</v>
      </c>
      <c r="BS305" s="3535">
        <v>205.88881270473078</v>
      </c>
      <c r="BT305" s="3535">
        <v>104.36754463658089</v>
      </c>
      <c r="BU305" s="3535">
        <v>178.90415676600281</v>
      </c>
      <c r="BV305" s="3535">
        <v>141.63082180155351</v>
      </c>
      <c r="BW305" s="3535">
        <v>231.80754674168756</v>
      </c>
      <c r="BX305" s="3535">
        <v>114.23930588738004</v>
      </c>
      <c r="BY305" s="3535">
        <v>125.34166260980963</v>
      </c>
      <c r="BZ305" s="3535">
        <v>181.5508169871942</v>
      </c>
      <c r="CA305" s="3535">
        <v>302.38034796086743</v>
      </c>
      <c r="CB305" s="3535">
        <v>158.80630656475358</v>
      </c>
      <c r="CC305" s="3535">
        <v>130.83313438099145</v>
      </c>
      <c r="CD305" s="3535">
        <v>124.28590376159354</v>
      </c>
      <c r="CE305" s="3535">
        <v>421.2774900296094</v>
      </c>
      <c r="CF305" s="3535">
        <v>93.33698438548366</v>
      </c>
      <c r="CG305" s="3535">
        <v>136.11674845573128</v>
      </c>
      <c r="CH305" s="3535">
        <v>166.17524090416995</v>
      </c>
      <c r="CI305" s="3535">
        <v>85.792196813918508</v>
      </c>
      <c r="CJ305" s="2978">
        <v>134.23017565612599</v>
      </c>
    </row>
    <row r="306" spans="1:88">
      <c r="A306" s="53">
        <v>2018.09</v>
      </c>
      <c r="B306" s="615">
        <v>122.79085973979822</v>
      </c>
      <c r="C306" s="3535">
        <v>122.30313286960001</v>
      </c>
      <c r="D306" s="358">
        <v>121.259907536943</v>
      </c>
      <c r="E306" s="615">
        <v>134.94465889897236</v>
      </c>
      <c r="F306" s="1215">
        <v>94.107142472895617</v>
      </c>
      <c r="G306" s="1215">
        <v>219.57840939292373</v>
      </c>
      <c r="H306" s="1215">
        <v>133.77473099244227</v>
      </c>
      <c r="I306" s="1215">
        <v>247.72188958281603</v>
      </c>
      <c r="J306" s="1215">
        <v>141.32107774063317</v>
      </c>
      <c r="K306" s="1215">
        <v>116.21897742490503</v>
      </c>
      <c r="L306" s="1215">
        <v>134.00004261956937</v>
      </c>
      <c r="M306" s="1215">
        <v>110.59075385795195</v>
      </c>
      <c r="N306" s="1215">
        <v>166.94447847076833</v>
      </c>
      <c r="O306" s="1215">
        <v>115.61028304560926</v>
      </c>
      <c r="P306" s="1215">
        <v>135.28880937399529</v>
      </c>
      <c r="Q306" s="1215">
        <v>130.62684150495298</v>
      </c>
      <c r="R306" s="2661">
        <v>154.94489451438824</v>
      </c>
      <c r="S306" s="3535">
        <v>52.486307103491448</v>
      </c>
      <c r="T306" s="3535">
        <v>0</v>
      </c>
      <c r="U306" s="3535">
        <v>77.674792942023799</v>
      </c>
      <c r="V306" s="3535">
        <v>80.575357957577879</v>
      </c>
      <c r="W306" s="3535">
        <v>105.23095883475216</v>
      </c>
      <c r="X306" s="3535">
        <v>92.03808855207599</v>
      </c>
      <c r="Y306" s="3535">
        <v>87.602464806228099</v>
      </c>
      <c r="Z306" s="3535">
        <v>63.607753051324686</v>
      </c>
      <c r="AA306" s="3535">
        <v>106.45722774552668</v>
      </c>
      <c r="AB306" s="3535">
        <v>104.34399743974555</v>
      </c>
      <c r="AC306" s="3535">
        <v>71.977307524424006</v>
      </c>
      <c r="AD306" s="3535">
        <v>152.59481910658712</v>
      </c>
      <c r="AE306" s="3535">
        <v>105.5406518924266</v>
      </c>
      <c r="AF306" s="3535">
        <v>105.24637216888161</v>
      </c>
      <c r="AG306" s="3535">
        <v>105.93067200710207</v>
      </c>
      <c r="AH306" s="3535">
        <v>105.36128199523345</v>
      </c>
      <c r="AI306" s="3535">
        <v>103.81695821075876</v>
      </c>
      <c r="AJ306" s="3535">
        <v>138.80239113736238</v>
      </c>
      <c r="AK306" s="3535">
        <v>91.993239564641144</v>
      </c>
      <c r="AL306" s="3535">
        <v>85.503105197343771</v>
      </c>
      <c r="AM306" s="3535">
        <v>75.185686497277501</v>
      </c>
      <c r="AN306" s="3535">
        <v>100.05437675280136</v>
      </c>
      <c r="AO306" s="3535">
        <v>138.92489888673663</v>
      </c>
      <c r="AP306" s="3535">
        <v>139.55491447958534</v>
      </c>
      <c r="AQ306" s="3535">
        <v>83.004533522265916</v>
      </c>
      <c r="AR306" s="3535">
        <v>120.00514920375613</v>
      </c>
      <c r="AS306" s="3535">
        <v>102.63310480018843</v>
      </c>
      <c r="AT306" s="3535">
        <v>115.45230475978083</v>
      </c>
      <c r="AU306" s="3535">
        <v>191.00221012101696</v>
      </c>
      <c r="AV306" s="3535">
        <v>142.36947613881927</v>
      </c>
      <c r="AW306" s="3535">
        <v>145.05708291129497</v>
      </c>
      <c r="AX306" s="3535">
        <v>110.02841818080486</v>
      </c>
      <c r="AY306" s="3535">
        <v>127.79620853080569</v>
      </c>
      <c r="AZ306" s="3535">
        <v>97.022001161167566</v>
      </c>
      <c r="BA306" s="3535">
        <v>108.22598656182198</v>
      </c>
      <c r="BB306" s="3535">
        <v>182.48246317887723</v>
      </c>
      <c r="BC306" s="3535">
        <v>129.59557883967301</v>
      </c>
      <c r="BD306" s="3535">
        <v>152.67101834703291</v>
      </c>
      <c r="BE306" s="3535">
        <v>202.88423609284521</v>
      </c>
      <c r="BF306" s="3535">
        <v>183.67863978594869</v>
      </c>
      <c r="BG306" s="3535">
        <v>259.79202369080775</v>
      </c>
      <c r="BH306" s="3535">
        <v>167.07956546214103</v>
      </c>
      <c r="BI306" s="3535">
        <v>108.23117071496364</v>
      </c>
      <c r="BJ306" s="3535">
        <v>94.536366752304119</v>
      </c>
      <c r="BK306" s="3535">
        <v>143.39411995603592</v>
      </c>
      <c r="BL306" s="3535">
        <v>140.63546034471813</v>
      </c>
      <c r="BM306" s="3535">
        <v>120.50238311202683</v>
      </c>
      <c r="BN306" s="3535">
        <v>126.72463071158917</v>
      </c>
      <c r="BO306" s="3535">
        <v>143.4234498307579</v>
      </c>
      <c r="BP306" s="3535">
        <v>116.7924004929603</v>
      </c>
      <c r="BQ306" s="3535">
        <v>127.68559556929686</v>
      </c>
      <c r="BR306" s="3535">
        <v>118.17902404748251</v>
      </c>
      <c r="BS306" s="3535">
        <v>160.61577432646416</v>
      </c>
      <c r="BT306" s="3535">
        <v>90.242879260775695</v>
      </c>
      <c r="BU306" s="3535">
        <v>149.58107821039201</v>
      </c>
      <c r="BV306" s="3535">
        <v>110.23790240904714</v>
      </c>
      <c r="BW306" s="3535">
        <v>177.53433183549544</v>
      </c>
      <c r="BX306" s="3535">
        <v>82.439108181207942</v>
      </c>
      <c r="BY306" s="3535">
        <v>114.98254859261664</v>
      </c>
      <c r="BZ306" s="3535">
        <v>140.18515784089686</v>
      </c>
      <c r="CA306" s="3535">
        <v>227.49994880883446</v>
      </c>
      <c r="CB306" s="3535">
        <v>118.8050110354401</v>
      </c>
      <c r="CC306" s="3535">
        <v>104.1857802933438</v>
      </c>
      <c r="CD306" s="3535">
        <v>115.94002473433014</v>
      </c>
      <c r="CE306" s="3535">
        <v>408.87208906534516</v>
      </c>
      <c r="CF306" s="3535">
        <v>85.41414029571645</v>
      </c>
      <c r="CG306" s="3535">
        <v>111.62285032454147</v>
      </c>
      <c r="CH306" s="3535">
        <v>138.30850940504052</v>
      </c>
      <c r="CI306" s="3535">
        <v>56.237986794403639</v>
      </c>
      <c r="CJ306" s="2978">
        <v>122.79085973979828</v>
      </c>
    </row>
    <row r="307" spans="1:88">
      <c r="A307" s="53">
        <v>2018.1</v>
      </c>
      <c r="B307" s="615">
        <v>130.95087535592188</v>
      </c>
      <c r="C307" s="3535">
        <v>120.018889266122</v>
      </c>
      <c r="D307" s="358">
        <v>119.57445752489799</v>
      </c>
      <c r="E307" s="615">
        <v>148.66527856073984</v>
      </c>
      <c r="F307" s="1215">
        <v>110.15077823966384</v>
      </c>
      <c r="G307" s="1215">
        <v>254.59257519802304</v>
      </c>
      <c r="H307" s="1215">
        <v>148.5398472853079</v>
      </c>
      <c r="I307" s="1215">
        <v>272.3993994298591</v>
      </c>
      <c r="J307" s="1215">
        <v>153.93800553116154</v>
      </c>
      <c r="K307" s="1215">
        <v>129.65561289801298</v>
      </c>
      <c r="L307" s="1215">
        <v>142.16800077192462</v>
      </c>
      <c r="M307" s="1215">
        <v>116.35804327262177</v>
      </c>
      <c r="N307" s="1215">
        <v>120.6550187045477</v>
      </c>
      <c r="O307" s="1215">
        <v>118.60221239160836</v>
      </c>
      <c r="P307" s="1215">
        <v>179.58831416893119</v>
      </c>
      <c r="Q307" s="1215">
        <v>142.48653045073991</v>
      </c>
      <c r="R307" s="2661">
        <v>167.13933625899452</v>
      </c>
      <c r="S307" s="3535">
        <v>59.146317821009852</v>
      </c>
      <c r="T307" s="3535">
        <v>0</v>
      </c>
      <c r="U307" s="3535">
        <v>87.530981765803503</v>
      </c>
      <c r="V307" s="3535">
        <v>81.59808767906955</v>
      </c>
      <c r="W307" s="3535">
        <v>56.396544855606862</v>
      </c>
      <c r="X307" s="3535">
        <v>87.878867042117534</v>
      </c>
      <c r="Y307" s="3535">
        <v>92.971510343762645</v>
      </c>
      <c r="Z307" s="3535">
        <v>73.996449420620124</v>
      </c>
      <c r="AA307" s="3535">
        <v>108.0202987718706</v>
      </c>
      <c r="AB307" s="3535">
        <v>105.02393047808371</v>
      </c>
      <c r="AC307" s="3535">
        <v>73.878617011728608</v>
      </c>
      <c r="AD307" s="3535">
        <v>157.54565466051</v>
      </c>
      <c r="AE307" s="3535">
        <v>116.53245533945589</v>
      </c>
      <c r="AF307" s="3535">
        <v>109.83354348187821</v>
      </c>
      <c r="AG307" s="3535">
        <v>113.62859025823801</v>
      </c>
      <c r="AH307" s="3535">
        <v>123.84874875003534</v>
      </c>
      <c r="AI307" s="3535">
        <v>109.61259613402611</v>
      </c>
      <c r="AJ307" s="3535">
        <v>146.00649112411466</v>
      </c>
      <c r="AK307" s="3535">
        <v>96.629592119151525</v>
      </c>
      <c r="AL307" s="3535">
        <v>90.782333178617662</v>
      </c>
      <c r="AM307" s="3535">
        <v>65.877037296510579</v>
      </c>
      <c r="AN307" s="3535">
        <v>106.9688830849951</v>
      </c>
      <c r="AO307" s="3535">
        <v>143.12693125535776</v>
      </c>
      <c r="AP307" s="3535">
        <v>146.86238546385894</v>
      </c>
      <c r="AQ307" s="3535">
        <v>88.176542033482789</v>
      </c>
      <c r="AR307" s="3535">
        <v>131.86486614836804</v>
      </c>
      <c r="AS307" s="3535">
        <v>114.17082496630317</v>
      </c>
      <c r="AT307" s="3535">
        <v>124.95648002571052</v>
      </c>
      <c r="AU307" s="3535">
        <v>180.67663178692061</v>
      </c>
      <c r="AV307" s="3535">
        <v>164.82204459533946</v>
      </c>
      <c r="AW307" s="3535">
        <v>136.60118172257503</v>
      </c>
      <c r="AX307" s="3535">
        <v>115.34588091424705</v>
      </c>
      <c r="AY307" s="3535">
        <v>125.15402843601895</v>
      </c>
      <c r="AZ307" s="3535">
        <v>98.811692702598194</v>
      </c>
      <c r="BA307" s="3535">
        <v>115.54183192602832</v>
      </c>
      <c r="BB307" s="3535">
        <v>189.07567752306119</v>
      </c>
      <c r="BC307" s="3535">
        <v>125.03952140953396</v>
      </c>
      <c r="BD307" s="3535">
        <v>160.33029127221133</v>
      </c>
      <c r="BE307" s="3535">
        <v>197.6201398610344</v>
      </c>
      <c r="BF307" s="3535">
        <v>195.50881019744614</v>
      </c>
      <c r="BG307" s="3535">
        <v>298.39902917975024</v>
      </c>
      <c r="BH307" s="3535">
        <v>171.51571303235741</v>
      </c>
      <c r="BI307" s="3535">
        <v>108.49313775182559</v>
      </c>
      <c r="BJ307" s="3535">
        <v>90.559761966784549</v>
      </c>
      <c r="BK307" s="3535">
        <v>154.91595418566291</v>
      </c>
      <c r="BL307" s="3535">
        <v>150.55325636238197</v>
      </c>
      <c r="BM307" s="3535">
        <v>127.70112869026985</v>
      </c>
      <c r="BN307" s="3535">
        <v>141.12980618124084</v>
      </c>
      <c r="BO307" s="3535">
        <v>176.11569260167695</v>
      </c>
      <c r="BP307" s="3535">
        <v>119.76733128391554</v>
      </c>
      <c r="BQ307" s="3535">
        <v>131.28477519771582</v>
      </c>
      <c r="BR307" s="3535">
        <v>138.64068160929756</v>
      </c>
      <c r="BS307" s="3535">
        <v>143.20738664525285</v>
      </c>
      <c r="BT307" s="3535">
        <v>102.44780630404232</v>
      </c>
      <c r="BU307" s="3535">
        <v>127.87398154852889</v>
      </c>
      <c r="BV307" s="3535">
        <v>131.0964212938824</v>
      </c>
      <c r="BW307" s="3535">
        <v>199.43244261894762</v>
      </c>
      <c r="BX307" s="3535">
        <v>107.38283871606531</v>
      </c>
      <c r="BY307" s="3535">
        <v>125.54349003324188</v>
      </c>
      <c r="BZ307" s="3535">
        <v>160.31063872056859</v>
      </c>
      <c r="CA307" s="3535">
        <v>240.63624387599535</v>
      </c>
      <c r="CB307" s="3535">
        <v>140.25326348090002</v>
      </c>
      <c r="CC307" s="3535">
        <v>127.24400100228654</v>
      </c>
      <c r="CD307" s="3535">
        <v>133.29038841743136</v>
      </c>
      <c r="CE307" s="3535">
        <v>456.32682405587337</v>
      </c>
      <c r="CF307" s="3535">
        <v>99.627385610685721</v>
      </c>
      <c r="CG307" s="3535">
        <v>115.44176437049984</v>
      </c>
      <c r="CH307" s="3535">
        <v>126.79141006269282</v>
      </c>
      <c r="CI307" s="3535">
        <v>82.916050005674705</v>
      </c>
      <c r="CJ307" s="2978">
        <v>130.95087535592174</v>
      </c>
    </row>
    <row r="308" spans="1:88">
      <c r="A308" s="53">
        <v>2018.11</v>
      </c>
      <c r="B308" s="615">
        <v>121.7206486951649</v>
      </c>
      <c r="C308" s="3535">
        <v>117.480207315287</v>
      </c>
      <c r="D308" s="358">
        <v>118.44868970365999</v>
      </c>
      <c r="E308" s="615">
        <v>134.35487702724652</v>
      </c>
      <c r="F308" s="1215">
        <v>102.04075692620414</v>
      </c>
      <c r="G308" s="1215">
        <v>248.71187102266973</v>
      </c>
      <c r="H308" s="1215">
        <v>148.2234408619191</v>
      </c>
      <c r="I308" s="1215">
        <v>235.41800652358495</v>
      </c>
      <c r="J308" s="1215">
        <v>147.55460178029091</v>
      </c>
      <c r="K308" s="1215">
        <v>113.85216161609479</v>
      </c>
      <c r="L308" s="1215">
        <v>127.87735088298935</v>
      </c>
      <c r="M308" s="1215">
        <v>110.27536821021216</v>
      </c>
      <c r="N308" s="1215">
        <v>99.724311383301711</v>
      </c>
      <c r="O308" s="1215">
        <v>103.51955486843808</v>
      </c>
      <c r="P308" s="1215">
        <v>165.8000662531127</v>
      </c>
      <c r="Q308" s="1215">
        <v>121.8306541273783</v>
      </c>
      <c r="R308" s="2661">
        <v>139.38149745881657</v>
      </c>
      <c r="S308" s="3535">
        <v>60.002151440497101</v>
      </c>
      <c r="T308" s="3535">
        <v>0</v>
      </c>
      <c r="U308" s="3535">
        <v>88.797534946148559</v>
      </c>
      <c r="V308" s="3535">
        <v>70.151476491265342</v>
      </c>
      <c r="W308" s="3535">
        <v>10.939550661860132</v>
      </c>
      <c r="X308" s="3535">
        <v>78.769153433969436</v>
      </c>
      <c r="Y308" s="3535">
        <v>82.102619534967161</v>
      </c>
      <c r="Z308" s="3535">
        <v>67.920501588723241</v>
      </c>
      <c r="AA308" s="3535">
        <v>89.261129818529099</v>
      </c>
      <c r="AB308" s="3535">
        <v>84.467011311490012</v>
      </c>
      <c r="AC308" s="3535">
        <v>61.959373960679024</v>
      </c>
      <c r="AD308" s="3535">
        <v>139.05341635153769</v>
      </c>
      <c r="AE308" s="3535">
        <v>110.64828677748349</v>
      </c>
      <c r="AF308" s="3535">
        <v>110.36113992552292</v>
      </c>
      <c r="AG308" s="3535">
        <v>107.57715585516269</v>
      </c>
      <c r="AH308" s="3535">
        <v>113.81282857649698</v>
      </c>
      <c r="AI308" s="3535">
        <v>105.26715291633289</v>
      </c>
      <c r="AJ308" s="3535">
        <v>142.23281846221684</v>
      </c>
      <c r="AK308" s="3535">
        <v>89.745115880210975</v>
      </c>
      <c r="AL308" s="3535">
        <v>83.37360030995103</v>
      </c>
      <c r="AM308" s="3535">
        <v>66.189993195707871</v>
      </c>
      <c r="AN308" s="3535">
        <v>105.48344799512638</v>
      </c>
      <c r="AO308" s="3535">
        <v>140.28183605509227</v>
      </c>
      <c r="AP308" s="3535">
        <v>153.4760779326698</v>
      </c>
      <c r="AQ308" s="3535">
        <v>85.666531884292468</v>
      </c>
      <c r="AR308" s="3535">
        <v>110.27653615784395</v>
      </c>
      <c r="AS308" s="3535">
        <v>113.93228242959646</v>
      </c>
      <c r="AT308" s="3535">
        <v>115.54528092296373</v>
      </c>
      <c r="AU308" s="3535">
        <v>178.62102848874957</v>
      </c>
      <c r="AV308" s="3535">
        <v>148.27248272640159</v>
      </c>
      <c r="AW308" s="3535">
        <v>181.21946173354192</v>
      </c>
      <c r="AX308" s="3535">
        <v>109.86161322102481</v>
      </c>
      <c r="AY308" s="3535">
        <v>117.74881516587679</v>
      </c>
      <c r="AZ308" s="3535">
        <v>90.031939604429496</v>
      </c>
      <c r="BA308" s="3535">
        <v>110.85100908656113</v>
      </c>
      <c r="BB308" s="3535">
        <v>178.75835006123944</v>
      </c>
      <c r="BC308" s="3535">
        <v>128.41593509662775</v>
      </c>
      <c r="BD308" s="3535">
        <v>147.44493864654706</v>
      </c>
      <c r="BE308" s="3535">
        <v>188.01352400398781</v>
      </c>
      <c r="BF308" s="3535">
        <v>177.31189115654081</v>
      </c>
      <c r="BG308" s="3535">
        <v>273.96462492224276</v>
      </c>
      <c r="BH308" s="3535">
        <v>164.08336134525945</v>
      </c>
      <c r="BI308" s="3535">
        <v>101.80805352993417</v>
      </c>
      <c r="BJ308" s="3535">
        <v>85.194126893460691</v>
      </c>
      <c r="BK308" s="3535">
        <v>142.31640181861604</v>
      </c>
      <c r="BL308" s="3535">
        <v>143.24937633436687</v>
      </c>
      <c r="BM308" s="3535">
        <v>125.39977263059299</v>
      </c>
      <c r="BN308" s="3535">
        <v>143.74874286870343</v>
      </c>
      <c r="BO308" s="3535">
        <v>179.95260051162154</v>
      </c>
      <c r="BP308" s="3535">
        <v>115.36303200838374</v>
      </c>
      <c r="BQ308" s="3535">
        <v>115.47212086150871</v>
      </c>
      <c r="BR308" s="3535">
        <v>109.91646773194245</v>
      </c>
      <c r="BS308" s="3535">
        <v>124.35593480055903</v>
      </c>
      <c r="BT308" s="3535">
        <v>95.324234537434677</v>
      </c>
      <c r="BU308" s="3535">
        <v>146.41241209401301</v>
      </c>
      <c r="BV308" s="3535">
        <v>121.18746185974243</v>
      </c>
      <c r="BW308" s="3535">
        <v>192.24450925677587</v>
      </c>
      <c r="BX308" s="3535">
        <v>95.207140249378128</v>
      </c>
      <c r="BY308" s="3535">
        <v>118.45142748053522</v>
      </c>
      <c r="BZ308" s="3535">
        <v>149.98157138078756</v>
      </c>
      <c r="CA308" s="3535">
        <v>227.19970925431068</v>
      </c>
      <c r="CB308" s="3535">
        <v>140.20599563144228</v>
      </c>
      <c r="CC308" s="3535">
        <v>116.94324831755473</v>
      </c>
      <c r="CD308" s="3535">
        <v>114.4735533240425</v>
      </c>
      <c r="CE308" s="3535">
        <v>408.60945223388245</v>
      </c>
      <c r="CF308" s="3535">
        <v>83.822219609944611</v>
      </c>
      <c r="CG308" s="3535">
        <v>110.55618080113516</v>
      </c>
      <c r="CH308" s="3535">
        <v>121.64855908403899</v>
      </c>
      <c r="CI308" s="3535">
        <v>82.096800130278893</v>
      </c>
      <c r="CJ308" s="2978">
        <v>121.7206486951649</v>
      </c>
    </row>
    <row r="309" spans="1:88">
      <c r="A309" s="53">
        <v>2018.12</v>
      </c>
      <c r="B309" s="615">
        <v>107.65050820288417</v>
      </c>
      <c r="C309" s="3535">
        <v>116.762832417876</v>
      </c>
      <c r="D309" s="358">
        <v>117.973138291978</v>
      </c>
      <c r="E309" s="615">
        <v>125.32917208798432</v>
      </c>
      <c r="F309" s="1215">
        <v>100.04262015054597</v>
      </c>
      <c r="G309" s="1215">
        <v>239.26768408384288</v>
      </c>
      <c r="H309" s="1215">
        <v>147.49027626407178</v>
      </c>
      <c r="I309" s="1215">
        <v>209.77873576680182</v>
      </c>
      <c r="J309" s="1215">
        <v>114.31843585878043</v>
      </c>
      <c r="K309" s="1215">
        <v>113.72242770154826</v>
      </c>
      <c r="L309" s="1215">
        <v>121.57720216854572</v>
      </c>
      <c r="M309" s="1215">
        <v>101.2007362249087</v>
      </c>
      <c r="N309" s="1215">
        <v>65.483265838682627</v>
      </c>
      <c r="O309" s="1215">
        <v>98.749215888739471</v>
      </c>
      <c r="P309" s="1215">
        <v>154.90625169290976</v>
      </c>
      <c r="Q309" s="1215">
        <v>118.2813855060064</v>
      </c>
      <c r="R309" s="2661">
        <v>149.50665599467581</v>
      </c>
      <c r="S309" s="3535">
        <v>46.130235953790432</v>
      </c>
      <c r="T309" s="3535">
        <v>0</v>
      </c>
      <c r="U309" s="3535">
        <v>68.268406062788486</v>
      </c>
      <c r="V309" s="3535">
        <v>55.670799348338996</v>
      </c>
      <c r="W309" s="3535">
        <v>16.397126613925249</v>
      </c>
      <c r="X309" s="3535">
        <v>51.048217751492047</v>
      </c>
      <c r="Y309" s="3535">
        <v>68.644780957872712</v>
      </c>
      <c r="Z309" s="3535">
        <v>55.272168951005888</v>
      </c>
      <c r="AA309" s="3535">
        <v>90.133208433287351</v>
      </c>
      <c r="AB309" s="3535">
        <v>92.76725770118324</v>
      </c>
      <c r="AC309" s="3535">
        <v>65.081320058362763</v>
      </c>
      <c r="AD309" s="3535">
        <v>105.93996969152481</v>
      </c>
      <c r="AE309" s="3535">
        <v>93.66393919986443</v>
      </c>
      <c r="AF309" s="3535">
        <v>93.629766876246222</v>
      </c>
      <c r="AG309" s="3535">
        <v>92.720173972164702</v>
      </c>
      <c r="AH309" s="3535">
        <v>94.600034611022082</v>
      </c>
      <c r="AI309" s="3535">
        <v>113.15408876149468</v>
      </c>
      <c r="AJ309" s="3535">
        <v>156.27718902696105</v>
      </c>
      <c r="AK309" s="3535">
        <v>98.266875951549494</v>
      </c>
      <c r="AL309" s="3535">
        <v>102.31890016861074</v>
      </c>
      <c r="AM309" s="3535">
        <v>65.365478524631087</v>
      </c>
      <c r="AN309" s="3535">
        <v>107.60474432448572</v>
      </c>
      <c r="AO309" s="3535">
        <v>123.03707656706496</v>
      </c>
      <c r="AP309" s="3535">
        <v>131.33864140797769</v>
      </c>
      <c r="AQ309" s="3535">
        <v>88.136313404731638</v>
      </c>
      <c r="AR309" s="3535">
        <v>135.89824551982872</v>
      </c>
      <c r="AS309" s="3535">
        <v>102.45983795444846</v>
      </c>
      <c r="AT309" s="3535">
        <v>90.296948927174412</v>
      </c>
      <c r="AU309" s="3535">
        <v>152.05933215499553</v>
      </c>
      <c r="AV309" s="3535">
        <v>121.12497956786228</v>
      </c>
      <c r="AW309" s="3535">
        <v>113.24751736683902</v>
      </c>
      <c r="AX309" s="3535">
        <v>92.889546405625723</v>
      </c>
      <c r="AY309" s="3535">
        <v>103.60189573459715</v>
      </c>
      <c r="AZ309" s="3535">
        <v>69.732400877126409</v>
      </c>
      <c r="BA309" s="3535">
        <v>93.752685337982157</v>
      </c>
      <c r="BB309" s="3535">
        <v>149.29602719652482</v>
      </c>
      <c r="BC309" s="3535">
        <v>130.90452477066432</v>
      </c>
      <c r="BD309" s="3535">
        <v>117.04735705113193</v>
      </c>
      <c r="BE309" s="3535">
        <v>165.39987991810128</v>
      </c>
      <c r="BF309" s="3535">
        <v>135.70270744912108</v>
      </c>
      <c r="BG309" s="3535">
        <v>195.69785707962805</v>
      </c>
      <c r="BH309" s="3535">
        <v>140.33707501447034</v>
      </c>
      <c r="BI309" s="3535">
        <v>87.111442146037376</v>
      </c>
      <c r="BJ309" s="3535">
        <v>69.814807173602588</v>
      </c>
      <c r="BK309" s="3535">
        <v>147.20694701063493</v>
      </c>
      <c r="BL309" s="3535">
        <v>112.49899820227472</v>
      </c>
      <c r="BM309" s="3535">
        <v>110.37627214054775</v>
      </c>
      <c r="BN309" s="3535">
        <v>132.74357849401946</v>
      </c>
      <c r="BO309" s="3535">
        <v>147.18928590516944</v>
      </c>
      <c r="BP309" s="3535">
        <v>100.19899844310892</v>
      </c>
      <c r="BQ309" s="3535">
        <v>108.97332970364764</v>
      </c>
      <c r="BR309" s="3535">
        <v>117.27133648923595</v>
      </c>
      <c r="BS309" s="3535">
        <v>122.0523668406254</v>
      </c>
      <c r="BT309" s="3535">
        <v>75.991461468190167</v>
      </c>
      <c r="BU309" s="3535">
        <v>106.56214140072424</v>
      </c>
      <c r="BV309" s="3535">
        <v>100.00469787450689</v>
      </c>
      <c r="BW309" s="3535">
        <v>112.59726915355408</v>
      </c>
      <c r="BX309" s="3535">
        <v>93.568725861147755</v>
      </c>
      <c r="BY309" s="3535">
        <v>103.7277590781185</v>
      </c>
      <c r="BZ309" s="3535">
        <v>98.995134389018233</v>
      </c>
      <c r="CA309" s="3535">
        <v>136.06069805129616</v>
      </c>
      <c r="CB309" s="3535">
        <v>99.55044349105232</v>
      </c>
      <c r="CC309" s="3535">
        <v>82.445816704141748</v>
      </c>
      <c r="CD309" s="3535">
        <v>81.32228400576021</v>
      </c>
      <c r="CE309" s="3535">
        <v>243.68594970818802</v>
      </c>
      <c r="CF309" s="3535">
        <v>64.402680112000837</v>
      </c>
      <c r="CG309" s="3535">
        <v>94.129004730504747</v>
      </c>
      <c r="CH309" s="3535">
        <v>96.831106429415001</v>
      </c>
      <c r="CI309" s="3535">
        <v>78.190758213223049</v>
      </c>
      <c r="CJ309" s="2978">
        <v>107.65050820288421</v>
      </c>
    </row>
    <row r="310" spans="1:88">
      <c r="A310" s="53">
        <v>2019.01</v>
      </c>
      <c r="B310" s="615">
        <v>107.03848029567479</v>
      </c>
      <c r="C310" s="3535">
        <v>118.27002361803601</v>
      </c>
      <c r="D310" s="358">
        <v>118.1006355964</v>
      </c>
      <c r="E310" s="615">
        <v>129.09821247871486</v>
      </c>
      <c r="F310" s="1215">
        <v>100.91706055625858</v>
      </c>
      <c r="G310" s="1215">
        <v>259.40185934632791</v>
      </c>
      <c r="H310" s="1215">
        <v>147.13742604123001</v>
      </c>
      <c r="I310" s="1215">
        <v>173.36670192184238</v>
      </c>
      <c r="J310" s="1215">
        <v>120.95625150788992</v>
      </c>
      <c r="K310" s="1215">
        <v>137.93577721812576</v>
      </c>
      <c r="L310" s="1215">
        <v>123.49513301441866</v>
      </c>
      <c r="M310" s="1215">
        <v>108.85574079673496</v>
      </c>
      <c r="N310" s="1215">
        <v>42.902102069153578</v>
      </c>
      <c r="O310" s="1215">
        <v>111.46208414942622</v>
      </c>
      <c r="P310" s="1215">
        <v>150.51001908969076</v>
      </c>
      <c r="Q310" s="1215">
        <v>112.2274250347901</v>
      </c>
      <c r="R310" s="2661">
        <v>168.01833361136829</v>
      </c>
      <c r="S310" s="3535">
        <v>115.72098840376614</v>
      </c>
      <c r="T310" s="3535">
        <v>142.04617879084893</v>
      </c>
      <c r="U310" s="3535">
        <v>103.08737552728326</v>
      </c>
      <c r="V310" s="3535">
        <v>53.526108691342692</v>
      </c>
      <c r="W310" s="3535">
        <v>15.116717901002803</v>
      </c>
      <c r="X310" s="3535">
        <v>44.222714080644039</v>
      </c>
      <c r="Y310" s="3535">
        <v>69.299458619336292</v>
      </c>
      <c r="Z310" s="3535">
        <v>53.003666295336913</v>
      </c>
      <c r="AA310" s="3535">
        <v>72.009163821627979</v>
      </c>
      <c r="AB310" s="3535">
        <v>69.399683138469143</v>
      </c>
      <c r="AC310" s="3535">
        <v>64.581411249695307</v>
      </c>
      <c r="AD310" s="3535">
        <v>91.101205365095439</v>
      </c>
      <c r="AE310" s="3535">
        <v>103.93005257805021</v>
      </c>
      <c r="AF310" s="3535">
        <v>89.852148033871202</v>
      </c>
      <c r="AG310" s="3535">
        <v>100.91097897494231</v>
      </c>
      <c r="AH310" s="3535">
        <v>116.32210814535566</v>
      </c>
      <c r="AI310" s="3535">
        <v>111.5081799308125</v>
      </c>
      <c r="AJ310" s="3535">
        <v>155.9544444116583</v>
      </c>
      <c r="AK310" s="3535">
        <v>93.616289110340318</v>
      </c>
      <c r="AL310" s="3535">
        <v>115.55787162549341</v>
      </c>
      <c r="AM310" s="3535">
        <v>51.879402524252882</v>
      </c>
      <c r="AN310" s="3535">
        <v>106.85891394010616</v>
      </c>
      <c r="AO310" s="3535">
        <v>132.11160651240621</v>
      </c>
      <c r="AP310" s="3535">
        <v>132.21478180610234</v>
      </c>
      <c r="AQ310" s="3535">
        <v>87.260273231090864</v>
      </c>
      <c r="AR310" s="3535">
        <v>114.99805080410869</v>
      </c>
      <c r="AS310" s="3535">
        <v>106.0096373357193</v>
      </c>
      <c r="AT310" s="3535">
        <v>110.89599619351689</v>
      </c>
      <c r="AU310" s="3535">
        <v>179.67410353586337</v>
      </c>
      <c r="AV310" s="3535">
        <v>141.79414836342823</v>
      </c>
      <c r="AW310" s="3535">
        <v>106.00986780239931</v>
      </c>
      <c r="AX310" s="3535">
        <v>98.851950072005863</v>
      </c>
      <c r="AY310" s="3535">
        <v>103.04502369668246</v>
      </c>
      <c r="AZ310" s="3535">
        <v>82.95191418381232</v>
      </c>
      <c r="BA310" s="3535">
        <v>100.06007749264589</v>
      </c>
      <c r="BB310" s="3535">
        <v>144.83613201010496</v>
      </c>
      <c r="BC310" s="3535">
        <v>109.85656034186603</v>
      </c>
      <c r="BD310" s="3535">
        <v>97.338989640334162</v>
      </c>
      <c r="BE310" s="3535">
        <v>161.78207293975998</v>
      </c>
      <c r="BF310" s="3535">
        <v>145.96008556709882</v>
      </c>
      <c r="BG310" s="3535">
        <v>227.25566866626374</v>
      </c>
      <c r="BH310" s="3535">
        <v>137.28515317908864</v>
      </c>
      <c r="BI310" s="3535">
        <v>89.429314165509041</v>
      </c>
      <c r="BJ310" s="3535">
        <v>72.211236956551474</v>
      </c>
      <c r="BK310" s="3535">
        <v>148.81848139873949</v>
      </c>
      <c r="BL310" s="3535">
        <v>115.13095034153206</v>
      </c>
      <c r="BM310" s="3535">
        <v>112.43607023742975</v>
      </c>
      <c r="BN310" s="3535">
        <v>129.65792510893121</v>
      </c>
      <c r="BO310" s="3535">
        <v>179.70025128684185</v>
      </c>
      <c r="BP310" s="3535">
        <v>101.90263347362392</v>
      </c>
      <c r="BQ310" s="3535">
        <v>66.283608654010862</v>
      </c>
      <c r="BR310" s="3535">
        <v>91.172908596587632</v>
      </c>
      <c r="BS310" s="3535">
        <v>11.403187049375308</v>
      </c>
      <c r="BT310" s="3535">
        <v>73.124049359555997</v>
      </c>
      <c r="BU310" s="3535">
        <v>85.851394537153453</v>
      </c>
      <c r="BV310" s="3535">
        <v>87.412965163261319</v>
      </c>
      <c r="BW310" s="3535">
        <v>90.789129024074754</v>
      </c>
      <c r="BX310" s="3535">
        <v>78.189131473913307</v>
      </c>
      <c r="BY310" s="3535">
        <v>105.63595635315578</v>
      </c>
      <c r="BZ310" s="3535">
        <v>69.933824901469208</v>
      </c>
      <c r="CA310" s="3535">
        <v>83.780532754562032</v>
      </c>
      <c r="CB310" s="3535">
        <v>74.118221920299163</v>
      </c>
      <c r="CC310" s="3535">
        <v>63.228104897365725</v>
      </c>
      <c r="CD310" s="3535">
        <v>78.952426175053034</v>
      </c>
      <c r="CE310" s="3535">
        <v>236.25296310622113</v>
      </c>
      <c r="CF310" s="3535">
        <v>62.56044114788056</v>
      </c>
      <c r="CG310" s="3535">
        <v>99.031139248650376</v>
      </c>
      <c r="CH310" s="3535">
        <v>117.03974650903788</v>
      </c>
      <c r="CI310" s="3535">
        <v>61.262676584072338</v>
      </c>
      <c r="CJ310" s="2978">
        <v>107.03848029567483</v>
      </c>
    </row>
    <row r="311" spans="1:88">
      <c r="A311" s="53">
        <v>2019.02</v>
      </c>
      <c r="B311" s="615">
        <v>106.67393616491125</v>
      </c>
      <c r="C311" s="3535">
        <v>121.39794582205499</v>
      </c>
      <c r="D311" s="358">
        <v>118.631408278389</v>
      </c>
      <c r="E311" s="615">
        <v>121.42717088361483</v>
      </c>
      <c r="F311" s="1215">
        <v>88.8986069835276</v>
      </c>
      <c r="G311" s="1215">
        <v>219.95352147026321</v>
      </c>
      <c r="H311" s="1215">
        <v>137.44714080512551</v>
      </c>
      <c r="I311" s="1215">
        <v>180.56884709890753</v>
      </c>
      <c r="J311" s="1215">
        <v>115.08195732029947</v>
      </c>
      <c r="K311" s="1215">
        <v>120.91769415659364</v>
      </c>
      <c r="L311" s="1215">
        <v>136.46139375997345</v>
      </c>
      <c r="M311" s="1215">
        <v>109.98277290576951</v>
      </c>
      <c r="N311" s="1215">
        <v>74.437985346218895</v>
      </c>
      <c r="O311" s="1215">
        <v>114.45383271156487</v>
      </c>
      <c r="P311" s="1215">
        <v>140.15428279644763</v>
      </c>
      <c r="Q311" s="1215">
        <v>99.30693746874833</v>
      </c>
      <c r="R311" s="2661">
        <v>136.56546658474358</v>
      </c>
      <c r="S311" s="3535">
        <v>124.5254433857083</v>
      </c>
      <c r="T311" s="3535">
        <v>212.43788924409745</v>
      </c>
      <c r="U311" s="3535">
        <v>82.335746305887</v>
      </c>
      <c r="V311" s="3535">
        <v>66.219225846719596</v>
      </c>
      <c r="W311" s="3535">
        <v>18.15552766199913</v>
      </c>
      <c r="X311" s="3535">
        <v>71.554036802321548</v>
      </c>
      <c r="Y311" s="3535">
        <v>85.586219766232034</v>
      </c>
      <c r="Z311" s="3535">
        <v>57.112456099795629</v>
      </c>
      <c r="AA311" s="3535">
        <v>79.847454397822602</v>
      </c>
      <c r="AB311" s="3535">
        <v>75.002658225299143</v>
      </c>
      <c r="AC311" s="3535">
        <v>61.235107391144268</v>
      </c>
      <c r="AD311" s="3535">
        <v>120.49051648814135</v>
      </c>
      <c r="AE311" s="3535">
        <v>101.83935179022723</v>
      </c>
      <c r="AF311" s="3535">
        <v>92.865478820996842</v>
      </c>
      <c r="AG311" s="3535">
        <v>99.470913416842208</v>
      </c>
      <c r="AH311" s="3535">
        <v>110.16811707507576</v>
      </c>
      <c r="AI311" s="3535">
        <v>97.868361028029298</v>
      </c>
      <c r="AJ311" s="3535">
        <v>144.18177937747402</v>
      </c>
      <c r="AK311" s="3535">
        <v>84.901241783396259</v>
      </c>
      <c r="AL311" s="3535">
        <v>87.672430559500299</v>
      </c>
      <c r="AM311" s="3535">
        <v>67.091485335122997</v>
      </c>
      <c r="AN311" s="3535">
        <v>87.454908820069519</v>
      </c>
      <c r="AO311" s="3535">
        <v>120.75448165022195</v>
      </c>
      <c r="AP311" s="3535">
        <v>126.30523865192187</v>
      </c>
      <c r="AQ311" s="3535">
        <v>73.721921665534609</v>
      </c>
      <c r="AR311" s="3535">
        <v>91.076772290575306</v>
      </c>
      <c r="AS311" s="3535">
        <v>104.44380045123502</v>
      </c>
      <c r="AT311" s="3535">
        <v>106.76062038135932</v>
      </c>
      <c r="AU311" s="3535">
        <v>159.00537959349057</v>
      </c>
      <c r="AV311" s="3535">
        <v>140.26439771757009</v>
      </c>
      <c r="AW311" s="3535">
        <v>110.15790129399193</v>
      </c>
      <c r="AX311" s="3535">
        <v>99.577959958162594</v>
      </c>
      <c r="AY311" s="3535">
        <v>93.992890995260652</v>
      </c>
      <c r="AZ311" s="3535">
        <v>74.347457627435901</v>
      </c>
      <c r="BA311" s="3535">
        <v>103.8771723632223</v>
      </c>
      <c r="BB311" s="3535">
        <v>160.53461943845193</v>
      </c>
      <c r="BC311" s="3535">
        <v>117.1215514323488</v>
      </c>
      <c r="BD311" s="3535">
        <v>114.63000063673157</v>
      </c>
      <c r="BE311" s="3535">
        <v>177.912829495696</v>
      </c>
      <c r="BF311" s="3535">
        <v>158.67279669389276</v>
      </c>
      <c r="BG311" s="3535">
        <v>252.24441439367516</v>
      </c>
      <c r="BH311" s="3535">
        <v>149.45208080773381</v>
      </c>
      <c r="BI311" s="3535">
        <v>69.70593223424099</v>
      </c>
      <c r="BJ311" s="3535">
        <v>46.817563768720689</v>
      </c>
      <c r="BK311" s="3535">
        <v>135.83749515302884</v>
      </c>
      <c r="BL311" s="3535">
        <v>116.56883682624996</v>
      </c>
      <c r="BM311" s="3535">
        <v>102.65395863155706</v>
      </c>
      <c r="BN311" s="3535">
        <v>120.03004844822391</v>
      </c>
      <c r="BO311" s="3535">
        <v>169.00477524549763</v>
      </c>
      <c r="BP311" s="3535">
        <v>92.131238781914305</v>
      </c>
      <c r="BQ311" s="3535">
        <v>98.771112039777805</v>
      </c>
      <c r="BR311" s="3535">
        <v>87.601570144439066</v>
      </c>
      <c r="BS311" s="3535">
        <v>109.59120676615325</v>
      </c>
      <c r="BT311" s="3535">
        <v>76.418658222406094</v>
      </c>
      <c r="BU311" s="3535">
        <v>147.27869526311599</v>
      </c>
      <c r="BV311" s="3535">
        <v>106.5938951694057</v>
      </c>
      <c r="BW311" s="3535">
        <v>179.99431407687072</v>
      </c>
      <c r="BX311" s="3535">
        <v>80.28977099980483</v>
      </c>
      <c r="BY311" s="3535">
        <v>102.54325275979487</v>
      </c>
      <c r="BZ311" s="3535">
        <v>126.30380385256267</v>
      </c>
      <c r="CA311" s="3535">
        <v>202.2850152011913</v>
      </c>
      <c r="CB311" s="3535">
        <v>116.33443743617539</v>
      </c>
      <c r="CC311" s="3535">
        <v>93.840816006816169</v>
      </c>
      <c r="CD311" s="3535">
        <v>96.37762508567107</v>
      </c>
      <c r="CE311" s="3535">
        <v>312.67843220195363</v>
      </c>
      <c r="CF311" s="3535">
        <v>73.837335899201776</v>
      </c>
      <c r="CG311" s="3535">
        <v>99.545660571421706</v>
      </c>
      <c r="CH311" s="3535">
        <v>121.30905646259077</v>
      </c>
      <c r="CI311" s="3535">
        <v>56.02726033716786</v>
      </c>
      <c r="CJ311" s="2978">
        <v>106.67393616491127</v>
      </c>
    </row>
    <row r="312" spans="1:88">
      <c r="A312" s="53">
        <v>2019.03</v>
      </c>
      <c r="B312" s="615">
        <v>118.41802463310189</v>
      </c>
      <c r="C312" s="3535">
        <v>118.339398217379</v>
      </c>
      <c r="D312" s="358">
        <v>119.290916303983</v>
      </c>
      <c r="E312" s="615">
        <v>130.64714488314834</v>
      </c>
      <c r="F312" s="1215">
        <v>91.415152275148429</v>
      </c>
      <c r="G312" s="1215">
        <v>233.19031848011082</v>
      </c>
      <c r="H312" s="1215">
        <v>132.37493801972903</v>
      </c>
      <c r="I312" s="1215">
        <v>210.37252808734274</v>
      </c>
      <c r="J312" s="1215">
        <v>146.065841486019</v>
      </c>
      <c r="K312" s="1215">
        <v>127.12078235574008</v>
      </c>
      <c r="L312" s="1215">
        <v>156.8977369283875</v>
      </c>
      <c r="M312" s="1215">
        <v>120.91631835343335</v>
      </c>
      <c r="N312" s="1215">
        <v>82.825531787065827</v>
      </c>
      <c r="O312" s="1215">
        <v>141.56866800330582</v>
      </c>
      <c r="P312" s="1215">
        <v>132.5293508062893</v>
      </c>
      <c r="Q312" s="1215">
        <v>109.46109020494113</v>
      </c>
      <c r="R312" s="2661">
        <v>136.46234336625943</v>
      </c>
      <c r="S312" s="3535">
        <v>121.71241968409404</v>
      </c>
      <c r="T312" s="3535">
        <v>204.76549837043493</v>
      </c>
      <c r="U312" s="3535">
        <v>81.854761338794845</v>
      </c>
      <c r="V312" s="3535">
        <v>81.939796559649594</v>
      </c>
      <c r="W312" s="3535">
        <v>125.6632604055664</v>
      </c>
      <c r="X312" s="3535">
        <v>90.314041155109564</v>
      </c>
      <c r="Y312" s="3535">
        <v>98.15215984082343</v>
      </c>
      <c r="Z312" s="3535">
        <v>54.858482440277882</v>
      </c>
      <c r="AA312" s="3535">
        <v>92.940789515325235</v>
      </c>
      <c r="AB312" s="3535">
        <v>90.564496037486123</v>
      </c>
      <c r="AC312" s="3535">
        <v>62.766243781048203</v>
      </c>
      <c r="AD312" s="3535">
        <v>135.55619922592379</v>
      </c>
      <c r="AE312" s="3535">
        <v>108.59494981990727</v>
      </c>
      <c r="AF312" s="3535">
        <v>97.039355024771723</v>
      </c>
      <c r="AG312" s="3535">
        <v>104.11694318168311</v>
      </c>
      <c r="AH312" s="3535">
        <v>120.70163192267172</v>
      </c>
      <c r="AI312" s="3535">
        <v>112.23820892172266</v>
      </c>
      <c r="AJ312" s="3535">
        <v>156.8668021463925</v>
      </c>
      <c r="AK312" s="3535">
        <v>96.158477829166344</v>
      </c>
      <c r="AL312" s="3535">
        <v>113.49710619359539</v>
      </c>
      <c r="AM312" s="3535">
        <v>85.712150233810348</v>
      </c>
      <c r="AN312" s="3535">
        <v>104.57954360810621</v>
      </c>
      <c r="AO312" s="3535">
        <v>133.10582985142975</v>
      </c>
      <c r="AP312" s="3535">
        <v>134.02037806217817</v>
      </c>
      <c r="AQ312" s="3535">
        <v>79.71703023550107</v>
      </c>
      <c r="AR312" s="3535">
        <v>102.89875526671143</v>
      </c>
      <c r="AS312" s="3535">
        <v>96.074205554663479</v>
      </c>
      <c r="AT312" s="3535">
        <v>105.62346935617386</v>
      </c>
      <c r="AU312" s="3535">
        <v>175.41289053971639</v>
      </c>
      <c r="AV312" s="3535">
        <v>153.28889660335241</v>
      </c>
      <c r="AW312" s="3535">
        <v>159.76628883415714</v>
      </c>
      <c r="AX312" s="3535">
        <v>105.81304920634695</v>
      </c>
      <c r="AY312" s="3535">
        <v>102.53554502369668</v>
      </c>
      <c r="AZ312" s="3535">
        <v>87.195386022015697</v>
      </c>
      <c r="BA312" s="3535">
        <v>108.82122731787744</v>
      </c>
      <c r="BB312" s="3535">
        <v>170.61630338197847</v>
      </c>
      <c r="BC312" s="3535">
        <v>128.48846542736612</v>
      </c>
      <c r="BD312" s="3535">
        <v>135.4318611506813</v>
      </c>
      <c r="BE312" s="3535">
        <v>186.59153686442338</v>
      </c>
      <c r="BF312" s="3535">
        <v>189.25742787441956</v>
      </c>
      <c r="BG312" s="3535">
        <v>244.14701786271775</v>
      </c>
      <c r="BH312" s="3535">
        <v>162.12144925649554</v>
      </c>
      <c r="BI312" s="3535">
        <v>101.0022146976753</v>
      </c>
      <c r="BJ312" s="3535">
        <v>83.014763288624778</v>
      </c>
      <c r="BK312" s="3535">
        <v>149.72516050330825</v>
      </c>
      <c r="BL312" s="3535">
        <v>141.04900382833213</v>
      </c>
      <c r="BM312" s="3535">
        <v>115.42589579414081</v>
      </c>
      <c r="BN312" s="3535">
        <v>125.29624387462262</v>
      </c>
      <c r="BO312" s="3535">
        <v>182.6502440369448</v>
      </c>
      <c r="BP312" s="3535">
        <v>107.40164134913645</v>
      </c>
      <c r="BQ312" s="3535">
        <v>119.58140914834325</v>
      </c>
      <c r="BR312" s="3535">
        <v>97.897226536174969</v>
      </c>
      <c r="BS312" s="3535">
        <v>160.3059615129674</v>
      </c>
      <c r="BT312" s="3535">
        <v>77.971070944548188</v>
      </c>
      <c r="BU312" s="3535">
        <v>171.4249763822539</v>
      </c>
      <c r="BV312" s="3535">
        <v>118.82439120515022</v>
      </c>
      <c r="BW312" s="3535">
        <v>207.5444463690288</v>
      </c>
      <c r="BX312" s="3535">
        <v>88.212379154702404</v>
      </c>
      <c r="BY312" s="3535">
        <v>111.21278229680505</v>
      </c>
      <c r="BZ312" s="3535">
        <v>122.80126978388257</v>
      </c>
      <c r="CA312" s="3535">
        <v>183.41598189579517</v>
      </c>
      <c r="CB312" s="3535">
        <v>112.07343947431487</v>
      </c>
      <c r="CC312" s="3535">
        <v>97.268747660820353</v>
      </c>
      <c r="CD312" s="3535">
        <v>93.398636853395374</v>
      </c>
      <c r="CE312" s="3535">
        <v>289.41097756766919</v>
      </c>
      <c r="CF312" s="3535">
        <v>72.972569550552222</v>
      </c>
      <c r="CG312" s="3535">
        <v>101.01195807791628</v>
      </c>
      <c r="CH312" s="3535">
        <v>114.48129294933315</v>
      </c>
      <c r="CI312" s="3535">
        <v>63.245000166714227</v>
      </c>
      <c r="CJ312" s="2978">
        <v>118.41802463310192</v>
      </c>
    </row>
    <row r="313" spans="1:88">
      <c r="A313" s="53">
        <v>2019.04</v>
      </c>
      <c r="B313" s="615">
        <v>120.37257298567555</v>
      </c>
      <c r="C313" s="3535">
        <v>118.15171061510399</v>
      </c>
      <c r="D313" s="358">
        <v>119.793681852823</v>
      </c>
      <c r="E313" s="615">
        <v>134.42458181488936</v>
      </c>
      <c r="F313" s="1215">
        <v>95.184790951614943</v>
      </c>
      <c r="G313" s="1215">
        <v>247.20841737494683</v>
      </c>
      <c r="H313" s="1215">
        <v>129.46728455241808</v>
      </c>
      <c r="I313" s="1215">
        <v>191.53064563890936</v>
      </c>
      <c r="J313" s="1215">
        <v>186.28479838130266</v>
      </c>
      <c r="K313" s="1215">
        <v>123.51438330582182</v>
      </c>
      <c r="L313" s="1215">
        <v>153.99047256071938</v>
      </c>
      <c r="M313" s="1215">
        <v>132.44094146121137</v>
      </c>
      <c r="N313" s="1215">
        <v>79.694083364944177</v>
      </c>
      <c r="O313" s="1215">
        <v>151.27774270052956</v>
      </c>
      <c r="P313" s="1215">
        <v>116.13220013389157</v>
      </c>
      <c r="Q313" s="1215">
        <v>114.14016199252104</v>
      </c>
      <c r="R313" s="2661">
        <v>137.10858449846791</v>
      </c>
      <c r="S313" s="3535">
        <v>84.953378775982955</v>
      </c>
      <c r="T313" s="3535">
        <v>117.41396233320329</v>
      </c>
      <c r="U313" s="3535">
        <v>69.375354823386147</v>
      </c>
      <c r="V313" s="3535">
        <v>90.118038632754192</v>
      </c>
      <c r="W313" s="3535">
        <v>181.54325159621433</v>
      </c>
      <c r="X313" s="3535">
        <v>91.676851056371333</v>
      </c>
      <c r="Y313" s="3535">
        <v>101.49670307350156</v>
      </c>
      <c r="Z313" s="3535">
        <v>60.724488248164</v>
      </c>
      <c r="AA313" s="3535">
        <v>91.477112902790211</v>
      </c>
      <c r="AB313" s="3535">
        <v>87.089984759321808</v>
      </c>
      <c r="AC313" s="3535">
        <v>62.175260396555046</v>
      </c>
      <c r="AD313" s="3535">
        <v>141.69567275033609</v>
      </c>
      <c r="AE313" s="3535">
        <v>108.55309225725138</v>
      </c>
      <c r="AF313" s="3535">
        <v>102.004237868095</v>
      </c>
      <c r="AG313" s="3535">
        <v>102.03890737007188</v>
      </c>
      <c r="AH313" s="3535">
        <v>119.26146611113504</v>
      </c>
      <c r="AI313" s="3535">
        <v>101.30046984937597</v>
      </c>
      <c r="AJ313" s="3535">
        <v>147.99474338369026</v>
      </c>
      <c r="AK313" s="3535">
        <v>88.15966805239286</v>
      </c>
      <c r="AL313" s="3535">
        <v>113.53175992261657</v>
      </c>
      <c r="AM313" s="3535">
        <v>58.1644871749168</v>
      </c>
      <c r="AN313" s="3535">
        <v>87.999839501720459</v>
      </c>
      <c r="AO313" s="3535">
        <v>137.00099875812094</v>
      </c>
      <c r="AP313" s="3535">
        <v>149.29652381045469</v>
      </c>
      <c r="AQ313" s="3535">
        <v>86.436689839526949</v>
      </c>
      <c r="AR313" s="3535">
        <v>92.223276871629778</v>
      </c>
      <c r="AS313" s="3535">
        <v>107.30686667614317</v>
      </c>
      <c r="AT313" s="3535">
        <v>96.197640955218489</v>
      </c>
      <c r="AU313" s="3535">
        <v>174.8590138604464</v>
      </c>
      <c r="AV313" s="3535">
        <v>157.98998569931692</v>
      </c>
      <c r="AW313" s="3535">
        <v>189.58230871198995</v>
      </c>
      <c r="AX313" s="3535">
        <v>108.43415362973133</v>
      </c>
      <c r="AY313" s="3535">
        <v>125.93601895734596</v>
      </c>
      <c r="AZ313" s="3535">
        <v>88.808391336125638</v>
      </c>
      <c r="BA313" s="3535">
        <v>107.52620220896672</v>
      </c>
      <c r="BB313" s="3535">
        <v>167.22750648310353</v>
      </c>
      <c r="BC313" s="3535">
        <v>128.83964511117694</v>
      </c>
      <c r="BD313" s="3535">
        <v>136.48752661441563</v>
      </c>
      <c r="BE313" s="3535">
        <v>175.78512535446947</v>
      </c>
      <c r="BF313" s="3535">
        <v>179.96950271681402</v>
      </c>
      <c r="BG313" s="3535">
        <v>245.14676402688227</v>
      </c>
      <c r="BH313" s="3535">
        <v>156.38640485958484</v>
      </c>
      <c r="BI313" s="3535">
        <v>107.99154235610483</v>
      </c>
      <c r="BJ313" s="3535">
        <v>92.03038412861936</v>
      </c>
      <c r="BK313" s="3535">
        <v>147.76775790542789</v>
      </c>
      <c r="BL313" s="3535">
        <v>146.95311378613707</v>
      </c>
      <c r="BM313" s="3535">
        <v>116.25908819649636</v>
      </c>
      <c r="BN313" s="3535">
        <v>125.50575880961962</v>
      </c>
      <c r="BO313" s="3535">
        <v>153.03608741833199</v>
      </c>
      <c r="BP313" s="3535">
        <v>110.55765817762695</v>
      </c>
      <c r="BQ313" s="3535">
        <v>118.07272429190947</v>
      </c>
      <c r="BR313" s="3535">
        <v>91.567338997990916</v>
      </c>
      <c r="BS313" s="3535">
        <v>159.63442695827408</v>
      </c>
      <c r="BT313" s="3535">
        <v>78.455423026308097</v>
      </c>
      <c r="BU313" s="3535">
        <v>180.70262671855903</v>
      </c>
      <c r="BV313" s="3535">
        <v>122.53617876964559</v>
      </c>
      <c r="BW313" s="3535">
        <v>205.03892189137491</v>
      </c>
      <c r="BX313" s="3535">
        <v>94.419437572500172</v>
      </c>
      <c r="BY313" s="3535">
        <v>114.65386192060815</v>
      </c>
      <c r="BZ313" s="3535">
        <v>126.63886317696237</v>
      </c>
      <c r="CA313" s="3535">
        <v>189.76101463712365</v>
      </c>
      <c r="CB313" s="3535">
        <v>128.55738891567745</v>
      </c>
      <c r="CC313" s="3535">
        <v>98.327581518692071</v>
      </c>
      <c r="CD313" s="3535">
        <v>96.424613652044215</v>
      </c>
      <c r="CE313" s="3535">
        <v>339.74202968713422</v>
      </c>
      <c r="CF313" s="3535">
        <v>71.068975849976411</v>
      </c>
      <c r="CG313" s="3535">
        <v>105.58451468976443</v>
      </c>
      <c r="CH313" s="3535">
        <v>122.05634069225982</v>
      </c>
      <c r="CI313" s="3535">
        <v>64.816260933031174</v>
      </c>
      <c r="CJ313" s="2978">
        <v>120.37257298567563</v>
      </c>
    </row>
    <row r="314" spans="1:88">
      <c r="A314" s="53">
        <v>2019.05</v>
      </c>
      <c r="B314" s="615">
        <v>126.47961261497039</v>
      </c>
      <c r="C314" s="3535">
        <v>120.859513187389</v>
      </c>
      <c r="D314" s="358">
        <v>119.980285478597</v>
      </c>
      <c r="E314" s="615">
        <v>142.71759402530401</v>
      </c>
      <c r="F314" s="1215">
        <v>104.80011042495315</v>
      </c>
      <c r="G314" s="1215">
        <v>269.70456960365811</v>
      </c>
      <c r="H314" s="1215">
        <v>131.34467226827098</v>
      </c>
      <c r="I314" s="1215">
        <v>223.61491212689981</v>
      </c>
      <c r="J314" s="1215">
        <v>189.05978505510427</v>
      </c>
      <c r="K314" s="1215">
        <v>140.28303961125584</v>
      </c>
      <c r="L314" s="1215">
        <v>164.35847015543263</v>
      </c>
      <c r="M314" s="1215">
        <v>139.42442073372533</v>
      </c>
      <c r="N314" s="1215">
        <v>91.497033226584279</v>
      </c>
      <c r="O314" s="1215">
        <v>162.6891639960094</v>
      </c>
      <c r="P314" s="1215">
        <v>108.4638853031899</v>
      </c>
      <c r="Q314" s="1215">
        <v>131.80067289063408</v>
      </c>
      <c r="R314" s="2661">
        <v>142.06966728654157</v>
      </c>
      <c r="S314" s="3535">
        <v>82.310215356339228</v>
      </c>
      <c r="T314" s="3535">
        <v>71.950955527423758</v>
      </c>
      <c r="U314" s="3535">
        <v>87.28168475280124</v>
      </c>
      <c r="V314" s="3535">
        <v>95.167593202194581</v>
      </c>
      <c r="W314" s="3535">
        <v>149.73236207693242</v>
      </c>
      <c r="X314" s="3535">
        <v>96.946831326043096</v>
      </c>
      <c r="Y314" s="3535">
        <v>106.86084401658974</v>
      </c>
      <c r="Z314" s="3535">
        <v>73.051522798844502</v>
      </c>
      <c r="AA314" s="3535">
        <v>98.276414214758162</v>
      </c>
      <c r="AB314" s="3535">
        <v>98.121664222108876</v>
      </c>
      <c r="AC314" s="3535">
        <v>67.728311057366113</v>
      </c>
      <c r="AD314" s="3535">
        <v>131.8554958510226</v>
      </c>
      <c r="AE314" s="3535">
        <v>113.601119375644</v>
      </c>
      <c r="AF314" s="3535">
        <v>104.40281572045461</v>
      </c>
      <c r="AG314" s="3535">
        <v>104.75716052301061</v>
      </c>
      <c r="AH314" s="3535">
        <v>128.34602639992985</v>
      </c>
      <c r="AI314" s="3535">
        <v>111.72279504087436</v>
      </c>
      <c r="AJ314" s="3535">
        <v>148.76038220258096</v>
      </c>
      <c r="AK314" s="3535">
        <v>100.57408575207096</v>
      </c>
      <c r="AL314" s="3535">
        <v>112.95267752518387</v>
      </c>
      <c r="AM314" s="3535">
        <v>73.260669486547187</v>
      </c>
      <c r="AN314" s="3535">
        <v>103.4175370866582</v>
      </c>
      <c r="AO314" s="3535">
        <v>139.42235615836037</v>
      </c>
      <c r="AP314" s="3535">
        <v>143.1726180787681</v>
      </c>
      <c r="AQ314" s="3535">
        <v>89.496749200840981</v>
      </c>
      <c r="AR314" s="3535">
        <v>119.45379154944526</v>
      </c>
      <c r="AS314" s="3535">
        <v>89.243797401312534</v>
      </c>
      <c r="AT314" s="3535">
        <v>103.76012802978339</v>
      </c>
      <c r="AU314" s="3535">
        <v>172.67143904617961</v>
      </c>
      <c r="AV314" s="3535">
        <v>162.42307940007851</v>
      </c>
      <c r="AW314" s="3535">
        <v>193.9335320429085</v>
      </c>
      <c r="AX314" s="3535">
        <v>110.86030188390767</v>
      </c>
      <c r="AY314" s="3535">
        <v>128.74407582938389</v>
      </c>
      <c r="AZ314" s="3535">
        <v>93.213910399390031</v>
      </c>
      <c r="BA314" s="3535">
        <v>109.62601892150248</v>
      </c>
      <c r="BB314" s="3535">
        <v>170.23756597809799</v>
      </c>
      <c r="BC314" s="3535">
        <v>135.73884580311611</v>
      </c>
      <c r="BD314" s="3535">
        <v>123.10573999382308</v>
      </c>
      <c r="BE314" s="3535">
        <v>181.29712435032255</v>
      </c>
      <c r="BF314" s="3535">
        <v>176.20596127258943</v>
      </c>
      <c r="BG314" s="3535">
        <v>263.83487708220207</v>
      </c>
      <c r="BH314" s="3535">
        <v>158.63932229127087</v>
      </c>
      <c r="BI314" s="3535">
        <v>113.09442032293096</v>
      </c>
      <c r="BJ314" s="3535">
        <v>99.1331152062331</v>
      </c>
      <c r="BK314" s="3535">
        <v>145.3629388511238</v>
      </c>
      <c r="BL314" s="3535">
        <v>149.67488019313816</v>
      </c>
      <c r="BM314" s="3535">
        <v>123.36120025182343</v>
      </c>
      <c r="BN314" s="3535">
        <v>133.09180323532962</v>
      </c>
      <c r="BO314" s="3535">
        <v>161.46369453617544</v>
      </c>
      <c r="BP314" s="3535">
        <v>117.40291346791075</v>
      </c>
      <c r="BQ314" s="3535">
        <v>122.79438987625326</v>
      </c>
      <c r="BR314" s="3535">
        <v>100.57916593573788</v>
      </c>
      <c r="BS314" s="3535">
        <v>150.62710250020066</v>
      </c>
      <c r="BT314" s="3535">
        <v>86.454624953299032</v>
      </c>
      <c r="BU314" s="3535">
        <v>194.15195475375236</v>
      </c>
      <c r="BV314" s="3535">
        <v>136.34543246795715</v>
      </c>
      <c r="BW314" s="3535">
        <v>245.33884462620512</v>
      </c>
      <c r="BX314" s="3535">
        <v>101.7011452548559</v>
      </c>
      <c r="BY314" s="3535">
        <v>120.18834503175339</v>
      </c>
      <c r="BZ314" s="3535">
        <v>132.33303448494706</v>
      </c>
      <c r="CA314" s="3535">
        <v>195.16488405353829</v>
      </c>
      <c r="CB314" s="3535">
        <v>144.17370870526523</v>
      </c>
      <c r="CC314" s="3535">
        <v>102.84511911840259</v>
      </c>
      <c r="CD314" s="3535">
        <v>104.58567071662527</v>
      </c>
      <c r="CE314" s="3535">
        <v>345.94812387625575</v>
      </c>
      <c r="CF314" s="3535">
        <v>79.433755818550054</v>
      </c>
      <c r="CG314" s="3535">
        <v>112.78262826485957</v>
      </c>
      <c r="CH314" s="3535">
        <v>128.22816185945354</v>
      </c>
      <c r="CI314" s="3535">
        <v>74.695949959139199</v>
      </c>
      <c r="CJ314" s="2978">
        <v>126.47961261497032</v>
      </c>
    </row>
    <row r="315" spans="1:88">
      <c r="A315" s="53">
        <v>2019.06</v>
      </c>
      <c r="B315" s="615">
        <v>114.85187278421954</v>
      </c>
      <c r="C315" s="3535">
        <v>119.114173718054</v>
      </c>
      <c r="D315" s="358">
        <v>119.79446107370801</v>
      </c>
      <c r="E315" s="615">
        <v>133.64666936246317</v>
      </c>
      <c r="F315" s="1215">
        <v>96.699795021454079</v>
      </c>
      <c r="G315" s="1215">
        <v>237.61568458908079</v>
      </c>
      <c r="H315" s="1215">
        <v>111.81199561995969</v>
      </c>
      <c r="I315" s="1215">
        <v>189.05527136883268</v>
      </c>
      <c r="J315" s="1215">
        <v>198.43716975498023</v>
      </c>
      <c r="K315" s="1215">
        <v>128.57274110125675</v>
      </c>
      <c r="L315" s="1215">
        <v>142.70015535514599</v>
      </c>
      <c r="M315" s="1215">
        <v>129.87013509616528</v>
      </c>
      <c r="N315" s="1215">
        <v>119.06961950657661</v>
      </c>
      <c r="O315" s="1215">
        <v>138.36495478703407</v>
      </c>
      <c r="P315" s="1215">
        <v>95.350826197176474</v>
      </c>
      <c r="Q315" s="1215">
        <v>115.54070427947943</v>
      </c>
      <c r="R315" s="2661">
        <v>139.42340680257573</v>
      </c>
      <c r="S315" s="3535">
        <v>64.382349201203269</v>
      </c>
      <c r="T315" s="3535">
        <v>60.521600560622183</v>
      </c>
      <c r="U315" s="3535">
        <v>66.235145060276793</v>
      </c>
      <c r="V315" s="3535">
        <v>98.947763879061824</v>
      </c>
      <c r="W315" s="3535">
        <v>289.19942693829165</v>
      </c>
      <c r="X315" s="3535">
        <v>94.855619953101908</v>
      </c>
      <c r="Y315" s="3535">
        <v>94.25600492638759</v>
      </c>
      <c r="Z315" s="3535">
        <v>65.499160704027759</v>
      </c>
      <c r="AA315" s="3535">
        <v>80.493046823996977</v>
      </c>
      <c r="AB315" s="3535">
        <v>76.738280291896231</v>
      </c>
      <c r="AC315" s="3535">
        <v>64.010172802628105</v>
      </c>
      <c r="AD315" s="3535">
        <v>114.20985810407677</v>
      </c>
      <c r="AE315" s="3535">
        <v>106.70505307514536</v>
      </c>
      <c r="AF315" s="3535">
        <v>104.3934097000504</v>
      </c>
      <c r="AG315" s="3535">
        <v>102.61037406151684</v>
      </c>
      <c r="AH315" s="3535">
        <v>112.22189320468229</v>
      </c>
      <c r="AI315" s="3535">
        <v>102.05208189747209</v>
      </c>
      <c r="AJ315" s="3535">
        <v>134.13133002420309</v>
      </c>
      <c r="AK315" s="3535">
        <v>94.387161090450832</v>
      </c>
      <c r="AL315" s="3535">
        <v>97.581996054158253</v>
      </c>
      <c r="AM315" s="3535">
        <v>57.914427114251666</v>
      </c>
      <c r="AN315" s="3535">
        <v>93.782618600618065</v>
      </c>
      <c r="AO315" s="3535">
        <v>119.41783298080908</v>
      </c>
      <c r="AP315" s="3535">
        <v>138.37062714327712</v>
      </c>
      <c r="AQ315" s="3535">
        <v>66.938019660603885</v>
      </c>
      <c r="AR315" s="3535">
        <v>109.39143129239737</v>
      </c>
      <c r="AS315" s="3535">
        <v>62.89755685312911</v>
      </c>
      <c r="AT315" s="3535">
        <v>76.005143501397129</v>
      </c>
      <c r="AU315" s="3535">
        <v>167.04969780697536</v>
      </c>
      <c r="AV315" s="3535">
        <v>129.94049155595599</v>
      </c>
      <c r="AW315" s="3535">
        <v>146.09174097939388</v>
      </c>
      <c r="AX315" s="3535">
        <v>103.60364092473051</v>
      </c>
      <c r="AY315" s="3535">
        <v>121.37440758293837</v>
      </c>
      <c r="AZ315" s="3535">
        <v>79.94825970529044</v>
      </c>
      <c r="BA315" s="3535">
        <v>103.15636895804323</v>
      </c>
      <c r="BB315" s="3535">
        <v>159.5769803270635</v>
      </c>
      <c r="BC315" s="3535">
        <v>127.73126294265744</v>
      </c>
      <c r="BD315" s="3535">
        <v>128.10163526537352</v>
      </c>
      <c r="BE315" s="3535">
        <v>173.46247600560596</v>
      </c>
      <c r="BF315" s="3535">
        <v>167.61579034568777</v>
      </c>
      <c r="BG315" s="3535">
        <v>220.01094500146596</v>
      </c>
      <c r="BH315" s="3535">
        <v>152.58631038174579</v>
      </c>
      <c r="BI315" s="3535">
        <v>100.04476741147381</v>
      </c>
      <c r="BJ315" s="3535">
        <v>87.170734219222396</v>
      </c>
      <c r="BK315" s="3535">
        <v>138.29876149530892</v>
      </c>
      <c r="BL315" s="3535">
        <v>125.35661535299329</v>
      </c>
      <c r="BM315" s="3535">
        <v>107.36160801056036</v>
      </c>
      <c r="BN315" s="3535">
        <v>118.86918556734474</v>
      </c>
      <c r="BO315" s="3535">
        <v>121.58576102148953</v>
      </c>
      <c r="BP315" s="3535">
        <v>102.4523951905179</v>
      </c>
      <c r="BQ315" s="3535">
        <v>122.72184363535678</v>
      </c>
      <c r="BR315" s="3535">
        <v>107.74667450821711</v>
      </c>
      <c r="BS315" s="3535">
        <v>160.53824046734371</v>
      </c>
      <c r="BT315" s="3535">
        <v>75.178011468417509</v>
      </c>
      <c r="BU315" s="3535">
        <v>167.90051933422725</v>
      </c>
      <c r="BV315" s="3535">
        <v>119.95521623041624</v>
      </c>
      <c r="BW315" s="3535">
        <v>208.63646076494567</v>
      </c>
      <c r="BX315" s="3535">
        <v>90.748929138689618</v>
      </c>
      <c r="BY315" s="3535">
        <v>109.14852116707833</v>
      </c>
      <c r="BZ315" s="3535">
        <v>106.70280408380624</v>
      </c>
      <c r="CA315" s="3535">
        <v>158.98173208619028</v>
      </c>
      <c r="CB315" s="3535">
        <v>136.63814680136656</v>
      </c>
      <c r="CC315" s="3535">
        <v>79.524715560516015</v>
      </c>
      <c r="CD315" s="3535">
        <v>89.177079526388397</v>
      </c>
      <c r="CE315" s="3535">
        <v>279.84137724331646</v>
      </c>
      <c r="CF315" s="3535">
        <v>69.308321451138838</v>
      </c>
      <c r="CG315" s="3535">
        <v>105.6823530848344</v>
      </c>
      <c r="CH315" s="3535">
        <v>119.57801319399391</v>
      </c>
      <c r="CI315" s="3535">
        <v>74.046172655044984</v>
      </c>
      <c r="CJ315" s="2978">
        <v>114.85187278421947</v>
      </c>
    </row>
    <row r="316" spans="1:88">
      <c r="A316" s="53">
        <v>2019.07</v>
      </c>
      <c r="B316" s="615">
        <v>124.59825669196819</v>
      </c>
      <c r="C316" s="3535">
        <v>118.07351592832001</v>
      </c>
      <c r="D316" s="358">
        <v>119.25626466267499</v>
      </c>
      <c r="E316" s="615">
        <v>149.35142869627148</v>
      </c>
      <c r="F316" s="1215">
        <v>113.70940933130154</v>
      </c>
      <c r="G316" s="1215">
        <v>278.55742958588456</v>
      </c>
      <c r="H316" s="1215">
        <v>137.87594607276529</v>
      </c>
      <c r="I316" s="1215">
        <v>246.78791107435728</v>
      </c>
      <c r="J316" s="1215">
        <v>209.54277098751967</v>
      </c>
      <c r="K316" s="1215">
        <v>106.05714846196781</v>
      </c>
      <c r="L316" s="1215">
        <v>151.92010028606256</v>
      </c>
      <c r="M316" s="1215">
        <v>141.36105043626142</v>
      </c>
      <c r="N316" s="1215">
        <v>165.51836391060914</v>
      </c>
      <c r="O316" s="1215">
        <v>150.81497468676727</v>
      </c>
      <c r="P316" s="1215">
        <v>113.9582437361165</v>
      </c>
      <c r="Q316" s="1215">
        <v>134.14784817370102</v>
      </c>
      <c r="R316" s="2661">
        <v>162.75016510763589</v>
      </c>
      <c r="S316" s="3535">
        <v>61.206140469435518</v>
      </c>
      <c r="T316" s="3535">
        <v>6.5179652872674048</v>
      </c>
      <c r="U316" s="3535">
        <v>87.451315680468511</v>
      </c>
      <c r="V316" s="3535">
        <v>117.4306444011098</v>
      </c>
      <c r="W316" s="3535">
        <v>408.5895753107892</v>
      </c>
      <c r="X316" s="3535">
        <v>108.62100096611012</v>
      </c>
      <c r="Y316" s="3535">
        <v>107.73102094186058</v>
      </c>
      <c r="Z316" s="3535">
        <v>69.68158764087552</v>
      </c>
      <c r="AA316" s="3535">
        <v>85.963048484769857</v>
      </c>
      <c r="AB316" s="3535">
        <v>82.10268617989361</v>
      </c>
      <c r="AC316" s="3535">
        <v>69.426138879568057</v>
      </c>
      <c r="AD316" s="3535">
        <v>120.18674977537059</v>
      </c>
      <c r="AE316" s="3535">
        <v>111.6445632987643</v>
      </c>
      <c r="AF316" s="3535">
        <v>109.33704051653267</v>
      </c>
      <c r="AG316" s="3535">
        <v>108.77299915968524</v>
      </c>
      <c r="AH316" s="3535">
        <v>115.9752510816068</v>
      </c>
      <c r="AI316" s="3535">
        <v>107.16503703272446</v>
      </c>
      <c r="AJ316" s="3535">
        <v>159.98698700201717</v>
      </c>
      <c r="AK316" s="3535">
        <v>96.457215630511854</v>
      </c>
      <c r="AL316" s="3535">
        <v>95.466928869343718</v>
      </c>
      <c r="AM316" s="3535">
        <v>77.078444653515831</v>
      </c>
      <c r="AN316" s="3535">
        <v>90.410573580857417</v>
      </c>
      <c r="AO316" s="3535">
        <v>121.61542330059011</v>
      </c>
      <c r="AP316" s="3535">
        <v>153.16072067508054</v>
      </c>
      <c r="AQ316" s="3535">
        <v>39.052089830000462</v>
      </c>
      <c r="AR316" s="3535">
        <v>125.55108769609097</v>
      </c>
      <c r="AS316" s="3535">
        <v>51.831596427108209</v>
      </c>
      <c r="AT316" s="3535">
        <v>92.831560209240891</v>
      </c>
      <c r="AU316" s="3535">
        <v>180.04105175923613</v>
      </c>
      <c r="AV316" s="3535">
        <v>138.85582764895668</v>
      </c>
      <c r="AW316" s="3535">
        <v>131.09512488213787</v>
      </c>
      <c r="AX316" s="3535">
        <v>111.90391177005749</v>
      </c>
      <c r="AY316" s="3535">
        <v>133.45971563981044</v>
      </c>
      <c r="AZ316" s="3535">
        <v>89.428442919857503</v>
      </c>
      <c r="BA316" s="3535">
        <v>110.56970775125956</v>
      </c>
      <c r="BB316" s="3535">
        <v>169.19805952792399</v>
      </c>
      <c r="BC316" s="3535">
        <v>137.88406650356438</v>
      </c>
      <c r="BD316" s="3535">
        <v>116.1092571935759</v>
      </c>
      <c r="BE316" s="3535">
        <v>185.74901284204753</v>
      </c>
      <c r="BF316" s="3535">
        <v>176.96380884093298</v>
      </c>
      <c r="BG316" s="3535">
        <v>254.05810648130435</v>
      </c>
      <c r="BH316" s="3535">
        <v>163.41026127018279</v>
      </c>
      <c r="BI316" s="3535">
        <v>107.1196084608507</v>
      </c>
      <c r="BJ316" s="3535">
        <v>94.450662566758808</v>
      </c>
      <c r="BK316" s="3535">
        <v>148.96545265754764</v>
      </c>
      <c r="BL316" s="3535">
        <v>127.86586474437701</v>
      </c>
      <c r="BM316" s="3535">
        <v>114.94630550072793</v>
      </c>
      <c r="BN316" s="3535">
        <v>131.2527466519968</v>
      </c>
      <c r="BO316" s="3535">
        <v>155.72718375824945</v>
      </c>
      <c r="BP316" s="3535">
        <v>106.56042497673583</v>
      </c>
      <c r="BQ316" s="3535">
        <v>129.75150819462581</v>
      </c>
      <c r="BR316" s="3535">
        <v>95.188373286341772</v>
      </c>
      <c r="BS316" s="3535">
        <v>192.42351833184864</v>
      </c>
      <c r="BT316" s="3535">
        <v>84.061818927512206</v>
      </c>
      <c r="BU316" s="3535">
        <v>185.24868474617165</v>
      </c>
      <c r="BV316" s="3535">
        <v>142.38129651139798</v>
      </c>
      <c r="BW316" s="3535">
        <v>277.63485460758977</v>
      </c>
      <c r="BX316" s="3535">
        <v>101.39045702331663</v>
      </c>
      <c r="BY316" s="3535">
        <v>117.736159775847</v>
      </c>
      <c r="BZ316" s="3535">
        <v>112.36332183905586</v>
      </c>
      <c r="CA316" s="3535">
        <v>147.69152326378449</v>
      </c>
      <c r="CB316" s="3535">
        <v>156.88963401338108</v>
      </c>
      <c r="CC316" s="3535">
        <v>90.800047653239346</v>
      </c>
      <c r="CD316" s="3535">
        <v>93.256672201348792</v>
      </c>
      <c r="CE316" s="3535">
        <v>253.1333976223508</v>
      </c>
      <c r="CF316" s="3535">
        <v>76.596227549203718</v>
      </c>
      <c r="CG316" s="3535">
        <v>128.77262645085673</v>
      </c>
      <c r="CH316" s="3535">
        <v>148.18978640196167</v>
      </c>
      <c r="CI316" s="3535">
        <v>98.728181331526471</v>
      </c>
      <c r="CJ316" s="2978">
        <v>124.59825669196822</v>
      </c>
    </row>
    <row r="317" spans="1:88">
      <c r="A317" s="53">
        <v>2019.08</v>
      </c>
      <c r="B317" s="615">
        <v>125.6565333781152</v>
      </c>
      <c r="C317" s="3535">
        <v>118.240646671677</v>
      </c>
      <c r="D317" s="358">
        <v>118.43461477560599</v>
      </c>
      <c r="E317" s="615">
        <v>151.0965112904712</v>
      </c>
      <c r="F317" s="1215">
        <v>109.03859935788125</v>
      </c>
      <c r="G317" s="1215">
        <v>267.57030010780596</v>
      </c>
      <c r="H317" s="1215">
        <v>125.81339407647521</v>
      </c>
      <c r="I317" s="1215">
        <v>262.25846694678989</v>
      </c>
      <c r="J317" s="1215">
        <v>197.56804826671006</v>
      </c>
      <c r="K317" s="1215">
        <v>125.57740469092127</v>
      </c>
      <c r="L317" s="1215">
        <v>143.78281025519266</v>
      </c>
      <c r="M317" s="1215">
        <v>137.4093273992921</v>
      </c>
      <c r="N317" s="1215">
        <v>165.31885505924305</v>
      </c>
      <c r="O317" s="1215">
        <v>141.4763675237314</v>
      </c>
      <c r="P317" s="1215">
        <v>127.66724427562136</v>
      </c>
      <c r="Q317" s="1215">
        <v>150.00531175416424</v>
      </c>
      <c r="R317" s="2661">
        <v>158.18737687066803</v>
      </c>
      <c r="S317" s="3535">
        <v>56.543871245394264</v>
      </c>
      <c r="T317" s="3535">
        <v>3.333377179093207</v>
      </c>
      <c r="U317" s="3535">
        <v>82.079898644075087</v>
      </c>
      <c r="V317" s="3535">
        <v>104.2608889311598</v>
      </c>
      <c r="W317" s="3535">
        <v>340.42775594380089</v>
      </c>
      <c r="X317" s="3535">
        <v>107.4237769819392</v>
      </c>
      <c r="Y317" s="3535">
        <v>102.67091131170993</v>
      </c>
      <c r="Z317" s="3535">
        <v>54.912283708308536</v>
      </c>
      <c r="AA317" s="3535">
        <v>90.563370621399116</v>
      </c>
      <c r="AB317" s="3535">
        <v>87.888964619552084</v>
      </c>
      <c r="AC317" s="3535">
        <v>65.820352063897786</v>
      </c>
      <c r="AD317" s="3535">
        <v>128.59186598846384</v>
      </c>
      <c r="AE317" s="3535">
        <v>110.99874553080906</v>
      </c>
      <c r="AF317" s="3535">
        <v>115.26241759981515</v>
      </c>
      <c r="AG317" s="3535">
        <v>106.1242793998952</v>
      </c>
      <c r="AH317" s="3535">
        <v>112.8464263537912</v>
      </c>
      <c r="AI317" s="3535">
        <v>110.12199781033559</v>
      </c>
      <c r="AJ317" s="3535">
        <v>156.40188321704943</v>
      </c>
      <c r="AK317" s="3535">
        <v>99.392238554060214</v>
      </c>
      <c r="AL317" s="3535">
        <v>131.55861992958111</v>
      </c>
      <c r="AM317" s="3535">
        <v>72.989545569382841</v>
      </c>
      <c r="AN317" s="3535">
        <v>92.711943085068256</v>
      </c>
      <c r="AO317" s="3535">
        <v>124.32665848835246</v>
      </c>
      <c r="AP317" s="3535">
        <v>148.28213142070288</v>
      </c>
      <c r="AQ317" s="3535">
        <v>43.064444191521183</v>
      </c>
      <c r="AR317" s="3535">
        <v>132.40846027305375</v>
      </c>
      <c r="AS317" s="3535">
        <v>63.127314051786513</v>
      </c>
      <c r="AT317" s="3535">
        <v>97.937845335310612</v>
      </c>
      <c r="AU317" s="3535">
        <v>175.17269891530682</v>
      </c>
      <c r="AV317" s="3535">
        <v>126.12144752521402</v>
      </c>
      <c r="AW317" s="3535">
        <v>165.52729761052018</v>
      </c>
      <c r="AX317" s="3535">
        <v>108.58828345195398</v>
      </c>
      <c r="AY317" s="3535">
        <v>124.77488151658768</v>
      </c>
      <c r="AZ317" s="3535">
        <v>88.013582546643377</v>
      </c>
      <c r="BA317" s="3535">
        <v>108.05714522747465</v>
      </c>
      <c r="BB317" s="3535">
        <v>184.05230405648086</v>
      </c>
      <c r="BC317" s="3535">
        <v>148.32771870214671</v>
      </c>
      <c r="BD317" s="3535">
        <v>139.59630778553066</v>
      </c>
      <c r="BE317" s="3535">
        <v>200.20834449274193</v>
      </c>
      <c r="BF317" s="3535">
        <v>197.98601453972739</v>
      </c>
      <c r="BG317" s="3535">
        <v>267.9495375343767</v>
      </c>
      <c r="BH317" s="3535">
        <v>169.30686299376393</v>
      </c>
      <c r="BI317" s="3535">
        <v>108.10097060774758</v>
      </c>
      <c r="BJ317" s="3535">
        <v>95.60178874910963</v>
      </c>
      <c r="BK317" s="3535">
        <v>138.02662560602661</v>
      </c>
      <c r="BL317" s="3535">
        <v>139.82355137787391</v>
      </c>
      <c r="BM317" s="3535">
        <v>114.33157915482629</v>
      </c>
      <c r="BN317" s="3535">
        <v>132.26841636538211</v>
      </c>
      <c r="BO317" s="3535">
        <v>150.35584211638306</v>
      </c>
      <c r="BP317" s="3535">
        <v>105.71949423109599</v>
      </c>
      <c r="BQ317" s="3535">
        <v>127.61840777167725</v>
      </c>
      <c r="BR317" s="3535">
        <v>107.19432194702088</v>
      </c>
      <c r="BS317" s="3535">
        <v>160.144427593583</v>
      </c>
      <c r="BT317" s="3535">
        <v>86.17535424254271</v>
      </c>
      <c r="BU317" s="3535">
        <v>191.60977111393143</v>
      </c>
      <c r="BV317" s="3535">
        <v>137.88508163695377</v>
      </c>
      <c r="BW317" s="3535">
        <v>267.39103205286779</v>
      </c>
      <c r="BX317" s="3535">
        <v>96.484028151460024</v>
      </c>
      <c r="BY317" s="3535">
        <v>119.23101402458424</v>
      </c>
      <c r="BZ317" s="3535">
        <v>131.3105211864484</v>
      </c>
      <c r="CA317" s="3535">
        <v>204.87383578795658</v>
      </c>
      <c r="CB317" s="3535">
        <v>140.18046571693745</v>
      </c>
      <c r="CC317" s="3535">
        <v>97.443220748076058</v>
      </c>
      <c r="CD317" s="3535">
        <v>98.656805280470067</v>
      </c>
      <c r="CE317" s="3535">
        <v>321.2281181340623</v>
      </c>
      <c r="CF317" s="3535">
        <v>75.463078806601317</v>
      </c>
      <c r="CG317" s="3535">
        <v>114.29326084052781</v>
      </c>
      <c r="CH317" s="3535">
        <v>130.59005247228023</v>
      </c>
      <c r="CI317" s="3535">
        <v>76.682472181568031</v>
      </c>
      <c r="CJ317" s="2978">
        <v>125.65653337811524</v>
      </c>
    </row>
    <row r="318" spans="1:88">
      <c r="A318" s="53">
        <v>2019.09</v>
      </c>
      <c r="B318" s="615">
        <v>116.66765831856677</v>
      </c>
      <c r="C318" s="3535">
        <v>114.059289382906</v>
      </c>
      <c r="D318" s="358">
        <v>117.384904040949</v>
      </c>
      <c r="E318" s="615">
        <v>136.26837981817951</v>
      </c>
      <c r="F318" s="1215">
        <v>110.69642375318926</v>
      </c>
      <c r="G318" s="1215">
        <v>247.47368649796769</v>
      </c>
      <c r="H318" s="1215">
        <v>121.0606386804527</v>
      </c>
      <c r="I318" s="1215">
        <v>229.18601005752811</v>
      </c>
      <c r="J318" s="1215">
        <v>143.90556201517413</v>
      </c>
      <c r="K318" s="1215">
        <v>113.35259276302119</v>
      </c>
      <c r="L318" s="1215">
        <v>136.75610305898493</v>
      </c>
      <c r="M318" s="1215">
        <v>126.1975461146699</v>
      </c>
      <c r="N318" s="1215">
        <v>162.8522397227886</v>
      </c>
      <c r="O318" s="1215">
        <v>124.28178444216697</v>
      </c>
      <c r="P318" s="1215">
        <v>132.33033858179289</v>
      </c>
      <c r="Q318" s="1215">
        <v>131.10052705866821</v>
      </c>
      <c r="R318" s="2661">
        <v>134.8541800448121</v>
      </c>
      <c r="S318" s="3535">
        <v>58.165644395870864</v>
      </c>
      <c r="T318" s="3535">
        <v>0</v>
      </c>
      <c r="U318" s="3535">
        <v>86.079677426726676</v>
      </c>
      <c r="V318" s="3535">
        <v>99.420910395624972</v>
      </c>
      <c r="W318" s="3535">
        <v>289.05280624243733</v>
      </c>
      <c r="X318" s="3535">
        <v>104.06087412234749</v>
      </c>
      <c r="Y318" s="3535">
        <v>98.981516664138752</v>
      </c>
      <c r="Z318" s="3535">
        <v>58.005342716948974</v>
      </c>
      <c r="AA318" s="3535">
        <v>87.805300241626981</v>
      </c>
      <c r="AB318" s="3535">
        <v>81.872958732717635</v>
      </c>
      <c r="AC318" s="3535">
        <v>65.691680284604757</v>
      </c>
      <c r="AD318" s="3535">
        <v>136.84244160701752</v>
      </c>
      <c r="AE318" s="3535">
        <v>109.82928781890742</v>
      </c>
      <c r="AF318" s="3535">
        <v>115.98727929592202</v>
      </c>
      <c r="AG318" s="3535">
        <v>104.3756833546163</v>
      </c>
      <c r="AH318" s="3535">
        <v>110.96286913874914</v>
      </c>
      <c r="AI318" s="3535">
        <v>101.54248651094704</v>
      </c>
      <c r="AJ318" s="3535">
        <v>140.58983013960861</v>
      </c>
      <c r="AK318" s="3535">
        <v>91.104335813081207</v>
      </c>
      <c r="AL318" s="3535">
        <v>111.12096811438528</v>
      </c>
      <c r="AM318" s="3535">
        <v>64.860980097058032</v>
      </c>
      <c r="AN318" s="3535">
        <v>89.904206979876435</v>
      </c>
      <c r="AO318" s="3535">
        <v>121.79565488143237</v>
      </c>
      <c r="AP318" s="3535">
        <v>141.34273085475741</v>
      </c>
      <c r="AQ318" s="3535">
        <v>38.89861373612743</v>
      </c>
      <c r="AR318" s="3535">
        <v>119.95334494479984</v>
      </c>
      <c r="AS318" s="3535">
        <v>56.474033923748891</v>
      </c>
      <c r="AT318" s="3535">
        <v>107.23498797943307</v>
      </c>
      <c r="AU318" s="3535">
        <v>176.57284001233782</v>
      </c>
      <c r="AV318" s="3535">
        <v>122.93473581047209</v>
      </c>
      <c r="AW318" s="3535">
        <v>168.88774722598504</v>
      </c>
      <c r="AX318" s="3535">
        <v>105.79092105560198</v>
      </c>
      <c r="AY318" s="3535">
        <v>125.20142180094787</v>
      </c>
      <c r="AZ318" s="3535">
        <v>86.187560268863251</v>
      </c>
      <c r="BA318" s="3535">
        <v>104.50862306712894</v>
      </c>
      <c r="BB318" s="3535">
        <v>174.96101707300383</v>
      </c>
      <c r="BC318" s="3535">
        <v>131.25973246173885</v>
      </c>
      <c r="BD318" s="3535">
        <v>146.96562477282265</v>
      </c>
      <c r="BE318" s="3535">
        <v>185.26126607254642</v>
      </c>
      <c r="BF318" s="3535">
        <v>187.78050984239775</v>
      </c>
      <c r="BG318" s="3535">
        <v>253.41775846980673</v>
      </c>
      <c r="BH318" s="3535">
        <v>162.13615147520588</v>
      </c>
      <c r="BI318" s="3535">
        <v>98.872418412363302</v>
      </c>
      <c r="BJ318" s="3535">
        <v>83.374264592842962</v>
      </c>
      <c r="BK318" s="3535">
        <v>142.4325152140035</v>
      </c>
      <c r="BL318" s="3535">
        <v>131.81176514031537</v>
      </c>
      <c r="BM318" s="3535">
        <v>109.06020871304055</v>
      </c>
      <c r="BN318" s="3535">
        <v>124.72280763966745</v>
      </c>
      <c r="BO318" s="3535">
        <v>155.43233862176757</v>
      </c>
      <c r="BP318" s="3535">
        <v>100.50633165171413</v>
      </c>
      <c r="BQ318" s="3535">
        <v>116.38497427978736</v>
      </c>
      <c r="BR318" s="3535">
        <v>96.101407655530011</v>
      </c>
      <c r="BS318" s="3535">
        <v>157.2519254392121</v>
      </c>
      <c r="BT318" s="3535">
        <v>81.341161165231426</v>
      </c>
      <c r="BU318" s="3535">
        <v>153.36547457944775</v>
      </c>
      <c r="BV318" s="3535">
        <v>113.2852214143105</v>
      </c>
      <c r="BW318" s="3535">
        <v>190.12029948686998</v>
      </c>
      <c r="BX318" s="3535">
        <v>80.233632956347435</v>
      </c>
      <c r="BY318" s="3535">
        <v>121.71756625450989</v>
      </c>
      <c r="BZ318" s="3535">
        <v>117.65049796772288</v>
      </c>
      <c r="CA318" s="3535">
        <v>171.45113977010672</v>
      </c>
      <c r="CB318" s="3535">
        <v>137.72972581941593</v>
      </c>
      <c r="CC318" s="3535">
        <v>91.092971106253955</v>
      </c>
      <c r="CD318" s="3535">
        <v>92.919219984334092</v>
      </c>
      <c r="CE318" s="3535">
        <v>269.43083488504175</v>
      </c>
      <c r="CF318" s="3535">
        <v>74.525285640419412</v>
      </c>
      <c r="CG318" s="3535">
        <v>95.875616282885957</v>
      </c>
      <c r="CH318" s="3535">
        <v>111.75236269240982</v>
      </c>
      <c r="CI318" s="3535">
        <v>51.129245757251596</v>
      </c>
      <c r="CJ318" s="2978">
        <v>116.66765831856684</v>
      </c>
    </row>
    <row r="319" spans="1:88">
      <c r="A319" s="53">
        <v>2019.1</v>
      </c>
      <c r="B319" s="615">
        <v>128.57781819763605</v>
      </c>
      <c r="C319" s="3535">
        <v>118.307605830469</v>
      </c>
      <c r="D319" s="358">
        <v>116.089486146699</v>
      </c>
      <c r="E319" s="615">
        <v>149.4223891940168</v>
      </c>
      <c r="F319" s="1215">
        <v>119.65421110462624</v>
      </c>
      <c r="G319" s="1215">
        <v>272.20828067742258</v>
      </c>
      <c r="H319" s="1215">
        <v>139.05200579005549</v>
      </c>
      <c r="I319" s="1215">
        <v>235.09683613872591</v>
      </c>
      <c r="J319" s="1215">
        <v>178.91881240295154</v>
      </c>
      <c r="K319" s="1215">
        <v>118.43559506632995</v>
      </c>
      <c r="L319" s="1215">
        <v>154.81976552937991</v>
      </c>
      <c r="M319" s="1215">
        <v>131.15255422576348</v>
      </c>
      <c r="N319" s="1215">
        <v>145.08065192500462</v>
      </c>
      <c r="O319" s="1215">
        <v>132.45849083148596</v>
      </c>
      <c r="P319" s="1215">
        <v>150.74735813455331</v>
      </c>
      <c r="Q319" s="1215">
        <v>154.18965765274814</v>
      </c>
      <c r="R319" s="2661">
        <v>149.2451931744439</v>
      </c>
      <c r="S319" s="3535">
        <v>62.649403063862252</v>
      </c>
      <c r="T319" s="3535">
        <v>0</v>
      </c>
      <c r="U319" s="3535">
        <v>92.715218110728571</v>
      </c>
      <c r="V319" s="3535">
        <v>94.272409893848121</v>
      </c>
      <c r="W319" s="3535">
        <v>171.97371055627164</v>
      </c>
      <c r="X319" s="3535">
        <v>103.12152605880843</v>
      </c>
      <c r="Y319" s="3535">
        <v>101.19441553442957</v>
      </c>
      <c r="Z319" s="3535">
        <v>67.724360620704431</v>
      </c>
      <c r="AA319" s="3535">
        <v>98.849648504289462</v>
      </c>
      <c r="AB319" s="3535">
        <v>93.596982495488646</v>
      </c>
      <c r="AC319" s="3535">
        <v>68.527158864426895</v>
      </c>
      <c r="AD319" s="3535">
        <v>153.845648601367</v>
      </c>
      <c r="AE319" s="3535">
        <v>116.44039089797178</v>
      </c>
      <c r="AF319" s="3535">
        <v>110.00778852028188</v>
      </c>
      <c r="AG319" s="3535">
        <v>111.53874050852427</v>
      </c>
      <c r="AH319" s="3535">
        <v>125.51040604330151</v>
      </c>
      <c r="AI319" s="3535">
        <v>113.95350261098075</v>
      </c>
      <c r="AJ319" s="3535">
        <v>158.81584124103199</v>
      </c>
      <c r="AK319" s="3535">
        <v>105.98892293874418</v>
      </c>
      <c r="AL319" s="3535">
        <v>101.40135513627241</v>
      </c>
      <c r="AM319" s="3535">
        <v>40.18516974306435</v>
      </c>
      <c r="AN319" s="3535">
        <v>100.59132709788025</v>
      </c>
      <c r="AO319" s="3535">
        <v>141.3206343797419</v>
      </c>
      <c r="AP319" s="3535">
        <v>138.88189277427233</v>
      </c>
      <c r="AQ319" s="3535">
        <v>74.414856532616156</v>
      </c>
      <c r="AR319" s="3535">
        <v>141.83462726791245</v>
      </c>
      <c r="AS319" s="3535">
        <v>95.933792273711362</v>
      </c>
      <c r="AT319" s="3535">
        <v>115.50970632246751</v>
      </c>
      <c r="AU319" s="3535">
        <v>185.81459013441906</v>
      </c>
      <c r="AV319" s="3535">
        <v>152.88623244902175</v>
      </c>
      <c r="AW319" s="3535">
        <v>160.96515961330351</v>
      </c>
      <c r="AX319" s="3535">
        <v>115.27403849734247</v>
      </c>
      <c r="AY319" s="3535">
        <v>135.54502369668248</v>
      </c>
      <c r="AZ319" s="3535">
        <v>99.732971513723214</v>
      </c>
      <c r="BA319" s="3535">
        <v>113.30707881339033</v>
      </c>
      <c r="BB319" s="3535">
        <v>175.88896246133802</v>
      </c>
      <c r="BC319" s="3535">
        <v>148.34295266565587</v>
      </c>
      <c r="BD319" s="3535">
        <v>153.57605196383415</v>
      </c>
      <c r="BE319" s="3535">
        <v>180.54228729634247</v>
      </c>
      <c r="BF319" s="3535">
        <v>189.11062025272852</v>
      </c>
      <c r="BG319" s="3535">
        <v>240.31747298297316</v>
      </c>
      <c r="BH319" s="3535">
        <v>159.32366391080706</v>
      </c>
      <c r="BI319" s="3535">
        <v>111.88747365677135</v>
      </c>
      <c r="BJ319" s="3535">
        <v>96.100207017164266</v>
      </c>
      <c r="BK319" s="3535">
        <v>149.28172997520917</v>
      </c>
      <c r="BL319" s="3535">
        <v>152.35514788356474</v>
      </c>
      <c r="BM319" s="3535">
        <v>116.77533974611198</v>
      </c>
      <c r="BN319" s="3535">
        <v>130.40052588627199</v>
      </c>
      <c r="BO319" s="3535">
        <v>176.41431178712435</v>
      </c>
      <c r="BP319" s="3535">
        <v>107.99662442355555</v>
      </c>
      <c r="BQ319" s="3535">
        <v>133.0535987019758</v>
      </c>
      <c r="BR319" s="3535">
        <v>121.72881234793942</v>
      </c>
      <c r="BS319" s="3535">
        <v>174.42421625746849</v>
      </c>
      <c r="BT319" s="3535">
        <v>86.581096621139494</v>
      </c>
      <c r="BU319" s="3535">
        <v>157.70024225866541</v>
      </c>
      <c r="BV319" s="3535">
        <v>123.06726755072043</v>
      </c>
      <c r="BW319" s="3535">
        <v>201.2234996089104</v>
      </c>
      <c r="BX319" s="3535">
        <v>93.251880163041236</v>
      </c>
      <c r="BY319" s="3535">
        <v>122.90502340781185</v>
      </c>
      <c r="BZ319" s="3535">
        <v>134.11301781306338</v>
      </c>
      <c r="CA319" s="3535">
        <v>208.52858920126587</v>
      </c>
      <c r="CB319" s="3535">
        <v>142.88435322328314</v>
      </c>
      <c r="CC319" s="3535">
        <v>99.879851624307364</v>
      </c>
      <c r="CD319" s="3535">
        <v>98.19602188651092</v>
      </c>
      <c r="CE319" s="3535">
        <v>269.29541945902929</v>
      </c>
      <c r="CF319" s="3535">
        <v>80.36608425321333</v>
      </c>
      <c r="CG319" s="3535">
        <v>111.58426096204096</v>
      </c>
      <c r="CH319" s="3535">
        <v>123.58727920037578</v>
      </c>
      <c r="CI319" s="3535">
        <v>76.69287842236325</v>
      </c>
      <c r="CJ319" s="2978">
        <v>128.57781819763599</v>
      </c>
    </row>
    <row r="320" spans="1:88">
      <c r="A320" s="53">
        <v>2019.11</v>
      </c>
      <c r="B320" s="615">
        <v>116.4504456095095</v>
      </c>
      <c r="C320" s="3535">
        <v>114.854928240253</v>
      </c>
      <c r="D320" s="358">
        <v>114.49047171008399</v>
      </c>
      <c r="E320" s="615">
        <v>132.22617897982343</v>
      </c>
      <c r="F320" s="1215">
        <v>109.77642096496876</v>
      </c>
      <c r="G320" s="1215">
        <v>254.30644271090989</v>
      </c>
      <c r="H320" s="1215">
        <v>129.71255371362045</v>
      </c>
      <c r="I320" s="1215">
        <v>180.42254744069521</v>
      </c>
      <c r="J320" s="1215">
        <v>133.63727050992588</v>
      </c>
      <c r="K320" s="1215">
        <v>104.71972990254432</v>
      </c>
      <c r="L320" s="1215">
        <v>136.89351969201655</v>
      </c>
      <c r="M320" s="1215">
        <v>112.95456609307966</v>
      </c>
      <c r="N320" s="1215">
        <v>82.32364735703743</v>
      </c>
      <c r="O320" s="1215">
        <v>106.37800459610558</v>
      </c>
      <c r="P320" s="1215">
        <v>153.32890139618249</v>
      </c>
      <c r="Q320" s="1215">
        <v>138.66451567913481</v>
      </c>
      <c r="R320" s="2661">
        <v>159.28096176601855</v>
      </c>
      <c r="S320" s="3535">
        <v>56.10365898798301</v>
      </c>
      <c r="T320" s="3535">
        <v>0</v>
      </c>
      <c r="U320" s="3535">
        <v>83.028133158402454</v>
      </c>
      <c r="V320" s="3535">
        <v>77.82030618931536</v>
      </c>
      <c r="W320" s="3535">
        <v>43.835052837681083</v>
      </c>
      <c r="X320" s="3535">
        <v>106.07467753263772</v>
      </c>
      <c r="Y320" s="3535">
        <v>90.147472259398526</v>
      </c>
      <c r="Z320" s="3535">
        <v>59.892571810818524</v>
      </c>
      <c r="AA320" s="3535">
        <v>83.377755723197481</v>
      </c>
      <c r="AB320" s="3535">
        <v>80.476182858285014</v>
      </c>
      <c r="AC320" s="3535">
        <v>58.616495179572645</v>
      </c>
      <c r="AD320" s="3535">
        <v>122.39109857276483</v>
      </c>
      <c r="AE320" s="3535">
        <v>108.74393913864824</v>
      </c>
      <c r="AF320" s="3535">
        <v>102.95777229811544</v>
      </c>
      <c r="AG320" s="3535">
        <v>106.83818659518028</v>
      </c>
      <c r="AH320" s="3535">
        <v>114.48048619249974</v>
      </c>
      <c r="AI320" s="3535">
        <v>109.08127090081264</v>
      </c>
      <c r="AJ320" s="3535">
        <v>145.16757009597757</v>
      </c>
      <c r="AK320" s="3535">
        <v>102.27515614007248</v>
      </c>
      <c r="AL320" s="3535">
        <v>97.725368308261622</v>
      </c>
      <c r="AM320" s="3535">
        <v>29.743541734800001</v>
      </c>
      <c r="AN320" s="3535">
        <v>99.718826212297145</v>
      </c>
      <c r="AO320" s="3535">
        <v>135.27247703218725</v>
      </c>
      <c r="AP320" s="3535">
        <v>133.84963861109048</v>
      </c>
      <c r="AQ320" s="3535">
        <v>77.637728793191258</v>
      </c>
      <c r="AR320" s="3535">
        <v>130.94654719976322</v>
      </c>
      <c r="AS320" s="3535">
        <v>100.84065051754993</v>
      </c>
      <c r="AT320" s="3535">
        <v>104.49877445747366</v>
      </c>
      <c r="AU320" s="3535">
        <v>178.92976119820335</v>
      </c>
      <c r="AV320" s="3535">
        <v>141.24719625989877</v>
      </c>
      <c r="AW320" s="3535">
        <v>147.4314886096644</v>
      </c>
      <c r="AX320" s="3535">
        <v>112.50631567501713</v>
      </c>
      <c r="AY320" s="3535">
        <v>122.96208530805688</v>
      </c>
      <c r="AZ320" s="3535">
        <v>80.551943355008632</v>
      </c>
      <c r="BA320" s="3535">
        <v>114.53938589036298</v>
      </c>
      <c r="BB320" s="3535">
        <v>168.30640777136105</v>
      </c>
      <c r="BC320" s="3535">
        <v>139.9160968919401</v>
      </c>
      <c r="BD320" s="3535">
        <v>155.02325595121056</v>
      </c>
      <c r="BE320" s="3535">
        <v>172.59366508023183</v>
      </c>
      <c r="BF320" s="3535">
        <v>170.36690342619727</v>
      </c>
      <c r="BG320" s="3535">
        <v>222.01489928325483</v>
      </c>
      <c r="BH320" s="3535">
        <v>152.96359747354572</v>
      </c>
      <c r="BI320" s="3535">
        <v>95.960633486361317</v>
      </c>
      <c r="BJ320" s="3535">
        <v>80.233010663125143</v>
      </c>
      <c r="BK320" s="3535">
        <v>146.2324731938414</v>
      </c>
      <c r="BL320" s="3535">
        <v>123.37705156519007</v>
      </c>
      <c r="BM320" s="3535">
        <v>106.70787828646989</v>
      </c>
      <c r="BN320" s="3535">
        <v>115.9192562301312</v>
      </c>
      <c r="BO320" s="3535">
        <v>174.46029287667207</v>
      </c>
      <c r="BP320" s="3535">
        <v>98.871694789751388</v>
      </c>
      <c r="BQ320" s="3535">
        <v>112.84308462897307</v>
      </c>
      <c r="BR320" s="3535">
        <v>113.75298625022512</v>
      </c>
      <c r="BS320" s="3535">
        <v>123.16196587494262</v>
      </c>
      <c r="BT320" s="3535">
        <v>77.084634814765067</v>
      </c>
      <c r="BU320" s="3535">
        <v>144.01837523900326</v>
      </c>
      <c r="BV320" s="3535">
        <v>107.51535168519072</v>
      </c>
      <c r="BW320" s="3535">
        <v>190.78945160575608</v>
      </c>
      <c r="BX320" s="3535">
        <v>72.508970820841697</v>
      </c>
      <c r="BY320" s="3535">
        <v>114.78208647831217</v>
      </c>
      <c r="BZ320" s="3535">
        <v>114.12115863032969</v>
      </c>
      <c r="CA320" s="3535">
        <v>179.56496476357754</v>
      </c>
      <c r="CB320" s="3535">
        <v>128.23039662679705</v>
      </c>
      <c r="CC320" s="3535">
        <v>83.173660914176423</v>
      </c>
      <c r="CD320" s="3535">
        <v>87.256466640707302</v>
      </c>
      <c r="CE320" s="3535">
        <v>223.87142217933206</v>
      </c>
      <c r="CF320" s="3535">
        <v>73.020086083043438</v>
      </c>
      <c r="CG320" s="3535">
        <v>109.89006255473215</v>
      </c>
      <c r="CH320" s="3535">
        <v>121.22294163019269</v>
      </c>
      <c r="CI320" s="3535">
        <v>84.853893252798514</v>
      </c>
      <c r="CJ320" s="2978">
        <v>116.45044560950953</v>
      </c>
    </row>
    <row r="321" spans="1:88">
      <c r="A321" s="53">
        <v>2019.12</v>
      </c>
      <c r="B321" s="615">
        <v>109.19722086584407</v>
      </c>
      <c r="C321" s="3535">
        <v>115.757643878279</v>
      </c>
      <c r="D321" s="358">
        <v>112.528750264854</v>
      </c>
      <c r="E321" s="615">
        <v>134.60980174100263</v>
      </c>
      <c r="F321" s="1215">
        <v>113.5376610358918</v>
      </c>
      <c r="G321" s="1215">
        <v>265.06046765315472</v>
      </c>
      <c r="H321" s="1215">
        <v>144.27223952980069</v>
      </c>
      <c r="I321" s="1215">
        <v>179.5975175960811</v>
      </c>
      <c r="J321" s="1215">
        <v>125.61668348360871</v>
      </c>
      <c r="K321" s="1215">
        <v>109.35039256442329</v>
      </c>
      <c r="L321" s="1215">
        <v>127.90310107184968</v>
      </c>
      <c r="M321" s="1215">
        <v>108.62279866376943</v>
      </c>
      <c r="N321" s="1215">
        <v>65.695965759789914</v>
      </c>
      <c r="O321" s="1215">
        <v>106.29011045517312</v>
      </c>
      <c r="P321" s="1215">
        <v>168.28522035412681</v>
      </c>
      <c r="Q321" s="1215">
        <v>143.13964396204463</v>
      </c>
      <c r="R321" s="2661">
        <v>172.85412873385874</v>
      </c>
      <c r="S321" s="3535">
        <v>44.401768166867761</v>
      </c>
      <c r="T321" s="3535">
        <v>0</v>
      </c>
      <c r="U321" s="3535">
        <v>65.710436472901947</v>
      </c>
      <c r="V321" s="3535">
        <v>61.347927875649724</v>
      </c>
      <c r="W321" s="3535">
        <v>27.84862481128496</v>
      </c>
      <c r="X321" s="3535">
        <v>67.661374604887641</v>
      </c>
      <c r="Y321" s="3535">
        <v>72.075097130165133</v>
      </c>
      <c r="Z321" s="3535">
        <v>55.998141344831524</v>
      </c>
      <c r="AA321" s="3535">
        <v>84.243162787945934</v>
      </c>
      <c r="AB321" s="3535">
        <v>88.140449131870753</v>
      </c>
      <c r="AC321" s="3535">
        <v>60.148306052508715</v>
      </c>
      <c r="AD321" s="3535">
        <v>93.651284009000321</v>
      </c>
      <c r="AE321" s="3535">
        <v>101.51867409215006</v>
      </c>
      <c r="AF321" s="3535">
        <v>96.627861088540243</v>
      </c>
      <c r="AG321" s="3535">
        <v>101.49029551525389</v>
      </c>
      <c r="AH321" s="3535">
        <v>104.83647757477053</v>
      </c>
      <c r="AI321" s="3535">
        <v>115.36449566142679</v>
      </c>
      <c r="AJ321" s="3535">
        <v>162.41615277727078</v>
      </c>
      <c r="AK321" s="3535">
        <v>105.81905036746939</v>
      </c>
      <c r="AL321" s="3535">
        <v>108.56823089877132</v>
      </c>
      <c r="AM321" s="3535">
        <v>42.486886625613593</v>
      </c>
      <c r="AN321" s="3535">
        <v>101.61671278190003</v>
      </c>
      <c r="AO321" s="3535">
        <v>121.37538788530081</v>
      </c>
      <c r="AP321" s="3535">
        <v>130.05036321556162</v>
      </c>
      <c r="AQ321" s="3535">
        <v>89.052455013515612</v>
      </c>
      <c r="AR321" s="3535">
        <v>128.68243729302966</v>
      </c>
      <c r="AS321" s="3535">
        <v>102.70967001465104</v>
      </c>
      <c r="AT321" s="3535">
        <v>84.370921249999213</v>
      </c>
      <c r="AU321" s="3535">
        <v>141.98053016762699</v>
      </c>
      <c r="AV321" s="3535">
        <v>123.40324329322638</v>
      </c>
      <c r="AW321" s="3535">
        <v>137.15541198803373</v>
      </c>
      <c r="AX321" s="3535">
        <v>94.889137602963444</v>
      </c>
      <c r="AY321" s="3535">
        <v>98.436018957345965</v>
      </c>
      <c r="AZ321" s="3535">
        <v>72.055416134090294</v>
      </c>
      <c r="BA321" s="3535">
        <v>97.105779234240444</v>
      </c>
      <c r="BB321" s="3535">
        <v>144.03676653629469</v>
      </c>
      <c r="BC321" s="3535">
        <v>156.14518063154409</v>
      </c>
      <c r="BD321" s="3535">
        <v>113.7326339301415</v>
      </c>
      <c r="BE321" s="3535">
        <v>145.12346769661013</v>
      </c>
      <c r="BF321" s="3535">
        <v>148.62138914237644</v>
      </c>
      <c r="BG321" s="3535">
        <v>176.44511421864999</v>
      </c>
      <c r="BH321" s="3535">
        <v>135.63533913558342</v>
      </c>
      <c r="BI321" s="3535">
        <v>87.96530189651979</v>
      </c>
      <c r="BJ321" s="3535">
        <v>73.519598055061195</v>
      </c>
      <c r="BK321" s="3535">
        <v>141.91044806319266</v>
      </c>
      <c r="BL321" s="3535">
        <v>105.44815675780502</v>
      </c>
      <c r="BM321" s="3535">
        <v>92.829167896543609</v>
      </c>
      <c r="BN321" s="3535">
        <v>102.05373527138792</v>
      </c>
      <c r="BO321" s="3535">
        <v>154.49480202345731</v>
      </c>
      <c r="BP321" s="3535">
        <v>85.410338793396463</v>
      </c>
      <c r="BQ321" s="3535">
        <v>118.94333199528498</v>
      </c>
      <c r="BR321" s="3535">
        <v>121.07163447282578</v>
      </c>
      <c r="BS321" s="3535">
        <v>146.33523826688224</v>
      </c>
      <c r="BT321" s="3535">
        <v>70.845244592066308</v>
      </c>
      <c r="BU321" s="3535">
        <v>130.83439326293163</v>
      </c>
      <c r="BV321" s="3535">
        <v>95.987368785138088</v>
      </c>
      <c r="BW321" s="3535">
        <v>160.98529524069306</v>
      </c>
      <c r="BX321" s="3535">
        <v>64.53473736464943</v>
      </c>
      <c r="BY321" s="3535">
        <v>111.14449229872704</v>
      </c>
      <c r="BZ321" s="3535">
        <v>82.794638444158807</v>
      </c>
      <c r="CA321" s="3535">
        <v>104.54064901669553</v>
      </c>
      <c r="CB321" s="3535">
        <v>97.70951160951202</v>
      </c>
      <c r="CC321" s="3535">
        <v>71.165503215258752</v>
      </c>
      <c r="CD321" s="3535">
        <v>78.145738336206847</v>
      </c>
      <c r="CE321" s="3535">
        <v>157.81233403818359</v>
      </c>
      <c r="CF321" s="3535">
        <v>69.843836325001121</v>
      </c>
      <c r="CG321" s="3535">
        <v>97.029142678705369</v>
      </c>
      <c r="CH321" s="3535">
        <v>104.15540591456859</v>
      </c>
      <c r="CI321" s="3535">
        <v>74.580730921125962</v>
      </c>
      <c r="CJ321" s="2978">
        <v>109.1972208658441</v>
      </c>
    </row>
    <row r="322" spans="1:88">
      <c r="A322" s="53">
        <v>2020.01</v>
      </c>
      <c r="B322" s="615">
        <v>106.96676586826234</v>
      </c>
      <c r="C322" s="3535">
        <v>117.429644098908</v>
      </c>
      <c r="D322" s="358">
        <v>110.2826830385</v>
      </c>
      <c r="E322" s="615">
        <v>135.14458755144926</v>
      </c>
      <c r="F322" s="1215">
        <v>102.64771278236715</v>
      </c>
      <c r="G322" s="1215">
        <v>269.83894388682677</v>
      </c>
      <c r="H322" s="1215">
        <v>136.49857447672059</v>
      </c>
      <c r="I322" s="1215">
        <v>141.55399801072471</v>
      </c>
      <c r="J322" s="1215">
        <v>108.5920918840807</v>
      </c>
      <c r="K322" s="1215">
        <v>135.76655031041597</v>
      </c>
      <c r="L322" s="1215">
        <v>132.76140234705676</v>
      </c>
      <c r="M322" s="1215">
        <v>121.4705598196319</v>
      </c>
      <c r="N322" s="1215">
        <v>37.091359707044028</v>
      </c>
      <c r="O322" s="1215">
        <v>113.09401858553956</v>
      </c>
      <c r="P322" s="1215">
        <v>160.15550370779337</v>
      </c>
      <c r="Q322" s="1215">
        <v>140.00469959838867</v>
      </c>
      <c r="R322" s="2661">
        <v>192.50142483763639</v>
      </c>
      <c r="S322" s="3535">
        <v>107.49832079298531</v>
      </c>
      <c r="T322" s="3535">
        <v>150.32703861438006</v>
      </c>
      <c r="U322" s="3535">
        <v>86.944568550527791</v>
      </c>
      <c r="V322" s="3535">
        <v>53.685557510100892</v>
      </c>
      <c r="W322" s="3535">
        <v>6.7735140296422607</v>
      </c>
      <c r="X322" s="3535">
        <v>66.73104701807793</v>
      </c>
      <c r="Y322" s="3535">
        <v>68.499066262456708</v>
      </c>
      <c r="Z322" s="3535">
        <v>44.198946748343694</v>
      </c>
      <c r="AA322" s="3535">
        <v>63.638295741588763</v>
      </c>
      <c r="AB322" s="3535">
        <v>59.46772908492715</v>
      </c>
      <c r="AC322" s="3535">
        <v>56.358569266515033</v>
      </c>
      <c r="AD322" s="3535">
        <v>89.20356313538899</v>
      </c>
      <c r="AE322" s="3535">
        <v>100.31885236439214</v>
      </c>
      <c r="AF322" s="3535">
        <v>90.627968440492239</v>
      </c>
      <c r="AG322" s="3535">
        <v>98.760351171705068</v>
      </c>
      <c r="AH322" s="3535">
        <v>108.3463692776788</v>
      </c>
      <c r="AI322" s="3535">
        <v>116.07244396174279</v>
      </c>
      <c r="AJ322" s="3535">
        <v>164.12467631144602</v>
      </c>
      <c r="AK322" s="3535">
        <v>96.795890134599944</v>
      </c>
      <c r="AL322" s="3535">
        <v>124.52182435086432</v>
      </c>
      <c r="AM322" s="3535">
        <v>26.297848200737466</v>
      </c>
      <c r="AN322" s="3535">
        <v>111.30291619712501</v>
      </c>
      <c r="AO322" s="3535">
        <v>133.23206984450249</v>
      </c>
      <c r="AP322" s="3535">
        <v>137.29025775127587</v>
      </c>
      <c r="AQ322" s="3535">
        <v>89.052300228164285</v>
      </c>
      <c r="AR322" s="3535">
        <v>123.382467588388</v>
      </c>
      <c r="AS322" s="3535">
        <v>110.97908870686798</v>
      </c>
      <c r="AT322" s="3535">
        <v>96.658459627164589</v>
      </c>
      <c r="AU322" s="3535">
        <v>171.32249301814343</v>
      </c>
      <c r="AV322" s="3535">
        <v>146.14255907828087</v>
      </c>
      <c r="AW322" s="3535">
        <v>123.6180046557561</v>
      </c>
      <c r="AX322" s="3535">
        <v>98.072353952860439</v>
      </c>
      <c r="AY322" s="3535">
        <v>92.049763033175353</v>
      </c>
      <c r="AZ322" s="3535">
        <v>79.337359603507551</v>
      </c>
      <c r="BA322" s="3535">
        <v>101.62977021695659</v>
      </c>
      <c r="BB322" s="3535">
        <v>133.42068368639494</v>
      </c>
      <c r="BC322" s="3535">
        <v>128.86419571667702</v>
      </c>
      <c r="BD322" s="3535">
        <v>93.379798778872129</v>
      </c>
      <c r="BE322" s="3535">
        <v>140.02457601575935</v>
      </c>
      <c r="BF322" s="3535">
        <v>158.97961757479402</v>
      </c>
      <c r="BG322" s="3535">
        <v>184.3859698346767</v>
      </c>
      <c r="BH322" s="3535">
        <v>128.16969429089704</v>
      </c>
      <c r="BI322" s="3535">
        <v>85.853670655206244</v>
      </c>
      <c r="BJ322" s="3535">
        <v>74.723696748763984</v>
      </c>
      <c r="BK322" s="3535">
        <v>140.59715708658391</v>
      </c>
      <c r="BL322" s="3535">
        <v>86.265261218868375</v>
      </c>
      <c r="BM322" s="3535">
        <v>89.892002194059998</v>
      </c>
      <c r="BN322" s="3535">
        <v>104.74415954660601</v>
      </c>
      <c r="BO322" s="3535">
        <v>171.30256727531275</v>
      </c>
      <c r="BP322" s="3535">
        <v>79.186058632638364</v>
      </c>
      <c r="BQ322" s="3535">
        <v>86.483838609886249</v>
      </c>
      <c r="BR322" s="3535">
        <v>83.655740028045017</v>
      </c>
      <c r="BS322" s="3535">
        <v>80.073911454846282</v>
      </c>
      <c r="BT322" s="3535">
        <v>67.912045558379745</v>
      </c>
      <c r="BU322" s="3535">
        <v>136.93330929823895</v>
      </c>
      <c r="BV322" s="3535">
        <v>88.836802183062531</v>
      </c>
      <c r="BW322" s="3535">
        <v>137.4259101981618</v>
      </c>
      <c r="BX322" s="3535">
        <v>63.452674304005804</v>
      </c>
      <c r="BY322" s="3535">
        <v>104.46721883083971</v>
      </c>
      <c r="BZ322" s="3535">
        <v>76.223056342131443</v>
      </c>
      <c r="CA322" s="3535">
        <v>116.08021223018802</v>
      </c>
      <c r="CB322" s="3535">
        <v>55.783474856049054</v>
      </c>
      <c r="CC322" s="3535">
        <v>61.195595079873044</v>
      </c>
      <c r="CD322" s="3535">
        <v>75.578967687317871</v>
      </c>
      <c r="CE322" s="3535">
        <v>165.20373736333653</v>
      </c>
      <c r="CF322" s="3535">
        <v>66.239343606848635</v>
      </c>
      <c r="CG322" s="3535">
        <v>93.374302820236224</v>
      </c>
      <c r="CH322" s="3535">
        <v>103.97563042883641</v>
      </c>
      <c r="CI322" s="3535">
        <v>63.738513138112083</v>
      </c>
      <c r="CJ322" s="2978">
        <v>106.96676586826234</v>
      </c>
    </row>
    <row r="323" spans="1:88">
      <c r="A323" s="53">
        <v>2020.02</v>
      </c>
      <c r="B323" s="615">
        <v>105.96615315429496</v>
      </c>
      <c r="C323" s="3535">
        <v>118.58584933473099</v>
      </c>
      <c r="D323" s="358">
        <v>108.015674662298</v>
      </c>
      <c r="E323" s="615">
        <v>128.59472599974649</v>
      </c>
      <c r="F323" s="1215">
        <v>89.759615425756152</v>
      </c>
      <c r="G323" s="1215">
        <v>229.06830816789832</v>
      </c>
      <c r="H323" s="1215">
        <v>123.3142997071869</v>
      </c>
      <c r="I323" s="1215">
        <v>167.61501016427985</v>
      </c>
      <c r="J323" s="1215">
        <v>123.20307793689929</v>
      </c>
      <c r="K323" s="1215">
        <v>121.94052862514692</v>
      </c>
      <c r="L323" s="1215">
        <v>148.75225724185589</v>
      </c>
      <c r="M323" s="1215">
        <v>114.68207126320802</v>
      </c>
      <c r="N323" s="1215">
        <v>71.542608734829557</v>
      </c>
      <c r="O323" s="1215">
        <v>111.54505825626063</v>
      </c>
      <c r="P323" s="1215">
        <v>142.48758258737149</v>
      </c>
      <c r="Q323" s="1215">
        <v>129.00478748106536</v>
      </c>
      <c r="R323" s="2661">
        <v>162.51359224366487</v>
      </c>
      <c r="S323" s="3535">
        <v>108.89521576359849</v>
      </c>
      <c r="T323" s="3535">
        <v>187.08130353583968</v>
      </c>
      <c r="U323" s="3535">
        <v>71.373254831232956</v>
      </c>
      <c r="V323" s="3535">
        <v>61.238377253105263</v>
      </c>
      <c r="W323" s="3535">
        <v>15.275789817265265</v>
      </c>
      <c r="X323" s="3535">
        <v>79.540591824624883</v>
      </c>
      <c r="Y323" s="3535">
        <v>78.730094052384985</v>
      </c>
      <c r="Z323" s="3535">
        <v>46.581162823872098</v>
      </c>
      <c r="AA323" s="3535">
        <v>70.669146163234984</v>
      </c>
      <c r="AB323" s="3535">
        <v>65.328282329547648</v>
      </c>
      <c r="AC323" s="3535">
        <v>55.407470186988256</v>
      </c>
      <c r="AD323" s="3535">
        <v>109.80889812546231</v>
      </c>
      <c r="AE323" s="3535">
        <v>102.02788212082739</v>
      </c>
      <c r="AF323" s="3535">
        <v>96.222678207998854</v>
      </c>
      <c r="AG323" s="3535">
        <v>102.8110378547432</v>
      </c>
      <c r="AH323" s="3535">
        <v>105.17568146515782</v>
      </c>
      <c r="AI323" s="3535">
        <v>105.46350899621559</v>
      </c>
      <c r="AJ323" s="3535">
        <v>144.82546497833798</v>
      </c>
      <c r="AK323" s="3535">
        <v>88.257093355164571</v>
      </c>
      <c r="AL323" s="3535">
        <v>111.52092449878197</v>
      </c>
      <c r="AM323" s="3535">
        <v>35.171004725805624</v>
      </c>
      <c r="AN323" s="3535">
        <v>103.19561378829209</v>
      </c>
      <c r="AO323" s="3535">
        <v>123.89018090753201</v>
      </c>
      <c r="AP323" s="3535">
        <v>138.33748950236168</v>
      </c>
      <c r="AQ323" s="3535">
        <v>78.851517208260248</v>
      </c>
      <c r="AR323" s="3535">
        <v>92.500770729256914</v>
      </c>
      <c r="AS323" s="3535">
        <v>97.114378246900927</v>
      </c>
      <c r="AT323" s="3535">
        <v>89.495052662849304</v>
      </c>
      <c r="AU323" s="3535">
        <v>163.21545727222102</v>
      </c>
      <c r="AV323" s="3535">
        <v>137.71650068357829</v>
      </c>
      <c r="AW323" s="3535">
        <v>145.45896850952698</v>
      </c>
      <c r="AX323" s="3535">
        <v>94.629951149984677</v>
      </c>
      <c r="AY323" s="3535">
        <v>104.38052242890994</v>
      </c>
      <c r="AZ323" s="3535">
        <v>67.797540678629886</v>
      </c>
      <c r="BA323" s="3535">
        <v>96.148194099693811</v>
      </c>
      <c r="BB323" s="3535">
        <v>138.3530779501744</v>
      </c>
      <c r="BC323" s="3535">
        <v>128.68899346957718</v>
      </c>
      <c r="BD323" s="3535">
        <v>128.56759849350433</v>
      </c>
      <c r="BE323" s="3535">
        <v>135.63427946463619</v>
      </c>
      <c r="BF323" s="3535">
        <v>150.82161207796025</v>
      </c>
      <c r="BG323" s="3535">
        <v>169.87997111502241</v>
      </c>
      <c r="BH323" s="3535">
        <v>133.00472917965703</v>
      </c>
      <c r="BI323" s="3535">
        <v>77.374495780295135</v>
      </c>
      <c r="BJ323" s="3535">
        <v>63.320682301995326</v>
      </c>
      <c r="BK323" s="3535">
        <v>128.12412094106116</v>
      </c>
      <c r="BL323" s="3535">
        <v>96.099106689581291</v>
      </c>
      <c r="BM323" s="3535">
        <v>89.44186103816196</v>
      </c>
      <c r="BN323" s="3535">
        <v>99.509101315351415</v>
      </c>
      <c r="BO323" s="3535">
        <v>159.70256149545557</v>
      </c>
      <c r="BP323" s="3535">
        <v>81.140040375678865</v>
      </c>
      <c r="BQ323" s="3535">
        <v>108.67847857658433</v>
      </c>
      <c r="BR323" s="3535">
        <v>91.973391146280534</v>
      </c>
      <c r="BS323" s="3535">
        <v>151.61278947965579</v>
      </c>
      <c r="BT323" s="3535">
        <v>60.424660407909101</v>
      </c>
      <c r="BU323" s="3535">
        <v>150.23951435469917</v>
      </c>
      <c r="BV323" s="3535">
        <v>96.520827684021114</v>
      </c>
      <c r="BW323" s="3535">
        <v>184.6082494283898</v>
      </c>
      <c r="BX323" s="3535">
        <v>64.161588808065673</v>
      </c>
      <c r="BY323" s="3535">
        <v>93.478591409019259</v>
      </c>
      <c r="BZ323" s="3535">
        <v>108.46822366574609</v>
      </c>
      <c r="CA323" s="3535">
        <v>158.16836978797389</v>
      </c>
      <c r="CB323" s="3535">
        <v>122.21862116372823</v>
      </c>
      <c r="CC323" s="3535">
        <v>84.566258412697024</v>
      </c>
      <c r="CD323" s="3535">
        <v>76.833299505790634</v>
      </c>
      <c r="CE323" s="3535">
        <v>204.76504161103611</v>
      </c>
      <c r="CF323" s="3535">
        <v>63.50177984284818</v>
      </c>
      <c r="CG323" s="3535">
        <v>84.634268285208023</v>
      </c>
      <c r="CH323" s="3535">
        <v>94.370890396623466</v>
      </c>
      <c r="CI323" s="3535">
        <v>50.039040677772562</v>
      </c>
      <c r="CJ323" s="2978">
        <v>105.96615315429496</v>
      </c>
    </row>
    <row r="324" spans="1:88">
      <c r="A324" s="53">
        <v>2020.03</v>
      </c>
      <c r="B324" s="615">
        <v>98.85080173419037</v>
      </c>
      <c r="C324" s="3535">
        <v>95.8925600883436</v>
      </c>
      <c r="D324" s="358">
        <v>106.100359179672</v>
      </c>
      <c r="E324" s="615">
        <v>128.6580919307722</v>
      </c>
      <c r="F324" s="1215">
        <v>97.390354251099467</v>
      </c>
      <c r="G324" s="1215">
        <v>246.48546763488204</v>
      </c>
      <c r="H324" s="1215">
        <v>124.55689262671987</v>
      </c>
      <c r="I324" s="1215">
        <v>168.01900705242971</v>
      </c>
      <c r="J324" s="1215">
        <v>135.90053408223557</v>
      </c>
      <c r="K324" s="1215">
        <v>125.12044879772613</v>
      </c>
      <c r="L324" s="1215">
        <v>167.36337787247678</v>
      </c>
      <c r="M324" s="1215">
        <v>125.54470890851506</v>
      </c>
      <c r="N324" s="1215">
        <v>66.665517307591202</v>
      </c>
      <c r="O324" s="1215">
        <v>124.65740171986329</v>
      </c>
      <c r="P324" s="1215">
        <v>124.6690138072732</v>
      </c>
      <c r="Q324" s="1215">
        <v>118.2999455338483</v>
      </c>
      <c r="R324" s="2661">
        <v>140.72929765533817</v>
      </c>
      <c r="S324" s="3535">
        <v>92.365113433644368</v>
      </c>
      <c r="T324" s="3535">
        <v>140.47637513214045</v>
      </c>
      <c r="U324" s="3535">
        <v>69.276237480207726</v>
      </c>
      <c r="V324" s="3535">
        <v>56.467679177743754</v>
      </c>
      <c r="W324" s="3535">
        <v>138.96231583367009</v>
      </c>
      <c r="X324" s="3535">
        <v>50.579914333582053</v>
      </c>
      <c r="Y324" s="3535">
        <v>61.085799746885847</v>
      </c>
      <c r="Z324" s="3535">
        <v>38.476728302001405</v>
      </c>
      <c r="AA324" s="3535">
        <v>55.037513636578325</v>
      </c>
      <c r="AB324" s="3535">
        <v>51.68679017802058</v>
      </c>
      <c r="AC324" s="3535">
        <v>41.081893317958603</v>
      </c>
      <c r="AD324" s="3535">
        <v>84.314011821754661</v>
      </c>
      <c r="AE324" s="3535">
        <v>99.351559885544546</v>
      </c>
      <c r="AF324" s="3535">
        <v>81.855282490515407</v>
      </c>
      <c r="AG324" s="3535">
        <v>106.82647873750894</v>
      </c>
      <c r="AH324" s="3535">
        <v>103.89028285160602</v>
      </c>
      <c r="AI324" s="3535">
        <v>101.20360349271742</v>
      </c>
      <c r="AJ324" s="3535">
        <v>133.37464667423714</v>
      </c>
      <c r="AK324" s="3535">
        <v>92.180178314792485</v>
      </c>
      <c r="AL324" s="3535">
        <v>107.9474400894721</v>
      </c>
      <c r="AM324" s="3535">
        <v>29.700744442257289</v>
      </c>
      <c r="AN324" s="3535">
        <v>93.798422375194122</v>
      </c>
      <c r="AO324" s="3535">
        <v>129.60172043850076</v>
      </c>
      <c r="AP324" s="3535">
        <v>146.5592005682866</v>
      </c>
      <c r="AQ324" s="3535">
        <v>77.148724686668459</v>
      </c>
      <c r="AR324" s="3535">
        <v>114.56509467897919</v>
      </c>
      <c r="AS324" s="3535">
        <v>101.67928237568502</v>
      </c>
      <c r="AT324" s="3535">
        <v>61.595973738988029</v>
      </c>
      <c r="AU324" s="3535">
        <v>174.87306449670027</v>
      </c>
      <c r="AV324" s="3535">
        <v>144.885497241466</v>
      </c>
      <c r="AW324" s="3535">
        <v>137.85721156061129</v>
      </c>
      <c r="AX324" s="3535">
        <v>84.824650234956707</v>
      </c>
      <c r="AY324" s="3535">
        <v>75.936018957345979</v>
      </c>
      <c r="AZ324" s="3535">
        <v>49.952648428813724</v>
      </c>
      <c r="BA324" s="3535">
        <v>90.994340984971373</v>
      </c>
      <c r="BB324" s="3535">
        <v>101.33182092609687</v>
      </c>
      <c r="BC324" s="3535">
        <v>112.34405987585879</v>
      </c>
      <c r="BD324" s="3535">
        <v>84.354469259836847</v>
      </c>
      <c r="BE324" s="3535">
        <v>99.397687743891368</v>
      </c>
      <c r="BF324" s="3535">
        <v>114.64052066461066</v>
      </c>
      <c r="BG324" s="3535">
        <v>112.81447582799375</v>
      </c>
      <c r="BH324" s="3535">
        <v>103.88813783664141</v>
      </c>
      <c r="BI324" s="3535">
        <v>72.167008689141255</v>
      </c>
      <c r="BJ324" s="3535">
        <v>58.116861214586223</v>
      </c>
      <c r="BK324" s="3535">
        <v>132.44586964006328</v>
      </c>
      <c r="BL324" s="3535">
        <v>81.432575061371168</v>
      </c>
      <c r="BM324" s="3535">
        <v>76.253709135348217</v>
      </c>
      <c r="BN324" s="3535">
        <v>84.260423494615281</v>
      </c>
      <c r="BO324" s="3535">
        <v>166.12685936818457</v>
      </c>
      <c r="BP324" s="3535">
        <v>67.295140892889648</v>
      </c>
      <c r="BQ324" s="3535">
        <v>91.759450586010374</v>
      </c>
      <c r="BR324" s="3535">
        <v>78.146775879970292</v>
      </c>
      <c r="BS324" s="3535">
        <v>120.49100666515872</v>
      </c>
      <c r="BT324" s="3535">
        <v>56.165272137127154</v>
      </c>
      <c r="BU324" s="3535">
        <v>132.47146958771299</v>
      </c>
      <c r="BV324" s="3535">
        <v>71.560555052557106</v>
      </c>
      <c r="BW324" s="3535">
        <v>114.26788879321568</v>
      </c>
      <c r="BX324" s="3535">
        <v>50.064415334515338</v>
      </c>
      <c r="BY324" s="3535">
        <v>83.426227876950634</v>
      </c>
      <c r="BZ324" s="3535">
        <v>79.855053121149837</v>
      </c>
      <c r="CA324" s="3535">
        <v>118.67871675866488</v>
      </c>
      <c r="CB324" s="3535">
        <v>88.434673764254313</v>
      </c>
      <c r="CC324" s="3535">
        <v>61.468294511012388</v>
      </c>
      <c r="CD324" s="3535">
        <v>67.970125444903601</v>
      </c>
      <c r="CE324" s="3535">
        <v>145.74667205527138</v>
      </c>
      <c r="CF324" s="3535">
        <v>59.865181797697822</v>
      </c>
      <c r="CG324" s="3535">
        <v>74.612529701421394</v>
      </c>
      <c r="CH324" s="3535">
        <v>82.232205743889821</v>
      </c>
      <c r="CI324" s="3535">
        <v>41.249240023578267</v>
      </c>
      <c r="CJ324" s="2978">
        <v>98.850801734190384</v>
      </c>
    </row>
    <row r="325" spans="1:88">
      <c r="A325" s="53">
        <v>2020.04</v>
      </c>
      <c r="B325" s="615">
        <v>80.3695831755266</v>
      </c>
      <c r="C325" s="3535">
        <v>78.361367836298896</v>
      </c>
      <c r="D325" s="358">
        <v>104.960944257018</v>
      </c>
      <c r="E325" s="615">
        <v>133.76928370619399</v>
      </c>
      <c r="F325" s="1215">
        <v>104.65712647583987</v>
      </c>
      <c r="G325" s="1215">
        <v>278.64305718992142</v>
      </c>
      <c r="H325" s="1215">
        <v>119.61577489792595</v>
      </c>
      <c r="I325" s="1215">
        <v>188.70322200676461</v>
      </c>
      <c r="J325" s="1215">
        <v>174.29280883219343</v>
      </c>
      <c r="K325" s="1215">
        <v>131.63696149932801</v>
      </c>
      <c r="L325" s="1215">
        <v>160.45598001657555</v>
      </c>
      <c r="M325" s="1215">
        <v>133.39614604281726</v>
      </c>
      <c r="N325" s="1215">
        <v>51.430084868535992</v>
      </c>
      <c r="O325" s="1215">
        <v>159.7700845331446</v>
      </c>
      <c r="P325" s="1215">
        <v>102.39246580491202</v>
      </c>
      <c r="Q325" s="1215">
        <v>128.90845705712542</v>
      </c>
      <c r="R325" s="2661">
        <v>134.60731615758507</v>
      </c>
      <c r="S325" s="3535">
        <v>34.952047626628996</v>
      </c>
      <c r="T325" s="3535">
        <v>107.78309898028982</v>
      </c>
      <c r="U325" s="3535">
        <v>0</v>
      </c>
      <c r="V325" s="3535">
        <v>39.164815012520222</v>
      </c>
      <c r="W325" s="3535">
        <v>265.78882174816738</v>
      </c>
      <c r="X325" s="3535">
        <v>6.0794040136402598</v>
      </c>
      <c r="Y325" s="3535">
        <v>9.6575969409267906</v>
      </c>
      <c r="Z325" s="3535">
        <v>34.063406021000723</v>
      </c>
      <c r="AA325" s="3535">
        <v>19.930023401032091</v>
      </c>
      <c r="AB325" s="3535">
        <v>19.90589059410333</v>
      </c>
      <c r="AC325" s="3535">
        <v>30.090690110795162</v>
      </c>
      <c r="AD325" s="3535">
        <v>9.0824457766328237</v>
      </c>
      <c r="AE325" s="3535">
        <v>99.988402951783314</v>
      </c>
      <c r="AF325" s="3535">
        <v>76.052802058958648</v>
      </c>
      <c r="AG325" s="3535">
        <v>99.841101215405288</v>
      </c>
      <c r="AH325" s="3535">
        <v>116.23385120951821</v>
      </c>
      <c r="AI325" s="3535">
        <v>66.425531763209065</v>
      </c>
      <c r="AJ325" s="3535">
        <v>49.869546280572905</v>
      </c>
      <c r="AK325" s="3535">
        <v>62.768934575214949</v>
      </c>
      <c r="AL325" s="3535">
        <v>100.14620124627433</v>
      </c>
      <c r="AM325" s="3535">
        <v>4.4682158960043763</v>
      </c>
      <c r="AN325" s="3535">
        <v>77.95445405824843</v>
      </c>
      <c r="AO325" s="3535">
        <v>121.95674853973888</v>
      </c>
      <c r="AP325" s="3535">
        <v>111.76693625425031</v>
      </c>
      <c r="AQ325" s="3535">
        <v>73.782555291392839</v>
      </c>
      <c r="AR325" s="3535">
        <v>125.22803850088083</v>
      </c>
      <c r="AS325" s="3535">
        <v>87.356047680381437</v>
      </c>
      <c r="AT325" s="3535">
        <v>16.613869581975791</v>
      </c>
      <c r="AU325" s="3535">
        <v>177.39344129187103</v>
      </c>
      <c r="AV325" s="3535">
        <v>153.31126855460016</v>
      </c>
      <c r="AW325" s="3535">
        <v>76.784281366204596</v>
      </c>
      <c r="AX325" s="3535">
        <v>66.513689892042464</v>
      </c>
      <c r="AY325" s="3535">
        <v>2.8080568720379144</v>
      </c>
      <c r="AZ325" s="3535">
        <v>32.322810073392652</v>
      </c>
      <c r="BA325" s="3535">
        <v>83.266183613330213</v>
      </c>
      <c r="BB325" s="3535">
        <v>48.917476349248957</v>
      </c>
      <c r="BC325" s="3535">
        <v>80.762964501774306</v>
      </c>
      <c r="BD325" s="3535">
        <v>0.87778627908895535</v>
      </c>
      <c r="BE325" s="3535">
        <v>77.850102293468325</v>
      </c>
      <c r="BF325" s="3535">
        <v>86.715600825979905</v>
      </c>
      <c r="BG325" s="3535">
        <v>29.227873473545472</v>
      </c>
      <c r="BH325" s="3535">
        <v>46.315885773277586</v>
      </c>
      <c r="BI325" s="3535">
        <v>37.239417996580066</v>
      </c>
      <c r="BJ325" s="3535">
        <v>27.601106996173876</v>
      </c>
      <c r="BK325" s="3535">
        <v>80.591546013985791</v>
      </c>
      <c r="BL325" s="3535">
        <v>41.612841727898804</v>
      </c>
      <c r="BM325" s="3535">
        <v>44.164379847481875</v>
      </c>
      <c r="BN325" s="3535">
        <v>26.466445257716309</v>
      </c>
      <c r="BO325" s="3535">
        <v>178.74039511117269</v>
      </c>
      <c r="BP325" s="3535">
        <v>40.871368334331251</v>
      </c>
      <c r="BQ325" s="3535">
        <v>65.220669661685349</v>
      </c>
      <c r="BR325" s="3535">
        <v>45.544344981109745</v>
      </c>
      <c r="BS325" s="3535">
        <v>145.91243833714663</v>
      </c>
      <c r="BT325" s="3535">
        <v>36.172810678819687</v>
      </c>
      <c r="BU325" s="3535">
        <v>11.091013263272975</v>
      </c>
      <c r="BV325" s="3535">
        <v>30.69276727043205</v>
      </c>
      <c r="BW325" s="3535">
        <v>4.9924465693377273</v>
      </c>
      <c r="BX325" s="3535">
        <v>21.711946080472813</v>
      </c>
      <c r="BY325" s="3535">
        <v>73.898519000942173</v>
      </c>
      <c r="BZ325" s="3535">
        <v>14.478824246210547</v>
      </c>
      <c r="CA325" s="3535">
        <v>0</v>
      </c>
      <c r="CB325" s="3535">
        <v>80.289535926248888</v>
      </c>
      <c r="CC325" s="3535">
        <v>12.254718095827636</v>
      </c>
      <c r="CD325" s="3535">
        <v>15.855073604277885</v>
      </c>
      <c r="CE325" s="3535">
        <v>0</v>
      </c>
      <c r="CF325" s="3535">
        <v>17.507300190381446</v>
      </c>
      <c r="CG325" s="3535">
        <v>46.333628514520129</v>
      </c>
      <c r="CH325" s="3535">
        <v>34.606217362112147</v>
      </c>
      <c r="CI325" s="3535">
        <v>38.205617576717401</v>
      </c>
      <c r="CJ325" s="2978">
        <v>80.369583175526671</v>
      </c>
    </row>
    <row r="326" spans="1:88">
      <c r="A326" s="53">
        <v>2020.05</v>
      </c>
      <c r="B326" s="615">
        <v>93.397270578977967</v>
      </c>
      <c r="C326" s="3535">
        <v>94.407046610772696</v>
      </c>
      <c r="D326" s="358">
        <v>104.885870483106</v>
      </c>
      <c r="E326" s="615">
        <v>135.78331991993463</v>
      </c>
      <c r="F326" s="1215">
        <v>104.01945033079944</v>
      </c>
      <c r="G326" s="1215">
        <v>249.14035065192607</v>
      </c>
      <c r="H326" s="1215">
        <v>111.72930562430533</v>
      </c>
      <c r="I326" s="1215">
        <v>158.24026764075438</v>
      </c>
      <c r="J326" s="1215">
        <v>189.6329207424873</v>
      </c>
      <c r="K326" s="1215">
        <v>147.45980461362856</v>
      </c>
      <c r="L326" s="1215">
        <v>169.73644452052744</v>
      </c>
      <c r="M326" s="1215">
        <v>131.8343208962643</v>
      </c>
      <c r="N326" s="1215">
        <v>66.066611897271258</v>
      </c>
      <c r="O326" s="1215">
        <v>158.24346474880767</v>
      </c>
      <c r="P326" s="1215">
        <v>87.594481025348117</v>
      </c>
      <c r="Q326" s="1215">
        <v>144.15172157201027</v>
      </c>
      <c r="R326" s="2661">
        <v>142.32523685347226</v>
      </c>
      <c r="S326" s="3535">
        <v>93.477718133084679</v>
      </c>
      <c r="T326" s="3535">
        <v>120.69698025181677</v>
      </c>
      <c r="U326" s="3535">
        <v>80.415035002013809</v>
      </c>
      <c r="V326" s="3535">
        <v>58.254191906723058</v>
      </c>
      <c r="W326" s="3535">
        <v>298.81072287612619</v>
      </c>
      <c r="X326" s="3535">
        <v>36.286153318457842</v>
      </c>
      <c r="Y326" s="3535">
        <v>29.25406700179207</v>
      </c>
      <c r="Z326" s="3535">
        <v>44.090480656228209</v>
      </c>
      <c r="AA326" s="3535">
        <v>31.224234059840388</v>
      </c>
      <c r="AB326" s="3535">
        <v>30.227289156346711</v>
      </c>
      <c r="AC326" s="3535">
        <v>31.33313340856634</v>
      </c>
      <c r="AD326" s="3535">
        <v>35.342700128571629</v>
      </c>
      <c r="AE326" s="3535">
        <v>103.07732126970157</v>
      </c>
      <c r="AF326" s="3535">
        <v>95.191497794596231</v>
      </c>
      <c r="AG326" s="3535">
        <v>99.943749499540715</v>
      </c>
      <c r="AH326" s="3535">
        <v>111.41436650854239</v>
      </c>
      <c r="AI326" s="3535">
        <v>79.883245638221396</v>
      </c>
      <c r="AJ326" s="3535">
        <v>84.363352825253088</v>
      </c>
      <c r="AK326" s="3535">
        <v>85.845127520294824</v>
      </c>
      <c r="AL326" s="3535">
        <v>107.02158073616775</v>
      </c>
      <c r="AM326" s="3535">
        <v>32.172627526229071</v>
      </c>
      <c r="AN326" s="3535">
        <v>68.059972950408721</v>
      </c>
      <c r="AO326" s="3535">
        <v>125.05695622089542</v>
      </c>
      <c r="AP326" s="3535">
        <v>113.36883170135734</v>
      </c>
      <c r="AQ326" s="3535">
        <v>60.05946218817634</v>
      </c>
      <c r="AR326" s="3535">
        <v>126.16438728627844</v>
      </c>
      <c r="AS326" s="3535">
        <v>86.18335559490049</v>
      </c>
      <c r="AT326" s="3535">
        <v>51.241217734492231</v>
      </c>
      <c r="AU326" s="3535">
        <v>180.51970683478442</v>
      </c>
      <c r="AV326" s="3535">
        <v>159.17146475225158</v>
      </c>
      <c r="AW326" s="3535">
        <v>90.160430665818723</v>
      </c>
      <c r="AX326" s="3535">
        <v>79.441006279644455</v>
      </c>
      <c r="AY326" s="3535">
        <v>23.613744075829384</v>
      </c>
      <c r="AZ326" s="3535">
        <v>55.869609864757507</v>
      </c>
      <c r="BA326" s="3535">
        <v>93.308077309273841</v>
      </c>
      <c r="BB326" s="3535">
        <v>88.09535611448463</v>
      </c>
      <c r="BC326" s="3535">
        <v>95.116069932368219</v>
      </c>
      <c r="BD326" s="3535">
        <v>26.204388289753915</v>
      </c>
      <c r="BE326" s="3535">
        <v>127.25336241308653</v>
      </c>
      <c r="BF326" s="3535">
        <v>141.06170888769</v>
      </c>
      <c r="BG326" s="3535">
        <v>98.37615486158829</v>
      </c>
      <c r="BH326" s="3535">
        <v>83.175440230666993</v>
      </c>
      <c r="BI326" s="3535">
        <v>51.267371333448608</v>
      </c>
      <c r="BJ326" s="3535">
        <v>43.404905459979723</v>
      </c>
      <c r="BK326" s="3535">
        <v>85.979541401323019</v>
      </c>
      <c r="BL326" s="3535">
        <v>55.481350063185445</v>
      </c>
      <c r="BM326" s="3535">
        <v>69.059181605470243</v>
      </c>
      <c r="BN326" s="3535">
        <v>50.395507687032378</v>
      </c>
      <c r="BO326" s="3535">
        <v>163.11637367609055</v>
      </c>
      <c r="BP326" s="3535">
        <v>68.90363193531806</v>
      </c>
      <c r="BQ326" s="3535">
        <v>92.612685193070362</v>
      </c>
      <c r="BR326" s="3535">
        <v>51.167060313990639</v>
      </c>
      <c r="BS326" s="3535">
        <v>195.71979585851827</v>
      </c>
      <c r="BT326" s="3535">
        <v>53.165148858703205</v>
      </c>
      <c r="BU326" s="3535">
        <v>79.511634105972263</v>
      </c>
      <c r="BV326" s="3535">
        <v>66.096004488177158</v>
      </c>
      <c r="BW326" s="3535">
        <v>79.232977004006116</v>
      </c>
      <c r="BX326" s="3535">
        <v>47.279389952682742</v>
      </c>
      <c r="BY326" s="3535">
        <v>97.781198873992665</v>
      </c>
      <c r="BZ326" s="3535">
        <v>34.667041104432762</v>
      </c>
      <c r="CA326" s="3535">
        <v>28.492452083832909</v>
      </c>
      <c r="CB326" s="3535">
        <v>125.87766713267769</v>
      </c>
      <c r="CC326" s="3535">
        <v>25.409136652475606</v>
      </c>
      <c r="CD326" s="3535">
        <v>26.933470451291964</v>
      </c>
      <c r="CE326" s="3535">
        <v>91.190846943072188</v>
      </c>
      <c r="CF326" s="3535">
        <v>20.237333401235016</v>
      </c>
      <c r="CG326" s="3535">
        <v>86.515839644345874</v>
      </c>
      <c r="CH326" s="3535">
        <v>98.865035640444034</v>
      </c>
      <c r="CI326" s="3535">
        <v>59.457292403435368</v>
      </c>
      <c r="CJ326" s="2978">
        <v>93.397270578978009</v>
      </c>
    </row>
    <row r="327" spans="1:88">
      <c r="A327" s="53">
        <v>2020.06</v>
      </c>
      <c r="B327" s="615">
        <v>107.68552518388505</v>
      </c>
      <c r="C327" s="3535">
        <v>106.522512879472</v>
      </c>
      <c r="D327" s="358">
        <v>105.94080877486</v>
      </c>
      <c r="E327" s="615">
        <v>140.70120790119668</v>
      </c>
      <c r="F327" s="1215">
        <v>108.76618950710386</v>
      </c>
      <c r="G327" s="1215">
        <v>255.20490354379675</v>
      </c>
      <c r="H327" s="1215">
        <v>123.75337795571188</v>
      </c>
      <c r="I327" s="1215">
        <v>181.96311552496621</v>
      </c>
      <c r="J327" s="1215">
        <v>172.46536964306645</v>
      </c>
      <c r="K327" s="1215">
        <v>144.52771440668374</v>
      </c>
      <c r="L327" s="1215">
        <v>160.51930602794357</v>
      </c>
      <c r="M327" s="1215">
        <v>129.94873767216404</v>
      </c>
      <c r="N327" s="1215">
        <v>130.70799521682957</v>
      </c>
      <c r="O327" s="1215">
        <v>131.7709839084747</v>
      </c>
      <c r="P327" s="1215">
        <v>102.10422550144121</v>
      </c>
      <c r="Q327" s="1215">
        <v>149.27594322140095</v>
      </c>
      <c r="R327" s="2661">
        <v>154.28634871888795</v>
      </c>
      <c r="S327" s="3535">
        <v>124.00446935185676</v>
      </c>
      <c r="T327" s="3535">
        <v>97.442643817689685</v>
      </c>
      <c r="U327" s="3535">
        <v>136.75164481980707</v>
      </c>
      <c r="V327" s="3535">
        <v>85.650353766375517</v>
      </c>
      <c r="W327" s="3535">
        <v>388.17093267468067</v>
      </c>
      <c r="X327" s="3535">
        <v>67.16516736809379</v>
      </c>
      <c r="Y327" s="3535">
        <v>55.914804934521435</v>
      </c>
      <c r="Z327" s="3535">
        <v>57.437410825001471</v>
      </c>
      <c r="AA327" s="3535">
        <v>50.209336371714194</v>
      </c>
      <c r="AB327" s="3535">
        <v>45.89153307867894</v>
      </c>
      <c r="AC327" s="3535">
        <v>29.737646427819119</v>
      </c>
      <c r="AD327" s="3535">
        <v>90.617114486834225</v>
      </c>
      <c r="AE327" s="3535">
        <v>105.9060445495474</v>
      </c>
      <c r="AF327" s="3535">
        <v>111.41619268898452</v>
      </c>
      <c r="AG327" s="3535">
        <v>103.04546386760674</v>
      </c>
      <c r="AH327" s="3535">
        <v>104.96668385397425</v>
      </c>
      <c r="AI327" s="3535">
        <v>90.12312933279803</v>
      </c>
      <c r="AJ327" s="3535">
        <v>97.410656163038539</v>
      </c>
      <c r="AK327" s="3535">
        <v>96.018321694032736</v>
      </c>
      <c r="AL327" s="3535">
        <v>109.76165897400911</v>
      </c>
      <c r="AM327" s="3535">
        <v>39.603323718460395</v>
      </c>
      <c r="AN327" s="3535">
        <v>77.891612406422567</v>
      </c>
      <c r="AO327" s="3535">
        <v>128.9908324810402</v>
      </c>
      <c r="AP327" s="3535">
        <v>114.25183390586706</v>
      </c>
      <c r="AQ327" s="3535">
        <v>55.966667067149281</v>
      </c>
      <c r="AR327" s="3535">
        <v>124.57384896891139</v>
      </c>
      <c r="AS327" s="3535">
        <v>77.769208247319284</v>
      </c>
      <c r="AT327" s="3535">
        <v>98.670757140804497</v>
      </c>
      <c r="AU327" s="3535">
        <v>186.27164009539737</v>
      </c>
      <c r="AV327" s="3535">
        <v>149.63016640163923</v>
      </c>
      <c r="AW327" s="3535">
        <v>123.19038814306404</v>
      </c>
      <c r="AX327" s="3535">
        <v>97.510341003832281</v>
      </c>
      <c r="AY327" s="3535">
        <v>68.376777251184834</v>
      </c>
      <c r="AZ327" s="3535">
        <v>71.329648299718613</v>
      </c>
      <c r="BA327" s="3535">
        <v>106.51397567216222</v>
      </c>
      <c r="BB327" s="3535">
        <v>137.26707464607378</v>
      </c>
      <c r="BC327" s="3535">
        <v>136.80061520866047</v>
      </c>
      <c r="BD327" s="3535">
        <v>124.72711576489822</v>
      </c>
      <c r="BE327" s="3535">
        <v>151.31259428867466</v>
      </c>
      <c r="BF327" s="3535">
        <v>162.54723038767077</v>
      </c>
      <c r="BG327" s="3535">
        <v>140.90051974618311</v>
      </c>
      <c r="BH327" s="3535">
        <v>119.86310336840327</v>
      </c>
      <c r="BI327" s="3535">
        <v>61.971140820657986</v>
      </c>
      <c r="BJ327" s="3535">
        <v>57.053521148307851</v>
      </c>
      <c r="BK327" s="3535">
        <v>80.469743892473033</v>
      </c>
      <c r="BL327" s="3535">
        <v>67.789368193316832</v>
      </c>
      <c r="BM327" s="3535">
        <v>89.228183906926134</v>
      </c>
      <c r="BN327" s="3535">
        <v>71.99195913239727</v>
      </c>
      <c r="BO327" s="3535">
        <v>161.68349965704192</v>
      </c>
      <c r="BP327" s="3535">
        <v>90.083102374620239</v>
      </c>
      <c r="BQ327" s="3535">
        <v>120.03161052126887</v>
      </c>
      <c r="BR327" s="3535">
        <v>73.058367513504479</v>
      </c>
      <c r="BS327" s="3535">
        <v>218.71579015093943</v>
      </c>
      <c r="BT327" s="3535">
        <v>61.514728327434845</v>
      </c>
      <c r="BU327" s="3535">
        <v>162.84493781454148</v>
      </c>
      <c r="BV327" s="3535">
        <v>101.01232459994969</v>
      </c>
      <c r="BW327" s="3535">
        <v>190.92829768004086</v>
      </c>
      <c r="BX327" s="3535">
        <v>63.381000651257992</v>
      </c>
      <c r="BY327" s="3535">
        <v>108.47470779889615</v>
      </c>
      <c r="BZ327" s="3535">
        <v>72.87636767510368</v>
      </c>
      <c r="CA327" s="3535">
        <v>99.968909900771422</v>
      </c>
      <c r="CB327" s="3535">
        <v>137.77471275371431</v>
      </c>
      <c r="CC327" s="3535">
        <v>52.293176231690239</v>
      </c>
      <c r="CD327" s="3535">
        <v>48.419823110318497</v>
      </c>
      <c r="CE327" s="3535">
        <v>238.85493701383973</v>
      </c>
      <c r="CF327" s="3535">
        <v>28.574947837449191</v>
      </c>
      <c r="CG327" s="3535">
        <v>108.8529860524809</v>
      </c>
      <c r="CH327" s="3535">
        <v>129.13516638047369</v>
      </c>
      <c r="CI327" s="3535">
        <v>74.808168567942602</v>
      </c>
      <c r="CJ327" s="2978">
        <v>107.68552518388508</v>
      </c>
    </row>
    <row r="328" spans="1:88">
      <c r="A328" s="53">
        <v>2020.07</v>
      </c>
      <c r="B328" s="615">
        <v>116.4396784123465</v>
      </c>
      <c r="C328" s="3535">
        <v>109.419510824597</v>
      </c>
      <c r="D328" s="358">
        <v>108.003152387206</v>
      </c>
      <c r="E328" s="615">
        <v>148.4514457539955</v>
      </c>
      <c r="F328" s="1215">
        <v>111.21722788940367</v>
      </c>
      <c r="G328" s="1215">
        <v>265.38288992829564</v>
      </c>
      <c r="H328" s="1215">
        <v>132.07645666436267</v>
      </c>
      <c r="I328" s="1215">
        <v>216.79521090984167</v>
      </c>
      <c r="J328" s="1215">
        <v>163.35815756971385</v>
      </c>
      <c r="K328" s="1215">
        <v>109.5320684627534</v>
      </c>
      <c r="L328" s="1215">
        <v>168.99280278787234</v>
      </c>
      <c r="M328" s="1215">
        <v>141.62871769209724</v>
      </c>
      <c r="N328" s="1215">
        <v>168.35437305193477</v>
      </c>
      <c r="O328" s="1215">
        <v>148.98022287889594</v>
      </c>
      <c r="P328" s="1215">
        <v>115.2818514467067</v>
      </c>
      <c r="Q328" s="1215">
        <v>171.01485975194208</v>
      </c>
      <c r="R328" s="2661">
        <v>172.33708196466048</v>
      </c>
      <c r="S328" s="3535">
        <v>97.190708550388749</v>
      </c>
      <c r="T328" s="3535">
        <v>54.911643027073708</v>
      </c>
      <c r="U328" s="3535">
        <v>117.48067943937821</v>
      </c>
      <c r="V328" s="3535">
        <v>90.088027792478385</v>
      </c>
      <c r="W328" s="3535">
        <v>341.67500208684174</v>
      </c>
      <c r="X328" s="3535">
        <v>77.23325737385791</v>
      </c>
      <c r="Y328" s="3535">
        <v>68.760396716684724</v>
      </c>
      <c r="Z328" s="3535">
        <v>62.45570632720041</v>
      </c>
      <c r="AA328" s="3535">
        <v>57.259231484246392</v>
      </c>
      <c r="AB328" s="3535">
        <v>53.943580942666486</v>
      </c>
      <c r="AC328" s="3535">
        <v>27.57846064361113</v>
      </c>
      <c r="AD328" s="3535">
        <v>103.33364868237817</v>
      </c>
      <c r="AE328" s="3535">
        <v>110.74784478911826</v>
      </c>
      <c r="AF328" s="3535">
        <v>125.87981057854708</v>
      </c>
      <c r="AG328" s="3535">
        <v>105.18715636705151</v>
      </c>
      <c r="AH328" s="3535">
        <v>105.94769396091863</v>
      </c>
      <c r="AI328" s="3535">
        <v>99.020700470388107</v>
      </c>
      <c r="AJ328" s="3535">
        <v>112.50579189536722</v>
      </c>
      <c r="AK328" s="3535">
        <v>104.27347560548988</v>
      </c>
      <c r="AL328" s="3535">
        <v>134.90109451063421</v>
      </c>
      <c r="AM328" s="3535">
        <v>48.357202087476232</v>
      </c>
      <c r="AN328" s="3535">
        <v>81.388119980497592</v>
      </c>
      <c r="AO328" s="3535">
        <v>138.44740883517349</v>
      </c>
      <c r="AP328" s="3535">
        <v>125.61826483613446</v>
      </c>
      <c r="AQ328" s="3535">
        <v>72.752992677927125</v>
      </c>
      <c r="AR328" s="3535">
        <v>139.7060055475375</v>
      </c>
      <c r="AS328" s="3535">
        <v>98.571940444480788</v>
      </c>
      <c r="AT328" s="3535">
        <v>105.20924597526735</v>
      </c>
      <c r="AU328" s="3535">
        <v>186.24032698352144</v>
      </c>
      <c r="AV328" s="3535">
        <v>154.72576463580504</v>
      </c>
      <c r="AW328" s="3535">
        <v>135.99457423116061</v>
      </c>
      <c r="AX328" s="3535">
        <v>100.23836147887918</v>
      </c>
      <c r="AY328" s="3535">
        <v>65.66350710900474</v>
      </c>
      <c r="AZ328" s="3535">
        <v>76.054424591150109</v>
      </c>
      <c r="BA328" s="3535">
        <v>110.0468720559082</v>
      </c>
      <c r="BB328" s="3535">
        <v>157.35953904450207</v>
      </c>
      <c r="BC328" s="3535">
        <v>149.83639611695276</v>
      </c>
      <c r="BD328" s="3535">
        <v>150.73813213715391</v>
      </c>
      <c r="BE328" s="3535">
        <v>165.16387341672976</v>
      </c>
      <c r="BF328" s="3535">
        <v>177.56872461532637</v>
      </c>
      <c r="BG328" s="3535">
        <v>172.07917159381861</v>
      </c>
      <c r="BH328" s="3535">
        <v>139.46242150169692</v>
      </c>
      <c r="BI328" s="3535">
        <v>75.032822096375284</v>
      </c>
      <c r="BJ328" s="3535">
        <v>71.090812066513138</v>
      </c>
      <c r="BK328" s="3535">
        <v>89.61877399414243</v>
      </c>
      <c r="BL328" s="3535">
        <v>79.937223280052905</v>
      </c>
      <c r="BM328" s="3535">
        <v>96.819421231977699</v>
      </c>
      <c r="BN328" s="3535">
        <v>75.722758139394443</v>
      </c>
      <c r="BO328" s="3535">
        <v>153.89350003401978</v>
      </c>
      <c r="BP328" s="3535">
        <v>100.0565309840851</v>
      </c>
      <c r="BQ328" s="3535">
        <v>126.3164621006881</v>
      </c>
      <c r="BR328" s="3535">
        <v>74.390337019305733</v>
      </c>
      <c r="BS328" s="3535">
        <v>238.65643699410757</v>
      </c>
      <c r="BT328" s="3535">
        <v>64.172011313718016</v>
      </c>
      <c r="BU328" s="3535">
        <v>163.21951591106927</v>
      </c>
      <c r="BV328" s="3535">
        <v>116.12216442212063</v>
      </c>
      <c r="BW328" s="3535">
        <v>267.38649792421671</v>
      </c>
      <c r="BX328" s="3535">
        <v>63.421687071966595</v>
      </c>
      <c r="BY328" s="3535">
        <v>104.31197686695594</v>
      </c>
      <c r="BZ328" s="3535">
        <v>89.429041832126117</v>
      </c>
      <c r="CA328" s="3535">
        <v>132.07129518585714</v>
      </c>
      <c r="CB328" s="3535">
        <v>161.37893810470138</v>
      </c>
      <c r="CC328" s="3535">
        <v>61.005822649984708</v>
      </c>
      <c r="CD328" s="3535">
        <v>52.835810942438002</v>
      </c>
      <c r="CE328" s="3535">
        <v>257.19362196323073</v>
      </c>
      <c r="CF328" s="3535">
        <v>31.540078303557046</v>
      </c>
      <c r="CG328" s="3535">
        <v>121.39358663741463</v>
      </c>
      <c r="CH328" s="3535">
        <v>140.32585881065489</v>
      </c>
      <c r="CI328" s="3535">
        <v>92.836227895676302</v>
      </c>
      <c r="CJ328" s="2978">
        <v>116.43967841234647</v>
      </c>
    </row>
    <row r="329" spans="1:88">
      <c r="A329" s="53">
        <v>2020.08</v>
      </c>
      <c r="B329" s="615">
        <v>116.62865541586976</v>
      </c>
      <c r="C329" s="3535">
        <v>112.166839142548</v>
      </c>
      <c r="D329" s="358">
        <v>110.748490991273</v>
      </c>
      <c r="E329" s="615">
        <v>144.03787808419085</v>
      </c>
      <c r="F329" s="1215">
        <v>106.68505213370662</v>
      </c>
      <c r="G329" s="1215">
        <v>243.5244565402308</v>
      </c>
      <c r="H329" s="1215">
        <v>126.82346704965313</v>
      </c>
      <c r="I329" s="1215">
        <v>196.90680442558522</v>
      </c>
      <c r="J329" s="1215">
        <v>164.21836999599734</v>
      </c>
      <c r="K329" s="1215">
        <v>129.17966043287464</v>
      </c>
      <c r="L329" s="1215">
        <v>147.31763753452779</v>
      </c>
      <c r="M329" s="1215">
        <v>128.09285058363113</v>
      </c>
      <c r="N329" s="1215">
        <v>168.42849988625437</v>
      </c>
      <c r="O329" s="1215">
        <v>108.7067794342522</v>
      </c>
      <c r="P329" s="1215">
        <v>120.41553969648308</v>
      </c>
      <c r="Q329" s="1215">
        <v>161.63414552483431</v>
      </c>
      <c r="R329" s="2661">
        <v>171.4731573960872</v>
      </c>
      <c r="S329" s="3535">
        <v>61.091435751165747</v>
      </c>
      <c r="T329" s="3535">
        <v>2.2681960449162237</v>
      </c>
      <c r="U329" s="3535">
        <v>89.321052618588638</v>
      </c>
      <c r="V329" s="3535">
        <v>84.863498205609076</v>
      </c>
      <c r="W329" s="3535">
        <v>212.02441327575079</v>
      </c>
      <c r="X329" s="3535">
        <v>82.343033824592197</v>
      </c>
      <c r="Y329" s="3535">
        <v>72.567577218256034</v>
      </c>
      <c r="Z329" s="3535">
        <v>70.122605181608279</v>
      </c>
      <c r="AA329" s="3535">
        <v>61.122607308647211</v>
      </c>
      <c r="AB329" s="3535">
        <v>57.540295793293481</v>
      </c>
      <c r="AC329" s="3535">
        <v>27.339757011347178</v>
      </c>
      <c r="AD329" s="3535">
        <v>112.75081151433484</v>
      </c>
      <c r="AE329" s="3535">
        <v>108.39117117781288</v>
      </c>
      <c r="AF329" s="3535">
        <v>117.08594122926681</v>
      </c>
      <c r="AG329" s="3535">
        <v>105.95924512198161</v>
      </c>
      <c r="AH329" s="3535">
        <v>104.89459284072146</v>
      </c>
      <c r="AI329" s="3535">
        <v>96.115556819915739</v>
      </c>
      <c r="AJ329" s="3535">
        <v>111.82036760460092</v>
      </c>
      <c r="AK329" s="3535">
        <v>100.53503167420543</v>
      </c>
      <c r="AL329" s="3535">
        <v>121.97902844656451</v>
      </c>
      <c r="AM329" s="3535">
        <v>45.973815099948702</v>
      </c>
      <c r="AN329" s="3535">
        <v>79.562019882915578</v>
      </c>
      <c r="AO329" s="3535">
        <v>138.23028260317162</v>
      </c>
      <c r="AP329" s="3535">
        <v>137.49179834159165</v>
      </c>
      <c r="AQ329" s="3535">
        <v>86.407296871333287</v>
      </c>
      <c r="AR329" s="3535">
        <v>129.39113007166992</v>
      </c>
      <c r="AS329" s="3535">
        <v>119.55131476054355</v>
      </c>
      <c r="AT329" s="3535">
        <v>122.36322999069114</v>
      </c>
      <c r="AU329" s="3535">
        <v>182.58104311628895</v>
      </c>
      <c r="AV329" s="3535">
        <v>144.98809514925216</v>
      </c>
      <c r="AW329" s="3535">
        <v>111.31877889985981</v>
      </c>
      <c r="AX329" s="3535">
        <v>104.71116812751701</v>
      </c>
      <c r="AY329" s="3535">
        <v>81.563981042654035</v>
      </c>
      <c r="AZ329" s="3535">
        <v>79.872949045314684</v>
      </c>
      <c r="BA329" s="3535">
        <v>112.37870860876188</v>
      </c>
      <c r="BB329" s="3535">
        <v>171.09603180717409</v>
      </c>
      <c r="BC329" s="3535">
        <v>151.9880057973588</v>
      </c>
      <c r="BD329" s="3535">
        <v>172.99580139946525</v>
      </c>
      <c r="BE329" s="3535">
        <v>178.99845940200493</v>
      </c>
      <c r="BF329" s="3535">
        <v>199.07524435056422</v>
      </c>
      <c r="BG329" s="3535">
        <v>185.14318930262931</v>
      </c>
      <c r="BH329" s="3535">
        <v>154.21765758229697</v>
      </c>
      <c r="BI329" s="3535">
        <v>80.593063090285497</v>
      </c>
      <c r="BJ329" s="3535">
        <v>76.19356998646883</v>
      </c>
      <c r="BK329" s="3535">
        <v>91.190049458566449</v>
      </c>
      <c r="BL329" s="3535">
        <v>91.695765353132515</v>
      </c>
      <c r="BM329" s="3535">
        <v>101.28824610119862</v>
      </c>
      <c r="BN329" s="3535">
        <v>83.874902365039375</v>
      </c>
      <c r="BO329" s="3535">
        <v>194.52483620622459</v>
      </c>
      <c r="BP329" s="3535">
        <v>100.76328178596695</v>
      </c>
      <c r="BQ329" s="3535">
        <v>134.08557286528654</v>
      </c>
      <c r="BR329" s="3535">
        <v>81.825171358250373</v>
      </c>
      <c r="BS329" s="3535">
        <v>247.80048789798039</v>
      </c>
      <c r="BT329" s="3535">
        <v>64.811760798480137</v>
      </c>
      <c r="BU329" s="3535">
        <v>180.23472599835944</v>
      </c>
      <c r="BV329" s="3535">
        <v>97.663808005937554</v>
      </c>
      <c r="BW329" s="3535">
        <v>144.52809248633548</v>
      </c>
      <c r="BX329" s="3535">
        <v>72.373231822071261</v>
      </c>
      <c r="BY329" s="3535">
        <v>114.59441905018703</v>
      </c>
      <c r="BZ329" s="3535">
        <v>108.86441925548857</v>
      </c>
      <c r="CA329" s="3535">
        <v>160.62590187925636</v>
      </c>
      <c r="CB329" s="3535">
        <v>173.6023425664024</v>
      </c>
      <c r="CC329" s="3535">
        <v>77.336594549321219</v>
      </c>
      <c r="CD329" s="3535">
        <v>57.006523295478928</v>
      </c>
      <c r="CE329" s="3535">
        <v>275.73180912539368</v>
      </c>
      <c r="CF329" s="3535">
        <v>34.213583866690698</v>
      </c>
      <c r="CG329" s="3535">
        <v>117.04706770801938</v>
      </c>
      <c r="CH329" s="3535">
        <v>144.22178836477636</v>
      </c>
      <c r="CI329" s="3535">
        <v>70.477470904852026</v>
      </c>
      <c r="CJ329" s="2978">
        <v>116.62865541586974</v>
      </c>
    </row>
    <row r="330" spans="1:88">
      <c r="A330" s="53">
        <v>2020.09</v>
      </c>
      <c r="B330" s="615">
        <v>120.98271248501304</v>
      </c>
      <c r="C330" s="3535">
        <v>114.667622138938</v>
      </c>
      <c r="D330" s="358">
        <v>113.75747420569699</v>
      </c>
      <c r="E330" s="615">
        <v>145.26513332768457</v>
      </c>
      <c r="F330" s="1215">
        <v>112.30860740289326</v>
      </c>
      <c r="G330" s="1215">
        <v>259.83222170383368</v>
      </c>
      <c r="H330" s="1215">
        <v>132.58383974218611</v>
      </c>
      <c r="I330" s="1215">
        <v>232.72497944817573</v>
      </c>
      <c r="J330" s="1215">
        <v>145.57723486558677</v>
      </c>
      <c r="K330" s="1215">
        <v>119.77649909120112</v>
      </c>
      <c r="L330" s="1215">
        <v>147.12684939135417</v>
      </c>
      <c r="M330" s="1215">
        <v>127.14616046613904</v>
      </c>
      <c r="N330" s="1215">
        <v>158.31944515559516</v>
      </c>
      <c r="O330" s="1215">
        <v>113.48971990773795</v>
      </c>
      <c r="P330" s="1215">
        <v>138.32146929765733</v>
      </c>
      <c r="Q330" s="1215">
        <v>163.48919743495148</v>
      </c>
      <c r="R330" s="2661">
        <v>167.86716701576805</v>
      </c>
      <c r="S330" s="3535">
        <v>62.730772575563464</v>
      </c>
      <c r="T330" s="3535">
        <v>0</v>
      </c>
      <c r="U330" s="3535">
        <v>92.835637327129589</v>
      </c>
      <c r="V330" s="3535">
        <v>80.614305984664455</v>
      </c>
      <c r="W330" s="3535">
        <v>129.71166720309094</v>
      </c>
      <c r="X330" s="3535">
        <v>89.747836874494084</v>
      </c>
      <c r="Y330" s="3535">
        <v>82.065288293480776</v>
      </c>
      <c r="Z330" s="3535">
        <v>64.475769772868787</v>
      </c>
      <c r="AA330" s="3535">
        <v>66.677306963122902</v>
      </c>
      <c r="AB330" s="3535">
        <v>65.392379982245572</v>
      </c>
      <c r="AC330" s="3535">
        <v>30.594081213642106</v>
      </c>
      <c r="AD330" s="3535">
        <v>111.02347383852427</v>
      </c>
      <c r="AE330" s="3535">
        <v>117.93702252378742</v>
      </c>
      <c r="AF330" s="3535">
        <v>130.57706014479368</v>
      </c>
      <c r="AG330" s="3535">
        <v>113.59353273360499</v>
      </c>
      <c r="AH330" s="3535">
        <v>113.63568692899801</v>
      </c>
      <c r="AI330" s="3535">
        <v>81.672943846704996</v>
      </c>
      <c r="AJ330" s="3535">
        <v>103.48471433658032</v>
      </c>
      <c r="AK330" s="3535">
        <v>76.613344536969379</v>
      </c>
      <c r="AL330" s="3535">
        <v>113.22390203514641</v>
      </c>
      <c r="AM330" s="3535">
        <v>42.902230536857097</v>
      </c>
      <c r="AN330" s="3535">
        <v>71.087716669377087</v>
      </c>
      <c r="AO330" s="3535">
        <v>141.73771041484639</v>
      </c>
      <c r="AP330" s="3535">
        <v>136.90994733536274</v>
      </c>
      <c r="AQ330" s="3535">
        <v>77.573600889668356</v>
      </c>
      <c r="AR330" s="3535">
        <v>140.87952860376566</v>
      </c>
      <c r="AS330" s="3535">
        <v>102.395379242328</v>
      </c>
      <c r="AT330" s="3535">
        <v>137.19959206960328</v>
      </c>
      <c r="AU330" s="3535">
        <v>189.97232973085244</v>
      </c>
      <c r="AV330" s="3535">
        <v>154.00302349499478</v>
      </c>
      <c r="AW330" s="3535">
        <v>123.42247074773498</v>
      </c>
      <c r="AX330" s="3535">
        <v>112.384546052193</v>
      </c>
      <c r="AY330" s="3535">
        <v>92.381516587677723</v>
      </c>
      <c r="AZ330" s="3535">
        <v>84.240105543578224</v>
      </c>
      <c r="BA330" s="3535">
        <v>119.86103237880026</v>
      </c>
      <c r="BB330" s="3535">
        <v>184.07789850686325</v>
      </c>
      <c r="BC330" s="3535">
        <v>151.51663343190666</v>
      </c>
      <c r="BD330" s="3535">
        <v>179.68696032890074</v>
      </c>
      <c r="BE330" s="3535">
        <v>199.01257821912628</v>
      </c>
      <c r="BF330" s="3535">
        <v>202.75134797202341</v>
      </c>
      <c r="BG330" s="3535">
        <v>210.81039436544106</v>
      </c>
      <c r="BH330" s="3535">
        <v>167.7677160609274</v>
      </c>
      <c r="BI330" s="3535">
        <v>82.81742368873725</v>
      </c>
      <c r="BJ330" s="3535">
        <v>77.838529195259923</v>
      </c>
      <c r="BK330" s="3535">
        <v>96.960651224907025</v>
      </c>
      <c r="BL330" s="3535">
        <v>93.251579178047862</v>
      </c>
      <c r="BM330" s="3535">
        <v>103.83194075108943</v>
      </c>
      <c r="BN330" s="3535">
        <v>86.128382219632584</v>
      </c>
      <c r="BO330" s="3535">
        <v>202.82182988396406</v>
      </c>
      <c r="BP330" s="3535">
        <v>103.00718333744777</v>
      </c>
      <c r="BQ330" s="3535">
        <v>142.37042113220949</v>
      </c>
      <c r="BR330" s="3535">
        <v>90.207348452420206</v>
      </c>
      <c r="BS330" s="3535">
        <v>255.90906900034784</v>
      </c>
      <c r="BT330" s="3535">
        <v>67.430575450431121</v>
      </c>
      <c r="BU330" s="3535">
        <v>197.24709552392378</v>
      </c>
      <c r="BV330" s="3535">
        <v>125.41297801766542</v>
      </c>
      <c r="BW330" s="3535">
        <v>267.80108356258859</v>
      </c>
      <c r="BX330" s="3535">
        <v>74.178107063802628</v>
      </c>
      <c r="BY330" s="3535">
        <v>118.03299984570197</v>
      </c>
      <c r="BZ330" s="3535">
        <v>128.86437560729536</v>
      </c>
      <c r="CA330" s="3535">
        <v>204.40226536414065</v>
      </c>
      <c r="CB330" s="3535">
        <v>177.27295302394805</v>
      </c>
      <c r="CC330" s="3535">
        <v>88.916367839125073</v>
      </c>
      <c r="CD330" s="3535">
        <v>64.906295691387299</v>
      </c>
      <c r="CE330" s="3535">
        <v>342.22981605540377</v>
      </c>
      <c r="CF330" s="3535">
        <v>36.006947461705714</v>
      </c>
      <c r="CG330" s="3535">
        <v>111.07854887857188</v>
      </c>
      <c r="CH330" s="3535">
        <v>133.9920437746907</v>
      </c>
      <c r="CI330" s="3535">
        <v>63.260177859732572</v>
      </c>
      <c r="CJ330" s="2978">
        <v>120.98271248501307</v>
      </c>
    </row>
    <row r="331" spans="1:88">
      <c r="A331" s="53">
        <v>2020.1</v>
      </c>
      <c r="B331" s="615">
        <v>124.93316804669958</v>
      </c>
      <c r="C331" s="3535">
        <v>117.263333330926</v>
      </c>
      <c r="D331" s="358">
        <v>116.66533179132</v>
      </c>
      <c r="E331" s="615">
        <v>146.05757921304874</v>
      </c>
      <c r="F331" s="1215">
        <v>113.497946632728</v>
      </c>
      <c r="G331" s="1215">
        <v>259.65848658271585</v>
      </c>
      <c r="H331" s="1215">
        <v>135.69681698615378</v>
      </c>
      <c r="I331" s="1215">
        <v>235.45823377038806</v>
      </c>
      <c r="J331" s="1215">
        <v>142.17114111418766</v>
      </c>
      <c r="K331" s="1215">
        <v>128.74864153617227</v>
      </c>
      <c r="L331" s="1215">
        <v>140.92064738073623</v>
      </c>
      <c r="M331" s="1215">
        <v>123.23155339874789</v>
      </c>
      <c r="N331" s="1215">
        <v>116.19257847768978</v>
      </c>
      <c r="O331" s="1215">
        <v>122.7692192381281</v>
      </c>
      <c r="P331" s="1215">
        <v>160.86459732045586</v>
      </c>
      <c r="Q331" s="1215">
        <v>163.19579627832991</v>
      </c>
      <c r="R331" s="2661">
        <v>165.14462228166727</v>
      </c>
      <c r="S331" s="3535">
        <v>54.174445680287199</v>
      </c>
      <c r="T331" s="3535">
        <v>0</v>
      </c>
      <c r="U331" s="3535">
        <v>80.173079097906353</v>
      </c>
      <c r="V331" s="3535">
        <v>82.723803934845591</v>
      </c>
      <c r="W331" s="3535">
        <v>52.963384445772476</v>
      </c>
      <c r="X331" s="3535">
        <v>102.46363271236486</v>
      </c>
      <c r="Y331" s="3535">
        <v>85.813044974458322</v>
      </c>
      <c r="Z331" s="3535">
        <v>76.107128184637347</v>
      </c>
      <c r="AA331" s="3535">
        <v>75.174325439194689</v>
      </c>
      <c r="AB331" s="3535">
        <v>73.968483292152641</v>
      </c>
      <c r="AC331" s="3535">
        <v>33.988678506804213</v>
      </c>
      <c r="AD331" s="3535">
        <v>124.68333672112094</v>
      </c>
      <c r="AE331" s="3535">
        <v>116.42640319095658</v>
      </c>
      <c r="AF331" s="3535">
        <v>125.00476186527533</v>
      </c>
      <c r="AG331" s="3535">
        <v>108.27751176387596</v>
      </c>
      <c r="AH331" s="3535">
        <v>118.53938312624746</v>
      </c>
      <c r="AI331" s="3535">
        <v>89.31780293640611</v>
      </c>
      <c r="AJ331" s="3535">
        <v>111.4672677357363</v>
      </c>
      <c r="AK331" s="3535">
        <v>83.037334947800375</v>
      </c>
      <c r="AL331" s="3535">
        <v>129.02909278773711</v>
      </c>
      <c r="AM331" s="3535">
        <v>47.624031085850326</v>
      </c>
      <c r="AN331" s="3535">
        <v>78.837253275403825</v>
      </c>
      <c r="AO331" s="3535">
        <v>140.32913712700872</v>
      </c>
      <c r="AP331" s="3535">
        <v>140.58775172658005</v>
      </c>
      <c r="AQ331" s="3535">
        <v>76.928391411230194</v>
      </c>
      <c r="AR331" s="3535">
        <v>144.1939806711089</v>
      </c>
      <c r="AS331" s="3535">
        <v>95.72437487484035</v>
      </c>
      <c r="AT331" s="3535">
        <v>141.00808905467164</v>
      </c>
      <c r="AU331" s="3535">
        <v>189.5308194904658</v>
      </c>
      <c r="AV331" s="3535">
        <v>168.01228679071383</v>
      </c>
      <c r="AW331" s="3535">
        <v>86.062188870675442</v>
      </c>
      <c r="AX331" s="3535">
        <v>118.98921893550937</v>
      </c>
      <c r="AY331" s="3535">
        <v>100.78199052132702</v>
      </c>
      <c r="AZ331" s="3535">
        <v>93.520447267191955</v>
      </c>
      <c r="BA331" s="3535">
        <v>125.77552836599982</v>
      </c>
      <c r="BB331" s="3535">
        <v>186.66826616393138</v>
      </c>
      <c r="BC331" s="3535">
        <v>158.15101440747696</v>
      </c>
      <c r="BD331" s="3535">
        <v>165.96305335559049</v>
      </c>
      <c r="BE331" s="3535">
        <v>211.03048976945396</v>
      </c>
      <c r="BF331" s="3535">
        <v>220.97347809687909</v>
      </c>
      <c r="BG331" s="3535">
        <v>216.87735057371569</v>
      </c>
      <c r="BH331" s="3535">
        <v>166.31698691545157</v>
      </c>
      <c r="BI331" s="3535">
        <v>99.402210029005886</v>
      </c>
      <c r="BJ331" s="3535">
        <v>96.46169205864264</v>
      </c>
      <c r="BK331" s="3535">
        <v>101.30029608245606</v>
      </c>
      <c r="BL331" s="3535">
        <v>111.95970332913723</v>
      </c>
      <c r="BM331" s="3535">
        <v>101.79164210496367</v>
      </c>
      <c r="BN331" s="3535">
        <v>86.8491443066805</v>
      </c>
      <c r="BO331" s="3535">
        <v>181.13512956724452</v>
      </c>
      <c r="BP331" s="3535">
        <v>101.38714510723626</v>
      </c>
      <c r="BQ331" s="3535">
        <v>167.28800080236741</v>
      </c>
      <c r="BR331" s="3535">
        <v>106.46566739397187</v>
      </c>
      <c r="BS331" s="3535">
        <v>314.59770086539027</v>
      </c>
      <c r="BT331" s="3535">
        <v>69.198521832535135</v>
      </c>
      <c r="BU331" s="3535">
        <v>217.73003943811244</v>
      </c>
      <c r="BV331" s="3535">
        <v>128.19841789713377</v>
      </c>
      <c r="BW331" s="3535">
        <v>290.68221044168064</v>
      </c>
      <c r="BX331" s="3535">
        <v>73.827299352920519</v>
      </c>
      <c r="BY331" s="3535">
        <v>110.37070751219758</v>
      </c>
      <c r="BZ331" s="3535">
        <v>122.23085143519442</v>
      </c>
      <c r="CA331" s="3535">
        <v>181.99643179123208</v>
      </c>
      <c r="CB331" s="3535">
        <v>196.39161867802051</v>
      </c>
      <c r="CC331" s="3535">
        <v>85.90510265714164</v>
      </c>
      <c r="CD331" s="3535">
        <v>69.77347410798798</v>
      </c>
      <c r="CE331" s="3535">
        <v>383.30119982950652</v>
      </c>
      <c r="CF331" s="3535">
        <v>37.101355589540368</v>
      </c>
      <c r="CG331" s="3535">
        <v>120.94524213666953</v>
      </c>
      <c r="CH331" s="3535">
        <v>134.34786526172454</v>
      </c>
      <c r="CI331" s="3535">
        <v>94.480232371373091</v>
      </c>
      <c r="CJ331" s="2978">
        <v>124.93316804669956</v>
      </c>
    </row>
    <row r="332" spans="1:88">
      <c r="A332" s="53">
        <v>2020.11</v>
      </c>
      <c r="B332" s="615">
        <v>121.63746716478752</v>
      </c>
      <c r="C332" s="3535">
        <v>121.188075574208</v>
      </c>
      <c r="D332" s="358">
        <v>119.220544504439</v>
      </c>
      <c r="E332" s="615">
        <v>138.41444969538819</v>
      </c>
      <c r="F332" s="1215">
        <v>112.76626337548963</v>
      </c>
      <c r="G332" s="1215">
        <v>253.05327238389833</v>
      </c>
      <c r="H332" s="1215">
        <v>137.92455312085025</v>
      </c>
      <c r="I332" s="1215">
        <v>174.42015998117625</v>
      </c>
      <c r="J332" s="1215">
        <v>135.52420761085233</v>
      </c>
      <c r="K332" s="1215">
        <v>109.47172070877362</v>
      </c>
      <c r="L332" s="1215">
        <v>125.58003077766668</v>
      </c>
      <c r="M332" s="1215">
        <v>107.77523012353421</v>
      </c>
      <c r="N332" s="1215">
        <v>97.550860798656217</v>
      </c>
      <c r="O332" s="1215">
        <v>109.3735943466811</v>
      </c>
      <c r="P332" s="1215">
        <v>167.72683563225331</v>
      </c>
      <c r="Q332" s="1215">
        <v>152.726915762917</v>
      </c>
      <c r="R332" s="2661">
        <v>186.81830747370884</v>
      </c>
      <c r="S332" s="3535">
        <v>55.056281297443405</v>
      </c>
      <c r="T332" s="3535">
        <v>0</v>
      </c>
      <c r="U332" s="3535">
        <v>81.478112786720672</v>
      </c>
      <c r="V332" s="3535">
        <v>76.184926560787588</v>
      </c>
      <c r="W332" s="3535">
        <v>10.517278654180759</v>
      </c>
      <c r="X332" s="3535">
        <v>104.25220925457945</v>
      </c>
      <c r="Y332" s="3535">
        <v>80.332942304610853</v>
      </c>
      <c r="Z332" s="3535">
        <v>71.833907917036214</v>
      </c>
      <c r="AA332" s="3535">
        <v>67.121624986640114</v>
      </c>
      <c r="AB332" s="3535">
        <v>66.395769573205385</v>
      </c>
      <c r="AC332" s="3535">
        <v>32.922014291596746</v>
      </c>
      <c r="AD332" s="3535">
        <v>107.06243962671127</v>
      </c>
      <c r="AE332" s="3535">
        <v>114.62386501311047</v>
      </c>
      <c r="AF332" s="3535">
        <v>113.97281123468835</v>
      </c>
      <c r="AG332" s="3535">
        <v>115.19323218071577</v>
      </c>
      <c r="AH332" s="3535">
        <v>114.51099798426803</v>
      </c>
      <c r="AI332" s="3535">
        <v>91.622046150923893</v>
      </c>
      <c r="AJ332" s="3535">
        <v>122.66863796788579</v>
      </c>
      <c r="AK332" s="3535">
        <v>86.498674428263257</v>
      </c>
      <c r="AL332" s="3535">
        <v>103.02369201835791</v>
      </c>
      <c r="AM332" s="3535">
        <v>86.880475401476474</v>
      </c>
      <c r="AN332" s="3535">
        <v>77.247017124641317</v>
      </c>
      <c r="AO332" s="3535">
        <v>139.45747352272875</v>
      </c>
      <c r="AP332" s="3535">
        <v>142.32067694073774</v>
      </c>
      <c r="AQ332" s="3535">
        <v>80.107682232485473</v>
      </c>
      <c r="AR332" s="3535">
        <v>146.4250220305328</v>
      </c>
      <c r="AS332" s="3535">
        <v>103.11029157816466</v>
      </c>
      <c r="AT332" s="3535">
        <v>137.25586564790621</v>
      </c>
      <c r="AU332" s="3535">
        <v>189.46330757585437</v>
      </c>
      <c r="AV332" s="3535">
        <v>149.35204957038684</v>
      </c>
      <c r="AW332" s="3535">
        <v>91.301294330615008</v>
      </c>
      <c r="AX332" s="3535">
        <v>119.0858107166454</v>
      </c>
      <c r="AY332" s="3535">
        <v>106.54028436018956</v>
      </c>
      <c r="AZ332" s="3535">
        <v>87.305140534533734</v>
      </c>
      <c r="BA332" s="3535">
        <v>125.57371225817836</v>
      </c>
      <c r="BB332" s="3535">
        <v>194.0172376273469</v>
      </c>
      <c r="BC332" s="3535">
        <v>149.24750599377685</v>
      </c>
      <c r="BD332" s="3535">
        <v>176.6129362499392</v>
      </c>
      <c r="BE332" s="3535">
        <v>216.98974986668671</v>
      </c>
      <c r="BF332" s="3535">
        <v>191.6776650933835</v>
      </c>
      <c r="BG332" s="3535">
        <v>240.64854727941116</v>
      </c>
      <c r="BH332" s="3535">
        <v>178.87618743674733</v>
      </c>
      <c r="BI332" s="3535">
        <v>97.304553818516212</v>
      </c>
      <c r="BJ332" s="3535">
        <v>95.263507631440703</v>
      </c>
      <c r="BK332" s="3535">
        <v>103.28738011274993</v>
      </c>
      <c r="BL332" s="3535">
        <v>101.39868267258669</v>
      </c>
      <c r="BM332" s="3535">
        <v>101.58558684981567</v>
      </c>
      <c r="BN332" s="3535">
        <v>88.462648166832537</v>
      </c>
      <c r="BO332" s="3535">
        <v>180.91513641303686</v>
      </c>
      <c r="BP332" s="3535">
        <v>100.56169561255405</v>
      </c>
      <c r="BQ332" s="3535">
        <v>145.92901088136375</v>
      </c>
      <c r="BR332" s="3535">
        <v>109.74317725851928</v>
      </c>
      <c r="BS332" s="3535">
        <v>223.66643155590421</v>
      </c>
      <c r="BT332" s="3535">
        <v>68.81574774796475</v>
      </c>
      <c r="BU332" s="3535">
        <v>224.57931021277281</v>
      </c>
      <c r="BV332" s="3535">
        <v>139.34241284640464</v>
      </c>
      <c r="BW332" s="3535">
        <v>344.75060275804702</v>
      </c>
      <c r="BX332" s="3535">
        <v>75.933986222634459</v>
      </c>
      <c r="BY332" s="3535">
        <v>104.56975267074385</v>
      </c>
      <c r="BZ332" s="3535">
        <v>131.50461874938921</v>
      </c>
      <c r="CA332" s="3535">
        <v>207.22348011818639</v>
      </c>
      <c r="CB332" s="3535">
        <v>177.3410373979147</v>
      </c>
      <c r="CC332" s="3535">
        <v>91.814642265530253</v>
      </c>
      <c r="CD332" s="3535">
        <v>74.715396569907242</v>
      </c>
      <c r="CE332" s="3535">
        <v>436.2588321499029</v>
      </c>
      <c r="CF332" s="3535">
        <v>37.039653700109703</v>
      </c>
      <c r="CG332" s="3535">
        <v>110.78231209045292</v>
      </c>
      <c r="CH332" s="3535">
        <v>116.02211044124751</v>
      </c>
      <c r="CI332" s="3535">
        <v>92.685560586383303</v>
      </c>
      <c r="CJ332" s="2978">
        <v>121.63746716478748</v>
      </c>
    </row>
    <row r="333" spans="1:88">
      <c r="A333" s="53">
        <v>2020.12</v>
      </c>
      <c r="B333" s="615">
        <v>115.3045653308336</v>
      </c>
      <c r="C333" s="3535">
        <v>119.68835170343</v>
      </c>
      <c r="D333" s="358">
        <v>121.303543218426</v>
      </c>
      <c r="E333" s="615">
        <v>127.76929107064245</v>
      </c>
      <c r="F333" s="1215">
        <v>108.09029325158528</v>
      </c>
      <c r="G333" s="1215">
        <v>255.6122682077044</v>
      </c>
      <c r="H333" s="1215">
        <v>148.30695141947393</v>
      </c>
      <c r="I333" s="1215">
        <v>170.72140095324264</v>
      </c>
      <c r="J333" s="1215">
        <v>37.596787545714214</v>
      </c>
      <c r="K333" s="1215">
        <v>127.47865816656176</v>
      </c>
      <c r="L333" s="1215">
        <v>115.91739542677092</v>
      </c>
      <c r="M333" s="1215">
        <v>103.97944342767012</v>
      </c>
      <c r="N333" s="1215">
        <v>60.517777095545043</v>
      </c>
      <c r="O333" s="1215">
        <v>103.16130756746064</v>
      </c>
      <c r="P333" s="1215">
        <v>168.51920843646926</v>
      </c>
      <c r="Q333" s="1215">
        <v>134.95242119031343</v>
      </c>
      <c r="R333" s="2661">
        <v>205.25470847921599</v>
      </c>
      <c r="S333" s="3535">
        <v>47.818829789454291</v>
      </c>
      <c r="T333" s="3535">
        <v>0</v>
      </c>
      <c r="U333" s="3535">
        <v>70.76736595893334</v>
      </c>
      <c r="V333" s="3535">
        <v>66.083074419060878</v>
      </c>
      <c r="W333" s="3535">
        <v>19.293751879745656</v>
      </c>
      <c r="X333" s="3535">
        <v>78.840732472804063</v>
      </c>
      <c r="Y333" s="3535">
        <v>71.562358127083414</v>
      </c>
      <c r="Z333" s="3535">
        <v>64.592938144788263</v>
      </c>
      <c r="AA333" s="3535">
        <v>82.130994036887728</v>
      </c>
      <c r="AB333" s="3535">
        <v>90.5018348582079</v>
      </c>
      <c r="AC333" s="3535">
        <v>35.99795679053949</v>
      </c>
      <c r="AD333" s="3535">
        <v>96.282311964770003</v>
      </c>
      <c r="AE333" s="3535">
        <v>103.26207725994266</v>
      </c>
      <c r="AF333" s="3535">
        <v>97.999177802754474</v>
      </c>
      <c r="AG333" s="3535">
        <v>103.64357123469921</v>
      </c>
      <c r="AH333" s="3535">
        <v>106.43364865514707</v>
      </c>
      <c r="AI333" s="3535">
        <v>99.793144761429872</v>
      </c>
      <c r="AJ333" s="3535">
        <v>140.1950408048971</v>
      </c>
      <c r="AK333" s="3535">
        <v>92.352638320624834</v>
      </c>
      <c r="AL333" s="3535">
        <v>119.14011827214044</v>
      </c>
      <c r="AM333" s="3535">
        <v>56.305929653849077</v>
      </c>
      <c r="AN333" s="3535">
        <v>82.690587722503835</v>
      </c>
      <c r="AO333" s="3535">
        <v>130.99954834394134</v>
      </c>
      <c r="AP333" s="3535">
        <v>136.83428468328771</v>
      </c>
      <c r="AQ333" s="3535">
        <v>86.079011580360302</v>
      </c>
      <c r="AR333" s="3535">
        <v>134.83161564868678</v>
      </c>
      <c r="AS333" s="3535">
        <v>102.07140733083264</v>
      </c>
      <c r="AT333" s="3535">
        <v>133.26151068095925</v>
      </c>
      <c r="AU333" s="3535">
        <v>174.59187852362786</v>
      </c>
      <c r="AV333" s="3535">
        <v>137.29055055758599</v>
      </c>
      <c r="AW333" s="3535">
        <v>78.190152431490887</v>
      </c>
      <c r="AX333" s="3535">
        <v>107.04203667813886</v>
      </c>
      <c r="AY333" s="3535">
        <v>98.021327014218002</v>
      </c>
      <c r="AZ333" s="3535">
        <v>81.949988633577746</v>
      </c>
      <c r="BA333" s="3535">
        <v>111.99233135101711</v>
      </c>
      <c r="BB333" s="3535">
        <v>182.20616474816251</v>
      </c>
      <c r="BC333" s="3535">
        <v>164.66627406973848</v>
      </c>
      <c r="BD333" s="3535">
        <v>166.16957249701161</v>
      </c>
      <c r="BE333" s="3535">
        <v>191.32356315452429</v>
      </c>
      <c r="BF333" s="3535">
        <v>196.16334973709942</v>
      </c>
      <c r="BG333" s="3535">
        <v>215.12496809053019</v>
      </c>
      <c r="BH333" s="3535">
        <v>171.14937938852574</v>
      </c>
      <c r="BI333" s="3535">
        <v>96.677425070116456</v>
      </c>
      <c r="BJ333" s="3535">
        <v>95.132666217910739</v>
      </c>
      <c r="BK333" s="3535">
        <v>104.20363809449583</v>
      </c>
      <c r="BL333" s="3535">
        <v>96.805668397913323</v>
      </c>
      <c r="BM333" s="3535">
        <v>91.970908224881882</v>
      </c>
      <c r="BN333" s="3535">
        <v>79.520984102670795</v>
      </c>
      <c r="BO333" s="3535">
        <v>180.51693291054042</v>
      </c>
      <c r="BP333" s="3535">
        <v>90.078801280353034</v>
      </c>
      <c r="BQ333" s="3535">
        <v>159.91433261453156</v>
      </c>
      <c r="BR333" s="3535">
        <v>126.31544268725109</v>
      </c>
      <c r="BS333" s="3535">
        <v>264.40284927475278</v>
      </c>
      <c r="BT333" s="3535">
        <v>62.059341163787927</v>
      </c>
      <c r="BU333" s="3535">
        <v>208.32379514348105</v>
      </c>
      <c r="BV333" s="3535">
        <v>121.60613373277037</v>
      </c>
      <c r="BW333" s="3535">
        <v>245.40842663271866</v>
      </c>
      <c r="BX333" s="3535">
        <v>83.264294135399837</v>
      </c>
      <c r="BY333" s="3535">
        <v>100.93469183012667</v>
      </c>
      <c r="BZ333" s="3535">
        <v>116.34413764325313</v>
      </c>
      <c r="CA333" s="3535">
        <v>187.44112461719189</v>
      </c>
      <c r="CB333" s="3535">
        <v>134.04133750872299</v>
      </c>
      <c r="CC333" s="3535">
        <v>82.41156160282948</v>
      </c>
      <c r="CD333" s="3535">
        <v>69.338415587011767</v>
      </c>
      <c r="CE333" s="3535">
        <v>371.0102772038523</v>
      </c>
      <c r="CF333" s="3535">
        <v>37.901773759741104</v>
      </c>
      <c r="CG333" s="3535">
        <v>102.88522893519989</v>
      </c>
      <c r="CH333" s="3535">
        <v>98.993377387637452</v>
      </c>
      <c r="CI333" s="3535">
        <v>99.250633702247654</v>
      </c>
      <c r="CJ333" s="2978">
        <v>115.30456533083364</v>
      </c>
    </row>
    <row r="334" spans="1:88">
      <c r="A334" s="53">
        <f>A322+1</f>
        <v>2021.01</v>
      </c>
      <c r="B334" s="615">
        <v>111.77271865397569</v>
      </c>
      <c r="C334" s="3535">
        <v>128.71686496866701</v>
      </c>
      <c r="D334" s="358">
        <v>122.88662256999601</v>
      </c>
      <c r="E334" s="615">
        <v>137.57433212438934</v>
      </c>
      <c r="F334" s="1215">
        <v>91.658780756979581</v>
      </c>
      <c r="G334" s="1215">
        <v>230.06143572327016</v>
      </c>
      <c r="H334" s="1215">
        <v>142.04485082172599</v>
      </c>
      <c r="I334" s="1215">
        <v>159.43302721613571</v>
      </c>
      <c r="J334" s="1215">
        <v>149.36170295048973</v>
      </c>
      <c r="K334" s="1215">
        <v>143.68790244009372</v>
      </c>
      <c r="L334" s="1215">
        <v>129.77810003806147</v>
      </c>
      <c r="M334" s="1215">
        <v>113.06703843024201</v>
      </c>
      <c r="N334" s="1215">
        <v>39.2270251849896</v>
      </c>
      <c r="O334" s="1215">
        <v>105.7004198131139</v>
      </c>
      <c r="P334" s="1215">
        <v>166.05801226153585</v>
      </c>
      <c r="Q334" s="1215">
        <v>120.66163253602231</v>
      </c>
      <c r="R334" s="2661">
        <v>201.70280419393771</v>
      </c>
      <c r="S334" s="3535">
        <v>87.717784710067804</v>
      </c>
      <c r="T334" s="3535">
        <v>119.28472379628465</v>
      </c>
      <c r="U334" s="3535">
        <v>72.568625967175507</v>
      </c>
      <c r="V334" s="3535">
        <v>55.675821902074503</v>
      </c>
      <c r="W334" s="3535">
        <v>8.4699257593052142</v>
      </c>
      <c r="X334" s="3535">
        <v>84.43626843806247</v>
      </c>
      <c r="Y334" s="3535">
        <v>55.342357048578265</v>
      </c>
      <c r="Z334" s="3535">
        <v>50.912103278229431</v>
      </c>
      <c r="AA334" s="3535">
        <v>56.7787545244055</v>
      </c>
      <c r="AB334" s="3535">
        <v>58.016402787312501</v>
      </c>
      <c r="AC334" s="3535">
        <v>33.378811434967027</v>
      </c>
      <c r="AD334" s="3535">
        <v>76.738258787645307</v>
      </c>
      <c r="AE334" s="3535">
        <v>104.2275529824085</v>
      </c>
      <c r="AF334" s="3535">
        <v>101.28308374553076</v>
      </c>
      <c r="AG334" s="3535">
        <v>102.05758011817528</v>
      </c>
      <c r="AH334" s="3535">
        <v>108.30795427225617</v>
      </c>
      <c r="AI334" s="3535">
        <v>106.59139381888794</v>
      </c>
      <c r="AJ334" s="3535">
        <v>149.37560844005026</v>
      </c>
      <c r="AK334" s="3535">
        <v>102.3885357241676</v>
      </c>
      <c r="AL334" s="3535">
        <v>119.46234140512877</v>
      </c>
      <c r="AM334" s="3535">
        <v>38.862843140142068</v>
      </c>
      <c r="AN334" s="3535">
        <v>86.171683348921221</v>
      </c>
      <c r="AO334" s="3535">
        <v>131.48426372588634</v>
      </c>
      <c r="AP334" s="3535">
        <v>132.76104736706807</v>
      </c>
      <c r="AQ334" s="3535">
        <v>77.028284403988962</v>
      </c>
      <c r="AR334" s="3535">
        <v>119.07777971684001</v>
      </c>
      <c r="AS334" s="3535">
        <v>91.487131743003516</v>
      </c>
      <c r="AT334" s="3535">
        <v>107.49257839634379</v>
      </c>
      <c r="AU334" s="3535">
        <v>185.19629557807389</v>
      </c>
      <c r="AV334" s="3535">
        <v>157.8278280134638</v>
      </c>
      <c r="AW334" s="3535">
        <v>85.430348063154995</v>
      </c>
      <c r="AX334" s="3535">
        <v>112.07163743881951</v>
      </c>
      <c r="AY334" s="3535">
        <v>106.56398104265404</v>
      </c>
      <c r="AZ334" s="3535">
        <v>75.215585430133245</v>
      </c>
      <c r="BA334" s="3535">
        <v>117.83585217834982</v>
      </c>
      <c r="BB334" s="3535">
        <v>175.41382420665749</v>
      </c>
      <c r="BC334" s="3535">
        <v>145.57911450479875</v>
      </c>
      <c r="BD334" s="3535">
        <v>170.95990111803334</v>
      </c>
      <c r="BE334" s="3535">
        <v>174.39844325250857</v>
      </c>
      <c r="BF334" s="3535">
        <v>177.96530680196082</v>
      </c>
      <c r="BG334" s="3535">
        <v>220.41710737815893</v>
      </c>
      <c r="BH334" s="3535">
        <v>169.95447191925342</v>
      </c>
      <c r="BI334" s="3535">
        <v>99.207323040461176</v>
      </c>
      <c r="BJ334" s="3535">
        <v>99.582204428466895</v>
      </c>
      <c r="BK334" s="3535">
        <v>107.91290905339459</v>
      </c>
      <c r="BL334" s="3535">
        <v>88.74162921422915</v>
      </c>
      <c r="BM334" s="3535">
        <v>93.031681794026142</v>
      </c>
      <c r="BN334" s="3535">
        <v>83.479895054367475</v>
      </c>
      <c r="BO334" s="3535">
        <v>202.34112916629931</v>
      </c>
      <c r="BP334" s="3535">
        <v>88.712451843792707</v>
      </c>
      <c r="BQ334" s="3535">
        <v>108.64832916851773</v>
      </c>
      <c r="BR334" s="3535">
        <v>76.861360748486902</v>
      </c>
      <c r="BS334" s="3535">
        <v>165.10161549287469</v>
      </c>
      <c r="BT334" s="3535">
        <v>58.586201758247512</v>
      </c>
      <c r="BU334" s="3535">
        <v>174.39699501783389</v>
      </c>
      <c r="BV334" s="3535">
        <v>95.074984790116616</v>
      </c>
      <c r="BW334" s="3535">
        <v>184.30985074463726</v>
      </c>
      <c r="BX334" s="3535">
        <v>60.45674383777768</v>
      </c>
      <c r="BY334" s="3535">
        <v>96.214118328220223</v>
      </c>
      <c r="BZ334" s="3535">
        <v>88.419485754492499</v>
      </c>
      <c r="CA334" s="3535">
        <v>138.03655798148705</v>
      </c>
      <c r="CB334" s="3535">
        <v>98.003008654513266</v>
      </c>
      <c r="CC334" s="3535">
        <v>65.102776495013188</v>
      </c>
      <c r="CD334" s="3535">
        <v>60.841220424292608</v>
      </c>
      <c r="CE334" s="3535">
        <v>370.96023606709315</v>
      </c>
      <c r="CF334" s="3535">
        <v>28.524316997048217</v>
      </c>
      <c r="CG334" s="3535">
        <v>87.002035018392263</v>
      </c>
      <c r="CH334" s="3535">
        <v>78.460232757026944</v>
      </c>
      <c r="CI334" s="3535">
        <v>81.098421181048437</v>
      </c>
      <c r="CJ334" s="2978">
        <v>111.77271865397569</v>
      </c>
    </row>
    <row r="335" spans="1:88">
      <c r="A335" s="53">
        <f t="shared" ref="A335:A398" si="0">A323+1</f>
        <v>2021.02</v>
      </c>
      <c r="B335" s="615">
        <v>107.75378473233181</v>
      </c>
      <c r="C335" s="3535">
        <v>124.12002036976</v>
      </c>
      <c r="D335" s="358">
        <v>124.021745819359</v>
      </c>
      <c r="E335" s="615">
        <v>130.0444462580827</v>
      </c>
      <c r="F335" s="1215">
        <v>90.922916947881433</v>
      </c>
      <c r="G335" s="1215">
        <v>217.66768098734403</v>
      </c>
      <c r="H335" s="1215">
        <v>129.32634753402078</v>
      </c>
      <c r="I335" s="1215">
        <v>168.14060188899043</v>
      </c>
      <c r="J335" s="1215">
        <v>134.15704532159046</v>
      </c>
      <c r="K335" s="1215">
        <v>122.81488933144007</v>
      </c>
      <c r="L335" s="1215">
        <v>143.51248570480067</v>
      </c>
      <c r="M335" s="1215">
        <v>115.36378105210981</v>
      </c>
      <c r="N335" s="1215">
        <v>63.505799127342833</v>
      </c>
      <c r="O335" s="1215">
        <v>121.12521021121177</v>
      </c>
      <c r="P335" s="1215">
        <v>144.82268399097993</v>
      </c>
      <c r="Q335" s="1215">
        <v>117.33602418044269</v>
      </c>
      <c r="R335" s="2661">
        <v>173.17009288958849</v>
      </c>
      <c r="S335" s="3535">
        <v>106.5851328609818</v>
      </c>
      <c r="T335" s="3535">
        <v>169.55609779204852</v>
      </c>
      <c r="U335" s="3535">
        <v>76.364998392817228</v>
      </c>
      <c r="V335" s="3535">
        <v>67.018376381694992</v>
      </c>
      <c r="W335" s="3535">
        <v>16.587439638143621</v>
      </c>
      <c r="X335" s="3535">
        <v>99.247463293460896</v>
      </c>
      <c r="Y335" s="3535">
        <v>76.95611909202448</v>
      </c>
      <c r="Z335" s="3535">
        <v>52.469833323631185</v>
      </c>
      <c r="AA335" s="3535">
        <v>64.28532182668576</v>
      </c>
      <c r="AB335" s="3535">
        <v>64.424259557731105</v>
      </c>
      <c r="AC335" s="3535">
        <v>37.293655014912815</v>
      </c>
      <c r="AD335" s="3535">
        <v>92.783822591215525</v>
      </c>
      <c r="AE335" s="3535">
        <v>97.644097948629081</v>
      </c>
      <c r="AF335" s="3535">
        <v>87.005722542599045</v>
      </c>
      <c r="AG335" s="3535">
        <v>100.07323098986443</v>
      </c>
      <c r="AH335" s="3535">
        <v>102.45095988224678</v>
      </c>
      <c r="AI335" s="3535">
        <v>94.292768092918237</v>
      </c>
      <c r="AJ335" s="3535">
        <v>142.02815497372112</v>
      </c>
      <c r="AK335" s="3535">
        <v>89.466244181616332</v>
      </c>
      <c r="AL335" s="3535">
        <v>82.787705428796698</v>
      </c>
      <c r="AM335" s="3535">
        <v>59.013411740271323</v>
      </c>
      <c r="AN335" s="3535">
        <v>74.000814484801467</v>
      </c>
      <c r="AO335" s="3535">
        <v>119.66761472864567</v>
      </c>
      <c r="AP335" s="3535">
        <v>125.88354879778012</v>
      </c>
      <c r="AQ335" s="3535">
        <v>50.610457601841304</v>
      </c>
      <c r="AR335" s="3535">
        <v>88.29716456425578</v>
      </c>
      <c r="AS335" s="3535">
        <v>57.651097161326895</v>
      </c>
      <c r="AT335" s="3535">
        <v>109.79485728961728</v>
      </c>
      <c r="AU335" s="3535">
        <v>172.79386613644112</v>
      </c>
      <c r="AV335" s="3535">
        <v>150.86027955358429</v>
      </c>
      <c r="AW335" s="3535">
        <v>140.94958017112589</v>
      </c>
      <c r="AX335" s="3535">
        <v>98.276693638118132</v>
      </c>
      <c r="AY335" s="3535">
        <v>63.088909952606627</v>
      </c>
      <c r="AZ335" s="3535">
        <v>70.392309528300615</v>
      </c>
      <c r="BA335" s="3535">
        <v>108.67561471979212</v>
      </c>
      <c r="BB335" s="3535">
        <v>158.21662298176796</v>
      </c>
      <c r="BC335" s="3535">
        <v>130.77651841377178</v>
      </c>
      <c r="BD335" s="3535">
        <v>157.09588149300905</v>
      </c>
      <c r="BE335" s="3535">
        <v>156.76741447362636</v>
      </c>
      <c r="BF335" s="3535">
        <v>170.84031668002882</v>
      </c>
      <c r="BG335" s="3535">
        <v>196.982076911815</v>
      </c>
      <c r="BH335" s="3535">
        <v>150.57748167307551</v>
      </c>
      <c r="BI335" s="3535">
        <v>90.924427362653049</v>
      </c>
      <c r="BJ335" s="3535">
        <v>85.730372907245098</v>
      </c>
      <c r="BK335" s="3535">
        <v>96.10321330818482</v>
      </c>
      <c r="BL335" s="3535">
        <v>111.29650060664105</v>
      </c>
      <c r="BM335" s="3535">
        <v>91.982806004437592</v>
      </c>
      <c r="BN335" s="3535">
        <v>77.055276538270761</v>
      </c>
      <c r="BO335" s="3535">
        <v>179.92713305542105</v>
      </c>
      <c r="BP335" s="3535">
        <v>90.977114801540864</v>
      </c>
      <c r="BQ335" s="3535">
        <v>124.99066410349191</v>
      </c>
      <c r="BR335" s="3535">
        <v>69.780435661705354</v>
      </c>
      <c r="BS335" s="3535">
        <v>223.40333337804384</v>
      </c>
      <c r="BT335" s="3535">
        <v>63.509363601646015</v>
      </c>
      <c r="BU335" s="3535">
        <v>199.41477749524356</v>
      </c>
      <c r="BV335" s="3535">
        <v>111.7035464142123</v>
      </c>
      <c r="BW335" s="3535">
        <v>265.1745707454325</v>
      </c>
      <c r="BX335" s="3535">
        <v>61.099040065112483</v>
      </c>
      <c r="BY335" s="3535">
        <v>93.140200725296793</v>
      </c>
      <c r="BZ335" s="3535">
        <v>100.83667783780032</v>
      </c>
      <c r="CA335" s="3535">
        <v>146.92141798575562</v>
      </c>
      <c r="CB335" s="3535">
        <v>158.20851653451422</v>
      </c>
      <c r="CC335" s="3535">
        <v>72.801576564577587</v>
      </c>
      <c r="CD335" s="3535">
        <v>60.115564203218582</v>
      </c>
      <c r="CE335" s="3535">
        <v>320.78327792316713</v>
      </c>
      <c r="CF335" s="3535">
        <v>32.951885402589944</v>
      </c>
      <c r="CG335" s="3535">
        <v>83.60785214854927</v>
      </c>
      <c r="CH335" s="3535">
        <v>86.530908729593591</v>
      </c>
      <c r="CI335" s="3535">
        <v>58.430479972670383</v>
      </c>
      <c r="CJ335" s="2978">
        <v>107.75378473233188</v>
      </c>
    </row>
    <row r="336" spans="1:88">
      <c r="A336" s="53">
        <f t="shared" si="0"/>
        <v>2021.03</v>
      </c>
      <c r="B336" s="615">
        <v>131.64720668610988</v>
      </c>
      <c r="C336" s="3535">
        <v>125.669578711338</v>
      </c>
      <c r="D336" s="358">
        <v>124.805102992025</v>
      </c>
      <c r="E336" s="615">
        <v>150.52192345221209</v>
      </c>
      <c r="F336" s="1215">
        <v>106.75956812399028</v>
      </c>
      <c r="G336" s="1215">
        <v>273.52939938285436</v>
      </c>
      <c r="H336" s="1215">
        <v>147.03811390310364</v>
      </c>
      <c r="I336" s="1215">
        <v>205.36223433762578</v>
      </c>
      <c r="J336" s="1215">
        <v>166.73096734796385</v>
      </c>
      <c r="K336" s="1215">
        <v>136.51339389872928</v>
      </c>
      <c r="L336" s="1215">
        <v>180.91729140225638</v>
      </c>
      <c r="M336" s="1215">
        <v>137.20196885987781</v>
      </c>
      <c r="N336" s="1215">
        <v>86.403818419409333</v>
      </c>
      <c r="O336" s="1215">
        <v>165.91438766736061</v>
      </c>
      <c r="P336" s="1215">
        <v>151.45450249157267</v>
      </c>
      <c r="Q336" s="1215">
        <v>131.72396794586905</v>
      </c>
      <c r="R336" s="2661">
        <v>184.99872818111066</v>
      </c>
      <c r="S336" s="3535">
        <v>127.84312163849263</v>
      </c>
      <c r="T336" s="3535">
        <v>178.0115785992368</v>
      </c>
      <c r="U336" s="3535">
        <v>103.76698564353589</v>
      </c>
      <c r="V336" s="3535">
        <v>86.161077496051831</v>
      </c>
      <c r="W336" s="3535">
        <v>54.783578363824454</v>
      </c>
      <c r="X336" s="3535">
        <v>112.56702842889146</v>
      </c>
      <c r="Y336" s="3535">
        <v>96.518731894540963</v>
      </c>
      <c r="Z336" s="3535">
        <v>70.307368694352803</v>
      </c>
      <c r="AA336" s="3535">
        <v>88.719965457967604</v>
      </c>
      <c r="AB336" s="3535">
        <v>86.7292004333721</v>
      </c>
      <c r="AC336" s="3535">
        <v>44.858959177914734</v>
      </c>
      <c r="AD336" s="3535">
        <v>144.44718752778181</v>
      </c>
      <c r="AE336" s="3535">
        <v>113.06006762047311</v>
      </c>
      <c r="AF336" s="3535">
        <v>104.19975421758157</v>
      </c>
      <c r="AG336" s="3535">
        <v>110.09462478454159</v>
      </c>
      <c r="AH336" s="3535">
        <v>121.89004437801066</v>
      </c>
      <c r="AI336" s="3535">
        <v>107.05067642501527</v>
      </c>
      <c r="AJ336" s="3535">
        <v>151.55486699459937</v>
      </c>
      <c r="AK336" s="3535">
        <v>101.90460584084855</v>
      </c>
      <c r="AL336" s="3535">
        <v>86.031779268778266</v>
      </c>
      <c r="AM336" s="3535">
        <v>49.191144810526033</v>
      </c>
      <c r="AN336" s="3535">
        <v>91.320755059255774</v>
      </c>
      <c r="AO336" s="3535">
        <v>146.75718824489536</v>
      </c>
      <c r="AP336" s="3535">
        <v>149.41296708934811</v>
      </c>
      <c r="AQ336" s="3535">
        <v>84.197189608853563</v>
      </c>
      <c r="AR336" s="3535">
        <v>121.89719215124479</v>
      </c>
      <c r="AS336" s="3535">
        <v>101.06733028585968</v>
      </c>
      <c r="AT336" s="3535">
        <v>120.38297399511264</v>
      </c>
      <c r="AU336" s="3535">
        <v>195.19449589922829</v>
      </c>
      <c r="AV336" s="3535">
        <v>182.6449988723927</v>
      </c>
      <c r="AW336" s="3535">
        <v>142.98115416374378</v>
      </c>
      <c r="AX336" s="3535">
        <v>122.23709571297506</v>
      </c>
      <c r="AY336" s="3535">
        <v>117.95023696682465</v>
      </c>
      <c r="AZ336" s="3535">
        <v>107.47041797887077</v>
      </c>
      <c r="BA336" s="3535">
        <v>124.95145748362985</v>
      </c>
      <c r="BB336" s="3535">
        <v>186.81965859181085</v>
      </c>
      <c r="BC336" s="3535">
        <v>154.20355396202584</v>
      </c>
      <c r="BD336" s="3535">
        <v>189.97074429252854</v>
      </c>
      <c r="BE336" s="3535">
        <v>186.42575668785022</v>
      </c>
      <c r="BF336" s="3535">
        <v>190.93391005129337</v>
      </c>
      <c r="BG336" s="3535">
        <v>224.84239933210677</v>
      </c>
      <c r="BH336" s="3535">
        <v>178.77504855330241</v>
      </c>
      <c r="BI336" s="3535">
        <v>103.06839461537588</v>
      </c>
      <c r="BJ336" s="3535">
        <v>93.733623397682976</v>
      </c>
      <c r="BK336" s="3535">
        <v>113.46178621181561</v>
      </c>
      <c r="BL336" s="3535">
        <v>138.60513987551008</v>
      </c>
      <c r="BM336" s="3535">
        <v>111.24099562277711</v>
      </c>
      <c r="BN336" s="3535">
        <v>94.295929546524675</v>
      </c>
      <c r="BO336" s="3535">
        <v>211.02640825045836</v>
      </c>
      <c r="BP336" s="3535">
        <v>110.10250324673434</v>
      </c>
      <c r="BQ336" s="3535">
        <v>174.01461530168629</v>
      </c>
      <c r="BR336" s="3535">
        <v>105.2075404447022</v>
      </c>
      <c r="BS336" s="3535">
        <v>312.84306346066285</v>
      </c>
      <c r="BT336" s="3535">
        <v>79.250249058141137</v>
      </c>
      <c r="BU336" s="3535">
        <v>262.09630977832046</v>
      </c>
      <c r="BV336" s="3535">
        <v>146.29930694014919</v>
      </c>
      <c r="BW336" s="3535">
        <v>356.72416812269967</v>
      </c>
      <c r="BX336" s="3535">
        <v>78.610517530996404</v>
      </c>
      <c r="BY336" s="3535">
        <v>116.95265148375788</v>
      </c>
      <c r="BZ336" s="3535">
        <v>157.5202921044872</v>
      </c>
      <c r="CA336" s="3535">
        <v>262.90863953410178</v>
      </c>
      <c r="CB336" s="3535">
        <v>205.03320537773789</v>
      </c>
      <c r="CC336" s="3535">
        <v>104.42113491086162</v>
      </c>
      <c r="CD336" s="3535">
        <v>77.319093247512754</v>
      </c>
      <c r="CE336" s="3535">
        <v>417.96131657529639</v>
      </c>
      <c r="CF336" s="3535">
        <v>41.82142532248119</v>
      </c>
      <c r="CG336" s="3535">
        <v>111.5582704780047</v>
      </c>
      <c r="CH336" s="3535">
        <v>114.51397561108263</v>
      </c>
      <c r="CI336" s="3535">
        <v>89.706866073674959</v>
      </c>
      <c r="CJ336" s="2978">
        <v>131.64720668610994</v>
      </c>
    </row>
    <row r="337" spans="1:88">
      <c r="A337" s="53">
        <f t="shared" si="0"/>
        <v>2021.04</v>
      </c>
      <c r="B337" s="615">
        <v>125.52085964453052</v>
      </c>
      <c r="C337" s="3535">
        <v>122.71619063560399</v>
      </c>
      <c r="D337" s="358">
        <v>125.301822348549</v>
      </c>
      <c r="E337" s="615">
        <v>143.52364647290867</v>
      </c>
      <c r="F337" s="1215">
        <v>99.362811515273322</v>
      </c>
      <c r="G337" s="1215">
        <v>253.40149820585677</v>
      </c>
      <c r="H337" s="1215">
        <v>135.18790264461046</v>
      </c>
      <c r="I337" s="1215">
        <v>195.07841092518686</v>
      </c>
      <c r="J337" s="1215">
        <v>200.40253858376477</v>
      </c>
      <c r="K337" s="1215">
        <v>125.58601392268911</v>
      </c>
      <c r="L337" s="1215">
        <v>165.00014262329705</v>
      </c>
      <c r="M337" s="1215">
        <v>132.97262102291185</v>
      </c>
      <c r="N337" s="1215">
        <v>81.820254469993699</v>
      </c>
      <c r="O337" s="1215">
        <v>149.99103904827049</v>
      </c>
      <c r="P337" s="1215">
        <v>128.83998156027647</v>
      </c>
      <c r="Q337" s="1215">
        <v>135.77842359535336</v>
      </c>
      <c r="R337" s="2661">
        <v>159.9044409597372</v>
      </c>
      <c r="S337" s="3535">
        <v>120.70238541799969</v>
      </c>
      <c r="T337" s="3535">
        <v>172.40773955181237</v>
      </c>
      <c r="U337" s="3535">
        <v>95.88868347840932</v>
      </c>
      <c r="V337" s="3535">
        <v>92.551830996029722</v>
      </c>
      <c r="W337" s="3535">
        <v>139.59073219238354</v>
      </c>
      <c r="X337" s="3535">
        <v>110.05622967282883</v>
      </c>
      <c r="Y337" s="3535">
        <v>92.264968444816958</v>
      </c>
      <c r="Z337" s="3535">
        <v>73.984396910333444</v>
      </c>
      <c r="AA337" s="3535">
        <v>80.985024385814427</v>
      </c>
      <c r="AB337" s="3535">
        <v>77.561592214430789</v>
      </c>
      <c r="AC337" s="3535">
        <v>41.403114289322041</v>
      </c>
      <c r="AD337" s="3535">
        <v>138.18780640662467</v>
      </c>
      <c r="AE337" s="3535">
        <v>111.88408968991098</v>
      </c>
      <c r="AF337" s="3535">
        <v>110.32268908676852</v>
      </c>
      <c r="AG337" s="3535">
        <v>108.77268864752683</v>
      </c>
      <c r="AH337" s="3535">
        <v>115.94486123201838</v>
      </c>
      <c r="AI337" s="3535">
        <v>99.790755677066286</v>
      </c>
      <c r="AJ337" s="3535">
        <v>133.00764618028165</v>
      </c>
      <c r="AK337" s="3535">
        <v>94.717384673630519</v>
      </c>
      <c r="AL337" s="3535">
        <v>74.890768543536026</v>
      </c>
      <c r="AM337" s="3535">
        <v>62.591849419000248</v>
      </c>
      <c r="AN337" s="3535">
        <v>90.610135405585169</v>
      </c>
      <c r="AO337" s="3535">
        <v>143.44439802758907</v>
      </c>
      <c r="AP337" s="3535">
        <v>154.60874898099323</v>
      </c>
      <c r="AQ337" s="3535">
        <v>84.458607483412734</v>
      </c>
      <c r="AR337" s="3535">
        <v>109.15258029727238</v>
      </c>
      <c r="AS337" s="3535">
        <v>119.57791358724252</v>
      </c>
      <c r="AT337" s="3535">
        <v>109.36039364695975</v>
      </c>
      <c r="AU337" s="3535">
        <v>200.49754078156585</v>
      </c>
      <c r="AV337" s="3535">
        <v>165.75165986434223</v>
      </c>
      <c r="AW337" s="3535">
        <v>113.9167531644045</v>
      </c>
      <c r="AX337" s="3535">
        <v>111.1842589212125</v>
      </c>
      <c r="AY337" s="3535">
        <v>111.40995260663506</v>
      </c>
      <c r="AZ337" s="3535">
        <v>97.276968422619234</v>
      </c>
      <c r="BA337" s="3535">
        <v>112.9108925548274</v>
      </c>
      <c r="BB337" s="3535">
        <v>179.2347819990604</v>
      </c>
      <c r="BC337" s="3535">
        <v>155.43284778444905</v>
      </c>
      <c r="BD337" s="3535">
        <v>177.58397243683663</v>
      </c>
      <c r="BE337" s="3535">
        <v>180.03209112793039</v>
      </c>
      <c r="BF337" s="3535">
        <v>185.30483404116973</v>
      </c>
      <c r="BG337" s="3535">
        <v>213.60350443282456</v>
      </c>
      <c r="BH337" s="3535">
        <v>168.6758471208905</v>
      </c>
      <c r="BI337" s="3535">
        <v>99.76847326002526</v>
      </c>
      <c r="BJ337" s="3535">
        <v>91.094433099636845</v>
      </c>
      <c r="BK337" s="3535">
        <v>116.36889029041369</v>
      </c>
      <c r="BL337" s="3535">
        <v>125.91143288146414</v>
      </c>
      <c r="BM337" s="3535">
        <v>111.5722887711409</v>
      </c>
      <c r="BN337" s="3535">
        <v>92.489105505145915</v>
      </c>
      <c r="BO337" s="3535">
        <v>178.90455122972239</v>
      </c>
      <c r="BP337" s="3535">
        <v>113.41196799550826</v>
      </c>
      <c r="BQ337" s="3535">
        <v>168.68455897165188</v>
      </c>
      <c r="BR337" s="3535">
        <v>92.411214358401224</v>
      </c>
      <c r="BS337" s="3535">
        <v>331.98360169840646</v>
      </c>
      <c r="BT337" s="3535">
        <v>76.871658096023978</v>
      </c>
      <c r="BU337" s="3535">
        <v>227.14711518822145</v>
      </c>
      <c r="BV337" s="3535">
        <v>127.81603969265731</v>
      </c>
      <c r="BW337" s="3535">
        <v>309.71533061447491</v>
      </c>
      <c r="BX337" s="3535">
        <v>62.386500140017183</v>
      </c>
      <c r="BY337" s="3535">
        <v>118.33659410141213</v>
      </c>
      <c r="BZ337" s="3535">
        <v>123.84197058781169</v>
      </c>
      <c r="CA337" s="3535">
        <v>186.63075717237834</v>
      </c>
      <c r="CB337" s="3535">
        <v>189.67004310774072</v>
      </c>
      <c r="CC337" s="3535">
        <v>87.268875523448017</v>
      </c>
      <c r="CD337" s="3535">
        <v>76.309913862599842</v>
      </c>
      <c r="CE337" s="3535">
        <v>425.90109630719968</v>
      </c>
      <c r="CF337" s="3535">
        <v>39.879692198633364</v>
      </c>
      <c r="CG337" s="3535">
        <v>113.09744636486414</v>
      </c>
      <c r="CH337" s="3535">
        <v>106.50859527536528</v>
      </c>
      <c r="CI337" s="3535">
        <v>114.11594835310858</v>
      </c>
      <c r="CJ337" s="2978">
        <v>125.52085964453052</v>
      </c>
    </row>
    <row r="338" spans="1:88">
      <c r="A338" s="53">
        <f t="shared" si="0"/>
        <v>2021.05</v>
      </c>
      <c r="B338" s="615">
        <v>121.68405865362826</v>
      </c>
      <c r="C338" s="3535">
        <v>122.734421267503</v>
      </c>
      <c r="D338" s="358">
        <v>125.58037708257601</v>
      </c>
      <c r="E338" s="615">
        <v>141.01851678197335</v>
      </c>
      <c r="F338" s="1215">
        <v>90.234651648699867</v>
      </c>
      <c r="G338" s="1215">
        <v>237.99514932914551</v>
      </c>
      <c r="H338" s="1215">
        <v>117.50947563603187</v>
      </c>
      <c r="I338" s="1215">
        <v>195.22092217225108</v>
      </c>
      <c r="J338" s="1215">
        <v>201.1546582526656</v>
      </c>
      <c r="K338" s="1215">
        <v>139.35602698442008</v>
      </c>
      <c r="L338" s="1215">
        <v>158.02736943134948</v>
      </c>
      <c r="M338" s="1215">
        <v>136.15380376252301</v>
      </c>
      <c r="N338" s="1215">
        <v>90.067758900880847</v>
      </c>
      <c r="O338" s="1215">
        <v>144.10892333383384</v>
      </c>
      <c r="P338" s="1215">
        <v>110.45404663427642</v>
      </c>
      <c r="Q338" s="1215">
        <v>136.89187449833062</v>
      </c>
      <c r="R338" s="2661">
        <v>154.82873479013855</v>
      </c>
      <c r="S338" s="3535">
        <v>80.668419162743618</v>
      </c>
      <c r="T338" s="3535">
        <v>86.995878051425677</v>
      </c>
      <c r="U338" s="3535">
        <v>77.631834624662019</v>
      </c>
      <c r="V338" s="3535">
        <v>95.738290378444361</v>
      </c>
      <c r="W338" s="3535">
        <v>223.19952493935909</v>
      </c>
      <c r="X338" s="3535">
        <v>112.47044417030746</v>
      </c>
      <c r="Y338" s="3535">
        <v>86.064961902970325</v>
      </c>
      <c r="Z338" s="3535">
        <v>68.781694800711975</v>
      </c>
      <c r="AA338" s="3535">
        <v>74.167269492411961</v>
      </c>
      <c r="AB338" s="3535">
        <v>73.996363493957205</v>
      </c>
      <c r="AC338" s="3535">
        <v>39.088800540803405</v>
      </c>
      <c r="AD338" s="3535">
        <v>112.69735348738115</v>
      </c>
      <c r="AE338" s="3535">
        <v>108.05617839051979</v>
      </c>
      <c r="AF338" s="3535">
        <v>106.43565830099379</v>
      </c>
      <c r="AG338" s="3535">
        <v>109.61114025394934</v>
      </c>
      <c r="AH338" s="3535">
        <v>107.64195401459298</v>
      </c>
      <c r="AI338" s="3535">
        <v>103.88946186108612</v>
      </c>
      <c r="AJ338" s="3535">
        <v>128.22733062130135</v>
      </c>
      <c r="AK338" s="3535">
        <v>103.40588302389604</v>
      </c>
      <c r="AL338" s="3535">
        <v>103.64230354223602</v>
      </c>
      <c r="AM338" s="3535">
        <v>78.478535480741058</v>
      </c>
      <c r="AN338" s="3535">
        <v>90.709860527520149</v>
      </c>
      <c r="AO338" s="3535">
        <v>143.2495504496647</v>
      </c>
      <c r="AP338" s="3535">
        <v>182.5337424027681</v>
      </c>
      <c r="AQ338" s="3535">
        <v>84.348527478455523</v>
      </c>
      <c r="AR338" s="3535">
        <v>104.9817757550364</v>
      </c>
      <c r="AS338" s="3535">
        <v>117.68912251667794</v>
      </c>
      <c r="AT338" s="3535">
        <v>98.670640939436723</v>
      </c>
      <c r="AU338" s="3535">
        <v>195.1228720271308</v>
      </c>
      <c r="AV338" s="3535">
        <v>154.04555751580628</v>
      </c>
      <c r="AW338" s="3535">
        <v>157.36753685463069</v>
      </c>
      <c r="AX338" s="3535">
        <v>110.50005335028374</v>
      </c>
      <c r="AY338" s="3535">
        <v>108.09241706161137</v>
      </c>
      <c r="AZ338" s="3535">
        <v>94.042280438398549</v>
      </c>
      <c r="BA338" s="3535">
        <v>113.06394183030125</v>
      </c>
      <c r="BB338" s="3535">
        <v>166.27609085175698</v>
      </c>
      <c r="BC338" s="3535">
        <v>147.63673280647299</v>
      </c>
      <c r="BD338" s="3535">
        <v>173.05196433918709</v>
      </c>
      <c r="BE338" s="3535">
        <v>172.47623745515915</v>
      </c>
      <c r="BF338" s="3535">
        <v>178.46989735697306</v>
      </c>
      <c r="BG338" s="3535">
        <v>170.55452447468281</v>
      </c>
      <c r="BH338" s="3535">
        <v>159.52612482728674</v>
      </c>
      <c r="BI338" s="3535">
        <v>95.222420791532357</v>
      </c>
      <c r="BJ338" s="3535">
        <v>87.788167593232771</v>
      </c>
      <c r="BK338" s="3535">
        <v>114.91396967844922</v>
      </c>
      <c r="BL338" s="3535">
        <v>112.21547308830358</v>
      </c>
      <c r="BM338" s="3535">
        <v>105.20167555499469</v>
      </c>
      <c r="BN338" s="3535">
        <v>90.356475502960762</v>
      </c>
      <c r="BO338" s="3535">
        <v>173.90732353439</v>
      </c>
      <c r="BP338" s="3535">
        <v>105.5012733608238</v>
      </c>
      <c r="BQ338" s="3535">
        <v>159.8667920936895</v>
      </c>
      <c r="BR338" s="3535">
        <v>86.48442928333246</v>
      </c>
      <c r="BS338" s="3535">
        <v>321.25702164470044</v>
      </c>
      <c r="BT338" s="3535">
        <v>73.603992537045954</v>
      </c>
      <c r="BU338" s="3535">
        <v>204.34460963508755</v>
      </c>
      <c r="BV338" s="3535">
        <v>117.76396202500453</v>
      </c>
      <c r="BW338" s="3535">
        <v>250.00533109139749</v>
      </c>
      <c r="BX338" s="3535">
        <v>66.310738959296515</v>
      </c>
      <c r="BY338" s="3535">
        <v>119.79854252458847</v>
      </c>
      <c r="BZ338" s="3535">
        <v>129.91690016629198</v>
      </c>
      <c r="CA338" s="3535">
        <v>221.48684239492385</v>
      </c>
      <c r="CB338" s="3535">
        <v>173.62188164685793</v>
      </c>
      <c r="CC338" s="3535">
        <v>83.461342092611034</v>
      </c>
      <c r="CD338" s="3535">
        <v>70.445174249512746</v>
      </c>
      <c r="CE338" s="3535">
        <v>364.75404466984412</v>
      </c>
      <c r="CF338" s="3535">
        <v>39.775815508511478</v>
      </c>
      <c r="CG338" s="3535">
        <v>98.302999401533356</v>
      </c>
      <c r="CH338" s="3535">
        <v>95.825563107710479</v>
      </c>
      <c r="CI338" s="3535">
        <v>83.087509844309949</v>
      </c>
      <c r="CJ338" s="2978">
        <v>121.68405865362828</v>
      </c>
    </row>
    <row r="339" spans="1:88">
      <c r="A339" s="53">
        <f t="shared" si="0"/>
        <v>2021.06</v>
      </c>
      <c r="B339" s="615">
        <v>128.59837307531353</v>
      </c>
      <c r="C339" s="3535">
        <v>126.794226592906</v>
      </c>
      <c r="D339" s="358">
        <v>125.745024454125</v>
      </c>
      <c r="E339" s="615">
        <v>149.45064483240066</v>
      </c>
      <c r="F339" s="1215">
        <v>100.02180003536192</v>
      </c>
      <c r="G339" s="1215">
        <v>262.36878058434178</v>
      </c>
      <c r="H339" s="1215">
        <v>129.37581390839028</v>
      </c>
      <c r="I339" s="1215">
        <v>213.45969644384073</v>
      </c>
      <c r="J339" s="1215">
        <v>197.10536627383291</v>
      </c>
      <c r="K339" s="1215">
        <v>140.11088407747815</v>
      </c>
      <c r="L339" s="1215">
        <v>166.34482407002875</v>
      </c>
      <c r="M339" s="1215">
        <v>135.89882657387011</v>
      </c>
      <c r="N339" s="1215">
        <v>157.40302065285874</v>
      </c>
      <c r="O339" s="1215">
        <v>143.36740552253372</v>
      </c>
      <c r="P339" s="1215">
        <v>105.09616851751099</v>
      </c>
      <c r="Q339" s="1215">
        <v>154.22243373237038</v>
      </c>
      <c r="R339" s="2661">
        <v>174.87363273929017</v>
      </c>
      <c r="S339" s="3535">
        <v>66.271580230205771</v>
      </c>
      <c r="T339" s="3535">
        <v>17.699536824115729</v>
      </c>
      <c r="U339" s="3535">
        <v>89.581588020818486</v>
      </c>
      <c r="V339" s="3535">
        <v>106.00555077525306</v>
      </c>
      <c r="W339" s="3535">
        <v>327.76789698118699</v>
      </c>
      <c r="X339" s="3535">
        <v>108.03209677881719</v>
      </c>
      <c r="Y339" s="3535">
        <v>91.6434577322986</v>
      </c>
      <c r="Z339" s="3535">
        <v>71.008982914038057</v>
      </c>
      <c r="AA339" s="3535">
        <v>79.987013179788974</v>
      </c>
      <c r="AB339" s="3535">
        <v>76.960552040194244</v>
      </c>
      <c r="AC339" s="3535">
        <v>39.777771355918347</v>
      </c>
      <c r="AD339" s="3535">
        <v>136.17921499951635</v>
      </c>
      <c r="AE339" s="3535">
        <v>112.92344163871257</v>
      </c>
      <c r="AF339" s="3535">
        <v>111.82836448796557</v>
      </c>
      <c r="AG339" s="3535">
        <v>109.12158782589665</v>
      </c>
      <c r="AH339" s="3535">
        <v>117.33851147227277</v>
      </c>
      <c r="AI339" s="3535">
        <v>100.31606047923927</v>
      </c>
      <c r="AJ339" s="3535">
        <v>115.73227154876867</v>
      </c>
      <c r="AK339" s="3535">
        <v>99.977625742419036</v>
      </c>
      <c r="AL339" s="3535">
        <v>112.88010493920537</v>
      </c>
      <c r="AM339" s="3535">
        <v>64.187903859537087</v>
      </c>
      <c r="AN339" s="3535">
        <v>90.865698495874639</v>
      </c>
      <c r="AO339" s="3535">
        <v>144.98478882249901</v>
      </c>
      <c r="AP339" s="3535">
        <v>165.95473318310766</v>
      </c>
      <c r="AQ339" s="3535">
        <v>83.547636499628382</v>
      </c>
      <c r="AR339" s="3535">
        <v>117.15663794731276</v>
      </c>
      <c r="AS339" s="3535">
        <v>98.97323187100605</v>
      </c>
      <c r="AT339" s="3535">
        <v>111.82084821690017</v>
      </c>
      <c r="AU339" s="3535">
        <v>202.60999180803765</v>
      </c>
      <c r="AV339" s="3535">
        <v>161.61091718904478</v>
      </c>
      <c r="AW339" s="3535">
        <v>146.3405080867586</v>
      </c>
      <c r="AX339" s="3535">
        <v>117.34899172649547</v>
      </c>
      <c r="AY339" s="3535">
        <v>115.11848341232226</v>
      </c>
      <c r="AZ339" s="3535">
        <v>104.23700177992444</v>
      </c>
      <c r="BA339" s="3535">
        <v>119.45244652125284</v>
      </c>
      <c r="BB339" s="3535">
        <v>178.97638621496236</v>
      </c>
      <c r="BC339" s="3535">
        <v>155.98441770463774</v>
      </c>
      <c r="BD339" s="3535">
        <v>173.30670181189643</v>
      </c>
      <c r="BE339" s="3535">
        <v>184.04170727358925</v>
      </c>
      <c r="BF339" s="3535">
        <v>183.30733985076162</v>
      </c>
      <c r="BG339" s="3535">
        <v>211.13278634226126</v>
      </c>
      <c r="BH339" s="3535">
        <v>168.29297640237525</v>
      </c>
      <c r="BI339" s="3535">
        <v>100.63978766036797</v>
      </c>
      <c r="BJ339" s="3535">
        <v>92.993688567562003</v>
      </c>
      <c r="BK339" s="3535">
        <v>113.45785837289858</v>
      </c>
      <c r="BL339" s="3535">
        <v>125.4828736484103</v>
      </c>
      <c r="BM339" s="3535">
        <v>116.04364893983146</v>
      </c>
      <c r="BN339" s="3535">
        <v>97.014969330617092</v>
      </c>
      <c r="BO339" s="3535">
        <v>164.53349458084762</v>
      </c>
      <c r="BP339" s="3535">
        <v>119.17064067943024</v>
      </c>
      <c r="BQ339" s="3535">
        <v>165.37724274645129</v>
      </c>
      <c r="BR339" s="3535">
        <v>85.14121495805685</v>
      </c>
      <c r="BS339" s="3535">
        <v>330.3807992946322</v>
      </c>
      <c r="BT339" s="3535">
        <v>79.329451771820118</v>
      </c>
      <c r="BU339" s="3535">
        <v>224.33720070062685</v>
      </c>
      <c r="BV339" s="3535">
        <v>137.95530637463915</v>
      </c>
      <c r="BW339" s="3535">
        <v>317.73998402175226</v>
      </c>
      <c r="BX339" s="3535">
        <v>74.975285194001358</v>
      </c>
      <c r="BY339" s="3535">
        <v>124.70641268625465</v>
      </c>
      <c r="BZ339" s="3535">
        <v>147.91409697042198</v>
      </c>
      <c r="CA339" s="3535">
        <v>254.17127799336862</v>
      </c>
      <c r="CB339" s="3535">
        <v>203.98786440138832</v>
      </c>
      <c r="CC339" s="3535">
        <v>93.302187322947788</v>
      </c>
      <c r="CD339" s="3535">
        <v>102.72121951810986</v>
      </c>
      <c r="CE339" s="3535">
        <v>426.84583988488919</v>
      </c>
      <c r="CF339" s="3535">
        <v>68.944819083347838</v>
      </c>
      <c r="CG339" s="3535">
        <v>100.2063095202121</v>
      </c>
      <c r="CH339" s="3535">
        <v>96.57455020273153</v>
      </c>
      <c r="CI339" s="3535">
        <v>82.806114836509281</v>
      </c>
      <c r="CJ339" s="2978">
        <v>128.59837307531356</v>
      </c>
    </row>
    <row r="340" spans="1:88">
      <c r="A340" s="53">
        <f t="shared" si="0"/>
        <v>2021.07</v>
      </c>
      <c r="B340" s="615">
        <v>131.05026656085312</v>
      </c>
      <c r="C340" s="3535">
        <v>126.606098162528</v>
      </c>
      <c r="D340" s="358">
        <v>125.879469050251</v>
      </c>
      <c r="E340" s="615">
        <v>152.33239169937622</v>
      </c>
      <c r="F340" s="1215">
        <v>99.316417090769946</v>
      </c>
      <c r="G340" s="1215">
        <v>254.05260432601389</v>
      </c>
      <c r="H340" s="1215">
        <v>138.04192287312364</v>
      </c>
      <c r="I340" s="1215">
        <v>229.52388494589329</v>
      </c>
      <c r="J340" s="1215">
        <v>182.41765960376409</v>
      </c>
      <c r="K340" s="1215">
        <v>114.98047681724459</v>
      </c>
      <c r="L340" s="1215">
        <v>165.25838244541271</v>
      </c>
      <c r="M340" s="1215">
        <v>139.63528081545337</v>
      </c>
      <c r="N340" s="1215">
        <v>190.43963558695054</v>
      </c>
      <c r="O340" s="1215">
        <v>145.27742986654761</v>
      </c>
      <c r="P340" s="1215">
        <v>119.6315539371754</v>
      </c>
      <c r="Q340" s="1215">
        <v>146.11841888787964</v>
      </c>
      <c r="R340" s="2661">
        <v>201.4600459233896</v>
      </c>
      <c r="S340" s="3535">
        <v>56.01907833807357</v>
      </c>
      <c r="T340" s="3535">
        <v>2.8233151525586724</v>
      </c>
      <c r="U340" s="3535">
        <v>81.548036300885357</v>
      </c>
      <c r="V340" s="3535">
        <v>106.57792690437904</v>
      </c>
      <c r="W340" s="3535">
        <v>322.39459730230288</v>
      </c>
      <c r="X340" s="3535">
        <v>109.07175185364613</v>
      </c>
      <c r="Y340" s="3535">
        <v>92.15308621851149</v>
      </c>
      <c r="Z340" s="3535">
        <v>72.628039744023638</v>
      </c>
      <c r="AA340" s="3535">
        <v>87.211138039498863</v>
      </c>
      <c r="AB340" s="3535">
        <v>87.562158679903177</v>
      </c>
      <c r="AC340" s="3535">
        <v>42.14108339294598</v>
      </c>
      <c r="AD340" s="3535">
        <v>134.29155174487818</v>
      </c>
      <c r="AE340" s="3535">
        <v>116.52208257646457</v>
      </c>
      <c r="AF340" s="3535">
        <v>116.47250774528527</v>
      </c>
      <c r="AG340" s="3535">
        <v>117.58462351596762</v>
      </c>
      <c r="AH340" s="3535">
        <v>115.52741185394302</v>
      </c>
      <c r="AI340" s="3535">
        <v>105.34277328251991</v>
      </c>
      <c r="AJ340" s="3535">
        <v>136.73096408114688</v>
      </c>
      <c r="AK340" s="3535">
        <v>101.20021504461651</v>
      </c>
      <c r="AL340" s="3535">
        <v>87.746511569728639</v>
      </c>
      <c r="AM340" s="3535">
        <v>41.879466382302013</v>
      </c>
      <c r="AN340" s="3535">
        <v>96.086974955857144</v>
      </c>
      <c r="AO340" s="3535">
        <v>148.49125360088277</v>
      </c>
      <c r="AP340" s="3535">
        <v>163.84766413765453</v>
      </c>
      <c r="AQ340" s="3535">
        <v>87.740763870394318</v>
      </c>
      <c r="AR340" s="3535">
        <v>92.896772191435815</v>
      </c>
      <c r="AS340" s="3535">
        <v>110.01335467891897</v>
      </c>
      <c r="AT340" s="3535">
        <v>96.826367024492356</v>
      </c>
      <c r="AU340" s="3535">
        <v>216.07766481206073</v>
      </c>
      <c r="AV340" s="3535">
        <v>162.21860484394867</v>
      </c>
      <c r="AW340" s="3535">
        <v>167.06516929547456</v>
      </c>
      <c r="AX340" s="3535">
        <v>113.7643376929672</v>
      </c>
      <c r="AY340" s="3535">
        <v>123.35568720379146</v>
      </c>
      <c r="AZ340" s="3535">
        <v>93.667139429233089</v>
      </c>
      <c r="BA340" s="3535">
        <v>114.4560992946718</v>
      </c>
      <c r="BB340" s="3535">
        <v>188.91569816340458</v>
      </c>
      <c r="BC340" s="3535">
        <v>159.11973618893259</v>
      </c>
      <c r="BD340" s="3535">
        <v>177.26388732313362</v>
      </c>
      <c r="BE340" s="3535">
        <v>203.85378150051204</v>
      </c>
      <c r="BF340" s="3535">
        <v>198.77168459618915</v>
      </c>
      <c r="BG340" s="3535">
        <v>218.14994520956756</v>
      </c>
      <c r="BH340" s="3535">
        <v>180.61108976881806</v>
      </c>
      <c r="BI340" s="3535">
        <v>105.55248032688503</v>
      </c>
      <c r="BJ340" s="3535">
        <v>99.848970369521211</v>
      </c>
      <c r="BK340" s="3535">
        <v>118.73045923973943</v>
      </c>
      <c r="BL340" s="3535">
        <v>120.50083032591095</v>
      </c>
      <c r="BM340" s="3535">
        <v>112.9671896563531</v>
      </c>
      <c r="BN340" s="3535">
        <v>93.322524523446731</v>
      </c>
      <c r="BO340" s="3535">
        <v>162.08967975480232</v>
      </c>
      <c r="BP340" s="3535">
        <v>116.26034927240076</v>
      </c>
      <c r="BQ340" s="3535">
        <v>165.03491864029183</v>
      </c>
      <c r="BR340" s="3535">
        <v>94.266591352012014</v>
      </c>
      <c r="BS340" s="3535">
        <v>320.33097794429602</v>
      </c>
      <c r="BT340" s="3535">
        <v>81.035362544442663</v>
      </c>
      <c r="BU340" s="3535">
        <v>209.86254930908092</v>
      </c>
      <c r="BV340" s="3535">
        <v>136.58628661859549</v>
      </c>
      <c r="BW340" s="3535">
        <v>330.03880761822546</v>
      </c>
      <c r="BX340" s="3535">
        <v>68.41756094570664</v>
      </c>
      <c r="BY340" s="3535">
        <v>123.25075184949318</v>
      </c>
      <c r="BZ340" s="3535">
        <v>130.92872194467711</v>
      </c>
      <c r="CA340" s="3535">
        <v>208.87600460719716</v>
      </c>
      <c r="CB340" s="3535">
        <v>217.58168655506375</v>
      </c>
      <c r="CC340" s="3535">
        <v>84.877035985835647</v>
      </c>
      <c r="CD340" s="3535">
        <v>99.13370061960336</v>
      </c>
      <c r="CE340" s="3535">
        <v>339.15944408426105</v>
      </c>
      <c r="CF340" s="3535">
        <v>74.121081656132972</v>
      </c>
      <c r="CG340" s="3535">
        <v>115.46054042551002</v>
      </c>
      <c r="CH340" s="3535">
        <v>106.65806182480557</v>
      </c>
      <c r="CI340" s="3535">
        <v>117.66120410937685</v>
      </c>
      <c r="CJ340" s="2978">
        <v>131.05026656085323</v>
      </c>
    </row>
    <row r="341" spans="1:88">
      <c r="A341" s="53">
        <f t="shared" si="0"/>
        <v>2021.08</v>
      </c>
      <c r="B341" s="615">
        <v>132.9987929128236</v>
      </c>
      <c r="C341" s="3535">
        <v>125.352646210039</v>
      </c>
      <c r="D341" s="358">
        <v>126.079275847049</v>
      </c>
      <c r="E341" s="615">
        <v>155.33312403939058</v>
      </c>
      <c r="F341" s="1215">
        <v>106.48086433825598</v>
      </c>
      <c r="G341" s="1215">
        <v>261.85269995634178</v>
      </c>
      <c r="H341" s="1215">
        <v>135.74053908498723</v>
      </c>
      <c r="I341" s="1215">
        <v>225.0502854631778</v>
      </c>
      <c r="J341" s="1215">
        <v>169.04659855841092</v>
      </c>
      <c r="K341" s="1215">
        <v>136.91097314963474</v>
      </c>
      <c r="L341" s="1215">
        <v>157.88816108710986</v>
      </c>
      <c r="M341" s="1215">
        <v>139.77719312743218</v>
      </c>
      <c r="N341" s="1215">
        <v>184.47534929131379</v>
      </c>
      <c r="O341" s="1215">
        <v>137.7508691012747</v>
      </c>
      <c r="P341" s="1215">
        <v>144.19184049755967</v>
      </c>
      <c r="Q341" s="1215">
        <v>149.17481187116104</v>
      </c>
      <c r="R341" s="2661">
        <v>191.5069651786296</v>
      </c>
      <c r="S341" s="3535">
        <v>59.541539803967638</v>
      </c>
      <c r="T341" s="3535">
        <v>0</v>
      </c>
      <c r="U341" s="3535">
        <v>88.115873090541797</v>
      </c>
      <c r="V341" s="3535">
        <v>95.95148457041158</v>
      </c>
      <c r="W341" s="3535">
        <v>239.83847044373005</v>
      </c>
      <c r="X341" s="3535">
        <v>107.03589676814519</v>
      </c>
      <c r="Y341" s="3535">
        <v>89.593775260865655</v>
      </c>
      <c r="Z341" s="3535">
        <v>65.702474612044497</v>
      </c>
      <c r="AA341" s="3535">
        <v>90.129926124399276</v>
      </c>
      <c r="AB341" s="3535">
        <v>89.445592824880805</v>
      </c>
      <c r="AC341" s="3535">
        <v>44.915405441733455</v>
      </c>
      <c r="AD341" s="3535">
        <v>141.76504942824943</v>
      </c>
      <c r="AE341" s="3535">
        <v>117.73098872956106</v>
      </c>
      <c r="AF341" s="3535">
        <v>118.10531643384127</v>
      </c>
      <c r="AG341" s="3535">
        <v>118.84305213988067</v>
      </c>
      <c r="AH341" s="3535">
        <v>116.40321937666428</v>
      </c>
      <c r="AI341" s="3535">
        <v>108.88562751974013</v>
      </c>
      <c r="AJ341" s="3535">
        <v>147.34310789103574</v>
      </c>
      <c r="AK341" s="3535">
        <v>103.99494247120857</v>
      </c>
      <c r="AL341" s="3535">
        <v>83.617745133783515</v>
      </c>
      <c r="AM341" s="3535">
        <v>66.133032435859079</v>
      </c>
      <c r="AN341" s="3535">
        <v>96.586181640148297</v>
      </c>
      <c r="AO341" s="3535">
        <v>146.60460583378349</v>
      </c>
      <c r="AP341" s="3535">
        <v>153.50533665516764</v>
      </c>
      <c r="AQ341" s="3535">
        <v>82.875818843720097</v>
      </c>
      <c r="AR341" s="3535">
        <v>104.22780236107593</v>
      </c>
      <c r="AS341" s="3535">
        <v>98.877031797695693</v>
      </c>
      <c r="AT341" s="3535">
        <v>121.7978076415468</v>
      </c>
      <c r="AU341" s="3535">
        <v>209.84991096216535</v>
      </c>
      <c r="AV341" s="3535">
        <v>164.06704565389532</v>
      </c>
      <c r="AW341" s="3535">
        <v>155.73779742434141</v>
      </c>
      <c r="AX341" s="3535">
        <v>121.69301089069833</v>
      </c>
      <c r="AY341" s="3535">
        <v>117.73862559241705</v>
      </c>
      <c r="AZ341" s="3535">
        <v>92.767749628752526</v>
      </c>
      <c r="BA341" s="3535">
        <v>126.14521537703646</v>
      </c>
      <c r="BB341" s="3535">
        <v>197.66307217824809</v>
      </c>
      <c r="BC341" s="3535">
        <v>167.45867575421562</v>
      </c>
      <c r="BD341" s="3535">
        <v>182.27552107311004</v>
      </c>
      <c r="BE341" s="3535">
        <v>209.32951608273979</v>
      </c>
      <c r="BF341" s="3535">
        <v>204.81280212274493</v>
      </c>
      <c r="BG341" s="3535">
        <v>242.59639366055745</v>
      </c>
      <c r="BH341" s="3535">
        <v>183.35728098195756</v>
      </c>
      <c r="BI341" s="3535">
        <v>104.36870037056093</v>
      </c>
      <c r="BJ341" s="3535">
        <v>96.909591617153268</v>
      </c>
      <c r="BK341" s="3535">
        <v>120.47059929660114</v>
      </c>
      <c r="BL341" s="3535">
        <v>125.04022240715435</v>
      </c>
      <c r="BM341" s="3535">
        <v>111.84486173367634</v>
      </c>
      <c r="BN341" s="3535">
        <v>92.265907265762308</v>
      </c>
      <c r="BO341" s="3535">
        <v>155.07782754533713</v>
      </c>
      <c r="BP341" s="3535">
        <v>115.52379809928784</v>
      </c>
      <c r="BQ341" s="3535">
        <v>178.3303928961094</v>
      </c>
      <c r="BR341" s="3535">
        <v>107.87357097787408</v>
      </c>
      <c r="BS341" s="3535">
        <v>343.69798442091167</v>
      </c>
      <c r="BT341" s="3535">
        <v>83.216102853150403</v>
      </c>
      <c r="BU341" s="3535">
        <v>218.97369134027866</v>
      </c>
      <c r="BV341" s="3535">
        <v>137.81001653835639</v>
      </c>
      <c r="BW341" s="3535">
        <v>317.78305141828548</v>
      </c>
      <c r="BX341" s="3535">
        <v>76.119249976922802</v>
      </c>
      <c r="BY341" s="3535">
        <v>121.43404197759997</v>
      </c>
      <c r="BZ341" s="3535">
        <v>146.17180368133361</v>
      </c>
      <c r="CA341" s="3535">
        <v>244.09639201001468</v>
      </c>
      <c r="CB341" s="3535">
        <v>215.88849714387214</v>
      </c>
      <c r="CC341" s="3535">
        <v>93.468563433778129</v>
      </c>
      <c r="CD341" s="3535">
        <v>107.05713421278961</v>
      </c>
      <c r="CE341" s="3535">
        <v>417.16810702761455</v>
      </c>
      <c r="CF341" s="3535">
        <v>74.741068913108691</v>
      </c>
      <c r="CG341" s="3535">
        <v>102.5327211229211</v>
      </c>
      <c r="CH341" s="3535">
        <v>102.79903620533575</v>
      </c>
      <c r="CI341" s="3535">
        <v>76.673207799983118</v>
      </c>
      <c r="CJ341" s="2978">
        <v>132.99879291282363</v>
      </c>
    </row>
    <row r="342" spans="1:88">
      <c r="A342" s="53">
        <f t="shared" si="0"/>
        <v>2021.09</v>
      </c>
      <c r="B342" s="615">
        <v>132.80407745438578</v>
      </c>
      <c r="C342" s="3535">
        <v>126.59167925602701</v>
      </c>
      <c r="D342" s="358">
        <v>126.469783754792</v>
      </c>
      <c r="E342" s="615">
        <v>152.8250100921924</v>
      </c>
      <c r="F342" s="1215">
        <v>103.16672386230785</v>
      </c>
      <c r="G342" s="1215">
        <v>261.85033348802767</v>
      </c>
      <c r="H342" s="1215">
        <v>142.74644847144705</v>
      </c>
      <c r="I342" s="1215">
        <v>236.26913545759706</v>
      </c>
      <c r="J342" s="1215">
        <v>169.180012997961</v>
      </c>
      <c r="K342" s="1215">
        <v>124.56722311585315</v>
      </c>
      <c r="L342" s="1215">
        <v>154.88999542552199</v>
      </c>
      <c r="M342" s="1215">
        <v>137.20207650377489</v>
      </c>
      <c r="N342" s="1215">
        <v>181.41923916641659</v>
      </c>
      <c r="O342" s="1215">
        <v>134.7141895995301</v>
      </c>
      <c r="P342" s="1215">
        <v>158.14480664975508</v>
      </c>
      <c r="Q342" s="1215">
        <v>143.82363773539362</v>
      </c>
      <c r="R342" s="2661">
        <v>171.63087812502627</v>
      </c>
      <c r="S342" s="3535">
        <v>64.668235909328061</v>
      </c>
      <c r="T342" s="3535">
        <v>0</v>
      </c>
      <c r="U342" s="3535">
        <v>95.702900649469839</v>
      </c>
      <c r="V342" s="3535">
        <v>96.799140691549198</v>
      </c>
      <c r="W342" s="3535">
        <v>168.37719262875851</v>
      </c>
      <c r="X342" s="3535">
        <v>112.67583527709016</v>
      </c>
      <c r="Y342" s="3535">
        <v>99.205353614000231</v>
      </c>
      <c r="Z342" s="3535">
        <v>71.703321710197812</v>
      </c>
      <c r="AA342" s="3535">
        <v>96.227087590529152</v>
      </c>
      <c r="AB342" s="3535">
        <v>93.469547910388926</v>
      </c>
      <c r="AC342" s="3535">
        <v>42.931006365480911</v>
      </c>
      <c r="AD342" s="3535">
        <v>165.38033287315844</v>
      </c>
      <c r="AE342" s="3535">
        <v>115.47153172852322</v>
      </c>
      <c r="AF342" s="3535">
        <v>110.88332749812967</v>
      </c>
      <c r="AG342" s="3535">
        <v>119.63158363401993</v>
      </c>
      <c r="AH342" s="3535">
        <v>114.53338881234144</v>
      </c>
      <c r="AI342" s="3535">
        <v>103.76657793351826</v>
      </c>
      <c r="AJ342" s="3535">
        <v>145.6603049599895</v>
      </c>
      <c r="AK342" s="3535">
        <v>97.195320798929828</v>
      </c>
      <c r="AL342" s="3535">
        <v>96.68871957669765</v>
      </c>
      <c r="AM342" s="3535">
        <v>62.770943347680721</v>
      </c>
      <c r="AN342" s="3535">
        <v>88.573259350891064</v>
      </c>
      <c r="AO342" s="3535">
        <v>146.7370378622314</v>
      </c>
      <c r="AP342" s="3535">
        <v>161.4720790179814</v>
      </c>
      <c r="AQ342" s="3535">
        <v>70.793970879014267</v>
      </c>
      <c r="AR342" s="3535">
        <v>125.22298017242544</v>
      </c>
      <c r="AS342" s="3535">
        <v>84.820624012755857</v>
      </c>
      <c r="AT342" s="3535">
        <v>136.12564271725418</v>
      </c>
      <c r="AU342" s="3535">
        <v>208.10513152987849</v>
      </c>
      <c r="AV342" s="3535">
        <v>164.42647689177565</v>
      </c>
      <c r="AW342" s="3535">
        <v>157.0333488763923</v>
      </c>
      <c r="AX342" s="3535">
        <v>125.80313696203484</v>
      </c>
      <c r="AY342" s="3535">
        <v>128.13281990521327</v>
      </c>
      <c r="AZ342" s="3535">
        <v>99.781859031175159</v>
      </c>
      <c r="BA342" s="3535">
        <v>128.66250628271146</v>
      </c>
      <c r="BB342" s="3535">
        <v>190.5263646025536</v>
      </c>
      <c r="BC342" s="3535">
        <v>143.22403225795335</v>
      </c>
      <c r="BD342" s="3535">
        <v>173.01329173700324</v>
      </c>
      <c r="BE342" s="3535">
        <v>213.78965520825255</v>
      </c>
      <c r="BF342" s="3535">
        <v>202.08348466623409</v>
      </c>
      <c r="BG342" s="3535">
        <v>233.52133619790806</v>
      </c>
      <c r="BH342" s="3535">
        <v>182.02887493400203</v>
      </c>
      <c r="BI342" s="3535">
        <v>100.52337547521989</v>
      </c>
      <c r="BJ342" s="3535">
        <v>92.974323666566477</v>
      </c>
      <c r="BK342" s="3535">
        <v>112.13952393906828</v>
      </c>
      <c r="BL342" s="3535">
        <v>126.08075566645719</v>
      </c>
      <c r="BM342" s="3535">
        <v>114.69713678765311</v>
      </c>
      <c r="BN342" s="3535">
        <v>92.036259788151582</v>
      </c>
      <c r="BO342" s="3535">
        <v>179.26560649190085</v>
      </c>
      <c r="BP342" s="3535">
        <v>117.94814217475647</v>
      </c>
      <c r="BQ342" s="3535">
        <v>192.70259822015635</v>
      </c>
      <c r="BR342" s="3535">
        <v>120.08594583729415</v>
      </c>
      <c r="BS342" s="3535">
        <v>375.30580473995951</v>
      </c>
      <c r="BT342" s="3535">
        <v>85.042764317767322</v>
      </c>
      <c r="BU342" s="3535">
        <v>224.92781789723298</v>
      </c>
      <c r="BV342" s="3535">
        <v>136.52797553161733</v>
      </c>
      <c r="BW342" s="3535">
        <v>304.0610490349415</v>
      </c>
      <c r="BX342" s="3535">
        <v>80.071718429128012</v>
      </c>
      <c r="BY342" s="3535">
        <v>119.05484000150014</v>
      </c>
      <c r="BZ342" s="3535">
        <v>152.64318446157822</v>
      </c>
      <c r="CA342" s="3535">
        <v>268.3314599640658</v>
      </c>
      <c r="CB342" s="3535">
        <v>222.34411936353283</v>
      </c>
      <c r="CC342" s="3535">
        <v>92.045771286597429</v>
      </c>
      <c r="CD342" s="3535">
        <v>114.85783336276529</v>
      </c>
      <c r="CE342" s="3535">
        <v>455.3731435234638</v>
      </c>
      <c r="CF342" s="3535">
        <v>79.373390813661857</v>
      </c>
      <c r="CG342" s="3535">
        <v>96.341339274420775</v>
      </c>
      <c r="CH342" s="3535">
        <v>91.778205547177336</v>
      </c>
      <c r="CI342" s="3535">
        <v>73.820646642247766</v>
      </c>
      <c r="CJ342" s="2978">
        <v>132.80407745438589</v>
      </c>
    </row>
    <row r="343" spans="1:88">
      <c r="A343" s="53">
        <f t="shared" si="0"/>
        <v>2021.1</v>
      </c>
      <c r="B343" s="615">
        <v>130.03163702788962</v>
      </c>
      <c r="C343" s="3535">
        <v>125.909256859105</v>
      </c>
      <c r="D343" s="358">
        <v>127.112404281381</v>
      </c>
      <c r="E343" s="615">
        <v>145.28261800593506</v>
      </c>
      <c r="F343" s="1215">
        <v>99.098042180992664</v>
      </c>
      <c r="G343" s="1215">
        <v>251.8181882172747</v>
      </c>
      <c r="H343" s="1215">
        <v>138.31125951565323</v>
      </c>
      <c r="I343" s="1215">
        <v>254.88979939308564</v>
      </c>
      <c r="J343" s="1215">
        <v>152.87531733101713</v>
      </c>
      <c r="K343" s="1215">
        <v>128.061274473038</v>
      </c>
      <c r="L343" s="1215">
        <v>152.67323397649</v>
      </c>
      <c r="M343" s="1215">
        <v>123.49413815596772</v>
      </c>
      <c r="N343" s="1215">
        <v>128.14634447368249</v>
      </c>
      <c r="O343" s="1215">
        <v>114.79138036486901</v>
      </c>
      <c r="P343" s="1215">
        <v>153.19819149456174</v>
      </c>
      <c r="Q343" s="1215">
        <v>137.86734128607594</v>
      </c>
      <c r="R343" s="2661">
        <v>173.51623464307588</v>
      </c>
      <c r="S343" s="3535">
        <v>59.505356370756331</v>
      </c>
      <c r="T343" s="3535">
        <v>0</v>
      </c>
      <c r="U343" s="3535">
        <v>88.062325016049186</v>
      </c>
      <c r="V343" s="3535">
        <v>87.632288472491027</v>
      </c>
      <c r="W343" s="3535">
        <v>60.530892935866504</v>
      </c>
      <c r="X343" s="3535">
        <v>114.95397331850799</v>
      </c>
      <c r="Y343" s="3535">
        <v>98.373486233961756</v>
      </c>
      <c r="Z343" s="3535">
        <v>70.09398827555674</v>
      </c>
      <c r="AA343" s="3535">
        <v>105.99922091262491</v>
      </c>
      <c r="AB343" s="3535">
        <v>105.28943314310547</v>
      </c>
      <c r="AC343" s="3535">
        <v>41.715525287384864</v>
      </c>
      <c r="AD343" s="3535">
        <v>178.29327527442604</v>
      </c>
      <c r="AE343" s="3535">
        <v>114.62452685380714</v>
      </c>
      <c r="AF343" s="3535">
        <v>111.34855527533897</v>
      </c>
      <c r="AG343" s="3535">
        <v>117.84464370239679</v>
      </c>
      <c r="AH343" s="3535">
        <v>113.71296524027352</v>
      </c>
      <c r="AI343" s="3535">
        <v>109.2498693175925</v>
      </c>
      <c r="AJ343" s="3535">
        <v>162.13893447870211</v>
      </c>
      <c r="AK343" s="3535">
        <v>102.33609232182287</v>
      </c>
      <c r="AL343" s="3535">
        <v>85.052336652845014</v>
      </c>
      <c r="AM343" s="3535">
        <v>76.748788324516696</v>
      </c>
      <c r="AN343" s="3535">
        <v>90.019940828370153</v>
      </c>
      <c r="AO343" s="3535">
        <v>145.14130729025888</v>
      </c>
      <c r="AP343" s="3535">
        <v>159.58151194891565</v>
      </c>
      <c r="AQ343" s="3535">
        <v>72.848451677703551</v>
      </c>
      <c r="AR343" s="3535">
        <v>131.33219727172479</v>
      </c>
      <c r="AS343" s="3535">
        <v>92.673046937460612</v>
      </c>
      <c r="AT343" s="3535">
        <v>120.86688204580072</v>
      </c>
      <c r="AU343" s="3535">
        <v>203.44053062112221</v>
      </c>
      <c r="AV343" s="3535">
        <v>160.43723183464988</v>
      </c>
      <c r="AW343" s="3535">
        <v>147.20438204123292</v>
      </c>
      <c r="AX343" s="3535">
        <v>119.84896429578899</v>
      </c>
      <c r="AY343" s="3535">
        <v>118.59111374407583</v>
      </c>
      <c r="AZ343" s="3535">
        <v>92.815174751962942</v>
      </c>
      <c r="BA343" s="3535">
        <v>123.53551167942067</v>
      </c>
      <c r="BB343" s="3535">
        <v>195.35493706944609</v>
      </c>
      <c r="BC343" s="3535">
        <v>152.0298158196164</v>
      </c>
      <c r="BD343" s="3535">
        <v>174.29913178401102</v>
      </c>
      <c r="BE343" s="3535">
        <v>225.27760744411833</v>
      </c>
      <c r="BF343" s="3535">
        <v>196.22460606582575</v>
      </c>
      <c r="BG343" s="3535">
        <v>231.64606161742941</v>
      </c>
      <c r="BH343" s="3535">
        <v>182.70469953559649</v>
      </c>
      <c r="BI343" s="3535">
        <v>104.77385620644124</v>
      </c>
      <c r="BJ343" s="3535">
        <v>99.543011748815218</v>
      </c>
      <c r="BK343" s="3535">
        <v>117.33385974139011</v>
      </c>
      <c r="BL343" s="3535">
        <v>118.0136635273136</v>
      </c>
      <c r="BM343" s="3535">
        <v>107.99854427099102</v>
      </c>
      <c r="BN343" s="3535">
        <v>87.578068604225379</v>
      </c>
      <c r="BO343" s="3535">
        <v>197.17335999495745</v>
      </c>
      <c r="BP343" s="3535">
        <v>108.78033694299636</v>
      </c>
      <c r="BQ343" s="3535">
        <v>179.19472166574769</v>
      </c>
      <c r="BR343" s="3535">
        <v>109.12393035953924</v>
      </c>
      <c r="BS343" s="3535">
        <v>349.67853173661507</v>
      </c>
      <c r="BT343" s="3535">
        <v>80.09503121256013</v>
      </c>
      <c r="BU343" s="3535">
        <v>214.43280328070853</v>
      </c>
      <c r="BV343" s="3535">
        <v>120.09087154815734</v>
      </c>
      <c r="BW343" s="3535">
        <v>259.82568503033889</v>
      </c>
      <c r="BX343" s="3535">
        <v>70.429334684731316</v>
      </c>
      <c r="BY343" s="3535">
        <v>111.42736179526712</v>
      </c>
      <c r="BZ343" s="3535">
        <v>144.2716563057464</v>
      </c>
      <c r="CA343" s="3535">
        <v>253.27221172707596</v>
      </c>
      <c r="CB343" s="3535">
        <v>201.31368363851874</v>
      </c>
      <c r="CC343" s="3535">
        <v>88.312856833922964</v>
      </c>
      <c r="CD343" s="3535">
        <v>112.54853839513439</v>
      </c>
      <c r="CE343" s="3535">
        <v>505.20535422582094</v>
      </c>
      <c r="CF343" s="3535">
        <v>71.630530284772405</v>
      </c>
      <c r="CG343" s="3535">
        <v>106.40825677382874</v>
      </c>
      <c r="CH343" s="3535">
        <v>100.2632646381599</v>
      </c>
      <c r="CI343" s="3535">
        <v>97.322950141559758</v>
      </c>
      <c r="CJ343" s="2978">
        <v>130.03163702788964</v>
      </c>
    </row>
    <row r="344" spans="1:88">
      <c r="A344" s="53">
        <f t="shared" si="0"/>
        <v>2021.11</v>
      </c>
      <c r="B344" s="615">
        <v>133.59559668960429</v>
      </c>
      <c r="C344" s="3535">
        <v>129.922144663794</v>
      </c>
      <c r="D344" s="358">
        <v>128.015375980812</v>
      </c>
      <c r="E344" s="615">
        <v>148.90185302379865</v>
      </c>
      <c r="F344" s="1215">
        <v>101.22276521363102</v>
      </c>
      <c r="G344" s="1215">
        <v>261.97124496975516</v>
      </c>
      <c r="H344" s="1215">
        <v>153.82372043915109</v>
      </c>
      <c r="I344" s="1215">
        <v>253.84779896762285</v>
      </c>
      <c r="J344" s="1215">
        <v>133.13353902181916</v>
      </c>
      <c r="K344" s="1215">
        <v>117.77829036467065</v>
      </c>
      <c r="L344" s="1215">
        <v>151.40394799657454</v>
      </c>
      <c r="M344" s="1215">
        <v>122.91487076808056</v>
      </c>
      <c r="N344" s="1215">
        <v>85.627956728870288</v>
      </c>
      <c r="O344" s="1215">
        <v>112.98704144175549</v>
      </c>
      <c r="P344" s="1215">
        <v>170.82453869727803</v>
      </c>
      <c r="Q344" s="1215">
        <v>156.92409901461102</v>
      </c>
      <c r="R344" s="2661">
        <v>211.31732647998737</v>
      </c>
      <c r="S344" s="3535">
        <v>58.559575713998782</v>
      </c>
      <c r="T344" s="3535">
        <v>0</v>
      </c>
      <c r="U344" s="3535">
        <v>86.662658689032497</v>
      </c>
      <c r="V344" s="3535">
        <v>87.655113540958965</v>
      </c>
      <c r="W344" s="3535">
        <v>35.000024944569304</v>
      </c>
      <c r="X344" s="3535">
        <v>115.38232690951352</v>
      </c>
      <c r="Y344" s="3535">
        <v>103.99224698239981</v>
      </c>
      <c r="Z344" s="3535">
        <v>70.495301846592611</v>
      </c>
      <c r="AA344" s="3535">
        <v>103.70517661065523</v>
      </c>
      <c r="AB344" s="3535">
        <v>104.4482576747773</v>
      </c>
      <c r="AC344" s="3535">
        <v>41.916914413203862</v>
      </c>
      <c r="AD344" s="3535">
        <v>167.13695222621195</v>
      </c>
      <c r="AE344" s="3535">
        <v>118.70578641414514</v>
      </c>
      <c r="AF344" s="3535">
        <v>101.88392639233597</v>
      </c>
      <c r="AG344" s="3535">
        <v>125.51972800383113</v>
      </c>
      <c r="AH344" s="3535">
        <v>123.43029230530941</v>
      </c>
      <c r="AI344" s="3535">
        <v>108.26268494760077</v>
      </c>
      <c r="AJ344" s="3535">
        <v>156.65000141220668</v>
      </c>
      <c r="AK344" s="3535">
        <v>100.95406420327826</v>
      </c>
      <c r="AL344" s="3535">
        <v>84.385644549358943</v>
      </c>
      <c r="AM344" s="3535">
        <v>53.08514044895928</v>
      </c>
      <c r="AN344" s="3535">
        <v>93.000005553952235</v>
      </c>
      <c r="AO344" s="3535">
        <v>153.77690800318484</v>
      </c>
      <c r="AP344" s="3535">
        <v>154.80936797854034</v>
      </c>
      <c r="AQ344" s="3535">
        <v>78.170184965340596</v>
      </c>
      <c r="AR344" s="3535">
        <v>146.69511751041054</v>
      </c>
      <c r="AS344" s="3535">
        <v>107.19473607272951</v>
      </c>
      <c r="AT344" s="3535">
        <v>127.4087666596768</v>
      </c>
      <c r="AU344" s="3535">
        <v>217.95586095697388</v>
      </c>
      <c r="AV344" s="3535">
        <v>169.6671484369125</v>
      </c>
      <c r="AW344" s="3535">
        <v>126.88124382735703</v>
      </c>
      <c r="AX344" s="3535">
        <v>126.59677834912463</v>
      </c>
      <c r="AY344" s="3535">
        <v>128.03317535545025</v>
      </c>
      <c r="AZ344" s="3535">
        <v>106.04472246709588</v>
      </c>
      <c r="BA344" s="3535">
        <v>128.93371922755375</v>
      </c>
      <c r="BB344" s="3535">
        <v>196.50808949334629</v>
      </c>
      <c r="BC344" s="3535">
        <v>164.74913451313853</v>
      </c>
      <c r="BD344" s="3535">
        <v>170.35462980558285</v>
      </c>
      <c r="BE344" s="3535">
        <v>217.86143892012637</v>
      </c>
      <c r="BF344" s="3535">
        <v>200.89805787837048</v>
      </c>
      <c r="BG344" s="3535">
        <v>239.25774356901323</v>
      </c>
      <c r="BH344" s="3535">
        <v>186.46611931216967</v>
      </c>
      <c r="BI344" s="3535">
        <v>101.26217921772495</v>
      </c>
      <c r="BJ344" s="3535">
        <v>94.628003612427307</v>
      </c>
      <c r="BK344" s="3535">
        <v>115.40401212486586</v>
      </c>
      <c r="BL344" s="3535">
        <v>119.82518590291913</v>
      </c>
      <c r="BM344" s="3535">
        <v>111.91606521472413</v>
      </c>
      <c r="BN344" s="3535">
        <v>95.776306115569639</v>
      </c>
      <c r="BO344" s="3535">
        <v>198.985200772117</v>
      </c>
      <c r="BP344" s="3535">
        <v>111.38432754259753</v>
      </c>
      <c r="BQ344" s="3535">
        <v>172.53070886957127</v>
      </c>
      <c r="BR344" s="3535">
        <v>113.75294606045918</v>
      </c>
      <c r="BS344" s="3535">
        <v>303.92974061469658</v>
      </c>
      <c r="BT344" s="3535">
        <v>85.244436594501067</v>
      </c>
      <c r="BU344" s="3535">
        <v>231.77292981922483</v>
      </c>
      <c r="BV344" s="3535">
        <v>133.70704417418455</v>
      </c>
      <c r="BW344" s="3535">
        <v>284.53274679520433</v>
      </c>
      <c r="BX344" s="3535">
        <v>83.520647041763254</v>
      </c>
      <c r="BY344" s="3535">
        <v>116.50690415691689</v>
      </c>
      <c r="BZ344" s="3535">
        <v>161.79856813035374</v>
      </c>
      <c r="CA344" s="3535">
        <v>290.68587440955685</v>
      </c>
      <c r="CB344" s="3535">
        <v>221.00031775744867</v>
      </c>
      <c r="CC344" s="3535">
        <v>96.715583173296366</v>
      </c>
      <c r="CD344" s="3535">
        <v>124.30226495619486</v>
      </c>
      <c r="CE344" s="3535">
        <v>568.77325894487967</v>
      </c>
      <c r="CF344" s="3535">
        <v>77.984801452156717</v>
      </c>
      <c r="CG344" s="3535">
        <v>111.43557855181272</v>
      </c>
      <c r="CH344" s="3535">
        <v>97.764043074830965</v>
      </c>
      <c r="CI344" s="3535">
        <v>116.56521372968606</v>
      </c>
      <c r="CJ344" s="2978">
        <v>133.59559668960426</v>
      </c>
    </row>
    <row r="345" spans="1:88">
      <c r="A345" s="53">
        <f t="shared" si="0"/>
        <v>2021.12</v>
      </c>
      <c r="B345" s="615">
        <v>127.32258878895958</v>
      </c>
      <c r="C345" s="3535">
        <v>130.93867971413499</v>
      </c>
      <c r="D345" s="358">
        <v>129.149572250999</v>
      </c>
      <c r="E345" s="615">
        <v>144.10732905845262</v>
      </c>
      <c r="F345" s="1215">
        <v>104.34720314994624</v>
      </c>
      <c r="G345" s="1215">
        <v>270.61379477875283</v>
      </c>
      <c r="H345" s="1215">
        <v>160.81242050170519</v>
      </c>
      <c r="I345" s="1215">
        <v>214.10524597685043</v>
      </c>
      <c r="J345" s="1215">
        <v>132.95759489833821</v>
      </c>
      <c r="K345" s="1215">
        <v>122.80905080050863</v>
      </c>
      <c r="L345" s="1215">
        <v>134.05428645234608</v>
      </c>
      <c r="M345" s="1215">
        <v>111.98056295031513</v>
      </c>
      <c r="N345" s="1215">
        <v>57.064978478376148</v>
      </c>
      <c r="O345" s="1215">
        <v>110.02956070306004</v>
      </c>
      <c r="P345" s="1215">
        <v>177.41340480428309</v>
      </c>
      <c r="Q345" s="1215">
        <v>148.19678589198696</v>
      </c>
      <c r="R345" s="2661">
        <v>209.49932935416933</v>
      </c>
      <c r="S345" s="3535">
        <v>54.33722793468818</v>
      </c>
      <c r="T345" s="3535">
        <v>0</v>
      </c>
      <c r="U345" s="3535">
        <v>80.413981508516045</v>
      </c>
      <c r="V345" s="3535">
        <v>68.237545253245173</v>
      </c>
      <c r="W345" s="3535">
        <v>28.086849900359084</v>
      </c>
      <c r="X345" s="3535">
        <v>79.362920686795292</v>
      </c>
      <c r="Y345" s="3535">
        <v>80.480081711538872</v>
      </c>
      <c r="Z345" s="3535">
        <v>60.506522344926616</v>
      </c>
      <c r="AA345" s="3535">
        <v>110.86847515087294</v>
      </c>
      <c r="AB345" s="3535">
        <v>117.77422594471328</v>
      </c>
      <c r="AC345" s="3535">
        <v>41.848531973806985</v>
      </c>
      <c r="AD345" s="3535">
        <v>155.90981247958615</v>
      </c>
      <c r="AE345" s="3535">
        <v>103.7563936808674</v>
      </c>
      <c r="AF345" s="3535">
        <v>84.557267964041387</v>
      </c>
      <c r="AG345" s="3535">
        <v>109.5135576846687</v>
      </c>
      <c r="AH345" s="3535">
        <v>111.10267712604711</v>
      </c>
      <c r="AI345" s="3535">
        <v>115.02566956046049</v>
      </c>
      <c r="AJ345" s="3535">
        <v>170.22767326586441</v>
      </c>
      <c r="AK345" s="3535">
        <v>105.90194208030159</v>
      </c>
      <c r="AL345" s="3535">
        <v>83.219156313058406</v>
      </c>
      <c r="AM345" s="3535">
        <v>45.113033396829721</v>
      </c>
      <c r="AN345" s="3535">
        <v>99.451012401992344</v>
      </c>
      <c r="AO345" s="3535">
        <v>139.91891454393956</v>
      </c>
      <c r="AP345" s="3535">
        <v>160.67199594649639</v>
      </c>
      <c r="AQ345" s="3535">
        <v>79.31365437725664</v>
      </c>
      <c r="AR345" s="3535">
        <v>119.75202067944335</v>
      </c>
      <c r="AS345" s="3535">
        <v>113.60829873706744</v>
      </c>
      <c r="AT345" s="3535">
        <v>112.60562753786665</v>
      </c>
      <c r="AU345" s="3535">
        <v>191.98920749495747</v>
      </c>
      <c r="AV345" s="3535">
        <v>144.59530392653153</v>
      </c>
      <c r="AW345" s="3535">
        <v>134.16113470372667</v>
      </c>
      <c r="AX345" s="3535">
        <v>112.89016872725188</v>
      </c>
      <c r="AY345" s="3535">
        <v>112.26303317535545</v>
      </c>
      <c r="AZ345" s="3535">
        <v>91.97345279193793</v>
      </c>
      <c r="BA345" s="3535">
        <v>115.67517873040286</v>
      </c>
      <c r="BB345" s="3535">
        <v>185.2034985863057</v>
      </c>
      <c r="BC345" s="3535">
        <v>168.74520402822338</v>
      </c>
      <c r="BD345" s="3535">
        <v>165.9983334956431</v>
      </c>
      <c r="BE345" s="3535">
        <v>200.67172311128846</v>
      </c>
      <c r="BF345" s="3535">
        <v>187.67276193763092</v>
      </c>
      <c r="BG345" s="3535">
        <v>211.07762994124363</v>
      </c>
      <c r="BH345" s="3535">
        <v>175.30163723069739</v>
      </c>
      <c r="BI345" s="3535">
        <v>102.7808697473765</v>
      </c>
      <c r="BJ345" s="3535">
        <v>98.473683809537405</v>
      </c>
      <c r="BK345" s="3535">
        <v>111.03231662077054</v>
      </c>
      <c r="BL345" s="3535">
        <v>115.75417357363288</v>
      </c>
      <c r="BM345" s="3535">
        <v>100.56239396098483</v>
      </c>
      <c r="BN345" s="3535">
        <v>87.911477159089998</v>
      </c>
      <c r="BO345" s="3535">
        <v>175.93639902023693</v>
      </c>
      <c r="BP345" s="3535">
        <v>99.651715132395751</v>
      </c>
      <c r="BQ345" s="3535">
        <v>182.1705145418002</v>
      </c>
      <c r="BR345" s="3535">
        <v>121.82979687125599</v>
      </c>
      <c r="BS345" s="3535">
        <v>342.80005543704431</v>
      </c>
      <c r="BT345" s="3535">
        <v>79.480680912500787</v>
      </c>
      <c r="BU345" s="3535">
        <v>211.37077311253796</v>
      </c>
      <c r="BV345" s="3535">
        <v>129.89496249577343</v>
      </c>
      <c r="BW345" s="3535">
        <v>277.8461949001977</v>
      </c>
      <c r="BX345" s="3535">
        <v>83.434456238323023</v>
      </c>
      <c r="BY345" s="3535">
        <v>106.6608041744372</v>
      </c>
      <c r="BZ345" s="3535">
        <v>138.41014012875203</v>
      </c>
      <c r="CA345" s="3535">
        <v>244.47147348187968</v>
      </c>
      <c r="CB345" s="3535">
        <v>206.65342896249223</v>
      </c>
      <c r="CC345" s="3535">
        <v>82.283873537507333</v>
      </c>
      <c r="CD345" s="3535">
        <v>114.69399709799269</v>
      </c>
      <c r="CE345" s="3535">
        <v>523.69281095087422</v>
      </c>
      <c r="CF345" s="3535">
        <v>72.073020948741444</v>
      </c>
      <c r="CG345" s="3535">
        <v>114.97517026048234</v>
      </c>
      <c r="CH345" s="3535">
        <v>97.818977333810622</v>
      </c>
      <c r="CI345" s="3535">
        <v>134.30204048748666</v>
      </c>
      <c r="CJ345" s="2978">
        <v>127.32258878895959</v>
      </c>
    </row>
    <row r="346" spans="1:88">
      <c r="A346" s="53">
        <f t="shared" si="0"/>
        <v>2022.01</v>
      </c>
      <c r="B346" s="615">
        <v>110.45223892022884</v>
      </c>
      <c r="C346" s="3535">
        <v>127.023994966201</v>
      </c>
      <c r="D346" s="358">
        <v>130.65966537551699</v>
      </c>
      <c r="E346" s="615">
        <v>131.5927788718501</v>
      </c>
      <c r="F346" s="1215">
        <v>88.938908729919063</v>
      </c>
      <c r="G346" s="1215">
        <v>239.86459341893766</v>
      </c>
      <c r="H346" s="1215">
        <v>138.85889752273667</v>
      </c>
      <c r="I346" s="1215">
        <v>187.23803391438008</v>
      </c>
      <c r="J346" s="1215">
        <v>118.15557718164116</v>
      </c>
      <c r="K346" s="1215">
        <v>136.19721003718337</v>
      </c>
      <c r="L346" s="1215">
        <v>127.7299166100269</v>
      </c>
      <c r="M346" s="1215">
        <v>105.94775272892508</v>
      </c>
      <c r="N346" s="1215">
        <v>35.19407288500512</v>
      </c>
      <c r="O346" s="1215">
        <v>108.10119853817059</v>
      </c>
      <c r="P346" s="1215">
        <v>169.33464840435585</v>
      </c>
      <c r="Q346" s="1215">
        <v>101.551816597807</v>
      </c>
      <c r="R346" s="2661">
        <v>197.62377009729883</v>
      </c>
      <c r="S346" s="3535">
        <v>82.768271218446984</v>
      </c>
      <c r="T346" s="3535">
        <v>99.8454389282996</v>
      </c>
      <c r="U346" s="3535">
        <v>74.572838528284421</v>
      </c>
      <c r="V346" s="3535">
        <v>53.125895730550901</v>
      </c>
      <c r="W346" s="3535">
        <v>6.1884630335697253</v>
      </c>
      <c r="X346" s="3535">
        <v>69.067780547805299</v>
      </c>
      <c r="Y346" s="3535">
        <v>60.904404577883312</v>
      </c>
      <c r="Z346" s="3535">
        <v>48.082955928066255</v>
      </c>
      <c r="AA346" s="3535">
        <v>61.759571053498725</v>
      </c>
      <c r="AB346" s="3535">
        <v>62.922452147616809</v>
      </c>
      <c r="AC346" s="3535">
        <v>32.197397732504385</v>
      </c>
      <c r="AD346" s="3535">
        <v>88.677759517416277</v>
      </c>
      <c r="AE346" s="3535">
        <v>107.28234753714601</v>
      </c>
      <c r="AF346" s="3535">
        <v>91.56085608608538</v>
      </c>
      <c r="AG346" s="3535">
        <v>111.11521893835589</v>
      </c>
      <c r="AH346" s="3535">
        <v>114.1507943899018</v>
      </c>
      <c r="AI346" s="3535">
        <v>110.78290340012028</v>
      </c>
      <c r="AJ346" s="3535">
        <v>149.53746251202412</v>
      </c>
      <c r="AK346" s="3535">
        <v>104.08939132513055</v>
      </c>
      <c r="AL346" s="3535">
        <v>84.789526789008534</v>
      </c>
      <c r="AM346" s="3535">
        <v>34.282137880687742</v>
      </c>
      <c r="AN346" s="3535">
        <v>101.73573840656583</v>
      </c>
      <c r="AO346" s="3535">
        <v>140.66907765801307</v>
      </c>
      <c r="AP346" s="3535">
        <v>165.99513630583965</v>
      </c>
      <c r="AQ346" s="3535">
        <v>85.592369207024902</v>
      </c>
      <c r="AR346" s="3535">
        <v>110.26560249539304</v>
      </c>
      <c r="AS346" s="3535">
        <v>112.60365153943906</v>
      </c>
      <c r="AT346" s="3535">
        <v>90.734680862164069</v>
      </c>
      <c r="AU346" s="3535">
        <v>192.00784931593648</v>
      </c>
      <c r="AV346" s="3535">
        <v>148.96745651022428</v>
      </c>
      <c r="AW346" s="3535">
        <v>154.59632758216497</v>
      </c>
      <c r="AX346" s="3535">
        <v>103.26049896106915</v>
      </c>
      <c r="AY346" s="3535">
        <v>82.901184834123214</v>
      </c>
      <c r="AZ346" s="3535">
        <v>83.681686087077026</v>
      </c>
      <c r="BA346" s="3535">
        <v>109.71582652385032</v>
      </c>
      <c r="BB346" s="3535">
        <v>160.43963999811805</v>
      </c>
      <c r="BC346" s="3535">
        <v>140.23931671244489</v>
      </c>
      <c r="BD346" s="3535">
        <v>143.41674305167072</v>
      </c>
      <c r="BE346" s="3535">
        <v>174.66073665687838</v>
      </c>
      <c r="BF346" s="3535">
        <v>177.79003966036984</v>
      </c>
      <c r="BG346" s="3535">
        <v>186.28400233459877</v>
      </c>
      <c r="BH346" s="3535">
        <v>152.89858199062778</v>
      </c>
      <c r="BI346" s="3535">
        <v>95.044645483673918</v>
      </c>
      <c r="BJ346" s="3535">
        <v>90.600414100615666</v>
      </c>
      <c r="BK346" s="3535">
        <v>113.79164623751312</v>
      </c>
      <c r="BL346" s="3535">
        <v>98.292426336262366</v>
      </c>
      <c r="BM346" s="3535">
        <v>88.956896816489021</v>
      </c>
      <c r="BN346" s="3535">
        <v>81.510219217015901</v>
      </c>
      <c r="BO346" s="3535">
        <v>181.31770802435813</v>
      </c>
      <c r="BP346" s="3535">
        <v>85.094595637218816</v>
      </c>
      <c r="BQ346" s="3535">
        <v>123.96685403151069</v>
      </c>
      <c r="BR346" s="3535">
        <v>98.098843940611786</v>
      </c>
      <c r="BS346" s="3535">
        <v>195.79838959983005</v>
      </c>
      <c r="BT346" s="3535">
        <v>60.150867166265307</v>
      </c>
      <c r="BU346" s="3535">
        <v>160.86796012848527</v>
      </c>
      <c r="BV346" s="3535">
        <v>95.491007685797399</v>
      </c>
      <c r="BW346" s="3535">
        <v>188.05329902580988</v>
      </c>
      <c r="BX346" s="3535">
        <v>59.643033236161344</v>
      </c>
      <c r="BY346" s="3535">
        <v>96.532202934314611</v>
      </c>
      <c r="BZ346" s="3535">
        <v>71.784295468388038</v>
      </c>
      <c r="CA346" s="3535">
        <v>117.24821297480436</v>
      </c>
      <c r="CB346" s="3535">
        <v>83.287110796953684</v>
      </c>
      <c r="CC346" s="3535">
        <v>50.061166780430156</v>
      </c>
      <c r="CD346" s="3535">
        <v>91.599978393453924</v>
      </c>
      <c r="CE346" s="3535">
        <v>350.3521783814387</v>
      </c>
      <c r="CF346" s="3535">
        <v>64.635911577795383</v>
      </c>
      <c r="CG346" s="3535">
        <v>78.787193302043363</v>
      </c>
      <c r="CH346" s="3535">
        <v>67.451850145410972</v>
      </c>
      <c r="CI346" s="3535">
        <v>71.958896649751878</v>
      </c>
      <c r="CJ346" s="2978">
        <v>110.45223892022889</v>
      </c>
    </row>
    <row r="347" spans="1:88">
      <c r="A347" s="53">
        <f t="shared" si="0"/>
        <v>2022.02</v>
      </c>
      <c r="B347" s="615">
        <v>116.86553670599886</v>
      </c>
      <c r="C347" s="3535">
        <v>132.46306132112201</v>
      </c>
      <c r="D347" s="358">
        <v>131.939801000947</v>
      </c>
      <c r="E347" s="615">
        <v>136.15568319316452</v>
      </c>
      <c r="F347" s="1215">
        <v>93.914586392150312</v>
      </c>
      <c r="G347" s="1215">
        <v>233.38548332962588</v>
      </c>
      <c r="H347" s="1215">
        <v>142.72148468410506</v>
      </c>
      <c r="I347" s="1215">
        <v>198.84368597447252</v>
      </c>
      <c r="J347" s="1215">
        <v>126.03943137137266</v>
      </c>
      <c r="K347" s="1215">
        <v>125.40681329279586</v>
      </c>
      <c r="L347" s="1215">
        <v>144.5933732710979</v>
      </c>
      <c r="M347" s="1215">
        <v>117.84359740286351</v>
      </c>
      <c r="N347" s="1215">
        <v>77.122252371167818</v>
      </c>
      <c r="O347" s="1215">
        <v>121.58368255127255</v>
      </c>
      <c r="P347" s="1215">
        <v>164.64415837464978</v>
      </c>
      <c r="Q347" s="1215">
        <v>113.69722943623593</v>
      </c>
      <c r="R347" s="2661">
        <v>182.82738713034146</v>
      </c>
      <c r="S347" s="3535">
        <v>116.26985413615181</v>
      </c>
      <c r="T347" s="3535">
        <v>172.03686927008209</v>
      </c>
      <c r="U347" s="3535">
        <v>89.506937320752868</v>
      </c>
      <c r="V347" s="3535">
        <v>70.600425979269787</v>
      </c>
      <c r="W347" s="3535">
        <v>11.34875721277025</v>
      </c>
      <c r="X347" s="3535">
        <v>106.63115352131994</v>
      </c>
      <c r="Y347" s="3535">
        <v>84.635957772927796</v>
      </c>
      <c r="Z347" s="3535">
        <v>52.464677053732657</v>
      </c>
      <c r="AA347" s="3535">
        <v>74.583587971279329</v>
      </c>
      <c r="AB347" s="3535">
        <v>69.216730548429766</v>
      </c>
      <c r="AC347" s="3535">
        <v>38.699879820949199</v>
      </c>
      <c r="AD347" s="3535">
        <v>136.05807015029498</v>
      </c>
      <c r="AE347" s="3535">
        <v>107.04845692965867</v>
      </c>
      <c r="AF347" s="3535">
        <v>89.616380539992562</v>
      </c>
      <c r="AG347" s="3535">
        <v>114.39941024584311</v>
      </c>
      <c r="AH347" s="3535">
        <v>111.663926313291</v>
      </c>
      <c r="AI347" s="3535">
        <v>90.078465168653224</v>
      </c>
      <c r="AJ347" s="3535">
        <v>136.60036521619179</v>
      </c>
      <c r="AK347" s="3535">
        <v>81.352698665376309</v>
      </c>
      <c r="AL347" s="3535">
        <v>77.160593874734246</v>
      </c>
      <c r="AM347" s="3535">
        <v>35.390310626010383</v>
      </c>
      <c r="AN347" s="3535">
        <v>75.938690499598124</v>
      </c>
      <c r="AO347" s="3535">
        <v>133.74041991248686</v>
      </c>
      <c r="AP347" s="3535">
        <v>163.69825816961301</v>
      </c>
      <c r="AQ347" s="3535">
        <v>78.983306248275483</v>
      </c>
      <c r="AR347" s="3535">
        <v>114.51213321872815</v>
      </c>
      <c r="AS347" s="3535">
        <v>92.051405415688521</v>
      </c>
      <c r="AT347" s="3535">
        <v>99.149747610336419</v>
      </c>
      <c r="AU347" s="3535">
        <v>176.01089474064239</v>
      </c>
      <c r="AV347" s="3535">
        <v>149.88865400218427</v>
      </c>
      <c r="AW347" s="3535">
        <v>154.69361595732866</v>
      </c>
      <c r="AX347" s="3535">
        <v>107.95590537307817</v>
      </c>
      <c r="AY347" s="3535">
        <v>91.824644549763036</v>
      </c>
      <c r="AZ347" s="3535">
        <v>76.336467640030122</v>
      </c>
      <c r="BA347" s="3535">
        <v>115.12120333024073</v>
      </c>
      <c r="BB347" s="3535">
        <v>166.90933091586362</v>
      </c>
      <c r="BC347" s="3535">
        <v>135.43712354638245</v>
      </c>
      <c r="BD347" s="3535">
        <v>145.33413134195777</v>
      </c>
      <c r="BE347" s="3535">
        <v>182.93880859888731</v>
      </c>
      <c r="BF347" s="3535">
        <v>173.55194409742708</v>
      </c>
      <c r="BG347" s="3535">
        <v>210.97258076669803</v>
      </c>
      <c r="BH347" s="3535">
        <v>157.87267070539434</v>
      </c>
      <c r="BI347" s="3535">
        <v>92.230433796420101</v>
      </c>
      <c r="BJ347" s="3535">
        <v>84.126239869467753</v>
      </c>
      <c r="BK347" s="3535">
        <v>107.0990796883367</v>
      </c>
      <c r="BL347" s="3535">
        <v>117.29117880965937</v>
      </c>
      <c r="BM347" s="3535">
        <v>95.48676644066154</v>
      </c>
      <c r="BN347" s="3535">
        <v>87.058724075289319</v>
      </c>
      <c r="BO347" s="3535">
        <v>178.62698554542439</v>
      </c>
      <c r="BP347" s="3535">
        <v>92.598095174954651</v>
      </c>
      <c r="BQ347" s="3535">
        <v>158.81091195909025</v>
      </c>
      <c r="BR347" s="3535">
        <v>83.493618185919956</v>
      </c>
      <c r="BS347" s="3535">
        <v>321.93887731812782</v>
      </c>
      <c r="BT347" s="3535">
        <v>70.179035952114148</v>
      </c>
      <c r="BU347" s="3535">
        <v>209.66171999289185</v>
      </c>
      <c r="BV347" s="3535">
        <v>117.2742121326919</v>
      </c>
      <c r="BW347" s="3535">
        <v>255.87229974963816</v>
      </c>
      <c r="BX347" s="3535">
        <v>73.232057916654085</v>
      </c>
      <c r="BY347" s="3535">
        <v>96.700579556855089</v>
      </c>
      <c r="BZ347" s="3535">
        <v>130.78417841332225</v>
      </c>
      <c r="CA347" s="3535">
        <v>235.12587456549184</v>
      </c>
      <c r="CB347" s="3535">
        <v>201.46232511937498</v>
      </c>
      <c r="CC347" s="3535">
        <v>75.101910041196945</v>
      </c>
      <c r="CD347" s="3535">
        <v>92.547663514305782</v>
      </c>
      <c r="CE347" s="3535">
        <v>364.1073788155631</v>
      </c>
      <c r="CF347" s="3535">
        <v>64.248950273744612</v>
      </c>
      <c r="CG347" s="3535">
        <v>86.280956285031522</v>
      </c>
      <c r="CH347" s="3535">
        <v>82.341272411139101</v>
      </c>
      <c r="CI347" s="3535">
        <v>67.584496123218969</v>
      </c>
      <c r="CJ347" s="2978">
        <v>116.86553670599895</v>
      </c>
    </row>
    <row r="348" spans="1:88">
      <c r="A348" s="53">
        <f t="shared" si="0"/>
        <v>2022.03</v>
      </c>
      <c r="B348" s="615">
        <v>136.06417977063688</v>
      </c>
      <c r="C348" s="3535">
        <v>130.711430060813</v>
      </c>
      <c r="D348" s="358">
        <v>133.04115511857501</v>
      </c>
      <c r="E348" s="615">
        <v>154.01939252930475</v>
      </c>
      <c r="F348" s="1215">
        <v>104.83425916942184</v>
      </c>
      <c r="G348" s="1215">
        <v>265.32043539613846</v>
      </c>
      <c r="H348" s="1215">
        <v>153.24152328275207</v>
      </c>
      <c r="I348" s="1215">
        <v>240.05912431688395</v>
      </c>
      <c r="J348" s="1215">
        <v>144.43496799135403</v>
      </c>
      <c r="K348" s="1215">
        <v>135.45359063489718</v>
      </c>
      <c r="L348" s="1215">
        <v>180.46356776988748</v>
      </c>
      <c r="M348" s="1215">
        <v>144.92153305759629</v>
      </c>
      <c r="N348" s="1215">
        <v>92.790111513154685</v>
      </c>
      <c r="O348" s="1215">
        <v>155.73978594755357</v>
      </c>
      <c r="P348" s="1215">
        <v>162.24516360835233</v>
      </c>
      <c r="Q348" s="1215">
        <v>138.18855539762967</v>
      </c>
      <c r="R348" s="2661">
        <v>196.2439856145717</v>
      </c>
      <c r="S348" s="3535">
        <v>156.0712392738493</v>
      </c>
      <c r="T348" s="3535">
        <v>273.07741942879113</v>
      </c>
      <c r="U348" s="3535">
        <v>99.919288898634804</v>
      </c>
      <c r="V348" s="3535">
        <v>86.479870941489452</v>
      </c>
      <c r="W348" s="3535">
        <v>51.052437950999874</v>
      </c>
      <c r="X348" s="3535">
        <v>112.73445992640929</v>
      </c>
      <c r="Y348" s="3535">
        <v>106.13402803279625</v>
      </c>
      <c r="Z348" s="3535">
        <v>63.704046236770424</v>
      </c>
      <c r="AA348" s="3535">
        <v>103.30235852589327</v>
      </c>
      <c r="AB348" s="3535">
        <v>99.546923134302887</v>
      </c>
      <c r="AC348" s="3535">
        <v>43.818196146552076</v>
      </c>
      <c r="AD348" s="3535">
        <v>183.36434247990243</v>
      </c>
      <c r="AE348" s="3535">
        <v>122.70497413217204</v>
      </c>
      <c r="AF348" s="3535">
        <v>98.521799136086443</v>
      </c>
      <c r="AG348" s="3535">
        <v>129.60598176615471</v>
      </c>
      <c r="AH348" s="3535">
        <v>132.29764593288905</v>
      </c>
      <c r="AI348" s="3535">
        <v>103.86215082180229</v>
      </c>
      <c r="AJ348" s="3535">
        <v>134.36000678566674</v>
      </c>
      <c r="AK348" s="3535">
        <v>94.220295238013037</v>
      </c>
      <c r="AL348" s="3535">
        <v>94.987698887646928</v>
      </c>
      <c r="AM348" s="3535">
        <v>43.086346312120163</v>
      </c>
      <c r="AN348" s="3535">
        <v>100.09219648212826</v>
      </c>
      <c r="AO348" s="3535">
        <v>153.37685610980435</v>
      </c>
      <c r="AP348" s="3535">
        <v>173.54936974912619</v>
      </c>
      <c r="AQ348" s="3535">
        <v>89.688372248041091</v>
      </c>
      <c r="AR348" s="3535">
        <v>127.3696742660071</v>
      </c>
      <c r="AS348" s="3535">
        <v>116.35058787239896</v>
      </c>
      <c r="AT348" s="3535">
        <v>101.78541703514998</v>
      </c>
      <c r="AU348" s="3535">
        <v>205.67675471328013</v>
      </c>
      <c r="AV348" s="3535">
        <v>173.13122769922032</v>
      </c>
      <c r="AW348" s="3535">
        <v>166.56543400822488</v>
      </c>
      <c r="AX348" s="3535">
        <v>129.04477286217448</v>
      </c>
      <c r="AY348" s="3535">
        <v>131.35071090047396</v>
      </c>
      <c r="AZ348" s="3535">
        <v>103.54114802177567</v>
      </c>
      <c r="BA348" s="3535">
        <v>131.84286050932877</v>
      </c>
      <c r="BB348" s="3535">
        <v>185.84774724821645</v>
      </c>
      <c r="BC348" s="3535">
        <v>155.23884687744561</v>
      </c>
      <c r="BD348" s="3535">
        <v>169.53803829556745</v>
      </c>
      <c r="BE348" s="3535">
        <v>195.78331852962833</v>
      </c>
      <c r="BF348" s="3535">
        <v>197.80492080343902</v>
      </c>
      <c r="BG348" s="3535">
        <v>231.51665884062197</v>
      </c>
      <c r="BH348" s="3535">
        <v>176.46044027568379</v>
      </c>
      <c r="BI348" s="3535">
        <v>103.89042913379325</v>
      </c>
      <c r="BJ348" s="3535">
        <v>93.896017776786451</v>
      </c>
      <c r="BK348" s="3535">
        <v>122.71865669443943</v>
      </c>
      <c r="BL348" s="3535">
        <v>134.30925007959442</v>
      </c>
      <c r="BM348" s="3535">
        <v>111.50091221436641</v>
      </c>
      <c r="BN348" s="3535">
        <v>99.502075399208763</v>
      </c>
      <c r="BO348" s="3535">
        <v>195.64704030256314</v>
      </c>
      <c r="BP348" s="3535">
        <v>109.75995143298141</v>
      </c>
      <c r="BQ348" s="3535">
        <v>187.75188426605331</v>
      </c>
      <c r="BR348" s="3535">
        <v>111.05335222107195</v>
      </c>
      <c r="BS348" s="3535">
        <v>346.4770394016121</v>
      </c>
      <c r="BT348" s="3535">
        <v>85.937915123826741</v>
      </c>
      <c r="BU348" s="3535">
        <v>272.10039960543287</v>
      </c>
      <c r="BV348" s="3535">
        <v>136.40829226625945</v>
      </c>
      <c r="BW348" s="3535">
        <v>308.5207705692531</v>
      </c>
      <c r="BX348" s="3535">
        <v>82.214429248094248</v>
      </c>
      <c r="BY348" s="3535">
        <v>109.7154883101407</v>
      </c>
      <c r="BZ348" s="3535">
        <v>161.36639271508631</v>
      </c>
      <c r="CA348" s="3535">
        <v>298.70187679483223</v>
      </c>
      <c r="CB348" s="3535">
        <v>216.3938658923596</v>
      </c>
      <c r="CC348" s="3535">
        <v>93.07735823545417</v>
      </c>
      <c r="CD348" s="3535">
        <v>114.01147670261248</v>
      </c>
      <c r="CE348" s="3535">
        <v>493.27341712455518</v>
      </c>
      <c r="CF348" s="3535">
        <v>74.489322677841145</v>
      </c>
      <c r="CG348" s="3535">
        <v>106.84129908818808</v>
      </c>
      <c r="CH348" s="3535">
        <v>105.66110262238624</v>
      </c>
      <c r="CI348" s="3535">
        <v>84.515710056633282</v>
      </c>
      <c r="CJ348" s="2978">
        <v>136.06417977063691</v>
      </c>
    </row>
    <row r="349" spans="1:88">
      <c r="A349" s="53">
        <f t="shared" si="0"/>
        <v>2022.04</v>
      </c>
      <c r="B349" s="615">
        <v>131.11057688323166</v>
      </c>
      <c r="C349" s="3535">
        <v>131.303155468075</v>
      </c>
      <c r="D349" s="358">
        <v>133.819879120894</v>
      </c>
      <c r="E349" s="615">
        <v>148.71692013407508</v>
      </c>
      <c r="F349" s="1215">
        <v>97.063690547395225</v>
      </c>
      <c r="G349" s="1215">
        <v>241.90203104372276</v>
      </c>
      <c r="H349" s="1215">
        <v>139.5807299659084</v>
      </c>
      <c r="I349" s="1215">
        <v>232.32058225757669</v>
      </c>
      <c r="J349" s="1215">
        <v>189.69786375681639</v>
      </c>
      <c r="K349" s="1215">
        <v>131.60475158220953</v>
      </c>
      <c r="L349" s="1215">
        <v>181.72392548726322</v>
      </c>
      <c r="M349" s="1215">
        <v>134.68244702083987</v>
      </c>
      <c r="N349" s="1215">
        <v>89.793448268481256</v>
      </c>
      <c r="O349" s="1215">
        <v>159.98929228834518</v>
      </c>
      <c r="P349" s="1215">
        <v>138.79164585169889</v>
      </c>
      <c r="Q349" s="1215">
        <v>134.14296242897882</v>
      </c>
      <c r="R349" s="2661">
        <v>173.89245222922943</v>
      </c>
      <c r="S349" s="3535">
        <v>99.565839958587361</v>
      </c>
      <c r="T349" s="3535">
        <v>128.29270695208726</v>
      </c>
      <c r="U349" s="3535">
        <v>85.779648428205505</v>
      </c>
      <c r="V349" s="3535">
        <v>87.62532934492134</v>
      </c>
      <c r="W349" s="3535">
        <v>101.6862228129403</v>
      </c>
      <c r="X349" s="3535">
        <v>112.06890238275042</v>
      </c>
      <c r="Y349" s="3535">
        <v>100.53482225344101</v>
      </c>
      <c r="Z349" s="3535">
        <v>61.193989261207783</v>
      </c>
      <c r="AA349" s="3535">
        <v>105.01625264005015</v>
      </c>
      <c r="AB349" s="3535">
        <v>101.00390513085985</v>
      </c>
      <c r="AC349" s="3535">
        <v>43.788858426745342</v>
      </c>
      <c r="AD349" s="3535">
        <v>188.04848115777349</v>
      </c>
      <c r="AE349" s="3535">
        <v>114.04912032283795</v>
      </c>
      <c r="AF349" s="3535">
        <v>90.896639949888865</v>
      </c>
      <c r="AG349" s="3535">
        <v>121.60536130789207</v>
      </c>
      <c r="AH349" s="3535">
        <v>122.31443415389676</v>
      </c>
      <c r="AI349" s="3535">
        <v>109.06001634780814</v>
      </c>
      <c r="AJ349" s="3535">
        <v>138.3748241659149</v>
      </c>
      <c r="AK349" s="3535">
        <v>101.81638421262969</v>
      </c>
      <c r="AL349" s="3535">
        <v>101.74084534402948</v>
      </c>
      <c r="AM349" s="3535">
        <v>53.998893333808653</v>
      </c>
      <c r="AN349" s="3535">
        <v>102.8011587163456</v>
      </c>
      <c r="AO349" s="3535">
        <v>145.95000373064158</v>
      </c>
      <c r="AP349" s="3535">
        <v>160.7032163782122</v>
      </c>
      <c r="AQ349" s="3535">
        <v>79.046147228731783</v>
      </c>
      <c r="AR349" s="3535">
        <v>123.10062994519589</v>
      </c>
      <c r="AS349" s="3535">
        <v>109.91402753686938</v>
      </c>
      <c r="AT349" s="3535">
        <v>101.22897721732085</v>
      </c>
      <c r="AU349" s="3535">
        <v>194.21829168918609</v>
      </c>
      <c r="AV349" s="3535">
        <v>162.40790165584306</v>
      </c>
      <c r="AW349" s="3535">
        <v>173.99801073673854</v>
      </c>
      <c r="AX349" s="3535">
        <v>128.03934353424586</v>
      </c>
      <c r="AY349" s="3535">
        <v>131.39810426540285</v>
      </c>
      <c r="AZ349" s="3535">
        <v>107.29462608733604</v>
      </c>
      <c r="BA349" s="3535">
        <v>130.02664585309321</v>
      </c>
      <c r="BB349" s="3535">
        <v>190.7473492855095</v>
      </c>
      <c r="BC349" s="3535">
        <v>175.81932476896947</v>
      </c>
      <c r="BD349" s="3535">
        <v>163.48204155842862</v>
      </c>
      <c r="BE349" s="3535">
        <v>203.47329297025217</v>
      </c>
      <c r="BF349" s="3535">
        <v>193.63101821057282</v>
      </c>
      <c r="BG349" s="3535">
        <v>227.71874979882347</v>
      </c>
      <c r="BH349" s="3535">
        <v>185.30277984090137</v>
      </c>
      <c r="BI349" s="3535">
        <v>79.341537002024808</v>
      </c>
      <c r="BJ349" s="3535">
        <v>58.173488037553511</v>
      </c>
      <c r="BK349" s="3535">
        <v>129.93944785987478</v>
      </c>
      <c r="BL349" s="3535">
        <v>133.14752290350478</v>
      </c>
      <c r="BM349" s="3535">
        <v>109.24669639453225</v>
      </c>
      <c r="BN349" s="3535">
        <v>95.830049767462199</v>
      </c>
      <c r="BO349" s="3535">
        <v>182.33301308122424</v>
      </c>
      <c r="BP349" s="3535">
        <v>108.75563620878677</v>
      </c>
      <c r="BQ349" s="3535">
        <v>208.34463994521329</v>
      </c>
      <c r="BR349" s="3535">
        <v>103.40247805439367</v>
      </c>
      <c r="BS349" s="3535">
        <v>447.77108705536699</v>
      </c>
      <c r="BT349" s="3535">
        <v>86.292160125453407</v>
      </c>
      <c r="BU349" s="3535">
        <v>252.62239851498211</v>
      </c>
      <c r="BV349" s="3535">
        <v>119.41205090775456</v>
      </c>
      <c r="BW349" s="3535">
        <v>246.78938463772755</v>
      </c>
      <c r="BX349" s="3535">
        <v>75.629420475735145</v>
      </c>
      <c r="BY349" s="3535">
        <v>108.09864359548958</v>
      </c>
      <c r="BZ349" s="3535">
        <v>155.07986400057612</v>
      </c>
      <c r="CA349" s="3535">
        <v>277.77307028862145</v>
      </c>
      <c r="CB349" s="3535">
        <v>218.66699613056053</v>
      </c>
      <c r="CC349" s="3535">
        <v>92.173174559714127</v>
      </c>
      <c r="CD349" s="3535">
        <v>113.9889253368339</v>
      </c>
      <c r="CE349" s="3535">
        <v>497.31178636864195</v>
      </c>
      <c r="CF349" s="3535">
        <v>74.043590621569564</v>
      </c>
      <c r="CG349" s="3535">
        <v>112.04535619821606</v>
      </c>
      <c r="CH349" s="3535">
        <v>105.22127903786503</v>
      </c>
      <c r="CI349" s="3535">
        <v>107.93268084199094</v>
      </c>
      <c r="CJ349" s="2978">
        <v>131.1105768832316</v>
      </c>
    </row>
    <row r="350" spans="1:88">
      <c r="A350" s="53">
        <f t="shared" si="0"/>
        <v>2022.05</v>
      </c>
      <c r="B350" s="615">
        <v>135.95623391042966</v>
      </c>
      <c r="C350" s="3535">
        <v>134.52756629734299</v>
      </c>
      <c r="D350" s="358">
        <v>134.15316526987601</v>
      </c>
      <c r="E350" s="615">
        <v>154.17253864178863</v>
      </c>
      <c r="F350" s="1215">
        <v>107.89428971293201</v>
      </c>
      <c r="G350" s="1215">
        <v>250.5660774770993</v>
      </c>
      <c r="H350" s="1215">
        <v>138.06095871200714</v>
      </c>
      <c r="I350" s="1215">
        <v>241.29307663649502</v>
      </c>
      <c r="J350" s="1215">
        <v>197.02771015017774</v>
      </c>
      <c r="K350" s="1215">
        <v>142.82234725119898</v>
      </c>
      <c r="L350" s="1215">
        <v>177.4500811296474</v>
      </c>
      <c r="M350" s="1215">
        <v>137.44124029125931</v>
      </c>
      <c r="N350" s="1215">
        <v>107.34060492897437</v>
      </c>
      <c r="O350" s="1215">
        <v>174.78365838527588</v>
      </c>
      <c r="P350" s="1215">
        <v>137.3884291189612</v>
      </c>
      <c r="Q350" s="1215">
        <v>129.42649407873418</v>
      </c>
      <c r="R350" s="2661">
        <v>185.45324192927404</v>
      </c>
      <c r="S350" s="3535">
        <v>66.937583978050355</v>
      </c>
      <c r="T350" s="3535">
        <v>16.143274702651841</v>
      </c>
      <c r="U350" s="3535">
        <v>91.314070160220695</v>
      </c>
      <c r="V350" s="3535">
        <v>96.439563559951935</v>
      </c>
      <c r="W350" s="3535">
        <v>147.96374926308116</v>
      </c>
      <c r="X350" s="3535">
        <v>116.63402290272745</v>
      </c>
      <c r="Y350" s="3535">
        <v>104.49784238628801</v>
      </c>
      <c r="Z350" s="3535">
        <v>68.51236148144379</v>
      </c>
      <c r="AA350" s="3535">
        <v>101.56984924428082</v>
      </c>
      <c r="AB350" s="3535">
        <v>99.714344238012586</v>
      </c>
      <c r="AC350" s="3535">
        <v>44.694631161078064</v>
      </c>
      <c r="AD350" s="3535">
        <v>170.74774594929849</v>
      </c>
      <c r="AE350" s="3535">
        <v>120.16192747874278</v>
      </c>
      <c r="AF350" s="3535">
        <v>105.82449190106294</v>
      </c>
      <c r="AG350" s="3535">
        <v>123.33119648899942</v>
      </c>
      <c r="AH350" s="3535">
        <v>126.74128020328681</v>
      </c>
      <c r="AI350" s="3535">
        <v>116.56343564715917</v>
      </c>
      <c r="AJ350" s="3535">
        <v>154.38254700053065</v>
      </c>
      <c r="AK350" s="3535">
        <v>111.16749718022601</v>
      </c>
      <c r="AL350" s="3535">
        <v>96.470525020905541</v>
      </c>
      <c r="AM350" s="3535">
        <v>57.921773889807668</v>
      </c>
      <c r="AN350" s="3535">
        <v>105.05472063341821</v>
      </c>
      <c r="AO350" s="3535">
        <v>150.21629008691735</v>
      </c>
      <c r="AP350" s="3535">
        <v>172.27359684733477</v>
      </c>
      <c r="AQ350" s="3535">
        <v>87.425691916664647</v>
      </c>
      <c r="AR350" s="3535">
        <v>119.4522061556884</v>
      </c>
      <c r="AS350" s="3535">
        <v>120.94956394861298</v>
      </c>
      <c r="AT350" s="3535">
        <v>101.39665696209197</v>
      </c>
      <c r="AU350" s="3535">
        <v>202.64515586151521</v>
      </c>
      <c r="AV350" s="3535">
        <v>168.34395111233314</v>
      </c>
      <c r="AW350" s="3535">
        <v>157.86589343853112</v>
      </c>
      <c r="AX350" s="3535">
        <v>123.2748504142875</v>
      </c>
      <c r="AY350" s="3535">
        <v>108.93364928909952</v>
      </c>
      <c r="AZ350" s="3535">
        <v>102.70922603861878</v>
      </c>
      <c r="BA350" s="3535">
        <v>128.68445218278211</v>
      </c>
      <c r="BB350" s="3535">
        <v>199.82033123672178</v>
      </c>
      <c r="BC350" s="3535">
        <v>178.40328733145554</v>
      </c>
      <c r="BD350" s="3535">
        <v>175.80789084017022</v>
      </c>
      <c r="BE350" s="3535">
        <v>211.53627280816556</v>
      </c>
      <c r="BF350" s="3535">
        <v>202.38030618830805</v>
      </c>
      <c r="BG350" s="3535">
        <v>242.77962576586128</v>
      </c>
      <c r="BH350" s="3535">
        <v>192.18910621352882</v>
      </c>
      <c r="BI350" s="3535">
        <v>101.05877683299823</v>
      </c>
      <c r="BJ350" s="3535">
        <v>86.291192499847483</v>
      </c>
      <c r="BK350" s="3535">
        <v>136.36425962106094</v>
      </c>
      <c r="BL350" s="3535">
        <v>138.58922907301982</v>
      </c>
      <c r="BM350" s="3535">
        <v>111.22955495241814</v>
      </c>
      <c r="BN350" s="3535">
        <v>95.690486887309461</v>
      </c>
      <c r="BO350" s="3535">
        <v>173.53224709330442</v>
      </c>
      <c r="BP350" s="3535">
        <v>112.20948410607897</v>
      </c>
      <c r="BQ350" s="3535">
        <v>188.18410182732873</v>
      </c>
      <c r="BR350" s="3535">
        <v>101.11050395690592</v>
      </c>
      <c r="BS350" s="3535">
        <v>362.32122472227286</v>
      </c>
      <c r="BT350" s="3535">
        <v>88.195276974837739</v>
      </c>
      <c r="BU350" s="3535">
        <v>272.19414482408757</v>
      </c>
      <c r="BV350" s="3535">
        <v>147.15250840689404</v>
      </c>
      <c r="BW350" s="3535">
        <v>351.12027319865211</v>
      </c>
      <c r="BX350" s="3535">
        <v>80.591030609102404</v>
      </c>
      <c r="BY350" s="3535">
        <v>120.88819709606392</v>
      </c>
      <c r="BZ350" s="3535">
        <v>160.14294341738722</v>
      </c>
      <c r="CA350" s="3535">
        <v>285.93923949220425</v>
      </c>
      <c r="CB350" s="3535">
        <v>232.6306372173498</v>
      </c>
      <c r="CC350" s="3535">
        <v>94.685635593376858</v>
      </c>
      <c r="CD350" s="3535">
        <v>115.33826199213681</v>
      </c>
      <c r="CE350" s="3535">
        <v>489.99896040182074</v>
      </c>
      <c r="CF350" s="3535">
        <v>76.295594507226085</v>
      </c>
      <c r="CG350" s="3535">
        <v>109.06908449836013</v>
      </c>
      <c r="CH350" s="3535">
        <v>101.67367031161568</v>
      </c>
      <c r="CI350" s="3535">
        <v>99.4216704025702</v>
      </c>
      <c r="CJ350" s="2978">
        <v>135.95623391042957</v>
      </c>
    </row>
    <row r="351" spans="1:88">
      <c r="A351" s="53">
        <f t="shared" si="0"/>
        <v>2022.06</v>
      </c>
      <c r="B351" s="615">
        <v>137.74172355073372</v>
      </c>
      <c r="C351" s="3535">
        <v>136.39778222140001</v>
      </c>
      <c r="D351" s="358">
        <v>133.96133817313</v>
      </c>
      <c r="E351" s="615">
        <v>154.71737900027372</v>
      </c>
      <c r="F351" s="1215">
        <v>106.94440221449382</v>
      </c>
      <c r="G351" s="1215">
        <v>258.61086221387524</v>
      </c>
      <c r="H351" s="1215">
        <v>138.06431345549322</v>
      </c>
      <c r="I351" s="1215">
        <v>227.9084915484973</v>
      </c>
      <c r="J351" s="1215">
        <v>188.20052287980741</v>
      </c>
      <c r="K351" s="1215">
        <v>145.05130288673121</v>
      </c>
      <c r="L351" s="1215">
        <v>172.80003041382133</v>
      </c>
      <c r="M351" s="1215">
        <v>141.53593688863779</v>
      </c>
      <c r="N351" s="1215">
        <v>169.48076330265724</v>
      </c>
      <c r="O351" s="1215">
        <v>161.2842510595838</v>
      </c>
      <c r="P351" s="1215">
        <v>119.20408537169263</v>
      </c>
      <c r="Q351" s="1215">
        <v>144.57395809661622</v>
      </c>
      <c r="R351" s="2661">
        <v>183.7939071821153</v>
      </c>
      <c r="S351" s="3535">
        <v>54.703863401919691</v>
      </c>
      <c r="T351" s="3535">
        <v>6.0335520766293849</v>
      </c>
      <c r="U351" s="3535">
        <v>78.061030541851409</v>
      </c>
      <c r="V351" s="3535">
        <v>106.47017643866842</v>
      </c>
      <c r="W351" s="3535">
        <v>274.75968992201007</v>
      </c>
      <c r="X351" s="3535">
        <v>122.16174286625511</v>
      </c>
      <c r="Y351" s="3535">
        <v>102.21117758360472</v>
      </c>
      <c r="Z351" s="3535">
        <v>67.003103010004097</v>
      </c>
      <c r="AA351" s="3535">
        <v>100.73965157380657</v>
      </c>
      <c r="AB351" s="3535">
        <v>93.268610197022568</v>
      </c>
      <c r="AC351" s="3535">
        <v>45.552315603356583</v>
      </c>
      <c r="AD351" s="3535">
        <v>191.95785422703577</v>
      </c>
      <c r="AE351" s="3535">
        <v>114.27687083048747</v>
      </c>
      <c r="AF351" s="3535">
        <v>92.146231102706793</v>
      </c>
      <c r="AG351" s="3535">
        <v>119.04130590487377</v>
      </c>
      <c r="AH351" s="3535">
        <v>124.55584037903382</v>
      </c>
      <c r="AI351" s="3535">
        <v>113.47875288464472</v>
      </c>
      <c r="AJ351" s="3535">
        <v>151.6556398047359</v>
      </c>
      <c r="AK351" s="3535">
        <v>110.37137393675364</v>
      </c>
      <c r="AL351" s="3535">
        <v>99.783646385560161</v>
      </c>
      <c r="AM351" s="3535">
        <v>43.897355935776162</v>
      </c>
      <c r="AN351" s="3535">
        <v>98.576164453441251</v>
      </c>
      <c r="AO351" s="3535">
        <v>149.950850595736</v>
      </c>
      <c r="AP351" s="3535">
        <v>158.22542006365305</v>
      </c>
      <c r="AQ351" s="3535">
        <v>83.068303685921677</v>
      </c>
      <c r="AR351" s="3535">
        <v>126.50005682813762</v>
      </c>
      <c r="AS351" s="3535">
        <v>108.33594995698914</v>
      </c>
      <c r="AT351" s="3535">
        <v>101.77467024563373</v>
      </c>
      <c r="AU351" s="3535">
        <v>205.67087077099382</v>
      </c>
      <c r="AV351" s="3535">
        <v>168.09168993670806</v>
      </c>
      <c r="AW351" s="3535">
        <v>163.98950967117258</v>
      </c>
      <c r="AX351" s="3535">
        <v>121.73287788065646</v>
      </c>
      <c r="AY351" s="3535">
        <v>91.007109004739334</v>
      </c>
      <c r="AZ351" s="3535">
        <v>102.66901799824332</v>
      </c>
      <c r="BA351" s="3535">
        <v>130.14036061169713</v>
      </c>
      <c r="BB351" s="3535">
        <v>197.05700962359697</v>
      </c>
      <c r="BC351" s="3535">
        <v>173.28997552070922</v>
      </c>
      <c r="BD351" s="3535">
        <v>165.26772932299161</v>
      </c>
      <c r="BE351" s="3535">
        <v>213.91648471833921</v>
      </c>
      <c r="BF351" s="3535">
        <v>201.98038748369368</v>
      </c>
      <c r="BG351" s="3535">
        <v>245.28185472715472</v>
      </c>
      <c r="BH351" s="3535">
        <v>188.45522816391929</v>
      </c>
      <c r="BI351" s="3535">
        <v>109.06011926211488</v>
      </c>
      <c r="BJ351" s="3535">
        <v>98.047764798587849</v>
      </c>
      <c r="BK351" s="3535">
        <v>134.51603797114427</v>
      </c>
      <c r="BL351" s="3535">
        <v>137.91071195618591</v>
      </c>
      <c r="BM351" s="3535">
        <v>107.69796037698598</v>
      </c>
      <c r="BN351" s="3535">
        <v>94.261721285558139</v>
      </c>
      <c r="BO351" s="3535">
        <v>162.68586168161684</v>
      </c>
      <c r="BP351" s="3535">
        <v>108.46791116729031</v>
      </c>
      <c r="BQ351" s="3535">
        <v>201.69032069833273</v>
      </c>
      <c r="BR351" s="3535">
        <v>113.61892171901773</v>
      </c>
      <c r="BS351" s="3535">
        <v>400.16690640000331</v>
      </c>
      <c r="BT351" s="3535">
        <v>85.954740006723142</v>
      </c>
      <c r="BU351" s="3535">
        <v>264.18542792930492</v>
      </c>
      <c r="BV351" s="3535">
        <v>178.67784923815066</v>
      </c>
      <c r="BW351" s="3535">
        <v>482.78275487790029</v>
      </c>
      <c r="BX351" s="3535">
        <v>94.061606351561991</v>
      </c>
      <c r="BY351" s="3535">
        <v>105.92704808320656</v>
      </c>
      <c r="BZ351" s="3535">
        <v>164.37414307404848</v>
      </c>
      <c r="CA351" s="3535">
        <v>295.65306596829004</v>
      </c>
      <c r="CB351" s="3535">
        <v>218.70104569227192</v>
      </c>
      <c r="CC351" s="3535">
        <v>98.869537766308142</v>
      </c>
      <c r="CD351" s="3535">
        <v>114.60218147351385</v>
      </c>
      <c r="CE351" s="3535">
        <v>480.86926564330025</v>
      </c>
      <c r="CF351" s="3535">
        <v>76.434196310917542</v>
      </c>
      <c r="CG351" s="3535">
        <v>109.10270810852667</v>
      </c>
      <c r="CH351" s="3535">
        <v>106.12578803258738</v>
      </c>
      <c r="CI351" s="3535">
        <v>90.366017822980965</v>
      </c>
      <c r="CJ351" s="2978">
        <v>137.7417235507337</v>
      </c>
    </row>
    <row r="352" spans="1:88">
      <c r="A352" s="53">
        <f t="shared" si="0"/>
        <v>2022.07</v>
      </c>
      <c r="B352" s="615">
        <v>137.83236809148204</v>
      </c>
      <c r="C352" s="3535">
        <v>136.46407968942501</v>
      </c>
      <c r="D352" s="358">
        <v>133.31041676248401</v>
      </c>
      <c r="E352" s="615">
        <v>156.97538804557581</v>
      </c>
      <c r="F352" s="1215">
        <v>105.30547349404603</v>
      </c>
      <c r="G352" s="1215">
        <v>258.91508663792149</v>
      </c>
      <c r="H352" s="1215">
        <v>143.6905212093601</v>
      </c>
      <c r="I352" s="1215">
        <v>263.55114949919721</v>
      </c>
      <c r="J352" s="1215">
        <v>168.29013207702874</v>
      </c>
      <c r="K352" s="1215">
        <v>117.03280001584761</v>
      </c>
      <c r="L352" s="1215">
        <v>176.00987771059155</v>
      </c>
      <c r="M352" s="1215">
        <v>151.09165491666769</v>
      </c>
      <c r="N352" s="1215">
        <v>193.29993129902968</v>
      </c>
      <c r="O352" s="1215">
        <v>164.4664877838897</v>
      </c>
      <c r="P352" s="1215">
        <v>134.81074715185437</v>
      </c>
      <c r="Q352" s="1215">
        <v>128.63063234719652</v>
      </c>
      <c r="R352" s="2661">
        <v>201.25087324317929</v>
      </c>
      <c r="S352" s="3535">
        <v>65.386550949454914</v>
      </c>
      <c r="T352" s="3535">
        <v>3.2576132318391093</v>
      </c>
      <c r="U352" s="3535">
        <v>95.202591631789829</v>
      </c>
      <c r="V352" s="3535">
        <v>106.36791478147643</v>
      </c>
      <c r="W352" s="3535">
        <v>279.9619232403096</v>
      </c>
      <c r="X352" s="3535">
        <v>126.85691624027243</v>
      </c>
      <c r="Y352" s="3535">
        <v>99.66869513003428</v>
      </c>
      <c r="Z352" s="3535">
        <v>65.380119061843502</v>
      </c>
      <c r="AA352" s="3535">
        <v>82.32083305691819</v>
      </c>
      <c r="AB352" s="3535">
        <v>76.750618561451972</v>
      </c>
      <c r="AC352" s="3535">
        <v>46.213260444267171</v>
      </c>
      <c r="AD352" s="3535">
        <v>144.9005981025758</v>
      </c>
      <c r="AE352" s="3535">
        <v>118.43568123398524</v>
      </c>
      <c r="AF352" s="3535">
        <v>89.095331464275375</v>
      </c>
      <c r="AG352" s="3535">
        <v>127.14327979272521</v>
      </c>
      <c r="AH352" s="3535">
        <v>129.74999645492503</v>
      </c>
      <c r="AI352" s="3535">
        <v>114.47330565099583</v>
      </c>
      <c r="AJ352" s="3535">
        <v>154.39212914545638</v>
      </c>
      <c r="AK352" s="3535">
        <v>107.82496450276844</v>
      </c>
      <c r="AL352" s="3535">
        <v>108.25125203551293</v>
      </c>
      <c r="AM352" s="3535">
        <v>32.170005006347054</v>
      </c>
      <c r="AN352" s="3535">
        <v>101.96329541059717</v>
      </c>
      <c r="AO352" s="3535">
        <v>150.51873535126774</v>
      </c>
      <c r="AP352" s="3535">
        <v>159.18635533249747</v>
      </c>
      <c r="AQ352" s="3535">
        <v>72.684427816270684</v>
      </c>
      <c r="AR352" s="3535">
        <v>147.61529668361862</v>
      </c>
      <c r="AS352" s="3535">
        <v>104.71325974432051</v>
      </c>
      <c r="AT352" s="3535">
        <v>105.19020918294612</v>
      </c>
      <c r="AU352" s="3535">
        <v>210.13394657984972</v>
      </c>
      <c r="AV352" s="3535">
        <v>173.63478096000466</v>
      </c>
      <c r="AW352" s="3535">
        <v>131.89055264003116</v>
      </c>
      <c r="AX352" s="3535">
        <v>121.68220171390097</v>
      </c>
      <c r="AY352" s="3535">
        <v>102.78436018957346</v>
      </c>
      <c r="AZ352" s="3535">
        <v>103.17018287144144</v>
      </c>
      <c r="BA352" s="3535">
        <v>127.71725445473515</v>
      </c>
      <c r="BB352" s="3535">
        <v>199.26206223625564</v>
      </c>
      <c r="BC352" s="3535">
        <v>180.02570961955587</v>
      </c>
      <c r="BD352" s="3535">
        <v>152.48873219464025</v>
      </c>
      <c r="BE352" s="3535">
        <v>225.58057839181399</v>
      </c>
      <c r="BF352" s="3535">
        <v>218.64138730028114</v>
      </c>
      <c r="BG352" s="3535">
        <v>247.98969512460366</v>
      </c>
      <c r="BH352" s="3535">
        <v>187.53693812009129</v>
      </c>
      <c r="BI352" s="3535">
        <v>109.41314444253219</v>
      </c>
      <c r="BJ352" s="3535">
        <v>98.548579480764431</v>
      </c>
      <c r="BK352" s="3535">
        <v>142.57185791420358</v>
      </c>
      <c r="BL352" s="3535">
        <v>129.9065804436616</v>
      </c>
      <c r="BM352" s="3535">
        <v>116.03191667259463</v>
      </c>
      <c r="BN352" s="3535">
        <v>94.386070073213403</v>
      </c>
      <c r="BO352" s="3535">
        <v>167.26124916194155</v>
      </c>
      <c r="BP352" s="3535">
        <v>119.86134171610429</v>
      </c>
      <c r="BQ352" s="3535">
        <v>203.01397357875464</v>
      </c>
      <c r="BR352" s="3535">
        <v>99.374876658045139</v>
      </c>
      <c r="BS352" s="3535">
        <v>437.78531751464448</v>
      </c>
      <c r="BT352" s="3535">
        <v>87.686382279120139</v>
      </c>
      <c r="BU352" s="3535">
        <v>242.13261276046626</v>
      </c>
      <c r="BV352" s="3535">
        <v>157.97617509968251</v>
      </c>
      <c r="BW352" s="3535">
        <v>399.54851440115709</v>
      </c>
      <c r="BX352" s="3535">
        <v>86.733730216755518</v>
      </c>
      <c r="BY352" s="3535">
        <v>109.43266563891206</v>
      </c>
      <c r="BZ352" s="3535">
        <v>159.06343206492221</v>
      </c>
      <c r="CA352" s="3535">
        <v>281.71736817983214</v>
      </c>
      <c r="CB352" s="3535">
        <v>232.41618975657755</v>
      </c>
      <c r="CC352" s="3535">
        <v>94.889118450862668</v>
      </c>
      <c r="CD352" s="3535">
        <v>114.79700413881703</v>
      </c>
      <c r="CE352" s="3535">
        <v>473.03681655089071</v>
      </c>
      <c r="CF352" s="3535">
        <v>77.46552545629109</v>
      </c>
      <c r="CG352" s="3535">
        <v>118.48554680092532</v>
      </c>
      <c r="CH352" s="3535">
        <v>113.62888026160827</v>
      </c>
      <c r="CI352" s="3535">
        <v>110.74127302555735</v>
      </c>
      <c r="CJ352" s="2978">
        <v>137.83236809148198</v>
      </c>
    </row>
    <row r="353" spans="1:88">
      <c r="A353" s="53">
        <f t="shared" si="0"/>
        <v>2022.08</v>
      </c>
      <c r="B353" s="615">
        <v>142.69539492532036</v>
      </c>
      <c r="C353" s="3535">
        <v>132.11528840998</v>
      </c>
      <c r="D353" s="358">
        <v>132.42324160851001</v>
      </c>
      <c r="E353" s="615">
        <v>164.16538187316272</v>
      </c>
      <c r="F353" s="1215">
        <v>115.94200585658231</v>
      </c>
      <c r="G353" s="1215">
        <v>272.15679688129325</v>
      </c>
      <c r="H353" s="1215">
        <v>146.78972167088486</v>
      </c>
      <c r="I353" s="1215">
        <v>275.10286390283852</v>
      </c>
      <c r="J353" s="1215">
        <v>151.2105424116599</v>
      </c>
      <c r="K353" s="1215">
        <v>135.36310838075366</v>
      </c>
      <c r="L353" s="1215">
        <v>163.11527829465794</v>
      </c>
      <c r="M353" s="1215">
        <v>147.49271569509929</v>
      </c>
      <c r="N353" s="1215">
        <v>192.90010659351242</v>
      </c>
      <c r="O353" s="1215">
        <v>151.5054175610525</v>
      </c>
      <c r="P353" s="1215">
        <v>161.80209204926263</v>
      </c>
      <c r="Q353" s="1215">
        <v>159.62912988255175</v>
      </c>
      <c r="R353" s="2661">
        <v>208.31230180505085</v>
      </c>
      <c r="S353" s="3535">
        <v>63.943884364031625</v>
      </c>
      <c r="T353" s="3535">
        <v>0.21198036838207193</v>
      </c>
      <c r="U353" s="3535">
        <v>94.529197940995687</v>
      </c>
      <c r="V353" s="3535">
        <v>110.65754545207405</v>
      </c>
      <c r="W353" s="3535">
        <v>226.99403394760247</v>
      </c>
      <c r="X353" s="3535">
        <v>129.96323077205</v>
      </c>
      <c r="Y353" s="3535">
        <v>108.55361902981929</v>
      </c>
      <c r="Z353" s="3535">
        <v>78.298196572174632</v>
      </c>
      <c r="AA353" s="3535">
        <v>90.872773803739392</v>
      </c>
      <c r="AB353" s="3535">
        <v>82.537063414199736</v>
      </c>
      <c r="AC353" s="3535">
        <v>47.819481667015708</v>
      </c>
      <c r="AD353" s="3535">
        <v>172.68797366661909</v>
      </c>
      <c r="AE353" s="3535">
        <v>123.47067292503974</v>
      </c>
      <c r="AF353" s="3535">
        <v>98.649205822417755</v>
      </c>
      <c r="AG353" s="3535">
        <v>133.29268773489073</v>
      </c>
      <c r="AH353" s="3535">
        <v>130.66664865085895</v>
      </c>
      <c r="AI353" s="3535">
        <v>117.14790379693792</v>
      </c>
      <c r="AJ353" s="3535">
        <v>160.57961153869886</v>
      </c>
      <c r="AK353" s="3535">
        <v>109.89535870605323</v>
      </c>
      <c r="AL353" s="3535">
        <v>104.76998215576421</v>
      </c>
      <c r="AM353" s="3535">
        <v>39.573211238396659</v>
      </c>
      <c r="AN353" s="3535">
        <v>103.94520559463976</v>
      </c>
      <c r="AO353" s="3535">
        <v>155.9031706083745</v>
      </c>
      <c r="AP353" s="3535">
        <v>163.75788963940738</v>
      </c>
      <c r="AQ353" s="3535">
        <v>64.542606254530483</v>
      </c>
      <c r="AR353" s="3535">
        <v>157.50626162395562</v>
      </c>
      <c r="AS353" s="3535">
        <v>109.75325913349924</v>
      </c>
      <c r="AT353" s="3535">
        <v>118.91571587432217</v>
      </c>
      <c r="AU353" s="3535">
        <v>221.76494721079385</v>
      </c>
      <c r="AV353" s="3535">
        <v>172.420193248011</v>
      </c>
      <c r="AW353" s="3535">
        <v>137.07309657210328</v>
      </c>
      <c r="AX353" s="3535">
        <v>129.6089606567563</v>
      </c>
      <c r="AY353" s="3535">
        <v>88.246445497630333</v>
      </c>
      <c r="AZ353" s="3535">
        <v>117.2653849605386</v>
      </c>
      <c r="BA353" s="3535">
        <v>139.23119581229687</v>
      </c>
      <c r="BB353" s="3535">
        <v>210.37889139459051</v>
      </c>
      <c r="BC353" s="3535">
        <v>180.675014769564</v>
      </c>
      <c r="BD353" s="3535">
        <v>167.25489674074254</v>
      </c>
      <c r="BE353" s="3535">
        <v>230.5580130683004</v>
      </c>
      <c r="BF353" s="3535">
        <v>219.68061768682946</v>
      </c>
      <c r="BG353" s="3535">
        <v>280.77491852040913</v>
      </c>
      <c r="BH353" s="3535">
        <v>193.57120515864972</v>
      </c>
      <c r="BI353" s="3535">
        <v>112.42653825885162</v>
      </c>
      <c r="BJ353" s="3535">
        <v>99.122378909961441</v>
      </c>
      <c r="BK353" s="3535">
        <v>141.50840465918532</v>
      </c>
      <c r="BL353" s="3535">
        <v>148.93755705800677</v>
      </c>
      <c r="BM353" s="3535">
        <v>122.40248370085261</v>
      </c>
      <c r="BN353" s="3535">
        <v>102.6311434181401</v>
      </c>
      <c r="BO353" s="3535">
        <v>175.86036447468189</v>
      </c>
      <c r="BP353" s="3535">
        <v>125.43836277562896</v>
      </c>
      <c r="BQ353" s="3535">
        <v>203.21265275958785</v>
      </c>
      <c r="BR353" s="3535">
        <v>119.73301073088696</v>
      </c>
      <c r="BS353" s="3535">
        <v>387.35733845953507</v>
      </c>
      <c r="BT353" s="3535">
        <v>91.240325813210816</v>
      </c>
      <c r="BU353" s="3535">
        <v>273.93023912016747</v>
      </c>
      <c r="BV353" s="3535">
        <v>132.41508946135568</v>
      </c>
      <c r="BW353" s="3535">
        <v>239.58298207705002</v>
      </c>
      <c r="BX353" s="3535">
        <v>99.5208509518814</v>
      </c>
      <c r="BY353" s="3535">
        <v>113.84140686462673</v>
      </c>
      <c r="BZ353" s="3535">
        <v>181.46914449729672</v>
      </c>
      <c r="CA353" s="3535">
        <v>337.95127137357753</v>
      </c>
      <c r="CB353" s="3535">
        <v>252.4101250432299</v>
      </c>
      <c r="CC353" s="3535">
        <v>102.57502336464972</v>
      </c>
      <c r="CD353" s="3535">
        <v>121.49738261146469</v>
      </c>
      <c r="CE353" s="3535">
        <v>505.65709592879534</v>
      </c>
      <c r="CF353" s="3535">
        <v>81.464841136440569</v>
      </c>
      <c r="CG353" s="3535">
        <v>111.86883070884652</v>
      </c>
      <c r="CH353" s="3535">
        <v>112.68459159911794</v>
      </c>
      <c r="CI353" s="3535">
        <v>84.760129204282578</v>
      </c>
      <c r="CJ353" s="2978">
        <v>142.69539492532033</v>
      </c>
    </row>
    <row r="354" spans="1:88">
      <c r="A354" s="53">
        <f t="shared" si="0"/>
        <v>2022.09</v>
      </c>
      <c r="B354" s="615">
        <v>137.89850280383965</v>
      </c>
      <c r="C354" s="3535">
        <v>130.504379426393</v>
      </c>
      <c r="D354" s="358">
        <v>131.57745869514301</v>
      </c>
      <c r="E354" s="615">
        <v>157.74108826318769</v>
      </c>
      <c r="F354" s="1215">
        <v>111.60583738601592</v>
      </c>
      <c r="G354" s="1215">
        <v>266.83388730058198</v>
      </c>
      <c r="H354" s="1215">
        <v>144.94483225634568</v>
      </c>
      <c r="I354" s="1215">
        <v>279.86510670267285</v>
      </c>
      <c r="J354" s="1215">
        <v>134.01679447970477</v>
      </c>
      <c r="K354" s="1215">
        <v>124.30655422429358</v>
      </c>
      <c r="L354" s="1215">
        <v>157.82324879090172</v>
      </c>
      <c r="M354" s="1215">
        <v>140.00241504305907</v>
      </c>
      <c r="N354" s="1215">
        <v>176.32345002801588</v>
      </c>
      <c r="O354" s="1215">
        <v>126.00438560080377</v>
      </c>
      <c r="P354" s="1215">
        <v>176.24654891051335</v>
      </c>
      <c r="Q354" s="1215">
        <v>152.09657313140994</v>
      </c>
      <c r="R354" s="2661">
        <v>194.36978793971852</v>
      </c>
      <c r="S354" s="3535">
        <v>62.124198949768868</v>
      </c>
      <c r="T354" s="3535">
        <v>0</v>
      </c>
      <c r="U354" s="3535">
        <v>91.937965469690909</v>
      </c>
      <c r="V354" s="3535">
        <v>99.036244419597949</v>
      </c>
      <c r="W354" s="3535">
        <v>186.45113279319406</v>
      </c>
      <c r="X354" s="3535">
        <v>127.81034925889308</v>
      </c>
      <c r="Y354" s="3535">
        <v>99.49637885215131</v>
      </c>
      <c r="Z354" s="3535">
        <v>65.632658552250945</v>
      </c>
      <c r="AA354" s="3535">
        <v>94.677418559988553</v>
      </c>
      <c r="AB354" s="3535">
        <v>85.575449065296908</v>
      </c>
      <c r="AC354" s="3535">
        <v>45.574477505745662</v>
      </c>
      <c r="AD354" s="3535">
        <v>186.26798994284786</v>
      </c>
      <c r="AE354" s="3535">
        <v>119.25206129638991</v>
      </c>
      <c r="AF354" s="3535">
        <v>93.455731700201071</v>
      </c>
      <c r="AG354" s="3535">
        <v>130.46693414484051</v>
      </c>
      <c r="AH354" s="3535">
        <v>125.75627722563746</v>
      </c>
      <c r="AI354" s="3535">
        <v>110.0430368889002</v>
      </c>
      <c r="AJ354" s="3535">
        <v>151.92902772721942</v>
      </c>
      <c r="AK354" s="3535">
        <v>104.52839005770429</v>
      </c>
      <c r="AL354" s="3535">
        <v>88.946973046717247</v>
      </c>
      <c r="AM354" s="3535">
        <v>39.528237812334829</v>
      </c>
      <c r="AN354" s="3535">
        <v>96.799752206732066</v>
      </c>
      <c r="AO354" s="3535">
        <v>149.77122130097604</v>
      </c>
      <c r="AP354" s="3535">
        <v>159.5102286457053</v>
      </c>
      <c r="AQ354" s="3535">
        <v>78.25916380658569</v>
      </c>
      <c r="AR354" s="3535">
        <v>150.05092266153483</v>
      </c>
      <c r="AS354" s="3535">
        <v>100.44168974430647</v>
      </c>
      <c r="AT354" s="3535">
        <v>118.85951843229815</v>
      </c>
      <c r="AU354" s="3535">
        <v>205.67475329726173</v>
      </c>
      <c r="AV354" s="3535">
        <v>164.32238128228039</v>
      </c>
      <c r="AW354" s="3535">
        <v>139.11090234535934</v>
      </c>
      <c r="AX354" s="3535">
        <v>123.42684087830081</v>
      </c>
      <c r="AY354" s="3535">
        <v>66.671563981042652</v>
      </c>
      <c r="AZ354" s="3535">
        <v>109.28280024042806</v>
      </c>
      <c r="BA354" s="3535">
        <v>136.27432584275897</v>
      </c>
      <c r="BB354" s="3535">
        <v>206.47603935210071</v>
      </c>
      <c r="BC354" s="3535">
        <v>171.70993345192019</v>
      </c>
      <c r="BD354" s="3535">
        <v>165.776186541649</v>
      </c>
      <c r="BE354" s="3535">
        <v>232.97755939536927</v>
      </c>
      <c r="BF354" s="3535">
        <v>219.0591508825126</v>
      </c>
      <c r="BG354" s="3535">
        <v>264.47360585112244</v>
      </c>
      <c r="BH354" s="3535">
        <v>194.89512087465837</v>
      </c>
      <c r="BI354" s="3535">
        <v>106.73890287564772</v>
      </c>
      <c r="BJ354" s="3535">
        <v>94.978642324348499</v>
      </c>
      <c r="BK354" s="3535">
        <v>136.82269301827719</v>
      </c>
      <c r="BL354" s="3535">
        <v>134.67669089001586</v>
      </c>
      <c r="BM354" s="3535">
        <v>120.78961589728965</v>
      </c>
      <c r="BN354" s="3535">
        <v>104.58105182848129</v>
      </c>
      <c r="BO354" s="3535">
        <v>183.60414721819413</v>
      </c>
      <c r="BP354" s="3535">
        <v>121.96232932893376</v>
      </c>
      <c r="BQ354" s="3535">
        <v>205.75470034113553</v>
      </c>
      <c r="BR354" s="3535">
        <v>135.0222690840003</v>
      </c>
      <c r="BS354" s="3535">
        <v>393.80408696973262</v>
      </c>
      <c r="BT354" s="3535">
        <v>85.194881541829218</v>
      </c>
      <c r="BU354" s="3535">
        <v>240.75599807736498</v>
      </c>
      <c r="BV354" s="3535">
        <v>135.2703277852452</v>
      </c>
      <c r="BW354" s="3535">
        <v>259.51789693556918</v>
      </c>
      <c r="BX354" s="3535">
        <v>97.322808978715884</v>
      </c>
      <c r="BY354" s="3535">
        <v>113.30193325943704</v>
      </c>
      <c r="BZ354" s="3535">
        <v>174.09334694825282</v>
      </c>
      <c r="CA354" s="3535">
        <v>328.55578882722682</v>
      </c>
      <c r="CB354" s="3535">
        <v>240.48820387645574</v>
      </c>
      <c r="CC354" s="3535">
        <v>96.69524302997668</v>
      </c>
      <c r="CD354" s="3535">
        <v>122.80121600620312</v>
      </c>
      <c r="CE354" s="3535">
        <v>495.3574025990801</v>
      </c>
      <c r="CF354" s="3535">
        <v>83.977855631513521</v>
      </c>
      <c r="CG354" s="3535">
        <v>99.661158889838873</v>
      </c>
      <c r="CH354" s="3535">
        <v>100.82324874898836</v>
      </c>
      <c r="CI354" s="3535">
        <v>65.776102173187311</v>
      </c>
      <c r="CJ354" s="2978">
        <v>137.89850280383962</v>
      </c>
    </row>
    <row r="355" spans="1:88">
      <c r="A355" s="53">
        <f t="shared" si="0"/>
        <v>2022.1</v>
      </c>
      <c r="B355" s="615">
        <v>133.92179942776679</v>
      </c>
      <c r="C355" s="3535">
        <v>129.642751959751</v>
      </c>
      <c r="D355" s="358">
        <v>131.047930933115</v>
      </c>
      <c r="E355" s="615">
        <v>149.2889481777417</v>
      </c>
      <c r="F355" s="1215">
        <v>103.08493419279598</v>
      </c>
      <c r="G355" s="1215">
        <v>252.85824515523311</v>
      </c>
      <c r="H355" s="1215">
        <v>139.76882647289116</v>
      </c>
      <c r="I355" s="1215">
        <v>259.28228650767733</v>
      </c>
      <c r="J355" s="1215">
        <v>133.46102476517925</v>
      </c>
      <c r="K355" s="1215">
        <v>129.88948805050038</v>
      </c>
      <c r="L355" s="1215">
        <v>152.67683124590778</v>
      </c>
      <c r="M355" s="1215">
        <v>132.86789032290807</v>
      </c>
      <c r="N355" s="1215">
        <v>108.65595837227485</v>
      </c>
      <c r="O355" s="1215">
        <v>115.58563592238799</v>
      </c>
      <c r="P355" s="1215">
        <v>177.64195071152568</v>
      </c>
      <c r="Q355" s="1215">
        <v>136.1580517448761</v>
      </c>
      <c r="R355" s="2661">
        <v>185.67266089470294</v>
      </c>
      <c r="S355" s="3535">
        <v>58.724956033420128</v>
      </c>
      <c r="T355" s="3535">
        <v>0</v>
      </c>
      <c r="U355" s="3535">
        <v>86.907405991265236</v>
      </c>
      <c r="V355" s="3535">
        <v>82.246203300857161</v>
      </c>
      <c r="W355" s="3535">
        <v>51.490357499087295</v>
      </c>
      <c r="X355" s="3535">
        <v>124.09300524298617</v>
      </c>
      <c r="Y355" s="3535">
        <v>89.924727520823481</v>
      </c>
      <c r="Z355" s="3535">
        <v>60.55022931059208</v>
      </c>
      <c r="AA355" s="3535">
        <v>97.862740138280856</v>
      </c>
      <c r="AB355" s="3535">
        <v>91.122856156873382</v>
      </c>
      <c r="AC355" s="3535">
        <v>45.079766834997784</v>
      </c>
      <c r="AD355" s="3535">
        <v>183.38322329044334</v>
      </c>
      <c r="AE355" s="3535">
        <v>113.83796244591302</v>
      </c>
      <c r="AF355" s="3535">
        <v>91.85035759893529</v>
      </c>
      <c r="AG355" s="3535">
        <v>127.31625867949822</v>
      </c>
      <c r="AH355" s="3535">
        <v>115.58992529160319</v>
      </c>
      <c r="AI355" s="3535">
        <v>112.63305073051683</v>
      </c>
      <c r="AJ355" s="3535">
        <v>152.05712402464587</v>
      </c>
      <c r="AK355" s="3535">
        <v>106.81415452128627</v>
      </c>
      <c r="AL355" s="3535">
        <v>93.444037029852737</v>
      </c>
      <c r="AM355" s="3535">
        <v>28.514342486837023</v>
      </c>
      <c r="AN355" s="3535">
        <v>101.44968980633114</v>
      </c>
      <c r="AO355" s="3535">
        <v>151.67798865389213</v>
      </c>
      <c r="AP355" s="3535">
        <v>157.64652629765448</v>
      </c>
      <c r="AQ355" s="3535">
        <v>84.443149937439316</v>
      </c>
      <c r="AR355" s="3535">
        <v>146.63257197288692</v>
      </c>
      <c r="AS355" s="3535">
        <v>104.98554014634351</v>
      </c>
      <c r="AT355" s="3535">
        <v>108.80583078187654</v>
      </c>
      <c r="AU355" s="3535">
        <v>206.21126700475767</v>
      </c>
      <c r="AV355" s="3535">
        <v>157.57138895425805</v>
      </c>
      <c r="AW355" s="3535">
        <v>167.64819621294413</v>
      </c>
      <c r="AX355" s="3535">
        <v>128.07858209549894</v>
      </c>
      <c r="AY355" s="3535">
        <v>121.14928909952607</v>
      </c>
      <c r="AZ355" s="3535">
        <v>113.55219224885192</v>
      </c>
      <c r="BA355" s="3535">
        <v>131.27667272672022</v>
      </c>
      <c r="BB355" s="3535">
        <v>202.5825915197147</v>
      </c>
      <c r="BC355" s="3535">
        <v>179.72615412716536</v>
      </c>
      <c r="BD355" s="3535">
        <v>171.83423611489965</v>
      </c>
      <c r="BE355" s="3535">
        <v>223.04820944457725</v>
      </c>
      <c r="BF355" s="3535">
        <v>203.80352099586108</v>
      </c>
      <c r="BG355" s="3535">
        <v>245.73308785235346</v>
      </c>
      <c r="BH355" s="3535">
        <v>189.50655803585752</v>
      </c>
      <c r="BI355" s="3535">
        <v>111.3306403487873</v>
      </c>
      <c r="BJ355" s="3535">
        <v>97.946085203384797</v>
      </c>
      <c r="BK355" s="3535">
        <v>145.85822143027727</v>
      </c>
      <c r="BL355" s="3535">
        <v>142.84108887365366</v>
      </c>
      <c r="BM355" s="3535">
        <v>114.18017665385335</v>
      </c>
      <c r="BN355" s="3535">
        <v>101.80395525116349</v>
      </c>
      <c r="BO355" s="3535">
        <v>177.55846712266356</v>
      </c>
      <c r="BP355" s="3535">
        <v>114.00721976704159</v>
      </c>
      <c r="BQ355" s="3535">
        <v>176.51439506868607</v>
      </c>
      <c r="BR355" s="3535">
        <v>123.23220536128002</v>
      </c>
      <c r="BS355" s="3535">
        <v>319.29384899722163</v>
      </c>
      <c r="BT355" s="3535">
        <v>84.86149217573562</v>
      </c>
      <c r="BU355" s="3535">
        <v>201.90707964853587</v>
      </c>
      <c r="BV355" s="3535">
        <v>138.47888612610902</v>
      </c>
      <c r="BW355" s="3535">
        <v>317.60045485571032</v>
      </c>
      <c r="BX355" s="3535">
        <v>83.447993225631521</v>
      </c>
      <c r="BY355" s="3535">
        <v>107.55203826762622</v>
      </c>
      <c r="BZ355" s="3535">
        <v>165.75147904746194</v>
      </c>
      <c r="CA355" s="3535">
        <v>322.16299599883678</v>
      </c>
      <c r="CB355" s="3535">
        <v>215.04728364667935</v>
      </c>
      <c r="CC355" s="3535">
        <v>89.737082044299214</v>
      </c>
      <c r="CD355" s="3535">
        <v>111.3591088197829</v>
      </c>
      <c r="CE355" s="3535">
        <v>452.48477204090074</v>
      </c>
      <c r="CF355" s="3535">
        <v>75.811062557539813</v>
      </c>
      <c r="CG355" s="3535">
        <v>100.51726777545684</v>
      </c>
      <c r="CH355" s="3535">
        <v>86.265056554155919</v>
      </c>
      <c r="CI355" s="3535">
        <v>97.274862856383862</v>
      </c>
      <c r="CJ355" s="2978">
        <v>133.92179942776681</v>
      </c>
    </row>
    <row r="356" spans="1:88">
      <c r="A356" s="53">
        <f t="shared" si="0"/>
        <v>2022.11</v>
      </c>
      <c r="B356" s="615">
        <v>134.14810212988814</v>
      </c>
      <c r="C356" s="3535">
        <v>129.52596088527</v>
      </c>
      <c r="D356" s="358">
        <v>130.997144058711</v>
      </c>
      <c r="E356" s="615">
        <v>149.99608199510072</v>
      </c>
      <c r="F356" s="1215">
        <v>109.89532777147866</v>
      </c>
      <c r="G356" s="1215">
        <v>267.24943849344106</v>
      </c>
      <c r="H356" s="1215">
        <v>144.05649928615924</v>
      </c>
      <c r="I356" s="1215">
        <v>227.40712563067166</v>
      </c>
      <c r="J356" s="1215">
        <v>149.12290353606795</v>
      </c>
      <c r="K356" s="1215">
        <v>117.18219160594121</v>
      </c>
      <c r="L356" s="1215">
        <v>148.48647410809448</v>
      </c>
      <c r="M356" s="1215">
        <v>130.29559148358334</v>
      </c>
      <c r="N356" s="1215">
        <v>98.319569809768566</v>
      </c>
      <c r="O356" s="1215">
        <v>114.59733278039296</v>
      </c>
      <c r="P356" s="1215">
        <v>182.7149998317677</v>
      </c>
      <c r="Q356" s="1215">
        <v>125.5119273829215</v>
      </c>
      <c r="R356" s="2661">
        <v>205.26736587582687</v>
      </c>
      <c r="S356" s="3535">
        <v>62.913885308342543</v>
      </c>
      <c r="T356" s="3535">
        <v>0</v>
      </c>
      <c r="U356" s="3535">
        <v>93.106626931630004</v>
      </c>
      <c r="V356" s="3535">
        <v>83.027818944829235</v>
      </c>
      <c r="W356" s="3535">
        <v>16.493740405214606</v>
      </c>
      <c r="X356" s="3535">
        <v>120.81269057381886</v>
      </c>
      <c r="Y356" s="3535">
        <v>96.339829518458743</v>
      </c>
      <c r="Z356" s="3535">
        <v>66.109294953567712</v>
      </c>
      <c r="AA356" s="3535">
        <v>99.835502731669891</v>
      </c>
      <c r="AB356" s="3535">
        <v>92.501795959831512</v>
      </c>
      <c r="AC356" s="3535">
        <v>43.782678354372514</v>
      </c>
      <c r="AD356" s="3535">
        <v>191.40293083541312</v>
      </c>
      <c r="AE356" s="3535">
        <v>111.46527665281354</v>
      </c>
      <c r="AF356" s="3535">
        <v>94.821817805590754</v>
      </c>
      <c r="AG356" s="3535">
        <v>115.43472643778871</v>
      </c>
      <c r="AH356" s="3535">
        <v>118.82184551266698</v>
      </c>
      <c r="AI356" s="3535">
        <v>113.35740700166367</v>
      </c>
      <c r="AJ356" s="3535">
        <v>149.00212608937184</v>
      </c>
      <c r="AK356" s="3535">
        <v>106.47016159042053</v>
      </c>
      <c r="AL356" s="3535">
        <v>105.16474336332635</v>
      </c>
      <c r="AM356" s="3535">
        <v>28.293809024134308</v>
      </c>
      <c r="AN356" s="3535">
        <v>104.09964004219604</v>
      </c>
      <c r="AO356" s="3535">
        <v>152.48930086850399</v>
      </c>
      <c r="AP356" s="3535">
        <v>150.74071509950917</v>
      </c>
      <c r="AQ356" s="3535">
        <v>78.564127516855265</v>
      </c>
      <c r="AR356" s="3535">
        <v>137.53720730434415</v>
      </c>
      <c r="AS356" s="3535">
        <v>111.88493615821935</v>
      </c>
      <c r="AT356" s="3535">
        <v>117.55945758231856</v>
      </c>
      <c r="AU356" s="3535">
        <v>213.11152470759885</v>
      </c>
      <c r="AV356" s="3535">
        <v>163.03706920640309</v>
      </c>
      <c r="AW356" s="3535">
        <v>154.08238195085016</v>
      </c>
      <c r="AX356" s="3535">
        <v>123.08706790068305</v>
      </c>
      <c r="AY356" s="3535">
        <v>120.04739336492891</v>
      </c>
      <c r="AZ356" s="3535">
        <v>97.310968883771906</v>
      </c>
      <c r="BA356" s="3535">
        <v>126.96030858130318</v>
      </c>
      <c r="BB356" s="3535">
        <v>202.58180985470656</v>
      </c>
      <c r="BC356" s="3535">
        <v>196.10264023390354</v>
      </c>
      <c r="BD356" s="3535">
        <v>165.27959250298542</v>
      </c>
      <c r="BE356" s="3535">
        <v>217.06841870047722</v>
      </c>
      <c r="BF356" s="3535">
        <v>197.44338213659586</v>
      </c>
      <c r="BG356" s="3535">
        <v>248.03957968749677</v>
      </c>
      <c r="BH356" s="3535">
        <v>188.50536289834147</v>
      </c>
      <c r="BI356" s="3535">
        <v>106.32694402189701</v>
      </c>
      <c r="BJ356" s="3535">
        <v>88.348802724610394</v>
      </c>
      <c r="BK356" s="3535">
        <v>150.80036182820251</v>
      </c>
      <c r="BL356" s="3535">
        <v>150.538219640704</v>
      </c>
      <c r="BM356" s="3535">
        <v>119.0984866493247</v>
      </c>
      <c r="BN356" s="3535">
        <v>104.56453631894733</v>
      </c>
      <c r="BO356" s="3535">
        <v>207.42371012718954</v>
      </c>
      <c r="BP356" s="3535">
        <v>117.93221017567667</v>
      </c>
      <c r="BQ356" s="3535">
        <v>164.08466920096612</v>
      </c>
      <c r="BR356" s="3535">
        <v>123.1899200212938</v>
      </c>
      <c r="BS356" s="3535">
        <v>259.95643864460794</v>
      </c>
      <c r="BT356" s="3535">
        <v>89.838838564528714</v>
      </c>
      <c r="BU356" s="3535">
        <v>217.0890160698803</v>
      </c>
      <c r="BV356" s="3535">
        <v>146.85170349595322</v>
      </c>
      <c r="BW356" s="3535">
        <v>346.7385702442582</v>
      </c>
      <c r="BX356" s="3535">
        <v>86.134908186779626</v>
      </c>
      <c r="BY356" s="3535">
        <v>110.74590183534737</v>
      </c>
      <c r="BZ356" s="3535">
        <v>173.61409124004393</v>
      </c>
      <c r="CA356" s="3535">
        <v>327.44014289671685</v>
      </c>
      <c r="CB356" s="3535">
        <v>224.24859343916071</v>
      </c>
      <c r="CC356" s="3535">
        <v>98.572813235506629</v>
      </c>
      <c r="CD356" s="3535">
        <v>122.23611480991687</v>
      </c>
      <c r="CE356" s="3535">
        <v>498.47034573933178</v>
      </c>
      <c r="CF356" s="3535">
        <v>83.029472541407742</v>
      </c>
      <c r="CG356" s="3535">
        <v>108.34828538715519</v>
      </c>
      <c r="CH356" s="3535">
        <v>97.157330321203645</v>
      </c>
      <c r="CI356" s="3535">
        <v>106.16056492461848</v>
      </c>
      <c r="CJ356" s="2978">
        <v>134.14810212988806</v>
      </c>
    </row>
    <row r="357" spans="1:88">
      <c r="A357" s="53">
        <f t="shared" si="0"/>
        <v>2022.12</v>
      </c>
      <c r="B357" s="615">
        <v>123.35551311628166</v>
      </c>
      <c r="C357" s="3535">
        <v>130.257698449542</v>
      </c>
      <c r="D357" s="358">
        <v>131.39169121359299</v>
      </c>
      <c r="E357" s="615">
        <v>142.08303945319</v>
      </c>
      <c r="F357" s="1215">
        <v>112.14976191201202</v>
      </c>
      <c r="G357" s="1215">
        <v>260.6973895105773</v>
      </c>
      <c r="H357" s="1215">
        <v>151.94593589677717</v>
      </c>
      <c r="I357" s="1215">
        <v>221.84171849305821</v>
      </c>
      <c r="J357" s="1215">
        <v>122.78201900119645</v>
      </c>
      <c r="K357" s="1215">
        <v>127.56188833662337</v>
      </c>
      <c r="L357" s="1215">
        <v>140.73455837635098</v>
      </c>
      <c r="M357" s="1215">
        <v>113.19479542005018</v>
      </c>
      <c r="N357" s="1215">
        <v>67.604410277713413</v>
      </c>
      <c r="O357" s="1215">
        <v>89.463593592034215</v>
      </c>
      <c r="P357" s="1215">
        <v>175.72514071877538</v>
      </c>
      <c r="Q357" s="1215">
        <v>105.01818725567549</v>
      </c>
      <c r="R357" s="2661">
        <v>220.8218726436194</v>
      </c>
      <c r="S357" s="3535">
        <v>57.336858347823686</v>
      </c>
      <c r="T357" s="3535">
        <v>0</v>
      </c>
      <c r="U357" s="3535">
        <v>84.853152105591633</v>
      </c>
      <c r="V357" s="3535">
        <v>61.450160789147475</v>
      </c>
      <c r="W357" s="3535">
        <v>11.538355687300136</v>
      </c>
      <c r="X357" s="3535">
        <v>79.941139595672112</v>
      </c>
      <c r="Y357" s="3535">
        <v>72.046026963479321</v>
      </c>
      <c r="Z357" s="3535">
        <v>53.332402129272296</v>
      </c>
      <c r="AA357" s="3535">
        <v>98.739001415585491</v>
      </c>
      <c r="AB357" s="3535">
        <v>99.58784276173165</v>
      </c>
      <c r="AC357" s="3535">
        <v>42.479717592417856</v>
      </c>
      <c r="AD357" s="3535">
        <v>155.76286227865037</v>
      </c>
      <c r="AE357" s="3535">
        <v>100.43920171446626</v>
      </c>
      <c r="AF357" s="3535">
        <v>77.818996270617475</v>
      </c>
      <c r="AG357" s="3535">
        <v>111.10710202070811</v>
      </c>
      <c r="AH357" s="3535">
        <v>105.33584943372175</v>
      </c>
      <c r="AI357" s="3535">
        <v>120.60603384161772</v>
      </c>
      <c r="AJ357" s="3535">
        <v>161.8864833257164</v>
      </c>
      <c r="AK357" s="3535">
        <v>111.47184072347609</v>
      </c>
      <c r="AL357" s="3535">
        <v>104.56385931024231</v>
      </c>
      <c r="AM357" s="3535">
        <v>32.728136755422113</v>
      </c>
      <c r="AN357" s="3535">
        <v>111.79400101985757</v>
      </c>
      <c r="AO357" s="3535">
        <v>132.33982054506953</v>
      </c>
      <c r="AP357" s="3535">
        <v>157.99547456392929</v>
      </c>
      <c r="AQ357" s="3535">
        <v>92.471151273397183</v>
      </c>
      <c r="AR357" s="3535">
        <v>114.44904476465233</v>
      </c>
      <c r="AS357" s="3535">
        <v>120.23525130136723</v>
      </c>
      <c r="AT357" s="3535">
        <v>87.192871019081124</v>
      </c>
      <c r="AU357" s="3535">
        <v>179.62452537488426</v>
      </c>
      <c r="AV357" s="3535">
        <v>127.62636336771838</v>
      </c>
      <c r="AW357" s="3535">
        <v>112.52086940295347</v>
      </c>
      <c r="AX357" s="3535">
        <v>104.4454101798777</v>
      </c>
      <c r="AY357" s="3535">
        <v>96.125592417061611</v>
      </c>
      <c r="AZ357" s="3535">
        <v>87.297616328445216</v>
      </c>
      <c r="BA357" s="3535">
        <v>108.24788664523363</v>
      </c>
      <c r="BB357" s="3535">
        <v>182.09245159171007</v>
      </c>
      <c r="BC357" s="3535">
        <v>204.13258988098877</v>
      </c>
      <c r="BD357" s="3535">
        <v>140.89342470097307</v>
      </c>
      <c r="BE357" s="3535">
        <v>188.48649638275265</v>
      </c>
      <c r="BF357" s="3535">
        <v>169.31138647281352</v>
      </c>
      <c r="BG357" s="3535">
        <v>216.39768615077111</v>
      </c>
      <c r="BH357" s="3535">
        <v>166.73074830451003</v>
      </c>
      <c r="BI357" s="3535">
        <v>104.53544941401199</v>
      </c>
      <c r="BJ357" s="3535">
        <v>91.037834033001502</v>
      </c>
      <c r="BK357" s="3535">
        <v>145.53080312371779</v>
      </c>
      <c r="BL357" s="3535">
        <v>130.19311185570976</v>
      </c>
      <c r="BM357" s="3535">
        <v>102.41559330169545</v>
      </c>
      <c r="BN357" s="3535">
        <v>87.409187282354509</v>
      </c>
      <c r="BO357" s="3535">
        <v>173.42107632131126</v>
      </c>
      <c r="BP357" s="3535">
        <v>102.61075998106388</v>
      </c>
      <c r="BQ357" s="3535">
        <v>186.13116883322581</v>
      </c>
      <c r="BR357" s="3535">
        <v>144.37395491540519</v>
      </c>
      <c r="BS357" s="3535">
        <v>345.04830977088454</v>
      </c>
      <c r="BT357" s="3535">
        <v>80.808743719052018</v>
      </c>
      <c r="BU357" s="3535">
        <v>162.97241564299983</v>
      </c>
      <c r="BV357" s="3535">
        <v>126.19906299774257</v>
      </c>
      <c r="BW357" s="3535">
        <v>254.92887413727377</v>
      </c>
      <c r="BX357" s="3535">
        <v>91.73819280847637</v>
      </c>
      <c r="BY357" s="3535">
        <v>92.284037812287281</v>
      </c>
      <c r="BZ357" s="3535">
        <v>128.17406470966984</v>
      </c>
      <c r="CA357" s="3535">
        <v>242.13540430130402</v>
      </c>
      <c r="CB357" s="3535">
        <v>161.17286490944116</v>
      </c>
      <c r="CC357" s="3535">
        <v>73.174018101120168</v>
      </c>
      <c r="CD357" s="3535">
        <v>100.40122577555596</v>
      </c>
      <c r="CE357" s="3535">
        <v>378.39140309549151</v>
      </c>
      <c r="CF357" s="3535">
        <v>71.432406512571632</v>
      </c>
      <c r="CG357" s="3535">
        <v>95.980280167101483</v>
      </c>
      <c r="CH357" s="3535">
        <v>75.600384855411477</v>
      </c>
      <c r="CI357" s="3535">
        <v>108.34426386930785</v>
      </c>
      <c r="CJ357" s="2978">
        <v>123.35551311628174</v>
      </c>
    </row>
    <row r="358" spans="1:88">
      <c r="A358" s="53">
        <f t="shared" si="0"/>
        <v>2023.01</v>
      </c>
      <c r="B358" s="615">
        <v>117.35959829400518</v>
      </c>
      <c r="C358" s="3535">
        <v>131.13371281008801</v>
      </c>
      <c r="D358" s="358">
        <v>132.08327859613101</v>
      </c>
      <c r="E358" s="615">
        <v>143.47461035691177</v>
      </c>
      <c r="F358" s="1215">
        <v>108.80634278920456</v>
      </c>
      <c r="G358" s="1215">
        <v>260.56904185995376</v>
      </c>
      <c r="H358" s="1215">
        <v>154.77097253974384</v>
      </c>
      <c r="I358" s="1215">
        <v>228.24066161366358</v>
      </c>
      <c r="J358" s="1215">
        <v>91.808901084917778</v>
      </c>
      <c r="K358" s="1215">
        <v>147.27855671293491</v>
      </c>
      <c r="L358" s="1215">
        <v>141.74032697224754</v>
      </c>
      <c r="M358" s="1215">
        <v>122.20188592376212</v>
      </c>
      <c r="N358" s="1215">
        <v>42.419383428534587</v>
      </c>
      <c r="O358" s="1215">
        <v>117.92854977709109</v>
      </c>
      <c r="P358" s="1215">
        <v>177.2350198808914</v>
      </c>
      <c r="Q358" s="1215">
        <v>94.342913693375692</v>
      </c>
      <c r="R358" s="2661">
        <v>238.86239910144758</v>
      </c>
      <c r="S358" s="3535">
        <v>87.21491127207851</v>
      </c>
      <c r="T358" s="3535">
        <v>87.225290764936702</v>
      </c>
      <c r="U358" s="3535">
        <v>87.209930092732918</v>
      </c>
      <c r="V358" s="3535">
        <v>53.915171221587862</v>
      </c>
      <c r="W358" s="3535">
        <v>5.682906105476623</v>
      </c>
      <c r="X358" s="3535">
        <v>66.917813686869962</v>
      </c>
      <c r="Y358" s="3535">
        <v>60.092806594271323</v>
      </c>
      <c r="Z358" s="3535">
        <v>52.009210019483497</v>
      </c>
      <c r="AA358" s="3535">
        <v>66.033994195472843</v>
      </c>
      <c r="AB358" s="3535">
        <v>63.742028609935105</v>
      </c>
      <c r="AC358" s="3535">
        <v>34.852909425124174</v>
      </c>
      <c r="AD358" s="3535">
        <v>109.37585439502683</v>
      </c>
      <c r="AE358" s="3535">
        <v>108.74281823874088</v>
      </c>
      <c r="AF358" s="3535">
        <v>77.69717673461173</v>
      </c>
      <c r="AG358" s="3535">
        <v>121.22126203869047</v>
      </c>
      <c r="AH358" s="3535">
        <v>117.55604299607207</v>
      </c>
      <c r="AI358" s="3535">
        <v>120.03152036938033</v>
      </c>
      <c r="AJ358" s="3535">
        <v>167.17479320592039</v>
      </c>
      <c r="AK358" s="3535">
        <v>112.98123076262334</v>
      </c>
      <c r="AL358" s="3535">
        <v>89.04159252137174</v>
      </c>
      <c r="AM358" s="3535">
        <v>30.338407361655108</v>
      </c>
      <c r="AN358" s="3535">
        <v>107.55029329046825</v>
      </c>
      <c r="AO358" s="3535">
        <v>133.86598081370238</v>
      </c>
      <c r="AP358" s="3535">
        <v>147.83064586722895</v>
      </c>
      <c r="AQ358" s="3535">
        <v>84.685093263605864</v>
      </c>
      <c r="AR358" s="3535">
        <v>91.969815664076805</v>
      </c>
      <c r="AS358" s="3535">
        <v>117.06865309950481</v>
      </c>
      <c r="AT358" s="3535">
        <v>100.93271010734213</v>
      </c>
      <c r="AU358" s="3535">
        <v>180.71192857281417</v>
      </c>
      <c r="AV358" s="3535">
        <v>167.42779231358546</v>
      </c>
      <c r="AW358" s="3535">
        <v>103.1279666137366</v>
      </c>
      <c r="AX358" s="3535">
        <v>112.21952782825026</v>
      </c>
      <c r="AY358" s="3535">
        <v>91.523459715639817</v>
      </c>
      <c r="AZ358" s="3535">
        <v>90.843396487656278</v>
      </c>
      <c r="BA358" s="3535">
        <v>118.96922067316113</v>
      </c>
      <c r="BB358" s="3535">
        <v>172.28284542067263</v>
      </c>
      <c r="BC358" s="3535">
        <v>178.92366127318499</v>
      </c>
      <c r="BD358" s="3535">
        <v>132.706753272101</v>
      </c>
      <c r="BE358" s="3535">
        <v>179.57082313663196</v>
      </c>
      <c r="BF358" s="3535">
        <v>170.72277657363742</v>
      </c>
      <c r="BG358" s="3535">
        <v>212.62089112683688</v>
      </c>
      <c r="BH358" s="3535">
        <v>165.92362668055091</v>
      </c>
      <c r="BI358" s="3535">
        <v>104.91203493378393</v>
      </c>
      <c r="BJ358" s="3535">
        <v>93.398704606922095</v>
      </c>
      <c r="BK358" s="3535">
        <v>143.30660457039849</v>
      </c>
      <c r="BL358" s="3535">
        <v>123.40352501964628</v>
      </c>
      <c r="BM358" s="3535">
        <v>106.46457982877315</v>
      </c>
      <c r="BN358" s="3535">
        <v>94.092116557071307</v>
      </c>
      <c r="BO358" s="3535">
        <v>159.72540469212942</v>
      </c>
      <c r="BP358" s="3535">
        <v>106.99154402895537</v>
      </c>
      <c r="BQ358" s="3535">
        <v>132.73790951501556</v>
      </c>
      <c r="BR358" s="3535">
        <v>105.31627556072354</v>
      </c>
      <c r="BS358" s="3535">
        <v>195.12372679439605</v>
      </c>
      <c r="BT358" s="3535">
        <v>68.739172042223117</v>
      </c>
      <c r="BU358" s="3535">
        <v>193.8869933227345</v>
      </c>
      <c r="BV358" s="3535">
        <v>96.276943227247116</v>
      </c>
      <c r="BW358" s="3535">
        <v>163.10898580840509</v>
      </c>
      <c r="BX358" s="3535">
        <v>66.85959388103619</v>
      </c>
      <c r="BY358" s="3535">
        <v>105.14759327371938</v>
      </c>
      <c r="BZ358" s="3535">
        <v>88.227364979682335</v>
      </c>
      <c r="CA358" s="3535">
        <v>156.60330199239576</v>
      </c>
      <c r="CB358" s="3535">
        <v>100.74674990219994</v>
      </c>
      <c r="CC358" s="3535">
        <v>56.185699906009432</v>
      </c>
      <c r="CD358" s="3535">
        <v>88.94628527069861</v>
      </c>
      <c r="CE358" s="3535">
        <v>237.90422033563874</v>
      </c>
      <c r="CF358" s="3535">
        <v>73.423666664943454</v>
      </c>
      <c r="CG358" s="3535">
        <v>85.675755134749096</v>
      </c>
      <c r="CH358" s="3535">
        <v>72.643339477856458</v>
      </c>
      <c r="CI358" s="3535">
        <v>81.761862110530927</v>
      </c>
      <c r="CJ358" s="2978">
        <v>117.35959829400522</v>
      </c>
    </row>
    <row r="359" spans="1:88">
      <c r="A359" s="53">
        <f t="shared" si="0"/>
        <v>2023.02</v>
      </c>
      <c r="B359" s="615">
        <v>114.97961805150167</v>
      </c>
      <c r="C359" s="3535">
        <v>129.528153184285</v>
      </c>
      <c r="D359" s="358">
        <v>132.831305899439</v>
      </c>
      <c r="E359" s="615">
        <v>127.80157710679765</v>
      </c>
      <c r="F359" s="1215">
        <v>95.724955070598938</v>
      </c>
      <c r="G359" s="1215">
        <v>219.62398411987064</v>
      </c>
      <c r="H359" s="1215">
        <v>127.93064134041656</v>
      </c>
      <c r="I359" s="1215">
        <v>216.28757789722459</v>
      </c>
      <c r="J359" s="1215">
        <v>78.578988324148384</v>
      </c>
      <c r="K359" s="1215">
        <v>121.87425595171753</v>
      </c>
      <c r="L359" s="1215">
        <v>144.02720934583243</v>
      </c>
      <c r="M359" s="1215">
        <v>120.71516656410165</v>
      </c>
      <c r="N359" s="1215">
        <v>72.005045611914142</v>
      </c>
      <c r="O359" s="1215">
        <v>120.04222194221269</v>
      </c>
      <c r="P359" s="1215">
        <v>149.8189508027499</v>
      </c>
      <c r="Q359" s="1215">
        <v>87.664262854614009</v>
      </c>
      <c r="R359" s="2661">
        <v>186.94317206382786</v>
      </c>
      <c r="S359" s="3535">
        <v>106.18143306613166</v>
      </c>
      <c r="T359" s="3535">
        <v>173.1544923913122</v>
      </c>
      <c r="U359" s="3535">
        <v>74.040670084861077</v>
      </c>
      <c r="V359" s="3535">
        <v>68.608580018234747</v>
      </c>
      <c r="W359" s="3535">
        <v>10.278112337634248</v>
      </c>
      <c r="X359" s="3535">
        <v>106.46030364753635</v>
      </c>
      <c r="Y359" s="3535">
        <v>81.37050088485023</v>
      </c>
      <c r="Z359" s="3535">
        <v>50.415479369793431</v>
      </c>
      <c r="AA359" s="3535">
        <v>76.396093650241397</v>
      </c>
      <c r="AB359" s="3535">
        <v>70.748340812576203</v>
      </c>
      <c r="AC359" s="3535">
        <v>35.664208155244488</v>
      </c>
      <c r="AD359" s="3535">
        <v>144.28890918841546</v>
      </c>
      <c r="AE359" s="3535">
        <v>102.38213210777151</v>
      </c>
      <c r="AF359" s="3535">
        <v>75.98677376309189</v>
      </c>
      <c r="AG359" s="3535">
        <v>115.18992232026041</v>
      </c>
      <c r="AH359" s="3535">
        <v>107.74818196196861</v>
      </c>
      <c r="AI359" s="3535">
        <v>110.60765143929332</v>
      </c>
      <c r="AJ359" s="3535">
        <v>150.21260145707151</v>
      </c>
      <c r="AK359" s="3535">
        <v>107.25984861540621</v>
      </c>
      <c r="AL359" s="3535">
        <v>89.8067594598363</v>
      </c>
      <c r="AM359" s="3535">
        <v>38.551377055430954</v>
      </c>
      <c r="AN359" s="3535">
        <v>96.260242219843946</v>
      </c>
      <c r="AO359" s="3535">
        <v>124.45795951571955</v>
      </c>
      <c r="AP359" s="3535">
        <v>146.81614959060207</v>
      </c>
      <c r="AQ359" s="3535">
        <v>77.443766643247812</v>
      </c>
      <c r="AR359" s="3535">
        <v>97.003086508172899</v>
      </c>
      <c r="AS359" s="3535">
        <v>106.77409059976584</v>
      </c>
      <c r="AT359" s="3535">
        <v>87.17096137115108</v>
      </c>
      <c r="AU359" s="3535">
        <v>172.12659775763049</v>
      </c>
      <c r="AV359" s="3535">
        <v>145.25139438614994</v>
      </c>
      <c r="AW359" s="3535">
        <v>88.888227811164342</v>
      </c>
      <c r="AX359" s="3535">
        <v>107.60686262344039</v>
      </c>
      <c r="AY359" s="3535">
        <v>82.257227488151656</v>
      </c>
      <c r="AZ359" s="3535">
        <v>72.914425515570784</v>
      </c>
      <c r="BA359" s="3535">
        <v>116.95764342685436</v>
      </c>
      <c r="BB359" s="3535">
        <v>171.64751193645517</v>
      </c>
      <c r="BC359" s="3535">
        <v>173.2468378757284</v>
      </c>
      <c r="BD359" s="3535">
        <v>146.44238062345431</v>
      </c>
      <c r="BE359" s="3535">
        <v>173.85754705139777</v>
      </c>
      <c r="BF359" s="3535">
        <v>161.75796244795859</v>
      </c>
      <c r="BG359" s="3535">
        <v>211.13368918824514</v>
      </c>
      <c r="BH359" s="3535">
        <v>159.31664839216265</v>
      </c>
      <c r="BI359" s="3535">
        <v>93.246888400327251</v>
      </c>
      <c r="BJ359" s="3535">
        <v>78.99164625517642</v>
      </c>
      <c r="BK359" s="3535">
        <v>125.19563337257075</v>
      </c>
      <c r="BL359" s="3535">
        <v>131.5874001511869</v>
      </c>
      <c r="BM359" s="3535">
        <v>99.169686942531897</v>
      </c>
      <c r="BN359" s="3535">
        <v>86.996299544005353</v>
      </c>
      <c r="BO359" s="3535">
        <v>137.48983553313982</v>
      </c>
      <c r="BP359" s="3535">
        <v>100.66425869110628</v>
      </c>
      <c r="BQ359" s="3535">
        <v>156.41835662589395</v>
      </c>
      <c r="BR359" s="3535">
        <v>87.510032195643547</v>
      </c>
      <c r="BS359" s="3535">
        <v>314.96901231783301</v>
      </c>
      <c r="BT359" s="3535">
        <v>71.266164602126594</v>
      </c>
      <c r="BU359" s="3535">
        <v>190.48976644037498</v>
      </c>
      <c r="BV359" s="3535">
        <v>117.26676772817387</v>
      </c>
      <c r="BW359" s="3535">
        <v>274.21520828615138</v>
      </c>
      <c r="BX359" s="3535">
        <v>67.914740251650286</v>
      </c>
      <c r="BY359" s="3535">
        <v>92.771687206646803</v>
      </c>
      <c r="BZ359" s="3535">
        <v>142.27476766191478</v>
      </c>
      <c r="CA359" s="3535">
        <v>283.69352654234541</v>
      </c>
      <c r="CB359" s="3535">
        <v>175.76613645522394</v>
      </c>
      <c r="CC359" s="3535">
        <v>75.004635309440431</v>
      </c>
      <c r="CD359" s="3535">
        <v>100.49773392889902</v>
      </c>
      <c r="CE359" s="3535">
        <v>413.51318259493934</v>
      </c>
      <c r="CF359" s="3535">
        <v>67.878998812612579</v>
      </c>
      <c r="CG359" s="3535">
        <v>88.836373129948612</v>
      </c>
      <c r="CH359" s="3535">
        <v>88.516118220473373</v>
      </c>
      <c r="CI359" s="3535">
        <v>67.593561558710576</v>
      </c>
      <c r="CJ359" s="2978">
        <v>114.97961805150169</v>
      </c>
    </row>
    <row r="360" spans="1:88">
      <c r="A360" s="53">
        <f t="shared" si="0"/>
        <v>2023.03</v>
      </c>
      <c r="B360" s="615">
        <v>140.60284318567005</v>
      </c>
      <c r="C360" s="3535">
        <v>134.811068560894</v>
      </c>
      <c r="D360" s="358">
        <v>133.37360037583201</v>
      </c>
      <c r="E360" s="615">
        <v>154.02563145537084</v>
      </c>
      <c r="F360" s="1215">
        <v>116.80445932903898</v>
      </c>
      <c r="G360" s="1215">
        <v>248.93480463297914</v>
      </c>
      <c r="H360" s="1215">
        <v>150.76148066153505</v>
      </c>
      <c r="I360" s="1215">
        <v>267.80244433200693</v>
      </c>
      <c r="J360" s="1215">
        <v>113.99134213842939</v>
      </c>
      <c r="K360" s="1215">
        <v>137.92018875143347</v>
      </c>
      <c r="L360" s="1215">
        <v>176.36815530872755</v>
      </c>
      <c r="M360" s="1215">
        <v>148.7262374897887</v>
      </c>
      <c r="N360" s="1215">
        <v>74.694510261457594</v>
      </c>
      <c r="O360" s="1215">
        <v>160.69441105464952</v>
      </c>
      <c r="P360" s="1215">
        <v>169.50798621254643</v>
      </c>
      <c r="Q360" s="1215">
        <v>107.58067111929171</v>
      </c>
      <c r="R360" s="2661">
        <v>222.24641019997293</v>
      </c>
      <c r="S360" s="3535">
        <v>158.05481874157454</v>
      </c>
      <c r="T360" s="3535">
        <v>282.73165051611596</v>
      </c>
      <c r="U360" s="3535">
        <v>98.221677778658218</v>
      </c>
      <c r="V360" s="3535">
        <v>84.654707661830187</v>
      </c>
      <c r="W360" s="3535">
        <v>28.452918950566662</v>
      </c>
      <c r="X360" s="3535">
        <v>119.02077321705073</v>
      </c>
      <c r="Y360" s="3535">
        <v>103.52703815591455</v>
      </c>
      <c r="Z360" s="3535">
        <v>62.66519397393148</v>
      </c>
      <c r="AA360" s="3535">
        <v>110.49821091725379</v>
      </c>
      <c r="AB360" s="3535">
        <v>104.81382552804814</v>
      </c>
      <c r="AC360" s="3535">
        <v>44.101804862469479</v>
      </c>
      <c r="AD360" s="3535">
        <v>206.20523081750105</v>
      </c>
      <c r="AE360" s="3535">
        <v>118.27081211899991</v>
      </c>
      <c r="AF360" s="3535">
        <v>88.650226195523544</v>
      </c>
      <c r="AG360" s="3535">
        <v>127.7730688178063</v>
      </c>
      <c r="AH360" s="3535">
        <v>129.00481672180578</v>
      </c>
      <c r="AI360" s="3535">
        <v>121.68611163493446</v>
      </c>
      <c r="AJ360" s="3535">
        <v>169.17145740157235</v>
      </c>
      <c r="AK360" s="3535">
        <v>115.389787177934</v>
      </c>
      <c r="AL360" s="3535">
        <v>106.68771692299801</v>
      </c>
      <c r="AM360" s="3535">
        <v>39.07958231876016</v>
      </c>
      <c r="AN360" s="3535">
        <v>105.50448915088751</v>
      </c>
      <c r="AO360" s="3535">
        <v>147.07057965746614</v>
      </c>
      <c r="AP360" s="3535">
        <v>154.52461601592333</v>
      </c>
      <c r="AQ360" s="3535">
        <v>78.415705310061355</v>
      </c>
      <c r="AR360" s="3535">
        <v>107.00568594474559</v>
      </c>
      <c r="AS360" s="3535">
        <v>107.8049589908978</v>
      </c>
      <c r="AT360" s="3535">
        <v>108.73064099302081</v>
      </c>
      <c r="AU360" s="3535">
        <v>209.79851343388916</v>
      </c>
      <c r="AV360" s="3535">
        <v>181.88318862000438</v>
      </c>
      <c r="AW360" s="3535">
        <v>127.70193874728983</v>
      </c>
      <c r="AX360" s="3535">
        <v>131.05951303264146</v>
      </c>
      <c r="AY360" s="3535">
        <v>119.62819905213269</v>
      </c>
      <c r="AZ360" s="3535">
        <v>113.37603301502268</v>
      </c>
      <c r="BA360" s="3535">
        <v>135.53580670269611</v>
      </c>
      <c r="BB360" s="3535">
        <v>195.60883659783516</v>
      </c>
      <c r="BC360" s="3535">
        <v>172.01795825633835</v>
      </c>
      <c r="BD360" s="3535">
        <v>160.82234127415992</v>
      </c>
      <c r="BE360" s="3535">
        <v>209.1645034069841</v>
      </c>
      <c r="BF360" s="3535">
        <v>196.69956450212712</v>
      </c>
      <c r="BG360" s="3535">
        <v>254.98453405960436</v>
      </c>
      <c r="BH360" s="3535">
        <v>185.38061929245038</v>
      </c>
      <c r="BI360" s="3535">
        <v>112.31122918250439</v>
      </c>
      <c r="BJ360" s="3535">
        <v>98.440345843139355</v>
      </c>
      <c r="BK360" s="3535">
        <v>147.26741804542104</v>
      </c>
      <c r="BL360" s="3535">
        <v>145.78491957018679</v>
      </c>
      <c r="BM360" s="3535">
        <v>119.15760107493597</v>
      </c>
      <c r="BN360" s="3535">
        <v>101.44156948411656</v>
      </c>
      <c r="BO360" s="3535">
        <v>165.67484683860542</v>
      </c>
      <c r="BP360" s="3535">
        <v>121.97377205213294</v>
      </c>
      <c r="BQ360" s="3535">
        <v>201.55858062378087</v>
      </c>
      <c r="BR360" s="3535">
        <v>118.9501908376423</v>
      </c>
      <c r="BS360" s="3535">
        <v>388.2762075284765</v>
      </c>
      <c r="BT360" s="3535">
        <v>88.222561188136766</v>
      </c>
      <c r="BU360" s="3535">
        <v>266.39567981729766</v>
      </c>
      <c r="BV360" s="3535">
        <v>160.27807329365868</v>
      </c>
      <c r="BW360" s="3535">
        <v>395.53800299491132</v>
      </c>
      <c r="BX360" s="3535">
        <v>91.893258451141122</v>
      </c>
      <c r="BY360" s="3535">
        <v>110.71499260370253</v>
      </c>
      <c r="BZ360" s="3535">
        <v>189.37974414053599</v>
      </c>
      <c r="CA360" s="3535">
        <v>378.15551398169453</v>
      </c>
      <c r="CB360" s="3535">
        <v>215.86999736757824</v>
      </c>
      <c r="CC360" s="3535">
        <v>101.97994584812756</v>
      </c>
      <c r="CD360" s="3535">
        <v>125.2531353164147</v>
      </c>
      <c r="CE360" s="3535">
        <v>556.0269926547827</v>
      </c>
      <c r="CF360" s="3535">
        <v>80.363023957940911</v>
      </c>
      <c r="CG360" s="3535">
        <v>116.02817933440558</v>
      </c>
      <c r="CH360" s="3535">
        <v>113.0798894685764</v>
      </c>
      <c r="CI360" s="3535">
        <v>100.63052675379377</v>
      </c>
      <c r="CJ360" s="2978">
        <v>140.60284318567011</v>
      </c>
    </row>
    <row r="361" spans="1:88">
      <c r="A361" s="53">
        <f t="shared" si="0"/>
        <v>2023.04</v>
      </c>
      <c r="B361" s="615">
        <v>133.35350382480027</v>
      </c>
      <c r="C361" s="3535">
        <v>137.20805333133501</v>
      </c>
      <c r="D361" s="358">
        <v>133.51306256594</v>
      </c>
      <c r="E361" s="615">
        <v>146.86875081661441</v>
      </c>
      <c r="F361" s="1215">
        <v>105.22415787962029</v>
      </c>
      <c r="G361" s="1215">
        <v>243.90397636877589</v>
      </c>
      <c r="H361" s="1215">
        <v>131.27350159861518</v>
      </c>
      <c r="I361" s="1215">
        <v>275.27194129152377</v>
      </c>
      <c r="J361" s="1215">
        <v>145.29478081209646</v>
      </c>
      <c r="K361" s="1215">
        <v>130.87075721044727</v>
      </c>
      <c r="L361" s="1215">
        <v>180.17114612125292</v>
      </c>
      <c r="M361" s="1215">
        <v>147.33567160097414</v>
      </c>
      <c r="N361" s="1215">
        <v>89.109732778382295</v>
      </c>
      <c r="O361" s="1215">
        <v>160.1866099346299</v>
      </c>
      <c r="P361" s="1215">
        <v>142.04984590893648</v>
      </c>
      <c r="Q361" s="1215">
        <v>99.668838138547642</v>
      </c>
      <c r="R361" s="2661">
        <v>179.91086409063232</v>
      </c>
      <c r="S361" s="3535">
        <v>99.308021159305298</v>
      </c>
      <c r="T361" s="3535">
        <v>101.84674081041878</v>
      </c>
      <c r="U361" s="3535">
        <v>98.089674746516394</v>
      </c>
      <c r="V361" s="3535">
        <v>87.051519969857509</v>
      </c>
      <c r="W361" s="3535">
        <v>90.609437064324155</v>
      </c>
      <c r="X361" s="3535">
        <v>118.70415603166495</v>
      </c>
      <c r="Y361" s="3535">
        <v>94.138388088195811</v>
      </c>
      <c r="Z361" s="3535">
        <v>63.990758651671726</v>
      </c>
      <c r="AA361" s="3535">
        <v>101.45084567263166</v>
      </c>
      <c r="AB361" s="3535">
        <v>101.68592278602749</v>
      </c>
      <c r="AC361" s="3535">
        <v>43.852543366184022</v>
      </c>
      <c r="AD361" s="3535">
        <v>162.52552762272583</v>
      </c>
      <c r="AE361" s="3535">
        <v>110.86349383915528</v>
      </c>
      <c r="AF361" s="3535">
        <v>86.855016473682184</v>
      </c>
      <c r="AG361" s="3535">
        <v>116.26526519758436</v>
      </c>
      <c r="AH361" s="3535">
        <v>121.78916729943332</v>
      </c>
      <c r="AI361" s="3535">
        <v>121.0107426266718</v>
      </c>
      <c r="AJ361" s="3535">
        <v>158.81909044234393</v>
      </c>
      <c r="AK361" s="3535">
        <v>116.3232847147373</v>
      </c>
      <c r="AL361" s="3535">
        <v>93.48375635211319</v>
      </c>
      <c r="AM361" s="3535">
        <v>39.6168641048016</v>
      </c>
      <c r="AN361" s="3535">
        <v>110.63190641413891</v>
      </c>
      <c r="AO361" s="3535">
        <v>143.53895019505299</v>
      </c>
      <c r="AP361" s="3535">
        <v>162.46114426494293</v>
      </c>
      <c r="AQ361" s="3535">
        <v>89.478817599407947</v>
      </c>
      <c r="AR361" s="3535">
        <v>105.90666820198638</v>
      </c>
      <c r="AS361" s="3535">
        <v>117.20792754194389</v>
      </c>
      <c r="AT361" s="3535">
        <v>101.76261360657088</v>
      </c>
      <c r="AU361" s="3535">
        <v>200.37973855060943</v>
      </c>
      <c r="AV361" s="3535">
        <v>169.15503227565841</v>
      </c>
      <c r="AW361" s="3535">
        <v>112.82924951865508</v>
      </c>
      <c r="AX361" s="3535">
        <v>124.64386900502005</v>
      </c>
      <c r="AY361" s="3535">
        <v>127.11184834123222</v>
      </c>
      <c r="AZ361" s="3535">
        <v>94.73614687711607</v>
      </c>
      <c r="BA361" s="3535">
        <v>127.97111073928525</v>
      </c>
      <c r="BB361" s="3535">
        <v>180.629128885927</v>
      </c>
      <c r="BC361" s="3535">
        <v>175.30188763406713</v>
      </c>
      <c r="BD361" s="3535">
        <v>123.84306213369337</v>
      </c>
      <c r="BE361" s="3535">
        <v>201.95805448136531</v>
      </c>
      <c r="BF361" s="3535">
        <v>184.0736087877778</v>
      </c>
      <c r="BG361" s="3535">
        <v>237.22273376622746</v>
      </c>
      <c r="BH361" s="3535">
        <v>170.00148333681142</v>
      </c>
      <c r="BI361" s="3535">
        <v>108.62158595833719</v>
      </c>
      <c r="BJ361" s="3535">
        <v>96.047852907317605</v>
      </c>
      <c r="BK361" s="3535">
        <v>134.06407970889782</v>
      </c>
      <c r="BL361" s="3535">
        <v>145.15188522005559</v>
      </c>
      <c r="BM361" s="3535">
        <v>111.16009491859768</v>
      </c>
      <c r="BN361" s="3535">
        <v>92.485147242530346</v>
      </c>
      <c r="BO361" s="3535">
        <v>142.30626568069118</v>
      </c>
      <c r="BP361" s="3535">
        <v>115.36850832499178</v>
      </c>
      <c r="BQ361" s="3535">
        <v>203.38830751080997</v>
      </c>
      <c r="BR361" s="3535">
        <v>103.68290339004351</v>
      </c>
      <c r="BS361" s="3535">
        <v>436.26834571590661</v>
      </c>
      <c r="BT361" s="3535">
        <v>81.082029893732994</v>
      </c>
      <c r="BU361" s="3535">
        <v>244.33855033027959</v>
      </c>
      <c r="BV361" s="3535">
        <v>134.93674985091613</v>
      </c>
      <c r="BW361" s="3535">
        <v>304.32334823995217</v>
      </c>
      <c r="BX361" s="3535">
        <v>83.15757084141751</v>
      </c>
      <c r="BY361" s="3535">
        <v>105.091459114081</v>
      </c>
      <c r="BZ361" s="3535">
        <v>162.12565110433991</v>
      </c>
      <c r="CA361" s="3535">
        <v>332.17765949740618</v>
      </c>
      <c r="CB361" s="3535">
        <v>176.13575452564623</v>
      </c>
      <c r="CC361" s="3535">
        <v>84.691158694335371</v>
      </c>
      <c r="CD361" s="3535">
        <v>117.82911486112206</v>
      </c>
      <c r="CE361" s="3535">
        <v>497.28349004575153</v>
      </c>
      <c r="CF361" s="3535">
        <v>78.286907581541712</v>
      </c>
      <c r="CG361" s="3535">
        <v>117.58039164016647</v>
      </c>
      <c r="CH361" s="3535">
        <v>105.6548643230792</v>
      </c>
      <c r="CI361" s="3535">
        <v>125.02025551977358</v>
      </c>
      <c r="CJ361" s="2978">
        <v>133.35350382480021</v>
      </c>
    </row>
    <row r="362" spans="1:88">
      <c r="A362" s="53">
        <f t="shared" si="0"/>
        <v>2023.05</v>
      </c>
      <c r="B362" s="615">
        <v>137.3370382911086</v>
      </c>
      <c r="C362" s="3535">
        <v>133.327356450971</v>
      </c>
      <c r="D362" s="358">
        <v>133.14536336222901</v>
      </c>
      <c r="E362" s="615">
        <v>154.35545509435778</v>
      </c>
      <c r="F362" s="1215">
        <v>116.17700789899337</v>
      </c>
      <c r="G362" s="1215">
        <v>259.14019809333945</v>
      </c>
      <c r="H362" s="1215">
        <v>132.23428948505756</v>
      </c>
      <c r="I362" s="1215">
        <v>282.02190384697292</v>
      </c>
      <c r="J362" s="1215">
        <v>172.730769469873</v>
      </c>
      <c r="K362" s="1215">
        <v>142.81726788432098</v>
      </c>
      <c r="L362" s="1215">
        <v>181.25647059245995</v>
      </c>
      <c r="M362" s="1215">
        <v>154.67215616702305</v>
      </c>
      <c r="N362" s="1215">
        <v>102.8084611147229</v>
      </c>
      <c r="O362" s="1215">
        <v>159.48251656919962</v>
      </c>
      <c r="P362" s="1215">
        <v>127.22725777176522</v>
      </c>
      <c r="Q362" s="1215">
        <v>113.96988986886865</v>
      </c>
      <c r="R362" s="2661">
        <v>186.09583741794199</v>
      </c>
      <c r="S362" s="3535">
        <v>74.921817723842068</v>
      </c>
      <c r="T362" s="3535">
        <v>15.552085517210845</v>
      </c>
      <c r="U362" s="3535">
        <v>103.41369953933203</v>
      </c>
      <c r="V362" s="3535">
        <v>97.103781666592212</v>
      </c>
      <c r="W362" s="3535">
        <v>141.2455522424832</v>
      </c>
      <c r="X362" s="3535">
        <v>121.13550768677521</v>
      </c>
      <c r="Y362" s="3535">
        <v>98.731093230846596</v>
      </c>
      <c r="Z362" s="3535">
        <v>74.153131256088002</v>
      </c>
      <c r="AA362" s="3535">
        <v>107.66213597716606</v>
      </c>
      <c r="AB362" s="3535">
        <v>105.07172513209294</v>
      </c>
      <c r="AC362" s="3535">
        <v>46.790774218291581</v>
      </c>
      <c r="AD362" s="3535">
        <v>184.26913515331339</v>
      </c>
      <c r="AE362" s="3535">
        <v>113.25747363909515</v>
      </c>
      <c r="AF362" s="3535">
        <v>87.300948027506436</v>
      </c>
      <c r="AG362" s="3535">
        <v>124.5991574727949</v>
      </c>
      <c r="AH362" s="3535">
        <v>119.746771811001</v>
      </c>
      <c r="AI362" s="3535">
        <v>121.00748279029546</v>
      </c>
      <c r="AJ362" s="3535">
        <v>168.20848803069234</v>
      </c>
      <c r="AK362" s="3535">
        <v>114.2995465519689</v>
      </c>
      <c r="AL362" s="3535">
        <v>89.035527369814588</v>
      </c>
      <c r="AM362" s="3535">
        <v>50.733651486947075</v>
      </c>
      <c r="AN362" s="3535">
        <v>107.5241314269639</v>
      </c>
      <c r="AO362" s="3535">
        <v>152.11483004953718</v>
      </c>
      <c r="AP362" s="3535">
        <v>163.70835106735481</v>
      </c>
      <c r="AQ362" s="3535">
        <v>86.272046159492376</v>
      </c>
      <c r="AR362" s="3535">
        <v>113.51287678069063</v>
      </c>
      <c r="AS362" s="3535">
        <v>121.0761027371299</v>
      </c>
      <c r="AT362" s="3535">
        <v>97.440961193076319</v>
      </c>
      <c r="AU362" s="3535">
        <v>220.34807481442067</v>
      </c>
      <c r="AV362" s="3535">
        <v>183.47235368729085</v>
      </c>
      <c r="AW362" s="3535">
        <v>111.1408371355115</v>
      </c>
      <c r="AX362" s="3535">
        <v>127.93722474135163</v>
      </c>
      <c r="AY362" s="3535">
        <v>126.43684834123223</v>
      </c>
      <c r="AZ362" s="3535">
        <v>102.72505437466316</v>
      </c>
      <c r="BA362" s="3535">
        <v>131.43906343251871</v>
      </c>
      <c r="BB362" s="3535">
        <v>189.30406150650902</v>
      </c>
      <c r="BC362" s="3535">
        <v>178.05732609496826</v>
      </c>
      <c r="BD362" s="3535">
        <v>146.15509676750128</v>
      </c>
      <c r="BE362" s="3535">
        <v>204.88702947602883</v>
      </c>
      <c r="BF362" s="3535">
        <v>195.16628618233008</v>
      </c>
      <c r="BG362" s="3535">
        <v>246.59677317443948</v>
      </c>
      <c r="BH362" s="3535">
        <v>173.29305314568367</v>
      </c>
      <c r="BI362" s="3535">
        <v>110.92408404415602</v>
      </c>
      <c r="BJ362" s="3535">
        <v>95.433065218739998</v>
      </c>
      <c r="BK362" s="3535">
        <v>144.20935467843219</v>
      </c>
      <c r="BL362" s="3535">
        <v>154.00813222190502</v>
      </c>
      <c r="BM362" s="3535">
        <v>110.39911618835379</v>
      </c>
      <c r="BN362" s="3535">
        <v>89.716171928165195</v>
      </c>
      <c r="BO362" s="3535">
        <v>161.49993286366043</v>
      </c>
      <c r="BP362" s="3535">
        <v>113.90915638140525</v>
      </c>
      <c r="BQ362" s="3535">
        <v>183.8520935494968</v>
      </c>
      <c r="BR362" s="3535">
        <v>110.23854122094637</v>
      </c>
      <c r="BS362" s="3535">
        <v>339.25152023714423</v>
      </c>
      <c r="BT362" s="3535">
        <v>87.424853182492441</v>
      </c>
      <c r="BU362" s="3535">
        <v>256.68668277985091</v>
      </c>
      <c r="BV362" s="3535">
        <v>140.81838943791135</v>
      </c>
      <c r="BW362" s="3535">
        <v>328.28215620824199</v>
      </c>
      <c r="BX362" s="3535">
        <v>83.785857221496329</v>
      </c>
      <c r="BY362" s="3535">
        <v>107.16178238878092</v>
      </c>
      <c r="BZ362" s="3535">
        <v>167.93686399477076</v>
      </c>
      <c r="CA362" s="3535">
        <v>327.19501640607081</v>
      </c>
      <c r="CB362" s="3535">
        <v>201.2108105470802</v>
      </c>
      <c r="CC362" s="3535">
        <v>92.765443385602936</v>
      </c>
      <c r="CD362" s="3535">
        <v>120.47585384433999</v>
      </c>
      <c r="CE362" s="3535">
        <v>503.31456682968889</v>
      </c>
      <c r="CF362" s="3535">
        <v>80.580971261556087</v>
      </c>
      <c r="CG362" s="3535">
        <v>120.69957127998362</v>
      </c>
      <c r="CH362" s="3535">
        <v>113.72476993852234</v>
      </c>
      <c r="CI362" s="3535">
        <v>118.87115798481139</v>
      </c>
      <c r="CJ362" s="2978">
        <v>137.3370382911086</v>
      </c>
    </row>
    <row r="363" spans="1:88">
      <c r="A363" s="53">
        <f t="shared" si="0"/>
        <v>2023.06</v>
      </c>
      <c r="B363" s="615">
        <v>134.27318455353014</v>
      </c>
      <c r="C363" s="3535">
        <v>132.458941670972</v>
      </c>
      <c r="D363" s="358">
        <v>132.281723478819</v>
      </c>
      <c r="E363" s="615">
        <v>148.38347410419419</v>
      </c>
      <c r="F363" s="1215">
        <v>118.19151274806987</v>
      </c>
      <c r="G363" s="1215">
        <v>254.40464579695151</v>
      </c>
      <c r="H363" s="1215">
        <v>128.82289986954072</v>
      </c>
      <c r="I363" s="1215">
        <v>253.3024381419371</v>
      </c>
      <c r="J363" s="1215">
        <v>148.58961082159453</v>
      </c>
      <c r="K363" s="1215">
        <v>143.23317434341064</v>
      </c>
      <c r="L363" s="1215">
        <v>164.83667584372483</v>
      </c>
      <c r="M363" s="1215">
        <v>152.09056971871991</v>
      </c>
      <c r="N363" s="1215">
        <v>139.29972723768813</v>
      </c>
      <c r="O363" s="1215">
        <v>142.96242016834387</v>
      </c>
      <c r="P363" s="1215">
        <v>123.14433895265688</v>
      </c>
      <c r="Q363" s="1215">
        <v>101.78405990220986</v>
      </c>
      <c r="R363" s="2661">
        <v>179.02712526949151</v>
      </c>
      <c r="S363" s="3535">
        <v>60.676839711493223</v>
      </c>
      <c r="T363" s="3535">
        <v>3.8682183115265736</v>
      </c>
      <c r="U363" s="3535">
        <v>87.939629467650775</v>
      </c>
      <c r="V363" s="3535">
        <v>103.40035400416072</v>
      </c>
      <c r="W363" s="3535">
        <v>262.80930517106088</v>
      </c>
      <c r="X363" s="3535">
        <v>117.97056846592081</v>
      </c>
      <c r="Y363" s="3535">
        <v>92.450189204512981</v>
      </c>
      <c r="Z363" s="3535">
        <v>72.000910046776667</v>
      </c>
      <c r="AA363" s="3535">
        <v>99.984760563817773</v>
      </c>
      <c r="AB363" s="3535">
        <v>99.061770417030715</v>
      </c>
      <c r="AC363" s="3535">
        <v>44.003683508703411</v>
      </c>
      <c r="AD363" s="3535">
        <v>164.23696908604899</v>
      </c>
      <c r="AE363" s="3535">
        <v>110.06574864537296</v>
      </c>
      <c r="AF363" s="3535">
        <v>86.565048846095763</v>
      </c>
      <c r="AG363" s="3535">
        <v>116.45190445338592</v>
      </c>
      <c r="AH363" s="3535">
        <v>119.69740404930334</v>
      </c>
      <c r="AI363" s="3535">
        <v>116.50531382378071</v>
      </c>
      <c r="AJ363" s="3535">
        <v>163.48590732506892</v>
      </c>
      <c r="AK363" s="3535">
        <v>111.3067908704741</v>
      </c>
      <c r="AL363" s="3535">
        <v>87.945243485613659</v>
      </c>
      <c r="AM363" s="3535">
        <v>45.113814572964792</v>
      </c>
      <c r="AN363" s="3535">
        <v>100.95337163376159</v>
      </c>
      <c r="AO363" s="3535">
        <v>149.05620295788941</v>
      </c>
      <c r="AP363" s="3535">
        <v>164.10707814744333</v>
      </c>
      <c r="AQ363" s="3535">
        <v>75.038946386969783</v>
      </c>
      <c r="AR363" s="3535">
        <v>126.46952066392879</v>
      </c>
      <c r="AS363" s="3535">
        <v>111.13052027374337</v>
      </c>
      <c r="AT363" s="3535">
        <v>97.507208399970423</v>
      </c>
      <c r="AU363" s="3535">
        <v>213.92995937829869</v>
      </c>
      <c r="AV363" s="3535">
        <v>187.72796127025495</v>
      </c>
      <c r="AW363" s="3535">
        <v>101.01622197095935</v>
      </c>
      <c r="AX363" s="3535">
        <v>122.69198762707124</v>
      </c>
      <c r="AY363" s="3535">
        <v>112.1390758293839</v>
      </c>
      <c r="AZ363" s="3535">
        <v>99.220247953398399</v>
      </c>
      <c r="BA363" s="3535">
        <v>127.73422395280065</v>
      </c>
      <c r="BB363" s="3535">
        <v>190.49972932327998</v>
      </c>
      <c r="BC363" s="3535">
        <v>176.78746317786124</v>
      </c>
      <c r="BD363" s="3535">
        <v>147.68333618314193</v>
      </c>
      <c r="BE363" s="3535">
        <v>206.44985301559865</v>
      </c>
      <c r="BF363" s="3535">
        <v>180.58070930585345</v>
      </c>
      <c r="BG363" s="3535">
        <v>251.45227642407153</v>
      </c>
      <c r="BH363" s="3535">
        <v>174.15389164785708</v>
      </c>
      <c r="BI363" s="3535">
        <v>111.96104811794659</v>
      </c>
      <c r="BJ363" s="3535">
        <v>98.152871590537103</v>
      </c>
      <c r="BK363" s="3535">
        <v>147.89983941239745</v>
      </c>
      <c r="BL363" s="3535">
        <v>144.15333795626833</v>
      </c>
      <c r="BM363" s="3535">
        <v>109.76965840954276</v>
      </c>
      <c r="BN363" s="3535">
        <v>90.168514874290807</v>
      </c>
      <c r="BO363" s="3535">
        <v>152.17451442867178</v>
      </c>
      <c r="BP363" s="3535">
        <v>113.5135529972591</v>
      </c>
      <c r="BQ363" s="3535">
        <v>190.88913380706816</v>
      </c>
      <c r="BR363" s="3535">
        <v>124.91862017071922</v>
      </c>
      <c r="BS363" s="3535">
        <v>347.35107599705168</v>
      </c>
      <c r="BT363" s="3535">
        <v>81.883525145280458</v>
      </c>
      <c r="BU363" s="3535">
        <v>256.2667352575034</v>
      </c>
      <c r="BV363" s="3535">
        <v>142.16233802184394</v>
      </c>
      <c r="BW363" s="3535">
        <v>325.73173234825384</v>
      </c>
      <c r="BX363" s="3535">
        <v>85.95771491691643</v>
      </c>
      <c r="BY363" s="3535">
        <v>110.02473539701741</v>
      </c>
      <c r="BZ363" s="3535">
        <v>166.85206487745299</v>
      </c>
      <c r="CA363" s="3535">
        <v>331.33247789209958</v>
      </c>
      <c r="CB363" s="3535">
        <v>189.25004465078081</v>
      </c>
      <c r="CC363" s="3535">
        <v>90.790457528637475</v>
      </c>
      <c r="CD363" s="3535">
        <v>117.46562189794071</v>
      </c>
      <c r="CE363" s="3535">
        <v>497.94828254626839</v>
      </c>
      <c r="CF363" s="3535">
        <v>77.816258976978318</v>
      </c>
      <c r="CG363" s="3535">
        <v>108.92845164172275</v>
      </c>
      <c r="CH363" s="3535">
        <v>101.51831741188838</v>
      </c>
      <c r="CI363" s="3535">
        <v>100.59237230673294</v>
      </c>
      <c r="CJ363" s="2978">
        <v>134.27318455353023</v>
      </c>
    </row>
    <row r="364" spans="1:88">
      <c r="A364" s="53">
        <f t="shared" si="0"/>
        <v>2023.07</v>
      </c>
      <c r="B364" s="615">
        <v>132.37164756745275</v>
      </c>
      <c r="C364" s="3535">
        <v>130.445902656583</v>
      </c>
      <c r="D364" s="358">
        <v>130.964648042562</v>
      </c>
      <c r="E364" s="615">
        <v>147.72686268285869</v>
      </c>
      <c r="F364" s="1215">
        <v>116.74455235870045</v>
      </c>
      <c r="G364" s="1215">
        <v>246.96198286287304</v>
      </c>
      <c r="H364" s="1215">
        <v>134.16744675284397</v>
      </c>
      <c r="I364" s="1215">
        <v>267.5783613180555</v>
      </c>
      <c r="J364" s="1215">
        <v>131.13603998570656</v>
      </c>
      <c r="K364" s="1215">
        <v>114.31406072148398</v>
      </c>
      <c r="L364" s="1215">
        <v>160.47982302148097</v>
      </c>
      <c r="M364" s="1215">
        <v>151.43805251363236</v>
      </c>
      <c r="N364" s="1215">
        <v>163.91261002402342</v>
      </c>
      <c r="O364" s="1215">
        <v>145.07339637430488</v>
      </c>
      <c r="P364" s="1215">
        <v>124.49485503599712</v>
      </c>
      <c r="Q364" s="1215">
        <v>114.14021174017357</v>
      </c>
      <c r="R364" s="2661">
        <v>193.23945022475306</v>
      </c>
      <c r="S364" s="3535">
        <v>65.542900390912223</v>
      </c>
      <c r="T364" s="3535">
        <v>2.0255469555633057</v>
      </c>
      <c r="U364" s="3535">
        <v>96.025249898807274</v>
      </c>
      <c r="V364" s="3535">
        <v>110.73726097182463</v>
      </c>
      <c r="W364" s="3535">
        <v>316.27951295517101</v>
      </c>
      <c r="X364" s="3535">
        <v>124.01741882375461</v>
      </c>
      <c r="Y364" s="3535">
        <v>95.226465405093876</v>
      </c>
      <c r="Z364" s="3535">
        <v>74.267992982856256</v>
      </c>
      <c r="AA364" s="3535">
        <v>95.242073213207618</v>
      </c>
      <c r="AB364" s="3535">
        <v>91.08660012100809</v>
      </c>
      <c r="AC364" s="3535">
        <v>46.001795437045189</v>
      </c>
      <c r="AD364" s="3535">
        <v>165.96394327268592</v>
      </c>
      <c r="AE364" s="3535">
        <v>113.21231856510278</v>
      </c>
      <c r="AF364" s="3535">
        <v>91.695024118934427</v>
      </c>
      <c r="AG364" s="3535">
        <v>118.24538059920209</v>
      </c>
      <c r="AH364" s="3535">
        <v>122.81875329238288</v>
      </c>
      <c r="AI364" s="3535">
        <v>118.55719227245037</v>
      </c>
      <c r="AJ364" s="3535">
        <v>163.60548248347226</v>
      </c>
      <c r="AK364" s="3535">
        <v>108.08365401201223</v>
      </c>
      <c r="AL364" s="3535">
        <v>100.57086601765835</v>
      </c>
      <c r="AM364" s="3535">
        <v>25.152197600363309</v>
      </c>
      <c r="AN364" s="3535">
        <v>109.50210203011652</v>
      </c>
      <c r="AO364" s="3535">
        <v>150.701351008931</v>
      </c>
      <c r="AP364" s="3535">
        <v>148.12527929377481</v>
      </c>
      <c r="AQ364" s="3535">
        <v>86.243022897290459</v>
      </c>
      <c r="AR364" s="3535">
        <v>121.5284375476637</v>
      </c>
      <c r="AS364" s="3535">
        <v>114.71309369848396</v>
      </c>
      <c r="AT364" s="3535">
        <v>98.839794994653658</v>
      </c>
      <c r="AU364" s="3535">
        <v>220.04818182774875</v>
      </c>
      <c r="AV364" s="3535">
        <v>175.71770991189572</v>
      </c>
      <c r="AW364" s="3535">
        <v>110.40091519317201</v>
      </c>
      <c r="AX364" s="3535">
        <v>125.07989256172907</v>
      </c>
      <c r="AY364" s="3535">
        <v>121.58945497630332</v>
      </c>
      <c r="AZ364" s="3535">
        <v>97.260690477274935</v>
      </c>
      <c r="BA364" s="3535">
        <v>129.30098040047966</v>
      </c>
      <c r="BB364" s="3535">
        <v>191.56648487347044</v>
      </c>
      <c r="BC364" s="3535">
        <v>180.52698840489123</v>
      </c>
      <c r="BD364" s="3535">
        <v>146.56582320140299</v>
      </c>
      <c r="BE364" s="3535">
        <v>208.13490106035039</v>
      </c>
      <c r="BF364" s="3535">
        <v>192.94622544725036</v>
      </c>
      <c r="BG364" s="3535">
        <v>250.97647892028169</v>
      </c>
      <c r="BH364" s="3535">
        <v>174.22455445304823</v>
      </c>
      <c r="BI364" s="3535">
        <v>98.644268097343542</v>
      </c>
      <c r="BJ364" s="3535">
        <v>81.794477497632613</v>
      </c>
      <c r="BK364" s="3535">
        <v>147.50747686502646</v>
      </c>
      <c r="BL364" s="3535">
        <v>132.96615084934112</v>
      </c>
      <c r="BM364" s="3535">
        <v>110.7719501345878</v>
      </c>
      <c r="BN364" s="3535">
        <v>91.755769109702825</v>
      </c>
      <c r="BO364" s="3535">
        <v>150.20752337778242</v>
      </c>
      <c r="BP364" s="3535">
        <v>114.52219718592433</v>
      </c>
      <c r="BQ364" s="3535">
        <v>176.90167438837688</v>
      </c>
      <c r="BR364" s="3535">
        <v>103.60062427760711</v>
      </c>
      <c r="BS364" s="3535">
        <v>348.75336694314268</v>
      </c>
      <c r="BT364" s="3535">
        <v>82.271505856252929</v>
      </c>
      <c r="BU364" s="3535">
        <v>212.94122238303851</v>
      </c>
      <c r="BV364" s="3535">
        <v>125.29912900733559</v>
      </c>
      <c r="BW364" s="3535">
        <v>241.81099689070732</v>
      </c>
      <c r="BX364" s="3535">
        <v>88.194322582416461</v>
      </c>
      <c r="BY364" s="3535">
        <v>108.18998511180651</v>
      </c>
      <c r="BZ364" s="3535">
        <v>154.64514088386343</v>
      </c>
      <c r="CA364" s="3535">
        <v>304.34789183599986</v>
      </c>
      <c r="CB364" s="3535">
        <v>169.87087856417224</v>
      </c>
      <c r="CC364" s="3535">
        <v>86.096254944816138</v>
      </c>
      <c r="CD364" s="3535">
        <v>110.31667663889728</v>
      </c>
      <c r="CE364" s="3535">
        <v>404.17454731462624</v>
      </c>
      <c r="CF364" s="3535">
        <v>79.694315709887064</v>
      </c>
      <c r="CG364" s="3535">
        <v>119.35919281823938</v>
      </c>
      <c r="CH364" s="3535">
        <v>114.5058325677841</v>
      </c>
      <c r="CI364" s="3535">
        <v>116.89020186342492</v>
      </c>
      <c r="CJ364" s="2978">
        <v>132.37164756745278</v>
      </c>
    </row>
    <row r="365" spans="1:88">
      <c r="A365" s="53">
        <f t="shared" si="0"/>
        <v>2023.08</v>
      </c>
      <c r="B365" s="615">
        <v>138.36300708135019</v>
      </c>
      <c r="C365" s="3535">
        <v>127.74203380783</v>
      </c>
      <c r="D365" s="358">
        <v>129.22946163723901</v>
      </c>
      <c r="E365" s="615">
        <v>152.76442365838804</v>
      </c>
      <c r="F365" s="1215">
        <v>112.5848814620241</v>
      </c>
      <c r="G365" s="1215">
        <v>275.06403717256347</v>
      </c>
      <c r="H365" s="1215">
        <v>138.39763828168648</v>
      </c>
      <c r="I365" s="1215">
        <v>276.69415197810605</v>
      </c>
      <c r="J365" s="1215">
        <v>112.15914579761501</v>
      </c>
      <c r="K365" s="1215">
        <v>136.28194053986132</v>
      </c>
      <c r="L365" s="1215">
        <v>147.90986248825072</v>
      </c>
      <c r="M365" s="1215">
        <v>153.63981047754822</v>
      </c>
      <c r="N365" s="1215">
        <v>191.81545145961715</v>
      </c>
      <c r="O365" s="1215">
        <v>122.77999174349496</v>
      </c>
      <c r="P365" s="1215">
        <v>157.85949335806001</v>
      </c>
      <c r="Q365" s="1215">
        <v>125.29174856299288</v>
      </c>
      <c r="R365" s="2661">
        <v>177.35464593585385</v>
      </c>
      <c r="S365" s="3535">
        <v>65.435228351671469</v>
      </c>
      <c r="T365" s="3535">
        <v>0.4414007109281623</v>
      </c>
      <c r="U365" s="3535">
        <v>96.62614646852208</v>
      </c>
      <c r="V365" s="3535">
        <v>104.98999963216949</v>
      </c>
      <c r="W365" s="3535">
        <v>264.95345403469031</v>
      </c>
      <c r="X365" s="3535">
        <v>131.62067329500519</v>
      </c>
      <c r="Y365" s="3535">
        <v>92.278784800726953</v>
      </c>
      <c r="Z365" s="3535">
        <v>68.733327821200291</v>
      </c>
      <c r="AA365" s="3535">
        <v>95.138512428085789</v>
      </c>
      <c r="AB365" s="3535">
        <v>87.860095562324005</v>
      </c>
      <c r="AC365" s="3535">
        <v>45.988820796062882</v>
      </c>
      <c r="AD365" s="3535">
        <v>179.03154353870087</v>
      </c>
      <c r="AE365" s="3535">
        <v>122.36205556999163</v>
      </c>
      <c r="AF365" s="3535">
        <v>106.01845249591493</v>
      </c>
      <c r="AG365" s="3535">
        <v>134.56527919078854</v>
      </c>
      <c r="AH365" s="3535">
        <v>121.55060576681434</v>
      </c>
      <c r="AI365" s="3535">
        <v>109.25572220683735</v>
      </c>
      <c r="AJ365" s="3535">
        <v>153.52074754141151</v>
      </c>
      <c r="AK365" s="3535">
        <v>97.564926634589767</v>
      </c>
      <c r="AL365" s="3535">
        <v>81.112132102765727</v>
      </c>
      <c r="AM365" s="3535">
        <v>41.840314578389624</v>
      </c>
      <c r="AN365" s="3535">
        <v>102.61661221209513</v>
      </c>
      <c r="AO365" s="3535">
        <v>149.02676385380977</v>
      </c>
      <c r="AP365" s="3535">
        <v>161.69110165666925</v>
      </c>
      <c r="AQ365" s="3535">
        <v>81.107799112496892</v>
      </c>
      <c r="AR365" s="3535">
        <v>118.33105368126748</v>
      </c>
      <c r="AS365" s="3535">
        <v>118.1444401443116</v>
      </c>
      <c r="AT365" s="3535">
        <v>112.20886958369847</v>
      </c>
      <c r="AU365" s="3535">
        <v>210.26033295700472</v>
      </c>
      <c r="AV365" s="3535">
        <v>176.54379150643433</v>
      </c>
      <c r="AW365" s="3535">
        <v>116.39771537772151</v>
      </c>
      <c r="AX365" s="3535">
        <v>128.59026058391612</v>
      </c>
      <c r="AY365" s="3535">
        <v>117.90876777251185</v>
      </c>
      <c r="AZ365" s="3535">
        <v>107.87228681750312</v>
      </c>
      <c r="BA365" s="3535">
        <v>133.30693683445861</v>
      </c>
      <c r="BB365" s="3535">
        <v>208.56424082425244</v>
      </c>
      <c r="BC365" s="3535">
        <v>194.79724751160558</v>
      </c>
      <c r="BD365" s="3535">
        <v>155.41564164876814</v>
      </c>
      <c r="BE365" s="3535">
        <v>229.03509957123887</v>
      </c>
      <c r="BF365" s="3535">
        <v>207.8181942158142</v>
      </c>
      <c r="BG365" s="3535">
        <v>276.71724984609619</v>
      </c>
      <c r="BH365" s="3535">
        <v>190.34408036589278</v>
      </c>
      <c r="BI365" s="3535">
        <v>105.72014055356333</v>
      </c>
      <c r="BJ365" s="3535">
        <v>88.322081414081367</v>
      </c>
      <c r="BK365" s="3535">
        <v>147.71710231875403</v>
      </c>
      <c r="BL365" s="3535">
        <v>149.53673590653207</v>
      </c>
      <c r="BM365" s="3535">
        <v>122.65979746008826</v>
      </c>
      <c r="BN365" s="3535">
        <v>101.89233370094234</v>
      </c>
      <c r="BO365" s="3535">
        <v>187.99140690485123</v>
      </c>
      <c r="BP365" s="3535">
        <v>125.21237254926568</v>
      </c>
      <c r="BQ365" s="3535">
        <v>198.0824060082079</v>
      </c>
      <c r="BR365" s="3535">
        <v>127.26120223274397</v>
      </c>
      <c r="BS365" s="3535">
        <v>368.21262607400189</v>
      </c>
      <c r="BT365" s="3535">
        <v>87.736596232365144</v>
      </c>
      <c r="BU365" s="3535">
        <v>253.68872704912269</v>
      </c>
      <c r="BV365" s="3535">
        <v>146.54421034016943</v>
      </c>
      <c r="BW365" s="3535">
        <v>329.14671744778821</v>
      </c>
      <c r="BX365" s="3535">
        <v>90.970997261716818</v>
      </c>
      <c r="BY365" s="3535">
        <v>113.8054776122994</v>
      </c>
      <c r="BZ365" s="3535">
        <v>188.53579416936384</v>
      </c>
      <c r="CA365" s="3535">
        <v>390.76554051572117</v>
      </c>
      <c r="CB365" s="3535">
        <v>176.22976211177274</v>
      </c>
      <c r="CC365" s="3535">
        <v>100.26077495542796</v>
      </c>
      <c r="CD365" s="3535">
        <v>117.67176588454157</v>
      </c>
      <c r="CE365" s="3535">
        <v>445.98103372649712</v>
      </c>
      <c r="CF365" s="3535">
        <v>83.459291421709963</v>
      </c>
      <c r="CG365" s="3535">
        <v>108.83695343244024</v>
      </c>
      <c r="CH365" s="3535">
        <v>111.76050531029658</v>
      </c>
      <c r="CI365" s="3535">
        <v>79.173293777621993</v>
      </c>
      <c r="CJ365" s="2978">
        <v>138.36300708135022</v>
      </c>
    </row>
    <row r="366" spans="1:88">
      <c r="A366" s="53">
        <f t="shared" si="0"/>
        <v>2023.09</v>
      </c>
      <c r="B366" s="615">
        <v>133.61988928272442</v>
      </c>
      <c r="C366" s="3535">
        <v>128.68870976987699</v>
      </c>
      <c r="D366" s="358">
        <v>127.12055496517701</v>
      </c>
      <c r="E366" s="615">
        <v>142.62967171336788</v>
      </c>
      <c r="F366" s="1215">
        <v>105.85747731826964</v>
      </c>
      <c r="G366" s="1215">
        <v>248.51180880781527</v>
      </c>
      <c r="H366" s="1215">
        <v>130.38261748909215</v>
      </c>
      <c r="I366" s="1215">
        <v>254.77850250095887</v>
      </c>
      <c r="J366" s="1215">
        <v>100.91083351508827</v>
      </c>
      <c r="K366" s="1215">
        <v>119.51262433035612</v>
      </c>
      <c r="L366" s="1215">
        <v>145.01944330631127</v>
      </c>
      <c r="M366" s="1215">
        <v>140.4875717297642</v>
      </c>
      <c r="N366" s="1215">
        <v>177.60822508122877</v>
      </c>
      <c r="O366" s="1215">
        <v>104.0811571781869</v>
      </c>
      <c r="P366" s="1215">
        <v>148.36799389419593</v>
      </c>
      <c r="Q366" s="1215">
        <v>124.31038086128083</v>
      </c>
      <c r="R366" s="2661">
        <v>176.07859525924502</v>
      </c>
      <c r="S366" s="3535">
        <v>58.434881671417372</v>
      </c>
      <c r="T366" s="3535">
        <v>0</v>
      </c>
      <c r="U366" s="3535">
        <v>86.478123245921267</v>
      </c>
      <c r="V366" s="3535">
        <v>100.87145461323864</v>
      </c>
      <c r="W366" s="3535">
        <v>214.06620548313032</v>
      </c>
      <c r="X366" s="3535">
        <v>127.28892429568361</v>
      </c>
      <c r="Y366" s="3535">
        <v>89.189818357324214</v>
      </c>
      <c r="Z366" s="3535">
        <v>73.571222487840146</v>
      </c>
      <c r="AA366" s="3535">
        <v>97.646650340297995</v>
      </c>
      <c r="AB366" s="3535">
        <v>91.954155868833325</v>
      </c>
      <c r="AC366" s="3535">
        <v>42.507291486556447</v>
      </c>
      <c r="AD366" s="3535">
        <v>181.25644566631371</v>
      </c>
      <c r="AE366" s="3535">
        <v>116.30494869968021</v>
      </c>
      <c r="AF366" s="3535">
        <v>94.660704702260787</v>
      </c>
      <c r="AG366" s="3535">
        <v>128.04423421026166</v>
      </c>
      <c r="AH366" s="3535">
        <v>119.50842823699196</v>
      </c>
      <c r="AI366" s="3535">
        <v>116.96469725274227</v>
      </c>
      <c r="AJ366" s="3535">
        <v>160.18017694227726</v>
      </c>
      <c r="AK366" s="3535">
        <v>111.73941951898883</v>
      </c>
      <c r="AL366" s="3535">
        <v>84.48951177025279</v>
      </c>
      <c r="AM366" s="3535">
        <v>40.341256174623865</v>
      </c>
      <c r="AN366" s="3535">
        <v>104.49158931747412</v>
      </c>
      <c r="AO366" s="3535">
        <v>153.64748463971441</v>
      </c>
      <c r="AP366" s="3535">
        <v>159.72062606952818</v>
      </c>
      <c r="AQ366" s="3535">
        <v>88.193676806389831</v>
      </c>
      <c r="AR366" s="3535">
        <v>145.59156549763094</v>
      </c>
      <c r="AS366" s="3535">
        <v>121.1826527678335</v>
      </c>
      <c r="AT366" s="3535">
        <v>97.537120294608897</v>
      </c>
      <c r="AU366" s="3535">
        <v>205.32397944434524</v>
      </c>
      <c r="AV366" s="3535">
        <v>190.56643845455525</v>
      </c>
      <c r="AW366" s="3535">
        <v>114.36586046062153</v>
      </c>
      <c r="AX366" s="3535">
        <v>128.77055494613307</v>
      </c>
      <c r="AY366" s="3535">
        <v>132.5005924170616</v>
      </c>
      <c r="AZ366" s="3535">
        <v>96.797828075503077</v>
      </c>
      <c r="BA366" s="3535">
        <v>132.11505064533182</v>
      </c>
      <c r="BB366" s="3535">
        <v>200.58653593881311</v>
      </c>
      <c r="BC366" s="3535">
        <v>184.3764989255701</v>
      </c>
      <c r="BD366" s="3535">
        <v>161.29453065768763</v>
      </c>
      <c r="BE366" s="3535">
        <v>217.43240596316156</v>
      </c>
      <c r="BF366" s="3535">
        <v>198.1789505856822</v>
      </c>
      <c r="BG366" s="3535">
        <v>254.8987871022764</v>
      </c>
      <c r="BH366" s="3535">
        <v>187.34743211289216</v>
      </c>
      <c r="BI366" s="3535">
        <v>105.47543912563366</v>
      </c>
      <c r="BJ366" s="3535">
        <v>92.775539106694481</v>
      </c>
      <c r="BK366" s="3535">
        <v>143.82769018018737</v>
      </c>
      <c r="BL366" s="3535">
        <v>129.83494144128321</v>
      </c>
      <c r="BM366" s="3535">
        <v>116.64554475400425</v>
      </c>
      <c r="BN366" s="3535">
        <v>101.20497475453602</v>
      </c>
      <c r="BO366" s="3535">
        <v>180.42617940665721</v>
      </c>
      <c r="BP366" s="3535">
        <v>117.48946151599361</v>
      </c>
      <c r="BQ366" s="3535">
        <v>185.8478436546431</v>
      </c>
      <c r="BR366" s="3535">
        <v>135.32654050139669</v>
      </c>
      <c r="BS366" s="3535">
        <v>319.99762269074955</v>
      </c>
      <c r="BT366" s="3535">
        <v>84.998446092259542</v>
      </c>
      <c r="BU366" s="3535">
        <v>233.77812266559985</v>
      </c>
      <c r="BV366" s="3535">
        <v>137.08531999805061</v>
      </c>
      <c r="BW366" s="3535">
        <v>312.18878055670478</v>
      </c>
      <c r="BX366" s="3535">
        <v>82.153134411212548</v>
      </c>
      <c r="BY366" s="3535">
        <v>109.46126147016197</v>
      </c>
      <c r="BZ366" s="3535">
        <v>175.21345448428988</v>
      </c>
      <c r="CA366" s="3535">
        <v>348.36996436449954</v>
      </c>
      <c r="CB366" s="3535">
        <v>152.79127939509834</v>
      </c>
      <c r="CC366" s="3535">
        <v>101.1931654953982</v>
      </c>
      <c r="CD366" s="3535">
        <v>125.33694102691898</v>
      </c>
      <c r="CE366" s="3535">
        <v>543.90501684631238</v>
      </c>
      <c r="CF366" s="3535">
        <v>81.718770577277056</v>
      </c>
      <c r="CG366" s="3535">
        <v>94.375577348606072</v>
      </c>
      <c r="CH366" s="3535">
        <v>98.16218473378683</v>
      </c>
      <c r="CI366" s="3535">
        <v>55.119654100369992</v>
      </c>
      <c r="CJ366" s="2978">
        <v>133.61988928272442</v>
      </c>
    </row>
    <row r="367" spans="1:88">
      <c r="A367" s="53">
        <f t="shared" si="0"/>
        <v>2023.1</v>
      </c>
      <c r="B367" s="615">
        <v>133.00919044933929</v>
      </c>
      <c r="C367" s="3535">
        <v>126.192056452475</v>
      </c>
      <c r="D367" s="358">
        <v>124.695098056351</v>
      </c>
      <c r="E367" s="615">
        <v>146.38333467282965</v>
      </c>
      <c r="F367" s="1215">
        <v>103.41144977149857</v>
      </c>
      <c r="G367" s="1215">
        <v>263.82077746287297</v>
      </c>
      <c r="H367" s="1215">
        <v>143.88536473121064</v>
      </c>
      <c r="I367" s="1215">
        <v>301.80566916673126</v>
      </c>
      <c r="J367" s="1215">
        <v>95.57255526279458</v>
      </c>
      <c r="K367" s="1215">
        <v>129.60599271537626</v>
      </c>
      <c r="L367" s="1215">
        <v>141.85301073110867</v>
      </c>
      <c r="M367" s="1215">
        <v>138.5342623459357</v>
      </c>
      <c r="N367" s="1215">
        <v>152.40444865912062</v>
      </c>
      <c r="O367" s="1215">
        <v>113.44330812846808</v>
      </c>
      <c r="P367" s="1215">
        <v>164.28119896686061</v>
      </c>
      <c r="Q367" s="1215">
        <v>128.66447444010808</v>
      </c>
      <c r="R367" s="2661">
        <v>174.51746864401551</v>
      </c>
      <c r="S367" s="3535">
        <v>54.337750721921864</v>
      </c>
      <c r="T367" s="3535">
        <v>0</v>
      </c>
      <c r="U367" s="3535">
        <v>80.414755184401642</v>
      </c>
      <c r="V367" s="3535">
        <v>96.507386375792649</v>
      </c>
      <c r="W367" s="3535">
        <v>116.01759434330583</v>
      </c>
      <c r="X367" s="3535">
        <v>129.47167237420462</v>
      </c>
      <c r="Y367" s="3535">
        <v>98.320292284431446</v>
      </c>
      <c r="Z367" s="3535">
        <v>73.904283555733855</v>
      </c>
      <c r="AA367" s="3535">
        <v>106.53267316214426</v>
      </c>
      <c r="AB367" s="3535">
        <v>103.55363624704415</v>
      </c>
      <c r="AC367" s="3535">
        <v>41.475054738742827</v>
      </c>
      <c r="AD367" s="3535">
        <v>189.30238297047575</v>
      </c>
      <c r="AE367" s="3535">
        <v>111.62959256866003</v>
      </c>
      <c r="AF367" s="3535">
        <v>84.334643152293481</v>
      </c>
      <c r="AG367" s="3535">
        <v>126.6497110340743</v>
      </c>
      <c r="AH367" s="3535">
        <v>115.46039446213453</v>
      </c>
      <c r="AI367" s="3535">
        <v>105.95104788758788</v>
      </c>
      <c r="AJ367" s="3535">
        <v>149.6314122062293</v>
      </c>
      <c r="AK367" s="3535">
        <v>95.961809026366268</v>
      </c>
      <c r="AL367" s="3535">
        <v>97.146541913657117</v>
      </c>
      <c r="AM367" s="3535">
        <v>6.497637097186681</v>
      </c>
      <c r="AN367" s="3535">
        <v>96.03178672002133</v>
      </c>
      <c r="AO367" s="3535">
        <v>148.10586972003154</v>
      </c>
      <c r="AP367" s="3535">
        <v>155.71740834491749</v>
      </c>
      <c r="AQ367" s="3535">
        <v>85.010247446115088</v>
      </c>
      <c r="AR367" s="3535">
        <v>114.97263310456852</v>
      </c>
      <c r="AS367" s="3535">
        <v>121.43197879827281</v>
      </c>
      <c r="AT367" s="3535">
        <v>91.697667881928851</v>
      </c>
      <c r="AU367" s="3535">
        <v>209.72050418364176</v>
      </c>
      <c r="AV367" s="3535">
        <v>189.46175252732252</v>
      </c>
      <c r="AW367" s="3535">
        <v>94.775174105264838</v>
      </c>
      <c r="AX367" s="3535">
        <v>127.80881625267443</v>
      </c>
      <c r="AY367" s="3535">
        <v>124.20521327014218</v>
      </c>
      <c r="AZ367" s="3535">
        <v>92.556486009741064</v>
      </c>
      <c r="BA367" s="3535">
        <v>132.99825550861721</v>
      </c>
      <c r="BB367" s="3535">
        <v>197.75758782569591</v>
      </c>
      <c r="BC367" s="3535">
        <v>184.56877798095113</v>
      </c>
      <c r="BD367" s="3535">
        <v>159.16295800158312</v>
      </c>
      <c r="BE367" s="3535">
        <v>218.22120492831462</v>
      </c>
      <c r="BF367" s="3535">
        <v>204.34985329697022</v>
      </c>
      <c r="BG367" s="3535">
        <v>242.0910933402069</v>
      </c>
      <c r="BH367" s="3535">
        <v>182.33797111571371</v>
      </c>
      <c r="BI367" s="3535">
        <v>109.02638974386608</v>
      </c>
      <c r="BJ367" s="3535">
        <v>93.508027686622427</v>
      </c>
      <c r="BK367" s="3535">
        <v>150.41009773644106</v>
      </c>
      <c r="BL367" s="3535">
        <v>144.221206107303</v>
      </c>
      <c r="BM367" s="3535">
        <v>113.62500776658162</v>
      </c>
      <c r="BN367" s="3535">
        <v>107.33357987921966</v>
      </c>
      <c r="BO367" s="3535">
        <v>185.18084147051798</v>
      </c>
      <c r="BP367" s="3535">
        <v>110.81074838728146</v>
      </c>
      <c r="BQ367" s="3535">
        <v>184.52410837067046</v>
      </c>
      <c r="BR367" s="3535">
        <v>111.11069640331004</v>
      </c>
      <c r="BS367" s="3535">
        <v>363.63937062145948</v>
      </c>
      <c r="BT367" s="3535">
        <v>81.23196988111836</v>
      </c>
      <c r="BU367" s="3535">
        <v>219.62152144141044</v>
      </c>
      <c r="BV367" s="3535">
        <v>135.51872903328299</v>
      </c>
      <c r="BW367" s="3535">
        <v>306.36599610732918</v>
      </c>
      <c r="BX367" s="3535">
        <v>81.878040314824986</v>
      </c>
      <c r="BY367" s="3535">
        <v>108.66656512024277</v>
      </c>
      <c r="BZ367" s="3535">
        <v>159.38534567243133</v>
      </c>
      <c r="CA367" s="3535">
        <v>320.97109415987728</v>
      </c>
      <c r="CB367" s="3535">
        <v>167.13876342470311</v>
      </c>
      <c r="CC367" s="3535">
        <v>86.537574092955964</v>
      </c>
      <c r="CD367" s="3535">
        <v>121.67919424230327</v>
      </c>
      <c r="CE367" s="3535">
        <v>494.30347952012818</v>
      </c>
      <c r="CF367" s="3535">
        <v>82.848737435231328</v>
      </c>
      <c r="CG367" s="3535">
        <v>104.60215219939936</v>
      </c>
      <c r="CH367" s="3535">
        <v>96.465895943878209</v>
      </c>
      <c r="CI367" s="3535">
        <v>94.966698166529042</v>
      </c>
      <c r="CJ367" s="2978">
        <v>133.00919044933937</v>
      </c>
    </row>
    <row r="368" spans="1:88">
      <c r="A368" s="53">
        <f t="shared" si="0"/>
        <v>2023.11</v>
      </c>
      <c r="B368" s="615">
        <v>127.5781512965671</v>
      </c>
      <c r="C368" s="3535">
        <v>123.39257471786701</v>
      </c>
      <c r="D368" s="358">
        <v>122.04943444548</v>
      </c>
      <c r="E368" s="615">
        <v>139.676079104633</v>
      </c>
      <c r="F368" s="1215">
        <v>113.85455705903686</v>
      </c>
      <c r="G368" s="1215">
        <v>257.399350742411</v>
      </c>
      <c r="H368" s="1215">
        <v>150.33187488292651</v>
      </c>
      <c r="I368" s="1215">
        <v>243.92564672027873</v>
      </c>
      <c r="J368" s="1215">
        <v>94.383254713530391</v>
      </c>
      <c r="K368" s="1215">
        <v>114.00220017644629</v>
      </c>
      <c r="L368" s="1215">
        <v>140.235660135063</v>
      </c>
      <c r="M368" s="1215">
        <v>127.2519361253452</v>
      </c>
      <c r="N368" s="1215">
        <v>111.74199831678227</v>
      </c>
      <c r="O368" s="1215">
        <v>103.06558896745868</v>
      </c>
      <c r="P368" s="1215">
        <v>171.88298063143932</v>
      </c>
      <c r="Q368" s="1215">
        <v>118.35179681325121</v>
      </c>
      <c r="R368" s="2661">
        <v>179.1792043250355</v>
      </c>
      <c r="S368" s="3535">
        <v>59.368894329898168</v>
      </c>
      <c r="T368" s="3535">
        <v>0</v>
      </c>
      <c r="U368" s="3535">
        <v>87.860374043442107</v>
      </c>
      <c r="V368" s="3535">
        <v>88.58874874157614</v>
      </c>
      <c r="W368" s="3535">
        <v>22.870461040314531</v>
      </c>
      <c r="X368" s="3535">
        <v>127.65455149037172</v>
      </c>
      <c r="Y368" s="3535">
        <v>100.13639003906353</v>
      </c>
      <c r="Z368" s="3535">
        <v>72.327584732432982</v>
      </c>
      <c r="AA368" s="3535">
        <v>98.371032025869965</v>
      </c>
      <c r="AB368" s="3535">
        <v>93.498020506736609</v>
      </c>
      <c r="AC368" s="3535">
        <v>42.733584600517389</v>
      </c>
      <c r="AD368" s="3535">
        <v>179.03579066452983</v>
      </c>
      <c r="AE368" s="3535">
        <v>111.51929754717607</v>
      </c>
      <c r="AF368" s="3535">
        <v>90.371405447625904</v>
      </c>
      <c r="AG368" s="3535">
        <v>128.31765435435958</v>
      </c>
      <c r="AH368" s="3535">
        <v>109.49413116768281</v>
      </c>
      <c r="AI368" s="3535">
        <v>115.78839260862893</v>
      </c>
      <c r="AJ368" s="3535">
        <v>154.57320748617295</v>
      </c>
      <c r="AK368" s="3535">
        <v>107.85892413178213</v>
      </c>
      <c r="AL368" s="3535">
        <v>99.841959879683571</v>
      </c>
      <c r="AM368" s="3535">
        <v>27.931585090075501</v>
      </c>
      <c r="AN368" s="3535">
        <v>107.08212253115477</v>
      </c>
      <c r="AO368" s="3535">
        <v>143.19525950675757</v>
      </c>
      <c r="AP368" s="3535">
        <v>153.25691727376204</v>
      </c>
      <c r="AQ368" s="3535">
        <v>81.7414378768988</v>
      </c>
      <c r="AR368" s="3535">
        <v>136.58119660999469</v>
      </c>
      <c r="AS368" s="3535">
        <v>111.18849088003653</v>
      </c>
      <c r="AT368" s="3535">
        <v>89.50026289352931</v>
      </c>
      <c r="AU368" s="3535">
        <v>200.52392295426984</v>
      </c>
      <c r="AV368" s="3535">
        <v>176.67278640952063</v>
      </c>
      <c r="AW368" s="3535">
        <v>79.241935884186944</v>
      </c>
      <c r="AX368" s="3535">
        <v>123.75611734398828</v>
      </c>
      <c r="AY368" s="3535">
        <v>124.07180094786729</v>
      </c>
      <c r="AZ368" s="3535">
        <v>90.528993939243492</v>
      </c>
      <c r="BA368" s="3535">
        <v>127.92487843185643</v>
      </c>
      <c r="BB368" s="3535">
        <v>194.62866842714445</v>
      </c>
      <c r="BC368" s="3535">
        <v>178.68525063628064</v>
      </c>
      <c r="BD368" s="3535">
        <v>171.39267185336837</v>
      </c>
      <c r="BE368" s="3535">
        <v>198.67890723873194</v>
      </c>
      <c r="BF368" s="3535">
        <v>185.62656202845744</v>
      </c>
      <c r="BG368" s="3535">
        <v>249.71384344774705</v>
      </c>
      <c r="BH368" s="3535">
        <v>179.61647190257713</v>
      </c>
      <c r="BI368" s="3535">
        <v>98.857865948976396</v>
      </c>
      <c r="BJ368" s="3535">
        <v>82.335441297219475</v>
      </c>
      <c r="BK368" s="3535">
        <v>148.91858648459387</v>
      </c>
      <c r="BL368" s="3535">
        <v>130.38594513598036</v>
      </c>
      <c r="BM368" s="3535">
        <v>111.9173466017872</v>
      </c>
      <c r="BN368" s="3535">
        <v>106.72738560882522</v>
      </c>
      <c r="BO368" s="3535">
        <v>178.08205366742064</v>
      </c>
      <c r="BP368" s="3535">
        <v>109.10119138105573</v>
      </c>
      <c r="BQ368" s="3535">
        <v>151.11321119432233</v>
      </c>
      <c r="BR368" s="3535">
        <v>88.03575998752558</v>
      </c>
      <c r="BS368" s="3535">
        <v>269.29609091179151</v>
      </c>
      <c r="BT368" s="3535">
        <v>84.767149072799469</v>
      </c>
      <c r="BU368" s="3535">
        <v>218.63037782058404</v>
      </c>
      <c r="BV368" s="3535">
        <v>122.29000526571848</v>
      </c>
      <c r="BW368" s="3535">
        <v>280.9918133745719</v>
      </c>
      <c r="BX368" s="3535">
        <v>67.329959267837722</v>
      </c>
      <c r="BY368" s="3535">
        <v>109.13727970308203</v>
      </c>
      <c r="BZ368" s="3535">
        <v>171.62207194482968</v>
      </c>
      <c r="CA368" s="3535">
        <v>349.22766847562502</v>
      </c>
      <c r="CB368" s="3535">
        <v>151.77796717404323</v>
      </c>
      <c r="CC368" s="3535">
        <v>95.284837876126758</v>
      </c>
      <c r="CD368" s="3535">
        <v>134.79420291545941</v>
      </c>
      <c r="CE368" s="3535">
        <v>621.5914171292236</v>
      </c>
      <c r="CF368" s="3535">
        <v>84.066005781885679</v>
      </c>
      <c r="CG368" s="3535">
        <v>101.562796424868</v>
      </c>
      <c r="CH368" s="3535">
        <v>92.762816509517904</v>
      </c>
      <c r="CI368" s="3535">
        <v>95.067250125631858</v>
      </c>
      <c r="CJ368" s="2978">
        <v>127.57815129656711</v>
      </c>
    </row>
    <row r="369" spans="1:88">
      <c r="A369" s="53">
        <f t="shared" si="0"/>
        <v>2023.12</v>
      </c>
      <c r="B369" s="615">
        <v>107.40382708053018</v>
      </c>
      <c r="C369" s="3535">
        <v>117.29133779206801</v>
      </c>
      <c r="D369" s="358">
        <v>119.352391461381</v>
      </c>
      <c r="E369" s="615">
        <v>131.19780865002352</v>
      </c>
      <c r="F369" s="1215">
        <v>99.088834951257809</v>
      </c>
      <c r="G369" s="1215">
        <v>248.31090470710387</v>
      </c>
      <c r="H369" s="1215">
        <v>144.76922909288677</v>
      </c>
      <c r="I369" s="1215">
        <v>190.03389402346855</v>
      </c>
      <c r="J369" s="1215">
        <v>95.69407833738525</v>
      </c>
      <c r="K369" s="1215">
        <v>114.40854073463791</v>
      </c>
      <c r="L369" s="1215">
        <v>127.05064180757078</v>
      </c>
      <c r="M369" s="1215">
        <v>111.72473367176801</v>
      </c>
      <c r="N369" s="1215">
        <v>57.735135346117808</v>
      </c>
      <c r="O369" s="1215">
        <v>96.596368188475736</v>
      </c>
      <c r="P369" s="1215">
        <v>167.9626935757249</v>
      </c>
      <c r="Q369" s="1215">
        <v>104.98497511255664</v>
      </c>
      <c r="R369" s="2661">
        <v>205.76069256383647</v>
      </c>
      <c r="S369" s="3535">
        <v>51.165521689312868</v>
      </c>
      <c r="T369" s="3535">
        <v>0</v>
      </c>
      <c r="U369" s="3535">
        <v>75.720154880617073</v>
      </c>
      <c r="V369" s="3535">
        <v>61.7874851576548</v>
      </c>
      <c r="W369" s="3535">
        <v>9.6653686410283548</v>
      </c>
      <c r="X369" s="3535">
        <v>88.253864404773225</v>
      </c>
      <c r="Y369" s="3535">
        <v>63.058459470449854</v>
      </c>
      <c r="Z369" s="3535">
        <v>57.876185120923097</v>
      </c>
      <c r="AA369" s="3535">
        <v>85.949882221221074</v>
      </c>
      <c r="AB369" s="3535">
        <v>88.718152114964241</v>
      </c>
      <c r="AC369" s="3535">
        <v>39.112258513796981</v>
      </c>
      <c r="AD369" s="3535">
        <v>124.66477304356383</v>
      </c>
      <c r="AE369" s="3535">
        <v>91.967426148136497</v>
      </c>
      <c r="AF369" s="3535">
        <v>72.959245718416483</v>
      </c>
      <c r="AG369" s="3535">
        <v>106.01581286281153</v>
      </c>
      <c r="AH369" s="3535">
        <v>91.163379062998359</v>
      </c>
      <c r="AI369" s="3535">
        <v>121.08423360153017</v>
      </c>
      <c r="AJ369" s="3535">
        <v>167.63814668620356</v>
      </c>
      <c r="AK369" s="3535">
        <v>115.34612047348965</v>
      </c>
      <c r="AL369" s="3535">
        <v>104.5004319550799</v>
      </c>
      <c r="AM369" s="3535">
        <v>35.283549887550933</v>
      </c>
      <c r="AN369" s="3535">
        <v>105.17491306244298</v>
      </c>
      <c r="AO369" s="3535">
        <v>120.05415952250587</v>
      </c>
      <c r="AP369" s="3535">
        <v>163.06683306262718</v>
      </c>
      <c r="AQ369" s="3535">
        <v>69.676645773836285</v>
      </c>
      <c r="AR369" s="3535">
        <v>115.92360123439988</v>
      </c>
      <c r="AS369" s="3535">
        <v>83.596394210170232</v>
      </c>
      <c r="AT369" s="3535">
        <v>69.944900698104007</v>
      </c>
      <c r="AU369" s="3535">
        <v>183.1616548331514</v>
      </c>
      <c r="AV369" s="3535">
        <v>116.95894782639414</v>
      </c>
      <c r="AW369" s="3535">
        <v>73.521271609981483</v>
      </c>
      <c r="AX369" s="3535">
        <v>103.14567418604466</v>
      </c>
      <c r="AY369" s="3535">
        <v>105.6655213270142</v>
      </c>
      <c r="AZ369" s="3535">
        <v>69.384392140631888</v>
      </c>
      <c r="BA369" s="3535">
        <v>106.95342413709976</v>
      </c>
      <c r="BB369" s="3535">
        <v>165.13497162014963</v>
      </c>
      <c r="BC369" s="3535">
        <v>186.76935456462354</v>
      </c>
      <c r="BD369" s="3535">
        <v>129.6340576344316</v>
      </c>
      <c r="BE369" s="3535">
        <v>164.42304325266846</v>
      </c>
      <c r="BF369" s="3535">
        <v>158.25531219959154</v>
      </c>
      <c r="BG369" s="3535">
        <v>201.32509313782629</v>
      </c>
      <c r="BH369" s="3535">
        <v>152.57704096605497</v>
      </c>
      <c r="BI369" s="3535">
        <v>77.837591721929215</v>
      </c>
      <c r="BJ369" s="3535">
        <v>61.383624561713205</v>
      </c>
      <c r="BK369" s="3535">
        <v>138.76588019401191</v>
      </c>
      <c r="BL369" s="3535">
        <v>98.262552516558998</v>
      </c>
      <c r="BM369" s="3535">
        <v>85.108406976932187</v>
      </c>
      <c r="BN369" s="3535">
        <v>94.118954260064015</v>
      </c>
      <c r="BO369" s="3535">
        <v>125.88837278343289</v>
      </c>
      <c r="BP369" s="3535">
        <v>79.210050690651485</v>
      </c>
      <c r="BQ369" s="3535">
        <v>116.48682534345058</v>
      </c>
      <c r="BR369" s="3535">
        <v>93.889279161913308</v>
      </c>
      <c r="BS369" s="3535">
        <v>169.38486952345056</v>
      </c>
      <c r="BT369" s="3535">
        <v>74.388685823977823</v>
      </c>
      <c r="BU369" s="3535">
        <v>147.57650441079008</v>
      </c>
      <c r="BV369" s="3535">
        <v>73.016687588969589</v>
      </c>
      <c r="BW369" s="3535">
        <v>71.276483912199325</v>
      </c>
      <c r="BX369" s="3535">
        <v>62.519829820316268</v>
      </c>
      <c r="BY369" s="3535">
        <v>98.658276256405784</v>
      </c>
      <c r="BZ369" s="3535">
        <v>124.29685304350572</v>
      </c>
      <c r="CA369" s="3535">
        <v>231.7031225137041</v>
      </c>
      <c r="CB369" s="3535">
        <v>111.70770752870155</v>
      </c>
      <c r="CC369" s="3535">
        <v>78.209660496136209</v>
      </c>
      <c r="CD369" s="3535">
        <v>112.34987152653194</v>
      </c>
      <c r="CE369" s="3535">
        <v>489.81255064645313</v>
      </c>
      <c r="CF369" s="3535">
        <v>73.015215045622199</v>
      </c>
      <c r="CG369" s="3535">
        <v>70.55260408991748</v>
      </c>
      <c r="CH369" s="3535">
        <v>57.213279214039169</v>
      </c>
      <c r="CI369" s="3535">
        <v>62.860535264461092</v>
      </c>
      <c r="CJ369" s="2978">
        <v>107.40382708053023</v>
      </c>
    </row>
    <row r="370" spans="1:88">
      <c r="A370" s="53">
        <f t="shared" si="0"/>
        <v>2024.01</v>
      </c>
      <c r="B370" s="615">
        <v>102.98323083293734</v>
      </c>
      <c r="C370" s="3535">
        <v>113.565835011698</v>
      </c>
      <c r="D370" s="358">
        <v>116.833459469264</v>
      </c>
      <c r="E370" s="615">
        <v>134.77059243789012</v>
      </c>
      <c r="F370" s="1215">
        <v>107.4989810813951</v>
      </c>
      <c r="G370" s="1215">
        <v>273.08451210002772</v>
      </c>
      <c r="H370" s="1215">
        <v>131.77743132339413</v>
      </c>
      <c r="I370" s="1215">
        <v>239.99825178110012</v>
      </c>
      <c r="J370" s="1215">
        <v>104.54034183240375</v>
      </c>
      <c r="K370" s="1215">
        <v>126.62084734037555</v>
      </c>
      <c r="L370" s="1215">
        <v>126.04286534699942</v>
      </c>
      <c r="M370" s="1215">
        <v>115.35342246210993</v>
      </c>
      <c r="N370" s="1215">
        <v>51.394868479001005</v>
      </c>
      <c r="O370" s="1215">
        <v>114.4801787677476</v>
      </c>
      <c r="P370" s="1215">
        <v>155.92909495856694</v>
      </c>
      <c r="Q370" s="1215">
        <v>82.876943368788559</v>
      </c>
      <c r="R370" s="2661">
        <v>215.83998617661027</v>
      </c>
      <c r="S370" s="3535">
        <v>99.505325548853165</v>
      </c>
      <c r="T370" s="3535">
        <v>130.96883513109108</v>
      </c>
      <c r="U370" s="3535">
        <v>84.405803230011841</v>
      </c>
      <c r="V370" s="3535">
        <v>50.774231607703555</v>
      </c>
      <c r="W370" s="3535">
        <v>8.898635974025682</v>
      </c>
      <c r="X370" s="3535">
        <v>63.876504017948832</v>
      </c>
      <c r="Y370" s="3535">
        <v>53.740702428071017</v>
      </c>
      <c r="Z370" s="3535">
        <v>50.205010210833784</v>
      </c>
      <c r="AA370" s="3535">
        <v>57.138745372737851</v>
      </c>
      <c r="AB370" s="3535">
        <v>53.525816495828174</v>
      </c>
      <c r="AC370" s="3535">
        <v>35.507750699223749</v>
      </c>
      <c r="AD370" s="3535">
        <v>95.801026582334302</v>
      </c>
      <c r="AE370" s="3535">
        <v>99.393545725205186</v>
      </c>
      <c r="AF370" s="3535">
        <v>69.120522218730116</v>
      </c>
      <c r="AG370" s="3535">
        <v>109.59395421356136</v>
      </c>
      <c r="AH370" s="3535">
        <v>109.89101340603088</v>
      </c>
      <c r="AI370" s="3535">
        <v>118.58597171977185</v>
      </c>
      <c r="AJ370" s="3535">
        <v>160.38322803271896</v>
      </c>
      <c r="AK370" s="3535">
        <v>114.3007654434375</v>
      </c>
      <c r="AL370" s="3535">
        <v>94.342429245988043</v>
      </c>
      <c r="AM370" s="3535">
        <v>13.112487813497298</v>
      </c>
      <c r="AN370" s="3535">
        <v>105.73735349843335</v>
      </c>
      <c r="AO370" s="3535">
        <v>117.48545723381847</v>
      </c>
      <c r="AP370" s="3535">
        <v>159.03152513351441</v>
      </c>
      <c r="AQ370" s="3535">
        <v>59.138962416719451</v>
      </c>
      <c r="AR370" s="3535">
        <v>115.76300090459992</v>
      </c>
      <c r="AS370" s="3535">
        <v>59.453807409275363</v>
      </c>
      <c r="AT370" s="3535">
        <v>77.401957312062876</v>
      </c>
      <c r="AU370" s="3535">
        <v>161.68760715231238</v>
      </c>
      <c r="AV370" s="3535">
        <v>153.70680797734795</v>
      </c>
      <c r="AW370" s="3535">
        <v>99.333595173561221</v>
      </c>
      <c r="AX370" s="3535">
        <v>98.288359653420912</v>
      </c>
      <c r="AY370" s="3535">
        <v>65.959004739336507</v>
      </c>
      <c r="AZ370" s="3535">
        <v>85.26606902004707</v>
      </c>
      <c r="BA370" s="3535">
        <v>106.23879937206101</v>
      </c>
      <c r="BB370" s="3535">
        <v>145.71402303566634</v>
      </c>
      <c r="BC370" s="3535">
        <v>161.53991405057982</v>
      </c>
      <c r="BD370" s="3535">
        <v>108.10281238174016</v>
      </c>
      <c r="BE370" s="3535">
        <v>138.03559764729022</v>
      </c>
      <c r="BF370" s="3535">
        <v>149.927276758641</v>
      </c>
      <c r="BG370" s="3535">
        <v>196.08492794551498</v>
      </c>
      <c r="BH370" s="3535">
        <v>141.62198637206839</v>
      </c>
      <c r="BI370" s="3535">
        <v>85.609189316548097</v>
      </c>
      <c r="BJ370" s="3535">
        <v>69.187897457192776</v>
      </c>
      <c r="BK370" s="3535">
        <v>145.02071201565033</v>
      </c>
      <c r="BL370" s="3535">
        <v>107.37644197964759</v>
      </c>
      <c r="BM370" s="3535">
        <v>90.146735542783915</v>
      </c>
      <c r="BN370" s="3535">
        <v>99.024060591651903</v>
      </c>
      <c r="BO370" s="3535">
        <v>165.70767030915007</v>
      </c>
      <c r="BP370" s="3535">
        <v>81.883265679455405</v>
      </c>
      <c r="BQ370" s="3535">
        <v>87.387075078095336</v>
      </c>
      <c r="BR370" s="3535">
        <v>93.403826287462508</v>
      </c>
      <c r="BS370" s="3535">
        <v>87.074743111847255</v>
      </c>
      <c r="BT370" s="3535">
        <v>67.360184815721908</v>
      </c>
      <c r="BU370" s="3535">
        <v>99.346569507182991</v>
      </c>
      <c r="BV370" s="3535">
        <v>64.733241652804665</v>
      </c>
      <c r="BW370" s="3535">
        <v>40.313773842383917</v>
      </c>
      <c r="BX370" s="3535">
        <v>54.047517437564267</v>
      </c>
      <c r="BY370" s="3535">
        <v>110.73032083984417</v>
      </c>
      <c r="BZ370" s="3535">
        <v>77.318005309536431</v>
      </c>
      <c r="CA370" s="3535">
        <v>127.13668070253803</v>
      </c>
      <c r="CB370" s="3535">
        <v>60.940382373474115</v>
      </c>
      <c r="CC370" s="3535">
        <v>57.327965135109004</v>
      </c>
      <c r="CD370" s="3535">
        <v>96.654934769058528</v>
      </c>
      <c r="CE370" s="3535">
        <v>340.54318611640741</v>
      </c>
      <c r="CF370" s="3535">
        <v>71.239811322033106</v>
      </c>
      <c r="CG370" s="3535">
        <v>64.477792102186726</v>
      </c>
      <c r="CH370" s="3535">
        <v>54.280756725992035</v>
      </c>
      <c r="CI370" s="3535">
        <v>49.981285681462175</v>
      </c>
      <c r="CJ370" s="2978">
        <v>102.98323083293737</v>
      </c>
    </row>
    <row r="371" spans="1:88">
      <c r="A371" s="53">
        <f t="shared" si="0"/>
        <v>2024.02</v>
      </c>
      <c r="B371" s="615">
        <v>103.75102024796449</v>
      </c>
      <c r="C371" s="3535">
        <v>113.440844166658</v>
      </c>
      <c r="D371" s="358">
        <v>114.760466014163</v>
      </c>
      <c r="E371" s="615">
        <v>126.22335344205533</v>
      </c>
      <c r="F371" s="1215">
        <v>97.357081399809331</v>
      </c>
      <c r="G371" s="1215">
        <v>231.29231825265589</v>
      </c>
      <c r="H371" s="1215">
        <v>120.37530796444868</v>
      </c>
      <c r="I371" s="1215">
        <v>209.44087193468002</v>
      </c>
      <c r="J371" s="1215">
        <v>117.15433870780065</v>
      </c>
      <c r="K371" s="1215">
        <v>112.89822921273694</v>
      </c>
      <c r="L371" s="1215">
        <v>146.06893390448113</v>
      </c>
      <c r="M371" s="1215">
        <v>116.83276763274881</v>
      </c>
      <c r="N371" s="1215">
        <v>77.078115136969103</v>
      </c>
      <c r="O371" s="1215">
        <v>124.07816020398867</v>
      </c>
      <c r="P371" s="1215">
        <v>134.7002228384622</v>
      </c>
      <c r="Q371" s="1215">
        <v>84.649327001231001</v>
      </c>
      <c r="R371" s="2661">
        <v>168.8663342745044</v>
      </c>
      <c r="S371" s="3535">
        <v>124.44442349163523</v>
      </c>
      <c r="T371" s="3535">
        <v>211.5381437353565</v>
      </c>
      <c r="U371" s="3535">
        <v>82.647637624066704</v>
      </c>
      <c r="V371" s="3535">
        <v>62.671469895953003</v>
      </c>
      <c r="W371" s="3535">
        <v>8.8873491509565632</v>
      </c>
      <c r="X371" s="3535">
        <v>108.96899124563066</v>
      </c>
      <c r="Y371" s="3535">
        <v>66.924026123672817</v>
      </c>
      <c r="Z371" s="3535">
        <v>46.350552717060644</v>
      </c>
      <c r="AA371" s="3535">
        <v>66.509800284129938</v>
      </c>
      <c r="AB371" s="3535">
        <v>60.895583040734756</v>
      </c>
      <c r="AC371" s="3535">
        <v>35.346209053525286</v>
      </c>
      <c r="AD371" s="3535">
        <v>123.94841390317431</v>
      </c>
      <c r="AE371" s="3535">
        <v>96.101983381632465</v>
      </c>
      <c r="AF371" s="3535">
        <v>68.076499440651858</v>
      </c>
      <c r="AG371" s="3535">
        <v>112.05714581792945</v>
      </c>
      <c r="AH371" s="3535">
        <v>99.519592519508379</v>
      </c>
      <c r="AI371" s="3535">
        <v>109.04803334454442</v>
      </c>
      <c r="AJ371" s="3535">
        <v>156.35072577299383</v>
      </c>
      <c r="AK371" s="3535">
        <v>102.01709550729741</v>
      </c>
      <c r="AL371" s="3535">
        <v>84.406090614300183</v>
      </c>
      <c r="AM371" s="3535">
        <v>12.626280067143947</v>
      </c>
      <c r="AN371" s="3535">
        <v>95.758882312040015</v>
      </c>
      <c r="AO371" s="3535">
        <v>123.67263229502252</v>
      </c>
      <c r="AP371" s="3535">
        <v>152.79929296448847</v>
      </c>
      <c r="AQ371" s="3535">
        <v>79.60251550002269</v>
      </c>
      <c r="AR371" s="3535">
        <v>127.93131611740165</v>
      </c>
      <c r="AS371" s="3535">
        <v>111.64552637239926</v>
      </c>
      <c r="AT371" s="3535">
        <v>67.477444833341934</v>
      </c>
      <c r="AU371" s="3535">
        <v>151.76883070764271</v>
      </c>
      <c r="AV371" s="3535">
        <v>149.58830642984586</v>
      </c>
      <c r="AW371" s="3535">
        <v>91.801770917973329</v>
      </c>
      <c r="AX371" s="3535">
        <v>98.55456846800935</v>
      </c>
      <c r="AY371" s="3535">
        <v>89.776457345971565</v>
      </c>
      <c r="AZ371" s="3535">
        <v>76.664170444472603</v>
      </c>
      <c r="BA371" s="3535">
        <v>103.05003616678235</v>
      </c>
      <c r="BB371" s="3535">
        <v>140.60208536563161</v>
      </c>
      <c r="BC371" s="3535">
        <v>132.37653658212471</v>
      </c>
      <c r="BD371" s="3535">
        <v>142.03448827510658</v>
      </c>
      <c r="BE371" s="3535">
        <v>134.54730643189669</v>
      </c>
      <c r="BF371" s="3535">
        <v>133.05947458910231</v>
      </c>
      <c r="BG371" s="3535">
        <v>164.95838490027091</v>
      </c>
      <c r="BH371" s="3535">
        <v>131.88652458559696</v>
      </c>
      <c r="BI371" s="3535">
        <v>71.600754843396544</v>
      </c>
      <c r="BJ371" s="3535">
        <v>47.669221088785953</v>
      </c>
      <c r="BK371" s="3535">
        <v>136.15932034330839</v>
      </c>
      <c r="BL371" s="3535">
        <v>125.14406531981646</v>
      </c>
      <c r="BM371" s="3535">
        <v>92.030850096637607</v>
      </c>
      <c r="BN371" s="3535">
        <v>97.003026296863197</v>
      </c>
      <c r="BO371" s="3535">
        <v>161.97306342016407</v>
      </c>
      <c r="BP371" s="3535">
        <v>85.488212953607672</v>
      </c>
      <c r="BQ371" s="3535">
        <v>103.28720433735656</v>
      </c>
      <c r="BR371" s="3535">
        <v>72.512314479457331</v>
      </c>
      <c r="BS371" s="3535">
        <v>163.99384870527041</v>
      </c>
      <c r="BT371" s="3535">
        <v>72.876970238976199</v>
      </c>
      <c r="BU371" s="3535">
        <v>127.10754481259472</v>
      </c>
      <c r="BV371" s="3535">
        <v>79.33151688827941</v>
      </c>
      <c r="BW371" s="3535">
        <v>103.15762284169905</v>
      </c>
      <c r="BX371" s="3535">
        <v>62.808439283593543</v>
      </c>
      <c r="BY371" s="3535">
        <v>96.358671765018002</v>
      </c>
      <c r="BZ371" s="3535">
        <v>124.36885905067767</v>
      </c>
      <c r="CA371" s="3535">
        <v>233.53383003073228</v>
      </c>
      <c r="CB371" s="3535">
        <v>114.81631809668608</v>
      </c>
      <c r="CC371" s="3535">
        <v>77.100301647880144</v>
      </c>
      <c r="CD371" s="3535">
        <v>99.246920668812365</v>
      </c>
      <c r="CE371" s="3535">
        <v>395.17411615715992</v>
      </c>
      <c r="CF371" s="3535">
        <v>68.408919399301311</v>
      </c>
      <c r="CG371" s="3535">
        <v>62.975012284489168</v>
      </c>
      <c r="CH371" s="3535">
        <v>53.581943698551875</v>
      </c>
      <c r="CI371" s="3535">
        <v>45.197435225917886</v>
      </c>
      <c r="CJ371" s="2978">
        <v>103.75102024796452</v>
      </c>
    </row>
    <row r="372" spans="1:88">
      <c r="A372" s="53">
        <f t="shared" si="0"/>
        <v>2024.03</v>
      </c>
      <c r="B372" s="615">
        <v>110.46572537113644</v>
      </c>
      <c r="C372" s="3535">
        <v>111.055466350963</v>
      </c>
      <c r="D372" s="358">
        <v>113.38572099288</v>
      </c>
      <c r="E372" s="615">
        <v>132.17042653444412</v>
      </c>
      <c r="F372" s="1215">
        <v>97.434949400497558</v>
      </c>
      <c r="G372" s="1215">
        <v>231.68860925005066</v>
      </c>
      <c r="H372" s="1215">
        <v>127.11036442693906</v>
      </c>
      <c r="I372" s="1215">
        <v>211.3912173870801</v>
      </c>
      <c r="J372" s="1215">
        <v>144.50647548530495</v>
      </c>
      <c r="K372" s="1215">
        <v>113.07464130242441</v>
      </c>
      <c r="L372" s="1215">
        <v>157.27949296688101</v>
      </c>
      <c r="M372" s="1215">
        <v>127.98396493267799</v>
      </c>
      <c r="N372" s="1215">
        <v>82.122772636552781</v>
      </c>
      <c r="O372" s="1215">
        <v>157.26945204149544</v>
      </c>
      <c r="P372" s="1215">
        <v>129.96884810684844</v>
      </c>
      <c r="Q372" s="1215">
        <v>92.224531107774027</v>
      </c>
      <c r="R372" s="2661">
        <v>162.59439463056444</v>
      </c>
      <c r="S372" s="3535">
        <v>126.39566944895587</v>
      </c>
      <c r="T372" s="3535">
        <v>209.89432317842437</v>
      </c>
      <c r="U372" s="3535">
        <v>86.324177033721213</v>
      </c>
      <c r="V372" s="3535">
        <v>63.055205933051511</v>
      </c>
      <c r="W372" s="3535">
        <v>38.056576474865018</v>
      </c>
      <c r="X372" s="3535">
        <v>93.74785130012846</v>
      </c>
      <c r="Y372" s="3535">
        <v>68.641686955193222</v>
      </c>
      <c r="Z372" s="3535">
        <v>47.687468773742758</v>
      </c>
      <c r="AA372" s="3535">
        <v>86.381719900011845</v>
      </c>
      <c r="AB372" s="3535">
        <v>85.101781222490729</v>
      </c>
      <c r="AC372" s="3535">
        <v>38.305088078428831</v>
      </c>
      <c r="AD372" s="3535">
        <v>143.63194219275474</v>
      </c>
      <c r="AE372" s="3535">
        <v>94.423970260171032</v>
      </c>
      <c r="AF372" s="3535">
        <v>67.477188890478146</v>
      </c>
      <c r="AG372" s="3535">
        <v>104.98884258165361</v>
      </c>
      <c r="AH372" s="3535">
        <v>102.33104923646356</v>
      </c>
      <c r="AI372" s="3535">
        <v>116.56823476455267</v>
      </c>
      <c r="AJ372" s="3535">
        <v>153.65878647758208</v>
      </c>
      <c r="AK372" s="3535">
        <v>109.28966924740384</v>
      </c>
      <c r="AL372" s="3535">
        <v>103.01860330329531</v>
      </c>
      <c r="AM372" s="3535">
        <v>13.905251394569895</v>
      </c>
      <c r="AN372" s="3535">
        <v>108.32947422578573</v>
      </c>
      <c r="AO372" s="3535">
        <v>139.56239513048013</v>
      </c>
      <c r="AP372" s="3535">
        <v>161.72048854267257</v>
      </c>
      <c r="AQ372" s="3535">
        <v>81.595525214667688</v>
      </c>
      <c r="AR372" s="3535">
        <v>137.15818340077172</v>
      </c>
      <c r="AS372" s="3535">
        <v>105.75960546839579</v>
      </c>
      <c r="AT372" s="3535">
        <v>70.270982938795783</v>
      </c>
      <c r="AU372" s="3535">
        <v>196.56292844841141</v>
      </c>
      <c r="AV372" s="3535">
        <v>155.79155977267138</v>
      </c>
      <c r="AW372" s="3535">
        <v>103.95227532275473</v>
      </c>
      <c r="AX372" s="3535">
        <v>99.766503297569741</v>
      </c>
      <c r="AY372" s="3535">
        <v>106.67011492890994</v>
      </c>
      <c r="AZ372" s="3535">
        <v>69.10221688280005</v>
      </c>
      <c r="BA372" s="3535">
        <v>102.32671826209037</v>
      </c>
      <c r="BB372" s="3535">
        <v>126.19371557934289</v>
      </c>
      <c r="BC372" s="3535">
        <v>138.83326263713943</v>
      </c>
      <c r="BD372" s="3535">
        <v>102.33563283034989</v>
      </c>
      <c r="BE372" s="3535">
        <v>126.33351268335076</v>
      </c>
      <c r="BF372" s="3535">
        <v>126.84544027038301</v>
      </c>
      <c r="BG372" s="3535">
        <v>147.62257456457607</v>
      </c>
      <c r="BH372" s="3535">
        <v>122.65456878112533</v>
      </c>
      <c r="BI372" s="3535">
        <v>73.743632952605495</v>
      </c>
      <c r="BJ372" s="3535">
        <v>51.871725854098514</v>
      </c>
      <c r="BK372" s="3535">
        <v>141.00564245149721</v>
      </c>
      <c r="BL372" s="3535">
        <v>114.49570365803854</v>
      </c>
      <c r="BM372" s="3535">
        <v>87.93599377101684</v>
      </c>
      <c r="BN372" s="3535">
        <v>98.034832754997723</v>
      </c>
      <c r="BO372" s="3535">
        <v>143.81788309746634</v>
      </c>
      <c r="BP372" s="3535">
        <v>80.619939599382533</v>
      </c>
      <c r="BQ372" s="3535">
        <v>123.80355734778938</v>
      </c>
      <c r="BR372" s="3535">
        <v>87.596556441125955</v>
      </c>
      <c r="BS372" s="3535">
        <v>201.43217622545873</v>
      </c>
      <c r="BT372" s="3535">
        <v>78.881304379331723</v>
      </c>
      <c r="BU372" s="3535">
        <v>153.38628331472108</v>
      </c>
      <c r="BV372" s="3535">
        <v>91.410638802725984</v>
      </c>
      <c r="BW372" s="3535">
        <v>142.8097060910109</v>
      </c>
      <c r="BX372" s="3535">
        <v>64.851096743600465</v>
      </c>
      <c r="BY372" s="3535">
        <v>107.27288296837094</v>
      </c>
      <c r="BZ372" s="3535">
        <v>141.24188407102565</v>
      </c>
      <c r="CA372" s="3535">
        <v>267.91031276893972</v>
      </c>
      <c r="CB372" s="3535">
        <v>113.58234409375812</v>
      </c>
      <c r="CC372" s="3535">
        <v>88.575496543067203</v>
      </c>
      <c r="CD372" s="3535">
        <v>104.00972338969484</v>
      </c>
      <c r="CE372" s="3535">
        <v>426.42258792012547</v>
      </c>
      <c r="CF372" s="3535">
        <v>70.411701723289355</v>
      </c>
      <c r="CG372" s="3535">
        <v>69.808559077938668</v>
      </c>
      <c r="CH372" s="3535">
        <v>62.106569717229462</v>
      </c>
      <c r="CI372" s="3535">
        <v>49.210333324309786</v>
      </c>
      <c r="CJ372" s="2978">
        <v>110.46572537113643</v>
      </c>
    </row>
    <row r="373" spans="1:88">
      <c r="A373" s="53">
        <f t="shared" si="0"/>
        <v>2024.04</v>
      </c>
      <c r="B373" s="615">
        <v>111.29652193560069</v>
      </c>
      <c r="C373" s="3535">
        <v>110.192095802873</v>
      </c>
      <c r="D373" s="358">
        <v>112.861175883627</v>
      </c>
      <c r="E373" s="615">
        <v>134.22216345515014</v>
      </c>
      <c r="F373" s="1215">
        <v>97.665751312964773</v>
      </c>
      <c r="G373" s="1215">
        <v>249.89701701683131</v>
      </c>
      <c r="H373" s="1215">
        <v>123.50236261599619</v>
      </c>
      <c r="I373" s="1215">
        <v>209.29811955719919</v>
      </c>
      <c r="J373" s="1215">
        <v>185.96557909419195</v>
      </c>
      <c r="K373" s="1215">
        <v>114.67215540555493</v>
      </c>
      <c r="L373" s="1215">
        <v>155.93344937227891</v>
      </c>
      <c r="M373" s="1215">
        <v>139.08352576903872</v>
      </c>
      <c r="N373" s="1215">
        <v>75.32808275489289</v>
      </c>
      <c r="O373" s="1215">
        <v>149.64021815357094</v>
      </c>
      <c r="P373" s="1215">
        <v>105.50768657931057</v>
      </c>
      <c r="Q373" s="1215">
        <v>106.13416301574286</v>
      </c>
      <c r="R373" s="2661">
        <v>144.98960939174731</v>
      </c>
      <c r="S373" s="3535">
        <v>73.575449089156763</v>
      </c>
      <c r="T373" s="3535">
        <v>47.406183069720392</v>
      </c>
      <c r="U373" s="3535">
        <v>86.134232949404975</v>
      </c>
      <c r="V373" s="3535">
        <v>63.314093550549252</v>
      </c>
      <c r="W373" s="3535">
        <v>91.461379828561391</v>
      </c>
      <c r="X373" s="3535">
        <v>85.390384699283047</v>
      </c>
      <c r="Y373" s="3535">
        <v>62.145979376024236</v>
      </c>
      <c r="Z373" s="3535">
        <v>47.053433674394505</v>
      </c>
      <c r="AA373" s="3535">
        <v>85.711140500397264</v>
      </c>
      <c r="AB373" s="3535">
        <v>83.961656959604127</v>
      </c>
      <c r="AC373" s="3535">
        <v>37.150895808713763</v>
      </c>
      <c r="AD373" s="3535">
        <v>145.47755611833293</v>
      </c>
      <c r="AE373" s="3535">
        <v>95.438642737744075</v>
      </c>
      <c r="AF373" s="3535">
        <v>66.190553352393337</v>
      </c>
      <c r="AG373" s="3535">
        <v>109.11795355742372</v>
      </c>
      <c r="AH373" s="3535">
        <v>101.88068998299059</v>
      </c>
      <c r="AI373" s="3535">
        <v>116.85002103742575</v>
      </c>
      <c r="AJ373" s="3535">
        <v>152.13637123803218</v>
      </c>
      <c r="AK373" s="3535">
        <v>111.30004885518507</v>
      </c>
      <c r="AL373" s="3535">
        <v>97.921899723180957</v>
      </c>
      <c r="AM373" s="3535">
        <v>27.066469719350074</v>
      </c>
      <c r="AN373" s="3535">
        <v>108.02902965592794</v>
      </c>
      <c r="AO373" s="3535">
        <v>128.97900386288939</v>
      </c>
      <c r="AP373" s="3535">
        <v>156.60379621376956</v>
      </c>
      <c r="AQ373" s="3535">
        <v>78.949532315236652</v>
      </c>
      <c r="AR373" s="3535">
        <v>121.33043399916119</v>
      </c>
      <c r="AS373" s="3535">
        <v>100.54497696992716</v>
      </c>
      <c r="AT373" s="3535">
        <v>69.970824707601849</v>
      </c>
      <c r="AU373" s="3535">
        <v>176.26330360003567</v>
      </c>
      <c r="AV373" s="3535">
        <v>140.95832943246256</v>
      </c>
      <c r="AW373" s="3535">
        <v>112.42469482337918</v>
      </c>
      <c r="AX373" s="3535">
        <v>96.304944192636967</v>
      </c>
      <c r="AY373" s="3535">
        <v>94.055213270142175</v>
      </c>
      <c r="AZ373" s="3535">
        <v>74.089755045053892</v>
      </c>
      <c r="BA373" s="3535">
        <v>99.571085263966864</v>
      </c>
      <c r="BB373" s="3535">
        <v>116.76270047272196</v>
      </c>
      <c r="BC373" s="3535">
        <v>146.29082730631296</v>
      </c>
      <c r="BD373" s="3535">
        <v>81.28381819126291</v>
      </c>
      <c r="BE373" s="3535">
        <v>121.6302676739049</v>
      </c>
      <c r="BF373" s="3535">
        <v>138.6024284435654</v>
      </c>
      <c r="BG373" s="3535">
        <v>124.27483552055627</v>
      </c>
      <c r="BH373" s="3535">
        <v>114.5296109604151</v>
      </c>
      <c r="BI373" s="3535">
        <v>87.605558880058268</v>
      </c>
      <c r="BJ373" s="3535">
        <v>70.299739505285856</v>
      </c>
      <c r="BK373" s="3535">
        <v>135.34738111405665</v>
      </c>
      <c r="BL373" s="3535">
        <v>125.27756201780782</v>
      </c>
      <c r="BM373" s="3535">
        <v>90.122730780596115</v>
      </c>
      <c r="BN373" s="3535">
        <v>100.72618176225787</v>
      </c>
      <c r="BO373" s="3535">
        <v>141.98527722058896</v>
      </c>
      <c r="BP373" s="3535">
        <v>82.913199366973203</v>
      </c>
      <c r="BQ373" s="3535">
        <v>143.53935513003475</v>
      </c>
      <c r="BR373" s="3535">
        <v>91.819605941637477</v>
      </c>
      <c r="BS373" s="3535">
        <v>276.51397761463306</v>
      </c>
      <c r="BT373" s="3535">
        <v>77.538557149185408</v>
      </c>
      <c r="BU373" s="3535">
        <v>144.25910626040317</v>
      </c>
      <c r="BV373" s="3535">
        <v>88.447689353971199</v>
      </c>
      <c r="BW373" s="3535">
        <v>134.76120916299078</v>
      </c>
      <c r="BX373" s="3535">
        <v>62.470696298567781</v>
      </c>
      <c r="BY373" s="3535">
        <v>107.43890679563897</v>
      </c>
      <c r="BZ373" s="3535">
        <v>140.03822546006114</v>
      </c>
      <c r="CA373" s="3535">
        <v>271.89483252249465</v>
      </c>
      <c r="CB373" s="3535">
        <v>122.21634261580839</v>
      </c>
      <c r="CC373" s="3535">
        <v>83.771049430663709</v>
      </c>
      <c r="CD373" s="3535">
        <v>112.30571488215396</v>
      </c>
      <c r="CE373" s="3535">
        <v>492.95092424587358</v>
      </c>
      <c r="CF373" s="3535">
        <v>72.639413073627239</v>
      </c>
      <c r="CG373" s="3535">
        <v>77.12340141686974</v>
      </c>
      <c r="CH373" s="3535">
        <v>64.878836218321169</v>
      </c>
      <c r="CI373" s="3535">
        <v>69.773925359794006</v>
      </c>
      <c r="CJ373" s="2978">
        <v>111.29652193560068</v>
      </c>
    </row>
    <row r="374" spans="1:88">
      <c r="A374" s="53">
        <f t="shared" si="0"/>
        <v>2024.05</v>
      </c>
      <c r="B374" s="615">
        <v>116.71976927266223</v>
      </c>
      <c r="C374" s="3535">
        <v>112.243214081498</v>
      </c>
      <c r="D374" s="358">
        <v>113.204815485293</v>
      </c>
      <c r="E374" s="615">
        <v>144.15907123295645</v>
      </c>
      <c r="F374" s="1215">
        <v>106.75473495531736</v>
      </c>
      <c r="G374" s="1215">
        <v>258.93962058013852</v>
      </c>
      <c r="H374" s="1215">
        <v>128.78279658994927</v>
      </c>
      <c r="I374" s="1215">
        <v>210.21900024977458</v>
      </c>
      <c r="J374" s="1215">
        <v>190.62566942086451</v>
      </c>
      <c r="K374" s="1215">
        <v>130.55914227726169</v>
      </c>
      <c r="L374" s="1215">
        <v>165.22000733318879</v>
      </c>
      <c r="M374" s="1215">
        <v>153.08528722855465</v>
      </c>
      <c r="N374" s="1215">
        <v>101.63430375616747</v>
      </c>
      <c r="O374" s="1215">
        <v>144.56049429991711</v>
      </c>
      <c r="P374" s="1215">
        <v>96.263347285592076</v>
      </c>
      <c r="Q374" s="1215">
        <v>117.03684509220949</v>
      </c>
      <c r="R374" s="2661">
        <v>171.97200846234776</v>
      </c>
      <c r="S374" s="3535">
        <v>63.887799279221525</v>
      </c>
      <c r="T374" s="3535">
        <v>10.981683189048042</v>
      </c>
      <c r="U374" s="3535">
        <v>89.277753906462493</v>
      </c>
      <c r="V374" s="3535">
        <v>75.688207614016122</v>
      </c>
      <c r="W374" s="3535">
        <v>136.26226586559179</v>
      </c>
      <c r="X374" s="3535">
        <v>93.099022950184079</v>
      </c>
      <c r="Y374" s="3535">
        <v>67.69806192163712</v>
      </c>
      <c r="Z374" s="3535">
        <v>60.855230501079824</v>
      </c>
      <c r="AA374" s="3535">
        <v>98.132983315482377</v>
      </c>
      <c r="AB374" s="3535">
        <v>98.785639862275602</v>
      </c>
      <c r="AC374" s="3535">
        <v>40.70031377384398</v>
      </c>
      <c r="AD374" s="3535">
        <v>157.25494901701833</v>
      </c>
      <c r="AE374" s="3535">
        <v>92.430324685701521</v>
      </c>
      <c r="AF374" s="3535">
        <v>70.047266137238211</v>
      </c>
      <c r="AG374" s="3535">
        <v>101.37430137520884</v>
      </c>
      <c r="AH374" s="3535">
        <v>98.835348692492076</v>
      </c>
      <c r="AI374" s="3535">
        <v>124.1194771773566</v>
      </c>
      <c r="AJ374" s="3535">
        <v>172.85116382336403</v>
      </c>
      <c r="AK374" s="3535">
        <v>116.03915632815098</v>
      </c>
      <c r="AL374" s="3535">
        <v>96.105558302808319</v>
      </c>
      <c r="AM374" s="3535">
        <v>29.808156160829292</v>
      </c>
      <c r="AN374" s="3535">
        <v>111.59570792747947</v>
      </c>
      <c r="AO374" s="3535">
        <v>138.75841692050039</v>
      </c>
      <c r="AP374" s="3535">
        <v>152.1354001828301</v>
      </c>
      <c r="AQ374" s="3535">
        <v>86.247374918561206</v>
      </c>
      <c r="AR374" s="3535">
        <v>116.5815803514235</v>
      </c>
      <c r="AS374" s="3535">
        <v>119.32648894532785</v>
      </c>
      <c r="AT374" s="3535">
        <v>68.02791198961738</v>
      </c>
      <c r="AU374" s="3535">
        <v>194.35954281893069</v>
      </c>
      <c r="AV374" s="3535">
        <v>158.6601519831728</v>
      </c>
      <c r="AW374" s="3535">
        <v>106.28879575769295</v>
      </c>
      <c r="AX374" s="3535">
        <v>95.032673459471752</v>
      </c>
      <c r="AY374" s="3535">
        <v>90.263945296208519</v>
      </c>
      <c r="AZ374" s="3535">
        <v>79.604023586357386</v>
      </c>
      <c r="BA374" s="3535">
        <v>97.925102610736204</v>
      </c>
      <c r="BB374" s="3535">
        <v>128.36574090645408</v>
      </c>
      <c r="BC374" s="3535">
        <v>133.0761731496728</v>
      </c>
      <c r="BD374" s="3535">
        <v>81.924367548463835</v>
      </c>
      <c r="BE374" s="3535">
        <v>147.218936803503</v>
      </c>
      <c r="BF374" s="3535">
        <v>154.19446992831917</v>
      </c>
      <c r="BG374" s="3535">
        <v>154.8998852619554</v>
      </c>
      <c r="BH374" s="3535">
        <v>126.35107669366134</v>
      </c>
      <c r="BI374" s="3535">
        <v>83.115461564094971</v>
      </c>
      <c r="BJ374" s="3535">
        <v>65.236735363425197</v>
      </c>
      <c r="BK374" s="3535">
        <v>142.16923135222314</v>
      </c>
      <c r="BL374" s="3535">
        <v>112.3931933408365</v>
      </c>
      <c r="BM374" s="3535">
        <v>98.93225695459509</v>
      </c>
      <c r="BN374" s="3535">
        <v>109.26237983047467</v>
      </c>
      <c r="BO374" s="3535">
        <v>137.67638218069575</v>
      </c>
      <c r="BP374" s="3535">
        <v>92.72510098808462</v>
      </c>
      <c r="BQ374" s="3535">
        <v>142.30980504524589</v>
      </c>
      <c r="BR374" s="3535">
        <v>94.586116287257354</v>
      </c>
      <c r="BS374" s="3535">
        <v>242.62080761436886</v>
      </c>
      <c r="BT374" s="3535">
        <v>83.239285055124654</v>
      </c>
      <c r="BU374" s="3535">
        <v>185.12175271975204</v>
      </c>
      <c r="BV374" s="3535">
        <v>101.18864699463035</v>
      </c>
      <c r="BW374" s="3535">
        <v>131.94587684419869</v>
      </c>
      <c r="BX374" s="3535">
        <v>84.38825356096136</v>
      </c>
      <c r="BY374" s="3535">
        <v>112.76449059590578</v>
      </c>
      <c r="BZ374" s="3535">
        <v>134.17997855370893</v>
      </c>
      <c r="CA374" s="3535">
        <v>247.37394702401878</v>
      </c>
      <c r="CB374" s="3535">
        <v>130.41050943214768</v>
      </c>
      <c r="CC374" s="3535">
        <v>84.359459224220004</v>
      </c>
      <c r="CD374" s="3535">
        <v>108.1021673104986</v>
      </c>
      <c r="CE374" s="3535">
        <v>439.3837890786545</v>
      </c>
      <c r="CF374" s="3535">
        <v>73.579949588017129</v>
      </c>
      <c r="CG374" s="3535">
        <v>80.54530638117258</v>
      </c>
      <c r="CH374" s="3535">
        <v>72.177514128412497</v>
      </c>
      <c r="CI374" s="3535">
        <v>64.833871516105248</v>
      </c>
      <c r="CJ374" s="2978">
        <v>116.7197692726623</v>
      </c>
    </row>
    <row r="375" spans="1:88">
      <c r="A375" s="53">
        <f t="shared" si="0"/>
        <v>2024.06</v>
      </c>
      <c r="B375" s="615">
        <v>107.09903168407163</v>
      </c>
      <c r="C375" s="3535">
        <v>111.777170011051</v>
      </c>
      <c r="D375" s="358">
        <v>114.27321108076499</v>
      </c>
      <c r="E375" s="615">
        <v>136.52758208314557</v>
      </c>
      <c r="F375" s="1215">
        <v>93.796794119574017</v>
      </c>
      <c r="G375" s="1215">
        <v>221.42700635146423</v>
      </c>
      <c r="H375" s="1215">
        <v>107.25179934492381</v>
      </c>
      <c r="I375" s="1215">
        <v>209.21825343849267</v>
      </c>
      <c r="J375" s="1215">
        <v>192.96441456099362</v>
      </c>
      <c r="K375" s="1215">
        <v>125.6798678676253</v>
      </c>
      <c r="L375" s="1215">
        <v>140.97727075042454</v>
      </c>
      <c r="M375" s="1215">
        <v>126.91028932410764</v>
      </c>
      <c r="N375" s="1215">
        <v>141.54442106591071</v>
      </c>
      <c r="O375" s="1215">
        <v>127.01223746414236</v>
      </c>
      <c r="P375" s="1215">
        <v>107.14601720525377</v>
      </c>
      <c r="Q375" s="1215">
        <v>85.830571274300226</v>
      </c>
      <c r="R375" s="2661">
        <v>179.95883012035523</v>
      </c>
      <c r="S375" s="3535">
        <v>39.272971110086438</v>
      </c>
      <c r="T375" s="3535">
        <v>4.4506722518154254</v>
      </c>
      <c r="U375" s="3535">
        <v>55.984396052352068</v>
      </c>
      <c r="V375" s="3535">
        <v>78.677976605574941</v>
      </c>
      <c r="W375" s="3535">
        <v>238.33271435161925</v>
      </c>
      <c r="X375" s="3535">
        <v>90.006176865072149</v>
      </c>
      <c r="Y375" s="3535">
        <v>62.772970615674723</v>
      </c>
      <c r="Z375" s="3535">
        <v>53.080876198272392</v>
      </c>
      <c r="AA375" s="3535">
        <v>80.91916055530389</v>
      </c>
      <c r="AB375" s="3535">
        <v>81.230393786419768</v>
      </c>
      <c r="AC375" s="3535">
        <v>32.666320053412988</v>
      </c>
      <c r="AD375" s="3535">
        <v>131.59869993238496</v>
      </c>
      <c r="AE375" s="3535">
        <v>83.583867411613639</v>
      </c>
      <c r="AF375" s="3535">
        <v>65.585687162231253</v>
      </c>
      <c r="AG375" s="3535">
        <v>95.229153123257973</v>
      </c>
      <c r="AH375" s="3535">
        <v>84.425364591299839</v>
      </c>
      <c r="AI375" s="3535">
        <v>114.86827133082728</v>
      </c>
      <c r="AJ375" s="3535">
        <v>154.56149712472899</v>
      </c>
      <c r="AK375" s="3535">
        <v>103.74451307206216</v>
      </c>
      <c r="AL375" s="3535">
        <v>109.10080093058781</v>
      </c>
      <c r="AM375" s="3535">
        <v>23.931461093863586</v>
      </c>
      <c r="AN375" s="3535">
        <v>107.90277203000322</v>
      </c>
      <c r="AO375" s="3535">
        <v>129.9388275972409</v>
      </c>
      <c r="AP375" s="3535">
        <v>140.82344760404317</v>
      </c>
      <c r="AQ375" s="3535">
        <v>78.528665913368485</v>
      </c>
      <c r="AR375" s="3535">
        <v>118.24717027516326</v>
      </c>
      <c r="AS375" s="3535">
        <v>110.61856036546463</v>
      </c>
      <c r="AT375" s="3535">
        <v>62.892865309598697</v>
      </c>
      <c r="AU375" s="3535">
        <v>178.10553658876239</v>
      </c>
      <c r="AV375" s="3535">
        <v>147.37234416732255</v>
      </c>
      <c r="AW375" s="3535">
        <v>106.55301179328893</v>
      </c>
      <c r="AX375" s="3535">
        <v>86.496757207685704</v>
      </c>
      <c r="AY375" s="3535">
        <v>80.682056421800937</v>
      </c>
      <c r="AZ375" s="3535">
        <v>71.854105448451122</v>
      </c>
      <c r="BA375" s="3535">
        <v>89.492706414745257</v>
      </c>
      <c r="BB375" s="3535">
        <v>121.1856425468883</v>
      </c>
      <c r="BC375" s="3535">
        <v>118.94594976214626</v>
      </c>
      <c r="BD375" s="3535">
        <v>80.943411720414375</v>
      </c>
      <c r="BE375" s="3535">
        <v>144.14816603281227</v>
      </c>
      <c r="BF375" s="3535">
        <v>154.1446804223317</v>
      </c>
      <c r="BG375" s="3535">
        <v>142.99460936590015</v>
      </c>
      <c r="BH375" s="3535">
        <v>113.53684443164153</v>
      </c>
      <c r="BI375" s="3535">
        <v>77.016972942777969</v>
      </c>
      <c r="BJ375" s="3535">
        <v>62.235805602691229</v>
      </c>
      <c r="BK375" s="3535">
        <v>135.88727394451317</v>
      </c>
      <c r="BL375" s="3535">
        <v>91.267388145250749</v>
      </c>
      <c r="BM375" s="3535">
        <v>87.011371241901287</v>
      </c>
      <c r="BN375" s="3535">
        <v>101.49518332477692</v>
      </c>
      <c r="BO375" s="3535">
        <v>103.84586538941241</v>
      </c>
      <c r="BP375" s="3535">
        <v>80.906528811957614</v>
      </c>
      <c r="BQ375" s="3535">
        <v>127.79744668181866</v>
      </c>
      <c r="BR375" s="3535">
        <v>88.798390646915507</v>
      </c>
      <c r="BS375" s="3535">
        <v>224.29532899086163</v>
      </c>
      <c r="BT375" s="3535">
        <v>68.172017245544183</v>
      </c>
      <c r="BU375" s="3535">
        <v>151.02556369280077</v>
      </c>
      <c r="BV375" s="3535">
        <v>88.944628015059678</v>
      </c>
      <c r="BW375" s="3535">
        <v>135.84806230881108</v>
      </c>
      <c r="BX375" s="3535">
        <v>66.04178730748302</v>
      </c>
      <c r="BY375" s="3535">
        <v>100.35583480930642</v>
      </c>
      <c r="BZ375" s="3535">
        <v>112.46981840401949</v>
      </c>
      <c r="CA375" s="3535">
        <v>204.93895621242694</v>
      </c>
      <c r="CB375" s="3535">
        <v>112.5917717654679</v>
      </c>
      <c r="CC375" s="3535">
        <v>71.349740997229787</v>
      </c>
      <c r="CD375" s="3535">
        <v>100.93680743099553</v>
      </c>
      <c r="CE375" s="3535">
        <v>402.95389844848324</v>
      </c>
      <c r="CF375" s="3535">
        <v>69.464189914914442</v>
      </c>
      <c r="CG375" s="3535">
        <v>69.851102632837495</v>
      </c>
      <c r="CH375" s="3535">
        <v>67.578741147786829</v>
      </c>
      <c r="CI375" s="3535">
        <v>42.720667002650998</v>
      </c>
      <c r="CJ375" s="2978">
        <v>107.09903168407169</v>
      </c>
    </row>
    <row r="376" spans="1:88">
      <c r="A376" s="53">
        <f t="shared" si="0"/>
        <v>2024.07</v>
      </c>
      <c r="B376" s="615">
        <v>125.0796687823528</v>
      </c>
      <c r="C376" s="3535">
        <v>117.73776031958801</v>
      </c>
      <c r="D376" s="358">
        <v>115.81643847993899</v>
      </c>
      <c r="E376" s="615">
        <v>157.02388118065377</v>
      </c>
      <c r="F376" s="1215">
        <v>115.34430158850486</v>
      </c>
      <c r="G376" s="1215">
        <v>280.57595934063744</v>
      </c>
      <c r="H376" s="1215">
        <v>142.52618863914043</v>
      </c>
      <c r="I376" s="1215">
        <v>248.70139903125215</v>
      </c>
      <c r="J376" s="1215">
        <v>210.64781340312436</v>
      </c>
      <c r="K376" s="1215">
        <v>110.84722764164489</v>
      </c>
      <c r="L376" s="1215">
        <v>166.56168765505785</v>
      </c>
      <c r="M376" s="1215">
        <v>153.07664418828043</v>
      </c>
      <c r="N376" s="1215">
        <v>180.42877627860665</v>
      </c>
      <c r="O376" s="1215">
        <v>139.48907657754432</v>
      </c>
      <c r="P376" s="1215">
        <v>108.85347353900268</v>
      </c>
      <c r="Q376" s="1215">
        <v>133.45870989686776</v>
      </c>
      <c r="R376" s="2661">
        <v>201.05315398017612</v>
      </c>
      <c r="S376" s="3535">
        <v>54.062278644649325</v>
      </c>
      <c r="T376" s="3535">
        <v>0.98133040975146824</v>
      </c>
      <c r="U376" s="3535">
        <v>79.536136240960445</v>
      </c>
      <c r="V376" s="3535">
        <v>93.988846528747743</v>
      </c>
      <c r="W376" s="3535">
        <v>309.38242307644839</v>
      </c>
      <c r="X376" s="3535">
        <v>107.04799704308736</v>
      </c>
      <c r="Y376" s="3535">
        <v>73.446304322900048</v>
      </c>
      <c r="Z376" s="3535">
        <v>59.831617655946225</v>
      </c>
      <c r="AA376" s="3535">
        <v>95.121705591979776</v>
      </c>
      <c r="AB376" s="3535">
        <v>95.087445747557155</v>
      </c>
      <c r="AC376" s="3535">
        <v>40.740297064928598</v>
      </c>
      <c r="AD376" s="3535">
        <v>153.87391366453477</v>
      </c>
      <c r="AE376" s="3535">
        <v>93.799908358334733</v>
      </c>
      <c r="AF376" s="3535">
        <v>82.392678083132267</v>
      </c>
      <c r="AG376" s="3535">
        <v>95.225706303243598</v>
      </c>
      <c r="AH376" s="3535">
        <v>100.09476590673604</v>
      </c>
      <c r="AI376" s="3535">
        <v>121.03785654335451</v>
      </c>
      <c r="AJ376" s="3535">
        <v>162.09589052403334</v>
      </c>
      <c r="AK376" s="3535">
        <v>111.33253384630282</v>
      </c>
      <c r="AL376" s="3535">
        <v>98.765741231372942</v>
      </c>
      <c r="AM376" s="3535">
        <v>32.920101490899448</v>
      </c>
      <c r="AN376" s="3535">
        <v>113.94770783969606</v>
      </c>
      <c r="AO376" s="3535">
        <v>145.69092157724623</v>
      </c>
      <c r="AP376" s="3535">
        <v>144.79872245700327</v>
      </c>
      <c r="AQ376" s="3535">
        <v>82.227021957644936</v>
      </c>
      <c r="AR376" s="3535">
        <v>136.81050341746885</v>
      </c>
      <c r="AS376" s="3535">
        <v>95.444791503900987</v>
      </c>
      <c r="AT376" s="3535">
        <v>78.912752707204547</v>
      </c>
      <c r="AU376" s="3535">
        <v>205.95395266481634</v>
      </c>
      <c r="AV376" s="3535">
        <v>171.49502015523092</v>
      </c>
      <c r="AW376" s="3535">
        <v>131.43712326892407</v>
      </c>
      <c r="AX376" s="3535">
        <v>102.0532238264844</v>
      </c>
      <c r="AY376" s="3535">
        <v>96.958341232227482</v>
      </c>
      <c r="AZ376" s="3535">
        <v>84.74833529121787</v>
      </c>
      <c r="BA376" s="3535">
        <v>105.24800264812701</v>
      </c>
      <c r="BB376" s="3535">
        <v>141.21154412029387</v>
      </c>
      <c r="BC376" s="3535">
        <v>145.809772166606</v>
      </c>
      <c r="BD376" s="3535">
        <v>68.549270467678497</v>
      </c>
      <c r="BE376" s="3535">
        <v>174.46579144924141</v>
      </c>
      <c r="BF376" s="3535">
        <v>174.40441705779227</v>
      </c>
      <c r="BG376" s="3535">
        <v>186.53433116247706</v>
      </c>
      <c r="BH376" s="3535">
        <v>129.04552288913655</v>
      </c>
      <c r="BI376" s="3535">
        <v>88.867723847804342</v>
      </c>
      <c r="BJ376" s="3535">
        <v>73.877934717524823</v>
      </c>
      <c r="BK376" s="3535">
        <v>142.21147022009063</v>
      </c>
      <c r="BL376" s="3535">
        <v>109.61788431097813</v>
      </c>
      <c r="BM376" s="3535">
        <v>101.27635985033315</v>
      </c>
      <c r="BN376" s="3535">
        <v>118.18329713885819</v>
      </c>
      <c r="BO376" s="3535">
        <v>137.52446693357393</v>
      </c>
      <c r="BP376" s="3535">
        <v>92.999895087200443</v>
      </c>
      <c r="BQ376" s="3535">
        <v>161.41406699907301</v>
      </c>
      <c r="BR376" s="3535">
        <v>97.279938464183033</v>
      </c>
      <c r="BS376" s="3535">
        <v>312.95226239442434</v>
      </c>
      <c r="BT376" s="3535">
        <v>78.765931353802443</v>
      </c>
      <c r="BU376" s="3535">
        <v>190.35478591501021</v>
      </c>
      <c r="BV376" s="3535">
        <v>116.83653546418124</v>
      </c>
      <c r="BW376" s="3535">
        <v>212.78716111042931</v>
      </c>
      <c r="BX376" s="3535">
        <v>83.144973867001468</v>
      </c>
      <c r="BY376" s="3535">
        <v>109.94776347630467</v>
      </c>
      <c r="BZ376" s="3535">
        <v>145.55286615585592</v>
      </c>
      <c r="CA376" s="3535">
        <v>278.50212125326783</v>
      </c>
      <c r="CB376" s="3535">
        <v>136.60866523735149</v>
      </c>
      <c r="CC376" s="3535">
        <v>87.631756457527416</v>
      </c>
      <c r="CD376" s="3535">
        <v>114.24827048789376</v>
      </c>
      <c r="CE376" s="3535">
        <v>522.43084659679482</v>
      </c>
      <c r="CF376" s="3535">
        <v>71.712352896858334</v>
      </c>
      <c r="CG376" s="3535">
        <v>97.125567630163943</v>
      </c>
      <c r="CH376" s="3535">
        <v>94.130167175163677</v>
      </c>
      <c r="CI376" s="3535">
        <v>78.991800861720691</v>
      </c>
      <c r="CJ376" s="2978">
        <v>125.07966878235287</v>
      </c>
    </row>
    <row r="377" spans="1:88">
      <c r="A377" s="53">
        <f t="shared" si="0"/>
        <v>2024.08</v>
      </c>
      <c r="B377" s="615">
        <v>128.73308622570693</v>
      </c>
      <c r="C377" s="3535">
        <v>120.30145483117801</v>
      </c>
      <c r="D377" s="358">
        <v>117.528806774893</v>
      </c>
      <c r="E377" s="615">
        <v>155.27783235818634</v>
      </c>
      <c r="F377" s="1215">
        <v>112.80310475452249</v>
      </c>
      <c r="G377" s="1215">
        <v>263.21451009655419</v>
      </c>
      <c r="H377" s="1215">
        <v>140.0004919814713</v>
      </c>
      <c r="I377" s="1215">
        <v>260.0294530994671</v>
      </c>
      <c r="J377" s="1215">
        <v>160.64687293495916</v>
      </c>
      <c r="K377" s="1215">
        <v>127.6341744911184</v>
      </c>
      <c r="L377" s="1215">
        <v>155.54044611240025</v>
      </c>
      <c r="M377" s="1215">
        <v>151.61096742282461</v>
      </c>
      <c r="N377" s="1215">
        <v>189.18977198404221</v>
      </c>
      <c r="O377" s="1215">
        <v>133.09437953978107</v>
      </c>
      <c r="P377" s="1215">
        <v>135.54396930514181</v>
      </c>
      <c r="Q377" s="1215">
        <v>134.56855110706474</v>
      </c>
      <c r="R377" s="2661">
        <v>189.81824118858896</v>
      </c>
      <c r="S377" s="3535">
        <v>60.574682930545556</v>
      </c>
      <c r="T377" s="3535">
        <v>9.9848810961799372E-2</v>
      </c>
      <c r="U377" s="3535">
        <v>89.596909619216504</v>
      </c>
      <c r="V377" s="3535">
        <v>94.744700446523893</v>
      </c>
      <c r="W377" s="3535">
        <v>258.1885169099242</v>
      </c>
      <c r="X377" s="3535">
        <v>112.21014944468737</v>
      </c>
      <c r="Y377" s="3535">
        <v>78.830428520388296</v>
      </c>
      <c r="Z377" s="3535">
        <v>65.199349820336892</v>
      </c>
      <c r="AA377" s="3535">
        <v>98.229288105444141</v>
      </c>
      <c r="AB377" s="3535">
        <v>96.62442196745917</v>
      </c>
      <c r="AC377" s="3535">
        <v>41.275231079818589</v>
      </c>
      <c r="AD377" s="3535">
        <v>166.42723306837047</v>
      </c>
      <c r="AE377" s="3535">
        <v>101.0362057759486</v>
      </c>
      <c r="AF377" s="3535">
        <v>82.73173640179202</v>
      </c>
      <c r="AG377" s="3535">
        <v>109.99395396517014</v>
      </c>
      <c r="AH377" s="3535">
        <v>104.68399112433235</v>
      </c>
      <c r="AI377" s="3535">
        <v>122.75658271517942</v>
      </c>
      <c r="AJ377" s="3535">
        <v>171.13240209928776</v>
      </c>
      <c r="AK377" s="3535">
        <v>110.46731930687919</v>
      </c>
      <c r="AL377" s="3535">
        <v>87.338055414827636</v>
      </c>
      <c r="AM377" s="3535">
        <v>37.198565983809189</v>
      </c>
      <c r="AN377" s="3535">
        <v>116.0676087407534</v>
      </c>
      <c r="AO377" s="3535">
        <v>142.99457235492753</v>
      </c>
      <c r="AP377" s="3535">
        <v>149.57868089637424</v>
      </c>
      <c r="AQ377" s="3535">
        <v>75.84866501759808</v>
      </c>
      <c r="AR377" s="3535">
        <v>116.00194852322102</v>
      </c>
      <c r="AS377" s="3535">
        <v>98.330230661344274</v>
      </c>
      <c r="AT377" s="3535">
        <v>91.218656305538204</v>
      </c>
      <c r="AU377" s="3535">
        <v>208.93031852331649</v>
      </c>
      <c r="AV377" s="3535">
        <v>174.62683877029892</v>
      </c>
      <c r="AW377" s="3535">
        <v>113.03361391561475</v>
      </c>
      <c r="AX377" s="3535">
        <v>111.0263392463176</v>
      </c>
      <c r="AY377" s="3535">
        <v>101.39408767772511</v>
      </c>
      <c r="AZ377" s="3535">
        <v>86.471375163068515</v>
      </c>
      <c r="BA377" s="3535">
        <v>116.02728659475621</v>
      </c>
      <c r="BB377" s="3535">
        <v>160.80822759558671</v>
      </c>
      <c r="BC377" s="3535">
        <v>159.9809323881982</v>
      </c>
      <c r="BD377" s="3535">
        <v>119.36955724862437</v>
      </c>
      <c r="BE377" s="3535">
        <v>175.1548153081236</v>
      </c>
      <c r="BF377" s="3535">
        <v>173.60221595008611</v>
      </c>
      <c r="BG377" s="3535">
        <v>202.81280373884124</v>
      </c>
      <c r="BH377" s="3535">
        <v>148.40707511819656</v>
      </c>
      <c r="BI377" s="3535">
        <v>94.38065094790575</v>
      </c>
      <c r="BJ377" s="3535">
        <v>79.609279338203208</v>
      </c>
      <c r="BK377" s="3535">
        <v>145.95421818999387</v>
      </c>
      <c r="BL377" s="3535">
        <v>115.81217264108044</v>
      </c>
      <c r="BM377" s="3535">
        <v>109.58906302070793</v>
      </c>
      <c r="BN377" s="3535">
        <v>112.67183615899403</v>
      </c>
      <c r="BO377" s="3535">
        <v>165.56443397093221</v>
      </c>
      <c r="BP377" s="3535">
        <v>104.65858647332894</v>
      </c>
      <c r="BQ377" s="3535">
        <v>160.44535522525257</v>
      </c>
      <c r="BR377" s="3535">
        <v>99.303400279693108</v>
      </c>
      <c r="BS377" s="3535">
        <v>296.46467120924035</v>
      </c>
      <c r="BT377" s="3535">
        <v>82.237185730746589</v>
      </c>
      <c r="BU377" s="3535">
        <v>204.10450691046708</v>
      </c>
      <c r="BV377" s="3535">
        <v>131.03486588091886</v>
      </c>
      <c r="BW377" s="3535">
        <v>228.20374920960782</v>
      </c>
      <c r="BX377" s="3535">
        <v>102.31996319762855</v>
      </c>
      <c r="BY377" s="3535">
        <v>111.64377648404945</v>
      </c>
      <c r="BZ377" s="3535">
        <v>164.8247600855905</v>
      </c>
      <c r="CA377" s="3535">
        <v>323.04135714671344</v>
      </c>
      <c r="CB377" s="3535">
        <v>166.63078923820564</v>
      </c>
      <c r="CC377" s="3535">
        <v>94.257260980276186</v>
      </c>
      <c r="CD377" s="3535">
        <v>128.10412668214175</v>
      </c>
      <c r="CE377" s="3535">
        <v>634.97144856017303</v>
      </c>
      <c r="CF377" s="3535">
        <v>75.284462407102581</v>
      </c>
      <c r="CG377" s="3535">
        <v>98.268139099549373</v>
      </c>
      <c r="CH377" s="3535">
        <v>101.57534746750611</v>
      </c>
      <c r="CI377" s="3535">
        <v>67.159318606096647</v>
      </c>
      <c r="CJ377" s="2978">
        <v>128.73308622570693</v>
      </c>
    </row>
    <row r="378" spans="1:88">
      <c r="A378" s="53">
        <f t="shared" si="0"/>
        <v>2024.09</v>
      </c>
      <c r="B378" s="615">
        <v>125.23585222194735</v>
      </c>
      <c r="C378" s="3535">
        <v>121.573761897617</v>
      </c>
      <c r="D378" s="358">
        <v>119.113605487222</v>
      </c>
      <c r="E378" s="615">
        <v>152.47502033643423</v>
      </c>
      <c r="F378" s="1215">
        <v>112.61935175004847</v>
      </c>
      <c r="G378" s="1215">
        <v>253.93326364334405</v>
      </c>
      <c r="H378" s="1215">
        <v>133.1921529980894</v>
      </c>
      <c r="I378" s="1215">
        <v>277.62880152367057</v>
      </c>
      <c r="J378" s="1215">
        <v>196.13022816549096</v>
      </c>
      <c r="K378" s="1215">
        <v>114.84183455234364</v>
      </c>
      <c r="L378" s="1215">
        <v>153.18715263913785</v>
      </c>
      <c r="M378" s="1215">
        <v>138.29220293334512</v>
      </c>
      <c r="N378" s="1215">
        <v>178.48557256712454</v>
      </c>
      <c r="O378" s="1215">
        <v>125.67583562037876</v>
      </c>
      <c r="P378" s="1215">
        <v>140.23394672254727</v>
      </c>
      <c r="Q378" s="1215">
        <v>119.73476646289471</v>
      </c>
      <c r="R378" s="2661">
        <v>174.67853768832498</v>
      </c>
      <c r="S378" s="3535">
        <v>56.929524768296297</v>
      </c>
      <c r="T378" s="3535">
        <v>0</v>
      </c>
      <c r="U378" s="3535">
        <v>84.250336758233743</v>
      </c>
      <c r="V378" s="3535">
        <v>82.248632626869934</v>
      </c>
      <c r="W378" s="3535">
        <v>130.77030449231535</v>
      </c>
      <c r="X378" s="3535">
        <v>111.9411174258221</v>
      </c>
      <c r="Y378" s="3535">
        <v>76.680258867416313</v>
      </c>
      <c r="Z378" s="3535">
        <v>61.534730604402213</v>
      </c>
      <c r="AA378" s="3535">
        <v>95.266993246274524</v>
      </c>
      <c r="AB378" s="3535">
        <v>93.909246930576259</v>
      </c>
      <c r="AC378" s="3535">
        <v>41.243051578212658</v>
      </c>
      <c r="AD378" s="3535">
        <v>159.25719919626388</v>
      </c>
      <c r="AE378" s="3535">
        <v>102.82142288122886</v>
      </c>
      <c r="AF378" s="3535">
        <v>82.273189836470692</v>
      </c>
      <c r="AG378" s="3535">
        <v>112.3936029497017</v>
      </c>
      <c r="AH378" s="3535">
        <v>107.38425312006466</v>
      </c>
      <c r="AI378" s="3535">
        <v>117.55886732571999</v>
      </c>
      <c r="AJ378" s="3535">
        <v>163.93264458425702</v>
      </c>
      <c r="AK378" s="3535">
        <v>105.07872350186511</v>
      </c>
      <c r="AL378" s="3535">
        <v>87.517761084343917</v>
      </c>
      <c r="AM378" s="3535">
        <v>33.549394665992956</v>
      </c>
      <c r="AN378" s="3535">
        <v>111.44823690557705</v>
      </c>
      <c r="AO378" s="3535">
        <v>139.011800222744</v>
      </c>
      <c r="AP378" s="3535">
        <v>149.4023134770222</v>
      </c>
      <c r="AQ378" s="3535">
        <v>80.124052029841636</v>
      </c>
      <c r="AR378" s="3535">
        <v>123.53089870846982</v>
      </c>
      <c r="AS378" s="3535">
        <v>81.983685386049999</v>
      </c>
      <c r="AT378" s="3535">
        <v>86.113759664821941</v>
      </c>
      <c r="AU378" s="3535">
        <v>204.44068472689204</v>
      </c>
      <c r="AV378" s="3535">
        <v>170.51612621002542</v>
      </c>
      <c r="AW378" s="3535">
        <v>98.236749249933737</v>
      </c>
      <c r="AX378" s="3535">
        <v>110.29198228249908</v>
      </c>
      <c r="AY378" s="3535">
        <v>93.778584158767757</v>
      </c>
      <c r="AZ378" s="3535">
        <v>83.047240518864257</v>
      </c>
      <c r="BA378" s="3535">
        <v>116.97470851919684</v>
      </c>
      <c r="BB378" s="3535">
        <v>161.80390899663678</v>
      </c>
      <c r="BC378" s="3535">
        <v>145.50574938649544</v>
      </c>
      <c r="BD378" s="3535">
        <v>142.38083934706631</v>
      </c>
      <c r="BE378" s="3535">
        <v>176.25790585802994</v>
      </c>
      <c r="BF378" s="3535">
        <v>176.01526458215318</v>
      </c>
      <c r="BG378" s="3535">
        <v>191.09988229808016</v>
      </c>
      <c r="BH378" s="3535">
        <v>147.75156368937536</v>
      </c>
      <c r="BI378" s="3535">
        <v>90.293497360530537</v>
      </c>
      <c r="BJ378" s="3535">
        <v>79.114335026155047</v>
      </c>
      <c r="BK378" s="3535">
        <v>140.13816996228005</v>
      </c>
      <c r="BL378" s="3535">
        <v>95.800080431102955</v>
      </c>
      <c r="BM378" s="3535">
        <v>103.06180518364513</v>
      </c>
      <c r="BN378" s="3535">
        <v>105.06952190901586</v>
      </c>
      <c r="BO378" s="3535">
        <v>184.19493828089915</v>
      </c>
      <c r="BP378" s="3535">
        <v>96.754271087385121</v>
      </c>
      <c r="BQ378" s="3535">
        <v>155.63938980824648</v>
      </c>
      <c r="BR378" s="3535">
        <v>113.81722152834693</v>
      </c>
      <c r="BS378" s="3535">
        <v>256.37135552108589</v>
      </c>
      <c r="BT378" s="3535">
        <v>79.59481108612745</v>
      </c>
      <c r="BU378" s="3535">
        <v>204.62899588061316</v>
      </c>
      <c r="BV378" s="3535">
        <v>119.77898957958809</v>
      </c>
      <c r="BW378" s="3535">
        <v>237.695540696758</v>
      </c>
      <c r="BX378" s="3535">
        <v>79.404071854911749</v>
      </c>
      <c r="BY378" s="3535">
        <v>108.94793633207462</v>
      </c>
      <c r="BZ378" s="3535">
        <v>162.18009937121639</v>
      </c>
      <c r="CA378" s="3535">
        <v>312.07549393979741</v>
      </c>
      <c r="CB378" s="3535">
        <v>162.12876609069474</v>
      </c>
      <c r="CC378" s="3535">
        <v>95.555923991774634</v>
      </c>
      <c r="CD378" s="3535">
        <v>115.68389614755432</v>
      </c>
      <c r="CE378" s="3535">
        <v>545.07292006338037</v>
      </c>
      <c r="CF378" s="3535">
        <v>70.938095604353634</v>
      </c>
      <c r="CG378" s="3535">
        <v>93.470040593917815</v>
      </c>
      <c r="CH378" s="3535">
        <v>100.19344591826187</v>
      </c>
      <c r="CI378" s="3535">
        <v>55.378459036143241</v>
      </c>
      <c r="CJ378" s="2978">
        <v>125.23585222194744</v>
      </c>
    </row>
    <row r="379" spans="1:88">
      <c r="A379" s="53">
        <f t="shared" si="0"/>
        <v>2024.1</v>
      </c>
      <c r="B379" s="615">
        <v>130.31068482170923</v>
      </c>
      <c r="C379" s="3535">
        <v>121.26214786644999</v>
      </c>
      <c r="D379" s="358">
        <v>120.37337566094899</v>
      </c>
      <c r="E379" s="615">
        <v>157.19930076377534</v>
      </c>
      <c r="F379" s="1215">
        <v>117.42462752591311</v>
      </c>
      <c r="G379" s="1215">
        <v>270.85355070019392</v>
      </c>
      <c r="H379" s="1215">
        <v>146.81072248924232</v>
      </c>
      <c r="I379" s="1215">
        <v>286.95608320423617</v>
      </c>
      <c r="J379" s="1215">
        <v>197.95895055697059</v>
      </c>
      <c r="K379" s="1215">
        <v>128.36620366674586</v>
      </c>
      <c r="L379" s="1215">
        <v>151.42293276876882</v>
      </c>
      <c r="M379" s="1215">
        <v>139.58179740986557</v>
      </c>
      <c r="N379" s="1215">
        <v>135.57922375832345</v>
      </c>
      <c r="O379" s="1215">
        <v>120.84309947795848</v>
      </c>
      <c r="P379" s="1215">
        <v>159.76321535863175</v>
      </c>
      <c r="Q379" s="1215">
        <v>128.62144932925753</v>
      </c>
      <c r="R379" s="2661">
        <v>177.07994568956332</v>
      </c>
      <c r="S379" s="3535">
        <v>58.137792917990957</v>
      </c>
      <c r="T379" s="3535">
        <v>0</v>
      </c>
      <c r="U379" s="3535">
        <v>86.03845986167326</v>
      </c>
      <c r="V379" s="3535">
        <v>76.24612819025289</v>
      </c>
      <c r="W379" s="3535">
        <v>40.914011841562584</v>
      </c>
      <c r="X379" s="3535">
        <v>113.22320402147625</v>
      </c>
      <c r="Y379" s="3535">
        <v>80.520194355598818</v>
      </c>
      <c r="Z379" s="3535">
        <v>60.886876674314067</v>
      </c>
      <c r="AA379" s="3535">
        <v>106.4164280378952</v>
      </c>
      <c r="AB379" s="3535">
        <v>108.69790489012324</v>
      </c>
      <c r="AC379" s="3535">
        <v>43.902647980195503</v>
      </c>
      <c r="AD379" s="3535">
        <v>164.09374477825943</v>
      </c>
      <c r="AE379" s="3535">
        <v>111.03193322276502</v>
      </c>
      <c r="AF379" s="3535">
        <v>92.363724011350385</v>
      </c>
      <c r="AG379" s="3535">
        <v>117.98515508030489</v>
      </c>
      <c r="AH379" s="3535">
        <v>116.86383476277047</v>
      </c>
      <c r="AI379" s="3535">
        <v>119.31802516834185</v>
      </c>
      <c r="AJ379" s="3535">
        <v>161.63286403211902</v>
      </c>
      <c r="AK379" s="3535">
        <v>115.35144419501755</v>
      </c>
      <c r="AL379" s="3535">
        <v>87.263785914904616</v>
      </c>
      <c r="AM379" s="3535">
        <v>31.971772262357391</v>
      </c>
      <c r="AN379" s="3535">
        <v>106.27343232891755</v>
      </c>
      <c r="AO379" s="3535">
        <v>143.58086631772142</v>
      </c>
      <c r="AP379" s="3535">
        <v>160.46392886180135</v>
      </c>
      <c r="AQ379" s="3535">
        <v>75.001121904537158</v>
      </c>
      <c r="AR379" s="3535">
        <v>131.00742929241238</v>
      </c>
      <c r="AS379" s="3535">
        <v>85.230927858317642</v>
      </c>
      <c r="AT379" s="3535">
        <v>97.841822244218378</v>
      </c>
      <c r="AU379" s="3535">
        <v>212.67364145432788</v>
      </c>
      <c r="AV379" s="3535">
        <v>169.42726185688818</v>
      </c>
      <c r="AW379" s="3535">
        <v>105.99164515257988</v>
      </c>
      <c r="AX379" s="3535">
        <v>111.76825860448584</v>
      </c>
      <c r="AY379" s="3535">
        <v>83.619194312796211</v>
      </c>
      <c r="AZ379" s="3535">
        <v>84.12674424484797</v>
      </c>
      <c r="BA379" s="3535">
        <v>120.76625129186317</v>
      </c>
      <c r="BB379" s="3535">
        <v>163.25633589284936</v>
      </c>
      <c r="BC379" s="3535">
        <v>152.23003689634885</v>
      </c>
      <c r="BD379" s="3535">
        <v>142.48284519533721</v>
      </c>
      <c r="BE379" s="3535">
        <v>172.97376986008302</v>
      </c>
      <c r="BF379" s="3535">
        <v>176.05806090694261</v>
      </c>
      <c r="BG379" s="3535">
        <v>195.11155941720747</v>
      </c>
      <c r="BH379" s="3535">
        <v>151.48518272122266</v>
      </c>
      <c r="BI379" s="3535">
        <v>96.68891341042287</v>
      </c>
      <c r="BJ379" s="3535">
        <v>82.050151594769218</v>
      </c>
      <c r="BK379" s="3535">
        <v>147.44319163524841</v>
      </c>
      <c r="BL379" s="3535">
        <v>118.28102451322486</v>
      </c>
      <c r="BM379" s="3535">
        <v>99.792566903956114</v>
      </c>
      <c r="BN379" s="3535">
        <v>106.96965857926151</v>
      </c>
      <c r="BO379" s="3535">
        <v>188.6814680826904</v>
      </c>
      <c r="BP379" s="3535">
        <v>91.185064591887311</v>
      </c>
      <c r="BQ379" s="3535">
        <v>169.85152637651797</v>
      </c>
      <c r="BR379" s="3535">
        <v>109.92347895534478</v>
      </c>
      <c r="BS379" s="3535">
        <v>312.91354063504394</v>
      </c>
      <c r="BT379" s="3535">
        <v>83.037566580889859</v>
      </c>
      <c r="BU379" s="3535">
        <v>208.65568682042928</v>
      </c>
      <c r="BV379" s="3535">
        <v>126.55160815265387</v>
      </c>
      <c r="BW379" s="3535">
        <v>268.1801470504127</v>
      </c>
      <c r="BX379" s="3535">
        <v>79.026590274688758</v>
      </c>
      <c r="BY379" s="3535">
        <v>111.31670612368818</v>
      </c>
      <c r="BZ379" s="3535">
        <v>166.70204750530283</v>
      </c>
      <c r="CA379" s="3535">
        <v>333.49370623519565</v>
      </c>
      <c r="CB379" s="3535">
        <v>166.00072298530173</v>
      </c>
      <c r="CC379" s="3535">
        <v>92.652742865101828</v>
      </c>
      <c r="CD379" s="3535">
        <v>130.45557042998649</v>
      </c>
      <c r="CE379" s="3535">
        <v>688.76555184693984</v>
      </c>
      <c r="CF379" s="3535">
        <v>72.275165998739681</v>
      </c>
      <c r="CG379" s="3535">
        <v>100.52925879913916</v>
      </c>
      <c r="CH379" s="3535">
        <v>98.772222362989908</v>
      </c>
      <c r="CI379" s="3535">
        <v>78.733949131046785</v>
      </c>
      <c r="CJ379" s="2978">
        <v>130.31068482170932</v>
      </c>
    </row>
    <row r="380" spans="1:88">
      <c r="A380" s="53">
        <f t="shared" si="0"/>
        <v>2024.11</v>
      </c>
      <c r="B380" s="615">
        <v>125.39541977505476</v>
      </c>
      <c r="C380" s="3535">
        <v>123.212962876747</v>
      </c>
      <c r="D380" s="358">
        <v>121.21438418983701</v>
      </c>
      <c r="E380" s="615">
        <v>151.8418567340787</v>
      </c>
      <c r="F380" s="1215">
        <v>105.70630758568333</v>
      </c>
      <c r="G380" s="1215">
        <v>248.48026254839718</v>
      </c>
      <c r="H380" s="1215">
        <v>145.30160950930048</v>
      </c>
      <c r="I380" s="1215">
        <v>270.51665089247336</v>
      </c>
      <c r="J380" s="1215">
        <v>166.12502807623849</v>
      </c>
      <c r="K380" s="1215">
        <v>114.51343599939811</v>
      </c>
      <c r="L380" s="1215">
        <v>143.97733270540277</v>
      </c>
      <c r="M380" s="1215">
        <v>131.44837670618341</v>
      </c>
      <c r="N380" s="1215">
        <v>101.24061334170713</v>
      </c>
      <c r="O380" s="1215">
        <v>116.44294155455478</v>
      </c>
      <c r="P380" s="1215">
        <v>162.68831723504337</v>
      </c>
      <c r="Q380" s="1215">
        <v>121.77483059404544</v>
      </c>
      <c r="R380" s="2661">
        <v>224.31303537625803</v>
      </c>
      <c r="S380" s="3535">
        <v>52.942821694366366</v>
      </c>
      <c r="T380" s="3535">
        <v>0</v>
      </c>
      <c r="U380" s="3535">
        <v>78.350391555797543</v>
      </c>
      <c r="V380" s="3535">
        <v>73.294857188161814</v>
      </c>
      <c r="W380" s="3535">
        <v>11.925566167177891</v>
      </c>
      <c r="X380" s="3535">
        <v>109.31419810033917</v>
      </c>
      <c r="Y380" s="3535">
        <v>76.789834344606774</v>
      </c>
      <c r="Z380" s="3535">
        <v>64.495732227437898</v>
      </c>
      <c r="AA380" s="3535">
        <v>96.29625904748066</v>
      </c>
      <c r="AB380" s="3535">
        <v>97.167802165946071</v>
      </c>
      <c r="AC380" s="3535">
        <v>37.135439864080716</v>
      </c>
      <c r="AD380" s="3535">
        <v>156.35063848169005</v>
      </c>
      <c r="AE380" s="3535">
        <v>103.10284129976613</v>
      </c>
      <c r="AF380" s="3535">
        <v>83.015637473624807</v>
      </c>
      <c r="AG380" s="3535">
        <v>112.91298420721382</v>
      </c>
      <c r="AH380" s="3535">
        <v>107.12527693122543</v>
      </c>
      <c r="AI380" s="3535">
        <v>117.7191588095402</v>
      </c>
      <c r="AJ380" s="3535">
        <v>156.64028752054404</v>
      </c>
      <c r="AK380" s="3535">
        <v>113.67012702169545</v>
      </c>
      <c r="AL380" s="3535">
        <v>85.85826639777784</v>
      </c>
      <c r="AM380" s="3535">
        <v>39.643200900212499</v>
      </c>
      <c r="AN380" s="3535">
        <v>106.44983329257123</v>
      </c>
      <c r="AO380" s="3535">
        <v>138.73487400731213</v>
      </c>
      <c r="AP380" s="3535">
        <v>156.26537618359683</v>
      </c>
      <c r="AQ380" s="3535">
        <v>72.641041893311481</v>
      </c>
      <c r="AR380" s="3535">
        <v>117.86289139195782</v>
      </c>
      <c r="AS380" s="3535">
        <v>97.075277619438836</v>
      </c>
      <c r="AT380" s="3535">
        <v>92.855342569100614</v>
      </c>
      <c r="AU380" s="3535">
        <v>201.64331929823467</v>
      </c>
      <c r="AV380" s="3535">
        <v>165.14955993032925</v>
      </c>
      <c r="AW380" s="3535">
        <v>104.80321413197314</v>
      </c>
      <c r="AX380" s="3535">
        <v>104.05847589912736</v>
      </c>
      <c r="AY380" s="3535">
        <v>82.765426540284352</v>
      </c>
      <c r="AZ380" s="3535">
        <v>82.527685936759369</v>
      </c>
      <c r="BA380" s="3535">
        <v>110.94405435346543</v>
      </c>
      <c r="BB380" s="3535">
        <v>154.55732101785549</v>
      </c>
      <c r="BC380" s="3535">
        <v>142.22524104429354</v>
      </c>
      <c r="BD380" s="3535">
        <v>130.19486178154406</v>
      </c>
      <c r="BE380" s="3535">
        <v>167.74305991383204</v>
      </c>
      <c r="BF380" s="3535">
        <v>156.96501390922663</v>
      </c>
      <c r="BG380" s="3535">
        <v>188.24380348566851</v>
      </c>
      <c r="BH380" s="3535">
        <v>142.72058497033447</v>
      </c>
      <c r="BI380" s="3535">
        <v>92.335202193792071</v>
      </c>
      <c r="BJ380" s="3535">
        <v>78.559891351993741</v>
      </c>
      <c r="BK380" s="3535">
        <v>138.64325675249617</v>
      </c>
      <c r="BL380" s="3535">
        <v>114.0928231992698</v>
      </c>
      <c r="BM380" s="3535">
        <v>97.738634470995166</v>
      </c>
      <c r="BN380" s="3535">
        <v>104.31301602809017</v>
      </c>
      <c r="BO380" s="3535">
        <v>211.68894874554093</v>
      </c>
      <c r="BP380" s="3535">
        <v>87.599710512546167</v>
      </c>
      <c r="BQ380" s="3535">
        <v>162.97941720073914</v>
      </c>
      <c r="BR380" s="3535">
        <v>113.07795897302782</v>
      </c>
      <c r="BS380" s="3535">
        <v>281.60858566945751</v>
      </c>
      <c r="BT380" s="3535">
        <v>78.248714457367313</v>
      </c>
      <c r="BU380" s="3535">
        <v>215.36437282418822</v>
      </c>
      <c r="BV380" s="3535">
        <v>126.49586678810063</v>
      </c>
      <c r="BW380" s="3535">
        <v>251.7562020276157</v>
      </c>
      <c r="BX380" s="3535">
        <v>88.613888133026862</v>
      </c>
      <c r="BY380" s="3535">
        <v>103.48729468882884</v>
      </c>
      <c r="BZ380" s="3535">
        <v>170.25586068082805</v>
      </c>
      <c r="CA380" s="3535">
        <v>342.19793812823895</v>
      </c>
      <c r="CB380" s="3535">
        <v>156.43883564484099</v>
      </c>
      <c r="CC380" s="3535">
        <v>95.643035729706043</v>
      </c>
      <c r="CD380" s="3535">
        <v>131.08691504905991</v>
      </c>
      <c r="CE380" s="3535">
        <v>718.53381139996691</v>
      </c>
      <c r="CF380" s="3535">
        <v>69.870209009101103</v>
      </c>
      <c r="CG380" s="3535">
        <v>99.062007920917154</v>
      </c>
      <c r="CH380" s="3535">
        <v>101.30584675508332</v>
      </c>
      <c r="CI380" s="3535">
        <v>73.233625232844787</v>
      </c>
      <c r="CJ380" s="2978">
        <v>125.39541977505472</v>
      </c>
    </row>
    <row r="381" spans="1:88">
      <c r="A381" s="53">
        <f t="shared" si="0"/>
        <v>2024.12</v>
      </c>
      <c r="B381" s="615">
        <v>116.72631144153107</v>
      </c>
      <c r="C381" s="3535">
        <v>123.72463915933101</v>
      </c>
      <c r="D381" s="358">
        <v>121.644784458453</v>
      </c>
      <c r="E381" s="615">
        <v>142.4003649509738</v>
      </c>
      <c r="F381" s="1215">
        <v>112.080569898318</v>
      </c>
      <c r="G381" s="1215">
        <v>265.62832970715931</v>
      </c>
      <c r="H381" s="1215">
        <v>155.69955530076274</v>
      </c>
      <c r="I381" s="1215">
        <v>227.93912395886395</v>
      </c>
      <c r="J381" s="1215">
        <v>170.92219050611146</v>
      </c>
      <c r="K381" s="1215">
        <v>120.20482382704446</v>
      </c>
      <c r="L381" s="1215">
        <v>128.09447710942007</v>
      </c>
      <c r="M381" s="1215">
        <v>115.68362311106213</v>
      </c>
      <c r="N381" s="1215">
        <v>60.130535996326387</v>
      </c>
      <c r="O381" s="1215">
        <v>112.97093378372436</v>
      </c>
      <c r="P381" s="1215">
        <v>161.74653311265121</v>
      </c>
      <c r="Q381" s="1215">
        <v>103.06343694195796</v>
      </c>
      <c r="R381" s="2661">
        <v>199.89163091324863</v>
      </c>
      <c r="S381" s="3535">
        <v>46.368232279058667</v>
      </c>
      <c r="T381" s="3535">
        <v>2.237451033594704</v>
      </c>
      <c r="U381" s="3535">
        <v>67.546852376161937</v>
      </c>
      <c r="V381" s="3535">
        <v>62.362370187776705</v>
      </c>
      <c r="W381" s="3535">
        <v>16.307745882243768</v>
      </c>
      <c r="X381" s="3535">
        <v>84.644850711287873</v>
      </c>
      <c r="Y381" s="3535">
        <v>66.883898200016844</v>
      </c>
      <c r="Z381" s="3535">
        <v>56.60929231782788</v>
      </c>
      <c r="AA381" s="3535">
        <v>104.37434628338563</v>
      </c>
      <c r="AB381" s="3535">
        <v>114.05498623889284</v>
      </c>
      <c r="AC381" s="3535">
        <v>37.732140761330662</v>
      </c>
      <c r="AD381" s="3535">
        <v>135.06323592754373</v>
      </c>
      <c r="AE381" s="3535">
        <v>92.241017396603041</v>
      </c>
      <c r="AF381" s="3535">
        <v>70.568468675832676</v>
      </c>
      <c r="AG381" s="3535">
        <v>102.19608693218142</v>
      </c>
      <c r="AH381" s="3535">
        <v>97.189792312368311</v>
      </c>
      <c r="AI381" s="3535">
        <v>128.22598685116725</v>
      </c>
      <c r="AJ381" s="3535">
        <v>184.92407450020818</v>
      </c>
      <c r="AK381" s="3535">
        <v>118.22353851230525</v>
      </c>
      <c r="AL381" s="3535">
        <v>70.737084479329255</v>
      </c>
      <c r="AM381" s="3535">
        <v>36.444879808921833</v>
      </c>
      <c r="AN381" s="3535">
        <v>117.36269054442998</v>
      </c>
      <c r="AO381" s="3535">
        <v>129.43463258810763</v>
      </c>
      <c r="AP381" s="3535">
        <v>152.95432196625856</v>
      </c>
      <c r="AQ381" s="3535">
        <v>86.434714299345302</v>
      </c>
      <c r="AR381" s="3535">
        <v>108.21928484105638</v>
      </c>
      <c r="AS381" s="3535">
        <v>114.61350959365154</v>
      </c>
      <c r="AT381" s="3535">
        <v>85.084930350694549</v>
      </c>
      <c r="AU381" s="3535">
        <v>180.84160654458211</v>
      </c>
      <c r="AV381" s="3535">
        <v>129.0171146732751</v>
      </c>
      <c r="AW381" s="3535">
        <v>102.66485783227981</v>
      </c>
      <c r="AX381" s="3535">
        <v>94.166568893882612</v>
      </c>
      <c r="AY381" s="3535">
        <v>77.150085556872043</v>
      </c>
      <c r="AZ381" s="3535">
        <v>66.588249087032366</v>
      </c>
      <c r="BA381" s="3535">
        <v>100.98968348094041</v>
      </c>
      <c r="BB381" s="3535">
        <v>141.47795473161327</v>
      </c>
      <c r="BC381" s="3535">
        <v>150.71814925148337</v>
      </c>
      <c r="BD381" s="3535">
        <v>96.966884401657495</v>
      </c>
      <c r="BE381" s="3535">
        <v>162.20343088855009</v>
      </c>
      <c r="BF381" s="3535">
        <v>138.85422852855828</v>
      </c>
      <c r="BG381" s="3535">
        <v>165.32105560301764</v>
      </c>
      <c r="BH381" s="3535">
        <v>132.06316811617955</v>
      </c>
      <c r="BI381" s="3535">
        <v>80.027312947939279</v>
      </c>
      <c r="BJ381" s="3535">
        <v>61.531249740723126</v>
      </c>
      <c r="BK381" s="3535">
        <v>138.32265018896899</v>
      </c>
      <c r="BL381" s="3535">
        <v>113.08759743791293</v>
      </c>
      <c r="BM381" s="3535">
        <v>86.037076932900575</v>
      </c>
      <c r="BN381" s="3535">
        <v>94.043883762182347</v>
      </c>
      <c r="BO381" s="3535">
        <v>166.69099001929234</v>
      </c>
      <c r="BP381" s="3535">
        <v>77.717426809264651</v>
      </c>
      <c r="BQ381" s="3535">
        <v>156.40801304951677</v>
      </c>
      <c r="BR381" s="3535">
        <v>116.09696262128223</v>
      </c>
      <c r="BS381" s="3535">
        <v>266.30747821159099</v>
      </c>
      <c r="BT381" s="3535">
        <v>71.847529766536496</v>
      </c>
      <c r="BU381" s="3535">
        <v>195.18160781457757</v>
      </c>
      <c r="BV381" s="3535">
        <v>122.36237094478501</v>
      </c>
      <c r="BW381" s="3535">
        <v>230.11614233522334</v>
      </c>
      <c r="BX381" s="3535">
        <v>89.293429468353494</v>
      </c>
      <c r="BY381" s="3535">
        <v>103.675369074266</v>
      </c>
      <c r="BZ381" s="3535">
        <v>136.28059476028773</v>
      </c>
      <c r="CA381" s="3535">
        <v>242.16107934775332</v>
      </c>
      <c r="CB381" s="3535">
        <v>130.74952289226528</v>
      </c>
      <c r="CC381" s="3535">
        <v>89.94285068438495</v>
      </c>
      <c r="CD381" s="3535">
        <v>121.93987655867312</v>
      </c>
      <c r="CE381" s="3535">
        <v>668.06470590947015</v>
      </c>
      <c r="CF381" s="3535">
        <v>65.029263280838919</v>
      </c>
      <c r="CG381" s="3535">
        <v>94.29431362510384</v>
      </c>
      <c r="CH381" s="3535">
        <v>87.739279769930761</v>
      </c>
      <c r="CI381" s="3535">
        <v>86.910224404920911</v>
      </c>
      <c r="CJ381" s="2978">
        <v>116.72631144153107</v>
      </c>
    </row>
    <row r="382" spans="1:88">
      <c r="A382" s="53">
        <f t="shared" si="0"/>
        <v>2025.01</v>
      </c>
      <c r="B382" s="615">
        <v>110.70049811471458</v>
      </c>
      <c r="C382" s="3535">
        <v>120.960323202987</v>
      </c>
      <c r="D382" s="358">
        <v>121.73992345488099</v>
      </c>
      <c r="E382" s="615">
        <v>144.91926274888692</v>
      </c>
      <c r="F382" s="1215">
        <v>105.19000489391401</v>
      </c>
      <c r="G382" s="1215">
        <v>273.1204791110577</v>
      </c>
      <c r="H382" s="1215">
        <v>156.62985116567552</v>
      </c>
      <c r="I382" s="1215">
        <v>254.44854570519786</v>
      </c>
      <c r="J382" s="1215">
        <v>136.29548622735365</v>
      </c>
      <c r="K382" s="1215">
        <v>139.59321399561597</v>
      </c>
      <c r="L382" s="1215">
        <v>156.01028032517615</v>
      </c>
      <c r="M382" s="1215">
        <v>123.7408554621877</v>
      </c>
      <c r="N382" s="1215">
        <v>50.599274830438041</v>
      </c>
      <c r="O382" s="1215">
        <v>103.74127983701764</v>
      </c>
      <c r="P382" s="1215">
        <v>157.39564390345745</v>
      </c>
      <c r="Q382" s="1215">
        <v>82.236993267598194</v>
      </c>
      <c r="R382" s="2661">
        <v>231.77367111434742</v>
      </c>
      <c r="S382" s="3535">
        <v>111.1750223496754</v>
      </c>
      <c r="T382" s="3535">
        <v>193.17211914968476</v>
      </c>
      <c r="U382" s="3535">
        <v>71.824135889415885</v>
      </c>
      <c r="V382" s="3535">
        <v>46.324685696341369</v>
      </c>
      <c r="W382" s="3535">
        <v>7.9896181057009708</v>
      </c>
      <c r="X382" s="3535">
        <v>56.830924840913127</v>
      </c>
      <c r="Y382" s="3535">
        <v>52.667337497972156</v>
      </c>
      <c r="Z382" s="3535">
        <v>43.512719505735134</v>
      </c>
      <c r="AA382" s="3535">
        <v>72.189628656442039</v>
      </c>
      <c r="AB382" s="3535">
        <v>73.550727532483478</v>
      </c>
      <c r="AC382" s="3535">
        <v>32.724054455385705</v>
      </c>
      <c r="AD382" s="3535">
        <v>108.93848684060647</v>
      </c>
      <c r="AE382" s="3535">
        <v>100.2635304562266</v>
      </c>
      <c r="AF382" s="3535">
        <v>74.403741967959704</v>
      </c>
      <c r="AG382" s="3535">
        <v>109.00902746149418</v>
      </c>
      <c r="AH382" s="3535">
        <v>109.19959354104701</v>
      </c>
      <c r="AI382" s="3535">
        <v>128.35206564142328</v>
      </c>
      <c r="AJ382" s="3535">
        <v>173.98766991327764</v>
      </c>
      <c r="AK382" s="3535">
        <v>117.51730434377762</v>
      </c>
      <c r="AL382" s="3535">
        <v>90.916319963329002</v>
      </c>
      <c r="AM382" s="3535">
        <v>28.148417265852526</v>
      </c>
      <c r="AN382" s="3535">
        <v>122.48336965123292</v>
      </c>
      <c r="AO382" s="3535">
        <v>130.21212866749565</v>
      </c>
      <c r="AP382" s="3535">
        <v>134.39236327108745</v>
      </c>
      <c r="AQ382" s="3535">
        <v>85.904555116327032</v>
      </c>
      <c r="AR382" s="3535">
        <v>81.840081168242705</v>
      </c>
      <c r="AS382" s="3535">
        <v>112.90161542534025</v>
      </c>
      <c r="AT382" s="3535">
        <v>74.775267743846314</v>
      </c>
      <c r="AU382" s="3535">
        <v>180.98984918232622</v>
      </c>
      <c r="AV382" s="3535">
        <v>170.05859224212486</v>
      </c>
      <c r="AW382" s="3535">
        <v>96.942307140295156</v>
      </c>
      <c r="AX382" s="3535">
        <v>90.93491892496705</v>
      </c>
      <c r="AY382" s="3535">
        <v>51.557407582938389</v>
      </c>
      <c r="AZ382" s="3535">
        <v>71.684940495710435</v>
      </c>
      <c r="BA382" s="3535">
        <v>101.05006189766243</v>
      </c>
      <c r="BB382" s="3535">
        <v>121.97203506660234</v>
      </c>
      <c r="BC382" s="3535">
        <v>124.55476425575917</v>
      </c>
      <c r="BD382" s="3535">
        <v>53.676089388475368</v>
      </c>
      <c r="BE382" s="3535">
        <v>145.36925983340436</v>
      </c>
      <c r="BF382" s="3535">
        <v>150.91416596529848</v>
      </c>
      <c r="BG382" s="3535">
        <v>178.13747536890494</v>
      </c>
      <c r="BH382" s="3535">
        <v>113.32808731371574</v>
      </c>
      <c r="BI382" s="3535">
        <v>83.917386101024036</v>
      </c>
      <c r="BJ382" s="3535">
        <v>71.737817646352966</v>
      </c>
      <c r="BK382" s="3535">
        <v>141.22566984944706</v>
      </c>
      <c r="BL382" s="3535">
        <v>86.941450197811008</v>
      </c>
      <c r="BM382" s="3535">
        <v>86.118094541429556</v>
      </c>
      <c r="BN382" s="3535">
        <v>91.152781613955185</v>
      </c>
      <c r="BO382" s="3535">
        <v>169.85369061506961</v>
      </c>
      <c r="BP382" s="3535">
        <v>78.598178976571731</v>
      </c>
      <c r="BQ382" s="3535">
        <v>110.5987092738396</v>
      </c>
      <c r="BR382" s="3535">
        <v>97.222135246574396</v>
      </c>
      <c r="BS382" s="3535">
        <v>142.28047312092616</v>
      </c>
      <c r="BT382" s="3535">
        <v>67.227239824924141</v>
      </c>
      <c r="BU382" s="3535">
        <v>156.55086472009395</v>
      </c>
      <c r="BV382" s="3535">
        <v>97.177849179925417</v>
      </c>
      <c r="BW382" s="3535">
        <v>167.81253486617808</v>
      </c>
      <c r="BX382" s="3535">
        <v>67.492898130886189</v>
      </c>
      <c r="BY382" s="3535">
        <v>103.32295374867654</v>
      </c>
      <c r="BZ382" s="3535">
        <v>94.968356682301931</v>
      </c>
      <c r="CA382" s="3535">
        <v>180.89337234315181</v>
      </c>
      <c r="CB382" s="3535">
        <v>88.645290742511833</v>
      </c>
      <c r="CC382" s="3535">
        <v>57.605361985381521</v>
      </c>
      <c r="CD382" s="3535">
        <v>124.61757101151123</v>
      </c>
      <c r="CE382" s="3535">
        <v>706.23612614061801</v>
      </c>
      <c r="CF382" s="3535">
        <v>64.008225149113699</v>
      </c>
      <c r="CG382" s="3535">
        <v>84.337865527677991</v>
      </c>
      <c r="CH382" s="3535">
        <v>81.126353110218247</v>
      </c>
      <c r="CI382" s="3535">
        <v>67.90404104766516</v>
      </c>
      <c r="CJ382" s="2978">
        <v>110.70049811471461</v>
      </c>
    </row>
    <row r="383" spans="1:88">
      <c r="A383" s="53">
        <f t="shared" si="0"/>
        <v>2025.02</v>
      </c>
      <c r="B383" s="615">
        <v>109.99130277358049</v>
      </c>
      <c r="C383" s="3535">
        <v>122.591907733243</v>
      </c>
      <c r="D383" s="358">
        <v>121.573823110441</v>
      </c>
      <c r="E383" s="615">
        <v>140.34366985833219</v>
      </c>
      <c r="F383" s="1215">
        <v>94.522235313848753</v>
      </c>
      <c r="G383" s="1215">
        <v>244.14789107614777</v>
      </c>
      <c r="H383" s="1215">
        <v>142.98545566415109</v>
      </c>
      <c r="I383" s="1215">
        <v>235.06184304145819</v>
      </c>
      <c r="J383" s="1215">
        <v>130.51425068854238</v>
      </c>
      <c r="K383" s="1215">
        <v>118.74655953124622</v>
      </c>
      <c r="L383" s="1215">
        <v>162.26098728910648</v>
      </c>
      <c r="M383" s="1215">
        <v>129.64289358694978</v>
      </c>
      <c r="N383" s="1215">
        <v>86.719157721144427</v>
      </c>
      <c r="O383" s="1215">
        <v>140.00276945930693</v>
      </c>
      <c r="P383" s="1215">
        <v>144.60540316874395</v>
      </c>
      <c r="Q383" s="1215">
        <v>87.226539786500922</v>
      </c>
      <c r="R383" s="2661">
        <v>215.57348704067755</v>
      </c>
      <c r="S383" s="3535">
        <v>151.19873801137607</v>
      </c>
      <c r="T383" s="3535">
        <v>298.94138174323973</v>
      </c>
      <c r="U383" s="3535">
        <v>80.296178948693836</v>
      </c>
      <c r="V383" s="3535">
        <v>65.897992532080266</v>
      </c>
      <c r="W383" s="3535">
        <v>15.750250923163135</v>
      </c>
      <c r="X383" s="3535">
        <v>99.731667780122521</v>
      </c>
      <c r="Y383" s="3535">
        <v>71.876056482339578</v>
      </c>
      <c r="Z383" s="3535">
        <v>53.802043879614395</v>
      </c>
      <c r="AA383" s="3535">
        <v>74.974526543147221</v>
      </c>
      <c r="AB383" s="3535">
        <v>73.726936340495286</v>
      </c>
      <c r="AC383" s="3535">
        <v>31.363764523118025</v>
      </c>
      <c r="AD383" s="3535">
        <v>127.27445489591618</v>
      </c>
      <c r="AE383" s="3535">
        <v>96.505745910523586</v>
      </c>
      <c r="AF383" s="3535">
        <v>72.107152385394969</v>
      </c>
      <c r="AG383" s="3535">
        <v>107.0886984164251</v>
      </c>
      <c r="AH383" s="3535">
        <v>102.68101140199309</v>
      </c>
      <c r="AI383" s="3535">
        <v>100.86642312358023</v>
      </c>
      <c r="AJ383" s="3535">
        <v>149.58721645002606</v>
      </c>
      <c r="AK383" s="3535">
        <v>92.528650704273119</v>
      </c>
      <c r="AL383" s="3535">
        <v>74.912854772836283</v>
      </c>
      <c r="AM383" s="3535">
        <v>39.967760984901908</v>
      </c>
      <c r="AN383" s="3535">
        <v>87.106177884562683</v>
      </c>
      <c r="AO383" s="3535">
        <v>121.28666559705856</v>
      </c>
      <c r="AP383" s="3535">
        <v>143.61289818730799</v>
      </c>
      <c r="AQ383" s="3535">
        <v>67.857951844131534</v>
      </c>
      <c r="AR383" s="3535">
        <v>89.533035110327518</v>
      </c>
      <c r="AS383" s="3535">
        <v>96.143103828090844</v>
      </c>
      <c r="AT383" s="3535">
        <v>73.673201179285186</v>
      </c>
      <c r="AU383" s="3535">
        <v>170.58058600882811</v>
      </c>
      <c r="AV383" s="3535">
        <v>153.1005932271521</v>
      </c>
      <c r="AW383" s="3535">
        <v>95.576491869379723</v>
      </c>
      <c r="AX383" s="3535">
        <v>95.253091600591517</v>
      </c>
      <c r="AY383" s="3535">
        <v>66.216694312796207</v>
      </c>
      <c r="AZ383" s="3535">
        <v>65.891638200669888</v>
      </c>
      <c r="BA383" s="3535">
        <v>104.64276231700126</v>
      </c>
      <c r="BB383" s="3535">
        <v>130.90943257406502</v>
      </c>
      <c r="BC383" s="3535">
        <v>118.78710906578655</v>
      </c>
      <c r="BD383" s="3535">
        <v>96.561786124312604</v>
      </c>
      <c r="BE383" s="3535">
        <v>149.67992817471517</v>
      </c>
      <c r="BF383" s="3535">
        <v>104.74879266850215</v>
      </c>
      <c r="BG383" s="3535">
        <v>170.9172898474429</v>
      </c>
      <c r="BH383" s="3535">
        <v>120.75628436204983</v>
      </c>
      <c r="BI383" s="3535">
        <v>63.82086852533115</v>
      </c>
      <c r="BJ383" s="3535">
        <v>39.760959355332929</v>
      </c>
      <c r="BK383" s="3535">
        <v>139.11448233320584</v>
      </c>
      <c r="BL383" s="3535">
        <v>107.35880802792722</v>
      </c>
      <c r="BM383" s="3535">
        <v>81.556886984209029</v>
      </c>
      <c r="BN383" s="3535">
        <v>86.900903274285213</v>
      </c>
      <c r="BO383" s="3535">
        <v>156.65308331840646</v>
      </c>
      <c r="BP383" s="3535">
        <v>74.530272119690778</v>
      </c>
      <c r="BQ383" s="3535">
        <v>138.24377348679153</v>
      </c>
      <c r="BR383" s="3535">
        <v>90.187761181241541</v>
      </c>
      <c r="BS383" s="3535">
        <v>249.55148330072095</v>
      </c>
      <c r="BT383" s="3535">
        <v>72.281892372948477</v>
      </c>
      <c r="BU383" s="3535">
        <v>170.61158389384477</v>
      </c>
      <c r="BV383" s="3535">
        <v>108.92429836266832</v>
      </c>
      <c r="BW383" s="3535">
        <v>210.43263629694312</v>
      </c>
      <c r="BX383" s="3535">
        <v>77.132990363855853</v>
      </c>
      <c r="BY383" s="3535">
        <v>92.788400695599321</v>
      </c>
      <c r="BZ383" s="3535">
        <v>142.56991974502594</v>
      </c>
      <c r="CA383" s="3535">
        <v>270.80897712197748</v>
      </c>
      <c r="CB383" s="3535">
        <v>145.55445898638473</v>
      </c>
      <c r="CC383" s="3535">
        <v>85.172839749903588</v>
      </c>
      <c r="CD383" s="3535">
        <v>130.14992332336266</v>
      </c>
      <c r="CE383" s="3535">
        <v>773.78922694162645</v>
      </c>
      <c r="CF383" s="3535">
        <v>63.07751509358647</v>
      </c>
      <c r="CG383" s="3535">
        <v>83.423876843853137</v>
      </c>
      <c r="CH383" s="3535">
        <v>80.931730907884656</v>
      </c>
      <c r="CI383" s="3535">
        <v>65.577295234790398</v>
      </c>
      <c r="CJ383" s="2978">
        <v>109.99130277358044</v>
      </c>
    </row>
    <row r="384" spans="1:88">
      <c r="A384" s="53">
        <f t="shared" si="0"/>
        <v>2025.03</v>
      </c>
      <c r="B384" s="615">
        <v>116.22832592438435</v>
      </c>
      <c r="C384" s="3535">
        <v>116.919612625195</v>
      </c>
      <c r="D384" s="358">
        <v>121.198340081065</v>
      </c>
      <c r="E384" s="615">
        <v>140.76627053154715</v>
      </c>
      <c r="F384" s="1215">
        <v>93.397704429373292</v>
      </c>
      <c r="G384" s="1215">
        <v>238.02174201533478</v>
      </c>
      <c r="H384" s="1215">
        <v>144.32630058392425</v>
      </c>
      <c r="I384" s="1215">
        <v>227.71714247531301</v>
      </c>
      <c r="J384" s="1215">
        <v>161.98115754466852</v>
      </c>
      <c r="K384" s="1215">
        <v>133.54349595963501</v>
      </c>
      <c r="L384" s="1215">
        <v>172.0921971464256</v>
      </c>
      <c r="M384" s="1215">
        <v>133.86560308517372</v>
      </c>
      <c r="N384" s="1215">
        <v>87.537511252004734</v>
      </c>
      <c r="O384" s="1215">
        <v>151.6384859531002</v>
      </c>
      <c r="P384" s="1215">
        <v>131.61956754263824</v>
      </c>
      <c r="Q384" s="1215">
        <v>93.258246107540003</v>
      </c>
      <c r="R384" s="2661">
        <v>177.73658156106629</v>
      </c>
      <c r="S384" s="3535">
        <v>121.85755744983426</v>
      </c>
      <c r="T384" s="3535">
        <v>221.05373236840197</v>
      </c>
      <c r="U384" s="3535">
        <v>74.252732781064367</v>
      </c>
      <c r="V384" s="3535">
        <v>75.8666048272067</v>
      </c>
      <c r="W384" s="3535">
        <v>82.048568964064145</v>
      </c>
      <c r="X384" s="3535">
        <v>105.43035576655041</v>
      </c>
      <c r="Y384" s="3535">
        <v>73.257114926455273</v>
      </c>
      <c r="Z384" s="3535">
        <v>61.51818191059975</v>
      </c>
      <c r="AA384" s="3535">
        <v>94.621685032942111</v>
      </c>
      <c r="AB384" s="3535">
        <v>98.889961054155378</v>
      </c>
      <c r="AC384" s="3535">
        <v>31.129626120082904</v>
      </c>
      <c r="AD384" s="3535">
        <v>144.9117630663271</v>
      </c>
      <c r="AE384" s="3535">
        <v>97.627455685574134</v>
      </c>
      <c r="AF384" s="3535">
        <v>74.493701083556147</v>
      </c>
      <c r="AG384" s="3535">
        <v>107.44001964911322</v>
      </c>
      <c r="AH384" s="3535">
        <v>103.69714857376366</v>
      </c>
      <c r="AI384" s="3535">
        <v>113.03478535021058</v>
      </c>
      <c r="AJ384" s="3535">
        <v>166.06660066864876</v>
      </c>
      <c r="AK384" s="3535">
        <v>101.30774023334708</v>
      </c>
      <c r="AL384" s="3535">
        <v>106.58182667818004</v>
      </c>
      <c r="AM384" s="3535">
        <v>30.334538679843327</v>
      </c>
      <c r="AN384" s="3535">
        <v>98.497719354786426</v>
      </c>
      <c r="AO384" s="3535">
        <v>126.10263050600626</v>
      </c>
      <c r="AP384" s="3535">
        <v>146.99346916695617</v>
      </c>
      <c r="AQ384" s="3535">
        <v>55.628786415481457</v>
      </c>
      <c r="AR384" s="3535">
        <v>106.53273338339608</v>
      </c>
      <c r="AS384" s="3535">
        <v>66.596573142444399</v>
      </c>
      <c r="AT384" s="3535">
        <v>73.17039833269655</v>
      </c>
      <c r="AU384" s="3535">
        <v>197.64228180824372</v>
      </c>
      <c r="AV384" s="3535">
        <v>152.39256298227514</v>
      </c>
      <c r="AW384" s="3535">
        <v>98.635613001170043</v>
      </c>
      <c r="AX384" s="3535">
        <v>96.498979370842704</v>
      </c>
      <c r="AY384" s="3535">
        <v>65.134241706161134</v>
      </c>
      <c r="AZ384" s="3535">
        <v>71.921022478240175</v>
      </c>
      <c r="BA384" s="3535">
        <v>105.73283994531874</v>
      </c>
      <c r="BB384" s="3535">
        <v>139.0726862460061</v>
      </c>
      <c r="BC384" s="3535">
        <v>138.4157711593671</v>
      </c>
      <c r="BD384" s="3535">
        <v>115.657738701312</v>
      </c>
      <c r="BE384" s="3535">
        <v>141.17007098583082</v>
      </c>
      <c r="BF384" s="3535">
        <v>125.56499495947828</v>
      </c>
      <c r="BG384" s="3535">
        <v>178.34363734165473</v>
      </c>
      <c r="BH384" s="3535">
        <v>127.93700271505412</v>
      </c>
      <c r="BI384" s="3535">
        <v>89.209944823442683</v>
      </c>
      <c r="BJ384" s="3535">
        <v>74.20868987758891</v>
      </c>
      <c r="BK384" s="3535">
        <v>151.46154240353172</v>
      </c>
      <c r="BL384" s="3535">
        <v>101.19099211711843</v>
      </c>
      <c r="BM384" s="3535">
        <v>81.454486343893876</v>
      </c>
      <c r="BN384" s="3535">
        <v>86.022755219532897</v>
      </c>
      <c r="BO384" s="3535">
        <v>145.48113781873377</v>
      </c>
      <c r="BP384" s="3535">
        <v>75.459542002456175</v>
      </c>
      <c r="BQ384" s="3535">
        <v>151.5651790304639</v>
      </c>
      <c r="BR384" s="3535">
        <v>90.511464721103863</v>
      </c>
      <c r="BS384" s="3535">
        <v>296.40007037190833</v>
      </c>
      <c r="BT384" s="3535">
        <v>73.210319162591802</v>
      </c>
      <c r="BU384" s="3535">
        <v>177.46477869810371</v>
      </c>
      <c r="BV384" s="3535">
        <v>109.06119858940514</v>
      </c>
      <c r="BW384" s="3535">
        <v>210.63191686719688</v>
      </c>
      <c r="BX384" s="3535">
        <v>74.13430671257764</v>
      </c>
      <c r="BY384" s="3535">
        <v>100.0734491228126</v>
      </c>
      <c r="BZ384" s="3535">
        <v>140.85120462210114</v>
      </c>
      <c r="CA384" s="3535">
        <v>266.85792906404322</v>
      </c>
      <c r="CB384" s="3535">
        <v>143.52060815490691</v>
      </c>
      <c r="CC384" s="3535">
        <v>84.487902178424335</v>
      </c>
      <c r="CD384" s="3535">
        <v>133.48042079933575</v>
      </c>
      <c r="CE384" s="3535">
        <v>829.66864432387251</v>
      </c>
      <c r="CF384" s="3535">
        <v>60.931991157918496</v>
      </c>
      <c r="CG384" s="3535">
        <v>92.752031139785458</v>
      </c>
      <c r="CH384" s="3535">
        <v>102.53610987651325</v>
      </c>
      <c r="CI384" s="3535">
        <v>56.28706277606387</v>
      </c>
      <c r="CJ384" s="2978">
        <v>116.22832592438435</v>
      </c>
    </row>
    <row r="385" spans="1:88">
      <c r="A385" s="53">
        <f t="shared" si="0"/>
        <v>2025.04</v>
      </c>
      <c r="B385" s="615">
        <v>121.51414518888167</v>
      </c>
      <c r="C385" s="3535">
        <v>119.791969412695</v>
      </c>
      <c r="D385" s="358">
        <v>120.66530239267</v>
      </c>
      <c r="E385" s="615">
        <v>145.23092726972456</v>
      </c>
      <c r="F385" s="1215">
        <v>103.47704874993913</v>
      </c>
      <c r="G385" s="1215">
        <v>253.45625083673892</v>
      </c>
      <c r="H385" s="1215">
        <v>145.64082144997909</v>
      </c>
      <c r="I385" s="1215">
        <v>250.72204244517494</v>
      </c>
      <c r="J385" s="1215">
        <v>172.32859169491263</v>
      </c>
      <c r="K385" s="1215">
        <v>130.58127816929485</v>
      </c>
      <c r="L385" s="1215">
        <v>180.15212067258605</v>
      </c>
      <c r="M385" s="1215">
        <v>147.590606767369</v>
      </c>
      <c r="N385" s="1215">
        <v>92.388310190883018</v>
      </c>
      <c r="O385" s="1215">
        <v>155.64147699184193</v>
      </c>
      <c r="P385" s="1215">
        <v>114.79423320055876</v>
      </c>
      <c r="Q385" s="1215">
        <v>105.94628484514976</v>
      </c>
      <c r="R385" s="2661">
        <v>172.78022125982091</v>
      </c>
      <c r="S385" s="3535">
        <v>92.867710301207566</v>
      </c>
      <c r="T385" s="3535">
        <v>120.40045491681806</v>
      </c>
      <c r="U385" s="3535">
        <v>79.654585085924509</v>
      </c>
      <c r="V385" s="3535">
        <v>79.166444862543244</v>
      </c>
      <c r="W385" s="3535">
        <v>127.98314600978442</v>
      </c>
      <c r="X385" s="3535">
        <v>103.07168203951852</v>
      </c>
      <c r="Y385" s="3535">
        <v>72.246557654044253</v>
      </c>
      <c r="Z385" s="3535">
        <v>62.519523953094982</v>
      </c>
      <c r="AA385" s="3535">
        <v>93.010310913006734</v>
      </c>
      <c r="AB385" s="3535">
        <v>97.413644498050431</v>
      </c>
      <c r="AC385" s="3535">
        <v>30.813853242084232</v>
      </c>
      <c r="AD385" s="3535">
        <v>141.33029071330654</v>
      </c>
      <c r="AE385" s="3535">
        <v>100.37223440660985</v>
      </c>
      <c r="AF385" s="3535">
        <v>84.207565603805236</v>
      </c>
      <c r="AG385" s="3535">
        <v>103.41635204711405</v>
      </c>
      <c r="AH385" s="3535">
        <v>108.30196349382165</v>
      </c>
      <c r="AI385" s="3535">
        <v>121.27720592405618</v>
      </c>
      <c r="AJ385" s="3535">
        <v>172.16714820924545</v>
      </c>
      <c r="AK385" s="3535">
        <v>111.82478847563276</v>
      </c>
      <c r="AL385" s="3535">
        <v>86.910894191197158</v>
      </c>
      <c r="AM385" s="3535">
        <v>37.052393049392343</v>
      </c>
      <c r="AN385" s="3535">
        <v>109.59529985065929</v>
      </c>
      <c r="AO385" s="3535">
        <v>129.35599812143784</v>
      </c>
      <c r="AP385" s="3535">
        <v>147.20284205502762</v>
      </c>
      <c r="AQ385" s="3535">
        <v>72.160210042058765</v>
      </c>
      <c r="AR385" s="3535">
        <v>88.781365648269784</v>
      </c>
      <c r="AS385" s="3535">
        <v>82.544070665669082</v>
      </c>
      <c r="AT385" s="3535">
        <v>81.582482633753486</v>
      </c>
      <c r="AU385" s="3535">
        <v>194.03531587073783</v>
      </c>
      <c r="AV385" s="3535">
        <v>166.51840392603933</v>
      </c>
      <c r="AW385" s="3535">
        <v>96.741227293607295</v>
      </c>
      <c r="AX385" s="3535">
        <v>101.60943587837961</v>
      </c>
      <c r="AY385" s="3535">
        <v>68.26694312796208</v>
      </c>
      <c r="AZ385" s="3535">
        <v>77.20944950350281</v>
      </c>
      <c r="BA385" s="3535">
        <v>111.20558666676227</v>
      </c>
      <c r="BB385" s="3535">
        <v>150.09576966704401</v>
      </c>
      <c r="BC385" s="3535">
        <v>155.34488291320545</v>
      </c>
      <c r="BD385" s="3535">
        <v>112.78719880793014</v>
      </c>
      <c r="BE385" s="3535">
        <v>159.47554110806331</v>
      </c>
      <c r="BF385" s="3535">
        <v>140.33495859357092</v>
      </c>
      <c r="BG385" s="3535">
        <v>193.51958964841353</v>
      </c>
      <c r="BH385" s="3535">
        <v>133.15541978869405</v>
      </c>
      <c r="BI385" s="3535">
        <v>93.791277665417837</v>
      </c>
      <c r="BJ385" s="3535">
        <v>82.565138777240293</v>
      </c>
      <c r="BK385" s="3535">
        <v>131.64447121584342</v>
      </c>
      <c r="BL385" s="3535">
        <v>111.40901672831423</v>
      </c>
      <c r="BM385" s="3535">
        <v>84.966843471808247</v>
      </c>
      <c r="BN385" s="3535">
        <v>90.990263481527933</v>
      </c>
      <c r="BO385" s="3535">
        <v>118.70195986160239</v>
      </c>
      <c r="BP385" s="3535">
        <v>80.575169173203918</v>
      </c>
      <c r="BQ385" s="3535">
        <v>173.77246857238836</v>
      </c>
      <c r="BR385" s="3535">
        <v>90.878172010983562</v>
      </c>
      <c r="BS385" s="3535">
        <v>358.641661280194</v>
      </c>
      <c r="BT385" s="3535">
        <v>79.674172105137487</v>
      </c>
      <c r="BU385" s="3535">
        <v>213.74684533680076</v>
      </c>
      <c r="BV385" s="3535">
        <v>113.0391961834154</v>
      </c>
      <c r="BW385" s="3535">
        <v>230.94661396320939</v>
      </c>
      <c r="BX385" s="3535">
        <v>72.163918142686285</v>
      </c>
      <c r="BY385" s="3535">
        <v>103.36557433962373</v>
      </c>
      <c r="BZ385" s="3535">
        <v>150.81110147567</v>
      </c>
      <c r="CA385" s="3535">
        <v>298.76386881337442</v>
      </c>
      <c r="CB385" s="3535">
        <v>161.74927232622687</v>
      </c>
      <c r="CC385" s="3535">
        <v>83.604322055344468</v>
      </c>
      <c r="CD385" s="3535">
        <v>141.56247287062814</v>
      </c>
      <c r="CE385" s="3535">
        <v>874.09283904910126</v>
      </c>
      <c r="CF385" s="3535">
        <v>65.22689876129742</v>
      </c>
      <c r="CG385" s="3535">
        <v>105.42092094210162</v>
      </c>
      <c r="CH385" s="3535">
        <v>103.55466455107478</v>
      </c>
      <c r="CI385" s="3535">
        <v>95.226103073888794</v>
      </c>
      <c r="CJ385" s="2978">
        <v>121.51414518888173</v>
      </c>
    </row>
    <row r="386" spans="1:88">
      <c r="A386" s="53">
        <f t="shared" si="0"/>
        <v>2025.05</v>
      </c>
      <c r="B386" s="615">
        <v>124.04655839247243</v>
      </c>
      <c r="C386" s="3535">
        <v>122.332514815363</v>
      </c>
      <c r="D386" s="358">
        <v>119.99799830687201</v>
      </c>
      <c r="E386" s="615">
        <v>148.46882969401099</v>
      </c>
      <c r="F386" s="1215">
        <v>104.49815599796801</v>
      </c>
      <c r="G386" s="1215">
        <v>250.55560217980593</v>
      </c>
      <c r="H386" s="1215">
        <v>138.17352747176793</v>
      </c>
      <c r="I386" s="1215">
        <v>238.83139923464989</v>
      </c>
      <c r="J386" s="1215">
        <v>193.65147602133732</v>
      </c>
      <c r="K386" s="1215">
        <v>142.42771902721321</v>
      </c>
      <c r="L386" s="1215">
        <v>179.52583529923331</v>
      </c>
      <c r="M386" s="1215">
        <v>147.47762103301332</v>
      </c>
      <c r="N386" s="1215">
        <v>116.06122937719127</v>
      </c>
      <c r="O386" s="1215">
        <v>152.57381171139747</v>
      </c>
      <c r="P386" s="1215">
        <v>112.45384585266216</v>
      </c>
      <c r="Q386" s="1215">
        <v>109.34801084023718</v>
      </c>
      <c r="R386" s="2661">
        <v>169.37194412026727</v>
      </c>
      <c r="S386" s="3535">
        <v>66.956179369297999</v>
      </c>
      <c r="T386" s="3535">
        <v>52.799109813672196</v>
      </c>
      <c r="U386" s="3535">
        <v>73.750239871856706</v>
      </c>
      <c r="V386" s="3535">
        <v>82.290418158228263</v>
      </c>
      <c r="W386" s="3535">
        <v>115.34127021054317</v>
      </c>
      <c r="X386" s="3535">
        <v>117.98373937636816</v>
      </c>
      <c r="Y386" s="3535">
        <v>78.096249120336324</v>
      </c>
      <c r="Z386" s="3535">
        <v>60.532421658765273</v>
      </c>
      <c r="AA386" s="3535">
        <v>92.297887277244911</v>
      </c>
      <c r="AB386" s="3535">
        <v>97.836790809315644</v>
      </c>
      <c r="AC386" s="3535">
        <v>32.412368397774053</v>
      </c>
      <c r="AD386" s="3535">
        <v>133.30255925920832</v>
      </c>
      <c r="AE386" s="3535">
        <v>105.64090313464573</v>
      </c>
      <c r="AF386" s="3535">
        <v>82.918532206656366</v>
      </c>
      <c r="AG386" s="3535">
        <v>110.63230226689606</v>
      </c>
      <c r="AH386" s="3535">
        <v>116.09837539141324</v>
      </c>
      <c r="AI386" s="3535">
        <v>111.41254479618745</v>
      </c>
      <c r="AJ386" s="3535">
        <v>143.98637207965405</v>
      </c>
      <c r="AK386" s="3535">
        <v>105.62951599088272</v>
      </c>
      <c r="AL386" s="3535">
        <v>97.912529454570759</v>
      </c>
      <c r="AM386" s="3535">
        <v>34.187820162094049</v>
      </c>
      <c r="AN386" s="3535">
        <v>103.23346017859042</v>
      </c>
      <c r="AO386" s="3535">
        <v>144.53325436381064</v>
      </c>
      <c r="AP386" s="3535">
        <v>148.86733246107298</v>
      </c>
      <c r="AQ386" s="3535">
        <v>74.476803850376186</v>
      </c>
      <c r="AR386" s="3535">
        <v>120.00871397279529</v>
      </c>
      <c r="AS386" s="3535">
        <v>103.53540323706081</v>
      </c>
      <c r="AT386" s="3535">
        <v>76.341158306256602</v>
      </c>
      <c r="AU386" s="3535">
        <v>222.17438310920568</v>
      </c>
      <c r="AV386" s="3535">
        <v>162.28541451084325</v>
      </c>
      <c r="AW386" s="3535">
        <v>106.77659150355876</v>
      </c>
      <c r="AX386" s="3535">
        <v>104.02653433435749</v>
      </c>
      <c r="AY386" s="3535">
        <v>71.606161137440751</v>
      </c>
      <c r="AZ386" s="3535">
        <v>77.11704185033247</v>
      </c>
      <c r="BA386" s="3535">
        <v>113.76269461575119</v>
      </c>
      <c r="BB386" s="3535">
        <v>149.16504178716025</v>
      </c>
      <c r="BC386" s="3535">
        <v>158.74483600439075</v>
      </c>
      <c r="BD386" s="3535">
        <v>100.24008699847177</v>
      </c>
      <c r="BE386" s="3535">
        <v>158.66793837288228</v>
      </c>
      <c r="BF386" s="3535">
        <v>134.46953715533633</v>
      </c>
      <c r="BG386" s="3535">
        <v>199.8747200564105</v>
      </c>
      <c r="BH386" s="3535">
        <v>138.69927950507812</v>
      </c>
      <c r="BI386" s="3535">
        <v>96.282132092412965</v>
      </c>
      <c r="BJ386" s="3535">
        <v>81.815837311703007</v>
      </c>
      <c r="BK386" s="3535">
        <v>144.5271143883391</v>
      </c>
      <c r="BL386" s="3535">
        <v>119.51349879967582</v>
      </c>
      <c r="BM386" s="3535">
        <v>85.656371037164405</v>
      </c>
      <c r="BN386" s="3535">
        <v>95.20120624822772</v>
      </c>
      <c r="BO386" s="3535">
        <v>121.11012426709038</v>
      </c>
      <c r="BP386" s="3535">
        <v>79.944993881793962</v>
      </c>
      <c r="BQ386" s="3535">
        <v>156.85510484116293</v>
      </c>
      <c r="BR386" s="3535">
        <v>98.846923410227646</v>
      </c>
      <c r="BS386" s="3535">
        <v>274.88493635206072</v>
      </c>
      <c r="BT386" s="3535">
        <v>83.786573718322359</v>
      </c>
      <c r="BU386" s="3535">
        <v>218.66466656090356</v>
      </c>
      <c r="BV386" s="3535">
        <v>106.63584661677299</v>
      </c>
      <c r="BW386" s="3535">
        <v>183.05844668182885</v>
      </c>
      <c r="BX386" s="3535">
        <v>77.827712392596723</v>
      </c>
      <c r="BY386" s="3535">
        <v>105.68261416094164</v>
      </c>
      <c r="BZ386" s="3535">
        <v>162.08366600796677</v>
      </c>
      <c r="CA386" s="3535">
        <v>314.06747310646824</v>
      </c>
      <c r="CB386" s="3535">
        <v>175.00824157202373</v>
      </c>
      <c r="CC386" s="3535">
        <v>92.823628714311852</v>
      </c>
      <c r="CD386" s="3535">
        <v>146.29449632174627</v>
      </c>
      <c r="CE386" s="3535">
        <v>931.79757958461141</v>
      </c>
      <c r="CF386" s="3535">
        <v>64.438737715677561</v>
      </c>
      <c r="CG386" s="3535">
        <v>106.1176817243428</v>
      </c>
      <c r="CH386" s="3535">
        <v>114.85870330549018</v>
      </c>
      <c r="CI386" s="3535">
        <v>76.078509103102377</v>
      </c>
      <c r="CJ386" s="2978">
        <v>124.04655839247245</v>
      </c>
    </row>
    <row r="387" spans="1:88">
      <c r="A387" s="53">
        <f t="shared" si="0"/>
        <v>2025.06</v>
      </c>
      <c r="B387" s="615">
        <v>117.45295448927092</v>
      </c>
      <c r="C387" s="3535">
        <v>120.117435424007</v>
      </c>
      <c r="D387" s="358">
        <v>119.226190817123</v>
      </c>
      <c r="E387" s="615">
        <v>142.38364218644728</v>
      </c>
      <c r="F387" s="1215">
        <v>105.17629501544768</v>
      </c>
      <c r="G387" s="1215">
        <v>229.79572965769054</v>
      </c>
      <c r="H387" s="1215">
        <v>123.89003153825551</v>
      </c>
      <c r="I387" s="1215">
        <v>227.27774094416964</v>
      </c>
      <c r="J387" s="1215">
        <v>202.57973953177739</v>
      </c>
      <c r="K387" s="1215">
        <v>139.58390208774014</v>
      </c>
      <c r="L387" s="1215">
        <v>162.20741308568535</v>
      </c>
      <c r="M387" s="1215">
        <v>131.39554224863411</v>
      </c>
      <c r="N387" s="1215">
        <v>161.82173471930608</v>
      </c>
      <c r="O387" s="1215">
        <v>143.23761597639893</v>
      </c>
      <c r="P387" s="1215">
        <v>101.07175393059465</v>
      </c>
      <c r="Q387" s="1215">
        <v>99.265464328410829</v>
      </c>
      <c r="R387" s="2661">
        <v>158.00510586197603</v>
      </c>
      <c r="S387" s="3535">
        <v>52.624002731248538</v>
      </c>
      <c r="T387" s="3535">
        <v>22.450289541271271</v>
      </c>
      <c r="U387" s="3535">
        <v>67.104544215774538</v>
      </c>
      <c r="V387" s="3535">
        <v>82.812802052108523</v>
      </c>
      <c r="W387" s="3535">
        <v>189.31649781781141</v>
      </c>
      <c r="X387" s="3535">
        <v>100.46924047860996</v>
      </c>
      <c r="Y387" s="3535">
        <v>70.374726288425094</v>
      </c>
      <c r="Z387" s="3535">
        <v>62.064287894510791</v>
      </c>
      <c r="AA387" s="3535">
        <v>83.342278950160363</v>
      </c>
      <c r="AB387" s="3535">
        <v>87.72149461623539</v>
      </c>
      <c r="AC387" s="3535">
        <v>28.568749190160649</v>
      </c>
      <c r="AD387" s="3535">
        <v>123.76506893684807</v>
      </c>
      <c r="AE387" s="3535">
        <v>94.991052863201745</v>
      </c>
      <c r="AF387" s="3535">
        <v>74.914626993387813</v>
      </c>
      <c r="AG387" s="3535">
        <v>100.63200178752663</v>
      </c>
      <c r="AH387" s="3535">
        <v>103.03998904191714</v>
      </c>
      <c r="AI387" s="3535">
        <v>121.42308268045456</v>
      </c>
      <c r="AJ387" s="3535">
        <v>162.24153664501969</v>
      </c>
      <c r="AK387" s="3535">
        <v>113.56316707252958</v>
      </c>
      <c r="AL387" s="3535">
        <v>97.214918960850881</v>
      </c>
      <c r="AM387" s="3535">
        <v>42.411205537670824</v>
      </c>
      <c r="AN387" s="3535">
        <v>112.30111419349026</v>
      </c>
      <c r="AO387" s="3535">
        <v>134.78268892852719</v>
      </c>
      <c r="AP387" s="3535">
        <v>142.09874209379583</v>
      </c>
      <c r="AQ387" s="3535">
        <v>80.640291795431835</v>
      </c>
      <c r="AR387" s="3535">
        <v>109.44764562896145</v>
      </c>
      <c r="AS387" s="3535">
        <v>111.74728546166438</v>
      </c>
      <c r="AT387" s="3535">
        <v>72.018794516157882</v>
      </c>
      <c r="AU387" s="3535">
        <v>202.61277008309418</v>
      </c>
      <c r="AV387" s="3535">
        <v>130.67553186098195</v>
      </c>
      <c r="AW387" s="3535">
        <v>113.26379584532117</v>
      </c>
      <c r="AX387" s="3535">
        <v>96.785249169175714</v>
      </c>
      <c r="AY387" s="3535">
        <v>61.526276694312799</v>
      </c>
      <c r="AZ387" s="3535">
        <v>67.4549928638003</v>
      </c>
      <c r="BA387" s="3535">
        <v>107.38210296762378</v>
      </c>
      <c r="BB387" s="3535">
        <v>145.0604996664301</v>
      </c>
      <c r="BC387" s="3535">
        <v>151.7116979296155</v>
      </c>
      <c r="BD387" s="3535">
        <v>91.166537666113683</v>
      </c>
      <c r="BE387" s="3535">
        <v>161.08671719913369</v>
      </c>
      <c r="BF387" s="3535">
        <v>129.18093800793409</v>
      </c>
      <c r="BG387" s="3535">
        <v>193.76372840795182</v>
      </c>
      <c r="BH387" s="3535">
        <v>136.56407347023909</v>
      </c>
      <c r="BI387" s="3535">
        <v>82.453150459105302</v>
      </c>
      <c r="BJ387" s="3535">
        <v>67.532301613264551</v>
      </c>
      <c r="BK387" s="3535">
        <v>137.39107099376488</v>
      </c>
      <c r="BL387" s="3535">
        <v>101.28539213441402</v>
      </c>
      <c r="BM387" s="3535">
        <v>83.532355213431771</v>
      </c>
      <c r="BN387" s="3535">
        <v>91.090681867974524</v>
      </c>
      <c r="BO387" s="3535">
        <v>116.85060940770862</v>
      </c>
      <c r="BP387" s="3535">
        <v>78.646261170927104</v>
      </c>
      <c r="BQ387" s="3535">
        <v>150.00403274482142</v>
      </c>
      <c r="BR387" s="3535">
        <v>97.843087391703378</v>
      </c>
      <c r="BS387" s="3535">
        <v>270.67319381967235</v>
      </c>
      <c r="BT387" s="3535">
        <v>77.117579007858154</v>
      </c>
      <c r="BU387" s="3535">
        <v>187.4086722422802</v>
      </c>
      <c r="BV387" s="3535">
        <v>128.91657800615596</v>
      </c>
      <c r="BW387" s="3535">
        <v>255.29249272920805</v>
      </c>
      <c r="BX387" s="3535">
        <v>92.594734357374648</v>
      </c>
      <c r="BY387" s="3535">
        <v>101.34419005421175</v>
      </c>
      <c r="BZ387" s="3535">
        <v>144.83533918988388</v>
      </c>
      <c r="CA387" s="3535">
        <v>277.23990724883078</v>
      </c>
      <c r="CB387" s="3535">
        <v>164.86372897225667</v>
      </c>
      <c r="CC387" s="3535">
        <v>83.343784012298443</v>
      </c>
      <c r="CD387" s="3535">
        <v>124.24608871090736</v>
      </c>
      <c r="CE387" s="3535">
        <v>710.58635783327543</v>
      </c>
      <c r="CF387" s="3535">
        <v>63.144702156277489</v>
      </c>
      <c r="CG387" s="3535">
        <v>96.478409316309467</v>
      </c>
      <c r="CH387" s="3535">
        <v>106.62428358085229</v>
      </c>
      <c r="CI387" s="3535">
        <v>61.474504472921026</v>
      </c>
      <c r="CJ387" s="2978">
        <v>117.45295448927097</v>
      </c>
    </row>
    <row r="388" spans="1:88">
      <c r="A388" s="53">
        <f t="shared" si="0"/>
        <v>2025.07</v>
      </c>
      <c r="B388" s="615">
        <v>124.24644204497119</v>
      </c>
      <c r="C388" s="3535">
        <v>117.04485904972999</v>
      </c>
      <c r="D388" s="358">
        <v>118.420279931303</v>
      </c>
      <c r="E388" s="615">
        <v>152.92299355091603</v>
      </c>
      <c r="F388" s="1215">
        <v>116.47086493971497</v>
      </c>
      <c r="G388" s="1215">
        <v>277.04538762202316</v>
      </c>
      <c r="H388" s="1215">
        <v>143.35277718744979</v>
      </c>
      <c r="I388" s="1215">
        <v>263.89993637303712</v>
      </c>
      <c r="J388" s="1215">
        <v>192.24096017723932</v>
      </c>
      <c r="K388" s="1215">
        <v>119.38627216460932</v>
      </c>
      <c r="L388" s="1215">
        <v>167.9941575029334</v>
      </c>
      <c r="M388" s="1215">
        <v>151.69960228967</v>
      </c>
      <c r="N388" s="1215">
        <v>180.01928820263367</v>
      </c>
      <c r="O388" s="1215">
        <v>142.91441534966773</v>
      </c>
      <c r="P388" s="1215">
        <v>105.12095656199121</v>
      </c>
      <c r="Q388" s="1215">
        <v>112.38931674035879</v>
      </c>
      <c r="R388" s="2661">
        <v>187.90764280907774</v>
      </c>
      <c r="S388" s="3535">
        <v>55.375998309787605</v>
      </c>
      <c r="T388" s="3535">
        <v>1.2042889595954922</v>
      </c>
      <c r="U388" s="3535">
        <v>81.373318546585821</v>
      </c>
      <c r="V388" s="3535">
        <v>84.261644408040411</v>
      </c>
      <c r="W388" s="3535">
        <v>258.46637770485677</v>
      </c>
      <c r="X388" s="3535">
        <v>90.662192831623088</v>
      </c>
      <c r="Y388" s="3535">
        <v>68.80029097895563</v>
      </c>
      <c r="Z388" s="3535">
        <v>57.812420028408859</v>
      </c>
      <c r="AA388" s="3535">
        <v>85.047856667760428</v>
      </c>
      <c r="AB388" s="3535">
        <v>89.686217264137596</v>
      </c>
      <c r="AC388" s="3535">
        <v>30.691243262230227</v>
      </c>
      <c r="AD388" s="3535">
        <v>123.92028063039406</v>
      </c>
      <c r="AE388" s="3535">
        <v>100.05256599605592</v>
      </c>
      <c r="AF388" s="3535">
        <v>89.125888740991428</v>
      </c>
      <c r="AG388" s="3535">
        <v>101.15719180556574</v>
      </c>
      <c r="AH388" s="3535">
        <v>106.3348647359371</v>
      </c>
      <c r="AI388" s="3535">
        <v>124.20940882239481</v>
      </c>
      <c r="AJ388" s="3535">
        <v>166.23644723810827</v>
      </c>
      <c r="AK388" s="3535">
        <v>116.32539052682374</v>
      </c>
      <c r="AL388" s="3535">
        <v>100.00588232254705</v>
      </c>
      <c r="AM388" s="3535">
        <v>50.401205243179817</v>
      </c>
      <c r="AN388" s="3535">
        <v>114.19154010663078</v>
      </c>
      <c r="AO388" s="3535">
        <v>144.22158905364898</v>
      </c>
      <c r="AP388" s="3535">
        <v>148.1459002001375</v>
      </c>
      <c r="AQ388" s="3535">
        <v>72.172685068584002</v>
      </c>
      <c r="AR388" s="3535">
        <v>115.15484234049157</v>
      </c>
      <c r="AS388" s="3535">
        <v>98.455030410467501</v>
      </c>
      <c r="AT388" s="3535">
        <v>80.390961010500874</v>
      </c>
      <c r="AU388" s="3535">
        <v>230.97661304402524</v>
      </c>
      <c r="AV388" s="3535">
        <v>146.13585327102962</v>
      </c>
      <c r="AW388" s="3535">
        <v>118.4510047226551</v>
      </c>
      <c r="AX388" s="3535">
        <v>102.93602540918326</v>
      </c>
      <c r="AY388" s="3535">
        <v>67.348578199052128</v>
      </c>
      <c r="AZ388" s="3535">
        <v>82.201793042897094</v>
      </c>
      <c r="BA388" s="3535">
        <v>112.50243774304889</v>
      </c>
      <c r="BB388" s="3535">
        <v>155.98636529353087</v>
      </c>
      <c r="BC388" s="3535">
        <v>143.6774185230031</v>
      </c>
      <c r="BD388" s="3535">
        <v>107.17550611521857</v>
      </c>
      <c r="BE388" s="3535">
        <v>167.49112777049808</v>
      </c>
      <c r="BF388" s="3535">
        <v>150.05758547455787</v>
      </c>
      <c r="BG388" s="3535">
        <v>225.07365494315235</v>
      </c>
      <c r="BH388" s="3535">
        <v>147.98009308570974</v>
      </c>
      <c r="BI388" s="3535">
        <v>87.165589513088477</v>
      </c>
      <c r="BJ388" s="3535">
        <v>70.818505875491496</v>
      </c>
      <c r="BK388" s="3535">
        <v>147.9961693107476</v>
      </c>
      <c r="BL388" s="3535">
        <v>107.16255407715848</v>
      </c>
      <c r="BM388" s="3535">
        <v>92.54436380203461</v>
      </c>
      <c r="BN388" s="3535">
        <v>98.312042103747515</v>
      </c>
      <c r="BO388" s="3535">
        <v>143.97465739155885</v>
      </c>
      <c r="BP388" s="3535">
        <v>87.013497798019827</v>
      </c>
      <c r="BQ388" s="3535">
        <v>155.6113133540957</v>
      </c>
      <c r="BR388" s="3535">
        <v>94.163050470867375</v>
      </c>
      <c r="BS388" s="3535">
        <v>291.51770718015797</v>
      </c>
      <c r="BT388" s="3535">
        <v>82.686348618903693</v>
      </c>
      <c r="BU388" s="3535">
        <v>192.38338438611126</v>
      </c>
      <c r="BV388" s="3535">
        <v>138.28501048727776</v>
      </c>
      <c r="BW388" s="3535">
        <v>267.11510850549865</v>
      </c>
      <c r="BX388" s="3535">
        <v>101.81439043175817</v>
      </c>
      <c r="BY388" s="3535">
        <v>108.89861321741286</v>
      </c>
      <c r="BZ388" s="3535">
        <v>133.21615286692608</v>
      </c>
      <c r="CA388" s="3535">
        <v>241.53361022717493</v>
      </c>
      <c r="CB388" s="3535">
        <v>184.72541798068076</v>
      </c>
      <c r="CC388" s="3535">
        <v>78.289070039624988</v>
      </c>
      <c r="CD388" s="3535">
        <v>129.08867844478712</v>
      </c>
      <c r="CE388" s="3535">
        <v>725.67595776733071</v>
      </c>
      <c r="CF388" s="3535">
        <v>66.919470755839967</v>
      </c>
      <c r="CG388" s="3535">
        <v>108.81412868487018</v>
      </c>
      <c r="CH388" s="3535">
        <v>116.82194501406296</v>
      </c>
      <c r="CI388" s="3535">
        <v>82.122265915705228</v>
      </c>
      <c r="CJ388" s="2978">
        <v>124.24644204497122</v>
      </c>
    </row>
    <row r="389" spans="1:88">
      <c r="A389" s="53">
        <f t="shared" si="0"/>
        <v>2025.08</v>
      </c>
      <c r="B389" s="615">
        <v>123.36060608029217</v>
      </c>
      <c r="C389" s="3535">
        <v>118.235076418844</v>
      </c>
      <c r="D389" s="358">
        <v>117.689166111462</v>
      </c>
      <c r="E389" s="615">
        <v>151.99714414431864</v>
      </c>
      <c r="F389" s="1215">
        <v>109.72162391252458</v>
      </c>
      <c r="G389" s="1215">
        <v>253.20203430509923</v>
      </c>
      <c r="H389" s="1215">
        <v>134.90598827481514</v>
      </c>
      <c r="I389" s="1215">
        <v>251.22865663899205</v>
      </c>
      <c r="J389" s="1215">
        <v>195.15920882926915</v>
      </c>
      <c r="K389" s="1215">
        <v>133.5546379785863</v>
      </c>
      <c r="L389" s="1215">
        <v>157.5331929265532</v>
      </c>
      <c r="M389" s="1215">
        <v>135.71797852275694</v>
      </c>
      <c r="N389" s="1215">
        <v>189.87194749942495</v>
      </c>
      <c r="O389" s="1215">
        <v>102.64350765172932</v>
      </c>
      <c r="P389" s="1215">
        <v>121.83680948511423</v>
      </c>
      <c r="Q389" s="1215">
        <v>113.32094279250235</v>
      </c>
      <c r="R389" s="2661">
        <v>195.43370050515091</v>
      </c>
      <c r="S389" s="3535">
        <v>55.091295974999312</v>
      </c>
      <c r="T389" s="3535">
        <v>0.50843704206518336</v>
      </c>
      <c r="U389" s="3535">
        <v>81.285929301895408</v>
      </c>
      <c r="V389" s="3535">
        <v>76.80058378679901</v>
      </c>
      <c r="W389" s="3535">
        <v>159.13338225714571</v>
      </c>
      <c r="X389" s="3535">
        <v>94.96860839342358</v>
      </c>
      <c r="Y389" s="3535">
        <v>63.99008200514298</v>
      </c>
      <c r="Z389" s="3535">
        <v>61.122825022986049</v>
      </c>
      <c r="AA389" s="3535">
        <v>83.771489868528064</v>
      </c>
      <c r="AB389" s="3535">
        <v>87.29392839154994</v>
      </c>
      <c r="AC389" s="3535">
        <v>31.105508637120177</v>
      </c>
      <c r="AD389" s="3535">
        <v>125.56326326636062</v>
      </c>
      <c r="AE389" s="3535">
        <v>101.4633865796291</v>
      </c>
      <c r="AF389" s="3535">
        <v>92.155324817779317</v>
      </c>
      <c r="AG389" s="3535">
        <v>107.39533359954711</v>
      </c>
      <c r="AH389" s="3535">
        <v>101.98624589106929</v>
      </c>
      <c r="AI389" s="3535">
        <v>128.7140326180718</v>
      </c>
      <c r="AJ389" s="3535">
        <v>166.29112109977723</v>
      </c>
      <c r="AK389" s="3535">
        <v>121.75717321202812</v>
      </c>
      <c r="AL389" s="3535">
        <v>95.061648157766157</v>
      </c>
      <c r="AM389" s="3535">
        <v>55.611854657840198</v>
      </c>
      <c r="AN389" s="3535">
        <v>121.68815925246703</v>
      </c>
      <c r="AO389" s="3535">
        <v>141.88904359632451</v>
      </c>
      <c r="AP389" s="3535">
        <v>149.27242495568959</v>
      </c>
      <c r="AQ389" s="3535">
        <v>73.202058277382378</v>
      </c>
      <c r="AR389" s="3535">
        <v>119.68573088656177</v>
      </c>
      <c r="AS389" s="3535">
        <v>99.221809308642548</v>
      </c>
      <c r="AT389" s="3535">
        <v>88.40376886252227</v>
      </c>
      <c r="AU389" s="3535">
        <v>220.07451741304686</v>
      </c>
      <c r="AV389" s="3535">
        <v>144.60718432474602</v>
      </c>
      <c r="AW389" s="3535">
        <v>114.64340450255168</v>
      </c>
      <c r="AX389" s="3535">
        <v>101.79972917437433</v>
      </c>
      <c r="AY389" s="3535">
        <v>61.083163507109006</v>
      </c>
      <c r="AZ389" s="3535">
        <v>77.569802139956977</v>
      </c>
      <c r="BA389" s="3535">
        <v>112.80951042719535</v>
      </c>
      <c r="BB389" s="3535">
        <v>156.0506985335403</v>
      </c>
      <c r="BC389" s="3535">
        <v>152.07324904154964</v>
      </c>
      <c r="BD389" s="3535">
        <v>102.32424691644907</v>
      </c>
      <c r="BE389" s="3535">
        <v>172.59999696197593</v>
      </c>
      <c r="BF389" s="3535">
        <v>156.95552698107062</v>
      </c>
      <c r="BG389" s="3535">
        <v>213.86615207621495</v>
      </c>
      <c r="BH389" s="3535">
        <v>147.34791020039899</v>
      </c>
      <c r="BI389" s="3535">
        <v>90.315117004711794</v>
      </c>
      <c r="BJ389" s="3535">
        <v>74.777701651423385</v>
      </c>
      <c r="BK389" s="3535">
        <v>149.5055627128975</v>
      </c>
      <c r="BL389" s="3535">
        <v>107.96154604516926</v>
      </c>
      <c r="BM389" s="3535">
        <v>90.091422603076467</v>
      </c>
      <c r="BN389" s="3535">
        <v>95.811023984579037</v>
      </c>
      <c r="BO389" s="3535">
        <v>145.10780548065767</v>
      </c>
      <c r="BP389" s="3535">
        <v>84.328409967914439</v>
      </c>
      <c r="BQ389" s="3535">
        <v>147.30516515233197</v>
      </c>
      <c r="BR389" s="3535">
        <v>100.24436923511216</v>
      </c>
      <c r="BS389" s="3535">
        <v>255.61672542960505</v>
      </c>
      <c r="BT389" s="3535">
        <v>83.553087644466245</v>
      </c>
      <c r="BU389" s="3535">
        <v>179.09648799828418</v>
      </c>
      <c r="BV389" s="3535">
        <v>126.31859494267833</v>
      </c>
      <c r="BW389" s="3535">
        <v>236.61251552803299</v>
      </c>
      <c r="BX389" s="3535">
        <v>92.762814193620528</v>
      </c>
      <c r="BY389" s="3535">
        <v>106.51865577771252</v>
      </c>
      <c r="BZ389" s="3535">
        <v>153.76150089618309</v>
      </c>
      <c r="CA389" s="3535">
        <v>292.90391272710474</v>
      </c>
      <c r="CB389" s="3535">
        <v>201.83139047152031</v>
      </c>
      <c r="CC389" s="3535">
        <v>85.584821678312935</v>
      </c>
      <c r="CD389" s="3535">
        <v>124.31937671512175</v>
      </c>
      <c r="CE389" s="3535">
        <v>701.37500643069779</v>
      </c>
      <c r="CF389" s="3535">
        <v>64.185524493864364</v>
      </c>
      <c r="CG389" s="3535">
        <v>97.177806280093435</v>
      </c>
      <c r="CH389" s="3535">
        <v>103.62042568993272</v>
      </c>
      <c r="CI389" s="3535">
        <v>64.225598078617878</v>
      </c>
      <c r="CJ389" s="2978">
        <v>123.3606060802923</v>
      </c>
    </row>
    <row r="390" spans="1:88">
      <c r="A390" s="53">
        <f t="shared" si="0"/>
        <v>2025.09</v>
      </c>
      <c r="B390" s="615">
        <v>124.94018753903121</v>
      </c>
      <c r="C390" s="3535">
        <v>118.054479068322</v>
      </c>
      <c r="D390" s="358">
        <v>117.17625735982</v>
      </c>
      <c r="E390" s="615">
        <v>154.46135159592484</v>
      </c>
      <c r="F390" s="1215">
        <v>109.89308078719777</v>
      </c>
      <c r="G390" s="1215">
        <v>269.39815403445721</v>
      </c>
      <c r="H390" s="1215">
        <v>139.36865096162617</v>
      </c>
      <c r="I390" s="1215">
        <v>267.59936682859654</v>
      </c>
      <c r="J390" s="1215">
        <v>203.80399854476607</v>
      </c>
      <c r="K390" s="1215">
        <v>128.68247470809132</v>
      </c>
      <c r="L390" s="1215">
        <v>157.05663213686853</v>
      </c>
      <c r="M390" s="1215">
        <v>129.90887474280069</v>
      </c>
      <c r="N390" s="1215">
        <v>180.22967263565997</v>
      </c>
      <c r="O390" s="1215">
        <v>104.45973052307096</v>
      </c>
      <c r="P390" s="1215">
        <v>135.91386722852667</v>
      </c>
      <c r="Q390" s="1215">
        <v>127.26089625304316</v>
      </c>
      <c r="R390" s="2661">
        <v>189.81661386381293</v>
      </c>
      <c r="S390" s="3535">
        <v>56.961588339884401</v>
      </c>
      <c r="T390" s="3535">
        <v>0</v>
      </c>
      <c r="U390" s="3535">
        <v>84.297787825407838</v>
      </c>
      <c r="V390" s="3535">
        <v>65.262795842234155</v>
      </c>
      <c r="W390" s="3535">
        <v>105.37382579957665</v>
      </c>
      <c r="X390" s="3535">
        <v>74.932015958446726</v>
      </c>
      <c r="Y390" s="3535">
        <v>55.108658250838523</v>
      </c>
      <c r="Z390" s="3535">
        <v>60.50311817018823</v>
      </c>
      <c r="AA390" s="3535">
        <v>82.937801977036884</v>
      </c>
      <c r="AB390" s="3535">
        <v>86.379930644780529</v>
      </c>
      <c r="AC390" s="3535">
        <v>32.190157442032231</v>
      </c>
      <c r="AD390" s="3535">
        <v>123.00341202617655</v>
      </c>
      <c r="AE390" s="3535">
        <v>106.66468675420269</v>
      </c>
      <c r="AF390" s="3535">
        <v>99.299831976920188</v>
      </c>
      <c r="AG390" s="3535">
        <v>110.88337184328725</v>
      </c>
      <c r="AH390" s="3535">
        <v>107.53783683206775</v>
      </c>
      <c r="AI390" s="3535">
        <v>126.49504210487967</v>
      </c>
      <c r="AJ390" s="3535">
        <v>167.56541235310459</v>
      </c>
      <c r="AK390" s="3535">
        <v>117.65409771309496</v>
      </c>
      <c r="AL390" s="3535">
        <v>89.167940225114378</v>
      </c>
      <c r="AM390" s="3535">
        <v>49.34181880743543</v>
      </c>
      <c r="AN390" s="3535">
        <v>120.22083072257045</v>
      </c>
      <c r="AO390" s="3535">
        <v>142.10405187478318</v>
      </c>
      <c r="AP390" s="3535">
        <v>153.66426888502764</v>
      </c>
      <c r="AQ390" s="3535">
        <v>71.574465101266483</v>
      </c>
      <c r="AR390" s="3535">
        <v>121.72194387722054</v>
      </c>
      <c r="AS390" s="3535">
        <v>106.85468576112984</v>
      </c>
      <c r="AT390" s="3535">
        <v>90.359376132320918</v>
      </c>
      <c r="AU390" s="3535">
        <v>206.17941108826633</v>
      </c>
      <c r="AV390" s="3535">
        <v>160.28586332740107</v>
      </c>
      <c r="AW390" s="3535">
        <v>120.99621701353712</v>
      </c>
      <c r="AX390" s="3535">
        <v>99.529651890862169</v>
      </c>
      <c r="AY390" s="3535">
        <v>63.521820450236973</v>
      </c>
      <c r="AZ390" s="3535">
        <v>78.850530833831101</v>
      </c>
      <c r="BA390" s="3535">
        <v>109.17087100456855</v>
      </c>
      <c r="BB390" s="3535">
        <v>152.91137854652555</v>
      </c>
      <c r="BC390" s="3535">
        <v>144.60320129142576</v>
      </c>
      <c r="BD390" s="3535">
        <v>94.990983309621527</v>
      </c>
      <c r="BE390" s="3535">
        <v>174.85357123726729</v>
      </c>
      <c r="BF390" s="3535">
        <v>153.20909448073715</v>
      </c>
      <c r="BG390" s="3535">
        <v>215.88653261791092</v>
      </c>
      <c r="BH390" s="3535">
        <v>139.21350510571921</v>
      </c>
      <c r="BI390" s="3535">
        <v>89.663418714947255</v>
      </c>
      <c r="BJ390" s="3535">
        <v>77.711774736757192</v>
      </c>
      <c r="BK390" s="3535">
        <v>148.07014726145954</v>
      </c>
      <c r="BL390" s="3535">
        <v>90.480089349802526</v>
      </c>
      <c r="BM390" s="3535">
        <v>90.441594417704877</v>
      </c>
      <c r="BN390" s="3535">
        <v>95.250109847358516</v>
      </c>
      <c r="BO390" s="3535">
        <v>132.51585497247709</v>
      </c>
      <c r="BP390" s="3535">
        <v>85.886175703558806</v>
      </c>
      <c r="BQ390" s="3535">
        <v>164.51159586652105</v>
      </c>
      <c r="BR390" s="3535">
        <v>105.61227821626856</v>
      </c>
      <c r="BS390" s="3535">
        <v>319.57080205619945</v>
      </c>
      <c r="BT390" s="3535">
        <v>86.023282310784666</v>
      </c>
      <c r="BU390" s="3535">
        <v>163.15039450883475</v>
      </c>
      <c r="BV390" s="3535">
        <v>130.89015796397319</v>
      </c>
      <c r="BW390" s="3535">
        <v>226.45477128075279</v>
      </c>
      <c r="BX390" s="3535">
        <v>102.25220360819894</v>
      </c>
      <c r="BY390" s="3535">
        <v>112.73150847777046</v>
      </c>
      <c r="BZ390" s="3535">
        <v>158.90234157197219</v>
      </c>
      <c r="CA390" s="3535">
        <v>304.27417745734869</v>
      </c>
      <c r="CB390" s="3535">
        <v>191.07481356975654</v>
      </c>
      <c r="CC390" s="3535">
        <v>90.048559035297217</v>
      </c>
      <c r="CD390" s="3535">
        <v>135.47619530911487</v>
      </c>
      <c r="CE390" s="3535">
        <v>789.44083844235217</v>
      </c>
      <c r="CF390" s="3535">
        <v>67.327803398469356</v>
      </c>
      <c r="CG390" s="3535">
        <v>96.885282540676982</v>
      </c>
      <c r="CH390" s="3535">
        <v>108.49156535095723</v>
      </c>
      <c r="CI390" s="3535">
        <v>53.456984477068666</v>
      </c>
      <c r="CJ390" s="2978">
        <v>124.94018753903124</v>
      </c>
    </row>
    <row r="391" spans="1:88">
      <c r="A391" s="53">
        <f t="shared" si="0"/>
        <v>2025.1</v>
      </c>
      <c r="B391" s="615">
        <v>126.72872661122022</v>
      </c>
      <c r="C391" s="3535">
        <v>116.95430868882001</v>
      </c>
      <c r="D391" s="358">
        <v>117.005809770544</v>
      </c>
      <c r="E391" s="615">
        <v>155.27325196211396</v>
      </c>
      <c r="F391" s="1215">
        <v>112.03825227812902</v>
      </c>
      <c r="G391" s="1215">
        <v>289.95501071523313</v>
      </c>
      <c r="H391" s="1215">
        <v>150.13225047891441</v>
      </c>
      <c r="I391" s="1215">
        <v>280.18852828301789</v>
      </c>
      <c r="J391" s="1215">
        <v>199.11625715724463</v>
      </c>
      <c r="K391" s="1215">
        <v>141.68874087095168</v>
      </c>
      <c r="L391" s="1215">
        <v>155.50677102916404</v>
      </c>
      <c r="M391" s="1215">
        <v>129.79386423528513</v>
      </c>
      <c r="N391" s="1215">
        <v>148.50631221658205</v>
      </c>
      <c r="O391" s="1215">
        <v>124.84239054840097</v>
      </c>
      <c r="P391" s="1215">
        <v>150.57031661201449</v>
      </c>
      <c r="Q391" s="1215">
        <v>116.20337408976935</v>
      </c>
      <c r="R391" s="2661">
        <v>177.06902343618108</v>
      </c>
      <c r="S391" s="3535">
        <v>50.953073766872862</v>
      </c>
      <c r="T391" s="3535">
        <v>0</v>
      </c>
      <c r="U391" s="3535">
        <v>75.405751957318387</v>
      </c>
      <c r="V391" s="3535">
        <v>57.677689185739858</v>
      </c>
      <c r="W391" s="3535">
        <v>35.093617089444457</v>
      </c>
      <c r="X391" s="3535">
        <v>73.953293281609703</v>
      </c>
      <c r="Y391" s="3535">
        <v>53.00908000653601</v>
      </c>
      <c r="Z391" s="3535">
        <v>57.902796156837844</v>
      </c>
      <c r="AA391" s="3535">
        <v>90.199623512492238</v>
      </c>
      <c r="AB391" s="3535">
        <v>95.703060322546492</v>
      </c>
      <c r="AC391" s="3535">
        <v>33.146451384691439</v>
      </c>
      <c r="AD391" s="3535">
        <v>128.30257704090576</v>
      </c>
      <c r="AE391" s="3535">
        <v>107.23839195615712</v>
      </c>
      <c r="AF391" s="3535">
        <v>98.975076435773488</v>
      </c>
      <c r="AG391" s="3535">
        <v>112.05105656618137</v>
      </c>
      <c r="AH391" s="3535">
        <v>108.14130790571829</v>
      </c>
      <c r="AI391" s="3535">
        <v>123.1457160237378</v>
      </c>
      <c r="AJ391" s="3535">
        <v>150.42686074086131</v>
      </c>
      <c r="AK391" s="3535">
        <v>112.24030439142911</v>
      </c>
      <c r="AL391" s="3535">
        <v>98.596368546649146</v>
      </c>
      <c r="AM391" s="3535">
        <v>47.851185946269339</v>
      </c>
      <c r="AN391" s="3535">
        <v>125.62899572794095</v>
      </c>
      <c r="AO391" s="3535">
        <v>143.0859110390557</v>
      </c>
      <c r="AP391" s="3535">
        <v>155.99547548761407</v>
      </c>
      <c r="AQ391" s="3535">
        <v>88.663493241066305</v>
      </c>
      <c r="AR391" s="3535">
        <v>91.659057627877573</v>
      </c>
      <c r="AS391" s="3535">
        <v>111.98152205844355</v>
      </c>
      <c r="AT391" s="3535">
        <v>101.67270265810964</v>
      </c>
      <c r="AU391" s="3535">
        <v>212.93326355013426</v>
      </c>
      <c r="AV391" s="3535">
        <v>161.1801575608485</v>
      </c>
      <c r="AW391" s="3535">
        <v>113.36755776933751</v>
      </c>
      <c r="AX391" s="3535">
        <v>98.948249351539999</v>
      </c>
      <c r="AY391" s="3535">
        <v>59.595131125592417</v>
      </c>
      <c r="AZ391" s="3535">
        <v>75.793723902869957</v>
      </c>
      <c r="BA391" s="3535">
        <v>109.55573944313927</v>
      </c>
      <c r="BB391" s="3535">
        <v>166.45092461086966</v>
      </c>
      <c r="BC391" s="3535">
        <v>157.82075302118517</v>
      </c>
      <c r="BD391" s="3535">
        <v>107.61333058131591</v>
      </c>
      <c r="BE391" s="3535">
        <v>187.19364125572727</v>
      </c>
      <c r="BF391" s="3535">
        <v>156.53131270238168</v>
      </c>
      <c r="BG391" s="3535">
        <v>237.24131912209327</v>
      </c>
      <c r="BH391" s="3535">
        <v>148.41704178901153</v>
      </c>
      <c r="BI391" s="3535">
        <v>97.541035582890814</v>
      </c>
      <c r="BJ391" s="3535">
        <v>85.00278296552986</v>
      </c>
      <c r="BK391" s="3535">
        <v>149.88963244702248</v>
      </c>
      <c r="BL391" s="3535">
        <v>107.24003326157168</v>
      </c>
      <c r="BM391" s="3535">
        <v>90.234406856514084</v>
      </c>
      <c r="BN391" s="3535">
        <v>92.897285276309574</v>
      </c>
      <c r="BO391" s="3535">
        <v>155.92811671640979</v>
      </c>
      <c r="BP391" s="3535">
        <v>84.773548696595327</v>
      </c>
      <c r="BQ391" s="3535">
        <v>166.28526571096168</v>
      </c>
      <c r="BR391" s="3535">
        <v>110.60401238438517</v>
      </c>
      <c r="BS391" s="3535">
        <v>323.64987892778282</v>
      </c>
      <c r="BT391" s="3535">
        <v>83.446007838948816</v>
      </c>
      <c r="BU391" s="3535">
        <v>156.60465091863404</v>
      </c>
      <c r="BV391" s="3535">
        <v>129.63843722359226</v>
      </c>
      <c r="BW391" s="3535">
        <v>227.38714033109682</v>
      </c>
      <c r="BX391" s="3535">
        <v>100.60798794792795</v>
      </c>
      <c r="BY391" s="3535">
        <v>110.46289141825761</v>
      </c>
      <c r="BZ391" s="3535">
        <v>158.42025325486841</v>
      </c>
      <c r="CA391" s="3535">
        <v>307.70257796128573</v>
      </c>
      <c r="CB391" s="3535">
        <v>210.78854214622811</v>
      </c>
      <c r="CC391" s="3535">
        <v>85.170582615941697</v>
      </c>
      <c r="CD391" s="3535">
        <v>146.42804537588742</v>
      </c>
      <c r="CE391" s="3535">
        <v>869.95022750485418</v>
      </c>
      <c r="CF391" s="3535">
        <v>71.031196721296496</v>
      </c>
      <c r="CG391" s="3535">
        <v>99.592307208488165</v>
      </c>
      <c r="CH391" s="3535">
        <v>100.46784174713582</v>
      </c>
      <c r="CI391" s="3535">
        <v>75.456894846373601</v>
      </c>
      <c r="CJ391" s="2978">
        <v>126.72872661122021</v>
      </c>
    </row>
    <row r="392" spans="1:88">
      <c r="A392" s="53">
        <f t="shared" si="0"/>
        <v>2025.11</v>
      </c>
      <c r="B392" s="615">
        <v>114.41581258295044</v>
      </c>
      <c r="C392" s="3535">
        <v>115.882990597313</v>
      </c>
      <c r="D392" s="358">
        <v>117.258743845932</v>
      </c>
      <c r="E392" s="615">
        <v>139.70868410079484</v>
      </c>
      <c r="F392" s="1215">
        <v>99.408532739507251</v>
      </c>
      <c r="G392" s="1215">
        <v>247.04506115334871</v>
      </c>
      <c r="H392" s="1215">
        <v>141.71176381581731</v>
      </c>
      <c r="I392" s="1215">
        <v>231.86503815953208</v>
      </c>
      <c r="J392" s="1215">
        <v>168.53671006729712</v>
      </c>
      <c r="K392" s="1215">
        <v>117.33844696326385</v>
      </c>
      <c r="L392" s="1215">
        <v>137.46324579954577</v>
      </c>
      <c r="M392" s="1215">
        <v>115.85475935905677</v>
      </c>
      <c r="N392" s="1215">
        <v>85.623323958103114</v>
      </c>
      <c r="O392" s="1215">
        <v>108.38313929434419</v>
      </c>
      <c r="P392" s="1215">
        <v>142.58250560583133</v>
      </c>
      <c r="Q392" s="1215">
        <v>106.70379502916994</v>
      </c>
      <c r="R392" s="2661">
        <v>201.65158966503952</v>
      </c>
      <c r="S392" s="3535">
        <v>49.957302828086426</v>
      </c>
      <c r="T392" s="3535">
        <v>0</v>
      </c>
      <c r="U392" s="3535">
        <v>73.932104719470033</v>
      </c>
      <c r="V392" s="3535">
        <v>46.109887624954467</v>
      </c>
      <c r="W392" s="3535">
        <v>9.4184627322815455</v>
      </c>
      <c r="X392" s="3535">
        <v>68.731417732824639</v>
      </c>
      <c r="Y392" s="3535">
        <v>42.584034507426637</v>
      </c>
      <c r="Z392" s="3535">
        <v>45.02471718409857</v>
      </c>
      <c r="AA392" s="3535">
        <v>78.311809371480095</v>
      </c>
      <c r="AB392" s="3535">
        <v>84.041188168908178</v>
      </c>
      <c r="AC392" s="3535">
        <v>27.255807161660385</v>
      </c>
      <c r="AD392" s="3535">
        <v>108.99165096463238</v>
      </c>
      <c r="AE392" s="3535">
        <v>102.79899071067709</v>
      </c>
      <c r="AF392" s="3535">
        <v>92.605894141430838</v>
      </c>
      <c r="AG392" s="3535">
        <v>115.08468263097524</v>
      </c>
      <c r="AH392" s="3535">
        <v>97.769932593622713</v>
      </c>
      <c r="AI392" s="3535">
        <v>125.26183326940617</v>
      </c>
      <c r="AJ392" s="3535">
        <v>162.983504277446</v>
      </c>
      <c r="AK392" s="3535">
        <v>118.98651721860006</v>
      </c>
      <c r="AL392" s="3535">
        <v>87.820160877753111</v>
      </c>
      <c r="AM392" s="3535">
        <v>50.801409216948421</v>
      </c>
      <c r="AN392" s="3535">
        <v>117.9734848812211</v>
      </c>
      <c r="AO392" s="3535">
        <v>134.16611726375683</v>
      </c>
      <c r="AP392" s="3535">
        <v>140.47235236737808</v>
      </c>
      <c r="AQ392" s="3535">
        <v>85.885886550835551</v>
      </c>
      <c r="AR392" s="3535">
        <v>64.079986987110445</v>
      </c>
      <c r="AS392" s="3535">
        <v>109.66299429882525</v>
      </c>
      <c r="AT392" s="3535">
        <v>82.653176735305337</v>
      </c>
      <c r="AU392" s="3535">
        <v>214.00141287532392</v>
      </c>
      <c r="AV392" s="3535">
        <v>149.13990069726574</v>
      </c>
      <c r="AW392" s="3535">
        <v>95.536755734674387</v>
      </c>
      <c r="AX392" s="3535">
        <v>91.375183513321673</v>
      </c>
      <c r="AY392" s="3535">
        <v>54.633093554502366</v>
      </c>
      <c r="AZ392" s="3535">
        <v>69.038684518782006</v>
      </c>
      <c r="BA392" s="3535">
        <v>101.3703216491155</v>
      </c>
      <c r="BB392" s="3535">
        <v>150.5013211674015</v>
      </c>
      <c r="BC392" s="3535">
        <v>146.39669525733615</v>
      </c>
      <c r="BD392" s="3535">
        <v>108.47005382723684</v>
      </c>
      <c r="BE392" s="3535">
        <v>162.58430316921874</v>
      </c>
      <c r="BF392" s="3535">
        <v>130.67754900899359</v>
      </c>
      <c r="BG392" s="3535">
        <v>205.2518441018282</v>
      </c>
      <c r="BH392" s="3535">
        <v>136.95448593419641</v>
      </c>
      <c r="BI392" s="3535">
        <v>89.010563445325559</v>
      </c>
      <c r="BJ392" s="3535">
        <v>77.206933049142947</v>
      </c>
      <c r="BK392" s="3535">
        <v>142.11305129781951</v>
      </c>
      <c r="BL392" s="3535">
        <v>94.355634755756284</v>
      </c>
      <c r="BM392" s="3535">
        <v>81.462642801475837</v>
      </c>
      <c r="BN392" s="3535">
        <v>85.605824017618346</v>
      </c>
      <c r="BO392" s="3535">
        <v>159.06450390749808</v>
      </c>
      <c r="BP392" s="3535">
        <v>74.671782545537837</v>
      </c>
      <c r="BQ392" s="3535">
        <v>133.14731332737543</v>
      </c>
      <c r="BR392" s="3535">
        <v>98.602741061198316</v>
      </c>
      <c r="BS392" s="3535">
        <v>235.28405385750034</v>
      </c>
      <c r="BT392" s="3535">
        <v>74.091999858607252</v>
      </c>
      <c r="BU392" s="3535">
        <v>129.8372354356313</v>
      </c>
      <c r="BV392" s="3535">
        <v>109.15836483735737</v>
      </c>
      <c r="BW392" s="3535">
        <v>186.21362838089411</v>
      </c>
      <c r="BX392" s="3535">
        <v>83.262711520789949</v>
      </c>
      <c r="BY392" s="3535">
        <v>100.95895616037684</v>
      </c>
      <c r="BZ392" s="3535">
        <v>130.85126217091474</v>
      </c>
      <c r="CA392" s="3535">
        <v>243.96708272642823</v>
      </c>
      <c r="CB392" s="3535">
        <v>164.35851534174461</v>
      </c>
      <c r="CC392" s="3535">
        <v>76.160154009064911</v>
      </c>
      <c r="CD392" s="3535">
        <v>132.05787501971182</v>
      </c>
      <c r="CE392" s="3535">
        <v>807.98535475515564</v>
      </c>
      <c r="CF392" s="3535">
        <v>61.620778341992676</v>
      </c>
      <c r="CG392" s="3535">
        <v>90.032729462705078</v>
      </c>
      <c r="CH392" s="3535">
        <v>90.459757707596296</v>
      </c>
      <c r="CI392" s="3535">
        <v>68.967153696021029</v>
      </c>
      <c r="CJ392" s="2978">
        <v>114.41581258295045</v>
      </c>
    </row>
    <row r="393" spans="1:88">
      <c r="A393" s="53">
        <f t="shared" si="0"/>
        <v>2025.12</v>
      </c>
      <c r="B393" s="615">
        <v>112.07909281584764</v>
      </c>
      <c r="C393" s="3535">
        <v>116.333297481408</v>
      </c>
      <c r="D393" s="358">
        <v>117.917524511067</v>
      </c>
      <c r="E393" s="615">
        <v>143.59937958161851</v>
      </c>
      <c r="F393" s="1215">
        <v>103.94742235162866</v>
      </c>
      <c r="G393" s="1215">
        <v>267.1963640400553</v>
      </c>
      <c r="H393" s="1215">
        <v>157.88774942848426</v>
      </c>
      <c r="I393" s="1215">
        <v>261.63915433385961</v>
      </c>
      <c r="J393" s="1215">
        <v>153.28758167521116</v>
      </c>
      <c r="K393" s="1215">
        <v>125.47981996200267</v>
      </c>
      <c r="L393" s="1215">
        <v>139.86057313062113</v>
      </c>
      <c r="M393" s="1215">
        <v>115.89652973297331</v>
      </c>
      <c r="N393" s="1215">
        <v>52.147212765058818</v>
      </c>
      <c r="O393" s="1215">
        <v>108.64688541930194</v>
      </c>
      <c r="P393" s="1215">
        <v>155.24539743509769</v>
      </c>
      <c r="Q393" s="1215">
        <v>106.22992931932065</v>
      </c>
      <c r="R393" s="2661">
        <v>218.84800932625927</v>
      </c>
      <c r="S393" s="3535">
        <v>42.844978849362384</v>
      </c>
      <c r="T393" s="3535">
        <v>0</v>
      </c>
      <c r="U393" s="3535">
        <v>63.406534854273104</v>
      </c>
      <c r="V393" s="3535">
        <v>45.582934608783631</v>
      </c>
      <c r="W393" s="3535">
        <v>13.967656197860249</v>
      </c>
      <c r="X393" s="3535">
        <v>55.978768744167965</v>
      </c>
      <c r="Y393" s="3535">
        <v>41.48312502307224</v>
      </c>
      <c r="Z393" s="3535">
        <v>50.240273655676944</v>
      </c>
      <c r="AA393" s="3535">
        <v>86.853633907310453</v>
      </c>
      <c r="AB393" s="3535">
        <v>100.29819296584895</v>
      </c>
      <c r="AC393" s="3535">
        <v>28.422311329421785</v>
      </c>
      <c r="AD393" s="3535">
        <v>92.701519222300718</v>
      </c>
      <c r="AE393" s="3535">
        <v>96.174111049874924</v>
      </c>
      <c r="AF393" s="3535">
        <v>81.64883023643543</v>
      </c>
      <c r="AG393" s="3535">
        <v>108.37427229850256</v>
      </c>
      <c r="AH393" s="3535">
        <v>94.142328359167905</v>
      </c>
      <c r="AI393" s="3535">
        <v>133.38129653920072</v>
      </c>
      <c r="AJ393" s="3535">
        <v>186.30903776942606</v>
      </c>
      <c r="AK393" s="3535">
        <v>125.36357646170342</v>
      </c>
      <c r="AL393" s="3535">
        <v>95.28499679198265</v>
      </c>
      <c r="AM393" s="3535">
        <v>39.427875278410241</v>
      </c>
      <c r="AN393" s="3535">
        <v>119.72540300234193</v>
      </c>
      <c r="AO393" s="3535">
        <v>130.6640959441996</v>
      </c>
      <c r="AP393" s="3535">
        <v>150.25963786149612</v>
      </c>
      <c r="AQ393" s="3535">
        <v>82.038710951813556</v>
      </c>
      <c r="AR393" s="3535">
        <v>82.462379610410323</v>
      </c>
      <c r="AS393" s="3535">
        <v>106.36243255472701</v>
      </c>
      <c r="AT393" s="3535">
        <v>82.782578494004923</v>
      </c>
      <c r="AU393" s="3535">
        <v>204.61942506862479</v>
      </c>
      <c r="AV393" s="3535">
        <v>128.07993620116244</v>
      </c>
      <c r="AW393" s="3535">
        <v>101.50301090164763</v>
      </c>
      <c r="AX393" s="3535">
        <v>77.102269140200505</v>
      </c>
      <c r="AY393" s="3535">
        <v>32.933992890995263</v>
      </c>
      <c r="AZ393" s="3535">
        <v>53.924844825588323</v>
      </c>
      <c r="BA393" s="3535">
        <v>88.649891319028839</v>
      </c>
      <c r="BB393" s="3535">
        <v>142.40381950999236</v>
      </c>
      <c r="BC393" s="3535">
        <v>157.41368868134003</v>
      </c>
      <c r="BD393" s="3535">
        <v>98.531092259606822</v>
      </c>
      <c r="BE393" s="3535">
        <v>154.2563436740744</v>
      </c>
      <c r="BF393" s="3535">
        <v>119.2722115343164</v>
      </c>
      <c r="BG393" s="3535">
        <v>179.26386963217087</v>
      </c>
      <c r="BH393" s="3535">
        <v>128.49497904981311</v>
      </c>
      <c r="BI393" s="3535">
        <v>85.734674810666363</v>
      </c>
      <c r="BJ393" s="3535">
        <v>74.387888520813902</v>
      </c>
      <c r="BK393" s="3535">
        <v>139.0393749303062</v>
      </c>
      <c r="BL393" s="3535">
        <v>88.636289908216838</v>
      </c>
      <c r="BM393" s="3535">
        <v>79.561498760473157</v>
      </c>
      <c r="BN393" s="3535">
        <v>87.001027597623832</v>
      </c>
      <c r="BO393" s="3535">
        <v>167.89119215544628</v>
      </c>
      <c r="BP393" s="3535">
        <v>70.903277687633221</v>
      </c>
      <c r="BQ393" s="3535">
        <v>132.76154208278717</v>
      </c>
      <c r="BR393" s="3535">
        <v>123.61507848997279</v>
      </c>
      <c r="BS393" s="3535">
        <v>203.24400048529907</v>
      </c>
      <c r="BT393" s="3535">
        <v>73.682592761885232</v>
      </c>
      <c r="BU393" s="3535">
        <v>111.27022810577867</v>
      </c>
      <c r="BV393" s="3535">
        <v>94.224279704892723</v>
      </c>
      <c r="BW393" s="3535">
        <v>114.86200762534615</v>
      </c>
      <c r="BX393" s="3535">
        <v>83.539714326955632</v>
      </c>
      <c r="BY393" s="3535">
        <v>100.64012212860308</v>
      </c>
      <c r="BZ393" s="3535">
        <v>106.87332430719675</v>
      </c>
      <c r="CA393" s="3535">
        <v>172.49509118008908</v>
      </c>
      <c r="CB393" s="3535">
        <v>134.87454908523264</v>
      </c>
      <c r="CC393" s="3535">
        <v>74.018642702887448</v>
      </c>
      <c r="CD393" s="3535">
        <v>118.11180419823451</v>
      </c>
      <c r="CE393" s="3535">
        <v>664.4334736397949</v>
      </c>
      <c r="CF393" s="3535">
        <v>61.180678594864212</v>
      </c>
      <c r="CG393" s="3535">
        <v>88.301200287256577</v>
      </c>
      <c r="CH393" s="3535">
        <v>80.848042537553368</v>
      </c>
      <c r="CI393" s="3535">
        <v>81.345685299029512</v>
      </c>
      <c r="CJ393" s="2978">
        <v>112.07909281584763</v>
      </c>
    </row>
    <row r="394" spans="1:88">
      <c r="A394" s="53">
        <f t="shared" si="0"/>
        <v>2026.01</v>
      </c>
      <c r="B394" s="615">
        <v>107.11364415170938</v>
      </c>
      <c r="C394" s="3535">
        <v>119.948112927807</v>
      </c>
      <c r="D394" s="358">
        <v>118.824998031004</v>
      </c>
      <c r="E394" s="615">
        <v>143.96470692311746</v>
      </c>
      <c r="F394" s="1215">
        <v>95.53409304756633</v>
      </c>
      <c r="G394" s="1215">
        <v>245.04920241987986</v>
      </c>
      <c r="H394" s="1215">
        <v>145.39034275744018</v>
      </c>
      <c r="I394" s="1215">
        <v>239.53951112017492</v>
      </c>
      <c r="J394" s="1215">
        <v>138.30424375841451</v>
      </c>
      <c r="K394" s="1215">
        <v>149.17742377641716</v>
      </c>
      <c r="L394" s="1215">
        <v>153.30791625459301</v>
      </c>
      <c r="M394" s="1215">
        <v>121.27289545465693</v>
      </c>
      <c r="N394" s="1215">
        <v>52.660514944428954</v>
      </c>
      <c r="O394" s="1215">
        <v>136.92915395278379</v>
      </c>
      <c r="P394" s="1215">
        <v>156.92233507917663</v>
      </c>
      <c r="Q394" s="1215">
        <v>84.486505997822661</v>
      </c>
      <c r="R394" s="2661">
        <v>229.88561591231195</v>
      </c>
      <c r="S394" s="3535">
        <v>113.99063466528526</v>
      </c>
      <c r="T394" s="3535">
        <v>182.45256960555173</v>
      </c>
      <c r="U394" s="3535">
        <v>81.135351565996416</v>
      </c>
      <c r="V394" s="3535">
        <v>35.27313449217295</v>
      </c>
      <c r="W394" s="3535">
        <v>9.9988303590828949</v>
      </c>
      <c r="X394" s="3535">
        <v>38.036504601867186</v>
      </c>
      <c r="Y394" s="3535">
        <v>34.944538556947307</v>
      </c>
      <c r="Z394" s="3535">
        <v>39.373399374150551</v>
      </c>
      <c r="AA394" s="3535">
        <v>57.342855100773122</v>
      </c>
      <c r="AB394" s="3535">
        <v>62.284448656792726</v>
      </c>
      <c r="AC394" s="3535">
        <v>24.450462672821295</v>
      </c>
      <c r="AD394" s="3535">
        <v>71.794988478987904</v>
      </c>
      <c r="AE394" s="3535">
        <v>100.45045400900452</v>
      </c>
      <c r="AF394" s="3535">
        <v>74.971248483860194</v>
      </c>
      <c r="AG394" s="3535">
        <v>106.72963263769087</v>
      </c>
      <c r="AH394" s="3535">
        <v>111.51667219562214</v>
      </c>
      <c r="AI394" s="3535">
        <v>131.19188297800892</v>
      </c>
      <c r="AJ394" s="3535">
        <v>177.2032495407374</v>
      </c>
      <c r="AK394" s="3535">
        <v>123.48593998210768</v>
      </c>
      <c r="AL394" s="3535">
        <v>88.524398608496455</v>
      </c>
      <c r="AM394" s="3535">
        <v>43.439307729148872</v>
      </c>
      <c r="AN394" s="3535">
        <v>121.80408029478079</v>
      </c>
      <c r="AO394" s="3535">
        <v>139.53329558841421</v>
      </c>
      <c r="AP394" s="3535">
        <v>142.91133093833787</v>
      </c>
      <c r="AQ394" s="3535">
        <v>80.513402853223752</v>
      </c>
      <c r="AR394" s="3535">
        <v>97.109297248018862</v>
      </c>
      <c r="AS394" s="3535">
        <v>96.64460529484694</v>
      </c>
      <c r="AT394" s="3535">
        <v>81.550375437169521</v>
      </c>
      <c r="AU394" s="3535">
        <v>213.07978206664035</v>
      </c>
      <c r="AV394" s="3535">
        <v>166.24238690017961</v>
      </c>
      <c r="AW394" s="3535">
        <v>107.1122022543058</v>
      </c>
      <c r="AX394" s="3535">
        <v>83.69406315910922</v>
      </c>
      <c r="AY394" s="3535">
        <v>36.220402630331748</v>
      </c>
      <c r="AZ394" s="3535">
        <v>69.354693005979584</v>
      </c>
      <c r="BA394" s="3535">
        <v>94.759852798744433</v>
      </c>
      <c r="BB394" s="3535">
        <v>127.20366830356183</v>
      </c>
      <c r="BC394" s="3535">
        <v>125.54220538093736</v>
      </c>
      <c r="BD394" s="3535">
        <v>69.95682413144111</v>
      </c>
      <c r="BE394" s="3535">
        <v>140.37935326863408</v>
      </c>
      <c r="BF394" s="3535">
        <v>122.12618513232793</v>
      </c>
      <c r="BG394" s="3535">
        <v>193.36033250031613</v>
      </c>
      <c r="BH394" s="3535">
        <v>119.03029542152007</v>
      </c>
      <c r="BI394" s="3535">
        <v>84.089086981021325</v>
      </c>
      <c r="BJ394" s="3535">
        <v>72.335166736847626</v>
      </c>
      <c r="BK394" s="3535">
        <v>151.00490548897764</v>
      </c>
      <c r="BL394" s="3535">
        <v>75.504589582471539</v>
      </c>
      <c r="BM394" s="3535">
        <v>79.203862844130157</v>
      </c>
      <c r="BN394" s="3535">
        <v>87.337954012604825</v>
      </c>
      <c r="BO394" s="3535">
        <v>171.82624800632126</v>
      </c>
      <c r="BP394" s="3535">
        <v>70.011327938150927</v>
      </c>
      <c r="BQ394" s="3535">
        <v>88.204515395252656</v>
      </c>
      <c r="BR394" s="3535">
        <v>91.313716569700475</v>
      </c>
      <c r="BS394" s="3535">
        <v>96.580866199804021</v>
      </c>
      <c r="BT394" s="3535">
        <v>62.717156028375385</v>
      </c>
      <c r="BU394" s="3535">
        <v>100.45171819000203</v>
      </c>
      <c r="BV394" s="3535">
        <v>75.667953086291021</v>
      </c>
      <c r="BW394" s="3535">
        <v>59.913870202225894</v>
      </c>
      <c r="BX394" s="3535">
        <v>70.04303429297731</v>
      </c>
      <c r="BY394" s="3535">
        <v>102.4278049445446</v>
      </c>
      <c r="BZ394" s="3535">
        <v>70.520041792478693</v>
      </c>
      <c r="CA394" s="3535">
        <v>125.97279606737861</v>
      </c>
      <c r="CB394" s="3535">
        <v>78.228398309993224</v>
      </c>
      <c r="CC394" s="3535">
        <v>44.856034671367709</v>
      </c>
      <c r="CD394" s="3535">
        <v>114.17506697324836</v>
      </c>
      <c r="CE394" s="3535">
        <v>671.6441119455709</v>
      </c>
      <c r="CF394" s="3535">
        <v>56.08229490409083</v>
      </c>
      <c r="CG394" s="3535">
        <v>80.11622537620805</v>
      </c>
      <c r="CH394" s="3535">
        <v>80.890122629165404</v>
      </c>
      <c r="CI394" s="3535">
        <v>56.272180031368968</v>
      </c>
      <c r="CJ394" s="2978">
        <v>107.11364415170941</v>
      </c>
    </row>
    <row r="395" spans="1:88">
      <c r="A395" s="53">
        <f t="shared" si="0"/>
        <v>2026.02</v>
      </c>
      <c r="B395" s="615" t="e">
        <v>#N/A</v>
      </c>
      <c r="C395" s="3535" t="e">
        <v>#N/A</v>
      </c>
      <c r="D395" s="358" t="e">
        <v>#N/A</v>
      </c>
      <c r="E395" s="615" t="e">
        <v>#N/A</v>
      </c>
      <c r="F395" s="1215" t="e">
        <v>#N/A</v>
      </c>
      <c r="G395" s="1215" t="e">
        <v>#N/A</v>
      </c>
      <c r="H395" s="1215" t="e">
        <v>#N/A</v>
      </c>
      <c r="I395" s="1215" t="e">
        <v>#N/A</v>
      </c>
      <c r="J395" s="1215" t="e">
        <v>#N/A</v>
      </c>
      <c r="K395" s="1215" t="e">
        <v>#N/A</v>
      </c>
      <c r="L395" s="1215" t="e">
        <v>#N/A</v>
      </c>
      <c r="M395" s="1215" t="e">
        <v>#N/A</v>
      </c>
      <c r="N395" s="1215" t="e">
        <v>#N/A</v>
      </c>
      <c r="O395" s="1215" t="e">
        <v>#N/A</v>
      </c>
      <c r="P395" s="1215" t="e">
        <v>#N/A</v>
      </c>
      <c r="Q395" s="1215" t="e">
        <v>#N/A</v>
      </c>
      <c r="R395" s="2661" t="e">
        <v>#N/A</v>
      </c>
      <c r="S395" s="3535" t="e">
        <v>#N/A</v>
      </c>
      <c r="T395" s="3535" t="e">
        <v>#N/A</v>
      </c>
      <c r="U395" s="3535" t="e">
        <v>#N/A</v>
      </c>
      <c r="V395" s="3535" t="e">
        <v>#N/A</v>
      </c>
      <c r="W395" s="3535" t="e">
        <v>#N/A</v>
      </c>
      <c r="X395" s="3535" t="e">
        <v>#N/A</v>
      </c>
      <c r="Y395" s="3535" t="e">
        <v>#N/A</v>
      </c>
      <c r="Z395" s="3535" t="e">
        <v>#N/A</v>
      </c>
      <c r="AA395" s="3535" t="e">
        <v>#N/A</v>
      </c>
      <c r="AB395" s="3535" t="e">
        <v>#N/A</v>
      </c>
      <c r="AC395" s="3535" t="e">
        <v>#N/A</v>
      </c>
      <c r="AD395" s="3535" t="e">
        <v>#N/A</v>
      </c>
      <c r="AE395" s="3535" t="e">
        <v>#N/A</v>
      </c>
      <c r="AF395" s="3535" t="e">
        <v>#N/A</v>
      </c>
      <c r="AG395" s="3535" t="e">
        <v>#N/A</v>
      </c>
      <c r="AH395" s="3535" t="e">
        <v>#N/A</v>
      </c>
      <c r="AI395" s="3535" t="e">
        <v>#N/A</v>
      </c>
      <c r="AJ395" s="3535" t="e">
        <v>#N/A</v>
      </c>
      <c r="AK395" s="3535" t="e">
        <v>#N/A</v>
      </c>
      <c r="AL395" s="3535" t="e">
        <v>#N/A</v>
      </c>
      <c r="AM395" s="3535" t="e">
        <v>#N/A</v>
      </c>
      <c r="AN395" s="3535" t="e">
        <v>#N/A</v>
      </c>
      <c r="AO395" s="3535" t="e">
        <v>#N/A</v>
      </c>
      <c r="AP395" s="3535" t="e">
        <v>#N/A</v>
      </c>
      <c r="AQ395" s="3535" t="e">
        <v>#N/A</v>
      </c>
      <c r="AR395" s="3535" t="e">
        <v>#N/A</v>
      </c>
      <c r="AS395" s="3535" t="e">
        <v>#N/A</v>
      </c>
      <c r="AT395" s="3535" t="e">
        <v>#N/A</v>
      </c>
      <c r="AU395" s="3535" t="e">
        <v>#N/A</v>
      </c>
      <c r="AV395" s="3535" t="e">
        <v>#N/A</v>
      </c>
      <c r="AW395" s="3535" t="e">
        <v>#N/A</v>
      </c>
      <c r="AX395" s="3535" t="e">
        <v>#N/A</v>
      </c>
      <c r="AY395" s="3535" t="e">
        <v>#N/A</v>
      </c>
      <c r="AZ395" s="3535" t="e">
        <v>#N/A</v>
      </c>
      <c r="BA395" s="3535" t="e">
        <v>#N/A</v>
      </c>
      <c r="BB395" s="3535" t="e">
        <v>#N/A</v>
      </c>
      <c r="BC395" s="3535" t="e">
        <v>#N/A</v>
      </c>
      <c r="BD395" s="3535" t="e">
        <v>#N/A</v>
      </c>
      <c r="BE395" s="3535" t="e">
        <v>#N/A</v>
      </c>
      <c r="BF395" s="3535" t="e">
        <v>#N/A</v>
      </c>
      <c r="BG395" s="3535" t="e">
        <v>#N/A</v>
      </c>
      <c r="BH395" s="3535" t="e">
        <v>#N/A</v>
      </c>
      <c r="BI395" s="3535" t="e">
        <v>#N/A</v>
      </c>
      <c r="BJ395" s="3535" t="e">
        <v>#N/A</v>
      </c>
      <c r="BK395" s="3535" t="e">
        <v>#N/A</v>
      </c>
      <c r="BL395" s="3535" t="e">
        <v>#N/A</v>
      </c>
      <c r="BM395" s="3535" t="e">
        <v>#N/A</v>
      </c>
      <c r="BN395" s="3535" t="e">
        <v>#N/A</v>
      </c>
      <c r="BO395" s="3535" t="e">
        <v>#N/A</v>
      </c>
      <c r="BP395" s="3535" t="e">
        <v>#N/A</v>
      </c>
      <c r="BQ395" s="3535" t="e">
        <v>#N/A</v>
      </c>
      <c r="BR395" s="3535" t="e">
        <v>#N/A</v>
      </c>
      <c r="BS395" s="3535" t="e">
        <v>#N/A</v>
      </c>
      <c r="BT395" s="3535" t="e">
        <v>#N/A</v>
      </c>
      <c r="BU395" s="3535" t="e">
        <v>#N/A</v>
      </c>
      <c r="BV395" s="3535" t="e">
        <v>#N/A</v>
      </c>
      <c r="BW395" s="3535" t="e">
        <v>#N/A</v>
      </c>
      <c r="BX395" s="3535" t="e">
        <v>#N/A</v>
      </c>
      <c r="BY395" s="3535" t="e">
        <v>#N/A</v>
      </c>
      <c r="BZ395" s="3535" t="e">
        <v>#N/A</v>
      </c>
      <c r="CA395" s="3535" t="e">
        <v>#N/A</v>
      </c>
      <c r="CB395" s="3535" t="e">
        <v>#N/A</v>
      </c>
      <c r="CC395" s="3535" t="e">
        <v>#N/A</v>
      </c>
      <c r="CD395" s="3535" t="e">
        <v>#N/A</v>
      </c>
      <c r="CE395" s="3535" t="e">
        <v>#N/A</v>
      </c>
      <c r="CF395" s="3535" t="e">
        <v>#N/A</v>
      </c>
      <c r="CG395" s="3535" t="e">
        <v>#N/A</v>
      </c>
      <c r="CH395" s="3535" t="e">
        <v>#N/A</v>
      </c>
      <c r="CI395" s="3535" t="e">
        <v>#N/A</v>
      </c>
      <c r="CJ395" s="2978" t="e">
        <v>#N/A</v>
      </c>
    </row>
    <row r="396" spans="1:88">
      <c r="A396" s="53">
        <f t="shared" si="0"/>
        <v>2026.03</v>
      </c>
      <c r="B396" s="615" t="e">
        <v>#N/A</v>
      </c>
      <c r="C396" s="3535" t="e">
        <v>#N/A</v>
      </c>
      <c r="D396" s="358" t="e">
        <v>#N/A</v>
      </c>
      <c r="E396" s="615" t="e">
        <v>#N/A</v>
      </c>
      <c r="F396" s="1215" t="e">
        <v>#N/A</v>
      </c>
      <c r="G396" s="1215" t="e">
        <v>#N/A</v>
      </c>
      <c r="H396" s="1215" t="e">
        <v>#N/A</v>
      </c>
      <c r="I396" s="1215" t="e">
        <v>#N/A</v>
      </c>
      <c r="J396" s="1215" t="e">
        <v>#N/A</v>
      </c>
      <c r="K396" s="1215" t="e">
        <v>#N/A</v>
      </c>
      <c r="L396" s="1215" t="e">
        <v>#N/A</v>
      </c>
      <c r="M396" s="1215" t="e">
        <v>#N/A</v>
      </c>
      <c r="N396" s="1215" t="e">
        <v>#N/A</v>
      </c>
      <c r="O396" s="1215" t="e">
        <v>#N/A</v>
      </c>
      <c r="P396" s="1215" t="e">
        <v>#N/A</v>
      </c>
      <c r="Q396" s="1215" t="e">
        <v>#N/A</v>
      </c>
      <c r="R396" s="2661" t="e">
        <v>#N/A</v>
      </c>
      <c r="S396" s="3535" t="e">
        <v>#N/A</v>
      </c>
      <c r="T396" s="3535" t="e">
        <v>#N/A</v>
      </c>
      <c r="U396" s="3535" t="e">
        <v>#N/A</v>
      </c>
      <c r="V396" s="3535" t="e">
        <v>#N/A</v>
      </c>
      <c r="W396" s="3535" t="e">
        <v>#N/A</v>
      </c>
      <c r="X396" s="3535" t="e">
        <v>#N/A</v>
      </c>
      <c r="Y396" s="3535" t="e">
        <v>#N/A</v>
      </c>
      <c r="Z396" s="3535" t="e">
        <v>#N/A</v>
      </c>
      <c r="AA396" s="3535" t="e">
        <v>#N/A</v>
      </c>
      <c r="AB396" s="3535" t="e">
        <v>#N/A</v>
      </c>
      <c r="AC396" s="3535" t="e">
        <v>#N/A</v>
      </c>
      <c r="AD396" s="3535" t="e">
        <v>#N/A</v>
      </c>
      <c r="AE396" s="3535" t="e">
        <v>#N/A</v>
      </c>
      <c r="AF396" s="3535" t="e">
        <v>#N/A</v>
      </c>
      <c r="AG396" s="3535" t="e">
        <v>#N/A</v>
      </c>
      <c r="AH396" s="3535" t="e">
        <v>#N/A</v>
      </c>
      <c r="AI396" s="3535" t="e">
        <v>#N/A</v>
      </c>
      <c r="AJ396" s="3535" t="e">
        <v>#N/A</v>
      </c>
      <c r="AK396" s="3535" t="e">
        <v>#N/A</v>
      </c>
      <c r="AL396" s="3535" t="e">
        <v>#N/A</v>
      </c>
      <c r="AM396" s="3535" t="e">
        <v>#N/A</v>
      </c>
      <c r="AN396" s="3535" t="e">
        <v>#N/A</v>
      </c>
      <c r="AO396" s="3535" t="e">
        <v>#N/A</v>
      </c>
      <c r="AP396" s="3535" t="e">
        <v>#N/A</v>
      </c>
      <c r="AQ396" s="3535" t="e">
        <v>#N/A</v>
      </c>
      <c r="AR396" s="3535" t="e">
        <v>#N/A</v>
      </c>
      <c r="AS396" s="3535" t="e">
        <v>#N/A</v>
      </c>
      <c r="AT396" s="3535" t="e">
        <v>#N/A</v>
      </c>
      <c r="AU396" s="3535" t="e">
        <v>#N/A</v>
      </c>
      <c r="AV396" s="3535" t="e">
        <v>#N/A</v>
      </c>
      <c r="AW396" s="3535" t="e">
        <v>#N/A</v>
      </c>
      <c r="AX396" s="3535" t="e">
        <v>#N/A</v>
      </c>
      <c r="AY396" s="3535" t="e">
        <v>#N/A</v>
      </c>
      <c r="AZ396" s="3535" t="e">
        <v>#N/A</v>
      </c>
      <c r="BA396" s="3535" t="e">
        <v>#N/A</v>
      </c>
      <c r="BB396" s="3535" t="e">
        <v>#N/A</v>
      </c>
      <c r="BC396" s="3535" t="e">
        <v>#N/A</v>
      </c>
      <c r="BD396" s="3535" t="e">
        <v>#N/A</v>
      </c>
      <c r="BE396" s="3535" t="e">
        <v>#N/A</v>
      </c>
      <c r="BF396" s="3535" t="e">
        <v>#N/A</v>
      </c>
      <c r="BG396" s="3535" t="e">
        <v>#N/A</v>
      </c>
      <c r="BH396" s="3535" t="e">
        <v>#N/A</v>
      </c>
      <c r="BI396" s="3535" t="e">
        <v>#N/A</v>
      </c>
      <c r="BJ396" s="3535" t="e">
        <v>#N/A</v>
      </c>
      <c r="BK396" s="3535" t="e">
        <v>#N/A</v>
      </c>
      <c r="BL396" s="3535" t="e">
        <v>#N/A</v>
      </c>
      <c r="BM396" s="3535" t="e">
        <v>#N/A</v>
      </c>
      <c r="BN396" s="3535" t="e">
        <v>#N/A</v>
      </c>
      <c r="BO396" s="3535" t="e">
        <v>#N/A</v>
      </c>
      <c r="BP396" s="3535" t="e">
        <v>#N/A</v>
      </c>
      <c r="BQ396" s="3535" t="e">
        <v>#N/A</v>
      </c>
      <c r="BR396" s="3535" t="e">
        <v>#N/A</v>
      </c>
      <c r="BS396" s="3535" t="e">
        <v>#N/A</v>
      </c>
      <c r="BT396" s="3535" t="e">
        <v>#N/A</v>
      </c>
      <c r="BU396" s="3535" t="e">
        <v>#N/A</v>
      </c>
      <c r="BV396" s="3535" t="e">
        <v>#N/A</v>
      </c>
      <c r="BW396" s="3535" t="e">
        <v>#N/A</v>
      </c>
      <c r="BX396" s="3535" t="e">
        <v>#N/A</v>
      </c>
      <c r="BY396" s="3535" t="e">
        <v>#N/A</v>
      </c>
      <c r="BZ396" s="3535" t="e">
        <v>#N/A</v>
      </c>
      <c r="CA396" s="3535" t="e">
        <v>#N/A</v>
      </c>
      <c r="CB396" s="3535" t="e">
        <v>#N/A</v>
      </c>
      <c r="CC396" s="3535" t="e">
        <v>#N/A</v>
      </c>
      <c r="CD396" s="3535" t="e">
        <v>#N/A</v>
      </c>
      <c r="CE396" s="3535" t="e">
        <v>#N/A</v>
      </c>
      <c r="CF396" s="3535" t="e">
        <v>#N/A</v>
      </c>
      <c r="CG396" s="3535" t="e">
        <v>#N/A</v>
      </c>
      <c r="CH396" s="3535" t="e">
        <v>#N/A</v>
      </c>
      <c r="CI396" s="3535" t="e">
        <v>#N/A</v>
      </c>
      <c r="CJ396" s="2978" t="e">
        <v>#N/A</v>
      </c>
    </row>
    <row r="397" spans="1:88">
      <c r="A397" s="53">
        <f t="shared" si="0"/>
        <v>2026.04</v>
      </c>
      <c r="B397" s="615" t="e">
        <v>#N/A</v>
      </c>
      <c r="C397" s="3535" t="e">
        <v>#N/A</v>
      </c>
      <c r="D397" s="358" t="e">
        <v>#N/A</v>
      </c>
      <c r="E397" s="615" t="e">
        <v>#N/A</v>
      </c>
      <c r="F397" s="1215" t="e">
        <v>#N/A</v>
      </c>
      <c r="G397" s="1215" t="e">
        <v>#N/A</v>
      </c>
      <c r="H397" s="1215" t="e">
        <v>#N/A</v>
      </c>
      <c r="I397" s="1215" t="e">
        <v>#N/A</v>
      </c>
      <c r="J397" s="1215" t="e">
        <v>#N/A</v>
      </c>
      <c r="K397" s="1215" t="e">
        <v>#N/A</v>
      </c>
      <c r="L397" s="1215" t="e">
        <v>#N/A</v>
      </c>
      <c r="M397" s="1215" t="e">
        <v>#N/A</v>
      </c>
      <c r="N397" s="1215" t="e">
        <v>#N/A</v>
      </c>
      <c r="O397" s="1215" t="e">
        <v>#N/A</v>
      </c>
      <c r="P397" s="1215" t="e">
        <v>#N/A</v>
      </c>
      <c r="Q397" s="1215" t="e">
        <v>#N/A</v>
      </c>
      <c r="R397" s="2661" t="e">
        <v>#N/A</v>
      </c>
      <c r="S397" s="3535" t="e">
        <v>#N/A</v>
      </c>
      <c r="T397" s="3535" t="e">
        <v>#N/A</v>
      </c>
      <c r="U397" s="3535" t="e">
        <v>#N/A</v>
      </c>
      <c r="V397" s="3535" t="e">
        <v>#N/A</v>
      </c>
      <c r="W397" s="3535" t="e">
        <v>#N/A</v>
      </c>
      <c r="X397" s="3535" t="e">
        <v>#N/A</v>
      </c>
      <c r="Y397" s="3535" t="e">
        <v>#N/A</v>
      </c>
      <c r="Z397" s="3535" t="e">
        <v>#N/A</v>
      </c>
      <c r="AA397" s="3535" t="e">
        <v>#N/A</v>
      </c>
      <c r="AB397" s="3535" t="e">
        <v>#N/A</v>
      </c>
      <c r="AC397" s="3535" t="e">
        <v>#N/A</v>
      </c>
      <c r="AD397" s="3535" t="e">
        <v>#N/A</v>
      </c>
      <c r="AE397" s="3535" t="e">
        <v>#N/A</v>
      </c>
      <c r="AF397" s="3535" t="e">
        <v>#N/A</v>
      </c>
      <c r="AG397" s="3535" t="e">
        <v>#N/A</v>
      </c>
      <c r="AH397" s="3535" t="e">
        <v>#N/A</v>
      </c>
      <c r="AI397" s="3535" t="e">
        <v>#N/A</v>
      </c>
      <c r="AJ397" s="3535" t="e">
        <v>#N/A</v>
      </c>
      <c r="AK397" s="3535" t="e">
        <v>#N/A</v>
      </c>
      <c r="AL397" s="3535" t="e">
        <v>#N/A</v>
      </c>
      <c r="AM397" s="3535" t="e">
        <v>#N/A</v>
      </c>
      <c r="AN397" s="3535" t="e">
        <v>#N/A</v>
      </c>
      <c r="AO397" s="3535" t="e">
        <v>#N/A</v>
      </c>
      <c r="AP397" s="3535" t="e">
        <v>#N/A</v>
      </c>
      <c r="AQ397" s="3535" t="e">
        <v>#N/A</v>
      </c>
      <c r="AR397" s="3535" t="e">
        <v>#N/A</v>
      </c>
      <c r="AS397" s="3535" t="e">
        <v>#N/A</v>
      </c>
      <c r="AT397" s="3535" t="e">
        <v>#N/A</v>
      </c>
      <c r="AU397" s="3535" t="e">
        <v>#N/A</v>
      </c>
      <c r="AV397" s="3535" t="e">
        <v>#N/A</v>
      </c>
      <c r="AW397" s="3535" t="e">
        <v>#N/A</v>
      </c>
      <c r="AX397" s="3535" t="e">
        <v>#N/A</v>
      </c>
      <c r="AY397" s="3535" t="e">
        <v>#N/A</v>
      </c>
      <c r="AZ397" s="3535" t="e">
        <v>#N/A</v>
      </c>
      <c r="BA397" s="3535" t="e">
        <v>#N/A</v>
      </c>
      <c r="BB397" s="3535" t="e">
        <v>#N/A</v>
      </c>
      <c r="BC397" s="3535" t="e">
        <v>#N/A</v>
      </c>
      <c r="BD397" s="3535" t="e">
        <v>#N/A</v>
      </c>
      <c r="BE397" s="3535" t="e">
        <v>#N/A</v>
      </c>
      <c r="BF397" s="3535" t="e">
        <v>#N/A</v>
      </c>
      <c r="BG397" s="3535" t="e">
        <v>#N/A</v>
      </c>
      <c r="BH397" s="3535" t="e">
        <v>#N/A</v>
      </c>
      <c r="BI397" s="3535" t="e">
        <v>#N/A</v>
      </c>
      <c r="BJ397" s="3535" t="e">
        <v>#N/A</v>
      </c>
      <c r="BK397" s="3535" t="e">
        <v>#N/A</v>
      </c>
      <c r="BL397" s="3535" t="e">
        <v>#N/A</v>
      </c>
      <c r="BM397" s="3535" t="e">
        <v>#N/A</v>
      </c>
      <c r="BN397" s="3535" t="e">
        <v>#N/A</v>
      </c>
      <c r="BO397" s="3535" t="e">
        <v>#N/A</v>
      </c>
      <c r="BP397" s="3535" t="e">
        <v>#N/A</v>
      </c>
      <c r="BQ397" s="3535" t="e">
        <v>#N/A</v>
      </c>
      <c r="BR397" s="3535" t="e">
        <v>#N/A</v>
      </c>
      <c r="BS397" s="3535" t="e">
        <v>#N/A</v>
      </c>
      <c r="BT397" s="3535" t="e">
        <v>#N/A</v>
      </c>
      <c r="BU397" s="3535" t="e">
        <v>#N/A</v>
      </c>
      <c r="BV397" s="3535" t="e">
        <v>#N/A</v>
      </c>
      <c r="BW397" s="3535" t="e">
        <v>#N/A</v>
      </c>
      <c r="BX397" s="3535" t="e">
        <v>#N/A</v>
      </c>
      <c r="BY397" s="3535" t="e">
        <v>#N/A</v>
      </c>
      <c r="BZ397" s="3535" t="e">
        <v>#N/A</v>
      </c>
      <c r="CA397" s="3535" t="e">
        <v>#N/A</v>
      </c>
      <c r="CB397" s="3535" t="e">
        <v>#N/A</v>
      </c>
      <c r="CC397" s="3535" t="e">
        <v>#N/A</v>
      </c>
      <c r="CD397" s="3535" t="e">
        <v>#N/A</v>
      </c>
      <c r="CE397" s="3535" t="e">
        <v>#N/A</v>
      </c>
      <c r="CF397" s="3535" t="e">
        <v>#N/A</v>
      </c>
      <c r="CG397" s="3535" t="e">
        <v>#N/A</v>
      </c>
      <c r="CH397" s="3535" t="e">
        <v>#N/A</v>
      </c>
      <c r="CI397" s="3535" t="e">
        <v>#N/A</v>
      </c>
      <c r="CJ397" s="2978" t="e">
        <v>#N/A</v>
      </c>
    </row>
    <row r="398" spans="1:88">
      <c r="A398" s="53">
        <f t="shared" si="0"/>
        <v>2026.05</v>
      </c>
      <c r="B398" s="615" t="e">
        <v>#N/A</v>
      </c>
      <c r="C398" s="3535" t="e">
        <v>#N/A</v>
      </c>
      <c r="D398" s="358" t="e">
        <v>#N/A</v>
      </c>
      <c r="E398" s="615" t="e">
        <v>#N/A</v>
      </c>
      <c r="F398" s="1215" t="e">
        <v>#N/A</v>
      </c>
      <c r="G398" s="1215" t="e">
        <v>#N/A</v>
      </c>
      <c r="H398" s="1215" t="e">
        <v>#N/A</v>
      </c>
      <c r="I398" s="1215" t="e">
        <v>#N/A</v>
      </c>
      <c r="J398" s="1215" t="e">
        <v>#N/A</v>
      </c>
      <c r="K398" s="1215" t="e">
        <v>#N/A</v>
      </c>
      <c r="L398" s="1215" t="e">
        <v>#N/A</v>
      </c>
      <c r="M398" s="1215" t="e">
        <v>#N/A</v>
      </c>
      <c r="N398" s="1215" t="e">
        <v>#N/A</v>
      </c>
      <c r="O398" s="1215" t="e">
        <v>#N/A</v>
      </c>
      <c r="P398" s="1215" t="e">
        <v>#N/A</v>
      </c>
      <c r="Q398" s="1215" t="e">
        <v>#N/A</v>
      </c>
      <c r="R398" s="2661" t="e">
        <v>#N/A</v>
      </c>
      <c r="S398" s="3535" t="e">
        <v>#N/A</v>
      </c>
      <c r="T398" s="3535" t="e">
        <v>#N/A</v>
      </c>
      <c r="U398" s="3535" t="e">
        <v>#N/A</v>
      </c>
      <c r="V398" s="3535" t="e">
        <v>#N/A</v>
      </c>
      <c r="W398" s="3535" t="e">
        <v>#N/A</v>
      </c>
      <c r="X398" s="3535" t="e">
        <v>#N/A</v>
      </c>
      <c r="Y398" s="3535" t="e">
        <v>#N/A</v>
      </c>
      <c r="Z398" s="3535" t="e">
        <v>#N/A</v>
      </c>
      <c r="AA398" s="3535" t="e">
        <v>#N/A</v>
      </c>
      <c r="AB398" s="3535" t="e">
        <v>#N/A</v>
      </c>
      <c r="AC398" s="3535" t="e">
        <v>#N/A</v>
      </c>
      <c r="AD398" s="3535" t="e">
        <v>#N/A</v>
      </c>
      <c r="AE398" s="3535" t="e">
        <v>#N/A</v>
      </c>
      <c r="AF398" s="3535" t="e">
        <v>#N/A</v>
      </c>
      <c r="AG398" s="3535" t="e">
        <v>#N/A</v>
      </c>
      <c r="AH398" s="3535" t="e">
        <v>#N/A</v>
      </c>
      <c r="AI398" s="3535" t="e">
        <v>#N/A</v>
      </c>
      <c r="AJ398" s="3535" t="e">
        <v>#N/A</v>
      </c>
      <c r="AK398" s="3535" t="e">
        <v>#N/A</v>
      </c>
      <c r="AL398" s="3535" t="e">
        <v>#N/A</v>
      </c>
      <c r="AM398" s="3535" t="e">
        <v>#N/A</v>
      </c>
      <c r="AN398" s="3535" t="e">
        <v>#N/A</v>
      </c>
      <c r="AO398" s="3535" t="e">
        <v>#N/A</v>
      </c>
      <c r="AP398" s="3535" t="e">
        <v>#N/A</v>
      </c>
      <c r="AQ398" s="3535" t="e">
        <v>#N/A</v>
      </c>
      <c r="AR398" s="3535" t="e">
        <v>#N/A</v>
      </c>
      <c r="AS398" s="3535" t="e">
        <v>#N/A</v>
      </c>
      <c r="AT398" s="3535" t="e">
        <v>#N/A</v>
      </c>
      <c r="AU398" s="3535" t="e">
        <v>#N/A</v>
      </c>
      <c r="AV398" s="3535" t="e">
        <v>#N/A</v>
      </c>
      <c r="AW398" s="3535" t="e">
        <v>#N/A</v>
      </c>
      <c r="AX398" s="3535" t="e">
        <v>#N/A</v>
      </c>
      <c r="AY398" s="3535" t="e">
        <v>#N/A</v>
      </c>
      <c r="AZ398" s="3535" t="e">
        <v>#N/A</v>
      </c>
      <c r="BA398" s="3535" t="e">
        <v>#N/A</v>
      </c>
      <c r="BB398" s="3535" t="e">
        <v>#N/A</v>
      </c>
      <c r="BC398" s="3535" t="e">
        <v>#N/A</v>
      </c>
      <c r="BD398" s="3535" t="e">
        <v>#N/A</v>
      </c>
      <c r="BE398" s="3535" t="e">
        <v>#N/A</v>
      </c>
      <c r="BF398" s="3535" t="e">
        <v>#N/A</v>
      </c>
      <c r="BG398" s="3535" t="e">
        <v>#N/A</v>
      </c>
      <c r="BH398" s="3535" t="e">
        <v>#N/A</v>
      </c>
      <c r="BI398" s="3535" t="e">
        <v>#N/A</v>
      </c>
      <c r="BJ398" s="3535" t="e">
        <v>#N/A</v>
      </c>
      <c r="BK398" s="3535" t="e">
        <v>#N/A</v>
      </c>
      <c r="BL398" s="3535" t="e">
        <v>#N/A</v>
      </c>
      <c r="BM398" s="3535" t="e">
        <v>#N/A</v>
      </c>
      <c r="BN398" s="3535" t="e">
        <v>#N/A</v>
      </c>
      <c r="BO398" s="3535" t="e">
        <v>#N/A</v>
      </c>
      <c r="BP398" s="3535" t="e">
        <v>#N/A</v>
      </c>
      <c r="BQ398" s="3535" t="e">
        <v>#N/A</v>
      </c>
      <c r="BR398" s="3535" t="e">
        <v>#N/A</v>
      </c>
      <c r="BS398" s="3535" t="e">
        <v>#N/A</v>
      </c>
      <c r="BT398" s="3535" t="e">
        <v>#N/A</v>
      </c>
      <c r="BU398" s="3535" t="e">
        <v>#N/A</v>
      </c>
      <c r="BV398" s="3535" t="e">
        <v>#N/A</v>
      </c>
      <c r="BW398" s="3535" t="e">
        <v>#N/A</v>
      </c>
      <c r="BX398" s="3535" t="e">
        <v>#N/A</v>
      </c>
      <c r="BY398" s="3535" t="e">
        <v>#N/A</v>
      </c>
      <c r="BZ398" s="3535" t="e">
        <v>#N/A</v>
      </c>
      <c r="CA398" s="3535" t="e">
        <v>#N/A</v>
      </c>
      <c r="CB398" s="3535" t="e">
        <v>#N/A</v>
      </c>
      <c r="CC398" s="3535" t="e">
        <v>#N/A</v>
      </c>
      <c r="CD398" s="3535" t="e">
        <v>#N/A</v>
      </c>
      <c r="CE398" s="3535" t="e">
        <v>#N/A</v>
      </c>
      <c r="CF398" s="3535" t="e">
        <v>#N/A</v>
      </c>
      <c r="CG398" s="3535" t="e">
        <v>#N/A</v>
      </c>
      <c r="CH398" s="3535" t="e">
        <v>#N/A</v>
      </c>
      <c r="CI398" s="3535" t="e">
        <v>#N/A</v>
      </c>
      <c r="CJ398" s="2978" t="e">
        <v>#N/A</v>
      </c>
    </row>
    <row r="399" spans="1:88">
      <c r="A399" s="53">
        <f t="shared" ref="A399:A453" si="1">A387+1</f>
        <v>2026.06</v>
      </c>
      <c r="B399" s="615" t="e">
        <v>#N/A</v>
      </c>
      <c r="C399" s="3535" t="e">
        <v>#N/A</v>
      </c>
      <c r="D399" s="358" t="e">
        <v>#N/A</v>
      </c>
      <c r="E399" s="615" t="e">
        <v>#N/A</v>
      </c>
      <c r="F399" s="1215" t="e">
        <v>#N/A</v>
      </c>
      <c r="G399" s="1215" t="e">
        <v>#N/A</v>
      </c>
      <c r="H399" s="1215" t="e">
        <v>#N/A</v>
      </c>
      <c r="I399" s="1215" t="e">
        <v>#N/A</v>
      </c>
      <c r="J399" s="1215" t="e">
        <v>#N/A</v>
      </c>
      <c r="K399" s="1215" t="e">
        <v>#N/A</v>
      </c>
      <c r="L399" s="1215" t="e">
        <v>#N/A</v>
      </c>
      <c r="M399" s="1215" t="e">
        <v>#N/A</v>
      </c>
      <c r="N399" s="1215" t="e">
        <v>#N/A</v>
      </c>
      <c r="O399" s="1215" t="e">
        <v>#N/A</v>
      </c>
      <c r="P399" s="1215" t="e">
        <v>#N/A</v>
      </c>
      <c r="Q399" s="1215" t="e">
        <v>#N/A</v>
      </c>
      <c r="R399" s="2661" t="e">
        <v>#N/A</v>
      </c>
      <c r="S399" s="3535" t="e">
        <v>#N/A</v>
      </c>
      <c r="T399" s="3535" t="e">
        <v>#N/A</v>
      </c>
      <c r="U399" s="3535" t="e">
        <v>#N/A</v>
      </c>
      <c r="V399" s="3535" t="e">
        <v>#N/A</v>
      </c>
      <c r="W399" s="3535" t="e">
        <v>#N/A</v>
      </c>
      <c r="X399" s="3535" t="e">
        <v>#N/A</v>
      </c>
      <c r="Y399" s="3535" t="e">
        <v>#N/A</v>
      </c>
      <c r="Z399" s="3535" t="e">
        <v>#N/A</v>
      </c>
      <c r="AA399" s="3535" t="e">
        <v>#N/A</v>
      </c>
      <c r="AB399" s="3535" t="e">
        <v>#N/A</v>
      </c>
      <c r="AC399" s="3535" t="e">
        <v>#N/A</v>
      </c>
      <c r="AD399" s="3535" t="e">
        <v>#N/A</v>
      </c>
      <c r="AE399" s="3535" t="e">
        <v>#N/A</v>
      </c>
      <c r="AF399" s="3535" t="e">
        <v>#N/A</v>
      </c>
      <c r="AG399" s="3535" t="e">
        <v>#N/A</v>
      </c>
      <c r="AH399" s="3535" t="e">
        <v>#N/A</v>
      </c>
      <c r="AI399" s="3535" t="e">
        <v>#N/A</v>
      </c>
      <c r="AJ399" s="3535" t="e">
        <v>#N/A</v>
      </c>
      <c r="AK399" s="3535" t="e">
        <v>#N/A</v>
      </c>
      <c r="AL399" s="3535" t="e">
        <v>#N/A</v>
      </c>
      <c r="AM399" s="3535" t="e">
        <v>#N/A</v>
      </c>
      <c r="AN399" s="3535" t="e">
        <v>#N/A</v>
      </c>
      <c r="AO399" s="3535" t="e">
        <v>#N/A</v>
      </c>
      <c r="AP399" s="3535" t="e">
        <v>#N/A</v>
      </c>
      <c r="AQ399" s="3535" t="e">
        <v>#N/A</v>
      </c>
      <c r="AR399" s="3535" t="e">
        <v>#N/A</v>
      </c>
      <c r="AS399" s="3535" t="e">
        <v>#N/A</v>
      </c>
      <c r="AT399" s="3535" t="e">
        <v>#N/A</v>
      </c>
      <c r="AU399" s="3535" t="e">
        <v>#N/A</v>
      </c>
      <c r="AV399" s="3535" t="e">
        <v>#N/A</v>
      </c>
      <c r="AW399" s="3535" t="e">
        <v>#N/A</v>
      </c>
      <c r="AX399" s="3535" t="e">
        <v>#N/A</v>
      </c>
      <c r="AY399" s="3535" t="e">
        <v>#N/A</v>
      </c>
      <c r="AZ399" s="3535" t="e">
        <v>#N/A</v>
      </c>
      <c r="BA399" s="3535" t="e">
        <v>#N/A</v>
      </c>
      <c r="BB399" s="3535" t="e">
        <v>#N/A</v>
      </c>
      <c r="BC399" s="3535" t="e">
        <v>#N/A</v>
      </c>
      <c r="BD399" s="3535" t="e">
        <v>#N/A</v>
      </c>
      <c r="BE399" s="3535" t="e">
        <v>#N/A</v>
      </c>
      <c r="BF399" s="3535" t="e">
        <v>#N/A</v>
      </c>
      <c r="BG399" s="3535" t="e">
        <v>#N/A</v>
      </c>
      <c r="BH399" s="3535" t="e">
        <v>#N/A</v>
      </c>
      <c r="BI399" s="3535" t="e">
        <v>#N/A</v>
      </c>
      <c r="BJ399" s="3535" t="e">
        <v>#N/A</v>
      </c>
      <c r="BK399" s="3535" t="e">
        <v>#N/A</v>
      </c>
      <c r="BL399" s="3535" t="e">
        <v>#N/A</v>
      </c>
      <c r="BM399" s="3535" t="e">
        <v>#N/A</v>
      </c>
      <c r="BN399" s="3535" t="e">
        <v>#N/A</v>
      </c>
      <c r="BO399" s="3535" t="e">
        <v>#N/A</v>
      </c>
      <c r="BP399" s="3535" t="e">
        <v>#N/A</v>
      </c>
      <c r="BQ399" s="3535" t="e">
        <v>#N/A</v>
      </c>
      <c r="BR399" s="3535" t="e">
        <v>#N/A</v>
      </c>
      <c r="BS399" s="3535" t="e">
        <v>#N/A</v>
      </c>
      <c r="BT399" s="3535" t="e">
        <v>#N/A</v>
      </c>
      <c r="BU399" s="3535" t="e">
        <v>#N/A</v>
      </c>
      <c r="BV399" s="3535" t="e">
        <v>#N/A</v>
      </c>
      <c r="BW399" s="3535" t="e">
        <v>#N/A</v>
      </c>
      <c r="BX399" s="3535" t="e">
        <v>#N/A</v>
      </c>
      <c r="BY399" s="3535" t="e">
        <v>#N/A</v>
      </c>
      <c r="BZ399" s="3535" t="e">
        <v>#N/A</v>
      </c>
      <c r="CA399" s="3535" t="e">
        <v>#N/A</v>
      </c>
      <c r="CB399" s="3535" t="e">
        <v>#N/A</v>
      </c>
      <c r="CC399" s="3535" t="e">
        <v>#N/A</v>
      </c>
      <c r="CD399" s="3535" t="e">
        <v>#N/A</v>
      </c>
      <c r="CE399" s="3535" t="e">
        <v>#N/A</v>
      </c>
      <c r="CF399" s="3535" t="e">
        <v>#N/A</v>
      </c>
      <c r="CG399" s="3535" t="e">
        <v>#N/A</v>
      </c>
      <c r="CH399" s="3535" t="e">
        <v>#N/A</v>
      </c>
      <c r="CI399" s="3535" t="e">
        <v>#N/A</v>
      </c>
      <c r="CJ399" s="2978" t="e">
        <v>#N/A</v>
      </c>
    </row>
    <row r="400" spans="1:88">
      <c r="A400" s="53">
        <f t="shared" si="1"/>
        <v>2026.07</v>
      </c>
      <c r="B400" s="615" t="e">
        <v>#N/A</v>
      </c>
      <c r="C400" s="3535" t="e">
        <v>#N/A</v>
      </c>
      <c r="D400" s="358" t="e">
        <v>#N/A</v>
      </c>
      <c r="E400" s="615" t="e">
        <v>#N/A</v>
      </c>
      <c r="F400" s="1215" t="e">
        <v>#N/A</v>
      </c>
      <c r="G400" s="1215" t="e">
        <v>#N/A</v>
      </c>
      <c r="H400" s="1215" t="e">
        <v>#N/A</v>
      </c>
      <c r="I400" s="1215" t="e">
        <v>#N/A</v>
      </c>
      <c r="J400" s="1215" t="e">
        <v>#N/A</v>
      </c>
      <c r="K400" s="1215" t="e">
        <v>#N/A</v>
      </c>
      <c r="L400" s="1215" t="e">
        <v>#N/A</v>
      </c>
      <c r="M400" s="1215" t="e">
        <v>#N/A</v>
      </c>
      <c r="N400" s="1215" t="e">
        <v>#N/A</v>
      </c>
      <c r="O400" s="1215" t="e">
        <v>#N/A</v>
      </c>
      <c r="P400" s="1215" t="e">
        <v>#N/A</v>
      </c>
      <c r="Q400" s="1215" t="e">
        <v>#N/A</v>
      </c>
      <c r="R400" s="2661" t="e">
        <v>#N/A</v>
      </c>
      <c r="S400" s="3535" t="e">
        <v>#N/A</v>
      </c>
      <c r="T400" s="3535" t="e">
        <v>#N/A</v>
      </c>
      <c r="U400" s="3535" t="e">
        <v>#N/A</v>
      </c>
      <c r="V400" s="3535" t="e">
        <v>#N/A</v>
      </c>
      <c r="W400" s="3535" t="e">
        <v>#N/A</v>
      </c>
      <c r="X400" s="3535" t="e">
        <v>#N/A</v>
      </c>
      <c r="Y400" s="3535" t="e">
        <v>#N/A</v>
      </c>
      <c r="Z400" s="3535" t="e">
        <v>#N/A</v>
      </c>
      <c r="AA400" s="3535" t="e">
        <v>#N/A</v>
      </c>
      <c r="AB400" s="3535" t="e">
        <v>#N/A</v>
      </c>
      <c r="AC400" s="3535" t="e">
        <v>#N/A</v>
      </c>
      <c r="AD400" s="3535" t="e">
        <v>#N/A</v>
      </c>
      <c r="AE400" s="3535" t="e">
        <v>#N/A</v>
      </c>
      <c r="AF400" s="3535" t="e">
        <v>#N/A</v>
      </c>
      <c r="AG400" s="3535" t="e">
        <v>#N/A</v>
      </c>
      <c r="AH400" s="3535" t="e">
        <v>#N/A</v>
      </c>
      <c r="AI400" s="3535" t="e">
        <v>#N/A</v>
      </c>
      <c r="AJ400" s="3535" t="e">
        <v>#N/A</v>
      </c>
      <c r="AK400" s="3535" t="e">
        <v>#N/A</v>
      </c>
      <c r="AL400" s="3535" t="e">
        <v>#N/A</v>
      </c>
      <c r="AM400" s="3535" t="e">
        <v>#N/A</v>
      </c>
      <c r="AN400" s="3535" t="e">
        <v>#N/A</v>
      </c>
      <c r="AO400" s="3535" t="e">
        <v>#N/A</v>
      </c>
      <c r="AP400" s="3535" t="e">
        <v>#N/A</v>
      </c>
      <c r="AQ400" s="3535" t="e">
        <v>#N/A</v>
      </c>
      <c r="AR400" s="3535" t="e">
        <v>#N/A</v>
      </c>
      <c r="AS400" s="3535" t="e">
        <v>#N/A</v>
      </c>
      <c r="AT400" s="3535" t="e">
        <v>#N/A</v>
      </c>
      <c r="AU400" s="3535" t="e">
        <v>#N/A</v>
      </c>
      <c r="AV400" s="3535" t="e">
        <v>#N/A</v>
      </c>
      <c r="AW400" s="3535" t="e">
        <v>#N/A</v>
      </c>
      <c r="AX400" s="3535" t="e">
        <v>#N/A</v>
      </c>
      <c r="AY400" s="3535" t="e">
        <v>#N/A</v>
      </c>
      <c r="AZ400" s="3535" t="e">
        <v>#N/A</v>
      </c>
      <c r="BA400" s="3535" t="e">
        <v>#N/A</v>
      </c>
      <c r="BB400" s="3535" t="e">
        <v>#N/A</v>
      </c>
      <c r="BC400" s="3535" t="e">
        <v>#N/A</v>
      </c>
      <c r="BD400" s="3535" t="e">
        <v>#N/A</v>
      </c>
      <c r="BE400" s="3535" t="e">
        <v>#N/A</v>
      </c>
      <c r="BF400" s="3535" t="e">
        <v>#N/A</v>
      </c>
      <c r="BG400" s="3535" t="e">
        <v>#N/A</v>
      </c>
      <c r="BH400" s="3535" t="e">
        <v>#N/A</v>
      </c>
      <c r="BI400" s="3535" t="e">
        <v>#N/A</v>
      </c>
      <c r="BJ400" s="3535" t="e">
        <v>#N/A</v>
      </c>
      <c r="BK400" s="3535" t="e">
        <v>#N/A</v>
      </c>
      <c r="BL400" s="3535" t="e">
        <v>#N/A</v>
      </c>
      <c r="BM400" s="3535" t="e">
        <v>#N/A</v>
      </c>
      <c r="BN400" s="3535" t="e">
        <v>#N/A</v>
      </c>
      <c r="BO400" s="3535" t="e">
        <v>#N/A</v>
      </c>
      <c r="BP400" s="3535" t="e">
        <v>#N/A</v>
      </c>
      <c r="BQ400" s="3535" t="e">
        <v>#N/A</v>
      </c>
      <c r="BR400" s="3535" t="e">
        <v>#N/A</v>
      </c>
      <c r="BS400" s="3535" t="e">
        <v>#N/A</v>
      </c>
      <c r="BT400" s="3535" t="e">
        <v>#N/A</v>
      </c>
      <c r="BU400" s="3535" t="e">
        <v>#N/A</v>
      </c>
      <c r="BV400" s="3535" t="e">
        <v>#N/A</v>
      </c>
      <c r="BW400" s="3535" t="e">
        <v>#N/A</v>
      </c>
      <c r="BX400" s="3535" t="e">
        <v>#N/A</v>
      </c>
      <c r="BY400" s="3535" t="e">
        <v>#N/A</v>
      </c>
      <c r="BZ400" s="3535" t="e">
        <v>#N/A</v>
      </c>
      <c r="CA400" s="3535" t="e">
        <v>#N/A</v>
      </c>
      <c r="CB400" s="3535" t="e">
        <v>#N/A</v>
      </c>
      <c r="CC400" s="3535" t="e">
        <v>#N/A</v>
      </c>
      <c r="CD400" s="3535" t="e">
        <v>#N/A</v>
      </c>
      <c r="CE400" s="3535" t="e">
        <v>#N/A</v>
      </c>
      <c r="CF400" s="3535" t="e">
        <v>#N/A</v>
      </c>
      <c r="CG400" s="3535" t="e">
        <v>#N/A</v>
      </c>
      <c r="CH400" s="3535" t="e">
        <v>#N/A</v>
      </c>
      <c r="CI400" s="3535" t="e">
        <v>#N/A</v>
      </c>
      <c r="CJ400" s="2978" t="e">
        <v>#N/A</v>
      </c>
    </row>
    <row r="401" spans="1:88">
      <c r="A401" s="53">
        <f t="shared" si="1"/>
        <v>2026.08</v>
      </c>
      <c r="B401" s="615" t="e">
        <v>#N/A</v>
      </c>
      <c r="C401" s="3535" t="e">
        <v>#N/A</v>
      </c>
      <c r="D401" s="358" t="e">
        <v>#N/A</v>
      </c>
      <c r="E401" s="615" t="e">
        <v>#N/A</v>
      </c>
      <c r="F401" s="1215" t="e">
        <v>#N/A</v>
      </c>
      <c r="G401" s="1215" t="e">
        <v>#N/A</v>
      </c>
      <c r="H401" s="1215" t="e">
        <v>#N/A</v>
      </c>
      <c r="I401" s="1215" t="e">
        <v>#N/A</v>
      </c>
      <c r="J401" s="1215" t="e">
        <v>#N/A</v>
      </c>
      <c r="K401" s="1215" t="e">
        <v>#N/A</v>
      </c>
      <c r="L401" s="1215" t="e">
        <v>#N/A</v>
      </c>
      <c r="M401" s="1215" t="e">
        <v>#N/A</v>
      </c>
      <c r="N401" s="1215" t="e">
        <v>#N/A</v>
      </c>
      <c r="O401" s="1215" t="e">
        <v>#N/A</v>
      </c>
      <c r="P401" s="1215" t="e">
        <v>#N/A</v>
      </c>
      <c r="Q401" s="1215" t="e">
        <v>#N/A</v>
      </c>
      <c r="R401" s="2661" t="e">
        <v>#N/A</v>
      </c>
      <c r="S401" s="3535" t="e">
        <v>#N/A</v>
      </c>
      <c r="T401" s="3535" t="e">
        <v>#N/A</v>
      </c>
      <c r="U401" s="3535" t="e">
        <v>#N/A</v>
      </c>
      <c r="V401" s="3535" t="e">
        <v>#N/A</v>
      </c>
      <c r="W401" s="3535" t="e">
        <v>#N/A</v>
      </c>
      <c r="X401" s="3535" t="e">
        <v>#N/A</v>
      </c>
      <c r="Y401" s="3535" t="e">
        <v>#N/A</v>
      </c>
      <c r="Z401" s="3535" t="e">
        <v>#N/A</v>
      </c>
      <c r="AA401" s="3535" t="e">
        <v>#N/A</v>
      </c>
      <c r="AB401" s="3535" t="e">
        <v>#N/A</v>
      </c>
      <c r="AC401" s="3535" t="e">
        <v>#N/A</v>
      </c>
      <c r="AD401" s="3535" t="e">
        <v>#N/A</v>
      </c>
      <c r="AE401" s="3535" t="e">
        <v>#N/A</v>
      </c>
      <c r="AF401" s="3535" t="e">
        <v>#N/A</v>
      </c>
      <c r="AG401" s="3535" t="e">
        <v>#N/A</v>
      </c>
      <c r="AH401" s="3535" t="e">
        <v>#N/A</v>
      </c>
      <c r="AI401" s="3535" t="e">
        <v>#N/A</v>
      </c>
      <c r="AJ401" s="3535" t="e">
        <v>#N/A</v>
      </c>
      <c r="AK401" s="3535" t="e">
        <v>#N/A</v>
      </c>
      <c r="AL401" s="3535" t="e">
        <v>#N/A</v>
      </c>
      <c r="AM401" s="3535" t="e">
        <v>#N/A</v>
      </c>
      <c r="AN401" s="3535" t="e">
        <v>#N/A</v>
      </c>
      <c r="AO401" s="3535" t="e">
        <v>#N/A</v>
      </c>
      <c r="AP401" s="3535" t="e">
        <v>#N/A</v>
      </c>
      <c r="AQ401" s="3535" t="e">
        <v>#N/A</v>
      </c>
      <c r="AR401" s="3535" t="e">
        <v>#N/A</v>
      </c>
      <c r="AS401" s="3535" t="e">
        <v>#N/A</v>
      </c>
      <c r="AT401" s="3535" t="e">
        <v>#N/A</v>
      </c>
      <c r="AU401" s="3535" t="e">
        <v>#N/A</v>
      </c>
      <c r="AV401" s="3535" t="e">
        <v>#N/A</v>
      </c>
      <c r="AW401" s="3535" t="e">
        <v>#N/A</v>
      </c>
      <c r="AX401" s="3535" t="e">
        <v>#N/A</v>
      </c>
      <c r="AY401" s="3535" t="e">
        <v>#N/A</v>
      </c>
      <c r="AZ401" s="3535" t="e">
        <v>#N/A</v>
      </c>
      <c r="BA401" s="3535" t="e">
        <v>#N/A</v>
      </c>
      <c r="BB401" s="3535" t="e">
        <v>#N/A</v>
      </c>
      <c r="BC401" s="3535" t="e">
        <v>#N/A</v>
      </c>
      <c r="BD401" s="3535" t="e">
        <v>#N/A</v>
      </c>
      <c r="BE401" s="3535" t="e">
        <v>#N/A</v>
      </c>
      <c r="BF401" s="3535" t="e">
        <v>#N/A</v>
      </c>
      <c r="BG401" s="3535" t="e">
        <v>#N/A</v>
      </c>
      <c r="BH401" s="3535" t="e">
        <v>#N/A</v>
      </c>
      <c r="BI401" s="3535" t="e">
        <v>#N/A</v>
      </c>
      <c r="BJ401" s="3535" t="e">
        <v>#N/A</v>
      </c>
      <c r="BK401" s="3535" t="e">
        <v>#N/A</v>
      </c>
      <c r="BL401" s="3535" t="e">
        <v>#N/A</v>
      </c>
      <c r="BM401" s="3535" t="e">
        <v>#N/A</v>
      </c>
      <c r="BN401" s="3535" t="e">
        <v>#N/A</v>
      </c>
      <c r="BO401" s="3535" t="e">
        <v>#N/A</v>
      </c>
      <c r="BP401" s="3535" t="e">
        <v>#N/A</v>
      </c>
      <c r="BQ401" s="3535" t="e">
        <v>#N/A</v>
      </c>
      <c r="BR401" s="3535" t="e">
        <v>#N/A</v>
      </c>
      <c r="BS401" s="3535" t="e">
        <v>#N/A</v>
      </c>
      <c r="BT401" s="3535" t="e">
        <v>#N/A</v>
      </c>
      <c r="BU401" s="3535" t="e">
        <v>#N/A</v>
      </c>
      <c r="BV401" s="3535" t="e">
        <v>#N/A</v>
      </c>
      <c r="BW401" s="3535" t="e">
        <v>#N/A</v>
      </c>
      <c r="BX401" s="3535" t="e">
        <v>#N/A</v>
      </c>
      <c r="BY401" s="3535" t="e">
        <v>#N/A</v>
      </c>
      <c r="BZ401" s="3535" t="e">
        <v>#N/A</v>
      </c>
      <c r="CA401" s="3535" t="e">
        <v>#N/A</v>
      </c>
      <c r="CB401" s="3535" t="e">
        <v>#N/A</v>
      </c>
      <c r="CC401" s="3535" t="e">
        <v>#N/A</v>
      </c>
      <c r="CD401" s="3535" t="e">
        <v>#N/A</v>
      </c>
      <c r="CE401" s="3535" t="e">
        <v>#N/A</v>
      </c>
      <c r="CF401" s="3535" t="e">
        <v>#N/A</v>
      </c>
      <c r="CG401" s="3535" t="e">
        <v>#N/A</v>
      </c>
      <c r="CH401" s="3535" t="e">
        <v>#N/A</v>
      </c>
      <c r="CI401" s="3535" t="e">
        <v>#N/A</v>
      </c>
      <c r="CJ401" s="2978" t="e">
        <v>#N/A</v>
      </c>
    </row>
    <row r="402" spans="1:88">
      <c r="A402" s="53">
        <f t="shared" si="1"/>
        <v>2026.09</v>
      </c>
      <c r="B402" s="615" t="e">
        <v>#N/A</v>
      </c>
      <c r="C402" s="3535" t="e">
        <v>#N/A</v>
      </c>
      <c r="D402" s="358" t="e">
        <v>#N/A</v>
      </c>
      <c r="E402" s="615" t="e">
        <v>#N/A</v>
      </c>
      <c r="F402" s="1215" t="e">
        <v>#N/A</v>
      </c>
      <c r="G402" s="1215" t="e">
        <v>#N/A</v>
      </c>
      <c r="H402" s="1215" t="e">
        <v>#N/A</v>
      </c>
      <c r="I402" s="1215" t="e">
        <v>#N/A</v>
      </c>
      <c r="J402" s="1215" t="e">
        <v>#N/A</v>
      </c>
      <c r="K402" s="1215" t="e">
        <v>#N/A</v>
      </c>
      <c r="L402" s="1215" t="e">
        <v>#N/A</v>
      </c>
      <c r="M402" s="1215" t="e">
        <v>#N/A</v>
      </c>
      <c r="N402" s="1215" t="e">
        <v>#N/A</v>
      </c>
      <c r="O402" s="1215" t="e">
        <v>#N/A</v>
      </c>
      <c r="P402" s="1215" t="e">
        <v>#N/A</v>
      </c>
      <c r="Q402" s="1215" t="e">
        <v>#N/A</v>
      </c>
      <c r="R402" s="2661" t="e">
        <v>#N/A</v>
      </c>
      <c r="S402" s="3535" t="e">
        <v>#N/A</v>
      </c>
      <c r="T402" s="3535" t="e">
        <v>#N/A</v>
      </c>
      <c r="U402" s="3535" t="e">
        <v>#N/A</v>
      </c>
      <c r="V402" s="3535" t="e">
        <v>#N/A</v>
      </c>
      <c r="W402" s="3535" t="e">
        <v>#N/A</v>
      </c>
      <c r="X402" s="3535" t="e">
        <v>#N/A</v>
      </c>
      <c r="Y402" s="3535" t="e">
        <v>#N/A</v>
      </c>
      <c r="Z402" s="3535" t="e">
        <v>#N/A</v>
      </c>
      <c r="AA402" s="3535" t="e">
        <v>#N/A</v>
      </c>
      <c r="AB402" s="3535" t="e">
        <v>#N/A</v>
      </c>
      <c r="AC402" s="3535" t="e">
        <v>#N/A</v>
      </c>
      <c r="AD402" s="3535" t="e">
        <v>#N/A</v>
      </c>
      <c r="AE402" s="3535" t="e">
        <v>#N/A</v>
      </c>
      <c r="AF402" s="3535" t="e">
        <v>#N/A</v>
      </c>
      <c r="AG402" s="3535" t="e">
        <v>#N/A</v>
      </c>
      <c r="AH402" s="3535" t="e">
        <v>#N/A</v>
      </c>
      <c r="AI402" s="3535" t="e">
        <v>#N/A</v>
      </c>
      <c r="AJ402" s="3535" t="e">
        <v>#N/A</v>
      </c>
      <c r="AK402" s="3535" t="e">
        <v>#N/A</v>
      </c>
      <c r="AL402" s="3535" t="e">
        <v>#N/A</v>
      </c>
      <c r="AM402" s="3535" t="e">
        <v>#N/A</v>
      </c>
      <c r="AN402" s="3535" t="e">
        <v>#N/A</v>
      </c>
      <c r="AO402" s="3535" t="e">
        <v>#N/A</v>
      </c>
      <c r="AP402" s="3535" t="e">
        <v>#N/A</v>
      </c>
      <c r="AQ402" s="3535" t="e">
        <v>#N/A</v>
      </c>
      <c r="AR402" s="3535" t="e">
        <v>#N/A</v>
      </c>
      <c r="AS402" s="3535" t="e">
        <v>#N/A</v>
      </c>
      <c r="AT402" s="3535" t="e">
        <v>#N/A</v>
      </c>
      <c r="AU402" s="3535" t="e">
        <v>#N/A</v>
      </c>
      <c r="AV402" s="3535" t="e">
        <v>#N/A</v>
      </c>
      <c r="AW402" s="3535" t="e">
        <v>#N/A</v>
      </c>
      <c r="AX402" s="3535" t="e">
        <v>#N/A</v>
      </c>
      <c r="AY402" s="3535" t="e">
        <v>#N/A</v>
      </c>
      <c r="AZ402" s="3535" t="e">
        <v>#N/A</v>
      </c>
      <c r="BA402" s="3535" t="e">
        <v>#N/A</v>
      </c>
      <c r="BB402" s="3535" t="e">
        <v>#N/A</v>
      </c>
      <c r="BC402" s="3535" t="e">
        <v>#N/A</v>
      </c>
      <c r="BD402" s="3535" t="e">
        <v>#N/A</v>
      </c>
      <c r="BE402" s="3535" t="e">
        <v>#N/A</v>
      </c>
      <c r="BF402" s="3535" t="e">
        <v>#N/A</v>
      </c>
      <c r="BG402" s="3535" t="e">
        <v>#N/A</v>
      </c>
      <c r="BH402" s="3535" t="e">
        <v>#N/A</v>
      </c>
      <c r="BI402" s="3535" t="e">
        <v>#N/A</v>
      </c>
      <c r="BJ402" s="3535" t="e">
        <v>#N/A</v>
      </c>
      <c r="BK402" s="3535" t="e">
        <v>#N/A</v>
      </c>
      <c r="BL402" s="3535" t="e">
        <v>#N/A</v>
      </c>
      <c r="BM402" s="3535" t="e">
        <v>#N/A</v>
      </c>
      <c r="BN402" s="3535" t="e">
        <v>#N/A</v>
      </c>
      <c r="BO402" s="3535" t="e">
        <v>#N/A</v>
      </c>
      <c r="BP402" s="3535" t="e">
        <v>#N/A</v>
      </c>
      <c r="BQ402" s="3535" t="e">
        <v>#N/A</v>
      </c>
      <c r="BR402" s="3535" t="e">
        <v>#N/A</v>
      </c>
      <c r="BS402" s="3535" t="e">
        <v>#N/A</v>
      </c>
      <c r="BT402" s="3535" t="e">
        <v>#N/A</v>
      </c>
      <c r="BU402" s="3535" t="e">
        <v>#N/A</v>
      </c>
      <c r="BV402" s="3535" t="e">
        <v>#N/A</v>
      </c>
      <c r="BW402" s="3535" t="e">
        <v>#N/A</v>
      </c>
      <c r="BX402" s="3535" t="e">
        <v>#N/A</v>
      </c>
      <c r="BY402" s="3535" t="e">
        <v>#N/A</v>
      </c>
      <c r="BZ402" s="3535" t="e">
        <v>#N/A</v>
      </c>
      <c r="CA402" s="3535" t="e">
        <v>#N/A</v>
      </c>
      <c r="CB402" s="3535" t="e">
        <v>#N/A</v>
      </c>
      <c r="CC402" s="3535" t="e">
        <v>#N/A</v>
      </c>
      <c r="CD402" s="3535" t="e">
        <v>#N/A</v>
      </c>
      <c r="CE402" s="3535" t="e">
        <v>#N/A</v>
      </c>
      <c r="CF402" s="3535" t="e">
        <v>#N/A</v>
      </c>
      <c r="CG402" s="3535" t="e">
        <v>#N/A</v>
      </c>
      <c r="CH402" s="3535" t="e">
        <v>#N/A</v>
      </c>
      <c r="CI402" s="3535" t="e">
        <v>#N/A</v>
      </c>
      <c r="CJ402" s="2978" t="e">
        <v>#N/A</v>
      </c>
    </row>
    <row r="403" spans="1:88">
      <c r="A403" s="53">
        <f t="shared" si="1"/>
        <v>2026.1</v>
      </c>
      <c r="B403" s="615" t="e">
        <v>#N/A</v>
      </c>
      <c r="C403" s="3535" t="e">
        <v>#N/A</v>
      </c>
      <c r="D403" s="358" t="e">
        <v>#N/A</v>
      </c>
      <c r="E403" s="615" t="e">
        <v>#N/A</v>
      </c>
      <c r="F403" s="1215" t="e">
        <v>#N/A</v>
      </c>
      <c r="G403" s="1215" t="e">
        <v>#N/A</v>
      </c>
      <c r="H403" s="1215" t="e">
        <v>#N/A</v>
      </c>
      <c r="I403" s="1215" t="e">
        <v>#N/A</v>
      </c>
      <c r="J403" s="1215" t="e">
        <v>#N/A</v>
      </c>
      <c r="K403" s="1215" t="e">
        <v>#N/A</v>
      </c>
      <c r="L403" s="1215" t="e">
        <v>#N/A</v>
      </c>
      <c r="M403" s="1215" t="e">
        <v>#N/A</v>
      </c>
      <c r="N403" s="1215" t="e">
        <v>#N/A</v>
      </c>
      <c r="O403" s="1215" t="e">
        <v>#N/A</v>
      </c>
      <c r="P403" s="1215" t="e">
        <v>#N/A</v>
      </c>
      <c r="Q403" s="1215" t="e">
        <v>#N/A</v>
      </c>
      <c r="R403" s="2661" t="e">
        <v>#N/A</v>
      </c>
      <c r="S403" s="3535" t="e">
        <v>#N/A</v>
      </c>
      <c r="T403" s="3535" t="e">
        <v>#N/A</v>
      </c>
      <c r="U403" s="3535" t="e">
        <v>#N/A</v>
      </c>
      <c r="V403" s="3535" t="e">
        <v>#N/A</v>
      </c>
      <c r="W403" s="3535" t="e">
        <v>#N/A</v>
      </c>
      <c r="X403" s="3535" t="e">
        <v>#N/A</v>
      </c>
      <c r="Y403" s="3535" t="e">
        <v>#N/A</v>
      </c>
      <c r="Z403" s="3535" t="e">
        <v>#N/A</v>
      </c>
      <c r="AA403" s="3535" t="e">
        <v>#N/A</v>
      </c>
      <c r="AB403" s="3535" t="e">
        <v>#N/A</v>
      </c>
      <c r="AC403" s="3535" t="e">
        <v>#N/A</v>
      </c>
      <c r="AD403" s="3535" t="e">
        <v>#N/A</v>
      </c>
      <c r="AE403" s="3535" t="e">
        <v>#N/A</v>
      </c>
      <c r="AF403" s="3535" t="e">
        <v>#N/A</v>
      </c>
      <c r="AG403" s="3535" t="e">
        <v>#N/A</v>
      </c>
      <c r="AH403" s="3535" t="e">
        <v>#N/A</v>
      </c>
      <c r="AI403" s="3535" t="e">
        <v>#N/A</v>
      </c>
      <c r="AJ403" s="3535" t="e">
        <v>#N/A</v>
      </c>
      <c r="AK403" s="3535" t="e">
        <v>#N/A</v>
      </c>
      <c r="AL403" s="3535" t="e">
        <v>#N/A</v>
      </c>
      <c r="AM403" s="3535" t="e">
        <v>#N/A</v>
      </c>
      <c r="AN403" s="3535" t="e">
        <v>#N/A</v>
      </c>
      <c r="AO403" s="3535" t="e">
        <v>#N/A</v>
      </c>
      <c r="AP403" s="3535" t="e">
        <v>#N/A</v>
      </c>
      <c r="AQ403" s="3535" t="e">
        <v>#N/A</v>
      </c>
      <c r="AR403" s="3535" t="e">
        <v>#N/A</v>
      </c>
      <c r="AS403" s="3535" t="e">
        <v>#N/A</v>
      </c>
      <c r="AT403" s="3535" t="e">
        <v>#N/A</v>
      </c>
      <c r="AU403" s="3535" t="e">
        <v>#N/A</v>
      </c>
      <c r="AV403" s="3535" t="e">
        <v>#N/A</v>
      </c>
      <c r="AW403" s="3535" t="e">
        <v>#N/A</v>
      </c>
      <c r="AX403" s="3535" t="e">
        <v>#N/A</v>
      </c>
      <c r="AY403" s="3535" t="e">
        <v>#N/A</v>
      </c>
      <c r="AZ403" s="3535" t="e">
        <v>#N/A</v>
      </c>
      <c r="BA403" s="3535" t="e">
        <v>#N/A</v>
      </c>
      <c r="BB403" s="3535" t="e">
        <v>#N/A</v>
      </c>
      <c r="BC403" s="3535" t="e">
        <v>#N/A</v>
      </c>
      <c r="BD403" s="3535" t="e">
        <v>#N/A</v>
      </c>
      <c r="BE403" s="3535" t="e">
        <v>#N/A</v>
      </c>
      <c r="BF403" s="3535" t="e">
        <v>#N/A</v>
      </c>
      <c r="BG403" s="3535" t="e">
        <v>#N/A</v>
      </c>
      <c r="BH403" s="3535" t="e">
        <v>#N/A</v>
      </c>
      <c r="BI403" s="3535" t="e">
        <v>#N/A</v>
      </c>
      <c r="BJ403" s="3535" t="e">
        <v>#N/A</v>
      </c>
      <c r="BK403" s="3535" t="e">
        <v>#N/A</v>
      </c>
      <c r="BL403" s="3535" t="e">
        <v>#N/A</v>
      </c>
      <c r="BM403" s="3535" t="e">
        <v>#N/A</v>
      </c>
      <c r="BN403" s="3535" t="e">
        <v>#N/A</v>
      </c>
      <c r="BO403" s="3535" t="e">
        <v>#N/A</v>
      </c>
      <c r="BP403" s="3535" t="e">
        <v>#N/A</v>
      </c>
      <c r="BQ403" s="3535" t="e">
        <v>#N/A</v>
      </c>
      <c r="BR403" s="3535" t="e">
        <v>#N/A</v>
      </c>
      <c r="BS403" s="3535" t="e">
        <v>#N/A</v>
      </c>
      <c r="BT403" s="3535" t="e">
        <v>#N/A</v>
      </c>
      <c r="BU403" s="3535" t="e">
        <v>#N/A</v>
      </c>
      <c r="BV403" s="3535" t="e">
        <v>#N/A</v>
      </c>
      <c r="BW403" s="3535" t="e">
        <v>#N/A</v>
      </c>
      <c r="BX403" s="3535" t="e">
        <v>#N/A</v>
      </c>
      <c r="BY403" s="3535" t="e">
        <v>#N/A</v>
      </c>
      <c r="BZ403" s="3535" t="e">
        <v>#N/A</v>
      </c>
      <c r="CA403" s="3535" t="e">
        <v>#N/A</v>
      </c>
      <c r="CB403" s="3535" t="e">
        <v>#N/A</v>
      </c>
      <c r="CC403" s="3535" t="e">
        <v>#N/A</v>
      </c>
      <c r="CD403" s="3535" t="e">
        <v>#N/A</v>
      </c>
      <c r="CE403" s="3535" t="e">
        <v>#N/A</v>
      </c>
      <c r="CF403" s="3535" t="e">
        <v>#N/A</v>
      </c>
      <c r="CG403" s="3535" t="e">
        <v>#N/A</v>
      </c>
      <c r="CH403" s="3535" t="e">
        <v>#N/A</v>
      </c>
      <c r="CI403" s="3535" t="e">
        <v>#N/A</v>
      </c>
      <c r="CJ403" s="2978" t="e">
        <v>#N/A</v>
      </c>
    </row>
    <row r="404" spans="1:88">
      <c r="A404" s="53">
        <f t="shared" si="1"/>
        <v>2026.11</v>
      </c>
      <c r="B404" s="615" t="e">
        <v>#N/A</v>
      </c>
      <c r="C404" s="3535" t="e">
        <v>#N/A</v>
      </c>
      <c r="D404" s="358" t="e">
        <v>#N/A</v>
      </c>
      <c r="E404" s="615" t="e">
        <v>#N/A</v>
      </c>
      <c r="F404" s="1215" t="e">
        <v>#N/A</v>
      </c>
      <c r="G404" s="1215" t="e">
        <v>#N/A</v>
      </c>
      <c r="H404" s="1215" t="e">
        <v>#N/A</v>
      </c>
      <c r="I404" s="1215" t="e">
        <v>#N/A</v>
      </c>
      <c r="J404" s="1215" t="e">
        <v>#N/A</v>
      </c>
      <c r="K404" s="1215" t="e">
        <v>#N/A</v>
      </c>
      <c r="L404" s="1215" t="e">
        <v>#N/A</v>
      </c>
      <c r="M404" s="1215" t="e">
        <v>#N/A</v>
      </c>
      <c r="N404" s="1215" t="e">
        <v>#N/A</v>
      </c>
      <c r="O404" s="1215" t="e">
        <v>#N/A</v>
      </c>
      <c r="P404" s="1215" t="e">
        <v>#N/A</v>
      </c>
      <c r="Q404" s="1215" t="e">
        <v>#N/A</v>
      </c>
      <c r="R404" s="2661" t="e">
        <v>#N/A</v>
      </c>
      <c r="S404" s="3535" t="e">
        <v>#N/A</v>
      </c>
      <c r="T404" s="3535" t="e">
        <v>#N/A</v>
      </c>
      <c r="U404" s="3535" t="e">
        <v>#N/A</v>
      </c>
      <c r="V404" s="3535" t="e">
        <v>#N/A</v>
      </c>
      <c r="W404" s="3535" t="e">
        <v>#N/A</v>
      </c>
      <c r="X404" s="3535" t="e">
        <v>#N/A</v>
      </c>
      <c r="Y404" s="3535" t="e">
        <v>#N/A</v>
      </c>
      <c r="Z404" s="3535" t="e">
        <v>#N/A</v>
      </c>
      <c r="AA404" s="3535" t="e">
        <v>#N/A</v>
      </c>
      <c r="AB404" s="3535" t="e">
        <v>#N/A</v>
      </c>
      <c r="AC404" s="3535" t="e">
        <v>#N/A</v>
      </c>
      <c r="AD404" s="3535" t="e">
        <v>#N/A</v>
      </c>
      <c r="AE404" s="3535" t="e">
        <v>#N/A</v>
      </c>
      <c r="AF404" s="3535" t="e">
        <v>#N/A</v>
      </c>
      <c r="AG404" s="3535" t="e">
        <v>#N/A</v>
      </c>
      <c r="AH404" s="3535" t="e">
        <v>#N/A</v>
      </c>
      <c r="AI404" s="3535" t="e">
        <v>#N/A</v>
      </c>
      <c r="AJ404" s="3535" t="e">
        <v>#N/A</v>
      </c>
      <c r="AK404" s="3535" t="e">
        <v>#N/A</v>
      </c>
      <c r="AL404" s="3535" t="e">
        <v>#N/A</v>
      </c>
      <c r="AM404" s="3535" t="e">
        <v>#N/A</v>
      </c>
      <c r="AN404" s="3535" t="e">
        <v>#N/A</v>
      </c>
      <c r="AO404" s="3535" t="e">
        <v>#N/A</v>
      </c>
      <c r="AP404" s="3535" t="e">
        <v>#N/A</v>
      </c>
      <c r="AQ404" s="3535" t="e">
        <v>#N/A</v>
      </c>
      <c r="AR404" s="3535" t="e">
        <v>#N/A</v>
      </c>
      <c r="AS404" s="3535" t="e">
        <v>#N/A</v>
      </c>
      <c r="AT404" s="3535" t="e">
        <v>#N/A</v>
      </c>
      <c r="AU404" s="3535" t="e">
        <v>#N/A</v>
      </c>
      <c r="AV404" s="3535" t="e">
        <v>#N/A</v>
      </c>
      <c r="AW404" s="3535" t="e">
        <v>#N/A</v>
      </c>
      <c r="AX404" s="3535" t="e">
        <v>#N/A</v>
      </c>
      <c r="AY404" s="3535" t="e">
        <v>#N/A</v>
      </c>
      <c r="AZ404" s="3535" t="e">
        <v>#N/A</v>
      </c>
      <c r="BA404" s="3535" t="e">
        <v>#N/A</v>
      </c>
      <c r="BB404" s="3535" t="e">
        <v>#N/A</v>
      </c>
      <c r="BC404" s="3535" t="e">
        <v>#N/A</v>
      </c>
      <c r="BD404" s="3535" t="e">
        <v>#N/A</v>
      </c>
      <c r="BE404" s="3535" t="e">
        <v>#N/A</v>
      </c>
      <c r="BF404" s="3535" t="e">
        <v>#N/A</v>
      </c>
      <c r="BG404" s="3535" t="e">
        <v>#N/A</v>
      </c>
      <c r="BH404" s="3535" t="e">
        <v>#N/A</v>
      </c>
      <c r="BI404" s="3535" t="e">
        <v>#N/A</v>
      </c>
      <c r="BJ404" s="3535" t="e">
        <v>#N/A</v>
      </c>
      <c r="BK404" s="3535" t="e">
        <v>#N/A</v>
      </c>
      <c r="BL404" s="3535" t="e">
        <v>#N/A</v>
      </c>
      <c r="BM404" s="3535" t="e">
        <v>#N/A</v>
      </c>
      <c r="BN404" s="3535" t="e">
        <v>#N/A</v>
      </c>
      <c r="BO404" s="3535" t="e">
        <v>#N/A</v>
      </c>
      <c r="BP404" s="3535" t="e">
        <v>#N/A</v>
      </c>
      <c r="BQ404" s="3535" t="e">
        <v>#N/A</v>
      </c>
      <c r="BR404" s="3535" t="e">
        <v>#N/A</v>
      </c>
      <c r="BS404" s="3535" t="e">
        <v>#N/A</v>
      </c>
      <c r="BT404" s="3535" t="e">
        <v>#N/A</v>
      </c>
      <c r="BU404" s="3535" t="e">
        <v>#N/A</v>
      </c>
      <c r="BV404" s="3535" t="e">
        <v>#N/A</v>
      </c>
      <c r="BW404" s="3535" t="e">
        <v>#N/A</v>
      </c>
      <c r="BX404" s="3535" t="e">
        <v>#N/A</v>
      </c>
      <c r="BY404" s="3535" t="e">
        <v>#N/A</v>
      </c>
      <c r="BZ404" s="3535" t="e">
        <v>#N/A</v>
      </c>
      <c r="CA404" s="3535" t="e">
        <v>#N/A</v>
      </c>
      <c r="CB404" s="3535" t="e">
        <v>#N/A</v>
      </c>
      <c r="CC404" s="3535" t="e">
        <v>#N/A</v>
      </c>
      <c r="CD404" s="3535" t="e">
        <v>#N/A</v>
      </c>
      <c r="CE404" s="3535" t="e">
        <v>#N/A</v>
      </c>
      <c r="CF404" s="3535" t="e">
        <v>#N/A</v>
      </c>
      <c r="CG404" s="3535" t="e">
        <v>#N/A</v>
      </c>
      <c r="CH404" s="3535" t="e">
        <v>#N/A</v>
      </c>
      <c r="CI404" s="3535" t="e">
        <v>#N/A</v>
      </c>
      <c r="CJ404" s="2978" t="e">
        <v>#N/A</v>
      </c>
    </row>
    <row r="405" spans="1:88">
      <c r="A405" s="53">
        <f t="shared" si="1"/>
        <v>2026.12</v>
      </c>
      <c r="B405" s="615" t="e">
        <v>#N/A</v>
      </c>
      <c r="C405" s="3535" t="e">
        <v>#N/A</v>
      </c>
      <c r="D405" s="358" t="e">
        <v>#N/A</v>
      </c>
      <c r="E405" s="615" t="e">
        <v>#N/A</v>
      </c>
      <c r="F405" s="1215" t="e">
        <v>#N/A</v>
      </c>
      <c r="G405" s="1215" t="e">
        <v>#N/A</v>
      </c>
      <c r="H405" s="1215" t="e">
        <v>#N/A</v>
      </c>
      <c r="I405" s="1215" t="e">
        <v>#N/A</v>
      </c>
      <c r="J405" s="1215" t="e">
        <v>#N/A</v>
      </c>
      <c r="K405" s="1215" t="e">
        <v>#N/A</v>
      </c>
      <c r="L405" s="1215" t="e">
        <v>#N/A</v>
      </c>
      <c r="M405" s="1215" t="e">
        <v>#N/A</v>
      </c>
      <c r="N405" s="1215" t="e">
        <v>#N/A</v>
      </c>
      <c r="O405" s="1215" t="e">
        <v>#N/A</v>
      </c>
      <c r="P405" s="1215" t="e">
        <v>#N/A</v>
      </c>
      <c r="Q405" s="1215" t="e">
        <v>#N/A</v>
      </c>
      <c r="R405" s="2661" t="e">
        <v>#N/A</v>
      </c>
      <c r="S405" s="3535" t="e">
        <v>#N/A</v>
      </c>
      <c r="T405" s="3535" t="e">
        <v>#N/A</v>
      </c>
      <c r="U405" s="3535" t="e">
        <v>#N/A</v>
      </c>
      <c r="V405" s="3535" t="e">
        <v>#N/A</v>
      </c>
      <c r="W405" s="3535" t="e">
        <v>#N/A</v>
      </c>
      <c r="X405" s="3535" t="e">
        <v>#N/A</v>
      </c>
      <c r="Y405" s="3535" t="e">
        <v>#N/A</v>
      </c>
      <c r="Z405" s="3535" t="e">
        <v>#N/A</v>
      </c>
      <c r="AA405" s="3535" t="e">
        <v>#N/A</v>
      </c>
      <c r="AB405" s="3535" t="e">
        <v>#N/A</v>
      </c>
      <c r="AC405" s="3535" t="e">
        <v>#N/A</v>
      </c>
      <c r="AD405" s="3535" t="e">
        <v>#N/A</v>
      </c>
      <c r="AE405" s="3535" t="e">
        <v>#N/A</v>
      </c>
      <c r="AF405" s="3535" t="e">
        <v>#N/A</v>
      </c>
      <c r="AG405" s="3535" t="e">
        <v>#N/A</v>
      </c>
      <c r="AH405" s="3535" t="e">
        <v>#N/A</v>
      </c>
      <c r="AI405" s="3535" t="e">
        <v>#N/A</v>
      </c>
      <c r="AJ405" s="3535" t="e">
        <v>#N/A</v>
      </c>
      <c r="AK405" s="3535" t="e">
        <v>#N/A</v>
      </c>
      <c r="AL405" s="3535" t="e">
        <v>#N/A</v>
      </c>
      <c r="AM405" s="3535" t="e">
        <v>#N/A</v>
      </c>
      <c r="AN405" s="3535" t="e">
        <v>#N/A</v>
      </c>
      <c r="AO405" s="3535" t="e">
        <v>#N/A</v>
      </c>
      <c r="AP405" s="3535" t="e">
        <v>#N/A</v>
      </c>
      <c r="AQ405" s="3535" t="e">
        <v>#N/A</v>
      </c>
      <c r="AR405" s="3535" t="e">
        <v>#N/A</v>
      </c>
      <c r="AS405" s="3535" t="e">
        <v>#N/A</v>
      </c>
      <c r="AT405" s="3535" t="e">
        <v>#N/A</v>
      </c>
      <c r="AU405" s="3535" t="e">
        <v>#N/A</v>
      </c>
      <c r="AV405" s="3535" t="e">
        <v>#N/A</v>
      </c>
      <c r="AW405" s="3535" t="e">
        <v>#N/A</v>
      </c>
      <c r="AX405" s="3535" t="e">
        <v>#N/A</v>
      </c>
      <c r="AY405" s="3535" t="e">
        <v>#N/A</v>
      </c>
      <c r="AZ405" s="3535" t="e">
        <v>#N/A</v>
      </c>
      <c r="BA405" s="3535" t="e">
        <v>#N/A</v>
      </c>
      <c r="BB405" s="3535" t="e">
        <v>#N/A</v>
      </c>
      <c r="BC405" s="3535" t="e">
        <v>#N/A</v>
      </c>
      <c r="BD405" s="3535" t="e">
        <v>#N/A</v>
      </c>
      <c r="BE405" s="3535" t="e">
        <v>#N/A</v>
      </c>
      <c r="BF405" s="3535" t="e">
        <v>#N/A</v>
      </c>
      <c r="BG405" s="3535" t="e">
        <v>#N/A</v>
      </c>
      <c r="BH405" s="3535" t="e">
        <v>#N/A</v>
      </c>
      <c r="BI405" s="3535" t="e">
        <v>#N/A</v>
      </c>
      <c r="BJ405" s="3535" t="e">
        <v>#N/A</v>
      </c>
      <c r="BK405" s="3535" t="e">
        <v>#N/A</v>
      </c>
      <c r="BL405" s="3535" t="e">
        <v>#N/A</v>
      </c>
      <c r="BM405" s="3535" t="e">
        <v>#N/A</v>
      </c>
      <c r="BN405" s="3535" t="e">
        <v>#N/A</v>
      </c>
      <c r="BO405" s="3535" t="e">
        <v>#N/A</v>
      </c>
      <c r="BP405" s="3535" t="e">
        <v>#N/A</v>
      </c>
      <c r="BQ405" s="3535" t="e">
        <v>#N/A</v>
      </c>
      <c r="BR405" s="3535" t="e">
        <v>#N/A</v>
      </c>
      <c r="BS405" s="3535" t="e">
        <v>#N/A</v>
      </c>
      <c r="BT405" s="3535" t="e">
        <v>#N/A</v>
      </c>
      <c r="BU405" s="3535" t="e">
        <v>#N/A</v>
      </c>
      <c r="BV405" s="3535" t="e">
        <v>#N/A</v>
      </c>
      <c r="BW405" s="3535" t="e">
        <v>#N/A</v>
      </c>
      <c r="BX405" s="3535" t="e">
        <v>#N/A</v>
      </c>
      <c r="BY405" s="3535" t="e">
        <v>#N/A</v>
      </c>
      <c r="BZ405" s="3535" t="e">
        <v>#N/A</v>
      </c>
      <c r="CA405" s="3535" t="e">
        <v>#N/A</v>
      </c>
      <c r="CB405" s="3535" t="e">
        <v>#N/A</v>
      </c>
      <c r="CC405" s="3535" t="e">
        <v>#N/A</v>
      </c>
      <c r="CD405" s="3535" t="e">
        <v>#N/A</v>
      </c>
      <c r="CE405" s="3535" t="e">
        <v>#N/A</v>
      </c>
      <c r="CF405" s="3535" t="e">
        <v>#N/A</v>
      </c>
      <c r="CG405" s="3535" t="e">
        <v>#N/A</v>
      </c>
      <c r="CH405" s="3535" t="e">
        <v>#N/A</v>
      </c>
      <c r="CI405" s="3535" t="e">
        <v>#N/A</v>
      </c>
      <c r="CJ405" s="2978" t="e">
        <v>#N/A</v>
      </c>
    </row>
    <row r="406" spans="1:88">
      <c r="A406" s="53">
        <f t="shared" si="1"/>
        <v>2027.01</v>
      </c>
      <c r="B406" s="615" t="e">
        <v>#N/A</v>
      </c>
      <c r="C406" s="3535" t="e">
        <v>#N/A</v>
      </c>
      <c r="D406" s="358" t="e">
        <v>#N/A</v>
      </c>
      <c r="E406" s="615" t="e">
        <v>#N/A</v>
      </c>
      <c r="F406" s="1215" t="e">
        <v>#N/A</v>
      </c>
      <c r="G406" s="1215" t="e">
        <v>#N/A</v>
      </c>
      <c r="H406" s="1215" t="e">
        <v>#N/A</v>
      </c>
      <c r="I406" s="1215" t="e">
        <v>#N/A</v>
      </c>
      <c r="J406" s="1215" t="e">
        <v>#N/A</v>
      </c>
      <c r="K406" s="1215" t="e">
        <v>#N/A</v>
      </c>
      <c r="L406" s="1215" t="e">
        <v>#N/A</v>
      </c>
      <c r="M406" s="1215" t="e">
        <v>#N/A</v>
      </c>
      <c r="N406" s="1215" t="e">
        <v>#N/A</v>
      </c>
      <c r="O406" s="1215" t="e">
        <v>#N/A</v>
      </c>
      <c r="P406" s="1215" t="e">
        <v>#N/A</v>
      </c>
      <c r="Q406" s="1215" t="e">
        <v>#N/A</v>
      </c>
      <c r="R406" s="2661" t="e">
        <v>#N/A</v>
      </c>
      <c r="S406" s="3535" t="e">
        <v>#N/A</v>
      </c>
      <c r="T406" s="3535" t="e">
        <v>#N/A</v>
      </c>
      <c r="U406" s="3535" t="e">
        <v>#N/A</v>
      </c>
      <c r="V406" s="3535" t="e">
        <v>#N/A</v>
      </c>
      <c r="W406" s="3535" t="e">
        <v>#N/A</v>
      </c>
      <c r="X406" s="3535" t="e">
        <v>#N/A</v>
      </c>
      <c r="Y406" s="3535" t="e">
        <v>#N/A</v>
      </c>
      <c r="Z406" s="3535" t="e">
        <v>#N/A</v>
      </c>
      <c r="AA406" s="3535" t="e">
        <v>#N/A</v>
      </c>
      <c r="AB406" s="3535" t="e">
        <v>#N/A</v>
      </c>
      <c r="AC406" s="3535" t="e">
        <v>#N/A</v>
      </c>
      <c r="AD406" s="3535" t="e">
        <v>#N/A</v>
      </c>
      <c r="AE406" s="3535" t="e">
        <v>#N/A</v>
      </c>
      <c r="AF406" s="3535" t="e">
        <v>#N/A</v>
      </c>
      <c r="AG406" s="3535" t="e">
        <v>#N/A</v>
      </c>
      <c r="AH406" s="3535" t="e">
        <v>#N/A</v>
      </c>
      <c r="AI406" s="3535" t="e">
        <v>#N/A</v>
      </c>
      <c r="AJ406" s="3535" t="e">
        <v>#N/A</v>
      </c>
      <c r="AK406" s="3535" t="e">
        <v>#N/A</v>
      </c>
      <c r="AL406" s="3535" t="e">
        <v>#N/A</v>
      </c>
      <c r="AM406" s="3535" t="e">
        <v>#N/A</v>
      </c>
      <c r="AN406" s="3535" t="e">
        <v>#N/A</v>
      </c>
      <c r="AO406" s="3535" t="e">
        <v>#N/A</v>
      </c>
      <c r="AP406" s="3535" t="e">
        <v>#N/A</v>
      </c>
      <c r="AQ406" s="3535" t="e">
        <v>#N/A</v>
      </c>
      <c r="AR406" s="3535" t="e">
        <v>#N/A</v>
      </c>
      <c r="AS406" s="3535" t="e">
        <v>#N/A</v>
      </c>
      <c r="AT406" s="3535" t="e">
        <v>#N/A</v>
      </c>
      <c r="AU406" s="3535" t="e">
        <v>#N/A</v>
      </c>
      <c r="AV406" s="3535" t="e">
        <v>#N/A</v>
      </c>
      <c r="AW406" s="3535" t="e">
        <v>#N/A</v>
      </c>
      <c r="AX406" s="3535" t="e">
        <v>#N/A</v>
      </c>
      <c r="AY406" s="3535" t="e">
        <v>#N/A</v>
      </c>
      <c r="AZ406" s="3535" t="e">
        <v>#N/A</v>
      </c>
      <c r="BA406" s="3535" t="e">
        <v>#N/A</v>
      </c>
      <c r="BB406" s="3535" t="e">
        <v>#N/A</v>
      </c>
      <c r="BC406" s="3535" t="e">
        <v>#N/A</v>
      </c>
      <c r="BD406" s="3535" t="e">
        <v>#N/A</v>
      </c>
      <c r="BE406" s="3535" t="e">
        <v>#N/A</v>
      </c>
      <c r="BF406" s="3535" t="e">
        <v>#N/A</v>
      </c>
      <c r="BG406" s="3535" t="e">
        <v>#N/A</v>
      </c>
      <c r="BH406" s="3535" t="e">
        <v>#N/A</v>
      </c>
      <c r="BI406" s="3535" t="e">
        <v>#N/A</v>
      </c>
      <c r="BJ406" s="3535" t="e">
        <v>#N/A</v>
      </c>
      <c r="BK406" s="3535" t="e">
        <v>#N/A</v>
      </c>
      <c r="BL406" s="3535" t="e">
        <v>#N/A</v>
      </c>
      <c r="BM406" s="3535" t="e">
        <v>#N/A</v>
      </c>
      <c r="BN406" s="3535" t="e">
        <v>#N/A</v>
      </c>
      <c r="BO406" s="3535" t="e">
        <v>#N/A</v>
      </c>
      <c r="BP406" s="3535" t="e">
        <v>#N/A</v>
      </c>
      <c r="BQ406" s="3535" t="e">
        <v>#N/A</v>
      </c>
      <c r="BR406" s="3535" t="e">
        <v>#N/A</v>
      </c>
      <c r="BS406" s="3535" t="e">
        <v>#N/A</v>
      </c>
      <c r="BT406" s="3535" t="e">
        <v>#N/A</v>
      </c>
      <c r="BU406" s="3535" t="e">
        <v>#N/A</v>
      </c>
      <c r="BV406" s="3535" t="e">
        <v>#N/A</v>
      </c>
      <c r="BW406" s="3535" t="e">
        <v>#N/A</v>
      </c>
      <c r="BX406" s="3535" t="e">
        <v>#N/A</v>
      </c>
      <c r="BY406" s="3535" t="e">
        <v>#N/A</v>
      </c>
      <c r="BZ406" s="3535" t="e">
        <v>#N/A</v>
      </c>
      <c r="CA406" s="3535" t="e">
        <v>#N/A</v>
      </c>
      <c r="CB406" s="3535" t="e">
        <v>#N/A</v>
      </c>
      <c r="CC406" s="3535" t="e">
        <v>#N/A</v>
      </c>
      <c r="CD406" s="3535" t="e">
        <v>#N/A</v>
      </c>
      <c r="CE406" s="3535" t="e">
        <v>#N/A</v>
      </c>
      <c r="CF406" s="3535" t="e">
        <v>#N/A</v>
      </c>
      <c r="CG406" s="3535" t="e">
        <v>#N/A</v>
      </c>
      <c r="CH406" s="3535" t="e">
        <v>#N/A</v>
      </c>
      <c r="CI406" s="3535" t="e">
        <v>#N/A</v>
      </c>
      <c r="CJ406" s="2978" t="e">
        <v>#N/A</v>
      </c>
    </row>
    <row r="407" spans="1:88">
      <c r="A407" s="53">
        <f t="shared" si="1"/>
        <v>2027.02</v>
      </c>
      <c r="B407" s="615" t="e">
        <v>#N/A</v>
      </c>
      <c r="C407" s="3535" t="e">
        <v>#N/A</v>
      </c>
      <c r="D407" s="358" t="e">
        <v>#N/A</v>
      </c>
      <c r="E407" s="615" t="e">
        <v>#N/A</v>
      </c>
      <c r="F407" s="1215" t="e">
        <v>#N/A</v>
      </c>
      <c r="G407" s="1215" t="e">
        <v>#N/A</v>
      </c>
      <c r="H407" s="1215" t="e">
        <v>#N/A</v>
      </c>
      <c r="I407" s="1215" t="e">
        <v>#N/A</v>
      </c>
      <c r="J407" s="1215" t="e">
        <v>#N/A</v>
      </c>
      <c r="K407" s="1215" t="e">
        <v>#N/A</v>
      </c>
      <c r="L407" s="1215" t="e">
        <v>#N/A</v>
      </c>
      <c r="M407" s="1215" t="e">
        <v>#N/A</v>
      </c>
      <c r="N407" s="1215" t="e">
        <v>#N/A</v>
      </c>
      <c r="O407" s="1215" t="e">
        <v>#N/A</v>
      </c>
      <c r="P407" s="1215" t="e">
        <v>#N/A</v>
      </c>
      <c r="Q407" s="1215" t="e">
        <v>#N/A</v>
      </c>
      <c r="R407" s="2661" t="e">
        <v>#N/A</v>
      </c>
      <c r="S407" s="3535" t="e">
        <v>#N/A</v>
      </c>
      <c r="T407" s="3535" t="e">
        <v>#N/A</v>
      </c>
      <c r="U407" s="3535" t="e">
        <v>#N/A</v>
      </c>
      <c r="V407" s="3535" t="e">
        <v>#N/A</v>
      </c>
      <c r="W407" s="3535" t="e">
        <v>#N/A</v>
      </c>
      <c r="X407" s="3535" t="e">
        <v>#N/A</v>
      </c>
      <c r="Y407" s="3535" t="e">
        <v>#N/A</v>
      </c>
      <c r="Z407" s="3535" t="e">
        <v>#N/A</v>
      </c>
      <c r="AA407" s="3535" t="e">
        <v>#N/A</v>
      </c>
      <c r="AB407" s="3535" t="e">
        <v>#N/A</v>
      </c>
      <c r="AC407" s="3535" t="e">
        <v>#N/A</v>
      </c>
      <c r="AD407" s="3535" t="e">
        <v>#N/A</v>
      </c>
      <c r="AE407" s="3535" t="e">
        <v>#N/A</v>
      </c>
      <c r="AF407" s="3535" t="e">
        <v>#N/A</v>
      </c>
      <c r="AG407" s="3535" t="e">
        <v>#N/A</v>
      </c>
      <c r="AH407" s="3535" t="e">
        <v>#N/A</v>
      </c>
      <c r="AI407" s="3535" t="e">
        <v>#N/A</v>
      </c>
      <c r="AJ407" s="3535" t="e">
        <v>#N/A</v>
      </c>
      <c r="AK407" s="3535" t="e">
        <v>#N/A</v>
      </c>
      <c r="AL407" s="3535" t="e">
        <v>#N/A</v>
      </c>
      <c r="AM407" s="3535" t="e">
        <v>#N/A</v>
      </c>
      <c r="AN407" s="3535" t="e">
        <v>#N/A</v>
      </c>
      <c r="AO407" s="3535" t="e">
        <v>#N/A</v>
      </c>
      <c r="AP407" s="3535" t="e">
        <v>#N/A</v>
      </c>
      <c r="AQ407" s="3535" t="e">
        <v>#N/A</v>
      </c>
      <c r="AR407" s="3535" t="e">
        <v>#N/A</v>
      </c>
      <c r="AS407" s="3535" t="e">
        <v>#N/A</v>
      </c>
      <c r="AT407" s="3535" t="e">
        <v>#N/A</v>
      </c>
      <c r="AU407" s="3535" t="e">
        <v>#N/A</v>
      </c>
      <c r="AV407" s="3535" t="e">
        <v>#N/A</v>
      </c>
      <c r="AW407" s="3535" t="e">
        <v>#N/A</v>
      </c>
      <c r="AX407" s="3535" t="e">
        <v>#N/A</v>
      </c>
      <c r="AY407" s="3535" t="e">
        <v>#N/A</v>
      </c>
      <c r="AZ407" s="3535" t="e">
        <v>#N/A</v>
      </c>
      <c r="BA407" s="3535" t="e">
        <v>#N/A</v>
      </c>
      <c r="BB407" s="3535" t="e">
        <v>#N/A</v>
      </c>
      <c r="BC407" s="3535" t="e">
        <v>#N/A</v>
      </c>
      <c r="BD407" s="3535" t="e">
        <v>#N/A</v>
      </c>
      <c r="BE407" s="3535" t="e">
        <v>#N/A</v>
      </c>
      <c r="BF407" s="3535" t="e">
        <v>#N/A</v>
      </c>
      <c r="BG407" s="3535" t="e">
        <v>#N/A</v>
      </c>
      <c r="BH407" s="3535" t="e">
        <v>#N/A</v>
      </c>
      <c r="BI407" s="3535" t="e">
        <v>#N/A</v>
      </c>
      <c r="BJ407" s="3535" t="e">
        <v>#N/A</v>
      </c>
      <c r="BK407" s="3535" t="e">
        <v>#N/A</v>
      </c>
      <c r="BL407" s="3535" t="e">
        <v>#N/A</v>
      </c>
      <c r="BM407" s="3535" t="e">
        <v>#N/A</v>
      </c>
      <c r="BN407" s="3535" t="e">
        <v>#N/A</v>
      </c>
      <c r="BO407" s="3535" t="e">
        <v>#N/A</v>
      </c>
      <c r="BP407" s="3535" t="e">
        <v>#N/A</v>
      </c>
      <c r="BQ407" s="3535" t="e">
        <v>#N/A</v>
      </c>
      <c r="BR407" s="3535" t="e">
        <v>#N/A</v>
      </c>
      <c r="BS407" s="3535" t="e">
        <v>#N/A</v>
      </c>
      <c r="BT407" s="3535" t="e">
        <v>#N/A</v>
      </c>
      <c r="BU407" s="3535" t="e">
        <v>#N/A</v>
      </c>
      <c r="BV407" s="3535" t="e">
        <v>#N/A</v>
      </c>
      <c r="BW407" s="3535" t="e">
        <v>#N/A</v>
      </c>
      <c r="BX407" s="3535" t="e">
        <v>#N/A</v>
      </c>
      <c r="BY407" s="3535" t="e">
        <v>#N/A</v>
      </c>
      <c r="BZ407" s="3535" t="e">
        <v>#N/A</v>
      </c>
      <c r="CA407" s="3535" t="e">
        <v>#N/A</v>
      </c>
      <c r="CB407" s="3535" t="e">
        <v>#N/A</v>
      </c>
      <c r="CC407" s="3535" t="e">
        <v>#N/A</v>
      </c>
      <c r="CD407" s="3535" t="e">
        <v>#N/A</v>
      </c>
      <c r="CE407" s="3535" t="e">
        <v>#N/A</v>
      </c>
      <c r="CF407" s="3535" t="e">
        <v>#N/A</v>
      </c>
      <c r="CG407" s="3535" t="e">
        <v>#N/A</v>
      </c>
      <c r="CH407" s="3535" t="e">
        <v>#N/A</v>
      </c>
      <c r="CI407" s="3535" t="e">
        <v>#N/A</v>
      </c>
      <c r="CJ407" s="2978" t="e">
        <v>#N/A</v>
      </c>
    </row>
    <row r="408" spans="1:88">
      <c r="A408" s="53">
        <f t="shared" si="1"/>
        <v>2027.03</v>
      </c>
      <c r="B408" s="615" t="e">
        <v>#N/A</v>
      </c>
      <c r="C408" s="3535" t="e">
        <v>#N/A</v>
      </c>
      <c r="D408" s="358" t="e">
        <v>#N/A</v>
      </c>
      <c r="E408" s="615" t="e">
        <v>#N/A</v>
      </c>
      <c r="F408" s="1215" t="e">
        <v>#N/A</v>
      </c>
      <c r="G408" s="1215" t="e">
        <v>#N/A</v>
      </c>
      <c r="H408" s="1215" t="e">
        <v>#N/A</v>
      </c>
      <c r="I408" s="1215" t="e">
        <v>#N/A</v>
      </c>
      <c r="J408" s="1215" t="e">
        <v>#N/A</v>
      </c>
      <c r="K408" s="1215" t="e">
        <v>#N/A</v>
      </c>
      <c r="L408" s="1215" t="e">
        <v>#N/A</v>
      </c>
      <c r="M408" s="1215" t="e">
        <v>#N/A</v>
      </c>
      <c r="N408" s="1215" t="e">
        <v>#N/A</v>
      </c>
      <c r="O408" s="1215" t="e">
        <v>#N/A</v>
      </c>
      <c r="P408" s="1215" t="e">
        <v>#N/A</v>
      </c>
      <c r="Q408" s="1215" t="e">
        <v>#N/A</v>
      </c>
      <c r="R408" s="2661" t="e">
        <v>#N/A</v>
      </c>
      <c r="S408" s="3535" t="e">
        <v>#N/A</v>
      </c>
      <c r="T408" s="3535" t="e">
        <v>#N/A</v>
      </c>
      <c r="U408" s="3535" t="e">
        <v>#N/A</v>
      </c>
      <c r="V408" s="3535" t="e">
        <v>#N/A</v>
      </c>
      <c r="W408" s="3535" t="e">
        <v>#N/A</v>
      </c>
      <c r="X408" s="3535" t="e">
        <v>#N/A</v>
      </c>
      <c r="Y408" s="3535" t="e">
        <v>#N/A</v>
      </c>
      <c r="Z408" s="3535" t="e">
        <v>#N/A</v>
      </c>
      <c r="AA408" s="3535" t="e">
        <v>#N/A</v>
      </c>
      <c r="AB408" s="3535" t="e">
        <v>#N/A</v>
      </c>
      <c r="AC408" s="3535" t="e">
        <v>#N/A</v>
      </c>
      <c r="AD408" s="3535" t="e">
        <v>#N/A</v>
      </c>
      <c r="AE408" s="3535" t="e">
        <v>#N/A</v>
      </c>
      <c r="AF408" s="3535" t="e">
        <v>#N/A</v>
      </c>
      <c r="AG408" s="3535" t="e">
        <v>#N/A</v>
      </c>
      <c r="AH408" s="3535" t="e">
        <v>#N/A</v>
      </c>
      <c r="AI408" s="3535" t="e">
        <v>#N/A</v>
      </c>
      <c r="AJ408" s="3535" t="e">
        <v>#N/A</v>
      </c>
      <c r="AK408" s="3535" t="e">
        <v>#N/A</v>
      </c>
      <c r="AL408" s="3535" t="e">
        <v>#N/A</v>
      </c>
      <c r="AM408" s="3535" t="e">
        <v>#N/A</v>
      </c>
      <c r="AN408" s="3535" t="e">
        <v>#N/A</v>
      </c>
      <c r="AO408" s="3535" t="e">
        <v>#N/A</v>
      </c>
      <c r="AP408" s="3535" t="e">
        <v>#N/A</v>
      </c>
      <c r="AQ408" s="3535" t="e">
        <v>#N/A</v>
      </c>
      <c r="AR408" s="3535" t="e">
        <v>#N/A</v>
      </c>
      <c r="AS408" s="3535" t="e">
        <v>#N/A</v>
      </c>
      <c r="AT408" s="3535" t="e">
        <v>#N/A</v>
      </c>
      <c r="AU408" s="3535" t="e">
        <v>#N/A</v>
      </c>
      <c r="AV408" s="3535" t="e">
        <v>#N/A</v>
      </c>
      <c r="AW408" s="3535" t="e">
        <v>#N/A</v>
      </c>
      <c r="AX408" s="3535" t="e">
        <v>#N/A</v>
      </c>
      <c r="AY408" s="3535" t="e">
        <v>#N/A</v>
      </c>
      <c r="AZ408" s="3535" t="e">
        <v>#N/A</v>
      </c>
      <c r="BA408" s="3535" t="e">
        <v>#N/A</v>
      </c>
      <c r="BB408" s="3535" t="e">
        <v>#N/A</v>
      </c>
      <c r="BC408" s="3535" t="e">
        <v>#N/A</v>
      </c>
      <c r="BD408" s="3535" t="e">
        <v>#N/A</v>
      </c>
      <c r="BE408" s="3535" t="e">
        <v>#N/A</v>
      </c>
      <c r="BF408" s="3535" t="e">
        <v>#N/A</v>
      </c>
      <c r="BG408" s="3535" t="e">
        <v>#N/A</v>
      </c>
      <c r="BH408" s="3535" t="e">
        <v>#N/A</v>
      </c>
      <c r="BI408" s="3535" t="e">
        <v>#N/A</v>
      </c>
      <c r="BJ408" s="3535" t="e">
        <v>#N/A</v>
      </c>
      <c r="BK408" s="3535" t="e">
        <v>#N/A</v>
      </c>
      <c r="BL408" s="3535" t="e">
        <v>#N/A</v>
      </c>
      <c r="BM408" s="3535" t="e">
        <v>#N/A</v>
      </c>
      <c r="BN408" s="3535" t="e">
        <v>#N/A</v>
      </c>
      <c r="BO408" s="3535" t="e">
        <v>#N/A</v>
      </c>
      <c r="BP408" s="3535" t="e">
        <v>#N/A</v>
      </c>
      <c r="BQ408" s="3535" t="e">
        <v>#N/A</v>
      </c>
      <c r="BR408" s="3535" t="e">
        <v>#N/A</v>
      </c>
      <c r="BS408" s="3535" t="e">
        <v>#N/A</v>
      </c>
      <c r="BT408" s="3535" t="e">
        <v>#N/A</v>
      </c>
      <c r="BU408" s="3535" t="e">
        <v>#N/A</v>
      </c>
      <c r="BV408" s="3535" t="e">
        <v>#N/A</v>
      </c>
      <c r="BW408" s="3535" t="e">
        <v>#N/A</v>
      </c>
      <c r="BX408" s="3535" t="e">
        <v>#N/A</v>
      </c>
      <c r="BY408" s="3535" t="e">
        <v>#N/A</v>
      </c>
      <c r="BZ408" s="3535" t="e">
        <v>#N/A</v>
      </c>
      <c r="CA408" s="3535" t="e">
        <v>#N/A</v>
      </c>
      <c r="CB408" s="3535" t="e">
        <v>#N/A</v>
      </c>
      <c r="CC408" s="3535" t="e">
        <v>#N/A</v>
      </c>
      <c r="CD408" s="3535" t="e">
        <v>#N/A</v>
      </c>
      <c r="CE408" s="3535" t="e">
        <v>#N/A</v>
      </c>
      <c r="CF408" s="3535" t="e">
        <v>#N/A</v>
      </c>
      <c r="CG408" s="3535" t="e">
        <v>#N/A</v>
      </c>
      <c r="CH408" s="3535" t="e">
        <v>#N/A</v>
      </c>
      <c r="CI408" s="3535" t="e">
        <v>#N/A</v>
      </c>
      <c r="CJ408" s="2978" t="e">
        <v>#N/A</v>
      </c>
    </row>
    <row r="409" spans="1:88">
      <c r="A409" s="53">
        <f t="shared" si="1"/>
        <v>2027.04</v>
      </c>
      <c r="B409" s="615" t="e">
        <v>#N/A</v>
      </c>
      <c r="C409" s="3535" t="e">
        <v>#N/A</v>
      </c>
      <c r="D409" s="358" t="e">
        <v>#N/A</v>
      </c>
      <c r="E409" s="615" t="e">
        <v>#N/A</v>
      </c>
      <c r="F409" s="1215" t="e">
        <v>#N/A</v>
      </c>
      <c r="G409" s="1215" t="e">
        <v>#N/A</v>
      </c>
      <c r="H409" s="1215" t="e">
        <v>#N/A</v>
      </c>
      <c r="I409" s="1215" t="e">
        <v>#N/A</v>
      </c>
      <c r="J409" s="1215" t="e">
        <v>#N/A</v>
      </c>
      <c r="K409" s="1215" t="e">
        <v>#N/A</v>
      </c>
      <c r="L409" s="1215" t="e">
        <v>#N/A</v>
      </c>
      <c r="M409" s="1215" t="e">
        <v>#N/A</v>
      </c>
      <c r="N409" s="1215" t="e">
        <v>#N/A</v>
      </c>
      <c r="O409" s="1215" t="e">
        <v>#N/A</v>
      </c>
      <c r="P409" s="1215" t="e">
        <v>#N/A</v>
      </c>
      <c r="Q409" s="1215" t="e">
        <v>#N/A</v>
      </c>
      <c r="R409" s="2661" t="e">
        <v>#N/A</v>
      </c>
      <c r="S409" s="3535" t="e">
        <v>#N/A</v>
      </c>
      <c r="T409" s="3535" t="e">
        <v>#N/A</v>
      </c>
      <c r="U409" s="3535" t="e">
        <v>#N/A</v>
      </c>
      <c r="V409" s="3535" t="e">
        <v>#N/A</v>
      </c>
      <c r="W409" s="3535" t="e">
        <v>#N/A</v>
      </c>
      <c r="X409" s="3535" t="e">
        <v>#N/A</v>
      </c>
      <c r="Y409" s="3535" t="e">
        <v>#N/A</v>
      </c>
      <c r="Z409" s="3535" t="e">
        <v>#N/A</v>
      </c>
      <c r="AA409" s="3535" t="e">
        <v>#N/A</v>
      </c>
      <c r="AB409" s="3535" t="e">
        <v>#N/A</v>
      </c>
      <c r="AC409" s="3535" t="e">
        <v>#N/A</v>
      </c>
      <c r="AD409" s="3535" t="e">
        <v>#N/A</v>
      </c>
      <c r="AE409" s="3535" t="e">
        <v>#N/A</v>
      </c>
      <c r="AF409" s="3535" t="e">
        <v>#N/A</v>
      </c>
      <c r="AG409" s="3535" t="e">
        <v>#N/A</v>
      </c>
      <c r="AH409" s="3535" t="e">
        <v>#N/A</v>
      </c>
      <c r="AI409" s="3535" t="e">
        <v>#N/A</v>
      </c>
      <c r="AJ409" s="3535" t="e">
        <v>#N/A</v>
      </c>
      <c r="AK409" s="3535" t="e">
        <v>#N/A</v>
      </c>
      <c r="AL409" s="3535" t="e">
        <v>#N/A</v>
      </c>
      <c r="AM409" s="3535" t="e">
        <v>#N/A</v>
      </c>
      <c r="AN409" s="3535" t="e">
        <v>#N/A</v>
      </c>
      <c r="AO409" s="3535" t="e">
        <v>#N/A</v>
      </c>
      <c r="AP409" s="3535" t="e">
        <v>#N/A</v>
      </c>
      <c r="AQ409" s="3535" t="e">
        <v>#N/A</v>
      </c>
      <c r="AR409" s="3535" t="e">
        <v>#N/A</v>
      </c>
      <c r="AS409" s="3535" t="e">
        <v>#N/A</v>
      </c>
      <c r="AT409" s="3535" t="e">
        <v>#N/A</v>
      </c>
      <c r="AU409" s="3535" t="e">
        <v>#N/A</v>
      </c>
      <c r="AV409" s="3535" t="e">
        <v>#N/A</v>
      </c>
      <c r="AW409" s="3535" t="e">
        <v>#N/A</v>
      </c>
      <c r="AX409" s="3535" t="e">
        <v>#N/A</v>
      </c>
      <c r="AY409" s="3535" t="e">
        <v>#N/A</v>
      </c>
      <c r="AZ409" s="3535" t="e">
        <v>#N/A</v>
      </c>
      <c r="BA409" s="3535" t="e">
        <v>#N/A</v>
      </c>
      <c r="BB409" s="3535" t="e">
        <v>#N/A</v>
      </c>
      <c r="BC409" s="3535" t="e">
        <v>#N/A</v>
      </c>
      <c r="BD409" s="3535" t="e">
        <v>#N/A</v>
      </c>
      <c r="BE409" s="3535" t="e">
        <v>#N/A</v>
      </c>
      <c r="BF409" s="3535" t="e">
        <v>#N/A</v>
      </c>
      <c r="BG409" s="3535" t="e">
        <v>#N/A</v>
      </c>
      <c r="BH409" s="3535" t="e">
        <v>#N/A</v>
      </c>
      <c r="BI409" s="3535" t="e">
        <v>#N/A</v>
      </c>
      <c r="BJ409" s="3535" t="e">
        <v>#N/A</v>
      </c>
      <c r="BK409" s="3535" t="e">
        <v>#N/A</v>
      </c>
      <c r="BL409" s="3535" t="e">
        <v>#N/A</v>
      </c>
      <c r="BM409" s="3535" t="e">
        <v>#N/A</v>
      </c>
      <c r="BN409" s="3535" t="e">
        <v>#N/A</v>
      </c>
      <c r="BO409" s="3535" t="e">
        <v>#N/A</v>
      </c>
      <c r="BP409" s="3535" t="e">
        <v>#N/A</v>
      </c>
      <c r="BQ409" s="3535" t="e">
        <v>#N/A</v>
      </c>
      <c r="BR409" s="3535" t="e">
        <v>#N/A</v>
      </c>
      <c r="BS409" s="3535" t="e">
        <v>#N/A</v>
      </c>
      <c r="BT409" s="3535" t="e">
        <v>#N/A</v>
      </c>
      <c r="BU409" s="3535" t="e">
        <v>#N/A</v>
      </c>
      <c r="BV409" s="3535" t="e">
        <v>#N/A</v>
      </c>
      <c r="BW409" s="3535" t="e">
        <v>#N/A</v>
      </c>
      <c r="BX409" s="3535" t="e">
        <v>#N/A</v>
      </c>
      <c r="BY409" s="3535" t="e">
        <v>#N/A</v>
      </c>
      <c r="BZ409" s="3535" t="e">
        <v>#N/A</v>
      </c>
      <c r="CA409" s="3535" t="e">
        <v>#N/A</v>
      </c>
      <c r="CB409" s="3535" t="e">
        <v>#N/A</v>
      </c>
      <c r="CC409" s="3535" t="e">
        <v>#N/A</v>
      </c>
      <c r="CD409" s="3535" t="e">
        <v>#N/A</v>
      </c>
      <c r="CE409" s="3535" t="e">
        <v>#N/A</v>
      </c>
      <c r="CF409" s="3535" t="e">
        <v>#N/A</v>
      </c>
      <c r="CG409" s="3535" t="e">
        <v>#N/A</v>
      </c>
      <c r="CH409" s="3535" t="e">
        <v>#N/A</v>
      </c>
      <c r="CI409" s="3535" t="e">
        <v>#N/A</v>
      </c>
      <c r="CJ409" s="2978" t="e">
        <v>#N/A</v>
      </c>
    </row>
    <row r="410" spans="1:88">
      <c r="A410" s="53">
        <f t="shared" si="1"/>
        <v>2027.05</v>
      </c>
      <c r="B410" s="615" t="e">
        <v>#N/A</v>
      </c>
      <c r="C410" s="3535" t="e">
        <v>#N/A</v>
      </c>
      <c r="D410" s="358" t="e">
        <v>#N/A</v>
      </c>
      <c r="E410" s="615" t="e">
        <v>#N/A</v>
      </c>
      <c r="F410" s="1215" t="e">
        <v>#N/A</v>
      </c>
      <c r="G410" s="1215" t="e">
        <v>#N/A</v>
      </c>
      <c r="H410" s="1215" t="e">
        <v>#N/A</v>
      </c>
      <c r="I410" s="1215" t="e">
        <v>#N/A</v>
      </c>
      <c r="J410" s="1215" t="e">
        <v>#N/A</v>
      </c>
      <c r="K410" s="1215" t="e">
        <v>#N/A</v>
      </c>
      <c r="L410" s="1215" t="e">
        <v>#N/A</v>
      </c>
      <c r="M410" s="1215" t="e">
        <v>#N/A</v>
      </c>
      <c r="N410" s="1215" t="e">
        <v>#N/A</v>
      </c>
      <c r="O410" s="1215" t="e">
        <v>#N/A</v>
      </c>
      <c r="P410" s="1215" t="e">
        <v>#N/A</v>
      </c>
      <c r="Q410" s="1215" t="e">
        <v>#N/A</v>
      </c>
      <c r="R410" s="2661" t="e">
        <v>#N/A</v>
      </c>
      <c r="S410" s="3535" t="e">
        <v>#N/A</v>
      </c>
      <c r="T410" s="3535" t="e">
        <v>#N/A</v>
      </c>
      <c r="U410" s="3535" t="e">
        <v>#N/A</v>
      </c>
      <c r="V410" s="3535" t="e">
        <v>#N/A</v>
      </c>
      <c r="W410" s="3535" t="e">
        <v>#N/A</v>
      </c>
      <c r="X410" s="3535" t="e">
        <v>#N/A</v>
      </c>
      <c r="Y410" s="3535" t="e">
        <v>#N/A</v>
      </c>
      <c r="Z410" s="3535" t="e">
        <v>#N/A</v>
      </c>
      <c r="AA410" s="3535" t="e">
        <v>#N/A</v>
      </c>
      <c r="AB410" s="3535" t="e">
        <v>#N/A</v>
      </c>
      <c r="AC410" s="3535" t="e">
        <v>#N/A</v>
      </c>
      <c r="AD410" s="3535" t="e">
        <v>#N/A</v>
      </c>
      <c r="AE410" s="3535" t="e">
        <v>#N/A</v>
      </c>
      <c r="AF410" s="3535" t="e">
        <v>#N/A</v>
      </c>
      <c r="AG410" s="3535" t="e">
        <v>#N/A</v>
      </c>
      <c r="AH410" s="3535" t="e">
        <v>#N/A</v>
      </c>
      <c r="AI410" s="3535" t="e">
        <v>#N/A</v>
      </c>
      <c r="AJ410" s="3535" t="e">
        <v>#N/A</v>
      </c>
      <c r="AK410" s="3535" t="e">
        <v>#N/A</v>
      </c>
      <c r="AL410" s="3535" t="e">
        <v>#N/A</v>
      </c>
      <c r="AM410" s="3535" t="e">
        <v>#N/A</v>
      </c>
      <c r="AN410" s="3535" t="e">
        <v>#N/A</v>
      </c>
      <c r="AO410" s="3535" t="e">
        <v>#N/A</v>
      </c>
      <c r="AP410" s="3535" t="e">
        <v>#N/A</v>
      </c>
      <c r="AQ410" s="3535" t="e">
        <v>#N/A</v>
      </c>
      <c r="AR410" s="3535" t="e">
        <v>#N/A</v>
      </c>
      <c r="AS410" s="3535" t="e">
        <v>#N/A</v>
      </c>
      <c r="AT410" s="3535" t="e">
        <v>#N/A</v>
      </c>
      <c r="AU410" s="3535" t="e">
        <v>#N/A</v>
      </c>
      <c r="AV410" s="3535" t="e">
        <v>#N/A</v>
      </c>
      <c r="AW410" s="3535" t="e">
        <v>#N/A</v>
      </c>
      <c r="AX410" s="3535" t="e">
        <v>#N/A</v>
      </c>
      <c r="AY410" s="3535" t="e">
        <v>#N/A</v>
      </c>
      <c r="AZ410" s="3535" t="e">
        <v>#N/A</v>
      </c>
      <c r="BA410" s="3535" t="e">
        <v>#N/A</v>
      </c>
      <c r="BB410" s="3535" t="e">
        <v>#N/A</v>
      </c>
      <c r="BC410" s="3535" t="e">
        <v>#N/A</v>
      </c>
      <c r="BD410" s="3535" t="e">
        <v>#N/A</v>
      </c>
      <c r="BE410" s="3535" t="e">
        <v>#N/A</v>
      </c>
      <c r="BF410" s="3535" t="e">
        <v>#N/A</v>
      </c>
      <c r="BG410" s="3535" t="e">
        <v>#N/A</v>
      </c>
      <c r="BH410" s="3535" t="e">
        <v>#N/A</v>
      </c>
      <c r="BI410" s="3535" t="e">
        <v>#N/A</v>
      </c>
      <c r="BJ410" s="3535" t="e">
        <v>#N/A</v>
      </c>
      <c r="BK410" s="3535" t="e">
        <v>#N/A</v>
      </c>
      <c r="BL410" s="3535" t="e">
        <v>#N/A</v>
      </c>
      <c r="BM410" s="3535" t="e">
        <v>#N/A</v>
      </c>
      <c r="BN410" s="3535" t="e">
        <v>#N/A</v>
      </c>
      <c r="BO410" s="3535" t="e">
        <v>#N/A</v>
      </c>
      <c r="BP410" s="3535" t="e">
        <v>#N/A</v>
      </c>
      <c r="BQ410" s="3535" t="e">
        <v>#N/A</v>
      </c>
      <c r="BR410" s="3535" t="e">
        <v>#N/A</v>
      </c>
      <c r="BS410" s="3535" t="e">
        <v>#N/A</v>
      </c>
      <c r="BT410" s="3535" t="e">
        <v>#N/A</v>
      </c>
      <c r="BU410" s="3535" t="e">
        <v>#N/A</v>
      </c>
      <c r="BV410" s="3535" t="e">
        <v>#N/A</v>
      </c>
      <c r="BW410" s="3535" t="e">
        <v>#N/A</v>
      </c>
      <c r="BX410" s="3535" t="e">
        <v>#N/A</v>
      </c>
      <c r="BY410" s="3535" t="e">
        <v>#N/A</v>
      </c>
      <c r="BZ410" s="3535" t="e">
        <v>#N/A</v>
      </c>
      <c r="CA410" s="3535" t="e">
        <v>#N/A</v>
      </c>
      <c r="CB410" s="3535" t="e">
        <v>#N/A</v>
      </c>
      <c r="CC410" s="3535" t="e">
        <v>#N/A</v>
      </c>
      <c r="CD410" s="3535" t="e">
        <v>#N/A</v>
      </c>
      <c r="CE410" s="3535" t="e">
        <v>#N/A</v>
      </c>
      <c r="CF410" s="3535" t="e">
        <v>#N/A</v>
      </c>
      <c r="CG410" s="3535" t="e">
        <v>#N/A</v>
      </c>
      <c r="CH410" s="3535" t="e">
        <v>#N/A</v>
      </c>
      <c r="CI410" s="3535" t="e">
        <v>#N/A</v>
      </c>
      <c r="CJ410" s="2978" t="e">
        <v>#N/A</v>
      </c>
    </row>
    <row r="411" spans="1:88">
      <c r="A411" s="53">
        <f t="shared" si="1"/>
        <v>2027.06</v>
      </c>
      <c r="B411" s="615" t="e">
        <v>#N/A</v>
      </c>
      <c r="C411" s="3535" t="e">
        <v>#N/A</v>
      </c>
      <c r="D411" s="358" t="e">
        <v>#N/A</v>
      </c>
      <c r="E411" s="615" t="e">
        <v>#N/A</v>
      </c>
      <c r="F411" s="1215" t="e">
        <v>#N/A</v>
      </c>
      <c r="G411" s="1215" t="e">
        <v>#N/A</v>
      </c>
      <c r="H411" s="1215" t="e">
        <v>#N/A</v>
      </c>
      <c r="I411" s="1215" t="e">
        <v>#N/A</v>
      </c>
      <c r="J411" s="1215" t="e">
        <v>#N/A</v>
      </c>
      <c r="K411" s="1215" t="e">
        <v>#N/A</v>
      </c>
      <c r="L411" s="1215" t="e">
        <v>#N/A</v>
      </c>
      <c r="M411" s="1215" t="e">
        <v>#N/A</v>
      </c>
      <c r="N411" s="1215" t="e">
        <v>#N/A</v>
      </c>
      <c r="O411" s="1215" t="e">
        <v>#N/A</v>
      </c>
      <c r="P411" s="1215" t="e">
        <v>#N/A</v>
      </c>
      <c r="Q411" s="1215" t="e">
        <v>#N/A</v>
      </c>
      <c r="R411" s="2661" t="e">
        <v>#N/A</v>
      </c>
      <c r="S411" s="3535" t="e">
        <v>#N/A</v>
      </c>
      <c r="T411" s="3535" t="e">
        <v>#N/A</v>
      </c>
      <c r="U411" s="3535" t="e">
        <v>#N/A</v>
      </c>
      <c r="V411" s="3535" t="e">
        <v>#N/A</v>
      </c>
      <c r="W411" s="3535" t="e">
        <v>#N/A</v>
      </c>
      <c r="X411" s="3535" t="e">
        <v>#N/A</v>
      </c>
      <c r="Y411" s="3535" t="e">
        <v>#N/A</v>
      </c>
      <c r="Z411" s="3535" t="e">
        <v>#N/A</v>
      </c>
      <c r="AA411" s="3535" t="e">
        <v>#N/A</v>
      </c>
      <c r="AB411" s="3535" t="e">
        <v>#N/A</v>
      </c>
      <c r="AC411" s="3535" t="e">
        <v>#N/A</v>
      </c>
      <c r="AD411" s="3535" t="e">
        <v>#N/A</v>
      </c>
      <c r="AE411" s="3535" t="e">
        <v>#N/A</v>
      </c>
      <c r="AF411" s="3535" t="e">
        <v>#N/A</v>
      </c>
      <c r="AG411" s="3535" t="e">
        <v>#N/A</v>
      </c>
      <c r="AH411" s="3535" t="e">
        <v>#N/A</v>
      </c>
      <c r="AI411" s="3535" t="e">
        <v>#N/A</v>
      </c>
      <c r="AJ411" s="3535" t="e">
        <v>#N/A</v>
      </c>
      <c r="AK411" s="3535" t="e">
        <v>#N/A</v>
      </c>
      <c r="AL411" s="3535" t="e">
        <v>#N/A</v>
      </c>
      <c r="AM411" s="3535" t="e">
        <v>#N/A</v>
      </c>
      <c r="AN411" s="3535" t="e">
        <v>#N/A</v>
      </c>
      <c r="AO411" s="3535" t="e">
        <v>#N/A</v>
      </c>
      <c r="AP411" s="3535" t="e">
        <v>#N/A</v>
      </c>
      <c r="AQ411" s="3535" t="e">
        <v>#N/A</v>
      </c>
      <c r="AR411" s="3535" t="e">
        <v>#N/A</v>
      </c>
      <c r="AS411" s="3535" t="e">
        <v>#N/A</v>
      </c>
      <c r="AT411" s="3535" t="e">
        <v>#N/A</v>
      </c>
      <c r="AU411" s="3535" t="e">
        <v>#N/A</v>
      </c>
      <c r="AV411" s="3535" t="e">
        <v>#N/A</v>
      </c>
      <c r="AW411" s="3535" t="e">
        <v>#N/A</v>
      </c>
      <c r="AX411" s="3535" t="e">
        <v>#N/A</v>
      </c>
      <c r="AY411" s="3535" t="e">
        <v>#N/A</v>
      </c>
      <c r="AZ411" s="3535" t="e">
        <v>#N/A</v>
      </c>
      <c r="BA411" s="3535" t="e">
        <v>#N/A</v>
      </c>
      <c r="BB411" s="3535" t="e">
        <v>#N/A</v>
      </c>
      <c r="BC411" s="3535" t="e">
        <v>#N/A</v>
      </c>
      <c r="BD411" s="3535" t="e">
        <v>#N/A</v>
      </c>
      <c r="BE411" s="3535" t="e">
        <v>#N/A</v>
      </c>
      <c r="BF411" s="3535" t="e">
        <v>#N/A</v>
      </c>
      <c r="BG411" s="3535" t="e">
        <v>#N/A</v>
      </c>
      <c r="BH411" s="3535" t="e">
        <v>#N/A</v>
      </c>
      <c r="BI411" s="3535" t="e">
        <v>#N/A</v>
      </c>
      <c r="BJ411" s="3535" t="e">
        <v>#N/A</v>
      </c>
      <c r="BK411" s="3535" t="e">
        <v>#N/A</v>
      </c>
      <c r="BL411" s="3535" t="e">
        <v>#N/A</v>
      </c>
      <c r="BM411" s="3535" t="e">
        <v>#N/A</v>
      </c>
      <c r="BN411" s="3535" t="e">
        <v>#N/A</v>
      </c>
      <c r="BO411" s="3535" t="e">
        <v>#N/A</v>
      </c>
      <c r="BP411" s="3535" t="e">
        <v>#N/A</v>
      </c>
      <c r="BQ411" s="3535" t="e">
        <v>#N/A</v>
      </c>
      <c r="BR411" s="3535" t="e">
        <v>#N/A</v>
      </c>
      <c r="BS411" s="3535" t="e">
        <v>#N/A</v>
      </c>
      <c r="BT411" s="3535" t="e">
        <v>#N/A</v>
      </c>
      <c r="BU411" s="3535" t="e">
        <v>#N/A</v>
      </c>
      <c r="BV411" s="3535" t="e">
        <v>#N/A</v>
      </c>
      <c r="BW411" s="3535" t="e">
        <v>#N/A</v>
      </c>
      <c r="BX411" s="3535" t="e">
        <v>#N/A</v>
      </c>
      <c r="BY411" s="3535" t="e">
        <v>#N/A</v>
      </c>
      <c r="BZ411" s="3535" t="e">
        <v>#N/A</v>
      </c>
      <c r="CA411" s="3535" t="e">
        <v>#N/A</v>
      </c>
      <c r="CB411" s="3535" t="e">
        <v>#N/A</v>
      </c>
      <c r="CC411" s="3535" t="e">
        <v>#N/A</v>
      </c>
      <c r="CD411" s="3535" t="e">
        <v>#N/A</v>
      </c>
      <c r="CE411" s="3535" t="e">
        <v>#N/A</v>
      </c>
      <c r="CF411" s="3535" t="e">
        <v>#N/A</v>
      </c>
      <c r="CG411" s="3535" t="e">
        <v>#N/A</v>
      </c>
      <c r="CH411" s="3535" t="e">
        <v>#N/A</v>
      </c>
      <c r="CI411" s="3535" t="e">
        <v>#N/A</v>
      </c>
      <c r="CJ411" s="2978" t="e">
        <v>#N/A</v>
      </c>
    </row>
    <row r="412" spans="1:88">
      <c r="A412" s="53">
        <f t="shared" si="1"/>
        <v>2027.07</v>
      </c>
      <c r="B412" s="615" t="e">
        <v>#N/A</v>
      </c>
      <c r="C412" s="3535" t="e">
        <v>#N/A</v>
      </c>
      <c r="D412" s="358" t="e">
        <v>#N/A</v>
      </c>
      <c r="E412" s="615" t="e">
        <v>#N/A</v>
      </c>
      <c r="F412" s="1215" t="e">
        <v>#N/A</v>
      </c>
      <c r="G412" s="1215" t="e">
        <v>#N/A</v>
      </c>
      <c r="H412" s="1215" t="e">
        <v>#N/A</v>
      </c>
      <c r="I412" s="1215" t="e">
        <v>#N/A</v>
      </c>
      <c r="J412" s="1215" t="e">
        <v>#N/A</v>
      </c>
      <c r="K412" s="1215" t="e">
        <v>#N/A</v>
      </c>
      <c r="L412" s="1215" t="e">
        <v>#N/A</v>
      </c>
      <c r="M412" s="1215" t="e">
        <v>#N/A</v>
      </c>
      <c r="N412" s="1215" t="e">
        <v>#N/A</v>
      </c>
      <c r="O412" s="1215" t="e">
        <v>#N/A</v>
      </c>
      <c r="P412" s="1215" t="e">
        <v>#N/A</v>
      </c>
      <c r="Q412" s="1215" t="e">
        <v>#N/A</v>
      </c>
      <c r="R412" s="2661" t="e">
        <v>#N/A</v>
      </c>
      <c r="S412" s="3535" t="e">
        <v>#N/A</v>
      </c>
      <c r="T412" s="3535" t="e">
        <v>#N/A</v>
      </c>
      <c r="U412" s="3535" t="e">
        <v>#N/A</v>
      </c>
      <c r="V412" s="3535" t="e">
        <v>#N/A</v>
      </c>
      <c r="W412" s="3535" t="e">
        <v>#N/A</v>
      </c>
      <c r="X412" s="3535" t="e">
        <v>#N/A</v>
      </c>
      <c r="Y412" s="3535" t="e">
        <v>#N/A</v>
      </c>
      <c r="Z412" s="3535" t="e">
        <v>#N/A</v>
      </c>
      <c r="AA412" s="3535" t="e">
        <v>#N/A</v>
      </c>
      <c r="AB412" s="3535" t="e">
        <v>#N/A</v>
      </c>
      <c r="AC412" s="3535" t="e">
        <v>#N/A</v>
      </c>
      <c r="AD412" s="3535" t="e">
        <v>#N/A</v>
      </c>
      <c r="AE412" s="3535" t="e">
        <v>#N/A</v>
      </c>
      <c r="AF412" s="3535" t="e">
        <v>#N/A</v>
      </c>
      <c r="AG412" s="3535" t="e">
        <v>#N/A</v>
      </c>
      <c r="AH412" s="3535" t="e">
        <v>#N/A</v>
      </c>
      <c r="AI412" s="3535" t="e">
        <v>#N/A</v>
      </c>
      <c r="AJ412" s="3535" t="e">
        <v>#N/A</v>
      </c>
      <c r="AK412" s="3535" t="e">
        <v>#N/A</v>
      </c>
      <c r="AL412" s="3535" t="e">
        <v>#N/A</v>
      </c>
      <c r="AM412" s="3535" t="e">
        <v>#N/A</v>
      </c>
      <c r="AN412" s="3535" t="e">
        <v>#N/A</v>
      </c>
      <c r="AO412" s="3535" t="e">
        <v>#N/A</v>
      </c>
      <c r="AP412" s="3535" t="e">
        <v>#N/A</v>
      </c>
      <c r="AQ412" s="3535" t="e">
        <v>#N/A</v>
      </c>
      <c r="AR412" s="3535" t="e">
        <v>#N/A</v>
      </c>
      <c r="AS412" s="3535" t="e">
        <v>#N/A</v>
      </c>
      <c r="AT412" s="3535" t="e">
        <v>#N/A</v>
      </c>
      <c r="AU412" s="3535" t="e">
        <v>#N/A</v>
      </c>
      <c r="AV412" s="3535" t="e">
        <v>#N/A</v>
      </c>
      <c r="AW412" s="3535" t="e">
        <v>#N/A</v>
      </c>
      <c r="AX412" s="3535" t="e">
        <v>#N/A</v>
      </c>
      <c r="AY412" s="3535" t="e">
        <v>#N/A</v>
      </c>
      <c r="AZ412" s="3535" t="e">
        <v>#N/A</v>
      </c>
      <c r="BA412" s="3535" t="e">
        <v>#N/A</v>
      </c>
      <c r="BB412" s="3535" t="e">
        <v>#N/A</v>
      </c>
      <c r="BC412" s="3535" t="e">
        <v>#N/A</v>
      </c>
      <c r="BD412" s="3535" t="e">
        <v>#N/A</v>
      </c>
      <c r="BE412" s="3535" t="e">
        <v>#N/A</v>
      </c>
      <c r="BF412" s="3535" t="e">
        <v>#N/A</v>
      </c>
      <c r="BG412" s="3535" t="e">
        <v>#N/A</v>
      </c>
      <c r="BH412" s="3535" t="e">
        <v>#N/A</v>
      </c>
      <c r="BI412" s="3535" t="e">
        <v>#N/A</v>
      </c>
      <c r="BJ412" s="3535" t="e">
        <v>#N/A</v>
      </c>
      <c r="BK412" s="3535" t="e">
        <v>#N/A</v>
      </c>
      <c r="BL412" s="3535" t="e">
        <v>#N/A</v>
      </c>
      <c r="BM412" s="3535" t="e">
        <v>#N/A</v>
      </c>
      <c r="BN412" s="3535" t="e">
        <v>#N/A</v>
      </c>
      <c r="BO412" s="3535" t="e">
        <v>#N/A</v>
      </c>
      <c r="BP412" s="3535" t="e">
        <v>#N/A</v>
      </c>
      <c r="BQ412" s="3535" t="e">
        <v>#N/A</v>
      </c>
      <c r="BR412" s="3535" t="e">
        <v>#N/A</v>
      </c>
      <c r="BS412" s="3535" t="e">
        <v>#N/A</v>
      </c>
      <c r="BT412" s="3535" t="e">
        <v>#N/A</v>
      </c>
      <c r="BU412" s="3535" t="e">
        <v>#N/A</v>
      </c>
      <c r="BV412" s="3535" t="e">
        <v>#N/A</v>
      </c>
      <c r="BW412" s="3535" t="e">
        <v>#N/A</v>
      </c>
      <c r="BX412" s="3535" t="e">
        <v>#N/A</v>
      </c>
      <c r="BY412" s="3535" t="e">
        <v>#N/A</v>
      </c>
      <c r="BZ412" s="3535" t="e">
        <v>#N/A</v>
      </c>
      <c r="CA412" s="3535" t="e">
        <v>#N/A</v>
      </c>
      <c r="CB412" s="3535" t="e">
        <v>#N/A</v>
      </c>
      <c r="CC412" s="3535" t="e">
        <v>#N/A</v>
      </c>
      <c r="CD412" s="3535" t="e">
        <v>#N/A</v>
      </c>
      <c r="CE412" s="3535" t="e">
        <v>#N/A</v>
      </c>
      <c r="CF412" s="3535" t="e">
        <v>#N/A</v>
      </c>
      <c r="CG412" s="3535" t="e">
        <v>#N/A</v>
      </c>
      <c r="CH412" s="3535" t="e">
        <v>#N/A</v>
      </c>
      <c r="CI412" s="3535" t="e">
        <v>#N/A</v>
      </c>
      <c r="CJ412" s="2978" t="e">
        <v>#N/A</v>
      </c>
    </row>
    <row r="413" spans="1:88">
      <c r="A413" s="53">
        <f t="shared" si="1"/>
        <v>2027.08</v>
      </c>
      <c r="B413" s="615" t="e">
        <v>#N/A</v>
      </c>
      <c r="C413" s="3535" t="e">
        <v>#N/A</v>
      </c>
      <c r="D413" s="358" t="e">
        <v>#N/A</v>
      </c>
      <c r="E413" s="615" t="e">
        <v>#N/A</v>
      </c>
      <c r="F413" s="1215" t="e">
        <v>#N/A</v>
      </c>
      <c r="G413" s="1215" t="e">
        <v>#N/A</v>
      </c>
      <c r="H413" s="1215" t="e">
        <v>#N/A</v>
      </c>
      <c r="I413" s="1215" t="e">
        <v>#N/A</v>
      </c>
      <c r="J413" s="1215" t="e">
        <v>#N/A</v>
      </c>
      <c r="K413" s="1215" t="e">
        <v>#N/A</v>
      </c>
      <c r="L413" s="1215" t="e">
        <v>#N/A</v>
      </c>
      <c r="M413" s="1215" t="e">
        <v>#N/A</v>
      </c>
      <c r="N413" s="1215" t="e">
        <v>#N/A</v>
      </c>
      <c r="O413" s="1215" t="e">
        <v>#N/A</v>
      </c>
      <c r="P413" s="1215" t="e">
        <v>#N/A</v>
      </c>
      <c r="Q413" s="1215" t="e">
        <v>#N/A</v>
      </c>
      <c r="R413" s="2661" t="e">
        <v>#N/A</v>
      </c>
      <c r="S413" s="3535" t="e">
        <v>#N/A</v>
      </c>
      <c r="T413" s="3535" t="e">
        <v>#N/A</v>
      </c>
      <c r="U413" s="3535" t="e">
        <v>#N/A</v>
      </c>
      <c r="V413" s="3535" t="e">
        <v>#N/A</v>
      </c>
      <c r="W413" s="3535" t="e">
        <v>#N/A</v>
      </c>
      <c r="X413" s="3535" t="e">
        <v>#N/A</v>
      </c>
      <c r="Y413" s="3535" t="e">
        <v>#N/A</v>
      </c>
      <c r="Z413" s="3535" t="e">
        <v>#N/A</v>
      </c>
      <c r="AA413" s="3535" t="e">
        <v>#N/A</v>
      </c>
      <c r="AB413" s="3535" t="e">
        <v>#N/A</v>
      </c>
      <c r="AC413" s="3535" t="e">
        <v>#N/A</v>
      </c>
      <c r="AD413" s="3535" t="e">
        <v>#N/A</v>
      </c>
      <c r="AE413" s="3535" t="e">
        <v>#N/A</v>
      </c>
      <c r="AF413" s="3535" t="e">
        <v>#N/A</v>
      </c>
      <c r="AG413" s="3535" t="e">
        <v>#N/A</v>
      </c>
      <c r="AH413" s="3535" t="e">
        <v>#N/A</v>
      </c>
      <c r="AI413" s="3535" t="e">
        <v>#N/A</v>
      </c>
      <c r="AJ413" s="3535" t="e">
        <v>#N/A</v>
      </c>
      <c r="AK413" s="3535" t="e">
        <v>#N/A</v>
      </c>
      <c r="AL413" s="3535" t="e">
        <v>#N/A</v>
      </c>
      <c r="AM413" s="3535" t="e">
        <v>#N/A</v>
      </c>
      <c r="AN413" s="3535" t="e">
        <v>#N/A</v>
      </c>
      <c r="AO413" s="3535" t="e">
        <v>#N/A</v>
      </c>
      <c r="AP413" s="3535" t="e">
        <v>#N/A</v>
      </c>
      <c r="AQ413" s="3535" t="e">
        <v>#N/A</v>
      </c>
      <c r="AR413" s="3535" t="e">
        <v>#N/A</v>
      </c>
      <c r="AS413" s="3535" t="e">
        <v>#N/A</v>
      </c>
      <c r="AT413" s="3535" t="e">
        <v>#N/A</v>
      </c>
      <c r="AU413" s="3535" t="e">
        <v>#N/A</v>
      </c>
      <c r="AV413" s="3535" t="e">
        <v>#N/A</v>
      </c>
      <c r="AW413" s="3535" t="e">
        <v>#N/A</v>
      </c>
      <c r="AX413" s="3535" t="e">
        <v>#N/A</v>
      </c>
      <c r="AY413" s="3535" t="e">
        <v>#N/A</v>
      </c>
      <c r="AZ413" s="3535" t="e">
        <v>#N/A</v>
      </c>
      <c r="BA413" s="3535" t="e">
        <v>#N/A</v>
      </c>
      <c r="BB413" s="3535" t="e">
        <v>#N/A</v>
      </c>
      <c r="BC413" s="3535" t="e">
        <v>#N/A</v>
      </c>
      <c r="BD413" s="3535" t="e">
        <v>#N/A</v>
      </c>
      <c r="BE413" s="3535" t="e">
        <v>#N/A</v>
      </c>
      <c r="BF413" s="3535" t="e">
        <v>#N/A</v>
      </c>
      <c r="BG413" s="3535" t="e">
        <v>#N/A</v>
      </c>
      <c r="BH413" s="3535" t="e">
        <v>#N/A</v>
      </c>
      <c r="BI413" s="3535" t="e">
        <v>#N/A</v>
      </c>
      <c r="BJ413" s="3535" t="e">
        <v>#N/A</v>
      </c>
      <c r="BK413" s="3535" t="e">
        <v>#N/A</v>
      </c>
      <c r="BL413" s="3535" t="e">
        <v>#N/A</v>
      </c>
      <c r="BM413" s="3535" t="e">
        <v>#N/A</v>
      </c>
      <c r="BN413" s="3535" t="e">
        <v>#N/A</v>
      </c>
      <c r="BO413" s="3535" t="e">
        <v>#N/A</v>
      </c>
      <c r="BP413" s="3535" t="e">
        <v>#N/A</v>
      </c>
      <c r="BQ413" s="3535" t="e">
        <v>#N/A</v>
      </c>
      <c r="BR413" s="3535" t="e">
        <v>#N/A</v>
      </c>
      <c r="BS413" s="3535" t="e">
        <v>#N/A</v>
      </c>
      <c r="BT413" s="3535" t="e">
        <v>#N/A</v>
      </c>
      <c r="BU413" s="3535" t="e">
        <v>#N/A</v>
      </c>
      <c r="BV413" s="3535" t="e">
        <v>#N/A</v>
      </c>
      <c r="BW413" s="3535" t="e">
        <v>#N/A</v>
      </c>
      <c r="BX413" s="3535" t="e">
        <v>#N/A</v>
      </c>
      <c r="BY413" s="3535" t="e">
        <v>#N/A</v>
      </c>
      <c r="BZ413" s="3535" t="e">
        <v>#N/A</v>
      </c>
      <c r="CA413" s="3535" t="e">
        <v>#N/A</v>
      </c>
      <c r="CB413" s="3535" t="e">
        <v>#N/A</v>
      </c>
      <c r="CC413" s="3535" t="e">
        <v>#N/A</v>
      </c>
      <c r="CD413" s="3535" t="e">
        <v>#N/A</v>
      </c>
      <c r="CE413" s="3535" t="e">
        <v>#N/A</v>
      </c>
      <c r="CF413" s="3535" t="e">
        <v>#N/A</v>
      </c>
      <c r="CG413" s="3535" t="e">
        <v>#N/A</v>
      </c>
      <c r="CH413" s="3535" t="e">
        <v>#N/A</v>
      </c>
      <c r="CI413" s="3535" t="e">
        <v>#N/A</v>
      </c>
      <c r="CJ413" s="2978" t="e">
        <v>#N/A</v>
      </c>
    </row>
    <row r="414" spans="1:88">
      <c r="A414" s="53">
        <f t="shared" si="1"/>
        <v>2027.09</v>
      </c>
      <c r="B414" s="615" t="e">
        <v>#N/A</v>
      </c>
      <c r="C414" s="3535" t="e">
        <v>#N/A</v>
      </c>
      <c r="D414" s="358" t="e">
        <v>#N/A</v>
      </c>
      <c r="E414" s="615" t="e">
        <v>#N/A</v>
      </c>
      <c r="F414" s="1215" t="e">
        <v>#N/A</v>
      </c>
      <c r="G414" s="1215" t="e">
        <v>#N/A</v>
      </c>
      <c r="H414" s="1215" t="e">
        <v>#N/A</v>
      </c>
      <c r="I414" s="1215" t="e">
        <v>#N/A</v>
      </c>
      <c r="J414" s="1215" t="e">
        <v>#N/A</v>
      </c>
      <c r="K414" s="1215" t="e">
        <v>#N/A</v>
      </c>
      <c r="L414" s="1215" t="e">
        <v>#N/A</v>
      </c>
      <c r="M414" s="1215" t="e">
        <v>#N/A</v>
      </c>
      <c r="N414" s="1215" t="e">
        <v>#N/A</v>
      </c>
      <c r="O414" s="1215" t="e">
        <v>#N/A</v>
      </c>
      <c r="P414" s="1215" t="e">
        <v>#N/A</v>
      </c>
      <c r="Q414" s="1215" t="e">
        <v>#N/A</v>
      </c>
      <c r="R414" s="2661" t="e">
        <v>#N/A</v>
      </c>
      <c r="S414" s="3535" t="e">
        <v>#N/A</v>
      </c>
      <c r="T414" s="3535" t="e">
        <v>#N/A</v>
      </c>
      <c r="U414" s="3535" t="e">
        <v>#N/A</v>
      </c>
      <c r="V414" s="3535" t="e">
        <v>#N/A</v>
      </c>
      <c r="W414" s="3535" t="e">
        <v>#N/A</v>
      </c>
      <c r="X414" s="3535" t="e">
        <v>#N/A</v>
      </c>
      <c r="Y414" s="3535" t="e">
        <v>#N/A</v>
      </c>
      <c r="Z414" s="3535" t="e">
        <v>#N/A</v>
      </c>
      <c r="AA414" s="3535" t="e">
        <v>#N/A</v>
      </c>
      <c r="AB414" s="3535" t="e">
        <v>#N/A</v>
      </c>
      <c r="AC414" s="3535" t="e">
        <v>#N/A</v>
      </c>
      <c r="AD414" s="3535" t="e">
        <v>#N/A</v>
      </c>
      <c r="AE414" s="3535" t="e">
        <v>#N/A</v>
      </c>
      <c r="AF414" s="3535" t="e">
        <v>#N/A</v>
      </c>
      <c r="AG414" s="3535" t="e">
        <v>#N/A</v>
      </c>
      <c r="AH414" s="3535" t="e">
        <v>#N/A</v>
      </c>
      <c r="AI414" s="3535" t="e">
        <v>#N/A</v>
      </c>
      <c r="AJ414" s="3535" t="e">
        <v>#N/A</v>
      </c>
      <c r="AK414" s="3535" t="e">
        <v>#N/A</v>
      </c>
      <c r="AL414" s="3535" t="e">
        <v>#N/A</v>
      </c>
      <c r="AM414" s="3535" t="e">
        <v>#N/A</v>
      </c>
      <c r="AN414" s="3535" t="e">
        <v>#N/A</v>
      </c>
      <c r="AO414" s="3535" t="e">
        <v>#N/A</v>
      </c>
      <c r="AP414" s="3535" t="e">
        <v>#N/A</v>
      </c>
      <c r="AQ414" s="3535" t="e">
        <v>#N/A</v>
      </c>
      <c r="AR414" s="3535" t="e">
        <v>#N/A</v>
      </c>
      <c r="AS414" s="3535" t="e">
        <v>#N/A</v>
      </c>
      <c r="AT414" s="3535" t="e">
        <v>#N/A</v>
      </c>
      <c r="AU414" s="3535" t="e">
        <v>#N/A</v>
      </c>
      <c r="AV414" s="3535" t="e">
        <v>#N/A</v>
      </c>
      <c r="AW414" s="3535" t="e">
        <v>#N/A</v>
      </c>
      <c r="AX414" s="3535" t="e">
        <v>#N/A</v>
      </c>
      <c r="AY414" s="3535" t="e">
        <v>#N/A</v>
      </c>
      <c r="AZ414" s="3535" t="e">
        <v>#N/A</v>
      </c>
      <c r="BA414" s="3535" t="e">
        <v>#N/A</v>
      </c>
      <c r="BB414" s="3535" t="e">
        <v>#N/A</v>
      </c>
      <c r="BC414" s="3535" t="e">
        <v>#N/A</v>
      </c>
      <c r="BD414" s="3535" t="e">
        <v>#N/A</v>
      </c>
      <c r="BE414" s="3535" t="e">
        <v>#N/A</v>
      </c>
      <c r="BF414" s="3535" t="e">
        <v>#N/A</v>
      </c>
      <c r="BG414" s="3535" t="e">
        <v>#N/A</v>
      </c>
      <c r="BH414" s="3535" t="e">
        <v>#N/A</v>
      </c>
      <c r="BI414" s="3535" t="e">
        <v>#N/A</v>
      </c>
      <c r="BJ414" s="3535" t="e">
        <v>#N/A</v>
      </c>
      <c r="BK414" s="3535" t="e">
        <v>#N/A</v>
      </c>
      <c r="BL414" s="3535" t="e">
        <v>#N/A</v>
      </c>
      <c r="BM414" s="3535" t="e">
        <v>#N/A</v>
      </c>
      <c r="BN414" s="3535" t="e">
        <v>#N/A</v>
      </c>
      <c r="BO414" s="3535" t="e">
        <v>#N/A</v>
      </c>
      <c r="BP414" s="3535" t="e">
        <v>#N/A</v>
      </c>
      <c r="BQ414" s="3535" t="e">
        <v>#N/A</v>
      </c>
      <c r="BR414" s="3535" t="e">
        <v>#N/A</v>
      </c>
      <c r="BS414" s="3535" t="e">
        <v>#N/A</v>
      </c>
      <c r="BT414" s="3535" t="e">
        <v>#N/A</v>
      </c>
      <c r="BU414" s="3535" t="e">
        <v>#N/A</v>
      </c>
      <c r="BV414" s="3535" t="e">
        <v>#N/A</v>
      </c>
      <c r="BW414" s="3535" t="e">
        <v>#N/A</v>
      </c>
      <c r="BX414" s="3535" t="e">
        <v>#N/A</v>
      </c>
      <c r="BY414" s="3535" t="e">
        <v>#N/A</v>
      </c>
      <c r="BZ414" s="3535" t="e">
        <v>#N/A</v>
      </c>
      <c r="CA414" s="3535" t="e">
        <v>#N/A</v>
      </c>
      <c r="CB414" s="3535" t="e">
        <v>#N/A</v>
      </c>
      <c r="CC414" s="3535" t="e">
        <v>#N/A</v>
      </c>
      <c r="CD414" s="3535" t="e">
        <v>#N/A</v>
      </c>
      <c r="CE414" s="3535" t="e">
        <v>#N/A</v>
      </c>
      <c r="CF414" s="3535" t="e">
        <v>#N/A</v>
      </c>
      <c r="CG414" s="3535" t="e">
        <v>#N/A</v>
      </c>
      <c r="CH414" s="3535" t="e">
        <v>#N/A</v>
      </c>
      <c r="CI414" s="3535" t="e">
        <v>#N/A</v>
      </c>
      <c r="CJ414" s="2978" t="e">
        <v>#N/A</v>
      </c>
    </row>
    <row r="415" spans="1:88">
      <c r="A415" s="53">
        <f t="shared" si="1"/>
        <v>2027.1</v>
      </c>
      <c r="B415" s="615" t="e">
        <v>#N/A</v>
      </c>
      <c r="C415" s="3535" t="e">
        <v>#N/A</v>
      </c>
      <c r="D415" s="358" t="e">
        <v>#N/A</v>
      </c>
      <c r="E415" s="615" t="e">
        <v>#N/A</v>
      </c>
      <c r="F415" s="1215" t="e">
        <v>#N/A</v>
      </c>
      <c r="G415" s="1215" t="e">
        <v>#N/A</v>
      </c>
      <c r="H415" s="1215" t="e">
        <v>#N/A</v>
      </c>
      <c r="I415" s="1215" t="e">
        <v>#N/A</v>
      </c>
      <c r="J415" s="1215" t="e">
        <v>#N/A</v>
      </c>
      <c r="K415" s="1215" t="e">
        <v>#N/A</v>
      </c>
      <c r="L415" s="1215" t="e">
        <v>#N/A</v>
      </c>
      <c r="M415" s="1215" t="e">
        <v>#N/A</v>
      </c>
      <c r="N415" s="1215" t="e">
        <v>#N/A</v>
      </c>
      <c r="O415" s="1215" t="e">
        <v>#N/A</v>
      </c>
      <c r="P415" s="1215" t="e">
        <v>#N/A</v>
      </c>
      <c r="Q415" s="1215" t="e">
        <v>#N/A</v>
      </c>
      <c r="R415" s="2661" t="e">
        <v>#N/A</v>
      </c>
      <c r="S415" s="3535" t="e">
        <v>#N/A</v>
      </c>
      <c r="T415" s="3535" t="e">
        <v>#N/A</v>
      </c>
      <c r="U415" s="3535" t="e">
        <v>#N/A</v>
      </c>
      <c r="V415" s="3535" t="e">
        <v>#N/A</v>
      </c>
      <c r="W415" s="3535" t="e">
        <v>#N/A</v>
      </c>
      <c r="X415" s="3535" t="e">
        <v>#N/A</v>
      </c>
      <c r="Y415" s="3535" t="e">
        <v>#N/A</v>
      </c>
      <c r="Z415" s="3535" t="e">
        <v>#N/A</v>
      </c>
      <c r="AA415" s="3535" t="e">
        <v>#N/A</v>
      </c>
      <c r="AB415" s="3535" t="e">
        <v>#N/A</v>
      </c>
      <c r="AC415" s="3535" t="e">
        <v>#N/A</v>
      </c>
      <c r="AD415" s="3535" t="e">
        <v>#N/A</v>
      </c>
      <c r="AE415" s="3535" t="e">
        <v>#N/A</v>
      </c>
      <c r="AF415" s="3535" t="e">
        <v>#N/A</v>
      </c>
      <c r="AG415" s="3535" t="e">
        <v>#N/A</v>
      </c>
      <c r="AH415" s="3535" t="e">
        <v>#N/A</v>
      </c>
      <c r="AI415" s="3535" t="e">
        <v>#N/A</v>
      </c>
      <c r="AJ415" s="3535" t="e">
        <v>#N/A</v>
      </c>
      <c r="AK415" s="3535" t="e">
        <v>#N/A</v>
      </c>
      <c r="AL415" s="3535" t="e">
        <v>#N/A</v>
      </c>
      <c r="AM415" s="3535" t="e">
        <v>#N/A</v>
      </c>
      <c r="AN415" s="3535" t="e">
        <v>#N/A</v>
      </c>
      <c r="AO415" s="3535" t="e">
        <v>#N/A</v>
      </c>
      <c r="AP415" s="3535" t="e">
        <v>#N/A</v>
      </c>
      <c r="AQ415" s="3535" t="e">
        <v>#N/A</v>
      </c>
      <c r="AR415" s="3535" t="e">
        <v>#N/A</v>
      </c>
      <c r="AS415" s="3535" t="e">
        <v>#N/A</v>
      </c>
      <c r="AT415" s="3535" t="e">
        <v>#N/A</v>
      </c>
      <c r="AU415" s="3535" t="e">
        <v>#N/A</v>
      </c>
      <c r="AV415" s="3535" t="e">
        <v>#N/A</v>
      </c>
      <c r="AW415" s="3535" t="e">
        <v>#N/A</v>
      </c>
      <c r="AX415" s="3535" t="e">
        <v>#N/A</v>
      </c>
      <c r="AY415" s="3535" t="e">
        <v>#N/A</v>
      </c>
      <c r="AZ415" s="3535" t="e">
        <v>#N/A</v>
      </c>
      <c r="BA415" s="3535" t="e">
        <v>#N/A</v>
      </c>
      <c r="BB415" s="3535" t="e">
        <v>#N/A</v>
      </c>
      <c r="BC415" s="3535" t="e">
        <v>#N/A</v>
      </c>
      <c r="BD415" s="3535" t="e">
        <v>#N/A</v>
      </c>
      <c r="BE415" s="3535" t="e">
        <v>#N/A</v>
      </c>
      <c r="BF415" s="3535" t="e">
        <v>#N/A</v>
      </c>
      <c r="BG415" s="3535" t="e">
        <v>#N/A</v>
      </c>
      <c r="BH415" s="3535" t="e">
        <v>#N/A</v>
      </c>
      <c r="BI415" s="3535" t="e">
        <v>#N/A</v>
      </c>
      <c r="BJ415" s="3535" t="e">
        <v>#N/A</v>
      </c>
      <c r="BK415" s="3535" t="e">
        <v>#N/A</v>
      </c>
      <c r="BL415" s="3535" t="e">
        <v>#N/A</v>
      </c>
      <c r="BM415" s="3535" t="e">
        <v>#N/A</v>
      </c>
      <c r="BN415" s="3535" t="e">
        <v>#N/A</v>
      </c>
      <c r="BO415" s="3535" t="e">
        <v>#N/A</v>
      </c>
      <c r="BP415" s="3535" t="e">
        <v>#N/A</v>
      </c>
      <c r="BQ415" s="3535" t="e">
        <v>#N/A</v>
      </c>
      <c r="BR415" s="3535" t="e">
        <v>#N/A</v>
      </c>
      <c r="BS415" s="3535" t="e">
        <v>#N/A</v>
      </c>
      <c r="BT415" s="3535" t="e">
        <v>#N/A</v>
      </c>
      <c r="BU415" s="3535" t="e">
        <v>#N/A</v>
      </c>
      <c r="BV415" s="3535" t="e">
        <v>#N/A</v>
      </c>
      <c r="BW415" s="3535" t="e">
        <v>#N/A</v>
      </c>
      <c r="BX415" s="3535" t="e">
        <v>#N/A</v>
      </c>
      <c r="BY415" s="3535" t="e">
        <v>#N/A</v>
      </c>
      <c r="BZ415" s="3535" t="e">
        <v>#N/A</v>
      </c>
      <c r="CA415" s="3535" t="e">
        <v>#N/A</v>
      </c>
      <c r="CB415" s="3535" t="e">
        <v>#N/A</v>
      </c>
      <c r="CC415" s="3535" t="e">
        <v>#N/A</v>
      </c>
      <c r="CD415" s="3535" t="e">
        <v>#N/A</v>
      </c>
      <c r="CE415" s="3535" t="e">
        <v>#N/A</v>
      </c>
      <c r="CF415" s="3535" t="e">
        <v>#N/A</v>
      </c>
      <c r="CG415" s="3535" t="e">
        <v>#N/A</v>
      </c>
      <c r="CH415" s="3535" t="e">
        <v>#N/A</v>
      </c>
      <c r="CI415" s="3535" t="e">
        <v>#N/A</v>
      </c>
      <c r="CJ415" s="2978" t="e">
        <v>#N/A</v>
      </c>
    </row>
    <row r="416" spans="1:88">
      <c r="A416" s="53">
        <f t="shared" si="1"/>
        <v>2027.11</v>
      </c>
      <c r="B416" s="615" t="e">
        <v>#N/A</v>
      </c>
      <c r="C416" s="3535" t="e">
        <v>#N/A</v>
      </c>
      <c r="D416" s="358" t="e">
        <v>#N/A</v>
      </c>
      <c r="E416" s="615" t="e">
        <v>#N/A</v>
      </c>
      <c r="F416" s="1215" t="e">
        <v>#N/A</v>
      </c>
      <c r="G416" s="1215" t="e">
        <v>#N/A</v>
      </c>
      <c r="H416" s="1215" t="e">
        <v>#N/A</v>
      </c>
      <c r="I416" s="1215" t="e">
        <v>#N/A</v>
      </c>
      <c r="J416" s="1215" t="e">
        <v>#N/A</v>
      </c>
      <c r="K416" s="1215" t="e">
        <v>#N/A</v>
      </c>
      <c r="L416" s="1215" t="e">
        <v>#N/A</v>
      </c>
      <c r="M416" s="1215" t="e">
        <v>#N/A</v>
      </c>
      <c r="N416" s="1215" t="e">
        <v>#N/A</v>
      </c>
      <c r="O416" s="1215" t="e">
        <v>#N/A</v>
      </c>
      <c r="P416" s="1215" t="e">
        <v>#N/A</v>
      </c>
      <c r="Q416" s="1215" t="e">
        <v>#N/A</v>
      </c>
      <c r="R416" s="2661" t="e">
        <v>#N/A</v>
      </c>
      <c r="S416" s="3535" t="e">
        <v>#N/A</v>
      </c>
      <c r="T416" s="3535" t="e">
        <v>#N/A</v>
      </c>
      <c r="U416" s="3535" t="e">
        <v>#N/A</v>
      </c>
      <c r="V416" s="3535" t="e">
        <v>#N/A</v>
      </c>
      <c r="W416" s="3535" t="e">
        <v>#N/A</v>
      </c>
      <c r="X416" s="3535" t="e">
        <v>#N/A</v>
      </c>
      <c r="Y416" s="3535" t="e">
        <v>#N/A</v>
      </c>
      <c r="Z416" s="3535" t="e">
        <v>#N/A</v>
      </c>
      <c r="AA416" s="3535" t="e">
        <v>#N/A</v>
      </c>
      <c r="AB416" s="3535" t="e">
        <v>#N/A</v>
      </c>
      <c r="AC416" s="3535" t="e">
        <v>#N/A</v>
      </c>
      <c r="AD416" s="3535" t="e">
        <v>#N/A</v>
      </c>
      <c r="AE416" s="3535" t="e">
        <v>#N/A</v>
      </c>
      <c r="AF416" s="3535" t="e">
        <v>#N/A</v>
      </c>
      <c r="AG416" s="3535" t="e">
        <v>#N/A</v>
      </c>
      <c r="AH416" s="3535" t="e">
        <v>#N/A</v>
      </c>
      <c r="AI416" s="3535" t="e">
        <v>#N/A</v>
      </c>
      <c r="AJ416" s="3535" t="e">
        <v>#N/A</v>
      </c>
      <c r="AK416" s="3535" t="e">
        <v>#N/A</v>
      </c>
      <c r="AL416" s="3535" t="e">
        <v>#N/A</v>
      </c>
      <c r="AM416" s="3535" t="e">
        <v>#N/A</v>
      </c>
      <c r="AN416" s="3535" t="e">
        <v>#N/A</v>
      </c>
      <c r="AO416" s="3535" t="e">
        <v>#N/A</v>
      </c>
      <c r="AP416" s="3535" t="e">
        <v>#N/A</v>
      </c>
      <c r="AQ416" s="3535" t="e">
        <v>#N/A</v>
      </c>
      <c r="AR416" s="3535" t="e">
        <v>#N/A</v>
      </c>
      <c r="AS416" s="3535" t="e">
        <v>#N/A</v>
      </c>
      <c r="AT416" s="3535" t="e">
        <v>#N/A</v>
      </c>
      <c r="AU416" s="3535" t="e">
        <v>#N/A</v>
      </c>
      <c r="AV416" s="3535" t="e">
        <v>#N/A</v>
      </c>
      <c r="AW416" s="3535" t="e">
        <v>#N/A</v>
      </c>
      <c r="AX416" s="3535" t="e">
        <v>#N/A</v>
      </c>
      <c r="AY416" s="3535" t="e">
        <v>#N/A</v>
      </c>
      <c r="AZ416" s="3535" t="e">
        <v>#N/A</v>
      </c>
      <c r="BA416" s="3535" t="e">
        <v>#N/A</v>
      </c>
      <c r="BB416" s="3535" t="e">
        <v>#N/A</v>
      </c>
      <c r="BC416" s="3535" t="e">
        <v>#N/A</v>
      </c>
      <c r="BD416" s="3535" t="e">
        <v>#N/A</v>
      </c>
      <c r="BE416" s="3535" t="e">
        <v>#N/A</v>
      </c>
      <c r="BF416" s="3535" t="e">
        <v>#N/A</v>
      </c>
      <c r="BG416" s="3535" t="e">
        <v>#N/A</v>
      </c>
      <c r="BH416" s="3535" t="e">
        <v>#N/A</v>
      </c>
      <c r="BI416" s="3535" t="e">
        <v>#N/A</v>
      </c>
      <c r="BJ416" s="3535" t="e">
        <v>#N/A</v>
      </c>
      <c r="BK416" s="3535" t="e">
        <v>#N/A</v>
      </c>
      <c r="BL416" s="3535" t="e">
        <v>#N/A</v>
      </c>
      <c r="BM416" s="3535" t="e">
        <v>#N/A</v>
      </c>
      <c r="BN416" s="3535" t="e">
        <v>#N/A</v>
      </c>
      <c r="BO416" s="3535" t="e">
        <v>#N/A</v>
      </c>
      <c r="BP416" s="3535" t="e">
        <v>#N/A</v>
      </c>
      <c r="BQ416" s="3535" t="e">
        <v>#N/A</v>
      </c>
      <c r="BR416" s="3535" t="e">
        <v>#N/A</v>
      </c>
      <c r="BS416" s="3535" t="e">
        <v>#N/A</v>
      </c>
      <c r="BT416" s="3535" t="e">
        <v>#N/A</v>
      </c>
      <c r="BU416" s="3535" t="e">
        <v>#N/A</v>
      </c>
      <c r="BV416" s="3535" t="e">
        <v>#N/A</v>
      </c>
      <c r="BW416" s="3535" t="e">
        <v>#N/A</v>
      </c>
      <c r="BX416" s="3535" t="e">
        <v>#N/A</v>
      </c>
      <c r="BY416" s="3535" t="e">
        <v>#N/A</v>
      </c>
      <c r="BZ416" s="3535" t="e">
        <v>#N/A</v>
      </c>
      <c r="CA416" s="3535" t="e">
        <v>#N/A</v>
      </c>
      <c r="CB416" s="3535" t="e">
        <v>#N/A</v>
      </c>
      <c r="CC416" s="3535" t="e">
        <v>#N/A</v>
      </c>
      <c r="CD416" s="3535" t="e">
        <v>#N/A</v>
      </c>
      <c r="CE416" s="3535" t="e">
        <v>#N/A</v>
      </c>
      <c r="CF416" s="3535" t="e">
        <v>#N/A</v>
      </c>
      <c r="CG416" s="3535" t="e">
        <v>#N/A</v>
      </c>
      <c r="CH416" s="3535" t="e">
        <v>#N/A</v>
      </c>
      <c r="CI416" s="3535" t="e">
        <v>#N/A</v>
      </c>
      <c r="CJ416" s="2978" t="e">
        <v>#N/A</v>
      </c>
    </row>
    <row r="417" spans="1:88">
      <c r="A417" s="53">
        <f t="shared" si="1"/>
        <v>2027.12</v>
      </c>
      <c r="B417" s="615" t="e">
        <v>#N/A</v>
      </c>
      <c r="C417" s="3535" t="e">
        <v>#N/A</v>
      </c>
      <c r="D417" s="358" t="e">
        <v>#N/A</v>
      </c>
      <c r="E417" s="615" t="e">
        <v>#N/A</v>
      </c>
      <c r="F417" s="1215" t="e">
        <v>#N/A</v>
      </c>
      <c r="G417" s="1215" t="e">
        <v>#N/A</v>
      </c>
      <c r="H417" s="1215" t="e">
        <v>#N/A</v>
      </c>
      <c r="I417" s="1215" t="e">
        <v>#N/A</v>
      </c>
      <c r="J417" s="1215" t="e">
        <v>#N/A</v>
      </c>
      <c r="K417" s="1215" t="e">
        <v>#N/A</v>
      </c>
      <c r="L417" s="1215" t="e">
        <v>#N/A</v>
      </c>
      <c r="M417" s="1215" t="e">
        <v>#N/A</v>
      </c>
      <c r="N417" s="1215" t="e">
        <v>#N/A</v>
      </c>
      <c r="O417" s="1215" t="e">
        <v>#N/A</v>
      </c>
      <c r="P417" s="1215" t="e">
        <v>#N/A</v>
      </c>
      <c r="Q417" s="1215" t="e">
        <v>#N/A</v>
      </c>
      <c r="R417" s="2661" t="e">
        <v>#N/A</v>
      </c>
      <c r="S417" s="3535" t="e">
        <v>#N/A</v>
      </c>
      <c r="T417" s="3535" t="e">
        <v>#N/A</v>
      </c>
      <c r="U417" s="3535" t="e">
        <v>#N/A</v>
      </c>
      <c r="V417" s="3535" t="e">
        <v>#N/A</v>
      </c>
      <c r="W417" s="3535" t="e">
        <v>#N/A</v>
      </c>
      <c r="X417" s="3535" t="e">
        <v>#N/A</v>
      </c>
      <c r="Y417" s="3535" t="e">
        <v>#N/A</v>
      </c>
      <c r="Z417" s="3535" t="e">
        <v>#N/A</v>
      </c>
      <c r="AA417" s="3535" t="e">
        <v>#N/A</v>
      </c>
      <c r="AB417" s="3535" t="e">
        <v>#N/A</v>
      </c>
      <c r="AC417" s="3535" t="e">
        <v>#N/A</v>
      </c>
      <c r="AD417" s="3535" t="e">
        <v>#N/A</v>
      </c>
      <c r="AE417" s="3535" t="e">
        <v>#N/A</v>
      </c>
      <c r="AF417" s="3535" t="e">
        <v>#N/A</v>
      </c>
      <c r="AG417" s="3535" t="e">
        <v>#N/A</v>
      </c>
      <c r="AH417" s="3535" t="e">
        <v>#N/A</v>
      </c>
      <c r="AI417" s="3535" t="e">
        <v>#N/A</v>
      </c>
      <c r="AJ417" s="3535" t="e">
        <v>#N/A</v>
      </c>
      <c r="AK417" s="3535" t="e">
        <v>#N/A</v>
      </c>
      <c r="AL417" s="3535" t="e">
        <v>#N/A</v>
      </c>
      <c r="AM417" s="3535" t="e">
        <v>#N/A</v>
      </c>
      <c r="AN417" s="3535" t="e">
        <v>#N/A</v>
      </c>
      <c r="AO417" s="3535" t="e">
        <v>#N/A</v>
      </c>
      <c r="AP417" s="3535" t="e">
        <v>#N/A</v>
      </c>
      <c r="AQ417" s="3535" t="e">
        <v>#N/A</v>
      </c>
      <c r="AR417" s="3535" t="e">
        <v>#N/A</v>
      </c>
      <c r="AS417" s="3535" t="e">
        <v>#N/A</v>
      </c>
      <c r="AT417" s="3535" t="e">
        <v>#N/A</v>
      </c>
      <c r="AU417" s="3535" t="e">
        <v>#N/A</v>
      </c>
      <c r="AV417" s="3535" t="e">
        <v>#N/A</v>
      </c>
      <c r="AW417" s="3535" t="e">
        <v>#N/A</v>
      </c>
      <c r="AX417" s="3535" t="e">
        <v>#N/A</v>
      </c>
      <c r="AY417" s="3535" t="e">
        <v>#N/A</v>
      </c>
      <c r="AZ417" s="3535" t="e">
        <v>#N/A</v>
      </c>
      <c r="BA417" s="3535" t="e">
        <v>#N/A</v>
      </c>
      <c r="BB417" s="3535" t="e">
        <v>#N/A</v>
      </c>
      <c r="BC417" s="3535" t="e">
        <v>#N/A</v>
      </c>
      <c r="BD417" s="3535" t="e">
        <v>#N/A</v>
      </c>
      <c r="BE417" s="3535" t="e">
        <v>#N/A</v>
      </c>
      <c r="BF417" s="3535" t="e">
        <v>#N/A</v>
      </c>
      <c r="BG417" s="3535" t="e">
        <v>#N/A</v>
      </c>
      <c r="BH417" s="3535" t="e">
        <v>#N/A</v>
      </c>
      <c r="BI417" s="3535" t="e">
        <v>#N/A</v>
      </c>
      <c r="BJ417" s="3535" t="e">
        <v>#N/A</v>
      </c>
      <c r="BK417" s="3535" t="e">
        <v>#N/A</v>
      </c>
      <c r="BL417" s="3535" t="e">
        <v>#N/A</v>
      </c>
      <c r="BM417" s="3535" t="e">
        <v>#N/A</v>
      </c>
      <c r="BN417" s="3535" t="e">
        <v>#N/A</v>
      </c>
      <c r="BO417" s="3535" t="e">
        <v>#N/A</v>
      </c>
      <c r="BP417" s="3535" t="e">
        <v>#N/A</v>
      </c>
      <c r="BQ417" s="3535" t="e">
        <v>#N/A</v>
      </c>
      <c r="BR417" s="3535" t="e">
        <v>#N/A</v>
      </c>
      <c r="BS417" s="3535" t="e">
        <v>#N/A</v>
      </c>
      <c r="BT417" s="3535" t="e">
        <v>#N/A</v>
      </c>
      <c r="BU417" s="3535" t="e">
        <v>#N/A</v>
      </c>
      <c r="BV417" s="3535" t="e">
        <v>#N/A</v>
      </c>
      <c r="BW417" s="3535" t="e">
        <v>#N/A</v>
      </c>
      <c r="BX417" s="3535" t="e">
        <v>#N/A</v>
      </c>
      <c r="BY417" s="3535" t="e">
        <v>#N/A</v>
      </c>
      <c r="BZ417" s="3535" t="e">
        <v>#N/A</v>
      </c>
      <c r="CA417" s="3535" t="e">
        <v>#N/A</v>
      </c>
      <c r="CB417" s="3535" t="e">
        <v>#N/A</v>
      </c>
      <c r="CC417" s="3535" t="e">
        <v>#N/A</v>
      </c>
      <c r="CD417" s="3535" t="e">
        <v>#N/A</v>
      </c>
      <c r="CE417" s="3535" t="e">
        <v>#N/A</v>
      </c>
      <c r="CF417" s="3535" t="e">
        <v>#N/A</v>
      </c>
      <c r="CG417" s="3535" t="e">
        <v>#N/A</v>
      </c>
      <c r="CH417" s="3535" t="e">
        <v>#N/A</v>
      </c>
      <c r="CI417" s="3535" t="e">
        <v>#N/A</v>
      </c>
      <c r="CJ417" s="2978" t="e">
        <v>#N/A</v>
      </c>
    </row>
    <row r="418" spans="1:88">
      <c r="A418" s="53">
        <f t="shared" si="1"/>
        <v>2028.01</v>
      </c>
      <c r="B418" s="615" t="e">
        <v>#N/A</v>
      </c>
      <c r="C418" s="3535" t="e">
        <v>#N/A</v>
      </c>
      <c r="D418" s="358" t="e">
        <v>#N/A</v>
      </c>
      <c r="E418" s="615" t="e">
        <v>#N/A</v>
      </c>
      <c r="F418" s="1215" t="e">
        <v>#N/A</v>
      </c>
      <c r="G418" s="1215" t="e">
        <v>#N/A</v>
      </c>
      <c r="H418" s="1215" t="e">
        <v>#N/A</v>
      </c>
      <c r="I418" s="1215" t="e">
        <v>#N/A</v>
      </c>
      <c r="J418" s="1215" t="e">
        <v>#N/A</v>
      </c>
      <c r="K418" s="1215" t="e">
        <v>#N/A</v>
      </c>
      <c r="L418" s="1215" t="e">
        <v>#N/A</v>
      </c>
      <c r="M418" s="1215" t="e">
        <v>#N/A</v>
      </c>
      <c r="N418" s="1215" t="e">
        <v>#N/A</v>
      </c>
      <c r="O418" s="1215" t="e">
        <v>#N/A</v>
      </c>
      <c r="P418" s="1215" t="e">
        <v>#N/A</v>
      </c>
      <c r="Q418" s="1215" t="e">
        <v>#N/A</v>
      </c>
      <c r="R418" s="2661" t="e">
        <v>#N/A</v>
      </c>
      <c r="S418" s="3535" t="e">
        <v>#N/A</v>
      </c>
      <c r="T418" s="3535" t="e">
        <v>#N/A</v>
      </c>
      <c r="U418" s="3535" t="e">
        <v>#N/A</v>
      </c>
      <c r="V418" s="3535" t="e">
        <v>#N/A</v>
      </c>
      <c r="W418" s="3535" t="e">
        <v>#N/A</v>
      </c>
      <c r="X418" s="3535" t="e">
        <v>#N/A</v>
      </c>
      <c r="Y418" s="3535" t="e">
        <v>#N/A</v>
      </c>
      <c r="Z418" s="3535" t="e">
        <v>#N/A</v>
      </c>
      <c r="AA418" s="3535" t="e">
        <v>#N/A</v>
      </c>
      <c r="AB418" s="3535" t="e">
        <v>#N/A</v>
      </c>
      <c r="AC418" s="3535" t="e">
        <v>#N/A</v>
      </c>
      <c r="AD418" s="3535" t="e">
        <v>#N/A</v>
      </c>
      <c r="AE418" s="3535" t="e">
        <v>#N/A</v>
      </c>
      <c r="AF418" s="3535" t="e">
        <v>#N/A</v>
      </c>
      <c r="AG418" s="3535" t="e">
        <v>#N/A</v>
      </c>
      <c r="AH418" s="3535" t="e">
        <v>#N/A</v>
      </c>
      <c r="AI418" s="3535" t="e">
        <v>#N/A</v>
      </c>
      <c r="AJ418" s="3535" t="e">
        <v>#N/A</v>
      </c>
      <c r="AK418" s="3535" t="e">
        <v>#N/A</v>
      </c>
      <c r="AL418" s="3535" t="e">
        <v>#N/A</v>
      </c>
      <c r="AM418" s="3535" t="e">
        <v>#N/A</v>
      </c>
      <c r="AN418" s="3535" t="e">
        <v>#N/A</v>
      </c>
      <c r="AO418" s="3535" t="e">
        <v>#N/A</v>
      </c>
      <c r="AP418" s="3535" t="e">
        <v>#N/A</v>
      </c>
      <c r="AQ418" s="3535" t="e">
        <v>#N/A</v>
      </c>
      <c r="AR418" s="3535" t="e">
        <v>#N/A</v>
      </c>
      <c r="AS418" s="3535" t="e">
        <v>#N/A</v>
      </c>
      <c r="AT418" s="3535" t="e">
        <v>#N/A</v>
      </c>
      <c r="AU418" s="3535" t="e">
        <v>#N/A</v>
      </c>
      <c r="AV418" s="3535" t="e">
        <v>#N/A</v>
      </c>
      <c r="AW418" s="3535" t="e">
        <v>#N/A</v>
      </c>
      <c r="AX418" s="3535" t="e">
        <v>#N/A</v>
      </c>
      <c r="AY418" s="3535" t="e">
        <v>#N/A</v>
      </c>
      <c r="AZ418" s="3535" t="e">
        <v>#N/A</v>
      </c>
      <c r="BA418" s="3535" t="e">
        <v>#N/A</v>
      </c>
      <c r="BB418" s="3535" t="e">
        <v>#N/A</v>
      </c>
      <c r="BC418" s="3535" t="e">
        <v>#N/A</v>
      </c>
      <c r="BD418" s="3535" t="e">
        <v>#N/A</v>
      </c>
      <c r="BE418" s="3535" t="e">
        <v>#N/A</v>
      </c>
      <c r="BF418" s="3535" t="e">
        <v>#N/A</v>
      </c>
      <c r="BG418" s="3535" t="e">
        <v>#N/A</v>
      </c>
      <c r="BH418" s="3535" t="e">
        <v>#N/A</v>
      </c>
      <c r="BI418" s="3535" t="e">
        <v>#N/A</v>
      </c>
      <c r="BJ418" s="3535" t="e">
        <v>#N/A</v>
      </c>
      <c r="BK418" s="3535" t="e">
        <v>#N/A</v>
      </c>
      <c r="BL418" s="3535" t="e">
        <v>#N/A</v>
      </c>
      <c r="BM418" s="3535" t="e">
        <v>#N/A</v>
      </c>
      <c r="BN418" s="3535" t="e">
        <v>#N/A</v>
      </c>
      <c r="BO418" s="3535" t="e">
        <v>#N/A</v>
      </c>
      <c r="BP418" s="3535" t="e">
        <v>#N/A</v>
      </c>
      <c r="BQ418" s="3535" t="e">
        <v>#N/A</v>
      </c>
      <c r="BR418" s="3535" t="e">
        <v>#N/A</v>
      </c>
      <c r="BS418" s="3535" t="e">
        <v>#N/A</v>
      </c>
      <c r="BT418" s="3535" t="e">
        <v>#N/A</v>
      </c>
      <c r="BU418" s="3535" t="e">
        <v>#N/A</v>
      </c>
      <c r="BV418" s="3535" t="e">
        <v>#N/A</v>
      </c>
      <c r="BW418" s="3535" t="e">
        <v>#N/A</v>
      </c>
      <c r="BX418" s="3535" t="e">
        <v>#N/A</v>
      </c>
      <c r="BY418" s="3535" t="e">
        <v>#N/A</v>
      </c>
      <c r="BZ418" s="3535" t="e">
        <v>#N/A</v>
      </c>
      <c r="CA418" s="3535" t="e">
        <v>#N/A</v>
      </c>
      <c r="CB418" s="3535" t="e">
        <v>#N/A</v>
      </c>
      <c r="CC418" s="3535" t="e">
        <v>#N/A</v>
      </c>
      <c r="CD418" s="3535" t="e">
        <v>#N/A</v>
      </c>
      <c r="CE418" s="3535" t="e">
        <v>#N/A</v>
      </c>
      <c r="CF418" s="3535" t="e">
        <v>#N/A</v>
      </c>
      <c r="CG418" s="3535" t="e">
        <v>#N/A</v>
      </c>
      <c r="CH418" s="3535" t="e">
        <v>#N/A</v>
      </c>
      <c r="CI418" s="3535" t="e">
        <v>#N/A</v>
      </c>
      <c r="CJ418" s="2978" t="e">
        <v>#N/A</v>
      </c>
    </row>
    <row r="419" spans="1:88">
      <c r="A419" s="53">
        <f t="shared" si="1"/>
        <v>2028.02</v>
      </c>
      <c r="B419" s="615" t="e">
        <v>#N/A</v>
      </c>
      <c r="C419" s="3535" t="e">
        <v>#N/A</v>
      </c>
      <c r="D419" s="358" t="e">
        <v>#N/A</v>
      </c>
      <c r="E419" s="615" t="e">
        <v>#N/A</v>
      </c>
      <c r="F419" s="1215" t="e">
        <v>#N/A</v>
      </c>
      <c r="G419" s="1215" t="e">
        <v>#N/A</v>
      </c>
      <c r="H419" s="1215" t="e">
        <v>#N/A</v>
      </c>
      <c r="I419" s="1215" t="e">
        <v>#N/A</v>
      </c>
      <c r="J419" s="1215" t="e">
        <v>#N/A</v>
      </c>
      <c r="K419" s="1215" t="e">
        <v>#N/A</v>
      </c>
      <c r="L419" s="1215" t="e">
        <v>#N/A</v>
      </c>
      <c r="M419" s="1215" t="e">
        <v>#N/A</v>
      </c>
      <c r="N419" s="1215" t="e">
        <v>#N/A</v>
      </c>
      <c r="O419" s="1215" t="e">
        <v>#N/A</v>
      </c>
      <c r="P419" s="1215" t="e">
        <v>#N/A</v>
      </c>
      <c r="Q419" s="1215" t="e">
        <v>#N/A</v>
      </c>
      <c r="R419" s="2661" t="e">
        <v>#N/A</v>
      </c>
      <c r="S419" s="3535" t="e">
        <v>#N/A</v>
      </c>
      <c r="T419" s="3535" t="e">
        <v>#N/A</v>
      </c>
      <c r="U419" s="3535" t="e">
        <v>#N/A</v>
      </c>
      <c r="V419" s="3535" t="e">
        <v>#N/A</v>
      </c>
      <c r="W419" s="3535" t="e">
        <v>#N/A</v>
      </c>
      <c r="X419" s="3535" t="e">
        <v>#N/A</v>
      </c>
      <c r="Y419" s="3535" t="e">
        <v>#N/A</v>
      </c>
      <c r="Z419" s="3535" t="e">
        <v>#N/A</v>
      </c>
      <c r="AA419" s="3535" t="e">
        <v>#N/A</v>
      </c>
      <c r="AB419" s="3535" t="e">
        <v>#N/A</v>
      </c>
      <c r="AC419" s="3535" t="e">
        <v>#N/A</v>
      </c>
      <c r="AD419" s="3535" t="e">
        <v>#N/A</v>
      </c>
      <c r="AE419" s="3535" t="e">
        <v>#N/A</v>
      </c>
      <c r="AF419" s="3535" t="e">
        <v>#N/A</v>
      </c>
      <c r="AG419" s="3535" t="e">
        <v>#N/A</v>
      </c>
      <c r="AH419" s="3535" t="e">
        <v>#N/A</v>
      </c>
      <c r="AI419" s="3535" t="e">
        <v>#N/A</v>
      </c>
      <c r="AJ419" s="3535" t="e">
        <v>#N/A</v>
      </c>
      <c r="AK419" s="3535" t="e">
        <v>#N/A</v>
      </c>
      <c r="AL419" s="3535" t="e">
        <v>#N/A</v>
      </c>
      <c r="AM419" s="3535" t="e">
        <v>#N/A</v>
      </c>
      <c r="AN419" s="3535" t="e">
        <v>#N/A</v>
      </c>
      <c r="AO419" s="3535" t="e">
        <v>#N/A</v>
      </c>
      <c r="AP419" s="3535" t="e">
        <v>#N/A</v>
      </c>
      <c r="AQ419" s="3535" t="e">
        <v>#N/A</v>
      </c>
      <c r="AR419" s="3535" t="e">
        <v>#N/A</v>
      </c>
      <c r="AS419" s="3535" t="e">
        <v>#N/A</v>
      </c>
      <c r="AT419" s="3535" t="e">
        <v>#N/A</v>
      </c>
      <c r="AU419" s="3535" t="e">
        <v>#N/A</v>
      </c>
      <c r="AV419" s="3535" t="e">
        <v>#N/A</v>
      </c>
      <c r="AW419" s="3535" t="e">
        <v>#N/A</v>
      </c>
      <c r="AX419" s="3535" t="e">
        <v>#N/A</v>
      </c>
      <c r="AY419" s="3535" t="e">
        <v>#N/A</v>
      </c>
      <c r="AZ419" s="3535" t="e">
        <v>#N/A</v>
      </c>
      <c r="BA419" s="3535" t="e">
        <v>#N/A</v>
      </c>
      <c r="BB419" s="3535" t="e">
        <v>#N/A</v>
      </c>
      <c r="BC419" s="3535" t="e">
        <v>#N/A</v>
      </c>
      <c r="BD419" s="3535" t="e">
        <v>#N/A</v>
      </c>
      <c r="BE419" s="3535" t="e">
        <v>#N/A</v>
      </c>
      <c r="BF419" s="3535" t="e">
        <v>#N/A</v>
      </c>
      <c r="BG419" s="3535" t="e">
        <v>#N/A</v>
      </c>
      <c r="BH419" s="3535" t="e">
        <v>#N/A</v>
      </c>
      <c r="BI419" s="3535" t="e">
        <v>#N/A</v>
      </c>
      <c r="BJ419" s="3535" t="e">
        <v>#N/A</v>
      </c>
      <c r="BK419" s="3535" t="e">
        <v>#N/A</v>
      </c>
      <c r="BL419" s="3535" t="e">
        <v>#N/A</v>
      </c>
      <c r="BM419" s="3535" t="e">
        <v>#N/A</v>
      </c>
      <c r="BN419" s="3535" t="e">
        <v>#N/A</v>
      </c>
      <c r="BO419" s="3535" t="e">
        <v>#N/A</v>
      </c>
      <c r="BP419" s="3535" t="e">
        <v>#N/A</v>
      </c>
      <c r="BQ419" s="3535" t="e">
        <v>#N/A</v>
      </c>
      <c r="BR419" s="3535" t="e">
        <v>#N/A</v>
      </c>
      <c r="BS419" s="3535" t="e">
        <v>#N/A</v>
      </c>
      <c r="BT419" s="3535" t="e">
        <v>#N/A</v>
      </c>
      <c r="BU419" s="3535" t="e">
        <v>#N/A</v>
      </c>
      <c r="BV419" s="3535" t="e">
        <v>#N/A</v>
      </c>
      <c r="BW419" s="3535" t="e">
        <v>#N/A</v>
      </c>
      <c r="BX419" s="3535" t="e">
        <v>#N/A</v>
      </c>
      <c r="BY419" s="3535" t="e">
        <v>#N/A</v>
      </c>
      <c r="BZ419" s="3535" t="e">
        <v>#N/A</v>
      </c>
      <c r="CA419" s="3535" t="e">
        <v>#N/A</v>
      </c>
      <c r="CB419" s="3535" t="e">
        <v>#N/A</v>
      </c>
      <c r="CC419" s="3535" t="e">
        <v>#N/A</v>
      </c>
      <c r="CD419" s="3535" t="e">
        <v>#N/A</v>
      </c>
      <c r="CE419" s="3535" t="e">
        <v>#N/A</v>
      </c>
      <c r="CF419" s="3535" t="e">
        <v>#N/A</v>
      </c>
      <c r="CG419" s="3535" t="e">
        <v>#N/A</v>
      </c>
      <c r="CH419" s="3535" t="e">
        <v>#N/A</v>
      </c>
      <c r="CI419" s="3535" t="e">
        <v>#N/A</v>
      </c>
      <c r="CJ419" s="2978" t="e">
        <v>#N/A</v>
      </c>
    </row>
    <row r="420" spans="1:88">
      <c r="A420" s="53">
        <f t="shared" si="1"/>
        <v>2028.03</v>
      </c>
      <c r="B420" s="615" t="e">
        <v>#N/A</v>
      </c>
      <c r="C420" s="3535" t="e">
        <v>#N/A</v>
      </c>
      <c r="D420" s="358" t="e">
        <v>#N/A</v>
      </c>
      <c r="E420" s="615" t="e">
        <v>#N/A</v>
      </c>
      <c r="F420" s="1215" t="e">
        <v>#N/A</v>
      </c>
      <c r="G420" s="1215" t="e">
        <v>#N/A</v>
      </c>
      <c r="H420" s="1215" t="e">
        <v>#N/A</v>
      </c>
      <c r="I420" s="1215" t="e">
        <v>#N/A</v>
      </c>
      <c r="J420" s="1215" t="e">
        <v>#N/A</v>
      </c>
      <c r="K420" s="1215" t="e">
        <v>#N/A</v>
      </c>
      <c r="L420" s="1215" t="e">
        <v>#N/A</v>
      </c>
      <c r="M420" s="1215" t="e">
        <v>#N/A</v>
      </c>
      <c r="N420" s="1215" t="e">
        <v>#N/A</v>
      </c>
      <c r="O420" s="1215" t="e">
        <v>#N/A</v>
      </c>
      <c r="P420" s="1215" t="e">
        <v>#N/A</v>
      </c>
      <c r="Q420" s="1215" t="e">
        <v>#N/A</v>
      </c>
      <c r="R420" s="2661" t="e">
        <v>#N/A</v>
      </c>
      <c r="S420" s="3535" t="e">
        <v>#N/A</v>
      </c>
      <c r="T420" s="3535" t="e">
        <v>#N/A</v>
      </c>
      <c r="U420" s="3535" t="e">
        <v>#N/A</v>
      </c>
      <c r="V420" s="3535" t="e">
        <v>#N/A</v>
      </c>
      <c r="W420" s="3535" t="e">
        <v>#N/A</v>
      </c>
      <c r="X420" s="3535" t="e">
        <v>#N/A</v>
      </c>
      <c r="Y420" s="3535" t="e">
        <v>#N/A</v>
      </c>
      <c r="Z420" s="3535" t="e">
        <v>#N/A</v>
      </c>
      <c r="AA420" s="3535" t="e">
        <v>#N/A</v>
      </c>
      <c r="AB420" s="3535" t="e">
        <v>#N/A</v>
      </c>
      <c r="AC420" s="3535" t="e">
        <v>#N/A</v>
      </c>
      <c r="AD420" s="3535" t="e">
        <v>#N/A</v>
      </c>
      <c r="AE420" s="3535" t="e">
        <v>#N/A</v>
      </c>
      <c r="AF420" s="3535" t="e">
        <v>#N/A</v>
      </c>
      <c r="AG420" s="3535" t="e">
        <v>#N/A</v>
      </c>
      <c r="AH420" s="3535" t="e">
        <v>#N/A</v>
      </c>
      <c r="AI420" s="3535" t="e">
        <v>#N/A</v>
      </c>
      <c r="AJ420" s="3535" t="e">
        <v>#N/A</v>
      </c>
      <c r="AK420" s="3535" t="e">
        <v>#N/A</v>
      </c>
      <c r="AL420" s="3535" t="e">
        <v>#N/A</v>
      </c>
      <c r="AM420" s="3535" t="e">
        <v>#N/A</v>
      </c>
      <c r="AN420" s="3535" t="e">
        <v>#N/A</v>
      </c>
      <c r="AO420" s="3535" t="e">
        <v>#N/A</v>
      </c>
      <c r="AP420" s="3535" t="e">
        <v>#N/A</v>
      </c>
      <c r="AQ420" s="3535" t="e">
        <v>#N/A</v>
      </c>
      <c r="AR420" s="3535" t="e">
        <v>#N/A</v>
      </c>
      <c r="AS420" s="3535" t="e">
        <v>#N/A</v>
      </c>
      <c r="AT420" s="3535" t="e">
        <v>#N/A</v>
      </c>
      <c r="AU420" s="3535" t="e">
        <v>#N/A</v>
      </c>
      <c r="AV420" s="3535" t="e">
        <v>#N/A</v>
      </c>
      <c r="AW420" s="3535" t="e">
        <v>#N/A</v>
      </c>
      <c r="AX420" s="3535" t="e">
        <v>#N/A</v>
      </c>
      <c r="AY420" s="3535" t="e">
        <v>#N/A</v>
      </c>
      <c r="AZ420" s="3535" t="e">
        <v>#N/A</v>
      </c>
      <c r="BA420" s="3535" t="e">
        <v>#N/A</v>
      </c>
      <c r="BB420" s="3535" t="e">
        <v>#N/A</v>
      </c>
      <c r="BC420" s="3535" t="e">
        <v>#N/A</v>
      </c>
      <c r="BD420" s="3535" t="e">
        <v>#N/A</v>
      </c>
      <c r="BE420" s="3535" t="e">
        <v>#N/A</v>
      </c>
      <c r="BF420" s="3535" t="e">
        <v>#N/A</v>
      </c>
      <c r="BG420" s="3535" t="e">
        <v>#N/A</v>
      </c>
      <c r="BH420" s="3535" t="e">
        <v>#N/A</v>
      </c>
      <c r="BI420" s="3535" t="e">
        <v>#N/A</v>
      </c>
      <c r="BJ420" s="3535" t="e">
        <v>#N/A</v>
      </c>
      <c r="BK420" s="3535" t="e">
        <v>#N/A</v>
      </c>
      <c r="BL420" s="3535" t="e">
        <v>#N/A</v>
      </c>
      <c r="BM420" s="3535" t="e">
        <v>#N/A</v>
      </c>
      <c r="BN420" s="3535" t="e">
        <v>#N/A</v>
      </c>
      <c r="BO420" s="3535" t="e">
        <v>#N/A</v>
      </c>
      <c r="BP420" s="3535" t="e">
        <v>#N/A</v>
      </c>
      <c r="BQ420" s="3535" t="e">
        <v>#N/A</v>
      </c>
      <c r="BR420" s="3535" t="e">
        <v>#N/A</v>
      </c>
      <c r="BS420" s="3535" t="e">
        <v>#N/A</v>
      </c>
      <c r="BT420" s="3535" t="e">
        <v>#N/A</v>
      </c>
      <c r="BU420" s="3535" t="e">
        <v>#N/A</v>
      </c>
      <c r="BV420" s="3535" t="e">
        <v>#N/A</v>
      </c>
      <c r="BW420" s="3535" t="e">
        <v>#N/A</v>
      </c>
      <c r="BX420" s="3535" t="e">
        <v>#N/A</v>
      </c>
      <c r="BY420" s="3535" t="e">
        <v>#N/A</v>
      </c>
      <c r="BZ420" s="3535" t="e">
        <v>#N/A</v>
      </c>
      <c r="CA420" s="3535" t="e">
        <v>#N/A</v>
      </c>
      <c r="CB420" s="3535" t="e">
        <v>#N/A</v>
      </c>
      <c r="CC420" s="3535" t="e">
        <v>#N/A</v>
      </c>
      <c r="CD420" s="3535" t="e">
        <v>#N/A</v>
      </c>
      <c r="CE420" s="3535" t="e">
        <v>#N/A</v>
      </c>
      <c r="CF420" s="3535" t="e">
        <v>#N/A</v>
      </c>
      <c r="CG420" s="3535" t="e">
        <v>#N/A</v>
      </c>
      <c r="CH420" s="3535" t="e">
        <v>#N/A</v>
      </c>
      <c r="CI420" s="3535" t="e">
        <v>#N/A</v>
      </c>
      <c r="CJ420" s="2978" t="e">
        <v>#N/A</v>
      </c>
    </row>
    <row r="421" spans="1:88">
      <c r="A421" s="53">
        <f t="shared" si="1"/>
        <v>2028.04</v>
      </c>
      <c r="B421" s="615" t="e">
        <v>#N/A</v>
      </c>
      <c r="C421" s="3535" t="e">
        <v>#N/A</v>
      </c>
      <c r="D421" s="358" t="e">
        <v>#N/A</v>
      </c>
      <c r="E421" s="615" t="e">
        <v>#N/A</v>
      </c>
      <c r="F421" s="1215" t="e">
        <v>#N/A</v>
      </c>
      <c r="G421" s="1215" t="e">
        <v>#N/A</v>
      </c>
      <c r="H421" s="1215" t="e">
        <v>#N/A</v>
      </c>
      <c r="I421" s="1215" t="e">
        <v>#N/A</v>
      </c>
      <c r="J421" s="1215" t="e">
        <v>#N/A</v>
      </c>
      <c r="K421" s="1215" t="e">
        <v>#N/A</v>
      </c>
      <c r="L421" s="1215" t="e">
        <v>#N/A</v>
      </c>
      <c r="M421" s="1215" t="e">
        <v>#N/A</v>
      </c>
      <c r="N421" s="1215" t="e">
        <v>#N/A</v>
      </c>
      <c r="O421" s="1215" t="e">
        <v>#N/A</v>
      </c>
      <c r="P421" s="1215" t="e">
        <v>#N/A</v>
      </c>
      <c r="Q421" s="1215" t="e">
        <v>#N/A</v>
      </c>
      <c r="R421" s="2661" t="e">
        <v>#N/A</v>
      </c>
      <c r="S421" s="3535" t="e">
        <v>#N/A</v>
      </c>
      <c r="T421" s="3535" t="e">
        <v>#N/A</v>
      </c>
      <c r="U421" s="3535" t="e">
        <v>#N/A</v>
      </c>
      <c r="V421" s="3535" t="e">
        <v>#N/A</v>
      </c>
      <c r="W421" s="3535" t="e">
        <v>#N/A</v>
      </c>
      <c r="X421" s="3535" t="e">
        <v>#N/A</v>
      </c>
      <c r="Y421" s="3535" t="e">
        <v>#N/A</v>
      </c>
      <c r="Z421" s="3535" t="e">
        <v>#N/A</v>
      </c>
      <c r="AA421" s="3535" t="e">
        <v>#N/A</v>
      </c>
      <c r="AB421" s="3535" t="e">
        <v>#N/A</v>
      </c>
      <c r="AC421" s="3535" t="e">
        <v>#N/A</v>
      </c>
      <c r="AD421" s="3535" t="e">
        <v>#N/A</v>
      </c>
      <c r="AE421" s="3535" t="e">
        <v>#N/A</v>
      </c>
      <c r="AF421" s="3535" t="e">
        <v>#N/A</v>
      </c>
      <c r="AG421" s="3535" t="e">
        <v>#N/A</v>
      </c>
      <c r="AH421" s="3535" t="e">
        <v>#N/A</v>
      </c>
      <c r="AI421" s="3535" t="e">
        <v>#N/A</v>
      </c>
      <c r="AJ421" s="3535" t="e">
        <v>#N/A</v>
      </c>
      <c r="AK421" s="3535" t="e">
        <v>#N/A</v>
      </c>
      <c r="AL421" s="3535" t="e">
        <v>#N/A</v>
      </c>
      <c r="AM421" s="3535" t="e">
        <v>#N/A</v>
      </c>
      <c r="AN421" s="3535" t="e">
        <v>#N/A</v>
      </c>
      <c r="AO421" s="3535" t="e">
        <v>#N/A</v>
      </c>
      <c r="AP421" s="3535" t="e">
        <v>#N/A</v>
      </c>
      <c r="AQ421" s="3535" t="e">
        <v>#N/A</v>
      </c>
      <c r="AR421" s="3535" t="e">
        <v>#N/A</v>
      </c>
      <c r="AS421" s="3535" t="e">
        <v>#N/A</v>
      </c>
      <c r="AT421" s="3535" t="e">
        <v>#N/A</v>
      </c>
      <c r="AU421" s="3535" t="e">
        <v>#N/A</v>
      </c>
      <c r="AV421" s="3535" t="e">
        <v>#N/A</v>
      </c>
      <c r="AW421" s="3535" t="e">
        <v>#N/A</v>
      </c>
      <c r="AX421" s="3535" t="e">
        <v>#N/A</v>
      </c>
      <c r="AY421" s="3535" t="e">
        <v>#N/A</v>
      </c>
      <c r="AZ421" s="3535" t="e">
        <v>#N/A</v>
      </c>
      <c r="BA421" s="3535" t="e">
        <v>#N/A</v>
      </c>
      <c r="BB421" s="3535" t="e">
        <v>#N/A</v>
      </c>
      <c r="BC421" s="3535" t="e">
        <v>#N/A</v>
      </c>
      <c r="BD421" s="3535" t="e">
        <v>#N/A</v>
      </c>
      <c r="BE421" s="3535" t="e">
        <v>#N/A</v>
      </c>
      <c r="BF421" s="3535" t="e">
        <v>#N/A</v>
      </c>
      <c r="BG421" s="3535" t="e">
        <v>#N/A</v>
      </c>
      <c r="BH421" s="3535" t="e">
        <v>#N/A</v>
      </c>
      <c r="BI421" s="3535" t="e">
        <v>#N/A</v>
      </c>
      <c r="BJ421" s="3535" t="e">
        <v>#N/A</v>
      </c>
      <c r="BK421" s="3535" t="e">
        <v>#N/A</v>
      </c>
      <c r="BL421" s="3535" t="e">
        <v>#N/A</v>
      </c>
      <c r="BM421" s="3535" t="e">
        <v>#N/A</v>
      </c>
      <c r="BN421" s="3535" t="e">
        <v>#N/A</v>
      </c>
      <c r="BO421" s="3535" t="e">
        <v>#N/A</v>
      </c>
      <c r="BP421" s="3535" t="e">
        <v>#N/A</v>
      </c>
      <c r="BQ421" s="3535" t="e">
        <v>#N/A</v>
      </c>
      <c r="BR421" s="3535" t="e">
        <v>#N/A</v>
      </c>
      <c r="BS421" s="3535" t="e">
        <v>#N/A</v>
      </c>
      <c r="BT421" s="3535" t="e">
        <v>#N/A</v>
      </c>
      <c r="BU421" s="3535" t="e">
        <v>#N/A</v>
      </c>
      <c r="BV421" s="3535" t="e">
        <v>#N/A</v>
      </c>
      <c r="BW421" s="3535" t="e">
        <v>#N/A</v>
      </c>
      <c r="BX421" s="3535" t="e">
        <v>#N/A</v>
      </c>
      <c r="BY421" s="3535" t="e">
        <v>#N/A</v>
      </c>
      <c r="BZ421" s="3535" t="e">
        <v>#N/A</v>
      </c>
      <c r="CA421" s="3535" t="e">
        <v>#N/A</v>
      </c>
      <c r="CB421" s="3535" t="e">
        <v>#N/A</v>
      </c>
      <c r="CC421" s="3535" t="e">
        <v>#N/A</v>
      </c>
      <c r="CD421" s="3535" t="e">
        <v>#N/A</v>
      </c>
      <c r="CE421" s="3535" t="e">
        <v>#N/A</v>
      </c>
      <c r="CF421" s="3535" t="e">
        <v>#N/A</v>
      </c>
      <c r="CG421" s="3535" t="e">
        <v>#N/A</v>
      </c>
      <c r="CH421" s="3535" t="e">
        <v>#N/A</v>
      </c>
      <c r="CI421" s="3535" t="e">
        <v>#N/A</v>
      </c>
      <c r="CJ421" s="2978" t="e">
        <v>#N/A</v>
      </c>
    </row>
    <row r="422" spans="1:88">
      <c r="A422" s="53">
        <f t="shared" si="1"/>
        <v>2028.05</v>
      </c>
      <c r="B422" s="615" t="e">
        <v>#N/A</v>
      </c>
      <c r="C422" s="3535" t="e">
        <v>#N/A</v>
      </c>
      <c r="D422" s="358" t="e">
        <v>#N/A</v>
      </c>
      <c r="E422" s="615" t="e">
        <v>#N/A</v>
      </c>
      <c r="F422" s="1215" t="e">
        <v>#N/A</v>
      </c>
      <c r="G422" s="1215" t="e">
        <v>#N/A</v>
      </c>
      <c r="H422" s="1215" t="e">
        <v>#N/A</v>
      </c>
      <c r="I422" s="1215" t="e">
        <v>#N/A</v>
      </c>
      <c r="J422" s="1215" t="e">
        <v>#N/A</v>
      </c>
      <c r="K422" s="1215" t="e">
        <v>#N/A</v>
      </c>
      <c r="L422" s="1215" t="e">
        <v>#N/A</v>
      </c>
      <c r="M422" s="1215" t="e">
        <v>#N/A</v>
      </c>
      <c r="N422" s="1215" t="e">
        <v>#N/A</v>
      </c>
      <c r="O422" s="1215" t="e">
        <v>#N/A</v>
      </c>
      <c r="P422" s="1215" t="e">
        <v>#N/A</v>
      </c>
      <c r="Q422" s="1215" t="e">
        <v>#N/A</v>
      </c>
      <c r="R422" s="2661" t="e">
        <v>#N/A</v>
      </c>
      <c r="S422" s="3535" t="e">
        <v>#N/A</v>
      </c>
      <c r="T422" s="3535" t="e">
        <v>#N/A</v>
      </c>
      <c r="U422" s="3535" t="e">
        <v>#N/A</v>
      </c>
      <c r="V422" s="3535" t="e">
        <v>#N/A</v>
      </c>
      <c r="W422" s="3535" t="e">
        <v>#N/A</v>
      </c>
      <c r="X422" s="3535" t="e">
        <v>#N/A</v>
      </c>
      <c r="Y422" s="3535" t="e">
        <v>#N/A</v>
      </c>
      <c r="Z422" s="3535" t="e">
        <v>#N/A</v>
      </c>
      <c r="AA422" s="3535" t="e">
        <v>#N/A</v>
      </c>
      <c r="AB422" s="3535" t="e">
        <v>#N/A</v>
      </c>
      <c r="AC422" s="3535" t="e">
        <v>#N/A</v>
      </c>
      <c r="AD422" s="3535" t="e">
        <v>#N/A</v>
      </c>
      <c r="AE422" s="3535" t="e">
        <v>#N/A</v>
      </c>
      <c r="AF422" s="3535" t="e">
        <v>#N/A</v>
      </c>
      <c r="AG422" s="3535" t="e">
        <v>#N/A</v>
      </c>
      <c r="AH422" s="3535" t="e">
        <v>#N/A</v>
      </c>
      <c r="AI422" s="3535" t="e">
        <v>#N/A</v>
      </c>
      <c r="AJ422" s="3535" t="e">
        <v>#N/A</v>
      </c>
      <c r="AK422" s="3535" t="e">
        <v>#N/A</v>
      </c>
      <c r="AL422" s="3535" t="e">
        <v>#N/A</v>
      </c>
      <c r="AM422" s="3535" t="e">
        <v>#N/A</v>
      </c>
      <c r="AN422" s="3535" t="e">
        <v>#N/A</v>
      </c>
      <c r="AO422" s="3535" t="e">
        <v>#N/A</v>
      </c>
      <c r="AP422" s="3535" t="e">
        <v>#N/A</v>
      </c>
      <c r="AQ422" s="3535" t="e">
        <v>#N/A</v>
      </c>
      <c r="AR422" s="3535" t="e">
        <v>#N/A</v>
      </c>
      <c r="AS422" s="3535" t="e">
        <v>#N/A</v>
      </c>
      <c r="AT422" s="3535" t="e">
        <v>#N/A</v>
      </c>
      <c r="AU422" s="3535" t="e">
        <v>#N/A</v>
      </c>
      <c r="AV422" s="3535" t="e">
        <v>#N/A</v>
      </c>
      <c r="AW422" s="3535" t="e">
        <v>#N/A</v>
      </c>
      <c r="AX422" s="3535" t="e">
        <v>#N/A</v>
      </c>
      <c r="AY422" s="3535" t="e">
        <v>#N/A</v>
      </c>
      <c r="AZ422" s="3535" t="e">
        <v>#N/A</v>
      </c>
      <c r="BA422" s="3535" t="e">
        <v>#N/A</v>
      </c>
      <c r="BB422" s="3535" t="e">
        <v>#N/A</v>
      </c>
      <c r="BC422" s="3535" t="e">
        <v>#N/A</v>
      </c>
      <c r="BD422" s="3535" t="e">
        <v>#N/A</v>
      </c>
      <c r="BE422" s="3535" t="e">
        <v>#N/A</v>
      </c>
      <c r="BF422" s="3535" t="e">
        <v>#N/A</v>
      </c>
      <c r="BG422" s="3535" t="e">
        <v>#N/A</v>
      </c>
      <c r="BH422" s="3535" t="e">
        <v>#N/A</v>
      </c>
      <c r="BI422" s="3535" t="e">
        <v>#N/A</v>
      </c>
      <c r="BJ422" s="3535" t="e">
        <v>#N/A</v>
      </c>
      <c r="BK422" s="3535" t="e">
        <v>#N/A</v>
      </c>
      <c r="BL422" s="3535" t="e">
        <v>#N/A</v>
      </c>
      <c r="BM422" s="3535" t="e">
        <v>#N/A</v>
      </c>
      <c r="BN422" s="3535" t="e">
        <v>#N/A</v>
      </c>
      <c r="BO422" s="3535" t="e">
        <v>#N/A</v>
      </c>
      <c r="BP422" s="3535" t="e">
        <v>#N/A</v>
      </c>
      <c r="BQ422" s="3535" t="e">
        <v>#N/A</v>
      </c>
      <c r="BR422" s="3535" t="e">
        <v>#N/A</v>
      </c>
      <c r="BS422" s="3535" t="e">
        <v>#N/A</v>
      </c>
      <c r="BT422" s="3535" t="e">
        <v>#N/A</v>
      </c>
      <c r="BU422" s="3535" t="e">
        <v>#N/A</v>
      </c>
      <c r="BV422" s="3535" t="e">
        <v>#N/A</v>
      </c>
      <c r="BW422" s="3535" t="e">
        <v>#N/A</v>
      </c>
      <c r="BX422" s="3535" t="e">
        <v>#N/A</v>
      </c>
      <c r="BY422" s="3535" t="e">
        <v>#N/A</v>
      </c>
      <c r="BZ422" s="3535" t="e">
        <v>#N/A</v>
      </c>
      <c r="CA422" s="3535" t="e">
        <v>#N/A</v>
      </c>
      <c r="CB422" s="3535" t="e">
        <v>#N/A</v>
      </c>
      <c r="CC422" s="3535" t="e">
        <v>#N/A</v>
      </c>
      <c r="CD422" s="3535" t="e">
        <v>#N/A</v>
      </c>
      <c r="CE422" s="3535" t="e">
        <v>#N/A</v>
      </c>
      <c r="CF422" s="3535" t="e">
        <v>#N/A</v>
      </c>
      <c r="CG422" s="3535" t="e">
        <v>#N/A</v>
      </c>
      <c r="CH422" s="3535" t="e">
        <v>#N/A</v>
      </c>
      <c r="CI422" s="3535" t="e">
        <v>#N/A</v>
      </c>
      <c r="CJ422" s="2978" t="e">
        <v>#N/A</v>
      </c>
    </row>
    <row r="423" spans="1:88">
      <c r="A423" s="53">
        <f t="shared" si="1"/>
        <v>2028.06</v>
      </c>
      <c r="B423" s="615" t="e">
        <v>#N/A</v>
      </c>
      <c r="C423" s="3535" t="e">
        <v>#N/A</v>
      </c>
      <c r="D423" s="358" t="e">
        <v>#N/A</v>
      </c>
      <c r="E423" s="615" t="e">
        <v>#N/A</v>
      </c>
      <c r="F423" s="1215" t="e">
        <v>#N/A</v>
      </c>
      <c r="G423" s="1215" t="e">
        <v>#N/A</v>
      </c>
      <c r="H423" s="1215" t="e">
        <v>#N/A</v>
      </c>
      <c r="I423" s="1215" t="e">
        <v>#N/A</v>
      </c>
      <c r="J423" s="1215" t="e">
        <v>#N/A</v>
      </c>
      <c r="K423" s="1215" t="e">
        <v>#N/A</v>
      </c>
      <c r="L423" s="1215" t="e">
        <v>#N/A</v>
      </c>
      <c r="M423" s="1215" t="e">
        <v>#N/A</v>
      </c>
      <c r="N423" s="1215" t="e">
        <v>#N/A</v>
      </c>
      <c r="O423" s="1215" t="e">
        <v>#N/A</v>
      </c>
      <c r="P423" s="1215" t="e">
        <v>#N/A</v>
      </c>
      <c r="Q423" s="1215" t="e">
        <v>#N/A</v>
      </c>
      <c r="R423" s="2661" t="e">
        <v>#N/A</v>
      </c>
      <c r="S423" s="3535" t="e">
        <v>#N/A</v>
      </c>
      <c r="T423" s="3535" t="e">
        <v>#N/A</v>
      </c>
      <c r="U423" s="3535" t="e">
        <v>#N/A</v>
      </c>
      <c r="V423" s="3535" t="e">
        <v>#N/A</v>
      </c>
      <c r="W423" s="3535" t="e">
        <v>#N/A</v>
      </c>
      <c r="X423" s="3535" t="e">
        <v>#N/A</v>
      </c>
      <c r="Y423" s="3535" t="e">
        <v>#N/A</v>
      </c>
      <c r="Z423" s="3535" t="e">
        <v>#N/A</v>
      </c>
      <c r="AA423" s="3535" t="e">
        <v>#N/A</v>
      </c>
      <c r="AB423" s="3535" t="e">
        <v>#N/A</v>
      </c>
      <c r="AC423" s="3535" t="e">
        <v>#N/A</v>
      </c>
      <c r="AD423" s="3535" t="e">
        <v>#N/A</v>
      </c>
      <c r="AE423" s="3535" t="e">
        <v>#N/A</v>
      </c>
      <c r="AF423" s="3535" t="e">
        <v>#N/A</v>
      </c>
      <c r="AG423" s="3535" t="e">
        <v>#N/A</v>
      </c>
      <c r="AH423" s="3535" t="e">
        <v>#N/A</v>
      </c>
      <c r="AI423" s="3535" t="e">
        <v>#N/A</v>
      </c>
      <c r="AJ423" s="3535" t="e">
        <v>#N/A</v>
      </c>
      <c r="AK423" s="3535" t="e">
        <v>#N/A</v>
      </c>
      <c r="AL423" s="3535" t="e">
        <v>#N/A</v>
      </c>
      <c r="AM423" s="3535" t="e">
        <v>#N/A</v>
      </c>
      <c r="AN423" s="3535" t="e">
        <v>#N/A</v>
      </c>
      <c r="AO423" s="3535" t="e">
        <v>#N/A</v>
      </c>
      <c r="AP423" s="3535" t="e">
        <v>#N/A</v>
      </c>
      <c r="AQ423" s="3535" t="e">
        <v>#N/A</v>
      </c>
      <c r="AR423" s="3535" t="e">
        <v>#N/A</v>
      </c>
      <c r="AS423" s="3535" t="e">
        <v>#N/A</v>
      </c>
      <c r="AT423" s="3535" t="e">
        <v>#N/A</v>
      </c>
      <c r="AU423" s="3535" t="e">
        <v>#N/A</v>
      </c>
      <c r="AV423" s="3535" t="e">
        <v>#N/A</v>
      </c>
      <c r="AW423" s="3535" t="e">
        <v>#N/A</v>
      </c>
      <c r="AX423" s="3535" t="e">
        <v>#N/A</v>
      </c>
      <c r="AY423" s="3535" t="e">
        <v>#N/A</v>
      </c>
      <c r="AZ423" s="3535" t="e">
        <v>#N/A</v>
      </c>
      <c r="BA423" s="3535" t="e">
        <v>#N/A</v>
      </c>
      <c r="BB423" s="3535" t="e">
        <v>#N/A</v>
      </c>
      <c r="BC423" s="3535" t="e">
        <v>#N/A</v>
      </c>
      <c r="BD423" s="3535" t="e">
        <v>#N/A</v>
      </c>
      <c r="BE423" s="3535" t="e">
        <v>#N/A</v>
      </c>
      <c r="BF423" s="3535" t="e">
        <v>#N/A</v>
      </c>
      <c r="BG423" s="3535" t="e">
        <v>#N/A</v>
      </c>
      <c r="BH423" s="3535" t="e">
        <v>#N/A</v>
      </c>
      <c r="BI423" s="3535" t="e">
        <v>#N/A</v>
      </c>
      <c r="BJ423" s="3535" t="e">
        <v>#N/A</v>
      </c>
      <c r="BK423" s="3535" t="e">
        <v>#N/A</v>
      </c>
      <c r="BL423" s="3535" t="e">
        <v>#N/A</v>
      </c>
      <c r="BM423" s="3535" t="e">
        <v>#N/A</v>
      </c>
      <c r="BN423" s="3535" t="e">
        <v>#N/A</v>
      </c>
      <c r="BO423" s="3535" t="e">
        <v>#N/A</v>
      </c>
      <c r="BP423" s="3535" t="e">
        <v>#N/A</v>
      </c>
      <c r="BQ423" s="3535" t="e">
        <v>#N/A</v>
      </c>
      <c r="BR423" s="3535" t="e">
        <v>#N/A</v>
      </c>
      <c r="BS423" s="3535" t="e">
        <v>#N/A</v>
      </c>
      <c r="BT423" s="3535" t="e">
        <v>#N/A</v>
      </c>
      <c r="BU423" s="3535" t="e">
        <v>#N/A</v>
      </c>
      <c r="BV423" s="3535" t="e">
        <v>#N/A</v>
      </c>
      <c r="BW423" s="3535" t="e">
        <v>#N/A</v>
      </c>
      <c r="BX423" s="3535" t="e">
        <v>#N/A</v>
      </c>
      <c r="BY423" s="3535" t="e">
        <v>#N/A</v>
      </c>
      <c r="BZ423" s="3535" t="e">
        <v>#N/A</v>
      </c>
      <c r="CA423" s="3535" t="e">
        <v>#N/A</v>
      </c>
      <c r="CB423" s="3535" t="e">
        <v>#N/A</v>
      </c>
      <c r="CC423" s="3535" t="e">
        <v>#N/A</v>
      </c>
      <c r="CD423" s="3535" t="e">
        <v>#N/A</v>
      </c>
      <c r="CE423" s="3535" t="e">
        <v>#N/A</v>
      </c>
      <c r="CF423" s="3535" t="e">
        <v>#N/A</v>
      </c>
      <c r="CG423" s="3535" t="e">
        <v>#N/A</v>
      </c>
      <c r="CH423" s="3535" t="e">
        <v>#N/A</v>
      </c>
      <c r="CI423" s="3535" t="e">
        <v>#N/A</v>
      </c>
      <c r="CJ423" s="2978" t="e">
        <v>#N/A</v>
      </c>
    </row>
    <row r="424" spans="1:88">
      <c r="A424" s="53">
        <f t="shared" si="1"/>
        <v>2028.07</v>
      </c>
      <c r="B424" s="615" t="e">
        <v>#N/A</v>
      </c>
      <c r="C424" s="3535" t="e">
        <v>#N/A</v>
      </c>
      <c r="D424" s="358" t="e">
        <v>#N/A</v>
      </c>
      <c r="E424" s="615" t="e">
        <v>#N/A</v>
      </c>
      <c r="F424" s="1215" t="e">
        <v>#N/A</v>
      </c>
      <c r="G424" s="1215" t="e">
        <v>#N/A</v>
      </c>
      <c r="H424" s="1215" t="e">
        <v>#N/A</v>
      </c>
      <c r="I424" s="1215" t="e">
        <v>#N/A</v>
      </c>
      <c r="J424" s="1215" t="e">
        <v>#N/A</v>
      </c>
      <c r="K424" s="1215" t="e">
        <v>#N/A</v>
      </c>
      <c r="L424" s="1215" t="e">
        <v>#N/A</v>
      </c>
      <c r="M424" s="1215" t="e">
        <v>#N/A</v>
      </c>
      <c r="N424" s="1215" t="e">
        <v>#N/A</v>
      </c>
      <c r="O424" s="1215" t="e">
        <v>#N/A</v>
      </c>
      <c r="P424" s="1215" t="e">
        <v>#N/A</v>
      </c>
      <c r="Q424" s="1215" t="e">
        <v>#N/A</v>
      </c>
      <c r="R424" s="2661" t="e">
        <v>#N/A</v>
      </c>
      <c r="S424" s="3535" t="e">
        <v>#N/A</v>
      </c>
      <c r="T424" s="3535" t="e">
        <v>#N/A</v>
      </c>
      <c r="U424" s="3535" t="e">
        <v>#N/A</v>
      </c>
      <c r="V424" s="3535" t="e">
        <v>#N/A</v>
      </c>
      <c r="W424" s="3535" t="e">
        <v>#N/A</v>
      </c>
      <c r="X424" s="3535" t="e">
        <v>#N/A</v>
      </c>
      <c r="Y424" s="3535" t="e">
        <v>#N/A</v>
      </c>
      <c r="Z424" s="3535" t="e">
        <v>#N/A</v>
      </c>
      <c r="AA424" s="3535" t="e">
        <v>#N/A</v>
      </c>
      <c r="AB424" s="3535" t="e">
        <v>#N/A</v>
      </c>
      <c r="AC424" s="3535" t="e">
        <v>#N/A</v>
      </c>
      <c r="AD424" s="3535" t="e">
        <v>#N/A</v>
      </c>
      <c r="AE424" s="3535" t="e">
        <v>#N/A</v>
      </c>
      <c r="AF424" s="3535" t="e">
        <v>#N/A</v>
      </c>
      <c r="AG424" s="3535" t="e">
        <v>#N/A</v>
      </c>
      <c r="AH424" s="3535" t="e">
        <v>#N/A</v>
      </c>
      <c r="AI424" s="3535" t="e">
        <v>#N/A</v>
      </c>
      <c r="AJ424" s="3535" t="e">
        <v>#N/A</v>
      </c>
      <c r="AK424" s="3535" t="e">
        <v>#N/A</v>
      </c>
      <c r="AL424" s="3535" t="e">
        <v>#N/A</v>
      </c>
      <c r="AM424" s="3535" t="e">
        <v>#N/A</v>
      </c>
      <c r="AN424" s="3535" t="e">
        <v>#N/A</v>
      </c>
      <c r="AO424" s="3535" t="e">
        <v>#N/A</v>
      </c>
      <c r="AP424" s="3535" t="e">
        <v>#N/A</v>
      </c>
      <c r="AQ424" s="3535" t="e">
        <v>#N/A</v>
      </c>
      <c r="AR424" s="3535" t="e">
        <v>#N/A</v>
      </c>
      <c r="AS424" s="3535" t="e">
        <v>#N/A</v>
      </c>
      <c r="AT424" s="3535" t="e">
        <v>#N/A</v>
      </c>
      <c r="AU424" s="3535" t="e">
        <v>#N/A</v>
      </c>
      <c r="AV424" s="3535" t="e">
        <v>#N/A</v>
      </c>
      <c r="AW424" s="3535" t="e">
        <v>#N/A</v>
      </c>
      <c r="AX424" s="3535" t="e">
        <v>#N/A</v>
      </c>
      <c r="AY424" s="3535" t="e">
        <v>#N/A</v>
      </c>
      <c r="AZ424" s="3535" t="e">
        <v>#N/A</v>
      </c>
      <c r="BA424" s="3535" t="e">
        <v>#N/A</v>
      </c>
      <c r="BB424" s="3535" t="e">
        <v>#N/A</v>
      </c>
      <c r="BC424" s="3535" t="e">
        <v>#N/A</v>
      </c>
      <c r="BD424" s="3535" t="e">
        <v>#N/A</v>
      </c>
      <c r="BE424" s="3535" t="e">
        <v>#N/A</v>
      </c>
      <c r="BF424" s="3535" t="e">
        <v>#N/A</v>
      </c>
      <c r="BG424" s="3535" t="e">
        <v>#N/A</v>
      </c>
      <c r="BH424" s="3535" t="e">
        <v>#N/A</v>
      </c>
      <c r="BI424" s="3535" t="e">
        <v>#N/A</v>
      </c>
      <c r="BJ424" s="3535" t="e">
        <v>#N/A</v>
      </c>
      <c r="BK424" s="3535" t="e">
        <v>#N/A</v>
      </c>
      <c r="BL424" s="3535" t="e">
        <v>#N/A</v>
      </c>
      <c r="BM424" s="3535" t="e">
        <v>#N/A</v>
      </c>
      <c r="BN424" s="3535" t="e">
        <v>#N/A</v>
      </c>
      <c r="BO424" s="3535" t="e">
        <v>#N/A</v>
      </c>
      <c r="BP424" s="3535" t="e">
        <v>#N/A</v>
      </c>
      <c r="BQ424" s="3535" t="e">
        <v>#N/A</v>
      </c>
      <c r="BR424" s="3535" t="e">
        <v>#N/A</v>
      </c>
      <c r="BS424" s="3535" t="e">
        <v>#N/A</v>
      </c>
      <c r="BT424" s="3535" t="e">
        <v>#N/A</v>
      </c>
      <c r="BU424" s="3535" t="e">
        <v>#N/A</v>
      </c>
      <c r="BV424" s="3535" t="e">
        <v>#N/A</v>
      </c>
      <c r="BW424" s="3535" t="e">
        <v>#N/A</v>
      </c>
      <c r="BX424" s="3535" t="e">
        <v>#N/A</v>
      </c>
      <c r="BY424" s="3535" t="e">
        <v>#N/A</v>
      </c>
      <c r="BZ424" s="3535" t="e">
        <v>#N/A</v>
      </c>
      <c r="CA424" s="3535" t="e">
        <v>#N/A</v>
      </c>
      <c r="CB424" s="3535" t="e">
        <v>#N/A</v>
      </c>
      <c r="CC424" s="3535" t="e">
        <v>#N/A</v>
      </c>
      <c r="CD424" s="3535" t="e">
        <v>#N/A</v>
      </c>
      <c r="CE424" s="3535" t="e">
        <v>#N/A</v>
      </c>
      <c r="CF424" s="3535" t="e">
        <v>#N/A</v>
      </c>
      <c r="CG424" s="3535" t="e">
        <v>#N/A</v>
      </c>
      <c r="CH424" s="3535" t="e">
        <v>#N/A</v>
      </c>
      <c r="CI424" s="3535" t="e">
        <v>#N/A</v>
      </c>
      <c r="CJ424" s="2978" t="e">
        <v>#N/A</v>
      </c>
    </row>
    <row r="425" spans="1:88">
      <c r="A425" s="53">
        <f t="shared" si="1"/>
        <v>2028.08</v>
      </c>
      <c r="B425" s="615" t="e">
        <v>#N/A</v>
      </c>
      <c r="C425" s="3535" t="e">
        <v>#N/A</v>
      </c>
      <c r="D425" s="358" t="e">
        <v>#N/A</v>
      </c>
      <c r="E425" s="615" t="e">
        <v>#N/A</v>
      </c>
      <c r="F425" s="1215" t="e">
        <v>#N/A</v>
      </c>
      <c r="G425" s="1215" t="e">
        <v>#N/A</v>
      </c>
      <c r="H425" s="1215" t="e">
        <v>#N/A</v>
      </c>
      <c r="I425" s="1215" t="e">
        <v>#N/A</v>
      </c>
      <c r="J425" s="1215" t="e">
        <v>#N/A</v>
      </c>
      <c r="K425" s="1215" t="e">
        <v>#N/A</v>
      </c>
      <c r="L425" s="1215" t="e">
        <v>#N/A</v>
      </c>
      <c r="M425" s="1215" t="e">
        <v>#N/A</v>
      </c>
      <c r="N425" s="1215" t="e">
        <v>#N/A</v>
      </c>
      <c r="O425" s="1215" t="e">
        <v>#N/A</v>
      </c>
      <c r="P425" s="1215" t="e">
        <v>#N/A</v>
      </c>
      <c r="Q425" s="1215" t="e">
        <v>#N/A</v>
      </c>
      <c r="R425" s="2661" t="e">
        <v>#N/A</v>
      </c>
      <c r="S425" s="3535" t="e">
        <v>#N/A</v>
      </c>
      <c r="T425" s="3535" t="e">
        <v>#N/A</v>
      </c>
      <c r="U425" s="3535" t="e">
        <v>#N/A</v>
      </c>
      <c r="V425" s="3535" t="e">
        <v>#N/A</v>
      </c>
      <c r="W425" s="3535" t="e">
        <v>#N/A</v>
      </c>
      <c r="X425" s="3535" t="e">
        <v>#N/A</v>
      </c>
      <c r="Y425" s="3535" t="e">
        <v>#N/A</v>
      </c>
      <c r="Z425" s="3535" t="e">
        <v>#N/A</v>
      </c>
      <c r="AA425" s="3535" t="e">
        <v>#N/A</v>
      </c>
      <c r="AB425" s="3535" t="e">
        <v>#N/A</v>
      </c>
      <c r="AC425" s="3535" t="e">
        <v>#N/A</v>
      </c>
      <c r="AD425" s="3535" t="e">
        <v>#N/A</v>
      </c>
      <c r="AE425" s="3535" t="e">
        <v>#N/A</v>
      </c>
      <c r="AF425" s="3535" t="e">
        <v>#N/A</v>
      </c>
      <c r="AG425" s="3535" t="e">
        <v>#N/A</v>
      </c>
      <c r="AH425" s="3535" t="e">
        <v>#N/A</v>
      </c>
      <c r="AI425" s="3535" t="e">
        <v>#N/A</v>
      </c>
      <c r="AJ425" s="3535" t="e">
        <v>#N/A</v>
      </c>
      <c r="AK425" s="3535" t="e">
        <v>#N/A</v>
      </c>
      <c r="AL425" s="3535" t="e">
        <v>#N/A</v>
      </c>
      <c r="AM425" s="3535" t="e">
        <v>#N/A</v>
      </c>
      <c r="AN425" s="3535" t="e">
        <v>#N/A</v>
      </c>
      <c r="AO425" s="3535" t="e">
        <v>#N/A</v>
      </c>
      <c r="AP425" s="3535" t="e">
        <v>#N/A</v>
      </c>
      <c r="AQ425" s="3535" t="e">
        <v>#N/A</v>
      </c>
      <c r="AR425" s="3535" t="e">
        <v>#N/A</v>
      </c>
      <c r="AS425" s="3535" t="e">
        <v>#N/A</v>
      </c>
      <c r="AT425" s="3535" t="e">
        <v>#N/A</v>
      </c>
      <c r="AU425" s="3535" t="e">
        <v>#N/A</v>
      </c>
      <c r="AV425" s="3535" t="e">
        <v>#N/A</v>
      </c>
      <c r="AW425" s="3535" t="e">
        <v>#N/A</v>
      </c>
      <c r="AX425" s="3535" t="e">
        <v>#N/A</v>
      </c>
      <c r="AY425" s="3535" t="e">
        <v>#N/A</v>
      </c>
      <c r="AZ425" s="3535" t="e">
        <v>#N/A</v>
      </c>
      <c r="BA425" s="3535" t="e">
        <v>#N/A</v>
      </c>
      <c r="BB425" s="3535" t="e">
        <v>#N/A</v>
      </c>
      <c r="BC425" s="3535" t="e">
        <v>#N/A</v>
      </c>
      <c r="BD425" s="3535" t="e">
        <v>#N/A</v>
      </c>
      <c r="BE425" s="3535" t="e">
        <v>#N/A</v>
      </c>
      <c r="BF425" s="3535" t="e">
        <v>#N/A</v>
      </c>
      <c r="BG425" s="3535" t="e">
        <v>#N/A</v>
      </c>
      <c r="BH425" s="3535" t="e">
        <v>#N/A</v>
      </c>
      <c r="BI425" s="3535" t="e">
        <v>#N/A</v>
      </c>
      <c r="BJ425" s="3535" t="e">
        <v>#N/A</v>
      </c>
      <c r="BK425" s="3535" t="e">
        <v>#N/A</v>
      </c>
      <c r="BL425" s="3535" t="e">
        <v>#N/A</v>
      </c>
      <c r="BM425" s="3535" t="e">
        <v>#N/A</v>
      </c>
      <c r="BN425" s="3535" t="e">
        <v>#N/A</v>
      </c>
      <c r="BO425" s="3535" t="e">
        <v>#N/A</v>
      </c>
      <c r="BP425" s="3535" t="e">
        <v>#N/A</v>
      </c>
      <c r="BQ425" s="3535" t="e">
        <v>#N/A</v>
      </c>
      <c r="BR425" s="3535" t="e">
        <v>#N/A</v>
      </c>
      <c r="BS425" s="3535" t="e">
        <v>#N/A</v>
      </c>
      <c r="BT425" s="3535" t="e">
        <v>#N/A</v>
      </c>
      <c r="BU425" s="3535" t="e">
        <v>#N/A</v>
      </c>
      <c r="BV425" s="3535" t="e">
        <v>#N/A</v>
      </c>
      <c r="BW425" s="3535" t="e">
        <v>#N/A</v>
      </c>
      <c r="BX425" s="3535" t="e">
        <v>#N/A</v>
      </c>
      <c r="BY425" s="3535" t="e">
        <v>#N/A</v>
      </c>
      <c r="BZ425" s="3535" t="e">
        <v>#N/A</v>
      </c>
      <c r="CA425" s="3535" t="e">
        <v>#N/A</v>
      </c>
      <c r="CB425" s="3535" t="e">
        <v>#N/A</v>
      </c>
      <c r="CC425" s="3535" t="e">
        <v>#N/A</v>
      </c>
      <c r="CD425" s="3535" t="e">
        <v>#N/A</v>
      </c>
      <c r="CE425" s="3535" t="e">
        <v>#N/A</v>
      </c>
      <c r="CF425" s="3535" t="e">
        <v>#N/A</v>
      </c>
      <c r="CG425" s="3535" t="e">
        <v>#N/A</v>
      </c>
      <c r="CH425" s="3535" t="e">
        <v>#N/A</v>
      </c>
      <c r="CI425" s="3535" t="e">
        <v>#N/A</v>
      </c>
      <c r="CJ425" s="2978" t="e">
        <v>#N/A</v>
      </c>
    </row>
    <row r="426" spans="1:88">
      <c r="A426" s="53">
        <f t="shared" si="1"/>
        <v>2028.09</v>
      </c>
      <c r="B426" s="615" t="e">
        <v>#N/A</v>
      </c>
      <c r="C426" s="3535" t="e">
        <v>#N/A</v>
      </c>
      <c r="D426" s="358" t="e">
        <v>#N/A</v>
      </c>
      <c r="E426" s="615" t="e">
        <v>#N/A</v>
      </c>
      <c r="F426" s="1215" t="e">
        <v>#N/A</v>
      </c>
      <c r="G426" s="1215" t="e">
        <v>#N/A</v>
      </c>
      <c r="H426" s="1215" t="e">
        <v>#N/A</v>
      </c>
      <c r="I426" s="1215" t="e">
        <v>#N/A</v>
      </c>
      <c r="J426" s="1215" t="e">
        <v>#N/A</v>
      </c>
      <c r="K426" s="1215" t="e">
        <v>#N/A</v>
      </c>
      <c r="L426" s="1215" t="e">
        <v>#N/A</v>
      </c>
      <c r="M426" s="1215" t="e">
        <v>#N/A</v>
      </c>
      <c r="N426" s="1215" t="e">
        <v>#N/A</v>
      </c>
      <c r="O426" s="1215" t="e">
        <v>#N/A</v>
      </c>
      <c r="P426" s="1215" t="e">
        <v>#N/A</v>
      </c>
      <c r="Q426" s="1215" t="e">
        <v>#N/A</v>
      </c>
      <c r="R426" s="2661" t="e">
        <v>#N/A</v>
      </c>
      <c r="S426" s="3535" t="e">
        <v>#N/A</v>
      </c>
      <c r="T426" s="3535" t="e">
        <v>#N/A</v>
      </c>
      <c r="U426" s="3535" t="e">
        <v>#N/A</v>
      </c>
      <c r="V426" s="3535" t="e">
        <v>#N/A</v>
      </c>
      <c r="W426" s="3535" t="e">
        <v>#N/A</v>
      </c>
      <c r="X426" s="3535" t="e">
        <v>#N/A</v>
      </c>
      <c r="Y426" s="3535" t="e">
        <v>#N/A</v>
      </c>
      <c r="Z426" s="3535" t="e">
        <v>#N/A</v>
      </c>
      <c r="AA426" s="3535" t="e">
        <v>#N/A</v>
      </c>
      <c r="AB426" s="3535" t="e">
        <v>#N/A</v>
      </c>
      <c r="AC426" s="3535" t="e">
        <v>#N/A</v>
      </c>
      <c r="AD426" s="3535" t="e">
        <v>#N/A</v>
      </c>
      <c r="AE426" s="3535" t="e">
        <v>#N/A</v>
      </c>
      <c r="AF426" s="3535" t="e">
        <v>#N/A</v>
      </c>
      <c r="AG426" s="3535" t="e">
        <v>#N/A</v>
      </c>
      <c r="AH426" s="3535" t="e">
        <v>#N/A</v>
      </c>
      <c r="AI426" s="3535" t="e">
        <v>#N/A</v>
      </c>
      <c r="AJ426" s="3535" t="e">
        <v>#N/A</v>
      </c>
      <c r="AK426" s="3535" t="e">
        <v>#N/A</v>
      </c>
      <c r="AL426" s="3535" t="e">
        <v>#N/A</v>
      </c>
      <c r="AM426" s="3535" t="e">
        <v>#N/A</v>
      </c>
      <c r="AN426" s="3535" t="e">
        <v>#N/A</v>
      </c>
      <c r="AO426" s="3535" t="e">
        <v>#N/A</v>
      </c>
      <c r="AP426" s="3535" t="e">
        <v>#N/A</v>
      </c>
      <c r="AQ426" s="3535" t="e">
        <v>#N/A</v>
      </c>
      <c r="AR426" s="3535" t="e">
        <v>#N/A</v>
      </c>
      <c r="AS426" s="3535" t="e">
        <v>#N/A</v>
      </c>
      <c r="AT426" s="3535" t="e">
        <v>#N/A</v>
      </c>
      <c r="AU426" s="3535" t="e">
        <v>#N/A</v>
      </c>
      <c r="AV426" s="3535" t="e">
        <v>#N/A</v>
      </c>
      <c r="AW426" s="3535" t="e">
        <v>#N/A</v>
      </c>
      <c r="AX426" s="3535" t="e">
        <v>#N/A</v>
      </c>
      <c r="AY426" s="3535" t="e">
        <v>#N/A</v>
      </c>
      <c r="AZ426" s="3535" t="e">
        <v>#N/A</v>
      </c>
      <c r="BA426" s="3535" t="e">
        <v>#N/A</v>
      </c>
      <c r="BB426" s="3535" t="e">
        <v>#N/A</v>
      </c>
      <c r="BC426" s="3535" t="e">
        <v>#N/A</v>
      </c>
      <c r="BD426" s="3535" t="e">
        <v>#N/A</v>
      </c>
      <c r="BE426" s="3535" t="e">
        <v>#N/A</v>
      </c>
      <c r="BF426" s="3535" t="e">
        <v>#N/A</v>
      </c>
      <c r="BG426" s="3535" t="e">
        <v>#N/A</v>
      </c>
      <c r="BH426" s="3535" t="e">
        <v>#N/A</v>
      </c>
      <c r="BI426" s="3535" t="e">
        <v>#N/A</v>
      </c>
      <c r="BJ426" s="3535" t="e">
        <v>#N/A</v>
      </c>
      <c r="BK426" s="3535" t="e">
        <v>#N/A</v>
      </c>
      <c r="BL426" s="3535" t="e">
        <v>#N/A</v>
      </c>
      <c r="BM426" s="3535" t="e">
        <v>#N/A</v>
      </c>
      <c r="BN426" s="3535" t="e">
        <v>#N/A</v>
      </c>
      <c r="BO426" s="3535" t="e">
        <v>#N/A</v>
      </c>
      <c r="BP426" s="3535" t="e">
        <v>#N/A</v>
      </c>
      <c r="BQ426" s="3535" t="e">
        <v>#N/A</v>
      </c>
      <c r="BR426" s="3535" t="e">
        <v>#N/A</v>
      </c>
      <c r="BS426" s="3535" t="e">
        <v>#N/A</v>
      </c>
      <c r="BT426" s="3535" t="e">
        <v>#N/A</v>
      </c>
      <c r="BU426" s="3535" t="e">
        <v>#N/A</v>
      </c>
      <c r="BV426" s="3535" t="e">
        <v>#N/A</v>
      </c>
      <c r="BW426" s="3535" t="e">
        <v>#N/A</v>
      </c>
      <c r="BX426" s="3535" t="e">
        <v>#N/A</v>
      </c>
      <c r="BY426" s="3535" t="e">
        <v>#N/A</v>
      </c>
      <c r="BZ426" s="3535" t="e">
        <v>#N/A</v>
      </c>
      <c r="CA426" s="3535" t="e">
        <v>#N/A</v>
      </c>
      <c r="CB426" s="3535" t="e">
        <v>#N/A</v>
      </c>
      <c r="CC426" s="3535" t="e">
        <v>#N/A</v>
      </c>
      <c r="CD426" s="3535" t="e">
        <v>#N/A</v>
      </c>
      <c r="CE426" s="3535" t="e">
        <v>#N/A</v>
      </c>
      <c r="CF426" s="3535" t="e">
        <v>#N/A</v>
      </c>
      <c r="CG426" s="3535" t="e">
        <v>#N/A</v>
      </c>
      <c r="CH426" s="3535" t="e">
        <v>#N/A</v>
      </c>
      <c r="CI426" s="3535" t="e">
        <v>#N/A</v>
      </c>
      <c r="CJ426" s="2978" t="e">
        <v>#N/A</v>
      </c>
    </row>
    <row r="427" spans="1:88">
      <c r="A427" s="53">
        <f t="shared" si="1"/>
        <v>2028.1</v>
      </c>
      <c r="B427" s="615" t="e">
        <v>#N/A</v>
      </c>
      <c r="C427" s="3535" t="e">
        <v>#N/A</v>
      </c>
      <c r="D427" s="358" t="e">
        <v>#N/A</v>
      </c>
      <c r="E427" s="615" t="e">
        <v>#N/A</v>
      </c>
      <c r="F427" s="1215" t="e">
        <v>#N/A</v>
      </c>
      <c r="G427" s="1215" t="e">
        <v>#N/A</v>
      </c>
      <c r="H427" s="1215" t="e">
        <v>#N/A</v>
      </c>
      <c r="I427" s="1215" t="e">
        <v>#N/A</v>
      </c>
      <c r="J427" s="1215" t="e">
        <v>#N/A</v>
      </c>
      <c r="K427" s="1215" t="e">
        <v>#N/A</v>
      </c>
      <c r="L427" s="1215" t="e">
        <v>#N/A</v>
      </c>
      <c r="M427" s="1215" t="e">
        <v>#N/A</v>
      </c>
      <c r="N427" s="1215" t="e">
        <v>#N/A</v>
      </c>
      <c r="O427" s="1215" t="e">
        <v>#N/A</v>
      </c>
      <c r="P427" s="1215" t="e">
        <v>#N/A</v>
      </c>
      <c r="Q427" s="1215" t="e">
        <v>#N/A</v>
      </c>
      <c r="R427" s="2661" t="e">
        <v>#N/A</v>
      </c>
      <c r="S427" s="3535" t="e">
        <v>#N/A</v>
      </c>
      <c r="T427" s="3535" t="e">
        <v>#N/A</v>
      </c>
      <c r="U427" s="3535" t="e">
        <v>#N/A</v>
      </c>
      <c r="V427" s="3535" t="e">
        <v>#N/A</v>
      </c>
      <c r="W427" s="3535" t="e">
        <v>#N/A</v>
      </c>
      <c r="X427" s="3535" t="e">
        <v>#N/A</v>
      </c>
      <c r="Y427" s="3535" t="e">
        <v>#N/A</v>
      </c>
      <c r="Z427" s="3535" t="e">
        <v>#N/A</v>
      </c>
      <c r="AA427" s="3535" t="e">
        <v>#N/A</v>
      </c>
      <c r="AB427" s="3535" t="e">
        <v>#N/A</v>
      </c>
      <c r="AC427" s="3535" t="e">
        <v>#N/A</v>
      </c>
      <c r="AD427" s="3535" t="e">
        <v>#N/A</v>
      </c>
      <c r="AE427" s="3535" t="e">
        <v>#N/A</v>
      </c>
      <c r="AF427" s="3535" t="e">
        <v>#N/A</v>
      </c>
      <c r="AG427" s="3535" t="e">
        <v>#N/A</v>
      </c>
      <c r="AH427" s="3535" t="e">
        <v>#N/A</v>
      </c>
      <c r="AI427" s="3535" t="e">
        <v>#N/A</v>
      </c>
      <c r="AJ427" s="3535" t="e">
        <v>#N/A</v>
      </c>
      <c r="AK427" s="3535" t="e">
        <v>#N/A</v>
      </c>
      <c r="AL427" s="3535" t="e">
        <v>#N/A</v>
      </c>
      <c r="AM427" s="3535" t="e">
        <v>#N/A</v>
      </c>
      <c r="AN427" s="3535" t="e">
        <v>#N/A</v>
      </c>
      <c r="AO427" s="3535" t="e">
        <v>#N/A</v>
      </c>
      <c r="AP427" s="3535" t="e">
        <v>#N/A</v>
      </c>
      <c r="AQ427" s="3535" t="e">
        <v>#N/A</v>
      </c>
      <c r="AR427" s="3535" t="e">
        <v>#N/A</v>
      </c>
      <c r="AS427" s="3535" t="e">
        <v>#N/A</v>
      </c>
      <c r="AT427" s="3535" t="e">
        <v>#N/A</v>
      </c>
      <c r="AU427" s="3535" t="e">
        <v>#N/A</v>
      </c>
      <c r="AV427" s="3535" t="e">
        <v>#N/A</v>
      </c>
      <c r="AW427" s="3535" t="e">
        <v>#N/A</v>
      </c>
      <c r="AX427" s="3535" t="e">
        <v>#N/A</v>
      </c>
      <c r="AY427" s="3535" t="e">
        <v>#N/A</v>
      </c>
      <c r="AZ427" s="3535" t="e">
        <v>#N/A</v>
      </c>
      <c r="BA427" s="3535" t="e">
        <v>#N/A</v>
      </c>
      <c r="BB427" s="3535" t="e">
        <v>#N/A</v>
      </c>
      <c r="BC427" s="3535" t="e">
        <v>#N/A</v>
      </c>
      <c r="BD427" s="3535" t="e">
        <v>#N/A</v>
      </c>
      <c r="BE427" s="3535" t="e">
        <v>#N/A</v>
      </c>
      <c r="BF427" s="3535" t="e">
        <v>#N/A</v>
      </c>
      <c r="BG427" s="3535" t="e">
        <v>#N/A</v>
      </c>
      <c r="BH427" s="3535" t="e">
        <v>#N/A</v>
      </c>
      <c r="BI427" s="3535" t="e">
        <v>#N/A</v>
      </c>
      <c r="BJ427" s="3535" t="e">
        <v>#N/A</v>
      </c>
      <c r="BK427" s="3535" t="e">
        <v>#N/A</v>
      </c>
      <c r="BL427" s="3535" t="e">
        <v>#N/A</v>
      </c>
      <c r="BM427" s="3535" t="e">
        <v>#N/A</v>
      </c>
      <c r="BN427" s="3535" t="e">
        <v>#N/A</v>
      </c>
      <c r="BO427" s="3535" t="e">
        <v>#N/A</v>
      </c>
      <c r="BP427" s="3535" t="e">
        <v>#N/A</v>
      </c>
      <c r="BQ427" s="3535" t="e">
        <v>#N/A</v>
      </c>
      <c r="BR427" s="3535" t="e">
        <v>#N/A</v>
      </c>
      <c r="BS427" s="3535" t="e">
        <v>#N/A</v>
      </c>
      <c r="BT427" s="3535" t="e">
        <v>#N/A</v>
      </c>
      <c r="BU427" s="3535" t="e">
        <v>#N/A</v>
      </c>
      <c r="BV427" s="3535" t="e">
        <v>#N/A</v>
      </c>
      <c r="BW427" s="3535" t="e">
        <v>#N/A</v>
      </c>
      <c r="BX427" s="3535" t="e">
        <v>#N/A</v>
      </c>
      <c r="BY427" s="3535" t="e">
        <v>#N/A</v>
      </c>
      <c r="BZ427" s="3535" t="e">
        <v>#N/A</v>
      </c>
      <c r="CA427" s="3535" t="e">
        <v>#N/A</v>
      </c>
      <c r="CB427" s="3535" t="e">
        <v>#N/A</v>
      </c>
      <c r="CC427" s="3535" t="e">
        <v>#N/A</v>
      </c>
      <c r="CD427" s="3535" t="e">
        <v>#N/A</v>
      </c>
      <c r="CE427" s="3535" t="e">
        <v>#N/A</v>
      </c>
      <c r="CF427" s="3535" t="e">
        <v>#N/A</v>
      </c>
      <c r="CG427" s="3535" t="e">
        <v>#N/A</v>
      </c>
      <c r="CH427" s="3535" t="e">
        <v>#N/A</v>
      </c>
      <c r="CI427" s="3535" t="e">
        <v>#N/A</v>
      </c>
      <c r="CJ427" s="2978" t="e">
        <v>#N/A</v>
      </c>
    </row>
    <row r="428" spans="1:88">
      <c r="A428" s="53">
        <f t="shared" si="1"/>
        <v>2028.11</v>
      </c>
      <c r="B428" s="615" t="e">
        <v>#N/A</v>
      </c>
      <c r="C428" s="3535" t="e">
        <v>#N/A</v>
      </c>
      <c r="D428" s="358" t="e">
        <v>#N/A</v>
      </c>
      <c r="E428" s="615" t="e">
        <v>#N/A</v>
      </c>
      <c r="F428" s="1215" t="e">
        <v>#N/A</v>
      </c>
      <c r="G428" s="1215" t="e">
        <v>#N/A</v>
      </c>
      <c r="H428" s="1215" t="e">
        <v>#N/A</v>
      </c>
      <c r="I428" s="1215" t="e">
        <v>#N/A</v>
      </c>
      <c r="J428" s="1215" t="e">
        <v>#N/A</v>
      </c>
      <c r="K428" s="1215" t="e">
        <v>#N/A</v>
      </c>
      <c r="L428" s="1215" t="e">
        <v>#N/A</v>
      </c>
      <c r="M428" s="1215" t="e">
        <v>#N/A</v>
      </c>
      <c r="N428" s="1215" t="e">
        <v>#N/A</v>
      </c>
      <c r="O428" s="1215" t="e">
        <v>#N/A</v>
      </c>
      <c r="P428" s="1215" t="e">
        <v>#N/A</v>
      </c>
      <c r="Q428" s="1215" t="e">
        <v>#N/A</v>
      </c>
      <c r="R428" s="2661" t="e">
        <v>#N/A</v>
      </c>
      <c r="S428" s="3535" t="e">
        <v>#N/A</v>
      </c>
      <c r="T428" s="3535" t="e">
        <v>#N/A</v>
      </c>
      <c r="U428" s="3535" t="e">
        <v>#N/A</v>
      </c>
      <c r="V428" s="3535" t="e">
        <v>#N/A</v>
      </c>
      <c r="W428" s="3535" t="e">
        <v>#N/A</v>
      </c>
      <c r="X428" s="3535" t="e">
        <v>#N/A</v>
      </c>
      <c r="Y428" s="3535" t="e">
        <v>#N/A</v>
      </c>
      <c r="Z428" s="3535" t="e">
        <v>#N/A</v>
      </c>
      <c r="AA428" s="3535" t="e">
        <v>#N/A</v>
      </c>
      <c r="AB428" s="3535" t="e">
        <v>#N/A</v>
      </c>
      <c r="AC428" s="3535" t="e">
        <v>#N/A</v>
      </c>
      <c r="AD428" s="3535" t="e">
        <v>#N/A</v>
      </c>
      <c r="AE428" s="3535" t="e">
        <v>#N/A</v>
      </c>
      <c r="AF428" s="3535" t="e">
        <v>#N/A</v>
      </c>
      <c r="AG428" s="3535" t="e">
        <v>#N/A</v>
      </c>
      <c r="AH428" s="3535" t="e">
        <v>#N/A</v>
      </c>
      <c r="AI428" s="3535" t="e">
        <v>#N/A</v>
      </c>
      <c r="AJ428" s="3535" t="e">
        <v>#N/A</v>
      </c>
      <c r="AK428" s="3535" t="e">
        <v>#N/A</v>
      </c>
      <c r="AL428" s="3535" t="e">
        <v>#N/A</v>
      </c>
      <c r="AM428" s="3535" t="e">
        <v>#N/A</v>
      </c>
      <c r="AN428" s="3535" t="e">
        <v>#N/A</v>
      </c>
      <c r="AO428" s="3535" t="e">
        <v>#N/A</v>
      </c>
      <c r="AP428" s="3535" t="e">
        <v>#N/A</v>
      </c>
      <c r="AQ428" s="3535" t="e">
        <v>#N/A</v>
      </c>
      <c r="AR428" s="3535" t="e">
        <v>#N/A</v>
      </c>
      <c r="AS428" s="3535" t="e">
        <v>#N/A</v>
      </c>
      <c r="AT428" s="3535" t="e">
        <v>#N/A</v>
      </c>
      <c r="AU428" s="3535" t="e">
        <v>#N/A</v>
      </c>
      <c r="AV428" s="3535" t="e">
        <v>#N/A</v>
      </c>
      <c r="AW428" s="3535" t="e">
        <v>#N/A</v>
      </c>
      <c r="AX428" s="3535" t="e">
        <v>#N/A</v>
      </c>
      <c r="AY428" s="3535" t="e">
        <v>#N/A</v>
      </c>
      <c r="AZ428" s="3535" t="e">
        <v>#N/A</v>
      </c>
      <c r="BA428" s="3535" t="e">
        <v>#N/A</v>
      </c>
      <c r="BB428" s="3535" t="e">
        <v>#N/A</v>
      </c>
      <c r="BC428" s="3535" t="e">
        <v>#N/A</v>
      </c>
      <c r="BD428" s="3535" t="e">
        <v>#N/A</v>
      </c>
      <c r="BE428" s="3535" t="e">
        <v>#N/A</v>
      </c>
      <c r="BF428" s="3535" t="e">
        <v>#N/A</v>
      </c>
      <c r="BG428" s="3535" t="e">
        <v>#N/A</v>
      </c>
      <c r="BH428" s="3535" t="e">
        <v>#N/A</v>
      </c>
      <c r="BI428" s="3535" t="e">
        <v>#N/A</v>
      </c>
      <c r="BJ428" s="3535" t="e">
        <v>#N/A</v>
      </c>
      <c r="BK428" s="3535" t="e">
        <v>#N/A</v>
      </c>
      <c r="BL428" s="3535" t="e">
        <v>#N/A</v>
      </c>
      <c r="BM428" s="3535" t="e">
        <v>#N/A</v>
      </c>
      <c r="BN428" s="3535" t="e">
        <v>#N/A</v>
      </c>
      <c r="BO428" s="3535" t="e">
        <v>#N/A</v>
      </c>
      <c r="BP428" s="3535" t="e">
        <v>#N/A</v>
      </c>
      <c r="BQ428" s="3535" t="e">
        <v>#N/A</v>
      </c>
      <c r="BR428" s="3535" t="e">
        <v>#N/A</v>
      </c>
      <c r="BS428" s="3535" t="e">
        <v>#N/A</v>
      </c>
      <c r="BT428" s="3535" t="e">
        <v>#N/A</v>
      </c>
      <c r="BU428" s="3535" t="e">
        <v>#N/A</v>
      </c>
      <c r="BV428" s="3535" t="e">
        <v>#N/A</v>
      </c>
      <c r="BW428" s="3535" t="e">
        <v>#N/A</v>
      </c>
      <c r="BX428" s="3535" t="e">
        <v>#N/A</v>
      </c>
      <c r="BY428" s="3535" t="e">
        <v>#N/A</v>
      </c>
      <c r="BZ428" s="3535" t="e">
        <v>#N/A</v>
      </c>
      <c r="CA428" s="3535" t="e">
        <v>#N/A</v>
      </c>
      <c r="CB428" s="3535" t="e">
        <v>#N/A</v>
      </c>
      <c r="CC428" s="3535" t="e">
        <v>#N/A</v>
      </c>
      <c r="CD428" s="3535" t="e">
        <v>#N/A</v>
      </c>
      <c r="CE428" s="3535" t="e">
        <v>#N/A</v>
      </c>
      <c r="CF428" s="3535" t="e">
        <v>#N/A</v>
      </c>
      <c r="CG428" s="3535" t="e">
        <v>#N/A</v>
      </c>
      <c r="CH428" s="3535" t="e">
        <v>#N/A</v>
      </c>
      <c r="CI428" s="3535" t="e">
        <v>#N/A</v>
      </c>
      <c r="CJ428" s="2978" t="e">
        <v>#N/A</v>
      </c>
    </row>
    <row r="429" spans="1:88">
      <c r="A429" s="53">
        <f t="shared" si="1"/>
        <v>2028.12</v>
      </c>
      <c r="B429" s="615" t="e">
        <v>#N/A</v>
      </c>
      <c r="C429" s="3535" t="e">
        <v>#N/A</v>
      </c>
      <c r="D429" s="358" t="e">
        <v>#N/A</v>
      </c>
      <c r="E429" s="615" t="e">
        <v>#N/A</v>
      </c>
      <c r="F429" s="1215" t="e">
        <v>#N/A</v>
      </c>
      <c r="G429" s="1215" t="e">
        <v>#N/A</v>
      </c>
      <c r="H429" s="1215" t="e">
        <v>#N/A</v>
      </c>
      <c r="I429" s="1215" t="e">
        <v>#N/A</v>
      </c>
      <c r="J429" s="1215" t="e">
        <v>#N/A</v>
      </c>
      <c r="K429" s="1215" t="e">
        <v>#N/A</v>
      </c>
      <c r="L429" s="1215" t="e">
        <v>#N/A</v>
      </c>
      <c r="M429" s="1215" t="e">
        <v>#N/A</v>
      </c>
      <c r="N429" s="1215" t="e">
        <v>#N/A</v>
      </c>
      <c r="O429" s="1215" t="e">
        <v>#N/A</v>
      </c>
      <c r="P429" s="1215" t="e">
        <v>#N/A</v>
      </c>
      <c r="Q429" s="1215" t="e">
        <v>#N/A</v>
      </c>
      <c r="R429" s="2661" t="e">
        <v>#N/A</v>
      </c>
      <c r="S429" s="3535" t="e">
        <v>#N/A</v>
      </c>
      <c r="T429" s="3535" t="e">
        <v>#N/A</v>
      </c>
      <c r="U429" s="3535" t="e">
        <v>#N/A</v>
      </c>
      <c r="V429" s="3535" t="e">
        <v>#N/A</v>
      </c>
      <c r="W429" s="3535" t="e">
        <v>#N/A</v>
      </c>
      <c r="X429" s="3535" t="e">
        <v>#N/A</v>
      </c>
      <c r="Y429" s="3535" t="e">
        <v>#N/A</v>
      </c>
      <c r="Z429" s="3535" t="e">
        <v>#N/A</v>
      </c>
      <c r="AA429" s="3535" t="e">
        <v>#N/A</v>
      </c>
      <c r="AB429" s="3535" t="e">
        <v>#N/A</v>
      </c>
      <c r="AC429" s="3535" t="e">
        <v>#N/A</v>
      </c>
      <c r="AD429" s="3535" t="e">
        <v>#N/A</v>
      </c>
      <c r="AE429" s="3535" t="e">
        <v>#N/A</v>
      </c>
      <c r="AF429" s="3535" t="e">
        <v>#N/A</v>
      </c>
      <c r="AG429" s="3535" t="e">
        <v>#N/A</v>
      </c>
      <c r="AH429" s="3535" t="e">
        <v>#N/A</v>
      </c>
      <c r="AI429" s="3535" t="e">
        <v>#N/A</v>
      </c>
      <c r="AJ429" s="3535" t="e">
        <v>#N/A</v>
      </c>
      <c r="AK429" s="3535" t="e">
        <v>#N/A</v>
      </c>
      <c r="AL429" s="3535" t="e">
        <v>#N/A</v>
      </c>
      <c r="AM429" s="3535" t="e">
        <v>#N/A</v>
      </c>
      <c r="AN429" s="3535" t="e">
        <v>#N/A</v>
      </c>
      <c r="AO429" s="3535" t="e">
        <v>#N/A</v>
      </c>
      <c r="AP429" s="3535" t="e">
        <v>#N/A</v>
      </c>
      <c r="AQ429" s="3535" t="e">
        <v>#N/A</v>
      </c>
      <c r="AR429" s="3535" t="e">
        <v>#N/A</v>
      </c>
      <c r="AS429" s="3535" t="e">
        <v>#N/A</v>
      </c>
      <c r="AT429" s="3535" t="e">
        <v>#N/A</v>
      </c>
      <c r="AU429" s="3535" t="e">
        <v>#N/A</v>
      </c>
      <c r="AV429" s="3535" t="e">
        <v>#N/A</v>
      </c>
      <c r="AW429" s="3535" t="e">
        <v>#N/A</v>
      </c>
      <c r="AX429" s="3535" t="e">
        <v>#N/A</v>
      </c>
      <c r="AY429" s="3535" t="e">
        <v>#N/A</v>
      </c>
      <c r="AZ429" s="3535" t="e">
        <v>#N/A</v>
      </c>
      <c r="BA429" s="3535" t="e">
        <v>#N/A</v>
      </c>
      <c r="BB429" s="3535" t="e">
        <v>#N/A</v>
      </c>
      <c r="BC429" s="3535" t="e">
        <v>#N/A</v>
      </c>
      <c r="BD429" s="3535" t="e">
        <v>#N/A</v>
      </c>
      <c r="BE429" s="3535" t="e">
        <v>#N/A</v>
      </c>
      <c r="BF429" s="3535" t="e">
        <v>#N/A</v>
      </c>
      <c r="BG429" s="3535" t="e">
        <v>#N/A</v>
      </c>
      <c r="BH429" s="3535" t="e">
        <v>#N/A</v>
      </c>
      <c r="BI429" s="3535" t="e">
        <v>#N/A</v>
      </c>
      <c r="BJ429" s="3535" t="e">
        <v>#N/A</v>
      </c>
      <c r="BK429" s="3535" t="e">
        <v>#N/A</v>
      </c>
      <c r="BL429" s="3535" t="e">
        <v>#N/A</v>
      </c>
      <c r="BM429" s="3535" t="e">
        <v>#N/A</v>
      </c>
      <c r="BN429" s="3535" t="e">
        <v>#N/A</v>
      </c>
      <c r="BO429" s="3535" t="e">
        <v>#N/A</v>
      </c>
      <c r="BP429" s="3535" t="e">
        <v>#N/A</v>
      </c>
      <c r="BQ429" s="3535" t="e">
        <v>#N/A</v>
      </c>
      <c r="BR429" s="3535" t="e">
        <v>#N/A</v>
      </c>
      <c r="BS429" s="3535" t="e">
        <v>#N/A</v>
      </c>
      <c r="BT429" s="3535" t="e">
        <v>#N/A</v>
      </c>
      <c r="BU429" s="3535" t="e">
        <v>#N/A</v>
      </c>
      <c r="BV429" s="3535" t="e">
        <v>#N/A</v>
      </c>
      <c r="BW429" s="3535" t="e">
        <v>#N/A</v>
      </c>
      <c r="BX429" s="3535" t="e">
        <v>#N/A</v>
      </c>
      <c r="BY429" s="3535" t="e">
        <v>#N/A</v>
      </c>
      <c r="BZ429" s="3535" t="e">
        <v>#N/A</v>
      </c>
      <c r="CA429" s="3535" t="e">
        <v>#N/A</v>
      </c>
      <c r="CB429" s="3535" t="e">
        <v>#N/A</v>
      </c>
      <c r="CC429" s="3535" t="e">
        <v>#N/A</v>
      </c>
      <c r="CD429" s="3535" t="e">
        <v>#N/A</v>
      </c>
      <c r="CE429" s="3535" t="e">
        <v>#N/A</v>
      </c>
      <c r="CF429" s="3535" t="e">
        <v>#N/A</v>
      </c>
      <c r="CG429" s="3535" t="e">
        <v>#N/A</v>
      </c>
      <c r="CH429" s="3535" t="e">
        <v>#N/A</v>
      </c>
      <c r="CI429" s="3535" t="e">
        <v>#N/A</v>
      </c>
      <c r="CJ429" s="2978" t="e">
        <v>#N/A</v>
      </c>
    </row>
    <row r="430" spans="1:88">
      <c r="A430" s="53">
        <f t="shared" si="1"/>
        <v>2029.01</v>
      </c>
      <c r="B430" s="615" t="e">
        <v>#N/A</v>
      </c>
      <c r="C430" s="3535" t="e">
        <v>#N/A</v>
      </c>
      <c r="D430" s="358" t="e">
        <v>#N/A</v>
      </c>
      <c r="E430" s="615" t="e">
        <v>#N/A</v>
      </c>
      <c r="F430" s="1215" t="e">
        <v>#N/A</v>
      </c>
      <c r="G430" s="1215" t="e">
        <v>#N/A</v>
      </c>
      <c r="H430" s="1215" t="e">
        <v>#N/A</v>
      </c>
      <c r="I430" s="1215" t="e">
        <v>#N/A</v>
      </c>
      <c r="J430" s="1215" t="e">
        <v>#N/A</v>
      </c>
      <c r="K430" s="1215" t="e">
        <v>#N/A</v>
      </c>
      <c r="L430" s="1215" t="e">
        <v>#N/A</v>
      </c>
      <c r="M430" s="1215" t="e">
        <v>#N/A</v>
      </c>
      <c r="N430" s="1215" t="e">
        <v>#N/A</v>
      </c>
      <c r="O430" s="1215" t="e">
        <v>#N/A</v>
      </c>
      <c r="P430" s="1215" t="e">
        <v>#N/A</v>
      </c>
      <c r="Q430" s="1215" t="e">
        <v>#N/A</v>
      </c>
      <c r="R430" s="2661" t="e">
        <v>#N/A</v>
      </c>
      <c r="S430" s="3535" t="e">
        <v>#N/A</v>
      </c>
      <c r="T430" s="3535" t="e">
        <v>#N/A</v>
      </c>
      <c r="U430" s="3535" t="e">
        <v>#N/A</v>
      </c>
      <c r="V430" s="3535" t="e">
        <v>#N/A</v>
      </c>
      <c r="W430" s="3535" t="e">
        <v>#N/A</v>
      </c>
      <c r="X430" s="3535" t="e">
        <v>#N/A</v>
      </c>
      <c r="Y430" s="3535" t="e">
        <v>#N/A</v>
      </c>
      <c r="Z430" s="3535" t="e">
        <v>#N/A</v>
      </c>
      <c r="AA430" s="3535" t="e">
        <v>#N/A</v>
      </c>
      <c r="AB430" s="3535" t="e">
        <v>#N/A</v>
      </c>
      <c r="AC430" s="3535" t="e">
        <v>#N/A</v>
      </c>
      <c r="AD430" s="3535" t="e">
        <v>#N/A</v>
      </c>
      <c r="AE430" s="3535" t="e">
        <v>#N/A</v>
      </c>
      <c r="AF430" s="3535" t="e">
        <v>#N/A</v>
      </c>
      <c r="AG430" s="3535" t="e">
        <v>#N/A</v>
      </c>
      <c r="AH430" s="3535" t="e">
        <v>#N/A</v>
      </c>
      <c r="AI430" s="3535" t="e">
        <v>#N/A</v>
      </c>
      <c r="AJ430" s="3535" t="e">
        <v>#N/A</v>
      </c>
      <c r="AK430" s="3535" t="e">
        <v>#N/A</v>
      </c>
      <c r="AL430" s="3535" t="e">
        <v>#N/A</v>
      </c>
      <c r="AM430" s="3535" t="e">
        <v>#N/A</v>
      </c>
      <c r="AN430" s="3535" t="e">
        <v>#N/A</v>
      </c>
      <c r="AO430" s="3535" t="e">
        <v>#N/A</v>
      </c>
      <c r="AP430" s="3535" t="e">
        <v>#N/A</v>
      </c>
      <c r="AQ430" s="3535" t="e">
        <v>#N/A</v>
      </c>
      <c r="AR430" s="3535" t="e">
        <v>#N/A</v>
      </c>
      <c r="AS430" s="3535" t="e">
        <v>#N/A</v>
      </c>
      <c r="AT430" s="3535" t="e">
        <v>#N/A</v>
      </c>
      <c r="AU430" s="3535" t="e">
        <v>#N/A</v>
      </c>
      <c r="AV430" s="3535" t="e">
        <v>#N/A</v>
      </c>
      <c r="AW430" s="3535" t="e">
        <v>#N/A</v>
      </c>
      <c r="AX430" s="3535" t="e">
        <v>#N/A</v>
      </c>
      <c r="AY430" s="3535" t="e">
        <v>#N/A</v>
      </c>
      <c r="AZ430" s="3535" t="e">
        <v>#N/A</v>
      </c>
      <c r="BA430" s="3535" t="e">
        <v>#N/A</v>
      </c>
      <c r="BB430" s="3535" t="e">
        <v>#N/A</v>
      </c>
      <c r="BC430" s="3535" t="e">
        <v>#N/A</v>
      </c>
      <c r="BD430" s="3535" t="e">
        <v>#N/A</v>
      </c>
      <c r="BE430" s="3535" t="e">
        <v>#N/A</v>
      </c>
      <c r="BF430" s="3535" t="e">
        <v>#N/A</v>
      </c>
      <c r="BG430" s="3535" t="e">
        <v>#N/A</v>
      </c>
      <c r="BH430" s="3535" t="e">
        <v>#N/A</v>
      </c>
      <c r="BI430" s="3535" t="e">
        <v>#N/A</v>
      </c>
      <c r="BJ430" s="3535" t="e">
        <v>#N/A</v>
      </c>
      <c r="BK430" s="3535" t="e">
        <v>#N/A</v>
      </c>
      <c r="BL430" s="3535" t="e">
        <v>#N/A</v>
      </c>
      <c r="BM430" s="3535" t="e">
        <v>#N/A</v>
      </c>
      <c r="BN430" s="3535" t="e">
        <v>#N/A</v>
      </c>
      <c r="BO430" s="3535" t="e">
        <v>#N/A</v>
      </c>
      <c r="BP430" s="3535" t="e">
        <v>#N/A</v>
      </c>
      <c r="BQ430" s="3535" t="e">
        <v>#N/A</v>
      </c>
      <c r="BR430" s="3535" t="e">
        <v>#N/A</v>
      </c>
      <c r="BS430" s="3535" t="e">
        <v>#N/A</v>
      </c>
      <c r="BT430" s="3535" t="e">
        <v>#N/A</v>
      </c>
      <c r="BU430" s="3535" t="e">
        <v>#N/A</v>
      </c>
      <c r="BV430" s="3535" t="e">
        <v>#N/A</v>
      </c>
      <c r="BW430" s="3535" t="e">
        <v>#N/A</v>
      </c>
      <c r="BX430" s="3535" t="e">
        <v>#N/A</v>
      </c>
      <c r="BY430" s="3535" t="e">
        <v>#N/A</v>
      </c>
      <c r="BZ430" s="3535" t="e">
        <v>#N/A</v>
      </c>
      <c r="CA430" s="3535" t="e">
        <v>#N/A</v>
      </c>
      <c r="CB430" s="3535" t="e">
        <v>#N/A</v>
      </c>
      <c r="CC430" s="3535" t="e">
        <v>#N/A</v>
      </c>
      <c r="CD430" s="3535" t="e">
        <v>#N/A</v>
      </c>
      <c r="CE430" s="3535" t="e">
        <v>#N/A</v>
      </c>
      <c r="CF430" s="3535" t="e">
        <v>#N/A</v>
      </c>
      <c r="CG430" s="3535" t="e">
        <v>#N/A</v>
      </c>
      <c r="CH430" s="3535" t="e">
        <v>#N/A</v>
      </c>
      <c r="CI430" s="3535" t="e">
        <v>#N/A</v>
      </c>
      <c r="CJ430" s="2978" t="e">
        <v>#N/A</v>
      </c>
    </row>
    <row r="431" spans="1:88">
      <c r="A431" s="53">
        <f t="shared" si="1"/>
        <v>2029.02</v>
      </c>
      <c r="B431" s="615" t="e">
        <v>#N/A</v>
      </c>
      <c r="C431" s="3535" t="e">
        <v>#N/A</v>
      </c>
      <c r="D431" s="358" t="e">
        <v>#N/A</v>
      </c>
      <c r="E431" s="615" t="e">
        <v>#N/A</v>
      </c>
      <c r="F431" s="1215" t="e">
        <v>#N/A</v>
      </c>
      <c r="G431" s="1215" t="e">
        <v>#N/A</v>
      </c>
      <c r="H431" s="1215" t="e">
        <v>#N/A</v>
      </c>
      <c r="I431" s="1215" t="e">
        <v>#N/A</v>
      </c>
      <c r="J431" s="1215" t="e">
        <v>#N/A</v>
      </c>
      <c r="K431" s="1215" t="e">
        <v>#N/A</v>
      </c>
      <c r="L431" s="1215" t="e">
        <v>#N/A</v>
      </c>
      <c r="M431" s="1215" t="e">
        <v>#N/A</v>
      </c>
      <c r="N431" s="1215" t="e">
        <v>#N/A</v>
      </c>
      <c r="O431" s="1215" t="e">
        <v>#N/A</v>
      </c>
      <c r="P431" s="1215" t="e">
        <v>#N/A</v>
      </c>
      <c r="Q431" s="1215" t="e">
        <v>#N/A</v>
      </c>
      <c r="R431" s="2661" t="e">
        <v>#N/A</v>
      </c>
      <c r="S431" s="3535" t="e">
        <v>#N/A</v>
      </c>
      <c r="T431" s="3535" t="e">
        <v>#N/A</v>
      </c>
      <c r="U431" s="3535" t="e">
        <v>#N/A</v>
      </c>
      <c r="V431" s="3535" t="e">
        <v>#N/A</v>
      </c>
      <c r="W431" s="3535" t="e">
        <v>#N/A</v>
      </c>
      <c r="X431" s="3535" t="e">
        <v>#N/A</v>
      </c>
      <c r="Y431" s="3535" t="e">
        <v>#N/A</v>
      </c>
      <c r="Z431" s="3535" t="e">
        <v>#N/A</v>
      </c>
      <c r="AA431" s="3535" t="e">
        <v>#N/A</v>
      </c>
      <c r="AB431" s="3535" t="e">
        <v>#N/A</v>
      </c>
      <c r="AC431" s="3535" t="e">
        <v>#N/A</v>
      </c>
      <c r="AD431" s="3535" t="e">
        <v>#N/A</v>
      </c>
      <c r="AE431" s="3535" t="e">
        <v>#N/A</v>
      </c>
      <c r="AF431" s="3535" t="e">
        <v>#N/A</v>
      </c>
      <c r="AG431" s="3535" t="e">
        <v>#N/A</v>
      </c>
      <c r="AH431" s="3535" t="e">
        <v>#N/A</v>
      </c>
      <c r="AI431" s="3535" t="e">
        <v>#N/A</v>
      </c>
      <c r="AJ431" s="3535" t="e">
        <v>#N/A</v>
      </c>
      <c r="AK431" s="3535" t="e">
        <v>#N/A</v>
      </c>
      <c r="AL431" s="3535" t="e">
        <v>#N/A</v>
      </c>
      <c r="AM431" s="3535" t="e">
        <v>#N/A</v>
      </c>
      <c r="AN431" s="3535" t="e">
        <v>#N/A</v>
      </c>
      <c r="AO431" s="3535" t="e">
        <v>#N/A</v>
      </c>
      <c r="AP431" s="3535" t="e">
        <v>#N/A</v>
      </c>
      <c r="AQ431" s="3535" t="e">
        <v>#N/A</v>
      </c>
      <c r="AR431" s="3535" t="e">
        <v>#N/A</v>
      </c>
      <c r="AS431" s="3535" t="e">
        <v>#N/A</v>
      </c>
      <c r="AT431" s="3535" t="e">
        <v>#N/A</v>
      </c>
      <c r="AU431" s="3535" t="e">
        <v>#N/A</v>
      </c>
      <c r="AV431" s="3535" t="e">
        <v>#N/A</v>
      </c>
      <c r="AW431" s="3535" t="e">
        <v>#N/A</v>
      </c>
      <c r="AX431" s="3535" t="e">
        <v>#N/A</v>
      </c>
      <c r="AY431" s="3535" t="e">
        <v>#N/A</v>
      </c>
      <c r="AZ431" s="3535" t="e">
        <v>#N/A</v>
      </c>
      <c r="BA431" s="3535" t="e">
        <v>#N/A</v>
      </c>
      <c r="BB431" s="3535" t="e">
        <v>#N/A</v>
      </c>
      <c r="BC431" s="3535" t="e">
        <v>#N/A</v>
      </c>
      <c r="BD431" s="3535" t="e">
        <v>#N/A</v>
      </c>
      <c r="BE431" s="3535" t="e">
        <v>#N/A</v>
      </c>
      <c r="BF431" s="3535" t="e">
        <v>#N/A</v>
      </c>
      <c r="BG431" s="3535" t="e">
        <v>#N/A</v>
      </c>
      <c r="BH431" s="3535" t="e">
        <v>#N/A</v>
      </c>
      <c r="BI431" s="3535" t="e">
        <v>#N/A</v>
      </c>
      <c r="BJ431" s="3535" t="e">
        <v>#N/A</v>
      </c>
      <c r="BK431" s="3535" t="e">
        <v>#N/A</v>
      </c>
      <c r="BL431" s="3535" t="e">
        <v>#N/A</v>
      </c>
      <c r="BM431" s="3535" t="e">
        <v>#N/A</v>
      </c>
      <c r="BN431" s="3535" t="e">
        <v>#N/A</v>
      </c>
      <c r="BO431" s="3535" t="e">
        <v>#N/A</v>
      </c>
      <c r="BP431" s="3535" t="e">
        <v>#N/A</v>
      </c>
      <c r="BQ431" s="3535" t="e">
        <v>#N/A</v>
      </c>
      <c r="BR431" s="3535" t="e">
        <v>#N/A</v>
      </c>
      <c r="BS431" s="3535" t="e">
        <v>#N/A</v>
      </c>
      <c r="BT431" s="3535" t="e">
        <v>#N/A</v>
      </c>
      <c r="BU431" s="3535" t="e">
        <v>#N/A</v>
      </c>
      <c r="BV431" s="3535" t="e">
        <v>#N/A</v>
      </c>
      <c r="BW431" s="3535" t="e">
        <v>#N/A</v>
      </c>
      <c r="BX431" s="3535" t="e">
        <v>#N/A</v>
      </c>
      <c r="BY431" s="3535" t="e">
        <v>#N/A</v>
      </c>
      <c r="BZ431" s="3535" t="e">
        <v>#N/A</v>
      </c>
      <c r="CA431" s="3535" t="e">
        <v>#N/A</v>
      </c>
      <c r="CB431" s="3535" t="e">
        <v>#N/A</v>
      </c>
      <c r="CC431" s="3535" t="e">
        <v>#N/A</v>
      </c>
      <c r="CD431" s="3535" t="e">
        <v>#N/A</v>
      </c>
      <c r="CE431" s="3535" t="e">
        <v>#N/A</v>
      </c>
      <c r="CF431" s="3535" t="e">
        <v>#N/A</v>
      </c>
      <c r="CG431" s="3535" t="e">
        <v>#N/A</v>
      </c>
      <c r="CH431" s="3535" t="e">
        <v>#N/A</v>
      </c>
      <c r="CI431" s="3535" t="e">
        <v>#N/A</v>
      </c>
      <c r="CJ431" s="2978" t="e">
        <v>#N/A</v>
      </c>
    </row>
    <row r="432" spans="1:88">
      <c r="A432" s="53">
        <f t="shared" si="1"/>
        <v>2029.03</v>
      </c>
      <c r="B432" s="615" t="e">
        <v>#N/A</v>
      </c>
      <c r="C432" s="3535" t="e">
        <v>#N/A</v>
      </c>
      <c r="D432" s="358" t="e">
        <v>#N/A</v>
      </c>
      <c r="E432" s="615" t="e">
        <v>#N/A</v>
      </c>
      <c r="F432" s="1215" t="e">
        <v>#N/A</v>
      </c>
      <c r="G432" s="1215" t="e">
        <v>#N/A</v>
      </c>
      <c r="H432" s="1215" t="e">
        <v>#N/A</v>
      </c>
      <c r="I432" s="1215" t="e">
        <v>#N/A</v>
      </c>
      <c r="J432" s="1215" t="e">
        <v>#N/A</v>
      </c>
      <c r="K432" s="1215" t="e">
        <v>#N/A</v>
      </c>
      <c r="L432" s="1215" t="e">
        <v>#N/A</v>
      </c>
      <c r="M432" s="1215" t="e">
        <v>#N/A</v>
      </c>
      <c r="N432" s="1215" t="e">
        <v>#N/A</v>
      </c>
      <c r="O432" s="1215" t="e">
        <v>#N/A</v>
      </c>
      <c r="P432" s="1215" t="e">
        <v>#N/A</v>
      </c>
      <c r="Q432" s="1215" t="e">
        <v>#N/A</v>
      </c>
      <c r="R432" s="2661" t="e">
        <v>#N/A</v>
      </c>
      <c r="S432" s="3535" t="e">
        <v>#N/A</v>
      </c>
      <c r="T432" s="3535" t="e">
        <v>#N/A</v>
      </c>
      <c r="U432" s="3535" t="e">
        <v>#N/A</v>
      </c>
      <c r="V432" s="3535" t="e">
        <v>#N/A</v>
      </c>
      <c r="W432" s="3535" t="e">
        <v>#N/A</v>
      </c>
      <c r="X432" s="3535" t="e">
        <v>#N/A</v>
      </c>
      <c r="Y432" s="3535" t="e">
        <v>#N/A</v>
      </c>
      <c r="Z432" s="3535" t="e">
        <v>#N/A</v>
      </c>
      <c r="AA432" s="3535" t="e">
        <v>#N/A</v>
      </c>
      <c r="AB432" s="3535" t="e">
        <v>#N/A</v>
      </c>
      <c r="AC432" s="3535" t="e">
        <v>#N/A</v>
      </c>
      <c r="AD432" s="3535" t="e">
        <v>#N/A</v>
      </c>
      <c r="AE432" s="3535" t="e">
        <v>#N/A</v>
      </c>
      <c r="AF432" s="3535" t="e">
        <v>#N/A</v>
      </c>
      <c r="AG432" s="3535" t="e">
        <v>#N/A</v>
      </c>
      <c r="AH432" s="3535" t="e">
        <v>#N/A</v>
      </c>
      <c r="AI432" s="3535" t="e">
        <v>#N/A</v>
      </c>
      <c r="AJ432" s="3535" t="e">
        <v>#N/A</v>
      </c>
      <c r="AK432" s="3535" t="e">
        <v>#N/A</v>
      </c>
      <c r="AL432" s="3535" t="e">
        <v>#N/A</v>
      </c>
      <c r="AM432" s="3535" t="e">
        <v>#N/A</v>
      </c>
      <c r="AN432" s="3535" t="e">
        <v>#N/A</v>
      </c>
      <c r="AO432" s="3535" t="e">
        <v>#N/A</v>
      </c>
      <c r="AP432" s="3535" t="e">
        <v>#N/A</v>
      </c>
      <c r="AQ432" s="3535" t="e">
        <v>#N/A</v>
      </c>
      <c r="AR432" s="3535" t="e">
        <v>#N/A</v>
      </c>
      <c r="AS432" s="3535" t="e">
        <v>#N/A</v>
      </c>
      <c r="AT432" s="3535" t="e">
        <v>#N/A</v>
      </c>
      <c r="AU432" s="3535" t="e">
        <v>#N/A</v>
      </c>
      <c r="AV432" s="3535" t="e">
        <v>#N/A</v>
      </c>
      <c r="AW432" s="3535" t="e">
        <v>#N/A</v>
      </c>
      <c r="AX432" s="3535" t="e">
        <v>#N/A</v>
      </c>
      <c r="AY432" s="3535" t="e">
        <v>#N/A</v>
      </c>
      <c r="AZ432" s="3535" t="e">
        <v>#N/A</v>
      </c>
      <c r="BA432" s="3535" t="e">
        <v>#N/A</v>
      </c>
      <c r="BB432" s="3535" t="e">
        <v>#N/A</v>
      </c>
      <c r="BC432" s="3535" t="e">
        <v>#N/A</v>
      </c>
      <c r="BD432" s="3535" t="e">
        <v>#N/A</v>
      </c>
      <c r="BE432" s="3535" t="e">
        <v>#N/A</v>
      </c>
      <c r="BF432" s="3535" t="e">
        <v>#N/A</v>
      </c>
      <c r="BG432" s="3535" t="e">
        <v>#N/A</v>
      </c>
      <c r="BH432" s="3535" t="e">
        <v>#N/A</v>
      </c>
      <c r="BI432" s="3535" t="e">
        <v>#N/A</v>
      </c>
      <c r="BJ432" s="3535" t="e">
        <v>#N/A</v>
      </c>
      <c r="BK432" s="3535" t="e">
        <v>#N/A</v>
      </c>
      <c r="BL432" s="3535" t="e">
        <v>#N/A</v>
      </c>
      <c r="BM432" s="3535" t="e">
        <v>#N/A</v>
      </c>
      <c r="BN432" s="3535" t="e">
        <v>#N/A</v>
      </c>
      <c r="BO432" s="3535" t="e">
        <v>#N/A</v>
      </c>
      <c r="BP432" s="3535" t="e">
        <v>#N/A</v>
      </c>
      <c r="BQ432" s="3535" t="e">
        <v>#N/A</v>
      </c>
      <c r="BR432" s="3535" t="e">
        <v>#N/A</v>
      </c>
      <c r="BS432" s="3535" t="e">
        <v>#N/A</v>
      </c>
      <c r="BT432" s="3535" t="e">
        <v>#N/A</v>
      </c>
      <c r="BU432" s="3535" t="e">
        <v>#N/A</v>
      </c>
      <c r="BV432" s="3535" t="e">
        <v>#N/A</v>
      </c>
      <c r="BW432" s="3535" t="e">
        <v>#N/A</v>
      </c>
      <c r="BX432" s="3535" t="e">
        <v>#N/A</v>
      </c>
      <c r="BY432" s="3535" t="e">
        <v>#N/A</v>
      </c>
      <c r="BZ432" s="3535" t="e">
        <v>#N/A</v>
      </c>
      <c r="CA432" s="3535" t="e">
        <v>#N/A</v>
      </c>
      <c r="CB432" s="3535" t="e">
        <v>#N/A</v>
      </c>
      <c r="CC432" s="3535" t="e">
        <v>#N/A</v>
      </c>
      <c r="CD432" s="3535" t="e">
        <v>#N/A</v>
      </c>
      <c r="CE432" s="3535" t="e">
        <v>#N/A</v>
      </c>
      <c r="CF432" s="3535" t="e">
        <v>#N/A</v>
      </c>
      <c r="CG432" s="3535" t="e">
        <v>#N/A</v>
      </c>
      <c r="CH432" s="3535" t="e">
        <v>#N/A</v>
      </c>
      <c r="CI432" s="3535" t="e">
        <v>#N/A</v>
      </c>
      <c r="CJ432" s="2978" t="e">
        <v>#N/A</v>
      </c>
    </row>
    <row r="433" spans="1:88">
      <c r="A433" s="53">
        <f t="shared" si="1"/>
        <v>2029.04</v>
      </c>
      <c r="B433" s="615" t="e">
        <v>#N/A</v>
      </c>
      <c r="C433" s="3535" t="e">
        <v>#N/A</v>
      </c>
      <c r="D433" s="358" t="e">
        <v>#N/A</v>
      </c>
      <c r="E433" s="615" t="e">
        <v>#N/A</v>
      </c>
      <c r="F433" s="1215" t="e">
        <v>#N/A</v>
      </c>
      <c r="G433" s="1215" t="e">
        <v>#N/A</v>
      </c>
      <c r="H433" s="1215" t="e">
        <v>#N/A</v>
      </c>
      <c r="I433" s="1215" t="e">
        <v>#N/A</v>
      </c>
      <c r="J433" s="1215" t="e">
        <v>#N/A</v>
      </c>
      <c r="K433" s="1215" t="e">
        <v>#N/A</v>
      </c>
      <c r="L433" s="1215" t="e">
        <v>#N/A</v>
      </c>
      <c r="M433" s="1215" t="e">
        <v>#N/A</v>
      </c>
      <c r="N433" s="1215" t="e">
        <v>#N/A</v>
      </c>
      <c r="O433" s="1215" t="e">
        <v>#N/A</v>
      </c>
      <c r="P433" s="1215" t="e">
        <v>#N/A</v>
      </c>
      <c r="Q433" s="1215" t="e">
        <v>#N/A</v>
      </c>
      <c r="R433" s="2661" t="e">
        <v>#N/A</v>
      </c>
      <c r="S433" s="3535" t="e">
        <v>#N/A</v>
      </c>
      <c r="T433" s="3535" t="e">
        <v>#N/A</v>
      </c>
      <c r="U433" s="3535" t="e">
        <v>#N/A</v>
      </c>
      <c r="V433" s="3535" t="e">
        <v>#N/A</v>
      </c>
      <c r="W433" s="3535" t="e">
        <v>#N/A</v>
      </c>
      <c r="X433" s="3535" t="e">
        <v>#N/A</v>
      </c>
      <c r="Y433" s="3535" t="e">
        <v>#N/A</v>
      </c>
      <c r="Z433" s="3535" t="e">
        <v>#N/A</v>
      </c>
      <c r="AA433" s="3535" t="e">
        <v>#N/A</v>
      </c>
      <c r="AB433" s="3535" t="e">
        <v>#N/A</v>
      </c>
      <c r="AC433" s="3535" t="e">
        <v>#N/A</v>
      </c>
      <c r="AD433" s="3535" t="e">
        <v>#N/A</v>
      </c>
      <c r="AE433" s="3535" t="e">
        <v>#N/A</v>
      </c>
      <c r="AF433" s="3535" t="e">
        <v>#N/A</v>
      </c>
      <c r="AG433" s="3535" t="e">
        <v>#N/A</v>
      </c>
      <c r="AH433" s="3535" t="e">
        <v>#N/A</v>
      </c>
      <c r="AI433" s="3535" t="e">
        <v>#N/A</v>
      </c>
      <c r="AJ433" s="3535" t="e">
        <v>#N/A</v>
      </c>
      <c r="AK433" s="3535" t="e">
        <v>#N/A</v>
      </c>
      <c r="AL433" s="3535" t="e">
        <v>#N/A</v>
      </c>
      <c r="AM433" s="3535" t="e">
        <v>#N/A</v>
      </c>
      <c r="AN433" s="3535" t="e">
        <v>#N/A</v>
      </c>
      <c r="AO433" s="3535" t="e">
        <v>#N/A</v>
      </c>
      <c r="AP433" s="3535" t="e">
        <v>#N/A</v>
      </c>
      <c r="AQ433" s="3535" t="e">
        <v>#N/A</v>
      </c>
      <c r="AR433" s="3535" t="e">
        <v>#N/A</v>
      </c>
      <c r="AS433" s="3535" t="e">
        <v>#N/A</v>
      </c>
      <c r="AT433" s="3535" t="e">
        <v>#N/A</v>
      </c>
      <c r="AU433" s="3535" t="e">
        <v>#N/A</v>
      </c>
      <c r="AV433" s="3535" t="e">
        <v>#N/A</v>
      </c>
      <c r="AW433" s="3535" t="e">
        <v>#N/A</v>
      </c>
      <c r="AX433" s="3535" t="e">
        <v>#N/A</v>
      </c>
      <c r="AY433" s="3535" t="e">
        <v>#N/A</v>
      </c>
      <c r="AZ433" s="3535" t="e">
        <v>#N/A</v>
      </c>
      <c r="BA433" s="3535" t="e">
        <v>#N/A</v>
      </c>
      <c r="BB433" s="3535" t="e">
        <v>#N/A</v>
      </c>
      <c r="BC433" s="3535" t="e">
        <v>#N/A</v>
      </c>
      <c r="BD433" s="3535" t="e">
        <v>#N/A</v>
      </c>
      <c r="BE433" s="3535" t="e">
        <v>#N/A</v>
      </c>
      <c r="BF433" s="3535" t="e">
        <v>#N/A</v>
      </c>
      <c r="BG433" s="3535" t="e">
        <v>#N/A</v>
      </c>
      <c r="BH433" s="3535" t="e">
        <v>#N/A</v>
      </c>
      <c r="BI433" s="3535" t="e">
        <v>#N/A</v>
      </c>
      <c r="BJ433" s="3535" t="e">
        <v>#N/A</v>
      </c>
      <c r="BK433" s="3535" t="e">
        <v>#N/A</v>
      </c>
      <c r="BL433" s="3535" t="e">
        <v>#N/A</v>
      </c>
      <c r="BM433" s="3535" t="e">
        <v>#N/A</v>
      </c>
      <c r="BN433" s="3535" t="e">
        <v>#N/A</v>
      </c>
      <c r="BO433" s="3535" t="e">
        <v>#N/A</v>
      </c>
      <c r="BP433" s="3535" t="e">
        <v>#N/A</v>
      </c>
      <c r="BQ433" s="3535" t="e">
        <v>#N/A</v>
      </c>
      <c r="BR433" s="3535" t="e">
        <v>#N/A</v>
      </c>
      <c r="BS433" s="3535" t="e">
        <v>#N/A</v>
      </c>
      <c r="BT433" s="3535" t="e">
        <v>#N/A</v>
      </c>
      <c r="BU433" s="3535" t="e">
        <v>#N/A</v>
      </c>
      <c r="BV433" s="3535" t="e">
        <v>#N/A</v>
      </c>
      <c r="BW433" s="3535" t="e">
        <v>#N/A</v>
      </c>
      <c r="BX433" s="3535" t="e">
        <v>#N/A</v>
      </c>
      <c r="BY433" s="3535" t="e">
        <v>#N/A</v>
      </c>
      <c r="BZ433" s="3535" t="e">
        <v>#N/A</v>
      </c>
      <c r="CA433" s="3535" t="e">
        <v>#N/A</v>
      </c>
      <c r="CB433" s="3535" t="e">
        <v>#N/A</v>
      </c>
      <c r="CC433" s="3535" t="e">
        <v>#N/A</v>
      </c>
      <c r="CD433" s="3535" t="e">
        <v>#N/A</v>
      </c>
      <c r="CE433" s="3535" t="e">
        <v>#N/A</v>
      </c>
      <c r="CF433" s="3535" t="e">
        <v>#N/A</v>
      </c>
      <c r="CG433" s="3535" t="e">
        <v>#N/A</v>
      </c>
      <c r="CH433" s="3535" t="e">
        <v>#N/A</v>
      </c>
      <c r="CI433" s="3535" t="e">
        <v>#N/A</v>
      </c>
      <c r="CJ433" s="2978" t="e">
        <v>#N/A</v>
      </c>
    </row>
    <row r="434" spans="1:88">
      <c r="A434" s="53">
        <f t="shared" si="1"/>
        <v>2029.05</v>
      </c>
      <c r="B434" s="615" t="e">
        <v>#N/A</v>
      </c>
      <c r="C434" s="3535" t="e">
        <v>#N/A</v>
      </c>
      <c r="D434" s="358" t="e">
        <v>#N/A</v>
      </c>
      <c r="E434" s="615" t="e">
        <v>#N/A</v>
      </c>
      <c r="F434" s="1215" t="e">
        <v>#N/A</v>
      </c>
      <c r="G434" s="1215" t="e">
        <v>#N/A</v>
      </c>
      <c r="H434" s="1215" t="e">
        <v>#N/A</v>
      </c>
      <c r="I434" s="1215" t="e">
        <v>#N/A</v>
      </c>
      <c r="J434" s="1215" t="e">
        <v>#N/A</v>
      </c>
      <c r="K434" s="1215" t="e">
        <v>#N/A</v>
      </c>
      <c r="L434" s="1215" t="e">
        <v>#N/A</v>
      </c>
      <c r="M434" s="1215" t="e">
        <v>#N/A</v>
      </c>
      <c r="N434" s="1215" t="e">
        <v>#N/A</v>
      </c>
      <c r="O434" s="1215" t="e">
        <v>#N/A</v>
      </c>
      <c r="P434" s="1215" t="e">
        <v>#N/A</v>
      </c>
      <c r="Q434" s="1215" t="e">
        <v>#N/A</v>
      </c>
      <c r="R434" s="2661" t="e">
        <v>#N/A</v>
      </c>
      <c r="S434" s="3535" t="e">
        <v>#N/A</v>
      </c>
      <c r="T434" s="3535" t="e">
        <v>#N/A</v>
      </c>
      <c r="U434" s="3535" t="e">
        <v>#N/A</v>
      </c>
      <c r="V434" s="3535" t="e">
        <v>#N/A</v>
      </c>
      <c r="W434" s="3535" t="e">
        <v>#N/A</v>
      </c>
      <c r="X434" s="3535" t="e">
        <v>#N/A</v>
      </c>
      <c r="Y434" s="3535" t="e">
        <v>#N/A</v>
      </c>
      <c r="Z434" s="3535" t="e">
        <v>#N/A</v>
      </c>
      <c r="AA434" s="3535" t="e">
        <v>#N/A</v>
      </c>
      <c r="AB434" s="3535" t="e">
        <v>#N/A</v>
      </c>
      <c r="AC434" s="3535" t="e">
        <v>#N/A</v>
      </c>
      <c r="AD434" s="3535" t="e">
        <v>#N/A</v>
      </c>
      <c r="AE434" s="3535" t="e">
        <v>#N/A</v>
      </c>
      <c r="AF434" s="3535" t="e">
        <v>#N/A</v>
      </c>
      <c r="AG434" s="3535" t="e">
        <v>#N/A</v>
      </c>
      <c r="AH434" s="3535" t="e">
        <v>#N/A</v>
      </c>
      <c r="AI434" s="3535" t="e">
        <v>#N/A</v>
      </c>
      <c r="AJ434" s="3535" t="e">
        <v>#N/A</v>
      </c>
      <c r="AK434" s="3535" t="e">
        <v>#N/A</v>
      </c>
      <c r="AL434" s="3535" t="e">
        <v>#N/A</v>
      </c>
      <c r="AM434" s="3535" t="e">
        <v>#N/A</v>
      </c>
      <c r="AN434" s="3535" t="e">
        <v>#N/A</v>
      </c>
      <c r="AO434" s="3535" t="e">
        <v>#N/A</v>
      </c>
      <c r="AP434" s="3535" t="e">
        <v>#N/A</v>
      </c>
      <c r="AQ434" s="3535" t="e">
        <v>#N/A</v>
      </c>
      <c r="AR434" s="3535" t="e">
        <v>#N/A</v>
      </c>
      <c r="AS434" s="3535" t="e">
        <v>#N/A</v>
      </c>
      <c r="AT434" s="3535" t="e">
        <v>#N/A</v>
      </c>
      <c r="AU434" s="3535" t="e">
        <v>#N/A</v>
      </c>
      <c r="AV434" s="3535" t="e">
        <v>#N/A</v>
      </c>
      <c r="AW434" s="3535" t="e">
        <v>#N/A</v>
      </c>
      <c r="AX434" s="3535" t="e">
        <v>#N/A</v>
      </c>
      <c r="AY434" s="3535" t="e">
        <v>#N/A</v>
      </c>
      <c r="AZ434" s="3535" t="e">
        <v>#N/A</v>
      </c>
      <c r="BA434" s="3535" t="e">
        <v>#N/A</v>
      </c>
      <c r="BB434" s="3535" t="e">
        <v>#N/A</v>
      </c>
      <c r="BC434" s="3535" t="e">
        <v>#N/A</v>
      </c>
      <c r="BD434" s="3535" t="e">
        <v>#N/A</v>
      </c>
      <c r="BE434" s="3535" t="e">
        <v>#N/A</v>
      </c>
      <c r="BF434" s="3535" t="e">
        <v>#N/A</v>
      </c>
      <c r="BG434" s="3535" t="e">
        <v>#N/A</v>
      </c>
      <c r="BH434" s="3535" t="e">
        <v>#N/A</v>
      </c>
      <c r="BI434" s="3535" t="e">
        <v>#N/A</v>
      </c>
      <c r="BJ434" s="3535" t="e">
        <v>#N/A</v>
      </c>
      <c r="BK434" s="3535" t="e">
        <v>#N/A</v>
      </c>
      <c r="BL434" s="3535" t="e">
        <v>#N/A</v>
      </c>
      <c r="BM434" s="3535" t="e">
        <v>#N/A</v>
      </c>
      <c r="BN434" s="3535" t="e">
        <v>#N/A</v>
      </c>
      <c r="BO434" s="3535" t="e">
        <v>#N/A</v>
      </c>
      <c r="BP434" s="3535" t="e">
        <v>#N/A</v>
      </c>
      <c r="BQ434" s="3535" t="e">
        <v>#N/A</v>
      </c>
      <c r="BR434" s="3535" t="e">
        <v>#N/A</v>
      </c>
      <c r="BS434" s="3535" t="e">
        <v>#N/A</v>
      </c>
      <c r="BT434" s="3535" t="e">
        <v>#N/A</v>
      </c>
      <c r="BU434" s="3535" t="e">
        <v>#N/A</v>
      </c>
      <c r="BV434" s="3535" t="e">
        <v>#N/A</v>
      </c>
      <c r="BW434" s="3535" t="e">
        <v>#N/A</v>
      </c>
      <c r="BX434" s="3535" t="e">
        <v>#N/A</v>
      </c>
      <c r="BY434" s="3535" t="e">
        <v>#N/A</v>
      </c>
      <c r="BZ434" s="3535" t="e">
        <v>#N/A</v>
      </c>
      <c r="CA434" s="3535" t="e">
        <v>#N/A</v>
      </c>
      <c r="CB434" s="3535" t="e">
        <v>#N/A</v>
      </c>
      <c r="CC434" s="3535" t="e">
        <v>#N/A</v>
      </c>
      <c r="CD434" s="3535" t="e">
        <v>#N/A</v>
      </c>
      <c r="CE434" s="3535" t="e">
        <v>#N/A</v>
      </c>
      <c r="CF434" s="3535" t="e">
        <v>#N/A</v>
      </c>
      <c r="CG434" s="3535" t="e">
        <v>#N/A</v>
      </c>
      <c r="CH434" s="3535" t="e">
        <v>#N/A</v>
      </c>
      <c r="CI434" s="3535" t="e">
        <v>#N/A</v>
      </c>
      <c r="CJ434" s="2978" t="e">
        <v>#N/A</v>
      </c>
    </row>
    <row r="435" spans="1:88">
      <c r="A435" s="53">
        <f t="shared" si="1"/>
        <v>2029.06</v>
      </c>
      <c r="B435" s="615" t="e">
        <v>#N/A</v>
      </c>
      <c r="C435" s="3535" t="e">
        <v>#N/A</v>
      </c>
      <c r="D435" s="358" t="e">
        <v>#N/A</v>
      </c>
      <c r="E435" s="615" t="e">
        <v>#N/A</v>
      </c>
      <c r="F435" s="1215" t="e">
        <v>#N/A</v>
      </c>
      <c r="G435" s="1215" t="e">
        <v>#N/A</v>
      </c>
      <c r="H435" s="1215" t="e">
        <v>#N/A</v>
      </c>
      <c r="I435" s="1215" t="e">
        <v>#N/A</v>
      </c>
      <c r="J435" s="1215" t="e">
        <v>#N/A</v>
      </c>
      <c r="K435" s="1215" t="e">
        <v>#N/A</v>
      </c>
      <c r="L435" s="1215" t="e">
        <v>#N/A</v>
      </c>
      <c r="M435" s="1215" t="e">
        <v>#N/A</v>
      </c>
      <c r="N435" s="1215" t="e">
        <v>#N/A</v>
      </c>
      <c r="O435" s="1215" t="e">
        <v>#N/A</v>
      </c>
      <c r="P435" s="1215" t="e">
        <v>#N/A</v>
      </c>
      <c r="Q435" s="1215" t="e">
        <v>#N/A</v>
      </c>
      <c r="R435" s="2661" t="e">
        <v>#N/A</v>
      </c>
      <c r="S435" s="3535" t="e">
        <v>#N/A</v>
      </c>
      <c r="T435" s="3535" t="e">
        <v>#N/A</v>
      </c>
      <c r="U435" s="3535" t="e">
        <v>#N/A</v>
      </c>
      <c r="V435" s="3535" t="e">
        <v>#N/A</v>
      </c>
      <c r="W435" s="3535" t="e">
        <v>#N/A</v>
      </c>
      <c r="X435" s="3535" t="e">
        <v>#N/A</v>
      </c>
      <c r="Y435" s="3535" t="e">
        <v>#N/A</v>
      </c>
      <c r="Z435" s="3535" t="e">
        <v>#N/A</v>
      </c>
      <c r="AA435" s="3535" t="e">
        <v>#N/A</v>
      </c>
      <c r="AB435" s="3535" t="e">
        <v>#N/A</v>
      </c>
      <c r="AC435" s="3535" t="e">
        <v>#N/A</v>
      </c>
      <c r="AD435" s="3535" t="e">
        <v>#N/A</v>
      </c>
      <c r="AE435" s="3535" t="e">
        <v>#N/A</v>
      </c>
      <c r="AF435" s="3535" t="e">
        <v>#N/A</v>
      </c>
      <c r="AG435" s="3535" t="e">
        <v>#N/A</v>
      </c>
      <c r="AH435" s="3535" t="e">
        <v>#N/A</v>
      </c>
      <c r="AI435" s="3535" t="e">
        <v>#N/A</v>
      </c>
      <c r="AJ435" s="3535" t="e">
        <v>#N/A</v>
      </c>
      <c r="AK435" s="3535" t="e">
        <v>#N/A</v>
      </c>
      <c r="AL435" s="3535" t="e">
        <v>#N/A</v>
      </c>
      <c r="AM435" s="3535" t="e">
        <v>#N/A</v>
      </c>
      <c r="AN435" s="3535" t="e">
        <v>#N/A</v>
      </c>
      <c r="AO435" s="3535" t="e">
        <v>#N/A</v>
      </c>
      <c r="AP435" s="3535" t="e">
        <v>#N/A</v>
      </c>
      <c r="AQ435" s="3535" t="e">
        <v>#N/A</v>
      </c>
      <c r="AR435" s="3535" t="e">
        <v>#N/A</v>
      </c>
      <c r="AS435" s="3535" t="e">
        <v>#N/A</v>
      </c>
      <c r="AT435" s="3535" t="e">
        <v>#N/A</v>
      </c>
      <c r="AU435" s="3535" t="e">
        <v>#N/A</v>
      </c>
      <c r="AV435" s="3535" t="e">
        <v>#N/A</v>
      </c>
      <c r="AW435" s="3535" t="e">
        <v>#N/A</v>
      </c>
      <c r="AX435" s="3535" t="e">
        <v>#N/A</v>
      </c>
      <c r="AY435" s="3535" t="e">
        <v>#N/A</v>
      </c>
      <c r="AZ435" s="3535" t="e">
        <v>#N/A</v>
      </c>
      <c r="BA435" s="3535" t="e">
        <v>#N/A</v>
      </c>
      <c r="BB435" s="3535" t="e">
        <v>#N/A</v>
      </c>
      <c r="BC435" s="3535" t="e">
        <v>#N/A</v>
      </c>
      <c r="BD435" s="3535" t="e">
        <v>#N/A</v>
      </c>
      <c r="BE435" s="3535" t="e">
        <v>#N/A</v>
      </c>
      <c r="BF435" s="3535" t="e">
        <v>#N/A</v>
      </c>
      <c r="BG435" s="3535" t="e">
        <v>#N/A</v>
      </c>
      <c r="BH435" s="3535" t="e">
        <v>#N/A</v>
      </c>
      <c r="BI435" s="3535" t="e">
        <v>#N/A</v>
      </c>
      <c r="BJ435" s="3535" t="e">
        <v>#N/A</v>
      </c>
      <c r="BK435" s="3535" t="e">
        <v>#N/A</v>
      </c>
      <c r="BL435" s="3535" t="e">
        <v>#N/A</v>
      </c>
      <c r="BM435" s="3535" t="e">
        <v>#N/A</v>
      </c>
      <c r="BN435" s="3535" t="e">
        <v>#N/A</v>
      </c>
      <c r="BO435" s="3535" t="e">
        <v>#N/A</v>
      </c>
      <c r="BP435" s="3535" t="e">
        <v>#N/A</v>
      </c>
      <c r="BQ435" s="3535" t="e">
        <v>#N/A</v>
      </c>
      <c r="BR435" s="3535" t="e">
        <v>#N/A</v>
      </c>
      <c r="BS435" s="3535" t="e">
        <v>#N/A</v>
      </c>
      <c r="BT435" s="3535" t="e">
        <v>#N/A</v>
      </c>
      <c r="BU435" s="3535" t="e">
        <v>#N/A</v>
      </c>
      <c r="BV435" s="3535" t="e">
        <v>#N/A</v>
      </c>
      <c r="BW435" s="3535" t="e">
        <v>#N/A</v>
      </c>
      <c r="BX435" s="3535" t="e">
        <v>#N/A</v>
      </c>
      <c r="BY435" s="3535" t="e">
        <v>#N/A</v>
      </c>
      <c r="BZ435" s="3535" t="e">
        <v>#N/A</v>
      </c>
      <c r="CA435" s="3535" t="e">
        <v>#N/A</v>
      </c>
      <c r="CB435" s="3535" t="e">
        <v>#N/A</v>
      </c>
      <c r="CC435" s="3535" t="e">
        <v>#N/A</v>
      </c>
      <c r="CD435" s="3535" t="e">
        <v>#N/A</v>
      </c>
      <c r="CE435" s="3535" t="e">
        <v>#N/A</v>
      </c>
      <c r="CF435" s="3535" t="e">
        <v>#N/A</v>
      </c>
      <c r="CG435" s="3535" t="e">
        <v>#N/A</v>
      </c>
      <c r="CH435" s="3535" t="e">
        <v>#N/A</v>
      </c>
      <c r="CI435" s="3535" t="e">
        <v>#N/A</v>
      </c>
      <c r="CJ435" s="2978" t="e">
        <v>#N/A</v>
      </c>
    </row>
    <row r="436" spans="1:88">
      <c r="A436" s="53">
        <f t="shared" si="1"/>
        <v>2029.07</v>
      </c>
      <c r="B436" s="615" t="e">
        <v>#N/A</v>
      </c>
      <c r="C436" s="3535" t="e">
        <v>#N/A</v>
      </c>
      <c r="D436" s="358" t="e">
        <v>#N/A</v>
      </c>
      <c r="E436" s="615" t="e">
        <v>#N/A</v>
      </c>
      <c r="F436" s="1215" t="e">
        <v>#N/A</v>
      </c>
      <c r="G436" s="1215" t="e">
        <v>#N/A</v>
      </c>
      <c r="H436" s="1215" t="e">
        <v>#N/A</v>
      </c>
      <c r="I436" s="1215" t="e">
        <v>#N/A</v>
      </c>
      <c r="J436" s="1215" t="e">
        <v>#N/A</v>
      </c>
      <c r="K436" s="1215" t="e">
        <v>#N/A</v>
      </c>
      <c r="L436" s="1215" t="e">
        <v>#N/A</v>
      </c>
      <c r="M436" s="1215" t="e">
        <v>#N/A</v>
      </c>
      <c r="N436" s="1215" t="e">
        <v>#N/A</v>
      </c>
      <c r="O436" s="1215" t="e">
        <v>#N/A</v>
      </c>
      <c r="P436" s="1215" t="e">
        <v>#N/A</v>
      </c>
      <c r="Q436" s="1215" t="e">
        <v>#N/A</v>
      </c>
      <c r="R436" s="2661" t="e">
        <v>#N/A</v>
      </c>
      <c r="S436" s="3535" t="e">
        <v>#N/A</v>
      </c>
      <c r="T436" s="3535" t="e">
        <v>#N/A</v>
      </c>
      <c r="U436" s="3535" t="e">
        <v>#N/A</v>
      </c>
      <c r="V436" s="3535" t="e">
        <v>#N/A</v>
      </c>
      <c r="W436" s="3535" t="e">
        <v>#N/A</v>
      </c>
      <c r="X436" s="3535" t="e">
        <v>#N/A</v>
      </c>
      <c r="Y436" s="3535" t="e">
        <v>#N/A</v>
      </c>
      <c r="Z436" s="3535" t="e">
        <v>#N/A</v>
      </c>
      <c r="AA436" s="3535" t="e">
        <v>#N/A</v>
      </c>
      <c r="AB436" s="3535" t="e">
        <v>#N/A</v>
      </c>
      <c r="AC436" s="3535" t="e">
        <v>#N/A</v>
      </c>
      <c r="AD436" s="3535" t="e">
        <v>#N/A</v>
      </c>
      <c r="AE436" s="3535" t="e">
        <v>#N/A</v>
      </c>
      <c r="AF436" s="3535" t="e">
        <v>#N/A</v>
      </c>
      <c r="AG436" s="3535" t="e">
        <v>#N/A</v>
      </c>
      <c r="AH436" s="3535" t="e">
        <v>#N/A</v>
      </c>
      <c r="AI436" s="3535" t="e">
        <v>#N/A</v>
      </c>
      <c r="AJ436" s="3535" t="e">
        <v>#N/A</v>
      </c>
      <c r="AK436" s="3535" t="e">
        <v>#N/A</v>
      </c>
      <c r="AL436" s="3535" t="e">
        <v>#N/A</v>
      </c>
      <c r="AM436" s="3535" t="e">
        <v>#N/A</v>
      </c>
      <c r="AN436" s="3535" t="e">
        <v>#N/A</v>
      </c>
      <c r="AO436" s="3535" t="e">
        <v>#N/A</v>
      </c>
      <c r="AP436" s="3535" t="e">
        <v>#N/A</v>
      </c>
      <c r="AQ436" s="3535" t="e">
        <v>#N/A</v>
      </c>
      <c r="AR436" s="3535" t="e">
        <v>#N/A</v>
      </c>
      <c r="AS436" s="3535" t="e">
        <v>#N/A</v>
      </c>
      <c r="AT436" s="3535" t="e">
        <v>#N/A</v>
      </c>
      <c r="AU436" s="3535" t="e">
        <v>#N/A</v>
      </c>
      <c r="AV436" s="3535" t="e">
        <v>#N/A</v>
      </c>
      <c r="AW436" s="3535" t="e">
        <v>#N/A</v>
      </c>
      <c r="AX436" s="3535" t="e">
        <v>#N/A</v>
      </c>
      <c r="AY436" s="3535" t="e">
        <v>#N/A</v>
      </c>
      <c r="AZ436" s="3535" t="e">
        <v>#N/A</v>
      </c>
      <c r="BA436" s="3535" t="e">
        <v>#N/A</v>
      </c>
      <c r="BB436" s="3535" t="e">
        <v>#N/A</v>
      </c>
      <c r="BC436" s="3535" t="e">
        <v>#N/A</v>
      </c>
      <c r="BD436" s="3535" t="e">
        <v>#N/A</v>
      </c>
      <c r="BE436" s="3535" t="e">
        <v>#N/A</v>
      </c>
      <c r="BF436" s="3535" t="e">
        <v>#N/A</v>
      </c>
      <c r="BG436" s="3535" t="e">
        <v>#N/A</v>
      </c>
      <c r="BH436" s="3535" t="e">
        <v>#N/A</v>
      </c>
      <c r="BI436" s="3535" t="e">
        <v>#N/A</v>
      </c>
      <c r="BJ436" s="3535" t="e">
        <v>#N/A</v>
      </c>
      <c r="BK436" s="3535" t="e">
        <v>#N/A</v>
      </c>
      <c r="BL436" s="3535" t="e">
        <v>#N/A</v>
      </c>
      <c r="BM436" s="3535" t="e">
        <v>#N/A</v>
      </c>
      <c r="BN436" s="3535" t="e">
        <v>#N/A</v>
      </c>
      <c r="BO436" s="3535" t="e">
        <v>#N/A</v>
      </c>
      <c r="BP436" s="3535" t="e">
        <v>#N/A</v>
      </c>
      <c r="BQ436" s="3535" t="e">
        <v>#N/A</v>
      </c>
      <c r="BR436" s="3535" t="e">
        <v>#N/A</v>
      </c>
      <c r="BS436" s="3535" t="e">
        <v>#N/A</v>
      </c>
      <c r="BT436" s="3535" t="e">
        <v>#N/A</v>
      </c>
      <c r="BU436" s="3535" t="e">
        <v>#N/A</v>
      </c>
      <c r="BV436" s="3535" t="e">
        <v>#N/A</v>
      </c>
      <c r="BW436" s="3535" t="e">
        <v>#N/A</v>
      </c>
      <c r="BX436" s="3535" t="e">
        <v>#N/A</v>
      </c>
      <c r="BY436" s="3535" t="e">
        <v>#N/A</v>
      </c>
      <c r="BZ436" s="3535" t="e">
        <v>#N/A</v>
      </c>
      <c r="CA436" s="3535" t="e">
        <v>#N/A</v>
      </c>
      <c r="CB436" s="3535" t="e">
        <v>#N/A</v>
      </c>
      <c r="CC436" s="3535" t="e">
        <v>#N/A</v>
      </c>
      <c r="CD436" s="3535" t="e">
        <v>#N/A</v>
      </c>
      <c r="CE436" s="3535" t="e">
        <v>#N/A</v>
      </c>
      <c r="CF436" s="3535" t="e">
        <v>#N/A</v>
      </c>
      <c r="CG436" s="3535" t="e">
        <v>#N/A</v>
      </c>
      <c r="CH436" s="3535" t="e">
        <v>#N/A</v>
      </c>
      <c r="CI436" s="3535" t="e">
        <v>#N/A</v>
      </c>
      <c r="CJ436" s="2978" t="e">
        <v>#N/A</v>
      </c>
    </row>
    <row r="437" spans="1:88">
      <c r="A437" s="53">
        <f t="shared" si="1"/>
        <v>2029.08</v>
      </c>
      <c r="B437" s="615" t="e">
        <v>#N/A</v>
      </c>
      <c r="C437" s="3535" t="e">
        <v>#N/A</v>
      </c>
      <c r="D437" s="358" t="e">
        <v>#N/A</v>
      </c>
      <c r="E437" s="615" t="e">
        <v>#N/A</v>
      </c>
      <c r="F437" s="1215" t="e">
        <v>#N/A</v>
      </c>
      <c r="G437" s="1215" t="e">
        <v>#N/A</v>
      </c>
      <c r="H437" s="1215" t="e">
        <v>#N/A</v>
      </c>
      <c r="I437" s="1215" t="e">
        <v>#N/A</v>
      </c>
      <c r="J437" s="1215" t="e">
        <v>#N/A</v>
      </c>
      <c r="K437" s="1215" t="e">
        <v>#N/A</v>
      </c>
      <c r="L437" s="1215" t="e">
        <v>#N/A</v>
      </c>
      <c r="M437" s="1215" t="e">
        <v>#N/A</v>
      </c>
      <c r="N437" s="1215" t="e">
        <v>#N/A</v>
      </c>
      <c r="O437" s="1215" t="e">
        <v>#N/A</v>
      </c>
      <c r="P437" s="1215" t="e">
        <v>#N/A</v>
      </c>
      <c r="Q437" s="1215" t="e">
        <v>#N/A</v>
      </c>
      <c r="R437" s="2661" t="e">
        <v>#N/A</v>
      </c>
      <c r="S437" s="3535" t="e">
        <v>#N/A</v>
      </c>
      <c r="T437" s="3535" t="e">
        <v>#N/A</v>
      </c>
      <c r="U437" s="3535" t="e">
        <v>#N/A</v>
      </c>
      <c r="V437" s="3535" t="e">
        <v>#N/A</v>
      </c>
      <c r="W437" s="3535" t="e">
        <v>#N/A</v>
      </c>
      <c r="X437" s="3535" t="e">
        <v>#N/A</v>
      </c>
      <c r="Y437" s="3535" t="e">
        <v>#N/A</v>
      </c>
      <c r="Z437" s="3535" t="e">
        <v>#N/A</v>
      </c>
      <c r="AA437" s="3535" t="e">
        <v>#N/A</v>
      </c>
      <c r="AB437" s="3535" t="e">
        <v>#N/A</v>
      </c>
      <c r="AC437" s="3535" t="e">
        <v>#N/A</v>
      </c>
      <c r="AD437" s="3535" t="e">
        <v>#N/A</v>
      </c>
      <c r="AE437" s="3535" t="e">
        <v>#N/A</v>
      </c>
      <c r="AF437" s="3535" t="e">
        <v>#N/A</v>
      </c>
      <c r="AG437" s="3535" t="e">
        <v>#N/A</v>
      </c>
      <c r="AH437" s="3535" t="e">
        <v>#N/A</v>
      </c>
      <c r="AI437" s="3535" t="e">
        <v>#N/A</v>
      </c>
      <c r="AJ437" s="3535" t="e">
        <v>#N/A</v>
      </c>
      <c r="AK437" s="3535" t="e">
        <v>#N/A</v>
      </c>
      <c r="AL437" s="3535" t="e">
        <v>#N/A</v>
      </c>
      <c r="AM437" s="3535" t="e">
        <v>#N/A</v>
      </c>
      <c r="AN437" s="3535" t="e">
        <v>#N/A</v>
      </c>
      <c r="AO437" s="3535" t="e">
        <v>#N/A</v>
      </c>
      <c r="AP437" s="3535" t="e">
        <v>#N/A</v>
      </c>
      <c r="AQ437" s="3535" t="e">
        <v>#N/A</v>
      </c>
      <c r="AR437" s="3535" t="e">
        <v>#N/A</v>
      </c>
      <c r="AS437" s="3535" t="e">
        <v>#N/A</v>
      </c>
      <c r="AT437" s="3535" t="e">
        <v>#N/A</v>
      </c>
      <c r="AU437" s="3535" t="e">
        <v>#N/A</v>
      </c>
      <c r="AV437" s="3535" t="e">
        <v>#N/A</v>
      </c>
      <c r="AW437" s="3535" t="e">
        <v>#N/A</v>
      </c>
      <c r="AX437" s="3535" t="e">
        <v>#N/A</v>
      </c>
      <c r="AY437" s="3535" t="e">
        <v>#N/A</v>
      </c>
      <c r="AZ437" s="3535" t="e">
        <v>#N/A</v>
      </c>
      <c r="BA437" s="3535" t="e">
        <v>#N/A</v>
      </c>
      <c r="BB437" s="3535" t="e">
        <v>#N/A</v>
      </c>
      <c r="BC437" s="3535" t="e">
        <v>#N/A</v>
      </c>
      <c r="BD437" s="3535" t="e">
        <v>#N/A</v>
      </c>
      <c r="BE437" s="3535" t="e">
        <v>#N/A</v>
      </c>
      <c r="BF437" s="3535" t="e">
        <v>#N/A</v>
      </c>
      <c r="BG437" s="3535" t="e">
        <v>#N/A</v>
      </c>
      <c r="BH437" s="3535" t="e">
        <v>#N/A</v>
      </c>
      <c r="BI437" s="3535" t="e">
        <v>#N/A</v>
      </c>
      <c r="BJ437" s="3535" t="e">
        <v>#N/A</v>
      </c>
      <c r="BK437" s="3535" t="e">
        <v>#N/A</v>
      </c>
      <c r="BL437" s="3535" t="e">
        <v>#N/A</v>
      </c>
      <c r="BM437" s="3535" t="e">
        <v>#N/A</v>
      </c>
      <c r="BN437" s="3535" t="e">
        <v>#N/A</v>
      </c>
      <c r="BO437" s="3535" t="e">
        <v>#N/A</v>
      </c>
      <c r="BP437" s="3535" t="e">
        <v>#N/A</v>
      </c>
      <c r="BQ437" s="3535" t="e">
        <v>#N/A</v>
      </c>
      <c r="BR437" s="3535" t="e">
        <v>#N/A</v>
      </c>
      <c r="BS437" s="3535" t="e">
        <v>#N/A</v>
      </c>
      <c r="BT437" s="3535" t="e">
        <v>#N/A</v>
      </c>
      <c r="BU437" s="3535" t="e">
        <v>#N/A</v>
      </c>
      <c r="BV437" s="3535" t="e">
        <v>#N/A</v>
      </c>
      <c r="BW437" s="3535" t="e">
        <v>#N/A</v>
      </c>
      <c r="BX437" s="3535" t="e">
        <v>#N/A</v>
      </c>
      <c r="BY437" s="3535" t="e">
        <v>#N/A</v>
      </c>
      <c r="BZ437" s="3535" t="e">
        <v>#N/A</v>
      </c>
      <c r="CA437" s="3535" t="e">
        <v>#N/A</v>
      </c>
      <c r="CB437" s="3535" t="e">
        <v>#N/A</v>
      </c>
      <c r="CC437" s="3535" t="e">
        <v>#N/A</v>
      </c>
      <c r="CD437" s="3535" t="e">
        <v>#N/A</v>
      </c>
      <c r="CE437" s="3535" t="e">
        <v>#N/A</v>
      </c>
      <c r="CF437" s="3535" t="e">
        <v>#N/A</v>
      </c>
      <c r="CG437" s="3535" t="e">
        <v>#N/A</v>
      </c>
      <c r="CH437" s="3535" t="e">
        <v>#N/A</v>
      </c>
      <c r="CI437" s="3535" t="e">
        <v>#N/A</v>
      </c>
      <c r="CJ437" s="2978" t="e">
        <v>#N/A</v>
      </c>
    </row>
    <row r="438" spans="1:88">
      <c r="A438" s="53">
        <f t="shared" si="1"/>
        <v>2029.09</v>
      </c>
      <c r="B438" s="615" t="e">
        <v>#N/A</v>
      </c>
      <c r="C438" s="3535" t="e">
        <v>#N/A</v>
      </c>
      <c r="D438" s="358" t="e">
        <v>#N/A</v>
      </c>
      <c r="E438" s="615" t="e">
        <v>#N/A</v>
      </c>
      <c r="F438" s="1215" t="e">
        <v>#N/A</v>
      </c>
      <c r="G438" s="1215" t="e">
        <v>#N/A</v>
      </c>
      <c r="H438" s="1215" t="e">
        <v>#N/A</v>
      </c>
      <c r="I438" s="1215" t="e">
        <v>#N/A</v>
      </c>
      <c r="J438" s="1215" t="e">
        <v>#N/A</v>
      </c>
      <c r="K438" s="1215" t="e">
        <v>#N/A</v>
      </c>
      <c r="L438" s="1215" t="e">
        <v>#N/A</v>
      </c>
      <c r="M438" s="1215" t="e">
        <v>#N/A</v>
      </c>
      <c r="N438" s="1215" t="e">
        <v>#N/A</v>
      </c>
      <c r="O438" s="1215" t="e">
        <v>#N/A</v>
      </c>
      <c r="P438" s="1215" t="e">
        <v>#N/A</v>
      </c>
      <c r="Q438" s="1215" t="e">
        <v>#N/A</v>
      </c>
      <c r="R438" s="2661" t="e">
        <v>#N/A</v>
      </c>
      <c r="S438" s="3535" t="e">
        <v>#N/A</v>
      </c>
      <c r="T438" s="3535" t="e">
        <v>#N/A</v>
      </c>
      <c r="U438" s="3535" t="e">
        <v>#N/A</v>
      </c>
      <c r="V438" s="3535" t="e">
        <v>#N/A</v>
      </c>
      <c r="W438" s="3535" t="e">
        <v>#N/A</v>
      </c>
      <c r="X438" s="3535" t="e">
        <v>#N/A</v>
      </c>
      <c r="Y438" s="3535" t="e">
        <v>#N/A</v>
      </c>
      <c r="Z438" s="3535" t="e">
        <v>#N/A</v>
      </c>
      <c r="AA438" s="3535" t="e">
        <v>#N/A</v>
      </c>
      <c r="AB438" s="3535" t="e">
        <v>#N/A</v>
      </c>
      <c r="AC438" s="3535" t="e">
        <v>#N/A</v>
      </c>
      <c r="AD438" s="3535" t="e">
        <v>#N/A</v>
      </c>
      <c r="AE438" s="3535" t="e">
        <v>#N/A</v>
      </c>
      <c r="AF438" s="3535" t="e">
        <v>#N/A</v>
      </c>
      <c r="AG438" s="3535" t="e">
        <v>#N/A</v>
      </c>
      <c r="AH438" s="3535" t="e">
        <v>#N/A</v>
      </c>
      <c r="AI438" s="3535" t="e">
        <v>#N/A</v>
      </c>
      <c r="AJ438" s="3535" t="e">
        <v>#N/A</v>
      </c>
      <c r="AK438" s="3535" t="e">
        <v>#N/A</v>
      </c>
      <c r="AL438" s="3535" t="e">
        <v>#N/A</v>
      </c>
      <c r="AM438" s="3535" t="e">
        <v>#N/A</v>
      </c>
      <c r="AN438" s="3535" t="e">
        <v>#N/A</v>
      </c>
      <c r="AO438" s="3535" t="e">
        <v>#N/A</v>
      </c>
      <c r="AP438" s="3535" t="e">
        <v>#N/A</v>
      </c>
      <c r="AQ438" s="3535" t="e">
        <v>#N/A</v>
      </c>
      <c r="AR438" s="3535" t="e">
        <v>#N/A</v>
      </c>
      <c r="AS438" s="3535" t="e">
        <v>#N/A</v>
      </c>
      <c r="AT438" s="3535" t="e">
        <v>#N/A</v>
      </c>
      <c r="AU438" s="3535" t="e">
        <v>#N/A</v>
      </c>
      <c r="AV438" s="3535" t="e">
        <v>#N/A</v>
      </c>
      <c r="AW438" s="3535" t="e">
        <v>#N/A</v>
      </c>
      <c r="AX438" s="3535" t="e">
        <v>#N/A</v>
      </c>
      <c r="AY438" s="3535" t="e">
        <v>#N/A</v>
      </c>
      <c r="AZ438" s="3535" t="e">
        <v>#N/A</v>
      </c>
      <c r="BA438" s="3535" t="e">
        <v>#N/A</v>
      </c>
      <c r="BB438" s="3535" t="e">
        <v>#N/A</v>
      </c>
      <c r="BC438" s="3535" t="e">
        <v>#N/A</v>
      </c>
      <c r="BD438" s="3535" t="e">
        <v>#N/A</v>
      </c>
      <c r="BE438" s="3535" t="e">
        <v>#N/A</v>
      </c>
      <c r="BF438" s="3535" t="e">
        <v>#N/A</v>
      </c>
      <c r="BG438" s="3535" t="e">
        <v>#N/A</v>
      </c>
      <c r="BH438" s="3535" t="e">
        <v>#N/A</v>
      </c>
      <c r="BI438" s="3535" t="e">
        <v>#N/A</v>
      </c>
      <c r="BJ438" s="3535" t="e">
        <v>#N/A</v>
      </c>
      <c r="BK438" s="3535" t="e">
        <v>#N/A</v>
      </c>
      <c r="BL438" s="3535" t="e">
        <v>#N/A</v>
      </c>
      <c r="BM438" s="3535" t="e">
        <v>#N/A</v>
      </c>
      <c r="BN438" s="3535" t="e">
        <v>#N/A</v>
      </c>
      <c r="BO438" s="3535" t="e">
        <v>#N/A</v>
      </c>
      <c r="BP438" s="3535" t="e">
        <v>#N/A</v>
      </c>
      <c r="BQ438" s="3535" t="e">
        <v>#N/A</v>
      </c>
      <c r="BR438" s="3535" t="e">
        <v>#N/A</v>
      </c>
      <c r="BS438" s="3535" t="e">
        <v>#N/A</v>
      </c>
      <c r="BT438" s="3535" t="e">
        <v>#N/A</v>
      </c>
      <c r="BU438" s="3535" t="e">
        <v>#N/A</v>
      </c>
      <c r="BV438" s="3535" t="e">
        <v>#N/A</v>
      </c>
      <c r="BW438" s="3535" t="e">
        <v>#N/A</v>
      </c>
      <c r="BX438" s="3535" t="e">
        <v>#N/A</v>
      </c>
      <c r="BY438" s="3535" t="e">
        <v>#N/A</v>
      </c>
      <c r="BZ438" s="3535" t="e">
        <v>#N/A</v>
      </c>
      <c r="CA438" s="3535" t="e">
        <v>#N/A</v>
      </c>
      <c r="CB438" s="3535" t="e">
        <v>#N/A</v>
      </c>
      <c r="CC438" s="3535" t="e">
        <v>#N/A</v>
      </c>
      <c r="CD438" s="3535" t="e">
        <v>#N/A</v>
      </c>
      <c r="CE438" s="3535" t="e">
        <v>#N/A</v>
      </c>
      <c r="CF438" s="3535" t="e">
        <v>#N/A</v>
      </c>
      <c r="CG438" s="3535" t="e">
        <v>#N/A</v>
      </c>
      <c r="CH438" s="3535" t="e">
        <v>#N/A</v>
      </c>
      <c r="CI438" s="3535" t="e">
        <v>#N/A</v>
      </c>
      <c r="CJ438" s="2978" t="e">
        <v>#N/A</v>
      </c>
    </row>
    <row r="439" spans="1:88">
      <c r="A439" s="53">
        <f t="shared" si="1"/>
        <v>2029.1</v>
      </c>
      <c r="B439" s="615" t="e">
        <v>#N/A</v>
      </c>
      <c r="C439" s="3535" t="e">
        <v>#N/A</v>
      </c>
      <c r="D439" s="358" t="e">
        <v>#N/A</v>
      </c>
      <c r="E439" s="615" t="e">
        <v>#N/A</v>
      </c>
      <c r="F439" s="1215" t="e">
        <v>#N/A</v>
      </c>
      <c r="G439" s="1215" t="e">
        <v>#N/A</v>
      </c>
      <c r="H439" s="1215" t="e">
        <v>#N/A</v>
      </c>
      <c r="I439" s="1215" t="e">
        <v>#N/A</v>
      </c>
      <c r="J439" s="1215" t="e">
        <v>#N/A</v>
      </c>
      <c r="K439" s="1215" t="e">
        <v>#N/A</v>
      </c>
      <c r="L439" s="1215" t="e">
        <v>#N/A</v>
      </c>
      <c r="M439" s="1215" t="e">
        <v>#N/A</v>
      </c>
      <c r="N439" s="1215" t="e">
        <v>#N/A</v>
      </c>
      <c r="O439" s="1215" t="e">
        <v>#N/A</v>
      </c>
      <c r="P439" s="1215" t="e">
        <v>#N/A</v>
      </c>
      <c r="Q439" s="1215" t="e">
        <v>#N/A</v>
      </c>
      <c r="R439" s="2661" t="e">
        <v>#N/A</v>
      </c>
      <c r="S439" s="3535" t="e">
        <v>#N/A</v>
      </c>
      <c r="T439" s="3535" t="e">
        <v>#N/A</v>
      </c>
      <c r="U439" s="3535" t="e">
        <v>#N/A</v>
      </c>
      <c r="V439" s="3535" t="e">
        <v>#N/A</v>
      </c>
      <c r="W439" s="3535" t="e">
        <v>#N/A</v>
      </c>
      <c r="X439" s="3535" t="e">
        <v>#N/A</v>
      </c>
      <c r="Y439" s="3535" t="e">
        <v>#N/A</v>
      </c>
      <c r="Z439" s="3535" t="e">
        <v>#N/A</v>
      </c>
      <c r="AA439" s="3535" t="e">
        <v>#N/A</v>
      </c>
      <c r="AB439" s="3535" t="e">
        <v>#N/A</v>
      </c>
      <c r="AC439" s="3535" t="e">
        <v>#N/A</v>
      </c>
      <c r="AD439" s="3535" t="e">
        <v>#N/A</v>
      </c>
      <c r="AE439" s="3535" t="e">
        <v>#N/A</v>
      </c>
      <c r="AF439" s="3535" t="e">
        <v>#N/A</v>
      </c>
      <c r="AG439" s="3535" t="e">
        <v>#N/A</v>
      </c>
      <c r="AH439" s="3535" t="e">
        <v>#N/A</v>
      </c>
      <c r="AI439" s="3535" t="e">
        <v>#N/A</v>
      </c>
      <c r="AJ439" s="3535" t="e">
        <v>#N/A</v>
      </c>
      <c r="AK439" s="3535" t="e">
        <v>#N/A</v>
      </c>
      <c r="AL439" s="3535" t="e">
        <v>#N/A</v>
      </c>
      <c r="AM439" s="3535" t="e">
        <v>#N/A</v>
      </c>
      <c r="AN439" s="3535" t="e">
        <v>#N/A</v>
      </c>
      <c r="AO439" s="3535" t="e">
        <v>#N/A</v>
      </c>
      <c r="AP439" s="3535" t="e">
        <v>#N/A</v>
      </c>
      <c r="AQ439" s="3535" t="e">
        <v>#N/A</v>
      </c>
      <c r="AR439" s="3535" t="e">
        <v>#N/A</v>
      </c>
      <c r="AS439" s="3535" t="e">
        <v>#N/A</v>
      </c>
      <c r="AT439" s="3535" t="e">
        <v>#N/A</v>
      </c>
      <c r="AU439" s="3535" t="e">
        <v>#N/A</v>
      </c>
      <c r="AV439" s="3535" t="e">
        <v>#N/A</v>
      </c>
      <c r="AW439" s="3535" t="e">
        <v>#N/A</v>
      </c>
      <c r="AX439" s="3535" t="e">
        <v>#N/A</v>
      </c>
      <c r="AY439" s="3535" t="e">
        <v>#N/A</v>
      </c>
      <c r="AZ439" s="3535" t="e">
        <v>#N/A</v>
      </c>
      <c r="BA439" s="3535" t="e">
        <v>#N/A</v>
      </c>
      <c r="BB439" s="3535" t="e">
        <v>#N/A</v>
      </c>
      <c r="BC439" s="3535" t="e">
        <v>#N/A</v>
      </c>
      <c r="BD439" s="3535" t="e">
        <v>#N/A</v>
      </c>
      <c r="BE439" s="3535" t="e">
        <v>#N/A</v>
      </c>
      <c r="BF439" s="3535" t="e">
        <v>#N/A</v>
      </c>
      <c r="BG439" s="3535" t="e">
        <v>#N/A</v>
      </c>
      <c r="BH439" s="3535" t="e">
        <v>#N/A</v>
      </c>
      <c r="BI439" s="3535" t="e">
        <v>#N/A</v>
      </c>
      <c r="BJ439" s="3535" t="e">
        <v>#N/A</v>
      </c>
      <c r="BK439" s="3535" t="e">
        <v>#N/A</v>
      </c>
      <c r="BL439" s="3535" t="e">
        <v>#N/A</v>
      </c>
      <c r="BM439" s="3535" t="e">
        <v>#N/A</v>
      </c>
      <c r="BN439" s="3535" t="e">
        <v>#N/A</v>
      </c>
      <c r="BO439" s="3535" t="e">
        <v>#N/A</v>
      </c>
      <c r="BP439" s="3535" t="e">
        <v>#N/A</v>
      </c>
      <c r="BQ439" s="3535" t="e">
        <v>#N/A</v>
      </c>
      <c r="BR439" s="3535" t="e">
        <v>#N/A</v>
      </c>
      <c r="BS439" s="3535" t="e">
        <v>#N/A</v>
      </c>
      <c r="BT439" s="3535" t="e">
        <v>#N/A</v>
      </c>
      <c r="BU439" s="3535" t="e">
        <v>#N/A</v>
      </c>
      <c r="BV439" s="3535" t="e">
        <v>#N/A</v>
      </c>
      <c r="BW439" s="3535" t="e">
        <v>#N/A</v>
      </c>
      <c r="BX439" s="3535" t="e">
        <v>#N/A</v>
      </c>
      <c r="BY439" s="3535" t="e">
        <v>#N/A</v>
      </c>
      <c r="BZ439" s="3535" t="e">
        <v>#N/A</v>
      </c>
      <c r="CA439" s="3535" t="e">
        <v>#N/A</v>
      </c>
      <c r="CB439" s="3535" t="e">
        <v>#N/A</v>
      </c>
      <c r="CC439" s="3535" t="e">
        <v>#N/A</v>
      </c>
      <c r="CD439" s="3535" t="e">
        <v>#N/A</v>
      </c>
      <c r="CE439" s="3535" t="e">
        <v>#N/A</v>
      </c>
      <c r="CF439" s="3535" t="e">
        <v>#N/A</v>
      </c>
      <c r="CG439" s="3535" t="e">
        <v>#N/A</v>
      </c>
      <c r="CH439" s="3535" t="e">
        <v>#N/A</v>
      </c>
      <c r="CI439" s="3535" t="e">
        <v>#N/A</v>
      </c>
      <c r="CJ439" s="2978" t="e">
        <v>#N/A</v>
      </c>
    </row>
    <row r="440" spans="1:88">
      <c r="A440" s="53">
        <f t="shared" si="1"/>
        <v>2029.11</v>
      </c>
      <c r="B440" s="615" t="e">
        <v>#N/A</v>
      </c>
      <c r="C440" s="3535" t="e">
        <v>#N/A</v>
      </c>
      <c r="D440" s="358" t="e">
        <v>#N/A</v>
      </c>
      <c r="E440" s="615" t="e">
        <v>#N/A</v>
      </c>
      <c r="F440" s="1215" t="e">
        <v>#N/A</v>
      </c>
      <c r="G440" s="1215" t="e">
        <v>#N/A</v>
      </c>
      <c r="H440" s="1215" t="e">
        <v>#N/A</v>
      </c>
      <c r="I440" s="1215" t="e">
        <v>#N/A</v>
      </c>
      <c r="J440" s="1215" t="e">
        <v>#N/A</v>
      </c>
      <c r="K440" s="1215" t="e">
        <v>#N/A</v>
      </c>
      <c r="L440" s="1215" t="e">
        <v>#N/A</v>
      </c>
      <c r="M440" s="1215" t="e">
        <v>#N/A</v>
      </c>
      <c r="N440" s="1215" t="e">
        <v>#N/A</v>
      </c>
      <c r="O440" s="1215" t="e">
        <v>#N/A</v>
      </c>
      <c r="P440" s="1215" t="e">
        <v>#N/A</v>
      </c>
      <c r="Q440" s="1215" t="e">
        <v>#N/A</v>
      </c>
      <c r="R440" s="2661" t="e">
        <v>#N/A</v>
      </c>
      <c r="S440" s="3535" t="e">
        <v>#N/A</v>
      </c>
      <c r="T440" s="3535" t="e">
        <v>#N/A</v>
      </c>
      <c r="U440" s="3535" t="e">
        <v>#N/A</v>
      </c>
      <c r="V440" s="3535" t="e">
        <v>#N/A</v>
      </c>
      <c r="W440" s="3535" t="e">
        <v>#N/A</v>
      </c>
      <c r="X440" s="3535" t="e">
        <v>#N/A</v>
      </c>
      <c r="Y440" s="3535" t="e">
        <v>#N/A</v>
      </c>
      <c r="Z440" s="3535" t="e">
        <v>#N/A</v>
      </c>
      <c r="AA440" s="3535" t="e">
        <v>#N/A</v>
      </c>
      <c r="AB440" s="3535" t="e">
        <v>#N/A</v>
      </c>
      <c r="AC440" s="3535" t="e">
        <v>#N/A</v>
      </c>
      <c r="AD440" s="3535" t="e">
        <v>#N/A</v>
      </c>
      <c r="AE440" s="3535" t="e">
        <v>#N/A</v>
      </c>
      <c r="AF440" s="3535" t="e">
        <v>#N/A</v>
      </c>
      <c r="AG440" s="3535" t="e">
        <v>#N/A</v>
      </c>
      <c r="AH440" s="3535" t="e">
        <v>#N/A</v>
      </c>
      <c r="AI440" s="3535" t="e">
        <v>#N/A</v>
      </c>
      <c r="AJ440" s="3535" t="e">
        <v>#N/A</v>
      </c>
      <c r="AK440" s="3535" t="e">
        <v>#N/A</v>
      </c>
      <c r="AL440" s="3535" t="e">
        <v>#N/A</v>
      </c>
      <c r="AM440" s="3535" t="e">
        <v>#N/A</v>
      </c>
      <c r="AN440" s="3535" t="e">
        <v>#N/A</v>
      </c>
      <c r="AO440" s="3535" t="e">
        <v>#N/A</v>
      </c>
      <c r="AP440" s="3535" t="e">
        <v>#N/A</v>
      </c>
      <c r="AQ440" s="3535" t="e">
        <v>#N/A</v>
      </c>
      <c r="AR440" s="3535" t="e">
        <v>#N/A</v>
      </c>
      <c r="AS440" s="3535" t="e">
        <v>#N/A</v>
      </c>
      <c r="AT440" s="3535" t="e">
        <v>#N/A</v>
      </c>
      <c r="AU440" s="3535" t="e">
        <v>#N/A</v>
      </c>
      <c r="AV440" s="3535" t="e">
        <v>#N/A</v>
      </c>
      <c r="AW440" s="3535" t="e">
        <v>#N/A</v>
      </c>
      <c r="AX440" s="3535" t="e">
        <v>#N/A</v>
      </c>
      <c r="AY440" s="3535" t="e">
        <v>#N/A</v>
      </c>
      <c r="AZ440" s="3535" t="e">
        <v>#N/A</v>
      </c>
      <c r="BA440" s="3535" t="e">
        <v>#N/A</v>
      </c>
      <c r="BB440" s="3535" t="e">
        <v>#N/A</v>
      </c>
      <c r="BC440" s="3535" t="e">
        <v>#N/A</v>
      </c>
      <c r="BD440" s="3535" t="e">
        <v>#N/A</v>
      </c>
      <c r="BE440" s="3535" t="e">
        <v>#N/A</v>
      </c>
      <c r="BF440" s="3535" t="e">
        <v>#N/A</v>
      </c>
      <c r="BG440" s="3535" t="e">
        <v>#N/A</v>
      </c>
      <c r="BH440" s="3535" t="e">
        <v>#N/A</v>
      </c>
      <c r="BI440" s="3535" t="e">
        <v>#N/A</v>
      </c>
      <c r="BJ440" s="3535" t="e">
        <v>#N/A</v>
      </c>
      <c r="BK440" s="3535" t="e">
        <v>#N/A</v>
      </c>
      <c r="BL440" s="3535" t="e">
        <v>#N/A</v>
      </c>
      <c r="BM440" s="3535" t="e">
        <v>#N/A</v>
      </c>
      <c r="BN440" s="3535" t="e">
        <v>#N/A</v>
      </c>
      <c r="BO440" s="3535" t="e">
        <v>#N/A</v>
      </c>
      <c r="BP440" s="3535" t="e">
        <v>#N/A</v>
      </c>
      <c r="BQ440" s="3535" t="e">
        <v>#N/A</v>
      </c>
      <c r="BR440" s="3535" t="e">
        <v>#N/A</v>
      </c>
      <c r="BS440" s="3535" t="e">
        <v>#N/A</v>
      </c>
      <c r="BT440" s="3535" t="e">
        <v>#N/A</v>
      </c>
      <c r="BU440" s="3535" t="e">
        <v>#N/A</v>
      </c>
      <c r="BV440" s="3535" t="e">
        <v>#N/A</v>
      </c>
      <c r="BW440" s="3535" t="e">
        <v>#N/A</v>
      </c>
      <c r="BX440" s="3535" t="e">
        <v>#N/A</v>
      </c>
      <c r="BY440" s="3535" t="e">
        <v>#N/A</v>
      </c>
      <c r="BZ440" s="3535" t="e">
        <v>#N/A</v>
      </c>
      <c r="CA440" s="3535" t="e">
        <v>#N/A</v>
      </c>
      <c r="CB440" s="3535" t="e">
        <v>#N/A</v>
      </c>
      <c r="CC440" s="3535" t="e">
        <v>#N/A</v>
      </c>
      <c r="CD440" s="3535" t="e">
        <v>#N/A</v>
      </c>
      <c r="CE440" s="3535" t="e">
        <v>#N/A</v>
      </c>
      <c r="CF440" s="3535" t="e">
        <v>#N/A</v>
      </c>
      <c r="CG440" s="3535" t="e">
        <v>#N/A</v>
      </c>
      <c r="CH440" s="3535" t="e">
        <v>#N/A</v>
      </c>
      <c r="CI440" s="3535" t="e">
        <v>#N/A</v>
      </c>
      <c r="CJ440" s="2978" t="e">
        <v>#N/A</v>
      </c>
    </row>
    <row r="441" spans="1:88">
      <c r="A441" s="53">
        <f t="shared" si="1"/>
        <v>2029.12</v>
      </c>
      <c r="B441" s="615" t="e">
        <v>#N/A</v>
      </c>
      <c r="C441" s="3535" t="e">
        <v>#N/A</v>
      </c>
      <c r="D441" s="358" t="e">
        <v>#N/A</v>
      </c>
      <c r="E441" s="615" t="e">
        <v>#N/A</v>
      </c>
      <c r="F441" s="1215" t="e">
        <v>#N/A</v>
      </c>
      <c r="G441" s="1215" t="e">
        <v>#N/A</v>
      </c>
      <c r="H441" s="1215" t="e">
        <v>#N/A</v>
      </c>
      <c r="I441" s="1215" t="e">
        <v>#N/A</v>
      </c>
      <c r="J441" s="1215" t="e">
        <v>#N/A</v>
      </c>
      <c r="K441" s="1215" t="e">
        <v>#N/A</v>
      </c>
      <c r="L441" s="1215" t="e">
        <v>#N/A</v>
      </c>
      <c r="M441" s="1215" t="e">
        <v>#N/A</v>
      </c>
      <c r="N441" s="1215" t="e">
        <v>#N/A</v>
      </c>
      <c r="O441" s="1215" t="e">
        <v>#N/A</v>
      </c>
      <c r="P441" s="1215" t="e">
        <v>#N/A</v>
      </c>
      <c r="Q441" s="1215" t="e">
        <v>#N/A</v>
      </c>
      <c r="R441" s="2661" t="e">
        <v>#N/A</v>
      </c>
      <c r="S441" s="3535" t="e">
        <v>#N/A</v>
      </c>
      <c r="T441" s="3535" t="e">
        <v>#N/A</v>
      </c>
      <c r="U441" s="3535" t="e">
        <v>#N/A</v>
      </c>
      <c r="V441" s="3535" t="e">
        <v>#N/A</v>
      </c>
      <c r="W441" s="3535" t="e">
        <v>#N/A</v>
      </c>
      <c r="X441" s="3535" t="e">
        <v>#N/A</v>
      </c>
      <c r="Y441" s="3535" t="e">
        <v>#N/A</v>
      </c>
      <c r="Z441" s="3535" t="e">
        <v>#N/A</v>
      </c>
      <c r="AA441" s="3535" t="e">
        <v>#N/A</v>
      </c>
      <c r="AB441" s="3535" t="e">
        <v>#N/A</v>
      </c>
      <c r="AC441" s="3535" t="e">
        <v>#N/A</v>
      </c>
      <c r="AD441" s="3535" t="e">
        <v>#N/A</v>
      </c>
      <c r="AE441" s="3535" t="e">
        <v>#N/A</v>
      </c>
      <c r="AF441" s="3535" t="e">
        <v>#N/A</v>
      </c>
      <c r="AG441" s="3535" t="e">
        <v>#N/A</v>
      </c>
      <c r="AH441" s="3535" t="e">
        <v>#N/A</v>
      </c>
      <c r="AI441" s="3535" t="e">
        <v>#N/A</v>
      </c>
      <c r="AJ441" s="3535" t="e">
        <v>#N/A</v>
      </c>
      <c r="AK441" s="3535" t="e">
        <v>#N/A</v>
      </c>
      <c r="AL441" s="3535" t="e">
        <v>#N/A</v>
      </c>
      <c r="AM441" s="3535" t="e">
        <v>#N/A</v>
      </c>
      <c r="AN441" s="3535" t="e">
        <v>#N/A</v>
      </c>
      <c r="AO441" s="3535" t="e">
        <v>#N/A</v>
      </c>
      <c r="AP441" s="3535" t="e">
        <v>#N/A</v>
      </c>
      <c r="AQ441" s="3535" t="e">
        <v>#N/A</v>
      </c>
      <c r="AR441" s="3535" t="e">
        <v>#N/A</v>
      </c>
      <c r="AS441" s="3535" t="e">
        <v>#N/A</v>
      </c>
      <c r="AT441" s="3535" t="e">
        <v>#N/A</v>
      </c>
      <c r="AU441" s="3535" t="e">
        <v>#N/A</v>
      </c>
      <c r="AV441" s="3535" t="e">
        <v>#N/A</v>
      </c>
      <c r="AW441" s="3535" t="e">
        <v>#N/A</v>
      </c>
      <c r="AX441" s="3535" t="e">
        <v>#N/A</v>
      </c>
      <c r="AY441" s="3535" t="e">
        <v>#N/A</v>
      </c>
      <c r="AZ441" s="3535" t="e">
        <v>#N/A</v>
      </c>
      <c r="BA441" s="3535" t="e">
        <v>#N/A</v>
      </c>
      <c r="BB441" s="3535" t="e">
        <v>#N/A</v>
      </c>
      <c r="BC441" s="3535" t="e">
        <v>#N/A</v>
      </c>
      <c r="BD441" s="3535" t="e">
        <v>#N/A</v>
      </c>
      <c r="BE441" s="3535" t="e">
        <v>#N/A</v>
      </c>
      <c r="BF441" s="3535" t="e">
        <v>#N/A</v>
      </c>
      <c r="BG441" s="3535" t="e">
        <v>#N/A</v>
      </c>
      <c r="BH441" s="3535" t="e">
        <v>#N/A</v>
      </c>
      <c r="BI441" s="3535" t="e">
        <v>#N/A</v>
      </c>
      <c r="BJ441" s="3535" t="e">
        <v>#N/A</v>
      </c>
      <c r="BK441" s="3535" t="e">
        <v>#N/A</v>
      </c>
      <c r="BL441" s="3535" t="e">
        <v>#N/A</v>
      </c>
      <c r="BM441" s="3535" t="e">
        <v>#N/A</v>
      </c>
      <c r="BN441" s="3535" t="e">
        <v>#N/A</v>
      </c>
      <c r="BO441" s="3535" t="e">
        <v>#N/A</v>
      </c>
      <c r="BP441" s="3535" t="e">
        <v>#N/A</v>
      </c>
      <c r="BQ441" s="3535" t="e">
        <v>#N/A</v>
      </c>
      <c r="BR441" s="3535" t="e">
        <v>#N/A</v>
      </c>
      <c r="BS441" s="3535" t="e">
        <v>#N/A</v>
      </c>
      <c r="BT441" s="3535" t="e">
        <v>#N/A</v>
      </c>
      <c r="BU441" s="3535" t="e">
        <v>#N/A</v>
      </c>
      <c r="BV441" s="3535" t="e">
        <v>#N/A</v>
      </c>
      <c r="BW441" s="3535" t="e">
        <v>#N/A</v>
      </c>
      <c r="BX441" s="3535" t="e">
        <v>#N/A</v>
      </c>
      <c r="BY441" s="3535" t="e">
        <v>#N/A</v>
      </c>
      <c r="BZ441" s="3535" t="e">
        <v>#N/A</v>
      </c>
      <c r="CA441" s="3535" t="e">
        <v>#N/A</v>
      </c>
      <c r="CB441" s="3535" t="e">
        <v>#N/A</v>
      </c>
      <c r="CC441" s="3535" t="e">
        <v>#N/A</v>
      </c>
      <c r="CD441" s="3535" t="e">
        <v>#N/A</v>
      </c>
      <c r="CE441" s="3535" t="e">
        <v>#N/A</v>
      </c>
      <c r="CF441" s="3535" t="e">
        <v>#N/A</v>
      </c>
      <c r="CG441" s="3535" t="e">
        <v>#N/A</v>
      </c>
      <c r="CH441" s="3535" t="e">
        <v>#N/A</v>
      </c>
      <c r="CI441" s="3535" t="e">
        <v>#N/A</v>
      </c>
      <c r="CJ441" s="2978" t="e">
        <v>#N/A</v>
      </c>
    </row>
    <row r="442" spans="1:88">
      <c r="A442" s="53">
        <f t="shared" si="1"/>
        <v>2030.01</v>
      </c>
      <c r="B442" s="615" t="e">
        <v>#N/A</v>
      </c>
      <c r="C442" s="3535" t="e">
        <v>#N/A</v>
      </c>
      <c r="D442" s="358" t="e">
        <v>#N/A</v>
      </c>
      <c r="E442" s="615" t="e">
        <v>#N/A</v>
      </c>
      <c r="F442" s="1215" t="e">
        <v>#N/A</v>
      </c>
      <c r="G442" s="1215" t="e">
        <v>#N/A</v>
      </c>
      <c r="H442" s="1215" t="e">
        <v>#N/A</v>
      </c>
      <c r="I442" s="1215" t="e">
        <v>#N/A</v>
      </c>
      <c r="J442" s="1215" t="e">
        <v>#N/A</v>
      </c>
      <c r="K442" s="1215" t="e">
        <v>#N/A</v>
      </c>
      <c r="L442" s="1215" t="e">
        <v>#N/A</v>
      </c>
      <c r="M442" s="1215" t="e">
        <v>#N/A</v>
      </c>
      <c r="N442" s="1215" t="e">
        <v>#N/A</v>
      </c>
      <c r="O442" s="1215" t="e">
        <v>#N/A</v>
      </c>
      <c r="P442" s="1215" t="e">
        <v>#N/A</v>
      </c>
      <c r="Q442" s="1215" t="e">
        <v>#N/A</v>
      </c>
      <c r="R442" s="2661" t="e">
        <v>#N/A</v>
      </c>
      <c r="S442" s="3535" t="e">
        <v>#N/A</v>
      </c>
      <c r="T442" s="3535" t="e">
        <v>#N/A</v>
      </c>
      <c r="U442" s="3535" t="e">
        <v>#N/A</v>
      </c>
      <c r="V442" s="3535" t="e">
        <v>#N/A</v>
      </c>
      <c r="W442" s="3535" t="e">
        <v>#N/A</v>
      </c>
      <c r="X442" s="3535" t="e">
        <v>#N/A</v>
      </c>
      <c r="Y442" s="3535" t="e">
        <v>#N/A</v>
      </c>
      <c r="Z442" s="3535" t="e">
        <v>#N/A</v>
      </c>
      <c r="AA442" s="3535" t="e">
        <v>#N/A</v>
      </c>
      <c r="AB442" s="3535" t="e">
        <v>#N/A</v>
      </c>
      <c r="AC442" s="3535" t="e">
        <v>#N/A</v>
      </c>
      <c r="AD442" s="3535" t="e">
        <v>#N/A</v>
      </c>
      <c r="AE442" s="3535" t="e">
        <v>#N/A</v>
      </c>
      <c r="AF442" s="3535" t="e">
        <v>#N/A</v>
      </c>
      <c r="AG442" s="3535" t="e">
        <v>#N/A</v>
      </c>
      <c r="AH442" s="3535" t="e">
        <v>#N/A</v>
      </c>
      <c r="AI442" s="3535" t="e">
        <v>#N/A</v>
      </c>
      <c r="AJ442" s="3535" t="e">
        <v>#N/A</v>
      </c>
      <c r="AK442" s="3535" t="e">
        <v>#N/A</v>
      </c>
      <c r="AL442" s="3535" t="e">
        <v>#N/A</v>
      </c>
      <c r="AM442" s="3535" t="e">
        <v>#N/A</v>
      </c>
      <c r="AN442" s="3535" t="e">
        <v>#N/A</v>
      </c>
      <c r="AO442" s="3535" t="e">
        <v>#N/A</v>
      </c>
      <c r="AP442" s="3535" t="e">
        <v>#N/A</v>
      </c>
      <c r="AQ442" s="3535" t="e">
        <v>#N/A</v>
      </c>
      <c r="AR442" s="3535" t="e">
        <v>#N/A</v>
      </c>
      <c r="AS442" s="3535" t="e">
        <v>#N/A</v>
      </c>
      <c r="AT442" s="3535" t="e">
        <v>#N/A</v>
      </c>
      <c r="AU442" s="3535" t="e">
        <v>#N/A</v>
      </c>
      <c r="AV442" s="3535" t="e">
        <v>#N/A</v>
      </c>
      <c r="AW442" s="3535" t="e">
        <v>#N/A</v>
      </c>
      <c r="AX442" s="3535" t="e">
        <v>#N/A</v>
      </c>
      <c r="AY442" s="3535" t="e">
        <v>#N/A</v>
      </c>
      <c r="AZ442" s="3535" t="e">
        <v>#N/A</v>
      </c>
      <c r="BA442" s="3535" t="e">
        <v>#N/A</v>
      </c>
      <c r="BB442" s="3535" t="e">
        <v>#N/A</v>
      </c>
      <c r="BC442" s="3535" t="e">
        <v>#N/A</v>
      </c>
      <c r="BD442" s="3535" t="e">
        <v>#N/A</v>
      </c>
      <c r="BE442" s="3535" t="e">
        <v>#N/A</v>
      </c>
      <c r="BF442" s="3535" t="e">
        <v>#N/A</v>
      </c>
      <c r="BG442" s="3535" t="e">
        <v>#N/A</v>
      </c>
      <c r="BH442" s="3535" t="e">
        <v>#N/A</v>
      </c>
      <c r="BI442" s="3535" t="e">
        <v>#N/A</v>
      </c>
      <c r="BJ442" s="3535" t="e">
        <v>#N/A</v>
      </c>
      <c r="BK442" s="3535" t="e">
        <v>#N/A</v>
      </c>
      <c r="BL442" s="3535" t="e">
        <v>#N/A</v>
      </c>
      <c r="BM442" s="3535" t="e">
        <v>#N/A</v>
      </c>
      <c r="BN442" s="3535" t="e">
        <v>#N/A</v>
      </c>
      <c r="BO442" s="3535" t="e">
        <v>#N/A</v>
      </c>
      <c r="BP442" s="3535" t="e">
        <v>#N/A</v>
      </c>
      <c r="BQ442" s="3535" t="e">
        <v>#N/A</v>
      </c>
      <c r="BR442" s="3535" t="e">
        <v>#N/A</v>
      </c>
      <c r="BS442" s="3535" t="e">
        <v>#N/A</v>
      </c>
      <c r="BT442" s="3535" t="e">
        <v>#N/A</v>
      </c>
      <c r="BU442" s="3535" t="e">
        <v>#N/A</v>
      </c>
      <c r="BV442" s="3535" t="e">
        <v>#N/A</v>
      </c>
      <c r="BW442" s="3535" t="e">
        <v>#N/A</v>
      </c>
      <c r="BX442" s="3535" t="e">
        <v>#N/A</v>
      </c>
      <c r="BY442" s="3535" t="e">
        <v>#N/A</v>
      </c>
      <c r="BZ442" s="3535" t="e">
        <v>#N/A</v>
      </c>
      <c r="CA442" s="3535" t="e">
        <v>#N/A</v>
      </c>
      <c r="CB442" s="3535" t="e">
        <v>#N/A</v>
      </c>
      <c r="CC442" s="3535" t="e">
        <v>#N/A</v>
      </c>
      <c r="CD442" s="3535" t="e">
        <v>#N/A</v>
      </c>
      <c r="CE442" s="3535" t="e">
        <v>#N/A</v>
      </c>
      <c r="CF442" s="3535" t="e">
        <v>#N/A</v>
      </c>
      <c r="CG442" s="3535" t="e">
        <v>#N/A</v>
      </c>
      <c r="CH442" s="3535" t="e">
        <v>#N/A</v>
      </c>
      <c r="CI442" s="3535" t="e">
        <v>#N/A</v>
      </c>
      <c r="CJ442" s="2978" t="e">
        <v>#N/A</v>
      </c>
    </row>
    <row r="443" spans="1:88">
      <c r="A443" s="53">
        <f t="shared" si="1"/>
        <v>2030.02</v>
      </c>
      <c r="B443" s="615" t="e">
        <v>#N/A</v>
      </c>
      <c r="C443" s="3535" t="e">
        <v>#N/A</v>
      </c>
      <c r="D443" s="358" t="e">
        <v>#N/A</v>
      </c>
      <c r="E443" s="615" t="e">
        <v>#N/A</v>
      </c>
      <c r="F443" s="1215" t="e">
        <v>#N/A</v>
      </c>
      <c r="G443" s="1215" t="e">
        <v>#N/A</v>
      </c>
      <c r="H443" s="1215" t="e">
        <v>#N/A</v>
      </c>
      <c r="I443" s="1215" t="e">
        <v>#N/A</v>
      </c>
      <c r="J443" s="1215" t="e">
        <v>#N/A</v>
      </c>
      <c r="K443" s="1215" t="e">
        <v>#N/A</v>
      </c>
      <c r="L443" s="1215" t="e">
        <v>#N/A</v>
      </c>
      <c r="M443" s="1215" t="e">
        <v>#N/A</v>
      </c>
      <c r="N443" s="1215" t="e">
        <v>#N/A</v>
      </c>
      <c r="O443" s="1215" t="e">
        <v>#N/A</v>
      </c>
      <c r="P443" s="1215" t="e">
        <v>#N/A</v>
      </c>
      <c r="Q443" s="1215" t="e">
        <v>#N/A</v>
      </c>
      <c r="R443" s="2661" t="e">
        <v>#N/A</v>
      </c>
      <c r="S443" s="3535" t="e">
        <v>#N/A</v>
      </c>
      <c r="T443" s="3535" t="e">
        <v>#N/A</v>
      </c>
      <c r="U443" s="3535" t="e">
        <v>#N/A</v>
      </c>
      <c r="V443" s="3535" t="e">
        <v>#N/A</v>
      </c>
      <c r="W443" s="3535" t="e">
        <v>#N/A</v>
      </c>
      <c r="X443" s="3535" t="e">
        <v>#N/A</v>
      </c>
      <c r="Y443" s="3535" t="e">
        <v>#N/A</v>
      </c>
      <c r="Z443" s="3535" t="e">
        <v>#N/A</v>
      </c>
      <c r="AA443" s="3535" t="e">
        <v>#N/A</v>
      </c>
      <c r="AB443" s="3535" t="e">
        <v>#N/A</v>
      </c>
      <c r="AC443" s="3535" t="e">
        <v>#N/A</v>
      </c>
      <c r="AD443" s="3535" t="e">
        <v>#N/A</v>
      </c>
      <c r="AE443" s="3535" t="e">
        <v>#N/A</v>
      </c>
      <c r="AF443" s="3535" t="e">
        <v>#N/A</v>
      </c>
      <c r="AG443" s="3535" t="e">
        <v>#N/A</v>
      </c>
      <c r="AH443" s="3535" t="e">
        <v>#N/A</v>
      </c>
      <c r="AI443" s="3535" t="e">
        <v>#N/A</v>
      </c>
      <c r="AJ443" s="3535" t="e">
        <v>#N/A</v>
      </c>
      <c r="AK443" s="3535" t="e">
        <v>#N/A</v>
      </c>
      <c r="AL443" s="3535" t="e">
        <v>#N/A</v>
      </c>
      <c r="AM443" s="3535" t="e">
        <v>#N/A</v>
      </c>
      <c r="AN443" s="3535" t="e">
        <v>#N/A</v>
      </c>
      <c r="AO443" s="3535" t="e">
        <v>#N/A</v>
      </c>
      <c r="AP443" s="3535" t="e">
        <v>#N/A</v>
      </c>
      <c r="AQ443" s="3535" t="e">
        <v>#N/A</v>
      </c>
      <c r="AR443" s="3535" t="e">
        <v>#N/A</v>
      </c>
      <c r="AS443" s="3535" t="e">
        <v>#N/A</v>
      </c>
      <c r="AT443" s="3535" t="e">
        <v>#N/A</v>
      </c>
      <c r="AU443" s="3535" t="e">
        <v>#N/A</v>
      </c>
      <c r="AV443" s="3535" t="e">
        <v>#N/A</v>
      </c>
      <c r="AW443" s="3535" t="e">
        <v>#N/A</v>
      </c>
      <c r="AX443" s="3535" t="e">
        <v>#N/A</v>
      </c>
      <c r="AY443" s="3535" t="e">
        <v>#N/A</v>
      </c>
      <c r="AZ443" s="3535" t="e">
        <v>#N/A</v>
      </c>
      <c r="BA443" s="3535" t="e">
        <v>#N/A</v>
      </c>
      <c r="BB443" s="3535" t="e">
        <v>#N/A</v>
      </c>
      <c r="BC443" s="3535" t="e">
        <v>#N/A</v>
      </c>
      <c r="BD443" s="3535" t="e">
        <v>#N/A</v>
      </c>
      <c r="BE443" s="3535" t="e">
        <v>#N/A</v>
      </c>
      <c r="BF443" s="3535" t="e">
        <v>#N/A</v>
      </c>
      <c r="BG443" s="3535" t="e">
        <v>#N/A</v>
      </c>
      <c r="BH443" s="3535" t="e">
        <v>#N/A</v>
      </c>
      <c r="BI443" s="3535" t="e">
        <v>#N/A</v>
      </c>
      <c r="BJ443" s="3535" t="e">
        <v>#N/A</v>
      </c>
      <c r="BK443" s="3535" t="e">
        <v>#N/A</v>
      </c>
      <c r="BL443" s="3535" t="e">
        <v>#N/A</v>
      </c>
      <c r="BM443" s="3535" t="e">
        <v>#N/A</v>
      </c>
      <c r="BN443" s="3535" t="e">
        <v>#N/A</v>
      </c>
      <c r="BO443" s="3535" t="e">
        <v>#N/A</v>
      </c>
      <c r="BP443" s="3535" t="e">
        <v>#N/A</v>
      </c>
      <c r="BQ443" s="3535" t="e">
        <v>#N/A</v>
      </c>
      <c r="BR443" s="3535" t="e">
        <v>#N/A</v>
      </c>
      <c r="BS443" s="3535" t="e">
        <v>#N/A</v>
      </c>
      <c r="BT443" s="3535" t="e">
        <v>#N/A</v>
      </c>
      <c r="BU443" s="3535" t="e">
        <v>#N/A</v>
      </c>
      <c r="BV443" s="3535" t="e">
        <v>#N/A</v>
      </c>
      <c r="BW443" s="3535" t="e">
        <v>#N/A</v>
      </c>
      <c r="BX443" s="3535" t="e">
        <v>#N/A</v>
      </c>
      <c r="BY443" s="3535" t="e">
        <v>#N/A</v>
      </c>
      <c r="BZ443" s="3535" t="e">
        <v>#N/A</v>
      </c>
      <c r="CA443" s="3535" t="e">
        <v>#N/A</v>
      </c>
      <c r="CB443" s="3535" t="e">
        <v>#N/A</v>
      </c>
      <c r="CC443" s="3535" t="e">
        <v>#N/A</v>
      </c>
      <c r="CD443" s="3535" t="e">
        <v>#N/A</v>
      </c>
      <c r="CE443" s="3535" t="e">
        <v>#N/A</v>
      </c>
      <c r="CF443" s="3535" t="e">
        <v>#N/A</v>
      </c>
      <c r="CG443" s="3535" t="e">
        <v>#N/A</v>
      </c>
      <c r="CH443" s="3535" t="e">
        <v>#N/A</v>
      </c>
      <c r="CI443" s="3535" t="e">
        <v>#N/A</v>
      </c>
      <c r="CJ443" s="2978" t="e">
        <v>#N/A</v>
      </c>
    </row>
    <row r="444" spans="1:88">
      <c r="A444" s="53">
        <f t="shared" si="1"/>
        <v>2030.03</v>
      </c>
      <c r="B444" s="615" t="e">
        <v>#N/A</v>
      </c>
      <c r="C444" s="3535" t="e">
        <v>#N/A</v>
      </c>
      <c r="D444" s="358" t="e">
        <v>#N/A</v>
      </c>
      <c r="E444" s="615" t="e">
        <v>#N/A</v>
      </c>
      <c r="F444" s="1215" t="e">
        <v>#N/A</v>
      </c>
      <c r="G444" s="1215" t="e">
        <v>#N/A</v>
      </c>
      <c r="H444" s="1215" t="e">
        <v>#N/A</v>
      </c>
      <c r="I444" s="1215" t="e">
        <v>#N/A</v>
      </c>
      <c r="J444" s="1215" t="e">
        <v>#N/A</v>
      </c>
      <c r="K444" s="1215" t="e">
        <v>#N/A</v>
      </c>
      <c r="L444" s="1215" t="e">
        <v>#N/A</v>
      </c>
      <c r="M444" s="1215" t="e">
        <v>#N/A</v>
      </c>
      <c r="N444" s="1215" t="e">
        <v>#N/A</v>
      </c>
      <c r="O444" s="1215" t="e">
        <v>#N/A</v>
      </c>
      <c r="P444" s="1215" t="e">
        <v>#N/A</v>
      </c>
      <c r="Q444" s="1215" t="e">
        <v>#N/A</v>
      </c>
      <c r="R444" s="2661" t="e">
        <v>#N/A</v>
      </c>
      <c r="S444" s="3535" t="e">
        <v>#N/A</v>
      </c>
      <c r="T444" s="3535" t="e">
        <v>#N/A</v>
      </c>
      <c r="U444" s="3535" t="e">
        <v>#N/A</v>
      </c>
      <c r="V444" s="3535" t="e">
        <v>#N/A</v>
      </c>
      <c r="W444" s="3535" t="e">
        <v>#N/A</v>
      </c>
      <c r="X444" s="3535" t="e">
        <v>#N/A</v>
      </c>
      <c r="Y444" s="3535" t="e">
        <v>#N/A</v>
      </c>
      <c r="Z444" s="3535" t="e">
        <v>#N/A</v>
      </c>
      <c r="AA444" s="3535" t="e">
        <v>#N/A</v>
      </c>
      <c r="AB444" s="3535" t="e">
        <v>#N/A</v>
      </c>
      <c r="AC444" s="3535" t="e">
        <v>#N/A</v>
      </c>
      <c r="AD444" s="3535" t="e">
        <v>#N/A</v>
      </c>
      <c r="AE444" s="3535" t="e">
        <v>#N/A</v>
      </c>
      <c r="AF444" s="3535" t="e">
        <v>#N/A</v>
      </c>
      <c r="AG444" s="3535" t="e">
        <v>#N/A</v>
      </c>
      <c r="AH444" s="3535" t="e">
        <v>#N/A</v>
      </c>
      <c r="AI444" s="3535" t="e">
        <v>#N/A</v>
      </c>
      <c r="AJ444" s="3535" t="e">
        <v>#N/A</v>
      </c>
      <c r="AK444" s="3535" t="e">
        <v>#N/A</v>
      </c>
      <c r="AL444" s="3535" t="e">
        <v>#N/A</v>
      </c>
      <c r="AM444" s="3535" t="e">
        <v>#N/A</v>
      </c>
      <c r="AN444" s="3535" t="e">
        <v>#N/A</v>
      </c>
      <c r="AO444" s="3535" t="e">
        <v>#N/A</v>
      </c>
      <c r="AP444" s="3535" t="e">
        <v>#N/A</v>
      </c>
      <c r="AQ444" s="3535" t="e">
        <v>#N/A</v>
      </c>
      <c r="AR444" s="3535" t="e">
        <v>#N/A</v>
      </c>
      <c r="AS444" s="3535" t="e">
        <v>#N/A</v>
      </c>
      <c r="AT444" s="3535" t="e">
        <v>#N/A</v>
      </c>
      <c r="AU444" s="3535" t="e">
        <v>#N/A</v>
      </c>
      <c r="AV444" s="3535" t="e">
        <v>#N/A</v>
      </c>
      <c r="AW444" s="3535" t="e">
        <v>#N/A</v>
      </c>
      <c r="AX444" s="3535" t="e">
        <v>#N/A</v>
      </c>
      <c r="AY444" s="3535" t="e">
        <v>#N/A</v>
      </c>
      <c r="AZ444" s="3535" t="e">
        <v>#N/A</v>
      </c>
      <c r="BA444" s="3535" t="e">
        <v>#N/A</v>
      </c>
      <c r="BB444" s="3535" t="e">
        <v>#N/A</v>
      </c>
      <c r="BC444" s="3535" t="e">
        <v>#N/A</v>
      </c>
      <c r="BD444" s="3535" t="e">
        <v>#N/A</v>
      </c>
      <c r="BE444" s="3535" t="e">
        <v>#N/A</v>
      </c>
      <c r="BF444" s="3535" t="e">
        <v>#N/A</v>
      </c>
      <c r="BG444" s="3535" t="e">
        <v>#N/A</v>
      </c>
      <c r="BH444" s="3535" t="e">
        <v>#N/A</v>
      </c>
      <c r="BI444" s="3535" t="e">
        <v>#N/A</v>
      </c>
      <c r="BJ444" s="3535" t="e">
        <v>#N/A</v>
      </c>
      <c r="BK444" s="3535" t="e">
        <v>#N/A</v>
      </c>
      <c r="BL444" s="3535" t="e">
        <v>#N/A</v>
      </c>
      <c r="BM444" s="3535" t="e">
        <v>#N/A</v>
      </c>
      <c r="BN444" s="3535" t="e">
        <v>#N/A</v>
      </c>
      <c r="BO444" s="3535" t="e">
        <v>#N/A</v>
      </c>
      <c r="BP444" s="3535" t="e">
        <v>#N/A</v>
      </c>
      <c r="BQ444" s="3535" t="e">
        <v>#N/A</v>
      </c>
      <c r="BR444" s="3535" t="e">
        <v>#N/A</v>
      </c>
      <c r="BS444" s="3535" t="e">
        <v>#N/A</v>
      </c>
      <c r="BT444" s="3535" t="e">
        <v>#N/A</v>
      </c>
      <c r="BU444" s="3535" t="e">
        <v>#N/A</v>
      </c>
      <c r="BV444" s="3535" t="e">
        <v>#N/A</v>
      </c>
      <c r="BW444" s="3535" t="e">
        <v>#N/A</v>
      </c>
      <c r="BX444" s="3535" t="e">
        <v>#N/A</v>
      </c>
      <c r="BY444" s="3535" t="e">
        <v>#N/A</v>
      </c>
      <c r="BZ444" s="3535" t="e">
        <v>#N/A</v>
      </c>
      <c r="CA444" s="3535" t="e">
        <v>#N/A</v>
      </c>
      <c r="CB444" s="3535" t="e">
        <v>#N/A</v>
      </c>
      <c r="CC444" s="3535" t="e">
        <v>#N/A</v>
      </c>
      <c r="CD444" s="3535" t="e">
        <v>#N/A</v>
      </c>
      <c r="CE444" s="3535" t="e">
        <v>#N/A</v>
      </c>
      <c r="CF444" s="3535" t="e">
        <v>#N/A</v>
      </c>
      <c r="CG444" s="3535" t="e">
        <v>#N/A</v>
      </c>
      <c r="CH444" s="3535" t="e">
        <v>#N/A</v>
      </c>
      <c r="CI444" s="3535" t="e">
        <v>#N/A</v>
      </c>
      <c r="CJ444" s="2978" t="e">
        <v>#N/A</v>
      </c>
    </row>
    <row r="445" spans="1:88">
      <c r="A445" s="53">
        <f t="shared" si="1"/>
        <v>2030.04</v>
      </c>
      <c r="B445" s="615" t="e">
        <v>#N/A</v>
      </c>
      <c r="C445" s="3535" t="e">
        <v>#N/A</v>
      </c>
      <c r="D445" s="358" t="e">
        <v>#N/A</v>
      </c>
      <c r="E445" s="615" t="e">
        <v>#N/A</v>
      </c>
      <c r="F445" s="1215" t="e">
        <v>#N/A</v>
      </c>
      <c r="G445" s="1215" t="e">
        <v>#N/A</v>
      </c>
      <c r="H445" s="1215" t="e">
        <v>#N/A</v>
      </c>
      <c r="I445" s="1215" t="e">
        <v>#N/A</v>
      </c>
      <c r="J445" s="1215" t="e">
        <v>#N/A</v>
      </c>
      <c r="K445" s="1215" t="e">
        <v>#N/A</v>
      </c>
      <c r="L445" s="1215" t="e">
        <v>#N/A</v>
      </c>
      <c r="M445" s="1215" t="e">
        <v>#N/A</v>
      </c>
      <c r="N445" s="1215" t="e">
        <v>#N/A</v>
      </c>
      <c r="O445" s="1215" t="e">
        <v>#N/A</v>
      </c>
      <c r="P445" s="1215" t="e">
        <v>#N/A</v>
      </c>
      <c r="Q445" s="1215" t="e">
        <v>#N/A</v>
      </c>
      <c r="R445" s="2661" t="e">
        <v>#N/A</v>
      </c>
      <c r="S445" s="3535" t="e">
        <v>#N/A</v>
      </c>
      <c r="T445" s="3535" t="e">
        <v>#N/A</v>
      </c>
      <c r="U445" s="3535" t="e">
        <v>#N/A</v>
      </c>
      <c r="V445" s="3535" t="e">
        <v>#N/A</v>
      </c>
      <c r="W445" s="3535" t="e">
        <v>#N/A</v>
      </c>
      <c r="X445" s="3535" t="e">
        <v>#N/A</v>
      </c>
      <c r="Y445" s="3535" t="e">
        <v>#N/A</v>
      </c>
      <c r="Z445" s="3535" t="e">
        <v>#N/A</v>
      </c>
      <c r="AA445" s="3535" t="e">
        <v>#N/A</v>
      </c>
      <c r="AB445" s="3535" t="e">
        <v>#N/A</v>
      </c>
      <c r="AC445" s="3535" t="e">
        <v>#N/A</v>
      </c>
      <c r="AD445" s="3535" t="e">
        <v>#N/A</v>
      </c>
      <c r="AE445" s="3535" t="e">
        <v>#N/A</v>
      </c>
      <c r="AF445" s="3535" t="e">
        <v>#N/A</v>
      </c>
      <c r="AG445" s="3535" t="e">
        <v>#N/A</v>
      </c>
      <c r="AH445" s="3535" t="e">
        <v>#N/A</v>
      </c>
      <c r="AI445" s="3535" t="e">
        <v>#N/A</v>
      </c>
      <c r="AJ445" s="3535" t="e">
        <v>#N/A</v>
      </c>
      <c r="AK445" s="3535" t="e">
        <v>#N/A</v>
      </c>
      <c r="AL445" s="3535" t="e">
        <v>#N/A</v>
      </c>
      <c r="AM445" s="3535" t="e">
        <v>#N/A</v>
      </c>
      <c r="AN445" s="3535" t="e">
        <v>#N/A</v>
      </c>
      <c r="AO445" s="3535" t="e">
        <v>#N/A</v>
      </c>
      <c r="AP445" s="3535" t="e">
        <v>#N/A</v>
      </c>
      <c r="AQ445" s="3535" t="e">
        <v>#N/A</v>
      </c>
      <c r="AR445" s="3535" t="e">
        <v>#N/A</v>
      </c>
      <c r="AS445" s="3535" t="e">
        <v>#N/A</v>
      </c>
      <c r="AT445" s="3535" t="e">
        <v>#N/A</v>
      </c>
      <c r="AU445" s="3535" t="e">
        <v>#N/A</v>
      </c>
      <c r="AV445" s="3535" t="e">
        <v>#N/A</v>
      </c>
      <c r="AW445" s="3535" t="e">
        <v>#N/A</v>
      </c>
      <c r="AX445" s="3535" t="e">
        <v>#N/A</v>
      </c>
      <c r="AY445" s="3535" t="e">
        <v>#N/A</v>
      </c>
      <c r="AZ445" s="3535" t="e">
        <v>#N/A</v>
      </c>
      <c r="BA445" s="3535" t="e">
        <v>#N/A</v>
      </c>
      <c r="BB445" s="3535" t="e">
        <v>#N/A</v>
      </c>
      <c r="BC445" s="3535" t="e">
        <v>#N/A</v>
      </c>
      <c r="BD445" s="3535" t="e">
        <v>#N/A</v>
      </c>
      <c r="BE445" s="3535" t="e">
        <v>#N/A</v>
      </c>
      <c r="BF445" s="3535" t="e">
        <v>#N/A</v>
      </c>
      <c r="BG445" s="3535" t="e">
        <v>#N/A</v>
      </c>
      <c r="BH445" s="3535" t="e">
        <v>#N/A</v>
      </c>
      <c r="BI445" s="3535" t="e">
        <v>#N/A</v>
      </c>
      <c r="BJ445" s="3535" t="e">
        <v>#N/A</v>
      </c>
      <c r="BK445" s="3535" t="e">
        <v>#N/A</v>
      </c>
      <c r="BL445" s="3535" t="e">
        <v>#N/A</v>
      </c>
      <c r="BM445" s="3535" t="e">
        <v>#N/A</v>
      </c>
      <c r="BN445" s="3535" t="e">
        <v>#N/A</v>
      </c>
      <c r="BO445" s="3535" t="e">
        <v>#N/A</v>
      </c>
      <c r="BP445" s="3535" t="e">
        <v>#N/A</v>
      </c>
      <c r="BQ445" s="3535" t="e">
        <v>#N/A</v>
      </c>
      <c r="BR445" s="3535" t="e">
        <v>#N/A</v>
      </c>
      <c r="BS445" s="3535" t="e">
        <v>#N/A</v>
      </c>
      <c r="BT445" s="3535" t="e">
        <v>#N/A</v>
      </c>
      <c r="BU445" s="3535" t="e">
        <v>#N/A</v>
      </c>
      <c r="BV445" s="3535" t="e">
        <v>#N/A</v>
      </c>
      <c r="BW445" s="3535" t="e">
        <v>#N/A</v>
      </c>
      <c r="BX445" s="3535" t="e">
        <v>#N/A</v>
      </c>
      <c r="BY445" s="3535" t="e">
        <v>#N/A</v>
      </c>
      <c r="BZ445" s="3535" t="e">
        <v>#N/A</v>
      </c>
      <c r="CA445" s="3535" t="e">
        <v>#N/A</v>
      </c>
      <c r="CB445" s="3535" t="e">
        <v>#N/A</v>
      </c>
      <c r="CC445" s="3535" t="e">
        <v>#N/A</v>
      </c>
      <c r="CD445" s="3535" t="e">
        <v>#N/A</v>
      </c>
      <c r="CE445" s="3535" t="e">
        <v>#N/A</v>
      </c>
      <c r="CF445" s="3535" t="e">
        <v>#N/A</v>
      </c>
      <c r="CG445" s="3535" t="e">
        <v>#N/A</v>
      </c>
      <c r="CH445" s="3535" t="e">
        <v>#N/A</v>
      </c>
      <c r="CI445" s="3535" t="e">
        <v>#N/A</v>
      </c>
      <c r="CJ445" s="2978" t="e">
        <v>#N/A</v>
      </c>
    </row>
    <row r="446" spans="1:88">
      <c r="A446" s="53">
        <f t="shared" si="1"/>
        <v>2030.05</v>
      </c>
      <c r="B446" s="615" t="e">
        <v>#N/A</v>
      </c>
      <c r="C446" s="3535" t="e">
        <v>#N/A</v>
      </c>
      <c r="D446" s="358" t="e">
        <v>#N/A</v>
      </c>
      <c r="E446" s="615" t="e">
        <v>#N/A</v>
      </c>
      <c r="F446" s="1215" t="e">
        <v>#N/A</v>
      </c>
      <c r="G446" s="1215" t="e">
        <v>#N/A</v>
      </c>
      <c r="H446" s="1215" t="e">
        <v>#N/A</v>
      </c>
      <c r="I446" s="1215" t="e">
        <v>#N/A</v>
      </c>
      <c r="J446" s="1215" t="e">
        <v>#N/A</v>
      </c>
      <c r="K446" s="1215" t="e">
        <v>#N/A</v>
      </c>
      <c r="L446" s="1215" t="e">
        <v>#N/A</v>
      </c>
      <c r="M446" s="1215" t="e">
        <v>#N/A</v>
      </c>
      <c r="N446" s="1215" t="e">
        <v>#N/A</v>
      </c>
      <c r="O446" s="1215" t="e">
        <v>#N/A</v>
      </c>
      <c r="P446" s="1215" t="e">
        <v>#N/A</v>
      </c>
      <c r="Q446" s="1215" t="e">
        <v>#N/A</v>
      </c>
      <c r="R446" s="2661" t="e">
        <v>#N/A</v>
      </c>
      <c r="S446" s="3535" t="e">
        <v>#N/A</v>
      </c>
      <c r="T446" s="3535" t="e">
        <v>#N/A</v>
      </c>
      <c r="U446" s="3535" t="e">
        <v>#N/A</v>
      </c>
      <c r="V446" s="3535" t="e">
        <v>#N/A</v>
      </c>
      <c r="W446" s="3535" t="e">
        <v>#N/A</v>
      </c>
      <c r="X446" s="3535" t="e">
        <v>#N/A</v>
      </c>
      <c r="Y446" s="3535" t="e">
        <v>#N/A</v>
      </c>
      <c r="Z446" s="3535" t="e">
        <v>#N/A</v>
      </c>
      <c r="AA446" s="3535" t="e">
        <v>#N/A</v>
      </c>
      <c r="AB446" s="3535" t="e">
        <v>#N/A</v>
      </c>
      <c r="AC446" s="3535" t="e">
        <v>#N/A</v>
      </c>
      <c r="AD446" s="3535" t="e">
        <v>#N/A</v>
      </c>
      <c r="AE446" s="3535" t="e">
        <v>#N/A</v>
      </c>
      <c r="AF446" s="3535" t="e">
        <v>#N/A</v>
      </c>
      <c r="AG446" s="3535" t="e">
        <v>#N/A</v>
      </c>
      <c r="AH446" s="3535" t="e">
        <v>#N/A</v>
      </c>
      <c r="AI446" s="3535" t="e">
        <v>#N/A</v>
      </c>
      <c r="AJ446" s="3535" t="e">
        <v>#N/A</v>
      </c>
      <c r="AK446" s="3535" t="e">
        <v>#N/A</v>
      </c>
      <c r="AL446" s="3535" t="e">
        <v>#N/A</v>
      </c>
      <c r="AM446" s="3535" t="e">
        <v>#N/A</v>
      </c>
      <c r="AN446" s="3535" t="e">
        <v>#N/A</v>
      </c>
      <c r="AO446" s="3535" t="e">
        <v>#N/A</v>
      </c>
      <c r="AP446" s="3535" t="e">
        <v>#N/A</v>
      </c>
      <c r="AQ446" s="3535" t="e">
        <v>#N/A</v>
      </c>
      <c r="AR446" s="3535" t="e">
        <v>#N/A</v>
      </c>
      <c r="AS446" s="3535" t="e">
        <v>#N/A</v>
      </c>
      <c r="AT446" s="3535" t="e">
        <v>#N/A</v>
      </c>
      <c r="AU446" s="3535" t="e">
        <v>#N/A</v>
      </c>
      <c r="AV446" s="3535" t="e">
        <v>#N/A</v>
      </c>
      <c r="AW446" s="3535" t="e">
        <v>#N/A</v>
      </c>
      <c r="AX446" s="3535" t="e">
        <v>#N/A</v>
      </c>
      <c r="AY446" s="3535" t="e">
        <v>#N/A</v>
      </c>
      <c r="AZ446" s="3535" t="e">
        <v>#N/A</v>
      </c>
      <c r="BA446" s="3535" t="e">
        <v>#N/A</v>
      </c>
      <c r="BB446" s="3535" t="e">
        <v>#N/A</v>
      </c>
      <c r="BC446" s="3535" t="e">
        <v>#N/A</v>
      </c>
      <c r="BD446" s="3535" t="e">
        <v>#N/A</v>
      </c>
      <c r="BE446" s="3535" t="e">
        <v>#N/A</v>
      </c>
      <c r="BF446" s="3535" t="e">
        <v>#N/A</v>
      </c>
      <c r="BG446" s="3535" t="e">
        <v>#N/A</v>
      </c>
      <c r="BH446" s="3535" t="e">
        <v>#N/A</v>
      </c>
      <c r="BI446" s="3535" t="e">
        <v>#N/A</v>
      </c>
      <c r="BJ446" s="3535" t="e">
        <v>#N/A</v>
      </c>
      <c r="BK446" s="3535" t="e">
        <v>#N/A</v>
      </c>
      <c r="BL446" s="3535" t="e">
        <v>#N/A</v>
      </c>
      <c r="BM446" s="3535" t="e">
        <v>#N/A</v>
      </c>
      <c r="BN446" s="3535" t="e">
        <v>#N/A</v>
      </c>
      <c r="BO446" s="3535" t="e">
        <v>#N/A</v>
      </c>
      <c r="BP446" s="3535" t="e">
        <v>#N/A</v>
      </c>
      <c r="BQ446" s="3535" t="e">
        <v>#N/A</v>
      </c>
      <c r="BR446" s="3535" t="e">
        <v>#N/A</v>
      </c>
      <c r="BS446" s="3535" t="e">
        <v>#N/A</v>
      </c>
      <c r="BT446" s="3535" t="e">
        <v>#N/A</v>
      </c>
      <c r="BU446" s="3535" t="e">
        <v>#N/A</v>
      </c>
      <c r="BV446" s="3535" t="e">
        <v>#N/A</v>
      </c>
      <c r="BW446" s="3535" t="e">
        <v>#N/A</v>
      </c>
      <c r="BX446" s="3535" t="e">
        <v>#N/A</v>
      </c>
      <c r="BY446" s="3535" t="e">
        <v>#N/A</v>
      </c>
      <c r="BZ446" s="3535" t="e">
        <v>#N/A</v>
      </c>
      <c r="CA446" s="3535" t="e">
        <v>#N/A</v>
      </c>
      <c r="CB446" s="3535" t="e">
        <v>#N/A</v>
      </c>
      <c r="CC446" s="3535" t="e">
        <v>#N/A</v>
      </c>
      <c r="CD446" s="3535" t="e">
        <v>#N/A</v>
      </c>
      <c r="CE446" s="3535" t="e">
        <v>#N/A</v>
      </c>
      <c r="CF446" s="3535" t="e">
        <v>#N/A</v>
      </c>
      <c r="CG446" s="3535" t="e">
        <v>#N/A</v>
      </c>
      <c r="CH446" s="3535" t="e">
        <v>#N/A</v>
      </c>
      <c r="CI446" s="3535" t="e">
        <v>#N/A</v>
      </c>
      <c r="CJ446" s="2978" t="e">
        <v>#N/A</v>
      </c>
    </row>
    <row r="447" spans="1:88">
      <c r="A447" s="53">
        <f t="shared" si="1"/>
        <v>2030.06</v>
      </c>
      <c r="B447" s="615" t="e">
        <v>#N/A</v>
      </c>
      <c r="C447" s="3535" t="e">
        <v>#N/A</v>
      </c>
      <c r="D447" s="358" t="e">
        <v>#N/A</v>
      </c>
      <c r="E447" s="615" t="e">
        <v>#N/A</v>
      </c>
      <c r="F447" s="1215" t="e">
        <v>#N/A</v>
      </c>
      <c r="G447" s="1215" t="e">
        <v>#N/A</v>
      </c>
      <c r="H447" s="1215" t="e">
        <v>#N/A</v>
      </c>
      <c r="I447" s="1215" t="e">
        <v>#N/A</v>
      </c>
      <c r="J447" s="1215" t="e">
        <v>#N/A</v>
      </c>
      <c r="K447" s="1215" t="e">
        <v>#N/A</v>
      </c>
      <c r="L447" s="1215" t="e">
        <v>#N/A</v>
      </c>
      <c r="M447" s="1215" t="e">
        <v>#N/A</v>
      </c>
      <c r="N447" s="1215" t="e">
        <v>#N/A</v>
      </c>
      <c r="O447" s="1215" t="e">
        <v>#N/A</v>
      </c>
      <c r="P447" s="1215" t="e">
        <v>#N/A</v>
      </c>
      <c r="Q447" s="1215" t="e">
        <v>#N/A</v>
      </c>
      <c r="R447" s="2661" t="e">
        <v>#N/A</v>
      </c>
      <c r="S447" s="3535" t="e">
        <v>#N/A</v>
      </c>
      <c r="T447" s="3535" t="e">
        <v>#N/A</v>
      </c>
      <c r="U447" s="3535" t="e">
        <v>#N/A</v>
      </c>
      <c r="V447" s="3535" t="e">
        <v>#N/A</v>
      </c>
      <c r="W447" s="3535" t="e">
        <v>#N/A</v>
      </c>
      <c r="X447" s="3535" t="e">
        <v>#N/A</v>
      </c>
      <c r="Y447" s="3535" t="e">
        <v>#N/A</v>
      </c>
      <c r="Z447" s="3535" t="e">
        <v>#N/A</v>
      </c>
      <c r="AA447" s="3535" t="e">
        <v>#N/A</v>
      </c>
      <c r="AB447" s="3535" t="e">
        <v>#N/A</v>
      </c>
      <c r="AC447" s="3535" t="e">
        <v>#N/A</v>
      </c>
      <c r="AD447" s="3535" t="e">
        <v>#N/A</v>
      </c>
      <c r="AE447" s="3535" t="e">
        <v>#N/A</v>
      </c>
      <c r="AF447" s="3535" t="e">
        <v>#N/A</v>
      </c>
      <c r="AG447" s="3535" t="e">
        <v>#N/A</v>
      </c>
      <c r="AH447" s="3535" t="e">
        <v>#N/A</v>
      </c>
      <c r="AI447" s="3535" t="e">
        <v>#N/A</v>
      </c>
      <c r="AJ447" s="3535" t="e">
        <v>#N/A</v>
      </c>
      <c r="AK447" s="3535" t="e">
        <v>#N/A</v>
      </c>
      <c r="AL447" s="3535" t="e">
        <v>#N/A</v>
      </c>
      <c r="AM447" s="3535" t="e">
        <v>#N/A</v>
      </c>
      <c r="AN447" s="3535" t="e">
        <v>#N/A</v>
      </c>
      <c r="AO447" s="3535" t="e">
        <v>#N/A</v>
      </c>
      <c r="AP447" s="3535" t="e">
        <v>#N/A</v>
      </c>
      <c r="AQ447" s="3535" t="e">
        <v>#N/A</v>
      </c>
      <c r="AR447" s="3535" t="e">
        <v>#N/A</v>
      </c>
      <c r="AS447" s="3535" t="e">
        <v>#N/A</v>
      </c>
      <c r="AT447" s="3535" t="e">
        <v>#N/A</v>
      </c>
      <c r="AU447" s="3535" t="e">
        <v>#N/A</v>
      </c>
      <c r="AV447" s="3535" t="e">
        <v>#N/A</v>
      </c>
      <c r="AW447" s="3535" t="e">
        <v>#N/A</v>
      </c>
      <c r="AX447" s="3535" t="e">
        <v>#N/A</v>
      </c>
      <c r="AY447" s="3535" t="e">
        <v>#N/A</v>
      </c>
      <c r="AZ447" s="3535" t="e">
        <v>#N/A</v>
      </c>
      <c r="BA447" s="3535" t="e">
        <v>#N/A</v>
      </c>
      <c r="BB447" s="3535" t="e">
        <v>#N/A</v>
      </c>
      <c r="BC447" s="3535" t="e">
        <v>#N/A</v>
      </c>
      <c r="BD447" s="3535" t="e">
        <v>#N/A</v>
      </c>
      <c r="BE447" s="3535" t="e">
        <v>#N/A</v>
      </c>
      <c r="BF447" s="3535" t="e">
        <v>#N/A</v>
      </c>
      <c r="BG447" s="3535" t="e">
        <v>#N/A</v>
      </c>
      <c r="BH447" s="3535" t="e">
        <v>#N/A</v>
      </c>
      <c r="BI447" s="3535" t="e">
        <v>#N/A</v>
      </c>
      <c r="BJ447" s="3535" t="e">
        <v>#N/A</v>
      </c>
      <c r="BK447" s="3535" t="e">
        <v>#N/A</v>
      </c>
      <c r="BL447" s="3535" t="e">
        <v>#N/A</v>
      </c>
      <c r="BM447" s="3535" t="e">
        <v>#N/A</v>
      </c>
      <c r="BN447" s="3535" t="e">
        <v>#N/A</v>
      </c>
      <c r="BO447" s="3535" t="e">
        <v>#N/A</v>
      </c>
      <c r="BP447" s="3535" t="e">
        <v>#N/A</v>
      </c>
      <c r="BQ447" s="3535" t="e">
        <v>#N/A</v>
      </c>
      <c r="BR447" s="3535" t="e">
        <v>#N/A</v>
      </c>
      <c r="BS447" s="3535" t="e">
        <v>#N/A</v>
      </c>
      <c r="BT447" s="3535" t="e">
        <v>#N/A</v>
      </c>
      <c r="BU447" s="3535" t="e">
        <v>#N/A</v>
      </c>
      <c r="BV447" s="3535" t="e">
        <v>#N/A</v>
      </c>
      <c r="BW447" s="3535" t="e">
        <v>#N/A</v>
      </c>
      <c r="BX447" s="3535" t="e">
        <v>#N/A</v>
      </c>
      <c r="BY447" s="3535" t="e">
        <v>#N/A</v>
      </c>
      <c r="BZ447" s="3535" t="e">
        <v>#N/A</v>
      </c>
      <c r="CA447" s="3535" t="e">
        <v>#N/A</v>
      </c>
      <c r="CB447" s="3535" t="e">
        <v>#N/A</v>
      </c>
      <c r="CC447" s="3535" t="e">
        <v>#N/A</v>
      </c>
      <c r="CD447" s="3535" t="e">
        <v>#N/A</v>
      </c>
      <c r="CE447" s="3535" t="e">
        <v>#N/A</v>
      </c>
      <c r="CF447" s="3535" t="e">
        <v>#N/A</v>
      </c>
      <c r="CG447" s="3535" t="e">
        <v>#N/A</v>
      </c>
      <c r="CH447" s="3535" t="e">
        <v>#N/A</v>
      </c>
      <c r="CI447" s="3535" t="e">
        <v>#N/A</v>
      </c>
      <c r="CJ447" s="2978" t="e">
        <v>#N/A</v>
      </c>
    </row>
    <row r="448" spans="1:88">
      <c r="A448" s="53">
        <f t="shared" si="1"/>
        <v>2030.07</v>
      </c>
      <c r="B448" s="615" t="e">
        <v>#N/A</v>
      </c>
      <c r="C448" s="3535" t="e">
        <v>#N/A</v>
      </c>
      <c r="D448" s="358" t="e">
        <v>#N/A</v>
      </c>
      <c r="E448" s="615" t="e">
        <v>#N/A</v>
      </c>
      <c r="F448" s="1215" t="e">
        <v>#N/A</v>
      </c>
      <c r="G448" s="1215" t="e">
        <v>#N/A</v>
      </c>
      <c r="H448" s="1215" t="e">
        <v>#N/A</v>
      </c>
      <c r="I448" s="1215" t="e">
        <v>#N/A</v>
      </c>
      <c r="J448" s="1215" t="e">
        <v>#N/A</v>
      </c>
      <c r="K448" s="1215" t="e">
        <v>#N/A</v>
      </c>
      <c r="L448" s="1215" t="e">
        <v>#N/A</v>
      </c>
      <c r="M448" s="1215" t="e">
        <v>#N/A</v>
      </c>
      <c r="N448" s="1215" t="e">
        <v>#N/A</v>
      </c>
      <c r="O448" s="1215" t="e">
        <v>#N/A</v>
      </c>
      <c r="P448" s="1215" t="e">
        <v>#N/A</v>
      </c>
      <c r="Q448" s="1215" t="e">
        <v>#N/A</v>
      </c>
      <c r="R448" s="2661" t="e">
        <v>#N/A</v>
      </c>
      <c r="S448" s="3535" t="e">
        <v>#N/A</v>
      </c>
      <c r="T448" s="3535" t="e">
        <v>#N/A</v>
      </c>
      <c r="U448" s="3535" t="e">
        <v>#N/A</v>
      </c>
      <c r="V448" s="3535" t="e">
        <v>#N/A</v>
      </c>
      <c r="W448" s="3535" t="e">
        <v>#N/A</v>
      </c>
      <c r="X448" s="3535" t="e">
        <v>#N/A</v>
      </c>
      <c r="Y448" s="3535" t="e">
        <v>#N/A</v>
      </c>
      <c r="Z448" s="3535" t="e">
        <v>#N/A</v>
      </c>
      <c r="AA448" s="3535" t="e">
        <v>#N/A</v>
      </c>
      <c r="AB448" s="3535" t="e">
        <v>#N/A</v>
      </c>
      <c r="AC448" s="3535" t="e">
        <v>#N/A</v>
      </c>
      <c r="AD448" s="3535" t="e">
        <v>#N/A</v>
      </c>
      <c r="AE448" s="3535" t="e">
        <v>#N/A</v>
      </c>
      <c r="AF448" s="3535" t="e">
        <v>#N/A</v>
      </c>
      <c r="AG448" s="3535" t="e">
        <v>#N/A</v>
      </c>
      <c r="AH448" s="3535" t="e">
        <v>#N/A</v>
      </c>
      <c r="AI448" s="3535" t="e">
        <v>#N/A</v>
      </c>
      <c r="AJ448" s="3535" t="e">
        <v>#N/A</v>
      </c>
      <c r="AK448" s="3535" t="e">
        <v>#N/A</v>
      </c>
      <c r="AL448" s="3535" t="e">
        <v>#N/A</v>
      </c>
      <c r="AM448" s="3535" t="e">
        <v>#N/A</v>
      </c>
      <c r="AN448" s="3535" t="e">
        <v>#N/A</v>
      </c>
      <c r="AO448" s="3535" t="e">
        <v>#N/A</v>
      </c>
      <c r="AP448" s="3535" t="e">
        <v>#N/A</v>
      </c>
      <c r="AQ448" s="3535" t="e">
        <v>#N/A</v>
      </c>
      <c r="AR448" s="3535" t="e">
        <v>#N/A</v>
      </c>
      <c r="AS448" s="3535" t="e">
        <v>#N/A</v>
      </c>
      <c r="AT448" s="3535" t="e">
        <v>#N/A</v>
      </c>
      <c r="AU448" s="3535" t="e">
        <v>#N/A</v>
      </c>
      <c r="AV448" s="3535" t="e">
        <v>#N/A</v>
      </c>
      <c r="AW448" s="3535" t="e">
        <v>#N/A</v>
      </c>
      <c r="AX448" s="3535" t="e">
        <v>#N/A</v>
      </c>
      <c r="AY448" s="3535" t="e">
        <v>#N/A</v>
      </c>
      <c r="AZ448" s="3535" t="e">
        <v>#N/A</v>
      </c>
      <c r="BA448" s="3535" t="e">
        <v>#N/A</v>
      </c>
      <c r="BB448" s="3535" t="e">
        <v>#N/A</v>
      </c>
      <c r="BC448" s="3535" t="e">
        <v>#N/A</v>
      </c>
      <c r="BD448" s="3535" t="e">
        <v>#N/A</v>
      </c>
      <c r="BE448" s="3535" t="e">
        <v>#N/A</v>
      </c>
      <c r="BF448" s="3535" t="e">
        <v>#N/A</v>
      </c>
      <c r="BG448" s="3535" t="e">
        <v>#N/A</v>
      </c>
      <c r="BH448" s="3535" t="e">
        <v>#N/A</v>
      </c>
      <c r="BI448" s="3535" t="e">
        <v>#N/A</v>
      </c>
      <c r="BJ448" s="3535" t="e">
        <v>#N/A</v>
      </c>
      <c r="BK448" s="3535" t="e">
        <v>#N/A</v>
      </c>
      <c r="BL448" s="3535" t="e">
        <v>#N/A</v>
      </c>
      <c r="BM448" s="3535" t="e">
        <v>#N/A</v>
      </c>
      <c r="BN448" s="3535" t="e">
        <v>#N/A</v>
      </c>
      <c r="BO448" s="3535" t="e">
        <v>#N/A</v>
      </c>
      <c r="BP448" s="3535" t="e">
        <v>#N/A</v>
      </c>
      <c r="BQ448" s="3535" t="e">
        <v>#N/A</v>
      </c>
      <c r="BR448" s="3535" t="e">
        <v>#N/A</v>
      </c>
      <c r="BS448" s="3535" t="e">
        <v>#N/A</v>
      </c>
      <c r="BT448" s="3535" t="e">
        <v>#N/A</v>
      </c>
      <c r="BU448" s="3535" t="e">
        <v>#N/A</v>
      </c>
      <c r="BV448" s="3535" t="e">
        <v>#N/A</v>
      </c>
      <c r="BW448" s="3535" t="e">
        <v>#N/A</v>
      </c>
      <c r="BX448" s="3535" t="e">
        <v>#N/A</v>
      </c>
      <c r="BY448" s="3535" t="e">
        <v>#N/A</v>
      </c>
      <c r="BZ448" s="3535" t="e">
        <v>#N/A</v>
      </c>
      <c r="CA448" s="3535" t="e">
        <v>#N/A</v>
      </c>
      <c r="CB448" s="3535" t="e">
        <v>#N/A</v>
      </c>
      <c r="CC448" s="3535" t="e">
        <v>#N/A</v>
      </c>
      <c r="CD448" s="3535" t="e">
        <v>#N/A</v>
      </c>
      <c r="CE448" s="3535" t="e">
        <v>#N/A</v>
      </c>
      <c r="CF448" s="3535" t="e">
        <v>#N/A</v>
      </c>
      <c r="CG448" s="3535" t="e">
        <v>#N/A</v>
      </c>
      <c r="CH448" s="3535" t="e">
        <v>#N/A</v>
      </c>
      <c r="CI448" s="3535" t="e">
        <v>#N/A</v>
      </c>
      <c r="CJ448" s="2978" t="e">
        <v>#N/A</v>
      </c>
    </row>
    <row r="449" spans="1:88">
      <c r="A449" s="53">
        <f t="shared" si="1"/>
        <v>2030.08</v>
      </c>
      <c r="B449" s="615" t="e">
        <v>#N/A</v>
      </c>
      <c r="C449" s="3535" t="e">
        <v>#N/A</v>
      </c>
      <c r="D449" s="358" t="e">
        <v>#N/A</v>
      </c>
      <c r="E449" s="615" t="e">
        <v>#N/A</v>
      </c>
      <c r="F449" s="1215" t="e">
        <v>#N/A</v>
      </c>
      <c r="G449" s="1215" t="e">
        <v>#N/A</v>
      </c>
      <c r="H449" s="1215" t="e">
        <v>#N/A</v>
      </c>
      <c r="I449" s="1215" t="e">
        <v>#N/A</v>
      </c>
      <c r="J449" s="1215" t="e">
        <v>#N/A</v>
      </c>
      <c r="K449" s="1215" t="e">
        <v>#N/A</v>
      </c>
      <c r="L449" s="1215" t="e">
        <v>#N/A</v>
      </c>
      <c r="M449" s="1215" t="e">
        <v>#N/A</v>
      </c>
      <c r="N449" s="1215" t="e">
        <v>#N/A</v>
      </c>
      <c r="O449" s="1215" t="e">
        <v>#N/A</v>
      </c>
      <c r="P449" s="1215" t="e">
        <v>#N/A</v>
      </c>
      <c r="Q449" s="1215" t="e">
        <v>#N/A</v>
      </c>
      <c r="R449" s="2661" t="e">
        <v>#N/A</v>
      </c>
      <c r="S449" s="3535" t="e">
        <v>#N/A</v>
      </c>
      <c r="T449" s="3535" t="e">
        <v>#N/A</v>
      </c>
      <c r="U449" s="3535" t="e">
        <v>#N/A</v>
      </c>
      <c r="V449" s="3535" t="e">
        <v>#N/A</v>
      </c>
      <c r="W449" s="3535" t="e">
        <v>#N/A</v>
      </c>
      <c r="X449" s="3535" t="e">
        <v>#N/A</v>
      </c>
      <c r="Y449" s="3535" t="e">
        <v>#N/A</v>
      </c>
      <c r="Z449" s="3535" t="e">
        <v>#N/A</v>
      </c>
      <c r="AA449" s="3535" t="e">
        <v>#N/A</v>
      </c>
      <c r="AB449" s="3535" t="e">
        <v>#N/A</v>
      </c>
      <c r="AC449" s="3535" t="e">
        <v>#N/A</v>
      </c>
      <c r="AD449" s="3535" t="e">
        <v>#N/A</v>
      </c>
      <c r="AE449" s="3535" t="e">
        <v>#N/A</v>
      </c>
      <c r="AF449" s="3535" t="e">
        <v>#N/A</v>
      </c>
      <c r="AG449" s="3535" t="e">
        <v>#N/A</v>
      </c>
      <c r="AH449" s="3535" t="e">
        <v>#N/A</v>
      </c>
      <c r="AI449" s="3535" t="e">
        <v>#N/A</v>
      </c>
      <c r="AJ449" s="3535" t="e">
        <v>#N/A</v>
      </c>
      <c r="AK449" s="3535" t="e">
        <v>#N/A</v>
      </c>
      <c r="AL449" s="3535" t="e">
        <v>#N/A</v>
      </c>
      <c r="AM449" s="3535" t="e">
        <v>#N/A</v>
      </c>
      <c r="AN449" s="3535" t="e">
        <v>#N/A</v>
      </c>
      <c r="AO449" s="3535" t="e">
        <v>#N/A</v>
      </c>
      <c r="AP449" s="3535" t="e">
        <v>#N/A</v>
      </c>
      <c r="AQ449" s="3535" t="e">
        <v>#N/A</v>
      </c>
      <c r="AR449" s="3535" t="e">
        <v>#N/A</v>
      </c>
      <c r="AS449" s="3535" t="e">
        <v>#N/A</v>
      </c>
      <c r="AT449" s="3535" t="e">
        <v>#N/A</v>
      </c>
      <c r="AU449" s="3535" t="e">
        <v>#N/A</v>
      </c>
      <c r="AV449" s="3535" t="e">
        <v>#N/A</v>
      </c>
      <c r="AW449" s="3535" t="e">
        <v>#N/A</v>
      </c>
      <c r="AX449" s="3535" t="e">
        <v>#N/A</v>
      </c>
      <c r="AY449" s="3535" t="e">
        <v>#N/A</v>
      </c>
      <c r="AZ449" s="3535" t="e">
        <v>#N/A</v>
      </c>
      <c r="BA449" s="3535" t="e">
        <v>#N/A</v>
      </c>
      <c r="BB449" s="3535" t="e">
        <v>#N/A</v>
      </c>
      <c r="BC449" s="3535" t="e">
        <v>#N/A</v>
      </c>
      <c r="BD449" s="3535" t="e">
        <v>#N/A</v>
      </c>
      <c r="BE449" s="3535" t="e">
        <v>#N/A</v>
      </c>
      <c r="BF449" s="3535" t="e">
        <v>#N/A</v>
      </c>
      <c r="BG449" s="3535" t="e">
        <v>#N/A</v>
      </c>
      <c r="BH449" s="3535" t="e">
        <v>#N/A</v>
      </c>
      <c r="BI449" s="3535" t="e">
        <v>#N/A</v>
      </c>
      <c r="BJ449" s="3535" t="e">
        <v>#N/A</v>
      </c>
      <c r="BK449" s="3535" t="e">
        <v>#N/A</v>
      </c>
      <c r="BL449" s="3535" t="e">
        <v>#N/A</v>
      </c>
      <c r="BM449" s="3535" t="e">
        <v>#N/A</v>
      </c>
      <c r="BN449" s="3535" t="e">
        <v>#N/A</v>
      </c>
      <c r="BO449" s="3535" t="e">
        <v>#N/A</v>
      </c>
      <c r="BP449" s="3535" t="e">
        <v>#N/A</v>
      </c>
      <c r="BQ449" s="3535" t="e">
        <v>#N/A</v>
      </c>
      <c r="BR449" s="3535" t="e">
        <v>#N/A</v>
      </c>
      <c r="BS449" s="3535" t="e">
        <v>#N/A</v>
      </c>
      <c r="BT449" s="3535" t="e">
        <v>#N/A</v>
      </c>
      <c r="BU449" s="3535" t="e">
        <v>#N/A</v>
      </c>
      <c r="BV449" s="3535" t="e">
        <v>#N/A</v>
      </c>
      <c r="BW449" s="3535" t="e">
        <v>#N/A</v>
      </c>
      <c r="BX449" s="3535" t="e">
        <v>#N/A</v>
      </c>
      <c r="BY449" s="3535" t="e">
        <v>#N/A</v>
      </c>
      <c r="BZ449" s="3535" t="e">
        <v>#N/A</v>
      </c>
      <c r="CA449" s="3535" t="e">
        <v>#N/A</v>
      </c>
      <c r="CB449" s="3535" t="e">
        <v>#N/A</v>
      </c>
      <c r="CC449" s="3535" t="e">
        <v>#N/A</v>
      </c>
      <c r="CD449" s="3535" t="e">
        <v>#N/A</v>
      </c>
      <c r="CE449" s="3535" t="e">
        <v>#N/A</v>
      </c>
      <c r="CF449" s="3535" t="e">
        <v>#N/A</v>
      </c>
      <c r="CG449" s="3535" t="e">
        <v>#N/A</v>
      </c>
      <c r="CH449" s="3535" t="e">
        <v>#N/A</v>
      </c>
      <c r="CI449" s="3535" t="e">
        <v>#N/A</v>
      </c>
      <c r="CJ449" s="2978" t="e">
        <v>#N/A</v>
      </c>
    </row>
    <row r="450" spans="1:88">
      <c r="A450" s="53">
        <f t="shared" si="1"/>
        <v>2030.09</v>
      </c>
      <c r="B450" s="615" t="e">
        <v>#N/A</v>
      </c>
      <c r="C450" s="3535" t="e">
        <v>#N/A</v>
      </c>
      <c r="D450" s="358" t="e">
        <v>#N/A</v>
      </c>
      <c r="E450" s="615" t="e">
        <v>#N/A</v>
      </c>
      <c r="F450" s="1215" t="e">
        <v>#N/A</v>
      </c>
      <c r="G450" s="1215" t="e">
        <v>#N/A</v>
      </c>
      <c r="H450" s="1215" t="e">
        <v>#N/A</v>
      </c>
      <c r="I450" s="1215" t="e">
        <v>#N/A</v>
      </c>
      <c r="J450" s="1215" t="e">
        <v>#N/A</v>
      </c>
      <c r="K450" s="1215" t="e">
        <v>#N/A</v>
      </c>
      <c r="L450" s="1215" t="e">
        <v>#N/A</v>
      </c>
      <c r="M450" s="1215" t="e">
        <v>#N/A</v>
      </c>
      <c r="N450" s="1215" t="e">
        <v>#N/A</v>
      </c>
      <c r="O450" s="1215" t="e">
        <v>#N/A</v>
      </c>
      <c r="P450" s="1215" t="e">
        <v>#N/A</v>
      </c>
      <c r="Q450" s="1215" t="e">
        <v>#N/A</v>
      </c>
      <c r="R450" s="2661" t="e">
        <v>#N/A</v>
      </c>
      <c r="S450" s="3535" t="e">
        <v>#N/A</v>
      </c>
      <c r="T450" s="3535" t="e">
        <v>#N/A</v>
      </c>
      <c r="U450" s="3535" t="e">
        <v>#N/A</v>
      </c>
      <c r="V450" s="3535" t="e">
        <v>#N/A</v>
      </c>
      <c r="W450" s="3535" t="e">
        <v>#N/A</v>
      </c>
      <c r="X450" s="3535" t="e">
        <v>#N/A</v>
      </c>
      <c r="Y450" s="3535" t="e">
        <v>#N/A</v>
      </c>
      <c r="Z450" s="3535" t="e">
        <v>#N/A</v>
      </c>
      <c r="AA450" s="3535" t="e">
        <v>#N/A</v>
      </c>
      <c r="AB450" s="3535" t="e">
        <v>#N/A</v>
      </c>
      <c r="AC450" s="3535" t="e">
        <v>#N/A</v>
      </c>
      <c r="AD450" s="3535" t="e">
        <v>#N/A</v>
      </c>
      <c r="AE450" s="3535" t="e">
        <v>#N/A</v>
      </c>
      <c r="AF450" s="3535" t="e">
        <v>#N/A</v>
      </c>
      <c r="AG450" s="3535" t="e">
        <v>#N/A</v>
      </c>
      <c r="AH450" s="3535" t="e">
        <v>#N/A</v>
      </c>
      <c r="AI450" s="3535" t="e">
        <v>#N/A</v>
      </c>
      <c r="AJ450" s="3535" t="e">
        <v>#N/A</v>
      </c>
      <c r="AK450" s="3535" t="e">
        <v>#N/A</v>
      </c>
      <c r="AL450" s="3535" t="e">
        <v>#N/A</v>
      </c>
      <c r="AM450" s="3535" t="e">
        <v>#N/A</v>
      </c>
      <c r="AN450" s="3535" t="e">
        <v>#N/A</v>
      </c>
      <c r="AO450" s="3535" t="e">
        <v>#N/A</v>
      </c>
      <c r="AP450" s="3535" t="e">
        <v>#N/A</v>
      </c>
      <c r="AQ450" s="3535" t="e">
        <v>#N/A</v>
      </c>
      <c r="AR450" s="3535" t="e">
        <v>#N/A</v>
      </c>
      <c r="AS450" s="3535" t="e">
        <v>#N/A</v>
      </c>
      <c r="AT450" s="3535" t="e">
        <v>#N/A</v>
      </c>
      <c r="AU450" s="3535" t="e">
        <v>#N/A</v>
      </c>
      <c r="AV450" s="3535" t="e">
        <v>#N/A</v>
      </c>
      <c r="AW450" s="3535" t="e">
        <v>#N/A</v>
      </c>
      <c r="AX450" s="3535" t="e">
        <v>#N/A</v>
      </c>
      <c r="AY450" s="3535" t="e">
        <v>#N/A</v>
      </c>
      <c r="AZ450" s="3535" t="e">
        <v>#N/A</v>
      </c>
      <c r="BA450" s="3535" t="e">
        <v>#N/A</v>
      </c>
      <c r="BB450" s="3535" t="e">
        <v>#N/A</v>
      </c>
      <c r="BC450" s="3535" t="e">
        <v>#N/A</v>
      </c>
      <c r="BD450" s="3535" t="e">
        <v>#N/A</v>
      </c>
      <c r="BE450" s="3535" t="e">
        <v>#N/A</v>
      </c>
      <c r="BF450" s="3535" t="e">
        <v>#N/A</v>
      </c>
      <c r="BG450" s="3535" t="e">
        <v>#N/A</v>
      </c>
      <c r="BH450" s="3535" t="e">
        <v>#N/A</v>
      </c>
      <c r="BI450" s="3535" t="e">
        <v>#N/A</v>
      </c>
      <c r="BJ450" s="3535" t="e">
        <v>#N/A</v>
      </c>
      <c r="BK450" s="3535" t="e">
        <v>#N/A</v>
      </c>
      <c r="BL450" s="3535" t="e">
        <v>#N/A</v>
      </c>
      <c r="BM450" s="3535" t="e">
        <v>#N/A</v>
      </c>
      <c r="BN450" s="3535" t="e">
        <v>#N/A</v>
      </c>
      <c r="BO450" s="3535" t="e">
        <v>#N/A</v>
      </c>
      <c r="BP450" s="3535" t="e">
        <v>#N/A</v>
      </c>
      <c r="BQ450" s="3535" t="e">
        <v>#N/A</v>
      </c>
      <c r="BR450" s="3535" t="e">
        <v>#N/A</v>
      </c>
      <c r="BS450" s="3535" t="e">
        <v>#N/A</v>
      </c>
      <c r="BT450" s="3535" t="e">
        <v>#N/A</v>
      </c>
      <c r="BU450" s="3535" t="e">
        <v>#N/A</v>
      </c>
      <c r="BV450" s="3535" t="e">
        <v>#N/A</v>
      </c>
      <c r="BW450" s="3535" t="e">
        <v>#N/A</v>
      </c>
      <c r="BX450" s="3535" t="e">
        <v>#N/A</v>
      </c>
      <c r="BY450" s="3535" t="e">
        <v>#N/A</v>
      </c>
      <c r="BZ450" s="3535" t="e">
        <v>#N/A</v>
      </c>
      <c r="CA450" s="3535" t="e">
        <v>#N/A</v>
      </c>
      <c r="CB450" s="3535" t="e">
        <v>#N/A</v>
      </c>
      <c r="CC450" s="3535" t="e">
        <v>#N/A</v>
      </c>
      <c r="CD450" s="3535" t="e">
        <v>#N/A</v>
      </c>
      <c r="CE450" s="3535" t="e">
        <v>#N/A</v>
      </c>
      <c r="CF450" s="3535" t="e">
        <v>#N/A</v>
      </c>
      <c r="CG450" s="3535" t="e">
        <v>#N/A</v>
      </c>
      <c r="CH450" s="3535" t="e">
        <v>#N/A</v>
      </c>
      <c r="CI450" s="3535" t="e">
        <v>#N/A</v>
      </c>
      <c r="CJ450" s="2978" t="e">
        <v>#N/A</v>
      </c>
    </row>
    <row r="451" spans="1:88">
      <c r="A451" s="53">
        <f t="shared" si="1"/>
        <v>2030.1</v>
      </c>
      <c r="B451" s="615" t="e">
        <v>#N/A</v>
      </c>
      <c r="C451" s="3535" t="e">
        <v>#N/A</v>
      </c>
      <c r="D451" s="358" t="e">
        <v>#N/A</v>
      </c>
      <c r="E451" s="615" t="e">
        <v>#N/A</v>
      </c>
      <c r="F451" s="1215" t="e">
        <v>#N/A</v>
      </c>
      <c r="G451" s="1215" t="e">
        <v>#N/A</v>
      </c>
      <c r="H451" s="1215" t="e">
        <v>#N/A</v>
      </c>
      <c r="I451" s="1215" t="e">
        <v>#N/A</v>
      </c>
      <c r="J451" s="1215" t="e">
        <v>#N/A</v>
      </c>
      <c r="K451" s="1215" t="e">
        <v>#N/A</v>
      </c>
      <c r="L451" s="1215" t="e">
        <v>#N/A</v>
      </c>
      <c r="M451" s="1215" t="e">
        <v>#N/A</v>
      </c>
      <c r="N451" s="1215" t="e">
        <v>#N/A</v>
      </c>
      <c r="O451" s="1215" t="e">
        <v>#N/A</v>
      </c>
      <c r="P451" s="1215" t="e">
        <v>#N/A</v>
      </c>
      <c r="Q451" s="1215" t="e">
        <v>#N/A</v>
      </c>
      <c r="R451" s="2661" t="e">
        <v>#N/A</v>
      </c>
      <c r="S451" s="3535" t="e">
        <v>#N/A</v>
      </c>
      <c r="T451" s="3535" t="e">
        <v>#N/A</v>
      </c>
      <c r="U451" s="3535" t="e">
        <v>#N/A</v>
      </c>
      <c r="V451" s="3535" t="e">
        <v>#N/A</v>
      </c>
      <c r="W451" s="3535" t="e">
        <v>#N/A</v>
      </c>
      <c r="X451" s="3535" t="e">
        <v>#N/A</v>
      </c>
      <c r="Y451" s="3535" t="e">
        <v>#N/A</v>
      </c>
      <c r="Z451" s="3535" t="e">
        <v>#N/A</v>
      </c>
      <c r="AA451" s="3535" t="e">
        <v>#N/A</v>
      </c>
      <c r="AB451" s="3535" t="e">
        <v>#N/A</v>
      </c>
      <c r="AC451" s="3535" t="e">
        <v>#N/A</v>
      </c>
      <c r="AD451" s="3535" t="e">
        <v>#N/A</v>
      </c>
      <c r="AE451" s="3535" t="e">
        <v>#N/A</v>
      </c>
      <c r="AF451" s="3535" t="e">
        <v>#N/A</v>
      </c>
      <c r="AG451" s="3535" t="e">
        <v>#N/A</v>
      </c>
      <c r="AH451" s="3535" t="e">
        <v>#N/A</v>
      </c>
      <c r="AI451" s="3535" t="e">
        <v>#N/A</v>
      </c>
      <c r="AJ451" s="3535" t="e">
        <v>#N/A</v>
      </c>
      <c r="AK451" s="3535" t="e">
        <v>#N/A</v>
      </c>
      <c r="AL451" s="3535" t="e">
        <v>#N/A</v>
      </c>
      <c r="AM451" s="3535" t="e">
        <v>#N/A</v>
      </c>
      <c r="AN451" s="3535" t="e">
        <v>#N/A</v>
      </c>
      <c r="AO451" s="3535" t="e">
        <v>#N/A</v>
      </c>
      <c r="AP451" s="3535" t="e">
        <v>#N/A</v>
      </c>
      <c r="AQ451" s="3535" t="e">
        <v>#N/A</v>
      </c>
      <c r="AR451" s="3535" t="e">
        <v>#N/A</v>
      </c>
      <c r="AS451" s="3535" t="e">
        <v>#N/A</v>
      </c>
      <c r="AT451" s="3535" t="e">
        <v>#N/A</v>
      </c>
      <c r="AU451" s="3535" t="e">
        <v>#N/A</v>
      </c>
      <c r="AV451" s="3535" t="e">
        <v>#N/A</v>
      </c>
      <c r="AW451" s="3535" t="e">
        <v>#N/A</v>
      </c>
      <c r="AX451" s="3535" t="e">
        <v>#N/A</v>
      </c>
      <c r="AY451" s="3535" t="e">
        <v>#N/A</v>
      </c>
      <c r="AZ451" s="3535" t="e">
        <v>#N/A</v>
      </c>
      <c r="BA451" s="3535" t="e">
        <v>#N/A</v>
      </c>
      <c r="BB451" s="3535" t="e">
        <v>#N/A</v>
      </c>
      <c r="BC451" s="3535" t="e">
        <v>#N/A</v>
      </c>
      <c r="BD451" s="3535" t="e">
        <v>#N/A</v>
      </c>
      <c r="BE451" s="3535" t="e">
        <v>#N/A</v>
      </c>
      <c r="BF451" s="3535" t="e">
        <v>#N/A</v>
      </c>
      <c r="BG451" s="3535" t="e">
        <v>#N/A</v>
      </c>
      <c r="BH451" s="3535" t="e">
        <v>#N/A</v>
      </c>
      <c r="BI451" s="3535" t="e">
        <v>#N/A</v>
      </c>
      <c r="BJ451" s="3535" t="e">
        <v>#N/A</v>
      </c>
      <c r="BK451" s="3535" t="e">
        <v>#N/A</v>
      </c>
      <c r="BL451" s="3535" t="e">
        <v>#N/A</v>
      </c>
      <c r="BM451" s="3535" t="e">
        <v>#N/A</v>
      </c>
      <c r="BN451" s="3535" t="e">
        <v>#N/A</v>
      </c>
      <c r="BO451" s="3535" t="e">
        <v>#N/A</v>
      </c>
      <c r="BP451" s="3535" t="e">
        <v>#N/A</v>
      </c>
      <c r="BQ451" s="3535" t="e">
        <v>#N/A</v>
      </c>
      <c r="BR451" s="3535" t="e">
        <v>#N/A</v>
      </c>
      <c r="BS451" s="3535" t="e">
        <v>#N/A</v>
      </c>
      <c r="BT451" s="3535" t="e">
        <v>#N/A</v>
      </c>
      <c r="BU451" s="3535" t="e">
        <v>#N/A</v>
      </c>
      <c r="BV451" s="3535" t="e">
        <v>#N/A</v>
      </c>
      <c r="BW451" s="3535" t="e">
        <v>#N/A</v>
      </c>
      <c r="BX451" s="3535" t="e">
        <v>#N/A</v>
      </c>
      <c r="BY451" s="3535" t="e">
        <v>#N/A</v>
      </c>
      <c r="BZ451" s="3535" t="e">
        <v>#N/A</v>
      </c>
      <c r="CA451" s="3535" t="e">
        <v>#N/A</v>
      </c>
      <c r="CB451" s="3535" t="e">
        <v>#N/A</v>
      </c>
      <c r="CC451" s="3535" t="e">
        <v>#N/A</v>
      </c>
      <c r="CD451" s="3535" t="e">
        <v>#N/A</v>
      </c>
      <c r="CE451" s="3535" t="e">
        <v>#N/A</v>
      </c>
      <c r="CF451" s="3535" t="e">
        <v>#N/A</v>
      </c>
      <c r="CG451" s="3535" t="e">
        <v>#N/A</v>
      </c>
      <c r="CH451" s="3535" t="e">
        <v>#N/A</v>
      </c>
      <c r="CI451" s="3535" t="e">
        <v>#N/A</v>
      </c>
      <c r="CJ451" s="2978" t="e">
        <v>#N/A</v>
      </c>
    </row>
    <row r="452" spans="1:88">
      <c r="A452" s="53">
        <f t="shared" si="1"/>
        <v>2030.11</v>
      </c>
      <c r="B452" s="615" t="e">
        <v>#N/A</v>
      </c>
      <c r="C452" s="3535" t="e">
        <v>#N/A</v>
      </c>
      <c r="D452" s="358" t="e">
        <v>#N/A</v>
      </c>
      <c r="E452" s="615" t="e">
        <v>#N/A</v>
      </c>
      <c r="F452" s="1215" t="e">
        <v>#N/A</v>
      </c>
      <c r="G452" s="1215" t="e">
        <v>#N/A</v>
      </c>
      <c r="H452" s="1215" t="e">
        <v>#N/A</v>
      </c>
      <c r="I452" s="1215" t="e">
        <v>#N/A</v>
      </c>
      <c r="J452" s="1215" t="e">
        <v>#N/A</v>
      </c>
      <c r="K452" s="1215" t="e">
        <v>#N/A</v>
      </c>
      <c r="L452" s="1215" t="e">
        <v>#N/A</v>
      </c>
      <c r="M452" s="1215" t="e">
        <v>#N/A</v>
      </c>
      <c r="N452" s="1215" t="e">
        <v>#N/A</v>
      </c>
      <c r="O452" s="1215" t="e">
        <v>#N/A</v>
      </c>
      <c r="P452" s="1215" t="e">
        <v>#N/A</v>
      </c>
      <c r="Q452" s="1215" t="e">
        <v>#N/A</v>
      </c>
      <c r="R452" s="2661" t="e">
        <v>#N/A</v>
      </c>
      <c r="S452" s="3535" t="e">
        <v>#N/A</v>
      </c>
      <c r="T452" s="3535" t="e">
        <v>#N/A</v>
      </c>
      <c r="U452" s="3535" t="e">
        <v>#N/A</v>
      </c>
      <c r="V452" s="3535" t="e">
        <v>#N/A</v>
      </c>
      <c r="W452" s="3535" t="e">
        <v>#N/A</v>
      </c>
      <c r="X452" s="3535" t="e">
        <v>#N/A</v>
      </c>
      <c r="Y452" s="3535" t="e">
        <v>#N/A</v>
      </c>
      <c r="Z452" s="3535" t="e">
        <v>#N/A</v>
      </c>
      <c r="AA452" s="3535" t="e">
        <v>#N/A</v>
      </c>
      <c r="AB452" s="3535" t="e">
        <v>#N/A</v>
      </c>
      <c r="AC452" s="3535" t="e">
        <v>#N/A</v>
      </c>
      <c r="AD452" s="3535" t="e">
        <v>#N/A</v>
      </c>
      <c r="AE452" s="3535" t="e">
        <v>#N/A</v>
      </c>
      <c r="AF452" s="3535" t="e">
        <v>#N/A</v>
      </c>
      <c r="AG452" s="3535" t="e">
        <v>#N/A</v>
      </c>
      <c r="AH452" s="3535" t="e">
        <v>#N/A</v>
      </c>
      <c r="AI452" s="3535" t="e">
        <v>#N/A</v>
      </c>
      <c r="AJ452" s="3535" t="e">
        <v>#N/A</v>
      </c>
      <c r="AK452" s="3535" t="e">
        <v>#N/A</v>
      </c>
      <c r="AL452" s="3535" t="e">
        <v>#N/A</v>
      </c>
      <c r="AM452" s="3535" t="e">
        <v>#N/A</v>
      </c>
      <c r="AN452" s="3535" t="e">
        <v>#N/A</v>
      </c>
      <c r="AO452" s="3535" t="e">
        <v>#N/A</v>
      </c>
      <c r="AP452" s="3535" t="e">
        <v>#N/A</v>
      </c>
      <c r="AQ452" s="3535" t="e">
        <v>#N/A</v>
      </c>
      <c r="AR452" s="3535" t="e">
        <v>#N/A</v>
      </c>
      <c r="AS452" s="3535" t="e">
        <v>#N/A</v>
      </c>
      <c r="AT452" s="3535" t="e">
        <v>#N/A</v>
      </c>
      <c r="AU452" s="3535" t="e">
        <v>#N/A</v>
      </c>
      <c r="AV452" s="3535" t="e">
        <v>#N/A</v>
      </c>
      <c r="AW452" s="3535" t="e">
        <v>#N/A</v>
      </c>
      <c r="AX452" s="3535" t="e">
        <v>#N/A</v>
      </c>
      <c r="AY452" s="3535" t="e">
        <v>#N/A</v>
      </c>
      <c r="AZ452" s="3535" t="e">
        <v>#N/A</v>
      </c>
      <c r="BA452" s="3535" t="e">
        <v>#N/A</v>
      </c>
      <c r="BB452" s="3535" t="e">
        <v>#N/A</v>
      </c>
      <c r="BC452" s="3535" t="e">
        <v>#N/A</v>
      </c>
      <c r="BD452" s="3535" t="e">
        <v>#N/A</v>
      </c>
      <c r="BE452" s="3535" t="e">
        <v>#N/A</v>
      </c>
      <c r="BF452" s="3535" t="e">
        <v>#N/A</v>
      </c>
      <c r="BG452" s="3535" t="e">
        <v>#N/A</v>
      </c>
      <c r="BH452" s="3535" t="e">
        <v>#N/A</v>
      </c>
      <c r="BI452" s="3535" t="e">
        <v>#N/A</v>
      </c>
      <c r="BJ452" s="3535" t="e">
        <v>#N/A</v>
      </c>
      <c r="BK452" s="3535" t="e">
        <v>#N/A</v>
      </c>
      <c r="BL452" s="3535" t="e">
        <v>#N/A</v>
      </c>
      <c r="BM452" s="3535" t="e">
        <v>#N/A</v>
      </c>
      <c r="BN452" s="3535" t="e">
        <v>#N/A</v>
      </c>
      <c r="BO452" s="3535" t="e">
        <v>#N/A</v>
      </c>
      <c r="BP452" s="3535" t="e">
        <v>#N/A</v>
      </c>
      <c r="BQ452" s="3535" t="e">
        <v>#N/A</v>
      </c>
      <c r="BR452" s="3535" t="e">
        <v>#N/A</v>
      </c>
      <c r="BS452" s="3535" t="e">
        <v>#N/A</v>
      </c>
      <c r="BT452" s="3535" t="e">
        <v>#N/A</v>
      </c>
      <c r="BU452" s="3535" t="e">
        <v>#N/A</v>
      </c>
      <c r="BV452" s="3535" t="e">
        <v>#N/A</v>
      </c>
      <c r="BW452" s="3535" t="e">
        <v>#N/A</v>
      </c>
      <c r="BX452" s="3535" t="e">
        <v>#N/A</v>
      </c>
      <c r="BY452" s="3535" t="e">
        <v>#N/A</v>
      </c>
      <c r="BZ452" s="3535" t="e">
        <v>#N/A</v>
      </c>
      <c r="CA452" s="3535" t="e">
        <v>#N/A</v>
      </c>
      <c r="CB452" s="3535" t="e">
        <v>#N/A</v>
      </c>
      <c r="CC452" s="3535" t="e">
        <v>#N/A</v>
      </c>
      <c r="CD452" s="3535" t="e">
        <v>#N/A</v>
      </c>
      <c r="CE452" s="3535" t="e">
        <v>#N/A</v>
      </c>
      <c r="CF452" s="3535" t="e">
        <v>#N/A</v>
      </c>
      <c r="CG452" s="3535" t="e">
        <v>#N/A</v>
      </c>
      <c r="CH452" s="3535" t="e">
        <v>#N/A</v>
      </c>
      <c r="CI452" s="3535" t="e">
        <v>#N/A</v>
      </c>
      <c r="CJ452" s="2978" t="e">
        <v>#N/A</v>
      </c>
    </row>
    <row r="453" spans="1:88">
      <c r="A453" s="53">
        <f t="shared" si="1"/>
        <v>2030.12</v>
      </c>
      <c r="B453" s="615" t="e">
        <v>#N/A</v>
      </c>
      <c r="C453" s="3535" t="e">
        <v>#N/A</v>
      </c>
      <c r="D453" s="358" t="e">
        <v>#N/A</v>
      </c>
      <c r="E453" s="615" t="e">
        <v>#N/A</v>
      </c>
      <c r="F453" s="1215" t="e">
        <v>#N/A</v>
      </c>
      <c r="G453" s="1215" t="e">
        <v>#N/A</v>
      </c>
      <c r="H453" s="1215" t="e">
        <v>#N/A</v>
      </c>
      <c r="I453" s="1215" t="e">
        <v>#N/A</v>
      </c>
      <c r="J453" s="1215" t="e">
        <v>#N/A</v>
      </c>
      <c r="K453" s="1215" t="e">
        <v>#N/A</v>
      </c>
      <c r="L453" s="1215" t="e">
        <v>#N/A</v>
      </c>
      <c r="M453" s="1215" t="e">
        <v>#N/A</v>
      </c>
      <c r="N453" s="1215" t="e">
        <v>#N/A</v>
      </c>
      <c r="O453" s="1215" t="e">
        <v>#N/A</v>
      </c>
      <c r="P453" s="1215" t="e">
        <v>#N/A</v>
      </c>
      <c r="Q453" s="1215" t="e">
        <v>#N/A</v>
      </c>
      <c r="R453" s="2661" t="e">
        <v>#N/A</v>
      </c>
      <c r="S453" s="3535" t="e">
        <v>#N/A</v>
      </c>
      <c r="T453" s="3535" t="e">
        <v>#N/A</v>
      </c>
      <c r="U453" s="3535" t="e">
        <v>#N/A</v>
      </c>
      <c r="V453" s="3535" t="e">
        <v>#N/A</v>
      </c>
      <c r="W453" s="3535" t="e">
        <v>#N/A</v>
      </c>
      <c r="X453" s="3535" t="e">
        <v>#N/A</v>
      </c>
      <c r="Y453" s="3535" t="e">
        <v>#N/A</v>
      </c>
      <c r="Z453" s="3535" t="e">
        <v>#N/A</v>
      </c>
      <c r="AA453" s="3535" t="e">
        <v>#N/A</v>
      </c>
      <c r="AB453" s="3535" t="e">
        <v>#N/A</v>
      </c>
      <c r="AC453" s="3535" t="e">
        <v>#N/A</v>
      </c>
      <c r="AD453" s="3535" t="e">
        <v>#N/A</v>
      </c>
      <c r="AE453" s="3535" t="e">
        <v>#N/A</v>
      </c>
      <c r="AF453" s="3535" t="e">
        <v>#N/A</v>
      </c>
      <c r="AG453" s="3535" t="e">
        <v>#N/A</v>
      </c>
      <c r="AH453" s="3535" t="e">
        <v>#N/A</v>
      </c>
      <c r="AI453" s="3535" t="e">
        <v>#N/A</v>
      </c>
      <c r="AJ453" s="3535" t="e">
        <v>#N/A</v>
      </c>
      <c r="AK453" s="3535" t="e">
        <v>#N/A</v>
      </c>
      <c r="AL453" s="3535" t="e">
        <v>#N/A</v>
      </c>
      <c r="AM453" s="3535" t="e">
        <v>#N/A</v>
      </c>
      <c r="AN453" s="3535" t="e">
        <v>#N/A</v>
      </c>
      <c r="AO453" s="3535" t="e">
        <v>#N/A</v>
      </c>
      <c r="AP453" s="3535" t="e">
        <v>#N/A</v>
      </c>
      <c r="AQ453" s="3535" t="e">
        <v>#N/A</v>
      </c>
      <c r="AR453" s="3535" t="e">
        <v>#N/A</v>
      </c>
      <c r="AS453" s="3535" t="e">
        <v>#N/A</v>
      </c>
      <c r="AT453" s="3535" t="e">
        <v>#N/A</v>
      </c>
      <c r="AU453" s="3535" t="e">
        <v>#N/A</v>
      </c>
      <c r="AV453" s="3535" t="e">
        <v>#N/A</v>
      </c>
      <c r="AW453" s="3535" t="e">
        <v>#N/A</v>
      </c>
      <c r="AX453" s="3535" t="e">
        <v>#N/A</v>
      </c>
      <c r="AY453" s="3535" t="e">
        <v>#N/A</v>
      </c>
      <c r="AZ453" s="3535" t="e">
        <v>#N/A</v>
      </c>
      <c r="BA453" s="3535" t="e">
        <v>#N/A</v>
      </c>
      <c r="BB453" s="3535" t="e">
        <v>#N/A</v>
      </c>
      <c r="BC453" s="3535" t="e">
        <v>#N/A</v>
      </c>
      <c r="BD453" s="3535" t="e">
        <v>#N/A</v>
      </c>
      <c r="BE453" s="3535" t="e">
        <v>#N/A</v>
      </c>
      <c r="BF453" s="3535" t="e">
        <v>#N/A</v>
      </c>
      <c r="BG453" s="3535" t="e">
        <v>#N/A</v>
      </c>
      <c r="BH453" s="3535" t="e">
        <v>#N/A</v>
      </c>
      <c r="BI453" s="3535" t="e">
        <v>#N/A</v>
      </c>
      <c r="BJ453" s="3535" t="e">
        <v>#N/A</v>
      </c>
      <c r="BK453" s="3535" t="e">
        <v>#N/A</v>
      </c>
      <c r="BL453" s="3535" t="e">
        <v>#N/A</v>
      </c>
      <c r="BM453" s="3535" t="e">
        <v>#N/A</v>
      </c>
      <c r="BN453" s="3535" t="e">
        <v>#N/A</v>
      </c>
      <c r="BO453" s="3535" t="e">
        <v>#N/A</v>
      </c>
      <c r="BP453" s="3535" t="e">
        <v>#N/A</v>
      </c>
      <c r="BQ453" s="3535" t="e">
        <v>#N/A</v>
      </c>
      <c r="BR453" s="3535" t="e">
        <v>#N/A</v>
      </c>
      <c r="BS453" s="3535" t="e">
        <v>#N/A</v>
      </c>
      <c r="BT453" s="3535" t="e">
        <v>#N/A</v>
      </c>
      <c r="BU453" s="3535" t="e">
        <v>#N/A</v>
      </c>
      <c r="BV453" s="3535" t="e">
        <v>#N/A</v>
      </c>
      <c r="BW453" s="3535" t="e">
        <v>#N/A</v>
      </c>
      <c r="BX453" s="3535" t="e">
        <v>#N/A</v>
      </c>
      <c r="BY453" s="3535" t="e">
        <v>#N/A</v>
      </c>
      <c r="BZ453" s="3535" t="e">
        <v>#N/A</v>
      </c>
      <c r="CA453" s="3535" t="e">
        <v>#N/A</v>
      </c>
      <c r="CB453" s="3535" t="e">
        <v>#N/A</v>
      </c>
      <c r="CC453" s="3535" t="e">
        <v>#N/A</v>
      </c>
      <c r="CD453" s="3535" t="e">
        <v>#N/A</v>
      </c>
      <c r="CE453" s="3535" t="e">
        <v>#N/A</v>
      </c>
      <c r="CF453" s="3535" t="e">
        <v>#N/A</v>
      </c>
      <c r="CG453" s="3535" t="e">
        <v>#N/A</v>
      </c>
      <c r="CH453" s="3535" t="e">
        <v>#N/A</v>
      </c>
      <c r="CI453" s="3535" t="e">
        <v>#N/A</v>
      </c>
      <c r="CJ453" s="2978" t="e">
        <v>#N/A</v>
      </c>
    </row>
  </sheetData>
  <hyperlinks>
    <hyperlink ref="A4" location="INDICE!A13" display="VOLVER AL INDICE" xr:uid="{00000000-0004-0000-1E00-000000000000}"/>
  </hyperlinks>
  <printOptions gridLines="1"/>
  <pageMargins left="0.39370078740157483" right="0.39370078740157483" top="0.59055118110236227" bottom="0.59055118110236227" header="0" footer="0"/>
  <pageSetup paperSize="9" scale="50" orientation="portrait" horizontalDpi="300" verticalDpi="300" r:id="rId1"/>
  <headerFooter alignWithMargins="0"/>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59"/>
  <dimension ref="A1:F453"/>
  <sheetViews>
    <sheetView workbookViewId="0">
      <pane xSplit="1" ySplit="9" topLeftCell="B383" activePane="bottomRight" state="frozen"/>
      <selection pane="topRight" activeCell="B1" sqref="B1"/>
      <selection pane="bottomLeft" activeCell="A10" sqref="A10"/>
      <selection pane="bottomRight" activeCell="A5" sqref="A5"/>
    </sheetView>
  </sheetViews>
  <sheetFormatPr baseColWidth="10" defaultColWidth="11.42578125" defaultRowHeight="11.25"/>
  <cols>
    <col min="1" max="1" width="12.42578125" style="381" customWidth="1"/>
    <col min="2" max="2" width="19.42578125" style="378" customWidth="1"/>
    <col min="3" max="3" width="17" style="378" bestFit="1" customWidth="1"/>
    <col min="4" max="16384" width="11.42578125" style="378"/>
  </cols>
  <sheetData>
    <row r="1" spans="1:6" ht="4.5" customHeight="1">
      <c r="A1" s="2761"/>
      <c r="C1" s="379"/>
    </row>
    <row r="2" spans="1:6" ht="45">
      <c r="A2" s="2762" t="s">
        <v>99</v>
      </c>
      <c r="B2" s="2979" t="s">
        <v>1334</v>
      </c>
      <c r="C2" s="2980" t="s">
        <v>101</v>
      </c>
    </row>
    <row r="3" spans="1:6" s="380" customFormat="1" ht="37.5" customHeight="1">
      <c r="A3" s="2762" t="s">
        <v>193</v>
      </c>
      <c r="B3" s="2979" t="s">
        <v>1335</v>
      </c>
      <c r="C3" s="2980" t="s">
        <v>119</v>
      </c>
    </row>
    <row r="4" spans="1:6" ht="0.75" hidden="1" customHeight="1">
      <c r="A4" s="2762"/>
      <c r="B4" s="622"/>
      <c r="C4" s="379"/>
    </row>
    <row r="5" spans="1:6" s="382" customFormat="1" ht="33.75">
      <c r="A5" s="2867" t="s">
        <v>140</v>
      </c>
      <c r="B5" s="2981" t="s">
        <v>1209</v>
      </c>
      <c r="C5" s="923" t="s">
        <v>1336</v>
      </c>
      <c r="F5" s="382" t="s">
        <v>5</v>
      </c>
    </row>
    <row r="6" spans="1:6" ht="2.25" hidden="1" customHeight="1">
      <c r="A6" s="2762"/>
      <c r="B6" s="622"/>
      <c r="C6" s="379"/>
    </row>
    <row r="7" spans="1:6" s="382" customFormat="1" ht="22.5">
      <c r="A7" s="2762" t="s">
        <v>125</v>
      </c>
      <c r="B7" s="2981" t="s">
        <v>130</v>
      </c>
      <c r="C7" s="623" t="s">
        <v>133</v>
      </c>
    </row>
    <row r="8" spans="1:6" ht="13.35" customHeight="1">
      <c r="A8" s="2751" t="s">
        <v>144</v>
      </c>
      <c r="B8" s="2982" t="s">
        <v>1337</v>
      </c>
      <c r="C8" s="2242" t="s">
        <v>1338</v>
      </c>
    </row>
    <row r="9" spans="1:6" s="380" customFormat="1" ht="13.35" customHeight="1" thickBot="1">
      <c r="A9" s="2140"/>
      <c r="B9" s="2243"/>
      <c r="C9" s="2244"/>
    </row>
    <row r="10" spans="1:6" s="380" customFormat="1">
      <c r="A10" s="2470">
        <v>1994.01</v>
      </c>
      <c r="B10" s="2471"/>
      <c r="C10" s="2983">
        <v>96.785060401699425</v>
      </c>
    </row>
    <row r="11" spans="1:6" s="380" customFormat="1">
      <c r="A11" s="2470">
        <v>1994.02</v>
      </c>
      <c r="B11" s="2471"/>
      <c r="C11" s="2978">
        <v>96.882011924764043</v>
      </c>
    </row>
    <row r="12" spans="1:6" s="380" customFormat="1">
      <c r="A12" s="2470">
        <v>1994.03</v>
      </c>
      <c r="B12" s="2471"/>
      <c r="C12" s="2978">
        <v>97.119002506089913</v>
      </c>
    </row>
    <row r="13" spans="1:6" s="380" customFormat="1">
      <c r="A13" s="2470">
        <v>1994.04</v>
      </c>
      <c r="B13" s="2471"/>
      <c r="C13" s="2978">
        <v>97.86610962413927</v>
      </c>
    </row>
    <row r="14" spans="1:6" s="380" customFormat="1">
      <c r="A14" s="2470">
        <v>1994.05</v>
      </c>
      <c r="B14" s="2471"/>
      <c r="C14" s="2978">
        <v>99.123201961144261</v>
      </c>
    </row>
    <row r="15" spans="1:6" s="380" customFormat="1">
      <c r="A15" s="2470">
        <v>1994.06</v>
      </c>
      <c r="B15" s="2471"/>
      <c r="C15" s="2978">
        <v>100.25813346887227</v>
      </c>
    </row>
    <row r="16" spans="1:6" s="380" customFormat="1">
      <c r="A16" s="2470">
        <v>1994.07</v>
      </c>
      <c r="B16" s="2471"/>
      <c r="C16" s="2978">
        <v>100.51728883671514</v>
      </c>
    </row>
    <row r="17" spans="1:3" s="380" customFormat="1">
      <c r="A17" s="2470">
        <v>1994.08</v>
      </c>
      <c r="B17" s="2471"/>
      <c r="C17" s="2978">
        <v>100.43988983731678</v>
      </c>
    </row>
    <row r="18" spans="1:3" s="380" customFormat="1">
      <c r="A18" s="2470">
        <v>1994.09</v>
      </c>
      <c r="B18" s="2471"/>
      <c r="C18" s="2978">
        <v>100.81504532980512</v>
      </c>
    </row>
    <row r="19" spans="1:3" s="380" customFormat="1">
      <c r="A19" s="2470">
        <v>1994.1</v>
      </c>
      <c r="B19" s="2471"/>
      <c r="C19" s="2978">
        <v>101.94043915664466</v>
      </c>
    </row>
    <row r="20" spans="1:3" s="380" customFormat="1">
      <c r="A20" s="2470">
        <v>1994.11</v>
      </c>
      <c r="B20" s="2471"/>
      <c r="C20" s="2978">
        <v>103.50005444823088</v>
      </c>
    </row>
    <row r="21" spans="1:3" s="380" customFormat="1">
      <c r="A21" s="2470">
        <v>1994.12</v>
      </c>
      <c r="B21" s="2471"/>
      <c r="C21" s="2978">
        <v>104.75376250457818</v>
      </c>
    </row>
    <row r="22" spans="1:3" s="380" customFormat="1">
      <c r="A22" s="2470">
        <v>1995.01</v>
      </c>
      <c r="B22" s="2471"/>
      <c r="C22" s="2978">
        <v>105.37856839646093</v>
      </c>
    </row>
    <row r="23" spans="1:3" s="380" customFormat="1">
      <c r="A23" s="2470">
        <v>1995.02</v>
      </c>
      <c r="B23" s="2471"/>
      <c r="C23" s="2978">
        <v>105.74569585366953</v>
      </c>
    </row>
    <row r="24" spans="1:3" s="380" customFormat="1">
      <c r="A24" s="2470">
        <v>1995.03</v>
      </c>
      <c r="B24" s="2471"/>
      <c r="C24" s="2978">
        <v>106.32567798582349</v>
      </c>
    </row>
    <row r="25" spans="1:3" s="380" customFormat="1">
      <c r="A25" s="2470">
        <v>1995.04</v>
      </c>
      <c r="B25" s="2471"/>
      <c r="C25" s="2978">
        <v>107.12299575185735</v>
      </c>
    </row>
    <row r="26" spans="1:3" s="380" customFormat="1">
      <c r="A26" s="2470">
        <v>1995.05</v>
      </c>
      <c r="B26" s="2471"/>
      <c r="C26" s="2978">
        <v>107.61443637612248</v>
      </c>
    </row>
    <row r="27" spans="1:3" s="380" customFormat="1">
      <c r="A27" s="2470">
        <v>1995.06</v>
      </c>
      <c r="B27" s="2471"/>
      <c r="C27" s="2978">
        <v>107.71693822333182</v>
      </c>
    </row>
    <row r="28" spans="1:3" s="380" customFormat="1">
      <c r="A28" s="2470">
        <v>1995.07</v>
      </c>
      <c r="B28" s="2471"/>
      <c r="C28" s="2978">
        <v>107.10359840883534</v>
      </c>
    </row>
    <row r="29" spans="1:3" s="380" customFormat="1">
      <c r="A29" s="2470">
        <v>1995.08</v>
      </c>
      <c r="B29" s="2471"/>
      <c r="C29" s="2978">
        <v>106.18782867847908</v>
      </c>
    </row>
    <row r="30" spans="1:3" s="380" customFormat="1">
      <c r="A30" s="2470">
        <v>1995.09</v>
      </c>
      <c r="B30" s="2471"/>
      <c r="C30" s="2978">
        <v>106.18565884433077</v>
      </c>
    </row>
    <row r="31" spans="1:3" s="380" customFormat="1">
      <c r="A31" s="2470">
        <v>1995.1</v>
      </c>
      <c r="B31" s="2471"/>
      <c r="C31" s="2978">
        <v>106.53540350884475</v>
      </c>
    </row>
    <row r="32" spans="1:3" s="380" customFormat="1">
      <c r="A32" s="2470">
        <v>1995.11</v>
      </c>
      <c r="B32" s="2471"/>
      <c r="C32" s="2978">
        <v>107.52099346357102</v>
      </c>
    </row>
    <row r="33" spans="1:3" s="380" customFormat="1">
      <c r="A33" s="2470">
        <v>1995.12</v>
      </c>
      <c r="B33" s="2471"/>
      <c r="C33" s="2978">
        <v>109.19700256180802</v>
      </c>
    </row>
    <row r="34" spans="1:3" s="380" customFormat="1">
      <c r="A34" s="2470">
        <v>1996.01</v>
      </c>
      <c r="B34" s="2471"/>
      <c r="C34" s="2978">
        <v>110.88081922733095</v>
      </c>
    </row>
    <row r="35" spans="1:3" s="380" customFormat="1">
      <c r="A35" s="2470">
        <v>1996.02</v>
      </c>
      <c r="B35" s="2471"/>
      <c r="C35" s="2978">
        <v>112.20901161214653</v>
      </c>
    </row>
    <row r="36" spans="1:3" s="380" customFormat="1">
      <c r="A36" s="2470">
        <v>1996.03</v>
      </c>
      <c r="B36" s="2471"/>
      <c r="C36" s="2978">
        <v>112.22821127090214</v>
      </c>
    </row>
    <row r="37" spans="1:3" s="380" customFormat="1">
      <c r="A37" s="2470">
        <v>1996.04</v>
      </c>
      <c r="B37" s="2471"/>
      <c r="C37" s="2978">
        <v>112.1368944689564</v>
      </c>
    </row>
    <row r="38" spans="1:3" s="380" customFormat="1">
      <c r="A38" s="2470">
        <v>1996.05</v>
      </c>
      <c r="B38" s="2471"/>
      <c r="C38" s="2978">
        <v>112.8297525463484</v>
      </c>
    </row>
    <row r="39" spans="1:3" s="380" customFormat="1">
      <c r="A39" s="2470">
        <v>1996.06</v>
      </c>
      <c r="B39" s="2471"/>
      <c r="C39" s="2978">
        <v>113.41041837251436</v>
      </c>
    </row>
    <row r="40" spans="1:3" s="380" customFormat="1">
      <c r="A40" s="2470">
        <v>1996.07</v>
      </c>
      <c r="B40" s="2471"/>
      <c r="C40" s="2978">
        <v>114.07568369426828</v>
      </c>
    </row>
    <row r="41" spans="1:3" s="380" customFormat="1">
      <c r="A41" s="2470">
        <v>1996.08</v>
      </c>
      <c r="B41" s="2471"/>
      <c r="C41" s="2978">
        <v>114.58125515354257</v>
      </c>
    </row>
    <row r="42" spans="1:3" s="380" customFormat="1">
      <c r="A42" s="2470">
        <v>1996.09</v>
      </c>
      <c r="B42" s="2471"/>
      <c r="C42" s="2978">
        <v>114.59586459039031</v>
      </c>
    </row>
    <row r="43" spans="1:3" s="380" customFormat="1">
      <c r="A43" s="2470">
        <v>1996.1</v>
      </c>
      <c r="B43" s="2471"/>
      <c r="C43" s="2978">
        <v>114.9169549922477</v>
      </c>
    </row>
    <row r="44" spans="1:3" s="380" customFormat="1">
      <c r="A44" s="2470">
        <v>1996.11</v>
      </c>
      <c r="B44" s="2471"/>
      <c r="C44" s="2978">
        <v>115.33153610685314</v>
      </c>
    </row>
    <row r="45" spans="1:3" s="380" customFormat="1">
      <c r="A45" s="2470">
        <v>1996.12</v>
      </c>
      <c r="B45" s="2471"/>
      <c r="C45" s="2978">
        <v>114.6987665463181</v>
      </c>
    </row>
    <row r="46" spans="1:3" s="380" customFormat="1">
      <c r="A46" s="2470">
        <v>1997.01</v>
      </c>
      <c r="B46" s="2471"/>
      <c r="C46" s="2978">
        <v>113.74471166667649</v>
      </c>
    </row>
    <row r="47" spans="1:3" s="380" customFormat="1">
      <c r="A47" s="2470">
        <v>1997.02</v>
      </c>
      <c r="B47" s="2471"/>
      <c r="C47" s="2978">
        <v>113.94937757486996</v>
      </c>
    </row>
    <row r="48" spans="1:3" s="380" customFormat="1">
      <c r="A48" s="2470">
        <v>1997.03</v>
      </c>
      <c r="B48" s="2471"/>
      <c r="C48" s="2978">
        <v>114.78115457312046</v>
      </c>
    </row>
    <row r="49" spans="1:3" s="380" customFormat="1">
      <c r="A49" s="2470">
        <v>1997.04</v>
      </c>
      <c r="B49" s="2471"/>
      <c r="C49" s="2978">
        <v>114.51639708708659</v>
      </c>
    </row>
    <row r="50" spans="1:3" s="380" customFormat="1">
      <c r="A50" s="2470">
        <v>1997.05</v>
      </c>
      <c r="B50" s="2471"/>
      <c r="C50" s="2978">
        <v>113.3571640685439</v>
      </c>
    </row>
    <row r="51" spans="1:3" s="380" customFormat="1">
      <c r="A51" s="2470">
        <v>1997.06</v>
      </c>
      <c r="B51" s="2471"/>
      <c r="C51" s="2978">
        <v>113.28264839670423</v>
      </c>
    </row>
    <row r="52" spans="1:3" s="380" customFormat="1">
      <c r="A52" s="2470">
        <v>1997.07</v>
      </c>
      <c r="B52" s="2471"/>
      <c r="C52" s="2978">
        <v>113.95373934074898</v>
      </c>
    </row>
    <row r="53" spans="1:3" s="380" customFormat="1">
      <c r="A53" s="2470">
        <v>1997.08</v>
      </c>
      <c r="B53" s="2471"/>
      <c r="C53" s="2978">
        <v>114.03873603184208</v>
      </c>
    </row>
    <row r="54" spans="1:3" s="380" customFormat="1">
      <c r="A54" s="2470">
        <v>1997.09</v>
      </c>
      <c r="B54" s="2471"/>
      <c r="C54" s="2978">
        <v>113.51366151663022</v>
      </c>
    </row>
    <row r="55" spans="1:3" s="380" customFormat="1">
      <c r="A55" s="2470">
        <v>1997.1</v>
      </c>
      <c r="B55" s="2471"/>
      <c r="C55" s="2978">
        <v>112.32134619359407</v>
      </c>
    </row>
    <row r="56" spans="1:3" s="380" customFormat="1">
      <c r="A56" s="2470">
        <v>1997.11</v>
      </c>
      <c r="B56" s="2471"/>
      <c r="C56" s="2978">
        <v>110.61725749033543</v>
      </c>
    </row>
    <row r="57" spans="1:3" s="380" customFormat="1">
      <c r="A57" s="2470">
        <v>1997.12</v>
      </c>
      <c r="B57" s="2471"/>
      <c r="C57" s="2978">
        <v>109.88588180757672</v>
      </c>
    </row>
    <row r="58" spans="1:3" s="380" customFormat="1">
      <c r="A58" s="2470">
        <v>1998.01</v>
      </c>
      <c r="B58" s="2471"/>
      <c r="C58" s="2978">
        <v>110.71165874840746</v>
      </c>
    </row>
    <row r="59" spans="1:3" s="380" customFormat="1">
      <c r="A59" s="2470">
        <v>1998.02</v>
      </c>
      <c r="B59" s="2471"/>
      <c r="C59" s="2978">
        <v>112.31102149229477</v>
      </c>
    </row>
    <row r="60" spans="1:3" s="380" customFormat="1">
      <c r="A60" s="2470">
        <v>1998.03</v>
      </c>
      <c r="B60" s="2471"/>
      <c r="C60" s="2978">
        <v>114.12050283833356</v>
      </c>
    </row>
    <row r="61" spans="1:3" s="380" customFormat="1">
      <c r="A61" s="2470">
        <v>1998.04</v>
      </c>
      <c r="B61" s="2471"/>
      <c r="C61" s="2978">
        <v>115.61128505630077</v>
      </c>
    </row>
    <row r="62" spans="1:3" s="380" customFormat="1">
      <c r="A62" s="2470">
        <v>1998.05</v>
      </c>
      <c r="B62" s="2471"/>
      <c r="C62" s="2978">
        <v>116.50634399730717</v>
      </c>
    </row>
    <row r="63" spans="1:3" s="380" customFormat="1">
      <c r="A63" s="2470">
        <v>1998.06</v>
      </c>
      <c r="B63" s="2471"/>
      <c r="C63" s="2978">
        <v>116.92589569673264</v>
      </c>
    </row>
    <row r="64" spans="1:3" s="380" customFormat="1">
      <c r="A64" s="2470">
        <v>1998.07</v>
      </c>
      <c r="B64" s="2471"/>
      <c r="C64" s="2978">
        <v>118.09888740575197</v>
      </c>
    </row>
    <row r="65" spans="1:3" s="380" customFormat="1">
      <c r="A65" s="2470">
        <v>1998.08</v>
      </c>
      <c r="B65" s="2471"/>
      <c r="C65" s="2978">
        <v>119.89905315352007</v>
      </c>
    </row>
    <row r="66" spans="1:3" s="380" customFormat="1">
      <c r="A66" s="2470">
        <v>1998.09</v>
      </c>
      <c r="B66" s="2471"/>
      <c r="C66" s="2978">
        <v>121.14031887906791</v>
      </c>
    </row>
    <row r="67" spans="1:3" s="380" customFormat="1">
      <c r="A67" s="2470">
        <v>1998.1</v>
      </c>
      <c r="B67" s="2471"/>
      <c r="C67" s="2978">
        <v>121.57651146767698</v>
      </c>
    </row>
    <row r="68" spans="1:3" s="380" customFormat="1">
      <c r="A68" s="2470">
        <v>1998.11</v>
      </c>
      <c r="B68" s="2471"/>
      <c r="C68" s="2978">
        <v>121.61187212857912</v>
      </c>
    </row>
    <row r="69" spans="1:3" s="380" customFormat="1">
      <c r="A69" s="2470">
        <v>1998.12</v>
      </c>
      <c r="B69" s="2471"/>
      <c r="C69" s="2978">
        <v>122.03733064614457</v>
      </c>
    </row>
    <row r="70" spans="1:3" s="380" customFormat="1">
      <c r="A70" s="2470">
        <v>1999.01</v>
      </c>
      <c r="B70" s="2471"/>
      <c r="C70" s="2978">
        <v>122.09831815016318</v>
      </c>
    </row>
    <row r="71" spans="1:3" s="380" customFormat="1">
      <c r="A71" s="2470">
        <v>1999.02</v>
      </c>
      <c r="B71" s="2471"/>
      <c r="C71" s="2978">
        <v>120.94222194817786</v>
      </c>
    </row>
    <row r="72" spans="1:3" s="380" customFormat="1">
      <c r="A72" s="2470">
        <v>1999.03</v>
      </c>
      <c r="B72" s="2471"/>
      <c r="C72" s="2978">
        <v>120.12663371756079</v>
      </c>
    </row>
    <row r="73" spans="1:3" s="380" customFormat="1">
      <c r="A73" s="2470">
        <v>1999.04</v>
      </c>
      <c r="B73" s="2471"/>
      <c r="C73" s="2978">
        <v>121.20746236602957</v>
      </c>
    </row>
    <row r="74" spans="1:3" s="380" customFormat="1">
      <c r="A74" s="2470">
        <v>1999.05</v>
      </c>
      <c r="B74" s="2471"/>
      <c r="C74" s="2978">
        <v>122.78902313534044</v>
      </c>
    </row>
    <row r="75" spans="1:3" s="380" customFormat="1">
      <c r="A75" s="2470">
        <v>1999.06</v>
      </c>
      <c r="B75" s="2471"/>
      <c r="C75" s="2978">
        <v>122.54098623334446</v>
      </c>
    </row>
    <row r="76" spans="1:3" s="380" customFormat="1">
      <c r="A76" s="2470">
        <v>1999.07</v>
      </c>
      <c r="B76" s="2471"/>
      <c r="C76" s="2978">
        <v>121.75992104532264</v>
      </c>
    </row>
    <row r="77" spans="1:3" s="380" customFormat="1">
      <c r="A77" s="2470">
        <v>1999.08</v>
      </c>
      <c r="B77" s="2471"/>
      <c r="C77" s="2978">
        <v>122.04055436861539</v>
      </c>
    </row>
    <row r="78" spans="1:3" s="380" customFormat="1">
      <c r="A78" s="2470">
        <v>1999.09</v>
      </c>
      <c r="B78" s="2471"/>
      <c r="C78" s="2978">
        <v>122.79515881296045</v>
      </c>
    </row>
    <row r="79" spans="1:3" s="380" customFormat="1">
      <c r="A79" s="2470">
        <v>1999.1</v>
      </c>
      <c r="B79" s="2471"/>
      <c r="C79" s="2978">
        <v>123.28625212262267</v>
      </c>
    </row>
    <row r="80" spans="1:3" s="380" customFormat="1">
      <c r="A80" s="2470">
        <v>1999.11</v>
      </c>
      <c r="B80" s="2471"/>
      <c r="C80" s="2978">
        <v>122.65783715476283</v>
      </c>
    </row>
    <row r="81" spans="1:3" s="380" customFormat="1">
      <c r="A81" s="2470">
        <v>1999.12</v>
      </c>
      <c r="B81" s="2471"/>
      <c r="C81" s="2978">
        <v>122.2195750065497</v>
      </c>
    </row>
    <row r="82" spans="1:3" s="380" customFormat="1">
      <c r="A82" s="2470">
        <v>2000.01</v>
      </c>
      <c r="B82" s="2471"/>
      <c r="C82" s="2978">
        <v>122.72692603555936</v>
      </c>
    </row>
    <row r="83" spans="1:3" s="380" customFormat="1">
      <c r="A83" s="2470">
        <v>2000.02</v>
      </c>
      <c r="B83" s="2471"/>
      <c r="C83" s="2978">
        <v>122.77501507838873</v>
      </c>
    </row>
    <row r="84" spans="1:3" s="380" customFormat="1">
      <c r="A84" s="2470">
        <v>2000.03</v>
      </c>
      <c r="B84" s="2471"/>
      <c r="C84" s="2978">
        <v>122.83243121035528</v>
      </c>
    </row>
    <row r="85" spans="1:3" s="380" customFormat="1">
      <c r="A85" s="2470">
        <v>2000.04</v>
      </c>
      <c r="B85" s="2471"/>
      <c r="C85" s="2978">
        <v>122.13536546754554</v>
      </c>
    </row>
    <row r="86" spans="1:3" s="380" customFormat="1">
      <c r="A86" s="2470">
        <v>2000.05</v>
      </c>
      <c r="B86" s="2471"/>
      <c r="C86" s="2978">
        <v>120.39871562833878</v>
      </c>
    </row>
    <row r="87" spans="1:3" s="380" customFormat="1">
      <c r="A87" s="2470">
        <v>2000.06</v>
      </c>
      <c r="B87" s="2471"/>
      <c r="C87" s="2978">
        <v>118.99723816976402</v>
      </c>
    </row>
    <row r="88" spans="1:3" s="380" customFormat="1">
      <c r="A88" s="2470">
        <v>2000.07</v>
      </c>
      <c r="B88" s="2471"/>
      <c r="C88" s="2978">
        <v>117.8548565980139</v>
      </c>
    </row>
    <row r="89" spans="1:3" s="380" customFormat="1">
      <c r="A89" s="2470">
        <v>2000.08</v>
      </c>
      <c r="B89" s="2471"/>
      <c r="C89" s="2978">
        <v>117.23136272433952</v>
      </c>
    </row>
    <row r="90" spans="1:3" s="380" customFormat="1">
      <c r="A90" s="2470">
        <v>2000.09</v>
      </c>
      <c r="B90" s="2471"/>
      <c r="C90" s="2978">
        <v>116.82696198190806</v>
      </c>
    </row>
    <row r="91" spans="1:3" s="380" customFormat="1">
      <c r="A91" s="2470">
        <v>2000.1</v>
      </c>
      <c r="B91" s="2471"/>
      <c r="C91" s="2978">
        <v>116.51623676659572</v>
      </c>
    </row>
    <row r="92" spans="1:3" s="380" customFormat="1">
      <c r="A92" s="2470">
        <v>2000.11</v>
      </c>
      <c r="B92" s="2471"/>
      <c r="C92" s="2978">
        <v>117.43967598230252</v>
      </c>
    </row>
    <row r="93" spans="1:3" s="380" customFormat="1">
      <c r="A93" s="2470">
        <v>2000.12</v>
      </c>
      <c r="B93" s="2471"/>
      <c r="C93" s="2978">
        <v>118.02380866646158</v>
      </c>
    </row>
    <row r="94" spans="1:3" s="380" customFormat="1">
      <c r="A94" s="2470">
        <v>2001.01</v>
      </c>
      <c r="B94" s="2471"/>
      <c r="C94" s="2978">
        <v>117.0805301774093</v>
      </c>
    </row>
    <row r="95" spans="1:3" s="380" customFormat="1">
      <c r="A95" s="2470">
        <v>2001.02</v>
      </c>
      <c r="B95" s="2471"/>
      <c r="C95" s="2978">
        <v>116.23782887670113</v>
      </c>
    </row>
    <row r="96" spans="1:3" s="380" customFormat="1">
      <c r="A96" s="2470">
        <v>2001.03</v>
      </c>
      <c r="B96" s="2471"/>
      <c r="C96" s="2978">
        <v>116.05275463142466</v>
      </c>
    </row>
    <row r="97" spans="1:3" s="380" customFormat="1">
      <c r="A97" s="2470">
        <v>2001.04</v>
      </c>
      <c r="B97" s="2471"/>
      <c r="C97" s="2978">
        <v>115.92584366724297</v>
      </c>
    </row>
    <row r="98" spans="1:3" s="380" customFormat="1">
      <c r="A98" s="2470">
        <v>2001.05</v>
      </c>
      <c r="B98" s="2471"/>
      <c r="C98" s="2978">
        <v>115.42701792057275</v>
      </c>
    </row>
    <row r="99" spans="1:3" s="380" customFormat="1">
      <c r="A99" s="2470">
        <v>2001.06</v>
      </c>
      <c r="B99" s="2471"/>
      <c r="C99" s="2978">
        <v>114.50460808991714</v>
      </c>
    </row>
    <row r="100" spans="1:3" s="380" customFormat="1">
      <c r="A100" s="2470">
        <v>2001.07</v>
      </c>
      <c r="B100" s="2471"/>
      <c r="C100" s="2978">
        <v>113.2170977776303</v>
      </c>
    </row>
    <row r="101" spans="1:3" s="380" customFormat="1">
      <c r="A101" s="2470">
        <v>2001.08</v>
      </c>
      <c r="B101" s="2471"/>
      <c r="C101" s="2978">
        <v>111.6469387002759</v>
      </c>
    </row>
    <row r="102" spans="1:3" s="380" customFormat="1">
      <c r="A102" s="2470">
        <v>2001.09</v>
      </c>
      <c r="B102" s="2471"/>
      <c r="C102" s="2978">
        <v>110.24546454527403</v>
      </c>
    </row>
    <row r="103" spans="1:3" s="380" customFormat="1">
      <c r="A103" s="2470">
        <v>2001.1</v>
      </c>
      <c r="B103" s="2471"/>
      <c r="C103" s="2978">
        <v>109.45082337754781</v>
      </c>
    </row>
    <row r="104" spans="1:3" s="380" customFormat="1">
      <c r="A104" s="2470">
        <v>2001.11</v>
      </c>
      <c r="B104" s="2471"/>
      <c r="C104" s="2978">
        <v>108.86606896505718</v>
      </c>
    </row>
    <row r="105" spans="1:3" s="380" customFormat="1">
      <c r="A105" s="2470">
        <v>2001.12</v>
      </c>
      <c r="B105" s="2471"/>
      <c r="C105" s="2978">
        <v>107.58836627230235</v>
      </c>
    </row>
    <row r="106" spans="1:3" s="380" customFormat="1">
      <c r="A106" s="2470">
        <v>2002.01</v>
      </c>
      <c r="B106" s="2471"/>
      <c r="C106" s="2978">
        <v>106.66229698349507</v>
      </c>
    </row>
    <row r="107" spans="1:3" s="380" customFormat="1">
      <c r="A107" s="2470">
        <v>2002.02</v>
      </c>
      <c r="B107" s="2471"/>
      <c r="C107" s="2978">
        <v>107.35659460951148</v>
      </c>
    </row>
    <row r="108" spans="1:3" s="380" customFormat="1">
      <c r="A108" s="2470">
        <v>2002.03</v>
      </c>
      <c r="B108" s="2471"/>
      <c r="C108" s="2978">
        <v>108.93978529675717</v>
      </c>
    </row>
    <row r="109" spans="1:3" s="380" customFormat="1">
      <c r="A109" s="2470">
        <v>2002.04</v>
      </c>
      <c r="B109" s="2471"/>
      <c r="C109" s="2978">
        <v>111.20038256936563</v>
      </c>
    </row>
    <row r="110" spans="1:3" s="380" customFormat="1">
      <c r="A110" s="2470">
        <v>2002.05</v>
      </c>
      <c r="B110" s="2471"/>
      <c r="C110" s="2978">
        <v>113.4913436706847</v>
      </c>
    </row>
    <row r="111" spans="1:3" s="380" customFormat="1">
      <c r="A111" s="2470">
        <v>2002.06</v>
      </c>
      <c r="B111" s="2471"/>
      <c r="C111" s="2978">
        <v>115.22333038985629</v>
      </c>
    </row>
    <row r="112" spans="1:3" s="380" customFormat="1">
      <c r="A112" s="2470">
        <v>2002.07</v>
      </c>
      <c r="B112" s="609"/>
      <c r="C112" s="2978">
        <v>116.7933128619423</v>
      </c>
    </row>
    <row r="113" spans="1:3" s="380" customFormat="1">
      <c r="A113" s="2470">
        <v>2002.08</v>
      </c>
      <c r="B113" s="2471"/>
      <c r="C113" s="2978">
        <v>117.55349984616083</v>
      </c>
    </row>
    <row r="114" spans="1:3" s="380" customFormat="1">
      <c r="A114" s="2470">
        <v>2002.09</v>
      </c>
      <c r="B114" s="2471"/>
      <c r="C114" s="2978">
        <v>117.05847921554636</v>
      </c>
    </row>
    <row r="115" spans="1:3" s="380" customFormat="1">
      <c r="A115" s="2470">
        <v>2002.1</v>
      </c>
      <c r="B115" s="2471"/>
      <c r="C115" s="2978">
        <v>116.40273777367274</v>
      </c>
    </row>
    <row r="116" spans="1:3" s="380" customFormat="1">
      <c r="A116" s="2470">
        <v>2002.11</v>
      </c>
      <c r="B116" s="2471"/>
      <c r="C116" s="2978">
        <v>116.10222286798403</v>
      </c>
    </row>
    <row r="117" spans="1:3" s="380" customFormat="1">
      <c r="A117" s="2470">
        <v>2002.12</v>
      </c>
      <c r="B117" s="2471"/>
      <c r="C117" s="2978">
        <v>116.35933768079187</v>
      </c>
    </row>
    <row r="118" spans="1:3" s="380" customFormat="1">
      <c r="A118" s="2470">
        <v>2003.01</v>
      </c>
      <c r="B118" s="2471"/>
      <c r="C118" s="2978">
        <v>116.81691706422188</v>
      </c>
    </row>
    <row r="119" spans="1:3" s="380" customFormat="1">
      <c r="A119" s="2470">
        <v>2003.02</v>
      </c>
      <c r="B119" s="2471"/>
      <c r="C119" s="2978">
        <v>116.52634798115314</v>
      </c>
    </row>
    <row r="120" spans="1:3" s="380" customFormat="1">
      <c r="A120" s="2470">
        <v>2003.03</v>
      </c>
      <c r="B120" s="2471"/>
      <c r="C120" s="2978">
        <v>115.70206415295773</v>
      </c>
    </row>
    <row r="121" spans="1:3" s="380" customFormat="1">
      <c r="A121" s="2470">
        <v>2003.04</v>
      </c>
      <c r="B121" s="2471"/>
      <c r="C121" s="2978">
        <v>115.24329774016168</v>
      </c>
    </row>
    <row r="122" spans="1:3" s="380" customFormat="1">
      <c r="A122" s="2470">
        <v>2003.05</v>
      </c>
      <c r="B122" s="2471"/>
      <c r="C122" s="2978">
        <v>116.65646060291115</v>
      </c>
    </row>
    <row r="123" spans="1:3" s="380" customFormat="1">
      <c r="A123" s="2470">
        <v>2003.06</v>
      </c>
      <c r="B123" s="2471"/>
      <c r="C123" s="2978">
        <v>119.96151656949883</v>
      </c>
    </row>
    <row r="124" spans="1:3" s="380" customFormat="1">
      <c r="A124" s="2470">
        <v>2003.07</v>
      </c>
      <c r="B124" s="2471"/>
      <c r="C124" s="2978">
        <v>123.01654091372428</v>
      </c>
    </row>
    <row r="125" spans="1:3" s="380" customFormat="1">
      <c r="A125" s="2470">
        <v>2003.08</v>
      </c>
      <c r="B125" s="2471"/>
      <c r="C125" s="2978">
        <v>125.25744077095169</v>
      </c>
    </row>
    <row r="126" spans="1:3" s="380" customFormat="1">
      <c r="A126" s="2470">
        <v>2003.09</v>
      </c>
      <c r="B126" s="2471"/>
      <c r="C126" s="2978">
        <v>127.67302000440984</v>
      </c>
    </row>
    <row r="127" spans="1:3" s="380" customFormat="1">
      <c r="A127" s="2470">
        <v>2003.1</v>
      </c>
      <c r="B127" s="2471"/>
      <c r="C127" s="2978">
        <v>130.42517205809401</v>
      </c>
    </row>
    <row r="128" spans="1:3" s="380" customFormat="1">
      <c r="A128" s="2470">
        <v>2003.11</v>
      </c>
      <c r="B128" s="2471"/>
      <c r="C128" s="2978">
        <v>132.6712532976949</v>
      </c>
    </row>
    <row r="129" spans="1:3" s="380" customFormat="1">
      <c r="A129" s="2470">
        <v>2003.12</v>
      </c>
      <c r="B129" s="2471"/>
      <c r="C129" s="2978">
        <v>133.8596804925958</v>
      </c>
    </row>
    <row r="130" spans="1:3">
      <c r="A130" s="383">
        <v>2004.01</v>
      </c>
      <c r="B130" s="2469">
        <v>84.742834462855939</v>
      </c>
      <c r="C130" s="2978">
        <v>134.82167309125839</v>
      </c>
    </row>
    <row r="131" spans="1:3">
      <c r="A131" s="383">
        <v>2004.02</v>
      </c>
      <c r="B131" s="384">
        <v>80.101973281648526</v>
      </c>
      <c r="C131" s="2978">
        <v>136.40296266787266</v>
      </c>
    </row>
    <row r="132" spans="1:3">
      <c r="A132" s="383">
        <v>2004.03</v>
      </c>
      <c r="B132" s="384">
        <v>100.56814021350024</v>
      </c>
      <c r="C132" s="2978">
        <v>136.65078632668448</v>
      </c>
    </row>
    <row r="133" spans="1:3">
      <c r="A133" s="383">
        <v>2004.04</v>
      </c>
      <c r="B133" s="384">
        <v>97.865164221083603</v>
      </c>
      <c r="C133" s="2978">
        <v>136.11715277469733</v>
      </c>
    </row>
    <row r="134" spans="1:3">
      <c r="A134" s="383">
        <v>2004.05</v>
      </c>
      <c r="B134" s="384">
        <v>104.23990840025316</v>
      </c>
      <c r="C134" s="2978">
        <v>136.5190330558049</v>
      </c>
    </row>
    <row r="135" spans="1:3">
      <c r="A135" s="383">
        <v>2004.06</v>
      </c>
      <c r="B135" s="384">
        <v>105.5587001034846</v>
      </c>
      <c r="C135" s="2978">
        <v>135.48163852524803</v>
      </c>
    </row>
    <row r="136" spans="1:3">
      <c r="A136" s="383">
        <v>2004.07</v>
      </c>
      <c r="B136" s="384">
        <v>103.5934893634787</v>
      </c>
      <c r="C136" s="2978">
        <v>133.30694967912331</v>
      </c>
    </row>
    <row r="137" spans="1:3">
      <c r="A137" s="383">
        <v>2004.08</v>
      </c>
      <c r="B137" s="384">
        <v>110.6972012408787</v>
      </c>
      <c r="C137" s="2978">
        <v>132.51545573119949</v>
      </c>
    </row>
    <row r="138" spans="1:3">
      <c r="A138" s="383">
        <v>2004.09</v>
      </c>
      <c r="B138" s="384">
        <v>106.51706061280431</v>
      </c>
      <c r="C138" s="2978">
        <v>132.58556848266471</v>
      </c>
    </row>
    <row r="139" spans="1:3">
      <c r="A139" s="383">
        <v>2004.1</v>
      </c>
      <c r="B139" s="384">
        <v>104.51621750629869</v>
      </c>
      <c r="C139" s="2978">
        <v>132.73919367758805</v>
      </c>
    </row>
    <row r="140" spans="1:3">
      <c r="A140" s="383">
        <v>2004.11</v>
      </c>
      <c r="B140" s="384">
        <v>102.7734875886256</v>
      </c>
      <c r="C140" s="2978">
        <v>133.37447757647936</v>
      </c>
    </row>
    <row r="141" spans="1:3">
      <c r="A141" s="383">
        <v>2004.12</v>
      </c>
      <c r="B141" s="384">
        <v>98.825823005087869</v>
      </c>
      <c r="C141" s="2978">
        <v>135.09328409960688</v>
      </c>
    </row>
    <row r="142" spans="1:3">
      <c r="A142" s="383">
        <v>2005.01</v>
      </c>
      <c r="B142" s="384">
        <v>97.837254608816465</v>
      </c>
      <c r="C142" s="2978">
        <v>137.52188496034682</v>
      </c>
    </row>
    <row r="143" spans="1:3">
      <c r="A143" s="383">
        <v>2005.02</v>
      </c>
      <c r="B143" s="384">
        <v>92.590869919756955</v>
      </c>
      <c r="C143" s="2978">
        <v>139.86620461415396</v>
      </c>
    </row>
    <row r="144" spans="1:3">
      <c r="A144" s="383">
        <v>2005.03</v>
      </c>
      <c r="B144" s="384">
        <v>100.64660100145447</v>
      </c>
      <c r="C144" s="2978">
        <v>141.45118033266081</v>
      </c>
    </row>
    <row r="145" spans="1:3">
      <c r="A145" s="383">
        <v>2005.04</v>
      </c>
      <c r="B145" s="384">
        <v>111.02704505921889</v>
      </c>
      <c r="C145" s="2978">
        <v>141.4062652617979</v>
      </c>
    </row>
    <row r="146" spans="1:3">
      <c r="A146" s="383">
        <v>2005.05</v>
      </c>
      <c r="B146" s="384">
        <v>108.48793467800114</v>
      </c>
      <c r="C146" s="2978">
        <v>140.49104566038099</v>
      </c>
    </row>
    <row r="147" spans="1:3">
      <c r="A147" s="383">
        <v>2005.06</v>
      </c>
      <c r="B147" s="384">
        <v>121.73032628704118</v>
      </c>
      <c r="C147" s="2978">
        <v>141.12857721386811</v>
      </c>
    </row>
    <row r="148" spans="1:3">
      <c r="A148" s="383">
        <v>2005.07</v>
      </c>
      <c r="B148" s="384">
        <v>113.38937899451507</v>
      </c>
      <c r="C148" s="2978">
        <v>143.07581168194648</v>
      </c>
    </row>
    <row r="149" spans="1:3">
      <c r="A149" s="383">
        <v>2005.08</v>
      </c>
      <c r="B149" s="384">
        <v>129.54895112852287</v>
      </c>
      <c r="C149" s="2978">
        <v>144.67116548854509</v>
      </c>
    </row>
    <row r="150" spans="1:3">
      <c r="A150" s="383">
        <v>2005.09</v>
      </c>
      <c r="B150" s="384">
        <v>120.827596638958</v>
      </c>
      <c r="C150" s="2978">
        <v>145.96419635711985</v>
      </c>
    </row>
    <row r="151" spans="1:3">
      <c r="A151" s="383">
        <v>2005.1</v>
      </c>
      <c r="B151" s="384">
        <v>127.366177268993</v>
      </c>
      <c r="C151" s="2978">
        <v>146.77050598683778</v>
      </c>
    </row>
    <row r="152" spans="1:3">
      <c r="A152" s="383">
        <v>2005.11</v>
      </c>
      <c r="B152" s="384">
        <v>120.21562685941974</v>
      </c>
      <c r="C152" s="2978">
        <v>147.81805262962888</v>
      </c>
    </row>
    <row r="153" spans="1:3">
      <c r="A153" s="383">
        <v>2005.12</v>
      </c>
      <c r="B153" s="384">
        <v>116.02112953800398</v>
      </c>
      <c r="C153" s="2978">
        <v>149.01573698022938</v>
      </c>
    </row>
    <row r="154" spans="1:3">
      <c r="A154" s="383">
        <v>2006.01</v>
      </c>
      <c r="B154" s="384">
        <v>113.91261484514283</v>
      </c>
      <c r="C154" s="2978">
        <v>147.87062147701883</v>
      </c>
    </row>
    <row r="155" spans="1:3">
      <c r="A155" s="383">
        <v>2006.02</v>
      </c>
      <c r="B155" s="384">
        <v>103.10940953242357</v>
      </c>
      <c r="C155" s="2978">
        <v>145.72813143266839</v>
      </c>
    </row>
    <row r="156" spans="1:3">
      <c r="A156" s="383">
        <v>2006.03</v>
      </c>
      <c r="B156" s="384">
        <v>115.31435066090879</v>
      </c>
      <c r="C156" s="2978">
        <v>144.61700027408861</v>
      </c>
    </row>
    <row r="157" spans="1:3">
      <c r="A157" s="383">
        <v>2006.04</v>
      </c>
      <c r="B157" s="384">
        <v>129.33982938854163</v>
      </c>
      <c r="C157" s="2978">
        <v>143.64776782607683</v>
      </c>
    </row>
    <row r="158" spans="1:3">
      <c r="A158" s="383">
        <v>2006.05</v>
      </c>
      <c r="B158" s="384">
        <v>142.99332041653884</v>
      </c>
      <c r="C158" s="2978">
        <v>143.99550220885621</v>
      </c>
    </row>
    <row r="159" spans="1:3">
      <c r="A159" s="383">
        <v>2006.06</v>
      </c>
      <c r="B159" s="384">
        <v>120.75813663312113</v>
      </c>
      <c r="C159" s="2978">
        <v>146.43833770902464</v>
      </c>
    </row>
    <row r="160" spans="1:3">
      <c r="A160" s="383">
        <v>2006.07</v>
      </c>
      <c r="B160" s="384">
        <v>127.30115459378318</v>
      </c>
      <c r="C160" s="2978">
        <v>148.57126649777337</v>
      </c>
    </row>
    <row r="161" spans="1:3">
      <c r="A161" s="383">
        <v>2006.08</v>
      </c>
      <c r="B161" s="384">
        <v>137.74598848647858</v>
      </c>
      <c r="C161" s="2978">
        <v>149.39182388359191</v>
      </c>
    </row>
    <row r="162" spans="1:3">
      <c r="A162" s="383">
        <v>2006.09</v>
      </c>
      <c r="B162" s="384">
        <v>141.72344589609389</v>
      </c>
      <c r="C162" s="2978">
        <v>149.69914736510111</v>
      </c>
    </row>
    <row r="163" spans="1:3">
      <c r="A163" s="383">
        <v>2006.1</v>
      </c>
      <c r="B163" s="384">
        <v>131.97878222564543</v>
      </c>
      <c r="C163" s="2978">
        <v>149.1852590634976</v>
      </c>
    </row>
    <row r="164" spans="1:3">
      <c r="A164" s="383">
        <v>2006.11</v>
      </c>
      <c r="B164" s="384">
        <v>131.89951073650968</v>
      </c>
      <c r="C164" s="2978">
        <v>147.59032931675497</v>
      </c>
    </row>
    <row r="165" spans="1:3">
      <c r="A165" s="383">
        <v>2006.12</v>
      </c>
      <c r="B165" s="384">
        <v>128.21023653764493</v>
      </c>
      <c r="C165" s="2978">
        <v>146.33895318332682</v>
      </c>
    </row>
    <row r="166" spans="1:3">
      <c r="A166" s="383">
        <v>2007.01</v>
      </c>
      <c r="B166" s="384">
        <v>119.93914723367149</v>
      </c>
      <c r="C166" s="2978">
        <v>146.60006724610284</v>
      </c>
    </row>
    <row r="167" spans="1:3">
      <c r="A167" s="383">
        <v>2007.02</v>
      </c>
      <c r="B167" s="384">
        <v>113.90164068166482</v>
      </c>
      <c r="C167" s="2978">
        <v>147.51562488799158</v>
      </c>
    </row>
    <row r="168" spans="1:3">
      <c r="A168" s="383">
        <v>2007.03</v>
      </c>
      <c r="B168" s="384">
        <v>130.79617233377326</v>
      </c>
      <c r="C168" s="2978">
        <v>147.97569042270533</v>
      </c>
    </row>
    <row r="169" spans="1:3">
      <c r="A169" s="383">
        <v>2007.04</v>
      </c>
      <c r="B169" s="384">
        <v>127.41354669425496</v>
      </c>
      <c r="C169" s="2978">
        <v>148.05285646002088</v>
      </c>
    </row>
    <row r="170" spans="1:3">
      <c r="A170" s="383">
        <v>2007.05</v>
      </c>
      <c r="B170" s="384">
        <v>145.13185586363497</v>
      </c>
      <c r="C170" s="2978">
        <v>148.16024130919496</v>
      </c>
    </row>
    <row r="171" spans="1:3">
      <c r="A171" s="383">
        <v>2007.06</v>
      </c>
      <c r="B171" s="384">
        <v>137.47081884172104</v>
      </c>
      <c r="C171" s="2978">
        <v>147.44206004802385</v>
      </c>
    </row>
    <row r="172" spans="1:3">
      <c r="A172" s="383">
        <v>2007.07</v>
      </c>
      <c r="B172" s="384">
        <v>162.30093078534722</v>
      </c>
      <c r="C172" s="2978">
        <v>145.85986962089609</v>
      </c>
    </row>
    <row r="173" spans="1:3">
      <c r="A173" s="383">
        <v>2007.08</v>
      </c>
      <c r="B173" s="384">
        <v>150.84209756584488</v>
      </c>
      <c r="C173" s="2978">
        <v>145.75834775109905</v>
      </c>
    </row>
    <row r="174" spans="1:3">
      <c r="A174" s="383">
        <v>2007.09</v>
      </c>
      <c r="B174" s="384">
        <v>158.88505024351664</v>
      </c>
      <c r="C174" s="2978">
        <v>147.9977142070598</v>
      </c>
    </row>
    <row r="175" spans="1:3">
      <c r="A175" s="383">
        <v>2007.1</v>
      </c>
      <c r="B175" s="384">
        <v>157.43084160085434</v>
      </c>
      <c r="C175" s="2978">
        <v>151.93947978721238</v>
      </c>
    </row>
    <row r="176" spans="1:3">
      <c r="A176" s="383">
        <v>2007.11</v>
      </c>
      <c r="B176" s="384">
        <v>162.09233325380276</v>
      </c>
      <c r="C176" s="2978">
        <v>155.4284398397665</v>
      </c>
    </row>
    <row r="177" spans="1:3">
      <c r="A177" s="383">
        <v>2007.12</v>
      </c>
      <c r="B177" s="384">
        <v>145.85788637941005</v>
      </c>
      <c r="C177" s="2978">
        <v>156.4963455268383</v>
      </c>
    </row>
    <row r="178" spans="1:3">
      <c r="A178" s="383">
        <v>2008.01</v>
      </c>
      <c r="B178" s="384">
        <v>142.49023195578852</v>
      </c>
      <c r="C178" s="2978">
        <v>156.09283845601152</v>
      </c>
    </row>
    <row r="179" spans="1:3">
      <c r="A179" s="383">
        <v>2008.02</v>
      </c>
      <c r="B179" s="384">
        <v>130.73448207332279</v>
      </c>
      <c r="C179" s="2978">
        <v>154.47085719487731</v>
      </c>
    </row>
    <row r="180" spans="1:3">
      <c r="A180" s="383">
        <v>2008.03</v>
      </c>
      <c r="B180" s="384">
        <v>119.57185744286606</v>
      </c>
      <c r="C180" s="2978">
        <v>152.48118076593278</v>
      </c>
    </row>
    <row r="181" spans="1:3">
      <c r="A181" s="383">
        <v>2008.04</v>
      </c>
      <c r="B181" s="384">
        <v>161.92863585672586</v>
      </c>
      <c r="C181" s="2978">
        <v>151.48389903127608</v>
      </c>
    </row>
    <row r="182" spans="1:3">
      <c r="A182" s="383">
        <v>2008.05</v>
      </c>
      <c r="B182" s="384">
        <v>168.53622647591021</v>
      </c>
      <c r="C182" s="2978">
        <v>150.83768653587487</v>
      </c>
    </row>
    <row r="183" spans="1:3">
      <c r="A183" s="383">
        <v>2008.06</v>
      </c>
      <c r="B183" s="384">
        <v>134.65963652621645</v>
      </c>
      <c r="C183" s="2978">
        <v>150.95661326977611</v>
      </c>
    </row>
    <row r="184" spans="1:3">
      <c r="A184" s="383">
        <v>2008.07</v>
      </c>
      <c r="B184" s="384">
        <v>163.20453578385644</v>
      </c>
      <c r="C184" s="2978">
        <v>151.94742178288752</v>
      </c>
    </row>
    <row r="185" spans="1:3">
      <c r="A185" s="383">
        <v>2008.08</v>
      </c>
      <c r="B185" s="384">
        <v>152.65301950186779</v>
      </c>
      <c r="C185" s="2978">
        <v>152.35167314134975</v>
      </c>
    </row>
    <row r="186" spans="1:3">
      <c r="A186" s="383">
        <v>2008.09</v>
      </c>
      <c r="B186" s="384">
        <v>165.51394778700356</v>
      </c>
      <c r="C186" s="2978">
        <v>150.96205182056488</v>
      </c>
    </row>
    <row r="187" spans="1:3">
      <c r="A187" s="383">
        <v>2008.1</v>
      </c>
      <c r="B187" s="384">
        <v>145.24555929027821</v>
      </c>
      <c r="C187" s="2978">
        <v>148.82890598873007</v>
      </c>
    </row>
    <row r="188" spans="1:3">
      <c r="A188" s="383">
        <v>2008.11</v>
      </c>
      <c r="B188" s="384">
        <v>130.87069114371144</v>
      </c>
      <c r="C188" s="2978">
        <v>147.64978845943244</v>
      </c>
    </row>
    <row r="189" spans="1:3">
      <c r="A189" s="383">
        <v>2008.12</v>
      </c>
      <c r="B189" s="384">
        <v>125.32353043377519</v>
      </c>
      <c r="C189" s="2978">
        <v>147.0008047632551</v>
      </c>
    </row>
    <row r="190" spans="1:3">
      <c r="A190" s="383">
        <v>2009.01</v>
      </c>
      <c r="B190" s="384">
        <v>109.14688414488694</v>
      </c>
      <c r="C190" s="2978">
        <v>147.34631382110609</v>
      </c>
    </row>
    <row r="191" spans="1:3">
      <c r="A191" s="383">
        <v>2009.02</v>
      </c>
      <c r="B191" s="384">
        <v>103.14239846389842</v>
      </c>
      <c r="C191" s="2978">
        <v>147.4740073942167</v>
      </c>
    </row>
    <row r="192" spans="1:3">
      <c r="A192" s="383">
        <v>2009.03</v>
      </c>
      <c r="B192" s="384">
        <v>111.31110270497732</v>
      </c>
      <c r="C192" s="2978">
        <v>146.35557118180841</v>
      </c>
    </row>
    <row r="193" spans="1:3">
      <c r="A193" s="383">
        <v>2009.04</v>
      </c>
      <c r="B193" s="384">
        <v>129.93968417939433</v>
      </c>
      <c r="C193" s="2978">
        <v>145.75978123054531</v>
      </c>
    </row>
    <row r="194" spans="1:3">
      <c r="A194" s="383">
        <v>2009.05</v>
      </c>
      <c r="B194" s="384">
        <v>125.65691830905142</v>
      </c>
      <c r="C194" s="2978">
        <v>144.58681217622456</v>
      </c>
    </row>
    <row r="195" spans="1:3">
      <c r="A195" s="383">
        <v>2009.06</v>
      </c>
      <c r="B195" s="384">
        <v>139.45267314434594</v>
      </c>
      <c r="C195" s="2978">
        <v>142.6652900334108</v>
      </c>
    </row>
    <row r="196" spans="1:3">
      <c r="A196" s="383">
        <v>2009.07</v>
      </c>
      <c r="B196" s="384">
        <v>128.29833616662745</v>
      </c>
      <c r="C196" s="2978">
        <v>141.32346555856515</v>
      </c>
    </row>
    <row r="197" spans="1:3">
      <c r="A197" s="383">
        <v>2009.08</v>
      </c>
      <c r="B197" s="384">
        <v>128.34695092922627</v>
      </c>
      <c r="C197" s="2978">
        <v>139.24725949748679</v>
      </c>
    </row>
    <row r="198" spans="1:3">
      <c r="A198" s="383">
        <v>2009.09</v>
      </c>
      <c r="B198" s="384">
        <v>133.26523742368161</v>
      </c>
      <c r="C198" s="2978">
        <v>137.72078409560629</v>
      </c>
    </row>
    <row r="199" spans="1:3">
      <c r="A199" s="383">
        <v>2009.1</v>
      </c>
      <c r="B199" s="384">
        <v>133.60119707203228</v>
      </c>
      <c r="C199" s="2978">
        <v>138.86173626294709</v>
      </c>
    </row>
    <row r="200" spans="1:3">
      <c r="A200" s="383">
        <v>2009.11</v>
      </c>
      <c r="B200" s="384">
        <v>124.6694414711022</v>
      </c>
      <c r="C200" s="2978">
        <v>140.46451147430932</v>
      </c>
    </row>
    <row r="201" spans="1:3">
      <c r="A201" s="383">
        <v>2009.12</v>
      </c>
      <c r="B201" s="384">
        <v>127.89619857411274</v>
      </c>
      <c r="C201" s="2978">
        <v>141.86013486156665</v>
      </c>
    </row>
    <row r="202" spans="1:3">
      <c r="A202" s="383">
        <v>2010.01</v>
      </c>
      <c r="B202" s="384">
        <v>118.0199889096416</v>
      </c>
      <c r="C202" s="2978">
        <v>142.93695562568661</v>
      </c>
    </row>
    <row r="203" spans="1:3">
      <c r="A203" s="383">
        <v>2010.02</v>
      </c>
      <c r="B203" s="384">
        <v>107.46191519227992</v>
      </c>
      <c r="C203" s="2978">
        <v>143.91492758452162</v>
      </c>
    </row>
    <row r="204" spans="1:3">
      <c r="A204" s="383">
        <v>2010.03</v>
      </c>
      <c r="B204" s="384">
        <v>119.42021127382955</v>
      </c>
      <c r="C204" s="2978">
        <v>146.34499689737271</v>
      </c>
    </row>
    <row r="205" spans="1:3">
      <c r="A205" s="383">
        <v>2010.04</v>
      </c>
      <c r="B205" s="384">
        <v>158.97504683390764</v>
      </c>
      <c r="C205" s="2978">
        <v>149.60841039161141</v>
      </c>
    </row>
    <row r="206" spans="1:3">
      <c r="A206" s="383">
        <v>2010.05</v>
      </c>
      <c r="B206" s="384">
        <v>142.40250058448601</v>
      </c>
      <c r="C206" s="2978">
        <v>152.09454597593898</v>
      </c>
    </row>
    <row r="207" spans="1:3">
      <c r="A207" s="383">
        <v>2010.06</v>
      </c>
      <c r="B207" s="384">
        <v>144.85020803952594</v>
      </c>
      <c r="C207" s="2978">
        <v>153.12180682092227</v>
      </c>
    </row>
    <row r="208" spans="1:3">
      <c r="A208" s="383">
        <v>2010.07</v>
      </c>
      <c r="B208" s="384">
        <v>146.72916028229062</v>
      </c>
      <c r="C208" s="2978">
        <v>154.17007908092864</v>
      </c>
    </row>
    <row r="209" spans="1:3">
      <c r="A209" s="383">
        <v>2010.08</v>
      </c>
      <c r="B209" s="384">
        <v>150.0534689220475</v>
      </c>
      <c r="C209" s="2978">
        <v>155.21963114742778</v>
      </c>
    </row>
    <row r="210" spans="1:3">
      <c r="A210" s="383">
        <v>2010.09</v>
      </c>
      <c r="B210" s="384">
        <v>158.8442720750827</v>
      </c>
      <c r="C210" s="2978">
        <v>154.53687692494751</v>
      </c>
    </row>
    <row r="211" spans="1:3">
      <c r="A211" s="383">
        <v>2010.1</v>
      </c>
      <c r="B211" s="384">
        <v>149.34554529704124</v>
      </c>
      <c r="C211" s="2978">
        <v>153.03537046628179</v>
      </c>
    </row>
    <row r="212" spans="1:3">
      <c r="A212" s="383">
        <v>2010.11</v>
      </c>
      <c r="B212" s="384">
        <v>156.332053643986</v>
      </c>
      <c r="C212" s="2978">
        <v>151.57389197989016</v>
      </c>
    </row>
    <row r="213" spans="1:3">
      <c r="A213" s="383">
        <v>2010.12</v>
      </c>
      <c r="B213" s="384">
        <v>145.7565055533106</v>
      </c>
      <c r="C213" s="2978">
        <v>150.90278042133153</v>
      </c>
    </row>
    <row r="214" spans="1:3">
      <c r="A214" s="383">
        <v>2011.01</v>
      </c>
      <c r="B214" s="384">
        <v>135.24534619567027</v>
      </c>
      <c r="C214" s="2978">
        <v>152.09755197707116</v>
      </c>
    </row>
    <row r="215" spans="1:3">
      <c r="A215" s="383">
        <v>2011.02</v>
      </c>
      <c r="B215" s="384">
        <v>122.1398040283902</v>
      </c>
      <c r="C215" s="2978">
        <v>153.67187300760801</v>
      </c>
    </row>
    <row r="216" spans="1:3">
      <c r="A216" s="383">
        <v>2011.03</v>
      </c>
      <c r="B216" s="384">
        <v>136.55318411154283</v>
      </c>
      <c r="C216" s="2978">
        <v>155.10549794398918</v>
      </c>
    </row>
    <row r="217" spans="1:3">
      <c r="A217" s="383">
        <v>2011.04</v>
      </c>
      <c r="B217" s="384">
        <v>150.81612237695902</v>
      </c>
      <c r="C217" s="2978">
        <v>156.68493741066945</v>
      </c>
    </row>
    <row r="218" spans="1:3">
      <c r="A218" s="383">
        <v>2011.05</v>
      </c>
      <c r="B218" s="384">
        <v>166.04795154153862</v>
      </c>
      <c r="C218" s="2978">
        <v>156.66476702879012</v>
      </c>
    </row>
    <row r="219" spans="1:3">
      <c r="A219" s="383">
        <v>2011.06</v>
      </c>
      <c r="B219" s="384">
        <v>150.37683392939701</v>
      </c>
      <c r="C219" s="2978">
        <v>155.37850500623131</v>
      </c>
    </row>
    <row r="220" spans="1:3">
      <c r="A220" s="383">
        <v>2011.07</v>
      </c>
      <c r="B220" s="384">
        <v>170.37806629458305</v>
      </c>
      <c r="C220" s="2978">
        <v>154.89121728127418</v>
      </c>
    </row>
    <row r="221" spans="1:3">
      <c r="A221" s="383">
        <v>2011.08</v>
      </c>
      <c r="B221" s="384">
        <v>153.22523259427771</v>
      </c>
      <c r="C221" s="2978">
        <v>156.29455878538408</v>
      </c>
    </row>
    <row r="222" spans="1:3">
      <c r="A222" s="383">
        <v>2011.09</v>
      </c>
      <c r="B222" s="384">
        <v>162.00381960224126</v>
      </c>
      <c r="C222" s="2978">
        <v>158.48707075502944</v>
      </c>
    </row>
    <row r="223" spans="1:3">
      <c r="A223" s="383">
        <v>2011.1</v>
      </c>
      <c r="B223" s="384">
        <v>142.50243218233223</v>
      </c>
      <c r="C223" s="2978">
        <v>158.60631684022806</v>
      </c>
    </row>
    <row r="224" spans="1:3">
      <c r="A224" s="383">
        <v>2011.11</v>
      </c>
      <c r="B224" s="384">
        <v>154.05336784179349</v>
      </c>
      <c r="C224" s="2978">
        <v>158.10781528274828</v>
      </c>
    </row>
    <row r="225" spans="1:3">
      <c r="A225" s="383">
        <v>2011.12</v>
      </c>
      <c r="B225" s="384">
        <v>143.18771072735899</v>
      </c>
      <c r="C225" s="2978">
        <v>158.23059340843571</v>
      </c>
    </row>
    <row r="226" spans="1:3">
      <c r="A226" s="383">
        <v>2012.01</v>
      </c>
      <c r="B226" s="384">
        <v>114.92012017282724</v>
      </c>
      <c r="C226" s="2978">
        <v>157.95718502931561</v>
      </c>
    </row>
    <row r="227" spans="1:3">
      <c r="A227" s="383">
        <v>2012.02</v>
      </c>
      <c r="B227" s="384">
        <v>126.29799466650474</v>
      </c>
      <c r="C227" s="2978">
        <v>157.63568965686781</v>
      </c>
    </row>
    <row r="228" spans="1:3">
      <c r="A228" s="383">
        <v>2012.03</v>
      </c>
      <c r="B228" s="384">
        <v>138.59839968479628</v>
      </c>
      <c r="C228" s="2978">
        <v>155.3206779814081</v>
      </c>
    </row>
    <row r="229" spans="1:3">
      <c r="A229" s="383">
        <v>2012.04</v>
      </c>
      <c r="B229" s="384">
        <v>138.9871007113228</v>
      </c>
      <c r="C229" s="2978">
        <v>150.90707041405068</v>
      </c>
    </row>
    <row r="230" spans="1:3">
      <c r="A230" s="383">
        <v>2012.05</v>
      </c>
      <c r="B230" s="384">
        <v>148.13745201389312</v>
      </c>
      <c r="C230" s="2978">
        <v>147.36030677225685</v>
      </c>
    </row>
    <row r="231" spans="1:3">
      <c r="A231" s="383">
        <v>2012.06</v>
      </c>
      <c r="B231" s="384">
        <v>146.56063035233777</v>
      </c>
      <c r="C231" s="2978">
        <v>144.7260872135993</v>
      </c>
    </row>
    <row r="232" spans="1:3">
      <c r="A232" s="383">
        <v>2012.07</v>
      </c>
      <c r="B232" s="384">
        <v>140.60412143587473</v>
      </c>
      <c r="C232" s="2978">
        <v>142.77774310568441</v>
      </c>
    </row>
    <row r="233" spans="1:3">
      <c r="A233" s="383">
        <v>2012.08</v>
      </c>
      <c r="B233" s="384">
        <v>158.14137386929278</v>
      </c>
      <c r="C233" s="2978">
        <v>142.61158653728282</v>
      </c>
    </row>
    <row r="234" spans="1:3">
      <c r="A234" s="383">
        <v>2012.09</v>
      </c>
      <c r="B234" s="384">
        <v>140.09152263576769</v>
      </c>
      <c r="C234" s="2978">
        <v>143.62727845267358</v>
      </c>
    </row>
    <row r="235" spans="1:3">
      <c r="A235" s="383">
        <v>2012.1</v>
      </c>
      <c r="B235" s="384">
        <v>142.03888147330966</v>
      </c>
      <c r="C235" s="2978">
        <v>144.22173265211686</v>
      </c>
    </row>
    <row r="236" spans="1:3">
      <c r="A236" s="383">
        <v>2012.11</v>
      </c>
      <c r="B236" s="384">
        <v>139.32828364005877</v>
      </c>
      <c r="C236" s="2978">
        <v>144.68260517177652</v>
      </c>
    </row>
    <row r="237" spans="1:3">
      <c r="A237" s="383">
        <v>2012.12</v>
      </c>
      <c r="B237" s="384">
        <v>146.45854440619036</v>
      </c>
      <c r="C237" s="2978">
        <v>145.50169164769972</v>
      </c>
    </row>
    <row r="238" spans="1:3">
      <c r="A238" s="383">
        <v>2013.01</v>
      </c>
      <c r="B238" s="384">
        <v>110.62194718075331</v>
      </c>
      <c r="C238" s="2978">
        <v>145.49028835614575</v>
      </c>
    </row>
    <row r="239" spans="1:3">
      <c r="A239" s="383">
        <v>2013.02</v>
      </c>
      <c r="B239" s="384">
        <v>111.94537087017669</v>
      </c>
      <c r="C239" s="2978">
        <v>145.58341980957044</v>
      </c>
    </row>
    <row r="240" spans="1:3">
      <c r="A240" s="383">
        <v>2013.03</v>
      </c>
      <c r="B240" s="384">
        <v>133.92792537333767</v>
      </c>
      <c r="C240" s="2978">
        <v>147.92955615844909</v>
      </c>
    </row>
    <row r="241" spans="1:3">
      <c r="A241" s="383">
        <v>2013.04</v>
      </c>
      <c r="B241" s="384">
        <v>138.81753682260899</v>
      </c>
      <c r="C241" s="2978">
        <v>151.17017209258472</v>
      </c>
    </row>
    <row r="242" spans="1:3">
      <c r="A242" s="383">
        <v>2013.05</v>
      </c>
      <c r="B242" s="384">
        <v>155.05512957052352</v>
      </c>
      <c r="C242" s="2978">
        <v>153.45781098996642</v>
      </c>
    </row>
    <row r="243" spans="1:3">
      <c r="A243" s="383">
        <v>2013.06</v>
      </c>
      <c r="B243" s="384">
        <v>170.53587206730421</v>
      </c>
      <c r="C243" s="2978">
        <v>155.23884896508318</v>
      </c>
    </row>
    <row r="244" spans="1:3">
      <c r="A244" s="383">
        <v>2013.07</v>
      </c>
      <c r="B244" s="384">
        <v>157.19380675833031</v>
      </c>
      <c r="C244" s="2978">
        <v>155.79529585630232</v>
      </c>
    </row>
    <row r="245" spans="1:3">
      <c r="A245" s="383">
        <v>2013.08</v>
      </c>
      <c r="B245" s="384">
        <v>148.90286581753733</v>
      </c>
      <c r="C245" s="2978">
        <v>154.42557793256461</v>
      </c>
    </row>
    <row r="246" spans="1:3">
      <c r="A246" s="383">
        <v>2013.09</v>
      </c>
      <c r="B246" s="384">
        <v>151.95648895403713</v>
      </c>
      <c r="C246" s="2978">
        <v>152.72140583963201</v>
      </c>
    </row>
    <row r="247" spans="1:3">
      <c r="A247" s="383">
        <v>2013.1</v>
      </c>
      <c r="B247" s="384">
        <v>155.52448024477729</v>
      </c>
      <c r="C247" s="2978">
        <v>151.28688967340437</v>
      </c>
    </row>
    <row r="248" spans="1:3">
      <c r="A248" s="383">
        <v>2013.11</v>
      </c>
      <c r="B248" s="384">
        <v>145.44442973092745</v>
      </c>
      <c r="C248" s="2978">
        <v>149.76309849280887</v>
      </c>
    </row>
    <row r="249" spans="1:3">
      <c r="A249" s="383">
        <v>2013.12</v>
      </c>
      <c r="B249" s="384">
        <v>172.82066635446895</v>
      </c>
      <c r="C249" s="2978">
        <v>147.77591662924019</v>
      </c>
    </row>
    <row r="250" spans="1:3">
      <c r="A250" s="383">
        <v>2014.01</v>
      </c>
      <c r="B250" s="384">
        <v>120.8439266857701</v>
      </c>
      <c r="C250" s="2978">
        <v>146.1215686219671</v>
      </c>
    </row>
    <row r="251" spans="1:3">
      <c r="A251" s="383">
        <v>2014.02</v>
      </c>
      <c r="B251" s="384">
        <v>118.10016537149856</v>
      </c>
      <c r="C251" s="2978">
        <v>146.40552121585841</v>
      </c>
    </row>
    <row r="252" spans="1:3">
      <c r="A252" s="383">
        <v>2014.03</v>
      </c>
      <c r="B252" s="384">
        <v>131.58738278196262</v>
      </c>
      <c r="C252" s="2978">
        <v>148.13688081350801</v>
      </c>
    </row>
    <row r="253" spans="1:3">
      <c r="A253" s="383">
        <v>2014.04</v>
      </c>
      <c r="B253" s="384">
        <v>146.79330752582555</v>
      </c>
      <c r="C253" s="2978">
        <v>149.61429198291501</v>
      </c>
    </row>
    <row r="254" spans="1:3">
      <c r="A254" s="383">
        <v>2014.05</v>
      </c>
      <c r="B254" s="384">
        <v>155.40797865374003</v>
      </c>
      <c r="C254" s="2978">
        <v>150.67534749252098</v>
      </c>
    </row>
    <row r="255" spans="1:3">
      <c r="A255" s="383">
        <v>2014.06</v>
      </c>
      <c r="B255" s="384">
        <v>150.95108551864246</v>
      </c>
      <c r="C255" s="2978">
        <v>151.3674221257437</v>
      </c>
    </row>
    <row r="256" spans="1:3">
      <c r="A256" s="383">
        <v>2014.07</v>
      </c>
      <c r="B256" s="384">
        <v>147.19114009920594</v>
      </c>
      <c r="C256" s="2978">
        <v>150.991803621923</v>
      </c>
    </row>
    <row r="257" spans="1:3">
      <c r="A257" s="383">
        <v>2014.08</v>
      </c>
      <c r="B257" s="384">
        <v>142.39521108767931</v>
      </c>
      <c r="C257" s="2978">
        <v>150.67378892310379</v>
      </c>
    </row>
    <row r="258" spans="1:3">
      <c r="A258" s="383">
        <v>2014.09</v>
      </c>
      <c r="B258" s="384">
        <v>157.06865802226014</v>
      </c>
      <c r="C258" s="2978">
        <v>150.65605008280551</v>
      </c>
    </row>
    <row r="259" spans="1:3">
      <c r="A259" s="383">
        <v>2014.1</v>
      </c>
      <c r="B259" s="384">
        <v>151.30504809841989</v>
      </c>
      <c r="C259" s="2978">
        <v>150.13768981410615</v>
      </c>
    </row>
    <row r="260" spans="1:3">
      <c r="A260" s="383">
        <v>2014.11</v>
      </c>
      <c r="B260" s="384">
        <v>149.13668719892021</v>
      </c>
      <c r="C260" s="2978">
        <v>149.65340820936967</v>
      </c>
    </row>
    <row r="261" spans="1:3">
      <c r="A261" s="383">
        <v>2014.12</v>
      </c>
      <c r="B261" s="384">
        <v>141.78252678770036</v>
      </c>
      <c r="C261" s="2978">
        <v>149.83057456220416</v>
      </c>
    </row>
    <row r="262" spans="1:3">
      <c r="A262" s="383">
        <v>2015.01</v>
      </c>
      <c r="B262" s="384">
        <v>110.45005424984539</v>
      </c>
      <c r="C262" s="2978">
        <v>150.71050928675874</v>
      </c>
    </row>
    <row r="263" spans="1:3">
      <c r="A263" s="383">
        <v>2015.02</v>
      </c>
      <c r="B263" s="384">
        <v>114.12706525500859</v>
      </c>
      <c r="C263" s="2978">
        <v>150.37416372210782</v>
      </c>
    </row>
    <row r="264" spans="1:3">
      <c r="A264" s="383">
        <v>2015.03</v>
      </c>
      <c r="B264" s="384">
        <v>128.59440176114077</v>
      </c>
      <c r="C264" s="2978">
        <v>150.23752777056666</v>
      </c>
    </row>
    <row r="265" spans="1:3">
      <c r="A265" s="383">
        <v>2015.04</v>
      </c>
      <c r="B265" s="384">
        <v>151.17783596266042</v>
      </c>
      <c r="C265" s="2978">
        <v>152.54521859538369</v>
      </c>
    </row>
    <row r="266" spans="1:3">
      <c r="A266" s="383">
        <v>2015.05</v>
      </c>
      <c r="B266" s="384">
        <v>136.4839694898412</v>
      </c>
      <c r="C266" s="2978">
        <v>155.25078607843764</v>
      </c>
    </row>
    <row r="267" spans="1:3">
      <c r="A267" s="383">
        <v>2015.06</v>
      </c>
      <c r="B267" s="384">
        <v>166.57966386147197</v>
      </c>
      <c r="C267" s="2978">
        <v>156.91298353577633</v>
      </c>
    </row>
    <row r="268" spans="1:3">
      <c r="A268" s="383">
        <v>2015.07</v>
      </c>
      <c r="B268" s="384">
        <v>154.2599162709254</v>
      </c>
      <c r="C268" s="2978">
        <v>156.7699089992775</v>
      </c>
    </row>
    <row r="269" spans="1:3">
      <c r="A269" s="383">
        <v>2015.08</v>
      </c>
      <c r="B269" s="384">
        <v>144.51754900842292</v>
      </c>
      <c r="C269" s="2978">
        <v>156.0789452704519</v>
      </c>
    </row>
    <row r="270" spans="1:3">
      <c r="A270" s="383">
        <v>2015.09</v>
      </c>
      <c r="B270" s="384">
        <v>157.644390268156</v>
      </c>
      <c r="C270" s="2978">
        <v>156.02206779925748</v>
      </c>
    </row>
    <row r="271" spans="1:3">
      <c r="A271" s="383">
        <v>2015.1</v>
      </c>
      <c r="B271" s="384">
        <v>157.64343451460289</v>
      </c>
      <c r="C271" s="2978">
        <v>155.47417740833623</v>
      </c>
    </row>
    <row r="272" spans="1:3">
      <c r="A272" s="383">
        <v>2015.11</v>
      </c>
      <c r="B272" s="384">
        <v>149.10027630272253</v>
      </c>
      <c r="C272" s="2978">
        <v>154.36455098279006</v>
      </c>
    </row>
    <row r="273" spans="1:3">
      <c r="A273" s="383">
        <v>2015.12</v>
      </c>
      <c r="B273" s="384">
        <v>149.79117960881644</v>
      </c>
      <c r="C273" s="2978">
        <v>153.92849832870817</v>
      </c>
    </row>
    <row r="274" spans="1:3">
      <c r="A274" s="383">
        <v>2016.01</v>
      </c>
      <c r="B274" s="384">
        <v>120.98622806543</v>
      </c>
      <c r="C274" s="2978">
        <v>153.90513123138444</v>
      </c>
    </row>
    <row r="275" spans="1:3">
      <c r="A275" s="383">
        <v>2016.02</v>
      </c>
      <c r="B275" s="384">
        <v>123.6012594628489</v>
      </c>
      <c r="C275" s="2978">
        <v>152.98782999812937</v>
      </c>
    </row>
    <row r="276" spans="1:3">
      <c r="A276" s="383">
        <v>2016.03</v>
      </c>
      <c r="B276" s="384">
        <v>143.34114896253465</v>
      </c>
      <c r="C276" s="2978">
        <v>150.15993640622347</v>
      </c>
    </row>
    <row r="277" spans="1:3">
      <c r="A277" s="383">
        <v>2016.04</v>
      </c>
      <c r="B277" s="384">
        <v>133.42855272430782</v>
      </c>
      <c r="C277" s="2978">
        <v>146.01653211580654</v>
      </c>
    </row>
    <row r="278" spans="1:3">
      <c r="A278" s="383">
        <v>2016.05</v>
      </c>
      <c r="B278" s="384">
        <v>139.38575423960134</v>
      </c>
      <c r="C278" s="2978">
        <v>143.41458906204298</v>
      </c>
    </row>
    <row r="279" spans="1:3">
      <c r="A279" s="383">
        <v>2016.06</v>
      </c>
      <c r="B279" s="384">
        <v>141.30486640777463</v>
      </c>
      <c r="C279" s="2978">
        <v>142.42017947156603</v>
      </c>
    </row>
    <row r="280" spans="1:3">
      <c r="A280" s="383">
        <v>2016.07</v>
      </c>
      <c r="B280" s="384">
        <v>141.77980004847339</v>
      </c>
      <c r="C280" s="2978">
        <v>143.74798779576284</v>
      </c>
    </row>
    <row r="281" spans="1:3">
      <c r="A281" s="383">
        <v>2016.08</v>
      </c>
      <c r="B281" s="384">
        <v>154.16798057114357</v>
      </c>
      <c r="C281" s="2978">
        <v>146.52473237276473</v>
      </c>
    </row>
    <row r="282" spans="1:3">
      <c r="A282" s="383">
        <v>2016.09</v>
      </c>
      <c r="B282" s="384">
        <v>156.78339949768142</v>
      </c>
      <c r="C282" s="2978">
        <v>147.43442199738476</v>
      </c>
    </row>
    <row r="283" spans="1:3">
      <c r="A283" s="383">
        <v>2016.1</v>
      </c>
      <c r="B283" s="384">
        <v>144.46480453684669</v>
      </c>
      <c r="C283" s="2978">
        <v>148.3808122995591</v>
      </c>
    </row>
    <row r="284" spans="1:3">
      <c r="A284" s="383">
        <v>2016.11</v>
      </c>
      <c r="B284" s="384">
        <v>155.38187959619393</v>
      </c>
      <c r="C284" s="2978">
        <v>150.69086724618211</v>
      </c>
    </row>
    <row r="285" spans="1:3">
      <c r="A285" s="383">
        <v>2016.12</v>
      </c>
      <c r="B285" s="384">
        <v>152.43981071959189</v>
      </c>
      <c r="C285" s="2978">
        <v>150.84436100101655</v>
      </c>
    </row>
    <row r="286" spans="1:3">
      <c r="A286" s="383">
        <v>2017.01</v>
      </c>
      <c r="B286" s="384">
        <v>124.57768143491808</v>
      </c>
      <c r="C286" s="2978">
        <v>148.36916566516632</v>
      </c>
    </row>
    <row r="287" spans="1:3">
      <c r="A287" s="383">
        <v>2017.02</v>
      </c>
      <c r="B287" s="384">
        <v>125.05097000235143</v>
      </c>
      <c r="C287" s="2978">
        <v>147.27309440806411</v>
      </c>
    </row>
    <row r="288" spans="1:3">
      <c r="A288" s="383">
        <v>2017.03</v>
      </c>
      <c r="B288" s="384">
        <v>151.42330914116499</v>
      </c>
      <c r="C288" s="2978">
        <v>147.58610127895938</v>
      </c>
    </row>
    <row r="289" spans="1:3">
      <c r="A289" s="383">
        <v>2017.04</v>
      </c>
      <c r="B289" s="384">
        <v>148.40719016467267</v>
      </c>
      <c r="C289" s="2978">
        <v>148.32796419004157</v>
      </c>
    </row>
    <row r="290" spans="1:3">
      <c r="A290" s="383">
        <v>2017.05</v>
      </c>
      <c r="B290" s="384">
        <v>167.69700711734936</v>
      </c>
      <c r="C290" s="2978">
        <v>148.85403735547871</v>
      </c>
    </row>
    <row r="291" spans="1:3">
      <c r="A291" s="383">
        <v>2017.06</v>
      </c>
      <c r="B291" s="384">
        <v>152.58552268661452</v>
      </c>
      <c r="C291" s="2978">
        <v>147.57672529219141</v>
      </c>
    </row>
    <row r="292" spans="1:3">
      <c r="A292" s="383">
        <v>2017.07</v>
      </c>
      <c r="B292" s="384">
        <v>155.17757918029437</v>
      </c>
      <c r="C292" s="2978">
        <v>146.13589009102174</v>
      </c>
    </row>
    <row r="293" spans="1:3">
      <c r="A293" s="383">
        <v>2017.08</v>
      </c>
      <c r="B293" s="384">
        <v>156.60282431933535</v>
      </c>
      <c r="C293" s="2978">
        <v>145.78250787188489</v>
      </c>
    </row>
    <row r="294" spans="1:3">
      <c r="A294" s="383">
        <v>2017.09</v>
      </c>
      <c r="B294" s="384">
        <v>159.17565224836719</v>
      </c>
      <c r="C294" s="2978">
        <v>146.56682218115162</v>
      </c>
    </row>
    <row r="295" spans="1:3">
      <c r="A295" s="383">
        <v>2017.1</v>
      </c>
      <c r="B295" s="384">
        <v>162.82488588333706</v>
      </c>
      <c r="C295" s="2978">
        <v>147.62581515243718</v>
      </c>
    </row>
    <row r="296" spans="1:3">
      <c r="A296" s="383">
        <v>2017.11</v>
      </c>
      <c r="B296" s="384">
        <v>153.55196009684514</v>
      </c>
      <c r="C296" s="2978">
        <v>148.03723667055212</v>
      </c>
    </row>
    <row r="297" spans="1:3">
      <c r="A297" s="383">
        <v>2017.12</v>
      </c>
      <c r="B297" s="384">
        <v>150.31412898956916</v>
      </c>
      <c r="C297" s="2978">
        <v>149.67413315445339</v>
      </c>
    </row>
    <row r="298" spans="1:3">
      <c r="A298" s="383">
        <v>2018.01</v>
      </c>
      <c r="B298" s="384">
        <v>135.48946452003344</v>
      </c>
      <c r="C298" s="2978">
        <v>151.99153285208885</v>
      </c>
    </row>
    <row r="299" spans="1:3">
      <c r="A299" s="383">
        <v>2018.02</v>
      </c>
      <c r="B299" s="384">
        <v>132.09837666790014</v>
      </c>
      <c r="C299" s="2978">
        <v>153.37118694566269</v>
      </c>
    </row>
    <row r="300" spans="1:3">
      <c r="A300" s="383">
        <v>2018.03</v>
      </c>
      <c r="B300" s="384">
        <v>153.56599129315032</v>
      </c>
      <c r="C300" s="2978">
        <v>154.14511366846349</v>
      </c>
    </row>
    <row r="301" spans="1:3">
      <c r="A301" s="383">
        <v>2018.04</v>
      </c>
      <c r="B301" s="384">
        <v>145.5035459908361</v>
      </c>
      <c r="C301" s="2978">
        <v>152.22474750418894</v>
      </c>
    </row>
    <row r="302" spans="1:3">
      <c r="A302" s="383">
        <v>2018.05</v>
      </c>
      <c r="B302" s="384">
        <v>153.15778046086865</v>
      </c>
      <c r="C302" s="2978">
        <v>148.8086894855349</v>
      </c>
    </row>
    <row r="303" spans="1:3">
      <c r="A303" s="383">
        <v>2018.06</v>
      </c>
      <c r="B303" s="384">
        <v>147.75607448056905</v>
      </c>
      <c r="C303" s="2978">
        <v>147.17303003348954</v>
      </c>
    </row>
    <row r="304" spans="1:3">
      <c r="A304" s="383">
        <v>2018.07</v>
      </c>
      <c r="B304" s="384">
        <v>148.70914266072148</v>
      </c>
      <c r="C304" s="2978">
        <v>145.5579976711355</v>
      </c>
    </row>
    <row r="305" spans="1:4">
      <c r="A305" s="383">
        <v>2018.08</v>
      </c>
      <c r="B305" s="384">
        <v>149.31628323712161</v>
      </c>
      <c r="C305" s="2978">
        <v>143.38753152732298</v>
      </c>
    </row>
    <row r="306" spans="1:4">
      <c r="A306" s="383">
        <v>2018.09</v>
      </c>
      <c r="B306" s="384">
        <v>137.16908858787679</v>
      </c>
      <c r="C306" s="2978">
        <v>142.70928761436917</v>
      </c>
    </row>
    <row r="307" spans="1:4">
      <c r="A307" s="383">
        <v>2018.1</v>
      </c>
      <c r="B307" s="384">
        <v>141.50817799750021</v>
      </c>
      <c r="C307" s="2978">
        <v>143.34736634417558</v>
      </c>
    </row>
    <row r="308" spans="1:4">
      <c r="A308" s="383">
        <v>2018.11</v>
      </c>
      <c r="B308" s="384">
        <v>127.75359729927749</v>
      </c>
      <c r="C308" s="2978">
        <v>143.40996290536708</v>
      </c>
    </row>
    <row r="309" spans="1:4">
      <c r="A309" s="383">
        <v>2018.12</v>
      </c>
      <c r="B309" s="384">
        <v>125.23386085199452</v>
      </c>
      <c r="C309" s="2978">
        <v>142.94766748810497</v>
      </c>
    </row>
    <row r="310" spans="1:4">
      <c r="A310" s="383">
        <v>2019.01</v>
      </c>
      <c r="B310" s="384">
        <v>114.99691046218017</v>
      </c>
      <c r="C310" s="2978">
        <v>142.69721573392087</v>
      </c>
    </row>
    <row r="311" spans="1:4">
      <c r="A311" s="383">
        <v>2019.02</v>
      </c>
      <c r="B311" s="384">
        <v>114.59184430749318</v>
      </c>
      <c r="C311" s="2978">
        <v>142.31082514419791</v>
      </c>
    </row>
    <row r="312" spans="1:4">
      <c r="A312" s="383">
        <v>2019.03</v>
      </c>
      <c r="B312" s="384">
        <v>127.55184023938995</v>
      </c>
      <c r="C312" s="2978">
        <v>142.19688325492066</v>
      </c>
    </row>
    <row r="313" spans="1:4">
      <c r="A313" s="383">
        <v>2019.04</v>
      </c>
      <c r="B313" s="384">
        <v>134.1243385980585</v>
      </c>
      <c r="C313" s="2978">
        <v>142.61796214249696</v>
      </c>
    </row>
    <row r="314" spans="1:4">
      <c r="A314" s="383">
        <v>2019.05</v>
      </c>
      <c r="B314" s="384">
        <v>144.7163505415356</v>
      </c>
      <c r="C314" s="2978">
        <v>143.89504654621192</v>
      </c>
    </row>
    <row r="315" spans="1:4" s="453" customFormat="1">
      <c r="A315" s="383">
        <v>2019.06</v>
      </c>
      <c r="B315" s="384">
        <v>136.40585467423767</v>
      </c>
      <c r="C315" s="2978">
        <v>146.39415155060232</v>
      </c>
      <c r="D315" s="452"/>
    </row>
    <row r="316" spans="1:4">
      <c r="A316" s="383">
        <v>2019.07</v>
      </c>
      <c r="B316" s="384">
        <v>148.34587210904201</v>
      </c>
      <c r="C316" s="2978">
        <v>148.75877628077305</v>
      </c>
    </row>
    <row r="317" spans="1:4">
      <c r="A317" s="383">
        <v>2019.08</v>
      </c>
      <c r="B317" s="384">
        <v>148.1220351153589</v>
      </c>
      <c r="C317" s="2978">
        <v>150.03158342279002</v>
      </c>
    </row>
    <row r="318" spans="1:4">
      <c r="A318" s="383">
        <v>2019.09</v>
      </c>
      <c r="B318" s="384">
        <v>138.57061217783962</v>
      </c>
      <c r="C318" s="2978">
        <v>151.0630996053805</v>
      </c>
    </row>
    <row r="319" spans="1:4">
      <c r="A319" s="383">
        <v>2019.1</v>
      </c>
      <c r="B319" s="384">
        <v>151.55457322334681</v>
      </c>
      <c r="C319" s="2978">
        <v>151.26650820413374</v>
      </c>
    </row>
    <row r="320" spans="1:4">
      <c r="A320" s="383">
        <v>2019.11</v>
      </c>
      <c r="B320" s="384">
        <v>131.13477004636684</v>
      </c>
      <c r="C320" s="2978">
        <v>149.05816303636433</v>
      </c>
    </row>
    <row r="321" spans="1:3">
      <c r="A321" s="383">
        <v>2019.12</v>
      </c>
      <c r="B321" s="384">
        <v>127.64330175515747</v>
      </c>
      <c r="C321" s="2978">
        <v>146.36153426487348</v>
      </c>
    </row>
    <row r="322" spans="1:3">
      <c r="A322" s="383">
        <v>2020.01</v>
      </c>
      <c r="B322" s="384">
        <v>107.54477067679773</v>
      </c>
      <c r="C322" s="2978">
        <v>144.99071428244991</v>
      </c>
    </row>
    <row r="323" spans="1:3">
      <c r="A323" s="383">
        <v>2020.02</v>
      </c>
      <c r="B323" s="384">
        <v>107.12172557018545</v>
      </c>
      <c r="C323" s="2978">
        <v>143.4589036766049</v>
      </c>
    </row>
    <row r="324" spans="1:3">
      <c r="A324" s="383">
        <v>2020.03</v>
      </c>
      <c r="B324" s="384">
        <v>100.77974665150822</v>
      </c>
      <c r="C324" s="2978">
        <v>141.18294538129703</v>
      </c>
    </row>
    <row r="325" spans="1:3">
      <c r="A325" s="383">
        <v>2020.04</v>
      </c>
      <c r="B325" s="384">
        <v>102.10068282838235</v>
      </c>
      <c r="C325" s="2978">
        <v>140.49166485309627</v>
      </c>
    </row>
    <row r="326" spans="1:3">
      <c r="A326" s="383">
        <v>2020.05</v>
      </c>
      <c r="B326" s="384">
        <v>125.4697516713824</v>
      </c>
      <c r="C326" s="2978">
        <v>141.22738640390384</v>
      </c>
    </row>
    <row r="327" spans="1:3">
      <c r="A327" s="383">
        <v>2020.06</v>
      </c>
      <c r="B327" s="384">
        <v>135.57362146649717</v>
      </c>
      <c r="C327" s="2978">
        <v>141.6839177433875</v>
      </c>
    </row>
    <row r="328" spans="1:3">
      <c r="A328" s="383">
        <v>2020.07</v>
      </c>
      <c r="B328" s="384">
        <v>131.97403558066543</v>
      </c>
      <c r="C328" s="2978">
        <v>143.01986630053099</v>
      </c>
    </row>
    <row r="329" spans="1:3">
      <c r="A329" s="383">
        <v>2020.08</v>
      </c>
      <c r="B329" s="384">
        <v>135.32982150946225</v>
      </c>
      <c r="C329" s="2978">
        <v>145.05551121306024</v>
      </c>
    </row>
    <row r="330" spans="1:3">
      <c r="A330" s="383">
        <v>2020.09</v>
      </c>
      <c r="B330" s="384">
        <v>141.04050646375956</v>
      </c>
      <c r="C330" s="2978">
        <v>145.35281377610755</v>
      </c>
    </row>
    <row r="331" spans="1:3">
      <c r="A331" s="383">
        <v>2020.1</v>
      </c>
      <c r="B331" s="384">
        <v>142.69944585104375</v>
      </c>
      <c r="C331" s="2978">
        <v>145.41437886831389</v>
      </c>
    </row>
    <row r="332" spans="1:3">
      <c r="A332" s="383">
        <v>2020.11</v>
      </c>
      <c r="B332" s="384">
        <v>129.94696765750848</v>
      </c>
      <c r="C332" s="2978">
        <v>147.83389230806955</v>
      </c>
    </row>
    <row r="333" spans="1:3">
      <c r="A333" s="383">
        <v>2020.12</v>
      </c>
      <c r="B333" s="384">
        <v>111.46062854312962</v>
      </c>
      <c r="C333" s="2978">
        <v>150.99368218144645</v>
      </c>
    </row>
    <row r="334" spans="1:3">
      <c r="A334" s="383">
        <v>2021.01</v>
      </c>
      <c r="B334" s="835">
        <v>122.3147641238174</v>
      </c>
      <c r="C334" s="2978">
        <v>154.07034765486486</v>
      </c>
    </row>
    <row r="335" spans="1:3">
      <c r="A335" s="383">
        <v>2021.02</v>
      </c>
      <c r="B335" s="835">
        <v>119.52968110663346</v>
      </c>
      <c r="C335" s="2978">
        <v>157.04885864273297</v>
      </c>
    </row>
    <row r="336" spans="1:3">
      <c r="A336" s="383">
        <v>2021.03</v>
      </c>
      <c r="B336" s="835">
        <v>145.55853680347954</v>
      </c>
      <c r="C336" s="2978">
        <v>158.89909368437509</v>
      </c>
    </row>
    <row r="337" spans="1:3">
      <c r="A337" s="383">
        <v>2021.04</v>
      </c>
      <c r="B337" s="835">
        <v>147.45465442777561</v>
      </c>
      <c r="C337" s="2978">
        <v>158.94625308855407</v>
      </c>
    </row>
    <row r="338" spans="1:3">
      <c r="A338" s="383">
        <v>2021.05</v>
      </c>
      <c r="B338" s="835">
        <v>139.44964219565617</v>
      </c>
      <c r="C338" s="2978">
        <v>158.12215381605964</v>
      </c>
    </row>
    <row r="339" spans="1:3">
      <c r="A339" s="383">
        <v>2021.06</v>
      </c>
      <c r="B339" s="835">
        <v>151.23799810017925</v>
      </c>
      <c r="C339" s="2978">
        <v>158.67948320556971</v>
      </c>
    </row>
    <row r="340" spans="1:3">
      <c r="A340" s="383">
        <v>2021.07</v>
      </c>
      <c r="B340" s="835">
        <v>152.8544308299879</v>
      </c>
      <c r="C340" s="2978">
        <v>160.11771247312043</v>
      </c>
    </row>
    <row r="341" spans="1:3">
      <c r="A341" s="383">
        <v>2021.08</v>
      </c>
      <c r="B341" s="835">
        <v>153.3286694113317</v>
      </c>
      <c r="C341" s="2978">
        <v>160.82316589728424</v>
      </c>
    </row>
    <row r="342" spans="1:3">
      <c r="A342" s="383">
        <v>2021.09</v>
      </c>
      <c r="B342" s="835">
        <v>155.43612573177754</v>
      </c>
      <c r="C342" s="2978">
        <v>161.58707211298065</v>
      </c>
    </row>
    <row r="343" spans="1:3">
      <c r="A343" s="383">
        <v>2021.1</v>
      </c>
      <c r="B343" s="835">
        <v>153.57143163461666</v>
      </c>
      <c r="C343" s="2978">
        <v>161.3969197451614</v>
      </c>
    </row>
    <row r="344" spans="1:3">
      <c r="A344" s="383">
        <v>2021.11</v>
      </c>
      <c r="B344" s="835">
        <v>148.53169976964318</v>
      </c>
      <c r="C344" s="2978">
        <v>160.83555824689279</v>
      </c>
    </row>
    <row r="345" spans="1:3">
      <c r="A345" s="383">
        <v>2021.12</v>
      </c>
      <c r="B345" s="835">
        <v>144.07646366077603</v>
      </c>
      <c r="C345" s="2978">
        <v>161.2265340833207</v>
      </c>
    </row>
    <row r="346" spans="1:3">
      <c r="A346" s="383">
        <v>2022.01</v>
      </c>
      <c r="B346" s="835">
        <v>117.93193453190685</v>
      </c>
      <c r="C346" s="2978">
        <v>160.75509937974999</v>
      </c>
    </row>
    <row r="347" spans="1:3">
      <c r="A347" s="383">
        <v>2022.02</v>
      </c>
      <c r="B347" s="835">
        <v>128.7855019642744</v>
      </c>
      <c r="C347" s="2978">
        <v>160.78813930242552</v>
      </c>
    </row>
    <row r="348" spans="1:3">
      <c r="A348" s="383">
        <v>2022.03</v>
      </c>
      <c r="B348" s="835">
        <v>151.60425438383805</v>
      </c>
      <c r="C348" s="2978">
        <v>162.26699535764362</v>
      </c>
    </row>
    <row r="349" spans="1:3">
      <c r="A349" s="383">
        <v>2022.04</v>
      </c>
      <c r="B349" s="835">
        <v>163.67836323353154</v>
      </c>
      <c r="C349" s="2978">
        <v>164.0537125471366</v>
      </c>
    </row>
    <row r="350" spans="1:3">
      <c r="A350" s="383">
        <v>2022.05</v>
      </c>
      <c r="B350" s="835">
        <v>168.00332228208134</v>
      </c>
      <c r="C350" s="2978">
        <v>165.07230345171723</v>
      </c>
    </row>
    <row r="351" spans="1:3">
      <c r="A351" s="383">
        <v>2022.06</v>
      </c>
      <c r="B351" s="835">
        <v>165.36652443613892</v>
      </c>
      <c r="C351" s="2978">
        <v>164.12856948118841</v>
      </c>
    </row>
    <row r="352" spans="1:3">
      <c r="A352" s="383">
        <v>2022.07</v>
      </c>
      <c r="B352" s="835">
        <v>157.92811805173369</v>
      </c>
      <c r="C352" s="2978">
        <v>161.61867131419416</v>
      </c>
    </row>
    <row r="353" spans="1:3">
      <c r="A353" s="383">
        <v>2022.08</v>
      </c>
      <c r="B353" s="835">
        <v>162.24175978716698</v>
      </c>
      <c r="C353" s="2978">
        <v>159.47880020871636</v>
      </c>
    </row>
    <row r="354" spans="1:3">
      <c r="A354" s="383">
        <v>2022.09</v>
      </c>
      <c r="B354" s="835">
        <v>160.82404882326082</v>
      </c>
      <c r="C354" s="2978">
        <v>158.23537951818656</v>
      </c>
    </row>
    <row r="355" spans="1:3">
      <c r="A355" s="383">
        <v>2022.1</v>
      </c>
      <c r="B355" s="835">
        <v>151.6536323128104</v>
      </c>
      <c r="C355" s="2978">
        <v>157.38453920398177</v>
      </c>
    </row>
    <row r="356" spans="1:3">
      <c r="A356" s="383">
        <v>2022.11</v>
      </c>
      <c r="B356" s="835">
        <v>153.33034670277428</v>
      </c>
      <c r="C356" s="2978">
        <v>157.98137909894578</v>
      </c>
    </row>
    <row r="357" spans="1:3">
      <c r="A357" s="383">
        <v>2022.12</v>
      </c>
      <c r="B357" s="835">
        <v>139.95255647290026</v>
      </c>
      <c r="C357" s="2978">
        <v>158.07502915157733</v>
      </c>
    </row>
    <row r="358" spans="1:3">
      <c r="A358" s="383">
        <v>2023.01</v>
      </c>
      <c r="B358" s="835">
        <v>123.85511973194583</v>
      </c>
      <c r="C358" s="2978">
        <v>155.6722604906137</v>
      </c>
    </row>
    <row r="359" spans="1:3">
      <c r="A359" s="383">
        <v>2023.02</v>
      </c>
      <c r="B359" s="835">
        <v>112.32084671172079</v>
      </c>
      <c r="C359" s="2978">
        <v>153.75707050522803</v>
      </c>
    </row>
    <row r="360" spans="1:3">
      <c r="A360" s="383">
        <v>2023.03</v>
      </c>
      <c r="B360" s="835">
        <v>145.31129517033168</v>
      </c>
      <c r="C360" s="2978">
        <v>153.33158562415412</v>
      </c>
    </row>
    <row r="361" spans="1:3">
      <c r="A361" s="383">
        <v>2023.04</v>
      </c>
      <c r="B361" s="835">
        <v>145.45404994593136</v>
      </c>
      <c r="C361" s="2978">
        <v>152.79315193592001</v>
      </c>
    </row>
    <row r="362" spans="1:3">
      <c r="A362" s="383">
        <v>2023.05</v>
      </c>
      <c r="B362" s="835">
        <v>148.68107059585338</v>
      </c>
      <c r="C362" s="2978">
        <v>152.10916166731596</v>
      </c>
    </row>
    <row r="363" spans="1:3">
      <c r="A363" s="383">
        <v>2023.06</v>
      </c>
      <c r="B363" s="835">
        <v>147.60981241528461</v>
      </c>
      <c r="C363" s="2978">
        <v>151.17323138436288</v>
      </c>
    </row>
    <row r="364" spans="1:3">
      <c r="A364" s="383">
        <v>2023.07</v>
      </c>
      <c r="B364" s="976" t="s">
        <v>1076</v>
      </c>
      <c r="C364" s="2978">
        <v>149.80022216677204</v>
      </c>
    </row>
    <row r="365" spans="1:3">
      <c r="A365" s="383">
        <v>2023.08</v>
      </c>
      <c r="B365" s="1101"/>
      <c r="C365" s="2978">
        <v>147.61663069717383</v>
      </c>
    </row>
    <row r="366" spans="1:3">
      <c r="A366" s="383">
        <v>2023.09</v>
      </c>
      <c r="B366" s="1101"/>
      <c r="C366" s="2978">
        <v>144.71538058376498</v>
      </c>
    </row>
    <row r="367" spans="1:3">
      <c r="A367" s="383">
        <v>2023.1</v>
      </c>
      <c r="B367" s="1101"/>
      <c r="C367" s="2978">
        <v>143.15297771176949</v>
      </c>
    </row>
    <row r="368" spans="1:3">
      <c r="A368" s="383">
        <v>2023.11</v>
      </c>
      <c r="B368" s="1101"/>
      <c r="C368" s="2978">
        <v>142.20603999161057</v>
      </c>
    </row>
    <row r="369" spans="1:3">
      <c r="A369" s="383">
        <v>2023.12</v>
      </c>
      <c r="B369" s="1101"/>
      <c r="C369" s="2978">
        <v>141.57970918043785</v>
      </c>
    </row>
    <row r="370" spans="1:3">
      <c r="A370" s="383">
        <v>2024.01</v>
      </c>
      <c r="B370" s="1101"/>
      <c r="C370" s="2978">
        <v>142.88870929605577</v>
      </c>
    </row>
    <row r="371" spans="1:3">
      <c r="A371" s="385">
        <v>2024.02</v>
      </c>
      <c r="B371" s="1101"/>
      <c r="C371" s="2978">
        <v>144.37734557653883</v>
      </c>
    </row>
    <row r="372" spans="1:3">
      <c r="A372" s="385">
        <v>2024.03</v>
      </c>
      <c r="B372" s="1101"/>
      <c r="C372" s="2978">
        <v>145.33556954210658</v>
      </c>
    </row>
    <row r="373" spans="1:3">
      <c r="A373" s="385">
        <v>2024.04</v>
      </c>
      <c r="B373" s="1101"/>
      <c r="C373" s="2978">
        <v>146.50858651340411</v>
      </c>
    </row>
    <row r="374" spans="1:3">
      <c r="A374" s="385">
        <v>2024.05</v>
      </c>
      <c r="B374" s="1101"/>
      <c r="C374" s="2978">
        <v>147.69733019316408</v>
      </c>
    </row>
    <row r="375" spans="1:3">
      <c r="A375" s="385">
        <v>2024.06</v>
      </c>
      <c r="B375" s="1101"/>
      <c r="C375" s="2978">
        <v>149.40849546463076</v>
      </c>
    </row>
    <row r="376" spans="1:3">
      <c r="A376" s="385">
        <v>2024.07</v>
      </c>
      <c r="B376" s="1101"/>
      <c r="C376" s="2978">
        <v>150.15127148694188</v>
      </c>
    </row>
    <row r="377" spans="1:3">
      <c r="A377" s="385">
        <v>2024.08</v>
      </c>
      <c r="B377" s="1101"/>
      <c r="C377" s="2978">
        <v>149.80355225119544</v>
      </c>
    </row>
    <row r="378" spans="1:3">
      <c r="A378" s="385">
        <v>2024.09</v>
      </c>
      <c r="B378" s="1101"/>
      <c r="C378" s="2978">
        <v>151.25121223565165</v>
      </c>
    </row>
    <row r="379" spans="1:3">
      <c r="A379" s="385">
        <v>2024.1</v>
      </c>
      <c r="B379" s="1101"/>
      <c r="C379" s="2978">
        <v>153.29856453980727</v>
      </c>
    </row>
    <row r="380" spans="1:3">
      <c r="A380" s="385">
        <v>2024.11</v>
      </c>
      <c r="B380" s="1101"/>
      <c r="C380" s="2978">
        <v>154.21675211061617</v>
      </c>
    </row>
    <row r="381" spans="1:3">
      <c r="A381" s="385">
        <v>2024.12</v>
      </c>
      <c r="B381" s="1101"/>
      <c r="C381" s="2978">
        <v>154.85461219748302</v>
      </c>
    </row>
    <row r="382" spans="1:3">
      <c r="A382" s="385">
        <v>2025.01</v>
      </c>
      <c r="B382" s="1101"/>
      <c r="C382" s="2978">
        <v>155.04381190551393</v>
      </c>
    </row>
    <row r="383" spans="1:3">
      <c r="A383" s="385">
        <v>2025.02</v>
      </c>
      <c r="B383" s="1101"/>
      <c r="C383" s="2978">
        <v>154.05156833105042</v>
      </c>
    </row>
    <row r="384" spans="1:3">
      <c r="A384" s="385">
        <v>2025.03</v>
      </c>
      <c r="B384" s="1101"/>
      <c r="C384" s="2978">
        <v>152.23268392013972</v>
      </c>
    </row>
    <row r="385" spans="1:3">
      <c r="A385" s="385">
        <v>2025.04</v>
      </c>
      <c r="B385" s="1101"/>
      <c r="C385" s="2978">
        <v>151.54791712651979</v>
      </c>
    </row>
    <row r="386" spans="1:3">
      <c r="A386" s="385">
        <v>2025.05</v>
      </c>
      <c r="B386" s="1101"/>
      <c r="C386" s="2978">
        <v>151.83287200330977</v>
      </c>
    </row>
    <row r="387" spans="1:3">
      <c r="A387" s="385">
        <v>2025.06</v>
      </c>
      <c r="B387" s="1101"/>
      <c r="C387" s="2978">
        <v>151.36099739733086</v>
      </c>
    </row>
    <row r="388" spans="1:3">
      <c r="A388" s="385">
        <v>2025.07</v>
      </c>
      <c r="B388" s="1101"/>
      <c r="C388" s="2978">
        <v>152.11734098499628</v>
      </c>
    </row>
    <row r="389" spans="1:3">
      <c r="A389" s="385">
        <v>2025.08</v>
      </c>
      <c r="B389" s="1101"/>
      <c r="C389" s="2978">
        <v>154.88841866997723</v>
      </c>
    </row>
    <row r="390" spans="1:3">
      <c r="A390" s="385">
        <v>2025.09</v>
      </c>
      <c r="B390" s="1101"/>
      <c r="C390" s="2978">
        <v>156.74805344300088</v>
      </c>
    </row>
    <row r="391" spans="1:3">
      <c r="A391" s="385">
        <v>2025.1</v>
      </c>
      <c r="B391" s="1101"/>
      <c r="C391" s="2978">
        <v>156.92319491834402</v>
      </c>
    </row>
    <row r="392" spans="1:3">
      <c r="A392" s="385">
        <v>2025.11</v>
      </c>
      <c r="B392" s="1101"/>
      <c r="C392" s="2978">
        <v>156.17450634692335</v>
      </c>
    </row>
    <row r="393" spans="1:3">
      <c r="A393" s="385">
        <v>2025.12</v>
      </c>
      <c r="B393" s="1101"/>
      <c r="C393" s="2978">
        <v>155.24138852285438</v>
      </c>
    </row>
    <row r="394" spans="1:3">
      <c r="A394" s="385">
        <v>2026.01</v>
      </c>
      <c r="B394" s="1101"/>
      <c r="C394" s="2978">
        <v>154.4365988714973</v>
      </c>
    </row>
    <row r="395" spans="1:3">
      <c r="A395" s="385">
        <v>2026.02</v>
      </c>
      <c r="B395" s="1101"/>
      <c r="C395" s="2978" t="e">
        <v>#N/A</v>
      </c>
    </row>
    <row r="396" spans="1:3">
      <c r="A396" s="385">
        <v>2026.03</v>
      </c>
      <c r="B396" s="1101"/>
      <c r="C396" s="2978" t="e">
        <v>#N/A</v>
      </c>
    </row>
    <row r="397" spans="1:3">
      <c r="A397" s="385">
        <v>2026.04</v>
      </c>
      <c r="B397" s="1101"/>
      <c r="C397" s="2978" t="e">
        <v>#N/A</v>
      </c>
    </row>
    <row r="398" spans="1:3">
      <c r="A398" s="385">
        <v>2026.05</v>
      </c>
      <c r="B398" s="1101"/>
      <c r="C398" s="2978" t="e">
        <v>#N/A</v>
      </c>
    </row>
    <row r="399" spans="1:3">
      <c r="A399" s="385">
        <v>2026.06</v>
      </c>
      <c r="B399" s="1101"/>
      <c r="C399" s="2978" t="e">
        <v>#N/A</v>
      </c>
    </row>
    <row r="400" spans="1:3">
      <c r="A400" s="385">
        <v>2026.07</v>
      </c>
      <c r="B400" s="1101"/>
      <c r="C400" s="2978" t="e">
        <v>#N/A</v>
      </c>
    </row>
    <row r="401" spans="1:3">
      <c r="A401" s="385">
        <v>2026.08</v>
      </c>
      <c r="B401" s="1101"/>
      <c r="C401" s="2978" t="e">
        <v>#N/A</v>
      </c>
    </row>
    <row r="402" spans="1:3">
      <c r="A402" s="385">
        <v>2026.09</v>
      </c>
      <c r="B402" s="1101"/>
      <c r="C402" s="2978" t="e">
        <v>#N/A</v>
      </c>
    </row>
    <row r="403" spans="1:3">
      <c r="A403" s="385">
        <v>2026.1</v>
      </c>
      <c r="B403" s="1101"/>
      <c r="C403" s="2978" t="e">
        <v>#N/A</v>
      </c>
    </row>
    <row r="404" spans="1:3">
      <c r="A404" s="385">
        <v>2026.11</v>
      </c>
      <c r="B404" s="1101"/>
      <c r="C404" s="2978" t="e">
        <v>#N/A</v>
      </c>
    </row>
    <row r="405" spans="1:3">
      <c r="A405" s="385">
        <v>2026.12</v>
      </c>
      <c r="B405" s="1101"/>
      <c r="C405" s="2978" t="e">
        <v>#N/A</v>
      </c>
    </row>
    <row r="406" spans="1:3">
      <c r="A406" s="385">
        <v>2027.01</v>
      </c>
      <c r="B406" s="1101"/>
      <c r="C406" s="2978" t="e">
        <v>#N/A</v>
      </c>
    </row>
    <row r="407" spans="1:3">
      <c r="A407" s="385">
        <v>2027.02</v>
      </c>
      <c r="B407" s="1101"/>
      <c r="C407" s="2978" t="e">
        <v>#N/A</v>
      </c>
    </row>
    <row r="408" spans="1:3">
      <c r="A408" s="385">
        <v>2027.03</v>
      </c>
      <c r="B408" s="1101"/>
      <c r="C408" s="2978" t="e">
        <v>#N/A</v>
      </c>
    </row>
    <row r="409" spans="1:3">
      <c r="A409" s="385">
        <v>2027.04</v>
      </c>
      <c r="B409" s="1101"/>
      <c r="C409" s="2978" t="e">
        <v>#N/A</v>
      </c>
    </row>
    <row r="410" spans="1:3">
      <c r="A410" s="385">
        <v>2027.05</v>
      </c>
      <c r="B410" s="1101"/>
      <c r="C410" s="2978" t="e">
        <v>#N/A</v>
      </c>
    </row>
    <row r="411" spans="1:3">
      <c r="A411" s="385">
        <v>2027.06</v>
      </c>
      <c r="B411" s="1101"/>
      <c r="C411" s="2978" t="e">
        <v>#N/A</v>
      </c>
    </row>
    <row r="412" spans="1:3">
      <c r="A412" s="385">
        <v>2027.07</v>
      </c>
      <c r="B412" s="1101"/>
      <c r="C412" s="2978" t="e">
        <v>#N/A</v>
      </c>
    </row>
    <row r="413" spans="1:3">
      <c r="A413" s="385">
        <v>2027.08</v>
      </c>
      <c r="B413" s="1101"/>
      <c r="C413" s="2978" t="e">
        <v>#N/A</v>
      </c>
    </row>
    <row r="414" spans="1:3">
      <c r="A414" s="385">
        <v>2027.09</v>
      </c>
      <c r="B414" s="1101"/>
      <c r="C414" s="2978" t="e">
        <v>#N/A</v>
      </c>
    </row>
    <row r="415" spans="1:3">
      <c r="A415" s="385">
        <v>2027.1</v>
      </c>
      <c r="B415" s="1101"/>
      <c r="C415" s="2978" t="e">
        <v>#N/A</v>
      </c>
    </row>
    <row r="416" spans="1:3">
      <c r="A416" s="385">
        <v>2027.11</v>
      </c>
      <c r="B416" s="1101"/>
      <c r="C416" s="2978" t="e">
        <v>#N/A</v>
      </c>
    </row>
    <row r="417" spans="1:3">
      <c r="A417" s="385">
        <v>2027.12</v>
      </c>
      <c r="B417" s="1101"/>
      <c r="C417" s="2978" t="e">
        <v>#N/A</v>
      </c>
    </row>
    <row r="418" spans="1:3">
      <c r="A418" s="385">
        <v>2028.01</v>
      </c>
      <c r="B418" s="1101"/>
      <c r="C418" s="2978" t="e">
        <v>#N/A</v>
      </c>
    </row>
    <row r="419" spans="1:3">
      <c r="A419" s="385">
        <v>2028.02</v>
      </c>
      <c r="B419" s="1101"/>
      <c r="C419" s="2978" t="e">
        <v>#N/A</v>
      </c>
    </row>
    <row r="420" spans="1:3">
      <c r="A420" s="385">
        <v>2028.03</v>
      </c>
      <c r="B420" s="1101"/>
      <c r="C420" s="2978" t="e">
        <v>#N/A</v>
      </c>
    </row>
    <row r="421" spans="1:3">
      <c r="A421" s="385">
        <v>2028.04</v>
      </c>
      <c r="B421" s="1101"/>
      <c r="C421" s="2978" t="e">
        <v>#N/A</v>
      </c>
    </row>
    <row r="422" spans="1:3">
      <c r="A422" s="385">
        <v>2028.05</v>
      </c>
      <c r="B422" s="1101"/>
      <c r="C422" s="2978" t="e">
        <v>#N/A</v>
      </c>
    </row>
    <row r="423" spans="1:3">
      <c r="A423" s="385">
        <v>2028.06</v>
      </c>
      <c r="B423" s="1101"/>
      <c r="C423" s="2978" t="e">
        <v>#N/A</v>
      </c>
    </row>
    <row r="424" spans="1:3">
      <c r="A424" s="385">
        <v>2028.07</v>
      </c>
      <c r="B424" s="1101"/>
      <c r="C424" s="2978" t="e">
        <v>#N/A</v>
      </c>
    </row>
    <row r="425" spans="1:3">
      <c r="A425" s="385">
        <v>2028.08</v>
      </c>
      <c r="B425" s="1101"/>
      <c r="C425" s="2978" t="e">
        <v>#N/A</v>
      </c>
    </row>
    <row r="426" spans="1:3">
      <c r="A426" s="385">
        <v>2028.09</v>
      </c>
      <c r="B426" s="1101"/>
      <c r="C426" s="2978" t="e">
        <v>#N/A</v>
      </c>
    </row>
    <row r="427" spans="1:3">
      <c r="A427" s="385">
        <v>2028.1</v>
      </c>
      <c r="B427" s="1101"/>
      <c r="C427" s="2978" t="e">
        <v>#N/A</v>
      </c>
    </row>
    <row r="428" spans="1:3">
      <c r="A428" s="385">
        <v>2028.11</v>
      </c>
      <c r="B428" s="1101"/>
      <c r="C428" s="2978" t="e">
        <v>#N/A</v>
      </c>
    </row>
    <row r="429" spans="1:3">
      <c r="A429" s="385">
        <v>2028.12</v>
      </c>
      <c r="B429" s="1101"/>
      <c r="C429" s="2978" t="e">
        <v>#N/A</v>
      </c>
    </row>
    <row r="430" spans="1:3">
      <c r="A430" s="385">
        <v>2029.01</v>
      </c>
      <c r="B430" s="1101"/>
      <c r="C430" s="2978" t="e">
        <v>#N/A</v>
      </c>
    </row>
    <row r="431" spans="1:3">
      <c r="A431" s="385">
        <v>2029.02</v>
      </c>
      <c r="B431" s="1101"/>
      <c r="C431" s="2978" t="e">
        <v>#N/A</v>
      </c>
    </row>
    <row r="432" spans="1:3">
      <c r="A432" s="385">
        <v>2029.03</v>
      </c>
      <c r="B432" s="1101"/>
      <c r="C432" s="2978" t="e">
        <v>#N/A</v>
      </c>
    </row>
    <row r="433" spans="1:3">
      <c r="A433" s="385">
        <v>2029.04</v>
      </c>
      <c r="B433" s="1101"/>
      <c r="C433" s="2978" t="e">
        <v>#N/A</v>
      </c>
    </row>
    <row r="434" spans="1:3">
      <c r="A434" s="385">
        <v>2029.05</v>
      </c>
      <c r="B434" s="1101"/>
      <c r="C434" s="2978" t="e">
        <v>#N/A</v>
      </c>
    </row>
    <row r="435" spans="1:3">
      <c r="A435" s="385">
        <v>2029.06</v>
      </c>
      <c r="B435" s="1101"/>
      <c r="C435" s="2978" t="e">
        <v>#N/A</v>
      </c>
    </row>
    <row r="436" spans="1:3">
      <c r="A436" s="385">
        <v>2029.07</v>
      </c>
      <c r="B436" s="1101"/>
      <c r="C436" s="2978" t="e">
        <v>#N/A</v>
      </c>
    </row>
    <row r="437" spans="1:3">
      <c r="A437" s="385">
        <v>2029.08</v>
      </c>
      <c r="B437" s="1101"/>
      <c r="C437" s="2978" t="e">
        <v>#N/A</v>
      </c>
    </row>
    <row r="438" spans="1:3">
      <c r="A438" s="385">
        <v>2029.09</v>
      </c>
      <c r="B438" s="1101"/>
      <c r="C438" s="2978" t="e">
        <v>#N/A</v>
      </c>
    </row>
    <row r="439" spans="1:3">
      <c r="A439" s="385">
        <v>2029.1</v>
      </c>
      <c r="B439" s="1101"/>
      <c r="C439" s="2978" t="e">
        <v>#N/A</v>
      </c>
    </row>
    <row r="440" spans="1:3">
      <c r="A440" s="385">
        <v>2029.11</v>
      </c>
      <c r="B440" s="1101"/>
      <c r="C440" s="2978" t="e">
        <v>#N/A</v>
      </c>
    </row>
    <row r="441" spans="1:3">
      <c r="A441" s="385">
        <v>2029.12</v>
      </c>
      <c r="B441" s="1101"/>
      <c r="C441" s="2978" t="e">
        <v>#N/A</v>
      </c>
    </row>
    <row r="442" spans="1:3">
      <c r="A442" s="385">
        <v>2030.01</v>
      </c>
      <c r="B442" s="1101"/>
      <c r="C442" s="2978" t="e">
        <v>#N/A</v>
      </c>
    </row>
    <row r="443" spans="1:3">
      <c r="A443" s="385">
        <v>2030.02</v>
      </c>
      <c r="B443" s="1101"/>
      <c r="C443" s="2978" t="e">
        <v>#N/A</v>
      </c>
    </row>
    <row r="444" spans="1:3">
      <c r="A444" s="385">
        <v>2030.03</v>
      </c>
      <c r="B444" s="1101"/>
      <c r="C444" s="2978" t="e">
        <v>#N/A</v>
      </c>
    </row>
    <row r="445" spans="1:3">
      <c r="A445" s="385">
        <v>2030.04</v>
      </c>
      <c r="B445" s="1101"/>
      <c r="C445" s="2978" t="e">
        <v>#N/A</v>
      </c>
    </row>
    <row r="446" spans="1:3">
      <c r="A446" s="385">
        <v>2030.05</v>
      </c>
      <c r="B446" s="1101"/>
      <c r="C446" s="2978" t="e">
        <v>#N/A</v>
      </c>
    </row>
    <row r="447" spans="1:3">
      <c r="A447" s="385">
        <v>2030.06</v>
      </c>
      <c r="B447" s="1101"/>
      <c r="C447" s="2978" t="e">
        <v>#N/A</v>
      </c>
    </row>
    <row r="448" spans="1:3">
      <c r="A448" s="385">
        <v>2030.07</v>
      </c>
      <c r="B448" s="1101"/>
      <c r="C448" s="2978" t="e">
        <v>#N/A</v>
      </c>
    </row>
    <row r="449" spans="1:3">
      <c r="A449" s="385">
        <v>2030.08</v>
      </c>
      <c r="B449" s="1101"/>
      <c r="C449" s="2978" t="e">
        <v>#N/A</v>
      </c>
    </row>
    <row r="450" spans="1:3">
      <c r="A450" s="385">
        <v>2030.09</v>
      </c>
      <c r="B450" s="1101"/>
      <c r="C450" s="2978" t="e">
        <v>#N/A</v>
      </c>
    </row>
    <row r="451" spans="1:3">
      <c r="A451" s="385">
        <v>2030.1</v>
      </c>
      <c r="B451" s="1101"/>
      <c r="C451" s="2978" t="e">
        <v>#N/A</v>
      </c>
    </row>
    <row r="452" spans="1:3">
      <c r="A452" s="385">
        <v>2030.11</v>
      </c>
      <c r="B452" s="1101"/>
      <c r="C452" s="2978" t="e">
        <v>#N/A</v>
      </c>
    </row>
    <row r="453" spans="1:3">
      <c r="A453" s="385">
        <v>2030.12</v>
      </c>
      <c r="B453" s="1101"/>
      <c r="C453" s="2978" t="e">
        <v>#N/A</v>
      </c>
    </row>
  </sheetData>
  <hyperlinks>
    <hyperlink ref="A5" location="INDICE!A13" display="VOLVER AL INDICE" xr:uid="{00000000-0004-0000-1F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D180"/>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11.5703125" style="21" customWidth="1"/>
    <col min="2" max="7" width="11.42578125" style="21" customWidth="1"/>
    <col min="8" max="8" width="13.140625" style="21" bestFit="1" customWidth="1"/>
    <col min="9" max="9" width="14" style="21" bestFit="1" customWidth="1"/>
    <col min="10" max="10" width="13.140625" style="21" customWidth="1"/>
    <col min="11" max="11" width="12.5703125" style="21" customWidth="1"/>
    <col min="12" max="12" width="13.85546875" style="21" bestFit="1" customWidth="1"/>
    <col min="13" max="13" width="12.42578125" style="21" customWidth="1"/>
    <col min="14" max="14" width="11.42578125" style="21" customWidth="1"/>
    <col min="15" max="15" width="13.5703125" style="21" customWidth="1"/>
    <col min="16" max="16" width="13.5703125" style="6" customWidth="1"/>
    <col min="17" max="16384" width="11.42578125" style="6"/>
  </cols>
  <sheetData>
    <row r="1" spans="1:16" ht="3.75" customHeight="1">
      <c r="A1" s="2761"/>
      <c r="B1" s="1306"/>
      <c r="C1" s="1306"/>
      <c r="D1" s="1306"/>
      <c r="E1" s="1306"/>
      <c r="F1" s="1306"/>
      <c r="G1" s="1306"/>
      <c r="H1" s="1306"/>
      <c r="I1" s="949"/>
      <c r="J1" s="1306"/>
      <c r="K1" s="1306"/>
      <c r="L1" s="1306"/>
      <c r="M1" s="1306"/>
      <c r="N1" s="1306"/>
      <c r="O1" s="1306"/>
      <c r="P1" s="1374"/>
    </row>
    <row r="2" spans="1:16">
      <c r="A2" s="2762" t="s">
        <v>99</v>
      </c>
      <c r="B2" s="320" t="s">
        <v>1339</v>
      </c>
      <c r="C2" s="320"/>
      <c r="D2" s="320"/>
      <c r="E2" s="320"/>
      <c r="F2" s="320"/>
      <c r="G2" s="320"/>
      <c r="H2" s="320"/>
      <c r="I2" s="2742" t="s">
        <v>1340</v>
      </c>
      <c r="J2" s="320"/>
      <c r="K2" s="320"/>
      <c r="L2" s="320"/>
      <c r="M2" s="320"/>
      <c r="N2" s="320"/>
      <c r="O2" s="320"/>
      <c r="P2" s="2913" t="s">
        <v>1341</v>
      </c>
    </row>
    <row r="3" spans="1:16">
      <c r="A3" s="2762" t="s">
        <v>193</v>
      </c>
      <c r="B3" s="320" t="s">
        <v>1342</v>
      </c>
      <c r="C3" s="38"/>
      <c r="D3" s="38"/>
      <c r="E3" s="38"/>
      <c r="F3" s="38"/>
      <c r="G3" s="38"/>
      <c r="H3" s="38"/>
      <c r="I3" s="2742" t="s">
        <v>1342</v>
      </c>
      <c r="J3" s="38"/>
      <c r="K3" s="38"/>
      <c r="L3" s="38"/>
      <c r="M3" s="38"/>
      <c r="N3" s="38"/>
      <c r="O3" s="38"/>
      <c r="P3" s="2913" t="s">
        <v>1343</v>
      </c>
    </row>
    <row r="4" spans="1:16" ht="3.75" hidden="1" customHeight="1">
      <c r="A4" s="2762"/>
      <c r="B4" s="1306"/>
      <c r="C4" s="1306"/>
      <c r="D4" s="1306"/>
      <c r="E4" s="1306"/>
      <c r="F4" s="1306"/>
      <c r="G4" s="1306"/>
      <c r="H4" s="1306"/>
      <c r="I4" s="1307"/>
      <c r="J4" s="1306"/>
      <c r="K4" s="1306"/>
      <c r="L4" s="1306"/>
      <c r="M4" s="1306"/>
      <c r="N4" s="1306"/>
      <c r="O4" s="1306"/>
      <c r="P4" s="2984"/>
    </row>
    <row r="5" spans="1:16" ht="22.5">
      <c r="A5" s="2867" t="s">
        <v>140</v>
      </c>
      <c r="B5" s="148" t="s">
        <v>1344</v>
      </c>
      <c r="C5" s="99"/>
      <c r="D5" s="99"/>
      <c r="E5" s="99"/>
      <c r="F5" s="99"/>
      <c r="G5" s="99"/>
      <c r="H5" s="99"/>
      <c r="I5" s="2824" t="str">
        <f>B5</f>
        <v>Depósitos y préstamos. Sector privado y público no financiero. Total de residentes en el país y extranjeros.</v>
      </c>
      <c r="J5" s="99"/>
      <c r="K5" s="99"/>
      <c r="L5" s="99"/>
      <c r="M5" s="99"/>
      <c r="N5" s="100"/>
      <c r="O5" s="99"/>
      <c r="P5" s="2984"/>
    </row>
    <row r="6" spans="1:16" ht="22.5">
      <c r="A6" s="2762"/>
      <c r="B6" s="969" t="s">
        <v>1345</v>
      </c>
      <c r="C6" s="583" t="s">
        <v>1346</v>
      </c>
      <c r="D6" s="583" t="s">
        <v>1347</v>
      </c>
      <c r="E6" s="1375" t="s">
        <v>1348</v>
      </c>
      <c r="F6" s="969" t="s">
        <v>1349</v>
      </c>
      <c r="G6" s="583" t="s">
        <v>1350</v>
      </c>
      <c r="H6" s="589" t="s">
        <v>1351</v>
      </c>
      <c r="I6" s="570" t="s">
        <v>1345</v>
      </c>
      <c r="J6" s="583" t="s">
        <v>1346</v>
      </c>
      <c r="K6" s="1375" t="s">
        <v>1347</v>
      </c>
      <c r="L6" s="1375" t="s">
        <v>1348</v>
      </c>
      <c r="M6" s="583" t="s">
        <v>1349</v>
      </c>
      <c r="N6" s="1375" t="s">
        <v>1350</v>
      </c>
      <c r="O6" s="2070" t="s">
        <v>1351</v>
      </c>
      <c r="P6" s="2920" t="s">
        <v>1352</v>
      </c>
    </row>
    <row r="7" spans="1:16" ht="33.75" customHeight="1">
      <c r="A7" s="2762" t="s">
        <v>125</v>
      </c>
      <c r="B7" s="148" t="s">
        <v>238</v>
      </c>
      <c r="C7" s="83"/>
      <c r="D7" s="83"/>
      <c r="E7" s="83"/>
      <c r="F7" s="83"/>
      <c r="G7" s="83"/>
      <c r="H7" s="102"/>
      <c r="I7" s="2824" t="s">
        <v>238</v>
      </c>
      <c r="J7" s="83"/>
      <c r="K7" s="83"/>
      <c r="L7" s="83"/>
      <c r="M7" s="83"/>
      <c r="N7" s="101"/>
      <c r="O7" s="83"/>
      <c r="P7" s="2920" t="s">
        <v>1353</v>
      </c>
    </row>
    <row r="8" spans="1:16" s="1651" customFormat="1" ht="14.25" customHeight="1">
      <c r="A8" s="2751" t="s">
        <v>144</v>
      </c>
      <c r="B8" s="1750" t="s">
        <v>1354</v>
      </c>
      <c r="C8" s="2157" t="s">
        <v>1355</v>
      </c>
      <c r="D8" s="1750" t="s">
        <v>1356</v>
      </c>
      <c r="E8" s="2157" t="s">
        <v>1357</v>
      </c>
      <c r="F8" s="1750" t="s">
        <v>1358</v>
      </c>
      <c r="G8" s="2157" t="s">
        <v>1359</v>
      </c>
      <c r="H8" s="1751" t="s">
        <v>1360</v>
      </c>
      <c r="I8" s="2797" t="s">
        <v>1361</v>
      </c>
      <c r="J8" s="2157" t="s">
        <v>1362</v>
      </c>
      <c r="K8" s="1750" t="s">
        <v>1363</v>
      </c>
      <c r="L8" s="2157" t="s">
        <v>1364</v>
      </c>
      <c r="M8" s="1750" t="s">
        <v>1365</v>
      </c>
      <c r="N8" s="2157" t="s">
        <v>1366</v>
      </c>
      <c r="O8" s="1751" t="s">
        <v>1367</v>
      </c>
      <c r="P8" s="2956" t="s">
        <v>1368</v>
      </c>
    </row>
    <row r="9" spans="1:16" s="1652" customFormat="1" ht="13.5" thickBot="1">
      <c r="A9" s="2140"/>
      <c r="B9" s="1237"/>
      <c r="C9" s="2250"/>
      <c r="D9" s="2251"/>
      <c r="E9" s="2250"/>
      <c r="F9" s="2251"/>
      <c r="G9" s="2250"/>
      <c r="H9" s="2252"/>
      <c r="I9" s="1237"/>
      <c r="J9" s="2250"/>
      <c r="K9" s="2251"/>
      <c r="L9" s="2250"/>
      <c r="M9" s="2251"/>
      <c r="N9" s="2250"/>
      <c r="O9" s="2252"/>
      <c r="P9" s="2253"/>
    </row>
    <row r="10" spans="1:16" s="1653" customFormat="1">
      <c r="A10" s="1301" t="s">
        <v>58</v>
      </c>
      <c r="B10" s="334">
        <f t="shared" ref="B10:B45" si="0">C10+D10</f>
        <v>586682.4</v>
      </c>
      <c r="C10" s="3650">
        <v>513214.1</v>
      </c>
      <c r="D10" s="2245">
        <v>73468.3</v>
      </c>
      <c r="E10" s="3651">
        <f>5410076/10</f>
        <v>541007.6</v>
      </c>
      <c r="F10" s="2245">
        <v>521120.9</v>
      </c>
      <c r="G10" s="3650">
        <v>19886.7</v>
      </c>
      <c r="H10" s="2246"/>
      <c r="I10" s="2247">
        <f>93330094/10</f>
        <v>9333009.4000000004</v>
      </c>
      <c r="J10" s="3650">
        <f>76729511/10</f>
        <v>7672951.0999999996</v>
      </c>
      <c r="K10" s="2245">
        <f>16600583/10</f>
        <v>1660058.3</v>
      </c>
      <c r="L10" s="3651">
        <f>119230533/10</f>
        <v>11923053.300000001</v>
      </c>
      <c r="M10" s="2245">
        <f>107577740/10</f>
        <v>10757774</v>
      </c>
      <c r="N10" s="3650">
        <f>11652793/10</f>
        <v>1165279.3</v>
      </c>
      <c r="O10" s="2248"/>
      <c r="P10" s="2249">
        <v>1</v>
      </c>
    </row>
    <row r="11" spans="1:16">
      <c r="A11" s="1301" t="s">
        <v>387</v>
      </c>
      <c r="B11" s="2380">
        <f t="shared" si="0"/>
        <v>766142.1</v>
      </c>
      <c r="C11" s="3504">
        <v>646805.1</v>
      </c>
      <c r="D11" s="151">
        <v>119337</v>
      </c>
      <c r="E11" s="3652">
        <f>7764797/10</f>
        <v>776479.7</v>
      </c>
      <c r="F11" s="151">
        <v>763198</v>
      </c>
      <c r="G11" s="3504">
        <v>13281.7</v>
      </c>
      <c r="H11" s="1376"/>
      <c r="I11" s="2381">
        <f>115140210/10</f>
        <v>11514021</v>
      </c>
      <c r="J11" s="3504">
        <f>91751988/10</f>
        <v>9175198.8000000007</v>
      </c>
      <c r="K11" s="151">
        <f>23388222/10</f>
        <v>2338822.2000000002</v>
      </c>
      <c r="L11" s="3652">
        <f>153327998/10</f>
        <v>15332799.800000001</v>
      </c>
      <c r="M11" s="151">
        <f>138462539/10</f>
        <v>13846253.9</v>
      </c>
      <c r="N11" s="3504">
        <f>14865459/10</f>
        <v>1486545.9</v>
      </c>
      <c r="O11" s="1377"/>
      <c r="P11" s="1378">
        <v>1</v>
      </c>
    </row>
    <row r="12" spans="1:16">
      <c r="A12" s="1301" t="s">
        <v>388</v>
      </c>
      <c r="B12" s="2380">
        <f t="shared" si="0"/>
        <v>900071.5</v>
      </c>
      <c r="C12" s="3504">
        <v>791131.5</v>
      </c>
      <c r="D12" s="151">
        <v>108940</v>
      </c>
      <c r="E12" s="3652">
        <f>9539254/10</f>
        <v>953925.4</v>
      </c>
      <c r="F12" s="151">
        <v>940712.3</v>
      </c>
      <c r="G12" s="3504">
        <v>13213.1</v>
      </c>
      <c r="H12" s="1376"/>
      <c r="I12" s="2381">
        <f>134505535/10</f>
        <v>13450553.5</v>
      </c>
      <c r="J12" s="3504">
        <f>110079732/10</f>
        <v>11007973.199999999</v>
      </c>
      <c r="K12" s="151">
        <f>24425803/10</f>
        <v>2442580.2999999998</v>
      </c>
      <c r="L12" s="3652">
        <f>173193569/10</f>
        <v>17319356.899999999</v>
      </c>
      <c r="M12" s="151">
        <f>158928316/10</f>
        <v>15892831.6</v>
      </c>
      <c r="N12" s="3504">
        <f>14265253/10</f>
        <v>1426525.3</v>
      </c>
      <c r="O12" s="1377"/>
      <c r="P12" s="1378">
        <v>1</v>
      </c>
    </row>
    <row r="13" spans="1:16">
      <c r="A13" s="1301" t="s">
        <v>389</v>
      </c>
      <c r="B13" s="2380">
        <f t="shared" si="0"/>
        <v>951440.1</v>
      </c>
      <c r="C13" s="3504">
        <v>847513.1</v>
      </c>
      <c r="D13" s="151">
        <v>103927</v>
      </c>
      <c r="E13" s="3652">
        <f>12240063/10</f>
        <v>1224006.3</v>
      </c>
      <c r="F13" s="151">
        <v>1202811</v>
      </c>
      <c r="G13" s="3504">
        <v>21195.3</v>
      </c>
      <c r="H13" s="1376"/>
      <c r="I13" s="2381">
        <f>152114128/10</f>
        <v>15211412.800000001</v>
      </c>
      <c r="J13" s="3504">
        <f>121906493/10</f>
        <v>12190649.300000001</v>
      </c>
      <c r="K13" s="151">
        <f>30207635/10</f>
        <v>3020763.5</v>
      </c>
      <c r="L13" s="3652">
        <f>200124607/10</f>
        <v>20012460.699999999</v>
      </c>
      <c r="M13" s="151">
        <f>184138113/10</f>
        <v>18413811.300000001</v>
      </c>
      <c r="N13" s="3504">
        <f>15986494/10</f>
        <v>1598649.4</v>
      </c>
      <c r="O13" s="1377"/>
      <c r="P13" s="1378">
        <v>1</v>
      </c>
    </row>
    <row r="14" spans="1:16">
      <c r="A14" s="1301" t="s">
        <v>390</v>
      </c>
      <c r="B14" s="2380">
        <f t="shared" si="0"/>
        <v>1165881</v>
      </c>
      <c r="C14" s="3504">
        <v>1027907</v>
      </c>
      <c r="D14" s="151">
        <v>137974</v>
      </c>
      <c r="E14" s="3652">
        <v>1407007</v>
      </c>
      <c r="F14" s="151">
        <v>1393825</v>
      </c>
      <c r="G14" s="3504">
        <v>13182</v>
      </c>
      <c r="H14" s="1376"/>
      <c r="I14" s="2381">
        <v>18541301</v>
      </c>
      <c r="J14" s="3504">
        <v>15028114</v>
      </c>
      <c r="K14" s="151">
        <v>3513187</v>
      </c>
      <c r="L14" s="3652">
        <v>22191597</v>
      </c>
      <c r="M14" s="151">
        <v>20394866</v>
      </c>
      <c r="N14" s="3504">
        <v>1796731</v>
      </c>
      <c r="O14" s="1377"/>
      <c r="P14" s="1378">
        <v>1</v>
      </c>
    </row>
    <row r="15" spans="1:16">
      <c r="A15" s="1301" t="s">
        <v>391</v>
      </c>
      <c r="B15" s="2380">
        <f t="shared" si="0"/>
        <v>1418664</v>
      </c>
      <c r="C15" s="3504">
        <v>1201186</v>
      </c>
      <c r="D15" s="151">
        <v>217478</v>
      </c>
      <c r="E15" s="3652">
        <v>1616382</v>
      </c>
      <c r="F15" s="151">
        <v>1603070</v>
      </c>
      <c r="G15" s="3504">
        <v>13312</v>
      </c>
      <c r="H15" s="1376"/>
      <c r="I15" s="2381">
        <v>21947715</v>
      </c>
      <c r="J15" s="3504">
        <v>17590703</v>
      </c>
      <c r="K15" s="151">
        <v>4357012</v>
      </c>
      <c r="L15" s="3652">
        <v>26983785</v>
      </c>
      <c r="M15" s="151">
        <v>25210074</v>
      </c>
      <c r="N15" s="3504">
        <v>1773711</v>
      </c>
      <c r="O15" s="1377"/>
      <c r="P15" s="1378">
        <v>1</v>
      </c>
    </row>
    <row r="16" spans="1:16">
      <c r="A16" s="1301" t="s">
        <v>392</v>
      </c>
      <c r="B16" s="2380">
        <f t="shared" si="0"/>
        <v>1546817</v>
      </c>
      <c r="C16" s="3504">
        <v>1292944</v>
      </c>
      <c r="D16" s="151">
        <v>253873</v>
      </c>
      <c r="E16" s="3652">
        <v>1925665</v>
      </c>
      <c r="F16" s="151">
        <v>1913049</v>
      </c>
      <c r="G16" s="3504">
        <v>12616</v>
      </c>
      <c r="H16" s="1376"/>
      <c r="I16" s="2381">
        <v>24668924</v>
      </c>
      <c r="J16" s="3504">
        <v>19567289</v>
      </c>
      <c r="K16" s="151">
        <v>5101635</v>
      </c>
      <c r="L16" s="3652">
        <v>30638013</v>
      </c>
      <c r="M16" s="151">
        <v>28302438</v>
      </c>
      <c r="N16" s="3504">
        <v>2335575</v>
      </c>
      <c r="O16" s="1377"/>
      <c r="P16" s="1378">
        <v>1</v>
      </c>
    </row>
    <row r="17" spans="1:16">
      <c r="A17" s="1301" t="s">
        <v>393</v>
      </c>
      <c r="B17" s="2380">
        <f t="shared" si="0"/>
        <v>1605820</v>
      </c>
      <c r="C17" s="3504">
        <v>1346040</v>
      </c>
      <c r="D17" s="151">
        <v>259780</v>
      </c>
      <c r="E17" s="3652">
        <v>2140351</v>
      </c>
      <c r="F17" s="151">
        <v>2127001</v>
      </c>
      <c r="G17" s="3504">
        <v>13350</v>
      </c>
      <c r="H17" s="1376"/>
      <c r="I17" s="2381">
        <v>25359219</v>
      </c>
      <c r="J17" s="3504">
        <v>20389185</v>
      </c>
      <c r="K17" s="151">
        <v>4970034</v>
      </c>
      <c r="L17" s="3652">
        <v>33538840</v>
      </c>
      <c r="M17" s="151">
        <v>30886303</v>
      </c>
      <c r="N17" s="3504">
        <v>2652537</v>
      </c>
      <c r="O17" s="1377"/>
      <c r="P17" s="1378">
        <v>1</v>
      </c>
    </row>
    <row r="18" spans="1:16">
      <c r="A18" s="1301" t="s">
        <v>394</v>
      </c>
      <c r="B18" s="2380">
        <f t="shared" si="0"/>
        <v>1831203</v>
      </c>
      <c r="C18" s="3504">
        <v>1539283</v>
      </c>
      <c r="D18" s="151">
        <v>291920</v>
      </c>
      <c r="E18" s="3652">
        <v>2305045</v>
      </c>
      <c r="F18" s="151">
        <v>2292408</v>
      </c>
      <c r="G18" s="3504">
        <v>12637</v>
      </c>
      <c r="H18" s="1376"/>
      <c r="I18" s="2381">
        <v>31382989</v>
      </c>
      <c r="J18" s="3504">
        <v>24167448</v>
      </c>
      <c r="K18" s="151">
        <v>7215541</v>
      </c>
      <c r="L18" s="3652">
        <v>38145445</v>
      </c>
      <c r="M18" s="151">
        <v>34257353</v>
      </c>
      <c r="N18" s="3504">
        <v>3888092</v>
      </c>
      <c r="O18" s="1377"/>
      <c r="P18" s="1378">
        <v>1</v>
      </c>
    </row>
    <row r="19" spans="1:16">
      <c r="A19" s="1301" t="s">
        <v>395</v>
      </c>
      <c r="B19" s="2380">
        <f t="shared" si="0"/>
        <v>2079997</v>
      </c>
      <c r="C19" s="3504">
        <v>1711967</v>
      </c>
      <c r="D19" s="151">
        <v>368030</v>
      </c>
      <c r="E19" s="3652">
        <v>2497008</v>
      </c>
      <c r="F19" s="151">
        <v>2434482</v>
      </c>
      <c r="G19" s="3504">
        <v>62526</v>
      </c>
      <c r="H19" s="1376"/>
      <c r="I19" s="2381">
        <v>33050370</v>
      </c>
      <c r="J19" s="3504">
        <v>26485231</v>
      </c>
      <c r="K19" s="151">
        <v>6565139</v>
      </c>
      <c r="L19" s="3652">
        <v>39350344</v>
      </c>
      <c r="M19" s="151">
        <v>35826530</v>
      </c>
      <c r="N19" s="3504">
        <v>3523814</v>
      </c>
      <c r="O19" s="1377"/>
      <c r="P19" s="1378">
        <v>1</v>
      </c>
    </row>
    <row r="20" spans="1:16">
      <c r="A20" s="1301" t="s">
        <v>396</v>
      </c>
      <c r="B20" s="2380">
        <f t="shared" si="0"/>
        <v>2303085</v>
      </c>
      <c r="C20" s="3504">
        <v>1862498</v>
      </c>
      <c r="D20" s="151">
        <v>440587</v>
      </c>
      <c r="E20" s="3652">
        <v>2737026</v>
      </c>
      <c r="F20" s="151">
        <v>2593739</v>
      </c>
      <c r="G20" s="3504">
        <v>143287</v>
      </c>
      <c r="H20" s="1376"/>
      <c r="I20" s="2381">
        <v>37562866</v>
      </c>
      <c r="J20" s="3504">
        <v>29993899</v>
      </c>
      <c r="K20" s="151">
        <v>7568967</v>
      </c>
      <c r="L20" s="3652">
        <v>42062740</v>
      </c>
      <c r="M20" s="151">
        <v>37654169</v>
      </c>
      <c r="N20" s="3504">
        <v>4408571</v>
      </c>
      <c r="O20" s="1377"/>
      <c r="P20" s="1378">
        <v>1</v>
      </c>
    </row>
    <row r="21" spans="1:16">
      <c r="A21" s="1301" t="s">
        <v>397</v>
      </c>
      <c r="B21" s="2380">
        <f t="shared" si="0"/>
        <v>2394880</v>
      </c>
      <c r="C21" s="3504">
        <v>1939782</v>
      </c>
      <c r="D21" s="151">
        <v>455098</v>
      </c>
      <c r="E21" s="3652">
        <v>2981317</v>
      </c>
      <c r="F21" s="151">
        <v>2873686</v>
      </c>
      <c r="G21" s="3504">
        <v>107631</v>
      </c>
      <c r="H21" s="1376"/>
      <c r="I21" s="2381">
        <v>39951130</v>
      </c>
      <c r="J21" s="3504">
        <v>32226657</v>
      </c>
      <c r="K21" s="151">
        <v>7724473</v>
      </c>
      <c r="L21" s="3652">
        <v>44745723</v>
      </c>
      <c r="M21" s="151">
        <v>41000759</v>
      </c>
      <c r="N21" s="3504">
        <v>3744964</v>
      </c>
      <c r="O21" s="1377"/>
      <c r="P21" s="1378">
        <v>1</v>
      </c>
    </row>
    <row r="22" spans="1:16">
      <c r="A22" s="1301" t="s">
        <v>28</v>
      </c>
      <c r="B22" s="2380">
        <f t="shared" si="0"/>
        <v>2564869</v>
      </c>
      <c r="C22" s="3504">
        <v>2052402</v>
      </c>
      <c r="D22" s="151">
        <v>512467</v>
      </c>
      <c r="E22" s="3652">
        <v>3187436</v>
      </c>
      <c r="F22" s="151">
        <v>2555451</v>
      </c>
      <c r="G22" s="3504">
        <v>162446</v>
      </c>
      <c r="H22" s="1376"/>
      <c r="I22" s="2381">
        <v>42338287</v>
      </c>
      <c r="J22" s="3504">
        <v>34264968</v>
      </c>
      <c r="K22" s="151">
        <v>8073319</v>
      </c>
      <c r="L22" s="3652">
        <v>47438781</v>
      </c>
      <c r="M22" s="151">
        <v>37022196</v>
      </c>
      <c r="N22" s="3504">
        <v>4455582</v>
      </c>
      <c r="O22" s="1377"/>
      <c r="P22" s="1378">
        <v>1</v>
      </c>
    </row>
    <row r="23" spans="1:16">
      <c r="A23" s="1301" t="s">
        <v>35</v>
      </c>
      <c r="B23" s="2380">
        <f t="shared" si="0"/>
        <v>2738138</v>
      </c>
      <c r="C23" s="3504">
        <v>2214901</v>
      </c>
      <c r="D23" s="151">
        <v>523237</v>
      </c>
      <c r="E23" s="3652">
        <v>3267657</v>
      </c>
      <c r="F23" s="151">
        <v>2630881</v>
      </c>
      <c r="G23" s="3504">
        <v>162330</v>
      </c>
      <c r="H23" s="1376"/>
      <c r="I23" s="2381">
        <v>43889419</v>
      </c>
      <c r="J23" s="3504">
        <v>35309633</v>
      </c>
      <c r="K23" s="151">
        <v>8579786</v>
      </c>
      <c r="L23" s="3652">
        <v>49966418</v>
      </c>
      <c r="M23" s="151">
        <v>39128532</v>
      </c>
      <c r="N23" s="3504">
        <v>4584306</v>
      </c>
      <c r="O23" s="1377"/>
      <c r="P23" s="1378">
        <v>1</v>
      </c>
    </row>
    <row r="24" spans="1:16">
      <c r="A24" s="1301" t="s">
        <v>398</v>
      </c>
      <c r="B24" s="2380">
        <f t="shared" si="0"/>
        <v>2805755</v>
      </c>
      <c r="C24" s="3504">
        <v>2307498</v>
      </c>
      <c r="D24" s="151">
        <v>498257</v>
      </c>
      <c r="E24" s="3652">
        <v>3187436</v>
      </c>
      <c r="F24" s="151">
        <v>2805949</v>
      </c>
      <c r="G24" s="3504">
        <v>156737</v>
      </c>
      <c r="H24" s="1376"/>
      <c r="I24" s="2381">
        <v>44708136</v>
      </c>
      <c r="J24" s="3504">
        <v>37544816</v>
      </c>
      <c r="K24" s="151">
        <v>7163320</v>
      </c>
      <c r="L24" s="3652">
        <v>51665046</v>
      </c>
      <c r="M24" s="151">
        <v>41123269</v>
      </c>
      <c r="N24" s="3504">
        <v>4438925</v>
      </c>
      <c r="O24" s="1377"/>
      <c r="P24" s="1378">
        <v>1</v>
      </c>
    </row>
    <row r="25" spans="1:16">
      <c r="A25" s="1301" t="s">
        <v>399</v>
      </c>
      <c r="B25" s="2380">
        <f t="shared" si="0"/>
        <v>2794374</v>
      </c>
      <c r="C25" s="3504">
        <v>2296783</v>
      </c>
      <c r="D25" s="151">
        <v>497591</v>
      </c>
      <c r="E25" s="3652">
        <v>3598005</v>
      </c>
      <c r="F25" s="151">
        <v>3012526</v>
      </c>
      <c r="G25" s="3504">
        <v>138956</v>
      </c>
      <c r="H25" s="1376"/>
      <c r="I25" s="2381">
        <v>44503913</v>
      </c>
      <c r="J25" s="3504">
        <v>38517514</v>
      </c>
      <c r="K25" s="151">
        <v>5986399</v>
      </c>
      <c r="L25" s="3652">
        <v>53054206</v>
      </c>
      <c r="M25" s="151">
        <v>43280827</v>
      </c>
      <c r="N25" s="3504">
        <v>3753123</v>
      </c>
      <c r="O25" s="1377"/>
      <c r="P25" s="1378">
        <v>1</v>
      </c>
    </row>
    <row r="26" spans="1:16">
      <c r="A26" s="1301" t="s">
        <v>400</v>
      </c>
      <c r="B26" s="2380">
        <f t="shared" si="0"/>
        <v>2463812</v>
      </c>
      <c r="C26" s="3504">
        <v>1997322</v>
      </c>
      <c r="D26" s="151">
        <v>466490</v>
      </c>
      <c r="E26" s="3652">
        <v>3496524</v>
      </c>
      <c r="F26" s="151">
        <v>3365236</v>
      </c>
      <c r="G26" s="3504">
        <v>131288</v>
      </c>
      <c r="H26" s="1376"/>
      <c r="I26" s="2381">
        <v>39222040</v>
      </c>
      <c r="J26" s="3504">
        <v>34064562</v>
      </c>
      <c r="K26" s="151">
        <v>5157478</v>
      </c>
      <c r="L26" s="3652">
        <v>52454616</v>
      </c>
      <c r="M26" s="151">
        <v>48893373</v>
      </c>
      <c r="N26" s="3504">
        <v>3561243</v>
      </c>
      <c r="O26" s="1377"/>
      <c r="P26" s="1378">
        <v>1</v>
      </c>
    </row>
    <row r="27" spans="1:16">
      <c r="A27" s="1301" t="s">
        <v>401</v>
      </c>
      <c r="B27" s="2380">
        <f t="shared" si="0"/>
        <v>2493499</v>
      </c>
      <c r="C27" s="3504">
        <v>2030269</v>
      </c>
      <c r="D27" s="151">
        <v>463230</v>
      </c>
      <c r="E27" s="3652">
        <v>3247937</v>
      </c>
      <c r="F27" s="151">
        <v>3126703</v>
      </c>
      <c r="G27" s="3504">
        <v>121234</v>
      </c>
      <c r="H27" s="1376"/>
      <c r="I27" s="2381">
        <v>40058172</v>
      </c>
      <c r="J27" s="3504">
        <v>34768832</v>
      </c>
      <c r="K27" s="151">
        <v>5289340</v>
      </c>
      <c r="L27" s="3652">
        <v>52487929</v>
      </c>
      <c r="M27" s="151">
        <v>48613290</v>
      </c>
      <c r="N27" s="3504">
        <v>3874639</v>
      </c>
      <c r="O27" s="1377"/>
      <c r="P27" s="1378">
        <v>1</v>
      </c>
    </row>
    <row r="28" spans="1:16">
      <c r="A28" s="1301" t="s">
        <v>402</v>
      </c>
      <c r="B28" s="2380">
        <f t="shared" si="0"/>
        <v>2501315</v>
      </c>
      <c r="C28" s="3504">
        <v>2104252</v>
      </c>
      <c r="D28" s="151">
        <v>397063</v>
      </c>
      <c r="E28" s="3652">
        <v>2843516</v>
      </c>
      <c r="F28" s="151">
        <v>2722612</v>
      </c>
      <c r="G28" s="3504">
        <v>120904</v>
      </c>
      <c r="H28" s="1376"/>
      <c r="I28" s="2381">
        <v>41627480</v>
      </c>
      <c r="J28" s="3504">
        <v>36376828</v>
      </c>
      <c r="K28" s="151">
        <v>5250652</v>
      </c>
      <c r="L28" s="3652">
        <v>51698965</v>
      </c>
      <c r="M28" s="151">
        <v>47620587</v>
      </c>
      <c r="N28" s="3504">
        <v>4078378</v>
      </c>
      <c r="O28" s="1377"/>
      <c r="P28" s="1378">
        <v>1</v>
      </c>
    </row>
    <row r="29" spans="1:16">
      <c r="A29" s="1301" t="s">
        <v>403</v>
      </c>
      <c r="B29" s="2380">
        <f t="shared" si="0"/>
        <v>2535290</v>
      </c>
      <c r="C29" s="3504">
        <v>2212343</v>
      </c>
      <c r="D29" s="151">
        <v>322947</v>
      </c>
      <c r="E29" s="3652">
        <v>2775722</v>
      </c>
      <c r="F29" s="151">
        <v>2678922</v>
      </c>
      <c r="G29" s="3504">
        <v>96800</v>
      </c>
      <c r="H29" s="1376"/>
      <c r="I29" s="2381">
        <v>43320410</v>
      </c>
      <c r="J29" s="3504">
        <v>38152010</v>
      </c>
      <c r="K29" s="151">
        <v>5168400</v>
      </c>
      <c r="L29" s="3652">
        <v>53878895</v>
      </c>
      <c r="M29" s="151">
        <v>49797884</v>
      </c>
      <c r="N29" s="3504">
        <v>4081011</v>
      </c>
      <c r="O29" s="1377"/>
      <c r="P29" s="1378">
        <v>1</v>
      </c>
    </row>
    <row r="30" spans="1:16">
      <c r="A30" s="1301" t="s">
        <v>404</v>
      </c>
      <c r="B30" s="2380">
        <f t="shared" si="0"/>
        <v>2738865</v>
      </c>
      <c r="C30" s="3504">
        <v>2443100</v>
      </c>
      <c r="D30" s="151">
        <v>295765</v>
      </c>
      <c r="E30" s="3652">
        <v>2754556</v>
      </c>
      <c r="F30" s="151">
        <v>2693801</v>
      </c>
      <c r="G30" s="3504">
        <v>60755</v>
      </c>
      <c r="H30" s="1376"/>
      <c r="I30" s="2381">
        <v>47524224</v>
      </c>
      <c r="J30" s="3504">
        <v>42122579</v>
      </c>
      <c r="K30" s="151">
        <v>5401645</v>
      </c>
      <c r="L30" s="3652">
        <v>53557277</v>
      </c>
      <c r="M30" s="151">
        <v>50046220</v>
      </c>
      <c r="N30" s="3504">
        <v>3511057</v>
      </c>
      <c r="O30" s="1377"/>
      <c r="P30" s="1378">
        <v>1</v>
      </c>
    </row>
    <row r="31" spans="1:16">
      <c r="A31" s="1301" t="s">
        <v>405</v>
      </c>
      <c r="B31" s="2380">
        <f t="shared" si="0"/>
        <v>2926912</v>
      </c>
      <c r="C31" s="3504">
        <v>2625061</v>
      </c>
      <c r="D31" s="151">
        <v>301851</v>
      </c>
      <c r="E31" s="3652">
        <v>2695476</v>
      </c>
      <c r="F31" s="151">
        <v>2678207</v>
      </c>
      <c r="G31" s="3504">
        <v>17269</v>
      </c>
      <c r="H31" s="1376"/>
      <c r="I31" s="2381">
        <v>50476983</v>
      </c>
      <c r="J31" s="3504">
        <v>43927949</v>
      </c>
      <c r="K31" s="151">
        <v>6549034</v>
      </c>
      <c r="L31" s="3652">
        <v>55551900</v>
      </c>
      <c r="M31" s="151">
        <v>51713177</v>
      </c>
      <c r="N31" s="3504">
        <v>3838723</v>
      </c>
      <c r="O31" s="1377"/>
      <c r="P31" s="1378">
        <v>1</v>
      </c>
    </row>
    <row r="32" spans="1:16">
      <c r="A32" s="1301" t="s">
        <v>406</v>
      </c>
      <c r="B32" s="2380">
        <f t="shared" si="0"/>
        <v>2940661</v>
      </c>
      <c r="C32" s="3504">
        <v>2645245</v>
      </c>
      <c r="D32" s="151">
        <v>295416</v>
      </c>
      <c r="E32" s="3652">
        <v>2771932</v>
      </c>
      <c r="F32" s="151">
        <v>2752640</v>
      </c>
      <c r="G32" s="3504">
        <v>19292</v>
      </c>
      <c r="H32" s="1376"/>
      <c r="I32" s="2381">
        <v>50796373</v>
      </c>
      <c r="J32" s="3504">
        <v>44789154</v>
      </c>
      <c r="K32" s="151">
        <v>6007219</v>
      </c>
      <c r="L32" s="3652">
        <v>55169063</v>
      </c>
      <c r="M32" s="151">
        <v>51342944</v>
      </c>
      <c r="N32" s="3504">
        <v>3826119</v>
      </c>
      <c r="O32" s="1377"/>
      <c r="P32" s="1378">
        <v>1</v>
      </c>
    </row>
    <row r="33" spans="1:16">
      <c r="A33" s="1301" t="s">
        <v>407</v>
      </c>
      <c r="B33" s="2380">
        <f t="shared" si="0"/>
        <v>2975891</v>
      </c>
      <c r="C33" s="3504">
        <v>2638488</v>
      </c>
      <c r="D33" s="151">
        <v>337403</v>
      </c>
      <c r="E33" s="3652">
        <v>2846469</v>
      </c>
      <c r="F33" s="151">
        <v>2843795</v>
      </c>
      <c r="G33" s="3504">
        <v>2674</v>
      </c>
      <c r="H33" s="1376"/>
      <c r="I33" s="2381">
        <v>52914789</v>
      </c>
      <c r="J33" s="3504">
        <v>46175017</v>
      </c>
      <c r="K33" s="151">
        <v>6739772</v>
      </c>
      <c r="L33" s="3652">
        <v>58578603</v>
      </c>
      <c r="M33" s="151">
        <v>54777736</v>
      </c>
      <c r="N33" s="3504">
        <v>3800867</v>
      </c>
      <c r="O33" s="1377"/>
      <c r="P33" s="1378">
        <v>1</v>
      </c>
    </row>
    <row r="34" spans="1:16">
      <c r="A34" s="1301" t="s">
        <v>408</v>
      </c>
      <c r="B34" s="2380">
        <f t="shared" si="0"/>
        <v>3063661</v>
      </c>
      <c r="C34" s="3504">
        <v>2718068</v>
      </c>
      <c r="D34" s="151">
        <v>345593</v>
      </c>
      <c r="E34" s="3652">
        <v>2862011</v>
      </c>
      <c r="F34" s="151">
        <v>2551805</v>
      </c>
      <c r="G34" s="3504">
        <v>5681</v>
      </c>
      <c r="H34" s="1376"/>
      <c r="I34" s="2381">
        <v>57215916</v>
      </c>
      <c r="J34" s="3504">
        <v>49612602</v>
      </c>
      <c r="K34" s="151">
        <v>7603314</v>
      </c>
      <c r="L34" s="3652">
        <v>60013238</v>
      </c>
      <c r="M34" s="151">
        <v>56285428</v>
      </c>
      <c r="N34" s="3504">
        <v>3727810</v>
      </c>
      <c r="O34" s="1377"/>
      <c r="P34" s="1378">
        <v>1</v>
      </c>
    </row>
    <row r="35" spans="1:16">
      <c r="A35" s="1301" t="s">
        <v>409</v>
      </c>
      <c r="B35" s="2380">
        <f t="shared" si="0"/>
        <v>3331201</v>
      </c>
      <c r="C35" s="3504">
        <v>2793700</v>
      </c>
      <c r="D35" s="151">
        <v>537501</v>
      </c>
      <c r="E35" s="3652">
        <v>2877429</v>
      </c>
      <c r="F35" s="151">
        <v>2558226</v>
      </c>
      <c r="G35" s="3504">
        <v>63245</v>
      </c>
      <c r="H35" s="1376"/>
      <c r="I35" s="2381">
        <v>62688628</v>
      </c>
      <c r="J35" s="3504">
        <v>54132888</v>
      </c>
      <c r="K35" s="151">
        <v>8555740</v>
      </c>
      <c r="L35" s="3652">
        <v>62620457</v>
      </c>
      <c r="M35" s="151">
        <v>59175068</v>
      </c>
      <c r="N35" s="3504">
        <v>3445389</v>
      </c>
      <c r="O35" s="1377"/>
      <c r="P35" s="1378">
        <v>1</v>
      </c>
    </row>
    <row r="36" spans="1:16">
      <c r="A36" s="1301" t="s">
        <v>410</v>
      </c>
      <c r="B36" s="2380">
        <f t="shared" si="0"/>
        <v>3437594</v>
      </c>
      <c r="C36" s="3504">
        <v>2947545</v>
      </c>
      <c r="D36" s="151">
        <v>490049</v>
      </c>
      <c r="E36" s="3652">
        <v>2978894</v>
      </c>
      <c r="F36" s="151">
        <v>2640705</v>
      </c>
      <c r="G36" s="3504">
        <v>42235</v>
      </c>
      <c r="H36" s="1376"/>
      <c r="I36" s="2381">
        <v>65525450</v>
      </c>
      <c r="J36" s="3504">
        <v>56946699</v>
      </c>
      <c r="K36" s="151">
        <v>8578751</v>
      </c>
      <c r="L36" s="3652">
        <v>65051990</v>
      </c>
      <c r="M36" s="151">
        <v>61409429</v>
      </c>
      <c r="N36" s="3504">
        <v>3642561</v>
      </c>
      <c r="O36" s="1377"/>
      <c r="P36" s="1378">
        <v>1</v>
      </c>
    </row>
    <row r="37" spans="1:16">
      <c r="A37" s="1301" t="s">
        <v>411</v>
      </c>
      <c r="B37" s="2380">
        <f t="shared" si="0"/>
        <v>3379940</v>
      </c>
      <c r="C37" s="3504">
        <v>2918255</v>
      </c>
      <c r="D37" s="151">
        <v>461685</v>
      </c>
      <c r="E37" s="3652">
        <v>3061549</v>
      </c>
      <c r="F37" s="151">
        <v>2729072</v>
      </c>
      <c r="G37" s="3504">
        <v>86090</v>
      </c>
      <c r="H37" s="1376"/>
      <c r="I37" s="2381">
        <v>67199420</v>
      </c>
      <c r="J37" s="3504">
        <v>58607462</v>
      </c>
      <c r="K37" s="151">
        <v>8591958</v>
      </c>
      <c r="L37" s="3652">
        <v>67884574</v>
      </c>
      <c r="M37" s="151">
        <v>64121463</v>
      </c>
      <c r="N37" s="3504">
        <v>3763111</v>
      </c>
      <c r="O37" s="1377"/>
      <c r="P37" s="1378">
        <v>1</v>
      </c>
    </row>
    <row r="38" spans="1:16">
      <c r="A38" s="1301" t="s">
        <v>412</v>
      </c>
      <c r="B38" s="2380">
        <f t="shared" si="0"/>
        <v>3656031</v>
      </c>
      <c r="C38" s="3504">
        <v>3180928</v>
      </c>
      <c r="D38" s="151">
        <v>475103</v>
      </c>
      <c r="E38" s="3652">
        <v>3371891</v>
      </c>
      <c r="F38" s="151">
        <v>3285851</v>
      </c>
      <c r="G38" s="3504">
        <v>86040</v>
      </c>
      <c r="H38" s="1376"/>
      <c r="I38" s="2381">
        <v>76273848</v>
      </c>
      <c r="J38" s="3504">
        <v>66150695</v>
      </c>
      <c r="K38" s="151">
        <v>10123153</v>
      </c>
      <c r="L38" s="3652">
        <v>74765471</v>
      </c>
      <c r="M38" s="151">
        <v>70961841</v>
      </c>
      <c r="N38" s="3504">
        <v>3803630</v>
      </c>
      <c r="O38" s="1377"/>
      <c r="P38" s="1378">
        <v>1</v>
      </c>
    </row>
    <row r="39" spans="1:16">
      <c r="A39" s="1301" t="s">
        <v>413</v>
      </c>
      <c r="B39" s="2380">
        <f t="shared" si="0"/>
        <v>3634307</v>
      </c>
      <c r="C39" s="3504">
        <v>3165370</v>
      </c>
      <c r="D39" s="151">
        <v>468937</v>
      </c>
      <c r="E39" s="3652">
        <v>3287664</v>
      </c>
      <c r="F39" s="151">
        <v>3201644</v>
      </c>
      <c r="G39" s="3504">
        <v>86020</v>
      </c>
      <c r="H39" s="1376"/>
      <c r="I39" s="2381">
        <v>74954528</v>
      </c>
      <c r="J39" s="3504">
        <v>64666239</v>
      </c>
      <c r="K39" s="151">
        <v>10288289</v>
      </c>
      <c r="L39" s="3652">
        <v>72020050</v>
      </c>
      <c r="M39" s="151">
        <v>68298468</v>
      </c>
      <c r="N39" s="3504">
        <v>3721582</v>
      </c>
      <c r="O39" s="1377"/>
      <c r="P39" s="1378">
        <v>1</v>
      </c>
    </row>
    <row r="40" spans="1:16">
      <c r="A40" s="1301" t="s">
        <v>414</v>
      </c>
      <c r="B40" s="2380">
        <f t="shared" si="0"/>
        <v>3656031</v>
      </c>
      <c r="C40" s="3504">
        <v>3180928</v>
      </c>
      <c r="D40" s="151">
        <v>475103</v>
      </c>
      <c r="E40" s="3652">
        <v>3371891</v>
      </c>
      <c r="F40" s="151">
        <v>3285851</v>
      </c>
      <c r="G40" s="3504">
        <v>86040</v>
      </c>
      <c r="H40" s="1376"/>
      <c r="I40" s="2381">
        <v>76273848</v>
      </c>
      <c r="J40" s="3504">
        <v>66150695</v>
      </c>
      <c r="K40" s="151">
        <v>10123153</v>
      </c>
      <c r="L40" s="3652">
        <v>74765471</v>
      </c>
      <c r="M40" s="151">
        <v>70961841</v>
      </c>
      <c r="N40" s="3504">
        <v>3803630</v>
      </c>
      <c r="O40" s="1377"/>
      <c r="P40" s="1378">
        <v>1</v>
      </c>
    </row>
    <row r="41" spans="1:16">
      <c r="A41" s="1301" t="s">
        <v>415</v>
      </c>
      <c r="B41" s="2380">
        <f t="shared" si="0"/>
        <v>3590947</v>
      </c>
      <c r="C41" s="3504">
        <v>3152461</v>
      </c>
      <c r="D41" s="151">
        <v>438486</v>
      </c>
      <c r="E41" s="3652">
        <v>3149036</v>
      </c>
      <c r="F41" s="151">
        <v>3019977</v>
      </c>
      <c r="G41" s="3504">
        <v>129059</v>
      </c>
      <c r="H41" s="1376"/>
      <c r="I41" s="2381">
        <v>74716790</v>
      </c>
      <c r="J41" s="3504">
        <v>66114976</v>
      </c>
      <c r="K41" s="151">
        <v>8601814</v>
      </c>
      <c r="L41" s="3652">
        <v>75634508</v>
      </c>
      <c r="M41" s="151">
        <v>72349274</v>
      </c>
      <c r="N41" s="3504">
        <v>3285234</v>
      </c>
      <c r="O41" s="1377"/>
      <c r="P41" s="1378">
        <v>1</v>
      </c>
    </row>
    <row r="42" spans="1:16">
      <c r="A42" s="1301" t="s">
        <v>416</v>
      </c>
      <c r="B42" s="2380">
        <f t="shared" si="0"/>
        <v>3619023</v>
      </c>
      <c r="C42" s="3504">
        <v>3197121</v>
      </c>
      <c r="D42" s="151">
        <v>421902</v>
      </c>
      <c r="E42" s="3652">
        <v>3301550</v>
      </c>
      <c r="F42" s="151">
        <v>3161164</v>
      </c>
      <c r="G42" s="3504">
        <v>140386</v>
      </c>
      <c r="H42" s="1376"/>
      <c r="I42" s="2381">
        <v>77498362</v>
      </c>
      <c r="J42" s="3504">
        <v>69122934</v>
      </c>
      <c r="K42" s="151">
        <v>8375428</v>
      </c>
      <c r="L42" s="3652">
        <v>75930351</v>
      </c>
      <c r="M42" s="151">
        <v>72471707</v>
      </c>
      <c r="N42" s="3504">
        <v>3458644</v>
      </c>
      <c r="O42" s="1377"/>
      <c r="P42" s="1378">
        <v>1</v>
      </c>
    </row>
    <row r="43" spans="1:16">
      <c r="A43" s="1301" t="s">
        <v>417</v>
      </c>
      <c r="B43" s="2380">
        <f t="shared" si="0"/>
        <v>3781972</v>
      </c>
      <c r="C43" s="3504">
        <v>3336091</v>
      </c>
      <c r="D43" s="151">
        <v>445881</v>
      </c>
      <c r="E43" s="3652">
        <v>3219363</v>
      </c>
      <c r="F43" s="151">
        <v>3069959</v>
      </c>
      <c r="G43" s="3504">
        <v>149404</v>
      </c>
      <c r="H43" s="1376"/>
      <c r="I43" s="2381">
        <v>80252797</v>
      </c>
      <c r="J43" s="3504">
        <v>71112551</v>
      </c>
      <c r="K43" s="151">
        <v>9140246</v>
      </c>
      <c r="L43" s="3652">
        <v>75920707</v>
      </c>
      <c r="M43" s="151">
        <v>72514045</v>
      </c>
      <c r="N43" s="3504">
        <v>3406662</v>
      </c>
      <c r="O43" s="1377"/>
      <c r="P43" s="1378">
        <v>1</v>
      </c>
    </row>
    <row r="44" spans="1:16">
      <c r="A44" s="1301" t="s">
        <v>418</v>
      </c>
      <c r="B44" s="2380">
        <f t="shared" si="0"/>
        <v>3782504</v>
      </c>
      <c r="C44" s="3504">
        <v>3337728</v>
      </c>
      <c r="D44" s="151">
        <v>444776</v>
      </c>
      <c r="E44" s="3652">
        <v>3244474</v>
      </c>
      <c r="F44" s="151">
        <v>3058500</v>
      </c>
      <c r="G44" s="3504">
        <v>185974</v>
      </c>
      <c r="H44" s="1376"/>
      <c r="I44" s="2381">
        <v>80815105</v>
      </c>
      <c r="J44" s="3504">
        <v>72062853</v>
      </c>
      <c r="K44" s="151">
        <v>8752252</v>
      </c>
      <c r="L44" s="3652">
        <v>76801690</v>
      </c>
      <c r="M44" s="151">
        <v>72821234</v>
      </c>
      <c r="N44" s="3504">
        <v>3980456</v>
      </c>
      <c r="O44" s="1377"/>
      <c r="P44" s="1378">
        <v>1</v>
      </c>
    </row>
    <row r="45" spans="1:16">
      <c r="A45" s="1301" t="s">
        <v>419</v>
      </c>
      <c r="B45" s="2380">
        <f t="shared" si="0"/>
        <v>3691797</v>
      </c>
      <c r="C45" s="3504">
        <v>3249145</v>
      </c>
      <c r="D45" s="151">
        <v>442652</v>
      </c>
      <c r="E45" s="3652">
        <v>3273001</v>
      </c>
      <c r="F45" s="151">
        <v>3167524</v>
      </c>
      <c r="G45" s="3504">
        <v>105477</v>
      </c>
      <c r="H45" s="1376"/>
      <c r="I45" s="2381">
        <v>78722851</v>
      </c>
      <c r="J45" s="3504">
        <v>70593763</v>
      </c>
      <c r="K45" s="151">
        <v>8129088</v>
      </c>
      <c r="L45" s="3652">
        <v>77714645</v>
      </c>
      <c r="M45" s="151">
        <v>73735087</v>
      </c>
      <c r="N45" s="3504">
        <v>3979558</v>
      </c>
      <c r="O45" s="1377"/>
      <c r="P45" s="1378">
        <v>1</v>
      </c>
    </row>
    <row r="46" spans="1:16">
      <c r="A46" s="1301" t="s">
        <v>420</v>
      </c>
      <c r="B46" s="2380">
        <f t="shared" ref="B46:B93" si="1">C46+D46</f>
        <v>4108499.6244975058</v>
      </c>
      <c r="C46" s="3504">
        <v>3594341.0406489428</v>
      </c>
      <c r="D46" s="151">
        <v>514158.58384856291</v>
      </c>
      <c r="E46" s="3652">
        <f t="shared" ref="E46:E93" si="2">F46+G46</f>
        <v>3559600.2934395038</v>
      </c>
      <c r="F46" s="151">
        <v>3474730.2962215925</v>
      </c>
      <c r="G46" s="3504">
        <v>84869.997217911179</v>
      </c>
      <c r="H46" s="117">
        <v>230135.66307012684</v>
      </c>
      <c r="I46" s="2381">
        <f t="shared" ref="I46:I109" si="3">J46+K46</f>
        <v>83379033</v>
      </c>
      <c r="J46" s="3504">
        <v>74105540</v>
      </c>
      <c r="K46" s="151">
        <v>9273493</v>
      </c>
      <c r="L46" s="3652">
        <f t="shared" ref="L46:L109" si="4">M46+N46</f>
        <v>77218936</v>
      </c>
      <c r="M46" s="151">
        <v>64734652</v>
      </c>
      <c r="N46" s="3504">
        <v>12484284</v>
      </c>
      <c r="O46" s="118">
        <v>3026382</v>
      </c>
      <c r="P46" s="1378">
        <v>1</v>
      </c>
    </row>
    <row r="47" spans="1:16">
      <c r="A47" s="1301" t="s">
        <v>421</v>
      </c>
      <c r="B47" s="2380">
        <f t="shared" si="1"/>
        <v>4178839.6468502712</v>
      </c>
      <c r="C47" s="3504">
        <v>3698042.9584356085</v>
      </c>
      <c r="D47" s="151">
        <v>480796.68841466238</v>
      </c>
      <c r="E47" s="3652">
        <f t="shared" si="2"/>
        <v>3627191.6725617321</v>
      </c>
      <c r="F47" s="151">
        <v>3462548.2597401659</v>
      </c>
      <c r="G47" s="3504">
        <v>164643.41282156619</v>
      </c>
      <c r="H47" s="151">
        <v>248769.27119925752</v>
      </c>
      <c r="I47" s="2381">
        <f t="shared" si="3"/>
        <v>86467142.771832019</v>
      </c>
      <c r="J47" s="3504">
        <v>76246785.771832019</v>
      </c>
      <c r="K47" s="151">
        <v>10220357</v>
      </c>
      <c r="L47" s="3652">
        <f t="shared" si="4"/>
        <v>76770636.730175704</v>
      </c>
      <c r="M47" s="151">
        <v>63641842.844385192</v>
      </c>
      <c r="N47" s="3504">
        <v>13128793.885790516</v>
      </c>
      <c r="O47" s="1379">
        <v>3126717.5346245402</v>
      </c>
      <c r="P47" s="1378">
        <v>1</v>
      </c>
    </row>
    <row r="48" spans="1:16">
      <c r="A48" s="1301" t="s">
        <v>422</v>
      </c>
      <c r="B48" s="2380">
        <f t="shared" si="1"/>
        <v>4206234.8397670537</v>
      </c>
      <c r="C48" s="3504">
        <v>3765921.6030053301</v>
      </c>
      <c r="D48" s="151">
        <v>440313.2367617237</v>
      </c>
      <c r="E48" s="3652">
        <f t="shared" si="2"/>
        <v>3699036.3332922696</v>
      </c>
      <c r="F48" s="151">
        <v>3506476.3120165067</v>
      </c>
      <c r="G48" s="3504">
        <v>192560.02127576285</v>
      </c>
      <c r="H48" s="151">
        <v>244384.53265947435</v>
      </c>
      <c r="I48" s="2381">
        <f t="shared" si="3"/>
        <v>87459254</v>
      </c>
      <c r="J48" s="3504">
        <v>77308564</v>
      </c>
      <c r="K48" s="151">
        <v>10150690</v>
      </c>
      <c r="L48" s="3652">
        <f t="shared" si="4"/>
        <v>77140601</v>
      </c>
      <c r="M48" s="151">
        <v>63350843</v>
      </c>
      <c r="N48" s="3504">
        <v>13789758</v>
      </c>
      <c r="O48" s="1379">
        <v>2952953</v>
      </c>
      <c r="P48" s="1378">
        <v>1</v>
      </c>
    </row>
    <row r="49" spans="1:16">
      <c r="A49" s="1301" t="s">
        <v>423</v>
      </c>
      <c r="B49" s="2380">
        <f t="shared" si="1"/>
        <v>4103797.1128751868</v>
      </c>
      <c r="C49" s="3504">
        <v>3744371.6590970913</v>
      </c>
      <c r="D49" s="151">
        <v>359425.45377809549</v>
      </c>
      <c r="E49" s="3652">
        <f t="shared" si="2"/>
        <v>3898364.5241348851</v>
      </c>
      <c r="F49" s="151">
        <v>3588348.7331438451</v>
      </c>
      <c r="G49" s="3504">
        <v>310015.79099103995</v>
      </c>
      <c r="H49" s="151">
        <v>242012.72315541084</v>
      </c>
      <c r="I49" s="2381">
        <f t="shared" si="3"/>
        <v>85314116</v>
      </c>
      <c r="J49" s="3504">
        <v>76282082</v>
      </c>
      <c r="K49" s="151">
        <v>9032034</v>
      </c>
      <c r="L49" s="3652">
        <f t="shared" si="4"/>
        <v>77339021</v>
      </c>
      <c r="M49" s="151">
        <v>62378284</v>
      </c>
      <c r="N49" s="3504">
        <v>14960737</v>
      </c>
      <c r="O49" s="1379">
        <v>3223545</v>
      </c>
      <c r="P49" s="1378">
        <v>1</v>
      </c>
    </row>
    <row r="50" spans="1:16">
      <c r="A50" s="1301" t="s">
        <v>424</v>
      </c>
      <c r="B50" s="2380">
        <f t="shared" si="1"/>
        <v>3973514.9220002005</v>
      </c>
      <c r="C50" s="3504">
        <v>3615915.63690376</v>
      </c>
      <c r="D50" s="151">
        <v>357599.28509644023</v>
      </c>
      <c r="E50" s="3652">
        <f t="shared" si="2"/>
        <v>3702989.441921657</v>
      </c>
      <c r="F50" s="151">
        <v>3478633.9053927548</v>
      </c>
      <c r="G50" s="3504">
        <v>224355.53652890198</v>
      </c>
      <c r="H50" s="151">
        <v>234359.50147008905</v>
      </c>
      <c r="I50" s="2381">
        <f t="shared" si="3"/>
        <v>82326209</v>
      </c>
      <c r="J50" s="3504">
        <v>74799860</v>
      </c>
      <c r="K50" s="151">
        <v>7526349</v>
      </c>
      <c r="L50" s="3652">
        <f t="shared" si="4"/>
        <v>73237667</v>
      </c>
      <c r="M50" s="151">
        <v>58469069</v>
      </c>
      <c r="N50" s="3504">
        <v>14768598</v>
      </c>
      <c r="O50" s="1379">
        <v>3029655</v>
      </c>
      <c r="P50" s="1378">
        <v>1</v>
      </c>
    </row>
    <row r="51" spans="1:16">
      <c r="A51" s="1301" t="s">
        <v>425</v>
      </c>
      <c r="B51" s="2380">
        <f t="shared" si="1"/>
        <v>4035386.935313954</v>
      </c>
      <c r="C51" s="3504">
        <v>3664146.7444849135</v>
      </c>
      <c r="D51" s="151">
        <v>371240.19082904072</v>
      </c>
      <c r="E51" s="3652">
        <f t="shared" si="2"/>
        <v>3683753.9341429309</v>
      </c>
      <c r="F51" s="151">
        <v>3449217.4127412206</v>
      </c>
      <c r="G51" s="3504">
        <v>234536.52140171034</v>
      </c>
      <c r="H51" s="151">
        <v>229535.56636252237</v>
      </c>
      <c r="I51" s="2381">
        <f t="shared" si="3"/>
        <v>83564675</v>
      </c>
      <c r="J51" s="3504">
        <v>75572909</v>
      </c>
      <c r="K51" s="151">
        <v>7991766</v>
      </c>
      <c r="L51" s="3652">
        <f t="shared" si="4"/>
        <v>72322641</v>
      </c>
      <c r="M51" s="151">
        <v>57658986</v>
      </c>
      <c r="N51" s="3504">
        <v>14663655</v>
      </c>
      <c r="O51" s="1379">
        <v>2901441</v>
      </c>
      <c r="P51" s="1378">
        <v>1</v>
      </c>
    </row>
    <row r="52" spans="1:16">
      <c r="A52" s="1301" t="s">
        <v>426</v>
      </c>
      <c r="B52" s="2380">
        <f t="shared" si="1"/>
        <v>3749786.4286570232</v>
      </c>
      <c r="C52" s="3504">
        <v>3317898.5049480451</v>
      </c>
      <c r="D52" s="151">
        <v>431887.92370897834</v>
      </c>
      <c r="E52" s="3652">
        <f t="shared" si="2"/>
        <v>3705634.3976339181</v>
      </c>
      <c r="F52" s="151">
        <v>3503782.6516082739</v>
      </c>
      <c r="G52" s="3504">
        <v>201851.74602564445</v>
      </c>
      <c r="H52" s="151">
        <v>225206.88470720002</v>
      </c>
      <c r="I52" s="2381">
        <f t="shared" si="3"/>
        <v>76450005</v>
      </c>
      <c r="J52" s="3504">
        <v>68530217</v>
      </c>
      <c r="K52" s="151">
        <v>7919787.9999999991</v>
      </c>
      <c r="L52" s="3652">
        <f t="shared" si="4"/>
        <v>68862208</v>
      </c>
      <c r="M52" s="151">
        <v>54288342</v>
      </c>
      <c r="N52" s="3504">
        <v>14573866</v>
      </c>
      <c r="O52" s="1379">
        <v>2861216</v>
      </c>
      <c r="P52" s="1378">
        <v>1</v>
      </c>
    </row>
    <row r="53" spans="1:16">
      <c r="A53" s="1301" t="s">
        <v>427</v>
      </c>
      <c r="B53" s="2380">
        <f t="shared" si="1"/>
        <v>3502560.6018752926</v>
      </c>
      <c r="C53" s="3504">
        <v>3197833.2697649803</v>
      </c>
      <c r="D53" s="151">
        <v>304727.33211031219</v>
      </c>
      <c r="E53" s="3652">
        <f t="shared" si="2"/>
        <v>3529731.5674519264</v>
      </c>
      <c r="F53" s="151">
        <v>3047238.8822851945</v>
      </c>
      <c r="G53" s="3504">
        <v>482492.68516673183</v>
      </c>
      <c r="H53" s="151">
        <v>175874.9671368062</v>
      </c>
      <c r="I53" s="2381">
        <f t="shared" si="3"/>
        <v>66862038.000000007</v>
      </c>
      <c r="J53" s="3504">
        <v>60859420.000000007</v>
      </c>
      <c r="K53" s="151">
        <v>6002618</v>
      </c>
      <c r="L53" s="3652">
        <f t="shared" si="4"/>
        <v>72836507</v>
      </c>
      <c r="M53" s="151">
        <v>50500095</v>
      </c>
      <c r="N53" s="3504">
        <v>22336412</v>
      </c>
      <c r="O53" s="1379">
        <v>2555050</v>
      </c>
      <c r="P53" s="1378">
        <v>1</v>
      </c>
    </row>
    <row r="54" spans="1:16">
      <c r="A54" s="1301" t="s">
        <v>51</v>
      </c>
      <c r="B54" s="2380">
        <f t="shared" si="1"/>
        <v>2896801.6498595942</v>
      </c>
      <c r="C54" s="3504">
        <v>2631029.9524192209</v>
      </c>
      <c r="D54" s="151">
        <v>265771.69744037301</v>
      </c>
      <c r="E54" s="3652">
        <f t="shared" si="2"/>
        <v>2410445.3537452715</v>
      </c>
      <c r="F54" s="151">
        <v>2015784.2684584891</v>
      </c>
      <c r="G54" s="3504">
        <v>394661.08528678224</v>
      </c>
      <c r="H54" s="151">
        <v>157343.30479388608</v>
      </c>
      <c r="I54" s="2381">
        <f t="shared" si="3"/>
        <v>71741916</v>
      </c>
      <c r="J54" s="3504">
        <v>65099739</v>
      </c>
      <c r="K54" s="151">
        <v>6642176.9999999991</v>
      </c>
      <c r="L54" s="3652">
        <f t="shared" si="4"/>
        <v>75315961</v>
      </c>
      <c r="M54" s="151">
        <v>45767811</v>
      </c>
      <c r="N54" s="3504">
        <v>29548150</v>
      </c>
      <c r="O54" s="1379">
        <v>2967224</v>
      </c>
      <c r="P54" s="1378">
        <v>2.8517000000000001</v>
      </c>
    </row>
    <row r="55" spans="1:16">
      <c r="A55" s="1301" t="s">
        <v>428</v>
      </c>
      <c r="B55" s="2380">
        <f t="shared" si="1"/>
        <v>3388641.1021278878</v>
      </c>
      <c r="C55" s="3504">
        <v>3106812.9721866064</v>
      </c>
      <c r="D55" s="151">
        <v>281828.12994128122</v>
      </c>
      <c r="E55" s="3652">
        <f t="shared" si="2"/>
        <v>2194875.0620314437</v>
      </c>
      <c r="F55" s="151">
        <v>1789486.5667922129</v>
      </c>
      <c r="G55" s="3504">
        <v>405388.4952392308</v>
      </c>
      <c r="H55" s="151">
        <v>187684.2903861432</v>
      </c>
      <c r="I55" s="2381">
        <f t="shared" si="3"/>
        <v>65100647</v>
      </c>
      <c r="J55" s="3504">
        <v>56234515</v>
      </c>
      <c r="K55" s="151">
        <v>8866132</v>
      </c>
      <c r="L55" s="3652">
        <f t="shared" si="4"/>
        <v>73215685</v>
      </c>
      <c r="M55" s="151">
        <v>41531615</v>
      </c>
      <c r="N55" s="3504">
        <v>31684070.000000004</v>
      </c>
      <c r="O55" s="1379">
        <v>2911254</v>
      </c>
      <c r="P55" s="1378">
        <v>3.8037000000000001</v>
      </c>
    </row>
    <row r="56" spans="1:16">
      <c r="A56" s="1301" t="s">
        <v>429</v>
      </c>
      <c r="B56" s="2380">
        <f t="shared" si="1"/>
        <v>3259119.2030284549</v>
      </c>
      <c r="C56" s="3504">
        <v>2955455.9000315918</v>
      </c>
      <c r="D56" s="151">
        <v>303663.3029968632</v>
      </c>
      <c r="E56" s="3652">
        <f t="shared" si="2"/>
        <v>2112999.5213827863</v>
      </c>
      <c r="F56" s="151">
        <v>1635926.590540224</v>
      </c>
      <c r="G56" s="3504">
        <v>477072.93084256258</v>
      </c>
      <c r="H56" s="151">
        <v>201771.21229369356</v>
      </c>
      <c r="I56" s="2381">
        <f t="shared" si="3"/>
        <v>67352997</v>
      </c>
      <c r="J56" s="3504">
        <v>58436622.000000007</v>
      </c>
      <c r="K56" s="151">
        <v>8916375</v>
      </c>
      <c r="L56" s="3652">
        <f t="shared" si="4"/>
        <v>70916005</v>
      </c>
      <c r="M56" s="151">
        <v>38127822</v>
      </c>
      <c r="N56" s="3504">
        <v>32788183.000000004</v>
      </c>
      <c r="O56" s="1379">
        <v>3557876</v>
      </c>
      <c r="P56" s="1378">
        <v>3.7267000000000001</v>
      </c>
    </row>
    <row r="57" spans="1:16">
      <c r="A57" s="1301" t="s">
        <v>430</v>
      </c>
      <c r="B57" s="2380">
        <f t="shared" si="1"/>
        <v>3496886.8664583932</v>
      </c>
      <c r="C57" s="3504">
        <v>3083639.5776042016</v>
      </c>
      <c r="D57" s="151">
        <v>413247.28885419155</v>
      </c>
      <c r="E57" s="3652">
        <f t="shared" si="2"/>
        <v>2006834.9329094591</v>
      </c>
      <c r="F57" s="151">
        <v>1495546.6375432278</v>
      </c>
      <c r="G57" s="3504">
        <v>511288.29536623141</v>
      </c>
      <c r="H57" s="151">
        <v>230641.39499200985</v>
      </c>
      <c r="I57" s="2381">
        <f t="shared" si="3"/>
        <v>70025028.288528606</v>
      </c>
      <c r="J57" s="3504">
        <v>59394368.288528606</v>
      </c>
      <c r="K57" s="151">
        <v>10630660</v>
      </c>
      <c r="L57" s="3652">
        <f t="shared" si="4"/>
        <v>68388989.071573198</v>
      </c>
      <c r="M57" s="151">
        <v>35564800.301410735</v>
      </c>
      <c r="N57" s="3504">
        <v>32824188.770162467</v>
      </c>
      <c r="O57" s="1379">
        <v>3929678.2428484736</v>
      </c>
      <c r="P57" s="1378">
        <v>3.363</v>
      </c>
    </row>
    <row r="58" spans="1:16">
      <c r="A58" s="1301" t="s">
        <v>431</v>
      </c>
      <c r="B58" s="2380">
        <f t="shared" si="1"/>
        <v>3863014.9794029756</v>
      </c>
      <c r="C58" s="3504">
        <v>3365852.7377918405</v>
      </c>
      <c r="D58" s="151">
        <v>497162.24161113531</v>
      </c>
      <c r="E58" s="3652">
        <f t="shared" si="2"/>
        <v>1917002.6838554128</v>
      </c>
      <c r="F58" s="151">
        <v>1387106.1366547325</v>
      </c>
      <c r="G58" s="3504">
        <v>529896.54720068024</v>
      </c>
      <c r="H58" s="151">
        <v>237581.97596933998</v>
      </c>
      <c r="I58" s="2381">
        <f t="shared" si="3"/>
        <v>73611355</v>
      </c>
      <c r="J58" s="3504">
        <v>62174859</v>
      </c>
      <c r="K58" s="151">
        <v>11436496</v>
      </c>
      <c r="L58" s="3652">
        <f t="shared" si="4"/>
        <v>65792966.999999993</v>
      </c>
      <c r="M58" s="151">
        <v>32263524.999999996</v>
      </c>
      <c r="N58" s="3504">
        <v>33529441.999999996</v>
      </c>
      <c r="O58" s="1379">
        <v>3846291</v>
      </c>
      <c r="P58" s="1378">
        <v>2.9624999999999901</v>
      </c>
    </row>
    <row r="59" spans="1:16">
      <c r="A59" s="1301" t="s">
        <v>432</v>
      </c>
      <c r="B59" s="2380">
        <f t="shared" si="1"/>
        <v>4573610.8686424419</v>
      </c>
      <c r="C59" s="3504">
        <v>3611533.284240677</v>
      </c>
      <c r="D59" s="151">
        <v>962077.58440176479</v>
      </c>
      <c r="E59" s="3652">
        <f t="shared" si="2"/>
        <v>2223228.1975680338</v>
      </c>
      <c r="F59" s="151">
        <v>1381532.2969357483</v>
      </c>
      <c r="G59" s="3504">
        <v>841695.90063228575</v>
      </c>
      <c r="H59" s="151">
        <v>257760.1531387557</v>
      </c>
      <c r="I59" s="2381">
        <f t="shared" si="3"/>
        <v>83910990</v>
      </c>
      <c r="J59" s="3504">
        <v>69026896</v>
      </c>
      <c r="K59" s="151">
        <v>14884094.000000002</v>
      </c>
      <c r="L59" s="3652">
        <f t="shared" si="4"/>
        <v>65187474</v>
      </c>
      <c r="M59" s="151">
        <v>31039414</v>
      </c>
      <c r="N59" s="3504">
        <v>34148060</v>
      </c>
      <c r="O59" s="1379">
        <v>4228391</v>
      </c>
      <c r="P59" s="1378">
        <v>2.8075000000000001</v>
      </c>
    </row>
    <row r="60" spans="1:16">
      <c r="A60" s="1301" t="s">
        <v>433</v>
      </c>
      <c r="B60" s="2380">
        <f t="shared" si="1"/>
        <v>5221543.3047451871</v>
      </c>
      <c r="C60" s="3504">
        <v>4224058.5601910409</v>
      </c>
      <c r="D60" s="151">
        <v>997484.74455414584</v>
      </c>
      <c r="E60" s="3652">
        <f t="shared" si="2"/>
        <v>2190901.2503000293</v>
      </c>
      <c r="F60" s="151">
        <v>1380899.9785394603</v>
      </c>
      <c r="G60" s="3504">
        <v>810001.27176056872</v>
      </c>
      <c r="H60" s="151">
        <v>291378.59726622922</v>
      </c>
      <c r="I60" s="2381">
        <f t="shared" si="3"/>
        <v>88269058</v>
      </c>
      <c r="J60" s="3504">
        <v>71245849</v>
      </c>
      <c r="K60" s="151">
        <v>17023209</v>
      </c>
      <c r="L60" s="3652">
        <f t="shared" si="4"/>
        <v>55733054</v>
      </c>
      <c r="M60" s="151">
        <v>30429823</v>
      </c>
      <c r="N60" s="3504">
        <v>25303230.999999996</v>
      </c>
      <c r="O60" s="1379">
        <v>4461037</v>
      </c>
      <c r="P60" s="1378">
        <v>2.911</v>
      </c>
    </row>
    <row r="61" spans="1:16">
      <c r="A61" s="1301" t="s">
        <v>434</v>
      </c>
      <c r="B61" s="2380">
        <f t="shared" si="1"/>
        <v>5092409.0046479404</v>
      </c>
      <c r="C61" s="3504">
        <v>4310145.696120264</v>
      </c>
      <c r="D61" s="151">
        <v>782263.30852767651</v>
      </c>
      <c r="E61" s="3652">
        <f t="shared" si="2"/>
        <v>2079214.0872681476</v>
      </c>
      <c r="F61" s="151">
        <v>1491335.8143714156</v>
      </c>
      <c r="G61" s="3504">
        <v>587878.27289673197</v>
      </c>
      <c r="H61" s="151">
        <v>354622.58074305864</v>
      </c>
      <c r="I61" s="2381">
        <f t="shared" si="3"/>
        <v>92722729</v>
      </c>
      <c r="J61" s="3504">
        <v>74396803</v>
      </c>
      <c r="K61" s="151">
        <v>18325926</v>
      </c>
      <c r="L61" s="3652">
        <f t="shared" si="4"/>
        <v>54533911</v>
      </c>
      <c r="M61" s="151">
        <v>30981702</v>
      </c>
      <c r="N61" s="3504">
        <v>23552209</v>
      </c>
      <c r="O61" s="1379">
        <v>5295016</v>
      </c>
      <c r="P61" s="1378">
        <v>2.9329999999999901</v>
      </c>
    </row>
    <row r="62" spans="1:16">
      <c r="A62" s="1301" t="s">
        <v>38</v>
      </c>
      <c r="B62" s="2380">
        <f t="shared" si="1"/>
        <v>5481622.9638822842</v>
      </c>
      <c r="C62" s="3504">
        <v>4549069.4317293148</v>
      </c>
      <c r="D62" s="151">
        <v>932553.53215296939</v>
      </c>
      <c r="E62" s="3652">
        <f t="shared" si="2"/>
        <v>2085210.3822163031</v>
      </c>
      <c r="F62" s="151">
        <v>1505741.2111419414</v>
      </c>
      <c r="G62" s="3504">
        <v>579469.17107436177</v>
      </c>
      <c r="H62" s="151">
        <v>364187.32817083993</v>
      </c>
      <c r="I62" s="2381">
        <f t="shared" si="3"/>
        <v>98608663</v>
      </c>
      <c r="J62" s="3504">
        <v>76007072</v>
      </c>
      <c r="K62" s="151">
        <v>22601591</v>
      </c>
      <c r="L62" s="3652">
        <f t="shared" si="4"/>
        <v>55663947</v>
      </c>
      <c r="M62" s="151">
        <v>31526471.000000004</v>
      </c>
      <c r="N62" s="3504">
        <v>24137476</v>
      </c>
      <c r="O62" s="1379">
        <v>4893571</v>
      </c>
      <c r="P62" s="1378">
        <v>2.855</v>
      </c>
    </row>
    <row r="63" spans="1:16">
      <c r="A63" s="1301" t="s">
        <v>435</v>
      </c>
      <c r="B63" s="2380">
        <f t="shared" si="1"/>
        <v>6115052.6686335765</v>
      </c>
      <c r="C63" s="3504">
        <v>4776458.9454735192</v>
      </c>
      <c r="D63" s="151">
        <v>1338593.7231600573</v>
      </c>
      <c r="E63" s="3652">
        <f t="shared" si="2"/>
        <v>2404892.440117843</v>
      </c>
      <c r="F63" s="151">
        <v>1823549.9178196788</v>
      </c>
      <c r="G63" s="3504">
        <v>581342.52229816432</v>
      </c>
      <c r="H63" s="151">
        <v>391855.92505127308</v>
      </c>
      <c r="I63" s="2381">
        <f t="shared" si="3"/>
        <v>109977494</v>
      </c>
      <c r="J63" s="3504">
        <v>77559978</v>
      </c>
      <c r="K63" s="151">
        <v>32417516.000000004</v>
      </c>
      <c r="L63" s="3652">
        <f t="shared" si="4"/>
        <v>58266107</v>
      </c>
      <c r="M63" s="151">
        <v>34254112</v>
      </c>
      <c r="N63" s="3504">
        <v>24011995</v>
      </c>
      <c r="O63" s="1379">
        <v>5579614</v>
      </c>
      <c r="P63" s="1378">
        <v>2.9607000000000001</v>
      </c>
    </row>
    <row r="64" spans="1:16">
      <c r="A64" s="1301" t="s">
        <v>436</v>
      </c>
      <c r="B64" s="2380">
        <f t="shared" si="1"/>
        <v>6284541.420368596</v>
      </c>
      <c r="C64" s="3504">
        <v>4739153.4721039375</v>
      </c>
      <c r="D64" s="151">
        <v>1545387.9482646587</v>
      </c>
      <c r="E64" s="3652">
        <f t="shared" si="2"/>
        <v>2699365.3100418956</v>
      </c>
      <c r="F64" s="151">
        <v>2116055.2310833917</v>
      </c>
      <c r="G64" s="3504">
        <v>583310.0789585039</v>
      </c>
      <c r="H64" s="151">
        <v>339775.38983356481</v>
      </c>
      <c r="I64" s="2381">
        <f t="shared" si="3"/>
        <v>112306208</v>
      </c>
      <c r="J64" s="3504">
        <v>77718342</v>
      </c>
      <c r="K64" s="151">
        <v>34587866</v>
      </c>
      <c r="L64" s="3652">
        <f t="shared" si="4"/>
        <v>60381416</v>
      </c>
      <c r="M64" s="151">
        <v>36752011</v>
      </c>
      <c r="N64" s="3504">
        <v>23629405</v>
      </c>
      <c r="O64" s="1379">
        <v>4991598</v>
      </c>
      <c r="P64" s="1378">
        <v>2.9824999999999902</v>
      </c>
    </row>
    <row r="65" spans="1:16">
      <c r="A65" s="1301" t="s">
        <v>437</v>
      </c>
      <c r="B65" s="2380">
        <f t="shared" si="1"/>
        <v>6641874.2979329471</v>
      </c>
      <c r="C65" s="3504">
        <v>4807681.4349163109</v>
      </c>
      <c r="D65" s="151">
        <v>1834192.8630166366</v>
      </c>
      <c r="E65" s="3652">
        <f t="shared" si="2"/>
        <v>2888719.4783734703</v>
      </c>
      <c r="F65" s="151">
        <v>2303046.4600202995</v>
      </c>
      <c r="G65" s="3504">
        <v>585673.01835317083</v>
      </c>
      <c r="H65" s="151">
        <v>342426.04008437216</v>
      </c>
      <c r="I65" s="2381">
        <f t="shared" si="3"/>
        <v>116245745</v>
      </c>
      <c r="J65" s="3504">
        <v>82295992</v>
      </c>
      <c r="K65" s="151">
        <v>33949753</v>
      </c>
      <c r="L65" s="3652">
        <f t="shared" si="4"/>
        <v>59887733</v>
      </c>
      <c r="M65" s="151">
        <v>39168377</v>
      </c>
      <c r="N65" s="3504">
        <v>20719356</v>
      </c>
      <c r="O65" s="1379">
        <v>5246296</v>
      </c>
      <c r="P65" s="1378">
        <v>2.9738000000000002</v>
      </c>
    </row>
    <row r="66" spans="1:16">
      <c r="A66" s="1301" t="s">
        <v>438</v>
      </c>
      <c r="B66" s="2380">
        <f t="shared" si="1"/>
        <v>7351514.8985467739</v>
      </c>
      <c r="C66" s="3504">
        <v>5137843.1156531293</v>
      </c>
      <c r="D66" s="151">
        <v>2213671.7828936446</v>
      </c>
      <c r="E66" s="3652">
        <f t="shared" si="2"/>
        <v>2916398.4920264231</v>
      </c>
      <c r="F66" s="151">
        <v>2330179.3631868232</v>
      </c>
      <c r="G66" s="3504">
        <v>586219.12883960002</v>
      </c>
      <c r="H66" s="151">
        <v>400380.29356600228</v>
      </c>
      <c r="I66" s="2381">
        <f t="shared" si="3"/>
        <v>121552094.99689856</v>
      </c>
      <c r="J66" s="3504">
        <v>88409478.996898562</v>
      </c>
      <c r="K66" s="151">
        <v>33142616</v>
      </c>
      <c r="L66" s="3652">
        <f t="shared" si="4"/>
        <v>61074583.378813565</v>
      </c>
      <c r="M66" s="151">
        <v>41584735.378813565</v>
      </c>
      <c r="N66" s="3504">
        <v>19489848</v>
      </c>
      <c r="O66" s="1379">
        <v>5577685</v>
      </c>
      <c r="P66" s="1378">
        <v>2.92329999999999</v>
      </c>
    </row>
    <row r="67" spans="1:16">
      <c r="A67" s="1301" t="s">
        <v>439</v>
      </c>
      <c r="B67" s="2380">
        <f t="shared" si="1"/>
        <v>8128077.4238085197</v>
      </c>
      <c r="C67" s="3504">
        <v>5674980.1440851595</v>
      </c>
      <c r="D67" s="151">
        <v>2453097.2797233602</v>
      </c>
      <c r="E67" s="3652">
        <f t="shared" si="2"/>
        <v>3125894.277635071</v>
      </c>
      <c r="F67" s="151">
        <v>2545096</v>
      </c>
      <c r="G67" s="3504">
        <v>580798.27763507096</v>
      </c>
      <c r="H67" s="151">
        <v>426067.52559485642</v>
      </c>
      <c r="I67" s="2381">
        <f t="shared" si="3"/>
        <v>128623729.97438252</v>
      </c>
      <c r="J67" s="3504">
        <v>92500706.97438252</v>
      </c>
      <c r="K67" s="151">
        <v>36123023</v>
      </c>
      <c r="L67" s="3652">
        <f t="shared" si="4"/>
        <v>63186632.25130301</v>
      </c>
      <c r="M67" s="151">
        <v>45423922.147588417</v>
      </c>
      <c r="N67" s="3504">
        <v>17762710.103714593</v>
      </c>
      <c r="O67" s="1379">
        <v>6009704.1909824396</v>
      </c>
      <c r="P67" s="1378">
        <v>2.8908</v>
      </c>
    </row>
    <row r="68" spans="1:16">
      <c r="A68" s="1301" t="s">
        <v>440</v>
      </c>
      <c r="B68" s="2380">
        <f t="shared" si="1"/>
        <v>8245832.6747263884</v>
      </c>
      <c r="C68" s="3504">
        <v>5716664.1588665014</v>
      </c>
      <c r="D68" s="151">
        <v>2529168.515859887</v>
      </c>
      <c r="E68" s="3652">
        <f t="shared" si="2"/>
        <v>3373069.7556707147</v>
      </c>
      <c r="F68" s="151">
        <v>2788101.0716474685</v>
      </c>
      <c r="G68" s="3504">
        <v>584968.68402324629</v>
      </c>
      <c r="H68" s="151">
        <v>423596.39418870059</v>
      </c>
      <c r="I68" s="2381">
        <f t="shared" si="3"/>
        <v>132689071.43956223</v>
      </c>
      <c r="J68" s="3504">
        <v>95126227.439562231</v>
      </c>
      <c r="K68" s="151">
        <v>37562844</v>
      </c>
      <c r="L68" s="3652">
        <f t="shared" si="4"/>
        <v>65366987.257662915</v>
      </c>
      <c r="M68" s="151">
        <v>48782420.673266277</v>
      </c>
      <c r="N68" s="3504">
        <v>16584566.58439664</v>
      </c>
      <c r="O68" s="1379">
        <v>5917425.1493408037</v>
      </c>
      <c r="P68" s="1378">
        <v>2.9125000000000001</v>
      </c>
    </row>
    <row r="69" spans="1:16">
      <c r="A69" s="1301" t="s">
        <v>441</v>
      </c>
      <c r="B69" s="2380">
        <f t="shared" si="1"/>
        <v>8445433.2997402474</v>
      </c>
      <c r="C69" s="3504">
        <v>6026199.8578728838</v>
      </c>
      <c r="D69" s="151">
        <v>2419233.4418673636</v>
      </c>
      <c r="E69" s="3652">
        <f t="shared" si="2"/>
        <v>3716545.1472201278</v>
      </c>
      <c r="F69" s="151">
        <v>3152037.4055170892</v>
      </c>
      <c r="G69" s="3504">
        <v>564507.74170303857</v>
      </c>
      <c r="H69" s="151">
        <v>479772.08585071471</v>
      </c>
      <c r="I69" s="2381">
        <f t="shared" si="3"/>
        <v>136474325</v>
      </c>
      <c r="J69" s="3504">
        <v>100014754</v>
      </c>
      <c r="K69" s="151">
        <v>36459571</v>
      </c>
      <c r="L69" s="3652">
        <f t="shared" si="4"/>
        <v>70192456</v>
      </c>
      <c r="M69" s="151">
        <v>53921154</v>
      </c>
      <c r="N69" s="3504">
        <v>16271302</v>
      </c>
      <c r="O69" s="1379">
        <v>6098125</v>
      </c>
      <c r="P69" s="1378">
        <v>3.0314999999999901</v>
      </c>
    </row>
    <row r="70" spans="1:16">
      <c r="A70" s="1301" t="s">
        <v>442</v>
      </c>
      <c r="B70" s="2380">
        <f t="shared" si="1"/>
        <v>8723809.962664593</v>
      </c>
      <c r="C70" s="3504">
        <v>6303043</v>
      </c>
      <c r="D70" s="151">
        <v>2420766.9626645939</v>
      </c>
      <c r="E70" s="3652">
        <f t="shared" si="2"/>
        <v>4034600.224018801</v>
      </c>
      <c r="F70" s="151">
        <v>3472417</v>
      </c>
      <c r="G70" s="3504">
        <v>562183.22401880112</v>
      </c>
      <c r="H70" s="151">
        <v>451586.86223840091</v>
      </c>
      <c r="I70" s="2381">
        <f t="shared" si="3"/>
        <v>143504776.81641495</v>
      </c>
      <c r="J70" s="3504">
        <v>104572395.80063033</v>
      </c>
      <c r="K70" s="151">
        <v>38932381.015784614</v>
      </c>
      <c r="L70" s="3652">
        <f t="shared" si="4"/>
        <v>72719652.405757606</v>
      </c>
      <c r="M70" s="151">
        <v>57324291.875309244</v>
      </c>
      <c r="N70" s="3504">
        <v>15395360.530448364</v>
      </c>
      <c r="O70" s="1379">
        <v>6155324.9999999991</v>
      </c>
      <c r="P70" s="1378">
        <v>3.0808</v>
      </c>
    </row>
    <row r="71" spans="1:16">
      <c r="A71" s="1301" t="s">
        <v>443</v>
      </c>
      <c r="B71" s="2380">
        <f t="shared" si="1"/>
        <v>9190147.6942306794</v>
      </c>
      <c r="C71" s="3504">
        <v>6724310.559611598</v>
      </c>
      <c r="D71" s="151">
        <v>2465837.1346190809</v>
      </c>
      <c r="E71" s="3652">
        <f t="shared" si="2"/>
        <v>4722973.9870362384</v>
      </c>
      <c r="F71" s="151">
        <v>4021155</v>
      </c>
      <c r="G71" s="3504">
        <v>701818.98703623831</v>
      </c>
      <c r="H71" s="151">
        <v>457438.19420701044</v>
      </c>
      <c r="I71" s="2381">
        <f t="shared" si="3"/>
        <v>154800085.69753206</v>
      </c>
      <c r="J71" s="3504">
        <v>111091440.60834043</v>
      </c>
      <c r="K71" s="151">
        <v>43708645.089191645</v>
      </c>
      <c r="L71" s="3652">
        <f t="shared" si="4"/>
        <v>78291751.68250154</v>
      </c>
      <c r="M71" s="151">
        <v>63760420.168330565</v>
      </c>
      <c r="N71" s="3504">
        <v>14531331.51417098</v>
      </c>
      <c r="O71" s="1379">
        <v>6677798.6923659444</v>
      </c>
      <c r="P71" s="1378">
        <v>3.0848</v>
      </c>
    </row>
    <row r="72" spans="1:16">
      <c r="A72" s="1301" t="s">
        <v>444</v>
      </c>
      <c r="B72" s="2380">
        <f t="shared" si="1"/>
        <v>9627006.8181786332</v>
      </c>
      <c r="C72" s="3504">
        <v>7099260</v>
      </c>
      <c r="D72" s="151">
        <v>2527746.8181786328</v>
      </c>
      <c r="E72" s="3652">
        <f t="shared" si="2"/>
        <v>5201973.157882574</v>
      </c>
      <c r="F72" s="151">
        <v>4493267</v>
      </c>
      <c r="G72" s="3504">
        <v>708706.15788257413</v>
      </c>
      <c r="H72" s="151">
        <v>395566.97140382789</v>
      </c>
      <c r="I72" s="2381">
        <f t="shared" si="3"/>
        <v>162828636.63240045</v>
      </c>
      <c r="J72" s="3504">
        <v>116439052.45312005</v>
      </c>
      <c r="K72" s="151">
        <v>46389584.179280385</v>
      </c>
      <c r="L72" s="3652">
        <f t="shared" si="4"/>
        <v>83822489.715925887</v>
      </c>
      <c r="M72" s="151">
        <v>69689474.314202279</v>
      </c>
      <c r="N72" s="3504">
        <v>14133015.401723605</v>
      </c>
      <c r="O72" s="1379">
        <v>5738863.0253539057</v>
      </c>
      <c r="P72" s="1378">
        <v>3.1042999999999901</v>
      </c>
    </row>
    <row r="73" spans="1:16">
      <c r="A73" s="1301" t="s">
        <v>445</v>
      </c>
      <c r="B73" s="2380">
        <f t="shared" si="1"/>
        <v>9829319.4431374911</v>
      </c>
      <c r="C73" s="3504">
        <v>7392546.5648944331</v>
      </c>
      <c r="D73" s="151">
        <v>2436772.8782430585</v>
      </c>
      <c r="E73" s="3652">
        <f t="shared" si="2"/>
        <v>5691426.7169489833</v>
      </c>
      <c r="F73" s="151">
        <v>4985216</v>
      </c>
      <c r="G73" s="3504">
        <v>706210.71694898338</v>
      </c>
      <c r="H73" s="151">
        <v>523695.09578805976</v>
      </c>
      <c r="I73" s="2381">
        <f t="shared" si="3"/>
        <v>170886603</v>
      </c>
      <c r="J73" s="3504">
        <v>122865925.99999999</v>
      </c>
      <c r="K73" s="151">
        <v>48020677</v>
      </c>
      <c r="L73" s="3652">
        <f t="shared" si="4"/>
        <v>88861751</v>
      </c>
      <c r="M73" s="151">
        <v>75790855</v>
      </c>
      <c r="N73" s="3504">
        <v>13070896.000000002</v>
      </c>
      <c r="O73" s="1379">
        <v>6901939</v>
      </c>
      <c r="P73" s="1378">
        <v>3.0695000000000001</v>
      </c>
    </row>
    <row r="74" spans="1:16">
      <c r="A74" s="1301" t="s">
        <v>446</v>
      </c>
      <c r="B74" s="2380">
        <f>C74+D74</f>
        <v>10437689.04328577</v>
      </c>
      <c r="C74" s="3504">
        <v>7874879</v>
      </c>
      <c r="D74" s="151">
        <v>2562810.0432857708</v>
      </c>
      <c r="E74" s="3652">
        <f t="shared" si="2"/>
        <v>6028976.8970098319</v>
      </c>
      <c r="F74" s="151">
        <v>5318325.0307165254</v>
      </c>
      <c r="G74" s="3504">
        <v>710651.86629330623</v>
      </c>
      <c r="H74" s="151">
        <v>524925.83414309064</v>
      </c>
      <c r="I74" s="2381">
        <f t="shared" si="3"/>
        <v>180842668</v>
      </c>
      <c r="J74" s="3504">
        <v>132424222</v>
      </c>
      <c r="K74" s="151">
        <v>48418446</v>
      </c>
      <c r="L74" s="3652">
        <f t="shared" si="4"/>
        <v>93513811</v>
      </c>
      <c r="M74" s="151">
        <v>80812425</v>
      </c>
      <c r="N74" s="3504">
        <v>12701386</v>
      </c>
      <c r="O74" s="1379">
        <v>7574995.7634199988</v>
      </c>
      <c r="P74" s="1378">
        <v>3.10069999999999</v>
      </c>
    </row>
    <row r="75" spans="1:16">
      <c r="A75" s="1301" t="s">
        <v>447</v>
      </c>
      <c r="B75" s="2380">
        <f t="shared" si="1"/>
        <v>11465574.634563724</v>
      </c>
      <c r="C75" s="3504">
        <v>8884120</v>
      </c>
      <c r="D75" s="151">
        <v>2581454.6345637236</v>
      </c>
      <c r="E75" s="3652">
        <f t="shared" si="2"/>
        <v>6353258.930245758</v>
      </c>
      <c r="F75" s="151">
        <v>5649786</v>
      </c>
      <c r="G75" s="3504">
        <v>703472.93024575792</v>
      </c>
      <c r="H75" s="151">
        <v>523279.96194790903</v>
      </c>
      <c r="I75" s="2381">
        <f t="shared" si="3"/>
        <v>191885479</v>
      </c>
      <c r="J75" s="3653">
        <v>139490413</v>
      </c>
      <c r="K75" s="151">
        <v>52395066</v>
      </c>
      <c r="L75" s="3652">
        <f t="shared" si="4"/>
        <v>98043667</v>
      </c>
      <c r="M75" s="151">
        <v>87451070</v>
      </c>
      <c r="N75" s="3504">
        <v>10592597</v>
      </c>
      <c r="O75" s="1379">
        <v>6909017.3936856883</v>
      </c>
      <c r="P75" s="1378">
        <v>3.0908000000000002</v>
      </c>
    </row>
    <row r="76" spans="1:16">
      <c r="A76" s="1301" t="s">
        <v>448</v>
      </c>
      <c r="B76" s="2380">
        <f t="shared" si="1"/>
        <v>11729795.036557365</v>
      </c>
      <c r="C76" s="3504">
        <v>9151511</v>
      </c>
      <c r="D76" s="151">
        <v>2578284.0365573652</v>
      </c>
      <c r="E76" s="3652">
        <f t="shared" si="2"/>
        <v>7322602.1015265426</v>
      </c>
      <c r="F76" s="151">
        <v>6584816.9637546102</v>
      </c>
      <c r="G76" s="3504">
        <v>737785.13777193264</v>
      </c>
      <c r="H76" s="151">
        <v>534866.69182790723</v>
      </c>
      <c r="I76" s="2381">
        <f t="shared" si="3"/>
        <v>205345765.19299483</v>
      </c>
      <c r="J76" s="3653">
        <v>145745876</v>
      </c>
      <c r="K76" s="151">
        <v>59599889.192994826</v>
      </c>
      <c r="L76" s="3652">
        <f t="shared" si="4"/>
        <v>108507117.83406174</v>
      </c>
      <c r="M76" s="151">
        <v>97827407</v>
      </c>
      <c r="N76" s="3504">
        <v>10679710.834061746</v>
      </c>
      <c r="O76" s="1379">
        <v>7360852.5149760731</v>
      </c>
      <c r="P76" s="1378">
        <v>3.1495000000000002</v>
      </c>
    </row>
    <row r="77" spans="1:16">
      <c r="A77" s="1301" t="s">
        <v>449</v>
      </c>
      <c r="B77" s="2380">
        <f t="shared" si="1"/>
        <v>11872722.519636599</v>
      </c>
      <c r="C77" s="3504">
        <v>9339724</v>
      </c>
      <c r="D77" s="151">
        <v>2532998.5196365993</v>
      </c>
      <c r="E77" s="3652">
        <f t="shared" si="2"/>
        <v>8130990.9094574051</v>
      </c>
      <c r="F77" s="151">
        <v>7376260</v>
      </c>
      <c r="G77" s="3504">
        <v>754730.90945740498</v>
      </c>
      <c r="H77" s="151">
        <v>765483.26515494008</v>
      </c>
      <c r="I77" s="2381">
        <f t="shared" si="3"/>
        <v>206612533</v>
      </c>
      <c r="J77" s="3653">
        <v>153970308</v>
      </c>
      <c r="K77" s="151">
        <v>52642225</v>
      </c>
      <c r="L77" s="3652">
        <f t="shared" si="4"/>
        <v>118158487</v>
      </c>
      <c r="M77" s="151">
        <v>107566011</v>
      </c>
      <c r="N77" s="3504">
        <v>10592476</v>
      </c>
      <c r="O77" s="1379">
        <v>9744709</v>
      </c>
      <c r="P77" s="1378">
        <v>3.15099999999999</v>
      </c>
    </row>
    <row r="78" spans="1:16">
      <c r="A78" s="1301" t="s">
        <v>450</v>
      </c>
      <c r="B78" s="2380">
        <f>C78+D78</f>
        <v>12506082.324709468</v>
      </c>
      <c r="C78" s="3504">
        <v>9857182</v>
      </c>
      <c r="D78" s="151">
        <v>2648900.3247094685</v>
      </c>
      <c r="E78" s="3652">
        <f t="shared" si="2"/>
        <v>8548938.5623338521</v>
      </c>
      <c r="F78" s="151">
        <v>7798394</v>
      </c>
      <c r="G78" s="3504">
        <v>750544.56233385263</v>
      </c>
      <c r="H78" s="151">
        <v>639613.92071446206</v>
      </c>
      <c r="I78" s="2381">
        <f t="shared" si="3"/>
        <v>230095283</v>
      </c>
      <c r="J78" s="3504">
        <v>163103270</v>
      </c>
      <c r="K78" s="151">
        <v>66992013</v>
      </c>
      <c r="L78" s="3652">
        <f t="shared" si="4"/>
        <v>124115929</v>
      </c>
      <c r="M78" s="151">
        <v>112902792</v>
      </c>
      <c r="N78" s="3504">
        <v>11213137</v>
      </c>
      <c r="O78" s="1379">
        <v>9052485</v>
      </c>
      <c r="P78" s="1378">
        <v>3.16529999999999</v>
      </c>
    </row>
    <row r="79" spans="1:16">
      <c r="A79" s="1301" t="s">
        <v>451</v>
      </c>
      <c r="B79" s="2380">
        <f t="shared" si="1"/>
        <v>12318059.333184026</v>
      </c>
      <c r="C79" s="3504">
        <v>9483459</v>
      </c>
      <c r="D79" s="151">
        <v>2834600.3331840253</v>
      </c>
      <c r="E79" s="3652">
        <f t="shared" si="2"/>
        <v>9071385.0631597321</v>
      </c>
      <c r="F79" s="151">
        <v>8363475</v>
      </c>
      <c r="G79" s="3504">
        <v>707910.06315973145</v>
      </c>
      <c r="H79" s="151">
        <v>690842.3451653677</v>
      </c>
      <c r="I79" s="2381">
        <f t="shared" si="3"/>
        <v>232757233</v>
      </c>
      <c r="J79" s="3504">
        <v>162633918</v>
      </c>
      <c r="K79" s="151">
        <v>70123315</v>
      </c>
      <c r="L79" s="3652">
        <f t="shared" si="4"/>
        <v>131445309</v>
      </c>
      <c r="M79" s="151">
        <v>120431360</v>
      </c>
      <c r="N79" s="3504">
        <v>11013949</v>
      </c>
      <c r="O79" s="1379">
        <v>9942040</v>
      </c>
      <c r="P79" s="1378">
        <v>3.0242</v>
      </c>
    </row>
    <row r="80" spans="1:16">
      <c r="A80" s="1301" t="s">
        <v>452</v>
      </c>
      <c r="B80" s="2380">
        <f t="shared" si="1"/>
        <v>13340924.864232587</v>
      </c>
      <c r="C80" s="3504">
        <v>10253499</v>
      </c>
      <c r="D80" s="151">
        <v>3087425.8642325872</v>
      </c>
      <c r="E80" s="3652">
        <f t="shared" si="2"/>
        <v>9535899.1329404879</v>
      </c>
      <c r="F80" s="151">
        <v>8837970</v>
      </c>
      <c r="G80" s="3504">
        <v>697929.13294048712</v>
      </c>
      <c r="H80" s="151">
        <v>681088.40412679804</v>
      </c>
      <c r="I80" s="2381">
        <f t="shared" si="3"/>
        <v>247962670</v>
      </c>
      <c r="J80" s="3504">
        <v>171294293</v>
      </c>
      <c r="K80" s="151">
        <v>76668377</v>
      </c>
      <c r="L80" s="3652">
        <f t="shared" si="4"/>
        <v>137832065</v>
      </c>
      <c r="M80" s="151">
        <v>126688788</v>
      </c>
      <c r="N80" s="3504">
        <v>11143277</v>
      </c>
      <c r="O80" s="1379">
        <v>9742129</v>
      </c>
      <c r="P80" s="1378">
        <v>3.1301999999999901</v>
      </c>
    </row>
    <row r="81" spans="1:16">
      <c r="A81" s="1301" t="s">
        <v>453</v>
      </c>
      <c r="B81" s="2380">
        <f t="shared" si="1"/>
        <v>12853563.428287048</v>
      </c>
      <c r="C81" s="3504">
        <v>10107911</v>
      </c>
      <c r="D81" s="151">
        <v>2745652.4282870488</v>
      </c>
      <c r="E81" s="3652">
        <f t="shared" si="2"/>
        <v>9921007.9981663134</v>
      </c>
      <c r="F81" s="151">
        <v>9229489</v>
      </c>
      <c r="G81" s="3504">
        <v>691518.99816631281</v>
      </c>
      <c r="H81" s="151">
        <v>980822.94960387342</v>
      </c>
      <c r="I81" s="2381">
        <f t="shared" si="3"/>
        <v>237353517</v>
      </c>
      <c r="J81" s="3504">
        <v>166004190</v>
      </c>
      <c r="K81" s="151">
        <v>71349327</v>
      </c>
      <c r="L81" s="3652">
        <f t="shared" si="4"/>
        <v>141000992</v>
      </c>
      <c r="M81" s="151">
        <v>130134059</v>
      </c>
      <c r="N81" s="3504">
        <v>10866933</v>
      </c>
      <c r="O81" s="1379">
        <v>12924645</v>
      </c>
      <c r="P81" s="1378">
        <v>3.4537</v>
      </c>
    </row>
    <row r="82" spans="1:16">
      <c r="A82" s="1301" t="s">
        <v>454</v>
      </c>
      <c r="B82" s="2380">
        <f t="shared" si="1"/>
        <v>12847767.443414461</v>
      </c>
      <c r="C82" s="3504">
        <f>10585607.2532627+84.2495114828411</f>
        <v>10585691.502774183</v>
      </c>
      <c r="D82" s="151">
        <v>2262075.9406402772</v>
      </c>
      <c r="E82" s="3652">
        <f t="shared" si="2"/>
        <v>9473766.1987274811</v>
      </c>
      <c r="F82" s="151">
        <f>9071563.29759356+1658.15652423057</f>
        <v>9073221.4541177899</v>
      </c>
      <c r="G82" s="3504">
        <v>400544.74460969109</v>
      </c>
      <c r="H82" s="151">
        <v>855996.68541391334</v>
      </c>
      <c r="I82" s="2381">
        <f t="shared" si="3"/>
        <v>247679242</v>
      </c>
      <c r="J82" s="3504">
        <f>171064888+1080513</f>
        <v>172145401</v>
      </c>
      <c r="K82" s="151">
        <v>75533841</v>
      </c>
      <c r="L82" s="3652">
        <f t="shared" si="4"/>
        <v>141761458</v>
      </c>
      <c r="M82" s="151">
        <f>132203526+289699</f>
        <v>132493225</v>
      </c>
      <c r="N82" s="3504">
        <v>9268233</v>
      </c>
      <c r="O82" s="1379">
        <v>12091994</v>
      </c>
      <c r="P82" s="1378">
        <v>3.71349999999999</v>
      </c>
    </row>
    <row r="83" spans="1:16">
      <c r="A83" s="1301" t="s">
        <v>455</v>
      </c>
      <c r="B83" s="2380">
        <f t="shared" si="1"/>
        <v>13918958.851633295</v>
      </c>
      <c r="C83" s="3504">
        <f>11428584.1237766+406.810875004645</f>
        <v>11428990.934651604</v>
      </c>
      <c r="D83" s="151">
        <v>2489967.9169816906</v>
      </c>
      <c r="E83" s="3652">
        <f t="shared" si="2"/>
        <v>9398138.0535042081</v>
      </c>
      <c r="F83" s="151">
        <f>9027058.15739694+1908.42630145224</f>
        <v>9028966.5836983919</v>
      </c>
      <c r="G83" s="3504">
        <v>369171.46980581636</v>
      </c>
      <c r="H83" s="151">
        <v>948464.8542923443</v>
      </c>
      <c r="I83" s="2381">
        <f t="shared" si="3"/>
        <v>255020777</v>
      </c>
      <c r="J83" s="3504">
        <f>177397742+1261482</f>
        <v>178659224</v>
      </c>
      <c r="K83" s="151">
        <v>76361553</v>
      </c>
      <c r="L83" s="3652">
        <f t="shared" si="4"/>
        <v>146821780</v>
      </c>
      <c r="M83" s="151">
        <f>135212454+272348</f>
        <v>135484802</v>
      </c>
      <c r="N83" s="3504">
        <v>11336978</v>
      </c>
      <c r="O83" s="1379">
        <v>12290355</v>
      </c>
      <c r="P83" s="1378">
        <v>3.7951999999999901</v>
      </c>
    </row>
    <row r="84" spans="1:16">
      <c r="A84" s="1301" t="s">
        <v>456</v>
      </c>
      <c r="B84" s="2380">
        <f t="shared" si="1"/>
        <v>14191683.928449403</v>
      </c>
      <c r="C84" s="3504">
        <f>11796421.4364778+65.5796037366596</f>
        <v>11796487.016081538</v>
      </c>
      <c r="D84" s="151">
        <v>2395196.9123678659</v>
      </c>
      <c r="E84" s="3652">
        <f t="shared" si="2"/>
        <v>9400131.2523862757</v>
      </c>
      <c r="F84" s="151">
        <f>9088559.73205634+867.126702792058</f>
        <v>9089426.8587591331</v>
      </c>
      <c r="G84" s="3504">
        <v>310704.39362714323</v>
      </c>
      <c r="H84" s="151">
        <v>787727.10448737501</v>
      </c>
      <c r="I84" s="2381">
        <f t="shared" si="3"/>
        <v>267127280</v>
      </c>
      <c r="J84" s="3504">
        <f>183449678+931682</f>
        <v>184381360</v>
      </c>
      <c r="K84" s="151">
        <v>82745920</v>
      </c>
      <c r="L84" s="3652">
        <f t="shared" si="4"/>
        <v>151565301</v>
      </c>
      <c r="M84" s="151">
        <f>134712101+256732</f>
        <v>134968833</v>
      </c>
      <c r="N84" s="3504">
        <v>16596468</v>
      </c>
      <c r="O84" s="1379">
        <v>12042666</v>
      </c>
      <c r="P84" s="1378">
        <v>3.84269999999999</v>
      </c>
    </row>
    <row r="85" spans="1:16">
      <c r="A85" s="1301" t="s">
        <v>457</v>
      </c>
      <c r="B85" s="2380">
        <f t="shared" si="1"/>
        <v>13896358.168917093</v>
      </c>
      <c r="C85" s="3504">
        <f>12255861.4540784+219.487105228339</f>
        <v>12256080.941183629</v>
      </c>
      <c r="D85" s="151">
        <v>1640277.2277334651</v>
      </c>
      <c r="E85" s="3652">
        <f t="shared" si="2"/>
        <v>10147813.256289346</v>
      </c>
      <c r="F85" s="151">
        <f>9835178.22867809+2578.48286436738</f>
        <v>9837756.7115424573</v>
      </c>
      <c r="G85" s="3504">
        <v>310056.54474688793</v>
      </c>
      <c r="H85" s="151">
        <v>1087268.0416182473</v>
      </c>
      <c r="I85" s="2381">
        <f t="shared" si="3"/>
        <v>274453810</v>
      </c>
      <c r="J85" s="3504">
        <f>197370893+1417007</f>
        <v>198787900</v>
      </c>
      <c r="K85" s="151">
        <v>75665910</v>
      </c>
      <c r="L85" s="3652">
        <f t="shared" si="4"/>
        <v>160407137</v>
      </c>
      <c r="M85" s="151">
        <f>142084304+666192</f>
        <v>142750496</v>
      </c>
      <c r="N85" s="3504">
        <v>17656641</v>
      </c>
      <c r="O85" s="1379">
        <v>15562944</v>
      </c>
      <c r="P85" s="1378">
        <v>3.7967</v>
      </c>
    </row>
    <row r="86" spans="1:16">
      <c r="A86" s="1301" t="s">
        <v>458</v>
      </c>
      <c r="B86" s="2380">
        <f t="shared" si="1"/>
        <v>14582353.905784428</v>
      </c>
      <c r="C86" s="3504">
        <f>12281177.5161082+301.698995933233</f>
        <v>12281479.215104133</v>
      </c>
      <c r="D86" s="151">
        <v>2300874.6906802943</v>
      </c>
      <c r="E86" s="3652">
        <f t="shared" si="2"/>
        <v>10579470.939297017</v>
      </c>
      <c r="F86" s="151">
        <f>10299684.8297117+614.589799019115</f>
        <v>10300299.419510718</v>
      </c>
      <c r="G86" s="3504">
        <v>279171.51978629798</v>
      </c>
      <c r="H86" s="151">
        <v>999595.0217055711</v>
      </c>
      <c r="I86" s="2381">
        <f t="shared" si="3"/>
        <v>303797838</v>
      </c>
      <c r="J86" s="3504">
        <f>203342396+1019889</f>
        <v>204362285</v>
      </c>
      <c r="K86" s="151">
        <v>99435553</v>
      </c>
      <c r="L86" s="3652">
        <f t="shared" si="4"/>
        <v>166416109</v>
      </c>
      <c r="M86" s="151">
        <f>146505552+419745</f>
        <v>146925297</v>
      </c>
      <c r="N86" s="3504">
        <v>19490812</v>
      </c>
      <c r="O86" s="1379">
        <v>14923962</v>
      </c>
      <c r="P86" s="1378">
        <v>3.8763000000000001</v>
      </c>
    </row>
    <row r="87" spans="1:16">
      <c r="A87" s="1301" t="s">
        <v>459</v>
      </c>
      <c r="B87" s="2380">
        <f t="shared" si="1"/>
        <v>16835244.144834742</v>
      </c>
      <c r="C87" s="3504">
        <f>13912485.2158089+123.272102870606</f>
        <v>13912608.48791177</v>
      </c>
      <c r="D87" s="151">
        <v>2922635.6569229704</v>
      </c>
      <c r="E87" s="3652">
        <f t="shared" si="2"/>
        <v>11006738.089440959</v>
      </c>
      <c r="F87" s="151">
        <f>10752102.9463588+134.277377111144</f>
        <v>10752237.223735912</v>
      </c>
      <c r="G87" s="3504">
        <v>254500.86570504704</v>
      </c>
      <c r="H87" s="151">
        <v>895303.42605199316</v>
      </c>
      <c r="I87" s="2381">
        <f t="shared" si="3"/>
        <v>341625084</v>
      </c>
      <c r="J87" s="3504">
        <f>218223882+1153998</f>
        <v>219377880</v>
      </c>
      <c r="K87" s="151">
        <v>122247204</v>
      </c>
      <c r="L87" s="3652">
        <f t="shared" si="4"/>
        <v>180752116</v>
      </c>
      <c r="M87" s="151">
        <f>159573151+621494</f>
        <v>160194645</v>
      </c>
      <c r="N87" s="3504">
        <v>20557471</v>
      </c>
      <c r="O87" s="1379">
        <v>14632595</v>
      </c>
      <c r="P87" s="1378">
        <v>3.9318</v>
      </c>
    </row>
    <row r="88" spans="1:16">
      <c r="A88" s="1301" t="s">
        <v>460</v>
      </c>
      <c r="B88" s="2380">
        <f t="shared" si="1"/>
        <v>18728309.598943103</v>
      </c>
      <c r="C88" s="3504">
        <f>14799899.5951336+368.302678477133</f>
        <v>14800267.897812078</v>
      </c>
      <c r="D88" s="151">
        <v>3928041.7011310267</v>
      </c>
      <c r="E88" s="3652">
        <f t="shared" si="2"/>
        <v>12152947.629677143</v>
      </c>
      <c r="F88" s="151">
        <f>12017412.07935+159.221847761698</f>
        <v>12017571.301197762</v>
      </c>
      <c r="G88" s="3504">
        <v>135376.32847938087</v>
      </c>
      <c r="H88" s="151">
        <v>1102476.6160703285</v>
      </c>
      <c r="I88" s="2381">
        <f>J88+M88</f>
        <v>410010650</v>
      </c>
      <c r="J88" s="3504">
        <f>234230941+916501</f>
        <v>235147442</v>
      </c>
      <c r="K88" s="151">
        <v>131758981</v>
      </c>
      <c r="L88" s="3652">
        <f t="shared" si="4"/>
        <v>195581010</v>
      </c>
      <c r="M88" s="151">
        <f>174369682+493526</f>
        <v>174863208</v>
      </c>
      <c r="N88" s="3504">
        <v>20717802</v>
      </c>
      <c r="O88" s="1379">
        <v>15753461</v>
      </c>
      <c r="P88" s="1378">
        <v>3.9607000000000001</v>
      </c>
    </row>
    <row r="89" spans="1:16">
      <c r="A89" s="1301" t="s">
        <v>461</v>
      </c>
      <c r="B89" s="2380">
        <f t="shared" si="1"/>
        <v>19693618.703896198</v>
      </c>
      <c r="C89" s="3504">
        <f>16017000.2614406+307.501537632352</f>
        <v>16017307.762978232</v>
      </c>
      <c r="D89" s="151">
        <v>3676310.9409179655</v>
      </c>
      <c r="E89" s="3652">
        <f t="shared" si="2"/>
        <v>14338762.99833009</v>
      </c>
      <c r="F89" s="151">
        <v>14202422.338109141</v>
      </c>
      <c r="G89" s="3504">
        <v>136340.66022094979</v>
      </c>
      <c r="H89" s="151">
        <v>844898.95603461214</v>
      </c>
      <c r="I89" s="2381">
        <f t="shared" si="3"/>
        <v>382273932</v>
      </c>
      <c r="J89" s="3504">
        <f>255831822+1014569</f>
        <v>256846391</v>
      </c>
      <c r="K89" s="151">
        <v>125427541</v>
      </c>
      <c r="L89" s="3652">
        <f t="shared" si="4"/>
        <v>218123439</v>
      </c>
      <c r="M89" s="151">
        <f>195746155+421550</f>
        <v>196167705</v>
      </c>
      <c r="N89" s="3504">
        <v>21955734</v>
      </c>
      <c r="O89" s="1379">
        <v>14525339.999999998</v>
      </c>
      <c r="P89" s="1378">
        <v>3.9758</v>
      </c>
    </row>
    <row r="90" spans="1:16">
      <c r="A90" s="1301" t="s">
        <v>462</v>
      </c>
      <c r="B90" s="2380">
        <f>C90+D90</f>
        <v>20352743.523719896</v>
      </c>
      <c r="C90" s="3504">
        <f>16483359.2370578+581.550871775975</f>
        <v>16483940.787929576</v>
      </c>
      <c r="D90" s="151">
        <v>3868802.7357903197</v>
      </c>
      <c r="E90" s="3652">
        <f t="shared" si="2"/>
        <v>15441116.10111125</v>
      </c>
      <c r="F90" s="151">
        <f>15305089.4235456+17.185628742515</f>
        <v>15305106.609174343</v>
      </c>
      <c r="G90" s="3504">
        <v>136009.49193690714</v>
      </c>
      <c r="H90" s="151">
        <v>1386241.2786914615</v>
      </c>
      <c r="I90" s="2381">
        <f t="shared" si="3"/>
        <v>422059083</v>
      </c>
      <c r="J90" s="3504">
        <f>270596736+1247877</f>
        <v>271844613</v>
      </c>
      <c r="K90" s="151">
        <v>150214470</v>
      </c>
      <c r="L90" s="3652">
        <f t="shared" si="4"/>
        <v>231931277</v>
      </c>
      <c r="M90" s="151">
        <f>209319993+456174</f>
        <v>209776167</v>
      </c>
      <c r="N90" s="3504">
        <v>22155110</v>
      </c>
      <c r="O90" s="1379">
        <v>20363427</v>
      </c>
      <c r="P90" s="1378">
        <v>4.0519999999999898</v>
      </c>
    </row>
    <row r="91" spans="1:16">
      <c r="A91" s="1301" t="s">
        <v>463</v>
      </c>
      <c r="B91" s="2380">
        <f t="shared" si="1"/>
        <v>22731133.494245581</v>
      </c>
      <c r="C91" s="3504">
        <f>18914446.8598411+260.738439337921</f>
        <v>18914707.598280437</v>
      </c>
      <c r="D91" s="151">
        <v>3816425.8959651459</v>
      </c>
      <c r="E91" s="3652">
        <f t="shared" si="2"/>
        <v>17076238.625057437</v>
      </c>
      <c r="F91" s="151">
        <f>16945808.6156443+1.38461538461538</f>
        <v>16945810.000259683</v>
      </c>
      <c r="G91" s="3504">
        <v>130428.62479775315</v>
      </c>
      <c r="H91" s="151">
        <v>1367348.8353973054</v>
      </c>
      <c r="I91" s="2381">
        <f t="shared" si="3"/>
        <v>459440164</v>
      </c>
      <c r="J91" s="3504">
        <f>296443448+1546537</f>
        <v>297989985</v>
      </c>
      <c r="K91" s="151">
        <v>161450179.00000003</v>
      </c>
      <c r="L91" s="3652">
        <f t="shared" si="4"/>
        <v>261078634</v>
      </c>
      <c r="M91" s="151">
        <f>234888370+601892</f>
        <v>235490262</v>
      </c>
      <c r="N91" s="3504">
        <v>25588372</v>
      </c>
      <c r="O91" s="1379">
        <v>23534584</v>
      </c>
      <c r="P91" s="1378">
        <v>4.11099999999999</v>
      </c>
    </row>
    <row r="92" spans="1:16">
      <c r="A92" s="1301" t="s">
        <v>464</v>
      </c>
      <c r="B92" s="2380">
        <f t="shared" si="1"/>
        <v>23064567.130770471</v>
      </c>
      <c r="C92" s="3504">
        <f>19324344.0756327+588.687996402006</f>
        <v>19324932.763629101</v>
      </c>
      <c r="D92" s="151">
        <v>3739634.3671413707</v>
      </c>
      <c r="E92" s="3652">
        <f t="shared" si="2"/>
        <v>19478426.936783142</v>
      </c>
      <c r="F92" s="151">
        <f>19347649.7634739+753.331236932591</f>
        <v>19348403.094710831</v>
      </c>
      <c r="G92" s="3504">
        <v>130023.84207231159</v>
      </c>
      <c r="H92" s="151">
        <v>1409864.4711417579</v>
      </c>
      <c r="I92" s="2381">
        <f t="shared" si="3"/>
        <v>483322908</v>
      </c>
      <c r="J92" s="3504">
        <f>309942304+1483361</f>
        <v>311425665</v>
      </c>
      <c r="K92" s="151">
        <v>171897243.00000003</v>
      </c>
      <c r="L92" s="3652">
        <f t="shared" si="4"/>
        <v>290879490</v>
      </c>
      <c r="M92" s="151">
        <f>265242094+533445</f>
        <v>265775539</v>
      </c>
      <c r="N92" s="3504">
        <v>25103951</v>
      </c>
      <c r="O92" s="1379">
        <v>22715794</v>
      </c>
      <c r="P92" s="1378">
        <v>4.2045000000000003</v>
      </c>
    </row>
    <row r="93" spans="1:16">
      <c r="A93" s="1301" t="s">
        <v>465</v>
      </c>
      <c r="B93" s="2380">
        <f t="shared" si="1"/>
        <v>22951257.956339136</v>
      </c>
      <c r="C93" s="3504">
        <f>19646241.5310774+740.338648402532</f>
        <v>19646981.869725801</v>
      </c>
      <c r="D93" s="151">
        <v>3304276.0866133361</v>
      </c>
      <c r="E93" s="3652">
        <f t="shared" si="2"/>
        <v>21023785.887702662</v>
      </c>
      <c r="F93" s="151">
        <f>20907363.1189492+570.599819109048</f>
        <v>20907933.71876831</v>
      </c>
      <c r="G93" s="3504">
        <v>115852.16893435302</v>
      </c>
      <c r="H93" s="151">
        <v>1637935.8898974133</v>
      </c>
      <c r="I93" s="2381">
        <f t="shared" si="3"/>
        <v>470984695</v>
      </c>
      <c r="J93" s="3504">
        <f>324274293+2079367</f>
        <v>326353660</v>
      </c>
      <c r="K93" s="151">
        <v>144631035</v>
      </c>
      <c r="L93" s="3652">
        <f t="shared" si="4"/>
        <v>314723184</v>
      </c>
      <c r="M93" s="151">
        <f>286791658+290426</f>
        <v>287082084</v>
      </c>
      <c r="N93" s="3504">
        <v>27641100</v>
      </c>
      <c r="O93" s="1379">
        <v>26217442</v>
      </c>
      <c r="P93" s="1378">
        <v>4.3032000000000004</v>
      </c>
    </row>
    <row r="94" spans="1:16">
      <c r="A94" s="1301" t="s">
        <v>466</v>
      </c>
      <c r="B94" s="2380">
        <f t="shared" ref="B94:B129" si="5">C94+D94</f>
        <v>23949599.844575953</v>
      </c>
      <c r="C94" s="3504">
        <f>20342646.2134846+271.061186583423</f>
        <v>20342917.274671182</v>
      </c>
      <c r="D94" s="151">
        <v>3606682.5699047698</v>
      </c>
      <c r="E94" s="3652">
        <f t="shared" ref="E94:E129" si="6">F94+G94</f>
        <v>21600382.090082891</v>
      </c>
      <c r="F94" s="151">
        <f>21485767.9705646+442.544053612121</f>
        <v>21486210.51461821</v>
      </c>
      <c r="G94" s="3504">
        <v>114171.57546468206</v>
      </c>
      <c r="H94" s="151">
        <v>1442561.5785591479</v>
      </c>
      <c r="I94" s="2381">
        <f t="shared" si="3"/>
        <v>522441247</v>
      </c>
      <c r="J94" s="3504">
        <f>346361584+1534851</f>
        <v>347896435</v>
      </c>
      <c r="K94" s="151">
        <v>174544812</v>
      </c>
      <c r="L94" s="3652">
        <f t="shared" si="4"/>
        <v>328981385</v>
      </c>
      <c r="M94" s="151">
        <f>299427344+497857</f>
        <v>299925201</v>
      </c>
      <c r="N94" s="3504">
        <v>29056184</v>
      </c>
      <c r="O94" s="1379">
        <v>25597983</v>
      </c>
      <c r="P94" s="1378">
        <v>4.3784999999999901</v>
      </c>
    </row>
    <row r="95" spans="1:16">
      <c r="A95" s="1301" t="s">
        <v>467</v>
      </c>
      <c r="B95" s="2380">
        <f t="shared" si="5"/>
        <v>26091624.040200569</v>
      </c>
      <c r="C95" s="3504">
        <f>22159855.8523574+743.689095949447</f>
        <v>22160599.541453347</v>
      </c>
      <c r="D95" s="151">
        <v>3931024.4987472235</v>
      </c>
      <c r="E95" s="3652">
        <f t="shared" si="6"/>
        <v>22398371.287864387</v>
      </c>
      <c r="F95" s="151">
        <f>22295939.2260098+1598.97428134357</f>
        <v>22297538.200291146</v>
      </c>
      <c r="G95" s="3504">
        <v>100833.08757324234</v>
      </c>
      <c r="H95" s="151">
        <v>1445606.725962504</v>
      </c>
      <c r="I95" s="2381">
        <f t="shared" si="3"/>
        <v>548640613</v>
      </c>
      <c r="J95" s="3504">
        <f>364895490+1807573</f>
        <v>366703063</v>
      </c>
      <c r="K95" s="151">
        <v>181937550</v>
      </c>
      <c r="L95" s="3652">
        <f t="shared" si="4"/>
        <v>349470664</v>
      </c>
      <c r="M95" s="151">
        <f>318778971+627722</f>
        <v>319406693</v>
      </c>
      <c r="N95" s="3504">
        <v>30063971.000000004</v>
      </c>
      <c r="O95" s="1379">
        <v>25199158.000000004</v>
      </c>
      <c r="P95" s="1378">
        <v>4.5252999999999899</v>
      </c>
    </row>
    <row r="96" spans="1:16">
      <c r="A96" s="1301" t="s">
        <v>468</v>
      </c>
      <c r="B96" s="2380">
        <f t="shared" si="5"/>
        <v>26920510.505722456</v>
      </c>
      <c r="C96" s="3504">
        <f>22938698.8676837+734.734286275877</f>
        <v>22939433.601969976</v>
      </c>
      <c r="D96" s="151">
        <v>3981076.9037524783</v>
      </c>
      <c r="E96" s="3652">
        <f t="shared" si="6"/>
        <v>24274588.815723035</v>
      </c>
      <c r="F96" s="151">
        <f>24172921.9526246+2274.53241805292</f>
        <v>24175196.485042654</v>
      </c>
      <c r="G96" s="3504">
        <v>99392.330680381827</v>
      </c>
      <c r="H96" s="151">
        <v>1493967.4983466337</v>
      </c>
      <c r="I96" s="2381">
        <f t="shared" si="3"/>
        <v>593590881</v>
      </c>
      <c r="J96" s="3504">
        <f>381490793+1371527</f>
        <v>382862320</v>
      </c>
      <c r="K96" s="151">
        <v>210728561</v>
      </c>
      <c r="L96" s="3652">
        <f t="shared" si="4"/>
        <v>372293841</v>
      </c>
      <c r="M96" s="151">
        <f>339449758+713296</f>
        <v>340163054</v>
      </c>
      <c r="N96" s="3504">
        <v>32130787</v>
      </c>
      <c r="O96" s="1379">
        <v>23217255</v>
      </c>
      <c r="P96" s="1378">
        <v>4.6942000000000004</v>
      </c>
    </row>
    <row r="97" spans="1:16">
      <c r="A97" s="1301" t="s">
        <v>469</v>
      </c>
      <c r="B97" s="2380">
        <f t="shared" si="5"/>
        <v>28840275.719403207</v>
      </c>
      <c r="C97" s="3504">
        <f>24976682.988288+864.454714706685</f>
        <v>24977547.443002708</v>
      </c>
      <c r="D97" s="151">
        <v>3862728.2764005009</v>
      </c>
      <c r="E97" s="3652">
        <f t="shared" si="6"/>
        <v>27947576.00526477</v>
      </c>
      <c r="F97" s="151">
        <f>27858940.8714433+1572.40257383185</f>
        <v>27860513.274017133</v>
      </c>
      <c r="G97" s="3504">
        <v>87062.731247636315</v>
      </c>
      <c r="H97" s="151">
        <v>2018300.8801810211</v>
      </c>
      <c r="I97" s="2381">
        <f t="shared" si="3"/>
        <v>616142228</v>
      </c>
      <c r="J97" s="3504">
        <f>423136011+2347054</f>
        <v>425483065</v>
      </c>
      <c r="K97" s="151">
        <v>190659163</v>
      </c>
      <c r="L97" s="3652">
        <f t="shared" si="4"/>
        <v>413109624</v>
      </c>
      <c r="M97" s="151">
        <f>376538028+683094</f>
        <v>377221122</v>
      </c>
      <c r="N97" s="3504">
        <v>35888502</v>
      </c>
      <c r="O97" s="1379">
        <v>31467362.999999996</v>
      </c>
      <c r="P97" s="1378">
        <v>4.9173</v>
      </c>
    </row>
    <row r="98" spans="1:16">
      <c r="A98" s="1301" t="s">
        <v>470</v>
      </c>
      <c r="B98" s="2380">
        <f t="shared" si="5"/>
        <v>30423859.648866542</v>
      </c>
      <c r="C98" s="3504">
        <f>25433671.5950305+1078.42970936149</f>
        <v>25434750.024739861</v>
      </c>
      <c r="D98" s="151">
        <v>4989109.6241266802</v>
      </c>
      <c r="E98" s="3652">
        <f t="shared" si="6"/>
        <v>29425479.866416879</v>
      </c>
      <c r="F98" s="151">
        <f>29339393.9741433+1132.02584130942</f>
        <v>29340525.999984611</v>
      </c>
      <c r="G98" s="3504">
        <v>84953.866432267794</v>
      </c>
      <c r="H98" s="151">
        <v>2194428.2283570301</v>
      </c>
      <c r="I98" s="2381">
        <f t="shared" si="3"/>
        <v>666517138</v>
      </c>
      <c r="J98" s="3504">
        <f>441684951+909101</f>
        <v>442594052</v>
      </c>
      <c r="K98" s="151">
        <v>223923086</v>
      </c>
      <c r="L98" s="3652">
        <f t="shared" si="4"/>
        <v>428856052</v>
      </c>
      <c r="M98" s="151">
        <f>392029004+666431</f>
        <v>392695435</v>
      </c>
      <c r="N98" s="3504">
        <v>36160617</v>
      </c>
      <c r="O98" s="1379">
        <v>30495188</v>
      </c>
      <c r="P98" s="1378">
        <v>5.1223000000000001</v>
      </c>
    </row>
    <row r="99" spans="1:16">
      <c r="A99" s="1301" t="s">
        <v>471</v>
      </c>
      <c r="B99" s="2380">
        <f t="shared" si="5"/>
        <v>33900743.200223118</v>
      </c>
      <c r="C99" s="3504">
        <f>28506762.526875+2486.94993174319</f>
        <v>28509249.476806745</v>
      </c>
      <c r="D99" s="151">
        <v>5391493.7234163759</v>
      </c>
      <c r="E99" s="3652">
        <f>F99+G99</f>
        <v>31624573.145354021</v>
      </c>
      <c r="F99" s="151">
        <f>31551689.6437598+1132.02584130942</f>
        <v>31552821.669601109</v>
      </c>
      <c r="G99" s="3504">
        <v>71751.475752914004</v>
      </c>
      <c r="H99" s="151">
        <v>1861601.1132024773</v>
      </c>
      <c r="I99" s="2381">
        <f t="shared" si="3"/>
        <v>706467787</v>
      </c>
      <c r="J99" s="3504">
        <f>474232430+974106</f>
        <v>475206536</v>
      </c>
      <c r="K99" s="151">
        <v>231261251</v>
      </c>
      <c r="L99" s="3652">
        <f t="shared" si="4"/>
        <v>459982144</v>
      </c>
      <c r="M99" s="151">
        <f>421911603+711929</f>
        <v>422623532</v>
      </c>
      <c r="N99" s="3504">
        <v>37358612</v>
      </c>
      <c r="O99" s="1379">
        <v>27078974</v>
      </c>
      <c r="P99" s="1378">
        <v>5.3852000000000002</v>
      </c>
    </row>
    <row r="100" spans="1:16">
      <c r="A100" s="1301" t="s">
        <v>472</v>
      </c>
      <c r="B100" s="2380">
        <f t="shared" si="5"/>
        <v>36421739.506601386</v>
      </c>
      <c r="C100" s="3504">
        <f>30217544.7304921+2625.79531627453</f>
        <v>30220170.525808375</v>
      </c>
      <c r="D100" s="151">
        <v>6201568.9807930104</v>
      </c>
      <c r="E100" s="3652">
        <f t="shared" si="6"/>
        <v>34257612.436453514</v>
      </c>
      <c r="F100" s="151">
        <f>34176886.6509443+4793.33367594847</f>
        <v>34181679.984620251</v>
      </c>
      <c r="G100" s="3504">
        <v>75932.451833260304</v>
      </c>
      <c r="H100" s="151">
        <v>1960519.8448089003</v>
      </c>
      <c r="I100" s="2381">
        <f t="shared" si="3"/>
        <v>752131563</v>
      </c>
      <c r="J100" s="3504">
        <f>500101098+1251243</f>
        <v>501352341</v>
      </c>
      <c r="K100" s="151">
        <v>250779222</v>
      </c>
      <c r="L100" s="3652">
        <f t="shared" si="4"/>
        <v>491129341</v>
      </c>
      <c r="M100" s="151">
        <f>453476151+346392</f>
        <v>453822543</v>
      </c>
      <c r="N100" s="3504">
        <v>37306798</v>
      </c>
      <c r="O100" s="1379">
        <v>27500845</v>
      </c>
      <c r="P100" s="1378">
        <v>5.7915000000000001</v>
      </c>
    </row>
    <row r="101" spans="1:16">
      <c r="A101" s="1301" t="s">
        <v>473</v>
      </c>
      <c r="B101" s="2380">
        <f t="shared" si="5"/>
        <v>37294877.542332053</v>
      </c>
      <c r="C101" s="3504">
        <f>32145082.0682862+2974.745108305</f>
        <v>32148056.813394506</v>
      </c>
      <c r="D101" s="151">
        <v>5146820.7289375504</v>
      </c>
      <c r="E101" s="3652">
        <f t="shared" si="6"/>
        <v>37115471.697590709</v>
      </c>
      <c r="F101" s="151">
        <f>37032818.2071702+3651.64846725506</f>
        <v>37036469.855637461</v>
      </c>
      <c r="G101" s="3504">
        <v>79001.841953250303</v>
      </c>
      <c r="H101" s="151">
        <v>2493684.8106475556</v>
      </c>
      <c r="I101" s="2381">
        <f>J101+K101</f>
        <v>777021557</v>
      </c>
      <c r="J101" s="3504">
        <f>540811774+1445137</f>
        <v>542256911</v>
      </c>
      <c r="K101" s="151">
        <v>234764646</v>
      </c>
      <c r="L101" s="3652">
        <f>M101+N101</f>
        <v>537920691</v>
      </c>
      <c r="M101" s="151">
        <f>492894985+726661</f>
        <v>493621646</v>
      </c>
      <c r="N101" s="3504">
        <v>44299045</v>
      </c>
      <c r="O101" s="1379">
        <v>36138756</v>
      </c>
      <c r="P101" s="1378">
        <v>6.51799999999999</v>
      </c>
    </row>
    <row r="102" spans="1:16">
      <c r="A102" s="1301" t="s">
        <v>65</v>
      </c>
      <c r="B102" s="2380">
        <f t="shared" si="5"/>
        <v>39075542.76679185</v>
      </c>
      <c r="C102" s="3504">
        <f>33267082.1752397+2172.82036308738</f>
        <v>33269254.995602787</v>
      </c>
      <c r="D102" s="151">
        <v>5806287.7711890601</v>
      </c>
      <c r="E102" s="3652">
        <f>F102+G102</f>
        <v>38671373.532402322</v>
      </c>
      <c r="F102" s="151">
        <f>38596638.8615171+3050.6918937432</f>
        <v>38599689.553410843</v>
      </c>
      <c r="G102" s="3504">
        <v>71683.978991481461</v>
      </c>
      <c r="H102" s="151">
        <v>2122261.960544168</v>
      </c>
      <c r="I102" s="2381">
        <f t="shared" si="3"/>
        <v>841080659</v>
      </c>
      <c r="J102" s="3504">
        <f>570891576+1496155</f>
        <v>572387731</v>
      </c>
      <c r="K102" s="151">
        <v>268692928</v>
      </c>
      <c r="L102" s="3652">
        <f t="shared" si="4"/>
        <v>552199869</v>
      </c>
      <c r="M102" s="151">
        <f>507275383+350421</f>
        <v>507625804</v>
      </c>
      <c r="N102" s="3504">
        <v>44574065</v>
      </c>
      <c r="O102" s="1379">
        <v>32901965</v>
      </c>
      <c r="P102" s="1378">
        <v>8.0098000000000003</v>
      </c>
    </row>
    <row r="103" spans="1:16">
      <c r="A103" s="1301" t="s">
        <v>474</v>
      </c>
      <c r="B103" s="2380">
        <f t="shared" si="5"/>
        <v>44162406.809413098</v>
      </c>
      <c r="C103" s="3504">
        <f>38236773.9040589+3041.78140027736</f>
        <v>38239815.685459182</v>
      </c>
      <c r="D103" s="151">
        <v>5922591.123953918</v>
      </c>
      <c r="E103" s="3652">
        <f t="shared" si="6"/>
        <v>39772364.344791718</v>
      </c>
      <c r="F103" s="151">
        <f>39661108.6566828+2333.42358761759</f>
        <v>39663442.080270417</v>
      </c>
      <c r="G103" s="3504">
        <v>108922.26452129819</v>
      </c>
      <c r="H103" s="151">
        <v>2269766.8769866219</v>
      </c>
      <c r="I103" s="2381">
        <f t="shared" si="3"/>
        <v>888021150</v>
      </c>
      <c r="J103" s="3504">
        <f>625887369+2106083</f>
        <v>627993452</v>
      </c>
      <c r="K103" s="151">
        <v>260027698</v>
      </c>
      <c r="L103" s="3652">
        <f t="shared" si="4"/>
        <v>571181068</v>
      </c>
      <c r="M103" s="151">
        <f>525081872+760825</f>
        <v>525842697</v>
      </c>
      <c r="N103" s="3504">
        <v>45338371</v>
      </c>
      <c r="O103" s="1379">
        <v>33756331</v>
      </c>
      <c r="P103" s="1378">
        <v>8.1326999999999892</v>
      </c>
    </row>
    <row r="104" spans="1:16">
      <c r="A104" s="1301" t="s">
        <v>475</v>
      </c>
      <c r="B104" s="2380">
        <f t="shared" si="5"/>
        <v>45058909.949172929</v>
      </c>
      <c r="C104" s="3504">
        <f>38655361.9855806+1637.55856814546</f>
        <v>38656999.544148743</v>
      </c>
      <c r="D104" s="151">
        <v>6401910.4050241839</v>
      </c>
      <c r="E104" s="3652">
        <f t="shared" si="6"/>
        <v>42223423.451547541</v>
      </c>
      <c r="F104" s="151">
        <f>42094366.01298+112.734487828903+2333.42358761759</f>
        <v>42096812.171055451</v>
      </c>
      <c r="G104" s="3504">
        <v>126611.28049208989</v>
      </c>
      <c r="H104" s="151">
        <v>2809458.7428416209</v>
      </c>
      <c r="I104" s="2381">
        <f t="shared" si="3"/>
        <v>934853084</v>
      </c>
      <c r="J104" s="3504">
        <f>653046170+1751052</f>
        <v>654797222</v>
      </c>
      <c r="K104" s="151">
        <v>280055862</v>
      </c>
      <c r="L104" s="3652">
        <f t="shared" si="4"/>
        <v>598314725</v>
      </c>
      <c r="M104" s="151">
        <f>551929112+454090</f>
        <v>552383202</v>
      </c>
      <c r="N104" s="3504">
        <v>45931523</v>
      </c>
      <c r="O104" s="1379">
        <v>38184142</v>
      </c>
      <c r="P104" s="1378">
        <v>8.4642999999999908</v>
      </c>
    </row>
    <row r="105" spans="1:16">
      <c r="A105" s="1301" t="s">
        <v>476</v>
      </c>
      <c r="B105" s="2380">
        <f t="shared" si="5"/>
        <v>48645209.316699237</v>
      </c>
      <c r="C105" s="3504">
        <f>42698058.7414726+5225.15427692143</f>
        <v>42703283.895749524</v>
      </c>
      <c r="D105" s="151">
        <v>5941925.4209497115</v>
      </c>
      <c r="E105" s="3652">
        <f t="shared" si="6"/>
        <v>44757160.348511316</v>
      </c>
      <c r="F105" s="151">
        <f>44661819.1610331+1089.03355258669</f>
        <v>44662908.194585688</v>
      </c>
      <c r="G105" s="3504">
        <v>94252.153925626088</v>
      </c>
      <c r="H105" s="151">
        <v>3177650.6102307779</v>
      </c>
      <c r="I105" s="2381">
        <f t="shared" si="3"/>
        <v>1014709735</v>
      </c>
      <c r="J105" s="3504">
        <f>712149015+1392758</f>
        <v>713541773</v>
      </c>
      <c r="K105" s="151">
        <v>301167962</v>
      </c>
      <c r="L105" s="3652">
        <f t="shared" si="4"/>
        <v>638399610</v>
      </c>
      <c r="M105" s="151">
        <f>592658957+367095</f>
        <v>593026052</v>
      </c>
      <c r="N105" s="3504">
        <v>45373558</v>
      </c>
      <c r="O105" s="1379">
        <v>51063319</v>
      </c>
      <c r="P105" s="1378">
        <v>8.5519999999999907</v>
      </c>
    </row>
    <row r="106" spans="1:16">
      <c r="A106" s="1301" t="s">
        <v>477</v>
      </c>
      <c r="B106" s="2380">
        <f t="shared" si="5"/>
        <v>52905631.004467286</v>
      </c>
      <c r="C106" s="3504">
        <f>45360882.5042985+3295.98683916622</f>
        <v>45364178.491137668</v>
      </c>
      <c r="D106" s="151">
        <v>7541452.5133296186</v>
      </c>
      <c r="E106" s="3652">
        <f t="shared" si="6"/>
        <v>48707549.248961702</v>
      </c>
      <c r="F106" s="151">
        <f>48622195.2262194+256.604861217218</f>
        <v>48622451.831080616</v>
      </c>
      <c r="G106" s="3504">
        <v>85097.417881088288</v>
      </c>
      <c r="H106" s="151">
        <v>2954266.0832827962</v>
      </c>
      <c r="I106" s="2381">
        <f t="shared" si="3"/>
        <v>1099918767</v>
      </c>
      <c r="J106" s="3504">
        <f>770797765+1681684</f>
        <v>772479449</v>
      </c>
      <c r="K106" s="151">
        <v>327439318</v>
      </c>
      <c r="L106" s="3652">
        <f t="shared" si="4"/>
        <v>676729770</v>
      </c>
      <c r="M106" s="151">
        <f>622651179+1100034</f>
        <v>623751213</v>
      </c>
      <c r="N106" s="3504">
        <v>52978557</v>
      </c>
      <c r="O106" s="1379">
        <v>45884529</v>
      </c>
      <c r="P106" s="1378">
        <v>8.8196999999999903</v>
      </c>
    </row>
    <row r="107" spans="1:16">
      <c r="A107" s="1301" t="s">
        <v>478</v>
      </c>
      <c r="B107" s="2380">
        <f t="shared" si="5"/>
        <v>62067850.704023436</v>
      </c>
      <c r="C107" s="3504">
        <f>52211151.0139863+3242.1258575827</f>
        <v>52214393.139843881</v>
      </c>
      <c r="D107" s="151">
        <v>9853457.5641795509</v>
      </c>
      <c r="E107" s="3652">
        <f t="shared" si="6"/>
        <v>52272703.610108599</v>
      </c>
      <c r="F107" s="151">
        <f>51746922.2448672+518.971923732469</f>
        <v>51747441.216790929</v>
      </c>
      <c r="G107" s="3504">
        <v>525262.39331767301</v>
      </c>
      <c r="H107" s="151">
        <v>3100608.8769606403</v>
      </c>
      <c r="I107" s="2381">
        <f t="shared" si="3"/>
        <v>1194287349</v>
      </c>
      <c r="J107" s="3504">
        <f>864858625+2085376</f>
        <v>866944001</v>
      </c>
      <c r="K107" s="151">
        <v>327343348</v>
      </c>
      <c r="L107" s="3652">
        <f t="shared" si="4"/>
        <v>730082088</v>
      </c>
      <c r="M107" s="151">
        <f>672993804+2818991</f>
        <v>675812795</v>
      </c>
      <c r="N107" s="3504">
        <v>54269293</v>
      </c>
      <c r="O107" s="1379">
        <v>48422027</v>
      </c>
      <c r="P107" s="1378">
        <v>9.0864999999999903</v>
      </c>
    </row>
    <row r="108" spans="1:16">
      <c r="A108" s="1301" t="s">
        <v>479</v>
      </c>
      <c r="B108" s="2380">
        <f t="shared" si="5"/>
        <v>63635324.028387427</v>
      </c>
      <c r="C108" s="3504">
        <f>54290718.9595369+2919.1775233472</f>
        <v>54293638.137060247</v>
      </c>
      <c r="D108" s="151">
        <v>9341685.8913271818</v>
      </c>
      <c r="E108" s="3652">
        <f t="shared" si="6"/>
        <v>57228728.974945307</v>
      </c>
      <c r="F108" s="151">
        <f>56660043.4840025+6612.06310519991</f>
        <v>56666655.547107704</v>
      </c>
      <c r="G108" s="3504">
        <v>562073.4278376007</v>
      </c>
      <c r="H108" s="151">
        <v>2658826.3998805159</v>
      </c>
      <c r="I108" s="2381">
        <f t="shared" si="3"/>
        <v>1251447859</v>
      </c>
      <c r="J108" s="3504">
        <f>909023623+1540793</f>
        <v>910564416</v>
      </c>
      <c r="K108" s="151">
        <v>340883443</v>
      </c>
      <c r="L108" s="3652">
        <f t="shared" si="4"/>
        <v>773696867</v>
      </c>
      <c r="M108" s="151">
        <f>722796319+456187</f>
        <v>723252506</v>
      </c>
      <c r="N108" s="3504">
        <v>50444361</v>
      </c>
      <c r="O108" s="1379">
        <v>46673937.999999993</v>
      </c>
      <c r="P108" s="1378">
        <v>9.4192</v>
      </c>
    </row>
    <row r="109" spans="1:16">
      <c r="A109" s="1301" t="s">
        <v>480</v>
      </c>
      <c r="B109" s="2380">
        <f t="shared" si="5"/>
        <v>68863325.837429166</v>
      </c>
      <c r="C109" s="3504">
        <f>62034063.560939+2891.28489375808</f>
        <v>62036954.845832758</v>
      </c>
      <c r="D109" s="151">
        <v>6826370.9915964101</v>
      </c>
      <c r="E109" s="3652">
        <f t="shared" si="6"/>
        <v>63496443.726997368</v>
      </c>
      <c r="F109" s="151">
        <f>63410357.3239343+7947.75934594197</f>
        <v>63418305.083280243</v>
      </c>
      <c r="G109" s="3504">
        <v>78138.643717125771</v>
      </c>
      <c r="H109" s="151">
        <v>4072558.2176210135</v>
      </c>
      <c r="I109" s="2381">
        <f t="shared" si="3"/>
        <v>1387840817</v>
      </c>
      <c r="J109" s="3504">
        <f>1048727719+2153194</f>
        <v>1050880913</v>
      </c>
      <c r="K109" s="151">
        <v>336959904</v>
      </c>
      <c r="L109" s="3652">
        <f t="shared" si="4"/>
        <v>875925037</v>
      </c>
      <c r="M109" s="151">
        <f>812732000+300025</f>
        <v>813032025</v>
      </c>
      <c r="N109" s="3504">
        <v>62893012</v>
      </c>
      <c r="O109" s="1379">
        <v>73453133</v>
      </c>
      <c r="P109" s="1378">
        <v>13.005000000000001</v>
      </c>
    </row>
    <row r="110" spans="1:16">
      <c r="A110" s="1301" t="s">
        <v>481</v>
      </c>
      <c r="B110" s="2380">
        <f t="shared" si="5"/>
        <v>80282788.385360539</v>
      </c>
      <c r="C110" s="3504">
        <f>67670758.5810491+5185.85581527518</f>
        <v>67675944.436864376</v>
      </c>
      <c r="D110" s="151">
        <v>12606843.948496163</v>
      </c>
      <c r="E110" s="3652">
        <f t="shared" si="6"/>
        <v>65984829.67689079</v>
      </c>
      <c r="F110" s="151">
        <f>65185654.4950392+8517.74476172131</f>
        <v>65194172.239800923</v>
      </c>
      <c r="G110" s="3504">
        <v>790657.4370898701</v>
      </c>
      <c r="H110" s="151">
        <v>3573111.9994604765</v>
      </c>
      <c r="I110" s="2381">
        <f t="shared" ref="I110:I129" si="7">J110+K110</f>
        <v>1479443852</v>
      </c>
      <c r="J110" s="3504">
        <f>1106851829+2110925</f>
        <v>1108962754</v>
      </c>
      <c r="K110" s="151">
        <v>370481098.00000006</v>
      </c>
      <c r="L110" s="3652">
        <f t="shared" ref="L110:L129" si="8">M110+N110</f>
        <v>892713490</v>
      </c>
      <c r="M110" s="151">
        <f>831277243+675198</f>
        <v>831952441</v>
      </c>
      <c r="N110" s="3504">
        <v>60761049</v>
      </c>
      <c r="O110" s="1379">
        <v>70037557</v>
      </c>
      <c r="P110" s="1378">
        <v>14.5817</v>
      </c>
    </row>
    <row r="111" spans="1:16">
      <c r="A111" s="1301" t="s">
        <v>482</v>
      </c>
      <c r="B111" s="2380">
        <f t="shared" si="5"/>
        <v>92804924.372775212</v>
      </c>
      <c r="C111" s="3504">
        <f>77370026.6360943+4974.58182051843</f>
        <v>77375001.21791482</v>
      </c>
      <c r="D111" s="151">
        <v>15429923.154860398</v>
      </c>
      <c r="E111" s="3652">
        <f t="shared" si="6"/>
        <v>70146204.256903112</v>
      </c>
      <c r="F111" s="151">
        <f>69353623.0897801+1580.34069283001</f>
        <v>69355203.43047294</v>
      </c>
      <c r="G111" s="3504">
        <v>791000.82643016987</v>
      </c>
      <c r="H111" s="151">
        <v>3368828.8634150024</v>
      </c>
      <c r="I111" s="2381">
        <f t="shared" si="7"/>
        <v>1608113530</v>
      </c>
      <c r="J111" s="3504">
        <f>1183328995+2579638</f>
        <v>1185908633</v>
      </c>
      <c r="K111" s="151">
        <v>422204897</v>
      </c>
      <c r="L111" s="3652">
        <f t="shared" si="8"/>
        <v>958609127</v>
      </c>
      <c r="M111" s="151">
        <f>889843756+834527</f>
        <v>890678283</v>
      </c>
      <c r="N111" s="3504">
        <v>67930844</v>
      </c>
      <c r="O111" s="1379">
        <v>63294685</v>
      </c>
      <c r="P111" s="1378">
        <v>14.92</v>
      </c>
    </row>
    <row r="112" spans="1:16">
      <c r="A112" s="1301" t="s">
        <v>483</v>
      </c>
      <c r="B112" s="2380">
        <f t="shared" si="5"/>
        <v>99313167.300612926</v>
      </c>
      <c r="C112" s="3504">
        <f>83321286.3121982+5164.91050772078</f>
        <v>83326451.22270593</v>
      </c>
      <c r="D112" s="151">
        <v>15986716.07790699</v>
      </c>
      <c r="E112" s="3652">
        <f t="shared" si="6"/>
        <v>73617117.830232427</v>
      </c>
      <c r="F112" s="151">
        <f>72869940.6335063+6966.96274383167</f>
        <v>72876907.596250132</v>
      </c>
      <c r="G112" s="3504">
        <v>740210.23398229224</v>
      </c>
      <c r="H112" s="151">
        <v>3762652.1779257562</v>
      </c>
      <c r="I112" s="2381">
        <f t="shared" si="7"/>
        <v>1661746371</v>
      </c>
      <c r="J112" s="3504">
        <f>1247342540+3720677</f>
        <v>1251063217</v>
      </c>
      <c r="K112" s="151">
        <v>410683154</v>
      </c>
      <c r="L112" s="3652">
        <f t="shared" si="8"/>
        <v>1015359965</v>
      </c>
      <c r="M112" s="151">
        <f>947264340+1318451</f>
        <v>948582791</v>
      </c>
      <c r="N112" s="3504">
        <v>66777174</v>
      </c>
      <c r="O112" s="1379">
        <v>65495865</v>
      </c>
      <c r="P112" s="1378">
        <v>15.2632999999999</v>
      </c>
    </row>
    <row r="113" spans="1:16">
      <c r="A113" s="1301" t="s">
        <v>484</v>
      </c>
      <c r="B113" s="2380">
        <f t="shared" si="5"/>
        <v>115001208.82813765</v>
      </c>
      <c r="C113" s="3504">
        <f>99286107.9424592+5287.70945636909</f>
        <v>99291395.651915565</v>
      </c>
      <c r="D113" s="151">
        <v>15709813.176222084</v>
      </c>
      <c r="E113" s="3652">
        <f t="shared" si="6"/>
        <v>83524037.994382203</v>
      </c>
      <c r="F113" s="151">
        <f>83383462.7159692+7575.58112636431</f>
        <v>83391038.297095567</v>
      </c>
      <c r="G113" s="3504">
        <v>132999.69728663226</v>
      </c>
      <c r="H113" s="151">
        <v>5145824.1611116873</v>
      </c>
      <c r="I113" s="2381">
        <f t="shared" si="7"/>
        <v>1988654637</v>
      </c>
      <c r="J113" s="3504">
        <f>1510069447+3471631</f>
        <v>1513541078</v>
      </c>
      <c r="K113" s="151">
        <v>475113559</v>
      </c>
      <c r="L113" s="3652">
        <f t="shared" si="8"/>
        <v>1106277275</v>
      </c>
      <c r="M113" s="151">
        <f>1060617509+1674010</f>
        <v>1062291519</v>
      </c>
      <c r="N113" s="3504">
        <v>43985756.000000007</v>
      </c>
      <c r="O113" s="1379">
        <v>120652599</v>
      </c>
      <c r="P113" s="1378">
        <v>15.8501999999999</v>
      </c>
    </row>
    <row r="114" spans="1:16">
      <c r="A114" s="1301" t="s">
        <v>485</v>
      </c>
      <c r="B114" s="2380">
        <f t="shared" si="5"/>
        <v>127346480.25499913</v>
      </c>
      <c r="C114" s="3504">
        <v>101412850.92552426</v>
      </c>
      <c r="D114" s="151">
        <v>25933629.329474874</v>
      </c>
      <c r="E114" s="3652">
        <f t="shared" si="6"/>
        <v>89048280.600410506</v>
      </c>
      <c r="F114" s="151">
        <v>88756896.855190009</v>
      </c>
      <c r="G114" s="3504">
        <v>291383.74522050406</v>
      </c>
      <c r="H114" s="151">
        <v>4673179.7441787161</v>
      </c>
      <c r="I114" s="2381">
        <f t="shared" si="7"/>
        <v>2172185034</v>
      </c>
      <c r="J114" s="3504">
        <v>1536274828</v>
      </c>
      <c r="K114" s="151">
        <v>635910206</v>
      </c>
      <c r="L114" s="3652">
        <f t="shared" si="8"/>
        <v>1161680536</v>
      </c>
      <c r="M114" s="151">
        <v>1122833152</v>
      </c>
      <c r="N114" s="3504">
        <v>38847384</v>
      </c>
      <c r="O114" s="1379">
        <v>112141602</v>
      </c>
      <c r="P114" s="1378">
        <v>15.3818</v>
      </c>
    </row>
    <row r="115" spans="1:16">
      <c r="A115" s="1301" t="s">
        <v>486</v>
      </c>
      <c r="B115" s="2380">
        <f t="shared" si="5"/>
        <v>135970136.33301803</v>
      </c>
      <c r="C115" s="3504">
        <v>111221805.70265301</v>
      </c>
      <c r="D115" s="151">
        <v>24748330.630365029</v>
      </c>
      <c r="E115" s="3652">
        <f t="shared" si="6"/>
        <v>95908609.212760165</v>
      </c>
      <c r="F115" s="151">
        <v>95613170.689912349</v>
      </c>
      <c r="G115" s="3504">
        <v>295438.52284782275</v>
      </c>
      <c r="H115" s="151">
        <v>5255639.6790866535</v>
      </c>
      <c r="I115" s="2381">
        <f t="shared" si="7"/>
        <v>2173114507</v>
      </c>
      <c r="J115" s="3504">
        <v>1644529544.0000002</v>
      </c>
      <c r="K115" s="151">
        <v>528584962.99999994</v>
      </c>
      <c r="L115" s="3652">
        <f t="shared" si="8"/>
        <v>1288479115</v>
      </c>
      <c r="M115" s="151">
        <v>1251806144</v>
      </c>
      <c r="N115" s="3504">
        <v>36672971</v>
      </c>
      <c r="O115" s="1379">
        <v>93238465</v>
      </c>
      <c r="P115" s="1378">
        <v>16.598500000000001</v>
      </c>
    </row>
    <row r="116" spans="1:16">
      <c r="A116" s="1301" t="s">
        <v>487</v>
      </c>
      <c r="B116" s="2380">
        <f t="shared" si="5"/>
        <v>138932636.70755723</v>
      </c>
      <c r="C116" s="3504">
        <v>114629762.10545391</v>
      </c>
      <c r="D116" s="151">
        <v>24302874.602103312</v>
      </c>
      <c r="E116" s="3652">
        <f t="shared" si="6"/>
        <v>110353018.87437564</v>
      </c>
      <c r="F116" s="151">
        <v>109357877.01932335</v>
      </c>
      <c r="G116" s="3504">
        <v>995141.85505229072</v>
      </c>
      <c r="H116" s="151">
        <v>5590110.9819066199</v>
      </c>
      <c r="I116" s="2381">
        <f t="shared" si="7"/>
        <v>2294915295</v>
      </c>
      <c r="J116" s="3504">
        <v>1713898709</v>
      </c>
      <c r="K116" s="151">
        <v>581016586</v>
      </c>
      <c r="L116" s="3652">
        <f t="shared" si="8"/>
        <v>1452570194</v>
      </c>
      <c r="M116" s="151">
        <v>1418377060</v>
      </c>
      <c r="N116" s="3504">
        <v>34193134</v>
      </c>
      <c r="O116" s="1379">
        <v>92421238</v>
      </c>
      <c r="P116" s="1378">
        <v>17.318300000000001</v>
      </c>
    </row>
    <row r="117" spans="1:16">
      <c r="A117" s="1301" t="s">
        <v>488</v>
      </c>
      <c r="B117" s="2380">
        <f>C117+D117</f>
        <v>149446478.77519566</v>
      </c>
      <c r="C117" s="3504">
        <v>129653020.23765101</v>
      </c>
      <c r="D117" s="151">
        <v>19793458.537544642</v>
      </c>
      <c r="E117" s="3652">
        <f t="shared" si="6"/>
        <v>126880560.64647692</v>
      </c>
      <c r="F117" s="151">
        <v>126672908.11299083</v>
      </c>
      <c r="G117" s="3504">
        <v>207652.53348609898</v>
      </c>
      <c r="H117" s="151">
        <v>7065203.3929790324</v>
      </c>
      <c r="I117" s="2381">
        <f t="shared" si="7"/>
        <v>2578876834</v>
      </c>
      <c r="J117" s="3504">
        <v>1960474335</v>
      </c>
      <c r="K117" s="151">
        <v>618402499</v>
      </c>
      <c r="L117" s="3652">
        <f t="shared" si="8"/>
        <v>1642600434.0000002</v>
      </c>
      <c r="M117" s="151">
        <v>1612860766.0000002</v>
      </c>
      <c r="N117" s="3504">
        <v>29739668</v>
      </c>
      <c r="O117" s="1379">
        <v>132988897</v>
      </c>
      <c r="P117" s="1378">
        <v>18.7742</v>
      </c>
    </row>
    <row r="118" spans="1:16" s="259" customFormat="1">
      <c r="A118" s="1301" t="s">
        <v>489</v>
      </c>
      <c r="B118" s="2380">
        <f t="shared" si="5"/>
        <v>153472177.07733613</v>
      </c>
      <c r="C118" s="3504">
        <v>132887153.74676831</v>
      </c>
      <c r="D118" s="151">
        <v>20585023.330567818</v>
      </c>
      <c r="E118" s="3652">
        <f t="shared" si="6"/>
        <v>137628821.08098099</v>
      </c>
      <c r="F118" s="151">
        <v>137393362.27946123</v>
      </c>
      <c r="G118" s="3504">
        <v>235458.80151974154</v>
      </c>
      <c r="H118" s="151">
        <v>6948093.407279701</v>
      </c>
      <c r="I118" s="2381">
        <f t="shared" si="7"/>
        <v>2836521020</v>
      </c>
      <c r="J118" s="3504">
        <v>2026693101.0000002</v>
      </c>
      <c r="K118" s="151">
        <v>809827919</v>
      </c>
      <c r="L118" s="3652">
        <f t="shared" si="8"/>
        <v>1783697559.0000002</v>
      </c>
      <c r="M118" s="151">
        <v>1754509527.0000002</v>
      </c>
      <c r="N118" s="3504">
        <v>29188032</v>
      </c>
      <c r="O118" s="1379">
        <v>127836559</v>
      </c>
      <c r="P118" s="1378">
        <v>20.1433</v>
      </c>
    </row>
    <row r="119" spans="1:16">
      <c r="A119" s="1301" t="s">
        <v>490</v>
      </c>
      <c r="B119" s="2380">
        <f t="shared" si="5"/>
        <v>183488649.89920896</v>
      </c>
      <c r="C119" s="3504">
        <f>157400397.730255+11043.9140658636</f>
        <v>157411441.64432088</v>
      </c>
      <c r="D119" s="151">
        <v>26077208.254888099</v>
      </c>
      <c r="E119" s="3652">
        <f>F119+G119</f>
        <v>167255925.48078871</v>
      </c>
      <c r="F119" s="151">
        <v>166811468.575701</v>
      </c>
      <c r="G119" s="3504">
        <v>444456.90508769703</v>
      </c>
      <c r="H119" s="151">
        <v>7223077.6569863297</v>
      </c>
      <c r="I119" s="2381">
        <f t="shared" si="7"/>
        <v>3324135399</v>
      </c>
      <c r="J119" s="3504">
        <f>2384085380+23530172</f>
        <v>2407615552</v>
      </c>
      <c r="K119" s="151">
        <v>916519847</v>
      </c>
      <c r="L119" s="3652">
        <f t="shared" si="8"/>
        <v>2042608244</v>
      </c>
      <c r="M119" s="151">
        <f>2008661542+2730745</f>
        <v>2011392287</v>
      </c>
      <c r="N119" s="3504">
        <v>31215957</v>
      </c>
      <c r="O119" s="1379">
        <v>146430375</v>
      </c>
      <c r="P119" s="1378">
        <v>28.861699999999999</v>
      </c>
    </row>
    <row r="120" spans="1:16">
      <c r="A120" s="1301" t="s">
        <v>491</v>
      </c>
      <c r="B120" s="2380">
        <f t="shared" si="5"/>
        <v>205036263.99408653</v>
      </c>
      <c r="C120" s="3504">
        <v>177339996.29581702</v>
      </c>
      <c r="D120" s="151">
        <v>27696267.698269527</v>
      </c>
      <c r="E120" s="3652">
        <f t="shared" si="6"/>
        <v>180963288.06057227</v>
      </c>
      <c r="F120" s="151">
        <v>180559512.42434791</v>
      </c>
      <c r="G120" s="3504">
        <v>403775.63622435613</v>
      </c>
      <c r="H120" s="151">
        <v>9078555.8342444189</v>
      </c>
      <c r="I120" s="2381">
        <f t="shared" si="7"/>
        <v>3948760374</v>
      </c>
      <c r="J120" s="3504">
        <v>2854540869</v>
      </c>
      <c r="K120" s="151">
        <v>1094219505</v>
      </c>
      <c r="L120" s="3652">
        <f t="shared" si="8"/>
        <v>2267515046</v>
      </c>
      <c r="M120" s="151">
        <v>2236618259</v>
      </c>
      <c r="N120" s="3504">
        <v>30896787</v>
      </c>
      <c r="O120" s="1379">
        <v>192445337</v>
      </c>
      <c r="P120" s="1378">
        <v>40.896700000000003</v>
      </c>
    </row>
    <row r="121" spans="1:16">
      <c r="A121" s="1301" t="s">
        <v>492</v>
      </c>
      <c r="B121" s="2380">
        <f t="shared" si="5"/>
        <v>224508523.37625727</v>
      </c>
      <c r="C121" s="3504">
        <v>193270700.242457</v>
      </c>
      <c r="D121" s="151">
        <v>31237823.133800268</v>
      </c>
      <c r="E121" s="3652">
        <f t="shared" si="6"/>
        <v>173455016.97612548</v>
      </c>
      <c r="F121" s="151">
        <v>173072971.2466155</v>
      </c>
      <c r="G121" s="3504">
        <v>382045.72950999241</v>
      </c>
      <c r="H121" s="151">
        <v>9907454.1388376392</v>
      </c>
      <c r="I121" s="2381">
        <f t="shared" si="7"/>
        <v>4201097633</v>
      </c>
      <c r="J121" s="3504">
        <v>3163106118</v>
      </c>
      <c r="K121" s="151">
        <v>1037991515</v>
      </c>
      <c r="L121" s="3652">
        <f t="shared" si="8"/>
        <v>2181123709</v>
      </c>
      <c r="M121" s="151">
        <v>2151073991</v>
      </c>
      <c r="N121" s="3504">
        <v>30049718</v>
      </c>
      <c r="O121" s="1379">
        <v>306385891</v>
      </c>
      <c r="P121" s="1378">
        <v>37.808300000000003</v>
      </c>
    </row>
    <row r="122" spans="1:16">
      <c r="A122" s="1301" t="s">
        <v>493</v>
      </c>
      <c r="B122" s="2380">
        <f t="shared" si="5"/>
        <v>240413916.55221501</v>
      </c>
      <c r="C122" s="3504">
        <v>210144599.67193446</v>
      </c>
      <c r="D122" s="151">
        <v>30269316.880280551</v>
      </c>
      <c r="E122" s="3652">
        <f t="shared" si="6"/>
        <v>178425677.57189858</v>
      </c>
      <c r="F122" s="151">
        <v>178073371.68210903</v>
      </c>
      <c r="G122" s="3504">
        <v>352305.88978953881</v>
      </c>
      <c r="H122" s="151">
        <v>8638174.2691452391</v>
      </c>
      <c r="I122" s="2381">
        <f t="shared" si="7"/>
        <v>4493650812</v>
      </c>
      <c r="J122" s="3504">
        <v>3514537702</v>
      </c>
      <c r="K122" s="151">
        <v>979113110</v>
      </c>
      <c r="L122" s="3652">
        <f t="shared" si="8"/>
        <v>2247348047.9999995</v>
      </c>
      <c r="M122" s="151">
        <v>2219059957.9999995</v>
      </c>
      <c r="N122" s="3504">
        <v>28288090</v>
      </c>
      <c r="O122" s="1379">
        <v>272369205</v>
      </c>
      <c r="P122" s="1378">
        <v>43.353299999999997</v>
      </c>
    </row>
    <row r="123" spans="1:16">
      <c r="A123" s="1301" t="s">
        <v>494</v>
      </c>
      <c r="B123" s="2380">
        <f t="shared" si="5"/>
        <v>266179624.73180771</v>
      </c>
      <c r="C123" s="3504">
        <v>236265626.49866071</v>
      </c>
      <c r="D123" s="151">
        <v>29913998.23314698</v>
      </c>
      <c r="E123" s="3652">
        <f t="shared" si="6"/>
        <v>174971353.81814757</v>
      </c>
      <c r="F123" s="151">
        <v>174092815.08166873</v>
      </c>
      <c r="G123" s="3504">
        <v>878538.73647883534</v>
      </c>
      <c r="H123" s="151">
        <v>8614778.1747847162</v>
      </c>
      <c r="I123" s="2381">
        <f t="shared" si="7"/>
        <v>4656399798</v>
      </c>
      <c r="J123" s="3504">
        <v>3755354029</v>
      </c>
      <c r="K123" s="151">
        <v>901045769</v>
      </c>
      <c r="L123" s="3652">
        <f t="shared" si="8"/>
        <v>2243927890</v>
      </c>
      <c r="M123" s="151">
        <v>2213786300</v>
      </c>
      <c r="N123" s="3504">
        <v>30141589.999999996</v>
      </c>
      <c r="O123" s="1379">
        <v>245893334</v>
      </c>
      <c r="P123" s="1378">
        <v>42.448300000000003</v>
      </c>
    </row>
    <row r="124" spans="1:16">
      <c r="A124" s="1301" t="s">
        <v>495</v>
      </c>
      <c r="B124" s="2380">
        <f t="shared" si="5"/>
        <v>271787996.18333483</v>
      </c>
      <c r="C124" s="3504">
        <v>239422109.33539972</v>
      </c>
      <c r="D124" s="151">
        <v>32365886.84793511</v>
      </c>
      <c r="E124" s="3652">
        <f t="shared" si="6"/>
        <v>202962228.40727454</v>
      </c>
      <c r="F124" s="151">
        <v>202414962.38200682</v>
      </c>
      <c r="G124" s="3504">
        <v>547266.0252677073</v>
      </c>
      <c r="H124" s="151">
        <v>13854787.592490651</v>
      </c>
      <c r="I124" s="2381">
        <f t="shared" si="7"/>
        <v>4705436948</v>
      </c>
      <c r="J124" s="3504">
        <v>3734226819.0000005</v>
      </c>
      <c r="K124" s="151">
        <v>971210129</v>
      </c>
      <c r="L124" s="3652">
        <f t="shared" si="8"/>
        <v>2463416382</v>
      </c>
      <c r="M124" s="151">
        <v>2429806670</v>
      </c>
      <c r="N124" s="3504">
        <v>33609712</v>
      </c>
      <c r="O124" s="1379">
        <v>310351481</v>
      </c>
      <c r="P124" s="1378">
        <v>57.558300000000003</v>
      </c>
    </row>
    <row r="125" spans="1:16">
      <c r="A125" s="1301" t="s">
        <v>496</v>
      </c>
      <c r="B125" s="2380">
        <f t="shared" si="5"/>
        <v>285378137.7077353</v>
      </c>
      <c r="C125" s="3504">
        <v>250383668.78165802</v>
      </c>
      <c r="D125" s="151">
        <v>34994468.926077269</v>
      </c>
      <c r="E125" s="3652">
        <f t="shared" si="6"/>
        <v>204308929.20529664</v>
      </c>
      <c r="F125" s="151">
        <v>203785367.31383529</v>
      </c>
      <c r="G125" s="3504">
        <v>523561.89146133838</v>
      </c>
      <c r="H125" s="151">
        <v>17668192.143961251</v>
      </c>
      <c r="I125" s="2381">
        <f t="shared" si="7"/>
        <v>5069002965</v>
      </c>
      <c r="J125" s="3504">
        <v>4004278450</v>
      </c>
      <c r="K125" s="151">
        <v>1064724515.0000001</v>
      </c>
      <c r="L125" s="3652">
        <f t="shared" si="8"/>
        <v>2560485520</v>
      </c>
      <c r="M125" s="151">
        <v>2484211127</v>
      </c>
      <c r="N125" s="3504">
        <v>76274393</v>
      </c>
      <c r="O125" s="1379">
        <v>404608248</v>
      </c>
      <c r="P125" s="1378">
        <v>59.895000000000003</v>
      </c>
    </row>
    <row r="126" spans="1:16">
      <c r="A126" s="1301" t="s">
        <v>497</v>
      </c>
      <c r="B126" s="2380">
        <f t="shared" si="5"/>
        <v>335297553.94999313</v>
      </c>
      <c r="C126" s="3504">
        <v>284827986.2066251</v>
      </c>
      <c r="D126" s="151">
        <v>50469567.743368059</v>
      </c>
      <c r="E126" s="3652">
        <f t="shared" si="6"/>
        <v>206978236.76980266</v>
      </c>
      <c r="F126" s="151">
        <v>206453502.63224131</v>
      </c>
      <c r="G126" s="3504">
        <v>524734.13756134966</v>
      </c>
      <c r="H126" s="151">
        <v>16075743.470623776</v>
      </c>
      <c r="I126" s="2381">
        <f t="shared" si="7"/>
        <v>5868785442</v>
      </c>
      <c r="J126" s="3504">
        <v>4709238454</v>
      </c>
      <c r="K126" s="151">
        <v>1159546988</v>
      </c>
      <c r="L126" s="3652">
        <f t="shared" si="8"/>
        <v>2638605385</v>
      </c>
      <c r="M126" s="151">
        <v>2561693461</v>
      </c>
      <c r="N126" s="3504">
        <v>76911924</v>
      </c>
      <c r="O126" s="1379">
        <v>400473356</v>
      </c>
      <c r="P126" s="1378">
        <v>64.469700000000003</v>
      </c>
    </row>
    <row r="127" spans="1:16">
      <c r="A127" s="1301" t="s">
        <v>498</v>
      </c>
      <c r="B127" s="2380">
        <f t="shared" si="5"/>
        <v>404474559.64724529</v>
      </c>
      <c r="C127" s="3504">
        <v>336323392.33310556</v>
      </c>
      <c r="D127" s="151">
        <v>68151167.314139694</v>
      </c>
      <c r="E127" s="3652">
        <f t="shared" si="6"/>
        <v>234315141.59248117</v>
      </c>
      <c r="F127" s="151">
        <v>228571517.42751828</v>
      </c>
      <c r="G127" s="3504">
        <v>5743624.1649628878</v>
      </c>
      <c r="H127" s="151">
        <v>18607697.612361297</v>
      </c>
      <c r="I127" s="2381">
        <f t="shared" si="7"/>
        <v>6947710481</v>
      </c>
      <c r="J127" s="3504">
        <v>5580952422</v>
      </c>
      <c r="K127" s="151">
        <v>1366758059</v>
      </c>
      <c r="L127" s="3652">
        <f t="shared" si="8"/>
        <v>2829809128</v>
      </c>
      <c r="M127" s="151">
        <v>2774775784</v>
      </c>
      <c r="N127" s="3504">
        <v>55033344</v>
      </c>
      <c r="O127" s="1379">
        <v>392366630</v>
      </c>
      <c r="P127" s="1378">
        <v>70.454999999999998</v>
      </c>
    </row>
    <row r="128" spans="1:16">
      <c r="A128" s="1301" t="s">
        <v>499</v>
      </c>
      <c r="B128" s="2380">
        <f t="shared" si="5"/>
        <v>420146400.29147094</v>
      </c>
      <c r="C128" s="3504">
        <v>343592190.79881501</v>
      </c>
      <c r="D128" s="151">
        <v>76554209.492655948</v>
      </c>
      <c r="E128" s="3652">
        <f t="shared" si="6"/>
        <v>255188545.69622228</v>
      </c>
      <c r="F128" s="151">
        <v>249603510.29164332</v>
      </c>
      <c r="G128" s="3504">
        <v>5585035.4045789409</v>
      </c>
      <c r="H128" s="151">
        <v>16980232.523589257</v>
      </c>
      <c r="I128" s="2381">
        <f t="shared" si="7"/>
        <v>7610319234</v>
      </c>
      <c r="J128" s="3504">
        <v>5978626904</v>
      </c>
      <c r="K128" s="151">
        <v>1631692330</v>
      </c>
      <c r="L128" s="3652">
        <f t="shared" si="8"/>
        <v>2986541822</v>
      </c>
      <c r="M128" s="151">
        <v>2935670804</v>
      </c>
      <c r="N128" s="3504">
        <v>50871018</v>
      </c>
      <c r="O128" s="1379">
        <v>366742367</v>
      </c>
      <c r="P128" s="1378">
        <v>76.174999999999997</v>
      </c>
    </row>
    <row r="129" spans="1:16">
      <c r="A129" s="1301" t="s">
        <v>500</v>
      </c>
      <c r="B129" s="2380">
        <f t="shared" si="5"/>
        <v>464726039.42605883</v>
      </c>
      <c r="C129" s="3504">
        <v>373734693.41945225</v>
      </c>
      <c r="D129" s="151">
        <v>90991346.006606579</v>
      </c>
      <c r="E129" s="3652">
        <f t="shared" si="6"/>
        <v>284439418.506841</v>
      </c>
      <c r="F129" s="151">
        <v>274866631.87877703</v>
      </c>
      <c r="G129" s="3504">
        <v>9572786.6280639749</v>
      </c>
      <c r="H129" s="151">
        <v>28088570.874568835</v>
      </c>
      <c r="I129" s="2381">
        <f t="shared" si="7"/>
        <v>8349463731</v>
      </c>
      <c r="J129" s="3504">
        <v>6520626616</v>
      </c>
      <c r="K129" s="151">
        <v>1828837115</v>
      </c>
      <c r="L129" s="3652">
        <f t="shared" si="8"/>
        <v>3292026492</v>
      </c>
      <c r="M129" s="151">
        <v>3225773424</v>
      </c>
      <c r="N129" s="3504">
        <v>66253068</v>
      </c>
      <c r="O129" s="1379">
        <v>582482594</v>
      </c>
      <c r="P129" s="1378">
        <v>84.144999999999996</v>
      </c>
    </row>
    <row r="130" spans="1:16">
      <c r="A130" s="1301" t="s">
        <v>501</v>
      </c>
      <c r="B130" s="2380">
        <f t="shared" ref="B130:B149" si="9">C130+D130</f>
        <v>498274144.38278592</v>
      </c>
      <c r="C130" s="3504">
        <v>405870044.33781356</v>
      </c>
      <c r="D130" s="151">
        <v>92404100.04497239</v>
      </c>
      <c r="E130" s="3652">
        <f t="shared" ref="E130:E149" si="10">F130+G130</f>
        <v>298904726.25614113</v>
      </c>
      <c r="F130" s="151">
        <v>289055829.2269792</v>
      </c>
      <c r="G130" s="3504">
        <v>9848897.0291619301</v>
      </c>
      <c r="H130" s="151">
        <v>23172289.257177781</v>
      </c>
      <c r="I130" s="2381">
        <f t="shared" ref="I130:I149" si="11">J130+K130</f>
        <v>9048061777</v>
      </c>
      <c r="J130" s="3504">
        <v>7105990319</v>
      </c>
      <c r="K130" s="151">
        <v>1942071458</v>
      </c>
      <c r="L130" s="3652">
        <f t="shared" ref="L130:L149" si="12">M130+N130</f>
        <v>3423750712</v>
      </c>
      <c r="M130" s="151">
        <v>3363283611</v>
      </c>
      <c r="N130" s="3504">
        <v>60467101</v>
      </c>
      <c r="O130" s="1379">
        <v>512203028</v>
      </c>
      <c r="P130" s="1378">
        <v>91.984999999999999</v>
      </c>
    </row>
    <row r="131" spans="1:16">
      <c r="A131" s="1301" t="s">
        <v>502</v>
      </c>
      <c r="B131" s="2380">
        <f t="shared" si="9"/>
        <v>584836439.73702919</v>
      </c>
      <c r="C131" s="3504">
        <v>475019989.31120896</v>
      </c>
      <c r="D131" s="151">
        <v>109816450.42582025</v>
      </c>
      <c r="E131" s="3652">
        <f t="shared" si="10"/>
        <v>280644787.91494286</v>
      </c>
      <c r="F131" s="151">
        <v>271742963.56871349</v>
      </c>
      <c r="G131" s="3504">
        <v>8901824.3462293725</v>
      </c>
      <c r="H131" s="151">
        <v>20109153.470136326</v>
      </c>
      <c r="I131" s="2381">
        <f t="shared" si="11"/>
        <v>10212551585</v>
      </c>
      <c r="J131" s="3504">
        <v>7962865260</v>
      </c>
      <c r="K131" s="151">
        <v>2249686325</v>
      </c>
      <c r="L131" s="3652">
        <f t="shared" si="12"/>
        <v>3676968027.9999995</v>
      </c>
      <c r="M131" s="151">
        <v>3604147284.9999995</v>
      </c>
      <c r="N131" s="3504">
        <v>72820743</v>
      </c>
      <c r="O131" s="1379">
        <v>489748276</v>
      </c>
      <c r="P131" s="1378">
        <v>95.726699999999994</v>
      </c>
    </row>
    <row r="132" spans="1:16">
      <c r="A132" s="1301" t="s">
        <v>503</v>
      </c>
      <c r="B132" s="2380">
        <f t="shared" si="9"/>
        <v>633215763.77269506</v>
      </c>
      <c r="C132" s="3504">
        <v>504291631.0091449</v>
      </c>
      <c r="D132" s="151">
        <v>128924132.7635501</v>
      </c>
      <c r="E132" s="3652">
        <f t="shared" si="10"/>
        <v>349338503.33084792</v>
      </c>
      <c r="F132" s="151">
        <v>340858768.92813408</v>
      </c>
      <c r="G132" s="3504">
        <v>8479734.4027138613</v>
      </c>
      <c r="H132" s="151">
        <v>22463209.014773518</v>
      </c>
      <c r="I132" s="2381">
        <f t="shared" si="11"/>
        <v>11205609837</v>
      </c>
      <c r="J132" s="3504">
        <v>8734980589</v>
      </c>
      <c r="K132" s="151">
        <v>2470629248</v>
      </c>
      <c r="L132" s="3652">
        <f t="shared" si="12"/>
        <v>4017358297.9999995</v>
      </c>
      <c r="M132" s="151">
        <v>3948785585.9999995</v>
      </c>
      <c r="N132" s="3504">
        <v>68572712</v>
      </c>
      <c r="O132" s="1379">
        <v>503686302</v>
      </c>
      <c r="P132" s="1378">
        <v>98.734999999999999</v>
      </c>
    </row>
    <row r="133" spans="1:16">
      <c r="A133" s="1301" t="s">
        <v>504</v>
      </c>
      <c r="B133" s="2380">
        <f t="shared" si="9"/>
        <v>674006537</v>
      </c>
      <c r="C133" s="3504">
        <v>558466291</v>
      </c>
      <c r="D133" s="151">
        <v>115540246</v>
      </c>
      <c r="E133" s="3652">
        <f t="shared" si="10"/>
        <v>405963817</v>
      </c>
      <c r="F133" s="151">
        <v>393281396</v>
      </c>
      <c r="G133" s="3504">
        <v>12682421</v>
      </c>
      <c r="H133" s="151">
        <v>29983224</v>
      </c>
      <c r="I133" s="2381">
        <f t="shared" si="11"/>
        <v>12802202921</v>
      </c>
      <c r="J133" s="3504">
        <v>9809555004</v>
      </c>
      <c r="K133" s="151">
        <v>2992647917</v>
      </c>
      <c r="L133" s="3652">
        <f t="shared" si="12"/>
        <v>4630801800</v>
      </c>
      <c r="M133" s="151">
        <v>4553980171</v>
      </c>
      <c r="N133" s="3504">
        <v>76821629</v>
      </c>
      <c r="O133" s="1379">
        <v>618400131</v>
      </c>
      <c r="P133" s="1378">
        <v>102.75</v>
      </c>
    </row>
    <row r="134" spans="1:16">
      <c r="A134" s="1301" t="s">
        <v>505</v>
      </c>
      <c r="B134" s="2380">
        <f t="shared" si="9"/>
        <v>719898360.77712131</v>
      </c>
      <c r="C134" s="3504">
        <v>604293150.66362929</v>
      </c>
      <c r="D134" s="151">
        <v>115605210.11349201</v>
      </c>
      <c r="E134" s="3652">
        <f t="shared" si="10"/>
        <v>438465988.65251499</v>
      </c>
      <c r="F134" s="151">
        <v>425957694.72435415</v>
      </c>
      <c r="G134" s="3504">
        <v>12508293.928160837</v>
      </c>
      <c r="H134" s="151">
        <v>25393820.567781784</v>
      </c>
      <c r="I134" s="2381">
        <f t="shared" si="11"/>
        <v>13418180673</v>
      </c>
      <c r="J134" s="3504">
        <v>10582007805</v>
      </c>
      <c r="K134" s="151">
        <v>2836172868</v>
      </c>
      <c r="L134" s="3652">
        <f t="shared" si="12"/>
        <v>5031544550</v>
      </c>
      <c r="M134" s="151">
        <v>4948936521</v>
      </c>
      <c r="N134" s="3504">
        <v>82608029</v>
      </c>
      <c r="O134" s="1379">
        <v>636120109</v>
      </c>
      <c r="P134" s="1378">
        <v>110.9783</v>
      </c>
    </row>
    <row r="135" spans="1:16">
      <c r="A135" s="1301" t="s">
        <v>506</v>
      </c>
      <c r="B135" s="2380">
        <f t="shared" si="9"/>
        <v>904325146.64866734</v>
      </c>
      <c r="C135" s="3504">
        <v>762476085.89073563</v>
      </c>
      <c r="D135" s="151">
        <v>141849060.75793177</v>
      </c>
      <c r="E135" s="3652">
        <f t="shared" si="10"/>
        <v>504968510.79658788</v>
      </c>
      <c r="F135" s="151">
        <v>492100172.31341374</v>
      </c>
      <c r="G135" s="3504">
        <v>12868338.483174153</v>
      </c>
      <c r="H135" s="151">
        <v>29490829.074773625</v>
      </c>
      <c r="I135" s="2381">
        <f t="shared" si="11"/>
        <v>16468758260</v>
      </c>
      <c r="J135" s="3504">
        <v>13039356176</v>
      </c>
      <c r="K135" s="151">
        <v>3429402084</v>
      </c>
      <c r="L135" s="3652">
        <f t="shared" si="12"/>
        <v>5945633645</v>
      </c>
      <c r="M135" s="151">
        <v>5847381751</v>
      </c>
      <c r="N135" s="3504">
        <v>98251894</v>
      </c>
      <c r="O135" s="1379">
        <v>672687424</v>
      </c>
      <c r="P135" s="1378">
        <v>125.215</v>
      </c>
    </row>
    <row r="136" spans="1:16">
      <c r="A136" s="1301" t="s">
        <v>507</v>
      </c>
      <c r="B136" s="2380">
        <f>C136+D136</f>
        <v>1007543433.3690659</v>
      </c>
      <c r="C136" s="3504">
        <v>851402685.21359003</v>
      </c>
      <c r="D136" s="151">
        <v>156140748.15547585</v>
      </c>
      <c r="E136" s="3652">
        <f t="shared" si="10"/>
        <v>579688668.46584487</v>
      </c>
      <c r="F136" s="151">
        <v>563439037.48638594</v>
      </c>
      <c r="G136" s="3504">
        <v>16249630.979458893</v>
      </c>
      <c r="H136" s="151">
        <v>36059745.226015732</v>
      </c>
      <c r="I136" s="2381">
        <f t="shared" si="11"/>
        <v>19545058366</v>
      </c>
      <c r="J136" s="3504">
        <v>15264257394</v>
      </c>
      <c r="K136" s="151">
        <v>4280800972</v>
      </c>
      <c r="L136" s="3652">
        <f t="shared" si="12"/>
        <v>6619282115</v>
      </c>
      <c r="M136" s="151">
        <v>6515572473</v>
      </c>
      <c r="N136" s="3504">
        <v>103709642</v>
      </c>
      <c r="O136" s="1379">
        <v>878220002</v>
      </c>
      <c r="P136" s="1378">
        <v>147.315</v>
      </c>
    </row>
    <row r="137" spans="1:16">
      <c r="A137" s="1301" t="s">
        <v>508</v>
      </c>
      <c r="B137" s="2380">
        <f t="shared" si="9"/>
        <v>1267679162.9503319</v>
      </c>
      <c r="C137" s="3504">
        <v>1058224241.4852552</v>
      </c>
      <c r="D137" s="151">
        <v>209454921.46507677</v>
      </c>
      <c r="E137" s="3652">
        <f t="shared" si="10"/>
        <v>675266602.13091636</v>
      </c>
      <c r="F137" s="151">
        <v>658851123.9710784</v>
      </c>
      <c r="G137" s="3504">
        <v>16415478.159837954</v>
      </c>
      <c r="H137" s="151">
        <v>50925732.689327538</v>
      </c>
      <c r="I137" s="2381">
        <f t="shared" si="11"/>
        <v>23791828391</v>
      </c>
      <c r="J137" s="3504">
        <v>19048006616</v>
      </c>
      <c r="K137" s="151">
        <v>4743821775</v>
      </c>
      <c r="L137" s="3652">
        <f t="shared" si="12"/>
        <v>7663534110.000001</v>
      </c>
      <c r="M137" s="151">
        <v>7539140513.000001</v>
      </c>
      <c r="N137" s="3504">
        <v>124393597</v>
      </c>
      <c r="O137" s="1379">
        <v>1146355664</v>
      </c>
      <c r="P137" s="1378">
        <v>177.1283</v>
      </c>
    </row>
    <row r="138" spans="1:16">
      <c r="A138" s="1301" t="s">
        <v>509</v>
      </c>
      <c r="B138" s="2380">
        <f t="shared" si="9"/>
        <v>1349880584.6265407</v>
      </c>
      <c r="C138" s="3504">
        <v>1141500533.153059</v>
      </c>
      <c r="D138" s="151">
        <v>208380051.47348168</v>
      </c>
      <c r="E138" s="3652">
        <f t="shared" si="10"/>
        <v>805681878.78419363</v>
      </c>
      <c r="F138" s="151">
        <v>789869687.17701983</v>
      </c>
      <c r="G138" s="3504">
        <v>15812191.607173817</v>
      </c>
      <c r="H138" s="151">
        <v>53015910.781804636</v>
      </c>
      <c r="I138" s="2381">
        <f t="shared" si="11"/>
        <v>27195548964</v>
      </c>
      <c r="J138" s="3504">
        <v>22238480041</v>
      </c>
      <c r="K138" s="151">
        <v>4957068923</v>
      </c>
      <c r="L138" s="3652">
        <f t="shared" si="12"/>
        <v>8970716979</v>
      </c>
      <c r="M138" s="151">
        <v>8826476118</v>
      </c>
      <c r="N138" s="3504">
        <v>144240861</v>
      </c>
      <c r="O138" s="1379">
        <v>1255130115</v>
      </c>
      <c r="P138" s="1378">
        <v>208.98830000000001</v>
      </c>
    </row>
    <row r="139" spans="1:16">
      <c r="A139" s="1301" t="s">
        <v>510</v>
      </c>
      <c r="B139" s="2380">
        <f t="shared" si="9"/>
        <v>1731299132.2582674</v>
      </c>
      <c r="C139" s="3504">
        <v>1469229998.7040417</v>
      </c>
      <c r="D139" s="151">
        <v>262069133.55422556</v>
      </c>
      <c r="E139" s="3652">
        <f t="shared" si="10"/>
        <v>1014136709.6781893</v>
      </c>
      <c r="F139" s="151">
        <v>971844969.60597098</v>
      </c>
      <c r="G139" s="3504">
        <v>42291740.072218254</v>
      </c>
      <c r="H139" s="151">
        <v>64806486.473920196</v>
      </c>
      <c r="I139" s="2381">
        <f t="shared" si="11"/>
        <v>33830233265.000004</v>
      </c>
      <c r="J139" s="3504">
        <v>27396320843.000004</v>
      </c>
      <c r="K139" s="151">
        <v>6433912422.000001</v>
      </c>
      <c r="L139" s="3652">
        <f t="shared" si="12"/>
        <v>11336500442.000002</v>
      </c>
      <c r="M139" s="151">
        <v>11081323818.000002</v>
      </c>
      <c r="N139" s="3504">
        <v>255176624</v>
      </c>
      <c r="O139" s="1379">
        <v>1646482761</v>
      </c>
      <c r="P139" s="1378">
        <v>256.67500000000001</v>
      </c>
    </row>
    <row r="140" spans="1:16">
      <c r="A140" s="1301" t="s">
        <v>511</v>
      </c>
      <c r="B140" s="2380">
        <f t="shared" si="9"/>
        <v>2029530761.4973214</v>
      </c>
      <c r="C140" s="3504">
        <v>1686630011.9803894</v>
      </c>
      <c r="D140" s="151">
        <v>342900749.51693195</v>
      </c>
      <c r="E140" s="3652">
        <f t="shared" si="10"/>
        <v>1286556654.1234503</v>
      </c>
      <c r="F140" s="151">
        <v>1245245954.4606104</v>
      </c>
      <c r="G140" s="3504">
        <v>41310699.66283989</v>
      </c>
      <c r="H140" s="151">
        <v>86692523.793660998</v>
      </c>
      <c r="I140" s="2381">
        <f t="shared" si="11"/>
        <v>43242930472</v>
      </c>
      <c r="J140" s="3504">
        <v>34600985154</v>
      </c>
      <c r="K140" s="151">
        <v>8641945318</v>
      </c>
      <c r="L140" s="3652">
        <f t="shared" si="12"/>
        <v>14234710797.000002</v>
      </c>
      <c r="M140" s="151">
        <v>13963346349.000002</v>
      </c>
      <c r="N140" s="3504">
        <v>271364448</v>
      </c>
      <c r="O140" s="1379">
        <v>2131704932.9999998</v>
      </c>
      <c r="P140" s="1378">
        <v>350.00830000000002</v>
      </c>
    </row>
    <row r="141" spans="1:16">
      <c r="A141" s="1301" t="s">
        <v>512</v>
      </c>
      <c r="B141" s="2380">
        <f t="shared" si="9"/>
        <v>3037900433.2055345</v>
      </c>
      <c r="C141" s="3504">
        <v>2501996243.9654365</v>
      </c>
      <c r="D141" s="151">
        <v>535904189.24009788</v>
      </c>
      <c r="E141" s="3652">
        <f t="shared" si="10"/>
        <v>1892980911.575284</v>
      </c>
      <c r="F141" s="151">
        <v>1853882687.8921878</v>
      </c>
      <c r="G141" s="3504">
        <v>39098223.683096074</v>
      </c>
      <c r="H141" s="151">
        <v>224117921.67270088</v>
      </c>
      <c r="I141" s="2381">
        <f t="shared" si="11"/>
        <v>63187190366</v>
      </c>
      <c r="J141" s="3504">
        <v>51597950099</v>
      </c>
      <c r="K141" s="151">
        <v>11589240267</v>
      </c>
      <c r="L141" s="3652">
        <f t="shared" si="12"/>
        <v>19077492535</v>
      </c>
      <c r="M141" s="151">
        <v>18736693492</v>
      </c>
      <c r="N141" s="3504">
        <v>340799043</v>
      </c>
      <c r="O141" s="1379">
        <v>5695863359</v>
      </c>
      <c r="P141" s="1378">
        <v>808.48329999999999</v>
      </c>
    </row>
    <row r="142" spans="1:16">
      <c r="A142" s="1301" t="s">
        <v>513</v>
      </c>
      <c r="B142" s="2380">
        <f t="shared" si="9"/>
        <v>3377144123.3533788</v>
      </c>
      <c r="C142" s="3504">
        <v>2790043008.2818837</v>
      </c>
      <c r="D142" s="151">
        <v>587101115.07149494</v>
      </c>
      <c r="E142" s="3652">
        <f t="shared" si="10"/>
        <v>2042958738.8630838</v>
      </c>
      <c r="F142" s="151">
        <v>2005472054.5972528</v>
      </c>
      <c r="G142" s="3504">
        <v>37486684.265830934</v>
      </c>
      <c r="H142" s="151">
        <v>227110844.75911981</v>
      </c>
      <c r="I142" s="2381">
        <f t="shared" si="11"/>
        <v>78791894718</v>
      </c>
      <c r="J142" s="3504">
        <v>60401981598</v>
      </c>
      <c r="K142" s="151">
        <v>18389913120</v>
      </c>
      <c r="L142" s="3652">
        <f t="shared" si="12"/>
        <v>24440208570</v>
      </c>
      <c r="M142" s="151">
        <v>24007809822</v>
      </c>
      <c r="N142" s="3504">
        <v>432398748</v>
      </c>
      <c r="O142" s="1379">
        <v>5465616892</v>
      </c>
      <c r="P142" s="1378">
        <v>857.41669999999999</v>
      </c>
    </row>
    <row r="143" spans="1:16">
      <c r="A143" s="1301" t="s">
        <v>514</v>
      </c>
      <c r="B143" s="2380">
        <f t="shared" si="9"/>
        <v>4478081784.2278786</v>
      </c>
      <c r="C143" s="3504">
        <v>3565407096.1930165</v>
      </c>
      <c r="D143" s="151">
        <v>912674688.0348624</v>
      </c>
      <c r="E143" s="3652">
        <f t="shared" si="10"/>
        <v>2785200999.3764062</v>
      </c>
      <c r="F143" s="151">
        <v>2744406422.7858849</v>
      </c>
      <c r="G143" s="3504">
        <v>40794576.590521537</v>
      </c>
      <c r="H143" s="151">
        <v>222561094.14453286</v>
      </c>
      <c r="I143" s="2381">
        <f t="shared" si="11"/>
        <v>96848548940</v>
      </c>
      <c r="J143" s="3504">
        <v>73585031017</v>
      </c>
      <c r="K143" s="151">
        <v>23263517923</v>
      </c>
      <c r="L143" s="3652">
        <f t="shared" si="12"/>
        <v>35166830144</v>
      </c>
      <c r="M143" s="151">
        <v>34559069194</v>
      </c>
      <c r="N143" s="3504">
        <v>607760950</v>
      </c>
      <c r="O143" s="1379">
        <v>5430125040</v>
      </c>
      <c r="P143" s="1378">
        <v>911.75</v>
      </c>
    </row>
    <row r="144" spans="1:16">
      <c r="A144" s="1301" t="s">
        <v>515</v>
      </c>
      <c r="B144" s="2380">
        <f t="shared" si="9"/>
        <v>5707265817.0956764</v>
      </c>
      <c r="C144" s="3504">
        <v>4720510866.1869316</v>
      </c>
      <c r="D144" s="151">
        <v>986754950.90874481</v>
      </c>
      <c r="E144" s="3652">
        <f t="shared" si="10"/>
        <v>3728080823.6623602</v>
      </c>
      <c r="F144" s="151">
        <v>3690269861.7942877</v>
      </c>
      <c r="G144" s="3504">
        <v>37810961.868072405</v>
      </c>
      <c r="H144" s="151">
        <v>815249793.22784293</v>
      </c>
      <c r="I144" s="2381">
        <f t="shared" si="11"/>
        <v>122513893595</v>
      </c>
      <c r="J144" s="3504">
        <v>96018562396</v>
      </c>
      <c r="K144" s="151">
        <v>26495331199</v>
      </c>
      <c r="L144" s="3652">
        <f t="shared" si="12"/>
        <v>49417786650</v>
      </c>
      <c r="M144" s="151">
        <v>48738949439</v>
      </c>
      <c r="N144" s="3504">
        <v>678837211</v>
      </c>
      <c r="O144" s="1379">
        <v>15864666202</v>
      </c>
      <c r="P144" s="1378">
        <v>970.91669999999999</v>
      </c>
    </row>
    <row r="145" spans="1:16">
      <c r="A145" s="1301" t="s">
        <v>516</v>
      </c>
      <c r="B145" s="2380">
        <f t="shared" si="9"/>
        <v>6738047721.0744247</v>
      </c>
      <c r="C145" s="3504">
        <v>5403521662.2762308</v>
      </c>
      <c r="D145" s="151">
        <v>1334526058.7981935</v>
      </c>
      <c r="E145" s="3652">
        <f t="shared" si="10"/>
        <v>4898255443.2167006</v>
      </c>
      <c r="F145" s="151">
        <v>4870907481.6207743</v>
      </c>
      <c r="G145" s="3504">
        <v>27347961.59592659</v>
      </c>
      <c r="H145" s="151">
        <v>486921661.19756591</v>
      </c>
      <c r="I145" s="2381">
        <f t="shared" si="11"/>
        <v>140083817604</v>
      </c>
      <c r="J145" s="3504">
        <v>111295376148</v>
      </c>
      <c r="K145" s="151">
        <v>28788441456.000004</v>
      </c>
      <c r="L145" s="3652">
        <f t="shared" si="12"/>
        <v>66218267416</v>
      </c>
      <c r="M145" s="151">
        <v>65476676723</v>
      </c>
      <c r="N145" s="3504">
        <v>741590693</v>
      </c>
      <c r="O145" s="1379">
        <v>12003086126</v>
      </c>
      <c r="P145" s="1378">
        <v>1032.5</v>
      </c>
    </row>
    <row r="146" spans="1:16">
      <c r="A146" s="1301" t="s">
        <v>517</v>
      </c>
      <c r="B146" s="2380">
        <f t="shared" si="9"/>
        <v>6861852696.3224392</v>
      </c>
      <c r="C146" s="3504">
        <v>5466736956.9678898</v>
      </c>
      <c r="D146" s="151">
        <v>1395115739.3545499</v>
      </c>
      <c r="E146" s="3652">
        <f t="shared" si="10"/>
        <v>5714824390.5984011</v>
      </c>
      <c r="F146" s="151">
        <v>5685508456.0942402</v>
      </c>
      <c r="G146" s="3504">
        <v>29315934.504160602</v>
      </c>
      <c r="H146" s="151">
        <v>356781273.09392101</v>
      </c>
      <c r="I146" s="2381">
        <f t="shared" si="11"/>
        <v>147082289654.99899</v>
      </c>
      <c r="J146" s="3504">
        <v>117445751530.99899</v>
      </c>
      <c r="K146" s="151">
        <v>29636538124</v>
      </c>
      <c r="L146" s="3652">
        <f t="shared" si="12"/>
        <v>80443795847.999893</v>
      </c>
      <c r="M146" s="151">
        <v>79478156822.999893</v>
      </c>
      <c r="N146" s="3504">
        <v>965639024.99999905</v>
      </c>
      <c r="O146" s="1379">
        <v>8010441432.9999905</v>
      </c>
      <c r="P146" s="1378">
        <v>1073.875</v>
      </c>
    </row>
    <row r="147" spans="1:16">
      <c r="A147" s="1301" t="s">
        <v>518</v>
      </c>
      <c r="B147" s="2380">
        <f t="shared" si="9"/>
        <v>8215036738.907793</v>
      </c>
      <c r="C147" s="3504">
        <f>6697976703.22882+291022.962063673</f>
        <v>6698267726.1908836</v>
      </c>
      <c r="D147" s="151">
        <v>1516769012.7169099</v>
      </c>
      <c r="E147" s="3652">
        <f t="shared" si="10"/>
        <v>6675391328.0537424</v>
      </c>
      <c r="F147" s="151">
        <f>6648674700.41308+4</f>
        <v>6648674704.4130802</v>
      </c>
      <c r="G147" s="3504">
        <v>26716623.640661798</v>
      </c>
      <c r="H147" s="151">
        <v>335121325.61654401</v>
      </c>
      <c r="I147" s="2381">
        <f t="shared" si="11"/>
        <v>169030927896</v>
      </c>
      <c r="J147" s="3504">
        <v>133064644537</v>
      </c>
      <c r="K147" s="151">
        <v>35966283359</v>
      </c>
      <c r="L147" s="3652">
        <f t="shared" si="12"/>
        <v>96593423839</v>
      </c>
      <c r="M147" s="151">
        <v>95437940730</v>
      </c>
      <c r="N147" s="3504">
        <v>1155483109</v>
      </c>
      <c r="O147" s="1379">
        <v>8070724266</v>
      </c>
      <c r="P147" s="1378">
        <v>1194.0833</v>
      </c>
    </row>
    <row r="148" spans="1:16">
      <c r="A148" s="1301" t="s">
        <v>519</v>
      </c>
      <c r="B148" s="2380">
        <f t="shared" si="9"/>
        <v>8450195494.6433716</v>
      </c>
      <c r="C148" s="3504">
        <v>7072534452.1420918</v>
      </c>
      <c r="D148" s="3504">
        <v>1377661042.5012801</v>
      </c>
      <c r="E148" s="3652">
        <f>F148+G148</f>
        <v>7529355480.4359617</v>
      </c>
      <c r="F148" s="151">
        <v>7507005359.2320204</v>
      </c>
      <c r="G148" s="3504">
        <v>22350121.203941699</v>
      </c>
      <c r="H148" s="151">
        <v>346100966.47259998</v>
      </c>
      <c r="I148" s="2381">
        <f t="shared" si="11"/>
        <v>187872911205.99991</v>
      </c>
      <c r="J148" s="3504">
        <v>147385340597</v>
      </c>
      <c r="K148" s="151">
        <v>40487570608.999901</v>
      </c>
      <c r="L148" s="3652">
        <f t="shared" si="12"/>
        <v>109657905236.99899</v>
      </c>
      <c r="M148" s="151">
        <v>108517991986.99899</v>
      </c>
      <c r="N148" s="3504">
        <v>1139913250</v>
      </c>
      <c r="O148" s="1379">
        <v>8426097553.9999905</v>
      </c>
      <c r="P148" s="1378">
        <v>1366.5833</v>
      </c>
    </row>
    <row r="149" spans="1:16">
      <c r="A149" s="1301" t="s">
        <v>520</v>
      </c>
      <c r="B149" s="2380">
        <f t="shared" si="9"/>
        <v>9697930013</v>
      </c>
      <c r="C149" s="3504">
        <v>7937919957</v>
      </c>
      <c r="D149" s="151">
        <v>1760010056</v>
      </c>
      <c r="E149" s="3652">
        <f t="shared" si="10"/>
        <v>8468074810</v>
      </c>
      <c r="F149" s="151">
        <v>8446979248</v>
      </c>
      <c r="G149" s="3504">
        <v>21095562</v>
      </c>
      <c r="H149" s="151">
        <v>392212787</v>
      </c>
      <c r="I149" s="2381">
        <f t="shared" si="11"/>
        <v>204465415465</v>
      </c>
      <c r="J149" s="3504">
        <v>165721897119</v>
      </c>
      <c r="K149" s="151">
        <v>38743518346</v>
      </c>
      <c r="L149" s="3652">
        <f t="shared" si="12"/>
        <v>120495917421</v>
      </c>
      <c r="M149" s="151">
        <v>119033432700</v>
      </c>
      <c r="N149" s="3504">
        <v>1462484721</v>
      </c>
      <c r="O149" s="1379">
        <v>10104306143</v>
      </c>
      <c r="P149" s="1378">
        <v>1459.4167</v>
      </c>
    </row>
    <row r="150" spans="1:16">
      <c r="A150" s="1301" t="s">
        <v>521</v>
      </c>
      <c r="B150" s="2380" t="e">
        <f t="shared" ref="B150:B162" si="13">C150+D150</f>
        <v>#N/A</v>
      </c>
      <c r="C150" s="3504" t="e">
        <v>#N/A</v>
      </c>
      <c r="D150" s="151" t="e">
        <v>#N/A</v>
      </c>
      <c r="E150" s="3652" t="e">
        <f t="shared" ref="E150:E162" si="14">F150+G150</f>
        <v>#N/A</v>
      </c>
      <c r="F150" s="151" t="e">
        <v>#N/A</v>
      </c>
      <c r="G150" s="3504" t="e">
        <v>#N/A</v>
      </c>
      <c r="H150" s="151" t="e">
        <v>#N/A</v>
      </c>
      <c r="I150" s="2381" t="e">
        <f t="shared" ref="I150:I162" si="15">J150+K150</f>
        <v>#N/A</v>
      </c>
      <c r="J150" s="3504" t="e">
        <v>#N/A</v>
      </c>
      <c r="K150" s="151" t="e">
        <v>#N/A</v>
      </c>
      <c r="L150" s="3652" t="e">
        <f t="shared" ref="L150:L162" si="16">M150+N150</f>
        <v>#N/A</v>
      </c>
      <c r="M150" s="151" t="e">
        <v>#N/A</v>
      </c>
      <c r="N150" s="3504" t="e">
        <v>#N/A</v>
      </c>
      <c r="O150" s="1379" t="e">
        <v>#N/A</v>
      </c>
      <c r="P150" s="1378" t="e">
        <v>#N/A</v>
      </c>
    </row>
    <row r="151" spans="1:16">
      <c r="A151" s="1301" t="s">
        <v>522</v>
      </c>
      <c r="B151" s="2380" t="e">
        <f t="shared" si="13"/>
        <v>#N/A</v>
      </c>
      <c r="C151" s="3504" t="e">
        <v>#N/A</v>
      </c>
      <c r="D151" s="151" t="e">
        <v>#N/A</v>
      </c>
      <c r="E151" s="3652" t="e">
        <f t="shared" si="14"/>
        <v>#N/A</v>
      </c>
      <c r="F151" s="151" t="e">
        <v>#N/A</v>
      </c>
      <c r="G151" s="3504" t="e">
        <v>#N/A</v>
      </c>
      <c r="H151" s="151" t="e">
        <v>#N/A</v>
      </c>
      <c r="I151" s="2381" t="e">
        <f t="shared" si="15"/>
        <v>#N/A</v>
      </c>
      <c r="J151" s="3504" t="e">
        <v>#N/A</v>
      </c>
      <c r="K151" s="151" t="e">
        <v>#N/A</v>
      </c>
      <c r="L151" s="3652" t="e">
        <f t="shared" si="16"/>
        <v>#N/A</v>
      </c>
      <c r="M151" s="151" t="e">
        <v>#N/A</v>
      </c>
      <c r="N151" s="3504" t="e">
        <v>#N/A</v>
      </c>
      <c r="O151" s="1379" t="e">
        <v>#N/A</v>
      </c>
      <c r="P151" s="1378" t="e">
        <v>#N/A</v>
      </c>
    </row>
    <row r="152" spans="1:16">
      <c r="A152" s="1301" t="s">
        <v>523</v>
      </c>
      <c r="B152" s="2380" t="e">
        <f t="shared" si="13"/>
        <v>#N/A</v>
      </c>
      <c r="C152" s="3504" t="e">
        <v>#N/A</v>
      </c>
      <c r="D152" s="151" t="e">
        <v>#N/A</v>
      </c>
      <c r="E152" s="3652" t="e">
        <f t="shared" si="14"/>
        <v>#N/A</v>
      </c>
      <c r="F152" s="151" t="e">
        <v>#N/A</v>
      </c>
      <c r="G152" s="3504" t="e">
        <v>#N/A</v>
      </c>
      <c r="H152" s="151" t="e">
        <v>#N/A</v>
      </c>
      <c r="I152" s="2381" t="e">
        <f t="shared" si="15"/>
        <v>#N/A</v>
      </c>
      <c r="J152" s="3504" t="e">
        <v>#N/A</v>
      </c>
      <c r="K152" s="151" t="e">
        <v>#N/A</v>
      </c>
      <c r="L152" s="3652" t="e">
        <f t="shared" si="16"/>
        <v>#N/A</v>
      </c>
      <c r="M152" s="151" t="e">
        <v>#N/A</v>
      </c>
      <c r="N152" s="3504" t="e">
        <v>#N/A</v>
      </c>
      <c r="O152" s="1379" t="e">
        <v>#N/A</v>
      </c>
      <c r="P152" s="1378" t="e">
        <v>#N/A</v>
      </c>
    </row>
    <row r="153" spans="1:16">
      <c r="A153" s="1301" t="s">
        <v>524</v>
      </c>
      <c r="B153" s="2380" t="e">
        <f t="shared" si="13"/>
        <v>#N/A</v>
      </c>
      <c r="C153" s="3504" t="e">
        <v>#N/A</v>
      </c>
      <c r="D153" s="151" t="e">
        <v>#N/A</v>
      </c>
      <c r="E153" s="3652" t="e">
        <f t="shared" si="14"/>
        <v>#N/A</v>
      </c>
      <c r="F153" s="151" t="e">
        <v>#N/A</v>
      </c>
      <c r="G153" s="3504" t="e">
        <v>#N/A</v>
      </c>
      <c r="H153" s="151" t="e">
        <v>#N/A</v>
      </c>
      <c r="I153" s="2381" t="e">
        <f t="shared" si="15"/>
        <v>#N/A</v>
      </c>
      <c r="J153" s="3504" t="e">
        <v>#N/A</v>
      </c>
      <c r="K153" s="151" t="e">
        <v>#N/A</v>
      </c>
      <c r="L153" s="3652" t="e">
        <f t="shared" si="16"/>
        <v>#N/A</v>
      </c>
      <c r="M153" s="151" t="e">
        <v>#N/A</v>
      </c>
      <c r="N153" s="3504" t="e">
        <v>#N/A</v>
      </c>
      <c r="O153" s="1379" t="e">
        <v>#N/A</v>
      </c>
      <c r="P153" s="1378" t="e">
        <v>#N/A</v>
      </c>
    </row>
    <row r="154" spans="1:16">
      <c r="A154" s="1301" t="s">
        <v>525</v>
      </c>
      <c r="B154" s="2380" t="e">
        <f t="shared" si="13"/>
        <v>#N/A</v>
      </c>
      <c r="C154" s="3504" t="e">
        <v>#N/A</v>
      </c>
      <c r="D154" s="151" t="e">
        <v>#N/A</v>
      </c>
      <c r="E154" s="3652" t="e">
        <f t="shared" si="14"/>
        <v>#N/A</v>
      </c>
      <c r="F154" s="151" t="e">
        <v>#N/A</v>
      </c>
      <c r="G154" s="3504" t="e">
        <v>#N/A</v>
      </c>
      <c r="H154" s="151" t="e">
        <v>#N/A</v>
      </c>
      <c r="I154" s="2381" t="e">
        <f t="shared" si="15"/>
        <v>#N/A</v>
      </c>
      <c r="J154" s="3504" t="e">
        <v>#N/A</v>
      </c>
      <c r="K154" s="151" t="e">
        <v>#N/A</v>
      </c>
      <c r="L154" s="3652" t="e">
        <f t="shared" si="16"/>
        <v>#N/A</v>
      </c>
      <c r="M154" s="151" t="e">
        <v>#N/A</v>
      </c>
      <c r="N154" s="3504" t="e">
        <v>#N/A</v>
      </c>
      <c r="O154" s="1379" t="e">
        <v>#N/A</v>
      </c>
      <c r="P154" s="1378" t="e">
        <v>#N/A</v>
      </c>
    </row>
    <row r="155" spans="1:16">
      <c r="A155" s="1301" t="s">
        <v>526</v>
      </c>
      <c r="B155" s="2380" t="e">
        <f t="shared" si="13"/>
        <v>#N/A</v>
      </c>
      <c r="C155" s="3504" t="e">
        <v>#N/A</v>
      </c>
      <c r="D155" s="151" t="e">
        <v>#N/A</v>
      </c>
      <c r="E155" s="3652" t="e">
        <f t="shared" si="14"/>
        <v>#N/A</v>
      </c>
      <c r="F155" s="151" t="e">
        <v>#N/A</v>
      </c>
      <c r="G155" s="3504" t="e">
        <v>#N/A</v>
      </c>
      <c r="H155" s="151" t="e">
        <v>#N/A</v>
      </c>
      <c r="I155" s="2381" t="e">
        <f t="shared" si="15"/>
        <v>#N/A</v>
      </c>
      <c r="J155" s="3504" t="e">
        <v>#N/A</v>
      </c>
      <c r="K155" s="151" t="e">
        <v>#N/A</v>
      </c>
      <c r="L155" s="3652" t="e">
        <f t="shared" si="16"/>
        <v>#N/A</v>
      </c>
      <c r="M155" s="151" t="e">
        <v>#N/A</v>
      </c>
      <c r="N155" s="3504" t="e">
        <v>#N/A</v>
      </c>
      <c r="O155" s="1379" t="e">
        <v>#N/A</v>
      </c>
      <c r="P155" s="1378" t="e">
        <v>#N/A</v>
      </c>
    </row>
    <row r="156" spans="1:16">
      <c r="A156" s="1301" t="s">
        <v>527</v>
      </c>
      <c r="B156" s="2380" t="e">
        <f t="shared" si="13"/>
        <v>#N/A</v>
      </c>
      <c r="C156" s="3504" t="e">
        <v>#N/A</v>
      </c>
      <c r="D156" s="151" t="e">
        <v>#N/A</v>
      </c>
      <c r="E156" s="3652" t="e">
        <f t="shared" si="14"/>
        <v>#N/A</v>
      </c>
      <c r="F156" s="151" t="e">
        <v>#N/A</v>
      </c>
      <c r="G156" s="3504" t="e">
        <v>#N/A</v>
      </c>
      <c r="H156" s="151" t="e">
        <v>#N/A</v>
      </c>
      <c r="I156" s="2381" t="e">
        <f t="shared" si="15"/>
        <v>#N/A</v>
      </c>
      <c r="J156" s="3504" t="e">
        <v>#N/A</v>
      </c>
      <c r="K156" s="151" t="e">
        <v>#N/A</v>
      </c>
      <c r="L156" s="3652" t="e">
        <f t="shared" si="16"/>
        <v>#N/A</v>
      </c>
      <c r="M156" s="151" t="e">
        <v>#N/A</v>
      </c>
      <c r="N156" s="3504" t="e">
        <v>#N/A</v>
      </c>
      <c r="O156" s="1379" t="e">
        <v>#N/A</v>
      </c>
      <c r="P156" s="1378" t="e">
        <v>#N/A</v>
      </c>
    </row>
    <row r="157" spans="1:16">
      <c r="A157" s="1301" t="s">
        <v>528</v>
      </c>
      <c r="B157" s="2380" t="e">
        <f t="shared" si="13"/>
        <v>#N/A</v>
      </c>
      <c r="C157" s="3504" t="e">
        <v>#N/A</v>
      </c>
      <c r="D157" s="151" t="e">
        <v>#N/A</v>
      </c>
      <c r="E157" s="3652" t="e">
        <f t="shared" si="14"/>
        <v>#N/A</v>
      </c>
      <c r="F157" s="151" t="e">
        <v>#N/A</v>
      </c>
      <c r="G157" s="3504" t="e">
        <v>#N/A</v>
      </c>
      <c r="H157" s="151" t="e">
        <v>#N/A</v>
      </c>
      <c r="I157" s="2381" t="e">
        <f t="shared" si="15"/>
        <v>#N/A</v>
      </c>
      <c r="J157" s="3504" t="e">
        <v>#N/A</v>
      </c>
      <c r="K157" s="151" t="e">
        <v>#N/A</v>
      </c>
      <c r="L157" s="3652" t="e">
        <f t="shared" si="16"/>
        <v>#N/A</v>
      </c>
      <c r="M157" s="151" t="e">
        <v>#N/A</v>
      </c>
      <c r="N157" s="3504" t="e">
        <v>#N/A</v>
      </c>
      <c r="O157" s="1379" t="e">
        <v>#N/A</v>
      </c>
      <c r="P157" s="1378" t="e">
        <v>#N/A</v>
      </c>
    </row>
    <row r="158" spans="1:16">
      <c r="A158" s="1301" t="s">
        <v>529</v>
      </c>
      <c r="B158" s="2380" t="e">
        <f t="shared" si="13"/>
        <v>#N/A</v>
      </c>
      <c r="C158" s="3504" t="e">
        <v>#N/A</v>
      </c>
      <c r="D158" s="151" t="e">
        <v>#N/A</v>
      </c>
      <c r="E158" s="3652" t="e">
        <f t="shared" si="14"/>
        <v>#N/A</v>
      </c>
      <c r="F158" s="151" t="e">
        <v>#N/A</v>
      </c>
      <c r="G158" s="3504" t="e">
        <v>#N/A</v>
      </c>
      <c r="H158" s="151" t="e">
        <v>#N/A</v>
      </c>
      <c r="I158" s="2381" t="e">
        <f t="shared" si="15"/>
        <v>#N/A</v>
      </c>
      <c r="J158" s="3504" t="e">
        <v>#N/A</v>
      </c>
      <c r="K158" s="151" t="e">
        <v>#N/A</v>
      </c>
      <c r="L158" s="3652" t="e">
        <f t="shared" si="16"/>
        <v>#N/A</v>
      </c>
      <c r="M158" s="151" t="e">
        <v>#N/A</v>
      </c>
      <c r="N158" s="3504" t="e">
        <v>#N/A</v>
      </c>
      <c r="O158" s="1379" t="e">
        <v>#N/A</v>
      </c>
      <c r="P158" s="1378" t="e">
        <v>#N/A</v>
      </c>
    </row>
    <row r="159" spans="1:16">
      <c r="A159" s="1301" t="s">
        <v>530</v>
      </c>
      <c r="B159" s="2380" t="e">
        <f t="shared" si="13"/>
        <v>#N/A</v>
      </c>
      <c r="C159" s="3504" t="e">
        <v>#N/A</v>
      </c>
      <c r="D159" s="151" t="e">
        <v>#N/A</v>
      </c>
      <c r="E159" s="3652" t="e">
        <f t="shared" si="14"/>
        <v>#N/A</v>
      </c>
      <c r="F159" s="151" t="e">
        <v>#N/A</v>
      </c>
      <c r="G159" s="3504" t="e">
        <v>#N/A</v>
      </c>
      <c r="H159" s="151" t="e">
        <v>#N/A</v>
      </c>
      <c r="I159" s="2381" t="e">
        <f t="shared" si="15"/>
        <v>#N/A</v>
      </c>
      <c r="J159" s="3504" t="e">
        <v>#N/A</v>
      </c>
      <c r="K159" s="151" t="e">
        <v>#N/A</v>
      </c>
      <c r="L159" s="3652" t="e">
        <f t="shared" si="16"/>
        <v>#N/A</v>
      </c>
      <c r="M159" s="151" t="e">
        <v>#N/A</v>
      </c>
      <c r="N159" s="3504" t="e">
        <v>#N/A</v>
      </c>
      <c r="O159" s="1379" t="e">
        <v>#N/A</v>
      </c>
      <c r="P159" s="1378" t="e">
        <v>#N/A</v>
      </c>
    </row>
    <row r="160" spans="1:16">
      <c r="A160" s="1301" t="s">
        <v>531</v>
      </c>
      <c r="B160" s="2380" t="e">
        <f t="shared" si="13"/>
        <v>#N/A</v>
      </c>
      <c r="C160" s="3504" t="e">
        <v>#N/A</v>
      </c>
      <c r="D160" s="151" t="e">
        <v>#N/A</v>
      </c>
      <c r="E160" s="3652" t="e">
        <f t="shared" si="14"/>
        <v>#N/A</v>
      </c>
      <c r="F160" s="151" t="e">
        <v>#N/A</v>
      </c>
      <c r="G160" s="3504" t="e">
        <v>#N/A</v>
      </c>
      <c r="H160" s="151" t="e">
        <v>#N/A</v>
      </c>
      <c r="I160" s="2381" t="e">
        <f t="shared" si="15"/>
        <v>#N/A</v>
      </c>
      <c r="J160" s="3504" t="e">
        <v>#N/A</v>
      </c>
      <c r="K160" s="151" t="e">
        <v>#N/A</v>
      </c>
      <c r="L160" s="3652" t="e">
        <f t="shared" si="16"/>
        <v>#N/A</v>
      </c>
      <c r="M160" s="151" t="e">
        <v>#N/A</v>
      </c>
      <c r="N160" s="3504" t="e">
        <v>#N/A</v>
      </c>
      <c r="O160" s="1379" t="e">
        <v>#N/A</v>
      </c>
      <c r="P160" s="1378" t="e">
        <v>#N/A</v>
      </c>
    </row>
    <row r="161" spans="1:30">
      <c r="A161" s="1301" t="s">
        <v>532</v>
      </c>
      <c r="B161" s="2380" t="e">
        <f t="shared" si="13"/>
        <v>#N/A</v>
      </c>
      <c r="C161" s="3504" t="e">
        <v>#N/A</v>
      </c>
      <c r="D161" s="151" t="e">
        <v>#N/A</v>
      </c>
      <c r="E161" s="3652" t="e">
        <f t="shared" si="14"/>
        <v>#N/A</v>
      </c>
      <c r="F161" s="151" t="e">
        <v>#N/A</v>
      </c>
      <c r="G161" s="3504" t="e">
        <v>#N/A</v>
      </c>
      <c r="H161" s="151" t="e">
        <v>#N/A</v>
      </c>
      <c r="I161" s="2381" t="e">
        <f t="shared" si="15"/>
        <v>#N/A</v>
      </c>
      <c r="J161" s="3504" t="e">
        <v>#N/A</v>
      </c>
      <c r="K161" s="151" t="e">
        <v>#N/A</v>
      </c>
      <c r="L161" s="3652" t="e">
        <f t="shared" si="16"/>
        <v>#N/A</v>
      </c>
      <c r="M161" s="151" t="e">
        <v>#N/A</v>
      </c>
      <c r="N161" s="3504" t="e">
        <v>#N/A</v>
      </c>
      <c r="O161" s="1379" t="e">
        <v>#N/A</v>
      </c>
      <c r="P161" s="1378" t="e">
        <v>#N/A</v>
      </c>
      <c r="Q161" s="166"/>
      <c r="R161" s="166"/>
      <c r="S161" s="166"/>
      <c r="T161" s="166"/>
      <c r="U161" s="166"/>
      <c r="V161" s="166"/>
      <c r="W161" s="166"/>
      <c r="X161" s="166"/>
      <c r="Y161" s="166"/>
      <c r="Z161" s="166"/>
      <c r="AA161" s="166"/>
      <c r="AB161" s="166"/>
      <c r="AC161" s="166"/>
      <c r="AD161" s="166"/>
    </row>
    <row r="162" spans="1:30">
      <c r="A162" s="1301" t="s">
        <v>533</v>
      </c>
      <c r="B162" s="2380" t="e">
        <f t="shared" si="13"/>
        <v>#N/A</v>
      </c>
      <c r="C162" s="3504" t="e">
        <v>#N/A</v>
      </c>
      <c r="D162" s="151" t="e">
        <v>#N/A</v>
      </c>
      <c r="E162" s="3652" t="e">
        <f t="shared" si="14"/>
        <v>#N/A</v>
      </c>
      <c r="F162" s="151" t="e">
        <v>#N/A</v>
      </c>
      <c r="G162" s="3504" t="e">
        <v>#N/A</v>
      </c>
      <c r="H162" s="151" t="e">
        <v>#N/A</v>
      </c>
      <c r="I162" s="2381" t="e">
        <f t="shared" si="15"/>
        <v>#N/A</v>
      </c>
      <c r="J162" s="3504" t="e">
        <v>#N/A</v>
      </c>
      <c r="K162" s="151" t="e">
        <v>#N/A</v>
      </c>
      <c r="L162" s="3652" t="e">
        <f t="shared" si="16"/>
        <v>#N/A</v>
      </c>
      <c r="M162" s="151" t="e">
        <v>#N/A</v>
      </c>
      <c r="N162" s="3504" t="e">
        <v>#N/A</v>
      </c>
      <c r="O162" s="1379" t="e">
        <v>#N/A</v>
      </c>
      <c r="P162" s="1378" t="e">
        <v>#N/A</v>
      </c>
      <c r="Q162" s="166"/>
      <c r="R162" s="166"/>
      <c r="S162" s="166"/>
      <c r="T162" s="166"/>
      <c r="U162" s="166"/>
      <c r="V162" s="166"/>
      <c r="W162" s="166"/>
      <c r="X162" s="166"/>
      <c r="Y162" s="166"/>
      <c r="Z162" s="166"/>
      <c r="AA162" s="166"/>
      <c r="AB162" s="166"/>
      <c r="AC162" s="166"/>
      <c r="AD162" s="166"/>
    </row>
    <row r="163" spans="1:30">
      <c r="A163" s="1301" t="s">
        <v>534</v>
      </c>
      <c r="B163" s="2380" t="e">
        <f t="shared" ref="B163:B169" si="17">C163+D163</f>
        <v>#N/A</v>
      </c>
      <c r="C163" s="3504" t="e">
        <v>#N/A</v>
      </c>
      <c r="D163" s="151" t="e">
        <v>#N/A</v>
      </c>
      <c r="E163" s="3652" t="e">
        <f t="shared" ref="E163:E169" si="18">F163+G163</f>
        <v>#N/A</v>
      </c>
      <c r="F163" s="151" t="e">
        <v>#N/A</v>
      </c>
      <c r="G163" s="3504" t="e">
        <v>#N/A</v>
      </c>
      <c r="H163" s="151" t="e">
        <v>#N/A</v>
      </c>
      <c r="I163" s="2381" t="e">
        <f t="shared" ref="I163:I169" si="19">J163+K163</f>
        <v>#N/A</v>
      </c>
      <c r="J163" s="3504" t="e">
        <v>#N/A</v>
      </c>
      <c r="K163" s="151" t="e">
        <v>#N/A</v>
      </c>
      <c r="L163" s="3652" t="e">
        <f t="shared" ref="L163:L169" si="20">M163+N163</f>
        <v>#N/A</v>
      </c>
      <c r="M163" s="151" t="e">
        <v>#N/A</v>
      </c>
      <c r="N163" s="3504" t="e">
        <v>#N/A</v>
      </c>
      <c r="O163" s="1379" t="e">
        <v>#N/A</v>
      </c>
      <c r="P163" s="1378" t="e">
        <v>#N/A</v>
      </c>
      <c r="Q163" s="166"/>
      <c r="R163" s="166"/>
      <c r="S163" s="166"/>
      <c r="T163" s="166"/>
      <c r="U163" s="166"/>
      <c r="V163" s="166"/>
      <c r="W163" s="166"/>
      <c r="X163" s="166"/>
      <c r="Y163" s="166"/>
      <c r="Z163" s="166"/>
      <c r="AA163" s="166"/>
      <c r="AB163" s="166"/>
      <c r="AC163" s="166"/>
      <c r="AD163" s="166"/>
    </row>
    <row r="164" spans="1:30">
      <c r="A164" s="1301" t="s">
        <v>535</v>
      </c>
      <c r="B164" s="2380" t="e">
        <f t="shared" si="17"/>
        <v>#N/A</v>
      </c>
      <c r="C164" s="3504" t="e">
        <v>#N/A</v>
      </c>
      <c r="D164" s="151" t="e">
        <v>#N/A</v>
      </c>
      <c r="E164" s="3652" t="e">
        <f t="shared" si="18"/>
        <v>#N/A</v>
      </c>
      <c r="F164" s="151" t="e">
        <v>#N/A</v>
      </c>
      <c r="G164" s="3504" t="e">
        <v>#N/A</v>
      </c>
      <c r="H164" s="151" t="e">
        <v>#N/A</v>
      </c>
      <c r="I164" s="2381" t="e">
        <f t="shared" si="19"/>
        <v>#N/A</v>
      </c>
      <c r="J164" s="3504" t="e">
        <v>#N/A</v>
      </c>
      <c r="K164" s="151" t="e">
        <v>#N/A</v>
      </c>
      <c r="L164" s="3652" t="e">
        <f t="shared" si="20"/>
        <v>#N/A</v>
      </c>
      <c r="M164" s="151" t="e">
        <v>#N/A</v>
      </c>
      <c r="N164" s="3504" t="e">
        <v>#N/A</v>
      </c>
      <c r="O164" s="1379" t="e">
        <v>#N/A</v>
      </c>
      <c r="P164" s="1378" t="e">
        <v>#N/A</v>
      </c>
      <c r="Q164" s="166"/>
      <c r="R164" s="166"/>
      <c r="S164" s="166"/>
      <c r="T164" s="166"/>
      <c r="U164" s="166"/>
      <c r="V164" s="166"/>
      <c r="W164" s="166"/>
      <c r="X164" s="166"/>
      <c r="Y164" s="166"/>
      <c r="Z164" s="166"/>
      <c r="AA164" s="166"/>
      <c r="AB164" s="166"/>
      <c r="AC164" s="166"/>
      <c r="AD164" s="166"/>
    </row>
    <row r="165" spans="1:30">
      <c r="A165" s="1301" t="s">
        <v>536</v>
      </c>
      <c r="B165" s="2380" t="e">
        <f t="shared" si="17"/>
        <v>#N/A</v>
      </c>
      <c r="C165" s="3504" t="e">
        <v>#N/A</v>
      </c>
      <c r="D165" s="151" t="e">
        <v>#N/A</v>
      </c>
      <c r="E165" s="3652" t="e">
        <f t="shared" si="18"/>
        <v>#N/A</v>
      </c>
      <c r="F165" s="151" t="e">
        <v>#N/A</v>
      </c>
      <c r="G165" s="3504" t="e">
        <v>#N/A</v>
      </c>
      <c r="H165" s="151" t="e">
        <v>#N/A</v>
      </c>
      <c r="I165" s="2381" t="e">
        <f t="shared" si="19"/>
        <v>#N/A</v>
      </c>
      <c r="J165" s="3504" t="e">
        <v>#N/A</v>
      </c>
      <c r="K165" s="151" t="e">
        <v>#N/A</v>
      </c>
      <c r="L165" s="3652" t="e">
        <f t="shared" si="20"/>
        <v>#N/A</v>
      </c>
      <c r="M165" s="151" t="e">
        <v>#N/A</v>
      </c>
      <c r="N165" s="3504" t="e">
        <v>#N/A</v>
      </c>
      <c r="O165" s="1379" t="e">
        <v>#N/A</v>
      </c>
      <c r="P165" s="1378" t="e">
        <v>#N/A</v>
      </c>
      <c r="Q165" s="166"/>
      <c r="R165" s="166"/>
      <c r="S165" s="166"/>
      <c r="T165" s="166"/>
      <c r="U165" s="166"/>
      <c r="V165" s="166"/>
      <c r="W165" s="166"/>
      <c r="X165" s="166"/>
      <c r="Y165" s="166"/>
      <c r="Z165" s="166"/>
      <c r="AA165" s="166"/>
      <c r="AB165" s="166"/>
      <c r="AC165" s="166"/>
      <c r="AD165" s="166"/>
    </row>
    <row r="166" spans="1:30">
      <c r="A166" s="1301" t="s">
        <v>537</v>
      </c>
      <c r="B166" s="2380" t="e">
        <f t="shared" si="17"/>
        <v>#N/A</v>
      </c>
      <c r="C166" s="3504" t="e">
        <v>#N/A</v>
      </c>
      <c r="D166" s="151" t="e">
        <v>#N/A</v>
      </c>
      <c r="E166" s="3652" t="e">
        <f t="shared" si="18"/>
        <v>#N/A</v>
      </c>
      <c r="F166" s="151" t="e">
        <v>#N/A</v>
      </c>
      <c r="G166" s="3504" t="e">
        <v>#N/A</v>
      </c>
      <c r="H166" s="151" t="e">
        <v>#N/A</v>
      </c>
      <c r="I166" s="2381" t="e">
        <f t="shared" si="19"/>
        <v>#N/A</v>
      </c>
      <c r="J166" s="3504" t="e">
        <v>#N/A</v>
      </c>
      <c r="K166" s="151" t="e">
        <v>#N/A</v>
      </c>
      <c r="L166" s="3652" t="e">
        <f t="shared" si="20"/>
        <v>#N/A</v>
      </c>
      <c r="M166" s="151" t="e">
        <v>#N/A</v>
      </c>
      <c r="N166" s="3504" t="e">
        <v>#N/A</v>
      </c>
      <c r="O166" s="1379" t="e">
        <v>#N/A</v>
      </c>
      <c r="P166" s="1378" t="e">
        <v>#N/A</v>
      </c>
      <c r="Q166" s="166"/>
      <c r="R166" s="166"/>
      <c r="S166" s="166"/>
      <c r="T166" s="166"/>
      <c r="U166" s="166"/>
      <c r="V166" s="166"/>
      <c r="W166" s="166"/>
      <c r="X166" s="166"/>
      <c r="Y166" s="166"/>
      <c r="Z166" s="166"/>
      <c r="AA166" s="166"/>
      <c r="AB166" s="166"/>
      <c r="AC166" s="166"/>
      <c r="AD166" s="166"/>
    </row>
    <row r="167" spans="1:30">
      <c r="A167" s="1301" t="s">
        <v>538</v>
      </c>
      <c r="B167" s="2380" t="e">
        <f t="shared" si="17"/>
        <v>#N/A</v>
      </c>
      <c r="C167" s="3504" t="e">
        <v>#N/A</v>
      </c>
      <c r="D167" s="151" t="e">
        <v>#N/A</v>
      </c>
      <c r="E167" s="3652" t="e">
        <f t="shared" si="18"/>
        <v>#N/A</v>
      </c>
      <c r="F167" s="151" t="e">
        <v>#N/A</v>
      </c>
      <c r="G167" s="3504" t="e">
        <v>#N/A</v>
      </c>
      <c r="H167" s="151" t="e">
        <v>#N/A</v>
      </c>
      <c r="I167" s="2381" t="e">
        <f t="shared" si="19"/>
        <v>#N/A</v>
      </c>
      <c r="J167" s="3504" t="e">
        <v>#N/A</v>
      </c>
      <c r="K167" s="151" t="e">
        <v>#N/A</v>
      </c>
      <c r="L167" s="3652" t="e">
        <f t="shared" si="20"/>
        <v>#N/A</v>
      </c>
      <c r="M167" s="151" t="e">
        <v>#N/A</v>
      </c>
      <c r="N167" s="3504" t="e">
        <v>#N/A</v>
      </c>
      <c r="O167" s="1379" t="e">
        <v>#N/A</v>
      </c>
      <c r="P167" s="1378" t="e">
        <v>#N/A</v>
      </c>
      <c r="Q167" s="166"/>
      <c r="R167" s="166"/>
      <c r="S167" s="166"/>
      <c r="T167" s="166"/>
      <c r="U167" s="166"/>
      <c r="V167" s="166"/>
      <c r="W167" s="166"/>
      <c r="X167" s="166"/>
      <c r="Y167" s="166"/>
      <c r="Z167" s="166"/>
      <c r="AA167" s="166"/>
      <c r="AB167" s="166"/>
      <c r="AC167" s="166"/>
      <c r="AD167" s="166"/>
    </row>
    <row r="168" spans="1:30">
      <c r="A168" s="1301" t="s">
        <v>539</v>
      </c>
      <c r="B168" s="2380" t="e">
        <f t="shared" si="17"/>
        <v>#N/A</v>
      </c>
      <c r="C168" s="3504" t="e">
        <v>#N/A</v>
      </c>
      <c r="D168" s="151" t="e">
        <v>#N/A</v>
      </c>
      <c r="E168" s="3652" t="e">
        <f t="shared" si="18"/>
        <v>#N/A</v>
      </c>
      <c r="F168" s="151" t="e">
        <v>#N/A</v>
      </c>
      <c r="G168" s="3504" t="e">
        <v>#N/A</v>
      </c>
      <c r="H168" s="151" t="e">
        <v>#N/A</v>
      </c>
      <c r="I168" s="2381" t="e">
        <f t="shared" si="19"/>
        <v>#N/A</v>
      </c>
      <c r="J168" s="3504" t="e">
        <v>#N/A</v>
      </c>
      <c r="K168" s="151" t="e">
        <v>#N/A</v>
      </c>
      <c r="L168" s="3652" t="e">
        <f t="shared" si="20"/>
        <v>#N/A</v>
      </c>
      <c r="M168" s="151" t="e">
        <v>#N/A</v>
      </c>
      <c r="N168" s="3504" t="e">
        <v>#N/A</v>
      </c>
      <c r="O168" s="1379" t="e">
        <v>#N/A</v>
      </c>
      <c r="P168" s="1378" t="e">
        <v>#N/A</v>
      </c>
      <c r="Q168" s="166"/>
      <c r="R168" s="166"/>
      <c r="S168" s="166"/>
      <c r="T168" s="166"/>
      <c r="U168" s="166"/>
      <c r="V168" s="166"/>
      <c r="W168" s="166"/>
      <c r="X168" s="166"/>
      <c r="Y168" s="166"/>
      <c r="Z168" s="166"/>
      <c r="AA168" s="166"/>
      <c r="AB168" s="166"/>
      <c r="AC168" s="166"/>
      <c r="AD168" s="166"/>
    </row>
    <row r="169" spans="1:30">
      <c r="A169" s="1301" t="s">
        <v>540</v>
      </c>
      <c r="B169" s="2380" t="e">
        <f t="shared" si="17"/>
        <v>#N/A</v>
      </c>
      <c r="C169" s="3504" t="e">
        <v>#N/A</v>
      </c>
      <c r="D169" s="151" t="e">
        <v>#N/A</v>
      </c>
      <c r="E169" s="3652" t="e">
        <f t="shared" si="18"/>
        <v>#N/A</v>
      </c>
      <c r="F169" s="151" t="e">
        <v>#N/A</v>
      </c>
      <c r="G169" s="3504" t="e">
        <v>#N/A</v>
      </c>
      <c r="H169" s="151" t="e">
        <v>#N/A</v>
      </c>
      <c r="I169" s="2381" t="e">
        <f t="shared" si="19"/>
        <v>#N/A</v>
      </c>
      <c r="J169" s="3504" t="e">
        <v>#N/A</v>
      </c>
      <c r="K169" s="151" t="e">
        <v>#N/A</v>
      </c>
      <c r="L169" s="3652" t="e">
        <f t="shared" si="20"/>
        <v>#N/A</v>
      </c>
      <c r="M169" s="151" t="e">
        <v>#N/A</v>
      </c>
      <c r="N169" s="3504" t="e">
        <v>#N/A</v>
      </c>
      <c r="O169" s="1379" t="e">
        <v>#N/A</v>
      </c>
      <c r="P169" s="1378" t="e">
        <v>#N/A</v>
      </c>
      <c r="Q169" s="166"/>
      <c r="R169" s="166"/>
      <c r="S169" s="166"/>
      <c r="T169" s="166"/>
      <c r="U169" s="166"/>
      <c r="V169" s="166"/>
      <c r="W169" s="166"/>
      <c r="X169" s="166"/>
      <c r="Y169" s="166"/>
      <c r="Z169" s="166"/>
      <c r="AA169" s="166"/>
      <c r="AB169" s="166"/>
      <c r="AC169" s="166"/>
      <c r="AD169" s="166"/>
    </row>
    <row r="170" spans="1:30">
      <c r="A170" s="52"/>
      <c r="B170" s="52"/>
      <c r="C170" s="52"/>
      <c r="D170" s="52"/>
      <c r="E170" s="52"/>
      <c r="F170" s="52"/>
      <c r="G170" s="52"/>
      <c r="H170" s="52"/>
      <c r="I170" s="52"/>
      <c r="J170" s="52"/>
      <c r="K170" s="52"/>
      <c r="L170" s="52"/>
      <c r="M170" s="52"/>
      <c r="N170" s="52"/>
      <c r="O170" s="52"/>
      <c r="P170" s="52"/>
      <c r="Q170" s="166"/>
      <c r="R170" s="166"/>
      <c r="S170" s="166"/>
      <c r="T170" s="166"/>
      <c r="U170" s="166"/>
      <c r="V170" s="166"/>
      <c r="W170" s="166"/>
      <c r="X170" s="166"/>
      <c r="Y170" s="166"/>
      <c r="Z170" s="166"/>
      <c r="AA170" s="166"/>
      <c r="AB170" s="166"/>
      <c r="AC170" s="166"/>
      <c r="AD170" s="166"/>
    </row>
    <row r="171" spans="1:30">
      <c r="A171" s="52"/>
      <c r="B171" s="52"/>
      <c r="C171" s="52"/>
      <c r="D171" s="52"/>
      <c r="E171" s="52"/>
      <c r="F171" s="52"/>
      <c r="G171" s="52"/>
      <c r="H171" s="52"/>
      <c r="I171" s="52"/>
      <c r="J171" s="52"/>
      <c r="K171" s="52"/>
      <c r="L171" s="52"/>
      <c r="M171" s="52"/>
      <c r="N171" s="52"/>
      <c r="O171" s="52"/>
      <c r="P171" s="52"/>
      <c r="Q171" s="166"/>
      <c r="R171" s="166"/>
      <c r="S171" s="166"/>
      <c r="T171" s="166"/>
      <c r="U171" s="166"/>
      <c r="V171" s="166"/>
      <c r="W171" s="166"/>
      <c r="X171" s="166"/>
      <c r="Y171" s="166"/>
      <c r="Z171" s="166"/>
      <c r="AA171" s="166"/>
      <c r="AB171" s="166"/>
      <c r="AC171" s="166"/>
      <c r="AD171" s="166"/>
    </row>
    <row r="172" spans="1:30">
      <c r="A172" s="52"/>
      <c r="B172" s="52"/>
      <c r="C172" s="52"/>
      <c r="D172" s="52"/>
      <c r="E172" s="52"/>
      <c r="F172" s="52"/>
      <c r="G172" s="52"/>
      <c r="H172" s="52"/>
      <c r="I172" s="52"/>
      <c r="J172" s="52"/>
      <c r="K172" s="52"/>
      <c r="L172" s="52"/>
      <c r="M172" s="52"/>
      <c r="N172" s="52"/>
      <c r="O172" s="52"/>
      <c r="P172" s="52"/>
      <c r="Q172" s="166"/>
      <c r="R172" s="166"/>
      <c r="S172" s="166"/>
      <c r="T172" s="166"/>
      <c r="U172" s="166"/>
      <c r="V172" s="166"/>
      <c r="W172" s="166"/>
      <c r="X172" s="166"/>
      <c r="Y172" s="166"/>
      <c r="Z172" s="166"/>
      <c r="AA172" s="166"/>
      <c r="AB172" s="166"/>
      <c r="AC172" s="166"/>
      <c r="AD172" s="166"/>
    </row>
    <row r="173" spans="1:30">
      <c r="A173" s="52"/>
      <c r="B173" s="52"/>
      <c r="C173" s="52"/>
      <c r="D173" s="52"/>
      <c r="E173" s="52"/>
      <c r="F173" s="52"/>
      <c r="G173" s="52"/>
      <c r="H173" s="52"/>
      <c r="I173" s="52"/>
      <c r="J173" s="52"/>
      <c r="K173" s="52"/>
      <c r="L173" s="52"/>
      <c r="M173" s="52"/>
      <c r="N173" s="52"/>
      <c r="O173" s="52"/>
      <c r="P173" s="52"/>
      <c r="Q173" s="166"/>
      <c r="R173" s="166"/>
      <c r="S173" s="166"/>
      <c r="T173" s="166"/>
      <c r="U173" s="166"/>
      <c r="V173" s="166"/>
      <c r="W173" s="166"/>
      <c r="X173" s="166"/>
      <c r="Y173" s="166"/>
      <c r="Z173" s="166"/>
      <c r="AA173" s="166"/>
      <c r="AB173" s="166"/>
      <c r="AC173" s="166"/>
      <c r="AD173" s="166"/>
    </row>
    <row r="174" spans="1:30">
      <c r="A174" s="52"/>
      <c r="B174" s="52"/>
      <c r="C174" s="52"/>
      <c r="D174" s="52"/>
      <c r="E174" s="52"/>
      <c r="F174" s="52"/>
      <c r="G174" s="52"/>
      <c r="H174" s="52"/>
      <c r="I174" s="52"/>
      <c r="J174" s="52"/>
      <c r="K174" s="52"/>
      <c r="L174" s="52"/>
      <c r="M174" s="52"/>
      <c r="N174" s="52"/>
      <c r="O174" s="52"/>
      <c r="P174" s="52"/>
      <c r="Q174" s="166"/>
      <c r="R174" s="166"/>
      <c r="S174" s="166"/>
      <c r="T174" s="166"/>
      <c r="U174" s="166"/>
      <c r="V174" s="166"/>
      <c r="W174" s="166"/>
      <c r="X174" s="166"/>
      <c r="Y174" s="166"/>
      <c r="Z174" s="166"/>
      <c r="AA174" s="166"/>
      <c r="AB174" s="166"/>
      <c r="AC174" s="166"/>
      <c r="AD174" s="166"/>
    </row>
    <row r="175" spans="1:30">
      <c r="A175" s="52"/>
      <c r="B175" s="52"/>
      <c r="C175" s="52"/>
      <c r="D175" s="52"/>
      <c r="E175" s="52"/>
      <c r="F175" s="52"/>
      <c r="G175" s="52"/>
      <c r="H175" s="52"/>
      <c r="I175" s="52"/>
      <c r="J175" s="52"/>
      <c r="K175" s="52"/>
      <c r="L175" s="52"/>
      <c r="M175" s="52"/>
      <c r="N175" s="52"/>
      <c r="O175" s="52"/>
      <c r="P175" s="52"/>
      <c r="Q175" s="166"/>
      <c r="R175" s="166"/>
      <c r="S175" s="166"/>
      <c r="T175" s="166"/>
      <c r="U175" s="166"/>
      <c r="V175" s="166"/>
      <c r="W175" s="166"/>
      <c r="X175" s="166"/>
      <c r="Y175" s="166"/>
      <c r="Z175" s="166"/>
      <c r="AA175" s="166"/>
      <c r="AB175" s="166"/>
      <c r="AC175" s="166"/>
      <c r="AD175" s="166"/>
    </row>
    <row r="176" spans="1:30">
      <c r="A176" s="52"/>
      <c r="B176" s="52"/>
      <c r="C176" s="52"/>
      <c r="D176" s="52"/>
      <c r="E176" s="52"/>
      <c r="F176" s="52"/>
      <c r="G176" s="52"/>
      <c r="H176" s="52"/>
      <c r="I176" s="52"/>
      <c r="J176" s="52"/>
      <c r="K176" s="52"/>
      <c r="L176" s="52"/>
      <c r="M176" s="52"/>
      <c r="N176" s="52"/>
      <c r="O176" s="52"/>
      <c r="P176" s="52"/>
      <c r="Q176" s="166"/>
      <c r="R176" s="166"/>
      <c r="S176" s="166"/>
      <c r="T176" s="166"/>
      <c r="U176" s="166"/>
      <c r="V176" s="166"/>
      <c r="W176" s="166"/>
      <c r="X176" s="166"/>
      <c r="Y176" s="166"/>
      <c r="Z176" s="166"/>
      <c r="AA176" s="166"/>
      <c r="AB176" s="166"/>
      <c r="AC176" s="166"/>
      <c r="AD176" s="166"/>
    </row>
    <row r="177" spans="16:30">
      <c r="P177" s="52"/>
      <c r="Q177" s="52"/>
      <c r="R177" s="52"/>
      <c r="S177" s="52"/>
      <c r="T177" s="52"/>
      <c r="U177" s="52"/>
      <c r="V177" s="52"/>
      <c r="W177" s="52"/>
      <c r="X177" s="52"/>
      <c r="Y177" s="52"/>
      <c r="Z177" s="52"/>
      <c r="AA177" s="52"/>
      <c r="AB177" s="52"/>
      <c r="AC177" s="52"/>
      <c r="AD177" s="52"/>
    </row>
    <row r="178" spans="16:30">
      <c r="P178" s="52"/>
      <c r="Q178" s="52"/>
      <c r="R178" s="52"/>
      <c r="S178" s="52"/>
      <c r="T178" s="52"/>
      <c r="U178" s="52"/>
      <c r="V178" s="52"/>
      <c r="W178" s="52"/>
      <c r="X178" s="52"/>
      <c r="Y178" s="52"/>
      <c r="Z178" s="52"/>
      <c r="AA178" s="52"/>
      <c r="AB178" s="52"/>
      <c r="AC178" s="52"/>
      <c r="AD178" s="52"/>
    </row>
    <row r="179" spans="16:30">
      <c r="P179" s="52"/>
      <c r="Q179" s="52"/>
      <c r="R179" s="52"/>
      <c r="S179" s="52"/>
      <c r="T179" s="52"/>
      <c r="U179" s="52"/>
      <c r="V179" s="52"/>
      <c r="W179" s="52"/>
      <c r="X179" s="52"/>
      <c r="Y179" s="52"/>
      <c r="Z179" s="52"/>
      <c r="AA179" s="52"/>
      <c r="AB179" s="52"/>
      <c r="AC179" s="52"/>
      <c r="AD179" s="52"/>
    </row>
    <row r="180" spans="16:30">
      <c r="P180" s="52"/>
      <c r="Q180" s="166"/>
      <c r="R180" s="166"/>
      <c r="S180" s="166"/>
      <c r="T180" s="166"/>
      <c r="U180" s="166"/>
      <c r="V180" s="166"/>
      <c r="W180" s="166"/>
      <c r="X180" s="166"/>
      <c r="Y180" s="166"/>
      <c r="Z180" s="166"/>
      <c r="AA180" s="166"/>
      <c r="AB180" s="166"/>
      <c r="AC180" s="166"/>
      <c r="AD180" s="166"/>
    </row>
  </sheetData>
  <phoneticPr fontId="0" type="noConversion"/>
  <hyperlinks>
    <hyperlink ref="A5" location="INDICE!A13" display="VOLVER AL INDICE" xr:uid="{00000000-0004-0000-2000-000000000000}"/>
  </hyperlinks>
  <pageMargins left="0.75" right="0.75" top="1" bottom="1" header="0" footer="0"/>
  <pageSetup paperSize="9" orientation="portrait" horizontalDpi="300" verticalDpi="300" r:id="rId1"/>
  <headerFooter alignWithMargins="0"/>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2"/>
  <dimension ref="A1:H453"/>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10" style="21" customWidth="1"/>
    <col min="2" max="5" width="16.42578125" style="21" customWidth="1"/>
    <col min="6" max="6" width="16.42578125" style="7" customWidth="1"/>
    <col min="7" max="16384" width="11.42578125" style="7"/>
  </cols>
  <sheetData>
    <row r="1" spans="1:6" ht="3" customHeight="1">
      <c r="A1" s="2761"/>
      <c r="B1" s="1380"/>
      <c r="C1" s="1380"/>
      <c r="D1" s="2985"/>
      <c r="E1" s="1380"/>
      <c r="F1" s="2986"/>
    </row>
    <row r="2" spans="1:6" ht="33.75">
      <c r="A2" s="2762" t="s">
        <v>99</v>
      </c>
      <c r="B2" s="768" t="s">
        <v>1369</v>
      </c>
      <c r="C2" s="2071" t="s">
        <v>1370</v>
      </c>
      <c r="D2" s="2987" t="s">
        <v>1371</v>
      </c>
      <c r="E2" s="768" t="s">
        <v>1372</v>
      </c>
      <c r="F2" s="2988" t="s">
        <v>102</v>
      </c>
    </row>
    <row r="3" spans="1:6" ht="22.5">
      <c r="A3" s="2762" t="s">
        <v>193</v>
      </c>
      <c r="B3" s="2736" t="s">
        <v>1373</v>
      </c>
      <c r="C3" s="2742"/>
      <c r="D3" s="2906" t="s">
        <v>1374</v>
      </c>
      <c r="E3" s="320" t="s">
        <v>120</v>
      </c>
      <c r="F3" s="2913" t="s">
        <v>1373</v>
      </c>
    </row>
    <row r="4" spans="1:6" ht="3" hidden="1" customHeight="1">
      <c r="A4" s="2762"/>
      <c r="B4" s="1380"/>
      <c r="C4" s="1380"/>
      <c r="D4" s="2985"/>
      <c r="E4" s="1380"/>
      <c r="F4" s="2986"/>
    </row>
    <row r="5" spans="1:6" s="91" customFormat="1" ht="22.5">
      <c r="A5" s="2867" t="s">
        <v>140</v>
      </c>
      <c r="B5" s="2917"/>
      <c r="C5" s="651"/>
      <c r="D5" s="2902" t="s">
        <v>1375</v>
      </c>
      <c r="E5" s="5" t="s">
        <v>1376</v>
      </c>
      <c r="F5" s="2920"/>
    </row>
    <row r="6" spans="1:6" ht="3" hidden="1" customHeight="1">
      <c r="A6" s="2762"/>
      <c r="B6" s="651"/>
      <c r="C6" s="651"/>
      <c r="D6" s="2989"/>
      <c r="E6" s="651"/>
      <c r="F6" s="2990"/>
    </row>
    <row r="7" spans="1:6" ht="22.5">
      <c r="A7" s="2762" t="s">
        <v>125</v>
      </c>
      <c r="B7" s="2925" t="s">
        <v>1377</v>
      </c>
      <c r="C7" s="2072" t="s">
        <v>1378</v>
      </c>
      <c r="D7" s="2989" t="s">
        <v>1379</v>
      </c>
      <c r="E7" s="1381" t="s">
        <v>279</v>
      </c>
      <c r="F7" s="2991" t="s">
        <v>1380</v>
      </c>
    </row>
    <row r="8" spans="1:6">
      <c r="A8" s="2751" t="s">
        <v>144</v>
      </c>
      <c r="B8" s="2967" t="s">
        <v>1381</v>
      </c>
      <c r="C8" s="3640" t="s">
        <v>1382</v>
      </c>
      <c r="D8" s="2992" t="s">
        <v>1383</v>
      </c>
      <c r="E8" s="2966" t="s">
        <v>1384</v>
      </c>
      <c r="F8" s="2993" t="s">
        <v>1385</v>
      </c>
    </row>
    <row r="9" spans="1:6" ht="13.5" thickBot="1">
      <c r="A9" s="2140"/>
      <c r="B9" s="1348"/>
      <c r="C9" s="1348"/>
      <c r="D9" s="2254"/>
      <c r="E9" s="1348"/>
      <c r="F9" s="2255"/>
    </row>
    <row r="10" spans="1:6">
      <c r="A10" s="53">
        <v>1994.01</v>
      </c>
      <c r="B10" s="445">
        <v>683.12</v>
      </c>
      <c r="C10" s="446">
        <v>23245.79</v>
      </c>
      <c r="D10" s="1382"/>
      <c r="E10" s="411"/>
      <c r="F10" s="444">
        <v>481.60998499999999</v>
      </c>
    </row>
    <row r="11" spans="1:6">
      <c r="A11" s="53">
        <v>1994.02</v>
      </c>
      <c r="B11" s="386">
        <v>652.01</v>
      </c>
      <c r="C11" s="447">
        <v>21925.78</v>
      </c>
      <c r="D11" s="1382"/>
      <c r="E11" s="412"/>
      <c r="F11" s="414">
        <v>467.14001500000001</v>
      </c>
    </row>
    <row r="12" spans="1:6">
      <c r="A12" s="53">
        <v>1994.03</v>
      </c>
      <c r="B12" s="386">
        <v>558.75</v>
      </c>
      <c r="C12" s="447">
        <v>19210.43</v>
      </c>
      <c r="D12" s="1382"/>
      <c r="E12" s="412"/>
      <c r="F12" s="414">
        <v>445.76998900000001</v>
      </c>
    </row>
    <row r="13" spans="1:6">
      <c r="A13" s="53">
        <v>1994.04</v>
      </c>
      <c r="B13" s="386">
        <v>545.84</v>
      </c>
      <c r="C13" s="447">
        <v>19119.28</v>
      </c>
      <c r="D13" s="1382"/>
      <c r="E13" s="412"/>
      <c r="F13" s="414">
        <v>450.91000400000001</v>
      </c>
    </row>
    <row r="14" spans="1:6">
      <c r="A14" s="53">
        <v>1994.05</v>
      </c>
      <c r="B14" s="386">
        <v>605.28</v>
      </c>
      <c r="C14" s="447">
        <v>21058.97</v>
      </c>
      <c r="D14" s="1382"/>
      <c r="E14" s="412"/>
      <c r="F14" s="414">
        <v>456.5</v>
      </c>
    </row>
    <row r="15" spans="1:6">
      <c r="A15" s="53">
        <v>1994.06</v>
      </c>
      <c r="B15" s="386">
        <v>519.1</v>
      </c>
      <c r="C15" s="447">
        <v>18001.439999999999</v>
      </c>
      <c r="D15" s="1382"/>
      <c r="E15" s="412"/>
      <c r="F15" s="414">
        <v>444.26998900000001</v>
      </c>
    </row>
    <row r="16" spans="1:6">
      <c r="A16" s="53">
        <v>1994.07</v>
      </c>
      <c r="B16" s="386">
        <v>545.53</v>
      </c>
      <c r="C16" s="447">
        <v>19532.18</v>
      </c>
      <c r="D16" s="1382"/>
      <c r="E16" s="412"/>
      <c r="F16" s="414">
        <v>458.26001000000002</v>
      </c>
    </row>
    <row r="17" spans="1:6">
      <c r="A17" s="53">
        <v>1994.08</v>
      </c>
      <c r="B17" s="386">
        <v>603.26</v>
      </c>
      <c r="C17" s="447">
        <v>21235.37</v>
      </c>
      <c r="D17" s="1382"/>
      <c r="E17" s="412"/>
      <c r="F17" s="414">
        <v>475.48998999999998</v>
      </c>
    </row>
    <row r="18" spans="1:6">
      <c r="A18" s="53">
        <v>1994.09</v>
      </c>
      <c r="B18" s="386">
        <v>604.54999999999995</v>
      </c>
      <c r="C18" s="447">
        <v>20534.650000000001</v>
      </c>
      <c r="D18" s="1382"/>
      <c r="E18" s="412"/>
      <c r="F18" s="414">
        <v>462.709991</v>
      </c>
    </row>
    <row r="19" spans="1:6">
      <c r="A19" s="53">
        <v>1994.1</v>
      </c>
      <c r="B19" s="386">
        <v>574.51</v>
      </c>
      <c r="C19" s="447">
        <v>19317.740000000002</v>
      </c>
      <c r="D19" s="1382"/>
      <c r="E19" s="412"/>
      <c r="F19" s="414">
        <v>472.35000600000001</v>
      </c>
    </row>
    <row r="20" spans="1:6">
      <c r="A20" s="53">
        <v>1994.11</v>
      </c>
      <c r="B20" s="386">
        <v>525.28</v>
      </c>
      <c r="C20" s="447">
        <v>17929.2</v>
      </c>
      <c r="D20" s="1382"/>
      <c r="E20" s="412"/>
      <c r="F20" s="414">
        <v>453.69000199999999</v>
      </c>
    </row>
    <row r="21" spans="1:6">
      <c r="A21" s="53">
        <v>1994.12</v>
      </c>
      <c r="B21" s="386">
        <v>460.49</v>
      </c>
      <c r="C21" s="447">
        <v>15855.62</v>
      </c>
      <c r="D21" s="1382"/>
      <c r="E21" s="412"/>
      <c r="F21" s="414">
        <v>459.26998900000001</v>
      </c>
    </row>
    <row r="22" spans="1:6">
      <c r="A22" s="53">
        <f t="shared" ref="A22:A41" si="0">A10+1</f>
        <v>1995.01</v>
      </c>
      <c r="B22" s="386">
        <v>435</v>
      </c>
      <c r="C22" s="447">
        <v>15016.51</v>
      </c>
      <c r="D22" s="1382"/>
      <c r="E22" s="412"/>
      <c r="F22" s="414">
        <v>470.42001299999998</v>
      </c>
    </row>
    <row r="23" spans="1:6">
      <c r="A23" s="53">
        <f t="shared" si="0"/>
        <v>1995.02</v>
      </c>
      <c r="B23" s="386">
        <v>322.54000000000002</v>
      </c>
      <c r="C23" s="447">
        <v>11992.69</v>
      </c>
      <c r="D23" s="1382"/>
      <c r="E23" s="412"/>
      <c r="F23" s="414">
        <v>487.39001500000001</v>
      </c>
    </row>
    <row r="24" spans="1:6">
      <c r="A24" s="53">
        <f t="shared" si="0"/>
        <v>1995.03</v>
      </c>
      <c r="B24" s="386">
        <v>382.46</v>
      </c>
      <c r="C24" s="447">
        <v>13958.11</v>
      </c>
      <c r="D24" s="1382"/>
      <c r="E24" s="412"/>
      <c r="F24" s="414">
        <v>500.709991</v>
      </c>
    </row>
    <row r="25" spans="1:6">
      <c r="A25" s="53">
        <f t="shared" si="0"/>
        <v>1995.04</v>
      </c>
      <c r="B25" s="386">
        <v>391.99</v>
      </c>
      <c r="C25" s="447">
        <v>14211.59</v>
      </c>
      <c r="D25" s="1382"/>
      <c r="E25" s="412"/>
      <c r="F25" s="414">
        <v>514.71002199999998</v>
      </c>
    </row>
    <row r="26" spans="1:6">
      <c r="A26" s="53">
        <f t="shared" si="0"/>
        <v>1995.05</v>
      </c>
      <c r="B26" s="386">
        <v>434</v>
      </c>
      <c r="C26" s="447">
        <v>15303.64</v>
      </c>
      <c r="D26" s="1382"/>
      <c r="E26" s="412"/>
      <c r="F26" s="414">
        <v>533.40002400000003</v>
      </c>
    </row>
    <row r="27" spans="1:6">
      <c r="A27" s="53">
        <f t="shared" si="0"/>
        <v>1995.06</v>
      </c>
      <c r="B27" s="386">
        <v>405.55</v>
      </c>
      <c r="C27" s="447">
        <v>14384.3</v>
      </c>
      <c r="D27" s="1382"/>
      <c r="E27" s="412"/>
      <c r="F27" s="414">
        <v>544.75</v>
      </c>
    </row>
    <row r="28" spans="1:6">
      <c r="A28" s="53">
        <f t="shared" si="0"/>
        <v>1995.07</v>
      </c>
      <c r="B28" s="386">
        <v>456.99</v>
      </c>
      <c r="C28" s="447">
        <v>15137.61</v>
      </c>
      <c r="D28" s="1382"/>
      <c r="E28" s="412"/>
      <c r="F28" s="414">
        <v>562.05999799999995</v>
      </c>
    </row>
    <row r="29" spans="1:6">
      <c r="A29" s="53">
        <f t="shared" si="0"/>
        <v>1995.08</v>
      </c>
      <c r="B29" s="386">
        <v>453.86</v>
      </c>
      <c r="C29" s="447">
        <v>14552.71</v>
      </c>
      <c r="D29" s="1382"/>
      <c r="E29" s="412"/>
      <c r="F29" s="414">
        <v>561.88000499999998</v>
      </c>
    </row>
    <row r="30" spans="1:6">
      <c r="A30" s="53">
        <f t="shared" si="0"/>
        <v>1995.09</v>
      </c>
      <c r="B30" s="386">
        <v>431.74</v>
      </c>
      <c r="C30" s="447">
        <v>14117.71</v>
      </c>
      <c r="D30" s="1382"/>
      <c r="E30" s="412"/>
      <c r="F30" s="414">
        <v>584.40997300000004</v>
      </c>
    </row>
    <row r="31" spans="1:6">
      <c r="A31" s="53">
        <f t="shared" si="0"/>
        <v>1995.1</v>
      </c>
      <c r="B31" s="386">
        <v>406.82</v>
      </c>
      <c r="C31" s="447">
        <v>13288.84</v>
      </c>
      <c r="D31" s="1382"/>
      <c r="E31" s="412"/>
      <c r="F31" s="414">
        <v>581.5</v>
      </c>
    </row>
    <row r="32" spans="1:6">
      <c r="A32" s="53">
        <f t="shared" si="0"/>
        <v>1995.11</v>
      </c>
      <c r="B32" s="386">
        <v>472.2</v>
      </c>
      <c r="C32" s="447">
        <v>15052.6</v>
      </c>
      <c r="D32" s="1382"/>
      <c r="E32" s="412"/>
      <c r="F32" s="414">
        <v>605.36999500000002</v>
      </c>
    </row>
    <row r="33" spans="1:6">
      <c r="A33" s="53">
        <f t="shared" si="0"/>
        <v>1995.12</v>
      </c>
      <c r="B33" s="386">
        <v>518.96</v>
      </c>
      <c r="C33" s="447">
        <v>16237.81</v>
      </c>
      <c r="D33" s="1382"/>
      <c r="E33" s="412"/>
      <c r="F33" s="414">
        <v>615.92999299999997</v>
      </c>
    </row>
    <row r="34" spans="1:6">
      <c r="A34" s="53">
        <f t="shared" si="0"/>
        <v>1996.01</v>
      </c>
      <c r="B34" s="386">
        <v>563.25</v>
      </c>
      <c r="C34" s="447">
        <v>18191.57</v>
      </c>
      <c r="D34" s="1382"/>
      <c r="E34" s="412"/>
      <c r="F34" s="414">
        <v>636.02002000000005</v>
      </c>
    </row>
    <row r="35" spans="1:6">
      <c r="A35" s="53">
        <f t="shared" si="0"/>
        <v>1996.02</v>
      </c>
      <c r="B35" s="386">
        <v>495.78</v>
      </c>
      <c r="C35" s="447">
        <v>15818.59</v>
      </c>
      <c r="D35" s="1382"/>
      <c r="E35" s="412"/>
      <c r="F35" s="414">
        <v>640.42999299999997</v>
      </c>
    </row>
    <row r="36" spans="1:6">
      <c r="A36" s="53">
        <f t="shared" si="0"/>
        <v>1996.03</v>
      </c>
      <c r="B36" s="386">
        <v>509.35</v>
      </c>
      <c r="C36" s="447">
        <v>16074.17</v>
      </c>
      <c r="D36" s="1382"/>
      <c r="E36" s="412"/>
      <c r="F36" s="414">
        <v>645.5</v>
      </c>
    </row>
    <row r="37" spans="1:6">
      <c r="A37" s="53">
        <f t="shared" si="0"/>
        <v>1996.04</v>
      </c>
      <c r="B37" s="386">
        <v>566.11</v>
      </c>
      <c r="C37" s="447">
        <v>17580.310000000001</v>
      </c>
      <c r="D37" s="1382"/>
      <c r="E37" s="412"/>
      <c r="F37" s="414">
        <v>654.169983</v>
      </c>
    </row>
    <row r="38" spans="1:6">
      <c r="A38" s="53">
        <f t="shared" si="0"/>
        <v>1996.05</v>
      </c>
      <c r="B38" s="386">
        <v>600.44000000000005</v>
      </c>
      <c r="C38" s="447">
        <v>18214.810000000001</v>
      </c>
      <c r="D38" s="1382"/>
      <c r="E38" s="412"/>
      <c r="F38" s="414">
        <v>669.11999500000002</v>
      </c>
    </row>
    <row r="39" spans="1:6">
      <c r="A39" s="53">
        <f t="shared" si="0"/>
        <v>1996.06</v>
      </c>
      <c r="B39" s="386">
        <v>607.4</v>
      </c>
      <c r="C39" s="447">
        <v>18440.080000000002</v>
      </c>
      <c r="D39" s="1382"/>
      <c r="E39" s="412"/>
      <c r="F39" s="414">
        <v>670.63000499999998</v>
      </c>
    </row>
    <row r="40" spans="1:6">
      <c r="A40" s="53">
        <f t="shared" si="0"/>
        <v>1996.07</v>
      </c>
      <c r="B40" s="386">
        <v>529.09</v>
      </c>
      <c r="C40" s="447">
        <v>16026.89</v>
      </c>
      <c r="D40" s="1382"/>
      <c r="E40" s="412"/>
      <c r="F40" s="414">
        <v>639.95001200000002</v>
      </c>
    </row>
    <row r="41" spans="1:6">
      <c r="A41" s="53">
        <f t="shared" si="0"/>
        <v>1996.08</v>
      </c>
      <c r="B41" s="386">
        <v>509.43</v>
      </c>
      <c r="C41" s="447">
        <v>15714.82</v>
      </c>
      <c r="D41" s="1382"/>
      <c r="E41" s="412"/>
      <c r="F41" s="414">
        <v>651.98999000000003</v>
      </c>
    </row>
    <row r="42" spans="1:6">
      <c r="A42" s="53">
        <f t="shared" ref="A42:A73" si="1">A30+1</f>
        <v>1996.09</v>
      </c>
      <c r="B42" s="386">
        <v>558.86</v>
      </c>
      <c r="C42" s="447">
        <v>16951.77</v>
      </c>
      <c r="D42" s="1382"/>
      <c r="E42" s="412"/>
      <c r="F42" s="414">
        <v>687.330017</v>
      </c>
    </row>
    <row r="43" spans="1:6">
      <c r="A43" s="53">
        <f t="shared" si="1"/>
        <v>1996.1</v>
      </c>
      <c r="B43" s="386">
        <v>570.45000000000005</v>
      </c>
      <c r="C43" s="447">
        <v>16742.86</v>
      </c>
      <c r="D43" s="1382"/>
      <c r="E43" s="412"/>
      <c r="F43" s="414">
        <v>705.27002000000005</v>
      </c>
    </row>
    <row r="44" spans="1:6">
      <c r="A44" s="53">
        <f t="shared" si="1"/>
        <v>1996.11</v>
      </c>
      <c r="B44" s="386">
        <v>617.03</v>
      </c>
      <c r="C44" s="447">
        <v>17748.68</v>
      </c>
      <c r="D44" s="1382"/>
      <c r="E44" s="412"/>
      <c r="F44" s="414">
        <v>757.02002000000005</v>
      </c>
    </row>
    <row r="45" spans="1:6">
      <c r="A45" s="53">
        <f t="shared" si="1"/>
        <v>1996.12</v>
      </c>
      <c r="B45" s="386">
        <v>649.37</v>
      </c>
      <c r="C45" s="447">
        <v>18494.87</v>
      </c>
      <c r="D45" s="1382"/>
      <c r="E45" s="412"/>
      <c r="F45" s="414">
        <v>740.73999000000003</v>
      </c>
    </row>
    <row r="46" spans="1:6">
      <c r="A46" s="53">
        <f t="shared" si="1"/>
        <v>1997.01</v>
      </c>
      <c r="B46" s="386">
        <v>692.51</v>
      </c>
      <c r="C46" s="447">
        <v>20129.14</v>
      </c>
      <c r="D46" s="1382"/>
      <c r="E46" s="412"/>
      <c r="F46" s="414">
        <v>786.15997300000004</v>
      </c>
    </row>
    <row r="47" spans="1:6">
      <c r="A47" s="53">
        <f t="shared" si="1"/>
        <v>1997.02</v>
      </c>
      <c r="B47" s="386">
        <v>717.65</v>
      </c>
      <c r="C47" s="447">
        <v>20413.509999999998</v>
      </c>
      <c r="D47" s="1382"/>
      <c r="E47" s="412"/>
      <c r="F47" s="414">
        <v>790.82000700000003</v>
      </c>
    </row>
    <row r="48" spans="1:6">
      <c r="A48" s="53">
        <f t="shared" si="1"/>
        <v>1997.03</v>
      </c>
      <c r="B48" s="386">
        <v>706.08</v>
      </c>
      <c r="C48" s="447">
        <v>20149.71</v>
      </c>
      <c r="D48" s="1382"/>
      <c r="E48" s="412"/>
      <c r="F48" s="414">
        <v>757.11999500000002</v>
      </c>
    </row>
    <row r="49" spans="1:6">
      <c r="A49" s="53">
        <f t="shared" si="1"/>
        <v>1997.04</v>
      </c>
      <c r="B49" s="386">
        <v>722.6</v>
      </c>
      <c r="C49" s="447">
        <v>21027.9</v>
      </c>
      <c r="D49" s="1382"/>
      <c r="E49" s="412"/>
      <c r="F49" s="414">
        <v>801.34002699999996</v>
      </c>
    </row>
    <row r="50" spans="1:6">
      <c r="A50" s="53">
        <f t="shared" si="1"/>
        <v>1997.05</v>
      </c>
      <c r="B50" s="386">
        <v>778.08</v>
      </c>
      <c r="C50" s="447">
        <v>22386.89</v>
      </c>
      <c r="D50" s="1382"/>
      <c r="E50" s="412"/>
      <c r="F50" s="414">
        <v>848.28002900000001</v>
      </c>
    </row>
    <row r="51" spans="1:6">
      <c r="A51" s="53">
        <f t="shared" si="1"/>
        <v>1997.06</v>
      </c>
      <c r="B51" s="386">
        <v>809.41</v>
      </c>
      <c r="C51" s="447">
        <v>22793.84</v>
      </c>
      <c r="D51" s="1382"/>
      <c r="E51" s="412"/>
      <c r="F51" s="414">
        <v>885.14001499999995</v>
      </c>
    </row>
    <row r="52" spans="1:6">
      <c r="A52" s="53">
        <f t="shared" si="1"/>
        <v>1997.07</v>
      </c>
      <c r="B52" s="386">
        <v>850.03</v>
      </c>
      <c r="C52" s="447">
        <v>24602.29</v>
      </c>
      <c r="D52" s="1382"/>
      <c r="E52" s="412"/>
      <c r="F52" s="414">
        <v>954.30999799999995</v>
      </c>
    </row>
    <row r="53" spans="1:6">
      <c r="A53" s="53">
        <f t="shared" si="1"/>
        <v>1997.08</v>
      </c>
      <c r="B53" s="386">
        <v>832.93</v>
      </c>
      <c r="C53" s="447">
        <v>24028.32</v>
      </c>
      <c r="D53" s="1382"/>
      <c r="E53" s="412"/>
      <c r="F53" s="414">
        <v>899.46997099999999</v>
      </c>
    </row>
    <row r="54" spans="1:6">
      <c r="A54" s="53">
        <f t="shared" si="1"/>
        <v>1997.09</v>
      </c>
      <c r="B54" s="386">
        <v>822.47</v>
      </c>
      <c r="C54" s="447">
        <v>24761.43</v>
      </c>
      <c r="D54" s="1382"/>
      <c r="E54" s="412"/>
      <c r="F54" s="414">
        <v>947.28002900000001</v>
      </c>
    </row>
    <row r="55" spans="1:6">
      <c r="A55" s="53">
        <f t="shared" si="1"/>
        <v>1997.1</v>
      </c>
      <c r="B55" s="386">
        <v>660.24</v>
      </c>
      <c r="C55" s="447">
        <v>20418.11</v>
      </c>
      <c r="D55" s="1382"/>
      <c r="E55" s="412"/>
      <c r="F55" s="414">
        <v>914.61999500000002</v>
      </c>
    </row>
    <row r="56" spans="1:6">
      <c r="A56" s="53">
        <f t="shared" si="1"/>
        <v>1997.11</v>
      </c>
      <c r="B56" s="386">
        <v>655.6</v>
      </c>
      <c r="C56" s="447">
        <v>21846.95</v>
      </c>
      <c r="D56" s="1382"/>
      <c r="E56" s="412"/>
      <c r="F56" s="414">
        <v>955.40002400000003</v>
      </c>
    </row>
    <row r="57" spans="1:6">
      <c r="A57" s="53">
        <f t="shared" si="1"/>
        <v>1997.12</v>
      </c>
      <c r="B57" s="386">
        <v>687.5</v>
      </c>
      <c r="C57" s="447">
        <v>23071.71</v>
      </c>
      <c r="D57" s="1382"/>
      <c r="E57" s="412"/>
      <c r="F57" s="414">
        <v>970.42999299999997</v>
      </c>
    </row>
    <row r="58" spans="1:6">
      <c r="A58" s="53">
        <f t="shared" si="1"/>
        <v>1998.01</v>
      </c>
      <c r="B58" s="386">
        <v>612.38</v>
      </c>
      <c r="C58" s="447">
        <v>21045.69</v>
      </c>
      <c r="D58" s="1382"/>
      <c r="E58" s="412"/>
      <c r="F58" s="414">
        <v>980.28002900000001</v>
      </c>
    </row>
    <row r="59" spans="1:6">
      <c r="A59" s="53">
        <f t="shared" si="1"/>
        <v>1998.02</v>
      </c>
      <c r="B59" s="386">
        <v>686.64</v>
      </c>
      <c r="C59" s="447">
        <v>22724.560000000001</v>
      </c>
      <c r="D59" s="1382"/>
      <c r="E59" s="412"/>
      <c r="F59" s="414">
        <v>1049.339966</v>
      </c>
    </row>
    <row r="60" spans="1:6">
      <c r="A60" s="53">
        <f t="shared" si="1"/>
        <v>1998.03</v>
      </c>
      <c r="B60" s="386">
        <v>709.97</v>
      </c>
      <c r="C60" s="447">
        <v>23394.93</v>
      </c>
      <c r="D60" s="1382"/>
      <c r="E60" s="412"/>
      <c r="F60" s="414">
        <v>1101.75</v>
      </c>
    </row>
    <row r="61" spans="1:6">
      <c r="A61" s="53">
        <f t="shared" si="1"/>
        <v>1998.04</v>
      </c>
      <c r="B61" s="386">
        <v>698.9</v>
      </c>
      <c r="C61" s="447">
        <v>23229.56</v>
      </c>
      <c r="D61" s="1382"/>
      <c r="E61" s="412"/>
      <c r="F61" s="414">
        <v>1111.75</v>
      </c>
    </row>
    <row r="62" spans="1:6">
      <c r="A62" s="53">
        <f t="shared" si="1"/>
        <v>1998.05</v>
      </c>
      <c r="B62" s="386">
        <v>602.01</v>
      </c>
      <c r="C62" s="447">
        <v>20542.759999999998</v>
      </c>
      <c r="D62" s="1382"/>
      <c r="E62" s="412"/>
      <c r="F62" s="414">
        <v>1090.8199460000001</v>
      </c>
    </row>
    <row r="63" spans="1:6">
      <c r="A63" s="53">
        <f t="shared" si="1"/>
        <v>1998.06</v>
      </c>
      <c r="B63" s="386">
        <v>550.44000000000005</v>
      </c>
      <c r="C63" s="447">
        <v>19551.03</v>
      </c>
      <c r="D63" s="1382"/>
      <c r="E63" s="412"/>
      <c r="F63" s="414">
        <v>1133.839966</v>
      </c>
    </row>
    <row r="64" spans="1:6">
      <c r="A64" s="53">
        <f t="shared" si="1"/>
        <v>1998.07</v>
      </c>
      <c r="B64" s="386">
        <v>588.79</v>
      </c>
      <c r="C64" s="447">
        <v>20908.53</v>
      </c>
      <c r="D64" s="1382"/>
      <c r="E64" s="412"/>
      <c r="F64" s="414">
        <v>1120.670044</v>
      </c>
    </row>
    <row r="65" spans="1:6">
      <c r="A65" s="53">
        <f t="shared" si="1"/>
        <v>1998.08</v>
      </c>
      <c r="B65" s="386">
        <v>358.49</v>
      </c>
      <c r="C65" s="447">
        <v>14504.63</v>
      </c>
      <c r="D65" s="1382"/>
      <c r="E65" s="412"/>
      <c r="F65" s="414">
        <v>957.28002900000001</v>
      </c>
    </row>
    <row r="66" spans="1:6">
      <c r="A66" s="53">
        <f t="shared" si="1"/>
        <v>1998.09</v>
      </c>
      <c r="B66" s="386">
        <v>380.28</v>
      </c>
      <c r="C66" s="447">
        <v>16344.33</v>
      </c>
      <c r="D66" s="1382"/>
      <c r="E66" s="412"/>
      <c r="F66" s="414">
        <v>1017.01001</v>
      </c>
    </row>
    <row r="67" spans="1:6">
      <c r="A67" s="53">
        <f t="shared" si="1"/>
        <v>1998.1</v>
      </c>
      <c r="B67" s="386">
        <v>457.46</v>
      </c>
      <c r="C67" s="447">
        <v>18263.63</v>
      </c>
      <c r="D67" s="1382"/>
      <c r="E67" s="412"/>
      <c r="F67" s="414">
        <v>1098.670044</v>
      </c>
    </row>
    <row r="68" spans="1:6">
      <c r="A68" s="53">
        <f t="shared" si="1"/>
        <v>1998.11</v>
      </c>
      <c r="B68" s="386">
        <v>488.8</v>
      </c>
      <c r="C68" s="447">
        <v>18958.18</v>
      </c>
      <c r="D68" s="1382"/>
      <c r="E68" s="412"/>
      <c r="F68" s="414">
        <v>1163.630005</v>
      </c>
    </row>
    <row r="69" spans="1:6">
      <c r="A69" s="53">
        <f t="shared" si="1"/>
        <v>1998.12</v>
      </c>
      <c r="B69" s="386">
        <v>430.06</v>
      </c>
      <c r="C69" s="447">
        <v>17408.759999999998</v>
      </c>
      <c r="D69" s="1382"/>
      <c r="E69" s="412"/>
      <c r="F69" s="414">
        <v>1229.2299800000001</v>
      </c>
    </row>
    <row r="70" spans="1:6">
      <c r="A70" s="53">
        <f t="shared" si="1"/>
        <v>1999.01</v>
      </c>
      <c r="B70" s="386">
        <v>371.9</v>
      </c>
      <c r="C70" s="447">
        <v>15868.49</v>
      </c>
      <c r="D70" s="1382"/>
      <c r="E70" s="412"/>
      <c r="F70" s="414">
        <v>1279.6400149999999</v>
      </c>
    </row>
    <row r="71" spans="1:6">
      <c r="A71" s="53">
        <f t="shared" si="1"/>
        <v>1999.02</v>
      </c>
      <c r="B71" s="386">
        <v>380.77</v>
      </c>
      <c r="C71" s="447">
        <v>16277.13</v>
      </c>
      <c r="D71" s="1382"/>
      <c r="E71" s="412"/>
      <c r="F71" s="414">
        <v>1238.329956</v>
      </c>
    </row>
    <row r="72" spans="1:6">
      <c r="A72" s="53">
        <f t="shared" si="1"/>
        <v>1999.03</v>
      </c>
      <c r="B72" s="386">
        <v>419.78</v>
      </c>
      <c r="C72" s="447">
        <v>17298.28</v>
      </c>
      <c r="D72" s="1382"/>
      <c r="E72" s="412"/>
      <c r="F72" s="414">
        <v>1286.369995</v>
      </c>
    </row>
    <row r="73" spans="1:6">
      <c r="A73" s="53">
        <f t="shared" si="1"/>
        <v>1999.04</v>
      </c>
      <c r="B73" s="386">
        <v>563.66999999999996</v>
      </c>
      <c r="C73" s="447">
        <v>21986.74</v>
      </c>
      <c r="D73" s="1382"/>
      <c r="E73" s="412"/>
      <c r="F73" s="414">
        <v>1335.1800539999999</v>
      </c>
    </row>
    <row r="74" spans="1:6">
      <c r="A74" s="53">
        <f t="shared" ref="A74:A105" si="2">A62+1</f>
        <v>1999.05</v>
      </c>
      <c r="B74" s="386">
        <v>524.1</v>
      </c>
      <c r="C74" s="447">
        <v>20678.09</v>
      </c>
      <c r="D74" s="1382"/>
      <c r="E74" s="412"/>
      <c r="F74" s="414">
        <v>1301.839966</v>
      </c>
    </row>
    <row r="75" spans="1:6">
      <c r="A75" s="53">
        <f t="shared" si="2"/>
        <v>1999.06</v>
      </c>
      <c r="B75" s="386">
        <v>498.72</v>
      </c>
      <c r="C75" s="447">
        <v>19782.169999999998</v>
      </c>
      <c r="D75" s="1382"/>
      <c r="E75" s="412"/>
      <c r="F75" s="414">
        <v>1372.709961</v>
      </c>
    </row>
    <row r="76" spans="1:6">
      <c r="A76" s="53">
        <f t="shared" si="2"/>
        <v>1999.07</v>
      </c>
      <c r="B76" s="386">
        <v>475.68</v>
      </c>
      <c r="C76" s="447">
        <v>19088.62</v>
      </c>
      <c r="D76" s="1382"/>
      <c r="E76" s="412"/>
      <c r="F76" s="414">
        <v>1328.719971</v>
      </c>
    </row>
    <row r="77" spans="1:6">
      <c r="A77" s="53">
        <f t="shared" si="2"/>
        <v>1999.08</v>
      </c>
      <c r="B77" s="386">
        <v>506.74</v>
      </c>
      <c r="C77" s="447">
        <v>19437.73</v>
      </c>
      <c r="D77" s="1382"/>
      <c r="E77" s="412"/>
      <c r="F77" s="414">
        <v>1320.410034</v>
      </c>
    </row>
    <row r="78" spans="1:6">
      <c r="A78" s="53">
        <f t="shared" si="2"/>
        <v>1999.09</v>
      </c>
      <c r="B78" s="386">
        <v>534.4</v>
      </c>
      <c r="C78" s="447">
        <v>19884.759999999998</v>
      </c>
      <c r="D78" s="1382"/>
      <c r="E78" s="412"/>
      <c r="F78" s="414">
        <v>1282.709961</v>
      </c>
    </row>
    <row r="79" spans="1:6">
      <c r="A79" s="53">
        <f t="shared" si="2"/>
        <v>1999.1</v>
      </c>
      <c r="B79" s="386">
        <v>538.69000000000005</v>
      </c>
      <c r="C79" s="447">
        <v>20095.080000000002</v>
      </c>
      <c r="D79" s="1382"/>
      <c r="E79" s="412"/>
      <c r="F79" s="414">
        <v>1362.9300539999999</v>
      </c>
    </row>
    <row r="80" spans="1:6">
      <c r="A80" s="53">
        <f t="shared" si="2"/>
        <v>1999.11</v>
      </c>
      <c r="B80" s="386">
        <v>536.11</v>
      </c>
      <c r="C80" s="447">
        <v>20258.240000000002</v>
      </c>
      <c r="D80" s="1382"/>
      <c r="E80" s="412"/>
      <c r="F80" s="414">
        <v>1388.910034</v>
      </c>
    </row>
    <row r="81" spans="1:6">
      <c r="A81" s="53">
        <f t="shared" si="2"/>
        <v>1999.12</v>
      </c>
      <c r="B81" s="386">
        <v>550.47</v>
      </c>
      <c r="C81" s="447">
        <v>21227.75</v>
      </c>
      <c r="D81" s="1382"/>
      <c r="E81" s="412"/>
      <c r="F81" s="414">
        <v>1469.25</v>
      </c>
    </row>
    <row r="82" spans="1:6">
      <c r="A82" s="53">
        <f t="shared" si="2"/>
        <v>2000.01</v>
      </c>
      <c r="B82" s="386">
        <v>566.28</v>
      </c>
      <c r="C82" s="447">
        <v>20528.509999999998</v>
      </c>
      <c r="D82" s="1382"/>
      <c r="E82" s="412"/>
      <c r="F82" s="414">
        <v>1394.459961</v>
      </c>
    </row>
    <row r="83" spans="1:6">
      <c r="A83" s="53">
        <f t="shared" si="2"/>
        <v>2000.02</v>
      </c>
      <c r="B83" s="386">
        <v>631.64</v>
      </c>
      <c r="C83" s="447">
        <v>21399.119999999999</v>
      </c>
      <c r="D83" s="1382"/>
      <c r="E83" s="412"/>
      <c r="F83" s="414">
        <v>1366.420044</v>
      </c>
    </row>
    <row r="84" spans="1:6">
      <c r="A84" s="53">
        <f t="shared" si="2"/>
        <v>2000.03</v>
      </c>
      <c r="B84" s="386">
        <v>569.24</v>
      </c>
      <c r="C84" s="447">
        <v>19566.03</v>
      </c>
      <c r="D84" s="1382"/>
      <c r="E84" s="412"/>
      <c r="F84" s="414">
        <v>1498.579956</v>
      </c>
    </row>
    <row r="85" spans="1:6">
      <c r="A85" s="53">
        <f t="shared" si="2"/>
        <v>2000.04</v>
      </c>
      <c r="B85" s="386">
        <v>509.51</v>
      </c>
      <c r="C85" s="447">
        <v>18920.63</v>
      </c>
      <c r="D85" s="1382"/>
      <c r="E85" s="412"/>
      <c r="F85" s="414">
        <v>1452.4300539999999</v>
      </c>
    </row>
    <row r="86" spans="1:6">
      <c r="A86" s="53">
        <f t="shared" si="2"/>
        <v>2000.05</v>
      </c>
      <c r="B86" s="386">
        <v>464.3</v>
      </c>
      <c r="C86" s="447">
        <v>19570.98</v>
      </c>
      <c r="D86" s="1382"/>
      <c r="E86" s="412"/>
      <c r="F86" s="414">
        <v>1420.599976</v>
      </c>
    </row>
    <row r="87" spans="1:6">
      <c r="A87" s="53">
        <f t="shared" si="2"/>
        <v>2000.06</v>
      </c>
      <c r="B87" s="386">
        <v>496.9</v>
      </c>
      <c r="C87" s="447">
        <v>19493.400000000001</v>
      </c>
      <c r="D87" s="1382"/>
      <c r="E87" s="412"/>
      <c r="F87" s="414">
        <v>1454.599976</v>
      </c>
    </row>
    <row r="88" spans="1:6">
      <c r="A88" s="53">
        <f t="shared" si="2"/>
        <v>2000.07</v>
      </c>
      <c r="B88" s="386">
        <v>502.01</v>
      </c>
      <c r="C88" s="447">
        <v>19170.060000000001</v>
      </c>
      <c r="D88" s="1382"/>
      <c r="E88" s="412"/>
      <c r="F88" s="414">
        <v>1430.829956</v>
      </c>
    </row>
    <row r="89" spans="1:6">
      <c r="A89" s="53">
        <f t="shared" si="2"/>
        <v>2000.08</v>
      </c>
      <c r="B89" s="386">
        <v>474.66</v>
      </c>
      <c r="C89" s="447">
        <v>18934.86</v>
      </c>
      <c r="D89" s="1382"/>
      <c r="E89" s="412"/>
      <c r="F89" s="414">
        <v>1517.6800539999999</v>
      </c>
    </row>
    <row r="90" spans="1:6">
      <c r="A90" s="53">
        <f t="shared" si="2"/>
        <v>2000.09</v>
      </c>
      <c r="B90" s="386">
        <v>475.42</v>
      </c>
      <c r="C90" s="447">
        <v>18032.45</v>
      </c>
      <c r="D90" s="1382"/>
      <c r="E90" s="412"/>
      <c r="F90" s="414">
        <v>1436.51001</v>
      </c>
    </row>
    <row r="91" spans="1:6">
      <c r="A91" s="53">
        <f t="shared" si="2"/>
        <v>2000.1</v>
      </c>
      <c r="B91" s="386">
        <v>440.9</v>
      </c>
      <c r="C91" s="447">
        <v>16056.44</v>
      </c>
      <c r="D91" s="1382"/>
      <c r="E91" s="412"/>
      <c r="F91" s="414">
        <v>1429.400024</v>
      </c>
    </row>
    <row r="92" spans="1:6">
      <c r="A92" s="53">
        <f t="shared" si="2"/>
        <v>2000.11</v>
      </c>
      <c r="B92" s="386">
        <v>399.49</v>
      </c>
      <c r="C92" s="447">
        <v>16331.21</v>
      </c>
      <c r="D92" s="1382"/>
      <c r="E92" s="412"/>
      <c r="F92" s="414">
        <v>1314.9499510000001</v>
      </c>
    </row>
    <row r="93" spans="1:6">
      <c r="A93" s="53">
        <f t="shared" si="2"/>
        <v>2000.12</v>
      </c>
      <c r="B93" s="386">
        <v>416.77</v>
      </c>
      <c r="C93" s="447">
        <v>19814.740000000002</v>
      </c>
      <c r="D93" s="1382"/>
      <c r="E93" s="412"/>
      <c r="F93" s="414">
        <v>1320.280029</v>
      </c>
    </row>
    <row r="94" spans="1:6">
      <c r="A94" s="53">
        <f t="shared" si="2"/>
        <v>2001.01</v>
      </c>
      <c r="B94" s="386">
        <v>532.79999999999995</v>
      </c>
      <c r="C94" s="447">
        <v>17256.34</v>
      </c>
      <c r="D94" s="1382"/>
      <c r="E94" s="412"/>
      <c r="F94" s="414">
        <v>1366.01001</v>
      </c>
    </row>
    <row r="95" spans="1:6">
      <c r="A95" s="53">
        <f t="shared" si="2"/>
        <v>2001.02</v>
      </c>
      <c r="B95" s="386">
        <v>435.85</v>
      </c>
      <c r="C95" s="447">
        <v>17256.03</v>
      </c>
      <c r="D95" s="1382"/>
      <c r="E95" s="412"/>
      <c r="F95" s="414">
        <v>1239.9399410000001</v>
      </c>
    </row>
    <row r="96" spans="1:6">
      <c r="A96" s="53">
        <f t="shared" si="2"/>
        <v>2001.03</v>
      </c>
      <c r="B96" s="386">
        <v>443.81</v>
      </c>
      <c r="C96" s="447">
        <v>17136.57</v>
      </c>
      <c r="D96" s="1382"/>
      <c r="E96" s="412"/>
      <c r="F96" s="414">
        <v>1160.329956</v>
      </c>
    </row>
    <row r="97" spans="1:6">
      <c r="A97" s="53">
        <f t="shared" si="2"/>
        <v>2001.04</v>
      </c>
      <c r="B97" s="386">
        <v>435.63</v>
      </c>
      <c r="C97" s="447">
        <v>17010.48</v>
      </c>
      <c r="D97" s="1382"/>
      <c r="E97" s="412"/>
      <c r="F97" s="414">
        <v>1249.459961</v>
      </c>
    </row>
    <row r="98" spans="1:6">
      <c r="A98" s="53">
        <f t="shared" si="2"/>
        <v>2001.05</v>
      </c>
      <c r="B98" s="386">
        <v>439.22</v>
      </c>
      <c r="C98" s="447">
        <v>15812.88</v>
      </c>
      <c r="D98" s="1382"/>
      <c r="E98" s="412"/>
      <c r="F98" s="414">
        <v>1255.8199460000001</v>
      </c>
    </row>
    <row r="99" spans="1:6">
      <c r="A99" s="53">
        <f t="shared" si="2"/>
        <v>2001.06</v>
      </c>
      <c r="B99" s="386">
        <v>402.25</v>
      </c>
      <c r="C99" s="447">
        <v>13082.5</v>
      </c>
      <c r="D99" s="1382"/>
      <c r="E99" s="412"/>
      <c r="F99" s="414">
        <v>1224.380005</v>
      </c>
    </row>
    <row r="100" spans="1:6">
      <c r="A100" s="53">
        <f t="shared" si="2"/>
        <v>2001.07</v>
      </c>
      <c r="B100" s="386">
        <v>320.79000000000002</v>
      </c>
      <c r="C100" s="447">
        <v>13062.63</v>
      </c>
      <c r="D100" s="1382"/>
      <c r="E100" s="412"/>
      <c r="F100" s="414">
        <v>1211.2299800000001</v>
      </c>
    </row>
    <row r="101" spans="1:6">
      <c r="A101" s="53">
        <f t="shared" si="2"/>
        <v>2001.08</v>
      </c>
      <c r="B101" s="386">
        <v>319.89</v>
      </c>
      <c r="C101" s="447">
        <v>10699.45</v>
      </c>
      <c r="D101" s="1382"/>
      <c r="E101" s="412"/>
      <c r="F101" s="414">
        <v>1133.579956</v>
      </c>
    </row>
    <row r="102" spans="1:6">
      <c r="A102" s="53">
        <f t="shared" si="2"/>
        <v>2001.09</v>
      </c>
      <c r="B102" s="386">
        <v>243.55</v>
      </c>
      <c r="C102" s="447">
        <v>9550.77</v>
      </c>
      <c r="D102" s="1382"/>
      <c r="E102" s="412"/>
      <c r="F102" s="414">
        <v>1040.9399410000001</v>
      </c>
    </row>
    <row r="103" spans="1:6">
      <c r="A103" s="53">
        <f t="shared" si="2"/>
        <v>2001.1</v>
      </c>
      <c r="B103" s="386">
        <v>224.75</v>
      </c>
      <c r="C103" s="447">
        <v>9491.5</v>
      </c>
      <c r="D103" s="1382"/>
      <c r="E103" s="412"/>
      <c r="F103" s="414">
        <v>1059.780029</v>
      </c>
    </row>
    <row r="104" spans="1:6">
      <c r="A104" s="53">
        <f t="shared" si="2"/>
        <v>2001.11</v>
      </c>
      <c r="B104" s="386">
        <v>202.45</v>
      </c>
      <c r="C104" s="447">
        <v>13341.51</v>
      </c>
      <c r="D104" s="1382"/>
      <c r="E104" s="412"/>
      <c r="F104" s="414">
        <v>1139.4499510000001</v>
      </c>
    </row>
    <row r="105" spans="1:6">
      <c r="A105" s="53">
        <f t="shared" si="2"/>
        <v>2001.12</v>
      </c>
      <c r="B105" s="386">
        <v>295.39</v>
      </c>
      <c r="C105" s="447">
        <v>20635.46</v>
      </c>
      <c r="D105" s="1382"/>
      <c r="E105" s="412"/>
      <c r="F105" s="414">
        <v>1148.079956</v>
      </c>
    </row>
    <row r="106" spans="1:6">
      <c r="A106" s="53">
        <f t="shared" ref="A106:A137" si="3">A94+1</f>
        <v>2002.01</v>
      </c>
      <c r="B106" s="386">
        <v>439.2</v>
      </c>
      <c r="C106" s="447">
        <v>19695.04</v>
      </c>
      <c r="D106" s="1382"/>
      <c r="E106" s="412"/>
      <c r="F106" s="414">
        <v>1130.1999510000001</v>
      </c>
    </row>
    <row r="107" spans="1:6">
      <c r="A107" s="53">
        <f t="shared" si="3"/>
        <v>2002.02</v>
      </c>
      <c r="B107" s="386">
        <v>398.25</v>
      </c>
      <c r="C107" s="447">
        <v>22842.31</v>
      </c>
      <c r="D107" s="1382"/>
      <c r="E107" s="412"/>
      <c r="F107" s="414">
        <v>1106.7299800000001</v>
      </c>
    </row>
    <row r="108" spans="1:6">
      <c r="A108" s="53">
        <f t="shared" si="3"/>
        <v>2002.03</v>
      </c>
      <c r="B108" s="386">
        <v>436.13</v>
      </c>
      <c r="C108" s="447">
        <v>19895.62</v>
      </c>
      <c r="D108" s="1382"/>
      <c r="E108" s="412"/>
      <c r="F108" s="414">
        <v>1147.3900149999999</v>
      </c>
    </row>
    <row r="109" spans="1:6">
      <c r="A109" s="53">
        <f t="shared" si="3"/>
        <v>2002.04</v>
      </c>
      <c r="B109" s="386">
        <v>387.79</v>
      </c>
      <c r="C109" s="447">
        <v>18218.97</v>
      </c>
      <c r="D109" s="1382"/>
      <c r="E109" s="412"/>
      <c r="F109" s="414">
        <v>1076.920044</v>
      </c>
    </row>
    <row r="110" spans="1:6">
      <c r="A110" s="53">
        <f t="shared" si="3"/>
        <v>2002.05</v>
      </c>
      <c r="B110" s="386">
        <v>317.55</v>
      </c>
      <c r="C110" s="447">
        <v>19643.330000000002</v>
      </c>
      <c r="D110" s="1382"/>
      <c r="E110" s="412"/>
      <c r="F110" s="414">
        <v>1067.1400149999999</v>
      </c>
    </row>
    <row r="111" spans="1:6">
      <c r="A111" s="53">
        <f t="shared" si="3"/>
        <v>2002.06</v>
      </c>
      <c r="B111" s="386">
        <v>350.65</v>
      </c>
      <c r="C111" s="447">
        <v>20786.11</v>
      </c>
      <c r="D111" s="1382"/>
      <c r="E111" s="412"/>
      <c r="F111" s="414">
        <v>989.82000700000003</v>
      </c>
    </row>
    <row r="112" spans="1:6">
      <c r="A112" s="53">
        <f t="shared" si="3"/>
        <v>2002.07</v>
      </c>
      <c r="B112" s="386">
        <v>359.32</v>
      </c>
      <c r="C112" s="447">
        <v>20976.13</v>
      </c>
      <c r="D112" s="1382"/>
      <c r="E112" s="412"/>
      <c r="F112" s="414">
        <v>911.61999500000002</v>
      </c>
    </row>
    <row r="113" spans="1:6">
      <c r="A113" s="53">
        <f t="shared" si="3"/>
        <v>2002.08</v>
      </c>
      <c r="B113" s="386">
        <v>375.16</v>
      </c>
      <c r="C113" s="447">
        <v>21091.18</v>
      </c>
      <c r="D113" s="1382"/>
      <c r="E113" s="412"/>
      <c r="F113" s="414">
        <v>916.07000700000003</v>
      </c>
    </row>
    <row r="114" spans="1:6">
      <c r="A114" s="53">
        <f t="shared" si="3"/>
        <v>2002.09</v>
      </c>
      <c r="B114" s="386">
        <v>395.19</v>
      </c>
      <c r="C114" s="447">
        <v>22226.43</v>
      </c>
      <c r="D114" s="1382"/>
      <c r="E114" s="412"/>
      <c r="F114" s="414">
        <v>815.28002900000001</v>
      </c>
    </row>
    <row r="115" spans="1:6">
      <c r="A115" s="53">
        <f t="shared" si="3"/>
        <v>2002.1</v>
      </c>
      <c r="B115" s="386">
        <v>434.84</v>
      </c>
      <c r="C115" s="447">
        <v>25163.75</v>
      </c>
      <c r="D115" s="1382"/>
      <c r="E115" s="412"/>
      <c r="F115" s="414">
        <v>885.76000999999997</v>
      </c>
    </row>
    <row r="116" spans="1:6">
      <c r="A116" s="53">
        <f t="shared" si="3"/>
        <v>2002.11</v>
      </c>
      <c r="B116" s="386">
        <v>497.79</v>
      </c>
      <c r="C116" s="447">
        <v>25509.41</v>
      </c>
      <c r="D116" s="1382"/>
      <c r="E116" s="412"/>
      <c r="F116" s="414">
        <v>936.30999799999995</v>
      </c>
    </row>
    <row r="117" spans="1:6">
      <c r="A117" s="53">
        <f t="shared" si="3"/>
        <v>2002.12</v>
      </c>
      <c r="B117" s="386">
        <v>524.95000000000005</v>
      </c>
      <c r="C117" s="447">
        <v>26462.83</v>
      </c>
      <c r="D117" s="1382"/>
      <c r="E117" s="412"/>
      <c r="F117" s="414">
        <v>879.82000700000003</v>
      </c>
    </row>
    <row r="118" spans="1:6">
      <c r="A118" s="53">
        <f t="shared" si="3"/>
        <v>2003.01</v>
      </c>
      <c r="B118" s="386">
        <v>549.85</v>
      </c>
      <c r="C118" s="447">
        <v>28329.84</v>
      </c>
      <c r="D118" s="1382"/>
      <c r="E118" s="412"/>
      <c r="F118" s="414">
        <v>855.70001200000002</v>
      </c>
    </row>
    <row r="119" spans="1:6">
      <c r="A119" s="53">
        <f t="shared" si="3"/>
        <v>2003.02</v>
      </c>
      <c r="B119" s="386">
        <v>593.82000000000005</v>
      </c>
      <c r="C119" s="447">
        <v>26921.29</v>
      </c>
      <c r="D119" s="1382"/>
      <c r="E119" s="412"/>
      <c r="F119" s="414">
        <v>841.15002400000003</v>
      </c>
    </row>
    <row r="120" spans="1:6">
      <c r="A120" s="53">
        <f t="shared" si="3"/>
        <v>2003.03</v>
      </c>
      <c r="B120" s="386">
        <v>566.46</v>
      </c>
      <c r="C120" s="447">
        <v>29383.66</v>
      </c>
      <c r="D120" s="1382"/>
      <c r="E120" s="412"/>
      <c r="F120" s="414">
        <v>848.17999299999997</v>
      </c>
    </row>
    <row r="121" spans="1:6">
      <c r="A121" s="53">
        <f t="shared" si="3"/>
        <v>2003.04</v>
      </c>
      <c r="B121" s="386">
        <v>635.95000000000005</v>
      </c>
      <c r="C121" s="447">
        <v>30377.57</v>
      </c>
      <c r="D121" s="1382"/>
      <c r="E121" s="412"/>
      <c r="F121" s="414">
        <v>916.919983</v>
      </c>
    </row>
    <row r="122" spans="1:6">
      <c r="A122" s="53">
        <f t="shared" si="3"/>
        <v>2003.05</v>
      </c>
      <c r="B122" s="386">
        <v>678.31</v>
      </c>
      <c r="C122" s="447">
        <v>32952.15</v>
      </c>
      <c r="D122" s="1382"/>
      <c r="E122" s="412"/>
      <c r="F122" s="414">
        <v>963.59002699999996</v>
      </c>
    </row>
    <row r="123" spans="1:6">
      <c r="A123" s="53">
        <f t="shared" si="3"/>
        <v>2003.06</v>
      </c>
      <c r="B123" s="386">
        <v>765.61</v>
      </c>
      <c r="C123" s="447">
        <v>32524.39</v>
      </c>
      <c r="D123" s="1382"/>
      <c r="E123" s="412"/>
      <c r="F123" s="414">
        <v>974.5</v>
      </c>
    </row>
    <row r="124" spans="1:6">
      <c r="A124" s="53">
        <f t="shared" si="3"/>
        <v>2003.07</v>
      </c>
      <c r="B124" s="386">
        <v>755.34</v>
      </c>
      <c r="C124" s="447">
        <v>31239.03</v>
      </c>
      <c r="D124" s="1382"/>
      <c r="E124" s="412"/>
      <c r="F124" s="414">
        <v>990.30999799999995</v>
      </c>
    </row>
    <row r="125" spans="1:6">
      <c r="A125" s="53">
        <f t="shared" si="3"/>
        <v>2003.08</v>
      </c>
      <c r="B125" s="386">
        <v>713.33</v>
      </c>
      <c r="C125" s="447">
        <v>35512.85</v>
      </c>
      <c r="D125" s="1382"/>
      <c r="E125" s="412"/>
      <c r="F125" s="414">
        <v>1008.01001</v>
      </c>
    </row>
    <row r="126" spans="1:6">
      <c r="A126" s="53">
        <f t="shared" si="3"/>
        <v>2003.09</v>
      </c>
      <c r="B126" s="386">
        <v>827.69</v>
      </c>
      <c r="C126" s="447">
        <v>38662.31</v>
      </c>
      <c r="D126" s="1382"/>
      <c r="E126" s="412"/>
      <c r="F126" s="414">
        <v>995.96997099999999</v>
      </c>
    </row>
    <row r="127" spans="1:6">
      <c r="A127" s="53">
        <f t="shared" si="3"/>
        <v>2003.1</v>
      </c>
      <c r="B127" s="386">
        <v>929.89</v>
      </c>
      <c r="C127" s="447">
        <v>41414.33</v>
      </c>
      <c r="D127" s="1382"/>
      <c r="E127" s="412"/>
      <c r="F127" s="414">
        <v>1050.709961</v>
      </c>
    </row>
    <row r="128" spans="1:6">
      <c r="A128" s="53">
        <f t="shared" si="3"/>
        <v>2003.11</v>
      </c>
      <c r="B128" s="386">
        <v>996.56</v>
      </c>
      <c r="C128" s="447">
        <v>48255.63</v>
      </c>
      <c r="D128" s="1382"/>
      <c r="E128" s="412"/>
      <c r="F128" s="414">
        <v>1058.1999510000001</v>
      </c>
    </row>
    <row r="129" spans="1:6">
      <c r="A129" s="53">
        <f t="shared" si="3"/>
        <v>2003.12</v>
      </c>
      <c r="B129" s="386">
        <v>1071.95</v>
      </c>
      <c r="C129" s="447">
        <v>50924.13</v>
      </c>
      <c r="D129" s="1382"/>
      <c r="E129" s="412"/>
      <c r="F129" s="414">
        <v>1111.920044</v>
      </c>
    </row>
    <row r="130" spans="1:6">
      <c r="A130" s="53">
        <f t="shared" si="3"/>
        <v>2004.01</v>
      </c>
      <c r="B130" s="386">
        <v>1140.81</v>
      </c>
      <c r="C130" s="447">
        <v>52208.45</v>
      </c>
      <c r="D130" s="1382"/>
      <c r="E130" s="412"/>
      <c r="F130" s="414">
        <v>1131.130005</v>
      </c>
    </row>
    <row r="131" spans="1:6">
      <c r="A131" s="53">
        <f t="shared" si="3"/>
        <v>2004.02</v>
      </c>
      <c r="B131" s="386">
        <v>1183.1400000000001</v>
      </c>
      <c r="C131" s="447">
        <v>51947.8</v>
      </c>
      <c r="D131" s="1382"/>
      <c r="E131" s="412"/>
      <c r="F131" s="414">
        <v>1144.9399410000001</v>
      </c>
    </row>
    <row r="132" spans="1:6">
      <c r="A132" s="53">
        <f t="shared" si="3"/>
        <v>2004.03</v>
      </c>
      <c r="B132" s="386">
        <v>1201.6600000000001</v>
      </c>
      <c r="C132" s="447">
        <v>46155.75</v>
      </c>
      <c r="D132" s="1382"/>
      <c r="E132" s="412"/>
      <c r="F132" s="414">
        <v>1126.209961</v>
      </c>
    </row>
    <row r="133" spans="1:6">
      <c r="A133" s="53">
        <f t="shared" si="3"/>
        <v>2004.04</v>
      </c>
      <c r="B133" s="386">
        <v>1077.93</v>
      </c>
      <c r="C133" s="447">
        <v>41504.089999999997</v>
      </c>
      <c r="D133" s="1382"/>
      <c r="E133" s="412"/>
      <c r="F133" s="414">
        <v>1107.3000489999999</v>
      </c>
    </row>
    <row r="134" spans="1:6">
      <c r="A134" s="53">
        <f t="shared" si="3"/>
        <v>2004.05</v>
      </c>
      <c r="B134" s="386">
        <v>952.62</v>
      </c>
      <c r="C134" s="447">
        <v>41560.1</v>
      </c>
      <c r="D134" s="1382"/>
      <c r="E134" s="412"/>
      <c r="F134" s="414">
        <v>1120.6800539999999</v>
      </c>
    </row>
    <row r="135" spans="1:6">
      <c r="A135" s="53">
        <f t="shared" si="3"/>
        <v>2004.06</v>
      </c>
      <c r="B135" s="386">
        <v>945.45</v>
      </c>
      <c r="C135" s="447">
        <v>43240.66</v>
      </c>
      <c r="D135" s="1382"/>
      <c r="E135" s="412"/>
      <c r="F135" s="414">
        <v>1140.839966</v>
      </c>
    </row>
    <row r="136" spans="1:6">
      <c r="A136" s="53">
        <f t="shared" si="3"/>
        <v>2004.07</v>
      </c>
      <c r="B136" s="386">
        <v>966.1</v>
      </c>
      <c r="C136" s="447">
        <v>43774.77</v>
      </c>
      <c r="D136" s="1382"/>
      <c r="E136" s="412"/>
      <c r="F136" s="414">
        <v>1101.719971</v>
      </c>
    </row>
    <row r="137" spans="1:6">
      <c r="A137" s="53">
        <f t="shared" si="3"/>
        <v>2004.08</v>
      </c>
      <c r="B137" s="386">
        <v>952.14</v>
      </c>
      <c r="C137" s="447">
        <v>50676.43</v>
      </c>
      <c r="D137" s="1382"/>
      <c r="E137" s="412"/>
      <c r="F137" s="414">
        <v>1104.23999</v>
      </c>
    </row>
    <row r="138" spans="1:6">
      <c r="A138" s="53">
        <f t="shared" ref="A138:A169" si="4">A126+1</f>
        <v>2004.09</v>
      </c>
      <c r="B138" s="386">
        <v>1142.5</v>
      </c>
      <c r="C138" s="447">
        <v>53055.199999999997</v>
      </c>
      <c r="D138" s="1382"/>
      <c r="E138" s="412"/>
      <c r="F138" s="414">
        <v>1114.579956</v>
      </c>
    </row>
    <row r="139" spans="1:6">
      <c r="A139" s="53">
        <f t="shared" si="4"/>
        <v>2004.1</v>
      </c>
      <c r="B139" s="386">
        <v>1287.1400000000001</v>
      </c>
      <c r="C139" s="447">
        <v>52184.19</v>
      </c>
      <c r="D139" s="1382"/>
      <c r="E139" s="412"/>
      <c r="F139" s="414">
        <v>1130.1999510000001</v>
      </c>
    </row>
    <row r="140" spans="1:6">
      <c r="A140" s="53">
        <f t="shared" si="4"/>
        <v>2004.11</v>
      </c>
      <c r="B140" s="386">
        <v>1213.0899999999999</v>
      </c>
      <c r="C140" s="447">
        <v>56639.12</v>
      </c>
      <c r="D140" s="1382"/>
      <c r="E140" s="412"/>
      <c r="F140" s="414">
        <v>1173.8199460000001</v>
      </c>
    </row>
    <row r="141" spans="1:6">
      <c r="A141" s="53">
        <f t="shared" si="4"/>
        <v>2004.12</v>
      </c>
      <c r="B141" s="386">
        <v>1375.37</v>
      </c>
      <c r="C141" s="447">
        <v>56939.7</v>
      </c>
      <c r="D141" s="1382"/>
      <c r="E141" s="412"/>
      <c r="F141" s="414">
        <v>1211.920044</v>
      </c>
    </row>
    <row r="142" spans="1:6">
      <c r="A142" s="53">
        <f t="shared" si="4"/>
        <v>2005.01</v>
      </c>
      <c r="B142" s="386">
        <v>1373.79</v>
      </c>
      <c r="C142" s="447">
        <v>66296.800000000003</v>
      </c>
      <c r="D142" s="1382"/>
      <c r="E142" s="412"/>
      <c r="F142" s="414">
        <v>1181.2700199999999</v>
      </c>
    </row>
    <row r="143" spans="1:6">
      <c r="A143" s="53">
        <f t="shared" si="4"/>
        <v>2005.02</v>
      </c>
      <c r="B143" s="386">
        <v>1558.62</v>
      </c>
      <c r="C143" s="447">
        <v>60382.77</v>
      </c>
      <c r="D143" s="1382"/>
      <c r="E143" s="412"/>
      <c r="F143" s="414">
        <v>1203.599976</v>
      </c>
    </row>
    <row r="144" spans="1:6">
      <c r="A144" s="53">
        <f t="shared" si="4"/>
        <v>2005.03</v>
      </c>
      <c r="B144" s="386">
        <v>1400.42</v>
      </c>
      <c r="C144" s="447">
        <v>57597.72</v>
      </c>
      <c r="D144" s="1382"/>
      <c r="E144" s="412"/>
      <c r="F144" s="414">
        <v>1180.589966</v>
      </c>
    </row>
    <row r="145" spans="1:6">
      <c r="A145" s="53">
        <f t="shared" si="4"/>
        <v>2005.04</v>
      </c>
      <c r="B145" s="386">
        <v>1348.35</v>
      </c>
      <c r="C145" s="447">
        <v>62202.92</v>
      </c>
      <c r="D145" s="1382"/>
      <c r="E145" s="412"/>
      <c r="F145" s="414">
        <v>1156.849976</v>
      </c>
    </row>
    <row r="146" spans="1:6">
      <c r="A146" s="53">
        <f t="shared" si="4"/>
        <v>2005.05</v>
      </c>
      <c r="B146" s="386">
        <v>1485.55</v>
      </c>
      <c r="C146" s="447">
        <v>59154.77</v>
      </c>
      <c r="D146" s="1382"/>
      <c r="E146" s="412"/>
      <c r="F146" s="414">
        <v>1191.5</v>
      </c>
    </row>
    <row r="147" spans="1:6">
      <c r="A147" s="53">
        <f t="shared" si="4"/>
        <v>2005.06</v>
      </c>
      <c r="B147" s="386">
        <v>1367.41</v>
      </c>
      <c r="C147" s="447">
        <v>64351.34</v>
      </c>
      <c r="D147" s="1382"/>
      <c r="E147" s="412"/>
      <c r="F147" s="414">
        <v>1191.329956</v>
      </c>
    </row>
    <row r="148" spans="1:6">
      <c r="A148" s="53">
        <f t="shared" si="4"/>
        <v>2005.07</v>
      </c>
      <c r="B148" s="386">
        <v>1507.59</v>
      </c>
      <c r="C148" s="447">
        <v>68074.5</v>
      </c>
      <c r="D148" s="1382"/>
      <c r="E148" s="412"/>
      <c r="F148" s="414">
        <v>1234.1800539999999</v>
      </c>
    </row>
    <row r="149" spans="1:6">
      <c r="A149" s="53">
        <f t="shared" si="4"/>
        <v>2005.08</v>
      </c>
      <c r="B149" s="386">
        <v>1581.65</v>
      </c>
      <c r="C149" s="447">
        <v>74533.990000000005</v>
      </c>
      <c r="D149" s="1382"/>
      <c r="E149" s="412"/>
      <c r="F149" s="414">
        <v>1220.329956</v>
      </c>
    </row>
    <row r="150" spans="1:6">
      <c r="A150" s="53">
        <f t="shared" si="4"/>
        <v>2005.09</v>
      </c>
      <c r="B150" s="386">
        <v>1694.83</v>
      </c>
      <c r="C150" s="447">
        <v>69808.740000000005</v>
      </c>
      <c r="D150" s="1382"/>
      <c r="E150" s="412"/>
      <c r="F150" s="414">
        <v>1228.8100589999999</v>
      </c>
    </row>
    <row r="151" spans="1:6">
      <c r="A151" s="53">
        <f t="shared" si="4"/>
        <v>2005.1</v>
      </c>
      <c r="B151" s="386">
        <v>1608.86</v>
      </c>
      <c r="C151" s="447">
        <v>68199.89</v>
      </c>
      <c r="D151" s="1382"/>
      <c r="E151" s="412"/>
      <c r="F151" s="414">
        <v>1207.01001</v>
      </c>
    </row>
    <row r="152" spans="1:6">
      <c r="A152" s="53">
        <f t="shared" si="4"/>
        <v>2005.11</v>
      </c>
      <c r="B152" s="386">
        <v>1554.67</v>
      </c>
      <c r="C152" s="447">
        <v>68822.649999999994</v>
      </c>
      <c r="D152" s="1382"/>
      <c r="E152" s="412"/>
      <c r="F152" s="414">
        <v>1249.4799800000001</v>
      </c>
    </row>
    <row r="153" spans="1:6">
      <c r="A153" s="53">
        <f t="shared" si="4"/>
        <v>2005.12</v>
      </c>
      <c r="B153" s="386">
        <v>1543.31</v>
      </c>
      <c r="C153" s="447">
        <v>81085.710000000006</v>
      </c>
      <c r="D153" s="1382"/>
      <c r="E153" s="412"/>
      <c r="F153" s="414">
        <v>1248.290039</v>
      </c>
    </row>
    <row r="154" spans="1:6">
      <c r="A154" s="53">
        <f t="shared" si="4"/>
        <v>2006.01</v>
      </c>
      <c r="B154" s="386">
        <v>1793.97</v>
      </c>
      <c r="C154" s="447">
        <v>77346.14</v>
      </c>
      <c r="D154" s="1382"/>
      <c r="E154" s="412"/>
      <c r="F154" s="414">
        <v>1280.079956</v>
      </c>
    </row>
    <row r="155" spans="1:6">
      <c r="A155" s="53">
        <f t="shared" si="4"/>
        <v>2006.02</v>
      </c>
      <c r="B155" s="386">
        <v>1714.05</v>
      </c>
      <c r="C155" s="447">
        <v>81682.78</v>
      </c>
      <c r="D155" s="1382"/>
      <c r="E155" s="412"/>
      <c r="F155" s="414">
        <v>1280.660034</v>
      </c>
    </row>
    <row r="156" spans="1:6">
      <c r="A156" s="53">
        <f t="shared" si="4"/>
        <v>2006.03</v>
      </c>
      <c r="B156" s="386">
        <v>1800.58</v>
      </c>
      <c r="C156" s="447">
        <v>90025.91</v>
      </c>
      <c r="D156" s="1382"/>
      <c r="E156" s="412"/>
      <c r="F156" s="414">
        <v>1294.869995</v>
      </c>
    </row>
    <row r="157" spans="1:6">
      <c r="A157" s="53">
        <f t="shared" si="4"/>
        <v>2006.04</v>
      </c>
      <c r="B157" s="386">
        <v>1908.61</v>
      </c>
      <c r="C157" s="447">
        <v>78251.42</v>
      </c>
      <c r="D157" s="186">
        <v>4448310227</v>
      </c>
      <c r="E157" s="412"/>
      <c r="F157" s="414">
        <v>1310.6099850000001</v>
      </c>
    </row>
    <row r="158" spans="1:6">
      <c r="A158" s="53">
        <f t="shared" si="4"/>
        <v>2006.05</v>
      </c>
      <c r="B158" s="386">
        <v>1653.72</v>
      </c>
      <c r="C158" s="447">
        <v>80982.899999999994</v>
      </c>
      <c r="D158" s="339">
        <v>5607686604</v>
      </c>
      <c r="E158" s="412"/>
      <c r="F158" s="414">
        <v>1270.089966</v>
      </c>
    </row>
    <row r="159" spans="1:6">
      <c r="A159" s="53">
        <f t="shared" si="4"/>
        <v>2006.06</v>
      </c>
      <c r="B159" s="386">
        <v>1711.09</v>
      </c>
      <c r="C159" s="447">
        <v>82167.429999999993</v>
      </c>
      <c r="D159" s="391" t="e">
        <v>#N/A</v>
      </c>
      <c r="E159" s="412"/>
      <c r="F159" s="414">
        <v>1270.1999510000001</v>
      </c>
    </row>
    <row r="160" spans="1:6">
      <c r="A160" s="53">
        <f t="shared" si="4"/>
        <v>2006.07</v>
      </c>
      <c r="B160" s="386">
        <v>1701.58</v>
      </c>
      <c r="C160" s="447">
        <v>82826.48</v>
      </c>
      <c r="D160" s="339">
        <v>7834315486</v>
      </c>
      <c r="E160" s="412"/>
      <c r="F160" s="414">
        <v>1276.660034</v>
      </c>
    </row>
    <row r="161" spans="1:6">
      <c r="A161" s="53">
        <f t="shared" si="4"/>
        <v>2006.08</v>
      </c>
      <c r="B161" s="386">
        <v>1662.84</v>
      </c>
      <c r="C161" s="447">
        <v>81076.89</v>
      </c>
      <c r="D161" s="339">
        <v>7120323897.7899971</v>
      </c>
      <c r="E161" s="412"/>
      <c r="F161" s="414">
        <v>1303.8199460000001</v>
      </c>
    </row>
    <row r="162" spans="1:6">
      <c r="A162" s="53">
        <f t="shared" si="4"/>
        <v>2006.09</v>
      </c>
      <c r="B162" s="386">
        <v>1637.27</v>
      </c>
      <c r="C162" s="447">
        <v>80581.399999999994</v>
      </c>
      <c r="D162" s="339">
        <v>6455120705.9299908</v>
      </c>
      <c r="E162" s="412"/>
      <c r="F162" s="414">
        <v>1335.849976</v>
      </c>
    </row>
    <row r="163" spans="1:6">
      <c r="A163" s="53">
        <f t="shared" si="4"/>
        <v>2006.1</v>
      </c>
      <c r="B163" s="386">
        <v>1781.68</v>
      </c>
      <c r="C163" s="447">
        <v>87048.1</v>
      </c>
      <c r="D163" s="339">
        <v>7777815787.8000078</v>
      </c>
      <c r="E163" s="412"/>
      <c r="F163" s="414">
        <v>1377.9399410000001</v>
      </c>
    </row>
    <row r="164" spans="1:6">
      <c r="A164" s="53">
        <f t="shared" si="4"/>
        <v>2006.11</v>
      </c>
      <c r="B164" s="386">
        <v>1967.02</v>
      </c>
      <c r="C164" s="447">
        <v>97394.48</v>
      </c>
      <c r="D164" s="339">
        <v>7422538477.7799911</v>
      </c>
      <c r="E164" s="412"/>
      <c r="F164" s="414">
        <v>1400.630005</v>
      </c>
    </row>
    <row r="165" spans="1:6">
      <c r="A165" s="53">
        <f t="shared" si="4"/>
        <v>2006.12</v>
      </c>
      <c r="B165" s="386">
        <v>2090.46</v>
      </c>
      <c r="C165" s="447">
        <v>103164.27</v>
      </c>
      <c r="D165" s="339">
        <v>6877123750</v>
      </c>
      <c r="E165" s="412"/>
      <c r="F165" s="414">
        <v>1418.3000489999999</v>
      </c>
    </row>
    <row r="166" spans="1:6">
      <c r="A166" s="53">
        <f t="shared" si="4"/>
        <v>2007.01</v>
      </c>
      <c r="B166" s="386">
        <v>2070.64</v>
      </c>
      <c r="C166" s="447">
        <v>105258.69</v>
      </c>
      <c r="D166" s="339">
        <v>9304744942</v>
      </c>
      <c r="E166" s="412"/>
      <c r="F166" s="414">
        <v>1438.23999</v>
      </c>
    </row>
    <row r="167" spans="1:6">
      <c r="A167" s="53">
        <f t="shared" si="4"/>
        <v>2007.02</v>
      </c>
      <c r="B167" s="386">
        <v>2067.64</v>
      </c>
      <c r="C167" s="447">
        <v>103980.19</v>
      </c>
      <c r="D167" s="339">
        <v>9779327212</v>
      </c>
      <c r="E167" s="412"/>
      <c r="F167" s="414">
        <v>1406.8199460000001</v>
      </c>
    </row>
    <row r="168" spans="1:6">
      <c r="A168" s="53">
        <f t="shared" si="4"/>
        <v>2007.03</v>
      </c>
      <c r="B168" s="386">
        <v>2102.7800000000002</v>
      </c>
      <c r="C168" s="447">
        <v>106276.24</v>
      </c>
      <c r="D168" s="339">
        <v>9641737941</v>
      </c>
      <c r="E168" s="412"/>
      <c r="F168" s="414">
        <v>1420.8599850000001</v>
      </c>
    </row>
    <row r="169" spans="1:6">
      <c r="A169" s="53">
        <f t="shared" si="4"/>
        <v>2007.04</v>
      </c>
      <c r="B169" s="386">
        <v>2154.5500000000002</v>
      </c>
      <c r="C169" s="447">
        <v>109410.4</v>
      </c>
      <c r="D169" s="339">
        <v>8394848280</v>
      </c>
      <c r="E169" s="412"/>
      <c r="F169" s="414">
        <v>1482.369995</v>
      </c>
    </row>
    <row r="170" spans="1:6">
      <c r="A170" s="53">
        <f t="shared" ref="A170:A201" si="5">A158+1</f>
        <v>2007.05</v>
      </c>
      <c r="B170" s="386">
        <v>2243.0300000000002</v>
      </c>
      <c r="C170" s="447">
        <v>119447.55</v>
      </c>
      <c r="D170" s="339">
        <v>9598190072</v>
      </c>
      <c r="E170" s="412"/>
      <c r="F170" s="414">
        <v>1530.619995</v>
      </c>
    </row>
    <row r="171" spans="1:6">
      <c r="A171" s="53">
        <f t="shared" si="5"/>
        <v>2007.06</v>
      </c>
      <c r="B171" s="386">
        <v>2190.87</v>
      </c>
      <c r="C171" s="447">
        <v>117202.2</v>
      </c>
      <c r="D171" s="339">
        <v>9937986514</v>
      </c>
      <c r="E171" s="412"/>
      <c r="F171" s="414">
        <v>1503.349976</v>
      </c>
    </row>
    <row r="172" spans="1:6">
      <c r="A172" s="53">
        <f t="shared" si="5"/>
        <v>2007.07</v>
      </c>
      <c r="B172" s="386">
        <v>2180.25</v>
      </c>
      <c r="C172" s="447">
        <v>116325.22</v>
      </c>
      <c r="D172" s="339">
        <v>7834315486</v>
      </c>
      <c r="E172" s="412"/>
      <c r="F172" s="414">
        <v>1455.2700199999999</v>
      </c>
    </row>
    <row r="173" spans="1:6">
      <c r="A173" s="53">
        <f t="shared" si="5"/>
        <v>2007.08</v>
      </c>
      <c r="B173" s="386">
        <v>2062.08</v>
      </c>
      <c r="C173" s="447">
        <v>113707.87</v>
      </c>
      <c r="D173" s="339">
        <v>7670753167</v>
      </c>
      <c r="E173" s="412"/>
      <c r="F173" s="414">
        <v>1473.98999</v>
      </c>
    </row>
    <row r="174" spans="1:6">
      <c r="A174" s="53">
        <f t="shared" si="5"/>
        <v>2007.09</v>
      </c>
      <c r="B174" s="386">
        <v>2187.9699999999998</v>
      </c>
      <c r="C174" s="447">
        <v>119864.2</v>
      </c>
      <c r="D174" s="339">
        <v>6864642457.4899969</v>
      </c>
      <c r="E174" s="412"/>
      <c r="F174" s="414">
        <v>1526.75</v>
      </c>
    </row>
    <row r="175" spans="1:6">
      <c r="A175" s="53">
        <f t="shared" si="5"/>
        <v>2007.1</v>
      </c>
      <c r="B175" s="386">
        <v>2351.44</v>
      </c>
      <c r="C175" s="447">
        <v>130047.39</v>
      </c>
      <c r="D175" s="339">
        <v>7433402985</v>
      </c>
      <c r="E175" s="412"/>
      <c r="F175" s="414">
        <v>1549.380005</v>
      </c>
    </row>
    <row r="176" spans="1:6">
      <c r="A176" s="53">
        <f t="shared" si="5"/>
        <v>2007.11</v>
      </c>
      <c r="B176" s="386">
        <v>2207.16</v>
      </c>
      <c r="C176" s="447">
        <v>124636.35</v>
      </c>
      <c r="D176" s="339">
        <v>6792436097</v>
      </c>
      <c r="E176" s="412"/>
      <c r="F176" s="414">
        <v>1481.1400149999999</v>
      </c>
    </row>
    <row r="177" spans="1:6">
      <c r="A177" s="53">
        <f t="shared" si="5"/>
        <v>2007.12</v>
      </c>
      <c r="B177" s="386">
        <v>2151.73</v>
      </c>
      <c r="C177" s="447">
        <v>121652.6</v>
      </c>
      <c r="D177" s="339">
        <v>5172894050</v>
      </c>
      <c r="E177" s="412"/>
      <c r="F177" s="414">
        <v>1468.3599850000001</v>
      </c>
    </row>
    <row r="178" spans="1:6">
      <c r="A178" s="53">
        <f t="shared" si="5"/>
        <v>2008.01</v>
      </c>
      <c r="B178" s="386">
        <v>2007.27</v>
      </c>
      <c r="C178" s="447">
        <v>113425.52</v>
      </c>
      <c r="D178" s="339">
        <v>7715431887</v>
      </c>
      <c r="E178" s="412"/>
      <c r="F178" s="414">
        <v>1378.5500489999999</v>
      </c>
    </row>
    <row r="179" spans="1:6">
      <c r="A179" s="53">
        <f t="shared" si="5"/>
        <v>2008.02</v>
      </c>
      <c r="B179" s="386">
        <v>2162.1999999999998</v>
      </c>
      <c r="C179" s="447">
        <v>121179.43</v>
      </c>
      <c r="D179" s="339">
        <v>7845480875</v>
      </c>
      <c r="E179" s="412"/>
      <c r="F179" s="414">
        <v>1330.630005</v>
      </c>
    </row>
    <row r="180" spans="1:6">
      <c r="A180" s="53">
        <f t="shared" si="5"/>
        <v>2008.03</v>
      </c>
      <c r="B180" s="386">
        <v>2103.7199999999998</v>
      </c>
      <c r="C180" s="447">
        <v>118473.47</v>
      </c>
      <c r="D180" s="339">
        <v>7073416993</v>
      </c>
      <c r="E180" s="412"/>
      <c r="F180" s="414">
        <v>1322.6999510000001</v>
      </c>
    </row>
    <row r="181" spans="1:6">
      <c r="A181" s="53">
        <f t="shared" si="5"/>
        <v>2008.04</v>
      </c>
      <c r="B181" s="386">
        <v>2095.5300000000002</v>
      </c>
      <c r="C181" s="447">
        <v>118272.73</v>
      </c>
      <c r="D181" s="339">
        <v>8852719214</v>
      </c>
      <c r="E181" s="412"/>
      <c r="F181" s="414">
        <v>1385.589966</v>
      </c>
    </row>
    <row r="182" spans="1:6">
      <c r="A182" s="53">
        <f t="shared" si="5"/>
        <v>2008.05</v>
      </c>
      <c r="B182" s="386">
        <v>2205.7199999999998</v>
      </c>
      <c r="C182" s="447">
        <v>126100.07</v>
      </c>
      <c r="D182" s="339">
        <v>10557706831</v>
      </c>
      <c r="E182" s="412"/>
      <c r="F182" s="414">
        <v>1400.380005</v>
      </c>
    </row>
    <row r="183" spans="1:6">
      <c r="A183" s="53">
        <f t="shared" si="5"/>
        <v>2008.06</v>
      </c>
      <c r="B183" s="386">
        <v>2107.87</v>
      </c>
      <c r="C183" s="447">
        <v>121989.52</v>
      </c>
      <c r="D183" s="339">
        <v>12427124509</v>
      </c>
      <c r="E183" s="412"/>
      <c r="F183" s="414">
        <v>1280</v>
      </c>
    </row>
    <row r="184" spans="1:6">
      <c r="A184" s="53">
        <f t="shared" si="5"/>
        <v>2008.07</v>
      </c>
      <c r="B184" s="386">
        <v>1919.82</v>
      </c>
      <c r="C184" s="447">
        <v>107220.29</v>
      </c>
      <c r="D184" s="339">
        <v>12263630013</v>
      </c>
      <c r="E184" s="412"/>
      <c r="F184" s="414">
        <v>1267.380005</v>
      </c>
    </row>
    <row r="185" spans="1:6">
      <c r="A185" s="53">
        <f t="shared" si="5"/>
        <v>2008.08</v>
      </c>
      <c r="B185" s="386">
        <v>1777.14</v>
      </c>
      <c r="C185" s="447">
        <v>99679.69</v>
      </c>
      <c r="D185" s="339">
        <v>9636277266</v>
      </c>
      <c r="E185" s="412"/>
      <c r="F185" s="414">
        <v>1282.829956</v>
      </c>
    </row>
    <row r="186" spans="1:6">
      <c r="A186" s="53">
        <f t="shared" si="5"/>
        <v>2008.09</v>
      </c>
      <c r="B186" s="386">
        <v>1598.17</v>
      </c>
      <c r="C186" s="447">
        <v>90289.95</v>
      </c>
      <c r="D186" s="339">
        <v>8118296702</v>
      </c>
      <c r="E186" s="412"/>
      <c r="F186" s="414">
        <v>1166.3599850000001</v>
      </c>
    </row>
    <row r="187" spans="1:6">
      <c r="A187" s="53">
        <f t="shared" si="5"/>
        <v>2008.1</v>
      </c>
      <c r="B187" s="386">
        <v>1010.79</v>
      </c>
      <c r="C187" s="447">
        <v>61927.68</v>
      </c>
      <c r="D187" s="339">
        <v>6189841287</v>
      </c>
      <c r="E187" s="412"/>
      <c r="F187" s="414">
        <v>968.75</v>
      </c>
    </row>
    <row r="188" spans="1:6">
      <c r="A188" s="53">
        <f t="shared" si="5"/>
        <v>2008.11</v>
      </c>
      <c r="B188" s="386">
        <v>993.99</v>
      </c>
      <c r="C188" s="447">
        <v>59247.55</v>
      </c>
      <c r="D188" s="339">
        <v>1868033345</v>
      </c>
      <c r="E188" s="412"/>
      <c r="F188" s="414">
        <v>896.23999000000003</v>
      </c>
    </row>
    <row r="189" spans="1:6">
      <c r="A189" s="53">
        <f t="shared" si="5"/>
        <v>2008.12</v>
      </c>
      <c r="B189" s="386">
        <v>1079.6600000000001</v>
      </c>
      <c r="C189" s="447">
        <v>62180.160000000003</v>
      </c>
      <c r="D189" s="339">
        <v>1880069453</v>
      </c>
      <c r="E189" s="412"/>
      <c r="F189" s="414">
        <v>903.25</v>
      </c>
    </row>
    <row r="190" spans="1:6">
      <c r="A190" s="53">
        <f t="shared" si="5"/>
        <v>2009.01</v>
      </c>
      <c r="B190" s="386">
        <v>1077.0899999999999</v>
      </c>
      <c r="C190" s="447">
        <v>61878.720000000001</v>
      </c>
      <c r="D190" s="339">
        <v>2511874491</v>
      </c>
      <c r="E190" s="412"/>
      <c r="F190" s="414">
        <v>825.88000499999998</v>
      </c>
    </row>
    <row r="191" spans="1:6">
      <c r="A191" s="53">
        <f t="shared" si="5"/>
        <v>2009.02</v>
      </c>
      <c r="B191" s="386">
        <v>1019.29</v>
      </c>
      <c r="C191" s="447">
        <v>57471.12</v>
      </c>
      <c r="D191" s="339">
        <v>2011692382</v>
      </c>
      <c r="E191" s="412"/>
      <c r="F191" s="414">
        <v>735.09002699999996</v>
      </c>
    </row>
    <row r="192" spans="1:6">
      <c r="A192" s="53">
        <f t="shared" si="5"/>
        <v>2009.03</v>
      </c>
      <c r="B192" s="386">
        <v>1125.95</v>
      </c>
      <c r="C192" s="447">
        <v>63090.27</v>
      </c>
      <c r="D192" s="339">
        <v>2641719426</v>
      </c>
      <c r="E192" s="412"/>
      <c r="F192" s="414">
        <v>797.86999500000002</v>
      </c>
    </row>
    <row r="193" spans="1:6">
      <c r="A193" s="53">
        <f t="shared" si="5"/>
        <v>2009.04</v>
      </c>
      <c r="B193" s="386">
        <v>1275.25</v>
      </c>
      <c r="C193" s="447">
        <v>71231.570000000007</v>
      </c>
      <c r="D193" s="339">
        <v>2581872830</v>
      </c>
      <c r="E193" s="412"/>
      <c r="F193" s="414">
        <v>872.80999799999995</v>
      </c>
    </row>
    <row r="194" spans="1:6">
      <c r="A194" s="53">
        <f t="shared" si="5"/>
        <v>2009.05</v>
      </c>
      <c r="B194" s="386">
        <v>1587.21</v>
      </c>
      <c r="C194" s="447">
        <v>86250.55</v>
      </c>
      <c r="D194" s="339">
        <v>3190792840</v>
      </c>
      <c r="E194" s="412"/>
      <c r="F194" s="414">
        <v>919.14001499999995</v>
      </c>
    </row>
    <row r="195" spans="1:6">
      <c r="A195" s="53">
        <f t="shared" si="5"/>
        <v>2009.06</v>
      </c>
      <c r="B195" s="386">
        <v>1587.97</v>
      </c>
      <c r="C195" s="447">
        <v>87135.66</v>
      </c>
      <c r="D195" s="339">
        <v>4470933820</v>
      </c>
      <c r="E195" s="412"/>
      <c r="F195" s="414">
        <v>919.32000700000003</v>
      </c>
    </row>
    <row r="196" spans="1:6">
      <c r="A196" s="53">
        <f t="shared" si="5"/>
        <v>2009.07</v>
      </c>
      <c r="B196" s="386">
        <v>1719.87</v>
      </c>
      <c r="C196" s="447">
        <v>94060.81</v>
      </c>
      <c r="D196" s="339">
        <v>2524309934</v>
      </c>
      <c r="E196" s="412"/>
      <c r="F196" s="414">
        <v>987.47997999999995</v>
      </c>
    </row>
    <row r="197" spans="1:6">
      <c r="A197" s="53">
        <f t="shared" si="5"/>
        <v>2009.08</v>
      </c>
      <c r="B197" s="386">
        <v>1781.89</v>
      </c>
      <c r="C197" s="447">
        <v>96258.25</v>
      </c>
      <c r="D197" s="339">
        <v>3131287492</v>
      </c>
      <c r="E197" s="412"/>
      <c r="F197" s="414">
        <v>1020.619995</v>
      </c>
    </row>
    <row r="198" spans="1:6">
      <c r="A198" s="53">
        <f t="shared" si="5"/>
        <v>2009.09</v>
      </c>
      <c r="B198" s="386">
        <v>2075.14</v>
      </c>
      <c r="C198" s="447">
        <v>112194.17</v>
      </c>
      <c r="D198" s="339">
        <v>3678666657</v>
      </c>
      <c r="E198" s="412"/>
      <c r="F198" s="414">
        <v>1057.079956</v>
      </c>
    </row>
    <row r="199" spans="1:6">
      <c r="A199" s="53">
        <f t="shared" si="5"/>
        <v>2009.1</v>
      </c>
      <c r="B199" s="386">
        <v>2115.7600000000002</v>
      </c>
      <c r="C199" s="447">
        <v>113136.89</v>
      </c>
      <c r="D199" s="339">
        <v>4043097622</v>
      </c>
      <c r="E199" s="412"/>
      <c r="F199" s="414">
        <v>1036.1899410000001</v>
      </c>
    </row>
    <row r="200" spans="1:6">
      <c r="A200" s="53">
        <f t="shared" si="5"/>
        <v>2009.11</v>
      </c>
      <c r="B200" s="386">
        <v>2147.25</v>
      </c>
      <c r="C200" s="447">
        <v>117899.35</v>
      </c>
      <c r="D200" s="339">
        <v>3876581499</v>
      </c>
      <c r="E200" s="412"/>
      <c r="F200" s="414">
        <v>1095.630005</v>
      </c>
    </row>
    <row r="201" spans="1:6">
      <c r="A201" s="53">
        <f t="shared" si="5"/>
        <v>2009.12</v>
      </c>
      <c r="B201" s="386">
        <v>2320.73</v>
      </c>
      <c r="C201" s="447">
        <v>126569.62</v>
      </c>
      <c r="D201" s="339">
        <v>4100661746</v>
      </c>
      <c r="E201" s="412"/>
      <c r="F201" s="414">
        <v>1115.099976</v>
      </c>
    </row>
    <row r="202" spans="1:6">
      <c r="A202" s="53">
        <v>2010.01</v>
      </c>
      <c r="B202" s="386">
        <v>2298.5500000000002</v>
      </c>
      <c r="C202" s="447">
        <v>127937.15</v>
      </c>
      <c r="D202" s="339">
        <v>3441943152</v>
      </c>
      <c r="E202" s="413">
        <v>626.2600000000001</v>
      </c>
      <c r="F202" s="414">
        <v>1073.869995</v>
      </c>
    </row>
    <row r="203" spans="1:6">
      <c r="A203" s="53">
        <v>2010.02</v>
      </c>
      <c r="B203" s="386">
        <v>2221.38</v>
      </c>
      <c r="C203" s="447">
        <v>124970.09</v>
      </c>
      <c r="D203" s="339">
        <v>2882745785</v>
      </c>
      <c r="E203" s="151">
        <v>628.68000000000006</v>
      </c>
      <c r="F203" s="414">
        <v>1104.48999</v>
      </c>
    </row>
    <row r="204" spans="1:6">
      <c r="A204" s="53">
        <v>2010.03</v>
      </c>
      <c r="B204" s="386">
        <v>2373.71</v>
      </c>
      <c r="C204" s="447">
        <v>134195.35</v>
      </c>
      <c r="D204" s="339">
        <v>4541445091</v>
      </c>
      <c r="E204" s="151">
        <v>1241.21</v>
      </c>
      <c r="F204" s="414">
        <v>1169.4300539999999</v>
      </c>
    </row>
    <row r="205" spans="1:6">
      <c r="A205" s="53">
        <v>2010.04</v>
      </c>
      <c r="B205" s="386">
        <v>2396.27</v>
      </c>
      <c r="C205" s="447">
        <v>136118.24</v>
      </c>
      <c r="D205" s="339">
        <v>5132962429</v>
      </c>
      <c r="E205" s="151">
        <v>2995.625</v>
      </c>
      <c r="F205" s="414">
        <v>1186.6899410000001</v>
      </c>
    </row>
    <row r="206" spans="1:6">
      <c r="A206" s="53">
        <v>2010.05</v>
      </c>
      <c r="B206" s="386">
        <v>2203.6</v>
      </c>
      <c r="C206" s="447">
        <v>124539.47</v>
      </c>
      <c r="D206" s="339">
        <v>5568306345</v>
      </c>
      <c r="E206" s="151">
        <v>703.03</v>
      </c>
      <c r="F206" s="414">
        <v>1089.410034</v>
      </c>
    </row>
    <row r="207" spans="1:6">
      <c r="A207" s="53">
        <v>2010.06</v>
      </c>
      <c r="B207" s="386">
        <v>2185.0100000000002</v>
      </c>
      <c r="C207" s="447">
        <v>123883.53</v>
      </c>
      <c r="D207" s="339">
        <v>5545496439</v>
      </c>
      <c r="E207" s="151">
        <v>1123.18</v>
      </c>
      <c r="F207" s="414">
        <v>1030.709961</v>
      </c>
    </row>
    <row r="208" spans="1:6">
      <c r="A208" s="53">
        <v>2010.07</v>
      </c>
      <c r="B208" s="386">
        <v>2394.16</v>
      </c>
      <c r="C208" s="447">
        <v>135703.97</v>
      </c>
      <c r="D208" s="339">
        <v>4847670371</v>
      </c>
      <c r="E208" s="151">
        <v>7956.41</v>
      </c>
      <c r="F208" s="414">
        <v>1101.599976</v>
      </c>
    </row>
    <row r="209" spans="1:6">
      <c r="A209" s="53">
        <v>2010.08</v>
      </c>
      <c r="B209" s="386">
        <v>2336.89</v>
      </c>
      <c r="C209" s="447">
        <v>129923.55</v>
      </c>
      <c r="D209" s="339">
        <v>6786286039</v>
      </c>
      <c r="E209" s="151">
        <v>951.59</v>
      </c>
      <c r="F209" s="414">
        <v>1049.329956</v>
      </c>
    </row>
    <row r="210" spans="1:6">
      <c r="A210" s="53">
        <v>2010.09</v>
      </c>
      <c r="B210" s="386">
        <v>2643.42</v>
      </c>
      <c r="C210" s="447">
        <v>145193.03</v>
      </c>
      <c r="D210" s="339">
        <v>9335841746</v>
      </c>
      <c r="E210" s="151">
        <v>1145.05</v>
      </c>
      <c r="F210" s="414">
        <v>1141.1999510000001</v>
      </c>
    </row>
    <row r="211" spans="1:6">
      <c r="A211" s="53">
        <v>2010.1</v>
      </c>
      <c r="B211" s="386">
        <v>3007.41</v>
      </c>
      <c r="C211" s="447">
        <v>158855.16</v>
      </c>
      <c r="D211" s="339">
        <v>6503615497</v>
      </c>
      <c r="E211" s="151">
        <v>1711.69</v>
      </c>
      <c r="F211" s="414">
        <v>1183.26001</v>
      </c>
    </row>
    <row r="212" spans="1:6">
      <c r="A212" s="53">
        <v>2010.11</v>
      </c>
      <c r="B212" s="386">
        <v>3261.49</v>
      </c>
      <c r="C212" s="447">
        <v>169624.83</v>
      </c>
      <c r="D212" s="339">
        <v>6302939767</v>
      </c>
      <c r="E212" s="151">
        <v>2986.2400000000002</v>
      </c>
      <c r="F212" s="414">
        <v>1180.5500489999999</v>
      </c>
    </row>
    <row r="213" spans="1:6">
      <c r="A213" s="53">
        <v>2010.12</v>
      </c>
      <c r="B213" s="386">
        <v>3523.59</v>
      </c>
      <c r="C213" s="447">
        <v>188392.43</v>
      </c>
      <c r="D213" s="339">
        <v>5092585790</v>
      </c>
      <c r="E213" s="151">
        <v>3656.1239999999998</v>
      </c>
      <c r="F213" s="414">
        <v>1257.6400149999999</v>
      </c>
    </row>
    <row r="214" spans="1:6">
      <c r="A214" s="53">
        <v>2011.01</v>
      </c>
      <c r="B214" s="386">
        <v>3593.13</v>
      </c>
      <c r="C214" s="447">
        <v>195789.81</v>
      </c>
      <c r="D214" s="339">
        <v>6173796319</v>
      </c>
      <c r="E214" s="151">
        <v>1602.81</v>
      </c>
      <c r="F214" s="414">
        <v>1286.119995</v>
      </c>
    </row>
    <row r="215" spans="1:6">
      <c r="A215" s="53">
        <v>2011.02</v>
      </c>
      <c r="B215" s="386">
        <v>3455.65</v>
      </c>
      <c r="C215" s="447">
        <v>188118.06</v>
      </c>
      <c r="D215" s="339">
        <v>6373755956</v>
      </c>
      <c r="E215" s="151">
        <v>1662.77</v>
      </c>
      <c r="F215" s="414">
        <v>1327.219971</v>
      </c>
    </row>
    <row r="216" spans="1:6">
      <c r="A216" s="53">
        <v>2011.03</v>
      </c>
      <c r="B216" s="386">
        <v>3388.03</v>
      </c>
      <c r="C216" s="447">
        <v>189288.65</v>
      </c>
      <c r="D216" s="339">
        <v>7893939293</v>
      </c>
      <c r="E216" s="151">
        <v>2440.7500000000005</v>
      </c>
      <c r="F216" s="414">
        <v>1325.829956</v>
      </c>
    </row>
    <row r="217" spans="1:6">
      <c r="A217" s="53">
        <v>2011.04</v>
      </c>
      <c r="B217" s="386">
        <v>3406.02</v>
      </c>
      <c r="C217" s="447">
        <v>188451.94</v>
      </c>
      <c r="D217" s="339">
        <v>6878859619</v>
      </c>
      <c r="E217" s="151">
        <v>6888.24</v>
      </c>
      <c r="F217" s="414">
        <v>1363.6099850000001</v>
      </c>
    </row>
    <row r="218" spans="1:6">
      <c r="A218" s="53">
        <v>2011.05</v>
      </c>
      <c r="B218" s="386">
        <v>3250.91</v>
      </c>
      <c r="C218" s="447">
        <v>182577.26</v>
      </c>
      <c r="D218" s="339">
        <v>7887463346</v>
      </c>
      <c r="E218" s="151">
        <v>3448.63</v>
      </c>
      <c r="F218" s="414">
        <v>1345.1999510000001</v>
      </c>
    </row>
    <row r="219" spans="1:6">
      <c r="A219" s="53">
        <v>2011.06</v>
      </c>
      <c r="B219" s="386">
        <v>3360.64</v>
      </c>
      <c r="C219" s="447">
        <v>184950.8</v>
      </c>
      <c r="D219" s="339">
        <v>7445840901</v>
      </c>
      <c r="E219" s="151">
        <v>1785.23</v>
      </c>
      <c r="F219" s="414">
        <v>1320.6400149999999</v>
      </c>
    </row>
    <row r="220" spans="1:6">
      <c r="A220" s="53">
        <v>2011.07</v>
      </c>
      <c r="B220" s="386">
        <v>3321.85</v>
      </c>
      <c r="C220" s="447">
        <v>181305.87</v>
      </c>
      <c r="D220" s="339">
        <v>5794697542</v>
      </c>
      <c r="E220" s="151">
        <v>1328.71</v>
      </c>
      <c r="F220" s="414">
        <v>1292.280029</v>
      </c>
    </row>
    <row r="221" spans="1:6">
      <c r="A221" s="53">
        <v>2011.08</v>
      </c>
      <c r="B221" s="386">
        <v>2964.79</v>
      </c>
      <c r="C221" s="447">
        <v>163306.42000000001</v>
      </c>
      <c r="D221" s="339">
        <v>7436364775</v>
      </c>
      <c r="E221" s="151">
        <v>2411.1700000000005</v>
      </c>
      <c r="F221" s="414">
        <v>1218.8900149999999</v>
      </c>
    </row>
    <row r="222" spans="1:6">
      <c r="A222" s="53">
        <v>2011.09</v>
      </c>
      <c r="B222" s="386">
        <v>2455.79</v>
      </c>
      <c r="C222" s="447">
        <v>136684.85</v>
      </c>
      <c r="D222" s="339">
        <v>7106940583</v>
      </c>
      <c r="E222" s="151">
        <v>2555.1099999999997</v>
      </c>
      <c r="F222" s="414">
        <v>1131.420044</v>
      </c>
    </row>
    <row r="223" spans="1:6">
      <c r="A223" s="53">
        <v>2011.1</v>
      </c>
      <c r="B223" s="386">
        <v>2905.54</v>
      </c>
      <c r="C223" s="447">
        <v>161858.43</v>
      </c>
      <c r="D223" s="339">
        <v>7455044551</v>
      </c>
      <c r="E223" s="151">
        <v>1301.75</v>
      </c>
      <c r="F223" s="414">
        <v>1253.3000489999999</v>
      </c>
    </row>
    <row r="224" spans="1:6">
      <c r="A224" s="53">
        <v>2011.11</v>
      </c>
      <c r="B224" s="386">
        <v>2562.85</v>
      </c>
      <c r="C224" s="447">
        <v>146893.34</v>
      </c>
      <c r="D224" s="339">
        <v>5847183657</v>
      </c>
      <c r="E224" s="151">
        <v>1496.81</v>
      </c>
      <c r="F224" s="414">
        <v>1246.959961</v>
      </c>
    </row>
    <row r="225" spans="1:6">
      <c r="A225" s="53">
        <v>2011.12</v>
      </c>
      <c r="B225" s="386">
        <v>2462.63</v>
      </c>
      <c r="C225" s="447">
        <v>144517.98000000001</v>
      </c>
      <c r="D225" s="339">
        <v>4554483036</v>
      </c>
      <c r="E225" s="151">
        <v>2770.83</v>
      </c>
      <c r="F225" s="414">
        <v>1257.599976</v>
      </c>
    </row>
    <row r="226" spans="1:6">
      <c r="A226" s="53">
        <v>2012.01</v>
      </c>
      <c r="B226" s="386">
        <v>2787.17</v>
      </c>
      <c r="C226" s="447">
        <v>158345.12</v>
      </c>
      <c r="D226" s="339">
        <v>6848557944</v>
      </c>
      <c r="E226" s="151">
        <v>1738.7599999999998</v>
      </c>
      <c r="F226" s="414">
        <v>1312.410034</v>
      </c>
    </row>
    <row r="227" spans="1:6">
      <c r="A227" s="53">
        <v>2012.02</v>
      </c>
      <c r="B227" s="386">
        <v>2648.22</v>
      </c>
      <c r="C227" s="447">
        <v>154269.5</v>
      </c>
      <c r="D227" s="339">
        <v>5747533216</v>
      </c>
      <c r="E227" s="151">
        <v>1736.8</v>
      </c>
      <c r="F227" s="414">
        <v>1365.6800539999999</v>
      </c>
    </row>
    <row r="228" spans="1:6">
      <c r="A228" s="53">
        <v>2012.03</v>
      </c>
      <c r="B228" s="386">
        <v>2683.99</v>
      </c>
      <c r="C228" s="447">
        <v>155480.5</v>
      </c>
      <c r="D228" s="339">
        <v>8672096600</v>
      </c>
      <c r="E228" s="151">
        <v>1604.07</v>
      </c>
      <c r="F228" s="414">
        <v>1408.469971</v>
      </c>
    </row>
    <row r="229" spans="1:6">
      <c r="A229" s="53">
        <v>2012.04</v>
      </c>
      <c r="B229" s="386">
        <v>2271.86</v>
      </c>
      <c r="C229" s="447">
        <v>137210.78</v>
      </c>
      <c r="D229" s="339">
        <v>6583165801</v>
      </c>
      <c r="E229" s="151">
        <v>2086.6999999999998</v>
      </c>
      <c r="F229" s="414">
        <v>1397.910034</v>
      </c>
    </row>
    <row r="230" spans="1:6">
      <c r="A230" s="53">
        <v>2012.05</v>
      </c>
      <c r="B230" s="386">
        <v>2256.7399999999998</v>
      </c>
      <c r="C230" s="447">
        <v>138333.01999999999</v>
      </c>
      <c r="D230" s="339">
        <v>9041923287</v>
      </c>
      <c r="E230" s="151">
        <v>4538.57</v>
      </c>
      <c r="F230" s="414">
        <v>1310.329956</v>
      </c>
    </row>
    <row r="231" spans="1:6">
      <c r="A231" s="53">
        <v>2012.06</v>
      </c>
      <c r="B231" s="386">
        <v>2346.6799999999998</v>
      </c>
      <c r="C231" s="447">
        <v>143818.98000000001</v>
      </c>
      <c r="D231" s="339">
        <v>6630258276</v>
      </c>
      <c r="E231" s="151">
        <v>1422.03</v>
      </c>
      <c r="F231" s="414">
        <v>1362.160034</v>
      </c>
    </row>
    <row r="232" spans="1:6">
      <c r="A232" s="53">
        <v>2012.07</v>
      </c>
      <c r="B232" s="386">
        <v>2400.31</v>
      </c>
      <c r="C232" s="447">
        <v>150111.22</v>
      </c>
      <c r="D232" s="339">
        <v>5490674052</v>
      </c>
      <c r="E232" s="151">
        <v>1965.23</v>
      </c>
      <c r="F232" s="414">
        <v>1379.3199460000001</v>
      </c>
    </row>
    <row r="233" spans="1:6">
      <c r="A233" s="53">
        <v>2012.08</v>
      </c>
      <c r="B233" s="386">
        <v>2408.38</v>
      </c>
      <c r="C233" s="447">
        <v>147725.91</v>
      </c>
      <c r="D233" s="339">
        <v>6826432694</v>
      </c>
      <c r="E233" s="151">
        <v>3577.35</v>
      </c>
      <c r="F233" s="414">
        <v>1406.579956</v>
      </c>
    </row>
    <row r="234" spans="1:6">
      <c r="A234" s="53">
        <v>2012.09</v>
      </c>
      <c r="B234" s="386">
        <v>2451.73</v>
      </c>
      <c r="C234" s="447">
        <v>146370.88</v>
      </c>
      <c r="D234" s="339">
        <v>6332127455</v>
      </c>
      <c r="E234" s="151">
        <v>3994.58</v>
      </c>
      <c r="F234" s="414">
        <v>1440.670044</v>
      </c>
    </row>
    <row r="235" spans="1:6">
      <c r="A235" s="53">
        <v>2012.1</v>
      </c>
      <c r="B235" s="386">
        <v>2323.39</v>
      </c>
      <c r="C235" s="447">
        <v>142466.76999999999</v>
      </c>
      <c r="D235" s="339">
        <v>7510764388</v>
      </c>
      <c r="E235" s="151">
        <v>3949.1600000000003</v>
      </c>
      <c r="F235" s="414">
        <v>1412.160034</v>
      </c>
    </row>
    <row r="236" spans="1:6">
      <c r="A236" s="53">
        <v>2012.11</v>
      </c>
      <c r="B236" s="386">
        <v>2419.3000000000002</v>
      </c>
      <c r="C236" s="447">
        <v>146115.35999999999</v>
      </c>
      <c r="D236" s="339">
        <v>8283449903</v>
      </c>
      <c r="E236" s="151">
        <v>5414.3400000000011</v>
      </c>
      <c r="F236" s="414">
        <v>1416.1800539999999</v>
      </c>
    </row>
    <row r="237" spans="1:6">
      <c r="A237" s="53">
        <v>2012.12</v>
      </c>
      <c r="B237" s="386">
        <v>2854.29</v>
      </c>
      <c r="C237" s="447">
        <v>164018.92000000001</v>
      </c>
      <c r="D237" s="339">
        <v>6345507847</v>
      </c>
      <c r="E237" s="151">
        <v>6486.0999999999995</v>
      </c>
      <c r="F237" s="414">
        <v>1426.1899410000001</v>
      </c>
    </row>
    <row r="238" spans="1:6">
      <c r="A238" s="53">
        <v>2013.01</v>
      </c>
      <c r="B238" s="386">
        <v>3462.42</v>
      </c>
      <c r="C238" s="447">
        <v>197267.71</v>
      </c>
      <c r="D238" s="339">
        <v>9022747678</v>
      </c>
      <c r="E238" s="151">
        <v>2855.32</v>
      </c>
      <c r="F238" s="414">
        <v>1498.1099850000001</v>
      </c>
    </row>
    <row r="239" spans="1:6">
      <c r="A239" s="53">
        <v>2013.02</v>
      </c>
      <c r="B239" s="386">
        <v>3048.55</v>
      </c>
      <c r="C239" s="447">
        <v>182443.01</v>
      </c>
      <c r="D239" s="339">
        <v>8130812129</v>
      </c>
      <c r="E239" s="151">
        <v>3432.3999999999996</v>
      </c>
      <c r="F239" s="414">
        <v>1514.6800539999999</v>
      </c>
    </row>
    <row r="240" spans="1:6">
      <c r="A240" s="53">
        <v>2013.03</v>
      </c>
      <c r="B240" s="386">
        <v>3380.78</v>
      </c>
      <c r="C240" s="447">
        <v>198283.31</v>
      </c>
      <c r="D240" s="339">
        <v>9624465499</v>
      </c>
      <c r="E240" s="151">
        <v>4032.7000000000003</v>
      </c>
      <c r="F240" s="414">
        <v>1569.1899410000001</v>
      </c>
    </row>
    <row r="241" spans="1:6">
      <c r="A241" s="53">
        <v>2013.04</v>
      </c>
      <c r="B241" s="386">
        <v>3845.94</v>
      </c>
      <c r="C241" s="447">
        <v>228743.2</v>
      </c>
      <c r="D241" s="339">
        <v>11427898592</v>
      </c>
      <c r="E241" s="151">
        <v>6302.34</v>
      </c>
      <c r="F241" s="414">
        <v>1597.5699460000001</v>
      </c>
    </row>
    <row r="242" spans="1:6">
      <c r="A242" s="53">
        <v>2013.05</v>
      </c>
      <c r="B242" s="386">
        <v>3489.43</v>
      </c>
      <c r="C242" s="447">
        <v>203767.38</v>
      </c>
      <c r="D242" s="339">
        <v>10847835096</v>
      </c>
      <c r="E242" s="151">
        <v>4267.53</v>
      </c>
      <c r="F242" s="414">
        <v>1630.73999</v>
      </c>
    </row>
    <row r="243" spans="1:6">
      <c r="A243" s="53">
        <v>2013.06</v>
      </c>
      <c r="B243" s="386">
        <v>2976.27</v>
      </c>
      <c r="C243" s="447">
        <v>175050.69</v>
      </c>
      <c r="D243" s="339">
        <v>8268213862</v>
      </c>
      <c r="E243" s="151">
        <v>3936.94</v>
      </c>
      <c r="F243" s="414">
        <v>1606.280029</v>
      </c>
    </row>
    <row r="244" spans="1:6">
      <c r="A244" s="53">
        <v>2013.07</v>
      </c>
      <c r="B244" s="386">
        <v>3357.86</v>
      </c>
      <c r="C244" s="447">
        <v>194992.06</v>
      </c>
      <c r="D244" s="339">
        <v>9358474750</v>
      </c>
      <c r="E244" s="151">
        <v>5148.13</v>
      </c>
      <c r="F244" s="414">
        <v>1685.7299800000001</v>
      </c>
    </row>
    <row r="245" spans="1:6">
      <c r="A245" s="53">
        <v>2013.08</v>
      </c>
      <c r="B245" s="386">
        <v>3935.89</v>
      </c>
      <c r="C245" s="447">
        <v>226987.15</v>
      </c>
      <c r="D245" s="339">
        <v>10303749644</v>
      </c>
      <c r="E245" s="151">
        <v>4040.22</v>
      </c>
      <c r="F245" s="414">
        <v>1632.969971</v>
      </c>
    </row>
    <row r="246" spans="1:6">
      <c r="A246" s="53">
        <v>2013.09</v>
      </c>
      <c r="B246" s="386">
        <v>4783.7700000000004</v>
      </c>
      <c r="C246" s="447">
        <v>258046.22</v>
      </c>
      <c r="D246" s="339">
        <v>10653032933</v>
      </c>
      <c r="E246" s="151">
        <v>3476.69</v>
      </c>
      <c r="F246" s="414">
        <v>1681.5500489999999</v>
      </c>
    </row>
    <row r="247" spans="1:6">
      <c r="A247" s="53">
        <v>2013.1</v>
      </c>
      <c r="B247" s="386">
        <v>5165.09</v>
      </c>
      <c r="C247" s="447">
        <v>281415.01</v>
      </c>
      <c r="D247" s="339">
        <v>10909778053</v>
      </c>
      <c r="E247" s="151">
        <v>19338.12</v>
      </c>
      <c r="F247" s="414">
        <v>1756.540039</v>
      </c>
    </row>
    <row r="248" spans="1:6">
      <c r="A248" s="53">
        <v>2013.11</v>
      </c>
      <c r="B248" s="386">
        <v>5718.68</v>
      </c>
      <c r="C248" s="447">
        <v>287678.84000000003</v>
      </c>
      <c r="D248" s="339">
        <v>7221889683</v>
      </c>
      <c r="E248" s="151">
        <v>5882.61</v>
      </c>
      <c r="F248" s="414">
        <v>1805.8100589999999</v>
      </c>
    </row>
    <row r="249" spans="1:6">
      <c r="A249" s="53">
        <v>2013.12</v>
      </c>
      <c r="B249" s="386">
        <v>5391.03</v>
      </c>
      <c r="C249" s="447">
        <v>265324.57</v>
      </c>
      <c r="D249" s="339">
        <v>6390639376</v>
      </c>
      <c r="E249" s="151">
        <v>7405.7300000000005</v>
      </c>
      <c r="F249" s="414">
        <v>1848.3599850000001</v>
      </c>
    </row>
    <row r="250" spans="1:6">
      <c r="A250" s="53">
        <v>2014.01</v>
      </c>
      <c r="B250" s="386">
        <v>6018.65</v>
      </c>
      <c r="C250" s="447">
        <v>309833.96000000002</v>
      </c>
      <c r="D250" s="339">
        <v>8695340313</v>
      </c>
      <c r="E250" s="151">
        <v>2894.37</v>
      </c>
      <c r="F250" s="414">
        <v>1782.589966</v>
      </c>
    </row>
    <row r="251" spans="1:6">
      <c r="A251" s="53">
        <v>2014.02</v>
      </c>
      <c r="B251" s="386">
        <v>5784.39</v>
      </c>
      <c r="C251" s="447">
        <v>285091.11</v>
      </c>
      <c r="D251" s="339">
        <v>8158982315</v>
      </c>
      <c r="E251" s="151">
        <v>4995.0600000000004</v>
      </c>
      <c r="F251" s="414">
        <v>1859.4499510000001</v>
      </c>
    </row>
    <row r="252" spans="1:6">
      <c r="A252" s="53">
        <v>2014.03</v>
      </c>
      <c r="B252" s="386">
        <v>6373.82</v>
      </c>
      <c r="C252" s="447">
        <v>304237.58</v>
      </c>
      <c r="D252" s="339">
        <v>8069433871</v>
      </c>
      <c r="E252" s="151">
        <v>3769.2599999999998</v>
      </c>
      <c r="F252" s="414">
        <v>1872.339966</v>
      </c>
    </row>
    <row r="253" spans="1:6">
      <c r="A253" s="53">
        <v>2014.04</v>
      </c>
      <c r="B253" s="386">
        <v>6782.01</v>
      </c>
      <c r="C253" s="447">
        <v>327213.74</v>
      </c>
      <c r="D253" s="339">
        <v>10284783986</v>
      </c>
      <c r="E253" s="151">
        <v>11610.06</v>
      </c>
      <c r="F253" s="414">
        <v>1883.9499510000001</v>
      </c>
    </row>
    <row r="254" spans="1:6">
      <c r="A254" s="53">
        <v>2014.05</v>
      </c>
      <c r="B254" s="386">
        <v>7712.23</v>
      </c>
      <c r="C254" s="447">
        <v>373628.03</v>
      </c>
      <c r="D254" s="339">
        <v>11579152584</v>
      </c>
      <c r="E254" s="151">
        <v>3417.1000000000004</v>
      </c>
      <c r="F254" s="414">
        <v>1923.5699460000001</v>
      </c>
    </row>
    <row r="255" spans="1:6">
      <c r="A255" s="53">
        <v>2014.06</v>
      </c>
      <c r="B255" s="386">
        <v>7887.33</v>
      </c>
      <c r="C255" s="447">
        <v>376028.88</v>
      </c>
      <c r="D255" s="339">
        <v>10209468288</v>
      </c>
      <c r="E255" s="151">
        <v>6124.47</v>
      </c>
      <c r="F255" s="414">
        <v>1960.2299800000001</v>
      </c>
    </row>
    <row r="256" spans="1:6">
      <c r="A256" s="53">
        <v>2014.07</v>
      </c>
      <c r="B256" s="386">
        <v>8187.99</v>
      </c>
      <c r="C256" s="447">
        <v>379664.48</v>
      </c>
      <c r="D256" s="339">
        <v>12579014820</v>
      </c>
      <c r="E256" s="151">
        <v>4822.1499999999996</v>
      </c>
      <c r="F256" s="414">
        <v>1930.670044</v>
      </c>
    </row>
    <row r="257" spans="1:6">
      <c r="A257" s="53">
        <v>2014.08</v>
      </c>
      <c r="B257" s="386">
        <v>9817.2999999999993</v>
      </c>
      <c r="C257" s="447">
        <v>454971.48</v>
      </c>
      <c r="D257" s="339">
        <v>9711719601.5600014</v>
      </c>
      <c r="E257" s="151">
        <v>4191.84</v>
      </c>
      <c r="F257" s="414">
        <v>2003.369995</v>
      </c>
    </row>
    <row r="258" spans="1:6">
      <c r="A258" s="53">
        <v>2014.09</v>
      </c>
      <c r="B258" s="386">
        <v>12548.99</v>
      </c>
      <c r="C258" s="447">
        <v>583490.12</v>
      </c>
      <c r="D258" s="339">
        <v>14158959593</v>
      </c>
      <c r="E258" s="151">
        <v>7290.81</v>
      </c>
      <c r="F258" s="414">
        <v>1972.290039</v>
      </c>
    </row>
    <row r="259" spans="1:6">
      <c r="A259" s="53">
        <v>2014.1</v>
      </c>
      <c r="B259" s="386">
        <v>11019.43</v>
      </c>
      <c r="C259" s="447">
        <v>514136.02</v>
      </c>
      <c r="D259" s="339">
        <v>10516706864</v>
      </c>
      <c r="E259" s="151">
        <v>5914.39</v>
      </c>
      <c r="F259" s="414">
        <v>2018.0500489999999</v>
      </c>
    </row>
    <row r="260" spans="1:6">
      <c r="A260" s="53">
        <v>2014.11</v>
      </c>
      <c r="B260" s="386">
        <v>9808.6</v>
      </c>
      <c r="C260" s="447">
        <v>451231.72</v>
      </c>
      <c r="D260" s="339">
        <v>9945503299</v>
      </c>
      <c r="E260" s="151">
        <v>4633.6500000000005</v>
      </c>
      <c r="F260" s="414">
        <v>2067.5600589999999</v>
      </c>
    </row>
    <row r="261" spans="1:6">
      <c r="A261" s="53">
        <v>2014.12</v>
      </c>
      <c r="B261" s="626">
        <v>8579.02</v>
      </c>
      <c r="C261" s="447">
        <v>414609.45</v>
      </c>
      <c r="D261" s="339">
        <v>10747107897</v>
      </c>
      <c r="E261" s="151">
        <v>17887.07</v>
      </c>
      <c r="F261" s="1383">
        <v>2058.8999020000001</v>
      </c>
    </row>
    <row r="262" spans="1:6">
      <c r="A262" s="53">
        <v>2015.01</v>
      </c>
      <c r="B262" s="386">
        <v>8490.4599999999991</v>
      </c>
      <c r="C262" s="1384">
        <v>406573.91</v>
      </c>
      <c r="D262" s="339">
        <v>10329917711</v>
      </c>
      <c r="E262" s="629">
        <v>2434.52</v>
      </c>
      <c r="F262" s="414">
        <v>1994.98999</v>
      </c>
    </row>
    <row r="263" spans="1:6">
      <c r="A263" s="53">
        <v>2015.02</v>
      </c>
      <c r="B263" s="386">
        <v>9601.61</v>
      </c>
      <c r="C263" s="447">
        <v>450984.34</v>
      </c>
      <c r="D263" s="339">
        <v>9780548788</v>
      </c>
      <c r="E263" s="151">
        <v>8962</v>
      </c>
      <c r="F263" s="414">
        <v>2104.5</v>
      </c>
    </row>
    <row r="264" spans="1:6">
      <c r="A264" s="53">
        <v>2015.03</v>
      </c>
      <c r="B264" s="386">
        <v>10837.23</v>
      </c>
      <c r="C264" s="447">
        <v>488584.7</v>
      </c>
      <c r="D264" s="339">
        <v>9313706952</v>
      </c>
      <c r="E264" s="151">
        <v>4383</v>
      </c>
      <c r="F264" s="414">
        <v>2067.889893</v>
      </c>
    </row>
    <row r="265" spans="1:6">
      <c r="A265" s="53">
        <v>2015.04</v>
      </c>
      <c r="B265" s="386">
        <v>12050.19</v>
      </c>
      <c r="C265" s="447">
        <v>516772.45</v>
      </c>
      <c r="D265" s="339">
        <v>10799130640</v>
      </c>
      <c r="E265" s="151">
        <v>18429</v>
      </c>
      <c r="F265" s="414">
        <v>2085.51001</v>
      </c>
    </row>
    <row r="266" spans="1:6">
      <c r="A266" s="53">
        <v>2015.05</v>
      </c>
      <c r="B266" s="386">
        <v>10800.86</v>
      </c>
      <c r="C266" s="447">
        <v>469119.9</v>
      </c>
      <c r="D266" s="339">
        <v>9343739822</v>
      </c>
      <c r="E266" s="151">
        <v>4572</v>
      </c>
      <c r="F266" s="414">
        <v>2107.389893</v>
      </c>
    </row>
    <row r="267" spans="1:6">
      <c r="A267" s="53">
        <v>2015.06</v>
      </c>
      <c r="B267" s="386">
        <v>11656.81</v>
      </c>
      <c r="C267" s="447">
        <v>493583.63</v>
      </c>
      <c r="D267" s="339">
        <v>13200489131</v>
      </c>
      <c r="E267" s="151">
        <v>5484</v>
      </c>
      <c r="F267" s="414">
        <v>2063.110107</v>
      </c>
    </row>
    <row r="268" spans="1:6">
      <c r="A268" s="53">
        <v>2015.07</v>
      </c>
      <c r="B268" s="386">
        <v>11101.02</v>
      </c>
      <c r="C268" s="447">
        <v>454640.48</v>
      </c>
      <c r="D268" s="339">
        <v>10730535946</v>
      </c>
      <c r="E268" s="151">
        <v>7957</v>
      </c>
      <c r="F268" s="414">
        <v>2103.8400879999999</v>
      </c>
    </row>
    <row r="269" spans="1:6">
      <c r="A269" s="53">
        <v>2015.08</v>
      </c>
      <c r="B269" s="386">
        <v>11032.87</v>
      </c>
      <c r="C269" s="447">
        <v>452975.62</v>
      </c>
      <c r="D269" s="339">
        <v>11594325899</v>
      </c>
      <c r="E269" s="151">
        <v>4751</v>
      </c>
      <c r="F269" s="414">
        <v>1972.1800539999999</v>
      </c>
    </row>
    <row r="270" spans="1:6">
      <c r="A270" s="53">
        <v>2015.09</v>
      </c>
      <c r="B270" s="386">
        <v>9814.6200000000008</v>
      </c>
      <c r="C270" s="447">
        <v>393960.66</v>
      </c>
      <c r="D270" s="339">
        <v>14696115167</v>
      </c>
      <c r="E270" s="151">
        <v>9377</v>
      </c>
      <c r="F270" s="414">
        <v>1920.030029</v>
      </c>
    </row>
    <row r="271" spans="1:6">
      <c r="A271" s="53">
        <v>2015.1</v>
      </c>
      <c r="B271" s="386">
        <v>12461.25</v>
      </c>
      <c r="C271" s="447">
        <v>497760.73</v>
      </c>
      <c r="D271" s="339">
        <v>11804819908</v>
      </c>
      <c r="E271" s="151">
        <v>9639</v>
      </c>
      <c r="F271" s="414">
        <v>2079.360107</v>
      </c>
    </row>
    <row r="272" spans="1:6">
      <c r="A272" s="53">
        <v>2015.11</v>
      </c>
      <c r="B272" s="386">
        <v>12972.14</v>
      </c>
      <c r="C272" s="447">
        <v>530955.26</v>
      </c>
      <c r="D272" s="339">
        <v>14088143634</v>
      </c>
      <c r="E272" s="151">
        <v>15739</v>
      </c>
      <c r="F272" s="414">
        <v>2080.4099120000001</v>
      </c>
    </row>
    <row r="273" spans="1:6">
      <c r="A273" s="53">
        <v>2015.12</v>
      </c>
      <c r="B273" s="386">
        <v>11675.18</v>
      </c>
      <c r="C273" s="447">
        <v>479544.15</v>
      </c>
      <c r="D273" s="339">
        <v>10153360984</v>
      </c>
      <c r="E273" s="151">
        <v>9721</v>
      </c>
      <c r="F273" s="414">
        <v>2043.9399410000001</v>
      </c>
    </row>
    <row r="274" spans="1:6">
      <c r="A274" s="53">
        <f>A262+1</f>
        <v>2016.01</v>
      </c>
      <c r="B274" s="386">
        <v>11306.02</v>
      </c>
      <c r="C274" s="447">
        <v>462255.15</v>
      </c>
      <c r="D274" s="339">
        <v>9726707064</v>
      </c>
      <c r="E274" s="151">
        <v>5904</v>
      </c>
      <c r="F274" s="414">
        <v>1940.23999</v>
      </c>
    </row>
    <row r="275" spans="1:6">
      <c r="A275" s="53">
        <f t="shared" ref="A275:A338" si="6">A263+1</f>
        <v>2016.02</v>
      </c>
      <c r="B275" s="386">
        <v>13115.95</v>
      </c>
      <c r="C275" s="447">
        <v>546421.04</v>
      </c>
      <c r="D275" s="339">
        <v>10983728069</v>
      </c>
      <c r="E275" s="151">
        <v>5772</v>
      </c>
      <c r="F275" s="414">
        <v>1932.2299800000001</v>
      </c>
    </row>
    <row r="276" spans="1:6">
      <c r="A276" s="53">
        <f t="shared" si="6"/>
        <v>2016.03</v>
      </c>
      <c r="B276" s="386">
        <v>12992.43</v>
      </c>
      <c r="C276" s="447">
        <v>553781.85</v>
      </c>
      <c r="D276" s="339">
        <v>17867814957</v>
      </c>
      <c r="E276" s="151">
        <v>26370</v>
      </c>
      <c r="F276" s="414">
        <v>2059.73999</v>
      </c>
    </row>
    <row r="277" spans="1:6">
      <c r="A277" s="53">
        <f t="shared" si="6"/>
        <v>2016.04</v>
      </c>
      <c r="B277" s="386">
        <v>13724.07</v>
      </c>
      <c r="C277" s="447">
        <v>589289.71</v>
      </c>
      <c r="D277" s="339">
        <v>20603364052</v>
      </c>
      <c r="E277" s="151">
        <v>7544</v>
      </c>
      <c r="F277" s="414">
        <v>2065.3000489999999</v>
      </c>
    </row>
    <row r="278" spans="1:6">
      <c r="A278" s="53">
        <f t="shared" si="6"/>
        <v>2016.05</v>
      </c>
      <c r="B278" s="386">
        <v>12681.74</v>
      </c>
      <c r="C278" s="447">
        <v>546718.73</v>
      </c>
      <c r="D278" s="339">
        <v>26590773077</v>
      </c>
      <c r="E278" s="151">
        <v>13809</v>
      </c>
      <c r="F278" s="414">
        <v>2096.9499510000001</v>
      </c>
    </row>
    <row r="279" spans="1:6">
      <c r="A279" s="53">
        <f t="shared" si="6"/>
        <v>2016.06</v>
      </c>
      <c r="B279" s="386">
        <v>14683.49</v>
      </c>
      <c r="C279" s="447">
        <v>623243.06999999995</v>
      </c>
      <c r="D279" s="339">
        <v>26914300351</v>
      </c>
      <c r="E279" s="151">
        <v>31141</v>
      </c>
      <c r="F279" s="414">
        <v>2098.860107</v>
      </c>
    </row>
    <row r="280" spans="1:6">
      <c r="A280" s="53">
        <f t="shared" si="6"/>
        <v>2016.07</v>
      </c>
      <c r="B280" s="386">
        <v>15803.5</v>
      </c>
      <c r="C280" s="447">
        <v>679109.55</v>
      </c>
      <c r="D280" s="339">
        <v>21939102554</v>
      </c>
      <c r="E280" s="151">
        <v>24941</v>
      </c>
      <c r="F280" s="414">
        <v>2173.6000979999999</v>
      </c>
    </row>
    <row r="281" spans="1:6">
      <c r="A281" s="53">
        <f t="shared" si="6"/>
        <v>2016.08</v>
      </c>
      <c r="B281" s="386">
        <v>15649.47</v>
      </c>
      <c r="C281" s="447">
        <v>675045.16</v>
      </c>
      <c r="D281" s="339">
        <v>26716502804</v>
      </c>
      <c r="E281" s="151">
        <v>15635</v>
      </c>
      <c r="F281" s="414">
        <v>2170.9499510000001</v>
      </c>
    </row>
    <row r="282" spans="1:6">
      <c r="A282" s="53">
        <f t="shared" si="6"/>
        <v>2016.09</v>
      </c>
      <c r="B282" s="386">
        <v>16675.68</v>
      </c>
      <c r="C282" s="447">
        <v>733050.48</v>
      </c>
      <c r="D282" s="339">
        <v>26335298192</v>
      </c>
      <c r="E282" s="151">
        <v>16760</v>
      </c>
      <c r="F282" s="414">
        <v>2168.2700199999999</v>
      </c>
    </row>
    <row r="283" spans="1:6">
      <c r="A283" s="53">
        <f t="shared" si="6"/>
        <v>2016.1</v>
      </c>
      <c r="B283" s="386">
        <v>17610.13</v>
      </c>
      <c r="C283" s="447">
        <v>763888.28</v>
      </c>
      <c r="D283" s="339">
        <v>23350731418</v>
      </c>
      <c r="E283" s="151">
        <v>15794</v>
      </c>
      <c r="F283" s="414">
        <v>2126.1499020000001</v>
      </c>
    </row>
    <row r="284" spans="1:6">
      <c r="A284" s="53">
        <f t="shared" si="6"/>
        <v>2016.11</v>
      </c>
      <c r="B284" s="386">
        <v>17442.400000000001</v>
      </c>
      <c r="C284" s="447">
        <v>755947.62</v>
      </c>
      <c r="D284" s="339">
        <v>20967263638</v>
      </c>
      <c r="E284" s="151">
        <v>20122</v>
      </c>
      <c r="F284" s="414">
        <v>2198.8100589999999</v>
      </c>
    </row>
    <row r="285" spans="1:6">
      <c r="A285" s="53">
        <f t="shared" si="6"/>
        <v>2016.12</v>
      </c>
      <c r="B285" s="386">
        <v>16917.86</v>
      </c>
      <c r="C285" s="447">
        <v>747347.65</v>
      </c>
      <c r="D285" s="339">
        <v>21202578585</v>
      </c>
      <c r="E285" s="151">
        <v>10900</v>
      </c>
      <c r="F285" s="414">
        <v>2238.830078</v>
      </c>
    </row>
    <row r="286" spans="1:6">
      <c r="A286" s="53">
        <f t="shared" si="6"/>
        <v>2017.01</v>
      </c>
      <c r="B286" s="386">
        <v>19062.59</v>
      </c>
      <c r="C286" s="447">
        <v>827928.93</v>
      </c>
      <c r="D286" s="339">
        <v>22569475677</v>
      </c>
      <c r="E286" s="151">
        <v>34586</v>
      </c>
      <c r="F286" s="414">
        <v>2278.8701169999999</v>
      </c>
    </row>
    <row r="287" spans="1:6">
      <c r="A287" s="53">
        <f t="shared" si="6"/>
        <v>2017.02</v>
      </c>
      <c r="B287" s="386">
        <v>19117.45</v>
      </c>
      <c r="C287" s="447">
        <v>835707.88</v>
      </c>
      <c r="D287" s="339">
        <v>18997795152</v>
      </c>
      <c r="E287" s="151">
        <v>16874</v>
      </c>
      <c r="F287" s="414">
        <v>2363.639893</v>
      </c>
    </row>
    <row r="288" spans="1:6">
      <c r="A288" s="53">
        <f t="shared" si="6"/>
        <v>2017.03</v>
      </c>
      <c r="B288" s="386">
        <v>20265.32</v>
      </c>
      <c r="C288" s="447">
        <v>879071.41</v>
      </c>
      <c r="D288" s="339">
        <v>38905262693.120102</v>
      </c>
      <c r="E288" s="151">
        <v>14020</v>
      </c>
      <c r="F288" s="414">
        <v>2362.719971</v>
      </c>
    </row>
    <row r="289" spans="1:6">
      <c r="A289" s="53">
        <f t="shared" si="6"/>
        <v>2017.04</v>
      </c>
      <c r="B289" s="386">
        <v>21019.91</v>
      </c>
      <c r="C289" s="447">
        <v>909427.46</v>
      </c>
      <c r="D289" s="339">
        <v>38491321898</v>
      </c>
      <c r="E289" s="151">
        <v>13638</v>
      </c>
      <c r="F289" s="414">
        <v>2384.1999510000001</v>
      </c>
    </row>
    <row r="290" spans="1:6">
      <c r="A290" s="53">
        <f t="shared" si="6"/>
        <v>2017.05</v>
      </c>
      <c r="B290" s="386">
        <v>22348.61</v>
      </c>
      <c r="C290" s="447">
        <v>960233.41</v>
      </c>
      <c r="D290" s="339">
        <v>54480793744</v>
      </c>
      <c r="E290" s="151">
        <v>28565</v>
      </c>
      <c r="F290" s="414">
        <v>2411.8000489999999</v>
      </c>
    </row>
    <row r="291" spans="1:6">
      <c r="A291" s="53">
        <f t="shared" si="6"/>
        <v>2017.06</v>
      </c>
      <c r="B291" s="386">
        <v>21912.63</v>
      </c>
      <c r="C291" s="447">
        <v>944323.46</v>
      </c>
      <c r="D291" s="339">
        <v>43171334161</v>
      </c>
      <c r="E291" s="151">
        <v>24151</v>
      </c>
      <c r="F291" s="414">
        <v>2423.4099120000001</v>
      </c>
    </row>
    <row r="292" spans="1:6">
      <c r="A292" s="53">
        <f t="shared" si="6"/>
        <v>2017.07</v>
      </c>
      <c r="B292" s="386">
        <v>21582.400000000001</v>
      </c>
      <c r="C292" s="447">
        <v>941808.94</v>
      </c>
      <c r="D292" s="339">
        <v>51402931421</v>
      </c>
      <c r="E292" s="151">
        <v>33199</v>
      </c>
      <c r="F292" s="414">
        <v>2470.3000489999999</v>
      </c>
    </row>
    <row r="293" spans="1:6">
      <c r="A293" s="53">
        <f t="shared" si="6"/>
        <v>2017.08</v>
      </c>
      <c r="B293" s="386">
        <v>23588.98</v>
      </c>
      <c r="C293" s="447">
        <v>989359.12</v>
      </c>
      <c r="D293" s="339">
        <v>57086853432</v>
      </c>
      <c r="E293" s="151">
        <v>12071</v>
      </c>
      <c r="F293" s="414">
        <v>2471.6499020000001</v>
      </c>
    </row>
    <row r="294" spans="1:6">
      <c r="A294" s="53">
        <f t="shared" si="6"/>
        <v>2017.09</v>
      </c>
      <c r="B294" s="386">
        <v>26078.29</v>
      </c>
      <c r="C294" s="447">
        <v>1087341.74</v>
      </c>
      <c r="D294" s="339">
        <v>51078795270</v>
      </c>
      <c r="E294" s="151">
        <v>29045</v>
      </c>
      <c r="F294" s="414">
        <v>2519.360107</v>
      </c>
    </row>
    <row r="295" spans="1:6">
      <c r="A295" s="53">
        <f t="shared" si="6"/>
        <v>2017.1</v>
      </c>
      <c r="B295" s="386">
        <v>27935.279999999999</v>
      </c>
      <c r="C295" s="447">
        <v>1194786.8</v>
      </c>
      <c r="D295" s="339">
        <v>50215766009</v>
      </c>
      <c r="E295" s="151">
        <v>26475</v>
      </c>
      <c r="F295" s="414">
        <v>2575.26001</v>
      </c>
    </row>
    <row r="296" spans="1:6">
      <c r="A296" s="53">
        <f t="shared" si="6"/>
        <v>2017.11</v>
      </c>
      <c r="B296" s="386">
        <v>26905.26</v>
      </c>
      <c r="C296" s="447">
        <v>1145937.97</v>
      </c>
      <c r="D296" s="339">
        <v>43106867544</v>
      </c>
      <c r="E296" s="151">
        <v>18861</v>
      </c>
      <c r="F296" s="414">
        <v>2584.8400879999999</v>
      </c>
    </row>
    <row r="297" spans="1:6">
      <c r="A297" s="53">
        <f t="shared" si="6"/>
        <v>2017.12</v>
      </c>
      <c r="B297" s="386">
        <v>30065.61</v>
      </c>
      <c r="C297" s="447">
        <v>1307017.0900000001</v>
      </c>
      <c r="D297" s="339">
        <v>52534135849</v>
      </c>
      <c r="E297" s="151">
        <v>47107</v>
      </c>
      <c r="F297" s="414">
        <v>2673.610107</v>
      </c>
    </row>
    <row r="298" spans="1:6">
      <c r="A298" s="53">
        <f t="shared" si="6"/>
        <v>2018.01</v>
      </c>
      <c r="B298" s="386">
        <v>34938.639999999999</v>
      </c>
      <c r="C298" s="447">
        <v>1489054.63</v>
      </c>
      <c r="D298" s="339">
        <v>81709576774</v>
      </c>
      <c r="E298" s="151">
        <v>33081</v>
      </c>
      <c r="F298" s="414">
        <v>2823.8100589999999</v>
      </c>
    </row>
    <row r="299" spans="1:6">
      <c r="A299" s="53">
        <f t="shared" si="6"/>
        <v>2018.02</v>
      </c>
      <c r="B299" s="386">
        <v>33010.9</v>
      </c>
      <c r="C299" s="447">
        <v>1427163.16</v>
      </c>
      <c r="D299" s="339">
        <v>84044774914</v>
      </c>
      <c r="E299" s="151">
        <v>27009</v>
      </c>
      <c r="F299" s="414">
        <v>2713.830078</v>
      </c>
    </row>
    <row r="300" spans="1:6">
      <c r="A300" s="53">
        <f t="shared" si="6"/>
        <v>2018.03</v>
      </c>
      <c r="B300" s="386">
        <v>31114.93</v>
      </c>
      <c r="C300" s="447">
        <v>1351347.05</v>
      </c>
      <c r="D300" s="339">
        <v>102766049587</v>
      </c>
      <c r="E300" s="151">
        <v>16890</v>
      </c>
      <c r="F300" s="414">
        <v>2640.8701169999999</v>
      </c>
    </row>
    <row r="301" spans="1:6">
      <c r="A301" s="53">
        <f t="shared" si="6"/>
        <v>2018.04</v>
      </c>
      <c r="B301" s="386">
        <v>30006.35</v>
      </c>
      <c r="C301" s="447">
        <v>1327635.54</v>
      </c>
      <c r="D301" s="339">
        <v>106206239305</v>
      </c>
      <c r="E301" s="151">
        <v>37209</v>
      </c>
      <c r="F301" s="414">
        <v>2648.0500489999999</v>
      </c>
    </row>
    <row r="302" spans="1:6">
      <c r="A302" s="53">
        <f t="shared" si="6"/>
        <v>2018.05</v>
      </c>
      <c r="B302" s="386">
        <v>28558.83</v>
      </c>
      <c r="C302" s="447">
        <v>1248608.58</v>
      </c>
      <c r="D302" s="339">
        <v>91103171566</v>
      </c>
      <c r="E302" s="151">
        <v>5732</v>
      </c>
      <c r="F302" s="414">
        <v>2705.2700199999999</v>
      </c>
    </row>
    <row r="303" spans="1:6">
      <c r="A303" s="53">
        <f t="shared" si="6"/>
        <v>2018.06</v>
      </c>
      <c r="B303" s="386">
        <v>25207.31</v>
      </c>
      <c r="C303" s="447">
        <v>1157678.21</v>
      </c>
      <c r="D303" s="339">
        <v>55747254978.999992</v>
      </c>
      <c r="E303" s="151">
        <v>7053</v>
      </c>
      <c r="F303" s="414">
        <v>2718.3701169999999</v>
      </c>
    </row>
    <row r="304" spans="1:6">
      <c r="A304" s="53">
        <f t="shared" si="6"/>
        <v>2018.07</v>
      </c>
      <c r="B304" s="386">
        <v>29287.34</v>
      </c>
      <c r="C304" s="447">
        <v>1268642.31</v>
      </c>
      <c r="D304" s="339">
        <v>84233821481.459991</v>
      </c>
      <c r="E304" s="151">
        <v>6826</v>
      </c>
      <c r="F304" s="414">
        <v>2816.290039</v>
      </c>
    </row>
    <row r="305" spans="1:7">
      <c r="A305" s="53">
        <f t="shared" si="6"/>
        <v>2018.08</v>
      </c>
      <c r="B305" s="386">
        <v>29293.52</v>
      </c>
      <c r="C305" s="447">
        <v>1305554.6599999999</v>
      </c>
      <c r="D305" s="339">
        <v>97911127402</v>
      </c>
      <c r="E305" s="151">
        <v>6452</v>
      </c>
      <c r="F305" s="414">
        <v>2901.5200199999999</v>
      </c>
    </row>
    <row r="306" spans="1:7">
      <c r="A306" s="53">
        <f t="shared" si="6"/>
        <v>2018.09</v>
      </c>
      <c r="B306" s="386">
        <v>33661.760000000002</v>
      </c>
      <c r="C306" s="447">
        <v>1519366.57</v>
      </c>
      <c r="D306" s="339">
        <v>88637973571.459991</v>
      </c>
      <c r="E306" s="151">
        <v>9511</v>
      </c>
      <c r="F306" s="414">
        <v>2913.9799800000001</v>
      </c>
    </row>
    <row r="307" spans="1:7">
      <c r="A307" s="53">
        <f t="shared" si="6"/>
        <v>2018.1</v>
      </c>
      <c r="B307" s="386">
        <v>29491.11</v>
      </c>
      <c r="C307" s="447">
        <v>1335516.73</v>
      </c>
      <c r="D307" s="339">
        <v>23162811955.000004</v>
      </c>
      <c r="E307" s="151">
        <v>9008</v>
      </c>
      <c r="F307" s="414">
        <v>2711.73999</v>
      </c>
    </row>
    <row r="308" spans="1:7">
      <c r="A308" s="53">
        <f t="shared" si="6"/>
        <v>2018.11</v>
      </c>
      <c r="B308" s="386">
        <v>31482.58</v>
      </c>
      <c r="C308" s="447">
        <v>1389635.53</v>
      </c>
      <c r="D308" s="339">
        <v>17821343526</v>
      </c>
      <c r="E308" s="151">
        <v>20778</v>
      </c>
      <c r="F308" s="414">
        <v>2760.169922</v>
      </c>
      <c r="G308" s="368"/>
    </row>
    <row r="309" spans="1:7">
      <c r="A309" s="53">
        <f t="shared" si="6"/>
        <v>2018.12</v>
      </c>
      <c r="B309" s="386">
        <v>30292.58</v>
      </c>
      <c r="C309" s="447">
        <v>1307827.77</v>
      </c>
      <c r="D309" s="339">
        <v>20108270128</v>
      </c>
      <c r="E309" s="151">
        <v>13963</v>
      </c>
      <c r="F309" s="414">
        <v>2506.8500979999999</v>
      </c>
    </row>
    <row r="310" spans="1:7">
      <c r="A310" s="53">
        <f t="shared" si="6"/>
        <v>2019.01</v>
      </c>
      <c r="B310" s="386">
        <v>36326.92</v>
      </c>
      <c r="C310" s="447">
        <v>1529197.77</v>
      </c>
      <c r="D310" s="339">
        <v>31051722621.999996</v>
      </c>
      <c r="E310" s="151">
        <v>14781</v>
      </c>
      <c r="F310" s="414">
        <v>2704.1000979999999</v>
      </c>
    </row>
    <row r="311" spans="1:7">
      <c r="A311" s="53">
        <f t="shared" si="6"/>
        <v>2019.02</v>
      </c>
      <c r="B311" s="386">
        <v>34485</v>
      </c>
      <c r="C311" s="447">
        <v>1460833.26</v>
      </c>
      <c r="D311" s="1385">
        <v>22376414.127</v>
      </c>
      <c r="E311" s="151">
        <v>25100</v>
      </c>
      <c r="F311" s="414">
        <v>2784.48999</v>
      </c>
    </row>
    <row r="312" spans="1:7">
      <c r="A312" s="53">
        <f t="shared" si="6"/>
        <v>2019.03</v>
      </c>
      <c r="B312" s="386">
        <v>33466.03</v>
      </c>
      <c r="C312" s="447">
        <v>1449313.87</v>
      </c>
      <c r="D312" s="1385">
        <v>21085081.6041</v>
      </c>
      <c r="E312" s="151">
        <v>13266</v>
      </c>
      <c r="F312" s="414">
        <v>2834.3999020000001</v>
      </c>
    </row>
    <row r="313" spans="1:7">
      <c r="A313" s="53">
        <f t="shared" si="6"/>
        <v>2019.04</v>
      </c>
      <c r="B313" s="386">
        <v>29571.360000000001</v>
      </c>
      <c r="C313" s="447">
        <v>1288189.6299999999</v>
      </c>
      <c r="D313" s="1385">
        <v>25243459.10971</v>
      </c>
      <c r="E313" s="151">
        <v>19130</v>
      </c>
      <c r="F313" s="414">
        <v>2945.830078</v>
      </c>
    </row>
    <row r="314" spans="1:7">
      <c r="A314" s="53">
        <f t="shared" si="6"/>
        <v>2019.05</v>
      </c>
      <c r="B314" s="386">
        <v>33949.53</v>
      </c>
      <c r="C314" s="447">
        <v>1468508.54</v>
      </c>
      <c r="D314" s="1385">
        <v>23040916.532299999</v>
      </c>
      <c r="E314" s="151">
        <v>23663</v>
      </c>
      <c r="F314" s="414">
        <v>2752.0600589999999</v>
      </c>
    </row>
    <row r="315" spans="1:7">
      <c r="A315" s="53">
        <f t="shared" si="6"/>
        <v>2019.06</v>
      </c>
      <c r="B315" s="386">
        <v>41796.36</v>
      </c>
      <c r="C315" s="447">
        <v>1788908.96</v>
      </c>
      <c r="D315" s="1385">
        <v>24321488.678379983</v>
      </c>
      <c r="E315" s="151">
        <v>39074</v>
      </c>
      <c r="F315" s="414">
        <v>2941.76001</v>
      </c>
    </row>
    <row r="316" spans="1:7">
      <c r="A316" s="53">
        <f t="shared" si="6"/>
        <v>2019.07</v>
      </c>
      <c r="B316" s="386">
        <v>42057.77</v>
      </c>
      <c r="C316" s="447">
        <v>1815853.84</v>
      </c>
      <c r="D316" s="1385">
        <v>26942627.6281</v>
      </c>
      <c r="E316" s="151">
        <v>74792</v>
      </c>
      <c r="F316" s="414">
        <v>2980.38</v>
      </c>
    </row>
    <row r="317" spans="1:7">
      <c r="A317" s="53">
        <f t="shared" si="6"/>
        <v>2019.08</v>
      </c>
      <c r="B317" s="386">
        <v>24608.560000000001</v>
      </c>
      <c r="C317" s="447">
        <v>1061574.27</v>
      </c>
      <c r="D317" s="339">
        <v>20922648386.470001</v>
      </c>
      <c r="E317" s="151">
        <v>13343</v>
      </c>
      <c r="F317" s="414">
        <v>2926.46</v>
      </c>
    </row>
    <row r="318" spans="1:7">
      <c r="A318" s="53">
        <f t="shared" si="6"/>
        <v>2019.09</v>
      </c>
      <c r="B318" s="386">
        <v>29066.959999999999</v>
      </c>
      <c r="C318" s="447">
        <v>1240101.6299999999</v>
      </c>
      <c r="D318" s="339">
        <v>4647168477</v>
      </c>
      <c r="E318" s="151">
        <v>14154</v>
      </c>
      <c r="F318" s="414">
        <v>2976.74</v>
      </c>
    </row>
    <row r="319" spans="1:7">
      <c r="A319" s="53">
        <f t="shared" si="6"/>
        <v>2019.1</v>
      </c>
      <c r="B319" s="386">
        <v>34995.199999999997</v>
      </c>
      <c r="C319" s="447">
        <v>1495830.42</v>
      </c>
      <c r="D319" s="339">
        <v>7317030480.409996</v>
      </c>
      <c r="E319" s="151">
        <v>22312</v>
      </c>
      <c r="F319" s="414">
        <v>3037.56</v>
      </c>
    </row>
    <row r="320" spans="1:7">
      <c r="A320" s="53">
        <f t="shared" si="6"/>
        <v>2019.11</v>
      </c>
      <c r="B320" s="386">
        <v>34500.21</v>
      </c>
      <c r="C320" s="447">
        <v>1487301.06</v>
      </c>
      <c r="D320" s="339">
        <v>9362949967.7000008</v>
      </c>
      <c r="E320" s="151">
        <v>32701</v>
      </c>
      <c r="F320" s="414">
        <v>3140.98</v>
      </c>
    </row>
    <row r="321" spans="1:6">
      <c r="A321" s="53">
        <f t="shared" si="6"/>
        <v>2019.12</v>
      </c>
      <c r="B321" s="386">
        <v>41671.410000000003</v>
      </c>
      <c r="C321" s="447">
        <v>1796571.66</v>
      </c>
      <c r="D321" s="339">
        <v>6922000000</v>
      </c>
      <c r="E321" s="151">
        <v>33578</v>
      </c>
      <c r="F321" s="414">
        <v>3230.78</v>
      </c>
    </row>
    <row r="322" spans="1:6">
      <c r="A322" s="53">
        <f t="shared" si="6"/>
        <v>2020.01</v>
      </c>
      <c r="B322" s="386">
        <v>40105.040000000001</v>
      </c>
      <c r="C322" s="447">
        <v>1737155.68</v>
      </c>
      <c r="D322" s="339">
        <v>13212000000</v>
      </c>
      <c r="E322" s="151">
        <v>55554</v>
      </c>
      <c r="F322" s="414">
        <v>3225.52</v>
      </c>
    </row>
    <row r="323" spans="1:6">
      <c r="A323" s="53">
        <f t="shared" si="6"/>
        <v>2020.02</v>
      </c>
      <c r="B323" s="386">
        <v>34973.18</v>
      </c>
      <c r="C323" s="447">
        <v>1508223.68</v>
      </c>
      <c r="D323" s="339">
        <v>10223000000</v>
      </c>
      <c r="E323" s="151">
        <v>41667</v>
      </c>
      <c r="F323" s="414">
        <v>2954.22</v>
      </c>
    </row>
    <row r="324" spans="1:6">
      <c r="A324" s="53">
        <f t="shared" si="6"/>
        <v>2020.03</v>
      </c>
      <c r="B324" s="386">
        <v>24384.240000000002</v>
      </c>
      <c r="C324" s="447">
        <v>1027210.57</v>
      </c>
      <c r="D324" s="339">
        <v>9193000000</v>
      </c>
      <c r="E324" s="151">
        <v>23366</v>
      </c>
      <c r="F324" s="414">
        <v>2584.59</v>
      </c>
    </row>
    <row r="325" spans="1:6">
      <c r="A325" s="53">
        <f t="shared" si="6"/>
        <v>2020.04</v>
      </c>
      <c r="B325" s="386">
        <v>32742.84</v>
      </c>
      <c r="C325" s="447">
        <v>1383542.91</v>
      </c>
      <c r="D325" s="339">
        <v>5400000000</v>
      </c>
      <c r="E325" s="151">
        <v>19748</v>
      </c>
      <c r="F325" s="414">
        <v>2912.43</v>
      </c>
    </row>
    <row r="326" spans="1:6">
      <c r="A326" s="53">
        <f t="shared" si="6"/>
        <v>2020.05</v>
      </c>
      <c r="B326" s="386">
        <v>37824.730000000003</v>
      </c>
      <c r="C326" s="447">
        <v>1597626.43</v>
      </c>
      <c r="D326" s="339">
        <v>6182000000</v>
      </c>
      <c r="E326" s="151">
        <v>76913</v>
      </c>
      <c r="F326" s="414">
        <v>3044.51</v>
      </c>
    </row>
    <row r="327" spans="1:6">
      <c r="A327" s="53">
        <f t="shared" si="6"/>
        <v>2020.06</v>
      </c>
      <c r="B327" s="386">
        <v>38686.69</v>
      </c>
      <c r="C327" s="447">
        <v>1625542.54</v>
      </c>
      <c r="D327" s="339">
        <v>5217000000</v>
      </c>
      <c r="E327" s="151">
        <v>54452</v>
      </c>
      <c r="F327" s="414">
        <v>3100.29</v>
      </c>
    </row>
    <row r="328" spans="1:6">
      <c r="A328" s="53">
        <f t="shared" si="6"/>
        <v>2020.07</v>
      </c>
      <c r="B328" s="386">
        <v>49253.62</v>
      </c>
      <c r="C328" s="447">
        <v>2080780.4</v>
      </c>
      <c r="D328" s="339">
        <v>5482000000</v>
      </c>
      <c r="E328" s="151">
        <v>95622</v>
      </c>
      <c r="F328" s="414">
        <v>3271.12</v>
      </c>
    </row>
    <row r="329" spans="1:6">
      <c r="A329" s="53">
        <f t="shared" si="6"/>
        <v>2020.08</v>
      </c>
      <c r="B329" s="386">
        <v>46835.42</v>
      </c>
      <c r="C329" s="447">
        <v>1989114.76</v>
      </c>
      <c r="D329" s="339">
        <v>5416000000</v>
      </c>
      <c r="E329" s="151">
        <v>66695</v>
      </c>
      <c r="F329" s="414">
        <v>3500.31</v>
      </c>
    </row>
    <row r="330" spans="1:6">
      <c r="A330" s="53">
        <f t="shared" si="6"/>
        <v>2020.09</v>
      </c>
      <c r="B330" s="386">
        <v>41260.86</v>
      </c>
      <c r="C330" s="447">
        <v>1745152.28</v>
      </c>
      <c r="D330" s="339">
        <v>5779000000</v>
      </c>
      <c r="E330" s="151">
        <v>46494</v>
      </c>
      <c r="F330" s="414">
        <v>3363</v>
      </c>
    </row>
    <row r="331" spans="1:6">
      <c r="A331" s="53">
        <f t="shared" si="6"/>
        <v>2020.1</v>
      </c>
      <c r="B331" s="386">
        <v>45290.02</v>
      </c>
      <c r="C331" s="447">
        <v>1904265.4</v>
      </c>
      <c r="D331" s="339">
        <v>7532000000</v>
      </c>
      <c r="E331" s="151">
        <v>37629</v>
      </c>
      <c r="F331" s="414">
        <v>3269.96</v>
      </c>
    </row>
    <row r="332" spans="1:6">
      <c r="A332" s="53">
        <f t="shared" si="6"/>
        <v>2020.11</v>
      </c>
      <c r="B332" s="386">
        <v>54572.54</v>
      </c>
      <c r="C332" s="447">
        <v>2292446.0699999998</v>
      </c>
      <c r="D332" s="339">
        <v>7018000000</v>
      </c>
      <c r="E332" s="151">
        <v>47414</v>
      </c>
      <c r="F332" s="414">
        <v>3621.63</v>
      </c>
    </row>
    <row r="333" spans="1:6">
      <c r="A333" s="53">
        <f t="shared" si="6"/>
        <v>2020.12</v>
      </c>
      <c r="B333" s="386">
        <v>51226.49</v>
      </c>
      <c r="C333" s="447">
        <v>2156061.73</v>
      </c>
      <c r="D333" s="339">
        <v>14424000000</v>
      </c>
      <c r="E333" s="151">
        <v>53786</v>
      </c>
      <c r="F333" s="414">
        <v>3756.07</v>
      </c>
    </row>
    <row r="334" spans="1:6">
      <c r="A334" s="53">
        <f t="shared" si="6"/>
        <v>2021.01</v>
      </c>
      <c r="B334" s="386">
        <v>48257.14</v>
      </c>
      <c r="C334" s="447">
        <v>2041471.88</v>
      </c>
      <c r="D334" s="339">
        <v>6053000000</v>
      </c>
      <c r="E334" s="151">
        <v>32383</v>
      </c>
      <c r="F334" s="414">
        <v>3714.24</v>
      </c>
    </row>
    <row r="335" spans="1:6">
      <c r="A335" s="53">
        <f t="shared" si="6"/>
        <v>2021.02</v>
      </c>
      <c r="B335" s="386">
        <v>48432.17</v>
      </c>
      <c r="C335" s="447">
        <v>2046378.18</v>
      </c>
      <c r="D335" s="339">
        <v>7772000000</v>
      </c>
      <c r="E335" s="151">
        <v>242704</v>
      </c>
      <c r="F335" s="414">
        <v>3811.15</v>
      </c>
    </row>
    <row r="336" spans="1:6">
      <c r="A336" s="53">
        <f t="shared" si="6"/>
        <v>2021.03</v>
      </c>
      <c r="B336" s="386">
        <v>47982.39</v>
      </c>
      <c r="C336" s="447">
        <v>2021650.84</v>
      </c>
      <c r="D336" s="339">
        <v>8777000000</v>
      </c>
      <c r="E336" s="151">
        <v>63715</v>
      </c>
      <c r="F336" s="414">
        <v>3972.89</v>
      </c>
    </row>
    <row r="337" spans="1:6">
      <c r="A337" s="53">
        <f t="shared" si="6"/>
        <v>2021.04</v>
      </c>
      <c r="B337" s="386">
        <v>49056.1</v>
      </c>
      <c r="C337" s="447">
        <v>2073068.53</v>
      </c>
      <c r="D337" s="339">
        <v>9934000000</v>
      </c>
      <c r="E337" s="151">
        <v>78368</v>
      </c>
      <c r="F337" s="414">
        <v>4181.17</v>
      </c>
    </row>
    <row r="338" spans="1:6">
      <c r="A338" s="53">
        <f t="shared" si="6"/>
        <v>2021.05</v>
      </c>
      <c r="B338" s="386">
        <v>59268.94</v>
      </c>
      <c r="C338" s="447">
        <v>2478320.44</v>
      </c>
      <c r="D338" s="339">
        <v>7473000000</v>
      </c>
      <c r="E338" s="151">
        <v>54124</v>
      </c>
      <c r="F338" s="414">
        <v>4204.1099999999997</v>
      </c>
    </row>
    <row r="339" spans="1:6">
      <c r="A339" s="53">
        <f t="shared" ref="A339:A402" si="7">A327+1</f>
        <v>2021.06</v>
      </c>
      <c r="B339" s="386">
        <v>62371.95</v>
      </c>
      <c r="C339" s="447">
        <v>2602436.4700000002</v>
      </c>
      <c r="D339" s="339">
        <v>9135000000</v>
      </c>
      <c r="E339" s="151">
        <v>86979</v>
      </c>
      <c r="F339" s="414">
        <v>4297.5</v>
      </c>
    </row>
    <row r="340" spans="1:6">
      <c r="A340" s="53">
        <f t="shared" si="7"/>
        <v>2021.07</v>
      </c>
      <c r="B340" s="386">
        <v>66005.289999999994</v>
      </c>
      <c r="C340" s="447">
        <v>2743861.72</v>
      </c>
      <c r="D340" s="339">
        <v>9236000000</v>
      </c>
      <c r="E340" s="151">
        <v>116413</v>
      </c>
      <c r="F340" s="414">
        <v>4395.26</v>
      </c>
    </row>
    <row r="341" spans="1:6">
      <c r="A341" s="53">
        <f t="shared" si="7"/>
        <v>2021.08</v>
      </c>
      <c r="B341" s="386">
        <v>76451.679999999993</v>
      </c>
      <c r="C341" s="447">
        <v>3183795.99</v>
      </c>
      <c r="D341" s="339">
        <v>10943000000</v>
      </c>
      <c r="E341" s="151">
        <v>95347</v>
      </c>
      <c r="F341" s="414">
        <v>4522.68</v>
      </c>
    </row>
    <row r="342" spans="1:6">
      <c r="A342" s="53">
        <f t="shared" si="7"/>
        <v>2021.09</v>
      </c>
      <c r="B342" s="386">
        <v>77363.64</v>
      </c>
      <c r="C342" s="447">
        <v>3235691.85</v>
      </c>
      <c r="D342" s="339">
        <v>13523000000</v>
      </c>
      <c r="E342" s="151">
        <v>70543</v>
      </c>
      <c r="F342" s="414">
        <v>4307.54</v>
      </c>
    </row>
    <row r="343" spans="1:6">
      <c r="A343" s="53">
        <f t="shared" si="7"/>
        <v>2021.1</v>
      </c>
      <c r="B343" s="386">
        <v>83560.960000000006</v>
      </c>
      <c r="C343" s="447">
        <v>3505468.78</v>
      </c>
      <c r="D343" s="339">
        <v>12353000000</v>
      </c>
      <c r="E343" s="151">
        <v>48488</v>
      </c>
      <c r="F343" s="414">
        <v>4605.38</v>
      </c>
    </row>
    <row r="344" spans="1:6">
      <c r="A344" s="53">
        <f t="shared" si="7"/>
        <v>2021.11</v>
      </c>
      <c r="B344" s="386">
        <v>88287.43</v>
      </c>
      <c r="C344" s="447">
        <v>3315873.79</v>
      </c>
      <c r="D344" s="339">
        <v>15717000000</v>
      </c>
      <c r="E344" s="151">
        <v>66984</v>
      </c>
      <c r="F344" s="414">
        <v>4591.67</v>
      </c>
    </row>
    <row r="345" spans="1:6">
      <c r="A345" s="53">
        <f t="shared" si="7"/>
        <v>2021.12</v>
      </c>
      <c r="B345" s="386">
        <v>83500</v>
      </c>
      <c r="C345" s="447">
        <v>3486252.6</v>
      </c>
      <c r="D345" s="339">
        <v>15875000000</v>
      </c>
      <c r="E345" s="151">
        <v>86335</v>
      </c>
      <c r="F345" s="414">
        <v>4766.18</v>
      </c>
    </row>
    <row r="346" spans="1:6">
      <c r="A346" s="53">
        <f t="shared" si="7"/>
        <v>2022.01</v>
      </c>
      <c r="B346" s="386">
        <v>90907.51</v>
      </c>
      <c r="C346" s="447">
        <v>3782132.58</v>
      </c>
      <c r="D346" s="339">
        <v>17658000000</v>
      </c>
      <c r="E346" s="151">
        <v>49626</v>
      </c>
      <c r="F346" s="414">
        <v>4515.55</v>
      </c>
    </row>
    <row r="347" spans="1:6">
      <c r="A347" s="53">
        <f t="shared" si="7"/>
        <v>2022.02</v>
      </c>
      <c r="B347" s="386">
        <v>87969.87</v>
      </c>
      <c r="C347" s="447">
        <v>3689706.42</v>
      </c>
      <c r="D347" s="339">
        <v>19812000000</v>
      </c>
      <c r="E347" s="151">
        <v>93902</v>
      </c>
      <c r="F347" s="414">
        <v>4373.9399999999996</v>
      </c>
    </row>
    <row r="348" spans="1:6">
      <c r="A348" s="53">
        <f t="shared" si="7"/>
        <v>2022.03</v>
      </c>
      <c r="B348" s="386">
        <v>90959.59</v>
      </c>
      <c r="C348" s="447">
        <v>3802757.98</v>
      </c>
      <c r="D348" s="339">
        <v>26165000000</v>
      </c>
      <c r="E348" s="151">
        <v>64676</v>
      </c>
      <c r="F348" s="414">
        <v>4530.41</v>
      </c>
    </row>
    <row r="349" spans="1:6">
      <c r="A349" s="53">
        <f t="shared" si="7"/>
        <v>2022.04</v>
      </c>
      <c r="B349" s="386">
        <v>88250.97</v>
      </c>
      <c r="C349" s="447">
        <v>3720832.97</v>
      </c>
      <c r="D349" s="339">
        <v>25700000000</v>
      </c>
      <c r="E349" s="151">
        <v>67636</v>
      </c>
      <c r="F349" s="414">
        <v>4131.93</v>
      </c>
    </row>
    <row r="350" spans="1:6">
      <c r="A350" s="53">
        <f t="shared" si="7"/>
        <v>2022.05</v>
      </c>
      <c r="B350" s="386">
        <v>92288.03</v>
      </c>
      <c r="C350" s="447">
        <v>3875358.85</v>
      </c>
      <c r="D350" s="339">
        <v>24939000000</v>
      </c>
      <c r="E350" s="151">
        <v>107972</v>
      </c>
      <c r="F350" s="414">
        <v>4132.1499999999996</v>
      </c>
    </row>
    <row r="351" spans="1:6">
      <c r="A351" s="53">
        <f t="shared" si="7"/>
        <v>2022.06</v>
      </c>
      <c r="B351" s="386">
        <v>88449.89</v>
      </c>
      <c r="C351" s="447">
        <v>3737808.08</v>
      </c>
      <c r="D351" s="339">
        <v>36771000000</v>
      </c>
      <c r="E351" s="151">
        <v>124137</v>
      </c>
      <c r="F351" s="414">
        <v>3785.38</v>
      </c>
    </row>
    <row r="352" spans="1:6">
      <c r="A352" s="53">
        <f t="shared" si="7"/>
        <v>2022.07</v>
      </c>
      <c r="B352" s="386">
        <v>122528.27</v>
      </c>
      <c r="C352" s="447">
        <v>5152972.66</v>
      </c>
      <c r="D352" s="339">
        <v>36071000000</v>
      </c>
      <c r="E352" s="151">
        <v>183408</v>
      </c>
      <c r="F352" s="414">
        <v>4130.29</v>
      </c>
    </row>
    <row r="353" spans="1:6">
      <c r="A353" s="53">
        <f t="shared" si="7"/>
        <v>2022.08</v>
      </c>
      <c r="B353" s="386">
        <v>136240.97</v>
      </c>
      <c r="C353" s="447">
        <v>5755492.1699999999</v>
      </c>
      <c r="D353" s="339">
        <v>34696000000</v>
      </c>
      <c r="E353" s="151">
        <v>172639</v>
      </c>
      <c r="F353" s="414">
        <v>4200.63</v>
      </c>
    </row>
    <row r="354" spans="1:6">
      <c r="A354" s="53">
        <f t="shared" si="7"/>
        <v>2022.09</v>
      </c>
      <c r="B354" s="386">
        <v>130646.78</v>
      </c>
      <c r="C354" s="447">
        <v>5500819.6900000004</v>
      </c>
      <c r="D354" s="339">
        <v>35557000000</v>
      </c>
      <c r="E354" s="151">
        <v>146536</v>
      </c>
      <c r="F354" s="414">
        <v>3920.88</v>
      </c>
    </row>
    <row r="355" spans="1:6">
      <c r="A355" s="53">
        <f t="shared" si="7"/>
        <v>2022.1</v>
      </c>
      <c r="B355" s="386">
        <v>149938.32</v>
      </c>
      <c r="C355" s="447">
        <v>5914298.3200000003</v>
      </c>
      <c r="D355" s="339">
        <v>35746000000</v>
      </c>
      <c r="E355" s="151">
        <v>101131</v>
      </c>
      <c r="F355" s="414">
        <v>4178.5600000000004</v>
      </c>
    </row>
    <row r="356" spans="1:6">
      <c r="A356" s="53">
        <f t="shared" si="7"/>
        <v>2022.11</v>
      </c>
      <c r="B356" s="386">
        <v>157768.76999999999</v>
      </c>
      <c r="C356" s="447">
        <v>6620362.6500000004</v>
      </c>
      <c r="D356" s="339">
        <v>37802000000</v>
      </c>
      <c r="E356" s="151">
        <v>229336</v>
      </c>
      <c r="F356" s="414">
        <v>4080.11</v>
      </c>
    </row>
    <row r="357" spans="1:6">
      <c r="A357" s="53">
        <f t="shared" si="7"/>
        <v>2022.12</v>
      </c>
      <c r="B357" s="386">
        <v>188677.16</v>
      </c>
      <c r="C357" s="447">
        <v>7911070.6299999999</v>
      </c>
      <c r="D357" s="339">
        <v>36166000000</v>
      </c>
      <c r="E357" s="151">
        <v>190521</v>
      </c>
      <c r="F357" s="414">
        <v>3839.5</v>
      </c>
    </row>
    <row r="358" spans="1:6">
      <c r="A358" s="53">
        <f t="shared" si="7"/>
        <v>2023.01</v>
      </c>
      <c r="B358" s="386">
        <v>236365</v>
      </c>
      <c r="C358" s="447">
        <v>9905131</v>
      </c>
      <c r="D358" s="339">
        <v>33860000000</v>
      </c>
      <c r="E358" s="151">
        <v>261644</v>
      </c>
      <c r="F358" s="414">
        <v>4076.6</v>
      </c>
    </row>
    <row r="359" spans="1:6">
      <c r="A359" s="53">
        <f t="shared" si="7"/>
        <v>2023.02</v>
      </c>
      <c r="B359" s="386">
        <v>230689.1</v>
      </c>
      <c r="C359" s="447">
        <v>9680921.9800000004</v>
      </c>
      <c r="D359" s="339">
        <v>29804000000</v>
      </c>
      <c r="E359" s="151">
        <v>252915</v>
      </c>
      <c r="F359" s="414">
        <v>3970.15</v>
      </c>
    </row>
    <row r="360" spans="1:6">
      <c r="A360" s="53">
        <f t="shared" si="7"/>
        <v>2023.03</v>
      </c>
      <c r="B360" s="386">
        <v>229064.12</v>
      </c>
      <c r="C360" s="447">
        <v>9632042.8499999996</v>
      </c>
      <c r="D360" s="339">
        <v>30986000000</v>
      </c>
      <c r="E360" s="151">
        <v>364277</v>
      </c>
      <c r="F360" s="414">
        <v>4109.3100000000004</v>
      </c>
    </row>
    <row r="361" spans="1:6">
      <c r="A361" s="53">
        <f t="shared" si="7"/>
        <v>2023.04</v>
      </c>
      <c r="B361" s="386">
        <v>277211.12</v>
      </c>
      <c r="C361" s="447">
        <v>11574423.65</v>
      </c>
      <c r="D361" s="339">
        <v>29832000000</v>
      </c>
      <c r="E361" s="151">
        <v>335049</v>
      </c>
      <c r="F361" s="414">
        <v>4169.4799999999996</v>
      </c>
    </row>
    <row r="362" spans="1:6">
      <c r="A362" s="53">
        <f t="shared" si="7"/>
        <v>2023.05</v>
      </c>
      <c r="B362" s="386">
        <v>315667.44</v>
      </c>
      <c r="C362" s="447">
        <v>13200657.300000001</v>
      </c>
      <c r="D362" s="339">
        <v>28650000000</v>
      </c>
      <c r="E362" s="151">
        <v>256140</v>
      </c>
      <c r="F362" s="414">
        <v>4179.83</v>
      </c>
    </row>
    <row r="363" spans="1:6">
      <c r="A363" s="53">
        <f t="shared" si="7"/>
        <v>2023.06</v>
      </c>
      <c r="B363" s="386">
        <v>392208.34</v>
      </c>
      <c r="C363" s="447">
        <v>16491524.890000001</v>
      </c>
      <c r="D363" s="339">
        <v>34471000000</v>
      </c>
      <c r="E363" s="151">
        <v>434734</v>
      </c>
      <c r="F363" s="414">
        <v>4450.38</v>
      </c>
    </row>
    <row r="364" spans="1:6">
      <c r="A364" s="53">
        <f t="shared" si="7"/>
        <v>2023.07</v>
      </c>
      <c r="B364" s="386">
        <v>419683.68</v>
      </c>
      <c r="C364" s="447">
        <v>17770867.190000001</v>
      </c>
      <c r="D364" s="339">
        <v>39406000000</v>
      </c>
      <c r="E364" s="151">
        <v>436832</v>
      </c>
      <c r="F364" s="414">
        <v>4588.96</v>
      </c>
    </row>
    <row r="365" spans="1:6">
      <c r="A365" s="53">
        <f t="shared" si="7"/>
        <v>2023.08</v>
      </c>
      <c r="B365" s="386">
        <v>598825.87</v>
      </c>
      <c r="C365" s="447">
        <v>25183257.140000001</v>
      </c>
      <c r="D365" s="339">
        <v>34415000000</v>
      </c>
      <c r="E365" s="151">
        <v>314193</v>
      </c>
      <c r="F365" s="414">
        <v>4507.66</v>
      </c>
    </row>
    <row r="366" spans="1:6">
      <c r="A366" s="53">
        <f t="shared" si="7"/>
        <v>2023.09</v>
      </c>
      <c r="B366" s="386">
        <v>514377.48</v>
      </c>
      <c r="C366" s="447">
        <v>22042907.149999999</v>
      </c>
      <c r="D366" s="339">
        <v>32805000000</v>
      </c>
      <c r="E366" s="151">
        <v>582741</v>
      </c>
      <c r="F366" s="414">
        <v>4288.05</v>
      </c>
    </row>
    <row r="367" spans="1:6">
      <c r="A367" s="53">
        <f t="shared" si="7"/>
        <v>2023.1</v>
      </c>
      <c r="B367" s="386">
        <v>528495.96</v>
      </c>
      <c r="C367" s="447">
        <v>22122318.469999999</v>
      </c>
      <c r="D367" s="339">
        <v>30553000000</v>
      </c>
      <c r="E367" s="151">
        <v>651172</v>
      </c>
      <c r="F367" s="414">
        <v>4193.8</v>
      </c>
    </row>
    <row r="368" spans="1:6">
      <c r="A368" s="53">
        <f t="shared" si="7"/>
        <v>2023.11</v>
      </c>
      <c r="B368" s="386">
        <v>742040.71</v>
      </c>
      <c r="C368" s="447">
        <v>31478721.289999999</v>
      </c>
      <c r="D368" s="339">
        <v>32222000000</v>
      </c>
      <c r="E368" s="151">
        <v>433646</v>
      </c>
      <c r="F368" s="414">
        <v>4567.8</v>
      </c>
    </row>
    <row r="369" spans="1:8">
      <c r="A369" s="53">
        <f t="shared" si="7"/>
        <v>2023.12</v>
      </c>
      <c r="B369" s="386">
        <v>846980.21</v>
      </c>
      <c r="C369" s="447">
        <v>36410914.460000001</v>
      </c>
      <c r="D369" s="339">
        <v>15619000000</v>
      </c>
      <c r="E369" s="151">
        <v>433404</v>
      </c>
      <c r="F369" s="414">
        <v>4769.83</v>
      </c>
    </row>
    <row r="370" spans="1:8">
      <c r="A370" s="53">
        <f t="shared" si="7"/>
        <v>2024.01</v>
      </c>
      <c r="B370" s="386">
        <v>1147937.6000000001</v>
      </c>
      <c r="C370" s="447">
        <v>49381866.5</v>
      </c>
      <c r="D370" s="339">
        <v>11390000000</v>
      </c>
      <c r="E370" s="151">
        <v>1286150</v>
      </c>
      <c r="F370" s="414">
        <v>4845.6499999999996</v>
      </c>
    </row>
    <row r="371" spans="1:8">
      <c r="A371" s="53">
        <f t="shared" si="7"/>
        <v>2024.02</v>
      </c>
      <c r="B371" s="386">
        <v>924052.44</v>
      </c>
      <c r="C371" s="447">
        <v>39626072.280000001</v>
      </c>
      <c r="D371" s="339">
        <v>11130000000</v>
      </c>
      <c r="E371" s="151">
        <v>857819</v>
      </c>
      <c r="F371" s="414">
        <v>5096.2700000000004</v>
      </c>
    </row>
    <row r="372" spans="1:8">
      <c r="A372" s="53">
        <f t="shared" si="7"/>
        <v>2024.03</v>
      </c>
      <c r="B372" s="386">
        <v>1105065.77</v>
      </c>
      <c r="C372" s="447">
        <v>46845227.119999997</v>
      </c>
      <c r="D372" s="339">
        <v>12054000000</v>
      </c>
      <c r="E372" s="151">
        <v>990519</v>
      </c>
      <c r="F372" s="414">
        <v>5254.35</v>
      </c>
    </row>
    <row r="373" spans="1:8">
      <c r="A373" s="53">
        <f t="shared" si="7"/>
        <v>2024.04</v>
      </c>
      <c r="B373" s="386">
        <v>1202833.44</v>
      </c>
      <c r="C373" s="447">
        <v>50925316.07</v>
      </c>
      <c r="D373" s="339">
        <v>16918000000</v>
      </c>
      <c r="E373" s="151">
        <v>1538286</v>
      </c>
      <c r="F373" s="414">
        <v>5035.6899999999996</v>
      </c>
    </row>
    <row r="374" spans="1:8">
      <c r="A374" s="53">
        <f t="shared" si="7"/>
        <v>2024.05</v>
      </c>
      <c r="B374" s="386">
        <v>1479587.08</v>
      </c>
      <c r="C374" s="447">
        <v>62909787.350000001</v>
      </c>
      <c r="D374" s="339">
        <v>16467000000</v>
      </c>
      <c r="E374" s="151">
        <v>1299707</v>
      </c>
      <c r="F374" s="414">
        <v>5277.51</v>
      </c>
    </row>
    <row r="375" spans="1:8">
      <c r="A375" s="53">
        <f t="shared" si="7"/>
        <v>2024.06</v>
      </c>
      <c r="B375" s="386">
        <v>1430206.46</v>
      </c>
      <c r="C375" s="447">
        <v>60939698.840000004</v>
      </c>
      <c r="D375" s="339">
        <v>14658000000</v>
      </c>
      <c r="E375" s="151">
        <v>1634140</v>
      </c>
      <c r="F375" s="414">
        <v>5460.48</v>
      </c>
      <c r="G375" s="151"/>
      <c r="H375" s="369"/>
    </row>
    <row r="376" spans="1:8">
      <c r="A376" s="53">
        <f t="shared" si="7"/>
        <v>2024.07</v>
      </c>
      <c r="B376" s="386">
        <v>1324588.01</v>
      </c>
      <c r="C376" s="447">
        <v>56427956.43</v>
      </c>
      <c r="D376" s="339">
        <v>22594000000</v>
      </c>
      <c r="E376" s="151">
        <v>2603653.7499850001</v>
      </c>
      <c r="F376" s="414">
        <v>5522.3</v>
      </c>
    </row>
    <row r="377" spans="1:8">
      <c r="A377" s="53">
        <f t="shared" si="7"/>
        <v>2024.08</v>
      </c>
      <c r="B377" s="386">
        <v>1508879.52</v>
      </c>
      <c r="C377" s="447">
        <v>64533862.520000003</v>
      </c>
      <c r="D377" s="339">
        <v>30139000000</v>
      </c>
      <c r="E377" s="151">
        <v>1743594</v>
      </c>
      <c r="F377" s="414">
        <v>5648.4</v>
      </c>
    </row>
    <row r="378" spans="1:8">
      <c r="A378" s="53">
        <f t="shared" si="7"/>
        <v>2024.09</v>
      </c>
      <c r="B378" s="386">
        <v>1490062.22</v>
      </c>
      <c r="C378" s="447">
        <v>63058113.469999999</v>
      </c>
      <c r="D378" s="339">
        <v>30817000000</v>
      </c>
      <c r="E378" s="151">
        <v>2281366.1219660002</v>
      </c>
      <c r="F378" s="414">
        <v>5762.48</v>
      </c>
    </row>
    <row r="379" spans="1:8">
      <c r="A379" s="53">
        <f t="shared" si="7"/>
        <v>2024.1</v>
      </c>
      <c r="B379" s="386">
        <v>1622919.11</v>
      </c>
      <c r="C379" s="447">
        <v>68771205.420000002</v>
      </c>
      <c r="D379" s="339">
        <v>35819000000</v>
      </c>
      <c r="E379" s="151">
        <v>3868547</v>
      </c>
      <c r="F379" s="414">
        <v>5705.45</v>
      </c>
    </row>
    <row r="380" spans="1:8">
      <c r="A380" s="53">
        <f t="shared" si="7"/>
        <v>2024.11</v>
      </c>
      <c r="B380" s="386">
        <v>1976908.5</v>
      </c>
      <c r="C380" s="447">
        <v>85109334.269999996</v>
      </c>
      <c r="D380" s="339">
        <v>34685000000</v>
      </c>
      <c r="E380" s="151">
        <v>2347454</v>
      </c>
      <c r="F380" s="414">
        <v>6032.38</v>
      </c>
    </row>
    <row r="381" spans="1:8">
      <c r="A381" s="53">
        <f t="shared" si="7"/>
        <v>2024.12</v>
      </c>
      <c r="B381" s="386">
        <v>2217814.83</v>
      </c>
      <c r="C381" s="447">
        <v>95669100.090000004</v>
      </c>
      <c r="D381" s="339">
        <v>49563000000</v>
      </c>
      <c r="E381" s="151">
        <v>2662197</v>
      </c>
      <c r="F381" s="414">
        <v>5881.63</v>
      </c>
    </row>
    <row r="382" spans="1:8">
      <c r="A382" s="53">
        <f t="shared" si="7"/>
        <v>2025.01</v>
      </c>
      <c r="B382" s="386">
        <v>2244971.9300000002</v>
      </c>
      <c r="C382" s="447">
        <v>96037365.799999997</v>
      </c>
      <c r="D382" s="339">
        <v>63829000000</v>
      </c>
      <c r="E382" s="151">
        <v>3380459</v>
      </c>
      <c r="F382" s="414">
        <v>6040.53</v>
      </c>
    </row>
    <row r="383" spans="1:8">
      <c r="A383" s="53">
        <f t="shared" si="7"/>
        <v>2025.02</v>
      </c>
      <c r="B383" s="386">
        <v>1930845.5</v>
      </c>
      <c r="C383" s="447">
        <v>82824338.450000003</v>
      </c>
      <c r="D383" s="339">
        <v>63737000000</v>
      </c>
      <c r="E383" s="151">
        <v>2594430</v>
      </c>
      <c r="F383" s="414">
        <v>5954.5</v>
      </c>
    </row>
    <row r="384" spans="1:8">
      <c r="A384" s="53">
        <f t="shared" si="7"/>
        <v>2025.03</v>
      </c>
      <c r="B384" s="386">
        <v>2047232.13</v>
      </c>
      <c r="C384" s="447">
        <v>87487426.620000005</v>
      </c>
      <c r="D384" s="339">
        <v>64873000000</v>
      </c>
      <c r="E384" s="151">
        <v>2197821</v>
      </c>
      <c r="F384" s="414">
        <v>5611.85</v>
      </c>
    </row>
    <row r="385" spans="1:8">
      <c r="A385" s="53">
        <f t="shared" si="7"/>
        <v>2025.04</v>
      </c>
      <c r="B385" s="386">
        <v>1829445.26</v>
      </c>
      <c r="C385" s="447">
        <v>90145801.819999993</v>
      </c>
      <c r="D385" s="339">
        <v>63700000000</v>
      </c>
      <c r="E385" s="151">
        <v>2593341</v>
      </c>
      <c r="F385" s="414">
        <v>5569.06</v>
      </c>
    </row>
    <row r="386" spans="1:8">
      <c r="A386" s="53">
        <f t="shared" si="7"/>
        <v>2025.05</v>
      </c>
      <c r="B386" s="386">
        <v>2278991.58</v>
      </c>
      <c r="C386" s="447">
        <v>84319151.790000007</v>
      </c>
      <c r="D386" s="339">
        <v>52381000000</v>
      </c>
      <c r="E386" s="151">
        <v>4481611</v>
      </c>
      <c r="F386" s="414">
        <v>5911.69</v>
      </c>
    </row>
    <row r="387" spans="1:8">
      <c r="A387" s="53">
        <f t="shared" si="7"/>
        <v>2025.06</v>
      </c>
      <c r="B387" s="386">
        <v>1727947</v>
      </c>
      <c r="C387" s="447">
        <v>73793046.090000004</v>
      </c>
      <c r="D387" s="339">
        <v>51293000000</v>
      </c>
      <c r="E387" s="151">
        <v>3416989</v>
      </c>
      <c r="F387" s="414">
        <v>6204.95</v>
      </c>
    </row>
    <row r="388" spans="1:8">
      <c r="A388" s="53">
        <f t="shared" si="7"/>
        <v>2025.07</v>
      </c>
      <c r="B388" s="386">
        <v>2006884.85</v>
      </c>
      <c r="C388" s="447">
        <v>85348416.099999994</v>
      </c>
      <c r="D388" s="339">
        <v>55631000000</v>
      </c>
      <c r="E388" s="151">
        <v>3793588</v>
      </c>
      <c r="F388" s="414">
        <v>6339.39</v>
      </c>
    </row>
    <row r="389" spans="1:8">
      <c r="A389" s="53">
        <f t="shared" si="7"/>
        <v>2025.08</v>
      </c>
      <c r="B389" s="386">
        <v>1715258.01</v>
      </c>
      <c r="C389" s="447">
        <v>72401411.920000002</v>
      </c>
      <c r="D389" s="339">
        <v>39471000000</v>
      </c>
      <c r="E389" s="151">
        <v>2792657</v>
      </c>
      <c r="F389" s="414">
        <v>6460.26</v>
      </c>
    </row>
    <row r="390" spans="1:8">
      <c r="A390" s="53">
        <f t="shared" si="7"/>
        <v>2025.09</v>
      </c>
      <c r="B390" s="386">
        <v>1524698.05</v>
      </c>
      <c r="C390" s="447">
        <v>63391097.659999996</v>
      </c>
      <c r="D390" s="339">
        <v>50649000000</v>
      </c>
      <c r="E390" s="151">
        <v>2169458</v>
      </c>
      <c r="F390" s="414">
        <v>6688.46</v>
      </c>
    </row>
    <row r="391" spans="1:8">
      <c r="A391" s="53">
        <f t="shared" si="7"/>
        <v>2025.1</v>
      </c>
      <c r="B391" s="386">
        <v>2577997.52</v>
      </c>
      <c r="C391" s="447">
        <v>106130025.41</v>
      </c>
      <c r="D391" s="339">
        <v>45524000000</v>
      </c>
      <c r="E391" s="151">
        <v>5066791</v>
      </c>
      <c r="F391" s="414">
        <v>6840.2</v>
      </c>
    </row>
    <row r="392" spans="1:8">
      <c r="A392" s="53">
        <f t="shared" si="7"/>
        <v>2025.11</v>
      </c>
      <c r="B392" s="386">
        <v>2592197.85</v>
      </c>
      <c r="C392" s="447">
        <v>106271756.75</v>
      </c>
      <c r="D392" s="339">
        <v>34934000000</v>
      </c>
      <c r="E392" s="151">
        <v>6934602</v>
      </c>
      <c r="F392" s="414">
        <v>6849.09</v>
      </c>
    </row>
    <row r="393" spans="1:8">
      <c r="A393" s="53">
        <f t="shared" si="7"/>
        <v>2025.12</v>
      </c>
      <c r="B393" s="386">
        <v>2609804.9500000002</v>
      </c>
      <c r="C393" s="447">
        <v>106671678.33</v>
      </c>
      <c r="D393" s="339">
        <v>36596000000</v>
      </c>
      <c r="E393" s="151">
        <v>4569249</v>
      </c>
      <c r="F393" s="414">
        <v>6845.5</v>
      </c>
      <c r="G393" s="3410"/>
      <c r="H393" s="3410"/>
    </row>
    <row r="394" spans="1:8">
      <c r="A394" s="53">
        <f t="shared" si="7"/>
        <v>2026.01</v>
      </c>
      <c r="B394" s="386">
        <v>2733593.11</v>
      </c>
      <c r="C394" s="447">
        <v>111257345.86</v>
      </c>
      <c r="D394" s="339">
        <v>45808000000</v>
      </c>
      <c r="E394" s="151">
        <v>5586047</v>
      </c>
      <c r="F394" s="414">
        <v>6939.03</v>
      </c>
    </row>
    <row r="395" spans="1:8">
      <c r="A395" s="53">
        <f t="shared" si="7"/>
        <v>2026.02</v>
      </c>
      <c r="B395" s="386">
        <v>2254777.63</v>
      </c>
      <c r="C395" s="447">
        <v>91892348.310000002</v>
      </c>
      <c r="D395" s="339">
        <v>30663000000</v>
      </c>
      <c r="E395" s="151">
        <v>3656034</v>
      </c>
      <c r="F395" s="414">
        <v>6878.88</v>
      </c>
    </row>
    <row r="396" spans="1:8">
      <c r="A396" s="53">
        <f t="shared" si="7"/>
        <v>2026.03</v>
      </c>
      <c r="B396" s="386" t="e">
        <v>#N/A</v>
      </c>
      <c r="C396" s="447" t="e">
        <v>#N/A</v>
      </c>
      <c r="D396" s="339" t="e">
        <v>#N/A</v>
      </c>
      <c r="E396" s="151" t="e">
        <v>#N/A</v>
      </c>
      <c r="F396" s="414" t="e">
        <v>#N/A</v>
      </c>
    </row>
    <row r="397" spans="1:8">
      <c r="A397" s="53">
        <f t="shared" si="7"/>
        <v>2026.04</v>
      </c>
      <c r="B397" s="386" t="e">
        <v>#N/A</v>
      </c>
      <c r="C397" s="447" t="e">
        <v>#N/A</v>
      </c>
      <c r="D397" s="339" t="e">
        <v>#N/A</v>
      </c>
      <c r="E397" s="151" t="e">
        <v>#N/A</v>
      </c>
      <c r="F397" s="414" t="e">
        <v>#N/A</v>
      </c>
    </row>
    <row r="398" spans="1:8">
      <c r="A398" s="53">
        <f t="shared" si="7"/>
        <v>2026.05</v>
      </c>
      <c r="B398" s="386" t="e">
        <v>#N/A</v>
      </c>
      <c r="C398" s="447" t="e">
        <v>#N/A</v>
      </c>
      <c r="D398" s="339" t="e">
        <v>#N/A</v>
      </c>
      <c r="E398" s="151" t="e">
        <v>#N/A</v>
      </c>
      <c r="F398" s="414" t="e">
        <v>#N/A</v>
      </c>
    </row>
    <row r="399" spans="1:8">
      <c r="A399" s="53">
        <f t="shared" si="7"/>
        <v>2026.06</v>
      </c>
      <c r="B399" s="386" t="e">
        <v>#N/A</v>
      </c>
      <c r="C399" s="447" t="e">
        <v>#N/A</v>
      </c>
      <c r="D399" s="339" t="e">
        <v>#N/A</v>
      </c>
      <c r="E399" s="151" t="e">
        <v>#N/A</v>
      </c>
      <c r="F399" s="414" t="e">
        <v>#N/A</v>
      </c>
    </row>
    <row r="400" spans="1:8">
      <c r="A400" s="53">
        <f t="shared" si="7"/>
        <v>2026.07</v>
      </c>
      <c r="B400" s="386" t="e">
        <v>#N/A</v>
      </c>
      <c r="C400" s="447" t="e">
        <v>#N/A</v>
      </c>
      <c r="D400" s="339" t="e">
        <v>#N/A</v>
      </c>
      <c r="E400" s="151" t="e">
        <v>#N/A</v>
      </c>
      <c r="F400" s="414" t="e">
        <v>#N/A</v>
      </c>
    </row>
    <row r="401" spans="1:6">
      <c r="A401" s="53">
        <f t="shared" si="7"/>
        <v>2026.08</v>
      </c>
      <c r="B401" s="386" t="e">
        <v>#N/A</v>
      </c>
      <c r="C401" s="447" t="e">
        <v>#N/A</v>
      </c>
      <c r="D401" s="339" t="e">
        <v>#N/A</v>
      </c>
      <c r="E401" s="151" t="e">
        <v>#N/A</v>
      </c>
      <c r="F401" s="414" t="e">
        <v>#N/A</v>
      </c>
    </row>
    <row r="402" spans="1:6">
      <c r="A402" s="53">
        <f t="shared" si="7"/>
        <v>2026.09</v>
      </c>
      <c r="B402" s="386" t="e">
        <v>#N/A</v>
      </c>
      <c r="C402" s="447" t="e">
        <v>#N/A</v>
      </c>
      <c r="D402" s="339" t="e">
        <v>#N/A</v>
      </c>
      <c r="E402" s="151" t="e">
        <v>#N/A</v>
      </c>
      <c r="F402" s="414" t="e">
        <v>#N/A</v>
      </c>
    </row>
    <row r="403" spans="1:6">
      <c r="A403" s="53">
        <f t="shared" ref="A403:A453" si="8">A391+1</f>
        <v>2026.1</v>
      </c>
      <c r="B403" s="386" t="e">
        <v>#N/A</v>
      </c>
      <c r="C403" s="447" t="e">
        <v>#N/A</v>
      </c>
      <c r="D403" s="339" t="e">
        <v>#N/A</v>
      </c>
      <c r="E403" s="151" t="e">
        <v>#N/A</v>
      </c>
      <c r="F403" s="414" t="e">
        <v>#N/A</v>
      </c>
    </row>
    <row r="404" spans="1:6">
      <c r="A404" s="53">
        <f t="shared" si="8"/>
        <v>2026.11</v>
      </c>
      <c r="B404" s="386" t="e">
        <v>#N/A</v>
      </c>
      <c r="C404" s="447" t="e">
        <v>#N/A</v>
      </c>
      <c r="D404" s="339" t="e">
        <v>#N/A</v>
      </c>
      <c r="E404" s="151" t="e">
        <v>#N/A</v>
      </c>
      <c r="F404" s="414" t="e">
        <v>#N/A</v>
      </c>
    </row>
    <row r="405" spans="1:6">
      <c r="A405" s="53">
        <f t="shared" si="8"/>
        <v>2026.12</v>
      </c>
      <c r="B405" s="386" t="e">
        <v>#N/A</v>
      </c>
      <c r="C405" s="447" t="e">
        <v>#N/A</v>
      </c>
      <c r="D405" s="339" t="e">
        <v>#N/A</v>
      </c>
      <c r="E405" s="151" t="e">
        <v>#N/A</v>
      </c>
      <c r="F405" s="414" t="e">
        <v>#N/A</v>
      </c>
    </row>
    <row r="406" spans="1:6">
      <c r="A406" s="53">
        <f t="shared" si="8"/>
        <v>2027.01</v>
      </c>
      <c r="B406" s="386" t="e">
        <v>#N/A</v>
      </c>
      <c r="C406" s="447" t="e">
        <v>#N/A</v>
      </c>
      <c r="D406" s="339" t="e">
        <v>#N/A</v>
      </c>
      <c r="E406" s="151" t="e">
        <v>#N/A</v>
      </c>
      <c r="F406" s="414" t="e">
        <v>#N/A</v>
      </c>
    </row>
    <row r="407" spans="1:6">
      <c r="A407" s="53">
        <f t="shared" si="8"/>
        <v>2027.02</v>
      </c>
      <c r="B407" s="386" t="e">
        <v>#N/A</v>
      </c>
      <c r="C407" s="447" t="e">
        <v>#N/A</v>
      </c>
      <c r="D407" s="339" t="e">
        <v>#N/A</v>
      </c>
      <c r="E407" s="151" t="e">
        <v>#N/A</v>
      </c>
      <c r="F407" s="414" t="e">
        <v>#N/A</v>
      </c>
    </row>
    <row r="408" spans="1:6">
      <c r="A408" s="53">
        <f t="shared" si="8"/>
        <v>2027.03</v>
      </c>
      <c r="B408" s="386" t="e">
        <v>#N/A</v>
      </c>
      <c r="C408" s="447" t="e">
        <v>#N/A</v>
      </c>
      <c r="D408" s="339" t="e">
        <v>#N/A</v>
      </c>
      <c r="E408" s="151" t="e">
        <v>#N/A</v>
      </c>
      <c r="F408" s="414" t="e">
        <v>#N/A</v>
      </c>
    </row>
    <row r="409" spans="1:6">
      <c r="A409" s="53">
        <f t="shared" si="8"/>
        <v>2027.04</v>
      </c>
      <c r="B409" s="386" t="e">
        <v>#N/A</v>
      </c>
      <c r="C409" s="447" t="e">
        <v>#N/A</v>
      </c>
      <c r="D409" s="339" t="e">
        <v>#N/A</v>
      </c>
      <c r="E409" s="151" t="e">
        <v>#N/A</v>
      </c>
      <c r="F409" s="414" t="e">
        <v>#N/A</v>
      </c>
    </row>
    <row r="410" spans="1:6">
      <c r="A410" s="53">
        <f t="shared" si="8"/>
        <v>2027.05</v>
      </c>
      <c r="B410" s="386" t="e">
        <v>#N/A</v>
      </c>
      <c r="C410" s="447" t="e">
        <v>#N/A</v>
      </c>
      <c r="D410" s="339" t="e">
        <v>#N/A</v>
      </c>
      <c r="E410" s="151" t="e">
        <v>#N/A</v>
      </c>
      <c r="F410" s="414" t="e">
        <v>#N/A</v>
      </c>
    </row>
    <row r="411" spans="1:6">
      <c r="A411" s="53">
        <f t="shared" si="8"/>
        <v>2027.06</v>
      </c>
      <c r="B411" s="386" t="e">
        <v>#N/A</v>
      </c>
      <c r="C411" s="447" t="e">
        <v>#N/A</v>
      </c>
      <c r="D411" s="339" t="e">
        <v>#N/A</v>
      </c>
      <c r="E411" s="151" t="e">
        <v>#N/A</v>
      </c>
      <c r="F411" s="414" t="e">
        <v>#N/A</v>
      </c>
    </row>
    <row r="412" spans="1:6">
      <c r="A412" s="53">
        <f t="shared" si="8"/>
        <v>2027.07</v>
      </c>
      <c r="B412" s="386" t="e">
        <v>#N/A</v>
      </c>
      <c r="C412" s="447" t="e">
        <v>#N/A</v>
      </c>
      <c r="D412" s="339" t="e">
        <v>#N/A</v>
      </c>
      <c r="E412" s="151" t="e">
        <v>#N/A</v>
      </c>
      <c r="F412" s="414" t="e">
        <v>#N/A</v>
      </c>
    </row>
    <row r="413" spans="1:6">
      <c r="A413" s="53">
        <f t="shared" si="8"/>
        <v>2027.08</v>
      </c>
      <c r="B413" s="386" t="e">
        <v>#N/A</v>
      </c>
      <c r="C413" s="447" t="e">
        <v>#N/A</v>
      </c>
      <c r="D413" s="339" t="e">
        <v>#N/A</v>
      </c>
      <c r="E413" s="151" t="e">
        <v>#N/A</v>
      </c>
      <c r="F413" s="414" t="e">
        <v>#N/A</v>
      </c>
    </row>
    <row r="414" spans="1:6">
      <c r="A414" s="53">
        <f t="shared" si="8"/>
        <v>2027.09</v>
      </c>
      <c r="B414" s="386" t="e">
        <v>#N/A</v>
      </c>
      <c r="C414" s="447" t="e">
        <v>#N/A</v>
      </c>
      <c r="D414" s="339" t="e">
        <v>#N/A</v>
      </c>
      <c r="E414" s="151" t="e">
        <v>#N/A</v>
      </c>
      <c r="F414" s="414" t="e">
        <v>#N/A</v>
      </c>
    </row>
    <row r="415" spans="1:6">
      <c r="A415" s="53">
        <f t="shared" si="8"/>
        <v>2027.1</v>
      </c>
      <c r="B415" s="386" t="e">
        <v>#N/A</v>
      </c>
      <c r="C415" s="447" t="e">
        <v>#N/A</v>
      </c>
      <c r="D415" s="339" t="e">
        <v>#N/A</v>
      </c>
      <c r="E415" s="151" t="e">
        <v>#N/A</v>
      </c>
      <c r="F415" s="414" t="e">
        <v>#N/A</v>
      </c>
    </row>
    <row r="416" spans="1:6">
      <c r="A416" s="53">
        <f t="shared" si="8"/>
        <v>2027.11</v>
      </c>
      <c r="B416" s="386" t="e">
        <v>#N/A</v>
      </c>
      <c r="C416" s="447" t="e">
        <v>#N/A</v>
      </c>
      <c r="D416" s="339" t="e">
        <v>#N/A</v>
      </c>
      <c r="E416" s="151" t="e">
        <v>#N/A</v>
      </c>
      <c r="F416" s="414" t="e">
        <v>#N/A</v>
      </c>
    </row>
    <row r="417" spans="1:6">
      <c r="A417" s="53">
        <f t="shared" si="8"/>
        <v>2027.12</v>
      </c>
      <c r="B417" s="386" t="e">
        <v>#N/A</v>
      </c>
      <c r="C417" s="447" t="e">
        <v>#N/A</v>
      </c>
      <c r="D417" s="339" t="e">
        <v>#N/A</v>
      </c>
      <c r="E417" s="151" t="e">
        <v>#N/A</v>
      </c>
      <c r="F417" s="414" t="e">
        <v>#N/A</v>
      </c>
    </row>
    <row r="418" spans="1:6">
      <c r="A418" s="53">
        <f t="shared" si="8"/>
        <v>2028.01</v>
      </c>
      <c r="B418" s="386" t="e">
        <v>#N/A</v>
      </c>
      <c r="C418" s="447" t="e">
        <v>#N/A</v>
      </c>
      <c r="D418" s="339" t="e">
        <v>#N/A</v>
      </c>
      <c r="E418" s="151" t="e">
        <v>#N/A</v>
      </c>
      <c r="F418" s="414" t="e">
        <v>#N/A</v>
      </c>
    </row>
    <row r="419" spans="1:6">
      <c r="A419" s="53">
        <f t="shared" si="8"/>
        <v>2028.02</v>
      </c>
      <c r="B419" s="386" t="e">
        <v>#N/A</v>
      </c>
      <c r="C419" s="447" t="e">
        <v>#N/A</v>
      </c>
      <c r="D419" s="339" t="e">
        <v>#N/A</v>
      </c>
      <c r="E419" s="151" t="e">
        <v>#N/A</v>
      </c>
      <c r="F419" s="414" t="e">
        <v>#N/A</v>
      </c>
    </row>
    <row r="420" spans="1:6">
      <c r="A420" s="53">
        <f t="shared" si="8"/>
        <v>2028.03</v>
      </c>
      <c r="B420" s="386" t="e">
        <v>#N/A</v>
      </c>
      <c r="C420" s="447" t="e">
        <v>#N/A</v>
      </c>
      <c r="D420" s="339" t="e">
        <v>#N/A</v>
      </c>
      <c r="E420" s="151" t="e">
        <v>#N/A</v>
      </c>
      <c r="F420" s="414" t="e">
        <v>#N/A</v>
      </c>
    </row>
    <row r="421" spans="1:6">
      <c r="A421" s="53">
        <f t="shared" si="8"/>
        <v>2028.04</v>
      </c>
      <c r="B421" s="386" t="e">
        <v>#N/A</v>
      </c>
      <c r="C421" s="447" t="e">
        <v>#N/A</v>
      </c>
      <c r="D421" s="339" t="e">
        <v>#N/A</v>
      </c>
      <c r="E421" s="151" t="e">
        <v>#N/A</v>
      </c>
      <c r="F421" s="414" t="e">
        <v>#N/A</v>
      </c>
    </row>
    <row r="422" spans="1:6">
      <c r="A422" s="53">
        <f t="shared" si="8"/>
        <v>2028.05</v>
      </c>
      <c r="B422" s="386" t="e">
        <v>#N/A</v>
      </c>
      <c r="C422" s="447" t="e">
        <v>#N/A</v>
      </c>
      <c r="D422" s="339" t="e">
        <v>#N/A</v>
      </c>
      <c r="E422" s="151" t="e">
        <v>#N/A</v>
      </c>
      <c r="F422" s="414" t="e">
        <v>#N/A</v>
      </c>
    </row>
    <row r="423" spans="1:6">
      <c r="A423" s="53">
        <f t="shared" si="8"/>
        <v>2028.06</v>
      </c>
      <c r="B423" s="386" t="e">
        <v>#N/A</v>
      </c>
      <c r="C423" s="447" t="e">
        <v>#N/A</v>
      </c>
      <c r="D423" s="339" t="e">
        <v>#N/A</v>
      </c>
      <c r="E423" s="151" t="e">
        <v>#N/A</v>
      </c>
      <c r="F423" s="414" t="e">
        <v>#N/A</v>
      </c>
    </row>
    <row r="424" spans="1:6">
      <c r="A424" s="53">
        <f t="shared" si="8"/>
        <v>2028.07</v>
      </c>
      <c r="B424" s="386" t="e">
        <v>#N/A</v>
      </c>
      <c r="C424" s="447" t="e">
        <v>#N/A</v>
      </c>
      <c r="D424" s="339" t="e">
        <v>#N/A</v>
      </c>
      <c r="E424" s="151" t="e">
        <v>#N/A</v>
      </c>
      <c r="F424" s="414" t="e">
        <v>#N/A</v>
      </c>
    </row>
    <row r="425" spans="1:6">
      <c r="A425" s="53">
        <f t="shared" si="8"/>
        <v>2028.08</v>
      </c>
      <c r="B425" s="386" t="e">
        <v>#N/A</v>
      </c>
      <c r="C425" s="447" t="e">
        <v>#N/A</v>
      </c>
      <c r="D425" s="339" t="e">
        <v>#N/A</v>
      </c>
      <c r="E425" s="151" t="e">
        <v>#N/A</v>
      </c>
      <c r="F425" s="414" t="e">
        <v>#N/A</v>
      </c>
    </row>
    <row r="426" spans="1:6">
      <c r="A426" s="53">
        <f t="shared" si="8"/>
        <v>2028.09</v>
      </c>
      <c r="B426" s="386" t="e">
        <v>#N/A</v>
      </c>
      <c r="C426" s="447" t="e">
        <v>#N/A</v>
      </c>
      <c r="D426" s="339" t="e">
        <v>#N/A</v>
      </c>
      <c r="E426" s="151" t="e">
        <v>#N/A</v>
      </c>
      <c r="F426" s="414" t="e">
        <v>#N/A</v>
      </c>
    </row>
    <row r="427" spans="1:6">
      <c r="A427" s="53">
        <f t="shared" si="8"/>
        <v>2028.1</v>
      </c>
      <c r="B427" s="386" t="e">
        <v>#N/A</v>
      </c>
      <c r="C427" s="447" t="e">
        <v>#N/A</v>
      </c>
      <c r="D427" s="339" t="e">
        <v>#N/A</v>
      </c>
      <c r="E427" s="151" t="e">
        <v>#N/A</v>
      </c>
      <c r="F427" s="414" t="e">
        <v>#N/A</v>
      </c>
    </row>
    <row r="428" spans="1:6">
      <c r="A428" s="53">
        <f t="shared" si="8"/>
        <v>2028.11</v>
      </c>
      <c r="B428" s="386" t="e">
        <v>#N/A</v>
      </c>
      <c r="C428" s="447" t="e">
        <v>#N/A</v>
      </c>
      <c r="D428" s="339" t="e">
        <v>#N/A</v>
      </c>
      <c r="E428" s="151" t="e">
        <v>#N/A</v>
      </c>
      <c r="F428" s="414" t="e">
        <v>#N/A</v>
      </c>
    </row>
    <row r="429" spans="1:6">
      <c r="A429" s="53">
        <f t="shared" si="8"/>
        <v>2028.12</v>
      </c>
      <c r="B429" s="386" t="e">
        <v>#N/A</v>
      </c>
      <c r="C429" s="447" t="e">
        <v>#N/A</v>
      </c>
      <c r="D429" s="339" t="e">
        <v>#N/A</v>
      </c>
      <c r="E429" s="151" t="e">
        <v>#N/A</v>
      </c>
      <c r="F429" s="414" t="e">
        <v>#N/A</v>
      </c>
    </row>
    <row r="430" spans="1:6">
      <c r="A430" s="53">
        <f t="shared" si="8"/>
        <v>2029.01</v>
      </c>
      <c r="B430" s="386" t="e">
        <v>#N/A</v>
      </c>
      <c r="C430" s="447" t="e">
        <v>#N/A</v>
      </c>
      <c r="D430" s="339" t="e">
        <v>#N/A</v>
      </c>
      <c r="E430" s="151" t="e">
        <v>#N/A</v>
      </c>
      <c r="F430" s="414" t="e">
        <v>#N/A</v>
      </c>
    </row>
    <row r="431" spans="1:6">
      <c r="A431" s="53">
        <f t="shared" si="8"/>
        <v>2029.02</v>
      </c>
      <c r="B431" s="386" t="e">
        <v>#N/A</v>
      </c>
      <c r="C431" s="447" t="e">
        <v>#N/A</v>
      </c>
      <c r="D431" s="339" t="e">
        <v>#N/A</v>
      </c>
      <c r="E431" s="151" t="e">
        <v>#N/A</v>
      </c>
      <c r="F431" s="414" t="e">
        <v>#N/A</v>
      </c>
    </row>
    <row r="432" spans="1:6">
      <c r="A432" s="53">
        <f t="shared" si="8"/>
        <v>2029.03</v>
      </c>
      <c r="B432" s="386" t="e">
        <v>#N/A</v>
      </c>
      <c r="C432" s="447" t="e">
        <v>#N/A</v>
      </c>
      <c r="D432" s="339" t="e">
        <v>#N/A</v>
      </c>
      <c r="E432" s="151" t="e">
        <v>#N/A</v>
      </c>
      <c r="F432" s="414" t="e">
        <v>#N/A</v>
      </c>
    </row>
    <row r="433" spans="1:6">
      <c r="A433" s="53">
        <f t="shared" si="8"/>
        <v>2029.04</v>
      </c>
      <c r="B433" s="386" t="e">
        <v>#N/A</v>
      </c>
      <c r="C433" s="447" t="e">
        <v>#N/A</v>
      </c>
      <c r="D433" s="339" t="e">
        <v>#N/A</v>
      </c>
      <c r="E433" s="151" t="e">
        <v>#N/A</v>
      </c>
      <c r="F433" s="414" t="e">
        <v>#N/A</v>
      </c>
    </row>
    <row r="434" spans="1:6">
      <c r="A434" s="53">
        <f t="shared" si="8"/>
        <v>2029.05</v>
      </c>
      <c r="B434" s="386" t="e">
        <v>#N/A</v>
      </c>
      <c r="C434" s="447" t="e">
        <v>#N/A</v>
      </c>
      <c r="D434" s="339" t="e">
        <v>#N/A</v>
      </c>
      <c r="E434" s="151" t="e">
        <v>#N/A</v>
      </c>
      <c r="F434" s="414" t="e">
        <v>#N/A</v>
      </c>
    </row>
    <row r="435" spans="1:6">
      <c r="A435" s="53">
        <f t="shared" si="8"/>
        <v>2029.06</v>
      </c>
      <c r="B435" s="386" t="e">
        <v>#N/A</v>
      </c>
      <c r="C435" s="447" t="e">
        <v>#N/A</v>
      </c>
      <c r="D435" s="339" t="e">
        <v>#N/A</v>
      </c>
      <c r="E435" s="151" t="e">
        <v>#N/A</v>
      </c>
      <c r="F435" s="414" t="e">
        <v>#N/A</v>
      </c>
    </row>
    <row r="436" spans="1:6">
      <c r="A436" s="53">
        <f t="shared" si="8"/>
        <v>2029.07</v>
      </c>
      <c r="B436" s="386" t="e">
        <v>#N/A</v>
      </c>
      <c r="C436" s="447" t="e">
        <v>#N/A</v>
      </c>
      <c r="D436" s="339" t="e">
        <v>#N/A</v>
      </c>
      <c r="E436" s="151" t="e">
        <v>#N/A</v>
      </c>
      <c r="F436" s="414" t="e">
        <v>#N/A</v>
      </c>
    </row>
    <row r="437" spans="1:6">
      <c r="A437" s="53">
        <f t="shared" si="8"/>
        <v>2029.08</v>
      </c>
      <c r="B437" s="386" t="e">
        <v>#N/A</v>
      </c>
      <c r="C437" s="447" t="e">
        <v>#N/A</v>
      </c>
      <c r="D437" s="339" t="e">
        <v>#N/A</v>
      </c>
      <c r="E437" s="151" t="e">
        <v>#N/A</v>
      </c>
      <c r="F437" s="414" t="e">
        <v>#N/A</v>
      </c>
    </row>
    <row r="438" spans="1:6">
      <c r="A438" s="53">
        <f t="shared" si="8"/>
        <v>2029.09</v>
      </c>
      <c r="B438" s="386" t="e">
        <v>#N/A</v>
      </c>
      <c r="C438" s="447" t="e">
        <v>#N/A</v>
      </c>
      <c r="D438" s="339" t="e">
        <v>#N/A</v>
      </c>
      <c r="E438" s="151" t="e">
        <v>#N/A</v>
      </c>
      <c r="F438" s="414" t="e">
        <v>#N/A</v>
      </c>
    </row>
    <row r="439" spans="1:6">
      <c r="A439" s="53">
        <f t="shared" si="8"/>
        <v>2029.1</v>
      </c>
      <c r="B439" s="386" t="e">
        <v>#N/A</v>
      </c>
      <c r="C439" s="447" t="e">
        <v>#N/A</v>
      </c>
      <c r="D439" s="339" t="e">
        <v>#N/A</v>
      </c>
      <c r="E439" s="151" t="e">
        <v>#N/A</v>
      </c>
      <c r="F439" s="414" t="e">
        <v>#N/A</v>
      </c>
    </row>
    <row r="440" spans="1:6">
      <c r="A440" s="53">
        <f t="shared" si="8"/>
        <v>2029.11</v>
      </c>
      <c r="B440" s="386" t="e">
        <v>#N/A</v>
      </c>
      <c r="C440" s="447" t="e">
        <v>#N/A</v>
      </c>
      <c r="D440" s="339" t="e">
        <v>#N/A</v>
      </c>
      <c r="E440" s="151" t="e">
        <v>#N/A</v>
      </c>
      <c r="F440" s="414" t="e">
        <v>#N/A</v>
      </c>
    </row>
    <row r="441" spans="1:6">
      <c r="A441" s="53">
        <f t="shared" si="8"/>
        <v>2029.12</v>
      </c>
      <c r="B441" s="386" t="e">
        <v>#N/A</v>
      </c>
      <c r="C441" s="447" t="e">
        <v>#N/A</v>
      </c>
      <c r="D441" s="339" t="e">
        <v>#N/A</v>
      </c>
      <c r="E441" s="151" t="e">
        <v>#N/A</v>
      </c>
      <c r="F441" s="414" t="e">
        <v>#N/A</v>
      </c>
    </row>
    <row r="442" spans="1:6">
      <c r="A442" s="53">
        <f t="shared" si="8"/>
        <v>2030.01</v>
      </c>
      <c r="B442" s="386" t="e">
        <v>#N/A</v>
      </c>
      <c r="C442" s="447" t="e">
        <v>#N/A</v>
      </c>
      <c r="D442" s="339" t="e">
        <v>#N/A</v>
      </c>
      <c r="E442" s="151" t="e">
        <v>#N/A</v>
      </c>
      <c r="F442" s="414" t="e">
        <v>#N/A</v>
      </c>
    </row>
    <row r="443" spans="1:6">
      <c r="A443" s="53">
        <f t="shared" si="8"/>
        <v>2030.02</v>
      </c>
      <c r="B443" s="386" t="e">
        <v>#N/A</v>
      </c>
      <c r="C443" s="447" t="e">
        <v>#N/A</v>
      </c>
      <c r="D443" s="339" t="e">
        <v>#N/A</v>
      </c>
      <c r="E443" s="151" t="e">
        <v>#N/A</v>
      </c>
      <c r="F443" s="414" t="e">
        <v>#N/A</v>
      </c>
    </row>
    <row r="444" spans="1:6">
      <c r="A444" s="53">
        <f t="shared" si="8"/>
        <v>2030.03</v>
      </c>
      <c r="B444" s="386" t="e">
        <v>#N/A</v>
      </c>
      <c r="C444" s="447" t="e">
        <v>#N/A</v>
      </c>
      <c r="D444" s="339" t="e">
        <v>#N/A</v>
      </c>
      <c r="E444" s="151" t="e">
        <v>#N/A</v>
      </c>
      <c r="F444" s="414" t="e">
        <v>#N/A</v>
      </c>
    </row>
    <row r="445" spans="1:6">
      <c r="A445" s="53">
        <f t="shared" si="8"/>
        <v>2030.04</v>
      </c>
      <c r="B445" s="386" t="e">
        <v>#N/A</v>
      </c>
      <c r="C445" s="447" t="e">
        <v>#N/A</v>
      </c>
      <c r="D445" s="339" t="e">
        <v>#N/A</v>
      </c>
      <c r="E445" s="151" t="e">
        <v>#N/A</v>
      </c>
      <c r="F445" s="414" t="e">
        <v>#N/A</v>
      </c>
    </row>
    <row r="446" spans="1:6">
      <c r="A446" s="53">
        <f t="shared" si="8"/>
        <v>2030.05</v>
      </c>
      <c r="B446" s="386" t="e">
        <v>#N/A</v>
      </c>
      <c r="C446" s="447" t="e">
        <v>#N/A</v>
      </c>
      <c r="D446" s="339" t="e">
        <v>#N/A</v>
      </c>
      <c r="E446" s="151" t="e">
        <v>#N/A</v>
      </c>
      <c r="F446" s="414" t="e">
        <v>#N/A</v>
      </c>
    </row>
    <row r="447" spans="1:6">
      <c r="A447" s="53">
        <f t="shared" si="8"/>
        <v>2030.06</v>
      </c>
      <c r="B447" s="386" t="e">
        <v>#N/A</v>
      </c>
      <c r="C447" s="447" t="e">
        <v>#N/A</v>
      </c>
      <c r="D447" s="339" t="e">
        <v>#N/A</v>
      </c>
      <c r="E447" s="151" t="e">
        <v>#N/A</v>
      </c>
      <c r="F447" s="414" t="e">
        <v>#N/A</v>
      </c>
    </row>
    <row r="448" spans="1:6">
      <c r="A448" s="53">
        <f t="shared" si="8"/>
        <v>2030.07</v>
      </c>
      <c r="B448" s="386" t="e">
        <v>#N/A</v>
      </c>
      <c r="C448" s="447" t="e">
        <v>#N/A</v>
      </c>
      <c r="D448" s="339" t="e">
        <v>#N/A</v>
      </c>
      <c r="E448" s="151" t="e">
        <v>#N/A</v>
      </c>
      <c r="F448" s="414" t="e">
        <v>#N/A</v>
      </c>
    </row>
    <row r="449" spans="1:6">
      <c r="A449" s="53">
        <f t="shared" si="8"/>
        <v>2030.08</v>
      </c>
      <c r="B449" s="386" t="e">
        <v>#N/A</v>
      </c>
      <c r="C449" s="447" t="e">
        <v>#N/A</v>
      </c>
      <c r="D449" s="339" t="e">
        <v>#N/A</v>
      </c>
      <c r="E449" s="151" t="e">
        <v>#N/A</v>
      </c>
      <c r="F449" s="414" t="e">
        <v>#N/A</v>
      </c>
    </row>
    <row r="450" spans="1:6">
      <c r="A450" s="53">
        <f t="shared" si="8"/>
        <v>2030.09</v>
      </c>
      <c r="B450" s="386" t="e">
        <v>#N/A</v>
      </c>
      <c r="C450" s="447" t="e">
        <v>#N/A</v>
      </c>
      <c r="D450" s="339" t="e">
        <v>#N/A</v>
      </c>
      <c r="E450" s="151" t="e">
        <v>#N/A</v>
      </c>
      <c r="F450" s="414" t="e">
        <v>#N/A</v>
      </c>
    </row>
    <row r="451" spans="1:6">
      <c r="A451" s="53">
        <f t="shared" si="8"/>
        <v>2030.1</v>
      </c>
      <c r="B451" s="386" t="e">
        <v>#N/A</v>
      </c>
      <c r="C451" s="447" t="e">
        <v>#N/A</v>
      </c>
      <c r="D451" s="339" t="e">
        <v>#N/A</v>
      </c>
      <c r="E451" s="151" t="e">
        <v>#N/A</v>
      </c>
      <c r="F451" s="414" t="e">
        <v>#N/A</v>
      </c>
    </row>
    <row r="452" spans="1:6">
      <c r="A452" s="53">
        <f t="shared" si="8"/>
        <v>2030.11</v>
      </c>
      <c r="B452" s="386" t="e">
        <v>#N/A</v>
      </c>
      <c r="C452" s="447" t="e">
        <v>#N/A</v>
      </c>
      <c r="D452" s="339" t="e">
        <v>#N/A</v>
      </c>
      <c r="E452" s="151" t="e">
        <v>#N/A</v>
      </c>
      <c r="F452" s="414" t="e">
        <v>#N/A</v>
      </c>
    </row>
    <row r="453" spans="1:6">
      <c r="A453" s="53">
        <f t="shared" si="8"/>
        <v>2030.12</v>
      </c>
      <c r="B453" s="386" t="e">
        <v>#N/A</v>
      </c>
      <c r="C453" s="447" t="e">
        <v>#N/A</v>
      </c>
      <c r="D453" s="339" t="e">
        <v>#N/A</v>
      </c>
      <c r="E453" s="151" t="e">
        <v>#N/A</v>
      </c>
      <c r="F453" s="414" t="e">
        <v>#N/A</v>
      </c>
    </row>
  </sheetData>
  <phoneticPr fontId="71" type="noConversion"/>
  <hyperlinks>
    <hyperlink ref="A5" location="INDICE!A13" display="VOLVER AL INDICE" xr:uid="{00000000-0004-0000-2100-000000000000}"/>
    <hyperlink ref="D343" r:id="rId1" display="https://servicios.mae.com.ar/estadisticas/volumenes_rfcv.aspx" xr:uid="{00000000-0004-0000-2100-000001000000}"/>
  </hyperlinks>
  <pageMargins left="0.75" right="0.75" top="1" bottom="1" header="0" footer="0"/>
  <pageSetup paperSize="9" orientation="portrait" horizontalDpi="300" verticalDpi="300" r:id="rId2"/>
  <headerFooter alignWithMargins="0"/>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23">
    <pageSetUpPr autoPageBreaks="0"/>
  </sheetPr>
  <dimension ref="A1:AF417"/>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9.5703125" style="21" bestFit="1" customWidth="1"/>
    <col min="2" max="25" width="16.5703125" style="21" customWidth="1"/>
    <col min="26" max="26" width="11.42578125" style="226"/>
    <col min="27" max="27" width="19.42578125" style="226" bestFit="1" customWidth="1"/>
    <col min="28" max="32" width="11.42578125" style="226"/>
    <col min="33" max="16383" width="11.42578125" style="6"/>
    <col min="16384" max="16384" width="11.42578125" style="6" bestFit="1"/>
  </cols>
  <sheetData>
    <row r="1" spans="1:29" ht="3" customHeight="1">
      <c r="A1" s="2761"/>
      <c r="B1" s="96"/>
      <c r="C1" s="96"/>
      <c r="D1" s="96"/>
      <c r="E1" s="96"/>
      <c r="F1" s="96"/>
      <c r="G1" s="96"/>
      <c r="H1" s="96"/>
      <c r="I1" s="96"/>
      <c r="J1" s="96"/>
      <c r="K1" s="96"/>
      <c r="L1" s="96"/>
      <c r="M1" s="96"/>
      <c r="N1" s="96"/>
      <c r="O1" s="96"/>
      <c r="P1" s="96"/>
      <c r="Q1" s="96"/>
      <c r="R1" s="96"/>
      <c r="S1" s="96"/>
      <c r="T1" s="441"/>
      <c r="U1" s="374"/>
      <c r="V1" s="216"/>
      <c r="W1" s="373"/>
      <c r="X1" s="374"/>
      <c r="Y1" s="169"/>
      <c r="Z1" s="1246"/>
      <c r="AA1" s="1246"/>
      <c r="AB1" s="1246"/>
      <c r="AC1" s="1246"/>
    </row>
    <row r="2" spans="1:29" ht="22.5">
      <c r="A2" s="2762" t="s">
        <v>99</v>
      </c>
      <c r="B2" s="320" t="s">
        <v>1386</v>
      </c>
      <c r="C2" s="320"/>
      <c r="D2" s="320"/>
      <c r="E2" s="320"/>
      <c r="F2" s="320"/>
      <c r="G2" s="320"/>
      <c r="H2" s="320"/>
      <c r="I2" s="320"/>
      <c r="J2" s="320"/>
      <c r="K2" s="320" t="str">
        <f>B2</f>
        <v>Ventas en supermercados de gran superficie en la provincia de Santa Fe</v>
      </c>
      <c r="L2" s="320"/>
      <c r="M2" s="320"/>
      <c r="N2" s="320"/>
      <c r="O2" s="320"/>
      <c r="P2" s="1386"/>
      <c r="Q2" s="1386"/>
      <c r="R2" s="1386"/>
      <c r="S2" s="320"/>
      <c r="T2" s="2742" t="s">
        <v>1387</v>
      </c>
      <c r="U2" s="1199"/>
      <c r="V2" s="2736" t="s">
        <v>1388</v>
      </c>
      <c r="W2" s="2736"/>
      <c r="X2" s="2736"/>
      <c r="Y2" s="2913" t="s">
        <v>1389</v>
      </c>
      <c r="Z2" s="1246"/>
      <c r="AA2" s="1246"/>
      <c r="AB2" s="1246"/>
      <c r="AC2" s="1246"/>
    </row>
    <row r="3" spans="1:29" ht="45">
      <c r="A3" s="2762" t="s">
        <v>193</v>
      </c>
      <c r="B3" s="320" t="s">
        <v>135</v>
      </c>
      <c r="C3" s="320"/>
      <c r="D3" s="320"/>
      <c r="E3" s="320"/>
      <c r="F3" s="320"/>
      <c r="G3" s="320"/>
      <c r="H3" s="320"/>
      <c r="I3" s="320"/>
      <c r="J3" s="320"/>
      <c r="K3" s="320" t="s">
        <v>135</v>
      </c>
      <c r="L3" s="320"/>
      <c r="M3" s="320"/>
      <c r="N3" s="320"/>
      <c r="O3" s="38"/>
      <c r="P3" s="38"/>
      <c r="Q3" s="38"/>
      <c r="R3" s="38"/>
      <c r="S3" s="38"/>
      <c r="T3" s="2742" t="s">
        <v>135</v>
      </c>
      <c r="U3" s="1199"/>
      <c r="V3" s="2736" t="s">
        <v>135</v>
      </c>
      <c r="W3" s="2736"/>
      <c r="X3" s="2736"/>
      <c r="Y3" s="2913" t="s">
        <v>123</v>
      </c>
      <c r="Z3" s="1246"/>
      <c r="AA3" s="1246"/>
      <c r="AB3" s="1246"/>
      <c r="AC3" s="1246"/>
    </row>
    <row r="4" spans="1:29" ht="3.75" hidden="1" customHeight="1">
      <c r="A4" s="2762"/>
      <c r="B4" s="38"/>
      <c r="C4" s="38"/>
      <c r="D4" s="38"/>
      <c r="E4" s="38"/>
      <c r="F4" s="38"/>
      <c r="G4" s="38"/>
      <c r="H4" s="38"/>
      <c r="I4" s="38"/>
      <c r="J4" s="38"/>
      <c r="K4" s="38"/>
      <c r="L4" s="38"/>
      <c r="M4" s="38"/>
      <c r="N4" s="38"/>
      <c r="O4" s="38"/>
      <c r="P4" s="38"/>
      <c r="Q4" s="38"/>
      <c r="R4" s="38"/>
      <c r="S4" s="38"/>
      <c r="T4" s="2994"/>
      <c r="U4" s="1387"/>
      <c r="V4" s="2995"/>
      <c r="W4" s="1388"/>
      <c r="X4" s="1387"/>
      <c r="Y4" s="2996"/>
      <c r="Z4" s="1246"/>
      <c r="AA4" s="1246"/>
      <c r="AB4" s="1246"/>
      <c r="AC4" s="1246"/>
    </row>
    <row r="5" spans="1:29" ht="33.75">
      <c r="A5" s="2867" t="s">
        <v>140</v>
      </c>
      <c r="B5" s="3" t="s">
        <v>1154</v>
      </c>
      <c r="C5" s="2758" t="s">
        <v>1175</v>
      </c>
      <c r="D5" s="952" t="s">
        <v>1390</v>
      </c>
      <c r="E5" s="5" t="s">
        <v>1391</v>
      </c>
      <c r="F5" s="952" t="s">
        <v>1392</v>
      </c>
      <c r="G5" s="5" t="s">
        <v>1393</v>
      </c>
      <c r="H5" s="952" t="s">
        <v>1394</v>
      </c>
      <c r="I5" s="5" t="s">
        <v>1395</v>
      </c>
      <c r="J5" s="952" t="s">
        <v>1396</v>
      </c>
      <c r="K5" s="5" t="s">
        <v>1397</v>
      </c>
      <c r="L5" s="952" t="s">
        <v>1398</v>
      </c>
      <c r="M5" s="5" t="s">
        <v>1399</v>
      </c>
      <c r="N5" s="2060" t="s">
        <v>269</v>
      </c>
      <c r="O5" s="2997" t="s">
        <v>1400</v>
      </c>
      <c r="P5" s="2902" t="s">
        <v>1401</v>
      </c>
      <c r="Q5" s="2902" t="s">
        <v>1402</v>
      </c>
      <c r="R5" s="2902" t="s">
        <v>1403</v>
      </c>
      <c r="S5" s="2758" t="s">
        <v>1404</v>
      </c>
      <c r="T5" s="644" t="s">
        <v>1405</v>
      </c>
      <c r="U5" s="133" t="s">
        <v>1406</v>
      </c>
      <c r="V5" s="570" t="s">
        <v>1407</v>
      </c>
      <c r="W5" s="69" t="s">
        <v>1408</v>
      </c>
      <c r="X5" s="2073" t="s">
        <v>1409</v>
      </c>
      <c r="Y5" s="2998" t="s">
        <v>1410</v>
      </c>
      <c r="Z5" s="1246"/>
      <c r="AA5" s="1246"/>
      <c r="AB5" s="1246"/>
      <c r="AC5" s="1246"/>
    </row>
    <row r="6" spans="1:29" ht="3.75" hidden="1" customHeight="1">
      <c r="A6" s="2762"/>
      <c r="B6" s="38"/>
      <c r="C6" s="38"/>
      <c r="D6" s="641"/>
      <c r="E6" s="38"/>
      <c r="F6" s="641"/>
      <c r="G6" s="38"/>
      <c r="H6" s="641"/>
      <c r="I6" s="38"/>
      <c r="J6" s="641"/>
      <c r="K6" s="38"/>
      <c r="L6" s="641"/>
      <c r="M6" s="38"/>
      <c r="N6" s="2074"/>
      <c r="O6" s="38"/>
      <c r="P6" s="38"/>
      <c r="Q6" s="38"/>
      <c r="R6" s="38"/>
      <c r="S6" s="38"/>
      <c r="T6" s="645"/>
      <c r="U6" s="1387"/>
      <c r="V6" s="1389"/>
      <c r="W6" s="1388"/>
      <c r="X6" s="2075"/>
      <c r="Y6" s="2996"/>
      <c r="Z6" s="1246"/>
      <c r="AA6" s="1246"/>
      <c r="AB6" s="1246"/>
      <c r="AC6" s="1246"/>
    </row>
    <row r="7" spans="1:29" ht="22.5">
      <c r="A7" s="2762" t="s">
        <v>125</v>
      </c>
      <c r="B7" s="1390" t="s">
        <v>238</v>
      </c>
      <c r="C7" s="2999" t="str">
        <f>B7</f>
        <v>Miles de pesos corrientes</v>
      </c>
      <c r="D7" s="1391" t="str">
        <f>C7</f>
        <v>Miles de pesos corrientes</v>
      </c>
      <c r="E7" s="1392" t="str">
        <f t="shared" ref="E7:M7" si="0">D7</f>
        <v>Miles de pesos corrientes</v>
      </c>
      <c r="F7" s="1391" t="str">
        <f t="shared" si="0"/>
        <v>Miles de pesos corrientes</v>
      </c>
      <c r="G7" s="1392" t="str">
        <f t="shared" si="0"/>
        <v>Miles de pesos corrientes</v>
      </c>
      <c r="H7" s="1391" t="str">
        <f t="shared" si="0"/>
        <v>Miles de pesos corrientes</v>
      </c>
      <c r="I7" s="1392" t="str">
        <f t="shared" si="0"/>
        <v>Miles de pesos corrientes</v>
      </c>
      <c r="J7" s="1391" t="str">
        <f t="shared" si="0"/>
        <v>Miles de pesos corrientes</v>
      </c>
      <c r="K7" s="1392" t="str">
        <f t="shared" si="0"/>
        <v>Miles de pesos corrientes</v>
      </c>
      <c r="L7" s="1391" t="str">
        <f t="shared" si="0"/>
        <v>Miles de pesos corrientes</v>
      </c>
      <c r="M7" s="1392" t="str">
        <f t="shared" si="0"/>
        <v>Miles de pesos corrientes</v>
      </c>
      <c r="N7" s="2076" t="str">
        <f>M7</f>
        <v>Miles de pesos corrientes</v>
      </c>
      <c r="O7" s="3000" t="s">
        <v>1411</v>
      </c>
      <c r="P7" s="2816" t="s">
        <v>1412</v>
      </c>
      <c r="Q7" s="2816" t="s">
        <v>1413</v>
      </c>
      <c r="R7" s="2816" t="s">
        <v>1414</v>
      </c>
      <c r="S7" s="2824" t="s">
        <v>1415</v>
      </c>
      <c r="T7" s="698" t="str">
        <f>$B7</f>
        <v>Miles de pesos corrientes</v>
      </c>
      <c r="U7" s="1304" t="str">
        <f>$B7</f>
        <v>Miles de pesos corrientes</v>
      </c>
      <c r="V7" s="698" t="s">
        <v>1416</v>
      </c>
      <c r="W7" s="784" t="s">
        <v>1416</v>
      </c>
      <c r="X7" s="2073" t="s">
        <v>1416</v>
      </c>
      <c r="Y7" s="3001" t="s">
        <v>241</v>
      </c>
      <c r="Z7" s="1246"/>
      <c r="AA7" s="1246"/>
      <c r="AB7" s="1246"/>
      <c r="AC7" s="1246"/>
    </row>
    <row r="8" spans="1:29" ht="14.25" customHeight="1">
      <c r="A8" s="3002" t="s">
        <v>144</v>
      </c>
      <c r="B8" s="2239" t="s">
        <v>1417</v>
      </c>
      <c r="C8" s="2967" t="s">
        <v>1418</v>
      </c>
      <c r="D8" s="2238" t="s">
        <v>1419</v>
      </c>
      <c r="E8" s="2966" t="s">
        <v>1420</v>
      </c>
      <c r="F8" s="2238" t="s">
        <v>1421</v>
      </c>
      <c r="G8" s="2966" t="s">
        <v>1422</v>
      </c>
      <c r="H8" s="2238" t="s">
        <v>1423</v>
      </c>
      <c r="I8" s="2966" t="s">
        <v>1424</v>
      </c>
      <c r="J8" s="2238" t="s">
        <v>1425</v>
      </c>
      <c r="K8" s="2966" t="s">
        <v>1426</v>
      </c>
      <c r="L8" s="2238" t="s">
        <v>1427</v>
      </c>
      <c r="M8" s="2966" t="s">
        <v>1428</v>
      </c>
      <c r="N8" s="3640" t="s">
        <v>1429</v>
      </c>
      <c r="O8" s="2992" t="s">
        <v>1430</v>
      </c>
      <c r="P8" s="2992" t="s">
        <v>1431</v>
      </c>
      <c r="Q8" s="2992" t="s">
        <v>1432</v>
      </c>
      <c r="R8" s="2992" t="s">
        <v>1433</v>
      </c>
      <c r="S8" s="2967" t="s">
        <v>1434</v>
      </c>
      <c r="T8" s="2969" t="s">
        <v>1435</v>
      </c>
      <c r="U8" s="2239" t="s">
        <v>1436</v>
      </c>
      <c r="V8" s="2969" t="s">
        <v>1437</v>
      </c>
      <c r="W8" s="2966" t="s">
        <v>1438</v>
      </c>
      <c r="X8" s="3640" t="s">
        <v>1439</v>
      </c>
      <c r="Y8" s="2993" t="s">
        <v>1440</v>
      </c>
      <c r="Z8" s="1246"/>
      <c r="AA8" s="1246"/>
      <c r="AB8" s="1246"/>
      <c r="AC8" s="1246"/>
    </row>
    <row r="9" spans="1:29" ht="13.5" thickBot="1">
      <c r="A9" s="2140"/>
      <c r="B9" s="1372"/>
      <c r="C9" s="573"/>
      <c r="D9" s="1244"/>
      <c r="E9" s="460"/>
      <c r="F9" s="1244"/>
      <c r="G9" s="460"/>
      <c r="H9" s="1244"/>
      <c r="I9" s="460"/>
      <c r="J9" s="1244"/>
      <c r="K9" s="460"/>
      <c r="L9" s="1244"/>
      <c r="M9" s="460"/>
      <c r="N9" s="1393"/>
      <c r="O9" s="1332"/>
      <c r="P9" s="1394"/>
      <c r="Q9" s="1332"/>
      <c r="R9" s="90"/>
      <c r="S9" s="51"/>
      <c r="T9" s="2256"/>
      <c r="U9" s="1372"/>
      <c r="V9" s="2257"/>
      <c r="W9" s="1322"/>
      <c r="X9" s="1363"/>
      <c r="Y9" s="1395"/>
      <c r="Z9" s="1246"/>
      <c r="AA9" s="1246"/>
      <c r="AB9" s="1246"/>
      <c r="AC9" s="1246"/>
    </row>
    <row r="10" spans="1:29">
      <c r="A10" s="53">
        <v>1997.01</v>
      </c>
      <c r="B10" s="659">
        <v>36062</v>
      </c>
      <c r="C10" s="340">
        <f>SUM(D10:J10)</f>
        <v>23687</v>
      </c>
      <c r="D10" s="642">
        <v>4557</v>
      </c>
      <c r="E10" s="150">
        <v>7548</v>
      </c>
      <c r="F10" s="642">
        <v>1072</v>
      </c>
      <c r="G10" s="150">
        <v>3200</v>
      </c>
      <c r="H10" s="642">
        <v>4052</v>
      </c>
      <c r="I10" s="150">
        <v>1874</v>
      </c>
      <c r="J10" s="642">
        <v>1384</v>
      </c>
      <c r="K10" s="150">
        <v>5113</v>
      </c>
      <c r="L10" s="642">
        <v>1570</v>
      </c>
      <c r="M10" s="150">
        <v>2112</v>
      </c>
      <c r="N10" s="1015">
        <v>3580</v>
      </c>
      <c r="O10" s="1016"/>
      <c r="P10" s="659">
        <v>65289</v>
      </c>
      <c r="Q10" s="158">
        <v>2379760</v>
      </c>
      <c r="R10" s="372">
        <f>$B10/P10*1000</f>
        <v>552.3441927430348</v>
      </c>
      <c r="S10" s="1613">
        <f>$B10/Q10*1000</f>
        <v>15.153628937371835</v>
      </c>
      <c r="T10" s="1612"/>
      <c r="U10" s="1984">
        <v>1012608</v>
      </c>
      <c r="V10" s="647"/>
      <c r="W10" s="261"/>
      <c r="X10" s="3003"/>
      <c r="Y10" s="442"/>
      <c r="Z10" s="941"/>
      <c r="AA10" s="1246"/>
      <c r="AB10" s="1246"/>
      <c r="AC10" s="1246"/>
    </row>
    <row r="11" spans="1:29">
      <c r="A11" s="53">
        <v>1997.02</v>
      </c>
      <c r="B11" s="141">
        <v>36055</v>
      </c>
      <c r="C11" s="2382">
        <f>SUM(D11:J11)</f>
        <v>23408</v>
      </c>
      <c r="D11" s="3504">
        <v>3939</v>
      </c>
      <c r="E11" s="151">
        <v>7685</v>
      </c>
      <c r="F11" s="3504">
        <v>953</v>
      </c>
      <c r="G11" s="151">
        <v>3222</v>
      </c>
      <c r="H11" s="3504">
        <v>4087</v>
      </c>
      <c r="I11" s="151">
        <v>1878</v>
      </c>
      <c r="J11" s="3504">
        <v>1644</v>
      </c>
      <c r="K11" s="151">
        <v>4894</v>
      </c>
      <c r="L11" s="3504">
        <v>1679</v>
      </c>
      <c r="M11" s="151">
        <v>1866</v>
      </c>
      <c r="N11" s="1396">
        <v>4208</v>
      </c>
      <c r="O11" s="1397"/>
      <c r="P11" s="1398">
        <v>65289</v>
      </c>
      <c r="Q11" s="1398">
        <v>2183907</v>
      </c>
      <c r="R11" s="1602">
        <f t="shared" ref="R11:R74" si="1">$B11/P11*1000</f>
        <v>552.23697713244189</v>
      </c>
      <c r="S11" s="1604">
        <f t="shared" ref="S11:S74" si="2">$B11/Q11*1000</f>
        <v>16.509402643977054</v>
      </c>
      <c r="T11" s="646"/>
      <c r="U11" s="1982">
        <v>1000179</v>
      </c>
      <c r="V11" s="647"/>
      <c r="W11" s="261"/>
      <c r="X11" s="3003"/>
      <c r="Y11" s="442"/>
      <c r="Z11" s="941"/>
      <c r="AA11" s="1246"/>
      <c r="AB11" s="941"/>
      <c r="AC11" s="941"/>
    </row>
    <row r="12" spans="1:29">
      <c r="A12" s="53">
        <v>1997.03</v>
      </c>
      <c r="B12" s="141">
        <v>40980</v>
      </c>
      <c r="C12" s="2382">
        <f t="shared" ref="C12:C75" si="3">SUM(D12:J12)</f>
        <v>27366</v>
      </c>
      <c r="D12" s="3504">
        <v>4454</v>
      </c>
      <c r="E12" s="151">
        <v>9988</v>
      </c>
      <c r="F12" s="3504">
        <v>1078</v>
      </c>
      <c r="G12" s="151">
        <v>3556</v>
      </c>
      <c r="H12" s="3504">
        <v>4589</v>
      </c>
      <c r="I12" s="151">
        <v>2072</v>
      </c>
      <c r="J12" s="3504">
        <v>1629</v>
      </c>
      <c r="K12" s="151">
        <v>5607</v>
      </c>
      <c r="L12" s="3504">
        <v>1612</v>
      </c>
      <c r="M12" s="151">
        <v>2093</v>
      </c>
      <c r="N12" s="1396">
        <v>4302</v>
      </c>
      <c r="O12" s="1397"/>
      <c r="P12" s="1398">
        <v>65289</v>
      </c>
      <c r="Q12" s="1398">
        <v>2437771</v>
      </c>
      <c r="R12" s="1602">
        <f t="shared" si="1"/>
        <v>627.6708174424482</v>
      </c>
      <c r="S12" s="1604">
        <f t="shared" si="2"/>
        <v>16.810438716351946</v>
      </c>
      <c r="T12" s="646"/>
      <c r="U12" s="1982">
        <v>1172062</v>
      </c>
      <c r="V12" s="647"/>
      <c r="W12" s="261"/>
      <c r="X12" s="3003"/>
      <c r="Y12" s="442"/>
      <c r="Z12" s="941"/>
      <c r="AA12" s="1246"/>
      <c r="AB12" s="941"/>
      <c r="AC12" s="941"/>
    </row>
    <row r="13" spans="1:29">
      <c r="A13" s="53">
        <v>1997.04</v>
      </c>
      <c r="B13" s="141">
        <v>38584</v>
      </c>
      <c r="C13" s="2382">
        <f t="shared" si="3"/>
        <v>26043</v>
      </c>
      <c r="D13" s="3504">
        <v>4025</v>
      </c>
      <c r="E13" s="151">
        <v>9162</v>
      </c>
      <c r="F13" s="3504">
        <v>1098</v>
      </c>
      <c r="G13" s="151">
        <v>3647</v>
      </c>
      <c r="H13" s="3504">
        <v>4612</v>
      </c>
      <c r="I13" s="151">
        <v>1967</v>
      </c>
      <c r="J13" s="3504">
        <v>1532</v>
      </c>
      <c r="K13" s="151">
        <v>5266</v>
      </c>
      <c r="L13" s="3504">
        <v>1674</v>
      </c>
      <c r="M13" s="151">
        <v>2003</v>
      </c>
      <c r="N13" s="1396">
        <v>3598</v>
      </c>
      <c r="O13" s="1397"/>
      <c r="P13" s="1398">
        <v>65289</v>
      </c>
      <c r="Q13" s="1398">
        <v>2365547</v>
      </c>
      <c r="R13" s="1602">
        <f t="shared" si="1"/>
        <v>590.97244558807756</v>
      </c>
      <c r="S13" s="1604">
        <f t="shared" si="2"/>
        <v>16.310815215254653</v>
      </c>
      <c r="T13" s="646"/>
      <c r="U13" s="1982">
        <v>1058967</v>
      </c>
      <c r="V13" s="647"/>
      <c r="W13" s="261"/>
      <c r="X13" s="3003"/>
      <c r="Y13" s="442"/>
      <c r="Z13" s="941"/>
      <c r="AA13" s="1246"/>
      <c r="AB13" s="941"/>
      <c r="AC13" s="941"/>
    </row>
    <row r="14" spans="1:29">
      <c r="A14" s="53">
        <v>1997.05</v>
      </c>
      <c r="B14" s="141">
        <v>40742</v>
      </c>
      <c r="C14" s="2382">
        <f t="shared" si="3"/>
        <v>27454</v>
      </c>
      <c r="D14" s="3504">
        <v>4054</v>
      </c>
      <c r="E14" s="151">
        <v>9971</v>
      </c>
      <c r="F14" s="3504">
        <v>1173</v>
      </c>
      <c r="G14" s="151">
        <v>3828</v>
      </c>
      <c r="H14" s="3504">
        <v>4646</v>
      </c>
      <c r="I14" s="151">
        <v>1958</v>
      </c>
      <c r="J14" s="3504">
        <v>1824</v>
      </c>
      <c r="K14" s="151">
        <v>5479</v>
      </c>
      <c r="L14" s="3504">
        <v>1888</v>
      </c>
      <c r="M14" s="151">
        <v>2228</v>
      </c>
      <c r="N14" s="1396">
        <v>3693</v>
      </c>
      <c r="O14" s="1397"/>
      <c r="P14" s="1398">
        <v>65289</v>
      </c>
      <c r="Q14" s="1398">
        <v>2419081</v>
      </c>
      <c r="R14" s="1602">
        <f t="shared" si="1"/>
        <v>624.02548668228951</v>
      </c>
      <c r="S14" s="1604">
        <f t="shared" si="2"/>
        <v>16.841932948917378</v>
      </c>
      <c r="T14" s="646"/>
      <c r="U14" s="1982">
        <v>1101202</v>
      </c>
      <c r="V14" s="647"/>
      <c r="W14" s="261"/>
      <c r="X14" s="3003"/>
      <c r="Y14" s="442"/>
      <c r="Z14" s="941"/>
      <c r="AA14" s="1246"/>
      <c r="AB14" s="941"/>
      <c r="AC14" s="941"/>
    </row>
    <row r="15" spans="1:29">
      <c r="A15" s="53">
        <v>1997.06</v>
      </c>
      <c r="B15" s="141">
        <v>40153</v>
      </c>
      <c r="C15" s="2382">
        <f t="shared" si="3"/>
        <v>26708</v>
      </c>
      <c r="D15" s="3504">
        <v>3941</v>
      </c>
      <c r="E15" s="151">
        <v>9810</v>
      </c>
      <c r="F15" s="3504">
        <v>1110</v>
      </c>
      <c r="G15" s="151">
        <v>3705</v>
      </c>
      <c r="H15" s="3504">
        <v>4505</v>
      </c>
      <c r="I15" s="151">
        <v>1852</v>
      </c>
      <c r="J15" s="3504">
        <v>1785</v>
      </c>
      <c r="K15" s="151">
        <v>5185</v>
      </c>
      <c r="L15" s="3504">
        <v>2051</v>
      </c>
      <c r="M15" s="151">
        <v>2644</v>
      </c>
      <c r="N15" s="1396">
        <v>3565</v>
      </c>
      <c r="O15" s="1397"/>
      <c r="P15" s="1398">
        <v>65289</v>
      </c>
      <c r="Q15" s="1398">
        <v>2338210</v>
      </c>
      <c r="R15" s="1602">
        <f t="shared" si="1"/>
        <v>615.00405887668671</v>
      </c>
      <c r="S15" s="1604">
        <f t="shared" si="2"/>
        <v>17.172537967077378</v>
      </c>
      <c r="T15" s="646"/>
      <c r="U15" s="1982">
        <v>1069056</v>
      </c>
      <c r="V15" s="647"/>
      <c r="W15" s="261"/>
      <c r="X15" s="3003"/>
      <c r="Y15" s="442"/>
      <c r="Z15" s="941"/>
      <c r="AA15" s="1246"/>
      <c r="AB15" s="941"/>
      <c r="AC15" s="941"/>
    </row>
    <row r="16" spans="1:29">
      <c r="A16" s="53">
        <v>1997.07</v>
      </c>
      <c r="B16" s="141">
        <v>40860</v>
      </c>
      <c r="C16" s="2382">
        <f t="shared" si="3"/>
        <v>27518</v>
      </c>
      <c r="D16" s="3504">
        <v>4090</v>
      </c>
      <c r="E16" s="151">
        <v>10071</v>
      </c>
      <c r="F16" s="3504">
        <v>1088</v>
      </c>
      <c r="G16" s="151">
        <v>3802</v>
      </c>
      <c r="H16" s="3504">
        <v>4596</v>
      </c>
      <c r="I16" s="151">
        <v>1908</v>
      </c>
      <c r="J16" s="3504">
        <v>1963</v>
      </c>
      <c r="K16" s="151">
        <v>5284</v>
      </c>
      <c r="L16" s="3504">
        <v>1902</v>
      </c>
      <c r="M16" s="151">
        <v>2446</v>
      </c>
      <c r="N16" s="1396">
        <v>3710</v>
      </c>
      <c r="O16" s="1397"/>
      <c r="P16" s="1398">
        <v>66579</v>
      </c>
      <c r="Q16" s="1398">
        <v>2500610</v>
      </c>
      <c r="R16" s="1602">
        <f t="shared" si="1"/>
        <v>613.70702473752976</v>
      </c>
      <c r="S16" s="1604">
        <f t="shared" si="2"/>
        <v>16.340013036819016</v>
      </c>
      <c r="T16" s="646"/>
      <c r="U16" s="1982">
        <v>1090725</v>
      </c>
      <c r="V16" s="647"/>
      <c r="W16" s="261"/>
      <c r="X16" s="3003"/>
      <c r="Y16" s="442"/>
      <c r="Z16" s="941"/>
      <c r="AA16" s="1246"/>
      <c r="AB16" s="941"/>
      <c r="AC16" s="941"/>
    </row>
    <row r="17" spans="1:29">
      <c r="A17" s="53">
        <v>1997.08</v>
      </c>
      <c r="B17" s="141">
        <v>42449</v>
      </c>
      <c r="C17" s="2382">
        <f t="shared" si="3"/>
        <v>28426</v>
      </c>
      <c r="D17" s="3504">
        <v>3870</v>
      </c>
      <c r="E17" s="151">
        <v>10928</v>
      </c>
      <c r="F17" s="3504">
        <v>1166</v>
      </c>
      <c r="G17" s="151">
        <v>3665</v>
      </c>
      <c r="H17" s="3504">
        <v>4922</v>
      </c>
      <c r="I17" s="151">
        <v>1968</v>
      </c>
      <c r="J17" s="3504">
        <v>1907</v>
      </c>
      <c r="K17" s="151">
        <v>5535</v>
      </c>
      <c r="L17" s="3504">
        <v>1628</v>
      </c>
      <c r="M17" s="151">
        <v>2597</v>
      </c>
      <c r="N17" s="1396">
        <v>4263</v>
      </c>
      <c r="O17" s="1397"/>
      <c r="P17" s="1398">
        <v>66579</v>
      </c>
      <c r="Q17" s="1398">
        <v>2487965</v>
      </c>
      <c r="R17" s="1602">
        <f t="shared" si="1"/>
        <v>637.5734090328782</v>
      </c>
      <c r="S17" s="1604">
        <f t="shared" si="2"/>
        <v>17.061735193220162</v>
      </c>
      <c r="T17" s="646"/>
      <c r="U17" s="1982">
        <v>1133105</v>
      </c>
      <c r="V17" s="647"/>
      <c r="W17" s="261"/>
      <c r="X17" s="3003"/>
      <c r="Y17" s="442"/>
      <c r="Z17" s="941"/>
      <c r="AA17" s="1246"/>
      <c r="AB17" s="941"/>
      <c r="AC17" s="941"/>
    </row>
    <row r="18" spans="1:29">
      <c r="A18" s="53">
        <v>1997.09</v>
      </c>
      <c r="B18" s="141">
        <v>37368</v>
      </c>
      <c r="C18" s="2382">
        <f t="shared" si="3"/>
        <v>25408</v>
      </c>
      <c r="D18" s="3504">
        <v>3917</v>
      </c>
      <c r="E18" s="151">
        <v>9410</v>
      </c>
      <c r="F18" s="3504">
        <v>1134</v>
      </c>
      <c r="G18" s="151">
        <v>3206</v>
      </c>
      <c r="H18" s="3504">
        <v>4424</v>
      </c>
      <c r="I18" s="151">
        <v>1842</v>
      </c>
      <c r="J18" s="3504">
        <v>1475</v>
      </c>
      <c r="K18" s="151">
        <v>5075</v>
      </c>
      <c r="L18" s="3504">
        <v>1370</v>
      </c>
      <c r="M18" s="151">
        <v>2558</v>
      </c>
      <c r="N18" s="1396">
        <v>2957</v>
      </c>
      <c r="O18" s="1397"/>
      <c r="P18" s="1398">
        <v>65585</v>
      </c>
      <c r="Q18" s="1398">
        <v>2335692</v>
      </c>
      <c r="R18" s="1602">
        <f t="shared" si="1"/>
        <v>569.76442784173207</v>
      </c>
      <c r="S18" s="1604">
        <f t="shared" si="2"/>
        <v>15.998684758093106</v>
      </c>
      <c r="T18" s="646"/>
      <c r="U18" s="1982">
        <v>1034426</v>
      </c>
      <c r="V18" s="647"/>
      <c r="W18" s="261"/>
      <c r="X18" s="3003"/>
      <c r="Y18" s="442"/>
      <c r="Z18" s="941"/>
      <c r="AA18" s="1246"/>
      <c r="AB18" s="941"/>
      <c r="AC18" s="941"/>
    </row>
    <row r="19" spans="1:29">
      <c r="A19" s="53">
        <v>1997.1</v>
      </c>
      <c r="B19" s="141">
        <v>41085</v>
      </c>
      <c r="C19" s="2382">
        <f t="shared" si="3"/>
        <v>28247</v>
      </c>
      <c r="D19" s="3504">
        <v>4627</v>
      </c>
      <c r="E19" s="151">
        <v>10654</v>
      </c>
      <c r="F19" s="3504">
        <v>1244</v>
      </c>
      <c r="G19" s="151">
        <v>3443</v>
      </c>
      <c r="H19" s="3504">
        <v>4708</v>
      </c>
      <c r="I19" s="151">
        <v>1993</v>
      </c>
      <c r="J19" s="3504">
        <v>1578</v>
      </c>
      <c r="K19" s="151">
        <v>5401</v>
      </c>
      <c r="L19" s="3504">
        <v>1594</v>
      </c>
      <c r="M19" s="151">
        <v>2843</v>
      </c>
      <c r="N19" s="1396">
        <v>3000</v>
      </c>
      <c r="O19" s="1397"/>
      <c r="P19" s="1398">
        <v>65585</v>
      </c>
      <c r="Q19" s="1398">
        <v>2419043</v>
      </c>
      <c r="R19" s="1602">
        <f t="shared" si="1"/>
        <v>626.4389723259892</v>
      </c>
      <c r="S19" s="1604">
        <f>$B19/Q19*1000</f>
        <v>16.983989122971355</v>
      </c>
      <c r="T19" s="646"/>
      <c r="U19" s="1982">
        <v>1114832</v>
      </c>
      <c r="V19" s="647"/>
      <c r="W19" s="261"/>
      <c r="X19" s="3003"/>
      <c r="Y19" s="442"/>
      <c r="Z19" s="941"/>
      <c r="AA19" s="1246"/>
      <c r="AB19" s="941"/>
      <c r="AC19" s="941"/>
    </row>
    <row r="20" spans="1:29">
      <c r="A20" s="53">
        <v>1997.11</v>
      </c>
      <c r="B20" s="141">
        <v>43782</v>
      </c>
      <c r="C20" s="2382">
        <f t="shared" si="3"/>
        <v>28408</v>
      </c>
      <c r="D20" s="3504">
        <v>4955</v>
      </c>
      <c r="E20" s="151">
        <v>10432</v>
      </c>
      <c r="F20" s="3504">
        <v>1269</v>
      </c>
      <c r="G20" s="151">
        <v>3373</v>
      </c>
      <c r="H20" s="3504">
        <v>4728</v>
      </c>
      <c r="I20" s="151">
        <v>2005</v>
      </c>
      <c r="J20" s="3504">
        <v>1646</v>
      </c>
      <c r="K20" s="151">
        <v>5913</v>
      </c>
      <c r="L20" s="3504">
        <v>2281</v>
      </c>
      <c r="M20" s="151">
        <v>3188</v>
      </c>
      <c r="N20" s="1396">
        <v>3992</v>
      </c>
      <c r="O20" s="1397"/>
      <c r="P20" s="1398">
        <v>65735</v>
      </c>
      <c r="Q20" s="1398">
        <v>2410570</v>
      </c>
      <c r="R20" s="1602">
        <f t="shared" si="1"/>
        <v>666.03787936411356</v>
      </c>
      <c r="S20" s="1604">
        <f t="shared" si="2"/>
        <v>18.162509282037028</v>
      </c>
      <c r="T20" s="646"/>
      <c r="U20" s="1982">
        <v>1149640</v>
      </c>
      <c r="V20" s="647"/>
      <c r="W20" s="261"/>
      <c r="X20" s="3003"/>
      <c r="Y20" s="442"/>
      <c r="Z20" s="941"/>
      <c r="AA20" s="1246"/>
      <c r="AB20" s="941"/>
      <c r="AC20" s="941"/>
    </row>
    <row r="21" spans="1:29">
      <c r="A21" s="53">
        <v>1997.12</v>
      </c>
      <c r="B21" s="141">
        <v>56844</v>
      </c>
      <c r="C21" s="2382">
        <f t="shared" si="3"/>
        <v>36320</v>
      </c>
      <c r="D21" s="3504">
        <v>8500</v>
      </c>
      <c r="E21" s="151">
        <v>12186</v>
      </c>
      <c r="F21" s="3504">
        <v>1699</v>
      </c>
      <c r="G21" s="151">
        <v>3830</v>
      </c>
      <c r="H21" s="3504">
        <v>5477</v>
      </c>
      <c r="I21" s="151">
        <v>2518</v>
      </c>
      <c r="J21" s="3504">
        <v>2110</v>
      </c>
      <c r="K21" s="151">
        <v>6773</v>
      </c>
      <c r="L21" s="3504">
        <v>3401</v>
      </c>
      <c r="M21" s="151">
        <v>3592</v>
      </c>
      <c r="N21" s="1396">
        <v>6758</v>
      </c>
      <c r="O21" s="1397"/>
      <c r="P21" s="1398">
        <v>76356</v>
      </c>
      <c r="Q21" s="1398">
        <v>2767396</v>
      </c>
      <c r="R21" s="1602">
        <f t="shared" si="1"/>
        <v>744.46016030174439</v>
      </c>
      <c r="S21" s="1604">
        <f t="shared" si="2"/>
        <v>20.540609294802767</v>
      </c>
      <c r="T21" s="646"/>
      <c r="U21" s="1982">
        <v>1440639</v>
      </c>
      <c r="V21" s="647"/>
      <c r="W21" s="261"/>
      <c r="X21" s="3003"/>
      <c r="Y21" s="442"/>
      <c r="Z21" s="941"/>
      <c r="AA21" s="1246"/>
      <c r="AB21" s="941"/>
      <c r="AC21" s="941"/>
    </row>
    <row r="22" spans="1:29">
      <c r="A22" s="53">
        <v>1998.01</v>
      </c>
      <c r="B22" s="141">
        <v>40932</v>
      </c>
      <c r="C22" s="2382">
        <f t="shared" si="3"/>
        <v>26473</v>
      </c>
      <c r="D22" s="3504">
        <v>5124</v>
      </c>
      <c r="E22" s="151">
        <v>8354</v>
      </c>
      <c r="F22" s="3504">
        <v>1480</v>
      </c>
      <c r="G22" s="151">
        <v>2988</v>
      </c>
      <c r="H22" s="3504">
        <v>4773</v>
      </c>
      <c r="I22" s="151">
        <v>2101</v>
      </c>
      <c r="J22" s="3504">
        <v>1653</v>
      </c>
      <c r="K22" s="151">
        <v>5839</v>
      </c>
      <c r="L22" s="3504">
        <v>1964</v>
      </c>
      <c r="M22" s="151">
        <v>2526</v>
      </c>
      <c r="N22" s="1396">
        <v>4130</v>
      </c>
      <c r="O22" s="1397"/>
      <c r="P22" s="1398">
        <v>76106</v>
      </c>
      <c r="Q22" s="1398">
        <v>2369400</v>
      </c>
      <c r="R22" s="1602">
        <f t="shared" si="1"/>
        <v>537.82881770162669</v>
      </c>
      <c r="S22" s="1604">
        <f t="shared" si="2"/>
        <v>17.275259559382121</v>
      </c>
      <c r="T22" s="646"/>
      <c r="U22" s="1982">
        <v>1127049</v>
      </c>
      <c r="V22" s="647"/>
      <c r="W22" s="261"/>
      <c r="X22" s="3003"/>
      <c r="Y22" s="442"/>
      <c r="Z22" s="941"/>
      <c r="AA22" s="1246"/>
      <c r="AB22" s="941"/>
      <c r="AC22" s="941"/>
    </row>
    <row r="23" spans="1:29">
      <c r="A23" s="53">
        <v>1998.02</v>
      </c>
      <c r="B23" s="141">
        <v>41854</v>
      </c>
      <c r="C23" s="2382">
        <f t="shared" si="3"/>
        <v>27310</v>
      </c>
      <c r="D23" s="3504">
        <v>4406</v>
      </c>
      <c r="E23" s="151">
        <v>9680</v>
      </c>
      <c r="F23" s="3504">
        <v>1284</v>
      </c>
      <c r="G23" s="151">
        <v>3372</v>
      </c>
      <c r="H23" s="3504">
        <v>4716</v>
      </c>
      <c r="I23" s="151">
        <v>2131</v>
      </c>
      <c r="J23" s="3504">
        <v>1721</v>
      </c>
      <c r="K23" s="151">
        <v>5707</v>
      </c>
      <c r="L23" s="3504">
        <v>1914</v>
      </c>
      <c r="M23" s="151">
        <v>2685</v>
      </c>
      <c r="N23" s="1396">
        <v>4238</v>
      </c>
      <c r="O23" s="1397"/>
      <c r="P23" s="1398">
        <v>76106</v>
      </c>
      <c r="Q23" s="1398">
        <v>2312378</v>
      </c>
      <c r="R23" s="1602">
        <f t="shared" si="1"/>
        <v>549.94349985546478</v>
      </c>
      <c r="S23" s="1604">
        <f t="shared" si="2"/>
        <v>18.09998192337066</v>
      </c>
      <c r="T23" s="646"/>
      <c r="U23" s="1982">
        <v>1094102</v>
      </c>
      <c r="V23" s="647"/>
      <c r="W23" s="261"/>
      <c r="X23" s="3003"/>
      <c r="Y23" s="442"/>
      <c r="Z23" s="941"/>
      <c r="AA23" s="1246"/>
      <c r="AB23" s="941"/>
      <c r="AC23" s="941"/>
    </row>
    <row r="24" spans="1:29">
      <c r="A24" s="53">
        <v>1998.03</v>
      </c>
      <c r="B24" s="141">
        <v>48346</v>
      </c>
      <c r="C24" s="2382">
        <f t="shared" si="3"/>
        <v>31539</v>
      </c>
      <c r="D24" s="3504">
        <v>4606</v>
      </c>
      <c r="E24" s="151">
        <v>11975</v>
      </c>
      <c r="F24" s="3504">
        <v>1564</v>
      </c>
      <c r="G24" s="151">
        <v>3743</v>
      </c>
      <c r="H24" s="3504">
        <v>5323</v>
      </c>
      <c r="I24" s="151">
        <v>2375</v>
      </c>
      <c r="J24" s="3504">
        <v>1953</v>
      </c>
      <c r="K24" s="151">
        <v>6408</v>
      </c>
      <c r="L24" s="3504">
        <v>2364</v>
      </c>
      <c r="M24" s="151">
        <v>3084</v>
      </c>
      <c r="N24" s="1396">
        <v>4951</v>
      </c>
      <c r="O24" s="1397"/>
      <c r="P24" s="1398">
        <v>75406</v>
      </c>
      <c r="Q24" s="1398">
        <v>2746148</v>
      </c>
      <c r="R24" s="1602">
        <f t="shared" si="1"/>
        <v>641.14261464604942</v>
      </c>
      <c r="S24" s="1604">
        <f t="shared" si="2"/>
        <v>17.6050234728791</v>
      </c>
      <c r="T24" s="646"/>
      <c r="U24" s="1982">
        <v>1230808</v>
      </c>
      <c r="V24" s="647"/>
      <c r="W24" s="261"/>
      <c r="X24" s="3003"/>
      <c r="Y24" s="442"/>
      <c r="Z24" s="941"/>
      <c r="AA24" s="1246"/>
      <c r="AB24" s="941"/>
      <c r="AC24" s="941"/>
    </row>
    <row r="25" spans="1:29">
      <c r="A25" s="53">
        <v>1998.04</v>
      </c>
      <c r="B25" s="141">
        <v>44050</v>
      </c>
      <c r="C25" s="2382">
        <f t="shared" si="3"/>
        <v>29595</v>
      </c>
      <c r="D25" s="3504">
        <v>4458</v>
      </c>
      <c r="E25" s="151">
        <v>11779</v>
      </c>
      <c r="F25" s="3504">
        <v>1385</v>
      </c>
      <c r="G25" s="151">
        <v>3479</v>
      </c>
      <c r="H25" s="3504">
        <v>4833</v>
      </c>
      <c r="I25" s="151">
        <v>2105</v>
      </c>
      <c r="J25" s="3504">
        <v>1556</v>
      </c>
      <c r="K25" s="151">
        <v>5812</v>
      </c>
      <c r="L25" s="3504">
        <v>2185</v>
      </c>
      <c r="M25" s="151">
        <v>2810</v>
      </c>
      <c r="N25" s="1396">
        <v>3648</v>
      </c>
      <c r="O25" s="1397"/>
      <c r="P25" s="1398">
        <v>68059</v>
      </c>
      <c r="Q25" s="1398">
        <v>2241425</v>
      </c>
      <c r="R25" s="1602">
        <f t="shared" si="1"/>
        <v>647.23254823021205</v>
      </c>
      <c r="S25" s="1604">
        <f t="shared" si="2"/>
        <v>19.652676310829047</v>
      </c>
      <c r="T25" s="646"/>
      <c r="U25" s="1982">
        <v>1171945</v>
      </c>
      <c r="V25" s="647"/>
      <c r="W25" s="261"/>
      <c r="X25" s="3003"/>
      <c r="Y25" s="442"/>
      <c r="Z25" s="941"/>
      <c r="AA25" s="1246"/>
      <c r="AB25" s="941"/>
      <c r="AC25" s="941"/>
    </row>
    <row r="26" spans="1:29">
      <c r="A26" s="53">
        <v>1998.05</v>
      </c>
      <c r="B26" s="141">
        <v>46266</v>
      </c>
      <c r="C26" s="2382">
        <f t="shared" si="3"/>
        <v>30321</v>
      </c>
      <c r="D26" s="3504">
        <v>4716</v>
      </c>
      <c r="E26" s="151">
        <v>11798</v>
      </c>
      <c r="F26" s="3504">
        <v>1463</v>
      </c>
      <c r="G26" s="151">
        <v>3745</v>
      </c>
      <c r="H26" s="3504">
        <v>4840</v>
      </c>
      <c r="I26" s="151">
        <v>2092</v>
      </c>
      <c r="J26" s="3504">
        <v>1667</v>
      </c>
      <c r="K26" s="151">
        <v>6030</v>
      </c>
      <c r="L26" s="3504">
        <v>2466</v>
      </c>
      <c r="M26" s="151">
        <v>3468</v>
      </c>
      <c r="N26" s="1396">
        <v>3981</v>
      </c>
      <c r="O26" s="1397"/>
      <c r="P26" s="1398">
        <v>68059</v>
      </c>
      <c r="Q26" s="1398">
        <v>2239437</v>
      </c>
      <c r="R26" s="1602">
        <f t="shared" si="1"/>
        <v>679.79253294935268</v>
      </c>
      <c r="S26" s="1604">
        <f t="shared" si="2"/>
        <v>20.659656869114873</v>
      </c>
      <c r="T26" s="646"/>
      <c r="U26" s="1982">
        <v>1219223</v>
      </c>
      <c r="V26" s="647"/>
      <c r="W26" s="261"/>
      <c r="X26" s="3003"/>
      <c r="Y26" s="442"/>
      <c r="Z26" s="941"/>
      <c r="AA26" s="1246"/>
      <c r="AB26" s="941"/>
      <c r="AC26" s="941"/>
    </row>
    <row r="27" spans="1:29">
      <c r="A27" s="53">
        <v>1998.06</v>
      </c>
      <c r="B27" s="141">
        <v>44657</v>
      </c>
      <c r="C27" s="2382">
        <f t="shared" si="3"/>
        <v>29689</v>
      </c>
      <c r="D27" s="3504">
        <v>4498</v>
      </c>
      <c r="E27" s="151">
        <v>11635</v>
      </c>
      <c r="F27" s="3504">
        <v>1485</v>
      </c>
      <c r="G27" s="151">
        <v>3648</v>
      </c>
      <c r="H27" s="3504">
        <v>4852</v>
      </c>
      <c r="I27" s="151">
        <v>2030</v>
      </c>
      <c r="J27" s="3504">
        <v>1541</v>
      </c>
      <c r="K27" s="151">
        <v>5660</v>
      </c>
      <c r="L27" s="3504">
        <v>2292</v>
      </c>
      <c r="M27" s="151">
        <v>2352</v>
      </c>
      <c r="N27" s="1396">
        <v>4664</v>
      </c>
      <c r="O27" s="1397"/>
      <c r="P27" s="1398">
        <v>64915</v>
      </c>
      <c r="Q27" s="1398">
        <v>2328506</v>
      </c>
      <c r="R27" s="1602">
        <f t="shared" si="1"/>
        <v>687.93037048447968</v>
      </c>
      <c r="S27" s="1604">
        <f t="shared" si="2"/>
        <v>19.178391638243578</v>
      </c>
      <c r="T27" s="646"/>
      <c r="U27" s="1982">
        <v>1149118</v>
      </c>
      <c r="V27" s="647"/>
      <c r="W27" s="261"/>
      <c r="X27" s="3003"/>
      <c r="Y27" s="442"/>
      <c r="Z27" s="941"/>
      <c r="AA27" s="1246"/>
      <c r="AB27" s="941"/>
      <c r="AC27" s="941"/>
    </row>
    <row r="28" spans="1:29">
      <c r="A28" s="53">
        <v>1998.07</v>
      </c>
      <c r="B28" s="141">
        <v>47374</v>
      </c>
      <c r="C28" s="2382">
        <f t="shared" si="3"/>
        <v>32168</v>
      </c>
      <c r="D28" s="3504">
        <v>4902</v>
      </c>
      <c r="E28" s="151">
        <v>12930</v>
      </c>
      <c r="F28" s="3504">
        <v>1458</v>
      </c>
      <c r="G28" s="151">
        <v>3892</v>
      </c>
      <c r="H28" s="3504">
        <v>5090</v>
      </c>
      <c r="I28" s="151">
        <v>2215</v>
      </c>
      <c r="J28" s="3504">
        <v>1681</v>
      </c>
      <c r="K28" s="151">
        <v>6185</v>
      </c>
      <c r="L28" s="3504">
        <v>2182</v>
      </c>
      <c r="M28" s="151">
        <v>1742</v>
      </c>
      <c r="N28" s="1396">
        <v>5097</v>
      </c>
      <c r="O28" s="1397"/>
      <c r="P28" s="1398">
        <v>64915</v>
      </c>
      <c r="Q28" s="1398">
        <v>2419737</v>
      </c>
      <c r="R28" s="1602">
        <f t="shared" si="1"/>
        <v>729.78510359701147</v>
      </c>
      <c r="S28" s="1604">
        <f t="shared" si="2"/>
        <v>19.57816076705857</v>
      </c>
      <c r="T28" s="646"/>
      <c r="U28" s="1982">
        <v>1218471</v>
      </c>
      <c r="V28" s="647"/>
      <c r="W28" s="261"/>
      <c r="X28" s="3003"/>
      <c r="Y28" s="442"/>
      <c r="Z28" s="941"/>
      <c r="AA28" s="1246"/>
      <c r="AB28" s="941"/>
      <c r="AC28" s="941"/>
    </row>
    <row r="29" spans="1:29">
      <c r="A29" s="53">
        <v>1998.08</v>
      </c>
      <c r="B29" s="141">
        <v>48556</v>
      </c>
      <c r="C29" s="2382">
        <f t="shared" si="3"/>
        <v>32867</v>
      </c>
      <c r="D29" s="3504">
        <v>5091</v>
      </c>
      <c r="E29" s="151">
        <v>12851</v>
      </c>
      <c r="F29" s="3504">
        <v>1619</v>
      </c>
      <c r="G29" s="151">
        <v>4036</v>
      </c>
      <c r="H29" s="3504">
        <v>5274</v>
      </c>
      <c r="I29" s="151">
        <v>2356</v>
      </c>
      <c r="J29" s="3504">
        <v>1640</v>
      </c>
      <c r="K29" s="151">
        <v>6265</v>
      </c>
      <c r="L29" s="3504">
        <v>2043</v>
      </c>
      <c r="M29" s="151">
        <v>1698</v>
      </c>
      <c r="N29" s="1396">
        <v>5683</v>
      </c>
      <c r="O29" s="1397"/>
      <c r="P29" s="1398">
        <v>68189</v>
      </c>
      <c r="Q29" s="1398">
        <v>2486693</v>
      </c>
      <c r="R29" s="1602">
        <f t="shared" si="1"/>
        <v>712.07966094238077</v>
      </c>
      <c r="S29" s="1604">
        <f t="shared" si="2"/>
        <v>19.526334774738981</v>
      </c>
      <c r="T29" s="646"/>
      <c r="U29" s="1982">
        <v>1238898</v>
      </c>
      <c r="V29" s="647"/>
      <c r="W29" s="261"/>
      <c r="X29" s="3003"/>
      <c r="Y29" s="442"/>
      <c r="Z29" s="941"/>
      <c r="AA29" s="1246"/>
      <c r="AB29" s="941"/>
      <c r="AC29" s="941"/>
    </row>
    <row r="30" spans="1:29">
      <c r="A30" s="53">
        <v>1998.09</v>
      </c>
      <c r="B30" s="141">
        <v>44331</v>
      </c>
      <c r="C30" s="2382">
        <f t="shared" si="3"/>
        <v>30437</v>
      </c>
      <c r="D30" s="3504">
        <v>4864</v>
      </c>
      <c r="E30" s="151">
        <v>11711</v>
      </c>
      <c r="F30" s="3504">
        <v>1524</v>
      </c>
      <c r="G30" s="151">
        <v>3783</v>
      </c>
      <c r="H30" s="3504">
        <v>4930</v>
      </c>
      <c r="I30" s="151">
        <v>2238</v>
      </c>
      <c r="J30" s="3504">
        <v>1387</v>
      </c>
      <c r="K30" s="151">
        <v>5884</v>
      </c>
      <c r="L30" s="3504">
        <v>1715</v>
      </c>
      <c r="M30" s="151">
        <v>1560</v>
      </c>
      <c r="N30" s="1396">
        <v>4735</v>
      </c>
      <c r="O30" s="1397"/>
      <c r="P30" s="1398">
        <v>71489</v>
      </c>
      <c r="Q30" s="1398">
        <v>2433648</v>
      </c>
      <c r="R30" s="1602">
        <f t="shared" si="1"/>
        <v>620.10938745821034</v>
      </c>
      <c r="S30" s="1604">
        <f t="shared" si="2"/>
        <v>18.215863592434072</v>
      </c>
      <c r="T30" s="646"/>
      <c r="U30" s="1982">
        <v>1139667</v>
      </c>
      <c r="V30" s="647"/>
      <c r="W30" s="261"/>
      <c r="X30" s="3003"/>
      <c r="Y30" s="442"/>
      <c r="Z30" s="941"/>
      <c r="AA30" s="1246"/>
      <c r="AB30" s="941"/>
      <c r="AC30" s="941"/>
    </row>
    <row r="31" spans="1:29">
      <c r="A31" s="53">
        <v>1998.1</v>
      </c>
      <c r="B31" s="141">
        <v>49971</v>
      </c>
      <c r="C31" s="2382">
        <f t="shared" si="3"/>
        <v>33282</v>
      </c>
      <c r="D31" s="3504">
        <v>5537</v>
      </c>
      <c r="E31" s="151">
        <v>12795</v>
      </c>
      <c r="F31" s="3504">
        <v>1640</v>
      </c>
      <c r="G31" s="151">
        <v>4073</v>
      </c>
      <c r="H31" s="3504">
        <v>5225</v>
      </c>
      <c r="I31" s="151">
        <v>2480</v>
      </c>
      <c r="J31" s="3504">
        <v>1532</v>
      </c>
      <c r="K31" s="151">
        <v>6685</v>
      </c>
      <c r="L31" s="3504">
        <v>2201</v>
      </c>
      <c r="M31" s="151">
        <v>2407</v>
      </c>
      <c r="N31" s="1396">
        <v>5396</v>
      </c>
      <c r="O31" s="1397"/>
      <c r="P31" s="1398">
        <v>73290</v>
      </c>
      <c r="Q31" s="1398">
        <v>2561209</v>
      </c>
      <c r="R31" s="1602">
        <f t="shared" si="1"/>
        <v>681.82562423250101</v>
      </c>
      <c r="S31" s="1604">
        <f t="shared" si="2"/>
        <v>19.510707638462929</v>
      </c>
      <c r="T31" s="646"/>
      <c r="U31" s="1982">
        <v>1269560</v>
      </c>
      <c r="V31" s="647"/>
      <c r="W31" s="261"/>
      <c r="X31" s="3003"/>
      <c r="Y31" s="442"/>
      <c r="Z31" s="941"/>
      <c r="AA31" s="1246"/>
      <c r="AB31" s="941"/>
      <c r="AC31" s="941"/>
    </row>
    <row r="32" spans="1:29">
      <c r="A32" s="53">
        <v>1998.11</v>
      </c>
      <c r="B32" s="141">
        <v>47249</v>
      </c>
      <c r="C32" s="2382">
        <f t="shared" si="3"/>
        <v>31629</v>
      </c>
      <c r="D32" s="3504">
        <v>5537</v>
      </c>
      <c r="E32" s="151">
        <v>12034</v>
      </c>
      <c r="F32" s="3504">
        <v>1631</v>
      </c>
      <c r="G32" s="151">
        <v>3790</v>
      </c>
      <c r="H32" s="3504">
        <v>4880</v>
      </c>
      <c r="I32" s="151">
        <v>2411</v>
      </c>
      <c r="J32" s="3504">
        <v>1346</v>
      </c>
      <c r="K32" s="151">
        <v>6431</v>
      </c>
      <c r="L32" s="3504">
        <v>1989</v>
      </c>
      <c r="M32" s="151">
        <v>2084</v>
      </c>
      <c r="N32" s="1396">
        <v>5116</v>
      </c>
      <c r="O32" s="1397"/>
      <c r="P32" s="1398">
        <v>76397</v>
      </c>
      <c r="Q32" s="1398">
        <v>2515785</v>
      </c>
      <c r="R32" s="1602">
        <f t="shared" si="1"/>
        <v>618.46669371833968</v>
      </c>
      <c r="S32" s="1604">
        <f t="shared" si="2"/>
        <v>18.781016660803687</v>
      </c>
      <c r="T32" s="646"/>
      <c r="U32" s="1982">
        <v>1188076</v>
      </c>
      <c r="V32" s="647"/>
      <c r="W32" s="261"/>
      <c r="X32" s="3003"/>
      <c r="Y32" s="442"/>
      <c r="Z32" s="941"/>
      <c r="AA32" s="1246"/>
      <c r="AB32" s="941"/>
      <c r="AC32" s="941"/>
    </row>
    <row r="33" spans="1:29">
      <c r="A33" s="53">
        <v>1998.12</v>
      </c>
      <c r="B33" s="141">
        <v>61180</v>
      </c>
      <c r="C33" s="2382">
        <f t="shared" si="3"/>
        <v>41080</v>
      </c>
      <c r="D33" s="3504">
        <v>9976</v>
      </c>
      <c r="E33" s="151">
        <v>14142</v>
      </c>
      <c r="F33" s="3504">
        <v>2517</v>
      </c>
      <c r="G33" s="151">
        <v>4356</v>
      </c>
      <c r="H33" s="3504">
        <v>5724</v>
      </c>
      <c r="I33" s="151">
        <v>2791</v>
      </c>
      <c r="J33" s="3504">
        <v>1574</v>
      </c>
      <c r="K33" s="151">
        <v>7362</v>
      </c>
      <c r="L33" s="3504">
        <v>2913</v>
      </c>
      <c r="M33" s="151">
        <v>2302</v>
      </c>
      <c r="N33" s="1396">
        <v>7523</v>
      </c>
      <c r="O33" s="1397"/>
      <c r="P33" s="1398">
        <v>76397</v>
      </c>
      <c r="Q33" s="1398">
        <v>2891617</v>
      </c>
      <c r="R33" s="1602">
        <f t="shared" si="1"/>
        <v>800.8167859994503</v>
      </c>
      <c r="S33" s="1604">
        <f t="shared" si="2"/>
        <v>21.157712103643046</v>
      </c>
      <c r="T33" s="646"/>
      <c r="U33" s="1982">
        <v>1545218</v>
      </c>
      <c r="V33" s="647"/>
      <c r="W33" s="261"/>
      <c r="X33" s="3003"/>
      <c r="Y33" s="442"/>
      <c r="Z33" s="941"/>
      <c r="AA33" s="1246"/>
      <c r="AB33" s="941"/>
      <c r="AC33" s="941"/>
    </row>
    <row r="34" spans="1:29">
      <c r="A34" s="53">
        <v>1999.01</v>
      </c>
      <c r="B34" s="141">
        <v>44144</v>
      </c>
      <c r="C34" s="2382">
        <f t="shared" si="3"/>
        <v>29694</v>
      </c>
      <c r="D34" s="3504">
        <v>5399</v>
      </c>
      <c r="E34" s="151">
        <v>11609</v>
      </c>
      <c r="F34" s="3504">
        <v>1476</v>
      </c>
      <c r="G34" s="151">
        <v>3161</v>
      </c>
      <c r="H34" s="3504">
        <v>4607</v>
      </c>
      <c r="I34" s="151">
        <v>2175</v>
      </c>
      <c r="J34" s="3504">
        <v>1267</v>
      </c>
      <c r="K34" s="151">
        <v>6459</v>
      </c>
      <c r="L34" s="3504">
        <v>1825</v>
      </c>
      <c r="M34" s="151">
        <v>1349</v>
      </c>
      <c r="N34" s="1396">
        <v>4817</v>
      </c>
      <c r="O34" s="1397"/>
      <c r="P34" s="1398">
        <v>76397</v>
      </c>
      <c r="Q34" s="1398">
        <v>2429021</v>
      </c>
      <c r="R34" s="1602">
        <f t="shared" si="1"/>
        <v>577.82373653415709</v>
      </c>
      <c r="S34" s="1604">
        <f t="shared" si="2"/>
        <v>18.173576926671281</v>
      </c>
      <c r="T34" s="646"/>
      <c r="U34" s="1982">
        <v>1141847</v>
      </c>
      <c r="V34" s="647"/>
      <c r="W34" s="261"/>
      <c r="X34" s="3003"/>
      <c r="Y34" s="442"/>
      <c r="Z34" s="941"/>
      <c r="AA34" s="1246"/>
      <c r="AB34" s="941"/>
      <c r="AC34" s="941"/>
    </row>
    <row r="35" spans="1:29">
      <c r="A35" s="53">
        <v>1999.02</v>
      </c>
      <c r="B35" s="141">
        <v>43707</v>
      </c>
      <c r="C35" s="2382">
        <f t="shared" si="3"/>
        <v>29233</v>
      </c>
      <c r="D35" s="3504">
        <v>5214</v>
      </c>
      <c r="E35" s="151">
        <v>11679</v>
      </c>
      <c r="F35" s="3504">
        <v>1429</v>
      </c>
      <c r="G35" s="151">
        <v>3163</v>
      </c>
      <c r="H35" s="3504">
        <v>4379</v>
      </c>
      <c r="I35" s="151">
        <v>2151</v>
      </c>
      <c r="J35" s="3504">
        <v>1218</v>
      </c>
      <c r="K35" s="151">
        <v>6225</v>
      </c>
      <c r="L35" s="3504">
        <v>1824</v>
      </c>
      <c r="M35" s="151">
        <v>1471</v>
      </c>
      <c r="N35" s="1396">
        <v>4954</v>
      </c>
      <c r="O35" s="1397"/>
      <c r="P35" s="1398">
        <v>72067</v>
      </c>
      <c r="Q35" s="1398">
        <v>2319010</v>
      </c>
      <c r="R35" s="1602">
        <f t="shared" si="1"/>
        <v>606.47730584039846</v>
      </c>
      <c r="S35" s="1604">
        <f t="shared" si="2"/>
        <v>18.847266721575156</v>
      </c>
      <c r="T35" s="646"/>
      <c r="U35" s="1982">
        <v>1118033</v>
      </c>
      <c r="V35" s="647"/>
      <c r="W35" s="261"/>
      <c r="X35" s="3003"/>
      <c r="Y35" s="442"/>
      <c r="Z35" s="941"/>
      <c r="AA35" s="1246"/>
      <c r="AB35" s="941"/>
      <c r="AC35" s="941"/>
    </row>
    <row r="36" spans="1:29">
      <c r="A36" s="53">
        <v>1999.03</v>
      </c>
      <c r="B36" s="141">
        <v>49522</v>
      </c>
      <c r="C36" s="2382">
        <f t="shared" si="3"/>
        <v>33199</v>
      </c>
      <c r="D36" s="3504">
        <v>5520</v>
      </c>
      <c r="E36" s="151">
        <v>13696</v>
      </c>
      <c r="F36" s="3504">
        <v>1626</v>
      </c>
      <c r="G36" s="151">
        <v>3611</v>
      </c>
      <c r="H36" s="3504">
        <v>4892</v>
      </c>
      <c r="I36" s="151">
        <v>2481</v>
      </c>
      <c r="J36" s="3504">
        <v>1373</v>
      </c>
      <c r="K36" s="151">
        <v>7012</v>
      </c>
      <c r="L36" s="3504">
        <v>2182</v>
      </c>
      <c r="M36" s="151">
        <v>1742</v>
      </c>
      <c r="N36" s="1396">
        <v>5387</v>
      </c>
      <c r="O36" s="1397"/>
      <c r="P36" s="1398">
        <v>72067</v>
      </c>
      <c r="Q36" s="1398">
        <v>2907170</v>
      </c>
      <c r="R36" s="1602">
        <f t="shared" si="1"/>
        <v>687.16610931494301</v>
      </c>
      <c r="S36" s="1604">
        <f t="shared" si="2"/>
        <v>17.034435550724588</v>
      </c>
      <c r="T36" s="646"/>
      <c r="U36" s="1982">
        <v>1252875</v>
      </c>
      <c r="V36" s="647"/>
      <c r="W36" s="261"/>
      <c r="X36" s="3003"/>
      <c r="Y36" s="442"/>
      <c r="Z36" s="941"/>
      <c r="AA36" s="1246"/>
      <c r="AB36" s="941"/>
      <c r="AC36" s="941"/>
    </row>
    <row r="37" spans="1:29">
      <c r="A37" s="53">
        <v>1999.04</v>
      </c>
      <c r="B37" s="141">
        <v>46924</v>
      </c>
      <c r="C37" s="2382">
        <f t="shared" si="3"/>
        <v>32360</v>
      </c>
      <c r="D37" s="3504">
        <v>4991</v>
      </c>
      <c r="E37" s="151">
        <v>13731</v>
      </c>
      <c r="F37" s="3504">
        <v>1668</v>
      </c>
      <c r="G37" s="151">
        <v>3511</v>
      </c>
      <c r="H37" s="3504">
        <v>4795</v>
      </c>
      <c r="I37" s="151">
        <v>2431</v>
      </c>
      <c r="J37" s="3504">
        <v>1233</v>
      </c>
      <c r="K37" s="151">
        <v>6390</v>
      </c>
      <c r="L37" s="3504">
        <v>2308</v>
      </c>
      <c r="M37" s="151">
        <v>1652</v>
      </c>
      <c r="N37" s="1396">
        <v>4214</v>
      </c>
      <c r="O37" s="1397"/>
      <c r="P37" s="1398">
        <v>72067</v>
      </c>
      <c r="Q37" s="1398">
        <v>2554397</v>
      </c>
      <c r="R37" s="1602">
        <f t="shared" si="1"/>
        <v>651.11632231118267</v>
      </c>
      <c r="S37" s="1604">
        <f t="shared" si="2"/>
        <v>18.369893168524705</v>
      </c>
      <c r="T37" s="646"/>
      <c r="U37" s="1982">
        <v>1179893</v>
      </c>
      <c r="V37" s="647"/>
      <c r="W37" s="261"/>
      <c r="X37" s="3003"/>
      <c r="Y37" s="442"/>
      <c r="Z37" s="941"/>
      <c r="AA37" s="1246"/>
      <c r="AB37" s="941"/>
      <c r="AC37" s="941"/>
    </row>
    <row r="38" spans="1:29">
      <c r="A38" s="53">
        <v>1999.05</v>
      </c>
      <c r="B38" s="141">
        <v>47192</v>
      </c>
      <c r="C38" s="2382">
        <f t="shared" si="3"/>
        <v>32240</v>
      </c>
      <c r="D38" s="3504">
        <v>4996</v>
      </c>
      <c r="E38" s="151">
        <v>13668</v>
      </c>
      <c r="F38" s="3504">
        <v>1733</v>
      </c>
      <c r="G38" s="151">
        <v>3479</v>
      </c>
      <c r="H38" s="3504">
        <v>4796</v>
      </c>
      <c r="I38" s="151">
        <v>2332</v>
      </c>
      <c r="J38" s="3504">
        <v>1236</v>
      </c>
      <c r="K38" s="151">
        <v>6634</v>
      </c>
      <c r="L38" s="3504">
        <v>2268</v>
      </c>
      <c r="M38" s="151">
        <v>1767</v>
      </c>
      <c r="N38" s="1396">
        <v>4283</v>
      </c>
      <c r="O38" s="1397"/>
      <c r="P38" s="1398">
        <v>75828</v>
      </c>
      <c r="Q38" s="1398">
        <v>2649430</v>
      </c>
      <c r="R38" s="1602">
        <f t="shared" si="1"/>
        <v>622.35585799440844</v>
      </c>
      <c r="S38" s="1604">
        <f t="shared" si="2"/>
        <v>17.812133175815177</v>
      </c>
      <c r="T38" s="646"/>
      <c r="U38" s="1982">
        <v>1175157</v>
      </c>
      <c r="V38" s="647"/>
      <c r="W38" s="261"/>
      <c r="X38" s="3003"/>
      <c r="Y38" s="442"/>
      <c r="Z38" s="941"/>
      <c r="AA38" s="1246"/>
      <c r="AB38" s="941"/>
      <c r="AC38" s="941"/>
    </row>
    <row r="39" spans="1:29">
      <c r="A39" s="53">
        <v>1999.06</v>
      </c>
      <c r="B39" s="141">
        <v>46020</v>
      </c>
      <c r="C39" s="2382">
        <f t="shared" si="3"/>
        <v>31273</v>
      </c>
      <c r="D39" s="3504">
        <v>5201</v>
      </c>
      <c r="E39" s="151">
        <v>13048</v>
      </c>
      <c r="F39" s="3504">
        <v>998</v>
      </c>
      <c r="G39" s="151">
        <v>3187</v>
      </c>
      <c r="H39" s="3504">
        <v>5201</v>
      </c>
      <c r="I39" s="151">
        <v>1952</v>
      </c>
      <c r="J39" s="3504">
        <v>1686</v>
      </c>
      <c r="K39" s="151">
        <v>5663</v>
      </c>
      <c r="L39" s="3504">
        <v>2421</v>
      </c>
      <c r="M39" s="151">
        <v>1916</v>
      </c>
      <c r="N39" s="1396">
        <v>4747</v>
      </c>
      <c r="O39" s="1397"/>
      <c r="P39" s="1398">
        <v>75828</v>
      </c>
      <c r="Q39" s="1398">
        <v>2422596</v>
      </c>
      <c r="R39" s="1602">
        <f t="shared" si="1"/>
        <v>606.89982592182309</v>
      </c>
      <c r="S39" s="1604">
        <f t="shared" si="2"/>
        <v>18.996151236112006</v>
      </c>
      <c r="T39" s="646"/>
      <c r="U39" s="1982">
        <v>1143676</v>
      </c>
      <c r="V39" s="647"/>
      <c r="W39" s="261"/>
      <c r="X39" s="3003"/>
      <c r="Y39" s="442"/>
      <c r="Z39" s="941"/>
      <c r="AA39" s="1246"/>
      <c r="AB39" s="941"/>
      <c r="AC39" s="941"/>
    </row>
    <row r="40" spans="1:29">
      <c r="A40" s="53">
        <v>1999.07</v>
      </c>
      <c r="B40" s="141">
        <v>50152</v>
      </c>
      <c r="C40" s="2382">
        <f t="shared" si="3"/>
        <v>34418</v>
      </c>
      <c r="D40" s="3504">
        <v>5277</v>
      </c>
      <c r="E40" s="151">
        <v>13965</v>
      </c>
      <c r="F40" s="3504">
        <v>1205</v>
      </c>
      <c r="G40" s="151">
        <v>4098</v>
      </c>
      <c r="H40" s="3504">
        <v>5584</v>
      </c>
      <c r="I40" s="151">
        <v>2447</v>
      </c>
      <c r="J40" s="3504">
        <v>1842</v>
      </c>
      <c r="K40" s="151">
        <v>6107</v>
      </c>
      <c r="L40" s="3504">
        <v>2367</v>
      </c>
      <c r="M40" s="151">
        <v>1845</v>
      </c>
      <c r="N40" s="1396">
        <v>5415</v>
      </c>
      <c r="O40" s="1397"/>
      <c r="P40" s="1398">
        <v>75828</v>
      </c>
      <c r="Q40" s="1398">
        <v>2843612</v>
      </c>
      <c r="R40" s="1602">
        <f t="shared" si="1"/>
        <v>661.39157039615975</v>
      </c>
      <c r="S40" s="1604">
        <f t="shared" si="2"/>
        <v>17.636723997507396</v>
      </c>
      <c r="T40" s="646"/>
      <c r="U40" s="1982">
        <v>1241384</v>
      </c>
      <c r="V40" s="647"/>
      <c r="W40" s="261"/>
      <c r="X40" s="3003"/>
      <c r="Y40" s="442"/>
      <c r="Z40" s="941"/>
      <c r="AA40" s="1246"/>
      <c r="AB40" s="941"/>
      <c r="AC40" s="941"/>
    </row>
    <row r="41" spans="1:29">
      <c r="A41" s="53">
        <v>1999.08</v>
      </c>
      <c r="B41" s="141">
        <v>46719</v>
      </c>
      <c r="C41" s="2382">
        <f t="shared" si="3"/>
        <v>32242</v>
      </c>
      <c r="D41" s="3504">
        <v>4958</v>
      </c>
      <c r="E41" s="151">
        <v>12913</v>
      </c>
      <c r="F41" s="3504">
        <v>1120</v>
      </c>
      <c r="G41" s="151">
        <v>3914</v>
      </c>
      <c r="H41" s="3504">
        <v>5201</v>
      </c>
      <c r="I41" s="151">
        <v>2490</v>
      </c>
      <c r="J41" s="3504">
        <v>1646</v>
      </c>
      <c r="K41" s="151">
        <v>5785</v>
      </c>
      <c r="L41" s="3504">
        <v>1827</v>
      </c>
      <c r="M41" s="151">
        <v>1561</v>
      </c>
      <c r="N41" s="1396">
        <v>5304</v>
      </c>
      <c r="O41" s="1397"/>
      <c r="P41" s="1398">
        <v>76228</v>
      </c>
      <c r="Q41" s="1398">
        <v>2815295</v>
      </c>
      <c r="R41" s="1602">
        <f t="shared" si="1"/>
        <v>612.88502912315687</v>
      </c>
      <c r="S41" s="1604">
        <f t="shared" si="2"/>
        <v>16.594708547416879</v>
      </c>
      <c r="T41" s="646"/>
      <c r="U41" s="1982">
        <v>1173430</v>
      </c>
      <c r="V41" s="647"/>
      <c r="W41" s="261"/>
      <c r="X41" s="3003"/>
      <c r="Y41" s="442"/>
      <c r="Z41" s="941"/>
      <c r="AA41" s="1246"/>
      <c r="AB41" s="941"/>
      <c r="AC41" s="941"/>
    </row>
    <row r="42" spans="1:29">
      <c r="A42" s="53">
        <v>1999.09</v>
      </c>
      <c r="B42" s="141">
        <v>43860</v>
      </c>
      <c r="C42" s="2382">
        <f t="shared" si="3"/>
        <v>30549</v>
      </c>
      <c r="D42" s="3504">
        <v>4886</v>
      </c>
      <c r="E42" s="151">
        <v>12098</v>
      </c>
      <c r="F42" s="3504">
        <v>1024</v>
      </c>
      <c r="G42" s="151">
        <v>3730</v>
      </c>
      <c r="H42" s="3504">
        <v>4916</v>
      </c>
      <c r="I42" s="151">
        <v>2420</v>
      </c>
      <c r="J42" s="3504">
        <v>1475</v>
      </c>
      <c r="K42" s="151">
        <v>5762</v>
      </c>
      <c r="L42" s="3504">
        <v>1642</v>
      </c>
      <c r="M42" s="151">
        <v>1262</v>
      </c>
      <c r="N42" s="1396">
        <v>4645</v>
      </c>
      <c r="O42" s="1397"/>
      <c r="P42" s="1398">
        <v>76728</v>
      </c>
      <c r="Q42" s="1398">
        <v>2645517</v>
      </c>
      <c r="R42" s="1602">
        <f t="shared" si="1"/>
        <v>571.62965279949947</v>
      </c>
      <c r="S42" s="1604">
        <f t="shared" si="2"/>
        <v>16.578990042400029</v>
      </c>
      <c r="T42" s="646"/>
      <c r="U42" s="1982">
        <v>1113239</v>
      </c>
      <c r="V42" s="647"/>
      <c r="W42" s="261"/>
      <c r="X42" s="3003"/>
      <c r="Y42" s="442"/>
      <c r="Z42" s="941"/>
      <c r="AA42" s="1246"/>
      <c r="AB42" s="941"/>
      <c r="AC42" s="941"/>
    </row>
    <row r="43" spans="1:29">
      <c r="A43" s="53">
        <v>1999.1</v>
      </c>
      <c r="B43" s="141">
        <v>49614</v>
      </c>
      <c r="C43" s="2382">
        <f t="shared" si="3"/>
        <v>33624</v>
      </c>
      <c r="D43" s="3504">
        <v>5736</v>
      </c>
      <c r="E43" s="151">
        <v>13071</v>
      </c>
      <c r="F43" s="3504">
        <v>1119</v>
      </c>
      <c r="G43" s="151">
        <v>4015</v>
      </c>
      <c r="H43" s="3504">
        <v>5421</v>
      </c>
      <c r="I43" s="151">
        <v>2673</v>
      </c>
      <c r="J43" s="3504">
        <v>1589</v>
      </c>
      <c r="K43" s="151">
        <v>6353</v>
      </c>
      <c r="L43" s="3504">
        <v>2080</v>
      </c>
      <c r="M43" s="151">
        <v>1967</v>
      </c>
      <c r="N43" s="1396">
        <v>5590</v>
      </c>
      <c r="O43" s="1397"/>
      <c r="P43" s="1398">
        <v>77885</v>
      </c>
      <c r="Q43" s="1398">
        <v>2813303</v>
      </c>
      <c r="R43" s="1602">
        <f t="shared" si="1"/>
        <v>637.01611350067412</v>
      </c>
      <c r="S43" s="1604">
        <f t="shared" si="2"/>
        <v>17.635498202646495</v>
      </c>
      <c r="T43" s="646"/>
      <c r="U43" s="1982">
        <v>1237326</v>
      </c>
      <c r="V43" s="647"/>
      <c r="W43" s="261"/>
      <c r="X43" s="3003"/>
      <c r="Y43" s="442"/>
      <c r="Z43" s="941"/>
      <c r="AA43" s="1246"/>
      <c r="AB43" s="941"/>
      <c r="AC43" s="941"/>
    </row>
    <row r="44" spans="1:29">
      <c r="A44" s="53">
        <v>1999.11</v>
      </c>
      <c r="B44" s="141">
        <v>44445</v>
      </c>
      <c r="C44" s="2382">
        <f t="shared" si="3"/>
        <v>30797</v>
      </c>
      <c r="D44" s="3504">
        <v>5726</v>
      </c>
      <c r="E44" s="151">
        <v>11631</v>
      </c>
      <c r="F44" s="3504">
        <v>1029</v>
      </c>
      <c r="G44" s="151">
        <v>3573</v>
      </c>
      <c r="H44" s="3504">
        <v>4885</v>
      </c>
      <c r="I44" s="151">
        <v>2544</v>
      </c>
      <c r="J44" s="3504">
        <v>1409</v>
      </c>
      <c r="K44" s="151">
        <v>5678</v>
      </c>
      <c r="L44" s="3504">
        <v>1661</v>
      </c>
      <c r="M44" s="151">
        <v>1477</v>
      </c>
      <c r="N44" s="1396">
        <v>4832</v>
      </c>
      <c r="O44" s="1397"/>
      <c r="P44" s="1398">
        <v>77885</v>
      </c>
      <c r="Q44" s="1398">
        <v>2685417</v>
      </c>
      <c r="R44" s="1602">
        <f t="shared" si="1"/>
        <v>570.64903383193166</v>
      </c>
      <c r="S44" s="1604">
        <f t="shared" si="2"/>
        <v>16.550502212505542</v>
      </c>
      <c r="T44" s="646"/>
      <c r="U44" s="1982">
        <v>1121848</v>
      </c>
      <c r="V44" s="647"/>
      <c r="W44" s="261"/>
      <c r="X44" s="3003"/>
      <c r="Y44" s="442"/>
      <c r="Z44" s="941"/>
      <c r="AA44" s="1246"/>
      <c r="AB44" s="941"/>
      <c r="AC44" s="941"/>
    </row>
    <row r="45" spans="1:29">
      <c r="A45" s="53">
        <v>1999.12</v>
      </c>
      <c r="B45" s="141">
        <v>59498</v>
      </c>
      <c r="C45" s="2382">
        <f t="shared" si="3"/>
        <v>40870</v>
      </c>
      <c r="D45" s="3504">
        <v>10183</v>
      </c>
      <c r="E45" s="151">
        <v>14701</v>
      </c>
      <c r="F45" s="3504">
        <v>1307</v>
      </c>
      <c r="G45" s="151">
        <v>4021</v>
      </c>
      <c r="H45" s="3504">
        <v>5792</v>
      </c>
      <c r="I45" s="151">
        <v>3158</v>
      </c>
      <c r="J45" s="3504">
        <v>1708</v>
      </c>
      <c r="K45" s="151">
        <v>6715</v>
      </c>
      <c r="L45" s="3504">
        <v>2434</v>
      </c>
      <c r="M45" s="151">
        <v>2005</v>
      </c>
      <c r="N45" s="1396">
        <v>7474</v>
      </c>
      <c r="O45" s="1397"/>
      <c r="P45" s="1398">
        <v>77885</v>
      </c>
      <c r="Q45" s="1398">
        <v>2928167</v>
      </c>
      <c r="R45" s="1602">
        <f t="shared" si="1"/>
        <v>763.92116582140329</v>
      </c>
      <c r="S45" s="1604">
        <f t="shared" si="2"/>
        <v>20.31919627534905</v>
      </c>
      <c r="T45" s="646"/>
      <c r="U45" s="1982">
        <v>1491214</v>
      </c>
      <c r="V45" s="647"/>
      <c r="W45" s="261"/>
      <c r="X45" s="3003"/>
      <c r="Y45" s="442"/>
      <c r="Z45" s="941"/>
      <c r="AA45" s="1246"/>
      <c r="AB45" s="941"/>
      <c r="AC45" s="941"/>
    </row>
    <row r="46" spans="1:29">
      <c r="A46" s="53">
        <v>2000.01</v>
      </c>
      <c r="B46" s="141">
        <v>44390</v>
      </c>
      <c r="C46" s="2382">
        <f t="shared" si="3"/>
        <v>30553</v>
      </c>
      <c r="D46" s="3504">
        <v>5548</v>
      </c>
      <c r="E46" s="151">
        <v>11493</v>
      </c>
      <c r="F46" s="3504">
        <v>1035</v>
      </c>
      <c r="G46" s="151">
        <v>3761</v>
      </c>
      <c r="H46" s="3504">
        <v>5016</v>
      </c>
      <c r="I46" s="151">
        <v>2523</v>
      </c>
      <c r="J46" s="3504">
        <v>1177</v>
      </c>
      <c r="K46" s="151">
        <v>5966</v>
      </c>
      <c r="L46" s="3504">
        <v>1383</v>
      </c>
      <c r="M46" s="151">
        <v>1519</v>
      </c>
      <c r="N46" s="1396">
        <v>4969</v>
      </c>
      <c r="O46" s="1397"/>
      <c r="P46" s="1398">
        <v>83659</v>
      </c>
      <c r="Q46" s="1398">
        <v>2570300</v>
      </c>
      <c r="R46" s="1602">
        <f t="shared" si="1"/>
        <v>530.60639022699297</v>
      </c>
      <c r="S46" s="1604">
        <f t="shared" si="2"/>
        <v>17.270357545811773</v>
      </c>
      <c r="T46" s="646"/>
      <c r="U46" s="1982">
        <v>1118659</v>
      </c>
      <c r="V46" s="647"/>
      <c r="W46" s="261"/>
      <c r="X46" s="3003"/>
      <c r="Y46" s="442"/>
      <c r="Z46" s="941"/>
      <c r="AA46" s="1246"/>
      <c r="AB46" s="941"/>
      <c r="AC46" s="941"/>
    </row>
    <row r="47" spans="1:29">
      <c r="A47" s="53">
        <v>2000.02</v>
      </c>
      <c r="B47" s="141">
        <v>46280</v>
      </c>
      <c r="C47" s="2382">
        <f t="shared" si="3"/>
        <v>31530</v>
      </c>
      <c r="D47" s="3504">
        <v>5465</v>
      </c>
      <c r="E47" s="151">
        <v>11813</v>
      </c>
      <c r="F47" s="3504">
        <v>1127</v>
      </c>
      <c r="G47" s="151">
        <v>3948</v>
      </c>
      <c r="H47" s="3504">
        <v>5180</v>
      </c>
      <c r="I47" s="151">
        <v>2648</v>
      </c>
      <c r="J47" s="3504">
        <v>1349</v>
      </c>
      <c r="K47" s="151">
        <v>6175</v>
      </c>
      <c r="L47" s="3504">
        <v>1567</v>
      </c>
      <c r="M47" s="151">
        <v>1363</v>
      </c>
      <c r="N47" s="1396">
        <v>5645</v>
      </c>
      <c r="O47" s="1397"/>
      <c r="P47" s="1398">
        <v>84799</v>
      </c>
      <c r="Q47" s="1398">
        <v>2656240</v>
      </c>
      <c r="R47" s="1602">
        <f t="shared" si="1"/>
        <v>545.76115284378352</v>
      </c>
      <c r="S47" s="1604">
        <f t="shared" si="2"/>
        <v>17.423124416468394</v>
      </c>
      <c r="T47" s="646"/>
      <c r="U47" s="1982">
        <v>1105564</v>
      </c>
      <c r="V47" s="647"/>
      <c r="W47" s="261"/>
      <c r="X47" s="3003"/>
      <c r="Y47" s="442"/>
      <c r="Z47" s="941"/>
      <c r="AA47" s="1246"/>
      <c r="AB47" s="941"/>
      <c r="AC47" s="941"/>
    </row>
    <row r="48" spans="1:29">
      <c r="A48" s="53">
        <v>2000.03</v>
      </c>
      <c r="B48" s="141">
        <v>49974</v>
      </c>
      <c r="C48" s="2382">
        <f t="shared" si="3"/>
        <v>34022</v>
      </c>
      <c r="D48" s="3504">
        <v>5477</v>
      </c>
      <c r="E48" s="151">
        <v>13066</v>
      </c>
      <c r="F48" s="3504">
        <v>1172</v>
      </c>
      <c r="G48" s="151">
        <v>4398</v>
      </c>
      <c r="H48" s="3504">
        <v>5572</v>
      </c>
      <c r="I48" s="151">
        <v>2857</v>
      </c>
      <c r="J48" s="3504">
        <v>1480</v>
      </c>
      <c r="K48" s="151">
        <v>6583</v>
      </c>
      <c r="L48" s="3504">
        <v>1975</v>
      </c>
      <c r="M48" s="151">
        <v>1441</v>
      </c>
      <c r="N48" s="1396">
        <v>5953</v>
      </c>
      <c r="O48" s="1397"/>
      <c r="P48" s="1398">
        <v>94372</v>
      </c>
      <c r="Q48" s="1398">
        <v>2843609</v>
      </c>
      <c r="R48" s="1602">
        <f t="shared" si="1"/>
        <v>529.54266095875892</v>
      </c>
      <c r="S48" s="1604">
        <f t="shared" si="2"/>
        <v>17.574146093925009</v>
      </c>
      <c r="T48" s="646"/>
      <c r="U48" s="1982">
        <v>1210109</v>
      </c>
      <c r="V48" s="647"/>
      <c r="W48" s="261"/>
      <c r="X48" s="3003"/>
      <c r="Y48" s="442"/>
      <c r="Z48" s="941"/>
      <c r="AA48" s="1246"/>
      <c r="AB48" s="941"/>
      <c r="AC48" s="941"/>
    </row>
    <row r="49" spans="1:29">
      <c r="A49" s="53">
        <v>2000.04</v>
      </c>
      <c r="B49" s="141">
        <v>57374</v>
      </c>
      <c r="C49" s="2382">
        <f t="shared" si="3"/>
        <v>37790</v>
      </c>
      <c r="D49" s="3504">
        <v>5837</v>
      </c>
      <c r="E49" s="151">
        <v>15388</v>
      </c>
      <c r="F49" s="3504">
        <v>1343</v>
      </c>
      <c r="G49" s="151">
        <v>4725</v>
      </c>
      <c r="H49" s="3504">
        <v>6015</v>
      </c>
      <c r="I49" s="151">
        <v>2894</v>
      </c>
      <c r="J49" s="3504">
        <v>1588</v>
      </c>
      <c r="K49" s="151">
        <v>7555</v>
      </c>
      <c r="L49" s="3504">
        <v>3160</v>
      </c>
      <c r="M49" s="151">
        <v>2432</v>
      </c>
      <c r="N49" s="1396">
        <v>6437</v>
      </c>
      <c r="O49" s="1397"/>
      <c r="P49" s="1398">
        <v>95227</v>
      </c>
      <c r="Q49" s="1398">
        <v>2928930</v>
      </c>
      <c r="R49" s="1602">
        <f t="shared" si="1"/>
        <v>602.49719092274245</v>
      </c>
      <c r="S49" s="1604">
        <f t="shared" si="2"/>
        <v>19.588723527021813</v>
      </c>
      <c r="T49" s="646"/>
      <c r="U49" s="1982">
        <v>1229452</v>
      </c>
      <c r="V49" s="647"/>
      <c r="W49" s="261"/>
      <c r="X49" s="3003"/>
      <c r="Y49" s="442"/>
      <c r="Z49" s="941"/>
      <c r="AA49" s="1246"/>
      <c r="AB49" s="941"/>
      <c r="AC49" s="941"/>
    </row>
    <row r="50" spans="1:29">
      <c r="A50" s="53">
        <v>2000.05</v>
      </c>
      <c r="B50" s="141">
        <v>51562</v>
      </c>
      <c r="C50" s="2382">
        <f t="shared" si="3"/>
        <v>34319</v>
      </c>
      <c r="D50" s="3504">
        <v>5071</v>
      </c>
      <c r="E50" s="151">
        <v>13553</v>
      </c>
      <c r="F50" s="3504">
        <v>1372</v>
      </c>
      <c r="G50" s="151">
        <v>4592</v>
      </c>
      <c r="H50" s="3504">
        <v>5599</v>
      </c>
      <c r="I50" s="151">
        <v>2653</v>
      </c>
      <c r="J50" s="3504">
        <v>1479</v>
      </c>
      <c r="K50" s="151">
        <v>6665</v>
      </c>
      <c r="L50" s="3504">
        <v>2518</v>
      </c>
      <c r="M50" s="151">
        <v>2427</v>
      </c>
      <c r="N50" s="1396">
        <v>5633</v>
      </c>
      <c r="O50" s="1397"/>
      <c r="P50" s="1398">
        <v>95227</v>
      </c>
      <c r="Q50" s="1398">
        <v>2932012</v>
      </c>
      <c r="R50" s="1602">
        <f t="shared" si="1"/>
        <v>541.46408056538587</v>
      </c>
      <c r="S50" s="1604">
        <f t="shared" si="2"/>
        <v>17.585876183317122</v>
      </c>
      <c r="T50" s="646"/>
      <c r="U50" s="1982">
        <v>1124847</v>
      </c>
      <c r="V50" s="647"/>
      <c r="W50" s="261"/>
      <c r="X50" s="3003"/>
      <c r="Y50" s="442"/>
      <c r="Z50" s="941"/>
      <c r="AA50" s="1246"/>
      <c r="AB50" s="941"/>
      <c r="AC50" s="941"/>
    </row>
    <row r="51" spans="1:29">
      <c r="A51" s="53">
        <v>2000.06</v>
      </c>
      <c r="B51" s="141">
        <v>53132</v>
      </c>
      <c r="C51" s="2382">
        <f t="shared" si="3"/>
        <v>35491</v>
      </c>
      <c r="D51" s="3504">
        <v>5421</v>
      </c>
      <c r="E51" s="151">
        <v>13826</v>
      </c>
      <c r="F51" s="3504">
        <v>1500</v>
      </c>
      <c r="G51" s="151">
        <v>4727</v>
      </c>
      <c r="H51" s="3504">
        <v>5808</v>
      </c>
      <c r="I51" s="151">
        <v>2646</v>
      </c>
      <c r="J51" s="3504">
        <v>1563</v>
      </c>
      <c r="K51" s="151">
        <v>6776</v>
      </c>
      <c r="L51" s="3504">
        <v>2520</v>
      </c>
      <c r="M51" s="151">
        <v>2313</v>
      </c>
      <c r="N51" s="1396">
        <v>6032</v>
      </c>
      <c r="O51" s="1397"/>
      <c r="P51" s="1398">
        <v>99227</v>
      </c>
      <c r="Q51" s="1398">
        <v>3089234</v>
      </c>
      <c r="R51" s="1602">
        <f t="shared" si="1"/>
        <v>535.45909883398667</v>
      </c>
      <c r="S51" s="1604">
        <f t="shared" si="2"/>
        <v>17.199085598565858</v>
      </c>
      <c r="T51" s="646"/>
      <c r="U51" s="1982">
        <v>1135386</v>
      </c>
      <c r="V51" s="647"/>
      <c r="W51" s="261"/>
      <c r="X51" s="3003"/>
      <c r="Y51" s="442"/>
      <c r="Z51" s="941"/>
      <c r="AA51" s="1246"/>
      <c r="AB51" s="941"/>
      <c r="AC51" s="941"/>
    </row>
    <row r="52" spans="1:29">
      <c r="A52" s="53">
        <v>2000.07</v>
      </c>
      <c r="B52" s="141">
        <v>57741</v>
      </c>
      <c r="C52" s="2382">
        <f t="shared" si="3"/>
        <v>38039</v>
      </c>
      <c r="D52" s="3504">
        <v>5922</v>
      </c>
      <c r="E52" s="151">
        <v>14787</v>
      </c>
      <c r="F52" s="3504">
        <v>1663</v>
      </c>
      <c r="G52" s="151">
        <v>5006</v>
      </c>
      <c r="H52" s="3504">
        <v>6050</v>
      </c>
      <c r="I52" s="151">
        <v>2776</v>
      </c>
      <c r="J52" s="3504">
        <v>1835</v>
      </c>
      <c r="K52" s="151">
        <v>7127</v>
      </c>
      <c r="L52" s="3504">
        <v>2494</v>
      </c>
      <c r="M52" s="151">
        <v>2770</v>
      </c>
      <c r="N52" s="1396">
        <v>7311</v>
      </c>
      <c r="O52" s="1397"/>
      <c r="P52" s="1398">
        <v>103156</v>
      </c>
      <c r="Q52" s="1398">
        <v>3190831</v>
      </c>
      <c r="R52" s="1602">
        <f t="shared" si="1"/>
        <v>559.74446469424947</v>
      </c>
      <c r="S52" s="1604">
        <f t="shared" si="2"/>
        <v>18.095912945561828</v>
      </c>
      <c r="T52" s="646"/>
      <c r="U52" s="1982">
        <v>1235796</v>
      </c>
      <c r="V52" s="647"/>
      <c r="W52" s="261"/>
      <c r="X52" s="3003"/>
      <c r="Y52" s="442"/>
      <c r="Z52" s="941"/>
      <c r="AA52" s="1246"/>
      <c r="AB52" s="941"/>
      <c r="AC52" s="941"/>
    </row>
    <row r="53" spans="1:29">
      <c r="A53" s="53">
        <v>2000.08</v>
      </c>
      <c r="B53" s="141">
        <v>56601</v>
      </c>
      <c r="C53" s="2382">
        <f t="shared" si="3"/>
        <v>37711</v>
      </c>
      <c r="D53" s="3504">
        <v>5847</v>
      </c>
      <c r="E53" s="151">
        <v>14067</v>
      </c>
      <c r="F53" s="3504">
        <v>1838</v>
      </c>
      <c r="G53" s="151">
        <v>4848</v>
      </c>
      <c r="H53" s="3504">
        <v>6271</v>
      </c>
      <c r="I53" s="151">
        <v>2976</v>
      </c>
      <c r="J53" s="3504">
        <v>1864</v>
      </c>
      <c r="K53" s="151">
        <v>7128</v>
      </c>
      <c r="L53" s="3504">
        <v>1915</v>
      </c>
      <c r="M53" s="151">
        <v>2201</v>
      </c>
      <c r="N53" s="1396">
        <v>7646</v>
      </c>
      <c r="O53" s="1397"/>
      <c r="P53" s="1398">
        <v>105806</v>
      </c>
      <c r="Q53" s="1398">
        <v>3069703</v>
      </c>
      <c r="R53" s="1602">
        <f t="shared" si="1"/>
        <v>534.95075893616615</v>
      </c>
      <c r="S53" s="1604">
        <f t="shared" si="2"/>
        <v>18.438591616192184</v>
      </c>
      <c r="T53" s="646"/>
      <c r="U53" s="1982">
        <v>1157266</v>
      </c>
      <c r="V53" s="647"/>
      <c r="W53" s="261"/>
      <c r="X53" s="3003"/>
      <c r="Y53" s="442"/>
      <c r="Z53" s="941"/>
      <c r="AA53" s="1246"/>
      <c r="AB53" s="941"/>
      <c r="AC53" s="941"/>
    </row>
    <row r="54" spans="1:29">
      <c r="A54" s="53">
        <v>2000.09</v>
      </c>
      <c r="B54" s="141">
        <v>55785</v>
      </c>
      <c r="C54" s="2382">
        <f t="shared" si="3"/>
        <v>37565</v>
      </c>
      <c r="D54" s="3504">
        <v>5937</v>
      </c>
      <c r="E54" s="151">
        <v>13931</v>
      </c>
      <c r="F54" s="3504">
        <v>1779</v>
      </c>
      <c r="G54" s="151">
        <v>4934</v>
      </c>
      <c r="H54" s="3504">
        <v>6194</v>
      </c>
      <c r="I54" s="151">
        <v>3014</v>
      </c>
      <c r="J54" s="3504">
        <v>1776</v>
      </c>
      <c r="K54" s="151">
        <v>7284</v>
      </c>
      <c r="L54" s="3504">
        <v>1783</v>
      </c>
      <c r="M54" s="151">
        <v>1966</v>
      </c>
      <c r="N54" s="1396">
        <v>7187</v>
      </c>
      <c r="O54" s="1397"/>
      <c r="P54" s="1398">
        <v>106496</v>
      </c>
      <c r="Q54" s="1398">
        <v>3173778</v>
      </c>
      <c r="R54" s="1602">
        <f t="shared" si="1"/>
        <v>523.82249098557691</v>
      </c>
      <c r="S54" s="1604">
        <f t="shared" si="2"/>
        <v>17.576843748995675</v>
      </c>
      <c r="T54" s="646"/>
      <c r="U54" s="1982">
        <v>1164106</v>
      </c>
      <c r="V54" s="647"/>
      <c r="W54" s="261"/>
      <c r="X54" s="3003"/>
      <c r="Y54" s="442"/>
      <c r="Z54" s="941"/>
      <c r="AA54" s="1246"/>
      <c r="AB54" s="941"/>
      <c r="AC54" s="941"/>
    </row>
    <row r="55" spans="1:29">
      <c r="A55" s="53">
        <v>2000.1</v>
      </c>
      <c r="B55" s="141">
        <v>57174</v>
      </c>
      <c r="C55" s="2382">
        <f t="shared" si="3"/>
        <v>37998</v>
      </c>
      <c r="D55" s="3504">
        <v>6119</v>
      </c>
      <c r="E55" s="151">
        <v>13944</v>
      </c>
      <c r="F55" s="3504">
        <v>1757</v>
      </c>
      <c r="G55" s="151">
        <v>4977</v>
      </c>
      <c r="H55" s="3504">
        <v>6225</v>
      </c>
      <c r="I55" s="151">
        <v>3179</v>
      </c>
      <c r="J55" s="3504">
        <v>1797</v>
      </c>
      <c r="K55" s="151">
        <v>7229</v>
      </c>
      <c r="L55" s="3504">
        <v>1890</v>
      </c>
      <c r="M55" s="151">
        <v>2680</v>
      </c>
      <c r="N55" s="1396">
        <v>7377</v>
      </c>
      <c r="O55" s="1397"/>
      <c r="P55" s="1398">
        <v>106496</v>
      </c>
      <c r="Q55" s="1398">
        <v>3243695</v>
      </c>
      <c r="R55" s="1602">
        <f t="shared" si="1"/>
        <v>536.865234375</v>
      </c>
      <c r="S55" s="1604">
        <f t="shared" si="2"/>
        <v>17.626194817946814</v>
      </c>
      <c r="T55" s="646"/>
      <c r="U55" s="1982">
        <v>1192914</v>
      </c>
      <c r="V55" s="647"/>
      <c r="W55" s="261"/>
      <c r="X55" s="3003"/>
      <c r="Y55" s="442"/>
      <c r="Z55" s="941"/>
      <c r="AA55" s="1246"/>
      <c r="AB55" s="941"/>
      <c r="AC55" s="941"/>
    </row>
    <row r="56" spans="1:29">
      <c r="A56" s="53">
        <v>2000.11</v>
      </c>
      <c r="B56" s="141">
        <v>54177</v>
      </c>
      <c r="C56" s="2382">
        <f t="shared" si="3"/>
        <v>36618</v>
      </c>
      <c r="D56" s="3504">
        <v>6087</v>
      </c>
      <c r="E56" s="151">
        <v>13485</v>
      </c>
      <c r="F56" s="3504">
        <v>1700</v>
      </c>
      <c r="G56" s="151">
        <v>4616</v>
      </c>
      <c r="H56" s="3504">
        <v>6008</v>
      </c>
      <c r="I56" s="151">
        <v>3043</v>
      </c>
      <c r="J56" s="3504">
        <v>1679</v>
      </c>
      <c r="K56" s="151">
        <v>6882</v>
      </c>
      <c r="L56" s="3504">
        <v>1678</v>
      </c>
      <c r="M56" s="151">
        <v>2159</v>
      </c>
      <c r="N56" s="1396">
        <v>6840</v>
      </c>
      <c r="O56" s="1397"/>
      <c r="P56" s="1398">
        <v>106496</v>
      </c>
      <c r="Q56" s="1398">
        <v>3096553</v>
      </c>
      <c r="R56" s="1602">
        <f t="shared" si="1"/>
        <v>508.72333233173072</v>
      </c>
      <c r="S56" s="1604">
        <f t="shared" si="2"/>
        <v>17.495905931530963</v>
      </c>
      <c r="T56" s="646"/>
      <c r="U56" s="1982">
        <v>1141618</v>
      </c>
      <c r="V56" s="647"/>
      <c r="W56" s="261"/>
      <c r="X56" s="3003"/>
      <c r="Y56" s="442"/>
      <c r="Z56" s="941"/>
      <c r="AA56" s="1246"/>
      <c r="AB56" s="941"/>
      <c r="AC56" s="941"/>
    </row>
    <row r="57" spans="1:29">
      <c r="A57" s="53">
        <v>2000.12</v>
      </c>
      <c r="B57" s="141">
        <v>73461</v>
      </c>
      <c r="C57" s="2382">
        <f t="shared" si="3"/>
        <v>49308</v>
      </c>
      <c r="D57" s="3504">
        <v>11657</v>
      </c>
      <c r="E57" s="151">
        <v>16788</v>
      </c>
      <c r="F57" s="3504">
        <v>2221</v>
      </c>
      <c r="G57" s="151">
        <v>5331</v>
      </c>
      <c r="H57" s="3504">
        <v>7542</v>
      </c>
      <c r="I57" s="151">
        <v>3797</v>
      </c>
      <c r="J57" s="3504">
        <v>1972</v>
      </c>
      <c r="K57" s="151">
        <v>8960</v>
      </c>
      <c r="L57" s="3504">
        <v>2483</v>
      </c>
      <c r="M57" s="151">
        <v>3195</v>
      </c>
      <c r="N57" s="1396">
        <v>9515</v>
      </c>
      <c r="O57" s="1397"/>
      <c r="P57" s="1398">
        <v>104316</v>
      </c>
      <c r="Q57" s="1398">
        <v>3583230</v>
      </c>
      <c r="R57" s="1602">
        <f t="shared" si="1"/>
        <v>704.21603589094673</v>
      </c>
      <c r="S57" s="1604">
        <f t="shared" si="2"/>
        <v>20.501335387346053</v>
      </c>
      <c r="T57" s="646"/>
      <c r="U57" s="1982">
        <v>1523831</v>
      </c>
      <c r="V57" s="647"/>
      <c r="W57" s="261"/>
      <c r="X57" s="3003"/>
      <c r="Y57" s="442"/>
      <c r="Z57" s="941"/>
      <c r="AA57" s="1246"/>
      <c r="AB57" s="941"/>
      <c r="AC57" s="941"/>
    </row>
    <row r="58" spans="1:29">
      <c r="A58" s="53">
        <v>2001.01</v>
      </c>
      <c r="B58" s="141">
        <v>51013</v>
      </c>
      <c r="C58" s="2382">
        <f t="shared" si="3"/>
        <v>32912</v>
      </c>
      <c r="D58" s="3504">
        <v>5807</v>
      </c>
      <c r="E58" s="151">
        <v>11623</v>
      </c>
      <c r="F58" s="3504">
        <v>1538</v>
      </c>
      <c r="G58" s="151">
        <v>4138</v>
      </c>
      <c r="H58" s="3504">
        <v>5465</v>
      </c>
      <c r="I58" s="151">
        <v>2760</v>
      </c>
      <c r="J58" s="3504">
        <v>1581</v>
      </c>
      <c r="K58" s="151">
        <v>6932</v>
      </c>
      <c r="L58" s="3504">
        <v>1756</v>
      </c>
      <c r="M58" s="151">
        <v>2647</v>
      </c>
      <c r="N58" s="1396">
        <v>6766</v>
      </c>
      <c r="O58" s="1397"/>
      <c r="P58" s="1398">
        <v>104316</v>
      </c>
      <c r="Q58" s="1398">
        <v>2898722</v>
      </c>
      <c r="R58" s="1602">
        <f t="shared" si="1"/>
        <v>489.02373557268305</v>
      </c>
      <c r="S58" s="1604">
        <f t="shared" si="2"/>
        <v>17.598445107878575</v>
      </c>
      <c r="T58" s="646"/>
      <c r="U58" s="1982">
        <v>1114821</v>
      </c>
      <c r="V58" s="647"/>
      <c r="W58" s="261"/>
      <c r="X58" s="3003"/>
      <c r="Y58" s="442"/>
      <c r="Z58" s="941"/>
      <c r="AA58" s="1246"/>
      <c r="AB58" s="941"/>
      <c r="AC58" s="941"/>
    </row>
    <row r="59" spans="1:29">
      <c r="A59" s="53">
        <v>2001.02</v>
      </c>
      <c r="B59" s="141">
        <v>50695</v>
      </c>
      <c r="C59" s="2382">
        <f t="shared" si="3"/>
        <v>33300</v>
      </c>
      <c r="D59" s="3504">
        <v>5845</v>
      </c>
      <c r="E59" s="151">
        <v>11830</v>
      </c>
      <c r="F59" s="3504">
        <v>1525</v>
      </c>
      <c r="G59" s="151">
        <v>4185</v>
      </c>
      <c r="H59" s="3504">
        <v>5542</v>
      </c>
      <c r="I59" s="151">
        <v>2797</v>
      </c>
      <c r="J59" s="3504">
        <v>1576</v>
      </c>
      <c r="K59" s="151">
        <v>6795</v>
      </c>
      <c r="L59" s="3504">
        <v>1710</v>
      </c>
      <c r="M59" s="151">
        <v>2016</v>
      </c>
      <c r="N59" s="1396">
        <v>6874</v>
      </c>
      <c r="O59" s="1397"/>
      <c r="P59" s="1398">
        <v>104316</v>
      </c>
      <c r="Q59" s="1398">
        <v>2939414</v>
      </c>
      <c r="R59" s="1602">
        <f t="shared" si="1"/>
        <v>485.97530580160281</v>
      </c>
      <c r="S59" s="1604">
        <f t="shared" si="2"/>
        <v>17.246634873481586</v>
      </c>
      <c r="T59" s="646"/>
      <c r="U59" s="1982">
        <v>1060155</v>
      </c>
      <c r="V59" s="647"/>
      <c r="W59" s="261"/>
      <c r="X59" s="3003"/>
      <c r="Y59" s="442"/>
      <c r="Z59" s="941"/>
      <c r="AA59" s="1246"/>
      <c r="AB59" s="941"/>
      <c r="AC59" s="941"/>
    </row>
    <row r="60" spans="1:29">
      <c r="A60" s="53">
        <v>2001.03</v>
      </c>
      <c r="B60" s="141">
        <v>58304</v>
      </c>
      <c r="C60" s="2382">
        <f t="shared" si="3"/>
        <v>37901</v>
      </c>
      <c r="D60" s="3504">
        <v>6408</v>
      </c>
      <c r="E60" s="151">
        <v>14086</v>
      </c>
      <c r="F60" s="3504">
        <v>1727</v>
      </c>
      <c r="G60" s="151">
        <v>4783</v>
      </c>
      <c r="H60" s="3504">
        <v>6356</v>
      </c>
      <c r="I60" s="151">
        <v>3042</v>
      </c>
      <c r="J60" s="3504">
        <v>1499</v>
      </c>
      <c r="K60" s="151">
        <v>7922</v>
      </c>
      <c r="L60" s="3504">
        <v>2201</v>
      </c>
      <c r="M60" s="151">
        <v>2351</v>
      </c>
      <c r="N60" s="1396">
        <v>7929</v>
      </c>
      <c r="O60" s="1397"/>
      <c r="P60" s="1398">
        <v>104316</v>
      </c>
      <c r="Q60" s="1398">
        <v>3064967</v>
      </c>
      <c r="R60" s="1602">
        <f t="shared" si="1"/>
        <v>558.91713639326656</v>
      </c>
      <c r="S60" s="1604">
        <f t="shared" si="2"/>
        <v>19.022717047198228</v>
      </c>
      <c r="T60" s="646"/>
      <c r="U60" s="1982">
        <v>1233464</v>
      </c>
      <c r="V60" s="647"/>
      <c r="W60" s="261"/>
      <c r="X60" s="3003"/>
      <c r="Y60" s="442"/>
      <c r="Z60" s="941"/>
      <c r="AA60" s="1246"/>
      <c r="AB60" s="941"/>
      <c r="AC60" s="941"/>
    </row>
    <row r="61" spans="1:29">
      <c r="A61" s="53">
        <v>2001.04</v>
      </c>
      <c r="B61" s="141">
        <v>56827</v>
      </c>
      <c r="C61" s="2382">
        <f t="shared" si="3"/>
        <v>37519</v>
      </c>
      <c r="D61" s="3504">
        <v>6129</v>
      </c>
      <c r="E61" s="151">
        <v>14819</v>
      </c>
      <c r="F61" s="3504">
        <v>1466</v>
      </c>
      <c r="G61" s="151">
        <v>4774</v>
      </c>
      <c r="H61" s="3504">
        <v>6003</v>
      </c>
      <c r="I61" s="151">
        <v>2905</v>
      </c>
      <c r="J61" s="3504">
        <v>1423</v>
      </c>
      <c r="K61" s="151">
        <v>7378</v>
      </c>
      <c r="L61" s="3504">
        <v>2169</v>
      </c>
      <c r="M61" s="151">
        <v>2129</v>
      </c>
      <c r="N61" s="1396">
        <v>7632</v>
      </c>
      <c r="O61" s="1397"/>
      <c r="P61" s="1398">
        <v>104316</v>
      </c>
      <c r="Q61" s="1398">
        <v>3014340</v>
      </c>
      <c r="R61" s="1602">
        <f t="shared" si="1"/>
        <v>544.75823459488481</v>
      </c>
      <c r="S61" s="1604">
        <f t="shared" si="2"/>
        <v>18.852219723057122</v>
      </c>
      <c r="T61" s="646"/>
      <c r="U61" s="1982">
        <v>1178262</v>
      </c>
      <c r="V61" s="647"/>
      <c r="W61" s="261"/>
      <c r="X61" s="3003"/>
      <c r="Y61" s="442"/>
      <c r="Z61" s="941"/>
      <c r="AA61" s="1246"/>
      <c r="AB61" s="941"/>
      <c r="AC61" s="941"/>
    </row>
    <row r="62" spans="1:29">
      <c r="A62" s="53">
        <v>2001.05</v>
      </c>
      <c r="B62" s="141">
        <v>50668</v>
      </c>
      <c r="C62" s="2382">
        <f t="shared" si="3"/>
        <v>34093</v>
      </c>
      <c r="D62" s="3504">
        <v>5258</v>
      </c>
      <c r="E62" s="151">
        <v>13225</v>
      </c>
      <c r="F62" s="3504">
        <v>1631</v>
      </c>
      <c r="G62" s="151">
        <v>4465</v>
      </c>
      <c r="H62" s="3504">
        <v>5620</v>
      </c>
      <c r="I62" s="151">
        <v>2648</v>
      </c>
      <c r="J62" s="3504">
        <v>1246</v>
      </c>
      <c r="K62" s="151">
        <v>6667</v>
      </c>
      <c r="L62" s="3504">
        <v>1999</v>
      </c>
      <c r="M62" s="151">
        <v>1595</v>
      </c>
      <c r="N62" s="1396">
        <v>6314</v>
      </c>
      <c r="O62" s="1397"/>
      <c r="P62" s="1398">
        <v>104316</v>
      </c>
      <c r="Q62" s="1398">
        <v>2945603</v>
      </c>
      <c r="R62" s="1602">
        <f t="shared" si="1"/>
        <v>485.71647685877531</v>
      </c>
      <c r="S62" s="1604">
        <f t="shared" si="2"/>
        <v>17.201231802113181</v>
      </c>
      <c r="T62" s="646"/>
      <c r="U62" s="1982">
        <v>1089388</v>
      </c>
      <c r="V62" s="647"/>
      <c r="W62" s="261"/>
      <c r="X62" s="3003"/>
      <c r="Y62" s="442"/>
      <c r="Z62" s="941"/>
      <c r="AA62" s="1246"/>
      <c r="AB62" s="941"/>
      <c r="AC62" s="941"/>
    </row>
    <row r="63" spans="1:29">
      <c r="A63" s="53">
        <v>2001.06</v>
      </c>
      <c r="B63" s="141">
        <v>55425</v>
      </c>
      <c r="C63" s="2382">
        <f t="shared" si="3"/>
        <v>36688</v>
      </c>
      <c r="D63" s="3504">
        <v>5867</v>
      </c>
      <c r="E63" s="151">
        <v>14352</v>
      </c>
      <c r="F63" s="3504">
        <v>1754</v>
      </c>
      <c r="G63" s="151">
        <v>4875</v>
      </c>
      <c r="H63" s="3504">
        <v>5818</v>
      </c>
      <c r="I63" s="151">
        <v>2712</v>
      </c>
      <c r="J63" s="3504">
        <v>1310</v>
      </c>
      <c r="K63" s="151">
        <v>7034</v>
      </c>
      <c r="L63" s="3504">
        <v>2220</v>
      </c>
      <c r="M63" s="151">
        <v>2144</v>
      </c>
      <c r="N63" s="1396">
        <v>7339</v>
      </c>
      <c r="O63" s="1397"/>
      <c r="P63" s="1398">
        <v>104316</v>
      </c>
      <c r="Q63" s="1398">
        <v>3046773</v>
      </c>
      <c r="R63" s="1602">
        <f t="shared" si="1"/>
        <v>531.31830208213501</v>
      </c>
      <c r="S63" s="1604">
        <f t="shared" si="2"/>
        <v>18.191378222138635</v>
      </c>
      <c r="T63" s="646"/>
      <c r="U63" s="1982">
        <v>1145241</v>
      </c>
      <c r="V63" s="647"/>
      <c r="W63" s="261"/>
      <c r="X63" s="3003"/>
      <c r="Y63" s="442"/>
      <c r="Z63" s="941"/>
      <c r="AA63" s="1246"/>
      <c r="AB63" s="941"/>
      <c r="AC63" s="941"/>
    </row>
    <row r="64" spans="1:29">
      <c r="A64" s="53">
        <v>2001.07</v>
      </c>
      <c r="B64" s="141">
        <v>55866</v>
      </c>
      <c r="C64" s="2382">
        <f t="shared" si="3"/>
        <v>36581</v>
      </c>
      <c r="D64" s="3504">
        <v>5790</v>
      </c>
      <c r="E64" s="151">
        <v>14621</v>
      </c>
      <c r="F64" s="3504">
        <v>1722</v>
      </c>
      <c r="G64" s="151">
        <v>4891</v>
      </c>
      <c r="H64" s="3504">
        <v>5529</v>
      </c>
      <c r="I64" s="151">
        <v>2693</v>
      </c>
      <c r="J64" s="3504">
        <v>1335</v>
      </c>
      <c r="K64" s="151">
        <v>7068</v>
      </c>
      <c r="L64" s="3504">
        <v>2236</v>
      </c>
      <c r="M64" s="151">
        <v>2300</v>
      </c>
      <c r="N64" s="1396">
        <v>7681</v>
      </c>
      <c r="O64" s="1397"/>
      <c r="P64" s="1398">
        <v>104316</v>
      </c>
      <c r="Q64" s="1398">
        <v>3079249</v>
      </c>
      <c r="R64" s="1602">
        <f t="shared" si="1"/>
        <v>535.54584148165191</v>
      </c>
      <c r="S64" s="1604">
        <f t="shared" si="2"/>
        <v>18.142735452702915</v>
      </c>
      <c r="T64" s="646"/>
      <c r="U64" s="1982">
        <v>1144406</v>
      </c>
      <c r="V64" s="647"/>
      <c r="W64" s="261"/>
      <c r="X64" s="3003"/>
      <c r="Y64" s="442"/>
      <c r="Z64" s="941"/>
      <c r="AA64" s="1246"/>
      <c r="AB64" s="941"/>
      <c r="AC64" s="941"/>
    </row>
    <row r="65" spans="1:29">
      <c r="A65" s="53">
        <v>2001.08</v>
      </c>
      <c r="B65" s="141">
        <v>52788</v>
      </c>
      <c r="C65" s="2382">
        <f t="shared" si="3"/>
        <v>35008</v>
      </c>
      <c r="D65" s="3504">
        <v>5637</v>
      </c>
      <c r="E65" s="151">
        <v>13695</v>
      </c>
      <c r="F65" s="3504">
        <v>1656</v>
      </c>
      <c r="G65" s="151">
        <v>4718</v>
      </c>
      <c r="H65" s="3504">
        <v>5395</v>
      </c>
      <c r="I65" s="151">
        <v>2687</v>
      </c>
      <c r="J65" s="3504">
        <v>1220</v>
      </c>
      <c r="K65" s="151">
        <v>6854</v>
      </c>
      <c r="L65" s="3504">
        <v>1601</v>
      </c>
      <c r="M65" s="151">
        <v>1788</v>
      </c>
      <c r="N65" s="1396">
        <v>7537</v>
      </c>
      <c r="O65" s="1397"/>
      <c r="P65" s="1398">
        <v>104316</v>
      </c>
      <c r="Q65" s="1398">
        <v>3026201</v>
      </c>
      <c r="R65" s="1602">
        <f t="shared" si="1"/>
        <v>506.03934199930978</v>
      </c>
      <c r="S65" s="1604">
        <f t="shared" si="2"/>
        <v>17.443652949688406</v>
      </c>
      <c r="T65" s="646"/>
      <c r="U65" s="1982">
        <v>1094588</v>
      </c>
      <c r="V65" s="647"/>
      <c r="W65" s="261"/>
      <c r="X65" s="3003"/>
      <c r="Y65" s="442"/>
      <c r="Z65" s="941"/>
      <c r="AA65" s="1246"/>
      <c r="AB65" s="941"/>
      <c r="AC65" s="941"/>
    </row>
    <row r="66" spans="1:29">
      <c r="A66" s="53">
        <v>2001.09</v>
      </c>
      <c r="B66" s="141">
        <v>51428</v>
      </c>
      <c r="C66" s="2382">
        <f t="shared" si="3"/>
        <v>34367</v>
      </c>
      <c r="D66" s="3504">
        <v>5523</v>
      </c>
      <c r="E66" s="151">
        <v>13373</v>
      </c>
      <c r="F66" s="3504">
        <v>1650</v>
      </c>
      <c r="G66" s="151">
        <v>4623</v>
      </c>
      <c r="H66" s="3504">
        <v>5559</v>
      </c>
      <c r="I66" s="151">
        <v>2437</v>
      </c>
      <c r="J66" s="3504">
        <v>1202</v>
      </c>
      <c r="K66" s="151">
        <v>6900</v>
      </c>
      <c r="L66" s="3504">
        <v>1397</v>
      </c>
      <c r="M66" s="151">
        <v>1952</v>
      </c>
      <c r="N66" s="1396">
        <v>6812</v>
      </c>
      <c r="O66" s="1397"/>
      <c r="P66" s="1398">
        <v>104316</v>
      </c>
      <c r="Q66" s="1398">
        <v>2914365</v>
      </c>
      <c r="R66" s="1602">
        <f t="shared" si="1"/>
        <v>493.00203228651407</v>
      </c>
      <c r="S66" s="1604">
        <f t="shared" si="2"/>
        <v>17.646382659687447</v>
      </c>
      <c r="T66" s="646"/>
      <c r="U66" s="1982">
        <v>1066211</v>
      </c>
      <c r="V66" s="647"/>
      <c r="W66" s="261"/>
      <c r="X66" s="3003"/>
      <c r="Y66" s="442"/>
      <c r="Z66" s="941"/>
      <c r="AA66" s="1246"/>
      <c r="AB66" s="941"/>
      <c r="AC66" s="941"/>
    </row>
    <row r="67" spans="1:29">
      <c r="A67" s="53">
        <v>2001.1</v>
      </c>
      <c r="B67" s="141">
        <v>51200</v>
      </c>
      <c r="C67" s="2382">
        <f t="shared" si="3"/>
        <v>33671</v>
      </c>
      <c r="D67" s="3504">
        <v>5466</v>
      </c>
      <c r="E67" s="151">
        <v>13193</v>
      </c>
      <c r="F67" s="3504">
        <v>1619</v>
      </c>
      <c r="G67" s="151">
        <v>4531</v>
      </c>
      <c r="H67" s="3504">
        <v>5317</v>
      </c>
      <c r="I67" s="151">
        <v>2430</v>
      </c>
      <c r="J67" s="3504">
        <v>1115</v>
      </c>
      <c r="K67" s="151">
        <v>6770</v>
      </c>
      <c r="L67" s="3504">
        <v>1562</v>
      </c>
      <c r="M67" s="151">
        <v>2443</v>
      </c>
      <c r="N67" s="1396">
        <v>6754</v>
      </c>
      <c r="O67" s="1397"/>
      <c r="P67" s="1398">
        <v>104784</v>
      </c>
      <c r="Q67" s="1398">
        <v>2859757</v>
      </c>
      <c r="R67" s="1602">
        <f t="shared" si="1"/>
        <v>488.62421743777679</v>
      </c>
      <c r="S67" s="1604">
        <f t="shared" si="2"/>
        <v>17.903619083719349</v>
      </c>
      <c r="T67" s="646"/>
      <c r="U67" s="1982">
        <v>1060937</v>
      </c>
      <c r="V67" s="647"/>
      <c r="W67" s="261"/>
      <c r="X67" s="3003"/>
      <c r="Y67" s="442"/>
      <c r="Z67" s="941"/>
      <c r="AA67" s="1246"/>
      <c r="AB67" s="941"/>
      <c r="AC67" s="941"/>
    </row>
    <row r="68" spans="1:29">
      <c r="A68" s="53">
        <v>2001.11</v>
      </c>
      <c r="B68" s="141">
        <v>49578</v>
      </c>
      <c r="C68" s="2382">
        <f t="shared" si="3"/>
        <v>32521</v>
      </c>
      <c r="D68" s="3504">
        <v>5640</v>
      </c>
      <c r="E68" s="151">
        <v>12745</v>
      </c>
      <c r="F68" s="3504">
        <v>973</v>
      </c>
      <c r="G68" s="151">
        <v>4305</v>
      </c>
      <c r="H68" s="3504">
        <v>5281</v>
      </c>
      <c r="I68" s="151">
        <v>2363</v>
      </c>
      <c r="J68" s="3504">
        <v>1214</v>
      </c>
      <c r="K68" s="151">
        <v>6776</v>
      </c>
      <c r="L68" s="3504">
        <v>1428</v>
      </c>
      <c r="M68" s="151">
        <v>1924</v>
      </c>
      <c r="N68" s="1396">
        <v>6929</v>
      </c>
      <c r="O68" s="1397"/>
      <c r="P68" s="1398">
        <v>103327</v>
      </c>
      <c r="Q68" s="1398">
        <v>3160220</v>
      </c>
      <c r="R68" s="1602">
        <f t="shared" si="1"/>
        <v>479.81650488255735</v>
      </c>
      <c r="S68" s="1604">
        <f t="shared" si="2"/>
        <v>15.688148293473239</v>
      </c>
      <c r="T68" s="646"/>
      <c r="U68" s="1982">
        <v>1028565</v>
      </c>
      <c r="V68" s="647"/>
      <c r="W68" s="261"/>
      <c r="X68" s="3003"/>
      <c r="Y68" s="442"/>
      <c r="Z68" s="941"/>
      <c r="AA68" s="1246"/>
      <c r="AB68" s="941"/>
      <c r="AC68" s="941"/>
    </row>
    <row r="69" spans="1:29">
      <c r="A69" s="53">
        <v>2001.12</v>
      </c>
      <c r="B69" s="141">
        <v>64689</v>
      </c>
      <c r="C69" s="2382">
        <f t="shared" si="3"/>
        <v>43255</v>
      </c>
      <c r="D69" s="3504">
        <v>9569</v>
      </c>
      <c r="E69" s="151">
        <v>16067</v>
      </c>
      <c r="F69" s="3504">
        <v>2001</v>
      </c>
      <c r="G69" s="151">
        <v>4902</v>
      </c>
      <c r="H69" s="3504">
        <v>6463</v>
      </c>
      <c r="I69" s="151">
        <v>2822</v>
      </c>
      <c r="J69" s="3504">
        <v>1431</v>
      </c>
      <c r="K69" s="151">
        <v>7781</v>
      </c>
      <c r="L69" s="3504">
        <v>1981</v>
      </c>
      <c r="M69" s="151">
        <v>2389</v>
      </c>
      <c r="N69" s="1396">
        <v>9283</v>
      </c>
      <c r="O69" s="1397"/>
      <c r="P69" s="1398">
        <v>104353</v>
      </c>
      <c r="Q69" s="1398">
        <v>3207767</v>
      </c>
      <c r="R69" s="1602">
        <f t="shared" si="1"/>
        <v>619.90551301831283</v>
      </c>
      <c r="S69" s="1604">
        <f t="shared" si="2"/>
        <v>20.166364951070321</v>
      </c>
      <c r="T69" s="646"/>
      <c r="U69" s="1982">
        <v>1292031</v>
      </c>
      <c r="V69" s="647"/>
      <c r="W69" s="261"/>
      <c r="X69" s="3003"/>
      <c r="Y69" s="442"/>
      <c r="Z69" s="941"/>
      <c r="AA69" s="1246"/>
      <c r="AB69" s="941"/>
      <c r="AC69" s="941"/>
    </row>
    <row r="70" spans="1:29">
      <c r="A70" s="53">
        <v>2002.01</v>
      </c>
      <c r="B70" s="141">
        <v>49771</v>
      </c>
      <c r="C70" s="2382">
        <f t="shared" si="3"/>
        <v>32600</v>
      </c>
      <c r="D70" s="3504">
        <v>5589</v>
      </c>
      <c r="E70" s="151">
        <v>12738</v>
      </c>
      <c r="F70" s="3504">
        <v>1400</v>
      </c>
      <c r="G70" s="151">
        <v>4652</v>
      </c>
      <c r="H70" s="3504">
        <v>5057</v>
      </c>
      <c r="I70" s="151">
        <v>2193</v>
      </c>
      <c r="J70" s="3504">
        <v>971</v>
      </c>
      <c r="K70" s="151">
        <v>6682</v>
      </c>
      <c r="L70" s="3504">
        <v>1494</v>
      </c>
      <c r="M70" s="151">
        <v>2722</v>
      </c>
      <c r="N70" s="1396">
        <v>6273</v>
      </c>
      <c r="O70" s="1397"/>
      <c r="P70" s="1398">
        <v>104353</v>
      </c>
      <c r="Q70" s="1398">
        <v>2593759</v>
      </c>
      <c r="R70" s="1602">
        <f t="shared" si="1"/>
        <v>476.94843464011575</v>
      </c>
      <c r="S70" s="1604">
        <f t="shared" si="2"/>
        <v>19.188752694448482</v>
      </c>
      <c r="T70" s="646"/>
      <c r="U70" s="1982">
        <v>1034467</v>
      </c>
      <c r="V70" s="647"/>
      <c r="W70" s="261"/>
      <c r="X70" s="3003"/>
      <c r="Y70" s="442"/>
      <c r="Z70" s="941"/>
      <c r="AA70" s="1246"/>
      <c r="AB70" s="941"/>
      <c r="AC70" s="941"/>
    </row>
    <row r="71" spans="1:29">
      <c r="A71" s="53">
        <v>2002.02</v>
      </c>
      <c r="B71" s="141">
        <v>52226</v>
      </c>
      <c r="C71" s="2382">
        <f t="shared" si="3"/>
        <v>34408</v>
      </c>
      <c r="D71" s="3504">
        <v>5418</v>
      </c>
      <c r="E71" s="151">
        <v>13980</v>
      </c>
      <c r="F71" s="3504">
        <v>1451</v>
      </c>
      <c r="G71" s="151">
        <v>4865</v>
      </c>
      <c r="H71" s="3504">
        <v>5120</v>
      </c>
      <c r="I71" s="151">
        <v>2348</v>
      </c>
      <c r="J71" s="3504">
        <v>1226</v>
      </c>
      <c r="K71" s="151">
        <v>8082</v>
      </c>
      <c r="L71" s="3504">
        <v>1405</v>
      </c>
      <c r="M71" s="151">
        <v>2114</v>
      </c>
      <c r="N71" s="1396">
        <v>6217</v>
      </c>
      <c r="O71" s="1397"/>
      <c r="P71" s="1398">
        <v>104353</v>
      </c>
      <c r="Q71" s="1398">
        <v>2769619</v>
      </c>
      <c r="R71" s="1602">
        <f t="shared" si="1"/>
        <v>500.47435148007247</v>
      </c>
      <c r="S71" s="1604">
        <f t="shared" si="2"/>
        <v>18.856745277960613</v>
      </c>
      <c r="T71" s="646"/>
      <c r="U71" s="1982">
        <v>1026395</v>
      </c>
      <c r="V71" s="647"/>
      <c r="W71" s="261"/>
      <c r="X71" s="3003"/>
      <c r="Y71" s="442"/>
      <c r="Z71" s="941"/>
      <c r="AA71" s="1246"/>
      <c r="AB71" s="941"/>
      <c r="AC71" s="941"/>
    </row>
    <row r="72" spans="1:29">
      <c r="A72" s="53">
        <v>2002.03</v>
      </c>
      <c r="B72" s="141">
        <v>64054</v>
      </c>
      <c r="C72" s="2382">
        <f t="shared" si="3"/>
        <v>41795</v>
      </c>
      <c r="D72" s="3504">
        <v>6456</v>
      </c>
      <c r="E72" s="151">
        <v>17680</v>
      </c>
      <c r="F72" s="3504">
        <v>1806</v>
      </c>
      <c r="G72" s="151">
        <v>6001</v>
      </c>
      <c r="H72" s="3504">
        <v>5911</v>
      </c>
      <c r="I72" s="151">
        <v>2716</v>
      </c>
      <c r="J72" s="3504">
        <v>1225</v>
      </c>
      <c r="K72" s="151">
        <v>10261</v>
      </c>
      <c r="L72" s="3504">
        <v>1680</v>
      </c>
      <c r="M72" s="151">
        <v>2803</v>
      </c>
      <c r="N72" s="1396">
        <v>7515</v>
      </c>
      <c r="O72" s="1397"/>
      <c r="P72" s="1398">
        <v>104353</v>
      </c>
      <c r="Q72" s="1398">
        <v>2941923</v>
      </c>
      <c r="R72" s="1602">
        <f t="shared" si="1"/>
        <v>613.82039807192893</v>
      </c>
      <c r="S72" s="1604">
        <f t="shared" si="2"/>
        <v>21.772833619370729</v>
      </c>
      <c r="T72" s="646"/>
      <c r="U72" s="1982">
        <v>1253465</v>
      </c>
      <c r="V72" s="647"/>
      <c r="W72" s="261"/>
      <c r="X72" s="3003"/>
      <c r="Y72" s="442"/>
      <c r="Z72" s="941"/>
      <c r="AA72" s="1246"/>
      <c r="AB72" s="941"/>
      <c r="AC72" s="941"/>
    </row>
    <row r="73" spans="1:29">
      <c r="A73" s="53">
        <v>2002.04</v>
      </c>
      <c r="B73" s="141">
        <v>60706</v>
      </c>
      <c r="C73" s="2382">
        <f t="shared" si="3"/>
        <v>40667</v>
      </c>
      <c r="D73" s="3504">
        <v>5855</v>
      </c>
      <c r="E73" s="151">
        <v>16889</v>
      </c>
      <c r="F73" s="3504">
        <v>1882</v>
      </c>
      <c r="G73" s="151">
        <v>6055</v>
      </c>
      <c r="H73" s="3504">
        <v>6031</v>
      </c>
      <c r="I73" s="151">
        <v>2713</v>
      </c>
      <c r="J73" s="3504">
        <v>1242</v>
      </c>
      <c r="K73" s="151">
        <v>9288</v>
      </c>
      <c r="L73" s="3504">
        <v>1488</v>
      </c>
      <c r="M73" s="151">
        <v>2237</v>
      </c>
      <c r="N73" s="1396">
        <v>7026</v>
      </c>
      <c r="O73" s="1397"/>
      <c r="P73" s="1398">
        <v>104353</v>
      </c>
      <c r="Q73" s="1398">
        <v>3144184</v>
      </c>
      <c r="R73" s="1602">
        <f t="shared" si="1"/>
        <v>581.73698887430169</v>
      </c>
      <c r="S73" s="1604">
        <f t="shared" si="2"/>
        <v>19.307394223747721</v>
      </c>
      <c r="T73" s="646"/>
      <c r="U73" s="1982">
        <v>1148987</v>
      </c>
      <c r="V73" s="647"/>
      <c r="W73" s="261"/>
      <c r="X73" s="3003"/>
      <c r="Y73" s="442"/>
      <c r="Z73" s="941"/>
      <c r="AA73" s="1246"/>
      <c r="AB73" s="941"/>
      <c r="AC73" s="941"/>
    </row>
    <row r="74" spans="1:29">
      <c r="A74" s="53">
        <v>2002.05</v>
      </c>
      <c r="B74" s="141">
        <v>60812</v>
      </c>
      <c r="C74" s="2382">
        <f t="shared" si="3"/>
        <v>41166</v>
      </c>
      <c r="D74" s="3504">
        <v>6175</v>
      </c>
      <c r="E74" s="151">
        <v>17143</v>
      </c>
      <c r="F74" s="3504">
        <v>1894</v>
      </c>
      <c r="G74" s="151">
        <v>6306</v>
      </c>
      <c r="H74" s="3504">
        <v>5651</v>
      </c>
      <c r="I74" s="151">
        <v>2812</v>
      </c>
      <c r="J74" s="3504">
        <v>1185</v>
      </c>
      <c r="K74" s="151">
        <v>9749</v>
      </c>
      <c r="L74" s="3504">
        <v>1828</v>
      </c>
      <c r="M74" s="151">
        <v>2631</v>
      </c>
      <c r="N74" s="1396">
        <v>5438</v>
      </c>
      <c r="O74" s="1397"/>
      <c r="P74" s="1398">
        <v>104353</v>
      </c>
      <c r="Q74" s="1398">
        <v>3109228</v>
      </c>
      <c r="R74" s="1602">
        <f t="shared" si="1"/>
        <v>582.75277184172944</v>
      </c>
      <c r="S74" s="1604">
        <f t="shared" si="2"/>
        <v>19.558552798315208</v>
      </c>
      <c r="T74" s="646"/>
      <c r="U74" s="1982">
        <v>1198573</v>
      </c>
      <c r="V74" s="647"/>
      <c r="W74" s="261"/>
      <c r="X74" s="3003"/>
      <c r="Y74" s="442"/>
      <c r="Z74" s="941"/>
      <c r="AA74" s="1246"/>
      <c r="AB74" s="941"/>
      <c r="AC74" s="941"/>
    </row>
    <row r="75" spans="1:29">
      <c r="A75" s="53">
        <v>2002.06</v>
      </c>
      <c r="B75" s="141">
        <v>67231</v>
      </c>
      <c r="C75" s="2382">
        <f t="shared" si="3"/>
        <v>44226</v>
      </c>
      <c r="D75" s="3504">
        <v>6796</v>
      </c>
      <c r="E75" s="151">
        <v>18747</v>
      </c>
      <c r="F75" s="3504">
        <v>2230</v>
      </c>
      <c r="G75" s="151">
        <v>6398</v>
      </c>
      <c r="H75" s="3504">
        <v>5839</v>
      </c>
      <c r="I75" s="151">
        <v>2873</v>
      </c>
      <c r="J75" s="3504">
        <v>1343</v>
      </c>
      <c r="K75" s="151">
        <v>9980</v>
      </c>
      <c r="L75" s="3504">
        <v>2234</v>
      </c>
      <c r="M75" s="151">
        <v>3279</v>
      </c>
      <c r="N75" s="1396">
        <v>7512</v>
      </c>
      <c r="O75" s="1397"/>
      <c r="P75" s="1398">
        <v>104353</v>
      </c>
      <c r="Q75" s="1398">
        <v>3386566</v>
      </c>
      <c r="R75" s="1602">
        <f t="shared" ref="R75:R138" si="4">$B75/P75*1000</f>
        <v>644.26513852021503</v>
      </c>
      <c r="S75" s="1604">
        <f t="shared" ref="S75:S138" si="5">$B75/Q75*1000</f>
        <v>19.85226332515002</v>
      </c>
      <c r="T75" s="646"/>
      <c r="U75" s="1982">
        <v>1279237</v>
      </c>
      <c r="V75" s="647"/>
      <c r="W75" s="261"/>
      <c r="X75" s="3003"/>
      <c r="Y75" s="442"/>
      <c r="Z75" s="941"/>
      <c r="AA75" s="1246"/>
      <c r="AB75" s="941"/>
      <c r="AC75" s="941"/>
    </row>
    <row r="76" spans="1:29">
      <c r="A76" s="53">
        <v>2002.07</v>
      </c>
      <c r="B76" s="141">
        <v>65970</v>
      </c>
      <c r="C76" s="2382">
        <f t="shared" ref="C76:C139" si="6">SUM(D76:J76)</f>
        <v>44199</v>
      </c>
      <c r="D76" s="3504">
        <v>6640</v>
      </c>
      <c r="E76" s="151">
        <v>18435</v>
      </c>
      <c r="F76" s="3504">
        <v>2254</v>
      </c>
      <c r="G76" s="151">
        <v>6393</v>
      </c>
      <c r="H76" s="3504">
        <v>6052</v>
      </c>
      <c r="I76" s="151">
        <v>3018</v>
      </c>
      <c r="J76" s="3504">
        <v>1407</v>
      </c>
      <c r="K76" s="151">
        <v>9811</v>
      </c>
      <c r="L76" s="3504">
        <v>2022</v>
      </c>
      <c r="M76" s="151">
        <v>2541</v>
      </c>
      <c r="N76" s="1396">
        <v>7397</v>
      </c>
      <c r="O76" s="1397"/>
      <c r="P76" s="1398">
        <v>104501</v>
      </c>
      <c r="Q76" s="1398">
        <v>3316207</v>
      </c>
      <c r="R76" s="1602">
        <f t="shared" si="4"/>
        <v>631.28582501602864</v>
      </c>
      <c r="S76" s="1604">
        <f t="shared" si="5"/>
        <v>19.893209320166079</v>
      </c>
      <c r="T76" s="646"/>
      <c r="U76" s="1982">
        <v>1274664</v>
      </c>
      <c r="V76" s="647"/>
      <c r="W76" s="261"/>
      <c r="X76" s="3003"/>
      <c r="Y76" s="442"/>
      <c r="Z76" s="941"/>
      <c r="AA76" s="1246"/>
      <c r="AB76" s="941"/>
      <c r="AC76" s="941"/>
    </row>
    <row r="77" spans="1:29">
      <c r="A77" s="53">
        <v>2002.08</v>
      </c>
      <c r="B77" s="141">
        <v>64728</v>
      </c>
      <c r="C77" s="2382">
        <f t="shared" si="6"/>
        <v>44739</v>
      </c>
      <c r="D77" s="3504">
        <v>6793</v>
      </c>
      <c r="E77" s="151">
        <v>18514</v>
      </c>
      <c r="F77" s="3504">
        <v>2325</v>
      </c>
      <c r="G77" s="151">
        <v>6158</v>
      </c>
      <c r="H77" s="3504">
        <v>6354</v>
      </c>
      <c r="I77" s="151">
        <v>3117</v>
      </c>
      <c r="J77" s="3504">
        <v>1478</v>
      </c>
      <c r="K77" s="151">
        <v>8294</v>
      </c>
      <c r="L77" s="3504">
        <v>1709</v>
      </c>
      <c r="M77" s="151">
        <v>1932</v>
      </c>
      <c r="N77" s="1396">
        <v>8054</v>
      </c>
      <c r="O77" s="1397"/>
      <c r="P77" s="1398">
        <v>104501</v>
      </c>
      <c r="Q77" s="1398">
        <v>3505407</v>
      </c>
      <c r="R77" s="1602">
        <f t="shared" si="4"/>
        <v>619.40077128448536</v>
      </c>
      <c r="S77" s="1604">
        <f t="shared" si="5"/>
        <v>18.465188207817235</v>
      </c>
      <c r="T77" s="646"/>
      <c r="U77" s="1982">
        <v>1331689</v>
      </c>
      <c r="V77" s="647"/>
      <c r="W77" s="261"/>
      <c r="X77" s="3003"/>
      <c r="Y77" s="442"/>
      <c r="Z77" s="941"/>
      <c r="AA77" s="1246"/>
      <c r="AB77" s="941"/>
      <c r="AC77" s="941"/>
    </row>
    <row r="78" spans="1:29">
      <c r="A78" s="53">
        <v>2002.09</v>
      </c>
      <c r="B78" s="141">
        <v>61905</v>
      </c>
      <c r="C78" s="2382">
        <f t="shared" si="6"/>
        <v>44430</v>
      </c>
      <c r="D78" s="3504">
        <v>6504</v>
      </c>
      <c r="E78" s="151">
        <v>18321</v>
      </c>
      <c r="F78" s="3504">
        <v>2136</v>
      </c>
      <c r="G78" s="151">
        <v>6333</v>
      </c>
      <c r="H78" s="3504">
        <v>6617</v>
      </c>
      <c r="I78" s="151">
        <v>3185</v>
      </c>
      <c r="J78" s="3504">
        <v>1334</v>
      </c>
      <c r="K78" s="151">
        <v>8102</v>
      </c>
      <c r="L78" s="3504">
        <v>1586</v>
      </c>
      <c r="M78" s="151">
        <v>1607</v>
      </c>
      <c r="N78" s="1396">
        <v>6180</v>
      </c>
      <c r="O78" s="1397"/>
      <c r="P78" s="1398">
        <v>104501</v>
      </c>
      <c r="Q78" s="1398">
        <v>3215454</v>
      </c>
      <c r="R78" s="1602">
        <f t="shared" si="4"/>
        <v>592.38667572559109</v>
      </c>
      <c r="S78" s="1604">
        <f t="shared" si="5"/>
        <v>19.252335751032355</v>
      </c>
      <c r="T78" s="646"/>
      <c r="U78" s="1982">
        <v>1265342</v>
      </c>
      <c r="V78" s="647"/>
      <c r="W78" s="261"/>
      <c r="X78" s="3003"/>
      <c r="Y78" s="442"/>
      <c r="Z78" s="941"/>
      <c r="AA78" s="1246"/>
      <c r="AB78" s="941"/>
      <c r="AC78" s="941"/>
    </row>
    <row r="79" spans="1:29">
      <c r="A79" s="53">
        <v>2002.1</v>
      </c>
      <c r="B79" s="141">
        <v>63313</v>
      </c>
      <c r="C79" s="2382">
        <f t="shared" si="6"/>
        <v>47009</v>
      </c>
      <c r="D79" s="3504">
        <v>6815</v>
      </c>
      <c r="E79" s="151">
        <v>18511</v>
      </c>
      <c r="F79" s="3504">
        <v>2190</v>
      </c>
      <c r="G79" s="151">
        <v>7394</v>
      </c>
      <c r="H79" s="3504">
        <v>7264</v>
      </c>
      <c r="I79" s="151">
        <v>3300</v>
      </c>
      <c r="J79" s="3504">
        <v>1535</v>
      </c>
      <c r="K79" s="151">
        <v>8123</v>
      </c>
      <c r="L79" s="3504">
        <v>1511</v>
      </c>
      <c r="M79" s="151">
        <v>2050</v>
      </c>
      <c r="N79" s="1396">
        <v>4620</v>
      </c>
      <c r="O79" s="1397"/>
      <c r="P79" s="1398">
        <v>104501</v>
      </c>
      <c r="Q79" s="1398">
        <v>3261726</v>
      </c>
      <c r="R79" s="1602">
        <f t="shared" si="4"/>
        <v>605.8602310025741</v>
      </c>
      <c r="S79" s="1604">
        <f t="shared" si="5"/>
        <v>19.410888590887158</v>
      </c>
      <c r="T79" s="646"/>
      <c r="U79" s="1982">
        <v>1300079</v>
      </c>
      <c r="V79" s="647"/>
      <c r="W79" s="261"/>
      <c r="X79" s="3003"/>
      <c r="Y79" s="442"/>
      <c r="Z79" s="941"/>
      <c r="AA79" s="1246"/>
      <c r="AB79" s="941"/>
      <c r="AC79" s="941"/>
    </row>
    <row r="80" spans="1:29">
      <c r="A80" s="53">
        <v>2002.11</v>
      </c>
      <c r="B80" s="141">
        <v>63709</v>
      </c>
      <c r="C80" s="2382">
        <f t="shared" si="6"/>
        <v>46300</v>
      </c>
      <c r="D80" s="3504">
        <v>7380</v>
      </c>
      <c r="E80" s="151">
        <v>18768</v>
      </c>
      <c r="F80" s="3504">
        <v>2155</v>
      </c>
      <c r="G80" s="151">
        <v>6593</v>
      </c>
      <c r="H80" s="3504">
        <v>6423</v>
      </c>
      <c r="I80" s="151">
        <v>3394</v>
      </c>
      <c r="J80" s="3504">
        <v>1587</v>
      </c>
      <c r="K80" s="151">
        <v>8381</v>
      </c>
      <c r="L80" s="3504">
        <v>1496</v>
      </c>
      <c r="M80" s="151">
        <v>1967</v>
      </c>
      <c r="N80" s="1396">
        <v>5565</v>
      </c>
      <c r="O80" s="1397"/>
      <c r="P80" s="1398">
        <v>104501</v>
      </c>
      <c r="Q80" s="1398">
        <v>3204069</v>
      </c>
      <c r="R80" s="1602">
        <f t="shared" si="4"/>
        <v>609.64966842422564</v>
      </c>
      <c r="S80" s="1604">
        <f t="shared" si="5"/>
        <v>19.883779032224339</v>
      </c>
      <c r="T80" s="646"/>
      <c r="U80" s="1985">
        <v>1323366</v>
      </c>
      <c r="V80" s="647"/>
      <c r="W80" s="261"/>
      <c r="X80" s="3003"/>
      <c r="Y80" s="442"/>
      <c r="Z80" s="941"/>
      <c r="AA80" s="1246"/>
      <c r="AB80" s="941"/>
      <c r="AC80" s="941"/>
    </row>
    <row r="81" spans="1:29">
      <c r="A81" s="53">
        <v>2002.12</v>
      </c>
      <c r="B81" s="141">
        <v>82075</v>
      </c>
      <c r="C81" s="2382">
        <f t="shared" si="6"/>
        <v>59475</v>
      </c>
      <c r="D81" s="3504">
        <v>12948</v>
      </c>
      <c r="E81" s="151">
        <v>22180</v>
      </c>
      <c r="F81" s="3504">
        <v>2854</v>
      </c>
      <c r="G81" s="151">
        <v>7598</v>
      </c>
      <c r="H81" s="3504">
        <v>8195</v>
      </c>
      <c r="I81" s="151">
        <v>3953</v>
      </c>
      <c r="J81" s="3504">
        <v>1747</v>
      </c>
      <c r="K81" s="151">
        <v>10172</v>
      </c>
      <c r="L81" s="3504">
        <v>2000</v>
      </c>
      <c r="M81" s="151">
        <v>2516</v>
      </c>
      <c r="N81" s="1396">
        <v>7912</v>
      </c>
      <c r="O81" s="1397"/>
      <c r="P81" s="1398">
        <v>104501</v>
      </c>
      <c r="Q81" s="1398">
        <v>3607065</v>
      </c>
      <c r="R81" s="1602">
        <f t="shared" si="4"/>
        <v>785.39918278293987</v>
      </c>
      <c r="S81" s="1604">
        <f t="shared" si="5"/>
        <v>22.753956471535723</v>
      </c>
      <c r="T81" s="646"/>
      <c r="U81" s="1982">
        <v>1665403</v>
      </c>
      <c r="V81" s="647"/>
      <c r="W81" s="261"/>
      <c r="X81" s="3003"/>
      <c r="Y81" s="442"/>
      <c r="Z81" s="941"/>
      <c r="AA81" s="1246"/>
      <c r="AB81" s="941"/>
      <c r="AC81" s="941"/>
    </row>
    <row r="82" spans="1:29">
      <c r="A82" s="53">
        <v>2003.01</v>
      </c>
      <c r="B82" s="141">
        <v>58371</v>
      </c>
      <c r="C82" s="2382">
        <f t="shared" si="6"/>
        <v>41114</v>
      </c>
      <c r="D82" s="3504">
        <v>6187</v>
      </c>
      <c r="E82" s="151">
        <v>15729</v>
      </c>
      <c r="F82" s="3504">
        <v>1919</v>
      </c>
      <c r="G82" s="151">
        <v>6276</v>
      </c>
      <c r="H82" s="3504">
        <v>6554</v>
      </c>
      <c r="I82" s="151">
        <v>3045</v>
      </c>
      <c r="J82" s="3504">
        <v>1404</v>
      </c>
      <c r="K82" s="151">
        <v>8172</v>
      </c>
      <c r="L82" s="3504">
        <v>1274</v>
      </c>
      <c r="M82" s="151">
        <v>2218</v>
      </c>
      <c r="N82" s="1396">
        <v>5593</v>
      </c>
      <c r="O82" s="1397"/>
      <c r="P82" s="1398">
        <v>104501</v>
      </c>
      <c r="Q82" s="1398">
        <v>2758456</v>
      </c>
      <c r="R82" s="1602">
        <f t="shared" si="4"/>
        <v>558.56881752327729</v>
      </c>
      <c r="S82" s="1604">
        <f t="shared" si="5"/>
        <v>21.160750796822569</v>
      </c>
      <c r="T82" s="646"/>
      <c r="U82" s="1982">
        <v>1273759</v>
      </c>
      <c r="V82" s="647"/>
      <c r="W82" s="261"/>
      <c r="X82" s="3003"/>
      <c r="Y82" s="442"/>
      <c r="Z82" s="941"/>
      <c r="AA82" s="1246"/>
      <c r="AB82" s="941"/>
      <c r="AC82" s="941"/>
    </row>
    <row r="83" spans="1:29">
      <c r="A83" s="53">
        <v>2003.02</v>
      </c>
      <c r="B83" s="141">
        <v>59315</v>
      </c>
      <c r="C83" s="2382">
        <f t="shared" si="6"/>
        <v>42262</v>
      </c>
      <c r="D83" s="3504">
        <v>6662</v>
      </c>
      <c r="E83" s="151">
        <v>16307</v>
      </c>
      <c r="F83" s="3504">
        <v>1920</v>
      </c>
      <c r="G83" s="151">
        <v>6383</v>
      </c>
      <c r="H83" s="3504">
        <v>6442</v>
      </c>
      <c r="I83" s="151">
        <v>3116</v>
      </c>
      <c r="J83" s="3504">
        <v>1432</v>
      </c>
      <c r="K83" s="151">
        <v>8042</v>
      </c>
      <c r="L83" s="3504">
        <v>1385</v>
      </c>
      <c r="M83" s="151">
        <v>2072</v>
      </c>
      <c r="N83" s="1396">
        <v>5554</v>
      </c>
      <c r="O83" s="1397"/>
      <c r="P83" s="1398">
        <v>104501</v>
      </c>
      <c r="Q83" s="1398">
        <v>2694895</v>
      </c>
      <c r="R83" s="1602">
        <f t="shared" si="4"/>
        <v>567.60222390216359</v>
      </c>
      <c r="S83" s="1604">
        <f t="shared" si="5"/>
        <v>22.010133975535222</v>
      </c>
      <c r="T83" s="646"/>
      <c r="U83" s="1982">
        <v>1238102</v>
      </c>
      <c r="V83" s="647"/>
      <c r="W83" s="261"/>
      <c r="X83" s="3003"/>
      <c r="Y83" s="442"/>
      <c r="Z83" s="941"/>
      <c r="AA83" s="1246"/>
      <c r="AB83" s="941"/>
      <c r="AC83" s="941"/>
    </row>
    <row r="84" spans="1:29">
      <c r="A84" s="53">
        <v>2003.03</v>
      </c>
      <c r="B84" s="141">
        <v>68678</v>
      </c>
      <c r="C84" s="2382">
        <f t="shared" si="6"/>
        <v>48724</v>
      </c>
      <c r="D84" s="3504">
        <v>7566</v>
      </c>
      <c r="E84" s="151">
        <v>18794</v>
      </c>
      <c r="F84" s="3504">
        <v>2223</v>
      </c>
      <c r="G84" s="151">
        <v>7529</v>
      </c>
      <c r="H84" s="3504">
        <v>7500</v>
      </c>
      <c r="I84" s="151">
        <v>3500</v>
      </c>
      <c r="J84" s="3504">
        <v>1612</v>
      </c>
      <c r="K84" s="151">
        <v>9308</v>
      </c>
      <c r="L84" s="3504">
        <v>1889</v>
      </c>
      <c r="M84" s="151">
        <v>2154</v>
      </c>
      <c r="N84" s="1396">
        <v>6603</v>
      </c>
      <c r="O84" s="1397"/>
      <c r="P84" s="1398">
        <v>103156</v>
      </c>
      <c r="Q84" s="1398">
        <v>2930624</v>
      </c>
      <c r="R84" s="1602">
        <f t="shared" si="4"/>
        <v>665.76835084726054</v>
      </c>
      <c r="S84" s="1604">
        <f t="shared" si="5"/>
        <v>23.434599593806642</v>
      </c>
      <c r="T84" s="646"/>
      <c r="U84" s="1982">
        <v>1432972</v>
      </c>
      <c r="V84" s="647"/>
      <c r="W84" s="261"/>
      <c r="X84" s="3003"/>
      <c r="Y84" s="442"/>
      <c r="Z84" s="941"/>
      <c r="AA84" s="1246"/>
      <c r="AB84" s="941"/>
      <c r="AC84" s="941"/>
    </row>
    <row r="85" spans="1:29">
      <c r="A85" s="53">
        <v>2003.04</v>
      </c>
      <c r="B85" s="141">
        <v>63219</v>
      </c>
      <c r="C85" s="2382">
        <f t="shared" si="6"/>
        <v>46599</v>
      </c>
      <c r="D85" s="3504">
        <v>6301</v>
      </c>
      <c r="E85" s="151">
        <v>19217</v>
      </c>
      <c r="F85" s="3504">
        <v>2095</v>
      </c>
      <c r="G85" s="151">
        <v>7106</v>
      </c>
      <c r="H85" s="3504">
        <v>7164</v>
      </c>
      <c r="I85" s="151">
        <v>3285</v>
      </c>
      <c r="J85" s="3504">
        <v>1431</v>
      </c>
      <c r="K85" s="151">
        <v>8125</v>
      </c>
      <c r="L85" s="3504">
        <v>1512</v>
      </c>
      <c r="M85" s="151">
        <v>1876</v>
      </c>
      <c r="N85" s="1396">
        <v>5107</v>
      </c>
      <c r="O85" s="1397"/>
      <c r="P85" s="1398">
        <v>103156</v>
      </c>
      <c r="Q85" s="1398">
        <v>2943930</v>
      </c>
      <c r="R85" s="1602">
        <f t="shared" si="4"/>
        <v>612.84850129900349</v>
      </c>
      <c r="S85" s="1604">
        <f t="shared" si="5"/>
        <v>21.474355708185996</v>
      </c>
      <c r="T85" s="646"/>
      <c r="U85" s="1982">
        <v>1317154</v>
      </c>
      <c r="V85" s="647"/>
      <c r="W85" s="261"/>
      <c r="X85" s="3003"/>
      <c r="Y85" s="442"/>
      <c r="Z85" s="941"/>
      <c r="AA85" s="1246"/>
      <c r="AB85" s="941"/>
      <c r="AC85" s="941"/>
    </row>
    <row r="86" spans="1:29">
      <c r="A86" s="53">
        <v>2003.05</v>
      </c>
      <c r="B86" s="141">
        <v>66574</v>
      </c>
      <c r="C86" s="2382">
        <f t="shared" si="6"/>
        <v>47854</v>
      </c>
      <c r="D86" s="3504">
        <v>6728</v>
      </c>
      <c r="E86" s="151">
        <v>19298</v>
      </c>
      <c r="F86" s="3504">
        <v>2151</v>
      </c>
      <c r="G86" s="151">
        <v>7513</v>
      </c>
      <c r="H86" s="3504">
        <v>7497</v>
      </c>
      <c r="I86" s="151">
        <v>3246</v>
      </c>
      <c r="J86" s="3504">
        <v>1421</v>
      </c>
      <c r="K86" s="151">
        <v>8747</v>
      </c>
      <c r="L86" s="3504">
        <v>1804</v>
      </c>
      <c r="M86" s="151">
        <v>2451</v>
      </c>
      <c r="N86" s="1396">
        <v>5718</v>
      </c>
      <c r="O86" s="1397"/>
      <c r="P86" s="1398">
        <v>110149</v>
      </c>
      <c r="Q86" s="1398">
        <v>2913114</v>
      </c>
      <c r="R86" s="1602">
        <f t="shared" si="4"/>
        <v>604.3994952291896</v>
      </c>
      <c r="S86" s="1604">
        <f t="shared" si="5"/>
        <v>22.853207941742067</v>
      </c>
      <c r="T86" s="646"/>
      <c r="U86" s="1982">
        <v>1337991</v>
      </c>
      <c r="V86" s="647"/>
      <c r="W86" s="261"/>
      <c r="X86" s="3003"/>
      <c r="Y86" s="442"/>
      <c r="Z86" s="941"/>
      <c r="AA86" s="1246"/>
      <c r="AB86" s="941"/>
      <c r="AC86" s="941"/>
    </row>
    <row r="87" spans="1:29">
      <c r="A87" s="53">
        <v>2003.06</v>
      </c>
      <c r="B87" s="141">
        <v>66376</v>
      </c>
      <c r="C87" s="2382">
        <f t="shared" si="6"/>
        <v>47769</v>
      </c>
      <c r="D87" s="3504">
        <v>6800</v>
      </c>
      <c r="E87" s="151">
        <v>19145</v>
      </c>
      <c r="F87" s="3504">
        <v>2203</v>
      </c>
      <c r="G87" s="151">
        <v>7634</v>
      </c>
      <c r="H87" s="3504">
        <v>7333</v>
      </c>
      <c r="I87" s="151">
        <v>3255</v>
      </c>
      <c r="J87" s="3504">
        <v>1399</v>
      </c>
      <c r="K87" s="151">
        <v>8592</v>
      </c>
      <c r="L87" s="3504">
        <v>1833</v>
      </c>
      <c r="M87" s="151">
        <v>2482</v>
      </c>
      <c r="N87" s="1396">
        <v>5700</v>
      </c>
      <c r="O87" s="1397"/>
      <c r="P87" s="1398">
        <v>110149</v>
      </c>
      <c r="Q87" s="1398">
        <v>2976665</v>
      </c>
      <c r="R87" s="1602">
        <f t="shared" si="4"/>
        <v>602.60193011284719</v>
      </c>
      <c r="S87" s="1604">
        <f t="shared" si="5"/>
        <v>22.298780682407994</v>
      </c>
      <c r="T87" s="646"/>
      <c r="U87" s="1982">
        <v>1314284</v>
      </c>
      <c r="V87" s="647"/>
      <c r="W87" s="261"/>
      <c r="X87" s="3003"/>
      <c r="Y87" s="442"/>
      <c r="Z87" s="941"/>
      <c r="AA87" s="1246"/>
      <c r="AB87" s="941"/>
      <c r="AC87" s="941"/>
    </row>
    <row r="88" spans="1:29">
      <c r="A88" s="53">
        <v>2003.07</v>
      </c>
      <c r="B88" s="141">
        <v>68218</v>
      </c>
      <c r="C88" s="2382">
        <f t="shared" si="6"/>
        <v>48680</v>
      </c>
      <c r="D88" s="3504">
        <v>6911</v>
      </c>
      <c r="E88" s="151">
        <v>19397</v>
      </c>
      <c r="F88" s="3504">
        <v>2191</v>
      </c>
      <c r="G88" s="151">
        <v>7905</v>
      </c>
      <c r="H88" s="3504">
        <v>7586</v>
      </c>
      <c r="I88" s="151">
        <v>3284</v>
      </c>
      <c r="J88" s="3504">
        <v>1406</v>
      </c>
      <c r="K88" s="151">
        <v>8684</v>
      </c>
      <c r="L88" s="3504">
        <v>1727</v>
      </c>
      <c r="M88" s="151">
        <v>2694</v>
      </c>
      <c r="N88" s="1396">
        <v>6433</v>
      </c>
      <c r="O88" s="1397"/>
      <c r="P88" s="1398">
        <v>110149</v>
      </c>
      <c r="Q88" s="1398">
        <v>3075187</v>
      </c>
      <c r="R88" s="1602">
        <f t="shared" si="4"/>
        <v>619.32473286185075</v>
      </c>
      <c r="S88" s="1604">
        <f t="shared" si="5"/>
        <v>22.183366409912633</v>
      </c>
      <c r="T88" s="646"/>
      <c r="U88" s="1982">
        <v>1360037</v>
      </c>
      <c r="V88" s="647"/>
      <c r="W88" s="261"/>
      <c r="X88" s="3003"/>
      <c r="Y88" s="442"/>
      <c r="Z88" s="941"/>
      <c r="AA88" s="1246"/>
      <c r="AB88" s="941"/>
      <c r="AC88" s="941"/>
    </row>
    <row r="89" spans="1:29">
      <c r="A89" s="53">
        <v>2003.08</v>
      </c>
      <c r="B89" s="141">
        <v>71188</v>
      </c>
      <c r="C89" s="2382">
        <f t="shared" si="6"/>
        <v>51060</v>
      </c>
      <c r="D89" s="3504">
        <v>7333</v>
      </c>
      <c r="E89" s="151">
        <v>20298</v>
      </c>
      <c r="F89" s="3504">
        <v>2320</v>
      </c>
      <c r="G89" s="151">
        <v>7951</v>
      </c>
      <c r="H89" s="3504">
        <v>8185</v>
      </c>
      <c r="I89" s="151">
        <v>3561</v>
      </c>
      <c r="J89" s="3504">
        <v>1412</v>
      </c>
      <c r="K89" s="151">
        <v>8840</v>
      </c>
      <c r="L89" s="3504">
        <v>1784</v>
      </c>
      <c r="M89" s="151">
        <v>2739</v>
      </c>
      <c r="N89" s="1396">
        <v>6765</v>
      </c>
      <c r="O89" s="1397"/>
      <c r="P89" s="1398">
        <v>110149</v>
      </c>
      <c r="Q89" s="1398">
        <v>3054500</v>
      </c>
      <c r="R89" s="1602">
        <f t="shared" si="4"/>
        <v>646.28820960698681</v>
      </c>
      <c r="S89" s="1604">
        <f t="shared" si="5"/>
        <v>23.305942052709117</v>
      </c>
      <c r="T89" s="646"/>
      <c r="U89" s="1982">
        <v>1423336</v>
      </c>
      <c r="V89" s="647"/>
      <c r="W89" s="261"/>
      <c r="X89" s="3003"/>
      <c r="Y89" s="442"/>
      <c r="Z89" s="941"/>
      <c r="AA89" s="1246"/>
      <c r="AB89" s="941"/>
      <c r="AC89" s="941"/>
    </row>
    <row r="90" spans="1:29">
      <c r="A90" s="53">
        <v>2003.09</v>
      </c>
      <c r="B90" s="141">
        <v>65487</v>
      </c>
      <c r="C90" s="2382">
        <f t="shared" si="6"/>
        <v>48017</v>
      </c>
      <c r="D90" s="3504">
        <v>7262</v>
      </c>
      <c r="E90" s="151">
        <v>18572</v>
      </c>
      <c r="F90" s="3504">
        <v>2089</v>
      </c>
      <c r="G90" s="151">
        <v>7697</v>
      </c>
      <c r="H90" s="3504">
        <v>7667</v>
      </c>
      <c r="I90" s="151">
        <v>3434</v>
      </c>
      <c r="J90" s="3504">
        <v>1296</v>
      </c>
      <c r="K90" s="151">
        <v>8190</v>
      </c>
      <c r="L90" s="3504">
        <v>1507</v>
      </c>
      <c r="M90" s="151">
        <v>2380</v>
      </c>
      <c r="N90" s="1396">
        <v>5393</v>
      </c>
      <c r="O90" s="1397"/>
      <c r="P90" s="1398">
        <v>110549</v>
      </c>
      <c r="Q90" s="1398">
        <v>2879509</v>
      </c>
      <c r="R90" s="1602">
        <f t="shared" si="4"/>
        <v>592.37984965942701</v>
      </c>
      <c r="S90" s="1604">
        <f t="shared" si="5"/>
        <v>22.742418933227853</v>
      </c>
      <c r="T90" s="646"/>
      <c r="U90" s="1982">
        <v>1279170</v>
      </c>
      <c r="V90" s="647"/>
      <c r="W90" s="261"/>
      <c r="X90" s="3003"/>
      <c r="Y90" s="442"/>
      <c r="Z90" s="941"/>
      <c r="AA90" s="1246"/>
      <c r="AB90" s="941"/>
      <c r="AC90" s="941"/>
    </row>
    <row r="91" spans="1:29">
      <c r="A91" s="53">
        <v>2003.1</v>
      </c>
      <c r="B91" s="141">
        <v>69520</v>
      </c>
      <c r="C91" s="2382">
        <f t="shared" si="6"/>
        <v>49916</v>
      </c>
      <c r="D91" s="3504">
        <v>8016</v>
      </c>
      <c r="E91" s="151">
        <v>18372</v>
      </c>
      <c r="F91" s="3504">
        <v>2172</v>
      </c>
      <c r="G91" s="151">
        <v>8262</v>
      </c>
      <c r="H91" s="3504">
        <v>7959</v>
      </c>
      <c r="I91" s="151">
        <v>3737</v>
      </c>
      <c r="J91" s="3504">
        <v>1398</v>
      </c>
      <c r="K91" s="151">
        <v>8788</v>
      </c>
      <c r="L91" s="3504">
        <v>1735</v>
      </c>
      <c r="M91" s="151">
        <v>3062</v>
      </c>
      <c r="N91" s="1396">
        <v>6019</v>
      </c>
      <c r="O91" s="1397"/>
      <c r="P91" s="1398">
        <v>114416</v>
      </c>
      <c r="Q91" s="1398">
        <v>3028929</v>
      </c>
      <c r="R91" s="1602">
        <f t="shared" si="4"/>
        <v>607.6073276464831</v>
      </c>
      <c r="S91" s="1604">
        <f t="shared" si="5"/>
        <v>22.952007128592317</v>
      </c>
      <c r="T91" s="646"/>
      <c r="U91" s="1982">
        <v>1397585</v>
      </c>
      <c r="V91" s="647"/>
      <c r="W91" s="261"/>
      <c r="X91" s="3003"/>
      <c r="Y91" s="442"/>
      <c r="Z91" s="941"/>
      <c r="AA91" s="1246"/>
      <c r="AB91" s="941"/>
      <c r="AC91" s="941"/>
    </row>
    <row r="92" spans="1:29">
      <c r="A92" s="53">
        <v>2003.11</v>
      </c>
      <c r="B92" s="141">
        <v>70266</v>
      </c>
      <c r="C92" s="2382">
        <f t="shared" si="6"/>
        <v>50046</v>
      </c>
      <c r="D92" s="3504">
        <v>8273</v>
      </c>
      <c r="E92" s="151">
        <v>19652</v>
      </c>
      <c r="F92" s="3504">
        <v>2121</v>
      </c>
      <c r="G92" s="151">
        <v>7190</v>
      </c>
      <c r="H92" s="3504">
        <v>7879</v>
      </c>
      <c r="I92" s="151">
        <v>3807</v>
      </c>
      <c r="J92" s="3504">
        <v>1124</v>
      </c>
      <c r="K92" s="151">
        <v>8957</v>
      </c>
      <c r="L92" s="3504">
        <v>1849</v>
      </c>
      <c r="M92" s="151">
        <v>3600</v>
      </c>
      <c r="N92" s="1396">
        <v>5814</v>
      </c>
      <c r="O92" s="1397"/>
      <c r="P92" s="1398">
        <v>114416</v>
      </c>
      <c r="Q92" s="1398">
        <v>2833059</v>
      </c>
      <c r="R92" s="1602">
        <f t="shared" si="4"/>
        <v>614.12739476996228</v>
      </c>
      <c r="S92" s="1604">
        <f t="shared" si="5"/>
        <v>24.802166139145001</v>
      </c>
      <c r="T92" s="646"/>
      <c r="U92" s="1982">
        <v>1402050</v>
      </c>
      <c r="V92" s="647"/>
      <c r="W92" s="261"/>
      <c r="X92" s="3003"/>
      <c r="Y92" s="442"/>
      <c r="Z92" s="941"/>
      <c r="AA92" s="1246"/>
      <c r="AB92" s="941"/>
      <c r="AC92" s="941"/>
    </row>
    <row r="93" spans="1:29">
      <c r="A93" s="53">
        <v>2003.12</v>
      </c>
      <c r="B93" s="141">
        <v>89757</v>
      </c>
      <c r="C93" s="2382">
        <f t="shared" si="6"/>
        <v>64004</v>
      </c>
      <c r="D93" s="3504">
        <v>13272</v>
      </c>
      <c r="E93" s="151">
        <v>24245</v>
      </c>
      <c r="F93" s="3504">
        <v>2695</v>
      </c>
      <c r="G93" s="151">
        <v>7968</v>
      </c>
      <c r="H93" s="3504">
        <v>9884</v>
      </c>
      <c r="I93" s="151">
        <v>4580</v>
      </c>
      <c r="J93" s="3504">
        <v>1360</v>
      </c>
      <c r="K93" s="151">
        <v>9959</v>
      </c>
      <c r="L93" s="3504">
        <v>2356</v>
      </c>
      <c r="M93" s="151">
        <v>4776</v>
      </c>
      <c r="N93" s="1396">
        <v>8662</v>
      </c>
      <c r="O93" s="1397"/>
      <c r="P93" s="1398">
        <v>124020</v>
      </c>
      <c r="Q93" s="1398">
        <v>3064099</v>
      </c>
      <c r="R93" s="1602">
        <f t="shared" si="4"/>
        <v>723.73004354136424</v>
      </c>
      <c r="S93" s="1604">
        <f t="shared" si="5"/>
        <v>29.293113571069345</v>
      </c>
      <c r="T93" s="646"/>
      <c r="U93" s="1982">
        <v>1776947</v>
      </c>
      <c r="V93" s="647"/>
      <c r="W93" s="261"/>
      <c r="X93" s="3003"/>
      <c r="Y93" s="442"/>
      <c r="Z93" s="941"/>
      <c r="AA93" s="1246"/>
      <c r="AB93" s="941"/>
      <c r="AC93" s="941"/>
    </row>
    <row r="94" spans="1:29">
      <c r="A94" s="53">
        <v>2004.01</v>
      </c>
      <c r="B94" s="141">
        <v>67881</v>
      </c>
      <c r="C94" s="2382">
        <f t="shared" si="6"/>
        <v>45642</v>
      </c>
      <c r="D94" s="3504">
        <v>7672</v>
      </c>
      <c r="E94" s="151">
        <v>17136</v>
      </c>
      <c r="F94" s="3504">
        <v>2008</v>
      </c>
      <c r="G94" s="151">
        <v>6390</v>
      </c>
      <c r="H94" s="3504">
        <v>7678</v>
      </c>
      <c r="I94" s="151">
        <v>3678</v>
      </c>
      <c r="J94" s="3504">
        <v>1080</v>
      </c>
      <c r="K94" s="151">
        <v>8949</v>
      </c>
      <c r="L94" s="3504">
        <v>1983</v>
      </c>
      <c r="M94" s="151">
        <v>4619</v>
      </c>
      <c r="N94" s="1396">
        <v>6688</v>
      </c>
      <c r="O94" s="1397"/>
      <c r="P94" s="1398">
        <v>124823</v>
      </c>
      <c r="Q94" s="1398">
        <v>2782848</v>
      </c>
      <c r="R94" s="1602">
        <f t="shared" si="4"/>
        <v>543.81804635363676</v>
      </c>
      <c r="S94" s="1604">
        <f t="shared" si="5"/>
        <v>24.392636608251692</v>
      </c>
      <c r="T94" s="646"/>
      <c r="U94" s="1982">
        <v>1387048</v>
      </c>
      <c r="V94" s="647"/>
      <c r="W94" s="261"/>
      <c r="X94" s="3003"/>
      <c r="Y94" s="442"/>
      <c r="Z94" s="941"/>
      <c r="AA94" s="1246"/>
      <c r="AB94" s="941"/>
      <c r="AC94" s="941"/>
    </row>
    <row r="95" spans="1:29">
      <c r="A95" s="53">
        <v>2004.02</v>
      </c>
      <c r="B95" s="141">
        <v>68691</v>
      </c>
      <c r="C95" s="2382">
        <f t="shared" si="6"/>
        <v>47371</v>
      </c>
      <c r="D95" s="3504">
        <v>7898</v>
      </c>
      <c r="E95" s="151">
        <v>17998</v>
      </c>
      <c r="F95" s="3504">
        <v>2138</v>
      </c>
      <c r="G95" s="151">
        <v>6862</v>
      </c>
      <c r="H95" s="3504">
        <v>7695</v>
      </c>
      <c r="I95" s="151">
        <v>3643</v>
      </c>
      <c r="J95" s="3504">
        <v>1137</v>
      </c>
      <c r="K95" s="151">
        <v>9329</v>
      </c>
      <c r="L95" s="3504">
        <v>2070</v>
      </c>
      <c r="M95" s="151">
        <v>3183</v>
      </c>
      <c r="N95" s="1396">
        <v>6738</v>
      </c>
      <c r="O95" s="1397"/>
      <c r="P95" s="1398">
        <v>124823</v>
      </c>
      <c r="Q95" s="1398">
        <v>2784459</v>
      </c>
      <c r="R95" s="1602">
        <f t="shared" si="4"/>
        <v>550.30723504482353</v>
      </c>
      <c r="S95" s="1604">
        <f t="shared" si="5"/>
        <v>24.669424114343219</v>
      </c>
      <c r="T95" s="646"/>
      <c r="U95" s="1982">
        <v>1396486</v>
      </c>
      <c r="V95" s="647"/>
      <c r="W95" s="261"/>
      <c r="X95" s="3003"/>
      <c r="Y95" s="442"/>
      <c r="Z95" s="941"/>
      <c r="AA95" s="1246"/>
      <c r="AB95" s="941"/>
      <c r="AC95" s="941"/>
    </row>
    <row r="96" spans="1:29">
      <c r="A96" s="53">
        <v>2004.03</v>
      </c>
      <c r="B96" s="141">
        <v>71504</v>
      </c>
      <c r="C96" s="2382">
        <f t="shared" si="6"/>
        <v>50283</v>
      </c>
      <c r="D96" s="3504">
        <v>8103</v>
      </c>
      <c r="E96" s="151">
        <v>19552</v>
      </c>
      <c r="F96" s="3504">
        <v>2188</v>
      </c>
      <c r="G96" s="151">
        <v>7372</v>
      </c>
      <c r="H96" s="3504">
        <v>8129</v>
      </c>
      <c r="I96" s="151">
        <v>3791</v>
      </c>
      <c r="J96" s="3504">
        <v>1148</v>
      </c>
      <c r="K96" s="151">
        <v>9332</v>
      </c>
      <c r="L96" s="3504">
        <v>2037</v>
      </c>
      <c r="M96" s="151">
        <v>3133</v>
      </c>
      <c r="N96" s="1396">
        <v>6719</v>
      </c>
      <c r="O96" s="1397"/>
      <c r="P96" s="1398">
        <v>124823</v>
      </c>
      <c r="Q96" s="1398">
        <v>2919411</v>
      </c>
      <c r="R96" s="1602">
        <f t="shared" si="4"/>
        <v>572.84314589458677</v>
      </c>
      <c r="S96" s="1604">
        <f t="shared" si="5"/>
        <v>24.492611694619224</v>
      </c>
      <c r="T96" s="646"/>
      <c r="U96" s="1982">
        <v>1451252</v>
      </c>
      <c r="V96" s="647"/>
      <c r="W96" s="261"/>
      <c r="X96" s="3003"/>
      <c r="Y96" s="442"/>
      <c r="Z96" s="941"/>
      <c r="AA96" s="1246"/>
      <c r="AB96" s="941"/>
      <c r="AC96" s="941"/>
    </row>
    <row r="97" spans="1:29">
      <c r="A97" s="53">
        <v>2004.04</v>
      </c>
      <c r="B97" s="141">
        <v>73186</v>
      </c>
      <c r="C97" s="2382">
        <f t="shared" si="6"/>
        <v>51934</v>
      </c>
      <c r="D97" s="3504">
        <v>7571</v>
      </c>
      <c r="E97" s="151">
        <v>21241</v>
      </c>
      <c r="F97" s="3504">
        <v>2375</v>
      </c>
      <c r="G97" s="151">
        <v>7310</v>
      </c>
      <c r="H97" s="3504">
        <v>8369</v>
      </c>
      <c r="I97" s="151">
        <v>3845</v>
      </c>
      <c r="J97" s="3504">
        <v>1223</v>
      </c>
      <c r="K97" s="151">
        <v>9414</v>
      </c>
      <c r="L97" s="3504">
        <v>2347</v>
      </c>
      <c r="M97" s="151">
        <v>3337</v>
      </c>
      <c r="N97" s="1396">
        <v>6154</v>
      </c>
      <c r="O97" s="1397"/>
      <c r="P97" s="1398">
        <v>124823</v>
      </c>
      <c r="Q97" s="1398">
        <v>3011111</v>
      </c>
      <c r="R97" s="1602">
        <f t="shared" si="4"/>
        <v>586.31822660887826</v>
      </c>
      <c r="S97" s="1604">
        <f t="shared" si="5"/>
        <v>24.305314550011609</v>
      </c>
      <c r="T97" s="646"/>
      <c r="U97" s="1982">
        <v>1468286</v>
      </c>
      <c r="V97" s="647"/>
      <c r="W97" s="261"/>
      <c r="X97" s="3003"/>
      <c r="Y97" s="442"/>
      <c r="Z97" s="941"/>
      <c r="AA97" s="1246"/>
      <c r="AB97" s="941"/>
      <c r="AC97" s="941"/>
    </row>
    <row r="98" spans="1:29">
      <c r="A98" s="53">
        <v>2004.05</v>
      </c>
      <c r="B98" s="141">
        <v>74819</v>
      </c>
      <c r="C98" s="2382">
        <f t="shared" si="6"/>
        <v>52249</v>
      </c>
      <c r="D98" s="3504">
        <v>7418</v>
      </c>
      <c r="E98" s="151">
        <v>21775</v>
      </c>
      <c r="F98" s="3504">
        <v>2404</v>
      </c>
      <c r="G98" s="151">
        <v>7510</v>
      </c>
      <c r="H98" s="3504">
        <v>8135</v>
      </c>
      <c r="I98" s="151">
        <v>3810</v>
      </c>
      <c r="J98" s="3504">
        <v>1197</v>
      </c>
      <c r="K98" s="151">
        <v>9602</v>
      </c>
      <c r="L98" s="3504">
        <v>2654</v>
      </c>
      <c r="M98" s="151">
        <v>3966</v>
      </c>
      <c r="N98" s="1396">
        <v>6348</v>
      </c>
      <c r="O98" s="1397"/>
      <c r="P98" s="1398">
        <v>124823</v>
      </c>
      <c r="Q98" s="1398">
        <v>3058595</v>
      </c>
      <c r="R98" s="1602">
        <f t="shared" si="4"/>
        <v>599.4007514640731</v>
      </c>
      <c r="S98" s="1604">
        <f t="shared" si="5"/>
        <v>24.461885277390436</v>
      </c>
      <c r="T98" s="646"/>
      <c r="U98" s="1982">
        <v>1461202</v>
      </c>
      <c r="V98" s="647"/>
      <c r="W98" s="261"/>
      <c r="X98" s="3003"/>
      <c r="Y98" s="442"/>
      <c r="Z98" s="941"/>
      <c r="AA98" s="1246"/>
      <c r="AB98" s="941"/>
      <c r="AC98" s="941"/>
    </row>
    <row r="99" spans="1:29">
      <c r="A99" s="53">
        <v>2004.06</v>
      </c>
      <c r="B99" s="141">
        <v>72284</v>
      </c>
      <c r="C99" s="2382">
        <f t="shared" si="6"/>
        <v>50473</v>
      </c>
      <c r="D99" s="3504">
        <v>7308</v>
      </c>
      <c r="E99" s="151">
        <v>20856</v>
      </c>
      <c r="F99" s="3504">
        <v>2345</v>
      </c>
      <c r="G99" s="151">
        <v>7125</v>
      </c>
      <c r="H99" s="3504">
        <v>8003</v>
      </c>
      <c r="I99" s="151">
        <v>3698</v>
      </c>
      <c r="J99" s="3504">
        <v>1138</v>
      </c>
      <c r="K99" s="151">
        <v>9157</v>
      </c>
      <c r="L99" s="3504">
        <v>2396</v>
      </c>
      <c r="M99" s="151">
        <v>3926</v>
      </c>
      <c r="N99" s="1396">
        <v>6332</v>
      </c>
      <c r="O99" s="1397"/>
      <c r="P99" s="1398">
        <v>117893</v>
      </c>
      <c r="Q99" s="1398">
        <v>2908138</v>
      </c>
      <c r="R99" s="1602">
        <f t="shared" si="4"/>
        <v>613.13224703756794</v>
      </c>
      <c r="S99" s="1604">
        <f t="shared" si="5"/>
        <v>24.855766817118031</v>
      </c>
      <c r="T99" s="646"/>
      <c r="U99" s="1982">
        <v>1423438</v>
      </c>
      <c r="V99" s="647"/>
      <c r="W99" s="261"/>
      <c r="X99" s="3003"/>
      <c r="Y99" s="442"/>
      <c r="Z99" s="941"/>
      <c r="AA99" s="1246"/>
      <c r="AB99" s="941"/>
      <c r="AC99" s="941"/>
    </row>
    <row r="100" spans="1:29">
      <c r="A100" s="53">
        <v>2004.07</v>
      </c>
      <c r="B100" s="141">
        <v>76358</v>
      </c>
      <c r="C100" s="2382">
        <f t="shared" si="6"/>
        <v>53257</v>
      </c>
      <c r="D100" s="3504">
        <v>7734</v>
      </c>
      <c r="E100" s="151">
        <v>22277</v>
      </c>
      <c r="F100" s="3504">
        <v>2451</v>
      </c>
      <c r="G100" s="151">
        <v>7389</v>
      </c>
      <c r="H100" s="3504">
        <v>8306</v>
      </c>
      <c r="I100" s="151">
        <v>3865</v>
      </c>
      <c r="J100" s="3504">
        <v>1235</v>
      </c>
      <c r="K100" s="151">
        <v>9808</v>
      </c>
      <c r="L100" s="3504">
        <v>2722</v>
      </c>
      <c r="M100" s="151">
        <v>3657</v>
      </c>
      <c r="N100" s="1396">
        <v>6914</v>
      </c>
      <c r="O100" s="1397"/>
      <c r="P100" s="1398">
        <v>117116</v>
      </c>
      <c r="Q100" s="1398">
        <v>3031251</v>
      </c>
      <c r="R100" s="1602">
        <f t="shared" si="4"/>
        <v>651.98606509785168</v>
      </c>
      <c r="S100" s="1604">
        <f t="shared" si="5"/>
        <v>25.190259731048336</v>
      </c>
      <c r="T100" s="646"/>
      <c r="U100" s="1982">
        <v>1553311</v>
      </c>
      <c r="V100" s="647"/>
      <c r="W100" s="261"/>
      <c r="X100" s="3003"/>
      <c r="Y100" s="442"/>
      <c r="Z100" s="941"/>
      <c r="AA100" s="1246"/>
      <c r="AB100" s="941"/>
      <c r="AC100" s="941"/>
    </row>
    <row r="101" spans="1:29">
      <c r="A101" s="53">
        <v>2004.08</v>
      </c>
      <c r="B101" s="141">
        <v>75121</v>
      </c>
      <c r="C101" s="2382">
        <f t="shared" si="6"/>
        <v>52607</v>
      </c>
      <c r="D101" s="3504">
        <v>7350</v>
      </c>
      <c r="E101" s="151">
        <v>21679</v>
      </c>
      <c r="F101" s="3504">
        <v>2415</v>
      </c>
      <c r="G101" s="151">
        <v>7588</v>
      </c>
      <c r="H101" s="3504">
        <v>8233</v>
      </c>
      <c r="I101" s="151">
        <v>4122</v>
      </c>
      <c r="J101" s="3504">
        <v>1220</v>
      </c>
      <c r="K101" s="151">
        <v>9521</v>
      </c>
      <c r="L101" s="3504">
        <v>2242</v>
      </c>
      <c r="M101" s="151">
        <v>3620</v>
      </c>
      <c r="N101" s="1396">
        <v>7131</v>
      </c>
      <c r="O101" s="1397"/>
      <c r="P101" s="1398">
        <v>115315</v>
      </c>
      <c r="Q101" s="1398">
        <v>2973152</v>
      </c>
      <c r="R101" s="1602">
        <f t="shared" si="4"/>
        <v>651.44170316090708</v>
      </c>
      <c r="S101" s="1604">
        <f t="shared" si="5"/>
        <v>25.266451227518807</v>
      </c>
      <c r="T101" s="646"/>
      <c r="U101" s="1982">
        <v>1516805</v>
      </c>
      <c r="V101" s="647"/>
      <c r="W101" s="261"/>
      <c r="X101" s="3003"/>
      <c r="Y101" s="442"/>
      <c r="Z101" s="941"/>
      <c r="AA101" s="1246"/>
      <c r="AB101" s="941"/>
      <c r="AC101" s="941"/>
    </row>
    <row r="102" spans="1:29">
      <c r="A102" s="53">
        <v>2004.09</v>
      </c>
      <c r="B102" s="141">
        <v>70653</v>
      </c>
      <c r="C102" s="2382">
        <f t="shared" si="6"/>
        <v>50488</v>
      </c>
      <c r="D102" s="3504">
        <v>7433</v>
      </c>
      <c r="E102" s="151">
        <v>20599</v>
      </c>
      <c r="F102" s="3504">
        <v>2242</v>
      </c>
      <c r="G102" s="151">
        <v>7253</v>
      </c>
      <c r="H102" s="3504">
        <v>7841</v>
      </c>
      <c r="I102" s="151">
        <v>3983</v>
      </c>
      <c r="J102" s="3504">
        <v>1137</v>
      </c>
      <c r="K102" s="151">
        <v>9215</v>
      </c>
      <c r="L102" s="3504">
        <v>1914</v>
      </c>
      <c r="M102" s="151">
        <v>3036</v>
      </c>
      <c r="N102" s="1396">
        <v>6000</v>
      </c>
      <c r="O102" s="1397"/>
      <c r="P102" s="1398">
        <v>115315</v>
      </c>
      <c r="Q102" s="1398">
        <v>2703495</v>
      </c>
      <c r="R102" s="1602">
        <f t="shared" si="4"/>
        <v>612.69565971469456</v>
      </c>
      <c r="S102" s="1604">
        <f t="shared" si="5"/>
        <v>26.133948832899634</v>
      </c>
      <c r="T102" s="646"/>
      <c r="U102" s="1982">
        <v>1437883</v>
      </c>
      <c r="V102" s="647"/>
      <c r="W102" s="261"/>
      <c r="X102" s="3003"/>
      <c r="Y102" s="442"/>
      <c r="Z102" s="941"/>
      <c r="AA102" s="1246"/>
      <c r="AB102" s="941"/>
      <c r="AC102" s="941"/>
    </row>
    <row r="103" spans="1:29">
      <c r="A103" s="53">
        <v>2004.1</v>
      </c>
      <c r="B103" s="141">
        <v>84790</v>
      </c>
      <c r="C103" s="2382">
        <f t="shared" si="6"/>
        <v>57087</v>
      </c>
      <c r="D103" s="3504">
        <v>8548</v>
      </c>
      <c r="E103" s="151">
        <v>22998</v>
      </c>
      <c r="F103" s="3504">
        <v>2577</v>
      </c>
      <c r="G103" s="151">
        <v>8329</v>
      </c>
      <c r="H103" s="3504">
        <v>9063</v>
      </c>
      <c r="I103" s="151">
        <v>4281</v>
      </c>
      <c r="J103" s="3504">
        <v>1291</v>
      </c>
      <c r="K103" s="151">
        <v>10973</v>
      </c>
      <c r="L103" s="3504">
        <v>2923</v>
      </c>
      <c r="M103" s="151">
        <v>6282</v>
      </c>
      <c r="N103" s="1396">
        <v>7525</v>
      </c>
      <c r="O103" s="1397"/>
      <c r="P103" s="1398">
        <v>122211</v>
      </c>
      <c r="Q103" s="1398">
        <v>3129776</v>
      </c>
      <c r="R103" s="1602">
        <f t="shared" si="4"/>
        <v>693.80006709706993</v>
      </c>
      <c r="S103" s="1604">
        <f t="shared" si="5"/>
        <v>27.091395678157159</v>
      </c>
      <c r="T103" s="646"/>
      <c r="U103" s="1982">
        <v>1627785</v>
      </c>
      <c r="V103" s="647"/>
      <c r="W103" s="261"/>
      <c r="X103" s="3003"/>
      <c r="Y103" s="442"/>
      <c r="Z103" s="941"/>
      <c r="AA103" s="1246"/>
      <c r="AB103" s="941"/>
      <c r="AC103" s="941"/>
    </row>
    <row r="104" spans="1:29">
      <c r="A104" s="53">
        <v>2004.11</v>
      </c>
      <c r="B104" s="141">
        <v>77769</v>
      </c>
      <c r="C104" s="2382">
        <f t="shared" si="6"/>
        <v>53662</v>
      </c>
      <c r="D104" s="3504">
        <v>9036</v>
      </c>
      <c r="E104" s="151">
        <v>21219</v>
      </c>
      <c r="F104" s="3504">
        <v>2345</v>
      </c>
      <c r="G104" s="151">
        <v>7632</v>
      </c>
      <c r="H104" s="3504">
        <v>8296</v>
      </c>
      <c r="I104" s="151">
        <v>3964</v>
      </c>
      <c r="J104" s="3504">
        <v>1170</v>
      </c>
      <c r="K104" s="151">
        <v>10168</v>
      </c>
      <c r="L104" s="3504">
        <v>2346</v>
      </c>
      <c r="M104" s="151">
        <v>4646</v>
      </c>
      <c r="N104" s="1396">
        <v>6947</v>
      </c>
      <c r="O104" s="1397"/>
      <c r="P104" s="1398">
        <v>131194</v>
      </c>
      <c r="Q104" s="1398">
        <v>2887913</v>
      </c>
      <c r="R104" s="1602">
        <f t="shared" si="4"/>
        <v>592.77863316919979</v>
      </c>
      <c r="S104" s="1604">
        <f t="shared" si="5"/>
        <v>26.929135330600332</v>
      </c>
      <c r="T104" s="646"/>
      <c r="U104" s="1982">
        <v>1476899</v>
      </c>
      <c r="V104" s="647"/>
      <c r="W104" s="261"/>
      <c r="X104" s="3003"/>
      <c r="Y104" s="442"/>
      <c r="Z104" s="941"/>
      <c r="AA104" s="1246"/>
      <c r="AB104" s="941"/>
      <c r="AC104" s="941"/>
    </row>
    <row r="105" spans="1:29">
      <c r="A105" s="53">
        <v>2004.12</v>
      </c>
      <c r="B105" s="141">
        <v>110360</v>
      </c>
      <c r="C105" s="2382">
        <f t="shared" si="6"/>
        <v>74072</v>
      </c>
      <c r="D105" s="3504">
        <v>16892</v>
      </c>
      <c r="E105" s="151">
        <v>27258</v>
      </c>
      <c r="F105" s="3504">
        <v>3409</v>
      </c>
      <c r="G105" s="151">
        <v>8827</v>
      </c>
      <c r="H105" s="3504">
        <v>11120</v>
      </c>
      <c r="I105" s="151">
        <v>4945</v>
      </c>
      <c r="J105" s="3504">
        <v>1621</v>
      </c>
      <c r="K105" s="151">
        <v>12938</v>
      </c>
      <c r="L105" s="3504">
        <v>3664</v>
      </c>
      <c r="M105" s="151">
        <v>8202</v>
      </c>
      <c r="N105" s="1396">
        <v>11484</v>
      </c>
      <c r="O105" s="1397"/>
      <c r="P105" s="1398">
        <v>131194</v>
      </c>
      <c r="Q105" s="1398">
        <v>3484250</v>
      </c>
      <c r="R105" s="1602">
        <f t="shared" si="4"/>
        <v>841.19700596063842</v>
      </c>
      <c r="S105" s="1604">
        <f t="shared" si="5"/>
        <v>31.673961397718305</v>
      </c>
      <c r="T105" s="646"/>
      <c r="U105" s="1982">
        <v>2054252</v>
      </c>
      <c r="V105" s="647"/>
      <c r="W105" s="261"/>
      <c r="X105" s="3003"/>
      <c r="Y105" s="442"/>
      <c r="Z105" s="941"/>
      <c r="AA105" s="1246"/>
      <c r="AB105" s="941"/>
      <c r="AC105" s="941"/>
    </row>
    <row r="106" spans="1:29">
      <c r="A106" s="53">
        <v>2005.01</v>
      </c>
      <c r="B106" s="141">
        <v>81326</v>
      </c>
      <c r="C106" s="2382">
        <f t="shared" si="6"/>
        <v>52309</v>
      </c>
      <c r="D106" s="3504">
        <v>8684</v>
      </c>
      <c r="E106" s="151">
        <v>19548</v>
      </c>
      <c r="F106" s="3504">
        <v>2500</v>
      </c>
      <c r="G106" s="151">
        <v>7751</v>
      </c>
      <c r="H106" s="3504">
        <v>8486</v>
      </c>
      <c r="I106" s="151">
        <v>4031</v>
      </c>
      <c r="J106" s="3504">
        <v>1309</v>
      </c>
      <c r="K106" s="151">
        <v>11661</v>
      </c>
      <c r="L106" s="3504">
        <v>2975</v>
      </c>
      <c r="M106" s="151">
        <v>5923</v>
      </c>
      <c r="N106" s="1396">
        <v>8458</v>
      </c>
      <c r="O106" s="1397"/>
      <c r="P106" s="1398">
        <v>131324</v>
      </c>
      <c r="Q106" s="1398">
        <v>2928898</v>
      </c>
      <c r="R106" s="1602">
        <f t="shared" si="4"/>
        <v>619.27751210745942</v>
      </c>
      <c r="S106" s="1604">
        <f t="shared" si="5"/>
        <v>27.766757326475695</v>
      </c>
      <c r="T106" s="646"/>
      <c r="U106" s="1982">
        <v>1590406</v>
      </c>
      <c r="V106" s="647"/>
      <c r="W106" s="261"/>
      <c r="X106" s="3003"/>
      <c r="Y106" s="442"/>
      <c r="Z106" s="941"/>
      <c r="AA106" s="1246"/>
      <c r="AB106" s="941"/>
      <c r="AC106" s="941"/>
    </row>
    <row r="107" spans="1:29">
      <c r="A107" s="53">
        <v>2005.02</v>
      </c>
      <c r="B107" s="141">
        <v>77292</v>
      </c>
      <c r="C107" s="2382">
        <f t="shared" si="6"/>
        <v>51711</v>
      </c>
      <c r="D107" s="3504">
        <v>7866</v>
      </c>
      <c r="E107" s="151">
        <v>19975</v>
      </c>
      <c r="F107" s="3504">
        <v>2465</v>
      </c>
      <c r="G107" s="151">
        <v>7737</v>
      </c>
      <c r="H107" s="3504">
        <v>8487</v>
      </c>
      <c r="I107" s="151">
        <v>3918</v>
      </c>
      <c r="J107" s="3504">
        <v>1263</v>
      </c>
      <c r="K107" s="151">
        <v>10808</v>
      </c>
      <c r="L107" s="3504">
        <v>2660</v>
      </c>
      <c r="M107" s="151">
        <v>3986</v>
      </c>
      <c r="N107" s="1396">
        <v>8127</v>
      </c>
      <c r="O107" s="1397"/>
      <c r="P107" s="1398">
        <v>131324</v>
      </c>
      <c r="Q107" s="1398">
        <v>2794287</v>
      </c>
      <c r="R107" s="1602">
        <f t="shared" si="4"/>
        <v>588.55959306752754</v>
      </c>
      <c r="S107" s="1604">
        <f t="shared" si="5"/>
        <v>27.66072346899227</v>
      </c>
      <c r="T107" s="646"/>
      <c r="U107" s="1982">
        <v>1495256</v>
      </c>
      <c r="V107" s="647"/>
      <c r="W107" s="261"/>
      <c r="X107" s="3003"/>
      <c r="Y107" s="442"/>
      <c r="Z107" s="941"/>
      <c r="AA107" s="1246"/>
      <c r="AB107" s="941"/>
      <c r="AC107" s="941"/>
    </row>
    <row r="108" spans="1:29">
      <c r="A108" s="53">
        <v>2005.03</v>
      </c>
      <c r="B108" s="141">
        <v>87405</v>
      </c>
      <c r="C108" s="2382">
        <f t="shared" si="6"/>
        <v>60298</v>
      </c>
      <c r="D108" s="3504">
        <v>8835</v>
      </c>
      <c r="E108" s="151">
        <v>24087</v>
      </c>
      <c r="F108" s="3504">
        <v>2553</v>
      </c>
      <c r="G108" s="151">
        <v>8828</v>
      </c>
      <c r="H108" s="3504">
        <v>10021</v>
      </c>
      <c r="I108" s="151">
        <v>4537</v>
      </c>
      <c r="J108" s="3504">
        <v>1437</v>
      </c>
      <c r="K108" s="151">
        <v>11962</v>
      </c>
      <c r="L108" s="3504">
        <v>2672</v>
      </c>
      <c r="M108" s="151">
        <v>4298</v>
      </c>
      <c r="N108" s="1396">
        <v>8175</v>
      </c>
      <c r="O108" s="1397"/>
      <c r="P108" s="1398">
        <v>131324</v>
      </c>
      <c r="Q108" s="1398">
        <v>3079971</v>
      </c>
      <c r="R108" s="1602">
        <f t="shared" si="4"/>
        <v>665.56760378910178</v>
      </c>
      <c r="S108" s="1604">
        <f t="shared" si="5"/>
        <v>28.378513953540473</v>
      </c>
      <c r="T108" s="646"/>
      <c r="U108" s="1982">
        <v>1687782</v>
      </c>
      <c r="V108" s="647"/>
      <c r="W108" s="261"/>
      <c r="X108" s="3003"/>
      <c r="Y108" s="442"/>
      <c r="Z108" s="941"/>
      <c r="AA108" s="1246"/>
      <c r="AB108" s="941"/>
      <c r="AC108" s="941"/>
    </row>
    <row r="109" spans="1:29">
      <c r="A109" s="53">
        <v>2005.04</v>
      </c>
      <c r="B109" s="141">
        <v>87818</v>
      </c>
      <c r="C109" s="2382">
        <f t="shared" si="6"/>
        <v>59924</v>
      </c>
      <c r="D109" s="3504">
        <v>8673</v>
      </c>
      <c r="E109" s="151">
        <v>23688</v>
      </c>
      <c r="F109" s="3504">
        <v>2807</v>
      </c>
      <c r="G109" s="151">
        <v>8967</v>
      </c>
      <c r="H109" s="3504">
        <v>10000</v>
      </c>
      <c r="I109" s="151">
        <v>4252</v>
      </c>
      <c r="J109" s="3504">
        <v>1537</v>
      </c>
      <c r="K109" s="151">
        <v>12410</v>
      </c>
      <c r="L109" s="3504">
        <v>2972</v>
      </c>
      <c r="M109" s="151">
        <v>5002</v>
      </c>
      <c r="N109" s="1396">
        <v>7510</v>
      </c>
      <c r="O109" s="1397"/>
      <c r="P109" s="1398">
        <v>131324</v>
      </c>
      <c r="Q109" s="1398">
        <v>3058074</v>
      </c>
      <c r="R109" s="1602">
        <f t="shared" si="4"/>
        <v>668.71249733483592</v>
      </c>
      <c r="S109" s="1604">
        <f t="shared" si="5"/>
        <v>28.716767481754854</v>
      </c>
      <c r="T109" s="646"/>
      <c r="U109" s="1982">
        <v>1680171</v>
      </c>
      <c r="V109" s="647"/>
      <c r="W109" s="261"/>
      <c r="X109" s="3003"/>
      <c r="Y109" s="442"/>
      <c r="Z109" s="941"/>
      <c r="AA109" s="1246"/>
      <c r="AB109" s="941"/>
      <c r="AC109" s="941"/>
    </row>
    <row r="110" spans="1:29">
      <c r="A110" s="53">
        <v>2005.05</v>
      </c>
      <c r="B110" s="141">
        <v>85444</v>
      </c>
      <c r="C110" s="2382">
        <f t="shared" si="6"/>
        <v>58012</v>
      </c>
      <c r="D110" s="3504">
        <v>8308</v>
      </c>
      <c r="E110" s="151">
        <v>23248</v>
      </c>
      <c r="F110" s="3504">
        <v>2732</v>
      </c>
      <c r="G110" s="151">
        <v>8799</v>
      </c>
      <c r="H110" s="3504">
        <v>9436</v>
      </c>
      <c r="I110" s="151">
        <v>4027</v>
      </c>
      <c r="J110" s="3504">
        <v>1462</v>
      </c>
      <c r="K110" s="151">
        <v>11903</v>
      </c>
      <c r="L110" s="3504">
        <v>2912</v>
      </c>
      <c r="M110" s="151">
        <v>4919</v>
      </c>
      <c r="N110" s="1396">
        <v>7698</v>
      </c>
      <c r="O110" s="1397"/>
      <c r="P110" s="1398">
        <v>132902</v>
      </c>
      <c r="Q110" s="1398">
        <v>2975590</v>
      </c>
      <c r="R110" s="1602">
        <f t="shared" si="4"/>
        <v>642.90981324585027</v>
      </c>
      <c r="S110" s="1604">
        <f t="shared" si="5"/>
        <v>28.714977533867234</v>
      </c>
      <c r="T110" s="646"/>
      <c r="U110" s="1982">
        <v>1630592</v>
      </c>
      <c r="V110" s="647"/>
      <c r="W110" s="261"/>
      <c r="X110" s="3003"/>
      <c r="Y110" s="442"/>
      <c r="Z110" s="941"/>
      <c r="AA110" s="1246"/>
      <c r="AB110" s="941"/>
      <c r="AC110" s="941"/>
    </row>
    <row r="111" spans="1:29">
      <c r="A111" s="53">
        <v>2005.06</v>
      </c>
      <c r="B111" s="141">
        <v>86021</v>
      </c>
      <c r="C111" s="2382">
        <f t="shared" si="6"/>
        <v>58522</v>
      </c>
      <c r="D111" s="3504">
        <v>8503</v>
      </c>
      <c r="E111" s="151">
        <v>23489</v>
      </c>
      <c r="F111" s="3504">
        <v>2806</v>
      </c>
      <c r="G111" s="151">
        <v>8935</v>
      </c>
      <c r="H111" s="3504">
        <v>9402</v>
      </c>
      <c r="I111" s="151">
        <v>3929</v>
      </c>
      <c r="J111" s="3504">
        <v>1458</v>
      </c>
      <c r="K111" s="151">
        <v>11980</v>
      </c>
      <c r="L111" s="3504">
        <v>2978</v>
      </c>
      <c r="M111" s="151">
        <v>4987</v>
      </c>
      <c r="N111" s="1396">
        <v>7554</v>
      </c>
      <c r="O111" s="1397"/>
      <c r="P111" s="1398">
        <v>132902</v>
      </c>
      <c r="Q111" s="1398">
        <v>2947165</v>
      </c>
      <c r="R111" s="1602">
        <f t="shared" si="4"/>
        <v>647.25135814359453</v>
      </c>
      <c r="S111" s="1604">
        <f t="shared" si="5"/>
        <v>29.187710901832776</v>
      </c>
      <c r="T111" s="646"/>
      <c r="U111" s="1982">
        <v>1644658</v>
      </c>
      <c r="V111" s="647"/>
      <c r="W111" s="261"/>
      <c r="X111" s="3003"/>
      <c r="Y111" s="442"/>
      <c r="Z111" s="941"/>
      <c r="AA111" s="1246"/>
      <c r="AB111" s="941"/>
      <c r="AC111" s="941"/>
    </row>
    <row r="112" spans="1:29">
      <c r="A112" s="53">
        <v>2005.07</v>
      </c>
      <c r="B112" s="141">
        <v>95900</v>
      </c>
      <c r="C112" s="2382">
        <f t="shared" si="6"/>
        <v>62717</v>
      </c>
      <c r="D112" s="3504">
        <v>9162</v>
      </c>
      <c r="E112" s="151">
        <v>24167</v>
      </c>
      <c r="F112" s="3504">
        <v>3096</v>
      </c>
      <c r="G112" s="151">
        <v>10490</v>
      </c>
      <c r="H112" s="3504">
        <v>10117</v>
      </c>
      <c r="I112" s="151">
        <v>4375</v>
      </c>
      <c r="J112" s="3504">
        <v>1310</v>
      </c>
      <c r="K112" s="151">
        <v>13214</v>
      </c>
      <c r="L112" s="3504">
        <v>3558</v>
      </c>
      <c r="M112" s="151">
        <v>5995</v>
      </c>
      <c r="N112" s="1396">
        <v>10416</v>
      </c>
      <c r="O112" s="1397"/>
      <c r="P112" s="1398">
        <v>132902</v>
      </c>
      <c r="Q112" s="1398">
        <v>3136559</v>
      </c>
      <c r="R112" s="1602">
        <f t="shared" si="4"/>
        <v>721.58432529232061</v>
      </c>
      <c r="S112" s="1604">
        <f t="shared" si="5"/>
        <v>30.574907087671551</v>
      </c>
      <c r="T112" s="646"/>
      <c r="U112" s="1982">
        <v>1819507</v>
      </c>
      <c r="V112" s="647"/>
      <c r="W112" s="261"/>
      <c r="X112" s="3003"/>
      <c r="Y112" s="442"/>
      <c r="Z112" s="941"/>
      <c r="AA112" s="1246"/>
      <c r="AB112" s="941"/>
      <c r="AC112" s="941"/>
    </row>
    <row r="113" spans="1:29">
      <c r="A113" s="53">
        <v>2005.08</v>
      </c>
      <c r="B113" s="141">
        <v>89228</v>
      </c>
      <c r="C113" s="2382">
        <f t="shared" si="6"/>
        <v>59044</v>
      </c>
      <c r="D113" s="3504">
        <v>8337</v>
      </c>
      <c r="E113" s="151">
        <v>22522</v>
      </c>
      <c r="F113" s="3504">
        <v>2916</v>
      </c>
      <c r="G113" s="151">
        <v>10120</v>
      </c>
      <c r="H113" s="3504">
        <v>9549</v>
      </c>
      <c r="I113" s="151">
        <v>4244</v>
      </c>
      <c r="J113" s="3504">
        <v>1356</v>
      </c>
      <c r="K113" s="151">
        <v>12589</v>
      </c>
      <c r="L113" s="3504">
        <v>2793</v>
      </c>
      <c r="M113" s="151">
        <v>4828</v>
      </c>
      <c r="N113" s="1396">
        <v>9974</v>
      </c>
      <c r="O113" s="1397"/>
      <c r="P113" s="1398">
        <v>132902</v>
      </c>
      <c r="Q113" s="1398">
        <v>3032480</v>
      </c>
      <c r="R113" s="1602">
        <f t="shared" si="4"/>
        <v>671.3819205128591</v>
      </c>
      <c r="S113" s="1604">
        <f t="shared" si="5"/>
        <v>29.424101725320529</v>
      </c>
      <c r="T113" s="646"/>
      <c r="U113" s="1982">
        <v>1712953</v>
      </c>
      <c r="V113" s="647"/>
      <c r="W113" s="261"/>
      <c r="X113" s="3003"/>
      <c r="Y113" s="442"/>
      <c r="Z113" s="941"/>
      <c r="AA113" s="1246"/>
      <c r="AB113" s="941"/>
      <c r="AC113" s="941"/>
    </row>
    <row r="114" spans="1:29">
      <c r="A114" s="53">
        <v>2005.09</v>
      </c>
      <c r="B114" s="141">
        <v>87482</v>
      </c>
      <c r="C114" s="2382">
        <f t="shared" si="6"/>
        <v>58670</v>
      </c>
      <c r="D114" s="3504">
        <v>8431</v>
      </c>
      <c r="E114" s="151">
        <v>22314</v>
      </c>
      <c r="F114" s="3504">
        <v>2839</v>
      </c>
      <c r="G114" s="151">
        <v>9983</v>
      </c>
      <c r="H114" s="3504">
        <v>9393</v>
      </c>
      <c r="I114" s="151">
        <v>4372</v>
      </c>
      <c r="J114" s="3504">
        <v>1338</v>
      </c>
      <c r="K114" s="151">
        <v>12485</v>
      </c>
      <c r="L114" s="3504">
        <v>2667</v>
      </c>
      <c r="M114" s="151">
        <v>4784</v>
      </c>
      <c r="N114" s="1396">
        <v>8876</v>
      </c>
      <c r="O114" s="1397"/>
      <c r="P114" s="1398">
        <v>132902</v>
      </c>
      <c r="Q114" s="1398">
        <v>2947185</v>
      </c>
      <c r="R114" s="1602">
        <f t="shared" si="4"/>
        <v>658.24442070096768</v>
      </c>
      <c r="S114" s="1604">
        <f t="shared" si="5"/>
        <v>29.683240108781771</v>
      </c>
      <c r="T114" s="646"/>
      <c r="U114" s="1982">
        <v>1681361</v>
      </c>
      <c r="V114" s="647"/>
      <c r="W114" s="261"/>
      <c r="X114" s="3003"/>
      <c r="Y114" s="442"/>
      <c r="Z114" s="941"/>
      <c r="AA114" s="1246"/>
      <c r="AB114" s="941"/>
      <c r="AC114" s="941"/>
    </row>
    <row r="115" spans="1:29">
      <c r="A115" s="53">
        <v>2005.1</v>
      </c>
      <c r="B115" s="141">
        <v>95986</v>
      </c>
      <c r="C115" s="2382">
        <f t="shared" si="6"/>
        <v>61923</v>
      </c>
      <c r="D115" s="3504">
        <v>9139</v>
      </c>
      <c r="E115" s="151">
        <v>22935</v>
      </c>
      <c r="F115" s="3504">
        <v>3057</v>
      </c>
      <c r="G115" s="151">
        <v>10624</v>
      </c>
      <c r="H115" s="3504">
        <v>10024</v>
      </c>
      <c r="I115" s="151">
        <v>4685</v>
      </c>
      <c r="J115" s="3504">
        <v>1459</v>
      </c>
      <c r="K115" s="151">
        <v>13592</v>
      </c>
      <c r="L115" s="3504">
        <v>3228</v>
      </c>
      <c r="M115" s="151">
        <v>6931</v>
      </c>
      <c r="N115" s="1396">
        <v>10312</v>
      </c>
      <c r="O115" s="1397"/>
      <c r="P115" s="1398">
        <v>132902</v>
      </c>
      <c r="Q115" s="1398">
        <v>2865547</v>
      </c>
      <c r="R115" s="1602">
        <f t="shared" si="4"/>
        <v>722.23141863929823</v>
      </c>
      <c r="S115" s="1604">
        <f t="shared" si="5"/>
        <v>33.496571509732696</v>
      </c>
      <c r="T115" s="646"/>
      <c r="U115" s="1982">
        <v>1874515</v>
      </c>
      <c r="V115" s="647"/>
      <c r="W115" s="261"/>
      <c r="X115" s="3003"/>
      <c r="Y115" s="442"/>
      <c r="Z115" s="941"/>
      <c r="AA115" s="1246"/>
      <c r="AB115" s="941"/>
      <c r="AC115" s="941"/>
    </row>
    <row r="116" spans="1:29">
      <c r="A116" s="53">
        <v>2005.11</v>
      </c>
      <c r="B116" s="141">
        <v>92242</v>
      </c>
      <c r="C116" s="2382">
        <f t="shared" si="6"/>
        <v>60342</v>
      </c>
      <c r="D116" s="3504">
        <v>9914</v>
      </c>
      <c r="E116" s="151">
        <v>22085</v>
      </c>
      <c r="F116" s="3504">
        <v>2906</v>
      </c>
      <c r="G116" s="151">
        <v>9977</v>
      </c>
      <c r="H116" s="3504">
        <v>9437</v>
      </c>
      <c r="I116" s="151">
        <v>4638</v>
      </c>
      <c r="J116" s="3504">
        <v>1385</v>
      </c>
      <c r="K116" s="151">
        <v>12840</v>
      </c>
      <c r="L116" s="3504">
        <v>3002</v>
      </c>
      <c r="M116" s="151">
        <v>6550</v>
      </c>
      <c r="N116" s="1396">
        <v>9508</v>
      </c>
      <c r="O116" s="1397"/>
      <c r="P116" s="1398">
        <v>132902</v>
      </c>
      <c r="Q116" s="1398">
        <v>2735591</v>
      </c>
      <c r="R116" s="1602">
        <f t="shared" si="4"/>
        <v>694.06028502204629</v>
      </c>
      <c r="S116" s="1604">
        <f t="shared" si="5"/>
        <v>33.719221915849268</v>
      </c>
      <c r="T116" s="646"/>
      <c r="U116" s="1982">
        <v>1775147</v>
      </c>
      <c r="V116" s="647"/>
      <c r="W116" s="261"/>
      <c r="X116" s="3003"/>
      <c r="Y116" s="442"/>
      <c r="Z116" s="941"/>
      <c r="AA116" s="1246"/>
      <c r="AB116" s="941"/>
      <c r="AC116" s="941"/>
    </row>
    <row r="117" spans="1:29">
      <c r="A117" s="53">
        <v>2005.12</v>
      </c>
      <c r="B117" s="141">
        <v>119995</v>
      </c>
      <c r="C117" s="2382">
        <f t="shared" si="6"/>
        <v>79095</v>
      </c>
      <c r="D117" s="3504">
        <v>17158</v>
      </c>
      <c r="E117" s="151">
        <v>27329</v>
      </c>
      <c r="F117" s="3504">
        <v>3966</v>
      </c>
      <c r="G117" s="151">
        <v>11252</v>
      </c>
      <c r="H117" s="3504">
        <v>12012</v>
      </c>
      <c r="I117" s="151">
        <v>5526</v>
      </c>
      <c r="J117" s="3504">
        <v>1852</v>
      </c>
      <c r="K117" s="151">
        <v>14772</v>
      </c>
      <c r="L117" s="3504">
        <v>4195</v>
      </c>
      <c r="M117" s="151">
        <v>7720</v>
      </c>
      <c r="N117" s="1396">
        <v>14213</v>
      </c>
      <c r="O117" s="1397"/>
      <c r="P117" s="1398">
        <v>132902</v>
      </c>
      <c r="Q117" s="1398">
        <v>3022975</v>
      </c>
      <c r="R117" s="1602">
        <f t="shared" si="4"/>
        <v>902.88332756467173</v>
      </c>
      <c r="S117" s="1604">
        <f t="shared" si="5"/>
        <v>39.694340839735695</v>
      </c>
      <c r="T117" s="646"/>
      <c r="U117" s="1982">
        <v>2325308</v>
      </c>
      <c r="V117" s="647"/>
      <c r="W117" s="261"/>
      <c r="X117" s="3003"/>
      <c r="Y117" s="442"/>
      <c r="Z117" s="941"/>
      <c r="AA117" s="1246"/>
      <c r="AB117" s="941"/>
      <c r="AC117" s="941"/>
    </row>
    <row r="118" spans="1:29">
      <c r="A118" s="53">
        <v>2006.01</v>
      </c>
      <c r="B118" s="141">
        <v>92675</v>
      </c>
      <c r="C118" s="2382">
        <f t="shared" si="6"/>
        <v>57290</v>
      </c>
      <c r="D118" s="3504">
        <v>9403</v>
      </c>
      <c r="E118" s="151">
        <v>20157</v>
      </c>
      <c r="F118" s="3504">
        <v>2819</v>
      </c>
      <c r="G118" s="151">
        <v>9493</v>
      </c>
      <c r="H118" s="3504">
        <v>9394</v>
      </c>
      <c r="I118" s="151">
        <v>4500</v>
      </c>
      <c r="J118" s="3504">
        <v>1524</v>
      </c>
      <c r="K118" s="151">
        <v>13148</v>
      </c>
      <c r="L118" s="3504">
        <v>3433</v>
      </c>
      <c r="M118" s="151">
        <v>7478</v>
      </c>
      <c r="N118" s="1396">
        <v>11326</v>
      </c>
      <c r="O118" s="1397"/>
      <c r="P118" s="1398">
        <v>132902</v>
      </c>
      <c r="Q118" s="1398">
        <v>2539865</v>
      </c>
      <c r="R118" s="1602">
        <f t="shared" si="4"/>
        <v>697.31832478066542</v>
      </c>
      <c r="S118" s="1604">
        <f t="shared" si="5"/>
        <v>36.488159803769101</v>
      </c>
      <c r="T118" s="646"/>
      <c r="U118" s="1982">
        <v>1816569</v>
      </c>
      <c r="V118" s="647"/>
      <c r="W118" s="261"/>
      <c r="X118" s="3003"/>
      <c r="Y118" s="442"/>
      <c r="Z118" s="941"/>
      <c r="AA118" s="1246"/>
      <c r="AB118" s="941"/>
      <c r="AC118" s="941"/>
    </row>
    <row r="119" spans="1:29">
      <c r="A119" s="53">
        <v>2006.02</v>
      </c>
      <c r="B119" s="141">
        <v>92853</v>
      </c>
      <c r="C119" s="2382">
        <f t="shared" si="6"/>
        <v>60316</v>
      </c>
      <c r="D119" s="3504">
        <v>9460</v>
      </c>
      <c r="E119" s="151">
        <v>21598</v>
      </c>
      <c r="F119" s="3504">
        <v>2918</v>
      </c>
      <c r="G119" s="151">
        <v>10110</v>
      </c>
      <c r="H119" s="3504">
        <v>9895</v>
      </c>
      <c r="I119" s="151">
        <v>4657</v>
      </c>
      <c r="J119" s="3504">
        <v>1678</v>
      </c>
      <c r="K119" s="151">
        <v>13305</v>
      </c>
      <c r="L119" s="3504">
        <v>3289</v>
      </c>
      <c r="M119" s="151">
        <v>5228</v>
      </c>
      <c r="N119" s="1396">
        <v>10715</v>
      </c>
      <c r="O119" s="1397"/>
      <c r="P119" s="1398">
        <v>137552</v>
      </c>
      <c r="Q119" s="1398">
        <v>2582563</v>
      </c>
      <c r="R119" s="1602">
        <f t="shared" si="4"/>
        <v>675.03925788065601</v>
      </c>
      <c r="S119" s="1604">
        <f t="shared" si="5"/>
        <v>35.953817970752311</v>
      </c>
      <c r="T119" s="646"/>
      <c r="U119" s="1982">
        <v>1747628</v>
      </c>
      <c r="V119" s="647"/>
      <c r="W119" s="261"/>
      <c r="X119" s="3003"/>
      <c r="Y119" s="442"/>
      <c r="Z119" s="941"/>
      <c r="AA119" s="1246"/>
      <c r="AB119" s="941"/>
      <c r="AC119" s="941"/>
    </row>
    <row r="120" spans="1:29">
      <c r="A120" s="53">
        <v>2006.03</v>
      </c>
      <c r="B120" s="141">
        <v>102417</v>
      </c>
      <c r="C120" s="2382">
        <f t="shared" si="6"/>
        <v>68119</v>
      </c>
      <c r="D120" s="3504">
        <v>9974</v>
      </c>
      <c r="E120" s="151">
        <v>25149</v>
      </c>
      <c r="F120" s="3504">
        <v>3281</v>
      </c>
      <c r="G120" s="151">
        <v>11393</v>
      </c>
      <c r="H120" s="3504">
        <v>11425</v>
      </c>
      <c r="I120" s="151">
        <v>5120</v>
      </c>
      <c r="J120" s="3504">
        <v>1777</v>
      </c>
      <c r="K120" s="151">
        <v>14598</v>
      </c>
      <c r="L120" s="3504">
        <v>3432</v>
      </c>
      <c r="M120" s="151">
        <v>5768</v>
      </c>
      <c r="N120" s="1396">
        <v>10500</v>
      </c>
      <c r="O120" s="1397"/>
      <c r="P120" s="1398">
        <v>137552</v>
      </c>
      <c r="Q120" s="1398">
        <v>2779856</v>
      </c>
      <c r="R120" s="1602">
        <f t="shared" si="4"/>
        <v>744.5693265092475</v>
      </c>
      <c r="S120" s="1604">
        <f t="shared" si="5"/>
        <v>36.842555873397757</v>
      </c>
      <c r="T120" s="646"/>
      <c r="U120" s="1982">
        <v>1925252</v>
      </c>
      <c r="V120" s="647"/>
      <c r="W120" s="261"/>
      <c r="X120" s="3003"/>
      <c r="Y120" s="442"/>
      <c r="Z120" s="941"/>
      <c r="AA120" s="1246"/>
      <c r="AB120" s="941"/>
      <c r="AC120" s="941"/>
    </row>
    <row r="121" spans="1:29">
      <c r="A121" s="53">
        <v>2006.04</v>
      </c>
      <c r="B121" s="141">
        <v>108652</v>
      </c>
      <c r="C121" s="2382">
        <f t="shared" si="6"/>
        <v>72651</v>
      </c>
      <c r="D121" s="3504">
        <v>10546</v>
      </c>
      <c r="E121" s="151">
        <v>29135</v>
      </c>
      <c r="F121" s="3504">
        <v>3352</v>
      </c>
      <c r="G121" s="151">
        <v>11002</v>
      </c>
      <c r="H121" s="3504">
        <v>11882</v>
      </c>
      <c r="I121" s="151">
        <v>4339</v>
      </c>
      <c r="J121" s="3504">
        <v>2395</v>
      </c>
      <c r="K121" s="151">
        <v>15540</v>
      </c>
      <c r="L121" s="3504">
        <v>4171</v>
      </c>
      <c r="M121" s="151">
        <v>6640</v>
      </c>
      <c r="N121" s="1396">
        <v>9650</v>
      </c>
      <c r="O121" s="1397"/>
      <c r="P121" s="1398">
        <v>137552</v>
      </c>
      <c r="Q121" s="1398">
        <v>2831069</v>
      </c>
      <c r="R121" s="1602">
        <f t="shared" si="4"/>
        <v>789.89763871117839</v>
      </c>
      <c r="S121" s="1604">
        <f t="shared" si="5"/>
        <v>38.378435848790687</v>
      </c>
      <c r="T121" s="646"/>
      <c r="U121" s="1982">
        <v>2022680</v>
      </c>
      <c r="V121" s="647"/>
      <c r="W121" s="261"/>
      <c r="X121" s="3003"/>
      <c r="Y121" s="442"/>
      <c r="Z121" s="941"/>
      <c r="AA121" s="1246"/>
      <c r="AB121" s="941"/>
      <c r="AC121" s="941"/>
    </row>
    <row r="122" spans="1:29">
      <c r="A122" s="53">
        <v>2006.05</v>
      </c>
      <c r="B122" s="141">
        <v>103787</v>
      </c>
      <c r="C122" s="2382">
        <f t="shared" si="6"/>
        <v>66716</v>
      </c>
      <c r="D122" s="3504">
        <v>9650</v>
      </c>
      <c r="E122" s="151">
        <v>26256</v>
      </c>
      <c r="F122" s="3504">
        <v>3215</v>
      </c>
      <c r="G122" s="151">
        <v>10405</v>
      </c>
      <c r="H122" s="3504">
        <v>10812</v>
      </c>
      <c r="I122" s="151">
        <v>4031</v>
      </c>
      <c r="J122" s="3504">
        <v>2347</v>
      </c>
      <c r="K122" s="151">
        <v>14417</v>
      </c>
      <c r="L122" s="3504">
        <v>4474</v>
      </c>
      <c r="M122" s="151">
        <v>8546</v>
      </c>
      <c r="N122" s="1396">
        <v>9634</v>
      </c>
      <c r="O122" s="1397"/>
      <c r="P122" s="1398">
        <v>137552</v>
      </c>
      <c r="Q122" s="1398">
        <v>2728269</v>
      </c>
      <c r="R122" s="1602">
        <f t="shared" si="4"/>
        <v>754.52919623124353</v>
      </c>
      <c r="S122" s="1604">
        <f t="shared" si="5"/>
        <v>38.041336832988243</v>
      </c>
      <c r="T122" s="646"/>
      <c r="U122" s="1982">
        <v>1903988</v>
      </c>
      <c r="V122" s="647"/>
      <c r="W122" s="261"/>
      <c r="X122" s="3003"/>
      <c r="Y122" s="442"/>
      <c r="Z122" s="941"/>
      <c r="AA122" s="1246"/>
      <c r="AB122" s="941"/>
      <c r="AC122" s="941"/>
    </row>
    <row r="123" spans="1:29">
      <c r="A123" s="53">
        <v>2006.06</v>
      </c>
      <c r="B123" s="141">
        <v>107104</v>
      </c>
      <c r="C123" s="2382">
        <f t="shared" si="6"/>
        <v>69606</v>
      </c>
      <c r="D123" s="3504">
        <v>10196</v>
      </c>
      <c r="E123" s="151">
        <v>27897</v>
      </c>
      <c r="F123" s="3504">
        <v>3392</v>
      </c>
      <c r="G123" s="151">
        <v>10943</v>
      </c>
      <c r="H123" s="3504">
        <v>10959</v>
      </c>
      <c r="I123" s="151">
        <v>4016</v>
      </c>
      <c r="J123" s="3504">
        <v>2203</v>
      </c>
      <c r="K123" s="151">
        <v>15034</v>
      </c>
      <c r="L123" s="3504">
        <v>4517</v>
      </c>
      <c r="M123" s="151">
        <v>8247</v>
      </c>
      <c r="N123" s="1396">
        <v>9700</v>
      </c>
      <c r="O123" s="1397"/>
      <c r="P123" s="1398">
        <v>137552</v>
      </c>
      <c r="Q123" s="1398">
        <v>2748118</v>
      </c>
      <c r="R123" s="1602">
        <f t="shared" si="4"/>
        <v>778.64371292311273</v>
      </c>
      <c r="S123" s="1604">
        <f t="shared" si="5"/>
        <v>38.973581192656212</v>
      </c>
      <c r="T123" s="646"/>
      <c r="U123" s="1982">
        <v>1972359</v>
      </c>
      <c r="V123" s="647"/>
      <c r="W123" s="261"/>
      <c r="X123" s="3003"/>
      <c r="Y123" s="442"/>
      <c r="Z123" s="941"/>
      <c r="AA123" s="1246"/>
      <c r="AB123" s="941"/>
      <c r="AC123" s="941"/>
    </row>
    <row r="124" spans="1:29">
      <c r="A124" s="53">
        <v>2006.07</v>
      </c>
      <c r="B124" s="141">
        <v>113226</v>
      </c>
      <c r="C124" s="2382">
        <f t="shared" si="6"/>
        <v>74239</v>
      </c>
      <c r="D124" s="3504">
        <v>11011</v>
      </c>
      <c r="E124" s="151">
        <v>29764</v>
      </c>
      <c r="F124" s="3504">
        <v>3593</v>
      </c>
      <c r="G124" s="151">
        <v>11668</v>
      </c>
      <c r="H124" s="3504">
        <v>11511</v>
      </c>
      <c r="I124" s="151">
        <v>4197</v>
      </c>
      <c r="J124" s="3504">
        <v>2495</v>
      </c>
      <c r="K124" s="151">
        <v>16653</v>
      </c>
      <c r="L124" s="3504">
        <v>4811</v>
      </c>
      <c r="M124" s="151">
        <v>6117</v>
      </c>
      <c r="N124" s="1396">
        <v>11406</v>
      </c>
      <c r="O124" s="1397"/>
      <c r="P124" s="1398">
        <v>137552</v>
      </c>
      <c r="Q124" s="1398">
        <v>2882167</v>
      </c>
      <c r="R124" s="1602">
        <f t="shared" si="4"/>
        <v>823.15051762242638</v>
      </c>
      <c r="S124" s="1604">
        <f t="shared" si="5"/>
        <v>39.285024080839179</v>
      </c>
      <c r="T124" s="646"/>
      <c r="U124" s="1982">
        <v>2096546</v>
      </c>
      <c r="V124" s="647"/>
      <c r="W124" s="261"/>
      <c r="X124" s="3003"/>
      <c r="Y124" s="442"/>
      <c r="Z124" s="941"/>
      <c r="AA124" s="1246"/>
      <c r="AB124" s="941"/>
      <c r="AC124" s="941"/>
    </row>
    <row r="125" spans="1:29">
      <c r="A125" s="53">
        <v>2006.08</v>
      </c>
      <c r="B125" s="141">
        <v>109242</v>
      </c>
      <c r="C125" s="2382">
        <f t="shared" si="6"/>
        <v>72307</v>
      </c>
      <c r="D125" s="3504">
        <v>10673</v>
      </c>
      <c r="E125" s="151">
        <v>28974</v>
      </c>
      <c r="F125" s="3504">
        <v>3499</v>
      </c>
      <c r="G125" s="151">
        <v>11445</v>
      </c>
      <c r="H125" s="3504">
        <v>11195</v>
      </c>
      <c r="I125" s="151">
        <v>4203</v>
      </c>
      <c r="J125" s="3504">
        <v>2318</v>
      </c>
      <c r="K125" s="151">
        <v>15894</v>
      </c>
      <c r="L125" s="3504">
        <v>3760</v>
      </c>
      <c r="M125" s="151">
        <v>6025</v>
      </c>
      <c r="N125" s="1396">
        <v>11256</v>
      </c>
      <c r="O125" s="1397"/>
      <c r="P125" s="1398">
        <v>137552</v>
      </c>
      <c r="Q125" s="1398">
        <v>2825484</v>
      </c>
      <c r="R125" s="1602">
        <f t="shared" si="4"/>
        <v>794.18692567174594</v>
      </c>
      <c r="S125" s="1604">
        <f t="shared" si="5"/>
        <v>38.663110461782829</v>
      </c>
      <c r="T125" s="646"/>
      <c r="U125" s="1982">
        <v>2026728</v>
      </c>
      <c r="V125" s="647"/>
      <c r="W125" s="261"/>
      <c r="X125" s="3003"/>
      <c r="Y125" s="442"/>
      <c r="Z125" s="941"/>
      <c r="AA125" s="1246"/>
      <c r="AB125" s="941"/>
      <c r="AC125" s="941"/>
    </row>
    <row r="126" spans="1:29">
      <c r="A126" s="53">
        <v>2006.09</v>
      </c>
      <c r="B126" s="141">
        <v>108858</v>
      </c>
      <c r="C126" s="2382">
        <f t="shared" si="6"/>
        <v>73450</v>
      </c>
      <c r="D126" s="3504">
        <v>11155</v>
      </c>
      <c r="E126" s="151">
        <v>29093</v>
      </c>
      <c r="F126" s="3504">
        <v>3481</v>
      </c>
      <c r="G126" s="151">
        <v>11652</v>
      </c>
      <c r="H126" s="3504">
        <v>11309</v>
      </c>
      <c r="I126" s="151">
        <v>4415</v>
      </c>
      <c r="J126" s="3504">
        <v>2345</v>
      </c>
      <c r="K126" s="151">
        <v>16534</v>
      </c>
      <c r="L126" s="3504">
        <v>3350</v>
      </c>
      <c r="M126" s="151">
        <v>4975</v>
      </c>
      <c r="N126" s="1396">
        <v>10549</v>
      </c>
      <c r="O126" s="1397"/>
      <c r="P126" s="1398">
        <v>137552</v>
      </c>
      <c r="Q126" s="1398">
        <v>2738367</v>
      </c>
      <c r="R126" s="1602">
        <f t="shared" si="4"/>
        <v>791.39525415842741</v>
      </c>
      <c r="S126" s="1604">
        <f t="shared" si="5"/>
        <v>39.752889221934097</v>
      </c>
      <c r="T126" s="646"/>
      <c r="U126" s="1982">
        <v>2036591</v>
      </c>
      <c r="V126" s="647"/>
      <c r="W126" s="261"/>
      <c r="X126" s="3003"/>
      <c r="Y126" s="442"/>
      <c r="Z126" s="941"/>
      <c r="AA126" s="1246"/>
      <c r="AB126" s="941"/>
      <c r="AC126" s="941"/>
    </row>
    <row r="127" spans="1:29">
      <c r="A127" s="53">
        <v>2006.1</v>
      </c>
      <c r="B127" s="141">
        <v>113885</v>
      </c>
      <c r="C127" s="2382">
        <f t="shared" si="6"/>
        <v>75193</v>
      </c>
      <c r="D127" s="3504">
        <v>11713</v>
      </c>
      <c r="E127" s="151">
        <v>28647</v>
      </c>
      <c r="F127" s="3504">
        <v>3432</v>
      </c>
      <c r="G127" s="151">
        <v>12173</v>
      </c>
      <c r="H127" s="3504">
        <v>11853</v>
      </c>
      <c r="I127" s="151">
        <v>4918</v>
      </c>
      <c r="J127" s="3504">
        <v>2457</v>
      </c>
      <c r="K127" s="151">
        <v>17274</v>
      </c>
      <c r="L127" s="3504">
        <v>3497</v>
      </c>
      <c r="M127" s="151">
        <v>6777</v>
      </c>
      <c r="N127" s="1396">
        <v>11144</v>
      </c>
      <c r="O127" s="1397"/>
      <c r="P127" s="1398">
        <v>137552</v>
      </c>
      <c r="Q127" s="1398">
        <v>2820852</v>
      </c>
      <c r="R127" s="1602">
        <f t="shared" si="4"/>
        <v>827.94143305804346</v>
      </c>
      <c r="S127" s="1604">
        <f t="shared" si="5"/>
        <v>40.372554107766021</v>
      </c>
      <c r="T127" s="646"/>
      <c r="U127" s="1982">
        <v>2141626</v>
      </c>
      <c r="V127" s="647"/>
      <c r="W127" s="261"/>
      <c r="X127" s="3003"/>
      <c r="Y127" s="442"/>
      <c r="Z127" s="941"/>
      <c r="AA127" s="1246"/>
      <c r="AB127" s="941"/>
      <c r="AC127" s="941"/>
    </row>
    <row r="128" spans="1:29">
      <c r="A128" s="53">
        <v>2006.11</v>
      </c>
      <c r="B128" s="141">
        <v>112675</v>
      </c>
      <c r="C128" s="2382">
        <f t="shared" si="6"/>
        <v>75481</v>
      </c>
      <c r="D128" s="3504">
        <v>12437</v>
      </c>
      <c r="E128" s="151">
        <v>29130</v>
      </c>
      <c r="F128" s="3504">
        <v>3407</v>
      </c>
      <c r="G128" s="151">
        <v>11896</v>
      </c>
      <c r="H128" s="3504">
        <v>11100</v>
      </c>
      <c r="I128" s="151">
        <v>5156</v>
      </c>
      <c r="J128" s="3504">
        <v>2355</v>
      </c>
      <c r="K128" s="151">
        <v>16847</v>
      </c>
      <c r="L128" s="3504">
        <v>3157</v>
      </c>
      <c r="M128" s="151">
        <v>5816</v>
      </c>
      <c r="N128" s="1396">
        <v>11374</v>
      </c>
      <c r="O128" s="1397"/>
      <c r="P128" s="1398">
        <v>137552</v>
      </c>
      <c r="Q128" s="1398">
        <v>2689611</v>
      </c>
      <c r="R128" s="1602">
        <f t="shared" si="4"/>
        <v>819.14475979993017</v>
      </c>
      <c r="S128" s="1604">
        <f t="shared" si="5"/>
        <v>41.892675186114275</v>
      </c>
      <c r="T128" s="646"/>
      <c r="U128" s="1982">
        <v>2082643</v>
      </c>
      <c r="V128" s="647"/>
      <c r="W128" s="261"/>
      <c r="X128" s="3003"/>
      <c r="Y128" s="442"/>
      <c r="Z128" s="941"/>
      <c r="AA128" s="1246"/>
      <c r="AB128" s="941"/>
      <c r="AC128" s="941"/>
    </row>
    <row r="129" spans="1:29">
      <c r="A129" s="53">
        <v>2006.12</v>
      </c>
      <c r="B129" s="141">
        <v>153872</v>
      </c>
      <c r="C129" s="2382">
        <f t="shared" si="6"/>
        <v>104008</v>
      </c>
      <c r="D129" s="3504">
        <v>22879</v>
      </c>
      <c r="E129" s="151">
        <v>38161</v>
      </c>
      <c r="F129" s="3504">
        <v>4690</v>
      </c>
      <c r="G129" s="151">
        <v>13305</v>
      </c>
      <c r="H129" s="3504">
        <v>15195</v>
      </c>
      <c r="I129" s="151">
        <v>6631</v>
      </c>
      <c r="J129" s="3504">
        <v>3147</v>
      </c>
      <c r="K129" s="151">
        <v>20103</v>
      </c>
      <c r="L129" s="3504">
        <v>4839</v>
      </c>
      <c r="M129" s="151">
        <v>7920</v>
      </c>
      <c r="N129" s="1396">
        <v>17002</v>
      </c>
      <c r="O129" s="1397"/>
      <c r="P129" s="1398">
        <v>137552</v>
      </c>
      <c r="Q129" s="1398">
        <v>3121842</v>
      </c>
      <c r="R129" s="1602">
        <f t="shared" si="4"/>
        <v>1118.6460393160405</v>
      </c>
      <c r="S129" s="1604">
        <f t="shared" si="5"/>
        <v>49.288849339588616</v>
      </c>
      <c r="T129" s="646"/>
      <c r="U129" s="1982">
        <v>2860346</v>
      </c>
      <c r="V129" s="647"/>
      <c r="W129" s="261"/>
      <c r="X129" s="3003"/>
      <c r="Y129" s="442"/>
      <c r="Z129" s="941"/>
      <c r="AA129" s="1246"/>
      <c r="AB129" s="941"/>
      <c r="AC129" s="941"/>
    </row>
    <row r="130" spans="1:29">
      <c r="A130" s="53">
        <v>2007.01</v>
      </c>
      <c r="B130" s="141">
        <v>114885</v>
      </c>
      <c r="C130" s="2382">
        <f t="shared" si="6"/>
        <v>72903</v>
      </c>
      <c r="D130" s="3504">
        <v>11507</v>
      </c>
      <c r="E130" s="151">
        <v>28565</v>
      </c>
      <c r="F130" s="3504">
        <v>3090</v>
      </c>
      <c r="G130" s="151">
        <v>10238</v>
      </c>
      <c r="H130" s="3504">
        <v>11544</v>
      </c>
      <c r="I130" s="151">
        <v>5501</v>
      </c>
      <c r="J130" s="3504">
        <v>2458</v>
      </c>
      <c r="K130" s="151">
        <v>17527</v>
      </c>
      <c r="L130" s="3504">
        <v>4150</v>
      </c>
      <c r="M130" s="151">
        <v>6692</v>
      </c>
      <c r="N130" s="1396">
        <v>13613</v>
      </c>
      <c r="O130" s="1397"/>
      <c r="P130" s="1398">
        <v>137552</v>
      </c>
      <c r="Q130" s="1398">
        <v>2695029</v>
      </c>
      <c r="R130" s="1602">
        <f t="shared" si="4"/>
        <v>835.2114109573107</v>
      </c>
      <c r="S130" s="1604">
        <f t="shared" si="5"/>
        <v>42.62848377512821</v>
      </c>
      <c r="T130" s="646"/>
      <c r="U130" s="1982">
        <v>2200860</v>
      </c>
      <c r="V130" s="647"/>
      <c r="W130" s="261"/>
      <c r="X130" s="3003"/>
      <c r="Y130" s="442"/>
      <c r="Z130" s="941"/>
      <c r="AA130" s="1246"/>
      <c r="AB130" s="941"/>
      <c r="AC130" s="941"/>
    </row>
    <row r="131" spans="1:29">
      <c r="A131" s="53">
        <v>2007.02</v>
      </c>
      <c r="B131" s="141">
        <v>110498</v>
      </c>
      <c r="C131" s="2382">
        <f t="shared" si="6"/>
        <v>70898</v>
      </c>
      <c r="D131" s="3504">
        <v>11261</v>
      </c>
      <c r="E131" s="151">
        <v>26672</v>
      </c>
      <c r="F131" s="3504">
        <v>2940</v>
      </c>
      <c r="G131" s="151">
        <v>11228</v>
      </c>
      <c r="H131" s="3504">
        <v>11211</v>
      </c>
      <c r="I131" s="151">
        <v>5232</v>
      </c>
      <c r="J131" s="3504">
        <v>2354</v>
      </c>
      <c r="K131" s="151">
        <v>16646</v>
      </c>
      <c r="L131" s="3504">
        <v>3798</v>
      </c>
      <c r="M131" s="151">
        <v>5689</v>
      </c>
      <c r="N131" s="1396">
        <v>13467</v>
      </c>
      <c r="O131" s="1397"/>
      <c r="P131" s="1398">
        <v>137552</v>
      </c>
      <c r="Q131" s="1398">
        <v>2564990</v>
      </c>
      <c r="R131" s="1602">
        <f t="shared" si="4"/>
        <v>803.3180179132255</v>
      </c>
      <c r="S131" s="1604">
        <f t="shared" si="5"/>
        <v>43.079310250722223</v>
      </c>
      <c r="T131" s="646"/>
      <c r="U131" s="1982">
        <v>2146718</v>
      </c>
      <c r="V131" s="647"/>
      <c r="W131" s="261"/>
      <c r="X131" s="3003"/>
      <c r="Y131" s="442"/>
      <c r="Z131" s="941"/>
      <c r="AA131" s="1246"/>
      <c r="AB131" s="941"/>
      <c r="AC131" s="941"/>
    </row>
    <row r="132" spans="1:29">
      <c r="A132" s="53">
        <v>2007.03</v>
      </c>
      <c r="B132" s="141">
        <v>130707</v>
      </c>
      <c r="C132" s="2382">
        <f t="shared" si="6"/>
        <v>85919</v>
      </c>
      <c r="D132" s="3504">
        <v>12361</v>
      </c>
      <c r="E132" s="151">
        <v>34167</v>
      </c>
      <c r="F132" s="3504">
        <v>3520</v>
      </c>
      <c r="G132" s="151">
        <v>13630</v>
      </c>
      <c r="H132" s="3504">
        <v>13569</v>
      </c>
      <c r="I132" s="151">
        <v>5929</v>
      </c>
      <c r="J132" s="3504">
        <v>2743</v>
      </c>
      <c r="K132" s="151">
        <v>19797</v>
      </c>
      <c r="L132" s="3504">
        <v>4764</v>
      </c>
      <c r="M132" s="151">
        <v>6729</v>
      </c>
      <c r="N132" s="1396">
        <v>13498</v>
      </c>
      <c r="O132" s="1397"/>
      <c r="P132" s="1398">
        <v>137552</v>
      </c>
      <c r="Q132" s="1398">
        <v>2919497</v>
      </c>
      <c r="R132" s="1602">
        <f t="shared" si="4"/>
        <v>950.23700127951611</v>
      </c>
      <c r="S132" s="1604">
        <f t="shared" si="5"/>
        <v>44.770383391385572</v>
      </c>
      <c r="T132" s="646"/>
      <c r="U132" s="1982">
        <v>2481669</v>
      </c>
      <c r="V132" s="647"/>
      <c r="W132" s="261"/>
      <c r="X132" s="3003"/>
      <c r="Y132" s="442"/>
      <c r="Z132" s="941"/>
      <c r="AA132" s="1246"/>
      <c r="AB132" s="941"/>
      <c r="AC132" s="941"/>
    </row>
    <row r="133" spans="1:29">
      <c r="A133" s="53">
        <v>2007.04</v>
      </c>
      <c r="B133" s="141">
        <v>130647</v>
      </c>
      <c r="C133" s="2382">
        <f t="shared" si="6"/>
        <v>86302</v>
      </c>
      <c r="D133" s="3504">
        <v>12505</v>
      </c>
      <c r="E133" s="151">
        <v>34468</v>
      </c>
      <c r="F133" s="3504">
        <v>3594</v>
      </c>
      <c r="G133" s="151">
        <v>13337</v>
      </c>
      <c r="H133" s="3504">
        <v>13691</v>
      </c>
      <c r="I133" s="151">
        <v>5878</v>
      </c>
      <c r="J133" s="3504">
        <v>2829</v>
      </c>
      <c r="K133" s="151">
        <v>19252</v>
      </c>
      <c r="L133" s="3504">
        <v>5170</v>
      </c>
      <c r="M133" s="151">
        <v>6755</v>
      </c>
      <c r="N133" s="1396">
        <v>13168</v>
      </c>
      <c r="O133" s="1397"/>
      <c r="P133" s="1398">
        <v>137552</v>
      </c>
      <c r="Q133" s="1398">
        <v>2920440</v>
      </c>
      <c r="R133" s="1602">
        <f t="shared" si="4"/>
        <v>949.80080260556008</v>
      </c>
      <c r="S133" s="1604">
        <f t="shared" si="5"/>
        <v>44.735382339647451</v>
      </c>
      <c r="T133" s="646"/>
      <c r="U133" s="1982">
        <v>2428950</v>
      </c>
      <c r="V133" s="647"/>
      <c r="W133" s="261"/>
      <c r="X133" s="3003"/>
      <c r="Y133" s="442"/>
      <c r="Z133" s="941"/>
      <c r="AA133" s="1246"/>
      <c r="AB133" s="941"/>
      <c r="AC133" s="941"/>
    </row>
    <row r="134" spans="1:29">
      <c r="A134" s="53">
        <v>2007.05</v>
      </c>
      <c r="B134" s="141">
        <v>128823</v>
      </c>
      <c r="C134" s="2382">
        <f t="shared" si="6"/>
        <v>84434</v>
      </c>
      <c r="D134" s="3504">
        <v>12110</v>
      </c>
      <c r="E134" s="151">
        <v>33873</v>
      </c>
      <c r="F134" s="3504">
        <v>3590</v>
      </c>
      <c r="G134" s="151">
        <v>13261</v>
      </c>
      <c r="H134" s="3504">
        <v>13283</v>
      </c>
      <c r="I134" s="151">
        <v>5625</v>
      </c>
      <c r="J134" s="3504">
        <v>2692</v>
      </c>
      <c r="K134" s="151">
        <v>18221</v>
      </c>
      <c r="L134" s="3504">
        <v>5740</v>
      </c>
      <c r="M134" s="151">
        <v>8160</v>
      </c>
      <c r="N134" s="1396">
        <v>12268</v>
      </c>
      <c r="O134" s="1397"/>
      <c r="P134" s="1398">
        <v>137552</v>
      </c>
      <c r="Q134" s="1398">
        <v>2849965</v>
      </c>
      <c r="R134" s="1602">
        <f t="shared" si="4"/>
        <v>936.54036291729665</v>
      </c>
      <c r="S134" s="1604">
        <f t="shared" si="5"/>
        <v>45.201607739042409</v>
      </c>
      <c r="T134" s="646"/>
      <c r="U134" s="1982">
        <v>2385531</v>
      </c>
      <c r="V134" s="647"/>
      <c r="W134" s="261"/>
      <c r="X134" s="3003"/>
      <c r="Y134" s="442"/>
      <c r="Z134" s="941"/>
      <c r="AA134" s="1246"/>
      <c r="AB134" s="941"/>
      <c r="AC134" s="941"/>
    </row>
    <row r="135" spans="1:29">
      <c r="A135" s="53">
        <v>2007.06</v>
      </c>
      <c r="B135" s="141">
        <v>141179</v>
      </c>
      <c r="C135" s="2382">
        <f t="shared" si="6"/>
        <v>92924</v>
      </c>
      <c r="D135" s="3504">
        <v>13627</v>
      </c>
      <c r="E135" s="151">
        <v>37780</v>
      </c>
      <c r="F135" s="3504">
        <v>3429</v>
      </c>
      <c r="G135" s="151">
        <v>14790</v>
      </c>
      <c r="H135" s="3504">
        <v>14404</v>
      </c>
      <c r="I135" s="151">
        <v>5783</v>
      </c>
      <c r="J135" s="3504">
        <v>3111</v>
      </c>
      <c r="K135" s="151">
        <v>19541</v>
      </c>
      <c r="L135" s="3504">
        <v>5567</v>
      </c>
      <c r="M135" s="151">
        <v>9279</v>
      </c>
      <c r="N135" s="1396">
        <v>13868</v>
      </c>
      <c r="O135" s="1397"/>
      <c r="P135" s="1398">
        <v>137552</v>
      </c>
      <c r="Q135" s="1398">
        <v>2916438</v>
      </c>
      <c r="R135" s="1602">
        <f t="shared" si="4"/>
        <v>1026.3682098406421</v>
      </c>
      <c r="S135" s="1604">
        <f t="shared" si="5"/>
        <v>48.408023760491396</v>
      </c>
      <c r="T135" s="646"/>
      <c r="U135" s="1982">
        <v>2579846</v>
      </c>
      <c r="V135" s="647"/>
      <c r="W135" s="261"/>
      <c r="X135" s="3003"/>
      <c r="Y135" s="442"/>
      <c r="Z135" s="941"/>
      <c r="AA135" s="1246"/>
      <c r="AB135" s="941"/>
      <c r="AC135" s="941"/>
    </row>
    <row r="136" spans="1:29">
      <c r="A136" s="53">
        <v>2007.07</v>
      </c>
      <c r="B136" s="141">
        <v>145477</v>
      </c>
      <c r="C136" s="2382">
        <f t="shared" si="6"/>
        <v>95401</v>
      </c>
      <c r="D136" s="3504">
        <v>13502</v>
      </c>
      <c r="E136" s="151">
        <v>39185</v>
      </c>
      <c r="F136" s="3504">
        <v>4272</v>
      </c>
      <c r="G136" s="151">
        <v>15123</v>
      </c>
      <c r="H136" s="3504">
        <v>14484</v>
      </c>
      <c r="I136" s="151">
        <v>5681</v>
      </c>
      <c r="J136" s="3504">
        <v>3154</v>
      </c>
      <c r="K136" s="151">
        <v>19857</v>
      </c>
      <c r="L136" s="3504">
        <v>5617</v>
      </c>
      <c r="M136" s="151">
        <v>9042</v>
      </c>
      <c r="N136" s="1396">
        <v>15560</v>
      </c>
      <c r="O136" s="1397"/>
      <c r="P136" s="1398">
        <v>137552</v>
      </c>
      <c r="Q136" s="1398">
        <v>2993552</v>
      </c>
      <c r="R136" s="1602">
        <f t="shared" si="4"/>
        <v>1057.6145748516926</v>
      </c>
      <c r="S136" s="1604">
        <f t="shared" si="5"/>
        <v>48.59678402112273</v>
      </c>
      <c r="T136" s="646"/>
      <c r="U136" s="1982">
        <v>2685958</v>
      </c>
      <c r="V136" s="647"/>
      <c r="W136" s="261"/>
      <c r="X136" s="3003"/>
      <c r="Y136" s="442"/>
      <c r="Z136" s="941"/>
      <c r="AA136" s="1246"/>
      <c r="AB136" s="941"/>
      <c r="AC136" s="941"/>
    </row>
    <row r="137" spans="1:29">
      <c r="A137" s="53">
        <v>2007.08</v>
      </c>
      <c r="B137" s="141">
        <v>148854</v>
      </c>
      <c r="C137" s="2382">
        <f t="shared" si="6"/>
        <v>98189</v>
      </c>
      <c r="D137" s="3504">
        <v>13801</v>
      </c>
      <c r="E137" s="151">
        <v>40282</v>
      </c>
      <c r="F137" s="3504">
        <v>4420</v>
      </c>
      <c r="G137" s="151">
        <v>15297</v>
      </c>
      <c r="H137" s="3504">
        <v>15049</v>
      </c>
      <c r="I137" s="151">
        <v>6177</v>
      </c>
      <c r="J137" s="3504">
        <v>3163</v>
      </c>
      <c r="K137" s="151">
        <v>20474</v>
      </c>
      <c r="L137" s="3504">
        <v>4827</v>
      </c>
      <c r="M137" s="151">
        <v>8314</v>
      </c>
      <c r="N137" s="1396">
        <v>17050</v>
      </c>
      <c r="O137" s="1397"/>
      <c r="P137" s="1398">
        <v>137552</v>
      </c>
      <c r="Q137" s="1398">
        <v>3000990</v>
      </c>
      <c r="R137" s="1602">
        <f t="shared" si="4"/>
        <v>1082.1652902175178</v>
      </c>
      <c r="S137" s="1604">
        <f t="shared" si="5"/>
        <v>49.601631461617671</v>
      </c>
      <c r="T137" s="646"/>
      <c r="U137" s="1982">
        <v>2762085</v>
      </c>
      <c r="V137" s="647"/>
      <c r="W137" s="261"/>
      <c r="X137" s="3003"/>
      <c r="Y137" s="442"/>
      <c r="Z137" s="941"/>
      <c r="AA137" s="1246"/>
      <c r="AB137" s="941"/>
      <c r="AC137" s="941"/>
    </row>
    <row r="138" spans="1:29">
      <c r="A138" s="53">
        <v>2007.09</v>
      </c>
      <c r="B138" s="141">
        <v>148976</v>
      </c>
      <c r="C138" s="2382">
        <f t="shared" si="6"/>
        <v>99070</v>
      </c>
      <c r="D138" s="3504">
        <v>14553</v>
      </c>
      <c r="E138" s="151">
        <v>39551</v>
      </c>
      <c r="F138" s="3504">
        <v>4558</v>
      </c>
      <c r="G138" s="151">
        <v>15500</v>
      </c>
      <c r="H138" s="3504">
        <v>15165</v>
      </c>
      <c r="I138" s="151">
        <v>6351</v>
      </c>
      <c r="J138" s="3504">
        <v>3392</v>
      </c>
      <c r="K138" s="151">
        <v>20954</v>
      </c>
      <c r="L138" s="3504">
        <v>4707</v>
      </c>
      <c r="M138" s="151">
        <v>8638</v>
      </c>
      <c r="N138" s="1396">
        <v>15607</v>
      </c>
      <c r="O138" s="1397"/>
      <c r="P138" s="1398">
        <v>137552</v>
      </c>
      <c r="Q138" s="1398">
        <v>2918927</v>
      </c>
      <c r="R138" s="1602">
        <f t="shared" si="4"/>
        <v>1083.0522275212284</v>
      </c>
      <c r="S138" s="1604">
        <f t="shared" si="5"/>
        <v>51.037932774612045</v>
      </c>
      <c r="T138" s="646"/>
      <c r="U138" s="1982">
        <v>2781955</v>
      </c>
      <c r="V138" s="647"/>
      <c r="W138" s="261"/>
      <c r="X138" s="3003"/>
      <c r="Y138" s="442"/>
      <c r="Z138" s="941"/>
      <c r="AA138" s="1246"/>
      <c r="AB138" s="941"/>
      <c r="AC138" s="941"/>
    </row>
    <row r="139" spans="1:29">
      <c r="A139" s="53">
        <v>2007.1</v>
      </c>
      <c r="B139" s="141">
        <v>153663</v>
      </c>
      <c r="C139" s="2382">
        <f t="shared" si="6"/>
        <v>99326</v>
      </c>
      <c r="D139" s="3504">
        <v>16671</v>
      </c>
      <c r="E139" s="151">
        <v>37746</v>
      </c>
      <c r="F139" s="3504">
        <v>4326</v>
      </c>
      <c r="G139" s="151">
        <v>15527</v>
      </c>
      <c r="H139" s="3504">
        <v>15291</v>
      </c>
      <c r="I139" s="151">
        <v>6426</v>
      </c>
      <c r="J139" s="3504">
        <v>3339</v>
      </c>
      <c r="K139" s="151">
        <v>21633</v>
      </c>
      <c r="L139" s="3504">
        <v>5121</v>
      </c>
      <c r="M139" s="151">
        <v>10754</v>
      </c>
      <c r="N139" s="1396">
        <v>16829</v>
      </c>
      <c r="O139" s="1397"/>
      <c r="P139" s="1398">
        <v>137552</v>
      </c>
      <c r="Q139" s="1398">
        <v>2943692</v>
      </c>
      <c r="R139" s="1602">
        <f t="shared" ref="R139:R165" si="7">$B139/P139*1000</f>
        <v>1117.1266139350937</v>
      </c>
      <c r="S139" s="1604">
        <f t="shared" ref="S139:S165" si="8">$B139/Q139*1000</f>
        <v>52.200773722250837</v>
      </c>
      <c r="T139" s="646"/>
      <c r="U139" s="1982">
        <v>2892830</v>
      </c>
      <c r="V139" s="647"/>
      <c r="W139" s="261"/>
      <c r="X139" s="3003"/>
      <c r="Y139" s="442"/>
      <c r="Z139" s="941"/>
      <c r="AA139" s="1246"/>
      <c r="AB139" s="941"/>
      <c r="AC139" s="941"/>
    </row>
    <row r="140" spans="1:29">
      <c r="A140" s="53">
        <v>2007.11</v>
      </c>
      <c r="B140" s="141">
        <v>153827</v>
      </c>
      <c r="C140" s="2382">
        <f t="shared" ref="C140:C189" si="9">SUM(D140:J140)</f>
        <v>102556</v>
      </c>
      <c r="D140" s="3504">
        <v>19459</v>
      </c>
      <c r="E140" s="151">
        <v>38669</v>
      </c>
      <c r="F140" s="3504">
        <v>4299</v>
      </c>
      <c r="G140" s="151">
        <v>15332</v>
      </c>
      <c r="H140" s="3504">
        <v>15148</v>
      </c>
      <c r="I140" s="151">
        <v>6144</v>
      </c>
      <c r="J140" s="3504">
        <v>3505</v>
      </c>
      <c r="K140" s="151">
        <v>21910</v>
      </c>
      <c r="L140" s="3504">
        <v>4827</v>
      </c>
      <c r="M140" s="151">
        <v>7965</v>
      </c>
      <c r="N140" s="1396">
        <v>16569</v>
      </c>
      <c r="O140" s="1397"/>
      <c r="P140" s="1398">
        <v>137552</v>
      </c>
      <c r="Q140" s="1398">
        <v>2884262</v>
      </c>
      <c r="R140" s="1602">
        <f t="shared" si="7"/>
        <v>1118.3188903105734</v>
      </c>
      <c r="S140" s="1604">
        <f t="shared" si="8"/>
        <v>53.333227009196804</v>
      </c>
      <c r="T140" s="646"/>
      <c r="U140" s="1982">
        <v>2856893</v>
      </c>
      <c r="V140" s="647"/>
      <c r="W140" s="261"/>
      <c r="X140" s="3003"/>
      <c r="Y140" s="442"/>
      <c r="Z140" s="941"/>
      <c r="AA140" s="1246"/>
      <c r="AB140" s="941"/>
      <c r="AC140" s="941"/>
    </row>
    <row r="141" spans="1:29">
      <c r="A141" s="53">
        <v>2007.12</v>
      </c>
      <c r="B141" s="141">
        <v>203264</v>
      </c>
      <c r="C141" s="2382">
        <f t="shared" si="9"/>
        <v>134035</v>
      </c>
      <c r="D141" s="3504">
        <v>31273</v>
      </c>
      <c r="E141" s="151">
        <v>48744</v>
      </c>
      <c r="F141" s="3504">
        <v>5650</v>
      </c>
      <c r="G141" s="151">
        <v>16850</v>
      </c>
      <c r="H141" s="3504">
        <v>19826</v>
      </c>
      <c r="I141" s="151">
        <v>7598</v>
      </c>
      <c r="J141" s="3504">
        <v>4094</v>
      </c>
      <c r="K141" s="151">
        <v>25237</v>
      </c>
      <c r="L141" s="3504">
        <v>7349</v>
      </c>
      <c r="M141" s="151">
        <v>11624</v>
      </c>
      <c r="N141" s="1396">
        <v>25019</v>
      </c>
      <c r="O141" s="1397"/>
      <c r="P141" s="1398">
        <v>139552</v>
      </c>
      <c r="Q141" s="1398">
        <v>3206034</v>
      </c>
      <c r="R141" s="1602">
        <f t="shared" si="7"/>
        <v>1456.546663609264</v>
      </c>
      <c r="S141" s="1604">
        <f t="shared" si="8"/>
        <v>63.400450525477893</v>
      </c>
      <c r="T141" s="646"/>
      <c r="U141" s="1982">
        <v>3857861</v>
      </c>
      <c r="V141" s="647"/>
      <c r="W141" s="261"/>
      <c r="X141" s="3003"/>
      <c r="Y141" s="442"/>
      <c r="Z141" s="941"/>
      <c r="AA141" s="1246"/>
      <c r="AB141" s="941"/>
      <c r="AC141" s="941"/>
    </row>
    <row r="142" spans="1:29">
      <c r="A142" s="53">
        <f t="shared" ref="A142:A205" si="10">A130+1</f>
        <v>2008.01</v>
      </c>
      <c r="B142" s="141">
        <v>156446</v>
      </c>
      <c r="C142" s="2382">
        <f t="shared" si="9"/>
        <v>97531</v>
      </c>
      <c r="D142" s="3504">
        <v>17777</v>
      </c>
      <c r="E142" s="151">
        <v>36059</v>
      </c>
      <c r="F142" s="3504">
        <v>4052</v>
      </c>
      <c r="G142" s="151">
        <v>14803</v>
      </c>
      <c r="H142" s="3504">
        <v>14826</v>
      </c>
      <c r="I142" s="151">
        <v>6655</v>
      </c>
      <c r="J142" s="3504">
        <v>3359</v>
      </c>
      <c r="K142" s="151">
        <v>22742</v>
      </c>
      <c r="L142" s="3504">
        <v>5429</v>
      </c>
      <c r="M142" s="151">
        <v>11187</v>
      </c>
      <c r="N142" s="1396">
        <v>19557</v>
      </c>
      <c r="O142" s="1397"/>
      <c r="P142" s="1398">
        <v>139552</v>
      </c>
      <c r="Q142" s="1398">
        <v>2815389</v>
      </c>
      <c r="R142" s="1602">
        <f t="shared" si="7"/>
        <v>1121.0588167851411</v>
      </c>
      <c r="S142" s="1604">
        <f t="shared" si="8"/>
        <v>55.568164825535654</v>
      </c>
      <c r="T142" s="646"/>
      <c r="U142" s="1982">
        <v>3006997</v>
      </c>
      <c r="V142" s="647"/>
      <c r="W142" s="261"/>
      <c r="X142" s="3003"/>
      <c r="Y142" s="442"/>
      <c r="Z142" s="941"/>
      <c r="AA142" s="1246"/>
      <c r="AB142" s="941"/>
      <c r="AC142" s="941"/>
    </row>
    <row r="143" spans="1:29">
      <c r="A143" s="53">
        <f t="shared" si="10"/>
        <v>2008.02</v>
      </c>
      <c r="B143" s="141">
        <v>156868</v>
      </c>
      <c r="C143" s="2382">
        <f t="shared" si="9"/>
        <v>102237</v>
      </c>
      <c r="D143" s="3504">
        <v>17838</v>
      </c>
      <c r="E143" s="151">
        <v>38151</v>
      </c>
      <c r="F143" s="3504">
        <v>4302</v>
      </c>
      <c r="G143" s="151">
        <v>15691</v>
      </c>
      <c r="H143" s="3504">
        <v>15869</v>
      </c>
      <c r="I143" s="151">
        <v>6855</v>
      </c>
      <c r="J143" s="3504">
        <v>3531</v>
      </c>
      <c r="K143" s="151">
        <v>22447</v>
      </c>
      <c r="L143" s="3504">
        <v>5150</v>
      </c>
      <c r="M143" s="151">
        <v>8449</v>
      </c>
      <c r="N143" s="1396">
        <v>18585</v>
      </c>
      <c r="O143" s="1397"/>
      <c r="P143" s="1398">
        <v>139552</v>
      </c>
      <c r="Q143" s="1398">
        <v>2768755</v>
      </c>
      <c r="R143" s="1602">
        <f t="shared" si="7"/>
        <v>1124.0827791790873</v>
      </c>
      <c r="S143" s="1604">
        <f t="shared" si="8"/>
        <v>56.656511681243011</v>
      </c>
      <c r="T143" s="646"/>
      <c r="U143" s="1982">
        <v>3063867</v>
      </c>
      <c r="V143" s="647"/>
      <c r="W143" s="261"/>
      <c r="X143" s="3003"/>
      <c r="Y143" s="442"/>
      <c r="Z143" s="941"/>
      <c r="AA143" s="1246"/>
      <c r="AB143" s="941"/>
      <c r="AC143" s="941"/>
    </row>
    <row r="144" spans="1:29">
      <c r="A144" s="53">
        <f t="shared" si="10"/>
        <v>2008.03</v>
      </c>
      <c r="B144" s="141">
        <v>182660</v>
      </c>
      <c r="C144" s="2382">
        <f t="shared" si="9"/>
        <v>124121</v>
      </c>
      <c r="D144" s="3504">
        <v>20002</v>
      </c>
      <c r="E144" s="151">
        <v>49875</v>
      </c>
      <c r="F144" s="3504">
        <v>5116</v>
      </c>
      <c r="G144" s="151">
        <v>18854</v>
      </c>
      <c r="H144" s="3504">
        <v>18724</v>
      </c>
      <c r="I144" s="151">
        <v>7562</v>
      </c>
      <c r="J144" s="3504">
        <v>3988</v>
      </c>
      <c r="K144" s="151">
        <v>25480</v>
      </c>
      <c r="L144" s="3504">
        <v>5591</v>
      </c>
      <c r="M144" s="151">
        <v>8820</v>
      </c>
      <c r="N144" s="1396">
        <v>18648</v>
      </c>
      <c r="O144" s="1397"/>
      <c r="P144" s="1398">
        <v>139552</v>
      </c>
      <c r="Q144" s="1398">
        <v>3056908</v>
      </c>
      <c r="R144" s="1602">
        <f t="shared" si="7"/>
        <v>1308.9027745929834</v>
      </c>
      <c r="S144" s="1604">
        <f t="shared" si="8"/>
        <v>59.753188515977584</v>
      </c>
      <c r="T144" s="646"/>
      <c r="U144" s="1982">
        <v>3499058</v>
      </c>
      <c r="V144" s="647"/>
      <c r="W144" s="261"/>
      <c r="X144" s="3003"/>
      <c r="Y144" s="442"/>
      <c r="Z144" s="941"/>
      <c r="AA144" s="1246"/>
      <c r="AB144" s="941"/>
      <c r="AC144" s="941"/>
    </row>
    <row r="145" spans="1:29">
      <c r="A145" s="53">
        <f t="shared" si="10"/>
        <v>2008.04</v>
      </c>
      <c r="B145" s="141">
        <v>169462</v>
      </c>
      <c r="C145" s="2382">
        <f t="shared" si="9"/>
        <v>113514.83999999998</v>
      </c>
      <c r="D145" s="3504">
        <v>18610.12</v>
      </c>
      <c r="E145" s="151">
        <v>43727.12</v>
      </c>
      <c r="F145" s="3504">
        <v>4782.12</v>
      </c>
      <c r="G145" s="151">
        <v>16861.12</v>
      </c>
      <c r="H145" s="3504">
        <v>18731.12</v>
      </c>
      <c r="I145" s="151">
        <v>7064.12</v>
      </c>
      <c r="J145" s="3504">
        <v>3739.12</v>
      </c>
      <c r="K145" s="151">
        <v>23999.119999999999</v>
      </c>
      <c r="L145" s="3504">
        <v>6043.12</v>
      </c>
      <c r="M145" s="151">
        <v>9179.1200000000008</v>
      </c>
      <c r="N145" s="1396">
        <v>16726.12</v>
      </c>
      <c r="O145" s="1397"/>
      <c r="P145" s="1398">
        <v>139552</v>
      </c>
      <c r="Q145" s="1398">
        <v>2881117</v>
      </c>
      <c r="R145" s="1602">
        <f t="shared" si="7"/>
        <v>1214.3287090116946</v>
      </c>
      <c r="S145" s="1604">
        <f t="shared" si="8"/>
        <v>58.818159762342177</v>
      </c>
      <c r="T145" s="646"/>
      <c r="U145" s="1982">
        <v>3244770</v>
      </c>
      <c r="V145" s="647"/>
      <c r="W145" s="261"/>
      <c r="X145" s="3003"/>
      <c r="Y145" s="442"/>
      <c r="Z145" s="941"/>
      <c r="AA145" s="1246"/>
      <c r="AB145" s="941"/>
      <c r="AC145" s="941"/>
    </row>
    <row r="146" spans="1:29">
      <c r="A146" s="53">
        <f t="shared" si="10"/>
        <v>2008.05</v>
      </c>
      <c r="B146" s="141">
        <v>179162</v>
      </c>
      <c r="C146" s="2382">
        <f t="shared" si="9"/>
        <v>119076</v>
      </c>
      <c r="D146" s="3504">
        <v>19356</v>
      </c>
      <c r="E146" s="151">
        <v>47945</v>
      </c>
      <c r="F146" s="3504">
        <v>5156</v>
      </c>
      <c r="G146" s="151">
        <v>17320</v>
      </c>
      <c r="H146" s="3504">
        <v>19072</v>
      </c>
      <c r="I146" s="151">
        <v>6474</v>
      </c>
      <c r="J146" s="3504">
        <v>3753</v>
      </c>
      <c r="K146" s="151">
        <v>25338</v>
      </c>
      <c r="L146" s="3504">
        <v>6833</v>
      </c>
      <c r="M146" s="151">
        <v>10576</v>
      </c>
      <c r="N146" s="1396">
        <v>17339</v>
      </c>
      <c r="O146" s="1397"/>
      <c r="P146" s="1398">
        <v>139552</v>
      </c>
      <c r="Q146" s="1398">
        <v>2896933</v>
      </c>
      <c r="R146" s="1602">
        <f t="shared" si="7"/>
        <v>1283.8368493464802</v>
      </c>
      <c r="S146" s="1604">
        <f t="shared" si="8"/>
        <v>61.845406849243666</v>
      </c>
      <c r="T146" s="646"/>
      <c r="U146" s="1982">
        <v>3461532</v>
      </c>
      <c r="V146" s="647"/>
      <c r="W146" s="261"/>
      <c r="X146" s="3003"/>
      <c r="Y146" s="442"/>
      <c r="Z146" s="941"/>
      <c r="AA146" s="1246"/>
      <c r="AB146" s="941"/>
      <c r="AC146" s="941"/>
    </row>
    <row r="147" spans="1:29">
      <c r="A147" s="53">
        <f t="shared" si="10"/>
        <v>2008.06</v>
      </c>
      <c r="B147" s="141">
        <v>181155</v>
      </c>
      <c r="C147" s="2382">
        <f t="shared" si="9"/>
        <v>120946</v>
      </c>
      <c r="D147" s="3504">
        <v>19410</v>
      </c>
      <c r="E147" s="151">
        <v>49686</v>
      </c>
      <c r="F147" s="3504">
        <v>5609</v>
      </c>
      <c r="G147" s="151">
        <v>17910</v>
      </c>
      <c r="H147" s="3504">
        <v>18538</v>
      </c>
      <c r="I147" s="151">
        <v>6241</v>
      </c>
      <c r="J147" s="3504">
        <v>3552</v>
      </c>
      <c r="K147" s="151">
        <v>24294</v>
      </c>
      <c r="L147" s="3504">
        <v>7335</v>
      </c>
      <c r="M147" s="151">
        <v>11092</v>
      </c>
      <c r="N147" s="1396">
        <v>17488</v>
      </c>
      <c r="O147" s="1397"/>
      <c r="P147" s="1398">
        <v>139552</v>
      </c>
      <c r="Q147" s="1398">
        <v>2939214</v>
      </c>
      <c r="R147" s="1602">
        <f t="shared" si="7"/>
        <v>1298.1182641595965</v>
      </c>
      <c r="S147" s="1604">
        <f t="shared" si="8"/>
        <v>61.633824553094811</v>
      </c>
      <c r="T147" s="646"/>
      <c r="U147" s="1982">
        <v>3439756</v>
      </c>
      <c r="V147" s="647"/>
      <c r="W147" s="261"/>
      <c r="X147" s="3003"/>
      <c r="Y147" s="442"/>
      <c r="Z147" s="941"/>
      <c r="AA147" s="1246"/>
      <c r="AB147" s="941"/>
      <c r="AC147" s="941"/>
    </row>
    <row r="148" spans="1:29">
      <c r="A148" s="53">
        <f t="shared" si="10"/>
        <v>2008.07</v>
      </c>
      <c r="B148" s="141">
        <v>184147</v>
      </c>
      <c r="C148" s="2382">
        <f t="shared" si="9"/>
        <v>122216</v>
      </c>
      <c r="D148" s="3504">
        <v>20028</v>
      </c>
      <c r="E148" s="151">
        <v>49009</v>
      </c>
      <c r="F148" s="3504">
        <v>5678</v>
      </c>
      <c r="G148" s="151">
        <v>17443</v>
      </c>
      <c r="H148" s="3504">
        <v>19174</v>
      </c>
      <c r="I148" s="151">
        <v>6632</v>
      </c>
      <c r="J148" s="3504">
        <v>4252</v>
      </c>
      <c r="K148" s="151">
        <v>25807</v>
      </c>
      <c r="L148" s="3504">
        <v>6880</v>
      </c>
      <c r="M148" s="151">
        <v>9943</v>
      </c>
      <c r="N148" s="1396">
        <v>19301</v>
      </c>
      <c r="O148" s="1397"/>
      <c r="P148" s="1398">
        <v>139552</v>
      </c>
      <c r="Q148" s="1398">
        <v>3004493</v>
      </c>
      <c r="R148" s="1602">
        <f t="shared" si="7"/>
        <v>1319.5583008484293</v>
      </c>
      <c r="S148" s="1604">
        <f t="shared" si="8"/>
        <v>61.290540533793887</v>
      </c>
      <c r="T148" s="646"/>
      <c r="U148" s="1982">
        <v>3545598</v>
      </c>
      <c r="V148" s="647"/>
      <c r="W148" s="261"/>
      <c r="X148" s="3003"/>
      <c r="Y148" s="442"/>
      <c r="Z148" s="941"/>
      <c r="AA148" s="1246"/>
      <c r="AB148" s="941"/>
      <c r="AC148" s="941"/>
    </row>
    <row r="149" spans="1:29">
      <c r="A149" s="53">
        <f t="shared" si="10"/>
        <v>2008.08</v>
      </c>
      <c r="B149" s="141">
        <v>197371</v>
      </c>
      <c r="C149" s="2382">
        <f t="shared" si="9"/>
        <v>130740</v>
      </c>
      <c r="D149" s="3504">
        <v>20992</v>
      </c>
      <c r="E149" s="151">
        <v>52196</v>
      </c>
      <c r="F149" s="3504">
        <v>5963</v>
      </c>
      <c r="G149" s="151">
        <v>19414</v>
      </c>
      <c r="H149" s="3504">
        <v>20617</v>
      </c>
      <c r="I149" s="151">
        <v>7101</v>
      </c>
      <c r="J149" s="3504">
        <v>4457</v>
      </c>
      <c r="K149" s="151">
        <v>27680</v>
      </c>
      <c r="L149" s="3504">
        <v>6443</v>
      </c>
      <c r="M149" s="151">
        <v>10527</v>
      </c>
      <c r="N149" s="1396">
        <v>21981</v>
      </c>
      <c r="O149" s="1397"/>
      <c r="P149" s="1398">
        <v>139552</v>
      </c>
      <c r="Q149" s="1398">
        <v>3086406</v>
      </c>
      <c r="R149" s="1602">
        <f t="shared" si="7"/>
        <v>1414.3186769089657</v>
      </c>
      <c r="S149" s="1604">
        <f t="shared" si="8"/>
        <v>63.948488954466782</v>
      </c>
      <c r="T149" s="646"/>
      <c r="U149" s="1982">
        <v>3785241</v>
      </c>
      <c r="V149" s="647"/>
      <c r="W149" s="261"/>
      <c r="X149" s="3003"/>
      <c r="Y149" s="442"/>
      <c r="Z149" s="941"/>
      <c r="AA149" s="1246"/>
      <c r="AB149" s="941"/>
      <c r="AC149" s="941"/>
    </row>
    <row r="150" spans="1:29">
      <c r="A150" s="53">
        <f t="shared" si="10"/>
        <v>2008.09</v>
      </c>
      <c r="B150" s="141">
        <v>183084</v>
      </c>
      <c r="C150" s="2382">
        <f t="shared" si="9"/>
        <v>122543</v>
      </c>
      <c r="D150" s="3504">
        <v>20219</v>
      </c>
      <c r="E150" s="151">
        <v>48115</v>
      </c>
      <c r="F150" s="3504">
        <v>5507</v>
      </c>
      <c r="G150" s="151">
        <v>18873</v>
      </c>
      <c r="H150" s="3504">
        <v>19025</v>
      </c>
      <c r="I150" s="151">
        <v>7056</v>
      </c>
      <c r="J150" s="3504">
        <v>3748</v>
      </c>
      <c r="K150" s="151">
        <v>26194</v>
      </c>
      <c r="L150" s="3504">
        <v>5453</v>
      </c>
      <c r="M150" s="151">
        <v>10009</v>
      </c>
      <c r="N150" s="1396">
        <v>18885</v>
      </c>
      <c r="O150" s="1397"/>
      <c r="P150" s="1398">
        <v>139552</v>
      </c>
      <c r="Q150" s="1398">
        <v>2874608</v>
      </c>
      <c r="R150" s="1602">
        <f t="shared" si="7"/>
        <v>1311.9410685622563</v>
      </c>
      <c r="S150" s="1604">
        <f t="shared" si="8"/>
        <v>63.690075307659342</v>
      </c>
      <c r="T150" s="646"/>
      <c r="U150" s="1982">
        <v>3547515</v>
      </c>
      <c r="V150" s="647"/>
      <c r="W150" s="261"/>
      <c r="X150" s="3003"/>
      <c r="Y150" s="442"/>
      <c r="Z150" s="941"/>
      <c r="AA150" s="1246"/>
      <c r="AB150" s="941"/>
      <c r="AC150" s="941"/>
    </row>
    <row r="151" spans="1:29">
      <c r="A151" s="53">
        <f t="shared" si="10"/>
        <v>2008.1</v>
      </c>
      <c r="B151" s="141">
        <v>196814</v>
      </c>
      <c r="C151" s="2382">
        <f t="shared" si="9"/>
        <v>128160</v>
      </c>
      <c r="D151" s="3504">
        <v>21943</v>
      </c>
      <c r="E151" s="151">
        <v>49179</v>
      </c>
      <c r="F151" s="3504">
        <v>5649</v>
      </c>
      <c r="G151" s="151">
        <v>19751</v>
      </c>
      <c r="H151" s="3504">
        <v>20216</v>
      </c>
      <c r="I151" s="151">
        <v>7403</v>
      </c>
      <c r="J151" s="3504">
        <v>4019</v>
      </c>
      <c r="K151" s="151">
        <v>28313</v>
      </c>
      <c r="L151" s="3504">
        <v>6070</v>
      </c>
      <c r="M151" s="151">
        <v>14029</v>
      </c>
      <c r="N151" s="1396">
        <v>20242</v>
      </c>
      <c r="O151" s="1397"/>
      <c r="P151" s="1398">
        <v>139552</v>
      </c>
      <c r="Q151" s="1398">
        <v>3001051</v>
      </c>
      <c r="R151" s="1602">
        <f t="shared" si="7"/>
        <v>1410.327333180463</v>
      </c>
      <c r="S151" s="1604">
        <f t="shared" si="8"/>
        <v>65.581691214177965</v>
      </c>
      <c r="T151" s="646"/>
      <c r="U151" s="1982">
        <v>3873857</v>
      </c>
      <c r="V151" s="647"/>
      <c r="W151" s="261"/>
      <c r="X151" s="3003"/>
      <c r="Y151" s="442"/>
      <c r="Z151" s="941"/>
      <c r="AA151" s="1246"/>
      <c r="AB151" s="941"/>
      <c r="AC151" s="941"/>
    </row>
    <row r="152" spans="1:29">
      <c r="A152" s="53">
        <f t="shared" si="10"/>
        <v>2008.11</v>
      </c>
      <c r="B152" s="141">
        <v>199021</v>
      </c>
      <c r="C152" s="2382">
        <v>129741</v>
      </c>
      <c r="D152" s="3504">
        <v>24158</v>
      </c>
      <c r="E152" s="151">
        <v>48746</v>
      </c>
      <c r="F152" s="3504">
        <v>5397</v>
      </c>
      <c r="G152" s="151">
        <v>19940</v>
      </c>
      <c r="H152" s="3504">
        <v>19541</v>
      </c>
      <c r="I152" s="151">
        <v>8040</v>
      </c>
      <c r="J152" s="3504">
        <v>3919</v>
      </c>
      <c r="K152" s="151">
        <v>29693</v>
      </c>
      <c r="L152" s="3504">
        <v>6065</v>
      </c>
      <c r="M152" s="151">
        <v>12370</v>
      </c>
      <c r="N152" s="1396">
        <v>21152</v>
      </c>
      <c r="O152" s="1397"/>
      <c r="P152" s="1398">
        <v>139552</v>
      </c>
      <c r="Q152" s="1398">
        <v>2938658</v>
      </c>
      <c r="R152" s="1602">
        <f t="shared" si="7"/>
        <v>1426.1422265535427</v>
      </c>
      <c r="S152" s="1604">
        <f t="shared" si="8"/>
        <v>67.725131675751314</v>
      </c>
      <c r="T152" s="646"/>
      <c r="U152" s="1982">
        <v>3919915</v>
      </c>
      <c r="V152" s="647"/>
      <c r="W152" s="261"/>
      <c r="X152" s="3003"/>
      <c r="Y152" s="442"/>
      <c r="Z152" s="941"/>
      <c r="AA152" s="1246"/>
      <c r="AB152" s="941"/>
      <c r="AC152" s="941"/>
    </row>
    <row r="153" spans="1:29">
      <c r="A153" s="53">
        <f t="shared" si="10"/>
        <v>2008.12</v>
      </c>
      <c r="B153" s="141">
        <v>248351</v>
      </c>
      <c r="C153" s="2382">
        <v>167090</v>
      </c>
      <c r="D153" s="3504">
        <v>39722</v>
      </c>
      <c r="E153" s="151">
        <v>62061</v>
      </c>
      <c r="F153" s="3504">
        <v>6846</v>
      </c>
      <c r="G153" s="151">
        <v>20582</v>
      </c>
      <c r="H153" s="3504">
        <v>23717</v>
      </c>
      <c r="I153" s="151">
        <v>9496</v>
      </c>
      <c r="J153" s="3504">
        <v>4666</v>
      </c>
      <c r="K153" s="151">
        <v>31171</v>
      </c>
      <c r="L153" s="3504">
        <v>7503</v>
      </c>
      <c r="M153" s="151">
        <v>13586</v>
      </c>
      <c r="N153" s="1396">
        <v>29001</v>
      </c>
      <c r="O153" s="1397"/>
      <c r="P153" s="1398">
        <v>139552</v>
      </c>
      <c r="Q153" s="1398">
        <v>3337741</v>
      </c>
      <c r="R153" s="1602">
        <f t="shared" si="7"/>
        <v>1779.630531988076</v>
      </c>
      <c r="S153" s="1604">
        <f t="shared" si="8"/>
        <v>74.406911740605409</v>
      </c>
      <c r="T153" s="646"/>
      <c r="U153" s="1982">
        <v>4763833</v>
      </c>
      <c r="V153" s="647"/>
      <c r="W153" s="261"/>
      <c r="X153" s="3003"/>
      <c r="Y153" s="442"/>
      <c r="Z153" s="941"/>
      <c r="AA153" s="1246"/>
      <c r="AB153" s="941"/>
      <c r="AC153" s="941"/>
    </row>
    <row r="154" spans="1:29">
      <c r="A154" s="53">
        <f t="shared" si="10"/>
        <v>2009.01</v>
      </c>
      <c r="B154" s="141">
        <v>188264</v>
      </c>
      <c r="C154" s="2382">
        <f t="shared" si="9"/>
        <v>121741</v>
      </c>
      <c r="D154" s="3504">
        <v>22877</v>
      </c>
      <c r="E154" s="151">
        <v>45093</v>
      </c>
      <c r="F154" s="3504">
        <v>5166</v>
      </c>
      <c r="G154" s="151">
        <v>17716</v>
      </c>
      <c r="H154" s="3504">
        <v>19059</v>
      </c>
      <c r="I154" s="151">
        <v>7982</v>
      </c>
      <c r="J154" s="3504">
        <v>3848</v>
      </c>
      <c r="K154" s="151">
        <v>28524</v>
      </c>
      <c r="L154" s="3504">
        <v>5989</v>
      </c>
      <c r="M154" s="151">
        <v>9959</v>
      </c>
      <c r="N154" s="1396">
        <v>22051</v>
      </c>
      <c r="O154" s="1397"/>
      <c r="P154" s="1398">
        <v>139552</v>
      </c>
      <c r="Q154" s="1398">
        <v>2586524</v>
      </c>
      <c r="R154" s="1602">
        <f t="shared" si="7"/>
        <v>1349.0598486585645</v>
      </c>
      <c r="S154" s="1604">
        <f t="shared" si="8"/>
        <v>72.786488739327368</v>
      </c>
      <c r="T154" s="646"/>
      <c r="U154" s="1982">
        <v>3836771</v>
      </c>
      <c r="V154" s="647"/>
      <c r="W154" s="261"/>
      <c r="X154" s="3003"/>
      <c r="Y154" s="442"/>
      <c r="Z154" s="941"/>
      <c r="AA154" s="1246"/>
      <c r="AB154" s="941"/>
      <c r="AC154" s="941"/>
    </row>
    <row r="155" spans="1:29">
      <c r="A155" s="53">
        <f t="shared" si="10"/>
        <v>2009.02</v>
      </c>
      <c r="B155" s="141">
        <v>174723</v>
      </c>
      <c r="C155" s="2382">
        <f t="shared" si="9"/>
        <v>114582</v>
      </c>
      <c r="D155" s="3504">
        <v>20668</v>
      </c>
      <c r="E155" s="151">
        <v>43263</v>
      </c>
      <c r="F155" s="3504">
        <v>4755</v>
      </c>
      <c r="G155" s="151">
        <v>17421</v>
      </c>
      <c r="H155" s="3504">
        <v>17684</v>
      </c>
      <c r="I155" s="151">
        <v>7475</v>
      </c>
      <c r="J155" s="3504">
        <v>3316</v>
      </c>
      <c r="K155" s="151">
        <v>26431</v>
      </c>
      <c r="L155" s="3504">
        <v>5544</v>
      </c>
      <c r="M155" s="151">
        <v>7657</v>
      </c>
      <c r="N155" s="1396">
        <v>20509</v>
      </c>
      <c r="O155" s="1397"/>
      <c r="P155" s="1398">
        <v>139552</v>
      </c>
      <c r="Q155" s="1398">
        <v>2386289</v>
      </c>
      <c r="R155" s="1602">
        <f t="shared" si="7"/>
        <v>1252.0279179087365</v>
      </c>
      <c r="S155" s="1604">
        <f t="shared" si="8"/>
        <v>73.219547171361057</v>
      </c>
      <c r="T155" s="646"/>
      <c r="U155" s="1982">
        <v>3617195</v>
      </c>
      <c r="V155" s="647"/>
      <c r="W155" s="261"/>
      <c r="X155" s="3003"/>
      <c r="Y155" s="442"/>
      <c r="Z155" s="941"/>
      <c r="AA155" s="1246"/>
      <c r="AB155" s="941"/>
      <c r="AC155" s="941"/>
    </row>
    <row r="156" spans="1:29">
      <c r="A156" s="53">
        <f t="shared" si="10"/>
        <v>2009.03</v>
      </c>
      <c r="B156" s="141">
        <v>192337</v>
      </c>
      <c r="C156" s="2382">
        <f t="shared" si="9"/>
        <v>129060</v>
      </c>
      <c r="D156" s="3504">
        <v>22571</v>
      </c>
      <c r="E156" s="151">
        <v>48848</v>
      </c>
      <c r="F156" s="3504">
        <v>5578</v>
      </c>
      <c r="G156" s="151">
        <v>19762</v>
      </c>
      <c r="H156" s="3504">
        <v>20268</v>
      </c>
      <c r="I156" s="151">
        <v>8219</v>
      </c>
      <c r="J156" s="3504">
        <v>3814</v>
      </c>
      <c r="K156" s="151">
        <v>28654</v>
      </c>
      <c r="L156" s="3504">
        <v>5566</v>
      </c>
      <c r="M156" s="151">
        <v>9041</v>
      </c>
      <c r="N156" s="1396">
        <v>20016</v>
      </c>
      <c r="O156" s="1397"/>
      <c r="P156" s="1398">
        <v>139552</v>
      </c>
      <c r="Q156" s="1398">
        <v>2573083</v>
      </c>
      <c r="R156" s="1602">
        <f t="shared" si="7"/>
        <v>1378.2461018115112</v>
      </c>
      <c r="S156" s="1604">
        <f t="shared" si="8"/>
        <v>74.749629141384091</v>
      </c>
      <c r="T156" s="646"/>
      <c r="U156" s="1982">
        <v>3984448</v>
      </c>
      <c r="V156" s="647"/>
      <c r="W156" s="261"/>
      <c r="X156" s="3003"/>
      <c r="Y156" s="442"/>
      <c r="Z156" s="941"/>
      <c r="AA156" s="1246"/>
      <c r="AB156" s="941"/>
      <c r="AC156" s="941"/>
    </row>
    <row r="157" spans="1:29">
      <c r="A157" s="53">
        <f t="shared" si="10"/>
        <v>2009.04</v>
      </c>
      <c r="B157" s="141">
        <v>195711</v>
      </c>
      <c r="C157" s="2382">
        <f t="shared" si="9"/>
        <v>132833</v>
      </c>
      <c r="D157" s="3504">
        <v>22409</v>
      </c>
      <c r="E157" s="151">
        <v>52968</v>
      </c>
      <c r="F157" s="3504">
        <v>5826</v>
      </c>
      <c r="G157" s="151">
        <v>19377</v>
      </c>
      <c r="H157" s="3504">
        <v>20843</v>
      </c>
      <c r="I157" s="151">
        <v>7677</v>
      </c>
      <c r="J157" s="3504">
        <v>3733</v>
      </c>
      <c r="K157" s="151">
        <v>27588</v>
      </c>
      <c r="L157" s="3504">
        <v>6180</v>
      </c>
      <c r="M157" s="151">
        <v>8314</v>
      </c>
      <c r="N157" s="1396">
        <v>20796</v>
      </c>
      <c r="O157" s="1397"/>
      <c r="P157" s="1398">
        <v>139552</v>
      </c>
      <c r="Q157" s="1398">
        <v>2566700</v>
      </c>
      <c r="R157" s="1602">
        <f t="shared" si="7"/>
        <v>1402.4234693877552</v>
      </c>
      <c r="S157" s="1604">
        <f t="shared" si="8"/>
        <v>76.250048700666227</v>
      </c>
      <c r="T157" s="646"/>
      <c r="U157" s="1982">
        <v>3970675</v>
      </c>
      <c r="V157" s="647"/>
      <c r="W157" s="261"/>
      <c r="X157" s="3003"/>
      <c r="Y157" s="442"/>
      <c r="Z157" s="941"/>
      <c r="AA157" s="1246"/>
      <c r="AB157" s="941"/>
      <c r="AC157" s="941"/>
    </row>
    <row r="158" spans="1:29">
      <c r="A158" s="53">
        <f t="shared" si="10"/>
        <v>2009.05</v>
      </c>
      <c r="B158" s="141">
        <v>202809</v>
      </c>
      <c r="C158" s="2382">
        <f t="shared" si="9"/>
        <v>132798</v>
      </c>
      <c r="D158" s="3504">
        <v>22561</v>
      </c>
      <c r="E158" s="151">
        <v>52973</v>
      </c>
      <c r="F158" s="3504">
        <v>6009</v>
      </c>
      <c r="G158" s="151">
        <v>19786</v>
      </c>
      <c r="H158" s="3504">
        <v>20293</v>
      </c>
      <c r="I158" s="151">
        <v>7352</v>
      </c>
      <c r="J158" s="3504">
        <v>3824</v>
      </c>
      <c r="K158" s="151">
        <v>30623</v>
      </c>
      <c r="L158" s="3504">
        <v>8264</v>
      </c>
      <c r="M158" s="151">
        <v>11095</v>
      </c>
      <c r="N158" s="1396">
        <v>20029</v>
      </c>
      <c r="O158" s="1397"/>
      <c r="P158" s="1398">
        <v>139552</v>
      </c>
      <c r="Q158" s="1398">
        <v>2575809</v>
      </c>
      <c r="R158" s="1602">
        <f t="shared" si="7"/>
        <v>1453.2862302224262</v>
      </c>
      <c r="S158" s="1604">
        <f t="shared" si="8"/>
        <v>78.736039822828474</v>
      </c>
      <c r="T158" s="646"/>
      <c r="U158" s="1982">
        <v>4024766</v>
      </c>
      <c r="V158" s="647"/>
      <c r="W158" s="261"/>
      <c r="X158" s="3003"/>
      <c r="Y158" s="442"/>
      <c r="Z158" s="941"/>
      <c r="AA158" s="1246"/>
      <c r="AB158" s="941"/>
      <c r="AC158" s="941"/>
    </row>
    <row r="159" spans="1:29">
      <c r="A159" s="53">
        <f t="shared" si="10"/>
        <v>2009.06</v>
      </c>
      <c r="B159" s="141">
        <v>199916</v>
      </c>
      <c r="C159" s="2382">
        <f t="shared" si="9"/>
        <v>131518</v>
      </c>
      <c r="D159" s="3504">
        <v>22208</v>
      </c>
      <c r="E159" s="151">
        <v>53642</v>
      </c>
      <c r="F159" s="3504">
        <v>6060</v>
      </c>
      <c r="G159" s="151">
        <v>19344</v>
      </c>
      <c r="H159" s="3504">
        <v>19551</v>
      </c>
      <c r="I159" s="151">
        <v>7269</v>
      </c>
      <c r="J159" s="3504">
        <v>3444</v>
      </c>
      <c r="K159" s="151">
        <v>29182</v>
      </c>
      <c r="L159" s="3504">
        <v>8113</v>
      </c>
      <c r="M159" s="151">
        <v>12387</v>
      </c>
      <c r="N159" s="1396">
        <v>18716</v>
      </c>
      <c r="O159" s="1397"/>
      <c r="P159" s="1398">
        <v>139552</v>
      </c>
      <c r="Q159" s="1398">
        <v>2512625</v>
      </c>
      <c r="R159" s="1602">
        <f t="shared" si="7"/>
        <v>1432.5556065122678</v>
      </c>
      <c r="S159" s="1604">
        <f t="shared" si="8"/>
        <v>79.56459877618029</v>
      </c>
      <c r="T159" s="646"/>
      <c r="U159" s="1982">
        <v>3907118</v>
      </c>
      <c r="V159" s="647"/>
      <c r="W159" s="261"/>
      <c r="X159" s="3003"/>
      <c r="Y159" s="442"/>
      <c r="Z159" s="941"/>
      <c r="AA159" s="1246"/>
      <c r="AB159" s="941"/>
      <c r="AC159" s="941"/>
    </row>
    <row r="160" spans="1:29">
      <c r="A160" s="53">
        <f t="shared" si="10"/>
        <v>2009.07</v>
      </c>
      <c r="B160" s="141">
        <v>211429</v>
      </c>
      <c r="C160" s="2382">
        <f t="shared" si="9"/>
        <v>138914</v>
      </c>
      <c r="D160" s="3504">
        <v>17658</v>
      </c>
      <c r="E160" s="151">
        <v>62471</v>
      </c>
      <c r="F160" s="3504">
        <v>6179</v>
      </c>
      <c r="G160" s="151">
        <v>20531</v>
      </c>
      <c r="H160" s="3504">
        <v>20513</v>
      </c>
      <c r="I160" s="151">
        <v>7831</v>
      </c>
      <c r="J160" s="3504">
        <v>3731</v>
      </c>
      <c r="K160" s="151">
        <v>31068</v>
      </c>
      <c r="L160" s="3504">
        <v>7551</v>
      </c>
      <c r="M160" s="151">
        <v>12605</v>
      </c>
      <c r="N160" s="1396">
        <v>21291</v>
      </c>
      <c r="O160" s="1397"/>
      <c r="P160" s="1398">
        <v>139552</v>
      </c>
      <c r="Q160" s="1398">
        <v>2587535</v>
      </c>
      <c r="R160" s="1602">
        <f t="shared" si="7"/>
        <v>1515.0553198807613</v>
      </c>
      <c r="S160" s="1604">
        <f t="shared" si="8"/>
        <v>81.71058555729681</v>
      </c>
      <c r="T160" s="646"/>
      <c r="U160" s="1982">
        <v>4253343</v>
      </c>
      <c r="V160" s="647"/>
      <c r="W160" s="261"/>
      <c r="X160" s="3003"/>
      <c r="Y160" s="442"/>
      <c r="Z160" s="941"/>
      <c r="AA160" s="1246"/>
      <c r="AB160" s="941"/>
      <c r="AC160" s="941"/>
    </row>
    <row r="161" spans="1:29">
      <c r="A161" s="53">
        <f t="shared" si="10"/>
        <v>2009.08</v>
      </c>
      <c r="B161" s="141">
        <v>212938</v>
      </c>
      <c r="C161" s="2382">
        <f t="shared" si="9"/>
        <v>139525</v>
      </c>
      <c r="D161" s="3504">
        <v>18418</v>
      </c>
      <c r="E161" s="151">
        <v>60775</v>
      </c>
      <c r="F161" s="3504">
        <v>6356</v>
      </c>
      <c r="G161" s="151">
        <v>20830</v>
      </c>
      <c r="H161" s="3504">
        <v>20523</v>
      </c>
      <c r="I161" s="151">
        <v>8702</v>
      </c>
      <c r="J161" s="3504">
        <v>3921</v>
      </c>
      <c r="K161" s="151">
        <v>31789</v>
      </c>
      <c r="L161" s="3504">
        <v>6546</v>
      </c>
      <c r="M161" s="151">
        <v>11967</v>
      </c>
      <c r="N161" s="1396">
        <v>23111</v>
      </c>
      <c r="O161" s="1397"/>
      <c r="P161" s="1398">
        <v>139552</v>
      </c>
      <c r="Q161" s="1398">
        <v>2647168</v>
      </c>
      <c r="R161" s="1602">
        <f t="shared" si="7"/>
        <v>1525.8684934648018</v>
      </c>
      <c r="S161" s="1604">
        <f t="shared" si="8"/>
        <v>80.439926744354722</v>
      </c>
      <c r="T161" s="646"/>
      <c r="U161" s="1982">
        <v>4247166</v>
      </c>
      <c r="V161" s="647"/>
      <c r="W161" s="261"/>
      <c r="X161" s="3003"/>
      <c r="Y161" s="442"/>
      <c r="Z161" s="941"/>
      <c r="AA161" s="1246"/>
      <c r="AB161" s="941"/>
      <c r="AC161" s="941"/>
    </row>
    <row r="162" spans="1:29">
      <c r="A162" s="53">
        <f t="shared" si="10"/>
        <v>2009.09</v>
      </c>
      <c r="B162" s="141">
        <v>196413</v>
      </c>
      <c r="C162" s="2382">
        <f t="shared" si="9"/>
        <v>122543</v>
      </c>
      <c r="D162" s="3504">
        <v>20219</v>
      </c>
      <c r="E162" s="151">
        <v>48115</v>
      </c>
      <c r="F162" s="3504">
        <v>5507</v>
      </c>
      <c r="G162" s="151">
        <v>18873</v>
      </c>
      <c r="H162" s="3504">
        <v>19025</v>
      </c>
      <c r="I162" s="151">
        <v>7056</v>
      </c>
      <c r="J162" s="3504">
        <v>3748</v>
      </c>
      <c r="K162" s="151">
        <v>26194</v>
      </c>
      <c r="L162" s="3504">
        <v>5453</v>
      </c>
      <c r="M162" s="151">
        <v>10009</v>
      </c>
      <c r="N162" s="1396">
        <v>18885</v>
      </c>
      <c r="O162" s="1397"/>
      <c r="P162" s="1398">
        <v>139552</v>
      </c>
      <c r="Q162" s="1398">
        <v>2461576</v>
      </c>
      <c r="R162" s="1602">
        <f t="shared" si="7"/>
        <v>1407.4538523274477</v>
      </c>
      <c r="S162" s="1604">
        <f t="shared" si="8"/>
        <v>79.791564428642459</v>
      </c>
      <c r="T162" s="646"/>
      <c r="U162" s="1982">
        <v>3951906</v>
      </c>
      <c r="V162" s="647"/>
      <c r="W162" s="261"/>
      <c r="X162" s="3003"/>
      <c r="Y162" s="442"/>
      <c r="Z162" s="941"/>
      <c r="AA162" s="1246"/>
      <c r="AB162" s="941"/>
      <c r="AC162" s="941"/>
    </row>
    <row r="163" spans="1:29">
      <c r="A163" s="53">
        <f t="shared" si="10"/>
        <v>2009.1</v>
      </c>
      <c r="B163" s="141">
        <v>217934</v>
      </c>
      <c r="C163" s="2382">
        <f t="shared" si="9"/>
        <v>142362</v>
      </c>
      <c r="D163" s="3504">
        <v>19992</v>
      </c>
      <c r="E163" s="151">
        <v>60906</v>
      </c>
      <c r="F163" s="3504">
        <v>6219</v>
      </c>
      <c r="G163" s="151">
        <v>21221</v>
      </c>
      <c r="H163" s="3504">
        <v>20874</v>
      </c>
      <c r="I163" s="151">
        <v>9274</v>
      </c>
      <c r="J163" s="3504">
        <v>3876</v>
      </c>
      <c r="K163" s="151">
        <v>32820</v>
      </c>
      <c r="L163" s="3504">
        <v>6515</v>
      </c>
      <c r="M163" s="151">
        <v>14352</v>
      </c>
      <c r="N163" s="1396">
        <v>21885</v>
      </c>
      <c r="O163" s="1397"/>
      <c r="P163" s="1398">
        <v>142652</v>
      </c>
      <c r="Q163" s="1398">
        <v>2612898</v>
      </c>
      <c r="R163" s="1602">
        <f t="shared" si="7"/>
        <v>1527.731822897681</v>
      </c>
      <c r="S163" s="1604">
        <f t="shared" si="8"/>
        <v>83.407006320185488</v>
      </c>
      <c r="T163" s="646"/>
      <c r="U163" s="1982">
        <v>4424209</v>
      </c>
      <c r="V163" s="647"/>
      <c r="W163" s="261"/>
      <c r="X163" s="3003"/>
      <c r="Y163" s="442"/>
      <c r="Z163" s="941"/>
      <c r="AA163" s="1246"/>
      <c r="AB163" s="941"/>
      <c r="AC163" s="941"/>
    </row>
    <row r="164" spans="1:29">
      <c r="A164" s="53">
        <f t="shared" si="10"/>
        <v>2009.11</v>
      </c>
      <c r="B164" s="141">
        <v>217633</v>
      </c>
      <c r="C164" s="2382">
        <f t="shared" si="9"/>
        <v>140539</v>
      </c>
      <c r="D164" s="3504">
        <v>21057</v>
      </c>
      <c r="E164" s="151">
        <v>60924</v>
      </c>
      <c r="F164" s="3504">
        <v>5902</v>
      </c>
      <c r="G164" s="151">
        <v>20384</v>
      </c>
      <c r="H164" s="3504">
        <v>19354</v>
      </c>
      <c r="I164" s="151">
        <v>8991</v>
      </c>
      <c r="J164" s="3504">
        <v>3927</v>
      </c>
      <c r="K164" s="151">
        <v>33777</v>
      </c>
      <c r="L164" s="3504">
        <v>6408</v>
      </c>
      <c r="M164" s="151">
        <v>14223</v>
      </c>
      <c r="N164" s="1396">
        <v>22686</v>
      </c>
      <c r="O164" s="1397"/>
      <c r="P164" s="1398">
        <v>142652</v>
      </c>
      <c r="Q164" s="1398">
        <v>2515994</v>
      </c>
      <c r="R164" s="1602">
        <f t="shared" si="7"/>
        <v>1525.6217928945966</v>
      </c>
      <c r="S164" s="1604">
        <f t="shared" si="8"/>
        <v>86.499808823073508</v>
      </c>
      <c r="T164" s="646"/>
      <c r="U164" s="1982">
        <v>4328338</v>
      </c>
      <c r="V164" s="647"/>
      <c r="W164" s="261"/>
      <c r="X164" s="3003"/>
      <c r="Y164" s="442"/>
      <c r="Z164" s="941"/>
      <c r="AA164" s="1246"/>
      <c r="AB164" s="941"/>
      <c r="AC164" s="941"/>
    </row>
    <row r="165" spans="1:29">
      <c r="A165" s="53">
        <f t="shared" si="10"/>
        <v>2009.12</v>
      </c>
      <c r="B165" s="141">
        <v>278899</v>
      </c>
      <c r="C165" s="2382">
        <f>SUM(D165:J165)</f>
        <v>182871</v>
      </c>
      <c r="D165" s="3504">
        <v>34630</v>
      </c>
      <c r="E165" s="151">
        <v>75881</v>
      </c>
      <c r="F165" s="3504">
        <v>7759</v>
      </c>
      <c r="G165" s="151">
        <v>22236</v>
      </c>
      <c r="H165" s="3504">
        <v>26087</v>
      </c>
      <c r="I165" s="151">
        <v>11314</v>
      </c>
      <c r="J165" s="3504">
        <v>4964</v>
      </c>
      <c r="K165" s="151">
        <v>37258</v>
      </c>
      <c r="L165" s="3504">
        <v>8894</v>
      </c>
      <c r="M165" s="151">
        <v>16603</v>
      </c>
      <c r="N165" s="1396">
        <v>33273</v>
      </c>
      <c r="O165" s="1397"/>
      <c r="P165" s="1398">
        <v>142652</v>
      </c>
      <c r="Q165" s="1398">
        <v>2849203</v>
      </c>
      <c r="R165" s="1602">
        <f t="shared" si="7"/>
        <v>1955.100524352971</v>
      </c>
      <c r="S165" s="1604">
        <f t="shared" si="8"/>
        <v>97.886672167620205</v>
      </c>
      <c r="T165" s="646"/>
      <c r="U165" s="1982">
        <v>5536821</v>
      </c>
      <c r="V165" s="647"/>
      <c r="W165" s="261"/>
      <c r="X165" s="3003"/>
      <c r="Y165" s="442"/>
      <c r="Z165" s="941"/>
      <c r="AA165" s="1246"/>
      <c r="AB165" s="941"/>
      <c r="AC165" s="941"/>
    </row>
    <row r="166" spans="1:29">
      <c r="A166" s="53">
        <f t="shared" si="10"/>
        <v>2010.01</v>
      </c>
      <c r="B166" s="141">
        <v>223861</v>
      </c>
      <c r="C166" s="2382">
        <f t="shared" si="9"/>
        <v>142106</v>
      </c>
      <c r="D166" s="3504">
        <v>22347</v>
      </c>
      <c r="E166" s="151">
        <v>56943</v>
      </c>
      <c r="F166" s="3504">
        <v>5970</v>
      </c>
      <c r="G166" s="151">
        <v>20280</v>
      </c>
      <c r="H166" s="3504">
        <v>22490</v>
      </c>
      <c r="I166" s="151">
        <v>9980</v>
      </c>
      <c r="J166" s="3504">
        <v>4096</v>
      </c>
      <c r="K166" s="151">
        <v>33560</v>
      </c>
      <c r="L166" s="3504">
        <v>6694</v>
      </c>
      <c r="M166" s="151">
        <v>15780</v>
      </c>
      <c r="N166" s="1396">
        <v>25721</v>
      </c>
      <c r="O166" s="1397"/>
      <c r="P166" s="1398">
        <v>142652</v>
      </c>
      <c r="Q166" s="1398">
        <v>2546595</v>
      </c>
      <c r="R166" s="1602">
        <f t="shared" ref="R166:S168" si="11">$B166/P166*1000</f>
        <v>1569.2804867790146</v>
      </c>
      <c r="S166" s="1604">
        <f t="shared" si="11"/>
        <v>87.906007826136474</v>
      </c>
      <c r="T166" s="646"/>
      <c r="U166" s="1982">
        <v>4669607</v>
      </c>
      <c r="V166" s="647"/>
      <c r="W166" s="261"/>
      <c r="X166" s="3003"/>
      <c r="Y166" s="442"/>
      <c r="Z166" s="941"/>
      <c r="AA166" s="1246"/>
      <c r="AB166" s="941"/>
      <c r="AC166" s="941"/>
    </row>
    <row r="167" spans="1:29">
      <c r="A167" s="53">
        <f t="shared" si="10"/>
        <v>2010.02</v>
      </c>
      <c r="B167" s="141">
        <v>217617</v>
      </c>
      <c r="C167" s="2382">
        <f t="shared" si="9"/>
        <v>143437</v>
      </c>
      <c r="D167" s="3504">
        <v>19973</v>
      </c>
      <c r="E167" s="151">
        <v>58992</v>
      </c>
      <c r="F167" s="3504">
        <v>6089</v>
      </c>
      <c r="G167" s="151">
        <v>21288</v>
      </c>
      <c r="H167" s="3504">
        <v>23233</v>
      </c>
      <c r="I167" s="151">
        <v>9876</v>
      </c>
      <c r="J167" s="3504">
        <v>3986</v>
      </c>
      <c r="K167" s="151">
        <v>31682</v>
      </c>
      <c r="L167" s="3504">
        <v>6350</v>
      </c>
      <c r="M167" s="151">
        <v>11472</v>
      </c>
      <c r="N167" s="1396">
        <v>24676</v>
      </c>
      <c r="O167" s="1397"/>
      <c r="P167" s="1398">
        <v>142652</v>
      </c>
      <c r="Q167" s="1398">
        <v>2455343</v>
      </c>
      <c r="R167" s="1602">
        <f t="shared" si="11"/>
        <v>1525.5096318313097</v>
      </c>
      <c r="S167" s="1604">
        <f t="shared" si="11"/>
        <v>88.629979599591579</v>
      </c>
      <c r="T167" s="646"/>
      <c r="U167" s="1982">
        <v>4481016</v>
      </c>
      <c r="V167" s="647"/>
      <c r="W167" s="261"/>
      <c r="X167" s="3003"/>
      <c r="Y167" s="442"/>
      <c r="Z167" s="941"/>
      <c r="AA167" s="1246"/>
      <c r="AB167" s="941"/>
      <c r="AC167" s="941"/>
    </row>
    <row r="168" spans="1:29">
      <c r="A168" s="53">
        <f t="shared" si="10"/>
        <v>2010.03</v>
      </c>
      <c r="B168" s="141">
        <v>242897</v>
      </c>
      <c r="C168" s="2382">
        <f t="shared" si="9"/>
        <v>164255</v>
      </c>
      <c r="D168" s="3504">
        <v>22263</v>
      </c>
      <c r="E168" s="151">
        <v>70677</v>
      </c>
      <c r="F168" s="3504">
        <v>6786</v>
      </c>
      <c r="G168" s="151">
        <v>24104</v>
      </c>
      <c r="H168" s="3504">
        <v>25032</v>
      </c>
      <c r="I168" s="151">
        <v>11042</v>
      </c>
      <c r="J168" s="3504">
        <v>4351</v>
      </c>
      <c r="K168" s="151">
        <v>34623</v>
      </c>
      <c r="L168" s="3504">
        <v>6313</v>
      </c>
      <c r="M168" s="151">
        <v>14317</v>
      </c>
      <c r="N168" s="1396">
        <v>23389</v>
      </c>
      <c r="O168" s="1397"/>
      <c r="P168" s="1398">
        <v>142652</v>
      </c>
      <c r="Q168" s="1398">
        <v>2722007</v>
      </c>
      <c r="R168" s="1602">
        <f t="shared" si="11"/>
        <v>1702.7241118245802</v>
      </c>
      <c r="S168" s="1604">
        <f t="shared" si="11"/>
        <v>89.234524378519225</v>
      </c>
      <c r="T168" s="646"/>
      <c r="U168" s="1982">
        <v>4946662</v>
      </c>
      <c r="V168" s="647"/>
      <c r="W168" s="261"/>
      <c r="X168" s="3003"/>
      <c r="Y168" s="442"/>
      <c r="Z168" s="941"/>
      <c r="AA168" s="1246"/>
      <c r="AB168" s="941"/>
      <c r="AC168" s="941"/>
    </row>
    <row r="169" spans="1:29">
      <c r="A169" s="53">
        <f t="shared" si="10"/>
        <v>2010.04</v>
      </c>
      <c r="B169" s="141">
        <v>246943</v>
      </c>
      <c r="C169" s="2382">
        <f t="shared" si="9"/>
        <v>165920</v>
      </c>
      <c r="D169" s="3504">
        <v>20307</v>
      </c>
      <c r="E169" s="151">
        <v>73528</v>
      </c>
      <c r="F169" s="3504">
        <v>7209</v>
      </c>
      <c r="G169" s="151">
        <v>25203</v>
      </c>
      <c r="H169" s="3504">
        <v>24908</v>
      </c>
      <c r="I169" s="151">
        <v>10301</v>
      </c>
      <c r="J169" s="3504">
        <v>4464</v>
      </c>
      <c r="K169" s="151">
        <v>34473</v>
      </c>
      <c r="L169" s="3504">
        <v>8399</v>
      </c>
      <c r="M169" s="151">
        <v>14701</v>
      </c>
      <c r="N169" s="1396">
        <v>23450</v>
      </c>
      <c r="O169" s="1397"/>
      <c r="P169" s="1398">
        <v>142652</v>
      </c>
      <c r="Q169" s="1398">
        <v>2702226</v>
      </c>
      <c r="R169" s="1602">
        <f t="shared" ref="R169:S232" si="12">$B169/P169*1000</f>
        <v>1731.0868407032499</v>
      </c>
      <c r="S169" s="1604">
        <f t="shared" ref="S169:S232" si="13">$B169/Q169*1000</f>
        <v>91.385028491325286</v>
      </c>
      <c r="T169" s="646"/>
      <c r="U169" s="1982">
        <v>4938943</v>
      </c>
      <c r="V169" s="647"/>
      <c r="W169" s="261"/>
      <c r="X169" s="3003"/>
      <c r="Y169" s="442"/>
      <c r="Z169" s="941"/>
      <c r="AA169" s="1246"/>
      <c r="AB169" s="941"/>
      <c r="AC169" s="941"/>
    </row>
    <row r="170" spans="1:29">
      <c r="A170" s="53">
        <f t="shared" si="10"/>
        <v>2010.05</v>
      </c>
      <c r="B170" s="141">
        <v>266641</v>
      </c>
      <c r="C170" s="2382">
        <f t="shared" si="9"/>
        <v>172100</v>
      </c>
      <c r="D170" s="3504">
        <v>21289</v>
      </c>
      <c r="E170" s="151">
        <v>75934</v>
      </c>
      <c r="F170" s="3504">
        <v>7609</v>
      </c>
      <c r="G170" s="151">
        <v>27162</v>
      </c>
      <c r="H170" s="3504">
        <v>25417</v>
      </c>
      <c r="I170" s="151">
        <v>9659</v>
      </c>
      <c r="J170" s="3504">
        <v>5030</v>
      </c>
      <c r="K170" s="151">
        <v>36375</v>
      </c>
      <c r="L170" s="3504">
        <v>10041</v>
      </c>
      <c r="M170" s="151">
        <v>22222</v>
      </c>
      <c r="N170" s="1396">
        <v>25903</v>
      </c>
      <c r="O170" s="1397"/>
      <c r="P170" s="1398">
        <v>142652</v>
      </c>
      <c r="Q170" s="1398">
        <v>2736297</v>
      </c>
      <c r="R170" s="1602">
        <f t="shared" si="12"/>
        <v>1869.1711297423099</v>
      </c>
      <c r="S170" s="1604">
        <f t="shared" si="13"/>
        <v>97.445927836049961</v>
      </c>
      <c r="T170" s="646"/>
      <c r="U170" s="1982">
        <v>5215448</v>
      </c>
      <c r="V170" s="647"/>
      <c r="W170" s="261"/>
      <c r="X170" s="3003"/>
      <c r="Y170" s="442"/>
      <c r="Z170" s="941"/>
      <c r="AA170" s="1246"/>
      <c r="AB170" s="941"/>
      <c r="AC170" s="941"/>
    </row>
    <row r="171" spans="1:29">
      <c r="A171" s="53">
        <f t="shared" si="10"/>
        <v>2010.06</v>
      </c>
      <c r="B171" s="141">
        <v>263319</v>
      </c>
      <c r="C171" s="2382">
        <f t="shared" si="9"/>
        <v>176128</v>
      </c>
      <c r="D171" s="3504">
        <v>20420</v>
      </c>
      <c r="E171" s="151">
        <v>80936</v>
      </c>
      <c r="F171" s="3504">
        <v>7721</v>
      </c>
      <c r="G171" s="151">
        <v>26531</v>
      </c>
      <c r="H171" s="3504">
        <v>26208</v>
      </c>
      <c r="I171" s="151">
        <v>9265</v>
      </c>
      <c r="J171" s="3504">
        <v>5047</v>
      </c>
      <c r="K171" s="151">
        <v>34623</v>
      </c>
      <c r="L171" s="3504">
        <v>9180</v>
      </c>
      <c r="M171" s="151">
        <v>20337</v>
      </c>
      <c r="N171" s="1396">
        <v>23051</v>
      </c>
      <c r="O171" s="1397"/>
      <c r="P171" s="1398">
        <v>142652</v>
      </c>
      <c r="Q171" s="1398">
        <v>2677328</v>
      </c>
      <c r="R171" s="1602">
        <f t="shared" si="12"/>
        <v>1845.8836889773715</v>
      </c>
      <c r="S171" s="1604">
        <f t="shared" si="13"/>
        <v>98.351416038677371</v>
      </c>
      <c r="T171" s="646"/>
      <c r="U171" s="1982">
        <v>5171277</v>
      </c>
      <c r="V171" s="647"/>
      <c r="W171" s="261"/>
      <c r="X171" s="3003"/>
      <c r="Y171" s="442"/>
      <c r="Z171" s="941"/>
      <c r="AA171" s="1246"/>
      <c r="AB171" s="941"/>
      <c r="AC171" s="941"/>
    </row>
    <row r="172" spans="1:29">
      <c r="A172" s="53">
        <f t="shared" si="10"/>
        <v>2010.07</v>
      </c>
      <c r="B172" s="141">
        <v>282109</v>
      </c>
      <c r="C172" s="2382">
        <f t="shared" si="9"/>
        <v>183338</v>
      </c>
      <c r="D172" s="3504">
        <v>22302</v>
      </c>
      <c r="E172" s="151">
        <v>83961</v>
      </c>
      <c r="F172" s="3504">
        <v>8493</v>
      </c>
      <c r="G172" s="151">
        <v>28131</v>
      </c>
      <c r="H172" s="3504">
        <v>26011</v>
      </c>
      <c r="I172" s="151">
        <v>8973</v>
      </c>
      <c r="J172" s="3504">
        <v>5467</v>
      </c>
      <c r="K172" s="151">
        <v>39502</v>
      </c>
      <c r="L172" s="3504">
        <v>10603</v>
      </c>
      <c r="M172" s="151">
        <v>19663</v>
      </c>
      <c r="N172" s="1396">
        <v>29003</v>
      </c>
      <c r="O172" s="1397"/>
      <c r="P172" s="1398">
        <v>142652</v>
      </c>
      <c r="Q172" s="1398">
        <v>2758274</v>
      </c>
      <c r="R172" s="1602">
        <f t="shared" si="12"/>
        <v>1977.6028376749011</v>
      </c>
      <c r="S172" s="1604">
        <f t="shared" si="13"/>
        <v>102.2773662079982</v>
      </c>
      <c r="T172" s="646"/>
      <c r="U172" s="1982">
        <v>5511210</v>
      </c>
      <c r="V172" s="647"/>
      <c r="W172" s="261"/>
      <c r="X172" s="3003"/>
      <c r="Y172" s="442"/>
      <c r="Z172" s="941"/>
      <c r="AA172" s="1246"/>
      <c r="AB172" s="941"/>
      <c r="AC172" s="941"/>
    </row>
    <row r="173" spans="1:29">
      <c r="A173" s="53">
        <f t="shared" si="10"/>
        <v>2010.08</v>
      </c>
      <c r="B173" s="141">
        <v>271253</v>
      </c>
      <c r="C173" s="2382">
        <f t="shared" si="9"/>
        <v>175430</v>
      </c>
      <c r="D173" s="3504">
        <v>21545</v>
      </c>
      <c r="E173" s="151">
        <v>77397</v>
      </c>
      <c r="F173" s="3504">
        <v>8369</v>
      </c>
      <c r="G173" s="151">
        <v>27794</v>
      </c>
      <c r="H173" s="3504">
        <v>25392</v>
      </c>
      <c r="I173" s="151">
        <v>9413</v>
      </c>
      <c r="J173" s="3504">
        <v>5520</v>
      </c>
      <c r="K173" s="151">
        <v>38893</v>
      </c>
      <c r="L173" s="3504">
        <v>8694</v>
      </c>
      <c r="M173" s="151">
        <v>17337</v>
      </c>
      <c r="N173" s="1396">
        <v>30899</v>
      </c>
      <c r="O173" s="1397"/>
      <c r="P173" s="1398">
        <v>142652</v>
      </c>
      <c r="Q173" s="1398">
        <v>2710612</v>
      </c>
      <c r="R173" s="1602">
        <f t="shared" si="12"/>
        <v>1901.501556234753</v>
      </c>
      <c r="S173" s="1604">
        <f t="shared" si="13"/>
        <v>100.07075892824203</v>
      </c>
      <c r="T173" s="646"/>
      <c r="U173" s="1982">
        <v>5419675</v>
      </c>
      <c r="V173" s="647"/>
      <c r="W173" s="261"/>
      <c r="X173" s="3003"/>
      <c r="Y173" s="442"/>
      <c r="Z173" s="941"/>
      <c r="AA173" s="1246"/>
      <c r="AB173" s="941"/>
      <c r="AC173" s="941"/>
    </row>
    <row r="174" spans="1:29">
      <c r="A174" s="53">
        <f t="shared" si="10"/>
        <v>2010.09</v>
      </c>
      <c r="B174" s="141">
        <v>264690</v>
      </c>
      <c r="C174" s="2382">
        <f t="shared" si="9"/>
        <v>175699</v>
      </c>
      <c r="D174" s="3504">
        <v>22506</v>
      </c>
      <c r="E174" s="151">
        <v>78844</v>
      </c>
      <c r="F174" s="3504">
        <v>8033</v>
      </c>
      <c r="G174" s="151">
        <v>26750</v>
      </c>
      <c r="H174" s="3504">
        <v>25112</v>
      </c>
      <c r="I174" s="151">
        <v>9277</v>
      </c>
      <c r="J174" s="3504">
        <v>5177</v>
      </c>
      <c r="K174" s="151">
        <v>38696</v>
      </c>
      <c r="L174" s="3504">
        <v>7359</v>
      </c>
      <c r="M174" s="151">
        <v>15570</v>
      </c>
      <c r="N174" s="1396">
        <v>27366</v>
      </c>
      <c r="O174" s="1397"/>
      <c r="P174" s="1398">
        <v>142652</v>
      </c>
      <c r="Q174" s="1398">
        <v>2540386</v>
      </c>
      <c r="R174" s="1602">
        <f t="shared" si="12"/>
        <v>1855.4944900877661</v>
      </c>
      <c r="S174" s="1604">
        <f t="shared" si="13"/>
        <v>104.19282738922352</v>
      </c>
      <c r="T174" s="646"/>
      <c r="U174" s="1982">
        <v>5220043</v>
      </c>
      <c r="V174" s="647"/>
      <c r="W174" s="261"/>
      <c r="X174" s="3003"/>
      <c r="Y174" s="442"/>
      <c r="Z174" s="941"/>
      <c r="AA174" s="1246"/>
      <c r="AB174" s="941"/>
      <c r="AC174" s="941"/>
    </row>
    <row r="175" spans="1:29">
      <c r="A175" s="53">
        <f t="shared" si="10"/>
        <v>2010.1</v>
      </c>
      <c r="B175" s="141">
        <v>291519</v>
      </c>
      <c r="C175" s="2382">
        <f t="shared" si="9"/>
        <v>187034</v>
      </c>
      <c r="D175" s="3504">
        <v>24966</v>
      </c>
      <c r="E175" s="151">
        <v>80743</v>
      </c>
      <c r="F175" s="3504">
        <v>8815</v>
      </c>
      <c r="G175" s="151">
        <v>28307</v>
      </c>
      <c r="H175" s="3504">
        <v>28185</v>
      </c>
      <c r="I175" s="151">
        <v>10457</v>
      </c>
      <c r="J175" s="3504">
        <v>5561</v>
      </c>
      <c r="K175" s="151">
        <v>41580</v>
      </c>
      <c r="L175" s="3504">
        <v>8768</v>
      </c>
      <c r="M175" s="151">
        <v>22537</v>
      </c>
      <c r="N175" s="1396">
        <v>31600</v>
      </c>
      <c r="O175" s="1397"/>
      <c r="P175" s="1398">
        <v>142652</v>
      </c>
      <c r="Q175" s="1398">
        <v>2693572</v>
      </c>
      <c r="R175" s="1602">
        <f t="shared" si="12"/>
        <v>2043.5675630204973</v>
      </c>
      <c r="S175" s="1604">
        <f t="shared" si="13"/>
        <v>108.22766200420854</v>
      </c>
      <c r="T175" s="646"/>
      <c r="U175" s="1982">
        <v>5841716</v>
      </c>
      <c r="V175" s="647"/>
      <c r="W175" s="261"/>
      <c r="X175" s="3003"/>
      <c r="Y175" s="442"/>
      <c r="Z175" s="941"/>
      <c r="AA175" s="1246"/>
      <c r="AB175" s="941"/>
      <c r="AC175" s="941"/>
    </row>
    <row r="176" spans="1:29">
      <c r="A176" s="53">
        <f t="shared" si="10"/>
        <v>2010.11</v>
      </c>
      <c r="B176" s="141">
        <v>281152</v>
      </c>
      <c r="C176" s="2382">
        <f t="shared" si="9"/>
        <v>181779</v>
      </c>
      <c r="D176" s="3504">
        <v>26167</v>
      </c>
      <c r="E176" s="151">
        <v>78562</v>
      </c>
      <c r="F176" s="3504">
        <v>7987</v>
      </c>
      <c r="G176" s="151">
        <v>26427</v>
      </c>
      <c r="H176" s="3504">
        <v>27301</v>
      </c>
      <c r="I176" s="151">
        <v>9847</v>
      </c>
      <c r="J176" s="3504">
        <v>5488</v>
      </c>
      <c r="K176" s="151">
        <v>40638</v>
      </c>
      <c r="L176" s="3504">
        <v>8439</v>
      </c>
      <c r="M176" s="151">
        <v>19267</v>
      </c>
      <c r="N176" s="1396">
        <v>31029</v>
      </c>
      <c r="O176" s="1397"/>
      <c r="P176" s="1398">
        <v>142652</v>
      </c>
      <c r="Q176" s="1398">
        <v>2570129</v>
      </c>
      <c r="R176" s="1602">
        <f t="shared" si="12"/>
        <v>1970.8942040770548</v>
      </c>
      <c r="S176" s="1604">
        <f t="shared" si="13"/>
        <v>109.39217447840167</v>
      </c>
      <c r="T176" s="646"/>
      <c r="U176" s="1982">
        <v>5627853</v>
      </c>
      <c r="V176" s="647"/>
      <c r="W176" s="261"/>
      <c r="X176" s="3003"/>
      <c r="Y176" s="442"/>
      <c r="Z176" s="941"/>
      <c r="AA176" s="1246"/>
      <c r="AB176" s="941"/>
      <c r="AC176" s="941"/>
    </row>
    <row r="177" spans="1:29">
      <c r="A177" s="53">
        <f t="shared" si="10"/>
        <v>2010.12</v>
      </c>
      <c r="B177" s="141">
        <v>379521</v>
      </c>
      <c r="C177" s="2382">
        <f t="shared" si="9"/>
        <v>237759</v>
      </c>
      <c r="D177" s="3504">
        <v>47191</v>
      </c>
      <c r="E177" s="151">
        <v>99218</v>
      </c>
      <c r="F177" s="3504">
        <v>9971</v>
      </c>
      <c r="G177" s="151">
        <v>28754</v>
      </c>
      <c r="H177" s="3504">
        <v>34000</v>
      </c>
      <c r="I177" s="151">
        <v>11840</v>
      </c>
      <c r="J177" s="3504">
        <v>6785</v>
      </c>
      <c r="K177" s="151">
        <v>46977</v>
      </c>
      <c r="L177" s="3504">
        <v>13603</v>
      </c>
      <c r="M177" s="151">
        <v>30787</v>
      </c>
      <c r="N177" s="1396">
        <v>50395</v>
      </c>
      <c r="O177" s="1397"/>
      <c r="P177" s="1398">
        <v>147775</v>
      </c>
      <c r="Q177" s="1398">
        <v>2994843</v>
      </c>
      <c r="R177" s="1602">
        <f t="shared" si="12"/>
        <v>2568.2354931483674</v>
      </c>
      <c r="S177" s="1604">
        <f t="shared" si="13"/>
        <v>126.72483999995993</v>
      </c>
      <c r="T177" s="646"/>
      <c r="U177" s="1982">
        <v>7448224</v>
      </c>
      <c r="V177" s="647"/>
      <c r="W177" s="261"/>
      <c r="X177" s="3003"/>
      <c r="Y177" s="442"/>
      <c r="Z177" s="941"/>
      <c r="AA177" s="1246"/>
      <c r="AB177" s="941"/>
      <c r="AC177" s="941"/>
    </row>
    <row r="178" spans="1:29">
      <c r="A178" s="53">
        <f t="shared" si="10"/>
        <v>2011.01</v>
      </c>
      <c r="B178" s="141">
        <v>286848</v>
      </c>
      <c r="C178" s="2382">
        <f t="shared" si="9"/>
        <v>170329</v>
      </c>
      <c r="D178" s="3504">
        <v>25194</v>
      </c>
      <c r="E178" s="151">
        <v>72993</v>
      </c>
      <c r="F178" s="3504">
        <v>7196</v>
      </c>
      <c r="G178" s="151">
        <v>23647</v>
      </c>
      <c r="H178" s="3504">
        <v>26319</v>
      </c>
      <c r="I178" s="151">
        <v>10131</v>
      </c>
      <c r="J178" s="3504">
        <v>4849</v>
      </c>
      <c r="K178" s="151">
        <v>43663</v>
      </c>
      <c r="L178" s="3504">
        <v>10296</v>
      </c>
      <c r="M178" s="151">
        <v>24991</v>
      </c>
      <c r="N178" s="1396">
        <v>37569</v>
      </c>
      <c r="O178" s="1397"/>
      <c r="P178" s="1398">
        <v>147775</v>
      </c>
      <c r="Q178" s="1398">
        <v>2531930</v>
      </c>
      <c r="R178" s="1602">
        <f t="shared" si="12"/>
        <v>1941.1131788191508</v>
      </c>
      <c r="S178" s="1604">
        <f t="shared" si="13"/>
        <v>113.29223161777774</v>
      </c>
      <c r="T178" s="646"/>
      <c r="U178" s="1982">
        <v>5992887</v>
      </c>
      <c r="V178" s="647"/>
      <c r="W178" s="261"/>
      <c r="X178" s="3003"/>
      <c r="Y178" s="442"/>
      <c r="Z178" s="941"/>
      <c r="AA178" s="1246"/>
      <c r="AB178" s="941"/>
      <c r="AC178" s="941"/>
    </row>
    <row r="179" spans="1:29">
      <c r="A179" s="53">
        <f t="shared" si="10"/>
        <v>2011.02</v>
      </c>
      <c r="B179" s="141">
        <v>278266</v>
      </c>
      <c r="C179" s="2382">
        <f t="shared" si="9"/>
        <v>174610</v>
      </c>
      <c r="D179" s="3504">
        <v>24687</v>
      </c>
      <c r="E179" s="151">
        <v>70613</v>
      </c>
      <c r="F179" s="3504">
        <v>7957</v>
      </c>
      <c r="G179" s="151">
        <v>27011</v>
      </c>
      <c r="H179" s="3504">
        <v>26733</v>
      </c>
      <c r="I179" s="151">
        <v>11404</v>
      </c>
      <c r="J179" s="3504">
        <v>6205</v>
      </c>
      <c r="K179" s="151">
        <v>41398</v>
      </c>
      <c r="L179" s="3504">
        <v>9898</v>
      </c>
      <c r="M179" s="151">
        <v>17036</v>
      </c>
      <c r="N179" s="1396">
        <v>35324</v>
      </c>
      <c r="O179" s="1397"/>
      <c r="P179" s="1398">
        <v>147775</v>
      </c>
      <c r="Q179" s="1398">
        <v>2519005</v>
      </c>
      <c r="R179" s="1602">
        <f t="shared" si="12"/>
        <v>1883.0384029774996</v>
      </c>
      <c r="S179" s="1604">
        <f t="shared" si="13"/>
        <v>110.46663265852985</v>
      </c>
      <c r="T179" s="646"/>
      <c r="U179" s="1982">
        <v>5631785</v>
      </c>
      <c r="V179" s="647"/>
      <c r="W179" s="261"/>
      <c r="X179" s="3003"/>
      <c r="Y179" s="442"/>
      <c r="Z179" s="941"/>
      <c r="AA179" s="1246"/>
      <c r="AB179" s="941"/>
      <c r="AC179" s="941"/>
    </row>
    <row r="180" spans="1:29">
      <c r="A180" s="53">
        <f t="shared" si="10"/>
        <v>2011.03</v>
      </c>
      <c r="B180" s="141">
        <v>319200</v>
      </c>
      <c r="C180" s="2382">
        <f t="shared" si="9"/>
        <v>205837</v>
      </c>
      <c r="D180" s="3504">
        <v>28823</v>
      </c>
      <c r="E180" s="151">
        <v>86569</v>
      </c>
      <c r="F180" s="3504">
        <v>9056</v>
      </c>
      <c r="G180" s="151">
        <v>31753</v>
      </c>
      <c r="H180" s="3504">
        <v>31442</v>
      </c>
      <c r="I180" s="151">
        <v>11809</v>
      </c>
      <c r="J180" s="3504">
        <v>6385</v>
      </c>
      <c r="K180" s="151">
        <v>47956</v>
      </c>
      <c r="L180" s="3504">
        <v>10835</v>
      </c>
      <c r="M180" s="151">
        <v>20499</v>
      </c>
      <c r="N180" s="1396">
        <v>34073</v>
      </c>
      <c r="O180" s="1397"/>
      <c r="P180" s="1398">
        <v>147775</v>
      </c>
      <c r="Q180" s="1398">
        <v>2772500</v>
      </c>
      <c r="R180" s="1602">
        <f t="shared" si="12"/>
        <v>2160.0406022669599</v>
      </c>
      <c r="S180" s="1604">
        <f t="shared" si="13"/>
        <v>115.1307484220018</v>
      </c>
      <c r="T180" s="646"/>
      <c r="U180" s="1982">
        <v>6314185</v>
      </c>
      <c r="V180" s="647"/>
      <c r="W180" s="261"/>
      <c r="X180" s="3003"/>
      <c r="Y180" s="442"/>
      <c r="Z180" s="941"/>
      <c r="AA180" s="1246"/>
      <c r="AB180" s="941"/>
      <c r="AC180" s="941"/>
    </row>
    <row r="181" spans="1:29">
      <c r="A181" s="53">
        <f t="shared" si="10"/>
        <v>2011.04</v>
      </c>
      <c r="B181" s="141">
        <v>329727</v>
      </c>
      <c r="C181" s="2382">
        <f t="shared" si="9"/>
        <v>216177</v>
      </c>
      <c r="D181" s="3504">
        <v>27457</v>
      </c>
      <c r="E181" s="151">
        <v>96003</v>
      </c>
      <c r="F181" s="3504">
        <v>9551</v>
      </c>
      <c r="G181" s="151">
        <v>33161</v>
      </c>
      <c r="H181" s="3504">
        <v>32020</v>
      </c>
      <c r="I181" s="151">
        <v>10928</v>
      </c>
      <c r="J181" s="3504">
        <v>7057</v>
      </c>
      <c r="K181" s="151">
        <v>48044</v>
      </c>
      <c r="L181" s="3504">
        <v>12798</v>
      </c>
      <c r="M181" s="151">
        <v>19838</v>
      </c>
      <c r="N181" s="1396">
        <v>32870</v>
      </c>
      <c r="O181" s="1397"/>
      <c r="P181" s="1398">
        <v>147775</v>
      </c>
      <c r="Q181" s="1398">
        <v>2722783</v>
      </c>
      <c r="R181" s="1602">
        <f t="shared" si="12"/>
        <v>2231.2772796481136</v>
      </c>
      <c r="S181" s="1604">
        <f t="shared" si="13"/>
        <v>121.09925763455993</v>
      </c>
      <c r="T181" s="646"/>
      <c r="U181" s="1982">
        <v>6502632</v>
      </c>
      <c r="V181" s="647"/>
      <c r="W181" s="261"/>
      <c r="X181" s="3003"/>
      <c r="Y181" s="442"/>
      <c r="Z181" s="941"/>
      <c r="AA181" s="1246"/>
      <c r="AB181" s="941"/>
      <c r="AC181" s="941"/>
    </row>
    <row r="182" spans="1:29">
      <c r="A182" s="53">
        <f t="shared" si="10"/>
        <v>2011.05</v>
      </c>
      <c r="B182" s="141">
        <v>319773</v>
      </c>
      <c r="C182" s="2382">
        <f t="shared" si="9"/>
        <v>203872</v>
      </c>
      <c r="D182" s="3504">
        <v>24488</v>
      </c>
      <c r="E182" s="151">
        <v>90536</v>
      </c>
      <c r="F182" s="3504">
        <v>9434</v>
      </c>
      <c r="G182" s="151">
        <v>32531</v>
      </c>
      <c r="H182" s="3504">
        <v>30099</v>
      </c>
      <c r="I182" s="151">
        <v>10336</v>
      </c>
      <c r="J182" s="3504">
        <v>6448</v>
      </c>
      <c r="K182" s="151">
        <v>46596</v>
      </c>
      <c r="L182" s="3504">
        <v>13954</v>
      </c>
      <c r="M182" s="151">
        <v>22449</v>
      </c>
      <c r="N182" s="1396">
        <v>32902</v>
      </c>
      <c r="O182" s="1397"/>
      <c r="P182" s="1398">
        <v>147775</v>
      </c>
      <c r="Q182" s="1398">
        <v>2631213</v>
      </c>
      <c r="R182" s="1602">
        <f t="shared" si="12"/>
        <v>2163.9181187616309</v>
      </c>
      <c r="S182" s="1604">
        <f t="shared" si="13"/>
        <v>121.53064005080546</v>
      </c>
      <c r="T182" s="646"/>
      <c r="U182" s="1982">
        <v>6304644</v>
      </c>
      <c r="V182" s="647"/>
      <c r="W182" s="261"/>
      <c r="X182" s="3003"/>
      <c r="Y182" s="442"/>
      <c r="Z182" s="941"/>
      <c r="AA182" s="1246"/>
      <c r="AB182" s="941"/>
      <c r="AC182" s="941"/>
    </row>
    <row r="183" spans="1:29">
      <c r="A183" s="53">
        <f t="shared" si="10"/>
        <v>2011.06</v>
      </c>
      <c r="B183" s="141">
        <v>336793</v>
      </c>
      <c r="C183" s="2382">
        <f t="shared" si="9"/>
        <v>213284</v>
      </c>
      <c r="D183" s="3504">
        <v>26381</v>
      </c>
      <c r="E183" s="151">
        <v>95417</v>
      </c>
      <c r="F183" s="3504">
        <v>9857</v>
      </c>
      <c r="G183" s="151">
        <v>33388</v>
      </c>
      <c r="H183" s="3504">
        <v>30667</v>
      </c>
      <c r="I183" s="151">
        <v>10478</v>
      </c>
      <c r="J183" s="3504">
        <v>7096</v>
      </c>
      <c r="K183" s="151">
        <v>46979</v>
      </c>
      <c r="L183" s="3504">
        <v>15507</v>
      </c>
      <c r="M183" s="151">
        <v>26500</v>
      </c>
      <c r="N183" s="1396">
        <v>34523</v>
      </c>
      <c r="O183" s="1397"/>
      <c r="P183" s="1398">
        <v>147775</v>
      </c>
      <c r="Q183" s="1398">
        <v>2665578</v>
      </c>
      <c r="R183" s="1602">
        <f t="shared" si="12"/>
        <v>2279.0932160378957</v>
      </c>
      <c r="S183" s="1604">
        <f t="shared" si="13"/>
        <v>126.3489569616796</v>
      </c>
      <c r="T183" s="646"/>
      <c r="U183" s="1982">
        <v>6568026</v>
      </c>
      <c r="V183" s="647"/>
      <c r="W183" s="261"/>
      <c r="X183" s="3003"/>
      <c r="Y183" s="442"/>
      <c r="Z183" s="941"/>
      <c r="AA183" s="1246"/>
      <c r="AB183" s="941"/>
      <c r="AC183" s="941"/>
    </row>
    <row r="184" spans="1:29">
      <c r="A184" s="53">
        <f t="shared" si="10"/>
        <v>2011.07</v>
      </c>
      <c r="B184" s="141">
        <v>363713</v>
      </c>
      <c r="C184" s="2382">
        <f t="shared" si="9"/>
        <v>229140</v>
      </c>
      <c r="D184" s="3504">
        <v>28406</v>
      </c>
      <c r="E184" s="151">
        <v>102015</v>
      </c>
      <c r="F184" s="3504">
        <v>10990</v>
      </c>
      <c r="G184" s="151">
        <v>35395</v>
      </c>
      <c r="H184" s="3504">
        <v>33406</v>
      </c>
      <c r="I184" s="151">
        <v>11631</v>
      </c>
      <c r="J184" s="3504">
        <v>7297</v>
      </c>
      <c r="K184" s="151">
        <v>51539</v>
      </c>
      <c r="L184" s="3504">
        <v>15672</v>
      </c>
      <c r="M184" s="151">
        <v>27576</v>
      </c>
      <c r="N184" s="1396">
        <v>39786</v>
      </c>
      <c r="O184" s="1397"/>
      <c r="P184" s="1398">
        <v>148919</v>
      </c>
      <c r="Q184" s="1398">
        <v>2731911</v>
      </c>
      <c r="R184" s="1602">
        <f t="shared" si="12"/>
        <v>2442.3545685909789</v>
      </c>
      <c r="S184" s="1604">
        <f t="shared" si="13"/>
        <v>133.1350106207706</v>
      </c>
      <c r="T184" s="646"/>
      <c r="U184" s="1982">
        <v>7181001</v>
      </c>
      <c r="V184" s="647"/>
      <c r="W184" s="261"/>
      <c r="X184" s="3003"/>
      <c r="Y184" s="442"/>
      <c r="Z184" s="941"/>
      <c r="AA184" s="1246"/>
      <c r="AB184" s="941"/>
      <c r="AC184" s="941"/>
    </row>
    <row r="185" spans="1:29">
      <c r="A185" s="53">
        <f t="shared" si="10"/>
        <v>2011.08</v>
      </c>
      <c r="B185" s="141">
        <v>353163</v>
      </c>
      <c r="C185" s="2382">
        <f t="shared" si="9"/>
        <v>222688</v>
      </c>
      <c r="D185" s="3504">
        <v>26487</v>
      </c>
      <c r="E185" s="151">
        <v>98510</v>
      </c>
      <c r="F185" s="3504">
        <v>10719</v>
      </c>
      <c r="G185" s="151">
        <v>34731</v>
      </c>
      <c r="H185" s="3504">
        <v>33203</v>
      </c>
      <c r="I185" s="151">
        <v>12066</v>
      </c>
      <c r="J185" s="3504">
        <v>6972</v>
      </c>
      <c r="K185" s="151">
        <v>49210</v>
      </c>
      <c r="L185" s="3504">
        <v>11910</v>
      </c>
      <c r="M185" s="151">
        <v>26811</v>
      </c>
      <c r="N185" s="1396">
        <v>42544</v>
      </c>
      <c r="O185" s="1397"/>
      <c r="P185" s="1398">
        <v>148919</v>
      </c>
      <c r="Q185" s="1398">
        <v>2678018</v>
      </c>
      <c r="R185" s="1602">
        <f t="shared" si="12"/>
        <v>2371.5106870177751</v>
      </c>
      <c r="S185" s="1604">
        <f t="shared" si="13"/>
        <v>131.87476708521004</v>
      </c>
      <c r="T185" s="646"/>
      <c r="U185" s="1982">
        <v>6995383</v>
      </c>
      <c r="V185" s="647"/>
      <c r="W185" s="261"/>
      <c r="X185" s="3003"/>
      <c r="Y185" s="442"/>
      <c r="Z185" s="941"/>
      <c r="AA185" s="1246"/>
      <c r="AB185" s="941"/>
      <c r="AC185" s="941"/>
    </row>
    <row r="186" spans="1:29">
      <c r="A186" s="53">
        <f t="shared" si="10"/>
        <v>2011.09</v>
      </c>
      <c r="B186" s="141">
        <v>343658</v>
      </c>
      <c r="C186" s="2382">
        <f t="shared" si="9"/>
        <v>222138</v>
      </c>
      <c r="D186" s="3504">
        <v>28225</v>
      </c>
      <c r="E186" s="151">
        <v>96229</v>
      </c>
      <c r="F186" s="3504">
        <v>10232</v>
      </c>
      <c r="G186" s="151">
        <v>34899</v>
      </c>
      <c r="H186" s="3504">
        <v>32968</v>
      </c>
      <c r="I186" s="151">
        <v>12771</v>
      </c>
      <c r="J186" s="3504">
        <v>6814</v>
      </c>
      <c r="K186" s="151">
        <v>51469</v>
      </c>
      <c r="L186" s="3504">
        <v>11487</v>
      </c>
      <c r="M186" s="151">
        <v>22469</v>
      </c>
      <c r="N186" s="1396">
        <v>36095</v>
      </c>
      <c r="O186" s="1397"/>
      <c r="P186" s="1398">
        <v>148714</v>
      </c>
      <c r="Q186" s="1398">
        <v>2633007</v>
      </c>
      <c r="R186" s="1602">
        <f t="shared" si="12"/>
        <v>2310.8651505574458</v>
      </c>
      <c r="S186" s="1604">
        <f t="shared" si="13"/>
        <v>130.51921244417505</v>
      </c>
      <c r="T186" s="646"/>
      <c r="U186" s="1982">
        <v>6810108</v>
      </c>
      <c r="V186" s="647"/>
      <c r="W186" s="261"/>
      <c r="X186" s="3003"/>
      <c r="Y186" s="442"/>
      <c r="Z186" s="941"/>
      <c r="AA186" s="1246"/>
      <c r="AB186" s="941"/>
      <c r="AC186" s="941"/>
    </row>
    <row r="187" spans="1:29">
      <c r="A187" s="53">
        <f t="shared" si="10"/>
        <v>2011.1</v>
      </c>
      <c r="B187" s="141">
        <v>375142</v>
      </c>
      <c r="C187" s="2382">
        <f t="shared" si="9"/>
        <v>231257</v>
      </c>
      <c r="D187" s="3504">
        <v>29755</v>
      </c>
      <c r="E187" s="151">
        <v>97927</v>
      </c>
      <c r="F187" s="3504">
        <v>10941</v>
      </c>
      <c r="G187" s="151">
        <v>36423</v>
      </c>
      <c r="H187" s="3504">
        <v>35346</v>
      </c>
      <c r="I187" s="151">
        <v>13496</v>
      </c>
      <c r="J187" s="3504">
        <v>7369</v>
      </c>
      <c r="K187" s="151">
        <v>55045</v>
      </c>
      <c r="L187" s="3504">
        <v>13187</v>
      </c>
      <c r="M187" s="151">
        <v>31526</v>
      </c>
      <c r="N187" s="1396">
        <v>44127</v>
      </c>
      <c r="O187" s="1397"/>
      <c r="P187" s="1398">
        <v>148714</v>
      </c>
      <c r="Q187" s="1398">
        <v>2643919</v>
      </c>
      <c r="R187" s="1602">
        <f t="shared" si="12"/>
        <v>2522.5735304006348</v>
      </c>
      <c r="S187" s="1604">
        <f t="shared" si="13"/>
        <v>141.88861307778339</v>
      </c>
      <c r="T187" s="646"/>
      <c r="U187" s="1982">
        <v>7418351</v>
      </c>
      <c r="V187" s="647"/>
      <c r="W187" s="261"/>
      <c r="X187" s="3003"/>
      <c r="Y187" s="442"/>
      <c r="Z187" s="941"/>
      <c r="AA187" s="1246"/>
      <c r="AB187" s="941"/>
      <c r="AC187" s="941"/>
    </row>
    <row r="188" spans="1:29">
      <c r="A188" s="53">
        <f t="shared" si="10"/>
        <v>2011.11</v>
      </c>
      <c r="B188" s="141">
        <v>369965</v>
      </c>
      <c r="C188" s="2382">
        <f t="shared" si="9"/>
        <v>227564</v>
      </c>
      <c r="D188" s="3504">
        <v>33866</v>
      </c>
      <c r="E188" s="151">
        <v>95919</v>
      </c>
      <c r="F188" s="3504">
        <v>10160</v>
      </c>
      <c r="G188" s="151">
        <v>33985</v>
      </c>
      <c r="H188" s="3504">
        <v>33064</v>
      </c>
      <c r="I188" s="151">
        <v>13894</v>
      </c>
      <c r="J188" s="3504">
        <v>6676</v>
      </c>
      <c r="K188" s="151">
        <v>54181</v>
      </c>
      <c r="L188" s="3504">
        <v>12223</v>
      </c>
      <c r="M188" s="151">
        <v>31144</v>
      </c>
      <c r="N188" s="1396">
        <v>44853</v>
      </c>
      <c r="O188" s="1397"/>
      <c r="P188" s="1398">
        <v>148714</v>
      </c>
      <c r="Q188" s="1398">
        <v>2647968</v>
      </c>
      <c r="R188" s="1602">
        <f t="shared" si="12"/>
        <v>2487.7617440187205</v>
      </c>
      <c r="S188" s="1604">
        <f t="shared" si="13"/>
        <v>139.71656757181356</v>
      </c>
      <c r="T188" s="646"/>
      <c r="U188" s="1982">
        <v>7335712</v>
      </c>
      <c r="V188" s="647"/>
      <c r="W188" s="261"/>
      <c r="X188" s="3003"/>
      <c r="Y188" s="442"/>
      <c r="Z188" s="941"/>
      <c r="AA188" s="1246"/>
      <c r="AB188" s="941"/>
      <c r="AC188" s="941"/>
    </row>
    <row r="189" spans="1:29">
      <c r="A189" s="53">
        <f t="shared" si="10"/>
        <v>2011.12</v>
      </c>
      <c r="B189" s="141">
        <v>463126</v>
      </c>
      <c r="C189" s="2382">
        <f t="shared" si="9"/>
        <v>288308</v>
      </c>
      <c r="D189" s="3504">
        <v>54895</v>
      </c>
      <c r="E189" s="151">
        <v>120175</v>
      </c>
      <c r="F189" s="3504">
        <v>13606</v>
      </c>
      <c r="G189" s="151">
        <v>35485</v>
      </c>
      <c r="H189" s="3504">
        <v>39561</v>
      </c>
      <c r="I189" s="151">
        <v>16914</v>
      </c>
      <c r="J189" s="3504">
        <v>7672</v>
      </c>
      <c r="K189" s="151">
        <v>59152</v>
      </c>
      <c r="L189" s="3504">
        <v>16328</v>
      </c>
      <c r="M189" s="151">
        <v>35055</v>
      </c>
      <c r="N189" s="1396">
        <v>64283</v>
      </c>
      <c r="O189" s="1397"/>
      <c r="P189" s="1398">
        <v>148714</v>
      </c>
      <c r="Q189" s="1398">
        <v>2988021</v>
      </c>
      <c r="R189" s="1602">
        <f t="shared" si="12"/>
        <v>3114.2057909813466</v>
      </c>
      <c r="S189" s="1604">
        <f t="shared" si="13"/>
        <v>154.99422527485584</v>
      </c>
      <c r="T189" s="646"/>
      <c r="U189" s="1982">
        <v>9277338</v>
      </c>
      <c r="V189" s="647"/>
      <c r="W189" s="261"/>
      <c r="X189" s="3003"/>
      <c r="Y189" s="442"/>
      <c r="Z189" s="941"/>
      <c r="AA189" s="1246"/>
      <c r="AB189" s="941"/>
      <c r="AC189" s="941"/>
    </row>
    <row r="190" spans="1:29">
      <c r="A190" s="53">
        <f t="shared" si="10"/>
        <v>2012.01</v>
      </c>
      <c r="B190" s="141">
        <v>376606</v>
      </c>
      <c r="C190" s="2382">
        <f t="shared" ref="C190:C237" si="14">SUM(D190:J190)</f>
        <v>227842</v>
      </c>
      <c r="D190" s="3504">
        <v>34632</v>
      </c>
      <c r="E190" s="151">
        <v>95699</v>
      </c>
      <c r="F190" s="3504">
        <v>10344</v>
      </c>
      <c r="G190" s="151">
        <v>32694</v>
      </c>
      <c r="H190" s="3504">
        <v>32774</v>
      </c>
      <c r="I190" s="151">
        <v>15140</v>
      </c>
      <c r="J190" s="3504">
        <v>6559</v>
      </c>
      <c r="K190" s="151">
        <v>55118</v>
      </c>
      <c r="L190" s="3504">
        <v>13220</v>
      </c>
      <c r="M190" s="151">
        <v>31496</v>
      </c>
      <c r="N190" s="1396">
        <v>48930</v>
      </c>
      <c r="O190" s="1397"/>
      <c r="P190" s="1398">
        <v>148714</v>
      </c>
      <c r="Q190" s="1398">
        <v>2609242</v>
      </c>
      <c r="R190" s="1602">
        <f t="shared" si="12"/>
        <v>2532.4179297174442</v>
      </c>
      <c r="S190" s="1604">
        <f t="shared" si="13"/>
        <v>144.33540468841142</v>
      </c>
      <c r="T190" s="646"/>
      <c r="U190" s="1982">
        <v>7630134</v>
      </c>
      <c r="V190" s="647"/>
      <c r="W190" s="261"/>
      <c r="X190" s="3003"/>
      <c r="Y190" s="442"/>
      <c r="Z190" s="941"/>
      <c r="AA190" s="1246"/>
      <c r="AB190" s="941"/>
      <c r="AC190" s="941"/>
    </row>
    <row r="191" spans="1:29">
      <c r="A191" s="53">
        <f t="shared" si="10"/>
        <v>2012.02</v>
      </c>
      <c r="B191" s="141">
        <v>375650</v>
      </c>
      <c r="C191" s="2382">
        <f t="shared" si="14"/>
        <v>233334</v>
      </c>
      <c r="D191" s="3504">
        <v>33861</v>
      </c>
      <c r="E191" s="151">
        <v>96911</v>
      </c>
      <c r="F191" s="3504">
        <v>10983</v>
      </c>
      <c r="G191" s="151">
        <v>34723</v>
      </c>
      <c r="H191" s="3504">
        <v>34194</v>
      </c>
      <c r="I191" s="151">
        <v>15603</v>
      </c>
      <c r="J191" s="3504">
        <v>7059</v>
      </c>
      <c r="K191" s="151">
        <v>54654</v>
      </c>
      <c r="L191" s="3504">
        <v>13380</v>
      </c>
      <c r="M191" s="151">
        <v>25546</v>
      </c>
      <c r="N191" s="1396">
        <v>48736</v>
      </c>
      <c r="O191" s="1397"/>
      <c r="P191" s="1398">
        <v>148714</v>
      </c>
      <c r="Q191" s="1398">
        <v>2608949</v>
      </c>
      <c r="R191" s="1602">
        <f t="shared" si="12"/>
        <v>2525.9894831690358</v>
      </c>
      <c r="S191" s="1604">
        <f t="shared" si="13"/>
        <v>143.98518330561464</v>
      </c>
      <c r="T191" s="646"/>
      <c r="U191" s="1982">
        <v>7529642</v>
      </c>
      <c r="V191" s="647"/>
      <c r="W191" s="261"/>
      <c r="X191" s="3003"/>
      <c r="Y191" s="442"/>
      <c r="Z191" s="941"/>
      <c r="AA191" s="1246"/>
      <c r="AB191" s="941"/>
      <c r="AC191" s="941"/>
    </row>
    <row r="192" spans="1:29">
      <c r="A192" s="53">
        <f t="shared" si="10"/>
        <v>2012.03</v>
      </c>
      <c r="B192" s="141">
        <v>402235</v>
      </c>
      <c r="C192" s="2382">
        <f t="shared" si="14"/>
        <v>262005</v>
      </c>
      <c r="D192" s="3504">
        <v>34732</v>
      </c>
      <c r="E192" s="151">
        <v>112923</v>
      </c>
      <c r="F192" s="3504">
        <v>12086</v>
      </c>
      <c r="G192" s="151">
        <v>39507</v>
      </c>
      <c r="H192" s="3504">
        <v>38456</v>
      </c>
      <c r="I192" s="151">
        <v>16831</v>
      </c>
      <c r="J192" s="3504">
        <v>7470</v>
      </c>
      <c r="K192" s="151">
        <v>59768</v>
      </c>
      <c r="L192" s="3504">
        <v>12727</v>
      </c>
      <c r="M192" s="151">
        <v>26585</v>
      </c>
      <c r="N192" s="1396">
        <v>41150</v>
      </c>
      <c r="O192" s="1397"/>
      <c r="P192" s="1398">
        <v>148714</v>
      </c>
      <c r="Q192" s="1398">
        <v>2738599</v>
      </c>
      <c r="R192" s="1602">
        <f t="shared" si="12"/>
        <v>2704.7554366098689</v>
      </c>
      <c r="S192" s="1604">
        <f t="shared" si="13"/>
        <v>146.87619472584339</v>
      </c>
      <c r="T192" s="646"/>
      <c r="U192" s="1982">
        <v>8051017</v>
      </c>
      <c r="V192" s="647"/>
      <c r="W192" s="261"/>
      <c r="X192" s="3003"/>
      <c r="Y192" s="442"/>
      <c r="Z192" s="941"/>
      <c r="AA192" s="1246"/>
      <c r="AB192" s="941"/>
      <c r="AC192" s="941"/>
    </row>
    <row r="193" spans="1:29">
      <c r="A193" s="53">
        <f t="shared" si="10"/>
        <v>2012.04</v>
      </c>
      <c r="B193" s="141">
        <v>413924</v>
      </c>
      <c r="C193" s="2382">
        <f t="shared" si="14"/>
        <v>269256</v>
      </c>
      <c r="D193" s="3504">
        <v>36331</v>
      </c>
      <c r="E193" s="151">
        <v>118070</v>
      </c>
      <c r="F193" s="3504">
        <v>12965</v>
      </c>
      <c r="G193" s="151">
        <v>39274</v>
      </c>
      <c r="H193" s="3504">
        <v>38578</v>
      </c>
      <c r="I193" s="151">
        <v>15636</v>
      </c>
      <c r="J193" s="3504">
        <v>8402</v>
      </c>
      <c r="K193" s="151">
        <v>59535</v>
      </c>
      <c r="L193" s="3504">
        <v>16000</v>
      </c>
      <c r="M193" s="151">
        <v>28606</v>
      </c>
      <c r="N193" s="1396">
        <v>40527</v>
      </c>
      <c r="O193" s="1397"/>
      <c r="P193" s="1398">
        <v>148714</v>
      </c>
      <c r="Q193" s="1398">
        <v>2803866</v>
      </c>
      <c r="R193" s="1602">
        <f t="shared" si="12"/>
        <v>2783.3559718654601</v>
      </c>
      <c r="S193" s="1604">
        <f t="shared" si="13"/>
        <v>147.62617043753158</v>
      </c>
      <c r="T193" s="646"/>
      <c r="U193" s="1982">
        <v>8202183</v>
      </c>
      <c r="V193" s="647"/>
      <c r="W193" s="261"/>
      <c r="X193" s="3003"/>
      <c r="Y193" s="442"/>
      <c r="Z193" s="941"/>
      <c r="AA193" s="1246"/>
      <c r="AB193" s="941"/>
      <c r="AC193" s="941"/>
    </row>
    <row r="194" spans="1:29">
      <c r="A194" s="53">
        <f t="shared" si="10"/>
        <v>2012.05</v>
      </c>
      <c r="B194" s="141">
        <v>393672</v>
      </c>
      <c r="C194" s="2382">
        <f t="shared" si="14"/>
        <v>255881</v>
      </c>
      <c r="D194" s="3504">
        <v>31096</v>
      </c>
      <c r="E194" s="151">
        <v>115688</v>
      </c>
      <c r="F194" s="3504">
        <v>12493</v>
      </c>
      <c r="G194" s="151">
        <v>38585</v>
      </c>
      <c r="H194" s="3504">
        <v>36205</v>
      </c>
      <c r="I194" s="151">
        <v>14590</v>
      </c>
      <c r="J194" s="3504">
        <v>7224</v>
      </c>
      <c r="K194" s="151">
        <v>57019</v>
      </c>
      <c r="L194" s="3504">
        <v>15196</v>
      </c>
      <c r="M194" s="151">
        <v>28037</v>
      </c>
      <c r="N194" s="1396">
        <v>37539</v>
      </c>
      <c r="O194" s="1397"/>
      <c r="P194" s="1398">
        <v>148714</v>
      </c>
      <c r="Q194" s="1398">
        <v>2694940</v>
      </c>
      <c r="R194" s="1602">
        <f t="shared" si="12"/>
        <v>2647.1751146495958</v>
      </c>
      <c r="S194" s="1604">
        <f t="shared" si="13"/>
        <v>146.07820582276415</v>
      </c>
      <c r="T194" s="646"/>
      <c r="U194" s="1982">
        <v>7742865</v>
      </c>
      <c r="V194" s="647"/>
      <c r="W194" s="261"/>
      <c r="X194" s="3003"/>
      <c r="Y194" s="442"/>
      <c r="Z194" s="941"/>
      <c r="AA194" s="1246"/>
      <c r="AB194" s="941"/>
      <c r="AC194" s="941"/>
    </row>
    <row r="195" spans="1:29">
      <c r="A195" s="53">
        <f t="shared" si="10"/>
        <v>2012.06</v>
      </c>
      <c r="B195" s="141">
        <v>427878</v>
      </c>
      <c r="C195" s="2382">
        <f t="shared" si="14"/>
        <v>273181</v>
      </c>
      <c r="D195" s="3504">
        <v>33683</v>
      </c>
      <c r="E195" s="151">
        <v>122937</v>
      </c>
      <c r="F195" s="3504">
        <v>13515</v>
      </c>
      <c r="G195" s="151">
        <v>41757</v>
      </c>
      <c r="H195" s="3504">
        <v>38298</v>
      </c>
      <c r="I195" s="151">
        <v>15134</v>
      </c>
      <c r="J195" s="3504">
        <v>7857</v>
      </c>
      <c r="K195" s="151">
        <v>60264</v>
      </c>
      <c r="L195" s="3504">
        <v>17994</v>
      </c>
      <c r="M195" s="151">
        <v>36291</v>
      </c>
      <c r="N195" s="1396">
        <v>40148</v>
      </c>
      <c r="O195" s="1397"/>
      <c r="P195" s="1398">
        <v>148564</v>
      </c>
      <c r="Q195" s="1398">
        <v>2734993</v>
      </c>
      <c r="R195" s="1602">
        <f t="shared" si="12"/>
        <v>2880.0920815271534</v>
      </c>
      <c r="S195" s="1604">
        <f t="shared" si="13"/>
        <v>156.44573861797818</v>
      </c>
      <c r="T195" s="646"/>
      <c r="U195" s="1982">
        <v>8426822</v>
      </c>
      <c r="V195" s="647"/>
      <c r="W195" s="261"/>
      <c r="X195" s="3003"/>
      <c r="Y195" s="442"/>
      <c r="Z195" s="941"/>
      <c r="AA195" s="1246"/>
      <c r="AB195" s="941"/>
      <c r="AC195" s="941"/>
    </row>
    <row r="196" spans="1:29">
      <c r="A196" s="53">
        <f t="shared" si="10"/>
        <v>2012.07</v>
      </c>
      <c r="B196" s="141">
        <v>438583</v>
      </c>
      <c r="C196" s="2382">
        <f t="shared" si="14"/>
        <v>279890</v>
      </c>
      <c r="D196" s="3504">
        <v>34316</v>
      </c>
      <c r="E196" s="151">
        <v>126795</v>
      </c>
      <c r="F196" s="3504">
        <v>13543</v>
      </c>
      <c r="G196" s="151">
        <v>42993</v>
      </c>
      <c r="H196" s="3504">
        <v>38310</v>
      </c>
      <c r="I196" s="151">
        <v>15826</v>
      </c>
      <c r="J196" s="3504">
        <v>8107</v>
      </c>
      <c r="K196" s="151">
        <v>61459</v>
      </c>
      <c r="L196" s="3504">
        <v>17295</v>
      </c>
      <c r="M196" s="151">
        <v>32977</v>
      </c>
      <c r="N196" s="1396">
        <v>46962</v>
      </c>
      <c r="O196" s="1397"/>
      <c r="P196" s="1398">
        <v>148564</v>
      </c>
      <c r="Q196" s="1398">
        <v>2835902</v>
      </c>
      <c r="R196" s="1602">
        <f t="shared" si="12"/>
        <v>2952.1485689669098</v>
      </c>
      <c r="S196" s="1604">
        <f t="shared" si="13"/>
        <v>154.65379269100271</v>
      </c>
      <c r="T196" s="646"/>
      <c r="U196" s="1983">
        <v>8766221</v>
      </c>
      <c r="V196" s="647"/>
      <c r="W196" s="261"/>
      <c r="X196" s="3003"/>
      <c r="Y196" s="236">
        <v>-6.2</v>
      </c>
      <c r="Z196" s="941"/>
      <c r="AA196" s="1246"/>
      <c r="AB196" s="941"/>
      <c r="AC196" s="941"/>
    </row>
    <row r="197" spans="1:29">
      <c r="A197" s="53">
        <f t="shared" si="10"/>
        <v>2012.08</v>
      </c>
      <c r="B197" s="141">
        <v>441951</v>
      </c>
      <c r="C197" s="2382">
        <f t="shared" si="14"/>
        <v>280924</v>
      </c>
      <c r="D197" s="3504">
        <v>34028</v>
      </c>
      <c r="E197" s="151">
        <v>127257</v>
      </c>
      <c r="F197" s="3504">
        <v>13574</v>
      </c>
      <c r="G197" s="151">
        <v>43675</v>
      </c>
      <c r="H197" s="3504">
        <v>37940</v>
      </c>
      <c r="I197" s="151">
        <v>16586</v>
      </c>
      <c r="J197" s="3504">
        <v>7864</v>
      </c>
      <c r="K197" s="151">
        <v>62177</v>
      </c>
      <c r="L197" s="3504">
        <v>14921</v>
      </c>
      <c r="M197" s="151">
        <v>32386</v>
      </c>
      <c r="N197" s="1396">
        <v>51543</v>
      </c>
      <c r="O197" s="1397"/>
      <c r="P197" s="1398">
        <v>148564</v>
      </c>
      <c r="Q197" s="1398">
        <v>2804886</v>
      </c>
      <c r="R197" s="1602">
        <f t="shared" si="12"/>
        <v>2974.8189332543552</v>
      </c>
      <c r="S197" s="1604">
        <f t="shared" si="13"/>
        <v>157.56469246878481</v>
      </c>
      <c r="T197" s="646"/>
      <c r="U197" s="1983">
        <v>8843043</v>
      </c>
      <c r="V197" s="647"/>
      <c r="W197" s="261"/>
      <c r="X197" s="3003"/>
      <c r="Y197" s="217">
        <v>-5.2</v>
      </c>
      <c r="Z197" s="941"/>
      <c r="AA197" s="1246"/>
      <c r="AB197" s="941"/>
      <c r="AC197" s="941"/>
    </row>
    <row r="198" spans="1:29">
      <c r="A198" s="53">
        <f t="shared" si="10"/>
        <v>2012.09</v>
      </c>
      <c r="B198" s="141">
        <v>438390</v>
      </c>
      <c r="C198" s="2382">
        <f t="shared" si="14"/>
        <v>279530</v>
      </c>
      <c r="D198" s="3504">
        <v>36543</v>
      </c>
      <c r="E198" s="151">
        <v>123018</v>
      </c>
      <c r="F198" s="3504">
        <v>13472</v>
      </c>
      <c r="G198" s="151">
        <v>43367</v>
      </c>
      <c r="H198" s="3504">
        <v>38375</v>
      </c>
      <c r="I198" s="151">
        <v>17077</v>
      </c>
      <c r="J198" s="3504">
        <v>7678</v>
      </c>
      <c r="K198" s="151">
        <v>66231</v>
      </c>
      <c r="L198" s="3504">
        <v>14713</v>
      </c>
      <c r="M198" s="151">
        <v>31490</v>
      </c>
      <c r="N198" s="1396">
        <v>46426</v>
      </c>
      <c r="O198" s="1397"/>
      <c r="P198" s="1398">
        <v>148564</v>
      </c>
      <c r="Q198" s="1398">
        <v>2643362</v>
      </c>
      <c r="R198" s="1602">
        <f t="shared" si="12"/>
        <v>2950.8494655502004</v>
      </c>
      <c r="S198" s="1604">
        <f t="shared" si="13"/>
        <v>165.8456163022696</v>
      </c>
      <c r="T198" s="646"/>
      <c r="U198" s="1983">
        <v>8789482</v>
      </c>
      <c r="V198" s="647"/>
      <c r="W198" s="261"/>
      <c r="X198" s="3003"/>
      <c r="Y198" s="217">
        <v>-4.5999999999999996</v>
      </c>
      <c r="Z198" s="941"/>
      <c r="AA198" s="1246"/>
      <c r="AB198" s="941"/>
      <c r="AC198" s="941"/>
    </row>
    <row r="199" spans="1:29">
      <c r="A199" s="53">
        <f t="shared" si="10"/>
        <v>2012.1</v>
      </c>
      <c r="B199" s="141">
        <v>452644</v>
      </c>
      <c r="C199" s="2382">
        <f t="shared" si="14"/>
        <v>286511</v>
      </c>
      <c r="D199" s="3504">
        <v>36636</v>
      </c>
      <c r="E199" s="151">
        <v>128091</v>
      </c>
      <c r="F199" s="3504">
        <v>13674</v>
      </c>
      <c r="G199" s="151">
        <v>44996</v>
      </c>
      <c r="H199" s="3504">
        <v>37570</v>
      </c>
      <c r="I199" s="151">
        <v>18019</v>
      </c>
      <c r="J199" s="3504">
        <v>7525</v>
      </c>
      <c r="K199" s="151">
        <v>67431</v>
      </c>
      <c r="L199" s="3504">
        <v>15024</v>
      </c>
      <c r="M199" s="151">
        <v>38278</v>
      </c>
      <c r="N199" s="1396">
        <v>45400</v>
      </c>
      <c r="O199" s="1397"/>
      <c r="P199" s="1398">
        <v>148564</v>
      </c>
      <c r="Q199" s="1398">
        <v>2696839</v>
      </c>
      <c r="R199" s="1602">
        <f t="shared" si="12"/>
        <v>3046.7946474246792</v>
      </c>
      <c r="S199" s="1604">
        <f t="shared" si="13"/>
        <v>167.84242589194238</v>
      </c>
      <c r="T199" s="646"/>
      <c r="U199" s="1983">
        <v>9073028</v>
      </c>
      <c r="V199" s="647"/>
      <c r="W199" s="261"/>
      <c r="X199" s="3003"/>
      <c r="Y199" s="217">
        <v>-2.2999999999999998</v>
      </c>
      <c r="Z199" s="941"/>
      <c r="AA199" s="1246"/>
      <c r="AB199" s="941"/>
      <c r="AC199" s="941"/>
    </row>
    <row r="200" spans="1:29">
      <c r="A200" s="53">
        <f t="shared" si="10"/>
        <v>2012.11</v>
      </c>
      <c r="B200" s="141">
        <v>459280</v>
      </c>
      <c r="C200" s="2382">
        <f t="shared" si="14"/>
        <v>292238</v>
      </c>
      <c r="D200" s="3504">
        <v>42856</v>
      </c>
      <c r="E200" s="151">
        <v>127475</v>
      </c>
      <c r="F200" s="3504">
        <v>13734</v>
      </c>
      <c r="G200" s="151">
        <v>44052</v>
      </c>
      <c r="H200" s="3504">
        <v>36778</v>
      </c>
      <c r="I200" s="151">
        <v>19688</v>
      </c>
      <c r="J200" s="3504">
        <v>7655</v>
      </c>
      <c r="K200" s="151">
        <v>66368</v>
      </c>
      <c r="L200" s="3504">
        <v>14825</v>
      </c>
      <c r="M200" s="151">
        <v>36827</v>
      </c>
      <c r="N200" s="1396">
        <v>49022</v>
      </c>
      <c r="O200" s="1397"/>
      <c r="P200" s="1398">
        <v>149464</v>
      </c>
      <c r="Q200" s="1398">
        <v>2668549</v>
      </c>
      <c r="R200" s="1602">
        <f t="shared" si="12"/>
        <v>3072.8469731841783</v>
      </c>
      <c r="S200" s="1604">
        <f t="shared" si="13"/>
        <v>172.10851290345428</v>
      </c>
      <c r="T200" s="646"/>
      <c r="U200" s="1983">
        <v>9201188</v>
      </c>
      <c r="V200" s="647"/>
      <c r="W200" s="261"/>
      <c r="X200" s="3003"/>
      <c r="Y200" s="217">
        <v>-3.1</v>
      </c>
      <c r="Z200" s="941"/>
      <c r="AA200" s="1246"/>
      <c r="AB200" s="941"/>
      <c r="AC200" s="941"/>
    </row>
    <row r="201" spans="1:29">
      <c r="A201" s="53">
        <f t="shared" si="10"/>
        <v>2012.12</v>
      </c>
      <c r="B201" s="141">
        <v>579282</v>
      </c>
      <c r="C201" s="2382">
        <f t="shared" si="14"/>
        <v>370650</v>
      </c>
      <c r="D201" s="3504">
        <v>70948</v>
      </c>
      <c r="E201" s="151">
        <v>157844</v>
      </c>
      <c r="F201" s="3504">
        <v>17237</v>
      </c>
      <c r="G201" s="151">
        <v>46014</v>
      </c>
      <c r="H201" s="3504">
        <v>45997</v>
      </c>
      <c r="I201" s="151">
        <v>22833</v>
      </c>
      <c r="J201" s="3504">
        <v>9777</v>
      </c>
      <c r="K201" s="151">
        <v>73202</v>
      </c>
      <c r="L201" s="3504">
        <v>19960</v>
      </c>
      <c r="M201" s="151">
        <v>42454</v>
      </c>
      <c r="N201" s="1396">
        <v>73016</v>
      </c>
      <c r="O201" s="1397"/>
      <c r="P201" s="1398">
        <v>149464</v>
      </c>
      <c r="Q201" s="1398">
        <v>2942196</v>
      </c>
      <c r="R201" s="1602">
        <f t="shared" si="12"/>
        <v>3875.7292726007599</v>
      </c>
      <c r="S201" s="1604">
        <f t="shared" si="13"/>
        <v>196.88763087163466</v>
      </c>
      <c r="T201" s="646"/>
      <c r="U201" s="1983">
        <v>11739267</v>
      </c>
      <c r="V201" s="647"/>
      <c r="W201" s="261"/>
      <c r="X201" s="3003"/>
      <c r="Y201" s="217">
        <v>4.3</v>
      </c>
      <c r="Z201" s="941"/>
      <c r="AA201" s="1246"/>
      <c r="AB201" s="941"/>
      <c r="AC201" s="941"/>
    </row>
    <row r="202" spans="1:29">
      <c r="A202" s="53">
        <f t="shared" si="10"/>
        <v>2013.01</v>
      </c>
      <c r="B202" s="141">
        <v>463323</v>
      </c>
      <c r="C202" s="2382">
        <f t="shared" si="14"/>
        <v>288974</v>
      </c>
      <c r="D202" s="3504">
        <v>43699</v>
      </c>
      <c r="E202" s="151">
        <v>120192</v>
      </c>
      <c r="F202" s="3504">
        <v>14139</v>
      </c>
      <c r="G202" s="151">
        <v>42588</v>
      </c>
      <c r="H202" s="3504">
        <v>39770</v>
      </c>
      <c r="I202" s="151">
        <v>20512</v>
      </c>
      <c r="J202" s="3504">
        <v>8074</v>
      </c>
      <c r="K202" s="151">
        <v>68483</v>
      </c>
      <c r="L202" s="3504">
        <v>15895</v>
      </c>
      <c r="M202" s="151">
        <v>32287</v>
      </c>
      <c r="N202" s="1396">
        <v>57684</v>
      </c>
      <c r="O202" s="1397"/>
      <c r="P202" s="1398">
        <v>149464</v>
      </c>
      <c r="Q202" s="1398">
        <v>2585627</v>
      </c>
      <c r="R202" s="1602">
        <f t="shared" si="12"/>
        <v>3099.8969651554889</v>
      </c>
      <c r="S202" s="1604">
        <f t="shared" si="13"/>
        <v>179.19173956645719</v>
      </c>
      <c r="T202" s="646"/>
      <c r="U202" s="1983">
        <v>9480164</v>
      </c>
      <c r="V202" s="647"/>
      <c r="W202" s="261"/>
      <c r="X202" s="3003"/>
      <c r="Y202" s="217">
        <v>1.7</v>
      </c>
      <c r="Z202" s="941"/>
      <c r="AA202" s="1246"/>
      <c r="AB202" s="941"/>
      <c r="AC202" s="941"/>
    </row>
    <row r="203" spans="1:29">
      <c r="A203" s="53">
        <f t="shared" si="10"/>
        <v>2013.02</v>
      </c>
      <c r="B203" s="141">
        <v>453977</v>
      </c>
      <c r="C203" s="2382">
        <f t="shared" si="14"/>
        <v>286484</v>
      </c>
      <c r="D203" s="3504">
        <v>41360</v>
      </c>
      <c r="E203" s="151">
        <v>121357</v>
      </c>
      <c r="F203" s="3504">
        <v>14060</v>
      </c>
      <c r="G203" s="151">
        <v>42543</v>
      </c>
      <c r="H203" s="3504">
        <v>39615</v>
      </c>
      <c r="I203" s="151">
        <v>19618</v>
      </c>
      <c r="J203" s="3504">
        <v>7931</v>
      </c>
      <c r="K203" s="151">
        <v>62725</v>
      </c>
      <c r="L203" s="3504">
        <v>15756</v>
      </c>
      <c r="M203" s="151">
        <v>32086</v>
      </c>
      <c r="N203" s="1396">
        <v>56926</v>
      </c>
      <c r="O203" s="1397"/>
      <c r="P203" s="1398">
        <v>149040</v>
      </c>
      <c r="Q203" s="1398">
        <v>2498409</v>
      </c>
      <c r="R203" s="1602">
        <f t="shared" si="12"/>
        <v>3046.0077831454646</v>
      </c>
      <c r="S203" s="1604">
        <f t="shared" si="13"/>
        <v>181.70643797712864</v>
      </c>
      <c r="T203" s="646"/>
      <c r="U203" s="1983">
        <v>9222264</v>
      </c>
      <c r="V203" s="647"/>
      <c r="W203" s="261"/>
      <c r="X203" s="3003"/>
      <c r="Y203" s="217">
        <v>-3.2</v>
      </c>
      <c r="Z203" s="941"/>
      <c r="AA203" s="1246"/>
      <c r="AB203" s="941"/>
      <c r="AC203" s="941"/>
    </row>
    <row r="204" spans="1:29">
      <c r="A204" s="53">
        <f t="shared" si="10"/>
        <v>2013.03</v>
      </c>
      <c r="B204" s="141">
        <v>499434</v>
      </c>
      <c r="C204" s="2382">
        <f t="shared" si="14"/>
        <v>331344</v>
      </c>
      <c r="D204" s="3504">
        <v>42909</v>
      </c>
      <c r="E204" s="151">
        <v>151437</v>
      </c>
      <c r="F204" s="3504">
        <v>15076</v>
      </c>
      <c r="G204" s="151">
        <v>48289</v>
      </c>
      <c r="H204" s="3504">
        <v>44456</v>
      </c>
      <c r="I204" s="151">
        <v>20294</v>
      </c>
      <c r="J204" s="3504">
        <v>8883</v>
      </c>
      <c r="K204" s="151">
        <v>69753</v>
      </c>
      <c r="L204" s="3504">
        <v>16913</v>
      </c>
      <c r="M204" s="151">
        <v>30768</v>
      </c>
      <c r="N204" s="1396">
        <v>50656</v>
      </c>
      <c r="O204" s="1397"/>
      <c r="P204" s="1398">
        <v>149040</v>
      </c>
      <c r="Q204" s="1398">
        <v>2714481</v>
      </c>
      <c r="R204" s="1602">
        <f t="shared" si="12"/>
        <v>3351.0064412238326</v>
      </c>
      <c r="S204" s="1604">
        <f t="shared" si="13"/>
        <v>183.98876249271962</v>
      </c>
      <c r="T204" s="646"/>
      <c r="U204" s="1983">
        <v>10280981</v>
      </c>
      <c r="V204" s="647"/>
      <c r="W204" s="261"/>
      <c r="X204" s="3003"/>
      <c r="Y204" s="217">
        <v>-3.4</v>
      </c>
      <c r="Z204" s="941"/>
      <c r="AA204" s="1246"/>
      <c r="AB204" s="941"/>
      <c r="AC204" s="941"/>
    </row>
    <row r="205" spans="1:29">
      <c r="A205" s="53">
        <f t="shared" si="10"/>
        <v>2013.04</v>
      </c>
      <c r="B205" s="141">
        <v>469567</v>
      </c>
      <c r="C205" s="2382">
        <f t="shared" si="14"/>
        <v>309844</v>
      </c>
      <c r="D205" s="3504">
        <v>39345</v>
      </c>
      <c r="E205" s="151">
        <v>138250</v>
      </c>
      <c r="F205" s="3504">
        <v>14333</v>
      </c>
      <c r="G205" s="151">
        <v>47558</v>
      </c>
      <c r="H205" s="3504">
        <v>42869</v>
      </c>
      <c r="I205" s="151">
        <v>19031</v>
      </c>
      <c r="J205" s="3504">
        <v>8458</v>
      </c>
      <c r="K205" s="151">
        <v>68602</v>
      </c>
      <c r="L205" s="3504">
        <v>16557</v>
      </c>
      <c r="M205" s="151">
        <v>29855</v>
      </c>
      <c r="N205" s="1396">
        <v>44709</v>
      </c>
      <c r="O205" s="1397"/>
      <c r="P205" s="1398">
        <v>149040</v>
      </c>
      <c r="Q205" s="1398">
        <v>2595525</v>
      </c>
      <c r="R205" s="1602">
        <f t="shared" si="12"/>
        <v>3150.6105743424582</v>
      </c>
      <c r="S205" s="1604">
        <f t="shared" si="13"/>
        <v>180.91407326070834</v>
      </c>
      <c r="T205" s="646"/>
      <c r="U205" s="1983">
        <v>9548849</v>
      </c>
      <c r="V205" s="647"/>
      <c r="W205" s="261"/>
      <c r="X205" s="3003"/>
      <c r="Y205" s="217">
        <v>-6.4</v>
      </c>
      <c r="Z205" s="941"/>
      <c r="AA205" s="1246"/>
      <c r="AB205" s="941"/>
      <c r="AC205" s="941"/>
    </row>
    <row r="206" spans="1:29">
      <c r="A206" s="53">
        <f t="shared" ref="A206:A269" si="15">A194+1</f>
        <v>2013.05</v>
      </c>
      <c r="B206" s="141">
        <v>491618</v>
      </c>
      <c r="C206" s="2382">
        <f t="shared" si="14"/>
        <v>315602</v>
      </c>
      <c r="D206" s="3504">
        <v>38449</v>
      </c>
      <c r="E206" s="151">
        <v>145076</v>
      </c>
      <c r="F206" s="3504">
        <v>15008</v>
      </c>
      <c r="G206" s="151">
        <v>49222</v>
      </c>
      <c r="H206" s="3504">
        <v>41619</v>
      </c>
      <c r="I206" s="151">
        <v>17536</v>
      </c>
      <c r="J206" s="3504">
        <v>8692</v>
      </c>
      <c r="K206" s="151">
        <v>69910</v>
      </c>
      <c r="L206" s="3504">
        <v>20871</v>
      </c>
      <c r="M206" s="151">
        <v>38531</v>
      </c>
      <c r="N206" s="1396">
        <v>46704</v>
      </c>
      <c r="O206" s="1397"/>
      <c r="P206" s="1398">
        <v>149040</v>
      </c>
      <c r="Q206" s="1398">
        <v>2620362</v>
      </c>
      <c r="R206" s="1602">
        <f t="shared" si="12"/>
        <v>3298.5641438539988</v>
      </c>
      <c r="S206" s="1604">
        <f t="shared" si="13"/>
        <v>187.61453570155572</v>
      </c>
      <c r="T206" s="646"/>
      <c r="U206" s="1983">
        <v>9919748</v>
      </c>
      <c r="V206" s="647"/>
      <c r="W206" s="261"/>
      <c r="X206" s="3003"/>
      <c r="Y206" s="217">
        <v>-7.1</v>
      </c>
      <c r="Z206" s="941"/>
      <c r="AA206" s="1246"/>
      <c r="AB206" s="941"/>
      <c r="AC206" s="941"/>
    </row>
    <row r="207" spans="1:29">
      <c r="A207" s="53">
        <f t="shared" si="15"/>
        <v>2013.06</v>
      </c>
      <c r="B207" s="141">
        <v>540869</v>
      </c>
      <c r="C207" s="2382">
        <f t="shared" si="14"/>
        <v>340671</v>
      </c>
      <c r="D207" s="3504">
        <v>41236</v>
      </c>
      <c r="E207" s="151">
        <v>151997</v>
      </c>
      <c r="F207" s="3504">
        <v>18487</v>
      </c>
      <c r="G207" s="151">
        <v>56461</v>
      </c>
      <c r="H207" s="3504">
        <v>44852</v>
      </c>
      <c r="I207" s="151">
        <v>18301</v>
      </c>
      <c r="J207" s="3504">
        <v>9337</v>
      </c>
      <c r="K207" s="151">
        <v>74768</v>
      </c>
      <c r="L207" s="3504">
        <v>24157</v>
      </c>
      <c r="M207" s="151">
        <v>49240</v>
      </c>
      <c r="N207" s="1396">
        <v>52033</v>
      </c>
      <c r="O207" s="1397"/>
      <c r="P207" s="1398">
        <v>149040</v>
      </c>
      <c r="Q207" s="1398">
        <v>2712088</v>
      </c>
      <c r="R207" s="1602">
        <f t="shared" si="12"/>
        <v>3629.0190552871713</v>
      </c>
      <c r="S207" s="1604">
        <f t="shared" si="13"/>
        <v>199.42900082888164</v>
      </c>
      <c r="T207" s="646"/>
      <c r="U207" s="1983">
        <v>10808037</v>
      </c>
      <c r="V207" s="647"/>
      <c r="W207" s="261"/>
      <c r="X207" s="3003"/>
      <c r="Y207" s="217">
        <v>-1.8</v>
      </c>
      <c r="Z207" s="941"/>
      <c r="AA207" s="1246"/>
      <c r="AB207" s="941"/>
      <c r="AC207" s="941"/>
    </row>
    <row r="208" spans="1:29">
      <c r="A208" s="53">
        <f t="shared" si="15"/>
        <v>2013.07</v>
      </c>
      <c r="B208" s="141">
        <v>544497</v>
      </c>
      <c r="C208" s="2382">
        <f t="shared" si="14"/>
        <v>345173</v>
      </c>
      <c r="D208" s="3504">
        <v>40374</v>
      </c>
      <c r="E208" s="151">
        <v>155895</v>
      </c>
      <c r="F208" s="3504">
        <v>19249</v>
      </c>
      <c r="G208" s="151">
        <v>57393</v>
      </c>
      <c r="H208" s="3504">
        <v>43994</v>
      </c>
      <c r="I208" s="151">
        <v>18829</v>
      </c>
      <c r="J208" s="3504">
        <v>9439</v>
      </c>
      <c r="K208" s="151">
        <v>74127</v>
      </c>
      <c r="L208" s="3504">
        <v>22705</v>
      </c>
      <c r="M208" s="151">
        <v>48439</v>
      </c>
      <c r="N208" s="1396">
        <v>54053</v>
      </c>
      <c r="O208" s="1397"/>
      <c r="P208" s="1398">
        <v>149040</v>
      </c>
      <c r="Q208" s="1398">
        <v>2750245</v>
      </c>
      <c r="R208" s="1602">
        <f t="shared" si="12"/>
        <v>3653.3615136876006</v>
      </c>
      <c r="S208" s="1604">
        <f t="shared" si="12"/>
        <v>197.98127075951416</v>
      </c>
      <c r="T208" s="646"/>
      <c r="U208" s="1983">
        <v>10912374</v>
      </c>
      <c r="V208" s="647"/>
      <c r="W208" s="261"/>
      <c r="X208" s="3003"/>
      <c r="Y208" s="217">
        <v>2.2999999999999998</v>
      </c>
      <c r="Z208" s="941"/>
      <c r="AA208" s="1246"/>
      <c r="AB208" s="941"/>
      <c r="AC208" s="941"/>
    </row>
    <row r="209" spans="1:29">
      <c r="A209" s="53">
        <f t="shared" si="15"/>
        <v>2013.08</v>
      </c>
      <c r="B209" s="141">
        <v>566561</v>
      </c>
      <c r="C209" s="2382">
        <f t="shared" si="14"/>
        <v>358774</v>
      </c>
      <c r="D209" s="3504">
        <v>43699</v>
      </c>
      <c r="E209" s="151">
        <v>157911</v>
      </c>
      <c r="F209" s="3504">
        <v>19926</v>
      </c>
      <c r="G209" s="151">
        <v>60657</v>
      </c>
      <c r="H209" s="3504">
        <v>46214</v>
      </c>
      <c r="I209" s="151">
        <v>20415</v>
      </c>
      <c r="J209" s="3504">
        <v>9952</v>
      </c>
      <c r="K209" s="151">
        <v>77569</v>
      </c>
      <c r="L209" s="3504">
        <v>19825</v>
      </c>
      <c r="M209" s="151">
        <v>45719</v>
      </c>
      <c r="N209" s="1396">
        <v>64674</v>
      </c>
      <c r="O209" s="1397"/>
      <c r="P209" s="1398">
        <v>149040</v>
      </c>
      <c r="Q209" s="1398">
        <v>2762340</v>
      </c>
      <c r="R209" s="1602">
        <f t="shared" si="12"/>
        <v>3801.4023081052064</v>
      </c>
      <c r="S209" s="1604">
        <f t="shared" si="12"/>
        <v>205.10183395237371</v>
      </c>
      <c r="T209" s="646"/>
      <c r="U209" s="1983">
        <v>11380649</v>
      </c>
      <c r="V209" s="647"/>
      <c r="W209" s="261"/>
      <c r="X209" s="3003"/>
      <c r="Y209" s="217">
        <v>-2</v>
      </c>
      <c r="Z209" s="941"/>
      <c r="AA209" s="1246"/>
      <c r="AB209" s="941"/>
      <c r="AC209" s="941"/>
    </row>
    <row r="210" spans="1:29">
      <c r="A210" s="53">
        <f t="shared" si="15"/>
        <v>2013.09</v>
      </c>
      <c r="B210" s="141">
        <v>534775</v>
      </c>
      <c r="C210" s="2382">
        <f t="shared" si="14"/>
        <v>345654</v>
      </c>
      <c r="D210" s="3504">
        <v>43289</v>
      </c>
      <c r="E210" s="151">
        <v>152401</v>
      </c>
      <c r="F210" s="3504">
        <v>18283</v>
      </c>
      <c r="G210" s="151">
        <v>58193</v>
      </c>
      <c r="H210" s="3504">
        <v>43318</v>
      </c>
      <c r="I210" s="151">
        <v>20770</v>
      </c>
      <c r="J210" s="3504">
        <v>9400</v>
      </c>
      <c r="K210" s="151">
        <v>75785</v>
      </c>
      <c r="L210" s="3504">
        <v>18265</v>
      </c>
      <c r="M210" s="151">
        <v>43647</v>
      </c>
      <c r="N210" s="1396">
        <v>51424</v>
      </c>
      <c r="O210" s="1397"/>
      <c r="P210" s="1398">
        <v>149040</v>
      </c>
      <c r="Q210" s="1398">
        <v>2586981</v>
      </c>
      <c r="R210" s="1602">
        <f t="shared" si="12"/>
        <v>3588.1307031669348</v>
      </c>
      <c r="S210" s="1604">
        <f t="shared" si="13"/>
        <v>206.71779189719601</v>
      </c>
      <c r="T210" s="646"/>
      <c r="U210" s="1983">
        <v>10794230</v>
      </c>
      <c r="V210" s="647"/>
      <c r="W210" s="261"/>
      <c r="X210" s="3003"/>
      <c r="Y210" s="217">
        <v>-1.5</v>
      </c>
      <c r="Z210" s="941"/>
      <c r="AA210" s="1246"/>
      <c r="AB210" s="941"/>
      <c r="AC210" s="941"/>
    </row>
    <row r="211" spans="1:29">
      <c r="A211" s="53">
        <f t="shared" si="15"/>
        <v>2013.1</v>
      </c>
      <c r="B211" s="141">
        <v>569157</v>
      </c>
      <c r="C211" s="2382">
        <f t="shared" si="14"/>
        <v>365676</v>
      </c>
      <c r="D211" s="3504">
        <v>49669</v>
      </c>
      <c r="E211" s="151">
        <v>153248</v>
      </c>
      <c r="F211" s="3504">
        <v>22441</v>
      </c>
      <c r="G211" s="151">
        <v>60585</v>
      </c>
      <c r="H211" s="3504">
        <v>47613</v>
      </c>
      <c r="I211" s="151">
        <v>22628</v>
      </c>
      <c r="J211" s="3504">
        <v>9492</v>
      </c>
      <c r="K211" s="151">
        <v>79638</v>
      </c>
      <c r="L211" s="3504">
        <v>20009</v>
      </c>
      <c r="M211" s="151">
        <v>48186</v>
      </c>
      <c r="N211" s="1396">
        <v>55648</v>
      </c>
      <c r="O211" s="1397"/>
      <c r="P211" s="1398">
        <v>149040</v>
      </c>
      <c r="Q211" s="1398">
        <v>2702854</v>
      </c>
      <c r="R211" s="1602">
        <f t="shared" si="12"/>
        <v>3818.8204508856684</v>
      </c>
      <c r="S211" s="1604">
        <f t="shared" si="13"/>
        <v>210.57630193861749</v>
      </c>
      <c r="T211" s="646"/>
      <c r="U211" s="1983">
        <v>11545468</v>
      </c>
      <c r="V211" s="647"/>
      <c r="W211" s="261"/>
      <c r="X211" s="3003"/>
      <c r="Y211" s="217">
        <v>2.7</v>
      </c>
      <c r="Z211" s="941"/>
      <c r="AA211" s="1246"/>
      <c r="AB211" s="941"/>
      <c r="AC211" s="941"/>
    </row>
    <row r="212" spans="1:29">
      <c r="A212" s="53">
        <f t="shared" si="15"/>
        <v>2013.11</v>
      </c>
      <c r="B212" s="141">
        <v>600937</v>
      </c>
      <c r="C212" s="2382">
        <f t="shared" si="14"/>
        <v>385246</v>
      </c>
      <c r="D212" s="3504">
        <v>56297</v>
      </c>
      <c r="E212" s="151">
        <v>160803</v>
      </c>
      <c r="F212" s="3504">
        <v>23374</v>
      </c>
      <c r="G212" s="151">
        <v>61604</v>
      </c>
      <c r="H212" s="3504">
        <v>49243</v>
      </c>
      <c r="I212" s="151">
        <v>23948</v>
      </c>
      <c r="J212" s="3504">
        <v>9977</v>
      </c>
      <c r="K212" s="151">
        <v>83585</v>
      </c>
      <c r="L212" s="3504">
        <v>19870</v>
      </c>
      <c r="M212" s="151">
        <v>45893</v>
      </c>
      <c r="N212" s="1396">
        <v>66343</v>
      </c>
      <c r="O212" s="1397"/>
      <c r="P212" s="1398">
        <v>149040</v>
      </c>
      <c r="Q212" s="1398">
        <v>2650579</v>
      </c>
      <c r="R212" s="1602">
        <f>$B212/P212*1000</f>
        <v>4032.0517981749867</v>
      </c>
      <c r="S212" s="1604">
        <f t="shared" si="13"/>
        <v>226.71914325134244</v>
      </c>
      <c r="T212" s="646"/>
      <c r="U212" s="1983">
        <v>12312314</v>
      </c>
      <c r="V212" s="647"/>
      <c r="W212" s="261"/>
      <c r="X212" s="3003"/>
      <c r="Y212" s="217">
        <v>-2.2999999999999998</v>
      </c>
      <c r="Z212" s="941"/>
      <c r="AA212" s="1246"/>
      <c r="AB212" s="941"/>
      <c r="AC212" s="941"/>
    </row>
    <row r="213" spans="1:29">
      <c r="A213" s="53">
        <f t="shared" si="15"/>
        <v>2013.12</v>
      </c>
      <c r="B213" s="141">
        <v>770975</v>
      </c>
      <c r="C213" s="2382">
        <f t="shared" si="14"/>
        <v>476678</v>
      </c>
      <c r="D213" s="3504">
        <v>93501</v>
      </c>
      <c r="E213" s="151">
        <v>197714</v>
      </c>
      <c r="F213" s="3504">
        <v>27149</v>
      </c>
      <c r="G213" s="151">
        <v>63655</v>
      </c>
      <c r="H213" s="3504">
        <v>54808</v>
      </c>
      <c r="I213" s="151">
        <v>27925</v>
      </c>
      <c r="J213" s="3504">
        <v>11926</v>
      </c>
      <c r="K213" s="151">
        <v>89564</v>
      </c>
      <c r="L213" s="3504">
        <v>27408</v>
      </c>
      <c r="M213" s="151">
        <v>64635</v>
      </c>
      <c r="N213" s="1396">
        <v>112690</v>
      </c>
      <c r="O213" s="1399"/>
      <c r="P213" s="1398">
        <v>149040</v>
      </c>
      <c r="Q213" s="1398">
        <v>2924932</v>
      </c>
      <c r="R213" s="1602">
        <f t="shared" si="12"/>
        <v>5172.9401502952232</v>
      </c>
      <c r="S213" s="1604">
        <f t="shared" si="13"/>
        <v>263.58732442326863</v>
      </c>
      <c r="T213" s="646"/>
      <c r="U213" s="1983">
        <v>15505006</v>
      </c>
      <c r="V213" s="647"/>
      <c r="W213" s="261"/>
      <c r="X213" s="3003"/>
      <c r="Y213" s="217">
        <v>1.6</v>
      </c>
      <c r="Z213" s="941"/>
      <c r="AA213" s="1246"/>
      <c r="AB213" s="941"/>
      <c r="AC213" s="941"/>
    </row>
    <row r="214" spans="1:29">
      <c r="A214" s="53">
        <f t="shared" si="15"/>
        <v>2014.01</v>
      </c>
      <c r="B214" s="141">
        <v>639094</v>
      </c>
      <c r="C214" s="2382">
        <f t="shared" si="14"/>
        <v>392149</v>
      </c>
      <c r="D214" s="3504">
        <v>58378</v>
      </c>
      <c r="E214" s="151">
        <v>161297</v>
      </c>
      <c r="F214" s="3504">
        <v>23250</v>
      </c>
      <c r="G214" s="151">
        <v>61649</v>
      </c>
      <c r="H214" s="3504">
        <v>50405</v>
      </c>
      <c r="I214" s="151">
        <v>26747</v>
      </c>
      <c r="J214" s="3504">
        <v>10423</v>
      </c>
      <c r="K214" s="151">
        <v>88725</v>
      </c>
      <c r="L214" s="3504">
        <v>21200</v>
      </c>
      <c r="M214" s="151">
        <v>55094</v>
      </c>
      <c r="N214" s="1396">
        <v>81926</v>
      </c>
      <c r="O214" s="1399"/>
      <c r="P214" s="1398">
        <v>149040</v>
      </c>
      <c r="Q214" s="1398">
        <v>2647164</v>
      </c>
      <c r="R214" s="1602">
        <f t="shared" si="12"/>
        <v>4288.0703166935054</v>
      </c>
      <c r="S214" s="1604">
        <f t="shared" si="13"/>
        <v>241.42591845461786</v>
      </c>
      <c r="T214" s="646"/>
      <c r="U214" s="1983">
        <v>12815787</v>
      </c>
      <c r="V214" s="647"/>
      <c r="W214" s="261"/>
      <c r="X214" s="3003"/>
      <c r="Y214" s="217">
        <v>-3.8</v>
      </c>
      <c r="Z214" s="941"/>
      <c r="AA214" s="1246"/>
      <c r="AB214" s="941"/>
      <c r="AC214" s="941"/>
    </row>
    <row r="215" spans="1:29">
      <c r="A215" s="53">
        <f t="shared" si="15"/>
        <v>2014.02</v>
      </c>
      <c r="B215" s="141">
        <v>590931</v>
      </c>
      <c r="C215" s="2382">
        <f t="shared" si="14"/>
        <v>384470</v>
      </c>
      <c r="D215" s="3504">
        <v>48985</v>
      </c>
      <c r="E215" s="151">
        <v>161419</v>
      </c>
      <c r="F215" s="3504">
        <v>23523</v>
      </c>
      <c r="G215" s="151">
        <v>62565</v>
      </c>
      <c r="H215" s="3504">
        <v>51611</v>
      </c>
      <c r="I215" s="151">
        <v>26000</v>
      </c>
      <c r="J215" s="3504">
        <v>10367</v>
      </c>
      <c r="K215" s="151">
        <v>84795</v>
      </c>
      <c r="L215" s="3504">
        <v>20157</v>
      </c>
      <c r="M215" s="151">
        <v>28441</v>
      </c>
      <c r="N215" s="1396">
        <v>73068</v>
      </c>
      <c r="O215" s="1399"/>
      <c r="P215" s="1398">
        <v>149040</v>
      </c>
      <c r="Q215" s="1398">
        <v>2545521</v>
      </c>
      <c r="R215" s="1602">
        <f t="shared" si="12"/>
        <v>3964.9154589371979</v>
      </c>
      <c r="S215" s="1604">
        <f t="shared" si="13"/>
        <v>232.14540363249802</v>
      </c>
      <c r="T215" s="646"/>
      <c r="U215" s="1983">
        <v>12164152</v>
      </c>
      <c r="V215" s="647"/>
      <c r="W215" s="261"/>
      <c r="X215" s="3003"/>
      <c r="Y215" s="218">
        <v>-6.5</v>
      </c>
      <c r="Z215" s="941"/>
      <c r="AA215" s="1246"/>
      <c r="AB215" s="941"/>
      <c r="AC215" s="941"/>
    </row>
    <row r="216" spans="1:29">
      <c r="A216" s="53">
        <f t="shared" si="15"/>
        <v>2014.03</v>
      </c>
      <c r="B216" s="141">
        <v>682102</v>
      </c>
      <c r="C216" s="2382">
        <f t="shared" si="14"/>
        <v>450997</v>
      </c>
      <c r="D216" s="3504">
        <v>53936</v>
      </c>
      <c r="E216" s="151">
        <v>192364</v>
      </c>
      <c r="F216" s="3504">
        <v>28108</v>
      </c>
      <c r="G216" s="151">
        <v>72788</v>
      </c>
      <c r="H216" s="3504">
        <v>62035</v>
      </c>
      <c r="I216" s="151">
        <v>30126</v>
      </c>
      <c r="J216" s="3504">
        <v>11640</v>
      </c>
      <c r="K216" s="151">
        <v>95671</v>
      </c>
      <c r="L216" s="3504">
        <v>23258</v>
      </c>
      <c r="M216" s="151">
        <v>37233</v>
      </c>
      <c r="N216" s="1396">
        <v>74943</v>
      </c>
      <c r="O216" s="1399"/>
      <c r="P216" s="1398">
        <v>149040</v>
      </c>
      <c r="Q216" s="1398">
        <v>2770505</v>
      </c>
      <c r="R216" s="1602">
        <f t="shared" si="12"/>
        <v>4576.6371443907674</v>
      </c>
      <c r="S216" s="1604">
        <f t="shared" si="13"/>
        <v>246.20132430730138</v>
      </c>
      <c r="T216" s="646"/>
      <c r="U216" s="1983">
        <v>13962389</v>
      </c>
      <c r="V216" s="647"/>
      <c r="W216" s="261"/>
      <c r="X216" s="3003"/>
      <c r="Y216" s="217">
        <v>-7.2</v>
      </c>
      <c r="Z216" s="941"/>
      <c r="AA216" s="1246"/>
      <c r="AB216" s="941"/>
      <c r="AC216" s="941"/>
    </row>
    <row r="217" spans="1:29">
      <c r="A217" s="53">
        <f t="shared" si="15"/>
        <v>2014.04</v>
      </c>
      <c r="B217" s="141">
        <v>680123</v>
      </c>
      <c r="C217" s="2382">
        <f t="shared" si="14"/>
        <v>454819</v>
      </c>
      <c r="D217" s="3504">
        <v>53138</v>
      </c>
      <c r="E217" s="151">
        <v>200765</v>
      </c>
      <c r="F217" s="3504">
        <v>30993</v>
      </c>
      <c r="G217" s="151">
        <v>71552</v>
      </c>
      <c r="H217" s="3504">
        <v>58988</v>
      </c>
      <c r="I217" s="151">
        <v>27909</v>
      </c>
      <c r="J217" s="3504">
        <v>11474</v>
      </c>
      <c r="K217" s="151">
        <v>93270</v>
      </c>
      <c r="L217" s="3504">
        <v>23022</v>
      </c>
      <c r="M217" s="151">
        <v>41105</v>
      </c>
      <c r="N217" s="1396">
        <v>67907</v>
      </c>
      <c r="O217" s="1399"/>
      <c r="P217" s="1398">
        <v>149040</v>
      </c>
      <c r="Q217" s="1398">
        <v>2669513</v>
      </c>
      <c r="R217" s="1602">
        <f t="shared" si="12"/>
        <v>4563.3588298443374</v>
      </c>
      <c r="S217" s="1604">
        <f t="shared" si="13"/>
        <v>254.77418540385455</v>
      </c>
      <c r="T217" s="646"/>
      <c r="U217" s="1983">
        <v>13697743</v>
      </c>
      <c r="V217" s="647"/>
      <c r="W217" s="261"/>
      <c r="X217" s="3003"/>
      <c r="Y217" s="217">
        <v>-7.5</v>
      </c>
      <c r="Z217" s="941"/>
      <c r="AA217" s="1246"/>
      <c r="AB217" s="941"/>
      <c r="AC217" s="941"/>
    </row>
    <row r="218" spans="1:29">
      <c r="A218" s="53">
        <f t="shared" si="15"/>
        <v>2014.05</v>
      </c>
      <c r="B218" s="141">
        <v>723185</v>
      </c>
      <c r="C218" s="2382">
        <f>SUM(D218:J218)</f>
        <v>453238</v>
      </c>
      <c r="D218" s="3504">
        <v>50975</v>
      </c>
      <c r="E218" s="151">
        <v>201155</v>
      </c>
      <c r="F218" s="3504">
        <v>29035</v>
      </c>
      <c r="G218" s="151">
        <v>75111</v>
      </c>
      <c r="H218" s="3504">
        <v>58343</v>
      </c>
      <c r="I218" s="151">
        <v>26960</v>
      </c>
      <c r="J218" s="3504">
        <v>11659</v>
      </c>
      <c r="K218" s="151">
        <v>97794</v>
      </c>
      <c r="L218" s="3504">
        <v>26568</v>
      </c>
      <c r="M218" s="151">
        <v>69091</v>
      </c>
      <c r="N218" s="1396">
        <v>76494</v>
      </c>
      <c r="O218" s="1399"/>
      <c r="P218" s="1398">
        <v>149040</v>
      </c>
      <c r="Q218" s="1398">
        <v>2646964</v>
      </c>
      <c r="R218" s="1602">
        <f t="shared" si="12"/>
        <v>4852.2879763821793</v>
      </c>
      <c r="S218" s="1604">
        <f t="shared" si="13"/>
        <v>273.21300931935605</v>
      </c>
      <c r="T218" s="646"/>
      <c r="U218" s="1983">
        <v>14480412</v>
      </c>
      <c r="V218" s="647"/>
      <c r="W218" s="261"/>
      <c r="X218" s="3003"/>
      <c r="Y218" s="217">
        <v>-8.3000000000000007</v>
      </c>
      <c r="Z218" s="941"/>
      <c r="AA218" s="1246"/>
      <c r="AB218" s="941"/>
      <c r="AC218" s="941"/>
    </row>
    <row r="219" spans="1:29">
      <c r="A219" s="53">
        <f t="shared" si="15"/>
        <v>2014.06</v>
      </c>
      <c r="B219" s="141">
        <v>725436</v>
      </c>
      <c r="C219" s="2382">
        <f t="shared" si="14"/>
        <v>453669</v>
      </c>
      <c r="D219" s="3504">
        <v>50770</v>
      </c>
      <c r="E219" s="151">
        <v>202016</v>
      </c>
      <c r="F219" s="3504">
        <v>29743</v>
      </c>
      <c r="G219" s="151">
        <v>76335</v>
      </c>
      <c r="H219" s="3504">
        <v>58957</v>
      </c>
      <c r="I219" s="151">
        <v>25737</v>
      </c>
      <c r="J219" s="3504">
        <v>10111</v>
      </c>
      <c r="K219" s="151">
        <v>97482</v>
      </c>
      <c r="L219" s="3504">
        <v>28563</v>
      </c>
      <c r="M219" s="151">
        <v>66938</v>
      </c>
      <c r="N219" s="1396">
        <v>78784</v>
      </c>
      <c r="O219" s="1399"/>
      <c r="P219" s="1400">
        <v>149040</v>
      </c>
      <c r="Q219" s="1400">
        <v>2640969</v>
      </c>
      <c r="R219" s="1602">
        <f t="shared" si="12"/>
        <v>4867.3913043478269</v>
      </c>
      <c r="S219" s="1604">
        <f t="shared" si="13"/>
        <v>274.68554155690583</v>
      </c>
      <c r="T219" s="646"/>
      <c r="U219" s="1983">
        <v>14623958</v>
      </c>
      <c r="V219" s="647"/>
      <c r="W219" s="261"/>
      <c r="X219" s="3003"/>
      <c r="Y219" s="217">
        <v>-8.8000000000000007</v>
      </c>
      <c r="Z219" s="941"/>
      <c r="AA219" s="1246"/>
      <c r="AB219" s="941"/>
      <c r="AC219" s="941"/>
    </row>
    <row r="220" spans="1:29">
      <c r="A220" s="53">
        <f t="shared" si="15"/>
        <v>2014.07</v>
      </c>
      <c r="B220" s="141">
        <v>735503</v>
      </c>
      <c r="C220" s="2382">
        <f>SUM(D220:J220)</f>
        <v>477326</v>
      </c>
      <c r="D220" s="3504">
        <v>53221</v>
      </c>
      <c r="E220" s="151">
        <v>213315</v>
      </c>
      <c r="F220" s="3504">
        <v>31089</v>
      </c>
      <c r="G220" s="151">
        <v>79479</v>
      </c>
      <c r="H220" s="3504">
        <v>60744</v>
      </c>
      <c r="I220" s="151">
        <v>26987</v>
      </c>
      <c r="J220" s="3504">
        <v>12491</v>
      </c>
      <c r="K220" s="151">
        <v>101220</v>
      </c>
      <c r="L220" s="3654">
        <v>28030</v>
      </c>
      <c r="M220" s="151">
        <v>43246</v>
      </c>
      <c r="N220" s="1396">
        <v>85681</v>
      </c>
      <c r="O220" s="1399"/>
      <c r="P220" s="1398">
        <v>149040</v>
      </c>
      <c r="Q220" s="1400">
        <v>2697228</v>
      </c>
      <c r="R220" s="1602">
        <f t="shared" si="12"/>
        <v>4934.9369296833065</v>
      </c>
      <c r="S220" s="1604">
        <f>$B220/Q220*1000</f>
        <v>272.68847868997352</v>
      </c>
      <c r="T220" s="646"/>
      <c r="U220" s="1983">
        <v>14756402</v>
      </c>
      <c r="V220" s="647"/>
      <c r="W220" s="261"/>
      <c r="X220" s="3003"/>
      <c r="Y220" s="217">
        <v>-9.6</v>
      </c>
      <c r="Z220" s="941"/>
      <c r="AA220" s="1246"/>
      <c r="AB220" s="941"/>
      <c r="AC220" s="941"/>
    </row>
    <row r="221" spans="1:29">
      <c r="A221" s="53">
        <f t="shared" si="15"/>
        <v>2014.08</v>
      </c>
      <c r="B221" s="141">
        <v>772712</v>
      </c>
      <c r="C221" s="2382">
        <f>SUM(D221:J221)</f>
        <v>491139</v>
      </c>
      <c r="D221" s="3504">
        <v>57608</v>
      </c>
      <c r="E221" s="151">
        <v>213650</v>
      </c>
      <c r="F221" s="3504">
        <v>31653</v>
      </c>
      <c r="G221" s="151">
        <v>83479</v>
      </c>
      <c r="H221" s="3504">
        <v>63865</v>
      </c>
      <c r="I221" s="151">
        <v>27932</v>
      </c>
      <c r="J221" s="3504">
        <v>12952</v>
      </c>
      <c r="K221" s="151">
        <v>108533</v>
      </c>
      <c r="L221" s="3504">
        <v>25464</v>
      </c>
      <c r="M221" s="151">
        <v>45930</v>
      </c>
      <c r="N221" s="1396">
        <v>101646</v>
      </c>
      <c r="O221" s="1399"/>
      <c r="P221" s="1398">
        <v>149040</v>
      </c>
      <c r="Q221" s="1398">
        <v>2743063</v>
      </c>
      <c r="R221" s="1602">
        <f t="shared" si="12"/>
        <v>5184.5947396672036</v>
      </c>
      <c r="S221" s="1604">
        <f t="shared" si="13"/>
        <v>281.69677473685442</v>
      </c>
      <c r="T221" s="646"/>
      <c r="U221" s="1983">
        <v>15666564</v>
      </c>
      <c r="V221" s="647"/>
      <c r="W221" s="261"/>
      <c r="X221" s="3003"/>
      <c r="Y221" s="217">
        <v>-9.3000000000000007</v>
      </c>
      <c r="Z221" s="941"/>
      <c r="AA221" s="1246"/>
      <c r="AB221" s="941"/>
      <c r="AC221" s="941"/>
    </row>
    <row r="222" spans="1:29">
      <c r="A222" s="53">
        <f t="shared" si="15"/>
        <v>2014.09</v>
      </c>
      <c r="B222" s="141">
        <v>712170</v>
      </c>
      <c r="C222" s="2382">
        <f t="shared" si="14"/>
        <v>466120</v>
      </c>
      <c r="D222" s="3504">
        <v>53580</v>
      </c>
      <c r="E222" s="151">
        <v>204227</v>
      </c>
      <c r="F222" s="3504">
        <v>29462</v>
      </c>
      <c r="G222" s="151">
        <v>80820</v>
      </c>
      <c r="H222" s="3504">
        <v>59364</v>
      </c>
      <c r="I222" s="151">
        <v>26357</v>
      </c>
      <c r="J222" s="3504">
        <v>12310</v>
      </c>
      <c r="K222" s="151">
        <v>100130</v>
      </c>
      <c r="L222" s="3504">
        <v>21233</v>
      </c>
      <c r="M222" s="151">
        <v>43246</v>
      </c>
      <c r="N222" s="1396">
        <v>81441</v>
      </c>
      <c r="O222" s="1399"/>
      <c r="P222" s="1398">
        <v>149040</v>
      </c>
      <c r="Q222" s="1398">
        <v>2519276</v>
      </c>
      <c r="R222" s="1602">
        <f t="shared" si="12"/>
        <v>4778.3816425120767</v>
      </c>
      <c r="S222" s="1604">
        <f t="shared" si="13"/>
        <v>282.68835967158816</v>
      </c>
      <c r="T222" s="646"/>
      <c r="U222" s="1983">
        <v>14585287</v>
      </c>
      <c r="V222" s="647"/>
      <c r="W222" s="261"/>
      <c r="X222" s="3003"/>
      <c r="Y222" s="217">
        <v>-8.1999999999999993</v>
      </c>
      <c r="Z222" s="941"/>
      <c r="AA222" s="1246"/>
      <c r="AB222" s="941"/>
      <c r="AC222" s="941"/>
    </row>
    <row r="223" spans="1:29">
      <c r="A223" s="53">
        <f t="shared" si="15"/>
        <v>2014.1</v>
      </c>
      <c r="B223" s="141">
        <v>808522</v>
      </c>
      <c r="C223" s="2382">
        <f t="shared" si="14"/>
        <v>509893</v>
      </c>
      <c r="D223" s="3504">
        <v>63781</v>
      </c>
      <c r="E223" s="151">
        <v>222451</v>
      </c>
      <c r="F223" s="3504">
        <v>31692</v>
      </c>
      <c r="G223" s="151">
        <v>84431</v>
      </c>
      <c r="H223" s="3504">
        <v>65563</v>
      </c>
      <c r="I223" s="151">
        <v>28766</v>
      </c>
      <c r="J223" s="3504">
        <v>13209</v>
      </c>
      <c r="K223" s="151">
        <v>110008</v>
      </c>
      <c r="L223" s="3504">
        <v>26096</v>
      </c>
      <c r="M223" s="151">
        <v>64628</v>
      </c>
      <c r="N223" s="1396">
        <v>97897</v>
      </c>
      <c r="O223" s="1399"/>
      <c r="P223" s="1398">
        <v>149040</v>
      </c>
      <c r="Q223" s="1398">
        <v>2658610</v>
      </c>
      <c r="R223" s="1602">
        <f t="shared" si="12"/>
        <v>5424.8658078368217</v>
      </c>
      <c r="S223" s="1604">
        <f t="shared" si="13"/>
        <v>304.11455610262504</v>
      </c>
      <c r="T223" s="646"/>
      <c r="U223" s="1983">
        <v>16343929</v>
      </c>
      <c r="V223" s="647"/>
      <c r="W223" s="261"/>
      <c r="X223" s="3003"/>
      <c r="Y223" s="217">
        <v>-5.3</v>
      </c>
      <c r="Z223" s="941"/>
      <c r="AA223" s="1246"/>
      <c r="AB223" s="941"/>
      <c r="AC223" s="941"/>
    </row>
    <row r="224" spans="1:29">
      <c r="A224" s="53">
        <f t="shared" si="15"/>
        <v>2014.11</v>
      </c>
      <c r="B224" s="141">
        <v>848793</v>
      </c>
      <c r="C224" s="2382">
        <f t="shared" si="14"/>
        <v>511498</v>
      </c>
      <c r="D224" s="3504">
        <v>71119</v>
      </c>
      <c r="E224" s="151">
        <v>215639</v>
      </c>
      <c r="F224" s="3504">
        <v>32497</v>
      </c>
      <c r="G224" s="151">
        <v>84593</v>
      </c>
      <c r="H224" s="3504">
        <v>66945</v>
      </c>
      <c r="I224" s="151">
        <v>27375</v>
      </c>
      <c r="J224" s="3504">
        <v>13330</v>
      </c>
      <c r="K224" s="151">
        <v>114321</v>
      </c>
      <c r="L224" s="3504">
        <v>28765</v>
      </c>
      <c r="M224" s="151">
        <v>77250</v>
      </c>
      <c r="N224" s="1396">
        <v>116969</v>
      </c>
      <c r="O224" s="1399"/>
      <c r="P224" s="1398">
        <v>148880</v>
      </c>
      <c r="Q224" s="1398">
        <v>2619913</v>
      </c>
      <c r="R224" s="1602">
        <f>$B224/P224*1000</f>
        <v>5701.1888769478774</v>
      </c>
      <c r="S224" s="1604">
        <f>$B224/Q224*1000</f>
        <v>323.97755192634258</v>
      </c>
      <c r="T224" s="646"/>
      <c r="U224" s="1983">
        <v>17289652</v>
      </c>
      <c r="V224" s="647"/>
      <c r="W224" s="261"/>
      <c r="X224" s="3003"/>
      <c r="Y224" s="217">
        <v>-4.9000000000000004</v>
      </c>
      <c r="Z224" s="941"/>
      <c r="AA224" s="1246"/>
      <c r="AB224" s="941"/>
      <c r="AC224" s="941"/>
    </row>
    <row r="225" spans="1:32">
      <c r="A225" s="53">
        <f t="shared" si="15"/>
        <v>2014.12</v>
      </c>
      <c r="B225" s="141">
        <v>1011892</v>
      </c>
      <c r="C225" s="2382">
        <f t="shared" si="14"/>
        <v>623818</v>
      </c>
      <c r="D225" s="3504">
        <v>109532</v>
      </c>
      <c r="E225" s="151">
        <v>261726</v>
      </c>
      <c r="F225" s="3504">
        <v>36917</v>
      </c>
      <c r="G225" s="151">
        <v>86065</v>
      </c>
      <c r="H225" s="3504">
        <v>76632</v>
      </c>
      <c r="I225" s="151">
        <v>36728</v>
      </c>
      <c r="J225" s="3504">
        <v>16218</v>
      </c>
      <c r="K225" s="151">
        <v>118615</v>
      </c>
      <c r="L225" s="3504">
        <v>39478</v>
      </c>
      <c r="M225" s="151">
        <v>68104</v>
      </c>
      <c r="N225" s="1396">
        <v>161877</v>
      </c>
      <c r="O225" s="1399"/>
      <c r="P225" s="1398">
        <v>148880</v>
      </c>
      <c r="Q225" s="1398">
        <v>2849415</v>
      </c>
      <c r="R225" s="1602">
        <f t="shared" si="12"/>
        <v>6796.695325094036</v>
      </c>
      <c r="S225" s="1604">
        <f t="shared" si="13"/>
        <v>355.12271817197563</v>
      </c>
      <c r="T225" s="646"/>
      <c r="U225" s="1983">
        <v>20450742</v>
      </c>
      <c r="V225" s="647"/>
      <c r="W225" s="261"/>
      <c r="X225" s="3003"/>
      <c r="Y225" s="217">
        <v>2</v>
      </c>
      <c r="Z225" s="941"/>
      <c r="AA225" s="1246"/>
      <c r="AB225" s="941"/>
      <c r="AC225" s="941"/>
      <c r="AD225" s="1246"/>
      <c r="AE225" s="1246"/>
      <c r="AF225" s="1246"/>
    </row>
    <row r="226" spans="1:32">
      <c r="A226" s="53">
        <f t="shared" si="15"/>
        <v>2015.01</v>
      </c>
      <c r="B226" s="141">
        <v>825367</v>
      </c>
      <c r="C226" s="2382">
        <f t="shared" si="14"/>
        <v>504496</v>
      </c>
      <c r="D226" s="3504">
        <v>69065</v>
      </c>
      <c r="E226" s="151">
        <v>208282</v>
      </c>
      <c r="F226" s="3504">
        <v>30345</v>
      </c>
      <c r="G226" s="151">
        <v>80884</v>
      </c>
      <c r="H226" s="3504">
        <v>67336</v>
      </c>
      <c r="I226" s="151">
        <v>34316</v>
      </c>
      <c r="J226" s="3504">
        <v>14268</v>
      </c>
      <c r="K226" s="151">
        <v>118113</v>
      </c>
      <c r="L226" s="3504">
        <v>28078</v>
      </c>
      <c r="M226" s="151">
        <v>54700</v>
      </c>
      <c r="N226" s="1396">
        <v>119980</v>
      </c>
      <c r="O226" s="1399"/>
      <c r="P226" s="1398">
        <v>148880</v>
      </c>
      <c r="Q226" s="1398">
        <v>2518660</v>
      </c>
      <c r="R226" s="1602">
        <f t="shared" si="12"/>
        <v>5543.8406770553465</v>
      </c>
      <c r="S226" s="1604">
        <f t="shared" si="13"/>
        <v>327.7008409233481</v>
      </c>
      <c r="T226" s="646"/>
      <c r="U226" s="1983">
        <v>17000600</v>
      </c>
      <c r="V226" s="647"/>
      <c r="W226" s="261"/>
      <c r="X226" s="3003"/>
      <c r="Y226" s="217">
        <v>1.5</v>
      </c>
      <c r="Z226" s="941"/>
      <c r="AA226" s="1246"/>
      <c r="AB226" s="941"/>
      <c r="AC226" s="941"/>
      <c r="AD226" s="1246"/>
      <c r="AE226" s="1246"/>
      <c r="AF226" s="1246"/>
    </row>
    <row r="227" spans="1:32">
      <c r="A227" s="53">
        <f t="shared" si="15"/>
        <v>2015.02</v>
      </c>
      <c r="B227" s="141">
        <v>782194</v>
      </c>
      <c r="C227" s="2382">
        <f t="shared" si="14"/>
        <v>489612</v>
      </c>
      <c r="D227" s="3504">
        <v>65025</v>
      </c>
      <c r="E227" s="151">
        <v>202362</v>
      </c>
      <c r="F227" s="3504">
        <v>29612</v>
      </c>
      <c r="G227" s="151">
        <v>79843</v>
      </c>
      <c r="H227" s="3504">
        <v>65934</v>
      </c>
      <c r="I227" s="151">
        <v>33073</v>
      </c>
      <c r="J227" s="3504">
        <v>13763</v>
      </c>
      <c r="K227" s="151">
        <v>108783</v>
      </c>
      <c r="L227" s="3504">
        <v>25077</v>
      </c>
      <c r="M227" s="151">
        <v>45391</v>
      </c>
      <c r="N227" s="1396">
        <v>113331</v>
      </c>
      <c r="O227" s="1399"/>
      <c r="P227" s="1398">
        <v>148880</v>
      </c>
      <c r="Q227" s="1398">
        <v>2373148</v>
      </c>
      <c r="R227" s="1602">
        <f t="shared" si="12"/>
        <v>5253.8554540569585</v>
      </c>
      <c r="S227" s="1604">
        <f t="shared" si="13"/>
        <v>329.60186216788838</v>
      </c>
      <c r="T227" s="646"/>
      <c r="U227" s="1983">
        <v>16238500</v>
      </c>
      <c r="V227" s="647"/>
      <c r="W227" s="261"/>
      <c r="X227" s="3003"/>
      <c r="Y227" s="217">
        <v>2.8</v>
      </c>
      <c r="Z227" s="941"/>
      <c r="AA227" s="1246"/>
      <c r="AB227" s="941"/>
      <c r="AC227" s="941"/>
      <c r="AD227" s="1246"/>
      <c r="AE227" s="1246"/>
      <c r="AF227" s="1246"/>
    </row>
    <row r="228" spans="1:32">
      <c r="A228" s="53">
        <f t="shared" si="15"/>
        <v>2015.03</v>
      </c>
      <c r="B228" s="141">
        <v>832475</v>
      </c>
      <c r="C228" s="2382">
        <f t="shared" si="14"/>
        <v>537090</v>
      </c>
      <c r="D228" s="3504">
        <v>66655</v>
      </c>
      <c r="E228" s="151">
        <v>225521</v>
      </c>
      <c r="F228" s="3504">
        <v>33990</v>
      </c>
      <c r="G228" s="151">
        <v>88365</v>
      </c>
      <c r="H228" s="3504">
        <v>72457</v>
      </c>
      <c r="I228" s="151">
        <v>34892</v>
      </c>
      <c r="J228" s="3504">
        <v>15210</v>
      </c>
      <c r="K228" s="151">
        <v>117260</v>
      </c>
      <c r="L228" s="3504">
        <v>27127</v>
      </c>
      <c r="M228" s="151">
        <v>46857</v>
      </c>
      <c r="N228" s="1396">
        <v>104141</v>
      </c>
      <c r="O228" s="1399"/>
      <c r="P228" s="1398">
        <v>148880</v>
      </c>
      <c r="Q228" s="1398">
        <v>2516726</v>
      </c>
      <c r="R228" s="1602">
        <f t="shared" si="12"/>
        <v>5591.5838259000539</v>
      </c>
      <c r="S228" s="1604">
        <f t="shared" si="13"/>
        <v>330.77696976150759</v>
      </c>
      <c r="T228" s="646"/>
      <c r="U228" s="1983">
        <v>17560900</v>
      </c>
      <c r="V228" s="647"/>
      <c r="W228" s="261"/>
      <c r="X228" s="3003"/>
      <c r="Y228" s="217">
        <v>2.2000000000000002</v>
      </c>
      <c r="Z228" s="941"/>
      <c r="AA228" s="1246"/>
      <c r="AB228" s="941"/>
      <c r="AC228" s="941"/>
      <c r="AD228" s="1246"/>
      <c r="AE228" s="1246"/>
      <c r="AF228" s="1246"/>
    </row>
    <row r="229" spans="1:32">
      <c r="A229" s="53">
        <f t="shared" si="15"/>
        <v>2015.04</v>
      </c>
      <c r="B229" s="141">
        <v>828681</v>
      </c>
      <c r="C229" s="2382">
        <f t="shared" si="14"/>
        <v>543454</v>
      </c>
      <c r="D229" s="3504">
        <v>65080</v>
      </c>
      <c r="E229" s="151">
        <v>231964</v>
      </c>
      <c r="F229" s="3504">
        <v>34886</v>
      </c>
      <c r="G229" s="151">
        <v>89046</v>
      </c>
      <c r="H229" s="3504">
        <v>73120</v>
      </c>
      <c r="I229" s="151">
        <v>34403</v>
      </c>
      <c r="J229" s="3504">
        <v>14955</v>
      </c>
      <c r="K229" s="151">
        <v>116176</v>
      </c>
      <c r="L229" s="3504">
        <v>26329</v>
      </c>
      <c r="M229" s="151">
        <v>45858</v>
      </c>
      <c r="N229" s="1396">
        <v>96864</v>
      </c>
      <c r="O229" s="1399"/>
      <c r="P229" s="1398">
        <v>148880</v>
      </c>
      <c r="Q229" s="1398">
        <v>2452929</v>
      </c>
      <c r="R229" s="1602">
        <f t="shared" si="12"/>
        <v>5566.1002149382057</v>
      </c>
      <c r="S229" s="1604">
        <f t="shared" si="13"/>
        <v>337.83325974783617</v>
      </c>
      <c r="T229" s="646"/>
      <c r="U229" s="1983">
        <v>17334500</v>
      </c>
      <c r="V229" s="647"/>
      <c r="W229" s="261"/>
      <c r="X229" s="3003"/>
      <c r="Y229" s="217">
        <v>1.6</v>
      </c>
      <c r="Z229" s="941"/>
      <c r="AA229" s="1246"/>
      <c r="AB229" s="941"/>
      <c r="AC229" s="941"/>
      <c r="AD229" s="1246"/>
      <c r="AE229" s="1246"/>
      <c r="AF229" s="1246"/>
    </row>
    <row r="230" spans="1:32">
      <c r="A230" s="53">
        <f t="shared" si="15"/>
        <v>2015.05</v>
      </c>
      <c r="B230" s="141">
        <v>878264</v>
      </c>
      <c r="C230" s="2382">
        <f t="shared" si="14"/>
        <v>544689</v>
      </c>
      <c r="D230" s="3504">
        <v>61551</v>
      </c>
      <c r="E230" s="151">
        <v>236776</v>
      </c>
      <c r="F230" s="3504">
        <v>34774</v>
      </c>
      <c r="G230" s="151">
        <v>90829</v>
      </c>
      <c r="H230" s="3504">
        <v>72871</v>
      </c>
      <c r="I230" s="151">
        <v>32866</v>
      </c>
      <c r="J230" s="3504">
        <v>15022</v>
      </c>
      <c r="K230" s="151">
        <v>124552</v>
      </c>
      <c r="L230" s="3504">
        <v>37406</v>
      </c>
      <c r="M230" s="151">
        <v>60174</v>
      </c>
      <c r="N230" s="1396">
        <v>111443</v>
      </c>
      <c r="O230" s="1399"/>
      <c r="P230" s="1398">
        <v>148880</v>
      </c>
      <c r="Q230" s="1398">
        <v>2440538</v>
      </c>
      <c r="R230" s="1602">
        <f t="shared" si="12"/>
        <v>5899.1402471789361</v>
      </c>
      <c r="S230" s="1604">
        <f t="shared" si="13"/>
        <v>359.86491503103002</v>
      </c>
      <c r="T230" s="646"/>
      <c r="U230" s="1983">
        <v>18256100</v>
      </c>
      <c r="V230" s="647"/>
      <c r="W230" s="261"/>
      <c r="X230" s="3003"/>
      <c r="Y230" s="217">
        <v>1.7</v>
      </c>
      <c r="Z230" s="941"/>
      <c r="AA230" s="1246"/>
      <c r="AB230" s="941"/>
      <c r="AC230" s="941"/>
      <c r="AD230" s="1246"/>
      <c r="AE230" s="1246"/>
      <c r="AF230" s="1246"/>
    </row>
    <row r="231" spans="1:32">
      <c r="A231" s="53">
        <f t="shared" si="15"/>
        <v>2015.06</v>
      </c>
      <c r="B231" s="141">
        <v>896600</v>
      </c>
      <c r="C231" s="2382">
        <f t="shared" si="14"/>
        <v>538438</v>
      </c>
      <c r="D231" s="3504">
        <v>59285</v>
      </c>
      <c r="E231" s="151">
        <v>239414</v>
      </c>
      <c r="F231" s="3504">
        <v>34282</v>
      </c>
      <c r="G231" s="151">
        <v>90084</v>
      </c>
      <c r="H231" s="3504">
        <v>69577</v>
      </c>
      <c r="I231" s="151">
        <v>31624</v>
      </c>
      <c r="J231" s="3504">
        <v>14172</v>
      </c>
      <c r="K231" s="151">
        <v>116956</v>
      </c>
      <c r="L231" s="3504">
        <v>37622</v>
      </c>
      <c r="M231" s="151">
        <v>61591</v>
      </c>
      <c r="N231" s="1396">
        <v>141993</v>
      </c>
      <c r="O231" s="1399"/>
      <c r="P231" s="1398">
        <v>148880</v>
      </c>
      <c r="Q231" s="1398">
        <v>2490041</v>
      </c>
      <c r="R231" s="1602">
        <f t="shared" si="12"/>
        <v>6022.2998387963462</v>
      </c>
      <c r="S231" s="1604">
        <f t="shared" si="13"/>
        <v>360.07439234936294</v>
      </c>
      <c r="T231" s="646"/>
      <c r="U231" s="1983">
        <v>18136700</v>
      </c>
      <c r="V231" s="647"/>
      <c r="W231" s="261"/>
      <c r="X231" s="3003"/>
      <c r="Y231" s="217">
        <v>1.8</v>
      </c>
      <c r="Z231" s="941"/>
      <c r="AA231" s="1246"/>
      <c r="AB231" s="941"/>
      <c r="AC231" s="941"/>
      <c r="AD231" s="1246"/>
      <c r="AE231" s="1246"/>
      <c r="AF231" s="1246"/>
    </row>
    <row r="232" spans="1:32">
      <c r="A232" s="53">
        <f t="shared" si="15"/>
        <v>2015.07</v>
      </c>
      <c r="B232" s="141">
        <v>947499</v>
      </c>
      <c r="C232" s="2382">
        <f t="shared" si="14"/>
        <v>571826</v>
      </c>
      <c r="D232" s="3504">
        <v>64006</v>
      </c>
      <c r="E232" s="151">
        <v>256439</v>
      </c>
      <c r="F232" s="3504">
        <v>36865</v>
      </c>
      <c r="G232" s="151">
        <v>93720</v>
      </c>
      <c r="H232" s="3504">
        <v>72877</v>
      </c>
      <c r="I232" s="151">
        <v>33449</v>
      </c>
      <c r="J232" s="3504">
        <v>14470</v>
      </c>
      <c r="K232" s="151">
        <v>123229</v>
      </c>
      <c r="L232" s="3504">
        <v>42283</v>
      </c>
      <c r="M232" s="151">
        <v>53392</v>
      </c>
      <c r="N232" s="1396">
        <v>156769</v>
      </c>
      <c r="O232" s="1399"/>
      <c r="P232" s="1398">
        <v>148880</v>
      </c>
      <c r="Q232" s="1398">
        <v>2552357</v>
      </c>
      <c r="R232" s="1602">
        <f t="shared" si="12"/>
        <v>6364.1792047286399</v>
      </c>
      <c r="S232" s="1604">
        <f t="shared" si="13"/>
        <v>371.22510683262567</v>
      </c>
      <c r="T232" s="646"/>
      <c r="U232" s="1983">
        <v>19332500</v>
      </c>
      <c r="V232" s="647"/>
      <c r="W232" s="261"/>
      <c r="X232" s="3003"/>
      <c r="Y232" s="217">
        <v>1.7</v>
      </c>
      <c r="Z232" s="941"/>
      <c r="AA232" s="1246"/>
      <c r="AB232" s="941"/>
      <c r="AC232" s="941"/>
      <c r="AD232" s="1246"/>
      <c r="AE232" s="1246"/>
      <c r="AF232" s="1246"/>
    </row>
    <row r="233" spans="1:32">
      <c r="A233" s="53">
        <f t="shared" si="15"/>
        <v>2015.08</v>
      </c>
      <c r="B233" s="141">
        <v>964311</v>
      </c>
      <c r="C233" s="2382">
        <f t="shared" si="14"/>
        <v>585220</v>
      </c>
      <c r="D233" s="3504">
        <v>66206</v>
      </c>
      <c r="E233" s="151">
        <v>255690</v>
      </c>
      <c r="F233" s="3504">
        <v>37841</v>
      </c>
      <c r="G233" s="151">
        <v>97357</v>
      </c>
      <c r="H233" s="3504">
        <v>77534</v>
      </c>
      <c r="I233" s="151">
        <v>35859</v>
      </c>
      <c r="J233" s="3504">
        <v>14733</v>
      </c>
      <c r="K233" s="151">
        <v>131896</v>
      </c>
      <c r="L233" s="3504">
        <v>36254</v>
      </c>
      <c r="M233" s="151">
        <v>62046</v>
      </c>
      <c r="N233" s="1396">
        <v>148895</v>
      </c>
      <c r="O233" s="1399"/>
      <c r="P233" s="1398">
        <v>148880</v>
      </c>
      <c r="Q233" s="1398">
        <v>2522524</v>
      </c>
      <c r="R233" s="1602">
        <f t="shared" ref="R233:S248" si="16">$B233/P233*1000</f>
        <v>6477.1023643202579</v>
      </c>
      <c r="S233" s="1604">
        <f t="shared" si="16"/>
        <v>382.28020823587804</v>
      </c>
      <c r="T233" s="646"/>
      <c r="U233" s="1983">
        <v>19999200</v>
      </c>
      <c r="V233" s="647"/>
      <c r="W233" s="261"/>
      <c r="X233" s="3003"/>
      <c r="Y233" s="217">
        <v>2.4</v>
      </c>
      <c r="Z233" s="941"/>
      <c r="AA233" s="1246"/>
      <c r="AB233" s="941"/>
      <c r="AC233" s="941"/>
      <c r="AD233" s="1246"/>
      <c r="AE233" s="1246"/>
      <c r="AF233" s="1246"/>
    </row>
    <row r="234" spans="1:32">
      <c r="A234" s="53">
        <f t="shared" si="15"/>
        <v>2015.09</v>
      </c>
      <c r="B234" s="141">
        <v>871963</v>
      </c>
      <c r="C234" s="2382">
        <f t="shared" si="14"/>
        <v>560824</v>
      </c>
      <c r="D234" s="3504">
        <v>69988</v>
      </c>
      <c r="E234" s="151">
        <v>242084</v>
      </c>
      <c r="F234" s="3504">
        <v>34766</v>
      </c>
      <c r="G234" s="151">
        <v>91434</v>
      </c>
      <c r="H234" s="3504">
        <v>73784</v>
      </c>
      <c r="I234" s="151">
        <v>34927</v>
      </c>
      <c r="J234" s="3504">
        <v>13841</v>
      </c>
      <c r="K234" s="151">
        <v>123318</v>
      </c>
      <c r="L234" s="3504">
        <v>27826</v>
      </c>
      <c r="M234" s="151">
        <v>52847</v>
      </c>
      <c r="N234" s="1396">
        <v>107148</v>
      </c>
      <c r="O234" s="1399"/>
      <c r="P234" s="1398">
        <v>148880</v>
      </c>
      <c r="Q234" s="1398">
        <v>2328626</v>
      </c>
      <c r="R234" s="1602">
        <f t="shared" si="16"/>
        <v>5856.8175711982803</v>
      </c>
      <c r="S234" s="1604">
        <f t="shared" si="16"/>
        <v>374.45386249230233</v>
      </c>
      <c r="T234" s="646"/>
      <c r="U234" s="1983">
        <v>18195300</v>
      </c>
      <c r="V234" s="647"/>
      <c r="W234" s="261"/>
      <c r="X234" s="3003"/>
      <c r="Y234" s="217">
        <v>2.4</v>
      </c>
      <c r="Z234" s="941"/>
      <c r="AA234" s="1246"/>
      <c r="AB234" s="941"/>
      <c r="AC234" s="941"/>
      <c r="AD234" s="1300"/>
      <c r="AE234" s="1300"/>
      <c r="AF234" s="1246"/>
    </row>
    <row r="235" spans="1:32">
      <c r="A235" s="53">
        <f t="shared" si="15"/>
        <v>2015.1</v>
      </c>
      <c r="B235" s="115">
        <f>B247/1.2</f>
        <v>990467.5</v>
      </c>
      <c r="C235" s="2382">
        <f t="shared" si="14"/>
        <v>614375.59983196075</v>
      </c>
      <c r="D235" s="3603">
        <f>D234*D223/D222</f>
        <v>83312.889660321016</v>
      </c>
      <c r="E235" s="640">
        <f t="shared" ref="E235:N235" si="17">E234*E223/E222</f>
        <v>263686.13299906475</v>
      </c>
      <c r="F235" s="3603">
        <f t="shared" si="17"/>
        <v>37397.463580205011</v>
      </c>
      <c r="G235" s="640">
        <f t="shared" si="17"/>
        <v>95519.228582034149</v>
      </c>
      <c r="H235" s="3603">
        <f t="shared" si="17"/>
        <v>81488.787682770708</v>
      </c>
      <c r="I235" s="640">
        <f t="shared" si="17"/>
        <v>38119.288310505748</v>
      </c>
      <c r="J235" s="3603">
        <f t="shared" si="17"/>
        <v>14851.809017059302</v>
      </c>
      <c r="K235" s="640">
        <f t="shared" si="17"/>
        <v>135483.53684210527</v>
      </c>
      <c r="L235" s="3603">
        <f t="shared" si="17"/>
        <v>34198.996656148447</v>
      </c>
      <c r="M235" s="640">
        <f t="shared" si="17"/>
        <v>78975.995837765338</v>
      </c>
      <c r="N235" s="1401">
        <f t="shared" si="17"/>
        <v>128798.36637565846</v>
      </c>
      <c r="O235" s="1402"/>
      <c r="P235" s="1403">
        <f>P234</f>
        <v>148880</v>
      </c>
      <c r="Q235" s="1404" t="e">
        <v>#N/A</v>
      </c>
      <c r="R235" s="1602">
        <f t="shared" si="16"/>
        <v>6652.7908382590003</v>
      </c>
      <c r="S235" s="2383"/>
      <c r="T235" s="647"/>
      <c r="U235" s="1983">
        <v>20486700</v>
      </c>
      <c r="V235" s="647"/>
      <c r="W235" s="261"/>
      <c r="X235" s="3003"/>
      <c r="Y235" s="217">
        <v>2.7</v>
      </c>
      <c r="Z235" s="941"/>
      <c r="AA235" s="1246"/>
      <c r="AB235" s="941"/>
      <c r="AC235" s="941"/>
      <c r="AD235" s="1300"/>
      <c r="AE235" s="1300"/>
      <c r="AF235" s="1405"/>
    </row>
    <row r="236" spans="1:32">
      <c r="A236" s="53">
        <f t="shared" si="15"/>
        <v>2015.11</v>
      </c>
      <c r="B236" s="115">
        <f>B248/1.192</f>
        <v>1038859.0604026846</v>
      </c>
      <c r="C236" s="2382">
        <f t="shared" si="14"/>
        <v>617029.68204920983</v>
      </c>
      <c r="D236" s="3603">
        <f>D235*D224/D223</f>
        <v>92898.032325494583</v>
      </c>
      <c r="E236" s="640">
        <f t="shared" ref="E236:N236" si="18">E235*E224/E223</f>
        <v>255611.41120419925</v>
      </c>
      <c r="F236" s="3603">
        <f t="shared" si="18"/>
        <v>38347.386531803677</v>
      </c>
      <c r="G236" s="640">
        <f t="shared" si="18"/>
        <v>95702.503860430588</v>
      </c>
      <c r="H236" s="3603">
        <f t="shared" si="18"/>
        <v>83206.486759652325</v>
      </c>
      <c r="I236" s="640">
        <f t="shared" si="18"/>
        <v>36276.003528474408</v>
      </c>
      <c r="J236" s="3603">
        <f t="shared" si="18"/>
        <v>14987.85783915516</v>
      </c>
      <c r="K236" s="640">
        <f t="shared" si="18"/>
        <v>140795.33684210526</v>
      </c>
      <c r="L236" s="3603">
        <f t="shared" si="18"/>
        <v>37696.740451184472</v>
      </c>
      <c r="M236" s="640">
        <f t="shared" si="18"/>
        <v>94400.193081441044</v>
      </c>
      <c r="N236" s="1401">
        <f t="shared" si="18"/>
        <v>153890.47791652853</v>
      </c>
      <c r="O236" s="1402"/>
      <c r="P236" s="1403">
        <f>P234</f>
        <v>148880</v>
      </c>
      <c r="Q236" s="1404" t="e">
        <v>#N/A</v>
      </c>
      <c r="R236" s="1602">
        <f t="shared" si="16"/>
        <v>6977.8281864769251</v>
      </c>
      <c r="S236" s="2383"/>
      <c r="T236" s="647"/>
      <c r="U236" s="1983">
        <v>21671800</v>
      </c>
      <c r="V236" s="647"/>
      <c r="W236" s="261"/>
      <c r="X236" s="3003"/>
      <c r="Y236" s="217">
        <v>1.7</v>
      </c>
      <c r="Z236" s="941"/>
      <c r="AA236" s="1246"/>
      <c r="AB236" s="941"/>
      <c r="AC236" s="941"/>
      <c r="AD236" s="1300"/>
      <c r="AE236" s="1300"/>
      <c r="AF236" s="1405"/>
    </row>
    <row r="237" spans="1:32">
      <c r="A237" s="53">
        <f t="shared" si="15"/>
        <v>2015.12</v>
      </c>
      <c r="B237" s="141">
        <v>1305535</v>
      </c>
      <c r="C237" s="2382">
        <f t="shared" si="14"/>
        <v>782619</v>
      </c>
      <c r="D237" s="3504">
        <v>138089</v>
      </c>
      <c r="E237" s="151">
        <v>339238</v>
      </c>
      <c r="F237" s="3504">
        <v>46144</v>
      </c>
      <c r="G237" s="151">
        <v>97910</v>
      </c>
      <c r="H237" s="3504">
        <v>99487</v>
      </c>
      <c r="I237" s="151">
        <v>42662</v>
      </c>
      <c r="J237" s="3504">
        <v>19089</v>
      </c>
      <c r="K237" s="151">
        <v>151245</v>
      </c>
      <c r="L237" s="3504">
        <v>47820</v>
      </c>
      <c r="M237" s="151">
        <v>90703</v>
      </c>
      <c r="N237" s="1396">
        <v>233148</v>
      </c>
      <c r="O237" s="1402"/>
      <c r="P237" s="1398">
        <v>148880</v>
      </c>
      <c r="Q237" s="1406" t="e">
        <v>#N/A</v>
      </c>
      <c r="R237" s="1602">
        <f t="shared" si="16"/>
        <v>8769.0421816227827</v>
      </c>
      <c r="S237" s="2384"/>
      <c r="T237" s="647"/>
      <c r="U237" s="1983">
        <v>26053923</v>
      </c>
      <c r="V237" s="647"/>
      <c r="W237" s="261"/>
      <c r="X237" s="3003"/>
      <c r="Y237" s="217">
        <v>3.1</v>
      </c>
      <c r="Z237" s="941"/>
      <c r="AA237" s="1246"/>
      <c r="AB237" s="941"/>
      <c r="AC237" s="941"/>
      <c r="AD237" s="1300"/>
      <c r="AE237" s="1300"/>
      <c r="AF237" s="1405"/>
    </row>
    <row r="238" spans="1:32">
      <c r="A238" s="53">
        <f t="shared" si="15"/>
        <v>2016.01</v>
      </c>
      <c r="B238" s="141">
        <v>1037609</v>
      </c>
      <c r="C238" s="2382">
        <f t="shared" ref="C238:C245" si="19">SUM(D238:J238)</f>
        <v>607696</v>
      </c>
      <c r="D238" s="3504">
        <v>86597</v>
      </c>
      <c r="E238" s="151">
        <v>237392</v>
      </c>
      <c r="F238" s="3504">
        <v>38004</v>
      </c>
      <c r="G238" s="151">
        <v>97122</v>
      </c>
      <c r="H238" s="3504">
        <v>87785</v>
      </c>
      <c r="I238" s="151">
        <v>43872</v>
      </c>
      <c r="J238" s="3504">
        <v>16924</v>
      </c>
      <c r="K238" s="151">
        <v>160331</v>
      </c>
      <c r="L238" s="3504">
        <v>35276</v>
      </c>
      <c r="M238" s="151">
        <v>71252</v>
      </c>
      <c r="N238" s="1396">
        <v>163054</v>
      </c>
      <c r="O238" s="1402"/>
      <c r="P238" s="1398">
        <v>148880</v>
      </c>
      <c r="Q238" s="1406" t="e">
        <v>#N/A</v>
      </c>
      <c r="R238" s="1602">
        <f t="shared" si="16"/>
        <v>6969.431757119828</v>
      </c>
      <c r="S238" s="2384"/>
      <c r="T238" s="647"/>
      <c r="U238" s="1983">
        <v>21700000</v>
      </c>
      <c r="V238" s="647"/>
      <c r="W238" s="261"/>
      <c r="X238" s="3003"/>
      <c r="Y238" s="217">
        <v>-2.2999999999999998</v>
      </c>
      <c r="Z238" s="1246"/>
      <c r="AA238" s="1246"/>
      <c r="AB238" s="1246"/>
      <c r="AC238" s="1246"/>
      <c r="AD238" s="1246"/>
      <c r="AE238" s="1246"/>
      <c r="AF238" s="1246"/>
    </row>
    <row r="239" spans="1:32">
      <c r="A239" s="53">
        <f t="shared" si="15"/>
        <v>2016.02</v>
      </c>
      <c r="B239" s="141">
        <v>1009938</v>
      </c>
      <c r="C239" s="2382">
        <f t="shared" si="19"/>
        <v>621777</v>
      </c>
      <c r="D239" s="3504">
        <v>82519</v>
      </c>
      <c r="E239" s="151">
        <v>255391</v>
      </c>
      <c r="F239" s="3504">
        <v>37749</v>
      </c>
      <c r="G239" s="151">
        <v>96747</v>
      </c>
      <c r="H239" s="3504">
        <v>87732</v>
      </c>
      <c r="I239" s="151">
        <v>44684</v>
      </c>
      <c r="J239" s="3504">
        <v>16955</v>
      </c>
      <c r="K239" s="151">
        <v>151397</v>
      </c>
      <c r="L239" s="3504">
        <v>32048</v>
      </c>
      <c r="M239" s="151">
        <v>55390</v>
      </c>
      <c r="N239" s="1396">
        <v>149326</v>
      </c>
      <c r="O239" s="1402"/>
      <c r="P239" s="1398">
        <v>148880</v>
      </c>
      <c r="Q239" s="1406" t="e">
        <v>#N/A</v>
      </c>
      <c r="R239" s="1602">
        <f t="shared" si="16"/>
        <v>6783.5706609349818</v>
      </c>
      <c r="S239" s="2384"/>
      <c r="T239" s="647"/>
      <c r="U239" s="1983">
        <v>21090700</v>
      </c>
      <c r="V239" s="647"/>
      <c r="W239" s="261"/>
      <c r="X239" s="3003"/>
      <c r="Y239" s="217">
        <v>-4.5</v>
      </c>
      <c r="Z239" s="1246"/>
      <c r="AA239" s="1246"/>
      <c r="AB239" s="1246"/>
      <c r="AC239" s="1246"/>
      <c r="AD239" s="227"/>
      <c r="AE239" s="1246"/>
      <c r="AF239" s="1246"/>
    </row>
    <row r="240" spans="1:32">
      <c r="A240" s="53">
        <f t="shared" si="15"/>
        <v>2016.03</v>
      </c>
      <c r="B240" s="141">
        <v>1080353</v>
      </c>
      <c r="C240" s="2382">
        <f t="shared" si="19"/>
        <v>691295</v>
      </c>
      <c r="D240" s="3504">
        <v>81085</v>
      </c>
      <c r="E240" s="151">
        <v>301282</v>
      </c>
      <c r="F240" s="3504">
        <v>46323</v>
      </c>
      <c r="G240" s="151">
        <v>105261</v>
      </c>
      <c r="H240" s="3504">
        <v>93397</v>
      </c>
      <c r="I240" s="151">
        <v>46970</v>
      </c>
      <c r="J240" s="3504">
        <v>16977</v>
      </c>
      <c r="K240" s="151">
        <v>159199</v>
      </c>
      <c r="L240" s="3504">
        <v>33381</v>
      </c>
      <c r="M240" s="151">
        <v>60090</v>
      </c>
      <c r="N240" s="1396">
        <v>136388</v>
      </c>
      <c r="O240" s="1402"/>
      <c r="P240" s="1398">
        <v>148880</v>
      </c>
      <c r="Q240" s="1406" t="e">
        <v>#N/A</v>
      </c>
      <c r="R240" s="1602">
        <f t="shared" si="16"/>
        <v>7256.5354648038683</v>
      </c>
      <c r="S240" s="2384"/>
      <c r="T240" s="647"/>
      <c r="U240" s="1983">
        <v>22268700</v>
      </c>
      <c r="V240" s="647"/>
      <c r="W240" s="261"/>
      <c r="X240" s="3003"/>
      <c r="Y240" s="217">
        <v>-5.8</v>
      </c>
      <c r="Z240" s="1246"/>
      <c r="AA240" s="1246"/>
      <c r="AB240" s="1246"/>
      <c r="AC240" s="1246"/>
      <c r="AD240" s="1246"/>
      <c r="AE240" s="1246"/>
      <c r="AF240" s="1246"/>
    </row>
    <row r="241" spans="1:28">
      <c r="A241" s="53">
        <f t="shared" si="15"/>
        <v>2016.04</v>
      </c>
      <c r="B241" s="141">
        <v>1087468</v>
      </c>
      <c r="C241" s="2382">
        <f t="shared" si="19"/>
        <v>689156</v>
      </c>
      <c r="D241" s="3504">
        <v>77886</v>
      </c>
      <c r="E241" s="151">
        <v>298624</v>
      </c>
      <c r="F241" s="3504">
        <v>44031</v>
      </c>
      <c r="G241" s="151">
        <v>109248</v>
      </c>
      <c r="H241" s="3504">
        <v>98755</v>
      </c>
      <c r="I241" s="151">
        <v>43957</v>
      </c>
      <c r="J241" s="3504">
        <v>16655</v>
      </c>
      <c r="K241" s="151">
        <v>163290</v>
      </c>
      <c r="L241" s="3504">
        <v>42160</v>
      </c>
      <c r="M241" s="151">
        <v>63900</v>
      </c>
      <c r="N241" s="1396">
        <v>128962</v>
      </c>
      <c r="O241" s="1402"/>
      <c r="P241" s="1398">
        <v>148880</v>
      </c>
      <c r="Q241" s="1406" t="e">
        <v>#N/A</v>
      </c>
      <c r="R241" s="1602">
        <f t="shared" si="16"/>
        <v>7304.3256313809779</v>
      </c>
      <c r="S241" s="2384"/>
      <c r="T241" s="647"/>
      <c r="U241" s="1983">
        <v>22199000</v>
      </c>
      <c r="V241" s="647"/>
      <c r="W241" s="261"/>
      <c r="X241" s="3003"/>
      <c r="Y241" s="217">
        <v>-6.6</v>
      </c>
      <c r="Z241" s="1246"/>
      <c r="AA241" s="1246"/>
      <c r="AB241" s="1246"/>
    </row>
    <row r="242" spans="1:28">
      <c r="A242" s="53">
        <f t="shared" si="15"/>
        <v>2016.05</v>
      </c>
      <c r="B242" s="141">
        <v>1139515</v>
      </c>
      <c r="C242" s="2382">
        <f>SUM(D242:J242)</f>
        <v>706358</v>
      </c>
      <c r="D242" s="3504">
        <v>75957</v>
      </c>
      <c r="E242" s="151">
        <v>312905</v>
      </c>
      <c r="F242" s="3504">
        <v>43376</v>
      </c>
      <c r="G242" s="151">
        <v>118403</v>
      </c>
      <c r="H242" s="3504">
        <v>96202</v>
      </c>
      <c r="I242" s="151">
        <v>42573</v>
      </c>
      <c r="J242" s="3504">
        <v>16942</v>
      </c>
      <c r="K242" s="151">
        <v>164133</v>
      </c>
      <c r="L242" s="3504">
        <v>49804</v>
      </c>
      <c r="M242" s="151">
        <v>75666</v>
      </c>
      <c r="N242" s="1396">
        <v>143554</v>
      </c>
      <c r="O242" s="1402"/>
      <c r="P242" s="1398">
        <v>148880</v>
      </c>
      <c r="Q242" s="1406" t="e">
        <v>#N/A</v>
      </c>
      <c r="R242" s="1602">
        <f t="shared" si="16"/>
        <v>7653.9159054271895</v>
      </c>
      <c r="S242" s="2384"/>
      <c r="T242" s="647"/>
      <c r="U242" s="1983">
        <v>22731800</v>
      </c>
      <c r="V242" s="647"/>
      <c r="W242" s="261"/>
      <c r="X242" s="3003"/>
      <c r="Y242" s="217">
        <v>-9.1999999999999993</v>
      </c>
      <c r="Z242" s="1246"/>
      <c r="AA242" s="1246"/>
      <c r="AB242" s="1246"/>
    </row>
    <row r="243" spans="1:28">
      <c r="A243" s="53">
        <f t="shared" si="15"/>
        <v>2016.06</v>
      </c>
      <c r="B243" s="141">
        <v>1155859</v>
      </c>
      <c r="C243" s="2382">
        <f t="shared" si="19"/>
        <v>725227</v>
      </c>
      <c r="D243" s="3504">
        <v>83159</v>
      </c>
      <c r="E243" s="151">
        <v>319491</v>
      </c>
      <c r="F243" s="3504">
        <v>47160</v>
      </c>
      <c r="G243" s="151">
        <v>119725</v>
      </c>
      <c r="H243" s="3504">
        <v>94910</v>
      </c>
      <c r="I243" s="151">
        <v>43427</v>
      </c>
      <c r="J243" s="3504">
        <v>17355</v>
      </c>
      <c r="K243" s="151">
        <v>158727</v>
      </c>
      <c r="L243" s="3504">
        <v>48162</v>
      </c>
      <c r="M243" s="151">
        <v>71504</v>
      </c>
      <c r="N243" s="1396">
        <v>152240</v>
      </c>
      <c r="O243" s="1402"/>
      <c r="P243" s="1398">
        <v>148880</v>
      </c>
      <c r="Q243" s="1406" t="e">
        <v>#N/A</v>
      </c>
      <c r="R243" s="1602">
        <f t="shared" si="16"/>
        <v>7763.6955937667926</v>
      </c>
      <c r="S243" s="2384"/>
      <c r="T243" s="647"/>
      <c r="U243" s="1983">
        <v>23053770</v>
      </c>
      <c r="V243" s="647"/>
      <c r="W243" s="261"/>
      <c r="X243" s="3003"/>
      <c r="Y243" s="217">
        <v>-9.8000000000000007</v>
      </c>
      <c r="Z243" s="1246"/>
      <c r="AA243" s="1246"/>
      <c r="AB243" s="1246"/>
    </row>
    <row r="244" spans="1:28">
      <c r="A244" s="53">
        <f t="shared" si="15"/>
        <v>2016.07</v>
      </c>
      <c r="B244" s="141">
        <v>1190943</v>
      </c>
      <c r="C244" s="2382">
        <f t="shared" si="19"/>
        <v>755560</v>
      </c>
      <c r="D244" s="3504">
        <v>87736</v>
      </c>
      <c r="E244" s="151">
        <v>335989</v>
      </c>
      <c r="F244" s="3504">
        <v>48137</v>
      </c>
      <c r="G244" s="151">
        <v>123913</v>
      </c>
      <c r="H244" s="3504">
        <v>96265</v>
      </c>
      <c r="I244" s="151">
        <v>45274</v>
      </c>
      <c r="J244" s="3504">
        <v>18246</v>
      </c>
      <c r="K244" s="151">
        <v>163010</v>
      </c>
      <c r="L244" s="3504">
        <v>53436</v>
      </c>
      <c r="M244" s="151">
        <v>69411</v>
      </c>
      <c r="N244" s="1396">
        <v>149526</v>
      </c>
      <c r="O244" s="1402"/>
      <c r="P244" s="1398">
        <v>148880</v>
      </c>
      <c r="Q244" s="1406" t="e">
        <v>#N/A</v>
      </c>
      <c r="R244" s="1602">
        <f t="shared" si="16"/>
        <v>7999.3484685652875</v>
      </c>
      <c r="S244" s="2384"/>
      <c r="T244" s="647"/>
      <c r="U244" s="1983">
        <v>25127900</v>
      </c>
      <c r="V244" s="647"/>
      <c r="W244" s="261"/>
      <c r="X244" s="3003"/>
      <c r="Y244" s="217">
        <v>-8.1</v>
      </c>
      <c r="Z244" s="1246"/>
      <c r="AA244" s="1246"/>
      <c r="AB244" s="1246"/>
    </row>
    <row r="245" spans="1:28">
      <c r="A245" s="53">
        <f t="shared" si="15"/>
        <v>2016.08</v>
      </c>
      <c r="B245" s="141">
        <v>1167031</v>
      </c>
      <c r="C245" s="2382">
        <f t="shared" si="19"/>
        <v>735807</v>
      </c>
      <c r="D245" s="3504">
        <v>87450</v>
      </c>
      <c r="E245" s="151">
        <v>322344</v>
      </c>
      <c r="F245" s="3504">
        <v>45875</v>
      </c>
      <c r="G245" s="151">
        <v>124638</v>
      </c>
      <c r="H245" s="3504">
        <v>93031</v>
      </c>
      <c r="I245" s="151">
        <v>44917</v>
      </c>
      <c r="J245" s="3504">
        <v>17552</v>
      </c>
      <c r="K245" s="151">
        <v>162134</v>
      </c>
      <c r="L245" s="3504">
        <v>37837</v>
      </c>
      <c r="M245" s="151">
        <v>58223</v>
      </c>
      <c r="N245" s="1396">
        <v>173032</v>
      </c>
      <c r="O245" s="1402"/>
      <c r="P245" s="1398">
        <v>148880</v>
      </c>
      <c r="Q245" s="1406" t="e">
        <v>#N/A</v>
      </c>
      <c r="R245" s="1602">
        <f t="shared" si="16"/>
        <v>7838.7358946802788</v>
      </c>
      <c r="S245" s="2384"/>
      <c r="T245" s="647"/>
      <c r="U245" s="1983">
        <v>24232651</v>
      </c>
      <c r="V245" s="647"/>
      <c r="W245" s="261"/>
      <c r="X245" s="3003"/>
      <c r="Y245" s="217">
        <v>-7.4</v>
      </c>
      <c r="Z245" s="1246"/>
      <c r="AA245" s="1246"/>
      <c r="AB245" s="1246"/>
    </row>
    <row r="246" spans="1:28">
      <c r="A246" s="53">
        <f t="shared" si="15"/>
        <v>2016.09</v>
      </c>
      <c r="B246" s="141">
        <v>1117663</v>
      </c>
      <c r="C246" s="2382">
        <f t="shared" ref="C246:C309" si="20">SUM(D246:J246)</f>
        <v>745064</v>
      </c>
      <c r="D246" s="3504">
        <v>90331</v>
      </c>
      <c r="E246" s="151">
        <v>330241</v>
      </c>
      <c r="F246" s="3504">
        <v>45912</v>
      </c>
      <c r="G246" s="151">
        <v>125087</v>
      </c>
      <c r="H246" s="3504">
        <v>91454</v>
      </c>
      <c r="I246" s="151">
        <v>44142</v>
      </c>
      <c r="J246" s="3504">
        <v>17897</v>
      </c>
      <c r="K246" s="151">
        <v>170635</v>
      </c>
      <c r="L246" s="3504">
        <v>35214</v>
      </c>
      <c r="M246" s="151">
        <v>60843</v>
      </c>
      <c r="N246" s="1396">
        <v>105906</v>
      </c>
      <c r="O246" s="1402"/>
      <c r="P246" s="1398">
        <v>148880</v>
      </c>
      <c r="Q246" s="1406" t="e">
        <v>#N/A</v>
      </c>
      <c r="R246" s="1602">
        <f t="shared" si="16"/>
        <v>7507.1399785061794</v>
      </c>
      <c r="S246" s="2384"/>
      <c r="T246" s="647"/>
      <c r="U246" s="1983">
        <v>23603392</v>
      </c>
      <c r="V246" s="647"/>
      <c r="W246" s="261"/>
      <c r="X246" s="3003"/>
      <c r="Y246" s="217">
        <v>-7.7</v>
      </c>
      <c r="Z246" s="1246"/>
      <c r="AA246" s="1246"/>
      <c r="AB246" s="1246"/>
    </row>
    <row r="247" spans="1:28">
      <c r="A247" s="53">
        <f t="shared" si="15"/>
        <v>2016.1</v>
      </c>
      <c r="B247" s="141">
        <v>1188561</v>
      </c>
      <c r="C247" s="2382">
        <f t="shared" si="20"/>
        <v>761842</v>
      </c>
      <c r="D247" s="3504">
        <v>97699</v>
      </c>
      <c r="E247" s="151">
        <v>328172</v>
      </c>
      <c r="F247" s="3504">
        <v>47164</v>
      </c>
      <c r="G247" s="151">
        <v>128228</v>
      </c>
      <c r="H247" s="3504">
        <v>95493</v>
      </c>
      <c r="I247" s="151">
        <v>46214</v>
      </c>
      <c r="J247" s="3504">
        <v>18872</v>
      </c>
      <c r="K247" s="151">
        <v>178690</v>
      </c>
      <c r="L247" s="3504">
        <v>41397</v>
      </c>
      <c r="M247" s="151">
        <v>85066</v>
      </c>
      <c r="N247" s="1396">
        <v>121566</v>
      </c>
      <c r="O247" s="1402"/>
      <c r="P247" s="1398">
        <v>148880</v>
      </c>
      <c r="Q247" s="1406" t="e">
        <v>#N/A</v>
      </c>
      <c r="R247" s="1602">
        <f t="shared" si="16"/>
        <v>7983.3490059108008</v>
      </c>
      <c r="S247" s="2384"/>
      <c r="T247" s="647"/>
      <c r="U247" s="1983">
        <v>25737299</v>
      </c>
      <c r="V247" s="647"/>
      <c r="W247" s="261"/>
      <c r="X247" s="3003"/>
      <c r="Y247" s="217">
        <v>-8.1999999999999993</v>
      </c>
      <c r="Z247" s="1246"/>
      <c r="AA247" s="1246"/>
      <c r="AB247" s="1246"/>
    </row>
    <row r="248" spans="1:28">
      <c r="A248" s="53">
        <f t="shared" si="15"/>
        <v>2016.11</v>
      </c>
      <c r="B248" s="141">
        <v>1238320</v>
      </c>
      <c r="C248" s="2382">
        <f t="shared" si="20"/>
        <v>778648</v>
      </c>
      <c r="D248" s="3504">
        <v>112271</v>
      </c>
      <c r="E248" s="151">
        <v>333127</v>
      </c>
      <c r="F248" s="3504">
        <v>46143</v>
      </c>
      <c r="G248" s="151">
        <v>125529</v>
      </c>
      <c r="H248" s="3504">
        <v>94558</v>
      </c>
      <c r="I248" s="151">
        <v>48115</v>
      </c>
      <c r="J248" s="3504">
        <v>18905</v>
      </c>
      <c r="K248" s="151">
        <v>180534</v>
      </c>
      <c r="L248" s="3504">
        <v>44161</v>
      </c>
      <c r="M248" s="151">
        <v>91288</v>
      </c>
      <c r="N248" s="1396">
        <v>143688</v>
      </c>
      <c r="O248" s="1402"/>
      <c r="P248" s="1398">
        <v>148880</v>
      </c>
      <c r="Q248" s="1406" t="e">
        <v>#N/A</v>
      </c>
      <c r="R248" s="1602">
        <f t="shared" si="16"/>
        <v>8317.5711982804951</v>
      </c>
      <c r="S248" s="2384"/>
      <c r="T248" s="647"/>
      <c r="U248" s="1983">
        <v>26545889</v>
      </c>
      <c r="V248" s="647"/>
      <c r="W248" s="261"/>
      <c r="X248" s="3003"/>
      <c r="Y248" s="217">
        <v>-8.5</v>
      </c>
      <c r="Z248" s="1246"/>
      <c r="AA248" s="1246"/>
      <c r="AB248" s="1246"/>
    </row>
    <row r="249" spans="1:28" ht="13.5" thickBot="1">
      <c r="A249" s="53">
        <f t="shared" si="15"/>
        <v>2016.12</v>
      </c>
      <c r="B249" s="141">
        <v>1571647</v>
      </c>
      <c r="C249" s="2382">
        <f t="shared" si="20"/>
        <v>979778</v>
      </c>
      <c r="D249" s="3504">
        <v>196371</v>
      </c>
      <c r="E249" s="151">
        <v>398657</v>
      </c>
      <c r="F249" s="3504">
        <v>61315</v>
      </c>
      <c r="G249" s="151">
        <v>128210</v>
      </c>
      <c r="H249" s="3504">
        <v>117664</v>
      </c>
      <c r="I249" s="151">
        <v>54404</v>
      </c>
      <c r="J249" s="3504">
        <v>23157</v>
      </c>
      <c r="K249" s="151">
        <v>200754</v>
      </c>
      <c r="L249" s="3504">
        <v>62195</v>
      </c>
      <c r="M249" s="151">
        <v>100004</v>
      </c>
      <c r="N249" s="1396">
        <v>228915</v>
      </c>
      <c r="O249" s="1402"/>
      <c r="P249" s="1398">
        <v>148880</v>
      </c>
      <c r="Q249" s="1406" t="e">
        <v>#N/A</v>
      </c>
      <c r="R249" s="1602">
        <f t="shared" ref="R249" si="21">$B249/P249*1000</f>
        <v>10556.468296614723</v>
      </c>
      <c r="S249" s="2384"/>
      <c r="T249" s="647"/>
      <c r="U249" s="1983">
        <v>32408153</v>
      </c>
      <c r="V249" s="647"/>
      <c r="W249" s="261"/>
      <c r="X249" s="3003"/>
      <c r="Y249" s="217">
        <v>-5.4</v>
      </c>
      <c r="Z249" s="1246"/>
      <c r="AA249" s="1246"/>
      <c r="AB249" s="1246"/>
    </row>
    <row r="250" spans="1:28">
      <c r="A250" s="53">
        <f t="shared" si="15"/>
        <v>2017.01</v>
      </c>
      <c r="B250" s="141">
        <v>1297299.3920000002</v>
      </c>
      <c r="C250" s="2382">
        <f t="shared" si="20"/>
        <v>817078.59539000015</v>
      </c>
      <c r="D250" s="3504">
        <v>118582.68871</v>
      </c>
      <c r="E250" s="151">
        <v>327560.25273000001</v>
      </c>
      <c r="F250" s="3504">
        <v>52921.695</v>
      </c>
      <c r="G250" s="151">
        <v>126002.00028000001</v>
      </c>
      <c r="H250" s="3504">
        <v>112847.68335000001</v>
      </c>
      <c r="I250" s="151">
        <v>59056.19599</v>
      </c>
      <c r="J250" s="3504">
        <v>20108.07933</v>
      </c>
      <c r="K250" s="151">
        <v>206156.19845</v>
      </c>
      <c r="L250" s="3504">
        <v>44967.84549</v>
      </c>
      <c r="M250" s="151">
        <v>83852.738540000006</v>
      </c>
      <c r="N250" s="1396">
        <v>145244.01413</v>
      </c>
      <c r="O250" s="443">
        <v>91.018129253000453</v>
      </c>
      <c r="P250" s="1398">
        <v>156311.12</v>
      </c>
      <c r="Q250" s="1398">
        <v>2720452</v>
      </c>
      <c r="R250" s="1602">
        <v>8299.4696218669542</v>
      </c>
      <c r="S250" s="1604">
        <v>476.869061464786</v>
      </c>
      <c r="T250" s="1979">
        <v>267141.95600000001</v>
      </c>
      <c r="U250" s="1983">
        <v>27858872.08289</v>
      </c>
      <c r="V250" s="1979">
        <v>1830.7439556700001</v>
      </c>
      <c r="W250" s="1980">
        <v>4094.5146717299995</v>
      </c>
      <c r="X250" s="1614">
        <f>V250+W250</f>
        <v>5925.2586273999996</v>
      </c>
      <c r="Y250" s="217">
        <v>-2.5</v>
      </c>
      <c r="Z250" s="1246"/>
      <c r="AA250" s="1246"/>
      <c r="AB250" s="1266"/>
    </row>
    <row r="251" spans="1:28">
      <c r="A251" s="53">
        <f t="shared" si="15"/>
        <v>2017.02</v>
      </c>
      <c r="B251" s="141">
        <v>1203173.9419</v>
      </c>
      <c r="C251" s="2382">
        <f t="shared" si="20"/>
        <v>806831.52470999991</v>
      </c>
      <c r="D251" s="3504">
        <v>115842.19767000001</v>
      </c>
      <c r="E251" s="151">
        <v>319438.71982</v>
      </c>
      <c r="F251" s="3504">
        <v>52936.754730000001</v>
      </c>
      <c r="G251" s="151">
        <v>127021.47069</v>
      </c>
      <c r="H251" s="3504">
        <v>113456.85836</v>
      </c>
      <c r="I251" s="151">
        <v>58166.113969999999</v>
      </c>
      <c r="J251" s="3504">
        <v>19969.409469999999</v>
      </c>
      <c r="K251" s="151">
        <v>186170.44959999999</v>
      </c>
      <c r="L251" s="3504">
        <v>37016.465499999998</v>
      </c>
      <c r="M251" s="151">
        <v>54118.079659999996</v>
      </c>
      <c r="N251" s="1396">
        <v>119037.42243000001</v>
      </c>
      <c r="O251" s="455">
        <v>92.514730319919323</v>
      </c>
      <c r="P251" s="1398">
        <v>156311.12</v>
      </c>
      <c r="Q251" s="1398">
        <v>2613789</v>
      </c>
      <c r="R251" s="1602">
        <v>7697.3022898178961</v>
      </c>
      <c r="S251" s="1604">
        <v>460.31792998593227</v>
      </c>
      <c r="T251" s="1981">
        <v>245020.769</v>
      </c>
      <c r="U251" s="1983">
        <v>25994200.167070001</v>
      </c>
      <c r="V251" s="1981">
        <v>1619.1377845899997</v>
      </c>
      <c r="W251" s="1982">
        <v>3841.8889607600004</v>
      </c>
      <c r="X251" s="2731">
        <f t="shared" ref="X251:X314" si="22">V251+W251</f>
        <v>5461.0267453500001</v>
      </c>
      <c r="Y251" s="217">
        <v>-4.0999999999999996</v>
      </c>
      <c r="Z251" s="1246"/>
      <c r="AA251" s="1246"/>
      <c r="AB251" s="1266"/>
    </row>
    <row r="252" spans="1:28">
      <c r="A252" s="53">
        <f t="shared" si="15"/>
        <v>2017.03</v>
      </c>
      <c r="B252" s="141">
        <v>1313911.11354</v>
      </c>
      <c r="C252" s="2382">
        <f t="shared" si="20"/>
        <v>912890.70594000001</v>
      </c>
      <c r="D252" s="3504">
        <v>117338.27077000002</v>
      </c>
      <c r="E252" s="151">
        <v>378033.65213999996</v>
      </c>
      <c r="F252" s="3504">
        <v>59485.737099999998</v>
      </c>
      <c r="G252" s="151">
        <v>145741.84069000001</v>
      </c>
      <c r="H252" s="3504">
        <v>127464.2343</v>
      </c>
      <c r="I252" s="151">
        <v>62297.421000000002</v>
      </c>
      <c r="J252" s="3504">
        <v>22529.549939999997</v>
      </c>
      <c r="K252" s="151">
        <v>201752.77749000001</v>
      </c>
      <c r="L252" s="3504">
        <v>37088.003539999998</v>
      </c>
      <c r="M252" s="151">
        <v>54807.152009999998</v>
      </c>
      <c r="N252" s="1396">
        <v>107372.47456</v>
      </c>
      <c r="O252" s="455">
        <v>94.699942781745278</v>
      </c>
      <c r="P252" s="1398">
        <v>156311.12</v>
      </c>
      <c r="Q252" s="1398">
        <v>2836787</v>
      </c>
      <c r="R252" s="1602">
        <v>8405.7430689512057</v>
      </c>
      <c r="S252" s="1604">
        <v>463.16875871893103</v>
      </c>
      <c r="T252" s="1981">
        <v>307777.804</v>
      </c>
      <c r="U252" s="1983">
        <v>27780006.522250019</v>
      </c>
      <c r="V252" s="1981">
        <v>1994.2897570999999</v>
      </c>
      <c r="W252" s="1982">
        <v>4659.6133530999996</v>
      </c>
      <c r="X252" s="2731">
        <f t="shared" si="22"/>
        <v>6653.903110199999</v>
      </c>
      <c r="Y252" s="217">
        <v>-4.4000000000000004</v>
      </c>
      <c r="Z252" s="1246"/>
      <c r="AA252" s="1246"/>
      <c r="AB252" s="1266"/>
    </row>
    <row r="253" spans="1:28">
      <c r="A253" s="53">
        <f t="shared" si="15"/>
        <v>2017.04</v>
      </c>
      <c r="B253" s="141">
        <v>1376862.4878300002</v>
      </c>
      <c r="C253" s="2382">
        <f t="shared" si="20"/>
        <v>954218.1503600002</v>
      </c>
      <c r="D253" s="3504">
        <v>117834.63055</v>
      </c>
      <c r="E253" s="151">
        <v>406071.85100999998</v>
      </c>
      <c r="F253" s="3504">
        <v>66070.275020000001</v>
      </c>
      <c r="G253" s="151">
        <v>148460.34226</v>
      </c>
      <c r="H253" s="3504">
        <v>134319.37826</v>
      </c>
      <c r="I253" s="151">
        <v>59513.688070000004</v>
      </c>
      <c r="J253" s="3504">
        <v>21947.985190000003</v>
      </c>
      <c r="K253" s="151">
        <v>199137.00274</v>
      </c>
      <c r="L253" s="3504">
        <v>50786.217060000003</v>
      </c>
      <c r="M253" s="151">
        <v>65964.057979999998</v>
      </c>
      <c r="N253" s="1396">
        <v>106757.05968999999</v>
      </c>
      <c r="O253" s="455">
        <v>96.703354121949914</v>
      </c>
      <c r="P253" s="1398">
        <v>156311.12</v>
      </c>
      <c r="Q253" s="1398">
        <v>2791397</v>
      </c>
      <c r="R253" s="1602">
        <v>8808.4743288257414</v>
      </c>
      <c r="S253" s="1604">
        <v>493.2521199349286</v>
      </c>
      <c r="T253" s="1981">
        <v>306792.73300000001</v>
      </c>
      <c r="U253" s="1983">
        <v>29134272.219610009</v>
      </c>
      <c r="V253" s="1981">
        <v>1749.59237188</v>
      </c>
      <c r="W253" s="1982">
        <v>4522.8562578299998</v>
      </c>
      <c r="X253" s="2731">
        <f t="shared" si="22"/>
        <v>6272.4486297099993</v>
      </c>
      <c r="Y253" s="217">
        <v>-3.8</v>
      </c>
      <c r="Z253" s="1246"/>
      <c r="AA253" s="1246"/>
      <c r="AB253" s="1266"/>
    </row>
    <row r="254" spans="1:28">
      <c r="A254" s="53">
        <f t="shared" si="15"/>
        <v>2017.05</v>
      </c>
      <c r="B254" s="141">
        <v>1356946.68619</v>
      </c>
      <c r="C254" s="2382">
        <f t="shared" si="20"/>
        <v>917845.0417800002</v>
      </c>
      <c r="D254" s="3504">
        <v>108351.11531000001</v>
      </c>
      <c r="E254" s="151">
        <v>393134.64072000002</v>
      </c>
      <c r="F254" s="3504">
        <v>60742.819050000006</v>
      </c>
      <c r="G254" s="151">
        <v>150589.64553000001</v>
      </c>
      <c r="H254" s="3504">
        <v>127642.85214999999</v>
      </c>
      <c r="I254" s="151">
        <v>56407.572379999998</v>
      </c>
      <c r="J254" s="3504">
        <v>20976.396639999999</v>
      </c>
      <c r="K254" s="151">
        <v>197964.12922</v>
      </c>
      <c r="L254" s="3504">
        <v>56044.927899999995</v>
      </c>
      <c r="M254" s="151">
        <v>76730.49629000001</v>
      </c>
      <c r="N254" s="1396">
        <v>108362.091</v>
      </c>
      <c r="O254" s="455">
        <v>97.956976959118478</v>
      </c>
      <c r="P254" s="1398">
        <v>156311.12</v>
      </c>
      <c r="Q254" s="1398">
        <v>2718589</v>
      </c>
      <c r="R254" s="1602">
        <v>8681.0630375497276</v>
      </c>
      <c r="S254" s="1604">
        <v>499.13638515788881</v>
      </c>
      <c r="T254" s="1981">
        <v>399693.26199999999</v>
      </c>
      <c r="U254" s="1983">
        <v>27969004.676939994</v>
      </c>
      <c r="V254" s="1981">
        <v>1890.8479384400002</v>
      </c>
      <c r="W254" s="1982">
        <v>4669.8534447600005</v>
      </c>
      <c r="X254" s="2731">
        <f t="shared" si="22"/>
        <v>6560.7013832000011</v>
      </c>
      <c r="Y254" s="217">
        <v>-2.2999999999999998</v>
      </c>
      <c r="Z254" s="1246"/>
      <c r="AA254" s="1246"/>
      <c r="AB254" s="1266"/>
    </row>
    <row r="255" spans="1:28">
      <c r="A255" s="53">
        <f t="shared" si="15"/>
        <v>2017.06</v>
      </c>
      <c r="B255" s="141">
        <v>1338804.1871600002</v>
      </c>
      <c r="C255" s="2382">
        <f t="shared" si="20"/>
        <v>903270.42282999994</v>
      </c>
      <c r="D255" s="3504">
        <v>113579.60172000001</v>
      </c>
      <c r="E255" s="151">
        <v>381868.88024999999</v>
      </c>
      <c r="F255" s="3504">
        <v>60423.265570000003</v>
      </c>
      <c r="G255" s="151">
        <v>148484.27636000002</v>
      </c>
      <c r="H255" s="3504">
        <v>126236.63081999999</v>
      </c>
      <c r="I255" s="151">
        <v>52152.792099999991</v>
      </c>
      <c r="J255" s="3504">
        <v>20524.976009999998</v>
      </c>
      <c r="K255" s="151">
        <v>192258.1165</v>
      </c>
      <c r="L255" s="3504">
        <v>56871.677720000007</v>
      </c>
      <c r="M255" s="151">
        <v>76271.70034000001</v>
      </c>
      <c r="N255" s="1396">
        <v>110132.26977000001</v>
      </c>
      <c r="O255" s="455">
        <v>99.193982624396043</v>
      </c>
      <c r="P255" s="1398">
        <v>156311.12</v>
      </c>
      <c r="Q255" s="1398">
        <v>2617842</v>
      </c>
      <c r="R255" s="1602">
        <v>8564.9964452944878</v>
      </c>
      <c r="S255" s="1604">
        <v>511.41519891574819</v>
      </c>
      <c r="T255" s="1981">
        <v>368847.326</v>
      </c>
      <c r="U255" s="1983">
        <v>29132712.744600002</v>
      </c>
      <c r="V255" s="1981">
        <v>1713.2088739799997</v>
      </c>
      <c r="W255" s="1982">
        <v>4800.3057220199998</v>
      </c>
      <c r="X255" s="2731">
        <f t="shared" si="22"/>
        <v>6513.5145959999991</v>
      </c>
      <c r="Y255" s="217">
        <v>-1.4</v>
      </c>
      <c r="Z255" s="1246"/>
      <c r="AA255" s="1246"/>
      <c r="AB255" s="1266"/>
    </row>
    <row r="256" spans="1:28">
      <c r="A256" s="53">
        <f t="shared" si="15"/>
        <v>2017.07</v>
      </c>
      <c r="B256" s="141">
        <v>1423154.4045500003</v>
      </c>
      <c r="C256" s="2382">
        <f t="shared" si="20"/>
        <v>952807.24783999997</v>
      </c>
      <c r="D256" s="3504">
        <v>119269.80411</v>
      </c>
      <c r="E256" s="151">
        <v>410527.34839999996</v>
      </c>
      <c r="F256" s="3504">
        <v>63940.306950000006</v>
      </c>
      <c r="G256" s="151">
        <v>153759.76209999999</v>
      </c>
      <c r="H256" s="3504">
        <v>130483.00049999999</v>
      </c>
      <c r="I256" s="151">
        <v>53689.028559999999</v>
      </c>
      <c r="J256" s="3504">
        <v>21137.997219999997</v>
      </c>
      <c r="K256" s="151">
        <v>203961.03562000001</v>
      </c>
      <c r="L256" s="3504">
        <v>58426.397520000006</v>
      </c>
      <c r="M256" s="151">
        <v>82211.313030000005</v>
      </c>
      <c r="N256" s="1396">
        <v>125748.41054</v>
      </c>
      <c r="O256" s="455">
        <v>100.62356677931312</v>
      </c>
      <c r="P256" s="1398">
        <v>156311.12</v>
      </c>
      <c r="Q256" s="1398">
        <v>2675981</v>
      </c>
      <c r="R256" s="1602">
        <v>9104.6267504832667</v>
      </c>
      <c r="S256" s="1604">
        <v>531.82530240311871</v>
      </c>
      <c r="T256" s="1981">
        <v>366990.68300000002</v>
      </c>
      <c r="U256" s="1983">
        <v>31182302.456590004</v>
      </c>
      <c r="V256" s="1981">
        <v>1704.8224605299997</v>
      </c>
      <c r="W256" s="1982">
        <v>5142.4649814899994</v>
      </c>
      <c r="X256" s="2731">
        <f t="shared" si="22"/>
        <v>6847.2874420199987</v>
      </c>
      <c r="Y256" s="217">
        <v>-1.6</v>
      </c>
      <c r="Z256" s="1246"/>
      <c r="AA256" s="1246"/>
      <c r="AB256" s="1266"/>
    </row>
    <row r="257" spans="1:28">
      <c r="A257" s="53">
        <f t="shared" si="15"/>
        <v>2017.08</v>
      </c>
      <c r="B257" s="141">
        <v>1465183.0090900001</v>
      </c>
      <c r="C257" s="2382">
        <f t="shared" si="20"/>
        <v>963092.95671000006</v>
      </c>
      <c r="D257" s="3504">
        <v>116156.20697</v>
      </c>
      <c r="E257" s="151">
        <v>411577.99271000002</v>
      </c>
      <c r="F257" s="3504">
        <v>64121.471669999999</v>
      </c>
      <c r="G257" s="151">
        <v>159360.70360000004</v>
      </c>
      <c r="H257" s="3504">
        <v>131804.75667999999</v>
      </c>
      <c r="I257" s="151">
        <v>58569.372490000002</v>
      </c>
      <c r="J257" s="3504">
        <v>21502.452590000001</v>
      </c>
      <c r="K257" s="151">
        <v>206719.74581999998</v>
      </c>
      <c r="L257" s="3504">
        <v>47351.5164</v>
      </c>
      <c r="M257" s="151">
        <v>78675.927089999997</v>
      </c>
      <c r="N257" s="1396">
        <v>169342.86306999999</v>
      </c>
      <c r="O257" s="455">
        <v>102.09583477328705</v>
      </c>
      <c r="P257" s="1398">
        <v>156311.12</v>
      </c>
      <c r="Q257" s="1398">
        <v>2607847</v>
      </c>
      <c r="R257" s="1602">
        <v>9373.5046431117644</v>
      </c>
      <c r="S257" s="1604">
        <v>561.83626151764281</v>
      </c>
      <c r="T257" s="1981">
        <v>391525.05200000003</v>
      </c>
      <c r="U257" s="1983">
        <v>31154880.943740003</v>
      </c>
      <c r="V257" s="1981">
        <v>1826.6621233799999</v>
      </c>
      <c r="W257" s="1982">
        <v>5080.8557456600001</v>
      </c>
      <c r="X257" s="2731">
        <f t="shared" si="22"/>
        <v>6907.5178690399998</v>
      </c>
      <c r="Y257" s="217">
        <v>-0.3</v>
      </c>
      <c r="Z257" s="1246"/>
      <c r="AA257" s="1246"/>
      <c r="AB257" s="1266"/>
    </row>
    <row r="258" spans="1:28">
      <c r="A258" s="53">
        <f t="shared" si="15"/>
        <v>2017.09</v>
      </c>
      <c r="B258" s="141">
        <v>1419047.21217</v>
      </c>
      <c r="C258" s="2382">
        <f t="shared" si="20"/>
        <v>978806.89332000003</v>
      </c>
      <c r="D258" s="3504">
        <v>124754.62273</v>
      </c>
      <c r="E258" s="151">
        <v>415542.73590999999</v>
      </c>
      <c r="F258" s="3504">
        <v>63409.798670000004</v>
      </c>
      <c r="G258" s="151">
        <v>160110.94488</v>
      </c>
      <c r="H258" s="3504">
        <v>134666.67465999999</v>
      </c>
      <c r="I258" s="151">
        <v>59192.889640000001</v>
      </c>
      <c r="J258" s="3504">
        <v>21129.226830000003</v>
      </c>
      <c r="K258" s="151">
        <v>210255.57526000001</v>
      </c>
      <c r="L258" s="3504">
        <v>43656.031820000004</v>
      </c>
      <c r="M258" s="151">
        <v>69255.735650000002</v>
      </c>
      <c r="N258" s="1396">
        <v>117072.97612000001</v>
      </c>
      <c r="O258" s="455">
        <v>103.76971796406664</v>
      </c>
      <c r="P258" s="1398">
        <v>156311.12</v>
      </c>
      <c r="Q258" s="1398">
        <v>2623307</v>
      </c>
      <c r="R258" s="1602">
        <v>9078.3509974850167</v>
      </c>
      <c r="S258" s="1604">
        <v>540.93829360040593</v>
      </c>
      <c r="T258" s="1981">
        <v>385910.49800000002</v>
      </c>
      <c r="U258" s="1983">
        <v>30521506.195270002</v>
      </c>
      <c r="V258" s="1981">
        <v>1725.81506962</v>
      </c>
      <c r="W258" s="1982">
        <v>5089.9493000199991</v>
      </c>
      <c r="X258" s="2731">
        <f t="shared" si="22"/>
        <v>6815.7643696399991</v>
      </c>
      <c r="Y258" s="217">
        <v>-0.1</v>
      </c>
      <c r="Z258" s="1246"/>
      <c r="AA258" s="1246"/>
      <c r="AB258" s="1266"/>
    </row>
    <row r="259" spans="1:28">
      <c r="A259" s="53">
        <f t="shared" si="15"/>
        <v>2017.1</v>
      </c>
      <c r="B259" s="141">
        <v>1485668.29749</v>
      </c>
      <c r="C259" s="2382">
        <f t="shared" si="20"/>
        <v>997549.61162999994</v>
      </c>
      <c r="D259" s="3504">
        <v>138001.85715</v>
      </c>
      <c r="E259" s="151">
        <v>418735.01318999997</v>
      </c>
      <c r="F259" s="3504">
        <v>62952.737310000004</v>
      </c>
      <c r="G259" s="151">
        <v>158989.58729999998</v>
      </c>
      <c r="H259" s="3504">
        <v>135622.83580999999</v>
      </c>
      <c r="I259" s="151">
        <v>61665.654129999995</v>
      </c>
      <c r="J259" s="3504">
        <v>21581.926740000003</v>
      </c>
      <c r="K259" s="151">
        <v>214954.66504000002</v>
      </c>
      <c r="L259" s="3504">
        <v>51166.581879999998</v>
      </c>
      <c r="M259" s="151">
        <v>97114.938510000007</v>
      </c>
      <c r="N259" s="1396">
        <v>124882.50043</v>
      </c>
      <c r="O259" s="455">
        <v>104.90007451560575</v>
      </c>
      <c r="P259" s="1398">
        <v>156311.12</v>
      </c>
      <c r="Q259" s="1398">
        <v>2696097</v>
      </c>
      <c r="R259" s="1602">
        <v>9504.5592245132666</v>
      </c>
      <c r="S259" s="1604">
        <v>551.04408242359239</v>
      </c>
      <c r="T259" s="1981">
        <v>465759.10129000002</v>
      </c>
      <c r="U259" s="1983">
        <v>32445983.013929997</v>
      </c>
      <c r="V259" s="1981">
        <v>1933.1918727199998</v>
      </c>
      <c r="W259" s="1982">
        <v>4919.1451864399987</v>
      </c>
      <c r="X259" s="2731">
        <f t="shared" si="22"/>
        <v>6852.3370591599987</v>
      </c>
      <c r="Y259" s="217">
        <v>1.6</v>
      </c>
      <c r="Z259" s="1246"/>
      <c r="AA259" s="1246"/>
      <c r="AB259" s="1266"/>
    </row>
    <row r="260" spans="1:28">
      <c r="A260" s="53">
        <f t="shared" si="15"/>
        <v>2017.11</v>
      </c>
      <c r="B260" s="141">
        <v>1550289.1587799999</v>
      </c>
      <c r="C260" s="2382">
        <f t="shared" si="20"/>
        <v>1006179.19867</v>
      </c>
      <c r="D260" s="3504">
        <v>151673.37862999999</v>
      </c>
      <c r="E260" s="151">
        <v>410328.88712999999</v>
      </c>
      <c r="F260" s="3504">
        <v>61705.561670000003</v>
      </c>
      <c r="G260" s="151">
        <v>157349.54717999997</v>
      </c>
      <c r="H260" s="3504">
        <v>136461.12549000001</v>
      </c>
      <c r="I260" s="151">
        <v>66806.232310000007</v>
      </c>
      <c r="J260" s="3504">
        <v>21854.466259999997</v>
      </c>
      <c r="K260" s="151">
        <v>222511.88024</v>
      </c>
      <c r="L260" s="3504">
        <v>51286.246180000002</v>
      </c>
      <c r="M260" s="151">
        <v>105244.57584999999</v>
      </c>
      <c r="N260" s="1396">
        <v>165067.25784000001</v>
      </c>
      <c r="O260" s="455">
        <v>106.20554658569938</v>
      </c>
      <c r="P260" s="1398">
        <v>156311.12</v>
      </c>
      <c r="Q260" s="1398">
        <v>2695204</v>
      </c>
      <c r="R260" s="1602">
        <v>9917.9710233027563</v>
      </c>
      <c r="S260" s="1604">
        <v>575.20290070065198</v>
      </c>
      <c r="T260" s="1981">
        <v>506594.70549000002</v>
      </c>
      <c r="U260" s="1983">
        <v>33628982.657100014</v>
      </c>
      <c r="V260" s="1981">
        <v>2007.5665038000002</v>
      </c>
      <c r="W260" s="1982">
        <v>5305.9960235300005</v>
      </c>
      <c r="X260" s="2731">
        <f t="shared" si="22"/>
        <v>7313.5625273300011</v>
      </c>
      <c r="Y260" s="217">
        <v>0.4</v>
      </c>
      <c r="Z260" s="1246"/>
      <c r="AA260" s="1246"/>
      <c r="AB260" s="1266"/>
    </row>
    <row r="261" spans="1:28">
      <c r="A261" s="53">
        <f t="shared" si="15"/>
        <v>2017.12</v>
      </c>
      <c r="B261" s="141">
        <v>1987564.6217299998</v>
      </c>
      <c r="C261" s="2382">
        <f t="shared" si="20"/>
        <v>1272338.6379099998</v>
      </c>
      <c r="D261" s="3504">
        <v>246211.52908000001</v>
      </c>
      <c r="E261" s="151">
        <v>522294.91211999994</v>
      </c>
      <c r="F261" s="3504">
        <v>76218.006680000006</v>
      </c>
      <c r="G261" s="151">
        <v>160236.81962999995</v>
      </c>
      <c r="H261" s="3504">
        <v>163751.15152999997</v>
      </c>
      <c r="I261" s="151">
        <v>76300.08736000002</v>
      </c>
      <c r="J261" s="3504">
        <v>27326.131509999999</v>
      </c>
      <c r="K261" s="151">
        <v>245189.31292000003</v>
      </c>
      <c r="L261" s="3504">
        <v>77262.605930000005</v>
      </c>
      <c r="M261" s="151">
        <v>119459.2583</v>
      </c>
      <c r="N261" s="1396">
        <v>273314.80666999996</v>
      </c>
      <c r="O261" s="455">
        <v>107.36998904437722</v>
      </c>
      <c r="P261" s="1398">
        <v>156311.12</v>
      </c>
      <c r="Q261" s="1398">
        <v>2954363</v>
      </c>
      <c r="R261" s="1602">
        <v>12715.439705953102</v>
      </c>
      <c r="S261" s="1604">
        <v>672.75572491599712</v>
      </c>
      <c r="T261" s="1981">
        <v>446036.8247</v>
      </c>
      <c r="U261" s="1983">
        <v>40766322.1043</v>
      </c>
      <c r="V261" s="1981">
        <v>2216.5160530499998</v>
      </c>
      <c r="W261" s="1982">
        <v>6175.541868119999</v>
      </c>
      <c r="X261" s="2731">
        <f t="shared" si="22"/>
        <v>8392.0579211699987</v>
      </c>
      <c r="Y261" s="217">
        <v>1.1000000000000001</v>
      </c>
      <c r="Z261" s="1246"/>
      <c r="AA261" s="1246"/>
      <c r="AB261" s="1266"/>
    </row>
    <row r="262" spans="1:28">
      <c r="A262" s="53">
        <f t="shared" si="15"/>
        <v>2018.01</v>
      </c>
      <c r="B262" s="141">
        <v>1552347.3769499997</v>
      </c>
      <c r="C262" s="2382">
        <f t="shared" si="20"/>
        <v>1009339.9755399999</v>
      </c>
      <c r="D262" s="3504">
        <v>149820.16422000001</v>
      </c>
      <c r="E262" s="151">
        <v>408789.96645999997</v>
      </c>
      <c r="F262" s="3504">
        <v>61548.30904</v>
      </c>
      <c r="G262" s="151">
        <v>150514.79412000001</v>
      </c>
      <c r="H262" s="3504">
        <v>141898.44667999999</v>
      </c>
      <c r="I262" s="151">
        <v>73990.675069999998</v>
      </c>
      <c r="J262" s="3504">
        <v>22777.619950000004</v>
      </c>
      <c r="K262" s="151">
        <v>229497.54156000001</v>
      </c>
      <c r="L262" s="3504">
        <v>54552.686550000006</v>
      </c>
      <c r="M262" s="151">
        <v>86516.176829999997</v>
      </c>
      <c r="N262" s="1396">
        <v>172440.99646999995</v>
      </c>
      <c r="O262" s="455">
        <v>109.05244919066261</v>
      </c>
      <c r="P262" s="1398">
        <v>156311.12</v>
      </c>
      <c r="Q262" s="1398">
        <v>2693016</v>
      </c>
      <c r="R262" s="1602">
        <v>9931.138468907393</v>
      </c>
      <c r="S262" s="1604">
        <v>576.4345168948123</v>
      </c>
      <c r="T262" s="1981">
        <v>376100.14957999991</v>
      </c>
      <c r="U262" s="1983">
        <v>32479208.005569991</v>
      </c>
      <c r="V262" s="1981">
        <v>1865.9030468999999</v>
      </c>
      <c r="W262" s="1982">
        <v>5019.9119275000003</v>
      </c>
      <c r="X262" s="2731">
        <f t="shared" si="22"/>
        <v>6885.8149744000002</v>
      </c>
      <c r="Y262" s="217">
        <v>-1</v>
      </c>
      <c r="Z262" s="1246"/>
      <c r="AA262" s="1246"/>
      <c r="AB262" s="1266"/>
    </row>
    <row r="263" spans="1:28">
      <c r="A263" s="53">
        <f t="shared" si="15"/>
        <v>2018.02</v>
      </c>
      <c r="B263" s="141">
        <v>1513562.2684000002</v>
      </c>
      <c r="C263" s="2382">
        <f t="shared" si="20"/>
        <v>1004486.74867</v>
      </c>
      <c r="D263" s="3504">
        <v>153979.16336999999</v>
      </c>
      <c r="E263" s="151">
        <v>395790.2109699999</v>
      </c>
      <c r="F263" s="3504">
        <v>62189.504249999998</v>
      </c>
      <c r="G263" s="151">
        <v>150926.78338000001</v>
      </c>
      <c r="H263" s="3504">
        <v>145915.05017</v>
      </c>
      <c r="I263" s="151">
        <v>73115.837220000001</v>
      </c>
      <c r="J263" s="3504">
        <v>22570.199310000004</v>
      </c>
      <c r="K263" s="151">
        <v>217805.99664</v>
      </c>
      <c r="L263" s="3504">
        <v>53136.09474</v>
      </c>
      <c r="M263" s="151">
        <v>76843.855229999986</v>
      </c>
      <c r="N263" s="1396">
        <v>161289.57312000002</v>
      </c>
      <c r="O263" s="455">
        <v>111.07159098136496</v>
      </c>
      <c r="P263" s="1398">
        <v>156311.12</v>
      </c>
      <c r="Q263" s="1398">
        <v>2629040</v>
      </c>
      <c r="R263" s="1602">
        <v>9683.0108337781712</v>
      </c>
      <c r="S263" s="1604">
        <v>575.70910613760145</v>
      </c>
      <c r="T263" s="1981">
        <v>379379.71863999998</v>
      </c>
      <c r="U263" s="1983">
        <v>31736824.552140001</v>
      </c>
      <c r="V263" s="1981">
        <v>1697.3821928500001</v>
      </c>
      <c r="W263" s="1982">
        <v>4902.5376153900006</v>
      </c>
      <c r="X263" s="2731">
        <f t="shared" si="22"/>
        <v>6599.9198082400007</v>
      </c>
      <c r="Y263" s="217">
        <v>-1.5</v>
      </c>
      <c r="Z263" s="1246"/>
      <c r="AA263" s="1246"/>
      <c r="AB263" s="1266"/>
    </row>
    <row r="264" spans="1:28">
      <c r="A264" s="53">
        <f t="shared" si="15"/>
        <v>2018.03</v>
      </c>
      <c r="B264" s="141">
        <v>1770222.9038799999</v>
      </c>
      <c r="C264" s="2382">
        <f t="shared" si="20"/>
        <v>1227378.1749</v>
      </c>
      <c r="D264" s="3504">
        <v>170808.58761000002</v>
      </c>
      <c r="E264" s="151">
        <v>515359.49125999998</v>
      </c>
      <c r="F264" s="3504">
        <v>83146.575930000006</v>
      </c>
      <c r="G264" s="151">
        <v>180276.12297999999</v>
      </c>
      <c r="H264" s="3504">
        <v>172309.6931</v>
      </c>
      <c r="I264" s="151">
        <v>79169.508879999979</v>
      </c>
      <c r="J264" s="3504">
        <v>26308.19514</v>
      </c>
      <c r="K264" s="151">
        <v>250838.10420000003</v>
      </c>
      <c r="L264" s="3504">
        <v>54659.257199999993</v>
      </c>
      <c r="M264" s="151">
        <v>88641.654819999996</v>
      </c>
      <c r="N264" s="1396">
        <v>148705.71275999997</v>
      </c>
      <c r="O264" s="455">
        <v>113.68601079602615</v>
      </c>
      <c r="P264" s="1398">
        <v>156311.12</v>
      </c>
      <c r="Q264" s="1398">
        <v>2995251</v>
      </c>
      <c r="R264" s="1602">
        <v>11324.996608558622</v>
      </c>
      <c r="S264" s="1604">
        <v>591.00986991741252</v>
      </c>
      <c r="T264" s="1981">
        <v>475878.27402999997</v>
      </c>
      <c r="U264" s="1983">
        <v>36531291.32867001</v>
      </c>
      <c r="V264" s="1981">
        <v>1986.3718478300002</v>
      </c>
      <c r="W264" s="1982">
        <v>5867.5657126901106</v>
      </c>
      <c r="X264" s="2731">
        <f t="shared" si="22"/>
        <v>7853.9375605201112</v>
      </c>
      <c r="Y264" s="217">
        <v>-2</v>
      </c>
      <c r="Z264" s="1246"/>
      <c r="AA264" s="1246"/>
      <c r="AB264" s="1266"/>
    </row>
    <row r="265" spans="1:28">
      <c r="A265" s="53">
        <f t="shared" si="15"/>
        <v>2018.04</v>
      </c>
      <c r="B265" s="141">
        <v>1670903.1179799999</v>
      </c>
      <c r="C265" s="2382">
        <f t="shared" si="20"/>
        <v>1152622.03314</v>
      </c>
      <c r="D265" s="3504">
        <v>155442.52982999998</v>
      </c>
      <c r="E265" s="151">
        <v>493776.75868000003</v>
      </c>
      <c r="F265" s="3504">
        <v>70938.348440000016</v>
      </c>
      <c r="G265" s="151">
        <v>171614.68138000002</v>
      </c>
      <c r="H265" s="3504">
        <v>165364.70110000001</v>
      </c>
      <c r="I265" s="151">
        <v>70927.68161</v>
      </c>
      <c r="J265" s="3504">
        <v>24557.332099999996</v>
      </c>
      <c r="K265" s="151">
        <v>240697.42375999998</v>
      </c>
      <c r="L265" s="3504">
        <v>54220.556099999994</v>
      </c>
      <c r="M265" s="151">
        <v>90256.442219999997</v>
      </c>
      <c r="N265" s="1396">
        <v>133106.66276000001</v>
      </c>
      <c r="O265" s="455">
        <v>115.87201520836852</v>
      </c>
      <c r="P265" s="1398">
        <v>156311.12</v>
      </c>
      <c r="Q265" s="1398">
        <v>2781655</v>
      </c>
      <c r="R265" s="1602">
        <v>10689.598526195705</v>
      </c>
      <c r="S265" s="1604">
        <v>600.68668399927378</v>
      </c>
      <c r="T265" s="1981">
        <v>491474.68862000003</v>
      </c>
      <c r="U265" s="1983">
        <v>34113745.666800007</v>
      </c>
      <c r="V265" s="1981">
        <v>1924.4916181349997</v>
      </c>
      <c r="W265" s="1982">
        <v>5545.5208673199995</v>
      </c>
      <c r="X265" s="2731">
        <f t="shared" si="22"/>
        <v>7470.0124854549995</v>
      </c>
      <c r="Y265" s="217">
        <v>-3</v>
      </c>
      <c r="Z265" s="1246"/>
      <c r="AA265" s="1246"/>
      <c r="AB265" s="1266"/>
    </row>
    <row r="266" spans="1:28">
      <c r="A266" s="53">
        <f t="shared" si="15"/>
        <v>2018.05</v>
      </c>
      <c r="B266" s="141">
        <v>1728427.3989800001</v>
      </c>
      <c r="C266" s="2382">
        <f t="shared" si="20"/>
        <v>1148937.0342300001</v>
      </c>
      <c r="D266" s="3504">
        <v>140983.0061</v>
      </c>
      <c r="E266" s="151">
        <v>491223.89264999999</v>
      </c>
      <c r="F266" s="3504">
        <v>75565.605429999996</v>
      </c>
      <c r="G266" s="151">
        <v>176161.70370999997</v>
      </c>
      <c r="H266" s="3504">
        <v>170349.11853000001</v>
      </c>
      <c r="I266" s="151">
        <v>69994.132640000011</v>
      </c>
      <c r="J266" s="3504">
        <v>24659.57517</v>
      </c>
      <c r="K266" s="151">
        <v>237537.69398000001</v>
      </c>
      <c r="L266" s="3504">
        <v>72651.490279999998</v>
      </c>
      <c r="M266" s="151">
        <v>136531.87840000002</v>
      </c>
      <c r="N266" s="1396">
        <v>132769.30209000001</v>
      </c>
      <c r="O266" s="455">
        <v>119.33014417601299</v>
      </c>
      <c r="P266" s="1398">
        <v>156311.12</v>
      </c>
      <c r="Q266" s="1398">
        <v>2786736</v>
      </c>
      <c r="R266" s="1602">
        <v>11057.609970295141</v>
      </c>
      <c r="S266" s="1604">
        <v>620.23363496936929</v>
      </c>
      <c r="T266" s="1981">
        <v>725754.79768999992</v>
      </c>
      <c r="U266" s="1983">
        <v>35133146.391280003</v>
      </c>
      <c r="V266" s="1981">
        <v>2056.51058775</v>
      </c>
      <c r="W266" s="1982">
        <v>5887.4721893600008</v>
      </c>
      <c r="X266" s="2731">
        <f t="shared" si="22"/>
        <v>7943.9827771100008</v>
      </c>
      <c r="Y266" s="217">
        <v>-4.8</v>
      </c>
      <c r="Z266" s="1246"/>
      <c r="AA266" s="1246"/>
      <c r="AB266" s="1266"/>
    </row>
    <row r="267" spans="1:28">
      <c r="A267" s="53">
        <f t="shared" si="15"/>
        <v>2018.06</v>
      </c>
      <c r="B267" s="141">
        <v>1904393.3761199997</v>
      </c>
      <c r="C267" s="2382">
        <f t="shared" si="20"/>
        <v>1268405.4488499998</v>
      </c>
      <c r="D267" s="3504">
        <v>160053.81365</v>
      </c>
      <c r="E267" s="151">
        <v>553212.94030999998</v>
      </c>
      <c r="F267" s="3504">
        <v>83855.418930000014</v>
      </c>
      <c r="G267" s="151">
        <v>185583.16232</v>
      </c>
      <c r="H267" s="3504">
        <v>187455.28506999998</v>
      </c>
      <c r="I267" s="151">
        <v>72199.247820000004</v>
      </c>
      <c r="J267" s="3504">
        <v>26045.580750000001</v>
      </c>
      <c r="K267" s="151">
        <v>251587.45285000003</v>
      </c>
      <c r="L267" s="3504">
        <v>91212.508100000006</v>
      </c>
      <c r="M267" s="151">
        <v>147091.37793000002</v>
      </c>
      <c r="N267" s="1396">
        <v>146096.58839000002</v>
      </c>
      <c r="O267" s="455">
        <v>125.30730560824901</v>
      </c>
      <c r="P267" s="1398">
        <v>156311.12</v>
      </c>
      <c r="Q267" s="1398">
        <v>2901257</v>
      </c>
      <c r="R267" s="1602">
        <v>12183.351869783801</v>
      </c>
      <c r="S267" s="1604">
        <v>656.40285439035563</v>
      </c>
      <c r="T267" s="1981">
        <v>593413.63629000005</v>
      </c>
      <c r="U267" s="1983">
        <v>38338209.745659962</v>
      </c>
      <c r="V267" s="1981">
        <v>1955.7087632100004</v>
      </c>
      <c r="W267" s="1982">
        <v>6197.4428586799995</v>
      </c>
      <c r="X267" s="2731">
        <f t="shared" si="22"/>
        <v>8153.1516218899997</v>
      </c>
      <c r="Y267" s="217">
        <v>-4.2</v>
      </c>
      <c r="Z267" s="1246"/>
      <c r="AA267" s="1246"/>
      <c r="AB267" s="1266"/>
    </row>
    <row r="268" spans="1:28">
      <c r="A268" s="53">
        <f t="shared" si="15"/>
        <v>2018.07</v>
      </c>
      <c r="B268" s="141">
        <v>1921431.6874399995</v>
      </c>
      <c r="C268" s="2382">
        <f t="shared" si="20"/>
        <v>1300000.7097199997</v>
      </c>
      <c r="D268" s="3504">
        <v>157279.89820999998</v>
      </c>
      <c r="E268" s="151">
        <v>571582.94702999992</v>
      </c>
      <c r="F268" s="3504">
        <v>87268.53701</v>
      </c>
      <c r="G268" s="151">
        <v>190404.58968</v>
      </c>
      <c r="H268" s="3504">
        <v>190126.45342999999</v>
      </c>
      <c r="I268" s="151">
        <v>76344.803189999977</v>
      </c>
      <c r="J268" s="3504">
        <v>26993.481170000003</v>
      </c>
      <c r="K268" s="151">
        <v>260301.68148000003</v>
      </c>
      <c r="L268" s="3504">
        <v>89519.466169999985</v>
      </c>
      <c r="M268" s="151">
        <v>98322.263699999981</v>
      </c>
      <c r="N268" s="1396">
        <v>173287.56637000002</v>
      </c>
      <c r="O268" s="455">
        <v>130.43423991133739</v>
      </c>
      <c r="P268" s="1398">
        <v>156311.12</v>
      </c>
      <c r="Q268" s="1398">
        <v>2925319</v>
      </c>
      <c r="R268" s="1602">
        <v>12292.354423920704</v>
      </c>
      <c r="S268" s="1604">
        <v>656.82808864264041</v>
      </c>
      <c r="T268" s="1981">
        <v>581799.05618999992</v>
      </c>
      <c r="U268" s="1983">
        <v>39278449.962639973</v>
      </c>
      <c r="V268" s="1981">
        <v>2130.77775023</v>
      </c>
      <c r="W268" s="1982">
        <v>6667.1704899399992</v>
      </c>
      <c r="X268" s="2731">
        <f t="shared" si="22"/>
        <v>8797.9482401699988</v>
      </c>
      <c r="Y268" s="217">
        <v>-5.8</v>
      </c>
      <c r="Z268" s="1246"/>
      <c r="AA268" s="1246"/>
      <c r="AB268" s="1266"/>
    </row>
    <row r="269" spans="1:28">
      <c r="A269" s="53">
        <f t="shared" si="15"/>
        <v>2018.08</v>
      </c>
      <c r="B269" s="141">
        <v>1946379.8117400003</v>
      </c>
      <c r="C269" s="2382">
        <f t="shared" si="20"/>
        <v>1326724.8311400001</v>
      </c>
      <c r="D269" s="3504">
        <v>157609.52716</v>
      </c>
      <c r="E269" s="151">
        <v>580469.23326999997</v>
      </c>
      <c r="F269" s="3504">
        <v>87346.872230000008</v>
      </c>
      <c r="G269" s="151">
        <v>195796.50706999999</v>
      </c>
      <c r="H269" s="3504">
        <v>198554.42876000001</v>
      </c>
      <c r="I269" s="151">
        <v>79330.372690000004</v>
      </c>
      <c r="J269" s="3504">
        <v>27617.889959999997</v>
      </c>
      <c r="K269" s="151">
        <v>260848.90389999998</v>
      </c>
      <c r="L269" s="3504">
        <v>63769.48425999999</v>
      </c>
      <c r="M269" s="151">
        <v>84470.424299999999</v>
      </c>
      <c r="N269" s="1396">
        <v>210566.16813999999</v>
      </c>
      <c r="O269" s="455">
        <v>134.96835220747744</v>
      </c>
      <c r="P269" s="1398">
        <v>156311.12</v>
      </c>
      <c r="Q269" s="1398">
        <v>2927716</v>
      </c>
      <c r="R269" s="1602">
        <v>12451.959986851862</v>
      </c>
      <c r="S269" s="1604">
        <v>664.81168656386058</v>
      </c>
      <c r="T269" s="1981">
        <v>639204.78983999998</v>
      </c>
      <c r="U269" s="1983">
        <v>39491907.274199978</v>
      </c>
      <c r="V269" s="1981">
        <v>2293.64512311</v>
      </c>
      <c r="W269" s="1982">
        <v>6587.8562538599999</v>
      </c>
      <c r="X269" s="2731">
        <f t="shared" si="22"/>
        <v>8881.5013769699999</v>
      </c>
      <c r="Y269" s="217">
        <v>-8</v>
      </c>
      <c r="Z269" s="1246"/>
      <c r="AA269" s="1246"/>
      <c r="AB269" s="1266"/>
    </row>
    <row r="270" spans="1:28">
      <c r="A270" s="53">
        <f t="shared" ref="A270:A333" si="23">A258+1</f>
        <v>2018.09</v>
      </c>
      <c r="B270" s="141">
        <v>1862865.90056</v>
      </c>
      <c r="C270" s="2382">
        <f t="shared" si="20"/>
        <v>1322041.1811799998</v>
      </c>
      <c r="D270" s="3504">
        <v>172776.23452999996</v>
      </c>
      <c r="E270" s="151">
        <v>560288.96996000002</v>
      </c>
      <c r="F270" s="3504">
        <v>85129.795920000019</v>
      </c>
      <c r="G270" s="151">
        <v>196920.83022</v>
      </c>
      <c r="H270" s="3504">
        <v>203150.69479999997</v>
      </c>
      <c r="I270" s="151">
        <v>76453.761280000006</v>
      </c>
      <c r="J270" s="3504">
        <v>27320.894469999999</v>
      </c>
      <c r="K270" s="151">
        <v>277552.52166000003</v>
      </c>
      <c r="L270" s="3504">
        <v>47648.29127999999</v>
      </c>
      <c r="M270" s="151">
        <v>75561.80898999999</v>
      </c>
      <c r="N270" s="1396">
        <v>140062.09745</v>
      </c>
      <c r="O270" s="455">
        <v>147.43160445924593</v>
      </c>
      <c r="P270" s="1398">
        <v>156311.12</v>
      </c>
      <c r="Q270" s="1398">
        <v>2806675</v>
      </c>
      <c r="R270" s="1602">
        <v>11917.679948553885</v>
      </c>
      <c r="S270" s="1604">
        <v>663.72697250661372</v>
      </c>
      <c r="T270" s="1981">
        <v>612546.82256999996</v>
      </c>
      <c r="U270" s="1983">
        <v>39925548.997549988</v>
      </c>
      <c r="V270" s="1981">
        <v>2558.4935904300009</v>
      </c>
      <c r="W270" s="1982">
        <v>6228.74240388</v>
      </c>
      <c r="X270" s="2731">
        <f t="shared" si="22"/>
        <v>8787.2359943100018</v>
      </c>
      <c r="Y270" s="217">
        <v>-8.1999999999999993</v>
      </c>
      <c r="Z270" s="1246"/>
      <c r="AA270" s="1246"/>
      <c r="AB270" s="1266"/>
    </row>
    <row r="271" spans="1:28">
      <c r="A271" s="53">
        <f t="shared" si="23"/>
        <v>2018.1</v>
      </c>
      <c r="B271" s="141">
        <v>2048284.0582099997</v>
      </c>
      <c r="C271" s="2382">
        <f t="shared" si="20"/>
        <v>1435064.53247</v>
      </c>
      <c r="D271" s="3504">
        <v>189818.97448000003</v>
      </c>
      <c r="E271" s="151">
        <v>611068.51389000006</v>
      </c>
      <c r="F271" s="3504">
        <v>91701.639489999987</v>
      </c>
      <c r="G271" s="151">
        <v>208547.587</v>
      </c>
      <c r="H271" s="3504">
        <v>219085.17128000001</v>
      </c>
      <c r="I271" s="151">
        <v>85889.127379999976</v>
      </c>
      <c r="J271" s="3504">
        <v>28953.518950000001</v>
      </c>
      <c r="K271" s="151">
        <v>303345.52841999993</v>
      </c>
      <c r="L271" s="3504">
        <v>58985.812809999996</v>
      </c>
      <c r="M271" s="151">
        <v>93138.983720000004</v>
      </c>
      <c r="N271" s="1396">
        <v>157749.20079</v>
      </c>
      <c r="O271" s="455">
        <v>155.85076582551284</v>
      </c>
      <c r="P271" s="1398">
        <v>156311.12</v>
      </c>
      <c r="Q271" s="1398">
        <v>2941357</v>
      </c>
      <c r="R271" s="1602">
        <v>13103.89214925976</v>
      </c>
      <c r="S271" s="1604">
        <v>696.373836365324</v>
      </c>
      <c r="T271" s="1981">
        <v>773767.11679999996</v>
      </c>
      <c r="U271" s="1983">
        <v>43420253.822479993</v>
      </c>
      <c r="V271" s="1981">
        <v>3054.7745219330004</v>
      </c>
      <c r="W271" s="1982">
        <v>6825.8870005099989</v>
      </c>
      <c r="X271" s="2731">
        <f t="shared" si="22"/>
        <v>9880.6615224429988</v>
      </c>
      <c r="Y271" s="217">
        <v>-9.4</v>
      </c>
      <c r="Z271" s="1246"/>
      <c r="AA271" s="1246"/>
      <c r="AB271" s="1266"/>
    </row>
    <row r="272" spans="1:28">
      <c r="A272" s="53">
        <f t="shared" si="23"/>
        <v>2018.11</v>
      </c>
      <c r="B272" s="141">
        <v>2107533.5497499998</v>
      </c>
      <c r="C272" s="2382">
        <f t="shared" si="20"/>
        <v>1456502.5048699998</v>
      </c>
      <c r="D272" s="3504">
        <v>214993.24311000001</v>
      </c>
      <c r="E272" s="151">
        <v>602041.02617999993</v>
      </c>
      <c r="F272" s="3504">
        <v>91511.227000000014</v>
      </c>
      <c r="G272" s="151">
        <v>208111.17934999999</v>
      </c>
      <c r="H272" s="3504">
        <v>220748.10188000003</v>
      </c>
      <c r="I272" s="151">
        <v>90497.410369999998</v>
      </c>
      <c r="J272" s="3504">
        <v>28600.31698</v>
      </c>
      <c r="K272" s="151">
        <v>317459.89948999998</v>
      </c>
      <c r="L272" s="3504">
        <v>58756.608650000009</v>
      </c>
      <c r="M272" s="151">
        <v>92581.561029999997</v>
      </c>
      <c r="N272" s="1396">
        <v>182232.97570999997</v>
      </c>
      <c r="O272" s="455">
        <v>161.74872152431271</v>
      </c>
      <c r="P272" s="1398">
        <v>156311.12</v>
      </c>
      <c r="Q272" s="1398">
        <v>2870876</v>
      </c>
      <c r="R272" s="1602">
        <v>13482.940623482193</v>
      </c>
      <c r="S272" s="1604">
        <v>734.10817804391399</v>
      </c>
      <c r="T272" s="1981">
        <v>772485.21409000002</v>
      </c>
      <c r="U272" s="1983">
        <v>44849446.006039977</v>
      </c>
      <c r="V272" s="1981">
        <v>3199.6928330100004</v>
      </c>
      <c r="W272" s="1982">
        <v>7040.8669075800008</v>
      </c>
      <c r="X272" s="2731">
        <f t="shared" si="22"/>
        <v>10240.559740590001</v>
      </c>
      <c r="Y272" s="217">
        <v>-15.6</v>
      </c>
      <c r="Z272" s="1246"/>
      <c r="AA272" s="1246"/>
      <c r="AB272" s="1266"/>
    </row>
    <row r="273" spans="1:28">
      <c r="A273" s="53">
        <f t="shared" si="23"/>
        <v>2018.12</v>
      </c>
      <c r="B273" s="141">
        <v>2821576.9605600005</v>
      </c>
      <c r="C273" s="2382">
        <f t="shared" si="20"/>
        <v>1876986.5346100004</v>
      </c>
      <c r="D273" s="3504">
        <v>364005.65912999999</v>
      </c>
      <c r="E273" s="151">
        <v>775102.01740000001</v>
      </c>
      <c r="F273" s="3504">
        <v>116773.63015000001</v>
      </c>
      <c r="G273" s="151">
        <v>220395.84070000003</v>
      </c>
      <c r="H273" s="3504">
        <v>264270.47832999995</v>
      </c>
      <c r="I273" s="151">
        <v>100687.27509000001</v>
      </c>
      <c r="J273" s="3504">
        <v>35751.633809999999</v>
      </c>
      <c r="K273" s="151">
        <v>366420.97102</v>
      </c>
      <c r="L273" s="3504">
        <v>101972.48903</v>
      </c>
      <c r="M273" s="151">
        <v>118428.85342</v>
      </c>
      <c r="N273" s="1396">
        <v>357768.11247999995</v>
      </c>
      <c r="O273" s="455">
        <v>164.93011282049824</v>
      </c>
      <c r="P273" s="1398">
        <v>156972.12</v>
      </c>
      <c r="Q273" s="1398">
        <v>3160029</v>
      </c>
      <c r="R273" s="1602">
        <v>17975.01977140909</v>
      </c>
      <c r="S273" s="1604">
        <v>892.89590714515612</v>
      </c>
      <c r="T273" s="1981">
        <v>751599.44123</v>
      </c>
      <c r="U273" s="1983">
        <v>57203955.863619991</v>
      </c>
      <c r="V273" s="1981">
        <v>3681.3600485399998</v>
      </c>
      <c r="W273" s="1982">
        <v>8526.4403698299993</v>
      </c>
      <c r="X273" s="2731">
        <f t="shared" si="22"/>
        <v>12207.80041837</v>
      </c>
      <c r="Y273" s="217">
        <v>-9.9</v>
      </c>
      <c r="Z273" s="1246"/>
      <c r="AA273" s="1246"/>
      <c r="AB273" s="1266"/>
    </row>
    <row r="274" spans="1:28">
      <c r="A274" s="53">
        <f t="shared" si="23"/>
        <v>2019.01</v>
      </c>
      <c r="B274" s="141">
        <v>2180110.5885999999</v>
      </c>
      <c r="C274" s="2382">
        <f t="shared" si="20"/>
        <v>1447912.0562100001</v>
      </c>
      <c r="D274" s="3504">
        <v>206227.99755</v>
      </c>
      <c r="E274" s="151">
        <v>586974.33633000008</v>
      </c>
      <c r="F274" s="3504">
        <v>92537.866810000007</v>
      </c>
      <c r="G274" s="151">
        <v>209357.02119</v>
      </c>
      <c r="H274" s="3504">
        <v>227667.80035999996</v>
      </c>
      <c r="I274" s="151">
        <v>94689.517130000007</v>
      </c>
      <c r="J274" s="3504">
        <v>30457.516840000004</v>
      </c>
      <c r="K274" s="151">
        <v>345493.13579000003</v>
      </c>
      <c r="L274" s="3504">
        <v>79819.05879000001</v>
      </c>
      <c r="M274" s="151">
        <v>92372.792760000011</v>
      </c>
      <c r="N274" s="1396">
        <v>214513.54505000002</v>
      </c>
      <c r="O274" s="455">
        <v>170.73514928656965</v>
      </c>
      <c r="P274" s="1398">
        <v>156972.12</v>
      </c>
      <c r="Q274" s="1398">
        <v>5263434</v>
      </c>
      <c r="R274" s="1602">
        <v>13888.521022714098</v>
      </c>
      <c r="S274" s="1604">
        <v>414.19928293961698</v>
      </c>
      <c r="T274" s="1981">
        <v>693048.47042999999</v>
      </c>
      <c r="U274" s="1983">
        <v>45433623.712059997</v>
      </c>
      <c r="V274" s="1981">
        <v>3399.9400030399997</v>
      </c>
      <c r="W274" s="1982">
        <v>6886.6315978599996</v>
      </c>
      <c r="X274" s="2731">
        <f t="shared" si="22"/>
        <v>10286.571600899999</v>
      </c>
      <c r="Y274" s="217">
        <v>-10</v>
      </c>
      <c r="Z274" s="1246"/>
      <c r="AA274" s="1246"/>
      <c r="AB274" s="1266"/>
    </row>
    <row r="275" spans="1:28">
      <c r="A275" s="53">
        <f t="shared" si="23"/>
        <v>2019.02</v>
      </c>
      <c r="B275" s="141">
        <v>2146122.1786722206</v>
      </c>
      <c r="C275" s="2382">
        <f t="shared" si="20"/>
        <v>1474157.5961600002</v>
      </c>
      <c r="D275" s="3504">
        <v>212631.34306000001</v>
      </c>
      <c r="E275" s="151">
        <v>585456.8899999999</v>
      </c>
      <c r="F275" s="3504">
        <v>91279.745259999996</v>
      </c>
      <c r="G275" s="151">
        <v>211560.47924000002</v>
      </c>
      <c r="H275" s="3504">
        <v>246253.08305000002</v>
      </c>
      <c r="I275" s="151">
        <v>96849.561589999983</v>
      </c>
      <c r="J275" s="3504">
        <v>30126.49396</v>
      </c>
      <c r="K275" s="151">
        <v>323597.80483000004</v>
      </c>
      <c r="L275" s="3504">
        <v>60416.719149999997</v>
      </c>
      <c r="M275" s="151">
        <v>84056.575599999996</v>
      </c>
      <c r="N275" s="1396">
        <v>203893.48293222004</v>
      </c>
      <c r="O275" s="455">
        <v>177.58386636899735</v>
      </c>
      <c r="P275" s="1398">
        <v>157784.12</v>
      </c>
      <c r="Q275" s="1398">
        <v>2723141</v>
      </c>
      <c r="R275" s="1602">
        <v>13601.636075114657</v>
      </c>
      <c r="S275" s="1604">
        <v>788.10541895268</v>
      </c>
      <c r="T275" s="1981">
        <v>677957.83977999992</v>
      </c>
      <c r="U275" s="1983">
        <v>44592144.895340025</v>
      </c>
      <c r="V275" s="1981">
        <v>3071.6627410699998</v>
      </c>
      <c r="W275" s="1982">
        <v>7043.1661565599989</v>
      </c>
      <c r="X275" s="2731">
        <f t="shared" si="22"/>
        <v>10114.828897629999</v>
      </c>
      <c r="Y275" s="217">
        <v>-11.9</v>
      </c>
      <c r="Z275" s="1246"/>
      <c r="AA275" s="1246"/>
      <c r="AB275" s="1266"/>
    </row>
    <row r="276" spans="1:28">
      <c r="A276" s="53">
        <f t="shared" si="23"/>
        <v>2019.03</v>
      </c>
      <c r="B276" s="141">
        <v>2497845.4540399997</v>
      </c>
      <c r="C276" s="2382">
        <f t="shared" si="20"/>
        <v>1757534.5616899999</v>
      </c>
      <c r="D276" s="3504">
        <v>219654.26153999998</v>
      </c>
      <c r="E276" s="151">
        <v>706392.03268000006</v>
      </c>
      <c r="F276" s="3504">
        <v>110455.57655</v>
      </c>
      <c r="G276" s="151">
        <v>260253.63083999997</v>
      </c>
      <c r="H276" s="3504">
        <v>320057.34735999996</v>
      </c>
      <c r="I276" s="151">
        <v>105496.69359</v>
      </c>
      <c r="J276" s="3504">
        <v>35225.019130000001</v>
      </c>
      <c r="K276" s="151">
        <v>365706.10683999996</v>
      </c>
      <c r="L276" s="3504">
        <v>73545.404689999996</v>
      </c>
      <c r="M276" s="151">
        <v>86821.975010000009</v>
      </c>
      <c r="N276" s="1396">
        <v>214237.40581</v>
      </c>
      <c r="O276" s="455">
        <v>185.99091586083318</v>
      </c>
      <c r="P276" s="1398">
        <v>157784.12</v>
      </c>
      <c r="Q276" s="1398">
        <v>3024682</v>
      </c>
      <c r="R276" s="1602">
        <v>15830.778496847464</v>
      </c>
      <c r="S276" s="1604">
        <v>825.82084795690923</v>
      </c>
      <c r="T276" s="1981">
        <v>717911.57148999989</v>
      </c>
      <c r="U276" s="1983">
        <v>51065694.254650012</v>
      </c>
      <c r="V276" s="1981">
        <v>3634.3679783400003</v>
      </c>
      <c r="W276" s="1982">
        <v>8185.4193349400002</v>
      </c>
      <c r="X276" s="2731">
        <f t="shared" si="22"/>
        <v>11819.787313280001</v>
      </c>
      <c r="Y276" s="217">
        <v>-11.3</v>
      </c>
      <c r="Z276" s="1246"/>
      <c r="AA276" s="1246"/>
      <c r="AB276" s="1266"/>
    </row>
    <row r="277" spans="1:28">
      <c r="A277" s="53">
        <f t="shared" si="23"/>
        <v>2019.04</v>
      </c>
      <c r="B277" s="141">
        <v>2393001.29935</v>
      </c>
      <c r="C277" s="2382">
        <f t="shared" si="20"/>
        <v>1726293.0666299998</v>
      </c>
      <c r="D277" s="3504">
        <v>197527.22699</v>
      </c>
      <c r="E277" s="151">
        <v>724544.39350999985</v>
      </c>
      <c r="F277" s="3504">
        <v>117035.33677000001</v>
      </c>
      <c r="G277" s="151">
        <v>257819.84682000001</v>
      </c>
      <c r="H277" s="3504">
        <v>298288.85600999999</v>
      </c>
      <c r="I277" s="151">
        <v>96082.236529999995</v>
      </c>
      <c r="J277" s="3504">
        <v>34995.17</v>
      </c>
      <c r="K277" s="151">
        <v>354275.45257999998</v>
      </c>
      <c r="L277" s="3504">
        <v>70933.704030000008</v>
      </c>
      <c r="M277" s="151">
        <v>73956.032560000007</v>
      </c>
      <c r="N277" s="1396">
        <v>167543.04354999997</v>
      </c>
      <c r="O277" s="455">
        <v>193.05869333675622</v>
      </c>
      <c r="P277" s="1398">
        <v>157784.12</v>
      </c>
      <c r="Q277" s="1398">
        <v>2924441</v>
      </c>
      <c r="R277" s="1602">
        <v>15166.300001229525</v>
      </c>
      <c r="S277" s="1604">
        <v>818.27648406994683</v>
      </c>
      <c r="T277" s="1981">
        <v>681844.1039799999</v>
      </c>
      <c r="U277" s="1983">
        <v>49621409.275120035</v>
      </c>
      <c r="V277" s="1981">
        <v>3500.0810189499998</v>
      </c>
      <c r="W277" s="1982">
        <v>8112.0115658099976</v>
      </c>
      <c r="X277" s="2731">
        <f t="shared" si="22"/>
        <v>11612.092584759997</v>
      </c>
      <c r="Y277" s="217">
        <v>-13.4</v>
      </c>
      <c r="Z277" s="1246"/>
      <c r="AA277" s="1246"/>
      <c r="AB277" s="1266"/>
    </row>
    <row r="278" spans="1:28">
      <c r="A278" s="53">
        <f t="shared" si="23"/>
        <v>2019.05</v>
      </c>
      <c r="B278" s="141">
        <v>2471399.9374799994</v>
      </c>
      <c r="C278" s="2382">
        <f t="shared" si="20"/>
        <v>1745052.5157199998</v>
      </c>
      <c r="D278" s="3504">
        <v>236638.53233000002</v>
      </c>
      <c r="E278" s="151">
        <v>698247.9522399999</v>
      </c>
      <c r="F278" s="3504">
        <v>113548.58765</v>
      </c>
      <c r="G278" s="151">
        <v>278832.05325</v>
      </c>
      <c r="H278" s="3504">
        <v>291035.16196</v>
      </c>
      <c r="I278" s="151">
        <v>91377.997340000002</v>
      </c>
      <c r="J278" s="3504">
        <v>35372.230949999997</v>
      </c>
      <c r="K278" s="151">
        <v>359729.91109999997</v>
      </c>
      <c r="L278" s="3504">
        <v>92584.456870000009</v>
      </c>
      <c r="M278" s="151">
        <v>97989.150739999997</v>
      </c>
      <c r="N278" s="1396">
        <v>176043.90304999996</v>
      </c>
      <c r="O278" s="455">
        <v>199.47559443845338</v>
      </c>
      <c r="P278" s="1398">
        <v>158029.12</v>
      </c>
      <c r="Q278" s="1398">
        <v>2886131</v>
      </c>
      <c r="R278" s="1602">
        <v>15638.889449488806</v>
      </c>
      <c r="S278" s="1604">
        <v>856.3020658036661</v>
      </c>
      <c r="T278" s="1981">
        <v>964446.87430999998</v>
      </c>
      <c r="U278" s="1983">
        <v>50778299.914400004</v>
      </c>
      <c r="V278" s="1981">
        <v>3681.5381861799992</v>
      </c>
      <c r="W278" s="1982">
        <v>8588.6795940499997</v>
      </c>
      <c r="X278" s="2731">
        <f t="shared" si="22"/>
        <v>12270.217780229999</v>
      </c>
      <c r="Y278" s="217">
        <v>-14.1</v>
      </c>
      <c r="Z278" s="1246"/>
      <c r="AA278" s="1246"/>
      <c r="AB278" s="1266"/>
    </row>
    <row r="279" spans="1:28">
      <c r="A279" s="53">
        <f t="shared" si="23"/>
        <v>2019.06</v>
      </c>
      <c r="B279" s="141">
        <v>2803062.8385700001</v>
      </c>
      <c r="C279" s="2382">
        <f t="shared" si="20"/>
        <v>1936880.5129900002</v>
      </c>
      <c r="D279" s="3504">
        <v>270639.75799000001</v>
      </c>
      <c r="E279" s="151">
        <v>784480.10694999993</v>
      </c>
      <c r="F279" s="3504">
        <v>125674.82016</v>
      </c>
      <c r="G279" s="151">
        <v>310622.53357999999</v>
      </c>
      <c r="H279" s="3504">
        <v>310394.42046000005</v>
      </c>
      <c r="I279" s="151">
        <v>96725.450280000005</v>
      </c>
      <c r="J279" s="3504">
        <v>38343.423569999999</v>
      </c>
      <c r="K279" s="151">
        <v>404072.51741000003</v>
      </c>
      <c r="L279" s="3504">
        <v>119893.21979999999</v>
      </c>
      <c r="M279" s="151">
        <v>133638.20297000001</v>
      </c>
      <c r="N279" s="1396">
        <v>208578.38539999997</v>
      </c>
      <c r="O279" s="1407">
        <v>205.21322106696945</v>
      </c>
      <c r="P279" s="1398">
        <v>158029.12</v>
      </c>
      <c r="Q279" s="1398">
        <v>3017086</v>
      </c>
      <c r="R279" s="1602">
        <v>17737.634928106923</v>
      </c>
      <c r="S279" s="1604">
        <v>929.06295629955537</v>
      </c>
      <c r="T279" s="1981">
        <v>821703.36165999994</v>
      </c>
      <c r="U279" s="1983">
        <v>54413419.614820004</v>
      </c>
      <c r="V279" s="1981">
        <v>3262.9621553299999</v>
      </c>
      <c r="W279" s="1982">
        <v>8860.5004622400011</v>
      </c>
      <c r="X279" s="2731">
        <f t="shared" si="22"/>
        <v>12123.462617570001</v>
      </c>
      <c r="Y279" s="217">
        <v>-12.2</v>
      </c>
      <c r="Z279" s="1246"/>
      <c r="AA279" s="1246"/>
      <c r="AB279" s="1246"/>
    </row>
    <row r="280" spans="1:28">
      <c r="A280" s="53">
        <f t="shared" si="23"/>
        <v>2019.07</v>
      </c>
      <c r="B280" s="141">
        <v>2647196.0758199999</v>
      </c>
      <c r="C280" s="2382">
        <f t="shared" si="20"/>
        <v>1846267.5160699999</v>
      </c>
      <c r="D280" s="3504">
        <v>250678.64187999995</v>
      </c>
      <c r="E280" s="151">
        <v>747662.58828000014</v>
      </c>
      <c r="F280" s="3504">
        <v>126836.02631999999</v>
      </c>
      <c r="G280" s="151">
        <v>291281.31212999998</v>
      </c>
      <c r="H280" s="3504">
        <v>295782.55413</v>
      </c>
      <c r="I280" s="151">
        <v>97181.548919999987</v>
      </c>
      <c r="J280" s="3504">
        <v>36844.844409999998</v>
      </c>
      <c r="K280" s="151">
        <v>369109.15153999993</v>
      </c>
      <c r="L280" s="3504">
        <v>109602.02045</v>
      </c>
      <c r="M280" s="151">
        <v>116912.59973</v>
      </c>
      <c r="N280" s="1396">
        <v>205304.78803</v>
      </c>
      <c r="O280" s="455">
        <v>209.55942828047517</v>
      </c>
      <c r="P280" s="1398">
        <v>158029.12</v>
      </c>
      <c r="Q280" s="1398">
        <v>2907976</v>
      </c>
      <c r="R280" s="1602">
        <v>16751.318211605558</v>
      </c>
      <c r="S280" s="1604">
        <v>910.32253217358061</v>
      </c>
      <c r="T280" s="1981">
        <v>923140.63296000008</v>
      </c>
      <c r="U280" s="1983">
        <v>55044482.257320002</v>
      </c>
      <c r="V280" s="1981">
        <v>3763.46955093</v>
      </c>
      <c r="W280" s="1982">
        <v>9146.8152448199999</v>
      </c>
      <c r="X280" s="2731">
        <f t="shared" si="22"/>
        <v>12910.28479575</v>
      </c>
      <c r="Y280" s="217">
        <v>-7.5</v>
      </c>
      <c r="Z280" s="1246"/>
      <c r="AA280" s="1246"/>
      <c r="AB280" s="1246"/>
    </row>
    <row r="281" spans="1:28">
      <c r="A281" s="53">
        <f t="shared" si="23"/>
        <v>2019.08</v>
      </c>
      <c r="B281" s="141">
        <v>2858938.0277</v>
      </c>
      <c r="C281" s="2382">
        <f t="shared" si="20"/>
        <v>2036185.8478900001</v>
      </c>
      <c r="D281" s="3504">
        <v>272837.15969999996</v>
      </c>
      <c r="E281" s="151">
        <v>829366.20915000001</v>
      </c>
      <c r="F281" s="3504">
        <v>132522.94036000001</v>
      </c>
      <c r="G281" s="151">
        <v>318972.03898999997</v>
      </c>
      <c r="H281" s="3504">
        <v>333813.87368000002</v>
      </c>
      <c r="I281" s="151">
        <v>108898.11365</v>
      </c>
      <c r="J281" s="3504">
        <v>39775.512360000001</v>
      </c>
      <c r="K281" s="151">
        <v>373541.96310999995</v>
      </c>
      <c r="L281" s="3504">
        <v>75120.495119999992</v>
      </c>
      <c r="M281" s="151">
        <v>120365.06554000001</v>
      </c>
      <c r="N281" s="1396">
        <v>253724.65604</v>
      </c>
      <c r="O281" s="455">
        <v>220.17570566224413</v>
      </c>
      <c r="P281" s="1398">
        <v>158029.12</v>
      </c>
      <c r="Q281" s="1398">
        <v>3012020</v>
      </c>
      <c r="R281" s="1602">
        <v>18091.210200373196</v>
      </c>
      <c r="S281" s="1604">
        <v>949.17630948665669</v>
      </c>
      <c r="T281" s="1981">
        <v>1024177.9783600001</v>
      </c>
      <c r="U281" s="1983">
        <v>59672104.455670007</v>
      </c>
      <c r="V281" s="1981">
        <v>3953.6746143399992</v>
      </c>
      <c r="W281" s="1982">
        <v>9759.826281650001</v>
      </c>
      <c r="X281" s="2731">
        <f t="shared" si="22"/>
        <v>13713.500895990001</v>
      </c>
      <c r="Y281" s="217">
        <v>-18.600000000000001</v>
      </c>
      <c r="Z281" s="1246"/>
      <c r="AA281" s="1246"/>
      <c r="AB281" s="1246"/>
    </row>
    <row r="282" spans="1:28">
      <c r="A282" s="53">
        <f t="shared" si="23"/>
        <v>2019.09</v>
      </c>
      <c r="B282" s="141">
        <v>2732586.2381500006</v>
      </c>
      <c r="C282" s="2382">
        <f t="shared" si="20"/>
        <v>1955674.2464600003</v>
      </c>
      <c r="D282" s="3504">
        <v>278209.43672</v>
      </c>
      <c r="E282" s="151">
        <v>747414.24051000015</v>
      </c>
      <c r="F282" s="3504">
        <v>129177.52130000001</v>
      </c>
      <c r="G282" s="151">
        <v>311876.82389</v>
      </c>
      <c r="H282" s="3504">
        <v>339657.67784999998</v>
      </c>
      <c r="I282" s="151">
        <v>110156.69033999999</v>
      </c>
      <c r="J282" s="3504">
        <v>39181.85585</v>
      </c>
      <c r="K282" s="151">
        <v>411752.98145000002</v>
      </c>
      <c r="L282" s="3504">
        <v>71773.320950000008</v>
      </c>
      <c r="M282" s="151">
        <v>101817.96630000001</v>
      </c>
      <c r="N282" s="1396">
        <v>191567.72298999995</v>
      </c>
      <c r="O282" s="1407">
        <v>234.65945418227832</v>
      </c>
      <c r="P282" s="1398">
        <v>158029.12</v>
      </c>
      <c r="Q282" s="1398">
        <v>2824712</v>
      </c>
      <c r="R282" s="1602">
        <v>17291.662689446097</v>
      </c>
      <c r="S282" s="1604">
        <v>967.38578593145076</v>
      </c>
      <c r="T282" s="1981">
        <v>997476.22678999999</v>
      </c>
      <c r="U282" s="1983">
        <v>57885306.406869985</v>
      </c>
      <c r="V282" s="1981">
        <v>3688.3979962600006</v>
      </c>
      <c r="W282" s="1982">
        <v>9696.8390968299991</v>
      </c>
      <c r="X282" s="2731">
        <f t="shared" si="22"/>
        <v>13385.23709309</v>
      </c>
      <c r="Y282" s="217">
        <v>-14.5</v>
      </c>
      <c r="Z282" s="1246"/>
      <c r="AA282" s="1246"/>
      <c r="AB282" s="1246"/>
    </row>
    <row r="283" spans="1:28">
      <c r="A283" s="53">
        <f t="shared" si="23"/>
        <v>2019.1</v>
      </c>
      <c r="B283" s="141">
        <v>3127614.8071100004</v>
      </c>
      <c r="C283" s="2382">
        <f t="shared" si="20"/>
        <v>2170241.08073</v>
      </c>
      <c r="D283" s="3504">
        <v>324495.51793999993</v>
      </c>
      <c r="E283" s="151">
        <v>851487.9529400001</v>
      </c>
      <c r="F283" s="3504">
        <v>140690.82501</v>
      </c>
      <c r="G283" s="151">
        <v>337823.28205000004</v>
      </c>
      <c r="H283" s="3504">
        <v>349920.43789999996</v>
      </c>
      <c r="I283" s="151">
        <v>122244.70323</v>
      </c>
      <c r="J283" s="3504">
        <v>43578.361660000002</v>
      </c>
      <c r="K283" s="151">
        <v>468604.20474000002</v>
      </c>
      <c r="L283" s="3504">
        <v>82665.68707</v>
      </c>
      <c r="M283" s="151">
        <v>179876.10459999999</v>
      </c>
      <c r="N283" s="1396">
        <v>226227.72996999999</v>
      </c>
      <c r="O283" s="1407">
        <v>241.52097945709863</v>
      </c>
      <c r="P283" s="1398">
        <v>158029.12</v>
      </c>
      <c r="Q283" s="1398">
        <v>2955028</v>
      </c>
      <c r="R283" s="1602">
        <v>19791.382797740062</v>
      </c>
      <c r="S283" s="1604">
        <v>1058.4044574569173</v>
      </c>
      <c r="T283" s="1981">
        <v>1180651.4782499999</v>
      </c>
      <c r="U283" s="1983">
        <v>66325579.593680002</v>
      </c>
      <c r="V283" s="1981">
        <v>4350.6118470599995</v>
      </c>
      <c r="W283" s="1982">
        <v>11004.841255879999</v>
      </c>
      <c r="X283" s="2731">
        <f t="shared" si="22"/>
        <v>15355.453102939999</v>
      </c>
      <c r="Y283" s="217">
        <v>-11.6</v>
      </c>
      <c r="Z283" s="1246"/>
      <c r="AA283" s="1246"/>
      <c r="AB283" s="1246"/>
    </row>
    <row r="284" spans="1:28">
      <c r="A284" s="53">
        <f t="shared" si="23"/>
        <v>2019.11</v>
      </c>
      <c r="B284" s="141">
        <v>3219595.5181499999</v>
      </c>
      <c r="C284" s="2382">
        <f t="shared" si="20"/>
        <v>2233868.64903</v>
      </c>
      <c r="D284" s="3504">
        <v>398243.98787999997</v>
      </c>
      <c r="E284" s="151">
        <v>833499.13888999994</v>
      </c>
      <c r="F284" s="3504">
        <v>139886.46518</v>
      </c>
      <c r="G284" s="151">
        <v>324446.94876999996</v>
      </c>
      <c r="H284" s="3504">
        <v>357794.04815999995</v>
      </c>
      <c r="I284" s="151">
        <v>134887.48931999999</v>
      </c>
      <c r="J284" s="3504">
        <v>45110.570829999997</v>
      </c>
      <c r="K284" s="151">
        <v>485841.21544000006</v>
      </c>
      <c r="L284" s="3504">
        <v>85629.700439999986</v>
      </c>
      <c r="M284" s="151">
        <v>166365.02002</v>
      </c>
      <c r="N284" s="1396">
        <v>247890.93322000001</v>
      </c>
      <c r="O284" s="1407">
        <v>251.30749144468277</v>
      </c>
      <c r="P284" s="1398">
        <v>158029.12</v>
      </c>
      <c r="Q284" s="1398">
        <v>2934330</v>
      </c>
      <c r="R284" s="1602">
        <v>20373.431922863336</v>
      </c>
      <c r="S284" s="1604">
        <v>1097.2165769187516</v>
      </c>
      <c r="T284" s="1981">
        <v>1489506.4453500002</v>
      </c>
      <c r="U284" s="1983">
        <v>67943710.187429994</v>
      </c>
      <c r="V284" s="1981">
        <v>4271.9949753800001</v>
      </c>
      <c r="W284" s="1982">
        <v>11382.609489530001</v>
      </c>
      <c r="X284" s="2731">
        <f t="shared" si="22"/>
        <v>15654.60446491</v>
      </c>
      <c r="Y284" s="217">
        <v>-7.1</v>
      </c>
      <c r="Z284" s="1246"/>
      <c r="AA284" s="1246"/>
      <c r="AB284" s="1246"/>
    </row>
    <row r="285" spans="1:28">
      <c r="A285" s="53">
        <f t="shared" si="23"/>
        <v>2019.12</v>
      </c>
      <c r="B285" s="141">
        <v>4023961.5468699993</v>
      </c>
      <c r="C285" s="2382">
        <f t="shared" si="20"/>
        <v>2794221.9608199992</v>
      </c>
      <c r="D285" s="3504">
        <v>619342.21018000005</v>
      </c>
      <c r="E285" s="151">
        <v>1003070.0282199999</v>
      </c>
      <c r="F285" s="3504">
        <v>180917.01835999999</v>
      </c>
      <c r="G285" s="151">
        <v>341764.94019999995</v>
      </c>
      <c r="H285" s="3504">
        <v>436589.37214999995</v>
      </c>
      <c r="I285" s="151">
        <v>157050.26147999999</v>
      </c>
      <c r="J285" s="3504">
        <v>55488.130230000002</v>
      </c>
      <c r="K285" s="151">
        <v>525189.03374999994</v>
      </c>
      <c r="L285" s="3504">
        <v>121909.54111000001</v>
      </c>
      <c r="M285" s="151">
        <v>177930.9847</v>
      </c>
      <c r="N285" s="1396">
        <v>404710.02649000008</v>
      </c>
      <c r="O285" s="1407">
        <v>257.24482439106538</v>
      </c>
      <c r="P285" s="1398">
        <v>158029.12</v>
      </c>
      <c r="Q285" s="1398">
        <v>3179857</v>
      </c>
      <c r="R285" s="1602">
        <v>25463.418051495824</v>
      </c>
      <c r="S285" s="1604">
        <v>1265.4536184708934</v>
      </c>
      <c r="T285" s="1981">
        <v>1278463.6138200001</v>
      </c>
      <c r="U285" s="1983">
        <v>83524644.291500002</v>
      </c>
      <c r="V285" s="1981">
        <v>5305.0377713299995</v>
      </c>
      <c r="W285" s="1982">
        <v>14196.56606757</v>
      </c>
      <c r="X285" s="2731">
        <f t="shared" si="22"/>
        <v>19501.603838899999</v>
      </c>
      <c r="Y285" s="217">
        <v>-3.8</v>
      </c>
      <c r="Z285" s="1246"/>
      <c r="AA285" s="1246"/>
      <c r="AB285" s="1246"/>
    </row>
    <row r="286" spans="1:28">
      <c r="A286" s="53">
        <f t="shared" si="23"/>
        <v>2020.01</v>
      </c>
      <c r="B286" s="141">
        <v>3280033.1104050004</v>
      </c>
      <c r="C286" s="2382">
        <f t="shared" si="20"/>
        <v>2231537.5970550003</v>
      </c>
      <c r="D286" s="3504">
        <v>376449.34982999996</v>
      </c>
      <c r="E286" s="151">
        <v>821012.52155999991</v>
      </c>
      <c r="F286" s="3504">
        <v>142018.36395000003</v>
      </c>
      <c r="G286" s="151">
        <v>316607.51905</v>
      </c>
      <c r="H286" s="3504">
        <v>381067.25143499998</v>
      </c>
      <c r="I286" s="151">
        <v>147635.41574999999</v>
      </c>
      <c r="J286" s="3504">
        <v>46747.175480000005</v>
      </c>
      <c r="K286" s="151">
        <v>510416.16291000001</v>
      </c>
      <c r="L286" s="3504">
        <v>100554.70917</v>
      </c>
      <c r="M286" s="151">
        <v>146821.42551</v>
      </c>
      <c r="N286" s="1396">
        <v>290703.21575999999</v>
      </c>
      <c r="O286" s="1407">
        <v>268.14849534764846</v>
      </c>
      <c r="P286" s="1398">
        <v>158029.12</v>
      </c>
      <c r="Q286" s="1398">
        <v>2829089</v>
      </c>
      <c r="R286" s="1602">
        <v>20755.877843305083</v>
      </c>
      <c r="S286" s="1604">
        <v>1159.3955193367901</v>
      </c>
      <c r="T286" s="1981">
        <v>1040882.66074</v>
      </c>
      <c r="U286" s="1983">
        <v>70145010.272730008</v>
      </c>
      <c r="V286" s="1981">
        <v>4672.0696278099995</v>
      </c>
      <c r="W286" s="1982">
        <v>11451.841214800001</v>
      </c>
      <c r="X286" s="2731">
        <f t="shared" si="22"/>
        <v>16123.910842609999</v>
      </c>
      <c r="Y286" s="217">
        <v>-3.5</v>
      </c>
      <c r="Z286" s="1246"/>
      <c r="AA286" s="1246"/>
      <c r="AB286" s="1246"/>
    </row>
    <row r="287" spans="1:28">
      <c r="A287" s="53">
        <f t="shared" si="23"/>
        <v>2020.02</v>
      </c>
      <c r="B287" s="141">
        <v>3400260.40338</v>
      </c>
      <c r="C287" s="2382">
        <f t="shared" si="20"/>
        <v>2421382.7215700001</v>
      </c>
      <c r="D287" s="3504">
        <v>410408.68475000001</v>
      </c>
      <c r="E287" s="151">
        <v>894220.28349000018</v>
      </c>
      <c r="F287" s="3504">
        <v>149599.66553</v>
      </c>
      <c r="G287" s="151">
        <v>352867.46100999997</v>
      </c>
      <c r="H287" s="3504">
        <v>412102.28296999994</v>
      </c>
      <c r="I287" s="151">
        <v>153584.20410000003</v>
      </c>
      <c r="J287" s="3504">
        <v>48600.139719999992</v>
      </c>
      <c r="K287" s="151">
        <v>490499.58282000001</v>
      </c>
      <c r="L287" s="3504">
        <v>97180.906039999987</v>
      </c>
      <c r="M287" s="151">
        <v>116958.86465999999</v>
      </c>
      <c r="N287" s="1396">
        <v>274238.32829000003</v>
      </c>
      <c r="O287" s="1407">
        <v>274.57309495861233</v>
      </c>
      <c r="P287" s="1398">
        <v>158029.12</v>
      </c>
      <c r="Q287" s="1398">
        <v>2828739</v>
      </c>
      <c r="R287" s="1602">
        <v>21516.66986046622</v>
      </c>
      <c r="S287" s="1604">
        <v>1202.0410519952529</v>
      </c>
      <c r="T287" s="1981">
        <v>980258.51472999994</v>
      </c>
      <c r="U287" s="1983">
        <v>72494433.66173999</v>
      </c>
      <c r="V287" s="1981">
        <v>4646.5336308400001</v>
      </c>
      <c r="W287" s="1982">
        <v>12120.399436099999</v>
      </c>
      <c r="X287" s="2731">
        <f t="shared" si="22"/>
        <v>16766.933066940001</v>
      </c>
      <c r="Y287" s="217">
        <v>-1.1000000000000001</v>
      </c>
      <c r="Z287" s="1246"/>
      <c r="AA287" s="1246"/>
      <c r="AB287" s="1246"/>
    </row>
    <row r="288" spans="1:28">
      <c r="A288" s="53">
        <f t="shared" si="23"/>
        <v>2020.03</v>
      </c>
      <c r="B288" s="141">
        <v>3888816.9010699997</v>
      </c>
      <c r="C288" s="2382">
        <f t="shared" si="20"/>
        <v>2830954.6853999994</v>
      </c>
      <c r="D288" s="3504">
        <v>355647.63871000003</v>
      </c>
      <c r="E288" s="151">
        <v>1216564.4480699999</v>
      </c>
      <c r="F288" s="3504">
        <v>145095.67068000001</v>
      </c>
      <c r="G288" s="151">
        <v>443331.60535999993</v>
      </c>
      <c r="H288" s="3504">
        <v>463673.72292999993</v>
      </c>
      <c r="I288" s="151">
        <v>173410.88092000003</v>
      </c>
      <c r="J288" s="3504">
        <v>33230.718730000008</v>
      </c>
      <c r="K288" s="151">
        <v>655103.82582999999</v>
      </c>
      <c r="L288" s="3504">
        <v>51858.352750000005</v>
      </c>
      <c r="M288" s="151">
        <v>122825.84927999999</v>
      </c>
      <c r="N288" s="1396">
        <v>228074.18781000003</v>
      </c>
      <c r="O288" s="1407">
        <v>285.23616992475314</v>
      </c>
      <c r="P288" s="1398">
        <v>158029.12</v>
      </c>
      <c r="Q288" s="1398">
        <v>2491026</v>
      </c>
      <c r="R288" s="1602">
        <v>24608.229806443265</v>
      </c>
      <c r="S288" s="1604">
        <v>1561.130594811134</v>
      </c>
      <c r="T288" s="1981">
        <v>1603155.5753900001</v>
      </c>
      <c r="U288" s="1983">
        <v>85778031.088819966</v>
      </c>
      <c r="V288" s="1981">
        <v>5725.9901422900011</v>
      </c>
      <c r="W288" s="1982">
        <v>15167.876417209998</v>
      </c>
      <c r="X288" s="2731">
        <f t="shared" si="22"/>
        <v>20893.866559499998</v>
      </c>
      <c r="Y288" s="217">
        <v>-48.7</v>
      </c>
      <c r="Z288" s="1246"/>
      <c r="AA288" s="1246"/>
      <c r="AB288" s="1246"/>
    </row>
    <row r="289" spans="1:25">
      <c r="A289" s="53">
        <f t="shared" si="23"/>
        <v>2020.04</v>
      </c>
      <c r="B289" s="141">
        <v>3258844.96557</v>
      </c>
      <c r="C289" s="2382">
        <f t="shared" si="20"/>
        <v>2441323.4670299999</v>
      </c>
      <c r="D289" s="3504">
        <v>292302.01198000001</v>
      </c>
      <c r="E289" s="151">
        <v>1057835.6428999999</v>
      </c>
      <c r="F289" s="3504">
        <v>129970.09582000002</v>
      </c>
      <c r="G289" s="151">
        <v>384649.87407999998</v>
      </c>
      <c r="H289" s="3504">
        <v>410536.03946</v>
      </c>
      <c r="I289" s="151">
        <v>146228.15221999999</v>
      </c>
      <c r="J289" s="3504">
        <v>19801.650570000002</v>
      </c>
      <c r="K289" s="151">
        <v>473994.19383</v>
      </c>
      <c r="L289" s="3504">
        <v>42390.537099999994</v>
      </c>
      <c r="M289" s="151">
        <v>129560.51573</v>
      </c>
      <c r="N289" s="1396">
        <v>171576.25188</v>
      </c>
      <c r="O289" s="1407">
        <v>290.96597514946808</v>
      </c>
      <c r="P289" s="1398">
        <v>158029.12</v>
      </c>
      <c r="Q289" s="1398">
        <v>1737897</v>
      </c>
      <c r="R289" s="1602">
        <v>20621.800371792237</v>
      </c>
      <c r="S289" s="1604">
        <v>1875.1657696457269</v>
      </c>
      <c r="T289" s="1981">
        <v>3210641.9290200006</v>
      </c>
      <c r="U289" s="1983">
        <v>75009596.638550013</v>
      </c>
      <c r="V289" s="1981">
        <v>5968.0236593199988</v>
      </c>
      <c r="W289" s="1982">
        <v>12183.689740519998</v>
      </c>
      <c r="X289" s="2731">
        <f t="shared" si="22"/>
        <v>18151.713399839995</v>
      </c>
      <c r="Y289" s="217">
        <v>-57.6</v>
      </c>
    </row>
    <row r="290" spans="1:25">
      <c r="A290" s="53">
        <f t="shared" si="23"/>
        <v>2020.05</v>
      </c>
      <c r="B290" s="141">
        <v>3539400.2403299999</v>
      </c>
      <c r="C290" s="2382">
        <f t="shared" si="20"/>
        <v>2493560.5899399999</v>
      </c>
      <c r="D290" s="3504">
        <v>320230.11888999998</v>
      </c>
      <c r="E290" s="151">
        <v>1071600.9892200001</v>
      </c>
      <c r="F290" s="3504">
        <v>128233.95020999998</v>
      </c>
      <c r="G290" s="151">
        <v>386669.55029000004</v>
      </c>
      <c r="H290" s="3504">
        <v>427453.16632000008</v>
      </c>
      <c r="I290" s="151">
        <v>136635.39662000001</v>
      </c>
      <c r="J290" s="3504">
        <v>22737.418390000003</v>
      </c>
      <c r="K290" s="151">
        <v>500275.86043999996</v>
      </c>
      <c r="L290" s="3504">
        <v>117710.32444</v>
      </c>
      <c r="M290" s="151">
        <v>203416.51302000001</v>
      </c>
      <c r="N290" s="1396">
        <v>224436.95249</v>
      </c>
      <c r="O290" s="1407">
        <v>293.82602601136739</v>
      </c>
      <c r="P290" s="1398">
        <v>158029.12</v>
      </c>
      <c r="Q290" s="1398">
        <v>1931948</v>
      </c>
      <c r="R290" s="1602">
        <v>22397.139466004748</v>
      </c>
      <c r="S290" s="1604">
        <v>1832.0370115189435</v>
      </c>
      <c r="T290" s="1981">
        <v>3627916.7945800005</v>
      </c>
      <c r="U290" s="1983">
        <v>78594521.820450008</v>
      </c>
      <c r="V290" s="1981">
        <v>5263.7123297500002</v>
      </c>
      <c r="W290" s="1982">
        <v>12990.50029364</v>
      </c>
      <c r="X290" s="2731">
        <f t="shared" si="22"/>
        <v>18254.212623389998</v>
      </c>
      <c r="Y290" s="217">
        <v>-50.8</v>
      </c>
    </row>
    <row r="291" spans="1:25">
      <c r="A291" s="53">
        <f t="shared" si="23"/>
        <v>2020.06</v>
      </c>
      <c r="B291" s="141">
        <v>3639835.93622</v>
      </c>
      <c r="C291" s="2382">
        <f t="shared" si="20"/>
        <v>2500228.9474399998</v>
      </c>
      <c r="D291" s="3504">
        <v>362508.83203000005</v>
      </c>
      <c r="E291" s="151">
        <v>1048545.5418299999</v>
      </c>
      <c r="F291" s="3504">
        <v>129536.76287999999</v>
      </c>
      <c r="G291" s="151">
        <v>372104.41671000002</v>
      </c>
      <c r="H291" s="3504">
        <v>436283.13680999994</v>
      </c>
      <c r="I291" s="151">
        <v>127456.29163999998</v>
      </c>
      <c r="J291" s="3504">
        <v>23793.965540000001</v>
      </c>
      <c r="K291" s="151">
        <v>494696.01274999999</v>
      </c>
      <c r="L291" s="3504">
        <v>166119.69828000001</v>
      </c>
      <c r="M291" s="151">
        <v>213999.11189000003</v>
      </c>
      <c r="N291" s="1396">
        <v>264792.16586000001</v>
      </c>
      <c r="O291" s="1407">
        <v>299.49761860487695</v>
      </c>
      <c r="P291" s="1398">
        <v>158029.12</v>
      </c>
      <c r="Q291" s="1398">
        <v>2086812</v>
      </c>
      <c r="R291" s="1602">
        <v>23032.691292718708</v>
      </c>
      <c r="S291" s="1604">
        <v>1744.2088392342002</v>
      </c>
      <c r="T291" s="1981">
        <v>3678005.6430700002</v>
      </c>
      <c r="U291" s="1983">
        <v>78232859.601859957</v>
      </c>
      <c r="V291" s="1981">
        <v>5209.5858401700007</v>
      </c>
      <c r="W291" s="1982">
        <v>13366.624243720002</v>
      </c>
      <c r="X291" s="2731">
        <f t="shared" si="22"/>
        <v>18576.210083890001</v>
      </c>
      <c r="Y291" s="217">
        <v>-34.799999999999997</v>
      </c>
    </row>
    <row r="292" spans="1:25">
      <c r="A292" s="53">
        <f t="shared" si="23"/>
        <v>2020.07</v>
      </c>
      <c r="B292" s="141">
        <v>3879012.6900599999</v>
      </c>
      <c r="C292" s="2382">
        <f t="shared" si="20"/>
        <v>2645515.94814</v>
      </c>
      <c r="D292" s="3504">
        <v>376544.92181999999</v>
      </c>
      <c r="E292" s="151">
        <v>1097991.78018</v>
      </c>
      <c r="F292" s="3504">
        <v>145676.14244999998</v>
      </c>
      <c r="G292" s="151">
        <v>400178.62674000004</v>
      </c>
      <c r="H292" s="3504">
        <v>462328.57739999995</v>
      </c>
      <c r="I292" s="151">
        <v>136014.28357</v>
      </c>
      <c r="J292" s="3504">
        <v>26781.615980000006</v>
      </c>
      <c r="K292" s="151">
        <v>541812.92067999998</v>
      </c>
      <c r="L292" s="3504">
        <v>173512.89102000001</v>
      </c>
      <c r="M292" s="151">
        <v>215110.65123000002</v>
      </c>
      <c r="N292" s="1396">
        <v>303060.27899000008</v>
      </c>
      <c r="O292" s="1407">
        <v>306.16664583373989</v>
      </c>
      <c r="P292" s="1398">
        <v>158029.12</v>
      </c>
      <c r="Q292" s="1398">
        <v>2185152</v>
      </c>
      <c r="R292" s="1602">
        <v>24546.189272331583</v>
      </c>
      <c r="S292" s="1604">
        <v>1775.1683590249102</v>
      </c>
      <c r="T292" s="1981">
        <v>4726974.4570699995</v>
      </c>
      <c r="U292" s="1983">
        <v>81140696.22145997</v>
      </c>
      <c r="V292" s="1981">
        <v>5124.9178430900001</v>
      </c>
      <c r="W292" s="1982">
        <v>13764.231496509999</v>
      </c>
      <c r="X292" s="2731">
        <f t="shared" si="22"/>
        <v>18889.149339600001</v>
      </c>
      <c r="Y292" s="217">
        <v>-27.7</v>
      </c>
    </row>
    <row r="293" spans="1:25">
      <c r="A293" s="53">
        <f t="shared" si="23"/>
        <v>2020.08</v>
      </c>
      <c r="B293" s="141">
        <v>3818593.0226499997</v>
      </c>
      <c r="C293" s="2382">
        <f t="shared" si="20"/>
        <v>2650633.23496</v>
      </c>
      <c r="D293" s="3504">
        <v>386539.02899000002</v>
      </c>
      <c r="E293" s="151">
        <v>1073321.3676100001</v>
      </c>
      <c r="F293" s="3504">
        <v>148153.45816000001</v>
      </c>
      <c r="G293" s="151">
        <v>404277.58017999993</v>
      </c>
      <c r="H293" s="3504">
        <v>465484.18360000005</v>
      </c>
      <c r="I293" s="151">
        <v>144637.75439999998</v>
      </c>
      <c r="J293" s="3504">
        <v>28219.86202</v>
      </c>
      <c r="K293" s="151">
        <v>547993.47430999996</v>
      </c>
      <c r="L293" s="3504">
        <v>86088.165850000005</v>
      </c>
      <c r="M293" s="151">
        <v>187247.88071999999</v>
      </c>
      <c r="N293" s="1396">
        <v>346630.26681</v>
      </c>
      <c r="O293" s="1407">
        <v>314.49932050346519</v>
      </c>
      <c r="P293" s="1398">
        <v>158429.12</v>
      </c>
      <c r="Q293" s="1398">
        <v>2256722</v>
      </c>
      <c r="R293" s="1602">
        <v>24102.848154745796</v>
      </c>
      <c r="S293" s="1604">
        <v>1692.0972200607785</v>
      </c>
      <c r="T293" s="1981">
        <v>4005445.0164000001</v>
      </c>
      <c r="U293" s="1983">
        <v>80411973.287580013</v>
      </c>
      <c r="V293" s="1981">
        <v>4900.5493491699999</v>
      </c>
      <c r="W293" s="1982">
        <v>14038.308145640001</v>
      </c>
      <c r="X293" s="2731">
        <f t="shared" si="22"/>
        <v>18938.857494809999</v>
      </c>
      <c r="Y293" s="217">
        <v>-17.8</v>
      </c>
    </row>
    <row r="294" spans="1:25">
      <c r="A294" s="53">
        <f t="shared" si="23"/>
        <v>2020.09</v>
      </c>
      <c r="B294" s="141">
        <v>3657874.6584100006</v>
      </c>
      <c r="C294" s="2382">
        <f t="shared" si="20"/>
        <v>2584240.6226500003</v>
      </c>
      <c r="D294" s="3504">
        <v>373088.33847999998</v>
      </c>
      <c r="E294" s="151">
        <v>1036807.3149400001</v>
      </c>
      <c r="F294" s="3504">
        <v>142980.73405</v>
      </c>
      <c r="G294" s="151">
        <v>402887.98783999996</v>
      </c>
      <c r="H294" s="3504">
        <v>446769.04599000001</v>
      </c>
      <c r="I294" s="151">
        <v>153884.65050000002</v>
      </c>
      <c r="J294" s="3504">
        <v>27822.550850000003</v>
      </c>
      <c r="K294" s="151">
        <v>528502.70617000002</v>
      </c>
      <c r="L294" s="3504">
        <v>80188.30442</v>
      </c>
      <c r="M294" s="151">
        <v>181644.01915000001</v>
      </c>
      <c r="N294" s="1396">
        <v>283299.00601999997</v>
      </c>
      <c r="O294" s="1407">
        <v>319.83555603700444</v>
      </c>
      <c r="P294" s="1398">
        <v>158429.12</v>
      </c>
      <c r="Q294" s="1398">
        <v>1945994</v>
      </c>
      <c r="R294" s="1602">
        <v>23088.398511649877</v>
      </c>
      <c r="S294" s="1604">
        <v>1879.6947258881578</v>
      </c>
      <c r="T294" s="1981">
        <v>3944359.19539</v>
      </c>
      <c r="U294" s="1983">
        <v>77055774.357009977</v>
      </c>
      <c r="V294" s="1981">
        <v>4863.60717604</v>
      </c>
      <c r="W294" s="1982">
        <v>13332.742696920001</v>
      </c>
      <c r="X294" s="2731">
        <f t="shared" si="22"/>
        <v>18196.34987296</v>
      </c>
      <c r="Y294" s="217">
        <v>-10.1</v>
      </c>
    </row>
    <row r="295" spans="1:25">
      <c r="A295" s="53">
        <f t="shared" si="23"/>
        <v>2020.1</v>
      </c>
      <c r="B295" s="141">
        <v>4201052.231780001</v>
      </c>
      <c r="C295" s="2382">
        <f t="shared" si="20"/>
        <v>2862992.7394200005</v>
      </c>
      <c r="D295" s="3504">
        <v>461855.0074</v>
      </c>
      <c r="E295" s="151">
        <v>1103760.5530700001</v>
      </c>
      <c r="F295" s="3504">
        <v>156596.34145000001</v>
      </c>
      <c r="G295" s="151">
        <v>427916.29583000002</v>
      </c>
      <c r="H295" s="3504">
        <v>497197.62223999994</v>
      </c>
      <c r="I295" s="151">
        <v>182958.78347999998</v>
      </c>
      <c r="J295" s="3504">
        <v>32708.13595</v>
      </c>
      <c r="K295" s="151">
        <v>596946.09363999998</v>
      </c>
      <c r="L295" s="3504">
        <v>105504.11755</v>
      </c>
      <c r="M295" s="151">
        <v>318780.59933999996</v>
      </c>
      <c r="N295" s="1396">
        <v>316828.6818299999</v>
      </c>
      <c r="O295" s="1407">
        <v>332.42110040716886</v>
      </c>
      <c r="P295" s="1398">
        <v>158429.12</v>
      </c>
      <c r="Q295" s="1398">
        <v>2119566</v>
      </c>
      <c r="R295" s="1602">
        <v>26516.919564913322</v>
      </c>
      <c r="S295" s="1604">
        <v>1982.034167268205</v>
      </c>
      <c r="T295" s="1981">
        <v>4601678.3050800012</v>
      </c>
      <c r="U295" s="1983">
        <v>89224281.053729981</v>
      </c>
      <c r="V295" s="1981">
        <v>5587.3837687640007</v>
      </c>
      <c r="W295" s="1982">
        <v>15003.383348830001</v>
      </c>
      <c r="X295" s="2731">
        <f t="shared" si="22"/>
        <v>20590.767117594001</v>
      </c>
      <c r="Y295" s="217">
        <v>-14.9</v>
      </c>
    </row>
    <row r="296" spans="1:25">
      <c r="A296" s="53">
        <f t="shared" si="23"/>
        <v>2020.11</v>
      </c>
      <c r="B296" s="141">
        <v>4294627.1983699994</v>
      </c>
      <c r="C296" s="2382">
        <f t="shared" si="20"/>
        <v>2965371.1031799996</v>
      </c>
      <c r="D296" s="3504">
        <v>558535.10487000004</v>
      </c>
      <c r="E296" s="151">
        <v>1146192.00874</v>
      </c>
      <c r="F296" s="3504">
        <v>147299.05439999999</v>
      </c>
      <c r="G296" s="151">
        <v>406704.32998999994</v>
      </c>
      <c r="H296" s="3504">
        <v>488104.55661999999</v>
      </c>
      <c r="I296" s="151">
        <v>186552.44908000002</v>
      </c>
      <c r="J296" s="3504">
        <v>31983.599479999997</v>
      </c>
      <c r="K296" s="151">
        <v>589663.30796000001</v>
      </c>
      <c r="L296" s="3504">
        <v>107417.73891</v>
      </c>
      <c r="M296" s="151">
        <v>280764.31045999995</v>
      </c>
      <c r="N296" s="1396">
        <v>351410.73785999999</v>
      </c>
      <c r="O296" s="1407">
        <v>340.58166794166829</v>
      </c>
      <c r="P296" s="1398">
        <v>158029.12</v>
      </c>
      <c r="Q296" s="1398">
        <v>2162580</v>
      </c>
      <c r="R296" s="1602">
        <v>27176.17612734919</v>
      </c>
      <c r="S296" s="1604">
        <v>1985.8813076834153</v>
      </c>
      <c r="T296" s="1981">
        <v>4838176.7064500004</v>
      </c>
      <c r="U296" s="1983">
        <v>91093507.31223996</v>
      </c>
      <c r="V296" s="1981">
        <v>5515.7378280499988</v>
      </c>
      <c r="W296" s="1982">
        <v>15162.363999989997</v>
      </c>
      <c r="X296" s="2731">
        <f t="shared" si="22"/>
        <v>20678.101828039995</v>
      </c>
      <c r="Y296" s="217">
        <v>-6.7</v>
      </c>
    </row>
    <row r="297" spans="1:25">
      <c r="A297" s="53">
        <f t="shared" si="23"/>
        <v>2020.12</v>
      </c>
      <c r="B297" s="141">
        <v>5540630.3517700005</v>
      </c>
      <c r="C297" s="2382">
        <f t="shared" si="20"/>
        <v>3936179.0069100005</v>
      </c>
      <c r="D297" s="3504">
        <v>946993.68091</v>
      </c>
      <c r="E297" s="151">
        <v>1359440.16176</v>
      </c>
      <c r="F297" s="3504">
        <v>207168.68161999999</v>
      </c>
      <c r="G297" s="151">
        <v>437201.21883999999</v>
      </c>
      <c r="H297" s="3504">
        <v>724095.21632999997</v>
      </c>
      <c r="I297" s="151">
        <v>216179.55797999998</v>
      </c>
      <c r="J297" s="3504">
        <v>45100.489470000008</v>
      </c>
      <c r="K297" s="151">
        <v>666443.9675700001</v>
      </c>
      <c r="L297" s="3504">
        <v>164266.45779000001</v>
      </c>
      <c r="M297" s="151">
        <v>270214.94718000002</v>
      </c>
      <c r="N297" s="1396">
        <v>503525.97232</v>
      </c>
      <c r="O297" s="1407">
        <v>347.33404269167738</v>
      </c>
      <c r="P297" s="1398">
        <v>158429.12</v>
      </c>
      <c r="Q297" s="1398">
        <v>2623197</v>
      </c>
      <c r="R297" s="1602">
        <v>34972.297717553447</v>
      </c>
      <c r="S297" s="1604">
        <v>2112.167081530667</v>
      </c>
      <c r="T297" s="1981">
        <v>3975909.5507499995</v>
      </c>
      <c r="U297" s="1983">
        <v>115806128.11518</v>
      </c>
      <c r="V297" s="1981">
        <v>6898.4087840599996</v>
      </c>
      <c r="W297" s="1982">
        <v>19800.607861329998</v>
      </c>
      <c r="X297" s="2731">
        <f t="shared" si="22"/>
        <v>26699.016645389998</v>
      </c>
      <c r="Y297" s="217">
        <v>-8</v>
      </c>
    </row>
    <row r="298" spans="1:25">
      <c r="A298" s="53">
        <f t="shared" si="23"/>
        <v>2021.01</v>
      </c>
      <c r="B298" s="141">
        <v>4565066.4013780002</v>
      </c>
      <c r="C298" s="2382">
        <f t="shared" si="20"/>
        <v>3201696.7495820005</v>
      </c>
      <c r="D298" s="3504">
        <v>608813.77877999994</v>
      </c>
      <c r="E298" s="151">
        <v>1125385.1933400002</v>
      </c>
      <c r="F298" s="3504">
        <v>161749.752332</v>
      </c>
      <c r="G298" s="151">
        <v>424353.12479000009</v>
      </c>
      <c r="H298" s="3504">
        <v>632808.33671000006</v>
      </c>
      <c r="I298" s="151">
        <v>209423.00183999998</v>
      </c>
      <c r="J298" s="3504">
        <v>39163.56179</v>
      </c>
      <c r="K298" s="151">
        <v>657423.6249259999</v>
      </c>
      <c r="L298" s="3504">
        <v>125531.66044999998</v>
      </c>
      <c r="M298" s="151">
        <v>209501.34635000004</v>
      </c>
      <c r="N298" s="1396">
        <v>370913.02006999991</v>
      </c>
      <c r="O298" s="1407">
        <v>360.28999390193803</v>
      </c>
      <c r="P298" s="1398">
        <v>158429.12</v>
      </c>
      <c r="Q298" s="1398">
        <v>2356371</v>
      </c>
      <c r="R298" s="1602">
        <v>28814.56642174115</v>
      </c>
      <c r="S298" s="1604">
        <v>1937.3292242087512</v>
      </c>
      <c r="T298" s="1981">
        <v>3483037.9868500005</v>
      </c>
      <c r="U298" s="1983">
        <v>98007583.252829999</v>
      </c>
      <c r="V298" s="1981">
        <v>5591.0575799500002</v>
      </c>
      <c r="W298" s="1982">
        <v>15624.99306479</v>
      </c>
      <c r="X298" s="2731">
        <f t="shared" si="22"/>
        <v>21216.05064474</v>
      </c>
      <c r="Y298" s="217">
        <v>-5.8</v>
      </c>
    </row>
    <row r="299" spans="1:25">
      <c r="A299" s="53">
        <f t="shared" si="23"/>
        <v>2021.02</v>
      </c>
      <c r="B299" s="141">
        <v>4371204.5016299998</v>
      </c>
      <c r="C299" s="2382">
        <f t="shared" si="20"/>
        <v>3130719.7370999996</v>
      </c>
      <c r="D299" s="3504">
        <v>581612.27053999994</v>
      </c>
      <c r="E299" s="151">
        <v>1110887.3904000001</v>
      </c>
      <c r="F299" s="3504">
        <v>159846.93207999997</v>
      </c>
      <c r="G299" s="151">
        <v>423967.92872999999</v>
      </c>
      <c r="H299" s="3504">
        <v>608704.15382999997</v>
      </c>
      <c r="I299" s="151">
        <v>207938.16353000002</v>
      </c>
      <c r="J299" s="3504">
        <v>37762.897990000005</v>
      </c>
      <c r="K299" s="151">
        <v>634148.66622000001</v>
      </c>
      <c r="L299" s="3504">
        <v>101820.55145</v>
      </c>
      <c r="M299" s="151">
        <v>177114.84914999999</v>
      </c>
      <c r="N299" s="1396">
        <v>327400.69771000004</v>
      </c>
      <c r="O299" s="1407">
        <v>373.82000658071803</v>
      </c>
      <c r="P299" s="1398">
        <v>158429.12</v>
      </c>
      <c r="Q299" s="1398">
        <v>2239248</v>
      </c>
      <c r="R299" s="1602">
        <v>27590.915745981547</v>
      </c>
      <c r="S299" s="1604">
        <v>1952.0859242165227</v>
      </c>
      <c r="T299" s="1981">
        <v>3046180.66555</v>
      </c>
      <c r="U299" s="1983">
        <v>92954233.681119978</v>
      </c>
      <c r="V299" s="1981">
        <v>5341.9002217500001</v>
      </c>
      <c r="W299" s="1982">
        <v>15932.720312910002</v>
      </c>
      <c r="X299" s="2731">
        <f t="shared" si="22"/>
        <v>21274.620534660004</v>
      </c>
      <c r="Y299" s="217">
        <v>-6.5</v>
      </c>
    </row>
    <row r="300" spans="1:25">
      <c r="A300" s="53">
        <f t="shared" si="23"/>
        <v>2021.03</v>
      </c>
      <c r="B300" s="141">
        <v>5179695.6845199997</v>
      </c>
      <c r="C300" s="2382">
        <f t="shared" si="20"/>
        <v>3702784.9355799998</v>
      </c>
      <c r="D300" s="3504">
        <v>603561.80996999994</v>
      </c>
      <c r="E300" s="151">
        <v>1402186.38289</v>
      </c>
      <c r="F300" s="3504">
        <v>183032.72827000002</v>
      </c>
      <c r="G300" s="151">
        <v>532530.51734000002</v>
      </c>
      <c r="H300" s="3504">
        <v>704429.12391000008</v>
      </c>
      <c r="I300" s="151">
        <v>231360.78647000002</v>
      </c>
      <c r="J300" s="3504">
        <v>45683.586729999995</v>
      </c>
      <c r="K300" s="151">
        <v>728044.37783999997</v>
      </c>
      <c r="L300" s="3504">
        <v>119356.9136</v>
      </c>
      <c r="M300" s="151">
        <v>259682.28913000002</v>
      </c>
      <c r="N300" s="1396">
        <v>369827.16837000009</v>
      </c>
      <c r="O300" s="1407">
        <v>390.85612318851111</v>
      </c>
      <c r="P300" s="1398">
        <v>156579.12</v>
      </c>
      <c r="Q300" s="1398">
        <v>2506376</v>
      </c>
      <c r="R300" s="1602">
        <v>33080.372941935049</v>
      </c>
      <c r="S300" s="1604">
        <v>2066.6075977905953</v>
      </c>
      <c r="T300" s="1981">
        <v>3982669.1938799997</v>
      </c>
      <c r="U300" s="1983">
        <v>107225884.48978001</v>
      </c>
      <c r="V300" s="1981">
        <v>6446.0375831100009</v>
      </c>
      <c r="W300" s="1982">
        <v>18311.452748920001</v>
      </c>
      <c r="X300" s="2731">
        <f t="shared" si="22"/>
        <v>24757.49033203</v>
      </c>
      <c r="Y300" s="217">
        <v>14.4</v>
      </c>
    </row>
    <row r="301" spans="1:25">
      <c r="A301" s="53">
        <f t="shared" si="23"/>
        <v>2021.04</v>
      </c>
      <c r="B301" s="141">
        <v>5239836.4770689998</v>
      </c>
      <c r="C301" s="2382">
        <f t="shared" si="20"/>
        <v>3806137.4815089996</v>
      </c>
      <c r="D301" s="3504">
        <v>578727.90309000004</v>
      </c>
      <c r="E301" s="151">
        <v>1476251.1584789995</v>
      </c>
      <c r="F301" s="3504">
        <v>181457.61466999995</v>
      </c>
      <c r="G301" s="151">
        <v>554590.03784</v>
      </c>
      <c r="H301" s="3504">
        <v>744675.07928000006</v>
      </c>
      <c r="I301" s="151">
        <v>223302.85339999999</v>
      </c>
      <c r="J301" s="3504">
        <v>47132.834750000009</v>
      </c>
      <c r="K301" s="151">
        <v>734799.61965000001</v>
      </c>
      <c r="L301" s="3504">
        <v>120347.32376</v>
      </c>
      <c r="M301" s="151">
        <v>235047.78492000001</v>
      </c>
      <c r="N301" s="1396">
        <v>343504.26722999994</v>
      </c>
      <c r="O301" s="1407">
        <v>409.86472994005601</v>
      </c>
      <c r="P301" s="1398">
        <v>156579.12</v>
      </c>
      <c r="Q301" s="1398">
        <v>2399141</v>
      </c>
      <c r="R301" s="1602">
        <v>33464.464975080969</v>
      </c>
      <c r="S301" s="1604">
        <v>2184.0469055670342</v>
      </c>
      <c r="T301" s="1981">
        <v>4128007.2437400003</v>
      </c>
      <c r="U301" s="1983">
        <v>106870185.88608995</v>
      </c>
      <c r="V301" s="1981">
        <v>5931.1086025399991</v>
      </c>
      <c r="W301" s="1982">
        <v>18781.521662720002</v>
      </c>
      <c r="X301" s="2731">
        <f t="shared" si="22"/>
        <v>24712.630265260002</v>
      </c>
      <c r="Y301" s="217">
        <v>40.799999999999997</v>
      </c>
    </row>
    <row r="302" spans="1:25">
      <c r="A302" s="53">
        <f t="shared" si="23"/>
        <v>2021.05</v>
      </c>
      <c r="B302" s="141">
        <v>5249893.4719100008</v>
      </c>
      <c r="C302" s="2382">
        <f t="shared" si="20"/>
        <v>3827351.5860299999</v>
      </c>
      <c r="D302" s="3504">
        <v>511980.55378999998</v>
      </c>
      <c r="E302" s="151">
        <v>1504896.3244099999</v>
      </c>
      <c r="F302" s="3504">
        <v>204910.80824999997</v>
      </c>
      <c r="G302" s="151">
        <v>596876.27494999988</v>
      </c>
      <c r="H302" s="3504">
        <v>759400.35083000013</v>
      </c>
      <c r="I302" s="151">
        <v>206111.66436000002</v>
      </c>
      <c r="J302" s="3504">
        <v>43175.609440000007</v>
      </c>
      <c r="K302" s="151">
        <v>695563.6844599999</v>
      </c>
      <c r="L302" s="3504">
        <v>129779.22780000001</v>
      </c>
      <c r="M302" s="151">
        <v>270399.39963</v>
      </c>
      <c r="N302" s="1396">
        <v>326799.57399</v>
      </c>
      <c r="O302" s="1407">
        <v>424.89659531161169</v>
      </c>
      <c r="P302" s="1398">
        <v>157223.41999999998</v>
      </c>
      <c r="Q302" s="1398">
        <v>2220127</v>
      </c>
      <c r="R302" s="1602">
        <v>33391.294197200397</v>
      </c>
      <c r="S302" s="1604">
        <v>2364.6816024083305</v>
      </c>
      <c r="T302" s="1981">
        <v>5607036.3300900003</v>
      </c>
      <c r="U302" s="1983">
        <v>110604694.56479998</v>
      </c>
      <c r="V302" s="1981">
        <v>6108.22664076</v>
      </c>
      <c r="W302" s="1982">
        <v>19248.552841599998</v>
      </c>
      <c r="X302" s="2731">
        <f t="shared" si="22"/>
        <v>25356.779482359998</v>
      </c>
      <c r="Y302" s="217">
        <v>-7</v>
      </c>
    </row>
    <row r="303" spans="1:25">
      <c r="A303" s="53">
        <f t="shared" si="23"/>
        <v>2021.06</v>
      </c>
      <c r="B303" s="141">
        <v>5671592.13796</v>
      </c>
      <c r="C303" s="2382">
        <f t="shared" si="20"/>
        <v>4050380.7054900001</v>
      </c>
      <c r="D303" s="3504">
        <v>585577.30186999985</v>
      </c>
      <c r="E303" s="151">
        <v>1622029.22483</v>
      </c>
      <c r="F303" s="3504">
        <v>213890.50104999999</v>
      </c>
      <c r="G303" s="151">
        <v>621225.91454999999</v>
      </c>
      <c r="H303" s="3504">
        <v>769012.30468000006</v>
      </c>
      <c r="I303" s="151">
        <v>192735.61897000001</v>
      </c>
      <c r="J303" s="3504">
        <v>45909.839540000008</v>
      </c>
      <c r="K303" s="151">
        <v>710873.9147000002</v>
      </c>
      <c r="L303" s="3504">
        <v>182926.85206000003</v>
      </c>
      <c r="M303" s="151">
        <v>349317.70147000003</v>
      </c>
      <c r="N303" s="1396">
        <v>378092.96423999994</v>
      </c>
      <c r="O303" s="1407">
        <v>440.88786421027032</v>
      </c>
      <c r="P303" s="1398">
        <v>157223.41999999998</v>
      </c>
      <c r="Q303" s="1398">
        <v>2214384</v>
      </c>
      <c r="R303" s="1602">
        <v>36073.45609171968</v>
      </c>
      <c r="S303" s="1604">
        <v>2561.2505048627522</v>
      </c>
      <c r="T303" s="1981">
        <v>4810298.4099699985</v>
      </c>
      <c r="U303" s="1983">
        <v>116287892.95615998</v>
      </c>
      <c r="V303" s="1981">
        <v>6796.6647449799984</v>
      </c>
      <c r="W303" s="1982">
        <v>20589.394704950006</v>
      </c>
      <c r="X303" s="2731">
        <f t="shared" si="22"/>
        <v>27386.059449930006</v>
      </c>
      <c r="Y303" s="217">
        <v>8.6</v>
      </c>
    </row>
    <row r="304" spans="1:25">
      <c r="A304" s="53">
        <f t="shared" si="23"/>
        <v>2021.07</v>
      </c>
      <c r="B304" s="141">
        <v>5964663.187690001</v>
      </c>
      <c r="C304" s="2382">
        <f t="shared" si="20"/>
        <v>4212252.6425500009</v>
      </c>
      <c r="D304" s="3504">
        <v>659443.38653999998</v>
      </c>
      <c r="E304" s="151">
        <v>1653197.0641900001</v>
      </c>
      <c r="F304" s="3504">
        <v>227987.11700999999</v>
      </c>
      <c r="G304" s="151">
        <v>633038.59397000005</v>
      </c>
      <c r="H304" s="3504">
        <v>791469.24959999998</v>
      </c>
      <c r="I304" s="151">
        <v>196702.19028000004</v>
      </c>
      <c r="J304" s="3504">
        <v>50415.040960000006</v>
      </c>
      <c r="K304" s="151">
        <v>746176.77955000009</v>
      </c>
      <c r="L304" s="3504">
        <v>228554.90245000002</v>
      </c>
      <c r="M304" s="151">
        <v>357064.64784999995</v>
      </c>
      <c r="N304" s="1396">
        <v>420614.21528999996</v>
      </c>
      <c r="O304" s="1407">
        <v>455.23814296781023</v>
      </c>
      <c r="P304" s="1398">
        <v>157223.41999999998</v>
      </c>
      <c r="Q304" s="1398">
        <v>2299459</v>
      </c>
      <c r="R304" s="1602">
        <v>37937.498037442521</v>
      </c>
      <c r="S304" s="1604">
        <v>2593.9419609960432</v>
      </c>
      <c r="T304" s="1981">
        <v>4754454.2149299989</v>
      </c>
      <c r="U304" s="1983">
        <v>125658552.53241004</v>
      </c>
      <c r="V304" s="1981">
        <v>7830.6639864999979</v>
      </c>
      <c r="W304" s="1982">
        <v>21314.63234493</v>
      </c>
      <c r="X304" s="2731">
        <f t="shared" si="22"/>
        <v>29145.29633143</v>
      </c>
      <c r="Y304" s="217">
        <v>11.4</v>
      </c>
    </row>
    <row r="305" spans="1:27">
      <c r="A305" s="53">
        <f t="shared" si="23"/>
        <v>2021.08</v>
      </c>
      <c r="B305" s="141">
        <v>5772681.8832900003</v>
      </c>
      <c r="C305" s="2382">
        <f t="shared" si="20"/>
        <v>4101503.5491299997</v>
      </c>
      <c r="D305" s="3504">
        <v>632957.43199000019</v>
      </c>
      <c r="E305" s="151">
        <v>1614720.3129</v>
      </c>
      <c r="F305" s="3504">
        <v>222039.09782</v>
      </c>
      <c r="G305" s="151">
        <v>635810.49082999991</v>
      </c>
      <c r="H305" s="3504">
        <v>748986.84614000004</v>
      </c>
      <c r="I305" s="151">
        <v>196543.59652999998</v>
      </c>
      <c r="J305" s="3504">
        <v>50445.77292000001</v>
      </c>
      <c r="K305" s="151">
        <v>752699.00272999995</v>
      </c>
      <c r="L305" s="3504">
        <v>159871.11270999999</v>
      </c>
      <c r="M305" s="151">
        <v>305724.66777</v>
      </c>
      <c r="N305" s="1396">
        <v>452883.55095000006</v>
      </c>
      <c r="O305" s="1407">
        <v>467.15599586747408</v>
      </c>
      <c r="P305" s="1398">
        <v>157223.41999999998</v>
      </c>
      <c r="Q305" s="1398">
        <v>2241891</v>
      </c>
      <c r="R305" s="1602">
        <v>36716.424838551407</v>
      </c>
      <c r="S305" s="1604">
        <v>2574.9163912473891</v>
      </c>
      <c r="T305" s="1981">
        <v>4658789.0196800008</v>
      </c>
      <c r="U305" s="1983">
        <v>124840319.96239999</v>
      </c>
      <c r="V305" s="1981">
        <v>7598.3508882799997</v>
      </c>
      <c r="W305" s="1982">
        <v>20747.633015529998</v>
      </c>
      <c r="X305" s="2731">
        <f t="shared" si="22"/>
        <v>28345.983903809996</v>
      </c>
      <c r="Y305" s="217">
        <v>9.1</v>
      </c>
      <c r="Z305" s="1246"/>
      <c r="AA305" s="1246"/>
    </row>
    <row r="306" spans="1:27">
      <c r="A306" s="53">
        <f t="shared" si="23"/>
        <v>2021.09</v>
      </c>
      <c r="B306" s="141">
        <v>5750797.7569880001</v>
      </c>
      <c r="C306" s="2382">
        <f t="shared" si="20"/>
        <v>4149244.9443279998</v>
      </c>
      <c r="D306" s="3504">
        <v>656809.69287999999</v>
      </c>
      <c r="E306" s="151">
        <v>1628166.8942779999</v>
      </c>
      <c r="F306" s="3504">
        <v>225937.03237999999</v>
      </c>
      <c r="G306" s="151">
        <v>635551.98424000002</v>
      </c>
      <c r="H306" s="3504">
        <v>743903.07764000003</v>
      </c>
      <c r="I306" s="151">
        <v>205790.54684999996</v>
      </c>
      <c r="J306" s="3504">
        <v>53085.716059999999</v>
      </c>
      <c r="K306" s="151">
        <v>777361.68623999972</v>
      </c>
      <c r="L306" s="3504">
        <v>158186.63016000003</v>
      </c>
      <c r="M306" s="151">
        <v>300382.31199999998</v>
      </c>
      <c r="N306" s="1396">
        <v>365622.18426000001</v>
      </c>
      <c r="O306" s="1407">
        <v>480.88477524145247</v>
      </c>
      <c r="P306" s="1398">
        <v>157223.41999999998</v>
      </c>
      <c r="Q306" s="1398">
        <v>2200482</v>
      </c>
      <c r="R306" s="1602">
        <v>36577.233576193677</v>
      </c>
      <c r="S306" s="1604">
        <v>2613.4264024827289</v>
      </c>
      <c r="T306" s="1981">
        <v>4416780.2585299993</v>
      </c>
      <c r="U306" s="1983">
        <v>123002252.42976004</v>
      </c>
      <c r="V306" s="1981">
        <v>7921.0990212349998</v>
      </c>
      <c r="W306" s="1982">
        <v>21200.653192300004</v>
      </c>
      <c r="X306" s="2731">
        <f t="shared" si="22"/>
        <v>29121.752213535005</v>
      </c>
      <c r="Y306" s="217">
        <v>15.7</v>
      </c>
      <c r="Z306" s="1246"/>
      <c r="AA306" s="1246"/>
    </row>
    <row r="307" spans="1:27">
      <c r="A307" s="53">
        <f t="shared" si="23"/>
        <v>2021.1</v>
      </c>
      <c r="B307" s="141">
        <v>6380878.4472399987</v>
      </c>
      <c r="C307" s="2382">
        <f>SUM(D307:J307)</f>
        <v>4530720.8717599995</v>
      </c>
      <c r="D307" s="3504">
        <v>787196.03321000002</v>
      </c>
      <c r="E307" s="151">
        <v>1710113.0332199999</v>
      </c>
      <c r="F307" s="3504">
        <v>244133.59561000002</v>
      </c>
      <c r="G307" s="151">
        <v>659678.26189999992</v>
      </c>
      <c r="H307" s="3504">
        <v>833799.53439000016</v>
      </c>
      <c r="I307" s="151">
        <v>238037.14467999997</v>
      </c>
      <c r="J307" s="3504">
        <v>57763.268750000003</v>
      </c>
      <c r="K307" s="151">
        <v>860204.44900999998</v>
      </c>
      <c r="L307" s="3504">
        <v>166390.59540000002</v>
      </c>
      <c r="M307" s="151">
        <v>395527.06636</v>
      </c>
      <c r="N307" s="1396">
        <v>428035.46471000003</v>
      </c>
      <c r="O307" s="1407">
        <v>496.78579849567683</v>
      </c>
      <c r="P307" s="1398">
        <v>157223.41999999998</v>
      </c>
      <c r="Q307" s="1398">
        <v>2375551</v>
      </c>
      <c r="R307" s="1602">
        <v>40584.783407204857</v>
      </c>
      <c r="S307" s="1604">
        <v>2686.0624954968339</v>
      </c>
      <c r="T307" s="1981">
        <v>4486843.91995</v>
      </c>
      <c r="U307" s="1983">
        <v>140487487.26625001</v>
      </c>
      <c r="V307" s="1981">
        <v>8613.2013615899996</v>
      </c>
      <c r="W307" s="1982">
        <v>23091.43770423</v>
      </c>
      <c r="X307" s="2731">
        <f t="shared" si="22"/>
        <v>31704.63906582</v>
      </c>
      <c r="Y307" s="217">
        <v>9.1</v>
      </c>
      <c r="Z307" s="1246"/>
      <c r="AA307" s="1246"/>
    </row>
    <row r="308" spans="1:27">
      <c r="A308" s="53">
        <f t="shared" si="23"/>
        <v>2021.11</v>
      </c>
      <c r="B308" s="141">
        <v>6240845.8046290008</v>
      </c>
      <c r="C308" s="2382">
        <f t="shared" si="20"/>
        <v>4369434.6034850003</v>
      </c>
      <c r="D308" s="3504">
        <v>806834.85134599986</v>
      </c>
      <c r="E308" s="151">
        <v>1664497.918513</v>
      </c>
      <c r="F308" s="3504">
        <v>220846.858484</v>
      </c>
      <c r="G308" s="151">
        <v>616007.39964299998</v>
      </c>
      <c r="H308" s="3504">
        <v>768486.33507599996</v>
      </c>
      <c r="I308" s="151">
        <v>237965.62299500001</v>
      </c>
      <c r="J308" s="3504">
        <v>54795.617427999998</v>
      </c>
      <c r="K308" s="151">
        <v>861694.5593480001</v>
      </c>
      <c r="L308" s="3504">
        <v>152263.82840999999</v>
      </c>
      <c r="M308" s="151">
        <v>388286.954707</v>
      </c>
      <c r="N308" s="1396">
        <v>469165.85867899994</v>
      </c>
      <c r="O308" s="1407">
        <v>508.29085272303979</v>
      </c>
      <c r="P308" s="1398">
        <v>157223.41999999998</v>
      </c>
      <c r="Q308" s="1398">
        <v>2349591</v>
      </c>
      <c r="R308" s="1602">
        <v>39694.123207782912</v>
      </c>
      <c r="S308" s="1604">
        <v>2656.1413474213168</v>
      </c>
      <c r="T308" s="1981">
        <v>5751181.8092799997</v>
      </c>
      <c r="U308" s="1983">
        <v>141701960.65865299</v>
      </c>
      <c r="V308" s="1981">
        <v>9657.6563066200015</v>
      </c>
      <c r="W308" s="1982">
        <v>23798.207849709997</v>
      </c>
      <c r="X308" s="2731">
        <f t="shared" si="22"/>
        <v>33455.864156329997</v>
      </c>
      <c r="Y308" s="217">
        <v>8.9</v>
      </c>
      <c r="Z308" s="1246"/>
      <c r="AA308" s="1246"/>
    </row>
    <row r="309" spans="1:27">
      <c r="A309" s="53">
        <f t="shared" si="23"/>
        <v>2021.12</v>
      </c>
      <c r="B309" s="141">
        <v>8439799.4530190006</v>
      </c>
      <c r="C309" s="2382">
        <f t="shared" si="20"/>
        <v>6075400.6701230016</v>
      </c>
      <c r="D309" s="3504">
        <v>1610223.593358</v>
      </c>
      <c r="E309" s="151">
        <v>2086150.1557790001</v>
      </c>
      <c r="F309" s="3504">
        <v>297219.14367400005</v>
      </c>
      <c r="G309" s="151">
        <v>683349.75972199999</v>
      </c>
      <c r="H309" s="3504">
        <v>1026657.104558</v>
      </c>
      <c r="I309" s="151">
        <v>297595.90901000006</v>
      </c>
      <c r="J309" s="3504">
        <v>74205.004021999994</v>
      </c>
      <c r="K309" s="151">
        <v>1000624.620722</v>
      </c>
      <c r="L309" s="3504">
        <v>212080.79623899999</v>
      </c>
      <c r="M309" s="151">
        <v>440934.660768</v>
      </c>
      <c r="N309" s="1396">
        <v>710758.70516699995</v>
      </c>
      <c r="O309" s="1407">
        <v>522.72807839394454</v>
      </c>
      <c r="P309" s="1398">
        <v>157921.41999999998</v>
      </c>
      <c r="Q309" s="1398">
        <v>2783694</v>
      </c>
      <c r="R309" s="1602">
        <v>53443.031686385555</v>
      </c>
      <c r="S309" s="1604">
        <v>3031.8704042251056</v>
      </c>
      <c r="T309" s="1981">
        <v>5116430.6342700003</v>
      </c>
      <c r="U309" s="1983">
        <v>183983151.87992013</v>
      </c>
      <c r="V309" s="1981">
        <v>11242.647337119999</v>
      </c>
      <c r="W309" s="1982">
        <v>30132.905863250005</v>
      </c>
      <c r="X309" s="2731">
        <f t="shared" si="22"/>
        <v>41375.553200370006</v>
      </c>
      <c r="Y309" s="217">
        <v>4</v>
      </c>
      <c r="Z309" s="1246"/>
      <c r="AA309" s="1246"/>
    </row>
    <row r="310" spans="1:27">
      <c r="A310" s="53">
        <f t="shared" si="23"/>
        <v>2022.01</v>
      </c>
      <c r="B310" s="141">
        <v>6793091.7961590001</v>
      </c>
      <c r="C310" s="2382">
        <f t="shared" ref="C310:C357" si="24">SUM(D310:J310)</f>
        <v>4743789.9002970001</v>
      </c>
      <c r="D310" s="3504">
        <v>918266.60633999994</v>
      </c>
      <c r="E310" s="151">
        <v>1704781.2295479998</v>
      </c>
      <c r="F310" s="3504">
        <v>236968.24042099999</v>
      </c>
      <c r="G310" s="151">
        <v>671298.76129199995</v>
      </c>
      <c r="H310" s="3504">
        <v>832736.25968699995</v>
      </c>
      <c r="I310" s="151">
        <v>319304.69613499998</v>
      </c>
      <c r="J310" s="3504">
        <v>60434.106874000005</v>
      </c>
      <c r="K310" s="151">
        <v>957818.05579699995</v>
      </c>
      <c r="L310" s="3504">
        <v>163028.57892099998</v>
      </c>
      <c r="M310" s="151">
        <v>411679.06118000002</v>
      </c>
      <c r="N310" s="1396">
        <v>516776.19996399997</v>
      </c>
      <c r="O310" s="1407">
        <v>544.73617364746781</v>
      </c>
      <c r="P310" s="1398">
        <v>157921.41999999998</v>
      </c>
      <c r="Q310" s="1398">
        <v>2382482</v>
      </c>
      <c r="R310" s="1602">
        <v>43015.645351713531</v>
      </c>
      <c r="S310" s="1604">
        <v>2851.2667865524272</v>
      </c>
      <c r="T310" s="1981">
        <v>4819479.5535999993</v>
      </c>
      <c r="U310" s="1983">
        <v>154517094.18196809</v>
      </c>
      <c r="V310" s="1981">
        <v>9819.9169654699999</v>
      </c>
      <c r="W310" s="1982">
        <v>23331.069634269999</v>
      </c>
      <c r="X310" s="2731">
        <f t="shared" si="22"/>
        <v>33150.986599739997</v>
      </c>
      <c r="Y310" s="217">
        <v>17.5</v>
      </c>
      <c r="Z310" s="1246"/>
      <c r="AA310" s="1246"/>
    </row>
    <row r="311" spans="1:27">
      <c r="A311" s="53">
        <f t="shared" si="23"/>
        <v>2022.02</v>
      </c>
      <c r="B311" s="141">
        <v>6733951.690328001</v>
      </c>
      <c r="C311" s="2382">
        <f t="shared" si="24"/>
        <v>4844004.6375570009</v>
      </c>
      <c r="D311" s="3504">
        <v>922107.27554900001</v>
      </c>
      <c r="E311" s="151">
        <v>1746784.6073289998</v>
      </c>
      <c r="F311" s="3504">
        <v>244750.29093599998</v>
      </c>
      <c r="G311" s="151">
        <v>667921.32381199999</v>
      </c>
      <c r="H311" s="3504">
        <v>871735.93383800017</v>
      </c>
      <c r="I311" s="151">
        <v>330204.46530000004</v>
      </c>
      <c r="J311" s="3504">
        <v>60500.740792999997</v>
      </c>
      <c r="K311" s="151">
        <v>914932.59897099994</v>
      </c>
      <c r="L311" s="3504">
        <v>175597.023372</v>
      </c>
      <c r="M311" s="151">
        <v>297781.37215100002</v>
      </c>
      <c r="N311" s="1396">
        <v>501636.05827700003</v>
      </c>
      <c r="O311" s="1407">
        <v>574.01754265688635</v>
      </c>
      <c r="P311" s="1398">
        <v>157921.41999999998</v>
      </c>
      <c r="Q311" s="1398">
        <v>2321137</v>
      </c>
      <c r="R311" s="1602">
        <v>42641.154634551793</v>
      </c>
      <c r="S311" s="1604">
        <v>2901.1435733125613</v>
      </c>
      <c r="T311" s="1981">
        <v>3796044.0764600001</v>
      </c>
      <c r="U311" s="1983">
        <v>152202573.39011797</v>
      </c>
      <c r="V311" s="1981">
        <v>9174.8733841300018</v>
      </c>
      <c r="W311" s="1982">
        <v>24205.908156639995</v>
      </c>
      <c r="X311" s="2731">
        <f t="shared" si="22"/>
        <v>33380.781540769996</v>
      </c>
      <c r="Y311" s="217">
        <v>20.7</v>
      </c>
      <c r="Z311" s="1246"/>
      <c r="AA311" s="1246"/>
    </row>
    <row r="312" spans="1:27">
      <c r="A312" s="53">
        <f t="shared" si="23"/>
        <v>2022.03</v>
      </c>
      <c r="B312" s="141">
        <v>7707157.9705400001</v>
      </c>
      <c r="C312" s="2382">
        <f t="shared" si="24"/>
        <v>5552538.0927400002</v>
      </c>
      <c r="D312" s="3504">
        <v>899210.27598000003</v>
      </c>
      <c r="E312" s="151">
        <v>2074871.3724400001</v>
      </c>
      <c r="F312" s="3504">
        <v>334201.73248000001</v>
      </c>
      <c r="G312" s="151">
        <v>798769.07525999995</v>
      </c>
      <c r="H312" s="3504">
        <v>1007636.4614199999</v>
      </c>
      <c r="I312" s="151">
        <v>368360.93974000006</v>
      </c>
      <c r="J312" s="3504">
        <v>69488.235419999997</v>
      </c>
      <c r="K312" s="151">
        <v>1091450.8223299999</v>
      </c>
      <c r="L312" s="3504">
        <v>202830.44890000002</v>
      </c>
      <c r="M312" s="151">
        <v>353845.91772000003</v>
      </c>
      <c r="N312" s="1396">
        <v>506492.68885000004</v>
      </c>
      <c r="O312" s="1407">
        <v>616.33591811763347</v>
      </c>
      <c r="P312" s="1398">
        <v>157921.41999999998</v>
      </c>
      <c r="Q312" s="1398">
        <v>2578166</v>
      </c>
      <c r="R312" s="1602">
        <v>48803.752971192887</v>
      </c>
      <c r="S312" s="1604">
        <v>2989.3955511553559</v>
      </c>
      <c r="T312" s="1981">
        <v>4661427.4271400003</v>
      </c>
      <c r="U312" s="1983">
        <v>168982502.27879015</v>
      </c>
      <c r="V312" s="1981">
        <v>11195.64490922</v>
      </c>
      <c r="W312" s="1982">
        <v>29379.697757779999</v>
      </c>
      <c r="X312" s="2731">
        <f t="shared" si="22"/>
        <v>40575.342666999997</v>
      </c>
      <c r="Y312" s="217">
        <v>15</v>
      </c>
      <c r="Z312" s="1246"/>
      <c r="AA312" s="1246"/>
    </row>
    <row r="313" spans="1:27">
      <c r="A313" s="53">
        <f t="shared" si="23"/>
        <v>2022.04</v>
      </c>
      <c r="B313" s="141">
        <v>8217793.8093130002</v>
      </c>
      <c r="C313" s="2382">
        <f t="shared" si="24"/>
        <v>6077316.0277009998</v>
      </c>
      <c r="D313" s="3504">
        <v>946752.88567300001</v>
      </c>
      <c r="E313" s="151">
        <v>2406096.90808</v>
      </c>
      <c r="F313" s="3504">
        <v>357866.08395199996</v>
      </c>
      <c r="G313" s="151">
        <v>841261.51663899992</v>
      </c>
      <c r="H313" s="3504">
        <v>1105758.750209</v>
      </c>
      <c r="I313" s="151">
        <v>343505.10460900003</v>
      </c>
      <c r="J313" s="3504">
        <v>76074.778538999992</v>
      </c>
      <c r="K313" s="151">
        <v>1084036.1164270001</v>
      </c>
      <c r="L313" s="3504">
        <v>208847.317133</v>
      </c>
      <c r="M313" s="151">
        <v>353281.85991299996</v>
      </c>
      <c r="N313" s="1396">
        <v>494312.48813900008</v>
      </c>
      <c r="O313" s="1407">
        <v>658.73743541534532</v>
      </c>
      <c r="P313" s="1398">
        <v>157798.41999999998</v>
      </c>
      <c r="Q313" s="1398">
        <v>2624943</v>
      </c>
      <c r="R313" s="1602">
        <v>52077.795261277024</v>
      </c>
      <c r="S313" s="1604">
        <v>3130.6560977945046</v>
      </c>
      <c r="T313" s="1981">
        <v>4144573.3832600005</v>
      </c>
      <c r="U313" s="1983">
        <v>177192288.72404</v>
      </c>
      <c r="V313" s="1981">
        <v>10729.314331869999</v>
      </c>
      <c r="W313" s="1982">
        <v>30025.942667830001</v>
      </c>
      <c r="X313" s="2731">
        <f t="shared" si="22"/>
        <v>40755.256999699996</v>
      </c>
      <c r="Y313" s="217">
        <v>6</v>
      </c>
      <c r="Z313" s="1246"/>
      <c r="AA313" s="1246"/>
    </row>
    <row r="314" spans="1:27">
      <c r="A314" s="53">
        <f t="shared" si="23"/>
        <v>2022.05</v>
      </c>
      <c r="B314" s="141">
        <v>8373768.3249940006</v>
      </c>
      <c r="C314" s="2382">
        <f t="shared" si="24"/>
        <v>6039780.5669450006</v>
      </c>
      <c r="D314" s="3504">
        <v>877840.56773000001</v>
      </c>
      <c r="E314" s="151">
        <v>2303513.789593</v>
      </c>
      <c r="F314" s="3504">
        <v>360099.46808899997</v>
      </c>
      <c r="G314" s="151">
        <v>892096.11500500003</v>
      </c>
      <c r="H314" s="3504">
        <v>1207448.3939769999</v>
      </c>
      <c r="I314" s="151">
        <v>321232.69664899999</v>
      </c>
      <c r="J314" s="3504">
        <v>77549.535902000003</v>
      </c>
      <c r="K314" s="151">
        <v>1122648.307857</v>
      </c>
      <c r="L314" s="3504">
        <v>264364.09652600001</v>
      </c>
      <c r="M314" s="151">
        <v>426864.61763299996</v>
      </c>
      <c r="N314" s="1396">
        <v>520110.73603299994</v>
      </c>
      <c r="O314" s="1407">
        <v>694.07586488958816</v>
      </c>
      <c r="P314" s="1398">
        <v>157598.41999999998</v>
      </c>
      <c r="Q314" s="1398">
        <v>2555702</v>
      </c>
      <c r="R314" s="1602">
        <v>53066.236816528333</v>
      </c>
      <c r="S314" s="1604">
        <v>3276.5041953224591</v>
      </c>
      <c r="T314" s="1981">
        <v>4281329.2020300003</v>
      </c>
      <c r="U314" s="1983">
        <v>179641568.73318994</v>
      </c>
      <c r="V314" s="1981">
        <v>11507.916611748999</v>
      </c>
      <c r="W314" s="1982">
        <v>31497.815537360002</v>
      </c>
      <c r="X314" s="2731">
        <f t="shared" si="22"/>
        <v>43005.732149108997</v>
      </c>
      <c r="Y314" s="217">
        <v>-3.4</v>
      </c>
      <c r="Z314" s="1246"/>
      <c r="AA314" s="1408"/>
    </row>
    <row r="315" spans="1:27">
      <c r="A315" s="53">
        <f t="shared" si="23"/>
        <v>2022.06</v>
      </c>
      <c r="B315" s="141">
        <v>9181317.2561770026</v>
      </c>
      <c r="C315" s="2382">
        <f t="shared" si="24"/>
        <v>6601274.2777480008</v>
      </c>
      <c r="D315" s="3504">
        <v>974686.11820400017</v>
      </c>
      <c r="E315" s="151">
        <v>2661116.0447910004</v>
      </c>
      <c r="F315" s="3504">
        <v>398478.327926</v>
      </c>
      <c r="G315" s="151">
        <v>958556.26197899994</v>
      </c>
      <c r="H315" s="3504">
        <v>1195074.7594909999</v>
      </c>
      <c r="I315" s="151">
        <v>328675.75470600004</v>
      </c>
      <c r="J315" s="3504">
        <v>84687.010651000004</v>
      </c>
      <c r="K315" s="151">
        <v>1193404.6019309999</v>
      </c>
      <c r="L315" s="3504">
        <v>325169.33016700001</v>
      </c>
      <c r="M315" s="151">
        <v>499535.59042900003</v>
      </c>
      <c r="N315" s="1396">
        <v>561933.45590200007</v>
      </c>
      <c r="O315" s="1407">
        <v>729.17645161806922</v>
      </c>
      <c r="P315" s="1398">
        <v>157598.41999999998</v>
      </c>
      <c r="Q315" s="1398">
        <v>2630318</v>
      </c>
      <c r="R315" s="1602">
        <v>58183.835149787941</v>
      </c>
      <c r="S315" s="1604">
        <v>3490.5731003540254</v>
      </c>
      <c r="T315" s="1981">
        <v>6604256.6505800001</v>
      </c>
      <c r="U315" s="1983">
        <v>196114524.8169319</v>
      </c>
      <c r="V315" s="1981">
        <v>12446.650678689999</v>
      </c>
      <c r="W315" s="1982">
        <v>33999.784661329999</v>
      </c>
      <c r="X315" s="2731">
        <f t="shared" ref="X315:X328" si="25">V315+W315</f>
        <v>46446.435340019998</v>
      </c>
      <c r="Y315" s="925">
        <v>-25.8</v>
      </c>
      <c r="Z315" s="1246"/>
      <c r="AA315" s="1246"/>
    </row>
    <row r="316" spans="1:27">
      <c r="A316" s="53">
        <f t="shared" si="23"/>
        <v>2022.07</v>
      </c>
      <c r="B316" s="141">
        <v>10444220.320898</v>
      </c>
      <c r="C316" s="2382">
        <f t="shared" si="24"/>
        <v>7425101.312140001</v>
      </c>
      <c r="D316" s="3504">
        <v>1155799.225083</v>
      </c>
      <c r="E316" s="151">
        <v>3041958.0671850001</v>
      </c>
      <c r="F316" s="3504">
        <v>441164.62202799995</v>
      </c>
      <c r="G316" s="151">
        <v>1037952.688783</v>
      </c>
      <c r="H316" s="3504">
        <v>1282744.9514650002</v>
      </c>
      <c r="I316" s="151">
        <v>369835.40346999996</v>
      </c>
      <c r="J316" s="3504">
        <v>95646.354126000006</v>
      </c>
      <c r="K316" s="151">
        <v>1401075.2595019999</v>
      </c>
      <c r="L316" s="3504">
        <v>310573.9826419999</v>
      </c>
      <c r="M316" s="151">
        <v>624614.58302200004</v>
      </c>
      <c r="N316" s="1396">
        <v>682855.18359199993</v>
      </c>
      <c r="O316" s="1407">
        <v>785.24478536337426</v>
      </c>
      <c r="P316" s="1398">
        <v>157598.41999999998</v>
      </c>
      <c r="Q316" s="1398">
        <v>2786453</v>
      </c>
      <c r="R316" s="1602">
        <v>66187.103273264729</v>
      </c>
      <c r="S316" s="1604">
        <v>3748.213345388564</v>
      </c>
      <c r="T316" s="1981">
        <v>7262837.5904100006</v>
      </c>
      <c r="U316" s="1983">
        <v>228215344.73119715</v>
      </c>
      <c r="V316" s="1981">
        <v>13908.270826959999</v>
      </c>
      <c r="W316" s="1982">
        <v>39725.719946219993</v>
      </c>
      <c r="X316" s="2731">
        <f t="shared" si="25"/>
        <v>53633.99077317999</v>
      </c>
      <c r="Y316" s="217">
        <v>-3.5</v>
      </c>
      <c r="Z316" s="1246"/>
      <c r="AA316" s="1409"/>
    </row>
    <row r="317" spans="1:27">
      <c r="A317" s="53">
        <f t="shared" si="23"/>
        <v>2022.08</v>
      </c>
      <c r="B317" s="141">
        <v>10607664.749222999</v>
      </c>
      <c r="C317" s="2382">
        <f t="shared" si="24"/>
        <v>7644686.7531239996</v>
      </c>
      <c r="D317" s="3504">
        <v>1223176.425049</v>
      </c>
      <c r="E317" s="151">
        <v>2956731.7857089997</v>
      </c>
      <c r="F317" s="3504">
        <v>529175.32016699994</v>
      </c>
      <c r="G317" s="151">
        <v>1119867.759418</v>
      </c>
      <c r="H317" s="3504">
        <v>1290802.9240169998</v>
      </c>
      <c r="I317" s="151">
        <v>424574.16663599998</v>
      </c>
      <c r="J317" s="3504">
        <v>100358.37212799999</v>
      </c>
      <c r="K317" s="151">
        <v>1454566.9839589999</v>
      </c>
      <c r="L317" s="3504">
        <v>244675.82794900003</v>
      </c>
      <c r="M317" s="151">
        <v>491862.78409100004</v>
      </c>
      <c r="N317" s="1396">
        <v>771872.40010000009</v>
      </c>
      <c r="O317" s="1407">
        <v>845.95099870744582</v>
      </c>
      <c r="P317" s="1398">
        <v>157598.41999999998</v>
      </c>
      <c r="Q317" s="1398">
        <v>2794701</v>
      </c>
      <c r="R317" s="1602">
        <v>67222.883151954244</v>
      </c>
      <c r="S317" s="1604">
        <v>3795.6349352660623</v>
      </c>
      <c r="T317" s="1981">
        <v>7246899.5353999995</v>
      </c>
      <c r="U317" s="1983">
        <v>225508109.13560194</v>
      </c>
      <c r="V317" s="1981">
        <v>13597.316349279998</v>
      </c>
      <c r="W317" s="1982">
        <v>37060.127550540004</v>
      </c>
      <c r="X317" s="2731">
        <f t="shared" si="25"/>
        <v>50657.443899820006</v>
      </c>
      <c r="Y317" s="217">
        <v>-2.1</v>
      </c>
      <c r="Z317" s="1246"/>
      <c r="AA317" s="1409"/>
    </row>
    <row r="318" spans="1:27">
      <c r="A318" s="53">
        <f t="shared" si="23"/>
        <v>2022.09</v>
      </c>
      <c r="B318" s="141">
        <v>10811148.211095998</v>
      </c>
      <c r="C318" s="2382">
        <f t="shared" si="24"/>
        <v>7920271.0219859984</v>
      </c>
      <c r="D318" s="3504">
        <v>1317530.7009919998</v>
      </c>
      <c r="E318" s="151">
        <v>3149524.1643949994</v>
      </c>
      <c r="F318" s="3504">
        <v>456909.65230999992</v>
      </c>
      <c r="G318" s="151">
        <v>1140045.8398279999</v>
      </c>
      <c r="H318" s="3504">
        <v>1298201.7270059998</v>
      </c>
      <c r="I318" s="151">
        <v>455321.91233599989</v>
      </c>
      <c r="J318" s="3504">
        <v>102737.02511900001</v>
      </c>
      <c r="K318" s="151">
        <v>1510557.10763</v>
      </c>
      <c r="L318" s="3504">
        <v>219375.24663700003</v>
      </c>
      <c r="M318" s="151">
        <v>535810.903101</v>
      </c>
      <c r="N318" s="1396">
        <v>625133.93174199993</v>
      </c>
      <c r="O318" s="1407">
        <v>900.76642417450273</v>
      </c>
      <c r="P318" s="1398">
        <v>158238.41999999998</v>
      </c>
      <c r="Q318" s="1398">
        <v>2649434</v>
      </c>
      <c r="R318" s="1602">
        <v>68235.64771155885</v>
      </c>
      <c r="S318" s="1604">
        <v>4080.5501141360755</v>
      </c>
      <c r="T318" s="1981">
        <v>8311857.6656200001</v>
      </c>
      <c r="U318" s="1983">
        <v>232153157.22455993</v>
      </c>
      <c r="V318" s="1981">
        <v>14681.887506129999</v>
      </c>
      <c r="W318" s="1982">
        <v>38917.662973040002</v>
      </c>
      <c r="X318" s="2731">
        <f t="shared" si="25"/>
        <v>53599.55047917</v>
      </c>
      <c r="Y318" s="217">
        <v>-3.9</v>
      </c>
      <c r="Z318" s="1246"/>
      <c r="AA318" s="1409"/>
    </row>
    <row r="319" spans="1:27">
      <c r="A319" s="53">
        <f t="shared" si="23"/>
        <v>2022.1</v>
      </c>
      <c r="B319" s="141">
        <v>12290121.323015999</v>
      </c>
      <c r="C319" s="2382">
        <f t="shared" si="24"/>
        <v>8734916.7224710006</v>
      </c>
      <c r="D319" s="3504">
        <v>1510449.2521429998</v>
      </c>
      <c r="E319" s="151">
        <v>3359403.1596940001</v>
      </c>
      <c r="F319" s="3504">
        <v>514144.21495299996</v>
      </c>
      <c r="G319" s="151">
        <v>1257871.6694820002</v>
      </c>
      <c r="H319" s="3504">
        <v>1446177.0724269999</v>
      </c>
      <c r="I319" s="151">
        <v>534570.61297699995</v>
      </c>
      <c r="J319" s="3504">
        <v>112300.74079499999</v>
      </c>
      <c r="K319" s="151">
        <v>1681488.3101009999</v>
      </c>
      <c r="L319" s="3504">
        <v>266336.72138100001</v>
      </c>
      <c r="M319" s="151">
        <v>847885.446367</v>
      </c>
      <c r="N319" s="1396">
        <v>759494.12269600003</v>
      </c>
      <c r="O319" s="1407">
        <v>954.36639265471024</v>
      </c>
      <c r="P319" s="1398">
        <v>158238.41999999998</v>
      </c>
      <c r="Q319" s="1398">
        <v>2802082</v>
      </c>
      <c r="R319" s="1602">
        <v>77570.335042573643</v>
      </c>
      <c r="S319" s="1604">
        <v>4386.0676893167292</v>
      </c>
      <c r="T319" s="1981">
        <v>8770878.0147599988</v>
      </c>
      <c r="U319" s="1983">
        <v>265665688.89025596</v>
      </c>
      <c r="V319" s="1981">
        <v>15267.757707569999</v>
      </c>
      <c r="W319" s="1982">
        <v>41674.608560850007</v>
      </c>
      <c r="X319" s="2731">
        <f t="shared" si="25"/>
        <v>56942.36626842001</v>
      </c>
      <c r="Y319" s="217">
        <v>-3.2</v>
      </c>
      <c r="Z319" s="1246"/>
      <c r="AA319" s="1410"/>
    </row>
    <row r="320" spans="1:27">
      <c r="A320" s="53">
        <f t="shared" si="23"/>
        <v>2022.11</v>
      </c>
      <c r="B320" s="141">
        <v>13085811.616799999</v>
      </c>
      <c r="C320" s="2382">
        <f>SUM(D320:J320)</f>
        <v>9067505.0667930003</v>
      </c>
      <c r="D320" s="3504">
        <v>1813948.4878969998</v>
      </c>
      <c r="E320" s="151">
        <v>3404755.7182160001</v>
      </c>
      <c r="F320" s="3504">
        <v>509521.71078499994</v>
      </c>
      <c r="G320" s="151">
        <v>1266135.8455739999</v>
      </c>
      <c r="H320" s="3504">
        <v>1385654.074456</v>
      </c>
      <c r="I320" s="151">
        <v>572039.83802000002</v>
      </c>
      <c r="J320" s="3504">
        <v>115449.39184499999</v>
      </c>
      <c r="K320" s="151">
        <v>1822469.5947800002</v>
      </c>
      <c r="L320" s="3504">
        <v>269533.67024100007</v>
      </c>
      <c r="M320" s="151">
        <v>1093951.2443959999</v>
      </c>
      <c r="N320" s="1396">
        <v>832352.04059000011</v>
      </c>
      <c r="O320" s="1407">
        <v>997.18751425954258</v>
      </c>
      <c r="P320" s="1398">
        <v>158238.41999999998</v>
      </c>
      <c r="Q320" s="1398">
        <v>2723353</v>
      </c>
      <c r="R320" s="1602">
        <v>82592.414243969382</v>
      </c>
      <c r="S320" s="1604">
        <v>4805.0368853395066</v>
      </c>
      <c r="T320" s="1981">
        <v>11812684.989150001</v>
      </c>
      <c r="U320" s="1983">
        <v>284786453.14432305</v>
      </c>
      <c r="V320" s="1981">
        <v>18374.647014310001</v>
      </c>
      <c r="W320" s="1982">
        <v>46607.448992070007</v>
      </c>
      <c r="X320" s="2731">
        <f t="shared" si="25"/>
        <v>64982.096006380008</v>
      </c>
      <c r="Y320" s="217">
        <v>-3.1</v>
      </c>
      <c r="Z320" s="1246"/>
      <c r="AA320" s="1246"/>
    </row>
    <row r="321" spans="1:27">
      <c r="A321" s="53">
        <f t="shared" si="23"/>
        <v>2022.12</v>
      </c>
      <c r="B321" s="141">
        <v>16937132.316863</v>
      </c>
      <c r="C321" s="2382">
        <f>SUM(D321:J321)</f>
        <v>12366281.234284</v>
      </c>
      <c r="D321" s="3504">
        <v>3476217.0716999997</v>
      </c>
      <c r="E321" s="151">
        <v>4205357.5974800009</v>
      </c>
      <c r="F321" s="3504">
        <v>695379.16704900004</v>
      </c>
      <c r="G321" s="151">
        <v>1381793.030001</v>
      </c>
      <c r="H321" s="3504">
        <v>1716356.083481</v>
      </c>
      <c r="I321" s="151">
        <v>732775.13367500005</v>
      </c>
      <c r="J321" s="3504">
        <v>158403.15089799996</v>
      </c>
      <c r="K321" s="151">
        <v>2031317.437436</v>
      </c>
      <c r="L321" s="3504">
        <v>358306.05613400001</v>
      </c>
      <c r="M321" s="151">
        <v>883794.52314400009</v>
      </c>
      <c r="N321" s="1396">
        <v>1297433.065865</v>
      </c>
      <c r="O321" s="1407">
        <v>1042.4136744951095</v>
      </c>
      <c r="P321" s="1398">
        <v>158078.41999999998</v>
      </c>
      <c r="Q321" s="1398">
        <v>3073104</v>
      </c>
      <c r="R321" s="1602">
        <v>106900.41163540386</v>
      </c>
      <c r="S321" s="1604">
        <v>5511.4087635377782</v>
      </c>
      <c r="T321" s="1981">
        <v>10616793.491700001</v>
      </c>
      <c r="U321" s="1983">
        <v>359667612.32616979</v>
      </c>
      <c r="V321" s="1981">
        <v>20713.712003110002</v>
      </c>
      <c r="W321" s="1982">
        <v>61259.000019369996</v>
      </c>
      <c r="X321" s="2731">
        <f t="shared" si="25"/>
        <v>81972.712022480002</v>
      </c>
      <c r="Y321" s="217">
        <v>2.7</v>
      </c>
      <c r="Z321" s="1246"/>
      <c r="AA321" s="1411"/>
    </row>
    <row r="322" spans="1:27">
      <c r="A322" s="53">
        <f t="shared" si="23"/>
        <v>2023.01</v>
      </c>
      <c r="B322" s="141">
        <v>14413531.340393998</v>
      </c>
      <c r="C322" s="2382">
        <f>SUM(D322:J322)</f>
        <v>10290095.301556999</v>
      </c>
      <c r="D322" s="3504">
        <v>2231005.2973790001</v>
      </c>
      <c r="E322" s="151">
        <v>3611015.0246349997</v>
      </c>
      <c r="F322" s="3504">
        <v>574831.202697</v>
      </c>
      <c r="G322" s="151">
        <v>1387600.00132</v>
      </c>
      <c r="H322" s="3504">
        <v>1542522.4527430001</v>
      </c>
      <c r="I322" s="151">
        <v>800646.23918199993</v>
      </c>
      <c r="J322" s="3504">
        <v>142475.08360100002</v>
      </c>
      <c r="K322" s="151">
        <v>2029044.0424540001</v>
      </c>
      <c r="L322" s="3504">
        <v>322006.63340899994</v>
      </c>
      <c r="M322" s="151">
        <v>733252.64323199994</v>
      </c>
      <c r="N322" s="1396">
        <v>1039132.7197420001</v>
      </c>
      <c r="O322" s="1407">
        <v>1107.187260576171</v>
      </c>
      <c r="P322" s="1398">
        <v>159790.41999999998</v>
      </c>
      <c r="Q322" s="1398">
        <v>2780379</v>
      </c>
      <c r="R322" s="1602">
        <v>89999.959665382092</v>
      </c>
      <c r="S322" s="1604">
        <v>5184.0167618853402</v>
      </c>
      <c r="T322" s="1981">
        <v>9314561.1424499992</v>
      </c>
      <c r="U322" s="1983">
        <v>316578387.6306569</v>
      </c>
      <c r="V322" s="1981">
        <v>17838.336524549995</v>
      </c>
      <c r="W322" s="1982">
        <v>49264.6829641</v>
      </c>
      <c r="X322" s="2731">
        <f t="shared" si="25"/>
        <v>67103.019488649996</v>
      </c>
      <c r="Y322" s="217">
        <v>-0.3</v>
      </c>
      <c r="Z322" s="1246"/>
      <c r="AA322" s="1246"/>
    </row>
    <row r="323" spans="1:27">
      <c r="A323" s="53">
        <f t="shared" si="23"/>
        <v>2023.02</v>
      </c>
      <c r="B323" s="141">
        <v>14533670.413500998</v>
      </c>
      <c r="C323" s="2382">
        <f>SUM(D323:J323)</f>
        <v>10598735.541562999</v>
      </c>
      <c r="D323" s="3504">
        <v>2178995.0645819996</v>
      </c>
      <c r="E323" s="151">
        <v>3742541.9967129999</v>
      </c>
      <c r="F323" s="3504">
        <v>589722.17498399992</v>
      </c>
      <c r="G323" s="151">
        <v>1423825.31116</v>
      </c>
      <c r="H323" s="3504">
        <v>1728274.1167719997</v>
      </c>
      <c r="I323" s="151">
        <v>787508.08945199999</v>
      </c>
      <c r="J323" s="3504">
        <v>147868.7879</v>
      </c>
      <c r="K323" s="151">
        <v>1963246.7590460002</v>
      </c>
      <c r="L323" s="3504">
        <v>316073.39620200003</v>
      </c>
      <c r="M323" s="151">
        <v>633426.77385200001</v>
      </c>
      <c r="N323" s="1396">
        <v>1022187.9428380001</v>
      </c>
      <c r="O323" s="1407">
        <v>1189.130654791277</v>
      </c>
      <c r="P323" s="1398">
        <v>159790.41999999998</v>
      </c>
      <c r="Q323" s="1398">
        <v>2688071</v>
      </c>
      <c r="R323" s="1602">
        <v>90750.123624408865</v>
      </c>
      <c r="S323" s="1604">
        <v>5406.7286219378129</v>
      </c>
      <c r="T323" s="1981">
        <v>8846908.0012300014</v>
      </c>
      <c r="U323" s="1983">
        <v>318416998.00239992</v>
      </c>
      <c r="V323" s="1981">
        <v>17326.582103959998</v>
      </c>
      <c r="W323" s="1982">
        <v>48884.508280969996</v>
      </c>
      <c r="X323" s="2731">
        <f t="shared" si="25"/>
        <v>66211.090384929994</v>
      </c>
      <c r="Y323" s="217">
        <v>-0.9</v>
      </c>
      <c r="Z323" s="1246"/>
      <c r="AA323" s="1246"/>
    </row>
    <row r="324" spans="1:27">
      <c r="A324" s="53">
        <f t="shared" si="23"/>
        <v>2023.03</v>
      </c>
      <c r="B324" s="141">
        <v>17234707.125774998</v>
      </c>
      <c r="C324" s="2382">
        <f>SUM(D324:J324)</f>
        <v>12873634.210356001</v>
      </c>
      <c r="D324" s="3504">
        <v>2637049.2894220008</v>
      </c>
      <c r="E324" s="151">
        <v>4609313.3697009999</v>
      </c>
      <c r="F324" s="3504">
        <v>725266.46980899991</v>
      </c>
      <c r="G324" s="151">
        <v>1740423.1610629999</v>
      </c>
      <c r="H324" s="3504">
        <v>2079591.2112030003</v>
      </c>
      <c r="I324" s="151">
        <v>906717.15217700019</v>
      </c>
      <c r="J324" s="3504">
        <v>175273.556981</v>
      </c>
      <c r="K324" s="151">
        <v>2400317.1406629998</v>
      </c>
      <c r="L324" s="3504">
        <v>301195.89727099997</v>
      </c>
      <c r="M324" s="151">
        <v>688778.40707700001</v>
      </c>
      <c r="N324" s="1396">
        <v>970781.47040799994</v>
      </c>
      <c r="O324" s="1407">
        <v>1275.6934189248948</v>
      </c>
      <c r="P324" s="1398">
        <v>160610.41999999998</v>
      </c>
      <c r="Q324" s="1398">
        <v>3026727</v>
      </c>
      <c r="R324" s="1602">
        <v>107067.54151337247</v>
      </c>
      <c r="S324" s="1604">
        <v>5694.1729881072861</v>
      </c>
      <c r="T324" s="1981">
        <v>11547315.440030001</v>
      </c>
      <c r="U324" s="1983">
        <v>363148339.07930106</v>
      </c>
      <c r="V324" s="1981">
        <v>21765.349601959999</v>
      </c>
      <c r="W324" s="1982">
        <v>61113.133638110012</v>
      </c>
      <c r="X324" s="2731">
        <f t="shared" si="25"/>
        <v>82878.483240070011</v>
      </c>
      <c r="Y324" s="217">
        <v>-0.1</v>
      </c>
      <c r="Z324" s="1246"/>
      <c r="AA324" s="1246"/>
    </row>
    <row r="325" spans="1:27">
      <c r="A325" s="53">
        <f t="shared" si="23"/>
        <v>2023.04</v>
      </c>
      <c r="B325" s="141">
        <v>18587709.193999998</v>
      </c>
      <c r="C325" s="2382">
        <f t="shared" si="24"/>
        <v>13852585.573119998</v>
      </c>
      <c r="D325" s="3504">
        <v>2391094.8122200002</v>
      </c>
      <c r="E325" s="151">
        <v>5299109.5711300001</v>
      </c>
      <c r="F325" s="3504">
        <v>824634.97006000008</v>
      </c>
      <c r="G325" s="151">
        <v>1860178.3107</v>
      </c>
      <c r="H325" s="3504">
        <v>2367692.5042200005</v>
      </c>
      <c r="I325" s="151">
        <v>916281.79388999997</v>
      </c>
      <c r="J325" s="3504">
        <v>193593.6109</v>
      </c>
      <c r="K325" s="151">
        <v>2554500.4405799997</v>
      </c>
      <c r="L325" s="3504">
        <v>390898.26801999996</v>
      </c>
      <c r="M325" s="151">
        <v>778246.89383999992</v>
      </c>
      <c r="N325" s="1396">
        <v>1011478.0184399998</v>
      </c>
      <c r="O325" s="1407">
        <v>1386.9296022696976</v>
      </c>
      <c r="P325" s="1398">
        <v>161610.41999999998</v>
      </c>
      <c r="Q325" s="1398">
        <v>3096118</v>
      </c>
      <c r="R325" s="1602">
        <v>114759.89994963279</v>
      </c>
      <c r="S325" s="1604">
        <v>6003.5532218087292</v>
      </c>
      <c r="T325" s="1981">
        <v>10954941.807589997</v>
      </c>
      <c r="U325" s="1983">
        <v>385814066.92806983</v>
      </c>
      <c r="V325" s="1981">
        <v>21886.986677450001</v>
      </c>
      <c r="W325" s="1982">
        <v>67392.56535592</v>
      </c>
      <c r="X325" s="2731">
        <f t="shared" si="25"/>
        <v>89279.552033369997</v>
      </c>
      <c r="Y325" s="217">
        <v>-0.1</v>
      </c>
      <c r="Z325" s="1246"/>
      <c r="AA325" s="1246"/>
    </row>
    <row r="326" spans="1:27">
      <c r="A326" s="53">
        <f t="shared" si="23"/>
        <v>2023.05</v>
      </c>
      <c r="B326" s="141">
        <v>18871167.322499998</v>
      </c>
      <c r="C326" s="2382">
        <f t="shared" si="24"/>
        <v>14027394.933369998</v>
      </c>
      <c r="D326" s="3504">
        <v>2327073.9482100001</v>
      </c>
      <c r="E326" s="151">
        <v>5469368.81587</v>
      </c>
      <c r="F326" s="3504">
        <v>848530.82921</v>
      </c>
      <c r="G326" s="151">
        <v>2021266.2414000002</v>
      </c>
      <c r="H326" s="3504">
        <v>2282273.70052</v>
      </c>
      <c r="I326" s="151">
        <v>885658.52973000007</v>
      </c>
      <c r="J326" s="3504">
        <v>193222.86843</v>
      </c>
      <c r="K326" s="151">
        <v>2576822.6781099997</v>
      </c>
      <c r="L326" s="3504">
        <v>429349.93172999995</v>
      </c>
      <c r="M326" s="151">
        <v>807560.07558000006</v>
      </c>
      <c r="N326" s="1396">
        <v>1030039.70371</v>
      </c>
      <c r="O326" s="1407">
        <v>1498.9563381625082</v>
      </c>
      <c r="P326" s="1398">
        <v>161610.41999999998</v>
      </c>
      <c r="Q326" s="1398">
        <v>2999533</v>
      </c>
      <c r="R326" s="1602">
        <v>116509.96103177359</v>
      </c>
      <c r="S326" s="1604">
        <v>6291.3684638575405</v>
      </c>
      <c r="T326" s="1981">
        <v>14462742.917069998</v>
      </c>
      <c r="U326" s="1983">
        <v>388897175.88153994</v>
      </c>
      <c r="V326" s="1981">
        <v>23421.612665540004</v>
      </c>
      <c r="W326" s="1982">
        <v>69131.670740849993</v>
      </c>
      <c r="X326" s="2731">
        <f t="shared" si="25"/>
        <v>92553.283406389994</v>
      </c>
      <c r="Y326" s="217">
        <v>-2.8</v>
      </c>
      <c r="Z326" s="1246"/>
      <c r="AA326" s="1246"/>
    </row>
    <row r="327" spans="1:27">
      <c r="A327" s="53">
        <f t="shared" si="23"/>
        <v>2023.06</v>
      </c>
      <c r="B327" s="141">
        <v>20670443.380860001</v>
      </c>
      <c r="C327" s="2382">
        <f t="shared" si="24"/>
        <v>15241252.818100002</v>
      </c>
      <c r="D327" s="3504">
        <v>2637798.4352600006</v>
      </c>
      <c r="E327" s="151">
        <v>6001803.5019199997</v>
      </c>
      <c r="F327" s="3504">
        <v>940813.98774999974</v>
      </c>
      <c r="G327" s="151">
        <v>2190879.5828400003</v>
      </c>
      <c r="H327" s="3504">
        <v>2376180.5271900008</v>
      </c>
      <c r="I327" s="151">
        <v>885948.63477999996</v>
      </c>
      <c r="J327" s="3504">
        <v>207828.14835999999</v>
      </c>
      <c r="K327" s="151">
        <v>2737049.6151999999</v>
      </c>
      <c r="L327" s="3504">
        <v>595905.38459999999</v>
      </c>
      <c r="M327" s="151">
        <v>947445.86479000014</v>
      </c>
      <c r="N327" s="1396">
        <v>1148789.6981700002</v>
      </c>
      <c r="O327" s="1407">
        <v>1597.8684334603224</v>
      </c>
      <c r="P327" s="1398">
        <v>161610.41999999998</v>
      </c>
      <c r="Q327" s="1398">
        <v>3055394</v>
      </c>
      <c r="R327" s="1602">
        <v>127618.63172831188</v>
      </c>
      <c r="S327" s="1604">
        <v>6765.2300753552572</v>
      </c>
      <c r="T327" s="1981">
        <v>12528760.526069995</v>
      </c>
      <c r="U327" s="1983">
        <v>425805739.95078009</v>
      </c>
      <c r="V327" s="1981">
        <v>24958.487470450003</v>
      </c>
      <c r="W327" s="1982">
        <v>76823.259480699999</v>
      </c>
      <c r="X327" s="2731">
        <f t="shared" si="25"/>
        <v>101781.74695115001</v>
      </c>
      <c r="Y327" s="217">
        <v>-3.6</v>
      </c>
      <c r="Z327" s="1246"/>
      <c r="AA327" s="1246"/>
    </row>
    <row r="328" spans="1:27">
      <c r="A328" s="53">
        <f t="shared" si="23"/>
        <v>2023.07</v>
      </c>
      <c r="B328" s="141">
        <v>23756597.878629994</v>
      </c>
      <c r="C328" s="2382">
        <f t="shared" si="24"/>
        <v>17328926.687999997</v>
      </c>
      <c r="D328" s="3504">
        <v>3122909.7735299999</v>
      </c>
      <c r="E328" s="151">
        <v>6717358.3134400006</v>
      </c>
      <c r="F328" s="3504">
        <v>1089333.5918099999</v>
      </c>
      <c r="G328" s="151">
        <v>2493069.9584599994</v>
      </c>
      <c r="H328" s="3504">
        <v>2652382.1268000002</v>
      </c>
      <c r="I328" s="151">
        <v>1009552.8289</v>
      </c>
      <c r="J328" s="3504">
        <v>244320.09505999999</v>
      </c>
      <c r="K328" s="151">
        <v>3072895.1652799998</v>
      </c>
      <c r="L328" s="3504">
        <v>716669.93125000002</v>
      </c>
      <c r="M328" s="151">
        <v>1231324.0946</v>
      </c>
      <c r="N328" s="1396">
        <v>1406781.9994999999</v>
      </c>
      <c r="O328" s="1407">
        <v>1702.6751386401165</v>
      </c>
      <c r="P328" s="1398">
        <v>164909.41999999998</v>
      </c>
      <c r="Q328" s="1398">
        <v>3103174</v>
      </c>
      <c r="R328" s="1602">
        <v>143744.66781955189</v>
      </c>
      <c r="S328" s="1604">
        <v>7655.5803440702975</v>
      </c>
      <c r="T328" s="1981">
        <v>15281302.853480002</v>
      </c>
      <c r="U328" s="1983">
        <v>482669389.05064976</v>
      </c>
      <c r="V328" s="1981">
        <v>27533.525679309998</v>
      </c>
      <c r="W328" s="1982">
        <v>83660.753406650008</v>
      </c>
      <c r="X328" s="2731">
        <f t="shared" si="25"/>
        <v>111194.27908596001</v>
      </c>
      <c r="Y328" s="217">
        <v>-3.6</v>
      </c>
      <c r="Z328" s="1246"/>
      <c r="AA328" s="1246"/>
    </row>
    <row r="329" spans="1:27">
      <c r="A329" s="53">
        <f t="shared" si="23"/>
        <v>2023.08</v>
      </c>
      <c r="B329" s="141">
        <v>27300785.023770005</v>
      </c>
      <c r="C329" s="2382">
        <f t="shared" si="24"/>
        <v>20425197.985710002</v>
      </c>
      <c r="D329" s="3504">
        <v>3863944.5342899999</v>
      </c>
      <c r="E329" s="151">
        <v>7718746.0971800005</v>
      </c>
      <c r="F329" s="3504">
        <v>1255566.3522999999</v>
      </c>
      <c r="G329" s="151">
        <v>2840371.7267600005</v>
      </c>
      <c r="H329" s="3504">
        <v>3224022.2934000008</v>
      </c>
      <c r="I329" s="151">
        <v>1227742.5718499999</v>
      </c>
      <c r="J329" s="3504">
        <v>294804.40993000002</v>
      </c>
      <c r="K329" s="151">
        <v>3508263.3626099997</v>
      </c>
      <c r="L329" s="3504">
        <v>560369.24916000001</v>
      </c>
      <c r="M329" s="151">
        <v>1147210.8900000001</v>
      </c>
      <c r="N329" s="1396">
        <v>1659743.53629</v>
      </c>
      <c r="O329" s="1407">
        <v>1917.1319011656876</v>
      </c>
      <c r="P329" s="1398">
        <v>164909.41999999998</v>
      </c>
      <c r="Q329" s="1398">
        <v>3404076</v>
      </c>
      <c r="R329" s="1602">
        <v>165349.65130257254</v>
      </c>
      <c r="S329" s="1604">
        <v>8020.0280557102715</v>
      </c>
      <c r="T329" s="1981">
        <v>18657528.723539997</v>
      </c>
      <c r="U329" s="1983">
        <v>537409230.36957991</v>
      </c>
      <c r="V329" s="1981">
        <v>30763.45208336</v>
      </c>
      <c r="W329" s="1982">
        <v>91858.770415160005</v>
      </c>
      <c r="X329" s="2731">
        <f>V329+W329</f>
        <v>122622.22249852</v>
      </c>
      <c r="Y329" s="217">
        <v>-4.0999999999999996</v>
      </c>
      <c r="Z329" s="1246"/>
      <c r="AA329" s="1246"/>
    </row>
    <row r="330" spans="1:27">
      <c r="A330" s="53">
        <f t="shared" si="23"/>
        <v>2023.09</v>
      </c>
      <c r="B330" s="141">
        <v>30032144.26802</v>
      </c>
      <c r="C330" s="2382">
        <f t="shared" si="24"/>
        <v>22936904.502009999</v>
      </c>
      <c r="D330" s="3504">
        <v>4300453.2125600008</v>
      </c>
      <c r="E330" s="151">
        <v>8623552.4883299991</v>
      </c>
      <c r="F330" s="3504">
        <v>1404166.3328100001</v>
      </c>
      <c r="G330" s="151">
        <v>3115343.7875799998</v>
      </c>
      <c r="H330" s="3504">
        <v>3777007.8630399997</v>
      </c>
      <c r="I330" s="151">
        <v>1394234.5229099998</v>
      </c>
      <c r="J330" s="3504">
        <v>322146.29478</v>
      </c>
      <c r="K330" s="151">
        <v>3837855.2240200001</v>
      </c>
      <c r="L330" s="3504">
        <v>563049.72827000008</v>
      </c>
      <c r="M330" s="151">
        <v>1133552.3835199999</v>
      </c>
      <c r="N330" s="1396">
        <v>1560782.4302000001</v>
      </c>
      <c r="O330" s="1407">
        <v>2169.4322669191242</v>
      </c>
      <c r="P330" s="1398">
        <v>164909.41999999998</v>
      </c>
      <c r="Q330" s="1398">
        <v>3376935</v>
      </c>
      <c r="R330" s="1602">
        <v>181892.37335973926</v>
      </c>
      <c r="S330" s="1604">
        <v>8893.3142829281569</v>
      </c>
      <c r="T330" s="1981">
        <v>16572711.735530002</v>
      </c>
      <c r="U330" s="1983">
        <v>580113048.3323102</v>
      </c>
      <c r="V330" s="1981">
        <v>33291.210580819999</v>
      </c>
      <c r="W330" s="1982">
        <v>104774.96699317999</v>
      </c>
      <c r="X330" s="2731">
        <f t="shared" ref="X330:X357" si="26">V330+W330</f>
        <v>138066.17757399997</v>
      </c>
      <c r="Y330" s="217">
        <v>-5.0999999999999996</v>
      </c>
      <c r="Z330" s="1246"/>
      <c r="AA330" s="1246"/>
    </row>
    <row r="331" spans="1:27">
      <c r="A331" s="53">
        <f t="shared" si="23"/>
        <v>2023.1</v>
      </c>
      <c r="B331" s="141">
        <v>35247486.239349999</v>
      </c>
      <c r="C331" s="2382">
        <f t="shared" si="24"/>
        <v>25495693.19918</v>
      </c>
      <c r="D331" s="3504">
        <v>5063346.16493</v>
      </c>
      <c r="E331" s="151">
        <v>9220202.1384199988</v>
      </c>
      <c r="F331" s="3504">
        <v>1587583.3346800001</v>
      </c>
      <c r="G331" s="151">
        <v>3461069.7892499999</v>
      </c>
      <c r="H331" s="3504">
        <v>4263941.5960799996</v>
      </c>
      <c r="I331" s="151">
        <v>1549068.3723299997</v>
      </c>
      <c r="J331" s="3504">
        <v>350481.80349000002</v>
      </c>
      <c r="K331" s="151">
        <v>4560936.6758500002</v>
      </c>
      <c r="L331" s="3504">
        <v>808048.64279999991</v>
      </c>
      <c r="M331" s="151">
        <v>2307171.6848400007</v>
      </c>
      <c r="N331" s="1396">
        <v>2075636.0366800001</v>
      </c>
      <c r="O331" s="1407">
        <v>2374.7065800287396</v>
      </c>
      <c r="P331" s="1398">
        <v>166359.41999999998</v>
      </c>
      <c r="Q331" s="1398">
        <v>3421515</v>
      </c>
      <c r="R331" s="1602">
        <v>211621.09137597866</v>
      </c>
      <c r="S331" s="1604">
        <v>10301.719045320569</v>
      </c>
      <c r="T331" s="1981">
        <v>26120056.761039998</v>
      </c>
      <c r="U331" s="1983">
        <v>708384350.4217999</v>
      </c>
      <c r="V331" s="1981">
        <v>41645.966546870004</v>
      </c>
      <c r="W331" s="1982">
        <v>130713.17787723002</v>
      </c>
      <c r="X331" s="2731">
        <f t="shared" si="26"/>
        <v>172359.14442410003</v>
      </c>
      <c r="Y331" s="217">
        <v>-0.7</v>
      </c>
      <c r="Z331" s="1246"/>
      <c r="AA331" s="1246"/>
    </row>
    <row r="332" spans="1:27">
      <c r="A332" s="53">
        <f t="shared" si="23"/>
        <v>2023.11</v>
      </c>
      <c r="B332" s="141">
        <v>38473440.557500005</v>
      </c>
      <c r="C332" s="2382">
        <f t="shared" si="24"/>
        <v>28156928.557160001</v>
      </c>
      <c r="D332" s="3504">
        <v>5631503.6476099994</v>
      </c>
      <c r="E332" s="151">
        <v>10126939.442679999</v>
      </c>
      <c r="F332" s="3504">
        <v>1744867.2462500003</v>
      </c>
      <c r="G332" s="151">
        <v>3700872.0325300004</v>
      </c>
      <c r="H332" s="3504">
        <v>4745046.1564299995</v>
      </c>
      <c r="I332" s="151">
        <v>1844359.5584600002</v>
      </c>
      <c r="J332" s="3504">
        <v>363340.47320000007</v>
      </c>
      <c r="K332" s="151">
        <v>5124842.0449299999</v>
      </c>
      <c r="L332" s="3504">
        <v>777864.37213000015</v>
      </c>
      <c r="M332" s="151">
        <v>2026094.30645</v>
      </c>
      <c r="N332" s="1396">
        <v>2387711.2768300003</v>
      </c>
      <c r="O332" s="1407">
        <v>2721.5465541007497</v>
      </c>
      <c r="P332" s="1398">
        <v>166359.41999999998</v>
      </c>
      <c r="Q332" s="1398">
        <v>3419983</v>
      </c>
      <c r="R332" s="1602">
        <f t="shared" ref="R332:R357" si="27">$B332/P332*1000</f>
        <v>231266.97939617731</v>
      </c>
      <c r="S332" s="1604">
        <v>11249.599941724857</v>
      </c>
      <c r="T332" s="1981">
        <v>28618728.15484</v>
      </c>
      <c r="U332" s="1983">
        <v>764304815.62694979</v>
      </c>
      <c r="V332" s="1981">
        <v>45407.193669079999</v>
      </c>
      <c r="W332" s="1982">
        <v>130964.42418418001</v>
      </c>
      <c r="X332" s="2731">
        <f t="shared" si="26"/>
        <v>176371.61785326002</v>
      </c>
      <c r="Y332" s="217">
        <v>-2.9</v>
      </c>
      <c r="Z332" s="1246"/>
      <c r="AA332" s="1246"/>
    </row>
    <row r="333" spans="1:27">
      <c r="A333" s="53">
        <f t="shared" si="23"/>
        <v>2023.12</v>
      </c>
      <c r="B333" s="141">
        <v>60323301.974420004</v>
      </c>
      <c r="C333" s="2382">
        <f t="shared" si="24"/>
        <v>45187838.603320003</v>
      </c>
      <c r="D333" s="3504">
        <v>10903072.65676</v>
      </c>
      <c r="E333" s="151">
        <v>16085286.233970001</v>
      </c>
      <c r="F333" s="3504">
        <v>2726916.2372099995</v>
      </c>
      <c r="G333" s="151">
        <v>4950521.129639999</v>
      </c>
      <c r="H333" s="3504">
        <v>7460250.9348800005</v>
      </c>
      <c r="I333" s="151">
        <v>2501038.5070600002</v>
      </c>
      <c r="J333" s="3504">
        <v>560752.9038000002</v>
      </c>
      <c r="K333" s="151">
        <v>7882582.0791699998</v>
      </c>
      <c r="L333" s="3504">
        <v>1171758.4802099997</v>
      </c>
      <c r="M333" s="151">
        <v>1995033.8560899999</v>
      </c>
      <c r="N333" s="1396">
        <v>4086088.9556299997</v>
      </c>
      <c r="O333" s="1407">
        <v>3559.5913250135845</v>
      </c>
      <c r="P333" s="1398">
        <v>167189.41999999998</v>
      </c>
      <c r="Q333" s="1398">
        <v>3825299</v>
      </c>
      <c r="R333" s="1602">
        <f t="shared" si="27"/>
        <v>360808.1299308294</v>
      </c>
      <c r="S333" s="1604">
        <v>15769.565195928475</v>
      </c>
      <c r="T333" s="1981">
        <v>31032995.318399996</v>
      </c>
      <c r="U333" s="1983">
        <v>1147057747.0741498</v>
      </c>
      <c r="V333" s="1981">
        <v>57205.918840289996</v>
      </c>
      <c r="W333" s="1982">
        <v>191288.84031182999</v>
      </c>
      <c r="X333" s="2731">
        <f t="shared" si="26"/>
        <v>248494.75915211998</v>
      </c>
      <c r="Y333" s="217">
        <v>-13.7</v>
      </c>
      <c r="Z333" s="1246"/>
      <c r="AA333" s="1246"/>
    </row>
    <row r="334" spans="1:27">
      <c r="A334" s="53">
        <f t="shared" ref="A334:A397" si="28">A322+1</f>
        <v>2024.01</v>
      </c>
      <c r="B334" s="141">
        <v>54141634.509810001</v>
      </c>
      <c r="C334" s="2382">
        <f t="shared" si="24"/>
        <v>39855469.184160002</v>
      </c>
      <c r="D334" s="3504">
        <v>7256190.6884900006</v>
      </c>
      <c r="E334" s="151">
        <v>15007936.124519998</v>
      </c>
      <c r="F334" s="3504">
        <v>2506592.1996500008</v>
      </c>
      <c r="G334" s="151">
        <v>5358125.4163300004</v>
      </c>
      <c r="H334" s="3504">
        <v>6642491.7576200003</v>
      </c>
      <c r="I334" s="151">
        <v>2551607.8945599995</v>
      </c>
      <c r="J334" s="3504">
        <v>532525.10299000004</v>
      </c>
      <c r="K334" s="151">
        <v>8460125.90649</v>
      </c>
      <c r="L334" s="3504">
        <v>892087.52385999996</v>
      </c>
      <c r="M334" s="151">
        <v>1645557.4135400001</v>
      </c>
      <c r="N334" s="1396">
        <v>3288394.4817599999</v>
      </c>
      <c r="O334" s="1407">
        <v>4473.6540389103493</v>
      </c>
      <c r="P334" s="1398">
        <v>168441.41999999998</v>
      </c>
      <c r="Q334" s="1398">
        <v>3243367</v>
      </c>
      <c r="R334" s="1602">
        <f t="shared" si="27"/>
        <v>321427.08432290592</v>
      </c>
      <c r="S334" s="1604">
        <v>16693.033662181922</v>
      </c>
      <c r="T334" s="1981">
        <v>31401144.578970008</v>
      </c>
      <c r="U334" s="1983">
        <v>1101738039.8625402</v>
      </c>
      <c r="V334" s="1981">
        <v>71345.725101190008</v>
      </c>
      <c r="W334" s="1982">
        <v>187869.75552106003</v>
      </c>
      <c r="X334" s="2731">
        <f t="shared" si="26"/>
        <v>259215.48062225003</v>
      </c>
      <c r="Y334" s="217">
        <v>-28.5</v>
      </c>
      <c r="Z334" s="1246"/>
      <c r="AA334" s="1246"/>
    </row>
    <row r="335" spans="1:27">
      <c r="A335" s="53">
        <f t="shared" si="28"/>
        <v>2024.02</v>
      </c>
      <c r="B335" s="141">
        <v>57632744.858000003</v>
      </c>
      <c r="C335" s="2382">
        <f t="shared" si="24"/>
        <v>42466690.79962001</v>
      </c>
      <c r="D335" s="3504">
        <v>7598490.9676300008</v>
      </c>
      <c r="E335" s="151">
        <v>16438328.908310002</v>
      </c>
      <c r="F335" s="3504">
        <v>2729214.0764299999</v>
      </c>
      <c r="G335" s="151">
        <v>5787819.1173700001</v>
      </c>
      <c r="H335" s="3504">
        <v>6671617.8751900019</v>
      </c>
      <c r="I335" s="151">
        <v>2682645.45206</v>
      </c>
      <c r="J335" s="3504">
        <v>558574.40263000003</v>
      </c>
      <c r="K335" s="151">
        <v>9056312.6258499995</v>
      </c>
      <c r="L335" s="3504">
        <v>885405.3332799999</v>
      </c>
      <c r="M335" s="151">
        <v>1686633.47746</v>
      </c>
      <c r="N335" s="1396">
        <v>3537702.6217899998</v>
      </c>
      <c r="O335" s="1407">
        <v>5027.8525525347795</v>
      </c>
      <c r="P335" s="1398">
        <v>168441.41999999998</v>
      </c>
      <c r="Q335" s="1398">
        <v>3118372</v>
      </c>
      <c r="R335" s="1602">
        <f t="shared" si="27"/>
        <v>342153.04559887951</v>
      </c>
      <c r="S335" s="1604">
        <v>18481.677252745987</v>
      </c>
      <c r="T335" s="1981">
        <v>33384434.916340001</v>
      </c>
      <c r="U335" s="1983">
        <v>1193012006.7699497</v>
      </c>
      <c r="V335" s="1981">
        <v>68227.808084770004</v>
      </c>
      <c r="W335" s="1982">
        <v>202198.71435598002</v>
      </c>
      <c r="X335" s="2731">
        <f t="shared" si="26"/>
        <v>270426.52244075004</v>
      </c>
      <c r="Y335" s="217">
        <v>-25.5</v>
      </c>
      <c r="Z335" s="1246"/>
      <c r="AA335" s="1246"/>
    </row>
    <row r="336" spans="1:27">
      <c r="A336" s="53">
        <f t="shared" si="28"/>
        <v>2024.03</v>
      </c>
      <c r="B336" s="141">
        <v>72078831.283140004</v>
      </c>
      <c r="C336" s="2382">
        <f t="shared" si="24"/>
        <v>53383128.367040008</v>
      </c>
      <c r="D336" s="3504">
        <v>8791289.59124</v>
      </c>
      <c r="E336" s="151">
        <v>21497420.901799999</v>
      </c>
      <c r="F336" s="3504">
        <v>3537834.8821900003</v>
      </c>
      <c r="G336" s="151">
        <v>7500109.2191700004</v>
      </c>
      <c r="H336" s="3504">
        <v>8067513.0735499999</v>
      </c>
      <c r="I336" s="151">
        <v>3271610.9033099995</v>
      </c>
      <c r="J336" s="3504">
        <v>717349.79577999993</v>
      </c>
      <c r="K336" s="151">
        <v>11487913.72144</v>
      </c>
      <c r="L336" s="3504">
        <v>1056950.76134</v>
      </c>
      <c r="M336" s="151">
        <v>2007903.64638</v>
      </c>
      <c r="N336" s="1396">
        <v>4142934.78694</v>
      </c>
      <c r="O336" s="1407">
        <v>5512.639560093894</v>
      </c>
      <c r="P336" s="1398">
        <v>169541.41999999998</v>
      </c>
      <c r="Q336" s="1398">
        <v>3355763</v>
      </c>
      <c r="R336" s="1602">
        <f t="shared" si="27"/>
        <v>425139.95272152382</v>
      </c>
      <c r="S336" s="1604">
        <v>21479.118544170135</v>
      </c>
      <c r="T336" s="1981">
        <v>38681622.090280004</v>
      </c>
      <c r="U336" s="1983">
        <v>1422932963.1105106</v>
      </c>
      <c r="V336" s="1981">
        <v>76183.683327359991</v>
      </c>
      <c r="W336" s="1982">
        <v>246321.00168962002</v>
      </c>
      <c r="X336" s="2731">
        <f>V336+W336</f>
        <v>322504.68501698005</v>
      </c>
      <c r="Y336" s="217">
        <v>-12.6</v>
      </c>
      <c r="Z336" s="1246"/>
      <c r="AA336" s="1246"/>
    </row>
    <row r="337" spans="1:25">
      <c r="A337" s="53">
        <f t="shared" si="28"/>
        <v>2024.04</v>
      </c>
      <c r="B337" s="141">
        <v>70866247.681170002</v>
      </c>
      <c r="C337" s="2382">
        <f t="shared" si="24"/>
        <v>52505387.082249999</v>
      </c>
      <c r="D337" s="3504">
        <v>7779905.3837699993</v>
      </c>
      <c r="E337" s="151">
        <v>21139222.96353</v>
      </c>
      <c r="F337" s="3504">
        <v>3397965.6373099992</v>
      </c>
      <c r="G337" s="151">
        <v>7832630.1563699991</v>
      </c>
      <c r="H337" s="3504">
        <v>8361349.8979500001</v>
      </c>
      <c r="I337" s="151">
        <v>3246564.9490500004</v>
      </c>
      <c r="J337" s="3504">
        <v>747748.09426999989</v>
      </c>
      <c r="K337" s="151">
        <v>10834011.883019999</v>
      </c>
      <c r="L337" s="3504">
        <v>1607575.2812200002</v>
      </c>
      <c r="M337" s="151">
        <v>1977489.0006600001</v>
      </c>
      <c r="N337" s="1396">
        <v>3941784.43402</v>
      </c>
      <c r="O337" s="1407">
        <v>5821.49109562386</v>
      </c>
      <c r="P337" s="1398">
        <v>169541.41999999998</v>
      </c>
      <c r="Q337" s="1398">
        <v>3280702</v>
      </c>
      <c r="R337" s="1602">
        <f t="shared" si="27"/>
        <v>417987.81490192784</v>
      </c>
      <c r="S337" s="1604">
        <v>21600.94018937715</v>
      </c>
      <c r="T337" s="1981">
        <v>40478838.531090006</v>
      </c>
      <c r="U337" s="1983">
        <v>1335118161.8884993</v>
      </c>
      <c r="V337" s="1981">
        <v>75100.788995840005</v>
      </c>
      <c r="W337" s="1982">
        <v>233546.16791237003</v>
      </c>
      <c r="X337" s="2731">
        <f t="shared" si="26"/>
        <v>308646.95690821006</v>
      </c>
      <c r="Y337" s="217">
        <v>-7.3</v>
      </c>
    </row>
    <row r="338" spans="1:25">
      <c r="A338" s="53">
        <f t="shared" si="28"/>
        <v>2024.05</v>
      </c>
      <c r="B338" s="141">
        <v>75252130.362739995</v>
      </c>
      <c r="C338" s="2382">
        <f t="shared" si="24"/>
        <v>55334203.48765</v>
      </c>
      <c r="D338" s="3504">
        <v>7580533.8571699997</v>
      </c>
      <c r="E338" s="151">
        <v>22777304.707660001</v>
      </c>
      <c r="F338" s="3504">
        <v>3600529.1269099996</v>
      </c>
      <c r="G338" s="151">
        <v>8552906.0932500008</v>
      </c>
      <c r="H338" s="3504">
        <v>8731829.0273300018</v>
      </c>
      <c r="I338" s="151">
        <v>3308230.8777899994</v>
      </c>
      <c r="J338" s="3504">
        <v>782869.79753999994</v>
      </c>
      <c r="K338" s="151">
        <v>11445260.5208</v>
      </c>
      <c r="L338" s="3504">
        <v>2064334.50092</v>
      </c>
      <c r="M338" s="151">
        <v>2476529.6753500002</v>
      </c>
      <c r="N338" s="1396">
        <v>3931802.17802</v>
      </c>
      <c r="O338" s="1407">
        <v>6034.4821156199587</v>
      </c>
      <c r="P338" s="1398">
        <v>169219.41999999998</v>
      </c>
      <c r="Q338" s="1398">
        <v>3279573</v>
      </c>
      <c r="R338" s="1602">
        <f t="shared" si="27"/>
        <v>444701.50271605945</v>
      </c>
      <c r="S338" s="1604">
        <v>22945.709811228469</v>
      </c>
      <c r="T338" s="1981">
        <v>51848591.733049996</v>
      </c>
      <c r="U338" s="1983">
        <v>1412879732.6910794</v>
      </c>
      <c r="V338" s="1981">
        <v>76678.472006270007</v>
      </c>
      <c r="W338" s="1982">
        <v>250784.57912740004</v>
      </c>
      <c r="X338" s="2731">
        <f t="shared" si="26"/>
        <v>327463.05113367003</v>
      </c>
      <c r="Y338" s="217">
        <v>-7.3</v>
      </c>
    </row>
    <row r="339" spans="1:25">
      <c r="A339" s="53">
        <f t="shared" si="28"/>
        <v>2024.06</v>
      </c>
      <c r="B339" s="141">
        <v>80526094.615150005</v>
      </c>
      <c r="C339" s="2382">
        <f t="shared" si="24"/>
        <v>58715460.144089997</v>
      </c>
      <c r="D339" s="3504">
        <v>8701383.9671299998</v>
      </c>
      <c r="E339" s="151">
        <v>23153269.325709999</v>
      </c>
      <c r="F339" s="3504">
        <v>3991765.0442999997</v>
      </c>
      <c r="G339" s="151">
        <v>9157784.889560001</v>
      </c>
      <c r="H339" s="3504">
        <v>9318929.8628599998</v>
      </c>
      <c r="I339" s="151">
        <v>3523776.6160200005</v>
      </c>
      <c r="J339" s="3504">
        <v>868550.43851000001</v>
      </c>
      <c r="K339" s="151">
        <v>11976388.24487</v>
      </c>
      <c r="L339" s="3504">
        <v>2219019.4343900005</v>
      </c>
      <c r="M339" s="151">
        <v>2863369.6005199999</v>
      </c>
      <c r="N339" s="1396">
        <v>4751857.1912800008</v>
      </c>
      <c r="O339" s="1407">
        <v>6208.3305065337663</v>
      </c>
      <c r="P339" s="1398">
        <v>169219.41999999998</v>
      </c>
      <c r="Q339" s="1398">
        <v>3238957</v>
      </c>
      <c r="R339" s="1602">
        <f t="shared" si="27"/>
        <v>475867.92706859543</v>
      </c>
      <c r="S339" s="1604">
        <v>24861.736236433517</v>
      </c>
      <c r="T339" s="1981">
        <v>44388418.876939997</v>
      </c>
      <c r="U339" s="1983">
        <v>1532919328.725981</v>
      </c>
      <c r="V339" s="1981">
        <v>71788.875613010008</v>
      </c>
      <c r="W339" s="1982">
        <v>262472.69984779006</v>
      </c>
      <c r="X339" s="2731">
        <f t="shared" si="26"/>
        <v>334261.57546080009</v>
      </c>
      <c r="Y339" s="217">
        <v>-21.9</v>
      </c>
    </row>
    <row r="340" spans="1:25">
      <c r="A340" s="53">
        <f t="shared" si="28"/>
        <v>2024.07</v>
      </c>
      <c r="B340" s="141">
        <v>83284856.042469993</v>
      </c>
      <c r="C340" s="2382">
        <f t="shared" si="24"/>
        <v>61074948.527269997</v>
      </c>
      <c r="D340" s="3504">
        <v>8699766.440200001</v>
      </c>
      <c r="E340" s="151">
        <v>24402313.031730004</v>
      </c>
      <c r="F340" s="3504">
        <v>4211606.2040199991</v>
      </c>
      <c r="G340" s="151">
        <v>9664558.546289999</v>
      </c>
      <c r="H340" s="3504">
        <v>9354148.7403099984</v>
      </c>
      <c r="I340" s="151">
        <v>3844058.5167699996</v>
      </c>
      <c r="J340" s="3504">
        <v>898497.04795000004</v>
      </c>
      <c r="K340" s="151">
        <v>11844025.061740002</v>
      </c>
      <c r="L340" s="3504">
        <v>2271789.8264099997</v>
      </c>
      <c r="M340" s="151">
        <v>3305139.3712600009</v>
      </c>
      <c r="N340" s="1396">
        <v>4788953.2557899999</v>
      </c>
      <c r="O340" s="1407">
        <v>6389.7281502001561</v>
      </c>
      <c r="P340" s="1398">
        <v>169219.41999999998</v>
      </c>
      <c r="Q340" s="1398">
        <v>3262944</v>
      </c>
      <c r="R340" s="1602">
        <f t="shared" si="27"/>
        <v>492170.79246855946</v>
      </c>
      <c r="S340" s="1604">
        <v>25524.451551258622</v>
      </c>
      <c r="T340" s="1981">
        <v>50971855.900019981</v>
      </c>
      <c r="U340" s="1983">
        <v>1588377398.8490007</v>
      </c>
      <c r="V340" s="1981">
        <v>82438.572514099986</v>
      </c>
      <c r="W340" s="1982">
        <v>266271.20552587998</v>
      </c>
      <c r="X340" s="2731">
        <f t="shared" si="26"/>
        <v>348709.77803997998</v>
      </c>
      <c r="Y340" s="217">
        <v>-15.7</v>
      </c>
    </row>
    <row r="341" spans="1:25">
      <c r="A341" s="53">
        <f t="shared" si="28"/>
        <v>2024.08</v>
      </c>
      <c r="B341" s="141">
        <v>88725955.339699984</v>
      </c>
      <c r="C341" s="2382">
        <f t="shared" si="24"/>
        <v>65809234.306479983</v>
      </c>
      <c r="D341" s="3504">
        <v>8999109.4296899978</v>
      </c>
      <c r="E341" s="151">
        <v>26409673.209289998</v>
      </c>
      <c r="F341" s="3504">
        <v>4333484.4684799993</v>
      </c>
      <c r="G341" s="151">
        <v>10380493.09434</v>
      </c>
      <c r="H341" s="3504">
        <v>10242986.046940001</v>
      </c>
      <c r="I341" s="151">
        <v>4365475.6672600005</v>
      </c>
      <c r="J341" s="3504">
        <v>1078012.3904800001</v>
      </c>
      <c r="K341" s="151">
        <v>12840432.080710001</v>
      </c>
      <c r="L341" s="3504">
        <v>1756637.2419700001</v>
      </c>
      <c r="M341" s="151">
        <v>2791522.2441699998</v>
      </c>
      <c r="N341" s="1396">
        <v>5528129.4663699986</v>
      </c>
      <c r="O341" s="1407">
        <v>6619.871908004372</v>
      </c>
      <c r="P341" s="1398">
        <v>169219.41999999998</v>
      </c>
      <c r="Q341" s="1398">
        <v>3268344</v>
      </c>
      <c r="R341" s="1602">
        <f t="shared" si="27"/>
        <v>524324.89923260571</v>
      </c>
      <c r="S341" s="1604">
        <v>27147.067548489387</v>
      </c>
      <c r="T341" s="1981">
        <v>54573573.029189996</v>
      </c>
      <c r="U341" s="1983">
        <v>1668468303.9195092</v>
      </c>
      <c r="V341" s="1981">
        <v>81301.45229577001</v>
      </c>
      <c r="W341" s="1982">
        <v>278883.95968672005</v>
      </c>
      <c r="X341" s="2731">
        <f>V341+W341</f>
        <v>360185.41198249004</v>
      </c>
      <c r="Y341" s="217">
        <v>-10.5</v>
      </c>
    </row>
    <row r="342" spans="1:25">
      <c r="A342" s="53">
        <f t="shared" si="28"/>
        <v>2024.09</v>
      </c>
      <c r="B342" s="141">
        <v>81345676.58179</v>
      </c>
      <c r="C342" s="2382">
        <f t="shared" si="24"/>
        <v>60148413.02837</v>
      </c>
      <c r="D342" s="3504">
        <v>9053588.8489200007</v>
      </c>
      <c r="E342" s="151">
        <v>22942815.899199996</v>
      </c>
      <c r="F342" s="3504">
        <v>3935465.2061099992</v>
      </c>
      <c r="G342" s="151">
        <v>9456001.3167499993</v>
      </c>
      <c r="H342" s="3504">
        <v>9591985.9621000029</v>
      </c>
      <c r="I342" s="151">
        <v>4169657.0030300003</v>
      </c>
      <c r="J342" s="3504">
        <v>998898.79226000002</v>
      </c>
      <c r="K342" s="151">
        <v>12592280.813620001</v>
      </c>
      <c r="L342" s="3504">
        <v>1401111.2921799999</v>
      </c>
      <c r="M342" s="151">
        <v>2655776.7559700003</v>
      </c>
      <c r="N342" s="1396">
        <v>4548094.6916499995</v>
      </c>
      <c r="O342" s="1407">
        <v>6797.3368054012781</v>
      </c>
      <c r="P342" s="1398">
        <v>170019.41999999998</v>
      </c>
      <c r="Q342" s="1398">
        <v>2976365</v>
      </c>
      <c r="R342" s="1602">
        <f t="shared" si="27"/>
        <v>478449.32409362419</v>
      </c>
      <c r="S342" s="1604">
        <v>27330.544668342092</v>
      </c>
      <c r="T342" s="1981">
        <v>50687347.567369998</v>
      </c>
      <c r="U342" s="1983">
        <v>1585125588.4058893</v>
      </c>
      <c r="V342" s="1981">
        <v>84173.028821669999</v>
      </c>
      <c r="W342" s="1982">
        <v>266877.20449706999</v>
      </c>
      <c r="X342" s="2731">
        <f t="shared" si="26"/>
        <v>351050.23331873998</v>
      </c>
      <c r="Y342" s="217">
        <v>-5.2</v>
      </c>
    </row>
    <row r="343" spans="1:25">
      <c r="A343" s="53">
        <f t="shared" si="28"/>
        <v>2024.1</v>
      </c>
      <c r="B343" s="141">
        <v>88746721.894120008</v>
      </c>
      <c r="C343" s="2382">
        <f t="shared" si="24"/>
        <v>65016559.288659997</v>
      </c>
      <c r="D343" s="3504">
        <v>10106783.792230001</v>
      </c>
      <c r="E343" s="151">
        <v>24437518.50575</v>
      </c>
      <c r="F343" s="3504">
        <v>4207246.2802400002</v>
      </c>
      <c r="G343" s="151">
        <v>10156196.0134</v>
      </c>
      <c r="H343" s="3504">
        <v>10447651.080540001</v>
      </c>
      <c r="I343" s="151">
        <v>4580925.5427099997</v>
      </c>
      <c r="J343" s="3504">
        <v>1080238.0737900001</v>
      </c>
      <c r="K343" s="151">
        <v>13573070.966399999</v>
      </c>
      <c r="L343" s="3504">
        <v>1764624.8378899998</v>
      </c>
      <c r="M343" s="151">
        <v>3326527.3577099997</v>
      </c>
      <c r="N343" s="1396">
        <v>5065939.4434599997</v>
      </c>
      <c r="O343" s="1407">
        <v>6927.0662683924156</v>
      </c>
      <c r="P343" s="1398">
        <v>170019.41999999998</v>
      </c>
      <c r="Q343" s="1398">
        <v>3144250</v>
      </c>
      <c r="R343" s="1602">
        <f t="shared" si="27"/>
        <v>521979.91202487343</v>
      </c>
      <c r="S343" s="1604">
        <v>28225.084485686573</v>
      </c>
      <c r="T343" s="1981">
        <v>55187797.650370002</v>
      </c>
      <c r="U343" s="1983">
        <v>1698369961.7121701</v>
      </c>
      <c r="V343" s="1981">
        <v>94775.393464510009</v>
      </c>
      <c r="W343" s="1982">
        <v>305985.81659751001</v>
      </c>
      <c r="X343" s="2731">
        <f>V343+W343</f>
        <v>400761.21006201999</v>
      </c>
      <c r="Y343" s="217">
        <v>2.9</v>
      </c>
    </row>
    <row r="344" spans="1:25">
      <c r="A344" s="53">
        <f t="shared" si="28"/>
        <v>2024.11</v>
      </c>
      <c r="B344" s="141">
        <v>93514285.80058001</v>
      </c>
      <c r="C344" s="2382">
        <f t="shared" si="24"/>
        <v>66664390.959810004</v>
      </c>
      <c r="D344" s="3504">
        <v>11804336.822590001</v>
      </c>
      <c r="E344" s="151">
        <v>23708222.251900002</v>
      </c>
      <c r="F344" s="3504">
        <v>4353599.0325600002</v>
      </c>
      <c r="G344" s="151">
        <v>10196313.85018</v>
      </c>
      <c r="H344" s="3504">
        <v>10835461.457670001</v>
      </c>
      <c r="I344" s="151">
        <v>4667517.2249399992</v>
      </c>
      <c r="J344" s="3504">
        <v>1098940.3199700001</v>
      </c>
      <c r="K344" s="151">
        <v>14196977.80267</v>
      </c>
      <c r="L344" s="3504">
        <v>1928963.3613399998</v>
      </c>
      <c r="M344" s="151">
        <v>3359115.4333000001</v>
      </c>
      <c r="N344" s="1396">
        <v>7364838.2434600005</v>
      </c>
      <c r="O344" s="1407">
        <v>7033.6856099462739</v>
      </c>
      <c r="P344" s="1398">
        <v>170019.41999999998</v>
      </c>
      <c r="Q344" s="1398">
        <v>3073293</v>
      </c>
      <c r="R344" s="1602">
        <f t="shared" si="27"/>
        <v>550021.20228724473</v>
      </c>
      <c r="S344" s="1604">
        <v>30428.04112740959</v>
      </c>
      <c r="T344" s="1981">
        <v>68103931.484689996</v>
      </c>
      <c r="U344" s="1983">
        <v>1824221773.7898092</v>
      </c>
      <c r="V344" s="1981">
        <v>97909.669233680004</v>
      </c>
      <c r="W344" s="1982">
        <v>314577.67950494</v>
      </c>
      <c r="X344" s="2731">
        <f>V344+W344</f>
        <v>412487.34873862</v>
      </c>
      <c r="Y344" s="217">
        <v>-1.7</v>
      </c>
    </row>
    <row r="345" spans="1:25">
      <c r="A345" s="53">
        <f t="shared" si="28"/>
        <v>2024.12</v>
      </c>
      <c r="B345" s="141">
        <v>114552731.49950001</v>
      </c>
      <c r="C345" s="2382">
        <f t="shared" si="24"/>
        <v>84688068.878539994</v>
      </c>
      <c r="D345" s="3504">
        <v>18456832.936439998</v>
      </c>
      <c r="E345" s="151">
        <v>30189705.004050002</v>
      </c>
      <c r="F345" s="3504">
        <v>5416117.6281300001</v>
      </c>
      <c r="G345" s="151">
        <v>10736156.506170003</v>
      </c>
      <c r="H345" s="3504">
        <v>13553865.642510001</v>
      </c>
      <c r="I345" s="151">
        <v>5046530.7860999992</v>
      </c>
      <c r="J345" s="3504">
        <v>1288860.3751399999</v>
      </c>
      <c r="K345" s="151">
        <v>14913208.56562</v>
      </c>
      <c r="L345" s="3504">
        <v>2593233.8962699999</v>
      </c>
      <c r="M345" s="151">
        <v>3392128.2370300004</v>
      </c>
      <c r="N345" s="1396">
        <v>8966091.9220400006</v>
      </c>
      <c r="O345" s="1407">
        <v>7147.2828761254477</v>
      </c>
      <c r="P345" s="1398">
        <v>170019.41999999998</v>
      </c>
      <c r="Q345" s="1398">
        <v>3356253</v>
      </c>
      <c r="R345" s="1602">
        <f t="shared" si="27"/>
        <v>673762.62958372652</v>
      </c>
      <c r="S345" s="1604">
        <v>34131.137163825246</v>
      </c>
      <c r="T345" s="1981">
        <v>60421779.605709992</v>
      </c>
      <c r="U345" s="1983">
        <v>2228212726.1279593</v>
      </c>
      <c r="V345" s="1981">
        <v>109167.28847301</v>
      </c>
      <c r="W345" s="1982">
        <v>336084.65973726998</v>
      </c>
      <c r="X345" s="2731">
        <f>V345+W345</f>
        <v>445251.94821027998</v>
      </c>
      <c r="Y345" s="217">
        <v>17.7</v>
      </c>
    </row>
    <row r="346" spans="1:25">
      <c r="A346" s="53">
        <f t="shared" si="28"/>
        <v>2025.01</v>
      </c>
      <c r="B346" s="141">
        <v>94245623.66189</v>
      </c>
      <c r="C346" s="2382">
        <f t="shared" si="24"/>
        <v>67880912.900660008</v>
      </c>
      <c r="D346" s="3504">
        <v>11837495.907919999</v>
      </c>
      <c r="E346" s="151">
        <v>24149898.38022</v>
      </c>
      <c r="F346" s="3504">
        <v>4255606.6292599998</v>
      </c>
      <c r="G346" s="151">
        <v>10048857.93706</v>
      </c>
      <c r="H346" s="3504">
        <v>11615878.47336</v>
      </c>
      <c r="I346" s="151">
        <v>4845227.0030899988</v>
      </c>
      <c r="J346" s="3504">
        <v>1127948.56975</v>
      </c>
      <c r="K346" s="151">
        <v>14033846.274809999</v>
      </c>
      <c r="L346" s="3504">
        <v>2053916.1135099998</v>
      </c>
      <c r="M346" s="151">
        <v>3271012.24339</v>
      </c>
      <c r="N346" s="1396">
        <v>7005936.12952</v>
      </c>
      <c r="O346" s="1407">
        <v>7288.6645284128208</v>
      </c>
      <c r="P346" s="1398">
        <v>170019.41999999998</v>
      </c>
      <c r="Q346" s="1398">
        <v>2946412</v>
      </c>
      <c r="R346" s="1602">
        <f t="shared" si="27"/>
        <v>554322.69832405029</v>
      </c>
      <c r="S346" s="1604">
        <v>31986.573385490552</v>
      </c>
      <c r="T346" s="1981">
        <v>54360612.35328</v>
      </c>
      <c r="U346" s="1983">
        <v>1870036186.8914304</v>
      </c>
      <c r="V346" s="1981">
        <v>93949.148799550007</v>
      </c>
      <c r="W346" s="1982">
        <v>270188.63132331002</v>
      </c>
      <c r="X346" s="2731">
        <f t="shared" si="26"/>
        <v>364137.78012286004</v>
      </c>
      <c r="Y346" s="217">
        <v>25.5</v>
      </c>
    </row>
    <row r="347" spans="1:25">
      <c r="A347" s="53">
        <f t="shared" si="28"/>
        <v>2025.02</v>
      </c>
      <c r="B347" s="141">
        <v>89810091.929910004</v>
      </c>
      <c r="C347" s="2382">
        <f t="shared" si="24"/>
        <v>65913676.282030009</v>
      </c>
      <c r="D347" s="3504">
        <v>10735327.61565</v>
      </c>
      <c r="E347" s="151">
        <v>23673352.788760003</v>
      </c>
      <c r="F347" s="3504">
        <v>4128691.4775100001</v>
      </c>
      <c r="G347" s="151">
        <v>9893366.8900400009</v>
      </c>
      <c r="H347" s="3504">
        <v>11767061.744899999</v>
      </c>
      <c r="I347" s="151">
        <v>4583070.3211700004</v>
      </c>
      <c r="J347" s="3504">
        <v>1132805.4439999999</v>
      </c>
      <c r="K347" s="151">
        <v>12692179.903719997</v>
      </c>
      <c r="L347" s="3504">
        <v>1736548.6956600002</v>
      </c>
      <c r="M347" s="151">
        <v>2742410.3957500006</v>
      </c>
      <c r="N347" s="1396">
        <v>6725276.6527499994</v>
      </c>
      <c r="O347" s="1407">
        <v>7456.5414017493567</v>
      </c>
      <c r="P347" s="1398">
        <v>170019.41999999998</v>
      </c>
      <c r="Q347" s="1398">
        <v>2747413</v>
      </c>
      <c r="R347" s="1602">
        <f t="shared" si="27"/>
        <v>528234.3154088516</v>
      </c>
      <c r="S347" s="1604">
        <v>32688.966649684633</v>
      </c>
      <c r="T347" s="1981">
        <v>52298665.55793</v>
      </c>
      <c r="U347" s="1983">
        <v>1792366127.5688396</v>
      </c>
      <c r="V347" s="1981">
        <v>89397.919518950002</v>
      </c>
      <c r="W347" s="1982">
        <v>266256.23368861998</v>
      </c>
      <c r="X347" s="2731">
        <f t="shared" si="26"/>
        <v>355654.15320756997</v>
      </c>
      <c r="Y347" s="217">
        <v>24</v>
      </c>
    </row>
    <row r="348" spans="1:25">
      <c r="A348" s="53">
        <f t="shared" si="28"/>
        <v>2025.03</v>
      </c>
      <c r="B348" s="141">
        <v>105551814.17307</v>
      </c>
      <c r="C348" s="2382">
        <f t="shared" si="24"/>
        <v>77899035.022759989</v>
      </c>
      <c r="D348" s="3504">
        <v>11564579.066960001</v>
      </c>
      <c r="E348" s="151">
        <v>28539746.097749993</v>
      </c>
      <c r="F348" s="3504">
        <v>5009528.9325100007</v>
      </c>
      <c r="G348" s="151">
        <v>11454429.99893</v>
      </c>
      <c r="H348" s="3504">
        <v>14418880.249090003</v>
      </c>
      <c r="I348" s="151">
        <v>5612765.5621800004</v>
      </c>
      <c r="J348" s="3504">
        <v>1299105.11534</v>
      </c>
      <c r="K348" s="151">
        <v>15487416.195139999</v>
      </c>
      <c r="L348" s="3504">
        <v>2174695.8426100002</v>
      </c>
      <c r="M348" s="151">
        <v>3344511.0996999992</v>
      </c>
      <c r="N348" s="1396">
        <v>6646156.0128599992</v>
      </c>
      <c r="O348" s="1407">
        <v>7693.4762358698918</v>
      </c>
      <c r="P348" s="1398">
        <v>168919.41999999998</v>
      </c>
      <c r="Q348" s="1398">
        <v>3102919</v>
      </c>
      <c r="R348" s="1602">
        <f t="shared" si="27"/>
        <v>624864.88630537572</v>
      </c>
      <c r="S348" s="1604">
        <v>34016.941522827379</v>
      </c>
      <c r="T348" s="1981">
        <v>60961271.327940017</v>
      </c>
      <c r="U348" s="1983">
        <v>2045404050.6446304</v>
      </c>
      <c r="V348" s="1981">
        <v>99149.523297639971</v>
      </c>
      <c r="W348" s="1982">
        <v>320760.54422604997</v>
      </c>
      <c r="X348" s="2731">
        <f t="shared" si="26"/>
        <v>419910.06752368994</v>
      </c>
      <c r="Y348" s="217">
        <v>10.5</v>
      </c>
    </row>
    <row r="349" spans="1:25">
      <c r="A349" s="53">
        <f t="shared" si="28"/>
        <v>2025.04</v>
      </c>
      <c r="B349" s="141">
        <v>104179570.33244999</v>
      </c>
      <c r="C349" s="2382">
        <f t="shared" si="24"/>
        <v>78773685.021779999</v>
      </c>
      <c r="D349" s="3504">
        <v>10479372.728029998</v>
      </c>
      <c r="E349" s="151">
        <v>30122377.07866</v>
      </c>
      <c r="F349" s="3504">
        <v>5424887.2916799998</v>
      </c>
      <c r="G349" s="151">
        <v>11385817.35997</v>
      </c>
      <c r="H349" s="3504">
        <v>14852868.27169</v>
      </c>
      <c r="I349" s="151">
        <v>5200863.4836899983</v>
      </c>
      <c r="J349" s="3504">
        <v>1307498.80806</v>
      </c>
      <c r="K349" s="151">
        <v>14327735.151590001</v>
      </c>
      <c r="L349" s="3504">
        <v>2497380.7209200002</v>
      </c>
      <c r="M349" s="151">
        <v>2605518.7297299993</v>
      </c>
      <c r="N349" s="1396">
        <v>5975250.7084299987</v>
      </c>
      <c r="O349" s="1407">
        <v>7909.2849450834183</v>
      </c>
      <c r="P349" s="1398">
        <v>168919.41999999998</v>
      </c>
      <c r="Q349" s="1398">
        <v>3058844</v>
      </c>
      <c r="R349" s="1602">
        <f t="shared" si="27"/>
        <v>616741.22686692863</v>
      </c>
      <c r="S349" s="1604">
        <v>34058.477755795982</v>
      </c>
      <c r="T349" s="1981">
        <v>54016991.231709994</v>
      </c>
      <c r="U349" s="1983">
        <v>1975378384.0826302</v>
      </c>
      <c r="V349" s="1981">
        <v>97308.370874419998</v>
      </c>
      <c r="W349" s="1982">
        <v>300109.29394616006</v>
      </c>
      <c r="X349" s="2731">
        <f t="shared" si="26"/>
        <v>397417.66482058004</v>
      </c>
      <c r="Y349" s="217">
        <v>3.7</v>
      </c>
    </row>
    <row r="350" spans="1:25">
      <c r="A350" s="53">
        <f t="shared" si="28"/>
        <v>2025.05</v>
      </c>
      <c r="B350" s="141">
        <v>104122968.11656001</v>
      </c>
      <c r="C350" s="2382">
        <f t="shared" si="24"/>
        <v>76920837.573679999</v>
      </c>
      <c r="D350" s="3504">
        <v>10380608.690210002</v>
      </c>
      <c r="E350" s="151">
        <v>29200643.318599999</v>
      </c>
      <c r="F350" s="3504">
        <v>5257417.9272299996</v>
      </c>
      <c r="G350" s="151">
        <v>11549173.935740001</v>
      </c>
      <c r="H350" s="3504">
        <v>14516325.689239999</v>
      </c>
      <c r="I350" s="151">
        <v>4688998.6115100002</v>
      </c>
      <c r="J350" s="3504">
        <v>1327669.4011499998</v>
      </c>
      <c r="K350" s="151">
        <v>14949864.577569999</v>
      </c>
      <c r="L350" s="3504">
        <v>2613951.0957900002</v>
      </c>
      <c r="M350" s="151">
        <v>3265861.9851700002</v>
      </c>
      <c r="N350" s="1396">
        <v>6372452.884349999</v>
      </c>
      <c r="O350" s="1407">
        <v>8003.9161200777544</v>
      </c>
      <c r="P350" s="1398">
        <v>168919.41999999998</v>
      </c>
      <c r="Q350" s="1398">
        <v>2931043</v>
      </c>
      <c r="R350" s="1602">
        <f t="shared" si="27"/>
        <v>616406.1427428535</v>
      </c>
      <c r="S350" s="1604">
        <f t="shared" ref="S350:S394" si="29">$B350/Q350*1000</f>
        <v>35524.203540023133</v>
      </c>
      <c r="T350" s="1981">
        <v>70096111.708039984</v>
      </c>
      <c r="U350" s="1983">
        <v>1987424310.2572098</v>
      </c>
      <c r="V350" s="1981">
        <v>89826.630386010031</v>
      </c>
      <c r="W350" s="1982">
        <v>313682.80124081997</v>
      </c>
      <c r="X350" s="2731">
        <f t="shared" si="26"/>
        <v>403509.43162683002</v>
      </c>
      <c r="Y350" s="217">
        <v>-2.9</v>
      </c>
    </row>
    <row r="351" spans="1:25">
      <c r="A351" s="53">
        <f t="shared" si="28"/>
        <v>2025.06</v>
      </c>
      <c r="B351" s="141">
        <v>106553866.68417999</v>
      </c>
      <c r="C351" s="2382">
        <f t="shared" si="24"/>
        <v>77454193.110320002</v>
      </c>
      <c r="D351" s="3504">
        <v>10153748.344530003</v>
      </c>
      <c r="E351" s="151">
        <v>30117120.494370002</v>
      </c>
      <c r="F351" s="3504">
        <v>5365867.8162600007</v>
      </c>
      <c r="G351" s="151">
        <v>11532980.267419998</v>
      </c>
      <c r="H351" s="3504">
        <v>14507202.849890001</v>
      </c>
      <c r="I351" s="151">
        <v>4388301.4157400001</v>
      </c>
      <c r="J351" s="3504">
        <v>1388971.9221100002</v>
      </c>
      <c r="K351" s="151">
        <v>14508550.283489998</v>
      </c>
      <c r="L351" s="3504">
        <v>3608484.1334799994</v>
      </c>
      <c r="M351" s="151">
        <v>3779511.6576399999</v>
      </c>
      <c r="N351" s="1396">
        <v>7203127.4992500013</v>
      </c>
      <c r="O351" s="1407">
        <v>8077.4726292862169</v>
      </c>
      <c r="P351" s="1398">
        <v>169342.41999999998</v>
      </c>
      <c r="Q351" s="1398">
        <v>2903956</v>
      </c>
      <c r="R351" s="1602">
        <f t="shared" si="27"/>
        <v>629221.35330403328</v>
      </c>
      <c r="S351" s="1604">
        <f t="shared" si="29"/>
        <v>36692.658802054852</v>
      </c>
      <c r="T351" s="1981">
        <v>60098462.717719987</v>
      </c>
      <c r="U351" s="1983">
        <v>2009502291.9928498</v>
      </c>
      <c r="V351" s="947">
        <v>83714.799605919994</v>
      </c>
      <c r="W351" s="141">
        <v>309648.31264016998</v>
      </c>
      <c r="X351" s="2731">
        <f t="shared" si="26"/>
        <v>393363.11224608996</v>
      </c>
      <c r="Y351" s="217">
        <v>-0.5</v>
      </c>
    </row>
    <row r="352" spans="1:25">
      <c r="A352" s="53">
        <f t="shared" si="28"/>
        <v>2025.07</v>
      </c>
      <c r="B352" s="141">
        <v>107363165.25763001</v>
      </c>
      <c r="C352" s="2382">
        <f t="shared" si="24"/>
        <v>79636514.404280007</v>
      </c>
      <c r="D352" s="3504">
        <v>10550295.548729999</v>
      </c>
      <c r="E352" s="151">
        <v>30814767.969280008</v>
      </c>
      <c r="F352" s="3504">
        <v>5373931.8256300008</v>
      </c>
      <c r="G352" s="151">
        <v>11743428.554729998</v>
      </c>
      <c r="H352" s="3504">
        <v>14958569.01936</v>
      </c>
      <c r="I352" s="151">
        <v>4786983.3108000001</v>
      </c>
      <c r="J352" s="3504">
        <v>1408538.1757499999</v>
      </c>
      <c r="K352" s="151">
        <v>14546379.358769998</v>
      </c>
      <c r="L352" s="3504">
        <v>2841184.4362999992</v>
      </c>
      <c r="M352" s="151">
        <v>3141017.6748699998</v>
      </c>
      <c r="N352" s="1396">
        <v>7198069.3834100012</v>
      </c>
      <c r="O352" s="1407">
        <v>8201.2493957115457</v>
      </c>
      <c r="P352" s="1398">
        <v>168522.41999999998</v>
      </c>
      <c r="Q352" s="1398">
        <v>2938326</v>
      </c>
      <c r="R352" s="1602">
        <f t="shared" si="27"/>
        <v>637085.35195275513</v>
      </c>
      <c r="S352" s="1604">
        <f t="shared" si="29"/>
        <v>36538.888216498104</v>
      </c>
      <c r="T352" s="947">
        <v>65186222.729399994</v>
      </c>
      <c r="U352" s="190">
        <v>2059033274.1868203</v>
      </c>
      <c r="V352" s="947">
        <v>95932.933458600004</v>
      </c>
      <c r="W352" s="141">
        <v>317376.37519246002</v>
      </c>
      <c r="X352" s="2731">
        <f t="shared" si="26"/>
        <v>413309.30865106004</v>
      </c>
      <c r="Y352" s="217">
        <v>-2</v>
      </c>
    </row>
    <row r="353" spans="1:25">
      <c r="A353" s="53">
        <f t="shared" si="28"/>
        <v>2025.08</v>
      </c>
      <c r="B353" s="141">
        <v>110243904.5508</v>
      </c>
      <c r="C353" s="2382">
        <f t="shared" si="24"/>
        <v>81878958.766479999</v>
      </c>
      <c r="D353" s="3504">
        <v>10796768.119040001</v>
      </c>
      <c r="E353" s="151">
        <v>31557024.586849999</v>
      </c>
      <c r="F353" s="3504">
        <v>5759325.2001999989</v>
      </c>
      <c r="G353" s="151">
        <v>12074869.905730002</v>
      </c>
      <c r="H353" s="3504">
        <v>15390913.045229999</v>
      </c>
      <c r="I353" s="151">
        <v>4885347.1704799999</v>
      </c>
      <c r="J353" s="3504">
        <v>1414710.7389500001</v>
      </c>
      <c r="K353" s="151">
        <v>15163908.980970001</v>
      </c>
      <c r="L353" s="3504">
        <v>2386978.0077500003</v>
      </c>
      <c r="M353" s="151">
        <v>2938764.6109699998</v>
      </c>
      <c r="N353" s="1396">
        <v>7875294.1846299991</v>
      </c>
      <c r="O353" s="1407">
        <v>8331.6753233337931</v>
      </c>
      <c r="P353" s="1398">
        <v>169322.41999999998</v>
      </c>
      <c r="Q353" s="1398">
        <v>2985731</v>
      </c>
      <c r="R353" s="1602">
        <f t="shared" si="27"/>
        <v>651088.64231210493</v>
      </c>
      <c r="S353" s="1604">
        <f t="shared" si="29"/>
        <v>36923.589081132894</v>
      </c>
      <c r="T353" s="947">
        <v>69524860.755380005</v>
      </c>
      <c r="U353" s="190">
        <v>2106920638.1457007</v>
      </c>
      <c r="V353" s="947">
        <v>88753.795745679992</v>
      </c>
      <c r="W353" s="141">
        <v>319736.25428204006</v>
      </c>
      <c r="X353" s="2731">
        <f t="shared" si="26"/>
        <v>408490.05002772005</v>
      </c>
      <c r="Y353" s="217">
        <v>-2.6</v>
      </c>
    </row>
    <row r="354" spans="1:25">
      <c r="A354" s="53">
        <f t="shared" si="28"/>
        <v>2025.09</v>
      </c>
      <c r="B354" s="141">
        <v>103180531.12233002</v>
      </c>
      <c r="C354" s="2382">
        <f t="shared" si="24"/>
        <v>77080944.180440009</v>
      </c>
      <c r="D354" s="3504">
        <v>10464236.563940002</v>
      </c>
      <c r="E354" s="151">
        <v>29208808.656540003</v>
      </c>
      <c r="F354" s="3504">
        <v>5016114.5282300003</v>
      </c>
      <c r="G354" s="151">
        <v>12035585.279270001</v>
      </c>
      <c r="H354" s="3504">
        <v>14177909.418850001</v>
      </c>
      <c r="I354" s="151">
        <v>4911822.8102399996</v>
      </c>
      <c r="J354" s="3504">
        <v>1266466.9233700002</v>
      </c>
      <c r="K354" s="151">
        <v>14672106.128450001</v>
      </c>
      <c r="L354" s="3504">
        <v>1967426.87405</v>
      </c>
      <c r="M354" s="151">
        <v>2787477.3784899996</v>
      </c>
      <c r="N354" s="1396">
        <v>6672576.5608999999</v>
      </c>
      <c r="O354" s="1407">
        <v>8484.9294208455449</v>
      </c>
      <c r="P354" s="1398">
        <v>169912.41999999998</v>
      </c>
      <c r="Q354" s="1398">
        <v>2851552</v>
      </c>
      <c r="R354" s="1602">
        <f t="shared" si="27"/>
        <v>607257.14531245001</v>
      </c>
      <c r="S354" s="1604">
        <f t="shared" si="29"/>
        <v>36183.990725867887</v>
      </c>
      <c r="T354" s="947">
        <v>68331940.819189996</v>
      </c>
      <c r="U354" s="190">
        <v>1962362994.9592896</v>
      </c>
      <c r="V354" s="947">
        <v>90758.669120170001</v>
      </c>
      <c r="W354" s="141">
        <v>287852.66733751004</v>
      </c>
      <c r="X354" s="2731">
        <f t="shared" si="26"/>
        <v>378611.33645768004</v>
      </c>
      <c r="Y354" s="217">
        <v>-4.2</v>
      </c>
    </row>
    <row r="355" spans="1:25">
      <c r="A355" s="53">
        <f t="shared" si="28"/>
        <v>2025.1</v>
      </c>
      <c r="B355" s="141">
        <v>107605021.49569002</v>
      </c>
      <c r="C355" s="2382">
        <f t="shared" si="24"/>
        <v>80187414.691930011</v>
      </c>
      <c r="D355" s="3504">
        <v>11806456.38968</v>
      </c>
      <c r="E355" s="151">
        <v>29260841.690540001</v>
      </c>
      <c r="F355" s="3504">
        <v>4681499.7509500002</v>
      </c>
      <c r="G355" s="151">
        <v>11664000.980520001</v>
      </c>
      <c r="H355" s="3504">
        <v>15587000.738009999</v>
      </c>
      <c r="I355" s="151">
        <v>5664311.7695399988</v>
      </c>
      <c r="J355" s="3504">
        <v>1523303.3726900001</v>
      </c>
      <c r="K355" s="151">
        <v>15056295.079329999</v>
      </c>
      <c r="L355" s="3504">
        <v>2055039.42922</v>
      </c>
      <c r="M355" s="151">
        <v>3329129.8902000007</v>
      </c>
      <c r="N355" s="1396">
        <v>6977142.4050099999</v>
      </c>
      <c r="O355" s="1407">
        <v>8619.2720200058957</v>
      </c>
      <c r="P355" s="1398">
        <v>169912.41999999998</v>
      </c>
      <c r="Q355" s="1398">
        <v>2974473</v>
      </c>
      <c r="R355" s="1602">
        <f t="shared" si="27"/>
        <v>633296.97438062518</v>
      </c>
      <c r="S355" s="1604">
        <f t="shared" si="29"/>
        <v>36176.163473559864</v>
      </c>
      <c r="T355" s="947">
        <v>74767526.229100019</v>
      </c>
      <c r="U355" s="190">
        <v>2170966837.6578698</v>
      </c>
      <c r="V355" s="947">
        <v>103895.5169342</v>
      </c>
      <c r="W355" s="141">
        <v>342799.18401152996</v>
      </c>
      <c r="X355" s="2731">
        <f t="shared" si="26"/>
        <v>446694.70094572997</v>
      </c>
      <c r="Y355" s="217">
        <v>-1.4</v>
      </c>
    </row>
    <row r="356" spans="1:25">
      <c r="A356" s="53">
        <f t="shared" si="28"/>
        <v>2025.11</v>
      </c>
      <c r="B356" s="141">
        <v>114100168.73029001</v>
      </c>
      <c r="C356" s="2382">
        <f t="shared" si="24"/>
        <v>83804809.018550009</v>
      </c>
      <c r="D356" s="3504">
        <v>13073381.201519996</v>
      </c>
      <c r="E356" s="151">
        <v>30199373.406190004</v>
      </c>
      <c r="F356" s="3504">
        <v>5382780.5411599996</v>
      </c>
      <c r="G356" s="151">
        <v>12047333.176280001</v>
      </c>
      <c r="H356" s="3504">
        <v>15614871.249350002</v>
      </c>
      <c r="I356" s="151">
        <v>5946921.3736000005</v>
      </c>
      <c r="J356" s="3504">
        <v>1540148.07045</v>
      </c>
      <c r="K356" s="151">
        <v>16681832.754089996</v>
      </c>
      <c r="L356" s="3504">
        <v>2089733.8613499999</v>
      </c>
      <c r="M356" s="151">
        <v>3262322.5137300002</v>
      </c>
      <c r="N356" s="1396">
        <v>8261470.5825699996</v>
      </c>
      <c r="O356" s="1407">
        <v>8772.1045875027248</v>
      </c>
      <c r="P356" s="1398">
        <v>171797.91999999998</v>
      </c>
      <c r="Q356" s="1398">
        <v>2852735</v>
      </c>
      <c r="R356" s="1602">
        <f t="shared" si="27"/>
        <v>664153.37700415705</v>
      </c>
      <c r="S356" s="1604">
        <f t="shared" si="29"/>
        <v>39996.76406336025</v>
      </c>
      <c r="T356" s="947">
        <v>79314966.279099986</v>
      </c>
      <c r="U356" s="190">
        <v>2211322309.6716504</v>
      </c>
      <c r="V356" s="947">
        <v>106730.89602494998</v>
      </c>
      <c r="W356" s="141">
        <v>356323.14421736001</v>
      </c>
      <c r="X356" s="2731">
        <f t="shared" si="26"/>
        <v>463054.04024230997</v>
      </c>
      <c r="Y356" s="217">
        <v>-4.0999999999999996</v>
      </c>
    </row>
    <row r="357" spans="1:25">
      <c r="A357" s="53">
        <f t="shared" si="28"/>
        <v>2025.12</v>
      </c>
      <c r="B357" s="141">
        <v>146095649.88018999</v>
      </c>
      <c r="C357" s="2382">
        <f t="shared" si="24"/>
        <v>107022927.40057999</v>
      </c>
      <c r="D357" s="3504">
        <v>21666151.911300004</v>
      </c>
      <c r="E357" s="151">
        <v>36895536.59077999</v>
      </c>
      <c r="F357" s="3504">
        <v>6711516.8124599988</v>
      </c>
      <c r="G357" s="151">
        <v>12924157.36932</v>
      </c>
      <c r="H357" s="3504">
        <v>19742565.472770002</v>
      </c>
      <c r="I357" s="151">
        <v>7137437.9508100012</v>
      </c>
      <c r="J357" s="3504">
        <v>1945561.2931400004</v>
      </c>
      <c r="K357" s="151">
        <v>18534422.527899999</v>
      </c>
      <c r="L357" s="3504">
        <v>3012582.4735400006</v>
      </c>
      <c r="M357" s="151">
        <v>4906109.3311900003</v>
      </c>
      <c r="N357" s="1396">
        <v>12619608.146980003</v>
      </c>
      <c r="O357" s="1407">
        <v>8922.012656816416</v>
      </c>
      <c r="P357" s="1398">
        <v>175005.91999999998</v>
      </c>
      <c r="Q357" s="1398">
        <v>3226965</v>
      </c>
      <c r="R357" s="1602">
        <f t="shared" si="27"/>
        <v>834804.04480139876</v>
      </c>
      <c r="S357" s="1604">
        <f t="shared" si="29"/>
        <v>45273.391524292951</v>
      </c>
      <c r="T357" s="947">
        <v>83045783.351389974</v>
      </c>
      <c r="U357" s="190">
        <v>2796110361.6881204</v>
      </c>
      <c r="V357" s="947">
        <v>128132.37843917999</v>
      </c>
      <c r="W357" s="141">
        <v>424053.23747592</v>
      </c>
      <c r="X357" s="2731">
        <f t="shared" si="26"/>
        <v>552185.61591509997</v>
      </c>
      <c r="Y357" s="217">
        <v>-5.2</v>
      </c>
    </row>
    <row r="358" spans="1:25">
      <c r="A358" s="53">
        <f t="shared" si="28"/>
        <v>2026.01</v>
      </c>
      <c r="B358" s="141">
        <v>120385383.42098001</v>
      </c>
      <c r="C358" s="2382">
        <f t="shared" ref="C358" si="30">SUM(D358:J358)</f>
        <v>88085839.20465</v>
      </c>
      <c r="D358" s="3504">
        <v>14005513.796360003</v>
      </c>
      <c r="E358" s="151">
        <v>30236055.709470004</v>
      </c>
      <c r="F358" s="3504">
        <v>5418710.6099899998</v>
      </c>
      <c r="G358" s="151">
        <v>12254384.790620001</v>
      </c>
      <c r="H358" s="3504">
        <v>17368009.491</v>
      </c>
      <c r="I358" s="151">
        <v>7124667.3460200001</v>
      </c>
      <c r="J358" s="3504">
        <v>1678497.4611899999</v>
      </c>
      <c r="K358" s="151">
        <v>17257536.834459998</v>
      </c>
      <c r="L358" s="3504">
        <v>2287451.7662499999</v>
      </c>
      <c r="M358" s="151">
        <v>3426479.5629099999</v>
      </c>
      <c r="N358" s="1396">
        <v>9328076.0527099986</v>
      </c>
      <c r="O358" s="1407">
        <v>9226.7708400544198</v>
      </c>
      <c r="P358" s="1398">
        <v>175005.91999999998</v>
      </c>
      <c r="Q358" s="1398">
        <v>2867441</v>
      </c>
      <c r="R358" s="1602">
        <f t="shared" ref="R358:R375" si="31">$B358/P358*1000</f>
        <v>687893.20624685159</v>
      </c>
      <c r="S358" s="1604">
        <f t="shared" si="29"/>
        <v>41983.560750153185</v>
      </c>
      <c r="T358" s="947">
        <v>63097280.861240007</v>
      </c>
      <c r="U358" s="190">
        <v>2339233324.913269</v>
      </c>
      <c r="V358" s="947">
        <v>106625.26730281</v>
      </c>
      <c r="W358" s="141">
        <v>339788.70368787</v>
      </c>
      <c r="X358" s="2731">
        <f t="shared" ref="X358:X375" si="32">V358+W358</f>
        <v>446413.97099067998</v>
      </c>
      <c r="Y358" s="217">
        <v>-4.8</v>
      </c>
    </row>
    <row r="359" spans="1:25">
      <c r="A359" s="53">
        <f t="shared" si="28"/>
        <v>2026.02</v>
      </c>
      <c r="B359" s="141" t="e">
        <v>#N/A</v>
      </c>
      <c r="C359" s="2382" t="e">
        <f t="shared" ref="C359:C375" si="33">SUM(D359:J359)</f>
        <v>#N/A</v>
      </c>
      <c r="D359" s="3504" t="e">
        <v>#N/A</v>
      </c>
      <c r="E359" s="151" t="e">
        <v>#N/A</v>
      </c>
      <c r="F359" s="3504" t="e">
        <v>#N/A</v>
      </c>
      <c r="G359" s="151" t="e">
        <v>#N/A</v>
      </c>
      <c r="H359" s="3504" t="e">
        <v>#N/A</v>
      </c>
      <c r="I359" s="151" t="e">
        <v>#N/A</v>
      </c>
      <c r="J359" s="3504" t="e">
        <v>#N/A</v>
      </c>
      <c r="K359" s="151" t="e">
        <v>#N/A</v>
      </c>
      <c r="L359" s="3504" t="e">
        <v>#N/A</v>
      </c>
      <c r="M359" s="151" t="e">
        <v>#N/A</v>
      </c>
      <c r="N359" s="1396" t="e">
        <v>#N/A</v>
      </c>
      <c r="O359" s="1407" t="e">
        <v>#N/A</v>
      </c>
      <c r="P359" s="1398" t="e">
        <v>#N/A</v>
      </c>
      <c r="Q359" s="1398" t="e">
        <v>#N/A</v>
      </c>
      <c r="R359" s="1602" t="e">
        <f t="shared" si="31"/>
        <v>#N/A</v>
      </c>
      <c r="S359" s="1604" t="e">
        <f t="shared" si="29"/>
        <v>#N/A</v>
      </c>
      <c r="T359" s="947" t="e">
        <v>#N/A</v>
      </c>
      <c r="U359" s="190" t="e">
        <v>#N/A</v>
      </c>
      <c r="V359" s="947" t="e">
        <v>#N/A</v>
      </c>
      <c r="W359" s="141" t="e">
        <v>#N/A</v>
      </c>
      <c r="X359" s="2731" t="e">
        <f t="shared" si="32"/>
        <v>#N/A</v>
      </c>
      <c r="Y359" s="217">
        <v>-5.6</v>
      </c>
    </row>
    <row r="360" spans="1:25">
      <c r="A360" s="53">
        <f t="shared" si="28"/>
        <v>2026.03</v>
      </c>
      <c r="B360" s="141" t="e">
        <v>#N/A</v>
      </c>
      <c r="C360" s="2382" t="e">
        <f t="shared" si="33"/>
        <v>#N/A</v>
      </c>
      <c r="D360" s="3504" t="e">
        <v>#N/A</v>
      </c>
      <c r="E360" s="151" t="e">
        <v>#N/A</v>
      </c>
      <c r="F360" s="3504" t="e">
        <v>#N/A</v>
      </c>
      <c r="G360" s="151" t="e">
        <v>#N/A</v>
      </c>
      <c r="H360" s="3504" t="e">
        <v>#N/A</v>
      </c>
      <c r="I360" s="151" t="e">
        <v>#N/A</v>
      </c>
      <c r="J360" s="3504" t="e">
        <v>#N/A</v>
      </c>
      <c r="K360" s="151" t="e">
        <v>#N/A</v>
      </c>
      <c r="L360" s="3504" t="e">
        <v>#N/A</v>
      </c>
      <c r="M360" s="151" t="e">
        <v>#N/A</v>
      </c>
      <c r="N360" s="1396" t="e">
        <v>#N/A</v>
      </c>
      <c r="O360" s="1407" t="e">
        <v>#N/A</v>
      </c>
      <c r="P360" s="1398" t="e">
        <v>#N/A</v>
      </c>
      <c r="Q360" s="1398" t="e">
        <v>#N/A</v>
      </c>
      <c r="R360" s="1602" t="e">
        <f t="shared" si="31"/>
        <v>#N/A</v>
      </c>
      <c r="S360" s="1604" t="e">
        <f t="shared" si="29"/>
        <v>#N/A</v>
      </c>
      <c r="T360" s="947" t="e">
        <v>#N/A</v>
      </c>
      <c r="U360" s="190" t="e">
        <v>#N/A</v>
      </c>
      <c r="V360" s="947" t="e">
        <v>#N/A</v>
      </c>
      <c r="W360" s="141" t="e">
        <v>#N/A</v>
      </c>
      <c r="X360" s="2731" t="e">
        <f t="shared" si="32"/>
        <v>#N/A</v>
      </c>
      <c r="Y360" s="217" t="e">
        <v>#N/A</v>
      </c>
    </row>
    <row r="361" spans="1:25">
      <c r="A361" s="53">
        <f t="shared" si="28"/>
        <v>2026.04</v>
      </c>
      <c r="B361" s="141" t="e">
        <v>#N/A</v>
      </c>
      <c r="C361" s="2382" t="e">
        <f t="shared" si="33"/>
        <v>#N/A</v>
      </c>
      <c r="D361" s="3504" t="e">
        <v>#N/A</v>
      </c>
      <c r="E361" s="151" t="e">
        <v>#N/A</v>
      </c>
      <c r="F361" s="3504" t="e">
        <v>#N/A</v>
      </c>
      <c r="G361" s="151" t="e">
        <v>#N/A</v>
      </c>
      <c r="H361" s="3504" t="e">
        <v>#N/A</v>
      </c>
      <c r="I361" s="151" t="e">
        <v>#N/A</v>
      </c>
      <c r="J361" s="3504" t="e">
        <v>#N/A</v>
      </c>
      <c r="K361" s="151" t="e">
        <v>#N/A</v>
      </c>
      <c r="L361" s="3504" t="e">
        <v>#N/A</v>
      </c>
      <c r="M361" s="151" t="e">
        <v>#N/A</v>
      </c>
      <c r="N361" s="1396" t="e">
        <v>#N/A</v>
      </c>
      <c r="O361" s="1407" t="e">
        <v>#N/A</v>
      </c>
      <c r="P361" s="1398" t="e">
        <v>#N/A</v>
      </c>
      <c r="Q361" s="1398" t="e">
        <v>#N/A</v>
      </c>
      <c r="R361" s="1602" t="e">
        <f t="shared" si="31"/>
        <v>#N/A</v>
      </c>
      <c r="S361" s="1604" t="e">
        <f t="shared" si="29"/>
        <v>#N/A</v>
      </c>
      <c r="T361" s="947" t="e">
        <v>#N/A</v>
      </c>
      <c r="U361" s="190" t="e">
        <v>#N/A</v>
      </c>
      <c r="V361" s="947" t="e">
        <v>#N/A</v>
      </c>
      <c r="W361" s="141" t="e">
        <v>#N/A</v>
      </c>
      <c r="X361" s="2731" t="e">
        <f t="shared" si="32"/>
        <v>#N/A</v>
      </c>
      <c r="Y361" s="217" t="e">
        <v>#N/A</v>
      </c>
    </row>
    <row r="362" spans="1:25">
      <c r="A362" s="53">
        <f t="shared" si="28"/>
        <v>2026.05</v>
      </c>
      <c r="B362" s="141" t="e">
        <v>#N/A</v>
      </c>
      <c r="C362" s="2382" t="e">
        <f t="shared" si="33"/>
        <v>#N/A</v>
      </c>
      <c r="D362" s="3504" t="e">
        <v>#N/A</v>
      </c>
      <c r="E362" s="151" t="e">
        <v>#N/A</v>
      </c>
      <c r="F362" s="3504" t="e">
        <v>#N/A</v>
      </c>
      <c r="G362" s="151" t="e">
        <v>#N/A</v>
      </c>
      <c r="H362" s="3504" t="e">
        <v>#N/A</v>
      </c>
      <c r="I362" s="151" t="e">
        <v>#N/A</v>
      </c>
      <c r="J362" s="3504" t="e">
        <v>#N/A</v>
      </c>
      <c r="K362" s="151" t="e">
        <v>#N/A</v>
      </c>
      <c r="L362" s="3504" t="e">
        <v>#N/A</v>
      </c>
      <c r="M362" s="151" t="e">
        <v>#N/A</v>
      </c>
      <c r="N362" s="1396" t="e">
        <v>#N/A</v>
      </c>
      <c r="O362" s="1407" t="e">
        <v>#N/A</v>
      </c>
      <c r="P362" s="1398" t="e">
        <v>#N/A</v>
      </c>
      <c r="Q362" s="1398" t="e">
        <v>#N/A</v>
      </c>
      <c r="R362" s="1602" t="e">
        <f t="shared" si="31"/>
        <v>#N/A</v>
      </c>
      <c r="S362" s="1604" t="e">
        <f t="shared" si="29"/>
        <v>#N/A</v>
      </c>
      <c r="T362" s="947" t="e">
        <v>#N/A</v>
      </c>
      <c r="U362" s="190" t="e">
        <v>#N/A</v>
      </c>
      <c r="V362" s="947" t="e">
        <v>#N/A</v>
      </c>
      <c r="W362" s="141" t="e">
        <v>#N/A</v>
      </c>
      <c r="X362" s="2731" t="e">
        <f t="shared" si="32"/>
        <v>#N/A</v>
      </c>
      <c r="Y362" s="217" t="e">
        <v>#N/A</v>
      </c>
    </row>
    <row r="363" spans="1:25">
      <c r="A363" s="53">
        <f t="shared" si="28"/>
        <v>2026.06</v>
      </c>
      <c r="B363" s="141" t="e">
        <v>#N/A</v>
      </c>
      <c r="C363" s="2382" t="e">
        <f t="shared" si="33"/>
        <v>#N/A</v>
      </c>
      <c r="D363" s="3504" t="e">
        <v>#N/A</v>
      </c>
      <c r="E363" s="151" t="e">
        <v>#N/A</v>
      </c>
      <c r="F363" s="3504" t="e">
        <v>#N/A</v>
      </c>
      <c r="G363" s="151" t="e">
        <v>#N/A</v>
      </c>
      <c r="H363" s="3504" t="e">
        <v>#N/A</v>
      </c>
      <c r="I363" s="151" t="e">
        <v>#N/A</v>
      </c>
      <c r="J363" s="3504" t="e">
        <v>#N/A</v>
      </c>
      <c r="K363" s="151" t="e">
        <v>#N/A</v>
      </c>
      <c r="L363" s="3504" t="e">
        <v>#N/A</v>
      </c>
      <c r="M363" s="151" t="e">
        <v>#N/A</v>
      </c>
      <c r="N363" s="1396" t="e">
        <v>#N/A</v>
      </c>
      <c r="O363" s="1407" t="e">
        <v>#N/A</v>
      </c>
      <c r="P363" s="1398" t="e">
        <v>#N/A</v>
      </c>
      <c r="Q363" s="1398" t="e">
        <v>#N/A</v>
      </c>
      <c r="R363" s="1602" t="e">
        <f t="shared" si="31"/>
        <v>#N/A</v>
      </c>
      <c r="S363" s="1604" t="e">
        <f t="shared" si="29"/>
        <v>#N/A</v>
      </c>
      <c r="T363" s="947" t="e">
        <v>#N/A</v>
      </c>
      <c r="U363" s="190" t="e">
        <v>#N/A</v>
      </c>
      <c r="V363" s="947" t="e">
        <v>#N/A</v>
      </c>
      <c r="W363" s="141" t="e">
        <v>#N/A</v>
      </c>
      <c r="X363" s="2731" t="e">
        <f t="shared" si="32"/>
        <v>#N/A</v>
      </c>
      <c r="Y363" s="217" t="e">
        <v>#N/A</v>
      </c>
    </row>
    <row r="364" spans="1:25">
      <c r="A364" s="53">
        <f t="shared" si="28"/>
        <v>2026.07</v>
      </c>
      <c r="B364" s="141" t="e">
        <v>#N/A</v>
      </c>
      <c r="C364" s="2382" t="e">
        <f t="shared" si="33"/>
        <v>#N/A</v>
      </c>
      <c r="D364" s="3504" t="e">
        <v>#N/A</v>
      </c>
      <c r="E364" s="151" t="e">
        <v>#N/A</v>
      </c>
      <c r="F364" s="3504" t="e">
        <v>#N/A</v>
      </c>
      <c r="G364" s="151" t="e">
        <v>#N/A</v>
      </c>
      <c r="H364" s="3504" t="e">
        <v>#N/A</v>
      </c>
      <c r="I364" s="151" t="e">
        <v>#N/A</v>
      </c>
      <c r="J364" s="3504" t="e">
        <v>#N/A</v>
      </c>
      <c r="K364" s="151" t="e">
        <v>#N/A</v>
      </c>
      <c r="L364" s="3504" t="e">
        <v>#N/A</v>
      </c>
      <c r="M364" s="151" t="e">
        <v>#N/A</v>
      </c>
      <c r="N364" s="1396" t="e">
        <v>#N/A</v>
      </c>
      <c r="O364" s="1407" t="e">
        <v>#N/A</v>
      </c>
      <c r="P364" s="1398" t="e">
        <v>#N/A</v>
      </c>
      <c r="Q364" s="1398" t="e">
        <v>#N/A</v>
      </c>
      <c r="R364" s="1602" t="e">
        <f t="shared" si="31"/>
        <v>#N/A</v>
      </c>
      <c r="S364" s="1604" t="e">
        <f t="shared" si="29"/>
        <v>#N/A</v>
      </c>
      <c r="T364" s="947" t="e">
        <v>#N/A</v>
      </c>
      <c r="U364" s="190" t="e">
        <v>#N/A</v>
      </c>
      <c r="V364" s="947" t="e">
        <v>#N/A</v>
      </c>
      <c r="W364" s="141" t="e">
        <v>#N/A</v>
      </c>
      <c r="X364" s="2731" t="e">
        <f t="shared" si="32"/>
        <v>#N/A</v>
      </c>
      <c r="Y364" s="217" t="e">
        <v>#N/A</v>
      </c>
    </row>
    <row r="365" spans="1:25">
      <c r="A365" s="53">
        <f t="shared" si="28"/>
        <v>2026.08</v>
      </c>
      <c r="B365" s="141" t="e">
        <v>#N/A</v>
      </c>
      <c r="C365" s="2382" t="e">
        <f t="shared" si="33"/>
        <v>#N/A</v>
      </c>
      <c r="D365" s="3504" t="e">
        <v>#N/A</v>
      </c>
      <c r="E365" s="151" t="e">
        <v>#N/A</v>
      </c>
      <c r="F365" s="3504" t="e">
        <v>#N/A</v>
      </c>
      <c r="G365" s="151" t="e">
        <v>#N/A</v>
      </c>
      <c r="H365" s="3504" t="e">
        <v>#N/A</v>
      </c>
      <c r="I365" s="151" t="e">
        <v>#N/A</v>
      </c>
      <c r="J365" s="3504" t="e">
        <v>#N/A</v>
      </c>
      <c r="K365" s="151" t="e">
        <v>#N/A</v>
      </c>
      <c r="L365" s="3504" t="e">
        <v>#N/A</v>
      </c>
      <c r="M365" s="151" t="e">
        <v>#N/A</v>
      </c>
      <c r="N365" s="1396" t="e">
        <v>#N/A</v>
      </c>
      <c r="O365" s="1407" t="e">
        <v>#N/A</v>
      </c>
      <c r="P365" s="1398" t="e">
        <v>#N/A</v>
      </c>
      <c r="Q365" s="1398" t="e">
        <v>#N/A</v>
      </c>
      <c r="R365" s="1602" t="e">
        <f t="shared" si="31"/>
        <v>#N/A</v>
      </c>
      <c r="S365" s="1604" t="e">
        <f t="shared" si="29"/>
        <v>#N/A</v>
      </c>
      <c r="T365" s="947" t="e">
        <v>#N/A</v>
      </c>
      <c r="U365" s="190" t="e">
        <v>#N/A</v>
      </c>
      <c r="V365" s="947" t="e">
        <v>#N/A</v>
      </c>
      <c r="W365" s="141" t="e">
        <v>#N/A</v>
      </c>
      <c r="X365" s="2731" t="e">
        <f t="shared" si="32"/>
        <v>#N/A</v>
      </c>
      <c r="Y365" s="217" t="e">
        <v>#N/A</v>
      </c>
    </row>
    <row r="366" spans="1:25">
      <c r="A366" s="53">
        <f t="shared" si="28"/>
        <v>2026.09</v>
      </c>
      <c r="B366" s="141" t="e">
        <v>#N/A</v>
      </c>
      <c r="C366" s="2382" t="e">
        <f t="shared" si="33"/>
        <v>#N/A</v>
      </c>
      <c r="D366" s="3504" t="e">
        <v>#N/A</v>
      </c>
      <c r="E366" s="151" t="e">
        <v>#N/A</v>
      </c>
      <c r="F366" s="3504" t="e">
        <v>#N/A</v>
      </c>
      <c r="G366" s="151" t="e">
        <v>#N/A</v>
      </c>
      <c r="H366" s="3504" t="e">
        <v>#N/A</v>
      </c>
      <c r="I366" s="151" t="e">
        <v>#N/A</v>
      </c>
      <c r="J366" s="3504" t="e">
        <v>#N/A</v>
      </c>
      <c r="K366" s="151" t="e">
        <v>#N/A</v>
      </c>
      <c r="L366" s="3504" t="e">
        <v>#N/A</v>
      </c>
      <c r="M366" s="151" t="e">
        <v>#N/A</v>
      </c>
      <c r="N366" s="1396" t="e">
        <v>#N/A</v>
      </c>
      <c r="O366" s="1407" t="e">
        <v>#N/A</v>
      </c>
      <c r="P366" s="1398" t="e">
        <v>#N/A</v>
      </c>
      <c r="Q366" s="1398" t="e">
        <v>#N/A</v>
      </c>
      <c r="R366" s="1602" t="e">
        <f t="shared" si="31"/>
        <v>#N/A</v>
      </c>
      <c r="S366" s="1604" t="e">
        <f t="shared" si="29"/>
        <v>#N/A</v>
      </c>
      <c r="T366" s="947" t="e">
        <v>#N/A</v>
      </c>
      <c r="U366" s="190" t="e">
        <v>#N/A</v>
      </c>
      <c r="V366" s="947" t="e">
        <v>#N/A</v>
      </c>
      <c r="W366" s="141" t="e">
        <v>#N/A</v>
      </c>
      <c r="X366" s="2731" t="e">
        <f t="shared" si="32"/>
        <v>#N/A</v>
      </c>
      <c r="Y366" s="217" t="e">
        <v>#N/A</v>
      </c>
    </row>
    <row r="367" spans="1:25">
      <c r="A367" s="53">
        <f t="shared" si="28"/>
        <v>2026.1</v>
      </c>
      <c r="B367" s="141" t="e">
        <v>#N/A</v>
      </c>
      <c r="C367" s="2382" t="e">
        <f t="shared" si="33"/>
        <v>#N/A</v>
      </c>
      <c r="D367" s="3504" t="e">
        <v>#N/A</v>
      </c>
      <c r="E367" s="151" t="e">
        <v>#N/A</v>
      </c>
      <c r="F367" s="3504" t="e">
        <v>#N/A</v>
      </c>
      <c r="G367" s="151" t="e">
        <v>#N/A</v>
      </c>
      <c r="H367" s="3504" t="e">
        <v>#N/A</v>
      </c>
      <c r="I367" s="151" t="e">
        <v>#N/A</v>
      </c>
      <c r="J367" s="3504" t="e">
        <v>#N/A</v>
      </c>
      <c r="K367" s="151" t="e">
        <v>#N/A</v>
      </c>
      <c r="L367" s="3504" t="e">
        <v>#N/A</v>
      </c>
      <c r="M367" s="151" t="e">
        <v>#N/A</v>
      </c>
      <c r="N367" s="1396" t="e">
        <v>#N/A</v>
      </c>
      <c r="O367" s="1407" t="e">
        <v>#N/A</v>
      </c>
      <c r="P367" s="1398" t="e">
        <v>#N/A</v>
      </c>
      <c r="Q367" s="1398" t="e">
        <v>#N/A</v>
      </c>
      <c r="R367" s="1602" t="e">
        <f t="shared" si="31"/>
        <v>#N/A</v>
      </c>
      <c r="S367" s="1604" t="e">
        <f t="shared" si="29"/>
        <v>#N/A</v>
      </c>
      <c r="T367" s="947" t="e">
        <v>#N/A</v>
      </c>
      <c r="U367" s="190" t="e">
        <v>#N/A</v>
      </c>
      <c r="V367" s="947" t="e">
        <v>#N/A</v>
      </c>
      <c r="W367" s="141" t="e">
        <v>#N/A</v>
      </c>
      <c r="X367" s="2731" t="e">
        <f t="shared" si="32"/>
        <v>#N/A</v>
      </c>
      <c r="Y367" s="217" t="e">
        <v>#N/A</v>
      </c>
    </row>
    <row r="368" spans="1:25">
      <c r="A368" s="53">
        <f t="shared" si="28"/>
        <v>2026.11</v>
      </c>
      <c r="B368" s="141" t="e">
        <v>#N/A</v>
      </c>
      <c r="C368" s="2382" t="e">
        <f t="shared" si="33"/>
        <v>#N/A</v>
      </c>
      <c r="D368" s="3504" t="e">
        <v>#N/A</v>
      </c>
      <c r="E368" s="151" t="e">
        <v>#N/A</v>
      </c>
      <c r="F368" s="3504" t="e">
        <v>#N/A</v>
      </c>
      <c r="G368" s="151" t="e">
        <v>#N/A</v>
      </c>
      <c r="H368" s="3504" t="e">
        <v>#N/A</v>
      </c>
      <c r="I368" s="151" t="e">
        <v>#N/A</v>
      </c>
      <c r="J368" s="3504" t="e">
        <v>#N/A</v>
      </c>
      <c r="K368" s="151" t="e">
        <v>#N/A</v>
      </c>
      <c r="L368" s="3504" t="e">
        <v>#N/A</v>
      </c>
      <c r="M368" s="151" t="e">
        <v>#N/A</v>
      </c>
      <c r="N368" s="1396" t="e">
        <v>#N/A</v>
      </c>
      <c r="O368" s="1407" t="e">
        <v>#N/A</v>
      </c>
      <c r="P368" s="1398" t="e">
        <v>#N/A</v>
      </c>
      <c r="Q368" s="1398" t="e">
        <v>#N/A</v>
      </c>
      <c r="R368" s="1602" t="e">
        <f t="shared" si="31"/>
        <v>#N/A</v>
      </c>
      <c r="S368" s="1604" t="e">
        <f t="shared" si="29"/>
        <v>#N/A</v>
      </c>
      <c r="T368" s="947" t="e">
        <v>#N/A</v>
      </c>
      <c r="U368" s="190" t="e">
        <v>#N/A</v>
      </c>
      <c r="V368" s="947" t="e">
        <v>#N/A</v>
      </c>
      <c r="W368" s="141" t="e">
        <v>#N/A</v>
      </c>
      <c r="X368" s="2731" t="e">
        <f t="shared" si="32"/>
        <v>#N/A</v>
      </c>
      <c r="Y368" s="217" t="e">
        <v>#N/A</v>
      </c>
    </row>
    <row r="369" spans="1:25">
      <c r="A369" s="53">
        <f t="shared" si="28"/>
        <v>2026.12</v>
      </c>
      <c r="B369" s="141" t="e">
        <v>#N/A</v>
      </c>
      <c r="C369" s="2382" t="e">
        <f t="shared" si="33"/>
        <v>#N/A</v>
      </c>
      <c r="D369" s="3504" t="e">
        <v>#N/A</v>
      </c>
      <c r="E369" s="151" t="e">
        <v>#N/A</v>
      </c>
      <c r="F369" s="3504" t="e">
        <v>#N/A</v>
      </c>
      <c r="G369" s="151" t="e">
        <v>#N/A</v>
      </c>
      <c r="H369" s="3504" t="e">
        <v>#N/A</v>
      </c>
      <c r="I369" s="151" t="e">
        <v>#N/A</v>
      </c>
      <c r="J369" s="3504" t="e">
        <v>#N/A</v>
      </c>
      <c r="K369" s="151" t="e">
        <v>#N/A</v>
      </c>
      <c r="L369" s="3504" t="e">
        <v>#N/A</v>
      </c>
      <c r="M369" s="151" t="e">
        <v>#N/A</v>
      </c>
      <c r="N369" s="1396" t="e">
        <v>#N/A</v>
      </c>
      <c r="O369" s="1407" t="e">
        <v>#N/A</v>
      </c>
      <c r="P369" s="1398" t="e">
        <v>#N/A</v>
      </c>
      <c r="Q369" s="1398" t="e">
        <v>#N/A</v>
      </c>
      <c r="R369" s="1602" t="e">
        <f t="shared" si="31"/>
        <v>#N/A</v>
      </c>
      <c r="S369" s="1604" t="e">
        <f t="shared" si="29"/>
        <v>#N/A</v>
      </c>
      <c r="T369" s="947" t="e">
        <v>#N/A</v>
      </c>
      <c r="U369" s="190" t="e">
        <v>#N/A</v>
      </c>
      <c r="V369" s="947" t="e">
        <v>#N/A</v>
      </c>
      <c r="W369" s="141" t="e">
        <v>#N/A</v>
      </c>
      <c r="X369" s="2731" t="e">
        <f t="shared" si="32"/>
        <v>#N/A</v>
      </c>
      <c r="Y369" s="217" t="e">
        <v>#N/A</v>
      </c>
    </row>
    <row r="370" spans="1:25">
      <c r="A370" s="53">
        <f t="shared" si="28"/>
        <v>2027.01</v>
      </c>
      <c r="B370" s="141" t="e">
        <v>#N/A</v>
      </c>
      <c r="C370" s="2382" t="e">
        <f t="shared" si="33"/>
        <v>#N/A</v>
      </c>
      <c r="D370" s="3504" t="e">
        <v>#N/A</v>
      </c>
      <c r="E370" s="151" t="e">
        <v>#N/A</v>
      </c>
      <c r="F370" s="3504" t="e">
        <v>#N/A</v>
      </c>
      <c r="G370" s="151" t="e">
        <v>#N/A</v>
      </c>
      <c r="H370" s="3504" t="e">
        <v>#N/A</v>
      </c>
      <c r="I370" s="151" t="e">
        <v>#N/A</v>
      </c>
      <c r="J370" s="3504" t="e">
        <v>#N/A</v>
      </c>
      <c r="K370" s="151" t="e">
        <v>#N/A</v>
      </c>
      <c r="L370" s="3504" t="e">
        <v>#N/A</v>
      </c>
      <c r="M370" s="151" t="e">
        <v>#N/A</v>
      </c>
      <c r="N370" s="1396" t="e">
        <v>#N/A</v>
      </c>
      <c r="O370" s="1407" t="e">
        <v>#N/A</v>
      </c>
      <c r="P370" s="1398" t="e">
        <v>#N/A</v>
      </c>
      <c r="Q370" s="1398" t="e">
        <v>#N/A</v>
      </c>
      <c r="R370" s="1602" t="e">
        <f t="shared" si="31"/>
        <v>#N/A</v>
      </c>
      <c r="S370" s="1604" t="e">
        <f t="shared" si="29"/>
        <v>#N/A</v>
      </c>
      <c r="T370" s="947" t="e">
        <v>#N/A</v>
      </c>
      <c r="U370" s="190" t="e">
        <v>#N/A</v>
      </c>
      <c r="V370" s="947" t="e">
        <v>#N/A</v>
      </c>
      <c r="W370" s="141" t="e">
        <v>#N/A</v>
      </c>
      <c r="X370" s="2731" t="e">
        <f t="shared" si="32"/>
        <v>#N/A</v>
      </c>
      <c r="Y370" s="217" t="e">
        <v>#N/A</v>
      </c>
    </row>
    <row r="371" spans="1:25">
      <c r="A371" s="53">
        <f t="shared" si="28"/>
        <v>2027.02</v>
      </c>
      <c r="B371" s="141" t="e">
        <v>#N/A</v>
      </c>
      <c r="C371" s="2382" t="e">
        <f t="shared" si="33"/>
        <v>#N/A</v>
      </c>
      <c r="D371" s="3504" t="e">
        <v>#N/A</v>
      </c>
      <c r="E371" s="151" t="e">
        <v>#N/A</v>
      </c>
      <c r="F371" s="3504" t="e">
        <v>#N/A</v>
      </c>
      <c r="G371" s="151" t="e">
        <v>#N/A</v>
      </c>
      <c r="H371" s="3504" t="e">
        <v>#N/A</v>
      </c>
      <c r="I371" s="151" t="e">
        <v>#N/A</v>
      </c>
      <c r="J371" s="3504" t="e">
        <v>#N/A</v>
      </c>
      <c r="K371" s="151" t="e">
        <v>#N/A</v>
      </c>
      <c r="L371" s="3504" t="e">
        <v>#N/A</v>
      </c>
      <c r="M371" s="151" t="e">
        <v>#N/A</v>
      </c>
      <c r="N371" s="1396" t="e">
        <v>#N/A</v>
      </c>
      <c r="O371" s="1407" t="e">
        <v>#N/A</v>
      </c>
      <c r="P371" s="1398" t="e">
        <v>#N/A</v>
      </c>
      <c r="Q371" s="1398" t="e">
        <v>#N/A</v>
      </c>
      <c r="R371" s="1602" t="e">
        <f t="shared" si="31"/>
        <v>#N/A</v>
      </c>
      <c r="S371" s="1604" t="e">
        <f t="shared" si="29"/>
        <v>#N/A</v>
      </c>
      <c r="T371" s="947" t="e">
        <v>#N/A</v>
      </c>
      <c r="U371" s="190" t="e">
        <v>#N/A</v>
      </c>
      <c r="V371" s="947" t="e">
        <v>#N/A</v>
      </c>
      <c r="W371" s="141" t="e">
        <v>#N/A</v>
      </c>
      <c r="X371" s="2731" t="e">
        <f t="shared" si="32"/>
        <v>#N/A</v>
      </c>
      <c r="Y371" s="217" t="e">
        <v>#N/A</v>
      </c>
    </row>
    <row r="372" spans="1:25">
      <c r="A372" s="53">
        <f t="shared" si="28"/>
        <v>2027.03</v>
      </c>
      <c r="B372" s="141" t="e">
        <v>#N/A</v>
      </c>
      <c r="C372" s="2382" t="e">
        <f t="shared" si="33"/>
        <v>#N/A</v>
      </c>
      <c r="D372" s="3504" t="e">
        <v>#N/A</v>
      </c>
      <c r="E372" s="151" t="e">
        <v>#N/A</v>
      </c>
      <c r="F372" s="3504" t="e">
        <v>#N/A</v>
      </c>
      <c r="G372" s="151" t="e">
        <v>#N/A</v>
      </c>
      <c r="H372" s="3504" t="e">
        <v>#N/A</v>
      </c>
      <c r="I372" s="151" t="e">
        <v>#N/A</v>
      </c>
      <c r="J372" s="3504" t="e">
        <v>#N/A</v>
      </c>
      <c r="K372" s="151" t="e">
        <v>#N/A</v>
      </c>
      <c r="L372" s="3504" t="e">
        <v>#N/A</v>
      </c>
      <c r="M372" s="151" t="e">
        <v>#N/A</v>
      </c>
      <c r="N372" s="1396" t="e">
        <v>#N/A</v>
      </c>
      <c r="O372" s="1407" t="e">
        <v>#N/A</v>
      </c>
      <c r="P372" s="1398" t="e">
        <v>#N/A</v>
      </c>
      <c r="Q372" s="1398" t="e">
        <v>#N/A</v>
      </c>
      <c r="R372" s="1602" t="e">
        <f t="shared" si="31"/>
        <v>#N/A</v>
      </c>
      <c r="S372" s="1604" t="e">
        <f t="shared" si="29"/>
        <v>#N/A</v>
      </c>
      <c r="T372" s="947" t="e">
        <v>#N/A</v>
      </c>
      <c r="U372" s="190" t="e">
        <v>#N/A</v>
      </c>
      <c r="V372" s="947" t="e">
        <v>#N/A</v>
      </c>
      <c r="W372" s="141" t="e">
        <v>#N/A</v>
      </c>
      <c r="X372" s="2731" t="e">
        <f t="shared" si="32"/>
        <v>#N/A</v>
      </c>
      <c r="Y372" s="217" t="e">
        <v>#N/A</v>
      </c>
    </row>
    <row r="373" spans="1:25">
      <c r="A373" s="53">
        <f t="shared" si="28"/>
        <v>2027.04</v>
      </c>
      <c r="B373" s="141" t="e">
        <v>#N/A</v>
      </c>
      <c r="C373" s="2382" t="e">
        <f t="shared" si="33"/>
        <v>#N/A</v>
      </c>
      <c r="D373" s="3504" t="e">
        <v>#N/A</v>
      </c>
      <c r="E373" s="151" t="e">
        <v>#N/A</v>
      </c>
      <c r="F373" s="3504" t="e">
        <v>#N/A</v>
      </c>
      <c r="G373" s="151" t="e">
        <v>#N/A</v>
      </c>
      <c r="H373" s="3504" t="e">
        <v>#N/A</v>
      </c>
      <c r="I373" s="151" t="e">
        <v>#N/A</v>
      </c>
      <c r="J373" s="3504" t="e">
        <v>#N/A</v>
      </c>
      <c r="K373" s="151" t="e">
        <v>#N/A</v>
      </c>
      <c r="L373" s="3504" t="e">
        <v>#N/A</v>
      </c>
      <c r="M373" s="151" t="e">
        <v>#N/A</v>
      </c>
      <c r="N373" s="1396" t="e">
        <v>#N/A</v>
      </c>
      <c r="O373" s="1407" t="e">
        <v>#N/A</v>
      </c>
      <c r="P373" s="1398" t="e">
        <v>#N/A</v>
      </c>
      <c r="Q373" s="1398" t="e">
        <v>#N/A</v>
      </c>
      <c r="R373" s="1602" t="e">
        <f t="shared" si="31"/>
        <v>#N/A</v>
      </c>
      <c r="S373" s="1604" t="e">
        <f t="shared" si="29"/>
        <v>#N/A</v>
      </c>
      <c r="T373" s="947" t="e">
        <v>#N/A</v>
      </c>
      <c r="U373" s="190" t="e">
        <v>#N/A</v>
      </c>
      <c r="V373" s="947" t="e">
        <v>#N/A</v>
      </c>
      <c r="W373" s="141" t="e">
        <v>#N/A</v>
      </c>
      <c r="X373" s="2731" t="e">
        <f t="shared" si="32"/>
        <v>#N/A</v>
      </c>
      <c r="Y373" s="217" t="e">
        <v>#N/A</v>
      </c>
    </row>
    <row r="374" spans="1:25">
      <c r="A374" s="53">
        <f t="shared" si="28"/>
        <v>2027.05</v>
      </c>
      <c r="B374" s="141" t="e">
        <v>#N/A</v>
      </c>
      <c r="C374" s="2382" t="e">
        <f t="shared" si="33"/>
        <v>#N/A</v>
      </c>
      <c r="D374" s="3504" t="e">
        <v>#N/A</v>
      </c>
      <c r="E374" s="151" t="e">
        <v>#N/A</v>
      </c>
      <c r="F374" s="3504" t="e">
        <v>#N/A</v>
      </c>
      <c r="G374" s="151" t="e">
        <v>#N/A</v>
      </c>
      <c r="H374" s="3504" t="e">
        <v>#N/A</v>
      </c>
      <c r="I374" s="151" t="e">
        <v>#N/A</v>
      </c>
      <c r="J374" s="3504" t="e">
        <v>#N/A</v>
      </c>
      <c r="K374" s="151" t="e">
        <v>#N/A</v>
      </c>
      <c r="L374" s="3504" t="e">
        <v>#N/A</v>
      </c>
      <c r="M374" s="151" t="e">
        <v>#N/A</v>
      </c>
      <c r="N374" s="1396" t="e">
        <v>#N/A</v>
      </c>
      <c r="O374" s="1407" t="e">
        <v>#N/A</v>
      </c>
      <c r="P374" s="1398" t="e">
        <v>#N/A</v>
      </c>
      <c r="Q374" s="1398" t="e">
        <v>#N/A</v>
      </c>
      <c r="R374" s="1602" t="e">
        <f t="shared" si="31"/>
        <v>#N/A</v>
      </c>
      <c r="S374" s="1604" t="e">
        <f t="shared" si="29"/>
        <v>#N/A</v>
      </c>
      <c r="T374" s="947" t="e">
        <v>#N/A</v>
      </c>
      <c r="U374" s="190" t="e">
        <v>#N/A</v>
      </c>
      <c r="V374" s="947" t="e">
        <v>#N/A</v>
      </c>
      <c r="W374" s="141" t="e">
        <v>#N/A</v>
      </c>
      <c r="X374" s="2731" t="e">
        <f t="shared" si="32"/>
        <v>#N/A</v>
      </c>
      <c r="Y374" s="217" t="e">
        <v>#N/A</v>
      </c>
    </row>
    <row r="375" spans="1:25">
      <c r="A375" s="53">
        <f t="shared" si="28"/>
        <v>2027.06</v>
      </c>
      <c r="B375" s="141" t="e">
        <v>#N/A</v>
      </c>
      <c r="C375" s="2382" t="e">
        <f t="shared" si="33"/>
        <v>#N/A</v>
      </c>
      <c r="D375" s="3504" t="e">
        <v>#N/A</v>
      </c>
      <c r="E375" s="151" t="e">
        <v>#N/A</v>
      </c>
      <c r="F375" s="3504" t="e">
        <v>#N/A</v>
      </c>
      <c r="G375" s="151" t="e">
        <v>#N/A</v>
      </c>
      <c r="H375" s="3504" t="e">
        <v>#N/A</v>
      </c>
      <c r="I375" s="151" t="e">
        <v>#N/A</v>
      </c>
      <c r="J375" s="3504" t="e">
        <v>#N/A</v>
      </c>
      <c r="K375" s="151" t="e">
        <v>#N/A</v>
      </c>
      <c r="L375" s="3504" t="e">
        <v>#N/A</v>
      </c>
      <c r="M375" s="151" t="e">
        <v>#N/A</v>
      </c>
      <c r="N375" s="1396" t="e">
        <v>#N/A</v>
      </c>
      <c r="O375" s="1407" t="e">
        <v>#N/A</v>
      </c>
      <c r="P375" s="1398" t="e">
        <v>#N/A</v>
      </c>
      <c r="Q375" s="1398" t="e">
        <v>#N/A</v>
      </c>
      <c r="R375" s="1602" t="e">
        <f t="shared" si="31"/>
        <v>#N/A</v>
      </c>
      <c r="S375" s="1604" t="e">
        <f t="shared" si="29"/>
        <v>#N/A</v>
      </c>
      <c r="T375" s="947" t="e">
        <v>#N/A</v>
      </c>
      <c r="U375" s="190" t="e">
        <v>#N/A</v>
      </c>
      <c r="V375" s="947" t="e">
        <v>#N/A</v>
      </c>
      <c r="W375" s="141" t="e">
        <v>#N/A</v>
      </c>
      <c r="X375" s="2731" t="e">
        <f t="shared" si="32"/>
        <v>#N/A</v>
      </c>
      <c r="Y375" s="217" t="e">
        <v>#N/A</v>
      </c>
    </row>
    <row r="376" spans="1:25">
      <c r="A376" s="53">
        <f t="shared" si="28"/>
        <v>2027.07</v>
      </c>
      <c r="B376" s="141" t="e">
        <v>#N/A</v>
      </c>
      <c r="C376" s="2382" t="e">
        <f t="shared" ref="C376:C389" si="34">SUM(D376:J376)</f>
        <v>#N/A</v>
      </c>
      <c r="D376" s="3504" t="e">
        <v>#N/A</v>
      </c>
      <c r="E376" s="151" t="e">
        <v>#N/A</v>
      </c>
      <c r="F376" s="3504" t="e">
        <v>#N/A</v>
      </c>
      <c r="G376" s="151" t="e">
        <v>#N/A</v>
      </c>
      <c r="H376" s="3504" t="e">
        <v>#N/A</v>
      </c>
      <c r="I376" s="151" t="e">
        <v>#N/A</v>
      </c>
      <c r="J376" s="3504" t="e">
        <v>#N/A</v>
      </c>
      <c r="K376" s="151" t="e">
        <v>#N/A</v>
      </c>
      <c r="L376" s="3504" t="e">
        <v>#N/A</v>
      </c>
      <c r="M376" s="151" t="e">
        <v>#N/A</v>
      </c>
      <c r="N376" s="1396" t="e">
        <v>#N/A</v>
      </c>
      <c r="O376" s="1407" t="e">
        <v>#N/A</v>
      </c>
      <c r="P376" s="1398" t="e">
        <v>#N/A</v>
      </c>
      <c r="Q376" s="1398" t="e">
        <v>#N/A</v>
      </c>
      <c r="R376" s="1602" t="e">
        <f t="shared" ref="R376:R389" si="35">$B376/P376*1000</f>
        <v>#N/A</v>
      </c>
      <c r="S376" s="1604" t="e">
        <f t="shared" si="29"/>
        <v>#N/A</v>
      </c>
      <c r="T376" s="947" t="e">
        <v>#N/A</v>
      </c>
      <c r="U376" s="190" t="e">
        <v>#N/A</v>
      </c>
      <c r="V376" s="947" t="e">
        <v>#N/A</v>
      </c>
      <c r="W376" s="141" t="e">
        <v>#N/A</v>
      </c>
      <c r="X376" s="2731" t="e">
        <f t="shared" ref="X376:X389" si="36">V376+W376</f>
        <v>#N/A</v>
      </c>
      <c r="Y376" s="217" t="e">
        <v>#N/A</v>
      </c>
    </row>
    <row r="377" spans="1:25">
      <c r="A377" s="53">
        <f t="shared" si="28"/>
        <v>2027.08</v>
      </c>
      <c r="B377" s="141" t="e">
        <v>#N/A</v>
      </c>
      <c r="C377" s="2382" t="e">
        <f t="shared" si="34"/>
        <v>#N/A</v>
      </c>
      <c r="D377" s="3504" t="e">
        <v>#N/A</v>
      </c>
      <c r="E377" s="151" t="e">
        <v>#N/A</v>
      </c>
      <c r="F377" s="3504" t="e">
        <v>#N/A</v>
      </c>
      <c r="G377" s="151" t="e">
        <v>#N/A</v>
      </c>
      <c r="H377" s="3504" t="e">
        <v>#N/A</v>
      </c>
      <c r="I377" s="151" t="e">
        <v>#N/A</v>
      </c>
      <c r="J377" s="3504" t="e">
        <v>#N/A</v>
      </c>
      <c r="K377" s="151" t="e">
        <v>#N/A</v>
      </c>
      <c r="L377" s="3504" t="e">
        <v>#N/A</v>
      </c>
      <c r="M377" s="151" t="e">
        <v>#N/A</v>
      </c>
      <c r="N377" s="1396" t="e">
        <v>#N/A</v>
      </c>
      <c r="O377" s="1407" t="e">
        <v>#N/A</v>
      </c>
      <c r="P377" s="1398" t="e">
        <v>#N/A</v>
      </c>
      <c r="Q377" s="1398" t="e">
        <v>#N/A</v>
      </c>
      <c r="R377" s="1602" t="e">
        <f t="shared" si="35"/>
        <v>#N/A</v>
      </c>
      <c r="S377" s="1604" t="e">
        <f t="shared" si="29"/>
        <v>#N/A</v>
      </c>
      <c r="T377" s="947" t="e">
        <v>#N/A</v>
      </c>
      <c r="U377" s="190" t="e">
        <v>#N/A</v>
      </c>
      <c r="V377" s="947" t="e">
        <v>#N/A</v>
      </c>
      <c r="W377" s="141" t="e">
        <v>#N/A</v>
      </c>
      <c r="X377" s="2731" t="e">
        <f t="shared" si="36"/>
        <v>#N/A</v>
      </c>
      <c r="Y377" s="217" t="e">
        <v>#N/A</v>
      </c>
    </row>
    <row r="378" spans="1:25">
      <c r="A378" s="53">
        <f t="shared" si="28"/>
        <v>2027.09</v>
      </c>
      <c r="B378" s="141" t="e">
        <v>#N/A</v>
      </c>
      <c r="C378" s="2382" t="e">
        <f t="shared" si="34"/>
        <v>#N/A</v>
      </c>
      <c r="D378" s="3504" t="e">
        <v>#N/A</v>
      </c>
      <c r="E378" s="151" t="e">
        <v>#N/A</v>
      </c>
      <c r="F378" s="3504" t="e">
        <v>#N/A</v>
      </c>
      <c r="G378" s="151" t="e">
        <v>#N/A</v>
      </c>
      <c r="H378" s="3504" t="e">
        <v>#N/A</v>
      </c>
      <c r="I378" s="151" t="e">
        <v>#N/A</v>
      </c>
      <c r="J378" s="3504" t="e">
        <v>#N/A</v>
      </c>
      <c r="K378" s="151" t="e">
        <v>#N/A</v>
      </c>
      <c r="L378" s="3504" t="e">
        <v>#N/A</v>
      </c>
      <c r="M378" s="151" t="e">
        <v>#N/A</v>
      </c>
      <c r="N378" s="1396" t="e">
        <v>#N/A</v>
      </c>
      <c r="O378" s="1407" t="e">
        <v>#N/A</v>
      </c>
      <c r="P378" s="1398" t="e">
        <v>#N/A</v>
      </c>
      <c r="Q378" s="1398" t="e">
        <v>#N/A</v>
      </c>
      <c r="R378" s="1602" t="e">
        <f t="shared" si="35"/>
        <v>#N/A</v>
      </c>
      <c r="S378" s="1604" t="e">
        <f t="shared" si="29"/>
        <v>#N/A</v>
      </c>
      <c r="T378" s="947" t="e">
        <v>#N/A</v>
      </c>
      <c r="U378" s="190" t="e">
        <v>#N/A</v>
      </c>
      <c r="V378" s="947" t="e">
        <v>#N/A</v>
      </c>
      <c r="W378" s="141" t="e">
        <v>#N/A</v>
      </c>
      <c r="X378" s="2731" t="e">
        <f t="shared" si="36"/>
        <v>#N/A</v>
      </c>
      <c r="Y378" s="217" t="e">
        <v>#N/A</v>
      </c>
    </row>
    <row r="379" spans="1:25">
      <c r="A379" s="53">
        <f t="shared" si="28"/>
        <v>2027.1</v>
      </c>
      <c r="B379" s="141" t="e">
        <v>#N/A</v>
      </c>
      <c r="C379" s="2382" t="e">
        <f t="shared" si="34"/>
        <v>#N/A</v>
      </c>
      <c r="D379" s="3504" t="e">
        <v>#N/A</v>
      </c>
      <c r="E379" s="151" t="e">
        <v>#N/A</v>
      </c>
      <c r="F379" s="3504" t="e">
        <v>#N/A</v>
      </c>
      <c r="G379" s="151" t="e">
        <v>#N/A</v>
      </c>
      <c r="H379" s="3504" t="e">
        <v>#N/A</v>
      </c>
      <c r="I379" s="151" t="e">
        <v>#N/A</v>
      </c>
      <c r="J379" s="3504" t="e">
        <v>#N/A</v>
      </c>
      <c r="K379" s="151" t="e">
        <v>#N/A</v>
      </c>
      <c r="L379" s="3504" t="e">
        <v>#N/A</v>
      </c>
      <c r="M379" s="151" t="e">
        <v>#N/A</v>
      </c>
      <c r="N379" s="1396" t="e">
        <v>#N/A</v>
      </c>
      <c r="O379" s="1407" t="e">
        <v>#N/A</v>
      </c>
      <c r="P379" s="1398" t="e">
        <v>#N/A</v>
      </c>
      <c r="Q379" s="1398" t="e">
        <v>#N/A</v>
      </c>
      <c r="R379" s="1602" t="e">
        <f t="shared" si="35"/>
        <v>#N/A</v>
      </c>
      <c r="S379" s="1604" t="e">
        <f t="shared" si="29"/>
        <v>#N/A</v>
      </c>
      <c r="T379" s="947" t="e">
        <v>#N/A</v>
      </c>
      <c r="U379" s="190" t="e">
        <v>#N/A</v>
      </c>
      <c r="V379" s="947" t="e">
        <v>#N/A</v>
      </c>
      <c r="W379" s="141" t="e">
        <v>#N/A</v>
      </c>
      <c r="X379" s="2731" t="e">
        <f t="shared" si="36"/>
        <v>#N/A</v>
      </c>
      <c r="Y379" s="217" t="e">
        <v>#N/A</v>
      </c>
    </row>
    <row r="380" spans="1:25">
      <c r="A380" s="53">
        <f t="shared" si="28"/>
        <v>2027.11</v>
      </c>
      <c r="B380" s="141" t="e">
        <v>#N/A</v>
      </c>
      <c r="C380" s="2382" t="e">
        <f t="shared" si="34"/>
        <v>#N/A</v>
      </c>
      <c r="D380" s="3504" t="e">
        <v>#N/A</v>
      </c>
      <c r="E380" s="151" t="e">
        <v>#N/A</v>
      </c>
      <c r="F380" s="3504" t="e">
        <v>#N/A</v>
      </c>
      <c r="G380" s="151" t="e">
        <v>#N/A</v>
      </c>
      <c r="H380" s="3504" t="e">
        <v>#N/A</v>
      </c>
      <c r="I380" s="151" t="e">
        <v>#N/A</v>
      </c>
      <c r="J380" s="3504" t="e">
        <v>#N/A</v>
      </c>
      <c r="K380" s="151" t="e">
        <v>#N/A</v>
      </c>
      <c r="L380" s="3504" t="e">
        <v>#N/A</v>
      </c>
      <c r="M380" s="151" t="e">
        <v>#N/A</v>
      </c>
      <c r="N380" s="1396" t="e">
        <v>#N/A</v>
      </c>
      <c r="O380" s="1407" t="e">
        <v>#N/A</v>
      </c>
      <c r="P380" s="1398" t="e">
        <v>#N/A</v>
      </c>
      <c r="Q380" s="1398" t="e">
        <v>#N/A</v>
      </c>
      <c r="R380" s="1602" t="e">
        <f t="shared" si="35"/>
        <v>#N/A</v>
      </c>
      <c r="S380" s="1604" t="e">
        <f t="shared" si="29"/>
        <v>#N/A</v>
      </c>
      <c r="T380" s="947" t="e">
        <v>#N/A</v>
      </c>
      <c r="U380" s="190" t="e">
        <v>#N/A</v>
      </c>
      <c r="V380" s="947" t="e">
        <v>#N/A</v>
      </c>
      <c r="W380" s="141" t="e">
        <v>#N/A</v>
      </c>
      <c r="X380" s="2731" t="e">
        <f t="shared" si="36"/>
        <v>#N/A</v>
      </c>
      <c r="Y380" s="217" t="e">
        <v>#N/A</v>
      </c>
    </row>
    <row r="381" spans="1:25">
      <c r="A381" s="53">
        <f t="shared" si="28"/>
        <v>2027.12</v>
      </c>
      <c r="B381" s="141" t="e">
        <v>#N/A</v>
      </c>
      <c r="C381" s="2382" t="e">
        <f t="shared" si="34"/>
        <v>#N/A</v>
      </c>
      <c r="D381" s="3504" t="e">
        <v>#N/A</v>
      </c>
      <c r="E381" s="151" t="e">
        <v>#N/A</v>
      </c>
      <c r="F381" s="3504" t="e">
        <v>#N/A</v>
      </c>
      <c r="G381" s="151" t="e">
        <v>#N/A</v>
      </c>
      <c r="H381" s="3504" t="e">
        <v>#N/A</v>
      </c>
      <c r="I381" s="151" t="e">
        <v>#N/A</v>
      </c>
      <c r="J381" s="3504" t="e">
        <v>#N/A</v>
      </c>
      <c r="K381" s="151" t="e">
        <v>#N/A</v>
      </c>
      <c r="L381" s="3504" t="e">
        <v>#N/A</v>
      </c>
      <c r="M381" s="151" t="e">
        <v>#N/A</v>
      </c>
      <c r="N381" s="1396" t="e">
        <v>#N/A</v>
      </c>
      <c r="O381" s="1407" t="e">
        <v>#N/A</v>
      </c>
      <c r="P381" s="1398" t="e">
        <v>#N/A</v>
      </c>
      <c r="Q381" s="1398" t="e">
        <v>#N/A</v>
      </c>
      <c r="R381" s="1602" t="e">
        <f t="shared" si="35"/>
        <v>#N/A</v>
      </c>
      <c r="S381" s="1604" t="e">
        <f t="shared" si="29"/>
        <v>#N/A</v>
      </c>
      <c r="T381" s="947" t="e">
        <v>#N/A</v>
      </c>
      <c r="U381" s="190" t="e">
        <v>#N/A</v>
      </c>
      <c r="V381" s="947" t="e">
        <v>#N/A</v>
      </c>
      <c r="W381" s="141" t="e">
        <v>#N/A</v>
      </c>
      <c r="X381" s="2731" t="e">
        <f t="shared" si="36"/>
        <v>#N/A</v>
      </c>
      <c r="Y381" s="217" t="e">
        <v>#N/A</v>
      </c>
    </row>
    <row r="382" spans="1:25">
      <c r="A382" s="53">
        <f t="shared" si="28"/>
        <v>2028.01</v>
      </c>
      <c r="B382" s="141" t="e">
        <v>#N/A</v>
      </c>
      <c r="C382" s="2382" t="e">
        <f t="shared" si="34"/>
        <v>#N/A</v>
      </c>
      <c r="D382" s="3504" t="e">
        <v>#N/A</v>
      </c>
      <c r="E382" s="151" t="e">
        <v>#N/A</v>
      </c>
      <c r="F382" s="3504" t="e">
        <v>#N/A</v>
      </c>
      <c r="G382" s="151" t="e">
        <v>#N/A</v>
      </c>
      <c r="H382" s="3504" t="e">
        <v>#N/A</v>
      </c>
      <c r="I382" s="151" t="e">
        <v>#N/A</v>
      </c>
      <c r="J382" s="3504" t="e">
        <v>#N/A</v>
      </c>
      <c r="K382" s="151" t="e">
        <v>#N/A</v>
      </c>
      <c r="L382" s="3504" t="e">
        <v>#N/A</v>
      </c>
      <c r="M382" s="151" t="e">
        <v>#N/A</v>
      </c>
      <c r="N382" s="1396" t="e">
        <v>#N/A</v>
      </c>
      <c r="O382" s="1407" t="e">
        <v>#N/A</v>
      </c>
      <c r="P382" s="1398" t="e">
        <v>#N/A</v>
      </c>
      <c r="Q382" s="1398" t="e">
        <v>#N/A</v>
      </c>
      <c r="R382" s="1602" t="e">
        <f t="shared" si="35"/>
        <v>#N/A</v>
      </c>
      <c r="S382" s="1604" t="e">
        <f t="shared" si="29"/>
        <v>#N/A</v>
      </c>
      <c r="T382" s="947" t="e">
        <v>#N/A</v>
      </c>
      <c r="U382" s="190" t="e">
        <v>#N/A</v>
      </c>
      <c r="V382" s="947" t="e">
        <v>#N/A</v>
      </c>
      <c r="W382" s="141" t="e">
        <v>#N/A</v>
      </c>
      <c r="X382" s="2731" t="e">
        <f t="shared" si="36"/>
        <v>#N/A</v>
      </c>
      <c r="Y382" s="217" t="e">
        <v>#N/A</v>
      </c>
    </row>
    <row r="383" spans="1:25">
      <c r="A383" s="53">
        <f t="shared" si="28"/>
        <v>2028.02</v>
      </c>
      <c r="B383" s="141" t="e">
        <v>#N/A</v>
      </c>
      <c r="C383" s="2382" t="e">
        <f t="shared" si="34"/>
        <v>#N/A</v>
      </c>
      <c r="D383" s="3504" t="e">
        <v>#N/A</v>
      </c>
      <c r="E383" s="151" t="e">
        <v>#N/A</v>
      </c>
      <c r="F383" s="3504" t="e">
        <v>#N/A</v>
      </c>
      <c r="G383" s="151" t="e">
        <v>#N/A</v>
      </c>
      <c r="H383" s="3504" t="e">
        <v>#N/A</v>
      </c>
      <c r="I383" s="151" t="e">
        <v>#N/A</v>
      </c>
      <c r="J383" s="3504" t="e">
        <v>#N/A</v>
      </c>
      <c r="K383" s="151" t="e">
        <v>#N/A</v>
      </c>
      <c r="L383" s="3504" t="e">
        <v>#N/A</v>
      </c>
      <c r="M383" s="151" t="e">
        <v>#N/A</v>
      </c>
      <c r="N383" s="1396" t="e">
        <v>#N/A</v>
      </c>
      <c r="O383" s="1407" t="e">
        <v>#N/A</v>
      </c>
      <c r="P383" s="1398" t="e">
        <v>#N/A</v>
      </c>
      <c r="Q383" s="1398" t="e">
        <v>#N/A</v>
      </c>
      <c r="R383" s="1602" t="e">
        <f t="shared" si="35"/>
        <v>#N/A</v>
      </c>
      <c r="S383" s="1604" t="e">
        <f t="shared" si="29"/>
        <v>#N/A</v>
      </c>
      <c r="T383" s="947" t="e">
        <v>#N/A</v>
      </c>
      <c r="U383" s="190" t="e">
        <v>#N/A</v>
      </c>
      <c r="V383" s="947" t="e">
        <v>#N/A</v>
      </c>
      <c r="W383" s="141" t="e">
        <v>#N/A</v>
      </c>
      <c r="X383" s="2731" t="e">
        <f t="shared" si="36"/>
        <v>#N/A</v>
      </c>
      <c r="Y383" s="217" t="e">
        <v>#N/A</v>
      </c>
    </row>
    <row r="384" spans="1:25">
      <c r="A384" s="53">
        <f t="shared" si="28"/>
        <v>2028.03</v>
      </c>
      <c r="B384" s="141" t="e">
        <v>#N/A</v>
      </c>
      <c r="C384" s="2382" t="e">
        <f t="shared" si="34"/>
        <v>#N/A</v>
      </c>
      <c r="D384" s="3504" t="e">
        <v>#N/A</v>
      </c>
      <c r="E384" s="151" t="e">
        <v>#N/A</v>
      </c>
      <c r="F384" s="3504" t="e">
        <v>#N/A</v>
      </c>
      <c r="G384" s="151" t="e">
        <v>#N/A</v>
      </c>
      <c r="H384" s="3504" t="e">
        <v>#N/A</v>
      </c>
      <c r="I384" s="151" t="e">
        <v>#N/A</v>
      </c>
      <c r="J384" s="3504" t="e">
        <v>#N/A</v>
      </c>
      <c r="K384" s="151" t="e">
        <v>#N/A</v>
      </c>
      <c r="L384" s="3504" t="e">
        <v>#N/A</v>
      </c>
      <c r="M384" s="151" t="e">
        <v>#N/A</v>
      </c>
      <c r="N384" s="1396" t="e">
        <v>#N/A</v>
      </c>
      <c r="O384" s="1407" t="e">
        <v>#N/A</v>
      </c>
      <c r="P384" s="1398" t="e">
        <v>#N/A</v>
      </c>
      <c r="Q384" s="1398" t="e">
        <v>#N/A</v>
      </c>
      <c r="R384" s="1602" t="e">
        <f t="shared" si="35"/>
        <v>#N/A</v>
      </c>
      <c r="S384" s="1604" t="e">
        <f t="shared" si="29"/>
        <v>#N/A</v>
      </c>
      <c r="T384" s="947" t="e">
        <v>#N/A</v>
      </c>
      <c r="U384" s="190" t="e">
        <v>#N/A</v>
      </c>
      <c r="V384" s="947" t="e">
        <v>#N/A</v>
      </c>
      <c r="W384" s="141" t="e">
        <v>#N/A</v>
      </c>
      <c r="X384" s="2731" t="e">
        <f t="shared" si="36"/>
        <v>#N/A</v>
      </c>
      <c r="Y384" s="217" t="e">
        <v>#N/A</v>
      </c>
    </row>
    <row r="385" spans="1:25">
      <c r="A385" s="53">
        <f t="shared" si="28"/>
        <v>2028.04</v>
      </c>
      <c r="B385" s="141" t="e">
        <v>#N/A</v>
      </c>
      <c r="C385" s="2382" t="e">
        <f t="shared" si="34"/>
        <v>#N/A</v>
      </c>
      <c r="D385" s="3504" t="e">
        <v>#N/A</v>
      </c>
      <c r="E385" s="151" t="e">
        <v>#N/A</v>
      </c>
      <c r="F385" s="3504" t="e">
        <v>#N/A</v>
      </c>
      <c r="G385" s="151" t="e">
        <v>#N/A</v>
      </c>
      <c r="H385" s="3504" t="e">
        <v>#N/A</v>
      </c>
      <c r="I385" s="151" t="e">
        <v>#N/A</v>
      </c>
      <c r="J385" s="3504" t="e">
        <v>#N/A</v>
      </c>
      <c r="K385" s="151" t="e">
        <v>#N/A</v>
      </c>
      <c r="L385" s="3504" t="e">
        <v>#N/A</v>
      </c>
      <c r="M385" s="151" t="e">
        <v>#N/A</v>
      </c>
      <c r="N385" s="1396" t="e">
        <v>#N/A</v>
      </c>
      <c r="O385" s="1407" t="e">
        <v>#N/A</v>
      </c>
      <c r="P385" s="1398" t="e">
        <v>#N/A</v>
      </c>
      <c r="Q385" s="1398" t="e">
        <v>#N/A</v>
      </c>
      <c r="R385" s="1602" t="e">
        <f t="shared" si="35"/>
        <v>#N/A</v>
      </c>
      <c r="S385" s="1604" t="e">
        <f t="shared" si="29"/>
        <v>#N/A</v>
      </c>
      <c r="T385" s="947" t="e">
        <v>#N/A</v>
      </c>
      <c r="U385" s="190" t="e">
        <v>#N/A</v>
      </c>
      <c r="V385" s="947" t="e">
        <v>#N/A</v>
      </c>
      <c r="W385" s="141" t="e">
        <v>#N/A</v>
      </c>
      <c r="X385" s="2731" t="e">
        <f t="shared" si="36"/>
        <v>#N/A</v>
      </c>
      <c r="Y385" s="217" t="e">
        <v>#N/A</v>
      </c>
    </row>
    <row r="386" spans="1:25">
      <c r="A386" s="53">
        <f t="shared" si="28"/>
        <v>2028.05</v>
      </c>
      <c r="B386" s="141" t="e">
        <v>#N/A</v>
      </c>
      <c r="C386" s="2382" t="e">
        <f t="shared" si="34"/>
        <v>#N/A</v>
      </c>
      <c r="D386" s="3504" t="e">
        <v>#N/A</v>
      </c>
      <c r="E386" s="151" t="e">
        <v>#N/A</v>
      </c>
      <c r="F386" s="3504" t="e">
        <v>#N/A</v>
      </c>
      <c r="G386" s="151" t="e">
        <v>#N/A</v>
      </c>
      <c r="H386" s="3504" t="e">
        <v>#N/A</v>
      </c>
      <c r="I386" s="151" t="e">
        <v>#N/A</v>
      </c>
      <c r="J386" s="3504" t="e">
        <v>#N/A</v>
      </c>
      <c r="K386" s="151" t="e">
        <v>#N/A</v>
      </c>
      <c r="L386" s="3504" t="e">
        <v>#N/A</v>
      </c>
      <c r="M386" s="151" t="e">
        <v>#N/A</v>
      </c>
      <c r="N386" s="1396" t="e">
        <v>#N/A</v>
      </c>
      <c r="O386" s="1407" t="e">
        <v>#N/A</v>
      </c>
      <c r="P386" s="1398" t="e">
        <v>#N/A</v>
      </c>
      <c r="Q386" s="1398" t="e">
        <v>#N/A</v>
      </c>
      <c r="R386" s="1602" t="e">
        <f t="shared" si="35"/>
        <v>#N/A</v>
      </c>
      <c r="S386" s="1604" t="e">
        <f t="shared" si="29"/>
        <v>#N/A</v>
      </c>
      <c r="T386" s="947" t="e">
        <v>#N/A</v>
      </c>
      <c r="U386" s="190" t="e">
        <v>#N/A</v>
      </c>
      <c r="V386" s="947" t="e">
        <v>#N/A</v>
      </c>
      <c r="W386" s="141" t="e">
        <v>#N/A</v>
      </c>
      <c r="X386" s="2731" t="e">
        <f t="shared" si="36"/>
        <v>#N/A</v>
      </c>
      <c r="Y386" s="217" t="e">
        <v>#N/A</v>
      </c>
    </row>
    <row r="387" spans="1:25">
      <c r="A387" s="53">
        <f t="shared" si="28"/>
        <v>2028.06</v>
      </c>
      <c r="B387" s="141" t="e">
        <v>#N/A</v>
      </c>
      <c r="C387" s="2382" t="e">
        <f t="shared" si="34"/>
        <v>#N/A</v>
      </c>
      <c r="D387" s="3504" t="e">
        <v>#N/A</v>
      </c>
      <c r="E387" s="151" t="e">
        <v>#N/A</v>
      </c>
      <c r="F387" s="3504" t="e">
        <v>#N/A</v>
      </c>
      <c r="G387" s="151" t="e">
        <v>#N/A</v>
      </c>
      <c r="H387" s="3504" t="e">
        <v>#N/A</v>
      </c>
      <c r="I387" s="151" t="e">
        <v>#N/A</v>
      </c>
      <c r="J387" s="3504" t="e">
        <v>#N/A</v>
      </c>
      <c r="K387" s="151" t="e">
        <v>#N/A</v>
      </c>
      <c r="L387" s="3504" t="e">
        <v>#N/A</v>
      </c>
      <c r="M387" s="151" t="e">
        <v>#N/A</v>
      </c>
      <c r="N387" s="1396" t="e">
        <v>#N/A</v>
      </c>
      <c r="O387" s="1407" t="e">
        <v>#N/A</v>
      </c>
      <c r="P387" s="1398" t="e">
        <v>#N/A</v>
      </c>
      <c r="Q387" s="1398" t="e">
        <v>#N/A</v>
      </c>
      <c r="R387" s="1602" t="e">
        <f t="shared" si="35"/>
        <v>#N/A</v>
      </c>
      <c r="S387" s="1604" t="e">
        <f t="shared" si="29"/>
        <v>#N/A</v>
      </c>
      <c r="T387" s="947" t="e">
        <v>#N/A</v>
      </c>
      <c r="U387" s="190" t="e">
        <v>#N/A</v>
      </c>
      <c r="V387" s="947" t="e">
        <v>#N/A</v>
      </c>
      <c r="W387" s="141" t="e">
        <v>#N/A</v>
      </c>
      <c r="X387" s="2731" t="e">
        <f t="shared" si="36"/>
        <v>#N/A</v>
      </c>
      <c r="Y387" s="217" t="e">
        <v>#N/A</v>
      </c>
    </row>
    <row r="388" spans="1:25">
      <c r="A388" s="53">
        <f t="shared" si="28"/>
        <v>2028.07</v>
      </c>
      <c r="B388" s="141" t="e">
        <v>#N/A</v>
      </c>
      <c r="C388" s="2382" t="e">
        <f t="shared" si="34"/>
        <v>#N/A</v>
      </c>
      <c r="D388" s="3504" t="e">
        <v>#N/A</v>
      </c>
      <c r="E388" s="151" t="e">
        <v>#N/A</v>
      </c>
      <c r="F388" s="3504" t="e">
        <v>#N/A</v>
      </c>
      <c r="G388" s="151" t="e">
        <v>#N/A</v>
      </c>
      <c r="H388" s="3504" t="e">
        <v>#N/A</v>
      </c>
      <c r="I388" s="151" t="e">
        <v>#N/A</v>
      </c>
      <c r="J388" s="3504" t="e">
        <v>#N/A</v>
      </c>
      <c r="K388" s="151" t="e">
        <v>#N/A</v>
      </c>
      <c r="L388" s="3504" t="e">
        <v>#N/A</v>
      </c>
      <c r="M388" s="151" t="e">
        <v>#N/A</v>
      </c>
      <c r="N388" s="1396" t="e">
        <v>#N/A</v>
      </c>
      <c r="O388" s="1407" t="e">
        <v>#N/A</v>
      </c>
      <c r="P388" s="1398" t="e">
        <v>#N/A</v>
      </c>
      <c r="Q388" s="1398" t="e">
        <v>#N/A</v>
      </c>
      <c r="R388" s="1602" t="e">
        <f t="shared" si="35"/>
        <v>#N/A</v>
      </c>
      <c r="S388" s="1604" t="e">
        <f t="shared" si="29"/>
        <v>#N/A</v>
      </c>
      <c r="T388" s="947" t="e">
        <v>#N/A</v>
      </c>
      <c r="U388" s="190" t="e">
        <v>#N/A</v>
      </c>
      <c r="V388" s="947" t="e">
        <v>#N/A</v>
      </c>
      <c r="W388" s="141" t="e">
        <v>#N/A</v>
      </c>
      <c r="X388" s="2731" t="e">
        <f t="shared" si="36"/>
        <v>#N/A</v>
      </c>
      <c r="Y388" s="217" t="e">
        <v>#N/A</v>
      </c>
    </row>
    <row r="389" spans="1:25">
      <c r="A389" s="53">
        <f t="shared" si="28"/>
        <v>2028.08</v>
      </c>
      <c r="B389" s="141" t="e">
        <v>#N/A</v>
      </c>
      <c r="C389" s="2382" t="e">
        <f t="shared" si="34"/>
        <v>#N/A</v>
      </c>
      <c r="D389" s="3504" t="e">
        <v>#N/A</v>
      </c>
      <c r="E389" s="151" t="e">
        <v>#N/A</v>
      </c>
      <c r="F389" s="3504" t="e">
        <v>#N/A</v>
      </c>
      <c r="G389" s="151" t="e">
        <v>#N/A</v>
      </c>
      <c r="H389" s="3504" t="e">
        <v>#N/A</v>
      </c>
      <c r="I389" s="151" t="e">
        <v>#N/A</v>
      </c>
      <c r="J389" s="3504" t="e">
        <v>#N/A</v>
      </c>
      <c r="K389" s="151" t="e">
        <v>#N/A</v>
      </c>
      <c r="L389" s="3504" t="e">
        <v>#N/A</v>
      </c>
      <c r="M389" s="151" t="e">
        <v>#N/A</v>
      </c>
      <c r="N389" s="1396" t="e">
        <v>#N/A</v>
      </c>
      <c r="O389" s="1407" t="e">
        <v>#N/A</v>
      </c>
      <c r="P389" s="1398" t="e">
        <v>#N/A</v>
      </c>
      <c r="Q389" s="1398" t="e">
        <v>#N/A</v>
      </c>
      <c r="R389" s="1602" t="e">
        <f t="shared" si="35"/>
        <v>#N/A</v>
      </c>
      <c r="S389" s="1604" t="e">
        <f t="shared" si="29"/>
        <v>#N/A</v>
      </c>
      <c r="T389" s="947" t="e">
        <v>#N/A</v>
      </c>
      <c r="U389" s="190" t="e">
        <v>#N/A</v>
      </c>
      <c r="V389" s="947" t="e">
        <v>#N/A</v>
      </c>
      <c r="W389" s="141" t="e">
        <v>#N/A</v>
      </c>
      <c r="X389" s="2731" t="e">
        <f t="shared" si="36"/>
        <v>#N/A</v>
      </c>
      <c r="Y389" s="217" t="e">
        <v>#N/A</v>
      </c>
    </row>
    <row r="390" spans="1:25">
      <c r="A390" s="53">
        <f t="shared" si="28"/>
        <v>2028.09</v>
      </c>
      <c r="B390" s="141" t="e">
        <v>#N/A</v>
      </c>
      <c r="C390" s="2382" t="e">
        <f t="shared" ref="C390:C404" si="37">SUM(D390:J390)</f>
        <v>#N/A</v>
      </c>
      <c r="D390" s="3504" t="e">
        <v>#N/A</v>
      </c>
      <c r="E390" s="151" t="e">
        <v>#N/A</v>
      </c>
      <c r="F390" s="3504" t="e">
        <v>#N/A</v>
      </c>
      <c r="G390" s="151" t="e">
        <v>#N/A</v>
      </c>
      <c r="H390" s="3504" t="e">
        <v>#N/A</v>
      </c>
      <c r="I390" s="151" t="e">
        <v>#N/A</v>
      </c>
      <c r="J390" s="3504" t="e">
        <v>#N/A</v>
      </c>
      <c r="K390" s="151" t="e">
        <v>#N/A</v>
      </c>
      <c r="L390" s="3504" t="e">
        <v>#N/A</v>
      </c>
      <c r="M390" s="151" t="e">
        <v>#N/A</v>
      </c>
      <c r="N390" s="1396" t="e">
        <v>#N/A</v>
      </c>
      <c r="O390" s="1407" t="e">
        <v>#N/A</v>
      </c>
      <c r="P390" s="1398" t="e">
        <v>#N/A</v>
      </c>
      <c r="Q390" s="1398" t="e">
        <v>#N/A</v>
      </c>
      <c r="R390" s="1602" t="e">
        <f t="shared" ref="R390:R404" si="38">$B390/P390*1000</f>
        <v>#N/A</v>
      </c>
      <c r="S390" s="1604" t="e">
        <f t="shared" si="29"/>
        <v>#N/A</v>
      </c>
      <c r="T390" s="947" t="e">
        <v>#N/A</v>
      </c>
      <c r="U390" s="190" t="e">
        <v>#N/A</v>
      </c>
      <c r="V390" s="947" t="e">
        <v>#N/A</v>
      </c>
      <c r="W390" s="141" t="e">
        <v>#N/A</v>
      </c>
      <c r="X390" s="2731" t="e">
        <f t="shared" ref="X390:X404" si="39">V390+W390</f>
        <v>#N/A</v>
      </c>
      <c r="Y390" s="217" t="e">
        <v>#N/A</v>
      </c>
    </row>
    <row r="391" spans="1:25">
      <c r="A391" s="53">
        <f t="shared" si="28"/>
        <v>2028.1</v>
      </c>
      <c r="B391" s="141" t="e">
        <v>#N/A</v>
      </c>
      <c r="C391" s="2382" t="e">
        <f t="shared" si="37"/>
        <v>#N/A</v>
      </c>
      <c r="D391" s="3504" t="e">
        <v>#N/A</v>
      </c>
      <c r="E391" s="151" t="e">
        <v>#N/A</v>
      </c>
      <c r="F391" s="3504" t="e">
        <v>#N/A</v>
      </c>
      <c r="G391" s="151" t="e">
        <v>#N/A</v>
      </c>
      <c r="H391" s="3504" t="e">
        <v>#N/A</v>
      </c>
      <c r="I391" s="151" t="e">
        <v>#N/A</v>
      </c>
      <c r="J391" s="3504" t="e">
        <v>#N/A</v>
      </c>
      <c r="K391" s="151" t="e">
        <v>#N/A</v>
      </c>
      <c r="L391" s="3504" t="e">
        <v>#N/A</v>
      </c>
      <c r="M391" s="151" t="e">
        <v>#N/A</v>
      </c>
      <c r="N391" s="1396" t="e">
        <v>#N/A</v>
      </c>
      <c r="O391" s="1407" t="e">
        <v>#N/A</v>
      </c>
      <c r="P391" s="1398" t="e">
        <v>#N/A</v>
      </c>
      <c r="Q391" s="1398" t="e">
        <v>#N/A</v>
      </c>
      <c r="R391" s="1602" t="e">
        <f t="shared" si="38"/>
        <v>#N/A</v>
      </c>
      <c r="S391" s="1604" t="e">
        <f t="shared" si="29"/>
        <v>#N/A</v>
      </c>
      <c r="T391" s="947" t="e">
        <v>#N/A</v>
      </c>
      <c r="U391" s="190" t="e">
        <v>#N/A</v>
      </c>
      <c r="V391" s="947" t="e">
        <v>#N/A</v>
      </c>
      <c r="W391" s="141" t="e">
        <v>#N/A</v>
      </c>
      <c r="X391" s="2731" t="e">
        <f t="shared" si="39"/>
        <v>#N/A</v>
      </c>
      <c r="Y391" s="217" t="e">
        <v>#N/A</v>
      </c>
    </row>
    <row r="392" spans="1:25">
      <c r="A392" s="53">
        <f t="shared" si="28"/>
        <v>2028.11</v>
      </c>
      <c r="B392" s="141" t="e">
        <v>#N/A</v>
      </c>
      <c r="C392" s="2382" t="e">
        <f t="shared" si="37"/>
        <v>#N/A</v>
      </c>
      <c r="D392" s="3504" t="e">
        <v>#N/A</v>
      </c>
      <c r="E392" s="151" t="e">
        <v>#N/A</v>
      </c>
      <c r="F392" s="3504" t="e">
        <v>#N/A</v>
      </c>
      <c r="G392" s="151" t="e">
        <v>#N/A</v>
      </c>
      <c r="H392" s="3504" t="e">
        <v>#N/A</v>
      </c>
      <c r="I392" s="151" t="e">
        <v>#N/A</v>
      </c>
      <c r="J392" s="3504" t="e">
        <v>#N/A</v>
      </c>
      <c r="K392" s="151" t="e">
        <v>#N/A</v>
      </c>
      <c r="L392" s="3504" t="e">
        <v>#N/A</v>
      </c>
      <c r="M392" s="151" t="e">
        <v>#N/A</v>
      </c>
      <c r="N392" s="1396" t="e">
        <v>#N/A</v>
      </c>
      <c r="O392" s="1407" t="e">
        <v>#N/A</v>
      </c>
      <c r="P392" s="1398" t="e">
        <v>#N/A</v>
      </c>
      <c r="Q392" s="1398" t="e">
        <v>#N/A</v>
      </c>
      <c r="R392" s="1602" t="e">
        <f t="shared" si="38"/>
        <v>#N/A</v>
      </c>
      <c r="S392" s="1604" t="e">
        <f t="shared" si="29"/>
        <v>#N/A</v>
      </c>
      <c r="T392" s="947" t="e">
        <v>#N/A</v>
      </c>
      <c r="U392" s="190" t="e">
        <v>#N/A</v>
      </c>
      <c r="V392" s="947" t="e">
        <v>#N/A</v>
      </c>
      <c r="W392" s="141" t="e">
        <v>#N/A</v>
      </c>
      <c r="X392" s="2731" t="e">
        <f t="shared" si="39"/>
        <v>#N/A</v>
      </c>
      <c r="Y392" s="217" t="e">
        <v>#N/A</v>
      </c>
    </row>
    <row r="393" spans="1:25">
      <c r="A393" s="53">
        <f t="shared" si="28"/>
        <v>2028.12</v>
      </c>
      <c r="B393" s="141" t="e">
        <v>#N/A</v>
      </c>
      <c r="C393" s="2382" t="e">
        <f t="shared" si="37"/>
        <v>#N/A</v>
      </c>
      <c r="D393" s="3504" t="e">
        <v>#N/A</v>
      </c>
      <c r="E393" s="151" t="e">
        <v>#N/A</v>
      </c>
      <c r="F393" s="3504" t="e">
        <v>#N/A</v>
      </c>
      <c r="G393" s="151" t="e">
        <v>#N/A</v>
      </c>
      <c r="H393" s="3504" t="e">
        <v>#N/A</v>
      </c>
      <c r="I393" s="151" t="e">
        <v>#N/A</v>
      </c>
      <c r="J393" s="3504" t="e">
        <v>#N/A</v>
      </c>
      <c r="K393" s="151" t="e">
        <v>#N/A</v>
      </c>
      <c r="L393" s="3504" t="e">
        <v>#N/A</v>
      </c>
      <c r="M393" s="151" t="e">
        <v>#N/A</v>
      </c>
      <c r="N393" s="1396" t="e">
        <v>#N/A</v>
      </c>
      <c r="O393" s="1407" t="e">
        <v>#N/A</v>
      </c>
      <c r="P393" s="1398" t="e">
        <v>#N/A</v>
      </c>
      <c r="Q393" s="1398" t="e">
        <v>#N/A</v>
      </c>
      <c r="R393" s="1602" t="e">
        <f t="shared" si="38"/>
        <v>#N/A</v>
      </c>
      <c r="S393" s="1604" t="e">
        <f t="shared" si="29"/>
        <v>#N/A</v>
      </c>
      <c r="T393" s="947" t="e">
        <v>#N/A</v>
      </c>
      <c r="U393" s="190" t="e">
        <v>#N/A</v>
      </c>
      <c r="V393" s="947" t="e">
        <v>#N/A</v>
      </c>
      <c r="W393" s="141" t="e">
        <v>#N/A</v>
      </c>
      <c r="X393" s="2731" t="e">
        <f t="shared" si="39"/>
        <v>#N/A</v>
      </c>
      <c r="Y393" s="217" t="e">
        <v>#N/A</v>
      </c>
    </row>
    <row r="394" spans="1:25">
      <c r="A394" s="53">
        <f t="shared" si="28"/>
        <v>2029.01</v>
      </c>
      <c r="B394" s="141" t="e">
        <v>#N/A</v>
      </c>
      <c r="C394" s="2382" t="e">
        <f t="shared" si="37"/>
        <v>#N/A</v>
      </c>
      <c r="D394" s="3504" t="e">
        <v>#N/A</v>
      </c>
      <c r="E394" s="151" t="e">
        <v>#N/A</v>
      </c>
      <c r="F394" s="3504" t="e">
        <v>#N/A</v>
      </c>
      <c r="G394" s="151" t="e">
        <v>#N/A</v>
      </c>
      <c r="H394" s="3504" t="e">
        <v>#N/A</v>
      </c>
      <c r="I394" s="151" t="e">
        <v>#N/A</v>
      </c>
      <c r="J394" s="3504" t="e">
        <v>#N/A</v>
      </c>
      <c r="K394" s="151" t="e">
        <v>#N/A</v>
      </c>
      <c r="L394" s="3504" t="e">
        <v>#N/A</v>
      </c>
      <c r="M394" s="151" t="e">
        <v>#N/A</v>
      </c>
      <c r="N394" s="1396" t="e">
        <v>#N/A</v>
      </c>
      <c r="O394" s="1407" t="e">
        <v>#N/A</v>
      </c>
      <c r="P394" s="1398" t="e">
        <v>#N/A</v>
      </c>
      <c r="Q394" s="1398" t="e">
        <v>#N/A</v>
      </c>
      <c r="R394" s="1602" t="e">
        <f t="shared" si="38"/>
        <v>#N/A</v>
      </c>
      <c r="S394" s="1604" t="e">
        <f t="shared" si="29"/>
        <v>#N/A</v>
      </c>
      <c r="T394" s="947" t="e">
        <v>#N/A</v>
      </c>
      <c r="U394" s="190" t="e">
        <v>#N/A</v>
      </c>
      <c r="V394" s="947" t="e">
        <v>#N/A</v>
      </c>
      <c r="W394" s="141" t="e">
        <v>#N/A</v>
      </c>
      <c r="X394" s="2731" t="e">
        <f t="shared" si="39"/>
        <v>#N/A</v>
      </c>
      <c r="Y394" s="217" t="e">
        <v>#N/A</v>
      </c>
    </row>
    <row r="395" spans="1:25">
      <c r="A395" s="53">
        <f t="shared" si="28"/>
        <v>2029.02</v>
      </c>
      <c r="B395" s="141" t="e">
        <v>#N/A</v>
      </c>
      <c r="C395" s="2382" t="e">
        <f t="shared" si="37"/>
        <v>#N/A</v>
      </c>
      <c r="D395" s="3504" t="e">
        <v>#N/A</v>
      </c>
      <c r="E395" s="151" t="e">
        <v>#N/A</v>
      </c>
      <c r="F395" s="3504" t="e">
        <v>#N/A</v>
      </c>
      <c r="G395" s="151" t="e">
        <v>#N/A</v>
      </c>
      <c r="H395" s="3504" t="e">
        <v>#N/A</v>
      </c>
      <c r="I395" s="151" t="e">
        <v>#N/A</v>
      </c>
      <c r="J395" s="3504" t="e">
        <v>#N/A</v>
      </c>
      <c r="K395" s="151" t="e">
        <v>#N/A</v>
      </c>
      <c r="L395" s="3504" t="e">
        <v>#N/A</v>
      </c>
      <c r="M395" s="151" t="e">
        <v>#N/A</v>
      </c>
      <c r="N395" s="1396" t="e">
        <v>#N/A</v>
      </c>
      <c r="O395" s="1407" t="e">
        <v>#N/A</v>
      </c>
      <c r="P395" s="1398" t="e">
        <v>#N/A</v>
      </c>
      <c r="Q395" s="1398" t="e">
        <v>#N/A</v>
      </c>
      <c r="R395" s="1602" t="e">
        <f t="shared" si="38"/>
        <v>#N/A</v>
      </c>
      <c r="S395" s="1604" t="e">
        <f t="shared" ref="S395:S417" si="40">$B395/Q395*1000</f>
        <v>#N/A</v>
      </c>
      <c r="T395" s="947" t="e">
        <v>#N/A</v>
      </c>
      <c r="U395" s="190" t="e">
        <v>#N/A</v>
      </c>
      <c r="V395" s="947" t="e">
        <v>#N/A</v>
      </c>
      <c r="W395" s="141" t="e">
        <v>#N/A</v>
      </c>
      <c r="X395" s="2731" t="e">
        <f t="shared" si="39"/>
        <v>#N/A</v>
      </c>
      <c r="Y395" s="217" t="e">
        <v>#N/A</v>
      </c>
    </row>
    <row r="396" spans="1:25">
      <c r="A396" s="53">
        <f t="shared" si="28"/>
        <v>2029.03</v>
      </c>
      <c r="B396" s="141" t="e">
        <v>#N/A</v>
      </c>
      <c r="C396" s="2382" t="e">
        <f t="shared" si="37"/>
        <v>#N/A</v>
      </c>
      <c r="D396" s="3504" t="e">
        <v>#N/A</v>
      </c>
      <c r="E396" s="151" t="e">
        <v>#N/A</v>
      </c>
      <c r="F396" s="3504" t="e">
        <v>#N/A</v>
      </c>
      <c r="G396" s="151" t="e">
        <v>#N/A</v>
      </c>
      <c r="H396" s="3504" t="e">
        <v>#N/A</v>
      </c>
      <c r="I396" s="151" t="e">
        <v>#N/A</v>
      </c>
      <c r="J396" s="3504" t="e">
        <v>#N/A</v>
      </c>
      <c r="K396" s="151" t="e">
        <v>#N/A</v>
      </c>
      <c r="L396" s="3504" t="e">
        <v>#N/A</v>
      </c>
      <c r="M396" s="151" t="e">
        <v>#N/A</v>
      </c>
      <c r="N396" s="1396" t="e">
        <v>#N/A</v>
      </c>
      <c r="O396" s="1407" t="e">
        <v>#N/A</v>
      </c>
      <c r="P396" s="1398" t="e">
        <v>#N/A</v>
      </c>
      <c r="Q396" s="1398" t="e">
        <v>#N/A</v>
      </c>
      <c r="R396" s="1602" t="e">
        <f t="shared" si="38"/>
        <v>#N/A</v>
      </c>
      <c r="S396" s="1604" t="e">
        <f t="shared" si="40"/>
        <v>#N/A</v>
      </c>
      <c r="T396" s="947" t="e">
        <v>#N/A</v>
      </c>
      <c r="U396" s="190" t="e">
        <v>#N/A</v>
      </c>
      <c r="V396" s="947" t="e">
        <v>#N/A</v>
      </c>
      <c r="W396" s="141" t="e">
        <v>#N/A</v>
      </c>
      <c r="X396" s="2731" t="e">
        <f t="shared" si="39"/>
        <v>#N/A</v>
      </c>
      <c r="Y396" s="217" t="e">
        <v>#N/A</v>
      </c>
    </row>
    <row r="397" spans="1:25">
      <c r="A397" s="53">
        <f t="shared" si="28"/>
        <v>2029.04</v>
      </c>
      <c r="B397" s="141" t="e">
        <v>#N/A</v>
      </c>
      <c r="C397" s="2382" t="e">
        <f t="shared" si="37"/>
        <v>#N/A</v>
      </c>
      <c r="D397" s="3504" t="e">
        <v>#N/A</v>
      </c>
      <c r="E397" s="151" t="e">
        <v>#N/A</v>
      </c>
      <c r="F397" s="3504" t="e">
        <v>#N/A</v>
      </c>
      <c r="G397" s="151" t="e">
        <v>#N/A</v>
      </c>
      <c r="H397" s="3504" t="e">
        <v>#N/A</v>
      </c>
      <c r="I397" s="151" t="e">
        <v>#N/A</v>
      </c>
      <c r="J397" s="3504" t="e">
        <v>#N/A</v>
      </c>
      <c r="K397" s="151" t="e">
        <v>#N/A</v>
      </c>
      <c r="L397" s="3504" t="e">
        <v>#N/A</v>
      </c>
      <c r="M397" s="151" t="e">
        <v>#N/A</v>
      </c>
      <c r="N397" s="1396" t="e">
        <v>#N/A</v>
      </c>
      <c r="O397" s="1407" t="e">
        <v>#N/A</v>
      </c>
      <c r="P397" s="1398" t="e">
        <v>#N/A</v>
      </c>
      <c r="Q397" s="1398" t="e">
        <v>#N/A</v>
      </c>
      <c r="R397" s="1602" t="e">
        <f t="shared" si="38"/>
        <v>#N/A</v>
      </c>
      <c r="S397" s="1604" t="e">
        <f t="shared" si="40"/>
        <v>#N/A</v>
      </c>
      <c r="T397" s="947" t="e">
        <v>#N/A</v>
      </c>
      <c r="U397" s="190" t="e">
        <v>#N/A</v>
      </c>
      <c r="V397" s="947" t="e">
        <v>#N/A</v>
      </c>
      <c r="W397" s="141" t="e">
        <v>#N/A</v>
      </c>
      <c r="X397" s="2731" t="e">
        <f t="shared" si="39"/>
        <v>#N/A</v>
      </c>
      <c r="Y397" s="217" t="e">
        <v>#N/A</v>
      </c>
    </row>
    <row r="398" spans="1:25">
      <c r="A398" s="53">
        <f t="shared" ref="A398:A417" si="41">A386+1</f>
        <v>2029.05</v>
      </c>
      <c r="B398" s="141" t="e">
        <v>#N/A</v>
      </c>
      <c r="C398" s="2382" t="e">
        <f t="shared" si="37"/>
        <v>#N/A</v>
      </c>
      <c r="D398" s="3504" t="e">
        <v>#N/A</v>
      </c>
      <c r="E398" s="151" t="e">
        <v>#N/A</v>
      </c>
      <c r="F398" s="3504" t="e">
        <v>#N/A</v>
      </c>
      <c r="G398" s="151" t="e">
        <v>#N/A</v>
      </c>
      <c r="H398" s="3504" t="e">
        <v>#N/A</v>
      </c>
      <c r="I398" s="151" t="e">
        <v>#N/A</v>
      </c>
      <c r="J398" s="3504" t="e">
        <v>#N/A</v>
      </c>
      <c r="K398" s="151" t="e">
        <v>#N/A</v>
      </c>
      <c r="L398" s="3504" t="e">
        <v>#N/A</v>
      </c>
      <c r="M398" s="151" t="e">
        <v>#N/A</v>
      </c>
      <c r="N398" s="1396" t="e">
        <v>#N/A</v>
      </c>
      <c r="O398" s="1407" t="e">
        <v>#N/A</v>
      </c>
      <c r="P398" s="1398" t="e">
        <v>#N/A</v>
      </c>
      <c r="Q398" s="1398" t="e">
        <v>#N/A</v>
      </c>
      <c r="R398" s="1602" t="e">
        <f t="shared" si="38"/>
        <v>#N/A</v>
      </c>
      <c r="S398" s="1604" t="e">
        <f t="shared" si="40"/>
        <v>#N/A</v>
      </c>
      <c r="T398" s="947" t="e">
        <v>#N/A</v>
      </c>
      <c r="U398" s="190" t="e">
        <v>#N/A</v>
      </c>
      <c r="V398" s="947" t="e">
        <v>#N/A</v>
      </c>
      <c r="W398" s="141" t="e">
        <v>#N/A</v>
      </c>
      <c r="X398" s="2731" t="e">
        <f t="shared" si="39"/>
        <v>#N/A</v>
      </c>
      <c r="Y398" s="217" t="e">
        <v>#N/A</v>
      </c>
    </row>
    <row r="399" spans="1:25">
      <c r="A399" s="53">
        <f t="shared" si="41"/>
        <v>2029.06</v>
      </c>
      <c r="B399" s="141" t="e">
        <v>#N/A</v>
      </c>
      <c r="C399" s="2382" t="e">
        <f t="shared" si="37"/>
        <v>#N/A</v>
      </c>
      <c r="D399" s="3504" t="e">
        <v>#N/A</v>
      </c>
      <c r="E399" s="151" t="e">
        <v>#N/A</v>
      </c>
      <c r="F399" s="3504" t="e">
        <v>#N/A</v>
      </c>
      <c r="G399" s="151" t="e">
        <v>#N/A</v>
      </c>
      <c r="H399" s="3504" t="e">
        <v>#N/A</v>
      </c>
      <c r="I399" s="151" t="e">
        <v>#N/A</v>
      </c>
      <c r="J399" s="3504" t="e">
        <v>#N/A</v>
      </c>
      <c r="K399" s="151" t="e">
        <v>#N/A</v>
      </c>
      <c r="L399" s="3504" t="e">
        <v>#N/A</v>
      </c>
      <c r="M399" s="151" t="e">
        <v>#N/A</v>
      </c>
      <c r="N399" s="1396" t="e">
        <v>#N/A</v>
      </c>
      <c r="O399" s="1407" t="e">
        <v>#N/A</v>
      </c>
      <c r="P399" s="1398" t="e">
        <v>#N/A</v>
      </c>
      <c r="Q399" s="1398" t="e">
        <v>#N/A</v>
      </c>
      <c r="R399" s="1602" t="e">
        <f t="shared" si="38"/>
        <v>#N/A</v>
      </c>
      <c r="S399" s="1604" t="e">
        <f t="shared" si="40"/>
        <v>#N/A</v>
      </c>
      <c r="T399" s="947" t="e">
        <v>#N/A</v>
      </c>
      <c r="U399" s="190" t="e">
        <v>#N/A</v>
      </c>
      <c r="V399" s="947" t="e">
        <v>#N/A</v>
      </c>
      <c r="W399" s="141" t="e">
        <v>#N/A</v>
      </c>
      <c r="X399" s="2731" t="e">
        <f t="shared" si="39"/>
        <v>#N/A</v>
      </c>
      <c r="Y399" s="217" t="e">
        <v>#N/A</v>
      </c>
    </row>
    <row r="400" spans="1:25">
      <c r="A400" s="53">
        <f t="shared" si="41"/>
        <v>2029.07</v>
      </c>
      <c r="B400" s="141" t="e">
        <v>#N/A</v>
      </c>
      <c r="C400" s="2382" t="e">
        <f t="shared" si="37"/>
        <v>#N/A</v>
      </c>
      <c r="D400" s="3504" t="e">
        <v>#N/A</v>
      </c>
      <c r="E400" s="151" t="e">
        <v>#N/A</v>
      </c>
      <c r="F400" s="3504" t="e">
        <v>#N/A</v>
      </c>
      <c r="G400" s="151" t="e">
        <v>#N/A</v>
      </c>
      <c r="H400" s="3504" t="e">
        <v>#N/A</v>
      </c>
      <c r="I400" s="151" t="e">
        <v>#N/A</v>
      </c>
      <c r="J400" s="3504" t="e">
        <v>#N/A</v>
      </c>
      <c r="K400" s="151" t="e">
        <v>#N/A</v>
      </c>
      <c r="L400" s="3504" t="e">
        <v>#N/A</v>
      </c>
      <c r="M400" s="151" t="e">
        <v>#N/A</v>
      </c>
      <c r="N400" s="1396" t="e">
        <v>#N/A</v>
      </c>
      <c r="O400" s="1407" t="e">
        <v>#N/A</v>
      </c>
      <c r="P400" s="1398" t="e">
        <v>#N/A</v>
      </c>
      <c r="Q400" s="1398" t="e">
        <v>#N/A</v>
      </c>
      <c r="R400" s="1602" t="e">
        <f t="shared" si="38"/>
        <v>#N/A</v>
      </c>
      <c r="S400" s="1604" t="e">
        <f t="shared" si="40"/>
        <v>#N/A</v>
      </c>
      <c r="T400" s="947" t="e">
        <v>#N/A</v>
      </c>
      <c r="U400" s="190" t="e">
        <v>#N/A</v>
      </c>
      <c r="V400" s="947" t="e">
        <v>#N/A</v>
      </c>
      <c r="W400" s="141" t="e">
        <v>#N/A</v>
      </c>
      <c r="X400" s="2731" t="e">
        <f t="shared" si="39"/>
        <v>#N/A</v>
      </c>
      <c r="Y400" s="217" t="e">
        <v>#N/A</v>
      </c>
    </row>
    <row r="401" spans="1:25">
      <c r="A401" s="53">
        <f t="shared" si="41"/>
        <v>2029.08</v>
      </c>
      <c r="B401" s="141" t="e">
        <v>#N/A</v>
      </c>
      <c r="C401" s="2382" t="e">
        <f t="shared" si="37"/>
        <v>#N/A</v>
      </c>
      <c r="D401" s="3504" t="e">
        <v>#N/A</v>
      </c>
      <c r="E401" s="151" t="e">
        <v>#N/A</v>
      </c>
      <c r="F401" s="3504" t="e">
        <v>#N/A</v>
      </c>
      <c r="G401" s="151" t="e">
        <v>#N/A</v>
      </c>
      <c r="H401" s="3504" t="e">
        <v>#N/A</v>
      </c>
      <c r="I401" s="151" t="e">
        <v>#N/A</v>
      </c>
      <c r="J401" s="3504" t="e">
        <v>#N/A</v>
      </c>
      <c r="K401" s="151" t="e">
        <v>#N/A</v>
      </c>
      <c r="L401" s="3504" t="e">
        <v>#N/A</v>
      </c>
      <c r="M401" s="151" t="e">
        <v>#N/A</v>
      </c>
      <c r="N401" s="1396" t="e">
        <v>#N/A</v>
      </c>
      <c r="O401" s="1407" t="e">
        <v>#N/A</v>
      </c>
      <c r="P401" s="1398" t="e">
        <v>#N/A</v>
      </c>
      <c r="Q401" s="1398" t="e">
        <v>#N/A</v>
      </c>
      <c r="R401" s="1602" t="e">
        <f t="shared" si="38"/>
        <v>#N/A</v>
      </c>
      <c r="S401" s="1604" t="e">
        <f t="shared" si="40"/>
        <v>#N/A</v>
      </c>
      <c r="T401" s="947" t="e">
        <v>#N/A</v>
      </c>
      <c r="U401" s="190" t="e">
        <v>#N/A</v>
      </c>
      <c r="V401" s="947" t="e">
        <v>#N/A</v>
      </c>
      <c r="W401" s="141" t="e">
        <v>#N/A</v>
      </c>
      <c r="X401" s="2731" t="e">
        <f t="shared" si="39"/>
        <v>#N/A</v>
      </c>
      <c r="Y401" s="217" t="e">
        <v>#N/A</v>
      </c>
    </row>
    <row r="402" spans="1:25">
      <c r="A402" s="53">
        <f t="shared" si="41"/>
        <v>2029.09</v>
      </c>
      <c r="B402" s="141" t="e">
        <v>#N/A</v>
      </c>
      <c r="C402" s="2382" t="e">
        <f t="shared" si="37"/>
        <v>#N/A</v>
      </c>
      <c r="D402" s="3504" t="e">
        <v>#N/A</v>
      </c>
      <c r="E402" s="151" t="e">
        <v>#N/A</v>
      </c>
      <c r="F402" s="3504" t="e">
        <v>#N/A</v>
      </c>
      <c r="G402" s="151" t="e">
        <v>#N/A</v>
      </c>
      <c r="H402" s="3504" t="e">
        <v>#N/A</v>
      </c>
      <c r="I402" s="151" t="e">
        <v>#N/A</v>
      </c>
      <c r="J402" s="3504" t="e">
        <v>#N/A</v>
      </c>
      <c r="K402" s="151" t="e">
        <v>#N/A</v>
      </c>
      <c r="L402" s="3504" t="e">
        <v>#N/A</v>
      </c>
      <c r="M402" s="151" t="e">
        <v>#N/A</v>
      </c>
      <c r="N402" s="1396" t="e">
        <v>#N/A</v>
      </c>
      <c r="O402" s="1407" t="e">
        <v>#N/A</v>
      </c>
      <c r="P402" s="1398" t="e">
        <v>#N/A</v>
      </c>
      <c r="Q402" s="1398" t="e">
        <v>#N/A</v>
      </c>
      <c r="R402" s="1602" t="e">
        <f t="shared" si="38"/>
        <v>#N/A</v>
      </c>
      <c r="S402" s="1604" t="e">
        <f t="shared" si="40"/>
        <v>#N/A</v>
      </c>
      <c r="T402" s="947" t="e">
        <v>#N/A</v>
      </c>
      <c r="U402" s="190" t="e">
        <v>#N/A</v>
      </c>
      <c r="V402" s="947" t="e">
        <v>#N/A</v>
      </c>
      <c r="W402" s="141" t="e">
        <v>#N/A</v>
      </c>
      <c r="X402" s="2731" t="e">
        <f t="shared" si="39"/>
        <v>#N/A</v>
      </c>
      <c r="Y402" s="217" t="e">
        <v>#N/A</v>
      </c>
    </row>
    <row r="403" spans="1:25">
      <c r="A403" s="53">
        <f t="shared" si="41"/>
        <v>2029.1</v>
      </c>
      <c r="B403" s="141" t="e">
        <v>#N/A</v>
      </c>
      <c r="C403" s="2382" t="e">
        <f t="shared" si="37"/>
        <v>#N/A</v>
      </c>
      <c r="D403" s="3504" t="e">
        <v>#N/A</v>
      </c>
      <c r="E403" s="151" t="e">
        <v>#N/A</v>
      </c>
      <c r="F403" s="3504" t="e">
        <v>#N/A</v>
      </c>
      <c r="G403" s="151" t="e">
        <v>#N/A</v>
      </c>
      <c r="H403" s="3504" t="e">
        <v>#N/A</v>
      </c>
      <c r="I403" s="151" t="e">
        <v>#N/A</v>
      </c>
      <c r="J403" s="3504" t="e">
        <v>#N/A</v>
      </c>
      <c r="K403" s="151" t="e">
        <v>#N/A</v>
      </c>
      <c r="L403" s="3504" t="e">
        <v>#N/A</v>
      </c>
      <c r="M403" s="151" t="e">
        <v>#N/A</v>
      </c>
      <c r="N403" s="1396" t="e">
        <v>#N/A</v>
      </c>
      <c r="O403" s="1407" t="e">
        <v>#N/A</v>
      </c>
      <c r="P403" s="1398" t="e">
        <v>#N/A</v>
      </c>
      <c r="Q403" s="1398" t="e">
        <v>#N/A</v>
      </c>
      <c r="R403" s="1602" t="e">
        <f t="shared" si="38"/>
        <v>#N/A</v>
      </c>
      <c r="S403" s="1604" t="e">
        <f t="shared" si="40"/>
        <v>#N/A</v>
      </c>
      <c r="T403" s="947" t="e">
        <v>#N/A</v>
      </c>
      <c r="U403" s="190" t="e">
        <v>#N/A</v>
      </c>
      <c r="V403" s="947" t="e">
        <v>#N/A</v>
      </c>
      <c r="W403" s="141" t="e">
        <v>#N/A</v>
      </c>
      <c r="X403" s="2731" t="e">
        <f t="shared" si="39"/>
        <v>#N/A</v>
      </c>
      <c r="Y403" s="217" t="e">
        <v>#N/A</v>
      </c>
    </row>
    <row r="404" spans="1:25">
      <c r="A404" s="53">
        <f t="shared" si="41"/>
        <v>2029.11</v>
      </c>
      <c r="B404" s="141" t="e">
        <v>#N/A</v>
      </c>
      <c r="C404" s="2382" t="e">
        <f t="shared" si="37"/>
        <v>#N/A</v>
      </c>
      <c r="D404" s="3504" t="e">
        <v>#N/A</v>
      </c>
      <c r="E404" s="151" t="e">
        <v>#N/A</v>
      </c>
      <c r="F404" s="3504" t="e">
        <v>#N/A</v>
      </c>
      <c r="G404" s="151" t="e">
        <v>#N/A</v>
      </c>
      <c r="H404" s="3504" t="e">
        <v>#N/A</v>
      </c>
      <c r="I404" s="151" t="e">
        <v>#N/A</v>
      </c>
      <c r="J404" s="3504" t="e">
        <v>#N/A</v>
      </c>
      <c r="K404" s="151" t="e">
        <v>#N/A</v>
      </c>
      <c r="L404" s="3504" t="e">
        <v>#N/A</v>
      </c>
      <c r="M404" s="151" t="e">
        <v>#N/A</v>
      </c>
      <c r="N404" s="1396" t="e">
        <v>#N/A</v>
      </c>
      <c r="O404" s="1407" t="e">
        <v>#N/A</v>
      </c>
      <c r="P404" s="1398" t="e">
        <v>#N/A</v>
      </c>
      <c r="Q404" s="1398" t="e">
        <v>#N/A</v>
      </c>
      <c r="R404" s="1602" t="e">
        <f t="shared" si="38"/>
        <v>#N/A</v>
      </c>
      <c r="S404" s="1604" t="e">
        <f t="shared" si="40"/>
        <v>#N/A</v>
      </c>
      <c r="T404" s="947" t="e">
        <v>#N/A</v>
      </c>
      <c r="U404" s="190" t="e">
        <v>#N/A</v>
      </c>
      <c r="V404" s="947" t="e">
        <v>#N/A</v>
      </c>
      <c r="W404" s="141" t="e">
        <v>#N/A</v>
      </c>
      <c r="X404" s="2731" t="e">
        <f t="shared" si="39"/>
        <v>#N/A</v>
      </c>
      <c r="Y404" s="217" t="e">
        <v>#N/A</v>
      </c>
    </row>
    <row r="405" spans="1:25">
      <c r="A405" s="53">
        <f t="shared" si="41"/>
        <v>2029.12</v>
      </c>
      <c r="B405" s="141" t="e">
        <v>#N/A</v>
      </c>
      <c r="C405" s="2382" t="e">
        <f t="shared" ref="C405:C417" si="42">SUM(D405:J405)</f>
        <v>#N/A</v>
      </c>
      <c r="D405" s="3504" t="e">
        <v>#N/A</v>
      </c>
      <c r="E405" s="151" t="e">
        <v>#N/A</v>
      </c>
      <c r="F405" s="3504" t="e">
        <v>#N/A</v>
      </c>
      <c r="G405" s="151" t="e">
        <v>#N/A</v>
      </c>
      <c r="H405" s="3504" t="e">
        <v>#N/A</v>
      </c>
      <c r="I405" s="151" t="e">
        <v>#N/A</v>
      </c>
      <c r="J405" s="3504" t="e">
        <v>#N/A</v>
      </c>
      <c r="K405" s="151" t="e">
        <v>#N/A</v>
      </c>
      <c r="L405" s="3504" t="e">
        <v>#N/A</v>
      </c>
      <c r="M405" s="151" t="e">
        <v>#N/A</v>
      </c>
      <c r="N405" s="1396" t="e">
        <v>#N/A</v>
      </c>
      <c r="O405" s="1407" t="e">
        <v>#N/A</v>
      </c>
      <c r="P405" s="1398" t="e">
        <v>#N/A</v>
      </c>
      <c r="Q405" s="1398" t="e">
        <v>#N/A</v>
      </c>
      <c r="R405" s="1602" t="e">
        <f t="shared" ref="R405:R417" si="43">$B405/P405*1000</f>
        <v>#N/A</v>
      </c>
      <c r="S405" s="1604" t="e">
        <f t="shared" si="40"/>
        <v>#N/A</v>
      </c>
      <c r="T405" s="947" t="e">
        <v>#N/A</v>
      </c>
      <c r="U405" s="190" t="e">
        <v>#N/A</v>
      </c>
      <c r="V405" s="947" t="e">
        <v>#N/A</v>
      </c>
      <c r="W405" s="141" t="e">
        <v>#N/A</v>
      </c>
      <c r="X405" s="2731" t="e">
        <f t="shared" ref="X405:X417" si="44">V405+W405</f>
        <v>#N/A</v>
      </c>
      <c r="Y405" s="217" t="e">
        <v>#N/A</v>
      </c>
    </row>
    <row r="406" spans="1:25">
      <c r="A406" s="53">
        <f t="shared" si="41"/>
        <v>2030.01</v>
      </c>
      <c r="B406" s="141" t="e">
        <v>#N/A</v>
      </c>
      <c r="C406" s="2382" t="e">
        <f t="shared" si="42"/>
        <v>#N/A</v>
      </c>
      <c r="D406" s="3504" t="e">
        <v>#N/A</v>
      </c>
      <c r="E406" s="151" t="e">
        <v>#N/A</v>
      </c>
      <c r="F406" s="3504" t="e">
        <v>#N/A</v>
      </c>
      <c r="G406" s="151" t="e">
        <v>#N/A</v>
      </c>
      <c r="H406" s="3504" t="e">
        <v>#N/A</v>
      </c>
      <c r="I406" s="151" t="e">
        <v>#N/A</v>
      </c>
      <c r="J406" s="3504" t="e">
        <v>#N/A</v>
      </c>
      <c r="K406" s="151" t="e">
        <v>#N/A</v>
      </c>
      <c r="L406" s="3504" t="e">
        <v>#N/A</v>
      </c>
      <c r="M406" s="151" t="e">
        <v>#N/A</v>
      </c>
      <c r="N406" s="1396" t="e">
        <v>#N/A</v>
      </c>
      <c r="O406" s="1407" t="e">
        <v>#N/A</v>
      </c>
      <c r="P406" s="1398" t="e">
        <v>#N/A</v>
      </c>
      <c r="Q406" s="1398" t="e">
        <v>#N/A</v>
      </c>
      <c r="R406" s="1602" t="e">
        <f t="shared" si="43"/>
        <v>#N/A</v>
      </c>
      <c r="S406" s="1604" t="e">
        <f t="shared" si="40"/>
        <v>#N/A</v>
      </c>
      <c r="T406" s="947" t="e">
        <v>#N/A</v>
      </c>
      <c r="U406" s="190" t="e">
        <v>#N/A</v>
      </c>
      <c r="V406" s="947" t="e">
        <v>#N/A</v>
      </c>
      <c r="W406" s="141" t="e">
        <v>#N/A</v>
      </c>
      <c r="X406" s="2731" t="e">
        <f t="shared" si="44"/>
        <v>#N/A</v>
      </c>
      <c r="Y406" s="217" t="e">
        <v>#N/A</v>
      </c>
    </row>
    <row r="407" spans="1:25">
      <c r="A407" s="53">
        <f t="shared" si="41"/>
        <v>2030.02</v>
      </c>
      <c r="B407" s="141" t="e">
        <v>#N/A</v>
      </c>
      <c r="C407" s="2382" t="e">
        <f t="shared" si="42"/>
        <v>#N/A</v>
      </c>
      <c r="D407" s="3504" t="e">
        <v>#N/A</v>
      </c>
      <c r="E407" s="151" t="e">
        <v>#N/A</v>
      </c>
      <c r="F407" s="3504" t="e">
        <v>#N/A</v>
      </c>
      <c r="G407" s="151" t="e">
        <v>#N/A</v>
      </c>
      <c r="H407" s="3504" t="e">
        <v>#N/A</v>
      </c>
      <c r="I407" s="151" t="e">
        <v>#N/A</v>
      </c>
      <c r="J407" s="3504" t="e">
        <v>#N/A</v>
      </c>
      <c r="K407" s="151" t="e">
        <v>#N/A</v>
      </c>
      <c r="L407" s="3504" t="e">
        <v>#N/A</v>
      </c>
      <c r="M407" s="151" t="e">
        <v>#N/A</v>
      </c>
      <c r="N407" s="1396" t="e">
        <v>#N/A</v>
      </c>
      <c r="O407" s="1407" t="e">
        <v>#N/A</v>
      </c>
      <c r="P407" s="1398" t="e">
        <v>#N/A</v>
      </c>
      <c r="Q407" s="1398" t="e">
        <v>#N/A</v>
      </c>
      <c r="R407" s="1602" t="e">
        <f t="shared" si="43"/>
        <v>#N/A</v>
      </c>
      <c r="S407" s="1604" t="e">
        <f t="shared" si="40"/>
        <v>#N/A</v>
      </c>
      <c r="T407" s="947" t="e">
        <v>#N/A</v>
      </c>
      <c r="U407" s="190" t="e">
        <v>#N/A</v>
      </c>
      <c r="V407" s="947" t="e">
        <v>#N/A</v>
      </c>
      <c r="W407" s="141" t="e">
        <v>#N/A</v>
      </c>
      <c r="X407" s="2731" t="e">
        <f t="shared" si="44"/>
        <v>#N/A</v>
      </c>
      <c r="Y407" s="217" t="e">
        <v>#N/A</v>
      </c>
    </row>
    <row r="408" spans="1:25">
      <c r="A408" s="53">
        <f t="shared" si="41"/>
        <v>2030.03</v>
      </c>
      <c r="B408" s="141" t="e">
        <v>#N/A</v>
      </c>
      <c r="C408" s="2382" t="e">
        <f t="shared" si="42"/>
        <v>#N/A</v>
      </c>
      <c r="D408" s="3504" t="e">
        <v>#N/A</v>
      </c>
      <c r="E408" s="151" t="e">
        <v>#N/A</v>
      </c>
      <c r="F408" s="3504" t="e">
        <v>#N/A</v>
      </c>
      <c r="G408" s="151" t="e">
        <v>#N/A</v>
      </c>
      <c r="H408" s="3504" t="e">
        <v>#N/A</v>
      </c>
      <c r="I408" s="151" t="e">
        <v>#N/A</v>
      </c>
      <c r="J408" s="3504" t="e">
        <v>#N/A</v>
      </c>
      <c r="K408" s="151" t="e">
        <v>#N/A</v>
      </c>
      <c r="L408" s="3504" t="e">
        <v>#N/A</v>
      </c>
      <c r="M408" s="151" t="e">
        <v>#N/A</v>
      </c>
      <c r="N408" s="1396" t="e">
        <v>#N/A</v>
      </c>
      <c r="O408" s="1407" t="e">
        <v>#N/A</v>
      </c>
      <c r="P408" s="1398" t="e">
        <v>#N/A</v>
      </c>
      <c r="Q408" s="1398" t="e">
        <v>#N/A</v>
      </c>
      <c r="R408" s="1602" t="e">
        <f t="shared" si="43"/>
        <v>#N/A</v>
      </c>
      <c r="S408" s="1604" t="e">
        <f t="shared" si="40"/>
        <v>#N/A</v>
      </c>
      <c r="T408" s="947" t="e">
        <v>#N/A</v>
      </c>
      <c r="U408" s="190" t="e">
        <v>#N/A</v>
      </c>
      <c r="V408" s="947" t="e">
        <v>#N/A</v>
      </c>
      <c r="W408" s="141" t="e">
        <v>#N/A</v>
      </c>
      <c r="X408" s="2731" t="e">
        <f t="shared" si="44"/>
        <v>#N/A</v>
      </c>
      <c r="Y408" s="217" t="e">
        <v>#N/A</v>
      </c>
    </row>
    <row r="409" spans="1:25">
      <c r="A409" s="53">
        <f t="shared" si="41"/>
        <v>2030.04</v>
      </c>
      <c r="B409" s="141" t="e">
        <v>#N/A</v>
      </c>
      <c r="C409" s="2382" t="e">
        <f t="shared" si="42"/>
        <v>#N/A</v>
      </c>
      <c r="D409" s="3504" t="e">
        <v>#N/A</v>
      </c>
      <c r="E409" s="151" t="e">
        <v>#N/A</v>
      </c>
      <c r="F409" s="3504" t="e">
        <v>#N/A</v>
      </c>
      <c r="G409" s="151" t="e">
        <v>#N/A</v>
      </c>
      <c r="H409" s="3504" t="e">
        <v>#N/A</v>
      </c>
      <c r="I409" s="151" t="e">
        <v>#N/A</v>
      </c>
      <c r="J409" s="3504" t="e">
        <v>#N/A</v>
      </c>
      <c r="K409" s="151" t="e">
        <v>#N/A</v>
      </c>
      <c r="L409" s="3504" t="e">
        <v>#N/A</v>
      </c>
      <c r="M409" s="151" t="e">
        <v>#N/A</v>
      </c>
      <c r="N409" s="1396" t="e">
        <v>#N/A</v>
      </c>
      <c r="O409" s="1407" t="e">
        <v>#N/A</v>
      </c>
      <c r="P409" s="1398" t="e">
        <v>#N/A</v>
      </c>
      <c r="Q409" s="1398" t="e">
        <v>#N/A</v>
      </c>
      <c r="R409" s="1602" t="e">
        <f t="shared" si="43"/>
        <v>#N/A</v>
      </c>
      <c r="S409" s="1604" t="e">
        <f t="shared" si="40"/>
        <v>#N/A</v>
      </c>
      <c r="T409" s="947" t="e">
        <v>#N/A</v>
      </c>
      <c r="U409" s="190" t="e">
        <v>#N/A</v>
      </c>
      <c r="V409" s="947" t="e">
        <v>#N/A</v>
      </c>
      <c r="W409" s="141" t="e">
        <v>#N/A</v>
      </c>
      <c r="X409" s="2731" t="e">
        <f t="shared" si="44"/>
        <v>#N/A</v>
      </c>
      <c r="Y409" s="217" t="e">
        <v>#N/A</v>
      </c>
    </row>
    <row r="410" spans="1:25">
      <c r="A410" s="53">
        <f t="shared" si="41"/>
        <v>2030.05</v>
      </c>
      <c r="B410" s="141" t="e">
        <v>#N/A</v>
      </c>
      <c r="C410" s="2382" t="e">
        <f t="shared" si="42"/>
        <v>#N/A</v>
      </c>
      <c r="D410" s="3504" t="e">
        <v>#N/A</v>
      </c>
      <c r="E410" s="151" t="e">
        <v>#N/A</v>
      </c>
      <c r="F410" s="3504" t="e">
        <v>#N/A</v>
      </c>
      <c r="G410" s="151" t="e">
        <v>#N/A</v>
      </c>
      <c r="H410" s="3504" t="e">
        <v>#N/A</v>
      </c>
      <c r="I410" s="151" t="e">
        <v>#N/A</v>
      </c>
      <c r="J410" s="3504" t="e">
        <v>#N/A</v>
      </c>
      <c r="K410" s="151" t="e">
        <v>#N/A</v>
      </c>
      <c r="L410" s="3504" t="e">
        <v>#N/A</v>
      </c>
      <c r="M410" s="151" t="e">
        <v>#N/A</v>
      </c>
      <c r="N410" s="1396" t="e">
        <v>#N/A</v>
      </c>
      <c r="O410" s="1407" t="e">
        <v>#N/A</v>
      </c>
      <c r="P410" s="1398" t="e">
        <v>#N/A</v>
      </c>
      <c r="Q410" s="1398" t="e">
        <v>#N/A</v>
      </c>
      <c r="R410" s="1602" t="e">
        <f t="shared" si="43"/>
        <v>#N/A</v>
      </c>
      <c r="S410" s="1604" t="e">
        <f t="shared" si="40"/>
        <v>#N/A</v>
      </c>
      <c r="T410" s="947" t="e">
        <v>#N/A</v>
      </c>
      <c r="U410" s="190" t="e">
        <v>#N/A</v>
      </c>
      <c r="V410" s="947" t="e">
        <v>#N/A</v>
      </c>
      <c r="W410" s="141" t="e">
        <v>#N/A</v>
      </c>
      <c r="X410" s="2731" t="e">
        <f t="shared" si="44"/>
        <v>#N/A</v>
      </c>
      <c r="Y410" s="217" t="e">
        <v>#N/A</v>
      </c>
    </row>
    <row r="411" spans="1:25">
      <c r="A411" s="53">
        <f t="shared" si="41"/>
        <v>2030.06</v>
      </c>
      <c r="B411" s="141" t="e">
        <v>#N/A</v>
      </c>
      <c r="C411" s="2382" t="e">
        <f t="shared" si="42"/>
        <v>#N/A</v>
      </c>
      <c r="D411" s="3504" t="e">
        <v>#N/A</v>
      </c>
      <c r="E411" s="151" t="e">
        <v>#N/A</v>
      </c>
      <c r="F411" s="3504" t="e">
        <v>#N/A</v>
      </c>
      <c r="G411" s="151" t="e">
        <v>#N/A</v>
      </c>
      <c r="H411" s="3504" t="e">
        <v>#N/A</v>
      </c>
      <c r="I411" s="151" t="e">
        <v>#N/A</v>
      </c>
      <c r="J411" s="3504" t="e">
        <v>#N/A</v>
      </c>
      <c r="K411" s="151" t="e">
        <v>#N/A</v>
      </c>
      <c r="L411" s="3504" t="e">
        <v>#N/A</v>
      </c>
      <c r="M411" s="151" t="e">
        <v>#N/A</v>
      </c>
      <c r="N411" s="1396" t="e">
        <v>#N/A</v>
      </c>
      <c r="O411" s="1407" t="e">
        <v>#N/A</v>
      </c>
      <c r="P411" s="1398" t="e">
        <v>#N/A</v>
      </c>
      <c r="Q411" s="1398" t="e">
        <v>#N/A</v>
      </c>
      <c r="R411" s="1602" t="e">
        <f t="shared" si="43"/>
        <v>#N/A</v>
      </c>
      <c r="S411" s="1604" t="e">
        <f t="shared" si="40"/>
        <v>#N/A</v>
      </c>
      <c r="T411" s="947" t="e">
        <v>#N/A</v>
      </c>
      <c r="U411" s="190" t="e">
        <v>#N/A</v>
      </c>
      <c r="V411" s="947" t="e">
        <v>#N/A</v>
      </c>
      <c r="W411" s="141" t="e">
        <v>#N/A</v>
      </c>
      <c r="X411" s="2731" t="e">
        <f t="shared" si="44"/>
        <v>#N/A</v>
      </c>
      <c r="Y411" s="217" t="e">
        <v>#N/A</v>
      </c>
    </row>
    <row r="412" spans="1:25">
      <c r="A412" s="53">
        <f t="shared" si="41"/>
        <v>2030.07</v>
      </c>
      <c r="B412" s="141" t="e">
        <v>#N/A</v>
      </c>
      <c r="C412" s="2382" t="e">
        <f t="shared" si="42"/>
        <v>#N/A</v>
      </c>
      <c r="D412" s="3504" t="e">
        <v>#N/A</v>
      </c>
      <c r="E412" s="151" t="e">
        <v>#N/A</v>
      </c>
      <c r="F412" s="3504" t="e">
        <v>#N/A</v>
      </c>
      <c r="G412" s="151" t="e">
        <v>#N/A</v>
      </c>
      <c r="H412" s="3504" t="e">
        <v>#N/A</v>
      </c>
      <c r="I412" s="151" t="e">
        <v>#N/A</v>
      </c>
      <c r="J412" s="3504" t="e">
        <v>#N/A</v>
      </c>
      <c r="K412" s="151" t="e">
        <v>#N/A</v>
      </c>
      <c r="L412" s="3504" t="e">
        <v>#N/A</v>
      </c>
      <c r="M412" s="151" t="e">
        <v>#N/A</v>
      </c>
      <c r="N412" s="1396" t="e">
        <v>#N/A</v>
      </c>
      <c r="O412" s="1407" t="e">
        <v>#N/A</v>
      </c>
      <c r="P412" s="1398" t="e">
        <v>#N/A</v>
      </c>
      <c r="Q412" s="1398" t="e">
        <v>#N/A</v>
      </c>
      <c r="R412" s="1602" t="e">
        <f t="shared" si="43"/>
        <v>#N/A</v>
      </c>
      <c r="S412" s="1604" t="e">
        <f t="shared" si="40"/>
        <v>#N/A</v>
      </c>
      <c r="T412" s="947" t="e">
        <v>#N/A</v>
      </c>
      <c r="U412" s="190" t="e">
        <v>#N/A</v>
      </c>
      <c r="V412" s="947" t="e">
        <v>#N/A</v>
      </c>
      <c r="W412" s="141" t="e">
        <v>#N/A</v>
      </c>
      <c r="X412" s="2731" t="e">
        <f t="shared" si="44"/>
        <v>#N/A</v>
      </c>
      <c r="Y412" s="217" t="e">
        <v>#N/A</v>
      </c>
    </row>
    <row r="413" spans="1:25">
      <c r="A413" s="53">
        <f t="shared" si="41"/>
        <v>2030.08</v>
      </c>
      <c r="B413" s="141" t="e">
        <v>#N/A</v>
      </c>
      <c r="C413" s="2382" t="e">
        <f t="shared" si="42"/>
        <v>#N/A</v>
      </c>
      <c r="D413" s="3504" t="e">
        <v>#N/A</v>
      </c>
      <c r="E413" s="151" t="e">
        <v>#N/A</v>
      </c>
      <c r="F413" s="3504" t="e">
        <v>#N/A</v>
      </c>
      <c r="G413" s="151" t="e">
        <v>#N/A</v>
      </c>
      <c r="H413" s="3504" t="e">
        <v>#N/A</v>
      </c>
      <c r="I413" s="151" t="e">
        <v>#N/A</v>
      </c>
      <c r="J413" s="3504" t="e">
        <v>#N/A</v>
      </c>
      <c r="K413" s="151" t="e">
        <v>#N/A</v>
      </c>
      <c r="L413" s="3504" t="e">
        <v>#N/A</v>
      </c>
      <c r="M413" s="151" t="e">
        <v>#N/A</v>
      </c>
      <c r="N413" s="1396" t="e">
        <v>#N/A</v>
      </c>
      <c r="O413" s="1407" t="e">
        <v>#N/A</v>
      </c>
      <c r="P413" s="1398" t="e">
        <v>#N/A</v>
      </c>
      <c r="Q413" s="1398" t="e">
        <v>#N/A</v>
      </c>
      <c r="R413" s="1602" t="e">
        <f t="shared" si="43"/>
        <v>#N/A</v>
      </c>
      <c r="S413" s="1604" t="e">
        <f t="shared" si="40"/>
        <v>#N/A</v>
      </c>
      <c r="T413" s="947" t="e">
        <v>#N/A</v>
      </c>
      <c r="U413" s="190" t="e">
        <v>#N/A</v>
      </c>
      <c r="V413" s="947" t="e">
        <v>#N/A</v>
      </c>
      <c r="W413" s="141" t="e">
        <v>#N/A</v>
      </c>
      <c r="X413" s="2731" t="e">
        <f t="shared" si="44"/>
        <v>#N/A</v>
      </c>
      <c r="Y413" s="217" t="e">
        <v>#N/A</v>
      </c>
    </row>
    <row r="414" spans="1:25">
      <c r="A414" s="53">
        <f t="shared" si="41"/>
        <v>2030.09</v>
      </c>
      <c r="B414" s="141" t="e">
        <v>#N/A</v>
      </c>
      <c r="C414" s="2382" t="e">
        <f t="shared" si="42"/>
        <v>#N/A</v>
      </c>
      <c r="D414" s="3504" t="e">
        <v>#N/A</v>
      </c>
      <c r="E414" s="151" t="e">
        <v>#N/A</v>
      </c>
      <c r="F414" s="3504" t="e">
        <v>#N/A</v>
      </c>
      <c r="G414" s="151" t="e">
        <v>#N/A</v>
      </c>
      <c r="H414" s="3504" t="e">
        <v>#N/A</v>
      </c>
      <c r="I414" s="151" t="e">
        <v>#N/A</v>
      </c>
      <c r="J414" s="3504" t="e">
        <v>#N/A</v>
      </c>
      <c r="K414" s="151" t="e">
        <v>#N/A</v>
      </c>
      <c r="L414" s="3504" t="e">
        <v>#N/A</v>
      </c>
      <c r="M414" s="151" t="e">
        <v>#N/A</v>
      </c>
      <c r="N414" s="1396" t="e">
        <v>#N/A</v>
      </c>
      <c r="O414" s="1407" t="e">
        <v>#N/A</v>
      </c>
      <c r="P414" s="1398" t="e">
        <v>#N/A</v>
      </c>
      <c r="Q414" s="1398" t="e">
        <v>#N/A</v>
      </c>
      <c r="R414" s="1602" t="e">
        <f t="shared" si="43"/>
        <v>#N/A</v>
      </c>
      <c r="S414" s="1604" t="e">
        <f t="shared" si="40"/>
        <v>#N/A</v>
      </c>
      <c r="T414" s="947" t="e">
        <v>#N/A</v>
      </c>
      <c r="U414" s="190" t="e">
        <v>#N/A</v>
      </c>
      <c r="V414" s="947" t="e">
        <v>#N/A</v>
      </c>
      <c r="W414" s="141" t="e">
        <v>#N/A</v>
      </c>
      <c r="X414" s="2731" t="e">
        <f t="shared" si="44"/>
        <v>#N/A</v>
      </c>
      <c r="Y414" s="217" t="e">
        <v>#N/A</v>
      </c>
    </row>
    <row r="415" spans="1:25">
      <c r="A415" s="53">
        <f t="shared" si="41"/>
        <v>2030.1</v>
      </c>
      <c r="B415" s="141" t="e">
        <v>#N/A</v>
      </c>
      <c r="C415" s="2382" t="e">
        <f t="shared" si="42"/>
        <v>#N/A</v>
      </c>
      <c r="D415" s="3504" t="e">
        <v>#N/A</v>
      </c>
      <c r="E415" s="151" t="e">
        <v>#N/A</v>
      </c>
      <c r="F415" s="3504" t="e">
        <v>#N/A</v>
      </c>
      <c r="G415" s="151" t="e">
        <v>#N/A</v>
      </c>
      <c r="H415" s="3504" t="e">
        <v>#N/A</v>
      </c>
      <c r="I415" s="151" t="e">
        <v>#N/A</v>
      </c>
      <c r="J415" s="3504" t="e">
        <v>#N/A</v>
      </c>
      <c r="K415" s="151" t="e">
        <v>#N/A</v>
      </c>
      <c r="L415" s="3504" t="e">
        <v>#N/A</v>
      </c>
      <c r="M415" s="151" t="e">
        <v>#N/A</v>
      </c>
      <c r="N415" s="1396" t="e">
        <v>#N/A</v>
      </c>
      <c r="O415" s="1407" t="e">
        <v>#N/A</v>
      </c>
      <c r="P415" s="1398" t="e">
        <v>#N/A</v>
      </c>
      <c r="Q415" s="1398" t="e">
        <v>#N/A</v>
      </c>
      <c r="R415" s="1602" t="e">
        <f t="shared" si="43"/>
        <v>#N/A</v>
      </c>
      <c r="S415" s="1604" t="e">
        <f t="shared" si="40"/>
        <v>#N/A</v>
      </c>
      <c r="T415" s="947" t="e">
        <v>#N/A</v>
      </c>
      <c r="U415" s="190" t="e">
        <v>#N/A</v>
      </c>
      <c r="V415" s="947" t="e">
        <v>#N/A</v>
      </c>
      <c r="W415" s="141" t="e">
        <v>#N/A</v>
      </c>
      <c r="X415" s="2731" t="e">
        <f t="shared" si="44"/>
        <v>#N/A</v>
      </c>
      <c r="Y415" s="217" t="e">
        <v>#N/A</v>
      </c>
    </row>
    <row r="416" spans="1:25">
      <c r="A416" s="53">
        <f t="shared" si="41"/>
        <v>2030.11</v>
      </c>
      <c r="B416" s="141" t="e">
        <v>#N/A</v>
      </c>
      <c r="C416" s="2382" t="e">
        <f t="shared" si="42"/>
        <v>#N/A</v>
      </c>
      <c r="D416" s="3504" t="e">
        <v>#N/A</v>
      </c>
      <c r="E416" s="151" t="e">
        <v>#N/A</v>
      </c>
      <c r="F416" s="3504" t="e">
        <v>#N/A</v>
      </c>
      <c r="G416" s="151" t="e">
        <v>#N/A</v>
      </c>
      <c r="H416" s="3504" t="e">
        <v>#N/A</v>
      </c>
      <c r="I416" s="151" t="e">
        <v>#N/A</v>
      </c>
      <c r="J416" s="3504" t="e">
        <v>#N/A</v>
      </c>
      <c r="K416" s="151" t="e">
        <v>#N/A</v>
      </c>
      <c r="L416" s="3504" t="e">
        <v>#N/A</v>
      </c>
      <c r="M416" s="151" t="e">
        <v>#N/A</v>
      </c>
      <c r="N416" s="1396" t="e">
        <v>#N/A</v>
      </c>
      <c r="O416" s="1407" t="e">
        <v>#N/A</v>
      </c>
      <c r="P416" s="1398" t="e">
        <v>#N/A</v>
      </c>
      <c r="Q416" s="1398" t="e">
        <v>#N/A</v>
      </c>
      <c r="R416" s="1602" t="e">
        <f t="shared" si="43"/>
        <v>#N/A</v>
      </c>
      <c r="S416" s="1604" t="e">
        <f t="shared" si="40"/>
        <v>#N/A</v>
      </c>
      <c r="T416" s="947" t="e">
        <v>#N/A</v>
      </c>
      <c r="U416" s="190" t="e">
        <v>#N/A</v>
      </c>
      <c r="V416" s="947" t="e">
        <v>#N/A</v>
      </c>
      <c r="W416" s="141" t="e">
        <v>#N/A</v>
      </c>
      <c r="X416" s="2731" t="e">
        <f t="shared" si="44"/>
        <v>#N/A</v>
      </c>
      <c r="Y416" s="217" t="e">
        <v>#N/A</v>
      </c>
    </row>
    <row r="417" spans="1:25">
      <c r="A417" s="53">
        <f t="shared" si="41"/>
        <v>2030.12</v>
      </c>
      <c r="B417" s="141" t="e">
        <v>#N/A</v>
      </c>
      <c r="C417" s="2382" t="e">
        <f t="shared" si="42"/>
        <v>#N/A</v>
      </c>
      <c r="D417" s="3504" t="e">
        <v>#N/A</v>
      </c>
      <c r="E417" s="151" t="e">
        <v>#N/A</v>
      </c>
      <c r="F417" s="3504" t="e">
        <v>#N/A</v>
      </c>
      <c r="G417" s="151" t="e">
        <v>#N/A</v>
      </c>
      <c r="H417" s="3504" t="e">
        <v>#N/A</v>
      </c>
      <c r="I417" s="151" t="e">
        <v>#N/A</v>
      </c>
      <c r="J417" s="3504" t="e">
        <v>#N/A</v>
      </c>
      <c r="K417" s="151" t="e">
        <v>#N/A</v>
      </c>
      <c r="L417" s="3504" t="e">
        <v>#N/A</v>
      </c>
      <c r="M417" s="151" t="e">
        <v>#N/A</v>
      </c>
      <c r="N417" s="1396" t="e">
        <v>#N/A</v>
      </c>
      <c r="O417" s="1407" t="e">
        <v>#N/A</v>
      </c>
      <c r="P417" s="1398" t="e">
        <v>#N/A</v>
      </c>
      <c r="Q417" s="1398" t="e">
        <v>#N/A</v>
      </c>
      <c r="R417" s="1602" t="e">
        <f t="shared" si="43"/>
        <v>#N/A</v>
      </c>
      <c r="S417" s="1604" t="e">
        <f t="shared" si="40"/>
        <v>#N/A</v>
      </c>
      <c r="T417" s="947" t="e">
        <v>#N/A</v>
      </c>
      <c r="U417" s="190" t="e">
        <v>#N/A</v>
      </c>
      <c r="V417" s="947" t="e">
        <v>#N/A</v>
      </c>
      <c r="W417" s="141" t="e">
        <v>#N/A</v>
      </c>
      <c r="X417" s="2731" t="e">
        <f t="shared" si="44"/>
        <v>#N/A</v>
      </c>
      <c r="Y417" s="217" t="e">
        <v>#N/A</v>
      </c>
    </row>
  </sheetData>
  <phoneticPr fontId="71" type="noConversion"/>
  <hyperlinks>
    <hyperlink ref="A5" location="INDICE!A13" display="VOLVER AL INDICE" xr:uid="{00000000-0004-0000-2200-000000000000}"/>
  </hyperlinks>
  <pageMargins left="0.75" right="0.75" top="1" bottom="1" header="0" footer="0"/>
  <pageSetup paperSize="9" orientation="portrait" horizontalDpi="300" verticalDpi="300"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24">
    <pageSetUpPr autoPageBreaks="0" fitToPage="1"/>
  </sheetPr>
  <dimension ref="A1:I405"/>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10.5703125" style="21" customWidth="1"/>
    <col min="2" max="2" width="14.5703125" style="21" bestFit="1" customWidth="1"/>
    <col min="3" max="6" width="14.5703125" style="21" customWidth="1"/>
    <col min="7" max="7" width="15.5703125" style="21" customWidth="1"/>
    <col min="8" max="8" width="14.5703125" style="21" customWidth="1"/>
    <col min="9" max="16384" width="11.42578125" style="6"/>
  </cols>
  <sheetData>
    <row r="1" spans="1:8" s="10" customFormat="1" ht="3" customHeight="1">
      <c r="A1" s="2761"/>
      <c r="B1" s="63"/>
      <c r="C1" s="64"/>
      <c r="D1" s="64"/>
      <c r="E1" s="64"/>
      <c r="F1" s="64"/>
      <c r="G1" s="64"/>
      <c r="H1" s="65"/>
    </row>
    <row r="2" spans="1:8" s="10" customFormat="1" ht="16.5" customHeight="1">
      <c r="A2" s="2762" t="s">
        <v>99</v>
      </c>
      <c r="B2" s="56" t="s">
        <v>1441</v>
      </c>
      <c r="C2" s="1199"/>
      <c r="D2" s="1199"/>
      <c r="E2" s="1199"/>
      <c r="F2" s="1199"/>
      <c r="G2" s="2736"/>
      <c r="H2" s="2913"/>
    </row>
    <row r="3" spans="1:8" s="10" customFormat="1">
      <c r="A3" s="2762" t="s">
        <v>104</v>
      </c>
      <c r="B3" s="56" t="s">
        <v>106</v>
      </c>
      <c r="C3" s="1199"/>
      <c r="D3" s="1199"/>
      <c r="E3" s="1199"/>
      <c r="F3" s="1199"/>
      <c r="G3" s="2736"/>
      <c r="H3" s="2913"/>
    </row>
    <row r="4" spans="1:8" s="10" customFormat="1" ht="3" hidden="1" customHeight="1">
      <c r="A4" s="2762"/>
      <c r="B4" s="63"/>
      <c r="C4" s="64"/>
      <c r="D4" s="64"/>
      <c r="E4" s="64"/>
      <c r="F4" s="64"/>
      <c r="G4" s="64"/>
      <c r="H4" s="65"/>
    </row>
    <row r="5" spans="1:8" s="10" customFormat="1" ht="22.5">
      <c r="A5" s="2867" t="s">
        <v>140</v>
      </c>
      <c r="B5" s="147" t="s">
        <v>1442</v>
      </c>
      <c r="C5" s="133"/>
      <c r="D5" s="133"/>
      <c r="E5" s="133" t="s">
        <v>1443</v>
      </c>
      <c r="F5" s="133"/>
      <c r="G5" s="3000"/>
      <c r="H5" s="3004" t="s">
        <v>1444</v>
      </c>
    </row>
    <row r="6" spans="1:8" s="10" customFormat="1" ht="21.6" customHeight="1">
      <c r="A6" s="2762"/>
      <c r="B6" s="648" t="s">
        <v>1445</v>
      </c>
      <c r="C6" s="651" t="s">
        <v>1446</v>
      </c>
      <c r="D6" s="2077" t="s">
        <v>1447</v>
      </c>
      <c r="E6" s="3005" t="s">
        <v>1448</v>
      </c>
      <c r="F6" s="655" t="s">
        <v>1449</v>
      </c>
      <c r="G6" s="156" t="s">
        <v>1450</v>
      </c>
      <c r="H6" s="1715"/>
    </row>
    <row r="7" spans="1:8" s="10" customFormat="1" ht="22.5">
      <c r="A7" s="2762" t="s">
        <v>125</v>
      </c>
      <c r="B7" s="1412" t="s">
        <v>126</v>
      </c>
      <c r="C7" s="651" t="s">
        <v>126</v>
      </c>
      <c r="D7" s="2078" t="s">
        <v>126</v>
      </c>
      <c r="E7" s="3006" t="s">
        <v>126</v>
      </c>
      <c r="F7" s="655" t="s">
        <v>126</v>
      </c>
      <c r="G7" s="651" t="s">
        <v>126</v>
      </c>
      <c r="H7" s="2990" t="s">
        <v>126</v>
      </c>
    </row>
    <row r="8" spans="1:8" s="10" customFormat="1">
      <c r="A8" s="3002" t="s">
        <v>144</v>
      </c>
      <c r="B8" s="2258" t="s">
        <v>1451</v>
      </c>
      <c r="C8" s="1750" t="s">
        <v>1452</v>
      </c>
      <c r="D8" s="2210" t="s">
        <v>1453</v>
      </c>
      <c r="E8" s="2204" t="s">
        <v>1454</v>
      </c>
      <c r="F8" s="2258" t="s">
        <v>1455</v>
      </c>
      <c r="G8" s="1751" t="s">
        <v>1456</v>
      </c>
      <c r="H8" s="2956" t="s">
        <v>1457</v>
      </c>
    </row>
    <row r="9" spans="1:8" s="11" customFormat="1" ht="13.5" thickBot="1">
      <c r="A9" s="2140"/>
      <c r="B9" s="1413"/>
      <c r="C9" s="460"/>
      <c r="D9" s="1414"/>
      <c r="E9" s="1776"/>
      <c r="F9" s="1244"/>
      <c r="G9" s="460"/>
      <c r="H9" s="1415"/>
    </row>
    <row r="10" spans="1:8" s="11" customFormat="1">
      <c r="A10" s="53">
        <v>1998.01</v>
      </c>
      <c r="B10" s="649"/>
      <c r="C10" s="1416"/>
      <c r="D10" s="1417"/>
      <c r="E10" s="1418"/>
      <c r="F10" s="3655"/>
      <c r="G10" s="1416"/>
      <c r="H10" s="1419"/>
    </row>
    <row r="11" spans="1:8" s="11" customFormat="1">
      <c r="A11" s="53">
        <v>1998.02</v>
      </c>
      <c r="B11" s="1420"/>
      <c r="C11" s="1416"/>
      <c r="D11" s="1417"/>
      <c r="E11" s="1421"/>
      <c r="F11" s="3655"/>
      <c r="G11" s="1416"/>
      <c r="H11" s="1419"/>
    </row>
    <row r="12" spans="1:8" s="11" customFormat="1">
      <c r="A12" s="53">
        <v>1998.03</v>
      </c>
      <c r="B12" s="1420"/>
      <c r="C12" s="1416"/>
      <c r="D12" s="1417"/>
      <c r="E12" s="1421"/>
      <c r="F12" s="3655"/>
      <c r="G12" s="1416"/>
      <c r="H12" s="1419"/>
    </row>
    <row r="13" spans="1:8" s="11" customFormat="1">
      <c r="A13" s="53">
        <v>1998.04</v>
      </c>
      <c r="B13" s="1420"/>
      <c r="C13" s="1416"/>
      <c r="D13" s="1417"/>
      <c r="E13" s="1421"/>
      <c r="F13" s="3655"/>
      <c r="G13" s="1416"/>
      <c r="H13" s="1419"/>
    </row>
    <row r="14" spans="1:8" s="11" customFormat="1">
      <c r="A14" s="53">
        <v>1998.05</v>
      </c>
      <c r="B14" s="1420"/>
      <c r="C14" s="1416"/>
      <c r="D14" s="1417"/>
      <c r="E14" s="1421"/>
      <c r="F14" s="3655"/>
      <c r="G14" s="1416"/>
      <c r="H14" s="1419"/>
    </row>
    <row r="15" spans="1:8" s="11" customFormat="1">
      <c r="A15" s="53">
        <v>1998.06</v>
      </c>
      <c r="B15" s="1420"/>
      <c r="C15" s="1416"/>
      <c r="D15" s="1417"/>
      <c r="E15" s="1421"/>
      <c r="F15" s="3655"/>
      <c r="G15" s="1416"/>
      <c r="H15" s="1419"/>
    </row>
    <row r="16" spans="1:8" s="11" customFormat="1">
      <c r="A16" s="53">
        <v>1998.07</v>
      </c>
      <c r="B16" s="650">
        <v>41.390728476821188</v>
      </c>
      <c r="C16" s="1416"/>
      <c r="D16" s="1417"/>
      <c r="E16" s="1421"/>
      <c r="F16" s="3655"/>
      <c r="G16" s="1416"/>
      <c r="H16" s="1419"/>
    </row>
    <row r="17" spans="1:8" s="11" customFormat="1">
      <c r="A17" s="53">
        <v>1998.08</v>
      </c>
      <c r="B17" s="1318">
        <v>42.904290429042902</v>
      </c>
      <c r="C17" s="1416"/>
      <c r="D17" s="1417"/>
      <c r="E17" s="1421"/>
      <c r="F17" s="3655"/>
      <c r="G17" s="1416"/>
      <c r="H17" s="1419"/>
    </row>
    <row r="18" spans="1:8" s="11" customFormat="1">
      <c r="A18" s="53">
        <v>1998.09</v>
      </c>
      <c r="B18" s="1318">
        <v>37.886313465783665</v>
      </c>
      <c r="C18" s="1416"/>
      <c r="D18" s="1417"/>
      <c r="E18" s="1421"/>
      <c r="F18" s="3655"/>
      <c r="G18" s="1416"/>
      <c r="H18" s="1419"/>
    </row>
    <row r="19" spans="1:8" s="11" customFormat="1">
      <c r="A19" s="53">
        <v>1998.1</v>
      </c>
      <c r="B19" s="1318">
        <v>39.313399778516064</v>
      </c>
      <c r="C19" s="1416"/>
      <c r="D19" s="1417"/>
      <c r="E19" s="1421"/>
      <c r="F19" s="3655"/>
      <c r="G19" s="1416"/>
      <c r="H19" s="1419"/>
    </row>
    <row r="20" spans="1:8" s="11" customFormat="1">
      <c r="A20" s="53">
        <v>1998.11</v>
      </c>
      <c r="B20" s="1318">
        <v>41</v>
      </c>
      <c r="C20" s="1416"/>
      <c r="D20" s="1417"/>
      <c r="E20" s="1421"/>
      <c r="F20" s="3655"/>
      <c r="G20" s="1416"/>
      <c r="H20" s="1419"/>
    </row>
    <row r="21" spans="1:8" s="11" customFormat="1">
      <c r="A21" s="53">
        <v>1998.12</v>
      </c>
      <c r="B21" s="1318">
        <v>43.438538205980059</v>
      </c>
      <c r="C21" s="1416"/>
      <c r="D21" s="1417"/>
      <c r="E21" s="1421"/>
      <c r="F21" s="3655"/>
      <c r="G21" s="1416"/>
      <c r="H21" s="1419"/>
    </row>
    <row r="22" spans="1:8">
      <c r="A22" s="53">
        <v>1999.01</v>
      </c>
      <c r="B22" s="1318">
        <v>37.68</v>
      </c>
      <c r="C22" s="650">
        <v>35.284946456692929</v>
      </c>
      <c r="D22" s="3007"/>
      <c r="E22" s="652"/>
      <c r="F22" s="3656"/>
      <c r="G22" s="155"/>
      <c r="H22" s="1422"/>
    </row>
    <row r="23" spans="1:8">
      <c r="A23" s="53">
        <v>1999.02</v>
      </c>
      <c r="B23" s="1318">
        <v>43.083333333333336</v>
      </c>
      <c r="C23" s="613">
        <v>40.344827755905534</v>
      </c>
      <c r="D23" s="3008"/>
      <c r="E23" s="1369"/>
      <c r="F23" s="3644"/>
      <c r="G23" s="1423"/>
      <c r="H23" s="1424"/>
    </row>
    <row r="24" spans="1:8">
      <c r="A24" s="53">
        <v>1999.03</v>
      </c>
      <c r="B24" s="1318">
        <v>40.888888888888886</v>
      </c>
      <c r="C24" s="613">
        <v>38.289868766404211</v>
      </c>
      <c r="D24" s="3008"/>
      <c r="E24" s="1369"/>
      <c r="F24" s="3644"/>
      <c r="G24" s="1423"/>
      <c r="H24" s="1424"/>
    </row>
    <row r="25" spans="1:8">
      <c r="A25" s="53">
        <v>1999.04</v>
      </c>
      <c r="B25" s="1318">
        <v>37.76301218161683</v>
      </c>
      <c r="C25" s="613">
        <v>35.362682135663285</v>
      </c>
      <c r="D25" s="3008"/>
      <c r="E25" s="1369"/>
      <c r="F25" s="3644"/>
      <c r="G25" s="1423"/>
      <c r="H25" s="1424"/>
    </row>
    <row r="26" spans="1:8">
      <c r="A26" s="53">
        <v>1999.05</v>
      </c>
      <c r="B26" s="1318">
        <v>43.267108167770424</v>
      </c>
      <c r="C26" s="613">
        <v>40.516921311988334</v>
      </c>
      <c r="D26" s="3008"/>
      <c r="E26" s="1369"/>
      <c r="F26" s="3644"/>
      <c r="G26" s="1423"/>
      <c r="H26" s="1424"/>
    </row>
    <row r="27" spans="1:8">
      <c r="A27" s="53">
        <v>1999.06</v>
      </c>
      <c r="B27" s="1318">
        <v>41.16997792494481</v>
      </c>
      <c r="C27" s="613">
        <v>38.553090942274608</v>
      </c>
      <c r="D27" s="3008"/>
      <c r="E27" s="1369"/>
      <c r="F27" s="3644"/>
      <c r="G27" s="1423"/>
      <c r="H27" s="1424"/>
    </row>
    <row r="28" spans="1:8">
      <c r="A28" s="53">
        <v>1999.07</v>
      </c>
      <c r="B28" s="1318">
        <v>42.916666666666664</v>
      </c>
      <c r="C28" s="613">
        <v>40.18875492125985</v>
      </c>
      <c r="D28" s="3008"/>
      <c r="E28" s="1369"/>
      <c r="F28" s="3644"/>
      <c r="G28" s="1423"/>
      <c r="H28" s="1424"/>
    </row>
    <row r="29" spans="1:8">
      <c r="A29" s="53">
        <v>1999.08</v>
      </c>
      <c r="B29" s="1318">
        <v>41.389811738648945</v>
      </c>
      <c r="C29" s="613">
        <v>38.758951461009239</v>
      </c>
      <c r="D29" s="3008"/>
      <c r="E29" s="1369"/>
      <c r="F29" s="3644"/>
      <c r="G29" s="1423"/>
      <c r="H29" s="1424"/>
    </row>
    <row r="30" spans="1:8">
      <c r="A30" s="53">
        <v>1999.09</v>
      </c>
      <c r="B30" s="1318">
        <v>45.238095238095241</v>
      </c>
      <c r="C30" s="613">
        <v>42.362626546681675</v>
      </c>
      <c r="D30" s="3008"/>
      <c r="E30" s="1369"/>
      <c r="F30" s="3644"/>
      <c r="G30" s="1423"/>
      <c r="H30" s="1424"/>
    </row>
    <row r="31" spans="1:8">
      <c r="A31" s="53">
        <v>1999.1</v>
      </c>
      <c r="B31" s="1318">
        <v>44.213732004429687</v>
      </c>
      <c r="C31" s="613">
        <v>41.403374905171752</v>
      </c>
      <c r="D31" s="3008"/>
      <c r="E31" s="1369"/>
      <c r="F31" s="3644"/>
      <c r="G31" s="1423"/>
      <c r="H31" s="1424"/>
    </row>
    <row r="32" spans="1:8">
      <c r="A32" s="53">
        <v>1999.11</v>
      </c>
      <c r="B32" s="1318">
        <v>51.793598233995588</v>
      </c>
      <c r="C32" s="613">
        <v>48.50144215727174</v>
      </c>
      <c r="D32" s="3008"/>
      <c r="E32" s="1369"/>
      <c r="F32" s="3644"/>
      <c r="G32" s="1423"/>
      <c r="H32" s="1424"/>
    </row>
    <row r="33" spans="1:8">
      <c r="A33" s="53">
        <v>1999.12</v>
      </c>
      <c r="B33" s="1318">
        <v>52.388888888888886</v>
      </c>
      <c r="C33" s="613">
        <v>49.058894356955385</v>
      </c>
      <c r="D33" s="3008"/>
      <c r="E33" s="1369"/>
      <c r="F33" s="3644"/>
      <c r="G33" s="1423"/>
      <c r="H33" s="1424"/>
    </row>
    <row r="34" spans="1:8">
      <c r="A34" s="53">
        <v>2000.01</v>
      </c>
      <c r="B34" s="1318">
        <v>49.083333333333336</v>
      </c>
      <c r="C34" s="613">
        <v>45.963449803149615</v>
      </c>
      <c r="D34" s="3008"/>
      <c r="E34" s="1369"/>
      <c r="F34" s="3644"/>
      <c r="G34" s="1423"/>
      <c r="H34" s="1424"/>
    </row>
    <row r="35" spans="1:8">
      <c r="A35" s="53">
        <v>2000.02</v>
      </c>
      <c r="B35" s="1318">
        <v>49.613686534216335</v>
      </c>
      <c r="C35" s="613">
        <v>46.4600921677009</v>
      </c>
      <c r="D35" s="3008"/>
      <c r="E35" s="1369"/>
      <c r="F35" s="3644"/>
      <c r="G35" s="1423"/>
      <c r="H35" s="1424"/>
    </row>
    <row r="36" spans="1:8">
      <c r="A36" s="53">
        <v>2000.03</v>
      </c>
      <c r="B36" s="1318">
        <v>45.474613686534212</v>
      </c>
      <c r="C36" s="613">
        <v>42.584111174844871</v>
      </c>
      <c r="D36" s="3008"/>
      <c r="E36" s="1369"/>
      <c r="F36" s="3644"/>
      <c r="G36" s="1423"/>
      <c r="H36" s="1424"/>
    </row>
    <row r="37" spans="1:8">
      <c r="A37" s="53">
        <v>2000.04</v>
      </c>
      <c r="B37" s="1318">
        <v>45.764576457645767</v>
      </c>
      <c r="C37" s="613">
        <v>42.855643044619434</v>
      </c>
      <c r="D37" s="3008"/>
      <c r="E37" s="1369"/>
      <c r="F37" s="3644"/>
      <c r="G37" s="1423"/>
      <c r="H37" s="1424"/>
    </row>
    <row r="38" spans="1:8">
      <c r="A38" s="53">
        <v>2000.05</v>
      </c>
      <c r="B38" s="1318">
        <v>44.388888888888886</v>
      </c>
      <c r="C38" s="613">
        <v>41.567398293963258</v>
      </c>
      <c r="D38" s="3008"/>
      <c r="E38" s="1369"/>
      <c r="F38" s="3644"/>
      <c r="G38" s="1423"/>
      <c r="H38" s="1424"/>
    </row>
    <row r="39" spans="1:8">
      <c r="A39" s="53">
        <v>2000.06</v>
      </c>
      <c r="B39" s="1318">
        <v>45.348837209302332</v>
      </c>
      <c r="C39" s="613">
        <v>42.466329426844908</v>
      </c>
      <c r="D39" s="3008"/>
      <c r="E39" s="1369"/>
      <c r="F39" s="3644"/>
      <c r="G39" s="1423"/>
      <c r="H39" s="1424"/>
    </row>
    <row r="40" spans="1:8">
      <c r="A40" s="53">
        <v>2000.07</v>
      </c>
      <c r="B40" s="1318">
        <v>40.974529346622369</v>
      </c>
      <c r="C40" s="613">
        <v>38.370065660397103</v>
      </c>
      <c r="D40" s="3008"/>
      <c r="E40" s="1369"/>
      <c r="F40" s="3644"/>
      <c r="G40" s="1423"/>
      <c r="H40" s="1424"/>
    </row>
    <row r="41" spans="1:8">
      <c r="A41" s="53">
        <v>2000.08</v>
      </c>
      <c r="B41" s="1318">
        <v>42</v>
      </c>
      <c r="C41" s="613">
        <v>39.330354330708666</v>
      </c>
      <c r="D41" s="3008"/>
      <c r="E41" s="1369"/>
      <c r="F41" s="3644"/>
      <c r="G41" s="1423"/>
      <c r="H41" s="1424"/>
    </row>
    <row r="42" spans="1:8">
      <c r="A42" s="53">
        <v>2000.09</v>
      </c>
      <c r="B42" s="1318">
        <v>40.642303433001111</v>
      </c>
      <c r="C42" s="613">
        <v>38.058957019907403</v>
      </c>
      <c r="D42" s="3008"/>
      <c r="E42" s="1369"/>
      <c r="F42" s="3644"/>
      <c r="G42" s="1423"/>
      <c r="H42" s="1424"/>
    </row>
    <row r="43" spans="1:8">
      <c r="A43" s="53">
        <v>2000.1</v>
      </c>
      <c r="B43" s="1318">
        <v>39.091915836101883</v>
      </c>
      <c r="C43" s="613">
        <v>36.607116697622104</v>
      </c>
      <c r="D43" s="3008"/>
      <c r="E43" s="1369"/>
      <c r="F43" s="3644"/>
      <c r="G43" s="1423"/>
      <c r="H43" s="1424"/>
    </row>
    <row r="44" spans="1:8">
      <c r="A44" s="53">
        <v>2000.11</v>
      </c>
      <c r="B44" s="1318">
        <v>34.559643255295434</v>
      </c>
      <c r="C44" s="613">
        <v>32.362928923182267</v>
      </c>
      <c r="D44" s="3008"/>
      <c r="E44" s="1369"/>
      <c r="F44" s="3644"/>
      <c r="G44" s="1423"/>
      <c r="H44" s="1424"/>
    </row>
    <row r="45" spans="1:8">
      <c r="A45" s="53">
        <v>2000.12</v>
      </c>
      <c r="B45" s="1318">
        <v>38.083333333333336</v>
      </c>
      <c r="C45" s="613">
        <v>35.662642716535437</v>
      </c>
      <c r="D45" s="3008"/>
      <c r="E45" s="1369"/>
      <c r="F45" s="3644"/>
      <c r="G45" s="1423"/>
      <c r="H45" s="1424"/>
    </row>
    <row r="46" spans="1:8">
      <c r="A46" s="53">
        <v>2001.01</v>
      </c>
      <c r="B46" s="1318">
        <v>44.888888888888886</v>
      </c>
      <c r="C46" s="613">
        <v>42.035616797900261</v>
      </c>
      <c r="D46" s="3008"/>
      <c r="E46" s="1369"/>
      <c r="F46" s="3644"/>
      <c r="G46" s="1423"/>
      <c r="H46" s="1424"/>
    </row>
    <row r="47" spans="1:8">
      <c r="A47" s="53">
        <v>2001.02</v>
      </c>
      <c r="B47" s="1318">
        <v>46.63299663299663</v>
      </c>
      <c r="C47" s="613">
        <v>43.668863835202416</v>
      </c>
      <c r="D47" s="3008"/>
      <c r="E47" s="1369"/>
      <c r="F47" s="3644"/>
      <c r="G47" s="1423"/>
      <c r="H47" s="1424"/>
    </row>
    <row r="48" spans="1:8">
      <c r="A48" s="53">
        <v>2001.03</v>
      </c>
      <c r="B48" s="1318">
        <v>41.914191419141915</v>
      </c>
      <c r="C48" s="653">
        <v>39.25</v>
      </c>
      <c r="D48" s="3657">
        <v>37.75</v>
      </c>
      <c r="E48" s="654">
        <v>42.295603712871284</v>
      </c>
      <c r="F48" s="3658">
        <v>44.593946864686465</v>
      </c>
      <c r="G48" s="335">
        <v>30.092661551155114</v>
      </c>
      <c r="H48" s="157">
        <v>38.989879290429045</v>
      </c>
    </row>
    <row r="49" spans="1:8">
      <c r="A49" s="53">
        <v>2001.04</v>
      </c>
      <c r="B49" s="1318">
        <v>42.940199335548165</v>
      </c>
      <c r="C49" s="615">
        <v>43.33</v>
      </c>
      <c r="D49" s="2970">
        <v>37.83</v>
      </c>
      <c r="E49" s="615">
        <v>44.682247923588037</v>
      </c>
      <c r="F49" s="3535">
        <v>53.911479651162786</v>
      </c>
      <c r="G49" s="358">
        <v>23.509116112956811</v>
      </c>
      <c r="H49" s="217">
        <v>40.693876209302317</v>
      </c>
    </row>
    <row r="50" spans="1:8">
      <c r="A50" s="53">
        <v>2001.05</v>
      </c>
      <c r="B50" s="1318">
        <v>38.138888888888893</v>
      </c>
      <c r="C50" s="615">
        <v>40.54</v>
      </c>
      <c r="D50" s="2970">
        <v>36.33</v>
      </c>
      <c r="E50" s="615">
        <v>40.367566666666661</v>
      </c>
      <c r="F50" s="3535">
        <v>49.917716666666664</v>
      </c>
      <c r="G50" s="358">
        <v>24.245999999999995</v>
      </c>
      <c r="H50" s="217">
        <v>38.171113888888883</v>
      </c>
    </row>
    <row r="51" spans="1:8">
      <c r="A51" s="53">
        <v>2001.06</v>
      </c>
      <c r="B51" s="1318">
        <v>42.03</v>
      </c>
      <c r="C51" s="615">
        <v>37.880000000000003</v>
      </c>
      <c r="D51" s="2970">
        <v>42.17</v>
      </c>
      <c r="E51" s="615">
        <v>42.441874999999996</v>
      </c>
      <c r="F51" s="3535">
        <v>55.004349999999995</v>
      </c>
      <c r="G51" s="358">
        <v>24.264619500000002</v>
      </c>
      <c r="H51" s="217">
        <v>40.569745000000005</v>
      </c>
    </row>
    <row r="52" spans="1:8">
      <c r="A52" s="53">
        <v>2001.07</v>
      </c>
      <c r="B52" s="1318">
        <v>41.92</v>
      </c>
      <c r="C52" s="615">
        <v>38.33</v>
      </c>
      <c r="D52" s="2970">
        <v>34.33</v>
      </c>
      <c r="E52" s="615">
        <v>38.687349999999995</v>
      </c>
      <c r="F52" s="3535">
        <v>48.021910999999996</v>
      </c>
      <c r="G52" s="358">
        <v>24.481530499999998</v>
      </c>
      <c r="H52" s="217">
        <v>37.057460999999996</v>
      </c>
    </row>
    <row r="53" spans="1:8">
      <c r="A53" s="53">
        <v>2001.08</v>
      </c>
      <c r="B53" s="1318">
        <v>39.44</v>
      </c>
      <c r="C53" s="615">
        <v>35.46</v>
      </c>
      <c r="D53" s="2970">
        <v>37.42</v>
      </c>
      <c r="E53" s="615">
        <v>36.994130499999997</v>
      </c>
      <c r="F53" s="3535">
        <v>51.696785999999996</v>
      </c>
      <c r="G53" s="358">
        <v>22.418844499999999</v>
      </c>
      <c r="H53" s="217">
        <v>37.034254000000004</v>
      </c>
    </row>
    <row r="54" spans="1:8">
      <c r="A54" s="53">
        <v>2001.09</v>
      </c>
      <c r="B54" s="1318">
        <v>35.22</v>
      </c>
      <c r="C54" s="615">
        <v>33.96</v>
      </c>
      <c r="D54" s="2970">
        <v>31.25</v>
      </c>
      <c r="E54" s="615">
        <v>35.003064000000002</v>
      </c>
      <c r="F54" s="3535">
        <v>42.653849999999998</v>
      </c>
      <c r="G54" s="358">
        <v>21.058774999999997</v>
      </c>
      <c r="H54" s="217">
        <v>32.901763000000003</v>
      </c>
    </row>
    <row r="55" spans="1:8">
      <c r="A55" s="53">
        <v>2001.1</v>
      </c>
      <c r="B55" s="1318">
        <v>32.36</v>
      </c>
      <c r="C55" s="615">
        <v>33.659999999999997</v>
      </c>
      <c r="D55" s="2970">
        <v>30.69</v>
      </c>
      <c r="E55" s="615">
        <v>35.045760000000001</v>
      </c>
      <c r="F55" s="3535">
        <v>42.886897499999996</v>
      </c>
      <c r="G55" s="358">
        <v>18.247916</v>
      </c>
      <c r="H55" s="217">
        <v>32.053954999999995</v>
      </c>
    </row>
    <row r="56" spans="1:8">
      <c r="A56" s="53">
        <v>2001.11</v>
      </c>
      <c r="B56" s="1318">
        <v>34.89</v>
      </c>
      <c r="C56" s="615">
        <v>33.5</v>
      </c>
      <c r="D56" s="2970">
        <v>34.83</v>
      </c>
      <c r="E56" s="615">
        <v>33.8891445</v>
      </c>
      <c r="F56" s="3535">
        <v>46.860044500000001</v>
      </c>
      <c r="G56" s="358">
        <v>22.312750000000001</v>
      </c>
      <c r="H56" s="217">
        <v>34.348934999999997</v>
      </c>
    </row>
    <row r="57" spans="1:8">
      <c r="A57" s="53">
        <v>2001.12</v>
      </c>
      <c r="B57" s="1318">
        <v>35.42</v>
      </c>
      <c r="C57" s="615">
        <v>32.79</v>
      </c>
      <c r="D57" s="2970">
        <v>28.42</v>
      </c>
      <c r="E57" s="615">
        <v>31.053744000000002</v>
      </c>
      <c r="F57" s="3535">
        <v>45.651896499999999</v>
      </c>
      <c r="G57" s="358">
        <v>16.860350499999999</v>
      </c>
      <c r="H57" s="217">
        <v>31.185400000000001</v>
      </c>
    </row>
    <row r="58" spans="1:8">
      <c r="A58" s="53">
        <v>2002.01</v>
      </c>
      <c r="B58" s="1318">
        <v>35.35</v>
      </c>
      <c r="C58" s="615">
        <v>30.25</v>
      </c>
      <c r="D58" s="2970">
        <v>36.880000000000003</v>
      </c>
      <c r="E58" s="615">
        <v>35.252658499999995</v>
      </c>
      <c r="F58" s="3535">
        <v>59.595735499999996</v>
      </c>
      <c r="G58" s="358">
        <v>7.7411130000000004</v>
      </c>
      <c r="H58" s="217">
        <v>34.190856000000004</v>
      </c>
    </row>
    <row r="59" spans="1:8">
      <c r="A59" s="53">
        <v>2002.02</v>
      </c>
      <c r="B59" s="1318">
        <v>31.98</v>
      </c>
      <c r="C59" s="615">
        <v>31.67</v>
      </c>
      <c r="D59" s="2970">
        <v>29.75</v>
      </c>
      <c r="E59" s="615">
        <v>32.221415999999998</v>
      </c>
      <c r="F59" s="3535">
        <v>51.50908849999999</v>
      </c>
      <c r="G59" s="358">
        <v>8.7410014999999994</v>
      </c>
      <c r="H59" s="217">
        <v>30.822414999999999</v>
      </c>
    </row>
    <row r="60" spans="1:8">
      <c r="A60" s="53">
        <v>2002.03</v>
      </c>
      <c r="B60" s="1318">
        <v>31.94</v>
      </c>
      <c r="C60" s="615">
        <v>33.04</v>
      </c>
      <c r="D60" s="2970">
        <v>32.840000000000003</v>
      </c>
      <c r="E60" s="615">
        <v>30.639785500000002</v>
      </c>
      <c r="F60" s="3535">
        <v>51.944948999999994</v>
      </c>
      <c r="G60" s="358">
        <v>15.710801499999999</v>
      </c>
      <c r="H60" s="217">
        <v>32.760095999999997</v>
      </c>
    </row>
    <row r="61" spans="1:8">
      <c r="A61" s="53">
        <v>2002.04</v>
      </c>
      <c r="B61" s="1318">
        <v>33.44</v>
      </c>
      <c r="C61" s="615">
        <v>28.54</v>
      </c>
      <c r="D61" s="2970">
        <v>30.17</v>
      </c>
      <c r="E61" s="615">
        <v>30.331785499999995</v>
      </c>
      <c r="F61" s="3535">
        <v>47.841191500000001</v>
      </c>
      <c r="G61" s="358">
        <v>12.178508999999998</v>
      </c>
      <c r="H61" s="217">
        <v>30.114207</v>
      </c>
    </row>
    <row r="62" spans="1:8">
      <c r="A62" s="53">
        <v>2002.05</v>
      </c>
      <c r="B62" s="1318">
        <v>31.29</v>
      </c>
      <c r="C62" s="615">
        <v>29.96</v>
      </c>
      <c r="D62" s="2970">
        <v>28.17</v>
      </c>
      <c r="E62" s="615">
        <v>28.473112999999998</v>
      </c>
      <c r="F62" s="3535">
        <v>48.383978499999998</v>
      </c>
      <c r="G62" s="358">
        <v>11.176196000000001</v>
      </c>
      <c r="H62" s="217">
        <v>29.343189000000002</v>
      </c>
    </row>
    <row r="63" spans="1:8">
      <c r="A63" s="53">
        <v>2002.06</v>
      </c>
      <c r="B63" s="1318">
        <v>29.97</v>
      </c>
      <c r="C63" s="615">
        <v>28.15</v>
      </c>
      <c r="D63" s="2970">
        <v>34.9</v>
      </c>
      <c r="E63" s="615">
        <v>28.309158</v>
      </c>
      <c r="F63" s="3535">
        <v>52.891563500000004</v>
      </c>
      <c r="G63" s="358">
        <v>13.614136</v>
      </c>
      <c r="H63" s="217">
        <v>31.600621999999998</v>
      </c>
    </row>
    <row r="64" spans="1:8">
      <c r="A64" s="53">
        <v>2002.07</v>
      </c>
      <c r="B64" s="1318">
        <v>32.83</v>
      </c>
      <c r="C64" s="615">
        <v>32.130000000000003</v>
      </c>
      <c r="D64" s="2970">
        <v>31.08</v>
      </c>
      <c r="E64" s="615">
        <v>31.322043499999999</v>
      </c>
      <c r="F64" s="3535">
        <v>54.566322499999998</v>
      </c>
      <c r="G64" s="358">
        <v>9.3839314999999992</v>
      </c>
      <c r="H64" s="217">
        <v>31.753371999999999</v>
      </c>
    </row>
    <row r="65" spans="1:8">
      <c r="A65" s="53">
        <v>2002.08</v>
      </c>
      <c r="B65" s="1318">
        <v>33.75</v>
      </c>
      <c r="C65" s="615">
        <v>34</v>
      </c>
      <c r="D65" s="2970">
        <v>31.78</v>
      </c>
      <c r="E65" s="615">
        <v>32.140473</v>
      </c>
      <c r="F65" s="3535">
        <v>54.614059999999995</v>
      </c>
      <c r="G65" s="358">
        <v>12.002552999999999</v>
      </c>
      <c r="H65" s="217">
        <v>32.92</v>
      </c>
    </row>
    <row r="66" spans="1:8">
      <c r="A66" s="53">
        <v>2002.09</v>
      </c>
      <c r="B66" s="1318">
        <v>31.08</v>
      </c>
      <c r="C66" s="615">
        <v>31.08</v>
      </c>
      <c r="D66" s="2970">
        <v>25.42</v>
      </c>
      <c r="E66" s="615">
        <v>29.416325000000001</v>
      </c>
      <c r="F66" s="3535">
        <v>45.556205500000004</v>
      </c>
      <c r="G66" s="358">
        <v>10.342735999999999</v>
      </c>
      <c r="H66" s="217">
        <v>28.438477999999996</v>
      </c>
    </row>
    <row r="67" spans="1:8">
      <c r="A67" s="53">
        <v>2002.1</v>
      </c>
      <c r="B67" s="1318">
        <v>38.04</v>
      </c>
      <c r="C67" s="615">
        <v>35.33</v>
      </c>
      <c r="D67" s="2970">
        <v>36.75</v>
      </c>
      <c r="E67" s="615">
        <v>36.894170500000001</v>
      </c>
      <c r="F67" s="3535">
        <v>57.586681499999997</v>
      </c>
      <c r="G67" s="358">
        <v>14.857060499999999</v>
      </c>
      <c r="H67" s="217">
        <v>36.444470999999993</v>
      </c>
    </row>
    <row r="68" spans="1:8">
      <c r="A68" s="53">
        <v>2002.11</v>
      </c>
      <c r="B68" s="1318">
        <v>40.19</v>
      </c>
      <c r="C68" s="615">
        <v>38.83</v>
      </c>
      <c r="D68" s="2970">
        <v>39.08</v>
      </c>
      <c r="E68" s="615">
        <v>38.939880500000001</v>
      </c>
      <c r="F68" s="3535">
        <v>59.223914000000001</v>
      </c>
      <c r="G68" s="358">
        <v>19.3672</v>
      </c>
      <c r="H68" s="217">
        <v>39.173386999999998</v>
      </c>
    </row>
    <row r="69" spans="1:8">
      <c r="A69" s="53">
        <v>2002.12</v>
      </c>
      <c r="B69" s="1318">
        <v>40.28</v>
      </c>
      <c r="C69" s="615">
        <v>37.58</v>
      </c>
      <c r="D69" s="2970">
        <v>35.5</v>
      </c>
      <c r="E69" s="615">
        <v>38.246723500000002</v>
      </c>
      <c r="F69" s="3535">
        <v>58.958287499999997</v>
      </c>
      <c r="G69" s="358">
        <v>13.9775505</v>
      </c>
      <c r="H69" s="217">
        <v>37.059353999999999</v>
      </c>
    </row>
    <row r="70" spans="1:8">
      <c r="A70" s="53">
        <v>2003.01</v>
      </c>
      <c r="B70" s="1318">
        <v>43.44</v>
      </c>
      <c r="C70" s="615">
        <v>40.630000000000003</v>
      </c>
      <c r="D70" s="2970">
        <v>41.44</v>
      </c>
      <c r="E70" s="615">
        <v>42.723819450000001</v>
      </c>
      <c r="F70" s="3535">
        <v>65.804772249999999</v>
      </c>
      <c r="G70" s="358">
        <v>16.00288935</v>
      </c>
      <c r="H70" s="217">
        <v>41.509624700000003</v>
      </c>
    </row>
    <row r="71" spans="1:8">
      <c r="A71" s="53">
        <v>2003.02</v>
      </c>
      <c r="B71" s="1318">
        <v>44.97</v>
      </c>
      <c r="C71" s="615">
        <v>39.17</v>
      </c>
      <c r="D71" s="2970">
        <v>38.06</v>
      </c>
      <c r="E71" s="615">
        <v>41.229680500000001</v>
      </c>
      <c r="F71" s="3535">
        <v>59.76996235</v>
      </c>
      <c r="G71" s="358">
        <v>17.49337615</v>
      </c>
      <c r="H71" s="217">
        <v>39.501099400000001</v>
      </c>
    </row>
    <row r="72" spans="1:8">
      <c r="A72" s="53">
        <v>2003.03</v>
      </c>
      <c r="B72" s="1318">
        <v>40.39</v>
      </c>
      <c r="C72" s="615">
        <v>38.76</v>
      </c>
      <c r="D72" s="2970">
        <v>37.53</v>
      </c>
      <c r="E72" s="615">
        <v>41.883952749999999</v>
      </c>
      <c r="F72" s="3535">
        <v>59.077631949999997</v>
      </c>
      <c r="G72" s="358">
        <v>14.128527699999999</v>
      </c>
      <c r="H72" s="217">
        <v>38.362725999999995</v>
      </c>
    </row>
    <row r="73" spans="1:8">
      <c r="A73" s="53">
        <v>2003.04</v>
      </c>
      <c r="B73" s="1318">
        <v>43.44</v>
      </c>
      <c r="C73" s="615">
        <v>38.56</v>
      </c>
      <c r="D73" s="2970">
        <v>40.04</v>
      </c>
      <c r="E73" s="615">
        <v>43.236505699999995</v>
      </c>
      <c r="F73" s="3535">
        <v>60.723112</v>
      </c>
      <c r="G73" s="358">
        <v>16.433085849999998</v>
      </c>
      <c r="H73" s="217">
        <v>40.127056400000001</v>
      </c>
    </row>
    <row r="74" spans="1:8">
      <c r="A74" s="53">
        <v>2003.05</v>
      </c>
      <c r="B74" s="1318">
        <v>47.18</v>
      </c>
      <c r="C74" s="615">
        <v>43.63</v>
      </c>
      <c r="D74" s="2970">
        <v>44.23</v>
      </c>
      <c r="E74" s="615">
        <v>47.49601895</v>
      </c>
      <c r="F74" s="3535">
        <v>69.686507599999999</v>
      </c>
      <c r="G74" s="358">
        <v>16.3651105</v>
      </c>
      <c r="H74" s="217">
        <v>44.515388199999997</v>
      </c>
    </row>
    <row r="75" spans="1:8">
      <c r="A75" s="53">
        <v>2003.06</v>
      </c>
      <c r="B75" s="1318">
        <v>54.67</v>
      </c>
      <c r="C75" s="615">
        <v>55.14</v>
      </c>
      <c r="D75" s="2970">
        <v>53.93</v>
      </c>
      <c r="E75" s="615">
        <v>60.092467499999998</v>
      </c>
      <c r="F75" s="3535">
        <v>84.336864699999992</v>
      </c>
      <c r="G75" s="358">
        <v>18.831211499999998</v>
      </c>
      <c r="H75" s="217">
        <v>54.418687000000006</v>
      </c>
    </row>
    <row r="76" spans="1:8">
      <c r="A76" s="53">
        <v>2003.07</v>
      </c>
      <c r="B76" s="1318">
        <v>57.42</v>
      </c>
      <c r="C76" s="615">
        <v>53.65</v>
      </c>
      <c r="D76" s="2970">
        <v>52.93</v>
      </c>
      <c r="E76" s="615">
        <v>58.218806499999999</v>
      </c>
      <c r="F76" s="3535">
        <v>82.367881250000011</v>
      </c>
      <c r="G76" s="358">
        <v>20.939465800000001</v>
      </c>
      <c r="H76" s="217">
        <v>53.865733399999996</v>
      </c>
    </row>
    <row r="77" spans="1:8">
      <c r="A77" s="53">
        <v>2003.08</v>
      </c>
      <c r="B77" s="1318">
        <v>52.33</v>
      </c>
      <c r="C77" s="615">
        <v>55.04</v>
      </c>
      <c r="D77" s="2970">
        <v>55.4</v>
      </c>
      <c r="E77" s="615">
        <v>59.092885850000002</v>
      </c>
      <c r="F77" s="3535">
        <v>79.967676350000005</v>
      </c>
      <c r="G77" s="358">
        <v>25.339548100000002</v>
      </c>
      <c r="H77" s="217">
        <v>54.799883899999998</v>
      </c>
    </row>
    <row r="78" spans="1:8">
      <c r="A78" s="53">
        <v>2003.09</v>
      </c>
      <c r="B78" s="1318">
        <v>52.96</v>
      </c>
      <c r="C78" s="615">
        <v>49.92</v>
      </c>
      <c r="D78" s="2970">
        <v>49.78</v>
      </c>
      <c r="E78" s="615">
        <v>54.777334199999999</v>
      </c>
      <c r="F78" s="3535">
        <v>72.473680299999998</v>
      </c>
      <c r="G78" s="358">
        <v>23.7277965</v>
      </c>
      <c r="H78" s="217">
        <v>50.329072600000003</v>
      </c>
    </row>
    <row r="79" spans="1:8">
      <c r="A79" s="53">
        <v>2003.1</v>
      </c>
      <c r="B79" s="1318">
        <v>50.97</v>
      </c>
      <c r="C79" s="615">
        <v>49.75</v>
      </c>
      <c r="D79" s="2970">
        <v>50.55</v>
      </c>
      <c r="E79" s="615">
        <v>55.495555799999998</v>
      </c>
      <c r="F79" s="3535">
        <v>71.68063085</v>
      </c>
      <c r="G79" s="358">
        <v>23.94342245</v>
      </c>
      <c r="H79" s="217">
        <v>50.370892699999999</v>
      </c>
    </row>
    <row r="80" spans="1:8">
      <c r="A80" s="53">
        <v>2003.11</v>
      </c>
      <c r="B80" s="1318">
        <v>49.72</v>
      </c>
      <c r="C80" s="615">
        <v>52.22</v>
      </c>
      <c r="D80" s="2970">
        <v>47.53</v>
      </c>
      <c r="E80" s="615">
        <v>54.318210800000003</v>
      </c>
      <c r="F80" s="3535">
        <v>69.076778149999996</v>
      </c>
      <c r="G80" s="358">
        <v>24.55138045</v>
      </c>
      <c r="H80" s="217">
        <v>49.317727699999999</v>
      </c>
    </row>
    <row r="81" spans="1:8">
      <c r="A81" s="53">
        <v>2003.12</v>
      </c>
      <c r="B81" s="1318">
        <v>49.41</v>
      </c>
      <c r="C81" s="615">
        <v>50.08</v>
      </c>
      <c r="D81" s="2970">
        <v>50.47</v>
      </c>
      <c r="E81" s="615">
        <v>55.8964736</v>
      </c>
      <c r="F81" s="3535">
        <v>68.049567749999994</v>
      </c>
      <c r="G81" s="358">
        <v>26.604108400000001</v>
      </c>
      <c r="H81" s="217">
        <v>50.180939600000002</v>
      </c>
    </row>
    <row r="82" spans="1:8">
      <c r="A82" s="53">
        <v>2004.01</v>
      </c>
      <c r="B82" s="1318">
        <v>55.980725623582764</v>
      </c>
      <c r="C82" s="615">
        <v>55.458333333333336</v>
      </c>
      <c r="D82" s="2970">
        <v>59.55555555555555</v>
      </c>
      <c r="E82" s="615">
        <v>61.494320199999997</v>
      </c>
      <c r="F82" s="3535">
        <v>77.4760615</v>
      </c>
      <c r="G82" s="358">
        <v>34.188799150000001</v>
      </c>
      <c r="H82" s="217">
        <v>57.728057315759635</v>
      </c>
    </row>
    <row r="83" spans="1:8">
      <c r="A83" s="53">
        <v>2004.02</v>
      </c>
      <c r="B83" s="1318">
        <v>59.961368653421637</v>
      </c>
      <c r="C83" s="615">
        <v>59.916666666666664</v>
      </c>
      <c r="D83" s="2970">
        <v>59.75</v>
      </c>
      <c r="E83" s="615">
        <v>65.233628049999993</v>
      </c>
      <c r="F83" s="3535">
        <v>78.926348600000011</v>
      </c>
      <c r="G83" s="358">
        <v>35.34204115</v>
      </c>
      <c r="H83" s="217">
        <v>59.834223973509928</v>
      </c>
    </row>
    <row r="84" spans="1:8">
      <c r="A84" s="53">
        <v>2004.03</v>
      </c>
      <c r="B84" s="1318">
        <v>57.004429678848282</v>
      </c>
      <c r="C84" s="615">
        <v>57.5</v>
      </c>
      <c r="D84" s="2970">
        <v>56.194444444444436</v>
      </c>
      <c r="E84" s="615">
        <v>61.275726849999998</v>
      </c>
      <c r="F84" s="3535">
        <v>74.395110549999998</v>
      </c>
      <c r="G84" s="358">
        <v>34.498405449999993</v>
      </c>
      <c r="H84" s="217">
        <v>56.723583192137312</v>
      </c>
    </row>
    <row r="85" spans="1:8">
      <c r="A85" s="53">
        <v>2004.04</v>
      </c>
      <c r="B85" s="1318">
        <v>51.361111111111107</v>
      </c>
      <c r="C85" s="615">
        <v>49.791666666666664</v>
      </c>
      <c r="D85" s="2970">
        <v>49.638888888888886</v>
      </c>
      <c r="E85" s="615">
        <v>55.973577500000005</v>
      </c>
      <c r="F85" s="3535">
        <v>64.998517050000004</v>
      </c>
      <c r="G85" s="358">
        <v>28.9080908</v>
      </c>
      <c r="H85" s="217">
        <v>49.95964569444444</v>
      </c>
    </row>
    <row r="86" spans="1:8">
      <c r="A86" s="53">
        <v>2004.05</v>
      </c>
      <c r="B86" s="1318">
        <v>49.472222222222221</v>
      </c>
      <c r="C86" s="615">
        <v>51.875</v>
      </c>
      <c r="D86" s="2970">
        <v>51</v>
      </c>
      <c r="E86" s="615">
        <v>56.378496349999999</v>
      </c>
      <c r="F86" s="3535">
        <v>63.769150349999997</v>
      </c>
      <c r="G86" s="358">
        <v>32.926769750000005</v>
      </c>
      <c r="H86" s="217">
        <v>51.024628472222219</v>
      </c>
    </row>
    <row r="87" spans="1:8">
      <c r="A87" s="53">
        <v>2004.06</v>
      </c>
      <c r="B87" s="1318">
        <v>51.805555555555564</v>
      </c>
      <c r="C87" s="615">
        <v>48.583333333333336</v>
      </c>
      <c r="D87" s="2970">
        <v>51.817673378076059</v>
      </c>
      <c r="E87" s="615">
        <v>56.715683650000003</v>
      </c>
      <c r="F87" s="3535">
        <v>63.035299600000002</v>
      </c>
      <c r="G87" s="358">
        <v>32.717722350000003</v>
      </c>
      <c r="H87" s="217">
        <v>50.822638094705439</v>
      </c>
    </row>
    <row r="88" spans="1:8">
      <c r="A88" s="53">
        <v>2004.07</v>
      </c>
      <c r="B88" s="1318">
        <v>48.861111111111114</v>
      </c>
      <c r="C88" s="615">
        <v>51.208333333333336</v>
      </c>
      <c r="D88" s="2970">
        <v>47.94444444444445</v>
      </c>
      <c r="E88" s="615">
        <v>55.462675349999998</v>
      </c>
      <c r="F88" s="3535">
        <v>60.222795550000001</v>
      </c>
      <c r="G88" s="358">
        <v>31.59064635</v>
      </c>
      <c r="H88" s="217">
        <v>49.091654027777778</v>
      </c>
    </row>
    <row r="89" spans="1:8">
      <c r="A89" s="53">
        <v>2004.08</v>
      </c>
      <c r="B89" s="1318">
        <v>45.182724252491688</v>
      </c>
      <c r="C89" s="615">
        <v>48.051409618573793</v>
      </c>
      <c r="D89" s="2970">
        <v>46.333333333333336</v>
      </c>
      <c r="E89" s="615">
        <v>53.097256350000002</v>
      </c>
      <c r="F89" s="3535">
        <v>56.904495900000001</v>
      </c>
      <c r="G89" s="358">
        <v>30.030390700000002</v>
      </c>
      <c r="H89" s="217">
        <v>46.676826898508565</v>
      </c>
    </row>
    <row r="90" spans="1:8">
      <c r="A90" s="53">
        <v>2004.09</v>
      </c>
      <c r="B90" s="1318">
        <v>47.333333333333336</v>
      </c>
      <c r="C90" s="615">
        <v>47.5</v>
      </c>
      <c r="D90" s="2970">
        <v>47.25</v>
      </c>
      <c r="E90" s="615">
        <v>54.304752649999998</v>
      </c>
      <c r="F90" s="3535">
        <v>55.703461699999998</v>
      </c>
      <c r="G90" s="358">
        <v>32.009566599999999</v>
      </c>
      <c r="H90" s="217">
        <v>47.339525833333333</v>
      </c>
    </row>
    <row r="91" spans="1:8">
      <c r="A91" s="53">
        <v>2004.1</v>
      </c>
      <c r="B91" s="1318">
        <v>47.361111111111107</v>
      </c>
      <c r="C91" s="615">
        <v>52.416666666666664</v>
      </c>
      <c r="D91" s="2970">
        <v>48.361111111111114</v>
      </c>
      <c r="E91" s="615">
        <v>54.450485833333332</v>
      </c>
      <c r="F91" s="3535">
        <v>60.92919333333333</v>
      </c>
      <c r="G91" s="358">
        <v>32.958101666666664</v>
      </c>
      <c r="H91" s="217">
        <v>49.445926944444444</v>
      </c>
    </row>
    <row r="92" spans="1:8">
      <c r="A92" s="53">
        <v>2004.11</v>
      </c>
      <c r="B92" s="1318">
        <v>51.21816168327797</v>
      </c>
      <c r="C92" s="615">
        <v>55.916666666666664</v>
      </c>
      <c r="D92" s="2970">
        <v>53.972222222222229</v>
      </c>
      <c r="E92" s="615">
        <v>60.551036885382061</v>
      </c>
      <c r="F92" s="3535">
        <v>66.307714431063118</v>
      </c>
      <c r="G92" s="358">
        <v>35.53023969684385</v>
      </c>
      <c r="H92" s="217">
        <v>54.129663671096353</v>
      </c>
    </row>
    <row r="93" spans="1:8">
      <c r="A93" s="53">
        <v>2004.12</v>
      </c>
      <c r="B93" s="1318">
        <v>51.402373247033438</v>
      </c>
      <c r="C93" s="615">
        <v>51.25</v>
      </c>
      <c r="D93" s="2970">
        <v>52.657807308970099</v>
      </c>
      <c r="E93" s="615">
        <v>58.302214850968724</v>
      </c>
      <c r="F93" s="3535">
        <v>62.756613664994788</v>
      </c>
      <c r="G93" s="358">
        <v>35.016878120356637</v>
      </c>
      <c r="H93" s="217">
        <v>52.025235545440047</v>
      </c>
    </row>
    <row r="94" spans="1:8">
      <c r="A94" s="53">
        <v>2005.01</v>
      </c>
      <c r="B94" s="1318">
        <v>54.083333333333336</v>
      </c>
      <c r="C94" s="615">
        <v>58.291666666666664</v>
      </c>
      <c r="D94" s="2970">
        <v>56.777777777777771</v>
      </c>
      <c r="E94" s="615">
        <v>62.935393333333337</v>
      </c>
      <c r="F94" s="3535">
        <v>66.922422499999996</v>
      </c>
      <c r="G94" s="358">
        <v>40.579850416666673</v>
      </c>
      <c r="H94" s="217">
        <v>56.812555416666662</v>
      </c>
    </row>
    <row r="95" spans="1:8">
      <c r="A95" s="53">
        <v>2005.02</v>
      </c>
      <c r="B95" s="1318">
        <v>54.966887417218544</v>
      </c>
      <c r="C95" s="615">
        <v>56.541666666666664</v>
      </c>
      <c r="D95" s="2970">
        <v>55.944444444444436</v>
      </c>
      <c r="E95" s="615">
        <v>62.660918882450332</v>
      </c>
      <c r="F95" s="3535">
        <v>64.081867094370864</v>
      </c>
      <c r="G95" s="358">
        <v>41.171509776490069</v>
      </c>
      <c r="H95" s="217">
        <v>55.971431917770417</v>
      </c>
    </row>
    <row r="96" spans="1:8">
      <c r="A96" s="53">
        <v>2005.03</v>
      </c>
      <c r="B96" s="1318">
        <v>59.750000000000007</v>
      </c>
      <c r="C96" s="615">
        <v>59.625</v>
      </c>
      <c r="D96" s="2970">
        <v>57.308970099667782</v>
      </c>
      <c r="E96" s="615">
        <v>61.8120495251938</v>
      </c>
      <c r="F96" s="3535">
        <v>70.389216967054267</v>
      </c>
      <c r="G96" s="358">
        <v>43.022865206256924</v>
      </c>
      <c r="H96" s="217">
        <v>58.408043899501664</v>
      </c>
    </row>
    <row r="97" spans="1:8">
      <c r="A97" s="53">
        <v>2005.04</v>
      </c>
      <c r="B97" s="1318">
        <v>50.166666666666664</v>
      </c>
      <c r="C97" s="615">
        <v>51.125</v>
      </c>
      <c r="D97" s="2970">
        <v>53.55555555555555</v>
      </c>
      <c r="E97" s="615">
        <v>56.424012083333331</v>
      </c>
      <c r="F97" s="3535">
        <v>62.558955416666663</v>
      </c>
      <c r="G97" s="358">
        <v>37.824701250000004</v>
      </c>
      <c r="H97" s="217">
        <v>52.269222916666664</v>
      </c>
    </row>
    <row r="98" spans="1:8">
      <c r="A98" s="53">
        <v>2005.05</v>
      </c>
      <c r="B98" s="1318">
        <v>50.722222222222221</v>
      </c>
      <c r="C98" s="615">
        <v>55</v>
      </c>
      <c r="D98" s="2970">
        <v>49.555555555555564</v>
      </c>
      <c r="E98" s="615">
        <v>57.890183750000006</v>
      </c>
      <c r="F98" s="3535">
        <v>58.596549583333335</v>
      </c>
      <c r="G98" s="358">
        <v>37.748568333333338</v>
      </c>
      <c r="H98" s="217">
        <v>51.411767222222224</v>
      </c>
    </row>
    <row r="99" spans="1:8">
      <c r="A99" s="53">
        <v>2005.06</v>
      </c>
      <c r="B99" s="1318">
        <v>52.555555555555564</v>
      </c>
      <c r="C99" s="615">
        <v>49.75</v>
      </c>
      <c r="D99" s="2970">
        <v>50.55555555555555</v>
      </c>
      <c r="E99" s="615">
        <v>57.661146666666667</v>
      </c>
      <c r="F99" s="3535">
        <v>59.593034166666662</v>
      </c>
      <c r="G99" s="358">
        <v>34.625178333333338</v>
      </c>
      <c r="H99" s="217">
        <v>50.626453055555551</v>
      </c>
    </row>
    <row r="100" spans="1:8">
      <c r="A100" s="53">
        <v>2005.07</v>
      </c>
      <c r="B100" s="1318">
        <v>51.273532668881501</v>
      </c>
      <c r="C100" s="615">
        <v>49.793729372937293</v>
      </c>
      <c r="D100" s="2970">
        <v>50.694444444444436</v>
      </c>
      <c r="E100" s="615">
        <v>55.807611541067729</v>
      </c>
      <c r="F100" s="3535">
        <v>56.584111304480118</v>
      </c>
      <c r="G100" s="358">
        <v>39.137591944672877</v>
      </c>
      <c r="H100" s="217">
        <v>50.509771596740237</v>
      </c>
    </row>
    <row r="101" spans="1:8">
      <c r="A101" s="53">
        <v>2005.08</v>
      </c>
      <c r="B101" s="1318">
        <v>48.166666666666664</v>
      </c>
      <c r="C101" s="615">
        <v>54.25</v>
      </c>
      <c r="D101" s="2970">
        <v>51.965669988925804</v>
      </c>
      <c r="E101" s="615">
        <v>59.104499649778518</v>
      </c>
      <c r="F101" s="3535">
        <v>55.896743644795123</v>
      </c>
      <c r="G101" s="358">
        <v>41.181664155592472</v>
      </c>
      <c r="H101" s="217">
        <v>52.060969150055371</v>
      </c>
    </row>
    <row r="102" spans="1:8">
      <c r="A102" s="53">
        <v>2005.09</v>
      </c>
      <c r="B102" s="1318">
        <v>46.888888888888893</v>
      </c>
      <c r="C102" s="615">
        <v>51.291666666666664</v>
      </c>
      <c r="D102" s="2970">
        <v>50.05555555555555</v>
      </c>
      <c r="E102" s="615">
        <v>56.3078675</v>
      </c>
      <c r="F102" s="3535">
        <v>55.242461249999991</v>
      </c>
      <c r="G102" s="358">
        <v>38.239441666666664</v>
      </c>
      <c r="H102" s="217">
        <v>49.929923472222214</v>
      </c>
    </row>
    <row r="103" spans="1:8">
      <c r="A103" s="53">
        <v>2005.1</v>
      </c>
      <c r="B103" s="1318">
        <v>49.361111111111107</v>
      </c>
      <c r="C103" s="615">
        <v>49.041666666666664</v>
      </c>
      <c r="D103" s="2970">
        <v>50.972222222222221</v>
      </c>
      <c r="E103" s="615">
        <v>56.786584583333337</v>
      </c>
      <c r="F103" s="3535">
        <v>56.887112083333328</v>
      </c>
      <c r="G103" s="358">
        <v>36.694037916666666</v>
      </c>
      <c r="H103" s="217">
        <v>50.122578194444444</v>
      </c>
    </row>
    <row r="104" spans="1:8">
      <c r="A104" s="53">
        <v>2005.11</v>
      </c>
      <c r="B104" s="1318">
        <v>52.666666666666664</v>
      </c>
      <c r="C104" s="615">
        <v>53.791666666666664</v>
      </c>
      <c r="D104" s="2970">
        <v>53.333333333333336</v>
      </c>
      <c r="E104" s="615">
        <v>58.768545000000003</v>
      </c>
      <c r="F104" s="3535">
        <v>60.114917500000004</v>
      </c>
      <c r="G104" s="358">
        <v>41.21829125</v>
      </c>
      <c r="H104" s="217">
        <v>53.367251250000002</v>
      </c>
    </row>
    <row r="105" spans="1:8">
      <c r="A105" s="53">
        <v>2005.12</v>
      </c>
      <c r="B105" s="1318">
        <v>50.083333333333336</v>
      </c>
      <c r="C105" s="615">
        <v>53</v>
      </c>
      <c r="D105" s="2970">
        <v>50.138888888888886</v>
      </c>
      <c r="E105" s="615">
        <v>58.149746666666665</v>
      </c>
      <c r="F105" s="3535">
        <v>56.173473749999999</v>
      </c>
      <c r="G105" s="358">
        <v>38.69952958333333</v>
      </c>
      <c r="H105" s="217">
        <v>51.007583333333329</v>
      </c>
    </row>
    <row r="106" spans="1:8">
      <c r="A106" s="53">
        <v>2006.01</v>
      </c>
      <c r="B106" s="1318">
        <v>58.416666666666664</v>
      </c>
      <c r="C106" s="615">
        <v>57.013201320132019</v>
      </c>
      <c r="D106" s="2970">
        <v>56.69444444444445</v>
      </c>
      <c r="E106" s="615">
        <v>62.391737731023106</v>
      </c>
      <c r="F106" s="3535">
        <v>63.874135420792072</v>
      </c>
      <c r="G106" s="358">
        <v>44.93233090759076</v>
      </c>
      <c r="H106" s="217">
        <v>57.066068019801989</v>
      </c>
    </row>
    <row r="107" spans="1:8">
      <c r="A107" s="53">
        <v>2006.02</v>
      </c>
      <c r="B107" s="1318">
        <v>53.44444444444445</v>
      </c>
      <c r="C107" s="615">
        <v>55.833333333333336</v>
      </c>
      <c r="D107" s="2970">
        <v>57.277777777777771</v>
      </c>
      <c r="E107" s="615">
        <v>61.516106666666666</v>
      </c>
      <c r="F107" s="3535">
        <v>63.041796666666663</v>
      </c>
      <c r="G107" s="358">
        <v>44.111789999999999</v>
      </c>
      <c r="H107" s="217">
        <v>56.223231111111112</v>
      </c>
    </row>
    <row r="108" spans="1:8">
      <c r="A108" s="53">
        <v>2006.03</v>
      </c>
      <c r="B108" s="1318">
        <v>54.944444444444436</v>
      </c>
      <c r="C108" s="615">
        <v>59.083333333333336</v>
      </c>
      <c r="D108" s="2970">
        <v>61.777777777777779</v>
      </c>
      <c r="E108" s="615">
        <v>64.511775833333331</v>
      </c>
      <c r="F108" s="3535">
        <v>67.655024999999995</v>
      </c>
      <c r="G108" s="358">
        <v>47.418130000000005</v>
      </c>
      <c r="H108" s="217">
        <v>59.861643611111113</v>
      </c>
    </row>
    <row r="109" spans="1:8">
      <c r="A109" s="53">
        <v>2006.04</v>
      </c>
      <c r="B109" s="1318">
        <v>53.062913907284774</v>
      </c>
      <c r="C109" s="615">
        <v>55.583333333333336</v>
      </c>
      <c r="D109" s="2970">
        <v>53.416666666666664</v>
      </c>
      <c r="E109" s="615">
        <v>59.456074379139068</v>
      </c>
      <c r="F109" s="3535">
        <v>61.459634304635763</v>
      </c>
      <c r="G109" s="358">
        <v>41.158404759933774</v>
      </c>
      <c r="H109" s="217">
        <v>54.024704481236199</v>
      </c>
    </row>
    <row r="110" spans="1:8">
      <c r="A110" s="53">
        <v>2006.05</v>
      </c>
      <c r="B110" s="1318">
        <v>52.740863787375417</v>
      </c>
      <c r="C110" s="615">
        <v>56.416666666666664</v>
      </c>
      <c r="D110" s="2970">
        <v>58.166666666666664</v>
      </c>
      <c r="E110" s="615">
        <v>61.808444680232554</v>
      </c>
      <c r="F110" s="3535">
        <v>61.01045460963455</v>
      </c>
      <c r="G110" s="358">
        <v>47.475029240033223</v>
      </c>
      <c r="H110" s="217">
        <v>56.764642843300109</v>
      </c>
    </row>
    <row r="111" spans="1:8">
      <c r="A111" s="53">
        <v>2006.06</v>
      </c>
      <c r="B111" s="1318">
        <v>56.533776301218161</v>
      </c>
      <c r="C111" s="615">
        <v>58.833333333333336</v>
      </c>
      <c r="D111" s="2970">
        <v>58.944444444444436</v>
      </c>
      <c r="E111" s="615">
        <v>62.164544036544839</v>
      </c>
      <c r="F111" s="3535">
        <v>65.169056719269093</v>
      </c>
      <c r="G111" s="358">
        <v>48.243536951827238</v>
      </c>
      <c r="H111" s="217">
        <v>58.525712569213724</v>
      </c>
    </row>
    <row r="112" spans="1:8">
      <c r="A112" s="53">
        <v>2006.07</v>
      </c>
      <c r="B112" s="1318">
        <v>56.333333333333336</v>
      </c>
      <c r="C112" s="615">
        <v>59.166666666666664</v>
      </c>
      <c r="D112" s="2970">
        <v>57.333333333333336</v>
      </c>
      <c r="E112" s="615">
        <v>63.275557499999991</v>
      </c>
      <c r="F112" s="3535">
        <v>61.376802500000004</v>
      </c>
      <c r="G112" s="358">
        <v>48.555885000000004</v>
      </c>
      <c r="H112" s="217">
        <v>57.736081666666671</v>
      </c>
    </row>
    <row r="113" spans="1:8">
      <c r="A113" s="53">
        <v>2006.08</v>
      </c>
      <c r="B113" s="1318">
        <v>55.14950166112957</v>
      </c>
      <c r="C113" s="615">
        <v>56.708333333333336</v>
      </c>
      <c r="D113" s="2970">
        <v>55.583333333333336</v>
      </c>
      <c r="E113" s="615">
        <v>63.127208222591356</v>
      </c>
      <c r="F113" s="3535">
        <v>59.465668612956812</v>
      </c>
      <c r="G113" s="358">
        <v>44.983868243355488</v>
      </c>
      <c r="H113" s="217">
        <v>55.858915026301219</v>
      </c>
    </row>
    <row r="114" spans="1:8">
      <c r="A114" s="53">
        <v>2006.09</v>
      </c>
      <c r="B114" s="1318">
        <v>55.132450331125824</v>
      </c>
      <c r="C114" s="615">
        <v>57.75</v>
      </c>
      <c r="D114" s="2970">
        <v>60.777777777777779</v>
      </c>
      <c r="E114" s="615">
        <v>65.073456332781461</v>
      </c>
      <c r="F114" s="3535">
        <v>62.625628965231797</v>
      </c>
      <c r="G114" s="358">
        <v>49.146769188741722</v>
      </c>
      <c r="H114" s="217">
        <v>58.948618162251648</v>
      </c>
    </row>
    <row r="115" spans="1:8">
      <c r="A115" s="53">
        <v>2006.1</v>
      </c>
      <c r="B115" s="1318">
        <v>53.972222222222221</v>
      </c>
      <c r="C115" s="615">
        <v>60.958333333333336</v>
      </c>
      <c r="D115" s="2970">
        <v>60.733995584988953</v>
      </c>
      <c r="E115" s="615">
        <v>65.255176956401769</v>
      </c>
      <c r="F115" s="3535">
        <v>62.595244155629132</v>
      </c>
      <c r="G115" s="358">
        <v>51.324630314569532</v>
      </c>
      <c r="H115" s="217">
        <v>59.725017142200144</v>
      </c>
    </row>
    <row r="116" spans="1:8">
      <c r="A116" s="53">
        <v>2006.11</v>
      </c>
      <c r="B116" s="1318">
        <v>54.515050167224082</v>
      </c>
      <c r="C116" s="615">
        <v>60.208333333333336</v>
      </c>
      <c r="D116" s="2970">
        <v>57</v>
      </c>
      <c r="E116" s="615">
        <v>62.838562240802673</v>
      </c>
      <c r="F116" s="3535">
        <v>59.85897818979933</v>
      </c>
      <c r="G116" s="358">
        <v>50.066933745819398</v>
      </c>
      <c r="H116" s="217">
        <v>57.588158058807139</v>
      </c>
    </row>
    <row r="117" spans="1:8">
      <c r="A117" s="53">
        <v>2006.12</v>
      </c>
      <c r="B117" s="1318">
        <v>56.284606866002228</v>
      </c>
      <c r="C117" s="615">
        <v>59.038142620232179</v>
      </c>
      <c r="D117" s="2970">
        <v>56.25</v>
      </c>
      <c r="E117" s="615">
        <v>63.049620580114379</v>
      </c>
      <c r="F117" s="3535">
        <v>59.481014367985651</v>
      </c>
      <c r="G117" s="358">
        <v>48.801176477537567</v>
      </c>
      <c r="H117" s="217">
        <v>57.110603808545875</v>
      </c>
    </row>
    <row r="118" spans="1:8">
      <c r="A118" s="53">
        <v>2007.01</v>
      </c>
      <c r="B118" s="1318">
        <v>58.388704318936874</v>
      </c>
      <c r="C118" s="615">
        <v>59.375</v>
      </c>
      <c r="D118" s="2970">
        <v>62.666666666666664</v>
      </c>
      <c r="E118" s="615">
        <v>67.703216046511628</v>
      </c>
      <c r="F118" s="3535">
        <v>63.008008741694354</v>
      </c>
      <c r="G118" s="358">
        <v>52.211789916943516</v>
      </c>
      <c r="H118" s="217">
        <v>60.974338235049835</v>
      </c>
    </row>
    <row r="119" spans="1:8">
      <c r="A119" s="53">
        <v>2007.02</v>
      </c>
      <c r="B119" s="1318">
        <v>56.5</v>
      </c>
      <c r="C119" s="615">
        <v>59.452736318407972</v>
      </c>
      <c r="D119" s="2970">
        <v>60.492801771871534</v>
      </c>
      <c r="E119" s="615">
        <v>65.539518709897351</v>
      </c>
      <c r="F119" s="3535">
        <v>60.341973698079372</v>
      </c>
      <c r="G119" s="358">
        <v>52.729261311713856</v>
      </c>
      <c r="H119" s="217">
        <v>59.536917906563531</v>
      </c>
    </row>
    <row r="120" spans="1:8">
      <c r="A120" s="53">
        <v>2007.03</v>
      </c>
      <c r="B120" s="1318">
        <v>56.166666666666664</v>
      </c>
      <c r="C120" s="615">
        <v>58.666666666666664</v>
      </c>
      <c r="D120" s="2970">
        <v>59.7452934662237</v>
      </c>
      <c r="E120" s="615">
        <v>64.814847650885937</v>
      </c>
      <c r="F120" s="3535">
        <v>60.791429696843849</v>
      </c>
      <c r="G120" s="358">
        <v>50.924418250276858</v>
      </c>
      <c r="H120" s="217">
        <v>58.843565199335544</v>
      </c>
    </row>
    <row r="121" spans="1:8">
      <c r="A121" s="53">
        <v>2007.04</v>
      </c>
      <c r="B121" s="1318">
        <v>52.277777777777779</v>
      </c>
      <c r="C121" s="615">
        <v>50.75</v>
      </c>
      <c r="D121" s="2970">
        <v>54.138888888888886</v>
      </c>
      <c r="E121" s="615">
        <v>60.135614166666663</v>
      </c>
      <c r="F121" s="3535">
        <v>52.080787916666665</v>
      </c>
      <c r="G121" s="358">
        <v>46.189111249999996</v>
      </c>
      <c r="H121" s="217">
        <v>52.801837777777777</v>
      </c>
    </row>
    <row r="122" spans="1:8">
      <c r="A122" s="53">
        <v>2007.05</v>
      </c>
      <c r="B122" s="1318">
        <v>50.305555555555564</v>
      </c>
      <c r="C122" s="615">
        <v>54.666666666666664</v>
      </c>
      <c r="D122" s="2970">
        <v>52.694444444444436</v>
      </c>
      <c r="E122" s="615">
        <v>58.614234166666662</v>
      </c>
      <c r="F122" s="3535">
        <v>52.763772500000002</v>
      </c>
      <c r="G122" s="358">
        <v>47.377789999999997</v>
      </c>
      <c r="H122" s="217">
        <v>52.91859888888888</v>
      </c>
    </row>
    <row r="123" spans="1:8">
      <c r="A123" s="53">
        <v>2007.06</v>
      </c>
      <c r="B123" s="1318">
        <v>52.062430323299886</v>
      </c>
      <c r="C123" s="615">
        <v>52.155887230514089</v>
      </c>
      <c r="D123" s="2970">
        <v>50.613154960981042</v>
      </c>
      <c r="E123" s="615">
        <v>58.134460332118664</v>
      </c>
      <c r="F123" s="3535">
        <v>50.15825593603887</v>
      </c>
      <c r="G123" s="358">
        <v>45.658229712640804</v>
      </c>
      <c r="H123" s="217">
        <v>51.316981993599441</v>
      </c>
    </row>
    <row r="124" spans="1:8">
      <c r="A124" s="53">
        <v>2007.07</v>
      </c>
      <c r="B124" s="1318">
        <v>47.937293729372932</v>
      </c>
      <c r="C124" s="615">
        <v>51.416666666666664</v>
      </c>
      <c r="D124" s="2970">
        <v>50.137513751375138</v>
      </c>
      <c r="E124" s="615">
        <v>56.509752582508256</v>
      </c>
      <c r="F124" s="3535">
        <v>49.862736382013196</v>
      </c>
      <c r="G124" s="358">
        <v>44.164674723597358</v>
      </c>
      <c r="H124" s="217">
        <v>50.17905456270627</v>
      </c>
    </row>
    <row r="125" spans="1:8">
      <c r="A125" s="53">
        <v>2007.08</v>
      </c>
      <c r="B125" s="1318">
        <v>46.166666666666664</v>
      </c>
      <c r="C125" s="615">
        <v>50.041666666666664</v>
      </c>
      <c r="D125" s="2970">
        <v>44.767441860465112</v>
      </c>
      <c r="E125" s="615">
        <v>54.488730301771874</v>
      </c>
      <c r="F125" s="3535">
        <v>45.865502924972319</v>
      </c>
      <c r="G125" s="358">
        <v>39.471301395348839</v>
      </c>
      <c r="H125" s="217">
        <v>46.60851154069767</v>
      </c>
    </row>
    <row r="126" spans="1:8">
      <c r="A126" s="53">
        <v>2007.09</v>
      </c>
      <c r="B126" s="1318">
        <v>46.906354515050168</v>
      </c>
      <c r="C126" s="615">
        <v>50.125</v>
      </c>
      <c r="D126" s="2970">
        <v>49.36323366555925</v>
      </c>
      <c r="E126" s="615">
        <v>56.888658360606783</v>
      </c>
      <c r="F126" s="3535">
        <v>47.941501694477161</v>
      </c>
      <c r="G126" s="358">
        <v>42.785179203310591</v>
      </c>
      <c r="H126" s="217">
        <v>49.205113086131519</v>
      </c>
    </row>
    <row r="127" spans="1:8">
      <c r="A127" s="53">
        <v>2007.1</v>
      </c>
      <c r="B127" s="1318">
        <v>47.361111111111107</v>
      </c>
      <c r="C127" s="615">
        <v>50</v>
      </c>
      <c r="D127" s="2970">
        <v>46.861111111111114</v>
      </c>
      <c r="E127" s="615">
        <v>55.78753833333333</v>
      </c>
      <c r="F127" s="3535">
        <v>45.18858208333333</v>
      </c>
      <c r="G127" s="358">
        <v>42.734652916666668</v>
      </c>
      <c r="H127" s="217">
        <v>47.903591111111112</v>
      </c>
    </row>
    <row r="128" spans="1:8">
      <c r="A128" s="53">
        <v>2007.11</v>
      </c>
      <c r="B128" s="1318">
        <v>48.055555555555564</v>
      </c>
      <c r="C128" s="615">
        <v>53.208333333333336</v>
      </c>
      <c r="D128" s="2970">
        <v>51.462472406181014</v>
      </c>
      <c r="E128" s="615">
        <v>58.16834804083885</v>
      </c>
      <c r="F128" s="3535">
        <v>52.964196103752762</v>
      </c>
      <c r="G128" s="358">
        <v>43.232423209161141</v>
      </c>
      <c r="H128" s="217">
        <v>51.454989117917592</v>
      </c>
    </row>
    <row r="129" spans="1:8">
      <c r="A129" s="53">
        <v>2007.12</v>
      </c>
      <c r="B129" s="1318">
        <v>50.388888888888886</v>
      </c>
      <c r="C129" s="615">
        <v>50.791666666666664</v>
      </c>
      <c r="D129" s="2970">
        <v>52.25752508361203</v>
      </c>
      <c r="E129" s="615">
        <v>60.393592009476031</v>
      </c>
      <c r="F129" s="3535">
        <v>51.927174962374579</v>
      </c>
      <c r="G129" s="358">
        <v>42.207591387959866</v>
      </c>
      <c r="H129" s="217">
        <v>51.509452786603489</v>
      </c>
    </row>
    <row r="130" spans="1:8">
      <c r="A130" s="53">
        <f t="shared" ref="A130:A193" si="0">A118+1</f>
        <v>2008.01</v>
      </c>
      <c r="B130" s="1318">
        <v>53.848039215686278</v>
      </c>
      <c r="C130" s="615">
        <v>56.208333333333336</v>
      </c>
      <c r="D130" s="2970">
        <v>54.73047304730472</v>
      </c>
      <c r="E130" s="615">
        <v>63.428562227722772</v>
      </c>
      <c r="F130" s="3535">
        <v>55.591428645165983</v>
      </c>
      <c r="G130" s="358">
        <v>46.108666383226556</v>
      </c>
      <c r="H130" s="217">
        <v>55.042885752038437</v>
      </c>
    </row>
    <row r="131" spans="1:8">
      <c r="A131" s="53">
        <f t="shared" si="0"/>
        <v>2008.02</v>
      </c>
      <c r="B131" s="1318">
        <v>47.807017543859651</v>
      </c>
      <c r="C131" s="615">
        <v>50.497512437810947</v>
      </c>
      <c r="D131" s="2970">
        <v>54.166666666666664</v>
      </c>
      <c r="E131" s="615">
        <v>59.925903095239974</v>
      </c>
      <c r="F131" s="3535">
        <v>50.954962714081041</v>
      </c>
      <c r="G131" s="358">
        <v>45.199961861535229</v>
      </c>
      <c r="H131" s="217">
        <v>52.026942556952079</v>
      </c>
    </row>
    <row r="132" spans="1:8">
      <c r="A132" s="53">
        <f t="shared" si="0"/>
        <v>2008.03</v>
      </c>
      <c r="B132" s="1318">
        <v>45.451653</v>
      </c>
      <c r="C132" s="615">
        <v>46.369396000000002</v>
      </c>
      <c r="D132" s="2970">
        <v>45.038910000000001</v>
      </c>
      <c r="E132" s="615">
        <v>53.991534455109999</v>
      </c>
      <c r="F132" s="3535">
        <v>43.798583607899999</v>
      </c>
      <c r="G132" s="358">
        <v>38.747462576619995</v>
      </c>
      <c r="H132" s="217">
        <v>45.512526878634922</v>
      </c>
    </row>
    <row r="133" spans="1:8">
      <c r="A133" s="53">
        <f t="shared" si="0"/>
        <v>2008.04</v>
      </c>
      <c r="B133" s="1318">
        <v>44.613818999999999</v>
      </c>
      <c r="C133" s="615">
        <v>46.433669999999999</v>
      </c>
      <c r="D133" s="2970">
        <v>45.451526999999999</v>
      </c>
      <c r="E133" s="615">
        <v>52.898079472759996</v>
      </c>
      <c r="F133" s="3535">
        <v>45.730890332689995</v>
      </c>
      <c r="G133" s="358">
        <v>38.228112471160003</v>
      </c>
      <c r="H133" s="217">
        <v>45.61902638006363</v>
      </c>
    </row>
    <row r="134" spans="1:8">
      <c r="A134" s="53">
        <f t="shared" si="0"/>
        <v>2008.05</v>
      </c>
      <c r="B134" s="1318">
        <v>36.975067000000003</v>
      </c>
      <c r="C134" s="615">
        <v>40.562674999999999</v>
      </c>
      <c r="D134" s="2970">
        <v>41.162635999999999</v>
      </c>
      <c r="E134" s="615">
        <v>47.03965925851</v>
      </c>
      <c r="F134" s="3535">
        <v>39.306125283970005</v>
      </c>
      <c r="G134" s="358">
        <v>34.587155860660005</v>
      </c>
      <c r="H134" s="217">
        <v>40.306849040499642</v>
      </c>
    </row>
    <row r="135" spans="1:8">
      <c r="A135" s="53">
        <f t="shared" si="0"/>
        <v>2008.06</v>
      </c>
      <c r="B135" s="1318">
        <v>36.518661000000002</v>
      </c>
      <c r="C135" s="615">
        <v>38.696373000000001</v>
      </c>
      <c r="D135" s="2970">
        <v>41.035854</v>
      </c>
      <c r="E135" s="615">
        <v>47.266501064469999</v>
      </c>
      <c r="F135" s="3535">
        <v>40.238431780729996</v>
      </c>
      <c r="G135" s="358">
        <v>31.288607202649999</v>
      </c>
      <c r="H135" s="217">
        <v>39.597846724903839</v>
      </c>
    </row>
    <row r="136" spans="1:8">
      <c r="A136" s="53">
        <f t="shared" si="0"/>
        <v>2008.07</v>
      </c>
      <c r="B136" s="1318">
        <v>39.029949000000002</v>
      </c>
      <c r="C136" s="615">
        <v>39.489699999999999</v>
      </c>
      <c r="D136" s="2970">
        <v>41.469036000000003</v>
      </c>
      <c r="E136" s="615">
        <v>48.577533521020001</v>
      </c>
      <c r="F136" s="3535">
        <v>42.24004126717</v>
      </c>
      <c r="G136" s="358">
        <v>30.60026267293</v>
      </c>
      <c r="H136" s="217">
        <v>40.472613055682586</v>
      </c>
    </row>
    <row r="137" spans="1:8">
      <c r="A137" s="53">
        <f t="shared" si="0"/>
        <v>2008.08</v>
      </c>
      <c r="B137" s="1318">
        <v>41.347382000000003</v>
      </c>
      <c r="C137" s="615">
        <v>43.538646999999997</v>
      </c>
      <c r="D137" s="2970">
        <v>40.148578999999998</v>
      </c>
      <c r="E137" s="615">
        <v>47.979079162710001</v>
      </c>
      <c r="F137" s="3535">
        <v>44.268796660139998</v>
      </c>
      <c r="G137" s="358">
        <v>31.89073364659</v>
      </c>
      <c r="H137" s="217">
        <v>41.379536771665848</v>
      </c>
    </row>
    <row r="138" spans="1:8">
      <c r="A138" s="53">
        <f t="shared" si="0"/>
        <v>2008.09</v>
      </c>
      <c r="B138" s="1318">
        <v>43.577075999999998</v>
      </c>
      <c r="C138" s="615">
        <v>42.879218999999999</v>
      </c>
      <c r="D138" s="2970">
        <v>45.533332999999999</v>
      </c>
      <c r="E138" s="615">
        <v>51.502637356739996</v>
      </c>
      <c r="F138" s="3535">
        <v>44.510607622180004</v>
      </c>
      <c r="G138" s="358">
        <v>37.206870339459996</v>
      </c>
      <c r="H138" s="217">
        <v>44.406705709408165</v>
      </c>
    </row>
    <row r="139" spans="1:8">
      <c r="A139" s="53">
        <f t="shared" si="0"/>
        <v>2008.1</v>
      </c>
      <c r="B139" s="1318">
        <v>39.537036999999998</v>
      </c>
      <c r="C139" s="615">
        <v>38.986355000000003</v>
      </c>
      <c r="D139" s="2970">
        <v>40.932312000000003</v>
      </c>
      <c r="E139" s="615">
        <v>50.406539348089993</v>
      </c>
      <c r="F139" s="3535">
        <v>42.982903351389993</v>
      </c>
      <c r="G139" s="358">
        <v>26.947836343360002</v>
      </c>
      <c r="H139" s="217">
        <v>40.11242640821402</v>
      </c>
    </row>
    <row r="140" spans="1:8">
      <c r="A140" s="53">
        <f t="shared" si="0"/>
        <v>2008.11</v>
      </c>
      <c r="B140" s="1318">
        <v>36.417324000000001</v>
      </c>
      <c r="C140" s="615">
        <v>40.086418000000002</v>
      </c>
      <c r="D140" s="2970">
        <v>39.371468</v>
      </c>
      <c r="E140" s="615">
        <v>46.886716300739998</v>
      </c>
      <c r="F140" s="3535">
        <v>45.131770049229999</v>
      </c>
      <c r="G140" s="358">
        <v>25.34109707088</v>
      </c>
      <c r="H140" s="217">
        <v>39.119861457117182</v>
      </c>
    </row>
    <row r="141" spans="1:8">
      <c r="A141" s="53">
        <f t="shared" si="0"/>
        <v>2008.12</v>
      </c>
      <c r="B141" s="1318">
        <v>39.533332999999999</v>
      </c>
      <c r="C141" s="615">
        <v>36.921795000000003</v>
      </c>
      <c r="D141" s="2970">
        <v>36.360675999999998</v>
      </c>
      <c r="E141" s="615">
        <v>45.231289381509995</v>
      </c>
      <c r="F141" s="3535">
        <v>42.242322295320001</v>
      </c>
      <c r="G141" s="358">
        <v>23.640239903679998</v>
      </c>
      <c r="H141" s="217">
        <v>37.057394836596025</v>
      </c>
    </row>
    <row r="142" spans="1:8">
      <c r="A142" s="53">
        <f t="shared" si="0"/>
        <v>2009.01</v>
      </c>
      <c r="B142" s="1318">
        <v>39.746093999999999</v>
      </c>
      <c r="C142" s="615">
        <v>42.696357999999996</v>
      </c>
      <c r="D142" s="2970">
        <v>40.763053999999997</v>
      </c>
      <c r="E142" s="615">
        <v>51.249579694429997</v>
      </c>
      <c r="F142" s="3535">
        <v>46.707110840969996</v>
      </c>
      <c r="G142" s="358">
        <v>25.625146966259997</v>
      </c>
      <c r="H142" s="217">
        <v>41.190720745137696</v>
      </c>
    </row>
    <row r="143" spans="1:8">
      <c r="A143" s="53">
        <f t="shared" si="0"/>
        <v>2009.02</v>
      </c>
      <c r="B143" s="1318">
        <v>38.123359999999998</v>
      </c>
      <c r="C143" s="615">
        <v>38.904831000000001</v>
      </c>
      <c r="D143" s="2970">
        <v>40.148448999999999</v>
      </c>
      <c r="E143" s="615">
        <v>46.807520256449997</v>
      </c>
      <c r="F143" s="3535">
        <v>46.654632738480004</v>
      </c>
      <c r="G143" s="358">
        <v>24.869175699020001</v>
      </c>
      <c r="H143" s="217">
        <v>39.443775843350359</v>
      </c>
    </row>
    <row r="144" spans="1:8">
      <c r="A144" s="53">
        <f t="shared" si="0"/>
        <v>2009.03</v>
      </c>
      <c r="B144" s="1318">
        <v>37.304687999999999</v>
      </c>
      <c r="C144" s="615">
        <v>38.600853000000001</v>
      </c>
      <c r="D144" s="2970">
        <v>36.836734999999997</v>
      </c>
      <c r="E144" s="615">
        <v>46.404525550789998</v>
      </c>
      <c r="F144" s="3535">
        <v>45.374262392600002</v>
      </c>
      <c r="G144" s="358">
        <v>20.57813138609</v>
      </c>
      <c r="H144" s="217">
        <v>37.452305931847171</v>
      </c>
    </row>
    <row r="145" spans="1:8">
      <c r="A145" s="53">
        <f t="shared" si="0"/>
        <v>2009.04</v>
      </c>
      <c r="B145" s="1318">
        <v>36.881512000000001</v>
      </c>
      <c r="C145" s="615">
        <v>37.844253999999999</v>
      </c>
      <c r="D145" s="2970">
        <v>37.569443</v>
      </c>
      <c r="E145" s="615">
        <v>45.155536253560001</v>
      </c>
      <c r="F145" s="3535">
        <v>46.947261235680003</v>
      </c>
      <c r="G145" s="358">
        <v>20.52863460108</v>
      </c>
      <c r="H145" s="217">
        <v>37.543810441335772</v>
      </c>
    </row>
    <row r="146" spans="1:8">
      <c r="A146" s="53">
        <f t="shared" si="0"/>
        <v>2009.05</v>
      </c>
      <c r="B146" s="1318">
        <v>40.616798000000003</v>
      </c>
      <c r="C146" s="615">
        <v>39.705162000000001</v>
      </c>
      <c r="D146" s="2970">
        <v>38.283211000000001</v>
      </c>
      <c r="E146" s="615">
        <v>45.075846101850004</v>
      </c>
      <c r="F146" s="3535">
        <v>48.809679985140001</v>
      </c>
      <c r="G146" s="358">
        <v>23.387397622180004</v>
      </c>
      <c r="H146" s="217">
        <v>39.090461407193843</v>
      </c>
    </row>
    <row r="147" spans="1:8">
      <c r="A147" s="53">
        <f t="shared" si="0"/>
        <v>2009.06</v>
      </c>
      <c r="B147" s="1318">
        <v>37.517432999999997</v>
      </c>
      <c r="C147" s="615">
        <v>39.706558000000001</v>
      </c>
      <c r="D147" s="2970">
        <v>41.297043000000002</v>
      </c>
      <c r="E147" s="615">
        <v>46.744468446469995</v>
      </c>
      <c r="F147" s="3535">
        <v>48.368803930710001</v>
      </c>
      <c r="G147" s="358">
        <v>25.505913846910001</v>
      </c>
      <c r="H147" s="217">
        <v>40.007806856386068</v>
      </c>
    </row>
    <row r="148" spans="1:8">
      <c r="A148" s="53">
        <f t="shared" si="0"/>
        <v>2009.07</v>
      </c>
      <c r="B148" s="1318">
        <v>41.633727999999998</v>
      </c>
      <c r="C148" s="615">
        <v>42.166668000000001</v>
      </c>
      <c r="D148" s="2970">
        <v>42.666668000000001</v>
      </c>
      <c r="E148" s="615">
        <v>49.990366279390003</v>
      </c>
      <c r="F148" s="3535">
        <v>50.16603832565</v>
      </c>
      <c r="G148" s="358">
        <v>26.888311404180001</v>
      </c>
      <c r="H148" s="217">
        <v>42.348237635046111</v>
      </c>
    </row>
    <row r="149" spans="1:8">
      <c r="A149" s="53">
        <f t="shared" si="0"/>
        <v>2009.08</v>
      </c>
      <c r="B149" s="1318">
        <v>38.512614999999997</v>
      </c>
      <c r="C149" s="615">
        <v>39.483001999999999</v>
      </c>
      <c r="D149" s="2970">
        <v>42.034804999999999</v>
      </c>
      <c r="E149" s="615">
        <v>46.747659164710001</v>
      </c>
      <c r="F149" s="3535">
        <v>46.293714627089997</v>
      </c>
      <c r="G149" s="358">
        <v>29.029051441740002</v>
      </c>
      <c r="H149" s="217">
        <v>40.690142662639545</v>
      </c>
    </row>
    <row r="150" spans="1:8">
      <c r="A150" s="53">
        <f t="shared" si="0"/>
        <v>2009.09</v>
      </c>
      <c r="B150" s="1318">
        <v>41.333331999999999</v>
      </c>
      <c r="C150" s="615">
        <v>42.400565999999998</v>
      </c>
      <c r="D150" s="2970">
        <v>38.272849999999998</v>
      </c>
      <c r="E150" s="615">
        <v>45.891400275140001</v>
      </c>
      <c r="F150" s="3535">
        <v>44.975959088269995</v>
      </c>
      <c r="G150" s="358">
        <v>29.213004959579997</v>
      </c>
      <c r="H150" s="217">
        <v>40.021477683834313</v>
      </c>
    </row>
    <row r="151" spans="1:8">
      <c r="A151" s="53">
        <f t="shared" si="0"/>
        <v>2009.1</v>
      </c>
      <c r="B151" s="1318">
        <v>39.725571000000002</v>
      </c>
      <c r="C151" s="615">
        <v>39.448357000000001</v>
      </c>
      <c r="D151" s="2970">
        <v>38.587685</v>
      </c>
      <c r="E151" s="615">
        <v>46.491005394089996</v>
      </c>
      <c r="F151" s="3535">
        <v>43.819089397360003</v>
      </c>
      <c r="G151" s="358">
        <v>26.788024619409999</v>
      </c>
      <c r="H151" s="217">
        <v>39.03</v>
      </c>
    </row>
    <row r="152" spans="1:8">
      <c r="A152" s="53">
        <f t="shared" si="0"/>
        <v>2009.11</v>
      </c>
      <c r="B152" s="1318">
        <v>38.594771999999999</v>
      </c>
      <c r="C152" s="615">
        <v>39.616118999999998</v>
      </c>
      <c r="D152" s="2970">
        <v>41.565860999999998</v>
      </c>
      <c r="E152" s="615">
        <v>48.112949974800003</v>
      </c>
      <c r="F152" s="3535">
        <v>45.037971433549998</v>
      </c>
      <c r="G152" s="358">
        <v>28.3303726967</v>
      </c>
      <c r="H152" s="217">
        <v>40.49</v>
      </c>
    </row>
    <row r="153" spans="1:8">
      <c r="A153" s="53">
        <f t="shared" si="0"/>
        <v>2009.12</v>
      </c>
      <c r="B153" s="1318">
        <v>41.730277999999998</v>
      </c>
      <c r="C153" s="615">
        <v>40.603619000000002</v>
      </c>
      <c r="D153" s="2970">
        <v>39.550266000000001</v>
      </c>
      <c r="E153" s="615">
        <v>49.679829758929998</v>
      </c>
      <c r="F153" s="3535">
        <v>44.230575329920001</v>
      </c>
      <c r="G153" s="358">
        <v>26.75088831935</v>
      </c>
      <c r="H153" s="217">
        <v>40.22</v>
      </c>
    </row>
    <row r="154" spans="1:8">
      <c r="A154" s="53">
        <f t="shared" si="0"/>
        <v>2010.01</v>
      </c>
      <c r="B154" s="1318">
        <v>45.703125</v>
      </c>
      <c r="C154" s="615">
        <v>44.659039</v>
      </c>
      <c r="D154" s="2970">
        <v>46.034945999999998</v>
      </c>
      <c r="E154" s="615">
        <v>53.665229369819997</v>
      </c>
      <c r="F154" s="3535">
        <v>49.459647918450003</v>
      </c>
      <c r="G154" s="358">
        <v>33.55323531378</v>
      </c>
      <c r="H154" s="217">
        <v>45.559370574094423</v>
      </c>
    </row>
    <row r="155" spans="1:8">
      <c r="A155" s="53">
        <f t="shared" si="0"/>
        <v>2010.02</v>
      </c>
      <c r="B155" s="1318">
        <v>46.200001</v>
      </c>
      <c r="C155" s="615">
        <v>42.972458000000003</v>
      </c>
      <c r="D155" s="2970">
        <v>43.072288999999998</v>
      </c>
      <c r="E155" s="615">
        <v>50.301978826829995</v>
      </c>
      <c r="F155" s="3535">
        <v>45.869317281889998</v>
      </c>
      <c r="G155" s="358">
        <v>34.447195098880002</v>
      </c>
      <c r="H155" s="217">
        <v>43.539497367567137</v>
      </c>
    </row>
    <row r="156" spans="1:8">
      <c r="A156" s="53">
        <f t="shared" si="0"/>
        <v>2010.03</v>
      </c>
      <c r="B156" s="1318">
        <v>42.430278999999999</v>
      </c>
      <c r="C156" s="615">
        <v>39.820076</v>
      </c>
      <c r="D156" s="2970">
        <v>41.969085999999997</v>
      </c>
      <c r="E156" s="615">
        <v>49.177163625989998</v>
      </c>
      <c r="F156" s="3535">
        <v>44.952936420139999</v>
      </c>
      <c r="G156" s="358">
        <v>30.017786611650003</v>
      </c>
      <c r="H156" s="217">
        <v>41.382629205745445</v>
      </c>
    </row>
    <row r="157" spans="1:8">
      <c r="A157" s="53">
        <f t="shared" si="0"/>
        <v>2010.04</v>
      </c>
      <c r="B157" s="1318">
        <v>45.066665999999998</v>
      </c>
      <c r="C157" s="615">
        <v>41.536827000000002</v>
      </c>
      <c r="D157" s="2970">
        <v>44.115645999999998</v>
      </c>
      <c r="E157" s="615">
        <v>48.65139986842</v>
      </c>
      <c r="F157" s="3535">
        <v>47.597088421680006</v>
      </c>
      <c r="G157" s="358">
        <v>34.177408450030001</v>
      </c>
      <c r="H157" s="217">
        <v>43.475298381010191</v>
      </c>
    </row>
    <row r="158" spans="1:8">
      <c r="A158" s="53">
        <f t="shared" si="0"/>
        <v>2010.05</v>
      </c>
      <c r="B158" s="1318">
        <v>49.839126999999998</v>
      </c>
      <c r="C158" s="615">
        <v>44.601748999999998</v>
      </c>
      <c r="D158" s="2970">
        <v>50.542006999999998</v>
      </c>
      <c r="E158" s="615">
        <v>54.096879522530003</v>
      </c>
      <c r="F158" s="3535">
        <v>50.689046146129996</v>
      </c>
      <c r="G158" s="358">
        <v>41.033632515730005</v>
      </c>
      <c r="H158" s="217">
        <v>48.606521999999998</v>
      </c>
    </row>
    <row r="159" spans="1:8">
      <c r="A159" s="53">
        <f t="shared" si="0"/>
        <v>2010.06</v>
      </c>
      <c r="B159" s="1318">
        <v>50.872093</v>
      </c>
      <c r="C159" s="615">
        <v>47.545498000000002</v>
      </c>
      <c r="D159" s="2970">
        <v>46.713146000000002</v>
      </c>
      <c r="E159" s="615">
        <v>54.293264421109996</v>
      </c>
      <c r="F159" s="3535">
        <v>50.42908638107</v>
      </c>
      <c r="G159" s="358">
        <v>38.169693766590001</v>
      </c>
      <c r="H159" s="217">
        <v>47.630679999999998</v>
      </c>
    </row>
    <row r="160" spans="1:8">
      <c r="A160" s="53">
        <f t="shared" si="0"/>
        <v>2010.07</v>
      </c>
      <c r="B160" s="1318">
        <v>47.942386999999997</v>
      </c>
      <c r="C160" s="615">
        <v>47.811062</v>
      </c>
      <c r="D160" s="2970">
        <v>48.311897000000002</v>
      </c>
      <c r="E160" s="615">
        <v>52.655181775999999</v>
      </c>
      <c r="F160" s="3535">
        <v>50.413906983939995</v>
      </c>
      <c r="G160" s="358">
        <v>41.227446221160001</v>
      </c>
      <c r="H160" s="217">
        <v>48.098846000000002</v>
      </c>
    </row>
    <row r="161" spans="1:8">
      <c r="A161" s="53">
        <f t="shared" si="0"/>
        <v>2010.08</v>
      </c>
      <c r="B161" s="1318">
        <v>49.338622999999998</v>
      </c>
      <c r="C161" s="615">
        <v>48.894032000000003</v>
      </c>
      <c r="D161" s="2970">
        <v>51.532890000000002</v>
      </c>
      <c r="E161" s="615">
        <v>56.398312913729995</v>
      </c>
      <c r="F161" s="3535">
        <v>51.629287132919998</v>
      </c>
      <c r="G161" s="358">
        <v>43.09130019413</v>
      </c>
      <c r="H161" s="217">
        <v>50.372967000000003</v>
      </c>
    </row>
    <row r="162" spans="1:8">
      <c r="A162" s="53">
        <f t="shared" si="0"/>
        <v>2010.09</v>
      </c>
      <c r="B162" s="1318">
        <v>50.164692000000002</v>
      </c>
      <c r="C162" s="615">
        <v>49.306624999999997</v>
      </c>
      <c r="D162" s="2970">
        <v>48.166668000000001</v>
      </c>
      <c r="E162" s="615">
        <v>54.855700439510002</v>
      </c>
      <c r="F162" s="3535">
        <v>49.264681180469999</v>
      </c>
      <c r="G162" s="358">
        <v>42.382614735979999</v>
      </c>
      <c r="H162" s="217">
        <v>48.834332000000003</v>
      </c>
    </row>
    <row r="163" spans="1:8">
      <c r="A163" s="53">
        <f t="shared" si="0"/>
        <v>2010.1</v>
      </c>
      <c r="B163" s="1318">
        <v>50.961539999999999</v>
      </c>
      <c r="C163" s="615">
        <v>50.076217999999997</v>
      </c>
      <c r="D163" s="2970">
        <v>49.772469000000001</v>
      </c>
      <c r="E163" s="615">
        <v>55.132220366769999</v>
      </c>
      <c r="F163" s="3535">
        <v>49.752746189309995</v>
      </c>
      <c r="G163" s="358">
        <v>45.278892473660001</v>
      </c>
      <c r="H163" s="217">
        <v>50.054619000000002</v>
      </c>
    </row>
    <row r="164" spans="1:8">
      <c r="A164" s="53">
        <f t="shared" si="0"/>
        <v>2010.11</v>
      </c>
      <c r="B164" s="1318">
        <v>54.941859999999998</v>
      </c>
      <c r="C164" s="615">
        <v>54.650866999999998</v>
      </c>
      <c r="D164" s="2970">
        <v>55.900444</v>
      </c>
      <c r="E164" s="615">
        <v>60.040840647909995</v>
      </c>
      <c r="F164" s="3535">
        <v>59.141244598239993</v>
      </c>
      <c r="G164" s="358">
        <v>46.908987596939994</v>
      </c>
      <c r="H164" s="217">
        <v>55.363689000000001</v>
      </c>
    </row>
    <row r="165" spans="1:8">
      <c r="A165" s="53">
        <f t="shared" si="0"/>
        <v>2010.12</v>
      </c>
      <c r="B165" s="1318">
        <v>53.908271999999997</v>
      </c>
      <c r="C165" s="615">
        <v>52.959502999999998</v>
      </c>
      <c r="D165" s="2970">
        <v>53.153151999999999</v>
      </c>
      <c r="E165" s="615">
        <v>58.545130856919997</v>
      </c>
      <c r="F165" s="3535">
        <v>56.90698187457</v>
      </c>
      <c r="G165" s="358">
        <v>44.188355701079999</v>
      </c>
      <c r="H165" s="217">
        <v>53.21349</v>
      </c>
    </row>
    <row r="166" spans="1:8">
      <c r="A166" s="53">
        <f t="shared" si="0"/>
        <v>2011.01</v>
      </c>
      <c r="B166" s="1318">
        <v>55.423279000000001</v>
      </c>
      <c r="C166" s="615">
        <v>54.109240999999997</v>
      </c>
      <c r="D166" s="2970">
        <v>56.677703999999999</v>
      </c>
      <c r="E166" s="615">
        <v>60.156115717909998</v>
      </c>
      <c r="F166" s="3535">
        <v>55.746066034230005</v>
      </c>
      <c r="G166" s="358">
        <v>51.164995303539996</v>
      </c>
      <c r="H166" s="217">
        <v>55.689059999999998</v>
      </c>
    </row>
    <row r="167" spans="1:8">
      <c r="A167" s="53">
        <f t="shared" si="0"/>
        <v>2011.02</v>
      </c>
      <c r="B167" s="1318">
        <v>51.381461999999999</v>
      </c>
      <c r="C167" s="615">
        <v>52.565105000000003</v>
      </c>
      <c r="D167" s="2970">
        <v>55.532505</v>
      </c>
      <c r="E167" s="615">
        <v>58.567581281599999</v>
      </c>
      <c r="F167" s="3535">
        <v>56.848706725489997</v>
      </c>
      <c r="G167" s="358">
        <v>46.463654663619998</v>
      </c>
      <c r="H167" s="217">
        <v>53.96</v>
      </c>
    </row>
    <row r="168" spans="1:8">
      <c r="A168" s="53">
        <f t="shared" si="0"/>
        <v>2011.03</v>
      </c>
      <c r="B168" s="1318">
        <v>56.283603999999997</v>
      </c>
      <c r="C168" s="615">
        <v>56.432975999999996</v>
      </c>
      <c r="D168" s="2970">
        <v>58.251094999999999</v>
      </c>
      <c r="E168" s="615">
        <v>61.300337419240002</v>
      </c>
      <c r="F168" s="3535">
        <v>58.533153072580006</v>
      </c>
      <c r="G168" s="358">
        <v>52.303835652339998</v>
      </c>
      <c r="H168" s="217">
        <v>57.379108000000002</v>
      </c>
    </row>
    <row r="169" spans="1:8">
      <c r="A169" s="53">
        <f t="shared" si="0"/>
        <v>2011.04</v>
      </c>
      <c r="B169" s="1318">
        <v>54.001323999999997</v>
      </c>
      <c r="C169" s="615">
        <v>54.639572000000001</v>
      </c>
      <c r="D169" s="2970">
        <v>54.413376</v>
      </c>
      <c r="E169" s="615">
        <v>59.046571863179999</v>
      </c>
      <c r="F169" s="3535">
        <v>54.859868131980008</v>
      </c>
      <c r="G169" s="358">
        <v>49.343377108020007</v>
      </c>
      <c r="H169" s="217">
        <v>54.416606999999999</v>
      </c>
    </row>
    <row r="170" spans="1:8">
      <c r="A170" s="53">
        <f t="shared" si="0"/>
        <v>2011.05</v>
      </c>
      <c r="B170" s="1318">
        <v>54.583331999999999</v>
      </c>
      <c r="C170" s="615">
        <v>55.706519999999998</v>
      </c>
      <c r="D170" s="2970">
        <v>55.758583000000002</v>
      </c>
      <c r="E170" s="615">
        <v>59.798572589450004</v>
      </c>
      <c r="F170" s="3535">
        <v>55.805440847</v>
      </c>
      <c r="G170" s="358">
        <v>51.060440914810002</v>
      </c>
      <c r="H170" s="217">
        <v>55.554817</v>
      </c>
    </row>
    <row r="171" spans="1:8">
      <c r="A171" s="53">
        <f t="shared" si="0"/>
        <v>2011.06</v>
      </c>
      <c r="B171" s="1318">
        <v>57.03125</v>
      </c>
      <c r="C171" s="615">
        <v>52.693089000000001</v>
      </c>
      <c r="D171" s="2970">
        <v>57.051281000000003</v>
      </c>
      <c r="E171" s="615">
        <v>60.801497644720001</v>
      </c>
      <c r="F171" s="3535">
        <v>55.752790698590005</v>
      </c>
      <c r="G171" s="358">
        <v>50.575815061370001</v>
      </c>
      <c r="H171" s="217">
        <v>55.710033000000003</v>
      </c>
    </row>
    <row r="172" spans="1:8">
      <c r="A172" s="53">
        <f t="shared" si="0"/>
        <v>2011.07</v>
      </c>
      <c r="B172" s="1318">
        <v>57.856236000000003</v>
      </c>
      <c r="C172" s="615">
        <v>55.709389000000002</v>
      </c>
      <c r="D172" s="2970">
        <v>59.492989000000001</v>
      </c>
      <c r="E172" s="615">
        <v>60.720762743369995</v>
      </c>
      <c r="F172" s="3535">
        <v>58.147967545260002</v>
      </c>
      <c r="G172" s="358">
        <v>55.34274937739</v>
      </c>
      <c r="H172" s="217">
        <v>58.070492000000002</v>
      </c>
    </row>
    <row r="173" spans="1:8">
      <c r="A173" s="53">
        <f t="shared" si="0"/>
        <v>2011.08</v>
      </c>
      <c r="B173" s="1318">
        <v>56.504066000000002</v>
      </c>
      <c r="C173" s="615">
        <v>55.086207999999999</v>
      </c>
      <c r="D173" s="2970">
        <v>59.118670999999999</v>
      </c>
      <c r="E173" s="615">
        <v>60.066870749519993</v>
      </c>
      <c r="F173" s="3535">
        <v>60.961451211880004</v>
      </c>
      <c r="G173" s="358">
        <v>51.363753974399998</v>
      </c>
      <c r="H173" s="217">
        <v>57.464024000000002</v>
      </c>
    </row>
    <row r="174" spans="1:8">
      <c r="A174" s="53">
        <f t="shared" si="0"/>
        <v>2011.09</v>
      </c>
      <c r="B174" s="1318">
        <v>56.156157999999998</v>
      </c>
      <c r="C174" s="615">
        <v>56.532921000000002</v>
      </c>
      <c r="D174" s="2970">
        <v>61.840797000000002</v>
      </c>
      <c r="E174" s="615">
        <v>62.772609193099996</v>
      </c>
      <c r="F174" s="3535">
        <v>59.184755817219994</v>
      </c>
      <c r="G174" s="358">
        <v>55.959505597140001</v>
      </c>
      <c r="H174" s="217">
        <v>59.305625999999997</v>
      </c>
    </row>
    <row r="175" spans="1:8">
      <c r="A175" s="53">
        <f t="shared" si="0"/>
        <v>2011.1</v>
      </c>
      <c r="B175" s="1318">
        <v>54.761901999999999</v>
      </c>
      <c r="C175" s="615">
        <v>56.427101</v>
      </c>
      <c r="D175" s="2970">
        <v>59.271523000000002</v>
      </c>
      <c r="E175" s="615">
        <v>60.5877122156</v>
      </c>
      <c r="F175" s="3535">
        <v>55.510628323540004</v>
      </c>
      <c r="G175" s="358">
        <v>56.940390956880002</v>
      </c>
      <c r="H175" s="217">
        <v>57.679577000000002</v>
      </c>
    </row>
    <row r="176" spans="1:8">
      <c r="A176" s="53">
        <f t="shared" si="0"/>
        <v>2011.11</v>
      </c>
      <c r="B176" s="1318">
        <v>53.185326000000003</v>
      </c>
      <c r="C176" s="615">
        <v>54.449589000000003</v>
      </c>
      <c r="D176" s="2970">
        <v>59.023178000000001</v>
      </c>
      <c r="E176" s="615">
        <v>61.216492140139998</v>
      </c>
      <c r="F176" s="3535">
        <v>55.321809551309997</v>
      </c>
      <c r="G176" s="358">
        <v>53.528609913280008</v>
      </c>
      <c r="H176" s="217">
        <v>56.688972</v>
      </c>
    </row>
    <row r="177" spans="1:8">
      <c r="A177" s="53">
        <f t="shared" si="0"/>
        <v>2011.12</v>
      </c>
      <c r="B177" s="1318">
        <v>50.742893000000002</v>
      </c>
      <c r="C177" s="615">
        <v>53.870883999999997</v>
      </c>
      <c r="D177" s="2970">
        <v>52.373066000000001</v>
      </c>
      <c r="E177" s="615">
        <v>57.221050335329998</v>
      </c>
      <c r="F177" s="3535">
        <v>51.478350216289996</v>
      </c>
      <c r="G177" s="358">
        <v>49.018117772529997</v>
      </c>
      <c r="H177" s="217">
        <v>52.572505999999997</v>
      </c>
    </row>
    <row r="178" spans="1:8">
      <c r="A178" s="53">
        <f t="shared" si="0"/>
        <v>2012.01</v>
      </c>
      <c r="B178" s="1318">
        <v>49.773021999999997</v>
      </c>
      <c r="C178" s="615">
        <v>56.014941999999998</v>
      </c>
      <c r="D178" s="2970">
        <v>60.382061</v>
      </c>
      <c r="E178" s="615">
        <v>60.945364284419995</v>
      </c>
      <c r="F178" s="3535">
        <v>55.444970661420001</v>
      </c>
      <c r="G178" s="358">
        <v>55.662980077500002</v>
      </c>
      <c r="H178" s="217">
        <v>57.351104999999997</v>
      </c>
    </row>
    <row r="179" spans="1:8">
      <c r="A179" s="53">
        <f t="shared" si="0"/>
        <v>2012.02</v>
      </c>
      <c r="B179" s="1318">
        <v>46.011673000000002</v>
      </c>
      <c r="C179" s="615">
        <v>51.633738999999998</v>
      </c>
      <c r="D179" s="2970">
        <v>55.177185000000001</v>
      </c>
      <c r="E179" s="615">
        <v>58.498447695590002</v>
      </c>
      <c r="F179" s="3535">
        <v>49.210341659919997</v>
      </c>
      <c r="G179" s="358">
        <v>50.178294374789999</v>
      </c>
      <c r="H179" s="217">
        <v>52.629027999999998</v>
      </c>
    </row>
    <row r="180" spans="1:8">
      <c r="A180" s="53">
        <f t="shared" si="0"/>
        <v>2012.03</v>
      </c>
      <c r="B180" s="1318">
        <v>45.770203000000002</v>
      </c>
      <c r="C180" s="615">
        <v>50.264969000000001</v>
      </c>
      <c r="D180" s="2970">
        <v>51.522185999999998</v>
      </c>
      <c r="E180" s="615">
        <v>55.148408040920003</v>
      </c>
      <c r="F180" s="3535">
        <v>46.458723900030002</v>
      </c>
      <c r="G180" s="358">
        <v>49.051355422170005</v>
      </c>
      <c r="H180" s="217">
        <v>50.219493999999997</v>
      </c>
    </row>
    <row r="181" spans="1:8">
      <c r="A181" s="53">
        <f t="shared" si="0"/>
        <v>2012.04</v>
      </c>
      <c r="B181" s="1318">
        <v>42.310169000000002</v>
      </c>
      <c r="C181" s="615">
        <v>43.068534999999997</v>
      </c>
      <c r="D181" s="2970">
        <v>44.729579999999999</v>
      </c>
      <c r="E181" s="615">
        <v>50.756838714410002</v>
      </c>
      <c r="F181" s="3535">
        <v>39.117069273650003</v>
      </c>
      <c r="G181" s="358">
        <v>41.62790594034</v>
      </c>
      <c r="H181" s="217">
        <v>43.833939000000001</v>
      </c>
    </row>
    <row r="182" spans="1:8">
      <c r="A182" s="53">
        <f t="shared" si="0"/>
        <v>2012.05</v>
      </c>
      <c r="B182" s="1318">
        <v>45.025837000000003</v>
      </c>
      <c r="C182" s="615">
        <v>45.898845999999999</v>
      </c>
      <c r="D182" s="2970">
        <v>47.148395999999998</v>
      </c>
      <c r="E182" s="615">
        <v>52.116345927200001</v>
      </c>
      <c r="F182" s="3535">
        <v>44.353379693240001</v>
      </c>
      <c r="G182" s="358">
        <v>42.809188529069999</v>
      </c>
      <c r="H182" s="217">
        <v>46.426304000000002</v>
      </c>
    </row>
    <row r="183" spans="1:8">
      <c r="A183" s="53">
        <f t="shared" si="0"/>
        <v>2012.06</v>
      </c>
      <c r="B183" s="1318">
        <v>39.883270000000003</v>
      </c>
      <c r="C183" s="615">
        <v>45.776080999999998</v>
      </c>
      <c r="D183" s="2970">
        <v>44.92754</v>
      </c>
      <c r="E183" s="615">
        <v>49.710624520799996</v>
      </c>
      <c r="F183" s="3535">
        <v>42.21598625995</v>
      </c>
      <c r="G183" s="358">
        <v>41.225077368219999</v>
      </c>
      <c r="H183" s="217">
        <v>44.383896</v>
      </c>
    </row>
    <row r="184" spans="1:8">
      <c r="A184" s="53">
        <f t="shared" si="0"/>
        <v>2012.07</v>
      </c>
      <c r="B184" s="1318">
        <v>39.526592000000001</v>
      </c>
      <c r="C184" s="615">
        <v>45.064597999999997</v>
      </c>
      <c r="D184" s="2970">
        <v>43.949393999999998</v>
      </c>
      <c r="E184" s="615">
        <v>49.032085137289997</v>
      </c>
      <c r="F184" s="3535">
        <v>41.505879301029992</v>
      </c>
      <c r="G184" s="358">
        <v>40.221847219049998</v>
      </c>
      <c r="H184" s="217">
        <v>43.586601000000002</v>
      </c>
    </row>
    <row r="185" spans="1:8">
      <c r="A185" s="53">
        <f t="shared" si="0"/>
        <v>2012.08</v>
      </c>
      <c r="B185" s="1318">
        <v>37.581699</v>
      </c>
      <c r="C185" s="615">
        <v>45.110084999999998</v>
      </c>
      <c r="D185" s="2970">
        <v>42.916668000000001</v>
      </c>
      <c r="E185" s="615">
        <v>47.80419079955</v>
      </c>
      <c r="F185" s="3535">
        <v>39.603806783479996</v>
      </c>
      <c r="G185" s="358">
        <v>40.810389050079998</v>
      </c>
      <c r="H185" s="217">
        <v>42.739463999999998</v>
      </c>
    </row>
    <row r="186" spans="1:8">
      <c r="A186" s="53">
        <f t="shared" si="0"/>
        <v>2012.09</v>
      </c>
      <c r="B186" s="1318">
        <v>40.494793000000001</v>
      </c>
      <c r="C186" s="615">
        <v>39.854519000000003</v>
      </c>
      <c r="D186" s="2970">
        <v>44.194446999999997</v>
      </c>
      <c r="E186" s="615">
        <v>48.586709655820002</v>
      </c>
      <c r="F186" s="3535">
        <v>38.494045548940001</v>
      </c>
      <c r="G186" s="358">
        <v>39.737438280100001</v>
      </c>
      <c r="H186" s="217">
        <v>42.272731999999998</v>
      </c>
    </row>
    <row r="187" spans="1:8">
      <c r="A187" s="53">
        <f t="shared" si="0"/>
        <v>2012.1</v>
      </c>
      <c r="B187" s="1318">
        <v>42.1875</v>
      </c>
      <c r="C187" s="615">
        <v>42.652327999999997</v>
      </c>
      <c r="D187" s="2970">
        <v>44.267338000000002</v>
      </c>
      <c r="E187" s="615">
        <v>48.381544885529998</v>
      </c>
      <c r="F187" s="3535">
        <v>40.396563869510004</v>
      </c>
      <c r="G187" s="358">
        <v>41.541669299669998</v>
      </c>
      <c r="H187" s="217">
        <v>43.439926</v>
      </c>
    </row>
    <row r="188" spans="1:8">
      <c r="A188" s="53">
        <f t="shared" si="0"/>
        <v>2012.11</v>
      </c>
      <c r="B188" s="1318">
        <v>39.876300999999998</v>
      </c>
      <c r="C188" s="615">
        <v>42.229900000000001</v>
      </c>
      <c r="D188" s="2970">
        <v>43.840575999999999</v>
      </c>
      <c r="E188" s="615">
        <v>46.761479215850002</v>
      </c>
      <c r="F188" s="3535">
        <v>39.749483214729999</v>
      </c>
      <c r="G188" s="358">
        <v>41.631907635320005</v>
      </c>
      <c r="H188" s="217">
        <v>42.714291000000003</v>
      </c>
    </row>
    <row r="189" spans="1:8">
      <c r="A189" s="53">
        <f t="shared" si="0"/>
        <v>2012.12</v>
      </c>
      <c r="B189" s="1318">
        <v>42.151161000000002</v>
      </c>
      <c r="C189" s="615">
        <v>44.318775000000002</v>
      </c>
      <c r="D189" s="2970">
        <v>48.923842999999998</v>
      </c>
      <c r="E189" s="615">
        <v>51.021264805499996</v>
      </c>
      <c r="F189" s="3535">
        <v>44.017817398129999</v>
      </c>
      <c r="G189" s="358">
        <v>44.254361559359999</v>
      </c>
      <c r="H189" s="217">
        <v>46.431148999999998</v>
      </c>
    </row>
    <row r="190" spans="1:8">
      <c r="A190" s="53">
        <f t="shared" si="0"/>
        <v>2013.01</v>
      </c>
      <c r="B190" s="1318">
        <v>46.206226000000001</v>
      </c>
      <c r="C190" s="615">
        <v>47.759856999999997</v>
      </c>
      <c r="D190" s="2970">
        <v>46.532435999999997</v>
      </c>
      <c r="E190" s="615">
        <v>51.566286710589999</v>
      </c>
      <c r="F190" s="3535">
        <v>43.574496265580002</v>
      </c>
      <c r="G190" s="358">
        <v>45.429274264429999</v>
      </c>
      <c r="H190" s="217">
        <v>46.856686000000003</v>
      </c>
    </row>
    <row r="191" spans="1:8">
      <c r="A191" s="53">
        <f t="shared" si="0"/>
        <v>2013.02</v>
      </c>
      <c r="B191" s="1318">
        <v>47.640118000000001</v>
      </c>
      <c r="C191" s="615">
        <v>45.544818999999997</v>
      </c>
      <c r="D191" s="2970">
        <v>48.801746000000001</v>
      </c>
      <c r="E191" s="615">
        <v>50.904864386269999</v>
      </c>
      <c r="F191" s="3535">
        <v>44.74728875313</v>
      </c>
      <c r="G191" s="358">
        <v>47.19788783365</v>
      </c>
      <c r="H191" s="217">
        <v>47.616680000000002</v>
      </c>
    </row>
    <row r="192" spans="1:8">
      <c r="A192" s="53">
        <f t="shared" si="0"/>
        <v>2013.03</v>
      </c>
      <c r="B192" s="1318">
        <v>45.247146999999998</v>
      </c>
      <c r="C192" s="615">
        <v>45.814132999999998</v>
      </c>
      <c r="D192" s="2970">
        <v>48.034328000000002</v>
      </c>
      <c r="E192" s="615">
        <v>51.053383755680002</v>
      </c>
      <c r="F192" s="3535">
        <v>43.628016148230003</v>
      </c>
      <c r="G192" s="358">
        <v>46.044001082329999</v>
      </c>
      <c r="H192" s="217">
        <v>46.908465999999997</v>
      </c>
    </row>
    <row r="193" spans="1:8">
      <c r="A193" s="53">
        <f t="shared" si="0"/>
        <v>2013.04</v>
      </c>
      <c r="B193" s="1318">
        <v>38.490566000000001</v>
      </c>
      <c r="C193" s="615">
        <v>44.354424000000002</v>
      </c>
      <c r="D193" s="2970">
        <v>45.544556</v>
      </c>
      <c r="E193" s="615">
        <v>49.768102035120002</v>
      </c>
      <c r="F193" s="3535">
        <v>42.442082051710003</v>
      </c>
      <c r="G193" s="358">
        <v>39.955083945280002</v>
      </c>
      <c r="H193" s="217">
        <v>44.055087999999998</v>
      </c>
    </row>
    <row r="194" spans="1:8">
      <c r="A194" s="53">
        <f t="shared" ref="A194:A257" si="1">A182+1</f>
        <v>2013.05</v>
      </c>
      <c r="B194" s="1318">
        <v>44.243003999999999</v>
      </c>
      <c r="C194" s="615">
        <v>42.473545000000001</v>
      </c>
      <c r="D194" s="2970">
        <v>40.401542999999997</v>
      </c>
      <c r="E194" s="615">
        <v>44.402441075590005</v>
      </c>
      <c r="F194" s="3535">
        <v>39.038380835889996</v>
      </c>
      <c r="G194" s="358">
        <v>41.50617004555</v>
      </c>
      <c r="H194" s="217">
        <v>41.648997999999999</v>
      </c>
    </row>
    <row r="195" spans="1:8">
      <c r="A195" s="53">
        <f t="shared" si="1"/>
        <v>2013.06</v>
      </c>
      <c r="B195" s="1318">
        <v>44.647438000000001</v>
      </c>
      <c r="C195" s="615">
        <v>45.157134999999997</v>
      </c>
      <c r="D195" s="2970">
        <v>44.063544999999998</v>
      </c>
      <c r="E195" s="615">
        <v>47.922263740950001</v>
      </c>
      <c r="F195" s="3535">
        <v>42.526259275809998</v>
      </c>
      <c r="G195" s="358">
        <v>43.02668488298</v>
      </c>
      <c r="H195" s="217">
        <v>44.491737000000001</v>
      </c>
    </row>
    <row r="196" spans="1:8">
      <c r="A196" s="53">
        <f t="shared" si="1"/>
        <v>2013.07</v>
      </c>
      <c r="B196" s="1318">
        <v>46.141376000000001</v>
      </c>
      <c r="C196" s="615">
        <v>45.641025999999997</v>
      </c>
      <c r="D196" s="2970">
        <v>48.940913999999999</v>
      </c>
      <c r="E196" s="615">
        <v>51.523053847719993</v>
      </c>
      <c r="F196" s="3535">
        <v>45.026736928009996</v>
      </c>
      <c r="G196" s="358">
        <v>45.895392358289996</v>
      </c>
      <c r="H196" s="217">
        <v>47.481727999999997</v>
      </c>
    </row>
    <row r="197" spans="1:8">
      <c r="A197" s="53">
        <f t="shared" si="1"/>
        <v>2013.08</v>
      </c>
      <c r="B197" s="1318">
        <v>49.381512000000001</v>
      </c>
      <c r="C197" s="615">
        <v>49.075499999999998</v>
      </c>
      <c r="D197" s="2970">
        <v>50.770077000000001</v>
      </c>
      <c r="E197" s="615">
        <v>52.475147920730002</v>
      </c>
      <c r="F197" s="3535">
        <v>51.032855068320004</v>
      </c>
      <c r="G197" s="358">
        <v>46.576920967459998</v>
      </c>
      <c r="H197" s="217">
        <v>50.028309</v>
      </c>
    </row>
    <row r="198" spans="1:8">
      <c r="A198" s="53">
        <f t="shared" si="1"/>
        <v>2013.09</v>
      </c>
      <c r="B198" s="1318">
        <v>44.238281000000001</v>
      </c>
      <c r="C198" s="615">
        <v>48.827728</v>
      </c>
      <c r="D198" s="2970">
        <v>49.861572000000002</v>
      </c>
      <c r="E198" s="615">
        <v>51.469268199080005</v>
      </c>
      <c r="F198" s="3535">
        <v>46.300361019969998</v>
      </c>
      <c r="G198" s="358">
        <v>48.174220481740001</v>
      </c>
      <c r="H198" s="217">
        <v>48.647948999999997</v>
      </c>
    </row>
    <row r="199" spans="1:8">
      <c r="A199" s="53">
        <f t="shared" si="1"/>
        <v>2013.1</v>
      </c>
      <c r="B199" s="1318">
        <v>50.358074000000002</v>
      </c>
      <c r="C199" s="615">
        <v>50.254063000000002</v>
      </c>
      <c r="D199" s="2970">
        <v>53.215885</v>
      </c>
      <c r="E199" s="615">
        <v>54.027674042640001</v>
      </c>
      <c r="F199" s="3535">
        <v>50.34518569958</v>
      </c>
      <c r="G199" s="358">
        <v>51.180502816840004</v>
      </c>
      <c r="H199" s="217">
        <v>51.851120000000002</v>
      </c>
    </row>
    <row r="200" spans="1:8">
      <c r="A200" s="53">
        <f t="shared" si="1"/>
        <v>2013.11</v>
      </c>
      <c r="B200" s="1318">
        <v>47.623699000000002</v>
      </c>
      <c r="C200" s="615">
        <v>49.742001000000002</v>
      </c>
      <c r="D200" s="2970">
        <v>50.643177000000001</v>
      </c>
      <c r="E200" s="615">
        <v>51.551472351789997</v>
      </c>
      <c r="F200" s="3535">
        <v>49.25045780056</v>
      </c>
      <c r="G200" s="358">
        <v>48.853297233540005</v>
      </c>
      <c r="H200" s="217">
        <v>49.885075000000001</v>
      </c>
    </row>
    <row r="201" spans="1:8">
      <c r="A201" s="53">
        <f t="shared" si="1"/>
        <v>2013.12</v>
      </c>
      <c r="B201" s="1318">
        <v>44.121448999999998</v>
      </c>
      <c r="C201" s="615">
        <v>43.778979999999997</v>
      </c>
      <c r="D201" s="2970">
        <v>48.117386000000003</v>
      </c>
      <c r="E201" s="615">
        <v>49.583023080449998</v>
      </c>
      <c r="F201" s="3535">
        <v>44.485918860140004</v>
      </c>
      <c r="G201" s="358">
        <v>44.37775239818</v>
      </c>
      <c r="H201" s="217">
        <v>46.148899</v>
      </c>
    </row>
    <row r="202" spans="1:8">
      <c r="A202" s="53">
        <f t="shared" si="1"/>
        <v>2014.01</v>
      </c>
      <c r="B202" s="1318">
        <v>38.900706999999997</v>
      </c>
      <c r="C202" s="615">
        <v>43.514271000000001</v>
      </c>
      <c r="D202" s="2970">
        <v>45.186337000000002</v>
      </c>
      <c r="E202" s="615">
        <v>46.681355482800001</v>
      </c>
      <c r="F202" s="3535">
        <v>41.180082525689997</v>
      </c>
      <c r="G202" s="358">
        <v>43.152702538200003</v>
      </c>
      <c r="H202" s="217">
        <v>43.671379000000002</v>
      </c>
    </row>
    <row r="203" spans="1:8">
      <c r="A203" s="53">
        <f t="shared" si="1"/>
        <v>2014.02</v>
      </c>
      <c r="B203" s="1318">
        <v>34.128498</v>
      </c>
      <c r="C203" s="615">
        <v>35.346584</v>
      </c>
      <c r="D203" s="2970">
        <v>32.184829999999998</v>
      </c>
      <c r="E203" s="615">
        <v>41.907697845619992</v>
      </c>
      <c r="F203" s="3535">
        <v>40.845483667190003</v>
      </c>
      <c r="G203" s="358">
        <v>17.640214256420002</v>
      </c>
      <c r="H203" s="217">
        <v>33.464466000000002</v>
      </c>
    </row>
    <row r="204" spans="1:8">
      <c r="A204" s="53">
        <f t="shared" si="1"/>
        <v>2014.03</v>
      </c>
      <c r="B204" s="1318">
        <v>33.833336000000003</v>
      </c>
      <c r="C204" s="615">
        <v>33.695090999999998</v>
      </c>
      <c r="D204" s="2970">
        <v>38.371459999999999</v>
      </c>
      <c r="E204" s="615">
        <v>44.333080592329999</v>
      </c>
      <c r="F204" s="3535">
        <v>42.992561654690007</v>
      </c>
      <c r="G204" s="358">
        <v>21.31328709588</v>
      </c>
      <c r="H204" s="217">
        <v>36.212978</v>
      </c>
    </row>
    <row r="205" spans="1:8">
      <c r="A205" s="53">
        <f t="shared" si="1"/>
        <v>2014.04</v>
      </c>
      <c r="B205" s="1318">
        <v>38.975357000000002</v>
      </c>
      <c r="C205" s="615">
        <v>36.509773000000003</v>
      </c>
      <c r="D205" s="2970">
        <v>36.111111000000001</v>
      </c>
      <c r="E205" s="615">
        <v>43.826213350090001</v>
      </c>
      <c r="F205" s="3535">
        <v>41.382927848839998</v>
      </c>
      <c r="G205" s="358">
        <v>24.859052135879999</v>
      </c>
      <c r="H205" s="217">
        <v>36.689399999999999</v>
      </c>
    </row>
    <row r="206" spans="1:8">
      <c r="A206" s="53">
        <f t="shared" si="1"/>
        <v>2014.05</v>
      </c>
      <c r="B206" s="1318">
        <v>35.579425999999998</v>
      </c>
      <c r="C206" s="615">
        <v>36.493374000000003</v>
      </c>
      <c r="D206" s="2970">
        <v>39.771461000000002</v>
      </c>
      <c r="E206" s="615">
        <v>44.589942524169999</v>
      </c>
      <c r="F206" s="3535">
        <v>44.288295766520001</v>
      </c>
      <c r="G206" s="358">
        <v>25.41341587618</v>
      </c>
      <c r="H206" s="217">
        <v>38.097217999999998</v>
      </c>
    </row>
    <row r="207" spans="1:8">
      <c r="A207" s="53">
        <f t="shared" si="1"/>
        <v>2014.06</v>
      </c>
      <c r="B207" s="1318">
        <v>41.040844</v>
      </c>
      <c r="C207" s="615">
        <v>40.769629999999999</v>
      </c>
      <c r="D207" s="2970">
        <v>42.837691999999997</v>
      </c>
      <c r="E207" s="615">
        <v>47.93</v>
      </c>
      <c r="F207" s="3535">
        <v>49.96</v>
      </c>
      <c r="G207" s="358">
        <v>27.86</v>
      </c>
      <c r="H207" s="217">
        <v>41.92</v>
      </c>
    </row>
    <row r="208" spans="1:8">
      <c r="A208" s="53">
        <f t="shared" si="1"/>
        <v>2014.07</v>
      </c>
      <c r="B208" s="1318">
        <v>39.980544999999999</v>
      </c>
      <c r="C208" s="615">
        <v>43.954757999999998</v>
      </c>
      <c r="D208" s="2970">
        <v>42.876789000000002</v>
      </c>
      <c r="E208" s="615">
        <v>47.824777127040001</v>
      </c>
      <c r="F208" s="3535">
        <v>50.112090659410001</v>
      </c>
      <c r="G208" s="358">
        <v>30.300462415590001</v>
      </c>
      <c r="H208" s="217">
        <v>42.745776999999997</v>
      </c>
    </row>
    <row r="209" spans="1:8">
      <c r="A209" s="53">
        <f t="shared" si="1"/>
        <v>2014.08</v>
      </c>
      <c r="B209" s="1318">
        <v>45.395587999999996</v>
      </c>
      <c r="C209" s="615">
        <v>42.758087000000003</v>
      </c>
      <c r="D209" s="2970">
        <v>44.091414999999998</v>
      </c>
      <c r="E209" s="615">
        <v>48.66</v>
      </c>
      <c r="F209" s="3535">
        <v>50.46</v>
      </c>
      <c r="G209" s="358">
        <v>32.549999999999997</v>
      </c>
      <c r="H209" s="217">
        <v>43.89</v>
      </c>
    </row>
    <row r="210" spans="1:8">
      <c r="A210" s="53">
        <f t="shared" si="1"/>
        <v>2014.09</v>
      </c>
      <c r="B210" s="1318">
        <v>39.993564999999997</v>
      </c>
      <c r="C210" s="615">
        <v>40.945388999999999</v>
      </c>
      <c r="D210" s="2970">
        <v>42.271729000000001</v>
      </c>
      <c r="E210" s="615">
        <v>46.034036999999998</v>
      </c>
      <c r="F210" s="3535">
        <v>47.801223499999999</v>
      </c>
      <c r="G210" s="358">
        <v>30.6687315</v>
      </c>
      <c r="H210" s="217">
        <v>41.501330666666668</v>
      </c>
    </row>
    <row r="211" spans="1:8">
      <c r="A211" s="53">
        <f t="shared" si="1"/>
        <v>2014.1</v>
      </c>
      <c r="B211" s="1318">
        <v>41.005291</v>
      </c>
      <c r="C211" s="615">
        <v>44.056747000000001</v>
      </c>
      <c r="D211" s="2970">
        <v>44.757171999999997</v>
      </c>
      <c r="E211" s="615">
        <v>47.516515471399998</v>
      </c>
      <c r="F211" s="3535">
        <v>50.412142301779994</v>
      </c>
      <c r="G211" s="358">
        <v>33.903522398459998</v>
      </c>
      <c r="H211" s="217">
        <v>43.944060500000006</v>
      </c>
    </row>
    <row r="212" spans="1:8">
      <c r="A212" s="53">
        <f t="shared" si="1"/>
        <v>2014.11</v>
      </c>
      <c r="B212" s="1318">
        <v>43.897635999999999</v>
      </c>
      <c r="C212" s="615">
        <v>44.508743000000003</v>
      </c>
      <c r="D212" s="2970">
        <v>43.106312000000003</v>
      </c>
      <c r="E212" s="615">
        <v>46.908522022499994</v>
      </c>
      <c r="F212" s="3535">
        <v>51.927792240109994</v>
      </c>
      <c r="G212" s="358">
        <v>32.150705040909997</v>
      </c>
      <c r="H212" s="217">
        <v>43.662337999999998</v>
      </c>
    </row>
    <row r="213" spans="1:8">
      <c r="A213" s="53">
        <f t="shared" si="1"/>
        <v>2014.12</v>
      </c>
      <c r="B213" s="1318">
        <v>45.304232166666672</v>
      </c>
      <c r="C213" s="615">
        <v>45.254629999999999</v>
      </c>
      <c r="D213" s="2970">
        <v>43.311759166666661</v>
      </c>
      <c r="E213" s="615">
        <v>46.135168</v>
      </c>
      <c r="F213" s="3535">
        <v>50.302571999999998</v>
      </c>
      <c r="G213" s="358">
        <v>36.237244000000004</v>
      </c>
      <c r="H213" s="217">
        <v>44.224994666666667</v>
      </c>
    </row>
    <row r="214" spans="1:8">
      <c r="A214" s="53">
        <f t="shared" si="1"/>
        <v>2015.01</v>
      </c>
      <c r="B214" s="1318">
        <v>48.908729999999998</v>
      </c>
      <c r="C214" s="615">
        <v>49.344929</v>
      </c>
      <c r="D214" s="2970">
        <v>50.607062999999997</v>
      </c>
      <c r="E214" s="615">
        <v>51.923902585299999</v>
      </c>
      <c r="F214" s="3535">
        <v>57.125259081999999</v>
      </c>
      <c r="G214" s="358">
        <v>40.796818000309997</v>
      </c>
      <c r="H214" s="217">
        <v>49.948658000000002</v>
      </c>
    </row>
    <row r="215" spans="1:8">
      <c r="A215" s="53">
        <f t="shared" si="1"/>
        <v>2015.02</v>
      </c>
      <c r="B215" s="1318">
        <v>48.137256999999998</v>
      </c>
      <c r="C215" s="615">
        <v>48.508228000000003</v>
      </c>
      <c r="D215" s="2970">
        <v>52.300784999999998</v>
      </c>
      <c r="E215" s="615">
        <v>52.971824252419999</v>
      </c>
      <c r="F215" s="3535">
        <v>58.123084637099993</v>
      </c>
      <c r="G215" s="358">
        <v>40.324307900150004</v>
      </c>
      <c r="H215" s="217">
        <v>50.473072000000002</v>
      </c>
    </row>
    <row r="216" spans="1:8">
      <c r="A216" s="53">
        <f t="shared" si="1"/>
        <v>2015.03</v>
      </c>
      <c r="B216" s="1318">
        <v>54.347824000000003</v>
      </c>
      <c r="C216" s="615">
        <v>52.739201000000001</v>
      </c>
      <c r="D216" s="2970">
        <v>52.001099000000004</v>
      </c>
      <c r="E216" s="615">
        <v>54.992763392429993</v>
      </c>
      <c r="F216" s="3535">
        <v>61.96</v>
      </c>
      <c r="G216" s="358">
        <v>40.85</v>
      </c>
      <c r="H216" s="217">
        <v>52.600951999999999</v>
      </c>
    </row>
    <row r="217" spans="1:8">
      <c r="A217" s="53">
        <f t="shared" si="1"/>
        <v>2015.04</v>
      </c>
      <c r="B217" s="1318">
        <v>54.93</v>
      </c>
      <c r="C217" s="615">
        <v>52.18</v>
      </c>
      <c r="D217" s="2970">
        <v>52.62</v>
      </c>
      <c r="E217" s="615">
        <v>55.63</v>
      </c>
      <c r="F217" s="3535">
        <v>60.8</v>
      </c>
      <c r="G217" s="358">
        <v>42.13</v>
      </c>
      <c r="H217" s="217">
        <v>52.85</v>
      </c>
    </row>
    <row r="218" spans="1:8">
      <c r="A218" s="53">
        <f t="shared" si="1"/>
        <v>2015.05</v>
      </c>
      <c r="B218" s="1318">
        <v>53.76</v>
      </c>
      <c r="C218" s="615">
        <v>57.01</v>
      </c>
      <c r="D218" s="2970">
        <v>54.21</v>
      </c>
      <c r="E218" s="615">
        <v>57.942602516960001</v>
      </c>
      <c r="F218" s="3535">
        <v>63.173160638950002</v>
      </c>
      <c r="G218" s="358">
        <v>43.867890677359995</v>
      </c>
      <c r="H218" s="217">
        <v>54.994553000000003</v>
      </c>
    </row>
    <row r="219" spans="1:8">
      <c r="A219" s="53">
        <f t="shared" si="1"/>
        <v>2015.06</v>
      </c>
      <c r="B219" s="1318">
        <v>55</v>
      </c>
      <c r="C219" s="615">
        <v>54.413291999999998</v>
      </c>
      <c r="D219" s="2970">
        <v>55.115509000000003</v>
      </c>
      <c r="E219" s="615">
        <v>58.546881687769996</v>
      </c>
      <c r="F219" s="3535">
        <v>62.691559877030002</v>
      </c>
      <c r="G219" s="358">
        <v>43.404716628169993</v>
      </c>
      <c r="H219" s="217">
        <v>54.881053999999999</v>
      </c>
    </row>
    <row r="220" spans="1:8">
      <c r="A220" s="53">
        <f t="shared" si="1"/>
        <v>2015.07</v>
      </c>
      <c r="B220" s="1318">
        <v>56.003937000000001</v>
      </c>
      <c r="C220" s="615">
        <v>55.061348000000002</v>
      </c>
      <c r="D220" s="2970">
        <v>56.71067</v>
      </c>
      <c r="E220" s="615">
        <v>57.26</v>
      </c>
      <c r="F220" s="3535">
        <v>63.78</v>
      </c>
      <c r="G220" s="358">
        <v>47.24</v>
      </c>
      <c r="H220" s="217">
        <v>56.09</v>
      </c>
    </row>
    <row r="221" spans="1:8">
      <c r="A221" s="53">
        <f t="shared" si="1"/>
        <v>2015.08</v>
      </c>
      <c r="B221" s="1318">
        <v>53.326613999999999</v>
      </c>
      <c r="C221" s="615">
        <v>55.214725000000001</v>
      </c>
      <c r="D221" s="2970">
        <v>58.714596</v>
      </c>
      <c r="E221" s="615">
        <v>58.421975683479999</v>
      </c>
      <c r="F221" s="3535">
        <v>64.897968583410005</v>
      </c>
      <c r="G221" s="358">
        <v>47.024780266450009</v>
      </c>
      <c r="H221" s="217">
        <v>56.781573999999999</v>
      </c>
    </row>
    <row r="222" spans="1:8">
      <c r="A222" s="53">
        <f t="shared" si="1"/>
        <v>2015.09</v>
      </c>
      <c r="B222" s="1318">
        <v>56.955643000000002</v>
      </c>
      <c r="C222" s="615">
        <v>55.240288</v>
      </c>
      <c r="D222" s="2970">
        <v>53.563599000000004</v>
      </c>
      <c r="E222" s="615">
        <v>56.686034307669999</v>
      </c>
      <c r="F222" s="3535">
        <v>60.841366604920005</v>
      </c>
      <c r="G222" s="358">
        <v>46.326622304520001</v>
      </c>
      <c r="H222" s="217">
        <v>54.618008000000003</v>
      </c>
    </row>
    <row r="223" spans="1:8">
      <c r="A223" s="53">
        <f t="shared" si="1"/>
        <v>2015.1</v>
      </c>
      <c r="B223" s="1318">
        <v>55.998702999999999</v>
      </c>
      <c r="C223" s="615">
        <v>56.726284</v>
      </c>
      <c r="D223" s="2970">
        <v>57.386364</v>
      </c>
      <c r="E223" s="615">
        <v>58.077666380819998</v>
      </c>
      <c r="F223" s="3535">
        <v>63.634023295619997</v>
      </c>
      <c r="G223" s="358">
        <v>49.17475792215</v>
      </c>
      <c r="H223" s="217">
        <v>56.962150999999999</v>
      </c>
    </row>
    <row r="224" spans="1:8">
      <c r="A224" s="53">
        <f t="shared" si="1"/>
        <v>2015.11</v>
      </c>
      <c r="B224" s="1318">
        <v>58.397686</v>
      </c>
      <c r="C224" s="615">
        <v>61.081012999999999</v>
      </c>
      <c r="D224" s="2970">
        <v>60.514538000000002</v>
      </c>
      <c r="E224" s="615">
        <v>62.620210530679998</v>
      </c>
      <c r="F224" s="3535">
        <v>73.583675458919998</v>
      </c>
      <c r="G224" s="358">
        <v>44.847741840309993</v>
      </c>
      <c r="H224" s="217">
        <v>60.350543999999999</v>
      </c>
    </row>
    <row r="225" spans="1:8">
      <c r="A225" s="53">
        <f t="shared" si="1"/>
        <v>2015.12</v>
      </c>
      <c r="B225" s="1318">
        <v>51.990555000000001</v>
      </c>
      <c r="C225" s="615">
        <v>57.671337000000001</v>
      </c>
      <c r="D225" s="2970">
        <v>54.166668000000001</v>
      </c>
      <c r="E225" s="615">
        <v>58.846161546139996</v>
      </c>
      <c r="F225" s="3535">
        <v>69.335348102219996</v>
      </c>
      <c r="G225" s="358">
        <v>36.503481569590001</v>
      </c>
      <c r="H225" s="217">
        <v>54.894996999999996</v>
      </c>
    </row>
    <row r="226" spans="1:8">
      <c r="A226" s="53">
        <f t="shared" si="1"/>
        <v>2016.01</v>
      </c>
      <c r="B226" s="1318">
        <v>52.952759</v>
      </c>
      <c r="C226" s="615">
        <v>53.533028000000002</v>
      </c>
      <c r="D226" s="2970">
        <v>54.595790999999998</v>
      </c>
      <c r="E226" s="615">
        <v>58.575761557509999</v>
      </c>
      <c r="F226" s="3535">
        <v>69.482835036029996</v>
      </c>
      <c r="G226" s="358">
        <v>33.963431269479997</v>
      </c>
      <c r="H226" s="217">
        <v>54.007342999999999</v>
      </c>
    </row>
    <row r="227" spans="1:8">
      <c r="A227" s="53">
        <f t="shared" si="1"/>
        <v>2016.02</v>
      </c>
      <c r="B227" s="1318">
        <v>46.376812000000001</v>
      </c>
      <c r="C227" s="615">
        <v>49.323635000000003</v>
      </c>
      <c r="D227" s="2970">
        <v>43.217052000000002</v>
      </c>
      <c r="E227" s="615">
        <v>51.293430737419996</v>
      </c>
      <c r="F227" s="3535">
        <v>62.77661641692</v>
      </c>
      <c r="G227" s="358">
        <v>22.71210615323</v>
      </c>
      <c r="H227" s="217">
        <v>45.594051</v>
      </c>
    </row>
    <row r="228" spans="1:8">
      <c r="A228" s="53">
        <f t="shared" si="1"/>
        <v>2016.03</v>
      </c>
      <c r="B228" s="1318">
        <v>46.376812000000001</v>
      </c>
      <c r="C228" s="615">
        <v>51.572085999999999</v>
      </c>
      <c r="D228" s="2970">
        <v>46.448086000000004</v>
      </c>
      <c r="E228" s="615">
        <v>53.230339195710002</v>
      </c>
      <c r="F228" s="3535">
        <v>65.438691570510002</v>
      </c>
      <c r="G228" s="358">
        <v>25.804157268680001</v>
      </c>
      <c r="H228" s="217">
        <v>48.157730000000001</v>
      </c>
    </row>
    <row r="229" spans="1:8">
      <c r="A229" s="53">
        <f t="shared" si="1"/>
        <v>2016.04</v>
      </c>
      <c r="B229" s="1318">
        <v>46.138995999999999</v>
      </c>
      <c r="C229" s="615">
        <v>45.564929999999997</v>
      </c>
      <c r="D229" s="2970">
        <v>40.937148999999998</v>
      </c>
      <c r="E229" s="615">
        <v>46.969818585759995</v>
      </c>
      <c r="F229" s="3535">
        <v>60.429450527469996</v>
      </c>
      <c r="G229" s="358">
        <v>22.157727892640001</v>
      </c>
      <c r="H229" s="217">
        <v>43.185665</v>
      </c>
    </row>
    <row r="230" spans="1:8">
      <c r="A230" s="53">
        <f t="shared" si="1"/>
        <v>2016.05</v>
      </c>
      <c r="B230" s="1318">
        <v>44.056846999999998</v>
      </c>
      <c r="C230" s="615">
        <v>44.732093999999996</v>
      </c>
      <c r="D230" s="2970">
        <v>41.047297999999998</v>
      </c>
      <c r="E230" s="615">
        <v>46.558098061020004</v>
      </c>
      <c r="F230" s="3535">
        <v>62.32572872523</v>
      </c>
      <c r="G230" s="358">
        <v>19.087670398939999</v>
      </c>
      <c r="H230" s="217">
        <v>42.657165999999997</v>
      </c>
    </row>
    <row r="231" spans="1:8">
      <c r="A231" s="53">
        <f t="shared" si="1"/>
        <v>2016.06</v>
      </c>
      <c r="B231" s="1318">
        <v>44.954425999999998</v>
      </c>
      <c r="C231" s="615">
        <v>46.919730999999999</v>
      </c>
      <c r="D231" s="2970">
        <v>39.361111000000001</v>
      </c>
      <c r="E231" s="615">
        <v>46.798499763700001</v>
      </c>
      <c r="F231" s="3535">
        <v>61.155671331259995</v>
      </c>
      <c r="G231" s="358">
        <v>19.760188435380002</v>
      </c>
      <c r="H231" s="217">
        <v>42.571452999999998</v>
      </c>
    </row>
    <row r="232" spans="1:8">
      <c r="A232" s="53">
        <f t="shared" si="1"/>
        <v>2016.07</v>
      </c>
      <c r="B232" s="1318">
        <v>45.816864000000002</v>
      </c>
      <c r="C232" s="615">
        <v>49.564101999999998</v>
      </c>
      <c r="D232" s="2970">
        <v>43.267108999999998</v>
      </c>
      <c r="E232" s="615">
        <v>48.193374914890001</v>
      </c>
      <c r="F232" s="3535">
        <v>65.594425436630004</v>
      </c>
      <c r="G232" s="358">
        <v>23.028285624200002</v>
      </c>
      <c r="H232" s="217">
        <v>45.605362</v>
      </c>
    </row>
    <row r="233" spans="1:8">
      <c r="A233" s="53">
        <f t="shared" si="1"/>
        <v>2016.08</v>
      </c>
      <c r="B233" s="1318">
        <v>45.439632000000003</v>
      </c>
      <c r="C233" s="615">
        <v>46.417563999999999</v>
      </c>
      <c r="D233" s="2970">
        <v>39.562569000000003</v>
      </c>
      <c r="E233" s="615">
        <v>46.714489656270004</v>
      </c>
      <c r="F233" s="3535">
        <v>59.552865611949997</v>
      </c>
      <c r="G233" s="358">
        <v>21.539179354730003</v>
      </c>
      <c r="H233" s="217">
        <v>42.602176999999998</v>
      </c>
    </row>
    <row r="234" spans="1:8">
      <c r="A234" s="53">
        <f t="shared" si="1"/>
        <v>2016.09</v>
      </c>
      <c r="B234" s="1318">
        <v>46.595329</v>
      </c>
      <c r="C234" s="615">
        <v>47.853149000000002</v>
      </c>
      <c r="D234" s="2970">
        <v>39.687851000000002</v>
      </c>
      <c r="E234" s="615">
        <v>45.911038284590006</v>
      </c>
      <c r="F234" s="3535">
        <v>61.441836645110001</v>
      </c>
      <c r="G234" s="358">
        <v>22.528322035289996</v>
      </c>
      <c r="H234" s="217">
        <v>43.293731999999999</v>
      </c>
    </row>
    <row r="235" spans="1:8">
      <c r="A235" s="53">
        <f t="shared" si="1"/>
        <v>2016.1</v>
      </c>
      <c r="B235" s="1318">
        <v>45.356236000000003</v>
      </c>
      <c r="C235" s="615">
        <v>50.598022</v>
      </c>
      <c r="D235" s="2970">
        <v>43.625827999999998</v>
      </c>
      <c r="E235" s="615">
        <v>47.885981264259996</v>
      </c>
      <c r="F235" s="3535">
        <v>62.081728303870001</v>
      </c>
      <c r="G235" s="358">
        <v>28.154570777589999</v>
      </c>
      <c r="H235" s="217">
        <v>46.040759999999999</v>
      </c>
    </row>
    <row r="236" spans="1:8">
      <c r="A236" s="53">
        <f t="shared" si="1"/>
        <v>2016.11</v>
      </c>
      <c r="B236" s="1318">
        <v>49.131275000000002</v>
      </c>
      <c r="C236" s="615">
        <v>46.345256999999997</v>
      </c>
      <c r="D236" s="2970">
        <v>40.997771999999998</v>
      </c>
      <c r="E236" s="615">
        <v>46.66515403679</v>
      </c>
      <c r="F236" s="3535">
        <v>58.404300594399999</v>
      </c>
      <c r="G236" s="358">
        <v>26.733145391810002</v>
      </c>
      <c r="H236" s="217">
        <v>43.934199999999997</v>
      </c>
    </row>
    <row r="237" spans="1:8">
      <c r="A237" s="53">
        <f t="shared" si="1"/>
        <v>2016.12</v>
      </c>
      <c r="B237" s="1318">
        <v>46.28</v>
      </c>
      <c r="C237" s="615">
        <v>48.92</v>
      </c>
      <c r="D237" s="2970">
        <v>41.39</v>
      </c>
      <c r="E237" s="615">
        <v>47.54</v>
      </c>
      <c r="F237" s="3535">
        <v>58.84</v>
      </c>
      <c r="G237" s="358">
        <v>27.06</v>
      </c>
      <c r="H237" s="217">
        <v>44.48</v>
      </c>
    </row>
    <row r="238" spans="1:8">
      <c r="A238" s="53">
        <f t="shared" si="1"/>
        <v>2017.01</v>
      </c>
      <c r="B238" s="1318">
        <v>45.48748333333333</v>
      </c>
      <c r="C238" s="615">
        <v>49.430642499999998</v>
      </c>
      <c r="D238" s="2970">
        <v>41.309131000000001</v>
      </c>
      <c r="E238" s="615">
        <v>47.757828000000003</v>
      </c>
      <c r="F238" s="3535">
        <v>57.053638500000005</v>
      </c>
      <c r="G238" s="358">
        <v>28.588879499999997</v>
      </c>
      <c r="H238" s="217">
        <v>44.466782000000002</v>
      </c>
    </row>
    <row r="239" spans="1:8">
      <c r="A239" s="53">
        <f t="shared" si="1"/>
        <v>2017.02</v>
      </c>
      <c r="B239" s="1318">
        <v>41.955128166666668</v>
      </c>
      <c r="C239" s="615">
        <v>43.99316533333333</v>
      </c>
      <c r="D239" s="2970">
        <v>38.398692833333335</v>
      </c>
      <c r="E239" s="615">
        <v>44.613573000000002</v>
      </c>
      <c r="F239" s="3535">
        <v>54.013998000000001</v>
      </c>
      <c r="G239" s="358">
        <v>23.417744499999998</v>
      </c>
      <c r="H239" s="217">
        <v>40.681771833333336</v>
      </c>
    </row>
    <row r="240" spans="1:8">
      <c r="A240" s="53">
        <f t="shared" si="1"/>
        <v>2017.03</v>
      </c>
      <c r="B240" s="1318">
        <v>43.939394666666665</v>
      </c>
      <c r="C240" s="615">
        <v>45.807209</v>
      </c>
      <c r="D240" s="2970">
        <v>37.266226166666669</v>
      </c>
      <c r="E240" s="615">
        <v>45.598739500000001</v>
      </c>
      <c r="F240" s="3535">
        <v>54.243830000000003</v>
      </c>
      <c r="G240" s="358">
        <v>23.007726999999999</v>
      </c>
      <c r="H240" s="217">
        <v>40.950098833333335</v>
      </c>
    </row>
    <row r="241" spans="1:8">
      <c r="A241" s="53">
        <f t="shared" si="1"/>
        <v>2017.04</v>
      </c>
      <c r="B241" s="1318">
        <v>50.39</v>
      </c>
      <c r="C241" s="615">
        <v>49.17</v>
      </c>
      <c r="D241" s="2970">
        <v>43.22</v>
      </c>
      <c r="E241" s="615">
        <v>49</v>
      </c>
      <c r="F241" s="3535">
        <v>62.1</v>
      </c>
      <c r="G241" s="358">
        <v>27.5</v>
      </c>
      <c r="H241" s="217">
        <v>46.19</v>
      </c>
    </row>
    <row r="242" spans="1:8">
      <c r="A242" s="53">
        <f t="shared" si="1"/>
        <v>2017.05</v>
      </c>
      <c r="B242" s="1318">
        <v>49.643320499999994</v>
      </c>
      <c r="C242" s="615">
        <v>49.326074833333337</v>
      </c>
      <c r="D242" s="2970">
        <v>42.549668666666669</v>
      </c>
      <c r="E242" s="615">
        <v>49.094599000000002</v>
      </c>
      <c r="F242" s="3535">
        <v>59.630817499999999</v>
      </c>
      <c r="G242" s="358">
        <v>28.551417999999998</v>
      </c>
      <c r="H242" s="217">
        <v>45.76</v>
      </c>
    </row>
    <row r="243" spans="1:8">
      <c r="A243" s="53">
        <f t="shared" si="1"/>
        <v>2017.06</v>
      </c>
      <c r="B243" s="1318">
        <v>45.064101999999998</v>
      </c>
      <c r="C243" s="615">
        <v>45.597484999999999</v>
      </c>
      <c r="D243" s="2970">
        <v>39.098362000000002</v>
      </c>
      <c r="E243" s="615">
        <v>45.314267878780001</v>
      </c>
      <c r="F243" s="3535">
        <v>54.590424173629998</v>
      </c>
      <c r="G243" s="358">
        <v>26.223971587379999</v>
      </c>
      <c r="H243" s="217">
        <v>42.042889000000002</v>
      </c>
    </row>
    <row r="244" spans="1:8">
      <c r="A244" s="53">
        <f t="shared" si="1"/>
        <v>2017.07</v>
      </c>
      <c r="B244" s="1318">
        <v>43.475451999999997</v>
      </c>
      <c r="C244" s="615">
        <v>46.909668000000003</v>
      </c>
      <c r="D244" s="2970">
        <v>39.630226</v>
      </c>
      <c r="E244" s="615">
        <v>45.109874579309995</v>
      </c>
      <c r="F244" s="3535">
        <v>53.625070619599995</v>
      </c>
      <c r="G244" s="358">
        <v>28.694257371590002</v>
      </c>
      <c r="H244" s="217">
        <v>42.476402</v>
      </c>
    </row>
    <row r="245" spans="1:8">
      <c r="A245" s="53">
        <f t="shared" si="1"/>
        <v>2017.08</v>
      </c>
      <c r="B245" s="1318">
        <v>50.229660000000003</v>
      </c>
      <c r="C245" s="615">
        <v>50.877192999999998</v>
      </c>
      <c r="D245" s="2970">
        <v>44.950333000000001</v>
      </c>
      <c r="E245" s="615">
        <v>49.362603565459999</v>
      </c>
      <c r="F245" s="3535">
        <v>62.457999664880006</v>
      </c>
      <c r="G245" s="358">
        <v>31.00887574347</v>
      </c>
      <c r="H245" s="217">
        <v>47.609828999999998</v>
      </c>
    </row>
    <row r="246" spans="1:8">
      <c r="A246" s="53">
        <f t="shared" si="1"/>
        <v>2017.09</v>
      </c>
      <c r="B246" s="1318">
        <v>53.787875999999997</v>
      </c>
      <c r="C246" s="615">
        <v>56.125576000000002</v>
      </c>
      <c r="D246" s="2970">
        <v>47.296543</v>
      </c>
      <c r="E246" s="615">
        <v>52.282850372959999</v>
      </c>
      <c r="F246" s="3535">
        <v>62.949154933369996</v>
      </c>
      <c r="G246" s="358">
        <v>37.887232799860001</v>
      </c>
      <c r="H246" s="217">
        <v>51.039745000000003</v>
      </c>
    </row>
    <row r="247" spans="1:8">
      <c r="A247" s="53">
        <f t="shared" si="1"/>
        <v>2017.1</v>
      </c>
      <c r="B247" s="1318">
        <v>56.160831000000002</v>
      </c>
      <c r="C247" s="615">
        <v>55.989581999999999</v>
      </c>
      <c r="D247" s="2970">
        <v>46.792763000000001</v>
      </c>
      <c r="E247" s="615">
        <v>51.251850140759998</v>
      </c>
      <c r="F247" s="3535">
        <v>60.586358012719998</v>
      </c>
      <c r="G247" s="358">
        <v>41.483194004680001</v>
      </c>
      <c r="H247" s="217">
        <v>51.107132</v>
      </c>
    </row>
    <row r="248" spans="1:8">
      <c r="A248" s="53">
        <f t="shared" si="1"/>
        <v>2017.11</v>
      </c>
      <c r="B248" s="1318">
        <v>54.560367999999997</v>
      </c>
      <c r="C248" s="615">
        <v>55.944961999999997</v>
      </c>
      <c r="D248" s="2970">
        <v>47.286186000000001</v>
      </c>
      <c r="E248" s="615">
        <v>50.93819111186</v>
      </c>
      <c r="F248" s="3535">
        <v>62.240399277579996</v>
      </c>
      <c r="G248" s="358">
        <v>40.126972981259996</v>
      </c>
      <c r="H248" s="217">
        <v>51.101855999999998</v>
      </c>
    </row>
    <row r="249" spans="1:8">
      <c r="A249" s="53">
        <f t="shared" si="1"/>
        <v>2017.12</v>
      </c>
      <c r="B249" s="1318">
        <v>47.868217000000001</v>
      </c>
      <c r="C249" s="615">
        <v>47.984921</v>
      </c>
      <c r="D249" s="2970">
        <v>39.018951000000001</v>
      </c>
      <c r="E249" s="615">
        <v>45.430436970119999</v>
      </c>
      <c r="F249" s="3535">
        <v>52.883662372069999</v>
      </c>
      <c r="G249" s="358">
        <v>31.225614216159997</v>
      </c>
      <c r="H249" s="217">
        <v>43.179904999999998</v>
      </c>
    </row>
    <row r="250" spans="1:8">
      <c r="A250" s="53">
        <f t="shared" si="1"/>
        <v>2018.01</v>
      </c>
      <c r="B250" s="1318">
        <v>47.095962999999998</v>
      </c>
      <c r="C250" s="615">
        <v>46.582546000000001</v>
      </c>
      <c r="D250" s="2970">
        <v>43.818984999999998</v>
      </c>
      <c r="E250" s="615">
        <v>46.553070753729997</v>
      </c>
      <c r="F250" s="3535">
        <v>54.487129062499996</v>
      </c>
      <c r="G250" s="358">
        <v>34.52593056325</v>
      </c>
      <c r="H250" s="217">
        <v>45.188713</v>
      </c>
    </row>
    <row r="251" spans="1:8">
      <c r="A251" s="53">
        <f t="shared" si="1"/>
        <v>2018.02</v>
      </c>
      <c r="B251" s="1318">
        <v>45.898437999999999</v>
      </c>
      <c r="C251" s="615">
        <v>46.729461999999998</v>
      </c>
      <c r="D251" s="2970">
        <v>41.532691999999997</v>
      </c>
      <c r="E251" s="615">
        <v>43.767911922110002</v>
      </c>
      <c r="F251" s="3535">
        <v>51.535661455530004</v>
      </c>
      <c r="G251" s="358">
        <v>36.16428526192</v>
      </c>
      <c r="H251" s="217">
        <v>43.822620000000001</v>
      </c>
    </row>
    <row r="252" spans="1:8">
      <c r="A252" s="53">
        <f t="shared" si="1"/>
        <v>2018.03</v>
      </c>
      <c r="B252" s="1318">
        <v>44.617381999999999</v>
      </c>
      <c r="C252" s="615">
        <v>45.794871999999998</v>
      </c>
      <c r="D252" s="2970">
        <v>42.434207999999998</v>
      </c>
      <c r="E252" s="615">
        <v>45.97984296448</v>
      </c>
      <c r="F252" s="3535">
        <v>52.775106554130005</v>
      </c>
      <c r="G252" s="358">
        <v>32.683868532619996</v>
      </c>
      <c r="H252" s="217">
        <v>43.812939</v>
      </c>
    </row>
    <row r="253" spans="1:8">
      <c r="A253" s="53">
        <f t="shared" si="1"/>
        <v>2018.04</v>
      </c>
      <c r="B253" s="1318">
        <v>45.144359999999999</v>
      </c>
      <c r="C253" s="615">
        <v>41.912525000000002</v>
      </c>
      <c r="D253" s="2970">
        <v>37.527591999999999</v>
      </c>
      <c r="E253" s="615">
        <v>41.565719257889995</v>
      </c>
      <c r="F253" s="3535">
        <v>48.298405755060003</v>
      </c>
      <c r="G253" s="358">
        <v>30.39488400015</v>
      </c>
      <c r="H253" s="217">
        <v>40.086334000000001</v>
      </c>
    </row>
    <row r="254" spans="1:8">
      <c r="A254" s="53">
        <f t="shared" si="1"/>
        <v>2018.05</v>
      </c>
      <c r="B254" s="1318">
        <v>38.294421999999997</v>
      </c>
      <c r="C254" s="615">
        <v>39.289448</v>
      </c>
      <c r="D254" s="2970">
        <v>33.550491000000001</v>
      </c>
      <c r="E254" s="615">
        <v>37.882503988059995</v>
      </c>
      <c r="F254" s="3535">
        <v>48.240434373569997</v>
      </c>
      <c r="G254" s="358">
        <v>22.078479109070003</v>
      </c>
      <c r="H254" s="217">
        <v>36.067138999999997</v>
      </c>
    </row>
    <row r="255" spans="1:8">
      <c r="A255" s="53">
        <f t="shared" si="1"/>
        <v>2018.06</v>
      </c>
      <c r="B255" s="1318">
        <v>36.975067000000003</v>
      </c>
      <c r="C255" s="615">
        <v>41.640864999999998</v>
      </c>
      <c r="D255" s="2970">
        <v>32.419711999999997</v>
      </c>
      <c r="E255" s="615">
        <v>37.680111353339996</v>
      </c>
      <c r="F255" s="3535">
        <v>48.097419010270002</v>
      </c>
      <c r="G255" s="358">
        <v>22.147412849219997</v>
      </c>
      <c r="H255" s="217">
        <v>35.974978999999998</v>
      </c>
    </row>
    <row r="256" spans="1:8">
      <c r="A256" s="53">
        <f t="shared" si="1"/>
        <v>2018.07</v>
      </c>
      <c r="B256" s="1318">
        <v>37.065635999999998</v>
      </c>
      <c r="C256" s="615">
        <v>39.859596000000003</v>
      </c>
      <c r="D256" s="2970">
        <v>33.940398999999999</v>
      </c>
      <c r="E256" s="615">
        <v>37.938534809510003</v>
      </c>
      <c r="F256" s="3535">
        <v>50.60035592338</v>
      </c>
      <c r="G256" s="358">
        <v>20.224556417270001</v>
      </c>
      <c r="H256" s="217">
        <v>36.254482000000003</v>
      </c>
    </row>
    <row r="257" spans="1:8">
      <c r="A257" s="53">
        <f t="shared" si="1"/>
        <v>2018.08</v>
      </c>
      <c r="B257" s="1318">
        <v>38.451447000000002</v>
      </c>
      <c r="C257" s="615">
        <v>39.097549000000001</v>
      </c>
      <c r="D257" s="2970">
        <v>33.955627</v>
      </c>
      <c r="E257" s="615">
        <v>38.665933813509994</v>
      </c>
      <c r="F257" s="3535">
        <v>51.092113657710001</v>
      </c>
      <c r="G257" s="358">
        <v>18.990516074089999</v>
      </c>
      <c r="H257" s="217">
        <v>36.249523000000003</v>
      </c>
    </row>
    <row r="258" spans="1:8">
      <c r="A258" s="53">
        <f t="shared" ref="A258:A321" si="2">A246+1</f>
        <v>2018.09</v>
      </c>
      <c r="B258" s="1318">
        <v>35.261436000000003</v>
      </c>
      <c r="C258" s="615">
        <v>35.798664000000002</v>
      </c>
      <c r="D258" s="2970">
        <v>32.036422999999999</v>
      </c>
      <c r="E258" s="615">
        <v>36.203712035439999</v>
      </c>
      <c r="F258" s="3535">
        <v>52.141767153739998</v>
      </c>
      <c r="G258" s="358">
        <v>12.76794576196</v>
      </c>
      <c r="H258" s="217">
        <v>33.704475000000002</v>
      </c>
    </row>
    <row r="259" spans="1:8">
      <c r="A259" s="53">
        <f t="shared" si="2"/>
        <v>2018.1</v>
      </c>
      <c r="B259" s="1318">
        <v>35.098038000000003</v>
      </c>
      <c r="C259" s="615">
        <v>33.397339000000002</v>
      </c>
      <c r="D259" s="2970">
        <v>31.478407000000001</v>
      </c>
      <c r="E259" s="615">
        <v>33.711635056760002</v>
      </c>
      <c r="F259" s="3535">
        <v>50.857316712349999</v>
      </c>
      <c r="G259" s="358">
        <v>13.361957884200001</v>
      </c>
      <c r="H259" s="217">
        <v>32.643635000000003</v>
      </c>
    </row>
    <row r="260" spans="1:8">
      <c r="A260" s="53">
        <f t="shared" si="2"/>
        <v>2018.11</v>
      </c>
      <c r="B260" s="1318">
        <v>35.401001000000001</v>
      </c>
      <c r="C260" s="615">
        <v>35.007851000000002</v>
      </c>
      <c r="D260" s="2970">
        <v>29.438997000000001</v>
      </c>
      <c r="E260" s="615">
        <v>33.40263082856</v>
      </c>
      <c r="F260" s="3535">
        <v>50.00117535007</v>
      </c>
      <c r="G260" s="358">
        <v>12.888798568489999</v>
      </c>
      <c r="H260" s="217">
        <v>32.097534000000003</v>
      </c>
    </row>
    <row r="261" spans="1:8">
      <c r="A261" s="53">
        <f t="shared" si="2"/>
        <v>2018.12</v>
      </c>
      <c r="B261" s="1318">
        <v>38.996139999999997</v>
      </c>
      <c r="C261" s="615">
        <v>37.532299000000002</v>
      </c>
      <c r="D261" s="2970">
        <v>34.206080999999998</v>
      </c>
      <c r="E261" s="615">
        <v>38.626457480279996</v>
      </c>
      <c r="F261" s="3535">
        <v>55.071457733689996</v>
      </c>
      <c r="G261" s="358">
        <v>14.270962935099998</v>
      </c>
      <c r="H261" s="217">
        <v>35.989628000000003</v>
      </c>
    </row>
    <row r="262" spans="1:8">
      <c r="A262" s="53">
        <f t="shared" si="2"/>
        <v>2019.01</v>
      </c>
      <c r="B262" s="1318">
        <v>32.165405</v>
      </c>
      <c r="C262" s="615">
        <v>37.283386</v>
      </c>
      <c r="D262" s="2970">
        <v>30.976431000000002</v>
      </c>
      <c r="E262" s="615">
        <v>34.565555449069997</v>
      </c>
      <c r="F262" s="3535">
        <v>49.156249305390006</v>
      </c>
      <c r="G262" s="358">
        <v>15.581426851469999</v>
      </c>
      <c r="H262" s="217">
        <v>33.101078000000001</v>
      </c>
    </row>
    <row r="263" spans="1:8">
      <c r="A263" s="53">
        <f t="shared" si="2"/>
        <v>2019.02</v>
      </c>
      <c r="B263" s="1318">
        <v>38.852814000000002</v>
      </c>
      <c r="C263" s="615">
        <v>37.906047999999998</v>
      </c>
      <c r="D263" s="2970">
        <v>34.128287999999998</v>
      </c>
      <c r="E263" s="615">
        <v>38.620090974319993</v>
      </c>
      <c r="F263" s="3535">
        <v>54.390336324589995</v>
      </c>
      <c r="G263" s="358">
        <v>15.109477463529998</v>
      </c>
      <c r="H263" s="217">
        <v>36.039966999999997</v>
      </c>
    </row>
    <row r="264" spans="1:8">
      <c r="A264" s="53">
        <f t="shared" si="2"/>
        <v>2019.03</v>
      </c>
      <c r="B264" s="1318">
        <v>33.266128999999999</v>
      </c>
      <c r="C264" s="615">
        <v>37.551124999999999</v>
      </c>
      <c r="D264" s="2970">
        <v>33.666668000000001</v>
      </c>
      <c r="E264" s="615">
        <v>37.498310851189999</v>
      </c>
      <c r="F264" s="3535">
        <v>51.752874043459997</v>
      </c>
      <c r="G264" s="358">
        <v>15.132680085180001</v>
      </c>
      <c r="H264" s="217">
        <v>34.794620999999999</v>
      </c>
    </row>
    <row r="265" spans="1:8">
      <c r="A265" s="53">
        <f t="shared" si="2"/>
        <v>2019.04</v>
      </c>
      <c r="B265" s="1318">
        <v>35.040984999999999</v>
      </c>
      <c r="C265" s="615">
        <v>35.054080999999996</v>
      </c>
      <c r="D265" s="2970">
        <v>33.854168000000001</v>
      </c>
      <c r="E265" s="615">
        <v>37.030688040009998</v>
      </c>
      <c r="F265" s="3535">
        <v>54.030130540969999</v>
      </c>
      <c r="G265" s="358">
        <v>12.17260735969</v>
      </c>
      <c r="H265" s="217">
        <v>34.411144</v>
      </c>
    </row>
    <row r="266" spans="1:8">
      <c r="A266" s="53">
        <f t="shared" si="2"/>
        <v>2019.05</v>
      </c>
      <c r="B266" s="1318">
        <v>39.353740999999999</v>
      </c>
      <c r="C266" s="615">
        <v>38.760288000000003</v>
      </c>
      <c r="D266" s="2970">
        <v>34.297966000000002</v>
      </c>
      <c r="E266" s="615">
        <v>37.613519348609998</v>
      </c>
      <c r="F266" s="3535">
        <v>58.03389583045</v>
      </c>
      <c r="G266" s="358">
        <v>13.77008360692</v>
      </c>
      <c r="H266" s="217">
        <v>36.472499999999997</v>
      </c>
    </row>
    <row r="267" spans="1:8">
      <c r="A267" s="53">
        <f t="shared" si="2"/>
        <v>2019.06</v>
      </c>
      <c r="B267" s="1318">
        <v>42.987803999999997</v>
      </c>
      <c r="C267" s="615">
        <v>42.030074999999997</v>
      </c>
      <c r="D267" s="2970">
        <v>39.017662000000001</v>
      </c>
      <c r="E267" s="615">
        <v>42.305173465289997</v>
      </c>
      <c r="F267" s="3535">
        <v>62.787175433260003</v>
      </c>
      <c r="G267" s="358">
        <v>16.6303533723</v>
      </c>
      <c r="H267" s="217">
        <v>40.574233999999997</v>
      </c>
    </row>
    <row r="268" spans="1:8">
      <c r="A268" s="53">
        <f t="shared" si="2"/>
        <v>2019.07</v>
      </c>
      <c r="B268" s="1318">
        <v>45.667991999999998</v>
      </c>
      <c r="C268" s="615">
        <v>46.286369000000001</v>
      </c>
      <c r="D268" s="2970">
        <v>42.519252999999999</v>
      </c>
      <c r="E268" s="615">
        <v>45.966042368029996</v>
      </c>
      <c r="F268" s="3535">
        <v>65.880499818849998</v>
      </c>
      <c r="G268" s="358">
        <v>20.683087264539999</v>
      </c>
      <c r="H268" s="217">
        <v>44.176544</v>
      </c>
    </row>
    <row r="269" spans="1:8">
      <c r="A269" s="53">
        <f t="shared" si="2"/>
        <v>2019.08</v>
      </c>
      <c r="B269" s="1318">
        <v>44.93927</v>
      </c>
      <c r="C269" s="615">
        <v>41.653903999999997</v>
      </c>
      <c r="D269" s="2970">
        <v>41.065575000000003</v>
      </c>
      <c r="E269" s="615">
        <v>45.791345218870006</v>
      </c>
      <c r="F269" s="3535">
        <v>61.450769948439998</v>
      </c>
      <c r="G269" s="358">
        <v>18.34639094892</v>
      </c>
      <c r="H269" s="217">
        <v>41.862834999999997</v>
      </c>
    </row>
    <row r="270" spans="1:8">
      <c r="A270" s="53">
        <f t="shared" si="2"/>
        <v>2019.09</v>
      </c>
      <c r="B270" s="1318">
        <v>44.421768</v>
      </c>
      <c r="C270" s="615">
        <v>42.928134999999997</v>
      </c>
      <c r="D270" s="2970">
        <v>40.919159000000001</v>
      </c>
      <c r="E270" s="615">
        <v>45.74966665625</v>
      </c>
      <c r="F270" s="3535">
        <v>63.721702301820002</v>
      </c>
      <c r="G270" s="358">
        <v>16.808487104599998</v>
      </c>
      <c r="H270" s="217">
        <v>42.093285000000002</v>
      </c>
    </row>
    <row r="271" spans="1:8">
      <c r="A271" s="53">
        <f t="shared" si="2"/>
        <v>2019.1</v>
      </c>
      <c r="B271" s="1318">
        <v>42.237904</v>
      </c>
      <c r="C271" s="615">
        <v>44.928097000000001</v>
      </c>
      <c r="D271" s="2970">
        <v>43.566772</v>
      </c>
      <c r="E271" s="615">
        <v>46.468533439639998</v>
      </c>
      <c r="F271" s="3535">
        <v>67.091704852790002</v>
      </c>
      <c r="G271" s="358">
        <v>17.756998565469999</v>
      </c>
      <c r="H271" s="217">
        <v>43.772410999999998</v>
      </c>
    </row>
    <row r="272" spans="1:8">
      <c r="A272" s="53">
        <f t="shared" si="2"/>
        <v>2019.11</v>
      </c>
      <c r="B272" s="1318">
        <v>39.676113000000001</v>
      </c>
      <c r="C272" s="615">
        <v>40.201324</v>
      </c>
      <c r="D272" s="2970">
        <v>42.519252999999999</v>
      </c>
      <c r="E272" s="615">
        <v>45.393638142370001</v>
      </c>
      <c r="F272" s="3535">
        <v>61.23419997021</v>
      </c>
      <c r="G272" s="358">
        <v>17.435774606159999</v>
      </c>
      <c r="H272" s="217">
        <v>41.354537999999998</v>
      </c>
    </row>
    <row r="273" spans="1:8">
      <c r="A273" s="53">
        <f t="shared" si="2"/>
        <v>2019.12</v>
      </c>
      <c r="B273" s="1318">
        <v>42.105263000000001</v>
      </c>
      <c r="C273" s="615">
        <v>43.087265000000002</v>
      </c>
      <c r="D273" s="2970">
        <v>41.996699999999997</v>
      </c>
      <c r="E273" s="615">
        <v>46.855713758210001</v>
      </c>
      <c r="F273" s="3535">
        <v>63.13516935869999</v>
      </c>
      <c r="G273" s="358">
        <v>17.05389291937</v>
      </c>
      <c r="H273" s="217">
        <v>42.348258999999999</v>
      </c>
    </row>
    <row r="274" spans="1:8">
      <c r="A274" s="53">
        <f t="shared" si="2"/>
        <v>2020.01</v>
      </c>
      <c r="B274" s="1318">
        <v>40.442180999999998</v>
      </c>
      <c r="C274" s="615">
        <v>42.431190000000001</v>
      </c>
      <c r="D274" s="2970">
        <v>44.155845999999997</v>
      </c>
      <c r="E274" s="615">
        <v>48.997988772369993</v>
      </c>
      <c r="F274" s="3535">
        <v>62.108874201580001</v>
      </c>
      <c r="G274" s="358">
        <v>17.996636558379997</v>
      </c>
      <c r="H274" s="217">
        <v>43.034500000000001</v>
      </c>
    </row>
    <row r="275" spans="1:8">
      <c r="A275" s="53">
        <f t="shared" si="2"/>
        <v>2020.02</v>
      </c>
      <c r="B275" s="1318">
        <v>38.911288999999996</v>
      </c>
      <c r="C275" s="615">
        <v>39.283893999999997</v>
      </c>
      <c r="D275" s="2970">
        <v>45.861111000000001</v>
      </c>
      <c r="E275" s="615">
        <v>50.314045111980001</v>
      </c>
      <c r="F275" s="3535">
        <v>59.012524569599996</v>
      </c>
      <c r="G275" s="358">
        <v>18.878411092269999</v>
      </c>
      <c r="H275" s="217">
        <v>42.734993000000003</v>
      </c>
    </row>
    <row r="276" spans="1:8">
      <c r="A276" s="53">
        <f t="shared" si="2"/>
        <v>2020.03</v>
      </c>
      <c r="B276" s="1318">
        <v>38.642474999999997</v>
      </c>
      <c r="C276" s="615">
        <v>39.513252000000001</v>
      </c>
      <c r="D276" s="2970">
        <v>42.991168999999999</v>
      </c>
      <c r="E276" s="615">
        <v>49.341675772789998</v>
      </c>
      <c r="F276" s="3535">
        <v>56.52406079344</v>
      </c>
      <c r="G276" s="358">
        <v>17.826097415020001</v>
      </c>
      <c r="H276" s="217">
        <v>41.230609999999999</v>
      </c>
    </row>
    <row r="277" spans="1:8">
      <c r="A277" s="53">
        <f t="shared" si="2"/>
        <v>2020.04</v>
      </c>
      <c r="B277" s="1318">
        <v>36.220474000000003</v>
      </c>
      <c r="C277" s="615">
        <v>38.880329000000003</v>
      </c>
      <c r="D277" s="2970">
        <v>40.416668000000001</v>
      </c>
      <c r="E277" s="615">
        <v>52.276134378279991</v>
      </c>
      <c r="F277" s="3535">
        <v>57.549850900669995</v>
      </c>
      <c r="G277" s="358">
        <v>8.0028556216700011</v>
      </c>
      <c r="H277" s="217">
        <v>39.276279000000002</v>
      </c>
    </row>
    <row r="278" spans="1:8">
      <c r="A278" s="53">
        <f t="shared" si="2"/>
        <v>2020.05</v>
      </c>
      <c r="B278" s="1318">
        <v>36.276454999999999</v>
      </c>
      <c r="C278" s="615">
        <v>38.706806</v>
      </c>
      <c r="D278" s="2970">
        <v>38.888888999999999</v>
      </c>
      <c r="E278" s="615">
        <v>46.812932941649997</v>
      </c>
      <c r="F278" s="3535">
        <v>53.382233147439997</v>
      </c>
      <c r="G278" s="358">
        <v>15.054136909049999</v>
      </c>
      <c r="H278" s="217">
        <v>38.416435</v>
      </c>
    </row>
    <row r="279" spans="1:8">
      <c r="A279" s="53">
        <f t="shared" si="2"/>
        <v>2020.06</v>
      </c>
      <c r="B279" s="1318">
        <v>41.531165999999999</v>
      </c>
      <c r="C279" s="615">
        <v>37.996941</v>
      </c>
      <c r="D279" s="2970">
        <v>39.700996000000004</v>
      </c>
      <c r="E279" s="615">
        <v>44.658682041549994</v>
      </c>
      <c r="F279" s="3535">
        <v>52.602156481159994</v>
      </c>
      <c r="G279" s="358">
        <v>21.146782402079999</v>
      </c>
      <c r="H279" s="217">
        <v>39.469208000000002</v>
      </c>
    </row>
    <row r="280" spans="1:8">
      <c r="A280" s="53">
        <f t="shared" si="2"/>
        <v>2020.07</v>
      </c>
      <c r="B280" s="1318">
        <v>40.763053999999997</v>
      </c>
      <c r="C280" s="615">
        <v>39.397433999999997</v>
      </c>
      <c r="D280" s="2970">
        <v>36.716171000000003</v>
      </c>
      <c r="E280" s="615">
        <v>42.095872620000009</v>
      </c>
      <c r="F280" s="3535">
        <v>50.408116438250005</v>
      </c>
      <c r="G280" s="358">
        <v>22.046107245350001</v>
      </c>
      <c r="H280" s="217">
        <v>38.183365000000002</v>
      </c>
    </row>
    <row r="281" spans="1:8">
      <c r="A281" s="53">
        <f t="shared" si="2"/>
        <v>2020.08</v>
      </c>
      <c r="B281" s="1318">
        <v>44.708995999999999</v>
      </c>
      <c r="C281" s="615">
        <v>41.243591000000002</v>
      </c>
      <c r="D281" s="2970">
        <v>40.342162999999999</v>
      </c>
      <c r="E281" s="615">
        <v>45.438716546820004</v>
      </c>
      <c r="F281" s="3535">
        <v>52.289190333709996</v>
      </c>
      <c r="G281" s="358">
        <v>26.214325600870001</v>
      </c>
      <c r="H281" s="217">
        <v>41.314079</v>
      </c>
    </row>
    <row r="282" spans="1:8">
      <c r="A282" s="53">
        <f t="shared" si="2"/>
        <v>2020.09</v>
      </c>
      <c r="B282" s="1318">
        <v>38.446213</v>
      </c>
      <c r="C282" s="615">
        <v>39.111454000000002</v>
      </c>
      <c r="D282" s="2970">
        <v>41.555923</v>
      </c>
      <c r="E282" s="615">
        <v>44.96872245198</v>
      </c>
      <c r="F282" s="3535">
        <v>50.831800140050007</v>
      </c>
      <c r="G282" s="358">
        <v>25.12922759576</v>
      </c>
      <c r="H282" s="217">
        <v>40.309916999999999</v>
      </c>
    </row>
    <row r="283" spans="1:8">
      <c r="A283" s="53">
        <f t="shared" si="2"/>
        <v>2020.1</v>
      </c>
      <c r="B283" s="1318">
        <v>40.376984</v>
      </c>
      <c r="C283" s="615">
        <v>36.406894999999999</v>
      </c>
      <c r="D283" s="2970">
        <v>39.762690999999997</v>
      </c>
      <c r="E283" s="615">
        <v>40.749706459739997</v>
      </c>
      <c r="F283" s="3535">
        <v>46.848375587690001</v>
      </c>
      <c r="G283" s="358">
        <v>28.892808034439998</v>
      </c>
      <c r="H283" s="217">
        <v>38.830295999999997</v>
      </c>
    </row>
    <row r="284" spans="1:8">
      <c r="A284" s="53">
        <f t="shared" si="2"/>
        <v>2020.11</v>
      </c>
      <c r="B284" s="1318">
        <v>40.866669000000002</v>
      </c>
      <c r="C284" s="615">
        <v>39.519032000000003</v>
      </c>
      <c r="D284" s="2970">
        <v>41.639256000000003</v>
      </c>
      <c r="E284" s="615">
        <v>43.789939915619996</v>
      </c>
      <c r="F284" s="3535">
        <v>49.728802860529996</v>
      </c>
      <c r="G284" s="358">
        <v>29.076506127029997</v>
      </c>
      <c r="H284" s="217">
        <v>40.865082000000001</v>
      </c>
    </row>
    <row r="285" spans="1:8">
      <c r="A285" s="53">
        <f t="shared" si="2"/>
        <v>2020.12</v>
      </c>
      <c r="B285" s="1318">
        <v>39.756259999999997</v>
      </c>
      <c r="C285" s="615">
        <v>38.549717000000001</v>
      </c>
      <c r="D285" s="2970">
        <v>39.631461999999999</v>
      </c>
      <c r="E285" s="615">
        <v>41.204636982020006</v>
      </c>
      <c r="F285" s="3535">
        <v>47.821677183779997</v>
      </c>
      <c r="G285" s="358">
        <v>28.930598473450001</v>
      </c>
      <c r="H285" s="217">
        <v>39.31897</v>
      </c>
    </row>
    <row r="286" spans="1:8">
      <c r="A286" s="53">
        <f t="shared" si="2"/>
        <v>2021.01</v>
      </c>
      <c r="B286" s="1318">
        <v>36.909450999999997</v>
      </c>
      <c r="C286" s="615">
        <v>36.566203999999999</v>
      </c>
      <c r="D286" s="2970">
        <v>39.527779000000002</v>
      </c>
      <c r="E286" s="615">
        <v>40.847265291260001</v>
      </c>
      <c r="F286" s="3535">
        <v>46.201903917910002</v>
      </c>
      <c r="G286" s="358">
        <v>27.554969257049997</v>
      </c>
      <c r="H286" s="217">
        <v>38.201382000000002</v>
      </c>
    </row>
    <row r="287" spans="1:8">
      <c r="A287" s="53">
        <f t="shared" si="2"/>
        <v>2021.02</v>
      </c>
      <c r="B287" s="1318">
        <v>38.118487999999999</v>
      </c>
      <c r="C287" s="615">
        <v>35.647427</v>
      </c>
      <c r="D287" s="2970">
        <v>38.879871000000001</v>
      </c>
      <c r="E287" s="615">
        <v>41.099406800799997</v>
      </c>
      <c r="F287" s="3535">
        <v>43.347487370259998</v>
      </c>
      <c r="G287" s="358">
        <v>28.851648098869997</v>
      </c>
      <c r="H287" s="217">
        <v>37.766182000000001</v>
      </c>
    </row>
    <row r="288" spans="1:8">
      <c r="A288" s="53">
        <f t="shared" si="2"/>
        <v>2021.03</v>
      </c>
      <c r="B288" s="1318">
        <v>36.764705999999997</v>
      </c>
      <c r="C288" s="615">
        <v>36.210472000000003</v>
      </c>
      <c r="D288" s="2970">
        <v>39.762695000000001</v>
      </c>
      <c r="E288" s="615">
        <v>43.188147749199999</v>
      </c>
      <c r="F288" s="3535">
        <v>44.40126909704999</v>
      </c>
      <c r="G288" s="358">
        <v>26.99421873108</v>
      </c>
      <c r="H288" s="217">
        <v>38.194546000000003</v>
      </c>
    </row>
    <row r="289" spans="1:8">
      <c r="A289" s="53">
        <f t="shared" si="2"/>
        <v>2021.04</v>
      </c>
      <c r="B289" s="1318">
        <v>37.599997999999999</v>
      </c>
      <c r="C289" s="615">
        <v>32.686337000000002</v>
      </c>
      <c r="D289" s="2970">
        <v>36.182792999999997</v>
      </c>
      <c r="E289" s="615">
        <v>40.253147065090005</v>
      </c>
      <c r="F289" s="3535">
        <v>41.800343414819999</v>
      </c>
      <c r="G289" s="358">
        <v>23.95204822126</v>
      </c>
      <c r="H289" s="217">
        <v>35.335177999999999</v>
      </c>
    </row>
    <row r="290" spans="1:8">
      <c r="A290" s="53">
        <f t="shared" si="2"/>
        <v>2021.05</v>
      </c>
      <c r="B290" s="1318">
        <v>35.786288999999996</v>
      </c>
      <c r="C290" s="615">
        <v>35.394264</v>
      </c>
      <c r="D290" s="2970">
        <v>35.354374</v>
      </c>
      <c r="E290" s="615">
        <v>40.172802767760004</v>
      </c>
      <c r="F290" s="3535">
        <v>42.285388952890003</v>
      </c>
      <c r="G290" s="358">
        <v>23.847023322079998</v>
      </c>
      <c r="H290" s="217">
        <v>35.435070000000003</v>
      </c>
    </row>
    <row r="291" spans="1:8">
      <c r="A291" s="53">
        <f t="shared" si="2"/>
        <v>2021.06</v>
      </c>
      <c r="B291" s="1318">
        <v>35.629921000000003</v>
      </c>
      <c r="C291" s="615">
        <v>34.361980000000003</v>
      </c>
      <c r="D291" s="2970">
        <v>34.500542000000003</v>
      </c>
      <c r="E291" s="615">
        <v>38.932626358150003</v>
      </c>
      <c r="F291" s="3535">
        <v>43.426533991680003</v>
      </c>
      <c r="G291" s="358">
        <v>21.553626280769997</v>
      </c>
      <c r="H291" s="217">
        <v>34.637596000000002</v>
      </c>
    </row>
    <row r="292" spans="1:8">
      <c r="A292" s="53">
        <f t="shared" si="2"/>
        <v>2021.07</v>
      </c>
      <c r="B292" s="1318">
        <v>39.233333999999999</v>
      </c>
      <c r="C292" s="615">
        <v>35.346153000000001</v>
      </c>
      <c r="D292" s="2970">
        <v>38.898116999999999</v>
      </c>
      <c r="E292" s="615">
        <v>42.357486296909997</v>
      </c>
      <c r="F292" s="3535">
        <v>44.640862742080003</v>
      </c>
      <c r="G292" s="358">
        <v>26.584860387909998</v>
      </c>
      <c r="H292" s="217">
        <v>37.861069000000001</v>
      </c>
    </row>
    <row r="293" spans="1:8">
      <c r="A293" s="53">
        <f t="shared" si="2"/>
        <v>2021.08</v>
      </c>
      <c r="B293" s="1318">
        <v>37.757201999999999</v>
      </c>
      <c r="C293" s="615">
        <v>39.302146999999998</v>
      </c>
      <c r="D293" s="2970">
        <v>40.628418000000003</v>
      </c>
      <c r="E293" s="615">
        <v>44.860837492089999</v>
      </c>
      <c r="F293" s="3535">
        <v>45.081984665489998</v>
      </c>
      <c r="G293" s="358">
        <v>29.347911886119999</v>
      </c>
      <c r="H293" s="217">
        <v>39.763579999999997</v>
      </c>
    </row>
    <row r="294" spans="1:8">
      <c r="A294" s="53">
        <f t="shared" si="2"/>
        <v>2021.09</v>
      </c>
      <c r="B294" s="1318">
        <v>38.466667000000001</v>
      </c>
      <c r="C294" s="615">
        <v>40.144356000000002</v>
      </c>
      <c r="D294" s="2970">
        <v>41.349204999999998</v>
      </c>
      <c r="E294" s="615">
        <v>43.923250318130002</v>
      </c>
      <c r="F294" s="3535">
        <v>46.937122948549998</v>
      </c>
      <c r="G294" s="358">
        <v>30.699083836470002</v>
      </c>
      <c r="H294" s="217">
        <v>40.519817000000003</v>
      </c>
    </row>
    <row r="295" spans="1:8">
      <c r="A295" s="53">
        <f t="shared" si="2"/>
        <v>2021.1</v>
      </c>
      <c r="B295" s="1318">
        <v>40.176150999999997</v>
      </c>
      <c r="C295" s="615">
        <v>39.166668000000001</v>
      </c>
      <c r="D295" s="2970">
        <v>40.822071000000001</v>
      </c>
      <c r="E295" s="615">
        <v>43.502503906219999</v>
      </c>
      <c r="F295" s="3535">
        <v>46.944183764190001</v>
      </c>
      <c r="G295" s="358">
        <v>30.185515173600002</v>
      </c>
      <c r="H295" s="217">
        <v>40.210735</v>
      </c>
    </row>
    <row r="296" spans="1:8">
      <c r="A296" s="53">
        <f t="shared" si="2"/>
        <v>2021.11</v>
      </c>
      <c r="B296" s="1318">
        <v>40.021008000000002</v>
      </c>
      <c r="C296" s="615">
        <v>39.365200000000002</v>
      </c>
      <c r="D296" s="2970">
        <v>39.781421999999999</v>
      </c>
      <c r="E296" s="615">
        <v>43.737790604589996</v>
      </c>
      <c r="F296" s="3535">
        <v>44.058732260469995</v>
      </c>
      <c r="G296" s="358">
        <v>31.277853693600001</v>
      </c>
      <c r="H296" s="217">
        <v>39.691459999999999</v>
      </c>
    </row>
    <row r="297" spans="1:8">
      <c r="A297" s="53">
        <f t="shared" si="2"/>
        <v>2021.12</v>
      </c>
      <c r="B297" s="1318">
        <v>38.739669999999997</v>
      </c>
      <c r="C297" s="615">
        <v>37.628998000000003</v>
      </c>
      <c r="D297" s="2970">
        <v>37.553417000000003</v>
      </c>
      <c r="E297" s="615">
        <v>42.748564032329995</v>
      </c>
      <c r="F297" s="3535">
        <v>41.040785934089996</v>
      </c>
      <c r="G297" s="358">
        <v>29.506307235579996</v>
      </c>
      <c r="H297" s="217">
        <v>37.765217</v>
      </c>
    </row>
    <row r="298" spans="1:8">
      <c r="A298" s="53">
        <f t="shared" si="2"/>
        <v>2022.01</v>
      </c>
      <c r="B298" s="1318">
        <v>40.997321999999997</v>
      </c>
      <c r="C298" s="615">
        <v>38.888888999999999</v>
      </c>
      <c r="D298" s="2970">
        <v>40.604027000000002</v>
      </c>
      <c r="E298" s="615">
        <v>45.043856483330003</v>
      </c>
      <c r="F298" s="3535">
        <v>42.95802044789</v>
      </c>
      <c r="G298" s="358">
        <v>32.417879153130002</v>
      </c>
      <c r="H298" s="217">
        <v>40.139918999999999</v>
      </c>
    </row>
    <row r="299" spans="1:8">
      <c r="A299" s="53">
        <f t="shared" si="2"/>
        <v>2022.02</v>
      </c>
      <c r="B299" s="1318">
        <v>40.71</v>
      </c>
      <c r="C299" s="615">
        <v>38.11</v>
      </c>
      <c r="D299" s="2970">
        <v>39.799999999999997</v>
      </c>
      <c r="E299" s="615">
        <v>44.069286976180003</v>
      </c>
      <c r="F299" s="3535">
        <v>40.644060174179998</v>
      </c>
      <c r="G299" s="358">
        <v>33.565491020140001</v>
      </c>
      <c r="H299" s="217">
        <v>39.426281000000003</v>
      </c>
    </row>
    <row r="300" spans="1:8">
      <c r="A300" s="53">
        <f t="shared" si="2"/>
        <v>2022.03</v>
      </c>
      <c r="B300" s="1318">
        <v>37.959316000000001</v>
      </c>
      <c r="C300" s="615">
        <v>36.16798</v>
      </c>
      <c r="D300" s="2970">
        <v>37.031081999999998</v>
      </c>
      <c r="E300" s="615">
        <v>42.730970481119996</v>
      </c>
      <c r="F300" s="3535">
        <v>37.343528218359999</v>
      </c>
      <c r="G300" s="358">
        <v>30.666636922549998</v>
      </c>
      <c r="H300" s="217">
        <v>36.913711999999997</v>
      </c>
    </row>
    <row r="301" spans="1:8">
      <c r="A301" s="53">
        <f t="shared" si="2"/>
        <v>2022.04</v>
      </c>
      <c r="B301" s="1318">
        <v>40.97</v>
      </c>
      <c r="C301" s="615">
        <v>34.61</v>
      </c>
      <c r="D301" s="2970">
        <v>34.78</v>
      </c>
      <c r="E301" s="615">
        <v>40.326010602639997</v>
      </c>
      <c r="F301" s="3535">
        <v>40.25571820527</v>
      </c>
      <c r="G301" s="358">
        <v>26.566497528520003</v>
      </c>
      <c r="H301" s="217">
        <v>35.716076000000001</v>
      </c>
    </row>
    <row r="302" spans="1:8">
      <c r="A302" s="53">
        <f t="shared" si="2"/>
        <v>2022.05</v>
      </c>
      <c r="B302" s="1318">
        <v>35.578387999999997</v>
      </c>
      <c r="C302" s="615">
        <v>36.623932000000003</v>
      </c>
      <c r="D302" s="2970">
        <v>36.330936000000001</v>
      </c>
      <c r="E302" s="615">
        <v>40.159999999999997</v>
      </c>
      <c r="F302" s="3535">
        <v>39.15</v>
      </c>
      <c r="G302" s="358">
        <v>29.59</v>
      </c>
      <c r="H302" s="217">
        <v>36.299999999999997</v>
      </c>
    </row>
    <row r="303" spans="1:8">
      <c r="A303" s="53">
        <f t="shared" si="2"/>
        <v>2022.06</v>
      </c>
      <c r="B303" s="1318">
        <v>40.381428</v>
      </c>
      <c r="C303" s="615">
        <v>37.417000000000002</v>
      </c>
      <c r="D303" s="2970">
        <v>39.672131</v>
      </c>
      <c r="E303" s="615">
        <v>42.228374948519999</v>
      </c>
      <c r="F303" s="3535">
        <v>41.736015662859998</v>
      </c>
      <c r="G303" s="358">
        <v>33.313572683540002</v>
      </c>
      <c r="H303" s="217">
        <v>39.092655000000001</v>
      </c>
    </row>
    <row r="304" spans="1:8">
      <c r="A304" s="53">
        <f t="shared" si="2"/>
        <v>2022.07</v>
      </c>
      <c r="B304" s="1318">
        <v>38.385147000000003</v>
      </c>
      <c r="C304" s="615">
        <v>31.653224999999999</v>
      </c>
      <c r="D304" s="2970">
        <v>35.435661000000003</v>
      </c>
      <c r="E304" s="615">
        <v>37.926883019330006</v>
      </c>
      <c r="F304" s="3535">
        <v>39.598948236849999</v>
      </c>
      <c r="G304" s="358">
        <v>26.707365153410002</v>
      </c>
      <c r="H304" s="217">
        <v>34.744396000000002</v>
      </c>
    </row>
    <row r="305" spans="1:8">
      <c r="A305" s="53">
        <f t="shared" si="2"/>
        <v>2022.08</v>
      </c>
      <c r="B305" s="1318">
        <v>38.945576000000003</v>
      </c>
      <c r="C305" s="615">
        <v>36.586987000000001</v>
      </c>
      <c r="D305" s="2970">
        <v>36.743675000000003</v>
      </c>
      <c r="E305" s="615">
        <v>38.447255783339997</v>
      </c>
      <c r="F305" s="3535">
        <v>44.842289697459996</v>
      </c>
      <c r="G305" s="358">
        <v>27.848471155029998</v>
      </c>
      <c r="H305" s="217">
        <v>37.046005000000001</v>
      </c>
    </row>
    <row r="306" spans="1:8">
      <c r="A306" s="53">
        <f t="shared" si="2"/>
        <v>2022.09</v>
      </c>
      <c r="B306" s="1318">
        <v>36.208331999999999</v>
      </c>
      <c r="C306" s="615">
        <v>36.061508000000003</v>
      </c>
      <c r="D306" s="2970">
        <v>38.131312999999999</v>
      </c>
      <c r="E306" s="615">
        <v>38.729537494310001</v>
      </c>
      <c r="F306" s="3535">
        <v>44.977301135359994</v>
      </c>
      <c r="G306" s="358">
        <v>27.861299923290002</v>
      </c>
      <c r="H306" s="217">
        <v>37.189380999999997</v>
      </c>
    </row>
    <row r="307" spans="1:8">
      <c r="A307" s="53">
        <f t="shared" si="2"/>
        <v>2022.1</v>
      </c>
      <c r="B307" s="1318">
        <v>37.458331999999999</v>
      </c>
      <c r="C307" s="615">
        <v>34.656086000000002</v>
      </c>
      <c r="D307" s="2970">
        <v>35.682327000000001</v>
      </c>
      <c r="E307" s="615">
        <v>38.270086818979998</v>
      </c>
      <c r="F307" s="3535">
        <v>42.093139943760001</v>
      </c>
      <c r="G307" s="358">
        <v>26.58666109288</v>
      </c>
      <c r="H307" s="217">
        <v>35.649963</v>
      </c>
    </row>
    <row r="308" spans="1:8">
      <c r="A308" s="53">
        <f t="shared" si="2"/>
        <v>2022.11</v>
      </c>
      <c r="B308" s="1318">
        <v>34.045226999999997</v>
      </c>
      <c r="C308" s="615">
        <v>34.266666000000001</v>
      </c>
      <c r="D308" s="2970">
        <v>35.982337999999999</v>
      </c>
      <c r="E308" s="615">
        <v>37.241538201210005</v>
      </c>
      <c r="F308" s="3535">
        <v>41.727465110300002</v>
      </c>
      <c r="G308" s="358">
        <v>26.471561288899998</v>
      </c>
      <c r="H308" s="217">
        <v>35.146853999999998</v>
      </c>
    </row>
    <row r="309" spans="1:8">
      <c r="A309" s="53">
        <f t="shared" si="2"/>
        <v>2022.12</v>
      </c>
      <c r="B309" s="1318">
        <v>39.23077</v>
      </c>
      <c r="C309" s="615">
        <v>35.921222999999998</v>
      </c>
      <c r="D309" s="2970">
        <v>34.904601999999997</v>
      </c>
      <c r="E309" s="615">
        <v>40.062394240879996</v>
      </c>
      <c r="F309" s="3535">
        <v>40.266625770250002</v>
      </c>
      <c r="G309" s="358">
        <v>27.387317325310001</v>
      </c>
      <c r="H309" s="217">
        <v>35.905445</v>
      </c>
    </row>
    <row r="310" spans="1:8">
      <c r="A310" s="53">
        <f t="shared" si="2"/>
        <v>2023.01</v>
      </c>
      <c r="B310" s="1318">
        <v>38.770000000000003</v>
      </c>
      <c r="C310" s="615">
        <v>38.119999999999997</v>
      </c>
      <c r="D310" s="2970">
        <v>38.68</v>
      </c>
      <c r="E310" s="615">
        <v>40.916738594350001</v>
      </c>
      <c r="F310" s="3535">
        <v>44.60950216298</v>
      </c>
      <c r="G310" s="358">
        <v>30.033094473200002</v>
      </c>
      <c r="H310" s="217">
        <v>38.519779</v>
      </c>
    </row>
    <row r="311" spans="1:8">
      <c r="A311" s="53">
        <f t="shared" si="2"/>
        <v>2023.02</v>
      </c>
      <c r="B311" s="1318">
        <v>35.78</v>
      </c>
      <c r="C311" s="615">
        <v>37.06</v>
      </c>
      <c r="D311" s="2970">
        <v>35.799999999999997</v>
      </c>
      <c r="E311" s="615">
        <v>39.25</v>
      </c>
      <c r="F311" s="3535">
        <v>41.4</v>
      </c>
      <c r="G311" s="358">
        <v>27.89</v>
      </c>
      <c r="H311" s="217">
        <v>36.18</v>
      </c>
    </row>
    <row r="312" spans="1:8">
      <c r="A312" s="53">
        <f t="shared" si="2"/>
        <v>2023.03</v>
      </c>
      <c r="B312" s="1318">
        <v>39.729999999999997</v>
      </c>
      <c r="C312" s="615">
        <v>37.28</v>
      </c>
      <c r="D312" s="2970">
        <v>38.26</v>
      </c>
      <c r="E312" s="615">
        <v>40.576984851459997</v>
      </c>
      <c r="F312" s="3535">
        <v>44.426074624290003</v>
      </c>
      <c r="G312" s="358">
        <v>29.576785807649998</v>
      </c>
      <c r="H312" s="217">
        <v>38.193283000000001</v>
      </c>
    </row>
    <row r="313" spans="1:8">
      <c r="A313" s="53">
        <f t="shared" si="2"/>
        <v>2023.04</v>
      </c>
      <c r="B313" s="1318">
        <v>36.880341000000001</v>
      </c>
      <c r="C313" s="615">
        <v>38.585858000000002</v>
      </c>
      <c r="D313" s="2970">
        <v>36.280814499999998</v>
      </c>
      <c r="E313" s="615">
        <v>40.542368428549999</v>
      </c>
      <c r="F313" s="3535">
        <v>44.663171040270001</v>
      </c>
      <c r="G313" s="358">
        <v>26.044533120500002</v>
      </c>
      <c r="H313" s="217">
        <v>37.083359000000002</v>
      </c>
    </row>
    <row r="314" spans="1:8">
      <c r="A314" s="53">
        <f t="shared" si="2"/>
        <v>2023.05</v>
      </c>
      <c r="B314" s="1318">
        <v>38.525306999999998</v>
      </c>
      <c r="C314" s="615">
        <v>38.704425999999998</v>
      </c>
      <c r="D314" s="2970">
        <v>38.022598000000002</v>
      </c>
      <c r="E314" s="615">
        <v>39.139068863440002</v>
      </c>
      <c r="F314" s="3535">
        <v>49.113208055079994</v>
      </c>
      <c r="G314" s="358">
        <v>26.682377653049997</v>
      </c>
      <c r="H314" s="217">
        <v>38.311549999999997</v>
      </c>
    </row>
    <row r="315" spans="1:8">
      <c r="A315" s="53">
        <f t="shared" si="2"/>
        <v>2023.06</v>
      </c>
      <c r="B315" s="1318">
        <v>42.25</v>
      </c>
      <c r="C315" s="615">
        <v>40.888888999999999</v>
      </c>
      <c r="D315" s="2970">
        <v>42.166668000000001</v>
      </c>
      <c r="E315" s="615">
        <v>42.021108871050004</v>
      </c>
      <c r="F315" s="3535">
        <v>51.671038703809998</v>
      </c>
      <c r="G315" s="358">
        <v>31.670003667659998</v>
      </c>
      <c r="H315" s="217">
        <v>41.787384000000003</v>
      </c>
    </row>
    <row r="316" spans="1:8">
      <c r="A316" s="53">
        <f t="shared" si="2"/>
        <v>2023.07</v>
      </c>
      <c r="B316" s="1318">
        <v>43.39378</v>
      </c>
      <c r="C316" s="615">
        <v>43.320613999999999</v>
      </c>
      <c r="D316" s="2970">
        <v>43.757159999999999</v>
      </c>
      <c r="E316" s="615">
        <v>45.02334934177</v>
      </c>
      <c r="F316" s="3535">
        <v>52.74086049276</v>
      </c>
      <c r="G316" s="358">
        <v>32.93037169182</v>
      </c>
      <c r="H316" s="217">
        <v>43.564861000000001</v>
      </c>
    </row>
    <row r="317" spans="1:8">
      <c r="A317" s="53">
        <f t="shared" si="2"/>
        <v>2023.08</v>
      </c>
      <c r="B317" s="1318">
        <v>46.134022000000002</v>
      </c>
      <c r="C317" s="615">
        <v>43.413460000000001</v>
      </c>
      <c r="D317" s="2970">
        <v>43.822842000000001</v>
      </c>
      <c r="E317" s="615">
        <v>45.389454817819995</v>
      </c>
      <c r="F317" s="3535">
        <v>55.23894202983</v>
      </c>
      <c r="G317" s="358">
        <v>31.566493441270001</v>
      </c>
      <c r="H317" s="217">
        <v>44.064959999999999</v>
      </c>
    </row>
    <row r="318" spans="1:8">
      <c r="A318" s="53">
        <f t="shared" si="2"/>
        <v>2023.09</v>
      </c>
      <c r="B318" s="1318">
        <v>42.869872999999998</v>
      </c>
      <c r="C318" s="615">
        <v>42.562378000000002</v>
      </c>
      <c r="D318" s="2970">
        <v>44.006847</v>
      </c>
      <c r="E318" s="615">
        <v>43.770584111049999</v>
      </c>
      <c r="F318" s="3535">
        <v>57.456907339560004</v>
      </c>
      <c r="G318" s="358">
        <v>28.918460619679998</v>
      </c>
      <c r="H318" s="217">
        <v>43.381981000000003</v>
      </c>
    </row>
    <row r="319" spans="1:8">
      <c r="A319" s="53">
        <f t="shared" si="2"/>
        <v>2023.1</v>
      </c>
      <c r="B319" s="1318">
        <v>44.127808000000002</v>
      </c>
      <c r="C319" s="615">
        <v>44.685040000000001</v>
      </c>
      <c r="D319" s="2970">
        <v>45.652172</v>
      </c>
      <c r="E319" s="615">
        <v>44.181406386980001</v>
      </c>
      <c r="F319" s="3535">
        <v>56.752928789869998</v>
      </c>
      <c r="G319" s="358">
        <v>34.401863584750004</v>
      </c>
      <c r="H319" s="217">
        <v>45.112063999999997</v>
      </c>
    </row>
    <row r="320" spans="1:8">
      <c r="A320" s="53">
        <f t="shared" si="2"/>
        <v>2023.11</v>
      </c>
      <c r="B320" s="1318">
        <v>46.771377999999999</v>
      </c>
      <c r="C320" s="615">
        <v>46.712688</v>
      </c>
      <c r="D320" s="2970">
        <v>48.184818</v>
      </c>
      <c r="E320" s="615">
        <v>46.738756484870002</v>
      </c>
      <c r="F320" s="3535">
        <v>63.716745601970004</v>
      </c>
      <c r="G320" s="358">
        <v>32.06663744918</v>
      </c>
      <c r="H320" s="217">
        <v>47.507378000000003</v>
      </c>
    </row>
    <row r="321" spans="1:8">
      <c r="A321" s="53">
        <f t="shared" si="2"/>
        <v>2023.12</v>
      </c>
      <c r="B321" s="1318">
        <v>40.441177000000003</v>
      </c>
      <c r="C321" s="615">
        <v>42.236328</v>
      </c>
      <c r="D321" s="2970">
        <v>38.225254</v>
      </c>
      <c r="E321" s="615">
        <v>42.24321064131</v>
      </c>
      <c r="F321" s="3535">
        <v>59.457057116439998</v>
      </c>
      <c r="G321" s="358">
        <v>17.726281358069997</v>
      </c>
      <c r="H321" s="217">
        <v>39.808849000000002</v>
      </c>
    </row>
    <row r="322" spans="1:8">
      <c r="A322" s="53">
        <f t="shared" ref="A322:A385" si="3">A310+1</f>
        <v>2024.01</v>
      </c>
      <c r="B322" s="1318">
        <v>32.741115999999998</v>
      </c>
      <c r="C322" s="615">
        <v>40.277779000000002</v>
      </c>
      <c r="D322" s="2970">
        <v>33.759956000000003</v>
      </c>
      <c r="E322" s="615">
        <v>39.485709892370004</v>
      </c>
      <c r="F322" s="3535">
        <v>52.642471660230001</v>
      </c>
      <c r="G322" s="358">
        <v>14.664500186209999</v>
      </c>
      <c r="H322" s="217">
        <v>35.597560999999999</v>
      </c>
    </row>
    <row r="323" spans="1:8">
      <c r="A323" s="53">
        <f t="shared" si="3"/>
        <v>2024.02</v>
      </c>
      <c r="B323" s="1318">
        <v>33.758502999999997</v>
      </c>
      <c r="C323" s="615">
        <v>43.058284999999998</v>
      </c>
      <c r="D323" s="2970">
        <v>32.685814000000001</v>
      </c>
      <c r="E323" s="615">
        <v>38.620108426960002</v>
      </c>
      <c r="F323" s="3535">
        <v>52.528890168040007</v>
      </c>
      <c r="G323" s="358">
        <v>16.969751314450001</v>
      </c>
      <c r="H323" s="217">
        <v>36.039585000000002</v>
      </c>
    </row>
    <row r="324" spans="1:8">
      <c r="A324" s="53">
        <f t="shared" si="3"/>
        <v>2024.03</v>
      </c>
      <c r="B324" s="1318">
        <v>36.431064999999997</v>
      </c>
      <c r="C324" s="615">
        <v>41.777569</v>
      </c>
      <c r="D324" s="2970">
        <v>33.825232999999997</v>
      </c>
      <c r="E324" s="615">
        <v>39.685232237609995</v>
      </c>
      <c r="F324" s="3535">
        <v>56.561431838459995</v>
      </c>
      <c r="G324" s="358">
        <v>13.79489933296</v>
      </c>
      <c r="H324" s="217">
        <v>36.680523000000001</v>
      </c>
    </row>
    <row r="325" spans="1:8">
      <c r="A325" s="53">
        <f t="shared" si="3"/>
        <v>2024.04</v>
      </c>
      <c r="B325" s="1318">
        <v>38.451774999999998</v>
      </c>
      <c r="C325" s="615">
        <v>39.479790000000001</v>
      </c>
      <c r="D325" s="2970">
        <v>35.451045999999998</v>
      </c>
      <c r="E325" s="615">
        <v>41.853002212640007</v>
      </c>
      <c r="F325" s="3535">
        <v>56.1424939853</v>
      </c>
      <c r="G325" s="358">
        <v>13.499859375339998</v>
      </c>
      <c r="H325" s="217">
        <v>37.165118999999997</v>
      </c>
    </row>
    <row r="326" spans="1:8">
      <c r="A326" s="53">
        <f t="shared" si="3"/>
        <v>2024.05</v>
      </c>
      <c r="B326" s="1318">
        <v>41.836734999999997</v>
      </c>
      <c r="C326" s="615">
        <v>42.906067</v>
      </c>
      <c r="D326" s="2970">
        <v>34.604519000000003</v>
      </c>
      <c r="E326" s="615">
        <v>41.889973627659998</v>
      </c>
      <c r="F326" s="3535">
        <v>56.35457047301</v>
      </c>
      <c r="G326" s="358">
        <v>16.667453157250002</v>
      </c>
      <c r="H326" s="217">
        <v>38.304001</v>
      </c>
    </row>
    <row r="327" spans="1:8">
      <c r="A327" s="53">
        <f t="shared" si="3"/>
        <v>2024.06</v>
      </c>
      <c r="B327" s="1318">
        <v>35.964911999999998</v>
      </c>
      <c r="C327" s="615">
        <v>44.757514999999998</v>
      </c>
      <c r="D327" s="2970">
        <v>33.278689999999997</v>
      </c>
      <c r="E327" s="615">
        <v>40.913743991730001</v>
      </c>
      <c r="F327" s="3535">
        <v>51.321822114549995</v>
      </c>
      <c r="G327" s="358">
        <v>19.451539131090001</v>
      </c>
      <c r="H327" s="217">
        <v>37.229033999999999</v>
      </c>
    </row>
    <row r="328" spans="1:8">
      <c r="A328" s="53">
        <f t="shared" si="3"/>
        <v>2024.07</v>
      </c>
      <c r="B328" s="1318">
        <v>36.309525000000001</v>
      </c>
      <c r="C328" s="615">
        <v>44.072997999999998</v>
      </c>
      <c r="D328" s="2970">
        <v>37.071917999999997</v>
      </c>
      <c r="E328" s="615">
        <v>42.556110782089995</v>
      </c>
      <c r="F328" s="3535">
        <v>53.358815444770002</v>
      </c>
      <c r="G328" s="358">
        <v>21.381027986520003</v>
      </c>
      <c r="H328" s="217">
        <v>39.098652000000001</v>
      </c>
    </row>
    <row r="329" spans="1:8">
      <c r="A329" s="53">
        <f t="shared" si="3"/>
        <v>2024.08</v>
      </c>
      <c r="B329" s="1318">
        <v>42.963836999999998</v>
      </c>
      <c r="C329" s="615">
        <v>46.830986000000003</v>
      </c>
      <c r="D329" s="2970">
        <v>37.915236999999998</v>
      </c>
      <c r="E329" s="615">
        <v>44.56538497735</v>
      </c>
      <c r="F329" s="3535">
        <v>55.210204144019997</v>
      </c>
      <c r="G329" s="358">
        <v>24.590322316190001</v>
      </c>
      <c r="H329" s="217">
        <v>41.455303000000001</v>
      </c>
    </row>
    <row r="330" spans="1:8">
      <c r="A330" s="53">
        <f t="shared" si="3"/>
        <v>2024.09</v>
      </c>
      <c r="B330" s="1318">
        <v>38.793101999999998</v>
      </c>
      <c r="C330" s="615">
        <v>41.699474000000002</v>
      </c>
      <c r="D330" s="2970">
        <v>37.514316999999998</v>
      </c>
      <c r="E330" s="615">
        <v>42.417257555509998</v>
      </c>
      <c r="F330" s="3535">
        <v>50.040001379369997</v>
      </c>
      <c r="G330" s="358">
        <v>24.548886324439998</v>
      </c>
      <c r="H330" s="217">
        <v>39.002048000000002</v>
      </c>
    </row>
    <row r="331" spans="1:8">
      <c r="A331" s="53">
        <f t="shared" si="3"/>
        <v>2024.1</v>
      </c>
      <c r="B331" s="1318">
        <v>39.464592000000003</v>
      </c>
      <c r="C331" s="615">
        <v>48.200389999999999</v>
      </c>
      <c r="D331" s="2970">
        <v>39.988624999999999</v>
      </c>
      <c r="E331" s="615">
        <v>45.85188979886</v>
      </c>
      <c r="F331" s="3535">
        <v>53.276007510219998</v>
      </c>
      <c r="G331" s="358">
        <v>28.146652032710001</v>
      </c>
      <c r="H331" s="217">
        <v>42.424849999999999</v>
      </c>
    </row>
    <row r="332" spans="1:8">
      <c r="A332" s="53">
        <f t="shared" si="3"/>
        <v>2024.11</v>
      </c>
      <c r="B332" s="1318">
        <v>44.416240999999999</v>
      </c>
      <c r="C332" s="615">
        <v>53.519973999999998</v>
      </c>
      <c r="D332" s="2970">
        <v>40.306122000000002</v>
      </c>
      <c r="E332" s="615">
        <v>46.531237910720002</v>
      </c>
      <c r="F332" s="3535">
        <v>56.54993245304</v>
      </c>
      <c r="G332" s="358">
        <v>31.965936120869998</v>
      </c>
      <c r="H332" s="217">
        <v>45.015701</v>
      </c>
    </row>
    <row r="333" spans="1:8">
      <c r="A333" s="53">
        <f t="shared" si="3"/>
        <v>2024.12</v>
      </c>
      <c r="B333" s="1318">
        <v>42.174278000000001</v>
      </c>
      <c r="C333" s="615">
        <v>52.008034000000002</v>
      </c>
      <c r="D333" s="2970">
        <v>43.743167999999997</v>
      </c>
      <c r="E333" s="615">
        <v>48.149545665790001</v>
      </c>
      <c r="F333" s="3535">
        <v>57.320602943020006</v>
      </c>
      <c r="G333" s="358">
        <v>32.617437849040002</v>
      </c>
      <c r="H333" s="217">
        <v>46.029193999999997</v>
      </c>
    </row>
    <row r="334" spans="1:8">
      <c r="A334" s="53">
        <f t="shared" si="3"/>
        <v>2025.01</v>
      </c>
      <c r="B334" s="1318">
        <v>44.839255999999999</v>
      </c>
      <c r="C334" s="615">
        <v>54.388561000000003</v>
      </c>
      <c r="D334" s="2970">
        <v>44.115989999999996</v>
      </c>
      <c r="E334" s="615">
        <v>50.175006353169998</v>
      </c>
      <c r="F334" s="3535">
        <v>57.211142540179999</v>
      </c>
      <c r="G334" s="358">
        <v>34.763814634439996</v>
      </c>
      <c r="H334" s="217">
        <v>47.383319999999998</v>
      </c>
    </row>
    <row r="335" spans="1:8">
      <c r="A335" s="53">
        <f t="shared" si="3"/>
        <v>2025.02</v>
      </c>
      <c r="B335" s="1318">
        <v>45.307445999999999</v>
      </c>
      <c r="C335" s="615">
        <v>52.298279000000001</v>
      </c>
      <c r="D335" s="2970">
        <v>44.942528000000003</v>
      </c>
      <c r="E335" s="615">
        <v>49.542376406680006</v>
      </c>
      <c r="F335" s="3535">
        <v>57.825842656589998</v>
      </c>
      <c r="G335" s="358">
        <v>34.404640624820004</v>
      </c>
      <c r="H335" s="217">
        <v>47.257618000000001</v>
      </c>
    </row>
    <row r="336" spans="1:8">
      <c r="A336" s="53">
        <f t="shared" si="3"/>
        <v>2025.03</v>
      </c>
      <c r="B336" s="1318">
        <v>43.452381000000003</v>
      </c>
      <c r="C336" s="615">
        <v>50.281086000000002</v>
      </c>
      <c r="D336" s="2970">
        <v>40.766551999999997</v>
      </c>
      <c r="E336" s="615">
        <v>45.813436666619999</v>
      </c>
      <c r="F336" s="3535">
        <v>52.201663581649996</v>
      </c>
      <c r="G336" s="358">
        <v>34.326714504880002</v>
      </c>
      <c r="H336" s="217">
        <v>44.113937</v>
      </c>
    </row>
    <row r="337" spans="1:9">
      <c r="A337" s="53">
        <f t="shared" si="3"/>
        <v>2025.04</v>
      </c>
      <c r="B337" s="1318">
        <v>42.375889000000001</v>
      </c>
      <c r="C337" s="615">
        <v>49.524281000000002</v>
      </c>
      <c r="D337" s="2970">
        <v>41.502192999999998</v>
      </c>
      <c r="E337" s="615">
        <v>46.416394118619998</v>
      </c>
      <c r="F337" s="3535">
        <v>52.406323143329999</v>
      </c>
      <c r="G337" s="358">
        <v>33.485876163290001</v>
      </c>
      <c r="H337" s="217">
        <v>44.102862999999999</v>
      </c>
      <c r="I337" s="166"/>
    </row>
    <row r="338" spans="1:9">
      <c r="A338" s="53">
        <f t="shared" si="3"/>
        <v>2025.05</v>
      </c>
      <c r="B338" s="1318">
        <v>42.447918000000001</v>
      </c>
      <c r="C338" s="615">
        <v>51.633986999999998</v>
      </c>
      <c r="D338" s="2970">
        <v>42.865107999999999</v>
      </c>
      <c r="E338" s="615">
        <v>46.488778644310003</v>
      </c>
      <c r="F338" s="3535">
        <v>55.209940550010003</v>
      </c>
      <c r="G338" s="358">
        <v>34.769173813649999</v>
      </c>
      <c r="H338" s="217">
        <v>45.4893</v>
      </c>
      <c r="I338" s="166"/>
    </row>
    <row r="339" spans="1:9">
      <c r="A339" s="53">
        <f t="shared" si="3"/>
        <v>2025.06</v>
      </c>
      <c r="B339" s="1318">
        <v>43.848166999999997</v>
      </c>
      <c r="C339" s="615">
        <v>50.183334000000002</v>
      </c>
      <c r="D339" s="2970">
        <v>43.257820000000002</v>
      </c>
      <c r="E339" s="615">
        <v>45.888218202010002</v>
      </c>
      <c r="F339" s="3535">
        <v>53.928180508089994</v>
      </c>
      <c r="G339" s="358">
        <v>36.614025059620005</v>
      </c>
      <c r="H339" s="217">
        <v>45.476807000000001</v>
      </c>
      <c r="I339" s="166"/>
    </row>
    <row r="340" spans="1:9">
      <c r="A340" s="53">
        <f t="shared" si="3"/>
        <v>2025.07</v>
      </c>
      <c r="B340" s="1318">
        <v>47.222220999999998</v>
      </c>
      <c r="C340" s="615">
        <v>49.900795000000002</v>
      </c>
      <c r="D340" s="2970">
        <v>44.094925000000003</v>
      </c>
      <c r="E340" s="615">
        <v>47.026165106240001</v>
      </c>
      <c r="F340" s="3535">
        <v>52.197548139950001</v>
      </c>
      <c r="G340" s="358">
        <v>39.899654612829998</v>
      </c>
      <c r="H340" s="217">
        <v>46.374457999999997</v>
      </c>
      <c r="I340" s="2445"/>
    </row>
    <row r="341" spans="1:9">
      <c r="A341" s="53">
        <f t="shared" si="3"/>
        <v>2025.08</v>
      </c>
      <c r="B341" s="1318">
        <v>37.079124</v>
      </c>
      <c r="C341" s="615">
        <v>46.374671999999997</v>
      </c>
      <c r="D341" s="2970">
        <v>37.103175999999998</v>
      </c>
      <c r="E341" s="615">
        <v>40.963518143450003</v>
      </c>
      <c r="F341" s="3535">
        <v>45.032717229900001</v>
      </c>
      <c r="G341" s="358">
        <v>33.836673377880004</v>
      </c>
      <c r="H341" s="217">
        <v>39.944302</v>
      </c>
      <c r="I341" s="166"/>
    </row>
    <row r="342" spans="1:9">
      <c r="A342" s="53">
        <f t="shared" si="3"/>
        <v>2025.09</v>
      </c>
      <c r="B342" s="1318">
        <v>40.629986000000002</v>
      </c>
      <c r="C342" s="615">
        <v>44.646366</v>
      </c>
      <c r="D342" s="2970">
        <v>36.790779000000001</v>
      </c>
      <c r="E342" s="615">
        <v>42.263877139100003</v>
      </c>
      <c r="F342" s="3535">
        <v>48.370246689129999</v>
      </c>
      <c r="G342" s="358">
        <v>28.804385351139999</v>
      </c>
      <c r="H342" s="217">
        <v>39.812835999999997</v>
      </c>
      <c r="I342" s="166"/>
    </row>
    <row r="343" spans="1:9">
      <c r="A343" s="53">
        <f t="shared" si="3"/>
        <v>2025.1</v>
      </c>
      <c r="B343" s="1318">
        <v>40.329768999999999</v>
      </c>
      <c r="C343" s="615">
        <v>47.965117999999997</v>
      </c>
      <c r="D343" s="2970">
        <v>39.674522000000003</v>
      </c>
      <c r="E343" s="615">
        <v>44.707915261910003</v>
      </c>
      <c r="F343" s="3535">
        <v>49.994491489940003</v>
      </c>
      <c r="G343" s="358">
        <v>32.266034900160001</v>
      </c>
      <c r="H343" s="217">
        <v>42.322814999999999</v>
      </c>
      <c r="I343" s="166"/>
    </row>
    <row r="344" spans="1:9">
      <c r="A344" s="53">
        <f t="shared" si="3"/>
        <v>2025.11</v>
      </c>
      <c r="B344" s="1318">
        <v>39.921463000000003</v>
      </c>
      <c r="C344" s="615">
        <v>51.513672</v>
      </c>
      <c r="D344" s="2970">
        <v>44.726776000000001</v>
      </c>
      <c r="E344" s="615">
        <v>47.577056516900001</v>
      </c>
      <c r="F344" s="3535">
        <v>54.924651399070001</v>
      </c>
      <c r="G344" s="358">
        <v>35.629167216219997</v>
      </c>
      <c r="H344" s="217">
        <v>46.043624999999999</v>
      </c>
      <c r="I344" s="166"/>
    </row>
    <row r="345" spans="1:9">
      <c r="A345" s="53">
        <f t="shared" si="3"/>
        <v>2025.12</v>
      </c>
      <c r="B345" s="1318">
        <v>48.308582000000001</v>
      </c>
      <c r="C345" s="615">
        <v>47.485207000000003</v>
      </c>
      <c r="D345" s="2970">
        <v>43.613976000000001</v>
      </c>
      <c r="E345" s="615">
        <v>47.591048291210001</v>
      </c>
      <c r="F345" s="3535">
        <v>54.633734817360001</v>
      </c>
      <c r="G345" s="358">
        <v>34.423653229400003</v>
      </c>
      <c r="H345" s="217">
        <v>45.549480000000003</v>
      </c>
      <c r="I345" s="166"/>
    </row>
    <row r="346" spans="1:9">
      <c r="A346" s="53">
        <f t="shared" si="3"/>
        <v>2026.01</v>
      </c>
      <c r="B346" s="1318">
        <v>47.594501000000001</v>
      </c>
      <c r="C346" s="615">
        <v>51.236355000000003</v>
      </c>
      <c r="D346" s="2970">
        <v>43.583041999999999</v>
      </c>
      <c r="E346" s="615">
        <v>48.462320307310002</v>
      </c>
      <c r="F346" s="3535">
        <v>53.418105282230002</v>
      </c>
      <c r="G346" s="358">
        <v>37.830765608450001</v>
      </c>
      <c r="H346" s="217">
        <v>46.570396000000002</v>
      </c>
      <c r="I346" s="166"/>
    </row>
    <row r="347" spans="1:9">
      <c r="A347" s="53">
        <f t="shared" si="3"/>
        <v>2026.02</v>
      </c>
      <c r="B347" s="1318">
        <v>43.89</v>
      </c>
      <c r="C347" s="615">
        <v>50.08</v>
      </c>
      <c r="D347" s="2970">
        <v>41.25</v>
      </c>
      <c r="E347" s="615">
        <v>44.77</v>
      </c>
      <c r="F347" s="3535">
        <v>50.55</v>
      </c>
      <c r="G347" s="358">
        <v>37.82</v>
      </c>
      <c r="H347" s="217">
        <v>44.38</v>
      </c>
      <c r="I347" s="166"/>
    </row>
    <row r="348" spans="1:9">
      <c r="A348" s="53">
        <f t="shared" si="3"/>
        <v>2026.03</v>
      </c>
      <c r="B348" s="1318">
        <v>40.828677999999996</v>
      </c>
      <c r="C348" s="615">
        <v>50.709541000000002</v>
      </c>
      <c r="D348" s="2970">
        <v>37.391575000000003</v>
      </c>
      <c r="E348" s="615">
        <v>41.083528805829999</v>
      </c>
      <c r="F348" s="3535">
        <v>48.904373333090007</v>
      </c>
      <c r="G348" s="358">
        <v>36.089846429199994</v>
      </c>
      <c r="H348" s="217">
        <v>42.025917</v>
      </c>
      <c r="I348" s="166"/>
    </row>
    <row r="349" spans="1:9">
      <c r="A349" s="53">
        <f t="shared" si="3"/>
        <v>2026.04</v>
      </c>
      <c r="B349" s="1318" t="e">
        <v>#N/A</v>
      </c>
      <c r="C349" s="615" t="e">
        <v>#N/A</v>
      </c>
      <c r="D349" s="2970" t="e">
        <v>#N/A</v>
      </c>
      <c r="E349" s="615" t="e">
        <v>#N/A</v>
      </c>
      <c r="F349" s="3535" t="e">
        <v>#N/A</v>
      </c>
      <c r="G349" s="358" t="e">
        <v>#N/A</v>
      </c>
      <c r="H349" s="217" t="e">
        <v>#N/A</v>
      </c>
      <c r="I349" s="166"/>
    </row>
    <row r="350" spans="1:9">
      <c r="A350" s="53">
        <f t="shared" si="3"/>
        <v>2026.05</v>
      </c>
      <c r="B350" s="1318" t="e">
        <v>#N/A</v>
      </c>
      <c r="C350" s="615" t="e">
        <v>#N/A</v>
      </c>
      <c r="D350" s="2970" t="e">
        <v>#N/A</v>
      </c>
      <c r="E350" s="615" t="e">
        <v>#N/A</v>
      </c>
      <c r="F350" s="3535" t="e">
        <v>#N/A</v>
      </c>
      <c r="G350" s="358" t="e">
        <v>#N/A</v>
      </c>
      <c r="H350" s="217" t="e">
        <v>#N/A</v>
      </c>
      <c r="I350" s="166"/>
    </row>
    <row r="351" spans="1:9">
      <c r="A351" s="53">
        <f t="shared" si="3"/>
        <v>2026.06</v>
      </c>
      <c r="B351" s="1318" t="e">
        <v>#N/A</v>
      </c>
      <c r="C351" s="615" t="e">
        <v>#N/A</v>
      </c>
      <c r="D351" s="2970" t="e">
        <v>#N/A</v>
      </c>
      <c r="E351" s="615" t="e">
        <v>#N/A</v>
      </c>
      <c r="F351" s="3535" t="e">
        <v>#N/A</v>
      </c>
      <c r="G351" s="358" t="e">
        <v>#N/A</v>
      </c>
      <c r="H351" s="217" t="e">
        <v>#N/A</v>
      </c>
      <c r="I351" s="166"/>
    </row>
    <row r="352" spans="1:9">
      <c r="A352" s="53">
        <f t="shared" si="3"/>
        <v>2026.07</v>
      </c>
      <c r="B352" s="1318" t="e">
        <v>#N/A</v>
      </c>
      <c r="C352" s="615" t="e">
        <v>#N/A</v>
      </c>
      <c r="D352" s="2970" t="e">
        <v>#N/A</v>
      </c>
      <c r="E352" s="615" t="e">
        <v>#N/A</v>
      </c>
      <c r="F352" s="3535" t="e">
        <v>#N/A</v>
      </c>
      <c r="G352" s="358" t="e">
        <v>#N/A</v>
      </c>
      <c r="H352" s="217" t="e">
        <v>#N/A</v>
      </c>
      <c r="I352" s="166"/>
    </row>
    <row r="353" spans="1:8">
      <c r="A353" s="53">
        <f t="shared" si="3"/>
        <v>2026.08</v>
      </c>
      <c r="B353" s="1318" t="e">
        <v>#N/A</v>
      </c>
      <c r="C353" s="615" t="e">
        <v>#N/A</v>
      </c>
      <c r="D353" s="2970" t="e">
        <v>#N/A</v>
      </c>
      <c r="E353" s="615" t="e">
        <v>#N/A</v>
      </c>
      <c r="F353" s="3535" t="e">
        <v>#N/A</v>
      </c>
      <c r="G353" s="358" t="e">
        <v>#N/A</v>
      </c>
      <c r="H353" s="217" t="e">
        <v>#N/A</v>
      </c>
    </row>
    <row r="354" spans="1:8">
      <c r="A354" s="53">
        <f t="shared" si="3"/>
        <v>2026.09</v>
      </c>
      <c r="B354" s="1318" t="e">
        <v>#N/A</v>
      </c>
      <c r="C354" s="615" t="e">
        <v>#N/A</v>
      </c>
      <c r="D354" s="2970" t="e">
        <v>#N/A</v>
      </c>
      <c r="E354" s="615" t="e">
        <v>#N/A</v>
      </c>
      <c r="F354" s="3535" t="e">
        <v>#N/A</v>
      </c>
      <c r="G354" s="358" t="e">
        <v>#N/A</v>
      </c>
      <c r="H354" s="217" t="e">
        <v>#N/A</v>
      </c>
    </row>
    <row r="355" spans="1:8">
      <c r="A355" s="53">
        <f t="shared" si="3"/>
        <v>2026.1</v>
      </c>
      <c r="B355" s="1318" t="e">
        <v>#N/A</v>
      </c>
      <c r="C355" s="615" t="e">
        <v>#N/A</v>
      </c>
      <c r="D355" s="2970" t="e">
        <v>#N/A</v>
      </c>
      <c r="E355" s="615" t="e">
        <v>#N/A</v>
      </c>
      <c r="F355" s="3535" t="e">
        <v>#N/A</v>
      </c>
      <c r="G355" s="358" t="e">
        <v>#N/A</v>
      </c>
      <c r="H355" s="217" t="e">
        <v>#N/A</v>
      </c>
    </row>
    <row r="356" spans="1:8">
      <c r="A356" s="53">
        <f t="shared" si="3"/>
        <v>2026.11</v>
      </c>
      <c r="B356" s="1318" t="e">
        <v>#N/A</v>
      </c>
      <c r="C356" s="615" t="e">
        <v>#N/A</v>
      </c>
      <c r="D356" s="2970" t="e">
        <v>#N/A</v>
      </c>
      <c r="E356" s="615" t="e">
        <v>#N/A</v>
      </c>
      <c r="F356" s="3535" t="e">
        <v>#N/A</v>
      </c>
      <c r="G356" s="358" t="e">
        <v>#N/A</v>
      </c>
      <c r="H356" s="217" t="e">
        <v>#N/A</v>
      </c>
    </row>
    <row r="357" spans="1:8">
      <c r="A357" s="53">
        <f t="shared" si="3"/>
        <v>2026.12</v>
      </c>
      <c r="B357" s="1318" t="e">
        <v>#N/A</v>
      </c>
      <c r="C357" s="615" t="e">
        <v>#N/A</v>
      </c>
      <c r="D357" s="2970" t="e">
        <v>#N/A</v>
      </c>
      <c r="E357" s="615" t="e">
        <v>#N/A</v>
      </c>
      <c r="F357" s="3535" t="e">
        <v>#N/A</v>
      </c>
      <c r="G357" s="358" t="e">
        <v>#N/A</v>
      </c>
      <c r="H357" s="217" t="e">
        <v>#N/A</v>
      </c>
    </row>
    <row r="358" spans="1:8">
      <c r="A358" s="53">
        <f t="shared" si="3"/>
        <v>2027.01</v>
      </c>
      <c r="B358" s="1318" t="e">
        <v>#N/A</v>
      </c>
      <c r="C358" s="615" t="e">
        <v>#N/A</v>
      </c>
      <c r="D358" s="2970" t="e">
        <v>#N/A</v>
      </c>
      <c r="E358" s="615" t="e">
        <v>#N/A</v>
      </c>
      <c r="F358" s="3535" t="e">
        <v>#N/A</v>
      </c>
      <c r="G358" s="358" t="e">
        <v>#N/A</v>
      </c>
      <c r="H358" s="217" t="e">
        <v>#N/A</v>
      </c>
    </row>
    <row r="359" spans="1:8">
      <c r="A359" s="53">
        <f t="shared" si="3"/>
        <v>2027.02</v>
      </c>
      <c r="B359" s="1318" t="e">
        <v>#N/A</v>
      </c>
      <c r="C359" s="615" t="e">
        <v>#N/A</v>
      </c>
      <c r="D359" s="2970" t="e">
        <v>#N/A</v>
      </c>
      <c r="E359" s="615" t="e">
        <v>#N/A</v>
      </c>
      <c r="F359" s="3535" t="e">
        <v>#N/A</v>
      </c>
      <c r="G359" s="358" t="e">
        <v>#N/A</v>
      </c>
      <c r="H359" s="217" t="e">
        <v>#N/A</v>
      </c>
    </row>
    <row r="360" spans="1:8">
      <c r="A360" s="53">
        <f t="shared" si="3"/>
        <v>2027.03</v>
      </c>
      <c r="B360" s="1318" t="e">
        <v>#N/A</v>
      </c>
      <c r="C360" s="615" t="e">
        <v>#N/A</v>
      </c>
      <c r="D360" s="2970" t="e">
        <v>#N/A</v>
      </c>
      <c r="E360" s="615" t="e">
        <v>#N/A</v>
      </c>
      <c r="F360" s="3535" t="e">
        <v>#N/A</v>
      </c>
      <c r="G360" s="358" t="e">
        <v>#N/A</v>
      </c>
      <c r="H360" s="217" t="e">
        <v>#N/A</v>
      </c>
    </row>
    <row r="361" spans="1:8">
      <c r="A361" s="53">
        <f t="shared" si="3"/>
        <v>2027.04</v>
      </c>
      <c r="B361" s="1318" t="e">
        <v>#N/A</v>
      </c>
      <c r="C361" s="615" t="e">
        <v>#N/A</v>
      </c>
      <c r="D361" s="2970" t="e">
        <v>#N/A</v>
      </c>
      <c r="E361" s="615" t="e">
        <v>#N/A</v>
      </c>
      <c r="F361" s="3535" t="e">
        <v>#N/A</v>
      </c>
      <c r="G361" s="358" t="e">
        <v>#N/A</v>
      </c>
      <c r="H361" s="217" t="e">
        <v>#N/A</v>
      </c>
    </row>
    <row r="362" spans="1:8">
      <c r="A362" s="53">
        <f t="shared" si="3"/>
        <v>2027.05</v>
      </c>
      <c r="B362" s="1318" t="e">
        <v>#N/A</v>
      </c>
      <c r="C362" s="615" t="e">
        <v>#N/A</v>
      </c>
      <c r="D362" s="2970" t="e">
        <v>#N/A</v>
      </c>
      <c r="E362" s="615" t="e">
        <v>#N/A</v>
      </c>
      <c r="F362" s="3535" t="e">
        <v>#N/A</v>
      </c>
      <c r="G362" s="358" t="e">
        <v>#N/A</v>
      </c>
      <c r="H362" s="217" t="e">
        <v>#N/A</v>
      </c>
    </row>
    <row r="363" spans="1:8">
      <c r="A363" s="53">
        <f t="shared" si="3"/>
        <v>2027.06</v>
      </c>
      <c r="B363" s="1318" t="e">
        <v>#N/A</v>
      </c>
      <c r="C363" s="615" t="e">
        <v>#N/A</v>
      </c>
      <c r="D363" s="2970" t="e">
        <v>#N/A</v>
      </c>
      <c r="E363" s="615" t="e">
        <v>#N/A</v>
      </c>
      <c r="F363" s="3535" t="e">
        <v>#N/A</v>
      </c>
      <c r="G363" s="358" t="e">
        <v>#N/A</v>
      </c>
      <c r="H363" s="217" t="e">
        <v>#N/A</v>
      </c>
    </row>
    <row r="364" spans="1:8">
      <c r="A364" s="53">
        <f t="shared" si="3"/>
        <v>2027.07</v>
      </c>
      <c r="B364" s="1318" t="e">
        <v>#N/A</v>
      </c>
      <c r="C364" s="615" t="e">
        <v>#N/A</v>
      </c>
      <c r="D364" s="2970" t="e">
        <v>#N/A</v>
      </c>
      <c r="E364" s="615" t="e">
        <v>#N/A</v>
      </c>
      <c r="F364" s="3535" t="e">
        <v>#N/A</v>
      </c>
      <c r="G364" s="358" t="e">
        <v>#N/A</v>
      </c>
      <c r="H364" s="217" t="e">
        <v>#N/A</v>
      </c>
    </row>
    <row r="365" spans="1:8">
      <c r="A365" s="53">
        <f t="shared" si="3"/>
        <v>2027.08</v>
      </c>
      <c r="B365" s="1318" t="e">
        <v>#N/A</v>
      </c>
      <c r="C365" s="615" t="e">
        <v>#N/A</v>
      </c>
      <c r="D365" s="2970" t="e">
        <v>#N/A</v>
      </c>
      <c r="E365" s="615" t="e">
        <v>#N/A</v>
      </c>
      <c r="F365" s="3535" t="e">
        <v>#N/A</v>
      </c>
      <c r="G365" s="358" t="e">
        <v>#N/A</v>
      </c>
      <c r="H365" s="217" t="e">
        <v>#N/A</v>
      </c>
    </row>
    <row r="366" spans="1:8">
      <c r="A366" s="53">
        <f t="shared" si="3"/>
        <v>2027.09</v>
      </c>
      <c r="B366" s="1318" t="e">
        <v>#N/A</v>
      </c>
      <c r="C366" s="615" t="e">
        <v>#N/A</v>
      </c>
      <c r="D366" s="2970" t="e">
        <v>#N/A</v>
      </c>
      <c r="E366" s="615" t="e">
        <v>#N/A</v>
      </c>
      <c r="F366" s="3535" t="e">
        <v>#N/A</v>
      </c>
      <c r="G366" s="358" t="e">
        <v>#N/A</v>
      </c>
      <c r="H366" s="217" t="e">
        <v>#N/A</v>
      </c>
    </row>
    <row r="367" spans="1:8">
      <c r="A367" s="53">
        <f t="shared" si="3"/>
        <v>2027.1</v>
      </c>
      <c r="B367" s="1318" t="e">
        <v>#N/A</v>
      </c>
      <c r="C367" s="615" t="e">
        <v>#N/A</v>
      </c>
      <c r="D367" s="2970" t="e">
        <v>#N/A</v>
      </c>
      <c r="E367" s="615" t="e">
        <v>#N/A</v>
      </c>
      <c r="F367" s="3535" t="e">
        <v>#N/A</v>
      </c>
      <c r="G367" s="358" t="e">
        <v>#N/A</v>
      </c>
      <c r="H367" s="217" t="e">
        <v>#N/A</v>
      </c>
    </row>
    <row r="368" spans="1:8">
      <c r="A368" s="53">
        <f t="shared" si="3"/>
        <v>2027.11</v>
      </c>
      <c r="B368" s="1318" t="e">
        <v>#N/A</v>
      </c>
      <c r="C368" s="615" t="e">
        <v>#N/A</v>
      </c>
      <c r="D368" s="2970" t="e">
        <v>#N/A</v>
      </c>
      <c r="E368" s="615" t="e">
        <v>#N/A</v>
      </c>
      <c r="F368" s="3535" t="e">
        <v>#N/A</v>
      </c>
      <c r="G368" s="358" t="e">
        <v>#N/A</v>
      </c>
      <c r="H368" s="217" t="e">
        <v>#N/A</v>
      </c>
    </row>
    <row r="369" spans="1:8">
      <c r="A369" s="53">
        <f t="shared" si="3"/>
        <v>2027.12</v>
      </c>
      <c r="B369" s="1318" t="e">
        <v>#N/A</v>
      </c>
      <c r="C369" s="615" t="e">
        <v>#N/A</v>
      </c>
      <c r="D369" s="2970" t="e">
        <v>#N/A</v>
      </c>
      <c r="E369" s="615" t="e">
        <v>#N/A</v>
      </c>
      <c r="F369" s="3535" t="e">
        <v>#N/A</v>
      </c>
      <c r="G369" s="358" t="e">
        <v>#N/A</v>
      </c>
      <c r="H369" s="217" t="e">
        <v>#N/A</v>
      </c>
    </row>
    <row r="370" spans="1:8">
      <c r="A370" s="53">
        <f t="shared" si="3"/>
        <v>2028.01</v>
      </c>
      <c r="B370" s="1318" t="e">
        <v>#N/A</v>
      </c>
      <c r="C370" s="615" t="e">
        <v>#N/A</v>
      </c>
      <c r="D370" s="2970" t="e">
        <v>#N/A</v>
      </c>
      <c r="E370" s="615" t="e">
        <v>#N/A</v>
      </c>
      <c r="F370" s="3535" t="e">
        <v>#N/A</v>
      </c>
      <c r="G370" s="358" t="e">
        <v>#N/A</v>
      </c>
      <c r="H370" s="217" t="e">
        <v>#N/A</v>
      </c>
    </row>
    <row r="371" spans="1:8">
      <c r="A371" s="53">
        <f t="shared" si="3"/>
        <v>2028.02</v>
      </c>
      <c r="B371" s="1318" t="e">
        <v>#N/A</v>
      </c>
      <c r="C371" s="615" t="e">
        <v>#N/A</v>
      </c>
      <c r="D371" s="2970" t="e">
        <v>#N/A</v>
      </c>
      <c r="E371" s="615" t="e">
        <v>#N/A</v>
      </c>
      <c r="F371" s="3535" t="e">
        <v>#N/A</v>
      </c>
      <c r="G371" s="358" t="e">
        <v>#N/A</v>
      </c>
      <c r="H371" s="217" t="e">
        <v>#N/A</v>
      </c>
    </row>
    <row r="372" spans="1:8">
      <c r="A372" s="53">
        <f t="shared" si="3"/>
        <v>2028.03</v>
      </c>
      <c r="B372" s="1318" t="e">
        <v>#N/A</v>
      </c>
      <c r="C372" s="615" t="e">
        <v>#N/A</v>
      </c>
      <c r="D372" s="2970" t="e">
        <v>#N/A</v>
      </c>
      <c r="E372" s="615" t="e">
        <v>#N/A</v>
      </c>
      <c r="F372" s="3535" t="e">
        <v>#N/A</v>
      </c>
      <c r="G372" s="358" t="e">
        <v>#N/A</v>
      </c>
      <c r="H372" s="217" t="e">
        <v>#N/A</v>
      </c>
    </row>
    <row r="373" spans="1:8">
      <c r="A373" s="53">
        <f t="shared" si="3"/>
        <v>2028.04</v>
      </c>
      <c r="B373" s="1318" t="e">
        <v>#N/A</v>
      </c>
      <c r="C373" s="615" t="e">
        <v>#N/A</v>
      </c>
      <c r="D373" s="2970" t="e">
        <v>#N/A</v>
      </c>
      <c r="E373" s="615" t="e">
        <v>#N/A</v>
      </c>
      <c r="F373" s="3535" t="e">
        <v>#N/A</v>
      </c>
      <c r="G373" s="358" t="e">
        <v>#N/A</v>
      </c>
      <c r="H373" s="217" t="e">
        <v>#N/A</v>
      </c>
    </row>
    <row r="374" spans="1:8">
      <c r="A374" s="53">
        <f t="shared" si="3"/>
        <v>2028.05</v>
      </c>
      <c r="B374" s="1318" t="e">
        <v>#N/A</v>
      </c>
      <c r="C374" s="615" t="e">
        <v>#N/A</v>
      </c>
      <c r="D374" s="2970" t="e">
        <v>#N/A</v>
      </c>
      <c r="E374" s="615" t="e">
        <v>#N/A</v>
      </c>
      <c r="F374" s="3535" t="e">
        <v>#N/A</v>
      </c>
      <c r="G374" s="358" t="e">
        <v>#N/A</v>
      </c>
      <c r="H374" s="217" t="e">
        <v>#N/A</v>
      </c>
    </row>
    <row r="375" spans="1:8">
      <c r="A375" s="53">
        <f t="shared" si="3"/>
        <v>2028.06</v>
      </c>
      <c r="B375" s="1318" t="e">
        <v>#N/A</v>
      </c>
      <c r="C375" s="615" t="e">
        <v>#N/A</v>
      </c>
      <c r="D375" s="2970" t="e">
        <v>#N/A</v>
      </c>
      <c r="E375" s="615" t="e">
        <v>#N/A</v>
      </c>
      <c r="F375" s="3535" t="e">
        <v>#N/A</v>
      </c>
      <c r="G375" s="358" t="e">
        <v>#N/A</v>
      </c>
      <c r="H375" s="217" t="e">
        <v>#N/A</v>
      </c>
    </row>
    <row r="376" spans="1:8">
      <c r="A376" s="53">
        <f t="shared" si="3"/>
        <v>2028.07</v>
      </c>
      <c r="B376" s="1318" t="e">
        <v>#N/A</v>
      </c>
      <c r="C376" s="615" t="e">
        <v>#N/A</v>
      </c>
      <c r="D376" s="2970" t="e">
        <v>#N/A</v>
      </c>
      <c r="E376" s="615" t="e">
        <v>#N/A</v>
      </c>
      <c r="F376" s="3535" t="e">
        <v>#N/A</v>
      </c>
      <c r="G376" s="358" t="e">
        <v>#N/A</v>
      </c>
      <c r="H376" s="217" t="e">
        <v>#N/A</v>
      </c>
    </row>
    <row r="377" spans="1:8">
      <c r="A377" s="53">
        <f t="shared" si="3"/>
        <v>2028.08</v>
      </c>
      <c r="B377" s="1318" t="e">
        <v>#N/A</v>
      </c>
      <c r="C377" s="615" t="e">
        <v>#N/A</v>
      </c>
      <c r="D377" s="2970" t="e">
        <v>#N/A</v>
      </c>
      <c r="E377" s="615" t="e">
        <v>#N/A</v>
      </c>
      <c r="F377" s="3535" t="e">
        <v>#N/A</v>
      </c>
      <c r="G377" s="358" t="e">
        <v>#N/A</v>
      </c>
      <c r="H377" s="217" t="e">
        <v>#N/A</v>
      </c>
    </row>
    <row r="378" spans="1:8">
      <c r="A378" s="53">
        <f t="shared" si="3"/>
        <v>2028.09</v>
      </c>
      <c r="B378" s="1318" t="e">
        <v>#N/A</v>
      </c>
      <c r="C378" s="615" t="e">
        <v>#N/A</v>
      </c>
      <c r="D378" s="2970" t="e">
        <v>#N/A</v>
      </c>
      <c r="E378" s="615" t="e">
        <v>#N/A</v>
      </c>
      <c r="F378" s="3535" t="e">
        <v>#N/A</v>
      </c>
      <c r="G378" s="358" t="e">
        <v>#N/A</v>
      </c>
      <c r="H378" s="217" t="e">
        <v>#N/A</v>
      </c>
    </row>
    <row r="379" spans="1:8">
      <c r="A379" s="53">
        <f t="shared" si="3"/>
        <v>2028.1</v>
      </c>
      <c r="B379" s="1318" t="e">
        <v>#N/A</v>
      </c>
      <c r="C379" s="615" t="e">
        <v>#N/A</v>
      </c>
      <c r="D379" s="2970" t="e">
        <v>#N/A</v>
      </c>
      <c r="E379" s="615" t="e">
        <v>#N/A</v>
      </c>
      <c r="F379" s="3535" t="e">
        <v>#N/A</v>
      </c>
      <c r="G379" s="358" t="e">
        <v>#N/A</v>
      </c>
      <c r="H379" s="217" t="e">
        <v>#N/A</v>
      </c>
    </row>
    <row r="380" spans="1:8">
      <c r="A380" s="53">
        <f t="shared" si="3"/>
        <v>2028.11</v>
      </c>
      <c r="B380" s="1318" t="e">
        <v>#N/A</v>
      </c>
      <c r="C380" s="615" t="e">
        <v>#N/A</v>
      </c>
      <c r="D380" s="2970" t="e">
        <v>#N/A</v>
      </c>
      <c r="E380" s="615" t="e">
        <v>#N/A</v>
      </c>
      <c r="F380" s="3535" t="e">
        <v>#N/A</v>
      </c>
      <c r="G380" s="358" t="e">
        <v>#N/A</v>
      </c>
      <c r="H380" s="217" t="e">
        <v>#N/A</v>
      </c>
    </row>
    <row r="381" spans="1:8">
      <c r="A381" s="53">
        <f t="shared" si="3"/>
        <v>2028.12</v>
      </c>
      <c r="B381" s="1318" t="e">
        <v>#N/A</v>
      </c>
      <c r="C381" s="615" t="e">
        <v>#N/A</v>
      </c>
      <c r="D381" s="2970" t="e">
        <v>#N/A</v>
      </c>
      <c r="E381" s="615" t="e">
        <v>#N/A</v>
      </c>
      <c r="F381" s="3535" t="e">
        <v>#N/A</v>
      </c>
      <c r="G381" s="358" t="e">
        <v>#N/A</v>
      </c>
      <c r="H381" s="217" t="e">
        <v>#N/A</v>
      </c>
    </row>
    <row r="382" spans="1:8">
      <c r="A382" s="53">
        <f t="shared" si="3"/>
        <v>2029.01</v>
      </c>
      <c r="B382" s="1318" t="e">
        <v>#N/A</v>
      </c>
      <c r="C382" s="615" t="e">
        <v>#N/A</v>
      </c>
      <c r="D382" s="2970" t="e">
        <v>#N/A</v>
      </c>
      <c r="E382" s="615" t="e">
        <v>#N/A</v>
      </c>
      <c r="F382" s="3535" t="e">
        <v>#N/A</v>
      </c>
      <c r="G382" s="358" t="e">
        <v>#N/A</v>
      </c>
      <c r="H382" s="217" t="e">
        <v>#N/A</v>
      </c>
    </row>
    <row r="383" spans="1:8">
      <c r="A383" s="53">
        <f t="shared" si="3"/>
        <v>2029.02</v>
      </c>
      <c r="B383" s="1318" t="e">
        <v>#N/A</v>
      </c>
      <c r="C383" s="615" t="e">
        <v>#N/A</v>
      </c>
      <c r="D383" s="2970" t="e">
        <v>#N/A</v>
      </c>
      <c r="E383" s="615" t="e">
        <v>#N/A</v>
      </c>
      <c r="F383" s="3535" t="e">
        <v>#N/A</v>
      </c>
      <c r="G383" s="358" t="e">
        <v>#N/A</v>
      </c>
      <c r="H383" s="217" t="e">
        <v>#N/A</v>
      </c>
    </row>
    <row r="384" spans="1:8">
      <c r="A384" s="53">
        <f t="shared" si="3"/>
        <v>2029.03</v>
      </c>
      <c r="B384" s="1318" t="e">
        <v>#N/A</v>
      </c>
      <c r="C384" s="615" t="e">
        <v>#N/A</v>
      </c>
      <c r="D384" s="2970" t="e">
        <v>#N/A</v>
      </c>
      <c r="E384" s="615" t="e">
        <v>#N/A</v>
      </c>
      <c r="F384" s="3535" t="e">
        <v>#N/A</v>
      </c>
      <c r="G384" s="358" t="e">
        <v>#N/A</v>
      </c>
      <c r="H384" s="217" t="e">
        <v>#N/A</v>
      </c>
    </row>
    <row r="385" spans="1:8">
      <c r="A385" s="53">
        <f t="shared" si="3"/>
        <v>2029.04</v>
      </c>
      <c r="B385" s="1318" t="e">
        <v>#N/A</v>
      </c>
      <c r="C385" s="615" t="e">
        <v>#N/A</v>
      </c>
      <c r="D385" s="2970" t="e">
        <v>#N/A</v>
      </c>
      <c r="E385" s="615" t="e">
        <v>#N/A</v>
      </c>
      <c r="F385" s="3535" t="e">
        <v>#N/A</v>
      </c>
      <c r="G385" s="358" t="e">
        <v>#N/A</v>
      </c>
      <c r="H385" s="217" t="e">
        <v>#N/A</v>
      </c>
    </row>
    <row r="386" spans="1:8">
      <c r="A386" s="53">
        <f t="shared" ref="A386:A405" si="4">A374+1</f>
        <v>2029.05</v>
      </c>
      <c r="B386" s="1318" t="e">
        <v>#N/A</v>
      </c>
      <c r="C386" s="615" t="e">
        <v>#N/A</v>
      </c>
      <c r="D386" s="2970" t="e">
        <v>#N/A</v>
      </c>
      <c r="E386" s="615" t="e">
        <v>#N/A</v>
      </c>
      <c r="F386" s="3535" t="e">
        <v>#N/A</v>
      </c>
      <c r="G386" s="358" t="e">
        <v>#N/A</v>
      </c>
      <c r="H386" s="217" t="e">
        <v>#N/A</v>
      </c>
    </row>
    <row r="387" spans="1:8">
      <c r="A387" s="53">
        <f t="shared" si="4"/>
        <v>2029.06</v>
      </c>
      <c r="B387" s="1318" t="e">
        <v>#N/A</v>
      </c>
      <c r="C387" s="615" t="e">
        <v>#N/A</v>
      </c>
      <c r="D387" s="2970" t="e">
        <v>#N/A</v>
      </c>
      <c r="E387" s="615" t="e">
        <v>#N/A</v>
      </c>
      <c r="F387" s="3535" t="e">
        <v>#N/A</v>
      </c>
      <c r="G387" s="358" t="e">
        <v>#N/A</v>
      </c>
      <c r="H387" s="217" t="e">
        <v>#N/A</v>
      </c>
    </row>
    <row r="388" spans="1:8">
      <c r="A388" s="53">
        <f t="shared" si="4"/>
        <v>2029.07</v>
      </c>
      <c r="B388" s="1318" t="e">
        <v>#N/A</v>
      </c>
      <c r="C388" s="615" t="e">
        <v>#N/A</v>
      </c>
      <c r="D388" s="2970" t="e">
        <v>#N/A</v>
      </c>
      <c r="E388" s="615" t="e">
        <v>#N/A</v>
      </c>
      <c r="F388" s="3535" t="e">
        <v>#N/A</v>
      </c>
      <c r="G388" s="358" t="e">
        <v>#N/A</v>
      </c>
      <c r="H388" s="217" t="e">
        <v>#N/A</v>
      </c>
    </row>
    <row r="389" spans="1:8">
      <c r="A389" s="53">
        <f t="shared" si="4"/>
        <v>2029.08</v>
      </c>
      <c r="B389" s="1318" t="e">
        <v>#N/A</v>
      </c>
      <c r="C389" s="615" t="e">
        <v>#N/A</v>
      </c>
      <c r="D389" s="2970" t="e">
        <v>#N/A</v>
      </c>
      <c r="E389" s="615" t="e">
        <v>#N/A</v>
      </c>
      <c r="F389" s="3535" t="e">
        <v>#N/A</v>
      </c>
      <c r="G389" s="358" t="e">
        <v>#N/A</v>
      </c>
      <c r="H389" s="217" t="e">
        <v>#N/A</v>
      </c>
    </row>
    <row r="390" spans="1:8">
      <c r="A390" s="53">
        <f t="shared" si="4"/>
        <v>2029.09</v>
      </c>
      <c r="B390" s="1318" t="e">
        <v>#N/A</v>
      </c>
      <c r="C390" s="615" t="e">
        <v>#N/A</v>
      </c>
      <c r="D390" s="2970" t="e">
        <v>#N/A</v>
      </c>
      <c r="E390" s="615" t="e">
        <v>#N/A</v>
      </c>
      <c r="F390" s="3535" t="e">
        <v>#N/A</v>
      </c>
      <c r="G390" s="358" t="e">
        <v>#N/A</v>
      </c>
      <c r="H390" s="217" t="e">
        <v>#N/A</v>
      </c>
    </row>
    <row r="391" spans="1:8">
      <c r="A391" s="53">
        <f t="shared" si="4"/>
        <v>2029.1</v>
      </c>
      <c r="B391" s="1318" t="e">
        <v>#N/A</v>
      </c>
      <c r="C391" s="615" t="e">
        <v>#N/A</v>
      </c>
      <c r="D391" s="2970" t="e">
        <v>#N/A</v>
      </c>
      <c r="E391" s="615" t="e">
        <v>#N/A</v>
      </c>
      <c r="F391" s="3535" t="e">
        <v>#N/A</v>
      </c>
      <c r="G391" s="358" t="e">
        <v>#N/A</v>
      </c>
      <c r="H391" s="217" t="e">
        <v>#N/A</v>
      </c>
    </row>
    <row r="392" spans="1:8">
      <c r="A392" s="53">
        <f t="shared" si="4"/>
        <v>2029.11</v>
      </c>
      <c r="B392" s="1318" t="e">
        <v>#N/A</v>
      </c>
      <c r="C392" s="615" t="e">
        <v>#N/A</v>
      </c>
      <c r="D392" s="2970" t="e">
        <v>#N/A</v>
      </c>
      <c r="E392" s="615" t="e">
        <v>#N/A</v>
      </c>
      <c r="F392" s="3535" t="e">
        <v>#N/A</v>
      </c>
      <c r="G392" s="358" t="e">
        <v>#N/A</v>
      </c>
      <c r="H392" s="217" t="e">
        <v>#N/A</v>
      </c>
    </row>
    <row r="393" spans="1:8">
      <c r="A393" s="53">
        <f t="shared" si="4"/>
        <v>2029.12</v>
      </c>
      <c r="B393" s="1318" t="e">
        <v>#N/A</v>
      </c>
      <c r="C393" s="615" t="e">
        <v>#N/A</v>
      </c>
      <c r="D393" s="2970" t="e">
        <v>#N/A</v>
      </c>
      <c r="E393" s="615" t="e">
        <v>#N/A</v>
      </c>
      <c r="F393" s="3535" t="e">
        <v>#N/A</v>
      </c>
      <c r="G393" s="358" t="e">
        <v>#N/A</v>
      </c>
      <c r="H393" s="217" t="e">
        <v>#N/A</v>
      </c>
    </row>
    <row r="394" spans="1:8">
      <c r="A394" s="53">
        <f t="shared" si="4"/>
        <v>2030.01</v>
      </c>
      <c r="B394" s="1318" t="e">
        <v>#N/A</v>
      </c>
      <c r="C394" s="615" t="e">
        <v>#N/A</v>
      </c>
      <c r="D394" s="2970" t="e">
        <v>#N/A</v>
      </c>
      <c r="E394" s="615" t="e">
        <v>#N/A</v>
      </c>
      <c r="F394" s="3535" t="e">
        <v>#N/A</v>
      </c>
      <c r="G394" s="358" t="e">
        <v>#N/A</v>
      </c>
      <c r="H394" s="217" t="e">
        <v>#N/A</v>
      </c>
    </row>
    <row r="395" spans="1:8">
      <c r="A395" s="53">
        <f t="shared" si="4"/>
        <v>2030.02</v>
      </c>
      <c r="B395" s="1318" t="e">
        <v>#N/A</v>
      </c>
      <c r="C395" s="615" t="e">
        <v>#N/A</v>
      </c>
      <c r="D395" s="2970" t="e">
        <v>#N/A</v>
      </c>
      <c r="E395" s="615" t="e">
        <v>#N/A</v>
      </c>
      <c r="F395" s="3535" t="e">
        <v>#N/A</v>
      </c>
      <c r="G395" s="358" t="e">
        <v>#N/A</v>
      </c>
      <c r="H395" s="217" t="e">
        <v>#N/A</v>
      </c>
    </row>
    <row r="396" spans="1:8">
      <c r="A396" s="53">
        <f t="shared" si="4"/>
        <v>2030.03</v>
      </c>
      <c r="B396" s="1318" t="e">
        <v>#N/A</v>
      </c>
      <c r="C396" s="615" t="e">
        <v>#N/A</v>
      </c>
      <c r="D396" s="2970" t="e">
        <v>#N/A</v>
      </c>
      <c r="E396" s="615" t="e">
        <v>#N/A</v>
      </c>
      <c r="F396" s="3535" t="e">
        <v>#N/A</v>
      </c>
      <c r="G396" s="358" t="e">
        <v>#N/A</v>
      </c>
      <c r="H396" s="217" t="e">
        <v>#N/A</v>
      </c>
    </row>
    <row r="397" spans="1:8">
      <c r="A397" s="53">
        <f t="shared" si="4"/>
        <v>2030.04</v>
      </c>
      <c r="B397" s="1318" t="e">
        <v>#N/A</v>
      </c>
      <c r="C397" s="615" t="e">
        <v>#N/A</v>
      </c>
      <c r="D397" s="2970" t="e">
        <v>#N/A</v>
      </c>
      <c r="E397" s="615" t="e">
        <v>#N/A</v>
      </c>
      <c r="F397" s="3535" t="e">
        <v>#N/A</v>
      </c>
      <c r="G397" s="358" t="e">
        <v>#N/A</v>
      </c>
      <c r="H397" s="217" t="e">
        <v>#N/A</v>
      </c>
    </row>
    <row r="398" spans="1:8">
      <c r="A398" s="53">
        <f t="shared" si="4"/>
        <v>2030.05</v>
      </c>
      <c r="B398" s="1318" t="e">
        <v>#N/A</v>
      </c>
      <c r="C398" s="615" t="e">
        <v>#N/A</v>
      </c>
      <c r="D398" s="2970" t="e">
        <v>#N/A</v>
      </c>
      <c r="E398" s="615" t="e">
        <v>#N/A</v>
      </c>
      <c r="F398" s="3535" t="e">
        <v>#N/A</v>
      </c>
      <c r="G398" s="358" t="e">
        <v>#N/A</v>
      </c>
      <c r="H398" s="217" t="e">
        <v>#N/A</v>
      </c>
    </row>
    <row r="399" spans="1:8">
      <c r="A399" s="53">
        <f t="shared" si="4"/>
        <v>2030.06</v>
      </c>
      <c r="B399" s="1318" t="e">
        <v>#N/A</v>
      </c>
      <c r="C399" s="615" t="e">
        <v>#N/A</v>
      </c>
      <c r="D399" s="2970" t="e">
        <v>#N/A</v>
      </c>
      <c r="E399" s="615" t="e">
        <v>#N/A</v>
      </c>
      <c r="F399" s="3535" t="e">
        <v>#N/A</v>
      </c>
      <c r="G399" s="358" t="e">
        <v>#N/A</v>
      </c>
      <c r="H399" s="217" t="e">
        <v>#N/A</v>
      </c>
    </row>
    <row r="400" spans="1:8">
      <c r="A400" s="53">
        <f t="shared" si="4"/>
        <v>2030.07</v>
      </c>
      <c r="B400" s="1318" t="e">
        <v>#N/A</v>
      </c>
      <c r="C400" s="615" t="e">
        <v>#N/A</v>
      </c>
      <c r="D400" s="2970" t="e">
        <v>#N/A</v>
      </c>
      <c r="E400" s="615" t="e">
        <v>#N/A</v>
      </c>
      <c r="F400" s="3535" t="e">
        <v>#N/A</v>
      </c>
      <c r="G400" s="358" t="e">
        <v>#N/A</v>
      </c>
      <c r="H400" s="217" t="e">
        <v>#N/A</v>
      </c>
    </row>
    <row r="401" spans="1:8">
      <c r="A401" s="53">
        <f t="shared" si="4"/>
        <v>2030.08</v>
      </c>
      <c r="B401" s="1318" t="e">
        <v>#N/A</v>
      </c>
      <c r="C401" s="615" t="e">
        <v>#N/A</v>
      </c>
      <c r="D401" s="2970" t="e">
        <v>#N/A</v>
      </c>
      <c r="E401" s="615" t="e">
        <v>#N/A</v>
      </c>
      <c r="F401" s="3535" t="e">
        <v>#N/A</v>
      </c>
      <c r="G401" s="358" t="e">
        <v>#N/A</v>
      </c>
      <c r="H401" s="217" t="e">
        <v>#N/A</v>
      </c>
    </row>
    <row r="402" spans="1:8">
      <c r="A402" s="53">
        <f t="shared" si="4"/>
        <v>2030.09</v>
      </c>
      <c r="B402" s="1318" t="e">
        <v>#N/A</v>
      </c>
      <c r="C402" s="615" t="e">
        <v>#N/A</v>
      </c>
      <c r="D402" s="2970" t="e">
        <v>#N/A</v>
      </c>
      <c r="E402" s="615" t="e">
        <v>#N/A</v>
      </c>
      <c r="F402" s="3535" t="e">
        <v>#N/A</v>
      </c>
      <c r="G402" s="358" t="e">
        <v>#N/A</v>
      </c>
      <c r="H402" s="217" t="e">
        <v>#N/A</v>
      </c>
    </row>
    <row r="403" spans="1:8">
      <c r="A403" s="53">
        <f t="shared" si="4"/>
        <v>2030.1</v>
      </c>
      <c r="B403" s="1318" t="e">
        <v>#N/A</v>
      </c>
      <c r="C403" s="615" t="e">
        <v>#N/A</v>
      </c>
      <c r="D403" s="2970" t="e">
        <v>#N/A</v>
      </c>
      <c r="E403" s="615" t="e">
        <v>#N/A</v>
      </c>
      <c r="F403" s="3535" t="e">
        <v>#N/A</v>
      </c>
      <c r="G403" s="358" t="e">
        <v>#N/A</v>
      </c>
      <c r="H403" s="217" t="e">
        <v>#N/A</v>
      </c>
    </row>
    <row r="404" spans="1:8">
      <c r="A404" s="53">
        <f t="shared" si="4"/>
        <v>2030.11</v>
      </c>
      <c r="B404" s="1318" t="e">
        <v>#N/A</v>
      </c>
      <c r="C404" s="615" t="e">
        <v>#N/A</v>
      </c>
      <c r="D404" s="2970" t="e">
        <v>#N/A</v>
      </c>
      <c r="E404" s="615" t="e">
        <v>#N/A</v>
      </c>
      <c r="F404" s="3535" t="e">
        <v>#N/A</v>
      </c>
      <c r="G404" s="358" t="e">
        <v>#N/A</v>
      </c>
      <c r="H404" s="217" t="e">
        <v>#N/A</v>
      </c>
    </row>
    <row r="405" spans="1:8">
      <c r="A405" s="53">
        <f t="shared" si="4"/>
        <v>2030.12</v>
      </c>
      <c r="B405" s="1318" t="e">
        <v>#N/A</v>
      </c>
      <c r="C405" s="615" t="e">
        <v>#N/A</v>
      </c>
      <c r="D405" s="2970" t="e">
        <v>#N/A</v>
      </c>
      <c r="E405" s="615" t="e">
        <v>#N/A</v>
      </c>
      <c r="F405" s="3535" t="e">
        <v>#N/A</v>
      </c>
      <c r="G405" s="358" t="e">
        <v>#N/A</v>
      </c>
      <c r="H405" s="217" t="e">
        <v>#N/A</v>
      </c>
    </row>
  </sheetData>
  <phoneticPr fontId="0" type="noConversion"/>
  <hyperlinks>
    <hyperlink ref="A5" location="INDICE!A13" display="VOLVER AL INDICE" xr:uid="{00000000-0004-0000-2300-000000000000}"/>
  </hyperlinks>
  <printOptions gridLines="1"/>
  <pageMargins left="0.39370078740157483" right="0.39370078740157483" top="0.59055118110236227" bottom="0.59055118110236227" header="0" footer="0"/>
  <pageSetup paperSize="9" scale="50"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49">
    <pageSetUpPr autoPageBreaks="0" fitToPage="1"/>
  </sheetPr>
  <dimension ref="A1:K309"/>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10.5703125" style="21" customWidth="1"/>
    <col min="2" max="2" width="14.5703125" style="21" bestFit="1" customWidth="1"/>
    <col min="3" max="4" width="15.5703125" style="21" customWidth="1"/>
    <col min="5" max="5" width="14.5703125" style="21" bestFit="1" customWidth="1"/>
    <col min="6" max="7" width="15.5703125" style="21" customWidth="1"/>
    <col min="8" max="8" width="14.5703125" style="21" bestFit="1" customWidth="1"/>
    <col min="9" max="10" width="15.5703125" style="21" customWidth="1"/>
    <col min="11" max="16384" width="11.42578125" style="6"/>
  </cols>
  <sheetData>
    <row r="1" spans="1:10" s="10" customFormat="1" ht="3" customHeight="1">
      <c r="A1" s="2761"/>
      <c r="B1" s="63"/>
      <c r="C1" s="64"/>
      <c r="D1" s="64"/>
      <c r="E1" s="64"/>
      <c r="F1" s="64"/>
      <c r="G1" s="64"/>
      <c r="H1" s="64"/>
      <c r="I1" s="64"/>
      <c r="J1" s="65"/>
    </row>
    <row r="2" spans="1:10" s="10" customFormat="1" ht="17.25" customHeight="1">
      <c r="A2" s="2762" t="s">
        <v>99</v>
      </c>
      <c r="B2" s="56" t="s">
        <v>1458</v>
      </c>
      <c r="C2" s="2736"/>
      <c r="D2" s="2742"/>
      <c r="E2" s="2736"/>
      <c r="F2" s="2736"/>
      <c r="G2" s="2913"/>
      <c r="H2" s="2736"/>
      <c r="I2" s="2736"/>
      <c r="J2" s="2913"/>
    </row>
    <row r="3" spans="1:10" s="10" customFormat="1">
      <c r="A3" s="2762" t="s">
        <v>104</v>
      </c>
      <c r="B3" s="56" t="s">
        <v>135</v>
      </c>
      <c r="C3" s="2736"/>
      <c r="D3" s="2742"/>
      <c r="E3" s="2736"/>
      <c r="F3" s="2736"/>
      <c r="G3" s="2913"/>
      <c r="H3" s="2736"/>
      <c r="I3" s="2736"/>
      <c r="J3" s="2913"/>
    </row>
    <row r="4" spans="1:10" s="10" customFormat="1" ht="3" hidden="1" customHeight="1">
      <c r="A4" s="2762"/>
      <c r="B4" s="63"/>
      <c r="C4" s="64"/>
      <c r="D4" s="64"/>
      <c r="E4" s="64"/>
      <c r="F4" s="64"/>
      <c r="G4" s="64"/>
      <c r="H4" s="64"/>
      <c r="I4" s="64"/>
      <c r="J4" s="65"/>
    </row>
    <row r="5" spans="1:10" s="10" customFormat="1" ht="22.5">
      <c r="A5" s="2867" t="s">
        <v>140</v>
      </c>
      <c r="B5" s="147" t="s">
        <v>1459</v>
      </c>
      <c r="C5" s="3000"/>
      <c r="D5" s="2999"/>
      <c r="E5" s="2816" t="s">
        <v>1092</v>
      </c>
      <c r="F5" s="3000"/>
      <c r="G5" s="3000"/>
      <c r="H5" s="2816" t="s">
        <v>1086</v>
      </c>
      <c r="I5" s="3000"/>
      <c r="J5" s="3009"/>
    </row>
    <row r="6" spans="1:10" s="10" customFormat="1" ht="22.5">
      <c r="A6" s="2762"/>
      <c r="B6" s="1336" t="s">
        <v>1460</v>
      </c>
      <c r="C6" s="952" t="s">
        <v>1461</v>
      </c>
      <c r="D6" s="5" t="s">
        <v>1462</v>
      </c>
      <c r="E6" s="2917" t="s">
        <v>1460</v>
      </c>
      <c r="F6" s="952" t="s">
        <v>1461</v>
      </c>
      <c r="G6" s="5" t="s">
        <v>1462</v>
      </c>
      <c r="H6" s="2917" t="s">
        <v>1460</v>
      </c>
      <c r="I6" s="952" t="s">
        <v>1461</v>
      </c>
      <c r="J6" s="1" t="s">
        <v>1462</v>
      </c>
    </row>
    <row r="7" spans="1:10" s="10" customFormat="1" ht="22.5">
      <c r="A7" s="2762" t="s">
        <v>125</v>
      </c>
      <c r="B7" s="786" t="s">
        <v>1463</v>
      </c>
      <c r="C7" s="783" t="s">
        <v>1463</v>
      </c>
      <c r="D7" s="784" t="s">
        <v>1463</v>
      </c>
      <c r="E7" s="2825" t="s">
        <v>1463</v>
      </c>
      <c r="F7" s="783" t="s">
        <v>1463</v>
      </c>
      <c r="G7" s="784" t="s">
        <v>1463</v>
      </c>
      <c r="H7" s="2825" t="s">
        <v>1463</v>
      </c>
      <c r="I7" s="783" t="s">
        <v>1463</v>
      </c>
      <c r="J7" s="785" t="s">
        <v>1463</v>
      </c>
    </row>
    <row r="8" spans="1:10" s="10" customFormat="1" ht="13.5" customHeight="1">
      <c r="A8" s="3002" t="s">
        <v>144</v>
      </c>
      <c r="B8" s="2259" t="s">
        <v>1464</v>
      </c>
      <c r="C8" s="2260" t="s">
        <v>1465</v>
      </c>
      <c r="D8" s="2261" t="s">
        <v>1466</v>
      </c>
      <c r="E8" s="2262" t="s">
        <v>1467</v>
      </c>
      <c r="F8" s="2260" t="s">
        <v>1468</v>
      </c>
      <c r="G8" s="2261" t="s">
        <v>1469</v>
      </c>
      <c r="H8" s="2262" t="s">
        <v>1470</v>
      </c>
      <c r="I8" s="2260" t="s">
        <v>1471</v>
      </c>
      <c r="J8" s="2263" t="s">
        <v>1472</v>
      </c>
    </row>
    <row r="9" spans="1:10" s="11" customFormat="1" ht="13.5" thickBot="1">
      <c r="A9" s="2140"/>
      <c r="B9" s="1425"/>
      <c r="C9" s="1244"/>
      <c r="D9" s="460"/>
      <c r="E9" s="573"/>
      <c r="F9" s="1244"/>
      <c r="G9" s="460"/>
      <c r="H9" s="573"/>
      <c r="I9" s="1244"/>
      <c r="J9" s="1364"/>
    </row>
    <row r="10" spans="1:10">
      <c r="A10" s="57">
        <v>2006.01</v>
      </c>
      <c r="B10" s="1777"/>
      <c r="C10" s="1778"/>
      <c r="D10" s="1779"/>
      <c r="E10" s="47">
        <v>170159</v>
      </c>
      <c r="F10" s="560">
        <v>50456</v>
      </c>
      <c r="G10" s="1780"/>
      <c r="H10" s="624"/>
      <c r="I10" s="660"/>
      <c r="J10" s="1781"/>
    </row>
    <row r="11" spans="1:10">
      <c r="A11" s="53">
        <v>2006.02</v>
      </c>
      <c r="B11" s="1426"/>
      <c r="C11" s="3614"/>
      <c r="D11" s="1427"/>
      <c r="E11" s="223">
        <v>158004</v>
      </c>
      <c r="F11" s="3538">
        <v>54586</v>
      </c>
      <c r="G11" s="1427"/>
      <c r="H11" s="1334"/>
      <c r="I11" s="3614"/>
      <c r="J11" s="1428"/>
    </row>
    <row r="12" spans="1:10">
      <c r="A12" s="53">
        <v>2006.03</v>
      </c>
      <c r="B12" s="1426"/>
      <c r="C12" s="3614"/>
      <c r="D12" s="1427"/>
      <c r="E12" s="223">
        <v>175894</v>
      </c>
      <c r="F12" s="3538">
        <v>71036</v>
      </c>
      <c r="G12" s="1427"/>
      <c r="H12" s="1334"/>
      <c r="I12" s="3614"/>
      <c r="J12" s="1428"/>
    </row>
    <row r="13" spans="1:10">
      <c r="A13" s="53">
        <v>2006.04</v>
      </c>
      <c r="B13" s="1426"/>
      <c r="C13" s="3614"/>
      <c r="D13" s="1427"/>
      <c r="E13" s="223">
        <v>162150</v>
      </c>
      <c r="F13" s="3538">
        <v>65531</v>
      </c>
      <c r="G13" s="1427"/>
      <c r="H13" s="1334"/>
      <c r="I13" s="3614"/>
      <c r="J13" s="1428"/>
    </row>
    <row r="14" spans="1:10">
      <c r="A14" s="53">
        <v>2006.05</v>
      </c>
      <c r="B14" s="1426"/>
      <c r="C14" s="3614"/>
      <c r="D14" s="1427"/>
      <c r="E14" s="223">
        <v>176731</v>
      </c>
      <c r="F14" s="3538">
        <v>64637</v>
      </c>
      <c r="G14" s="1427"/>
      <c r="H14" s="1334"/>
      <c r="I14" s="3614"/>
      <c r="J14" s="1428"/>
    </row>
    <row r="15" spans="1:10">
      <c r="A15" s="53">
        <v>2006.06</v>
      </c>
      <c r="B15" s="1426"/>
      <c r="C15" s="3614"/>
      <c r="D15" s="1427"/>
      <c r="E15" s="223">
        <v>165150</v>
      </c>
      <c r="F15" s="3538">
        <v>62660</v>
      </c>
      <c r="G15" s="1427"/>
      <c r="H15" s="1334"/>
      <c r="I15" s="3614"/>
      <c r="J15" s="1428"/>
    </row>
    <row r="16" spans="1:10">
      <c r="A16" s="53">
        <v>2006.07</v>
      </c>
      <c r="B16" s="1426"/>
      <c r="C16" s="3614"/>
      <c r="D16" s="1427"/>
      <c r="E16" s="223">
        <v>172453</v>
      </c>
      <c r="F16" s="3538">
        <v>75356</v>
      </c>
      <c r="G16" s="1427"/>
      <c r="H16" s="1334"/>
      <c r="I16" s="3614"/>
      <c r="J16" s="1428"/>
    </row>
    <row r="17" spans="1:10">
      <c r="A17" s="53">
        <v>2006.08</v>
      </c>
      <c r="B17" s="1426"/>
      <c r="C17" s="3614"/>
      <c r="D17" s="1427"/>
      <c r="E17" s="223">
        <v>172174</v>
      </c>
      <c r="F17" s="3538">
        <v>76857</v>
      </c>
      <c r="G17" s="1427"/>
      <c r="H17" s="1334"/>
      <c r="I17" s="3614"/>
      <c r="J17" s="1428"/>
    </row>
    <row r="18" spans="1:10">
      <c r="A18" s="53">
        <v>2006.09</v>
      </c>
      <c r="B18" s="1426"/>
      <c r="C18" s="3614"/>
      <c r="D18" s="1427"/>
      <c r="E18" s="223">
        <v>166080</v>
      </c>
      <c r="F18" s="3538">
        <v>70553</v>
      </c>
      <c r="G18" s="1427"/>
      <c r="H18" s="1334"/>
      <c r="I18" s="3614"/>
      <c r="J18" s="1428"/>
    </row>
    <row r="19" spans="1:10">
      <c r="A19" s="53">
        <v>2006.1</v>
      </c>
      <c r="B19" s="1426"/>
      <c r="C19" s="3614"/>
      <c r="D19" s="1427"/>
      <c r="E19" s="223">
        <v>174065</v>
      </c>
      <c r="F19" s="3538">
        <v>73602</v>
      </c>
      <c r="G19" s="1427"/>
      <c r="H19" s="1334"/>
      <c r="I19" s="3614"/>
      <c r="J19" s="1428"/>
    </row>
    <row r="20" spans="1:10">
      <c r="A20" s="53">
        <v>2006.11</v>
      </c>
      <c r="B20" s="1426"/>
      <c r="C20" s="3614"/>
      <c r="D20" s="1427"/>
      <c r="E20" s="223">
        <v>167790</v>
      </c>
      <c r="F20" s="3538">
        <v>72671</v>
      </c>
      <c r="G20" s="1427"/>
      <c r="H20" s="1334"/>
      <c r="I20" s="3614"/>
      <c r="J20" s="1428"/>
    </row>
    <row r="21" spans="1:10">
      <c r="A21" s="53">
        <v>2006.12</v>
      </c>
      <c r="B21" s="1426"/>
      <c r="C21" s="3614"/>
      <c r="D21" s="1427"/>
      <c r="E21" s="223">
        <v>169570</v>
      </c>
      <c r="F21" s="3538">
        <v>60557</v>
      </c>
      <c r="G21" s="1427"/>
      <c r="H21" s="1334"/>
      <c r="I21" s="3614"/>
      <c r="J21" s="1428"/>
    </row>
    <row r="22" spans="1:10">
      <c r="A22" s="53">
        <v>2007.01</v>
      </c>
      <c r="B22" s="30">
        <v>69626</v>
      </c>
      <c r="C22" s="3556">
        <v>21146</v>
      </c>
      <c r="D22" s="1427"/>
      <c r="E22" s="223">
        <v>179583</v>
      </c>
      <c r="F22" s="3538">
        <v>46839</v>
      </c>
      <c r="G22" s="1427"/>
      <c r="H22" s="188">
        <v>31333</v>
      </c>
      <c r="I22" s="3556">
        <v>12204</v>
      </c>
      <c r="J22" s="1428"/>
    </row>
    <row r="23" spans="1:10">
      <c r="A23" s="53">
        <v>2007.02</v>
      </c>
      <c r="B23" s="215">
        <v>62692</v>
      </c>
      <c r="C23" s="3538">
        <v>19601</v>
      </c>
      <c r="D23" s="1427"/>
      <c r="E23" s="223">
        <v>165676</v>
      </c>
      <c r="F23" s="3538">
        <v>46998</v>
      </c>
      <c r="G23" s="1427"/>
      <c r="H23" s="223">
        <v>28308</v>
      </c>
      <c r="I23" s="3538">
        <v>11985</v>
      </c>
      <c r="J23" s="1428"/>
    </row>
    <row r="24" spans="1:10">
      <c r="A24" s="53">
        <v>2007.03</v>
      </c>
      <c r="B24" s="215">
        <v>69471</v>
      </c>
      <c r="C24" s="3538">
        <v>19479</v>
      </c>
      <c r="D24" s="1427"/>
      <c r="E24" s="223">
        <v>177599</v>
      </c>
      <c r="F24" s="3538">
        <v>56803</v>
      </c>
      <c r="G24" s="1427"/>
      <c r="H24" s="223">
        <v>31341</v>
      </c>
      <c r="I24" s="3538">
        <v>11580</v>
      </c>
      <c r="J24" s="1428"/>
    </row>
    <row r="25" spans="1:10">
      <c r="A25" s="53">
        <v>2007.04</v>
      </c>
      <c r="B25" s="215">
        <v>66690</v>
      </c>
      <c r="C25" s="3538">
        <v>18231</v>
      </c>
      <c r="D25" s="1427"/>
      <c r="E25" s="223">
        <v>174570</v>
      </c>
      <c r="F25" s="3538">
        <v>56469</v>
      </c>
      <c r="G25" s="1427"/>
      <c r="H25" s="223">
        <v>30420</v>
      </c>
      <c r="I25" s="3538">
        <v>12862</v>
      </c>
      <c r="J25" s="1428"/>
    </row>
    <row r="26" spans="1:10">
      <c r="A26" s="53">
        <v>2007.05</v>
      </c>
      <c r="B26" s="215">
        <v>69688</v>
      </c>
      <c r="C26" s="3538">
        <v>22237</v>
      </c>
      <c r="D26" s="1427"/>
      <c r="E26" s="223">
        <v>189844</v>
      </c>
      <c r="F26" s="3538">
        <v>59092</v>
      </c>
      <c r="G26" s="1427"/>
      <c r="H26" s="223">
        <v>30318</v>
      </c>
      <c r="I26" s="3538">
        <v>11770</v>
      </c>
      <c r="J26" s="1428"/>
    </row>
    <row r="27" spans="1:10">
      <c r="A27" s="53">
        <v>2007.06</v>
      </c>
      <c r="B27" s="215">
        <v>66900</v>
      </c>
      <c r="C27" s="3538">
        <v>19312</v>
      </c>
      <c r="D27" s="1427"/>
      <c r="E27" s="223">
        <v>178080</v>
      </c>
      <c r="F27" s="3538">
        <v>53201</v>
      </c>
      <c r="G27" s="1427"/>
      <c r="H27" s="223">
        <v>29248</v>
      </c>
      <c r="I27" s="3538">
        <v>11353</v>
      </c>
      <c r="J27" s="1428"/>
    </row>
    <row r="28" spans="1:10">
      <c r="A28" s="53">
        <v>2007.07</v>
      </c>
      <c r="B28" s="215">
        <v>68820</v>
      </c>
      <c r="C28" s="3538">
        <v>27260</v>
      </c>
      <c r="D28" s="1427"/>
      <c r="E28" s="223">
        <v>183551</v>
      </c>
      <c r="F28" s="3538">
        <v>67376</v>
      </c>
      <c r="G28" s="1427"/>
      <c r="H28" s="223">
        <v>30318</v>
      </c>
      <c r="I28" s="3538">
        <v>13104</v>
      </c>
      <c r="J28" s="1428"/>
    </row>
    <row r="29" spans="1:10">
      <c r="A29" s="53">
        <v>2007.08</v>
      </c>
      <c r="B29" s="215">
        <v>69843</v>
      </c>
      <c r="C29" s="3538">
        <v>28751</v>
      </c>
      <c r="D29" s="1427"/>
      <c r="E29" s="223">
        <v>186899</v>
      </c>
      <c r="F29" s="3538">
        <v>68275</v>
      </c>
      <c r="G29" s="1427"/>
      <c r="H29" s="223">
        <v>30203</v>
      </c>
      <c r="I29" s="3538">
        <v>12605</v>
      </c>
      <c r="J29" s="1428"/>
    </row>
    <row r="30" spans="1:10">
      <c r="A30" s="53">
        <v>2007.09</v>
      </c>
      <c r="B30" s="215">
        <v>67320</v>
      </c>
      <c r="C30" s="3538">
        <v>28062</v>
      </c>
      <c r="D30" s="1427"/>
      <c r="E30" s="223">
        <v>176670</v>
      </c>
      <c r="F30" s="3538">
        <v>59344</v>
      </c>
      <c r="G30" s="1427"/>
      <c r="H30" s="223">
        <v>30720</v>
      </c>
      <c r="I30" s="3538">
        <v>15662</v>
      </c>
      <c r="J30" s="1428"/>
    </row>
    <row r="31" spans="1:10">
      <c r="A31" s="53">
        <v>2007.1</v>
      </c>
      <c r="B31" s="215">
        <v>69564</v>
      </c>
      <c r="C31" s="3538">
        <v>27451</v>
      </c>
      <c r="D31" s="1427"/>
      <c r="E31" s="223">
        <v>179366</v>
      </c>
      <c r="F31" s="3538">
        <v>60407</v>
      </c>
      <c r="G31" s="1427"/>
      <c r="H31" s="223">
        <v>30499</v>
      </c>
      <c r="I31" s="3538">
        <v>13317</v>
      </c>
      <c r="J31" s="1428"/>
    </row>
    <row r="32" spans="1:10">
      <c r="A32" s="53">
        <v>2007.11</v>
      </c>
      <c r="B32" s="215">
        <v>67230</v>
      </c>
      <c r="C32" s="3538">
        <v>28767</v>
      </c>
      <c r="D32" s="1427"/>
      <c r="E32" s="223">
        <v>170820</v>
      </c>
      <c r="F32" s="3538">
        <v>60482</v>
      </c>
      <c r="G32" s="1427"/>
      <c r="H32" s="223">
        <v>29668</v>
      </c>
      <c r="I32" s="3538">
        <v>13611</v>
      </c>
      <c r="J32" s="1428"/>
    </row>
    <row r="33" spans="1:10">
      <c r="A33" s="53">
        <v>2007.12</v>
      </c>
      <c r="B33" s="215">
        <v>68939</v>
      </c>
      <c r="C33" s="3538">
        <v>23320</v>
      </c>
      <c r="D33" s="1427"/>
      <c r="E33" s="223">
        <v>178224</v>
      </c>
      <c r="F33" s="3538">
        <v>45920</v>
      </c>
      <c r="G33" s="1427"/>
      <c r="H33" s="223">
        <v>30637</v>
      </c>
      <c r="I33" s="3538">
        <v>12820</v>
      </c>
      <c r="J33" s="1428"/>
    </row>
    <row r="34" spans="1:10">
      <c r="A34" s="53">
        <f t="shared" ref="A34:A65" si="0">A22+1</f>
        <v>2008.01</v>
      </c>
      <c r="B34" s="215">
        <v>68572</v>
      </c>
      <c r="C34" s="3538">
        <v>18403</v>
      </c>
      <c r="D34" s="50">
        <v>1402</v>
      </c>
      <c r="E34" s="223">
        <v>178343</v>
      </c>
      <c r="F34" s="3538">
        <v>51944</v>
      </c>
      <c r="G34" s="50">
        <v>4869</v>
      </c>
      <c r="H34" s="223">
        <v>29816</v>
      </c>
      <c r="I34" s="3538">
        <v>16603</v>
      </c>
      <c r="J34" s="126">
        <v>114</v>
      </c>
    </row>
    <row r="35" spans="1:10">
      <c r="A35" s="53">
        <f t="shared" si="0"/>
        <v>2008.02</v>
      </c>
      <c r="B35" s="215">
        <v>64148</v>
      </c>
      <c r="C35" s="3538">
        <v>19677</v>
      </c>
      <c r="D35" s="141">
        <v>2098</v>
      </c>
      <c r="E35" s="223">
        <v>167997</v>
      </c>
      <c r="F35" s="3538">
        <v>46735</v>
      </c>
      <c r="G35" s="141">
        <v>4897</v>
      </c>
      <c r="H35" s="223">
        <v>28449</v>
      </c>
      <c r="I35" s="3538">
        <v>10664</v>
      </c>
      <c r="J35" s="318">
        <v>164</v>
      </c>
    </row>
    <row r="36" spans="1:10">
      <c r="A36" s="53">
        <f t="shared" si="0"/>
        <v>2008.03</v>
      </c>
      <c r="B36" s="215">
        <v>68851</v>
      </c>
      <c r="C36" s="3538">
        <v>18272</v>
      </c>
      <c r="D36" s="141">
        <v>1182</v>
      </c>
      <c r="E36" s="223">
        <v>183148</v>
      </c>
      <c r="F36" s="3538">
        <v>60542</v>
      </c>
      <c r="G36" s="141">
        <v>6403</v>
      </c>
      <c r="H36" s="223">
        <v>33604</v>
      </c>
      <c r="I36" s="3538">
        <v>10803</v>
      </c>
      <c r="J36" s="318">
        <v>120</v>
      </c>
    </row>
    <row r="37" spans="1:10">
      <c r="A37" s="53">
        <f t="shared" si="0"/>
        <v>2008.04</v>
      </c>
      <c r="B37" s="215">
        <v>67050</v>
      </c>
      <c r="C37" s="3538">
        <v>19091</v>
      </c>
      <c r="D37" s="141">
        <v>1055</v>
      </c>
      <c r="E37" s="223">
        <v>175950</v>
      </c>
      <c r="F37" s="3538">
        <v>54553</v>
      </c>
      <c r="G37" s="141">
        <v>5935</v>
      </c>
      <c r="H37" s="223">
        <v>29430</v>
      </c>
      <c r="I37" s="3538">
        <v>11964</v>
      </c>
      <c r="J37" s="318">
        <v>340</v>
      </c>
    </row>
    <row r="38" spans="1:10">
      <c r="A38" s="53">
        <f t="shared" si="0"/>
        <v>2008.05</v>
      </c>
      <c r="B38" s="215">
        <v>68510</v>
      </c>
      <c r="C38" s="3538">
        <v>21225</v>
      </c>
      <c r="D38" s="141">
        <v>1588</v>
      </c>
      <c r="E38" s="223">
        <v>182094</v>
      </c>
      <c r="F38" s="3538">
        <v>54401</v>
      </c>
      <c r="G38" s="141">
        <v>5218</v>
      </c>
      <c r="H38" s="223">
        <v>30411</v>
      </c>
      <c r="I38" s="3538">
        <v>11199</v>
      </c>
      <c r="J38" s="318">
        <v>139</v>
      </c>
    </row>
    <row r="39" spans="1:10">
      <c r="A39" s="53">
        <f t="shared" si="0"/>
        <v>2008.06</v>
      </c>
      <c r="B39" s="215">
        <v>66870</v>
      </c>
      <c r="C39" s="3538">
        <v>15889</v>
      </c>
      <c r="D39" s="141">
        <v>1009</v>
      </c>
      <c r="E39" s="223">
        <v>176460</v>
      </c>
      <c r="F39" s="3538">
        <v>55885</v>
      </c>
      <c r="G39" s="141">
        <v>5733</v>
      </c>
      <c r="H39" s="223">
        <v>29430</v>
      </c>
      <c r="I39" s="3538">
        <v>12078</v>
      </c>
      <c r="J39" s="318">
        <v>136</v>
      </c>
    </row>
    <row r="40" spans="1:10">
      <c r="A40" s="53">
        <f t="shared" si="0"/>
        <v>2008.07</v>
      </c>
      <c r="B40" s="215">
        <v>68107</v>
      </c>
      <c r="C40" s="3538">
        <v>21048</v>
      </c>
      <c r="D40" s="141">
        <v>1813</v>
      </c>
      <c r="E40" s="223">
        <v>181474</v>
      </c>
      <c r="F40" s="3538">
        <v>67618</v>
      </c>
      <c r="G40" s="141">
        <v>5849</v>
      </c>
      <c r="H40" s="223">
        <v>29264</v>
      </c>
      <c r="I40" s="3538">
        <v>12173</v>
      </c>
      <c r="J40" s="318">
        <v>54</v>
      </c>
    </row>
    <row r="41" spans="1:10">
      <c r="A41" s="53">
        <f t="shared" si="0"/>
        <v>2008.08</v>
      </c>
      <c r="B41" s="215">
        <v>68479</v>
      </c>
      <c r="C41" s="3538">
        <v>23099</v>
      </c>
      <c r="D41" s="141">
        <v>1289</v>
      </c>
      <c r="E41" s="223">
        <v>182714</v>
      </c>
      <c r="F41" s="3538">
        <v>67292</v>
      </c>
      <c r="G41" s="141">
        <v>6666</v>
      </c>
      <c r="H41" s="223">
        <v>30070</v>
      </c>
      <c r="I41" s="3538">
        <v>12173</v>
      </c>
      <c r="J41" s="318">
        <v>742</v>
      </c>
    </row>
    <row r="42" spans="1:10">
      <c r="A42" s="53">
        <f t="shared" si="0"/>
        <v>2008.09</v>
      </c>
      <c r="B42" s="215">
        <v>66270</v>
      </c>
      <c r="C42" s="3538">
        <v>20734</v>
      </c>
      <c r="D42" s="141">
        <v>1277</v>
      </c>
      <c r="E42" s="223">
        <v>176490</v>
      </c>
      <c r="F42" s="3538">
        <v>60934</v>
      </c>
      <c r="G42" s="141">
        <v>6276</v>
      </c>
      <c r="H42" s="223">
        <v>28800</v>
      </c>
      <c r="I42" s="3538">
        <v>12163</v>
      </c>
      <c r="J42" s="318">
        <v>117</v>
      </c>
    </row>
    <row r="43" spans="1:10">
      <c r="A43" s="53">
        <f t="shared" si="0"/>
        <v>2008.1</v>
      </c>
      <c r="B43" s="215">
        <v>68758</v>
      </c>
      <c r="C43" s="3538">
        <v>25108</v>
      </c>
      <c r="D43" s="141">
        <v>1613</v>
      </c>
      <c r="E43" s="223">
        <v>181784</v>
      </c>
      <c r="F43" s="3538">
        <v>64952</v>
      </c>
      <c r="G43" s="141">
        <v>7045</v>
      </c>
      <c r="H43" s="223">
        <v>29698</v>
      </c>
      <c r="I43" s="3538">
        <v>11583</v>
      </c>
      <c r="J43" s="318">
        <v>1142</v>
      </c>
    </row>
    <row r="44" spans="1:10">
      <c r="A44" s="53">
        <f t="shared" si="0"/>
        <v>2008.11</v>
      </c>
      <c r="B44" s="215">
        <v>66720</v>
      </c>
      <c r="C44" s="3538">
        <v>20265</v>
      </c>
      <c r="D44" s="141">
        <v>1254</v>
      </c>
      <c r="E44" s="223">
        <v>177450</v>
      </c>
      <c r="F44" s="3538">
        <v>58702</v>
      </c>
      <c r="G44" s="141">
        <v>7965</v>
      </c>
      <c r="H44" s="223">
        <v>28350</v>
      </c>
      <c r="I44" s="3538">
        <v>10540</v>
      </c>
      <c r="J44" s="318">
        <v>135</v>
      </c>
    </row>
    <row r="45" spans="1:10">
      <c r="A45" s="53">
        <f t="shared" si="0"/>
        <v>2008.12</v>
      </c>
      <c r="B45" s="215">
        <v>69905</v>
      </c>
      <c r="C45" s="3538">
        <v>15217</v>
      </c>
      <c r="D45" s="141">
        <v>1125</v>
      </c>
      <c r="E45" s="223">
        <v>181413</v>
      </c>
      <c r="F45" s="3538">
        <v>46309</v>
      </c>
      <c r="G45" s="141">
        <v>4274</v>
      </c>
      <c r="H45" s="223">
        <v>27720</v>
      </c>
      <c r="I45" s="3538">
        <v>8762</v>
      </c>
      <c r="J45" s="318">
        <v>29</v>
      </c>
    </row>
    <row r="46" spans="1:10">
      <c r="A46" s="53">
        <f t="shared" si="0"/>
        <v>2009.01</v>
      </c>
      <c r="B46" s="215">
        <v>67630</v>
      </c>
      <c r="C46" s="3538">
        <v>12602</v>
      </c>
      <c r="D46" s="141">
        <v>1094</v>
      </c>
      <c r="E46" s="223">
        <v>184851</v>
      </c>
      <c r="F46" s="3538">
        <v>38697</v>
      </c>
      <c r="G46" s="141">
        <v>3086</v>
      </c>
      <c r="H46" s="223">
        <v>27286</v>
      </c>
      <c r="I46" s="3538">
        <v>6428</v>
      </c>
      <c r="J46" s="318">
        <v>34</v>
      </c>
    </row>
    <row r="47" spans="1:10">
      <c r="A47" s="53">
        <f t="shared" si="0"/>
        <v>2009.02</v>
      </c>
      <c r="B47" s="215">
        <v>61432</v>
      </c>
      <c r="C47" s="3538">
        <v>14284</v>
      </c>
      <c r="D47" s="141">
        <v>1601</v>
      </c>
      <c r="E47" s="223">
        <v>166796</v>
      </c>
      <c r="F47" s="3538">
        <v>40894</v>
      </c>
      <c r="G47" s="141">
        <v>2851</v>
      </c>
      <c r="H47" s="223">
        <v>24808</v>
      </c>
      <c r="I47" s="3538">
        <v>5337</v>
      </c>
      <c r="J47" s="318">
        <v>53</v>
      </c>
    </row>
    <row r="48" spans="1:10">
      <c r="A48" s="53">
        <f t="shared" si="0"/>
        <v>2009.03</v>
      </c>
      <c r="B48" s="215">
        <v>68789</v>
      </c>
      <c r="C48" s="3538">
        <v>14359</v>
      </c>
      <c r="D48" s="141">
        <v>912</v>
      </c>
      <c r="E48" s="223">
        <v>184915</v>
      </c>
      <c r="F48" s="3538">
        <v>45729</v>
      </c>
      <c r="G48" s="141">
        <v>3051</v>
      </c>
      <c r="H48" s="223">
        <v>27652</v>
      </c>
      <c r="I48" s="3538">
        <v>8720</v>
      </c>
      <c r="J48" s="318">
        <v>48</v>
      </c>
    </row>
    <row r="49" spans="1:10">
      <c r="A49" s="53">
        <f t="shared" si="0"/>
        <v>2009.04</v>
      </c>
      <c r="B49" s="215">
        <v>64950</v>
      </c>
      <c r="C49" s="3538">
        <v>14470</v>
      </c>
      <c r="D49" s="141">
        <v>1255</v>
      </c>
      <c r="E49" s="223">
        <v>176580</v>
      </c>
      <c r="F49" s="3538">
        <v>47916</v>
      </c>
      <c r="G49" s="141">
        <v>2996</v>
      </c>
      <c r="H49" s="223">
        <v>27870</v>
      </c>
      <c r="I49" s="3538">
        <v>9970</v>
      </c>
      <c r="J49" s="318">
        <v>261</v>
      </c>
    </row>
    <row r="50" spans="1:10">
      <c r="A50" s="53">
        <f t="shared" si="0"/>
        <v>2009.05</v>
      </c>
      <c r="B50" s="215">
        <v>68138</v>
      </c>
      <c r="C50" s="3538">
        <v>16974</v>
      </c>
      <c r="D50" s="141">
        <v>1103</v>
      </c>
      <c r="E50" s="223">
        <v>183427</v>
      </c>
      <c r="F50" s="3538">
        <v>48502</v>
      </c>
      <c r="G50" s="141">
        <v>2643</v>
      </c>
      <c r="H50" s="223">
        <v>27652</v>
      </c>
      <c r="I50" s="3538">
        <v>8826</v>
      </c>
      <c r="J50" s="318">
        <v>122</v>
      </c>
    </row>
    <row r="51" spans="1:10">
      <c r="A51" s="53">
        <f t="shared" si="0"/>
        <v>2009.06</v>
      </c>
      <c r="B51" s="215">
        <v>65130</v>
      </c>
      <c r="C51" s="3538">
        <v>15304</v>
      </c>
      <c r="D51" s="141">
        <v>951</v>
      </c>
      <c r="E51" s="223">
        <v>179070</v>
      </c>
      <c r="F51" s="3538">
        <v>41669</v>
      </c>
      <c r="G51" s="141">
        <v>3261</v>
      </c>
      <c r="H51" s="223">
        <v>27870</v>
      </c>
      <c r="I51" s="3538">
        <v>9787</v>
      </c>
      <c r="J51" s="318">
        <v>249</v>
      </c>
    </row>
    <row r="52" spans="1:10">
      <c r="A52" s="53">
        <f t="shared" si="0"/>
        <v>2009.07</v>
      </c>
      <c r="B52" s="215">
        <v>67828</v>
      </c>
      <c r="C52" s="3538">
        <v>11961</v>
      </c>
      <c r="D52" s="141">
        <v>461</v>
      </c>
      <c r="E52" s="223">
        <v>185145</v>
      </c>
      <c r="F52" s="3538">
        <v>36173</v>
      </c>
      <c r="G52" s="141">
        <v>3246</v>
      </c>
      <c r="H52" s="223">
        <v>27652</v>
      </c>
      <c r="I52" s="3538">
        <v>8479</v>
      </c>
      <c r="J52" s="318">
        <v>0</v>
      </c>
    </row>
    <row r="53" spans="1:10">
      <c r="A53" s="53">
        <f t="shared" si="0"/>
        <v>2009.08</v>
      </c>
      <c r="B53" s="215">
        <v>67890</v>
      </c>
      <c r="C53" s="3538">
        <v>15689</v>
      </c>
      <c r="D53" s="141">
        <v>752</v>
      </c>
      <c r="E53" s="223">
        <v>184270</v>
      </c>
      <c r="F53" s="3538">
        <v>47196</v>
      </c>
      <c r="G53" s="141">
        <v>6043</v>
      </c>
      <c r="H53" s="223">
        <v>27652</v>
      </c>
      <c r="I53" s="3538">
        <v>8090</v>
      </c>
      <c r="J53" s="318">
        <v>218</v>
      </c>
    </row>
    <row r="54" spans="1:10">
      <c r="A54" s="53">
        <f t="shared" si="0"/>
        <v>2009.09</v>
      </c>
      <c r="B54" s="215">
        <v>66000</v>
      </c>
      <c r="C54" s="3538">
        <v>13753</v>
      </c>
      <c r="D54" s="141">
        <v>1191</v>
      </c>
      <c r="E54" s="223">
        <v>179550</v>
      </c>
      <c r="F54" s="3538">
        <v>51122</v>
      </c>
      <c r="G54" s="141">
        <v>6629</v>
      </c>
      <c r="H54" s="223">
        <v>27870</v>
      </c>
      <c r="I54" s="3538">
        <v>8757</v>
      </c>
      <c r="J54" s="318">
        <v>219</v>
      </c>
    </row>
    <row r="55" spans="1:10">
      <c r="A55" s="53">
        <f t="shared" si="0"/>
        <v>2009.1</v>
      </c>
      <c r="B55" s="215">
        <v>68479</v>
      </c>
      <c r="C55" s="3538">
        <v>21394</v>
      </c>
      <c r="D55" s="141">
        <v>1227</v>
      </c>
      <c r="E55" s="223">
        <v>184760</v>
      </c>
      <c r="F55" s="3538">
        <v>61903</v>
      </c>
      <c r="G55" s="141">
        <v>6174</v>
      </c>
      <c r="H55" s="223">
        <v>28365</v>
      </c>
      <c r="I55" s="3538">
        <v>11386</v>
      </c>
      <c r="J55" s="318">
        <v>258</v>
      </c>
    </row>
    <row r="56" spans="1:10">
      <c r="A56" s="53">
        <f t="shared" si="0"/>
        <v>2009.11</v>
      </c>
      <c r="B56" s="215">
        <v>67470</v>
      </c>
      <c r="C56" s="3538">
        <v>17457</v>
      </c>
      <c r="D56" s="141">
        <v>907</v>
      </c>
      <c r="E56" s="223">
        <v>179580</v>
      </c>
      <c r="F56" s="3538">
        <v>54744</v>
      </c>
      <c r="G56" s="141">
        <v>5704</v>
      </c>
      <c r="H56" s="223">
        <v>28350</v>
      </c>
      <c r="I56" s="3538">
        <v>12743</v>
      </c>
      <c r="J56" s="318">
        <v>168</v>
      </c>
    </row>
    <row r="57" spans="1:10">
      <c r="A57" s="53">
        <f t="shared" si="0"/>
        <v>2009.12</v>
      </c>
      <c r="B57" s="215">
        <v>67340</v>
      </c>
      <c r="C57" s="3538">
        <v>11965</v>
      </c>
      <c r="D57" s="141">
        <v>741</v>
      </c>
      <c r="E57" s="223">
        <v>184078</v>
      </c>
      <c r="F57" s="3538">
        <v>41997</v>
      </c>
      <c r="G57" s="141">
        <v>4004</v>
      </c>
      <c r="H57" s="223">
        <v>28915</v>
      </c>
      <c r="I57" s="3538">
        <v>9623</v>
      </c>
      <c r="J57" s="318">
        <v>118</v>
      </c>
    </row>
    <row r="58" spans="1:10">
      <c r="A58" s="53">
        <f t="shared" si="0"/>
        <v>2010.01</v>
      </c>
      <c r="B58" s="215">
        <v>64667</v>
      </c>
      <c r="C58" s="3538">
        <v>10287</v>
      </c>
      <c r="D58" s="141">
        <v>1366</v>
      </c>
      <c r="E58" s="223">
        <v>189552</v>
      </c>
      <c r="F58" s="3538">
        <v>36628</v>
      </c>
      <c r="G58" s="141">
        <v>3950</v>
      </c>
      <c r="H58" s="223">
        <v>28489</v>
      </c>
      <c r="I58" s="3538">
        <v>9721</v>
      </c>
      <c r="J58" s="318">
        <v>165</v>
      </c>
    </row>
    <row r="59" spans="1:10">
      <c r="A59" s="53">
        <f t="shared" si="0"/>
        <v>2010.02</v>
      </c>
      <c r="B59" s="215">
        <v>62804</v>
      </c>
      <c r="C59" s="3538">
        <v>10104</v>
      </c>
      <c r="D59" s="141">
        <v>1133</v>
      </c>
      <c r="E59" s="223">
        <v>172816</v>
      </c>
      <c r="F59" s="3538">
        <v>37538</v>
      </c>
      <c r="G59" s="141">
        <v>3712</v>
      </c>
      <c r="H59" s="223">
        <v>24276</v>
      </c>
      <c r="I59" s="3538">
        <v>6972</v>
      </c>
      <c r="J59" s="318">
        <v>15</v>
      </c>
    </row>
    <row r="60" spans="1:10">
      <c r="A60" s="53">
        <f t="shared" si="0"/>
        <v>2010.03</v>
      </c>
      <c r="B60" s="215">
        <v>68634</v>
      </c>
      <c r="C60" s="3538">
        <v>10162</v>
      </c>
      <c r="D60" s="141">
        <v>787</v>
      </c>
      <c r="E60" s="223">
        <v>200818</v>
      </c>
      <c r="F60" s="3538">
        <v>51121</v>
      </c>
      <c r="G60" s="141">
        <v>5755</v>
      </c>
      <c r="H60" s="223">
        <v>27652</v>
      </c>
      <c r="I60" s="3538">
        <v>8710</v>
      </c>
      <c r="J60" s="318">
        <v>78</v>
      </c>
    </row>
    <row r="61" spans="1:10">
      <c r="A61" s="53">
        <f t="shared" si="0"/>
        <v>2010.04</v>
      </c>
      <c r="B61" s="215">
        <v>66030</v>
      </c>
      <c r="C61" s="3538">
        <v>11934</v>
      </c>
      <c r="D61" s="141">
        <v>786</v>
      </c>
      <c r="E61" s="223">
        <v>192510</v>
      </c>
      <c r="F61" s="3538">
        <v>52430</v>
      </c>
      <c r="G61" s="141">
        <v>6457</v>
      </c>
      <c r="H61" s="223">
        <v>26760</v>
      </c>
      <c r="I61" s="3538">
        <v>8314</v>
      </c>
      <c r="J61" s="318">
        <v>120</v>
      </c>
    </row>
    <row r="62" spans="1:10">
      <c r="A62" s="53">
        <f t="shared" si="0"/>
        <v>2010.05</v>
      </c>
      <c r="B62" s="215">
        <v>68169</v>
      </c>
      <c r="C62" s="3538">
        <v>12614</v>
      </c>
      <c r="D62" s="190">
        <v>1564</v>
      </c>
      <c r="E62" s="223">
        <v>201655</v>
      </c>
      <c r="F62" s="3538">
        <v>57590</v>
      </c>
      <c r="G62" s="141">
        <v>4500</v>
      </c>
      <c r="H62" s="223">
        <v>28458</v>
      </c>
      <c r="I62" s="3538">
        <v>7868</v>
      </c>
      <c r="J62" s="318">
        <v>89</v>
      </c>
    </row>
    <row r="63" spans="1:10">
      <c r="A63" s="53">
        <f t="shared" si="0"/>
        <v>2010.06</v>
      </c>
      <c r="B63" s="215">
        <v>65790</v>
      </c>
      <c r="C63" s="3538">
        <v>11181</v>
      </c>
      <c r="D63" s="141">
        <v>2368</v>
      </c>
      <c r="E63" s="223">
        <v>194430</v>
      </c>
      <c r="F63" s="3538">
        <v>53088</v>
      </c>
      <c r="G63" s="141">
        <v>7445</v>
      </c>
      <c r="H63" s="223">
        <v>25950</v>
      </c>
      <c r="I63" s="3538">
        <v>5861</v>
      </c>
      <c r="J63" s="318">
        <v>44</v>
      </c>
    </row>
    <row r="64" spans="1:10">
      <c r="A64" s="53">
        <f t="shared" si="0"/>
        <v>2010.07</v>
      </c>
      <c r="B64" s="215">
        <v>67983</v>
      </c>
      <c r="C64" s="3538">
        <v>14452</v>
      </c>
      <c r="D64" s="141">
        <v>1569</v>
      </c>
      <c r="E64" s="223">
        <v>202864</v>
      </c>
      <c r="F64" s="3538">
        <v>65579</v>
      </c>
      <c r="G64" s="141">
        <v>6336</v>
      </c>
      <c r="H64" s="223">
        <v>28799</v>
      </c>
      <c r="I64" s="3538">
        <v>7961</v>
      </c>
      <c r="J64" s="318">
        <v>44</v>
      </c>
    </row>
    <row r="65" spans="1:11">
      <c r="A65" s="53">
        <f t="shared" si="0"/>
        <v>2010.08</v>
      </c>
      <c r="B65" s="215">
        <v>68851</v>
      </c>
      <c r="C65" s="3538">
        <v>13365</v>
      </c>
      <c r="D65" s="141">
        <v>1024</v>
      </c>
      <c r="E65" s="223">
        <v>202430</v>
      </c>
      <c r="F65" s="3538">
        <v>63141</v>
      </c>
      <c r="G65" s="141">
        <v>6410</v>
      </c>
      <c r="H65" s="223">
        <v>29202</v>
      </c>
      <c r="I65" s="3538">
        <v>8456</v>
      </c>
      <c r="J65" s="318">
        <v>92</v>
      </c>
      <c r="K65" s="166"/>
    </row>
    <row r="66" spans="1:11">
      <c r="A66" s="53">
        <f t="shared" ref="A66:A97" si="1">A54+1</f>
        <v>2010.09</v>
      </c>
      <c r="B66" s="215">
        <v>64830</v>
      </c>
      <c r="C66" s="3538">
        <v>14075</v>
      </c>
      <c r="D66" s="141">
        <v>2048</v>
      </c>
      <c r="E66" s="223">
        <v>193770</v>
      </c>
      <c r="F66" s="3538">
        <v>63881</v>
      </c>
      <c r="G66" s="141">
        <v>6963</v>
      </c>
      <c r="H66" s="223">
        <v>28410</v>
      </c>
      <c r="I66" s="3538">
        <v>8713</v>
      </c>
      <c r="J66" s="318">
        <v>106</v>
      </c>
      <c r="K66" s="166"/>
    </row>
    <row r="67" spans="1:11">
      <c r="A67" s="53">
        <f t="shared" si="1"/>
        <v>2010.1</v>
      </c>
      <c r="B67" s="215">
        <v>68076</v>
      </c>
      <c r="C67" s="3538">
        <v>16006</v>
      </c>
      <c r="D67" s="141">
        <v>1542</v>
      </c>
      <c r="E67" s="223">
        <v>202926</v>
      </c>
      <c r="F67" s="3538">
        <v>63923</v>
      </c>
      <c r="G67" s="141">
        <v>3836</v>
      </c>
      <c r="H67" s="223">
        <v>31000</v>
      </c>
      <c r="I67" s="3538">
        <v>8857</v>
      </c>
      <c r="J67" s="318">
        <v>191</v>
      </c>
      <c r="K67" s="166"/>
    </row>
    <row r="68" spans="1:11">
      <c r="A68" s="53">
        <f t="shared" si="1"/>
        <v>2010.11</v>
      </c>
      <c r="B68" s="215">
        <v>64470</v>
      </c>
      <c r="C68" s="3538">
        <v>13802</v>
      </c>
      <c r="D68" s="141">
        <v>937</v>
      </c>
      <c r="E68" s="223">
        <v>195390</v>
      </c>
      <c r="F68" s="3538">
        <v>59286</v>
      </c>
      <c r="G68" s="141">
        <v>4372</v>
      </c>
      <c r="H68" s="223">
        <v>28410</v>
      </c>
      <c r="I68" s="3538">
        <v>8531</v>
      </c>
      <c r="J68" s="318">
        <v>108</v>
      </c>
      <c r="K68" s="166"/>
    </row>
    <row r="69" spans="1:11">
      <c r="A69" s="53">
        <f t="shared" si="1"/>
        <v>2010.12</v>
      </c>
      <c r="B69" s="215">
        <v>67642</v>
      </c>
      <c r="C69" s="3538">
        <v>11761</v>
      </c>
      <c r="D69" s="141">
        <v>656</v>
      </c>
      <c r="E69" s="223">
        <v>201536</v>
      </c>
      <c r="F69" s="3538">
        <v>51936</v>
      </c>
      <c r="G69" s="141">
        <v>4562</v>
      </c>
      <c r="H69" s="223">
        <v>29893</v>
      </c>
      <c r="I69" s="3538">
        <v>7562</v>
      </c>
      <c r="J69" s="318">
        <v>85</v>
      </c>
      <c r="K69" s="954"/>
    </row>
    <row r="70" spans="1:11">
      <c r="A70" s="53">
        <f t="shared" si="1"/>
        <v>2011.01</v>
      </c>
      <c r="B70" s="215">
        <v>66960</v>
      </c>
      <c r="C70" s="3538">
        <v>11068</v>
      </c>
      <c r="D70" s="141">
        <v>1075</v>
      </c>
      <c r="E70" s="223">
        <v>190278</v>
      </c>
      <c r="F70" s="3538">
        <v>47268</v>
      </c>
      <c r="G70" s="141">
        <v>3674</v>
      </c>
      <c r="H70" s="223">
        <v>31544</v>
      </c>
      <c r="I70" s="3538">
        <v>6855</v>
      </c>
      <c r="J70" s="318">
        <v>22</v>
      </c>
      <c r="K70" s="166"/>
    </row>
    <row r="71" spans="1:11">
      <c r="A71" s="53">
        <f t="shared" si="1"/>
        <v>2011.02</v>
      </c>
      <c r="B71" s="215">
        <v>60480</v>
      </c>
      <c r="C71" s="3538">
        <v>12016</v>
      </c>
      <c r="D71" s="141">
        <v>1422</v>
      </c>
      <c r="E71" s="223">
        <v>172844</v>
      </c>
      <c r="F71" s="3538">
        <v>49311</v>
      </c>
      <c r="G71" s="141">
        <v>4213</v>
      </c>
      <c r="H71" s="223">
        <v>26824</v>
      </c>
      <c r="I71" s="3538">
        <v>7397</v>
      </c>
      <c r="J71" s="318">
        <v>61</v>
      </c>
      <c r="K71" s="166"/>
    </row>
    <row r="72" spans="1:11">
      <c r="A72" s="53">
        <f t="shared" si="1"/>
        <v>2011.03</v>
      </c>
      <c r="B72" s="215">
        <v>67053</v>
      </c>
      <c r="C72" s="3538">
        <v>14763</v>
      </c>
      <c r="D72" s="141">
        <v>1078</v>
      </c>
      <c r="E72" s="223">
        <v>204693</v>
      </c>
      <c r="F72" s="3538">
        <v>61166</v>
      </c>
      <c r="G72" s="141">
        <v>4756</v>
      </c>
      <c r="H72" s="223">
        <v>30442</v>
      </c>
      <c r="I72" s="3538">
        <v>8319</v>
      </c>
      <c r="J72" s="318">
        <v>173</v>
      </c>
      <c r="K72" s="166"/>
    </row>
    <row r="73" spans="1:11">
      <c r="A73" s="53">
        <f t="shared" si="1"/>
        <v>2011.04</v>
      </c>
      <c r="B73" s="215">
        <v>64890</v>
      </c>
      <c r="C73" s="3538">
        <v>15471</v>
      </c>
      <c r="D73" s="141">
        <v>1128</v>
      </c>
      <c r="E73" s="223">
        <v>202290</v>
      </c>
      <c r="F73" s="3538">
        <v>59254</v>
      </c>
      <c r="G73" s="141">
        <v>4484</v>
      </c>
      <c r="H73" s="223">
        <v>29400</v>
      </c>
      <c r="I73" s="3538">
        <v>8823</v>
      </c>
      <c r="J73" s="318">
        <v>92</v>
      </c>
      <c r="K73" s="166"/>
    </row>
    <row r="74" spans="1:11">
      <c r="A74" s="53">
        <f t="shared" si="1"/>
        <v>2011.05</v>
      </c>
      <c r="B74" s="215">
        <v>67084</v>
      </c>
      <c r="C74" s="3538">
        <v>15397</v>
      </c>
      <c r="D74" s="141">
        <v>955</v>
      </c>
      <c r="E74" s="223">
        <v>207481</v>
      </c>
      <c r="F74" s="3538">
        <v>54957</v>
      </c>
      <c r="G74" s="141">
        <v>3129</v>
      </c>
      <c r="H74" s="223">
        <v>31744</v>
      </c>
      <c r="I74" s="3538">
        <v>8622</v>
      </c>
      <c r="J74" s="318">
        <v>120</v>
      </c>
      <c r="K74" s="166"/>
    </row>
    <row r="75" spans="1:11">
      <c r="A75" s="53">
        <f t="shared" si="1"/>
        <v>2011.06</v>
      </c>
      <c r="B75" s="215">
        <v>64890</v>
      </c>
      <c r="C75" s="3538">
        <v>16055</v>
      </c>
      <c r="D75" s="141">
        <v>1598</v>
      </c>
      <c r="E75" s="223">
        <v>202470</v>
      </c>
      <c r="F75" s="3538">
        <v>62719</v>
      </c>
      <c r="G75" s="141">
        <v>3425</v>
      </c>
      <c r="H75" s="223">
        <v>29400</v>
      </c>
      <c r="I75" s="3538">
        <v>7671</v>
      </c>
      <c r="J75" s="318">
        <v>80</v>
      </c>
      <c r="K75" s="166"/>
    </row>
    <row r="76" spans="1:11">
      <c r="A76" s="53">
        <f t="shared" si="1"/>
        <v>2011.07</v>
      </c>
      <c r="B76" s="215">
        <v>67053</v>
      </c>
      <c r="C76" s="3538">
        <v>16704</v>
      </c>
      <c r="D76" s="141">
        <v>5138</v>
      </c>
      <c r="E76" s="223">
        <v>210707</v>
      </c>
      <c r="F76" s="3538">
        <v>73125</v>
      </c>
      <c r="G76" s="141">
        <v>5112</v>
      </c>
      <c r="H76" s="223">
        <v>31527</v>
      </c>
      <c r="I76" s="3538">
        <v>8019</v>
      </c>
      <c r="J76" s="318">
        <v>95</v>
      </c>
      <c r="K76" s="166"/>
    </row>
    <row r="77" spans="1:11">
      <c r="A77" s="53">
        <f t="shared" si="1"/>
        <v>2011.08</v>
      </c>
      <c r="B77" s="215">
        <v>67053</v>
      </c>
      <c r="C77" s="3538">
        <v>16805</v>
      </c>
      <c r="D77" s="141">
        <v>1089</v>
      </c>
      <c r="E77" s="223">
        <v>208940</v>
      </c>
      <c r="F77" s="3538">
        <v>67404</v>
      </c>
      <c r="G77" s="141">
        <v>4980</v>
      </c>
      <c r="H77" s="223">
        <v>31527</v>
      </c>
      <c r="I77" s="3538">
        <v>8692</v>
      </c>
      <c r="J77" s="318">
        <v>127</v>
      </c>
      <c r="K77" s="166"/>
    </row>
    <row r="78" spans="1:11">
      <c r="A78" s="53">
        <f t="shared" si="1"/>
        <v>2011.09</v>
      </c>
      <c r="B78" s="215">
        <v>65220</v>
      </c>
      <c r="C78" s="3538">
        <v>17758</v>
      </c>
      <c r="D78" s="141">
        <v>1363</v>
      </c>
      <c r="E78" s="223">
        <v>202140</v>
      </c>
      <c r="F78" s="3538">
        <v>71032</v>
      </c>
      <c r="G78" s="141">
        <v>4747</v>
      </c>
      <c r="H78" s="223">
        <v>29010</v>
      </c>
      <c r="I78" s="3538">
        <v>7625</v>
      </c>
      <c r="J78" s="318">
        <v>22</v>
      </c>
      <c r="K78" s="166"/>
    </row>
    <row r="79" spans="1:11">
      <c r="A79" s="53">
        <f t="shared" si="1"/>
        <v>2011.1</v>
      </c>
      <c r="B79" s="215">
        <v>67363</v>
      </c>
      <c r="C79" s="3538">
        <v>17000</v>
      </c>
      <c r="D79" s="141">
        <v>1146</v>
      </c>
      <c r="E79" s="223">
        <v>210676</v>
      </c>
      <c r="F79" s="3538">
        <v>65885</v>
      </c>
      <c r="G79" s="141">
        <v>4961</v>
      </c>
      <c r="H79" s="223">
        <v>30721</v>
      </c>
      <c r="I79" s="3538">
        <v>9459</v>
      </c>
      <c r="J79" s="318">
        <v>78</v>
      </c>
      <c r="K79" s="166"/>
    </row>
    <row r="80" spans="1:11">
      <c r="A80" s="53">
        <f t="shared" si="1"/>
        <v>2011.11</v>
      </c>
      <c r="B80" s="215">
        <v>64590</v>
      </c>
      <c r="C80" s="3538">
        <v>14272</v>
      </c>
      <c r="D80" s="141">
        <v>2261</v>
      </c>
      <c r="E80" s="223">
        <v>202590</v>
      </c>
      <c r="F80" s="3538">
        <v>62730</v>
      </c>
      <c r="G80" s="141">
        <v>4163</v>
      </c>
      <c r="H80" s="223">
        <v>30510</v>
      </c>
      <c r="I80" s="3538">
        <v>8098</v>
      </c>
      <c r="J80" s="318">
        <v>80</v>
      </c>
      <c r="K80" s="166"/>
    </row>
    <row r="81" spans="1:11">
      <c r="A81" s="53">
        <f t="shared" si="1"/>
        <v>2011.12</v>
      </c>
      <c r="B81" s="215">
        <v>67115</v>
      </c>
      <c r="C81" s="3538">
        <v>13962</v>
      </c>
      <c r="D81" s="141">
        <v>1409</v>
      </c>
      <c r="E81" s="223">
        <v>209826</v>
      </c>
      <c r="F81" s="3538">
        <v>58827</v>
      </c>
      <c r="G81" s="141">
        <v>4021</v>
      </c>
      <c r="H81" s="223">
        <v>29679</v>
      </c>
      <c r="I81" s="3538">
        <v>6982</v>
      </c>
      <c r="J81" s="318">
        <v>92</v>
      </c>
      <c r="K81" s="166"/>
    </row>
    <row r="82" spans="1:11">
      <c r="A82" s="53">
        <f t="shared" si="1"/>
        <v>2012.01</v>
      </c>
      <c r="B82" s="215">
        <v>67053</v>
      </c>
      <c r="C82" s="3538">
        <v>13410</v>
      </c>
      <c r="D82" s="141">
        <v>1449</v>
      </c>
      <c r="E82" s="223">
        <v>212802</v>
      </c>
      <c r="F82" s="3538">
        <v>56662</v>
      </c>
      <c r="G82" s="141">
        <v>7848</v>
      </c>
      <c r="H82" s="223">
        <v>29357</v>
      </c>
      <c r="I82" s="3538">
        <v>6221</v>
      </c>
      <c r="J82" s="318">
        <v>125</v>
      </c>
      <c r="K82" s="166"/>
    </row>
    <row r="83" spans="1:11">
      <c r="A83" s="53">
        <f t="shared" si="1"/>
        <v>2012.02</v>
      </c>
      <c r="B83" s="215">
        <v>61741</v>
      </c>
      <c r="C83" s="3538">
        <v>13400</v>
      </c>
      <c r="D83" s="141">
        <v>1611</v>
      </c>
      <c r="E83" s="223">
        <v>195170</v>
      </c>
      <c r="F83" s="3538">
        <v>56966</v>
      </c>
      <c r="G83" s="141">
        <v>6282</v>
      </c>
      <c r="H83" s="223">
        <v>27463</v>
      </c>
      <c r="I83" s="3538">
        <v>7346</v>
      </c>
      <c r="J83" s="318">
        <v>70</v>
      </c>
      <c r="K83" s="166"/>
    </row>
    <row r="84" spans="1:11">
      <c r="A84" s="53">
        <f t="shared" si="1"/>
        <v>2012.03</v>
      </c>
      <c r="B84" s="215">
        <v>65999</v>
      </c>
      <c r="C84" s="3538">
        <v>12244</v>
      </c>
      <c r="D84" s="141">
        <v>1108</v>
      </c>
      <c r="E84" s="223">
        <v>215140</v>
      </c>
      <c r="F84" s="3538">
        <v>52147</v>
      </c>
      <c r="G84" s="141">
        <v>5836</v>
      </c>
      <c r="H84" s="223">
        <v>29760</v>
      </c>
      <c r="I84" s="3538">
        <v>6722</v>
      </c>
      <c r="J84" s="318">
        <v>16</v>
      </c>
      <c r="K84" s="166"/>
    </row>
    <row r="85" spans="1:11">
      <c r="A85" s="53">
        <f t="shared" si="1"/>
        <v>2012.04</v>
      </c>
      <c r="B85" s="215">
        <v>64620</v>
      </c>
      <c r="C85" s="3538">
        <v>14294</v>
      </c>
      <c r="D85" s="141">
        <v>920</v>
      </c>
      <c r="E85" s="223">
        <v>204480</v>
      </c>
      <c r="F85" s="3538">
        <v>63762</v>
      </c>
      <c r="G85" s="141">
        <v>6050</v>
      </c>
      <c r="H85" s="223">
        <v>29940</v>
      </c>
      <c r="I85" s="3538">
        <v>6417</v>
      </c>
      <c r="J85" s="318">
        <v>75</v>
      </c>
      <c r="K85" s="166"/>
    </row>
    <row r="86" spans="1:11">
      <c r="A86" s="53">
        <f t="shared" si="1"/>
        <v>2012.05</v>
      </c>
      <c r="B86" s="215">
        <v>65999</v>
      </c>
      <c r="C86" s="3538">
        <v>14488</v>
      </c>
      <c r="D86" s="141">
        <v>977</v>
      </c>
      <c r="E86" s="223">
        <v>211854</v>
      </c>
      <c r="F86" s="3538">
        <v>55635</v>
      </c>
      <c r="G86" s="141">
        <v>6423</v>
      </c>
      <c r="H86" s="223">
        <v>30504</v>
      </c>
      <c r="I86" s="3538">
        <v>7849</v>
      </c>
      <c r="J86" s="318">
        <v>64</v>
      </c>
      <c r="K86" s="166"/>
    </row>
    <row r="87" spans="1:11">
      <c r="A87" s="53">
        <f t="shared" si="1"/>
        <v>2012.06</v>
      </c>
      <c r="B87" s="215">
        <v>63870</v>
      </c>
      <c r="C87" s="3538">
        <v>15942</v>
      </c>
      <c r="D87" s="141">
        <v>1095</v>
      </c>
      <c r="E87" s="223">
        <v>205620</v>
      </c>
      <c r="F87" s="3538">
        <v>60742</v>
      </c>
      <c r="G87" s="141">
        <v>5991</v>
      </c>
      <c r="H87" s="223">
        <v>29940</v>
      </c>
      <c r="I87" s="3538">
        <v>7358</v>
      </c>
      <c r="J87" s="318">
        <v>120</v>
      </c>
      <c r="K87" s="166"/>
    </row>
    <row r="88" spans="1:11">
      <c r="A88" s="53">
        <f t="shared" si="1"/>
        <v>2012.07</v>
      </c>
      <c r="B88" s="215">
        <v>66464</v>
      </c>
      <c r="C88" s="3538">
        <v>16135</v>
      </c>
      <c r="D88" s="141">
        <v>1524</v>
      </c>
      <c r="E88" s="223">
        <v>209188</v>
      </c>
      <c r="F88" s="3538">
        <v>77425</v>
      </c>
      <c r="G88" s="141">
        <v>6573</v>
      </c>
      <c r="H88" s="223">
        <v>31558</v>
      </c>
      <c r="I88" s="3538">
        <v>8426</v>
      </c>
      <c r="J88" s="318">
        <v>38</v>
      </c>
      <c r="K88" s="166"/>
    </row>
    <row r="89" spans="1:11">
      <c r="A89" s="53">
        <f t="shared" si="1"/>
        <v>2012.08</v>
      </c>
      <c r="B89" s="215">
        <v>66526</v>
      </c>
      <c r="C89" s="3538">
        <v>17760</v>
      </c>
      <c r="D89" s="141">
        <v>1338</v>
      </c>
      <c r="E89" s="223">
        <v>209932</v>
      </c>
      <c r="F89" s="3538">
        <v>70644</v>
      </c>
      <c r="G89" s="141">
        <v>5600</v>
      </c>
      <c r="H89" s="223">
        <v>31248</v>
      </c>
      <c r="I89" s="3538">
        <v>8495</v>
      </c>
      <c r="J89" s="318">
        <v>170</v>
      </c>
      <c r="K89" s="166"/>
    </row>
    <row r="90" spans="1:11">
      <c r="A90" s="53">
        <f t="shared" si="1"/>
        <v>2012.09</v>
      </c>
      <c r="B90" s="215">
        <v>64680</v>
      </c>
      <c r="C90" s="3538">
        <v>16935</v>
      </c>
      <c r="D90" s="141">
        <v>3158</v>
      </c>
      <c r="E90" s="223">
        <v>204360</v>
      </c>
      <c r="F90" s="3538">
        <v>63273</v>
      </c>
      <c r="G90" s="141">
        <v>5984</v>
      </c>
      <c r="H90" s="223">
        <v>30240</v>
      </c>
      <c r="I90" s="3538">
        <v>8306</v>
      </c>
      <c r="J90" s="318">
        <v>71</v>
      </c>
      <c r="K90" s="166"/>
    </row>
    <row r="91" spans="1:11">
      <c r="A91" s="53">
        <f t="shared" si="1"/>
        <v>2012.1</v>
      </c>
      <c r="B91" s="215">
        <v>67580</v>
      </c>
      <c r="C91" s="3538">
        <v>20701</v>
      </c>
      <c r="D91" s="141">
        <v>2434</v>
      </c>
      <c r="E91" s="223">
        <v>210149</v>
      </c>
      <c r="F91" s="3538">
        <v>63395</v>
      </c>
      <c r="G91" s="141">
        <v>7708</v>
      </c>
      <c r="H91" s="223">
        <v>29698</v>
      </c>
      <c r="I91" s="3538">
        <v>8298</v>
      </c>
      <c r="J91" s="318">
        <v>132</v>
      </c>
      <c r="K91" s="166"/>
    </row>
    <row r="92" spans="1:11">
      <c r="A92" s="53">
        <f t="shared" si="1"/>
        <v>2012.11</v>
      </c>
      <c r="B92" s="215">
        <v>64050</v>
      </c>
      <c r="C92" s="3538">
        <v>18405</v>
      </c>
      <c r="D92" s="141">
        <v>1458</v>
      </c>
      <c r="E92" s="223">
        <v>206760</v>
      </c>
      <c r="F92" s="3538">
        <v>62604</v>
      </c>
      <c r="G92" s="141">
        <v>6648</v>
      </c>
      <c r="H92" s="223">
        <v>30240</v>
      </c>
      <c r="I92" s="3538">
        <v>8307</v>
      </c>
      <c r="J92" s="318">
        <v>90</v>
      </c>
      <c r="K92" s="166"/>
    </row>
    <row r="93" spans="1:11">
      <c r="A93" s="53">
        <f t="shared" si="1"/>
        <v>2012.12</v>
      </c>
      <c r="B93" s="215">
        <v>65759</v>
      </c>
      <c r="C93" s="3538">
        <v>16587</v>
      </c>
      <c r="D93" s="141">
        <v>736</v>
      </c>
      <c r="E93" s="223">
        <v>211505</v>
      </c>
      <c r="F93" s="3538">
        <v>56586</v>
      </c>
      <c r="G93" s="141">
        <v>4872</v>
      </c>
      <c r="H93" s="223">
        <v>30535</v>
      </c>
      <c r="I93" s="3538">
        <v>6772</v>
      </c>
      <c r="J93" s="318">
        <v>86</v>
      </c>
      <c r="K93" s="954"/>
    </row>
    <row r="94" spans="1:11">
      <c r="A94" s="53">
        <f t="shared" si="1"/>
        <v>2013.01</v>
      </c>
      <c r="B94" s="215">
        <v>64325</v>
      </c>
      <c r="C94" s="3538">
        <v>10994</v>
      </c>
      <c r="D94" s="141">
        <v>968</v>
      </c>
      <c r="E94" s="223">
        <v>211766</v>
      </c>
      <c r="F94" s="3538">
        <v>53978</v>
      </c>
      <c r="G94" s="141">
        <v>6298</v>
      </c>
      <c r="H94" s="223">
        <v>30194</v>
      </c>
      <c r="I94" s="3538">
        <v>6423</v>
      </c>
      <c r="J94" s="318">
        <v>9</v>
      </c>
      <c r="K94" s="166"/>
    </row>
    <row r="95" spans="1:11">
      <c r="A95" s="53">
        <f t="shared" si="1"/>
        <v>2013.02</v>
      </c>
      <c r="B95" s="215">
        <v>60200</v>
      </c>
      <c r="C95" s="3538">
        <v>11828</v>
      </c>
      <c r="D95" s="141">
        <v>1001</v>
      </c>
      <c r="E95" s="223">
        <v>194572</v>
      </c>
      <c r="F95" s="3538">
        <v>55052</v>
      </c>
      <c r="G95" s="141">
        <v>4086</v>
      </c>
      <c r="H95" s="223">
        <v>27272</v>
      </c>
      <c r="I95" s="3538">
        <v>6154</v>
      </c>
      <c r="J95" s="318">
        <v>74</v>
      </c>
      <c r="K95" s="166"/>
    </row>
    <row r="96" spans="1:11">
      <c r="A96" s="53">
        <f t="shared" si="1"/>
        <v>2013.03</v>
      </c>
      <c r="B96" s="215">
        <v>66650</v>
      </c>
      <c r="C96" s="3538">
        <v>13037</v>
      </c>
      <c r="D96" s="141">
        <v>966</v>
      </c>
      <c r="E96" s="223">
        <v>214830</v>
      </c>
      <c r="F96" s="3538">
        <v>54328</v>
      </c>
      <c r="G96" s="141">
        <v>8707</v>
      </c>
      <c r="H96" s="223">
        <v>30256</v>
      </c>
      <c r="I96" s="3538">
        <v>6701</v>
      </c>
      <c r="J96" s="318">
        <v>73</v>
      </c>
      <c r="K96" s="166"/>
    </row>
    <row r="97" spans="1:11">
      <c r="A97" s="53">
        <f t="shared" si="1"/>
        <v>2013.04</v>
      </c>
      <c r="B97" s="215">
        <v>64500</v>
      </c>
      <c r="C97" s="3538">
        <v>13246</v>
      </c>
      <c r="D97" s="141">
        <v>921</v>
      </c>
      <c r="E97" s="223">
        <v>208200</v>
      </c>
      <c r="F97" s="3538">
        <v>52753</v>
      </c>
      <c r="G97" s="141">
        <v>6081</v>
      </c>
      <c r="H97" s="223">
        <v>29220</v>
      </c>
      <c r="I97" s="3538">
        <v>6395</v>
      </c>
      <c r="J97" s="318">
        <v>81</v>
      </c>
      <c r="K97" s="166"/>
    </row>
    <row r="98" spans="1:11">
      <c r="A98" s="53">
        <f t="shared" ref="A98:A161" si="2">A86+1</f>
        <v>2013.05</v>
      </c>
      <c r="B98" s="215">
        <v>66774</v>
      </c>
      <c r="C98" s="3538">
        <v>14856</v>
      </c>
      <c r="D98" s="141">
        <v>1229</v>
      </c>
      <c r="E98" s="223">
        <v>215388</v>
      </c>
      <c r="F98" s="3538">
        <v>61475</v>
      </c>
      <c r="G98" s="141">
        <v>7058</v>
      </c>
      <c r="H98" s="223">
        <v>30194</v>
      </c>
      <c r="I98" s="3538">
        <v>6289</v>
      </c>
      <c r="J98" s="318">
        <v>39</v>
      </c>
      <c r="K98" s="166"/>
    </row>
    <row r="99" spans="1:11">
      <c r="A99" s="53">
        <f t="shared" si="2"/>
        <v>2013.06</v>
      </c>
      <c r="B99" s="215">
        <v>62250</v>
      </c>
      <c r="C99" s="3538">
        <v>14914</v>
      </c>
      <c r="D99" s="141">
        <v>1339</v>
      </c>
      <c r="E99" s="223">
        <v>208770</v>
      </c>
      <c r="F99" s="3538">
        <v>58546</v>
      </c>
      <c r="G99" s="141">
        <v>5567</v>
      </c>
      <c r="H99" s="223">
        <v>30210</v>
      </c>
      <c r="I99" s="3538">
        <v>6024</v>
      </c>
      <c r="J99" s="318">
        <v>236</v>
      </c>
      <c r="K99" s="166"/>
    </row>
    <row r="100" spans="1:11">
      <c r="A100" s="53">
        <f t="shared" si="2"/>
        <v>2013.07</v>
      </c>
      <c r="B100" s="215">
        <v>64480</v>
      </c>
      <c r="C100" s="3538">
        <v>15478</v>
      </c>
      <c r="D100" s="141">
        <v>1178</v>
      </c>
      <c r="E100" s="223">
        <v>214582</v>
      </c>
      <c r="F100" s="3538">
        <v>73872</v>
      </c>
      <c r="G100" s="141">
        <v>7933</v>
      </c>
      <c r="H100" s="223">
        <v>31217</v>
      </c>
      <c r="I100" s="3538">
        <v>6939</v>
      </c>
      <c r="J100" s="318">
        <v>54</v>
      </c>
      <c r="K100" s="166"/>
    </row>
    <row r="101" spans="1:11">
      <c r="A101" s="53">
        <f t="shared" si="2"/>
        <v>2013.08</v>
      </c>
      <c r="B101" s="215">
        <v>64418</v>
      </c>
      <c r="C101" s="3538">
        <v>19239</v>
      </c>
      <c r="D101" s="141">
        <v>1898</v>
      </c>
      <c r="E101" s="223">
        <v>212970</v>
      </c>
      <c r="F101" s="3538">
        <v>64688</v>
      </c>
      <c r="G101" s="141">
        <v>5633</v>
      </c>
      <c r="H101" s="223">
        <v>31279</v>
      </c>
      <c r="I101" s="3538">
        <v>8154</v>
      </c>
      <c r="J101" s="318">
        <v>112</v>
      </c>
      <c r="K101" s="166"/>
    </row>
    <row r="102" spans="1:11">
      <c r="A102" s="53">
        <f t="shared" si="2"/>
        <v>2013.09</v>
      </c>
      <c r="B102" s="215">
        <v>61680</v>
      </c>
      <c r="C102" s="3538">
        <v>15773</v>
      </c>
      <c r="D102" s="141">
        <v>1094</v>
      </c>
      <c r="E102" s="223">
        <v>206574</v>
      </c>
      <c r="F102" s="3538">
        <v>61897</v>
      </c>
      <c r="G102" s="141">
        <v>7164</v>
      </c>
      <c r="H102" s="223">
        <v>28320</v>
      </c>
      <c r="I102" s="3538">
        <v>6682</v>
      </c>
      <c r="J102" s="318">
        <v>138</v>
      </c>
      <c r="K102" s="166"/>
    </row>
    <row r="103" spans="1:11">
      <c r="A103" s="53">
        <f t="shared" si="2"/>
        <v>2013.1</v>
      </c>
      <c r="B103" s="215">
        <v>63736</v>
      </c>
      <c r="C103" s="3538">
        <v>15975</v>
      </c>
      <c r="D103" s="141">
        <v>1341</v>
      </c>
      <c r="E103" s="223">
        <v>214148</v>
      </c>
      <c r="F103" s="3538">
        <v>66826</v>
      </c>
      <c r="G103" s="141">
        <v>7269</v>
      </c>
      <c r="H103" s="223">
        <v>30070</v>
      </c>
      <c r="I103" s="3538">
        <v>7542</v>
      </c>
      <c r="J103" s="318">
        <v>115</v>
      </c>
      <c r="K103" s="166"/>
    </row>
    <row r="104" spans="1:11">
      <c r="A104" s="53">
        <f t="shared" si="2"/>
        <v>2013.11</v>
      </c>
      <c r="B104" s="215">
        <v>63570</v>
      </c>
      <c r="C104" s="3538">
        <v>15851</v>
      </c>
      <c r="D104" s="141">
        <v>1226</v>
      </c>
      <c r="E104" s="223">
        <v>206550</v>
      </c>
      <c r="F104" s="3538">
        <v>63630</v>
      </c>
      <c r="G104" s="141">
        <v>7328</v>
      </c>
      <c r="H104" s="223">
        <v>30090</v>
      </c>
      <c r="I104" s="3538">
        <v>7736</v>
      </c>
      <c r="J104" s="318">
        <v>114</v>
      </c>
      <c r="K104" s="166"/>
    </row>
    <row r="105" spans="1:11">
      <c r="A105" s="53">
        <f t="shared" si="2"/>
        <v>2013.12</v>
      </c>
      <c r="B105" s="215">
        <v>65268</v>
      </c>
      <c r="C105" s="3538">
        <v>13537</v>
      </c>
      <c r="D105" s="141">
        <v>813</v>
      </c>
      <c r="E105" s="223">
        <v>211265</v>
      </c>
      <c r="F105" s="3538">
        <v>49393</v>
      </c>
      <c r="G105" s="141">
        <v>5698</v>
      </c>
      <c r="H105" s="223">
        <v>31003</v>
      </c>
      <c r="I105" s="3538">
        <v>6391</v>
      </c>
      <c r="J105" s="318">
        <v>78</v>
      </c>
      <c r="K105" s="166"/>
    </row>
    <row r="106" spans="1:11">
      <c r="A106" s="53">
        <f t="shared" si="2"/>
        <v>2014.01</v>
      </c>
      <c r="B106" s="215">
        <v>65441</v>
      </c>
      <c r="C106" s="3538">
        <v>11670</v>
      </c>
      <c r="D106" s="141">
        <v>1225</v>
      </c>
      <c r="E106" s="223">
        <v>215760</v>
      </c>
      <c r="F106" s="3538">
        <v>55493</v>
      </c>
      <c r="G106" s="141">
        <v>10003</v>
      </c>
      <c r="H106" s="223">
        <v>31372</v>
      </c>
      <c r="I106" s="3538">
        <v>5745</v>
      </c>
      <c r="J106" s="318">
        <v>88</v>
      </c>
      <c r="K106" s="166"/>
    </row>
    <row r="107" spans="1:11">
      <c r="A107" s="53">
        <f t="shared" si="2"/>
        <v>2014.02</v>
      </c>
      <c r="B107" s="215">
        <v>59192</v>
      </c>
      <c r="C107" s="3538">
        <v>12161</v>
      </c>
      <c r="D107" s="141">
        <v>960</v>
      </c>
      <c r="E107" s="223">
        <v>191268</v>
      </c>
      <c r="F107" s="3538">
        <v>51801</v>
      </c>
      <c r="G107" s="141">
        <v>5545</v>
      </c>
      <c r="H107" s="223">
        <v>28336</v>
      </c>
      <c r="I107" s="3538">
        <v>5995</v>
      </c>
      <c r="J107" s="318">
        <v>80</v>
      </c>
      <c r="K107" s="166"/>
    </row>
    <row r="108" spans="1:11">
      <c r="A108" s="53">
        <f t="shared" si="2"/>
        <v>2014.03</v>
      </c>
      <c r="B108" s="215">
        <v>65379</v>
      </c>
      <c r="C108" s="3538">
        <v>14879</v>
      </c>
      <c r="D108" s="141">
        <v>1172</v>
      </c>
      <c r="E108" s="223">
        <v>212257</v>
      </c>
      <c r="F108" s="3538">
        <v>61078</v>
      </c>
      <c r="G108" s="141">
        <v>6350</v>
      </c>
      <c r="H108" s="223">
        <v>32395</v>
      </c>
      <c r="I108" s="3538">
        <v>8245</v>
      </c>
      <c r="J108" s="318">
        <v>180</v>
      </c>
      <c r="K108" s="166"/>
    </row>
    <row r="109" spans="1:11">
      <c r="A109" s="53">
        <f t="shared" si="2"/>
        <v>2014.04</v>
      </c>
      <c r="B109" s="215">
        <v>63240</v>
      </c>
      <c r="C109" s="3538">
        <v>14317</v>
      </c>
      <c r="D109" s="141">
        <v>1484</v>
      </c>
      <c r="E109" s="223">
        <v>204810</v>
      </c>
      <c r="F109" s="3538">
        <v>60769</v>
      </c>
      <c r="G109" s="141">
        <v>8736</v>
      </c>
      <c r="H109" s="223">
        <v>31410</v>
      </c>
      <c r="I109" s="3538">
        <v>6948</v>
      </c>
      <c r="J109" s="318">
        <v>91</v>
      </c>
      <c r="K109" s="166"/>
    </row>
    <row r="110" spans="1:11">
      <c r="A110" s="53">
        <f t="shared" si="2"/>
        <v>2014.05</v>
      </c>
      <c r="B110" s="215">
        <v>65348</v>
      </c>
      <c r="C110" s="3538">
        <v>14979</v>
      </c>
      <c r="D110" s="141">
        <v>1090</v>
      </c>
      <c r="E110" s="223">
        <v>212412</v>
      </c>
      <c r="F110" s="3538">
        <v>66091</v>
      </c>
      <c r="G110" s="141">
        <v>6860</v>
      </c>
      <c r="H110" s="223">
        <v>31220</v>
      </c>
      <c r="I110" s="3538">
        <v>6381</v>
      </c>
      <c r="J110" s="318">
        <v>46</v>
      </c>
      <c r="K110" s="166"/>
    </row>
    <row r="111" spans="1:11">
      <c r="A111" s="53">
        <f t="shared" si="2"/>
        <v>2014.06</v>
      </c>
      <c r="B111" s="215">
        <v>63240</v>
      </c>
      <c r="C111" s="3538">
        <v>13897</v>
      </c>
      <c r="D111" s="141">
        <v>901</v>
      </c>
      <c r="E111" s="223">
        <v>204630</v>
      </c>
      <c r="F111" s="3538">
        <v>64796</v>
      </c>
      <c r="G111" s="141">
        <v>5951</v>
      </c>
      <c r="H111" s="223">
        <v>30300</v>
      </c>
      <c r="I111" s="3538">
        <v>6359</v>
      </c>
      <c r="J111" s="318">
        <v>38</v>
      </c>
      <c r="K111" s="166"/>
    </row>
    <row r="112" spans="1:11">
      <c r="A112" s="53">
        <f t="shared" si="2"/>
        <v>2014.07</v>
      </c>
      <c r="B112" s="215">
        <v>65348</v>
      </c>
      <c r="C112" s="3538">
        <v>14911</v>
      </c>
      <c r="D112" s="141">
        <v>895</v>
      </c>
      <c r="E112" s="223">
        <v>207545</v>
      </c>
      <c r="F112" s="3538">
        <v>71865</v>
      </c>
      <c r="G112" s="141">
        <v>6096</v>
      </c>
      <c r="H112" s="223">
        <v>31310</v>
      </c>
      <c r="I112" s="3538">
        <v>6865</v>
      </c>
      <c r="J112" s="318">
        <v>67</v>
      </c>
      <c r="K112" s="1429"/>
    </row>
    <row r="113" spans="1:11">
      <c r="A113" s="53">
        <f t="shared" si="2"/>
        <v>2014.08</v>
      </c>
      <c r="B113" s="215">
        <v>65348</v>
      </c>
      <c r="C113" s="3538">
        <v>15149</v>
      </c>
      <c r="D113" s="141">
        <v>1027</v>
      </c>
      <c r="E113" s="223">
        <v>208537</v>
      </c>
      <c r="F113" s="3538">
        <v>71839</v>
      </c>
      <c r="G113" s="141">
        <v>6382</v>
      </c>
      <c r="H113" s="223">
        <v>31310</v>
      </c>
      <c r="I113" s="3538">
        <v>6857</v>
      </c>
      <c r="J113" s="318">
        <v>83</v>
      </c>
      <c r="K113" s="166"/>
    </row>
    <row r="114" spans="1:11">
      <c r="A114" s="53">
        <f t="shared" si="2"/>
        <v>2014.09</v>
      </c>
      <c r="B114" s="215">
        <v>63360</v>
      </c>
      <c r="C114" s="3538">
        <v>14363</v>
      </c>
      <c r="D114" s="190">
        <v>1172</v>
      </c>
      <c r="E114" s="223">
        <v>201900</v>
      </c>
      <c r="F114" s="3538">
        <v>65809</v>
      </c>
      <c r="G114" s="141">
        <v>7736</v>
      </c>
      <c r="H114" s="223">
        <v>30300</v>
      </c>
      <c r="I114" s="3538">
        <v>6797</v>
      </c>
      <c r="J114" s="318">
        <v>66</v>
      </c>
      <c r="K114" s="166"/>
    </row>
    <row r="115" spans="1:11">
      <c r="A115" s="53">
        <f t="shared" si="2"/>
        <v>2014.1</v>
      </c>
      <c r="B115" s="215">
        <v>64666</v>
      </c>
      <c r="C115" s="3538">
        <v>15937</v>
      </c>
      <c r="D115" s="141">
        <v>1997</v>
      </c>
      <c r="E115" s="223">
        <v>208506</v>
      </c>
      <c r="F115" s="3538">
        <v>71347</v>
      </c>
      <c r="G115" s="141">
        <v>9369</v>
      </c>
      <c r="H115" s="223">
        <v>31310</v>
      </c>
      <c r="I115" s="3538">
        <v>6816</v>
      </c>
      <c r="J115" s="318">
        <v>101</v>
      </c>
      <c r="K115" s="166"/>
    </row>
    <row r="116" spans="1:11">
      <c r="A116" s="53">
        <f t="shared" si="2"/>
        <v>2014.11</v>
      </c>
      <c r="B116" s="215">
        <v>62490</v>
      </c>
      <c r="C116" s="3538">
        <v>15376</v>
      </c>
      <c r="D116" s="141">
        <v>1003</v>
      </c>
      <c r="E116" s="223">
        <v>197100</v>
      </c>
      <c r="F116" s="3538">
        <v>67143</v>
      </c>
      <c r="G116" s="141">
        <v>8214</v>
      </c>
      <c r="H116" s="223">
        <v>30270</v>
      </c>
      <c r="I116" s="3538">
        <v>6740</v>
      </c>
      <c r="J116" s="318">
        <v>103</v>
      </c>
      <c r="K116" s="166"/>
    </row>
    <row r="117" spans="1:11">
      <c r="A117" s="53">
        <f t="shared" si="2"/>
        <v>2014.12</v>
      </c>
      <c r="B117" s="215">
        <v>64582</v>
      </c>
      <c r="C117" s="3538">
        <v>12177</v>
      </c>
      <c r="D117" s="141">
        <v>1057</v>
      </c>
      <c r="E117" s="223">
        <v>211079</v>
      </c>
      <c r="F117" s="3538">
        <v>59810</v>
      </c>
      <c r="G117" s="141">
        <v>5670</v>
      </c>
      <c r="H117" s="223">
        <v>30318</v>
      </c>
      <c r="I117" s="3538">
        <v>6091</v>
      </c>
      <c r="J117" s="318">
        <v>7</v>
      </c>
      <c r="K117" s="166"/>
    </row>
    <row r="118" spans="1:11">
      <c r="A118" s="53">
        <f t="shared" si="2"/>
        <v>2015.01</v>
      </c>
      <c r="B118" s="215">
        <v>64882</v>
      </c>
      <c r="C118" s="3538">
        <v>10362</v>
      </c>
      <c r="D118" s="141">
        <v>1155</v>
      </c>
      <c r="E118" s="223">
        <v>212753</v>
      </c>
      <c r="F118" s="3538">
        <v>54306</v>
      </c>
      <c r="G118" s="141">
        <v>7101</v>
      </c>
      <c r="H118" s="223">
        <v>31279</v>
      </c>
      <c r="I118" s="3538">
        <v>6239</v>
      </c>
      <c r="J118" s="318">
        <v>97</v>
      </c>
      <c r="K118" s="219"/>
    </row>
    <row r="119" spans="1:11">
      <c r="A119" s="53">
        <f t="shared" si="2"/>
        <v>2015.02</v>
      </c>
      <c r="B119" s="215">
        <v>58464</v>
      </c>
      <c r="C119" s="3538">
        <v>12859</v>
      </c>
      <c r="D119" s="141">
        <v>963</v>
      </c>
      <c r="E119" s="223">
        <v>187656</v>
      </c>
      <c r="F119" s="3538">
        <v>56729</v>
      </c>
      <c r="G119" s="141">
        <v>5526</v>
      </c>
      <c r="H119" s="223">
        <v>28252</v>
      </c>
      <c r="I119" s="3538">
        <v>6090</v>
      </c>
      <c r="J119" s="318">
        <v>102</v>
      </c>
      <c r="K119" s="166"/>
    </row>
    <row r="120" spans="1:11">
      <c r="A120" s="53">
        <f t="shared" si="2"/>
        <v>2015.03</v>
      </c>
      <c r="B120" s="215">
        <v>65410</v>
      </c>
      <c r="C120" s="3538">
        <v>13041</v>
      </c>
      <c r="D120" s="141">
        <v>849</v>
      </c>
      <c r="E120" s="223">
        <v>207483</v>
      </c>
      <c r="F120" s="3538">
        <v>58782</v>
      </c>
      <c r="G120" s="141">
        <v>6334</v>
      </c>
      <c r="H120" s="223">
        <v>31279</v>
      </c>
      <c r="I120" s="3538">
        <v>6135</v>
      </c>
      <c r="J120" s="318">
        <v>103</v>
      </c>
      <c r="K120" s="166"/>
    </row>
    <row r="121" spans="1:11">
      <c r="A121" s="53">
        <f t="shared" si="2"/>
        <v>2015.04</v>
      </c>
      <c r="B121" s="215">
        <v>63360</v>
      </c>
      <c r="C121" s="3538">
        <v>13526</v>
      </c>
      <c r="D121" s="141">
        <v>802</v>
      </c>
      <c r="E121" s="223">
        <v>201120</v>
      </c>
      <c r="F121" s="3538">
        <v>53446</v>
      </c>
      <c r="G121" s="141">
        <v>5691</v>
      </c>
      <c r="H121" s="223">
        <v>30270</v>
      </c>
      <c r="I121" s="3538">
        <v>5526</v>
      </c>
      <c r="J121" s="318">
        <v>126</v>
      </c>
      <c r="K121" s="166"/>
    </row>
    <row r="122" spans="1:11">
      <c r="A122" s="53">
        <f t="shared" si="2"/>
        <v>2015.05</v>
      </c>
      <c r="B122" s="215">
        <v>65162</v>
      </c>
      <c r="C122" s="3538">
        <v>12929</v>
      </c>
      <c r="D122" s="141">
        <v>586</v>
      </c>
      <c r="E122" s="223">
        <v>206212</v>
      </c>
      <c r="F122" s="3538">
        <v>63562</v>
      </c>
      <c r="G122" s="141">
        <v>6156</v>
      </c>
      <c r="H122" s="223">
        <v>31310</v>
      </c>
      <c r="I122" s="3538">
        <v>6140</v>
      </c>
      <c r="J122" s="318">
        <v>74</v>
      </c>
      <c r="K122" s="166"/>
    </row>
    <row r="123" spans="1:11">
      <c r="A123" s="53">
        <f t="shared" si="2"/>
        <v>2015.06</v>
      </c>
      <c r="B123" s="215">
        <v>63120</v>
      </c>
      <c r="C123" s="3538">
        <v>13167</v>
      </c>
      <c r="D123" s="141">
        <v>949</v>
      </c>
      <c r="E123" s="223">
        <v>199650</v>
      </c>
      <c r="F123" s="3538">
        <v>57253</v>
      </c>
      <c r="G123" s="141">
        <v>7848</v>
      </c>
      <c r="H123" s="223">
        <v>30300</v>
      </c>
      <c r="I123" s="3538">
        <v>6195</v>
      </c>
      <c r="J123" s="318">
        <v>76</v>
      </c>
      <c r="K123" s="166"/>
    </row>
    <row r="124" spans="1:11">
      <c r="A124" s="53">
        <f t="shared" si="2"/>
        <v>2015.07</v>
      </c>
      <c r="B124" s="215">
        <v>65224</v>
      </c>
      <c r="C124" s="3538">
        <v>14809</v>
      </c>
      <c r="D124" s="141">
        <v>921</v>
      </c>
      <c r="E124" s="223">
        <v>213869</v>
      </c>
      <c r="F124" s="3538">
        <v>68858</v>
      </c>
      <c r="G124" s="141">
        <v>7380</v>
      </c>
      <c r="H124" s="223">
        <v>31310</v>
      </c>
      <c r="I124" s="3538">
        <v>6839</v>
      </c>
      <c r="J124" s="318">
        <v>80</v>
      </c>
      <c r="K124" s="166"/>
    </row>
    <row r="125" spans="1:11">
      <c r="A125" s="53">
        <f t="shared" si="2"/>
        <v>2015.08</v>
      </c>
      <c r="B125" s="215">
        <v>65596</v>
      </c>
      <c r="C125" s="3538">
        <v>17923</v>
      </c>
      <c r="D125" s="141">
        <v>684</v>
      </c>
      <c r="E125" s="223">
        <v>214737</v>
      </c>
      <c r="F125" s="3538">
        <v>61426</v>
      </c>
      <c r="G125" s="141">
        <v>6998</v>
      </c>
      <c r="H125" s="223">
        <v>31310</v>
      </c>
      <c r="I125" s="3538">
        <v>7476</v>
      </c>
      <c r="J125" s="318">
        <v>86</v>
      </c>
      <c r="K125" s="166"/>
    </row>
    <row r="126" spans="1:11">
      <c r="A126" s="53">
        <f t="shared" si="2"/>
        <v>2015.09</v>
      </c>
      <c r="B126" s="215">
        <v>62640</v>
      </c>
      <c r="C126" s="3538">
        <v>14830</v>
      </c>
      <c r="D126" s="141">
        <v>751</v>
      </c>
      <c r="E126" s="223">
        <v>208080</v>
      </c>
      <c r="F126" s="3538">
        <v>64620</v>
      </c>
      <c r="G126" s="141">
        <v>5576</v>
      </c>
      <c r="H126" s="223">
        <v>30300</v>
      </c>
      <c r="I126" s="3538">
        <v>7000</v>
      </c>
      <c r="J126" s="318">
        <v>84</v>
      </c>
      <c r="K126"/>
    </row>
    <row r="127" spans="1:11">
      <c r="A127" s="53">
        <f t="shared" si="2"/>
        <v>2015.1</v>
      </c>
      <c r="B127" s="215">
        <v>64728</v>
      </c>
      <c r="C127" s="3538">
        <v>14695</v>
      </c>
      <c r="D127" s="141">
        <v>788</v>
      </c>
      <c r="E127" s="223">
        <v>212443</v>
      </c>
      <c r="F127" s="3538">
        <v>67278</v>
      </c>
      <c r="G127" s="141">
        <v>6361</v>
      </c>
      <c r="H127" s="223">
        <v>31310</v>
      </c>
      <c r="I127" s="3538">
        <v>7329</v>
      </c>
      <c r="J127" s="318">
        <v>87</v>
      </c>
      <c r="K127" s="166"/>
    </row>
    <row r="128" spans="1:11">
      <c r="A128" s="53">
        <f t="shared" si="2"/>
        <v>2015.11</v>
      </c>
      <c r="B128" s="215">
        <v>62700</v>
      </c>
      <c r="C128" s="3538">
        <v>13759</v>
      </c>
      <c r="D128" s="141">
        <v>933</v>
      </c>
      <c r="E128" s="223">
        <v>206790</v>
      </c>
      <c r="F128" s="3538">
        <v>67284</v>
      </c>
      <c r="G128" s="141">
        <v>7253</v>
      </c>
      <c r="H128" s="223">
        <v>30300</v>
      </c>
      <c r="I128" s="3538">
        <v>6791</v>
      </c>
      <c r="J128" s="318">
        <v>83</v>
      </c>
      <c r="K128" s="166"/>
    </row>
    <row r="129" spans="1:11">
      <c r="A129" s="53">
        <f t="shared" si="2"/>
        <v>2015.12</v>
      </c>
      <c r="B129" s="215">
        <v>65255</v>
      </c>
      <c r="C129" s="3538">
        <v>11894</v>
      </c>
      <c r="D129" s="141">
        <v>739</v>
      </c>
      <c r="E129" s="223">
        <v>213179</v>
      </c>
      <c r="F129" s="3538">
        <v>54635</v>
      </c>
      <c r="G129" s="141">
        <v>7824</v>
      </c>
      <c r="H129" s="223">
        <v>32457</v>
      </c>
      <c r="I129" s="3538">
        <v>6505</v>
      </c>
      <c r="J129" s="318">
        <v>44</v>
      </c>
      <c r="K129" s="166"/>
    </row>
    <row r="130" spans="1:11">
      <c r="A130" s="53">
        <f t="shared" si="2"/>
        <v>2016.01</v>
      </c>
      <c r="B130" s="215">
        <v>64644</v>
      </c>
      <c r="C130" s="3538">
        <v>10654</v>
      </c>
      <c r="D130" s="141">
        <v>1045</v>
      </c>
      <c r="E130" s="223">
        <v>229059</v>
      </c>
      <c r="F130" s="3538">
        <v>61451</v>
      </c>
      <c r="G130" s="141">
        <v>7127</v>
      </c>
      <c r="H130" s="223">
        <v>30535</v>
      </c>
      <c r="I130" s="3538">
        <v>5288</v>
      </c>
      <c r="J130" s="318">
        <v>46</v>
      </c>
      <c r="K130" s="166"/>
    </row>
    <row r="131" spans="1:11">
      <c r="A131" s="53">
        <f t="shared" si="2"/>
        <v>2016.02</v>
      </c>
      <c r="B131" s="215">
        <v>60436</v>
      </c>
      <c r="C131" s="3538">
        <v>11807</v>
      </c>
      <c r="D131" s="141">
        <v>776</v>
      </c>
      <c r="E131" s="223">
        <v>214426</v>
      </c>
      <c r="F131" s="3538">
        <v>64514</v>
      </c>
      <c r="G131" s="141">
        <v>6595</v>
      </c>
      <c r="H131" s="223">
        <v>29203</v>
      </c>
      <c r="I131" s="3538">
        <v>5231</v>
      </c>
      <c r="J131" s="318">
        <v>49</v>
      </c>
      <c r="K131" s="166"/>
    </row>
    <row r="132" spans="1:11">
      <c r="A132" s="53">
        <f t="shared" si="2"/>
        <v>2016.03</v>
      </c>
      <c r="B132" s="215">
        <v>63798</v>
      </c>
      <c r="C132" s="3538">
        <v>13540</v>
      </c>
      <c r="D132" s="141">
        <v>726</v>
      </c>
      <c r="E132" s="223">
        <v>228439</v>
      </c>
      <c r="F132" s="3538">
        <v>61124</v>
      </c>
      <c r="G132" s="141">
        <v>8048</v>
      </c>
      <c r="H132" s="223">
        <v>29326</v>
      </c>
      <c r="I132" s="3538">
        <v>5807</v>
      </c>
      <c r="J132" s="318">
        <v>147</v>
      </c>
      <c r="K132" s="166"/>
    </row>
    <row r="133" spans="1:11">
      <c r="A133" s="53">
        <f t="shared" si="2"/>
        <v>2016.04</v>
      </c>
      <c r="B133" s="215">
        <v>61740</v>
      </c>
      <c r="C133" s="3538">
        <v>13584</v>
      </c>
      <c r="D133" s="141">
        <v>880</v>
      </c>
      <c r="E133" s="223">
        <v>222150</v>
      </c>
      <c r="F133" s="3538">
        <v>55568</v>
      </c>
      <c r="G133" s="141">
        <v>6850</v>
      </c>
      <c r="H133" s="223">
        <v>29100</v>
      </c>
      <c r="I133" s="3538">
        <v>6453</v>
      </c>
      <c r="J133" s="318">
        <v>107</v>
      </c>
      <c r="K133" s="166"/>
    </row>
    <row r="134" spans="1:11">
      <c r="A134" s="53">
        <f t="shared" si="2"/>
        <v>2016.05</v>
      </c>
      <c r="B134" s="215">
        <v>64325</v>
      </c>
      <c r="C134" s="3538">
        <v>12707</v>
      </c>
      <c r="D134" s="190">
        <v>634</v>
      </c>
      <c r="E134" s="141">
        <v>228222</v>
      </c>
      <c r="F134" s="3538">
        <v>55541</v>
      </c>
      <c r="G134" s="190">
        <v>6531</v>
      </c>
      <c r="H134" s="141">
        <v>29326</v>
      </c>
      <c r="I134" s="3538">
        <v>7772</v>
      </c>
      <c r="J134" s="318">
        <v>122</v>
      </c>
      <c r="K134" s="166"/>
    </row>
    <row r="135" spans="1:11">
      <c r="A135" s="53">
        <f t="shared" si="2"/>
        <v>2016.06</v>
      </c>
      <c r="B135" s="215">
        <v>62430</v>
      </c>
      <c r="C135" s="3538">
        <v>13174</v>
      </c>
      <c r="D135" s="141">
        <v>1322</v>
      </c>
      <c r="E135" s="223">
        <v>220620</v>
      </c>
      <c r="F135" s="3538">
        <v>70074</v>
      </c>
      <c r="G135" s="141">
        <v>8190</v>
      </c>
      <c r="H135" s="223">
        <v>29790</v>
      </c>
      <c r="I135" s="3538">
        <v>6996</v>
      </c>
      <c r="J135" s="318">
        <v>97</v>
      </c>
      <c r="K135" s="166"/>
    </row>
    <row r="136" spans="1:11">
      <c r="A136" s="53">
        <f t="shared" si="2"/>
        <v>2016.07</v>
      </c>
      <c r="B136" s="215">
        <v>65689</v>
      </c>
      <c r="C136" s="3538">
        <v>13844</v>
      </c>
      <c r="D136" s="141">
        <v>802</v>
      </c>
      <c r="E136" s="223">
        <v>226052</v>
      </c>
      <c r="F136" s="3538">
        <v>75527</v>
      </c>
      <c r="G136" s="141">
        <v>8849</v>
      </c>
      <c r="H136" s="223">
        <v>31961</v>
      </c>
      <c r="I136" s="3538">
        <v>10055</v>
      </c>
      <c r="J136" s="318">
        <v>194</v>
      </c>
      <c r="K136" s="166"/>
    </row>
    <row r="137" spans="1:11">
      <c r="A137" s="53">
        <f t="shared" si="2"/>
        <v>2016.08</v>
      </c>
      <c r="B137" s="215">
        <v>65689</v>
      </c>
      <c r="C137" s="3538">
        <v>14546</v>
      </c>
      <c r="D137" s="141">
        <v>577</v>
      </c>
      <c r="E137" s="223">
        <v>227292</v>
      </c>
      <c r="F137" s="3538">
        <v>71673</v>
      </c>
      <c r="G137" s="141">
        <v>7456</v>
      </c>
      <c r="H137" s="223">
        <v>28737</v>
      </c>
      <c r="I137" s="3538">
        <v>8828</v>
      </c>
      <c r="J137" s="318">
        <v>111</v>
      </c>
      <c r="K137" s="219"/>
    </row>
    <row r="138" spans="1:11">
      <c r="A138" s="53">
        <f t="shared" si="2"/>
        <v>2016.09</v>
      </c>
      <c r="B138" s="215">
        <v>63870</v>
      </c>
      <c r="C138" s="3538">
        <v>15332</v>
      </c>
      <c r="D138" s="141">
        <v>1010</v>
      </c>
      <c r="E138" s="223">
        <v>219750</v>
      </c>
      <c r="F138" s="3538">
        <v>71583</v>
      </c>
      <c r="G138" s="141">
        <v>10034</v>
      </c>
      <c r="H138" s="223">
        <v>27810</v>
      </c>
      <c r="I138" s="3538">
        <v>9149</v>
      </c>
      <c r="J138" s="318">
        <v>132</v>
      </c>
      <c r="K138" s="166"/>
    </row>
    <row r="139" spans="1:11">
      <c r="A139" s="53">
        <f t="shared" si="2"/>
        <v>2016.1</v>
      </c>
      <c r="B139" s="215">
        <v>65689</v>
      </c>
      <c r="C139" s="3538">
        <v>16326</v>
      </c>
      <c r="D139" s="141">
        <v>1020</v>
      </c>
      <c r="E139" s="223">
        <v>227075</v>
      </c>
      <c r="F139" s="3538">
        <v>72555</v>
      </c>
      <c r="G139" s="141">
        <v>8367</v>
      </c>
      <c r="H139" s="223">
        <v>29109</v>
      </c>
      <c r="I139" s="3538">
        <v>7816</v>
      </c>
      <c r="J139" s="318">
        <v>78</v>
      </c>
      <c r="K139" s="166"/>
    </row>
    <row r="140" spans="1:11">
      <c r="A140" s="53">
        <f t="shared" si="2"/>
        <v>2016.11</v>
      </c>
      <c r="B140" s="215">
        <v>63480</v>
      </c>
      <c r="C140" s="3538">
        <v>17563</v>
      </c>
      <c r="D140" s="141">
        <v>902</v>
      </c>
      <c r="E140" s="223">
        <v>220950</v>
      </c>
      <c r="F140" s="3538">
        <v>73436</v>
      </c>
      <c r="G140" s="141">
        <v>8855</v>
      </c>
      <c r="H140" s="223">
        <v>28440</v>
      </c>
      <c r="I140" s="3538">
        <v>9744</v>
      </c>
      <c r="J140" s="318">
        <v>215</v>
      </c>
      <c r="K140" s="166"/>
    </row>
    <row r="141" spans="1:11">
      <c r="A141" s="53">
        <f t="shared" si="2"/>
        <v>2016.12</v>
      </c>
      <c r="B141" s="215">
        <v>65348</v>
      </c>
      <c r="C141" s="3538">
        <v>16548</v>
      </c>
      <c r="D141" s="141">
        <v>554</v>
      </c>
      <c r="E141" s="223">
        <v>227912</v>
      </c>
      <c r="F141" s="3538">
        <v>59280</v>
      </c>
      <c r="G141" s="141">
        <v>6313</v>
      </c>
      <c r="H141" s="223">
        <v>29208</v>
      </c>
      <c r="I141" s="3538">
        <v>7866</v>
      </c>
      <c r="J141" s="318">
        <v>117</v>
      </c>
      <c r="K141" s="166"/>
    </row>
    <row r="142" spans="1:11">
      <c r="A142" s="53">
        <f t="shared" si="2"/>
        <v>2017.01</v>
      </c>
      <c r="B142" s="215">
        <v>71099</v>
      </c>
      <c r="C142" s="3538">
        <v>17812</v>
      </c>
      <c r="D142" s="141">
        <v>1175</v>
      </c>
      <c r="E142" s="223">
        <v>225584</v>
      </c>
      <c r="F142" s="3538">
        <v>63216</v>
      </c>
      <c r="G142" s="141">
        <v>7270</v>
      </c>
      <c r="H142" s="223">
        <v>28923</v>
      </c>
      <c r="I142" s="3538">
        <v>5768</v>
      </c>
      <c r="J142" s="318">
        <v>252</v>
      </c>
      <c r="K142" s="166"/>
    </row>
    <row r="143" spans="1:11">
      <c r="A143" s="53">
        <f t="shared" si="2"/>
        <v>2017.02</v>
      </c>
      <c r="B143" s="215">
        <v>65268</v>
      </c>
      <c r="C143" s="3538">
        <v>20378</v>
      </c>
      <c r="D143" s="141">
        <v>989</v>
      </c>
      <c r="E143" s="223">
        <v>208264</v>
      </c>
      <c r="F143" s="3538">
        <v>61962</v>
      </c>
      <c r="G143" s="141">
        <v>8386</v>
      </c>
      <c r="H143" s="223">
        <v>26124</v>
      </c>
      <c r="I143" s="3538">
        <v>6714</v>
      </c>
      <c r="J143" s="318">
        <v>140</v>
      </c>
      <c r="K143" s="166"/>
    </row>
    <row r="144" spans="1:11">
      <c r="A144" s="53">
        <f t="shared" si="2"/>
        <v>2017.03</v>
      </c>
      <c r="B144" s="215">
        <v>72323</v>
      </c>
      <c r="C144" s="3538">
        <v>21209</v>
      </c>
      <c r="D144" s="141">
        <v>1015</v>
      </c>
      <c r="E144" s="223">
        <v>230578</v>
      </c>
      <c r="F144" s="3538">
        <v>64054</v>
      </c>
      <c r="G144" s="141">
        <v>10513</v>
      </c>
      <c r="H144" s="223">
        <v>28923</v>
      </c>
      <c r="I144" s="3538">
        <v>6705</v>
      </c>
      <c r="J144" s="318">
        <v>83</v>
      </c>
      <c r="K144" s="166"/>
    </row>
    <row r="145" spans="1:11">
      <c r="A145" s="53">
        <f t="shared" si="2"/>
        <v>2017.04</v>
      </c>
      <c r="B145" s="215">
        <v>68970</v>
      </c>
      <c r="C145" s="3538">
        <v>21414</v>
      </c>
      <c r="D145" s="141">
        <v>1106</v>
      </c>
      <c r="E145" s="223">
        <v>219420</v>
      </c>
      <c r="F145" s="3538">
        <v>63678</v>
      </c>
      <c r="G145" s="141">
        <v>8162</v>
      </c>
      <c r="H145" s="223">
        <v>27990</v>
      </c>
      <c r="I145" s="3538">
        <v>6193</v>
      </c>
      <c r="J145" s="318">
        <v>130</v>
      </c>
      <c r="K145" s="166"/>
    </row>
    <row r="146" spans="1:11">
      <c r="A146" s="53">
        <f t="shared" si="2"/>
        <v>2017.05</v>
      </c>
      <c r="B146" s="215">
        <v>71269</v>
      </c>
      <c r="C146" s="3538">
        <v>20754</v>
      </c>
      <c r="D146" s="141">
        <v>690</v>
      </c>
      <c r="E146" s="223">
        <v>226641</v>
      </c>
      <c r="F146" s="3538">
        <v>65166</v>
      </c>
      <c r="G146" s="141">
        <v>7032</v>
      </c>
      <c r="H146" s="223">
        <v>29481</v>
      </c>
      <c r="I146" s="3538">
        <v>7526</v>
      </c>
      <c r="J146" s="318">
        <v>146</v>
      </c>
      <c r="K146" s="166"/>
    </row>
    <row r="147" spans="1:11">
      <c r="A147" s="53">
        <f t="shared" si="2"/>
        <v>2017.06</v>
      </c>
      <c r="B147" s="215">
        <v>69180</v>
      </c>
      <c r="C147" s="3538">
        <v>21730</v>
      </c>
      <c r="D147" s="141">
        <v>925</v>
      </c>
      <c r="E147" s="223">
        <v>219600</v>
      </c>
      <c r="F147" s="3538">
        <v>67414</v>
      </c>
      <c r="G147" s="141">
        <v>7212</v>
      </c>
      <c r="H147" s="223">
        <v>28530</v>
      </c>
      <c r="I147" s="3538">
        <v>7996</v>
      </c>
      <c r="J147" s="318">
        <v>168</v>
      </c>
      <c r="K147" s="166"/>
    </row>
    <row r="148" spans="1:11">
      <c r="A148" s="53">
        <f t="shared" si="2"/>
        <v>2017.07</v>
      </c>
      <c r="B148" s="215">
        <v>71486</v>
      </c>
      <c r="C148" s="3538">
        <v>22348</v>
      </c>
      <c r="D148" s="141">
        <v>833</v>
      </c>
      <c r="E148" s="223">
        <v>226920</v>
      </c>
      <c r="F148" s="3538">
        <v>78425</v>
      </c>
      <c r="G148" s="141">
        <v>8905</v>
      </c>
      <c r="H148" s="223">
        <v>29481</v>
      </c>
      <c r="I148" s="3538">
        <v>8232</v>
      </c>
      <c r="J148" s="318">
        <v>208</v>
      </c>
      <c r="K148" s="166"/>
    </row>
    <row r="149" spans="1:11">
      <c r="A149" s="53">
        <f t="shared" si="2"/>
        <v>2017.08</v>
      </c>
      <c r="B149" s="215">
        <v>70277</v>
      </c>
      <c r="C149" s="3538">
        <v>20090</v>
      </c>
      <c r="D149" s="141">
        <v>812</v>
      </c>
      <c r="E149" s="223">
        <v>226920</v>
      </c>
      <c r="F149" s="3538">
        <v>68428</v>
      </c>
      <c r="G149" s="141">
        <v>8088</v>
      </c>
      <c r="H149" s="223">
        <v>29481</v>
      </c>
      <c r="I149" s="3538">
        <v>7550</v>
      </c>
      <c r="J149" s="318">
        <v>124</v>
      </c>
      <c r="K149" s="166"/>
    </row>
    <row r="150" spans="1:11">
      <c r="A150" s="53">
        <f t="shared" si="2"/>
        <v>2017.09</v>
      </c>
      <c r="B150" s="215">
        <v>67380</v>
      </c>
      <c r="C150" s="3538">
        <v>22425</v>
      </c>
      <c r="D150" s="141">
        <v>1236</v>
      </c>
      <c r="E150" s="223">
        <v>220920</v>
      </c>
      <c r="F150" s="3538">
        <v>70477</v>
      </c>
      <c r="G150" s="141">
        <v>8493</v>
      </c>
      <c r="H150" s="223">
        <v>27900</v>
      </c>
      <c r="I150" s="3538">
        <v>7100</v>
      </c>
      <c r="J150" s="318">
        <v>80</v>
      </c>
      <c r="K150" s="166"/>
    </row>
    <row r="151" spans="1:11">
      <c r="A151" s="53">
        <f t="shared" si="2"/>
        <v>2017.1</v>
      </c>
      <c r="B151" s="215">
        <v>68789</v>
      </c>
      <c r="C151" s="3538">
        <v>22551</v>
      </c>
      <c r="D151" s="141">
        <v>920</v>
      </c>
      <c r="E151" s="223">
        <v>228284</v>
      </c>
      <c r="F151" s="3538">
        <v>73337</v>
      </c>
      <c r="G151" s="141">
        <v>8801</v>
      </c>
      <c r="H151" s="223">
        <v>28830</v>
      </c>
      <c r="I151" s="3538">
        <v>6377</v>
      </c>
      <c r="J151" s="318">
        <v>69</v>
      </c>
      <c r="K151" s="166"/>
    </row>
    <row r="152" spans="1:11">
      <c r="A152" s="53">
        <f t="shared" si="2"/>
        <v>2017.11</v>
      </c>
      <c r="B152" s="215">
        <v>66570</v>
      </c>
      <c r="C152" s="3538">
        <v>23279</v>
      </c>
      <c r="D152" s="141">
        <v>1453</v>
      </c>
      <c r="E152" s="223">
        <v>220920</v>
      </c>
      <c r="F152" s="3538">
        <v>75327</v>
      </c>
      <c r="G152" s="141">
        <v>9424</v>
      </c>
      <c r="H152" s="223">
        <v>28020</v>
      </c>
      <c r="I152" s="3538">
        <v>6673</v>
      </c>
      <c r="J152" s="318">
        <v>81</v>
      </c>
      <c r="K152" s="219"/>
    </row>
    <row r="153" spans="1:11">
      <c r="A153" s="53">
        <f t="shared" si="2"/>
        <v>2017.12</v>
      </c>
      <c r="B153" s="215">
        <v>68789</v>
      </c>
      <c r="C153" s="3538">
        <v>20991</v>
      </c>
      <c r="D153" s="141">
        <v>1187</v>
      </c>
      <c r="E153" s="223">
        <v>226741</v>
      </c>
      <c r="F153" s="3538">
        <v>59660</v>
      </c>
      <c r="G153" s="141">
        <v>5600</v>
      </c>
      <c r="H153" s="223">
        <v>28954</v>
      </c>
      <c r="I153" s="3538">
        <v>6343</v>
      </c>
      <c r="J153" s="318">
        <v>51</v>
      </c>
      <c r="K153" s="166"/>
    </row>
    <row r="154" spans="1:11">
      <c r="A154" s="53">
        <f t="shared" si="2"/>
        <v>2018.01</v>
      </c>
      <c r="B154" s="215">
        <v>69400</v>
      </c>
      <c r="C154" s="3538">
        <v>19583</v>
      </c>
      <c r="D154" s="141">
        <v>1383</v>
      </c>
      <c r="E154" s="223">
        <v>227663</v>
      </c>
      <c r="F154" s="3538">
        <v>61868</v>
      </c>
      <c r="G154" s="141">
        <v>10375</v>
      </c>
      <c r="H154" s="223">
        <v>29481</v>
      </c>
      <c r="I154" s="3538">
        <v>7771</v>
      </c>
      <c r="J154" s="318">
        <v>93</v>
      </c>
      <c r="K154" s="166"/>
    </row>
    <row r="155" spans="1:11">
      <c r="A155" s="53">
        <f t="shared" si="2"/>
        <v>2018.02</v>
      </c>
      <c r="B155" s="215">
        <v>61936</v>
      </c>
      <c r="C155" s="3538">
        <v>19351</v>
      </c>
      <c r="D155" s="141">
        <v>1402</v>
      </c>
      <c r="E155" s="223">
        <v>206080</v>
      </c>
      <c r="F155" s="3538">
        <v>61366</v>
      </c>
      <c r="G155" s="141">
        <v>5876</v>
      </c>
      <c r="H155" s="223">
        <v>25872</v>
      </c>
      <c r="I155" s="3538">
        <v>12121</v>
      </c>
      <c r="J155" s="318">
        <v>386</v>
      </c>
      <c r="K155" s="166"/>
    </row>
    <row r="156" spans="1:11">
      <c r="A156" s="53">
        <f t="shared" si="2"/>
        <v>2018.03</v>
      </c>
      <c r="B156" s="215">
        <v>69192</v>
      </c>
      <c r="C156" s="3538">
        <v>21065</v>
      </c>
      <c r="D156" s="141">
        <v>1438</v>
      </c>
      <c r="E156" s="223">
        <v>228377</v>
      </c>
      <c r="F156" s="3538">
        <v>63371</v>
      </c>
      <c r="G156" s="141">
        <v>6693</v>
      </c>
      <c r="H156" s="223">
        <v>29388</v>
      </c>
      <c r="I156" s="3538">
        <v>12705</v>
      </c>
      <c r="J156" s="318">
        <v>268</v>
      </c>
      <c r="K156" s="166"/>
    </row>
    <row r="157" spans="1:11">
      <c r="A157" s="53">
        <f t="shared" si="2"/>
        <v>2018.04</v>
      </c>
      <c r="B157" s="215">
        <v>68580</v>
      </c>
      <c r="C157" s="3538">
        <v>22696</v>
      </c>
      <c r="D157" s="141">
        <v>1471</v>
      </c>
      <c r="E157" s="223">
        <v>221010</v>
      </c>
      <c r="F157" s="3538">
        <v>62414</v>
      </c>
      <c r="G157" s="141">
        <v>6270</v>
      </c>
      <c r="H157" s="223">
        <v>28080</v>
      </c>
      <c r="I157" s="3538">
        <v>14469</v>
      </c>
      <c r="J157" s="318">
        <v>226</v>
      </c>
      <c r="K157" s="166"/>
    </row>
    <row r="158" spans="1:11">
      <c r="A158" s="53">
        <f t="shared" si="2"/>
        <v>2018.05</v>
      </c>
      <c r="B158" s="215">
        <v>71579</v>
      </c>
      <c r="C158" s="3538">
        <v>25748</v>
      </c>
      <c r="D158" s="141">
        <v>958</v>
      </c>
      <c r="E158" s="223">
        <v>228160</v>
      </c>
      <c r="F158" s="3538">
        <v>62983</v>
      </c>
      <c r="G158" s="141">
        <v>5432</v>
      </c>
      <c r="H158" s="223">
        <v>29016</v>
      </c>
      <c r="I158" s="3538">
        <v>16403</v>
      </c>
      <c r="J158" s="318">
        <v>491</v>
      </c>
      <c r="K158" s="166"/>
    </row>
    <row r="159" spans="1:11">
      <c r="A159" s="53">
        <f t="shared" si="2"/>
        <v>2018.06</v>
      </c>
      <c r="B159" s="215">
        <v>69270</v>
      </c>
      <c r="C159" s="3538">
        <v>22118</v>
      </c>
      <c r="D159" s="141">
        <v>1528</v>
      </c>
      <c r="E159" s="223">
        <v>220920</v>
      </c>
      <c r="F159" s="3538">
        <v>59352</v>
      </c>
      <c r="G159" s="141">
        <v>5668</v>
      </c>
      <c r="H159" s="223">
        <v>28080</v>
      </c>
      <c r="I159" s="3538">
        <v>15672</v>
      </c>
      <c r="J159" s="318">
        <v>198</v>
      </c>
      <c r="K159" s="166"/>
    </row>
    <row r="160" spans="1:11">
      <c r="A160" s="53">
        <f t="shared" si="2"/>
        <v>2018.07</v>
      </c>
      <c r="B160" s="215">
        <v>71579</v>
      </c>
      <c r="C160" s="3538">
        <v>26486</v>
      </c>
      <c r="D160" s="141">
        <v>2094</v>
      </c>
      <c r="E160" s="223">
        <v>225711</v>
      </c>
      <c r="F160" s="3538">
        <v>75679</v>
      </c>
      <c r="G160" s="141">
        <v>6894</v>
      </c>
      <c r="H160" s="223">
        <v>29078</v>
      </c>
      <c r="I160" s="3538">
        <v>17217</v>
      </c>
      <c r="J160" s="318">
        <v>194</v>
      </c>
      <c r="K160" s="166"/>
    </row>
    <row r="161" spans="1:10">
      <c r="A161" s="53">
        <f t="shared" si="2"/>
        <v>2018.08</v>
      </c>
      <c r="B161" s="215">
        <v>71579</v>
      </c>
      <c r="C161" s="3538">
        <v>27096</v>
      </c>
      <c r="D161" s="141">
        <v>1817</v>
      </c>
      <c r="E161" s="223">
        <v>225711</v>
      </c>
      <c r="F161" s="3538">
        <v>71013</v>
      </c>
      <c r="G161" s="141">
        <v>7120</v>
      </c>
      <c r="H161" s="223">
        <v>29078</v>
      </c>
      <c r="I161" s="3538">
        <v>16031</v>
      </c>
      <c r="J161" s="318">
        <v>225</v>
      </c>
    </row>
    <row r="162" spans="1:10">
      <c r="A162" s="53">
        <f t="shared" ref="A162:A225" si="3">A150+1</f>
        <v>2018.09</v>
      </c>
      <c r="B162" s="215">
        <v>69000</v>
      </c>
      <c r="C162" s="3538">
        <v>22725</v>
      </c>
      <c r="D162" s="141">
        <v>1614</v>
      </c>
      <c r="E162" s="223">
        <v>218820</v>
      </c>
      <c r="F162" s="3538">
        <v>65582</v>
      </c>
      <c r="G162" s="141">
        <v>7397</v>
      </c>
      <c r="H162" s="223">
        <v>28080</v>
      </c>
      <c r="I162" s="3538">
        <v>16138</v>
      </c>
      <c r="J162" s="318">
        <v>212</v>
      </c>
    </row>
    <row r="163" spans="1:10">
      <c r="A163" s="53">
        <f t="shared" si="3"/>
        <v>2018.1</v>
      </c>
      <c r="B163" s="215">
        <v>71300</v>
      </c>
      <c r="C163" s="3538">
        <v>13278</v>
      </c>
      <c r="D163" s="141">
        <v>1262</v>
      </c>
      <c r="E163" s="223">
        <v>228833</v>
      </c>
      <c r="F163" s="3538">
        <v>38132</v>
      </c>
      <c r="G163" s="141">
        <v>3177</v>
      </c>
      <c r="H163" s="223">
        <v>29016</v>
      </c>
      <c r="I163" s="3538">
        <v>15019</v>
      </c>
      <c r="J163" s="318">
        <f>15217-I163</f>
        <v>198</v>
      </c>
    </row>
    <row r="164" spans="1:10">
      <c r="A164" s="53">
        <f t="shared" si="3"/>
        <v>2018.11</v>
      </c>
      <c r="B164" s="215">
        <v>68220</v>
      </c>
      <c r="C164" s="3538">
        <v>12663</v>
      </c>
      <c r="D164" s="141">
        <v>1130</v>
      </c>
      <c r="E164" s="223">
        <v>220920</v>
      </c>
      <c r="F164" s="3538">
        <v>41113</v>
      </c>
      <c r="G164" s="141">
        <v>4504</v>
      </c>
      <c r="H164" s="223">
        <v>28080</v>
      </c>
      <c r="I164" s="3538">
        <v>12925</v>
      </c>
      <c r="J164" s="318">
        <v>319</v>
      </c>
    </row>
    <row r="165" spans="1:10">
      <c r="A165" s="53">
        <f t="shared" si="3"/>
        <v>2018.12</v>
      </c>
      <c r="B165" s="215">
        <v>71486</v>
      </c>
      <c r="C165" s="3538">
        <v>20148</v>
      </c>
      <c r="D165" s="141">
        <v>1247</v>
      </c>
      <c r="E165" s="223">
        <v>228108</v>
      </c>
      <c r="F165" s="3538">
        <v>55989</v>
      </c>
      <c r="G165" s="141">
        <v>6692</v>
      </c>
      <c r="H165" s="223">
        <v>27404</v>
      </c>
      <c r="I165" s="3538">
        <v>13202</v>
      </c>
      <c r="J165" s="318">
        <v>284</v>
      </c>
    </row>
    <row r="166" spans="1:10">
      <c r="A166" s="53">
        <f t="shared" si="3"/>
        <v>2019.01</v>
      </c>
      <c r="B166" s="215">
        <v>69564</v>
      </c>
      <c r="C166" s="3538">
        <v>19012</v>
      </c>
      <c r="D166" s="141">
        <v>1431</v>
      </c>
      <c r="E166" s="223">
        <v>235166</v>
      </c>
      <c r="F166" s="3538">
        <v>56439</v>
      </c>
      <c r="G166" s="141">
        <v>11853</v>
      </c>
      <c r="H166" s="223">
        <v>26660</v>
      </c>
      <c r="I166" s="3538">
        <v>10849</v>
      </c>
      <c r="J166" s="318">
        <v>184</v>
      </c>
    </row>
    <row r="167" spans="1:10">
      <c r="A167" s="53">
        <f t="shared" si="3"/>
        <v>2019.02</v>
      </c>
      <c r="B167" s="215">
        <v>63812</v>
      </c>
      <c r="C167" s="3538">
        <v>18930</v>
      </c>
      <c r="D167" s="141">
        <v>1014</v>
      </c>
      <c r="E167" s="223">
        <v>212912</v>
      </c>
      <c r="F167" s="3538">
        <v>55904</v>
      </c>
      <c r="G167" s="141">
        <v>7321</v>
      </c>
      <c r="H167" s="223">
        <v>24080</v>
      </c>
      <c r="I167" s="3538">
        <v>9783</v>
      </c>
      <c r="J167" s="318">
        <v>163</v>
      </c>
    </row>
    <row r="168" spans="1:10">
      <c r="A168" s="53">
        <f t="shared" si="3"/>
        <v>2019.03</v>
      </c>
      <c r="B168" s="215">
        <v>70060</v>
      </c>
      <c r="C168" s="3538">
        <v>20196</v>
      </c>
      <c r="D168" s="141">
        <v>1310</v>
      </c>
      <c r="E168" s="223">
        <v>236189</v>
      </c>
      <c r="F168" s="3538">
        <v>67464</v>
      </c>
      <c r="G168" s="141">
        <v>12461</v>
      </c>
      <c r="H168" s="223">
        <v>26660</v>
      </c>
      <c r="I168" s="3538">
        <v>9348</v>
      </c>
      <c r="J168" s="318">
        <v>172</v>
      </c>
    </row>
    <row r="169" spans="1:10">
      <c r="A169" s="53">
        <f t="shared" si="3"/>
        <v>2019.04</v>
      </c>
      <c r="B169" s="215">
        <v>67890</v>
      </c>
      <c r="C169" s="3538">
        <v>20677</v>
      </c>
      <c r="D169" s="141">
        <v>1895</v>
      </c>
      <c r="E169" s="223">
        <v>228540</v>
      </c>
      <c r="F169" s="3538">
        <v>58429</v>
      </c>
      <c r="G169" s="141">
        <v>9517</v>
      </c>
      <c r="H169" s="223">
        <v>27360</v>
      </c>
      <c r="I169" s="3538">
        <v>8746</v>
      </c>
      <c r="J169" s="318">
        <v>269</v>
      </c>
    </row>
    <row r="170" spans="1:10">
      <c r="A170" s="53">
        <f t="shared" si="3"/>
        <v>2019.05</v>
      </c>
      <c r="B170" s="215">
        <v>70153</v>
      </c>
      <c r="C170" s="3538">
        <v>19616</v>
      </c>
      <c r="D170" s="141">
        <v>1628</v>
      </c>
      <c r="E170" s="223">
        <v>238855</v>
      </c>
      <c r="F170" s="3538">
        <v>61930</v>
      </c>
      <c r="G170" s="141">
        <v>10175</v>
      </c>
      <c r="H170" s="223">
        <v>28210</v>
      </c>
      <c r="I170" s="3538">
        <v>10787</v>
      </c>
      <c r="J170" s="318">
        <v>236</v>
      </c>
    </row>
    <row r="171" spans="1:10">
      <c r="A171" s="53">
        <f t="shared" si="3"/>
        <v>2019.06</v>
      </c>
      <c r="B171" s="215">
        <v>68970</v>
      </c>
      <c r="C171" s="3538">
        <v>18140</v>
      </c>
      <c r="D171" s="141">
        <v>3842</v>
      </c>
      <c r="E171" s="223">
        <v>230940</v>
      </c>
      <c r="F171" s="3538">
        <v>69709</v>
      </c>
      <c r="G171" s="141">
        <v>12673</v>
      </c>
      <c r="H171" s="223">
        <v>27300</v>
      </c>
      <c r="I171" s="3538">
        <v>7079</v>
      </c>
      <c r="J171" s="318">
        <v>136</v>
      </c>
    </row>
    <row r="172" spans="1:10">
      <c r="A172" s="53">
        <f t="shared" si="3"/>
        <v>2019.07</v>
      </c>
      <c r="B172" s="215">
        <v>70773</v>
      </c>
      <c r="C172" s="3538">
        <v>20990</v>
      </c>
      <c r="D172" s="141">
        <v>3606</v>
      </c>
      <c r="E172" s="223">
        <v>238855</v>
      </c>
      <c r="F172" s="3538">
        <v>79573</v>
      </c>
      <c r="G172" s="141">
        <v>11235</v>
      </c>
      <c r="H172" s="223">
        <v>26815</v>
      </c>
      <c r="I172" s="3538">
        <v>6262</v>
      </c>
      <c r="J172" s="318">
        <v>167</v>
      </c>
    </row>
    <row r="173" spans="1:10">
      <c r="A173" s="53">
        <f t="shared" si="3"/>
        <v>2019.08</v>
      </c>
      <c r="B173" s="223">
        <v>70773</v>
      </c>
      <c r="C173" s="3538">
        <v>21453</v>
      </c>
      <c r="D173" s="141">
        <v>1668</v>
      </c>
      <c r="E173" s="223">
        <v>238855</v>
      </c>
      <c r="F173" s="3538">
        <v>68396</v>
      </c>
      <c r="G173" s="141">
        <v>12364</v>
      </c>
      <c r="H173" s="223">
        <v>26815</v>
      </c>
      <c r="I173" s="3538">
        <v>6206</v>
      </c>
      <c r="J173" s="318">
        <v>197</v>
      </c>
    </row>
    <row r="174" spans="1:10">
      <c r="A174" s="53">
        <f t="shared" si="3"/>
        <v>2019.09</v>
      </c>
      <c r="B174" s="215">
        <v>68490</v>
      </c>
      <c r="C174" s="3538">
        <v>22484</v>
      </c>
      <c r="D174" s="141">
        <v>1463</v>
      </c>
      <c r="E174" s="223">
        <v>231150</v>
      </c>
      <c r="F174" s="3538">
        <v>64808</v>
      </c>
      <c r="G174" s="141">
        <v>12410</v>
      </c>
      <c r="H174" s="223">
        <v>26010</v>
      </c>
      <c r="I174" s="3538">
        <v>8763</v>
      </c>
      <c r="J174" s="318">
        <v>379</v>
      </c>
    </row>
    <row r="175" spans="1:10">
      <c r="A175" s="53">
        <f t="shared" si="3"/>
        <v>2019.1</v>
      </c>
      <c r="B175" s="215">
        <v>70804</v>
      </c>
      <c r="C175" s="3538">
        <v>19816</v>
      </c>
      <c r="D175" s="141">
        <v>1024</v>
      </c>
      <c r="E175" s="223">
        <v>238452</v>
      </c>
      <c r="F175" s="3538">
        <v>68012</v>
      </c>
      <c r="G175" s="141">
        <v>9141</v>
      </c>
      <c r="H175" s="223">
        <v>25079</v>
      </c>
      <c r="I175" s="3538">
        <v>5451</v>
      </c>
      <c r="J175" s="318">
        <v>182</v>
      </c>
    </row>
    <row r="176" spans="1:10">
      <c r="A176" s="53">
        <f t="shared" si="3"/>
        <v>2019.11</v>
      </c>
      <c r="B176" s="215">
        <v>70080</v>
      </c>
      <c r="C176" s="3538">
        <v>19792</v>
      </c>
      <c r="D176" s="141">
        <v>2121</v>
      </c>
      <c r="E176" s="223">
        <v>229440</v>
      </c>
      <c r="F176" s="3538">
        <v>72150</v>
      </c>
      <c r="G176" s="141">
        <v>9783</v>
      </c>
      <c r="H176" s="223">
        <v>24780</v>
      </c>
      <c r="I176" s="3538">
        <v>5249</v>
      </c>
      <c r="J176" s="318">
        <v>203</v>
      </c>
    </row>
    <row r="177" spans="1:10">
      <c r="A177" s="53">
        <f t="shared" si="3"/>
        <v>2019.12</v>
      </c>
      <c r="B177" s="215">
        <v>72137</v>
      </c>
      <c r="C177" s="3538">
        <v>19045</v>
      </c>
      <c r="D177" s="141">
        <v>1587</v>
      </c>
      <c r="E177" s="223">
        <v>236853</v>
      </c>
      <c r="F177" s="3538">
        <v>53663</v>
      </c>
      <c r="G177" s="141">
        <v>8987</v>
      </c>
      <c r="H177" s="223">
        <v>25606</v>
      </c>
      <c r="I177" s="3538">
        <v>4081</v>
      </c>
      <c r="J177" s="318">
        <v>93</v>
      </c>
    </row>
    <row r="178" spans="1:10">
      <c r="A178" s="53">
        <f t="shared" si="3"/>
        <v>2020.01</v>
      </c>
      <c r="B178" s="215">
        <v>70742</v>
      </c>
      <c r="C178" s="3538">
        <v>18820</v>
      </c>
      <c r="D178" s="141">
        <v>2325</v>
      </c>
      <c r="E178" s="223">
        <v>228284</v>
      </c>
      <c r="F178" s="3538">
        <v>49500</v>
      </c>
      <c r="G178" s="141">
        <v>9889</v>
      </c>
      <c r="H178" s="223">
        <v>29946</v>
      </c>
      <c r="I178" s="3538">
        <v>5148</v>
      </c>
      <c r="J178" s="318">
        <v>188</v>
      </c>
    </row>
    <row r="179" spans="1:10">
      <c r="A179" s="53">
        <f t="shared" si="3"/>
        <v>2020.02</v>
      </c>
      <c r="B179" s="215">
        <v>66932</v>
      </c>
      <c r="C179" s="3538">
        <v>23959</v>
      </c>
      <c r="D179" s="141">
        <v>2013</v>
      </c>
      <c r="E179" s="223">
        <v>216511</v>
      </c>
      <c r="F179" s="3538">
        <v>62160</v>
      </c>
      <c r="G179" s="141">
        <v>8871</v>
      </c>
      <c r="H179" s="223">
        <v>28130</v>
      </c>
      <c r="I179" s="3538">
        <v>4299</v>
      </c>
      <c r="J179" s="318">
        <v>346</v>
      </c>
    </row>
    <row r="180" spans="1:10" s="927" customFormat="1">
      <c r="A180" s="53">
        <f t="shared" si="3"/>
        <v>2020.03</v>
      </c>
      <c r="B180" s="930">
        <v>45143</v>
      </c>
      <c r="C180" s="3538">
        <v>12804</v>
      </c>
      <c r="D180" s="141">
        <v>411</v>
      </c>
      <c r="E180" s="223">
        <v>145854</v>
      </c>
      <c r="F180" s="3659" t="e">
        <v>#N/A</v>
      </c>
      <c r="G180" s="3615" t="e">
        <v>#N/A</v>
      </c>
      <c r="H180" s="223">
        <v>20068</v>
      </c>
      <c r="I180" s="3659" t="e">
        <v>#N/A</v>
      </c>
      <c r="J180" s="3010" t="e">
        <v>#N/A</v>
      </c>
    </row>
    <row r="181" spans="1:10" s="927" customFormat="1">
      <c r="A181" s="53">
        <f t="shared" si="3"/>
        <v>2020.04</v>
      </c>
      <c r="B181" s="930" t="e">
        <v>#N/A</v>
      </c>
      <c r="C181" s="3659" t="e">
        <v>#N/A</v>
      </c>
      <c r="D181" s="3011" t="e">
        <v>#N/A</v>
      </c>
      <c r="E181" s="929" t="e">
        <v>#N/A</v>
      </c>
      <c r="F181" s="3659" t="e">
        <v>#N/A</v>
      </c>
      <c r="G181" s="3615" t="e">
        <v>#N/A</v>
      </c>
      <c r="H181" s="928" t="e">
        <v>#N/A</v>
      </c>
      <c r="I181" s="3659" t="e">
        <v>#N/A</v>
      </c>
      <c r="J181" s="3010" t="e">
        <v>#N/A</v>
      </c>
    </row>
    <row r="182" spans="1:10" s="927" customFormat="1">
      <c r="A182" s="53">
        <f t="shared" si="3"/>
        <v>2020.05</v>
      </c>
      <c r="B182" s="930" t="e">
        <v>#N/A</v>
      </c>
      <c r="C182" s="3659" t="e">
        <v>#N/A</v>
      </c>
      <c r="D182" s="3011" t="e">
        <v>#N/A</v>
      </c>
      <c r="E182" s="929" t="e">
        <v>#N/A</v>
      </c>
      <c r="F182" s="3659" t="e">
        <v>#N/A</v>
      </c>
      <c r="G182" s="3615" t="e">
        <v>#N/A</v>
      </c>
      <c r="H182" s="928" t="e">
        <v>#N/A</v>
      </c>
      <c r="I182" s="3659" t="e">
        <v>#N/A</v>
      </c>
      <c r="J182" s="3010" t="e">
        <v>#N/A</v>
      </c>
    </row>
    <row r="183" spans="1:10" s="927" customFormat="1">
      <c r="A183" s="53">
        <f t="shared" si="3"/>
        <v>2020.06</v>
      </c>
      <c r="B183" s="215">
        <v>40020</v>
      </c>
      <c r="C183" s="3659" t="e">
        <v>#N/A</v>
      </c>
      <c r="D183" s="3011" t="e">
        <v>#N/A</v>
      </c>
      <c r="E183" s="223">
        <v>82230</v>
      </c>
      <c r="F183" s="3659" t="e">
        <v>#N/A</v>
      </c>
      <c r="G183" s="3615" t="e">
        <v>#N/A</v>
      </c>
      <c r="H183" s="931">
        <v>10890</v>
      </c>
      <c r="I183" s="3659" t="e">
        <v>#N/A</v>
      </c>
      <c r="J183" s="3010" t="e">
        <v>#N/A</v>
      </c>
    </row>
    <row r="184" spans="1:10" s="927" customFormat="1">
      <c r="A184" s="53">
        <f t="shared" si="3"/>
        <v>2020.07</v>
      </c>
      <c r="B184" s="215">
        <v>41354</v>
      </c>
      <c r="C184" s="3659" t="e">
        <v>#N/A</v>
      </c>
      <c r="D184" s="3011" t="e">
        <v>#N/A</v>
      </c>
      <c r="E184" s="223">
        <v>89001</v>
      </c>
      <c r="F184" s="3659" t="e">
        <v>#N/A</v>
      </c>
      <c r="G184" s="3615" t="e">
        <v>#N/A</v>
      </c>
      <c r="H184" s="931">
        <v>11253</v>
      </c>
      <c r="I184" s="3659" t="e">
        <v>#N/A</v>
      </c>
      <c r="J184" s="3010" t="e">
        <v>#N/A</v>
      </c>
    </row>
    <row r="185" spans="1:10">
      <c r="A185" s="53">
        <f t="shared" si="3"/>
        <v>2020.08</v>
      </c>
      <c r="B185" s="215">
        <v>41664</v>
      </c>
      <c r="C185" s="3659" t="e">
        <v>#N/A</v>
      </c>
      <c r="D185" s="3011" t="e">
        <v>#N/A</v>
      </c>
      <c r="E185" s="223">
        <v>90179</v>
      </c>
      <c r="F185" s="3659" t="e">
        <v>#N/A</v>
      </c>
      <c r="G185" s="3615" t="e">
        <v>#N/A</v>
      </c>
      <c r="H185" s="931">
        <v>11253</v>
      </c>
      <c r="I185" s="3659" t="e">
        <v>#N/A</v>
      </c>
      <c r="J185" s="3010" t="e">
        <v>#N/A</v>
      </c>
    </row>
    <row r="186" spans="1:10">
      <c r="A186" s="53">
        <f t="shared" si="3"/>
        <v>2020.09</v>
      </c>
      <c r="B186" s="215">
        <v>39496</v>
      </c>
      <c r="C186" s="3659" t="e">
        <v>#N/A</v>
      </c>
      <c r="D186" s="3011" t="e">
        <v>#N/A</v>
      </c>
      <c r="E186" s="223">
        <v>87270</v>
      </c>
      <c r="F186" s="3659" t="e">
        <v>#N/A</v>
      </c>
      <c r="G186" s="3615" t="e">
        <v>#N/A</v>
      </c>
      <c r="H186" s="931">
        <v>17880</v>
      </c>
      <c r="I186" s="3659" t="e">
        <v>#N/A</v>
      </c>
      <c r="J186" s="3010" t="e">
        <v>#N/A</v>
      </c>
    </row>
    <row r="187" spans="1:10">
      <c r="A187" s="53">
        <f t="shared" si="3"/>
        <v>2020.1</v>
      </c>
      <c r="B187" s="215">
        <v>43245</v>
      </c>
      <c r="C187" s="3659" t="e">
        <v>#N/A</v>
      </c>
      <c r="D187" s="3011" t="e">
        <v>#N/A</v>
      </c>
      <c r="E187" s="223">
        <v>93773</v>
      </c>
      <c r="F187" s="3659" t="e">
        <v>#N/A</v>
      </c>
      <c r="G187" s="3615" t="e">
        <v>#N/A</v>
      </c>
      <c r="H187" s="931">
        <v>18476</v>
      </c>
      <c r="I187" s="3659" t="e">
        <v>#N/A</v>
      </c>
      <c r="J187" s="3010" t="e">
        <v>#N/A</v>
      </c>
    </row>
    <row r="188" spans="1:10">
      <c r="A188" s="53">
        <f t="shared" si="3"/>
        <v>2020.11</v>
      </c>
      <c r="B188" s="215">
        <v>42570</v>
      </c>
      <c r="C188" s="3659" t="e">
        <v>#N/A</v>
      </c>
      <c r="D188" s="3011" t="e">
        <v>#N/A</v>
      </c>
      <c r="E188" s="223">
        <v>100890</v>
      </c>
      <c r="F188" s="3659" t="e">
        <v>#N/A</v>
      </c>
      <c r="G188" s="3615" t="e">
        <v>#N/A</v>
      </c>
      <c r="H188" s="932">
        <v>18900</v>
      </c>
      <c r="I188" s="3659" t="e">
        <v>#N/A</v>
      </c>
      <c r="J188" s="3010" t="e">
        <v>#N/A</v>
      </c>
    </row>
    <row r="189" spans="1:10">
      <c r="A189" s="53">
        <f t="shared" si="3"/>
        <v>2020.12</v>
      </c>
      <c r="B189" s="215">
        <v>57598</v>
      </c>
      <c r="C189" s="3659" t="e">
        <v>#N/A</v>
      </c>
      <c r="D189" s="3011" t="e">
        <v>#N/A</v>
      </c>
      <c r="E189" s="223">
        <v>121120</v>
      </c>
      <c r="F189" s="3659" t="e">
        <v>#N/A</v>
      </c>
      <c r="G189" s="3615" t="e">
        <v>#N/A</v>
      </c>
      <c r="H189" s="931">
        <v>28210</v>
      </c>
      <c r="I189" s="3659" t="e">
        <v>#N/A</v>
      </c>
      <c r="J189" s="3010" t="e">
        <v>#N/A</v>
      </c>
    </row>
    <row r="190" spans="1:10">
      <c r="A190" s="53">
        <f t="shared" si="3"/>
        <v>2021.01</v>
      </c>
      <c r="B190" s="215">
        <v>51274</v>
      </c>
      <c r="C190" s="3538">
        <v>7465</v>
      </c>
      <c r="D190" s="141">
        <v>119</v>
      </c>
      <c r="E190" s="223">
        <v>170314</v>
      </c>
      <c r="F190" s="3538">
        <v>30139</v>
      </c>
      <c r="G190" s="933">
        <v>821</v>
      </c>
      <c r="H190" s="931">
        <v>22692</v>
      </c>
      <c r="I190" s="3615">
        <v>1270</v>
      </c>
      <c r="J190" s="2516">
        <v>0</v>
      </c>
    </row>
    <row r="191" spans="1:10">
      <c r="A191" s="53">
        <f t="shared" si="3"/>
        <v>2021.02</v>
      </c>
      <c r="B191" s="215">
        <v>48860</v>
      </c>
      <c r="C191" s="3538">
        <v>8174</v>
      </c>
      <c r="D191" s="141">
        <v>103</v>
      </c>
      <c r="E191" s="223">
        <v>164920</v>
      </c>
      <c r="F191" s="3538">
        <v>39608</v>
      </c>
      <c r="G191" s="933">
        <v>2454</v>
      </c>
      <c r="H191" s="931">
        <v>20328</v>
      </c>
      <c r="I191" s="3615">
        <v>1378</v>
      </c>
      <c r="J191" s="2516">
        <v>0</v>
      </c>
    </row>
    <row r="192" spans="1:10">
      <c r="A192" s="53">
        <f t="shared" si="3"/>
        <v>2021.03</v>
      </c>
      <c r="B192" s="215">
        <v>50065</v>
      </c>
      <c r="C192" s="3538">
        <v>7350</v>
      </c>
      <c r="D192" s="3538">
        <v>74</v>
      </c>
      <c r="E192" s="223">
        <v>194546</v>
      </c>
      <c r="F192" s="3538">
        <v>38368</v>
      </c>
      <c r="G192" s="933">
        <v>2335</v>
      </c>
      <c r="H192" s="931">
        <v>21607</v>
      </c>
      <c r="I192" s="3615">
        <v>1156</v>
      </c>
      <c r="J192" s="2516">
        <v>0</v>
      </c>
    </row>
    <row r="193" spans="1:10">
      <c r="A193" s="53">
        <f t="shared" si="3"/>
        <v>2021.04</v>
      </c>
      <c r="B193" s="215">
        <v>46050</v>
      </c>
      <c r="C193" s="3538">
        <v>6134</v>
      </c>
      <c r="D193" s="3538">
        <v>19</v>
      </c>
      <c r="E193" s="223">
        <v>190980</v>
      </c>
      <c r="F193" s="3538">
        <v>32342</v>
      </c>
      <c r="G193" s="934">
        <v>2344</v>
      </c>
      <c r="H193" s="931">
        <v>20160</v>
      </c>
      <c r="I193" s="3615">
        <v>1045</v>
      </c>
      <c r="J193" s="2516">
        <v>0</v>
      </c>
    </row>
    <row r="194" spans="1:10">
      <c r="A194" s="53">
        <f t="shared" si="3"/>
        <v>2021.05</v>
      </c>
      <c r="B194" s="215">
        <v>50637</v>
      </c>
      <c r="C194" s="3659">
        <v>4909</v>
      </c>
      <c r="D194" s="3538">
        <v>15</v>
      </c>
      <c r="E194" s="223">
        <v>187953</v>
      </c>
      <c r="F194" s="3659">
        <v>17618</v>
      </c>
      <c r="G194" s="934">
        <v>2062</v>
      </c>
      <c r="H194" s="931">
        <v>20832</v>
      </c>
      <c r="I194" s="3659">
        <v>691</v>
      </c>
      <c r="J194" s="2516">
        <v>0</v>
      </c>
    </row>
    <row r="195" spans="1:10">
      <c r="A195" s="53">
        <f t="shared" si="3"/>
        <v>2021.06</v>
      </c>
      <c r="B195" s="215">
        <v>44250</v>
      </c>
      <c r="C195" s="3538">
        <v>3633</v>
      </c>
      <c r="D195" s="3538">
        <v>13</v>
      </c>
      <c r="E195" s="223">
        <v>186960</v>
      </c>
      <c r="F195" s="3538">
        <v>18054</v>
      </c>
      <c r="G195" s="933">
        <v>1506</v>
      </c>
      <c r="H195" s="931">
        <v>20160</v>
      </c>
      <c r="I195" s="3615">
        <v>728</v>
      </c>
      <c r="J195" s="2516">
        <v>0</v>
      </c>
    </row>
    <row r="196" spans="1:10">
      <c r="A196" s="53">
        <f t="shared" si="3"/>
        <v>2021.07</v>
      </c>
      <c r="B196" s="215">
        <v>48920</v>
      </c>
      <c r="C196" s="3538">
        <v>9373</v>
      </c>
      <c r="D196" s="3538">
        <v>13</v>
      </c>
      <c r="E196" s="223">
        <v>195813</v>
      </c>
      <c r="F196" s="3538">
        <v>44441</v>
      </c>
      <c r="G196" s="933">
        <v>1174</v>
      </c>
      <c r="H196" s="931">
        <v>20832</v>
      </c>
      <c r="I196" s="3615">
        <v>1275</v>
      </c>
      <c r="J196" s="2516">
        <v>0</v>
      </c>
    </row>
    <row r="197" spans="1:10">
      <c r="A197" s="53">
        <f t="shared" si="3"/>
        <v>2021.08</v>
      </c>
      <c r="B197" s="215">
        <v>52080</v>
      </c>
      <c r="C197" s="3538">
        <v>9726</v>
      </c>
      <c r="D197" s="3538">
        <v>0</v>
      </c>
      <c r="E197" s="223">
        <v>198183</v>
      </c>
      <c r="F197" s="3538">
        <v>42740</v>
      </c>
      <c r="G197" s="933">
        <v>1288</v>
      </c>
      <c r="H197" s="931">
        <v>20832</v>
      </c>
      <c r="I197" s="3615">
        <v>1362</v>
      </c>
      <c r="J197" s="2516">
        <v>0</v>
      </c>
    </row>
    <row r="198" spans="1:10">
      <c r="A198" s="53">
        <f t="shared" si="3"/>
        <v>2021.09</v>
      </c>
      <c r="B198" s="215">
        <v>50400</v>
      </c>
      <c r="C198" s="3538">
        <v>10293</v>
      </c>
      <c r="D198" s="3538">
        <v>14</v>
      </c>
      <c r="E198" s="223">
        <v>189060</v>
      </c>
      <c r="F198" s="3538">
        <v>52780</v>
      </c>
      <c r="G198" s="933">
        <v>2167</v>
      </c>
      <c r="H198" s="932">
        <v>18030</v>
      </c>
      <c r="I198" s="3659">
        <v>671</v>
      </c>
      <c r="J198" s="2516">
        <v>2</v>
      </c>
    </row>
    <row r="199" spans="1:10">
      <c r="A199" s="53">
        <f t="shared" si="3"/>
        <v>2021.1</v>
      </c>
      <c r="B199" s="215">
        <v>52638</v>
      </c>
      <c r="C199" s="3538">
        <v>13723</v>
      </c>
      <c r="D199" s="3538">
        <v>147</v>
      </c>
      <c r="E199" s="223">
        <v>198462</v>
      </c>
      <c r="F199" s="3538">
        <v>63847</v>
      </c>
      <c r="G199" s="933">
        <v>2495</v>
      </c>
      <c r="H199" s="931">
        <v>23281</v>
      </c>
      <c r="I199" s="3615">
        <v>2185</v>
      </c>
      <c r="J199" s="2516">
        <v>1</v>
      </c>
    </row>
    <row r="200" spans="1:10">
      <c r="A200" s="53">
        <f t="shared" si="3"/>
        <v>2021.11</v>
      </c>
      <c r="B200" s="215">
        <v>50580</v>
      </c>
      <c r="C200" s="3538">
        <v>13808</v>
      </c>
      <c r="D200" s="141">
        <v>246</v>
      </c>
      <c r="E200" s="223">
        <v>191610</v>
      </c>
      <c r="F200" s="3538">
        <v>64443</v>
      </c>
      <c r="G200" s="933">
        <v>4780</v>
      </c>
      <c r="H200" s="931" t="e">
        <v>#N/A</v>
      </c>
      <c r="I200" s="3615" t="e">
        <v>#N/A</v>
      </c>
      <c r="J200" s="3010" t="e">
        <v>#N/A</v>
      </c>
    </row>
    <row r="201" spans="1:10">
      <c r="A201" s="53">
        <f t="shared" si="3"/>
        <v>2021.12</v>
      </c>
      <c r="B201" s="215">
        <v>54932</v>
      </c>
      <c r="C201" s="3538">
        <v>15041</v>
      </c>
      <c r="D201" s="141">
        <v>565</v>
      </c>
      <c r="E201" s="223">
        <v>194131</v>
      </c>
      <c r="F201" s="3538">
        <v>60020</v>
      </c>
      <c r="G201" s="141">
        <v>3981</v>
      </c>
      <c r="H201" s="931" t="e">
        <v>#N/A</v>
      </c>
      <c r="I201" s="3615" t="e">
        <v>#N/A</v>
      </c>
      <c r="J201" s="3010" t="e">
        <v>#N/A</v>
      </c>
    </row>
    <row r="202" spans="1:10">
      <c r="A202" s="53">
        <f t="shared" si="3"/>
        <v>2022.01</v>
      </c>
      <c r="B202" s="215">
        <v>56234</v>
      </c>
      <c r="C202" s="3538">
        <v>12575</v>
      </c>
      <c r="D202" s="141">
        <v>758</v>
      </c>
      <c r="E202" s="223">
        <v>171431</v>
      </c>
      <c r="F202" s="3538">
        <v>55242</v>
      </c>
      <c r="G202" s="141">
        <v>3476</v>
      </c>
      <c r="H202" s="931">
        <v>29233</v>
      </c>
      <c r="I202" s="3538">
        <v>2515</v>
      </c>
      <c r="J202" s="2516">
        <v>0</v>
      </c>
    </row>
    <row r="203" spans="1:10">
      <c r="A203" s="53">
        <f t="shared" si="3"/>
        <v>2022.02</v>
      </c>
      <c r="B203" s="215">
        <v>51464</v>
      </c>
      <c r="C203" s="3538">
        <v>13792</v>
      </c>
      <c r="D203" s="141">
        <v>778</v>
      </c>
      <c r="E203" s="223">
        <v>162500</v>
      </c>
      <c r="F203" s="3538">
        <v>60874</v>
      </c>
      <c r="G203" s="141">
        <v>4306</v>
      </c>
      <c r="H203" s="223">
        <v>26236</v>
      </c>
      <c r="I203" s="3538">
        <v>3562</v>
      </c>
      <c r="J203" s="2516">
        <v>10</v>
      </c>
    </row>
    <row r="204" spans="1:10">
      <c r="A204" s="53">
        <f t="shared" si="3"/>
        <v>2022.03</v>
      </c>
      <c r="B204" s="215">
        <v>56978</v>
      </c>
      <c r="C204" s="3538">
        <v>14059</v>
      </c>
      <c r="D204" s="141">
        <v>2633</v>
      </c>
      <c r="E204" s="223">
        <v>177310</v>
      </c>
      <c r="F204" s="3538">
        <v>61075</v>
      </c>
      <c r="G204" s="141">
        <v>5663</v>
      </c>
      <c r="H204" s="223">
        <v>29047</v>
      </c>
      <c r="I204" s="3538">
        <v>4287</v>
      </c>
      <c r="J204" s="2516">
        <v>65</v>
      </c>
    </row>
    <row r="205" spans="1:10">
      <c r="A205" s="53">
        <f t="shared" si="3"/>
        <v>2022.04</v>
      </c>
      <c r="B205" s="215">
        <v>55380</v>
      </c>
      <c r="C205" s="3538">
        <v>15400</v>
      </c>
      <c r="D205" s="141">
        <v>2151</v>
      </c>
      <c r="E205" s="223">
        <v>174110</v>
      </c>
      <c r="F205" s="3538">
        <v>64918</v>
      </c>
      <c r="G205" s="141">
        <v>10968</v>
      </c>
      <c r="H205" s="223">
        <v>28110</v>
      </c>
      <c r="I205" s="3538">
        <v>4225</v>
      </c>
      <c r="J205" s="318">
        <v>220</v>
      </c>
    </row>
    <row r="206" spans="1:10">
      <c r="A206" s="53">
        <f t="shared" si="3"/>
        <v>2022.05</v>
      </c>
      <c r="B206" s="215">
        <v>57350</v>
      </c>
      <c r="C206" s="3538">
        <v>16912</v>
      </c>
      <c r="D206" s="141">
        <v>2409</v>
      </c>
      <c r="E206" s="223">
        <v>184688</v>
      </c>
      <c r="F206" s="3538">
        <v>63453</v>
      </c>
      <c r="G206" s="141">
        <v>11845</v>
      </c>
      <c r="H206" s="223">
        <v>28737</v>
      </c>
      <c r="I206" s="3538">
        <v>4506</v>
      </c>
      <c r="J206" s="3010" t="e">
        <v>#N/A</v>
      </c>
    </row>
    <row r="207" spans="1:10">
      <c r="A207" s="53">
        <f t="shared" si="3"/>
        <v>2022.06</v>
      </c>
      <c r="B207" s="215">
        <v>56130</v>
      </c>
      <c r="C207" s="3538">
        <v>16665</v>
      </c>
      <c r="D207" s="141">
        <v>749</v>
      </c>
      <c r="E207" s="223">
        <v>176442</v>
      </c>
      <c r="F207" s="3538">
        <v>63660</v>
      </c>
      <c r="G207" s="141">
        <v>9038</v>
      </c>
      <c r="H207" s="223">
        <v>27870</v>
      </c>
      <c r="I207" s="3538">
        <v>4133</v>
      </c>
      <c r="J207" s="3010" t="e">
        <v>#N/A</v>
      </c>
    </row>
    <row r="208" spans="1:10">
      <c r="A208" s="53">
        <f t="shared" si="3"/>
        <v>2022.07</v>
      </c>
      <c r="B208" s="215">
        <v>60326</v>
      </c>
      <c r="C208" s="3538">
        <v>21961</v>
      </c>
      <c r="D208" s="141">
        <v>1929</v>
      </c>
      <c r="E208" s="223">
        <v>186028</v>
      </c>
      <c r="F208" s="3538">
        <v>68548</v>
      </c>
      <c r="G208" s="141">
        <v>10608</v>
      </c>
      <c r="H208" s="223">
        <v>29791</v>
      </c>
      <c r="I208" s="3538">
        <v>5254</v>
      </c>
      <c r="J208" s="3010" t="e">
        <v>#N/A</v>
      </c>
    </row>
    <row r="209" spans="1:10">
      <c r="A209" s="53">
        <f t="shared" si="3"/>
        <v>2022.08</v>
      </c>
      <c r="B209" s="215">
        <v>60636</v>
      </c>
      <c r="C209" s="3538">
        <v>18333</v>
      </c>
      <c r="D209" s="141">
        <v>1684</v>
      </c>
      <c r="E209" s="223">
        <v>186723</v>
      </c>
      <c r="F209" s="3538">
        <v>66595</v>
      </c>
      <c r="G209" s="141">
        <v>7904</v>
      </c>
      <c r="H209" s="223">
        <v>29915</v>
      </c>
      <c r="I209" s="3538">
        <v>4959</v>
      </c>
      <c r="J209" s="318">
        <v>477</v>
      </c>
    </row>
    <row r="210" spans="1:10">
      <c r="A210" s="53">
        <f t="shared" si="3"/>
        <v>2022.09</v>
      </c>
      <c r="B210" s="215">
        <v>59100</v>
      </c>
      <c r="C210" s="3538">
        <v>18118</v>
      </c>
      <c r="D210" s="141">
        <v>1328</v>
      </c>
      <c r="E210" s="223">
        <v>179516</v>
      </c>
      <c r="F210" s="3538">
        <v>64467</v>
      </c>
      <c r="G210" s="141">
        <v>8104</v>
      </c>
      <c r="H210" s="223">
        <v>28950</v>
      </c>
      <c r="I210" s="3538">
        <v>3703</v>
      </c>
      <c r="J210" s="318">
        <v>648</v>
      </c>
    </row>
    <row r="211" spans="1:10">
      <c r="A211" s="53">
        <f t="shared" si="3"/>
        <v>2022.1</v>
      </c>
      <c r="B211" s="215">
        <v>60760</v>
      </c>
      <c r="C211" s="3538">
        <v>19241</v>
      </c>
      <c r="D211" s="141">
        <v>1571</v>
      </c>
      <c r="E211" s="223">
        <v>185408</v>
      </c>
      <c r="F211" s="3538">
        <v>63565</v>
      </c>
      <c r="G211" s="141">
        <v>6882</v>
      </c>
      <c r="H211" s="223">
        <v>28055</v>
      </c>
      <c r="I211" s="3538">
        <v>4522</v>
      </c>
      <c r="J211" s="3010" t="e">
        <v>#N/A</v>
      </c>
    </row>
    <row r="212" spans="1:10">
      <c r="A212" s="53">
        <f t="shared" si="3"/>
        <v>2022.11</v>
      </c>
      <c r="B212" s="215">
        <v>58500</v>
      </c>
      <c r="C212" s="3538">
        <v>17973</v>
      </c>
      <c r="D212" s="141">
        <v>1626</v>
      </c>
      <c r="E212" s="223">
        <v>179340</v>
      </c>
      <c r="F212" s="3538">
        <v>68631</v>
      </c>
      <c r="G212" s="141">
        <v>6637</v>
      </c>
      <c r="H212" s="223">
        <v>27150</v>
      </c>
      <c r="I212" s="3538">
        <v>3877</v>
      </c>
      <c r="J212" s="318">
        <v>116</v>
      </c>
    </row>
    <row r="213" spans="1:10">
      <c r="A213" s="53">
        <f t="shared" si="3"/>
        <v>2022.12</v>
      </c>
      <c r="B213" s="215">
        <v>58470</v>
      </c>
      <c r="C213" s="3538">
        <v>14665</v>
      </c>
      <c r="D213" s="141">
        <v>1392</v>
      </c>
      <c r="E213" s="223">
        <v>186919</v>
      </c>
      <c r="F213" s="3538">
        <v>48457</v>
      </c>
      <c r="G213" s="141">
        <v>6564</v>
      </c>
      <c r="H213" s="223">
        <v>28582</v>
      </c>
      <c r="I213" s="3538">
        <v>3722</v>
      </c>
      <c r="J213" s="318" t="e">
        <v>#N/A</v>
      </c>
    </row>
    <row r="214" spans="1:10">
      <c r="A214" s="53">
        <f t="shared" si="3"/>
        <v>2023.01</v>
      </c>
      <c r="B214" s="215">
        <v>63689</v>
      </c>
      <c r="C214" s="3538">
        <v>20073</v>
      </c>
      <c r="D214" s="141">
        <v>3489</v>
      </c>
      <c r="E214" s="223">
        <v>188633</v>
      </c>
      <c r="F214" s="3538">
        <v>51687</v>
      </c>
      <c r="G214" s="141">
        <v>6229</v>
      </c>
      <c r="H214" s="223">
        <v>28923</v>
      </c>
      <c r="I214" s="3538">
        <v>4891</v>
      </c>
      <c r="J214" s="318" t="e">
        <v>#N/A</v>
      </c>
    </row>
    <row r="215" spans="1:10">
      <c r="A215" s="53">
        <f t="shared" si="3"/>
        <v>2023.02</v>
      </c>
      <c r="B215" s="215">
        <v>58912</v>
      </c>
      <c r="C215" s="3538">
        <v>18499</v>
      </c>
      <c r="D215" s="141">
        <v>1714</v>
      </c>
      <c r="E215" s="223">
        <v>175000</v>
      </c>
      <c r="F215" s="3538">
        <v>53359</v>
      </c>
      <c r="G215" s="141">
        <v>5858</v>
      </c>
      <c r="H215" s="223">
        <v>25648</v>
      </c>
      <c r="I215" s="3538">
        <v>4748</v>
      </c>
      <c r="J215" s="318" t="e">
        <v>#N/A</v>
      </c>
    </row>
    <row r="216" spans="1:10">
      <c r="A216" s="53">
        <f t="shared" si="3"/>
        <v>2023.03</v>
      </c>
      <c r="B216" s="215">
        <v>61814</v>
      </c>
      <c r="C216" s="3538">
        <v>19490</v>
      </c>
      <c r="D216" s="141">
        <v>2220</v>
      </c>
      <c r="E216" s="223">
        <v>191084</v>
      </c>
      <c r="F216" s="3538">
        <v>57084</v>
      </c>
      <c r="G216" s="141">
        <v>6099</v>
      </c>
      <c r="H216" s="223">
        <v>29357</v>
      </c>
      <c r="I216" s="3538">
        <v>4677</v>
      </c>
      <c r="J216" s="318" t="e">
        <v>#N/A</v>
      </c>
    </row>
    <row r="217" spans="1:10">
      <c r="A217" s="53">
        <f t="shared" si="3"/>
        <v>2023.04</v>
      </c>
      <c r="B217" s="215">
        <v>63234</v>
      </c>
      <c r="C217" s="3538">
        <v>20107</v>
      </c>
      <c r="D217" s="141">
        <v>3191</v>
      </c>
      <c r="E217" s="223">
        <v>186180</v>
      </c>
      <c r="F217" s="3538">
        <v>48131</v>
      </c>
      <c r="G217" s="141">
        <v>6685</v>
      </c>
      <c r="H217" s="223">
        <v>28320</v>
      </c>
      <c r="I217" s="3538">
        <v>4463</v>
      </c>
      <c r="J217" s="318" t="e">
        <v>#N/A</v>
      </c>
    </row>
    <row r="218" spans="1:10">
      <c r="A218" s="53">
        <f t="shared" si="3"/>
        <v>2023.05</v>
      </c>
      <c r="B218" s="215">
        <v>64459</v>
      </c>
      <c r="C218" s="3538">
        <v>18082</v>
      </c>
      <c r="D218" s="141">
        <v>2479</v>
      </c>
      <c r="E218" s="223">
        <v>210490</v>
      </c>
      <c r="F218" s="3538">
        <v>54360</v>
      </c>
      <c r="G218" s="141">
        <v>6609</v>
      </c>
      <c r="H218" s="223">
        <v>27683</v>
      </c>
      <c r="I218" s="3538">
        <v>4012</v>
      </c>
      <c r="J218" s="318" t="e">
        <v>#N/A</v>
      </c>
    </row>
    <row r="219" spans="1:10">
      <c r="A219" s="53">
        <f t="shared" si="3"/>
        <v>2023.06</v>
      </c>
      <c r="B219" s="215">
        <v>62520</v>
      </c>
      <c r="C219" s="3538">
        <v>17432</v>
      </c>
      <c r="D219" s="141">
        <v>1692</v>
      </c>
      <c r="E219" s="223">
        <v>193410</v>
      </c>
      <c r="F219" s="3538">
        <v>57116</v>
      </c>
      <c r="G219" s="141">
        <v>6587</v>
      </c>
      <c r="H219" s="223">
        <v>27570</v>
      </c>
      <c r="I219" s="3538">
        <v>4363</v>
      </c>
      <c r="J219" s="318" t="e">
        <v>#N/A</v>
      </c>
    </row>
    <row r="220" spans="1:10">
      <c r="A220" s="53">
        <f t="shared" si="3"/>
        <v>2023.07</v>
      </c>
      <c r="B220" s="215">
        <v>66123</v>
      </c>
      <c r="C220" s="3538">
        <v>21741</v>
      </c>
      <c r="D220" s="141">
        <v>3493</v>
      </c>
      <c r="E220" s="223">
        <v>199051</v>
      </c>
      <c r="F220" s="3538">
        <v>60209</v>
      </c>
      <c r="G220" s="141">
        <v>7307</v>
      </c>
      <c r="H220" s="223">
        <v>27745</v>
      </c>
      <c r="I220" s="3538">
        <v>5301</v>
      </c>
      <c r="J220" s="318">
        <v>104</v>
      </c>
    </row>
    <row r="221" spans="1:10">
      <c r="A221" s="53">
        <f t="shared" si="3"/>
        <v>2023.08</v>
      </c>
      <c r="B221" s="215">
        <v>65782</v>
      </c>
      <c r="C221" s="3538">
        <v>19897</v>
      </c>
      <c r="D221" s="141">
        <v>1734</v>
      </c>
      <c r="E221" s="223">
        <v>194184</v>
      </c>
      <c r="F221" s="3538">
        <v>57685</v>
      </c>
      <c r="G221" s="141">
        <v>7410</v>
      </c>
      <c r="H221" s="223">
        <v>28551</v>
      </c>
      <c r="I221" s="3538">
        <v>5290</v>
      </c>
      <c r="J221" s="318">
        <v>352</v>
      </c>
    </row>
    <row r="222" spans="1:10">
      <c r="A222" s="53">
        <f t="shared" si="3"/>
        <v>2023.09</v>
      </c>
      <c r="B222" s="215">
        <v>64110</v>
      </c>
      <c r="C222" s="3538">
        <v>21513</v>
      </c>
      <c r="D222" s="141">
        <v>3152</v>
      </c>
      <c r="E222" s="223">
        <v>188100</v>
      </c>
      <c r="F222" s="3538">
        <v>59355</v>
      </c>
      <c r="G222" s="141">
        <v>7419</v>
      </c>
      <c r="H222" s="223">
        <v>27720</v>
      </c>
      <c r="I222" s="3538">
        <v>4915</v>
      </c>
      <c r="J222" s="318" t="e">
        <v>#N/A</v>
      </c>
    </row>
    <row r="223" spans="1:10">
      <c r="A223" s="53">
        <f t="shared" si="3"/>
        <v>2023.1</v>
      </c>
      <c r="B223" s="215">
        <v>65751</v>
      </c>
      <c r="C223" s="3538">
        <v>19405</v>
      </c>
      <c r="D223" s="141">
        <v>1894</v>
      </c>
      <c r="E223" s="223">
        <v>193130</v>
      </c>
      <c r="F223" s="3538">
        <v>57522</v>
      </c>
      <c r="G223" s="141">
        <v>6246</v>
      </c>
      <c r="H223" s="223">
        <v>27962</v>
      </c>
      <c r="I223" s="3538">
        <v>6157</v>
      </c>
      <c r="J223" s="318">
        <v>341</v>
      </c>
    </row>
    <row r="224" spans="1:10">
      <c r="A224" s="53">
        <f t="shared" si="3"/>
        <v>2023.11</v>
      </c>
      <c r="B224" s="215">
        <v>63330</v>
      </c>
      <c r="C224" s="3538">
        <v>17635</v>
      </c>
      <c r="D224" s="141">
        <v>2241</v>
      </c>
      <c r="E224" s="223">
        <v>189330</v>
      </c>
      <c r="F224" s="3538">
        <v>59993</v>
      </c>
      <c r="G224" s="141">
        <v>8651</v>
      </c>
      <c r="H224" s="223">
        <v>27030</v>
      </c>
      <c r="I224" s="3538">
        <v>3822</v>
      </c>
      <c r="J224" s="318" t="e">
        <v>#N/A</v>
      </c>
    </row>
    <row r="225" spans="1:10">
      <c r="A225" s="53">
        <f t="shared" si="3"/>
        <v>2023.12</v>
      </c>
      <c r="B225" s="215">
        <v>64019</v>
      </c>
      <c r="C225" s="3538">
        <v>16101</v>
      </c>
      <c r="D225" s="141">
        <v>1524</v>
      </c>
      <c r="E225" s="223">
        <v>197896</v>
      </c>
      <c r="F225" s="3538">
        <v>49871</v>
      </c>
      <c r="G225" s="141">
        <v>7625</v>
      </c>
      <c r="H225" s="223">
        <v>27993</v>
      </c>
      <c r="I225" s="3538">
        <v>3877</v>
      </c>
      <c r="J225" s="318" t="e">
        <v>#N/A</v>
      </c>
    </row>
    <row r="226" spans="1:10">
      <c r="A226" s="53">
        <f t="shared" ref="A226:A289" si="4">A214+1</f>
        <v>2024.01</v>
      </c>
      <c r="B226" s="215">
        <v>66116</v>
      </c>
      <c r="C226" s="3538">
        <v>14785</v>
      </c>
      <c r="D226" s="141">
        <v>1910</v>
      </c>
      <c r="E226" s="223">
        <v>211772</v>
      </c>
      <c r="F226" s="3538">
        <v>48484</v>
      </c>
      <c r="G226" s="141">
        <v>5117</v>
      </c>
      <c r="H226" s="223">
        <v>28675</v>
      </c>
      <c r="I226" s="3538">
        <v>4514</v>
      </c>
      <c r="J226" s="318" t="e">
        <v>#N/A</v>
      </c>
    </row>
    <row r="227" spans="1:10">
      <c r="A227" s="53">
        <f t="shared" si="4"/>
        <v>2024.02</v>
      </c>
      <c r="B227" s="215">
        <v>61857</v>
      </c>
      <c r="C227" s="3538">
        <v>16233</v>
      </c>
      <c r="D227" s="141">
        <v>1497</v>
      </c>
      <c r="E227" s="223">
        <v>215528</v>
      </c>
      <c r="F227" s="3538">
        <v>56318</v>
      </c>
      <c r="G227" s="141">
        <v>5582</v>
      </c>
      <c r="H227" s="223">
        <v>26564</v>
      </c>
      <c r="I227" s="3538">
        <v>4477</v>
      </c>
      <c r="J227" s="318" t="e">
        <v>#N/A</v>
      </c>
    </row>
    <row r="228" spans="1:10">
      <c r="A228" s="53">
        <f t="shared" si="4"/>
        <v>2024.03</v>
      </c>
      <c r="B228" s="215">
        <v>66588</v>
      </c>
      <c r="C228" s="3538">
        <v>14982</v>
      </c>
      <c r="D228" s="141">
        <v>2326</v>
      </c>
      <c r="E228" s="223">
        <v>224223</v>
      </c>
      <c r="F228" s="3538">
        <v>50166</v>
      </c>
      <c r="G228" s="141">
        <v>4880</v>
      </c>
      <c r="H228" s="223">
        <v>28582</v>
      </c>
      <c r="I228" s="3538">
        <v>5024</v>
      </c>
      <c r="J228" s="318" t="e">
        <v>#N/A</v>
      </c>
    </row>
    <row r="229" spans="1:10">
      <c r="A229" s="53">
        <f t="shared" si="4"/>
        <v>2024.04</v>
      </c>
      <c r="B229" s="215">
        <v>64080</v>
      </c>
      <c r="C229" s="3538">
        <v>13833</v>
      </c>
      <c r="D229" s="141">
        <v>1005</v>
      </c>
      <c r="E229" s="223">
        <v>218280</v>
      </c>
      <c r="F229" s="3538">
        <v>42622</v>
      </c>
      <c r="G229" s="141">
        <v>3636</v>
      </c>
      <c r="H229" s="223">
        <v>27840</v>
      </c>
      <c r="I229" s="3538">
        <v>4711</v>
      </c>
      <c r="J229" s="318" t="e">
        <v>#N/A</v>
      </c>
    </row>
    <row r="230" spans="1:10">
      <c r="A230" s="53">
        <f t="shared" si="4"/>
        <v>2024.05</v>
      </c>
      <c r="B230" s="215">
        <v>65999</v>
      </c>
      <c r="C230" s="3538">
        <v>14686</v>
      </c>
      <c r="D230" s="141">
        <v>911</v>
      </c>
      <c r="E230" s="223">
        <v>223324</v>
      </c>
      <c r="F230" s="3538">
        <v>51665</v>
      </c>
      <c r="G230" s="141">
        <v>4878</v>
      </c>
      <c r="H230" s="223">
        <v>28768</v>
      </c>
      <c r="I230" s="3538">
        <v>5014</v>
      </c>
      <c r="J230" s="318" t="e">
        <v>#N/A</v>
      </c>
    </row>
    <row r="231" spans="1:10">
      <c r="A231" s="53">
        <f t="shared" si="4"/>
        <v>2024.06</v>
      </c>
      <c r="B231" s="215">
        <v>63600</v>
      </c>
      <c r="C231" s="3538">
        <v>15675</v>
      </c>
      <c r="D231" s="141">
        <v>1002</v>
      </c>
      <c r="E231" s="223">
        <v>217080</v>
      </c>
      <c r="F231" s="3538">
        <v>53271</v>
      </c>
      <c r="G231" s="141">
        <v>3835</v>
      </c>
      <c r="H231" s="223">
        <v>28170</v>
      </c>
      <c r="I231" s="3538">
        <v>5756</v>
      </c>
      <c r="J231" s="318" t="e">
        <v>#N/A</v>
      </c>
    </row>
    <row r="232" spans="1:10">
      <c r="A232" s="53">
        <f t="shared" si="4"/>
        <v>2024.07</v>
      </c>
      <c r="B232" s="215">
        <v>65906</v>
      </c>
      <c r="C232" s="3538">
        <v>17475</v>
      </c>
      <c r="D232" s="141">
        <v>2013</v>
      </c>
      <c r="E232" s="223">
        <v>229834</v>
      </c>
      <c r="F232" s="3538">
        <v>61467</v>
      </c>
      <c r="G232" s="141">
        <v>5462</v>
      </c>
      <c r="H232" s="223">
        <v>29109</v>
      </c>
      <c r="I232" s="3538">
        <v>5467</v>
      </c>
      <c r="J232" s="318">
        <v>245</v>
      </c>
    </row>
    <row r="233" spans="1:10">
      <c r="A233" s="53">
        <f t="shared" si="4"/>
        <v>2024.08</v>
      </c>
      <c r="B233" s="215">
        <v>64976</v>
      </c>
      <c r="C233" s="3538">
        <v>19281</v>
      </c>
      <c r="D233" s="141">
        <v>1506</v>
      </c>
      <c r="E233" s="223">
        <v>229679</v>
      </c>
      <c r="F233" s="3538">
        <v>57359</v>
      </c>
      <c r="G233" s="141">
        <v>4913</v>
      </c>
      <c r="H233" s="223">
        <v>27733</v>
      </c>
      <c r="I233" s="3538">
        <v>5694</v>
      </c>
      <c r="J233" s="318">
        <v>823</v>
      </c>
    </row>
    <row r="234" spans="1:10">
      <c r="A234" s="53">
        <f t="shared" si="4"/>
        <v>2024.09</v>
      </c>
      <c r="B234" s="215">
        <v>63090</v>
      </c>
      <c r="C234" s="3538">
        <v>18429</v>
      </c>
      <c r="D234" s="141">
        <v>2174</v>
      </c>
      <c r="E234" s="223">
        <v>223230</v>
      </c>
      <c r="F234" s="3538">
        <v>60099</v>
      </c>
      <c r="G234" s="141">
        <v>6919</v>
      </c>
      <c r="H234" s="223">
        <v>28410</v>
      </c>
      <c r="I234" s="3538">
        <v>5833</v>
      </c>
      <c r="J234" s="318" t="e">
        <v>#N/A</v>
      </c>
    </row>
    <row r="235" spans="1:10">
      <c r="A235" s="53">
        <f t="shared" si="4"/>
        <v>2024.1</v>
      </c>
      <c r="B235" s="215">
        <v>65069</v>
      </c>
      <c r="C235" s="3538">
        <v>21655</v>
      </c>
      <c r="D235" s="141">
        <v>1470</v>
      </c>
      <c r="E235" s="223">
        <v>230640</v>
      </c>
      <c r="F235" s="3538">
        <v>65839</v>
      </c>
      <c r="G235" s="141">
        <v>7812</v>
      </c>
      <c r="H235" s="223">
        <v>29078</v>
      </c>
      <c r="I235" s="3538">
        <v>5783</v>
      </c>
      <c r="J235" s="318" t="e">
        <v>#N/A</v>
      </c>
    </row>
    <row r="236" spans="1:10">
      <c r="A236" s="53">
        <f t="shared" si="4"/>
        <v>2024.11</v>
      </c>
      <c r="B236" s="3660">
        <v>63030</v>
      </c>
      <c r="C236" s="3660">
        <v>20230</v>
      </c>
      <c r="D236" s="682">
        <v>1839</v>
      </c>
      <c r="E236" s="223">
        <v>223920</v>
      </c>
      <c r="F236" s="3538">
        <v>66783</v>
      </c>
      <c r="G236" s="141">
        <v>8571</v>
      </c>
      <c r="H236" s="223">
        <v>28140</v>
      </c>
      <c r="I236" s="3538">
        <v>5174</v>
      </c>
      <c r="J236" s="318" t="e">
        <v>#N/A</v>
      </c>
    </row>
    <row r="237" spans="1:10">
      <c r="A237" s="53">
        <f t="shared" si="4"/>
        <v>2024.12</v>
      </c>
      <c r="B237" s="3660">
        <v>63050</v>
      </c>
      <c r="C237" s="3660">
        <v>16628</v>
      </c>
      <c r="D237" s="682">
        <v>1405</v>
      </c>
      <c r="E237" s="223">
        <v>231056</v>
      </c>
      <c r="F237" s="3538">
        <v>48958</v>
      </c>
      <c r="G237" s="141">
        <v>5170</v>
      </c>
      <c r="H237" s="223">
        <v>29078</v>
      </c>
      <c r="I237" s="3538">
        <v>4424</v>
      </c>
      <c r="J237" s="318" t="e">
        <v>#N/A</v>
      </c>
    </row>
    <row r="238" spans="1:10">
      <c r="A238" s="53">
        <f t="shared" si="4"/>
        <v>2025.01</v>
      </c>
      <c r="B238" s="3660">
        <v>65186</v>
      </c>
      <c r="C238" s="3660">
        <v>16438</v>
      </c>
      <c r="D238" s="682">
        <v>1415</v>
      </c>
      <c r="E238" s="223">
        <v>237538</v>
      </c>
      <c r="F238" s="3538">
        <v>37956</v>
      </c>
      <c r="G238" s="141">
        <v>5363</v>
      </c>
      <c r="H238" s="223">
        <v>27094</v>
      </c>
      <c r="I238" s="3538">
        <v>4875</v>
      </c>
      <c r="J238" s="318" t="e">
        <v>#N/A</v>
      </c>
    </row>
    <row r="239" spans="1:10">
      <c r="A239" s="53">
        <f t="shared" si="4"/>
        <v>2025.02</v>
      </c>
      <c r="B239" s="3660">
        <v>59500</v>
      </c>
      <c r="C239" s="3660">
        <v>17558</v>
      </c>
      <c r="D239" s="3660">
        <v>1242</v>
      </c>
      <c r="E239" s="223">
        <v>216888</v>
      </c>
      <c r="F239" s="3538">
        <v>45620</v>
      </c>
      <c r="G239" s="3538">
        <v>4561</v>
      </c>
      <c r="H239" s="223">
        <v>26432</v>
      </c>
      <c r="I239" s="3538">
        <v>4987</v>
      </c>
      <c r="J239" s="318" t="e">
        <v>#N/A</v>
      </c>
    </row>
    <row r="240" spans="1:10">
      <c r="A240" s="53">
        <f t="shared" si="4"/>
        <v>2025.03</v>
      </c>
      <c r="B240" s="3660">
        <v>65224</v>
      </c>
      <c r="C240" s="3660">
        <v>19577</v>
      </c>
      <c r="D240" s="3660">
        <v>2195</v>
      </c>
      <c r="E240" s="223">
        <v>233926</v>
      </c>
      <c r="F240" s="3538">
        <v>55487</v>
      </c>
      <c r="G240" s="3538">
        <v>5297</v>
      </c>
      <c r="H240" s="223">
        <v>29512</v>
      </c>
      <c r="I240" s="3538">
        <v>5014</v>
      </c>
      <c r="J240" s="318" t="e">
        <v>#N/A</v>
      </c>
    </row>
    <row r="241" spans="1:10">
      <c r="A241" s="53">
        <f t="shared" si="4"/>
        <v>2025.04</v>
      </c>
      <c r="B241" s="3660">
        <v>63420</v>
      </c>
      <c r="C241" s="3660">
        <v>19577</v>
      </c>
      <c r="D241" s="3660">
        <v>1305</v>
      </c>
      <c r="E241" s="223">
        <v>227700</v>
      </c>
      <c r="F241" s="3538">
        <v>50292</v>
      </c>
      <c r="G241" s="3538">
        <v>5440</v>
      </c>
      <c r="H241" s="223">
        <v>28560</v>
      </c>
      <c r="I241" s="3538">
        <v>6225</v>
      </c>
      <c r="J241" s="318" t="e">
        <v>#N/A</v>
      </c>
    </row>
    <row r="242" spans="1:10">
      <c r="A242" s="53">
        <f t="shared" si="4"/>
        <v>2025.05</v>
      </c>
      <c r="B242" s="3660">
        <v>65255</v>
      </c>
      <c r="C242" s="3660">
        <v>19335</v>
      </c>
      <c r="D242" s="3660">
        <v>1698</v>
      </c>
      <c r="E242" s="223">
        <v>237646</v>
      </c>
      <c r="F242" s="3538">
        <v>57025</v>
      </c>
      <c r="G242" s="3538">
        <v>7035</v>
      </c>
      <c r="H242" s="223">
        <v>29512</v>
      </c>
      <c r="I242" s="3538">
        <v>5460</v>
      </c>
      <c r="J242" s="318">
        <v>166</v>
      </c>
    </row>
    <row r="243" spans="1:10">
      <c r="A243" s="53">
        <f t="shared" si="4"/>
        <v>2025.06</v>
      </c>
      <c r="B243" s="3660">
        <v>64680</v>
      </c>
      <c r="C243" s="3660">
        <v>15749</v>
      </c>
      <c r="D243" s="3660">
        <v>1754</v>
      </c>
      <c r="E243" s="223">
        <v>227458</v>
      </c>
      <c r="F243" s="3538">
        <v>56474</v>
      </c>
      <c r="G243" s="3538">
        <v>6066</v>
      </c>
      <c r="H243" s="223">
        <v>26520</v>
      </c>
      <c r="I243" s="3538">
        <v>5313</v>
      </c>
      <c r="J243" s="318" t="e">
        <v>#N/A</v>
      </c>
    </row>
    <row r="244" spans="1:10">
      <c r="A244" s="53">
        <f t="shared" si="4"/>
        <v>2025.07</v>
      </c>
      <c r="B244" s="3660">
        <v>67363</v>
      </c>
      <c r="C244" s="3660">
        <v>19193</v>
      </c>
      <c r="D244" s="3660">
        <v>2203</v>
      </c>
      <c r="E244" s="223">
        <v>237863</v>
      </c>
      <c r="F244" s="3538">
        <v>69659</v>
      </c>
      <c r="G244" s="3538">
        <v>6296</v>
      </c>
      <c r="H244" s="223">
        <v>30101</v>
      </c>
      <c r="I244" s="3538">
        <v>6533</v>
      </c>
      <c r="J244" s="318" t="e">
        <v>#N/A</v>
      </c>
    </row>
    <row r="245" spans="1:10">
      <c r="A245" s="53">
        <f t="shared" si="4"/>
        <v>2025.08</v>
      </c>
      <c r="B245" s="3660">
        <v>67363</v>
      </c>
      <c r="C245" s="3660">
        <v>17547</v>
      </c>
      <c r="D245" s="3660">
        <v>2305</v>
      </c>
      <c r="E245" s="223">
        <v>237801</v>
      </c>
      <c r="F245" s="3538">
        <v>67236</v>
      </c>
      <c r="G245" s="3538">
        <v>9572</v>
      </c>
      <c r="H245" s="223">
        <v>30101</v>
      </c>
      <c r="I245" s="3538">
        <v>5561</v>
      </c>
      <c r="J245" s="318">
        <v>864</v>
      </c>
    </row>
    <row r="246" spans="1:10">
      <c r="A246" s="53">
        <f t="shared" si="4"/>
        <v>2025.09</v>
      </c>
      <c r="B246" s="3660">
        <v>65160</v>
      </c>
      <c r="C246" s="3660">
        <v>17373</v>
      </c>
      <c r="D246" s="3660">
        <v>2047</v>
      </c>
      <c r="E246" s="223">
        <v>229050</v>
      </c>
      <c r="F246" s="3538">
        <v>56261</v>
      </c>
      <c r="G246" s="3538">
        <v>8755</v>
      </c>
      <c r="H246" s="223">
        <v>29130</v>
      </c>
      <c r="I246" s="3538">
        <v>6370</v>
      </c>
      <c r="J246" s="318" t="e">
        <v>#N/A</v>
      </c>
    </row>
    <row r="247" spans="1:10">
      <c r="A247" s="53">
        <f t="shared" si="4"/>
        <v>2025.1</v>
      </c>
      <c r="B247" s="3661">
        <v>67022</v>
      </c>
      <c r="C247" s="3661">
        <v>20715</v>
      </c>
      <c r="D247" s="3661">
        <v>2410</v>
      </c>
      <c r="E247" s="2385">
        <v>233244</v>
      </c>
      <c r="F247" s="3661">
        <v>62324</v>
      </c>
      <c r="G247" s="3661">
        <v>5855</v>
      </c>
      <c r="H247" s="2385">
        <v>27187</v>
      </c>
      <c r="I247" s="3661">
        <v>6704</v>
      </c>
      <c r="J247" s="2386" t="e">
        <v>#N/A</v>
      </c>
    </row>
    <row r="248" spans="1:10">
      <c r="A248" s="53">
        <f t="shared" si="4"/>
        <v>2025.11</v>
      </c>
      <c r="B248" s="3661">
        <v>65040</v>
      </c>
      <c r="C248" s="3661">
        <v>17701</v>
      </c>
      <c r="D248" s="3661">
        <v>2268</v>
      </c>
      <c r="E248" s="2385">
        <v>220200</v>
      </c>
      <c r="F248" s="3661">
        <v>59869</v>
      </c>
      <c r="G248" s="3661">
        <v>7319</v>
      </c>
      <c r="H248" s="2385">
        <v>26100</v>
      </c>
      <c r="I248" s="3661">
        <v>5652</v>
      </c>
      <c r="J248" s="2386" t="s">
        <v>1473</v>
      </c>
    </row>
    <row r="249" spans="1:10">
      <c r="A249" s="53">
        <f t="shared" si="4"/>
        <v>2025.12</v>
      </c>
      <c r="B249" s="215" t="e">
        <v>#N/A</v>
      </c>
      <c r="C249" s="3538" t="e">
        <v>#N/A</v>
      </c>
      <c r="D249" s="141" t="e">
        <v>#N/A</v>
      </c>
      <c r="E249" s="223" t="e">
        <v>#N/A</v>
      </c>
      <c r="F249" s="3538" t="e">
        <v>#N/A</v>
      </c>
      <c r="G249" s="141" t="e">
        <v>#N/A</v>
      </c>
      <c r="H249" s="223" t="e">
        <v>#N/A</v>
      </c>
      <c r="I249" s="3538" t="e">
        <v>#N/A</v>
      </c>
      <c r="J249" s="318" t="e">
        <v>#N/A</v>
      </c>
    </row>
    <row r="250" spans="1:10">
      <c r="A250" s="53">
        <f t="shared" si="4"/>
        <v>2026.01</v>
      </c>
      <c r="B250" s="215" t="e">
        <v>#N/A</v>
      </c>
      <c r="C250" s="3538" t="e">
        <v>#N/A</v>
      </c>
      <c r="D250" s="141" t="e">
        <v>#N/A</v>
      </c>
      <c r="E250" s="223" t="e">
        <v>#N/A</v>
      </c>
      <c r="F250" s="3538" t="e">
        <v>#N/A</v>
      </c>
      <c r="G250" s="141" t="e">
        <v>#N/A</v>
      </c>
      <c r="H250" s="223" t="e">
        <v>#N/A</v>
      </c>
      <c r="I250" s="3538" t="e">
        <v>#N/A</v>
      </c>
      <c r="J250" s="318" t="e">
        <v>#N/A</v>
      </c>
    </row>
    <row r="251" spans="1:10">
      <c r="A251" s="53">
        <f t="shared" si="4"/>
        <v>2026.02</v>
      </c>
      <c r="B251" s="215" t="e">
        <v>#N/A</v>
      </c>
      <c r="C251" s="3538" t="e">
        <v>#N/A</v>
      </c>
      <c r="D251" s="141" t="e">
        <v>#N/A</v>
      </c>
      <c r="E251" s="223" t="e">
        <v>#N/A</v>
      </c>
      <c r="F251" s="3538" t="e">
        <v>#N/A</v>
      </c>
      <c r="G251" s="141" t="e">
        <v>#N/A</v>
      </c>
      <c r="H251" s="223" t="e">
        <v>#N/A</v>
      </c>
      <c r="I251" s="3538" t="e">
        <v>#N/A</v>
      </c>
      <c r="J251" s="318" t="e">
        <v>#N/A</v>
      </c>
    </row>
    <row r="252" spans="1:10">
      <c r="A252" s="53">
        <f t="shared" si="4"/>
        <v>2026.03</v>
      </c>
      <c r="B252" s="215" t="e">
        <v>#N/A</v>
      </c>
      <c r="C252" s="3538" t="e">
        <v>#N/A</v>
      </c>
      <c r="D252" s="141" t="e">
        <v>#N/A</v>
      </c>
      <c r="E252" s="223" t="e">
        <v>#N/A</v>
      </c>
      <c r="F252" s="3538" t="e">
        <v>#N/A</v>
      </c>
      <c r="G252" s="141" t="e">
        <v>#N/A</v>
      </c>
      <c r="H252" s="223" t="e">
        <v>#N/A</v>
      </c>
      <c r="I252" s="3538" t="e">
        <v>#N/A</v>
      </c>
      <c r="J252" s="318" t="e">
        <v>#N/A</v>
      </c>
    </row>
    <row r="253" spans="1:10">
      <c r="A253" s="53">
        <f t="shared" si="4"/>
        <v>2026.04</v>
      </c>
      <c r="B253" s="215" t="e">
        <v>#N/A</v>
      </c>
      <c r="C253" s="3538" t="e">
        <v>#N/A</v>
      </c>
      <c r="D253" s="141" t="e">
        <v>#N/A</v>
      </c>
      <c r="E253" s="223" t="e">
        <v>#N/A</v>
      </c>
      <c r="F253" s="3538" t="e">
        <v>#N/A</v>
      </c>
      <c r="G253" s="141" t="e">
        <v>#N/A</v>
      </c>
      <c r="H253" s="223" t="e">
        <v>#N/A</v>
      </c>
      <c r="I253" s="3538" t="e">
        <v>#N/A</v>
      </c>
      <c r="J253" s="318" t="e">
        <v>#N/A</v>
      </c>
    </row>
    <row r="254" spans="1:10">
      <c r="A254" s="53">
        <f t="shared" si="4"/>
        <v>2026.05</v>
      </c>
      <c r="B254" s="215" t="e">
        <v>#N/A</v>
      </c>
      <c r="C254" s="3538" t="e">
        <v>#N/A</v>
      </c>
      <c r="D254" s="141" t="e">
        <v>#N/A</v>
      </c>
      <c r="E254" s="223" t="e">
        <v>#N/A</v>
      </c>
      <c r="F254" s="3538" t="e">
        <v>#N/A</v>
      </c>
      <c r="G254" s="141" t="e">
        <v>#N/A</v>
      </c>
      <c r="H254" s="223" t="e">
        <v>#N/A</v>
      </c>
      <c r="I254" s="3538" t="e">
        <v>#N/A</v>
      </c>
      <c r="J254" s="318" t="e">
        <v>#N/A</v>
      </c>
    </row>
    <row r="255" spans="1:10">
      <c r="A255" s="53">
        <f t="shared" si="4"/>
        <v>2026.06</v>
      </c>
      <c r="B255" s="215" t="e">
        <v>#N/A</v>
      </c>
      <c r="C255" s="3538" t="e">
        <v>#N/A</v>
      </c>
      <c r="D255" s="141" t="e">
        <v>#N/A</v>
      </c>
      <c r="E255" s="223" t="e">
        <v>#N/A</v>
      </c>
      <c r="F255" s="3538" t="e">
        <v>#N/A</v>
      </c>
      <c r="G255" s="141" t="e">
        <v>#N/A</v>
      </c>
      <c r="H255" s="223" t="e">
        <v>#N/A</v>
      </c>
      <c r="I255" s="3538" t="e">
        <v>#N/A</v>
      </c>
      <c r="J255" s="318" t="e">
        <v>#N/A</v>
      </c>
    </row>
    <row r="256" spans="1:10">
      <c r="A256" s="53">
        <f t="shared" si="4"/>
        <v>2026.07</v>
      </c>
      <c r="B256" s="215" t="e">
        <v>#N/A</v>
      </c>
      <c r="C256" s="3538" t="e">
        <v>#N/A</v>
      </c>
      <c r="D256" s="141" t="e">
        <v>#N/A</v>
      </c>
      <c r="E256" s="223" t="e">
        <v>#N/A</v>
      </c>
      <c r="F256" s="3538" t="e">
        <v>#N/A</v>
      </c>
      <c r="G256" s="141" t="e">
        <v>#N/A</v>
      </c>
      <c r="H256" s="223" t="e">
        <v>#N/A</v>
      </c>
      <c r="I256" s="3538" t="e">
        <v>#N/A</v>
      </c>
      <c r="J256" s="318" t="e">
        <v>#N/A</v>
      </c>
    </row>
    <row r="257" spans="1:10">
      <c r="A257" s="53">
        <f t="shared" si="4"/>
        <v>2026.08</v>
      </c>
      <c r="B257" s="215" t="e">
        <v>#N/A</v>
      </c>
      <c r="C257" s="3538" t="e">
        <v>#N/A</v>
      </c>
      <c r="D257" s="141" t="e">
        <v>#N/A</v>
      </c>
      <c r="E257" s="223" t="e">
        <v>#N/A</v>
      </c>
      <c r="F257" s="3538" t="e">
        <v>#N/A</v>
      </c>
      <c r="G257" s="141" t="e">
        <v>#N/A</v>
      </c>
      <c r="H257" s="223" t="e">
        <v>#N/A</v>
      </c>
      <c r="I257" s="3538" t="e">
        <v>#N/A</v>
      </c>
      <c r="J257" s="318" t="e">
        <v>#N/A</v>
      </c>
    </row>
    <row r="258" spans="1:10">
      <c r="A258" s="53">
        <f t="shared" si="4"/>
        <v>2026.09</v>
      </c>
      <c r="B258" s="215" t="e">
        <v>#N/A</v>
      </c>
      <c r="C258" s="3538" t="e">
        <v>#N/A</v>
      </c>
      <c r="D258" s="141" t="e">
        <v>#N/A</v>
      </c>
      <c r="E258" s="223" t="e">
        <v>#N/A</v>
      </c>
      <c r="F258" s="3538" t="e">
        <v>#N/A</v>
      </c>
      <c r="G258" s="141" t="e">
        <v>#N/A</v>
      </c>
      <c r="H258" s="223" t="e">
        <v>#N/A</v>
      </c>
      <c r="I258" s="3538" t="e">
        <v>#N/A</v>
      </c>
      <c r="J258" s="318" t="e">
        <v>#N/A</v>
      </c>
    </row>
    <row r="259" spans="1:10">
      <c r="A259" s="53">
        <f t="shared" si="4"/>
        <v>2026.1</v>
      </c>
      <c r="B259" s="215" t="e">
        <v>#N/A</v>
      </c>
      <c r="C259" s="3538" t="e">
        <v>#N/A</v>
      </c>
      <c r="D259" s="141" t="e">
        <v>#N/A</v>
      </c>
      <c r="E259" s="223" t="e">
        <v>#N/A</v>
      </c>
      <c r="F259" s="3538" t="e">
        <v>#N/A</v>
      </c>
      <c r="G259" s="141" t="e">
        <v>#N/A</v>
      </c>
      <c r="H259" s="223" t="e">
        <v>#N/A</v>
      </c>
      <c r="I259" s="3538" t="e">
        <v>#N/A</v>
      </c>
      <c r="J259" s="318" t="e">
        <v>#N/A</v>
      </c>
    </row>
    <row r="260" spans="1:10">
      <c r="A260" s="53">
        <f t="shared" si="4"/>
        <v>2026.11</v>
      </c>
      <c r="B260" s="215" t="e">
        <v>#N/A</v>
      </c>
      <c r="C260" s="3538" t="e">
        <v>#N/A</v>
      </c>
      <c r="D260" s="141" t="e">
        <v>#N/A</v>
      </c>
      <c r="E260" s="223" t="e">
        <v>#N/A</v>
      </c>
      <c r="F260" s="3538" t="e">
        <v>#N/A</v>
      </c>
      <c r="G260" s="141" t="e">
        <v>#N/A</v>
      </c>
      <c r="H260" s="223" t="e">
        <v>#N/A</v>
      </c>
      <c r="I260" s="3538" t="e">
        <v>#N/A</v>
      </c>
      <c r="J260" s="318" t="e">
        <v>#N/A</v>
      </c>
    </row>
    <row r="261" spans="1:10">
      <c r="A261" s="53">
        <f t="shared" si="4"/>
        <v>2026.12</v>
      </c>
      <c r="B261" s="215" t="e">
        <v>#N/A</v>
      </c>
      <c r="C261" s="3538" t="e">
        <v>#N/A</v>
      </c>
      <c r="D261" s="141" t="e">
        <v>#N/A</v>
      </c>
      <c r="E261" s="223" t="e">
        <v>#N/A</v>
      </c>
      <c r="F261" s="3538" t="e">
        <v>#N/A</v>
      </c>
      <c r="G261" s="141" t="e">
        <v>#N/A</v>
      </c>
      <c r="H261" s="223" t="e">
        <v>#N/A</v>
      </c>
      <c r="I261" s="3538" t="e">
        <v>#N/A</v>
      </c>
      <c r="J261" s="318" t="e">
        <v>#N/A</v>
      </c>
    </row>
    <row r="262" spans="1:10">
      <c r="A262" s="53">
        <f t="shared" si="4"/>
        <v>2027.01</v>
      </c>
      <c r="B262" s="215" t="e">
        <v>#N/A</v>
      </c>
      <c r="C262" s="3538" t="e">
        <v>#N/A</v>
      </c>
      <c r="D262" s="141" t="e">
        <v>#N/A</v>
      </c>
      <c r="E262" s="223" t="e">
        <v>#N/A</v>
      </c>
      <c r="F262" s="3538" t="e">
        <v>#N/A</v>
      </c>
      <c r="G262" s="141" t="e">
        <v>#N/A</v>
      </c>
      <c r="H262" s="223" t="e">
        <v>#N/A</v>
      </c>
      <c r="I262" s="3538" t="e">
        <v>#N/A</v>
      </c>
      <c r="J262" s="318" t="e">
        <v>#N/A</v>
      </c>
    </row>
    <row r="263" spans="1:10">
      <c r="A263" s="53">
        <f t="shared" si="4"/>
        <v>2027.02</v>
      </c>
      <c r="B263" s="215" t="e">
        <v>#N/A</v>
      </c>
      <c r="C263" s="3538" t="e">
        <v>#N/A</v>
      </c>
      <c r="D263" s="141" t="e">
        <v>#N/A</v>
      </c>
      <c r="E263" s="223" t="e">
        <v>#N/A</v>
      </c>
      <c r="F263" s="3538" t="e">
        <v>#N/A</v>
      </c>
      <c r="G263" s="141" t="e">
        <v>#N/A</v>
      </c>
      <c r="H263" s="223" t="e">
        <v>#N/A</v>
      </c>
      <c r="I263" s="3538" t="e">
        <v>#N/A</v>
      </c>
      <c r="J263" s="318" t="e">
        <v>#N/A</v>
      </c>
    </row>
    <row r="264" spans="1:10">
      <c r="A264" s="53">
        <f t="shared" si="4"/>
        <v>2027.03</v>
      </c>
      <c r="B264" s="215" t="e">
        <v>#N/A</v>
      </c>
      <c r="C264" s="3538" t="e">
        <v>#N/A</v>
      </c>
      <c r="D264" s="141" t="e">
        <v>#N/A</v>
      </c>
      <c r="E264" s="223" t="e">
        <v>#N/A</v>
      </c>
      <c r="F264" s="3538" t="e">
        <v>#N/A</v>
      </c>
      <c r="G264" s="141" t="e">
        <v>#N/A</v>
      </c>
      <c r="H264" s="223" t="e">
        <v>#N/A</v>
      </c>
      <c r="I264" s="3538" t="e">
        <v>#N/A</v>
      </c>
      <c r="J264" s="318" t="e">
        <v>#N/A</v>
      </c>
    </row>
    <row r="265" spans="1:10">
      <c r="A265" s="53">
        <f t="shared" si="4"/>
        <v>2027.04</v>
      </c>
      <c r="B265" s="215" t="e">
        <v>#N/A</v>
      </c>
      <c r="C265" s="3538" t="e">
        <v>#N/A</v>
      </c>
      <c r="D265" s="141" t="e">
        <v>#N/A</v>
      </c>
      <c r="E265" s="223" t="e">
        <v>#N/A</v>
      </c>
      <c r="F265" s="3538" t="e">
        <v>#N/A</v>
      </c>
      <c r="G265" s="141" t="e">
        <v>#N/A</v>
      </c>
      <c r="H265" s="223" t="e">
        <v>#N/A</v>
      </c>
      <c r="I265" s="3538" t="e">
        <v>#N/A</v>
      </c>
      <c r="J265" s="318" t="e">
        <v>#N/A</v>
      </c>
    </row>
    <row r="266" spans="1:10">
      <c r="A266" s="53">
        <f t="shared" si="4"/>
        <v>2027.05</v>
      </c>
      <c r="B266" s="215" t="e">
        <v>#N/A</v>
      </c>
      <c r="C266" s="3538" t="e">
        <v>#N/A</v>
      </c>
      <c r="D266" s="141" t="e">
        <v>#N/A</v>
      </c>
      <c r="E266" s="223" t="e">
        <v>#N/A</v>
      </c>
      <c r="F266" s="3538" t="e">
        <v>#N/A</v>
      </c>
      <c r="G266" s="141" t="e">
        <v>#N/A</v>
      </c>
      <c r="H266" s="223" t="e">
        <v>#N/A</v>
      </c>
      <c r="I266" s="3538" t="e">
        <v>#N/A</v>
      </c>
      <c r="J266" s="318" t="e">
        <v>#N/A</v>
      </c>
    </row>
    <row r="267" spans="1:10">
      <c r="A267" s="53">
        <f t="shared" si="4"/>
        <v>2027.06</v>
      </c>
      <c r="B267" s="215" t="e">
        <v>#N/A</v>
      </c>
      <c r="C267" s="3538" t="e">
        <v>#N/A</v>
      </c>
      <c r="D267" s="141" t="e">
        <v>#N/A</v>
      </c>
      <c r="E267" s="223" t="e">
        <v>#N/A</v>
      </c>
      <c r="F267" s="3538" t="e">
        <v>#N/A</v>
      </c>
      <c r="G267" s="141" t="e">
        <v>#N/A</v>
      </c>
      <c r="H267" s="223" t="e">
        <v>#N/A</v>
      </c>
      <c r="I267" s="3538" t="e">
        <v>#N/A</v>
      </c>
      <c r="J267" s="318" t="e">
        <v>#N/A</v>
      </c>
    </row>
    <row r="268" spans="1:10">
      <c r="A268" s="53">
        <f t="shared" si="4"/>
        <v>2027.07</v>
      </c>
      <c r="B268" s="215" t="e">
        <v>#N/A</v>
      </c>
      <c r="C268" s="3538" t="e">
        <v>#N/A</v>
      </c>
      <c r="D268" s="141" t="e">
        <v>#N/A</v>
      </c>
      <c r="E268" s="223" t="e">
        <v>#N/A</v>
      </c>
      <c r="F268" s="3538" t="e">
        <v>#N/A</v>
      </c>
      <c r="G268" s="141" t="e">
        <v>#N/A</v>
      </c>
      <c r="H268" s="223" t="e">
        <v>#N/A</v>
      </c>
      <c r="I268" s="3538" t="e">
        <v>#N/A</v>
      </c>
      <c r="J268" s="318" t="e">
        <v>#N/A</v>
      </c>
    </row>
    <row r="269" spans="1:10">
      <c r="A269" s="53">
        <f t="shared" si="4"/>
        <v>2027.08</v>
      </c>
      <c r="B269" s="215" t="e">
        <v>#N/A</v>
      </c>
      <c r="C269" s="3538" t="e">
        <v>#N/A</v>
      </c>
      <c r="D269" s="141" t="e">
        <v>#N/A</v>
      </c>
      <c r="E269" s="223" t="e">
        <v>#N/A</v>
      </c>
      <c r="F269" s="3538" t="e">
        <v>#N/A</v>
      </c>
      <c r="G269" s="141" t="e">
        <v>#N/A</v>
      </c>
      <c r="H269" s="223" t="e">
        <v>#N/A</v>
      </c>
      <c r="I269" s="3538" t="e">
        <v>#N/A</v>
      </c>
      <c r="J269" s="318" t="e">
        <v>#N/A</v>
      </c>
    </row>
    <row r="270" spans="1:10">
      <c r="A270" s="53">
        <f t="shared" si="4"/>
        <v>2027.09</v>
      </c>
      <c r="B270" s="215" t="e">
        <v>#N/A</v>
      </c>
      <c r="C270" s="3538" t="e">
        <v>#N/A</v>
      </c>
      <c r="D270" s="141" t="e">
        <v>#N/A</v>
      </c>
      <c r="E270" s="223" t="e">
        <v>#N/A</v>
      </c>
      <c r="F270" s="3538" t="e">
        <v>#N/A</v>
      </c>
      <c r="G270" s="141" t="e">
        <v>#N/A</v>
      </c>
      <c r="H270" s="223" t="e">
        <v>#N/A</v>
      </c>
      <c r="I270" s="3538" t="e">
        <v>#N/A</v>
      </c>
      <c r="J270" s="318" t="e">
        <v>#N/A</v>
      </c>
    </row>
    <row r="271" spans="1:10">
      <c r="A271" s="53">
        <f t="shared" si="4"/>
        <v>2027.1</v>
      </c>
      <c r="B271" s="215" t="e">
        <v>#N/A</v>
      </c>
      <c r="C271" s="3538" t="e">
        <v>#N/A</v>
      </c>
      <c r="D271" s="141" t="e">
        <v>#N/A</v>
      </c>
      <c r="E271" s="223" t="e">
        <v>#N/A</v>
      </c>
      <c r="F271" s="3538" t="e">
        <v>#N/A</v>
      </c>
      <c r="G271" s="141" t="e">
        <v>#N/A</v>
      </c>
      <c r="H271" s="223" t="e">
        <v>#N/A</v>
      </c>
      <c r="I271" s="3538" t="e">
        <v>#N/A</v>
      </c>
      <c r="J271" s="318" t="e">
        <v>#N/A</v>
      </c>
    </row>
    <row r="272" spans="1:10">
      <c r="A272" s="53">
        <f t="shared" si="4"/>
        <v>2027.11</v>
      </c>
      <c r="B272" s="215" t="e">
        <v>#N/A</v>
      </c>
      <c r="C272" s="3538" t="e">
        <v>#N/A</v>
      </c>
      <c r="D272" s="141" t="e">
        <v>#N/A</v>
      </c>
      <c r="E272" s="223" t="e">
        <v>#N/A</v>
      </c>
      <c r="F272" s="3538" t="e">
        <v>#N/A</v>
      </c>
      <c r="G272" s="141" t="e">
        <v>#N/A</v>
      </c>
      <c r="H272" s="223" t="e">
        <v>#N/A</v>
      </c>
      <c r="I272" s="3538" t="e">
        <v>#N/A</v>
      </c>
      <c r="J272" s="318" t="e">
        <v>#N/A</v>
      </c>
    </row>
    <row r="273" spans="1:10">
      <c r="A273" s="53">
        <f t="shared" si="4"/>
        <v>2027.12</v>
      </c>
      <c r="B273" s="215" t="e">
        <v>#N/A</v>
      </c>
      <c r="C273" s="3538" t="e">
        <v>#N/A</v>
      </c>
      <c r="D273" s="141" t="e">
        <v>#N/A</v>
      </c>
      <c r="E273" s="223" t="e">
        <v>#N/A</v>
      </c>
      <c r="F273" s="3538" t="e">
        <v>#N/A</v>
      </c>
      <c r="G273" s="141" t="e">
        <v>#N/A</v>
      </c>
      <c r="H273" s="223" t="e">
        <v>#N/A</v>
      </c>
      <c r="I273" s="3538" t="e">
        <v>#N/A</v>
      </c>
      <c r="J273" s="318" t="e">
        <v>#N/A</v>
      </c>
    </row>
    <row r="274" spans="1:10">
      <c r="A274" s="53">
        <f t="shared" si="4"/>
        <v>2028.01</v>
      </c>
      <c r="B274" s="215" t="e">
        <v>#N/A</v>
      </c>
      <c r="C274" s="3538" t="e">
        <v>#N/A</v>
      </c>
      <c r="D274" s="141" t="e">
        <v>#N/A</v>
      </c>
      <c r="E274" s="223" t="e">
        <v>#N/A</v>
      </c>
      <c r="F274" s="3538" t="e">
        <v>#N/A</v>
      </c>
      <c r="G274" s="141" t="e">
        <v>#N/A</v>
      </c>
      <c r="H274" s="223" t="e">
        <v>#N/A</v>
      </c>
      <c r="I274" s="3538" t="e">
        <v>#N/A</v>
      </c>
      <c r="J274" s="318" t="e">
        <v>#N/A</v>
      </c>
    </row>
    <row r="275" spans="1:10">
      <c r="A275" s="53">
        <f t="shared" si="4"/>
        <v>2028.02</v>
      </c>
      <c r="B275" s="215" t="e">
        <v>#N/A</v>
      </c>
      <c r="C275" s="3538" t="e">
        <v>#N/A</v>
      </c>
      <c r="D275" s="141" t="e">
        <v>#N/A</v>
      </c>
      <c r="E275" s="223" t="e">
        <v>#N/A</v>
      </c>
      <c r="F275" s="3538" t="e">
        <v>#N/A</v>
      </c>
      <c r="G275" s="141" t="e">
        <v>#N/A</v>
      </c>
      <c r="H275" s="223" t="e">
        <v>#N/A</v>
      </c>
      <c r="I275" s="3538" t="e">
        <v>#N/A</v>
      </c>
      <c r="J275" s="318" t="e">
        <v>#N/A</v>
      </c>
    </row>
    <row r="276" spans="1:10">
      <c r="A276" s="53">
        <f t="shared" si="4"/>
        <v>2028.03</v>
      </c>
      <c r="B276" s="215" t="e">
        <v>#N/A</v>
      </c>
      <c r="C276" s="3538" t="e">
        <v>#N/A</v>
      </c>
      <c r="D276" s="141" t="e">
        <v>#N/A</v>
      </c>
      <c r="E276" s="223" t="e">
        <v>#N/A</v>
      </c>
      <c r="F276" s="3538" t="e">
        <v>#N/A</v>
      </c>
      <c r="G276" s="141" t="e">
        <v>#N/A</v>
      </c>
      <c r="H276" s="223" t="e">
        <v>#N/A</v>
      </c>
      <c r="I276" s="3538" t="e">
        <v>#N/A</v>
      </c>
      <c r="J276" s="318" t="e">
        <v>#N/A</v>
      </c>
    </row>
    <row r="277" spans="1:10">
      <c r="A277" s="53">
        <f t="shared" si="4"/>
        <v>2028.04</v>
      </c>
      <c r="B277" s="215" t="e">
        <v>#N/A</v>
      </c>
      <c r="C277" s="3538" t="e">
        <v>#N/A</v>
      </c>
      <c r="D277" s="141" t="e">
        <v>#N/A</v>
      </c>
      <c r="E277" s="223" t="e">
        <v>#N/A</v>
      </c>
      <c r="F277" s="3538" t="e">
        <v>#N/A</v>
      </c>
      <c r="G277" s="141" t="e">
        <v>#N/A</v>
      </c>
      <c r="H277" s="223" t="e">
        <v>#N/A</v>
      </c>
      <c r="I277" s="3538" t="e">
        <v>#N/A</v>
      </c>
      <c r="J277" s="318" t="e">
        <v>#N/A</v>
      </c>
    </row>
    <row r="278" spans="1:10">
      <c r="A278" s="53">
        <f t="shared" si="4"/>
        <v>2028.05</v>
      </c>
      <c r="B278" s="215" t="e">
        <v>#N/A</v>
      </c>
      <c r="C278" s="3538" t="e">
        <v>#N/A</v>
      </c>
      <c r="D278" s="141" t="e">
        <v>#N/A</v>
      </c>
      <c r="E278" s="223" t="e">
        <v>#N/A</v>
      </c>
      <c r="F278" s="3538" t="e">
        <v>#N/A</v>
      </c>
      <c r="G278" s="141" t="e">
        <v>#N/A</v>
      </c>
      <c r="H278" s="223" t="e">
        <v>#N/A</v>
      </c>
      <c r="I278" s="3538" t="e">
        <v>#N/A</v>
      </c>
      <c r="J278" s="318" t="e">
        <v>#N/A</v>
      </c>
    </row>
    <row r="279" spans="1:10">
      <c r="A279" s="53">
        <f t="shared" si="4"/>
        <v>2028.06</v>
      </c>
      <c r="B279" s="215" t="e">
        <v>#N/A</v>
      </c>
      <c r="C279" s="3538" t="e">
        <v>#N/A</v>
      </c>
      <c r="D279" s="141" t="e">
        <v>#N/A</v>
      </c>
      <c r="E279" s="223" t="e">
        <v>#N/A</v>
      </c>
      <c r="F279" s="3538" t="e">
        <v>#N/A</v>
      </c>
      <c r="G279" s="141" t="e">
        <v>#N/A</v>
      </c>
      <c r="H279" s="223" t="e">
        <v>#N/A</v>
      </c>
      <c r="I279" s="3538" t="e">
        <v>#N/A</v>
      </c>
      <c r="J279" s="318" t="e">
        <v>#N/A</v>
      </c>
    </row>
    <row r="280" spans="1:10">
      <c r="A280" s="53">
        <f t="shared" si="4"/>
        <v>2028.07</v>
      </c>
      <c r="B280" s="215" t="e">
        <v>#N/A</v>
      </c>
      <c r="C280" s="3538" t="e">
        <v>#N/A</v>
      </c>
      <c r="D280" s="141" t="e">
        <v>#N/A</v>
      </c>
      <c r="E280" s="223" t="e">
        <v>#N/A</v>
      </c>
      <c r="F280" s="3538" t="e">
        <v>#N/A</v>
      </c>
      <c r="G280" s="141" t="e">
        <v>#N/A</v>
      </c>
      <c r="H280" s="223" t="e">
        <v>#N/A</v>
      </c>
      <c r="I280" s="3538" t="e">
        <v>#N/A</v>
      </c>
      <c r="J280" s="318" t="e">
        <v>#N/A</v>
      </c>
    </row>
    <row r="281" spans="1:10">
      <c r="A281" s="53">
        <f t="shared" si="4"/>
        <v>2028.08</v>
      </c>
      <c r="B281" s="215" t="e">
        <v>#N/A</v>
      </c>
      <c r="C281" s="3538" t="e">
        <v>#N/A</v>
      </c>
      <c r="D281" s="141" t="e">
        <v>#N/A</v>
      </c>
      <c r="E281" s="223" t="e">
        <v>#N/A</v>
      </c>
      <c r="F281" s="3538" t="e">
        <v>#N/A</v>
      </c>
      <c r="G281" s="141" t="e">
        <v>#N/A</v>
      </c>
      <c r="H281" s="223" t="e">
        <v>#N/A</v>
      </c>
      <c r="I281" s="3538" t="e">
        <v>#N/A</v>
      </c>
      <c r="J281" s="318" t="e">
        <v>#N/A</v>
      </c>
    </row>
    <row r="282" spans="1:10">
      <c r="A282" s="53">
        <f t="shared" si="4"/>
        <v>2028.09</v>
      </c>
      <c r="B282" s="215" t="e">
        <v>#N/A</v>
      </c>
      <c r="C282" s="3538" t="e">
        <v>#N/A</v>
      </c>
      <c r="D282" s="141" t="e">
        <v>#N/A</v>
      </c>
      <c r="E282" s="223" t="e">
        <v>#N/A</v>
      </c>
      <c r="F282" s="3538" t="e">
        <v>#N/A</v>
      </c>
      <c r="G282" s="141" t="e">
        <v>#N/A</v>
      </c>
      <c r="H282" s="223" t="e">
        <v>#N/A</v>
      </c>
      <c r="I282" s="3538" t="e">
        <v>#N/A</v>
      </c>
      <c r="J282" s="318" t="e">
        <v>#N/A</v>
      </c>
    </row>
    <row r="283" spans="1:10">
      <c r="A283" s="53">
        <f t="shared" si="4"/>
        <v>2028.1</v>
      </c>
      <c r="B283" s="215" t="e">
        <v>#N/A</v>
      </c>
      <c r="C283" s="3538" t="e">
        <v>#N/A</v>
      </c>
      <c r="D283" s="141" t="e">
        <v>#N/A</v>
      </c>
      <c r="E283" s="223" t="e">
        <v>#N/A</v>
      </c>
      <c r="F283" s="3538" t="e">
        <v>#N/A</v>
      </c>
      <c r="G283" s="141" t="e">
        <v>#N/A</v>
      </c>
      <c r="H283" s="223" t="e">
        <v>#N/A</v>
      </c>
      <c r="I283" s="3538" t="e">
        <v>#N/A</v>
      </c>
      <c r="J283" s="318" t="e">
        <v>#N/A</v>
      </c>
    </row>
    <row r="284" spans="1:10">
      <c r="A284" s="53">
        <f t="shared" si="4"/>
        <v>2028.11</v>
      </c>
      <c r="B284" s="215" t="e">
        <v>#N/A</v>
      </c>
      <c r="C284" s="3538" t="e">
        <v>#N/A</v>
      </c>
      <c r="D284" s="141" t="e">
        <v>#N/A</v>
      </c>
      <c r="E284" s="223" t="e">
        <v>#N/A</v>
      </c>
      <c r="F284" s="3538" t="e">
        <v>#N/A</v>
      </c>
      <c r="G284" s="141" t="e">
        <v>#N/A</v>
      </c>
      <c r="H284" s="223" t="e">
        <v>#N/A</v>
      </c>
      <c r="I284" s="3538" t="e">
        <v>#N/A</v>
      </c>
      <c r="J284" s="318" t="e">
        <v>#N/A</v>
      </c>
    </row>
    <row r="285" spans="1:10">
      <c r="A285" s="53">
        <f t="shared" si="4"/>
        <v>2028.12</v>
      </c>
      <c r="B285" s="215" t="e">
        <v>#N/A</v>
      </c>
      <c r="C285" s="3538" t="e">
        <v>#N/A</v>
      </c>
      <c r="D285" s="141" t="e">
        <v>#N/A</v>
      </c>
      <c r="E285" s="223" t="e">
        <v>#N/A</v>
      </c>
      <c r="F285" s="3538" t="e">
        <v>#N/A</v>
      </c>
      <c r="G285" s="141" t="e">
        <v>#N/A</v>
      </c>
      <c r="H285" s="223" t="e">
        <v>#N/A</v>
      </c>
      <c r="I285" s="3538" t="e">
        <v>#N/A</v>
      </c>
      <c r="J285" s="318" t="e">
        <v>#N/A</v>
      </c>
    </row>
    <row r="286" spans="1:10">
      <c r="A286" s="53">
        <f t="shared" si="4"/>
        <v>2029.01</v>
      </c>
      <c r="B286" s="215" t="e">
        <v>#N/A</v>
      </c>
      <c r="C286" s="3538" t="e">
        <v>#N/A</v>
      </c>
      <c r="D286" s="141" t="e">
        <v>#N/A</v>
      </c>
      <c r="E286" s="223" t="e">
        <v>#N/A</v>
      </c>
      <c r="F286" s="3538" t="e">
        <v>#N/A</v>
      </c>
      <c r="G286" s="141" t="e">
        <v>#N/A</v>
      </c>
      <c r="H286" s="223" t="e">
        <v>#N/A</v>
      </c>
      <c r="I286" s="3538" t="e">
        <v>#N/A</v>
      </c>
      <c r="J286" s="318" t="e">
        <v>#N/A</v>
      </c>
    </row>
    <row r="287" spans="1:10">
      <c r="A287" s="53">
        <f t="shared" si="4"/>
        <v>2029.02</v>
      </c>
      <c r="B287" s="215" t="e">
        <v>#N/A</v>
      </c>
      <c r="C287" s="3538" t="e">
        <v>#N/A</v>
      </c>
      <c r="D287" s="141" t="e">
        <v>#N/A</v>
      </c>
      <c r="E287" s="223" t="e">
        <v>#N/A</v>
      </c>
      <c r="F287" s="3538" t="e">
        <v>#N/A</v>
      </c>
      <c r="G287" s="141" t="e">
        <v>#N/A</v>
      </c>
      <c r="H287" s="223" t="e">
        <v>#N/A</v>
      </c>
      <c r="I287" s="3538" t="e">
        <v>#N/A</v>
      </c>
      <c r="J287" s="318" t="e">
        <v>#N/A</v>
      </c>
    </row>
    <row r="288" spans="1:10">
      <c r="A288" s="53">
        <f t="shared" si="4"/>
        <v>2029.03</v>
      </c>
      <c r="B288" s="215" t="e">
        <v>#N/A</v>
      </c>
      <c r="C288" s="3538" t="e">
        <v>#N/A</v>
      </c>
      <c r="D288" s="141" t="e">
        <v>#N/A</v>
      </c>
      <c r="E288" s="223" t="e">
        <v>#N/A</v>
      </c>
      <c r="F288" s="3538" t="e">
        <v>#N/A</v>
      </c>
      <c r="G288" s="141" t="e">
        <v>#N/A</v>
      </c>
      <c r="H288" s="223" t="e">
        <v>#N/A</v>
      </c>
      <c r="I288" s="3538" t="e">
        <v>#N/A</v>
      </c>
      <c r="J288" s="318" t="e">
        <v>#N/A</v>
      </c>
    </row>
    <row r="289" spans="1:10">
      <c r="A289" s="53">
        <f t="shared" si="4"/>
        <v>2029.04</v>
      </c>
      <c r="B289" s="215" t="e">
        <v>#N/A</v>
      </c>
      <c r="C289" s="3538" t="e">
        <v>#N/A</v>
      </c>
      <c r="D289" s="141" t="e">
        <v>#N/A</v>
      </c>
      <c r="E289" s="223" t="e">
        <v>#N/A</v>
      </c>
      <c r="F289" s="3538" t="e">
        <v>#N/A</v>
      </c>
      <c r="G289" s="141" t="e">
        <v>#N/A</v>
      </c>
      <c r="H289" s="223" t="e">
        <v>#N/A</v>
      </c>
      <c r="I289" s="3538" t="e">
        <v>#N/A</v>
      </c>
      <c r="J289" s="318" t="e">
        <v>#N/A</v>
      </c>
    </row>
    <row r="290" spans="1:10">
      <c r="A290" s="53">
        <f t="shared" ref="A290:A309" si="5">A278+1</f>
        <v>2029.05</v>
      </c>
      <c r="B290" s="215" t="e">
        <v>#N/A</v>
      </c>
      <c r="C290" s="3538" t="e">
        <v>#N/A</v>
      </c>
      <c r="D290" s="141" t="e">
        <v>#N/A</v>
      </c>
      <c r="E290" s="223" t="e">
        <v>#N/A</v>
      </c>
      <c r="F290" s="3538" t="e">
        <v>#N/A</v>
      </c>
      <c r="G290" s="141" t="e">
        <v>#N/A</v>
      </c>
      <c r="H290" s="223" t="e">
        <v>#N/A</v>
      </c>
      <c r="I290" s="3538" t="e">
        <v>#N/A</v>
      </c>
      <c r="J290" s="318" t="e">
        <v>#N/A</v>
      </c>
    </row>
    <row r="291" spans="1:10">
      <c r="A291" s="53">
        <f t="shared" si="5"/>
        <v>2029.06</v>
      </c>
      <c r="B291" s="215" t="e">
        <v>#N/A</v>
      </c>
      <c r="C291" s="3538" t="e">
        <v>#N/A</v>
      </c>
      <c r="D291" s="141" t="e">
        <v>#N/A</v>
      </c>
      <c r="E291" s="223" t="e">
        <v>#N/A</v>
      </c>
      <c r="F291" s="3538" t="e">
        <v>#N/A</v>
      </c>
      <c r="G291" s="141" t="e">
        <v>#N/A</v>
      </c>
      <c r="H291" s="223" t="e">
        <v>#N/A</v>
      </c>
      <c r="I291" s="3538" t="e">
        <v>#N/A</v>
      </c>
      <c r="J291" s="318" t="e">
        <v>#N/A</v>
      </c>
    </row>
    <row r="292" spans="1:10">
      <c r="A292" s="53">
        <f t="shared" si="5"/>
        <v>2029.07</v>
      </c>
      <c r="B292" s="215" t="e">
        <v>#N/A</v>
      </c>
      <c r="C292" s="3538" t="e">
        <v>#N/A</v>
      </c>
      <c r="D292" s="141" t="e">
        <v>#N/A</v>
      </c>
      <c r="E292" s="223" t="e">
        <v>#N/A</v>
      </c>
      <c r="F292" s="3538" t="e">
        <v>#N/A</v>
      </c>
      <c r="G292" s="141" t="e">
        <v>#N/A</v>
      </c>
      <c r="H292" s="223" t="e">
        <v>#N/A</v>
      </c>
      <c r="I292" s="3538" t="e">
        <v>#N/A</v>
      </c>
      <c r="J292" s="318" t="e">
        <v>#N/A</v>
      </c>
    </row>
    <row r="293" spans="1:10">
      <c r="A293" s="53">
        <f t="shared" si="5"/>
        <v>2029.08</v>
      </c>
      <c r="B293" s="215" t="e">
        <v>#N/A</v>
      </c>
      <c r="C293" s="3538" t="e">
        <v>#N/A</v>
      </c>
      <c r="D293" s="141" t="e">
        <v>#N/A</v>
      </c>
      <c r="E293" s="223" t="e">
        <v>#N/A</v>
      </c>
      <c r="F293" s="3538" t="e">
        <v>#N/A</v>
      </c>
      <c r="G293" s="141" t="e">
        <v>#N/A</v>
      </c>
      <c r="H293" s="223" t="e">
        <v>#N/A</v>
      </c>
      <c r="I293" s="3538" t="e">
        <v>#N/A</v>
      </c>
      <c r="J293" s="318" t="e">
        <v>#N/A</v>
      </c>
    </row>
    <row r="294" spans="1:10">
      <c r="A294" s="53">
        <f t="shared" si="5"/>
        <v>2029.09</v>
      </c>
      <c r="B294" s="215" t="e">
        <v>#N/A</v>
      </c>
      <c r="C294" s="3538" t="e">
        <v>#N/A</v>
      </c>
      <c r="D294" s="141" t="e">
        <v>#N/A</v>
      </c>
      <c r="E294" s="223" t="e">
        <v>#N/A</v>
      </c>
      <c r="F294" s="3538" t="e">
        <v>#N/A</v>
      </c>
      <c r="G294" s="141" t="e">
        <v>#N/A</v>
      </c>
      <c r="H294" s="223" t="e">
        <v>#N/A</v>
      </c>
      <c r="I294" s="3538" t="e">
        <v>#N/A</v>
      </c>
      <c r="J294" s="318" t="e">
        <v>#N/A</v>
      </c>
    </row>
    <row r="295" spans="1:10">
      <c r="A295" s="53">
        <f t="shared" si="5"/>
        <v>2029.1</v>
      </c>
      <c r="B295" s="215" t="e">
        <v>#N/A</v>
      </c>
      <c r="C295" s="3538" t="e">
        <v>#N/A</v>
      </c>
      <c r="D295" s="141" t="e">
        <v>#N/A</v>
      </c>
      <c r="E295" s="223" t="e">
        <v>#N/A</v>
      </c>
      <c r="F295" s="3538" t="e">
        <v>#N/A</v>
      </c>
      <c r="G295" s="141" t="e">
        <v>#N/A</v>
      </c>
      <c r="H295" s="223" t="e">
        <v>#N/A</v>
      </c>
      <c r="I295" s="3538" t="e">
        <v>#N/A</v>
      </c>
      <c r="J295" s="318" t="e">
        <v>#N/A</v>
      </c>
    </row>
    <row r="296" spans="1:10">
      <c r="A296" s="53">
        <f t="shared" si="5"/>
        <v>2029.11</v>
      </c>
      <c r="B296" s="215" t="e">
        <v>#N/A</v>
      </c>
      <c r="C296" s="3538" t="e">
        <v>#N/A</v>
      </c>
      <c r="D296" s="141" t="e">
        <v>#N/A</v>
      </c>
      <c r="E296" s="223" t="e">
        <v>#N/A</v>
      </c>
      <c r="F296" s="3538" t="e">
        <v>#N/A</v>
      </c>
      <c r="G296" s="141" t="e">
        <v>#N/A</v>
      </c>
      <c r="H296" s="223" t="e">
        <v>#N/A</v>
      </c>
      <c r="I296" s="3538" t="e">
        <v>#N/A</v>
      </c>
      <c r="J296" s="318" t="e">
        <v>#N/A</v>
      </c>
    </row>
    <row r="297" spans="1:10">
      <c r="A297" s="53">
        <f t="shared" si="5"/>
        <v>2029.12</v>
      </c>
      <c r="B297" s="215" t="e">
        <v>#N/A</v>
      </c>
      <c r="C297" s="3538" t="e">
        <v>#N/A</v>
      </c>
      <c r="D297" s="141" t="e">
        <v>#N/A</v>
      </c>
      <c r="E297" s="223" t="e">
        <v>#N/A</v>
      </c>
      <c r="F297" s="3538" t="e">
        <v>#N/A</v>
      </c>
      <c r="G297" s="141" t="e">
        <v>#N/A</v>
      </c>
      <c r="H297" s="223" t="e">
        <v>#N/A</v>
      </c>
      <c r="I297" s="3538" t="e">
        <v>#N/A</v>
      </c>
      <c r="J297" s="318" t="e">
        <v>#N/A</v>
      </c>
    </row>
    <row r="298" spans="1:10">
      <c r="A298" s="53">
        <f t="shared" si="5"/>
        <v>2030.01</v>
      </c>
      <c r="B298" s="215" t="e">
        <v>#N/A</v>
      </c>
      <c r="C298" s="3538" t="e">
        <v>#N/A</v>
      </c>
      <c r="D298" s="141" t="e">
        <v>#N/A</v>
      </c>
      <c r="E298" s="223" t="e">
        <v>#N/A</v>
      </c>
      <c r="F298" s="3538" t="e">
        <v>#N/A</v>
      </c>
      <c r="G298" s="141" t="e">
        <v>#N/A</v>
      </c>
      <c r="H298" s="223" t="e">
        <v>#N/A</v>
      </c>
      <c r="I298" s="3538" t="e">
        <v>#N/A</v>
      </c>
      <c r="J298" s="318" t="e">
        <v>#N/A</v>
      </c>
    </row>
    <row r="299" spans="1:10">
      <c r="A299" s="53">
        <f t="shared" si="5"/>
        <v>2030.02</v>
      </c>
      <c r="B299" s="215" t="e">
        <v>#N/A</v>
      </c>
      <c r="C299" s="3538" t="e">
        <v>#N/A</v>
      </c>
      <c r="D299" s="141" t="e">
        <v>#N/A</v>
      </c>
      <c r="E299" s="223" t="e">
        <v>#N/A</v>
      </c>
      <c r="F299" s="3538" t="e">
        <v>#N/A</v>
      </c>
      <c r="G299" s="141" t="e">
        <v>#N/A</v>
      </c>
      <c r="H299" s="223" t="e">
        <v>#N/A</v>
      </c>
      <c r="I299" s="3538" t="e">
        <v>#N/A</v>
      </c>
      <c r="J299" s="318" t="e">
        <v>#N/A</v>
      </c>
    </row>
    <row r="300" spans="1:10">
      <c r="A300" s="53">
        <f t="shared" si="5"/>
        <v>2030.03</v>
      </c>
      <c r="B300" s="215" t="e">
        <v>#N/A</v>
      </c>
      <c r="C300" s="3538" t="e">
        <v>#N/A</v>
      </c>
      <c r="D300" s="141" t="e">
        <v>#N/A</v>
      </c>
      <c r="E300" s="223" t="e">
        <v>#N/A</v>
      </c>
      <c r="F300" s="3538" t="e">
        <v>#N/A</v>
      </c>
      <c r="G300" s="141" t="e">
        <v>#N/A</v>
      </c>
      <c r="H300" s="223" t="e">
        <v>#N/A</v>
      </c>
      <c r="I300" s="3538" t="e">
        <v>#N/A</v>
      </c>
      <c r="J300" s="318" t="e">
        <v>#N/A</v>
      </c>
    </row>
    <row r="301" spans="1:10">
      <c r="A301" s="53">
        <f t="shared" si="5"/>
        <v>2030.04</v>
      </c>
      <c r="B301" s="215" t="e">
        <v>#N/A</v>
      </c>
      <c r="C301" s="3538" t="e">
        <v>#N/A</v>
      </c>
      <c r="D301" s="141" t="e">
        <v>#N/A</v>
      </c>
      <c r="E301" s="223" t="e">
        <v>#N/A</v>
      </c>
      <c r="F301" s="3538" t="e">
        <v>#N/A</v>
      </c>
      <c r="G301" s="141" t="e">
        <v>#N/A</v>
      </c>
      <c r="H301" s="223" t="e">
        <v>#N/A</v>
      </c>
      <c r="I301" s="3538" t="e">
        <v>#N/A</v>
      </c>
      <c r="J301" s="318" t="e">
        <v>#N/A</v>
      </c>
    </row>
    <row r="302" spans="1:10">
      <c r="A302" s="53">
        <f t="shared" si="5"/>
        <v>2030.05</v>
      </c>
      <c r="B302" s="215" t="e">
        <v>#N/A</v>
      </c>
      <c r="C302" s="3538" t="e">
        <v>#N/A</v>
      </c>
      <c r="D302" s="141" t="e">
        <v>#N/A</v>
      </c>
      <c r="E302" s="223" t="e">
        <v>#N/A</v>
      </c>
      <c r="F302" s="3538" t="e">
        <v>#N/A</v>
      </c>
      <c r="G302" s="141" t="e">
        <v>#N/A</v>
      </c>
      <c r="H302" s="223" t="e">
        <v>#N/A</v>
      </c>
      <c r="I302" s="3538" t="e">
        <v>#N/A</v>
      </c>
      <c r="J302" s="318" t="e">
        <v>#N/A</v>
      </c>
    </row>
    <row r="303" spans="1:10">
      <c r="A303" s="53">
        <f t="shared" si="5"/>
        <v>2030.06</v>
      </c>
      <c r="B303" s="215" t="e">
        <v>#N/A</v>
      </c>
      <c r="C303" s="3538" t="e">
        <v>#N/A</v>
      </c>
      <c r="D303" s="141" t="e">
        <v>#N/A</v>
      </c>
      <c r="E303" s="223" t="e">
        <v>#N/A</v>
      </c>
      <c r="F303" s="3538" t="e">
        <v>#N/A</v>
      </c>
      <c r="G303" s="141" t="e">
        <v>#N/A</v>
      </c>
      <c r="H303" s="223" t="e">
        <v>#N/A</v>
      </c>
      <c r="I303" s="3538" t="e">
        <v>#N/A</v>
      </c>
      <c r="J303" s="318" t="e">
        <v>#N/A</v>
      </c>
    </row>
    <row r="304" spans="1:10">
      <c r="A304" s="53">
        <f t="shared" si="5"/>
        <v>2030.07</v>
      </c>
      <c r="B304" s="215" t="e">
        <v>#N/A</v>
      </c>
      <c r="C304" s="3538" t="e">
        <v>#N/A</v>
      </c>
      <c r="D304" s="141" t="e">
        <v>#N/A</v>
      </c>
      <c r="E304" s="223" t="e">
        <v>#N/A</v>
      </c>
      <c r="F304" s="3538" t="e">
        <v>#N/A</v>
      </c>
      <c r="G304" s="141" t="e">
        <v>#N/A</v>
      </c>
      <c r="H304" s="223" t="e">
        <v>#N/A</v>
      </c>
      <c r="I304" s="3538" t="e">
        <v>#N/A</v>
      </c>
      <c r="J304" s="318" t="e">
        <v>#N/A</v>
      </c>
    </row>
    <row r="305" spans="1:10">
      <c r="A305" s="53">
        <f t="shared" si="5"/>
        <v>2030.08</v>
      </c>
      <c r="B305" s="215" t="e">
        <v>#N/A</v>
      </c>
      <c r="C305" s="3538" t="e">
        <v>#N/A</v>
      </c>
      <c r="D305" s="141" t="e">
        <v>#N/A</v>
      </c>
      <c r="E305" s="223" t="e">
        <v>#N/A</v>
      </c>
      <c r="F305" s="3538" t="e">
        <v>#N/A</v>
      </c>
      <c r="G305" s="141" t="e">
        <v>#N/A</v>
      </c>
      <c r="H305" s="223" t="e">
        <v>#N/A</v>
      </c>
      <c r="I305" s="3538" t="e">
        <v>#N/A</v>
      </c>
      <c r="J305" s="318" t="e">
        <v>#N/A</v>
      </c>
    </row>
    <row r="306" spans="1:10">
      <c r="A306" s="53">
        <f t="shared" si="5"/>
        <v>2030.09</v>
      </c>
      <c r="B306" s="215" t="e">
        <v>#N/A</v>
      </c>
      <c r="C306" s="3538" t="e">
        <v>#N/A</v>
      </c>
      <c r="D306" s="141" t="e">
        <v>#N/A</v>
      </c>
      <c r="E306" s="223" t="e">
        <v>#N/A</v>
      </c>
      <c r="F306" s="3538" t="e">
        <v>#N/A</v>
      </c>
      <c r="G306" s="141" t="e">
        <v>#N/A</v>
      </c>
      <c r="H306" s="223" t="e">
        <v>#N/A</v>
      </c>
      <c r="I306" s="3538" t="e">
        <v>#N/A</v>
      </c>
      <c r="J306" s="318" t="e">
        <v>#N/A</v>
      </c>
    </row>
    <row r="307" spans="1:10">
      <c r="A307" s="53">
        <f t="shared" si="5"/>
        <v>2030.1</v>
      </c>
      <c r="B307" s="215" t="e">
        <v>#N/A</v>
      </c>
      <c r="C307" s="3538" t="e">
        <v>#N/A</v>
      </c>
      <c r="D307" s="141" t="e">
        <v>#N/A</v>
      </c>
      <c r="E307" s="223" t="e">
        <v>#N/A</v>
      </c>
      <c r="F307" s="3538" t="e">
        <v>#N/A</v>
      </c>
      <c r="G307" s="141" t="e">
        <v>#N/A</v>
      </c>
      <c r="H307" s="223" t="e">
        <v>#N/A</v>
      </c>
      <c r="I307" s="3538" t="e">
        <v>#N/A</v>
      </c>
      <c r="J307" s="318" t="e">
        <v>#N/A</v>
      </c>
    </row>
    <row r="308" spans="1:10">
      <c r="A308" s="53">
        <f t="shared" si="5"/>
        <v>2030.11</v>
      </c>
      <c r="B308" s="215" t="e">
        <v>#N/A</v>
      </c>
      <c r="C308" s="3538" t="e">
        <v>#N/A</v>
      </c>
      <c r="D308" s="141" t="e">
        <v>#N/A</v>
      </c>
      <c r="E308" s="223" t="e">
        <v>#N/A</v>
      </c>
      <c r="F308" s="3538" t="e">
        <v>#N/A</v>
      </c>
      <c r="G308" s="141" t="e">
        <v>#N/A</v>
      </c>
      <c r="H308" s="223" t="e">
        <v>#N/A</v>
      </c>
      <c r="I308" s="3538" t="e">
        <v>#N/A</v>
      </c>
      <c r="J308" s="318" t="e">
        <v>#N/A</v>
      </c>
    </row>
    <row r="309" spans="1:10">
      <c r="A309" s="53">
        <f t="shared" si="5"/>
        <v>2030.12</v>
      </c>
      <c r="B309" s="215" t="e">
        <v>#N/A</v>
      </c>
      <c r="C309" s="3538" t="e">
        <v>#N/A</v>
      </c>
      <c r="D309" s="141" t="e">
        <v>#N/A</v>
      </c>
      <c r="E309" s="223" t="e">
        <v>#N/A</v>
      </c>
      <c r="F309" s="3538" t="e">
        <v>#N/A</v>
      </c>
      <c r="G309" s="141" t="e">
        <v>#N/A</v>
      </c>
      <c r="H309" s="223" t="e">
        <v>#N/A</v>
      </c>
      <c r="I309" s="3538" t="e">
        <v>#N/A</v>
      </c>
      <c r="J309" s="318" t="e">
        <v>#N/A</v>
      </c>
    </row>
  </sheetData>
  <phoneticPr fontId="0" type="noConversion"/>
  <hyperlinks>
    <hyperlink ref="A5" location="INDICE!A13" display="VOLVER AL INDICE" xr:uid="{00000000-0004-0000-2400-000000000000}"/>
  </hyperlinks>
  <printOptions gridLines="1"/>
  <pageMargins left="0.39370078740157483" right="0.39370078740157483" top="0.59055118110236227" bottom="0.59055118110236227" header="0" footer="0"/>
  <pageSetup paperSize="9" scale="50"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60">
    <pageSetUpPr autoPageBreaks="0"/>
  </sheetPr>
  <dimension ref="A1:H465"/>
  <sheetViews>
    <sheetView workbookViewId="0">
      <pane xSplit="1" ySplit="10" topLeftCell="B11" activePane="bottomRight" state="frozen"/>
      <selection pane="topRight" activeCell="B1" sqref="B1"/>
      <selection pane="bottomLeft" activeCell="A11" sqref="A11"/>
      <selection pane="bottomRight" activeCell="B11" sqref="B11"/>
    </sheetView>
  </sheetViews>
  <sheetFormatPr baseColWidth="10" defaultColWidth="11.42578125" defaultRowHeight="12.75"/>
  <cols>
    <col min="1" max="1" width="10.42578125" style="299" bestFit="1" customWidth="1"/>
    <col min="2" max="4" width="18.85546875" style="299" customWidth="1"/>
    <col min="5" max="16384" width="11.42578125" style="298"/>
  </cols>
  <sheetData>
    <row r="1" spans="1:4">
      <c r="A1" s="2761"/>
      <c r="B1" s="966"/>
      <c r="C1" s="966"/>
      <c r="D1" s="3429"/>
    </row>
    <row r="2" spans="1:4" ht="18" customHeight="1">
      <c r="A2" s="2762" t="s">
        <v>99</v>
      </c>
      <c r="B2" s="964" t="s">
        <v>1474</v>
      </c>
      <c r="C2" s="964"/>
      <c r="D2" s="963"/>
    </row>
    <row r="3" spans="1:4" ht="45">
      <c r="A3" s="2762" t="s">
        <v>193</v>
      </c>
      <c r="B3" s="964" t="s">
        <v>1475</v>
      </c>
      <c r="C3" s="3171" t="s">
        <v>1476</v>
      </c>
      <c r="D3" s="963" t="s">
        <v>1477</v>
      </c>
    </row>
    <row r="4" spans="1:4">
      <c r="A4" s="2762"/>
      <c r="B4" s="962" t="s">
        <v>1478</v>
      </c>
      <c r="C4" s="3412" t="s">
        <v>1479</v>
      </c>
      <c r="D4" s="961" t="s">
        <v>704</v>
      </c>
    </row>
    <row r="5" spans="1:4" ht="22.5">
      <c r="A5" s="2867" t="s">
        <v>140</v>
      </c>
      <c r="B5" s="3413"/>
      <c r="C5" s="3419"/>
      <c r="D5" s="3430"/>
    </row>
    <row r="6" spans="1:4" ht="3.75" hidden="1" customHeight="1">
      <c r="A6" s="2762"/>
      <c r="B6" s="962"/>
      <c r="C6" s="3420"/>
      <c r="D6" s="961"/>
    </row>
    <row r="7" spans="1:4" ht="22.5">
      <c r="A7" s="2762" t="s">
        <v>125</v>
      </c>
      <c r="B7" s="3414" t="s">
        <v>1480</v>
      </c>
      <c r="C7" s="3421" t="s">
        <v>1480</v>
      </c>
      <c r="D7" s="960" t="s">
        <v>1480</v>
      </c>
    </row>
    <row r="8" spans="1:4">
      <c r="A8" s="3002" t="s">
        <v>144</v>
      </c>
      <c r="B8" s="2324" t="s">
        <v>1481</v>
      </c>
      <c r="C8" s="3422" t="s">
        <v>1482</v>
      </c>
      <c r="D8" s="2265" t="s">
        <v>1483</v>
      </c>
    </row>
    <row r="9" spans="1:4" ht="13.5" thickBot="1">
      <c r="A9" s="2140"/>
      <c r="B9" s="1919"/>
      <c r="C9" s="3423"/>
      <c r="D9" s="958"/>
    </row>
    <row r="10" spans="1:4">
      <c r="A10" s="2266">
        <v>1993.01</v>
      </c>
      <c r="B10" s="3415"/>
      <c r="C10" s="3424"/>
      <c r="D10" s="957"/>
    </row>
    <row r="11" spans="1:4">
      <c r="A11" s="2266">
        <v>1993.02</v>
      </c>
      <c r="B11" s="2267"/>
      <c r="C11" s="3425"/>
      <c r="D11" s="956"/>
    </row>
    <row r="12" spans="1:4">
      <c r="A12" s="2266">
        <v>1993.03</v>
      </c>
      <c r="B12" s="2267"/>
      <c r="C12" s="3425"/>
      <c r="D12" s="956"/>
    </row>
    <row r="13" spans="1:4">
      <c r="A13" s="2266">
        <v>1993.04</v>
      </c>
      <c r="B13" s="2267"/>
      <c r="C13" s="3425"/>
      <c r="D13" s="956"/>
    </row>
    <row r="14" spans="1:4">
      <c r="A14" s="2266">
        <v>1993.05</v>
      </c>
      <c r="B14" s="2267"/>
      <c r="C14" s="3425"/>
      <c r="D14" s="956"/>
    </row>
    <row r="15" spans="1:4">
      <c r="A15" s="2266">
        <v>1993.06</v>
      </c>
      <c r="B15" s="2267"/>
      <c r="C15" s="3425"/>
      <c r="D15" s="956"/>
    </row>
    <row r="16" spans="1:4">
      <c r="A16" s="2266">
        <v>1993.07</v>
      </c>
      <c r="B16" s="2267"/>
      <c r="C16" s="3425"/>
      <c r="D16" s="956"/>
    </row>
    <row r="17" spans="1:4">
      <c r="A17" s="2266">
        <v>1993.08</v>
      </c>
      <c r="B17" s="2267"/>
      <c r="C17" s="3425"/>
      <c r="D17" s="956"/>
    </row>
    <row r="18" spans="1:4">
      <c r="A18" s="2266">
        <v>1993.09</v>
      </c>
      <c r="B18" s="2267"/>
      <c r="C18" s="3425"/>
      <c r="D18" s="956"/>
    </row>
    <row r="19" spans="1:4">
      <c r="A19" s="2266">
        <v>1993.1</v>
      </c>
      <c r="B19" s="2267"/>
      <c r="C19" s="3425"/>
      <c r="D19" s="956"/>
    </row>
    <row r="20" spans="1:4">
      <c r="A20" s="2266">
        <v>1993.11</v>
      </c>
      <c r="B20" s="2267"/>
      <c r="C20" s="3425"/>
      <c r="D20" s="956"/>
    </row>
    <row r="21" spans="1:4">
      <c r="A21" s="2266">
        <v>1993.12</v>
      </c>
      <c r="B21" s="2267"/>
      <c r="C21" s="3425"/>
      <c r="D21" s="956"/>
    </row>
    <row r="22" spans="1:4">
      <c r="A22" s="2266">
        <v>1994.01</v>
      </c>
      <c r="B22" s="2267"/>
      <c r="C22" s="3425"/>
      <c r="D22" s="956"/>
    </row>
    <row r="23" spans="1:4">
      <c r="A23" s="2266">
        <v>1994.02</v>
      </c>
      <c r="B23" s="2267"/>
      <c r="C23" s="3425"/>
      <c r="D23" s="956"/>
    </row>
    <row r="24" spans="1:4">
      <c r="A24" s="2266">
        <v>1994.03</v>
      </c>
      <c r="B24" s="2267"/>
      <c r="C24" s="3425"/>
      <c r="D24" s="956"/>
    </row>
    <row r="25" spans="1:4">
      <c r="A25" s="2266">
        <v>1994.04</v>
      </c>
      <c r="B25" s="2267"/>
      <c r="C25" s="3425"/>
      <c r="D25" s="956"/>
    </row>
    <row r="26" spans="1:4">
      <c r="A26" s="2266">
        <v>1994.05</v>
      </c>
      <c r="B26" s="2267"/>
      <c r="C26" s="3425"/>
      <c r="D26" s="956"/>
    </row>
    <row r="27" spans="1:4">
      <c r="A27" s="2266">
        <v>1994.06</v>
      </c>
      <c r="B27" s="2267"/>
      <c r="C27" s="3425"/>
      <c r="D27" s="956"/>
    </row>
    <row r="28" spans="1:4">
      <c r="A28" s="2266">
        <v>1994.07</v>
      </c>
      <c r="B28" s="2267"/>
      <c r="C28" s="3425"/>
      <c r="D28" s="956"/>
    </row>
    <row r="29" spans="1:4">
      <c r="A29" s="2266">
        <v>1994.08</v>
      </c>
      <c r="B29" s="2267"/>
      <c r="C29" s="3425"/>
      <c r="D29" s="956"/>
    </row>
    <row r="30" spans="1:4">
      <c r="A30" s="2266">
        <v>1994.09</v>
      </c>
      <c r="B30" s="2267"/>
      <c r="C30" s="3425"/>
      <c r="D30" s="956"/>
    </row>
    <row r="31" spans="1:4">
      <c r="A31" s="2266">
        <v>1994.1</v>
      </c>
      <c r="B31" s="2267"/>
      <c r="C31" s="3425"/>
      <c r="D31" s="956"/>
    </row>
    <row r="32" spans="1:4">
      <c r="A32" s="2266">
        <v>1994.11</v>
      </c>
      <c r="B32" s="2267"/>
      <c r="C32" s="3425"/>
      <c r="D32" s="956"/>
    </row>
    <row r="33" spans="1:4">
      <c r="A33" s="2266">
        <v>1994.12</v>
      </c>
      <c r="B33" s="2267"/>
      <c r="C33" s="3425"/>
      <c r="D33" s="956"/>
    </row>
    <row r="34" spans="1:4">
      <c r="A34" s="2266">
        <v>1995.01</v>
      </c>
      <c r="B34" s="2267"/>
      <c r="C34" s="3425"/>
      <c r="D34" s="956"/>
    </row>
    <row r="35" spans="1:4">
      <c r="A35" s="2266">
        <v>1995.02</v>
      </c>
      <c r="B35" s="2267"/>
      <c r="C35" s="3425"/>
      <c r="D35" s="956"/>
    </row>
    <row r="36" spans="1:4">
      <c r="A36" s="2266">
        <v>1995.03</v>
      </c>
      <c r="B36" s="2267"/>
      <c r="C36" s="3425"/>
      <c r="D36" s="956"/>
    </row>
    <row r="37" spans="1:4">
      <c r="A37" s="2266">
        <v>1995.04</v>
      </c>
      <c r="B37" s="2267"/>
      <c r="C37" s="3425"/>
      <c r="D37" s="956"/>
    </row>
    <row r="38" spans="1:4">
      <c r="A38" s="2266">
        <v>1995.05</v>
      </c>
      <c r="B38" s="2267"/>
      <c r="C38" s="3425"/>
      <c r="D38" s="956"/>
    </row>
    <row r="39" spans="1:4">
      <c r="A39" s="2266">
        <v>1995.06</v>
      </c>
      <c r="B39" s="2267"/>
      <c r="C39" s="3425"/>
      <c r="D39" s="956"/>
    </row>
    <row r="40" spans="1:4">
      <c r="A40" s="2266">
        <v>1995.07</v>
      </c>
      <c r="B40" s="2267"/>
      <c r="C40" s="3425"/>
      <c r="D40" s="956"/>
    </row>
    <row r="41" spans="1:4">
      <c r="A41" s="2266">
        <v>1995.08</v>
      </c>
      <c r="B41" s="2267"/>
      <c r="C41" s="3425"/>
      <c r="D41" s="956"/>
    </row>
    <row r="42" spans="1:4">
      <c r="A42" s="2266">
        <v>1995.09</v>
      </c>
      <c r="B42" s="2267"/>
      <c r="C42" s="3425"/>
      <c r="D42" s="956"/>
    </row>
    <row r="43" spans="1:4">
      <c r="A43" s="2266">
        <v>1995.1</v>
      </c>
      <c r="B43" s="2267"/>
      <c r="C43" s="3425"/>
      <c r="D43" s="956"/>
    </row>
    <row r="44" spans="1:4">
      <c r="A44" s="2266">
        <v>1995.11</v>
      </c>
      <c r="B44" s="2267"/>
      <c r="C44" s="3425"/>
      <c r="D44" s="956"/>
    </row>
    <row r="45" spans="1:4">
      <c r="A45" s="2266">
        <v>1995.12</v>
      </c>
      <c r="B45" s="3416"/>
      <c r="C45" s="3426"/>
      <c r="D45" s="3431"/>
    </row>
    <row r="46" spans="1:4">
      <c r="A46" s="2266">
        <v>1996.01</v>
      </c>
      <c r="B46" s="3417"/>
      <c r="C46" s="3427"/>
      <c r="D46" s="3432"/>
    </row>
    <row r="47" spans="1:4">
      <c r="A47" s="2266">
        <v>1996.02</v>
      </c>
      <c r="B47" s="3417"/>
      <c r="C47" s="3427"/>
      <c r="D47" s="3432"/>
    </row>
    <row r="48" spans="1:4">
      <c r="A48" s="2266">
        <v>1996.03</v>
      </c>
      <c r="B48" s="3417"/>
      <c r="C48" s="3427"/>
      <c r="D48" s="3432"/>
    </row>
    <row r="49" spans="1:4">
      <c r="A49" s="2266">
        <v>1996.04</v>
      </c>
      <c r="B49" s="3417"/>
      <c r="C49" s="3427"/>
      <c r="D49" s="3432"/>
    </row>
    <row r="50" spans="1:4">
      <c r="A50" s="2266">
        <v>1996.05</v>
      </c>
      <c r="B50" s="3417"/>
      <c r="C50" s="3427"/>
      <c r="D50" s="3432"/>
    </row>
    <row r="51" spans="1:4">
      <c r="A51" s="2266">
        <v>1996.06</v>
      </c>
      <c r="B51" s="3417"/>
      <c r="C51" s="3427"/>
      <c r="D51" s="3432"/>
    </row>
    <row r="52" spans="1:4">
      <c r="A52" s="2266">
        <v>1996.07</v>
      </c>
      <c r="B52" s="3417"/>
      <c r="C52" s="3427"/>
      <c r="D52" s="3432"/>
    </row>
    <row r="53" spans="1:4">
      <c r="A53" s="2266">
        <v>1996.08</v>
      </c>
      <c r="B53" s="3417"/>
      <c r="C53" s="3427"/>
      <c r="D53" s="3432"/>
    </row>
    <row r="54" spans="1:4">
      <c r="A54" s="2266">
        <v>1996.09</v>
      </c>
      <c r="B54" s="3417"/>
      <c r="C54" s="3427"/>
      <c r="D54" s="3432"/>
    </row>
    <row r="55" spans="1:4">
      <c r="A55" s="2266">
        <v>1996.1</v>
      </c>
      <c r="B55" s="3417"/>
      <c r="C55" s="3427"/>
      <c r="D55" s="3432"/>
    </row>
    <row r="56" spans="1:4">
      <c r="A56" s="2266">
        <v>1996.11</v>
      </c>
      <c r="B56" s="3417"/>
      <c r="C56" s="3427"/>
      <c r="D56" s="3432"/>
    </row>
    <row r="57" spans="1:4">
      <c r="A57" s="2266">
        <v>1996.12</v>
      </c>
      <c r="B57" s="3417"/>
      <c r="C57" s="3427"/>
      <c r="D57" s="3432"/>
    </row>
    <row r="58" spans="1:4">
      <c r="A58" s="2266">
        <v>1997.01</v>
      </c>
      <c r="B58" s="3417"/>
      <c r="C58" s="3427"/>
      <c r="D58" s="3432"/>
    </row>
    <row r="59" spans="1:4">
      <c r="A59" s="2266">
        <v>1997.02</v>
      </c>
      <c r="B59" s="3417"/>
      <c r="C59" s="3427"/>
      <c r="D59" s="3432"/>
    </row>
    <row r="60" spans="1:4">
      <c r="A60" s="2266">
        <v>1997.03</v>
      </c>
      <c r="B60" s="3417"/>
      <c r="C60" s="3427"/>
      <c r="D60" s="3432"/>
    </row>
    <row r="61" spans="1:4">
      <c r="A61" s="2266">
        <v>1997.04</v>
      </c>
      <c r="B61" s="3417"/>
      <c r="C61" s="3427"/>
      <c r="D61" s="3432"/>
    </row>
    <row r="62" spans="1:4">
      <c r="A62" s="2266">
        <v>1997.05</v>
      </c>
      <c r="B62" s="3417"/>
      <c r="C62" s="3427"/>
      <c r="D62" s="3432"/>
    </row>
    <row r="63" spans="1:4">
      <c r="A63" s="2266">
        <v>1997.06</v>
      </c>
      <c r="B63" s="3417"/>
      <c r="C63" s="3427"/>
      <c r="D63" s="3432"/>
    </row>
    <row r="64" spans="1:4">
      <c r="A64" s="2266">
        <v>1997.07</v>
      </c>
      <c r="B64" s="3417"/>
      <c r="C64" s="3427"/>
      <c r="D64" s="3432"/>
    </row>
    <row r="65" spans="1:4">
      <c r="A65" s="2266">
        <v>1997.08</v>
      </c>
      <c r="B65" s="3417"/>
      <c r="C65" s="3427"/>
      <c r="D65" s="3432"/>
    </row>
    <row r="66" spans="1:4">
      <c r="A66" s="2266">
        <v>1997.09</v>
      </c>
      <c r="B66" s="3417"/>
      <c r="C66" s="3427"/>
      <c r="D66" s="3432"/>
    </row>
    <row r="67" spans="1:4">
      <c r="A67" s="2266">
        <v>1997.1</v>
      </c>
      <c r="B67" s="3417"/>
      <c r="C67" s="3427"/>
      <c r="D67" s="3432"/>
    </row>
    <row r="68" spans="1:4">
      <c r="A68" s="2266">
        <v>1997.11</v>
      </c>
      <c r="B68" s="3417"/>
      <c r="C68" s="3427"/>
      <c r="D68" s="3432"/>
    </row>
    <row r="69" spans="1:4">
      <c r="A69" s="2266">
        <v>1997.12</v>
      </c>
      <c r="B69" s="3417"/>
      <c r="C69" s="3427"/>
      <c r="D69" s="3432"/>
    </row>
    <row r="70" spans="1:4">
      <c r="A70" s="2266">
        <v>1998.01</v>
      </c>
      <c r="B70" s="3417"/>
      <c r="C70" s="3427"/>
      <c r="D70" s="3432"/>
    </row>
    <row r="71" spans="1:4">
      <c r="A71" s="2266">
        <v>1998.02</v>
      </c>
      <c r="B71" s="3417"/>
      <c r="C71" s="3427"/>
      <c r="D71" s="3432"/>
    </row>
    <row r="72" spans="1:4">
      <c r="A72" s="2266">
        <v>1998.03</v>
      </c>
      <c r="B72" s="3417"/>
      <c r="C72" s="3427"/>
      <c r="D72" s="3432"/>
    </row>
    <row r="73" spans="1:4">
      <c r="A73" s="2266">
        <v>1998.04</v>
      </c>
      <c r="B73" s="3417"/>
      <c r="C73" s="3427"/>
      <c r="D73" s="3432"/>
    </row>
    <row r="74" spans="1:4">
      <c r="A74" s="2266">
        <v>1998.05</v>
      </c>
      <c r="B74" s="3417"/>
      <c r="C74" s="3427"/>
      <c r="D74" s="3432"/>
    </row>
    <row r="75" spans="1:4">
      <c r="A75" s="2266">
        <v>1998.06</v>
      </c>
      <c r="B75" s="3417"/>
      <c r="C75" s="3427"/>
      <c r="D75" s="3432"/>
    </row>
    <row r="76" spans="1:4">
      <c r="A76" s="2266">
        <v>1998.07</v>
      </c>
      <c r="B76" s="3417"/>
      <c r="C76" s="3427"/>
      <c r="D76" s="3432"/>
    </row>
    <row r="77" spans="1:4">
      <c r="A77" s="2266">
        <v>1998.08</v>
      </c>
      <c r="B77" s="3417"/>
      <c r="C77" s="3427"/>
      <c r="D77" s="3432"/>
    </row>
    <row r="78" spans="1:4">
      <c r="A78" s="2266">
        <v>1998.09</v>
      </c>
      <c r="B78" s="3417"/>
      <c r="C78" s="3427"/>
      <c r="D78" s="3432"/>
    </row>
    <row r="79" spans="1:4">
      <c r="A79" s="2266">
        <v>1998.1</v>
      </c>
      <c r="B79" s="3417"/>
      <c r="C79" s="3427"/>
      <c r="D79" s="3432"/>
    </row>
    <row r="80" spans="1:4">
      <c r="A80" s="2266">
        <v>1998.11</v>
      </c>
      <c r="B80" s="3417"/>
      <c r="C80" s="3427"/>
      <c r="D80" s="3432"/>
    </row>
    <row r="81" spans="1:4">
      <c r="A81" s="2266">
        <v>1998.12</v>
      </c>
      <c r="B81" s="3417"/>
      <c r="C81" s="3427"/>
      <c r="D81" s="3432"/>
    </row>
    <row r="82" spans="1:4">
      <c r="A82" s="2266">
        <v>1999.01</v>
      </c>
      <c r="B82" s="3417"/>
      <c r="C82" s="3427"/>
      <c r="D82" s="3432"/>
    </row>
    <row r="83" spans="1:4">
      <c r="A83" s="2266">
        <v>1999.02</v>
      </c>
      <c r="B83" s="3417"/>
      <c r="C83" s="3427"/>
      <c r="D83" s="3432"/>
    </row>
    <row r="84" spans="1:4">
      <c r="A84" s="2266">
        <v>1999.03</v>
      </c>
      <c r="B84" s="3417"/>
      <c r="C84" s="3427"/>
      <c r="D84" s="3432"/>
    </row>
    <row r="85" spans="1:4">
      <c r="A85" s="2266">
        <v>1999.04</v>
      </c>
      <c r="B85" s="3417"/>
      <c r="C85" s="3427"/>
      <c r="D85" s="3432"/>
    </row>
    <row r="86" spans="1:4">
      <c r="A86" s="2266">
        <v>1999.05</v>
      </c>
      <c r="B86" s="3417"/>
      <c r="C86" s="3427"/>
      <c r="D86" s="3432"/>
    </row>
    <row r="87" spans="1:4">
      <c r="A87" s="2266">
        <v>1999.06</v>
      </c>
      <c r="B87" s="3417"/>
      <c r="C87" s="3427"/>
      <c r="D87" s="3432"/>
    </row>
    <row r="88" spans="1:4">
      <c r="A88" s="2266">
        <v>1999.07</v>
      </c>
      <c r="B88" s="3417"/>
      <c r="C88" s="3427"/>
      <c r="D88" s="3432"/>
    </row>
    <row r="89" spans="1:4">
      <c r="A89" s="2266">
        <v>1999.08</v>
      </c>
      <c r="B89" s="3417"/>
      <c r="C89" s="3427"/>
      <c r="D89" s="3432"/>
    </row>
    <row r="90" spans="1:4">
      <c r="A90" s="2266">
        <v>1999.09</v>
      </c>
      <c r="B90" s="3417"/>
      <c r="C90" s="3427"/>
      <c r="D90" s="3432"/>
    </row>
    <row r="91" spans="1:4">
      <c r="A91" s="2266">
        <v>1999.1</v>
      </c>
      <c r="B91" s="3417"/>
      <c r="C91" s="3427"/>
      <c r="D91" s="3432"/>
    </row>
    <row r="92" spans="1:4">
      <c r="A92" s="2266">
        <v>1999.11</v>
      </c>
      <c r="B92" s="3417"/>
      <c r="C92" s="3427"/>
      <c r="D92" s="3432"/>
    </row>
    <row r="93" spans="1:4">
      <c r="A93" s="2266">
        <v>1999.12</v>
      </c>
      <c r="B93" s="3417"/>
      <c r="C93" s="3427"/>
      <c r="D93" s="3432"/>
    </row>
    <row r="94" spans="1:4">
      <c r="A94" s="2266">
        <v>2000.01</v>
      </c>
      <c r="B94" s="3418">
        <v>581</v>
      </c>
      <c r="C94" s="3427"/>
      <c r="D94" s="3432"/>
    </row>
    <row r="95" spans="1:4">
      <c r="A95" s="2266">
        <v>2000.02</v>
      </c>
      <c r="B95" s="215">
        <v>748</v>
      </c>
      <c r="C95" s="3427"/>
      <c r="D95" s="3432"/>
    </row>
    <row r="96" spans="1:4">
      <c r="A96" s="2266">
        <v>2000.03</v>
      </c>
      <c r="B96" s="215">
        <v>964</v>
      </c>
      <c r="C96" s="3427"/>
      <c r="D96" s="3432"/>
    </row>
    <row r="97" spans="1:6">
      <c r="A97" s="2266">
        <v>2000.04</v>
      </c>
      <c r="B97" s="215">
        <v>912</v>
      </c>
      <c r="C97" s="3427"/>
      <c r="D97" s="3432"/>
    </row>
    <row r="98" spans="1:6">
      <c r="A98" s="2266">
        <v>2000.05</v>
      </c>
      <c r="B98" s="215">
        <v>885</v>
      </c>
      <c r="C98" s="3427"/>
      <c r="D98" s="3432"/>
    </row>
    <row r="99" spans="1:6">
      <c r="A99" s="2266">
        <v>2000.06</v>
      </c>
      <c r="B99" s="215">
        <v>909</v>
      </c>
      <c r="C99" s="3427"/>
      <c r="D99" s="3432"/>
    </row>
    <row r="100" spans="1:6">
      <c r="A100" s="2266">
        <v>2000.07</v>
      </c>
      <c r="B100" s="215">
        <v>977</v>
      </c>
      <c r="C100" s="3427"/>
      <c r="D100" s="3432"/>
    </row>
    <row r="101" spans="1:6">
      <c r="A101" s="2266">
        <v>2000.08</v>
      </c>
      <c r="B101" s="215">
        <v>973</v>
      </c>
      <c r="C101" s="3427"/>
      <c r="D101" s="3432"/>
      <c r="F101" s="829"/>
    </row>
    <row r="102" spans="1:6">
      <c r="A102" s="2266">
        <v>2000.09</v>
      </c>
      <c r="B102" s="215">
        <v>1043</v>
      </c>
      <c r="C102" s="3427"/>
      <c r="D102" s="3432"/>
      <c r="F102" s="829"/>
    </row>
    <row r="103" spans="1:6">
      <c r="A103" s="2266">
        <v>2000.1</v>
      </c>
      <c r="B103" s="215">
        <v>1034</v>
      </c>
      <c r="C103" s="3427"/>
      <c r="D103" s="3432"/>
      <c r="F103" s="829"/>
    </row>
    <row r="104" spans="1:6">
      <c r="A104" s="2266">
        <v>2000.11</v>
      </c>
      <c r="B104" s="215">
        <v>1017</v>
      </c>
      <c r="C104" s="3427"/>
      <c r="D104" s="3432"/>
      <c r="F104" s="829"/>
    </row>
    <row r="105" spans="1:6">
      <c r="A105" s="2266">
        <v>2000.12</v>
      </c>
      <c r="B105" s="215">
        <v>1279</v>
      </c>
      <c r="C105" s="3427"/>
      <c r="D105" s="3432"/>
      <c r="F105" s="829"/>
    </row>
    <row r="106" spans="1:6">
      <c r="A106" s="2266">
        <v>2001.01</v>
      </c>
      <c r="B106" s="215">
        <v>596</v>
      </c>
      <c r="C106" s="3427"/>
      <c r="D106" s="3432"/>
      <c r="F106" s="829"/>
    </row>
    <row r="107" spans="1:6">
      <c r="A107" s="2266">
        <v>2001.02</v>
      </c>
      <c r="B107" s="215">
        <v>707</v>
      </c>
      <c r="C107" s="3427"/>
      <c r="D107" s="3432"/>
      <c r="F107" s="829"/>
    </row>
    <row r="108" spans="1:6">
      <c r="A108" s="2266">
        <v>2001.03</v>
      </c>
      <c r="B108" s="215">
        <v>1069</v>
      </c>
      <c r="C108" s="3427"/>
      <c r="D108" s="3432"/>
      <c r="F108" s="829"/>
    </row>
    <row r="109" spans="1:6">
      <c r="A109" s="2266">
        <v>2001.04</v>
      </c>
      <c r="B109" s="215">
        <v>805</v>
      </c>
      <c r="C109" s="3427"/>
      <c r="D109" s="3432"/>
      <c r="F109" s="829"/>
    </row>
    <row r="110" spans="1:6">
      <c r="A110" s="2266">
        <v>2001.05</v>
      </c>
      <c r="B110" s="215">
        <v>916</v>
      </c>
      <c r="C110" s="3427"/>
      <c r="D110" s="3432"/>
      <c r="F110" s="829"/>
    </row>
    <row r="111" spans="1:6">
      <c r="A111" s="2266">
        <v>2001.06</v>
      </c>
      <c r="B111" s="215">
        <v>959</v>
      </c>
      <c r="C111" s="3427"/>
      <c r="D111" s="3432"/>
      <c r="F111" s="829"/>
    </row>
    <row r="112" spans="1:6">
      <c r="A112" s="2266">
        <v>2001.07</v>
      </c>
      <c r="B112" s="215">
        <v>1015</v>
      </c>
      <c r="C112" s="3427"/>
      <c r="D112" s="3432"/>
      <c r="F112" s="829"/>
    </row>
    <row r="113" spans="1:6">
      <c r="A113" s="2266">
        <v>2001.08</v>
      </c>
      <c r="B113" s="215">
        <v>977</v>
      </c>
      <c r="C113" s="3427"/>
      <c r="D113" s="3432"/>
      <c r="F113" s="829"/>
    </row>
    <row r="114" spans="1:6">
      <c r="A114" s="2266">
        <v>2001.09</v>
      </c>
      <c r="B114" s="215">
        <v>949</v>
      </c>
      <c r="C114" s="3427"/>
      <c r="D114" s="3432"/>
      <c r="F114" s="829"/>
    </row>
    <row r="115" spans="1:6">
      <c r="A115" s="2266">
        <v>2001.1</v>
      </c>
      <c r="B115" s="215">
        <v>977</v>
      </c>
      <c r="C115" s="3427"/>
      <c r="D115" s="3432"/>
      <c r="F115" s="829"/>
    </row>
    <row r="116" spans="1:6">
      <c r="A116" s="2266">
        <v>2001.11</v>
      </c>
      <c r="B116" s="215">
        <v>857</v>
      </c>
      <c r="C116" s="3427"/>
      <c r="D116" s="3432"/>
      <c r="F116" s="829"/>
    </row>
    <row r="117" spans="1:6">
      <c r="A117" s="2266">
        <v>2001.12</v>
      </c>
      <c r="B117" s="215">
        <v>769</v>
      </c>
      <c r="C117" s="3427"/>
      <c r="D117" s="3432"/>
      <c r="F117" s="829"/>
    </row>
    <row r="118" spans="1:6">
      <c r="A118" s="2266">
        <v>2002.01</v>
      </c>
      <c r="B118" s="215">
        <v>356</v>
      </c>
      <c r="C118" s="3427"/>
      <c r="D118" s="3432"/>
      <c r="F118" s="829"/>
    </row>
    <row r="119" spans="1:6">
      <c r="A119" s="2266">
        <v>2002.02</v>
      </c>
      <c r="B119" s="215">
        <v>441</v>
      </c>
      <c r="C119" s="3427"/>
      <c r="D119" s="3432"/>
      <c r="F119" s="829"/>
    </row>
    <row r="120" spans="1:6">
      <c r="A120" s="2266">
        <v>2002.03</v>
      </c>
      <c r="B120" s="215">
        <v>785</v>
      </c>
      <c r="C120" s="3427"/>
      <c r="D120" s="3432"/>
      <c r="F120" s="829"/>
    </row>
    <row r="121" spans="1:6">
      <c r="A121" s="2266">
        <v>2002.04</v>
      </c>
      <c r="B121" s="215">
        <v>1564</v>
      </c>
      <c r="C121" s="3427"/>
      <c r="D121" s="3432"/>
      <c r="F121" s="829"/>
    </row>
    <row r="122" spans="1:6">
      <c r="A122" s="2266">
        <v>2002.05</v>
      </c>
      <c r="B122" s="215">
        <v>1357</v>
      </c>
      <c r="C122" s="3427"/>
      <c r="D122" s="3432"/>
      <c r="F122" s="829"/>
    </row>
    <row r="123" spans="1:6">
      <c r="A123" s="2266">
        <v>2002.06</v>
      </c>
      <c r="B123" s="215">
        <v>898</v>
      </c>
      <c r="C123" s="3427"/>
      <c r="D123" s="3432"/>
      <c r="F123" s="829"/>
    </row>
    <row r="124" spans="1:6">
      <c r="A124" s="2266">
        <v>2002.07</v>
      </c>
      <c r="B124" s="215">
        <v>974</v>
      </c>
      <c r="C124" s="3427"/>
      <c r="D124" s="3432"/>
      <c r="F124" s="829"/>
    </row>
    <row r="125" spans="1:6">
      <c r="A125" s="2266">
        <v>2002.08</v>
      </c>
      <c r="B125" s="215">
        <v>1175</v>
      </c>
      <c r="C125" s="3427"/>
      <c r="D125" s="3432"/>
      <c r="F125" s="829"/>
    </row>
    <row r="126" spans="1:6">
      <c r="A126" s="2266">
        <v>2002.09</v>
      </c>
      <c r="B126" s="215">
        <v>1089</v>
      </c>
      <c r="C126" s="3427"/>
      <c r="D126" s="3432"/>
      <c r="F126" s="829"/>
    </row>
    <row r="127" spans="1:6">
      <c r="A127" s="2266">
        <v>2002.1</v>
      </c>
      <c r="B127" s="215">
        <v>1141</v>
      </c>
      <c r="C127" s="3427"/>
      <c r="D127" s="3432"/>
      <c r="F127" s="829"/>
    </row>
    <row r="128" spans="1:6">
      <c r="A128" s="2266">
        <v>2002.11</v>
      </c>
      <c r="B128" s="215">
        <v>1147</v>
      </c>
      <c r="C128" s="3427"/>
      <c r="D128" s="3432"/>
      <c r="F128" s="829"/>
    </row>
    <row r="129" spans="1:6">
      <c r="A129" s="2266">
        <v>2002.12</v>
      </c>
      <c r="B129" s="215">
        <v>1481</v>
      </c>
      <c r="C129" s="3427"/>
      <c r="D129" s="3432"/>
      <c r="F129" s="829"/>
    </row>
    <row r="130" spans="1:6">
      <c r="A130" s="2266">
        <v>2003.01</v>
      </c>
      <c r="B130" s="215">
        <v>706</v>
      </c>
      <c r="C130" s="3427"/>
      <c r="D130" s="3432"/>
      <c r="F130" s="829"/>
    </row>
    <row r="131" spans="1:6">
      <c r="A131" s="2266">
        <v>2003.02</v>
      </c>
      <c r="B131" s="215">
        <v>847</v>
      </c>
      <c r="C131" s="3427"/>
      <c r="D131" s="3432"/>
      <c r="F131" s="829"/>
    </row>
    <row r="132" spans="1:6">
      <c r="A132" s="2266">
        <v>2003.03</v>
      </c>
      <c r="B132" s="215">
        <v>988</v>
      </c>
      <c r="C132" s="3427"/>
      <c r="D132" s="3432"/>
      <c r="F132" s="829"/>
    </row>
    <row r="133" spans="1:6">
      <c r="A133" s="2266">
        <v>2003.04</v>
      </c>
      <c r="B133" s="215">
        <v>970</v>
      </c>
      <c r="C133" s="3427"/>
      <c r="D133" s="3432"/>
      <c r="F133" s="829"/>
    </row>
    <row r="134" spans="1:6">
      <c r="A134" s="2266">
        <v>2003.05</v>
      </c>
      <c r="B134" s="215">
        <v>1020</v>
      </c>
      <c r="C134" s="3427"/>
      <c r="D134" s="3432"/>
      <c r="F134" s="829"/>
    </row>
    <row r="135" spans="1:6">
      <c r="A135" s="2266">
        <v>2003.06</v>
      </c>
      <c r="B135" s="215">
        <v>976</v>
      </c>
      <c r="C135" s="3427"/>
      <c r="D135" s="3432"/>
      <c r="F135" s="829"/>
    </row>
    <row r="136" spans="1:6">
      <c r="A136" s="2266">
        <v>2003.07</v>
      </c>
      <c r="B136" s="215">
        <v>1010</v>
      </c>
      <c r="C136" s="3427"/>
      <c r="D136" s="3432"/>
      <c r="F136" s="829"/>
    </row>
    <row r="137" spans="1:6">
      <c r="A137" s="2266">
        <v>2003.08</v>
      </c>
      <c r="B137" s="215">
        <v>1143</v>
      </c>
      <c r="C137" s="3427"/>
      <c r="D137" s="3432"/>
      <c r="F137" s="829"/>
    </row>
    <row r="138" spans="1:6">
      <c r="A138" s="2266">
        <v>2003.09</v>
      </c>
      <c r="B138" s="215">
        <v>1215</v>
      </c>
      <c r="C138" s="3427"/>
      <c r="D138" s="3432"/>
      <c r="F138" s="829"/>
    </row>
    <row r="139" spans="1:6">
      <c r="A139" s="2266">
        <v>2003.1</v>
      </c>
      <c r="B139" s="215">
        <v>1340</v>
      </c>
      <c r="C139" s="3427"/>
      <c r="D139" s="3432"/>
      <c r="F139" s="829"/>
    </row>
    <row r="140" spans="1:6">
      <c r="A140" s="2266">
        <v>2003.11</v>
      </c>
      <c r="B140" s="215">
        <v>1206</v>
      </c>
      <c r="C140" s="3427"/>
      <c r="D140" s="3432"/>
      <c r="F140" s="829"/>
    </row>
    <row r="141" spans="1:6">
      <c r="A141" s="2266">
        <v>2003.12</v>
      </c>
      <c r="B141" s="215">
        <v>1511</v>
      </c>
      <c r="C141" s="3427"/>
      <c r="D141" s="3432"/>
      <c r="F141" s="829"/>
    </row>
    <row r="142" spans="1:6">
      <c r="A142" s="2266">
        <v>2004.01</v>
      </c>
      <c r="B142" s="215">
        <v>793</v>
      </c>
      <c r="C142" s="3428">
        <v>1657</v>
      </c>
      <c r="D142" s="3433">
        <f t="shared" ref="D142:D205" si="0">B142+C142</f>
        <v>2450</v>
      </c>
      <c r="F142" s="829"/>
    </row>
    <row r="143" spans="1:6">
      <c r="A143" s="2266">
        <v>2004.02</v>
      </c>
      <c r="B143" s="215">
        <v>923</v>
      </c>
      <c r="C143" s="1398">
        <v>1852</v>
      </c>
      <c r="D143" s="2365">
        <f t="shared" si="0"/>
        <v>2775</v>
      </c>
      <c r="F143" s="829"/>
    </row>
    <row r="144" spans="1:6">
      <c r="A144" s="2266">
        <v>2004.03</v>
      </c>
      <c r="B144" s="215">
        <v>1454</v>
      </c>
      <c r="C144" s="1398">
        <v>2242</v>
      </c>
      <c r="D144" s="2365">
        <f t="shared" si="0"/>
        <v>3696</v>
      </c>
      <c r="F144" s="829"/>
    </row>
    <row r="145" spans="1:6">
      <c r="A145" s="2266">
        <v>2004.04</v>
      </c>
      <c r="B145" s="215">
        <v>1366</v>
      </c>
      <c r="C145" s="1398">
        <v>2063</v>
      </c>
      <c r="D145" s="2365">
        <f t="shared" si="0"/>
        <v>3429</v>
      </c>
      <c r="F145" s="829"/>
    </row>
    <row r="146" spans="1:6">
      <c r="A146" s="2266">
        <v>2004.05</v>
      </c>
      <c r="B146" s="215">
        <v>1388</v>
      </c>
      <c r="C146" s="1398">
        <v>711</v>
      </c>
      <c r="D146" s="2365">
        <f t="shared" si="0"/>
        <v>2099</v>
      </c>
      <c r="F146" s="829"/>
    </row>
    <row r="147" spans="1:6">
      <c r="A147" s="2266">
        <v>2004.06</v>
      </c>
      <c r="B147" s="215">
        <v>1425</v>
      </c>
      <c r="C147" s="1398">
        <v>1824</v>
      </c>
      <c r="D147" s="2365">
        <f t="shared" si="0"/>
        <v>3249</v>
      </c>
      <c r="F147" s="829"/>
    </row>
    <row r="148" spans="1:6">
      <c r="A148" s="2266">
        <v>2004.07</v>
      </c>
      <c r="B148" s="215">
        <v>1385</v>
      </c>
      <c r="C148" s="1398">
        <v>2635</v>
      </c>
      <c r="D148" s="2365">
        <f t="shared" si="0"/>
        <v>4020</v>
      </c>
      <c r="F148" s="829"/>
    </row>
    <row r="149" spans="1:6">
      <c r="A149" s="2266">
        <v>2004.08</v>
      </c>
      <c r="B149" s="215">
        <v>1372</v>
      </c>
      <c r="C149" s="1398">
        <v>1959</v>
      </c>
      <c r="D149" s="2365">
        <f t="shared" si="0"/>
        <v>3331</v>
      </c>
      <c r="F149" s="829"/>
    </row>
    <row r="150" spans="1:6">
      <c r="A150" s="2266">
        <v>2004.09</v>
      </c>
      <c r="B150" s="215">
        <v>1310</v>
      </c>
      <c r="C150" s="1398">
        <v>1978</v>
      </c>
      <c r="D150" s="2365">
        <f t="shared" si="0"/>
        <v>3288</v>
      </c>
      <c r="F150" s="829"/>
    </row>
    <row r="151" spans="1:6">
      <c r="A151" s="2266">
        <v>2004.1</v>
      </c>
      <c r="B151" s="215">
        <v>1304</v>
      </c>
      <c r="C151" s="1398">
        <v>1579</v>
      </c>
      <c r="D151" s="2365">
        <f t="shared" si="0"/>
        <v>2883</v>
      </c>
      <c r="F151" s="829"/>
    </row>
    <row r="152" spans="1:6">
      <c r="A152" s="2266">
        <v>2004.11</v>
      </c>
      <c r="B152" s="215">
        <v>1454</v>
      </c>
      <c r="C152" s="1398">
        <v>2153</v>
      </c>
      <c r="D152" s="2365">
        <f t="shared" si="0"/>
        <v>3607</v>
      </c>
      <c r="F152" s="829"/>
    </row>
    <row r="153" spans="1:6">
      <c r="A153" s="2266">
        <v>2004.12</v>
      </c>
      <c r="B153" s="215">
        <v>1517</v>
      </c>
      <c r="C153" s="1398">
        <v>2561</v>
      </c>
      <c r="D153" s="2365">
        <f t="shared" si="0"/>
        <v>4078</v>
      </c>
      <c r="F153" s="829"/>
    </row>
    <row r="154" spans="1:6">
      <c r="A154" s="2266">
        <v>2005.01</v>
      </c>
      <c r="B154" s="215">
        <v>817</v>
      </c>
      <c r="C154" s="1398">
        <v>1195</v>
      </c>
      <c r="D154" s="2365">
        <f t="shared" si="0"/>
        <v>2012</v>
      </c>
      <c r="F154" s="829"/>
    </row>
    <row r="155" spans="1:6">
      <c r="A155" s="2266">
        <v>2005.02</v>
      </c>
      <c r="B155" s="215">
        <v>983</v>
      </c>
      <c r="C155" s="1398">
        <v>1364</v>
      </c>
      <c r="D155" s="2365">
        <f t="shared" si="0"/>
        <v>2347</v>
      </c>
      <c r="F155" s="829"/>
    </row>
    <row r="156" spans="1:6">
      <c r="A156" s="2266">
        <v>2005.03</v>
      </c>
      <c r="B156" s="215">
        <v>1266</v>
      </c>
      <c r="C156" s="1398">
        <v>1817</v>
      </c>
      <c r="D156" s="2365">
        <f t="shared" si="0"/>
        <v>3083</v>
      </c>
      <c r="F156" s="829"/>
    </row>
    <row r="157" spans="1:6">
      <c r="A157" s="2266">
        <v>2005.04</v>
      </c>
      <c r="B157" s="215">
        <v>1364</v>
      </c>
      <c r="C157" s="1398">
        <v>1896</v>
      </c>
      <c r="D157" s="2365">
        <f t="shared" si="0"/>
        <v>3260</v>
      </c>
      <c r="F157" s="829"/>
    </row>
    <row r="158" spans="1:6">
      <c r="A158" s="2266">
        <v>2005.05</v>
      </c>
      <c r="B158" s="215">
        <v>1399</v>
      </c>
      <c r="C158" s="1398">
        <v>1957</v>
      </c>
      <c r="D158" s="2365">
        <f t="shared" si="0"/>
        <v>3356</v>
      </c>
      <c r="F158" s="829"/>
    </row>
    <row r="159" spans="1:6">
      <c r="A159" s="2266">
        <v>2005.06</v>
      </c>
      <c r="B159" s="215">
        <v>1300</v>
      </c>
      <c r="C159" s="1398">
        <v>2033</v>
      </c>
      <c r="D159" s="2365">
        <f t="shared" si="0"/>
        <v>3333</v>
      </c>
      <c r="F159" s="829"/>
    </row>
    <row r="160" spans="1:6">
      <c r="A160" s="2266">
        <v>2005.07</v>
      </c>
      <c r="B160" s="215">
        <v>1430</v>
      </c>
      <c r="C160" s="1398">
        <v>1957</v>
      </c>
      <c r="D160" s="2365">
        <f t="shared" si="0"/>
        <v>3387</v>
      </c>
      <c r="F160" s="829"/>
    </row>
    <row r="161" spans="1:6">
      <c r="A161" s="2266">
        <v>2005.08</v>
      </c>
      <c r="B161" s="215">
        <v>1520</v>
      </c>
      <c r="C161" s="1398">
        <v>1968</v>
      </c>
      <c r="D161" s="2365">
        <f t="shared" si="0"/>
        <v>3488</v>
      </c>
      <c r="F161" s="829"/>
    </row>
    <row r="162" spans="1:6">
      <c r="A162" s="2266">
        <v>2005.09</v>
      </c>
      <c r="B162" s="215">
        <v>1512</v>
      </c>
      <c r="C162" s="1398">
        <v>2223</v>
      </c>
      <c r="D162" s="2365">
        <f t="shared" si="0"/>
        <v>3735</v>
      </c>
      <c r="F162" s="829"/>
    </row>
    <row r="163" spans="1:6">
      <c r="A163" s="2266">
        <v>2005.1</v>
      </c>
      <c r="B163" s="215">
        <v>1419</v>
      </c>
      <c r="C163" s="1398">
        <v>1899</v>
      </c>
      <c r="D163" s="2365">
        <f t="shared" si="0"/>
        <v>3318</v>
      </c>
      <c r="F163" s="829"/>
    </row>
    <row r="164" spans="1:6">
      <c r="A164" s="2266">
        <v>2005.11</v>
      </c>
      <c r="B164" s="215">
        <v>1381</v>
      </c>
      <c r="C164" s="1398">
        <v>1817</v>
      </c>
      <c r="D164" s="2365">
        <f t="shared" si="0"/>
        <v>3198</v>
      </c>
      <c r="F164" s="829"/>
    </row>
    <row r="165" spans="1:6">
      <c r="A165" s="2266">
        <v>2005.12</v>
      </c>
      <c r="B165" s="215">
        <v>1746</v>
      </c>
      <c r="C165" s="1398">
        <v>2502</v>
      </c>
      <c r="D165" s="2365">
        <f t="shared" si="0"/>
        <v>4248</v>
      </c>
      <c r="F165" s="829"/>
    </row>
    <row r="166" spans="1:6">
      <c r="A166" s="2266">
        <v>2006.01</v>
      </c>
      <c r="B166" s="215">
        <v>829</v>
      </c>
      <c r="C166" s="1398">
        <v>1376</v>
      </c>
      <c r="D166" s="2365">
        <f t="shared" si="0"/>
        <v>2205</v>
      </c>
      <c r="F166" s="829"/>
    </row>
    <row r="167" spans="1:6">
      <c r="A167" s="2266">
        <v>2006.02</v>
      </c>
      <c r="B167" s="215">
        <v>1073</v>
      </c>
      <c r="C167" s="1398">
        <v>1407</v>
      </c>
      <c r="D167" s="2365">
        <f t="shared" si="0"/>
        <v>2480</v>
      </c>
      <c r="F167" s="829"/>
    </row>
    <row r="168" spans="1:6">
      <c r="A168" s="2266">
        <v>2006.03</v>
      </c>
      <c r="B168" s="215">
        <v>1450</v>
      </c>
      <c r="C168" s="1398">
        <v>1908</v>
      </c>
      <c r="D168" s="2365">
        <f t="shared" si="0"/>
        <v>3358</v>
      </c>
      <c r="F168" s="829"/>
    </row>
    <row r="169" spans="1:6">
      <c r="A169" s="2266">
        <v>2006.04</v>
      </c>
      <c r="B169" s="215">
        <v>1348</v>
      </c>
      <c r="C169" s="1398">
        <v>1850</v>
      </c>
      <c r="D169" s="2365">
        <f t="shared" si="0"/>
        <v>3198</v>
      </c>
      <c r="F169" s="829"/>
    </row>
    <row r="170" spans="1:6">
      <c r="A170" s="2266">
        <v>2006.05</v>
      </c>
      <c r="B170" s="215">
        <v>1404</v>
      </c>
      <c r="C170" s="1398">
        <v>1981</v>
      </c>
      <c r="D170" s="2365">
        <f t="shared" si="0"/>
        <v>3385</v>
      </c>
      <c r="F170" s="829"/>
    </row>
    <row r="171" spans="1:6">
      <c r="A171" s="2266">
        <v>2006.06</v>
      </c>
      <c r="B171" s="215">
        <v>1564</v>
      </c>
      <c r="C171" s="1398">
        <v>2104</v>
      </c>
      <c r="D171" s="2365">
        <f t="shared" si="0"/>
        <v>3668</v>
      </c>
      <c r="F171" s="829"/>
    </row>
    <row r="172" spans="1:6">
      <c r="A172" s="2266">
        <v>2006.07</v>
      </c>
      <c r="B172" s="215">
        <v>1279</v>
      </c>
      <c r="C172" s="1398">
        <v>1984</v>
      </c>
      <c r="D172" s="2365">
        <f t="shared" si="0"/>
        <v>3263</v>
      </c>
      <c r="F172" s="829"/>
    </row>
    <row r="173" spans="1:6">
      <c r="A173" s="2266">
        <v>2006.08</v>
      </c>
      <c r="B173" s="215">
        <v>1535</v>
      </c>
      <c r="C173" s="1398">
        <v>2300</v>
      </c>
      <c r="D173" s="2365">
        <f t="shared" si="0"/>
        <v>3835</v>
      </c>
      <c r="F173" s="829"/>
    </row>
    <row r="174" spans="1:6">
      <c r="A174" s="2266">
        <v>2006.09</v>
      </c>
      <c r="B174" s="215">
        <v>1445</v>
      </c>
      <c r="C174" s="1398">
        <v>2213</v>
      </c>
      <c r="D174" s="2365">
        <f t="shared" si="0"/>
        <v>3658</v>
      </c>
      <c r="F174" s="829"/>
    </row>
    <row r="175" spans="1:6">
      <c r="A175" s="2266">
        <v>2006.1</v>
      </c>
      <c r="B175" s="215">
        <v>1506</v>
      </c>
      <c r="C175" s="1398">
        <v>2264</v>
      </c>
      <c r="D175" s="2365">
        <f t="shared" si="0"/>
        <v>3770</v>
      </c>
      <c r="F175" s="829"/>
    </row>
    <row r="176" spans="1:6">
      <c r="A176" s="2266">
        <v>2006.11</v>
      </c>
      <c r="B176" s="215">
        <v>1405</v>
      </c>
      <c r="C176" s="1398">
        <v>1991</v>
      </c>
      <c r="D176" s="2365">
        <f t="shared" si="0"/>
        <v>3396</v>
      </c>
      <c r="F176" s="829"/>
    </row>
    <row r="177" spans="1:6">
      <c r="A177" s="2266">
        <v>2006.12</v>
      </c>
      <c r="B177" s="215">
        <v>1740</v>
      </c>
      <c r="C177" s="1398">
        <v>2177</v>
      </c>
      <c r="D177" s="2365">
        <f t="shared" si="0"/>
        <v>3917</v>
      </c>
      <c r="F177" s="829"/>
    </row>
    <row r="178" spans="1:6">
      <c r="A178" s="2266">
        <v>2007.01</v>
      </c>
      <c r="B178" s="215">
        <v>1023</v>
      </c>
      <c r="C178" s="1398">
        <v>1378</v>
      </c>
      <c r="D178" s="2365">
        <f t="shared" si="0"/>
        <v>2401</v>
      </c>
      <c r="F178" s="829"/>
    </row>
    <row r="179" spans="1:6">
      <c r="A179" s="2266">
        <v>2007.02</v>
      </c>
      <c r="B179" s="215">
        <v>1147</v>
      </c>
      <c r="C179" s="1398">
        <v>2266</v>
      </c>
      <c r="D179" s="2365">
        <f t="shared" si="0"/>
        <v>3413</v>
      </c>
      <c r="F179" s="829"/>
    </row>
    <row r="180" spans="1:6">
      <c r="A180" s="2266">
        <v>2007.03</v>
      </c>
      <c r="B180" s="215">
        <v>1576</v>
      </c>
      <c r="C180" s="1398">
        <v>2629</v>
      </c>
      <c r="D180" s="2365">
        <f t="shared" si="0"/>
        <v>4205</v>
      </c>
      <c r="F180" s="829"/>
    </row>
    <row r="181" spans="1:6">
      <c r="A181" s="2266">
        <v>2007.04</v>
      </c>
      <c r="B181" s="215">
        <v>1063</v>
      </c>
      <c r="C181" s="1398">
        <v>1697</v>
      </c>
      <c r="D181" s="2365">
        <f t="shared" si="0"/>
        <v>2760</v>
      </c>
      <c r="F181" s="829"/>
    </row>
    <row r="182" spans="1:6">
      <c r="A182" s="2266">
        <v>2007.05</v>
      </c>
      <c r="B182" s="215">
        <v>1295</v>
      </c>
      <c r="C182" s="1398">
        <v>1407</v>
      </c>
      <c r="D182" s="2365">
        <f t="shared" si="0"/>
        <v>2702</v>
      </c>
      <c r="F182" s="829"/>
    </row>
    <row r="183" spans="1:6">
      <c r="A183" s="2266">
        <v>2007.06</v>
      </c>
      <c r="B183" s="215">
        <v>1549</v>
      </c>
      <c r="C183" s="1398">
        <v>2367</v>
      </c>
      <c r="D183" s="2365">
        <f t="shared" si="0"/>
        <v>3916</v>
      </c>
      <c r="F183" s="829"/>
    </row>
    <row r="184" spans="1:6">
      <c r="A184" s="2266">
        <v>2007.07</v>
      </c>
      <c r="B184" s="215">
        <v>1324</v>
      </c>
      <c r="C184" s="1398">
        <v>2041</v>
      </c>
      <c r="D184" s="2365">
        <f t="shared" si="0"/>
        <v>3365</v>
      </c>
      <c r="F184" s="829"/>
    </row>
    <row r="185" spans="1:6">
      <c r="A185" s="2266">
        <v>2007.08</v>
      </c>
      <c r="B185" s="215">
        <v>1544</v>
      </c>
      <c r="C185" s="1398">
        <v>2478</v>
      </c>
      <c r="D185" s="2365">
        <f t="shared" si="0"/>
        <v>4022</v>
      </c>
      <c r="F185" s="829"/>
    </row>
    <row r="186" spans="1:6">
      <c r="A186" s="2266">
        <v>2007.09</v>
      </c>
      <c r="B186" s="215">
        <v>1636</v>
      </c>
      <c r="C186" s="1398">
        <v>2103</v>
      </c>
      <c r="D186" s="2365">
        <f t="shared" si="0"/>
        <v>3739</v>
      </c>
      <c r="F186" s="829"/>
    </row>
    <row r="187" spans="1:6">
      <c r="A187" s="2266">
        <v>2007.1</v>
      </c>
      <c r="B187" s="215">
        <v>1464</v>
      </c>
      <c r="C187" s="1398">
        <v>2126</v>
      </c>
      <c r="D187" s="2365">
        <f t="shared" si="0"/>
        <v>3590</v>
      </c>
      <c r="F187" s="829"/>
    </row>
    <row r="188" spans="1:6">
      <c r="A188" s="2266">
        <v>2007.11</v>
      </c>
      <c r="B188" s="215">
        <v>1192</v>
      </c>
      <c r="C188" s="1398">
        <v>1891</v>
      </c>
      <c r="D188" s="2365">
        <f t="shared" si="0"/>
        <v>3083</v>
      </c>
      <c r="F188" s="829"/>
    </row>
    <row r="189" spans="1:6">
      <c r="A189" s="2266">
        <v>2007.12</v>
      </c>
      <c r="B189" s="215">
        <v>2294</v>
      </c>
      <c r="C189" s="1398">
        <v>3212</v>
      </c>
      <c r="D189" s="2365">
        <f t="shared" si="0"/>
        <v>5506</v>
      </c>
      <c r="F189" s="829"/>
    </row>
    <row r="190" spans="1:6">
      <c r="A190" s="2266">
        <v>2008.01</v>
      </c>
      <c r="B190" s="215">
        <v>832</v>
      </c>
      <c r="C190" s="1398">
        <v>1207</v>
      </c>
      <c r="D190" s="2365">
        <f t="shared" si="0"/>
        <v>2039</v>
      </c>
      <c r="F190" s="829"/>
    </row>
    <row r="191" spans="1:6">
      <c r="A191" s="2266">
        <v>2008.02</v>
      </c>
      <c r="B191" s="215">
        <v>1148</v>
      </c>
      <c r="C191" s="1398">
        <v>1605</v>
      </c>
      <c r="D191" s="2365">
        <f t="shared" si="0"/>
        <v>2753</v>
      </c>
      <c r="F191" s="829"/>
    </row>
    <row r="192" spans="1:6">
      <c r="A192" s="2266">
        <v>2008.03</v>
      </c>
      <c r="B192" s="215">
        <v>1434</v>
      </c>
      <c r="C192" s="1398">
        <v>1817</v>
      </c>
      <c r="D192" s="2365">
        <f t="shared" si="0"/>
        <v>3251</v>
      </c>
      <c r="F192" s="829"/>
    </row>
    <row r="193" spans="1:6">
      <c r="A193" s="2266">
        <v>2008.04</v>
      </c>
      <c r="B193" s="215">
        <v>1484</v>
      </c>
      <c r="C193" s="1398">
        <v>2012</v>
      </c>
      <c r="D193" s="2365">
        <f t="shared" si="0"/>
        <v>3496</v>
      </c>
      <c r="F193" s="829"/>
    </row>
    <row r="194" spans="1:6">
      <c r="A194" s="2266">
        <v>2008.05</v>
      </c>
      <c r="B194" s="215">
        <v>1658</v>
      </c>
      <c r="C194" s="1398">
        <v>2257</v>
      </c>
      <c r="D194" s="2365">
        <f t="shared" si="0"/>
        <v>3915</v>
      </c>
      <c r="F194" s="829"/>
    </row>
    <row r="195" spans="1:6">
      <c r="A195" s="2266">
        <v>2008.06</v>
      </c>
      <c r="B195" s="215">
        <v>1629</v>
      </c>
      <c r="C195" s="1398">
        <v>1854</v>
      </c>
      <c r="D195" s="2365">
        <f t="shared" si="0"/>
        <v>3483</v>
      </c>
      <c r="F195" s="829"/>
    </row>
    <row r="196" spans="1:6">
      <c r="A196" s="2266">
        <v>2008.07</v>
      </c>
      <c r="B196" s="215">
        <v>1669</v>
      </c>
      <c r="C196" s="1398">
        <v>2069</v>
      </c>
      <c r="D196" s="2365">
        <f t="shared" si="0"/>
        <v>3738</v>
      </c>
      <c r="F196" s="829"/>
    </row>
    <row r="197" spans="1:6">
      <c r="A197" s="2266">
        <v>2008.08</v>
      </c>
      <c r="B197" s="215">
        <v>1380</v>
      </c>
      <c r="C197" s="1398">
        <v>1856</v>
      </c>
      <c r="D197" s="2365">
        <f t="shared" si="0"/>
        <v>3236</v>
      </c>
      <c r="F197" s="829"/>
    </row>
    <row r="198" spans="1:6">
      <c r="A198" s="2266">
        <v>2008.09</v>
      </c>
      <c r="B198" s="215">
        <v>1314</v>
      </c>
      <c r="C198" s="1398">
        <v>1995</v>
      </c>
      <c r="D198" s="2365">
        <f t="shared" si="0"/>
        <v>3309</v>
      </c>
      <c r="F198" s="829"/>
    </row>
    <row r="199" spans="1:6">
      <c r="A199" s="2266">
        <v>2008.1</v>
      </c>
      <c r="B199" s="215">
        <v>1491</v>
      </c>
      <c r="C199" s="1398">
        <v>1908</v>
      </c>
      <c r="D199" s="2365">
        <f t="shared" si="0"/>
        <v>3399</v>
      </c>
      <c r="F199" s="829"/>
    </row>
    <row r="200" spans="1:6">
      <c r="A200" s="2266">
        <v>2008.11</v>
      </c>
      <c r="B200" s="215">
        <v>1491</v>
      </c>
      <c r="C200" s="1398">
        <v>1924</v>
      </c>
      <c r="D200" s="2365">
        <f t="shared" si="0"/>
        <v>3415</v>
      </c>
      <c r="F200" s="829"/>
    </row>
    <row r="201" spans="1:6">
      <c r="A201" s="2266">
        <v>2008.12</v>
      </c>
      <c r="B201" s="215">
        <v>1632</v>
      </c>
      <c r="C201" s="1398">
        <v>2079</v>
      </c>
      <c r="D201" s="2365">
        <f t="shared" si="0"/>
        <v>3711</v>
      </c>
      <c r="F201" s="829"/>
    </row>
    <row r="202" spans="1:6">
      <c r="A202" s="2266">
        <f t="shared" ref="A202:A265" si="1">A190+1</f>
        <v>2009.01</v>
      </c>
      <c r="B202" s="215">
        <v>655</v>
      </c>
      <c r="C202" s="1398">
        <v>795</v>
      </c>
      <c r="D202" s="2365">
        <f t="shared" si="0"/>
        <v>1450</v>
      </c>
      <c r="F202" s="829"/>
    </row>
    <row r="203" spans="1:6">
      <c r="A203" s="2266">
        <f t="shared" si="1"/>
        <v>2009.02</v>
      </c>
      <c r="B203" s="215">
        <v>903</v>
      </c>
      <c r="C203" s="1398">
        <v>1072</v>
      </c>
      <c r="D203" s="2365">
        <f t="shared" si="0"/>
        <v>1975</v>
      </c>
      <c r="F203" s="829"/>
    </row>
    <row r="204" spans="1:6">
      <c r="A204" s="2266">
        <f t="shared" si="1"/>
        <v>2009.03</v>
      </c>
      <c r="B204" s="215">
        <v>1200</v>
      </c>
      <c r="C204" s="1398">
        <v>1471</v>
      </c>
      <c r="D204" s="2365">
        <f t="shared" si="0"/>
        <v>2671</v>
      </c>
      <c r="F204" s="829"/>
    </row>
    <row r="205" spans="1:6">
      <c r="A205" s="2266">
        <f t="shared" si="1"/>
        <v>2009.04</v>
      </c>
      <c r="B205" s="215">
        <v>1063</v>
      </c>
      <c r="C205" s="1398">
        <v>1403</v>
      </c>
      <c r="D205" s="2365">
        <f t="shared" si="0"/>
        <v>2466</v>
      </c>
      <c r="F205" s="829"/>
    </row>
    <row r="206" spans="1:6">
      <c r="A206" s="2266">
        <f t="shared" si="1"/>
        <v>2009.05</v>
      </c>
      <c r="B206" s="215">
        <v>1095</v>
      </c>
      <c r="C206" s="1398">
        <v>1405</v>
      </c>
      <c r="D206" s="2365">
        <f t="shared" ref="D206:D269" si="2">B206+C206</f>
        <v>2500</v>
      </c>
      <c r="F206" s="829"/>
    </row>
    <row r="207" spans="1:6">
      <c r="A207" s="2266">
        <f t="shared" si="1"/>
        <v>2009.06</v>
      </c>
      <c r="B207" s="215">
        <v>1196</v>
      </c>
      <c r="C207" s="1398">
        <v>1509</v>
      </c>
      <c r="D207" s="2365">
        <f t="shared" si="2"/>
        <v>2705</v>
      </c>
      <c r="F207" s="829"/>
    </row>
    <row r="208" spans="1:6">
      <c r="A208" s="2266">
        <f t="shared" si="1"/>
        <v>2009.07</v>
      </c>
      <c r="B208" s="215">
        <v>1251</v>
      </c>
      <c r="C208" s="1398">
        <v>1480</v>
      </c>
      <c r="D208" s="2365">
        <f t="shared" si="2"/>
        <v>2731</v>
      </c>
      <c r="F208" s="829"/>
    </row>
    <row r="209" spans="1:6">
      <c r="A209" s="2266">
        <f t="shared" si="1"/>
        <v>2009.08</v>
      </c>
      <c r="B209" s="215">
        <v>1112</v>
      </c>
      <c r="C209" s="1398">
        <v>1634</v>
      </c>
      <c r="D209" s="2365">
        <f t="shared" si="2"/>
        <v>2746</v>
      </c>
      <c r="F209" s="829"/>
    </row>
    <row r="210" spans="1:6">
      <c r="A210" s="2266">
        <f t="shared" si="1"/>
        <v>2009.09</v>
      </c>
      <c r="B210" s="215">
        <v>1184</v>
      </c>
      <c r="C210" s="1398">
        <v>1750</v>
      </c>
      <c r="D210" s="2365">
        <f t="shared" si="2"/>
        <v>2934</v>
      </c>
      <c r="F210" s="829"/>
    </row>
    <row r="211" spans="1:6">
      <c r="A211" s="2266">
        <f t="shared" si="1"/>
        <v>2009.1</v>
      </c>
      <c r="B211" s="215">
        <v>1254</v>
      </c>
      <c r="C211" s="1398">
        <v>1702</v>
      </c>
      <c r="D211" s="2365">
        <f t="shared" si="2"/>
        <v>2956</v>
      </c>
      <c r="F211" s="829"/>
    </row>
    <row r="212" spans="1:6">
      <c r="A212" s="2266">
        <f t="shared" si="1"/>
        <v>2009.11</v>
      </c>
      <c r="B212" s="215">
        <v>1231</v>
      </c>
      <c r="C212" s="1398">
        <v>1631</v>
      </c>
      <c r="D212" s="2365">
        <f t="shared" si="2"/>
        <v>2862</v>
      </c>
      <c r="F212" s="829"/>
    </row>
    <row r="213" spans="1:6">
      <c r="A213" s="2266">
        <f t="shared" si="1"/>
        <v>2009.12</v>
      </c>
      <c r="B213" s="215">
        <v>1593</v>
      </c>
      <c r="C213" s="1398">
        <v>2139</v>
      </c>
      <c r="D213" s="2365">
        <f t="shared" si="2"/>
        <v>3732</v>
      </c>
      <c r="F213" s="829"/>
    </row>
    <row r="214" spans="1:6">
      <c r="A214" s="2266">
        <f t="shared" si="1"/>
        <v>2010.01</v>
      </c>
      <c r="B214" s="215">
        <v>695</v>
      </c>
      <c r="C214" s="1398">
        <v>973</v>
      </c>
      <c r="D214" s="2365">
        <f t="shared" si="2"/>
        <v>1668</v>
      </c>
      <c r="F214" s="829"/>
    </row>
    <row r="215" spans="1:6">
      <c r="A215" s="2266">
        <f t="shared" si="1"/>
        <v>2010.02</v>
      </c>
      <c r="B215" s="215">
        <v>926</v>
      </c>
      <c r="C215" s="1398">
        <v>1110</v>
      </c>
      <c r="D215" s="2365">
        <f t="shared" si="2"/>
        <v>2036</v>
      </c>
      <c r="F215" s="829"/>
    </row>
    <row r="216" spans="1:6">
      <c r="A216" s="2266">
        <f t="shared" si="1"/>
        <v>2010.03</v>
      </c>
      <c r="B216" s="215">
        <v>996</v>
      </c>
      <c r="C216" s="1398">
        <v>1142</v>
      </c>
      <c r="D216" s="2365">
        <f t="shared" si="2"/>
        <v>2138</v>
      </c>
      <c r="F216" s="829"/>
    </row>
    <row r="217" spans="1:6">
      <c r="A217" s="2266">
        <f t="shared" si="1"/>
        <v>2010.04</v>
      </c>
      <c r="B217" s="215">
        <v>1326</v>
      </c>
      <c r="C217" s="1398">
        <v>2046</v>
      </c>
      <c r="D217" s="2365">
        <f t="shared" si="2"/>
        <v>3372</v>
      </c>
      <c r="F217" s="829"/>
    </row>
    <row r="218" spans="1:6">
      <c r="A218" s="2266">
        <f t="shared" si="1"/>
        <v>2010.05</v>
      </c>
      <c r="B218" s="215">
        <v>1223</v>
      </c>
      <c r="C218" s="1398">
        <v>1798</v>
      </c>
      <c r="D218" s="2365">
        <f t="shared" si="2"/>
        <v>3021</v>
      </c>
      <c r="F218" s="829"/>
    </row>
    <row r="219" spans="1:6">
      <c r="A219" s="2266">
        <f t="shared" si="1"/>
        <v>2010.06</v>
      </c>
      <c r="B219" s="215">
        <v>1266</v>
      </c>
      <c r="C219" s="1398">
        <v>1673</v>
      </c>
      <c r="D219" s="2365">
        <f t="shared" si="2"/>
        <v>2939</v>
      </c>
      <c r="F219" s="829"/>
    </row>
    <row r="220" spans="1:6">
      <c r="A220" s="2266">
        <f t="shared" si="1"/>
        <v>2010.07</v>
      </c>
      <c r="B220" s="215">
        <v>1471</v>
      </c>
      <c r="C220" s="1398">
        <v>2141</v>
      </c>
      <c r="D220" s="2365">
        <f t="shared" si="2"/>
        <v>3612</v>
      </c>
      <c r="F220" s="829"/>
    </row>
    <row r="221" spans="1:6">
      <c r="A221" s="2266">
        <f t="shared" si="1"/>
        <v>2010.08</v>
      </c>
      <c r="B221" s="215">
        <v>1253</v>
      </c>
      <c r="C221" s="1398">
        <v>1611</v>
      </c>
      <c r="D221" s="2365">
        <f t="shared" si="2"/>
        <v>2864</v>
      </c>
      <c r="F221" s="829"/>
    </row>
    <row r="222" spans="1:6">
      <c r="A222" s="2266">
        <f t="shared" si="1"/>
        <v>2010.09</v>
      </c>
      <c r="B222" s="215">
        <v>1457</v>
      </c>
      <c r="C222" s="1398">
        <v>1865</v>
      </c>
      <c r="D222" s="2365">
        <f t="shared" si="2"/>
        <v>3322</v>
      </c>
      <c r="F222" s="829"/>
    </row>
    <row r="223" spans="1:6">
      <c r="A223" s="2266">
        <f t="shared" si="1"/>
        <v>2010.1</v>
      </c>
      <c r="B223" s="215">
        <v>1426</v>
      </c>
      <c r="C223" s="1398">
        <v>1696</v>
      </c>
      <c r="D223" s="2365">
        <f t="shared" si="2"/>
        <v>3122</v>
      </c>
      <c r="F223" s="829"/>
    </row>
    <row r="224" spans="1:6">
      <c r="A224" s="2266">
        <f t="shared" si="1"/>
        <v>2010.11</v>
      </c>
      <c r="B224" s="215">
        <v>1550</v>
      </c>
      <c r="C224" s="1398">
        <v>2209</v>
      </c>
      <c r="D224" s="2365">
        <f t="shared" si="2"/>
        <v>3759</v>
      </c>
      <c r="F224" s="829"/>
    </row>
    <row r="225" spans="1:6">
      <c r="A225" s="2266">
        <f t="shared" si="1"/>
        <v>2010.12</v>
      </c>
      <c r="B225" s="215">
        <v>1875</v>
      </c>
      <c r="C225" s="1398">
        <v>2351</v>
      </c>
      <c r="D225" s="2365">
        <f t="shared" si="2"/>
        <v>4226</v>
      </c>
      <c r="F225" s="829"/>
    </row>
    <row r="226" spans="1:6">
      <c r="A226" s="2266">
        <f t="shared" si="1"/>
        <v>2011.01</v>
      </c>
      <c r="B226" s="215">
        <v>913</v>
      </c>
      <c r="C226" s="1398">
        <v>1048</v>
      </c>
      <c r="D226" s="2365">
        <f t="shared" si="2"/>
        <v>1961</v>
      </c>
      <c r="F226" s="829"/>
    </row>
    <row r="227" spans="1:6">
      <c r="A227" s="2266">
        <f t="shared" si="1"/>
        <v>2011.02</v>
      </c>
      <c r="B227" s="215">
        <v>997</v>
      </c>
      <c r="C227" s="1398">
        <v>1245</v>
      </c>
      <c r="D227" s="2365">
        <f t="shared" si="2"/>
        <v>2242</v>
      </c>
      <c r="F227" s="829"/>
    </row>
    <row r="228" spans="1:6">
      <c r="A228" s="2266">
        <f t="shared" si="1"/>
        <v>2011.03</v>
      </c>
      <c r="B228" s="215">
        <v>1298</v>
      </c>
      <c r="C228" s="1398">
        <v>1431</v>
      </c>
      <c r="D228" s="2365">
        <f t="shared" si="2"/>
        <v>2729</v>
      </c>
      <c r="F228" s="829"/>
    </row>
    <row r="229" spans="1:6">
      <c r="A229" s="2266">
        <f t="shared" si="1"/>
        <v>2011.04</v>
      </c>
      <c r="B229" s="215">
        <v>1547</v>
      </c>
      <c r="C229" s="1398">
        <v>2133</v>
      </c>
      <c r="D229" s="2365">
        <f t="shared" si="2"/>
        <v>3680</v>
      </c>
      <c r="F229" s="829"/>
    </row>
    <row r="230" spans="1:6">
      <c r="A230" s="2266">
        <f t="shared" si="1"/>
        <v>2011.05</v>
      </c>
      <c r="B230" s="215">
        <v>1586</v>
      </c>
      <c r="C230" s="1398">
        <v>2018</v>
      </c>
      <c r="D230" s="2365">
        <f t="shared" si="2"/>
        <v>3604</v>
      </c>
      <c r="F230" s="829"/>
    </row>
    <row r="231" spans="1:6">
      <c r="A231" s="2266">
        <f t="shared" si="1"/>
        <v>2011.06</v>
      </c>
      <c r="B231" s="215">
        <v>1636</v>
      </c>
      <c r="C231" s="1398">
        <v>2104</v>
      </c>
      <c r="D231" s="2365">
        <f t="shared" si="2"/>
        <v>3740</v>
      </c>
      <c r="F231" s="829"/>
    </row>
    <row r="232" spans="1:6">
      <c r="A232" s="2266">
        <f t="shared" si="1"/>
        <v>2011.07</v>
      </c>
      <c r="B232" s="215">
        <v>1753</v>
      </c>
      <c r="C232" s="1398">
        <v>3038</v>
      </c>
      <c r="D232" s="2365">
        <f t="shared" si="2"/>
        <v>4791</v>
      </c>
      <c r="F232" s="829"/>
    </row>
    <row r="233" spans="1:6">
      <c r="A233" s="2266">
        <f t="shared" si="1"/>
        <v>2011.08</v>
      </c>
      <c r="B233" s="215">
        <v>1794</v>
      </c>
      <c r="C233" s="1398">
        <v>2248</v>
      </c>
      <c r="D233" s="2365">
        <f t="shared" si="2"/>
        <v>4042</v>
      </c>
      <c r="F233" s="829"/>
    </row>
    <row r="234" spans="1:6">
      <c r="A234" s="2266">
        <f t="shared" si="1"/>
        <v>2011.09</v>
      </c>
      <c r="B234" s="215">
        <v>1540</v>
      </c>
      <c r="C234" s="1398">
        <v>2232</v>
      </c>
      <c r="D234" s="2365">
        <f t="shared" si="2"/>
        <v>3772</v>
      </c>
      <c r="F234" s="829"/>
    </row>
    <row r="235" spans="1:6">
      <c r="A235" s="2266">
        <f t="shared" si="1"/>
        <v>2011.1</v>
      </c>
      <c r="B235" s="215">
        <v>1547</v>
      </c>
      <c r="C235" s="1398">
        <v>1952</v>
      </c>
      <c r="D235" s="2365">
        <f t="shared" si="2"/>
        <v>3499</v>
      </c>
      <c r="F235" s="829"/>
    </row>
    <row r="236" spans="1:6">
      <c r="A236" s="2266">
        <f t="shared" si="1"/>
        <v>2011.11</v>
      </c>
      <c r="B236" s="215">
        <v>1725</v>
      </c>
      <c r="C236" s="1398">
        <v>2095</v>
      </c>
      <c r="D236" s="2365">
        <f t="shared" si="2"/>
        <v>3820</v>
      </c>
      <c r="F236" s="829"/>
    </row>
    <row r="237" spans="1:6">
      <c r="A237" s="2266">
        <f t="shared" si="1"/>
        <v>2011.12</v>
      </c>
      <c r="B237" s="215">
        <v>2015</v>
      </c>
      <c r="C237" s="1398">
        <v>2592</v>
      </c>
      <c r="D237" s="2365">
        <f t="shared" si="2"/>
        <v>4607</v>
      </c>
      <c r="F237" s="829"/>
    </row>
    <row r="238" spans="1:6">
      <c r="A238" s="2266">
        <f t="shared" si="1"/>
        <v>2012.01</v>
      </c>
      <c r="B238" s="215">
        <v>924</v>
      </c>
      <c r="C238" s="1398">
        <v>1247</v>
      </c>
      <c r="D238" s="2365">
        <f t="shared" si="2"/>
        <v>2171</v>
      </c>
      <c r="F238" s="829"/>
    </row>
    <row r="239" spans="1:6">
      <c r="A239" s="2266">
        <f t="shared" si="1"/>
        <v>2012.02</v>
      </c>
      <c r="B239" s="215">
        <v>1015</v>
      </c>
      <c r="C239" s="1398">
        <v>1157</v>
      </c>
      <c r="D239" s="2365">
        <f t="shared" si="2"/>
        <v>2172</v>
      </c>
      <c r="F239" s="829"/>
    </row>
    <row r="240" spans="1:6">
      <c r="A240" s="2266">
        <f t="shared" si="1"/>
        <v>2012.03</v>
      </c>
      <c r="B240" s="215">
        <v>1486</v>
      </c>
      <c r="C240" s="1398">
        <v>1855</v>
      </c>
      <c r="D240" s="2365">
        <f t="shared" si="2"/>
        <v>3341</v>
      </c>
      <c r="F240" s="829"/>
    </row>
    <row r="241" spans="1:6">
      <c r="A241" s="2266">
        <f t="shared" si="1"/>
        <v>2012.04</v>
      </c>
      <c r="B241" s="215">
        <v>1289</v>
      </c>
      <c r="C241" s="1398">
        <v>1501</v>
      </c>
      <c r="D241" s="2365">
        <f t="shared" si="2"/>
        <v>2790</v>
      </c>
      <c r="F241" s="829"/>
    </row>
    <row r="242" spans="1:6">
      <c r="A242" s="2266">
        <f t="shared" si="1"/>
        <v>2012.05</v>
      </c>
      <c r="B242" s="215">
        <v>1532</v>
      </c>
      <c r="C242" s="1398">
        <v>1853</v>
      </c>
      <c r="D242" s="2365">
        <f t="shared" si="2"/>
        <v>3385</v>
      </c>
      <c r="F242" s="829"/>
    </row>
    <row r="243" spans="1:6">
      <c r="A243" s="2266">
        <f t="shared" si="1"/>
        <v>2012.06</v>
      </c>
      <c r="B243" s="215">
        <v>1477</v>
      </c>
      <c r="C243" s="1398">
        <v>1792</v>
      </c>
      <c r="D243" s="2365">
        <f t="shared" si="2"/>
        <v>3269</v>
      </c>
      <c r="F243" s="829"/>
    </row>
    <row r="244" spans="1:6">
      <c r="A244" s="2266">
        <f t="shared" si="1"/>
        <v>2012.07</v>
      </c>
      <c r="B244" s="215">
        <v>1489</v>
      </c>
      <c r="C244" s="1398">
        <v>1707</v>
      </c>
      <c r="D244" s="2365">
        <f t="shared" si="2"/>
        <v>3196</v>
      </c>
      <c r="F244" s="829"/>
    </row>
    <row r="245" spans="1:6">
      <c r="A245" s="2266">
        <f t="shared" si="1"/>
        <v>2012.08</v>
      </c>
      <c r="B245" s="215">
        <v>1611</v>
      </c>
      <c r="C245" s="1398">
        <v>1940</v>
      </c>
      <c r="D245" s="2365">
        <f t="shared" si="2"/>
        <v>3551</v>
      </c>
      <c r="F245" s="829"/>
    </row>
    <row r="246" spans="1:6">
      <c r="A246" s="2266">
        <f t="shared" si="1"/>
        <v>2012.09</v>
      </c>
      <c r="B246" s="215">
        <v>1397</v>
      </c>
      <c r="C246" s="1398">
        <v>1655</v>
      </c>
      <c r="D246" s="2365">
        <f t="shared" si="2"/>
        <v>3052</v>
      </c>
      <c r="F246" s="829"/>
    </row>
    <row r="247" spans="1:6">
      <c r="A247" s="2266">
        <f t="shared" si="1"/>
        <v>2012.1</v>
      </c>
      <c r="B247" s="215">
        <v>1323</v>
      </c>
      <c r="C247" s="1398">
        <v>1668</v>
      </c>
      <c r="D247" s="2365">
        <f t="shared" si="2"/>
        <v>2991</v>
      </c>
      <c r="F247" s="829"/>
    </row>
    <row r="248" spans="1:6">
      <c r="A248" s="2266">
        <f t="shared" si="1"/>
        <v>2012.11</v>
      </c>
      <c r="B248" s="215">
        <v>1460</v>
      </c>
      <c r="C248" s="1398">
        <v>1717</v>
      </c>
      <c r="D248" s="2365">
        <f t="shared" si="2"/>
        <v>3177</v>
      </c>
      <c r="F248" s="829"/>
    </row>
    <row r="249" spans="1:6">
      <c r="A249" s="2266">
        <f t="shared" si="1"/>
        <v>2012.12</v>
      </c>
      <c r="B249" s="215">
        <v>1716</v>
      </c>
      <c r="C249" s="1398">
        <v>1779</v>
      </c>
      <c r="D249" s="2365">
        <f t="shared" si="2"/>
        <v>3495</v>
      </c>
      <c r="F249" s="829"/>
    </row>
    <row r="250" spans="1:6">
      <c r="A250" s="2266">
        <f t="shared" si="1"/>
        <v>2013.01</v>
      </c>
      <c r="B250" s="215">
        <v>842</v>
      </c>
      <c r="C250" s="1398">
        <v>939</v>
      </c>
      <c r="D250" s="2365">
        <f t="shared" si="2"/>
        <v>1781</v>
      </c>
      <c r="F250" s="829"/>
    </row>
    <row r="251" spans="1:6">
      <c r="A251" s="2266">
        <f t="shared" si="1"/>
        <v>2013.02</v>
      </c>
      <c r="B251" s="215">
        <v>851</v>
      </c>
      <c r="C251" s="1398">
        <v>1000</v>
      </c>
      <c r="D251" s="2365">
        <f t="shared" si="2"/>
        <v>1851</v>
      </c>
      <c r="F251" s="829"/>
    </row>
    <row r="252" spans="1:6">
      <c r="A252" s="2266">
        <f t="shared" si="1"/>
        <v>2013.03</v>
      </c>
      <c r="B252" s="215">
        <v>1459</v>
      </c>
      <c r="C252" s="1398">
        <v>1635</v>
      </c>
      <c r="D252" s="2365">
        <f t="shared" si="2"/>
        <v>3094</v>
      </c>
      <c r="F252" s="829"/>
    </row>
    <row r="253" spans="1:6">
      <c r="A253" s="2266">
        <f t="shared" si="1"/>
        <v>2013.04</v>
      </c>
      <c r="B253" s="215">
        <v>1298</v>
      </c>
      <c r="C253" s="1398">
        <v>1414</v>
      </c>
      <c r="D253" s="2365">
        <f t="shared" si="2"/>
        <v>2712</v>
      </c>
      <c r="F253" s="829"/>
    </row>
    <row r="254" spans="1:6">
      <c r="A254" s="2266">
        <f t="shared" si="1"/>
        <v>2013.05</v>
      </c>
      <c r="B254" s="215">
        <v>1588</v>
      </c>
      <c r="C254" s="1398">
        <v>1939</v>
      </c>
      <c r="D254" s="2365">
        <f t="shared" si="2"/>
        <v>3527</v>
      </c>
      <c r="F254" s="829"/>
    </row>
    <row r="255" spans="1:6">
      <c r="A255" s="2266">
        <f t="shared" si="1"/>
        <v>2013.06</v>
      </c>
      <c r="B255" s="215">
        <v>1441</v>
      </c>
      <c r="C255" s="1398">
        <v>1650</v>
      </c>
      <c r="D255" s="2365">
        <f t="shared" si="2"/>
        <v>3091</v>
      </c>
      <c r="F255" s="829"/>
    </row>
    <row r="256" spans="1:6">
      <c r="A256" s="2266">
        <f t="shared" si="1"/>
        <v>2013.07</v>
      </c>
      <c r="B256" s="215">
        <v>1457</v>
      </c>
      <c r="C256" s="1398">
        <v>1715</v>
      </c>
      <c r="D256" s="2365">
        <f t="shared" si="2"/>
        <v>3172</v>
      </c>
      <c r="F256" s="829"/>
    </row>
    <row r="257" spans="1:6">
      <c r="A257" s="2266">
        <f t="shared" si="1"/>
        <v>2013.08</v>
      </c>
      <c r="B257" s="215">
        <v>1554</v>
      </c>
      <c r="C257" s="1398">
        <v>1767</v>
      </c>
      <c r="D257" s="2365">
        <f t="shared" si="2"/>
        <v>3321</v>
      </c>
      <c r="F257" s="829"/>
    </row>
    <row r="258" spans="1:6">
      <c r="A258" s="2266">
        <f t="shared" si="1"/>
        <v>2013.09</v>
      </c>
      <c r="B258" s="215">
        <v>1468</v>
      </c>
      <c r="C258" s="1398">
        <v>1748</v>
      </c>
      <c r="D258" s="2365">
        <f t="shared" si="2"/>
        <v>3216</v>
      </c>
      <c r="F258" s="829"/>
    </row>
    <row r="259" spans="1:6">
      <c r="A259" s="2266">
        <f t="shared" si="1"/>
        <v>2013.1</v>
      </c>
      <c r="B259" s="215">
        <v>1542</v>
      </c>
      <c r="C259" s="1398">
        <v>1803</v>
      </c>
      <c r="D259" s="2365">
        <f t="shared" si="2"/>
        <v>3345</v>
      </c>
      <c r="F259" s="829"/>
    </row>
    <row r="260" spans="1:6">
      <c r="A260" s="2266">
        <f t="shared" si="1"/>
        <v>2013.11</v>
      </c>
      <c r="B260" s="215">
        <v>1438</v>
      </c>
      <c r="C260" s="1398">
        <v>1784</v>
      </c>
      <c r="D260" s="2365">
        <f t="shared" si="2"/>
        <v>3222</v>
      </c>
      <c r="F260" s="829"/>
    </row>
    <row r="261" spans="1:6">
      <c r="A261" s="2266">
        <f t="shared" si="1"/>
        <v>2013.12</v>
      </c>
      <c r="B261" s="215">
        <v>1866</v>
      </c>
      <c r="C261" s="1398">
        <v>1955</v>
      </c>
      <c r="D261" s="2365">
        <f t="shared" si="2"/>
        <v>3821</v>
      </c>
      <c r="F261" s="829"/>
    </row>
    <row r="262" spans="1:6">
      <c r="A262" s="2266">
        <f t="shared" si="1"/>
        <v>2014.01</v>
      </c>
      <c r="B262" s="215">
        <v>941</v>
      </c>
      <c r="C262" s="1398">
        <v>1567</v>
      </c>
      <c r="D262" s="2365">
        <f t="shared" si="2"/>
        <v>2508</v>
      </c>
      <c r="F262" s="829"/>
    </row>
    <row r="263" spans="1:6">
      <c r="A263" s="2266">
        <f t="shared" si="1"/>
        <v>2014.02</v>
      </c>
      <c r="B263" s="215">
        <v>1029</v>
      </c>
      <c r="C263" s="1398">
        <v>1120</v>
      </c>
      <c r="D263" s="2365">
        <f t="shared" si="2"/>
        <v>2149</v>
      </c>
      <c r="F263" s="829"/>
    </row>
    <row r="264" spans="1:6">
      <c r="A264" s="2266">
        <f t="shared" si="1"/>
        <v>2014.03</v>
      </c>
      <c r="B264" s="215">
        <v>1262</v>
      </c>
      <c r="C264" s="1398">
        <v>1369</v>
      </c>
      <c r="D264" s="2365">
        <f t="shared" si="2"/>
        <v>2631</v>
      </c>
      <c r="F264" s="829"/>
    </row>
    <row r="265" spans="1:6">
      <c r="A265" s="2266">
        <f t="shared" si="1"/>
        <v>2014.04</v>
      </c>
      <c r="B265" s="215">
        <v>1285</v>
      </c>
      <c r="C265" s="1398">
        <v>1514</v>
      </c>
      <c r="D265" s="2365">
        <f t="shared" si="2"/>
        <v>2799</v>
      </c>
      <c r="F265" s="829"/>
    </row>
    <row r="266" spans="1:6">
      <c r="A266" s="2266">
        <f t="shared" ref="A266:A329" si="3">A254+1</f>
        <v>2014.05</v>
      </c>
      <c r="B266" s="215">
        <v>1176</v>
      </c>
      <c r="C266" s="1398">
        <v>1363</v>
      </c>
      <c r="D266" s="2365">
        <f t="shared" si="2"/>
        <v>2539</v>
      </c>
      <c r="F266" s="829"/>
    </row>
    <row r="267" spans="1:6">
      <c r="A267" s="2266">
        <f t="shared" si="3"/>
        <v>2014.06</v>
      </c>
      <c r="B267" s="215">
        <v>1254</v>
      </c>
      <c r="C267" s="1398">
        <v>1541</v>
      </c>
      <c r="D267" s="2365">
        <f t="shared" si="2"/>
        <v>2795</v>
      </c>
      <c r="F267" s="829"/>
    </row>
    <row r="268" spans="1:6">
      <c r="A268" s="2266">
        <f t="shared" si="3"/>
        <v>2014.07</v>
      </c>
      <c r="B268" s="215">
        <v>1505</v>
      </c>
      <c r="C268" s="1398">
        <v>1833</v>
      </c>
      <c r="D268" s="2365">
        <f t="shared" si="2"/>
        <v>3338</v>
      </c>
      <c r="F268" s="829"/>
    </row>
    <row r="269" spans="1:6">
      <c r="A269" s="2266">
        <f t="shared" si="3"/>
        <v>2014.08</v>
      </c>
      <c r="B269" s="215">
        <v>1488</v>
      </c>
      <c r="C269" s="1398">
        <v>1630</v>
      </c>
      <c r="D269" s="2365">
        <f t="shared" si="2"/>
        <v>3118</v>
      </c>
      <c r="F269" s="829"/>
    </row>
    <row r="270" spans="1:6">
      <c r="A270" s="2266">
        <f t="shared" si="3"/>
        <v>2014.09</v>
      </c>
      <c r="B270" s="215">
        <v>1423</v>
      </c>
      <c r="C270" s="1398">
        <v>1532</v>
      </c>
      <c r="D270" s="2365">
        <f t="shared" ref="D270:D333" si="4">B270+C270</f>
        <v>2955</v>
      </c>
      <c r="F270" s="829"/>
    </row>
    <row r="271" spans="1:6">
      <c r="A271" s="2266">
        <f t="shared" si="3"/>
        <v>2014.1</v>
      </c>
      <c r="B271" s="215">
        <v>1640</v>
      </c>
      <c r="C271" s="1398">
        <v>1679</v>
      </c>
      <c r="D271" s="2365">
        <f t="shared" si="4"/>
        <v>3319</v>
      </c>
      <c r="F271" s="829"/>
    </row>
    <row r="272" spans="1:6">
      <c r="A272" s="2266">
        <f t="shared" si="3"/>
        <v>2014.11</v>
      </c>
      <c r="B272" s="215">
        <v>1255</v>
      </c>
      <c r="C272" s="1398">
        <v>1545</v>
      </c>
      <c r="D272" s="2365">
        <f t="shared" si="4"/>
        <v>2800</v>
      </c>
      <c r="F272" s="829"/>
    </row>
    <row r="273" spans="1:6">
      <c r="A273" s="2266">
        <f t="shared" si="3"/>
        <v>2014.12</v>
      </c>
      <c r="B273" s="215">
        <v>1556</v>
      </c>
      <c r="C273" s="1398">
        <v>1530</v>
      </c>
      <c r="D273" s="2365">
        <f t="shared" si="4"/>
        <v>3086</v>
      </c>
      <c r="F273" s="829"/>
    </row>
    <row r="274" spans="1:6">
      <c r="A274" s="2266">
        <f t="shared" si="3"/>
        <v>2015.01</v>
      </c>
      <c r="B274" s="215">
        <v>769</v>
      </c>
      <c r="C274" s="1398">
        <v>1322</v>
      </c>
      <c r="D274" s="2365">
        <f t="shared" si="4"/>
        <v>2091</v>
      </c>
      <c r="F274" s="829"/>
    </row>
    <row r="275" spans="1:6">
      <c r="A275" s="2266">
        <f t="shared" si="3"/>
        <v>2015.02</v>
      </c>
      <c r="B275" s="215">
        <v>808</v>
      </c>
      <c r="C275" s="1398">
        <v>1055</v>
      </c>
      <c r="D275" s="2365">
        <f t="shared" si="4"/>
        <v>1863</v>
      </c>
      <c r="F275" s="829"/>
    </row>
    <row r="276" spans="1:6">
      <c r="A276" s="2266">
        <f t="shared" si="3"/>
        <v>2015.03</v>
      </c>
      <c r="B276" s="215">
        <v>1212</v>
      </c>
      <c r="C276" s="1398">
        <v>1030</v>
      </c>
      <c r="D276" s="2365">
        <f t="shared" si="4"/>
        <v>2242</v>
      </c>
      <c r="F276" s="829"/>
    </row>
    <row r="277" spans="1:6">
      <c r="A277" s="2266">
        <f t="shared" si="3"/>
        <v>2015.04</v>
      </c>
      <c r="B277" s="215">
        <v>1275</v>
      </c>
      <c r="C277" s="1398">
        <v>1277</v>
      </c>
      <c r="D277" s="2365">
        <f t="shared" si="4"/>
        <v>2552</v>
      </c>
      <c r="F277" s="829"/>
    </row>
    <row r="278" spans="1:6">
      <c r="A278" s="2266">
        <f t="shared" si="3"/>
        <v>2015.05</v>
      </c>
      <c r="B278" s="215">
        <v>1168</v>
      </c>
      <c r="C278" s="1398">
        <v>1457</v>
      </c>
      <c r="D278" s="2365">
        <f t="shared" si="4"/>
        <v>2625</v>
      </c>
      <c r="F278" s="829"/>
    </row>
    <row r="279" spans="1:6">
      <c r="A279" s="2266">
        <f t="shared" si="3"/>
        <v>2015.06</v>
      </c>
      <c r="B279" s="215">
        <v>1320</v>
      </c>
      <c r="C279" s="1398">
        <v>1313</v>
      </c>
      <c r="D279" s="2365">
        <f t="shared" si="4"/>
        <v>2633</v>
      </c>
      <c r="F279" s="829"/>
    </row>
    <row r="280" spans="1:6">
      <c r="A280" s="2266">
        <f t="shared" si="3"/>
        <v>2015.07</v>
      </c>
      <c r="B280" s="215">
        <v>1487</v>
      </c>
      <c r="C280" s="1398">
        <v>1151</v>
      </c>
      <c r="D280" s="2365">
        <f t="shared" si="4"/>
        <v>2638</v>
      </c>
      <c r="F280" s="829"/>
    </row>
    <row r="281" spans="1:6">
      <c r="A281" s="2266">
        <f t="shared" si="3"/>
        <v>2015.08</v>
      </c>
      <c r="B281" s="215">
        <v>1159</v>
      </c>
      <c r="C281" s="1398">
        <v>1499</v>
      </c>
      <c r="D281" s="2365">
        <f t="shared" si="4"/>
        <v>2658</v>
      </c>
      <c r="F281" s="829"/>
    </row>
    <row r="282" spans="1:6">
      <c r="A282" s="2266">
        <f t="shared" si="3"/>
        <v>2015.09</v>
      </c>
      <c r="B282" s="215">
        <v>1301</v>
      </c>
      <c r="C282" s="1398">
        <v>1400</v>
      </c>
      <c r="D282" s="2365">
        <f t="shared" si="4"/>
        <v>2701</v>
      </c>
      <c r="F282" s="829"/>
    </row>
    <row r="283" spans="1:6">
      <c r="A283" s="2266">
        <f t="shared" si="3"/>
        <v>2015.1</v>
      </c>
      <c r="B283" s="215">
        <v>1300</v>
      </c>
      <c r="C283" s="1398">
        <v>1184</v>
      </c>
      <c r="D283" s="2365">
        <f t="shared" si="4"/>
        <v>2484</v>
      </c>
      <c r="F283" s="829"/>
    </row>
    <row r="284" spans="1:6">
      <c r="A284" s="2266">
        <f t="shared" si="3"/>
        <v>2015.11</v>
      </c>
      <c r="B284" s="215">
        <v>1276</v>
      </c>
      <c r="C284" s="1398">
        <v>1593</v>
      </c>
      <c r="D284" s="2365">
        <f t="shared" si="4"/>
        <v>2869</v>
      </c>
      <c r="F284" s="829"/>
    </row>
    <row r="285" spans="1:6">
      <c r="A285" s="2266">
        <f t="shared" si="3"/>
        <v>2015.12</v>
      </c>
      <c r="B285" s="215">
        <v>1475</v>
      </c>
      <c r="C285" s="1398">
        <v>1362</v>
      </c>
      <c r="D285" s="2365">
        <f t="shared" si="4"/>
        <v>2837</v>
      </c>
      <c r="F285" s="829"/>
    </row>
    <row r="286" spans="1:6">
      <c r="A286" s="2266">
        <f t="shared" si="3"/>
        <v>2016.01</v>
      </c>
      <c r="B286" s="215">
        <v>609</v>
      </c>
      <c r="C286" s="1398">
        <v>968</v>
      </c>
      <c r="D286" s="2365">
        <f t="shared" si="4"/>
        <v>1577</v>
      </c>
      <c r="F286" s="829"/>
    </row>
    <row r="287" spans="1:6">
      <c r="A287" s="2266">
        <f t="shared" si="3"/>
        <v>2016.02</v>
      </c>
      <c r="B287" s="215">
        <v>806</v>
      </c>
      <c r="C287" s="1398">
        <v>726</v>
      </c>
      <c r="D287" s="2365">
        <f t="shared" si="4"/>
        <v>1532</v>
      </c>
      <c r="F287" s="829"/>
    </row>
    <row r="288" spans="1:6">
      <c r="A288" s="2266">
        <f t="shared" si="3"/>
        <v>2016.03</v>
      </c>
      <c r="B288" s="215">
        <v>1089</v>
      </c>
      <c r="C288" s="1398">
        <v>1075</v>
      </c>
      <c r="D288" s="2365">
        <f t="shared" si="4"/>
        <v>2164</v>
      </c>
      <c r="F288" s="829"/>
    </row>
    <row r="289" spans="1:6">
      <c r="A289" s="2266">
        <f t="shared" si="3"/>
        <v>2016.04</v>
      </c>
      <c r="B289" s="215">
        <v>1054</v>
      </c>
      <c r="C289" s="1398">
        <v>1185</v>
      </c>
      <c r="D289" s="2365">
        <f t="shared" si="4"/>
        <v>2239</v>
      </c>
      <c r="F289" s="829"/>
    </row>
    <row r="290" spans="1:6">
      <c r="A290" s="2266">
        <f t="shared" si="3"/>
        <v>2016.05</v>
      </c>
      <c r="B290" s="215">
        <v>1041</v>
      </c>
      <c r="C290" s="1398">
        <v>1136</v>
      </c>
      <c r="D290" s="2365">
        <f t="shared" si="4"/>
        <v>2177</v>
      </c>
      <c r="F290" s="829"/>
    </row>
    <row r="291" spans="1:6">
      <c r="A291" s="2266">
        <f t="shared" si="3"/>
        <v>2016.06</v>
      </c>
      <c r="B291" s="215">
        <v>872</v>
      </c>
      <c r="C291" s="1398">
        <v>1312</v>
      </c>
      <c r="D291" s="2365">
        <f t="shared" si="4"/>
        <v>2184</v>
      </c>
      <c r="F291" s="829"/>
    </row>
    <row r="292" spans="1:6">
      <c r="A292" s="2266">
        <f t="shared" si="3"/>
        <v>2016.07</v>
      </c>
      <c r="B292" s="215">
        <v>886</v>
      </c>
      <c r="C292" s="1398">
        <v>924</v>
      </c>
      <c r="D292" s="2365">
        <f t="shared" si="4"/>
        <v>1810</v>
      </c>
      <c r="F292" s="829"/>
    </row>
    <row r="293" spans="1:6">
      <c r="A293" s="2266">
        <f t="shared" si="3"/>
        <v>2016.08</v>
      </c>
      <c r="B293" s="215">
        <v>1110</v>
      </c>
      <c r="C293" s="1398">
        <v>1241</v>
      </c>
      <c r="D293" s="2365">
        <f t="shared" si="4"/>
        <v>2351</v>
      </c>
      <c r="F293" s="829"/>
    </row>
    <row r="294" spans="1:6">
      <c r="A294" s="2266">
        <f t="shared" si="3"/>
        <v>2016.09</v>
      </c>
      <c r="B294" s="215">
        <v>1045</v>
      </c>
      <c r="C294" s="1398">
        <v>1398</v>
      </c>
      <c r="D294" s="2365">
        <f t="shared" si="4"/>
        <v>2443</v>
      </c>
      <c r="F294" s="829"/>
    </row>
    <row r="295" spans="1:6">
      <c r="A295" s="2266">
        <f t="shared" si="3"/>
        <v>2016.1</v>
      </c>
      <c r="B295" s="215">
        <v>1029</v>
      </c>
      <c r="C295" s="1398">
        <v>1442</v>
      </c>
      <c r="D295" s="2365">
        <f t="shared" si="4"/>
        <v>2471</v>
      </c>
      <c r="F295" s="829"/>
    </row>
    <row r="296" spans="1:6">
      <c r="A296" s="2266">
        <f t="shared" si="3"/>
        <v>2016.11</v>
      </c>
      <c r="B296" s="215">
        <v>1054</v>
      </c>
      <c r="C296" s="1398">
        <v>1414</v>
      </c>
      <c r="D296" s="2365">
        <f t="shared" si="4"/>
        <v>2468</v>
      </c>
      <c r="F296" s="829"/>
    </row>
    <row r="297" spans="1:6">
      <c r="A297" s="2266">
        <f t="shared" si="3"/>
        <v>2016.12</v>
      </c>
      <c r="B297" s="215">
        <v>1280</v>
      </c>
      <c r="C297" s="1398">
        <v>1515</v>
      </c>
      <c r="D297" s="2365">
        <f t="shared" si="4"/>
        <v>2795</v>
      </c>
      <c r="F297" s="829"/>
    </row>
    <row r="298" spans="1:6">
      <c r="A298" s="2266">
        <f t="shared" si="3"/>
        <v>2017.01</v>
      </c>
      <c r="B298" s="215">
        <v>645</v>
      </c>
      <c r="C298" s="1398">
        <v>1260</v>
      </c>
      <c r="D298" s="2365">
        <f t="shared" si="4"/>
        <v>1905</v>
      </c>
      <c r="F298" s="829"/>
    </row>
    <row r="299" spans="1:6">
      <c r="A299" s="2266">
        <f t="shared" si="3"/>
        <v>2017.02</v>
      </c>
      <c r="B299" s="215">
        <v>779</v>
      </c>
      <c r="C299" s="1398">
        <v>887</v>
      </c>
      <c r="D299" s="2365">
        <f t="shared" si="4"/>
        <v>1666</v>
      </c>
      <c r="F299" s="829"/>
    </row>
    <row r="300" spans="1:6">
      <c r="A300" s="2266">
        <f t="shared" si="3"/>
        <v>2017.03</v>
      </c>
      <c r="B300" s="215">
        <v>1025</v>
      </c>
      <c r="C300" s="1398">
        <v>1278</v>
      </c>
      <c r="D300" s="2365">
        <f t="shared" si="4"/>
        <v>2303</v>
      </c>
      <c r="F300" s="829"/>
    </row>
    <row r="301" spans="1:6">
      <c r="A301" s="2266">
        <f t="shared" si="3"/>
        <v>2017.04</v>
      </c>
      <c r="B301" s="215">
        <v>1013</v>
      </c>
      <c r="C301" s="1398">
        <v>987</v>
      </c>
      <c r="D301" s="2365">
        <f t="shared" si="4"/>
        <v>2000</v>
      </c>
      <c r="F301" s="829"/>
    </row>
    <row r="302" spans="1:6">
      <c r="A302" s="2266">
        <f t="shared" si="3"/>
        <v>2017.05</v>
      </c>
      <c r="B302" s="215">
        <v>1130</v>
      </c>
      <c r="C302" s="1398">
        <v>1307</v>
      </c>
      <c r="D302" s="2365">
        <f t="shared" si="4"/>
        <v>2437</v>
      </c>
      <c r="F302" s="829"/>
    </row>
    <row r="303" spans="1:6">
      <c r="A303" s="2266">
        <f t="shared" si="3"/>
        <v>2017.06</v>
      </c>
      <c r="B303" s="215">
        <v>1212</v>
      </c>
      <c r="C303" s="1398">
        <v>1700</v>
      </c>
      <c r="D303" s="2365">
        <f t="shared" si="4"/>
        <v>2912</v>
      </c>
      <c r="F303" s="829"/>
    </row>
    <row r="304" spans="1:6">
      <c r="A304" s="2266">
        <f t="shared" si="3"/>
        <v>2017.07</v>
      </c>
      <c r="B304" s="215">
        <v>1125</v>
      </c>
      <c r="C304" s="1398">
        <v>1418</v>
      </c>
      <c r="D304" s="2365">
        <f t="shared" si="4"/>
        <v>2543</v>
      </c>
      <c r="F304" s="829"/>
    </row>
    <row r="305" spans="1:6">
      <c r="A305" s="2266">
        <f t="shared" si="3"/>
        <v>2017.08</v>
      </c>
      <c r="B305" s="215">
        <v>1350</v>
      </c>
      <c r="C305" s="1398">
        <v>858</v>
      </c>
      <c r="D305" s="2365">
        <f t="shared" si="4"/>
        <v>2208</v>
      </c>
      <c r="F305" s="829"/>
    </row>
    <row r="306" spans="1:6">
      <c r="A306" s="2266">
        <f t="shared" si="3"/>
        <v>2017.09</v>
      </c>
      <c r="B306" s="215">
        <v>1364</v>
      </c>
      <c r="C306" s="1398">
        <v>1736</v>
      </c>
      <c r="D306" s="2365">
        <f t="shared" si="4"/>
        <v>3100</v>
      </c>
      <c r="F306" s="829"/>
    </row>
    <row r="307" spans="1:6">
      <c r="A307" s="2266">
        <f t="shared" si="3"/>
        <v>2017.1</v>
      </c>
      <c r="B307" s="215">
        <v>1324</v>
      </c>
      <c r="C307" s="1398">
        <v>1390</v>
      </c>
      <c r="D307" s="2365">
        <f t="shared" si="4"/>
        <v>2714</v>
      </c>
      <c r="F307" s="829"/>
    </row>
    <row r="308" spans="1:6">
      <c r="A308" s="2266">
        <f t="shared" si="3"/>
        <v>2017.11</v>
      </c>
      <c r="B308" s="215">
        <v>1340</v>
      </c>
      <c r="C308" s="1398">
        <v>1855</v>
      </c>
      <c r="D308" s="2365">
        <f t="shared" si="4"/>
        <v>3195</v>
      </c>
      <c r="F308" s="829"/>
    </row>
    <row r="309" spans="1:6">
      <c r="A309" s="2266">
        <f t="shared" si="3"/>
        <v>2017.12</v>
      </c>
      <c r="B309" s="215">
        <v>1567</v>
      </c>
      <c r="C309" s="1398">
        <v>1562</v>
      </c>
      <c r="D309" s="2365">
        <f t="shared" si="4"/>
        <v>3129</v>
      </c>
      <c r="F309" s="829"/>
    </row>
    <row r="310" spans="1:6">
      <c r="A310" s="2266">
        <f t="shared" si="3"/>
        <v>2018.01</v>
      </c>
      <c r="B310" s="215">
        <v>864</v>
      </c>
      <c r="C310" s="1398">
        <v>1306</v>
      </c>
      <c r="D310" s="2365">
        <f t="shared" si="4"/>
        <v>2170</v>
      </c>
      <c r="F310" s="829"/>
    </row>
    <row r="311" spans="1:6">
      <c r="A311" s="2266">
        <f t="shared" si="3"/>
        <v>2018.02</v>
      </c>
      <c r="B311" s="215">
        <v>852</v>
      </c>
      <c r="C311" s="1398">
        <v>1255</v>
      </c>
      <c r="D311" s="2365">
        <f t="shared" si="4"/>
        <v>2107</v>
      </c>
      <c r="F311" s="829"/>
    </row>
    <row r="312" spans="1:6">
      <c r="A312" s="2266">
        <f t="shared" si="3"/>
        <v>2018.03</v>
      </c>
      <c r="B312" s="215">
        <v>1234</v>
      </c>
      <c r="C312" s="1398">
        <v>1489</v>
      </c>
      <c r="D312" s="2365">
        <f t="shared" si="4"/>
        <v>2723</v>
      </c>
      <c r="F312" s="829"/>
    </row>
    <row r="313" spans="1:6">
      <c r="A313" s="2266">
        <f t="shared" si="3"/>
        <v>2018.04</v>
      </c>
      <c r="B313" s="215">
        <v>1296</v>
      </c>
      <c r="C313" s="1398">
        <v>1587</v>
      </c>
      <c r="D313" s="2365">
        <f t="shared" si="4"/>
        <v>2883</v>
      </c>
      <c r="F313" s="829"/>
    </row>
    <row r="314" spans="1:6">
      <c r="A314" s="2266">
        <f t="shared" si="3"/>
        <v>2018.05</v>
      </c>
      <c r="B314" s="215">
        <v>1305</v>
      </c>
      <c r="C314" s="1398">
        <v>1666</v>
      </c>
      <c r="D314" s="2365">
        <f t="shared" si="4"/>
        <v>2971</v>
      </c>
      <c r="F314" s="829"/>
    </row>
    <row r="315" spans="1:6">
      <c r="A315" s="2266">
        <f t="shared" si="3"/>
        <v>2018.06</v>
      </c>
      <c r="B315" s="215">
        <v>1233</v>
      </c>
      <c r="C315" s="1398">
        <v>1865</v>
      </c>
      <c r="D315" s="2365">
        <f t="shared" si="4"/>
        <v>3098</v>
      </c>
      <c r="F315" s="829"/>
    </row>
    <row r="316" spans="1:6">
      <c r="A316" s="2266">
        <f t="shared" si="3"/>
        <v>2018.07</v>
      </c>
      <c r="B316" s="215">
        <v>955</v>
      </c>
      <c r="C316" s="1398">
        <v>1383</v>
      </c>
      <c r="D316" s="2365">
        <f t="shared" si="4"/>
        <v>2338</v>
      </c>
      <c r="F316" s="829"/>
    </row>
    <row r="317" spans="1:6">
      <c r="A317" s="2266">
        <f t="shared" si="3"/>
        <v>2018.08</v>
      </c>
      <c r="B317" s="215">
        <v>1161</v>
      </c>
      <c r="C317" s="1398">
        <v>1307</v>
      </c>
      <c r="D317" s="2365">
        <f t="shared" si="4"/>
        <v>2468</v>
      </c>
      <c r="F317" s="829"/>
    </row>
    <row r="318" spans="1:6">
      <c r="A318" s="2266">
        <f t="shared" si="3"/>
        <v>2018.09</v>
      </c>
      <c r="B318" s="215">
        <v>1114</v>
      </c>
      <c r="C318" s="1398">
        <v>1099</v>
      </c>
      <c r="D318" s="2365">
        <f t="shared" si="4"/>
        <v>2213</v>
      </c>
      <c r="F318" s="829"/>
    </row>
    <row r="319" spans="1:6">
      <c r="A319" s="2266">
        <f t="shared" si="3"/>
        <v>2018.1</v>
      </c>
      <c r="B319" s="215">
        <v>1138</v>
      </c>
      <c r="C319" s="1398">
        <v>1011</v>
      </c>
      <c r="D319" s="2365">
        <f t="shared" si="4"/>
        <v>2149</v>
      </c>
      <c r="F319" s="829"/>
    </row>
    <row r="320" spans="1:6">
      <c r="A320" s="2266">
        <f t="shared" si="3"/>
        <v>2018.11</v>
      </c>
      <c r="B320" s="215">
        <v>1086</v>
      </c>
      <c r="C320" s="1398">
        <v>1536</v>
      </c>
      <c r="D320" s="2365">
        <f t="shared" si="4"/>
        <v>2622</v>
      </c>
      <c r="F320" s="829"/>
    </row>
    <row r="321" spans="1:6">
      <c r="A321" s="2266">
        <f t="shared" si="3"/>
        <v>2018.12</v>
      </c>
      <c r="B321" s="215">
        <v>1204</v>
      </c>
      <c r="C321" s="1398">
        <v>1472</v>
      </c>
      <c r="D321" s="2365">
        <f t="shared" si="4"/>
        <v>2676</v>
      </c>
      <c r="F321" s="829"/>
    </row>
    <row r="322" spans="1:6">
      <c r="A322" s="2266">
        <f t="shared" si="3"/>
        <v>2019.01</v>
      </c>
      <c r="B322" s="215">
        <v>549</v>
      </c>
      <c r="C322" s="1398">
        <v>1166</v>
      </c>
      <c r="D322" s="2365">
        <f t="shared" si="4"/>
        <v>1715</v>
      </c>
      <c r="F322" s="829"/>
    </row>
    <row r="323" spans="1:6">
      <c r="A323" s="2266">
        <f t="shared" si="3"/>
        <v>2019.02</v>
      </c>
      <c r="B323" s="215">
        <v>558</v>
      </c>
      <c r="C323" s="1398">
        <v>1017</v>
      </c>
      <c r="D323" s="2365">
        <f t="shared" si="4"/>
        <v>1575</v>
      </c>
      <c r="F323" s="829"/>
    </row>
    <row r="324" spans="1:6">
      <c r="A324" s="2266">
        <f t="shared" si="3"/>
        <v>2019.03</v>
      </c>
      <c r="B324" s="215">
        <v>859</v>
      </c>
      <c r="C324" s="1398">
        <v>1041</v>
      </c>
      <c r="D324" s="2365">
        <f t="shared" si="4"/>
        <v>1900</v>
      </c>
      <c r="F324" s="829"/>
    </row>
    <row r="325" spans="1:6">
      <c r="A325" s="2266">
        <f t="shared" si="3"/>
        <v>2019.04</v>
      </c>
      <c r="B325" s="215">
        <v>1067</v>
      </c>
      <c r="C325" s="1398">
        <v>1216</v>
      </c>
      <c r="D325" s="2365">
        <f t="shared" si="4"/>
        <v>2283</v>
      </c>
      <c r="F325" s="829"/>
    </row>
    <row r="326" spans="1:6">
      <c r="A326" s="2266">
        <f t="shared" si="3"/>
        <v>2019.05</v>
      </c>
      <c r="B326" s="215">
        <v>1058</v>
      </c>
      <c r="C326" s="1398">
        <v>1179</v>
      </c>
      <c r="D326" s="2365">
        <f t="shared" si="4"/>
        <v>2237</v>
      </c>
      <c r="F326" s="829"/>
    </row>
    <row r="327" spans="1:6">
      <c r="A327" s="2266">
        <f t="shared" si="3"/>
        <v>2019.06</v>
      </c>
      <c r="B327" s="215">
        <v>939</v>
      </c>
      <c r="C327" s="1398">
        <v>1242</v>
      </c>
      <c r="D327" s="2365">
        <f t="shared" si="4"/>
        <v>2181</v>
      </c>
      <c r="F327" s="829"/>
    </row>
    <row r="328" spans="1:6">
      <c r="A328" s="2266">
        <f t="shared" si="3"/>
        <v>2019.07</v>
      </c>
      <c r="B328" s="215">
        <v>899</v>
      </c>
      <c r="C328" s="1398">
        <v>1037</v>
      </c>
      <c r="D328" s="2365">
        <f t="shared" si="4"/>
        <v>1936</v>
      </c>
      <c r="F328" s="829"/>
    </row>
    <row r="329" spans="1:6">
      <c r="A329" s="2266">
        <f t="shared" si="3"/>
        <v>2019.08</v>
      </c>
      <c r="B329" s="215">
        <v>957</v>
      </c>
      <c r="C329" s="1398">
        <v>1266</v>
      </c>
      <c r="D329" s="2365">
        <f t="shared" si="4"/>
        <v>2223</v>
      </c>
      <c r="F329" s="829"/>
    </row>
    <row r="330" spans="1:6">
      <c r="A330" s="2266">
        <f t="shared" ref="A330:A393" si="5">A318+1</f>
        <v>2019.09</v>
      </c>
      <c r="B330" s="215">
        <v>931</v>
      </c>
      <c r="C330" s="1398">
        <v>1137</v>
      </c>
      <c r="D330" s="2365">
        <f t="shared" si="4"/>
        <v>2068</v>
      </c>
      <c r="F330" s="829"/>
    </row>
    <row r="331" spans="1:6">
      <c r="A331" s="2266">
        <f t="shared" si="5"/>
        <v>2019.1</v>
      </c>
      <c r="B331" s="215">
        <v>978</v>
      </c>
      <c r="C331" s="1398">
        <v>923</v>
      </c>
      <c r="D331" s="2365">
        <f t="shared" si="4"/>
        <v>1901</v>
      </c>
      <c r="F331" s="829"/>
    </row>
    <row r="332" spans="1:6">
      <c r="A332" s="2266">
        <f t="shared" si="5"/>
        <v>2019.11</v>
      </c>
      <c r="B332" s="215">
        <v>1021</v>
      </c>
      <c r="C332" s="1398">
        <v>678</v>
      </c>
      <c r="D332" s="2365">
        <f t="shared" si="4"/>
        <v>1699</v>
      </c>
      <c r="F332" s="829"/>
    </row>
    <row r="333" spans="1:6">
      <c r="A333" s="2266">
        <f t="shared" si="5"/>
        <v>2019.12</v>
      </c>
      <c r="B333" s="215">
        <v>1149</v>
      </c>
      <c r="C333" s="1398">
        <v>1118</v>
      </c>
      <c r="D333" s="2365">
        <f t="shared" si="4"/>
        <v>2267</v>
      </c>
      <c r="F333" s="829"/>
    </row>
    <row r="334" spans="1:6">
      <c r="A334" s="2266">
        <f t="shared" si="5"/>
        <v>2020.01</v>
      </c>
      <c r="B334" s="215">
        <v>506</v>
      </c>
      <c r="C334" s="1398">
        <v>1162</v>
      </c>
      <c r="D334" s="2365">
        <f t="shared" ref="D334:D397" si="6">B334+C334</f>
        <v>1668</v>
      </c>
      <c r="F334" s="834"/>
    </row>
    <row r="335" spans="1:6">
      <c r="A335" s="2266">
        <f t="shared" si="5"/>
        <v>2020.02</v>
      </c>
      <c r="B335" s="215">
        <v>683</v>
      </c>
      <c r="C335" s="1398">
        <v>799</v>
      </c>
      <c r="D335" s="2365">
        <f t="shared" si="6"/>
        <v>1482</v>
      </c>
      <c r="F335" s="834"/>
    </row>
    <row r="336" spans="1:6">
      <c r="A336" s="2266">
        <f t="shared" si="5"/>
        <v>2020.03</v>
      </c>
      <c r="B336" s="215">
        <v>604</v>
      </c>
      <c r="C336" s="1398">
        <v>844</v>
      </c>
      <c r="D336" s="2365">
        <f t="shared" si="6"/>
        <v>1448</v>
      </c>
      <c r="F336" s="834"/>
    </row>
    <row r="337" spans="1:6">
      <c r="A337" s="2266">
        <f t="shared" si="5"/>
        <v>2020.04</v>
      </c>
      <c r="B337" s="215">
        <v>17</v>
      </c>
      <c r="C337" s="1398">
        <v>201</v>
      </c>
      <c r="D337" s="2365">
        <f t="shared" si="6"/>
        <v>218</v>
      </c>
      <c r="F337" s="834"/>
    </row>
    <row r="338" spans="1:6">
      <c r="A338" s="2266">
        <f t="shared" si="5"/>
        <v>2020.05</v>
      </c>
      <c r="B338" s="215">
        <v>448</v>
      </c>
      <c r="C338" s="1398">
        <v>102</v>
      </c>
      <c r="D338" s="2365">
        <f t="shared" si="6"/>
        <v>550</v>
      </c>
      <c r="F338" s="834"/>
    </row>
    <row r="339" spans="1:6">
      <c r="A339" s="2266">
        <f t="shared" si="5"/>
        <v>2020.06</v>
      </c>
      <c r="B339" s="215">
        <v>823</v>
      </c>
      <c r="C339" s="1398">
        <v>568</v>
      </c>
      <c r="D339" s="2365">
        <f t="shared" si="6"/>
        <v>1391</v>
      </c>
      <c r="F339" s="834"/>
    </row>
    <row r="340" spans="1:6">
      <c r="A340" s="2266">
        <f t="shared" si="5"/>
        <v>2020.07</v>
      </c>
      <c r="B340" s="215">
        <v>1181</v>
      </c>
      <c r="C340" s="1398">
        <v>701</v>
      </c>
      <c r="D340" s="2365">
        <f t="shared" si="6"/>
        <v>1882</v>
      </c>
      <c r="F340" s="834"/>
    </row>
    <row r="341" spans="1:6">
      <c r="A341" s="2266">
        <f t="shared" si="5"/>
        <v>2020.08</v>
      </c>
      <c r="B341" s="215">
        <v>1231</v>
      </c>
      <c r="C341" s="1398">
        <v>1060</v>
      </c>
      <c r="D341" s="2365">
        <f t="shared" si="6"/>
        <v>2291</v>
      </c>
      <c r="F341" s="834"/>
    </row>
    <row r="342" spans="1:6">
      <c r="A342" s="2266">
        <f t="shared" si="5"/>
        <v>2020.09</v>
      </c>
      <c r="B342" s="215">
        <v>1186</v>
      </c>
      <c r="C342" s="1398">
        <v>1184</v>
      </c>
      <c r="D342" s="2365">
        <f t="shared" si="6"/>
        <v>2370</v>
      </c>
      <c r="F342" s="834"/>
    </row>
    <row r="343" spans="1:6">
      <c r="A343" s="2266">
        <f t="shared" si="5"/>
        <v>2020.1</v>
      </c>
      <c r="B343" s="215">
        <v>1265</v>
      </c>
      <c r="C343" s="1398">
        <v>709</v>
      </c>
      <c r="D343" s="2365">
        <f t="shared" si="6"/>
        <v>1974</v>
      </c>
      <c r="F343" s="834"/>
    </row>
    <row r="344" spans="1:6">
      <c r="A344" s="2266">
        <f t="shared" si="5"/>
        <v>2020.11</v>
      </c>
      <c r="B344" s="215">
        <v>1326</v>
      </c>
      <c r="C344" s="1398">
        <v>1236</v>
      </c>
      <c r="D344" s="2365">
        <f t="shared" si="6"/>
        <v>2562</v>
      </c>
      <c r="F344" s="834"/>
    </row>
    <row r="345" spans="1:6">
      <c r="A345" s="2266">
        <f t="shared" si="5"/>
        <v>2020.12</v>
      </c>
      <c r="B345" s="215">
        <v>1512</v>
      </c>
      <c r="C345" s="1398">
        <v>1250</v>
      </c>
      <c r="D345" s="2365">
        <f t="shared" si="6"/>
        <v>2762</v>
      </c>
      <c r="F345" s="834"/>
    </row>
    <row r="346" spans="1:6">
      <c r="A346" s="2266">
        <f t="shared" si="5"/>
        <v>2021.01</v>
      </c>
      <c r="B346" s="215">
        <v>775</v>
      </c>
      <c r="C346" s="1398">
        <v>1336</v>
      </c>
      <c r="D346" s="2365">
        <f t="shared" si="6"/>
        <v>2111</v>
      </c>
    </row>
    <row r="347" spans="1:6">
      <c r="A347" s="2266">
        <f t="shared" si="5"/>
        <v>2021.02</v>
      </c>
      <c r="B347" s="215">
        <v>947</v>
      </c>
      <c r="C347" s="1398">
        <v>891</v>
      </c>
      <c r="D347" s="2365">
        <f t="shared" si="6"/>
        <v>1838</v>
      </c>
    </row>
    <row r="348" spans="1:6">
      <c r="A348" s="2266">
        <f t="shared" si="5"/>
        <v>2021.03</v>
      </c>
      <c r="B348" s="215">
        <v>1432</v>
      </c>
      <c r="C348" s="1398">
        <v>1471</v>
      </c>
      <c r="D348" s="2365">
        <f t="shared" si="6"/>
        <v>2903</v>
      </c>
    </row>
    <row r="349" spans="1:6">
      <c r="A349" s="2266">
        <f t="shared" si="5"/>
        <v>2021.04</v>
      </c>
      <c r="B349" s="215">
        <v>1284</v>
      </c>
      <c r="C349" s="1398">
        <v>1225</v>
      </c>
      <c r="D349" s="2365">
        <f t="shared" si="6"/>
        <v>2509</v>
      </c>
    </row>
    <row r="350" spans="1:6">
      <c r="A350" s="2266">
        <f t="shared" si="5"/>
        <v>2021.05</v>
      </c>
      <c r="B350" s="215">
        <v>994</v>
      </c>
      <c r="C350" s="1398">
        <v>816</v>
      </c>
      <c r="D350" s="2365">
        <f t="shared" si="6"/>
        <v>1810</v>
      </c>
    </row>
    <row r="351" spans="1:6">
      <c r="A351" s="2266">
        <f t="shared" si="5"/>
        <v>2021.06</v>
      </c>
      <c r="B351" s="215">
        <v>1097</v>
      </c>
      <c r="C351" s="1398">
        <v>919</v>
      </c>
      <c r="D351" s="2365">
        <f t="shared" si="6"/>
        <v>2016</v>
      </c>
    </row>
    <row r="352" spans="1:6">
      <c r="A352" s="2266">
        <f t="shared" si="5"/>
        <v>2021.07</v>
      </c>
      <c r="B352" s="215">
        <v>1395</v>
      </c>
      <c r="C352" s="1398">
        <v>1365</v>
      </c>
      <c r="D352" s="2365">
        <f t="shared" si="6"/>
        <v>2760</v>
      </c>
    </row>
    <row r="353" spans="1:4">
      <c r="A353" s="2266">
        <f t="shared" si="5"/>
        <v>2021.08</v>
      </c>
      <c r="B353" s="215">
        <v>1519</v>
      </c>
      <c r="C353" s="1398">
        <v>1062</v>
      </c>
      <c r="D353" s="2365">
        <f t="shared" si="6"/>
        <v>2581</v>
      </c>
    </row>
    <row r="354" spans="1:4">
      <c r="A354" s="2266">
        <f t="shared" si="5"/>
        <v>2021.09</v>
      </c>
      <c r="B354" s="215">
        <v>1497</v>
      </c>
      <c r="C354" s="1398">
        <v>1183</v>
      </c>
      <c r="D354" s="2365">
        <f t="shared" si="6"/>
        <v>2680</v>
      </c>
    </row>
    <row r="355" spans="1:4">
      <c r="A355" s="2266">
        <f t="shared" si="5"/>
        <v>2021.1</v>
      </c>
      <c r="B355" s="215">
        <v>1391</v>
      </c>
      <c r="C355" s="1398">
        <v>1189</v>
      </c>
      <c r="D355" s="2365">
        <f t="shared" si="6"/>
        <v>2580</v>
      </c>
    </row>
    <row r="356" spans="1:4">
      <c r="A356" s="2266">
        <f t="shared" si="5"/>
        <v>2021.11</v>
      </c>
      <c r="B356" s="215">
        <v>1463</v>
      </c>
      <c r="C356" s="1398">
        <v>1195</v>
      </c>
      <c r="D356" s="2365">
        <f t="shared" si="6"/>
        <v>2658</v>
      </c>
    </row>
    <row r="357" spans="1:4">
      <c r="A357" s="2266">
        <f t="shared" si="5"/>
        <v>2021.12</v>
      </c>
      <c r="B357" s="215">
        <v>1291</v>
      </c>
      <c r="C357" s="1398">
        <v>1022</v>
      </c>
      <c r="D357" s="2365">
        <f t="shared" si="6"/>
        <v>2313</v>
      </c>
    </row>
    <row r="358" spans="1:4">
      <c r="A358" s="2266">
        <f t="shared" si="5"/>
        <v>2022.01</v>
      </c>
      <c r="B358" s="215">
        <v>625</v>
      </c>
      <c r="C358" s="1398">
        <v>1075</v>
      </c>
      <c r="D358" s="2365">
        <f t="shared" si="6"/>
        <v>1700</v>
      </c>
    </row>
    <row r="359" spans="1:4">
      <c r="A359" s="2266">
        <f t="shared" si="5"/>
        <v>2022.02</v>
      </c>
      <c r="B359" s="215">
        <v>870</v>
      </c>
      <c r="C359" s="1398">
        <v>789</v>
      </c>
      <c r="D359" s="2365">
        <f t="shared" si="6"/>
        <v>1659</v>
      </c>
    </row>
    <row r="360" spans="1:4">
      <c r="A360" s="2266">
        <f t="shared" si="5"/>
        <v>2022.03</v>
      </c>
      <c r="B360" s="215">
        <v>1142</v>
      </c>
      <c r="C360" s="1398">
        <v>1134</v>
      </c>
      <c r="D360" s="2365">
        <f t="shared" si="6"/>
        <v>2276</v>
      </c>
    </row>
    <row r="361" spans="1:4">
      <c r="A361" s="2266">
        <f t="shared" si="5"/>
        <v>2022.04</v>
      </c>
      <c r="B361" s="215">
        <v>1198</v>
      </c>
      <c r="C361" s="1398">
        <v>1333</v>
      </c>
      <c r="D361" s="2365">
        <f t="shared" si="6"/>
        <v>2531</v>
      </c>
    </row>
    <row r="362" spans="1:4">
      <c r="A362" s="2266">
        <f t="shared" si="5"/>
        <v>2022.05</v>
      </c>
      <c r="B362" s="215">
        <v>1107</v>
      </c>
      <c r="C362" s="1398">
        <v>1149</v>
      </c>
      <c r="D362" s="2365">
        <f t="shared" si="6"/>
        <v>2256</v>
      </c>
    </row>
    <row r="363" spans="1:4">
      <c r="A363" s="2266">
        <f t="shared" si="5"/>
        <v>2022.06</v>
      </c>
      <c r="B363" s="215">
        <v>1098</v>
      </c>
      <c r="C363" s="1398">
        <v>1125</v>
      </c>
      <c r="D363" s="2365">
        <f t="shared" si="6"/>
        <v>2223</v>
      </c>
    </row>
    <row r="364" spans="1:4">
      <c r="A364" s="2266">
        <f t="shared" si="5"/>
        <v>2022.07</v>
      </c>
      <c r="B364" s="215">
        <v>1139</v>
      </c>
      <c r="C364" s="1398">
        <v>1278</v>
      </c>
      <c r="D364" s="2365">
        <f t="shared" si="6"/>
        <v>2417</v>
      </c>
    </row>
    <row r="365" spans="1:4">
      <c r="A365" s="2266">
        <f t="shared" si="5"/>
        <v>2022.08</v>
      </c>
      <c r="B365" s="215">
        <v>1174</v>
      </c>
      <c r="C365" s="1398">
        <v>1167</v>
      </c>
      <c r="D365" s="2365">
        <f t="shared" si="6"/>
        <v>2341</v>
      </c>
    </row>
    <row r="366" spans="1:4">
      <c r="A366" s="2266">
        <f t="shared" si="5"/>
        <v>2022.09</v>
      </c>
      <c r="B366" s="215">
        <v>1221</v>
      </c>
      <c r="C366" s="1398">
        <v>1173</v>
      </c>
      <c r="D366" s="2365">
        <f t="shared" si="6"/>
        <v>2394</v>
      </c>
    </row>
    <row r="367" spans="1:4">
      <c r="A367" s="2266">
        <f t="shared" si="5"/>
        <v>2022.1</v>
      </c>
      <c r="B367" s="215">
        <v>1112</v>
      </c>
      <c r="C367" s="1398">
        <v>1450</v>
      </c>
      <c r="D367" s="2365">
        <f t="shared" si="6"/>
        <v>2562</v>
      </c>
    </row>
    <row r="368" spans="1:4">
      <c r="A368" s="2266">
        <f t="shared" si="5"/>
        <v>2022.11</v>
      </c>
      <c r="B368" s="215">
        <v>1237</v>
      </c>
      <c r="C368" s="1398">
        <v>1282</v>
      </c>
      <c r="D368" s="2365">
        <f t="shared" si="6"/>
        <v>2519</v>
      </c>
    </row>
    <row r="369" spans="1:4">
      <c r="A369" s="2266">
        <f t="shared" si="5"/>
        <v>2022.12</v>
      </c>
      <c r="B369" s="215">
        <v>1301</v>
      </c>
      <c r="C369" s="1398">
        <v>1322</v>
      </c>
      <c r="D369" s="2365">
        <f t="shared" si="6"/>
        <v>2623</v>
      </c>
    </row>
    <row r="370" spans="1:4">
      <c r="A370" s="2266">
        <f t="shared" si="5"/>
        <v>2023.01</v>
      </c>
      <c r="B370" s="215">
        <v>581</v>
      </c>
      <c r="C370" s="1398">
        <v>1232</v>
      </c>
      <c r="D370" s="2365">
        <f t="shared" si="6"/>
        <v>1813</v>
      </c>
    </row>
    <row r="371" spans="1:4">
      <c r="A371" s="2266">
        <f t="shared" si="5"/>
        <v>2023.02</v>
      </c>
      <c r="B371" s="215">
        <v>738</v>
      </c>
      <c r="C371" s="1398">
        <v>903</v>
      </c>
      <c r="D371" s="2365">
        <f t="shared" si="6"/>
        <v>1641</v>
      </c>
    </row>
    <row r="372" spans="1:4">
      <c r="A372" s="2266">
        <f t="shared" si="5"/>
        <v>2023.03</v>
      </c>
      <c r="B372" s="215">
        <v>1048</v>
      </c>
      <c r="C372" s="1398">
        <v>935</v>
      </c>
      <c r="D372" s="2365">
        <f t="shared" si="6"/>
        <v>1983</v>
      </c>
    </row>
    <row r="373" spans="1:4">
      <c r="A373" s="2266">
        <f t="shared" si="5"/>
        <v>2023.04</v>
      </c>
      <c r="B373" s="215">
        <v>904</v>
      </c>
      <c r="C373" s="1398">
        <v>1349</v>
      </c>
      <c r="D373" s="2365">
        <f t="shared" si="6"/>
        <v>2253</v>
      </c>
    </row>
    <row r="374" spans="1:4">
      <c r="A374" s="2266">
        <f t="shared" si="5"/>
        <v>2023.05</v>
      </c>
      <c r="B374" s="215">
        <v>821</v>
      </c>
      <c r="C374" s="1398">
        <v>1054</v>
      </c>
      <c r="D374" s="2365">
        <f t="shared" si="6"/>
        <v>1875</v>
      </c>
    </row>
    <row r="375" spans="1:4">
      <c r="A375" s="2266">
        <f t="shared" si="5"/>
        <v>2023.06</v>
      </c>
      <c r="B375" s="215">
        <v>826</v>
      </c>
      <c r="C375" s="1398">
        <v>1242</v>
      </c>
      <c r="D375" s="2365">
        <f t="shared" si="6"/>
        <v>2068</v>
      </c>
    </row>
    <row r="376" spans="1:4">
      <c r="A376" s="2266">
        <f t="shared" si="5"/>
        <v>2023.07</v>
      </c>
      <c r="B376" s="215">
        <v>991</v>
      </c>
      <c r="C376" s="1398">
        <v>1016</v>
      </c>
      <c r="D376" s="2365">
        <f t="shared" si="6"/>
        <v>2007</v>
      </c>
    </row>
    <row r="377" spans="1:4">
      <c r="A377" s="2266">
        <f t="shared" si="5"/>
        <v>2023.08</v>
      </c>
      <c r="B377" s="215">
        <v>1012</v>
      </c>
      <c r="C377" s="1398">
        <v>1263</v>
      </c>
      <c r="D377" s="2365">
        <f t="shared" si="6"/>
        <v>2275</v>
      </c>
    </row>
    <row r="378" spans="1:4">
      <c r="A378" s="2266">
        <f t="shared" si="5"/>
        <v>2023.09</v>
      </c>
      <c r="B378" s="215">
        <v>1171</v>
      </c>
      <c r="C378" s="1398">
        <v>1252</v>
      </c>
      <c r="D378" s="2365">
        <f t="shared" si="6"/>
        <v>2423</v>
      </c>
    </row>
    <row r="379" spans="1:4">
      <c r="A379" s="2266">
        <f t="shared" si="5"/>
        <v>2023.1</v>
      </c>
      <c r="B379" s="215">
        <v>871</v>
      </c>
      <c r="C379" s="1398">
        <v>1525</v>
      </c>
      <c r="D379" s="2365">
        <f t="shared" si="6"/>
        <v>2396</v>
      </c>
    </row>
    <row r="380" spans="1:4">
      <c r="A380" s="2266">
        <f t="shared" si="5"/>
        <v>2023.11</v>
      </c>
      <c r="B380" s="215">
        <v>979</v>
      </c>
      <c r="C380" s="1398">
        <v>887</v>
      </c>
      <c r="D380" s="2365">
        <f t="shared" si="6"/>
        <v>1866</v>
      </c>
    </row>
    <row r="381" spans="1:4">
      <c r="A381" s="2266">
        <f t="shared" si="5"/>
        <v>2023.12</v>
      </c>
      <c r="B381" s="215">
        <v>1078</v>
      </c>
      <c r="C381" s="1398">
        <v>1326</v>
      </c>
      <c r="D381" s="2365">
        <f t="shared" si="6"/>
        <v>2404</v>
      </c>
    </row>
    <row r="382" spans="1:4">
      <c r="A382" s="2266">
        <f t="shared" si="5"/>
        <v>2024.01</v>
      </c>
      <c r="B382" s="215">
        <v>591</v>
      </c>
      <c r="C382" s="1398">
        <v>965</v>
      </c>
      <c r="D382" s="2365">
        <f t="shared" si="6"/>
        <v>1556</v>
      </c>
    </row>
    <row r="383" spans="1:4">
      <c r="A383" s="2266">
        <f t="shared" si="5"/>
        <v>2024.02</v>
      </c>
      <c r="B383" s="215">
        <v>479</v>
      </c>
      <c r="C383" s="1398">
        <v>929</v>
      </c>
      <c r="D383" s="2365">
        <f t="shared" si="6"/>
        <v>1408</v>
      </c>
    </row>
    <row r="384" spans="1:4">
      <c r="A384" s="2266">
        <f t="shared" si="5"/>
        <v>2024.03</v>
      </c>
      <c r="B384" s="215">
        <v>417</v>
      </c>
      <c r="C384" s="1398">
        <v>346</v>
      </c>
      <c r="D384" s="2365">
        <f t="shared" si="6"/>
        <v>763</v>
      </c>
    </row>
    <row r="385" spans="1:8">
      <c r="A385" s="2266">
        <f t="shared" si="5"/>
        <v>2024.04</v>
      </c>
      <c r="B385" s="215">
        <v>879</v>
      </c>
      <c r="C385" s="1398">
        <v>740</v>
      </c>
      <c r="D385" s="2365">
        <f t="shared" si="6"/>
        <v>1619</v>
      </c>
    </row>
    <row r="386" spans="1:8">
      <c r="A386" s="2266">
        <f t="shared" si="5"/>
        <v>2024.05</v>
      </c>
      <c r="B386" s="215">
        <v>936</v>
      </c>
      <c r="C386" s="1398">
        <v>1276</v>
      </c>
      <c r="D386" s="2365">
        <f t="shared" si="6"/>
        <v>2212</v>
      </c>
    </row>
    <row r="387" spans="1:8">
      <c r="A387" s="2266">
        <f t="shared" si="5"/>
        <v>2024.06</v>
      </c>
      <c r="B387" s="215">
        <v>1011</v>
      </c>
      <c r="C387" s="1398">
        <v>1602</v>
      </c>
      <c r="D387" s="2365">
        <f t="shared" si="6"/>
        <v>2613</v>
      </c>
    </row>
    <row r="388" spans="1:8">
      <c r="A388" s="2266">
        <f t="shared" si="5"/>
        <v>2024.07</v>
      </c>
      <c r="B388" s="215">
        <v>1172</v>
      </c>
      <c r="C388" s="1398">
        <v>961</v>
      </c>
      <c r="D388" s="2365">
        <f t="shared" si="6"/>
        <v>2133</v>
      </c>
    </row>
    <row r="389" spans="1:8">
      <c r="A389" s="2266">
        <f t="shared" si="5"/>
        <v>2024.08</v>
      </c>
      <c r="B389" s="215">
        <v>1098</v>
      </c>
      <c r="C389" s="1398">
        <v>1614</v>
      </c>
      <c r="D389" s="2365">
        <f t="shared" si="6"/>
        <v>2712</v>
      </c>
    </row>
    <row r="390" spans="1:8">
      <c r="A390" s="2266">
        <f t="shared" si="5"/>
        <v>2024.09</v>
      </c>
      <c r="B390" s="215">
        <v>1159</v>
      </c>
      <c r="C390" s="1398">
        <v>1360</v>
      </c>
      <c r="D390" s="2365">
        <f t="shared" si="6"/>
        <v>2519</v>
      </c>
      <c r="E390" s="834"/>
    </row>
    <row r="391" spans="1:8">
      <c r="A391" s="2266">
        <f t="shared" si="5"/>
        <v>2024.1</v>
      </c>
      <c r="B391" s="215">
        <v>1276</v>
      </c>
      <c r="C391" s="1398">
        <v>1820</v>
      </c>
      <c r="D391" s="2365">
        <f t="shared" si="6"/>
        <v>3096</v>
      </c>
    </row>
    <row r="392" spans="1:8">
      <c r="A392" s="2266">
        <f t="shared" si="5"/>
        <v>2024.11</v>
      </c>
      <c r="B392" s="215">
        <v>1042</v>
      </c>
      <c r="C392" s="1398">
        <v>1430</v>
      </c>
      <c r="D392" s="2365">
        <f t="shared" si="6"/>
        <v>2472</v>
      </c>
    </row>
    <row r="393" spans="1:8">
      <c r="A393" s="2266">
        <f t="shared" si="5"/>
        <v>2024.12</v>
      </c>
      <c r="B393" s="215">
        <v>1432</v>
      </c>
      <c r="C393" s="1398">
        <v>1486</v>
      </c>
      <c r="D393" s="2365">
        <f t="shared" si="6"/>
        <v>2918</v>
      </c>
      <c r="E393" s="834"/>
      <c r="F393" s="834"/>
      <c r="H393" s="834"/>
    </row>
    <row r="394" spans="1:8">
      <c r="A394" s="2266">
        <f t="shared" ref="A394:A457" si="7">A382+1</f>
        <v>2025.01</v>
      </c>
      <c r="B394" s="215">
        <v>834</v>
      </c>
      <c r="C394" s="1398">
        <v>1571</v>
      </c>
      <c r="D394" s="2365">
        <f t="shared" si="6"/>
        <v>2405</v>
      </c>
    </row>
    <row r="395" spans="1:8">
      <c r="A395" s="2266">
        <f t="shared" si="7"/>
        <v>2025.02</v>
      </c>
      <c r="B395" s="215">
        <v>1187</v>
      </c>
      <c r="C395" s="1398">
        <v>1387</v>
      </c>
      <c r="D395" s="2365">
        <f t="shared" si="6"/>
        <v>2574</v>
      </c>
      <c r="F395" s="834"/>
      <c r="G395" s="834"/>
      <c r="H395" s="834"/>
    </row>
    <row r="396" spans="1:8">
      <c r="A396" s="2266">
        <f t="shared" si="7"/>
        <v>2025.03</v>
      </c>
      <c r="B396" s="215">
        <v>1226</v>
      </c>
      <c r="C396" s="1398">
        <v>1406</v>
      </c>
      <c r="D396" s="2365">
        <f t="shared" si="6"/>
        <v>2632</v>
      </c>
    </row>
    <row r="397" spans="1:8">
      <c r="A397" s="2266">
        <f t="shared" si="7"/>
        <v>2025.04</v>
      </c>
      <c r="B397" s="215">
        <v>1189</v>
      </c>
      <c r="C397" s="1398">
        <v>1725</v>
      </c>
      <c r="D397" s="2365">
        <f t="shared" si="6"/>
        <v>2914</v>
      </c>
    </row>
    <row r="398" spans="1:8">
      <c r="A398" s="2266">
        <f t="shared" si="7"/>
        <v>2025.05</v>
      </c>
      <c r="B398" s="215">
        <v>1297</v>
      </c>
      <c r="C398" s="1398">
        <v>1473</v>
      </c>
      <c r="D398" s="2365">
        <f t="shared" ref="D398:D461" si="8">B398+C398</f>
        <v>2770</v>
      </c>
    </row>
    <row r="399" spans="1:8">
      <c r="A399" s="2266">
        <f t="shared" si="7"/>
        <v>2025.06</v>
      </c>
      <c r="B399" s="215">
        <v>1271</v>
      </c>
      <c r="C399" s="1398">
        <v>2789</v>
      </c>
      <c r="D399" s="2365">
        <f t="shared" si="8"/>
        <v>4060</v>
      </c>
    </row>
    <row r="400" spans="1:8">
      <c r="A400" s="2266">
        <f t="shared" si="7"/>
        <v>2025.07</v>
      </c>
      <c r="B400" s="215">
        <v>1512</v>
      </c>
      <c r="C400" s="1398">
        <v>1989</v>
      </c>
      <c r="D400" s="2365">
        <f t="shared" si="8"/>
        <v>3501</v>
      </c>
    </row>
    <row r="401" spans="1:4">
      <c r="A401" s="2266">
        <f t="shared" si="7"/>
        <v>2025.08</v>
      </c>
      <c r="B401" s="215">
        <v>1387</v>
      </c>
      <c r="C401" s="1398">
        <v>1782</v>
      </c>
      <c r="D401" s="2365">
        <f t="shared" si="8"/>
        <v>3169</v>
      </c>
    </row>
    <row r="402" spans="1:4">
      <c r="A402" s="2266">
        <f t="shared" si="7"/>
        <v>2025.09</v>
      </c>
      <c r="B402" s="215">
        <v>1346</v>
      </c>
      <c r="C402" s="1398">
        <v>2002</v>
      </c>
      <c r="D402" s="2365">
        <f t="shared" si="8"/>
        <v>3348</v>
      </c>
    </row>
    <row r="403" spans="1:4">
      <c r="A403" s="2266">
        <f t="shared" si="7"/>
        <v>2025.1</v>
      </c>
      <c r="B403" s="215">
        <v>1423</v>
      </c>
      <c r="C403" s="1398">
        <v>2054</v>
      </c>
      <c r="D403" s="2365">
        <f t="shared" si="8"/>
        <v>3477</v>
      </c>
    </row>
    <row r="404" spans="1:4">
      <c r="A404" s="2266">
        <f t="shared" si="7"/>
        <v>2025.11</v>
      </c>
      <c r="B404" s="215">
        <v>1369</v>
      </c>
      <c r="C404" s="1398">
        <v>1666</v>
      </c>
      <c r="D404" s="2365">
        <f t="shared" si="8"/>
        <v>3035</v>
      </c>
    </row>
    <row r="405" spans="1:4">
      <c r="A405" s="2266">
        <f t="shared" si="7"/>
        <v>2025.12</v>
      </c>
      <c r="B405" s="215">
        <v>1537</v>
      </c>
      <c r="C405" s="1398">
        <v>2172</v>
      </c>
      <c r="D405" s="2365">
        <f t="shared" si="8"/>
        <v>3709</v>
      </c>
    </row>
    <row r="406" spans="1:4">
      <c r="A406" s="2266">
        <f t="shared" si="7"/>
        <v>2026.01</v>
      </c>
      <c r="B406" s="215">
        <v>901</v>
      </c>
      <c r="C406" s="1398">
        <v>1133</v>
      </c>
      <c r="D406" s="2365">
        <f t="shared" si="8"/>
        <v>2034</v>
      </c>
    </row>
    <row r="407" spans="1:4">
      <c r="A407" s="2266">
        <f t="shared" si="7"/>
        <v>2026.02</v>
      </c>
      <c r="B407" s="215" t="e">
        <v>#N/A</v>
      </c>
      <c r="C407" s="1398" t="e">
        <v>#N/A</v>
      </c>
      <c r="D407" s="2365" t="e">
        <f t="shared" si="8"/>
        <v>#N/A</v>
      </c>
    </row>
    <row r="408" spans="1:4">
      <c r="A408" s="2266">
        <f t="shared" si="7"/>
        <v>2026.03</v>
      </c>
      <c r="B408" s="215" t="e">
        <v>#N/A</v>
      </c>
      <c r="C408" s="1398" t="e">
        <v>#N/A</v>
      </c>
      <c r="D408" s="2365" t="e">
        <f t="shared" si="8"/>
        <v>#N/A</v>
      </c>
    </row>
    <row r="409" spans="1:4">
      <c r="A409" s="2266">
        <f t="shared" si="7"/>
        <v>2026.04</v>
      </c>
      <c r="B409" s="215" t="e">
        <v>#N/A</v>
      </c>
      <c r="C409" s="1398" t="e">
        <v>#N/A</v>
      </c>
      <c r="D409" s="2365" t="e">
        <f t="shared" si="8"/>
        <v>#N/A</v>
      </c>
    </row>
    <row r="410" spans="1:4">
      <c r="A410" s="2266">
        <f t="shared" si="7"/>
        <v>2026.05</v>
      </c>
      <c r="B410" s="215" t="e">
        <v>#N/A</v>
      </c>
      <c r="C410" s="1398" t="e">
        <v>#N/A</v>
      </c>
      <c r="D410" s="2365" t="e">
        <f t="shared" si="8"/>
        <v>#N/A</v>
      </c>
    </row>
    <row r="411" spans="1:4">
      <c r="A411" s="2266">
        <f t="shared" si="7"/>
        <v>2026.06</v>
      </c>
      <c r="B411" s="215" t="e">
        <v>#N/A</v>
      </c>
      <c r="C411" s="1398" t="e">
        <v>#N/A</v>
      </c>
      <c r="D411" s="2365" t="e">
        <f t="shared" si="8"/>
        <v>#N/A</v>
      </c>
    </row>
    <row r="412" spans="1:4">
      <c r="A412" s="2266">
        <f t="shared" si="7"/>
        <v>2026.07</v>
      </c>
      <c r="B412" s="215" t="e">
        <v>#N/A</v>
      </c>
      <c r="C412" s="1398" t="e">
        <v>#N/A</v>
      </c>
      <c r="D412" s="2365" t="e">
        <f t="shared" si="8"/>
        <v>#N/A</v>
      </c>
    </row>
    <row r="413" spans="1:4">
      <c r="A413" s="2266">
        <f t="shared" si="7"/>
        <v>2026.08</v>
      </c>
      <c r="B413" s="215" t="e">
        <v>#N/A</v>
      </c>
      <c r="C413" s="1398" t="e">
        <v>#N/A</v>
      </c>
      <c r="D413" s="2365" t="e">
        <f t="shared" si="8"/>
        <v>#N/A</v>
      </c>
    </row>
    <row r="414" spans="1:4">
      <c r="A414" s="2266">
        <f t="shared" si="7"/>
        <v>2026.09</v>
      </c>
      <c r="B414" s="215" t="e">
        <v>#N/A</v>
      </c>
      <c r="C414" s="1398" t="e">
        <v>#N/A</v>
      </c>
      <c r="D414" s="2365" t="e">
        <f t="shared" si="8"/>
        <v>#N/A</v>
      </c>
    </row>
    <row r="415" spans="1:4">
      <c r="A415" s="2266">
        <f t="shared" si="7"/>
        <v>2026.1</v>
      </c>
      <c r="B415" s="215" t="e">
        <v>#N/A</v>
      </c>
      <c r="C415" s="1398" t="e">
        <v>#N/A</v>
      </c>
      <c r="D415" s="2365" t="e">
        <f t="shared" si="8"/>
        <v>#N/A</v>
      </c>
    </row>
    <row r="416" spans="1:4">
      <c r="A416" s="2266">
        <f t="shared" si="7"/>
        <v>2026.11</v>
      </c>
      <c r="B416" s="215" t="e">
        <v>#N/A</v>
      </c>
      <c r="C416" s="1398" t="e">
        <v>#N/A</v>
      </c>
      <c r="D416" s="2365" t="e">
        <f t="shared" si="8"/>
        <v>#N/A</v>
      </c>
    </row>
    <row r="417" spans="1:4">
      <c r="A417" s="2266">
        <f t="shared" si="7"/>
        <v>2026.12</v>
      </c>
      <c r="B417" s="215" t="e">
        <v>#N/A</v>
      </c>
      <c r="C417" s="1398" t="e">
        <v>#N/A</v>
      </c>
      <c r="D417" s="2365" t="e">
        <f t="shared" si="8"/>
        <v>#N/A</v>
      </c>
    </row>
    <row r="418" spans="1:4">
      <c r="A418" s="2266">
        <f t="shared" si="7"/>
        <v>2027.01</v>
      </c>
      <c r="B418" s="215" t="e">
        <v>#N/A</v>
      </c>
      <c r="C418" s="1398" t="e">
        <v>#N/A</v>
      </c>
      <c r="D418" s="2365" t="e">
        <f t="shared" si="8"/>
        <v>#N/A</v>
      </c>
    </row>
    <row r="419" spans="1:4">
      <c r="A419" s="2266">
        <f t="shared" si="7"/>
        <v>2027.02</v>
      </c>
      <c r="B419" s="215" t="e">
        <v>#N/A</v>
      </c>
      <c r="C419" s="1398" t="e">
        <v>#N/A</v>
      </c>
      <c r="D419" s="2365" t="e">
        <f t="shared" si="8"/>
        <v>#N/A</v>
      </c>
    </row>
    <row r="420" spans="1:4">
      <c r="A420" s="2266">
        <f t="shared" si="7"/>
        <v>2027.03</v>
      </c>
      <c r="B420" s="215" t="e">
        <v>#N/A</v>
      </c>
      <c r="C420" s="1398" t="e">
        <v>#N/A</v>
      </c>
      <c r="D420" s="2365" t="e">
        <f t="shared" si="8"/>
        <v>#N/A</v>
      </c>
    </row>
    <row r="421" spans="1:4">
      <c r="A421" s="2266">
        <f t="shared" si="7"/>
        <v>2027.04</v>
      </c>
      <c r="B421" s="215" t="e">
        <v>#N/A</v>
      </c>
      <c r="C421" s="1398" t="e">
        <v>#N/A</v>
      </c>
      <c r="D421" s="2365" t="e">
        <f t="shared" si="8"/>
        <v>#N/A</v>
      </c>
    </row>
    <row r="422" spans="1:4">
      <c r="A422" s="2266">
        <f t="shared" si="7"/>
        <v>2027.05</v>
      </c>
      <c r="B422" s="215" t="e">
        <v>#N/A</v>
      </c>
      <c r="C422" s="1398" t="e">
        <v>#N/A</v>
      </c>
      <c r="D422" s="2365" t="e">
        <f t="shared" si="8"/>
        <v>#N/A</v>
      </c>
    </row>
    <row r="423" spans="1:4">
      <c r="A423" s="2266">
        <f t="shared" si="7"/>
        <v>2027.06</v>
      </c>
      <c r="B423" s="215" t="e">
        <v>#N/A</v>
      </c>
      <c r="C423" s="1398" t="e">
        <v>#N/A</v>
      </c>
      <c r="D423" s="2365" t="e">
        <f t="shared" si="8"/>
        <v>#N/A</v>
      </c>
    </row>
    <row r="424" spans="1:4">
      <c r="A424" s="2266">
        <f t="shared" si="7"/>
        <v>2027.07</v>
      </c>
      <c r="B424" s="215" t="e">
        <v>#N/A</v>
      </c>
      <c r="C424" s="1398" t="e">
        <v>#N/A</v>
      </c>
      <c r="D424" s="2365" t="e">
        <f t="shared" si="8"/>
        <v>#N/A</v>
      </c>
    </row>
    <row r="425" spans="1:4">
      <c r="A425" s="2266">
        <f t="shared" si="7"/>
        <v>2027.08</v>
      </c>
      <c r="B425" s="215" t="e">
        <v>#N/A</v>
      </c>
      <c r="C425" s="1398" t="e">
        <v>#N/A</v>
      </c>
      <c r="D425" s="2365" t="e">
        <f t="shared" si="8"/>
        <v>#N/A</v>
      </c>
    </row>
    <row r="426" spans="1:4">
      <c r="A426" s="2266">
        <f t="shared" si="7"/>
        <v>2027.09</v>
      </c>
      <c r="B426" s="215" t="e">
        <v>#N/A</v>
      </c>
      <c r="C426" s="1398" t="e">
        <v>#N/A</v>
      </c>
      <c r="D426" s="2365" t="e">
        <f t="shared" si="8"/>
        <v>#N/A</v>
      </c>
    </row>
    <row r="427" spans="1:4">
      <c r="A427" s="2266">
        <f t="shared" si="7"/>
        <v>2027.1</v>
      </c>
      <c r="B427" s="215" t="e">
        <v>#N/A</v>
      </c>
      <c r="C427" s="1398" t="e">
        <v>#N/A</v>
      </c>
      <c r="D427" s="2365" t="e">
        <f t="shared" si="8"/>
        <v>#N/A</v>
      </c>
    </row>
    <row r="428" spans="1:4">
      <c r="A428" s="2266">
        <f t="shared" si="7"/>
        <v>2027.11</v>
      </c>
      <c r="B428" s="215" t="e">
        <v>#N/A</v>
      </c>
      <c r="C428" s="1398" t="e">
        <v>#N/A</v>
      </c>
      <c r="D428" s="2365" t="e">
        <f t="shared" si="8"/>
        <v>#N/A</v>
      </c>
    </row>
    <row r="429" spans="1:4">
      <c r="A429" s="2266">
        <f t="shared" si="7"/>
        <v>2027.12</v>
      </c>
      <c r="B429" s="215" t="e">
        <v>#N/A</v>
      </c>
      <c r="C429" s="1398" t="e">
        <v>#N/A</v>
      </c>
      <c r="D429" s="2365" t="e">
        <f t="shared" si="8"/>
        <v>#N/A</v>
      </c>
    </row>
    <row r="430" spans="1:4">
      <c r="A430" s="2266">
        <f t="shared" si="7"/>
        <v>2028.01</v>
      </c>
      <c r="B430" s="215" t="e">
        <v>#N/A</v>
      </c>
      <c r="C430" s="1398" t="e">
        <v>#N/A</v>
      </c>
      <c r="D430" s="2365" t="e">
        <f t="shared" si="8"/>
        <v>#N/A</v>
      </c>
    </row>
    <row r="431" spans="1:4">
      <c r="A431" s="2266">
        <f t="shared" si="7"/>
        <v>2028.02</v>
      </c>
      <c r="B431" s="215" t="e">
        <v>#N/A</v>
      </c>
      <c r="C431" s="1398" t="e">
        <v>#N/A</v>
      </c>
      <c r="D431" s="2365" t="e">
        <f t="shared" si="8"/>
        <v>#N/A</v>
      </c>
    </row>
    <row r="432" spans="1:4">
      <c r="A432" s="2266">
        <f t="shared" si="7"/>
        <v>2028.03</v>
      </c>
      <c r="B432" s="215" t="e">
        <v>#N/A</v>
      </c>
      <c r="C432" s="1398" t="e">
        <v>#N/A</v>
      </c>
      <c r="D432" s="2365" t="e">
        <f t="shared" si="8"/>
        <v>#N/A</v>
      </c>
    </row>
    <row r="433" spans="1:4">
      <c r="A433" s="2266">
        <f t="shared" si="7"/>
        <v>2028.04</v>
      </c>
      <c r="B433" s="215" t="e">
        <v>#N/A</v>
      </c>
      <c r="C433" s="1398" t="e">
        <v>#N/A</v>
      </c>
      <c r="D433" s="2365" t="e">
        <f t="shared" si="8"/>
        <v>#N/A</v>
      </c>
    </row>
    <row r="434" spans="1:4">
      <c r="A434" s="2266">
        <f t="shared" si="7"/>
        <v>2028.05</v>
      </c>
      <c r="B434" s="215" t="e">
        <v>#N/A</v>
      </c>
      <c r="C434" s="1398" t="e">
        <v>#N/A</v>
      </c>
      <c r="D434" s="2365" t="e">
        <f t="shared" si="8"/>
        <v>#N/A</v>
      </c>
    </row>
    <row r="435" spans="1:4">
      <c r="A435" s="2266">
        <f t="shared" si="7"/>
        <v>2028.06</v>
      </c>
      <c r="B435" s="215" t="e">
        <v>#N/A</v>
      </c>
      <c r="C435" s="1398" t="e">
        <v>#N/A</v>
      </c>
      <c r="D435" s="2365" t="e">
        <f t="shared" si="8"/>
        <v>#N/A</v>
      </c>
    </row>
    <row r="436" spans="1:4">
      <c r="A436" s="2266">
        <f t="shared" si="7"/>
        <v>2028.07</v>
      </c>
      <c r="B436" s="215" t="e">
        <v>#N/A</v>
      </c>
      <c r="C436" s="1398" t="e">
        <v>#N/A</v>
      </c>
      <c r="D436" s="2365" t="e">
        <f t="shared" si="8"/>
        <v>#N/A</v>
      </c>
    </row>
    <row r="437" spans="1:4">
      <c r="A437" s="2266">
        <f t="shared" si="7"/>
        <v>2028.08</v>
      </c>
      <c r="B437" s="215" t="e">
        <v>#N/A</v>
      </c>
      <c r="C437" s="1398" t="e">
        <v>#N/A</v>
      </c>
      <c r="D437" s="2365" t="e">
        <f t="shared" si="8"/>
        <v>#N/A</v>
      </c>
    </row>
    <row r="438" spans="1:4">
      <c r="A438" s="2266">
        <f t="shared" si="7"/>
        <v>2028.09</v>
      </c>
      <c r="B438" s="215" t="e">
        <v>#N/A</v>
      </c>
      <c r="C438" s="1398" t="e">
        <v>#N/A</v>
      </c>
      <c r="D438" s="2365" t="e">
        <f t="shared" si="8"/>
        <v>#N/A</v>
      </c>
    </row>
    <row r="439" spans="1:4">
      <c r="A439" s="2266">
        <f t="shared" si="7"/>
        <v>2028.1</v>
      </c>
      <c r="B439" s="215" t="e">
        <v>#N/A</v>
      </c>
      <c r="C439" s="1398" t="e">
        <v>#N/A</v>
      </c>
      <c r="D439" s="2365" t="e">
        <f t="shared" si="8"/>
        <v>#N/A</v>
      </c>
    </row>
    <row r="440" spans="1:4">
      <c r="A440" s="2266">
        <f t="shared" si="7"/>
        <v>2028.11</v>
      </c>
      <c r="B440" s="215" t="e">
        <v>#N/A</v>
      </c>
      <c r="C440" s="1398" t="e">
        <v>#N/A</v>
      </c>
      <c r="D440" s="2365" t="e">
        <f t="shared" si="8"/>
        <v>#N/A</v>
      </c>
    </row>
    <row r="441" spans="1:4">
      <c r="A441" s="2266">
        <f t="shared" si="7"/>
        <v>2028.12</v>
      </c>
      <c r="B441" s="215" t="e">
        <v>#N/A</v>
      </c>
      <c r="C441" s="1398" t="e">
        <v>#N/A</v>
      </c>
      <c r="D441" s="2365" t="e">
        <f t="shared" si="8"/>
        <v>#N/A</v>
      </c>
    </row>
    <row r="442" spans="1:4">
      <c r="A442" s="2266">
        <f t="shared" si="7"/>
        <v>2029.01</v>
      </c>
      <c r="B442" s="215" t="e">
        <v>#N/A</v>
      </c>
      <c r="C442" s="1398" t="e">
        <v>#N/A</v>
      </c>
      <c r="D442" s="2365" t="e">
        <f t="shared" si="8"/>
        <v>#N/A</v>
      </c>
    </row>
    <row r="443" spans="1:4">
      <c r="A443" s="2266">
        <f t="shared" si="7"/>
        <v>2029.02</v>
      </c>
      <c r="B443" s="215" t="e">
        <v>#N/A</v>
      </c>
      <c r="C443" s="1398" t="e">
        <v>#N/A</v>
      </c>
      <c r="D443" s="2365" t="e">
        <f t="shared" si="8"/>
        <v>#N/A</v>
      </c>
    </row>
    <row r="444" spans="1:4">
      <c r="A444" s="2266">
        <f t="shared" si="7"/>
        <v>2029.03</v>
      </c>
      <c r="B444" s="215" t="e">
        <v>#N/A</v>
      </c>
      <c r="C444" s="1398" t="e">
        <v>#N/A</v>
      </c>
      <c r="D444" s="2365" t="e">
        <f t="shared" si="8"/>
        <v>#N/A</v>
      </c>
    </row>
    <row r="445" spans="1:4">
      <c r="A445" s="2266">
        <f t="shared" si="7"/>
        <v>2029.04</v>
      </c>
      <c r="B445" s="215" t="e">
        <v>#N/A</v>
      </c>
      <c r="C445" s="1398" t="e">
        <v>#N/A</v>
      </c>
      <c r="D445" s="2365" t="e">
        <f t="shared" si="8"/>
        <v>#N/A</v>
      </c>
    </row>
    <row r="446" spans="1:4">
      <c r="A446" s="2266">
        <f t="shared" si="7"/>
        <v>2029.05</v>
      </c>
      <c r="B446" s="215" t="e">
        <v>#N/A</v>
      </c>
      <c r="C446" s="1398" t="e">
        <v>#N/A</v>
      </c>
      <c r="D446" s="2365" t="e">
        <f t="shared" si="8"/>
        <v>#N/A</v>
      </c>
    </row>
    <row r="447" spans="1:4">
      <c r="A447" s="2266">
        <f t="shared" si="7"/>
        <v>2029.06</v>
      </c>
      <c r="B447" s="215" t="e">
        <v>#N/A</v>
      </c>
      <c r="C447" s="1398" t="e">
        <v>#N/A</v>
      </c>
      <c r="D447" s="2365" t="e">
        <f t="shared" si="8"/>
        <v>#N/A</v>
      </c>
    </row>
    <row r="448" spans="1:4">
      <c r="A448" s="2266">
        <f t="shared" si="7"/>
        <v>2029.07</v>
      </c>
      <c r="B448" s="215" t="e">
        <v>#N/A</v>
      </c>
      <c r="C448" s="1398" t="e">
        <v>#N/A</v>
      </c>
      <c r="D448" s="2365" t="e">
        <f t="shared" si="8"/>
        <v>#N/A</v>
      </c>
    </row>
    <row r="449" spans="1:4">
      <c r="A449" s="2266">
        <f t="shared" si="7"/>
        <v>2029.08</v>
      </c>
      <c r="B449" s="215" t="e">
        <v>#N/A</v>
      </c>
      <c r="C449" s="1398" t="e">
        <v>#N/A</v>
      </c>
      <c r="D449" s="2365" t="e">
        <f t="shared" si="8"/>
        <v>#N/A</v>
      </c>
    </row>
    <row r="450" spans="1:4">
      <c r="A450" s="2266">
        <f t="shared" si="7"/>
        <v>2029.09</v>
      </c>
      <c r="B450" s="215" t="e">
        <v>#N/A</v>
      </c>
      <c r="C450" s="1398" t="e">
        <v>#N/A</v>
      </c>
      <c r="D450" s="2365" t="e">
        <f t="shared" si="8"/>
        <v>#N/A</v>
      </c>
    </row>
    <row r="451" spans="1:4">
      <c r="A451" s="2266">
        <f t="shared" si="7"/>
        <v>2029.1</v>
      </c>
      <c r="B451" s="215" t="e">
        <v>#N/A</v>
      </c>
      <c r="C451" s="1398" t="e">
        <v>#N/A</v>
      </c>
      <c r="D451" s="2365" t="e">
        <f t="shared" si="8"/>
        <v>#N/A</v>
      </c>
    </row>
    <row r="452" spans="1:4">
      <c r="A452" s="2266">
        <f t="shared" si="7"/>
        <v>2029.11</v>
      </c>
      <c r="B452" s="215" t="e">
        <v>#N/A</v>
      </c>
      <c r="C452" s="1398" t="e">
        <v>#N/A</v>
      </c>
      <c r="D452" s="2365" t="e">
        <f t="shared" si="8"/>
        <v>#N/A</v>
      </c>
    </row>
    <row r="453" spans="1:4">
      <c r="A453" s="2266">
        <f t="shared" si="7"/>
        <v>2029.12</v>
      </c>
      <c r="B453" s="215" t="e">
        <v>#N/A</v>
      </c>
      <c r="C453" s="1398" t="e">
        <v>#N/A</v>
      </c>
      <c r="D453" s="2365" t="e">
        <f t="shared" si="8"/>
        <v>#N/A</v>
      </c>
    </row>
    <row r="454" spans="1:4">
      <c r="A454" s="2266">
        <f t="shared" si="7"/>
        <v>2030.01</v>
      </c>
      <c r="B454" s="215" t="e">
        <v>#N/A</v>
      </c>
      <c r="C454" s="1398" t="e">
        <v>#N/A</v>
      </c>
      <c r="D454" s="2365" t="e">
        <f t="shared" si="8"/>
        <v>#N/A</v>
      </c>
    </row>
    <row r="455" spans="1:4">
      <c r="A455" s="2266">
        <f t="shared" si="7"/>
        <v>2030.02</v>
      </c>
      <c r="B455" s="215" t="e">
        <v>#N/A</v>
      </c>
      <c r="C455" s="1398" t="e">
        <v>#N/A</v>
      </c>
      <c r="D455" s="2365" t="e">
        <f t="shared" si="8"/>
        <v>#N/A</v>
      </c>
    </row>
    <row r="456" spans="1:4">
      <c r="A456" s="2266">
        <f t="shared" si="7"/>
        <v>2030.03</v>
      </c>
      <c r="B456" s="215" t="e">
        <v>#N/A</v>
      </c>
      <c r="C456" s="1398" t="e">
        <v>#N/A</v>
      </c>
      <c r="D456" s="2365" t="e">
        <f t="shared" si="8"/>
        <v>#N/A</v>
      </c>
    </row>
    <row r="457" spans="1:4">
      <c r="A457" s="2266">
        <f t="shared" si="7"/>
        <v>2030.04</v>
      </c>
      <c r="B457" s="215" t="e">
        <v>#N/A</v>
      </c>
      <c r="C457" s="1398" t="e">
        <v>#N/A</v>
      </c>
      <c r="D457" s="2365" t="e">
        <f t="shared" si="8"/>
        <v>#N/A</v>
      </c>
    </row>
    <row r="458" spans="1:4">
      <c r="A458" s="2266">
        <f t="shared" ref="A458:A465" si="9">A446+1</f>
        <v>2030.05</v>
      </c>
      <c r="B458" s="215" t="e">
        <v>#N/A</v>
      </c>
      <c r="C458" s="1398" t="e">
        <v>#N/A</v>
      </c>
      <c r="D458" s="2365" t="e">
        <f t="shared" si="8"/>
        <v>#N/A</v>
      </c>
    </row>
    <row r="459" spans="1:4">
      <c r="A459" s="2266">
        <f t="shared" si="9"/>
        <v>2030.06</v>
      </c>
      <c r="B459" s="215" t="e">
        <v>#N/A</v>
      </c>
      <c r="C459" s="1398" t="e">
        <v>#N/A</v>
      </c>
      <c r="D459" s="2365" t="e">
        <f t="shared" si="8"/>
        <v>#N/A</v>
      </c>
    </row>
    <row r="460" spans="1:4">
      <c r="A460" s="2266">
        <f t="shared" si="9"/>
        <v>2030.07</v>
      </c>
      <c r="B460" s="215" t="e">
        <v>#N/A</v>
      </c>
      <c r="C460" s="1398" t="e">
        <v>#N/A</v>
      </c>
      <c r="D460" s="2365" t="e">
        <f t="shared" si="8"/>
        <v>#N/A</v>
      </c>
    </row>
    <row r="461" spans="1:4">
      <c r="A461" s="2266">
        <f t="shared" si="9"/>
        <v>2030.08</v>
      </c>
      <c r="B461" s="215" t="e">
        <v>#N/A</v>
      </c>
      <c r="C461" s="1398" t="e">
        <v>#N/A</v>
      </c>
      <c r="D461" s="2365" t="e">
        <f t="shared" si="8"/>
        <v>#N/A</v>
      </c>
    </row>
    <row r="462" spans="1:4">
      <c r="A462" s="2266">
        <f t="shared" si="9"/>
        <v>2030.09</v>
      </c>
      <c r="B462" s="215" t="e">
        <v>#N/A</v>
      </c>
      <c r="C462" s="1398" t="e">
        <v>#N/A</v>
      </c>
      <c r="D462" s="2365" t="e">
        <f t="shared" ref="D462:D465" si="10">B462+C462</f>
        <v>#N/A</v>
      </c>
    </row>
    <row r="463" spans="1:4">
      <c r="A463" s="2266">
        <f t="shared" si="9"/>
        <v>2030.1</v>
      </c>
      <c r="B463" s="215" t="e">
        <v>#N/A</v>
      </c>
      <c r="C463" s="1398" t="e">
        <v>#N/A</v>
      </c>
      <c r="D463" s="2365" t="e">
        <f t="shared" si="10"/>
        <v>#N/A</v>
      </c>
    </row>
    <row r="464" spans="1:4">
      <c r="A464" s="2266">
        <f t="shared" si="9"/>
        <v>2030.11</v>
      </c>
      <c r="B464" s="215" t="e">
        <v>#N/A</v>
      </c>
      <c r="C464" s="1398" t="e">
        <v>#N/A</v>
      </c>
      <c r="D464" s="2365" t="e">
        <f t="shared" si="10"/>
        <v>#N/A</v>
      </c>
    </row>
    <row r="465" spans="1:4">
      <c r="A465" s="2266">
        <f t="shared" si="9"/>
        <v>2030.12</v>
      </c>
      <c r="B465" s="215" t="e">
        <v>#N/A</v>
      </c>
      <c r="C465" s="1398" t="e">
        <v>#N/A</v>
      </c>
      <c r="D465" s="2365" t="e">
        <f t="shared" si="10"/>
        <v>#N/A</v>
      </c>
    </row>
  </sheetData>
  <hyperlinks>
    <hyperlink ref="A5" location="INDICE!A13" display="VOLVER AL INDICE" xr:uid="{00000000-0004-0000-2500-000000000000}"/>
  </hyperlinks>
  <pageMargins left="0.75" right="0.75" top="1" bottom="1" header="0" footer="0"/>
  <pageSetup paperSize="9" orientation="portrait" horizontalDpi="300" verticalDpi="300" r:id="rId1"/>
  <headerFooter alignWithMargins="0"/>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BC0EB-87AA-4AC4-9BF2-3BD21EA6316B}">
  <sheetPr codeName="Hoja61"/>
  <dimension ref="A1:Q319"/>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9.5703125" style="52" bestFit="1" customWidth="1"/>
    <col min="2" max="5" width="15.5703125" style="1190" customWidth="1"/>
    <col min="6" max="17" width="15.5703125" style="1191" customWidth="1"/>
    <col min="18" max="16384" width="11.42578125" style="300"/>
  </cols>
  <sheetData>
    <row r="1" spans="1:17" ht="3.75" customHeight="1">
      <c r="A1" s="2761"/>
      <c r="B1" s="3013"/>
      <c r="C1" s="1122"/>
      <c r="D1" s="884"/>
      <c r="E1" s="884"/>
      <c r="F1" s="3014"/>
      <c r="G1" s="1123"/>
      <c r="H1" s="1124"/>
      <c r="I1" s="1124"/>
      <c r="J1" s="1124"/>
      <c r="K1" s="1124"/>
      <c r="L1" s="140"/>
      <c r="M1" s="140"/>
      <c r="N1" s="1125"/>
      <c r="O1" s="1125"/>
      <c r="P1" s="1125"/>
      <c r="Q1" s="1126"/>
    </row>
    <row r="2" spans="1:17" ht="22.5">
      <c r="A2" s="2762" t="s">
        <v>99</v>
      </c>
      <c r="B2" s="1127" t="s">
        <v>1484</v>
      </c>
      <c r="C2" s="1128"/>
      <c r="D2" s="3015"/>
      <c r="E2" s="1129"/>
      <c r="F2" s="3015" t="s">
        <v>1484</v>
      </c>
      <c r="G2" s="1130"/>
      <c r="H2" s="1130"/>
      <c r="I2" s="1130"/>
      <c r="J2" s="1130"/>
      <c r="K2" s="1131"/>
      <c r="L2" s="3016"/>
      <c r="M2" s="1130"/>
      <c r="N2" s="1130"/>
      <c r="O2" s="1130"/>
      <c r="P2" s="1130"/>
      <c r="Q2" s="1132"/>
    </row>
    <row r="3" spans="1:17">
      <c r="A3" s="2762" t="s">
        <v>104</v>
      </c>
      <c r="B3" s="1133" t="s">
        <v>1485</v>
      </c>
      <c r="C3" s="1134"/>
      <c r="D3" s="3017"/>
      <c r="E3" s="1134"/>
      <c r="F3" s="1135" t="s">
        <v>1485</v>
      </c>
      <c r="G3" s="1136"/>
      <c r="H3" s="1136"/>
      <c r="I3" s="1136"/>
      <c r="J3" s="1136"/>
      <c r="K3" s="1137"/>
      <c r="L3" s="1135"/>
      <c r="M3" s="1136"/>
      <c r="N3" s="1138"/>
      <c r="O3" s="1138"/>
      <c r="P3" s="1138"/>
      <c r="Q3" s="1139"/>
    </row>
    <row r="4" spans="1:17">
      <c r="A4" s="2762"/>
      <c r="B4" s="3015" t="s">
        <v>1486</v>
      </c>
      <c r="C4" s="1140"/>
      <c r="D4" s="3018"/>
      <c r="E4" s="1140"/>
      <c r="F4" s="1141" t="s">
        <v>1487</v>
      </c>
      <c r="G4" s="1142"/>
      <c r="H4" s="1142"/>
      <c r="I4" s="1142"/>
      <c r="J4" s="1142"/>
      <c r="K4" s="1143"/>
      <c r="L4" s="3015"/>
      <c r="M4" s="1144"/>
      <c r="N4" s="1144"/>
      <c r="O4" s="1144"/>
      <c r="P4" s="1144"/>
      <c r="Q4" s="1145"/>
    </row>
    <row r="5" spans="1:17" ht="22.5">
      <c r="A5" s="2867" t="s">
        <v>140</v>
      </c>
      <c r="B5" s="3019" t="s">
        <v>1094</v>
      </c>
      <c r="C5" s="1146"/>
      <c r="D5" s="3020" t="s">
        <v>1488</v>
      </c>
      <c r="E5" s="1146"/>
      <c r="F5" s="1147" t="s">
        <v>1094</v>
      </c>
      <c r="G5" s="1148"/>
      <c r="H5" s="1148"/>
      <c r="I5" s="1148"/>
      <c r="J5" s="1148"/>
      <c r="K5" s="1149"/>
      <c r="L5" s="3020" t="s">
        <v>1488</v>
      </c>
      <c r="M5" s="1148"/>
      <c r="N5" s="1148"/>
      <c r="O5" s="1148"/>
      <c r="P5" s="1148"/>
      <c r="Q5" s="1150"/>
    </row>
    <row r="6" spans="1:17" ht="22.5">
      <c r="A6" s="2762" t="s">
        <v>1489</v>
      </c>
      <c r="B6" s="3021" t="s">
        <v>1490</v>
      </c>
      <c r="C6" s="1151" t="s">
        <v>1491</v>
      </c>
      <c r="D6" s="3021" t="s">
        <v>1490</v>
      </c>
      <c r="E6" s="1151" t="s">
        <v>1491</v>
      </c>
      <c r="F6" s="1152" t="s">
        <v>1492</v>
      </c>
      <c r="G6" s="1153" t="s">
        <v>1493</v>
      </c>
      <c r="H6" s="1153" t="s">
        <v>1494</v>
      </c>
      <c r="I6" s="1153" t="s">
        <v>1495</v>
      </c>
      <c r="J6" s="1153" t="s">
        <v>1496</v>
      </c>
      <c r="K6" s="1154" t="s">
        <v>1497</v>
      </c>
      <c r="L6" s="3022" t="s">
        <v>1492</v>
      </c>
      <c r="M6" s="1155" t="s">
        <v>1493</v>
      </c>
      <c r="N6" s="1155" t="s">
        <v>1494</v>
      </c>
      <c r="O6" s="1155" t="s">
        <v>1495</v>
      </c>
      <c r="P6" s="1153" t="s">
        <v>1496</v>
      </c>
      <c r="Q6" s="1156" t="s">
        <v>1497</v>
      </c>
    </row>
    <row r="7" spans="1:17" ht="22.5">
      <c r="A7" s="2762" t="s">
        <v>125</v>
      </c>
      <c r="B7" s="3023" t="s">
        <v>1498</v>
      </c>
      <c r="C7" s="1157" t="s">
        <v>1498</v>
      </c>
      <c r="D7" s="3023" t="s">
        <v>1498</v>
      </c>
      <c r="E7" s="1157" t="s">
        <v>1498</v>
      </c>
      <c r="F7" s="1158" t="s">
        <v>127</v>
      </c>
      <c r="G7" s="1159" t="s">
        <v>127</v>
      </c>
      <c r="H7" s="1159" t="s">
        <v>127</v>
      </c>
      <c r="I7" s="1159" t="s">
        <v>127</v>
      </c>
      <c r="J7" s="1159" t="s">
        <v>127</v>
      </c>
      <c r="K7" s="1160" t="s">
        <v>127</v>
      </c>
      <c r="L7" s="3024" t="s">
        <v>127</v>
      </c>
      <c r="M7" s="1159" t="s">
        <v>127</v>
      </c>
      <c r="N7" s="1159" t="s">
        <v>127</v>
      </c>
      <c r="O7" s="1159" t="s">
        <v>127</v>
      </c>
      <c r="P7" s="1159" t="s">
        <v>127</v>
      </c>
      <c r="Q7" s="1161" t="s">
        <v>127</v>
      </c>
    </row>
    <row r="8" spans="1:17">
      <c r="A8" s="3002" t="s">
        <v>144</v>
      </c>
      <c r="B8" s="3025" t="s">
        <v>1499</v>
      </c>
      <c r="C8" s="2276" t="s">
        <v>1500</v>
      </c>
      <c r="D8" s="3025" t="s">
        <v>1501</v>
      </c>
      <c r="E8" s="2276" t="s">
        <v>1502</v>
      </c>
      <c r="F8" s="2277" t="s">
        <v>1503</v>
      </c>
      <c r="G8" s="2278" t="s">
        <v>1504</v>
      </c>
      <c r="H8" s="2278" t="s">
        <v>1505</v>
      </c>
      <c r="I8" s="2278" t="s">
        <v>1506</v>
      </c>
      <c r="J8" s="2278" t="s">
        <v>1507</v>
      </c>
      <c r="K8" s="2279" t="s">
        <v>1508</v>
      </c>
      <c r="L8" s="3026" t="s">
        <v>1509</v>
      </c>
      <c r="M8" s="2278" t="s">
        <v>1510</v>
      </c>
      <c r="N8" s="2278" t="s">
        <v>1511</v>
      </c>
      <c r="O8" s="2278" t="s">
        <v>1512</v>
      </c>
      <c r="P8" s="2278" t="s">
        <v>1513</v>
      </c>
      <c r="Q8" s="2280" t="s">
        <v>1514</v>
      </c>
    </row>
    <row r="9" spans="1:17" ht="13.5" thickBot="1">
      <c r="A9" s="2140"/>
      <c r="B9" s="2268"/>
      <c r="C9" s="2269"/>
      <c r="D9" s="2270"/>
      <c r="E9" s="2269"/>
      <c r="F9" s="2271"/>
      <c r="G9" s="2272"/>
      <c r="H9" s="2272"/>
      <c r="I9" s="2272"/>
      <c r="J9" s="2272"/>
      <c r="K9" s="2273"/>
      <c r="L9" s="2274"/>
      <c r="M9" s="2272"/>
      <c r="N9" s="2272"/>
      <c r="O9" s="2272"/>
      <c r="P9" s="2272"/>
      <c r="Q9" s="2275"/>
    </row>
    <row r="10" spans="1:17">
      <c r="A10" s="1162" t="s">
        <v>65</v>
      </c>
      <c r="B10" s="1163">
        <v>2191</v>
      </c>
      <c r="C10" s="1164">
        <v>1576</v>
      </c>
      <c r="D10" s="1165">
        <v>213076</v>
      </c>
      <c r="E10" s="1164">
        <v>195755</v>
      </c>
      <c r="F10" s="1166">
        <v>809689.91</v>
      </c>
      <c r="G10" s="1167">
        <v>6219723.9000000004</v>
      </c>
      <c r="H10" s="1167">
        <v>539478.06999999995</v>
      </c>
      <c r="I10" s="1167">
        <v>198963.18</v>
      </c>
      <c r="J10" s="1167">
        <v>657800</v>
      </c>
      <c r="K10" s="1164">
        <v>1424751.89</v>
      </c>
      <c r="L10" s="1166">
        <v>4854210.8099999996</v>
      </c>
      <c r="M10" s="1167">
        <v>11187555.23</v>
      </c>
      <c r="N10" s="1167">
        <v>6013060.5700000003</v>
      </c>
      <c r="O10" s="1167">
        <v>5548026.9299999997</v>
      </c>
      <c r="P10" s="1167">
        <v>666971</v>
      </c>
      <c r="Q10" s="1168">
        <v>1451061.35</v>
      </c>
    </row>
    <row r="11" spans="1:17">
      <c r="A11" s="1162" t="s">
        <v>474</v>
      </c>
      <c r="B11" s="1169">
        <v>4614</v>
      </c>
      <c r="C11" s="1170">
        <v>3103</v>
      </c>
      <c r="D11" s="1169">
        <v>233380</v>
      </c>
      <c r="E11" s="1170">
        <v>214339</v>
      </c>
      <c r="F11" s="1171">
        <v>947848.06</v>
      </c>
      <c r="G11" s="1172">
        <v>16798504</v>
      </c>
      <c r="H11" s="1172">
        <v>574404.04</v>
      </c>
      <c r="I11" s="1172">
        <v>258055.99</v>
      </c>
      <c r="J11" s="1172">
        <v>1336569</v>
      </c>
      <c r="K11" s="1170">
        <v>2147864</v>
      </c>
      <c r="L11" s="1173">
        <v>6823898.0099999998</v>
      </c>
      <c r="M11" s="1172">
        <v>23580642.280000001</v>
      </c>
      <c r="N11" s="1172">
        <v>7007247.5599999996</v>
      </c>
      <c r="O11" s="1172">
        <v>6820957.1900000004</v>
      </c>
      <c r="P11" s="1172">
        <v>1387034</v>
      </c>
      <c r="Q11" s="1174">
        <v>2199007.0299999998</v>
      </c>
    </row>
    <row r="12" spans="1:17">
      <c r="A12" s="1162" t="s">
        <v>475</v>
      </c>
      <c r="B12" s="1169">
        <v>4683</v>
      </c>
      <c r="C12" s="1170">
        <v>4920</v>
      </c>
      <c r="D12" s="1169">
        <v>219946</v>
      </c>
      <c r="E12" s="1170">
        <v>215814</v>
      </c>
      <c r="F12" s="1171">
        <v>681149.35</v>
      </c>
      <c r="G12" s="1172">
        <v>15173968.279999999</v>
      </c>
      <c r="H12" s="1172">
        <v>749774.86</v>
      </c>
      <c r="I12" s="1172">
        <v>293972.11</v>
      </c>
      <c r="J12" s="1172">
        <v>1548392</v>
      </c>
      <c r="K12" s="1170">
        <v>1238748.0900000001</v>
      </c>
      <c r="L12" s="1173">
        <v>7644657.8499999996</v>
      </c>
      <c r="M12" s="1172">
        <v>20743103.010000002</v>
      </c>
      <c r="N12" s="1172">
        <v>7037270.46</v>
      </c>
      <c r="O12" s="1172">
        <v>6117652.2800000003</v>
      </c>
      <c r="P12" s="1172">
        <v>1767636</v>
      </c>
      <c r="Q12" s="1174">
        <v>1459348.65</v>
      </c>
    </row>
    <row r="13" spans="1:17">
      <c r="A13" s="1162" t="s">
        <v>476</v>
      </c>
      <c r="B13" s="1169">
        <v>3570</v>
      </c>
      <c r="C13" s="1170">
        <v>3342</v>
      </c>
      <c r="D13" s="1169">
        <v>209483</v>
      </c>
      <c r="E13" s="1170">
        <v>197732</v>
      </c>
      <c r="F13" s="1171">
        <v>887894.52</v>
      </c>
      <c r="G13" s="1172">
        <v>11343488</v>
      </c>
      <c r="H13" s="1172">
        <v>686085.06</v>
      </c>
      <c r="I13" s="1172">
        <v>342371.99</v>
      </c>
      <c r="J13" s="1172">
        <v>677861</v>
      </c>
      <c r="K13" s="1170">
        <v>998850</v>
      </c>
      <c r="L13" s="1173">
        <v>5059029.22</v>
      </c>
      <c r="M13" s="1172">
        <v>14246881.49</v>
      </c>
      <c r="N13" s="1172">
        <v>6829991.2699999996</v>
      </c>
      <c r="O13" s="1172">
        <v>6749742.21</v>
      </c>
      <c r="P13" s="1172">
        <v>947906</v>
      </c>
      <c r="Q13" s="1174">
        <v>1346395.88</v>
      </c>
    </row>
    <row r="14" spans="1:17">
      <c r="A14" s="1162" t="s">
        <v>477</v>
      </c>
      <c r="B14" s="1169">
        <v>3094</v>
      </c>
      <c r="C14" s="1170">
        <v>2688</v>
      </c>
      <c r="D14" s="1169">
        <v>188393</v>
      </c>
      <c r="E14" s="1170">
        <v>193638</v>
      </c>
      <c r="F14" s="1171">
        <v>407447.6</v>
      </c>
      <c r="G14" s="1172">
        <v>10854450.109999999</v>
      </c>
      <c r="H14" s="1172">
        <v>909879.5</v>
      </c>
      <c r="I14" s="1172">
        <v>296253.33</v>
      </c>
      <c r="J14" s="1172">
        <v>1116189</v>
      </c>
      <c r="K14" s="1170">
        <v>1310038</v>
      </c>
      <c r="L14" s="1173">
        <v>3907670.25</v>
      </c>
      <c r="M14" s="1172">
        <v>14815729.199999999</v>
      </c>
      <c r="N14" s="1172">
        <v>6792594.1399999997</v>
      </c>
      <c r="O14" s="1172">
        <v>6018210.3300000001</v>
      </c>
      <c r="P14" s="1172">
        <v>1307730</v>
      </c>
      <c r="Q14" s="1174">
        <v>1507718.47</v>
      </c>
    </row>
    <row r="15" spans="1:17">
      <c r="A15" s="1162" t="s">
        <v>478</v>
      </c>
      <c r="B15" s="1169">
        <v>3640</v>
      </c>
      <c r="C15" s="1170">
        <v>4032</v>
      </c>
      <c r="D15" s="1169">
        <v>223610</v>
      </c>
      <c r="E15" s="1170">
        <v>228389</v>
      </c>
      <c r="F15" s="1171">
        <v>491890.53</v>
      </c>
      <c r="G15" s="1172">
        <v>17813063.469999999</v>
      </c>
      <c r="H15" s="1172">
        <v>1259235.56</v>
      </c>
      <c r="I15" s="1172">
        <v>173330.8</v>
      </c>
      <c r="J15" s="1172">
        <v>1278224</v>
      </c>
      <c r="K15" s="1170">
        <v>1518840</v>
      </c>
      <c r="L15" s="1173">
        <v>5679756.4800000004</v>
      </c>
      <c r="M15" s="1172">
        <v>25012983.719999999</v>
      </c>
      <c r="N15" s="1172">
        <v>7706239.1399999997</v>
      </c>
      <c r="O15" s="1172">
        <v>6302350.9900000002</v>
      </c>
      <c r="P15" s="1172">
        <v>1439381</v>
      </c>
      <c r="Q15" s="1174">
        <v>1713975.6</v>
      </c>
    </row>
    <row r="16" spans="1:17">
      <c r="A16" s="1162" t="s">
        <v>479</v>
      </c>
      <c r="B16" s="1169">
        <v>5096</v>
      </c>
      <c r="C16" s="1170">
        <v>5222</v>
      </c>
      <c r="D16" s="1169">
        <v>226802</v>
      </c>
      <c r="E16" s="1170">
        <v>227574</v>
      </c>
      <c r="F16" s="1171">
        <v>501414</v>
      </c>
      <c r="G16" s="1172">
        <v>18504291.370000001</v>
      </c>
      <c r="H16" s="1172">
        <v>1211049.75</v>
      </c>
      <c r="I16" s="1172">
        <v>278192.59999999998</v>
      </c>
      <c r="J16" s="1172">
        <v>1542363</v>
      </c>
      <c r="K16" s="1170">
        <v>2400979</v>
      </c>
      <c r="L16" s="1173">
        <v>6660226.5999999996</v>
      </c>
      <c r="M16" s="1172">
        <v>23800575.120000001</v>
      </c>
      <c r="N16" s="1172">
        <v>4838794.1500000004</v>
      </c>
      <c r="O16" s="1172">
        <v>9882701.2200000007</v>
      </c>
      <c r="P16" s="1172">
        <v>1835901</v>
      </c>
      <c r="Q16" s="1174">
        <v>2667801.15</v>
      </c>
    </row>
    <row r="17" spans="1:17">
      <c r="A17" s="1162" t="s">
        <v>480</v>
      </c>
      <c r="B17" s="1169">
        <v>3883</v>
      </c>
      <c r="C17" s="1170">
        <v>3979</v>
      </c>
      <c r="D17" s="1169">
        <v>205661</v>
      </c>
      <c r="E17" s="1170">
        <v>206516</v>
      </c>
      <c r="F17" s="1171">
        <v>674915.5</v>
      </c>
      <c r="G17" s="1172">
        <v>11930368.939999999</v>
      </c>
      <c r="H17" s="1172">
        <v>1032994.25</v>
      </c>
      <c r="I17" s="1172">
        <v>318235.17</v>
      </c>
      <c r="J17" s="1172">
        <v>1128608</v>
      </c>
      <c r="K17" s="1170">
        <v>3016733</v>
      </c>
      <c r="L17" s="1173">
        <v>4805887.0999999996</v>
      </c>
      <c r="M17" s="1172">
        <v>15680494.189999999</v>
      </c>
      <c r="N17" s="1172">
        <v>4194499.41</v>
      </c>
      <c r="O17" s="1172">
        <v>8939890.1199999992</v>
      </c>
      <c r="P17" s="1172">
        <v>1356369</v>
      </c>
      <c r="Q17" s="1174">
        <v>3255400.86</v>
      </c>
    </row>
    <row r="18" spans="1:17">
      <c r="A18" s="1162" t="s">
        <v>481</v>
      </c>
      <c r="B18" s="1169">
        <v>5414</v>
      </c>
      <c r="C18" s="1170">
        <v>5764</v>
      </c>
      <c r="D18" s="1169">
        <v>204327</v>
      </c>
      <c r="E18" s="1170">
        <v>195888</v>
      </c>
      <c r="F18" s="1171">
        <v>636172.75</v>
      </c>
      <c r="G18" s="1172">
        <v>17798908.57</v>
      </c>
      <c r="H18" s="1172">
        <v>1032534.57</v>
      </c>
      <c r="I18" s="1172">
        <v>314704.09000000003</v>
      </c>
      <c r="J18" s="1172">
        <v>471954</v>
      </c>
      <c r="K18" s="1170">
        <v>1273087</v>
      </c>
      <c r="L18" s="1173">
        <v>4415441.43</v>
      </c>
      <c r="M18" s="1172">
        <v>24326054.23</v>
      </c>
      <c r="N18" s="1172">
        <v>6254208.6399999997</v>
      </c>
      <c r="O18" s="1172">
        <v>5843470.4000000004</v>
      </c>
      <c r="P18" s="1172">
        <v>662049</v>
      </c>
      <c r="Q18" s="1174">
        <v>1383509.49</v>
      </c>
    </row>
    <row r="19" spans="1:17">
      <c r="A19" s="1162" t="s">
        <v>482</v>
      </c>
      <c r="B19" s="1169">
        <v>8060</v>
      </c>
      <c r="C19" s="1170">
        <v>9733</v>
      </c>
      <c r="D19" s="1169">
        <v>215927</v>
      </c>
      <c r="E19" s="1170">
        <v>207650</v>
      </c>
      <c r="F19" s="1171">
        <v>615601</v>
      </c>
      <c r="G19" s="1172">
        <v>18337228.109999999</v>
      </c>
      <c r="H19" s="1172">
        <v>1304528.18</v>
      </c>
      <c r="I19" s="1172">
        <v>284977.53000000003</v>
      </c>
      <c r="J19" s="1172">
        <v>754793</v>
      </c>
      <c r="K19" s="1170">
        <v>1256734</v>
      </c>
      <c r="L19" s="1173">
        <v>5583001.9500000002</v>
      </c>
      <c r="M19" s="1172">
        <v>26855285.09</v>
      </c>
      <c r="N19" s="1172">
        <v>6878675.6900000004</v>
      </c>
      <c r="O19" s="1172">
        <v>5868602.5999999996</v>
      </c>
      <c r="P19" s="1172">
        <v>904895</v>
      </c>
      <c r="Q19" s="1174">
        <v>1460531.3</v>
      </c>
    </row>
    <row r="20" spans="1:17">
      <c r="A20" s="1162" t="s">
        <v>483</v>
      </c>
      <c r="B20" s="1169">
        <v>7382</v>
      </c>
      <c r="C20" s="1170">
        <v>7889</v>
      </c>
      <c r="D20" s="1169">
        <v>223532</v>
      </c>
      <c r="E20" s="1170">
        <v>209362</v>
      </c>
      <c r="F20" s="1171">
        <v>405951.78</v>
      </c>
      <c r="G20" s="1172">
        <v>17632598.870000001</v>
      </c>
      <c r="H20" s="1172">
        <v>1146327.05</v>
      </c>
      <c r="I20" s="1172">
        <v>298297.62</v>
      </c>
      <c r="J20" s="1172">
        <v>584117.44999999995</v>
      </c>
      <c r="K20" s="1170">
        <v>1345094.11</v>
      </c>
      <c r="L20" s="1173">
        <v>6221365.3300000001</v>
      </c>
      <c r="M20" s="1172">
        <v>24962820.809999999</v>
      </c>
      <c r="N20" s="1172">
        <v>6653960.0899999999</v>
      </c>
      <c r="O20" s="1172">
        <v>5772548.8499999996</v>
      </c>
      <c r="P20" s="1172">
        <v>754211.45</v>
      </c>
      <c r="Q20" s="1174">
        <v>1580092.38</v>
      </c>
    </row>
    <row r="21" spans="1:17">
      <c r="A21" s="1162" t="s">
        <v>484</v>
      </c>
      <c r="B21" s="1169">
        <v>7697</v>
      </c>
      <c r="C21" s="1170">
        <v>6793</v>
      </c>
      <c r="D21" s="1169">
        <v>206649</v>
      </c>
      <c r="E21" s="1170">
        <v>187592</v>
      </c>
      <c r="F21" s="1171">
        <v>751038.97</v>
      </c>
      <c r="G21" s="1172">
        <v>14231485.35</v>
      </c>
      <c r="H21" s="1172">
        <v>885628.44</v>
      </c>
      <c r="I21" s="1172">
        <v>292864.48</v>
      </c>
      <c r="J21" s="1172">
        <v>210526.36</v>
      </c>
      <c r="K21" s="1170">
        <v>740709.71</v>
      </c>
      <c r="L21" s="1173">
        <v>4074987.04</v>
      </c>
      <c r="M21" s="1172">
        <v>20062436.399999999</v>
      </c>
      <c r="N21" s="1172">
        <v>5951153.29</v>
      </c>
      <c r="O21" s="1172">
        <v>5678270.9100000001</v>
      </c>
      <c r="P21" s="1172">
        <v>325146.36</v>
      </c>
      <c r="Q21" s="1174">
        <v>938714.53</v>
      </c>
    </row>
    <row r="22" spans="1:17">
      <c r="A22" s="1162" t="s">
        <v>485</v>
      </c>
      <c r="B22" s="1169">
        <v>7475</v>
      </c>
      <c r="C22" s="1170">
        <v>6793</v>
      </c>
      <c r="D22" s="1169">
        <v>184436</v>
      </c>
      <c r="E22" s="1170">
        <v>177835</v>
      </c>
      <c r="F22" s="1171">
        <v>638862.16</v>
      </c>
      <c r="G22" s="1172">
        <v>14984190.210000001</v>
      </c>
      <c r="H22" s="1172">
        <v>975536.59</v>
      </c>
      <c r="I22" s="1172">
        <v>252175.35</v>
      </c>
      <c r="J22" s="1172">
        <v>413472.81</v>
      </c>
      <c r="K22" s="1170">
        <v>755409.43</v>
      </c>
      <c r="L22" s="1173">
        <v>3223594.81</v>
      </c>
      <c r="M22" s="1172">
        <v>20790556.66</v>
      </c>
      <c r="N22" s="1172">
        <v>5643126.4500000002</v>
      </c>
      <c r="O22" s="1172">
        <v>5764114.0599999996</v>
      </c>
      <c r="P22" s="1172">
        <v>617787.81000000006</v>
      </c>
      <c r="Q22" s="1174">
        <v>961829.47</v>
      </c>
    </row>
    <row r="23" spans="1:17">
      <c r="A23" s="1162" t="s">
        <v>486</v>
      </c>
      <c r="B23" s="1169">
        <v>7337</v>
      </c>
      <c r="C23" s="1170">
        <v>7471</v>
      </c>
      <c r="D23" s="1169">
        <v>215857</v>
      </c>
      <c r="E23" s="1170">
        <v>215234</v>
      </c>
      <c r="F23" s="1171">
        <v>788604.43</v>
      </c>
      <c r="G23" s="1172">
        <v>19120603.809999999</v>
      </c>
      <c r="H23" s="1172">
        <v>1129071.94</v>
      </c>
      <c r="I23" s="1172">
        <v>200156.09</v>
      </c>
      <c r="J23" s="1172">
        <v>538037.56999999995</v>
      </c>
      <c r="K23" s="1170">
        <v>1516015.78</v>
      </c>
      <c r="L23" s="1173">
        <v>6321573.3399999999</v>
      </c>
      <c r="M23" s="1172">
        <v>26289367.460000001</v>
      </c>
      <c r="N23" s="1172">
        <v>6077087.8099999996</v>
      </c>
      <c r="O23" s="1172">
        <v>6231025.96</v>
      </c>
      <c r="P23" s="1175">
        <v>706903.07</v>
      </c>
      <c r="Q23" s="1174">
        <v>1664910.34</v>
      </c>
    </row>
    <row r="24" spans="1:17">
      <c r="A24" s="1162" t="s">
        <v>487</v>
      </c>
      <c r="B24" s="1169">
        <v>8760</v>
      </c>
      <c r="C24" s="1170">
        <v>9990</v>
      </c>
      <c r="D24" s="1169">
        <v>231407</v>
      </c>
      <c r="E24" s="1170">
        <v>238184</v>
      </c>
      <c r="F24" s="1171">
        <v>678989.42</v>
      </c>
      <c r="G24" s="1172">
        <v>19284783.899999999</v>
      </c>
      <c r="H24" s="1172">
        <v>1142318.76</v>
      </c>
      <c r="I24" s="1172">
        <v>226882.05</v>
      </c>
      <c r="J24" s="1172">
        <v>207899.78</v>
      </c>
      <c r="K24" s="1170">
        <v>1535210.37</v>
      </c>
      <c r="L24" s="1173">
        <v>6493913.9800000004</v>
      </c>
      <c r="M24" s="1172">
        <v>25611462.850000001</v>
      </c>
      <c r="N24" s="1172">
        <v>6293496.2300000004</v>
      </c>
      <c r="O24" s="1172">
        <v>6053094.4000000004</v>
      </c>
      <c r="P24" s="1175">
        <v>374604.78</v>
      </c>
      <c r="Q24" s="1174">
        <v>1757206.86</v>
      </c>
    </row>
    <row r="25" spans="1:17">
      <c r="A25" s="1162" t="s">
        <v>488</v>
      </c>
      <c r="B25" s="1169">
        <v>9944</v>
      </c>
      <c r="C25" s="1170">
        <v>8711</v>
      </c>
      <c r="D25" s="1169">
        <v>230065</v>
      </c>
      <c r="E25" s="1170">
        <v>232603</v>
      </c>
      <c r="F25" s="1171">
        <v>842341.37</v>
      </c>
      <c r="G25" s="1172">
        <v>15570764.91</v>
      </c>
      <c r="H25" s="1172">
        <v>814174.88</v>
      </c>
      <c r="I25" s="1172">
        <v>298347.14</v>
      </c>
      <c r="J25" s="1172">
        <v>114669.45</v>
      </c>
      <c r="K25" s="1170">
        <v>1006906.76</v>
      </c>
      <c r="L25" s="1173">
        <v>6291305.8099999996</v>
      </c>
      <c r="M25" s="1172">
        <v>21822386.559999999</v>
      </c>
      <c r="N25" s="1172">
        <v>5104333.78</v>
      </c>
      <c r="O25" s="1172">
        <v>5376851.8799999999</v>
      </c>
      <c r="P25" s="1175">
        <v>144925.45000000001</v>
      </c>
      <c r="Q25" s="1174">
        <v>1093377.82</v>
      </c>
    </row>
    <row r="26" spans="1:17">
      <c r="A26" s="1162" t="s">
        <v>489</v>
      </c>
      <c r="B26" s="1176">
        <v>9010</v>
      </c>
      <c r="C26" s="1177">
        <v>9655</v>
      </c>
      <c r="D26" s="1176">
        <v>254808</v>
      </c>
      <c r="E26" s="1177">
        <v>233082</v>
      </c>
      <c r="F26" s="1178">
        <v>720296</v>
      </c>
      <c r="G26" s="1175">
        <v>16367784</v>
      </c>
      <c r="H26" s="1175">
        <v>907970</v>
      </c>
      <c r="I26" s="1175">
        <v>255171</v>
      </c>
      <c r="J26" s="1175">
        <v>389062</v>
      </c>
      <c r="K26" s="1177">
        <v>562329</v>
      </c>
      <c r="L26" s="1179">
        <v>3905918</v>
      </c>
      <c r="M26" s="1175">
        <v>23173573</v>
      </c>
      <c r="N26" s="1175">
        <v>5134644</v>
      </c>
      <c r="O26" s="1175">
        <v>4677352</v>
      </c>
      <c r="P26" s="1175">
        <v>703225</v>
      </c>
      <c r="Q26" s="1180">
        <v>944696</v>
      </c>
    </row>
    <row r="27" spans="1:17">
      <c r="A27" s="1162" t="s">
        <v>490</v>
      </c>
      <c r="B27" s="1176">
        <v>10362</v>
      </c>
      <c r="C27" s="1177">
        <v>9402</v>
      </c>
      <c r="D27" s="1176">
        <v>256154</v>
      </c>
      <c r="E27" s="1177">
        <v>244058</v>
      </c>
      <c r="F27" s="1178">
        <v>842382.57</v>
      </c>
      <c r="G27" s="1175">
        <v>14962605.93</v>
      </c>
      <c r="H27" s="1175">
        <v>995458.66</v>
      </c>
      <c r="I27" s="1175">
        <v>325926.81</v>
      </c>
      <c r="J27" s="1175">
        <v>592472.11</v>
      </c>
      <c r="K27" s="1177">
        <v>469593.8</v>
      </c>
      <c r="L27" s="1179">
        <v>6943571.8700000001</v>
      </c>
      <c r="M27" s="1175">
        <v>20349310.59</v>
      </c>
      <c r="N27" s="1175">
        <v>4826488.33</v>
      </c>
      <c r="O27" s="1175">
        <v>4945961.99</v>
      </c>
      <c r="P27" s="1175">
        <v>867434.17</v>
      </c>
      <c r="Q27" s="1180">
        <v>623998.74</v>
      </c>
    </row>
    <row r="28" spans="1:17">
      <c r="A28" s="1162" t="s">
        <v>491</v>
      </c>
      <c r="B28" s="1176">
        <v>8624</v>
      </c>
      <c r="C28" s="1177">
        <v>10635</v>
      </c>
      <c r="D28" s="1176">
        <v>253374</v>
      </c>
      <c r="E28" s="1177">
        <v>250122</v>
      </c>
      <c r="F28" s="1178">
        <v>1226039.21</v>
      </c>
      <c r="G28" s="1175">
        <v>14770066.050000001</v>
      </c>
      <c r="H28" s="1175">
        <v>787988.5</v>
      </c>
      <c r="I28" s="1175">
        <v>196531.1</v>
      </c>
      <c r="J28" s="1175">
        <v>335503.93</v>
      </c>
      <c r="K28" s="1177">
        <v>582462.69999999995</v>
      </c>
      <c r="L28" s="1179">
        <v>7183438.4699999997</v>
      </c>
      <c r="M28" s="1175">
        <v>19585497.329999998</v>
      </c>
      <c r="N28" s="1175">
        <v>4891011.84</v>
      </c>
      <c r="O28" s="1175">
        <v>4891708.58</v>
      </c>
      <c r="P28" s="1175">
        <v>649337.22</v>
      </c>
      <c r="Q28" s="1180">
        <v>901607.89</v>
      </c>
    </row>
    <row r="29" spans="1:17">
      <c r="A29" s="1162" t="s">
        <v>492</v>
      </c>
      <c r="B29" s="1176">
        <v>7949</v>
      </c>
      <c r="C29" s="1177">
        <v>5832</v>
      </c>
      <c r="D29" s="1176">
        <v>224395</v>
      </c>
      <c r="E29" s="1177">
        <v>197217</v>
      </c>
      <c r="F29" s="1178">
        <v>1458887.14</v>
      </c>
      <c r="G29" s="1175">
        <v>14300391.33</v>
      </c>
      <c r="H29" s="1175">
        <v>821853.71</v>
      </c>
      <c r="I29" s="1175">
        <v>251374.32</v>
      </c>
      <c r="J29" s="1175">
        <v>329228.78999999998</v>
      </c>
      <c r="K29" s="1177">
        <v>679667.85</v>
      </c>
      <c r="L29" s="1179">
        <v>4871303.8099999996</v>
      </c>
      <c r="M29" s="1175">
        <v>20435762.170000002</v>
      </c>
      <c r="N29" s="1175">
        <v>5199623.3</v>
      </c>
      <c r="O29" s="1175">
        <v>5818237.6100000003</v>
      </c>
      <c r="P29" s="1175">
        <v>484113.99</v>
      </c>
      <c r="Q29" s="1180">
        <v>922385.08</v>
      </c>
    </row>
    <row r="30" spans="1:17">
      <c r="A30" s="1162" t="s">
        <v>493</v>
      </c>
      <c r="B30" s="1169">
        <v>6866</v>
      </c>
      <c r="C30" s="1170">
        <v>7181</v>
      </c>
      <c r="D30" s="1169">
        <v>188297</v>
      </c>
      <c r="E30" s="1170">
        <v>183726</v>
      </c>
      <c r="F30" s="1178">
        <v>1275407.24</v>
      </c>
      <c r="G30" s="1172">
        <v>16120865.93</v>
      </c>
      <c r="H30" s="1172">
        <v>817586.98</v>
      </c>
      <c r="I30" s="1172">
        <v>255991.26</v>
      </c>
      <c r="J30" s="1172">
        <v>233630.71</v>
      </c>
      <c r="K30" s="1170">
        <v>458176.12</v>
      </c>
      <c r="L30" s="1173">
        <v>3848566.59</v>
      </c>
      <c r="M30" s="1172">
        <v>22316552.23</v>
      </c>
      <c r="N30" s="1172">
        <v>4116533.5</v>
      </c>
      <c r="O30" s="1172">
        <v>5269633.04</v>
      </c>
      <c r="P30" s="1172">
        <v>745095.69</v>
      </c>
      <c r="Q30" s="1174">
        <v>812387.07</v>
      </c>
    </row>
    <row r="31" spans="1:17">
      <c r="A31" s="1162" t="s">
        <v>494</v>
      </c>
      <c r="B31" s="1169">
        <v>6292</v>
      </c>
      <c r="C31" s="1170">
        <v>3272</v>
      </c>
      <c r="D31" s="1169">
        <v>210740</v>
      </c>
      <c r="E31" s="1170">
        <v>209192</v>
      </c>
      <c r="F31" s="1171">
        <v>547048.82999999996</v>
      </c>
      <c r="G31" s="1172">
        <v>21425534.399999999</v>
      </c>
      <c r="H31" s="1172">
        <v>771438.02</v>
      </c>
      <c r="I31" s="1172">
        <v>237635</v>
      </c>
      <c r="J31" s="1172">
        <v>223149.02</v>
      </c>
      <c r="K31" s="1170">
        <v>448818.94</v>
      </c>
      <c r="L31" s="1173">
        <v>4724227.2699999996</v>
      </c>
      <c r="M31" s="1172">
        <v>29533387.940000001</v>
      </c>
      <c r="N31" s="1172">
        <v>4059537</v>
      </c>
      <c r="O31" s="1172">
        <v>4949577.46</v>
      </c>
      <c r="P31" s="1172">
        <v>815703.49</v>
      </c>
      <c r="Q31" s="1174">
        <v>896761.5</v>
      </c>
    </row>
    <row r="32" spans="1:17">
      <c r="A32" s="1162" t="s">
        <v>495</v>
      </c>
      <c r="B32" s="1169">
        <v>10685</v>
      </c>
      <c r="C32" s="1170">
        <v>422</v>
      </c>
      <c r="D32" s="1169">
        <v>226299</v>
      </c>
      <c r="E32" s="1170">
        <v>208466</v>
      </c>
      <c r="F32" s="1171">
        <v>512011.31</v>
      </c>
      <c r="G32" s="1172">
        <v>20842163.210000001</v>
      </c>
      <c r="H32" s="1172">
        <v>785787.64</v>
      </c>
      <c r="I32" s="1172">
        <v>155069.64000000001</v>
      </c>
      <c r="J32" s="1172">
        <v>356731.53</v>
      </c>
      <c r="K32" s="1170">
        <v>805696.66</v>
      </c>
      <c r="L32" s="1173">
        <v>4491165.8600000003</v>
      </c>
      <c r="M32" s="1172">
        <v>28643190.489999998</v>
      </c>
      <c r="N32" s="1172">
        <v>4654007.57</v>
      </c>
      <c r="O32" s="1172">
        <v>4628493.18</v>
      </c>
      <c r="P32" s="1172">
        <v>1124619.74</v>
      </c>
      <c r="Q32" s="1174">
        <v>1380046.93</v>
      </c>
    </row>
    <row r="33" spans="1:17">
      <c r="A33" s="1162" t="s">
        <v>496</v>
      </c>
      <c r="B33" s="1169">
        <v>7549</v>
      </c>
      <c r="C33" s="1170">
        <v>250</v>
      </c>
      <c r="D33" s="1169">
        <v>216674</v>
      </c>
      <c r="E33" s="1170">
        <v>199558</v>
      </c>
      <c r="F33" s="1171">
        <v>503928.32000000001</v>
      </c>
      <c r="G33" s="1172">
        <v>19133181.32</v>
      </c>
      <c r="H33" s="1172">
        <v>727734.71</v>
      </c>
      <c r="I33" s="1172">
        <v>45643.54</v>
      </c>
      <c r="J33" s="1172">
        <v>185362.35</v>
      </c>
      <c r="K33" s="1170">
        <v>555077.9</v>
      </c>
      <c r="L33" s="1173">
        <v>2447130.64</v>
      </c>
      <c r="M33" s="1172">
        <v>27009726.82</v>
      </c>
      <c r="N33" s="1172">
        <v>4368632.57</v>
      </c>
      <c r="O33" s="1172">
        <v>4552756.38</v>
      </c>
      <c r="P33" s="1172">
        <v>743575.24</v>
      </c>
      <c r="Q33" s="1174">
        <v>930736.42</v>
      </c>
    </row>
    <row r="34" spans="1:17">
      <c r="A34" s="1162" t="s">
        <v>497</v>
      </c>
      <c r="B34" s="1169">
        <v>4862</v>
      </c>
      <c r="C34" s="1170">
        <v>2333</v>
      </c>
      <c r="D34" s="1169">
        <v>193133</v>
      </c>
      <c r="E34" s="1170">
        <v>183176</v>
      </c>
      <c r="F34" s="1178">
        <v>992259.51</v>
      </c>
      <c r="G34" s="1172">
        <v>22590044.550000001</v>
      </c>
      <c r="H34" s="1172">
        <v>897289.54</v>
      </c>
      <c r="I34" s="1172">
        <v>20484</v>
      </c>
      <c r="J34" s="1172">
        <v>74378.17</v>
      </c>
      <c r="K34" s="1170">
        <v>342730.22</v>
      </c>
      <c r="L34" s="1173">
        <v>4749765.8499999996</v>
      </c>
      <c r="M34" s="1172">
        <v>30408489.329999998</v>
      </c>
      <c r="N34" s="1172">
        <v>5634854.0800000001</v>
      </c>
      <c r="O34" s="1172">
        <v>5794467.29</v>
      </c>
      <c r="P34" s="1172">
        <v>745710.65</v>
      </c>
      <c r="Q34" s="1174">
        <v>954475.32</v>
      </c>
    </row>
    <row r="35" spans="1:17">
      <c r="A35" s="1162" t="s">
        <v>498</v>
      </c>
      <c r="B35" s="1169">
        <v>6007</v>
      </c>
      <c r="C35" s="1170">
        <v>2657</v>
      </c>
      <c r="D35" s="1169">
        <v>202058</v>
      </c>
      <c r="E35" s="1170">
        <v>197948</v>
      </c>
      <c r="F35" s="1171">
        <v>276228.90000000002</v>
      </c>
      <c r="G35" s="1172">
        <v>21956283.170000002</v>
      </c>
      <c r="H35" s="1172">
        <v>605505.57999999996</v>
      </c>
      <c r="I35" s="1172">
        <v>63982</v>
      </c>
      <c r="J35" s="1172">
        <v>156553.42000000001</v>
      </c>
      <c r="K35" s="1170">
        <v>415449.36</v>
      </c>
      <c r="L35" s="1173">
        <v>3751559.97</v>
      </c>
      <c r="M35" s="1172">
        <v>31489157.059999999</v>
      </c>
      <c r="N35" s="1172">
        <v>3499950.34</v>
      </c>
      <c r="O35" s="1172">
        <v>3139577.04</v>
      </c>
      <c r="P35" s="1172">
        <v>715153.45</v>
      </c>
      <c r="Q35" s="1174">
        <v>906828.83</v>
      </c>
    </row>
    <row r="36" spans="1:17">
      <c r="A36" s="1162" t="s">
        <v>499</v>
      </c>
      <c r="B36" s="1169">
        <v>4536</v>
      </c>
      <c r="C36" s="1170">
        <v>2523</v>
      </c>
      <c r="D36" s="1169">
        <v>191830</v>
      </c>
      <c r="E36" s="1170">
        <v>190660</v>
      </c>
      <c r="F36" s="1171">
        <v>633821.57999999996</v>
      </c>
      <c r="G36" s="1172">
        <v>19444712.289999999</v>
      </c>
      <c r="H36" s="1172">
        <v>689917.87</v>
      </c>
      <c r="I36" s="1172">
        <v>104298.95</v>
      </c>
      <c r="J36" s="1172">
        <v>156050.03</v>
      </c>
      <c r="K36" s="1170">
        <v>493299.35</v>
      </c>
      <c r="L36" s="1173">
        <v>5391399.0800000001</v>
      </c>
      <c r="M36" s="1172">
        <v>26757180.57</v>
      </c>
      <c r="N36" s="1172">
        <v>4413725.2699999996</v>
      </c>
      <c r="O36" s="1172">
        <v>3772114.35</v>
      </c>
      <c r="P36" s="1172">
        <v>527123.87</v>
      </c>
      <c r="Q36" s="1174">
        <v>942532.54</v>
      </c>
    </row>
    <row r="37" spans="1:17">
      <c r="A37" s="1162" t="s">
        <v>500</v>
      </c>
      <c r="B37" s="1169">
        <v>5094</v>
      </c>
      <c r="C37" s="1170">
        <v>3123</v>
      </c>
      <c r="D37" s="1169">
        <v>252812</v>
      </c>
      <c r="E37" s="1170">
        <v>248800</v>
      </c>
      <c r="F37" s="1171">
        <v>606557.77</v>
      </c>
      <c r="G37" s="1172">
        <v>10905158.390000001</v>
      </c>
      <c r="H37" s="1172">
        <v>634220.85</v>
      </c>
      <c r="I37" s="1172">
        <v>68633.820000000007</v>
      </c>
      <c r="J37" s="1172">
        <v>263960.08</v>
      </c>
      <c r="K37" s="1170">
        <v>382181.06</v>
      </c>
      <c r="L37" s="1173">
        <v>4024493.51</v>
      </c>
      <c r="M37" s="1172">
        <v>14854941.27</v>
      </c>
      <c r="N37" s="1172">
        <v>4104728.27</v>
      </c>
      <c r="O37" s="1172">
        <v>3643771.22</v>
      </c>
      <c r="P37" s="1172">
        <v>691674.42</v>
      </c>
      <c r="Q37" s="1174">
        <v>761759.44</v>
      </c>
    </row>
    <row r="38" spans="1:17">
      <c r="A38" s="1162" t="s">
        <v>501</v>
      </c>
      <c r="B38" s="1169">
        <v>4985</v>
      </c>
      <c r="C38" s="1170">
        <v>3697</v>
      </c>
      <c r="D38" s="1169">
        <v>211282</v>
      </c>
      <c r="E38" s="1170">
        <v>216701</v>
      </c>
      <c r="F38" s="1178">
        <v>616786.25</v>
      </c>
      <c r="G38" s="1172">
        <v>15906419.699999999</v>
      </c>
      <c r="H38" s="1172">
        <v>672031.21</v>
      </c>
      <c r="I38" s="1172">
        <v>24206</v>
      </c>
      <c r="J38" s="1172">
        <v>209286.48</v>
      </c>
      <c r="K38" s="1170">
        <v>465272.54</v>
      </c>
      <c r="L38" s="1173">
        <v>4192135.22</v>
      </c>
      <c r="M38" s="1172">
        <v>22320169.370000001</v>
      </c>
      <c r="N38" s="1172">
        <v>4459675</v>
      </c>
      <c r="O38" s="1172">
        <v>3679789.97</v>
      </c>
      <c r="P38" s="1172">
        <v>581305.74</v>
      </c>
      <c r="Q38" s="1174">
        <v>980784.59</v>
      </c>
    </row>
    <row r="39" spans="1:17">
      <c r="A39" s="1162" t="s">
        <v>502</v>
      </c>
      <c r="B39" s="1169">
        <v>9094</v>
      </c>
      <c r="C39" s="1170">
        <v>4928</v>
      </c>
      <c r="D39" s="1169">
        <v>233049</v>
      </c>
      <c r="E39" s="1170">
        <v>240299</v>
      </c>
      <c r="F39" s="1171">
        <v>488822.7</v>
      </c>
      <c r="G39" s="1172">
        <v>21708493.59</v>
      </c>
      <c r="H39" s="1172">
        <v>1065285.47</v>
      </c>
      <c r="I39" s="1172">
        <v>46006.13</v>
      </c>
      <c r="J39" s="1172">
        <v>296047.08</v>
      </c>
      <c r="K39" s="1170">
        <v>340707.22</v>
      </c>
      <c r="L39" s="1173">
        <v>6014522.6699999999</v>
      </c>
      <c r="M39" s="1172">
        <v>30322163.620000001</v>
      </c>
      <c r="N39" s="1172">
        <v>4987331.87</v>
      </c>
      <c r="O39" s="1172">
        <v>4173432.45</v>
      </c>
      <c r="P39" s="1172">
        <v>683331.08</v>
      </c>
      <c r="Q39" s="1174">
        <v>633383.12</v>
      </c>
    </row>
    <row r="40" spans="1:17">
      <c r="A40" s="1162" t="s">
        <v>503</v>
      </c>
      <c r="B40" s="1169">
        <v>5673</v>
      </c>
      <c r="C40" s="1170">
        <v>2785</v>
      </c>
      <c r="D40" s="1169">
        <v>245586</v>
      </c>
      <c r="E40" s="1170">
        <v>228483</v>
      </c>
      <c r="F40" s="1171">
        <v>997610.65</v>
      </c>
      <c r="G40" s="1172">
        <v>22271678.800000001</v>
      </c>
      <c r="H40" s="1172">
        <v>1002325.66</v>
      </c>
      <c r="I40" s="1172">
        <v>88110</v>
      </c>
      <c r="J40" s="1172">
        <v>84345.61</v>
      </c>
      <c r="K40" s="1170">
        <v>382727.29</v>
      </c>
      <c r="L40" s="1173">
        <v>7181107.3799999999</v>
      </c>
      <c r="M40" s="1172">
        <v>32293089.059999999</v>
      </c>
      <c r="N40" s="1172">
        <v>4772111.04</v>
      </c>
      <c r="O40" s="1172">
        <v>3762456.08</v>
      </c>
      <c r="P40" s="1172">
        <v>448440.21</v>
      </c>
      <c r="Q40" s="1174">
        <v>809900.65</v>
      </c>
    </row>
    <row r="41" spans="1:17">
      <c r="A41" s="1162" t="s">
        <v>504</v>
      </c>
      <c r="B41" s="1169">
        <v>4653</v>
      </c>
      <c r="C41" s="1170">
        <v>3976</v>
      </c>
      <c r="D41" s="1169">
        <v>183475</v>
      </c>
      <c r="E41" s="1170">
        <v>182510</v>
      </c>
      <c r="F41" s="1171">
        <v>1031283.7</v>
      </c>
      <c r="G41" s="1172">
        <v>16811488.850000001</v>
      </c>
      <c r="H41" s="1172">
        <v>942645.26</v>
      </c>
      <c r="I41" s="1172">
        <v>46230.03</v>
      </c>
      <c r="J41" s="1172">
        <v>166817.70000000001</v>
      </c>
      <c r="K41" s="1170">
        <v>232488.88</v>
      </c>
      <c r="L41" s="1173">
        <v>5156912.87</v>
      </c>
      <c r="M41" s="1172">
        <v>23671022.969999999</v>
      </c>
      <c r="N41" s="1172">
        <v>4287623.01</v>
      </c>
      <c r="O41" s="1172">
        <v>3921633.85</v>
      </c>
      <c r="P41" s="1172">
        <v>474282.06</v>
      </c>
      <c r="Q41" s="1174">
        <v>667813.46</v>
      </c>
    </row>
    <row r="42" spans="1:17">
      <c r="A42" s="1162" t="s">
        <v>505</v>
      </c>
      <c r="B42" s="1169">
        <v>4994</v>
      </c>
      <c r="C42" s="1170">
        <v>3393</v>
      </c>
      <c r="D42" s="1169">
        <v>203481</v>
      </c>
      <c r="E42" s="1170">
        <v>195666</v>
      </c>
      <c r="F42" s="1178">
        <v>881749.23</v>
      </c>
      <c r="G42" s="1172">
        <v>23677800.41</v>
      </c>
      <c r="H42" s="1172">
        <v>1945742.27</v>
      </c>
      <c r="I42" s="1172">
        <v>207135.95</v>
      </c>
      <c r="J42" s="1172">
        <v>85351.46</v>
      </c>
      <c r="K42" s="1170">
        <v>303666.18</v>
      </c>
      <c r="L42" s="1173">
        <v>6223483.9100000001</v>
      </c>
      <c r="M42" s="1172">
        <v>36484351.280000001</v>
      </c>
      <c r="N42" s="1172">
        <v>6091325.5099999998</v>
      </c>
      <c r="O42" s="1172">
        <v>5226606.3</v>
      </c>
      <c r="P42" s="1172">
        <v>568761.61</v>
      </c>
      <c r="Q42" s="1174">
        <v>816645.68</v>
      </c>
    </row>
    <row r="43" spans="1:17">
      <c r="A43" s="1162" t="s">
        <v>506</v>
      </c>
      <c r="B43" s="1169">
        <v>4032</v>
      </c>
      <c r="C43" s="1170">
        <v>6225</v>
      </c>
      <c r="D43" s="1169">
        <v>205386</v>
      </c>
      <c r="E43" s="1170">
        <v>208138</v>
      </c>
      <c r="F43" s="1171">
        <v>538396.14</v>
      </c>
      <c r="G43" s="1172">
        <v>14356618.779999999</v>
      </c>
      <c r="H43" s="1172">
        <v>833771.43</v>
      </c>
      <c r="I43" s="1172">
        <v>47542.21</v>
      </c>
      <c r="J43" s="1172">
        <v>37970.199999999997</v>
      </c>
      <c r="K43" s="1170">
        <v>243986.82</v>
      </c>
      <c r="L43" s="1173">
        <v>4784281.83</v>
      </c>
      <c r="M43" s="1172">
        <v>19759587.98</v>
      </c>
      <c r="N43" s="1172">
        <v>3311672.54</v>
      </c>
      <c r="O43" s="1172">
        <v>2922664.89</v>
      </c>
      <c r="P43" s="1172">
        <v>363477.59</v>
      </c>
      <c r="Q43" s="1174">
        <v>491399.41</v>
      </c>
    </row>
    <row r="44" spans="1:17">
      <c r="A44" s="1162" t="s">
        <v>507</v>
      </c>
      <c r="B44" s="1169">
        <v>5503</v>
      </c>
      <c r="C44" s="1170">
        <v>5305</v>
      </c>
      <c r="D44" s="1169">
        <v>225207</v>
      </c>
      <c r="E44" s="1170">
        <v>234913</v>
      </c>
      <c r="F44" s="1171">
        <v>706684.81</v>
      </c>
      <c r="G44" s="1172">
        <v>17159654.75</v>
      </c>
      <c r="H44" s="1172">
        <v>1189772.08</v>
      </c>
      <c r="I44" s="1172">
        <v>59652.44</v>
      </c>
      <c r="J44" s="1172">
        <v>284833.37</v>
      </c>
      <c r="K44" s="1170">
        <v>676416.42</v>
      </c>
      <c r="L44" s="1173">
        <v>6539168.2000000002</v>
      </c>
      <c r="M44" s="1172">
        <v>25894948.16</v>
      </c>
      <c r="N44" s="1172">
        <v>5419997.5499999998</v>
      </c>
      <c r="O44" s="1172">
        <v>4440327.22</v>
      </c>
      <c r="P44" s="1172">
        <v>709511.77</v>
      </c>
      <c r="Q44" s="1174">
        <v>853887.07</v>
      </c>
    </row>
    <row r="45" spans="1:17">
      <c r="A45" s="1162" t="s">
        <v>508</v>
      </c>
      <c r="B45" s="1169">
        <v>2795</v>
      </c>
      <c r="C45" s="1170">
        <v>3744</v>
      </c>
      <c r="D45" s="1169">
        <v>207598</v>
      </c>
      <c r="E45" s="1170">
        <v>198836</v>
      </c>
      <c r="F45" s="1171">
        <v>1020661.44</v>
      </c>
      <c r="G45" s="1172">
        <v>22539661.93</v>
      </c>
      <c r="H45" s="1172">
        <v>2052017.08</v>
      </c>
      <c r="I45" s="1172">
        <v>261673.19</v>
      </c>
      <c r="J45" s="1172">
        <v>665075.23</v>
      </c>
      <c r="K45" s="1170">
        <v>980813.45</v>
      </c>
      <c r="L45" s="1173">
        <v>4097770.96</v>
      </c>
      <c r="M45" s="1172">
        <v>30043682.23</v>
      </c>
      <c r="N45" s="1172">
        <v>6212288.3899999997</v>
      </c>
      <c r="O45" s="1172">
        <v>4712789.6100000003</v>
      </c>
      <c r="P45" s="1172">
        <v>994444.88</v>
      </c>
      <c r="Q45" s="1174">
        <v>1155903.05</v>
      </c>
    </row>
    <row r="46" spans="1:17" s="1181" customFormat="1" ht="15">
      <c r="A46" s="1162" t="s">
        <v>509</v>
      </c>
      <c r="B46" s="1169">
        <v>1168</v>
      </c>
      <c r="C46" s="1170">
        <v>5849</v>
      </c>
      <c r="D46" s="1169">
        <v>173403</v>
      </c>
      <c r="E46" s="1170">
        <v>172218</v>
      </c>
      <c r="F46" s="1171">
        <v>916401</v>
      </c>
      <c r="G46" s="1172">
        <v>9204286.6699999999</v>
      </c>
      <c r="H46" s="1172">
        <v>1053798.07</v>
      </c>
      <c r="I46" s="1172">
        <v>116000</v>
      </c>
      <c r="J46" s="1172">
        <v>211066.91</v>
      </c>
      <c r="K46" s="1170">
        <v>387520.06</v>
      </c>
      <c r="L46" s="1173">
        <v>4374085.6500000004</v>
      </c>
      <c r="M46" s="1172">
        <v>15373303.470000001</v>
      </c>
      <c r="N46" s="1172">
        <v>5153941.7699999996</v>
      </c>
      <c r="O46" s="1172">
        <v>4207044.51</v>
      </c>
      <c r="P46" s="1172">
        <v>561520.64000000001</v>
      </c>
      <c r="Q46" s="1174">
        <v>608539.53</v>
      </c>
    </row>
    <row r="47" spans="1:17">
      <c r="A47" s="1162" t="s">
        <v>510</v>
      </c>
      <c r="B47" s="1169">
        <v>1721</v>
      </c>
      <c r="C47" s="1170">
        <v>4341</v>
      </c>
      <c r="D47" s="1169">
        <v>184789</v>
      </c>
      <c r="E47" s="1170">
        <v>196359</v>
      </c>
      <c r="F47" s="1171">
        <v>1532669.06</v>
      </c>
      <c r="G47" s="1172">
        <v>13574434.140000001</v>
      </c>
      <c r="H47" s="1172">
        <v>922139.8</v>
      </c>
      <c r="I47" s="1172">
        <v>121070.18</v>
      </c>
      <c r="J47" s="1172">
        <v>281805.40999999997</v>
      </c>
      <c r="K47" s="1170">
        <v>486367.76</v>
      </c>
      <c r="L47" s="1173">
        <v>6642208.4400000004</v>
      </c>
      <c r="M47" s="1172">
        <v>22060058.66</v>
      </c>
      <c r="N47" s="1172">
        <v>4255185.16</v>
      </c>
      <c r="O47" s="1172">
        <v>4081440.78</v>
      </c>
      <c r="P47" s="1172">
        <v>733574.91</v>
      </c>
      <c r="Q47" s="1174">
        <v>762885.85</v>
      </c>
    </row>
    <row r="48" spans="1:17">
      <c r="A48" s="1162" t="s">
        <v>511</v>
      </c>
      <c r="B48" s="1169">
        <v>3904</v>
      </c>
      <c r="C48" s="1170">
        <v>5270</v>
      </c>
      <c r="D48" s="1169">
        <v>217825</v>
      </c>
      <c r="E48" s="1170">
        <v>220392</v>
      </c>
      <c r="F48" s="1171">
        <v>1000366.04</v>
      </c>
      <c r="G48" s="1172">
        <v>12800173.310000001</v>
      </c>
      <c r="H48" s="1172">
        <v>1031474.49</v>
      </c>
      <c r="I48" s="1172">
        <v>142289.26999999999</v>
      </c>
      <c r="J48" s="1172">
        <v>439844.67</v>
      </c>
      <c r="K48" s="1170">
        <v>647926.67000000004</v>
      </c>
      <c r="L48" s="1173">
        <v>5103112.67</v>
      </c>
      <c r="M48" s="1172">
        <v>22315744.100000001</v>
      </c>
      <c r="N48" s="1172">
        <v>4650266.5999999996</v>
      </c>
      <c r="O48" s="1172">
        <v>3679848.52</v>
      </c>
      <c r="P48" s="1172">
        <v>917674.56</v>
      </c>
      <c r="Q48" s="1174">
        <v>931198.81</v>
      </c>
    </row>
    <row r="49" spans="1:17">
      <c r="A49" s="1162" t="s">
        <v>512</v>
      </c>
      <c r="B49" s="1169">
        <v>3617</v>
      </c>
      <c r="C49" s="1170">
        <v>3062</v>
      </c>
      <c r="D49" s="1169">
        <v>166539</v>
      </c>
      <c r="E49" s="1170">
        <v>143728</v>
      </c>
      <c r="F49" s="1171">
        <v>849611.42</v>
      </c>
      <c r="G49" s="1172">
        <v>8863614.1999999993</v>
      </c>
      <c r="H49" s="1172">
        <v>759905.79</v>
      </c>
      <c r="I49" s="1172">
        <v>66077</v>
      </c>
      <c r="J49" s="1172">
        <v>629779.62</v>
      </c>
      <c r="K49" s="1170">
        <v>1158612.97</v>
      </c>
      <c r="L49" s="1173">
        <v>3163051.05</v>
      </c>
      <c r="M49" s="1172">
        <v>14175040.73</v>
      </c>
      <c r="N49" s="1172">
        <v>4183748.15</v>
      </c>
      <c r="O49" s="1172">
        <v>3586830.28</v>
      </c>
      <c r="P49" s="1172">
        <v>1246110.26</v>
      </c>
      <c r="Q49" s="1174">
        <v>1464763.56</v>
      </c>
    </row>
    <row r="50" spans="1:17">
      <c r="A50" s="1162" t="s">
        <v>513</v>
      </c>
      <c r="B50" s="2387">
        <v>5482</v>
      </c>
      <c r="C50" s="2388">
        <v>2711</v>
      </c>
      <c r="D50" s="2387">
        <v>171355</v>
      </c>
      <c r="E50" s="2388">
        <v>158374</v>
      </c>
      <c r="F50" s="2389">
        <v>586567.23</v>
      </c>
      <c r="G50" s="2390">
        <v>15128130.26</v>
      </c>
      <c r="H50" s="2390">
        <v>742433.36</v>
      </c>
      <c r="I50" s="2390">
        <v>42833</v>
      </c>
      <c r="J50" s="2390">
        <v>408422.91</v>
      </c>
      <c r="K50" s="2388">
        <v>670918.5</v>
      </c>
      <c r="L50" s="2391">
        <v>2606953.8199999998</v>
      </c>
      <c r="M50" s="2390">
        <v>23083496.420000002</v>
      </c>
      <c r="N50" s="2390">
        <v>4045051.75</v>
      </c>
      <c r="O50" s="2390">
        <v>3832508.46</v>
      </c>
      <c r="P50" s="2390">
        <v>1004788.43</v>
      </c>
      <c r="Q50" s="2392">
        <v>1007168</v>
      </c>
    </row>
    <row r="51" spans="1:17">
      <c r="A51" s="1162" t="s">
        <v>514</v>
      </c>
      <c r="B51" s="2387">
        <v>6104</v>
      </c>
      <c r="C51" s="2388">
        <v>5408</v>
      </c>
      <c r="D51" s="2387">
        <v>148611</v>
      </c>
      <c r="E51" s="2388">
        <v>140475</v>
      </c>
      <c r="F51" s="2389">
        <v>389772.36</v>
      </c>
      <c r="G51" s="2390">
        <v>20070463.59</v>
      </c>
      <c r="H51" s="2390">
        <v>965309.49</v>
      </c>
      <c r="I51" s="2390">
        <v>24913</v>
      </c>
      <c r="J51" s="2390">
        <v>400113.7</v>
      </c>
      <c r="K51" s="2388">
        <v>638440.82999999996</v>
      </c>
      <c r="L51" s="2391">
        <v>4264095.91</v>
      </c>
      <c r="M51" s="2390">
        <v>28269810.16</v>
      </c>
      <c r="N51" s="2390">
        <v>3700958.12</v>
      </c>
      <c r="O51" s="2390">
        <v>4030910.27</v>
      </c>
      <c r="P51" s="2390">
        <v>975355</v>
      </c>
      <c r="Q51" s="2392">
        <v>960820.61</v>
      </c>
    </row>
    <row r="52" spans="1:17">
      <c r="A52" s="1162" t="s">
        <v>515</v>
      </c>
      <c r="B52" s="2387">
        <v>7157</v>
      </c>
      <c r="C52" s="2388">
        <v>7416</v>
      </c>
      <c r="D52" s="2387">
        <v>180218</v>
      </c>
      <c r="E52" s="2388">
        <v>193354</v>
      </c>
      <c r="F52" s="2389">
        <v>412352.32</v>
      </c>
      <c r="G52" s="2390">
        <v>16264646.66</v>
      </c>
      <c r="H52" s="2390">
        <v>975332.77</v>
      </c>
      <c r="I52" s="2390">
        <v>37682.32</v>
      </c>
      <c r="J52" s="2390">
        <v>182402.59</v>
      </c>
      <c r="K52" s="2388">
        <v>256522.57</v>
      </c>
      <c r="L52" s="2391">
        <v>4538691.5999999996</v>
      </c>
      <c r="M52" s="2390">
        <v>24642168.510000002</v>
      </c>
      <c r="N52" s="2390">
        <v>4378426.26</v>
      </c>
      <c r="O52" s="2390">
        <v>4142697.24</v>
      </c>
      <c r="P52" s="2390">
        <v>896088.63</v>
      </c>
      <c r="Q52" s="2392">
        <v>540987.47</v>
      </c>
    </row>
    <row r="53" spans="1:17">
      <c r="A53" s="1162" t="s">
        <v>516</v>
      </c>
      <c r="B53" s="2387">
        <v>2431</v>
      </c>
      <c r="C53" s="2388">
        <v>2665</v>
      </c>
      <c r="D53" s="2387">
        <v>23285</v>
      </c>
      <c r="E53" s="2388">
        <v>23956</v>
      </c>
      <c r="F53" s="2389">
        <v>242467.72</v>
      </c>
      <c r="G53" s="2390">
        <v>8136568.3399999999</v>
      </c>
      <c r="H53" s="2390">
        <v>375609.88</v>
      </c>
      <c r="I53" s="2390">
        <v>30473</v>
      </c>
      <c r="J53" s="2390">
        <v>96454.3</v>
      </c>
      <c r="K53" s="2388">
        <v>180470.01</v>
      </c>
      <c r="L53" s="2391">
        <v>1116743.8700000001</v>
      </c>
      <c r="M53" s="2390">
        <v>10238993.07</v>
      </c>
      <c r="N53" s="2390">
        <v>603110.30000000005</v>
      </c>
      <c r="O53" s="2390">
        <v>1110038.4099999999</v>
      </c>
      <c r="P53" s="2390">
        <v>212223.22</v>
      </c>
      <c r="Q53" s="2392">
        <v>240379.96</v>
      </c>
    </row>
    <row r="54" spans="1:17">
      <c r="A54" s="1162" t="s">
        <v>517</v>
      </c>
      <c r="B54" s="1182" t="e">
        <v>#N/A</v>
      </c>
      <c r="C54" s="1183" t="e">
        <v>#N/A</v>
      </c>
      <c r="D54" s="1184" t="e">
        <v>#N/A</v>
      </c>
      <c r="E54" s="1183" t="e">
        <v>#N/A</v>
      </c>
      <c r="F54" s="1185" t="e">
        <v>#N/A</v>
      </c>
      <c r="G54" s="1186" t="e">
        <v>#N/A</v>
      </c>
      <c r="H54" s="1186" t="e">
        <v>#N/A</v>
      </c>
      <c r="I54" s="1186" t="e">
        <v>#N/A</v>
      </c>
      <c r="J54" s="1186" t="e">
        <v>#N/A</v>
      </c>
      <c r="K54" s="1187" t="e">
        <v>#N/A</v>
      </c>
      <c r="L54" s="1188" t="e">
        <v>#N/A</v>
      </c>
      <c r="M54" s="1186" t="e">
        <v>#N/A</v>
      </c>
      <c r="N54" s="1186" t="e">
        <v>#N/A</v>
      </c>
      <c r="O54" s="1186" t="e">
        <v>#N/A</v>
      </c>
      <c r="P54" s="1186" t="e">
        <v>#N/A</v>
      </c>
      <c r="Q54" s="1189" t="e">
        <v>#N/A</v>
      </c>
    </row>
    <row r="55" spans="1:17">
      <c r="A55" s="1162" t="s">
        <v>518</v>
      </c>
      <c r="B55" s="1182" t="e">
        <v>#N/A</v>
      </c>
      <c r="C55" s="1183" t="e">
        <v>#N/A</v>
      </c>
      <c r="D55" s="1184" t="e">
        <v>#N/A</v>
      </c>
      <c r="E55" s="1183" t="e">
        <v>#N/A</v>
      </c>
      <c r="F55" s="1185" t="e">
        <v>#N/A</v>
      </c>
      <c r="G55" s="1186" t="e">
        <v>#N/A</v>
      </c>
      <c r="H55" s="1186" t="e">
        <v>#N/A</v>
      </c>
      <c r="I55" s="1186" t="e">
        <v>#N/A</v>
      </c>
      <c r="J55" s="1186" t="e">
        <v>#N/A</v>
      </c>
      <c r="K55" s="1187" t="e">
        <v>#N/A</v>
      </c>
      <c r="L55" s="1188" t="e">
        <v>#N/A</v>
      </c>
      <c r="M55" s="1186" t="e">
        <v>#N/A</v>
      </c>
      <c r="N55" s="1186" t="e">
        <v>#N/A</v>
      </c>
      <c r="O55" s="1186" t="e">
        <v>#N/A</v>
      </c>
      <c r="P55" s="1186" t="e">
        <v>#N/A</v>
      </c>
      <c r="Q55" s="1189" t="e">
        <v>#N/A</v>
      </c>
    </row>
    <row r="56" spans="1:17">
      <c r="A56" s="1162" t="s">
        <v>519</v>
      </c>
      <c r="B56" s="1182" t="e">
        <v>#N/A</v>
      </c>
      <c r="C56" s="1183" t="e">
        <v>#N/A</v>
      </c>
      <c r="D56" s="1184" t="e">
        <v>#N/A</v>
      </c>
      <c r="E56" s="1183" t="e">
        <v>#N/A</v>
      </c>
      <c r="F56" s="1185" t="e">
        <v>#N/A</v>
      </c>
      <c r="G56" s="1186" t="e">
        <v>#N/A</v>
      </c>
      <c r="H56" s="1186" t="e">
        <v>#N/A</v>
      </c>
      <c r="I56" s="1186" t="e">
        <v>#N/A</v>
      </c>
      <c r="J56" s="1186" t="e">
        <v>#N/A</v>
      </c>
      <c r="K56" s="1187" t="e">
        <v>#N/A</v>
      </c>
      <c r="L56" s="1188" t="e">
        <v>#N/A</v>
      </c>
      <c r="M56" s="1186" t="e">
        <v>#N/A</v>
      </c>
      <c r="N56" s="1186" t="e">
        <v>#N/A</v>
      </c>
      <c r="O56" s="1186" t="e">
        <v>#N/A</v>
      </c>
      <c r="P56" s="1186" t="e">
        <v>#N/A</v>
      </c>
      <c r="Q56" s="1189" t="e">
        <v>#N/A</v>
      </c>
    </row>
    <row r="57" spans="1:17">
      <c r="A57" s="1162" t="s">
        <v>520</v>
      </c>
      <c r="B57" s="1182" t="e">
        <v>#N/A</v>
      </c>
      <c r="C57" s="1183" t="e">
        <v>#N/A</v>
      </c>
      <c r="D57" s="1184" t="e">
        <v>#N/A</v>
      </c>
      <c r="E57" s="1183" t="e">
        <v>#N/A</v>
      </c>
      <c r="F57" s="1185" t="e">
        <v>#N/A</v>
      </c>
      <c r="G57" s="1186" t="e">
        <v>#N/A</v>
      </c>
      <c r="H57" s="1186" t="e">
        <v>#N/A</v>
      </c>
      <c r="I57" s="1186" t="e">
        <v>#N/A</v>
      </c>
      <c r="J57" s="1186" t="e">
        <v>#N/A</v>
      </c>
      <c r="K57" s="1187" t="e">
        <v>#N/A</v>
      </c>
      <c r="L57" s="1188" t="e">
        <v>#N/A</v>
      </c>
      <c r="M57" s="1186" t="e">
        <v>#N/A</v>
      </c>
      <c r="N57" s="1186" t="e">
        <v>#N/A</v>
      </c>
      <c r="O57" s="1186" t="e">
        <v>#N/A</v>
      </c>
      <c r="P57" s="1186" t="e">
        <v>#N/A</v>
      </c>
      <c r="Q57" s="1189" t="e">
        <v>#N/A</v>
      </c>
    </row>
    <row r="58" spans="1:17">
      <c r="A58" s="1162" t="s">
        <v>521</v>
      </c>
      <c r="B58" s="1182" t="e">
        <v>#N/A</v>
      </c>
      <c r="C58" s="1183" t="e">
        <v>#N/A</v>
      </c>
      <c r="D58" s="1184" t="e">
        <v>#N/A</v>
      </c>
      <c r="E58" s="1183" t="e">
        <v>#N/A</v>
      </c>
      <c r="F58" s="1185" t="e">
        <v>#N/A</v>
      </c>
      <c r="G58" s="1186" t="e">
        <v>#N/A</v>
      </c>
      <c r="H58" s="1186" t="e">
        <v>#N/A</v>
      </c>
      <c r="I58" s="1186" t="e">
        <v>#N/A</v>
      </c>
      <c r="J58" s="1186" t="e">
        <v>#N/A</v>
      </c>
      <c r="K58" s="1187" t="e">
        <v>#N/A</v>
      </c>
      <c r="L58" s="1188" t="e">
        <v>#N/A</v>
      </c>
      <c r="M58" s="1186" t="e">
        <v>#N/A</v>
      </c>
      <c r="N58" s="1186" t="e">
        <v>#N/A</v>
      </c>
      <c r="O58" s="1186" t="e">
        <v>#N/A</v>
      </c>
      <c r="P58" s="1186" t="e">
        <v>#N/A</v>
      </c>
      <c r="Q58" s="1189" t="e">
        <v>#N/A</v>
      </c>
    </row>
    <row r="59" spans="1:17">
      <c r="A59" s="1162" t="s">
        <v>522</v>
      </c>
      <c r="B59" s="1182" t="e">
        <v>#N/A</v>
      </c>
      <c r="C59" s="1183" t="e">
        <v>#N/A</v>
      </c>
      <c r="D59" s="1184" t="e">
        <v>#N/A</v>
      </c>
      <c r="E59" s="1183" t="e">
        <v>#N/A</v>
      </c>
      <c r="F59" s="1185" t="e">
        <v>#N/A</v>
      </c>
      <c r="G59" s="1186" t="e">
        <v>#N/A</v>
      </c>
      <c r="H59" s="1186" t="e">
        <v>#N/A</v>
      </c>
      <c r="I59" s="1186" t="e">
        <v>#N/A</v>
      </c>
      <c r="J59" s="1186" t="e">
        <v>#N/A</v>
      </c>
      <c r="K59" s="1187" t="e">
        <v>#N/A</v>
      </c>
      <c r="L59" s="1188" t="e">
        <v>#N/A</v>
      </c>
      <c r="M59" s="1186" t="e">
        <v>#N/A</v>
      </c>
      <c r="N59" s="1186" t="e">
        <v>#N/A</v>
      </c>
      <c r="O59" s="1186" t="e">
        <v>#N/A</v>
      </c>
      <c r="P59" s="1186" t="e">
        <v>#N/A</v>
      </c>
      <c r="Q59" s="1189" t="e">
        <v>#N/A</v>
      </c>
    </row>
    <row r="60" spans="1:17">
      <c r="A60" s="1162" t="s">
        <v>523</v>
      </c>
      <c r="B60" s="1182" t="e">
        <v>#N/A</v>
      </c>
      <c r="C60" s="1183" t="e">
        <v>#N/A</v>
      </c>
      <c r="D60" s="1184" t="e">
        <v>#N/A</v>
      </c>
      <c r="E60" s="1183" t="e">
        <v>#N/A</v>
      </c>
      <c r="F60" s="1185" t="e">
        <v>#N/A</v>
      </c>
      <c r="G60" s="1186" t="e">
        <v>#N/A</v>
      </c>
      <c r="H60" s="1186" t="e">
        <v>#N/A</v>
      </c>
      <c r="I60" s="1186" t="e">
        <v>#N/A</v>
      </c>
      <c r="J60" s="1186" t="e">
        <v>#N/A</v>
      </c>
      <c r="K60" s="1187" t="e">
        <v>#N/A</v>
      </c>
      <c r="L60" s="1188" t="e">
        <v>#N/A</v>
      </c>
      <c r="M60" s="1186" t="e">
        <v>#N/A</v>
      </c>
      <c r="N60" s="1186" t="e">
        <v>#N/A</v>
      </c>
      <c r="O60" s="1186" t="e">
        <v>#N/A</v>
      </c>
      <c r="P60" s="1186" t="e">
        <v>#N/A</v>
      </c>
      <c r="Q60" s="1189" t="e">
        <v>#N/A</v>
      </c>
    </row>
    <row r="61" spans="1:17">
      <c r="A61" s="1162" t="s">
        <v>524</v>
      </c>
      <c r="B61" s="1182" t="e">
        <v>#N/A</v>
      </c>
      <c r="C61" s="1183" t="e">
        <v>#N/A</v>
      </c>
      <c r="D61" s="1184" t="e">
        <v>#N/A</v>
      </c>
      <c r="E61" s="1183" t="e">
        <v>#N/A</v>
      </c>
      <c r="F61" s="1185" t="e">
        <v>#N/A</v>
      </c>
      <c r="G61" s="1186" t="e">
        <v>#N/A</v>
      </c>
      <c r="H61" s="1186" t="e">
        <v>#N/A</v>
      </c>
      <c r="I61" s="1186" t="e">
        <v>#N/A</v>
      </c>
      <c r="J61" s="1186" t="e">
        <v>#N/A</v>
      </c>
      <c r="K61" s="1187" t="e">
        <v>#N/A</v>
      </c>
      <c r="L61" s="1188" t="e">
        <v>#N/A</v>
      </c>
      <c r="M61" s="1186" t="e">
        <v>#N/A</v>
      </c>
      <c r="N61" s="1186" t="e">
        <v>#N/A</v>
      </c>
      <c r="O61" s="1186" t="e">
        <v>#N/A</v>
      </c>
      <c r="P61" s="1186" t="e">
        <v>#N/A</v>
      </c>
      <c r="Q61" s="1189" t="e">
        <v>#N/A</v>
      </c>
    </row>
    <row r="62" spans="1:17">
      <c r="A62" s="1162" t="s">
        <v>525</v>
      </c>
      <c r="B62" s="1182" t="e">
        <v>#N/A</v>
      </c>
      <c r="C62" s="1183" t="e">
        <v>#N/A</v>
      </c>
      <c r="D62" s="1184" t="e">
        <v>#N/A</v>
      </c>
      <c r="E62" s="1183" t="e">
        <v>#N/A</v>
      </c>
      <c r="F62" s="1185" t="e">
        <v>#N/A</v>
      </c>
      <c r="G62" s="1186" t="e">
        <v>#N/A</v>
      </c>
      <c r="H62" s="1186" t="e">
        <v>#N/A</v>
      </c>
      <c r="I62" s="1186" t="e">
        <v>#N/A</v>
      </c>
      <c r="J62" s="1186" t="e">
        <v>#N/A</v>
      </c>
      <c r="K62" s="1187" t="e">
        <v>#N/A</v>
      </c>
      <c r="L62" s="1188" t="e">
        <v>#N/A</v>
      </c>
      <c r="M62" s="1186" t="e">
        <v>#N/A</v>
      </c>
      <c r="N62" s="1186" t="e">
        <v>#N/A</v>
      </c>
      <c r="O62" s="1186" t="e">
        <v>#N/A</v>
      </c>
      <c r="P62" s="1186" t="e">
        <v>#N/A</v>
      </c>
      <c r="Q62" s="1189" t="e">
        <v>#N/A</v>
      </c>
    </row>
    <row r="63" spans="1:17">
      <c r="A63" s="1162" t="s">
        <v>526</v>
      </c>
      <c r="B63" s="1182" t="e">
        <v>#N/A</v>
      </c>
      <c r="C63" s="1183" t="e">
        <v>#N/A</v>
      </c>
      <c r="D63" s="1184" t="e">
        <v>#N/A</v>
      </c>
      <c r="E63" s="1183" t="e">
        <v>#N/A</v>
      </c>
      <c r="F63" s="1185" t="e">
        <v>#N/A</v>
      </c>
      <c r="G63" s="1186" t="e">
        <v>#N/A</v>
      </c>
      <c r="H63" s="1186" t="e">
        <v>#N/A</v>
      </c>
      <c r="I63" s="1186" t="e">
        <v>#N/A</v>
      </c>
      <c r="J63" s="1186" t="e">
        <v>#N/A</v>
      </c>
      <c r="K63" s="1187" t="e">
        <v>#N/A</v>
      </c>
      <c r="L63" s="1188" t="e">
        <v>#N/A</v>
      </c>
      <c r="M63" s="1186" t="e">
        <v>#N/A</v>
      </c>
      <c r="N63" s="1186" t="e">
        <v>#N/A</v>
      </c>
      <c r="O63" s="1186" t="e">
        <v>#N/A</v>
      </c>
      <c r="P63" s="1186" t="e">
        <v>#N/A</v>
      </c>
      <c r="Q63" s="1189" t="e">
        <v>#N/A</v>
      </c>
    </row>
    <row r="64" spans="1:17">
      <c r="A64" s="1162" t="s">
        <v>527</v>
      </c>
      <c r="B64" s="1182" t="e">
        <v>#N/A</v>
      </c>
      <c r="C64" s="1183" t="e">
        <v>#N/A</v>
      </c>
      <c r="D64" s="1184" t="e">
        <v>#N/A</v>
      </c>
      <c r="E64" s="1183" t="e">
        <v>#N/A</v>
      </c>
      <c r="F64" s="1185" t="e">
        <v>#N/A</v>
      </c>
      <c r="G64" s="1186" t="e">
        <v>#N/A</v>
      </c>
      <c r="H64" s="1186" t="e">
        <v>#N/A</v>
      </c>
      <c r="I64" s="1186" t="e">
        <v>#N/A</v>
      </c>
      <c r="J64" s="1186" t="e">
        <v>#N/A</v>
      </c>
      <c r="K64" s="1187" t="e">
        <v>#N/A</v>
      </c>
      <c r="L64" s="1188" t="e">
        <v>#N/A</v>
      </c>
      <c r="M64" s="1186" t="e">
        <v>#N/A</v>
      </c>
      <c r="N64" s="1186" t="e">
        <v>#N/A</v>
      </c>
      <c r="O64" s="1186" t="e">
        <v>#N/A</v>
      </c>
      <c r="P64" s="1186" t="e">
        <v>#N/A</v>
      </c>
      <c r="Q64" s="1189" t="e">
        <v>#N/A</v>
      </c>
    </row>
    <row r="65" spans="1:17">
      <c r="A65" s="1162" t="s">
        <v>528</v>
      </c>
      <c r="B65" s="1182" t="e">
        <v>#N/A</v>
      </c>
      <c r="C65" s="1183" t="e">
        <v>#N/A</v>
      </c>
      <c r="D65" s="1184" t="e">
        <v>#N/A</v>
      </c>
      <c r="E65" s="1183" t="e">
        <v>#N/A</v>
      </c>
      <c r="F65" s="1185" t="e">
        <v>#N/A</v>
      </c>
      <c r="G65" s="1186" t="e">
        <v>#N/A</v>
      </c>
      <c r="H65" s="1186" t="e">
        <v>#N/A</v>
      </c>
      <c r="I65" s="1186" t="e">
        <v>#N/A</v>
      </c>
      <c r="J65" s="1186" t="e">
        <v>#N/A</v>
      </c>
      <c r="K65" s="1187" t="e">
        <v>#N/A</v>
      </c>
      <c r="L65" s="1188" t="e">
        <v>#N/A</v>
      </c>
      <c r="M65" s="1186" t="e">
        <v>#N/A</v>
      </c>
      <c r="N65" s="1186" t="e">
        <v>#N/A</v>
      </c>
      <c r="O65" s="1186" t="e">
        <v>#N/A</v>
      </c>
      <c r="P65" s="1186" t="e">
        <v>#N/A</v>
      </c>
      <c r="Q65" s="1189" t="e">
        <v>#N/A</v>
      </c>
    </row>
    <row r="66" spans="1:17">
      <c r="A66" s="1162" t="s">
        <v>529</v>
      </c>
      <c r="B66" s="1182" t="e">
        <v>#N/A</v>
      </c>
      <c r="C66" s="1183" t="e">
        <v>#N/A</v>
      </c>
      <c r="D66" s="1184" t="e">
        <v>#N/A</v>
      </c>
      <c r="E66" s="1183" t="e">
        <v>#N/A</v>
      </c>
      <c r="F66" s="1185" t="e">
        <v>#N/A</v>
      </c>
      <c r="G66" s="1186" t="e">
        <v>#N/A</v>
      </c>
      <c r="H66" s="1186" t="e">
        <v>#N/A</v>
      </c>
      <c r="I66" s="1186" t="e">
        <v>#N/A</v>
      </c>
      <c r="J66" s="1186" t="e">
        <v>#N/A</v>
      </c>
      <c r="K66" s="1187" t="e">
        <v>#N/A</v>
      </c>
      <c r="L66" s="1188" t="e">
        <v>#N/A</v>
      </c>
      <c r="M66" s="1186" t="e">
        <v>#N/A</v>
      </c>
      <c r="N66" s="1186" t="e">
        <v>#N/A</v>
      </c>
      <c r="O66" s="1186" t="e">
        <v>#N/A</v>
      </c>
      <c r="P66" s="1186" t="e">
        <v>#N/A</v>
      </c>
      <c r="Q66" s="1189" t="e">
        <v>#N/A</v>
      </c>
    </row>
    <row r="67" spans="1:17">
      <c r="A67" s="1162" t="s">
        <v>530</v>
      </c>
      <c r="B67" s="1182" t="e">
        <v>#N/A</v>
      </c>
      <c r="C67" s="1183" t="e">
        <v>#N/A</v>
      </c>
      <c r="D67" s="1184" t="e">
        <v>#N/A</v>
      </c>
      <c r="E67" s="1183" t="e">
        <v>#N/A</v>
      </c>
      <c r="F67" s="1185" t="e">
        <v>#N/A</v>
      </c>
      <c r="G67" s="1186" t="e">
        <v>#N/A</v>
      </c>
      <c r="H67" s="1186" t="e">
        <v>#N/A</v>
      </c>
      <c r="I67" s="1186" t="e">
        <v>#N/A</v>
      </c>
      <c r="J67" s="1186" t="e">
        <v>#N/A</v>
      </c>
      <c r="K67" s="1187" t="e">
        <v>#N/A</v>
      </c>
      <c r="L67" s="1188" t="e">
        <v>#N/A</v>
      </c>
      <c r="M67" s="1186" t="e">
        <v>#N/A</v>
      </c>
      <c r="N67" s="1186" t="e">
        <v>#N/A</v>
      </c>
      <c r="O67" s="1186" t="e">
        <v>#N/A</v>
      </c>
      <c r="P67" s="1186" t="e">
        <v>#N/A</v>
      </c>
      <c r="Q67" s="1189" t="e">
        <v>#N/A</v>
      </c>
    </row>
    <row r="68" spans="1:17">
      <c r="A68" s="1162" t="s">
        <v>531</v>
      </c>
      <c r="B68" s="1182" t="e">
        <v>#N/A</v>
      </c>
      <c r="C68" s="1183" t="e">
        <v>#N/A</v>
      </c>
      <c r="D68" s="1184" t="e">
        <v>#N/A</v>
      </c>
      <c r="E68" s="1183" t="e">
        <v>#N/A</v>
      </c>
      <c r="F68" s="1185" t="e">
        <v>#N/A</v>
      </c>
      <c r="G68" s="1186" t="e">
        <v>#N/A</v>
      </c>
      <c r="H68" s="1186" t="e">
        <v>#N/A</v>
      </c>
      <c r="I68" s="1186" t="e">
        <v>#N/A</v>
      </c>
      <c r="J68" s="1186" t="e">
        <v>#N/A</v>
      </c>
      <c r="K68" s="1187" t="e">
        <v>#N/A</v>
      </c>
      <c r="L68" s="1188" t="e">
        <v>#N/A</v>
      </c>
      <c r="M68" s="1186" t="e">
        <v>#N/A</v>
      </c>
      <c r="N68" s="1186" t="e">
        <v>#N/A</v>
      </c>
      <c r="O68" s="1186" t="e">
        <v>#N/A</v>
      </c>
      <c r="P68" s="1186" t="e">
        <v>#N/A</v>
      </c>
      <c r="Q68" s="1189" t="e">
        <v>#N/A</v>
      </c>
    </row>
    <row r="69" spans="1:17">
      <c r="A69" s="1162" t="s">
        <v>532</v>
      </c>
      <c r="B69" s="1182" t="e">
        <v>#N/A</v>
      </c>
      <c r="C69" s="1183" t="e">
        <v>#N/A</v>
      </c>
      <c r="D69" s="1184" t="e">
        <v>#N/A</v>
      </c>
      <c r="E69" s="1183" t="e">
        <v>#N/A</v>
      </c>
      <c r="F69" s="1185" t="e">
        <v>#N/A</v>
      </c>
      <c r="G69" s="1186" t="e">
        <v>#N/A</v>
      </c>
      <c r="H69" s="1186" t="e">
        <v>#N/A</v>
      </c>
      <c r="I69" s="1186" t="e">
        <v>#N/A</v>
      </c>
      <c r="J69" s="1186" t="e">
        <v>#N/A</v>
      </c>
      <c r="K69" s="1187" t="e">
        <v>#N/A</v>
      </c>
      <c r="L69" s="1188" t="e">
        <v>#N/A</v>
      </c>
      <c r="M69" s="1186" t="e">
        <v>#N/A</v>
      </c>
      <c r="N69" s="1186" t="e">
        <v>#N/A</v>
      </c>
      <c r="O69" s="1186" t="e">
        <v>#N/A</v>
      </c>
      <c r="P69" s="1186" t="e">
        <v>#N/A</v>
      </c>
      <c r="Q69" s="1189" t="e">
        <v>#N/A</v>
      </c>
    </row>
    <row r="70" spans="1:17">
      <c r="A70" s="1162" t="s">
        <v>533</v>
      </c>
      <c r="B70" s="1182" t="e">
        <v>#N/A</v>
      </c>
      <c r="C70" s="1183" t="e">
        <v>#N/A</v>
      </c>
      <c r="D70" s="1184" t="e">
        <v>#N/A</v>
      </c>
      <c r="E70" s="1183" t="e">
        <v>#N/A</v>
      </c>
      <c r="F70" s="1185" t="e">
        <v>#N/A</v>
      </c>
      <c r="G70" s="1186" t="e">
        <v>#N/A</v>
      </c>
      <c r="H70" s="1186" t="e">
        <v>#N/A</v>
      </c>
      <c r="I70" s="1186" t="e">
        <v>#N/A</v>
      </c>
      <c r="J70" s="1186" t="e">
        <v>#N/A</v>
      </c>
      <c r="K70" s="1187" t="e">
        <v>#N/A</v>
      </c>
      <c r="L70" s="1188" t="e">
        <v>#N/A</v>
      </c>
      <c r="M70" s="1186" t="e">
        <v>#N/A</v>
      </c>
      <c r="N70" s="1186" t="e">
        <v>#N/A</v>
      </c>
      <c r="O70" s="1186" t="e">
        <v>#N/A</v>
      </c>
      <c r="P70" s="1186" t="e">
        <v>#N/A</v>
      </c>
      <c r="Q70" s="1189" t="e">
        <v>#N/A</v>
      </c>
    </row>
    <row r="71" spans="1:17">
      <c r="A71" s="1162" t="s">
        <v>534</v>
      </c>
      <c r="B71" s="1182" t="e">
        <v>#N/A</v>
      </c>
      <c r="C71" s="1183" t="e">
        <v>#N/A</v>
      </c>
      <c r="D71" s="1184" t="e">
        <v>#N/A</v>
      </c>
      <c r="E71" s="1183" t="e">
        <v>#N/A</v>
      </c>
      <c r="F71" s="1185" t="e">
        <v>#N/A</v>
      </c>
      <c r="G71" s="1186" t="e">
        <v>#N/A</v>
      </c>
      <c r="H71" s="1186" t="e">
        <v>#N/A</v>
      </c>
      <c r="I71" s="1186" t="e">
        <v>#N/A</v>
      </c>
      <c r="J71" s="1186" t="e">
        <v>#N/A</v>
      </c>
      <c r="K71" s="1187" t="e">
        <v>#N/A</v>
      </c>
      <c r="L71" s="1188" t="e">
        <v>#N/A</v>
      </c>
      <c r="M71" s="1186" t="e">
        <v>#N/A</v>
      </c>
      <c r="N71" s="1186" t="e">
        <v>#N/A</v>
      </c>
      <c r="O71" s="1186" t="e">
        <v>#N/A</v>
      </c>
      <c r="P71" s="1186" t="e">
        <v>#N/A</v>
      </c>
      <c r="Q71" s="1189" t="e">
        <v>#N/A</v>
      </c>
    </row>
    <row r="72" spans="1:17">
      <c r="A72" s="1162" t="s">
        <v>535</v>
      </c>
      <c r="B72" s="1182" t="e">
        <v>#N/A</v>
      </c>
      <c r="C72" s="1183" t="e">
        <v>#N/A</v>
      </c>
      <c r="D72" s="1184" t="e">
        <v>#N/A</v>
      </c>
      <c r="E72" s="1183" t="e">
        <v>#N/A</v>
      </c>
      <c r="F72" s="1185" t="e">
        <v>#N/A</v>
      </c>
      <c r="G72" s="1186" t="e">
        <v>#N/A</v>
      </c>
      <c r="H72" s="1186" t="e">
        <v>#N/A</v>
      </c>
      <c r="I72" s="1186" t="e">
        <v>#N/A</v>
      </c>
      <c r="J72" s="1186" t="e">
        <v>#N/A</v>
      </c>
      <c r="K72" s="1187" t="e">
        <v>#N/A</v>
      </c>
      <c r="L72" s="1188" t="e">
        <v>#N/A</v>
      </c>
      <c r="M72" s="1186" t="e">
        <v>#N/A</v>
      </c>
      <c r="N72" s="1186" t="e">
        <v>#N/A</v>
      </c>
      <c r="O72" s="1186" t="e">
        <v>#N/A</v>
      </c>
      <c r="P72" s="1186" t="e">
        <v>#N/A</v>
      </c>
      <c r="Q72" s="1189" t="e">
        <v>#N/A</v>
      </c>
    </row>
    <row r="73" spans="1:17">
      <c r="A73" s="1162" t="s">
        <v>536</v>
      </c>
      <c r="B73" s="1182" t="e">
        <v>#N/A</v>
      </c>
      <c r="C73" s="1183" t="e">
        <v>#N/A</v>
      </c>
      <c r="D73" s="1184" t="e">
        <v>#N/A</v>
      </c>
      <c r="E73" s="1183" t="e">
        <v>#N/A</v>
      </c>
      <c r="F73" s="1185" t="e">
        <v>#N/A</v>
      </c>
      <c r="G73" s="1186" t="e">
        <v>#N/A</v>
      </c>
      <c r="H73" s="1186" t="e">
        <v>#N/A</v>
      </c>
      <c r="I73" s="1186" t="e">
        <v>#N/A</v>
      </c>
      <c r="J73" s="1186" t="e">
        <v>#N/A</v>
      </c>
      <c r="K73" s="1187" t="e">
        <v>#N/A</v>
      </c>
      <c r="L73" s="1188" t="e">
        <v>#N/A</v>
      </c>
      <c r="M73" s="1186" t="e">
        <v>#N/A</v>
      </c>
      <c r="N73" s="1186" t="e">
        <v>#N/A</v>
      </c>
      <c r="O73" s="1186" t="e">
        <v>#N/A</v>
      </c>
      <c r="P73" s="1186" t="e">
        <v>#N/A</v>
      </c>
      <c r="Q73" s="1189" t="e">
        <v>#N/A</v>
      </c>
    </row>
    <row r="74" spans="1:17">
      <c r="A74" s="1162" t="s">
        <v>537</v>
      </c>
      <c r="B74" s="1182" t="e">
        <v>#N/A</v>
      </c>
      <c r="C74" s="1183" t="e">
        <v>#N/A</v>
      </c>
      <c r="D74" s="1184" t="e">
        <v>#N/A</v>
      </c>
      <c r="E74" s="1183" t="e">
        <v>#N/A</v>
      </c>
      <c r="F74" s="1185" t="e">
        <v>#N/A</v>
      </c>
      <c r="G74" s="1186" t="e">
        <v>#N/A</v>
      </c>
      <c r="H74" s="1186" t="e">
        <v>#N/A</v>
      </c>
      <c r="I74" s="1186" t="e">
        <v>#N/A</v>
      </c>
      <c r="J74" s="1186" t="e">
        <v>#N/A</v>
      </c>
      <c r="K74" s="1187" t="e">
        <v>#N/A</v>
      </c>
      <c r="L74" s="1188" t="e">
        <v>#N/A</v>
      </c>
      <c r="M74" s="1186" t="e">
        <v>#N/A</v>
      </c>
      <c r="N74" s="1186" t="e">
        <v>#N/A</v>
      </c>
      <c r="O74" s="1186" t="e">
        <v>#N/A</v>
      </c>
      <c r="P74" s="1186" t="e">
        <v>#N/A</v>
      </c>
      <c r="Q74" s="1189" t="e">
        <v>#N/A</v>
      </c>
    </row>
    <row r="75" spans="1:17">
      <c r="A75" s="1162" t="s">
        <v>538</v>
      </c>
      <c r="B75" s="1182" t="e">
        <v>#N/A</v>
      </c>
      <c r="C75" s="1183" t="e">
        <v>#N/A</v>
      </c>
      <c r="D75" s="1184" t="e">
        <v>#N/A</v>
      </c>
      <c r="E75" s="1183" t="e">
        <v>#N/A</v>
      </c>
      <c r="F75" s="1185" t="e">
        <v>#N/A</v>
      </c>
      <c r="G75" s="1186" t="e">
        <v>#N/A</v>
      </c>
      <c r="H75" s="1186" t="e">
        <v>#N/A</v>
      </c>
      <c r="I75" s="1186" t="e">
        <v>#N/A</v>
      </c>
      <c r="J75" s="1186" t="e">
        <v>#N/A</v>
      </c>
      <c r="K75" s="1187" t="e">
        <v>#N/A</v>
      </c>
      <c r="L75" s="1188" t="e">
        <v>#N/A</v>
      </c>
      <c r="M75" s="1186" t="e">
        <v>#N/A</v>
      </c>
      <c r="N75" s="1186" t="e">
        <v>#N/A</v>
      </c>
      <c r="O75" s="1186" t="e">
        <v>#N/A</v>
      </c>
      <c r="P75" s="1186" t="e">
        <v>#N/A</v>
      </c>
      <c r="Q75" s="1189" t="e">
        <v>#N/A</v>
      </c>
    </row>
    <row r="76" spans="1:17">
      <c r="A76" s="1162" t="s">
        <v>539</v>
      </c>
      <c r="B76" s="1182" t="e">
        <v>#N/A</v>
      </c>
      <c r="C76" s="1183" t="e">
        <v>#N/A</v>
      </c>
      <c r="D76" s="1184" t="e">
        <v>#N/A</v>
      </c>
      <c r="E76" s="1183" t="e">
        <v>#N/A</v>
      </c>
      <c r="F76" s="1185" t="e">
        <v>#N/A</v>
      </c>
      <c r="G76" s="1186" t="e">
        <v>#N/A</v>
      </c>
      <c r="H76" s="1186" t="e">
        <v>#N/A</v>
      </c>
      <c r="I76" s="1186" t="e">
        <v>#N/A</v>
      </c>
      <c r="J76" s="1186" t="e">
        <v>#N/A</v>
      </c>
      <c r="K76" s="1187" t="e">
        <v>#N/A</v>
      </c>
      <c r="L76" s="1188" t="e">
        <v>#N/A</v>
      </c>
      <c r="M76" s="1186" t="e">
        <v>#N/A</v>
      </c>
      <c r="N76" s="1186" t="e">
        <v>#N/A</v>
      </c>
      <c r="O76" s="1186" t="e">
        <v>#N/A</v>
      </c>
      <c r="P76" s="1186" t="e">
        <v>#N/A</v>
      </c>
      <c r="Q76" s="1189" t="e">
        <v>#N/A</v>
      </c>
    </row>
    <row r="77" spans="1:17">
      <c r="A77" s="1162" t="s">
        <v>540</v>
      </c>
      <c r="B77" s="1182" t="e">
        <v>#N/A</v>
      </c>
      <c r="C77" s="1183" t="e">
        <v>#N/A</v>
      </c>
      <c r="D77" s="1184" t="e">
        <v>#N/A</v>
      </c>
      <c r="E77" s="1183" t="e">
        <v>#N/A</v>
      </c>
      <c r="F77" s="1185" t="e">
        <v>#N/A</v>
      </c>
      <c r="G77" s="1186" t="e">
        <v>#N/A</v>
      </c>
      <c r="H77" s="1186" t="e">
        <v>#N/A</v>
      </c>
      <c r="I77" s="1186" t="e">
        <v>#N/A</v>
      </c>
      <c r="J77" s="1186" t="e">
        <v>#N/A</v>
      </c>
      <c r="K77" s="1187" t="e">
        <v>#N/A</v>
      </c>
      <c r="L77" s="1188" t="e">
        <v>#N/A</v>
      </c>
      <c r="M77" s="1186" t="e">
        <v>#N/A</v>
      </c>
      <c r="N77" s="1186" t="e">
        <v>#N/A</v>
      </c>
      <c r="O77" s="1186" t="e">
        <v>#N/A</v>
      </c>
      <c r="P77" s="1186" t="e">
        <v>#N/A</v>
      </c>
      <c r="Q77" s="1189" t="e">
        <v>#N/A</v>
      </c>
    </row>
    <row r="78" spans="1:17">
      <c r="A78" s="166"/>
      <c r="B78" s="166"/>
      <c r="C78" s="166"/>
      <c r="D78" s="166"/>
      <c r="E78" s="166"/>
      <c r="F78" s="166"/>
      <c r="G78" s="166"/>
      <c r="H78" s="166"/>
      <c r="I78" s="166"/>
      <c r="J78" s="166"/>
      <c r="K78" s="166"/>
      <c r="L78" s="166"/>
      <c r="M78" s="166"/>
      <c r="N78" s="166"/>
      <c r="O78" s="166"/>
      <c r="P78" s="166"/>
      <c r="Q78" s="166"/>
    </row>
    <row r="79" spans="1:17">
      <c r="A79" s="166"/>
      <c r="B79" s="166"/>
      <c r="C79" s="166"/>
      <c r="D79" s="166"/>
      <c r="E79" s="166"/>
      <c r="F79" s="166"/>
      <c r="G79" s="166"/>
      <c r="H79" s="166"/>
      <c r="I79" s="166"/>
      <c r="J79" s="166"/>
      <c r="K79" s="166"/>
      <c r="L79" s="166"/>
      <c r="M79" s="166"/>
      <c r="N79" s="166"/>
      <c r="O79" s="166"/>
      <c r="P79" s="166"/>
      <c r="Q79" s="166"/>
    </row>
    <row r="80" spans="1:17">
      <c r="A80" s="166"/>
      <c r="B80" s="166"/>
      <c r="C80" s="166"/>
      <c r="D80" s="166"/>
      <c r="E80" s="166"/>
      <c r="F80" s="166"/>
      <c r="G80" s="166"/>
      <c r="H80" s="166"/>
      <c r="I80" s="166"/>
      <c r="J80" s="166"/>
      <c r="K80" s="166"/>
      <c r="L80" s="166"/>
      <c r="M80" s="166"/>
      <c r="N80" s="166"/>
      <c r="O80" s="166"/>
      <c r="P80" s="166"/>
      <c r="Q80" s="166"/>
    </row>
    <row r="81" spans="1:17">
      <c r="A81" s="166"/>
      <c r="B81" s="166"/>
      <c r="C81" s="166"/>
      <c r="D81" s="166"/>
      <c r="E81" s="166"/>
      <c r="F81" s="166"/>
      <c r="G81" s="166"/>
      <c r="H81" s="166"/>
      <c r="I81" s="166"/>
      <c r="J81" s="166"/>
      <c r="K81" s="166"/>
      <c r="L81" s="166"/>
      <c r="M81" s="166"/>
      <c r="N81" s="166"/>
      <c r="O81" s="166"/>
      <c r="P81" s="166"/>
      <c r="Q81" s="166"/>
    </row>
    <row r="82" spans="1:17">
      <c r="A82" s="166"/>
      <c r="B82" s="166"/>
      <c r="C82" s="166"/>
      <c r="D82" s="166"/>
      <c r="E82" s="166"/>
      <c r="F82" s="166"/>
      <c r="G82" s="166"/>
      <c r="H82" s="166"/>
      <c r="I82" s="166"/>
      <c r="J82" s="166"/>
      <c r="K82" s="166"/>
      <c r="L82" s="166"/>
      <c r="M82" s="166"/>
      <c r="N82" s="166"/>
      <c r="O82" s="166"/>
      <c r="P82" s="166"/>
      <c r="Q82" s="166"/>
    </row>
    <row r="83" spans="1:17">
      <c r="A83" s="166"/>
      <c r="B83" s="166"/>
      <c r="C83" s="166"/>
      <c r="D83" s="166"/>
      <c r="E83" s="166"/>
      <c r="F83" s="166"/>
      <c r="G83" s="166"/>
      <c r="H83" s="166"/>
      <c r="I83" s="166"/>
      <c r="J83" s="166"/>
      <c r="K83" s="166"/>
      <c r="L83" s="166"/>
      <c r="M83" s="166"/>
      <c r="N83" s="166"/>
      <c r="O83" s="166"/>
      <c r="P83" s="166"/>
      <c r="Q83" s="166"/>
    </row>
    <row r="84" spans="1:17">
      <c r="A84" s="166"/>
      <c r="B84" s="166"/>
      <c r="C84" s="166"/>
      <c r="D84" s="166"/>
      <c r="E84" s="166"/>
      <c r="F84" s="166"/>
      <c r="G84" s="166"/>
      <c r="H84" s="166"/>
      <c r="I84" s="166"/>
      <c r="J84" s="166"/>
      <c r="K84" s="166"/>
      <c r="L84" s="166"/>
      <c r="M84" s="166"/>
      <c r="N84" s="166"/>
      <c r="O84" s="166"/>
      <c r="P84" s="166"/>
      <c r="Q84" s="166"/>
    </row>
    <row r="85" spans="1:17">
      <c r="A85" s="166"/>
      <c r="B85" s="166"/>
      <c r="C85" s="166"/>
      <c r="D85" s="166"/>
      <c r="E85" s="166"/>
      <c r="F85" s="166"/>
      <c r="G85" s="166"/>
      <c r="H85" s="166"/>
      <c r="I85" s="166"/>
      <c r="J85" s="166"/>
      <c r="K85" s="166"/>
      <c r="L85" s="166"/>
      <c r="M85" s="166"/>
      <c r="N85" s="166"/>
      <c r="O85" s="166"/>
      <c r="P85" s="166"/>
      <c r="Q85" s="166"/>
    </row>
    <row r="86" spans="1:17">
      <c r="A86" s="166"/>
      <c r="B86" s="166"/>
      <c r="C86" s="166"/>
      <c r="D86" s="166"/>
      <c r="E86" s="166"/>
      <c r="F86" s="166"/>
      <c r="G86" s="166"/>
      <c r="H86" s="166"/>
      <c r="I86" s="166"/>
      <c r="J86" s="166"/>
      <c r="K86" s="166"/>
      <c r="L86" s="166"/>
      <c r="M86" s="166"/>
      <c r="N86" s="166"/>
      <c r="O86" s="166"/>
      <c r="P86" s="166"/>
      <c r="Q86" s="166"/>
    </row>
    <row r="87" spans="1:17">
      <c r="A87" s="166"/>
      <c r="B87" s="166"/>
      <c r="C87" s="166"/>
      <c r="D87" s="166"/>
      <c r="E87" s="166"/>
      <c r="F87" s="166"/>
      <c r="G87" s="166"/>
      <c r="H87" s="166"/>
      <c r="I87" s="166"/>
      <c r="J87" s="166"/>
      <c r="K87" s="166"/>
      <c r="L87" s="166"/>
      <c r="M87" s="166"/>
      <c r="N87" s="166"/>
      <c r="O87" s="166"/>
      <c r="P87" s="166"/>
      <c r="Q87" s="166"/>
    </row>
    <row r="88" spans="1:17">
      <c r="A88" s="166"/>
      <c r="B88" s="166"/>
      <c r="C88" s="166"/>
      <c r="D88" s="166"/>
      <c r="E88" s="166"/>
      <c r="F88" s="166"/>
      <c r="G88" s="166"/>
      <c r="H88" s="166"/>
      <c r="I88" s="166"/>
      <c r="J88" s="166"/>
      <c r="K88" s="166"/>
      <c r="L88" s="166"/>
      <c r="M88" s="166"/>
      <c r="N88" s="166"/>
      <c r="O88" s="166"/>
      <c r="P88" s="166"/>
      <c r="Q88" s="166"/>
    </row>
    <row r="89" spans="1:17">
      <c r="A89" s="166"/>
      <c r="B89" s="166"/>
      <c r="C89" s="166"/>
      <c r="D89" s="166"/>
      <c r="E89" s="166"/>
      <c r="F89" s="166"/>
      <c r="G89" s="166"/>
      <c r="H89" s="166"/>
      <c r="I89" s="166"/>
      <c r="J89" s="166"/>
      <c r="K89" s="166"/>
      <c r="L89" s="166"/>
      <c r="M89" s="166"/>
      <c r="N89" s="166"/>
      <c r="O89" s="166"/>
      <c r="P89" s="166"/>
      <c r="Q89" s="166"/>
    </row>
    <row r="90" spans="1:17">
      <c r="A90" s="166"/>
      <c r="B90" s="166"/>
      <c r="C90" s="166"/>
      <c r="D90" s="166"/>
      <c r="E90" s="166"/>
      <c r="F90" s="166"/>
      <c r="G90" s="166"/>
      <c r="H90" s="166"/>
      <c r="I90" s="166"/>
      <c r="J90" s="166"/>
      <c r="K90" s="166"/>
      <c r="L90" s="166"/>
      <c r="M90" s="166"/>
      <c r="N90" s="166"/>
      <c r="O90" s="166"/>
      <c r="P90" s="166"/>
      <c r="Q90" s="166"/>
    </row>
    <row r="91" spans="1:17">
      <c r="A91" s="166"/>
      <c r="B91" s="166"/>
      <c r="C91" s="166"/>
      <c r="D91" s="166"/>
      <c r="E91" s="166"/>
      <c r="F91" s="166"/>
      <c r="G91" s="166"/>
      <c r="H91" s="166"/>
      <c r="I91" s="166"/>
      <c r="J91" s="166"/>
      <c r="K91" s="166"/>
      <c r="L91" s="166"/>
      <c r="M91" s="166"/>
      <c r="N91" s="166"/>
      <c r="O91" s="166"/>
      <c r="P91" s="166"/>
      <c r="Q91" s="166"/>
    </row>
    <row r="92" spans="1:17">
      <c r="A92" s="166"/>
      <c r="B92" s="166"/>
      <c r="C92" s="166"/>
      <c r="D92" s="166"/>
      <c r="E92" s="166"/>
      <c r="F92" s="166"/>
      <c r="G92" s="166"/>
      <c r="H92" s="166"/>
      <c r="I92" s="166"/>
      <c r="J92" s="166"/>
      <c r="K92" s="166"/>
      <c r="L92" s="166"/>
      <c r="M92" s="166"/>
      <c r="N92" s="166"/>
      <c r="O92" s="166"/>
      <c r="P92" s="166"/>
      <c r="Q92" s="166"/>
    </row>
    <row r="93" spans="1:17">
      <c r="A93" s="166"/>
      <c r="B93" s="166"/>
      <c r="C93" s="166"/>
      <c r="D93" s="166"/>
      <c r="E93" s="166"/>
      <c r="F93" s="166"/>
      <c r="G93" s="166"/>
      <c r="H93" s="166"/>
      <c r="I93" s="166"/>
      <c r="J93" s="166"/>
      <c r="K93" s="166"/>
      <c r="L93" s="166"/>
      <c r="M93" s="166"/>
      <c r="N93" s="166"/>
      <c r="O93" s="166"/>
      <c r="P93" s="166"/>
      <c r="Q93" s="166"/>
    </row>
    <row r="94" spans="1:17">
      <c r="A94" s="166"/>
      <c r="B94" s="166"/>
      <c r="C94" s="166"/>
      <c r="D94" s="166"/>
      <c r="E94" s="166"/>
      <c r="F94" s="166"/>
      <c r="G94" s="166"/>
      <c r="H94" s="166"/>
      <c r="I94" s="166"/>
      <c r="J94" s="166"/>
      <c r="K94" s="166"/>
      <c r="L94" s="166"/>
      <c r="M94" s="166"/>
      <c r="N94" s="166"/>
      <c r="O94" s="166"/>
      <c r="P94" s="166"/>
      <c r="Q94" s="166"/>
    </row>
    <row r="95" spans="1:17">
      <c r="A95" s="166"/>
      <c r="B95" s="166"/>
      <c r="C95" s="166"/>
      <c r="D95" s="166"/>
      <c r="E95" s="166"/>
      <c r="F95" s="166"/>
      <c r="G95" s="166"/>
      <c r="H95" s="166"/>
      <c r="I95" s="166"/>
      <c r="J95" s="166"/>
      <c r="K95" s="166"/>
      <c r="L95" s="166"/>
      <c r="M95" s="166"/>
      <c r="N95" s="166"/>
      <c r="O95" s="166"/>
      <c r="P95" s="166"/>
      <c r="Q95" s="166"/>
    </row>
    <row r="96" spans="1:17">
      <c r="A96" s="166"/>
      <c r="B96" s="166"/>
      <c r="C96" s="166"/>
      <c r="D96" s="166"/>
      <c r="E96" s="166"/>
      <c r="F96" s="166"/>
      <c r="G96" s="166"/>
      <c r="H96" s="166"/>
      <c r="I96" s="166"/>
      <c r="J96" s="166"/>
      <c r="K96" s="166"/>
      <c r="L96" s="166"/>
      <c r="M96" s="166"/>
      <c r="N96" s="166"/>
      <c r="O96" s="166"/>
      <c r="P96" s="166"/>
      <c r="Q96" s="166"/>
    </row>
    <row r="97" spans="1:17">
      <c r="A97" s="166"/>
      <c r="B97" s="166"/>
      <c r="C97" s="166"/>
      <c r="D97" s="166"/>
      <c r="E97" s="166"/>
      <c r="F97" s="166"/>
      <c r="G97" s="166"/>
      <c r="H97" s="166"/>
      <c r="I97" s="166"/>
      <c r="J97" s="166"/>
      <c r="K97" s="166"/>
      <c r="L97" s="166"/>
      <c r="M97" s="166"/>
      <c r="N97" s="166"/>
      <c r="O97" s="166"/>
      <c r="P97" s="166"/>
      <c r="Q97" s="166"/>
    </row>
    <row r="98" spans="1:17">
      <c r="A98" s="166"/>
      <c r="B98" s="166"/>
      <c r="C98" s="166"/>
      <c r="D98" s="166"/>
      <c r="E98" s="166"/>
      <c r="F98" s="166"/>
      <c r="G98" s="166"/>
      <c r="H98" s="166"/>
      <c r="I98" s="166"/>
      <c r="J98" s="166"/>
      <c r="K98" s="166"/>
      <c r="L98" s="166"/>
      <c r="M98" s="166"/>
      <c r="N98" s="166"/>
      <c r="O98" s="166"/>
      <c r="P98" s="166"/>
      <c r="Q98" s="166"/>
    </row>
    <row r="99" spans="1:17">
      <c r="A99" s="166"/>
      <c r="B99" s="166"/>
      <c r="C99" s="166"/>
      <c r="D99" s="166"/>
      <c r="E99" s="166"/>
      <c r="F99" s="166"/>
      <c r="G99" s="166"/>
      <c r="H99" s="166"/>
      <c r="I99" s="166"/>
      <c r="J99" s="166"/>
      <c r="K99" s="166"/>
      <c r="L99" s="166"/>
      <c r="M99" s="166"/>
      <c r="N99" s="166"/>
      <c r="O99" s="166"/>
      <c r="P99" s="166"/>
      <c r="Q99" s="166"/>
    </row>
    <row r="100" spans="1:17">
      <c r="A100" s="166"/>
      <c r="B100" s="166"/>
      <c r="C100" s="166"/>
      <c r="D100" s="166"/>
      <c r="E100" s="166"/>
      <c r="F100" s="166"/>
      <c r="G100" s="166"/>
      <c r="H100" s="166"/>
      <c r="I100" s="166"/>
      <c r="J100" s="166"/>
      <c r="K100" s="166"/>
      <c r="L100" s="166"/>
      <c r="M100" s="166"/>
      <c r="N100" s="166"/>
      <c r="O100" s="166"/>
      <c r="P100" s="166"/>
      <c r="Q100" s="166"/>
    </row>
    <row r="101" spans="1:17">
      <c r="A101" s="166"/>
      <c r="B101" s="166"/>
      <c r="C101" s="166"/>
      <c r="D101" s="166"/>
      <c r="E101" s="166"/>
      <c r="F101" s="166"/>
      <c r="G101" s="166"/>
      <c r="H101" s="166"/>
      <c r="I101" s="166"/>
      <c r="J101" s="166"/>
      <c r="K101" s="166"/>
      <c r="L101" s="166"/>
      <c r="M101" s="166"/>
      <c r="N101" s="166"/>
      <c r="O101" s="166"/>
      <c r="P101" s="166"/>
      <c r="Q101" s="166"/>
    </row>
    <row r="102" spans="1:17">
      <c r="A102" s="166"/>
      <c r="B102" s="166"/>
      <c r="C102" s="166"/>
      <c r="D102" s="166"/>
      <c r="E102" s="166"/>
      <c r="F102" s="166"/>
      <c r="G102" s="166"/>
      <c r="H102" s="166"/>
      <c r="I102" s="166"/>
      <c r="J102" s="166"/>
      <c r="K102" s="166"/>
      <c r="L102" s="166"/>
      <c r="M102" s="166"/>
      <c r="N102" s="166"/>
      <c r="O102" s="166"/>
      <c r="P102" s="166"/>
      <c r="Q102" s="166"/>
    </row>
    <row r="103" spans="1:17">
      <c r="A103" s="166"/>
      <c r="B103" s="166"/>
      <c r="C103" s="166"/>
      <c r="D103" s="166"/>
      <c r="E103" s="166"/>
      <c r="F103" s="166"/>
      <c r="G103" s="166"/>
      <c r="H103" s="166"/>
      <c r="I103" s="166"/>
      <c r="J103" s="166"/>
      <c r="K103" s="166"/>
      <c r="L103" s="166"/>
      <c r="M103" s="166"/>
      <c r="N103" s="166"/>
      <c r="O103" s="166"/>
      <c r="P103" s="166"/>
      <c r="Q103" s="166"/>
    </row>
    <row r="104" spans="1:17">
      <c r="A104" s="166"/>
      <c r="B104" s="166"/>
      <c r="C104" s="166"/>
      <c r="D104" s="166"/>
      <c r="E104" s="166"/>
      <c r="F104" s="166"/>
      <c r="G104" s="166"/>
      <c r="H104" s="166"/>
      <c r="I104" s="166"/>
      <c r="J104" s="166"/>
      <c r="K104" s="166"/>
      <c r="L104" s="166"/>
      <c r="M104" s="166"/>
      <c r="N104" s="166"/>
      <c r="O104" s="166"/>
      <c r="P104" s="166"/>
      <c r="Q104" s="166"/>
    </row>
    <row r="105" spans="1:17">
      <c r="A105" s="166"/>
      <c r="B105" s="166"/>
      <c r="C105" s="166"/>
      <c r="D105" s="166"/>
      <c r="E105" s="166"/>
      <c r="F105" s="166"/>
      <c r="G105" s="166"/>
      <c r="H105" s="166"/>
      <c r="I105" s="166"/>
      <c r="J105" s="166"/>
      <c r="K105" s="166"/>
      <c r="L105" s="166"/>
      <c r="M105" s="166"/>
      <c r="N105" s="166"/>
      <c r="O105" s="166"/>
      <c r="P105" s="166"/>
      <c r="Q105" s="166"/>
    </row>
    <row r="106" spans="1:17">
      <c r="A106" s="166"/>
      <c r="B106" s="166"/>
      <c r="C106" s="166"/>
      <c r="D106" s="166"/>
      <c r="E106" s="166"/>
      <c r="F106" s="166"/>
      <c r="G106" s="166"/>
      <c r="H106" s="166"/>
      <c r="I106" s="166"/>
      <c r="J106" s="166"/>
      <c r="K106" s="166"/>
      <c r="L106" s="166"/>
      <c r="M106" s="166"/>
      <c r="N106" s="166"/>
      <c r="O106" s="166"/>
      <c r="P106" s="166"/>
      <c r="Q106" s="166"/>
    </row>
    <row r="107" spans="1:17">
      <c r="A107" s="166"/>
      <c r="B107" s="166"/>
      <c r="C107" s="166"/>
      <c r="D107" s="166"/>
      <c r="E107" s="166"/>
      <c r="F107" s="166"/>
      <c r="G107" s="166"/>
      <c r="H107" s="166"/>
      <c r="I107" s="166"/>
      <c r="J107" s="166"/>
      <c r="K107" s="166"/>
      <c r="L107" s="166"/>
      <c r="M107" s="166"/>
      <c r="N107" s="166"/>
      <c r="O107" s="166"/>
      <c r="P107" s="166"/>
      <c r="Q107" s="166"/>
    </row>
    <row r="108" spans="1:17">
      <c r="A108" s="166"/>
      <c r="B108" s="166"/>
      <c r="C108" s="166"/>
      <c r="D108" s="166"/>
      <c r="E108" s="166"/>
      <c r="F108" s="166"/>
      <c r="G108" s="166"/>
      <c r="H108" s="166"/>
      <c r="I108" s="166"/>
      <c r="J108" s="166"/>
      <c r="K108" s="166"/>
      <c r="L108" s="166"/>
      <c r="M108" s="166"/>
      <c r="N108" s="166"/>
      <c r="O108" s="166"/>
      <c r="P108" s="166"/>
      <c r="Q108" s="166"/>
    </row>
    <row r="109" spans="1:17">
      <c r="A109" s="166"/>
      <c r="B109" s="166"/>
      <c r="C109" s="166"/>
      <c r="D109" s="166"/>
      <c r="E109" s="166"/>
      <c r="F109" s="166"/>
      <c r="G109" s="166"/>
      <c r="H109" s="166"/>
      <c r="I109" s="166"/>
      <c r="J109" s="166"/>
      <c r="K109" s="166"/>
      <c r="L109" s="166"/>
      <c r="M109" s="166"/>
      <c r="N109" s="166"/>
      <c r="O109" s="166"/>
      <c r="P109" s="166"/>
      <c r="Q109" s="166"/>
    </row>
    <row r="110" spans="1:17">
      <c r="A110" s="166"/>
      <c r="B110" s="166"/>
      <c r="C110" s="166"/>
      <c r="D110" s="166"/>
      <c r="E110" s="166"/>
      <c r="F110" s="166"/>
      <c r="G110" s="166"/>
      <c r="H110" s="166"/>
      <c r="I110" s="166"/>
      <c r="J110" s="166"/>
      <c r="K110" s="166"/>
      <c r="L110" s="166"/>
      <c r="M110" s="166"/>
      <c r="N110" s="166"/>
      <c r="O110" s="166"/>
      <c r="P110" s="166"/>
      <c r="Q110" s="166"/>
    </row>
    <row r="111" spans="1:17">
      <c r="A111" s="166"/>
      <c r="B111" s="166"/>
      <c r="C111" s="166"/>
      <c r="D111" s="166"/>
      <c r="E111" s="166"/>
      <c r="F111" s="166"/>
      <c r="G111" s="166"/>
      <c r="H111" s="166"/>
      <c r="I111" s="166"/>
      <c r="J111" s="166"/>
      <c r="K111" s="166"/>
      <c r="L111" s="166"/>
      <c r="M111" s="166"/>
      <c r="N111" s="166"/>
      <c r="O111" s="166"/>
      <c r="P111" s="166"/>
      <c r="Q111" s="166"/>
    </row>
    <row r="112" spans="1:17">
      <c r="A112" s="166"/>
      <c r="B112" s="166"/>
      <c r="C112" s="166"/>
      <c r="D112" s="166"/>
      <c r="E112" s="166"/>
      <c r="F112" s="166"/>
      <c r="G112" s="166"/>
      <c r="H112" s="166"/>
      <c r="I112" s="166"/>
      <c r="J112" s="166"/>
      <c r="K112" s="166"/>
      <c r="L112" s="166"/>
      <c r="M112" s="166"/>
      <c r="N112" s="166"/>
      <c r="O112" s="166"/>
      <c r="P112" s="166"/>
      <c r="Q112" s="166"/>
    </row>
    <row r="113" spans="1:17">
      <c r="A113" s="166"/>
      <c r="B113" s="166"/>
      <c r="C113" s="166"/>
      <c r="D113" s="166"/>
      <c r="E113" s="166"/>
      <c r="F113" s="166"/>
      <c r="G113" s="166"/>
      <c r="H113" s="166"/>
      <c r="I113" s="166"/>
      <c r="J113" s="166"/>
      <c r="K113" s="166"/>
      <c r="L113" s="166"/>
      <c r="M113" s="166"/>
      <c r="N113" s="166"/>
      <c r="O113" s="166"/>
      <c r="P113" s="166"/>
      <c r="Q113" s="166"/>
    </row>
    <row r="114" spans="1:17">
      <c r="A114" s="166"/>
      <c r="B114" s="166"/>
      <c r="C114" s="166"/>
      <c r="D114" s="166"/>
      <c r="E114" s="166"/>
      <c r="F114" s="166"/>
      <c r="G114" s="166"/>
      <c r="H114" s="166"/>
      <c r="I114" s="166"/>
      <c r="J114" s="166"/>
      <c r="K114" s="166"/>
      <c r="L114" s="166"/>
      <c r="M114" s="166"/>
      <c r="N114" s="166"/>
      <c r="O114" s="166"/>
      <c r="P114" s="166"/>
      <c r="Q114" s="166"/>
    </row>
    <row r="115" spans="1:17">
      <c r="A115" s="166"/>
      <c r="B115" s="166"/>
      <c r="C115" s="166"/>
      <c r="D115" s="166"/>
      <c r="E115" s="166"/>
      <c r="F115" s="166"/>
      <c r="G115" s="166"/>
      <c r="H115" s="166"/>
      <c r="I115" s="166"/>
      <c r="J115" s="166"/>
      <c r="K115" s="166"/>
      <c r="L115" s="166"/>
      <c r="M115" s="166"/>
      <c r="N115" s="166"/>
      <c r="O115" s="166"/>
      <c r="P115" s="166"/>
      <c r="Q115" s="166"/>
    </row>
    <row r="116" spans="1:17">
      <c r="A116" s="166"/>
      <c r="B116" s="166"/>
      <c r="C116" s="166"/>
      <c r="D116" s="166"/>
      <c r="E116" s="166"/>
      <c r="F116" s="166"/>
      <c r="G116" s="166"/>
      <c r="H116" s="166"/>
      <c r="I116" s="166"/>
      <c r="J116" s="166"/>
      <c r="K116" s="166"/>
      <c r="L116" s="166"/>
      <c r="M116" s="166"/>
      <c r="N116" s="166"/>
      <c r="O116" s="166"/>
      <c r="P116" s="166"/>
      <c r="Q116" s="166"/>
    </row>
    <row r="117" spans="1:17">
      <c r="A117" s="166"/>
      <c r="B117" s="166"/>
      <c r="C117" s="166"/>
      <c r="D117" s="166"/>
      <c r="E117" s="166"/>
      <c r="F117" s="166"/>
      <c r="G117" s="166"/>
      <c r="H117" s="166"/>
      <c r="I117" s="166"/>
      <c r="J117" s="166"/>
      <c r="K117" s="166"/>
      <c r="L117" s="166"/>
      <c r="M117" s="166"/>
      <c r="N117" s="166"/>
      <c r="O117" s="166"/>
      <c r="P117" s="166"/>
      <c r="Q117" s="166"/>
    </row>
    <row r="118" spans="1:17">
      <c r="A118" s="166"/>
      <c r="B118" s="166"/>
      <c r="C118" s="166"/>
      <c r="D118" s="166"/>
      <c r="E118" s="166"/>
      <c r="F118" s="166"/>
      <c r="G118" s="166"/>
      <c r="H118" s="166"/>
      <c r="I118" s="166"/>
      <c r="J118" s="166"/>
      <c r="K118" s="166"/>
      <c r="L118" s="166"/>
      <c r="M118" s="166"/>
      <c r="N118" s="166"/>
      <c r="O118" s="166"/>
      <c r="P118" s="166"/>
      <c r="Q118" s="166"/>
    </row>
    <row r="119" spans="1:17">
      <c r="A119" s="166"/>
      <c r="B119" s="166"/>
      <c r="C119" s="166"/>
      <c r="D119" s="166"/>
      <c r="E119" s="166"/>
      <c r="F119" s="166"/>
      <c r="G119" s="166"/>
      <c r="H119" s="166"/>
      <c r="I119" s="166"/>
      <c r="J119" s="166"/>
      <c r="K119" s="166"/>
      <c r="L119" s="166"/>
      <c r="M119" s="166"/>
      <c r="N119" s="166"/>
      <c r="O119" s="166"/>
      <c r="P119" s="166"/>
      <c r="Q119" s="166"/>
    </row>
    <row r="120" spans="1:17">
      <c r="A120" s="166"/>
      <c r="B120" s="166"/>
      <c r="C120" s="166"/>
      <c r="D120" s="166"/>
      <c r="E120" s="166"/>
      <c r="F120" s="166"/>
      <c r="G120" s="166"/>
      <c r="H120" s="166"/>
      <c r="I120" s="166"/>
      <c r="J120" s="166"/>
      <c r="K120" s="166"/>
      <c r="L120" s="166"/>
      <c r="M120" s="166"/>
      <c r="N120" s="166"/>
      <c r="O120" s="166"/>
      <c r="P120" s="166"/>
      <c r="Q120" s="166"/>
    </row>
    <row r="121" spans="1:17">
      <c r="A121" s="166"/>
      <c r="B121" s="166"/>
      <c r="C121" s="166"/>
      <c r="D121" s="166"/>
      <c r="E121" s="166"/>
      <c r="F121" s="166"/>
      <c r="G121" s="166"/>
      <c r="H121" s="166"/>
      <c r="I121" s="166"/>
      <c r="J121" s="166"/>
      <c r="K121" s="166"/>
      <c r="L121" s="166"/>
      <c r="M121" s="166"/>
      <c r="N121" s="166"/>
      <c r="O121" s="166"/>
      <c r="P121" s="166"/>
      <c r="Q121" s="166"/>
    </row>
    <row r="122" spans="1:17">
      <c r="A122" s="166"/>
      <c r="B122" s="166"/>
      <c r="C122" s="166"/>
      <c r="D122" s="166"/>
      <c r="E122" s="166"/>
      <c r="F122" s="166"/>
      <c r="G122" s="166"/>
      <c r="H122" s="166"/>
      <c r="I122" s="166"/>
      <c r="J122" s="166"/>
      <c r="K122" s="166"/>
      <c r="L122" s="166"/>
      <c r="M122" s="166"/>
      <c r="N122" s="166"/>
      <c r="O122" s="166"/>
      <c r="P122" s="166"/>
      <c r="Q122" s="166"/>
    </row>
    <row r="123" spans="1:17">
      <c r="A123" s="166"/>
      <c r="B123" s="166"/>
      <c r="C123" s="166"/>
      <c r="D123" s="166"/>
      <c r="E123" s="166"/>
      <c r="F123" s="166"/>
      <c r="G123" s="166"/>
      <c r="H123" s="166"/>
      <c r="I123" s="166"/>
      <c r="J123" s="166"/>
      <c r="K123" s="166"/>
      <c r="L123" s="166"/>
      <c r="M123" s="166"/>
      <c r="N123" s="166"/>
      <c r="O123" s="166"/>
      <c r="P123" s="166"/>
      <c r="Q123" s="166"/>
    </row>
    <row r="124" spans="1:17">
      <c r="A124" s="166"/>
      <c r="B124" s="166"/>
      <c r="C124" s="166"/>
      <c r="D124" s="166"/>
      <c r="E124" s="166"/>
      <c r="F124" s="166"/>
      <c r="G124" s="166"/>
      <c r="H124" s="166"/>
      <c r="I124" s="166"/>
      <c r="J124" s="166"/>
      <c r="K124" s="166"/>
      <c r="L124" s="166"/>
      <c r="M124" s="166"/>
      <c r="N124" s="166"/>
      <c r="O124" s="166"/>
      <c r="P124" s="166"/>
      <c r="Q124" s="166"/>
    </row>
    <row r="125" spans="1:17">
      <c r="A125" s="166"/>
      <c r="B125" s="166"/>
      <c r="C125" s="166"/>
      <c r="D125" s="166"/>
      <c r="E125" s="166"/>
      <c r="F125" s="166"/>
      <c r="G125" s="166"/>
      <c r="H125" s="166"/>
      <c r="I125" s="166"/>
      <c r="J125" s="166"/>
      <c r="K125" s="166"/>
      <c r="L125" s="166"/>
      <c r="M125" s="166"/>
      <c r="N125" s="166"/>
      <c r="O125" s="166"/>
      <c r="P125" s="166"/>
      <c r="Q125" s="166"/>
    </row>
    <row r="126" spans="1:17">
      <c r="A126" s="166"/>
      <c r="B126" s="166"/>
      <c r="C126" s="166"/>
      <c r="D126" s="166"/>
      <c r="E126" s="166"/>
      <c r="F126" s="166"/>
      <c r="G126" s="166"/>
      <c r="H126" s="166"/>
      <c r="I126" s="166"/>
      <c r="J126" s="166"/>
      <c r="K126" s="166"/>
      <c r="L126" s="166"/>
      <c r="M126" s="166"/>
      <c r="N126" s="166"/>
      <c r="O126" s="166"/>
      <c r="P126" s="166"/>
      <c r="Q126" s="166"/>
    </row>
    <row r="127" spans="1:17">
      <c r="A127" s="166"/>
      <c r="B127" s="166"/>
      <c r="C127" s="166"/>
      <c r="D127" s="166"/>
      <c r="E127" s="166"/>
      <c r="F127" s="166"/>
      <c r="G127" s="166"/>
      <c r="H127" s="166"/>
      <c r="I127" s="166"/>
      <c r="J127" s="166"/>
      <c r="K127" s="166"/>
      <c r="L127" s="166"/>
      <c r="M127" s="166"/>
      <c r="N127" s="166"/>
      <c r="O127" s="166"/>
      <c r="P127" s="166"/>
      <c r="Q127" s="166"/>
    </row>
    <row r="128" spans="1:17">
      <c r="A128" s="166"/>
      <c r="B128" s="166"/>
      <c r="C128" s="166"/>
      <c r="D128" s="166"/>
      <c r="E128" s="166"/>
      <c r="F128" s="166"/>
      <c r="G128" s="166"/>
      <c r="H128" s="166"/>
      <c r="I128" s="166"/>
      <c r="J128" s="166"/>
      <c r="K128" s="166"/>
      <c r="L128" s="166"/>
      <c r="M128" s="166"/>
      <c r="N128" s="166"/>
      <c r="O128" s="166"/>
      <c r="P128" s="166"/>
      <c r="Q128" s="166"/>
    </row>
    <row r="129" spans="1:17">
      <c r="A129" s="166"/>
      <c r="B129" s="166"/>
      <c r="C129" s="166"/>
      <c r="D129" s="166"/>
      <c r="E129" s="166"/>
      <c r="F129" s="166"/>
      <c r="G129" s="166"/>
      <c r="H129" s="166"/>
      <c r="I129" s="166"/>
      <c r="J129" s="166"/>
      <c r="K129" s="166"/>
      <c r="L129" s="166"/>
      <c r="M129" s="166"/>
      <c r="N129" s="166"/>
      <c r="O129" s="166"/>
      <c r="P129" s="166"/>
      <c r="Q129" s="166"/>
    </row>
    <row r="130" spans="1:17">
      <c r="A130" s="166"/>
      <c r="B130" s="166"/>
      <c r="C130" s="166"/>
      <c r="D130" s="166"/>
      <c r="E130" s="166"/>
      <c r="F130" s="166"/>
      <c r="G130" s="166"/>
      <c r="H130" s="166"/>
      <c r="I130" s="166"/>
      <c r="J130" s="166"/>
      <c r="K130" s="166"/>
      <c r="L130" s="166"/>
      <c r="M130" s="166"/>
      <c r="N130" s="166"/>
      <c r="O130" s="166"/>
      <c r="P130" s="166"/>
      <c r="Q130" s="166"/>
    </row>
    <row r="131" spans="1:17">
      <c r="A131" s="166"/>
      <c r="B131" s="166"/>
      <c r="C131" s="166"/>
      <c r="D131" s="166"/>
      <c r="E131" s="166"/>
      <c r="F131" s="166"/>
      <c r="G131" s="166"/>
      <c r="H131" s="166"/>
      <c r="I131" s="166"/>
      <c r="J131" s="166"/>
      <c r="K131" s="166"/>
      <c r="L131" s="166"/>
      <c r="M131" s="166"/>
      <c r="N131" s="166"/>
      <c r="O131" s="166"/>
      <c r="P131" s="166"/>
      <c r="Q131" s="166"/>
    </row>
    <row r="132" spans="1:17">
      <c r="A132" s="166"/>
      <c r="B132" s="166"/>
      <c r="C132" s="166"/>
      <c r="D132" s="166"/>
      <c r="E132" s="166"/>
      <c r="F132" s="166"/>
      <c r="G132" s="166"/>
      <c r="H132" s="166"/>
      <c r="I132" s="166"/>
      <c r="J132" s="166"/>
      <c r="K132" s="166"/>
      <c r="L132" s="166"/>
      <c r="M132" s="166"/>
      <c r="N132" s="166"/>
      <c r="O132" s="166"/>
      <c r="P132" s="166"/>
      <c r="Q132" s="166"/>
    </row>
    <row r="133" spans="1:17">
      <c r="A133" s="166"/>
      <c r="B133" s="166"/>
      <c r="C133" s="166"/>
      <c r="D133" s="166"/>
      <c r="E133" s="166"/>
      <c r="F133" s="166"/>
      <c r="G133" s="166"/>
      <c r="H133" s="166"/>
      <c r="I133" s="166"/>
      <c r="J133" s="166"/>
      <c r="K133" s="166"/>
      <c r="L133" s="166"/>
      <c r="M133" s="166"/>
      <c r="N133" s="166"/>
      <c r="O133" s="166"/>
      <c r="P133" s="166"/>
      <c r="Q133" s="166"/>
    </row>
    <row r="134" spans="1:17">
      <c r="A134" s="166"/>
      <c r="B134" s="166"/>
      <c r="C134" s="166"/>
      <c r="D134" s="166"/>
      <c r="E134" s="166"/>
      <c r="F134" s="166"/>
      <c r="G134" s="166"/>
      <c r="H134" s="166"/>
      <c r="I134" s="166"/>
      <c r="J134" s="166"/>
      <c r="K134" s="166"/>
      <c r="L134" s="166"/>
      <c r="M134" s="166"/>
      <c r="N134" s="166"/>
      <c r="O134" s="166"/>
      <c r="P134" s="166"/>
      <c r="Q134" s="166"/>
    </row>
    <row r="135" spans="1:17">
      <c r="A135" s="166"/>
      <c r="B135" s="166"/>
      <c r="C135" s="166"/>
      <c r="D135" s="166"/>
      <c r="E135" s="166"/>
      <c r="F135" s="166"/>
      <c r="G135" s="166"/>
      <c r="H135" s="166"/>
      <c r="I135" s="166"/>
      <c r="J135" s="166"/>
      <c r="K135" s="166"/>
      <c r="L135" s="166"/>
      <c r="M135" s="166"/>
      <c r="N135" s="166"/>
      <c r="O135" s="166"/>
      <c r="P135" s="166"/>
      <c r="Q135" s="166"/>
    </row>
    <row r="136" spans="1:17">
      <c r="A136" s="166"/>
      <c r="B136" s="166"/>
      <c r="C136" s="166"/>
      <c r="D136" s="166"/>
      <c r="E136" s="166"/>
      <c r="F136" s="166"/>
      <c r="G136" s="166"/>
      <c r="H136" s="166"/>
      <c r="I136" s="166"/>
      <c r="J136" s="166"/>
      <c r="K136" s="166"/>
      <c r="L136" s="166"/>
      <c r="M136" s="166"/>
      <c r="N136" s="166"/>
      <c r="O136" s="166"/>
      <c r="P136" s="166"/>
      <c r="Q136" s="166"/>
    </row>
    <row r="137" spans="1:17">
      <c r="A137" s="166"/>
      <c r="B137" s="166"/>
      <c r="C137" s="166"/>
      <c r="D137" s="166"/>
      <c r="E137" s="166"/>
      <c r="F137" s="166"/>
      <c r="G137" s="166"/>
      <c r="H137" s="166"/>
      <c r="I137" s="166"/>
      <c r="J137" s="166"/>
      <c r="K137" s="166"/>
      <c r="L137" s="166"/>
      <c r="M137" s="166"/>
      <c r="N137" s="166"/>
      <c r="O137" s="166"/>
      <c r="P137" s="166"/>
      <c r="Q137" s="166"/>
    </row>
    <row r="138" spans="1:17">
      <c r="A138" s="166"/>
      <c r="B138" s="166"/>
      <c r="C138" s="166"/>
      <c r="D138" s="166"/>
      <c r="E138" s="166"/>
      <c r="F138" s="166"/>
      <c r="G138" s="166"/>
      <c r="H138" s="166"/>
      <c r="I138" s="166"/>
      <c r="J138" s="166"/>
      <c r="K138" s="166"/>
      <c r="L138" s="166"/>
      <c r="M138" s="166"/>
      <c r="N138" s="166"/>
      <c r="O138" s="166"/>
      <c r="P138" s="166"/>
      <c r="Q138" s="166"/>
    </row>
    <row r="139" spans="1:17">
      <c r="A139" s="166"/>
      <c r="B139" s="166"/>
      <c r="C139" s="166"/>
      <c r="D139" s="166"/>
      <c r="E139" s="166"/>
      <c r="F139" s="166"/>
      <c r="G139" s="166"/>
      <c r="H139" s="166"/>
      <c r="I139" s="166"/>
      <c r="J139" s="166"/>
      <c r="K139" s="166"/>
      <c r="L139" s="166"/>
      <c r="M139" s="166"/>
      <c r="N139" s="166"/>
      <c r="O139" s="166"/>
      <c r="P139" s="166"/>
      <c r="Q139" s="166"/>
    </row>
    <row r="140" spans="1:17">
      <c r="A140" s="166"/>
      <c r="B140" s="166"/>
      <c r="C140" s="166"/>
      <c r="D140" s="166"/>
      <c r="E140" s="166"/>
      <c r="F140" s="166"/>
      <c r="G140" s="166"/>
      <c r="H140" s="166"/>
      <c r="I140" s="166"/>
      <c r="J140" s="166"/>
      <c r="K140" s="166"/>
      <c r="L140" s="166"/>
      <c r="M140" s="166"/>
      <c r="N140" s="166"/>
      <c r="O140" s="166"/>
      <c r="P140" s="166"/>
      <c r="Q140" s="166"/>
    </row>
    <row r="141" spans="1:17">
      <c r="A141" s="166"/>
      <c r="B141" s="166"/>
      <c r="C141" s="166"/>
      <c r="D141" s="166"/>
      <c r="E141" s="166"/>
      <c r="F141" s="166"/>
      <c r="G141" s="166"/>
      <c r="H141" s="166"/>
      <c r="I141" s="166"/>
      <c r="J141" s="166"/>
      <c r="K141" s="166"/>
      <c r="L141" s="166"/>
      <c r="M141" s="166"/>
      <c r="N141" s="166"/>
      <c r="O141" s="166"/>
      <c r="P141" s="166"/>
      <c r="Q141" s="166"/>
    </row>
    <row r="142" spans="1:17">
      <c r="A142" s="166"/>
      <c r="B142" s="166"/>
      <c r="C142" s="166"/>
      <c r="D142" s="166"/>
      <c r="E142" s="166"/>
      <c r="F142" s="166"/>
      <c r="G142" s="166"/>
      <c r="H142" s="166"/>
      <c r="I142" s="166"/>
      <c r="J142" s="166"/>
      <c r="K142" s="166"/>
      <c r="L142" s="166"/>
      <c r="M142" s="166"/>
      <c r="N142" s="166"/>
      <c r="O142" s="166"/>
      <c r="P142" s="166"/>
      <c r="Q142" s="166"/>
    </row>
    <row r="143" spans="1:17">
      <c r="A143" s="166"/>
      <c r="B143" s="166"/>
      <c r="C143" s="166"/>
      <c r="D143" s="166"/>
      <c r="E143" s="166"/>
      <c r="F143" s="166"/>
      <c r="G143" s="166"/>
      <c r="H143" s="166"/>
      <c r="I143" s="166"/>
      <c r="J143" s="166"/>
      <c r="K143" s="166"/>
      <c r="L143" s="166"/>
      <c r="M143" s="166"/>
      <c r="N143" s="166"/>
      <c r="O143" s="166"/>
      <c r="P143" s="166"/>
      <c r="Q143" s="166"/>
    </row>
    <row r="144" spans="1:17">
      <c r="A144" s="166"/>
      <c r="B144" s="166"/>
      <c r="C144" s="166"/>
      <c r="D144" s="166"/>
      <c r="E144" s="166"/>
      <c r="F144" s="166"/>
      <c r="G144" s="166"/>
      <c r="H144" s="166"/>
      <c r="I144" s="166"/>
      <c r="J144" s="166"/>
      <c r="K144" s="166"/>
      <c r="L144" s="166"/>
      <c r="M144" s="166"/>
      <c r="N144" s="166"/>
      <c r="O144" s="166"/>
      <c r="P144" s="166"/>
      <c r="Q144" s="166"/>
    </row>
    <row r="145" spans="1:17">
      <c r="A145" s="166"/>
      <c r="B145" s="166"/>
      <c r="C145" s="166"/>
      <c r="D145" s="166"/>
      <c r="E145" s="166"/>
      <c r="F145" s="166"/>
      <c r="G145" s="166"/>
      <c r="H145" s="166"/>
      <c r="I145" s="166"/>
      <c r="J145" s="166"/>
      <c r="K145" s="166"/>
      <c r="L145" s="166"/>
      <c r="M145" s="166"/>
      <c r="N145" s="166"/>
      <c r="O145" s="166"/>
      <c r="P145" s="166"/>
      <c r="Q145" s="166"/>
    </row>
    <row r="146" spans="1:17">
      <c r="A146" s="166"/>
      <c r="B146" s="166"/>
      <c r="C146" s="166"/>
      <c r="D146" s="166"/>
      <c r="E146" s="166"/>
      <c r="F146" s="166"/>
      <c r="G146" s="166"/>
      <c r="H146" s="166"/>
      <c r="I146" s="166"/>
      <c r="J146" s="166"/>
      <c r="K146" s="166"/>
      <c r="L146" s="166"/>
      <c r="M146" s="166"/>
      <c r="N146" s="166"/>
      <c r="O146" s="166"/>
      <c r="P146" s="166"/>
      <c r="Q146" s="166"/>
    </row>
    <row r="147" spans="1:17">
      <c r="A147" s="166"/>
      <c r="B147" s="166"/>
      <c r="C147" s="166"/>
      <c r="D147" s="166"/>
      <c r="E147" s="166"/>
      <c r="F147" s="166"/>
      <c r="G147" s="166"/>
      <c r="H147" s="166"/>
      <c r="I147" s="166"/>
      <c r="J147" s="166"/>
      <c r="K147" s="166"/>
      <c r="L147" s="166"/>
      <c r="M147" s="166"/>
      <c r="N147" s="166"/>
      <c r="O147" s="166"/>
      <c r="P147" s="166"/>
      <c r="Q147" s="166"/>
    </row>
    <row r="148" spans="1:17">
      <c r="A148" s="166"/>
      <c r="B148" s="166"/>
      <c r="C148" s="166"/>
      <c r="D148" s="166"/>
      <c r="E148" s="166"/>
      <c r="F148" s="166"/>
      <c r="G148" s="166"/>
      <c r="H148" s="166"/>
      <c r="I148" s="166"/>
      <c r="J148" s="166"/>
      <c r="K148" s="166"/>
      <c r="L148" s="166"/>
      <c r="M148" s="166"/>
      <c r="N148" s="166"/>
      <c r="O148" s="166"/>
      <c r="P148" s="166"/>
      <c r="Q148" s="166"/>
    </row>
    <row r="149" spans="1:17">
      <c r="A149" s="166"/>
      <c r="B149" s="166"/>
      <c r="C149" s="166"/>
      <c r="D149" s="166"/>
      <c r="E149" s="166"/>
      <c r="F149" s="166"/>
      <c r="G149" s="166"/>
      <c r="H149" s="166"/>
      <c r="I149" s="166"/>
      <c r="J149" s="166"/>
      <c r="K149" s="166"/>
      <c r="L149" s="166"/>
      <c r="M149" s="166"/>
      <c r="N149" s="166"/>
      <c r="O149" s="166"/>
      <c r="P149" s="166"/>
      <c r="Q149" s="166"/>
    </row>
    <row r="150" spans="1:17">
      <c r="A150" s="166"/>
      <c r="B150" s="166"/>
      <c r="C150" s="166"/>
      <c r="D150" s="166"/>
      <c r="E150" s="166"/>
      <c r="F150" s="166"/>
      <c r="G150" s="166"/>
      <c r="H150" s="166"/>
      <c r="I150" s="166"/>
      <c r="J150" s="166"/>
      <c r="K150" s="166"/>
      <c r="L150" s="166"/>
      <c r="M150" s="166"/>
      <c r="N150" s="166"/>
      <c r="O150" s="166"/>
      <c r="P150" s="166"/>
      <c r="Q150" s="166"/>
    </row>
    <row r="151" spans="1:17">
      <c r="A151" s="166"/>
      <c r="B151" s="166"/>
      <c r="C151" s="166"/>
      <c r="D151" s="166"/>
      <c r="E151" s="166"/>
      <c r="F151" s="166"/>
      <c r="G151" s="166"/>
      <c r="H151" s="166"/>
      <c r="I151" s="166"/>
      <c r="J151" s="166"/>
      <c r="K151" s="166"/>
      <c r="L151" s="166"/>
      <c r="M151" s="166"/>
      <c r="N151" s="166"/>
      <c r="O151" s="166"/>
      <c r="P151" s="166"/>
      <c r="Q151" s="166"/>
    </row>
    <row r="152" spans="1:17">
      <c r="A152" s="166"/>
      <c r="B152" s="166"/>
      <c r="C152" s="166"/>
      <c r="D152" s="166"/>
      <c r="E152" s="166"/>
      <c r="F152" s="166"/>
      <c r="G152" s="166"/>
      <c r="H152" s="166"/>
      <c r="I152" s="166"/>
      <c r="J152" s="166"/>
      <c r="K152" s="166"/>
      <c r="L152" s="166"/>
      <c r="M152" s="166"/>
      <c r="N152" s="166"/>
      <c r="O152" s="166"/>
      <c r="P152" s="166"/>
      <c r="Q152" s="166"/>
    </row>
    <row r="153" spans="1:17">
      <c r="A153" s="166"/>
      <c r="B153" s="166"/>
      <c r="C153" s="166"/>
      <c r="D153" s="166"/>
      <c r="E153" s="166"/>
      <c r="F153" s="166"/>
      <c r="G153" s="166"/>
      <c r="H153" s="166"/>
      <c r="I153" s="166"/>
      <c r="J153" s="166"/>
      <c r="K153" s="166"/>
      <c r="L153" s="166"/>
      <c r="M153" s="166"/>
      <c r="N153" s="166"/>
      <c r="O153" s="166"/>
      <c r="P153" s="166"/>
      <c r="Q153" s="166"/>
    </row>
    <row r="154" spans="1:17">
      <c r="A154" s="166"/>
      <c r="B154" s="166"/>
      <c r="C154" s="166"/>
      <c r="D154" s="166"/>
      <c r="E154" s="166"/>
      <c r="F154" s="166"/>
      <c r="G154" s="166"/>
      <c r="H154" s="166"/>
      <c r="I154" s="166"/>
      <c r="J154" s="166"/>
      <c r="K154" s="166"/>
      <c r="L154" s="166"/>
      <c r="M154" s="166"/>
      <c r="N154" s="166"/>
      <c r="O154" s="166"/>
      <c r="P154" s="166"/>
      <c r="Q154" s="166"/>
    </row>
    <row r="155" spans="1:17">
      <c r="A155" s="166"/>
      <c r="B155" s="166"/>
      <c r="C155" s="166"/>
      <c r="D155" s="166"/>
      <c r="E155" s="166"/>
      <c r="F155" s="166"/>
      <c r="G155" s="166"/>
      <c r="H155" s="166"/>
      <c r="I155" s="166"/>
      <c r="J155" s="166"/>
      <c r="K155" s="166"/>
      <c r="L155" s="166"/>
      <c r="M155" s="166"/>
      <c r="N155" s="166"/>
      <c r="O155" s="166"/>
      <c r="P155" s="166"/>
      <c r="Q155" s="166"/>
    </row>
    <row r="156" spans="1:17">
      <c r="A156" s="166"/>
      <c r="B156" s="166"/>
      <c r="C156" s="166"/>
      <c r="D156" s="166"/>
      <c r="E156" s="166"/>
      <c r="F156" s="166"/>
      <c r="G156" s="166"/>
      <c r="H156" s="166"/>
      <c r="I156" s="166"/>
      <c r="J156" s="166"/>
      <c r="K156" s="166"/>
      <c r="L156" s="166"/>
      <c r="M156" s="166"/>
      <c r="N156" s="166"/>
      <c r="O156" s="166"/>
      <c r="P156" s="166"/>
      <c r="Q156" s="166"/>
    </row>
    <row r="157" spans="1:17">
      <c r="A157" s="166"/>
      <c r="B157" s="166"/>
      <c r="C157" s="166"/>
      <c r="D157" s="166"/>
      <c r="E157" s="166"/>
      <c r="F157" s="166"/>
      <c r="G157" s="166"/>
      <c r="H157" s="166"/>
      <c r="I157" s="166"/>
      <c r="J157" s="166"/>
      <c r="K157" s="166"/>
      <c r="L157" s="166"/>
      <c r="M157" s="166"/>
      <c r="N157" s="166"/>
      <c r="O157" s="166"/>
      <c r="P157" s="166"/>
      <c r="Q157" s="166"/>
    </row>
    <row r="158" spans="1:17">
      <c r="A158" s="166"/>
      <c r="B158" s="166"/>
      <c r="C158" s="166"/>
      <c r="D158" s="166"/>
      <c r="E158" s="166"/>
      <c r="F158" s="166"/>
      <c r="G158" s="166"/>
      <c r="H158" s="166"/>
      <c r="I158" s="166"/>
      <c r="J158" s="166"/>
      <c r="K158" s="166"/>
      <c r="L158" s="166"/>
      <c r="M158" s="166"/>
      <c r="N158" s="166"/>
      <c r="O158" s="166"/>
      <c r="P158" s="166"/>
      <c r="Q158" s="166"/>
    </row>
    <row r="159" spans="1:17">
      <c r="A159" s="166"/>
      <c r="B159" s="166"/>
      <c r="C159" s="166"/>
      <c r="D159" s="166"/>
      <c r="E159" s="166"/>
      <c r="F159" s="166"/>
      <c r="G159" s="166"/>
      <c r="H159" s="166"/>
      <c r="I159" s="166"/>
      <c r="J159" s="166"/>
      <c r="K159" s="166"/>
      <c r="L159" s="166"/>
      <c r="M159" s="166"/>
      <c r="N159" s="166"/>
      <c r="O159" s="166"/>
      <c r="P159" s="166"/>
      <c r="Q159" s="166"/>
    </row>
    <row r="160" spans="1:17">
      <c r="A160" s="166"/>
      <c r="B160" s="166"/>
      <c r="C160" s="166"/>
      <c r="D160" s="166"/>
      <c r="E160" s="166"/>
      <c r="F160" s="166"/>
      <c r="G160" s="166"/>
      <c r="H160" s="166"/>
      <c r="I160" s="166"/>
      <c r="J160" s="166"/>
      <c r="K160" s="166"/>
      <c r="L160" s="166"/>
      <c r="M160" s="166"/>
      <c r="N160" s="166"/>
      <c r="O160" s="166"/>
      <c r="P160" s="166"/>
      <c r="Q160" s="166"/>
    </row>
    <row r="161" spans="1:17">
      <c r="A161" s="166"/>
      <c r="B161" s="166"/>
      <c r="C161" s="166"/>
      <c r="D161" s="166"/>
      <c r="E161" s="166"/>
      <c r="F161" s="166"/>
      <c r="G161" s="166"/>
      <c r="H161" s="166"/>
      <c r="I161" s="166"/>
      <c r="J161" s="166"/>
      <c r="K161" s="166"/>
      <c r="L161" s="166"/>
      <c r="M161" s="166"/>
      <c r="N161" s="166"/>
      <c r="O161" s="166"/>
      <c r="P161" s="166"/>
      <c r="Q161" s="166"/>
    </row>
    <row r="162" spans="1:17">
      <c r="A162" s="166"/>
      <c r="B162" s="166"/>
      <c r="C162" s="166"/>
      <c r="D162" s="166"/>
      <c r="E162" s="166"/>
      <c r="F162" s="166"/>
      <c r="G162" s="166"/>
      <c r="H162" s="166"/>
      <c r="I162" s="166"/>
      <c r="J162" s="166"/>
      <c r="K162" s="166"/>
      <c r="L162" s="166"/>
      <c r="M162" s="166"/>
      <c r="N162" s="166"/>
      <c r="O162" s="166"/>
      <c r="P162" s="166"/>
      <c r="Q162" s="166"/>
    </row>
    <row r="163" spans="1:17">
      <c r="A163" s="166"/>
      <c r="B163" s="166"/>
      <c r="C163" s="166"/>
      <c r="D163" s="166"/>
      <c r="E163" s="166"/>
      <c r="F163" s="166"/>
      <c r="G163" s="166"/>
      <c r="H163" s="166"/>
      <c r="I163" s="166"/>
      <c r="J163" s="166"/>
      <c r="K163" s="166"/>
      <c r="L163" s="166"/>
      <c r="M163" s="166"/>
      <c r="N163" s="166"/>
      <c r="O163" s="166"/>
      <c r="P163" s="166"/>
      <c r="Q163" s="166"/>
    </row>
    <row r="164" spans="1:17">
      <c r="A164" s="166"/>
      <c r="B164" s="166"/>
      <c r="C164" s="166"/>
      <c r="D164" s="166"/>
      <c r="E164" s="166"/>
      <c r="F164" s="166"/>
      <c r="G164" s="166"/>
      <c r="H164" s="166"/>
      <c r="I164" s="166"/>
      <c r="J164" s="166"/>
      <c r="K164" s="166"/>
      <c r="L164" s="166"/>
      <c r="M164" s="166"/>
      <c r="N164" s="166"/>
      <c r="O164" s="166"/>
      <c r="P164" s="166"/>
      <c r="Q164" s="166"/>
    </row>
    <row r="165" spans="1:17">
      <c r="A165" s="166"/>
      <c r="B165" s="166"/>
      <c r="C165" s="166"/>
      <c r="D165" s="166"/>
      <c r="E165" s="166"/>
      <c r="F165" s="166"/>
      <c r="G165" s="166"/>
      <c r="H165" s="166"/>
      <c r="I165" s="166"/>
      <c r="J165" s="166"/>
      <c r="K165" s="166"/>
      <c r="L165" s="166"/>
      <c r="M165" s="166"/>
      <c r="N165" s="166"/>
      <c r="O165" s="166"/>
      <c r="P165" s="166"/>
      <c r="Q165" s="166"/>
    </row>
    <row r="166" spans="1:17">
      <c r="A166" s="166"/>
      <c r="B166" s="166"/>
      <c r="C166" s="166"/>
      <c r="D166" s="166"/>
      <c r="E166" s="166"/>
      <c r="F166" s="166"/>
      <c r="G166" s="166"/>
      <c r="H166" s="166"/>
      <c r="I166" s="166"/>
      <c r="J166" s="166"/>
      <c r="K166" s="166"/>
      <c r="L166" s="166"/>
      <c r="M166" s="166"/>
      <c r="N166" s="166"/>
      <c r="O166" s="166"/>
      <c r="P166" s="166"/>
      <c r="Q166" s="166"/>
    </row>
    <row r="167" spans="1:17">
      <c r="A167" s="166"/>
      <c r="B167" s="166"/>
      <c r="C167" s="166"/>
      <c r="D167" s="166"/>
      <c r="E167" s="166"/>
      <c r="F167" s="166"/>
      <c r="G167" s="166"/>
      <c r="H167" s="166"/>
      <c r="I167" s="166"/>
      <c r="J167" s="166"/>
      <c r="K167" s="166"/>
      <c r="L167" s="166"/>
      <c r="M167" s="166"/>
      <c r="N167" s="166"/>
      <c r="O167" s="166"/>
      <c r="P167" s="166"/>
      <c r="Q167" s="166"/>
    </row>
    <row r="168" spans="1:17">
      <c r="A168" s="166"/>
      <c r="B168" s="166"/>
      <c r="C168" s="166"/>
      <c r="D168" s="166"/>
      <c r="E168" s="166"/>
      <c r="F168" s="166"/>
      <c r="G168" s="166"/>
      <c r="H168" s="166"/>
      <c r="I168" s="166"/>
      <c r="J168" s="166"/>
      <c r="K168" s="166"/>
      <c r="L168" s="166"/>
      <c r="M168" s="166"/>
      <c r="N168" s="166"/>
      <c r="O168" s="166"/>
      <c r="P168" s="166"/>
      <c r="Q168" s="166"/>
    </row>
    <row r="169" spans="1:17">
      <c r="A169" s="166"/>
      <c r="B169" s="166"/>
      <c r="C169" s="166"/>
      <c r="D169" s="166"/>
      <c r="E169" s="166"/>
      <c r="F169" s="166"/>
      <c r="G169" s="166"/>
      <c r="H169" s="166"/>
      <c r="I169" s="166"/>
      <c r="J169" s="166"/>
      <c r="K169" s="166"/>
      <c r="L169" s="166"/>
      <c r="M169" s="166"/>
      <c r="N169" s="166"/>
      <c r="O169" s="166"/>
      <c r="P169" s="166"/>
      <c r="Q169" s="166"/>
    </row>
    <row r="170" spans="1:17">
      <c r="A170" s="166"/>
      <c r="B170" s="166"/>
      <c r="C170" s="166"/>
      <c r="D170" s="166"/>
      <c r="E170" s="166"/>
      <c r="F170" s="166"/>
      <c r="G170" s="166"/>
      <c r="H170" s="166"/>
      <c r="I170" s="166"/>
      <c r="J170" s="166"/>
      <c r="K170" s="166"/>
      <c r="L170" s="166"/>
      <c r="M170" s="166"/>
      <c r="N170" s="166"/>
      <c r="O170" s="166"/>
      <c r="P170" s="166"/>
      <c r="Q170" s="166"/>
    </row>
    <row r="171" spans="1:17">
      <c r="A171" s="166"/>
      <c r="B171" s="166"/>
      <c r="C171" s="166"/>
      <c r="D171" s="166"/>
      <c r="E171" s="166"/>
      <c r="F171" s="166"/>
      <c r="G171" s="166"/>
      <c r="H171" s="166"/>
      <c r="I171" s="166"/>
      <c r="J171" s="166"/>
      <c r="K171" s="166"/>
      <c r="L171" s="166"/>
      <c r="M171" s="166"/>
      <c r="N171" s="166"/>
      <c r="O171" s="166"/>
      <c r="P171" s="166"/>
      <c r="Q171" s="166"/>
    </row>
    <row r="172" spans="1:17">
      <c r="A172" s="166"/>
      <c r="B172" s="166"/>
      <c r="C172" s="166"/>
      <c r="D172" s="166"/>
      <c r="E172" s="166"/>
      <c r="F172" s="166"/>
      <c r="G172" s="166"/>
      <c r="H172" s="166"/>
      <c r="I172" s="166"/>
      <c r="J172" s="166"/>
      <c r="K172" s="166"/>
      <c r="L172" s="166"/>
      <c r="M172" s="166"/>
      <c r="N172" s="166"/>
      <c r="O172" s="166"/>
      <c r="P172" s="166"/>
      <c r="Q172" s="166"/>
    </row>
    <row r="173" spans="1:17">
      <c r="A173" s="166"/>
      <c r="B173" s="166"/>
      <c r="C173" s="166"/>
      <c r="D173" s="166"/>
      <c r="E173" s="166"/>
      <c r="F173" s="166"/>
      <c r="G173" s="166"/>
      <c r="H173" s="166"/>
      <c r="I173" s="166"/>
      <c r="J173" s="166"/>
      <c r="K173" s="166"/>
      <c r="L173" s="166"/>
      <c r="M173" s="166"/>
      <c r="N173" s="166"/>
      <c r="O173" s="166"/>
      <c r="P173" s="166"/>
      <c r="Q173" s="166"/>
    </row>
    <row r="174" spans="1:17">
      <c r="A174" s="166"/>
      <c r="B174" s="166"/>
      <c r="C174" s="166"/>
      <c r="D174" s="166"/>
      <c r="E174" s="166"/>
      <c r="F174" s="166"/>
      <c r="G174" s="166"/>
      <c r="H174" s="166"/>
      <c r="I174" s="166"/>
      <c r="J174" s="166"/>
      <c r="K174" s="166"/>
      <c r="L174" s="166"/>
      <c r="M174" s="166"/>
      <c r="N174" s="166"/>
      <c r="O174" s="166"/>
      <c r="P174" s="166"/>
      <c r="Q174" s="166"/>
    </row>
    <row r="175" spans="1:17">
      <c r="A175" s="166"/>
      <c r="B175" s="166"/>
      <c r="C175" s="166"/>
      <c r="D175" s="166"/>
      <c r="E175" s="166"/>
      <c r="F175" s="166"/>
      <c r="G175" s="166"/>
      <c r="H175" s="166"/>
      <c r="I175" s="166"/>
      <c r="J175" s="166"/>
      <c r="K175" s="166"/>
      <c r="L175" s="166"/>
      <c r="M175" s="166"/>
      <c r="N175" s="166"/>
      <c r="O175" s="166"/>
      <c r="P175" s="166"/>
      <c r="Q175" s="166"/>
    </row>
    <row r="176" spans="1:17">
      <c r="A176" s="166"/>
      <c r="B176" s="166"/>
      <c r="C176" s="166"/>
      <c r="D176" s="166"/>
      <c r="E176" s="166"/>
      <c r="F176" s="166"/>
      <c r="G176" s="166"/>
      <c r="H176" s="166"/>
      <c r="I176" s="166"/>
      <c r="J176" s="166"/>
      <c r="K176" s="166"/>
      <c r="L176" s="166"/>
      <c r="M176" s="166"/>
      <c r="N176" s="166"/>
      <c r="O176" s="166"/>
      <c r="P176" s="166"/>
      <c r="Q176" s="166"/>
    </row>
    <row r="177" spans="1:17">
      <c r="A177" s="166"/>
      <c r="B177" s="166"/>
      <c r="C177" s="166"/>
      <c r="D177" s="166"/>
      <c r="E177" s="166"/>
      <c r="F177" s="166"/>
      <c r="G177" s="166"/>
      <c r="H177" s="166"/>
      <c r="I177" s="166"/>
      <c r="J177" s="166"/>
      <c r="K177" s="166"/>
      <c r="L177" s="166"/>
      <c r="M177" s="166"/>
      <c r="N177" s="166"/>
      <c r="O177" s="166"/>
      <c r="P177" s="166"/>
      <c r="Q177" s="166"/>
    </row>
    <row r="178" spans="1:17">
      <c r="A178" s="166"/>
      <c r="B178" s="166"/>
      <c r="C178" s="166"/>
      <c r="D178" s="166"/>
      <c r="E178" s="166"/>
      <c r="F178" s="166"/>
      <c r="G178" s="166"/>
      <c r="H178" s="166"/>
      <c r="I178" s="166"/>
      <c r="J178" s="166"/>
      <c r="K178" s="166"/>
      <c r="L178" s="166"/>
      <c r="M178" s="166"/>
      <c r="N178" s="166"/>
      <c r="O178" s="166"/>
      <c r="P178" s="166"/>
      <c r="Q178" s="166"/>
    </row>
    <row r="179" spans="1:17">
      <c r="A179" s="166"/>
      <c r="B179" s="166"/>
      <c r="C179" s="166"/>
      <c r="D179" s="166"/>
      <c r="E179" s="166"/>
      <c r="F179" s="166"/>
      <c r="G179" s="166"/>
      <c r="H179" s="166"/>
      <c r="I179" s="166"/>
      <c r="J179" s="166"/>
      <c r="K179" s="166"/>
      <c r="L179" s="166"/>
      <c r="M179" s="166"/>
      <c r="N179" s="166"/>
      <c r="O179" s="166"/>
      <c r="P179" s="166"/>
      <c r="Q179" s="166"/>
    </row>
    <row r="180" spans="1:17">
      <c r="A180" s="166"/>
      <c r="B180" s="166"/>
      <c r="C180" s="166"/>
      <c r="D180" s="166"/>
      <c r="E180" s="166"/>
      <c r="F180" s="166"/>
      <c r="G180" s="166"/>
      <c r="H180" s="166"/>
      <c r="I180" s="166"/>
      <c r="J180" s="166"/>
      <c r="K180" s="166"/>
      <c r="L180" s="166"/>
      <c r="M180" s="166"/>
      <c r="N180" s="166"/>
      <c r="O180" s="166"/>
      <c r="P180" s="166"/>
      <c r="Q180" s="166"/>
    </row>
    <row r="181" spans="1:17">
      <c r="A181" s="166"/>
      <c r="B181" s="166"/>
      <c r="C181" s="166"/>
      <c r="D181" s="166"/>
      <c r="E181" s="166"/>
      <c r="F181" s="166"/>
      <c r="G181" s="166"/>
      <c r="H181" s="166"/>
      <c r="I181" s="166"/>
      <c r="J181" s="166"/>
      <c r="K181" s="166"/>
      <c r="L181" s="166"/>
      <c r="M181" s="166"/>
      <c r="N181" s="166"/>
      <c r="O181" s="166"/>
      <c r="P181" s="166"/>
      <c r="Q181" s="166"/>
    </row>
    <row r="182" spans="1:17">
      <c r="A182" s="166"/>
      <c r="B182" s="166"/>
      <c r="C182" s="166"/>
      <c r="D182" s="166"/>
      <c r="E182" s="166"/>
      <c r="F182" s="166"/>
      <c r="G182" s="166"/>
      <c r="H182" s="166"/>
      <c r="I182" s="166"/>
      <c r="J182" s="166"/>
      <c r="K182" s="166"/>
      <c r="L182" s="166"/>
      <c r="M182" s="166"/>
      <c r="N182" s="166"/>
      <c r="O182" s="166"/>
      <c r="P182" s="166"/>
      <c r="Q182" s="166"/>
    </row>
    <row r="183" spans="1:17">
      <c r="A183" s="166"/>
      <c r="B183" s="166"/>
      <c r="C183" s="166"/>
      <c r="D183" s="166"/>
      <c r="E183" s="166"/>
      <c r="F183" s="166"/>
      <c r="G183" s="166"/>
      <c r="H183" s="166"/>
      <c r="I183" s="166"/>
      <c r="J183" s="166"/>
      <c r="K183" s="166"/>
      <c r="L183" s="166"/>
      <c r="M183" s="166"/>
      <c r="N183" s="166"/>
      <c r="O183" s="166"/>
      <c r="P183" s="166"/>
      <c r="Q183" s="166"/>
    </row>
    <row r="184" spans="1:17">
      <c r="A184" s="166"/>
      <c r="B184" s="166"/>
      <c r="C184" s="166"/>
      <c r="D184" s="166"/>
      <c r="E184" s="166"/>
      <c r="F184" s="166"/>
      <c r="G184" s="166"/>
      <c r="H184" s="166"/>
      <c r="I184" s="166"/>
      <c r="J184" s="166"/>
      <c r="K184" s="166"/>
      <c r="L184" s="166"/>
      <c r="M184" s="166"/>
      <c r="N184" s="166"/>
      <c r="O184" s="166"/>
      <c r="P184" s="166"/>
      <c r="Q184" s="166"/>
    </row>
    <row r="185" spans="1:17">
      <c r="A185" s="166"/>
      <c r="B185" s="166"/>
      <c r="C185" s="166"/>
      <c r="D185" s="166"/>
      <c r="E185" s="166"/>
      <c r="F185" s="166"/>
      <c r="G185" s="166"/>
      <c r="H185" s="166"/>
      <c r="I185" s="166"/>
      <c r="J185" s="166"/>
      <c r="K185" s="166"/>
      <c r="L185" s="166"/>
      <c r="M185" s="166"/>
      <c r="N185" s="166"/>
      <c r="O185" s="166"/>
      <c r="P185" s="166"/>
      <c r="Q185" s="166"/>
    </row>
    <row r="186" spans="1:17">
      <c r="A186" s="166"/>
      <c r="B186" s="166"/>
      <c r="C186" s="166"/>
      <c r="D186" s="166"/>
      <c r="E186" s="166"/>
      <c r="F186" s="166"/>
      <c r="G186" s="166"/>
      <c r="H186" s="166"/>
      <c r="I186" s="166"/>
      <c r="J186" s="166"/>
      <c r="K186" s="166"/>
      <c r="L186" s="166"/>
      <c r="M186" s="166"/>
      <c r="N186" s="166"/>
      <c r="O186" s="166"/>
      <c r="P186" s="166"/>
      <c r="Q186" s="166"/>
    </row>
    <row r="187" spans="1:17">
      <c r="A187" s="166"/>
      <c r="B187" s="166"/>
      <c r="C187" s="166"/>
      <c r="D187" s="166"/>
      <c r="E187" s="166"/>
      <c r="F187" s="166"/>
      <c r="G187" s="166"/>
      <c r="H187" s="166"/>
      <c r="I187" s="166"/>
      <c r="J187" s="166"/>
      <c r="K187" s="166"/>
      <c r="L187" s="166"/>
      <c r="M187" s="166"/>
      <c r="N187" s="166"/>
      <c r="O187" s="166"/>
      <c r="P187" s="166"/>
      <c r="Q187" s="166"/>
    </row>
    <row r="188" spans="1:17">
      <c r="A188" s="166"/>
      <c r="B188" s="166"/>
      <c r="C188" s="166"/>
      <c r="D188" s="166"/>
      <c r="E188" s="166"/>
      <c r="F188" s="166"/>
      <c r="G188" s="166"/>
      <c r="H188" s="166"/>
      <c r="I188" s="166"/>
      <c r="J188" s="166"/>
      <c r="K188" s="166"/>
      <c r="L188" s="166"/>
      <c r="M188" s="166"/>
      <c r="N188" s="166"/>
      <c r="O188" s="166"/>
      <c r="P188" s="166"/>
      <c r="Q188" s="166"/>
    </row>
    <row r="189" spans="1:17">
      <c r="A189" s="166"/>
      <c r="B189" s="166"/>
      <c r="C189" s="166"/>
      <c r="D189" s="166"/>
      <c r="E189" s="166"/>
      <c r="F189" s="166"/>
      <c r="G189" s="166"/>
      <c r="H189" s="166"/>
      <c r="I189" s="166"/>
      <c r="J189" s="166"/>
      <c r="K189" s="166"/>
      <c r="L189" s="166"/>
      <c r="M189" s="166"/>
      <c r="N189" s="166"/>
      <c r="O189" s="166"/>
      <c r="P189" s="166"/>
      <c r="Q189" s="166"/>
    </row>
    <row r="190" spans="1:17">
      <c r="A190" s="166"/>
      <c r="B190" s="166"/>
      <c r="C190" s="166"/>
      <c r="D190" s="166"/>
      <c r="E190" s="166"/>
      <c r="F190" s="166"/>
      <c r="G190" s="166"/>
      <c r="H190" s="166"/>
      <c r="I190" s="166"/>
      <c r="J190" s="166"/>
      <c r="K190" s="166"/>
      <c r="L190" s="166"/>
      <c r="M190" s="166"/>
      <c r="N190" s="166"/>
      <c r="O190" s="166"/>
      <c r="P190" s="166"/>
      <c r="Q190" s="166"/>
    </row>
    <row r="191" spans="1:17">
      <c r="A191" s="166"/>
      <c r="B191" s="166"/>
      <c r="C191" s="166"/>
      <c r="D191" s="166"/>
      <c r="E191" s="166"/>
      <c r="F191" s="166"/>
      <c r="G191" s="166"/>
      <c r="H191" s="166"/>
      <c r="I191" s="166"/>
      <c r="J191" s="166"/>
      <c r="K191" s="166"/>
      <c r="L191" s="166"/>
      <c r="M191" s="166"/>
      <c r="N191" s="166"/>
      <c r="O191" s="166"/>
      <c r="P191" s="166"/>
      <c r="Q191" s="166"/>
    </row>
    <row r="192" spans="1:17">
      <c r="A192" s="166"/>
      <c r="B192" s="166"/>
      <c r="C192" s="166"/>
      <c r="D192" s="166"/>
      <c r="E192" s="166"/>
      <c r="F192" s="166"/>
      <c r="G192" s="166"/>
      <c r="H192" s="166"/>
      <c r="I192" s="166"/>
      <c r="J192" s="166"/>
      <c r="K192" s="166"/>
      <c r="L192" s="166"/>
      <c r="M192" s="166"/>
      <c r="N192" s="166"/>
      <c r="O192" s="166"/>
      <c r="P192" s="166"/>
      <c r="Q192" s="166"/>
    </row>
    <row r="193" spans="1:17">
      <c r="A193" s="166"/>
      <c r="B193" s="166"/>
      <c r="C193" s="166"/>
      <c r="D193" s="166"/>
      <c r="E193" s="166"/>
      <c r="F193" s="166"/>
      <c r="G193" s="166"/>
      <c r="H193" s="166"/>
      <c r="I193" s="166"/>
      <c r="J193" s="166"/>
      <c r="K193" s="166"/>
      <c r="L193" s="166"/>
      <c r="M193" s="166"/>
      <c r="N193" s="166"/>
      <c r="O193" s="166"/>
      <c r="P193" s="166"/>
      <c r="Q193" s="166"/>
    </row>
    <row r="194" spans="1:17">
      <c r="A194" s="166"/>
      <c r="B194" s="166"/>
      <c r="C194" s="166"/>
      <c r="D194" s="166"/>
      <c r="E194" s="166"/>
      <c r="F194" s="166"/>
      <c r="G194" s="166"/>
      <c r="H194" s="166"/>
      <c r="I194" s="166"/>
      <c r="J194" s="166"/>
      <c r="K194" s="166"/>
      <c r="L194" s="166"/>
      <c r="M194" s="166"/>
      <c r="N194" s="166"/>
      <c r="O194" s="166"/>
      <c r="P194" s="166"/>
      <c r="Q194" s="166"/>
    </row>
    <row r="195" spans="1:17">
      <c r="A195" s="166"/>
      <c r="B195" s="166"/>
      <c r="C195" s="166"/>
      <c r="D195" s="166"/>
      <c r="E195" s="166"/>
      <c r="F195" s="166"/>
      <c r="G195" s="166"/>
      <c r="H195" s="166"/>
      <c r="I195" s="166"/>
      <c r="J195" s="166"/>
      <c r="K195" s="166"/>
      <c r="L195" s="166"/>
      <c r="M195" s="166"/>
      <c r="N195" s="166"/>
      <c r="O195" s="166"/>
      <c r="P195" s="166"/>
      <c r="Q195" s="166"/>
    </row>
    <row r="196" spans="1:17">
      <c r="A196" s="166"/>
      <c r="B196" s="166"/>
      <c r="C196" s="166"/>
      <c r="D196" s="166"/>
      <c r="E196" s="166"/>
      <c r="F196" s="166"/>
      <c r="G196" s="166"/>
      <c r="H196" s="166"/>
      <c r="I196" s="166"/>
      <c r="J196" s="166"/>
      <c r="K196" s="166"/>
      <c r="L196" s="166"/>
      <c r="M196" s="166"/>
      <c r="N196" s="166"/>
      <c r="O196" s="166"/>
      <c r="P196" s="166"/>
      <c r="Q196" s="166"/>
    </row>
    <row r="197" spans="1:17">
      <c r="A197" s="166"/>
      <c r="B197" s="166"/>
      <c r="C197" s="166"/>
      <c r="D197" s="166"/>
      <c r="E197" s="166"/>
      <c r="F197" s="166"/>
      <c r="G197" s="166"/>
      <c r="H197" s="166"/>
      <c r="I197" s="166"/>
      <c r="J197" s="166"/>
      <c r="K197" s="166"/>
      <c r="L197" s="166"/>
      <c r="M197" s="166"/>
      <c r="N197" s="166"/>
      <c r="O197" s="166"/>
      <c r="P197" s="166"/>
      <c r="Q197" s="166"/>
    </row>
    <row r="198" spans="1:17">
      <c r="A198" s="166"/>
      <c r="B198" s="166"/>
      <c r="C198" s="166"/>
      <c r="D198" s="166"/>
      <c r="E198" s="166"/>
      <c r="F198" s="166"/>
      <c r="G198" s="166"/>
      <c r="H198" s="166"/>
      <c r="I198" s="166"/>
      <c r="J198" s="166"/>
      <c r="K198" s="166"/>
      <c r="L198" s="166"/>
      <c r="M198" s="166"/>
      <c r="N198" s="166"/>
      <c r="O198" s="166"/>
      <c r="P198" s="166"/>
      <c r="Q198" s="166"/>
    </row>
    <row r="199" spans="1:17">
      <c r="A199" s="166"/>
      <c r="B199" s="166"/>
      <c r="C199" s="166"/>
      <c r="D199" s="166"/>
      <c r="E199" s="166"/>
      <c r="F199" s="166"/>
      <c r="G199" s="166"/>
      <c r="H199" s="166"/>
      <c r="I199" s="166"/>
      <c r="J199" s="166"/>
      <c r="K199" s="166"/>
      <c r="L199" s="166"/>
      <c r="M199" s="166"/>
      <c r="N199" s="166"/>
      <c r="O199" s="166"/>
      <c r="P199" s="166"/>
      <c r="Q199" s="166"/>
    </row>
    <row r="200" spans="1:17">
      <c r="A200" s="166"/>
      <c r="B200" s="166"/>
      <c r="C200" s="166"/>
      <c r="D200" s="166"/>
      <c r="E200" s="166"/>
      <c r="F200" s="166"/>
      <c r="G200" s="166"/>
      <c r="H200" s="166"/>
      <c r="I200" s="166"/>
      <c r="J200" s="166"/>
      <c r="K200" s="166"/>
      <c r="L200" s="166"/>
      <c r="M200" s="166"/>
      <c r="N200" s="166"/>
      <c r="O200" s="166"/>
      <c r="P200" s="166"/>
      <c r="Q200" s="166"/>
    </row>
    <row r="201" spans="1:17">
      <c r="A201" s="166"/>
      <c r="B201" s="166"/>
      <c r="C201" s="166"/>
      <c r="D201" s="166"/>
      <c r="E201" s="166"/>
      <c r="F201" s="166"/>
      <c r="G201" s="166"/>
      <c r="H201" s="166"/>
      <c r="I201" s="166"/>
      <c r="J201" s="166"/>
      <c r="K201" s="166"/>
      <c r="L201" s="166"/>
      <c r="M201" s="166"/>
      <c r="N201" s="166"/>
      <c r="O201" s="166"/>
      <c r="P201" s="166"/>
      <c r="Q201" s="166"/>
    </row>
    <row r="202" spans="1:17">
      <c r="A202" s="166"/>
      <c r="B202" s="166"/>
      <c r="C202" s="166"/>
      <c r="D202" s="166"/>
      <c r="E202" s="166"/>
      <c r="F202" s="166"/>
      <c r="G202" s="166"/>
      <c r="H202" s="166"/>
      <c r="I202" s="166"/>
      <c r="J202" s="166"/>
      <c r="K202" s="166"/>
      <c r="L202" s="166"/>
      <c r="M202" s="166"/>
      <c r="N202" s="166"/>
      <c r="O202" s="166"/>
      <c r="P202" s="166"/>
      <c r="Q202" s="166"/>
    </row>
    <row r="203" spans="1:17">
      <c r="A203" s="166"/>
      <c r="B203" s="166"/>
      <c r="C203" s="166"/>
      <c r="D203" s="166"/>
      <c r="E203" s="166"/>
      <c r="F203" s="166"/>
      <c r="G203" s="166"/>
      <c r="H203" s="166"/>
      <c r="I203" s="166"/>
      <c r="J203" s="166"/>
      <c r="K203" s="166"/>
      <c r="L203" s="166"/>
      <c r="M203" s="166"/>
      <c r="N203" s="166"/>
      <c r="O203" s="166"/>
      <c r="P203" s="166"/>
      <c r="Q203" s="166"/>
    </row>
    <row r="204" spans="1:17">
      <c r="A204" s="166"/>
      <c r="B204" s="166"/>
      <c r="C204" s="166"/>
      <c r="D204" s="166"/>
      <c r="E204" s="166"/>
      <c r="F204" s="166"/>
      <c r="G204" s="166"/>
      <c r="H204" s="166"/>
      <c r="I204" s="166"/>
      <c r="J204" s="166"/>
      <c r="K204" s="166"/>
      <c r="L204" s="166"/>
      <c r="M204" s="166"/>
      <c r="N204" s="166"/>
      <c r="O204" s="166"/>
      <c r="P204" s="166"/>
      <c r="Q204" s="166"/>
    </row>
    <row r="205" spans="1:17">
      <c r="A205" s="166"/>
      <c r="B205" s="166"/>
      <c r="C205" s="166"/>
      <c r="D205" s="166"/>
      <c r="E205" s="166"/>
      <c r="F205" s="166"/>
      <c r="G205" s="166"/>
      <c r="H205" s="166"/>
      <c r="I205" s="166"/>
      <c r="J205" s="166"/>
      <c r="K205" s="166"/>
      <c r="L205" s="166"/>
      <c r="M205" s="166"/>
      <c r="N205" s="166"/>
      <c r="O205" s="166"/>
      <c r="P205" s="166"/>
      <c r="Q205" s="166"/>
    </row>
    <row r="206" spans="1:17">
      <c r="A206" s="166"/>
      <c r="B206" s="166"/>
      <c r="C206" s="166"/>
      <c r="D206" s="166"/>
      <c r="E206" s="166"/>
      <c r="F206" s="166"/>
      <c r="G206" s="166"/>
      <c r="H206" s="166"/>
      <c r="I206" s="166"/>
      <c r="J206" s="166"/>
      <c r="K206" s="166"/>
      <c r="L206" s="166"/>
      <c r="M206" s="166"/>
      <c r="N206" s="166"/>
      <c r="O206" s="166"/>
      <c r="P206" s="166"/>
      <c r="Q206" s="166"/>
    </row>
    <row r="207" spans="1:17">
      <c r="A207" s="166"/>
      <c r="B207" s="166"/>
      <c r="C207" s="166"/>
      <c r="D207" s="166"/>
      <c r="E207" s="166"/>
      <c r="F207" s="166"/>
      <c r="G207" s="166"/>
      <c r="H207" s="166"/>
      <c r="I207" s="166"/>
      <c r="J207" s="166"/>
      <c r="K207" s="166"/>
      <c r="L207" s="166"/>
      <c r="M207" s="166"/>
      <c r="N207" s="166"/>
      <c r="O207" s="166"/>
      <c r="P207" s="166"/>
      <c r="Q207" s="166"/>
    </row>
    <row r="208" spans="1:17">
      <c r="A208" s="166"/>
      <c r="B208" s="166"/>
      <c r="C208" s="166"/>
      <c r="D208" s="166"/>
      <c r="E208" s="166"/>
      <c r="F208" s="166"/>
      <c r="G208" s="166"/>
      <c r="H208" s="166"/>
      <c r="I208" s="166"/>
      <c r="J208" s="166"/>
      <c r="K208" s="166"/>
      <c r="L208" s="166"/>
      <c r="M208" s="166"/>
      <c r="N208" s="166"/>
      <c r="O208" s="166"/>
      <c r="P208" s="166"/>
      <c r="Q208" s="166"/>
    </row>
    <row r="209" spans="1:17">
      <c r="A209" s="166"/>
      <c r="B209" s="166"/>
      <c r="C209" s="166"/>
      <c r="D209" s="166"/>
      <c r="E209" s="166"/>
      <c r="F209" s="166"/>
      <c r="G209" s="166"/>
      <c r="H209" s="166"/>
      <c r="I209" s="166"/>
      <c r="J209" s="166"/>
      <c r="K209" s="166"/>
      <c r="L209" s="166"/>
      <c r="M209" s="166"/>
      <c r="N209" s="166"/>
      <c r="O209" s="166"/>
      <c r="P209" s="166"/>
      <c r="Q209" s="166"/>
    </row>
    <row r="210" spans="1:17">
      <c r="A210" s="166"/>
      <c r="B210" s="166"/>
      <c r="C210" s="166"/>
      <c r="D210" s="166"/>
      <c r="E210" s="166"/>
      <c r="F210" s="166"/>
      <c r="G210" s="166"/>
      <c r="H210" s="166"/>
      <c r="I210" s="166"/>
      <c r="J210" s="166"/>
      <c r="K210" s="166"/>
      <c r="L210" s="166"/>
      <c r="M210" s="166"/>
      <c r="N210" s="166"/>
      <c r="O210" s="166"/>
      <c r="P210" s="166"/>
      <c r="Q210" s="166"/>
    </row>
    <row r="211" spans="1:17">
      <c r="A211" s="166"/>
      <c r="B211" s="166"/>
      <c r="C211" s="166"/>
      <c r="D211" s="166"/>
      <c r="E211" s="166"/>
      <c r="F211" s="166"/>
      <c r="G211" s="166"/>
      <c r="H211" s="166"/>
      <c r="I211" s="166"/>
      <c r="J211" s="166"/>
      <c r="K211" s="166"/>
      <c r="L211" s="166"/>
      <c r="M211" s="166"/>
      <c r="N211" s="166"/>
      <c r="O211" s="166"/>
      <c r="P211" s="166"/>
      <c r="Q211" s="166"/>
    </row>
    <row r="212" spans="1:17">
      <c r="A212" s="166"/>
      <c r="B212" s="166"/>
      <c r="C212" s="166"/>
      <c r="D212" s="166"/>
      <c r="E212" s="166"/>
      <c r="F212" s="166"/>
      <c r="G212" s="166"/>
      <c r="H212" s="166"/>
      <c r="I212" s="166"/>
      <c r="J212" s="166"/>
      <c r="K212" s="166"/>
      <c r="L212" s="166"/>
      <c r="M212" s="166"/>
      <c r="N212" s="166"/>
      <c r="O212" s="166"/>
      <c r="P212" s="166"/>
      <c r="Q212" s="166"/>
    </row>
    <row r="213" spans="1:17">
      <c r="A213" s="166"/>
      <c r="B213" s="166"/>
      <c r="C213" s="166"/>
      <c r="D213" s="166"/>
      <c r="E213" s="166"/>
      <c r="F213" s="166"/>
      <c r="G213" s="166"/>
      <c r="H213" s="166"/>
      <c r="I213" s="166"/>
      <c r="J213" s="166"/>
      <c r="K213" s="166"/>
      <c r="L213" s="166"/>
      <c r="M213" s="166"/>
      <c r="N213" s="166"/>
      <c r="O213" s="166"/>
      <c r="P213" s="166"/>
      <c r="Q213" s="166"/>
    </row>
    <row r="214" spans="1:17">
      <c r="A214" s="166"/>
      <c r="B214" s="166"/>
      <c r="C214" s="166"/>
      <c r="D214" s="166"/>
      <c r="E214" s="166"/>
      <c r="F214" s="166"/>
      <c r="G214" s="166"/>
      <c r="H214" s="166"/>
      <c r="I214" s="166"/>
      <c r="J214" s="166"/>
      <c r="K214" s="166"/>
      <c r="L214" s="166"/>
      <c r="M214" s="166"/>
      <c r="N214" s="166"/>
      <c r="O214" s="166"/>
      <c r="P214" s="166"/>
      <c r="Q214" s="166"/>
    </row>
    <row r="215" spans="1:17">
      <c r="A215" s="166"/>
      <c r="B215" s="166"/>
      <c r="C215" s="166"/>
      <c r="D215" s="166"/>
      <c r="E215" s="166"/>
      <c r="F215" s="166"/>
      <c r="G215" s="166"/>
      <c r="H215" s="166"/>
      <c r="I215" s="166"/>
      <c r="J215" s="166"/>
      <c r="K215" s="166"/>
      <c r="L215" s="166"/>
      <c r="M215" s="166"/>
      <c r="N215" s="166"/>
      <c r="O215" s="166"/>
      <c r="P215" s="166"/>
      <c r="Q215" s="166"/>
    </row>
    <row r="216" spans="1:17">
      <c r="A216" s="166"/>
      <c r="B216" s="166"/>
      <c r="C216" s="166"/>
      <c r="D216" s="166"/>
      <c r="E216" s="166"/>
      <c r="F216" s="166"/>
      <c r="G216" s="166"/>
      <c r="H216" s="166"/>
      <c r="I216" s="166"/>
      <c r="J216" s="166"/>
      <c r="K216" s="166"/>
      <c r="L216" s="166"/>
      <c r="M216" s="166"/>
      <c r="N216" s="166"/>
      <c r="O216" s="166"/>
      <c r="P216" s="166"/>
      <c r="Q216" s="166"/>
    </row>
    <row r="217" spans="1:17">
      <c r="A217" s="166"/>
      <c r="B217" s="166"/>
      <c r="C217" s="166"/>
      <c r="D217" s="166"/>
      <c r="E217" s="166"/>
      <c r="F217" s="166"/>
      <c r="G217" s="166"/>
      <c r="H217" s="166"/>
      <c r="I217" s="166"/>
      <c r="J217" s="166"/>
      <c r="K217" s="166"/>
      <c r="L217" s="166"/>
      <c r="M217" s="166"/>
      <c r="N217" s="166"/>
      <c r="O217" s="166"/>
      <c r="P217" s="166"/>
      <c r="Q217" s="166"/>
    </row>
    <row r="218" spans="1:17">
      <c r="A218" s="166"/>
      <c r="B218" s="166"/>
      <c r="C218" s="166"/>
      <c r="D218" s="166"/>
      <c r="E218" s="166"/>
      <c r="F218" s="166"/>
      <c r="G218" s="166"/>
      <c r="H218" s="166"/>
      <c r="I218" s="166"/>
      <c r="J218" s="166"/>
      <c r="K218" s="166"/>
      <c r="L218" s="166"/>
      <c r="M218" s="166"/>
      <c r="N218" s="166"/>
      <c r="O218" s="166"/>
      <c r="P218" s="166"/>
      <c r="Q218" s="166"/>
    </row>
    <row r="219" spans="1:17">
      <c r="A219" s="166"/>
      <c r="B219" s="166"/>
      <c r="C219" s="166"/>
      <c r="D219" s="166"/>
      <c r="E219" s="166"/>
      <c r="F219" s="166"/>
      <c r="G219" s="166"/>
      <c r="H219" s="166"/>
      <c r="I219" s="166"/>
      <c r="J219" s="166"/>
      <c r="K219" s="166"/>
      <c r="L219" s="166"/>
      <c r="M219" s="166"/>
      <c r="N219" s="166"/>
      <c r="O219" s="166"/>
      <c r="P219" s="166"/>
      <c r="Q219" s="166"/>
    </row>
    <row r="220" spans="1:17">
      <c r="A220" s="166"/>
      <c r="B220" s="166"/>
      <c r="C220" s="166"/>
      <c r="D220" s="166"/>
      <c r="E220" s="166"/>
      <c r="F220" s="166"/>
      <c r="G220" s="166"/>
      <c r="H220" s="166"/>
      <c r="I220" s="166"/>
      <c r="J220" s="166"/>
      <c r="K220" s="166"/>
      <c r="L220" s="166"/>
      <c r="M220" s="166"/>
      <c r="N220" s="166"/>
      <c r="O220" s="166"/>
      <c r="P220" s="166"/>
      <c r="Q220" s="166"/>
    </row>
    <row r="221" spans="1:17">
      <c r="A221" s="166"/>
      <c r="B221" s="166"/>
      <c r="C221" s="166"/>
      <c r="D221" s="166"/>
      <c r="E221" s="166"/>
      <c r="F221" s="166"/>
      <c r="G221" s="166"/>
      <c r="H221" s="166"/>
      <c r="I221" s="166"/>
      <c r="J221" s="166"/>
      <c r="K221" s="166"/>
      <c r="L221" s="166"/>
      <c r="M221" s="166"/>
      <c r="N221" s="166"/>
      <c r="O221" s="166"/>
      <c r="P221" s="166"/>
      <c r="Q221" s="166"/>
    </row>
    <row r="222" spans="1:17">
      <c r="A222" s="166"/>
      <c r="B222" s="166"/>
      <c r="C222" s="166"/>
      <c r="D222" s="166"/>
      <c r="E222" s="166"/>
      <c r="F222" s="166"/>
      <c r="G222" s="166"/>
      <c r="H222" s="166"/>
      <c r="I222" s="166"/>
      <c r="J222" s="166"/>
      <c r="K222" s="166"/>
      <c r="L222" s="166"/>
      <c r="M222" s="166"/>
      <c r="N222" s="166"/>
      <c r="O222" s="166"/>
      <c r="P222" s="166"/>
      <c r="Q222" s="166"/>
    </row>
    <row r="223" spans="1:17">
      <c r="A223" s="166"/>
      <c r="B223" s="166"/>
      <c r="C223" s="166"/>
      <c r="D223" s="166"/>
      <c r="E223" s="166"/>
      <c r="F223" s="166"/>
      <c r="G223" s="166"/>
      <c r="H223" s="166"/>
      <c r="I223" s="166"/>
      <c r="J223" s="166"/>
      <c r="K223" s="166"/>
      <c r="L223" s="166"/>
      <c r="M223" s="166"/>
      <c r="N223" s="166"/>
      <c r="O223" s="166"/>
      <c r="P223" s="166"/>
      <c r="Q223" s="166"/>
    </row>
    <row r="224" spans="1:17">
      <c r="A224" s="166"/>
      <c r="B224" s="166"/>
      <c r="C224" s="166"/>
      <c r="D224" s="166"/>
      <c r="E224" s="166"/>
      <c r="F224" s="166"/>
      <c r="G224" s="166"/>
      <c r="H224" s="166"/>
      <c r="I224" s="166"/>
      <c r="J224" s="166"/>
      <c r="K224" s="166"/>
      <c r="L224" s="166"/>
      <c r="M224" s="166"/>
      <c r="N224" s="166"/>
      <c r="O224" s="166"/>
      <c r="P224" s="166"/>
      <c r="Q224" s="166"/>
    </row>
    <row r="225" spans="1:17">
      <c r="A225" s="166"/>
      <c r="B225" s="166"/>
      <c r="C225" s="166"/>
      <c r="D225" s="166"/>
      <c r="E225" s="166"/>
      <c r="F225" s="166"/>
      <c r="G225" s="166"/>
      <c r="H225" s="166"/>
      <c r="I225" s="166"/>
      <c r="J225" s="166"/>
      <c r="K225" s="166"/>
      <c r="L225" s="166"/>
      <c r="M225" s="166"/>
      <c r="N225" s="166"/>
      <c r="O225" s="166"/>
      <c r="P225" s="166"/>
      <c r="Q225" s="166"/>
    </row>
    <row r="226" spans="1:17">
      <c r="A226" s="166"/>
      <c r="B226" s="166"/>
      <c r="C226" s="166"/>
      <c r="D226" s="166"/>
      <c r="E226" s="166"/>
      <c r="F226" s="166"/>
      <c r="G226" s="166"/>
      <c r="H226" s="166"/>
      <c r="I226" s="166"/>
      <c r="J226" s="166"/>
      <c r="K226" s="166"/>
      <c r="L226" s="166"/>
      <c r="M226" s="166"/>
      <c r="N226" s="166"/>
      <c r="O226" s="166"/>
      <c r="P226" s="166"/>
      <c r="Q226" s="166"/>
    </row>
    <row r="227" spans="1:17">
      <c r="A227" s="166"/>
      <c r="B227" s="166"/>
      <c r="C227" s="166"/>
      <c r="D227" s="166"/>
      <c r="E227" s="166"/>
      <c r="F227" s="166"/>
      <c r="G227" s="166"/>
      <c r="H227" s="166"/>
      <c r="I227" s="166"/>
      <c r="J227" s="166"/>
      <c r="K227" s="166"/>
      <c r="L227" s="166"/>
      <c r="M227" s="166"/>
      <c r="N227" s="166"/>
      <c r="O227" s="166"/>
      <c r="P227" s="166"/>
      <c r="Q227" s="166"/>
    </row>
    <row r="228" spans="1:17">
      <c r="A228" s="166"/>
      <c r="B228" s="166"/>
      <c r="C228" s="166"/>
      <c r="D228" s="166"/>
      <c r="E228" s="166"/>
      <c r="F228" s="166"/>
      <c r="G228" s="166"/>
      <c r="H228" s="166"/>
      <c r="I228" s="166"/>
      <c r="J228" s="166"/>
      <c r="K228" s="166"/>
      <c r="L228" s="166"/>
      <c r="M228" s="166"/>
      <c r="N228" s="166"/>
      <c r="O228" s="166"/>
      <c r="P228" s="166"/>
      <c r="Q228" s="166"/>
    </row>
    <row r="229" spans="1:17">
      <c r="A229" s="166"/>
      <c r="B229" s="166"/>
      <c r="C229" s="166"/>
      <c r="D229" s="166"/>
      <c r="E229" s="166"/>
      <c r="F229" s="166"/>
      <c r="G229" s="166"/>
      <c r="H229" s="166"/>
      <c r="I229" s="166"/>
      <c r="J229" s="166"/>
      <c r="K229" s="166"/>
      <c r="L229" s="166"/>
      <c r="M229" s="166"/>
      <c r="N229" s="166"/>
      <c r="O229" s="166"/>
      <c r="P229" s="166"/>
      <c r="Q229" s="166"/>
    </row>
    <row r="230" spans="1:17">
      <c r="A230" s="166"/>
      <c r="B230" s="166"/>
      <c r="C230" s="166"/>
      <c r="D230" s="166"/>
      <c r="E230" s="166"/>
      <c r="F230" s="166"/>
      <c r="G230" s="166"/>
      <c r="H230" s="166"/>
      <c r="I230" s="166"/>
      <c r="J230" s="166"/>
      <c r="K230" s="166"/>
      <c r="L230" s="166"/>
      <c r="M230" s="166"/>
      <c r="N230" s="166"/>
      <c r="O230" s="166"/>
      <c r="P230" s="166"/>
      <c r="Q230" s="166"/>
    </row>
    <row r="231" spans="1:17">
      <c r="A231" s="166"/>
      <c r="B231" s="166"/>
      <c r="C231" s="166"/>
      <c r="D231" s="166"/>
      <c r="E231" s="166"/>
      <c r="F231" s="166"/>
      <c r="G231" s="166"/>
      <c r="H231" s="166"/>
      <c r="I231" s="166"/>
      <c r="J231" s="166"/>
      <c r="K231" s="166"/>
      <c r="L231" s="166"/>
      <c r="M231" s="166"/>
      <c r="N231" s="166"/>
      <c r="O231" s="166"/>
      <c r="P231" s="166"/>
      <c r="Q231" s="166"/>
    </row>
    <row r="232" spans="1:17">
      <c r="A232" s="166"/>
      <c r="B232" s="166"/>
      <c r="C232" s="166"/>
      <c r="D232" s="166"/>
      <c r="E232" s="166"/>
      <c r="F232" s="166"/>
      <c r="G232" s="166"/>
      <c r="H232" s="166"/>
      <c r="I232" s="166"/>
      <c r="J232" s="166"/>
      <c r="K232" s="166"/>
      <c r="L232" s="166"/>
      <c r="M232" s="166"/>
      <c r="N232" s="166"/>
      <c r="O232" s="166"/>
      <c r="P232" s="166"/>
      <c r="Q232" s="166"/>
    </row>
    <row r="233" spans="1:17">
      <c r="A233" s="166"/>
      <c r="B233" s="166"/>
      <c r="C233" s="166"/>
      <c r="D233" s="166"/>
      <c r="E233" s="166"/>
      <c r="F233" s="166"/>
      <c r="G233" s="166"/>
      <c r="H233" s="166"/>
      <c r="I233" s="166"/>
      <c r="J233" s="166"/>
      <c r="K233" s="166"/>
      <c r="L233" s="166"/>
      <c r="M233" s="166"/>
      <c r="N233" s="166"/>
      <c r="O233" s="166"/>
      <c r="P233" s="166"/>
      <c r="Q233" s="166"/>
    </row>
    <row r="234" spans="1:17">
      <c r="A234" s="166"/>
      <c r="B234" s="166"/>
      <c r="C234" s="166"/>
      <c r="D234" s="166"/>
      <c r="E234" s="166"/>
      <c r="F234" s="166"/>
      <c r="G234" s="166"/>
      <c r="H234" s="166"/>
      <c r="I234" s="166"/>
      <c r="J234" s="166"/>
      <c r="K234" s="166"/>
      <c r="L234" s="166"/>
      <c r="M234" s="166"/>
      <c r="N234" s="166"/>
      <c r="O234" s="166"/>
      <c r="P234" s="166"/>
      <c r="Q234" s="166"/>
    </row>
    <row r="235" spans="1:17">
      <c r="A235" s="166"/>
      <c r="B235" s="166"/>
      <c r="C235" s="166"/>
      <c r="D235" s="166"/>
      <c r="E235" s="166"/>
      <c r="F235" s="166"/>
      <c r="G235" s="166"/>
      <c r="H235" s="166"/>
      <c r="I235" s="166"/>
      <c r="J235" s="166"/>
      <c r="K235" s="166"/>
      <c r="L235" s="166"/>
      <c r="M235" s="166"/>
      <c r="N235" s="166"/>
      <c r="O235" s="166"/>
      <c r="P235" s="166"/>
      <c r="Q235" s="166"/>
    </row>
    <row r="236" spans="1:17">
      <c r="A236" s="166"/>
      <c r="B236" s="166"/>
      <c r="C236" s="166"/>
      <c r="D236" s="166"/>
      <c r="E236" s="166"/>
      <c r="F236" s="166"/>
      <c r="G236" s="166"/>
      <c r="H236" s="166"/>
      <c r="I236" s="166"/>
      <c r="J236" s="166"/>
      <c r="K236" s="166"/>
      <c r="L236" s="166"/>
      <c r="M236" s="166"/>
      <c r="N236" s="166"/>
      <c r="O236" s="166"/>
      <c r="P236" s="166"/>
      <c r="Q236" s="166"/>
    </row>
    <row r="237" spans="1:17">
      <c r="A237" s="166"/>
      <c r="B237" s="166"/>
      <c r="C237" s="166"/>
      <c r="D237" s="166"/>
      <c r="E237" s="166"/>
      <c r="F237" s="166"/>
      <c r="G237" s="166"/>
      <c r="H237" s="166"/>
      <c r="I237" s="166"/>
      <c r="J237" s="166"/>
      <c r="K237" s="166"/>
      <c r="L237" s="166"/>
      <c r="M237" s="166"/>
      <c r="N237" s="166"/>
      <c r="O237" s="166"/>
      <c r="P237" s="166"/>
      <c r="Q237" s="166"/>
    </row>
    <row r="238" spans="1:17">
      <c r="A238" s="166"/>
      <c r="B238" s="166"/>
      <c r="C238" s="166"/>
      <c r="D238" s="166"/>
      <c r="E238" s="166"/>
      <c r="F238" s="166"/>
      <c r="G238" s="166"/>
      <c r="H238" s="166"/>
      <c r="I238" s="166"/>
      <c r="J238" s="166"/>
      <c r="K238" s="166"/>
      <c r="L238" s="166"/>
      <c r="M238" s="166"/>
      <c r="N238" s="166"/>
      <c r="O238" s="166"/>
      <c r="P238" s="166"/>
      <c r="Q238" s="166"/>
    </row>
    <row r="239" spans="1:17">
      <c r="A239" s="166"/>
      <c r="B239" s="166"/>
      <c r="C239" s="166"/>
      <c r="D239" s="166"/>
      <c r="E239" s="166"/>
      <c r="F239" s="166"/>
      <c r="G239" s="166"/>
      <c r="H239" s="166"/>
      <c r="I239" s="166"/>
      <c r="J239" s="166"/>
      <c r="K239" s="166"/>
      <c r="L239" s="166"/>
      <c r="M239" s="166"/>
      <c r="N239" s="166"/>
      <c r="O239" s="166"/>
      <c r="P239" s="166"/>
      <c r="Q239" s="166"/>
    </row>
    <row r="240" spans="1:17">
      <c r="A240" s="166"/>
      <c r="B240" s="166"/>
      <c r="C240" s="166"/>
      <c r="D240" s="166"/>
      <c r="E240" s="166"/>
      <c r="F240" s="166"/>
      <c r="G240" s="166"/>
      <c r="H240" s="166"/>
      <c r="I240" s="166"/>
      <c r="J240" s="166"/>
      <c r="K240" s="166"/>
      <c r="L240" s="166"/>
      <c r="M240" s="166"/>
      <c r="N240" s="166"/>
      <c r="O240" s="166"/>
      <c r="P240" s="166"/>
      <c r="Q240" s="166"/>
    </row>
    <row r="241" spans="1:17">
      <c r="A241" s="166"/>
      <c r="B241" s="166"/>
      <c r="C241" s="166"/>
      <c r="D241" s="166"/>
      <c r="E241" s="166"/>
      <c r="F241" s="166"/>
      <c r="G241" s="166"/>
      <c r="H241" s="166"/>
      <c r="I241" s="166"/>
      <c r="J241" s="166"/>
      <c r="K241" s="166"/>
      <c r="L241" s="166"/>
      <c r="M241" s="166"/>
      <c r="N241" s="166"/>
      <c r="O241" s="166"/>
      <c r="P241" s="166"/>
      <c r="Q241" s="166"/>
    </row>
    <row r="242" spans="1:17">
      <c r="A242" s="166"/>
      <c r="B242" s="166"/>
      <c r="C242" s="166"/>
      <c r="D242" s="166"/>
      <c r="E242" s="166"/>
      <c r="F242" s="166"/>
      <c r="G242" s="166"/>
      <c r="H242" s="166"/>
      <c r="I242" s="166"/>
      <c r="J242" s="166"/>
      <c r="K242" s="166"/>
      <c r="L242" s="166"/>
      <c r="M242" s="166"/>
      <c r="N242" s="166"/>
      <c r="O242" s="166"/>
      <c r="P242" s="166"/>
      <c r="Q242" s="166"/>
    </row>
    <row r="243" spans="1:17">
      <c r="A243" s="166"/>
      <c r="B243" s="166"/>
      <c r="C243" s="166"/>
      <c r="D243" s="166"/>
      <c r="E243" s="166"/>
      <c r="F243" s="166"/>
      <c r="G243" s="166"/>
      <c r="H243" s="166"/>
      <c r="I243" s="166"/>
      <c r="J243" s="166"/>
      <c r="K243" s="166"/>
      <c r="L243" s="166"/>
      <c r="M243" s="166"/>
      <c r="N243" s="166"/>
      <c r="O243" s="166"/>
      <c r="P243" s="166"/>
      <c r="Q243" s="166"/>
    </row>
    <row r="244" spans="1:17">
      <c r="A244" s="166"/>
      <c r="B244" s="166"/>
      <c r="C244" s="166"/>
      <c r="D244" s="166"/>
      <c r="E244" s="166"/>
      <c r="F244" s="166"/>
      <c r="G244" s="166"/>
      <c r="H244" s="166"/>
      <c r="I244" s="166"/>
      <c r="J244" s="166"/>
      <c r="K244" s="166"/>
      <c r="L244" s="166"/>
      <c r="M244" s="166"/>
      <c r="N244" s="166"/>
      <c r="O244" s="166"/>
      <c r="P244" s="166"/>
      <c r="Q244" s="166"/>
    </row>
    <row r="245" spans="1:17">
      <c r="A245" s="166"/>
      <c r="B245" s="166"/>
      <c r="C245" s="166"/>
      <c r="D245" s="166"/>
      <c r="E245" s="166"/>
      <c r="F245" s="166"/>
      <c r="G245" s="166"/>
      <c r="H245" s="166"/>
      <c r="I245" s="166"/>
      <c r="J245" s="166"/>
      <c r="K245" s="166"/>
      <c r="L245" s="166"/>
      <c r="M245" s="166"/>
      <c r="N245" s="166"/>
      <c r="O245" s="166"/>
      <c r="P245" s="166"/>
      <c r="Q245" s="166"/>
    </row>
    <row r="246" spans="1:17">
      <c r="A246" s="166"/>
      <c r="B246" s="166"/>
      <c r="C246" s="166"/>
      <c r="D246" s="166"/>
      <c r="E246" s="166"/>
      <c r="F246" s="166"/>
      <c r="G246" s="166"/>
      <c r="H246" s="166"/>
      <c r="I246" s="166"/>
      <c r="J246" s="166"/>
      <c r="K246" s="166"/>
      <c r="L246" s="166"/>
      <c r="M246" s="166"/>
      <c r="N246" s="166"/>
      <c r="O246" s="166"/>
      <c r="P246" s="166"/>
      <c r="Q246" s="166"/>
    </row>
    <row r="247" spans="1:17">
      <c r="A247" s="166"/>
      <c r="B247" s="166"/>
      <c r="C247" s="166"/>
      <c r="D247" s="166"/>
      <c r="E247" s="166"/>
      <c r="F247" s="166"/>
      <c r="G247" s="166"/>
      <c r="H247" s="166"/>
      <c r="I247" s="166"/>
      <c r="J247" s="166"/>
      <c r="K247" s="166"/>
      <c r="L247" s="166"/>
      <c r="M247" s="166"/>
      <c r="N247" s="166"/>
      <c r="O247" s="166"/>
      <c r="P247" s="166"/>
      <c r="Q247" s="166"/>
    </row>
    <row r="248" spans="1:17">
      <c r="A248" s="166"/>
      <c r="B248" s="166"/>
      <c r="C248" s="166"/>
      <c r="D248" s="166"/>
      <c r="E248" s="166"/>
      <c r="F248" s="166"/>
      <c r="G248" s="166"/>
      <c r="H248" s="166"/>
      <c r="I248" s="166"/>
      <c r="J248" s="166"/>
      <c r="K248" s="166"/>
      <c r="L248" s="166"/>
      <c r="M248" s="166"/>
      <c r="N248" s="166"/>
      <c r="O248" s="166"/>
      <c r="P248" s="166"/>
      <c r="Q248" s="166"/>
    </row>
    <row r="249" spans="1:17">
      <c r="A249" s="166"/>
      <c r="B249" s="166"/>
      <c r="C249" s="166"/>
      <c r="D249" s="166"/>
      <c r="E249" s="166"/>
      <c r="F249" s="166"/>
      <c r="G249" s="166"/>
      <c r="H249" s="166"/>
      <c r="I249" s="166"/>
      <c r="J249" s="166"/>
      <c r="K249" s="166"/>
      <c r="L249" s="166"/>
      <c r="M249" s="166"/>
      <c r="N249" s="166"/>
      <c r="O249" s="166"/>
      <c r="P249" s="166"/>
      <c r="Q249" s="166"/>
    </row>
    <row r="250" spans="1:17">
      <c r="A250" s="166"/>
      <c r="B250" s="166"/>
      <c r="C250" s="166"/>
      <c r="D250" s="166"/>
      <c r="E250" s="166"/>
      <c r="F250" s="166"/>
      <c r="G250" s="166"/>
      <c r="H250" s="166"/>
      <c r="I250" s="166"/>
      <c r="J250" s="166"/>
      <c r="K250" s="166"/>
      <c r="L250" s="166"/>
      <c r="M250" s="166"/>
      <c r="N250" s="166"/>
      <c r="O250" s="166"/>
      <c r="P250" s="166"/>
      <c r="Q250" s="166"/>
    </row>
    <row r="251" spans="1:17">
      <c r="A251" s="166"/>
      <c r="B251" s="166"/>
      <c r="C251" s="166"/>
      <c r="D251" s="166"/>
      <c r="E251" s="166"/>
      <c r="F251" s="166"/>
      <c r="G251" s="166"/>
      <c r="H251" s="166"/>
      <c r="I251" s="166"/>
      <c r="J251" s="166"/>
      <c r="K251" s="166"/>
      <c r="L251" s="166"/>
      <c r="M251" s="166"/>
      <c r="N251" s="166"/>
      <c r="O251" s="166"/>
      <c r="P251" s="166"/>
      <c r="Q251" s="166"/>
    </row>
    <row r="252" spans="1:17">
      <c r="A252" s="166"/>
      <c r="B252" s="166"/>
      <c r="C252" s="166"/>
      <c r="D252" s="166"/>
      <c r="E252" s="166"/>
      <c r="F252" s="166"/>
      <c r="G252" s="166"/>
      <c r="H252" s="166"/>
      <c r="I252" s="166"/>
      <c r="J252" s="166"/>
      <c r="K252" s="166"/>
      <c r="L252" s="166"/>
      <c r="M252" s="166"/>
      <c r="N252" s="166"/>
      <c r="O252" s="166"/>
      <c r="P252" s="166"/>
      <c r="Q252" s="166"/>
    </row>
    <row r="253" spans="1:17">
      <c r="A253" s="166"/>
      <c r="B253" s="166"/>
      <c r="C253" s="166"/>
      <c r="D253" s="166"/>
      <c r="E253" s="166"/>
      <c r="F253" s="166"/>
      <c r="G253" s="166"/>
      <c r="H253" s="166"/>
      <c r="I253" s="166"/>
      <c r="J253" s="166"/>
      <c r="K253" s="166"/>
      <c r="L253" s="166"/>
      <c r="M253" s="166"/>
      <c r="N253" s="166"/>
      <c r="O253" s="166"/>
      <c r="P253" s="166"/>
      <c r="Q253" s="166"/>
    </row>
    <row r="254" spans="1:17">
      <c r="A254" s="166"/>
      <c r="B254" s="166"/>
      <c r="C254" s="166"/>
      <c r="D254" s="166"/>
      <c r="E254" s="166"/>
      <c r="F254" s="166"/>
      <c r="G254" s="166"/>
      <c r="H254" s="166"/>
      <c r="I254" s="166"/>
      <c r="J254" s="166"/>
      <c r="K254" s="166"/>
      <c r="L254" s="166"/>
      <c r="M254" s="166"/>
      <c r="N254" s="166"/>
      <c r="O254" s="166"/>
      <c r="P254" s="166"/>
      <c r="Q254" s="166"/>
    </row>
    <row r="255" spans="1:17">
      <c r="A255" s="166"/>
      <c r="B255" s="166"/>
      <c r="C255" s="166"/>
      <c r="D255" s="166"/>
      <c r="E255" s="166"/>
      <c r="F255" s="166"/>
      <c r="G255" s="166"/>
      <c r="H255" s="166"/>
      <c r="I255" s="166"/>
      <c r="J255" s="166"/>
      <c r="K255" s="166"/>
      <c r="L255" s="166"/>
      <c r="M255" s="166"/>
      <c r="N255" s="166"/>
      <c r="O255" s="166"/>
      <c r="P255" s="166"/>
      <c r="Q255" s="166"/>
    </row>
    <row r="256" spans="1:17">
      <c r="A256" s="166"/>
      <c r="B256" s="166"/>
      <c r="C256" s="166"/>
      <c r="D256" s="166"/>
      <c r="E256" s="166"/>
      <c r="F256" s="166"/>
      <c r="G256" s="166"/>
      <c r="H256" s="166"/>
      <c r="I256" s="166"/>
      <c r="J256" s="166"/>
      <c r="K256" s="166"/>
      <c r="L256" s="166"/>
      <c r="M256" s="166"/>
      <c r="N256" s="166"/>
      <c r="O256" s="166"/>
      <c r="P256" s="166"/>
      <c r="Q256" s="166"/>
    </row>
    <row r="257" spans="1:17">
      <c r="A257" s="166"/>
      <c r="B257" s="166"/>
      <c r="C257" s="166"/>
      <c r="D257" s="166"/>
      <c r="E257" s="166"/>
      <c r="F257" s="166"/>
      <c r="G257" s="166"/>
      <c r="H257" s="166"/>
      <c r="I257" s="166"/>
      <c r="J257" s="166"/>
      <c r="K257" s="166"/>
      <c r="L257" s="166"/>
      <c r="M257" s="166"/>
      <c r="N257" s="166"/>
      <c r="O257" s="166"/>
      <c r="P257" s="166"/>
      <c r="Q257" s="166"/>
    </row>
    <row r="258" spans="1:17">
      <c r="A258" s="166"/>
      <c r="B258" s="166"/>
      <c r="C258" s="166"/>
      <c r="D258" s="166"/>
      <c r="E258" s="166"/>
      <c r="F258" s="166"/>
      <c r="G258" s="166"/>
      <c r="H258" s="166"/>
      <c r="I258" s="166"/>
      <c r="J258" s="166"/>
      <c r="K258" s="166"/>
      <c r="L258" s="166"/>
      <c r="M258" s="166"/>
      <c r="N258" s="166"/>
      <c r="O258" s="166"/>
      <c r="P258" s="166"/>
      <c r="Q258" s="166"/>
    </row>
    <row r="259" spans="1:17">
      <c r="A259" s="166"/>
      <c r="B259" s="166"/>
      <c r="C259" s="166"/>
      <c r="D259" s="166"/>
      <c r="E259" s="166"/>
      <c r="F259" s="166"/>
      <c r="G259" s="166"/>
      <c r="H259" s="166"/>
      <c r="I259" s="166"/>
      <c r="J259" s="166"/>
      <c r="K259" s="166"/>
      <c r="L259" s="166"/>
      <c r="M259" s="166"/>
      <c r="N259" s="166"/>
      <c r="O259" s="166"/>
      <c r="P259" s="166"/>
      <c r="Q259" s="166"/>
    </row>
    <row r="260" spans="1:17">
      <c r="A260" s="166"/>
      <c r="B260" s="166"/>
      <c r="C260" s="166"/>
      <c r="D260" s="166"/>
      <c r="E260" s="166"/>
      <c r="F260" s="166"/>
      <c r="G260" s="166"/>
      <c r="H260" s="166"/>
      <c r="I260" s="166"/>
      <c r="J260" s="166"/>
      <c r="K260" s="166"/>
      <c r="L260" s="166"/>
      <c r="M260" s="166"/>
      <c r="N260" s="166"/>
      <c r="O260" s="166"/>
      <c r="P260" s="166"/>
      <c r="Q260" s="166"/>
    </row>
    <row r="261" spans="1:17">
      <c r="A261" s="166"/>
      <c r="B261" s="166"/>
      <c r="C261" s="166"/>
      <c r="D261" s="166"/>
      <c r="E261" s="166"/>
      <c r="F261" s="166"/>
      <c r="G261" s="166"/>
      <c r="H261" s="166"/>
      <c r="I261" s="166"/>
      <c r="J261" s="166"/>
      <c r="K261" s="166"/>
      <c r="L261" s="166"/>
      <c r="M261" s="166"/>
      <c r="N261" s="166"/>
      <c r="O261" s="166"/>
      <c r="P261" s="166"/>
      <c r="Q261" s="166"/>
    </row>
    <row r="262" spans="1:17">
      <c r="A262" s="166"/>
      <c r="B262" s="166"/>
      <c r="C262" s="166"/>
      <c r="D262" s="166"/>
      <c r="E262" s="166"/>
      <c r="F262" s="166"/>
      <c r="G262" s="166"/>
      <c r="H262" s="166"/>
      <c r="I262" s="166"/>
      <c r="J262" s="166"/>
      <c r="K262" s="166"/>
      <c r="L262" s="166"/>
      <c r="M262" s="166"/>
      <c r="N262" s="166"/>
      <c r="O262" s="166"/>
      <c r="P262" s="166"/>
      <c r="Q262" s="166"/>
    </row>
    <row r="263" spans="1:17">
      <c r="A263" s="166"/>
      <c r="B263" s="166"/>
      <c r="C263" s="166"/>
      <c r="D263" s="166"/>
      <c r="E263" s="166"/>
      <c r="F263" s="166"/>
      <c r="G263" s="166"/>
      <c r="H263" s="166"/>
      <c r="I263" s="166"/>
      <c r="J263" s="166"/>
      <c r="K263" s="166"/>
      <c r="L263" s="166"/>
      <c r="M263" s="166"/>
      <c r="N263" s="166"/>
      <c r="O263" s="166"/>
      <c r="P263" s="166"/>
      <c r="Q263" s="166"/>
    </row>
    <row r="264" spans="1:17">
      <c r="A264" s="166"/>
      <c r="B264" s="166"/>
      <c r="C264" s="166"/>
      <c r="D264" s="166"/>
      <c r="E264" s="166"/>
      <c r="F264" s="166"/>
      <c r="G264" s="166"/>
      <c r="H264" s="166"/>
      <c r="I264" s="166"/>
      <c r="J264" s="166"/>
      <c r="K264" s="166"/>
      <c r="L264" s="166"/>
      <c r="M264" s="166"/>
      <c r="N264" s="166"/>
      <c r="O264" s="166"/>
      <c r="P264" s="166"/>
      <c r="Q264" s="166"/>
    </row>
    <row r="265" spans="1:17">
      <c r="A265" s="166"/>
      <c r="B265" s="166"/>
      <c r="C265" s="166"/>
      <c r="D265" s="166"/>
      <c r="E265" s="166"/>
      <c r="F265" s="166"/>
      <c r="G265" s="166"/>
      <c r="H265" s="166"/>
      <c r="I265" s="166"/>
      <c r="J265" s="166"/>
      <c r="K265" s="166"/>
      <c r="L265" s="166"/>
      <c r="M265" s="166"/>
      <c r="N265" s="166"/>
      <c r="O265" s="166"/>
      <c r="P265" s="166"/>
      <c r="Q265" s="166"/>
    </row>
    <row r="266" spans="1:17">
      <c r="A266" s="166"/>
      <c r="B266" s="166"/>
      <c r="C266" s="166"/>
      <c r="D266" s="166"/>
      <c r="E266" s="166"/>
      <c r="F266" s="166"/>
      <c r="G266" s="166"/>
      <c r="H266" s="166"/>
      <c r="I266" s="166"/>
      <c r="J266" s="166"/>
      <c r="K266" s="166"/>
      <c r="L266" s="166"/>
      <c r="M266" s="166"/>
      <c r="N266" s="166"/>
      <c r="O266" s="166"/>
      <c r="P266" s="166"/>
      <c r="Q266" s="166"/>
    </row>
    <row r="267" spans="1:17">
      <c r="A267" s="166"/>
      <c r="B267" s="166"/>
      <c r="C267" s="166"/>
      <c r="D267" s="166"/>
      <c r="E267" s="166"/>
      <c r="F267" s="166"/>
      <c r="G267" s="166"/>
      <c r="H267" s="166"/>
      <c r="I267" s="166"/>
      <c r="J267" s="166"/>
      <c r="K267" s="166"/>
      <c r="L267" s="166"/>
      <c r="M267" s="166"/>
      <c r="N267" s="166"/>
      <c r="O267" s="166"/>
      <c r="P267" s="166"/>
      <c r="Q267" s="166"/>
    </row>
    <row r="268" spans="1:17">
      <c r="A268" s="166"/>
      <c r="B268" s="166"/>
      <c r="C268" s="166"/>
      <c r="D268" s="166"/>
      <c r="E268" s="166"/>
      <c r="F268" s="166"/>
      <c r="G268" s="166"/>
      <c r="H268" s="166"/>
      <c r="I268" s="166"/>
      <c r="J268" s="166"/>
      <c r="K268" s="166"/>
      <c r="L268" s="166"/>
      <c r="M268" s="166"/>
      <c r="N268" s="166"/>
      <c r="O268" s="166"/>
      <c r="P268" s="166"/>
      <c r="Q268" s="166"/>
    </row>
    <row r="269" spans="1:17">
      <c r="A269" s="166"/>
      <c r="B269" s="166"/>
      <c r="C269" s="166"/>
      <c r="D269" s="166"/>
      <c r="E269" s="166"/>
      <c r="F269" s="166"/>
      <c r="G269" s="166"/>
      <c r="H269" s="166"/>
      <c r="I269" s="166"/>
      <c r="J269" s="166"/>
      <c r="K269" s="166"/>
      <c r="L269" s="166"/>
      <c r="M269" s="166"/>
      <c r="N269" s="166"/>
      <c r="O269" s="166"/>
      <c r="P269" s="166"/>
      <c r="Q269" s="166"/>
    </row>
    <row r="270" spans="1:17">
      <c r="A270" s="166"/>
      <c r="B270" s="166"/>
      <c r="C270" s="166"/>
      <c r="D270" s="166"/>
      <c r="E270" s="166"/>
      <c r="F270" s="166"/>
      <c r="G270" s="166"/>
      <c r="H270" s="166"/>
      <c r="I270" s="166"/>
      <c r="J270" s="166"/>
      <c r="K270" s="166"/>
      <c r="L270" s="166"/>
      <c r="M270" s="166"/>
      <c r="N270" s="166"/>
      <c r="O270" s="166"/>
      <c r="P270" s="166"/>
      <c r="Q270" s="166"/>
    </row>
    <row r="271" spans="1:17">
      <c r="A271" s="166"/>
      <c r="B271" s="166"/>
      <c r="C271" s="166"/>
      <c r="D271" s="166"/>
      <c r="E271" s="166"/>
      <c r="F271" s="166"/>
      <c r="G271" s="166"/>
      <c r="H271" s="166"/>
      <c r="I271" s="166"/>
      <c r="J271" s="166"/>
      <c r="K271" s="166"/>
      <c r="L271" s="166"/>
      <c r="M271" s="166"/>
      <c r="N271" s="166"/>
      <c r="O271" s="166"/>
      <c r="P271" s="166"/>
      <c r="Q271" s="166"/>
    </row>
    <row r="272" spans="1:17">
      <c r="A272" s="166"/>
      <c r="B272" s="166"/>
      <c r="C272" s="166"/>
      <c r="D272" s="166"/>
      <c r="E272" s="166"/>
      <c r="F272" s="166"/>
      <c r="G272" s="166"/>
      <c r="H272" s="166"/>
      <c r="I272" s="166"/>
      <c r="J272" s="166"/>
      <c r="K272" s="166"/>
      <c r="L272" s="166"/>
      <c r="M272" s="166"/>
      <c r="N272" s="166"/>
      <c r="O272" s="166"/>
      <c r="P272" s="166"/>
      <c r="Q272" s="166"/>
    </row>
    <row r="273" spans="1:17">
      <c r="A273" s="166"/>
      <c r="B273" s="166"/>
      <c r="C273" s="166"/>
      <c r="D273" s="166"/>
      <c r="E273" s="166"/>
      <c r="F273" s="166"/>
      <c r="G273" s="166"/>
      <c r="H273" s="166"/>
      <c r="I273" s="166"/>
      <c r="J273" s="166"/>
      <c r="K273" s="166"/>
      <c r="L273" s="166"/>
      <c r="M273" s="166"/>
      <c r="N273" s="166"/>
      <c r="O273" s="166"/>
      <c r="P273" s="166"/>
      <c r="Q273" s="166"/>
    </row>
    <row r="274" spans="1:17">
      <c r="A274" s="166"/>
      <c r="B274" s="166"/>
      <c r="C274" s="166"/>
      <c r="D274" s="166"/>
      <c r="E274" s="166"/>
      <c r="F274" s="166"/>
      <c r="G274" s="166"/>
      <c r="H274" s="166"/>
      <c r="I274" s="166"/>
      <c r="J274" s="166"/>
      <c r="K274" s="166"/>
      <c r="L274" s="166"/>
      <c r="M274" s="166"/>
      <c r="N274" s="166"/>
      <c r="O274" s="166"/>
      <c r="P274" s="166"/>
      <c r="Q274" s="166"/>
    </row>
    <row r="275" spans="1:17">
      <c r="A275" s="166"/>
      <c r="B275" s="166"/>
      <c r="C275" s="166"/>
      <c r="D275" s="166"/>
      <c r="E275" s="166"/>
      <c r="F275" s="166"/>
      <c r="G275" s="166"/>
      <c r="H275" s="166"/>
      <c r="I275" s="166"/>
      <c r="J275" s="166"/>
      <c r="K275" s="166"/>
      <c r="L275" s="166"/>
      <c r="M275" s="166"/>
      <c r="N275" s="166"/>
      <c r="O275" s="166"/>
      <c r="P275" s="166"/>
      <c r="Q275" s="166"/>
    </row>
    <row r="276" spans="1:17">
      <c r="A276" s="166"/>
      <c r="B276" s="166"/>
      <c r="C276" s="166"/>
      <c r="D276" s="166"/>
      <c r="E276" s="166"/>
      <c r="F276" s="166"/>
      <c r="G276" s="166"/>
      <c r="H276" s="166"/>
      <c r="I276" s="166"/>
      <c r="J276" s="166"/>
      <c r="K276" s="166"/>
      <c r="L276" s="166"/>
      <c r="M276" s="166"/>
      <c r="N276" s="166"/>
      <c r="O276" s="166"/>
      <c r="P276" s="166"/>
      <c r="Q276" s="166"/>
    </row>
    <row r="277" spans="1:17">
      <c r="A277" s="166"/>
      <c r="B277" s="166"/>
      <c r="C277" s="166"/>
      <c r="D277" s="166"/>
      <c r="E277" s="166"/>
      <c r="F277" s="166"/>
      <c r="G277" s="166"/>
      <c r="H277" s="166"/>
      <c r="I277" s="166"/>
      <c r="J277" s="166"/>
      <c r="K277" s="166"/>
      <c r="L277" s="166"/>
      <c r="M277" s="166"/>
      <c r="N277" s="166"/>
      <c r="O277" s="166"/>
      <c r="P277" s="166"/>
      <c r="Q277" s="166"/>
    </row>
    <row r="278" spans="1:17">
      <c r="A278" s="166"/>
      <c r="B278" s="166"/>
      <c r="C278" s="166"/>
      <c r="D278" s="166"/>
      <c r="E278" s="166"/>
      <c r="F278" s="166"/>
      <c r="G278" s="166"/>
      <c r="H278" s="166"/>
      <c r="I278" s="166"/>
      <c r="J278" s="166"/>
      <c r="K278" s="166"/>
      <c r="L278" s="166"/>
      <c r="M278" s="166"/>
      <c r="N278" s="166"/>
      <c r="O278" s="166"/>
      <c r="P278" s="166"/>
      <c r="Q278" s="166"/>
    </row>
    <row r="279" spans="1:17">
      <c r="A279" s="166"/>
      <c r="B279" s="166"/>
      <c r="C279" s="166"/>
      <c r="D279" s="166"/>
      <c r="E279" s="166"/>
      <c r="F279" s="166"/>
      <c r="G279" s="166"/>
      <c r="H279" s="166"/>
      <c r="I279" s="166"/>
      <c r="J279" s="166"/>
      <c r="K279" s="166"/>
      <c r="L279" s="166"/>
      <c r="M279" s="166"/>
      <c r="N279" s="166"/>
      <c r="O279" s="166"/>
      <c r="P279" s="166"/>
      <c r="Q279" s="166"/>
    </row>
    <row r="280" spans="1:17">
      <c r="A280" s="166"/>
      <c r="B280" s="166"/>
      <c r="C280" s="166"/>
      <c r="D280" s="166"/>
      <c r="E280" s="166"/>
      <c r="F280" s="166"/>
      <c r="G280" s="166"/>
      <c r="H280" s="166"/>
      <c r="I280" s="166"/>
      <c r="J280" s="166"/>
      <c r="K280" s="166"/>
      <c r="L280" s="166"/>
      <c r="M280" s="166"/>
      <c r="N280" s="166"/>
      <c r="O280" s="166"/>
      <c r="P280" s="166"/>
      <c r="Q280" s="166"/>
    </row>
    <row r="281" spans="1:17">
      <c r="A281" s="166"/>
      <c r="B281" s="166"/>
      <c r="C281" s="166"/>
      <c r="D281" s="166"/>
      <c r="E281" s="166"/>
      <c r="F281" s="166"/>
      <c r="G281" s="166"/>
      <c r="H281" s="166"/>
      <c r="I281" s="166"/>
      <c r="J281" s="166"/>
      <c r="K281" s="166"/>
      <c r="L281" s="166"/>
      <c r="M281" s="166"/>
      <c r="N281" s="166"/>
      <c r="O281" s="166"/>
      <c r="P281" s="166"/>
      <c r="Q281" s="166"/>
    </row>
    <row r="282" spans="1:17">
      <c r="A282" s="166"/>
      <c r="B282" s="166"/>
      <c r="C282" s="166"/>
      <c r="D282" s="166"/>
      <c r="E282" s="166"/>
      <c r="F282" s="166"/>
      <c r="G282" s="166"/>
      <c r="H282" s="166"/>
      <c r="I282" s="166"/>
      <c r="J282" s="166"/>
      <c r="K282" s="166"/>
      <c r="L282" s="166"/>
      <c r="M282" s="166"/>
      <c r="N282" s="166"/>
      <c r="O282" s="166"/>
      <c r="P282" s="166"/>
      <c r="Q282" s="166"/>
    </row>
    <row r="283" spans="1:17">
      <c r="A283" s="166"/>
      <c r="B283" s="166"/>
      <c r="C283" s="166"/>
      <c r="D283" s="166"/>
      <c r="E283" s="166"/>
      <c r="F283" s="166"/>
      <c r="G283" s="166"/>
      <c r="H283" s="166"/>
      <c r="I283" s="166"/>
      <c r="J283" s="166"/>
      <c r="K283" s="166"/>
      <c r="L283" s="166"/>
      <c r="M283" s="166"/>
      <c r="N283" s="166"/>
      <c r="O283" s="166"/>
      <c r="P283" s="166"/>
      <c r="Q283" s="166"/>
    </row>
    <row r="284" spans="1:17">
      <c r="A284" s="166"/>
      <c r="B284" s="166"/>
      <c r="C284" s="166"/>
      <c r="D284" s="166"/>
      <c r="E284" s="166"/>
      <c r="F284" s="166"/>
      <c r="G284" s="166"/>
      <c r="H284" s="166"/>
      <c r="I284" s="166"/>
      <c r="J284" s="166"/>
      <c r="K284" s="166"/>
      <c r="L284" s="166"/>
      <c r="M284" s="166"/>
      <c r="N284" s="166"/>
      <c r="O284" s="166"/>
      <c r="P284" s="166"/>
      <c r="Q284" s="166"/>
    </row>
    <row r="285" spans="1:17">
      <c r="A285" s="166"/>
      <c r="B285" s="166"/>
      <c r="C285" s="166"/>
      <c r="D285" s="166"/>
      <c r="E285" s="166"/>
      <c r="F285" s="166"/>
      <c r="G285" s="166"/>
      <c r="H285" s="166"/>
      <c r="I285" s="166"/>
      <c r="J285" s="166"/>
      <c r="K285" s="166"/>
      <c r="L285" s="166"/>
      <c r="M285" s="166"/>
      <c r="N285" s="166"/>
      <c r="O285" s="166"/>
      <c r="P285" s="166"/>
      <c r="Q285" s="166"/>
    </row>
    <row r="286" spans="1:17">
      <c r="A286" s="166"/>
      <c r="B286" s="166"/>
      <c r="C286" s="166"/>
      <c r="D286" s="166"/>
      <c r="E286" s="166"/>
      <c r="F286" s="166"/>
      <c r="G286" s="166"/>
      <c r="H286" s="166"/>
      <c r="I286" s="166"/>
      <c r="J286" s="166"/>
      <c r="K286" s="166"/>
      <c r="L286" s="166"/>
      <c r="M286" s="166"/>
      <c r="N286" s="166"/>
      <c r="O286" s="166"/>
      <c r="P286" s="166"/>
      <c r="Q286" s="166"/>
    </row>
    <row r="287" spans="1:17">
      <c r="A287" s="166"/>
      <c r="B287" s="166"/>
      <c r="C287" s="166"/>
      <c r="D287" s="166"/>
      <c r="E287" s="166"/>
      <c r="F287" s="166"/>
      <c r="G287" s="166"/>
      <c r="H287" s="166"/>
      <c r="I287" s="166"/>
      <c r="J287" s="166"/>
      <c r="K287" s="166"/>
      <c r="L287" s="166"/>
      <c r="M287" s="166"/>
      <c r="N287" s="166"/>
      <c r="O287" s="166"/>
      <c r="P287" s="166"/>
      <c r="Q287" s="166"/>
    </row>
    <row r="288" spans="1:17">
      <c r="A288" s="166"/>
      <c r="B288" s="166"/>
      <c r="C288" s="166"/>
      <c r="D288" s="166"/>
      <c r="E288" s="166"/>
      <c r="F288" s="166"/>
      <c r="G288" s="166"/>
      <c r="H288" s="166"/>
      <c r="I288" s="166"/>
      <c r="J288" s="166"/>
      <c r="K288" s="166"/>
      <c r="L288" s="166"/>
      <c r="M288" s="166"/>
      <c r="N288" s="166"/>
      <c r="O288" s="166"/>
      <c r="P288" s="166"/>
      <c r="Q288" s="166"/>
    </row>
    <row r="289" spans="1:17">
      <c r="A289" s="166"/>
      <c r="B289" s="166"/>
      <c r="C289" s="166"/>
      <c r="D289" s="166"/>
      <c r="E289" s="166"/>
      <c r="F289" s="166"/>
      <c r="G289" s="166"/>
      <c r="H289" s="166"/>
      <c r="I289" s="166"/>
      <c r="J289" s="166"/>
      <c r="K289" s="166"/>
      <c r="L289" s="166"/>
      <c r="M289" s="166"/>
      <c r="N289" s="166"/>
      <c r="O289" s="166"/>
      <c r="P289" s="166"/>
      <c r="Q289" s="166"/>
    </row>
    <row r="290" spans="1:17">
      <c r="A290" s="166"/>
      <c r="B290" s="166"/>
      <c r="C290" s="166"/>
      <c r="D290" s="166"/>
      <c r="E290" s="166"/>
      <c r="F290" s="166"/>
      <c r="G290" s="166"/>
      <c r="H290" s="166"/>
      <c r="I290" s="166"/>
      <c r="J290" s="166"/>
      <c r="K290" s="166"/>
      <c r="L290" s="166"/>
      <c r="M290" s="166"/>
      <c r="N290" s="166"/>
      <c r="O290" s="166"/>
      <c r="P290" s="166"/>
      <c r="Q290" s="166"/>
    </row>
    <row r="291" spans="1:17">
      <c r="A291" s="166"/>
      <c r="B291" s="166"/>
      <c r="C291" s="166"/>
      <c r="D291" s="166"/>
      <c r="E291" s="166"/>
      <c r="F291" s="166"/>
      <c r="G291" s="166"/>
      <c r="H291" s="166"/>
      <c r="I291" s="166"/>
      <c r="J291" s="166"/>
      <c r="K291" s="166"/>
      <c r="L291" s="166"/>
      <c r="M291" s="166"/>
      <c r="N291" s="166"/>
      <c r="O291" s="166"/>
      <c r="P291" s="166"/>
      <c r="Q291" s="166"/>
    </row>
    <row r="292" spans="1:17">
      <c r="A292" s="166"/>
      <c r="B292" s="166"/>
      <c r="C292" s="166"/>
      <c r="D292" s="166"/>
      <c r="E292" s="166"/>
      <c r="F292" s="166"/>
      <c r="G292" s="166"/>
      <c r="H292" s="166"/>
      <c r="I292" s="166"/>
      <c r="J292" s="166"/>
      <c r="K292" s="166"/>
      <c r="L292" s="166"/>
      <c r="M292" s="166"/>
      <c r="N292" s="166"/>
      <c r="O292" s="166"/>
      <c r="P292" s="166"/>
      <c r="Q292" s="166"/>
    </row>
    <row r="293" spans="1:17">
      <c r="A293" s="166"/>
      <c r="B293" s="166"/>
      <c r="C293" s="166"/>
      <c r="D293" s="166"/>
      <c r="E293" s="166"/>
      <c r="F293" s="166"/>
      <c r="G293" s="166"/>
      <c r="H293" s="166"/>
      <c r="I293" s="166"/>
      <c r="J293" s="166"/>
      <c r="K293" s="166"/>
      <c r="L293" s="166"/>
      <c r="M293" s="166"/>
      <c r="N293" s="166"/>
      <c r="O293" s="166"/>
      <c r="P293" s="166"/>
      <c r="Q293" s="166"/>
    </row>
    <row r="294" spans="1:17">
      <c r="A294" s="166"/>
      <c r="B294" s="166"/>
      <c r="C294" s="166"/>
      <c r="D294" s="166"/>
      <c r="E294" s="166"/>
      <c r="F294" s="166"/>
      <c r="G294" s="166"/>
      <c r="H294" s="166"/>
      <c r="I294" s="166"/>
      <c r="J294" s="166"/>
      <c r="K294" s="166"/>
      <c r="L294" s="166"/>
      <c r="M294" s="166"/>
      <c r="N294" s="166"/>
      <c r="O294" s="166"/>
      <c r="P294" s="166"/>
      <c r="Q294" s="166"/>
    </row>
    <row r="295" spans="1:17">
      <c r="A295" s="166"/>
      <c r="B295" s="166"/>
      <c r="C295" s="166"/>
      <c r="D295" s="166"/>
      <c r="E295" s="166"/>
      <c r="F295" s="166"/>
      <c r="G295" s="166"/>
      <c r="H295" s="166"/>
      <c r="I295" s="166"/>
      <c r="J295" s="166"/>
      <c r="K295" s="166"/>
      <c r="L295" s="166"/>
      <c r="M295" s="166"/>
      <c r="N295" s="166"/>
      <c r="O295" s="166"/>
      <c r="P295" s="166"/>
      <c r="Q295" s="166"/>
    </row>
    <row r="296" spans="1:17">
      <c r="A296" s="166"/>
      <c r="B296" s="166"/>
      <c r="C296" s="166"/>
      <c r="D296" s="166"/>
      <c r="E296" s="166"/>
      <c r="F296" s="166"/>
      <c r="G296" s="166"/>
      <c r="H296" s="166"/>
      <c r="I296" s="166"/>
      <c r="J296" s="166"/>
      <c r="K296" s="166"/>
      <c r="L296" s="166"/>
      <c r="M296" s="166"/>
      <c r="N296" s="166"/>
      <c r="O296" s="166"/>
      <c r="P296" s="166"/>
      <c r="Q296" s="166"/>
    </row>
    <row r="297" spans="1:17">
      <c r="A297" s="166"/>
      <c r="B297" s="166"/>
      <c r="C297" s="166"/>
      <c r="D297" s="166"/>
      <c r="E297" s="166"/>
      <c r="F297" s="166"/>
      <c r="G297" s="166"/>
      <c r="H297" s="166"/>
      <c r="I297" s="166"/>
      <c r="J297" s="166"/>
      <c r="K297" s="166"/>
      <c r="L297" s="166"/>
      <c r="M297" s="166"/>
      <c r="N297" s="166"/>
      <c r="O297" s="166"/>
      <c r="P297" s="166"/>
      <c r="Q297" s="166"/>
    </row>
    <row r="298" spans="1:17">
      <c r="A298" s="166"/>
      <c r="B298" s="166"/>
      <c r="C298" s="166"/>
      <c r="D298" s="166"/>
      <c r="E298" s="166"/>
      <c r="F298" s="166"/>
      <c r="G298" s="166"/>
      <c r="H298" s="166"/>
      <c r="I298" s="166"/>
      <c r="J298" s="166"/>
      <c r="K298" s="166"/>
      <c r="L298" s="166"/>
      <c r="M298" s="166"/>
      <c r="N298" s="166"/>
      <c r="O298" s="166"/>
      <c r="P298" s="166"/>
      <c r="Q298" s="166"/>
    </row>
    <row r="299" spans="1:17">
      <c r="A299" s="166"/>
      <c r="B299" s="166"/>
      <c r="C299" s="166"/>
      <c r="D299" s="166"/>
      <c r="E299" s="166"/>
      <c r="F299" s="166"/>
      <c r="G299" s="166"/>
      <c r="H299" s="166"/>
      <c r="I299" s="166"/>
      <c r="J299" s="166"/>
      <c r="K299" s="166"/>
      <c r="L299" s="166"/>
      <c r="M299" s="166"/>
      <c r="N299" s="166"/>
      <c r="O299" s="166"/>
      <c r="P299" s="166"/>
      <c r="Q299" s="166"/>
    </row>
    <row r="300" spans="1:17">
      <c r="A300" s="166"/>
      <c r="B300" s="166"/>
      <c r="C300" s="166"/>
      <c r="D300" s="166"/>
      <c r="E300" s="166"/>
      <c r="F300" s="166"/>
      <c r="G300" s="166"/>
      <c r="H300" s="166"/>
      <c r="I300" s="166"/>
      <c r="J300" s="166"/>
      <c r="K300" s="166"/>
      <c r="L300" s="166"/>
      <c r="M300" s="166"/>
      <c r="N300" s="166"/>
      <c r="O300" s="166"/>
      <c r="P300" s="166"/>
      <c r="Q300" s="166"/>
    </row>
    <row r="301" spans="1:17">
      <c r="A301" s="166"/>
      <c r="B301" s="166"/>
      <c r="C301" s="166"/>
      <c r="D301" s="166"/>
      <c r="E301" s="166"/>
      <c r="F301" s="166"/>
      <c r="G301" s="166"/>
      <c r="H301" s="166"/>
      <c r="I301" s="166"/>
      <c r="J301" s="166"/>
      <c r="K301" s="166"/>
      <c r="L301" s="166"/>
      <c r="M301" s="166"/>
      <c r="N301" s="166"/>
      <c r="O301" s="166"/>
      <c r="P301" s="166"/>
      <c r="Q301" s="166"/>
    </row>
    <row r="302" spans="1:17">
      <c r="A302" s="166"/>
      <c r="B302" s="166"/>
      <c r="C302" s="166"/>
      <c r="D302" s="166"/>
      <c r="E302" s="166"/>
      <c r="F302" s="166"/>
      <c r="G302" s="166"/>
      <c r="H302" s="166"/>
      <c r="I302" s="166"/>
      <c r="J302" s="166"/>
      <c r="K302" s="166"/>
      <c r="L302" s="166"/>
      <c r="M302" s="166"/>
      <c r="N302" s="166"/>
      <c r="O302" s="166"/>
      <c r="P302" s="166"/>
      <c r="Q302" s="166"/>
    </row>
    <row r="303" spans="1:17">
      <c r="A303" s="166"/>
      <c r="B303" s="166"/>
      <c r="C303" s="166"/>
      <c r="D303" s="166"/>
      <c r="E303" s="166"/>
      <c r="F303" s="166"/>
      <c r="G303" s="166"/>
      <c r="H303" s="166"/>
      <c r="I303" s="166"/>
      <c r="J303" s="166"/>
      <c r="K303" s="166"/>
      <c r="L303" s="166"/>
      <c r="M303" s="166"/>
      <c r="N303" s="166"/>
      <c r="O303" s="166"/>
      <c r="P303" s="166"/>
      <c r="Q303" s="166"/>
    </row>
    <row r="304" spans="1:17">
      <c r="A304" s="166"/>
      <c r="B304" s="166"/>
      <c r="C304" s="166"/>
      <c r="D304" s="166"/>
      <c r="E304" s="166"/>
      <c r="F304" s="166"/>
      <c r="G304" s="166"/>
      <c r="H304" s="166"/>
      <c r="I304" s="166"/>
      <c r="J304" s="166"/>
      <c r="K304" s="166"/>
      <c r="L304" s="166"/>
      <c r="M304" s="166"/>
      <c r="N304" s="166"/>
      <c r="O304" s="166"/>
      <c r="P304" s="166"/>
      <c r="Q304" s="166"/>
    </row>
    <row r="305" spans="1:17">
      <c r="A305" s="166"/>
      <c r="B305" s="166"/>
      <c r="C305" s="166"/>
      <c r="D305" s="166"/>
      <c r="E305" s="166"/>
      <c r="F305" s="166"/>
      <c r="G305" s="166"/>
      <c r="H305" s="166"/>
      <c r="I305" s="166"/>
      <c r="J305" s="166"/>
      <c r="K305" s="166"/>
      <c r="L305" s="166"/>
      <c r="M305" s="166"/>
      <c r="N305" s="166"/>
      <c r="O305" s="166"/>
      <c r="P305" s="166"/>
      <c r="Q305" s="166"/>
    </row>
    <row r="306" spans="1:17">
      <c r="A306" s="166"/>
      <c r="B306" s="166"/>
      <c r="C306" s="166"/>
      <c r="D306" s="166"/>
      <c r="E306" s="166"/>
      <c r="F306" s="166"/>
      <c r="G306" s="166"/>
      <c r="H306" s="166"/>
      <c r="I306" s="166"/>
      <c r="J306" s="166"/>
      <c r="K306" s="166"/>
      <c r="L306" s="166"/>
      <c r="M306" s="166"/>
      <c r="N306" s="166"/>
      <c r="O306" s="166"/>
      <c r="P306" s="166"/>
      <c r="Q306" s="166"/>
    </row>
    <row r="307" spans="1:17">
      <c r="A307" s="166"/>
      <c r="B307" s="166"/>
      <c r="C307" s="166"/>
      <c r="D307" s="166"/>
      <c r="E307" s="166"/>
      <c r="F307" s="166"/>
      <c r="G307" s="166"/>
      <c r="H307" s="166"/>
      <c r="I307" s="166"/>
      <c r="J307" s="166"/>
      <c r="K307" s="166"/>
      <c r="L307" s="166"/>
      <c r="M307" s="166"/>
      <c r="N307" s="166"/>
      <c r="O307" s="166"/>
      <c r="P307" s="166"/>
      <c r="Q307" s="166"/>
    </row>
    <row r="308" spans="1:17">
      <c r="A308" s="166"/>
      <c r="B308" s="166"/>
      <c r="C308" s="166"/>
      <c r="D308" s="166"/>
      <c r="E308" s="166"/>
      <c r="F308" s="166"/>
      <c r="G308" s="166"/>
      <c r="H308" s="166"/>
      <c r="I308" s="166"/>
      <c r="J308" s="166"/>
      <c r="K308" s="166"/>
      <c r="L308" s="166"/>
      <c r="M308" s="166"/>
      <c r="N308" s="166"/>
      <c r="O308" s="166"/>
      <c r="P308" s="166"/>
      <c r="Q308" s="166"/>
    </row>
    <row r="309" spans="1:17">
      <c r="A309" s="166"/>
      <c r="B309" s="166"/>
      <c r="C309" s="166"/>
      <c r="D309" s="166"/>
      <c r="E309" s="166"/>
      <c r="F309" s="166"/>
      <c r="G309" s="166"/>
      <c r="H309" s="166"/>
      <c r="I309" s="166"/>
      <c r="J309" s="166"/>
      <c r="K309" s="166"/>
      <c r="L309" s="166"/>
      <c r="M309" s="166"/>
      <c r="N309" s="166"/>
      <c r="O309" s="166"/>
      <c r="P309" s="166"/>
      <c r="Q309" s="166"/>
    </row>
    <row r="310" spans="1:17">
      <c r="A310" s="166"/>
      <c r="B310" s="166"/>
      <c r="C310" s="166"/>
      <c r="D310" s="166"/>
      <c r="E310" s="166"/>
      <c r="F310" s="166"/>
      <c r="G310" s="166"/>
      <c r="H310" s="166"/>
      <c r="I310" s="166"/>
      <c r="J310" s="166"/>
      <c r="K310" s="166"/>
      <c r="L310" s="166"/>
      <c r="M310" s="166"/>
      <c r="N310" s="166"/>
      <c r="O310" s="166"/>
      <c r="P310" s="166"/>
      <c r="Q310" s="166"/>
    </row>
    <row r="311" spans="1:17">
      <c r="A311" s="166"/>
      <c r="B311" s="166"/>
      <c r="C311" s="166"/>
      <c r="D311" s="166"/>
      <c r="E311" s="166"/>
      <c r="F311" s="166"/>
      <c r="G311" s="166"/>
      <c r="H311" s="166"/>
      <c r="I311" s="166"/>
      <c r="J311" s="166"/>
      <c r="K311" s="166"/>
      <c r="L311" s="166"/>
      <c r="M311" s="166"/>
      <c r="N311" s="166"/>
      <c r="O311" s="166"/>
      <c r="P311" s="166"/>
      <c r="Q311" s="166"/>
    </row>
    <row r="312" spans="1:17">
      <c r="A312" s="166"/>
      <c r="B312" s="166"/>
      <c r="C312" s="166"/>
      <c r="D312" s="166"/>
      <c r="E312" s="166"/>
      <c r="F312" s="166"/>
      <c r="G312" s="166"/>
      <c r="H312" s="166"/>
      <c r="I312" s="166"/>
      <c r="J312" s="166"/>
      <c r="K312" s="166"/>
      <c r="L312" s="166"/>
      <c r="M312" s="166"/>
      <c r="N312" s="166"/>
      <c r="O312" s="166"/>
      <c r="P312" s="166"/>
      <c r="Q312" s="166"/>
    </row>
    <row r="313" spans="1:17">
      <c r="A313" s="166"/>
      <c r="B313" s="166"/>
      <c r="C313" s="166"/>
      <c r="D313" s="166"/>
      <c r="E313" s="166"/>
      <c r="F313" s="166"/>
      <c r="G313" s="166"/>
      <c r="H313" s="166"/>
      <c r="I313" s="166"/>
      <c r="J313" s="166"/>
      <c r="K313" s="166"/>
      <c r="L313" s="166"/>
      <c r="M313" s="166"/>
      <c r="N313" s="166"/>
      <c r="O313" s="166"/>
      <c r="P313" s="166"/>
      <c r="Q313" s="166"/>
    </row>
    <row r="314" spans="1:17">
      <c r="A314" s="166"/>
      <c r="B314" s="166"/>
      <c r="C314" s="166"/>
      <c r="D314" s="166"/>
      <c r="E314" s="166"/>
      <c r="F314" s="166"/>
      <c r="G314" s="166"/>
      <c r="H314" s="166"/>
      <c r="I314" s="166"/>
      <c r="J314" s="166"/>
      <c r="K314" s="166"/>
      <c r="L314" s="166"/>
      <c r="M314" s="166"/>
      <c r="N314" s="166"/>
      <c r="O314" s="166"/>
      <c r="P314" s="166"/>
      <c r="Q314" s="166"/>
    </row>
    <row r="315" spans="1:17">
      <c r="A315" s="166"/>
      <c r="B315" s="166"/>
      <c r="C315" s="166"/>
      <c r="D315" s="166"/>
      <c r="E315" s="166"/>
      <c r="F315" s="166"/>
      <c r="G315" s="166"/>
      <c r="H315" s="166"/>
      <c r="I315" s="166"/>
      <c r="J315" s="166"/>
      <c r="K315" s="166"/>
      <c r="L315" s="166"/>
      <c r="M315" s="166"/>
      <c r="N315" s="166"/>
      <c r="O315" s="166"/>
      <c r="P315" s="166"/>
      <c r="Q315" s="166"/>
    </row>
    <row r="316" spans="1:17">
      <c r="A316" s="166"/>
      <c r="B316" s="166"/>
      <c r="C316" s="166"/>
      <c r="D316" s="166"/>
      <c r="E316" s="166"/>
      <c r="F316" s="166"/>
      <c r="G316" s="166"/>
      <c r="H316" s="166"/>
      <c r="I316" s="166"/>
      <c r="J316" s="166"/>
      <c r="K316" s="166"/>
      <c r="L316" s="166"/>
      <c r="M316" s="166"/>
      <c r="N316" s="166"/>
      <c r="O316" s="166"/>
      <c r="P316" s="166"/>
      <c r="Q316" s="166"/>
    </row>
    <row r="317" spans="1:17">
      <c r="A317" s="166"/>
      <c r="B317" s="166"/>
      <c r="C317" s="166"/>
      <c r="D317" s="166"/>
      <c r="E317" s="166"/>
      <c r="F317" s="166"/>
      <c r="G317" s="166"/>
      <c r="H317" s="166"/>
      <c r="I317" s="166"/>
      <c r="J317" s="166"/>
      <c r="K317" s="166"/>
      <c r="L317" s="166"/>
      <c r="M317" s="166"/>
      <c r="N317" s="166"/>
      <c r="O317" s="166"/>
      <c r="P317" s="166"/>
      <c r="Q317" s="166"/>
    </row>
    <row r="318" spans="1:17">
      <c r="A318" s="166"/>
      <c r="B318" s="166"/>
      <c r="C318" s="166"/>
      <c r="D318" s="166"/>
      <c r="E318" s="166"/>
      <c r="F318" s="166"/>
      <c r="G318" s="166"/>
      <c r="H318" s="166"/>
      <c r="I318" s="166"/>
      <c r="J318" s="166"/>
      <c r="K318" s="166"/>
      <c r="L318" s="166"/>
      <c r="M318" s="166"/>
      <c r="N318" s="166"/>
      <c r="O318" s="166"/>
      <c r="P318" s="166"/>
      <c r="Q318" s="166"/>
    </row>
    <row r="319" spans="1:17">
      <c r="A319" s="166"/>
      <c r="B319" s="166"/>
      <c r="C319" s="166"/>
      <c r="D319" s="166"/>
      <c r="E319" s="166"/>
      <c r="F319" s="166"/>
      <c r="G319" s="166"/>
      <c r="H319" s="166"/>
      <c r="I319" s="166"/>
      <c r="J319" s="166"/>
      <c r="K319" s="166"/>
      <c r="L319" s="166"/>
      <c r="M319" s="166"/>
      <c r="N319" s="166"/>
      <c r="O319" s="166"/>
      <c r="P319" s="166"/>
      <c r="Q319" s="166"/>
    </row>
  </sheetData>
  <phoneticPr fontId="71" type="noConversion"/>
  <hyperlinks>
    <hyperlink ref="A5" location="INDICE!A13" display="VOLVER AL INDICE" xr:uid="{714B7DD4-E33E-44CC-AA7C-94861EED8428}"/>
  </hyperlink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pageSetUpPr autoPageBreaks="0" fitToPage="1"/>
  </sheetPr>
  <dimension ref="A1:M470"/>
  <sheetViews>
    <sheetView zoomScaleNormal="100" workbookViewId="0">
      <pane xSplit="1" ySplit="9" topLeftCell="B388" activePane="bottomRight" state="frozen"/>
      <selection pane="topRight" activeCell="B1" sqref="B1"/>
      <selection pane="bottomLeft" activeCell="A10" sqref="A10"/>
      <selection pane="bottomRight" activeCell="A5" sqref="A5"/>
    </sheetView>
  </sheetViews>
  <sheetFormatPr baseColWidth="10" defaultColWidth="11.42578125" defaultRowHeight="12.75"/>
  <cols>
    <col min="1" max="1" width="10.5703125" style="371" customWidth="1"/>
    <col min="2" max="2" width="14.5703125" style="371" bestFit="1" customWidth="1"/>
    <col min="3" max="4" width="15.5703125" style="371" customWidth="1"/>
    <col min="5" max="5" width="15.5703125" style="1227" customWidth="1"/>
    <col min="6" max="6" width="15.5703125" style="371" customWidth="1"/>
    <col min="7" max="7" width="15.5703125" style="1227" customWidth="1"/>
    <col min="8" max="8" width="6.85546875" style="226" customWidth="1"/>
    <col min="9" max="9" width="12.42578125" style="226" bestFit="1" customWidth="1"/>
    <col min="10" max="16384" width="11.42578125" style="226"/>
  </cols>
  <sheetData>
    <row r="1" spans="1:9" s="1223" customFormat="1" ht="3" customHeight="1">
      <c r="A1" s="2734"/>
      <c r="B1" s="63"/>
      <c r="C1" s="64"/>
      <c r="D1" s="64"/>
      <c r="E1" s="140"/>
      <c r="F1" s="2754"/>
      <c r="G1" s="2755"/>
      <c r="H1" s="1239"/>
      <c r="I1" s="1239"/>
    </row>
    <row r="2" spans="1:9" s="1223" customFormat="1" ht="47.25" customHeight="1">
      <c r="A2" s="2735" t="s">
        <v>99</v>
      </c>
      <c r="B2" s="56" t="s">
        <v>190</v>
      </c>
      <c r="C2" s="2736"/>
      <c r="D2" s="2742"/>
      <c r="E2" s="2756"/>
      <c r="F2" s="2742" t="s">
        <v>191</v>
      </c>
      <c r="G2" s="2757" t="s">
        <v>192</v>
      </c>
      <c r="H2" s="1239"/>
      <c r="I2" s="1239"/>
    </row>
    <row r="3" spans="1:9" s="1223" customFormat="1" ht="45">
      <c r="A3" s="2735" t="s">
        <v>193</v>
      </c>
      <c r="B3" s="56" t="s">
        <v>135</v>
      </c>
      <c r="C3" s="2736"/>
      <c r="D3" s="2742"/>
      <c r="E3" s="2756"/>
      <c r="F3" s="2742" t="s">
        <v>194</v>
      </c>
      <c r="G3" s="2757" t="s">
        <v>195</v>
      </c>
      <c r="H3" s="1239"/>
      <c r="I3" s="1239"/>
    </row>
    <row r="4" spans="1:9" s="1223" customFormat="1">
      <c r="A4" s="2735"/>
      <c r="B4" s="63"/>
      <c r="C4" s="64"/>
      <c r="D4" s="64"/>
      <c r="E4" s="140"/>
      <c r="F4" s="2754"/>
      <c r="G4" s="2755"/>
      <c r="H4" s="1239"/>
      <c r="I4" s="1239"/>
    </row>
    <row r="5" spans="1:9" s="1223" customFormat="1" ht="22.5">
      <c r="A5" s="2738" t="s">
        <v>140</v>
      </c>
      <c r="B5" s="4" t="s">
        <v>167</v>
      </c>
      <c r="C5" s="952" t="s">
        <v>168</v>
      </c>
      <c r="D5" s="952" t="s">
        <v>196</v>
      </c>
      <c r="E5" s="1194" t="s">
        <v>197</v>
      </c>
      <c r="F5" s="2758" t="s">
        <v>167</v>
      </c>
      <c r="G5" s="2759" t="s">
        <v>168</v>
      </c>
      <c r="H5" s="1239"/>
      <c r="I5" s="1239"/>
    </row>
    <row r="6" spans="1:9" s="1223" customFormat="1">
      <c r="A6" s="2735"/>
      <c r="B6" s="63"/>
      <c r="C6" s="481"/>
      <c r="D6" s="481"/>
      <c r="E6" s="140"/>
      <c r="F6" s="2754"/>
      <c r="G6" s="2755"/>
      <c r="H6" s="1239"/>
      <c r="I6" s="1239"/>
    </row>
    <row r="7" spans="1:9" s="1223" customFormat="1" ht="22.5">
      <c r="A7" s="2735" t="s">
        <v>125</v>
      </c>
      <c r="B7" s="4" t="s">
        <v>130</v>
      </c>
      <c r="C7" s="952" t="s">
        <v>130</v>
      </c>
      <c r="D7" s="952" t="s">
        <v>130</v>
      </c>
      <c r="E7" s="1194" t="s">
        <v>133</v>
      </c>
      <c r="F7" s="2758" t="s">
        <v>131</v>
      </c>
      <c r="G7" s="2759" t="s">
        <v>130</v>
      </c>
      <c r="H7" s="1239"/>
      <c r="I7" s="1239"/>
    </row>
    <row r="8" spans="1:9" s="1223" customFormat="1">
      <c r="A8" s="2751" t="s">
        <v>144</v>
      </c>
      <c r="B8" s="2135" t="s">
        <v>198</v>
      </c>
      <c r="C8" s="2128" t="s">
        <v>199</v>
      </c>
      <c r="D8" s="2128" t="s">
        <v>200</v>
      </c>
      <c r="E8" s="2136" t="s">
        <v>201</v>
      </c>
      <c r="F8" s="2137" t="s">
        <v>202</v>
      </c>
      <c r="G8" s="2760" t="s">
        <v>203</v>
      </c>
      <c r="H8" s="1239"/>
      <c r="I8" s="1239"/>
    </row>
    <row r="9" spans="1:9" s="1262" customFormat="1" ht="13.5" thickBot="1">
      <c r="A9" s="2126"/>
      <c r="B9" s="1243"/>
      <c r="C9" s="1244"/>
      <c r="D9" s="1244"/>
      <c r="E9" s="1601">
        <f>100/AVERAGE(D22:D33)</f>
        <v>1.1187370828391254</v>
      </c>
      <c r="F9" s="573"/>
      <c r="G9" s="1617" t="e">
        <f>100/AVERAGE(#REF!)</f>
        <v>#REF!</v>
      </c>
    </row>
    <row r="10" spans="1:9" s="1224" customFormat="1">
      <c r="A10" s="53">
        <v>1993.01</v>
      </c>
      <c r="B10" s="248"/>
      <c r="C10" s="482">
        <v>82.993581575649372</v>
      </c>
      <c r="D10" s="3532">
        <v>81.718263802642298</v>
      </c>
      <c r="E10" s="2343">
        <f>D10*$E$9</f>
        <v>91.421252061246136</v>
      </c>
      <c r="F10" s="174">
        <v>94.851038222698165</v>
      </c>
      <c r="G10" s="1220"/>
      <c r="H10" s="1263"/>
      <c r="I10" s="1263"/>
    </row>
    <row r="11" spans="1:9" s="1224" customFormat="1">
      <c r="A11" s="53">
        <v>1993.02</v>
      </c>
      <c r="B11" s="248"/>
      <c r="C11" s="3532">
        <v>80.786689292880126</v>
      </c>
      <c r="D11" s="3532">
        <v>82.115070532034082</v>
      </c>
      <c r="E11" s="2343">
        <f t="shared" ref="E11:E73" si="0">D11*$E$9</f>
        <v>91.865174464136842</v>
      </c>
      <c r="F11" s="1192">
        <v>82.608051855394393</v>
      </c>
      <c r="G11" s="1220"/>
      <c r="H11" s="1263"/>
      <c r="I11" s="1263"/>
    </row>
    <row r="12" spans="1:9" s="1224" customFormat="1">
      <c r="A12" s="53">
        <v>1993.03</v>
      </c>
      <c r="B12" s="248"/>
      <c r="C12" s="3532">
        <v>82.522558701424117</v>
      </c>
      <c r="D12" s="3532">
        <v>82.621778401840359</v>
      </c>
      <c r="E12" s="2343">
        <f>D12*$E$9</f>
        <v>92.432047348255537</v>
      </c>
      <c r="F12" s="1192">
        <v>97.933247242811262</v>
      </c>
      <c r="G12" s="1220"/>
      <c r="H12" s="1263"/>
      <c r="I12" s="1263"/>
    </row>
    <row r="13" spans="1:9" s="1224" customFormat="1">
      <c r="A13" s="53">
        <v>1993.04</v>
      </c>
      <c r="B13" s="248"/>
      <c r="C13" s="3532">
        <v>83.624011158031152</v>
      </c>
      <c r="D13" s="3532">
        <v>83.202654372459975</v>
      </c>
      <c r="E13" s="2343">
        <f t="shared" si="0"/>
        <v>93.081894837117872</v>
      </c>
      <c r="F13" s="1192">
        <v>100.28783177229261</v>
      </c>
      <c r="G13" s="1220"/>
      <c r="H13" s="1263"/>
      <c r="I13" s="1263"/>
    </row>
    <row r="14" spans="1:9" s="1224" customFormat="1">
      <c r="A14" s="53">
        <v>1993.05</v>
      </c>
      <c r="B14" s="248"/>
      <c r="C14" s="3532">
        <v>84.655367787924689</v>
      </c>
      <c r="D14" s="3532">
        <v>83.831898518448355</v>
      </c>
      <c r="E14" s="2343">
        <f t="shared" si="0"/>
        <v>93.785853597394521</v>
      </c>
      <c r="F14" s="1192">
        <v>100.35310762332527</v>
      </c>
      <c r="G14" s="1220"/>
      <c r="H14" s="1263"/>
      <c r="I14" s="1263"/>
    </row>
    <row r="15" spans="1:9" s="1224" customFormat="1">
      <c r="A15" s="53">
        <v>1993.06</v>
      </c>
      <c r="B15" s="248"/>
      <c r="C15" s="3532">
        <v>84.647762729732094</v>
      </c>
      <c r="D15" s="3532">
        <v>84.467655598480022</v>
      </c>
      <c r="E15" s="2343">
        <f t="shared" si="0"/>
        <v>94.497098618503458</v>
      </c>
      <c r="F15" s="1192">
        <v>102.10758147506452</v>
      </c>
      <c r="G15" s="1220"/>
      <c r="H15" s="1263"/>
      <c r="I15" s="1263"/>
    </row>
    <row r="16" spans="1:9" s="1224" customFormat="1">
      <c r="A16" s="53">
        <v>1993.07</v>
      </c>
      <c r="B16" s="248"/>
      <c r="C16" s="3532">
        <v>85.178847080214837</v>
      </c>
      <c r="D16" s="3532">
        <v>85.055836188539033</v>
      </c>
      <c r="E16" s="2343">
        <f t="shared" si="0"/>
        <v>95.155118056008675</v>
      </c>
      <c r="F16" s="1192">
        <v>103.88347279870972</v>
      </c>
      <c r="G16" s="1220"/>
      <c r="H16" s="1263"/>
      <c r="I16" s="1263"/>
    </row>
    <row r="17" spans="1:9" s="1224" customFormat="1">
      <c r="A17" s="53">
        <v>1993.08</v>
      </c>
      <c r="B17" s="248"/>
      <c r="C17" s="3532">
        <v>86.081772394984711</v>
      </c>
      <c r="D17" s="3532">
        <v>85.557322689393146</v>
      </c>
      <c r="E17" s="2343">
        <f t="shared" si="0"/>
        <v>95.71614960105741</v>
      </c>
      <c r="F17" s="1192">
        <v>101.74364889416979</v>
      </c>
      <c r="G17" s="1220"/>
      <c r="H17" s="1263"/>
      <c r="I17" s="1263"/>
    </row>
    <row r="18" spans="1:9" s="1224" customFormat="1">
      <c r="A18" s="53">
        <v>1993.09</v>
      </c>
      <c r="B18" s="248"/>
      <c r="C18" s="3532">
        <v>86.718658390005174</v>
      </c>
      <c r="D18" s="3532">
        <v>85.976337073048057</v>
      </c>
      <c r="E18" s="2343">
        <f t="shared" si="0"/>
        <v>96.184916530295141</v>
      </c>
      <c r="F18" s="1192">
        <v>103.07673394152368</v>
      </c>
      <c r="G18" s="1220"/>
      <c r="H18" s="1263"/>
      <c r="I18" s="1263"/>
    </row>
    <row r="19" spans="1:9" s="1224" customFormat="1">
      <c r="A19" s="53">
        <v>1993.1</v>
      </c>
      <c r="B19" s="248"/>
      <c r="C19" s="3532">
        <v>86.264253564382329</v>
      </c>
      <c r="D19" s="3532">
        <v>86.336658247342001</v>
      </c>
      <c r="E19" s="2343">
        <f t="shared" si="0"/>
        <v>96.588021189709906</v>
      </c>
      <c r="F19" s="1192">
        <v>103.292750571228</v>
      </c>
      <c r="G19" s="1220"/>
      <c r="H19" s="1263"/>
      <c r="I19" s="1263"/>
    </row>
    <row r="20" spans="1:9" s="1224" customFormat="1">
      <c r="A20" s="53">
        <v>1993.11</v>
      </c>
      <c r="B20" s="248"/>
      <c r="C20" s="3532">
        <v>86.64676713821261</v>
      </c>
      <c r="D20" s="3532">
        <v>86.677944581688152</v>
      </c>
      <c r="E20" s="2343">
        <f t="shared" si="0"/>
        <v>96.969830867809179</v>
      </c>
      <c r="F20" s="1192">
        <v>104.53856708089914</v>
      </c>
      <c r="G20" s="1220"/>
      <c r="H20" s="1263"/>
      <c r="I20" s="1263"/>
    </row>
    <row r="21" spans="1:9" s="1224" customFormat="1" ht="13.5" thickBot="1">
      <c r="A21" s="53">
        <v>1993.12</v>
      </c>
      <c r="B21" s="248"/>
      <c r="C21" s="3532">
        <v>86.633296824843654</v>
      </c>
      <c r="D21" s="3532">
        <v>87.037664953649767</v>
      </c>
      <c r="E21" s="2343">
        <f t="shared" si="0"/>
        <v>97.372263387375327</v>
      </c>
      <c r="F21" s="1192">
        <v>105.32396852188333</v>
      </c>
      <c r="G21" s="1220"/>
      <c r="H21" s="1263"/>
      <c r="I21" s="1263"/>
    </row>
    <row r="22" spans="1:9" ht="13.5" thickBot="1">
      <c r="A22" s="53">
        <v>1994.01</v>
      </c>
      <c r="B22" s="248"/>
      <c r="C22" s="3532">
        <v>89.925506185270891</v>
      </c>
      <c r="D22" s="3532">
        <v>87.427885696804978</v>
      </c>
      <c r="E22" s="2343">
        <f t="shared" si="0"/>
        <v>97.808817803236096</v>
      </c>
      <c r="F22" s="1192">
        <v>102.59241915420699</v>
      </c>
      <c r="G22" s="1221">
        <v>86.253615742385747</v>
      </c>
      <c r="H22" s="1264"/>
      <c r="I22" s="1263"/>
    </row>
    <row r="23" spans="1:9">
      <c r="A23" s="53">
        <v>1994.02</v>
      </c>
      <c r="B23" s="248"/>
      <c r="C23" s="3532">
        <v>86.41966445953544</v>
      </c>
      <c r="D23" s="3532">
        <v>87.841352271099097</v>
      </c>
      <c r="E23" s="2343">
        <f t="shared" si="0"/>
        <v>98.271378192413394</v>
      </c>
      <c r="F23" s="1192">
        <v>91.320890535521144</v>
      </c>
      <c r="G23" s="3399">
        <v>86.559402447560686</v>
      </c>
      <c r="H23" s="1264"/>
      <c r="I23" s="1263"/>
    </row>
    <row r="24" spans="1:9">
      <c r="A24" s="53">
        <v>1994.03</v>
      </c>
      <c r="B24" s="248"/>
      <c r="C24" s="3532">
        <v>88.179346570737579</v>
      </c>
      <c r="D24" s="3532">
        <v>88.267748637566058</v>
      </c>
      <c r="E24" s="2343">
        <f t="shared" si="0"/>
        <v>98.748403619567839</v>
      </c>
      <c r="F24" s="1192">
        <v>104.96222033665941</v>
      </c>
      <c r="G24" s="217">
        <v>86.955247425886554</v>
      </c>
      <c r="H24" s="1264"/>
      <c r="I24" s="1263"/>
    </row>
    <row r="25" spans="1:9">
      <c r="A25" s="53">
        <v>1994.04</v>
      </c>
      <c r="B25" s="248"/>
      <c r="C25" s="3532">
        <v>89.897252811711553</v>
      </c>
      <c r="D25" s="3532">
        <v>88.695699172009952</v>
      </c>
      <c r="E25" s="2343">
        <f t="shared" si="0"/>
        <v>99.22716775207104</v>
      </c>
      <c r="F25" s="1192">
        <v>109.00918664694312</v>
      </c>
      <c r="G25" s="217">
        <v>87.556725759219447</v>
      </c>
      <c r="H25" s="1264"/>
      <c r="I25" s="1263"/>
    </row>
    <row r="26" spans="1:9">
      <c r="A26" s="53">
        <v>1994.05</v>
      </c>
      <c r="B26" s="248"/>
      <c r="C26" s="3532">
        <v>89.752047396292539</v>
      </c>
      <c r="D26" s="3532">
        <v>89.113862860704359</v>
      </c>
      <c r="E26" s="2343">
        <f t="shared" si="0"/>
        <v>99.694982977310275</v>
      </c>
      <c r="F26" s="1192">
        <v>109.61050859038052</v>
      </c>
      <c r="G26" s="217">
        <v>87.855449696886922</v>
      </c>
      <c r="H26" s="1264"/>
      <c r="I26" s="1263"/>
    </row>
    <row r="27" spans="1:9">
      <c r="A27" s="53">
        <v>1994.06</v>
      </c>
      <c r="B27" s="248"/>
      <c r="C27" s="3532">
        <v>89.415440808340705</v>
      </c>
      <c r="D27" s="3532">
        <v>89.513306681720479</v>
      </c>
      <c r="E27" s="2343">
        <f t="shared" si="0"/>
        <v>100.14185559239196</v>
      </c>
      <c r="F27" s="1192">
        <v>106.28950494379687</v>
      </c>
      <c r="G27" s="217">
        <v>87.904099630967536</v>
      </c>
      <c r="H27" s="1264"/>
      <c r="I27" s="1263"/>
    </row>
    <row r="28" spans="1:9">
      <c r="A28" s="53">
        <v>1994.07</v>
      </c>
      <c r="B28" s="248"/>
      <c r="C28" s="3532">
        <v>88.977818107262991</v>
      </c>
      <c r="D28" s="3532">
        <v>89.88244457348047</v>
      </c>
      <c r="E28" s="2343">
        <f t="shared" si="0"/>
        <v>100.55482384058492</v>
      </c>
      <c r="F28" s="1192">
        <v>107.87429589886912</v>
      </c>
      <c r="G28" s="217">
        <v>87.974023086854857</v>
      </c>
      <c r="H28" s="1264"/>
      <c r="I28" s="1263"/>
    </row>
    <row r="29" spans="1:9">
      <c r="A29" s="53">
        <v>1994.08</v>
      </c>
      <c r="B29" s="248"/>
      <c r="C29" s="3532">
        <v>89.770275148397971</v>
      </c>
      <c r="D29" s="3532">
        <v>90.196361495090599</v>
      </c>
      <c r="E29" s="2343">
        <f t="shared" si="0"/>
        <v>100.90601434172088</v>
      </c>
      <c r="F29" s="1192">
        <v>108.77197462801324</v>
      </c>
      <c r="G29" s="217">
        <v>88.162591790063715</v>
      </c>
      <c r="H29" s="1264"/>
      <c r="I29" s="1263"/>
    </row>
    <row r="30" spans="1:9">
      <c r="A30" s="53">
        <v>1994.09</v>
      </c>
      <c r="B30" s="248"/>
      <c r="C30" s="3532">
        <v>90.505343589044784</v>
      </c>
      <c r="D30" s="3532">
        <v>90.427792489533502</v>
      </c>
      <c r="E30" s="2343">
        <f t="shared" si="0"/>
        <v>101.16492477732248</v>
      </c>
      <c r="F30" s="1192">
        <v>109.43373268617469</v>
      </c>
      <c r="G30" s="217">
        <v>88.518387473678075</v>
      </c>
      <c r="H30" s="1264"/>
      <c r="I30" s="1263"/>
    </row>
    <row r="31" spans="1:9">
      <c r="A31" s="53">
        <v>1994.1</v>
      </c>
      <c r="B31" s="248"/>
      <c r="C31" s="3532">
        <v>90.361075646143675</v>
      </c>
      <c r="D31" s="3532">
        <v>90.539338386970783</v>
      </c>
      <c r="E31" s="2343">
        <f t="shared" si="0"/>
        <v>101.28971530922414</v>
      </c>
      <c r="F31" s="1192">
        <v>108.12184425985082</v>
      </c>
      <c r="G31" s="217">
        <v>88.806578796981782</v>
      </c>
      <c r="H31" s="1264"/>
      <c r="I31" s="1263"/>
    </row>
    <row r="32" spans="1:9">
      <c r="A32" s="53">
        <v>1994.11</v>
      </c>
      <c r="B32" s="248"/>
      <c r="C32" s="3532">
        <v>91.081119926412299</v>
      </c>
      <c r="D32" s="3532">
        <v>90.489275582320047</v>
      </c>
      <c r="E32" s="2343">
        <f t="shared" si="0"/>
        <v>101.23370819319044</v>
      </c>
      <c r="F32" s="1192">
        <v>109.66924851177457</v>
      </c>
      <c r="G32" s="217">
        <v>88.779683718824003</v>
      </c>
      <c r="H32" s="1264"/>
      <c r="I32" s="1263"/>
    </row>
    <row r="33" spans="1:9">
      <c r="A33" s="53">
        <v>1994.12</v>
      </c>
      <c r="B33" s="248"/>
      <c r="C33" s="3532">
        <v>91.808461527196513</v>
      </c>
      <c r="D33" s="3532">
        <v>90.243015226379285</v>
      </c>
      <c r="E33" s="2343">
        <f t="shared" si="0"/>
        <v>100.95820760096633</v>
      </c>
      <c r="F33" s="1192">
        <v>108.93432762894489</v>
      </c>
      <c r="G33" s="217">
        <v>88.573074725449899</v>
      </c>
      <c r="H33" s="1264"/>
      <c r="I33" s="1263"/>
    </row>
    <row r="34" spans="1:9">
      <c r="A34" s="53">
        <v>1995.01</v>
      </c>
      <c r="B34" s="248"/>
      <c r="C34" s="3532">
        <v>89.24399364975956</v>
      </c>
      <c r="D34" s="3532">
        <v>89.794278755025331</v>
      </c>
      <c r="E34" s="2343">
        <f t="shared" si="0"/>
        <v>100.4561894700403</v>
      </c>
      <c r="F34" s="1192">
        <v>101.00853653191163</v>
      </c>
      <c r="G34" s="217">
        <v>87.972016114289517</v>
      </c>
      <c r="H34" s="1264"/>
      <c r="I34" s="1263"/>
    </row>
    <row r="35" spans="1:9">
      <c r="A35" s="53">
        <v>1995.02</v>
      </c>
      <c r="B35" s="248"/>
      <c r="C35" s="3532">
        <v>90.43670348685626</v>
      </c>
      <c r="D35" s="3532">
        <v>89.180789594235875</v>
      </c>
      <c r="E35" s="2343">
        <f t="shared" si="0"/>
        <v>99.769856395945283</v>
      </c>
      <c r="F35" s="1192">
        <v>98.963695689687768</v>
      </c>
      <c r="G35" s="217">
        <v>87.223892289940238</v>
      </c>
      <c r="H35" s="1264"/>
      <c r="I35" s="1263"/>
    </row>
    <row r="36" spans="1:9">
      <c r="A36" s="53">
        <v>1995.03</v>
      </c>
      <c r="B36" s="248"/>
      <c r="C36" s="3532">
        <v>89.051149459170432</v>
      </c>
      <c r="D36" s="3532">
        <v>88.467272045962346</v>
      </c>
      <c r="E36" s="2343">
        <f t="shared" si="0"/>
        <v>98.971617855435227</v>
      </c>
      <c r="F36" s="1192">
        <v>106.33810335883939</v>
      </c>
      <c r="G36" s="217">
        <v>86.106448608550082</v>
      </c>
      <c r="H36" s="1264"/>
      <c r="I36" s="1263"/>
    </row>
    <row r="37" spans="1:9">
      <c r="A37" s="53">
        <v>1995.04</v>
      </c>
      <c r="B37" s="248"/>
      <c r="C37" s="3532">
        <v>85.275630767457827</v>
      </c>
      <c r="D37" s="3532">
        <v>87.736922859648629</v>
      </c>
      <c r="E37" s="2343">
        <f t="shared" si="0"/>
        <v>98.15454913728469</v>
      </c>
      <c r="F37" s="1192">
        <v>103.6207508449742</v>
      </c>
      <c r="G37" s="217">
        <v>85.00687993256939</v>
      </c>
      <c r="H37" s="1264"/>
      <c r="I37" s="1263"/>
    </row>
    <row r="38" spans="1:9">
      <c r="A38" s="53">
        <v>1995.05</v>
      </c>
      <c r="B38" s="248"/>
      <c r="C38" s="3532">
        <v>86.383778402520846</v>
      </c>
      <c r="D38" s="3532">
        <v>87.073464302655239</v>
      </c>
      <c r="E38" s="2343">
        <f t="shared" si="0"/>
        <v>97.41231344664925</v>
      </c>
      <c r="F38" s="1192">
        <v>109.74967862895623</v>
      </c>
      <c r="G38" s="217">
        <v>84.061911866890398</v>
      </c>
      <c r="H38" s="1264"/>
      <c r="I38" s="1263"/>
    </row>
    <row r="39" spans="1:9">
      <c r="A39" s="53">
        <v>1995.06</v>
      </c>
      <c r="B39" s="248"/>
      <c r="C39" s="3532">
        <v>86.945790593461155</v>
      </c>
      <c r="D39" s="3532">
        <v>86.549023190232532</v>
      </c>
      <c r="E39" s="2343">
        <f t="shared" si="0"/>
        <v>96.825601726416565</v>
      </c>
      <c r="F39" s="1192">
        <v>101.82207780766292</v>
      </c>
      <c r="G39" s="217">
        <v>83.324929686794434</v>
      </c>
      <c r="H39" s="1264"/>
      <c r="I39" s="1263"/>
    </row>
    <row r="40" spans="1:9">
      <c r="A40" s="53">
        <v>1995.07</v>
      </c>
      <c r="B40" s="248"/>
      <c r="C40" s="3532">
        <v>86.633622403640075</v>
      </c>
      <c r="D40" s="3532">
        <v>86.203196099001417</v>
      </c>
      <c r="E40" s="2343">
        <f t="shared" si="0"/>
        <v>96.438712135205918</v>
      </c>
      <c r="F40" s="1192">
        <v>104.27749186380861</v>
      </c>
      <c r="G40" s="217">
        <v>82.710446436229248</v>
      </c>
      <c r="H40" s="1264"/>
      <c r="I40" s="1263"/>
    </row>
    <row r="41" spans="1:9">
      <c r="A41" s="53">
        <v>1995.08</v>
      </c>
      <c r="B41" s="248"/>
      <c r="C41" s="3532">
        <v>85.471906585817109</v>
      </c>
      <c r="D41" s="3532">
        <v>86.048090936876022</v>
      </c>
      <c r="E41" s="2343">
        <f t="shared" si="0"/>
        <v>96.265190238596475</v>
      </c>
      <c r="F41" s="1192">
        <v>102.2955495098345</v>
      </c>
      <c r="G41" s="217">
        <v>82.45691282859714</v>
      </c>
      <c r="H41" s="1264"/>
      <c r="I41" s="1263"/>
    </row>
    <row r="42" spans="1:9">
      <c r="A42" s="53">
        <v>1995.09</v>
      </c>
      <c r="B42" s="248"/>
      <c r="C42" s="3532">
        <v>85.856912197179113</v>
      </c>
      <c r="D42" s="3532">
        <v>86.081085299087079</v>
      </c>
      <c r="E42" s="2343">
        <f t="shared" si="0"/>
        <v>96.302102255126599</v>
      </c>
      <c r="F42" s="1192">
        <v>100.62237821165996</v>
      </c>
      <c r="G42" s="217">
        <v>82.412834315365913</v>
      </c>
      <c r="H42" s="1264"/>
      <c r="I42" s="1263"/>
    </row>
    <row r="43" spans="1:9">
      <c r="A43" s="53">
        <v>1995.1</v>
      </c>
      <c r="B43" s="248"/>
      <c r="C43" s="3532">
        <v>86.521267545840161</v>
      </c>
      <c r="D43" s="3532">
        <v>86.289215550907727</v>
      </c>
      <c r="E43" s="2343">
        <f t="shared" si="0"/>
        <v>96.534945285899013</v>
      </c>
      <c r="F43" s="1192">
        <v>102.57416842773334</v>
      </c>
      <c r="G43" s="217">
        <v>82.442176958611782</v>
      </c>
      <c r="H43" s="1264"/>
      <c r="I43" s="1263"/>
    </row>
    <row r="44" spans="1:9">
      <c r="A44" s="53">
        <v>1995.11</v>
      </c>
      <c r="B44" s="248"/>
      <c r="C44" s="3532">
        <v>86.816251011561533</v>
      </c>
      <c r="D44" s="3532">
        <v>86.659347753262693</v>
      </c>
      <c r="E44" s="2343">
        <f t="shared" si="0"/>
        <v>96.949025906226424</v>
      </c>
      <c r="F44" s="1192">
        <v>102.54289393679389</v>
      </c>
      <c r="G44" s="217">
        <v>82.53164516090564</v>
      </c>
      <c r="H44" s="1264"/>
      <c r="I44" s="1263"/>
    </row>
    <row r="45" spans="1:9">
      <c r="A45" s="53">
        <v>1995.12</v>
      </c>
      <c r="B45" s="248"/>
      <c r="C45" s="3532">
        <v>86.839231528744307</v>
      </c>
      <c r="D45" s="3532">
        <v>87.174797765654816</v>
      </c>
      <c r="E45" s="2343">
        <f t="shared" si="0"/>
        <v>97.525678949439381</v>
      </c>
      <c r="F45" s="1192">
        <v>100.97623373804365</v>
      </c>
      <c r="G45" s="217">
        <v>82.70255277783221</v>
      </c>
      <c r="H45" s="1264"/>
      <c r="I45" s="1263"/>
    </row>
    <row r="46" spans="1:9">
      <c r="A46" s="53">
        <v>1996.01</v>
      </c>
      <c r="B46" s="248"/>
      <c r="C46" s="3532">
        <v>87.85749305505648</v>
      </c>
      <c r="D46" s="3532">
        <v>87.810341112217529</v>
      </c>
      <c r="E46" s="2343">
        <f t="shared" si="0"/>
        <v>98.236684858990756</v>
      </c>
      <c r="F46" s="1192">
        <v>97.116494754494084</v>
      </c>
      <c r="G46" s="217">
        <v>83.203148368462323</v>
      </c>
      <c r="H46" s="1264"/>
      <c r="I46" s="1263"/>
    </row>
    <row r="47" spans="1:9">
      <c r="A47" s="53">
        <v>1996.02</v>
      </c>
      <c r="B47" s="248"/>
      <c r="C47" s="3532">
        <v>90.056159032304251</v>
      </c>
      <c r="D47" s="3532">
        <v>88.533247941597438</v>
      </c>
      <c r="E47" s="2343">
        <f t="shared" si="0"/>
        <v>99.045427536455719</v>
      </c>
      <c r="F47" s="1192">
        <v>95.810464800152047</v>
      </c>
      <c r="G47" s="217">
        <v>83.688233307246861</v>
      </c>
      <c r="H47" s="1264"/>
      <c r="I47" s="1263"/>
    </row>
    <row r="48" spans="1:9">
      <c r="A48" s="53">
        <v>1996.03</v>
      </c>
      <c r="B48" s="248"/>
      <c r="C48" s="3532">
        <v>89.998750059329893</v>
      </c>
      <c r="D48" s="3532">
        <v>89.306052034049173</v>
      </c>
      <c r="E48" s="2343">
        <f t="shared" si="0"/>
        <v>99.909992132451322</v>
      </c>
      <c r="F48" s="1192">
        <v>105.62517561907691</v>
      </c>
      <c r="G48" s="217">
        <v>84.622954880943311</v>
      </c>
      <c r="H48" s="1264"/>
      <c r="I48" s="1263"/>
    </row>
    <row r="49" spans="1:9">
      <c r="A49" s="53">
        <v>1996.04</v>
      </c>
      <c r="B49" s="248"/>
      <c r="C49" s="3532">
        <v>90.001701079738112</v>
      </c>
      <c r="D49" s="3532">
        <v>90.097650937466938</v>
      </c>
      <c r="E49" s="2343">
        <f t="shared" si="0"/>
        <v>100.79558318043955</v>
      </c>
      <c r="F49" s="1192">
        <v>107.47492978359185</v>
      </c>
      <c r="G49" s="217">
        <v>85.109155746389973</v>
      </c>
      <c r="H49" s="1264"/>
      <c r="I49" s="1263"/>
    </row>
    <row r="50" spans="1:9">
      <c r="A50" s="53">
        <v>1996.05</v>
      </c>
      <c r="B50" s="248"/>
      <c r="C50" s="3532">
        <v>91.11249412929476</v>
      </c>
      <c r="D50" s="3532">
        <v>90.878139898860624</v>
      </c>
      <c r="E50" s="2343">
        <f t="shared" si="0"/>
        <v>101.66874512429727</v>
      </c>
      <c r="F50" s="1192">
        <v>110.34215513144088</v>
      </c>
      <c r="G50" s="217">
        <v>85.492649419356752</v>
      </c>
      <c r="H50" s="1264"/>
      <c r="I50" s="1263"/>
    </row>
    <row r="51" spans="1:9">
      <c r="A51" s="53">
        <v>1996.06</v>
      </c>
      <c r="B51" s="248"/>
      <c r="C51" s="3532">
        <v>91.755845260322005</v>
      </c>
      <c r="D51" s="3532">
        <v>91.629907058564157</v>
      </c>
      <c r="E51" s="2343">
        <f t="shared" si="0"/>
        <v>102.50977492351825</v>
      </c>
      <c r="F51" s="1192">
        <v>107.69834171097111</v>
      </c>
      <c r="G51" s="217">
        <v>85.996173996803705</v>
      </c>
      <c r="H51" s="1264"/>
      <c r="I51" s="1263"/>
    </row>
    <row r="52" spans="1:9">
      <c r="A52" s="53">
        <v>1996.07</v>
      </c>
      <c r="B52" s="248"/>
      <c r="C52" s="3532">
        <v>93.234782766212902</v>
      </c>
      <c r="D52" s="3532">
        <v>92.341791500277353</v>
      </c>
      <c r="E52" s="2343">
        <f t="shared" si="0"/>
        <v>103.30618644715904</v>
      </c>
      <c r="F52" s="1192">
        <v>113.10896831576838</v>
      </c>
      <c r="G52" s="217">
        <v>86.339109033514049</v>
      </c>
      <c r="H52" s="1264"/>
      <c r="I52" s="1263"/>
    </row>
    <row r="53" spans="1:9">
      <c r="A53" s="53">
        <v>1996.08</v>
      </c>
      <c r="B53" s="248"/>
      <c r="C53" s="3532">
        <v>93.793991823176256</v>
      </c>
      <c r="D53" s="3532">
        <v>93.021737664161748</v>
      </c>
      <c r="E53" s="2343">
        <f t="shared" si="0"/>
        <v>104.06686743503072</v>
      </c>
      <c r="F53" s="1192">
        <v>110.09998622138392</v>
      </c>
      <c r="G53" s="217">
        <v>86.329981481423232</v>
      </c>
      <c r="H53" s="1264"/>
      <c r="I53" s="1263"/>
    </row>
    <row r="54" spans="1:9">
      <c r="A54" s="53">
        <v>1996.09</v>
      </c>
      <c r="B54" s="248"/>
      <c r="C54" s="3532">
        <v>91.596792084184088</v>
      </c>
      <c r="D54" s="3532">
        <v>93.689559793227801</v>
      </c>
      <c r="E54" s="2343">
        <f t="shared" si="0"/>
        <v>104.81398481555749</v>
      </c>
      <c r="F54" s="1192">
        <v>107.55813388920284</v>
      </c>
      <c r="G54" s="217">
        <v>86.52613890343352</v>
      </c>
      <c r="H54" s="1264"/>
      <c r="I54" s="1263"/>
    </row>
    <row r="55" spans="1:9">
      <c r="A55" s="53">
        <v>1996.1</v>
      </c>
      <c r="B55" s="248"/>
      <c r="C55" s="3532">
        <v>94.452201502287537</v>
      </c>
      <c r="D55" s="3532">
        <v>94.358141628008866</v>
      </c>
      <c r="E55" s="2343">
        <f t="shared" si="0"/>
        <v>105.56195210703969</v>
      </c>
      <c r="F55" s="1192">
        <v>113.4146614287848</v>
      </c>
      <c r="G55" s="217">
        <v>87.010349117312913</v>
      </c>
      <c r="H55" s="1264"/>
      <c r="I55" s="1263"/>
    </row>
    <row r="56" spans="1:9">
      <c r="A56" s="53">
        <v>1996.11</v>
      </c>
      <c r="B56" s="248"/>
      <c r="C56" s="3532">
        <v>94.599112678458241</v>
      </c>
      <c r="D56" s="3532">
        <v>95.03167030361584</v>
      </c>
      <c r="E56" s="2343">
        <f t="shared" si="0"/>
        <v>106.31545361279673</v>
      </c>
      <c r="F56" s="1192">
        <v>110.58349700438875</v>
      </c>
      <c r="G56" s="217">
        <v>87.785856151254933</v>
      </c>
      <c r="H56" s="1264"/>
      <c r="I56" s="1263"/>
    </row>
    <row r="57" spans="1:9">
      <c r="A57" s="53">
        <v>1996.12</v>
      </c>
      <c r="B57" s="248"/>
      <c r="C57" s="3532">
        <v>94.797145080925333</v>
      </c>
      <c r="D57" s="3532">
        <v>95.696766494928397</v>
      </c>
      <c r="E57" s="2343">
        <f t="shared" si="0"/>
        <v>107.05952138567315</v>
      </c>
      <c r="F57" s="1192">
        <v>109.48848842465803</v>
      </c>
      <c r="G57" s="217">
        <v>88.234548371203573</v>
      </c>
      <c r="H57" s="1264"/>
      <c r="I57" s="1263"/>
    </row>
    <row r="58" spans="1:9">
      <c r="A58" s="53">
        <v>1997.01</v>
      </c>
      <c r="B58" s="248"/>
      <c r="C58" s="3532">
        <v>97.714343031300317</v>
      </c>
      <c r="D58" s="3532">
        <v>96.332025519441686</v>
      </c>
      <c r="E58" s="2343">
        <f t="shared" si="0"/>
        <v>107.77020921360437</v>
      </c>
      <c r="F58" s="1192">
        <v>107.49695269742466</v>
      </c>
      <c r="G58" s="217">
        <v>88.91259380367562</v>
      </c>
      <c r="H58" s="1264"/>
      <c r="I58" s="1263"/>
    </row>
    <row r="59" spans="1:9">
      <c r="A59" s="53">
        <v>1997.02</v>
      </c>
      <c r="B59" s="248"/>
      <c r="C59" s="3532">
        <v>97.642543664853591</v>
      </c>
      <c r="D59" s="3532">
        <v>96.926168112580143</v>
      </c>
      <c r="E59" s="2343">
        <f t="shared" si="0"/>
        <v>108.43489856504257</v>
      </c>
      <c r="F59" s="1192">
        <v>103.05278312396416</v>
      </c>
      <c r="G59" s="217">
        <v>89.600815417691322</v>
      </c>
      <c r="H59" s="1264"/>
      <c r="I59" s="1263"/>
    </row>
    <row r="60" spans="1:9">
      <c r="A60" s="53">
        <v>1997.03</v>
      </c>
      <c r="B60" s="248"/>
      <c r="C60" s="3532">
        <v>96.07287257219879</v>
      </c>
      <c r="D60" s="3532">
        <v>97.479342787477719</v>
      </c>
      <c r="E60" s="2343">
        <f t="shared" si="0"/>
        <v>109.05375558713797</v>
      </c>
      <c r="F60" s="1192">
        <v>111.91848010479906</v>
      </c>
      <c r="G60" s="217">
        <v>89.895759923560021</v>
      </c>
      <c r="H60" s="1264"/>
      <c r="I60" s="1263"/>
    </row>
    <row r="61" spans="1:9">
      <c r="A61" s="53">
        <v>1997.04</v>
      </c>
      <c r="B61" s="248"/>
      <c r="C61" s="3532">
        <v>99.100189174708888</v>
      </c>
      <c r="D61" s="3532">
        <v>98.008272786853851</v>
      </c>
      <c r="E61" s="2343">
        <f t="shared" si="0"/>
        <v>109.64548919166612</v>
      </c>
      <c r="F61" s="1192">
        <v>117.96741262003802</v>
      </c>
      <c r="G61" s="217">
        <v>90.458001836761468</v>
      </c>
      <c r="H61" s="1264"/>
      <c r="I61" s="1263"/>
    </row>
    <row r="62" spans="1:9">
      <c r="A62" s="53">
        <v>1997.05</v>
      </c>
      <c r="B62" s="248"/>
      <c r="C62" s="3532">
        <v>97.69245377559956</v>
      </c>
      <c r="D62" s="3532">
        <v>98.535277642803308</v>
      </c>
      <c r="E62" s="2343">
        <f t="shared" si="0"/>
        <v>110.23506906685307</v>
      </c>
      <c r="F62" s="1192">
        <v>117.99913969614678</v>
      </c>
      <c r="G62" s="217">
        <v>91.19242960336237</v>
      </c>
      <c r="H62" s="1264"/>
      <c r="I62" s="1263"/>
    </row>
    <row r="63" spans="1:9">
      <c r="A63" s="53">
        <v>1997.06</v>
      </c>
      <c r="B63" s="248"/>
      <c r="C63" s="3532">
        <v>97.336336579439802</v>
      </c>
      <c r="D63" s="3532">
        <v>99.081367045129824</v>
      </c>
      <c r="E63" s="2343">
        <f t="shared" si="0"/>
        <v>110.84599953178119</v>
      </c>
      <c r="F63" s="1192">
        <v>115.23467151684983</v>
      </c>
      <c r="G63" s="217">
        <v>91.587642974345499</v>
      </c>
      <c r="H63" s="1264"/>
      <c r="I63" s="1263"/>
    </row>
    <row r="64" spans="1:9">
      <c r="A64" s="53">
        <v>1997.07</v>
      </c>
      <c r="B64" s="248"/>
      <c r="C64" s="3532">
        <v>99.611246307457293</v>
      </c>
      <c r="D64" s="3532">
        <v>99.653857998389867</v>
      </c>
      <c r="E64" s="2343">
        <f t="shared" si="0"/>
        <v>111.48646639078312</v>
      </c>
      <c r="F64" s="1192">
        <v>121.86860088746333</v>
      </c>
      <c r="G64" s="217">
        <v>92.172537968573621</v>
      </c>
      <c r="H64" s="1264"/>
      <c r="I64" s="1263"/>
    </row>
    <row r="65" spans="1:9">
      <c r="A65" s="53">
        <v>1997.08</v>
      </c>
      <c r="B65" s="248"/>
      <c r="C65" s="3532">
        <v>100.12727340923571</v>
      </c>
      <c r="D65" s="3532">
        <v>100.23985138278667</v>
      </c>
      <c r="E65" s="2343">
        <f t="shared" si="0"/>
        <v>112.14203892020623</v>
      </c>
      <c r="F65" s="1192">
        <v>117.689979147625</v>
      </c>
      <c r="G65" s="217">
        <v>92.951359507717001</v>
      </c>
      <c r="H65" s="1264"/>
      <c r="I65" s="1263"/>
    </row>
    <row r="66" spans="1:9">
      <c r="A66" s="53">
        <v>1997.09</v>
      </c>
      <c r="B66" s="248"/>
      <c r="C66" s="3532">
        <v>101.87728748295893</v>
      </c>
      <c r="D66" s="3532">
        <v>100.81583140316685</v>
      </c>
      <c r="E66" s="2343">
        <f t="shared" si="0"/>
        <v>112.78640912797998</v>
      </c>
      <c r="F66" s="1192">
        <v>121.09201421630651</v>
      </c>
      <c r="G66" s="217">
        <v>93.698595595442143</v>
      </c>
      <c r="H66" s="1264"/>
      <c r="I66" s="1263"/>
    </row>
    <row r="67" spans="1:9">
      <c r="A67" s="53">
        <v>1997.1</v>
      </c>
      <c r="B67" s="248"/>
      <c r="C67" s="3532">
        <v>102.27779158620514</v>
      </c>
      <c r="D67" s="3532">
        <v>101.36100948728161</v>
      </c>
      <c r="E67" s="2343">
        <f t="shared" si="0"/>
        <v>113.39632006743034</v>
      </c>
      <c r="F67" s="1192">
        <v>125.29961598901964</v>
      </c>
      <c r="G67" s="217">
        <v>94.414413343812569</v>
      </c>
      <c r="H67" s="1264"/>
      <c r="I67" s="1263"/>
    </row>
    <row r="68" spans="1:9">
      <c r="A68" s="53">
        <v>1997.11</v>
      </c>
      <c r="B68" s="248"/>
      <c r="C68" s="3532">
        <v>101.94176941799388</v>
      </c>
      <c r="D68" s="3532">
        <v>101.86625655647165</v>
      </c>
      <c r="E68" s="2343">
        <f t="shared" si="0"/>
        <v>113.96155869972904</v>
      </c>
      <c r="F68" s="1192">
        <v>118.40631245221184</v>
      </c>
      <c r="G68" s="217">
        <v>94.945555454224007</v>
      </c>
      <c r="H68" s="1264"/>
      <c r="I68" s="1263"/>
    </row>
    <row r="69" spans="1:9">
      <c r="A69" s="53">
        <v>1997.12</v>
      </c>
      <c r="B69" s="248"/>
      <c r="C69" s="3532">
        <v>101.34800739571095</v>
      </c>
      <c r="D69" s="3532">
        <v>102.33720782175021</v>
      </c>
      <c r="E69" s="2343">
        <f t="shared" si="0"/>
        <v>114.48842934440616</v>
      </c>
      <c r="F69" s="1192">
        <v>117.05742832124896</v>
      </c>
      <c r="G69" s="217">
        <v>95.236426642799088</v>
      </c>
      <c r="H69" s="1264"/>
      <c r="I69" s="1263"/>
    </row>
    <row r="70" spans="1:9">
      <c r="A70" s="53">
        <v>1998.01</v>
      </c>
      <c r="B70" s="248"/>
      <c r="C70" s="3532">
        <v>102.2386889594523</v>
      </c>
      <c r="D70" s="3532">
        <v>102.78678837571584</v>
      </c>
      <c r="E70" s="2343">
        <f t="shared" si="0"/>
        <v>114.99139178185087</v>
      </c>
      <c r="F70" s="1192">
        <v>112.27478604925581</v>
      </c>
      <c r="G70" s="217">
        <v>95.373250244486712</v>
      </c>
      <c r="H70" s="1264"/>
      <c r="I70" s="1263"/>
    </row>
    <row r="71" spans="1:9">
      <c r="A71" s="53">
        <v>1998.02</v>
      </c>
      <c r="B71" s="248"/>
      <c r="C71" s="3532">
        <v>102.00887891354304</v>
      </c>
      <c r="D71" s="3532">
        <v>103.22015341337254</v>
      </c>
      <c r="E71" s="2343">
        <f t="shared" si="0"/>
        <v>115.4762133198834</v>
      </c>
      <c r="F71" s="1192">
        <v>108.88928944151972</v>
      </c>
      <c r="G71" s="217">
        <v>95.518968292408204</v>
      </c>
      <c r="H71" s="1264"/>
      <c r="I71" s="1263"/>
    </row>
    <row r="72" spans="1:9">
      <c r="A72" s="53">
        <v>1998.03</v>
      </c>
      <c r="B72" s="248"/>
      <c r="C72" s="3532">
        <v>103.60998383060416</v>
      </c>
      <c r="D72" s="3532">
        <v>103.62323677788153</v>
      </c>
      <c r="E72" s="2343">
        <f t="shared" si="0"/>
        <v>115.92715762723516</v>
      </c>
      <c r="F72" s="1192">
        <v>122.11383703187406</v>
      </c>
      <c r="G72" s="217">
        <v>95.744374616119131</v>
      </c>
      <c r="H72" s="1264"/>
      <c r="I72" s="1263"/>
    </row>
    <row r="73" spans="1:9">
      <c r="A73" s="53">
        <v>1998.04</v>
      </c>
      <c r="B73" s="248"/>
      <c r="C73" s="3532">
        <v>104.07695068590749</v>
      </c>
      <c r="D73" s="3532">
        <v>103.96576629052547</v>
      </c>
      <c r="E73" s="2343">
        <f t="shared" si="0"/>
        <v>116.31035809499674</v>
      </c>
      <c r="F73" s="1192">
        <v>124.87091055133673</v>
      </c>
      <c r="G73" s="217">
        <v>96.186731922991981</v>
      </c>
      <c r="H73" s="1264"/>
      <c r="I73" s="1263"/>
    </row>
    <row r="74" spans="1:9">
      <c r="A74" s="53">
        <v>1998.05</v>
      </c>
      <c r="B74" s="248"/>
      <c r="C74" s="3532">
        <v>104.42189068178641</v>
      </c>
      <c r="D74" s="3532">
        <v>104.19804872081659</v>
      </c>
      <c r="E74" s="2343">
        <f t="shared" ref="E74:E137" si="1">D74*$E$9</f>
        <v>116.57022106345541</v>
      </c>
      <c r="F74" s="1192">
        <v>125.81617039719167</v>
      </c>
      <c r="G74" s="217">
        <v>96.386405846769989</v>
      </c>
      <c r="H74" s="1264"/>
      <c r="I74" s="1263"/>
    </row>
    <row r="75" spans="1:9">
      <c r="A75" s="53">
        <v>1998.06</v>
      </c>
      <c r="B75" s="248"/>
      <c r="C75" s="3532">
        <v>105.68566312080969</v>
      </c>
      <c r="D75" s="3532">
        <v>104.26135328889973</v>
      </c>
      <c r="E75" s="2343">
        <f t="shared" si="1"/>
        <v>116.64104223128314</v>
      </c>
      <c r="F75" s="1192">
        <v>127.64759570674629</v>
      </c>
      <c r="G75" s="217">
        <v>96.376846392893299</v>
      </c>
      <c r="H75" s="1264"/>
      <c r="I75" s="1263"/>
    </row>
    <row r="76" spans="1:9">
      <c r="A76" s="53">
        <v>1998.07</v>
      </c>
      <c r="B76" s="248"/>
      <c r="C76" s="3532">
        <v>104.42093485821741</v>
      </c>
      <c r="D76" s="3532">
        <v>104.11612088608391</v>
      </c>
      <c r="E76" s="2343">
        <f t="shared" si="1"/>
        <v>116.47856535662325</v>
      </c>
      <c r="F76" s="1192">
        <v>126.46266710115609</v>
      </c>
      <c r="G76" s="217">
        <v>96.497594447976979</v>
      </c>
      <c r="H76" s="1264"/>
      <c r="I76" s="1263"/>
    </row>
    <row r="77" spans="1:9">
      <c r="A77" s="53">
        <v>1998.08</v>
      </c>
      <c r="B77" s="248"/>
      <c r="C77" s="3532">
        <v>104.0409155192895</v>
      </c>
      <c r="D77" s="3532">
        <v>103.75952072303834</v>
      </c>
      <c r="E77" s="2343">
        <f t="shared" si="1"/>
        <v>116.07962353047769</v>
      </c>
      <c r="F77" s="1192">
        <v>123.13274506212628</v>
      </c>
      <c r="G77" s="217">
        <v>96.646260422384955</v>
      </c>
      <c r="H77" s="1264"/>
      <c r="I77" s="1263"/>
    </row>
    <row r="78" spans="1:9">
      <c r="A78" s="53">
        <v>1998.09</v>
      </c>
      <c r="B78" s="248"/>
      <c r="C78" s="3532">
        <v>103.50386272547877</v>
      </c>
      <c r="D78" s="3532">
        <v>103.22666737890249</v>
      </c>
      <c r="E78" s="2343">
        <f t="shared" si="1"/>
        <v>115.48350073467809</v>
      </c>
      <c r="F78" s="1192">
        <v>123.62460141132985</v>
      </c>
      <c r="G78" s="217">
        <v>96.366549180189338</v>
      </c>
      <c r="H78" s="1264"/>
      <c r="I78" s="1263"/>
    </row>
    <row r="79" spans="1:9">
      <c r="A79" s="53">
        <v>1998.1</v>
      </c>
      <c r="B79" s="248"/>
      <c r="C79" s="3532">
        <v>102.8660598548163</v>
      </c>
      <c r="D79" s="3532">
        <v>102.5782900156821</v>
      </c>
      <c r="E79" s="2343">
        <f t="shared" si="1"/>
        <v>114.75813693476998</v>
      </c>
      <c r="F79" s="1192">
        <v>122.13258485854952</v>
      </c>
      <c r="G79" s="217">
        <v>95.888312713457495</v>
      </c>
      <c r="H79" s="1264"/>
      <c r="I79" s="1263"/>
    </row>
    <row r="80" spans="1:9">
      <c r="A80" s="53">
        <v>1998.11</v>
      </c>
      <c r="B80" s="248"/>
      <c r="C80" s="3532">
        <v>101.94323349027108</v>
      </c>
      <c r="D80" s="3532">
        <v>101.89031097066254</v>
      </c>
      <c r="E80" s="2343">
        <f t="shared" si="1"/>
        <v>113.98846926489036</v>
      </c>
      <c r="F80" s="1192">
        <v>119.66985445337195</v>
      </c>
      <c r="G80" s="217">
        <v>95.19263831116541</v>
      </c>
      <c r="H80" s="1264"/>
      <c r="I80" s="1263"/>
    </row>
    <row r="81" spans="1:9">
      <c r="A81" s="53">
        <v>1998.12</v>
      </c>
      <c r="B81" s="248"/>
      <c r="C81" s="3532">
        <v>99.847756706345535</v>
      </c>
      <c r="D81" s="3532">
        <v>101.21734462176052</v>
      </c>
      <c r="E81" s="2343">
        <f t="shared" si="1"/>
        <v>113.23559685487081</v>
      </c>
      <c r="F81" s="1192">
        <v>114.66667916032286</v>
      </c>
      <c r="G81" s="217">
        <v>94.947377398385527</v>
      </c>
      <c r="H81" s="1264"/>
      <c r="I81" s="1263"/>
    </row>
    <row r="82" spans="1:9">
      <c r="A82" s="53">
        <v>1999.01</v>
      </c>
      <c r="B82" s="248"/>
      <c r="C82" s="3532">
        <v>100.36135412251524</v>
      </c>
      <c r="D82" s="3532">
        <v>100.59846534007281</v>
      </c>
      <c r="E82" s="2343">
        <f t="shared" si="1"/>
        <v>112.54323365264592</v>
      </c>
      <c r="F82" s="1192">
        <v>110.44956903151144</v>
      </c>
      <c r="G82" s="217">
        <v>95.102238679755345</v>
      </c>
      <c r="H82" s="1264"/>
      <c r="I82" s="1263"/>
    </row>
    <row r="83" spans="1:9">
      <c r="A83" s="53">
        <v>1999.02</v>
      </c>
      <c r="B83" s="248"/>
      <c r="C83" s="3532">
        <v>100.82888797750543</v>
      </c>
      <c r="D83" s="3532">
        <v>100.0632610208781</v>
      </c>
      <c r="E83" s="2343">
        <f t="shared" si="1"/>
        <v>111.94448073386714</v>
      </c>
      <c r="F83" s="1192">
        <v>105.44709632035689</v>
      </c>
      <c r="G83" s="217">
        <v>95.542019555604838</v>
      </c>
      <c r="H83" s="1264"/>
      <c r="I83" s="1263"/>
    </row>
    <row r="84" spans="1:9">
      <c r="A84" s="53">
        <v>1999.03</v>
      </c>
      <c r="B84" s="248"/>
      <c r="C84" s="3532">
        <v>100.4443316683967</v>
      </c>
      <c r="D84" s="3532">
        <v>99.627771770332757</v>
      </c>
      <c r="E84" s="2343">
        <f t="shared" si="1"/>
        <v>111.45728276010423</v>
      </c>
      <c r="F84" s="1192">
        <v>117.25879767548257</v>
      </c>
      <c r="G84" s="217">
        <v>95.669568608022786</v>
      </c>
      <c r="H84" s="1264"/>
      <c r="I84" s="1263"/>
    </row>
    <row r="85" spans="1:9">
      <c r="A85" s="53">
        <v>1999.04</v>
      </c>
      <c r="B85" s="248"/>
      <c r="C85" s="3532">
        <v>99.001964625731944</v>
      </c>
      <c r="D85" s="3532">
        <v>99.296328495160637</v>
      </c>
      <c r="E85" s="2343">
        <f t="shared" si="1"/>
        <v>111.08648487731153</v>
      </c>
      <c r="F85" s="1192">
        <v>118.63391999743946</v>
      </c>
      <c r="G85" s="217">
        <v>95.435787095936575</v>
      </c>
      <c r="H85" s="1264"/>
      <c r="I85" s="1263"/>
    </row>
    <row r="86" spans="1:9">
      <c r="A86" s="53">
        <v>1999.05</v>
      </c>
      <c r="B86" s="248"/>
      <c r="C86" s="3532">
        <v>99.314618309676931</v>
      </c>
      <c r="D86" s="3532">
        <v>99.076006806108921</v>
      </c>
      <c r="E86" s="2343">
        <f t="shared" si="1"/>
        <v>110.84000283361563</v>
      </c>
      <c r="F86" s="1192">
        <v>119.22334013112606</v>
      </c>
      <c r="G86" s="217">
        <v>95.212415791433159</v>
      </c>
      <c r="H86" s="1264"/>
      <c r="I86" s="1263"/>
    </row>
    <row r="87" spans="1:9">
      <c r="A87" s="53">
        <v>1999.06</v>
      </c>
      <c r="B87" s="248"/>
      <c r="C87" s="3532">
        <v>99.065726081428124</v>
      </c>
      <c r="D87" s="3532">
        <v>98.978471855335897</v>
      </c>
      <c r="E87" s="2343">
        <f t="shared" si="1"/>
        <v>110.73088686731296</v>
      </c>
      <c r="F87" s="1192">
        <v>119.7622720566247</v>
      </c>
      <c r="G87" s="217">
        <v>95.626918902926491</v>
      </c>
      <c r="H87" s="1264"/>
      <c r="I87" s="1263"/>
    </row>
    <row r="88" spans="1:9">
      <c r="A88" s="53">
        <v>1999.07</v>
      </c>
      <c r="B88" s="248"/>
      <c r="C88" s="3532">
        <v>97.717966851031122</v>
      </c>
      <c r="D88" s="3532">
        <v>99.00529758063</v>
      </c>
      <c r="E88" s="2343">
        <f t="shared" si="1"/>
        <v>110.76089780097352</v>
      </c>
      <c r="F88" s="1192">
        <v>118.38068922843648</v>
      </c>
      <c r="G88" s="217">
        <v>95.876875036857783</v>
      </c>
      <c r="H88" s="1264"/>
      <c r="I88" s="1263"/>
    </row>
    <row r="89" spans="1:9">
      <c r="A89" s="53">
        <v>1999.08</v>
      </c>
      <c r="B89" s="248"/>
      <c r="C89" s="3532">
        <v>99.142174246218801</v>
      </c>
      <c r="D89" s="3532">
        <v>99.142885126126401</v>
      </c>
      <c r="E89" s="2343">
        <f t="shared" si="1"/>
        <v>110.91482209025718</v>
      </c>
      <c r="F89" s="1192">
        <v>118.26163701313082</v>
      </c>
      <c r="G89" s="217">
        <v>96.112124210439319</v>
      </c>
      <c r="H89" s="1264"/>
      <c r="I89" s="1263"/>
    </row>
    <row r="90" spans="1:9">
      <c r="A90" s="53">
        <v>1999.09</v>
      </c>
      <c r="B90" s="248"/>
      <c r="C90" s="3532">
        <v>99.303713781828748</v>
      </c>
      <c r="D90" s="3532">
        <v>99.365854566842899</v>
      </c>
      <c r="E90" s="2343">
        <f t="shared" si="1"/>
        <v>111.16426627192661</v>
      </c>
      <c r="F90" s="1192">
        <v>118.57433163064742</v>
      </c>
      <c r="G90" s="217">
        <v>96.298733529664801</v>
      </c>
      <c r="H90" s="1264"/>
      <c r="I90" s="1263"/>
    </row>
    <row r="91" spans="1:9">
      <c r="A91" s="53">
        <v>1999.1</v>
      </c>
      <c r="B91" s="248"/>
      <c r="C91" s="3532">
        <v>99.702813654356405</v>
      </c>
      <c r="D91" s="3532">
        <v>99.622652927017171</v>
      </c>
      <c r="E91" s="2343">
        <f t="shared" si="1"/>
        <v>111.45155612026585</v>
      </c>
      <c r="F91" s="1192">
        <v>118.81812217430341</v>
      </c>
      <c r="G91" s="217">
        <v>96.155374480921807</v>
      </c>
      <c r="H91" s="1264"/>
      <c r="I91" s="1263"/>
    </row>
    <row r="92" spans="1:9">
      <c r="A92" s="53">
        <v>1999.11</v>
      </c>
      <c r="B92" s="248"/>
      <c r="C92" s="3532">
        <v>100.0331399716214</v>
      </c>
      <c r="D92" s="3532">
        <v>99.852133142454306</v>
      </c>
      <c r="E92" s="2343">
        <f t="shared" si="1"/>
        <v>111.70828414705329</v>
      </c>
      <c r="F92" s="1192">
        <v>120.49385107446183</v>
      </c>
      <c r="G92" s="217">
        <v>96.258999264187409</v>
      </c>
      <c r="H92" s="1264"/>
      <c r="I92" s="1263"/>
    </row>
    <row r="93" spans="1:9">
      <c r="A93" s="53">
        <v>1999.12</v>
      </c>
      <c r="B93" s="248"/>
      <c r="C93" s="3532">
        <v>101.81366284194512</v>
      </c>
      <c r="D93" s="3532">
        <v>99.98678155532005</v>
      </c>
      <c r="E93" s="2343">
        <f t="shared" si="1"/>
        <v>111.85892031967163</v>
      </c>
      <c r="F93" s="1192">
        <v>119.187323879796</v>
      </c>
      <c r="G93" s="217">
        <v>96.257167165772699</v>
      </c>
      <c r="H93" s="1264"/>
      <c r="I93" s="1263"/>
    </row>
    <row r="94" spans="1:9">
      <c r="A94" s="53">
        <v>2000.01</v>
      </c>
      <c r="B94" s="248"/>
      <c r="C94" s="3532">
        <v>99.979196630423502</v>
      </c>
      <c r="D94" s="3532">
        <v>99.97812052053267</v>
      </c>
      <c r="E94" s="2343">
        <f t="shared" si="1"/>
        <v>111.84923089887923</v>
      </c>
      <c r="F94" s="1192">
        <v>111.63562500816859</v>
      </c>
      <c r="G94" s="217">
        <v>96.482091588242071</v>
      </c>
      <c r="H94" s="1264"/>
      <c r="I94" s="1263"/>
    </row>
    <row r="95" spans="1:9">
      <c r="A95" s="53">
        <v>2000.02</v>
      </c>
      <c r="B95" s="248"/>
      <c r="C95" s="3532">
        <v>100.49710469905895</v>
      </c>
      <c r="D95" s="3532">
        <v>99.811641843818862</v>
      </c>
      <c r="E95" s="2343">
        <f t="shared" si="1"/>
        <v>111.6629850297375</v>
      </c>
      <c r="F95" s="1192">
        <v>107.09084402891513</v>
      </c>
      <c r="G95" s="217">
        <v>96.356580030076472</v>
      </c>
      <c r="H95" s="1264"/>
      <c r="I95" s="1263"/>
    </row>
    <row r="96" spans="1:9">
      <c r="A96" s="53">
        <v>2000.03</v>
      </c>
      <c r="B96" s="248"/>
      <c r="C96" s="3532">
        <v>100.01936527659656</v>
      </c>
      <c r="D96" s="3532">
        <v>99.516898451721048</v>
      </c>
      <c r="E96" s="2343">
        <f t="shared" si="1"/>
        <v>111.33324466707589</v>
      </c>
      <c r="F96" s="1192">
        <v>117.5227217459292</v>
      </c>
      <c r="G96" s="217">
        <v>96.404678690236551</v>
      </c>
      <c r="H96" s="1264"/>
      <c r="I96" s="1263"/>
    </row>
    <row r="97" spans="1:9">
      <c r="A97" s="53">
        <v>2000.04</v>
      </c>
      <c r="B97" s="248"/>
      <c r="C97" s="3532">
        <v>99.276746093772758</v>
      </c>
      <c r="D97" s="3532">
        <v>99.154189487931575</v>
      </c>
      <c r="E97" s="2343">
        <f t="shared" si="1"/>
        <v>110.92746869900644</v>
      </c>
      <c r="F97" s="1192">
        <v>117.12083622467287</v>
      </c>
      <c r="G97" s="217">
        <v>95.937034663113991</v>
      </c>
      <c r="H97" s="1264"/>
      <c r="I97" s="1263"/>
    </row>
    <row r="98" spans="1:9">
      <c r="A98" s="53">
        <v>2000.05</v>
      </c>
      <c r="B98" s="248"/>
      <c r="C98" s="3532">
        <v>98.073893970903015</v>
      </c>
      <c r="D98" s="3532">
        <v>98.783757023423647</v>
      </c>
      <c r="E98" s="2343">
        <f t="shared" si="1"/>
        <v>110.51305216427394</v>
      </c>
      <c r="F98" s="1192">
        <v>120.0797557064498</v>
      </c>
      <c r="G98" s="217">
        <v>95.570054017425619</v>
      </c>
      <c r="H98" s="1264"/>
      <c r="I98" s="1263"/>
    </row>
    <row r="99" spans="1:9">
      <c r="A99" s="53">
        <v>2000.06</v>
      </c>
      <c r="B99" s="248"/>
      <c r="C99" s="3532">
        <v>98.038883038855857</v>
      </c>
      <c r="D99" s="3532">
        <v>98.451830647477905</v>
      </c>
      <c r="E99" s="2343">
        <f t="shared" si="1"/>
        <v>110.14171381873103</v>
      </c>
      <c r="F99" s="1192">
        <v>118.31763415715153</v>
      </c>
      <c r="G99" s="217">
        <v>95.581373442861064</v>
      </c>
      <c r="H99" s="1264"/>
      <c r="I99" s="1263"/>
    </row>
    <row r="100" spans="1:9">
      <c r="A100" s="53">
        <v>2000.07</v>
      </c>
      <c r="B100" s="248"/>
      <c r="C100" s="3532">
        <v>98.867225230096807</v>
      </c>
      <c r="D100" s="3532">
        <v>98.202402807026914</v>
      </c>
      <c r="E100" s="2343">
        <f t="shared" si="1"/>
        <v>109.86266964412603</v>
      </c>
      <c r="F100" s="1192">
        <v>117.83064230446199</v>
      </c>
      <c r="G100" s="217">
        <v>95.900139040601559</v>
      </c>
      <c r="H100" s="1264"/>
      <c r="I100" s="1263"/>
    </row>
    <row r="101" spans="1:9">
      <c r="A101" s="53">
        <v>2000.08</v>
      </c>
      <c r="B101" s="248"/>
      <c r="C101" s="3532">
        <v>98.050411946447454</v>
      </c>
      <c r="D101" s="3532">
        <v>98.064250626173731</v>
      </c>
      <c r="E101" s="2343">
        <f t="shared" si="1"/>
        <v>109.70811367633048</v>
      </c>
      <c r="F101" s="1192">
        <v>119.30484965240606</v>
      </c>
      <c r="G101" s="217">
        <v>95.93275431216199</v>
      </c>
      <c r="H101" s="1264"/>
      <c r="I101" s="1263"/>
    </row>
    <row r="102" spans="1:9">
      <c r="A102" s="53">
        <v>2000.09</v>
      </c>
      <c r="B102" s="248"/>
      <c r="C102" s="3532">
        <v>97.98077515851854</v>
      </c>
      <c r="D102" s="3532">
        <v>98.048492903666968</v>
      </c>
      <c r="E102" s="2343">
        <f t="shared" si="1"/>
        <v>109.69048492782107</v>
      </c>
      <c r="F102" s="1192">
        <v>116.64662352328109</v>
      </c>
      <c r="G102" s="217">
        <v>96.103927854128912</v>
      </c>
      <c r="H102" s="1264"/>
      <c r="I102" s="1263"/>
    </row>
    <row r="103" spans="1:9">
      <c r="A103" s="53">
        <v>2000.1</v>
      </c>
      <c r="B103" s="248"/>
      <c r="C103" s="3532">
        <v>97.979290473926724</v>
      </c>
      <c r="D103" s="3532">
        <v>98.139314718125306</v>
      </c>
      <c r="E103" s="2343">
        <f t="shared" si="1"/>
        <v>109.79209065958635</v>
      </c>
      <c r="F103" s="1192">
        <v>116.6538482666423</v>
      </c>
      <c r="G103" s="217">
        <v>96.160884678104466</v>
      </c>
      <c r="H103" s="1264"/>
      <c r="I103" s="1263"/>
    </row>
    <row r="104" spans="1:9">
      <c r="A104" s="53">
        <v>2000.11</v>
      </c>
      <c r="B104" s="248"/>
      <c r="C104" s="3532">
        <v>97.268072597742176</v>
      </c>
      <c r="D104" s="3532">
        <v>98.303494363494693</v>
      </c>
      <c r="E104" s="2343">
        <f t="shared" si="1"/>
        <v>109.97576451710846</v>
      </c>
      <c r="F104" s="1192">
        <v>117.28100114015406</v>
      </c>
      <c r="G104" s="217">
        <v>96.298641739720907</v>
      </c>
      <c r="H104" s="1264"/>
      <c r="I104" s="1263"/>
    </row>
    <row r="105" spans="1:9">
      <c r="A105" s="53">
        <v>2000.12</v>
      </c>
      <c r="B105" s="248"/>
      <c r="C105" s="3532">
        <v>101.25720308109246</v>
      </c>
      <c r="D105" s="3532">
        <v>98.478876794318822</v>
      </c>
      <c r="E105" s="2343">
        <f t="shared" si="1"/>
        <v>110.17197134614989</v>
      </c>
      <c r="F105" s="1192">
        <v>116.66206695193461</v>
      </c>
      <c r="G105" s="217">
        <v>96.468506998874901</v>
      </c>
      <c r="H105" s="1264"/>
      <c r="I105" s="1263"/>
    </row>
    <row r="106" spans="1:9">
      <c r="A106" s="53">
        <v>2001.01</v>
      </c>
      <c r="B106" s="248"/>
      <c r="C106" s="3532">
        <v>98.833349371313645</v>
      </c>
      <c r="D106" s="3532">
        <v>98.600564370864348</v>
      </c>
      <c r="E106" s="2343">
        <f t="shared" si="1"/>
        <v>110.30810775055218</v>
      </c>
      <c r="F106" s="1192">
        <v>110.79129434531234</v>
      </c>
      <c r="G106" s="217">
        <v>96.2367294334625</v>
      </c>
      <c r="H106" s="1264"/>
      <c r="I106" s="1263"/>
    </row>
    <row r="107" spans="1:9">
      <c r="A107" s="53">
        <v>2001.02</v>
      </c>
      <c r="B107" s="248"/>
      <c r="C107" s="3532">
        <v>98.657827564636349</v>
      </c>
      <c r="D107" s="3532">
        <v>98.592408193314341</v>
      </c>
      <c r="E107" s="2343">
        <f t="shared" si="1"/>
        <v>110.29898313227278</v>
      </c>
      <c r="F107" s="1192">
        <v>103.65794457444555</v>
      </c>
      <c r="G107" s="217">
        <v>95.770072226515921</v>
      </c>
      <c r="H107" s="1264"/>
      <c r="I107" s="1263"/>
    </row>
    <row r="108" spans="1:9">
      <c r="A108" s="53">
        <v>2001.03</v>
      </c>
      <c r="B108" s="248"/>
      <c r="C108" s="3532">
        <v>97.981417053022199</v>
      </c>
      <c r="D108" s="3532">
        <v>98.394669896187423</v>
      </c>
      <c r="E108" s="2343">
        <f t="shared" si="1"/>
        <v>110.07776596657943</v>
      </c>
      <c r="F108" s="1192">
        <v>112.50760369725583</v>
      </c>
      <c r="G108" s="217">
        <v>95.163463763718781</v>
      </c>
      <c r="H108" s="1264"/>
      <c r="I108" s="1263"/>
    </row>
    <row r="109" spans="1:9">
      <c r="A109" s="53">
        <v>2001.04</v>
      </c>
      <c r="B109" s="248"/>
      <c r="C109" s="3532">
        <v>98.373517325296064</v>
      </c>
      <c r="D109" s="3532">
        <v>97.964208097989697</v>
      </c>
      <c r="E109" s="2343">
        <f t="shared" si="1"/>
        <v>109.59619239019003</v>
      </c>
      <c r="F109" s="1192">
        <v>117.85289630604433</v>
      </c>
      <c r="G109" s="217">
        <v>94.739724765688067</v>
      </c>
      <c r="H109" s="1264"/>
      <c r="I109" s="1263"/>
    </row>
    <row r="110" spans="1:9">
      <c r="A110" s="53">
        <v>2001.05</v>
      </c>
      <c r="B110" s="248"/>
      <c r="C110" s="3532">
        <v>98.125277912884044</v>
      </c>
      <c r="D110" s="3532">
        <v>97.267328663181999</v>
      </c>
      <c r="E110" s="2343">
        <f t="shared" si="1"/>
        <v>108.81656752420268</v>
      </c>
      <c r="F110" s="1192">
        <v>120.3642528198136</v>
      </c>
      <c r="G110" s="217">
        <v>94.431034601046591</v>
      </c>
      <c r="H110" s="1264"/>
      <c r="I110" s="1263"/>
    </row>
    <row r="111" spans="1:9">
      <c r="A111" s="53">
        <v>2001.06</v>
      </c>
      <c r="B111" s="248"/>
      <c r="C111" s="3532">
        <v>97.656443816198362</v>
      </c>
      <c r="D111" s="3532">
        <v>96.281196811709208</v>
      </c>
      <c r="E111" s="2343">
        <f t="shared" si="1"/>
        <v>107.71334525339127</v>
      </c>
      <c r="F111" s="1192">
        <v>117.51426241386294</v>
      </c>
      <c r="G111" s="217">
        <v>93.923839645409245</v>
      </c>
      <c r="H111" s="1264"/>
      <c r="I111" s="1263"/>
    </row>
    <row r="112" spans="1:9">
      <c r="A112" s="53">
        <v>2001.07</v>
      </c>
      <c r="B112" s="248"/>
      <c r="C112" s="3532">
        <v>95.038569762097467</v>
      </c>
      <c r="D112" s="3532">
        <v>95.006957445459278</v>
      </c>
      <c r="E112" s="2343">
        <f t="shared" si="1"/>
        <v>106.28780642195404</v>
      </c>
      <c r="F112" s="1192">
        <v>114.91393668017923</v>
      </c>
      <c r="G112" s="217">
        <v>92.978746445919882</v>
      </c>
      <c r="H112" s="1264"/>
      <c r="I112" s="1263"/>
    </row>
    <row r="113" spans="1:9">
      <c r="A113" s="53">
        <v>2001.08</v>
      </c>
      <c r="B113" s="248"/>
      <c r="C113" s="3532">
        <v>93.778601598985276</v>
      </c>
      <c r="D113" s="3532">
        <v>93.489927309898547</v>
      </c>
      <c r="E113" s="2343">
        <f t="shared" si="1"/>
        <v>104.59064855351778</v>
      </c>
      <c r="F113" s="1192">
        <v>112.45287090593874</v>
      </c>
      <c r="G113" s="217">
        <v>91.805109771181051</v>
      </c>
      <c r="H113" s="1264"/>
      <c r="I113" s="1263"/>
    </row>
    <row r="114" spans="1:9">
      <c r="A114" s="53">
        <v>2001.09</v>
      </c>
      <c r="B114" s="248"/>
      <c r="C114" s="3532">
        <v>91.732162463961814</v>
      </c>
      <c r="D114" s="3532">
        <v>91.820411551582737</v>
      </c>
      <c r="E114" s="2343">
        <f t="shared" si="1"/>
        <v>102.7228993643056</v>
      </c>
      <c r="F114" s="1192">
        <v>106.1892326087986</v>
      </c>
      <c r="G114" s="217">
        <v>90.434710801698543</v>
      </c>
      <c r="H114" s="1264"/>
      <c r="I114" s="1263"/>
    </row>
    <row r="115" spans="1:9">
      <c r="A115" s="53">
        <v>2001.1</v>
      </c>
      <c r="B115" s="248"/>
      <c r="C115" s="3532">
        <v>89.825308386543853</v>
      </c>
      <c r="D115" s="3532">
        <v>90.109885980857527</v>
      </c>
      <c r="E115" s="2343">
        <f t="shared" si="1"/>
        <v>100.80927097719075</v>
      </c>
      <c r="F115" s="1192">
        <v>107.26524070194895</v>
      </c>
      <c r="G115" s="217">
        <v>89.190957153806082</v>
      </c>
      <c r="H115" s="1264"/>
      <c r="I115" s="1263"/>
    </row>
    <row r="116" spans="1:9">
      <c r="A116" s="53">
        <v>2001.11</v>
      </c>
      <c r="B116" s="248"/>
      <c r="C116" s="3532">
        <v>88.807870118854225</v>
      </c>
      <c r="D116" s="3532">
        <v>88.479339897846671</v>
      </c>
      <c r="E116" s="2343">
        <f t="shared" si="1"/>
        <v>98.985118608848424</v>
      </c>
      <c r="F116" s="1192">
        <v>106.07481446271802</v>
      </c>
      <c r="G116" s="217">
        <v>87.773524818544459</v>
      </c>
      <c r="H116" s="1264"/>
      <c r="I116" s="1263"/>
    </row>
    <row r="117" spans="1:9">
      <c r="A117" s="53">
        <v>2001.12</v>
      </c>
      <c r="B117" s="248"/>
      <c r="C117" s="3532">
        <v>86.132190458243883</v>
      </c>
      <c r="D117" s="3532">
        <v>87.023935994290113</v>
      </c>
      <c r="E117" s="2343">
        <f t="shared" si="1"/>
        <v>97.356904291430894</v>
      </c>
      <c r="F117" s="1192">
        <v>96.960755870789498</v>
      </c>
      <c r="G117" s="217">
        <v>86.278844497044318</v>
      </c>
      <c r="H117" s="1264"/>
      <c r="I117" s="1263"/>
    </row>
    <row r="118" spans="1:9">
      <c r="A118" s="53">
        <v>2002.01</v>
      </c>
      <c r="B118" s="248"/>
      <c r="C118" s="3532">
        <v>83.977127746895476</v>
      </c>
      <c r="D118" s="3532">
        <v>85.812401197839591</v>
      </c>
      <c r="E118" s="2343">
        <f t="shared" si="1"/>
        <v>96.001515387491736</v>
      </c>
      <c r="F118" s="1192">
        <v>94.209668556685287</v>
      </c>
      <c r="G118" s="217">
        <v>84.619450398384487</v>
      </c>
      <c r="H118" s="1264"/>
      <c r="I118" s="1263"/>
    </row>
    <row r="119" spans="1:9">
      <c r="A119" s="53">
        <v>2002.02</v>
      </c>
      <c r="B119" s="248"/>
      <c r="C119" s="3532">
        <v>83.992444818147604</v>
      </c>
      <c r="D119" s="3532">
        <v>84.87862286578661</v>
      </c>
      <c r="E119" s="2343">
        <f t="shared" si="1"/>
        <v>94.956862940272401</v>
      </c>
      <c r="F119" s="1192">
        <v>89.627785245130795</v>
      </c>
      <c r="G119" s="217">
        <v>83.288870423584086</v>
      </c>
      <c r="H119" s="1264"/>
      <c r="I119" s="1263"/>
    </row>
    <row r="120" spans="1:9">
      <c r="A120" s="53">
        <v>2002.03</v>
      </c>
      <c r="B120" s="248"/>
      <c r="C120" s="3532">
        <v>83.380757005181323</v>
      </c>
      <c r="D120" s="3532">
        <v>84.227322068838632</v>
      </c>
      <c r="E120" s="2343">
        <f t="shared" si="1"/>
        <v>94.228228586644022</v>
      </c>
      <c r="F120" s="1192">
        <v>94.905223935756538</v>
      </c>
      <c r="G120" s="217">
        <v>82.379567620090711</v>
      </c>
      <c r="H120" s="1264"/>
      <c r="I120" s="1263"/>
    </row>
    <row r="121" spans="1:9">
      <c r="A121" s="53">
        <v>2002.04</v>
      </c>
      <c r="B121" s="248"/>
      <c r="C121" s="3532">
        <v>83.282458498760946</v>
      </c>
      <c r="D121" s="3532">
        <v>83.83462513740588</v>
      </c>
      <c r="E121" s="2343">
        <f t="shared" si="1"/>
        <v>93.788903967133066</v>
      </c>
      <c r="F121" s="1192">
        <v>104.12118264171747</v>
      </c>
      <c r="G121" s="217">
        <v>81.941212965532159</v>
      </c>
      <c r="H121" s="1264"/>
      <c r="I121" s="1263"/>
    </row>
    <row r="122" spans="1:9">
      <c r="A122" s="53">
        <v>2002.05</v>
      </c>
      <c r="B122" s="248"/>
      <c r="C122" s="3532">
        <v>84.205772273502291</v>
      </c>
      <c r="D122" s="3532">
        <v>83.662619807852522</v>
      </c>
      <c r="E122" s="2343">
        <f t="shared" si="1"/>
        <v>93.596475226515764</v>
      </c>
      <c r="F122" s="1192">
        <v>107.3491787046183</v>
      </c>
      <c r="G122" s="217">
        <v>81.579813424384497</v>
      </c>
      <c r="H122" s="1264"/>
      <c r="I122" s="1263"/>
    </row>
    <row r="123" spans="1:9">
      <c r="A123" s="53">
        <v>2002.06</v>
      </c>
      <c r="B123" s="248"/>
      <c r="C123" s="3532">
        <v>84.280042452539107</v>
      </c>
      <c r="D123" s="3532">
        <v>83.662470359999318</v>
      </c>
      <c r="E123" s="2343">
        <f t="shared" si="1"/>
        <v>93.596308033660435</v>
      </c>
      <c r="F123" s="1192">
        <v>103.60811161246993</v>
      </c>
      <c r="G123" s="217">
        <v>81.103146442415365</v>
      </c>
      <c r="H123" s="1264"/>
      <c r="I123" s="1263"/>
    </row>
    <row r="124" spans="1:9">
      <c r="A124" s="53">
        <v>2002.07</v>
      </c>
      <c r="B124" s="248"/>
      <c r="C124" s="3532">
        <v>84.124887986598821</v>
      </c>
      <c r="D124" s="3532">
        <v>83.786951429543819</v>
      </c>
      <c r="E124" s="2343">
        <f t="shared" si="1"/>
        <v>93.735569622271342</v>
      </c>
      <c r="F124" s="1192">
        <v>101.66184181203452</v>
      </c>
      <c r="G124" s="217">
        <v>80.595137971262091</v>
      </c>
      <c r="H124" s="1264"/>
      <c r="I124" s="1263"/>
    </row>
    <row r="125" spans="1:9">
      <c r="A125" s="53">
        <v>2002.08</v>
      </c>
      <c r="B125" s="248"/>
      <c r="C125" s="3532">
        <v>84.109327541550158</v>
      </c>
      <c r="D125" s="3532">
        <v>84.010925101805981</v>
      </c>
      <c r="E125" s="2343">
        <f t="shared" si="1"/>
        <v>93.986137275010677</v>
      </c>
      <c r="F125" s="1192">
        <v>99.274556114983895</v>
      </c>
      <c r="G125" s="217">
        <v>80.397077914472632</v>
      </c>
      <c r="H125" s="1264"/>
      <c r="I125" s="1263"/>
    </row>
    <row r="126" spans="1:9">
      <c r="A126" s="53">
        <v>2002.09</v>
      </c>
      <c r="B126" s="248"/>
      <c r="C126" s="3532">
        <v>84.173301134343987</v>
      </c>
      <c r="D126" s="3532">
        <v>84.340234557641224</v>
      </c>
      <c r="E126" s="2343">
        <f t="shared" si="1"/>
        <v>94.354547974983134</v>
      </c>
      <c r="F126" s="1192">
        <v>97.412862090223413</v>
      </c>
      <c r="G126" s="217">
        <v>80.506126675135619</v>
      </c>
      <c r="H126" s="1264"/>
      <c r="I126" s="1263"/>
    </row>
    <row r="127" spans="1:9">
      <c r="A127" s="53">
        <v>2002.1</v>
      </c>
      <c r="B127" s="248"/>
      <c r="C127" s="3532">
        <v>84.235308781594327</v>
      </c>
      <c r="D127" s="3532">
        <v>84.791124308004697</v>
      </c>
      <c r="E127" s="2343">
        <f t="shared" si="1"/>
        <v>94.858975058986829</v>
      </c>
      <c r="F127" s="1192">
        <v>100.21541285348962</v>
      </c>
      <c r="G127" s="217">
        <v>80.989745732531688</v>
      </c>
      <c r="H127" s="1264"/>
      <c r="I127" s="1263"/>
    </row>
    <row r="128" spans="1:9">
      <c r="A128" s="53">
        <v>2002.11</v>
      </c>
      <c r="B128" s="248"/>
      <c r="C128" s="3532">
        <v>85.357137940359351</v>
      </c>
      <c r="D128" s="3532">
        <v>85.371918657379041</v>
      </c>
      <c r="E128" s="2343">
        <f t="shared" si="1"/>
        <v>95.508731235135329</v>
      </c>
      <c r="F128" s="1192">
        <v>99.098474474568107</v>
      </c>
      <c r="G128" s="217">
        <v>81.801979589528869</v>
      </c>
      <c r="H128" s="1264"/>
      <c r="I128" s="1263"/>
    </row>
    <row r="129" spans="1:9">
      <c r="A129" s="53">
        <v>2002.12</v>
      </c>
      <c r="B129" s="248"/>
      <c r="C129" s="3532">
        <v>86.177824933814392</v>
      </c>
      <c r="D129" s="3532">
        <v>86.064572632549414</v>
      </c>
      <c r="E129" s="2343">
        <f t="shared" si="1"/>
        <v>96.283628922734366</v>
      </c>
      <c r="F129" s="1192">
        <v>97.384901635230008</v>
      </c>
      <c r="G129" s="217">
        <v>82.644223741405185</v>
      </c>
      <c r="H129" s="1264"/>
      <c r="I129" s="1263"/>
    </row>
    <row r="130" spans="1:9">
      <c r="A130" s="53">
        <v>2003.01</v>
      </c>
      <c r="B130" s="248"/>
      <c r="C130" s="3532">
        <v>87.881710031815345</v>
      </c>
      <c r="D130" s="3532">
        <v>86.837505437304529</v>
      </c>
      <c r="E130" s="2343">
        <f t="shared" si="1"/>
        <v>97.148337513956761</v>
      </c>
      <c r="F130" s="1192">
        <v>99.162645455890981</v>
      </c>
      <c r="G130" s="217">
        <v>83.225868968872518</v>
      </c>
      <c r="H130" s="1264"/>
      <c r="I130" s="1263"/>
    </row>
    <row r="131" spans="1:9">
      <c r="A131" s="53">
        <v>2003.02</v>
      </c>
      <c r="B131" s="248"/>
      <c r="C131" s="3532">
        <v>88.635500851525691</v>
      </c>
      <c r="D131" s="3532">
        <v>87.653105729908432</v>
      </c>
      <c r="E131" s="2343">
        <f>D131*$E$9</f>
        <v>98.060779806067188</v>
      </c>
      <c r="F131" s="1192">
        <v>94.312172875011171</v>
      </c>
      <c r="G131" s="217">
        <v>83.934633300551226</v>
      </c>
      <c r="H131" s="1264"/>
      <c r="I131" s="1263"/>
    </row>
    <row r="132" spans="1:9">
      <c r="A132" s="53">
        <v>2003.03</v>
      </c>
      <c r="B132" s="248"/>
      <c r="C132" s="3532">
        <v>87.762355876751727</v>
      </c>
      <c r="D132" s="3532">
        <v>88.48505587264097</v>
      </c>
      <c r="E132" s="2343">
        <f t="shared" si="1"/>
        <v>98.991513281815386</v>
      </c>
      <c r="F132" s="1192">
        <v>101.87599679617965</v>
      </c>
      <c r="G132" s="217">
        <v>84.656236880023599</v>
      </c>
      <c r="H132" s="1264"/>
      <c r="I132" s="1263"/>
    </row>
    <row r="133" spans="1:9">
      <c r="A133" s="53">
        <v>2003.04</v>
      </c>
      <c r="B133" s="248"/>
      <c r="C133" s="3532">
        <v>90.284141801963997</v>
      </c>
      <c r="D133" s="3532">
        <v>89.318109142514118</v>
      </c>
      <c r="E133" s="2343">
        <f t="shared" si="1"/>
        <v>99.923480866802862</v>
      </c>
      <c r="F133" s="1192">
        <v>110.84806484764944</v>
      </c>
      <c r="G133" s="217">
        <v>85.760161069413641</v>
      </c>
      <c r="H133" s="1264"/>
      <c r="I133" s="1263"/>
    </row>
    <row r="134" spans="1:9">
      <c r="A134" s="53">
        <v>2003.05</v>
      </c>
      <c r="B134" s="248"/>
      <c r="C134" s="3532">
        <v>91.016112025066306</v>
      </c>
      <c r="D134" s="3532">
        <v>90.145820446755977</v>
      </c>
      <c r="E134" s="2343">
        <f t="shared" si="1"/>
        <v>100.84947219674336</v>
      </c>
      <c r="F134" s="1192">
        <v>114.40653926642133</v>
      </c>
      <c r="G134" s="217">
        <v>86.767166521630614</v>
      </c>
      <c r="H134" s="1264"/>
      <c r="I134" s="1263"/>
    </row>
    <row r="135" spans="1:9">
      <c r="A135" s="53">
        <v>2003.06</v>
      </c>
      <c r="B135" s="248"/>
      <c r="C135" s="3532">
        <v>91.460381031532165</v>
      </c>
      <c r="D135" s="3532">
        <v>90.96821969230551</v>
      </c>
      <c r="E135" s="2343">
        <f t="shared" si="1"/>
        <v>101.76952072963856</v>
      </c>
      <c r="F135" s="1192">
        <v>111.89709186127824</v>
      </c>
      <c r="G135" s="217">
        <v>87.897411295903709</v>
      </c>
      <c r="H135" s="1264"/>
      <c r="I135" s="1263"/>
    </row>
    <row r="136" spans="1:9">
      <c r="A136" s="53">
        <v>2003.07</v>
      </c>
      <c r="B136" s="248"/>
      <c r="C136" s="3532">
        <v>92.633938363262871</v>
      </c>
      <c r="D136" s="3532">
        <v>91.782441786425281</v>
      </c>
      <c r="E136" s="2343">
        <f t="shared" si="1"/>
        <v>102.68042117999727</v>
      </c>
      <c r="F136" s="1192">
        <v>110.63079515068982</v>
      </c>
      <c r="G136" s="217">
        <v>88.760885299899627</v>
      </c>
      <c r="H136" s="1264"/>
      <c r="I136" s="1263"/>
    </row>
    <row r="137" spans="1:9">
      <c r="A137" s="53">
        <v>2003.08</v>
      </c>
      <c r="B137" s="248"/>
      <c r="C137" s="3532">
        <v>92.319628070224795</v>
      </c>
      <c r="D137" s="3532">
        <v>92.582388640459996</v>
      </c>
      <c r="E137" s="2343">
        <f t="shared" si="1"/>
        <v>103.5753513899064</v>
      </c>
      <c r="F137" s="1192">
        <v>107.67044320570943</v>
      </c>
      <c r="G137" s="217">
        <v>89.662788123822367</v>
      </c>
      <c r="H137" s="1264"/>
      <c r="I137" s="1263"/>
    </row>
    <row r="138" spans="1:9">
      <c r="A138" s="53">
        <v>2003.09</v>
      </c>
      <c r="B138" s="248"/>
      <c r="C138" s="3532">
        <v>93.634822262332023</v>
      </c>
      <c r="D138" s="3532">
        <v>93.363787463001231</v>
      </c>
      <c r="E138" s="2343">
        <f t="shared" ref="E138:E201" si="2">D138*$E$9</f>
        <v>104.44953122917011</v>
      </c>
      <c r="F138" s="1192">
        <v>108.60365937956736</v>
      </c>
      <c r="G138" s="217">
        <v>90.702646944177815</v>
      </c>
      <c r="H138" s="1264"/>
      <c r="I138" s="1263"/>
    </row>
    <row r="139" spans="1:9">
      <c r="A139" s="53">
        <v>2003.1</v>
      </c>
      <c r="B139" s="248"/>
      <c r="C139" s="3532">
        <v>94.588822612016301</v>
      </c>
      <c r="D139" s="3532">
        <v>94.123157127855677</v>
      </c>
      <c r="E139" s="2343">
        <f t="shared" si="2"/>
        <v>105.29906623282589</v>
      </c>
      <c r="F139" s="1192">
        <v>111.8703796379171</v>
      </c>
      <c r="G139" s="217">
        <v>92.118767333476058</v>
      </c>
      <c r="H139" s="1264"/>
      <c r="I139" s="1263"/>
    </row>
    <row r="140" spans="1:9">
      <c r="A140" s="53">
        <v>2003.11</v>
      </c>
      <c r="B140" s="248"/>
      <c r="C140" s="3532">
        <v>94.90145151566314</v>
      </c>
      <c r="D140" s="3532">
        <v>94.860043890421622</v>
      </c>
      <c r="E140" s="2343">
        <f t="shared" si="2"/>
        <v>106.12344877996169</v>
      </c>
      <c r="F140" s="1192">
        <v>109.75469561246986</v>
      </c>
      <c r="G140" s="217">
        <v>93.461906603426854</v>
      </c>
      <c r="H140" s="1264"/>
      <c r="I140" s="1263"/>
    </row>
    <row r="141" spans="1:9" ht="13.5" thickBot="1">
      <c r="A141" s="53">
        <v>2003.12</v>
      </c>
      <c r="B141" s="248"/>
      <c r="C141" s="3532">
        <v>95.546200670930105</v>
      </c>
      <c r="D141" s="3532">
        <v>95.557368351469975</v>
      </c>
      <c r="E141" s="2343">
        <f t="shared" si="2"/>
        <v>106.90357151330728</v>
      </c>
      <c r="F141" s="1192">
        <v>108.76797601950953</v>
      </c>
      <c r="G141" s="217">
        <v>94.487325461373942</v>
      </c>
      <c r="H141" s="1264"/>
      <c r="I141" s="1263"/>
    </row>
    <row r="142" spans="1:9">
      <c r="A142" s="53">
        <v>2004.01</v>
      </c>
      <c r="B142" s="249">
        <v>92.627506026910524</v>
      </c>
      <c r="C142" s="3533">
        <v>98.438186044816845</v>
      </c>
      <c r="D142" s="3533">
        <v>96.068607240050625</v>
      </c>
      <c r="E142" s="479">
        <f t="shared" si="2"/>
        <v>107.47551341615193</v>
      </c>
      <c r="F142" s="1192">
        <v>109.81685563127817</v>
      </c>
      <c r="G142" s="217">
        <v>95.436687908492402</v>
      </c>
      <c r="H142" s="1264"/>
      <c r="I142" s="1263"/>
    </row>
    <row r="143" spans="1:9">
      <c r="A143" s="53">
        <v>2004.02</v>
      </c>
      <c r="B143" s="480">
        <v>90.186179316559588</v>
      </c>
      <c r="C143" s="3534">
        <v>98.217806454960566</v>
      </c>
      <c r="D143" s="3534">
        <v>96.663707457728776</v>
      </c>
      <c r="E143" s="1604">
        <f t="shared" si="2"/>
        <v>108.1412740976741</v>
      </c>
      <c r="F143" s="1192">
        <v>104.67909042212302</v>
      </c>
      <c r="G143" s="217">
        <v>96.406893210854349</v>
      </c>
      <c r="H143" s="1264"/>
      <c r="I143" s="1263"/>
    </row>
    <row r="144" spans="1:9">
      <c r="A144" s="53">
        <v>2004.03</v>
      </c>
      <c r="B144" s="480">
        <v>101.88329804238073</v>
      </c>
      <c r="C144" s="3534">
        <v>97.729669855074889</v>
      </c>
      <c r="D144" s="3534">
        <v>97.329645163593582</v>
      </c>
      <c r="E144" s="1604">
        <f>D144*$E$9</f>
        <v>108.88628330408588</v>
      </c>
      <c r="F144" s="1192">
        <v>115.3535632818045</v>
      </c>
      <c r="G144" s="217">
        <v>97.317277191949188</v>
      </c>
      <c r="H144" s="1264"/>
      <c r="I144" s="1263"/>
    </row>
    <row r="145" spans="1:9">
      <c r="A145" s="53">
        <v>2004.04</v>
      </c>
      <c r="B145" s="480">
        <v>102.5674302511826</v>
      </c>
      <c r="C145" s="3534">
        <v>95.204605512912593</v>
      </c>
      <c r="D145" s="3534">
        <v>98.022766705806163</v>
      </c>
      <c r="E145" s="1604">
        <f t="shared" si="2"/>
        <v>109.66170407627374</v>
      </c>
      <c r="F145" s="1192">
        <v>116.61613350220657</v>
      </c>
      <c r="G145" s="217">
        <v>98.121256072208922</v>
      </c>
      <c r="H145" s="1264"/>
      <c r="I145" s="1263"/>
    </row>
    <row r="146" spans="1:9">
      <c r="A146" s="53">
        <v>2004.05</v>
      </c>
      <c r="B146" s="480">
        <v>109.87750394051662</v>
      </c>
      <c r="C146" s="3534">
        <v>96.838148225505705</v>
      </c>
      <c r="D146" s="3534">
        <v>98.742966399801034</v>
      </c>
      <c r="E146" s="1604">
        <f t="shared" si="2"/>
        <v>110.46741818099518</v>
      </c>
      <c r="F146" s="1192">
        <v>121.58886350093648</v>
      </c>
      <c r="G146" s="217">
        <v>99.180681111530319</v>
      </c>
      <c r="H146" s="1264"/>
      <c r="I146" s="1263"/>
    </row>
    <row r="147" spans="1:9">
      <c r="A147" s="53">
        <v>2004.06</v>
      </c>
      <c r="B147" s="480">
        <v>105.66240620209851</v>
      </c>
      <c r="C147" s="3534">
        <v>98.616086131475328</v>
      </c>
      <c r="D147" s="3534">
        <v>99.488028789601927</v>
      </c>
      <c r="E147" s="1604">
        <f t="shared" si="2"/>
        <v>111.30094710549419</v>
      </c>
      <c r="F147" s="1192">
        <v>120.91474465854576</v>
      </c>
      <c r="G147" s="217">
        <v>100.07135907431837</v>
      </c>
      <c r="H147" s="1264"/>
      <c r="I147" s="1263"/>
    </row>
    <row r="148" spans="1:9">
      <c r="A148" s="53">
        <v>2004.07</v>
      </c>
      <c r="B148" s="480">
        <v>101.1069972900212</v>
      </c>
      <c r="C148" s="3534">
        <v>100.85409812993051</v>
      </c>
      <c r="D148" s="3534">
        <v>100.25904520061481</v>
      </c>
      <c r="E148" s="1604">
        <f t="shared" si="2"/>
        <v>112.16351175597183</v>
      </c>
      <c r="F148" s="1192">
        <v>119.07828400560459</v>
      </c>
      <c r="G148" s="217">
        <v>100.68216458144934</v>
      </c>
      <c r="H148" s="1264"/>
      <c r="I148" s="1263"/>
    </row>
    <row r="149" spans="1:9">
      <c r="A149" s="53">
        <v>2004.08</v>
      </c>
      <c r="B149" s="480">
        <v>98.355736942437574</v>
      </c>
      <c r="C149" s="3534">
        <v>102.21131069030835</v>
      </c>
      <c r="D149" s="3534">
        <v>101.05313434759746</v>
      </c>
      <c r="E149" s="1604">
        <f t="shared" si="2"/>
        <v>113.05188873178142</v>
      </c>
      <c r="F149" s="1192">
        <v>118.29022447531626</v>
      </c>
      <c r="G149" s="217">
        <v>101.24521887787891</v>
      </c>
      <c r="H149" s="1264"/>
      <c r="I149" s="1263"/>
    </row>
    <row r="150" spans="1:9">
      <c r="A150" s="53">
        <v>2004.09</v>
      </c>
      <c r="B150" s="480">
        <v>98.086374534696375</v>
      </c>
      <c r="C150" s="3534">
        <v>102.36418343973747</v>
      </c>
      <c r="D150" s="3534">
        <v>101.86584673623362</v>
      </c>
      <c r="E150" s="1604">
        <f t="shared" si="2"/>
        <v>113.96110021863144</v>
      </c>
      <c r="F150" s="1192">
        <v>118.36714364601441</v>
      </c>
      <c r="G150" s="217">
        <v>101.83036830943672</v>
      </c>
      <c r="H150" s="1264"/>
      <c r="I150" s="1263"/>
    </row>
    <row r="151" spans="1:9">
      <c r="A151" s="53">
        <v>2004.1</v>
      </c>
      <c r="B151" s="480">
        <v>97.835665980979897</v>
      </c>
      <c r="C151" s="3534">
        <v>103.09536386002564</v>
      </c>
      <c r="D151" s="3534">
        <v>102.68995942283335</v>
      </c>
      <c r="E151" s="1604">
        <f t="shared" si="2"/>
        <v>114.88306564156875</v>
      </c>
      <c r="F151" s="1192">
        <v>119.1544695399046</v>
      </c>
      <c r="G151" s="217">
        <v>102.27749526197154</v>
      </c>
      <c r="H151" s="1264"/>
      <c r="I151" s="1263"/>
    </row>
    <row r="152" spans="1:9">
      <c r="A152" s="53">
        <v>2004.11</v>
      </c>
      <c r="B152" s="480">
        <v>100.13194668122139</v>
      </c>
      <c r="C152" s="3534">
        <v>103.59309547780505</v>
      </c>
      <c r="D152" s="3534">
        <v>103.50858947242239</v>
      </c>
      <c r="E152" s="1604">
        <f t="shared" si="2"/>
        <v>115.79889743517043</v>
      </c>
      <c r="F152" s="1192">
        <v>120.33731343369942</v>
      </c>
      <c r="G152" s="217">
        <v>103.07170226203813</v>
      </c>
      <c r="H152" s="1264"/>
      <c r="I152" s="1263"/>
    </row>
    <row r="153" spans="1:9">
      <c r="A153" s="53">
        <v>2004.12</v>
      </c>
      <c r="B153" s="480">
        <v>101.67895479099535</v>
      </c>
      <c r="C153" s="3534">
        <v>102.83744617744713</v>
      </c>
      <c r="D153" s="3534">
        <v>104.30770306371643</v>
      </c>
      <c r="E153" s="1604">
        <f t="shared" si="2"/>
        <v>116.69289544315183</v>
      </c>
      <c r="F153" s="1192">
        <v>118.73167507115377</v>
      </c>
      <c r="G153" s="217">
        <v>104.35889613787197</v>
      </c>
      <c r="H153" s="1264"/>
      <c r="I153" s="1263"/>
    </row>
    <row r="154" spans="1:9">
      <c r="A154" s="53">
        <v>2005.01</v>
      </c>
      <c r="B154" s="480">
        <v>98.473359529179007</v>
      </c>
      <c r="C154" s="3534">
        <v>105.64040125861844</v>
      </c>
      <c r="D154" s="3534">
        <v>105.07361427358046</v>
      </c>
      <c r="E154" s="1604">
        <f t="shared" si="2"/>
        <v>117.54974871578889</v>
      </c>
      <c r="F154" s="1192">
        <v>118.03159581797222</v>
      </c>
      <c r="G154" s="217">
        <v>105.60889946519315</v>
      </c>
      <c r="H154" s="1264"/>
      <c r="I154" s="1263"/>
    </row>
    <row r="155" spans="1:9">
      <c r="A155" s="53">
        <v>2005.02</v>
      </c>
      <c r="B155" s="480">
        <v>96.118866133434054</v>
      </c>
      <c r="C155" s="3534">
        <v>105.98016663689612</v>
      </c>
      <c r="D155" s="3534">
        <v>105.79694506946598</v>
      </c>
      <c r="E155" s="1604">
        <f t="shared" si="2"/>
        <v>118.35896570030556</v>
      </c>
      <c r="F155" s="1192">
        <v>111.2592673270002</v>
      </c>
      <c r="G155" s="217">
        <v>106.46219292980113</v>
      </c>
      <c r="H155" s="1264"/>
      <c r="I155" s="1263"/>
    </row>
    <row r="156" spans="1:9">
      <c r="A156" s="53">
        <v>2005.03</v>
      </c>
      <c r="B156" s="480">
        <v>110.65642586719524</v>
      </c>
      <c r="C156" s="3534">
        <v>106.81006299656931</v>
      </c>
      <c r="D156" s="3534">
        <v>106.47362548629847</v>
      </c>
      <c r="E156" s="1604">
        <f t="shared" si="2"/>
        <v>119.11599317584711</v>
      </c>
      <c r="F156" s="1192">
        <v>122.72302043766146</v>
      </c>
      <c r="G156" s="217">
        <v>107.42875272860925</v>
      </c>
      <c r="H156" s="1264"/>
      <c r="I156" s="1263"/>
    </row>
    <row r="157" spans="1:9">
      <c r="A157" s="53">
        <v>2005.04</v>
      </c>
      <c r="B157" s="480">
        <v>116.54519048214907</v>
      </c>
      <c r="C157" s="3534">
        <v>108.09171265598521</v>
      </c>
      <c r="D157" s="3534">
        <v>107.10707651506442</v>
      </c>
      <c r="E157" s="1604">
        <f t="shared" si="2"/>
        <v>119.82465833189018</v>
      </c>
      <c r="F157" s="1192">
        <v>129.0099432747445</v>
      </c>
      <c r="G157" s="217">
        <v>108.28370936358859</v>
      </c>
      <c r="H157" s="1264"/>
      <c r="I157" s="1263"/>
    </row>
    <row r="158" spans="1:9">
      <c r="A158" s="53">
        <v>2005.05</v>
      </c>
      <c r="B158" s="480">
        <v>126.66194335502726</v>
      </c>
      <c r="C158" s="3534">
        <v>109.21123066209465</v>
      </c>
      <c r="D158" s="3534">
        <v>107.70439947744492</v>
      </c>
      <c r="E158" s="1604">
        <f t="shared" si="2"/>
        <v>120.49290568033656</v>
      </c>
      <c r="F158" s="1192">
        <v>134.84397513513838</v>
      </c>
      <c r="G158" s="217">
        <v>108.91075780251332</v>
      </c>
      <c r="H158" s="1264"/>
      <c r="I158" s="1263"/>
    </row>
    <row r="159" spans="1:9">
      <c r="A159" s="53">
        <v>2005.06</v>
      </c>
      <c r="B159" s="480">
        <v>116.50222321492875</v>
      </c>
      <c r="C159" s="3534">
        <v>108.65110028754439</v>
      </c>
      <c r="D159" s="3534">
        <v>108.27729803140883</v>
      </c>
      <c r="E159" s="1604">
        <f t="shared" si="2"/>
        <v>121.1338285373609</v>
      </c>
      <c r="F159" s="1192">
        <v>132.73413534885702</v>
      </c>
      <c r="G159" s="217">
        <v>109.41448311908648</v>
      </c>
      <c r="H159" s="1264"/>
      <c r="I159" s="1263"/>
    </row>
    <row r="160" spans="1:9">
      <c r="A160" s="53">
        <v>2005.07</v>
      </c>
      <c r="B160" s="480">
        <v>107.58113926245956</v>
      </c>
      <c r="C160" s="3534">
        <v>109.16313871432334</v>
      </c>
      <c r="D160" s="3534">
        <v>108.84052540025012</v>
      </c>
      <c r="E160" s="1604">
        <f t="shared" si="2"/>
        <v>121.76393188095355</v>
      </c>
      <c r="F160" s="1192">
        <v>127.78357565101183</v>
      </c>
      <c r="G160" s="217">
        <v>110.07273401372849</v>
      </c>
      <c r="H160" s="1264"/>
      <c r="I160" s="1263"/>
    </row>
    <row r="161" spans="1:9">
      <c r="A161" s="53">
        <v>2005.08</v>
      </c>
      <c r="B161" s="480">
        <v>105.82089279310111</v>
      </c>
      <c r="C161" s="3534">
        <v>109.36098030525407</v>
      </c>
      <c r="D161" s="3534">
        <v>109.40849789560589</v>
      </c>
      <c r="E161" s="1604">
        <f t="shared" si="2"/>
        <v>122.39934377354072</v>
      </c>
      <c r="F161" s="1192">
        <v>129.2417460544174</v>
      </c>
      <c r="G161" s="217">
        <v>110.9736468053128</v>
      </c>
      <c r="H161" s="1264"/>
      <c r="I161" s="1263"/>
    </row>
    <row r="162" spans="1:9">
      <c r="A162" s="53">
        <v>2005.09</v>
      </c>
      <c r="B162" s="480">
        <v>104.89213472672316</v>
      </c>
      <c r="C162" s="3534">
        <v>109.29613670824033</v>
      </c>
      <c r="D162" s="3534">
        <v>109.99527318973574</v>
      </c>
      <c r="E162" s="1604">
        <f t="shared" si="2"/>
        <v>123.05579105437762</v>
      </c>
      <c r="F162" s="1192">
        <v>128.52680527296226</v>
      </c>
      <c r="G162" s="217">
        <v>111.99444327950022</v>
      </c>
      <c r="H162" s="1264"/>
      <c r="I162" s="1263"/>
    </row>
    <row r="163" spans="1:9">
      <c r="A163" s="53">
        <v>2005.1</v>
      </c>
      <c r="B163" s="480">
        <v>104.46066538498441</v>
      </c>
      <c r="C163" s="3534">
        <v>109.91166275925059</v>
      </c>
      <c r="D163" s="3534">
        <v>110.61220277856708</v>
      </c>
      <c r="E163" s="1604">
        <f t="shared" si="2"/>
        <v>123.74597306290394</v>
      </c>
      <c r="F163" s="1192">
        <v>128.3650253626702</v>
      </c>
      <c r="G163" s="217">
        <v>113.0855602741599</v>
      </c>
      <c r="H163" s="1264"/>
      <c r="I163" s="1263"/>
    </row>
    <row r="164" spans="1:9">
      <c r="A164" s="53">
        <v>2005.11</v>
      </c>
      <c r="B164" s="480">
        <v>108.00375438454834</v>
      </c>
      <c r="C164" s="3534">
        <v>111.12979085329617</v>
      </c>
      <c r="D164" s="3534">
        <v>111.26942596227582</v>
      </c>
      <c r="E164" s="1604">
        <f t="shared" si="2"/>
        <v>124.48123301022049</v>
      </c>
      <c r="F164" s="1192">
        <v>130.78840314665152</v>
      </c>
      <c r="G164" s="217">
        <v>114.00920553918051</v>
      </c>
      <c r="H164" s="1264"/>
      <c r="I164" s="1263"/>
    </row>
    <row r="165" spans="1:9">
      <c r="A165" s="53">
        <v>2005.12</v>
      </c>
      <c r="B165" s="480">
        <v>110.50332389924424</v>
      </c>
      <c r="C165" s="3534">
        <v>112.97353517462746</v>
      </c>
      <c r="D165" s="3534">
        <v>111.97207800975973</v>
      </c>
      <c r="E165" s="1604">
        <f t="shared" si="2"/>
        <v>125.26731591207358</v>
      </c>
      <c r="F165" s="1192">
        <v>128.61954925575017</v>
      </c>
      <c r="G165" s="217">
        <v>114.76718980802738</v>
      </c>
      <c r="H165" s="1264"/>
      <c r="I165" s="1263"/>
    </row>
    <row r="166" spans="1:9">
      <c r="A166" s="53">
        <v>2006.01</v>
      </c>
      <c r="B166" s="480">
        <v>106.53094787692405</v>
      </c>
      <c r="C166" s="3534">
        <v>113.86805327202686</v>
      </c>
      <c r="D166" s="3534">
        <v>112.71868433847763</v>
      </c>
      <c r="E166" s="1604">
        <f t="shared" si="2"/>
        <v>126.10257209829268</v>
      </c>
      <c r="F166" s="1192">
        <v>126.41972664790062</v>
      </c>
      <c r="G166" s="217">
        <v>115.5334028659734</v>
      </c>
      <c r="H166" s="1264"/>
      <c r="I166" s="1263"/>
    </row>
    <row r="167" spans="1:9">
      <c r="A167" s="53">
        <v>2006.02</v>
      </c>
      <c r="B167" s="480">
        <v>104.0901370432872</v>
      </c>
      <c r="C167" s="3534">
        <v>114.7382766029572</v>
      </c>
      <c r="D167" s="3534">
        <v>113.50455674302881</v>
      </c>
      <c r="E167" s="1604">
        <f t="shared" si="2"/>
        <v>126.98175669964404</v>
      </c>
      <c r="F167" s="1192">
        <v>121.81184780628678</v>
      </c>
      <c r="G167" s="217">
        <v>116.34643144501648</v>
      </c>
      <c r="H167" s="1264"/>
      <c r="I167" s="1263"/>
    </row>
    <row r="168" spans="1:9">
      <c r="A168" s="53">
        <v>2006.03</v>
      </c>
      <c r="B168" s="480">
        <v>118.58827645043104</v>
      </c>
      <c r="C168" s="3534">
        <v>114.27456384538054</v>
      </c>
      <c r="D168" s="3534">
        <v>114.32286685710595</v>
      </c>
      <c r="E168" s="1604">
        <f t="shared" si="2"/>
        <v>127.89723056952445</v>
      </c>
      <c r="F168" s="1192">
        <v>134.24828782891416</v>
      </c>
      <c r="G168" s="217">
        <v>117.11581942405306</v>
      </c>
      <c r="H168" s="1264"/>
      <c r="I168" s="1263"/>
    </row>
    <row r="169" spans="1:9">
      <c r="A169" s="53">
        <v>2006.04</v>
      </c>
      <c r="B169" s="480">
        <v>122.08710730131627</v>
      </c>
      <c r="C169" s="3534">
        <v>115.77011053210441</v>
      </c>
      <c r="D169" s="3534">
        <v>115.16573251753411</v>
      </c>
      <c r="E169" s="1604">
        <f t="shared" si="2"/>
        <v>128.84017563969712</v>
      </c>
      <c r="F169" s="1192">
        <v>137.22617646283285</v>
      </c>
      <c r="G169" s="217">
        <v>117.50374153778306</v>
      </c>
      <c r="H169" s="1264"/>
      <c r="I169" s="1263"/>
    </row>
    <row r="170" spans="1:9">
      <c r="A170" s="53">
        <v>2006.05</v>
      </c>
      <c r="B170" s="480">
        <v>133.37101567477424</v>
      </c>
      <c r="C170" s="3534">
        <v>115.00686025755793</v>
      </c>
      <c r="D170" s="3534">
        <v>116.02669577730714</v>
      </c>
      <c r="E170" s="1604">
        <f t="shared" si="2"/>
        <v>129.80336716536726</v>
      </c>
      <c r="F170" s="1192">
        <v>144.08010374070111</v>
      </c>
      <c r="G170" s="217">
        <v>117.74067846848052</v>
      </c>
      <c r="H170" s="1264"/>
      <c r="I170" s="1263"/>
    </row>
    <row r="171" spans="1:9">
      <c r="A171" s="53">
        <v>2006.06</v>
      </c>
      <c r="B171" s="480">
        <v>124.29274775102324</v>
      </c>
      <c r="C171" s="3534">
        <v>116.24816583932939</v>
      </c>
      <c r="D171" s="3534">
        <v>116.8992285117268</v>
      </c>
      <c r="E171" s="1604">
        <f t="shared" si="2"/>
        <v>130.77950189135356</v>
      </c>
      <c r="F171" s="1192">
        <v>142.55231670039291</v>
      </c>
      <c r="G171" s="217">
        <v>118.19126383671927</v>
      </c>
      <c r="H171" s="1264"/>
      <c r="I171" s="1263"/>
    </row>
    <row r="172" spans="1:9">
      <c r="A172" s="53">
        <v>2006.07</v>
      </c>
      <c r="B172" s="480">
        <v>117.04563185352679</v>
      </c>
      <c r="C172" s="3534">
        <v>118.17065867875864</v>
      </c>
      <c r="D172" s="3534">
        <v>117.7776408905317</v>
      </c>
      <c r="E172" s="1604">
        <f t="shared" si="2"/>
        <v>131.76221439354754</v>
      </c>
      <c r="F172" s="1192">
        <v>139.89564373659906</v>
      </c>
      <c r="G172" s="217">
        <v>118.90857276069312</v>
      </c>
      <c r="H172" s="1264"/>
      <c r="I172" s="1263"/>
    </row>
    <row r="173" spans="1:9">
      <c r="A173" s="53">
        <v>2006.08</v>
      </c>
      <c r="B173" s="480">
        <v>116.30360797574892</v>
      </c>
      <c r="C173" s="3534">
        <v>118.8461227096</v>
      </c>
      <c r="D173" s="3534">
        <v>118.66186457823324</v>
      </c>
      <c r="E173" s="1604">
        <f t="shared" si="2"/>
        <v>132.75142822250399</v>
      </c>
      <c r="F173" s="1192">
        <v>140.57128863942538</v>
      </c>
      <c r="G173" s="217">
        <v>119.84710898560539</v>
      </c>
      <c r="H173" s="1264"/>
      <c r="I173" s="1263"/>
    </row>
    <row r="174" spans="1:9">
      <c r="A174" s="53">
        <v>2006.09</v>
      </c>
      <c r="B174" s="480">
        <v>114.80248033323909</v>
      </c>
      <c r="C174" s="3534">
        <v>119.86038751596506</v>
      </c>
      <c r="D174" s="3534">
        <v>119.55358840552543</v>
      </c>
      <c r="E174" s="1604">
        <f t="shared" si="2"/>
        <v>133.74903273574702</v>
      </c>
      <c r="F174" s="1192">
        <v>139.66031985883515</v>
      </c>
      <c r="G174" s="217">
        <v>120.78861157812294</v>
      </c>
      <c r="H174" s="1264"/>
      <c r="I174" s="1263"/>
    </row>
    <row r="175" spans="1:9">
      <c r="A175" s="53">
        <v>2006.1</v>
      </c>
      <c r="B175" s="480">
        <v>116.47750825324563</v>
      </c>
      <c r="C175" s="3534">
        <v>120.60688861616561</v>
      </c>
      <c r="D175" s="3534">
        <v>120.45332959554651</v>
      </c>
      <c r="E175" s="1604">
        <f t="shared" si="2"/>
        <v>134.75560656998138</v>
      </c>
      <c r="F175" s="1192">
        <v>140.5219452083775</v>
      </c>
      <c r="G175" s="217">
        <v>121.5012396008631</v>
      </c>
      <c r="H175" s="1264"/>
      <c r="I175" s="1263"/>
    </row>
    <row r="176" spans="1:9">
      <c r="A176" s="53">
        <v>2006.11</v>
      </c>
      <c r="B176" s="480">
        <v>118.14078229406633</v>
      </c>
      <c r="C176" s="3534">
        <v>120.64674221117239</v>
      </c>
      <c r="D176" s="3534">
        <v>121.36375998705819</v>
      </c>
      <c r="E176" s="1604">
        <f t="shared" si="2"/>
        <v>135.77413881030924</v>
      </c>
      <c r="F176" s="1192">
        <v>142.92761457410944</v>
      </c>
      <c r="G176" s="217">
        <v>122.27037669898961</v>
      </c>
      <c r="H176" s="1264"/>
      <c r="I176" s="1263"/>
    </row>
    <row r="177" spans="1:9">
      <c r="A177" s="53">
        <v>2006.12</v>
      </c>
      <c r="B177" s="480">
        <v>119.60317208093002</v>
      </c>
      <c r="C177" s="3534">
        <v>123.29658478558655</v>
      </c>
      <c r="D177" s="3534">
        <v>122.28286367067261</v>
      </c>
      <c r="E177" s="1604">
        <f t="shared" si="2"/>
        <v>136.80237418414274</v>
      </c>
      <c r="F177" s="1192">
        <v>138.96187406665049</v>
      </c>
      <c r="G177" s="217">
        <v>123.18495330279872</v>
      </c>
      <c r="H177" s="1265"/>
      <c r="I177" s="1263"/>
    </row>
    <row r="178" spans="1:9">
      <c r="A178" s="53">
        <v>2007.01</v>
      </c>
      <c r="B178" s="480">
        <v>114.70176482722367</v>
      </c>
      <c r="C178" s="3534">
        <v>122.07327916394652</v>
      </c>
      <c r="D178" s="3534">
        <v>123.20685388674666</v>
      </c>
      <c r="E178" s="1604">
        <f t="shared" si="2"/>
        <v>137.83607630304533</v>
      </c>
      <c r="F178" s="1192">
        <v>135.29425851866509</v>
      </c>
      <c r="G178" s="217">
        <v>124.14139787781757</v>
      </c>
      <c r="H178" s="1264"/>
      <c r="I178" s="1263"/>
    </row>
    <row r="179" spans="1:9">
      <c r="A179" s="53">
        <v>2007.02</v>
      </c>
      <c r="B179" s="480">
        <v>112.74324828605302</v>
      </c>
      <c r="C179" s="3534">
        <v>124.63562935012907</v>
      </c>
      <c r="D179" s="3534">
        <v>124.13391082640764</v>
      </c>
      <c r="E179" s="1604">
        <f t="shared" si="2"/>
        <v>138.87320927934741</v>
      </c>
      <c r="F179" s="1192">
        <v>130.61486108628864</v>
      </c>
      <c r="G179" s="217">
        <v>125.27141204513514</v>
      </c>
      <c r="H179" s="1264"/>
      <c r="I179" s="1263"/>
    </row>
    <row r="180" spans="1:9">
      <c r="A180" s="53">
        <v>2007.03</v>
      </c>
      <c r="B180" s="480">
        <v>129.28276498944658</v>
      </c>
      <c r="C180" s="3534">
        <v>126.49103209445823</v>
      </c>
      <c r="D180" s="3534">
        <v>125.06212128512782</v>
      </c>
      <c r="E180" s="1604">
        <f t="shared" si="2"/>
        <v>139.91163274019678</v>
      </c>
      <c r="F180" s="1192">
        <v>144.2585535765563</v>
      </c>
      <c r="G180" s="217">
        <v>126.1924143403094</v>
      </c>
      <c r="H180" s="1264"/>
      <c r="I180" s="1263"/>
    </row>
    <row r="181" spans="1:9">
      <c r="A181" s="53">
        <v>2007.04</v>
      </c>
      <c r="B181" s="480">
        <v>133.46308313008805</v>
      </c>
      <c r="C181" s="3534">
        <v>125.36718401385426</v>
      </c>
      <c r="D181" s="3534">
        <v>125.98918539355972</v>
      </c>
      <c r="E181" s="1604">
        <f t="shared" si="2"/>
        <v>140.94877373646875</v>
      </c>
      <c r="F181" s="1192">
        <v>149.90771319883089</v>
      </c>
      <c r="G181" s="217">
        <v>126.83514172390957</v>
      </c>
      <c r="H181" s="1264"/>
      <c r="I181" s="1263"/>
    </row>
    <row r="182" spans="1:9">
      <c r="A182" s="53">
        <v>2007.05</v>
      </c>
      <c r="B182" s="480">
        <v>147.60791074167543</v>
      </c>
      <c r="C182" s="3534">
        <v>127.20881399310551</v>
      </c>
      <c r="D182" s="3534">
        <v>126.91178785337362</v>
      </c>
      <c r="E182" s="1604">
        <f t="shared" si="2"/>
        <v>141.98092332098116</v>
      </c>
      <c r="F182" s="1192">
        <v>157.23565382195972</v>
      </c>
      <c r="G182" s="217">
        <v>127.6195182105205</v>
      </c>
      <c r="H182" s="1264"/>
      <c r="I182" s="1263"/>
    </row>
    <row r="183" spans="1:9">
      <c r="A183" s="53">
        <v>2007.06</v>
      </c>
      <c r="B183" s="480">
        <v>136.12098630494512</v>
      </c>
      <c r="C183" s="3534">
        <v>128.40982047406217</v>
      </c>
      <c r="D183" s="3534">
        <v>127.83072321697567</v>
      </c>
      <c r="E183" s="1604">
        <f t="shared" si="2"/>
        <v>143.00897038897503</v>
      </c>
      <c r="F183" s="1192">
        <v>154.25439406948951</v>
      </c>
      <c r="G183" s="217">
        <v>128.3168325943027</v>
      </c>
      <c r="H183" s="1264"/>
      <c r="I183" s="1263"/>
    </row>
    <row r="184" spans="1:9">
      <c r="A184" s="53">
        <v>2007.07</v>
      </c>
      <c r="B184" s="480">
        <v>127.38755189795539</v>
      </c>
      <c r="C184" s="3534">
        <v>127.78147136424245</v>
      </c>
      <c r="D184" s="3534">
        <v>128.74378521031653</v>
      </c>
      <c r="E184" s="1604">
        <f t="shared" si="2"/>
        <v>144.03044669985647</v>
      </c>
      <c r="F184" s="1192">
        <v>149.30389042239716</v>
      </c>
      <c r="G184" s="217">
        <v>128.80509099942222</v>
      </c>
      <c r="H184" s="1264"/>
      <c r="I184" s="1263"/>
    </row>
    <row r="185" spans="1:9">
      <c r="A185" s="53">
        <v>2007.08</v>
      </c>
      <c r="B185" s="480">
        <v>126.59522767863001</v>
      </c>
      <c r="C185" s="3534">
        <v>128.73327580823883</v>
      </c>
      <c r="D185" s="3534">
        <v>129.64695715888001</v>
      </c>
      <c r="E185" s="1604">
        <f t="shared" si="2"/>
        <v>145.04085865089451</v>
      </c>
      <c r="F185" s="1192">
        <v>153.03316647597615</v>
      </c>
      <c r="G185" s="217">
        <v>129.66969666771757</v>
      </c>
      <c r="H185" s="1264"/>
      <c r="I185" s="1263"/>
    </row>
    <row r="186" spans="1:9">
      <c r="A186" s="53">
        <v>2007.09</v>
      </c>
      <c r="B186" s="480">
        <v>123.5104632944452</v>
      </c>
      <c r="C186" s="3534">
        <v>129.64934400943449</v>
      </c>
      <c r="D186" s="3534">
        <v>130.53391544189341</v>
      </c>
      <c r="E186" s="1604">
        <f t="shared" si="2"/>
        <v>146.03313177303289</v>
      </c>
      <c r="F186" s="1192">
        <v>151.55376024908887</v>
      </c>
      <c r="G186" s="217">
        <v>130.54156538019657</v>
      </c>
      <c r="H186" s="1264"/>
      <c r="I186" s="1263"/>
    </row>
    <row r="187" spans="1:9">
      <c r="A187" s="53">
        <v>2007.1</v>
      </c>
      <c r="B187" s="480">
        <v>128.41538266104467</v>
      </c>
      <c r="C187" s="3534">
        <v>131.25690973841688</v>
      </c>
      <c r="D187" s="3534">
        <v>131.39281684103815</v>
      </c>
      <c r="E187" s="1604">
        <f t="shared" si="2"/>
        <v>146.99401661875854</v>
      </c>
      <c r="F187" s="1192">
        <v>155.06042309798488</v>
      </c>
      <c r="G187" s="217">
        <v>131.23482759648306</v>
      </c>
      <c r="H187" s="1264"/>
      <c r="I187" s="1263"/>
    </row>
    <row r="188" spans="1:9">
      <c r="A188" s="53">
        <v>2007.11</v>
      </c>
      <c r="B188" s="480">
        <v>129.73508945617357</v>
      </c>
      <c r="C188" s="3534">
        <v>132.69668297831936</v>
      </c>
      <c r="D188" s="3534">
        <v>132.20638742581738</v>
      </c>
      <c r="E188" s="1604">
        <f t="shared" si="2"/>
        <v>147.90418820145817</v>
      </c>
      <c r="F188" s="1192">
        <v>156.59831285814724</v>
      </c>
      <c r="G188" s="217">
        <v>132.21388849624236</v>
      </c>
      <c r="H188" s="1264"/>
      <c r="I188" s="1263"/>
    </row>
    <row r="189" spans="1:9">
      <c r="A189" s="53">
        <v>2007.12</v>
      </c>
      <c r="B189" s="480">
        <v>128.89792837498598</v>
      </c>
      <c r="C189" s="3534">
        <v>134.15795863057119</v>
      </c>
      <c r="D189" s="3534">
        <v>132.94994581006372</v>
      </c>
      <c r="E189" s="1604">
        <f t="shared" si="2"/>
        <v>148.7360345391705</v>
      </c>
      <c r="F189" s="1192">
        <v>151.71476507215644</v>
      </c>
      <c r="G189" s="217">
        <v>133.11100377272732</v>
      </c>
      <c r="H189" s="1265"/>
      <c r="I189" s="1263"/>
    </row>
    <row r="190" spans="1:9">
      <c r="A190" s="53">
        <f t="shared" ref="A190:A253" si="3">A178+1</f>
        <v>2008.01</v>
      </c>
      <c r="B190" s="480">
        <v>126.22689251081431</v>
      </c>
      <c r="C190" s="3534">
        <v>135.2295251745166</v>
      </c>
      <c r="D190" s="3534">
        <v>133.59273529835909</v>
      </c>
      <c r="E190" s="1604">
        <f t="shared" si="2"/>
        <v>149.45514697618572</v>
      </c>
      <c r="F190" s="1192">
        <v>148.6416380514099</v>
      </c>
      <c r="G190" s="217">
        <v>133.63603742954786</v>
      </c>
      <c r="H190" s="1264"/>
      <c r="I190" s="1263"/>
    </row>
    <row r="191" spans="1:9">
      <c r="A191" s="53">
        <f t="shared" si="3"/>
        <v>2008.02</v>
      </c>
      <c r="B191" s="480">
        <v>122.8249045091645</v>
      </c>
      <c r="C191" s="3534">
        <v>133.47531871120015</v>
      </c>
      <c r="D191" s="3534">
        <v>134.09917451288646</v>
      </c>
      <c r="E191" s="1604">
        <f t="shared" si="2"/>
        <v>150.02171930568142</v>
      </c>
      <c r="F191" s="1192">
        <v>139.71340680672256</v>
      </c>
      <c r="G191" s="217">
        <v>133.85247581085613</v>
      </c>
      <c r="H191" s="1264"/>
      <c r="I191" s="1263"/>
    </row>
    <row r="192" spans="1:9">
      <c r="A192" s="53">
        <f t="shared" si="3"/>
        <v>2008.03</v>
      </c>
      <c r="B192" s="480">
        <v>132.33412728743554</v>
      </c>
      <c r="C192" s="3534">
        <v>133.26355263160539</v>
      </c>
      <c r="D192" s="3534">
        <v>134.43195821499214</v>
      </c>
      <c r="E192" s="1604">
        <f t="shared" si="2"/>
        <v>150.39401677379149</v>
      </c>
      <c r="F192" s="1192">
        <v>144.78593258162638</v>
      </c>
      <c r="G192" s="217">
        <v>134.03369509401242</v>
      </c>
      <c r="H192" s="1264"/>
      <c r="I192" s="1263"/>
    </row>
    <row r="193" spans="1:9">
      <c r="A193" s="53">
        <f t="shared" si="3"/>
        <v>2008.04</v>
      </c>
      <c r="B193" s="480">
        <v>145.28049855207212</v>
      </c>
      <c r="C193" s="3534">
        <v>135.86243112112666</v>
      </c>
      <c r="D193" s="3534">
        <v>134.55691314488303</v>
      </c>
      <c r="E193" s="1604">
        <f t="shared" si="2"/>
        <v>150.53380848754401</v>
      </c>
      <c r="F193" s="1192">
        <v>160.4323578200908</v>
      </c>
      <c r="G193" s="217">
        <v>134.52220035339755</v>
      </c>
      <c r="H193" s="1264"/>
      <c r="I193" s="1263"/>
    </row>
    <row r="194" spans="1:9">
      <c r="A194" s="53">
        <f t="shared" si="3"/>
        <v>2008.05</v>
      </c>
      <c r="B194" s="480">
        <v>154.15616391286648</v>
      </c>
      <c r="C194" s="3534">
        <v>134.91243660114989</v>
      </c>
      <c r="D194" s="3534">
        <v>134.44421238647612</v>
      </c>
      <c r="E194" s="1604">
        <f t="shared" si="2"/>
        <v>150.40772596985011</v>
      </c>
      <c r="F194" s="1192">
        <v>163.85589339868622</v>
      </c>
      <c r="G194" s="217">
        <v>134.51692245641433</v>
      </c>
      <c r="H194" s="1264"/>
      <c r="I194" s="1263"/>
    </row>
    <row r="195" spans="1:9">
      <c r="A195" s="53">
        <f t="shared" si="3"/>
        <v>2008.06</v>
      </c>
      <c r="B195" s="480">
        <v>140.50348421669764</v>
      </c>
      <c r="C195" s="3534">
        <v>133.3361313233309</v>
      </c>
      <c r="D195" s="3534">
        <v>134.07540861023153</v>
      </c>
      <c r="E195" s="1604">
        <f t="shared" si="2"/>
        <v>149.99513150907418</v>
      </c>
      <c r="F195" s="1192">
        <v>155.15158678507618</v>
      </c>
      <c r="G195" s="217">
        <v>133.99842024148043</v>
      </c>
      <c r="H195" s="1264"/>
      <c r="I195" s="1263"/>
    </row>
    <row r="196" spans="1:9">
      <c r="A196" s="53">
        <f t="shared" si="3"/>
        <v>2008.07</v>
      </c>
      <c r="B196" s="480">
        <v>136.63868805371584</v>
      </c>
      <c r="C196" s="3534">
        <v>135.23192625861927</v>
      </c>
      <c r="D196" s="3534">
        <v>133.44941489259719</v>
      </c>
      <c r="E196" s="1604">
        <f t="shared" si="2"/>
        <v>149.29480912353233</v>
      </c>
      <c r="F196" s="1192">
        <v>161.03061466908193</v>
      </c>
      <c r="G196" s="217">
        <v>134.02580498578385</v>
      </c>
      <c r="H196" s="1264"/>
      <c r="I196" s="1263"/>
    </row>
    <row r="197" spans="1:9">
      <c r="A197" s="53">
        <f t="shared" si="3"/>
        <v>2008.08</v>
      </c>
      <c r="B197" s="480">
        <v>131.34092143552698</v>
      </c>
      <c r="C197" s="3534">
        <v>135.57898458504536</v>
      </c>
      <c r="D197" s="3534">
        <v>132.58511972159926</v>
      </c>
      <c r="E197" s="1604">
        <f t="shared" si="2"/>
        <v>148.32789006521816</v>
      </c>
      <c r="F197" s="1192">
        <v>155.9772920559526</v>
      </c>
      <c r="G197" s="217">
        <v>133.60429732611837</v>
      </c>
      <c r="H197" s="1264"/>
      <c r="I197" s="1263"/>
    </row>
    <row r="198" spans="1:9">
      <c r="A198" s="53">
        <f t="shared" si="3"/>
        <v>2008.09</v>
      </c>
      <c r="B198" s="480">
        <v>132.18593848988462</v>
      </c>
      <c r="C198" s="3534">
        <v>135.91431061795959</v>
      </c>
      <c r="D198" s="3534">
        <v>131.5190286506392</v>
      </c>
      <c r="E198" s="1604">
        <f t="shared" si="2"/>
        <v>147.13521445045146</v>
      </c>
      <c r="F198" s="1192">
        <v>160.58978113039149</v>
      </c>
      <c r="G198" s="217">
        <v>132.76637538032872</v>
      </c>
      <c r="H198" s="1264"/>
      <c r="I198" s="1263"/>
    </row>
    <row r="199" spans="1:9">
      <c r="A199" s="53">
        <f t="shared" si="3"/>
        <v>2008.1</v>
      </c>
      <c r="B199" s="480">
        <v>130.39517884255912</v>
      </c>
      <c r="C199" s="3534">
        <v>132.50707238101344</v>
      </c>
      <c r="D199" s="3534">
        <v>130.30604848120709</v>
      </c>
      <c r="E199" s="1604">
        <f t="shared" si="2"/>
        <v>145.77820855415928</v>
      </c>
      <c r="F199" s="1192">
        <v>154.15100564170871</v>
      </c>
      <c r="G199" s="217">
        <v>131.95068170223624</v>
      </c>
      <c r="H199" s="1264"/>
      <c r="I199" s="1263"/>
    </row>
    <row r="200" spans="1:9">
      <c r="A200" s="53">
        <f t="shared" si="3"/>
        <v>2008.11</v>
      </c>
      <c r="B200" s="480">
        <v>125.52756329262156</v>
      </c>
      <c r="C200" s="3534">
        <v>130.39569113916446</v>
      </c>
      <c r="D200" s="3534">
        <v>129.01596790334139</v>
      </c>
      <c r="E200" s="1604">
        <f t="shared" si="2"/>
        <v>144.33494757185039</v>
      </c>
      <c r="F200" s="1192">
        <v>147.12515588118319</v>
      </c>
      <c r="G200" s="217">
        <v>130.44843074102377</v>
      </c>
      <c r="H200" s="1264"/>
      <c r="I200" s="1263"/>
    </row>
    <row r="201" spans="1:9">
      <c r="A201" s="53">
        <f t="shared" si="3"/>
        <v>2008.12</v>
      </c>
      <c r="B201" s="480">
        <v>123.46600579407662</v>
      </c>
      <c r="C201" s="3534">
        <v>125.17298632784842</v>
      </c>
      <c r="D201" s="3534">
        <v>127.72648887492937</v>
      </c>
      <c r="E201" s="1604">
        <f t="shared" si="2"/>
        <v>142.89235956522251</v>
      </c>
      <c r="F201" s="1192">
        <v>143.2524957468502</v>
      </c>
      <c r="G201" s="217">
        <v>128.56898927504602</v>
      </c>
      <c r="H201" s="1265"/>
      <c r="I201" s="1263"/>
    </row>
    <row r="202" spans="1:9">
      <c r="A202" s="53">
        <f t="shared" si="3"/>
        <v>2009.01</v>
      </c>
      <c r="B202" s="480">
        <v>116.75841920206521</v>
      </c>
      <c r="C202" s="3534">
        <v>124.35215106975907</v>
      </c>
      <c r="D202" s="3534">
        <v>126.52397541373377</v>
      </c>
      <c r="E202" s="1604">
        <f t="shared" ref="E202:E265" si="4">D202*$E$9</f>
        <v>141.54706316356973</v>
      </c>
      <c r="F202" s="1192">
        <v>138.70146205886041</v>
      </c>
      <c r="G202" s="217">
        <v>127.38489498563575</v>
      </c>
      <c r="H202" s="1264"/>
      <c r="I202" s="1263"/>
    </row>
    <row r="203" spans="1:9">
      <c r="A203" s="53">
        <f t="shared" si="3"/>
        <v>2009.02</v>
      </c>
      <c r="B203" s="480">
        <v>114.85886148592792</v>
      </c>
      <c r="C203" s="3534">
        <v>126.2420555073399</v>
      </c>
      <c r="D203" s="3534">
        <v>125.49105962450692</v>
      </c>
      <c r="E203" s="1604">
        <f t="shared" si="4"/>
        <v>140.39150196671162</v>
      </c>
      <c r="F203" s="1192">
        <v>130.0216727412519</v>
      </c>
      <c r="G203" s="217">
        <v>126.66941644684439</v>
      </c>
      <c r="H203" s="1264"/>
      <c r="I203" s="1263"/>
    </row>
    <row r="204" spans="1:9">
      <c r="A204" s="53">
        <f t="shared" si="3"/>
        <v>2009.03</v>
      </c>
      <c r="B204" s="480">
        <v>126.16560261026108</v>
      </c>
      <c r="C204" s="3534">
        <v>123.50680484470266</v>
      </c>
      <c r="D204" s="3534">
        <v>124.69836592668929</v>
      </c>
      <c r="E204" s="1604">
        <f t="shared" si="4"/>
        <v>139.50468613163017</v>
      </c>
      <c r="F204" s="1192">
        <v>142.64505074643321</v>
      </c>
      <c r="G204" s="217">
        <v>126.21173027252659</v>
      </c>
      <c r="H204" s="1264"/>
      <c r="I204" s="1263"/>
    </row>
    <row r="205" spans="1:9">
      <c r="A205" s="53">
        <f t="shared" si="3"/>
        <v>2009.04</v>
      </c>
      <c r="B205" s="480">
        <v>127.99055887450351</v>
      </c>
      <c r="C205" s="3534">
        <v>121.66692881874165</v>
      </c>
      <c r="D205" s="3534">
        <v>124.19924205046702</v>
      </c>
      <c r="E205" s="1604">
        <f t="shared" si="4"/>
        <v>138.94629774236992</v>
      </c>
      <c r="F205" s="1192">
        <v>148.73529744456442</v>
      </c>
      <c r="G205" s="217">
        <v>126.06481661118625</v>
      </c>
      <c r="H205" s="1264"/>
      <c r="I205" s="1263"/>
    </row>
    <row r="206" spans="1:9">
      <c r="A206" s="53">
        <f t="shared" si="3"/>
        <v>2009.05</v>
      </c>
      <c r="B206" s="480">
        <v>133.03567047814315</v>
      </c>
      <c r="C206" s="3534">
        <v>121.01287817011091</v>
      </c>
      <c r="D206" s="3534">
        <v>124.02287226906883</v>
      </c>
      <c r="E206" s="1604">
        <f t="shared" si="4"/>
        <v>138.74898632762753</v>
      </c>
      <c r="F206" s="1192">
        <v>150.51533163411526</v>
      </c>
      <c r="G206" s="217">
        <v>125.84622614981667</v>
      </c>
      <c r="H206" s="1264"/>
      <c r="I206" s="1263"/>
    </row>
    <row r="207" spans="1:9">
      <c r="A207" s="53">
        <f t="shared" si="3"/>
        <v>2009.06</v>
      </c>
      <c r="B207" s="480">
        <v>129.31265804805898</v>
      </c>
      <c r="C207" s="3534">
        <v>122.50914229236481</v>
      </c>
      <c r="D207" s="3534">
        <v>124.17491434767045</v>
      </c>
      <c r="E207" s="1604">
        <f t="shared" si="4"/>
        <v>138.9190814391111</v>
      </c>
      <c r="F207" s="1192">
        <v>150.59024081452321</v>
      </c>
      <c r="G207" s="217">
        <v>126.16206759555602</v>
      </c>
      <c r="H207" s="1264"/>
      <c r="I207" s="1263"/>
    </row>
    <row r="208" spans="1:9">
      <c r="A208" s="53">
        <f t="shared" si="3"/>
        <v>2009.07</v>
      </c>
      <c r="B208" s="480">
        <v>127.36305837501411</v>
      </c>
      <c r="C208" s="3534">
        <v>124.66149573999975</v>
      </c>
      <c r="D208" s="3534">
        <v>124.63892173986056</v>
      </c>
      <c r="E208" s="1604">
        <f t="shared" si="4"/>
        <v>139.43818371546567</v>
      </c>
      <c r="F208" s="1192">
        <v>153.46279131458434</v>
      </c>
      <c r="G208" s="217">
        <v>127.15365007828893</v>
      </c>
      <c r="H208" s="1264"/>
      <c r="I208" s="1263"/>
    </row>
    <row r="209" spans="1:9">
      <c r="A209" s="53">
        <f t="shared" si="3"/>
        <v>2009.08</v>
      </c>
      <c r="B209" s="480">
        <v>124.00328620894652</v>
      </c>
      <c r="C209" s="3534">
        <v>126.73976778776749</v>
      </c>
      <c r="D209" s="3534">
        <v>125.380546316988</v>
      </c>
      <c r="E209" s="1604">
        <f t="shared" si="4"/>
        <v>140.26786663144301</v>
      </c>
      <c r="F209" s="1192">
        <v>150.66802195073348</v>
      </c>
      <c r="G209" s="217">
        <v>127.96906291181075</v>
      </c>
      <c r="H209" s="1264"/>
      <c r="I209" s="1263"/>
    </row>
    <row r="210" spans="1:9">
      <c r="A210" s="53">
        <f t="shared" si="3"/>
        <v>2009.09</v>
      </c>
      <c r="B210" s="480">
        <v>126.18512812472765</v>
      </c>
      <c r="C210" s="3534">
        <v>128.17884193461924</v>
      </c>
      <c r="D210" s="3534">
        <v>126.35495092617366</v>
      </c>
      <c r="E210" s="1604">
        <f t="shared" si="4"/>
        <v>141.35796920142838</v>
      </c>
      <c r="F210" s="1192">
        <v>151.81494701715715</v>
      </c>
      <c r="G210" s="217">
        <v>128.73385581128909</v>
      </c>
      <c r="H210" s="1264"/>
      <c r="I210" s="1263"/>
    </row>
    <row r="211" spans="1:9">
      <c r="A211" s="53">
        <f t="shared" si="3"/>
        <v>2009.1</v>
      </c>
      <c r="B211" s="480">
        <v>127.07986188269525</v>
      </c>
      <c r="C211" s="3534">
        <v>129.2961607151787</v>
      </c>
      <c r="D211" s="3534">
        <v>127.51053992173931</v>
      </c>
      <c r="E211" s="1604">
        <f t="shared" si="4"/>
        <v>142.65076946328847</v>
      </c>
      <c r="F211" s="1192">
        <v>149.7683078899237</v>
      </c>
      <c r="G211" s="217">
        <v>129.68986917399624</v>
      </c>
      <c r="H211" s="1264"/>
      <c r="I211" s="1263"/>
    </row>
    <row r="212" spans="1:9">
      <c r="A212" s="53">
        <f t="shared" si="3"/>
        <v>2009.11</v>
      </c>
      <c r="B212" s="480">
        <v>127.09219178029132</v>
      </c>
      <c r="C212" s="3534">
        <v>129.83046579539908</v>
      </c>
      <c r="D212" s="3534">
        <v>128.79345132780435</v>
      </c>
      <c r="E212" s="1604">
        <f t="shared" si="4"/>
        <v>144.08601002725072</v>
      </c>
      <c r="F212" s="1192">
        <v>148.53695400289075</v>
      </c>
      <c r="G212" s="217">
        <v>130.35938563186079</v>
      </c>
      <c r="H212" s="1264"/>
      <c r="I212" s="1263"/>
    </row>
    <row r="213" spans="1:9">
      <c r="A213" s="53">
        <f t="shared" si="3"/>
        <v>2009.12</v>
      </c>
      <c r="B213" s="480">
        <v>126.28656380555832</v>
      </c>
      <c r="C213" s="3534">
        <v>128.13516817683751</v>
      </c>
      <c r="D213" s="3534">
        <v>130.15162551866305</v>
      </c>
      <c r="E213" s="1604">
        <f t="shared" si="4"/>
        <v>145.60544985951938</v>
      </c>
      <c r="F213" s="1192">
        <v>145.86392823913701</v>
      </c>
      <c r="G213" s="217">
        <v>130.91553592756196</v>
      </c>
      <c r="H213" s="1265"/>
      <c r="I213" s="1263"/>
    </row>
    <row r="214" spans="1:9">
      <c r="A214" s="53">
        <f t="shared" si="3"/>
        <v>2010.01</v>
      </c>
      <c r="B214" s="480">
        <v>121.50567852923163</v>
      </c>
      <c r="C214" s="3534">
        <v>131.8032199624102</v>
      </c>
      <c r="D214" s="3534">
        <v>131.53768085770758</v>
      </c>
      <c r="E214" s="1604">
        <f t="shared" si="4"/>
        <v>147.15608136617564</v>
      </c>
      <c r="F214" s="1192">
        <v>142.92864119315004</v>
      </c>
      <c r="G214" s="217">
        <v>132.11005337741733</v>
      </c>
      <c r="H214" s="1264"/>
      <c r="I214" s="1263"/>
    </row>
    <row r="215" spans="1:9">
      <c r="A215" s="53">
        <f t="shared" si="3"/>
        <v>2010.02</v>
      </c>
      <c r="B215" s="480">
        <v>119.82280209203972</v>
      </c>
      <c r="C215" s="3534">
        <v>133.28617648019966</v>
      </c>
      <c r="D215" s="3534">
        <v>132.91111448941487</v>
      </c>
      <c r="E215" s="1604">
        <f t="shared" si="4"/>
        <v>148.692592500785</v>
      </c>
      <c r="F215" s="1192">
        <v>136.95675203020971</v>
      </c>
      <c r="G215" s="217">
        <v>133.73767159817041</v>
      </c>
      <c r="H215" s="1264"/>
      <c r="I215" s="1263"/>
    </row>
    <row r="216" spans="1:9">
      <c r="A216" s="53">
        <f t="shared" si="3"/>
        <v>2010.03</v>
      </c>
      <c r="B216" s="480">
        <v>136.89550162046118</v>
      </c>
      <c r="C216" s="3534">
        <v>134.10279775325935</v>
      </c>
      <c r="D216" s="3534">
        <v>134.24132845388769</v>
      </c>
      <c r="E216" s="1604">
        <f t="shared" si="4"/>
        <v>150.18075219095121</v>
      </c>
      <c r="F216" s="1192">
        <v>152.90706721727901</v>
      </c>
      <c r="G216" s="217">
        <v>134.88108782313211</v>
      </c>
      <c r="H216" s="1264"/>
      <c r="I216" s="1263"/>
    </row>
    <row r="217" spans="1:9">
      <c r="A217" s="53">
        <f t="shared" si="3"/>
        <v>2010.04</v>
      </c>
      <c r="B217" s="480">
        <v>145.77413149301782</v>
      </c>
      <c r="C217" s="3534">
        <v>137.02960290436343</v>
      </c>
      <c r="D217" s="3534">
        <v>135.50526404006158</v>
      </c>
      <c r="E217" s="1604">
        <f t="shared" si="4"/>
        <v>151.59476380152392</v>
      </c>
      <c r="F217" s="1192">
        <v>164.12472396462405</v>
      </c>
      <c r="G217" s="217">
        <v>135.70688936651356</v>
      </c>
      <c r="H217" s="1264"/>
      <c r="I217" s="1263"/>
    </row>
    <row r="218" spans="1:9">
      <c r="A218" s="53">
        <f t="shared" si="3"/>
        <v>2010.05</v>
      </c>
      <c r="B218" s="480">
        <v>158.11063153043881</v>
      </c>
      <c r="C218" s="3534">
        <v>139.27326263388895</v>
      </c>
      <c r="D218" s="3534">
        <v>136.68558792334713</v>
      </c>
      <c r="E218" s="1604">
        <f t="shared" si="4"/>
        <v>152.91523589951615</v>
      </c>
      <c r="F218" s="1192">
        <v>165.51462357594033</v>
      </c>
      <c r="G218" s="217">
        <v>136.43526858799547</v>
      </c>
      <c r="H218" s="1264"/>
      <c r="I218" s="1263"/>
    </row>
    <row r="219" spans="1:9">
      <c r="A219" s="53">
        <f t="shared" si="3"/>
        <v>2010.06</v>
      </c>
      <c r="B219" s="480">
        <v>149.86155200805445</v>
      </c>
      <c r="C219" s="3534">
        <v>140.60691717437575</v>
      </c>
      <c r="D219" s="3534">
        <v>137.77254242710598</v>
      </c>
      <c r="E219" s="1604">
        <f t="shared" si="4"/>
        <v>154.13125221023017</v>
      </c>
      <c r="F219" s="1192">
        <v>165.9667108144809</v>
      </c>
      <c r="G219" s="217">
        <v>136.56880811528245</v>
      </c>
      <c r="H219" s="1264"/>
      <c r="I219" s="1263"/>
    </row>
    <row r="220" spans="1:9">
      <c r="A220" s="53">
        <f t="shared" si="3"/>
        <v>2010.07</v>
      </c>
      <c r="B220" s="480">
        <v>139.50568662872732</v>
      </c>
      <c r="C220" s="3534">
        <v>139.42669757071747</v>
      </c>
      <c r="D220" s="3534">
        <v>138.76359899598427</v>
      </c>
      <c r="E220" s="1604">
        <f t="shared" si="4"/>
        <v>155.23998394502564</v>
      </c>
      <c r="F220" s="1192">
        <v>163.3139363424624</v>
      </c>
      <c r="G220" s="217">
        <v>136.58185504868516</v>
      </c>
      <c r="H220" s="1264"/>
      <c r="I220" s="1263"/>
    </row>
    <row r="221" spans="1:9">
      <c r="A221" s="53">
        <f t="shared" si="3"/>
        <v>2010.08</v>
      </c>
      <c r="B221" s="480">
        <v>137.24598068715568</v>
      </c>
      <c r="C221" s="3534">
        <v>139.96596637036461</v>
      </c>
      <c r="D221" s="3534">
        <v>139.66438286538289</v>
      </c>
      <c r="E221" s="1604">
        <f t="shared" si="4"/>
        <v>156.24772426334519</v>
      </c>
      <c r="F221" s="1192">
        <v>164.98287379903334</v>
      </c>
      <c r="G221" s="217">
        <v>137.2263973705</v>
      </c>
      <c r="H221" s="1264"/>
      <c r="I221" s="1263"/>
    </row>
    <row r="222" spans="1:9">
      <c r="A222" s="53">
        <f t="shared" si="3"/>
        <v>2010.09</v>
      </c>
      <c r="B222" s="480">
        <v>136.69642672162283</v>
      </c>
      <c r="C222" s="3534">
        <v>139.26802515289401</v>
      </c>
      <c r="D222" s="3534">
        <v>140.490016537521</v>
      </c>
      <c r="E222" s="1604">
        <f t="shared" si="4"/>
        <v>157.17139126920674</v>
      </c>
      <c r="F222" s="1192">
        <v>165.16515121670707</v>
      </c>
      <c r="G222" s="217">
        <v>138.03894584542769</v>
      </c>
      <c r="H222" s="1264"/>
      <c r="I222" s="1263"/>
    </row>
    <row r="223" spans="1:9">
      <c r="A223" s="53">
        <f t="shared" si="3"/>
        <v>2010.1</v>
      </c>
      <c r="B223" s="480">
        <v>135.13884450692316</v>
      </c>
      <c r="C223" s="3534">
        <v>140.05094902772439</v>
      </c>
      <c r="D223" s="3534">
        <v>141.2579587712284</v>
      </c>
      <c r="E223" s="1604">
        <f t="shared" si="4"/>
        <v>158.03051672353351</v>
      </c>
      <c r="F223" s="1192">
        <v>159.43142639156713</v>
      </c>
      <c r="G223" s="217">
        <v>138.65598167396129</v>
      </c>
      <c r="H223" s="1264"/>
      <c r="I223" s="1263"/>
    </row>
    <row r="224" spans="1:9">
      <c r="A224" s="53">
        <f t="shared" si="3"/>
        <v>2010.11</v>
      </c>
      <c r="B224" s="480">
        <v>139.59882328372223</v>
      </c>
      <c r="C224" s="3534">
        <v>142.18602998595605</v>
      </c>
      <c r="D224" s="3534">
        <v>141.98474622326961</v>
      </c>
      <c r="E224" s="1604">
        <f t="shared" si="4"/>
        <v>158.84360079747418</v>
      </c>
      <c r="F224" s="1192">
        <v>162.86524281261273</v>
      </c>
      <c r="G224" s="217">
        <v>139.66001363653695</v>
      </c>
      <c r="H224" s="1264"/>
      <c r="I224" s="1263"/>
    </row>
    <row r="225" spans="1:9">
      <c r="A225" s="53">
        <f t="shared" si="3"/>
        <v>2010.12</v>
      </c>
      <c r="B225" s="480">
        <v>138.47764951271685</v>
      </c>
      <c r="C225" s="3534">
        <v>141.63406357220495</v>
      </c>
      <c r="D225" s="3534">
        <v>142.68431493543196</v>
      </c>
      <c r="E225" s="1604">
        <f t="shared" si="4"/>
        <v>159.6262342577642</v>
      </c>
      <c r="F225" s="1192">
        <v>158.62955922722685</v>
      </c>
      <c r="G225" s="217">
        <v>141.22928333096709</v>
      </c>
      <c r="H225" s="1265"/>
      <c r="I225" s="1263"/>
    </row>
    <row r="226" spans="1:9">
      <c r="A226" s="53">
        <f t="shared" si="3"/>
        <v>2011.01</v>
      </c>
      <c r="B226" s="480">
        <v>133.07691971855189</v>
      </c>
      <c r="C226" s="3534">
        <v>145.55744608066229</v>
      </c>
      <c r="D226" s="3534">
        <v>143.36996613661842</v>
      </c>
      <c r="E226" s="1604">
        <f t="shared" si="4"/>
        <v>160.39329768242467</v>
      </c>
      <c r="F226" s="1192">
        <v>154.58413414063867</v>
      </c>
      <c r="G226" s="217">
        <v>142.31915293780679</v>
      </c>
      <c r="H226" s="1264"/>
      <c r="I226" s="1263"/>
    </row>
    <row r="227" spans="1:9">
      <c r="A227" s="53">
        <f t="shared" si="3"/>
        <v>2011.02</v>
      </c>
      <c r="B227" s="480">
        <v>129.50988684262188</v>
      </c>
      <c r="C227" s="3534">
        <v>143.71243674877607</v>
      </c>
      <c r="D227" s="3534">
        <v>144.0453406071727</v>
      </c>
      <c r="E227" s="1604">
        <f t="shared" si="4"/>
        <v>161.1488641474366</v>
      </c>
      <c r="F227" s="1192">
        <v>145.20513671069861</v>
      </c>
      <c r="G227" s="217">
        <v>142.67499642222484</v>
      </c>
      <c r="H227" s="1264"/>
      <c r="I227" s="1263"/>
    </row>
    <row r="228" spans="1:9">
      <c r="A228" s="53">
        <f t="shared" si="3"/>
        <v>2011.03</v>
      </c>
      <c r="B228" s="480">
        <v>147.00183909502377</v>
      </c>
      <c r="C228" s="3534">
        <v>144.66019873337265</v>
      </c>
      <c r="D228" s="3534">
        <v>144.70307863652997</v>
      </c>
      <c r="E228" s="1604">
        <f t="shared" si="4"/>
        <v>161.88470007167211</v>
      </c>
      <c r="F228" s="1192">
        <v>162.98076991754448</v>
      </c>
      <c r="G228" s="217">
        <v>143.13238469152409</v>
      </c>
      <c r="H228" s="1264"/>
      <c r="I228" s="1263"/>
    </row>
    <row r="229" spans="1:9">
      <c r="A229" s="53">
        <f t="shared" si="3"/>
        <v>2011.04</v>
      </c>
      <c r="B229" s="480">
        <v>151.03582303961804</v>
      </c>
      <c r="C229" s="3534">
        <v>144.90978673967678</v>
      </c>
      <c r="D229" s="3534">
        <v>145.32253789479518</v>
      </c>
      <c r="E229" s="1604">
        <f t="shared" si="4"/>
        <v>162.57771211520142</v>
      </c>
      <c r="F229" s="1192">
        <v>169.3827784292059</v>
      </c>
      <c r="G229" s="217">
        <v>143.94100970405214</v>
      </c>
      <c r="H229" s="1264"/>
      <c r="I229" s="1263"/>
    </row>
    <row r="230" spans="1:9">
      <c r="A230" s="53">
        <f t="shared" si="3"/>
        <v>2011.05</v>
      </c>
      <c r="B230" s="480">
        <v>166.17834208101743</v>
      </c>
      <c r="C230" s="3534">
        <v>147.38533183235134</v>
      </c>
      <c r="D230" s="3534">
        <v>145.87231031521014</v>
      </c>
      <c r="E230" s="1604">
        <f t="shared" si="4"/>
        <v>163.19276290904187</v>
      </c>
      <c r="F230" s="1192">
        <v>174.97035841880069</v>
      </c>
      <c r="G230" s="217">
        <v>144.47917125789573</v>
      </c>
      <c r="H230" s="1264"/>
      <c r="I230" s="1263"/>
    </row>
    <row r="231" spans="1:9">
      <c r="A231" s="53">
        <f t="shared" si="3"/>
        <v>2011.06</v>
      </c>
      <c r="B231" s="480">
        <v>156.69365851225533</v>
      </c>
      <c r="C231" s="3534">
        <v>146.9775500232366</v>
      </c>
      <c r="D231" s="3534">
        <v>146.31858362456725</v>
      </c>
      <c r="E231" s="1604">
        <f t="shared" si="4"/>
        <v>163.69202540930101</v>
      </c>
      <c r="F231" s="1192">
        <v>173.22664531921072</v>
      </c>
      <c r="G231" s="217">
        <v>144.80932975439015</v>
      </c>
      <c r="H231" s="1264"/>
      <c r="I231" s="1263"/>
    </row>
    <row r="232" spans="1:9">
      <c r="A232" s="53">
        <f t="shared" si="3"/>
        <v>2011.07</v>
      </c>
      <c r="B232" s="480">
        <v>146.37808828046835</v>
      </c>
      <c r="C232" s="3534">
        <v>147.33277655201644</v>
      </c>
      <c r="D232" s="3534">
        <v>146.6295781623094</v>
      </c>
      <c r="E232" s="1604">
        <f t="shared" si="4"/>
        <v>164.03994653123354</v>
      </c>
      <c r="F232" s="1192">
        <v>171.8071366905412</v>
      </c>
      <c r="G232" s="217">
        <v>144.81196933464071</v>
      </c>
      <c r="H232" s="1264"/>
      <c r="I232" s="1263"/>
    </row>
    <row r="233" spans="1:9">
      <c r="A233" s="53">
        <f t="shared" si="3"/>
        <v>2011.08</v>
      </c>
      <c r="B233" s="480">
        <v>146.3985053847187</v>
      </c>
      <c r="C233" s="3534">
        <v>147.01518036776073</v>
      </c>
      <c r="D233" s="3534">
        <v>146.78087663619999</v>
      </c>
      <c r="E233" s="1604">
        <f t="shared" si="4"/>
        <v>164.20920974455191</v>
      </c>
      <c r="F233" s="1192">
        <v>173.04065985509783</v>
      </c>
      <c r="G233" s="217">
        <v>144.78700742733551</v>
      </c>
      <c r="H233" s="1264"/>
      <c r="I233" s="1263"/>
    </row>
    <row r="234" spans="1:9">
      <c r="A234" s="53">
        <f t="shared" si="3"/>
        <v>2011.09</v>
      </c>
      <c r="B234" s="480">
        <v>147.17090682127099</v>
      </c>
      <c r="C234" s="3534">
        <v>148.36168311261835</v>
      </c>
      <c r="D234" s="3534">
        <v>146.76257814140826</v>
      </c>
      <c r="E234" s="1604">
        <f t="shared" si="4"/>
        <v>164.18873853986827</v>
      </c>
      <c r="F234" s="1192">
        <v>174.5598700565055</v>
      </c>
      <c r="G234" s="217">
        <v>145.17573744944895</v>
      </c>
      <c r="H234" s="1264"/>
      <c r="I234" s="1263"/>
    </row>
    <row r="235" spans="1:9">
      <c r="A235" s="53">
        <f t="shared" si="3"/>
        <v>2011.1</v>
      </c>
      <c r="B235" s="480">
        <v>145.05000242779931</v>
      </c>
      <c r="C235" s="3534">
        <v>147.34440034824965</v>
      </c>
      <c r="D235" s="3534">
        <v>146.58170732979488</v>
      </c>
      <c r="E235" s="1604">
        <f t="shared" si="4"/>
        <v>163.98639165571316</v>
      </c>
      <c r="F235" s="1192">
        <v>167.24624558125711</v>
      </c>
      <c r="G235" s="217">
        <v>145.57889807197068</v>
      </c>
      <c r="H235" s="1264"/>
      <c r="I235" s="1263"/>
    </row>
    <row r="236" spans="1:9">
      <c r="A236" s="53">
        <f t="shared" si="3"/>
        <v>2011.11</v>
      </c>
      <c r="B236" s="480">
        <v>146.36164512416551</v>
      </c>
      <c r="C236" s="3534">
        <v>147.25918862368582</v>
      </c>
      <c r="D236" s="3534">
        <v>146.26338051594868</v>
      </c>
      <c r="E236" s="1604">
        <f t="shared" si="4"/>
        <v>163.63026764460142</v>
      </c>
      <c r="F236" s="1192">
        <v>167.7034066678186</v>
      </c>
      <c r="G236" s="217">
        <v>145.6340764391114</v>
      </c>
      <c r="H236" s="1264"/>
      <c r="I236" s="1263"/>
    </row>
    <row r="237" spans="1:9">
      <c r="A237" s="53">
        <f t="shared" si="3"/>
        <v>2011.12</v>
      </c>
      <c r="B237" s="480">
        <v>143.36165785374328</v>
      </c>
      <c r="C237" s="3534">
        <v>147.701295991547</v>
      </c>
      <c r="D237" s="3534">
        <v>145.84697913292135</v>
      </c>
      <c r="E237" s="1604">
        <f t="shared" si="4"/>
        <v>163.16442397606323</v>
      </c>
      <c r="F237" s="1192">
        <v>161.93698314622949</v>
      </c>
      <c r="G237" s="217">
        <v>145.59284432561441</v>
      </c>
      <c r="H237" s="1265"/>
      <c r="I237" s="1263"/>
    </row>
    <row r="238" spans="1:9">
      <c r="A238" s="53">
        <f t="shared" si="3"/>
        <v>2012.01</v>
      </c>
      <c r="B238" s="480">
        <v>136.19408129361287</v>
      </c>
      <c r="C238" s="3534">
        <v>147.81814390451845</v>
      </c>
      <c r="D238" s="3534">
        <v>145.3847457265091</v>
      </c>
      <c r="E238" s="1604">
        <f t="shared" si="4"/>
        <v>162.64730632338279</v>
      </c>
      <c r="F238" s="1192">
        <v>158.30881315458717</v>
      </c>
      <c r="G238" s="217">
        <v>145.3651863422545</v>
      </c>
      <c r="H238" s="1264"/>
      <c r="I238" s="1263"/>
    </row>
    <row r="239" spans="1:9">
      <c r="A239" s="53">
        <f t="shared" si="3"/>
        <v>2012.02</v>
      </c>
      <c r="B239" s="480">
        <v>132.36052594074121</v>
      </c>
      <c r="C239" s="3534">
        <v>144.77882455194307</v>
      </c>
      <c r="D239" s="3534">
        <v>144.93463555746638</v>
      </c>
      <c r="E239" s="1604">
        <f t="shared" si="4"/>
        <v>162.14375138591171</v>
      </c>
      <c r="F239" s="1192">
        <v>150.94885376724463</v>
      </c>
      <c r="G239" s="217">
        <v>144.57147069398886</v>
      </c>
      <c r="H239" s="1264"/>
      <c r="I239" s="1263"/>
    </row>
    <row r="240" spans="1:9">
      <c r="A240" s="53">
        <f t="shared" si="3"/>
        <v>2012.03</v>
      </c>
      <c r="B240" s="480">
        <v>147.44101624495764</v>
      </c>
      <c r="C240" s="3534">
        <v>145.45292265176383</v>
      </c>
      <c r="D240" s="3534">
        <v>144.55031321530572</v>
      </c>
      <c r="E240" s="1604">
        <f t="shared" si="4"/>
        <v>161.71379572997301</v>
      </c>
      <c r="F240" s="1192">
        <v>169.18979309082803</v>
      </c>
      <c r="G240" s="217">
        <v>143.77412353030758</v>
      </c>
      <c r="H240" s="1264"/>
      <c r="I240" s="1263"/>
    </row>
    <row r="241" spans="1:9">
      <c r="A241" s="53">
        <f t="shared" si="3"/>
        <v>2012.04</v>
      </c>
      <c r="B241" s="480">
        <v>145.52027831854522</v>
      </c>
      <c r="C241" s="3534">
        <v>141.79265369758883</v>
      </c>
      <c r="D241" s="3534">
        <v>144.27639915597865</v>
      </c>
      <c r="E241" s="1604">
        <f t="shared" si="4"/>
        <v>161.40735791429282</v>
      </c>
      <c r="F241" s="1192">
        <v>154.15126902698265</v>
      </c>
      <c r="G241" s="217">
        <v>143.04551876915502</v>
      </c>
      <c r="H241" s="1264"/>
      <c r="I241" s="1263"/>
    </row>
    <row r="242" spans="1:9">
      <c r="A242" s="53">
        <f t="shared" si="3"/>
        <v>2012.05</v>
      </c>
      <c r="B242" s="480">
        <v>157.40418371936033</v>
      </c>
      <c r="C242" s="3534">
        <v>140.22899716677748</v>
      </c>
      <c r="D242" s="3534">
        <v>144.14609058364445</v>
      </c>
      <c r="E242" s="1604">
        <f t="shared" si="4"/>
        <v>161.26157688221073</v>
      </c>
      <c r="F242" s="1192">
        <v>171.47712108535649</v>
      </c>
      <c r="G242" s="217">
        <v>142.89508809520407</v>
      </c>
      <c r="H242" s="1264"/>
      <c r="I242" s="1263"/>
    </row>
    <row r="243" spans="1:9">
      <c r="A243" s="53">
        <f t="shared" si="3"/>
        <v>2012.06</v>
      </c>
      <c r="B243" s="480">
        <v>149.03310174150511</v>
      </c>
      <c r="C243" s="3534">
        <v>140.71916779482783</v>
      </c>
      <c r="D243" s="3534">
        <v>144.17594407150736</v>
      </c>
      <c r="E243" s="1604">
        <f t="shared" si="4"/>
        <v>161.29497508613505</v>
      </c>
      <c r="F243" s="1192">
        <v>154.83720110920851</v>
      </c>
      <c r="G243" s="217">
        <v>143.45773477678739</v>
      </c>
      <c r="H243" s="1264"/>
      <c r="I243" s="1263"/>
    </row>
    <row r="244" spans="1:9">
      <c r="A244" s="53">
        <f t="shared" si="3"/>
        <v>2012.07</v>
      </c>
      <c r="B244" s="480">
        <v>146.86279961903688</v>
      </c>
      <c r="C244" s="3534">
        <v>144.89056375044558</v>
      </c>
      <c r="D244" s="3534">
        <v>144.36477303785804</v>
      </c>
      <c r="E244" s="1604">
        <f t="shared" si="4"/>
        <v>161.50622505310574</v>
      </c>
      <c r="F244" s="1192">
        <v>171.62347232248413</v>
      </c>
      <c r="G244" s="217">
        <v>143.81146046037711</v>
      </c>
      <c r="H244" s="1264"/>
      <c r="I244" s="1263"/>
    </row>
    <row r="245" spans="1:9">
      <c r="A245" s="53">
        <f t="shared" si="3"/>
        <v>2012.08</v>
      </c>
      <c r="B245" s="480">
        <v>145.69325698881013</v>
      </c>
      <c r="C245" s="3534">
        <v>145.00995096214231</v>
      </c>
      <c r="D245" s="3534">
        <v>144.69640587337403</v>
      </c>
      <c r="E245" s="1604">
        <f t="shared" si="4"/>
        <v>161.87723500408455</v>
      </c>
      <c r="F245" s="1192">
        <v>171.91683285091923</v>
      </c>
      <c r="G245" s="217">
        <v>143.85561788759395</v>
      </c>
      <c r="H245" s="1264"/>
      <c r="I245" s="1263"/>
    </row>
    <row r="246" spans="1:9">
      <c r="A246" s="53">
        <f t="shared" si="3"/>
        <v>2012.09</v>
      </c>
      <c r="B246" s="480">
        <v>142.47153651731426</v>
      </c>
      <c r="C246" s="3534">
        <v>146.26006183081148</v>
      </c>
      <c r="D246" s="3534">
        <v>145.14130601117606</v>
      </c>
      <c r="E246" s="1604">
        <f t="shared" si="4"/>
        <v>162.37496128640393</v>
      </c>
      <c r="F246" s="1192">
        <v>169.18346103446967</v>
      </c>
      <c r="G246" s="217">
        <v>144.03591954154462</v>
      </c>
      <c r="H246" s="1264"/>
      <c r="I246" s="1263"/>
    </row>
    <row r="247" spans="1:9">
      <c r="A247" s="53">
        <f t="shared" si="3"/>
        <v>2012.1</v>
      </c>
      <c r="B247" s="480">
        <v>147.23130295530083</v>
      </c>
      <c r="C247" s="3534">
        <v>147.13850047965894</v>
      </c>
      <c r="D247" s="3534">
        <v>145.65938926177012</v>
      </c>
      <c r="E247" s="1604">
        <f t="shared" si="4"/>
        <v>162.95456023084134</v>
      </c>
      <c r="F247" s="1192">
        <v>168.80732369008103</v>
      </c>
      <c r="G247" s="217">
        <v>144.11387879777149</v>
      </c>
      <c r="H247" s="1264"/>
      <c r="I247" s="1263"/>
    </row>
    <row r="248" spans="1:9">
      <c r="A248" s="53">
        <f t="shared" si="3"/>
        <v>2012.11</v>
      </c>
      <c r="B248" s="480">
        <v>146.37343184468628</v>
      </c>
      <c r="C248" s="3534">
        <v>147.02975149706185</v>
      </c>
      <c r="D248" s="3534">
        <v>146.21001030043203</v>
      </c>
      <c r="E248" s="1604">
        <f t="shared" si="4"/>
        <v>163.57056040538382</v>
      </c>
      <c r="F248" s="1192">
        <v>165.82614074194692</v>
      </c>
      <c r="G248" s="217">
        <v>144.50237008856698</v>
      </c>
      <c r="H248" s="1264"/>
      <c r="I248" s="1263"/>
    </row>
    <row r="249" spans="1:9">
      <c r="A249" s="53">
        <f t="shared" si="3"/>
        <v>2012.12</v>
      </c>
      <c r="B249" s="480">
        <v>143.58505809958143</v>
      </c>
      <c r="C249" s="3534">
        <v>149.05103496890692</v>
      </c>
      <c r="D249" s="3534">
        <v>146.75601254071711</v>
      </c>
      <c r="E249" s="1604">
        <f t="shared" si="4"/>
        <v>164.18139335890396</v>
      </c>
      <c r="F249" s="1192">
        <v>161.48272806255909</v>
      </c>
      <c r="G249" s="217">
        <v>145.14898245258186</v>
      </c>
      <c r="H249" s="1265"/>
      <c r="I249" s="1263"/>
    </row>
    <row r="250" spans="1:9">
      <c r="A250" s="53">
        <f t="shared" si="3"/>
        <v>2013.01</v>
      </c>
      <c r="B250" s="480">
        <v>136.51707182504433</v>
      </c>
      <c r="C250" s="3534">
        <v>145.7811753887427</v>
      </c>
      <c r="D250" s="3534">
        <v>147.2690487979653</v>
      </c>
      <c r="E250" s="1604">
        <f t="shared" si="4"/>
        <v>164.7553460447285</v>
      </c>
      <c r="F250" s="1192">
        <v>159.12598237253414</v>
      </c>
      <c r="G250" s="217">
        <v>145.60505904999545</v>
      </c>
      <c r="H250" s="1264"/>
      <c r="I250" s="1263"/>
    </row>
    <row r="251" spans="1:9">
      <c r="A251" s="53">
        <f t="shared" si="3"/>
        <v>2013.02</v>
      </c>
      <c r="B251" s="480">
        <v>132.79532196495501</v>
      </c>
      <c r="C251" s="3534">
        <v>148.48931250132324</v>
      </c>
      <c r="D251" s="3534">
        <v>147.72528774096264</v>
      </c>
      <c r="E251" s="1604">
        <f t="shared" si="4"/>
        <v>165.26575746889498</v>
      </c>
      <c r="F251" s="1192">
        <v>150.87040413681638</v>
      </c>
      <c r="G251" s="217">
        <v>146.53943759084939</v>
      </c>
      <c r="H251" s="1264"/>
      <c r="I251" s="1263"/>
    </row>
    <row r="252" spans="1:9">
      <c r="A252" s="53">
        <f t="shared" si="3"/>
        <v>2013.03</v>
      </c>
      <c r="B252" s="480">
        <v>149.40394566736484</v>
      </c>
      <c r="C252" s="3534">
        <v>148.47614927695696</v>
      </c>
      <c r="D252" s="3534">
        <v>148.10652544886918</v>
      </c>
      <c r="E252" s="1604">
        <f t="shared" si="4"/>
        <v>165.69226223010659</v>
      </c>
      <c r="F252" s="1192">
        <v>169.88527985763693</v>
      </c>
      <c r="G252" s="217">
        <v>147.52903310437299</v>
      </c>
      <c r="H252" s="1264"/>
      <c r="I252" s="1263"/>
    </row>
    <row r="253" spans="1:9">
      <c r="A253" s="53">
        <f t="shared" si="3"/>
        <v>2013.04</v>
      </c>
      <c r="B253" s="480">
        <v>155.94159584157654</v>
      </c>
      <c r="C253" s="3534">
        <v>148.49100433615445</v>
      </c>
      <c r="D253" s="3534">
        <v>148.39956836760339</v>
      </c>
      <c r="E253" s="1604">
        <f t="shared" si="4"/>
        <v>166.02010021015798</v>
      </c>
      <c r="F253" s="1192">
        <v>178.14334075854055</v>
      </c>
      <c r="G253" s="217">
        <v>148.01740131168611</v>
      </c>
      <c r="H253" s="1264"/>
      <c r="I253" s="1263"/>
    </row>
    <row r="254" spans="1:9">
      <c r="A254" s="53">
        <f t="shared" ref="A254:A317" si="5">A242+1</f>
        <v>2013.05</v>
      </c>
      <c r="B254" s="480">
        <v>167.97347912253019</v>
      </c>
      <c r="C254" s="3534">
        <v>148.2475868259564</v>
      </c>
      <c r="D254" s="3534">
        <v>148.59671466512796</v>
      </c>
      <c r="E254" s="1604">
        <f t="shared" si="4"/>
        <v>166.24065508394315</v>
      </c>
      <c r="F254" s="1192">
        <v>184.13455559735408</v>
      </c>
      <c r="G254" s="217">
        <v>148.07648063681123</v>
      </c>
      <c r="H254" s="1264"/>
      <c r="I254" s="1263"/>
    </row>
    <row r="255" spans="1:9">
      <c r="A255" s="53">
        <f t="shared" si="5"/>
        <v>2013.06</v>
      </c>
      <c r="B255" s="480">
        <v>156.27186443024067</v>
      </c>
      <c r="C255" s="3534">
        <v>149.0624424965624</v>
      </c>
      <c r="D255" s="3534">
        <v>148.69132925137367</v>
      </c>
      <c r="E255" s="1604">
        <f t="shared" si="4"/>
        <v>166.34650393015372</v>
      </c>
      <c r="F255" s="1192">
        <v>174.77943143869967</v>
      </c>
      <c r="G255" s="217">
        <v>147.65858678420008</v>
      </c>
      <c r="H255" s="1264"/>
      <c r="I255" s="1263"/>
    </row>
    <row r="256" spans="1:9">
      <c r="A256" s="53">
        <f t="shared" si="5"/>
        <v>2013.07</v>
      </c>
      <c r="B256" s="480">
        <v>150.73100129825897</v>
      </c>
      <c r="C256" s="3534">
        <v>148.16888219365632</v>
      </c>
      <c r="D256" s="3534">
        <v>148.67743237367932</v>
      </c>
      <c r="E256" s="1604">
        <f t="shared" si="4"/>
        <v>166.33095697774135</v>
      </c>
      <c r="F256" s="1192">
        <v>178.44905219381036</v>
      </c>
      <c r="G256" s="217">
        <v>147.37929261400021</v>
      </c>
      <c r="H256" s="1264"/>
      <c r="I256" s="1263"/>
    </row>
    <row r="257" spans="1:9">
      <c r="A257" s="53">
        <f t="shared" si="5"/>
        <v>2013.08</v>
      </c>
      <c r="B257" s="480">
        <v>148.42144953050052</v>
      </c>
      <c r="C257" s="3534">
        <v>150.24140361049081</v>
      </c>
      <c r="D257" s="3534">
        <v>148.5531693278088</v>
      </c>
      <c r="E257" s="1604">
        <f t="shared" si="4"/>
        <v>166.19193930029945</v>
      </c>
      <c r="F257" s="1192">
        <v>178.52876595502977</v>
      </c>
      <c r="G257" s="217">
        <v>147.58929664705354</v>
      </c>
      <c r="H257" s="1264"/>
      <c r="I257" s="1263"/>
    </row>
    <row r="258" spans="1:9">
      <c r="A258" s="53">
        <f t="shared" si="5"/>
        <v>2013.09</v>
      </c>
      <c r="B258" s="480">
        <v>147.0048441881334</v>
      </c>
      <c r="C258" s="3534">
        <v>150.3006938494317</v>
      </c>
      <c r="D258" s="3534">
        <v>148.32269850437237</v>
      </c>
      <c r="E258" s="1604">
        <f t="shared" si="4"/>
        <v>165.93410304360864</v>
      </c>
      <c r="F258" s="1192">
        <v>177.38907617038601</v>
      </c>
      <c r="G258" s="217">
        <v>147.5425322626549</v>
      </c>
      <c r="H258" s="1264"/>
      <c r="I258" s="1263"/>
    </row>
    <row r="259" spans="1:9">
      <c r="A259" s="53">
        <f t="shared" si="5"/>
        <v>2013.1</v>
      </c>
      <c r="B259" s="480">
        <v>148.6939593959755</v>
      </c>
      <c r="C259" s="3534">
        <v>149.10118080089836</v>
      </c>
      <c r="D259" s="3534">
        <v>147.99274600842887</v>
      </c>
      <c r="E259" s="1604">
        <f t="shared" si="4"/>
        <v>165.56497295082133</v>
      </c>
      <c r="F259" s="1192">
        <v>175.51819990197191</v>
      </c>
      <c r="G259" s="217">
        <v>147.26927431667147</v>
      </c>
      <c r="H259" s="1264"/>
      <c r="I259" s="1263"/>
    </row>
    <row r="260" spans="1:9">
      <c r="A260" s="53">
        <f t="shared" si="5"/>
        <v>2013.11</v>
      </c>
      <c r="B260" s="480">
        <v>145.69589762827002</v>
      </c>
      <c r="C260" s="3534">
        <v>148.25779328188139</v>
      </c>
      <c r="D260" s="3534">
        <v>147.57259893826307</v>
      </c>
      <c r="E260" s="1604">
        <f t="shared" si="4"/>
        <v>165.09493884318064</v>
      </c>
      <c r="F260" s="1192">
        <v>169.38196331566459</v>
      </c>
      <c r="G260" s="217">
        <v>146.97637220215361</v>
      </c>
      <c r="H260" s="1264"/>
      <c r="I260" s="1263"/>
    </row>
    <row r="261" spans="1:9">
      <c r="A261" s="53">
        <f t="shared" si="5"/>
        <v>2013.12</v>
      </c>
      <c r="B261" s="480">
        <v>142.5768791271264</v>
      </c>
      <c r="C261" s="3534">
        <v>147.40968543026619</v>
      </c>
      <c r="D261" s="3534">
        <v>147.07767153449677</v>
      </c>
      <c r="E261" s="1604">
        <f t="shared" si="4"/>
        <v>164.541245203274</v>
      </c>
      <c r="F261" s="1192">
        <v>164.04183092520037</v>
      </c>
      <c r="G261" s="217">
        <v>146.58251196740488</v>
      </c>
      <c r="H261" s="1265"/>
      <c r="I261" s="1263"/>
    </row>
    <row r="262" spans="1:9">
      <c r="A262" s="53">
        <f t="shared" si="5"/>
        <v>2014.01</v>
      </c>
      <c r="B262" s="480">
        <v>137.96969739537636</v>
      </c>
      <c r="C262" s="3534">
        <v>145.66233594536209</v>
      </c>
      <c r="D262" s="3534">
        <v>146.53038001445617</v>
      </c>
      <c r="E262" s="1604">
        <f t="shared" si="4"/>
        <v>163.92896988468118</v>
      </c>
      <c r="F262" s="1192">
        <v>162.75061549772713</v>
      </c>
      <c r="G262" s="217">
        <v>146.03332235576721</v>
      </c>
      <c r="H262" s="1264"/>
      <c r="I262" s="1263"/>
    </row>
    <row r="263" spans="1:9">
      <c r="A263" s="53">
        <f t="shared" si="5"/>
        <v>2014.02</v>
      </c>
      <c r="B263" s="480">
        <v>132.48630687243056</v>
      </c>
      <c r="C263" s="3534">
        <v>146.81831108483095</v>
      </c>
      <c r="D263" s="3534">
        <v>145.95771365867475</v>
      </c>
      <c r="E263" s="1604">
        <f t="shared" si="4"/>
        <v>163.28830679637417</v>
      </c>
      <c r="F263" s="1192">
        <v>153.67157313436329</v>
      </c>
      <c r="G263" s="217">
        <v>145.22956144912106</v>
      </c>
      <c r="H263" s="1264"/>
      <c r="I263" s="1263"/>
    </row>
    <row r="264" spans="1:9">
      <c r="A264" s="53">
        <f t="shared" si="5"/>
        <v>2014.03</v>
      </c>
      <c r="B264" s="480">
        <v>144.53782808347017</v>
      </c>
      <c r="C264" s="3534">
        <v>145.52602410816712</v>
      </c>
      <c r="D264" s="3534">
        <v>145.39240991353162</v>
      </c>
      <c r="E264" s="1604">
        <f t="shared" si="4"/>
        <v>162.65588053361472</v>
      </c>
      <c r="F264" s="1192">
        <v>163.94450815780496</v>
      </c>
      <c r="G264" s="217">
        <v>144.47612634015445</v>
      </c>
      <c r="H264" s="1264"/>
      <c r="I264" s="1263"/>
    </row>
    <row r="265" spans="1:9">
      <c r="A265" s="53">
        <f t="shared" si="5"/>
        <v>2014.04</v>
      </c>
      <c r="B265" s="480">
        <v>152.34143546147135</v>
      </c>
      <c r="C265" s="3534">
        <v>144.93658097727447</v>
      </c>
      <c r="D265" s="3534">
        <v>144.87301895166331</v>
      </c>
      <c r="E265" s="1604">
        <f t="shared" si="4"/>
        <v>162.07481860408114</v>
      </c>
      <c r="F265" s="1192">
        <v>174.75102087237988</v>
      </c>
      <c r="G265" s="217">
        <v>143.90466637404421</v>
      </c>
      <c r="H265" s="1264"/>
      <c r="I265" s="1263"/>
    </row>
    <row r="266" spans="1:9">
      <c r="A266" s="53">
        <f t="shared" si="5"/>
        <v>2014.05</v>
      </c>
      <c r="B266" s="480">
        <v>164.20324390256107</v>
      </c>
      <c r="C266" s="3534">
        <v>145.22763533217514</v>
      </c>
      <c r="D266" s="3534">
        <v>144.43493795785838</v>
      </c>
      <c r="E266" s="1604">
        <f t="shared" ref="E266:E329" si="6">D266*$E$9</f>
        <v>161.58472115102455</v>
      </c>
      <c r="F266" s="1192">
        <v>179.07761760316447</v>
      </c>
      <c r="G266" s="217">
        <v>143.70219844096439</v>
      </c>
      <c r="H266" s="1264"/>
      <c r="I266" s="1263"/>
    </row>
    <row r="267" spans="1:9">
      <c r="A267" s="53">
        <f t="shared" si="5"/>
        <v>2014.06</v>
      </c>
      <c r="B267" s="480">
        <v>153.80352402990053</v>
      </c>
      <c r="C267" s="3534">
        <v>144.52505654253736</v>
      </c>
      <c r="D267" s="3534">
        <v>144.10897083834715</v>
      </c>
      <c r="E267" s="1604">
        <f t="shared" si="6"/>
        <v>161.22004964664109</v>
      </c>
      <c r="F267" s="1192">
        <v>173.93389388694666</v>
      </c>
      <c r="G267" s="217">
        <v>143.73616547541988</v>
      </c>
      <c r="H267" s="1264"/>
      <c r="I267" s="1263"/>
    </row>
    <row r="268" spans="1:9">
      <c r="A268" s="53">
        <f t="shared" si="5"/>
        <v>2014.07</v>
      </c>
      <c r="B268" s="480">
        <v>145.42281373408593</v>
      </c>
      <c r="C268" s="3534">
        <v>144.04793565023047</v>
      </c>
      <c r="D268" s="3534">
        <v>143.9217469457237</v>
      </c>
      <c r="E268" s="1604">
        <f t="shared" si="6"/>
        <v>161.01059533516974</v>
      </c>
      <c r="F268" s="1192">
        <v>171.35334858030305</v>
      </c>
      <c r="G268" s="217">
        <v>143.26408225485721</v>
      </c>
      <c r="H268" s="1264"/>
      <c r="I268" s="1263"/>
    </row>
    <row r="269" spans="1:9">
      <c r="A269" s="53">
        <f t="shared" si="5"/>
        <v>2014.08</v>
      </c>
      <c r="B269" s="480">
        <v>140.10530396605887</v>
      </c>
      <c r="C269" s="3534">
        <v>143.59545695613409</v>
      </c>
      <c r="D269" s="3534">
        <v>143.89180851509829</v>
      </c>
      <c r="E269" s="1604">
        <f t="shared" si="6"/>
        <v>160.9771021026271</v>
      </c>
      <c r="F269" s="1192">
        <v>167.69845284641482</v>
      </c>
      <c r="G269" s="217">
        <v>142.6749645469782</v>
      </c>
      <c r="H269" s="1264"/>
      <c r="I269" s="1263"/>
    </row>
    <row r="270" spans="1:9">
      <c r="A270" s="53">
        <f t="shared" si="5"/>
        <v>2014.09</v>
      </c>
      <c r="B270" s="480">
        <v>141.71873319955728</v>
      </c>
      <c r="C270" s="3534">
        <v>143.56232893976468</v>
      </c>
      <c r="D270" s="3534">
        <v>144.0273486740239</v>
      </c>
      <c r="E270" s="1604">
        <f t="shared" si="6"/>
        <v>161.12873590463107</v>
      </c>
      <c r="F270" s="1192">
        <v>170.87719700851773</v>
      </c>
      <c r="G270" s="217">
        <v>143.02969442265876</v>
      </c>
      <c r="H270" s="1264"/>
      <c r="I270" s="1263"/>
    </row>
    <row r="271" spans="1:9">
      <c r="A271" s="53">
        <f t="shared" si="5"/>
        <v>2014.1</v>
      </c>
      <c r="B271" s="480">
        <v>143.34939741761289</v>
      </c>
      <c r="C271" s="3534">
        <v>143.82437223857877</v>
      </c>
      <c r="D271" s="3534">
        <v>144.32467138701372</v>
      </c>
      <c r="E271" s="1604">
        <f t="shared" si="6"/>
        <v>161.46136184922312</v>
      </c>
      <c r="F271" s="1192">
        <v>168.01549226918533</v>
      </c>
      <c r="G271" s="217">
        <v>143.81478854070926</v>
      </c>
      <c r="H271" s="1264"/>
      <c r="I271" s="1263"/>
    </row>
    <row r="272" spans="1:9">
      <c r="A272" s="53">
        <f t="shared" si="5"/>
        <v>2014.11</v>
      </c>
      <c r="B272" s="474">
        <v>140.87759689826311</v>
      </c>
      <c r="C272" s="3535">
        <v>144.79482463797558</v>
      </c>
      <c r="D272" s="3535">
        <v>144.76718686545149</v>
      </c>
      <c r="E272" s="1604">
        <f t="shared" si="6"/>
        <v>161.95642032468174</v>
      </c>
      <c r="F272" s="1192">
        <v>162.08730297537704</v>
      </c>
      <c r="G272" s="217">
        <v>144.10950743893883</v>
      </c>
      <c r="H272" s="1264"/>
      <c r="I272" s="1263"/>
    </row>
    <row r="273" spans="1:9">
      <c r="A273" s="53">
        <f t="shared" si="5"/>
        <v>2014.12</v>
      </c>
      <c r="B273" s="474">
        <v>140.43593774912819</v>
      </c>
      <c r="C273" s="3535">
        <v>144.7309562699424</v>
      </c>
      <c r="D273" s="3535">
        <v>145.32837600498749</v>
      </c>
      <c r="E273" s="1604">
        <f t="shared" si="6"/>
        <v>162.58424342556725</v>
      </c>
      <c r="F273" s="1192">
        <v>157.96127149666663</v>
      </c>
      <c r="G273" s="217">
        <v>144.1471588917577</v>
      </c>
      <c r="H273" s="1264"/>
      <c r="I273" s="1263"/>
    </row>
    <row r="274" spans="1:9">
      <c r="A274" s="53">
        <f t="shared" si="5"/>
        <v>2015.01</v>
      </c>
      <c r="B274" s="474">
        <v>133.99818907035032</v>
      </c>
      <c r="C274" s="3535">
        <v>144.08700572466864</v>
      </c>
      <c r="D274" s="3535">
        <v>145.97290937624439</v>
      </c>
      <c r="E274" s="1604">
        <f t="shared" si="6"/>
        <v>163.30530680911966</v>
      </c>
      <c r="F274" s="1192">
        <v>158.62683421990027</v>
      </c>
      <c r="G274" s="217">
        <v>144.79826783052116</v>
      </c>
      <c r="H274" s="1264"/>
      <c r="I274" s="1263"/>
    </row>
    <row r="275" spans="1:9">
      <c r="A275" s="53">
        <f t="shared" si="5"/>
        <v>2015.02</v>
      </c>
      <c r="B275" s="474">
        <v>132.62788695577399</v>
      </c>
      <c r="C275" s="3535">
        <v>147.84104392097478</v>
      </c>
      <c r="D275" s="3535">
        <v>146.65615289216686</v>
      </c>
      <c r="E275" s="1604">
        <f t="shared" si="6"/>
        <v>164.06967666699151</v>
      </c>
      <c r="F275" s="1192">
        <v>150.80059413330952</v>
      </c>
      <c r="G275" s="217">
        <v>145.83434468229291</v>
      </c>
      <c r="H275" s="1264"/>
      <c r="I275" s="1263"/>
    </row>
    <row r="276" spans="1:9">
      <c r="A276" s="53">
        <f t="shared" si="5"/>
        <v>2015.03</v>
      </c>
      <c r="B276" s="474">
        <v>149.4090129833281</v>
      </c>
      <c r="C276" s="3535">
        <v>147.58493152232705</v>
      </c>
      <c r="D276" s="3535">
        <v>147.328065029084</v>
      </c>
      <c r="E276" s="1604">
        <f t="shared" si="6"/>
        <v>164.82136969097041</v>
      </c>
      <c r="F276" s="1192">
        <v>166.47527860976342</v>
      </c>
      <c r="G276" s="217">
        <v>146.729464487652</v>
      </c>
      <c r="H276" s="1264"/>
      <c r="I276" s="1263"/>
    </row>
    <row r="277" spans="1:9">
      <c r="A277" s="53">
        <f t="shared" si="5"/>
        <v>2015.04</v>
      </c>
      <c r="B277" s="474">
        <v>157.4845995373143</v>
      </c>
      <c r="C277" s="3535">
        <v>149.75600768280219</v>
      </c>
      <c r="D277" s="3535">
        <v>147.9406229755831</v>
      </c>
      <c r="E277" s="1604">
        <f t="shared" si="6"/>
        <v>165.50666098110673</v>
      </c>
      <c r="F277" s="1192">
        <v>179.58102945457799</v>
      </c>
      <c r="G277" s="217">
        <v>147.54609570064633</v>
      </c>
      <c r="H277" s="1264"/>
      <c r="I277" s="1263"/>
    </row>
    <row r="278" spans="1:9">
      <c r="A278" s="53">
        <f t="shared" si="5"/>
        <v>2015.05</v>
      </c>
      <c r="B278" s="474">
        <v>168.88610058983411</v>
      </c>
      <c r="C278" s="3535">
        <v>150.05008005643231</v>
      </c>
      <c r="D278" s="3535">
        <v>148.44900529972639</v>
      </c>
      <c r="E278" s="1604">
        <f t="shared" si="6"/>
        <v>166.07540713938579</v>
      </c>
      <c r="F278" s="1192">
        <v>178.88649292702556</v>
      </c>
      <c r="G278" s="217">
        <v>148.09848029065796</v>
      </c>
      <c r="H278" s="1265"/>
      <c r="I278" s="1263"/>
    </row>
    <row r="279" spans="1:9">
      <c r="A279" s="53">
        <f t="shared" si="5"/>
        <v>2015.06</v>
      </c>
      <c r="B279" s="474">
        <v>162.93739000912225</v>
      </c>
      <c r="C279" s="3535">
        <v>150.97437138979006</v>
      </c>
      <c r="D279" s="3535">
        <v>148.816667593917</v>
      </c>
      <c r="E279" s="1604">
        <f t="shared" si="6"/>
        <v>166.48672458185851</v>
      </c>
      <c r="F279" s="1192">
        <v>182.66817020454192</v>
      </c>
      <c r="G279" s="217">
        <v>148.45870239695984</v>
      </c>
      <c r="H279" s="1264"/>
      <c r="I279" s="1263"/>
    </row>
    <row r="280" spans="1:9">
      <c r="A280" s="53">
        <f t="shared" si="5"/>
        <v>2015.07</v>
      </c>
      <c r="B280" s="474">
        <v>151.84479634306331</v>
      </c>
      <c r="C280" s="3535">
        <v>150.62789195804135</v>
      </c>
      <c r="D280" s="3535">
        <v>149.02014833868256</v>
      </c>
      <c r="E280" s="1604">
        <f t="shared" si="6"/>
        <v>166.71436603667146</v>
      </c>
      <c r="F280" s="1192">
        <v>178.50733458510351</v>
      </c>
      <c r="G280" s="217">
        <v>148.57232249118022</v>
      </c>
      <c r="H280" s="1265"/>
      <c r="I280" s="1263"/>
    </row>
    <row r="281" spans="1:9">
      <c r="A281" s="53">
        <f t="shared" si="5"/>
        <v>2015.08</v>
      </c>
      <c r="B281" s="474">
        <v>146.46506720486232</v>
      </c>
      <c r="C281" s="3535">
        <v>150.33834146415472</v>
      </c>
      <c r="D281" s="3535">
        <v>149.05130967722627</v>
      </c>
      <c r="E281" s="1604">
        <f t="shared" si="6"/>
        <v>166.74922738165122</v>
      </c>
      <c r="F281" s="1192">
        <v>174.59370834417541</v>
      </c>
      <c r="G281" s="217">
        <v>148.56272361928649</v>
      </c>
      <c r="H281" s="1264"/>
      <c r="I281" s="1263"/>
    </row>
    <row r="282" spans="1:9">
      <c r="A282" s="53">
        <f t="shared" si="5"/>
        <v>2015.09</v>
      </c>
      <c r="B282" s="474">
        <v>145.88232371860067</v>
      </c>
      <c r="C282" s="3535">
        <v>148.89823961597693</v>
      </c>
      <c r="D282" s="3535">
        <v>148.91317408093002</v>
      </c>
      <c r="E282" s="1604">
        <f t="shared" si="6"/>
        <v>166.5946899676145</v>
      </c>
      <c r="F282" s="1192">
        <v>175.09904976720694</v>
      </c>
      <c r="G282" s="217">
        <v>148.22045886457781</v>
      </c>
      <c r="H282" s="1264"/>
      <c r="I282" s="1263"/>
    </row>
    <row r="283" spans="1:9">
      <c r="A283" s="53">
        <f t="shared" si="5"/>
        <v>2015.1</v>
      </c>
      <c r="B283" s="474">
        <v>147.04587615341626</v>
      </c>
      <c r="C283" s="3535">
        <v>149.19853559187965</v>
      </c>
      <c r="D283" s="3535">
        <v>148.62086390939592</v>
      </c>
      <c r="E283" s="1604">
        <f t="shared" si="6"/>
        <v>166.26767173902826</v>
      </c>
      <c r="F283" s="1192">
        <v>172.03860314588371</v>
      </c>
      <c r="G283" s="217">
        <v>147.68435473817146</v>
      </c>
      <c r="H283" s="1264"/>
      <c r="I283" s="1263"/>
    </row>
    <row r="284" spans="1:9">
      <c r="A284" s="53">
        <f t="shared" si="5"/>
        <v>2015.11</v>
      </c>
      <c r="B284" s="474">
        <v>146.175581385648</v>
      </c>
      <c r="C284" s="3535">
        <v>148.46405719430734</v>
      </c>
      <c r="D284" s="3535">
        <v>148.20221090408228</v>
      </c>
      <c r="E284" s="1604">
        <f t="shared" si="6"/>
        <v>165.79930909714184</v>
      </c>
      <c r="F284" s="1192">
        <v>166.02017739048361</v>
      </c>
      <c r="G284" s="217">
        <v>146.78273701820493</v>
      </c>
      <c r="H284" s="1264"/>
      <c r="I284" s="1263"/>
    </row>
    <row r="285" spans="1:9">
      <c r="A285" s="53">
        <f t="shared" si="5"/>
        <v>2015.12</v>
      </c>
      <c r="B285" s="474">
        <v>141.9421187346255</v>
      </c>
      <c r="C285" s="3535">
        <v>146.87843653690558</v>
      </c>
      <c r="D285" s="3535">
        <v>147.6911304898737</v>
      </c>
      <c r="E285" s="1604">
        <f t="shared" si="6"/>
        <v>165.2275444854539</v>
      </c>
      <c r="F285" s="1192">
        <v>161.72699770091648</v>
      </c>
      <c r="G285" s="217">
        <v>145.70829751983976</v>
      </c>
      <c r="H285" s="1264"/>
      <c r="I285" s="1263"/>
    </row>
    <row r="286" spans="1:9">
      <c r="A286" s="53">
        <f t="shared" si="5"/>
        <v>2016.01</v>
      </c>
      <c r="B286" s="474">
        <v>134.74645041349706</v>
      </c>
      <c r="C286" s="3535">
        <v>147.98416443521199</v>
      </c>
      <c r="D286" s="3535">
        <v>147.12594096702841</v>
      </c>
      <c r="E286" s="1604">
        <f t="shared" si="6"/>
        <v>164.59524600741474</v>
      </c>
      <c r="F286" s="1192">
        <v>162.14258739687918</v>
      </c>
      <c r="G286" s="217">
        <v>144.95721497701979</v>
      </c>
      <c r="H286" s="1264"/>
      <c r="I286" s="1263"/>
    </row>
    <row r="287" spans="1:9">
      <c r="A287" s="53">
        <f t="shared" si="5"/>
        <v>2016.02</v>
      </c>
      <c r="B287" s="474">
        <v>134.23236103862521</v>
      </c>
      <c r="C287" s="3535">
        <v>147.0735309036678</v>
      </c>
      <c r="D287" s="3535">
        <v>146.54748831828914</v>
      </c>
      <c r="E287" s="1604">
        <f t="shared" si="6"/>
        <v>163.94810957860361</v>
      </c>
      <c r="F287" s="1192">
        <v>154.71303906213018</v>
      </c>
      <c r="G287" s="217">
        <v>144.37309894785622</v>
      </c>
      <c r="H287" s="1264"/>
      <c r="I287" s="1263"/>
    </row>
    <row r="288" spans="1:9">
      <c r="A288" s="53">
        <f t="shared" si="5"/>
        <v>2016.03</v>
      </c>
      <c r="B288" s="474">
        <v>150.0878942366954</v>
      </c>
      <c r="C288" s="3535">
        <v>146.10851463731433</v>
      </c>
      <c r="D288" s="3535">
        <v>145.99672295993258</v>
      </c>
      <c r="E288" s="1604">
        <f t="shared" si="6"/>
        <v>163.33194794826696</v>
      </c>
      <c r="F288" s="1192">
        <v>167.26595637098612</v>
      </c>
      <c r="G288" s="217">
        <v>143.92879931685948</v>
      </c>
      <c r="H288" s="1264"/>
      <c r="I288" s="1263"/>
    </row>
    <row r="289" spans="1:9">
      <c r="A289" s="53">
        <f t="shared" si="5"/>
        <v>2016.04</v>
      </c>
      <c r="B289" s="474">
        <v>153.25067436662908</v>
      </c>
      <c r="C289" s="3535">
        <v>144.92921584007314</v>
      </c>
      <c r="D289" s="3535">
        <v>145.50904554873608</v>
      </c>
      <c r="E289" s="1604">
        <f t="shared" si="6"/>
        <v>162.78636514389842</v>
      </c>
      <c r="F289" s="1192">
        <v>173.31974432932859</v>
      </c>
      <c r="G289" s="217">
        <v>143.54463306087214</v>
      </c>
      <c r="H289" s="1264"/>
      <c r="I289" s="1263"/>
    </row>
    <row r="290" spans="1:9">
      <c r="A290" s="53">
        <f t="shared" si="5"/>
        <v>2016.05</v>
      </c>
      <c r="B290" s="474">
        <v>163.51360808690507</v>
      </c>
      <c r="C290" s="3535">
        <v>144.60979068880104</v>
      </c>
      <c r="D290" s="3535">
        <v>145.11168805200137</v>
      </c>
      <c r="E290" s="1604">
        <f t="shared" si="6"/>
        <v>162.34182657715718</v>
      </c>
      <c r="F290" s="1192">
        <v>176.68548486978975</v>
      </c>
      <c r="G290" s="217">
        <v>143.04192646800908</v>
      </c>
      <c r="H290" s="1264"/>
      <c r="I290" s="1263"/>
    </row>
    <row r="291" spans="1:9">
      <c r="A291" s="53">
        <f t="shared" si="5"/>
        <v>2016.06</v>
      </c>
      <c r="B291" s="474">
        <v>153.66209524099784</v>
      </c>
      <c r="C291" s="3535">
        <v>144.28461730121603</v>
      </c>
      <c r="D291" s="3535">
        <v>144.82538456264692</v>
      </c>
      <c r="E291" s="1604">
        <f t="shared" si="6"/>
        <v>162.02152824667013</v>
      </c>
      <c r="F291" s="1192">
        <v>173.10823231201184</v>
      </c>
      <c r="G291" s="217">
        <v>142.65100586938016</v>
      </c>
      <c r="H291" s="1264"/>
      <c r="I291" s="1263"/>
    </row>
    <row r="292" spans="1:9">
      <c r="A292" s="53">
        <f t="shared" si="5"/>
        <v>2016.07</v>
      </c>
      <c r="B292" s="474">
        <v>143.73110098180126</v>
      </c>
      <c r="C292" s="3535">
        <v>144.44230222025726</v>
      </c>
      <c r="D292" s="3535">
        <v>144.6621397657425</v>
      </c>
      <c r="E292" s="1604">
        <f t="shared" si="6"/>
        <v>161.8389002387926</v>
      </c>
      <c r="F292" s="1192">
        <v>167.51384786099331</v>
      </c>
      <c r="G292" s="217">
        <v>142.81348452733116</v>
      </c>
      <c r="H292" s="1264"/>
      <c r="I292" s="1263"/>
    </row>
    <row r="293" spans="1:9">
      <c r="A293" s="53">
        <f t="shared" si="5"/>
        <v>2016.08</v>
      </c>
      <c r="B293" s="474">
        <v>143.6741026486049</v>
      </c>
      <c r="C293" s="3535">
        <v>145.51658654598589</v>
      </c>
      <c r="D293" s="3535">
        <v>144.62918087773434</v>
      </c>
      <c r="E293" s="1604">
        <f t="shared" si="6"/>
        <v>161.80202790856873</v>
      </c>
      <c r="F293" s="1192">
        <v>169.603144368594</v>
      </c>
      <c r="G293" s="217">
        <v>143.22569635865975</v>
      </c>
      <c r="H293" s="1264"/>
      <c r="I293" s="1263"/>
    </row>
    <row r="294" spans="1:9">
      <c r="A294" s="53">
        <f t="shared" si="5"/>
        <v>2016.09</v>
      </c>
      <c r="B294" s="474">
        <v>142.00773744282046</v>
      </c>
      <c r="C294" s="3535">
        <v>144.91422930495111</v>
      </c>
      <c r="D294" s="3535">
        <v>144.73037937674931</v>
      </c>
      <c r="E294" s="1604">
        <f t="shared" si="6"/>
        <v>161.91524242214444</v>
      </c>
      <c r="F294" s="1192">
        <v>167.07190703578993</v>
      </c>
      <c r="G294" s="217">
        <v>143.55119064646581</v>
      </c>
      <c r="H294" s="1264"/>
      <c r="I294" s="1263"/>
    </row>
    <row r="295" spans="1:9">
      <c r="A295" s="53">
        <f t="shared" si="5"/>
        <v>2016.1</v>
      </c>
      <c r="B295" s="474">
        <v>141.13686329808141</v>
      </c>
      <c r="C295" s="3535">
        <v>145.0099426627921</v>
      </c>
      <c r="D295" s="3535">
        <v>144.96158361546256</v>
      </c>
      <c r="E295" s="1604">
        <f t="shared" si="6"/>
        <v>162.17389917770254</v>
      </c>
      <c r="F295" s="1192">
        <v>164.4594860837534</v>
      </c>
      <c r="G295" s="217">
        <v>144.01833922957829</v>
      </c>
      <c r="H295" s="1264"/>
      <c r="I295" s="1263"/>
    </row>
    <row r="296" spans="1:9">
      <c r="A296" s="53">
        <f t="shared" si="5"/>
        <v>2016.11</v>
      </c>
      <c r="B296" s="474">
        <v>144.93832064073018</v>
      </c>
      <c r="C296" s="3535">
        <v>145.71579727175728</v>
      </c>
      <c r="D296" s="3535">
        <v>145.31113330135875</v>
      </c>
      <c r="E296" s="1604">
        <f t="shared" si="6"/>
        <v>162.56495337360937</v>
      </c>
      <c r="F296" s="1192">
        <v>164.4805097615419</v>
      </c>
      <c r="G296" s="217">
        <v>144.8617877583452</v>
      </c>
      <c r="H296" s="1264"/>
      <c r="I296" s="1263"/>
    </row>
    <row r="297" spans="1:9">
      <c r="A297" s="53">
        <f t="shared" si="5"/>
        <v>2016.12</v>
      </c>
      <c r="B297" s="474">
        <v>142.59014516031914</v>
      </c>
      <c r="C297" s="3535">
        <v>146.9826617165933</v>
      </c>
      <c r="D297" s="3535">
        <v>145.7658942195805</v>
      </c>
      <c r="E297" s="1604">
        <f t="shared" si="6"/>
        <v>163.07371127665002</v>
      </c>
      <c r="F297" s="1192">
        <v>161.68967641937229</v>
      </c>
      <c r="G297" s="217">
        <v>145.73855314224789</v>
      </c>
      <c r="H297" s="1264"/>
      <c r="I297" s="1263"/>
    </row>
    <row r="298" spans="1:9">
      <c r="A298" s="53">
        <f t="shared" si="5"/>
        <v>2017.01</v>
      </c>
      <c r="B298" s="474">
        <v>136.63265948316217</v>
      </c>
      <c r="C298" s="3535">
        <v>147.28783054174625</v>
      </c>
      <c r="D298" s="3535">
        <v>146.30854552394575</v>
      </c>
      <c r="E298" s="1604">
        <f t="shared" si="6"/>
        <v>163.68079541389446</v>
      </c>
      <c r="F298" s="1192">
        <v>163.36620556495805</v>
      </c>
      <c r="G298" s="217">
        <v>146.22226862455653</v>
      </c>
      <c r="H298" s="1264"/>
      <c r="I298" s="1263"/>
    </row>
    <row r="299" spans="1:9">
      <c r="A299" s="53">
        <f t="shared" si="5"/>
        <v>2017.02</v>
      </c>
      <c r="B299" s="474">
        <v>132.15851633982282</v>
      </c>
      <c r="C299" s="3535">
        <v>146.93413462664321</v>
      </c>
      <c r="D299" s="3535">
        <v>146.91759868504354</v>
      </c>
      <c r="E299" s="1604">
        <f t="shared" si="6"/>
        <v>164.36216577063493</v>
      </c>
      <c r="F299" s="1192">
        <v>150.8522453993678</v>
      </c>
      <c r="G299" s="217">
        <v>146.46817233355043</v>
      </c>
      <c r="H299" s="1264"/>
      <c r="I299" s="1263"/>
    </row>
    <row r="300" spans="1:9">
      <c r="A300" s="53">
        <f t="shared" si="5"/>
        <v>2017.03</v>
      </c>
      <c r="B300" s="474">
        <v>152.62095855905741</v>
      </c>
      <c r="C300" s="3535">
        <v>147.75615312299135</v>
      </c>
      <c r="D300" s="3535">
        <v>147.57012884683868</v>
      </c>
      <c r="E300" s="1604">
        <f t="shared" si="6"/>
        <v>165.09217546030618</v>
      </c>
      <c r="F300" s="1192">
        <v>172.38272908177822</v>
      </c>
      <c r="G300" s="217">
        <v>147.23592482948845</v>
      </c>
      <c r="H300" s="1264"/>
      <c r="I300" s="1263"/>
    </row>
    <row r="301" spans="1:9">
      <c r="A301" s="53">
        <f t="shared" si="5"/>
        <v>2017.04</v>
      </c>
      <c r="B301" s="474">
        <v>151.94634480448744</v>
      </c>
      <c r="C301" s="3535">
        <v>147.64422761579598</v>
      </c>
      <c r="D301" s="3535">
        <v>148.24183922410623</v>
      </c>
      <c r="E301" s="1604">
        <f t="shared" si="6"/>
        <v>165.84364276828325</v>
      </c>
      <c r="F301" s="1192">
        <v>175.44626798302158</v>
      </c>
      <c r="G301" s="217">
        <v>148.19916769633954</v>
      </c>
      <c r="H301" s="1264"/>
      <c r="I301" s="1263"/>
    </row>
    <row r="302" spans="1:9">
      <c r="A302" s="53">
        <f t="shared" si="5"/>
        <v>2017.05</v>
      </c>
      <c r="B302" s="474">
        <v>168.3892094693679</v>
      </c>
      <c r="C302" s="3535">
        <v>148.506517670411</v>
      </c>
      <c r="D302" s="3535">
        <v>148.90276577033757</v>
      </c>
      <c r="E302" s="1604">
        <f t="shared" si="6"/>
        <v>166.58304580458503</v>
      </c>
      <c r="F302" s="1192">
        <v>183.78650736303965</v>
      </c>
      <c r="G302" s="217">
        <v>148.74138779022837</v>
      </c>
      <c r="H302" s="1264"/>
      <c r="I302" s="1263"/>
    </row>
    <row r="303" spans="1:9">
      <c r="A303" s="53">
        <f t="shared" si="5"/>
        <v>2017.06</v>
      </c>
      <c r="B303" s="474">
        <v>161.03568546945243</v>
      </c>
      <c r="C303" s="3535">
        <v>150.16406696867037</v>
      </c>
      <c r="D303" s="3535">
        <v>149.51953400295426</v>
      </c>
      <c r="E303" s="1604">
        <f t="shared" si="6"/>
        <v>167.27304729793047</v>
      </c>
      <c r="F303" s="1192">
        <v>180.90096239211675</v>
      </c>
      <c r="G303" s="217">
        <v>149.29715937271843</v>
      </c>
      <c r="H303" s="1264"/>
      <c r="I303" s="1263"/>
    </row>
    <row r="304" spans="1:9">
      <c r="A304" s="53">
        <f t="shared" si="5"/>
        <v>2017.07</v>
      </c>
      <c r="B304" s="474">
        <v>150.3060501239201</v>
      </c>
      <c r="C304" s="3535">
        <v>150.41944165359786</v>
      </c>
      <c r="D304" s="3535">
        <v>150.05662690671261</v>
      </c>
      <c r="E304" s="1604">
        <f t="shared" si="6"/>
        <v>167.87391304629469</v>
      </c>
      <c r="F304" s="1192">
        <v>178.66684302950173</v>
      </c>
      <c r="G304" s="217">
        <v>150.03729714589809</v>
      </c>
      <c r="H304" s="1264"/>
      <c r="I304" s="1263"/>
    </row>
    <row r="305" spans="1:10">
      <c r="A305" s="53">
        <f t="shared" si="5"/>
        <v>2017.08</v>
      </c>
      <c r="B305" s="474">
        <v>149.25534277384119</v>
      </c>
      <c r="C305" s="3535">
        <v>150.44302122832045</v>
      </c>
      <c r="D305" s="3535">
        <v>150.4783661838681</v>
      </c>
      <c r="E305" s="1604">
        <f t="shared" si="6"/>
        <v>168.34572841493829</v>
      </c>
      <c r="F305" s="1192">
        <v>181.19630758079131</v>
      </c>
      <c r="G305" s="217">
        <v>150.27922351835772</v>
      </c>
      <c r="H305" s="1264"/>
      <c r="I305" s="1263"/>
      <c r="J305" s="1246"/>
    </row>
    <row r="306" spans="1:10">
      <c r="A306" s="53">
        <f t="shared" si="5"/>
        <v>2017.09</v>
      </c>
      <c r="B306" s="474">
        <v>146.38655965775396</v>
      </c>
      <c r="C306" s="3535">
        <v>151.22418367580548</v>
      </c>
      <c r="D306" s="3535">
        <v>150.75111225813859</v>
      </c>
      <c r="E306" s="1604">
        <f t="shared" si="6"/>
        <v>168.65085956242348</v>
      </c>
      <c r="F306" s="1192">
        <v>177.32600566345062</v>
      </c>
      <c r="G306" s="217">
        <v>150.22333745357446</v>
      </c>
      <c r="H306" s="1264"/>
      <c r="I306" s="1263"/>
      <c r="J306" s="1246"/>
    </row>
    <row r="307" spans="1:10">
      <c r="A307" s="53">
        <f t="shared" si="5"/>
        <v>2017.1</v>
      </c>
      <c r="B307" s="474">
        <v>149.38594966601465</v>
      </c>
      <c r="C307" s="3535">
        <v>151.758219009497</v>
      </c>
      <c r="D307" s="3535">
        <v>150.84979048866137</v>
      </c>
      <c r="E307" s="1604">
        <f t="shared" si="6"/>
        <v>168.76125455817828</v>
      </c>
      <c r="F307" s="1192">
        <v>177.00200469546962</v>
      </c>
      <c r="G307" s="217">
        <v>150.49834256426783</v>
      </c>
      <c r="H307" s="1264"/>
      <c r="I307" s="1263"/>
      <c r="J307" s="1246"/>
    </row>
    <row r="308" spans="1:10">
      <c r="A308" s="53">
        <f t="shared" si="5"/>
        <v>2017.11</v>
      </c>
      <c r="B308" s="474">
        <v>151.92604285202702</v>
      </c>
      <c r="C308" s="3535">
        <v>152.57421307554173</v>
      </c>
      <c r="D308" s="3535">
        <v>150.75430898737324</v>
      </c>
      <c r="E308" s="1604">
        <f t="shared" si="6"/>
        <v>168.65443586196207</v>
      </c>
      <c r="F308" s="1192">
        <v>175.70063118460294</v>
      </c>
      <c r="G308" s="217">
        <v>151.10198916613683</v>
      </c>
      <c r="H308" s="1264"/>
      <c r="I308" s="1263"/>
      <c r="J308" s="1246"/>
    </row>
    <row r="309" spans="1:10">
      <c r="A309" s="53">
        <f t="shared" si="5"/>
        <v>2017.12</v>
      </c>
      <c r="B309" s="474">
        <v>146.78338490922457</v>
      </c>
      <c r="C309" s="3535">
        <v>152.11469489125977</v>
      </c>
      <c r="D309" s="3535">
        <v>150.4567340837346</v>
      </c>
      <c r="E309" s="1604">
        <f t="shared" si="6"/>
        <v>168.32152778233927</v>
      </c>
      <c r="F309" s="1192">
        <v>167.73649345003622</v>
      </c>
      <c r="G309" s="217">
        <v>151.15271776096299</v>
      </c>
      <c r="H309" s="1265"/>
      <c r="I309" s="1263"/>
      <c r="J309" s="1266"/>
    </row>
    <row r="310" spans="1:10" ht="14.25">
      <c r="A310" s="53">
        <f t="shared" si="5"/>
        <v>2018.01</v>
      </c>
      <c r="B310" s="474">
        <v>142.74091260617232</v>
      </c>
      <c r="C310" s="3535">
        <v>150.73526012195717</v>
      </c>
      <c r="D310" s="3535">
        <v>149.96567876832358</v>
      </c>
      <c r="E310" s="1604">
        <f t="shared" si="6"/>
        <v>167.77216599126371</v>
      </c>
      <c r="F310" s="1192">
        <v>169.59183206235025</v>
      </c>
      <c r="G310" s="217">
        <v>150.66144516121273</v>
      </c>
      <c r="H310" s="347"/>
      <c r="I310" s="348"/>
      <c r="J310" s="1246"/>
    </row>
    <row r="311" spans="1:10" ht="14.25">
      <c r="A311" s="53">
        <f t="shared" si="5"/>
        <v>2018.02</v>
      </c>
      <c r="B311" s="474">
        <v>138.81804035165752</v>
      </c>
      <c r="C311" s="3535">
        <v>151.90328057084443</v>
      </c>
      <c r="D311" s="3535">
        <v>149.30435008530588</v>
      </c>
      <c r="E311" s="1604">
        <f t="shared" si="6"/>
        <v>167.03231306962664</v>
      </c>
      <c r="F311" s="1192">
        <v>159.70574761360294</v>
      </c>
      <c r="G311" s="217">
        <v>150.38420092322167</v>
      </c>
      <c r="H311" s="347"/>
      <c r="I311" s="348"/>
      <c r="J311" s="1246"/>
    </row>
    <row r="312" spans="1:10" ht="14.25">
      <c r="A312" s="53">
        <f t="shared" si="5"/>
        <v>2018.03</v>
      </c>
      <c r="B312" s="474">
        <v>155.85731953576982</v>
      </c>
      <c r="C312" s="3535">
        <v>151.33512477508165</v>
      </c>
      <c r="D312" s="3535">
        <v>148.50864233651453</v>
      </c>
      <c r="E312" s="1604">
        <f t="shared" si="6"/>
        <v>166.1421253039513</v>
      </c>
      <c r="F312" s="1192">
        <v>176.61958455926074</v>
      </c>
      <c r="G312" s="217">
        <v>150.25263324655597</v>
      </c>
      <c r="H312" s="347"/>
      <c r="I312" s="348"/>
      <c r="J312" s="1246"/>
    </row>
    <row r="313" spans="1:10" ht="14.25">
      <c r="A313" s="53">
        <f t="shared" si="5"/>
        <v>2018.04</v>
      </c>
      <c r="B313" s="474">
        <v>151.52454398394349</v>
      </c>
      <c r="C313" s="3535">
        <v>146.83545544273494</v>
      </c>
      <c r="D313" s="3535">
        <v>147.62333168581083</v>
      </c>
      <c r="E313" s="1604">
        <f t="shared" si="6"/>
        <v>165.15169544917663</v>
      </c>
      <c r="F313" s="1192">
        <v>173.9970493503431</v>
      </c>
      <c r="G313" s="217">
        <v>149.80584009383426</v>
      </c>
      <c r="H313" s="347"/>
      <c r="I313" s="348"/>
      <c r="J313" s="1246"/>
    </row>
    <row r="314" spans="1:10" ht="14.25">
      <c r="A314" s="53">
        <f t="shared" si="5"/>
        <v>2018.05</v>
      </c>
      <c r="B314" s="474">
        <v>159.56669237791675</v>
      </c>
      <c r="C314" s="3535">
        <v>144.73606068174158</v>
      </c>
      <c r="D314" s="3535">
        <v>146.69981092291601</v>
      </c>
      <c r="E314" s="1604">
        <f t="shared" si="6"/>
        <v>164.11851852495434</v>
      </c>
      <c r="F314" s="1192">
        <v>178.25633117532331</v>
      </c>
      <c r="G314" s="217">
        <v>149.1221645991869</v>
      </c>
      <c r="H314" s="347"/>
      <c r="I314" s="348"/>
      <c r="J314" s="1246"/>
    </row>
    <row r="315" spans="1:10" ht="14.25">
      <c r="A315" s="53">
        <f t="shared" si="5"/>
        <v>2018.06</v>
      </c>
      <c r="B315" s="474">
        <v>151.1257632334553</v>
      </c>
      <c r="C315" s="3535">
        <v>143.43435071467957</v>
      </c>
      <c r="D315" s="3535">
        <v>145.79150750165263</v>
      </c>
      <c r="E315" s="1604">
        <f t="shared" si="6"/>
        <v>163.10236580511733</v>
      </c>
      <c r="F315" s="1192">
        <v>171.45969954572112</v>
      </c>
      <c r="G315" s="217">
        <v>147.74427187588572</v>
      </c>
      <c r="H315" s="347"/>
      <c r="I315" s="348"/>
      <c r="J315" s="1246"/>
    </row>
    <row r="316" spans="1:10" ht="14.25">
      <c r="A316" s="53">
        <f t="shared" si="5"/>
        <v>2018.07</v>
      </c>
      <c r="B316" s="474">
        <v>145.9635244300047</v>
      </c>
      <c r="C316" s="3535">
        <v>143.8593540054695</v>
      </c>
      <c r="D316" s="3535">
        <v>144.94779112366157</v>
      </c>
      <c r="E316" s="1604">
        <f t="shared" si="6"/>
        <v>162.15846900566004</v>
      </c>
      <c r="F316" s="1192">
        <v>174.32658370702748</v>
      </c>
      <c r="G316" s="217">
        <v>145.99764895123286</v>
      </c>
      <c r="H316" s="347"/>
      <c r="I316" s="348"/>
      <c r="J316" s="1246"/>
    </row>
    <row r="317" spans="1:10" ht="14.25">
      <c r="A317" s="53">
        <f t="shared" si="5"/>
        <v>2018.08</v>
      </c>
      <c r="B317" s="474">
        <v>146.76596003413977</v>
      </c>
      <c r="C317" s="3535">
        <v>146.6868146054301</v>
      </c>
      <c r="D317" s="3535">
        <v>144.21330657798896</v>
      </c>
      <c r="E317" s="1604">
        <f t="shared" si="6"/>
        <v>161.33677390764382</v>
      </c>
      <c r="F317" s="1192">
        <v>176.37633479480749</v>
      </c>
      <c r="G317" s="217">
        <v>144.53471899560319</v>
      </c>
      <c r="H317" s="347"/>
      <c r="I317" s="348"/>
      <c r="J317" s="1246"/>
    </row>
    <row r="318" spans="1:10" ht="14.25">
      <c r="A318" s="53">
        <f t="shared" ref="A318:A381" si="7">A306+1</f>
        <v>2018.09</v>
      </c>
      <c r="B318" s="474">
        <v>137.74656971864809</v>
      </c>
      <c r="C318" s="3535">
        <v>143.21638592657462</v>
      </c>
      <c r="D318" s="3535">
        <v>143.6187013418222</v>
      </c>
      <c r="E318" s="1604">
        <f t="shared" si="6"/>
        <v>160.67156698029376</v>
      </c>
      <c r="F318" s="1192">
        <v>167.53482986845583</v>
      </c>
      <c r="G318" s="217">
        <v>143.03102415528579</v>
      </c>
      <c r="H318" s="347"/>
      <c r="I318" s="348"/>
      <c r="J318" s="1246"/>
    </row>
    <row r="319" spans="1:10" ht="14.25">
      <c r="A319" s="53">
        <f t="shared" si="7"/>
        <v>2018.1</v>
      </c>
      <c r="B319" s="474">
        <v>142.84327598456773</v>
      </c>
      <c r="C319" s="3535">
        <v>143.46264585114906</v>
      </c>
      <c r="D319" s="3535">
        <v>143.17761282979643</v>
      </c>
      <c r="E319" s="1604">
        <f t="shared" si="6"/>
        <v>160.1781049050762</v>
      </c>
      <c r="F319" s="1192">
        <v>167.63457359091464</v>
      </c>
      <c r="G319" s="217">
        <v>141.24060026092786</v>
      </c>
      <c r="H319" s="347"/>
      <c r="I319" s="348"/>
      <c r="J319" s="1246"/>
    </row>
    <row r="320" spans="1:10" ht="14.25">
      <c r="A320" s="53">
        <f t="shared" si="7"/>
        <v>2018.11</v>
      </c>
      <c r="B320" s="474">
        <v>140.59240732533573</v>
      </c>
      <c r="C320" s="3535">
        <v>141.5857201570667</v>
      </c>
      <c r="D320" s="3535">
        <v>142.8909948083799</v>
      </c>
      <c r="E320" s="1604">
        <f t="shared" si="6"/>
        <v>159.85745469590753</v>
      </c>
      <c r="F320" s="1192">
        <v>162.60694245818701</v>
      </c>
      <c r="G320" s="217">
        <v>139.85179787999996</v>
      </c>
      <c r="H320" s="347"/>
      <c r="I320" s="348"/>
      <c r="J320" s="1246"/>
    </row>
    <row r="321" spans="1:10" ht="14.25">
      <c r="A321" s="53">
        <f t="shared" si="7"/>
        <v>2018.12</v>
      </c>
      <c r="B321" s="474">
        <v>136.25161596905645</v>
      </c>
      <c r="C321" s="3535">
        <v>142.00617267082225</v>
      </c>
      <c r="D321" s="3535">
        <v>142.74711270118166</v>
      </c>
      <c r="E321" s="1604">
        <f t="shared" si="6"/>
        <v>159.69648844702783</v>
      </c>
      <c r="F321" s="1192">
        <v>155.80000000000001</v>
      </c>
      <c r="G321" s="217">
        <v>139.78296304462458</v>
      </c>
      <c r="H321" s="387"/>
      <c r="I321" s="348"/>
      <c r="J321" s="347"/>
    </row>
    <row r="322" spans="1:10">
      <c r="A322" s="53">
        <f t="shared" si="7"/>
        <v>2019.01</v>
      </c>
      <c r="B322" s="474">
        <v>134.53623985669589</v>
      </c>
      <c r="C322" s="3535">
        <v>141.79432368279794</v>
      </c>
      <c r="D322" s="3535">
        <v>142.71947890740492</v>
      </c>
      <c r="E322" s="1604">
        <f t="shared" si="6"/>
        <v>159.66557349719028</v>
      </c>
      <c r="F322" s="1192">
        <v>158.5</v>
      </c>
      <c r="G322" s="217">
        <v>140.37523855228932</v>
      </c>
      <c r="H322" s="1266"/>
      <c r="I322" s="1266"/>
      <c r="J322" s="1246"/>
    </row>
    <row r="323" spans="1:10">
      <c r="A323" s="53">
        <f t="shared" si="7"/>
        <v>2019.02</v>
      </c>
      <c r="B323" s="474">
        <v>132.2678886127367</v>
      </c>
      <c r="C323" s="3535">
        <v>144.15550670865235</v>
      </c>
      <c r="D323" s="3535">
        <v>142.77094533098327</v>
      </c>
      <c r="E323" s="1604">
        <f t="shared" si="6"/>
        <v>159.72315089376846</v>
      </c>
      <c r="F323" s="1192">
        <v>150.4</v>
      </c>
      <c r="G323" s="217">
        <v>140.89101806369092</v>
      </c>
      <c r="H323" s="1246"/>
      <c r="I323" s="1246"/>
      <c r="J323" s="1246"/>
    </row>
    <row r="324" spans="1:10">
      <c r="A324" s="53">
        <f t="shared" si="7"/>
        <v>2019.03</v>
      </c>
      <c r="B324" s="474">
        <v>144.96325495574922</v>
      </c>
      <c r="C324" s="3535">
        <v>142.59443805924374</v>
      </c>
      <c r="D324" s="3535">
        <v>142.86225149941299</v>
      </c>
      <c r="E324" s="1604">
        <f>D324*$E$9</f>
        <v>159.82529849028276</v>
      </c>
      <c r="F324" s="1192">
        <v>162.1</v>
      </c>
      <c r="G324" s="217">
        <v>140.81659097598063</v>
      </c>
      <c r="H324" s="1246"/>
      <c r="I324" s="1246"/>
      <c r="J324" s="1246"/>
    </row>
    <row r="325" spans="1:10">
      <c r="A325" s="53">
        <f t="shared" si="7"/>
        <v>2019.04</v>
      </c>
      <c r="B325" s="474">
        <v>149.9162214035228</v>
      </c>
      <c r="C325" s="3535">
        <v>142.60231019450458</v>
      </c>
      <c r="D325" s="3535">
        <v>142.95153273177766</v>
      </c>
      <c r="E325" s="1604">
        <f t="shared" si="6"/>
        <v>159.9251807157307</v>
      </c>
      <c r="F325" s="1192">
        <v>171.2</v>
      </c>
      <c r="G325" s="217">
        <v>140.96969016801367</v>
      </c>
      <c r="H325" s="1246"/>
      <c r="I325" s="1246"/>
      <c r="J325" s="1246"/>
    </row>
    <row r="326" spans="1:10">
      <c r="A326" s="53">
        <f t="shared" si="7"/>
        <v>2019.05</v>
      </c>
      <c r="B326" s="474">
        <v>164.13569907592046</v>
      </c>
      <c r="C326" s="3535">
        <v>144.6132395614579</v>
      </c>
      <c r="D326" s="3535">
        <v>143.00113542926778</v>
      </c>
      <c r="E326" s="1604">
        <f t="shared" si="6"/>
        <v>159.98067309282175</v>
      </c>
      <c r="F326" s="1192">
        <v>178.4</v>
      </c>
      <c r="G326" s="217">
        <v>141.43442315954334</v>
      </c>
      <c r="H326" s="1246"/>
      <c r="I326" s="1246"/>
      <c r="J326" s="1246"/>
    </row>
    <row r="327" spans="1:10">
      <c r="A327" s="53">
        <f t="shared" si="7"/>
        <v>2019.06</v>
      </c>
      <c r="B327" s="474">
        <v>150.85897174113131</v>
      </c>
      <c r="C327" s="3535">
        <v>143.72744711431142</v>
      </c>
      <c r="D327" s="3535">
        <v>142.97836557235004</v>
      </c>
      <c r="E327" s="1604">
        <f t="shared" si="6"/>
        <v>159.95519960951694</v>
      </c>
      <c r="F327" s="767">
        <v>173.2</v>
      </c>
      <c r="G327" s="217">
        <v>141.42768882034025</v>
      </c>
      <c r="H327" s="1246"/>
      <c r="I327" s="1246"/>
      <c r="J327" s="1246"/>
    </row>
    <row r="328" spans="1:10">
      <c r="A328" s="53">
        <f t="shared" si="7"/>
        <v>2019.07</v>
      </c>
      <c r="B328" s="474">
        <v>146.77702964007042</v>
      </c>
      <c r="C328" s="3535">
        <v>145.55248976350893</v>
      </c>
      <c r="D328" s="3535">
        <v>142.85657834248337</v>
      </c>
      <c r="E328" s="1604">
        <f t="shared" si="6"/>
        <v>159.81895171924884</v>
      </c>
      <c r="F328" s="1267">
        <v>170.6</v>
      </c>
      <c r="G328" s="217">
        <v>141.08972014382644</v>
      </c>
      <c r="H328" s="1246"/>
      <c r="I328" s="1246"/>
      <c r="J328" s="1246"/>
    </row>
    <row r="329" spans="1:10">
      <c r="A329" s="53">
        <f t="shared" si="7"/>
        <v>2019.08</v>
      </c>
      <c r="B329" s="474">
        <v>141.27693468084041</v>
      </c>
      <c r="C329" s="3535">
        <v>144.6185374108843</v>
      </c>
      <c r="D329" s="3535">
        <v>142.61906386804452</v>
      </c>
      <c r="E329" s="1604">
        <f t="shared" si="6"/>
        <v>159.55323546898305</v>
      </c>
      <c r="F329" s="1267">
        <v>168.8</v>
      </c>
      <c r="G329" s="217">
        <v>140.2686077726018</v>
      </c>
      <c r="H329" s="1246"/>
      <c r="I329" s="1246"/>
      <c r="J329" s="1246"/>
    </row>
    <row r="330" spans="1:10">
      <c r="A330" s="53">
        <f t="shared" si="7"/>
        <v>2019.09</v>
      </c>
      <c r="B330" s="474">
        <v>134.87706647993659</v>
      </c>
      <c r="C330" s="3535">
        <v>140.45106888843378</v>
      </c>
      <c r="D330" s="3535">
        <v>142.25955618378433</v>
      </c>
      <c r="E330" s="1604">
        <f t="shared" ref="E330:E374" si="8">D330*$E$9</f>
        <v>159.15104089103554</v>
      </c>
      <c r="F330" s="1267">
        <v>163.5</v>
      </c>
      <c r="G330" s="217">
        <v>138.86766026126242</v>
      </c>
      <c r="H330" s="1246"/>
      <c r="I330" s="1246"/>
      <c r="J330" s="1246"/>
    </row>
    <row r="331" spans="1:10">
      <c r="A331" s="53">
        <f t="shared" si="7"/>
        <v>2019.1</v>
      </c>
      <c r="B331" s="474">
        <v>141.63933661701387</v>
      </c>
      <c r="C331" s="3535">
        <v>143.74226390099199</v>
      </c>
      <c r="D331" s="3535">
        <v>141.78183838434097</v>
      </c>
      <c r="E331" s="1604">
        <f t="shared" si="8"/>
        <v>158.61660027366597</v>
      </c>
      <c r="F331" s="1267">
        <v>165</v>
      </c>
      <c r="G331" s="217">
        <v>137.56209543753624</v>
      </c>
      <c r="H331" s="1246"/>
      <c r="I331" s="1246"/>
      <c r="J331" s="1246"/>
    </row>
    <row r="332" spans="1:10">
      <c r="A332" s="53">
        <f t="shared" si="7"/>
        <v>2019.11</v>
      </c>
      <c r="B332" s="474">
        <v>137.77182966933154</v>
      </c>
      <c r="C332" s="3535">
        <v>140.82638022720951</v>
      </c>
      <c r="D332" s="3535">
        <v>141.19987367454414</v>
      </c>
      <c r="E332" s="1604">
        <f t="shared" si="8"/>
        <v>157.96553477191253</v>
      </c>
      <c r="F332" s="1267">
        <v>159.30000000000001</v>
      </c>
      <c r="G332" s="217">
        <v>136.31524996881194</v>
      </c>
      <c r="H332" s="1246"/>
      <c r="I332" s="1246"/>
      <c r="J332" s="1246"/>
    </row>
    <row r="333" spans="1:10">
      <c r="A333" s="53">
        <f t="shared" si="7"/>
        <v>2019.12</v>
      </c>
      <c r="B333" s="474">
        <v>135.7651545276351</v>
      </c>
      <c r="C333" s="3535">
        <v>140.10762172203482</v>
      </c>
      <c r="D333" s="3535">
        <v>140.53870161865993</v>
      </c>
      <c r="E333" s="1604">
        <f t="shared" si="8"/>
        <v>157.22585707485788</v>
      </c>
      <c r="F333" s="1267">
        <v>151.9</v>
      </c>
      <c r="G333" s="217">
        <v>134.99389475418846</v>
      </c>
      <c r="H333" s="1246"/>
      <c r="I333" s="1246"/>
      <c r="J333" s="1246"/>
    </row>
    <row r="334" spans="1:10">
      <c r="A334" s="53">
        <f t="shared" si="7"/>
        <v>2020.01</v>
      </c>
      <c r="B334" s="474">
        <v>133.89108608957252</v>
      </c>
      <c r="C334" s="3535">
        <v>140.6036798183564</v>
      </c>
      <c r="D334" s="3535">
        <v>139.82772013200128</v>
      </c>
      <c r="E334" s="1604">
        <f t="shared" si="8"/>
        <v>156.43045572052077</v>
      </c>
      <c r="F334" s="1267">
        <v>152.6</v>
      </c>
      <c r="G334" s="217">
        <v>133.44524181543579</v>
      </c>
      <c r="H334" s="1266"/>
      <c r="I334" s="1246"/>
      <c r="J334" s="1246"/>
    </row>
    <row r="335" spans="1:10">
      <c r="A335" s="53">
        <f t="shared" si="7"/>
        <v>2020.02</v>
      </c>
      <c r="B335" s="474">
        <v>128.97363874659834</v>
      </c>
      <c r="C335" s="3535">
        <v>139.35074093412922</v>
      </c>
      <c r="D335" s="3535">
        <v>139.10085474883599</v>
      </c>
      <c r="E335" s="1604">
        <f t="shared" si="8"/>
        <v>155.61728446214167</v>
      </c>
      <c r="F335" s="1267">
        <v>145.1</v>
      </c>
      <c r="G335" s="217">
        <v>131.46021785021267</v>
      </c>
      <c r="H335" s="1266"/>
      <c r="I335" s="1266"/>
      <c r="J335" s="1246"/>
    </row>
    <row r="336" spans="1:10">
      <c r="A336" s="53">
        <f t="shared" si="7"/>
        <v>2020.03</v>
      </c>
      <c r="B336" s="474">
        <v>128.21106074025664</v>
      </c>
      <c r="C336" s="3535">
        <v>125.97316204831111</v>
      </c>
      <c r="D336" s="3535">
        <v>138.39412945530478</v>
      </c>
      <c r="E336" s="1604">
        <f t="shared" si="8"/>
        <v>154.82664466888795</v>
      </c>
      <c r="F336" s="1267">
        <v>146.5</v>
      </c>
      <c r="G336" s="217">
        <v>129.52288823455274</v>
      </c>
      <c r="H336" s="1266"/>
      <c r="I336" s="1266"/>
      <c r="J336" s="1246"/>
    </row>
    <row r="337" spans="1:9">
      <c r="A337" s="53">
        <f t="shared" si="7"/>
        <v>2020.04</v>
      </c>
      <c r="B337" s="474">
        <v>113.29503444580129</v>
      </c>
      <c r="C337" s="3535">
        <v>106.18032476382055</v>
      </c>
      <c r="D337" s="3535">
        <v>137.74419083130718</v>
      </c>
      <c r="E337" s="1604">
        <f t="shared" si="8"/>
        <v>154.0995342286524</v>
      </c>
      <c r="F337" s="1192">
        <v>133</v>
      </c>
      <c r="G337" s="217">
        <v>128.15630163165963</v>
      </c>
      <c r="H337" s="1266"/>
      <c r="I337" s="1266"/>
    </row>
    <row r="338" spans="1:9">
      <c r="A338" s="53">
        <f t="shared" si="7"/>
        <v>2020.05</v>
      </c>
      <c r="B338" s="474">
        <v>131.02956919734908</v>
      </c>
      <c r="C338" s="3535">
        <v>117.56499589517145</v>
      </c>
      <c r="D338" s="3535">
        <v>137.18583559564087</v>
      </c>
      <c r="E338" s="1604">
        <f t="shared" si="8"/>
        <v>153.47488152111512</v>
      </c>
      <c r="F338" s="1192">
        <v>145.5</v>
      </c>
      <c r="G338" s="217">
        <v>127.81397558438718</v>
      </c>
      <c r="H338" s="1246"/>
      <c r="I338" s="1246"/>
    </row>
    <row r="339" spans="1:9">
      <c r="A339" s="53">
        <f t="shared" si="7"/>
        <v>2020.06</v>
      </c>
      <c r="B339" s="474">
        <v>132.52196526648828</v>
      </c>
      <c r="C339" s="3535">
        <v>124.71912720009033</v>
      </c>
      <c r="D339" s="3535">
        <v>136.74753207589245</v>
      </c>
      <c r="E339" s="1604">
        <f t="shared" si="8"/>
        <v>152.98453512003366</v>
      </c>
      <c r="F339" s="1192">
        <v>154.30000000000001</v>
      </c>
      <c r="G339" s="217">
        <v>128.75314949036422</v>
      </c>
      <c r="H339" s="1246"/>
      <c r="I339" s="1246"/>
    </row>
    <row r="340" spans="1:9">
      <c r="A340" s="53">
        <f t="shared" si="7"/>
        <v>2020.07</v>
      </c>
      <c r="B340" s="474">
        <v>127.46368946979557</v>
      </c>
      <c r="C340" s="3535">
        <v>126.26766306255661</v>
      </c>
      <c r="D340" s="3535">
        <v>136.44960639816946</v>
      </c>
      <c r="E340" s="1604">
        <f t="shared" si="8"/>
        <v>152.65123461643498</v>
      </c>
      <c r="F340" s="1192">
        <v>151.1</v>
      </c>
      <c r="G340" s="217">
        <v>130.3659284812029</v>
      </c>
      <c r="H340" s="1246"/>
      <c r="I340" s="1246"/>
    </row>
    <row r="341" spans="1:9">
      <c r="A341" s="53">
        <f t="shared" si="7"/>
        <v>2020.08</v>
      </c>
      <c r="B341" s="474">
        <v>125.18389375984724</v>
      </c>
      <c r="C341" s="3535">
        <v>128.86297264851027</v>
      </c>
      <c r="D341" s="3535">
        <v>136.30545816098535</v>
      </c>
      <c r="E341" s="1604">
        <f t="shared" si="8"/>
        <v>152.48997063807121</v>
      </c>
      <c r="F341" s="1192">
        <v>152.6</v>
      </c>
      <c r="G341" s="217">
        <v>132.03698827069101</v>
      </c>
      <c r="H341" s="1246"/>
      <c r="I341" s="1246"/>
    </row>
    <row r="342" spans="1:9">
      <c r="A342" s="53">
        <f t="shared" si="7"/>
        <v>2020.09</v>
      </c>
      <c r="B342" s="474">
        <v>127.17507609335082</v>
      </c>
      <c r="C342" s="3535">
        <v>130.69181304546765</v>
      </c>
      <c r="D342" s="3535">
        <v>136.31800121280813</v>
      </c>
      <c r="E342" s="1604">
        <f t="shared" si="8"/>
        <v>152.50400301527733</v>
      </c>
      <c r="F342" s="1192">
        <v>154.9</v>
      </c>
      <c r="G342" s="217">
        <v>133.55993245984266</v>
      </c>
      <c r="H342" s="1246"/>
      <c r="I342" s="1246"/>
    </row>
    <row r="343" spans="1:9">
      <c r="A343" s="53">
        <f t="shared" si="7"/>
        <v>2020.1</v>
      </c>
      <c r="B343" s="474">
        <v>131.34550189452142</v>
      </c>
      <c r="C343" s="3535">
        <v>133.26525897935591</v>
      </c>
      <c r="D343" s="3535">
        <v>136.48223855035084</v>
      </c>
      <c r="E343" s="1604">
        <f t="shared" si="8"/>
        <v>152.68774141517312</v>
      </c>
      <c r="F343" s="1192">
        <v>157.6</v>
      </c>
      <c r="G343" s="217">
        <v>135.0511285728798</v>
      </c>
      <c r="H343" s="1246"/>
      <c r="I343" s="1246"/>
    </row>
    <row r="344" spans="1:9">
      <c r="A344" s="53">
        <f t="shared" si="7"/>
        <v>2020.11</v>
      </c>
      <c r="B344" s="474">
        <v>132.06865525299401</v>
      </c>
      <c r="C344" s="3535">
        <v>134.71071040246167</v>
      </c>
      <c r="D344" s="3535">
        <v>136.78361152018331</v>
      </c>
      <c r="E344" s="1604">
        <f t="shared" si="8"/>
        <v>153.02489853229008</v>
      </c>
      <c r="F344" s="1192">
        <v>161.1</v>
      </c>
      <c r="G344" s="217">
        <v>136.36279971283204</v>
      </c>
      <c r="H344" s="1246"/>
      <c r="I344" s="1246"/>
    </row>
    <row r="345" spans="1:9">
      <c r="A345" s="53">
        <f t="shared" si="7"/>
        <v>2020.12</v>
      </c>
      <c r="B345" s="474">
        <v>133.85436559461567</v>
      </c>
      <c r="C345" s="3535">
        <v>136.82308772906509</v>
      </c>
      <c r="D345" s="3535">
        <v>137.20224637216864</v>
      </c>
      <c r="E345" s="1604">
        <f t="shared" si="8"/>
        <v>153.49324086537493</v>
      </c>
      <c r="F345" s="1192">
        <v>151.9</v>
      </c>
      <c r="G345" s="217">
        <v>137.27496242093125</v>
      </c>
      <c r="H345" s="1246"/>
      <c r="I345" s="1246"/>
    </row>
    <row r="346" spans="1:9">
      <c r="A346" s="53">
        <f t="shared" si="7"/>
        <v>2021.01</v>
      </c>
      <c r="B346" s="474">
        <v>131.52153739734899</v>
      </c>
      <c r="C346" s="3535">
        <v>139.63894578986631</v>
      </c>
      <c r="D346" s="3535">
        <v>137.71736457026788</v>
      </c>
      <c r="E346" s="1604">
        <f t="shared" si="8"/>
        <v>154.06952269563382</v>
      </c>
      <c r="F346" s="1192">
        <v>155.4</v>
      </c>
      <c r="G346" s="217">
        <v>138.08744450250799</v>
      </c>
      <c r="H346" s="1246"/>
      <c r="I346" s="1246"/>
    </row>
    <row r="347" spans="1:9">
      <c r="A347" s="53">
        <f t="shared" si="7"/>
        <v>2021.02</v>
      </c>
      <c r="B347" s="474">
        <v>126.2392669683769</v>
      </c>
      <c r="C347" s="3535">
        <v>138.09511409430371</v>
      </c>
      <c r="D347" s="3535">
        <v>138.31354130774039</v>
      </c>
      <c r="E347" s="1604">
        <f t="shared" si="8"/>
        <v>154.73648771977037</v>
      </c>
      <c r="F347" s="1192">
        <v>146.30000000000001</v>
      </c>
      <c r="G347" s="217">
        <v>138.95495696210247</v>
      </c>
      <c r="H347" s="1246"/>
      <c r="I347" s="1246"/>
    </row>
    <row r="348" spans="1:9">
      <c r="A348" s="53">
        <f t="shared" si="7"/>
        <v>2021.03</v>
      </c>
      <c r="B348" s="474">
        <v>145.95690010360465</v>
      </c>
      <c r="C348" s="3535">
        <v>141.03398403621657</v>
      </c>
      <c r="D348" s="3535">
        <v>138.97963431850297</v>
      </c>
      <c r="E348" s="1604">
        <f t="shared" si="8"/>
        <v>155.48167067153042</v>
      </c>
      <c r="F348" s="1192">
        <v>164</v>
      </c>
      <c r="G348" s="217">
        <v>139.88570525906962</v>
      </c>
      <c r="H348" s="1246"/>
      <c r="I348" s="1246"/>
    </row>
    <row r="349" spans="1:9">
      <c r="A349" s="53">
        <f t="shared" si="7"/>
        <v>2021.04</v>
      </c>
      <c r="B349" s="474">
        <v>147.28084401862384</v>
      </c>
      <c r="C349" s="3535">
        <v>139.45903788617423</v>
      </c>
      <c r="D349" s="3535">
        <v>139.70889552256895</v>
      </c>
      <c r="E349" s="1604">
        <f t="shared" si="8"/>
        <v>156.29752222359494</v>
      </c>
      <c r="F349" s="1192">
        <v>167.1</v>
      </c>
      <c r="G349" s="217">
        <v>140.14354477105204</v>
      </c>
      <c r="H349" s="1246"/>
      <c r="I349" s="1246"/>
    </row>
    <row r="350" spans="1:9">
      <c r="A350" s="53">
        <f t="shared" si="7"/>
        <v>2021.05</v>
      </c>
      <c r="B350" s="474">
        <v>151.16932233869107</v>
      </c>
      <c r="C350" s="3535">
        <v>138.97237834209403</v>
      </c>
      <c r="D350" s="3535">
        <v>140.49863799043612</v>
      </c>
      <c r="E350" s="1604">
        <f t="shared" si="8"/>
        <v>157.18103640829082</v>
      </c>
      <c r="F350" s="1192">
        <v>164.6</v>
      </c>
      <c r="G350" s="217">
        <v>140.23526019895638</v>
      </c>
      <c r="H350" s="1246"/>
      <c r="I350" s="1246"/>
    </row>
    <row r="351" spans="1:9">
      <c r="A351" s="53">
        <f t="shared" si="7"/>
        <v>2021.06</v>
      </c>
      <c r="B351" s="474">
        <v>148.97961710860557</v>
      </c>
      <c r="C351" s="3535">
        <v>141.52841212917215</v>
      </c>
      <c r="D351" s="3535">
        <v>141.34543253573938</v>
      </c>
      <c r="E351" s="1604">
        <f t="shared" si="8"/>
        <v>158.12837686766747</v>
      </c>
      <c r="F351" s="1192">
        <v>168.4</v>
      </c>
      <c r="G351" s="217">
        <v>140.4496844684827</v>
      </c>
      <c r="H351" s="300"/>
      <c r="I351" s="1246"/>
    </row>
    <row r="352" spans="1:9">
      <c r="A352" s="53">
        <f t="shared" si="7"/>
        <v>2021.07</v>
      </c>
      <c r="B352" s="474">
        <v>142.42591306097327</v>
      </c>
      <c r="C352" s="3535">
        <v>141.34508748860509</v>
      </c>
      <c r="D352" s="3535">
        <v>142.25037642214357</v>
      </c>
      <c r="E352" s="1604">
        <f t="shared" si="8"/>
        <v>159.1407711512764</v>
      </c>
      <c r="F352" s="1192">
        <v>160.80000000000001</v>
      </c>
      <c r="G352" s="217">
        <v>140.57976316199046</v>
      </c>
      <c r="H352" s="1246"/>
      <c r="I352" s="1246"/>
    </row>
    <row r="353" spans="1:13">
      <c r="A353" s="53">
        <f t="shared" si="7"/>
        <v>2021.08</v>
      </c>
      <c r="B353" s="474">
        <v>140.9749407280367</v>
      </c>
      <c r="C353" s="3535">
        <v>143.24815928365717</v>
      </c>
      <c r="D353" s="3535">
        <v>143.21506248206509</v>
      </c>
      <c r="E353" s="1604">
        <f t="shared" si="8"/>
        <v>160.22000121980858</v>
      </c>
      <c r="F353" s="1192">
        <v>164.2</v>
      </c>
      <c r="G353" s="217">
        <v>141.31706399620722</v>
      </c>
      <c r="H353" s="1246"/>
      <c r="I353" s="1246"/>
      <c r="J353" s="1246"/>
      <c r="K353" s="1246"/>
      <c r="L353" s="1246"/>
      <c r="M353" s="1246"/>
    </row>
    <row r="354" spans="1:13">
      <c r="A354" s="53">
        <f t="shared" si="7"/>
        <v>2021.09</v>
      </c>
      <c r="B354" s="474">
        <v>141.2960890894098</v>
      </c>
      <c r="C354" s="3535">
        <v>144.02680631022127</v>
      </c>
      <c r="D354" s="3535">
        <v>144.2342680385934</v>
      </c>
      <c r="E354" s="1604">
        <f t="shared" si="8"/>
        <v>161.36022427093249</v>
      </c>
      <c r="F354" s="1192">
        <v>167.3</v>
      </c>
      <c r="G354" s="217">
        <v>142.1711152187909</v>
      </c>
      <c r="H354" s="1246"/>
      <c r="I354" s="1246"/>
      <c r="J354" s="1246"/>
      <c r="K354" s="1246"/>
      <c r="L354" s="1246"/>
      <c r="M354" s="1246"/>
    </row>
    <row r="355" spans="1:13">
      <c r="A355" s="53">
        <f t="shared" si="7"/>
        <v>2021.1</v>
      </c>
      <c r="B355" s="474">
        <v>139.51475869689307</v>
      </c>
      <c r="C355" s="3535">
        <v>143.34148953752734</v>
      </c>
      <c r="D355" s="3535">
        <v>145.29648583611456</v>
      </c>
      <c r="E355" s="1604">
        <f t="shared" si="8"/>
        <v>162.54856671107112</v>
      </c>
      <c r="F355" s="1192">
        <v>167.8</v>
      </c>
      <c r="G355" s="217">
        <v>142.69271082593554</v>
      </c>
      <c r="H355" s="1246"/>
      <c r="I355" s="1246"/>
      <c r="J355" s="1246"/>
      <c r="K355" s="1246"/>
      <c r="L355" s="1246"/>
      <c r="M355" s="1246"/>
    </row>
    <row r="356" spans="1:13">
      <c r="A356" s="53">
        <f t="shared" si="7"/>
        <v>2021.11</v>
      </c>
      <c r="B356" s="474">
        <v>143.75187761771429</v>
      </c>
      <c r="C356" s="3535">
        <v>145.88334396965624</v>
      </c>
      <c r="D356" s="3535">
        <v>146.37775470607781</v>
      </c>
      <c r="E356" s="1604">
        <f t="shared" si="8"/>
        <v>163.75822229241857</v>
      </c>
      <c r="F356" s="1192">
        <v>170.6</v>
      </c>
      <c r="G356" s="217">
        <v>143.81104889135048</v>
      </c>
      <c r="H356" s="1246"/>
      <c r="I356" s="1246"/>
      <c r="J356" s="1246"/>
      <c r="K356" s="1246"/>
      <c r="L356" s="1246"/>
      <c r="M356" s="1246"/>
    </row>
    <row r="357" spans="1:13">
      <c r="A357" s="53">
        <f t="shared" si="7"/>
        <v>2021.12</v>
      </c>
      <c r="B357" s="474">
        <v>147.22987832209441</v>
      </c>
      <c r="C357" s="3535">
        <v>149.76818655647341</v>
      </c>
      <c r="D357" s="3535">
        <v>147.44135970192912</v>
      </c>
      <c r="E357" s="1604">
        <f t="shared" si="8"/>
        <v>164.94811664277037</v>
      </c>
      <c r="F357" s="1192">
        <v>169.2</v>
      </c>
      <c r="G357" s="217">
        <v>144.99356171270503</v>
      </c>
      <c r="H357" s="1246"/>
      <c r="I357" s="1246"/>
      <c r="J357" s="1246"/>
      <c r="K357" s="1246"/>
      <c r="L357" s="1246"/>
      <c r="M357" s="1246"/>
    </row>
    <row r="358" spans="1:13">
      <c r="A358" s="53">
        <f t="shared" si="7"/>
        <v>2022.01</v>
      </c>
      <c r="B358" s="474">
        <v>139.63796162489982</v>
      </c>
      <c r="C358" s="3535">
        <v>148.43728728335583</v>
      </c>
      <c r="D358" s="3535">
        <v>148.44426449318115</v>
      </c>
      <c r="E358" s="1604">
        <f t="shared" si="8"/>
        <v>166.07010342330105</v>
      </c>
      <c r="F358" s="1192">
        <v>159.6</v>
      </c>
      <c r="G358" s="217">
        <v>145.73531756502061</v>
      </c>
      <c r="H358" s="1246"/>
      <c r="I358" s="1246"/>
      <c r="J358" s="1246"/>
      <c r="K358" s="1246"/>
      <c r="L358" s="1246"/>
      <c r="M358" s="1246"/>
    </row>
    <row r="359" spans="1:13">
      <c r="A359" s="53">
        <f t="shared" si="7"/>
        <v>2022.02</v>
      </c>
      <c r="B359" s="474">
        <v>137.84951353039492</v>
      </c>
      <c r="C359" s="3535">
        <v>150.63289440752891</v>
      </c>
      <c r="D359" s="3535">
        <v>149.34108732013675</v>
      </c>
      <c r="E359" s="1604">
        <f t="shared" si="8"/>
        <v>167.07341237655288</v>
      </c>
      <c r="F359" s="1192">
        <v>157.4</v>
      </c>
      <c r="G359" s="217">
        <v>146.68399689451684</v>
      </c>
      <c r="H359" s="1246"/>
      <c r="I359" s="1246"/>
      <c r="J359" s="1246"/>
      <c r="K359" s="1246"/>
      <c r="L359" s="1246"/>
      <c r="M359" s="1246"/>
    </row>
    <row r="360" spans="1:13">
      <c r="A360" s="53">
        <f t="shared" si="7"/>
        <v>2022.03</v>
      </c>
      <c r="B360" s="474">
        <v>153.93085077631551</v>
      </c>
      <c r="C360" s="3535">
        <v>150.47159205926275</v>
      </c>
      <c r="D360" s="3535">
        <v>150.0904916491825</v>
      </c>
      <c r="E360" s="1604">
        <f>D360*$E$9</f>
        <v>167.91179878949654</v>
      </c>
      <c r="F360" s="1192">
        <v>170</v>
      </c>
      <c r="G360" s="217">
        <v>147.64928597428957</v>
      </c>
      <c r="H360" s="1246"/>
      <c r="I360" s="1246"/>
      <c r="J360" s="1246"/>
      <c r="K360" s="1246"/>
      <c r="L360" s="1246"/>
      <c r="M360" s="1246"/>
    </row>
    <row r="361" spans="1:13">
      <c r="A361" s="53">
        <f t="shared" si="7"/>
        <v>2022.04</v>
      </c>
      <c r="B361" s="474">
        <v>157.66169211629463</v>
      </c>
      <c r="C361" s="3535">
        <v>152.0034071839209</v>
      </c>
      <c r="D361" s="3535">
        <v>150.66390513843072</v>
      </c>
      <c r="E361" s="1604">
        <f t="shared" si="8"/>
        <v>168.55329772371871</v>
      </c>
      <c r="F361" s="1192">
        <v>174.9</v>
      </c>
      <c r="G361" s="217">
        <v>148.34253914746799</v>
      </c>
      <c r="H361" s="1246"/>
      <c r="I361" s="1246"/>
      <c r="J361" s="1246"/>
      <c r="K361" s="1246"/>
      <c r="L361" s="1246"/>
      <c r="M361" s="1246"/>
    </row>
    <row r="362" spans="1:13">
      <c r="A362" s="53">
        <f t="shared" si="7"/>
        <v>2022.05</v>
      </c>
      <c r="B362" s="474">
        <v>164.68936308999244</v>
      </c>
      <c r="C362" s="3535">
        <v>152.16490263017786</v>
      </c>
      <c r="D362" s="3535">
        <v>151.04562504327819</v>
      </c>
      <c r="E362" s="1604">
        <f t="shared" si="8"/>
        <v>168.98034193652938</v>
      </c>
      <c r="F362" s="1192">
        <v>177</v>
      </c>
      <c r="G362" s="217">
        <v>148.60545406753272</v>
      </c>
      <c r="H362" s="1246"/>
      <c r="I362" s="1246"/>
      <c r="J362" s="1246"/>
      <c r="K362" s="1246"/>
      <c r="L362" s="1246"/>
      <c r="M362" s="1246"/>
    </row>
    <row r="363" spans="1:13">
      <c r="A363" s="53">
        <f t="shared" si="7"/>
        <v>2022.06</v>
      </c>
      <c r="B363" s="474">
        <v>161.45483436245701</v>
      </c>
      <c r="C363" s="3535">
        <v>154.19077980789419</v>
      </c>
      <c r="D363" s="3535">
        <v>151.23368190379077</v>
      </c>
      <c r="E363" s="1604">
        <f t="shared" si="8"/>
        <v>169.19072812006712</v>
      </c>
      <c r="F363" s="1192">
        <v>179.6</v>
      </c>
      <c r="G363" s="217">
        <v>148.43095754096763</v>
      </c>
      <c r="H363" s="1225"/>
      <c r="I363" s="2407"/>
      <c r="J363" s="1246"/>
      <c r="K363" s="2440"/>
      <c r="L363" s="1246"/>
      <c r="M363" s="2440"/>
    </row>
    <row r="364" spans="1:13" ht="15.75">
      <c r="A364" s="53">
        <f t="shared" si="7"/>
        <v>2022.07</v>
      </c>
      <c r="B364" s="474">
        <v>152.44538769471595</v>
      </c>
      <c r="C364" s="3535">
        <v>152.47346331942649</v>
      </c>
      <c r="D364" s="3535">
        <v>151.24235287224582</v>
      </c>
      <c r="E364" s="1604">
        <f t="shared" si="8"/>
        <v>169.20042865402192</v>
      </c>
      <c r="F364" s="1192">
        <v>171.2</v>
      </c>
      <c r="G364" s="217">
        <v>147.52801634442093</v>
      </c>
      <c r="H364" s="1226"/>
      <c r="I364" s="2407"/>
      <c r="J364" s="1246"/>
      <c r="K364" s="2440"/>
      <c r="L364" s="1246"/>
      <c r="M364" s="2440"/>
    </row>
    <row r="365" spans="1:13">
      <c r="A365" s="53">
        <f t="shared" si="7"/>
        <v>2022.08</v>
      </c>
      <c r="B365" s="474">
        <v>151.46573902517829</v>
      </c>
      <c r="C365" s="3535">
        <v>151.65743372718188</v>
      </c>
      <c r="D365" s="3535">
        <v>151.09940874223366</v>
      </c>
      <c r="E365" s="1604">
        <f t="shared" si="8"/>
        <v>169.04051175500314</v>
      </c>
      <c r="F365" s="1192">
        <v>175.7</v>
      </c>
      <c r="G365" s="217">
        <v>146.23972971673996</v>
      </c>
      <c r="H365" s="1246"/>
      <c r="I365" s="2407"/>
      <c r="J365" s="1246"/>
      <c r="K365" s="2440"/>
      <c r="L365" s="1246"/>
      <c r="M365" s="2440"/>
    </row>
    <row r="366" spans="1:13">
      <c r="A366" s="53">
        <f t="shared" si="7"/>
        <v>2022.09</v>
      </c>
      <c r="B366" s="474">
        <v>149.17434933731033</v>
      </c>
      <c r="C366" s="3535">
        <v>150.7750708473458</v>
      </c>
      <c r="D366" s="3535">
        <v>150.8408611686215</v>
      </c>
      <c r="E366" s="1604">
        <f t="shared" si="8"/>
        <v>168.75126499672513</v>
      </c>
      <c r="F366" s="1192">
        <v>173.6</v>
      </c>
      <c r="G366" s="217">
        <v>145.60200821601669</v>
      </c>
      <c r="H366" s="1246"/>
      <c r="I366" s="2407"/>
      <c r="J366" s="1246"/>
      <c r="K366" s="2440"/>
      <c r="L366" s="1246"/>
      <c r="M366" s="2440"/>
    </row>
    <row r="367" spans="1:13">
      <c r="A367" s="53">
        <f t="shared" si="7"/>
        <v>2022.1</v>
      </c>
      <c r="B367" s="474">
        <v>146.55439498929425</v>
      </c>
      <c r="C367" s="3535">
        <v>149.23974308318589</v>
      </c>
      <c r="D367" s="3535">
        <v>150.50583574647703</v>
      </c>
      <c r="E367" s="1604">
        <f t="shared" si="8"/>
        <v>168.37645963327827</v>
      </c>
      <c r="F367" s="1192">
        <v>170.6</v>
      </c>
      <c r="G367" s="217">
        <v>145.45909549101006</v>
      </c>
      <c r="H367" s="1246"/>
      <c r="I367" s="2407"/>
      <c r="J367" s="1246"/>
      <c r="K367" s="2440"/>
      <c r="L367" s="1246"/>
      <c r="M367" s="2440"/>
    </row>
    <row r="368" spans="1:13">
      <c r="A368" s="53">
        <f t="shared" si="7"/>
        <v>2022.11</v>
      </c>
      <c r="B368" s="474">
        <v>148.03049443531322</v>
      </c>
      <c r="C368" s="3535">
        <v>148.50749990138871</v>
      </c>
      <c r="D368" s="3535">
        <v>150.13081034108305</v>
      </c>
      <c r="E368" s="1604">
        <f t="shared" si="8"/>
        <v>167.95690480525727</v>
      </c>
      <c r="F368" s="1192">
        <v>174.6</v>
      </c>
      <c r="G368" s="217">
        <v>145.41786579247298</v>
      </c>
      <c r="H368" s="1246"/>
      <c r="I368" s="2407"/>
      <c r="J368" s="1246"/>
      <c r="K368" s="2440"/>
      <c r="L368" s="1246"/>
      <c r="M368" s="2440"/>
    </row>
    <row r="369" spans="1:13">
      <c r="A369" s="53">
        <f t="shared" si="7"/>
        <v>2022.12</v>
      </c>
      <c r="B369" s="474">
        <v>146.18080800458125</v>
      </c>
      <c r="C369" s="3535">
        <v>148.5213147080778</v>
      </c>
      <c r="D369" s="3535">
        <v>149.74796080882658</v>
      </c>
      <c r="E369" s="1604">
        <f t="shared" si="8"/>
        <v>167.52859683637433</v>
      </c>
      <c r="F369" s="1192">
        <v>169.3</v>
      </c>
      <c r="G369" s="217">
        <v>145.75787977477918</v>
      </c>
      <c r="H369" s="1246"/>
      <c r="I369" s="2407"/>
      <c r="J369" s="1246"/>
      <c r="K369" s="2440"/>
      <c r="L369" s="1246"/>
      <c r="M369" s="2440"/>
    </row>
    <row r="370" spans="1:13">
      <c r="A370" s="53">
        <f t="shared" si="7"/>
        <v>2023.01</v>
      </c>
      <c r="B370" s="474">
        <v>143.03019028680231</v>
      </c>
      <c r="C370" s="3535">
        <v>149.69317822957683</v>
      </c>
      <c r="D370" s="3535">
        <v>149.37939009446657</v>
      </c>
      <c r="E370" s="1604">
        <f t="shared" si="8"/>
        <v>167.11626311057128</v>
      </c>
      <c r="F370" s="1192">
        <v>161.4</v>
      </c>
      <c r="G370" s="217">
        <v>146.54357433835662</v>
      </c>
      <c r="H370" s="1246"/>
      <c r="I370" s="2407"/>
      <c r="J370" s="1246"/>
      <c r="K370" s="2440"/>
      <c r="L370" s="1246"/>
      <c r="M370" s="2440"/>
    </row>
    <row r="371" spans="1:13">
      <c r="A371" s="53">
        <f t="shared" si="7"/>
        <v>2023.02</v>
      </c>
      <c r="B371" s="474">
        <v>137.26202711164171</v>
      </c>
      <c r="C371" s="3535">
        <v>149.64274747212693</v>
      </c>
      <c r="D371" s="3535">
        <v>149.03501410197069</v>
      </c>
      <c r="E371" s="1604">
        <f t="shared" si="8"/>
        <v>166.73099691732662</v>
      </c>
      <c r="F371" s="1192">
        <v>156.69999999999999</v>
      </c>
      <c r="G371" s="217">
        <v>147.1659404656651</v>
      </c>
      <c r="H371" s="1246"/>
      <c r="I371" s="2407"/>
      <c r="J371" s="1246"/>
      <c r="K371" s="2440"/>
      <c r="L371" s="1246"/>
      <c r="M371" s="2440"/>
    </row>
    <row r="372" spans="1:13">
      <c r="A372" s="53">
        <f t="shared" si="7"/>
        <v>2023.03</v>
      </c>
      <c r="B372" s="474">
        <v>155.06056763777909</v>
      </c>
      <c r="C372" s="3535">
        <v>150.83505977466785</v>
      </c>
      <c r="D372" s="3535">
        <v>148.70890535647786</v>
      </c>
      <c r="E372" s="1604">
        <f>D372*$E$9</f>
        <v>166.36616697070562</v>
      </c>
      <c r="F372" s="1192">
        <v>170.9</v>
      </c>
      <c r="G372" s="217">
        <v>147.71464106499351</v>
      </c>
      <c r="H372" s="1246"/>
      <c r="I372" s="2407"/>
      <c r="J372" s="1246"/>
      <c r="K372" s="2440"/>
      <c r="L372" s="1246"/>
      <c r="M372" s="2440"/>
    </row>
    <row r="373" spans="1:13">
      <c r="A373" s="53">
        <f t="shared" si="7"/>
        <v>2023.04</v>
      </c>
      <c r="B373" s="474">
        <v>150.02108492570758</v>
      </c>
      <c r="C373" s="3535">
        <v>147.36470885338534</v>
      </c>
      <c r="D373" s="3535">
        <v>148.38532978945474</v>
      </c>
      <c r="E373" s="1604">
        <f t="shared" si="8"/>
        <v>166.00417098477618</v>
      </c>
      <c r="F373" s="1192">
        <v>168.5</v>
      </c>
      <c r="G373" s="217">
        <v>147.77323115925992</v>
      </c>
      <c r="H373" s="1246"/>
      <c r="I373" s="2407"/>
      <c r="J373" s="1246"/>
      <c r="K373" s="2440"/>
      <c r="L373" s="1246"/>
      <c r="M373" s="2440"/>
    </row>
    <row r="374" spans="1:13">
      <c r="A374" s="53">
        <f t="shared" si="7"/>
        <v>2023.05</v>
      </c>
      <c r="B374" s="474">
        <v>153.77240570488985</v>
      </c>
      <c r="C374" s="3535">
        <v>145.67210800721972</v>
      </c>
      <c r="D374" s="3535">
        <v>148.04175321375715</v>
      </c>
      <c r="E374" s="1604">
        <f t="shared" si="8"/>
        <v>165.61979912874838</v>
      </c>
      <c r="F374" s="1192">
        <v>169.9</v>
      </c>
      <c r="G374" s="217">
        <v>147.30950321353504</v>
      </c>
      <c r="H374" s="1246"/>
      <c r="I374" s="2407"/>
      <c r="J374" s="1246"/>
      <c r="K374" s="2440"/>
      <c r="L374" s="1246"/>
      <c r="M374" s="2440"/>
    </row>
    <row r="375" spans="1:13">
      <c r="A375" s="53">
        <f t="shared" si="7"/>
        <v>2023.06</v>
      </c>
      <c r="B375" s="474">
        <v>152.55703188407324</v>
      </c>
      <c r="C375" s="3535">
        <v>146.29688511039032</v>
      </c>
      <c r="D375" s="3535">
        <v>147.65804453750539</v>
      </c>
      <c r="E375" s="1604">
        <f>D375*$E$9</f>
        <v>165.19053000361845</v>
      </c>
      <c r="F375" s="1192">
        <v>170</v>
      </c>
      <c r="G375" s="217">
        <v>147.15383053856428</v>
      </c>
      <c r="H375" s="1246"/>
      <c r="I375" s="2407"/>
      <c r="J375" s="1246"/>
      <c r="K375" s="2440"/>
      <c r="L375" s="1246"/>
      <c r="M375" s="2440"/>
    </row>
    <row r="376" spans="1:13">
      <c r="A376" s="53">
        <f t="shared" si="7"/>
        <v>2023.07</v>
      </c>
      <c r="B376" s="474">
        <v>150.22297368785945</v>
      </c>
      <c r="C376" s="3535">
        <v>148.75232261473298</v>
      </c>
      <c r="D376" s="3535">
        <v>147.22280669257339</v>
      </c>
      <c r="E376" s="1604">
        <f t="shared" ref="E376:E404" si="9">D376*$E$9</f>
        <v>164.70361328663802</v>
      </c>
      <c r="F376" s="1192">
        <v>170</v>
      </c>
      <c r="G376" s="217">
        <v>147.12457198362122</v>
      </c>
      <c r="H376" s="1246"/>
      <c r="I376" s="2407"/>
      <c r="J376" s="1246"/>
      <c r="K376" s="2440"/>
      <c r="L376" s="1246"/>
      <c r="M376" s="2440"/>
    </row>
    <row r="377" spans="1:13">
      <c r="A377" s="53">
        <f t="shared" si="7"/>
        <v>2023.08</v>
      </c>
      <c r="B377" s="474">
        <v>151.94203814879756</v>
      </c>
      <c r="C377" s="3535">
        <v>150.0926319307934</v>
      </c>
      <c r="D377" s="3535">
        <v>146.73320547539899</v>
      </c>
      <c r="E377" s="1604">
        <f t="shared" si="9"/>
        <v>164.15587824918185</v>
      </c>
      <c r="F377" s="1192">
        <v>175</v>
      </c>
      <c r="G377" s="217">
        <v>146.58132963854197</v>
      </c>
      <c r="H377" s="1246"/>
      <c r="I377" s="2407"/>
      <c r="J377" s="1246"/>
      <c r="K377" s="2440"/>
      <c r="L377" s="1246"/>
      <c r="M377" s="2440"/>
    </row>
    <row r="378" spans="1:13">
      <c r="A378" s="53">
        <f t="shared" si="7"/>
        <v>2023.09</v>
      </c>
      <c r="B378" s="474">
        <v>148.4322432701974</v>
      </c>
      <c r="C378" s="3535">
        <v>149.55846428674684</v>
      </c>
      <c r="D378" s="3535">
        <v>146.19967388150923</v>
      </c>
      <c r="E378" s="1604">
        <f t="shared" si="9"/>
        <v>163.55899667023112</v>
      </c>
      <c r="F378" s="1192">
        <v>173.1</v>
      </c>
      <c r="G378" s="217">
        <v>145.89109322336378</v>
      </c>
      <c r="H378" s="1246"/>
      <c r="I378" s="2407"/>
      <c r="J378" s="1246"/>
      <c r="K378" s="2440"/>
      <c r="L378" s="1246"/>
      <c r="M378" s="2440"/>
    </row>
    <row r="379" spans="1:13">
      <c r="A379" s="53">
        <f t="shared" si="7"/>
        <v>2023.1</v>
      </c>
      <c r="B379" s="474">
        <v>147.50696066044537</v>
      </c>
      <c r="C379" s="3535">
        <v>148.14029444558713</v>
      </c>
      <c r="D379" s="3535">
        <v>145.64577732617855</v>
      </c>
      <c r="E379" s="1604">
        <f t="shared" si="9"/>
        <v>162.93933205372582</v>
      </c>
      <c r="F379" s="1192">
        <v>171.3</v>
      </c>
      <c r="G379" s="217">
        <v>144.97965952219889</v>
      </c>
      <c r="H379" s="1246"/>
      <c r="I379" s="2407"/>
      <c r="J379" s="1246"/>
      <c r="K379" s="2440"/>
      <c r="L379" s="1246"/>
      <c r="M379" s="2440"/>
    </row>
    <row r="380" spans="1:13">
      <c r="A380" s="53">
        <f t="shared" si="7"/>
        <v>2023.11</v>
      </c>
      <c r="B380" s="474">
        <v>146.35949533183793</v>
      </c>
      <c r="C380" s="3535">
        <v>146.51277382726593</v>
      </c>
      <c r="D380" s="3535">
        <v>145.10423503691078</v>
      </c>
      <c r="E380" s="1604">
        <f t="shared" si="9"/>
        <v>162.33348861279637</v>
      </c>
      <c r="F380" s="1192">
        <v>171.4</v>
      </c>
      <c r="G380" s="217">
        <v>143.22220796949867</v>
      </c>
      <c r="H380" s="1246"/>
      <c r="I380" s="2407"/>
      <c r="J380" s="1610"/>
      <c r="K380" s="2440"/>
      <c r="L380" s="1246"/>
      <c r="M380" s="2440"/>
    </row>
    <row r="381" spans="1:13">
      <c r="A381" s="53">
        <f t="shared" si="7"/>
        <v>2023.12</v>
      </c>
      <c r="B381" s="474">
        <v>139.33576576518632</v>
      </c>
      <c r="C381" s="3535">
        <v>142.94160983525137</v>
      </c>
      <c r="D381" s="3535">
        <v>144.61838048925998</v>
      </c>
      <c r="E381" s="1604">
        <f t="shared" si="9"/>
        <v>161.78994511347341</v>
      </c>
      <c r="F381" s="1192">
        <v>159.80000000000001</v>
      </c>
      <c r="G381" s="217">
        <v>140.98868880499955</v>
      </c>
      <c r="H381" s="1246"/>
      <c r="I381" s="2407"/>
      <c r="J381" s="1246"/>
      <c r="K381" s="2440"/>
      <c r="L381" s="1246"/>
      <c r="M381" s="2440"/>
    </row>
    <row r="382" spans="1:13">
      <c r="A382" s="53">
        <f t="shared" ref="A382:A445" si="10">A370+1</f>
        <v>2024.01</v>
      </c>
      <c r="B382" s="474">
        <v>137.54602735591297</v>
      </c>
      <c r="C382" s="3535">
        <v>143.76883369012882</v>
      </c>
      <c r="D382" s="3535">
        <v>144.23481395740316</v>
      </c>
      <c r="E382" s="1604">
        <f t="shared" si="9"/>
        <v>161.36083501054918</v>
      </c>
      <c r="F382" s="1192">
        <v>152.5</v>
      </c>
      <c r="G382" s="217">
        <v>138.88419675178017</v>
      </c>
      <c r="H382" s="1246"/>
      <c r="I382" s="2407"/>
      <c r="J382" s="1246"/>
      <c r="K382" s="2440"/>
      <c r="L382" s="1246"/>
      <c r="M382" s="2440"/>
    </row>
    <row r="383" spans="1:13">
      <c r="A383" s="53">
        <f t="shared" si="10"/>
        <v>2024.02</v>
      </c>
      <c r="B383" s="474">
        <v>133.63722384206051</v>
      </c>
      <c r="C383" s="3535">
        <v>143.89465322280864</v>
      </c>
      <c r="D383" s="3535">
        <v>143.99752040583331</v>
      </c>
      <c r="E383" s="1604">
        <f t="shared" si="9"/>
        <v>161.09536591488938</v>
      </c>
      <c r="F383" s="1192">
        <v>148.5</v>
      </c>
      <c r="G383" s="217">
        <v>137.3604378481603</v>
      </c>
      <c r="H383" s="1246"/>
      <c r="I383" s="2407"/>
      <c r="J383" s="1246"/>
      <c r="K383" s="2440"/>
      <c r="L383" s="1246"/>
      <c r="M383" s="2440"/>
    </row>
    <row r="384" spans="1:13">
      <c r="A384" s="53">
        <f t="shared" si="10"/>
        <v>2024.03</v>
      </c>
      <c r="B384" s="474">
        <v>142.56862052019582</v>
      </c>
      <c r="C384" s="3535">
        <v>142.77426190677184</v>
      </c>
      <c r="D384" s="3535">
        <v>143.9433434259976</v>
      </c>
      <c r="E384" s="1604">
        <f t="shared" si="9"/>
        <v>161.03475611851096</v>
      </c>
      <c r="F384" s="1192">
        <v>152.1</v>
      </c>
      <c r="G384" s="217">
        <v>137.10153744509188</v>
      </c>
      <c r="H384" s="1246"/>
      <c r="I384" s="2407"/>
      <c r="J384" s="1246"/>
      <c r="K384" s="2440"/>
      <c r="L384" s="1246"/>
      <c r="M384" s="2440"/>
    </row>
    <row r="385" spans="1:13">
      <c r="A385" s="53">
        <f t="shared" si="10"/>
        <v>2024.04</v>
      </c>
      <c r="B385" s="474">
        <v>147.26512454856004</v>
      </c>
      <c r="C385" s="3535">
        <v>140.89793664197632</v>
      </c>
      <c r="D385" s="3535">
        <v>144.09459659939233</v>
      </c>
      <c r="E385" s="1604">
        <f>D385*$E$9</f>
        <v>161.20396865248475</v>
      </c>
      <c r="F385" s="1192">
        <v>165.7</v>
      </c>
      <c r="G385" s="217">
        <v>137.79336626333642</v>
      </c>
      <c r="H385" s="1246"/>
      <c r="I385" s="2407"/>
      <c r="J385" s="1246"/>
      <c r="K385" s="2440"/>
      <c r="L385" s="1246"/>
      <c r="M385" s="2440"/>
    </row>
    <row r="386" spans="1:13">
      <c r="A386" s="53">
        <f t="shared" si="10"/>
        <v>2024.05</v>
      </c>
      <c r="B386" s="474">
        <v>156.7765837615064</v>
      </c>
      <c r="C386" s="3535">
        <v>142.51215427525324</v>
      </c>
      <c r="D386" s="3535">
        <v>144.45245702311871</v>
      </c>
      <c r="E386" s="1604">
        <f>D386*$E$9</f>
        <v>161.60432037898795</v>
      </c>
      <c r="F386" s="1192">
        <v>166.4</v>
      </c>
      <c r="G386" s="217">
        <v>138.78416201191533</v>
      </c>
      <c r="H386" s="1246"/>
      <c r="I386" s="2407"/>
      <c r="J386" s="1246"/>
      <c r="K386" s="2440"/>
      <c r="L386" s="1246"/>
      <c r="M386" s="2440"/>
    </row>
    <row r="387" spans="1:13">
      <c r="A387" s="53">
        <f t="shared" si="10"/>
        <v>2024.06</v>
      </c>
      <c r="B387" s="474">
        <v>147.36516936817381</v>
      </c>
      <c r="C387" s="3535">
        <v>143.64245592690298</v>
      </c>
      <c r="D387" s="3535">
        <v>145.00036065680248</v>
      </c>
      <c r="E387" s="1604">
        <f>D387*$E$9</f>
        <v>162.21728049181232</v>
      </c>
      <c r="F387" s="1192">
        <v>164.1</v>
      </c>
      <c r="G387" s="217">
        <v>139.73364173002693</v>
      </c>
      <c r="H387" s="1246"/>
      <c r="I387" s="2407"/>
      <c r="J387" s="1246"/>
      <c r="K387" s="2440"/>
      <c r="L387" s="1246"/>
      <c r="M387" s="2440"/>
    </row>
    <row r="388" spans="1:13">
      <c r="A388" s="53">
        <f t="shared" si="10"/>
        <v>2024.07</v>
      </c>
      <c r="B388" s="474">
        <v>149.69752697536458</v>
      </c>
      <c r="C388" s="3535">
        <v>147.44117252611102</v>
      </c>
      <c r="D388" s="3535">
        <v>145.70198490469494</v>
      </c>
      <c r="E388" s="1604">
        <f t="shared" si="9"/>
        <v>163.00221355614872</v>
      </c>
      <c r="F388" s="1192">
        <v>166.4</v>
      </c>
      <c r="G388" s="217">
        <v>140.68562249327294</v>
      </c>
      <c r="H388" s="1246"/>
      <c r="I388" s="1266"/>
      <c r="J388" s="1246"/>
      <c r="K388" s="2440"/>
      <c r="L388" s="1246"/>
      <c r="M388" s="2440"/>
    </row>
    <row r="389" spans="1:13">
      <c r="A389" s="53">
        <f t="shared" si="10"/>
        <v>2024.08</v>
      </c>
      <c r="B389" s="474">
        <v>147.32757348272975</v>
      </c>
      <c r="C389" s="3535">
        <v>148.15608489238346</v>
      </c>
      <c r="D389" s="3535">
        <v>146.50738235925428</v>
      </c>
      <c r="E389" s="1604">
        <f t="shared" si="9"/>
        <v>163.90324155498848</v>
      </c>
      <c r="F389" s="1192">
        <v>166.6</v>
      </c>
      <c r="G389" s="217">
        <v>141.79443783440968</v>
      </c>
      <c r="H389" s="1246"/>
      <c r="I389" s="1945"/>
      <c r="J389" s="1246"/>
      <c r="K389" s="2440"/>
      <c r="L389" s="1246"/>
      <c r="M389" s="2440"/>
    </row>
    <row r="390" spans="1:13">
      <c r="A390" s="53">
        <f t="shared" si="10"/>
        <v>2024.09</v>
      </c>
      <c r="B390" s="474">
        <v>144.84378302186047</v>
      </c>
      <c r="C390" s="3535">
        <v>147.91126702726274</v>
      </c>
      <c r="D390" s="3535">
        <v>147.36100464411041</v>
      </c>
      <c r="E390" s="1604">
        <f t="shared" si="9"/>
        <v>164.85822045979489</v>
      </c>
      <c r="F390" s="1192">
        <v>167.8</v>
      </c>
      <c r="G390" s="217">
        <v>142.84902845089863</v>
      </c>
      <c r="H390" s="1246"/>
      <c r="I390" s="2407"/>
      <c r="J390" s="1246"/>
      <c r="K390" s="2440"/>
      <c r="L390" s="1246"/>
      <c r="M390" s="2440"/>
    </row>
    <row r="391" spans="1:13">
      <c r="A391" s="53">
        <f t="shared" si="10"/>
        <v>2024.1</v>
      </c>
      <c r="B391" s="474">
        <v>147.99466238363041</v>
      </c>
      <c r="C391" s="3535">
        <v>148.87494748794492</v>
      </c>
      <c r="D391" s="3535">
        <v>148.20558224385911</v>
      </c>
      <c r="E391" s="1604">
        <f t="shared" si="9"/>
        <v>165.80308073996903</v>
      </c>
      <c r="F391" s="1192">
        <v>173.5</v>
      </c>
      <c r="G391" s="217">
        <v>143.57402910240603</v>
      </c>
      <c r="H391" s="1246"/>
      <c r="I391" s="2407"/>
      <c r="J391" s="1246"/>
      <c r="K391" s="2440"/>
      <c r="L391" s="1246"/>
      <c r="M391" s="2440"/>
    </row>
    <row r="392" spans="1:13">
      <c r="A392" s="53">
        <f t="shared" si="10"/>
        <v>2024.11</v>
      </c>
      <c r="B392" s="474">
        <v>148.06937483613993</v>
      </c>
      <c r="C392" s="3535">
        <v>150.49590003515124</v>
      </c>
      <c r="D392" s="3535">
        <v>148.99585556290131</v>
      </c>
      <c r="E392" s="1604">
        <f t="shared" si="9"/>
        <v>166.68718880755989</v>
      </c>
      <c r="F392" s="1192">
        <v>172</v>
      </c>
      <c r="G392" s="217">
        <v>144.37502177615684</v>
      </c>
      <c r="H392" s="1246"/>
      <c r="I392" s="2407"/>
      <c r="J392" s="1246"/>
      <c r="K392" s="2440"/>
      <c r="L392" s="1246"/>
      <c r="M392" s="2440"/>
    </row>
    <row r="393" spans="1:13">
      <c r="A393" s="53">
        <f t="shared" si="10"/>
        <v>2024.12</v>
      </c>
      <c r="B393" s="474">
        <v>148.56734190911206</v>
      </c>
      <c r="C393" s="3535">
        <v>151.28934434546181</v>
      </c>
      <c r="D393" s="3535">
        <v>149.69917389113817</v>
      </c>
      <c r="E393" s="1604">
        <f t="shared" si="9"/>
        <v>167.47401710239888</v>
      </c>
      <c r="F393" s="1192">
        <v>166.4</v>
      </c>
      <c r="G393" s="217">
        <v>145.61436546876172</v>
      </c>
      <c r="H393" s="1246"/>
      <c r="I393" s="2407"/>
      <c r="J393" s="1246"/>
      <c r="K393" s="2440"/>
      <c r="L393" s="1246"/>
      <c r="M393" s="2440"/>
    </row>
    <row r="394" spans="1:13">
      <c r="A394" s="53">
        <f t="shared" si="10"/>
        <v>2025.01</v>
      </c>
      <c r="B394" s="474">
        <v>146.29580174387476</v>
      </c>
      <c r="C394" s="3535">
        <v>151.84835710402444</v>
      </c>
      <c r="D394" s="3535">
        <v>150.2980988059023</v>
      </c>
      <c r="E394" s="2733">
        <f>D394*$E$9</f>
        <v>168.14405661438178</v>
      </c>
      <c r="F394" s="1192">
        <v>163.4</v>
      </c>
      <c r="G394" s="217">
        <v>146.96313170538434</v>
      </c>
      <c r="H394" s="1246"/>
      <c r="I394" s="2407"/>
      <c r="J394" s="1246"/>
      <c r="K394" s="2440"/>
      <c r="L394" s="1246"/>
      <c r="M394" s="2440"/>
    </row>
    <row r="395" spans="1:13">
      <c r="A395" s="53">
        <f t="shared" si="10"/>
        <v>2025.02</v>
      </c>
      <c r="B395" s="474">
        <v>141.2021694522208</v>
      </c>
      <c r="C395" s="3535">
        <v>153.14243736157638</v>
      </c>
      <c r="D395" s="3535">
        <v>150.79011026457874</v>
      </c>
      <c r="E395" s="2733">
        <f t="shared" si="9"/>
        <v>168.69448807838489</v>
      </c>
      <c r="F395" s="1192">
        <v>159.19999999999999</v>
      </c>
      <c r="G395" s="2342">
        <v>147.86626488052485</v>
      </c>
      <c r="H395" s="1246"/>
      <c r="I395" s="2407"/>
      <c r="J395" s="1246"/>
      <c r="K395" s="2440"/>
      <c r="L395" s="1246"/>
      <c r="M395" s="2440"/>
    </row>
    <row r="396" spans="1:13">
      <c r="A396" s="53">
        <f t="shared" si="10"/>
        <v>2025.03</v>
      </c>
      <c r="B396" s="474">
        <v>150.40655910972941</v>
      </c>
      <c r="C396" s="3535">
        <v>150.32026807591762</v>
      </c>
      <c r="D396" s="3535">
        <v>151.18446463534534</v>
      </c>
      <c r="E396" s="2733">
        <f t="shared" si="9"/>
        <v>169.13566693674116</v>
      </c>
      <c r="F396" s="1192">
        <v>163.19999999999999</v>
      </c>
      <c r="G396" s="2342">
        <v>147.94018385093617</v>
      </c>
      <c r="H396" s="1246"/>
      <c r="I396" s="2407"/>
      <c r="J396" s="1246"/>
      <c r="K396" s="2440"/>
      <c r="L396" s="1246"/>
      <c r="M396" s="2440"/>
    </row>
    <row r="397" spans="1:13">
      <c r="A397" s="53">
        <f t="shared" si="10"/>
        <v>2025.04</v>
      </c>
      <c r="B397" s="474">
        <v>158.74110296645111</v>
      </c>
      <c r="C397" s="3535">
        <v>151.92898883643196</v>
      </c>
      <c r="D397" s="3535">
        <v>151.50055430850293</v>
      </c>
      <c r="E397" s="2733">
        <f t="shared" si="9"/>
        <v>169.48928817560505</v>
      </c>
      <c r="F397" s="1192">
        <v>175.3</v>
      </c>
      <c r="G397" s="2342">
        <v>147.96585159280048</v>
      </c>
      <c r="H397" s="1246"/>
      <c r="I397" s="2407"/>
      <c r="J397" s="1246"/>
      <c r="K397" s="2440"/>
      <c r="L397" s="1246"/>
      <c r="M397" s="2440"/>
    </row>
    <row r="398" spans="1:13">
      <c r="A398" s="53">
        <f t="shared" si="10"/>
        <v>2025.05</v>
      </c>
      <c r="B398" s="474">
        <v>164.8778979559678</v>
      </c>
      <c r="C398" s="3535">
        <v>151.68489734200023</v>
      </c>
      <c r="D398" s="3535">
        <v>151.76412995400179</v>
      </c>
      <c r="E398" s="2733">
        <f t="shared" si="9"/>
        <v>169.7841600243579</v>
      </c>
      <c r="F398" s="1192">
        <v>174.8</v>
      </c>
      <c r="G398" s="2342">
        <v>147.6729203861756</v>
      </c>
      <c r="H398" s="1246"/>
      <c r="I398" s="2407"/>
      <c r="J398" s="1246"/>
      <c r="K398" s="2440"/>
      <c r="L398" s="1246"/>
      <c r="M398" s="2440"/>
    </row>
    <row r="399" spans="1:13">
      <c r="A399" s="53">
        <f t="shared" si="10"/>
        <v>2025.06</v>
      </c>
      <c r="B399" s="474">
        <v>156.59401884940311</v>
      </c>
      <c r="C399" s="3535">
        <v>151.24779792587231</v>
      </c>
      <c r="D399" s="3535">
        <v>152.00191650731665</v>
      </c>
      <c r="E399" s="2733">
        <f t="shared" si="9"/>
        <v>170.05018065935172</v>
      </c>
      <c r="F399" s="1192">
        <v>176.3</v>
      </c>
      <c r="G399" s="2342">
        <v>146.72825450893652</v>
      </c>
      <c r="H399" s="1246"/>
      <c r="I399" s="2407"/>
      <c r="J399" s="1246"/>
      <c r="K399" s="2440"/>
      <c r="L399" s="1246"/>
      <c r="M399" s="2440"/>
    </row>
    <row r="400" spans="1:13">
      <c r="A400" s="53">
        <f t="shared" si="10"/>
        <v>2025.07</v>
      </c>
      <c r="B400" s="474">
        <v>153.90772081429063</v>
      </c>
      <c r="C400" s="3535">
        <v>151.51469569017755</v>
      </c>
      <c r="D400" s="3535">
        <v>152.23763361792382</v>
      </c>
      <c r="E400" s="2733">
        <f t="shared" si="9"/>
        <v>170.31388613204766</v>
      </c>
      <c r="F400" s="1192">
        <v>171.1</v>
      </c>
      <c r="G400" s="2342">
        <v>145.97326711288719</v>
      </c>
      <c r="H400" s="1246"/>
      <c r="I400" s="2407"/>
      <c r="J400" s="1246"/>
      <c r="K400" s="2440"/>
      <c r="L400" s="1246"/>
      <c r="M400" s="2440"/>
    </row>
    <row r="401" spans="1:13">
      <c r="A401" s="53">
        <f t="shared" si="10"/>
        <v>2025.08</v>
      </c>
      <c r="B401" s="474">
        <v>150.51256572733467</v>
      </c>
      <c r="C401" s="3535">
        <v>152.55472207534925</v>
      </c>
      <c r="D401" s="3535">
        <v>152.48849687213487</v>
      </c>
      <c r="E401" s="1604">
        <f t="shared" si="9"/>
        <v>170.59453615725528</v>
      </c>
      <c r="F401" s="1192">
        <v>173.7</v>
      </c>
      <c r="G401" s="2342">
        <v>145.51670683011872</v>
      </c>
      <c r="H401" s="1246"/>
      <c r="I401" s="2407"/>
      <c r="J401" s="1246"/>
      <c r="K401" s="2440"/>
      <c r="L401" s="1246"/>
      <c r="M401" s="2440"/>
    </row>
    <row r="402" spans="1:13">
      <c r="A402" s="53">
        <f t="shared" si="10"/>
        <v>2025.09</v>
      </c>
      <c r="B402" s="474">
        <v>151.83984439466224</v>
      </c>
      <c r="C402" s="3535">
        <v>153.4943406678635</v>
      </c>
      <c r="D402" s="3535">
        <v>152.76457799839011</v>
      </c>
      <c r="E402" s="1604">
        <f t="shared" si="9"/>
        <v>170.903398351069</v>
      </c>
      <c r="F402" s="1192">
        <v>177.1</v>
      </c>
      <c r="G402" s="2342">
        <v>145.13378273377199</v>
      </c>
      <c r="H402" s="1246"/>
      <c r="I402" s="2407"/>
      <c r="J402" s="3476"/>
      <c r="K402" s="2440"/>
      <c r="L402" s="1246"/>
      <c r="M402" s="2440"/>
    </row>
    <row r="403" spans="1:13">
      <c r="A403" s="53">
        <f t="shared" si="10"/>
        <v>2025.1</v>
      </c>
      <c r="B403" s="474">
        <v>152.59573745863372</v>
      </c>
      <c r="C403" s="3535">
        <v>152.65435605342799</v>
      </c>
      <c r="D403" s="3535">
        <v>153.07088380818087</v>
      </c>
      <c r="E403" s="1604">
        <f t="shared" si="9"/>
        <v>171.24607401917098</v>
      </c>
      <c r="F403" s="2341">
        <v>179.4</v>
      </c>
      <c r="G403" s="2342">
        <v>144.88268582102026</v>
      </c>
      <c r="H403" s="1246"/>
      <c r="I403" s="2407"/>
      <c r="J403" s="3476"/>
      <c r="K403" s="2440"/>
      <c r="L403" s="1246"/>
      <c r="M403" s="2440"/>
    </row>
    <row r="404" spans="1:13">
      <c r="A404" s="53">
        <f t="shared" si="10"/>
        <v>2025.11</v>
      </c>
      <c r="B404" s="474">
        <v>147.72352773408562</v>
      </c>
      <c r="C404" s="3535">
        <v>152.48907642385822</v>
      </c>
      <c r="D404" s="3535">
        <v>153.41081353041972</v>
      </c>
      <c r="E404" s="1604">
        <f t="shared" si="9"/>
        <v>171.6263660049988</v>
      </c>
      <c r="F404" s="2341">
        <v>171.6</v>
      </c>
      <c r="G404" s="2342">
        <v>144.71458203092547</v>
      </c>
      <c r="H404" s="1266"/>
      <c r="I404" s="1266"/>
      <c r="J404" s="3476"/>
      <c r="K404" s="2440"/>
      <c r="L404" s="1266"/>
      <c r="M404" s="2440"/>
    </row>
    <row r="405" spans="1:13">
      <c r="A405" s="53">
        <f t="shared" si="10"/>
        <v>2025.12</v>
      </c>
      <c r="B405" s="474">
        <v>153.46285317997496</v>
      </c>
      <c r="C405" s="3535">
        <v>155.2798620314735</v>
      </c>
      <c r="D405" s="3535">
        <v>153.78425609353792</v>
      </c>
      <c r="E405" s="1604">
        <f>D405*$E$9</f>
        <v>172.04415004866962</v>
      </c>
      <c r="F405" s="2341">
        <v>167.2</v>
      </c>
      <c r="G405" s="2342">
        <v>144.84394834712316</v>
      </c>
      <c r="H405" s="1246"/>
      <c r="I405" s="1266"/>
      <c r="J405" s="1266"/>
      <c r="K405" s="1266"/>
      <c r="L405" s="1266"/>
      <c r="M405" s="2440"/>
    </row>
    <row r="406" spans="1:13">
      <c r="A406" s="53">
        <f t="shared" si="10"/>
        <v>2026.01</v>
      </c>
      <c r="B406" s="474">
        <v>149.04090209242113</v>
      </c>
      <c r="C406" s="3535">
        <v>155.93678506834027</v>
      </c>
      <c r="D406" s="3535">
        <v>154.19106810873225</v>
      </c>
      <c r="E406" s="1604">
        <f t="shared" ref="E406:E465" si="11">D406*$E$9</f>
        <v>172.49926573581203</v>
      </c>
      <c r="F406" s="2341">
        <v>161.69999999999999</v>
      </c>
      <c r="G406" s="2342">
        <v>144.83653786806099</v>
      </c>
      <c r="H406" s="1246"/>
      <c r="I406" s="2407"/>
      <c r="J406" s="1246"/>
      <c r="K406" s="2440"/>
      <c r="L406" s="1246"/>
      <c r="M406" s="2440"/>
    </row>
    <row r="407" spans="1:13">
      <c r="A407" s="53">
        <f t="shared" si="10"/>
        <v>2026.02</v>
      </c>
      <c r="B407" s="474" t="e">
        <v>#N/A</v>
      </c>
      <c r="C407" s="3535" t="e">
        <v>#N/A</v>
      </c>
      <c r="D407" s="3535" t="e">
        <v>#N/A</v>
      </c>
      <c r="E407" s="1604" t="e">
        <f t="shared" si="11"/>
        <v>#N/A</v>
      </c>
      <c r="F407" s="1192" t="e">
        <v>#N/A</v>
      </c>
      <c r="G407" s="217" t="e">
        <v>#N/A</v>
      </c>
      <c r="H407" s="1246"/>
      <c r="I407" s="1266"/>
      <c r="J407" s="1266"/>
      <c r="K407" s="1266"/>
      <c r="L407" s="1246"/>
      <c r="M407" s="2440"/>
    </row>
    <row r="408" spans="1:13">
      <c r="A408" s="53">
        <f t="shared" si="10"/>
        <v>2026.03</v>
      </c>
      <c r="B408" s="474" t="e">
        <v>#N/A</v>
      </c>
      <c r="C408" s="3535" t="e">
        <v>#N/A</v>
      </c>
      <c r="D408" s="3535" t="e">
        <v>#N/A</v>
      </c>
      <c r="E408" s="1604" t="e">
        <f t="shared" si="11"/>
        <v>#N/A</v>
      </c>
      <c r="F408" s="1192" t="e">
        <v>#N/A</v>
      </c>
      <c r="G408" s="217" t="e">
        <v>#N/A</v>
      </c>
      <c r="H408" s="1246"/>
      <c r="I408" s="2407"/>
      <c r="J408" s="1246"/>
      <c r="K408" s="2440"/>
      <c r="L408" s="1246"/>
      <c r="M408" s="2440"/>
    </row>
    <row r="409" spans="1:13">
      <c r="A409" s="53">
        <f t="shared" si="10"/>
        <v>2026.04</v>
      </c>
      <c r="B409" s="474" t="e">
        <v>#N/A</v>
      </c>
      <c r="C409" s="3535" t="e">
        <v>#N/A</v>
      </c>
      <c r="D409" s="3535" t="e">
        <v>#N/A</v>
      </c>
      <c r="E409" s="1604" t="e">
        <f t="shared" si="11"/>
        <v>#N/A</v>
      </c>
      <c r="F409" s="1192" t="e">
        <v>#N/A</v>
      </c>
      <c r="G409" s="217" t="e">
        <v>#N/A</v>
      </c>
      <c r="H409" s="1246"/>
      <c r="I409" s="2407"/>
      <c r="J409" s="1246"/>
      <c r="K409" s="2440"/>
      <c r="L409" s="1246"/>
      <c r="M409" s="2440"/>
    </row>
    <row r="410" spans="1:13">
      <c r="A410" s="53">
        <f t="shared" si="10"/>
        <v>2026.05</v>
      </c>
      <c r="B410" s="474" t="e">
        <v>#N/A</v>
      </c>
      <c r="C410" s="3535" t="e">
        <v>#N/A</v>
      </c>
      <c r="D410" s="3535" t="e">
        <v>#N/A</v>
      </c>
      <c r="E410" s="1604" t="e">
        <f t="shared" si="11"/>
        <v>#N/A</v>
      </c>
      <c r="F410" s="1192" t="e">
        <v>#N/A</v>
      </c>
      <c r="G410" s="217" t="e">
        <v>#N/A</v>
      </c>
      <c r="H410" s="1246"/>
      <c r="I410" s="2407"/>
      <c r="J410" s="1246"/>
      <c r="K410" s="2440"/>
      <c r="L410" s="1246"/>
      <c r="M410" s="2440"/>
    </row>
    <row r="411" spans="1:13">
      <c r="A411" s="53">
        <f t="shared" si="10"/>
        <v>2026.06</v>
      </c>
      <c r="B411" s="474" t="e">
        <v>#N/A</v>
      </c>
      <c r="C411" s="3535" t="e">
        <v>#N/A</v>
      </c>
      <c r="D411" s="3535" t="e">
        <v>#N/A</v>
      </c>
      <c r="E411" s="1604" t="e">
        <f t="shared" si="11"/>
        <v>#N/A</v>
      </c>
      <c r="F411" s="1192" t="e">
        <v>#N/A</v>
      </c>
      <c r="G411" s="217" t="e">
        <v>#N/A</v>
      </c>
      <c r="H411" s="1246"/>
      <c r="I411" s="2407"/>
      <c r="J411" s="1246"/>
      <c r="K411" s="2440"/>
      <c r="L411" s="1246"/>
      <c r="M411" s="2440"/>
    </row>
    <row r="412" spans="1:13">
      <c r="A412" s="53">
        <f t="shared" si="10"/>
        <v>2026.07</v>
      </c>
      <c r="B412" s="474" t="e">
        <v>#N/A</v>
      </c>
      <c r="C412" s="3535" t="e">
        <v>#N/A</v>
      </c>
      <c r="D412" s="3535" t="e">
        <v>#N/A</v>
      </c>
      <c r="E412" s="1604" t="e">
        <f t="shared" si="11"/>
        <v>#N/A</v>
      </c>
      <c r="F412" s="1192" t="e">
        <v>#N/A</v>
      </c>
      <c r="G412" s="217" t="e">
        <v>#N/A</v>
      </c>
      <c r="H412" s="1246"/>
      <c r="I412" s="2407"/>
      <c r="J412" s="1246"/>
      <c r="K412" s="2440"/>
      <c r="L412" s="1246"/>
      <c r="M412" s="2440"/>
    </row>
    <row r="413" spans="1:13">
      <c r="A413" s="53">
        <f t="shared" si="10"/>
        <v>2026.08</v>
      </c>
      <c r="B413" s="474" t="e">
        <v>#N/A</v>
      </c>
      <c r="C413" s="3535" t="e">
        <v>#N/A</v>
      </c>
      <c r="D413" s="3535" t="e">
        <v>#N/A</v>
      </c>
      <c r="E413" s="1604" t="e">
        <f t="shared" si="11"/>
        <v>#N/A</v>
      </c>
      <c r="F413" s="1192" t="e">
        <v>#N/A</v>
      </c>
      <c r="G413" s="217" t="e">
        <v>#N/A</v>
      </c>
      <c r="H413" s="1246"/>
      <c r="I413" s="2407"/>
      <c r="J413" s="1246"/>
      <c r="K413" s="2440"/>
      <c r="L413" s="1246"/>
      <c r="M413" s="2440"/>
    </row>
    <row r="414" spans="1:13">
      <c r="A414" s="53">
        <f t="shared" si="10"/>
        <v>2026.09</v>
      </c>
      <c r="B414" s="474" t="e">
        <v>#N/A</v>
      </c>
      <c r="C414" s="3535" t="e">
        <v>#N/A</v>
      </c>
      <c r="D414" s="3535" t="e">
        <v>#N/A</v>
      </c>
      <c r="E414" s="1604" t="e">
        <f t="shared" si="11"/>
        <v>#N/A</v>
      </c>
      <c r="F414" s="1192" t="e">
        <v>#N/A</v>
      </c>
      <c r="G414" s="217" t="e">
        <v>#N/A</v>
      </c>
      <c r="H414" s="1246"/>
      <c r="I414" s="2407"/>
      <c r="J414" s="1246"/>
      <c r="K414" s="2440"/>
      <c r="L414" s="1246"/>
      <c r="M414" s="2440"/>
    </row>
    <row r="415" spans="1:13">
      <c r="A415" s="53">
        <f t="shared" si="10"/>
        <v>2026.1</v>
      </c>
      <c r="B415" s="474" t="e">
        <v>#N/A</v>
      </c>
      <c r="C415" s="3535" t="e">
        <v>#N/A</v>
      </c>
      <c r="D415" s="3535" t="e">
        <v>#N/A</v>
      </c>
      <c r="E415" s="1604" t="e">
        <f t="shared" si="11"/>
        <v>#N/A</v>
      </c>
      <c r="F415" s="1192" t="e">
        <v>#N/A</v>
      </c>
      <c r="G415" s="217" t="e">
        <v>#N/A</v>
      </c>
      <c r="H415" s="1246"/>
      <c r="I415" s="2407"/>
      <c r="J415" s="1246"/>
      <c r="K415" s="2440"/>
      <c r="L415" s="1246"/>
      <c r="M415" s="2440"/>
    </row>
    <row r="416" spans="1:13">
      <c r="A416" s="53">
        <f t="shared" si="10"/>
        <v>2026.11</v>
      </c>
      <c r="B416" s="474" t="e">
        <v>#N/A</v>
      </c>
      <c r="C416" s="3535" t="e">
        <v>#N/A</v>
      </c>
      <c r="D416" s="3535" t="e">
        <v>#N/A</v>
      </c>
      <c r="E416" s="1604" t="e">
        <f t="shared" si="11"/>
        <v>#N/A</v>
      </c>
      <c r="F416" s="1192" t="e">
        <v>#N/A</v>
      </c>
      <c r="G416" s="217" t="e">
        <v>#N/A</v>
      </c>
      <c r="H416" s="1246"/>
      <c r="I416" s="2407"/>
      <c r="J416" s="1246"/>
      <c r="K416" s="2440"/>
      <c r="L416" s="1246"/>
      <c r="M416" s="2440"/>
    </row>
    <row r="417" spans="1:13">
      <c r="A417" s="53">
        <f t="shared" si="10"/>
        <v>2026.12</v>
      </c>
      <c r="B417" s="474" t="e">
        <v>#N/A</v>
      </c>
      <c r="C417" s="3535" t="e">
        <v>#N/A</v>
      </c>
      <c r="D417" s="3535" t="e">
        <v>#N/A</v>
      </c>
      <c r="E417" s="1604" t="e">
        <f t="shared" si="11"/>
        <v>#N/A</v>
      </c>
      <c r="F417" s="1192" t="e">
        <v>#N/A</v>
      </c>
      <c r="G417" s="217" t="e">
        <v>#N/A</v>
      </c>
      <c r="H417" s="1246"/>
      <c r="I417" s="2407"/>
      <c r="J417" s="1246"/>
      <c r="K417" s="2440"/>
      <c r="L417" s="1246"/>
      <c r="M417" s="2440"/>
    </row>
    <row r="418" spans="1:13">
      <c r="A418" s="53">
        <f t="shared" si="10"/>
        <v>2027.01</v>
      </c>
      <c r="B418" s="474" t="e">
        <v>#N/A</v>
      </c>
      <c r="C418" s="3535" t="e">
        <v>#N/A</v>
      </c>
      <c r="D418" s="3535" t="e">
        <v>#N/A</v>
      </c>
      <c r="E418" s="1604" t="e">
        <f t="shared" si="11"/>
        <v>#N/A</v>
      </c>
      <c r="F418" s="1192" t="e">
        <v>#N/A</v>
      </c>
      <c r="G418" s="217" t="e">
        <v>#N/A</v>
      </c>
      <c r="H418" s="1246"/>
      <c r="I418" s="2407"/>
      <c r="J418" s="1246"/>
      <c r="K418" s="2440"/>
      <c r="L418" s="1246"/>
      <c r="M418" s="2440"/>
    </row>
    <row r="419" spans="1:13">
      <c r="A419" s="53">
        <f t="shared" si="10"/>
        <v>2027.02</v>
      </c>
      <c r="B419" s="474" t="e">
        <v>#N/A</v>
      </c>
      <c r="C419" s="3535" t="e">
        <v>#N/A</v>
      </c>
      <c r="D419" s="3535" t="e">
        <v>#N/A</v>
      </c>
      <c r="E419" s="1604" t="e">
        <f t="shared" si="11"/>
        <v>#N/A</v>
      </c>
      <c r="F419" s="1192" t="e">
        <v>#N/A</v>
      </c>
      <c r="G419" s="217" t="e">
        <v>#N/A</v>
      </c>
      <c r="H419" s="1246"/>
      <c r="I419" s="2407"/>
      <c r="J419" s="1246"/>
      <c r="K419" s="2440"/>
      <c r="L419" s="1246"/>
      <c r="M419" s="2440"/>
    </row>
    <row r="420" spans="1:13">
      <c r="A420" s="53">
        <f t="shared" si="10"/>
        <v>2027.03</v>
      </c>
      <c r="B420" s="474" t="e">
        <v>#N/A</v>
      </c>
      <c r="C420" s="3535" t="e">
        <v>#N/A</v>
      </c>
      <c r="D420" s="3535" t="e">
        <v>#N/A</v>
      </c>
      <c r="E420" s="1604" t="e">
        <f t="shared" si="11"/>
        <v>#N/A</v>
      </c>
      <c r="F420" s="1192" t="e">
        <v>#N/A</v>
      </c>
      <c r="G420" s="217" t="e">
        <v>#N/A</v>
      </c>
      <c r="H420" s="1246"/>
      <c r="I420" s="2407"/>
      <c r="J420" s="1246"/>
      <c r="K420" s="2440"/>
      <c r="L420" s="1246"/>
      <c r="M420" s="2440"/>
    </row>
    <row r="421" spans="1:13">
      <c r="A421" s="53">
        <f t="shared" si="10"/>
        <v>2027.04</v>
      </c>
      <c r="B421" s="474" t="e">
        <v>#N/A</v>
      </c>
      <c r="C421" s="3535" t="e">
        <v>#N/A</v>
      </c>
      <c r="D421" s="3535" t="e">
        <v>#N/A</v>
      </c>
      <c r="E421" s="1604" t="e">
        <f t="shared" si="11"/>
        <v>#N/A</v>
      </c>
      <c r="F421" s="1192" t="e">
        <v>#N/A</v>
      </c>
      <c r="G421" s="217" t="e">
        <v>#N/A</v>
      </c>
      <c r="H421" s="1246"/>
      <c r="I421" s="2407"/>
      <c r="J421" s="1246"/>
      <c r="K421" s="2440"/>
      <c r="L421" s="1246"/>
      <c r="M421" s="2440"/>
    </row>
    <row r="422" spans="1:13">
      <c r="A422" s="53">
        <f t="shared" si="10"/>
        <v>2027.05</v>
      </c>
      <c r="B422" s="474" t="e">
        <v>#N/A</v>
      </c>
      <c r="C422" s="3535" t="e">
        <v>#N/A</v>
      </c>
      <c r="D422" s="3535" t="e">
        <v>#N/A</v>
      </c>
      <c r="E422" s="1604" t="e">
        <f t="shared" si="11"/>
        <v>#N/A</v>
      </c>
      <c r="F422" s="1192" t="e">
        <v>#N/A</v>
      </c>
      <c r="G422" s="217" t="e">
        <v>#N/A</v>
      </c>
      <c r="H422" s="1246"/>
      <c r="I422" s="2407"/>
      <c r="J422" s="1246"/>
      <c r="K422" s="2440"/>
      <c r="L422" s="1246"/>
      <c r="M422" s="2440"/>
    </row>
    <row r="423" spans="1:13">
      <c r="A423" s="53">
        <f t="shared" si="10"/>
        <v>2027.06</v>
      </c>
      <c r="B423" s="474" t="e">
        <v>#N/A</v>
      </c>
      <c r="C423" s="3535" t="e">
        <v>#N/A</v>
      </c>
      <c r="D423" s="3535" t="e">
        <v>#N/A</v>
      </c>
      <c r="E423" s="1604" t="e">
        <f t="shared" si="11"/>
        <v>#N/A</v>
      </c>
      <c r="F423" s="1192" t="e">
        <v>#N/A</v>
      </c>
      <c r="G423" s="217" t="e">
        <v>#N/A</v>
      </c>
      <c r="H423" s="1246"/>
      <c r="I423" s="2407"/>
      <c r="J423" s="1246"/>
      <c r="K423" s="2440"/>
      <c r="L423" s="1246"/>
      <c r="M423" s="2440"/>
    </row>
    <row r="424" spans="1:13">
      <c r="A424" s="53">
        <f t="shared" si="10"/>
        <v>2027.07</v>
      </c>
      <c r="B424" s="474" t="e">
        <v>#N/A</v>
      </c>
      <c r="C424" s="3535" t="e">
        <v>#N/A</v>
      </c>
      <c r="D424" s="3535" t="e">
        <v>#N/A</v>
      </c>
      <c r="E424" s="1604" t="e">
        <f t="shared" si="11"/>
        <v>#N/A</v>
      </c>
      <c r="F424" s="1192" t="e">
        <v>#N/A</v>
      </c>
      <c r="G424" s="217" t="e">
        <v>#N/A</v>
      </c>
      <c r="H424" s="1246"/>
      <c r="I424" s="2407"/>
      <c r="J424" s="1246"/>
      <c r="K424" s="2440"/>
      <c r="L424" s="1246"/>
      <c r="M424" s="2440"/>
    </row>
    <row r="425" spans="1:13">
      <c r="A425" s="53">
        <f t="shared" si="10"/>
        <v>2027.08</v>
      </c>
      <c r="B425" s="474" t="e">
        <v>#N/A</v>
      </c>
      <c r="C425" s="3535" t="e">
        <v>#N/A</v>
      </c>
      <c r="D425" s="3535" t="e">
        <v>#N/A</v>
      </c>
      <c r="E425" s="1604" t="e">
        <f t="shared" si="11"/>
        <v>#N/A</v>
      </c>
      <c r="F425" s="1192" t="e">
        <v>#N/A</v>
      </c>
      <c r="G425" s="217" t="e">
        <v>#N/A</v>
      </c>
      <c r="H425" s="1246"/>
      <c r="I425" s="2407"/>
      <c r="J425" s="1246"/>
      <c r="K425" s="2440"/>
      <c r="L425" s="1246"/>
      <c r="M425" s="2440"/>
    </row>
    <row r="426" spans="1:13">
      <c r="A426" s="53">
        <f t="shared" si="10"/>
        <v>2027.09</v>
      </c>
      <c r="B426" s="474" t="e">
        <v>#N/A</v>
      </c>
      <c r="C426" s="3535" t="e">
        <v>#N/A</v>
      </c>
      <c r="D426" s="3535" t="e">
        <v>#N/A</v>
      </c>
      <c r="E426" s="1604" t="e">
        <f t="shared" si="11"/>
        <v>#N/A</v>
      </c>
      <c r="F426" s="1192" t="e">
        <v>#N/A</v>
      </c>
      <c r="G426" s="217" t="e">
        <v>#N/A</v>
      </c>
      <c r="H426" s="1246"/>
      <c r="I426" s="2407"/>
      <c r="J426" s="1246"/>
      <c r="K426" s="2440"/>
      <c r="L426" s="1246"/>
      <c r="M426" s="2440"/>
    </row>
    <row r="427" spans="1:13">
      <c r="A427" s="53">
        <f t="shared" si="10"/>
        <v>2027.1</v>
      </c>
      <c r="B427" s="474" t="e">
        <v>#N/A</v>
      </c>
      <c r="C427" s="3535" t="e">
        <v>#N/A</v>
      </c>
      <c r="D427" s="3535" t="e">
        <v>#N/A</v>
      </c>
      <c r="E427" s="1604" t="e">
        <f t="shared" si="11"/>
        <v>#N/A</v>
      </c>
      <c r="F427" s="1192" t="e">
        <v>#N/A</v>
      </c>
      <c r="G427" s="217" t="e">
        <v>#N/A</v>
      </c>
      <c r="H427" s="1246"/>
      <c r="I427" s="2407"/>
      <c r="J427" s="1246"/>
      <c r="K427" s="2440"/>
      <c r="L427" s="1246"/>
      <c r="M427" s="2440"/>
    </row>
    <row r="428" spans="1:13">
      <c r="A428" s="53">
        <f t="shared" si="10"/>
        <v>2027.11</v>
      </c>
      <c r="B428" s="474" t="e">
        <v>#N/A</v>
      </c>
      <c r="C428" s="3535" t="e">
        <v>#N/A</v>
      </c>
      <c r="D428" s="3535" t="e">
        <v>#N/A</v>
      </c>
      <c r="E428" s="1604" t="e">
        <f t="shared" si="11"/>
        <v>#N/A</v>
      </c>
      <c r="F428" s="1192" t="e">
        <v>#N/A</v>
      </c>
      <c r="G428" s="217" t="e">
        <v>#N/A</v>
      </c>
      <c r="H428" s="1246"/>
      <c r="I428" s="2407"/>
      <c r="J428" s="1246"/>
      <c r="K428" s="2440"/>
      <c r="L428" s="1246"/>
      <c r="M428" s="2440"/>
    </row>
    <row r="429" spans="1:13">
      <c r="A429" s="53">
        <f t="shared" si="10"/>
        <v>2027.12</v>
      </c>
      <c r="B429" s="474" t="e">
        <v>#N/A</v>
      </c>
      <c r="C429" s="3535" t="e">
        <v>#N/A</v>
      </c>
      <c r="D429" s="3535" t="e">
        <v>#N/A</v>
      </c>
      <c r="E429" s="1604" t="e">
        <f t="shared" si="11"/>
        <v>#N/A</v>
      </c>
      <c r="F429" s="1192" t="e">
        <v>#N/A</v>
      </c>
      <c r="G429" s="217" t="e">
        <v>#N/A</v>
      </c>
      <c r="H429" s="1246"/>
      <c r="I429" s="2407"/>
      <c r="J429" s="1246"/>
      <c r="K429" s="2440"/>
      <c r="L429" s="1246"/>
      <c r="M429" s="2440"/>
    </row>
    <row r="430" spans="1:13">
      <c r="A430" s="53">
        <f t="shared" si="10"/>
        <v>2028.01</v>
      </c>
      <c r="B430" s="474" t="e">
        <v>#N/A</v>
      </c>
      <c r="C430" s="3535" t="e">
        <v>#N/A</v>
      </c>
      <c r="D430" s="3535" t="e">
        <v>#N/A</v>
      </c>
      <c r="E430" s="1604" t="e">
        <f t="shared" si="11"/>
        <v>#N/A</v>
      </c>
      <c r="F430" s="1192" t="e">
        <v>#N/A</v>
      </c>
      <c r="G430" s="217" t="e">
        <v>#N/A</v>
      </c>
      <c r="H430" s="1246"/>
      <c r="I430" s="2407"/>
      <c r="J430" s="1246"/>
      <c r="K430" s="2440"/>
      <c r="L430" s="1246"/>
      <c r="M430" s="2440"/>
    </row>
    <row r="431" spans="1:13">
      <c r="A431" s="53">
        <f t="shared" si="10"/>
        <v>2028.02</v>
      </c>
      <c r="B431" s="474" t="e">
        <v>#N/A</v>
      </c>
      <c r="C431" s="3535" t="e">
        <v>#N/A</v>
      </c>
      <c r="D431" s="3535" t="e">
        <v>#N/A</v>
      </c>
      <c r="E431" s="1604" t="e">
        <f t="shared" si="11"/>
        <v>#N/A</v>
      </c>
      <c r="F431" s="1192" t="e">
        <v>#N/A</v>
      </c>
      <c r="G431" s="217" t="e">
        <v>#N/A</v>
      </c>
      <c r="H431" s="1246"/>
      <c r="I431" s="1246"/>
      <c r="J431" s="1246"/>
      <c r="K431" s="1246"/>
      <c r="L431" s="1246"/>
      <c r="M431" s="1246"/>
    </row>
    <row r="432" spans="1:13">
      <c r="A432" s="53">
        <f t="shared" si="10"/>
        <v>2028.03</v>
      </c>
      <c r="B432" s="474" t="e">
        <v>#N/A</v>
      </c>
      <c r="C432" s="3535" t="e">
        <v>#N/A</v>
      </c>
      <c r="D432" s="3535" t="e">
        <v>#N/A</v>
      </c>
      <c r="E432" s="1604" t="e">
        <f t="shared" si="11"/>
        <v>#N/A</v>
      </c>
      <c r="F432" s="1192" t="e">
        <v>#N/A</v>
      </c>
      <c r="G432" s="217" t="e">
        <v>#N/A</v>
      </c>
      <c r="H432" s="1246"/>
      <c r="I432" s="1246"/>
      <c r="J432" s="1246"/>
      <c r="K432" s="1246"/>
      <c r="L432" s="1246"/>
      <c r="M432" s="1246"/>
    </row>
    <row r="433" spans="1:7">
      <c r="A433" s="53">
        <f t="shared" si="10"/>
        <v>2028.04</v>
      </c>
      <c r="B433" s="474" t="e">
        <v>#N/A</v>
      </c>
      <c r="C433" s="3535" t="e">
        <v>#N/A</v>
      </c>
      <c r="D433" s="3535" t="e">
        <v>#N/A</v>
      </c>
      <c r="E433" s="1604" t="e">
        <f>D433*$E$9</f>
        <v>#N/A</v>
      </c>
      <c r="F433" s="1192" t="e">
        <v>#N/A</v>
      </c>
      <c r="G433" s="217" t="e">
        <v>#N/A</v>
      </c>
    </row>
    <row r="434" spans="1:7">
      <c r="A434" s="53">
        <f t="shared" si="10"/>
        <v>2028.05</v>
      </c>
      <c r="B434" s="474" t="e">
        <v>#N/A</v>
      </c>
      <c r="C434" s="3535" t="e">
        <v>#N/A</v>
      </c>
      <c r="D434" s="3535" t="e">
        <v>#N/A</v>
      </c>
      <c r="E434" s="1604" t="e">
        <f t="shared" si="11"/>
        <v>#N/A</v>
      </c>
      <c r="F434" s="1192" t="e">
        <v>#N/A</v>
      </c>
      <c r="G434" s="217" t="e">
        <v>#N/A</v>
      </c>
    </row>
    <row r="435" spans="1:7">
      <c r="A435" s="53">
        <f t="shared" si="10"/>
        <v>2028.06</v>
      </c>
      <c r="B435" s="474" t="e">
        <v>#N/A</v>
      </c>
      <c r="C435" s="3535" t="e">
        <v>#N/A</v>
      </c>
      <c r="D435" s="3535" t="e">
        <v>#N/A</v>
      </c>
      <c r="E435" s="1604" t="e">
        <f t="shared" si="11"/>
        <v>#N/A</v>
      </c>
      <c r="F435" s="1192" t="e">
        <v>#N/A</v>
      </c>
      <c r="G435" s="217" t="e">
        <v>#N/A</v>
      </c>
    </row>
    <row r="436" spans="1:7">
      <c r="A436" s="53">
        <f t="shared" si="10"/>
        <v>2028.07</v>
      </c>
      <c r="B436" s="474" t="e">
        <v>#N/A</v>
      </c>
      <c r="C436" s="3535" t="e">
        <v>#N/A</v>
      </c>
      <c r="D436" s="3535" t="e">
        <v>#N/A</v>
      </c>
      <c r="E436" s="1604" t="e">
        <f t="shared" si="11"/>
        <v>#N/A</v>
      </c>
      <c r="F436" s="1192" t="e">
        <v>#N/A</v>
      </c>
      <c r="G436" s="217" t="e">
        <v>#N/A</v>
      </c>
    </row>
    <row r="437" spans="1:7">
      <c r="A437" s="53">
        <f t="shared" si="10"/>
        <v>2028.08</v>
      </c>
      <c r="B437" s="474" t="e">
        <v>#N/A</v>
      </c>
      <c r="C437" s="3535" t="e">
        <v>#N/A</v>
      </c>
      <c r="D437" s="3535" t="e">
        <v>#N/A</v>
      </c>
      <c r="E437" s="1604" t="e">
        <f t="shared" si="11"/>
        <v>#N/A</v>
      </c>
      <c r="F437" s="1192" t="e">
        <v>#N/A</v>
      </c>
      <c r="G437" s="217" t="e">
        <v>#N/A</v>
      </c>
    </row>
    <row r="438" spans="1:7">
      <c r="A438" s="53">
        <f t="shared" si="10"/>
        <v>2028.09</v>
      </c>
      <c r="B438" s="474" t="e">
        <v>#N/A</v>
      </c>
      <c r="C438" s="3535" t="e">
        <v>#N/A</v>
      </c>
      <c r="D438" s="3535" t="e">
        <v>#N/A</v>
      </c>
      <c r="E438" s="1604" t="e">
        <f t="shared" si="11"/>
        <v>#N/A</v>
      </c>
      <c r="F438" s="1192" t="e">
        <v>#N/A</v>
      </c>
      <c r="G438" s="217" t="e">
        <v>#N/A</v>
      </c>
    </row>
    <row r="439" spans="1:7">
      <c r="A439" s="53">
        <f t="shared" si="10"/>
        <v>2028.1</v>
      </c>
      <c r="B439" s="474" t="e">
        <v>#N/A</v>
      </c>
      <c r="C439" s="3535" t="e">
        <v>#N/A</v>
      </c>
      <c r="D439" s="3535" t="e">
        <v>#N/A</v>
      </c>
      <c r="E439" s="1604" t="e">
        <f t="shared" si="11"/>
        <v>#N/A</v>
      </c>
      <c r="F439" s="1192" t="e">
        <v>#N/A</v>
      </c>
      <c r="G439" s="217" t="e">
        <v>#N/A</v>
      </c>
    </row>
    <row r="440" spans="1:7">
      <c r="A440" s="53">
        <f t="shared" si="10"/>
        <v>2028.11</v>
      </c>
      <c r="B440" s="474" t="e">
        <v>#N/A</v>
      </c>
      <c r="C440" s="3535" t="e">
        <v>#N/A</v>
      </c>
      <c r="D440" s="3535" t="e">
        <v>#N/A</v>
      </c>
      <c r="E440" s="1604" t="e">
        <f t="shared" si="11"/>
        <v>#N/A</v>
      </c>
      <c r="F440" s="1192" t="e">
        <v>#N/A</v>
      </c>
      <c r="G440" s="217" t="e">
        <v>#N/A</v>
      </c>
    </row>
    <row r="441" spans="1:7">
      <c r="A441" s="53">
        <f t="shared" si="10"/>
        <v>2028.12</v>
      </c>
      <c r="B441" s="474" t="e">
        <v>#N/A</v>
      </c>
      <c r="C441" s="3535" t="e">
        <v>#N/A</v>
      </c>
      <c r="D441" s="3535" t="e">
        <v>#N/A</v>
      </c>
      <c r="E441" s="1604" t="e">
        <f t="shared" si="11"/>
        <v>#N/A</v>
      </c>
      <c r="F441" s="1192" t="e">
        <v>#N/A</v>
      </c>
      <c r="G441" s="217" t="e">
        <v>#N/A</v>
      </c>
    </row>
    <row r="442" spans="1:7">
      <c r="A442" s="53">
        <f t="shared" si="10"/>
        <v>2029.01</v>
      </c>
      <c r="B442" s="474" t="e">
        <v>#N/A</v>
      </c>
      <c r="C442" s="3535" t="e">
        <v>#N/A</v>
      </c>
      <c r="D442" s="3535" t="e">
        <v>#N/A</v>
      </c>
      <c r="E442" s="1604" t="e">
        <f t="shared" si="11"/>
        <v>#N/A</v>
      </c>
      <c r="F442" s="1192" t="e">
        <v>#N/A</v>
      </c>
      <c r="G442" s="217" t="e">
        <v>#N/A</v>
      </c>
    </row>
    <row r="443" spans="1:7">
      <c r="A443" s="53">
        <f t="shared" si="10"/>
        <v>2029.02</v>
      </c>
      <c r="B443" s="474" t="e">
        <v>#N/A</v>
      </c>
      <c r="C443" s="3535" t="e">
        <v>#N/A</v>
      </c>
      <c r="D443" s="3535" t="e">
        <v>#N/A</v>
      </c>
      <c r="E443" s="1604" t="e">
        <f>D443*$E$9</f>
        <v>#N/A</v>
      </c>
      <c r="F443" s="1192" t="e">
        <v>#N/A</v>
      </c>
      <c r="G443" s="217" t="e">
        <v>#N/A</v>
      </c>
    </row>
    <row r="444" spans="1:7">
      <c r="A444" s="53">
        <f t="shared" si="10"/>
        <v>2029.03</v>
      </c>
      <c r="B444" s="474" t="e">
        <v>#N/A</v>
      </c>
      <c r="C444" s="3535" t="e">
        <v>#N/A</v>
      </c>
      <c r="D444" s="3535" t="e">
        <v>#N/A</v>
      </c>
      <c r="E444" s="1604" t="e">
        <f t="shared" si="11"/>
        <v>#N/A</v>
      </c>
      <c r="F444" s="1192" t="e">
        <v>#N/A</v>
      </c>
      <c r="G444" s="217" t="e">
        <v>#N/A</v>
      </c>
    </row>
    <row r="445" spans="1:7">
      <c r="A445" s="53">
        <f t="shared" si="10"/>
        <v>2029.04</v>
      </c>
      <c r="B445" s="474" t="e">
        <v>#N/A</v>
      </c>
      <c r="C445" s="3535" t="e">
        <v>#N/A</v>
      </c>
      <c r="D445" s="3535" t="e">
        <v>#N/A</v>
      </c>
      <c r="E445" s="1604" t="e">
        <f t="shared" si="11"/>
        <v>#N/A</v>
      </c>
      <c r="F445" s="1192" t="e">
        <v>#N/A</v>
      </c>
      <c r="G445" s="217" t="e">
        <v>#N/A</v>
      </c>
    </row>
    <row r="446" spans="1:7">
      <c r="A446" s="53">
        <f t="shared" ref="A446:A465" si="12">A434+1</f>
        <v>2029.05</v>
      </c>
      <c r="B446" s="474" t="e">
        <v>#N/A</v>
      </c>
      <c r="C446" s="3535" t="e">
        <v>#N/A</v>
      </c>
      <c r="D446" s="3535" t="e">
        <v>#N/A</v>
      </c>
      <c r="E446" s="1604" t="e">
        <f t="shared" si="11"/>
        <v>#N/A</v>
      </c>
      <c r="F446" s="1192" t="e">
        <v>#N/A</v>
      </c>
      <c r="G446" s="217" t="e">
        <v>#N/A</v>
      </c>
    </row>
    <row r="447" spans="1:7">
      <c r="A447" s="53">
        <f t="shared" si="12"/>
        <v>2029.06</v>
      </c>
      <c r="B447" s="474" t="e">
        <v>#N/A</v>
      </c>
      <c r="C447" s="3535" t="e">
        <v>#N/A</v>
      </c>
      <c r="D447" s="3535" t="e">
        <v>#N/A</v>
      </c>
      <c r="E447" s="1604" t="e">
        <f t="shared" si="11"/>
        <v>#N/A</v>
      </c>
      <c r="F447" s="1192" t="e">
        <v>#N/A</v>
      </c>
      <c r="G447" s="217" t="e">
        <v>#N/A</v>
      </c>
    </row>
    <row r="448" spans="1:7">
      <c r="A448" s="53">
        <f t="shared" si="12"/>
        <v>2029.07</v>
      </c>
      <c r="B448" s="474" t="e">
        <v>#N/A</v>
      </c>
      <c r="C448" s="3535" t="e">
        <v>#N/A</v>
      </c>
      <c r="D448" s="3535" t="e">
        <v>#N/A</v>
      </c>
      <c r="E448" s="1604" t="e">
        <f t="shared" si="11"/>
        <v>#N/A</v>
      </c>
      <c r="F448" s="1192" t="e">
        <v>#N/A</v>
      </c>
      <c r="G448" s="217" t="e">
        <v>#N/A</v>
      </c>
    </row>
    <row r="449" spans="1:7">
      <c r="A449" s="53">
        <f t="shared" si="12"/>
        <v>2029.08</v>
      </c>
      <c r="B449" s="474" t="e">
        <v>#N/A</v>
      </c>
      <c r="C449" s="3535" t="e">
        <v>#N/A</v>
      </c>
      <c r="D449" s="3535" t="e">
        <v>#N/A</v>
      </c>
      <c r="E449" s="1604" t="e">
        <f t="shared" si="11"/>
        <v>#N/A</v>
      </c>
      <c r="F449" s="1192" t="e">
        <v>#N/A</v>
      </c>
      <c r="G449" s="217" t="e">
        <v>#N/A</v>
      </c>
    </row>
    <row r="450" spans="1:7">
      <c r="A450" s="53">
        <f t="shared" si="12"/>
        <v>2029.09</v>
      </c>
      <c r="B450" s="474" t="e">
        <v>#N/A</v>
      </c>
      <c r="C450" s="3535" t="e">
        <v>#N/A</v>
      </c>
      <c r="D450" s="3535" t="e">
        <v>#N/A</v>
      </c>
      <c r="E450" s="1604" t="e">
        <f t="shared" si="11"/>
        <v>#N/A</v>
      </c>
      <c r="F450" s="1192" t="e">
        <v>#N/A</v>
      </c>
      <c r="G450" s="217" t="e">
        <v>#N/A</v>
      </c>
    </row>
    <row r="451" spans="1:7">
      <c r="A451" s="53">
        <f t="shared" si="12"/>
        <v>2029.1</v>
      </c>
      <c r="B451" s="474" t="e">
        <v>#N/A</v>
      </c>
      <c r="C451" s="3535" t="e">
        <v>#N/A</v>
      </c>
      <c r="D451" s="3535" t="e">
        <v>#N/A</v>
      </c>
      <c r="E451" s="1604" t="e">
        <f t="shared" si="11"/>
        <v>#N/A</v>
      </c>
      <c r="F451" s="1192" t="e">
        <v>#N/A</v>
      </c>
      <c r="G451" s="217" t="e">
        <v>#N/A</v>
      </c>
    </row>
    <row r="452" spans="1:7">
      <c r="A452" s="53">
        <f t="shared" si="12"/>
        <v>2029.11</v>
      </c>
      <c r="B452" s="474" t="e">
        <v>#N/A</v>
      </c>
      <c r="C452" s="3535" t="e">
        <v>#N/A</v>
      </c>
      <c r="D452" s="3535" t="e">
        <v>#N/A</v>
      </c>
      <c r="E452" s="1604" t="e">
        <f t="shared" si="11"/>
        <v>#N/A</v>
      </c>
      <c r="F452" s="1192" t="e">
        <v>#N/A</v>
      </c>
      <c r="G452" s="217" t="e">
        <v>#N/A</v>
      </c>
    </row>
    <row r="453" spans="1:7">
      <c r="A453" s="53">
        <f t="shared" si="12"/>
        <v>2029.12</v>
      </c>
      <c r="B453" s="474" t="e">
        <v>#N/A</v>
      </c>
      <c r="C453" s="3535" t="e">
        <v>#N/A</v>
      </c>
      <c r="D453" s="3535" t="e">
        <v>#N/A</v>
      </c>
      <c r="E453" s="1604" t="e">
        <f t="shared" si="11"/>
        <v>#N/A</v>
      </c>
      <c r="F453" s="1192" t="e">
        <v>#N/A</v>
      </c>
      <c r="G453" s="217" t="e">
        <v>#N/A</v>
      </c>
    </row>
    <row r="454" spans="1:7">
      <c r="A454" s="53">
        <f t="shared" si="12"/>
        <v>2030.01</v>
      </c>
      <c r="B454" s="474" t="e">
        <v>#N/A</v>
      </c>
      <c r="C454" s="3535" t="e">
        <v>#N/A</v>
      </c>
      <c r="D454" s="3535" t="e">
        <v>#N/A</v>
      </c>
      <c r="E454" s="1604" t="e">
        <f t="shared" si="11"/>
        <v>#N/A</v>
      </c>
      <c r="F454" s="1192" t="e">
        <v>#N/A</v>
      </c>
      <c r="G454" s="217" t="e">
        <v>#N/A</v>
      </c>
    </row>
    <row r="455" spans="1:7">
      <c r="A455" s="53">
        <f t="shared" si="12"/>
        <v>2030.02</v>
      </c>
      <c r="B455" s="474" t="e">
        <v>#N/A</v>
      </c>
      <c r="C455" s="3535" t="e">
        <v>#N/A</v>
      </c>
      <c r="D455" s="3535" t="e">
        <v>#N/A</v>
      </c>
      <c r="E455" s="1604" t="e">
        <f t="shared" si="11"/>
        <v>#N/A</v>
      </c>
      <c r="F455" s="1192" t="e">
        <v>#N/A</v>
      </c>
      <c r="G455" s="217" t="e">
        <v>#N/A</v>
      </c>
    </row>
    <row r="456" spans="1:7">
      <c r="A456" s="53">
        <f t="shared" si="12"/>
        <v>2030.03</v>
      </c>
      <c r="B456" s="474" t="e">
        <v>#N/A</v>
      </c>
      <c r="C456" s="3535" t="e">
        <v>#N/A</v>
      </c>
      <c r="D456" s="3535" t="e">
        <v>#N/A</v>
      </c>
      <c r="E456" s="1604" t="e">
        <f t="shared" si="11"/>
        <v>#N/A</v>
      </c>
      <c r="F456" s="1192" t="e">
        <v>#N/A</v>
      </c>
      <c r="G456" s="217" t="e">
        <v>#N/A</v>
      </c>
    </row>
    <row r="457" spans="1:7">
      <c r="A457" s="53">
        <f t="shared" si="12"/>
        <v>2030.04</v>
      </c>
      <c r="B457" s="474" t="e">
        <v>#N/A</v>
      </c>
      <c r="C457" s="3535" t="e">
        <v>#N/A</v>
      </c>
      <c r="D457" s="3535" t="e">
        <v>#N/A</v>
      </c>
      <c r="E457" s="1604" t="e">
        <f>D457*$E$9</f>
        <v>#N/A</v>
      </c>
      <c r="F457" s="1192" t="e">
        <v>#N/A</v>
      </c>
      <c r="G457" s="217" t="e">
        <v>#N/A</v>
      </c>
    </row>
    <row r="458" spans="1:7">
      <c r="A458" s="53">
        <f t="shared" si="12"/>
        <v>2030.05</v>
      </c>
      <c r="B458" s="474" t="e">
        <v>#N/A</v>
      </c>
      <c r="C458" s="3535" t="e">
        <v>#N/A</v>
      </c>
      <c r="D458" s="3535" t="e">
        <v>#N/A</v>
      </c>
      <c r="E458" s="1604" t="e">
        <f t="shared" si="11"/>
        <v>#N/A</v>
      </c>
      <c r="F458" s="1192" t="e">
        <v>#N/A</v>
      </c>
      <c r="G458" s="217" t="e">
        <v>#N/A</v>
      </c>
    </row>
    <row r="459" spans="1:7">
      <c r="A459" s="53">
        <f t="shared" si="12"/>
        <v>2030.06</v>
      </c>
      <c r="B459" s="474" t="e">
        <v>#N/A</v>
      </c>
      <c r="C459" s="3535" t="e">
        <v>#N/A</v>
      </c>
      <c r="D459" s="3535" t="e">
        <v>#N/A</v>
      </c>
      <c r="E459" s="1604" t="e">
        <f t="shared" si="11"/>
        <v>#N/A</v>
      </c>
      <c r="F459" s="1192" t="e">
        <v>#N/A</v>
      </c>
      <c r="G459" s="217" t="e">
        <v>#N/A</v>
      </c>
    </row>
    <row r="460" spans="1:7">
      <c r="A460" s="53">
        <f t="shared" si="12"/>
        <v>2030.07</v>
      </c>
      <c r="B460" s="474" t="e">
        <v>#N/A</v>
      </c>
      <c r="C460" s="3535" t="e">
        <v>#N/A</v>
      </c>
      <c r="D460" s="3535" t="e">
        <v>#N/A</v>
      </c>
      <c r="E460" s="1604" t="e">
        <f t="shared" si="11"/>
        <v>#N/A</v>
      </c>
      <c r="F460" s="1192" t="e">
        <v>#N/A</v>
      </c>
      <c r="G460" s="217" t="e">
        <v>#N/A</v>
      </c>
    </row>
    <row r="461" spans="1:7">
      <c r="A461" s="53">
        <f t="shared" si="12"/>
        <v>2030.08</v>
      </c>
      <c r="B461" s="474" t="e">
        <v>#N/A</v>
      </c>
      <c r="C461" s="3535" t="e">
        <v>#N/A</v>
      </c>
      <c r="D461" s="3535" t="e">
        <v>#N/A</v>
      </c>
      <c r="E461" s="1604" t="e">
        <f t="shared" si="11"/>
        <v>#N/A</v>
      </c>
      <c r="F461" s="1192" t="e">
        <v>#N/A</v>
      </c>
      <c r="G461" s="217" t="e">
        <v>#N/A</v>
      </c>
    </row>
    <row r="462" spans="1:7">
      <c r="A462" s="53">
        <f t="shared" si="12"/>
        <v>2030.09</v>
      </c>
      <c r="B462" s="474" t="e">
        <v>#N/A</v>
      </c>
      <c r="C462" s="3535" t="e">
        <v>#N/A</v>
      </c>
      <c r="D462" s="3535" t="e">
        <v>#N/A</v>
      </c>
      <c r="E462" s="1604" t="e">
        <f t="shared" si="11"/>
        <v>#N/A</v>
      </c>
      <c r="F462" s="1192" t="e">
        <v>#N/A</v>
      </c>
      <c r="G462" s="217" t="e">
        <v>#N/A</v>
      </c>
    </row>
    <row r="463" spans="1:7">
      <c r="A463" s="53">
        <f t="shared" si="12"/>
        <v>2030.1</v>
      </c>
      <c r="B463" s="474" t="e">
        <v>#N/A</v>
      </c>
      <c r="C463" s="3535" t="e">
        <v>#N/A</v>
      </c>
      <c r="D463" s="3535" t="e">
        <v>#N/A</v>
      </c>
      <c r="E463" s="1604" t="e">
        <f t="shared" si="11"/>
        <v>#N/A</v>
      </c>
      <c r="F463" s="1192" t="e">
        <v>#N/A</v>
      </c>
      <c r="G463" s="217" t="e">
        <v>#N/A</v>
      </c>
    </row>
    <row r="464" spans="1:7">
      <c r="A464" s="53">
        <f t="shared" si="12"/>
        <v>2030.11</v>
      </c>
      <c r="B464" s="474" t="e">
        <v>#N/A</v>
      </c>
      <c r="C464" s="3535" t="e">
        <v>#N/A</v>
      </c>
      <c r="D464" s="3535" t="e">
        <v>#N/A</v>
      </c>
      <c r="E464" s="1604" t="e">
        <f t="shared" si="11"/>
        <v>#N/A</v>
      </c>
      <c r="F464" s="1192" t="e">
        <v>#N/A</v>
      </c>
      <c r="G464" s="217" t="e">
        <v>#N/A</v>
      </c>
    </row>
    <row r="465" spans="1:13">
      <c r="A465" s="53">
        <f t="shared" si="12"/>
        <v>2030.12</v>
      </c>
      <c r="B465" s="474" t="e">
        <v>#N/A</v>
      </c>
      <c r="C465" s="3535" t="e">
        <v>#N/A</v>
      </c>
      <c r="D465" s="3535" t="e">
        <v>#N/A</v>
      </c>
      <c r="E465" s="1604" t="e">
        <f t="shared" si="11"/>
        <v>#N/A</v>
      </c>
      <c r="F465" s="1192" t="e">
        <v>#N/A</v>
      </c>
      <c r="G465" s="217" t="e">
        <v>#N/A</v>
      </c>
      <c r="H465" s="1246"/>
      <c r="I465" s="1246"/>
      <c r="J465" s="1246"/>
      <c r="K465" s="1246"/>
      <c r="L465" s="1246"/>
      <c r="M465" s="1246"/>
    </row>
    <row r="466" spans="1:13">
      <c r="A466" s="1248"/>
      <c r="B466" s="1248"/>
      <c r="C466" s="1248"/>
      <c r="D466" s="1248"/>
      <c r="E466" s="1249"/>
      <c r="F466" s="1248"/>
      <c r="G466" s="1248"/>
      <c r="H466" s="1246"/>
      <c r="I466" s="1246"/>
      <c r="J466" s="1246"/>
      <c r="K466" s="1246"/>
      <c r="L466" s="1246"/>
      <c r="M466" s="1246"/>
    </row>
    <row r="467" spans="1:13">
      <c r="A467" s="1248"/>
      <c r="B467" s="1248"/>
      <c r="C467" s="1248"/>
      <c r="D467" s="1248"/>
      <c r="E467" s="1249"/>
      <c r="F467" s="1248"/>
      <c r="G467" s="1248"/>
      <c r="H467" s="1246"/>
      <c r="I467" s="1246"/>
      <c r="J467" s="1246"/>
      <c r="K467" s="1248"/>
      <c r="L467" s="1248"/>
      <c r="M467" s="1248"/>
    </row>
    <row r="468" spans="1:13">
      <c r="A468" s="1248"/>
      <c r="B468" s="1248"/>
      <c r="C468" s="1248"/>
      <c r="D468" s="1248"/>
      <c r="E468" s="1249"/>
      <c r="F468" s="1248"/>
      <c r="G468" s="1248"/>
      <c r="H468" s="1246"/>
      <c r="I468" s="1246"/>
      <c r="J468" s="1246"/>
      <c r="K468" s="1248"/>
      <c r="L468" s="1248"/>
      <c r="M468" s="1249"/>
    </row>
    <row r="469" spans="1:13">
      <c r="A469" s="1248"/>
      <c r="B469" s="1248"/>
      <c r="C469" s="1248"/>
      <c r="D469" s="1248"/>
      <c r="E469" s="1249"/>
      <c r="F469" s="1248"/>
      <c r="G469" s="1248"/>
      <c r="H469" s="1246"/>
      <c r="I469" s="1246"/>
      <c r="J469" s="1246"/>
      <c r="K469" s="1248"/>
      <c r="L469" s="1248"/>
      <c r="M469" s="1249"/>
    </row>
    <row r="470" spans="1:13">
      <c r="A470" s="1248"/>
      <c r="B470" s="1248"/>
      <c r="C470" s="1248"/>
      <c r="D470" s="1248"/>
      <c r="E470" s="1249"/>
      <c r="F470" s="1248"/>
      <c r="G470" s="1248"/>
      <c r="H470" s="1246"/>
      <c r="I470" s="1246"/>
      <c r="J470" s="1246"/>
      <c r="K470" s="1248"/>
      <c r="L470" s="1248"/>
      <c r="M470" s="1249"/>
    </row>
  </sheetData>
  <phoneticPr fontId="0" type="noConversion"/>
  <hyperlinks>
    <hyperlink ref="A5" location="INDICE!A13" display="VOLVER AL INDICE" xr:uid="{F8FDE8C6-0DCD-442A-977A-0360831A23BD}"/>
  </hyperlinks>
  <printOptions gridLines="1"/>
  <pageMargins left="0.39370078740157483" right="0.39370078740157483" top="0.59055118110236227" bottom="0.59055118110236227" header="0" footer="0"/>
  <pageSetup paperSize="9" scale="50" orientation="portrait" horizontalDpi="300" verticalDpi="300" r:id="rId1"/>
  <headerFooter alignWithMargins="0"/>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25">
    <pageSetUpPr autoPageBreaks="0"/>
  </sheetPr>
  <dimension ref="A1:O465"/>
  <sheetViews>
    <sheetView zoomScaleNormal="100"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11.140625" style="21" customWidth="1"/>
    <col min="2" max="10" width="13.5703125" style="21" customWidth="1"/>
    <col min="11" max="11" width="19.42578125" style="21" customWidth="1"/>
    <col min="12" max="14" width="14.42578125" style="21" customWidth="1"/>
    <col min="15" max="16384" width="11.42578125" style="6"/>
  </cols>
  <sheetData>
    <row r="1" spans="1:15" ht="4.5" customHeight="1">
      <c r="A1" s="2761"/>
      <c r="B1" s="60"/>
      <c r="C1" s="61"/>
      <c r="D1" s="61"/>
      <c r="E1" s="61"/>
      <c r="F1" s="61"/>
      <c r="G1" s="61"/>
      <c r="H1" s="61"/>
      <c r="I1" s="61"/>
      <c r="J1" s="61"/>
      <c r="K1" s="62"/>
      <c r="L1" s="1430"/>
      <c r="M1" s="1430"/>
      <c r="N1" s="1431"/>
      <c r="O1" s="166"/>
    </row>
    <row r="2" spans="1:15" ht="45">
      <c r="A2" s="2762" t="s">
        <v>99</v>
      </c>
      <c r="B2" s="56" t="s">
        <v>1515</v>
      </c>
      <c r="C2" s="2736"/>
      <c r="D2" s="2736"/>
      <c r="E2" s="2736"/>
      <c r="F2" s="2816"/>
      <c r="G2" s="2816"/>
      <c r="H2" s="2816"/>
      <c r="I2" s="2816"/>
      <c r="J2" s="2816"/>
      <c r="K2" s="2736" t="s">
        <v>1516</v>
      </c>
      <c r="L2" s="2736" t="s">
        <v>1517</v>
      </c>
      <c r="M2" s="2816"/>
      <c r="N2" s="2998"/>
      <c r="O2" s="166"/>
    </row>
    <row r="3" spans="1:15">
      <c r="A3" s="2762" t="s">
        <v>104</v>
      </c>
      <c r="B3" s="56" t="s">
        <v>112</v>
      </c>
      <c r="C3" s="2736"/>
      <c r="D3" s="2736"/>
      <c r="E3" s="2736"/>
      <c r="F3" s="2816"/>
      <c r="G3" s="2816"/>
      <c r="H3" s="2816"/>
      <c r="I3" s="2816"/>
      <c r="J3" s="2816"/>
      <c r="K3" s="2736" t="s">
        <v>1518</v>
      </c>
      <c r="L3" s="2736" t="s">
        <v>1518</v>
      </c>
      <c r="M3" s="2816"/>
      <c r="N3" s="2998"/>
      <c r="O3" s="166"/>
    </row>
    <row r="4" spans="1:15">
      <c r="A4" s="2762"/>
      <c r="B4" s="147" t="s">
        <v>1519</v>
      </c>
      <c r="C4" s="2816"/>
      <c r="D4" s="2816"/>
      <c r="E4" s="2816"/>
      <c r="F4" s="2816"/>
      <c r="G4" s="2816"/>
      <c r="H4" s="2816"/>
      <c r="I4" s="2816"/>
      <c r="J4" s="2816"/>
      <c r="K4" s="3027"/>
      <c r="L4" s="3028" t="s">
        <v>1520</v>
      </c>
      <c r="M4" s="130"/>
      <c r="N4" s="131"/>
      <c r="O4" s="166"/>
    </row>
    <row r="5" spans="1:15" ht="33.75">
      <c r="A5" s="2867" t="s">
        <v>140</v>
      </c>
      <c r="B5" s="580" t="s">
        <v>1521</v>
      </c>
      <c r="C5" s="1432" t="s">
        <v>1522</v>
      </c>
      <c r="D5" s="583" t="s">
        <v>1523</v>
      </c>
      <c r="E5" s="969" t="s">
        <v>1524</v>
      </c>
      <c r="F5" s="583" t="s">
        <v>1525</v>
      </c>
      <c r="G5" s="969" t="s">
        <v>1526</v>
      </c>
      <c r="H5" s="583" t="s">
        <v>1527</v>
      </c>
      <c r="I5" s="969" t="s">
        <v>1528</v>
      </c>
      <c r="J5" s="2032" t="s">
        <v>1529</v>
      </c>
      <c r="K5" s="2728" t="s">
        <v>1530</v>
      </c>
      <c r="L5" s="2758" t="s">
        <v>1531</v>
      </c>
      <c r="M5" s="952" t="s">
        <v>1532</v>
      </c>
      <c r="N5" s="1" t="s">
        <v>1533</v>
      </c>
      <c r="O5" s="166"/>
    </row>
    <row r="6" spans="1:15" ht="3.75" hidden="1" customHeight="1">
      <c r="A6" s="2762"/>
      <c r="B6" s="127"/>
      <c r="C6" s="657"/>
      <c r="D6" s="656"/>
      <c r="E6" s="128"/>
      <c r="F6" s="656"/>
      <c r="G6" s="128"/>
      <c r="H6" s="656"/>
      <c r="I6" s="128"/>
      <c r="J6" s="2079">
        <v>0.30989999999999995</v>
      </c>
      <c r="K6" s="3027"/>
      <c r="L6" s="3029"/>
      <c r="M6" s="658"/>
      <c r="N6" s="129"/>
      <c r="O6" s="166"/>
    </row>
    <row r="7" spans="1:15" ht="22.5">
      <c r="A7" s="2762" t="s">
        <v>125</v>
      </c>
      <c r="B7" s="2758" t="s">
        <v>1534</v>
      </c>
      <c r="C7" s="1345" t="s">
        <v>1534</v>
      </c>
      <c r="D7" s="952" t="s">
        <v>1534</v>
      </c>
      <c r="E7" s="5" t="s">
        <v>1534</v>
      </c>
      <c r="F7" s="952" t="s">
        <v>1534</v>
      </c>
      <c r="G7" s="5" t="s">
        <v>1534</v>
      </c>
      <c r="H7" s="952" t="s">
        <v>1534</v>
      </c>
      <c r="I7" s="5" t="s">
        <v>1534</v>
      </c>
      <c r="J7" s="2060" t="s">
        <v>1534</v>
      </c>
      <c r="K7" s="2902" t="s">
        <v>1534</v>
      </c>
      <c r="L7" s="2758" t="s">
        <v>1534</v>
      </c>
      <c r="M7" s="952" t="s">
        <v>1534</v>
      </c>
      <c r="N7" s="1" t="s">
        <v>1534</v>
      </c>
      <c r="O7" s="166"/>
    </row>
    <row r="8" spans="1:15" ht="13.5" customHeight="1">
      <c r="A8" s="3002" t="s">
        <v>144</v>
      </c>
      <c r="B8" s="2281" t="s">
        <v>1535</v>
      </c>
      <c r="C8" s="2282" t="s">
        <v>1536</v>
      </c>
      <c r="D8" s="2283" t="s">
        <v>1537</v>
      </c>
      <c r="E8" s="2281" t="s">
        <v>1538</v>
      </c>
      <c r="F8" s="2283" t="s">
        <v>1539</v>
      </c>
      <c r="G8" s="2281" t="s">
        <v>1540</v>
      </c>
      <c r="H8" s="2283" t="s">
        <v>1541</v>
      </c>
      <c r="I8" s="2281" t="s">
        <v>1542</v>
      </c>
      <c r="J8" s="2284" t="s">
        <v>1543</v>
      </c>
      <c r="K8" s="3030" t="s">
        <v>1544</v>
      </c>
      <c r="L8" s="3031" t="s">
        <v>1545</v>
      </c>
      <c r="M8" s="2283" t="s">
        <v>1546</v>
      </c>
      <c r="N8" s="2285" t="s">
        <v>1547</v>
      </c>
      <c r="O8" s="166"/>
    </row>
    <row r="9" spans="1:15" ht="13.5" thickBot="1">
      <c r="A9" s="2140"/>
      <c r="B9" s="1661"/>
      <c r="C9" s="1662"/>
      <c r="D9" s="953"/>
      <c r="E9" s="1663"/>
      <c r="F9" s="1664"/>
      <c r="G9" s="1663"/>
      <c r="H9" s="953"/>
      <c r="I9" s="953"/>
      <c r="J9" s="1663"/>
      <c r="K9" s="3032"/>
      <c r="L9" s="3033"/>
      <c r="M9" s="1664"/>
      <c r="N9" s="1665"/>
      <c r="O9" s="166"/>
    </row>
    <row r="10" spans="1:15">
      <c r="A10" s="972">
        <v>1993.01</v>
      </c>
      <c r="B10" s="30">
        <v>119114</v>
      </c>
      <c r="C10" s="1659">
        <v>7523</v>
      </c>
      <c r="D10" s="3662">
        <v>2983</v>
      </c>
      <c r="E10" s="164">
        <v>2063</v>
      </c>
      <c r="F10" s="3662">
        <v>25858</v>
      </c>
      <c r="G10" s="164">
        <v>77442</v>
      </c>
      <c r="H10" s="3663">
        <f>F10+G10</f>
        <v>103300</v>
      </c>
      <c r="I10" s="164">
        <v>252</v>
      </c>
      <c r="J10" s="3034">
        <v>2993</v>
      </c>
      <c r="K10" s="1660"/>
      <c r="L10" s="164">
        <v>8461</v>
      </c>
      <c r="M10" s="3662">
        <v>0</v>
      </c>
      <c r="N10" s="165">
        <v>99885</v>
      </c>
      <c r="O10" s="166"/>
    </row>
    <row r="11" spans="1:15">
      <c r="A11" s="972">
        <v>1993.02</v>
      </c>
      <c r="B11" s="215">
        <v>113930</v>
      </c>
      <c r="C11" s="1433">
        <v>6333</v>
      </c>
      <c r="D11" s="3664">
        <v>1624</v>
      </c>
      <c r="E11" s="1434">
        <v>2222</v>
      </c>
      <c r="F11" s="3664">
        <v>28684</v>
      </c>
      <c r="G11" s="1434">
        <v>71887</v>
      </c>
      <c r="H11" s="3665">
        <f>F11+G11</f>
        <v>100571</v>
      </c>
      <c r="I11" s="141">
        <v>337</v>
      </c>
      <c r="J11" s="3035">
        <v>2843</v>
      </c>
      <c r="K11" s="1427"/>
      <c r="L11" s="1435">
        <v>8319</v>
      </c>
      <c r="M11" s="3664">
        <v>0</v>
      </c>
      <c r="N11" s="1436">
        <v>96098</v>
      </c>
      <c r="O11" s="166"/>
    </row>
    <row r="12" spans="1:15">
      <c r="A12" s="972">
        <v>1993.03</v>
      </c>
      <c r="B12" s="215">
        <v>142901</v>
      </c>
      <c r="C12" s="1433">
        <v>6923</v>
      </c>
      <c r="D12" s="3664">
        <v>2151</v>
      </c>
      <c r="E12" s="1434">
        <v>1329</v>
      </c>
      <c r="F12" s="3664">
        <v>46339</v>
      </c>
      <c r="G12" s="1434">
        <v>82038</v>
      </c>
      <c r="H12" s="3665">
        <f t="shared" ref="H12:H75" si="0">F12+G12</f>
        <v>128377</v>
      </c>
      <c r="I12" s="141">
        <v>583</v>
      </c>
      <c r="J12" s="3035">
        <v>3538</v>
      </c>
      <c r="K12" s="1427"/>
      <c r="L12" s="1435">
        <v>11322</v>
      </c>
      <c r="M12" s="3664">
        <v>0</v>
      </c>
      <c r="N12" s="1436">
        <v>120535</v>
      </c>
      <c r="O12" s="166"/>
    </row>
    <row r="13" spans="1:15">
      <c r="A13" s="972">
        <v>1993.04</v>
      </c>
      <c r="B13" s="215">
        <v>133583</v>
      </c>
      <c r="C13" s="1433">
        <v>8599</v>
      </c>
      <c r="D13" s="3664">
        <v>2459</v>
      </c>
      <c r="E13" s="1434">
        <v>736</v>
      </c>
      <c r="F13" s="3664">
        <v>39270</v>
      </c>
      <c r="G13" s="1434">
        <v>78293</v>
      </c>
      <c r="H13" s="3665">
        <f t="shared" si="0"/>
        <v>117563</v>
      </c>
      <c r="I13" s="141">
        <v>751</v>
      </c>
      <c r="J13" s="3035">
        <v>3475</v>
      </c>
      <c r="K13" s="1427"/>
      <c r="L13" s="1435">
        <v>11035</v>
      </c>
      <c r="M13" s="3664">
        <v>0</v>
      </c>
      <c r="N13" s="1436">
        <v>109723</v>
      </c>
      <c r="O13" s="166"/>
    </row>
    <row r="14" spans="1:15">
      <c r="A14" s="972">
        <v>1993.05</v>
      </c>
      <c r="B14" s="215">
        <v>144213</v>
      </c>
      <c r="C14" s="1433">
        <v>23801</v>
      </c>
      <c r="D14" s="3664">
        <v>4789</v>
      </c>
      <c r="E14" s="1434">
        <v>577</v>
      </c>
      <c r="F14" s="3664">
        <v>27313</v>
      </c>
      <c r="G14" s="1434">
        <v>82644</v>
      </c>
      <c r="H14" s="3665">
        <f t="shared" si="0"/>
        <v>109957</v>
      </c>
      <c r="I14" s="141">
        <v>1371</v>
      </c>
      <c r="J14" s="3035">
        <v>3718</v>
      </c>
      <c r="K14" s="1427"/>
      <c r="L14" s="1435">
        <v>19232</v>
      </c>
      <c r="M14" s="3664">
        <v>0</v>
      </c>
      <c r="N14" s="1436">
        <v>96091</v>
      </c>
      <c r="O14" s="166"/>
    </row>
    <row r="15" spans="1:15">
      <c r="A15" s="972">
        <v>1993.06</v>
      </c>
      <c r="B15" s="215">
        <v>131956</v>
      </c>
      <c r="C15" s="1433">
        <v>36433</v>
      </c>
      <c r="D15" s="3664">
        <v>4776</v>
      </c>
      <c r="E15" s="1434">
        <v>1393</v>
      </c>
      <c r="F15" s="3664">
        <v>22281</v>
      </c>
      <c r="G15" s="1434">
        <v>60761</v>
      </c>
      <c r="H15" s="3665">
        <f t="shared" si="0"/>
        <v>83042</v>
      </c>
      <c r="I15" s="141">
        <v>2319</v>
      </c>
      <c r="J15" s="3035">
        <v>3993</v>
      </c>
      <c r="K15" s="1427"/>
      <c r="L15" s="1435">
        <v>20064</v>
      </c>
      <c r="M15" s="3664">
        <v>0</v>
      </c>
      <c r="N15" s="1436">
        <v>69147</v>
      </c>
      <c r="O15" s="166"/>
    </row>
    <row r="16" spans="1:15">
      <c r="A16" s="972">
        <v>1993.07</v>
      </c>
      <c r="B16" s="215">
        <v>126294</v>
      </c>
      <c r="C16" s="1433">
        <v>36650</v>
      </c>
      <c r="D16" s="3664">
        <v>5000</v>
      </c>
      <c r="E16" s="1434">
        <v>1281</v>
      </c>
      <c r="F16" s="3664">
        <v>13882</v>
      </c>
      <c r="G16" s="1434">
        <v>63178</v>
      </c>
      <c r="H16" s="3665">
        <f t="shared" si="0"/>
        <v>77060</v>
      </c>
      <c r="I16" s="141">
        <v>2294</v>
      </c>
      <c r="J16" s="3035">
        <v>4009</v>
      </c>
      <c r="K16" s="1427"/>
      <c r="L16" s="1435">
        <v>16259</v>
      </c>
      <c r="M16" s="3664">
        <v>0</v>
      </c>
      <c r="N16" s="1436">
        <v>67082</v>
      </c>
      <c r="O16" s="166"/>
    </row>
    <row r="17" spans="1:14">
      <c r="A17" s="972">
        <v>1993.08</v>
      </c>
      <c r="B17" s="215">
        <v>145076</v>
      </c>
      <c r="C17" s="1433">
        <v>29697</v>
      </c>
      <c r="D17" s="3664">
        <v>4163</v>
      </c>
      <c r="E17" s="1434">
        <v>1417</v>
      </c>
      <c r="F17" s="3664">
        <v>17981</v>
      </c>
      <c r="G17" s="1434">
        <v>85112</v>
      </c>
      <c r="H17" s="3665">
        <f t="shared" si="0"/>
        <v>103093</v>
      </c>
      <c r="I17" s="141">
        <v>2288</v>
      </c>
      <c r="J17" s="3035">
        <v>4418</v>
      </c>
      <c r="K17" s="1427"/>
      <c r="L17" s="1435">
        <v>18428</v>
      </c>
      <c r="M17" s="3664">
        <v>0</v>
      </c>
      <c r="N17" s="1436">
        <v>90245</v>
      </c>
    </row>
    <row r="18" spans="1:14">
      <c r="A18" s="972">
        <v>1993.09</v>
      </c>
      <c r="B18" s="215">
        <v>136136</v>
      </c>
      <c r="C18" s="1433">
        <v>21194</v>
      </c>
      <c r="D18" s="3664">
        <v>3260</v>
      </c>
      <c r="E18" s="1434">
        <v>934</v>
      </c>
      <c r="F18" s="3664">
        <v>17535</v>
      </c>
      <c r="G18" s="1434">
        <v>86961</v>
      </c>
      <c r="H18" s="3665">
        <f t="shared" si="0"/>
        <v>104496</v>
      </c>
      <c r="I18" s="141">
        <v>1870</v>
      </c>
      <c r="J18" s="3035">
        <v>4382</v>
      </c>
      <c r="K18" s="1427"/>
      <c r="L18" s="1435">
        <v>17210</v>
      </c>
      <c r="M18" s="3664">
        <v>0</v>
      </c>
      <c r="N18" s="1436">
        <v>91480</v>
      </c>
    </row>
    <row r="19" spans="1:14">
      <c r="A19" s="972">
        <v>1993.1</v>
      </c>
      <c r="B19" s="215">
        <v>128568</v>
      </c>
      <c r="C19" s="1433">
        <v>14154</v>
      </c>
      <c r="D19" s="3664">
        <v>2989</v>
      </c>
      <c r="E19" s="1434">
        <v>807</v>
      </c>
      <c r="F19" s="3664">
        <v>11574</v>
      </c>
      <c r="G19" s="1434">
        <v>92986</v>
      </c>
      <c r="H19" s="3665">
        <f t="shared" si="0"/>
        <v>104560</v>
      </c>
      <c r="I19" s="141">
        <v>1447</v>
      </c>
      <c r="J19" s="3035">
        <v>4611</v>
      </c>
      <c r="K19" s="1427"/>
      <c r="L19" s="1435">
        <v>16441</v>
      </c>
      <c r="M19" s="3664">
        <v>0</v>
      </c>
      <c r="N19" s="1436">
        <v>91915</v>
      </c>
    </row>
    <row r="20" spans="1:14">
      <c r="A20" s="972">
        <v>1993.11</v>
      </c>
      <c r="B20" s="215">
        <v>138105</v>
      </c>
      <c r="C20" s="1433">
        <v>9130</v>
      </c>
      <c r="D20" s="3664">
        <v>1979</v>
      </c>
      <c r="E20" s="1434">
        <v>486</v>
      </c>
      <c r="F20" s="3664">
        <v>25007</v>
      </c>
      <c r="G20" s="1434">
        <v>96213</v>
      </c>
      <c r="H20" s="3665">
        <f t="shared" si="0"/>
        <v>121220</v>
      </c>
      <c r="I20" s="141">
        <v>932</v>
      </c>
      <c r="J20" s="3035">
        <v>4358</v>
      </c>
      <c r="K20" s="1427"/>
      <c r="L20" s="1435">
        <v>15087</v>
      </c>
      <c r="M20" s="3664">
        <v>0</v>
      </c>
      <c r="N20" s="1436">
        <v>108598</v>
      </c>
    </row>
    <row r="21" spans="1:14">
      <c r="A21" s="972">
        <v>1993.12</v>
      </c>
      <c r="B21" s="215">
        <v>113753</v>
      </c>
      <c r="C21" s="1433">
        <v>10768</v>
      </c>
      <c r="D21" s="3664">
        <v>1980</v>
      </c>
      <c r="E21" s="1434">
        <v>402</v>
      </c>
      <c r="F21" s="3664">
        <v>8941</v>
      </c>
      <c r="G21" s="1434">
        <v>85894</v>
      </c>
      <c r="H21" s="3665">
        <f t="shared" si="0"/>
        <v>94835</v>
      </c>
      <c r="I21" s="141">
        <v>1080</v>
      </c>
      <c r="J21" s="3035">
        <v>4688</v>
      </c>
      <c r="K21" s="1427"/>
      <c r="L21" s="1435">
        <v>14532</v>
      </c>
      <c r="M21" s="3664">
        <v>0</v>
      </c>
      <c r="N21" s="1436">
        <v>82685</v>
      </c>
    </row>
    <row r="22" spans="1:14">
      <c r="A22" s="972">
        <v>1994.01</v>
      </c>
      <c r="B22" s="215">
        <v>108378</v>
      </c>
      <c r="C22" s="947">
        <v>7350</v>
      </c>
      <c r="D22" s="3538">
        <v>2456</v>
      </c>
      <c r="E22" s="1434">
        <v>394</v>
      </c>
      <c r="F22" s="3538">
        <v>1393</v>
      </c>
      <c r="G22" s="141">
        <v>91459</v>
      </c>
      <c r="H22" s="3665">
        <f t="shared" si="0"/>
        <v>92852</v>
      </c>
      <c r="I22" s="141">
        <v>739</v>
      </c>
      <c r="J22" s="2774">
        <v>4587</v>
      </c>
      <c r="K22" s="1427"/>
      <c r="L22" s="223">
        <v>15603</v>
      </c>
      <c r="M22" s="3664">
        <v>0</v>
      </c>
      <c r="N22" s="318">
        <v>80099</v>
      </c>
    </row>
    <row r="23" spans="1:14">
      <c r="A23" s="972">
        <v>1994.02</v>
      </c>
      <c r="B23" s="215">
        <v>99990</v>
      </c>
      <c r="C23" s="947">
        <v>6137</v>
      </c>
      <c r="D23" s="3538">
        <v>1984</v>
      </c>
      <c r="E23" s="1434">
        <v>378</v>
      </c>
      <c r="F23" s="3538">
        <v>11185</v>
      </c>
      <c r="G23" s="141">
        <v>75227</v>
      </c>
      <c r="H23" s="3665">
        <f t="shared" si="0"/>
        <v>86412</v>
      </c>
      <c r="I23" s="141">
        <v>802</v>
      </c>
      <c r="J23" s="2774">
        <v>4277</v>
      </c>
      <c r="K23" s="1427"/>
      <c r="L23" s="223">
        <v>12801</v>
      </c>
      <c r="M23" s="3664">
        <v>0</v>
      </c>
      <c r="N23" s="318">
        <v>75973</v>
      </c>
    </row>
    <row r="24" spans="1:14">
      <c r="A24" s="972">
        <v>1994.03</v>
      </c>
      <c r="B24" s="215">
        <v>130743</v>
      </c>
      <c r="C24" s="947">
        <v>8167</v>
      </c>
      <c r="D24" s="3538">
        <v>1026</v>
      </c>
      <c r="E24" s="1434">
        <v>324</v>
      </c>
      <c r="F24" s="3538">
        <v>25516</v>
      </c>
      <c r="G24" s="141">
        <v>89500</v>
      </c>
      <c r="H24" s="3665">
        <f t="shared" si="0"/>
        <v>115016</v>
      </c>
      <c r="I24" s="141">
        <v>1085</v>
      </c>
      <c r="J24" s="2774">
        <v>5125</v>
      </c>
      <c r="K24" s="1427"/>
      <c r="L24" s="223">
        <v>14200</v>
      </c>
      <c r="M24" s="3664">
        <v>0</v>
      </c>
      <c r="N24" s="318">
        <v>102166</v>
      </c>
    </row>
    <row r="25" spans="1:14">
      <c r="A25" s="972">
        <v>1994.04</v>
      </c>
      <c r="B25" s="215">
        <v>121959</v>
      </c>
      <c r="C25" s="947">
        <v>12603</v>
      </c>
      <c r="D25" s="3538">
        <v>2666</v>
      </c>
      <c r="E25" s="1434">
        <v>463</v>
      </c>
      <c r="F25" s="3538">
        <v>13491</v>
      </c>
      <c r="G25" s="141">
        <v>86386</v>
      </c>
      <c r="H25" s="3665">
        <f t="shared" si="0"/>
        <v>99877</v>
      </c>
      <c r="I25" s="141">
        <v>1505</v>
      </c>
      <c r="J25" s="2774">
        <v>4845</v>
      </c>
      <c r="K25" s="1427"/>
      <c r="L25" s="223">
        <v>15571</v>
      </c>
      <c r="M25" s="3664">
        <v>0</v>
      </c>
      <c r="N25" s="318">
        <v>87435</v>
      </c>
    </row>
    <row r="26" spans="1:14">
      <c r="A26" s="972">
        <v>1994.05</v>
      </c>
      <c r="B26" s="215">
        <v>150866</v>
      </c>
      <c r="C26" s="947">
        <v>15385</v>
      </c>
      <c r="D26" s="3538">
        <v>3217</v>
      </c>
      <c r="E26" s="1434">
        <v>598</v>
      </c>
      <c r="F26" s="3538">
        <v>26033</v>
      </c>
      <c r="G26" s="141">
        <v>98040</v>
      </c>
      <c r="H26" s="3665">
        <f t="shared" si="0"/>
        <v>124073</v>
      </c>
      <c r="I26" s="141">
        <v>2283</v>
      </c>
      <c r="J26" s="2774">
        <v>5310</v>
      </c>
      <c r="K26" s="1427"/>
      <c r="L26" s="223">
        <v>17628</v>
      </c>
      <c r="M26" s="3664">
        <v>0</v>
      </c>
      <c r="N26" s="318">
        <v>110260</v>
      </c>
    </row>
    <row r="27" spans="1:14">
      <c r="A27" s="972">
        <v>1994.06</v>
      </c>
      <c r="B27" s="215">
        <v>158568</v>
      </c>
      <c r="C27" s="947">
        <v>31235</v>
      </c>
      <c r="D27" s="3538">
        <v>4028</v>
      </c>
      <c r="E27" s="1434">
        <v>830</v>
      </c>
      <c r="F27" s="3538">
        <v>19453</v>
      </c>
      <c r="G27" s="141">
        <v>94519</v>
      </c>
      <c r="H27" s="3665">
        <f t="shared" si="0"/>
        <v>113972</v>
      </c>
      <c r="I27" s="141">
        <v>3260</v>
      </c>
      <c r="J27" s="2774">
        <v>5243</v>
      </c>
      <c r="K27" s="1427"/>
      <c r="L27" s="223">
        <v>18603</v>
      </c>
      <c r="M27" s="3664">
        <v>0</v>
      </c>
      <c r="N27" s="318">
        <v>100227</v>
      </c>
    </row>
    <row r="28" spans="1:14">
      <c r="A28" s="972">
        <v>1994.07</v>
      </c>
      <c r="B28" s="215">
        <v>156425</v>
      </c>
      <c r="C28" s="947">
        <v>31893</v>
      </c>
      <c r="D28" s="3538">
        <v>4392</v>
      </c>
      <c r="E28" s="1434">
        <v>1938</v>
      </c>
      <c r="F28" s="3538">
        <v>15396</v>
      </c>
      <c r="G28" s="141">
        <v>94024</v>
      </c>
      <c r="H28" s="3665">
        <f t="shared" si="0"/>
        <v>109420</v>
      </c>
      <c r="I28" s="141">
        <v>3268</v>
      </c>
      <c r="J28" s="2774">
        <v>5514</v>
      </c>
      <c r="K28" s="1427"/>
      <c r="L28" s="223">
        <v>18994</v>
      </c>
      <c r="M28" s="3664">
        <v>0</v>
      </c>
      <c r="N28" s="318">
        <v>96756</v>
      </c>
    </row>
    <row r="29" spans="1:14">
      <c r="A29" s="972">
        <v>1994.08</v>
      </c>
      <c r="B29" s="215">
        <v>140699</v>
      </c>
      <c r="C29" s="947">
        <v>23803</v>
      </c>
      <c r="D29" s="3538">
        <v>5070</v>
      </c>
      <c r="E29" s="1434">
        <v>1424</v>
      </c>
      <c r="F29" s="3538">
        <v>23330</v>
      </c>
      <c r="G29" s="141">
        <v>77895</v>
      </c>
      <c r="H29" s="3665">
        <f t="shared" si="0"/>
        <v>101225</v>
      </c>
      <c r="I29" s="141">
        <v>3033</v>
      </c>
      <c r="J29" s="2774">
        <v>6144</v>
      </c>
      <c r="K29" s="1427"/>
      <c r="L29" s="223">
        <v>15978</v>
      </c>
      <c r="M29" s="3664">
        <v>0</v>
      </c>
      <c r="N29" s="318">
        <v>91741</v>
      </c>
    </row>
    <row r="30" spans="1:14">
      <c r="A30" s="972">
        <v>1994.09</v>
      </c>
      <c r="B30" s="215">
        <v>137254</v>
      </c>
      <c r="C30" s="947">
        <v>27448</v>
      </c>
      <c r="D30" s="3538">
        <v>3540</v>
      </c>
      <c r="E30" s="1434">
        <v>899</v>
      </c>
      <c r="F30" s="3538">
        <v>19962</v>
      </c>
      <c r="G30" s="141">
        <v>77672</v>
      </c>
      <c r="H30" s="3665">
        <f t="shared" si="0"/>
        <v>97634</v>
      </c>
      <c r="I30" s="141">
        <v>1985</v>
      </c>
      <c r="J30" s="2774">
        <v>5748</v>
      </c>
      <c r="K30" s="1427"/>
      <c r="L30" s="223">
        <v>13709</v>
      </c>
      <c r="M30" s="3664">
        <v>0</v>
      </c>
      <c r="N30" s="318">
        <v>88364</v>
      </c>
    </row>
    <row r="31" spans="1:14">
      <c r="A31" s="972">
        <v>1994.1</v>
      </c>
      <c r="B31" s="215">
        <v>113668</v>
      </c>
      <c r="C31" s="947">
        <v>15202</v>
      </c>
      <c r="D31" s="3538">
        <v>2608</v>
      </c>
      <c r="E31" s="1434">
        <v>594</v>
      </c>
      <c r="F31" s="3538">
        <v>10980</v>
      </c>
      <c r="G31" s="141">
        <v>77184</v>
      </c>
      <c r="H31" s="3665">
        <f t="shared" si="0"/>
        <v>88164</v>
      </c>
      <c r="I31" s="141">
        <v>1234</v>
      </c>
      <c r="J31" s="2774">
        <v>5866</v>
      </c>
      <c r="K31" s="1427"/>
      <c r="L31" s="223">
        <v>12012</v>
      </c>
      <c r="M31" s="3664">
        <v>0</v>
      </c>
      <c r="N31" s="318">
        <v>79354</v>
      </c>
    </row>
    <row r="32" spans="1:14">
      <c r="A32" s="972">
        <v>1994.11</v>
      </c>
      <c r="B32" s="215">
        <v>133814</v>
      </c>
      <c r="C32" s="947">
        <v>9257</v>
      </c>
      <c r="D32" s="3538">
        <v>2252</v>
      </c>
      <c r="E32" s="1434">
        <v>319</v>
      </c>
      <c r="F32" s="3538">
        <v>20103</v>
      </c>
      <c r="G32" s="141">
        <v>94645</v>
      </c>
      <c r="H32" s="3665">
        <f t="shared" si="0"/>
        <v>114748</v>
      </c>
      <c r="I32" s="141">
        <v>1122</v>
      </c>
      <c r="J32" s="2774">
        <v>6116</v>
      </c>
      <c r="K32" s="50">
        <v>85406</v>
      </c>
      <c r="L32" s="223">
        <v>11818</v>
      </c>
      <c r="M32" s="3664">
        <v>0</v>
      </c>
      <c r="N32" s="318">
        <v>105501</v>
      </c>
    </row>
    <row r="33" spans="1:15">
      <c r="A33" s="972">
        <v>1994.12</v>
      </c>
      <c r="B33" s="215">
        <v>139863</v>
      </c>
      <c r="C33" s="947">
        <v>7340</v>
      </c>
      <c r="D33" s="3538">
        <v>1595</v>
      </c>
      <c r="E33" s="1434">
        <v>324</v>
      </c>
      <c r="F33" s="3538">
        <v>37603</v>
      </c>
      <c r="G33" s="141">
        <v>86093</v>
      </c>
      <c r="H33" s="3665">
        <f t="shared" si="0"/>
        <v>123696</v>
      </c>
      <c r="I33" s="141">
        <v>919</v>
      </c>
      <c r="J33" s="2774">
        <v>5989</v>
      </c>
      <c r="K33" s="141">
        <v>77294</v>
      </c>
      <c r="L33" s="223">
        <v>10781</v>
      </c>
      <c r="M33" s="3664">
        <v>0</v>
      </c>
      <c r="N33" s="318">
        <v>114834</v>
      </c>
      <c r="O33" s="166"/>
    </row>
    <row r="34" spans="1:15">
      <c r="A34" s="972">
        <v>1995.01</v>
      </c>
      <c r="B34" s="215">
        <v>129367</v>
      </c>
      <c r="C34" s="947">
        <v>6809</v>
      </c>
      <c r="D34" s="3538">
        <v>1851</v>
      </c>
      <c r="E34" s="1434">
        <v>247</v>
      </c>
      <c r="F34" s="3538">
        <v>24701</v>
      </c>
      <c r="G34" s="141">
        <v>89131</v>
      </c>
      <c r="H34" s="3665">
        <f t="shared" si="0"/>
        <v>113832</v>
      </c>
      <c r="I34" s="141">
        <v>811</v>
      </c>
      <c r="J34" s="2774">
        <v>5817</v>
      </c>
      <c r="K34" s="141">
        <v>80527</v>
      </c>
      <c r="L34" s="223">
        <v>10730</v>
      </c>
      <c r="M34" s="3664">
        <v>0</v>
      </c>
      <c r="N34" s="318">
        <v>105200</v>
      </c>
      <c r="O34" s="166"/>
    </row>
    <row r="35" spans="1:15">
      <c r="A35" s="972">
        <v>1995.02</v>
      </c>
      <c r="B35" s="215">
        <v>123833</v>
      </c>
      <c r="C35" s="947">
        <v>5443</v>
      </c>
      <c r="D35" s="3538">
        <v>1949</v>
      </c>
      <c r="E35" s="1434">
        <v>340</v>
      </c>
      <c r="F35" s="3538">
        <v>35319</v>
      </c>
      <c r="G35" s="141">
        <v>74365</v>
      </c>
      <c r="H35" s="3665">
        <f t="shared" si="0"/>
        <v>109684</v>
      </c>
      <c r="I35" s="141">
        <v>890</v>
      </c>
      <c r="J35" s="2774">
        <v>5527</v>
      </c>
      <c r="K35" s="141">
        <v>66651</v>
      </c>
      <c r="L35" s="223">
        <v>10028</v>
      </c>
      <c r="M35" s="3664">
        <v>0</v>
      </c>
      <c r="N35" s="318">
        <v>101945</v>
      </c>
      <c r="O35" s="166"/>
    </row>
    <row r="36" spans="1:15">
      <c r="A36" s="972">
        <v>1995.03</v>
      </c>
      <c r="B36" s="215">
        <v>132611</v>
      </c>
      <c r="C36" s="947">
        <v>6830</v>
      </c>
      <c r="D36" s="3538">
        <v>2674</v>
      </c>
      <c r="E36" s="1434">
        <v>362</v>
      </c>
      <c r="F36" s="3538">
        <v>29032</v>
      </c>
      <c r="G36" s="141">
        <v>86583</v>
      </c>
      <c r="H36" s="3665">
        <f t="shared" si="0"/>
        <v>115615</v>
      </c>
      <c r="I36" s="141">
        <v>1348</v>
      </c>
      <c r="J36" s="2774">
        <v>5782</v>
      </c>
      <c r="K36" s="141">
        <v>76647</v>
      </c>
      <c r="L36" s="223">
        <v>13031</v>
      </c>
      <c r="M36" s="3664">
        <v>0</v>
      </c>
      <c r="N36" s="318">
        <v>105620</v>
      </c>
      <c r="O36" s="166"/>
    </row>
    <row r="37" spans="1:15">
      <c r="A37" s="972">
        <v>1995.04</v>
      </c>
      <c r="B37" s="215">
        <v>137699</v>
      </c>
      <c r="C37" s="947">
        <v>15189</v>
      </c>
      <c r="D37" s="3538">
        <v>2870</v>
      </c>
      <c r="E37" s="1434">
        <v>430</v>
      </c>
      <c r="F37" s="3538">
        <v>21778</v>
      </c>
      <c r="G37" s="141">
        <v>90017</v>
      </c>
      <c r="H37" s="3665">
        <f t="shared" si="0"/>
        <v>111795</v>
      </c>
      <c r="I37" s="141">
        <v>1470</v>
      </c>
      <c r="J37" s="2774">
        <v>5945</v>
      </c>
      <c r="K37" s="141">
        <v>80825</v>
      </c>
      <c r="L37" s="223">
        <v>12543</v>
      </c>
      <c r="M37" s="3664">
        <v>0</v>
      </c>
      <c r="N37" s="318">
        <v>102552</v>
      </c>
      <c r="O37" s="166"/>
    </row>
    <row r="38" spans="1:15">
      <c r="A38" s="972">
        <v>1995.05</v>
      </c>
      <c r="B38" s="215">
        <v>140340</v>
      </c>
      <c r="C38" s="947">
        <v>20481</v>
      </c>
      <c r="D38" s="3538">
        <v>3830</v>
      </c>
      <c r="E38" s="1434">
        <v>627</v>
      </c>
      <c r="F38" s="3538">
        <v>7563</v>
      </c>
      <c r="G38" s="141">
        <v>98934</v>
      </c>
      <c r="H38" s="3665">
        <f t="shared" si="0"/>
        <v>106497</v>
      </c>
      <c r="I38" s="141">
        <v>2313</v>
      </c>
      <c r="J38" s="2774">
        <v>6592</v>
      </c>
      <c r="K38" s="141">
        <v>88723</v>
      </c>
      <c r="L38" s="223">
        <v>14753</v>
      </c>
      <c r="M38" s="3664">
        <v>0</v>
      </c>
      <c r="N38" s="318">
        <v>96201</v>
      </c>
      <c r="O38" s="166"/>
    </row>
    <row r="39" spans="1:15">
      <c r="A39" s="972">
        <v>1995.06</v>
      </c>
      <c r="B39" s="215">
        <v>159419</v>
      </c>
      <c r="C39" s="947">
        <v>32335</v>
      </c>
      <c r="D39" s="3538">
        <v>3953</v>
      </c>
      <c r="E39" s="1434">
        <v>974</v>
      </c>
      <c r="F39" s="3538">
        <v>20700</v>
      </c>
      <c r="G39" s="141">
        <v>91781</v>
      </c>
      <c r="H39" s="3665">
        <f t="shared" si="0"/>
        <v>112481</v>
      </c>
      <c r="I39" s="141">
        <v>3462</v>
      </c>
      <c r="J39" s="2774">
        <v>6214</v>
      </c>
      <c r="K39" s="141">
        <v>81660</v>
      </c>
      <c r="L39" s="223">
        <v>15093</v>
      </c>
      <c r="M39" s="3664">
        <v>0</v>
      </c>
      <c r="N39" s="318">
        <v>102315</v>
      </c>
      <c r="O39" s="166"/>
    </row>
    <row r="40" spans="1:15">
      <c r="A40" s="972">
        <v>1995.07</v>
      </c>
      <c r="B40" s="215">
        <v>170478</v>
      </c>
      <c r="C40" s="947">
        <v>44679</v>
      </c>
      <c r="D40" s="3538">
        <v>5484</v>
      </c>
      <c r="E40" s="1434">
        <v>1211</v>
      </c>
      <c r="F40" s="3538">
        <v>19049</v>
      </c>
      <c r="G40" s="141">
        <v>90104</v>
      </c>
      <c r="H40" s="3665">
        <f t="shared" si="0"/>
        <v>109153</v>
      </c>
      <c r="I40" s="141">
        <v>3975</v>
      </c>
      <c r="J40" s="2774">
        <v>5976</v>
      </c>
      <c r="K40" s="141">
        <v>80292</v>
      </c>
      <c r="L40" s="223">
        <v>16558</v>
      </c>
      <c r="M40" s="3664">
        <v>0</v>
      </c>
      <c r="N40" s="318">
        <v>99290</v>
      </c>
      <c r="O40" s="166"/>
    </row>
    <row r="41" spans="1:15">
      <c r="A41" s="972">
        <v>1995.08</v>
      </c>
      <c r="B41" s="215">
        <v>161321</v>
      </c>
      <c r="C41" s="947">
        <v>33784</v>
      </c>
      <c r="D41" s="3538">
        <v>5371</v>
      </c>
      <c r="E41" s="1434">
        <v>1320</v>
      </c>
      <c r="F41" s="3538">
        <v>13672</v>
      </c>
      <c r="G41" s="141">
        <v>96854</v>
      </c>
      <c r="H41" s="3665">
        <f t="shared" si="0"/>
        <v>110526</v>
      </c>
      <c r="I41" s="141">
        <v>3641</v>
      </c>
      <c r="J41" s="2774">
        <v>6679</v>
      </c>
      <c r="K41" s="141">
        <v>86952</v>
      </c>
      <c r="L41" s="223">
        <v>16652</v>
      </c>
      <c r="M41" s="3664">
        <v>0</v>
      </c>
      <c r="N41" s="318">
        <v>100565</v>
      </c>
      <c r="O41" s="166"/>
    </row>
    <row r="42" spans="1:15">
      <c r="A42" s="972">
        <v>1995.09</v>
      </c>
      <c r="B42" s="215">
        <v>145349</v>
      </c>
      <c r="C42" s="947">
        <v>16585</v>
      </c>
      <c r="D42" s="3538">
        <v>3357</v>
      </c>
      <c r="E42" s="1434">
        <v>668</v>
      </c>
      <c r="F42" s="3538">
        <v>19616</v>
      </c>
      <c r="G42" s="141">
        <v>96675</v>
      </c>
      <c r="H42" s="3665">
        <f t="shared" si="0"/>
        <v>116291</v>
      </c>
      <c r="I42" s="141">
        <v>1927</v>
      </c>
      <c r="J42" s="2774">
        <v>6521</v>
      </c>
      <c r="K42" s="141">
        <v>87501</v>
      </c>
      <c r="L42" s="223">
        <v>13240</v>
      </c>
      <c r="M42" s="3664">
        <v>0</v>
      </c>
      <c r="N42" s="318">
        <v>107076</v>
      </c>
      <c r="O42" s="166"/>
    </row>
    <row r="43" spans="1:15">
      <c r="A43" s="972">
        <v>1995.1</v>
      </c>
      <c r="B43" s="215">
        <v>126972</v>
      </c>
      <c r="C43" s="947">
        <v>15436</v>
      </c>
      <c r="D43" s="3538">
        <v>3045</v>
      </c>
      <c r="E43" s="1434">
        <v>551</v>
      </c>
      <c r="F43" s="3538">
        <v>7027</v>
      </c>
      <c r="G43" s="141">
        <v>93023</v>
      </c>
      <c r="H43" s="3665">
        <f t="shared" si="0"/>
        <v>100050</v>
      </c>
      <c r="I43" s="141">
        <v>1529</v>
      </c>
      <c r="J43" s="2774">
        <v>6361</v>
      </c>
      <c r="K43" s="141">
        <v>84259</v>
      </c>
      <c r="L43" s="223">
        <v>12399</v>
      </c>
      <c r="M43" s="3664">
        <v>0</v>
      </c>
      <c r="N43" s="318">
        <v>91247</v>
      </c>
      <c r="O43" s="166"/>
    </row>
    <row r="44" spans="1:15">
      <c r="A44" s="972">
        <v>1995.11</v>
      </c>
      <c r="B44" s="215">
        <v>121287</v>
      </c>
      <c r="C44" s="947">
        <v>9819</v>
      </c>
      <c r="D44" s="3538">
        <v>2581</v>
      </c>
      <c r="E44" s="1434">
        <v>365</v>
      </c>
      <c r="F44" s="3538">
        <v>7311</v>
      </c>
      <c r="G44" s="141">
        <v>93540</v>
      </c>
      <c r="H44" s="3665">
        <f t="shared" si="0"/>
        <v>100851</v>
      </c>
      <c r="I44" s="141">
        <v>1193</v>
      </c>
      <c r="J44" s="2774">
        <v>6478</v>
      </c>
      <c r="K44" s="141">
        <v>84769</v>
      </c>
      <c r="L44" s="223">
        <v>11774</v>
      </c>
      <c r="M44" s="3664">
        <v>0</v>
      </c>
      <c r="N44" s="318">
        <v>92023</v>
      </c>
      <c r="O44" s="166"/>
    </row>
    <row r="45" spans="1:15">
      <c r="A45" s="972">
        <v>1995.12</v>
      </c>
      <c r="B45" s="215">
        <v>125323</v>
      </c>
      <c r="C45" s="947">
        <v>7670</v>
      </c>
      <c r="D45" s="3538">
        <v>2733</v>
      </c>
      <c r="E45" s="1434">
        <v>341</v>
      </c>
      <c r="F45" s="3538">
        <v>16462</v>
      </c>
      <c r="G45" s="141">
        <v>90947</v>
      </c>
      <c r="H45" s="3665">
        <f t="shared" si="0"/>
        <v>107409</v>
      </c>
      <c r="I45" s="141">
        <v>937</v>
      </c>
      <c r="J45" s="2774">
        <v>6233</v>
      </c>
      <c r="K45" s="141">
        <v>82682</v>
      </c>
      <c r="L45" s="223">
        <v>11433</v>
      </c>
      <c r="M45" s="3664">
        <v>0</v>
      </c>
      <c r="N45" s="318">
        <v>99050</v>
      </c>
      <c r="O45" s="166"/>
    </row>
    <row r="46" spans="1:15">
      <c r="A46" s="972">
        <v>1996.01</v>
      </c>
      <c r="B46" s="215">
        <v>128151</v>
      </c>
      <c r="C46" s="947">
        <v>7902</v>
      </c>
      <c r="D46" s="3538">
        <v>2170</v>
      </c>
      <c r="E46" s="1434">
        <v>288</v>
      </c>
      <c r="F46" s="3538">
        <v>21170</v>
      </c>
      <c r="G46" s="141">
        <v>89368</v>
      </c>
      <c r="H46" s="3665">
        <f t="shared" si="0"/>
        <v>110538</v>
      </c>
      <c r="I46" s="141">
        <v>719</v>
      </c>
      <c r="J46" s="2774">
        <v>6534</v>
      </c>
      <c r="K46" s="141">
        <v>80695</v>
      </c>
      <c r="L46" s="223">
        <v>11141</v>
      </c>
      <c r="M46" s="3664">
        <v>0</v>
      </c>
      <c r="N46" s="318">
        <v>101855</v>
      </c>
      <c r="O46" s="166"/>
    </row>
    <row r="47" spans="1:15">
      <c r="A47" s="972">
        <v>1996.02</v>
      </c>
      <c r="B47" s="215">
        <v>115099</v>
      </c>
      <c r="C47" s="947">
        <v>7605</v>
      </c>
      <c r="D47" s="3538">
        <v>2279</v>
      </c>
      <c r="E47" s="1434">
        <v>284</v>
      </c>
      <c r="F47" s="3538">
        <v>13056</v>
      </c>
      <c r="G47" s="141">
        <v>85299</v>
      </c>
      <c r="H47" s="3665">
        <f t="shared" si="0"/>
        <v>98355</v>
      </c>
      <c r="I47" s="141">
        <v>1027</v>
      </c>
      <c r="J47" s="2774">
        <v>5549</v>
      </c>
      <c r="K47" s="141">
        <v>77724</v>
      </c>
      <c r="L47" s="223">
        <v>10157</v>
      </c>
      <c r="M47" s="3664">
        <v>0</v>
      </c>
      <c r="N47" s="318">
        <v>90761</v>
      </c>
      <c r="O47" s="166"/>
    </row>
    <row r="48" spans="1:15">
      <c r="A48" s="972">
        <v>1996.03</v>
      </c>
      <c r="B48" s="215">
        <v>126949</v>
      </c>
      <c r="C48" s="947">
        <v>10073</v>
      </c>
      <c r="D48" s="3538">
        <v>2527</v>
      </c>
      <c r="E48" s="1434">
        <v>348</v>
      </c>
      <c r="F48" s="3538">
        <v>18261</v>
      </c>
      <c r="G48" s="141">
        <v>87804</v>
      </c>
      <c r="H48" s="3665">
        <f t="shared" si="0"/>
        <v>106065</v>
      </c>
      <c r="I48" s="141">
        <v>1369</v>
      </c>
      <c r="J48" s="2774">
        <v>6567</v>
      </c>
      <c r="K48" s="141">
        <v>78100</v>
      </c>
      <c r="L48" s="223">
        <v>12608</v>
      </c>
      <c r="M48" s="3664">
        <v>0</v>
      </c>
      <c r="N48" s="318">
        <v>96332</v>
      </c>
      <c r="O48" s="166"/>
    </row>
    <row r="49" spans="1:15">
      <c r="A49" s="972">
        <v>1996.04</v>
      </c>
      <c r="B49" s="215">
        <v>124646</v>
      </c>
      <c r="C49" s="947">
        <v>11926</v>
      </c>
      <c r="D49" s="3538">
        <v>3140</v>
      </c>
      <c r="E49" s="1434">
        <v>387</v>
      </c>
      <c r="F49" s="3538">
        <v>10098</v>
      </c>
      <c r="G49" s="141">
        <v>90863</v>
      </c>
      <c r="H49" s="3665">
        <f t="shared" si="0"/>
        <v>100961</v>
      </c>
      <c r="I49" s="141">
        <v>1833</v>
      </c>
      <c r="J49" s="2774">
        <v>6399</v>
      </c>
      <c r="K49" s="141">
        <v>81136</v>
      </c>
      <c r="L49" s="223">
        <v>13277</v>
      </c>
      <c r="M49" s="3664">
        <v>0</v>
      </c>
      <c r="N49" s="318">
        <v>91211</v>
      </c>
      <c r="O49" s="166"/>
    </row>
    <row r="50" spans="1:15">
      <c r="A50" s="972">
        <v>1996.05</v>
      </c>
      <c r="B50" s="215">
        <v>147216</v>
      </c>
      <c r="C50" s="947">
        <v>20320</v>
      </c>
      <c r="D50" s="3538">
        <v>4268</v>
      </c>
      <c r="E50" s="1434">
        <v>615</v>
      </c>
      <c r="F50" s="3538">
        <v>12073</v>
      </c>
      <c r="G50" s="141">
        <v>100306</v>
      </c>
      <c r="H50" s="3665">
        <f t="shared" si="0"/>
        <v>112379</v>
      </c>
      <c r="I50" s="141">
        <v>2822</v>
      </c>
      <c r="J50" s="2774">
        <v>6812</v>
      </c>
      <c r="K50" s="141">
        <v>90196</v>
      </c>
      <c r="L50" s="223">
        <v>14993</v>
      </c>
      <c r="M50" s="3664">
        <v>0</v>
      </c>
      <c r="N50" s="318">
        <v>102269</v>
      </c>
      <c r="O50" s="166"/>
    </row>
    <row r="51" spans="1:15">
      <c r="A51" s="972">
        <v>1996.06</v>
      </c>
      <c r="B51" s="215">
        <v>157062</v>
      </c>
      <c r="C51" s="947">
        <v>40211</v>
      </c>
      <c r="D51" s="3538">
        <v>4997</v>
      </c>
      <c r="E51" s="1434">
        <v>965</v>
      </c>
      <c r="F51" s="3538">
        <v>8131</v>
      </c>
      <c r="G51" s="141">
        <v>92290</v>
      </c>
      <c r="H51" s="3665">
        <f t="shared" si="0"/>
        <v>100421</v>
      </c>
      <c r="I51" s="141">
        <v>4029</v>
      </c>
      <c r="J51" s="2774">
        <v>6439</v>
      </c>
      <c r="K51" s="141">
        <v>81614</v>
      </c>
      <c r="L51" s="223">
        <v>15648</v>
      </c>
      <c r="M51" s="3664">
        <v>0</v>
      </c>
      <c r="N51" s="318">
        <v>90735</v>
      </c>
      <c r="O51" s="166"/>
    </row>
    <row r="52" spans="1:15">
      <c r="A52" s="972">
        <v>1996.07</v>
      </c>
      <c r="B52" s="215">
        <v>158832</v>
      </c>
      <c r="C52" s="947">
        <v>41428</v>
      </c>
      <c r="D52" s="3538">
        <v>6467</v>
      </c>
      <c r="E52" s="1434">
        <v>1372</v>
      </c>
      <c r="F52" s="3538">
        <v>2785</v>
      </c>
      <c r="G52" s="141">
        <v>93342</v>
      </c>
      <c r="H52" s="3665">
        <f t="shared" si="0"/>
        <v>96127</v>
      </c>
      <c r="I52" s="141">
        <v>5921</v>
      </c>
      <c r="J52" s="2774">
        <v>7517</v>
      </c>
      <c r="K52" s="141">
        <v>81802</v>
      </c>
      <c r="L52" s="223">
        <v>19391</v>
      </c>
      <c r="M52" s="3664">
        <v>0</v>
      </c>
      <c r="N52" s="318">
        <v>84575</v>
      </c>
      <c r="O52" s="166"/>
    </row>
    <row r="53" spans="1:15">
      <c r="A53" s="972">
        <v>1996.08</v>
      </c>
      <c r="B53" s="215">
        <v>155946</v>
      </c>
      <c r="C53" s="947">
        <v>23699</v>
      </c>
      <c r="D53" s="3538">
        <v>4668</v>
      </c>
      <c r="E53" s="1434">
        <v>1074</v>
      </c>
      <c r="F53" s="3538">
        <v>17284</v>
      </c>
      <c r="G53" s="141">
        <v>99125</v>
      </c>
      <c r="H53" s="3665">
        <f t="shared" si="0"/>
        <v>116409</v>
      </c>
      <c r="I53" s="141">
        <v>3091</v>
      </c>
      <c r="J53" s="2774">
        <v>7005</v>
      </c>
      <c r="K53" s="141">
        <v>88881</v>
      </c>
      <c r="L53" s="223">
        <v>15993</v>
      </c>
      <c r="M53" s="3664">
        <v>0</v>
      </c>
      <c r="N53" s="318">
        <v>106158</v>
      </c>
      <c r="O53" s="166"/>
    </row>
    <row r="54" spans="1:15">
      <c r="A54" s="972">
        <v>1996.09</v>
      </c>
      <c r="B54" s="215">
        <v>152110</v>
      </c>
      <c r="C54" s="947">
        <v>18242</v>
      </c>
      <c r="D54" s="3538">
        <v>4001</v>
      </c>
      <c r="E54" s="1434">
        <v>824</v>
      </c>
      <c r="F54" s="3538">
        <v>19468</v>
      </c>
      <c r="G54" s="141">
        <v>99681</v>
      </c>
      <c r="H54" s="3665">
        <f t="shared" si="0"/>
        <v>119149</v>
      </c>
      <c r="I54" s="141">
        <v>2857</v>
      </c>
      <c r="J54" s="2774">
        <v>7037</v>
      </c>
      <c r="K54" s="141">
        <v>89355</v>
      </c>
      <c r="L54" s="223">
        <v>15151</v>
      </c>
      <c r="M54" s="3664">
        <v>0</v>
      </c>
      <c r="N54" s="318">
        <v>108823</v>
      </c>
      <c r="O54" s="166"/>
    </row>
    <row r="55" spans="1:15">
      <c r="A55" s="972">
        <v>1996.1</v>
      </c>
      <c r="B55" s="215">
        <v>134236</v>
      </c>
      <c r="C55" s="947">
        <v>13025</v>
      </c>
      <c r="D55" s="3538">
        <v>2966</v>
      </c>
      <c r="E55" s="1434">
        <v>561</v>
      </c>
      <c r="F55" s="3538">
        <v>10878</v>
      </c>
      <c r="G55" s="141">
        <v>97588</v>
      </c>
      <c r="H55" s="3665">
        <f t="shared" si="0"/>
        <v>108466</v>
      </c>
      <c r="I55" s="141">
        <v>1715</v>
      </c>
      <c r="J55" s="2774">
        <v>7503</v>
      </c>
      <c r="K55" s="141">
        <v>87275</v>
      </c>
      <c r="L55" s="223">
        <v>13842</v>
      </c>
      <c r="M55" s="3664">
        <v>0</v>
      </c>
      <c r="N55" s="318">
        <v>98151</v>
      </c>
      <c r="O55" s="166"/>
    </row>
    <row r="56" spans="1:15">
      <c r="A56" s="972">
        <v>1996.11</v>
      </c>
      <c r="B56" s="215">
        <v>142736</v>
      </c>
      <c r="C56" s="947">
        <v>12461</v>
      </c>
      <c r="D56" s="3538">
        <v>2910</v>
      </c>
      <c r="E56" s="1434">
        <v>423</v>
      </c>
      <c r="F56" s="3538">
        <v>24167</v>
      </c>
      <c r="G56" s="141">
        <v>94454</v>
      </c>
      <c r="H56" s="3665">
        <f t="shared" si="0"/>
        <v>118621</v>
      </c>
      <c r="I56" s="141">
        <v>1278</v>
      </c>
      <c r="J56" s="2774">
        <v>7043</v>
      </c>
      <c r="K56" s="141">
        <v>84403</v>
      </c>
      <c r="L56" s="223">
        <v>13394</v>
      </c>
      <c r="M56" s="3664">
        <v>0</v>
      </c>
      <c r="N56" s="318">
        <v>108560</v>
      </c>
      <c r="O56" s="166"/>
    </row>
    <row r="57" spans="1:15">
      <c r="A57" s="972">
        <v>1996.12</v>
      </c>
      <c r="B57" s="215">
        <v>140703</v>
      </c>
      <c r="C57" s="947">
        <v>10178</v>
      </c>
      <c r="D57" s="3538">
        <v>2934</v>
      </c>
      <c r="E57" s="1434">
        <v>388</v>
      </c>
      <c r="F57" s="3538">
        <v>29731</v>
      </c>
      <c r="G57" s="141">
        <v>88531</v>
      </c>
      <c r="H57" s="3665">
        <f t="shared" si="0"/>
        <v>118262</v>
      </c>
      <c r="I57" s="141">
        <v>1215</v>
      </c>
      <c r="J57" s="2774">
        <v>7726</v>
      </c>
      <c r="K57" s="141">
        <v>78561</v>
      </c>
      <c r="L57" s="223">
        <v>13294</v>
      </c>
      <c r="M57" s="3664">
        <v>0</v>
      </c>
      <c r="N57" s="318">
        <v>108290</v>
      </c>
      <c r="O57" s="166"/>
    </row>
    <row r="58" spans="1:15">
      <c r="A58" s="972">
        <v>1997.01</v>
      </c>
      <c r="B58" s="215">
        <v>125815</v>
      </c>
      <c r="C58" s="947">
        <v>8643</v>
      </c>
      <c r="D58" s="3538">
        <v>2347</v>
      </c>
      <c r="E58" s="1434">
        <v>282</v>
      </c>
      <c r="F58" s="3538">
        <v>32262</v>
      </c>
      <c r="G58" s="141">
        <v>74293</v>
      </c>
      <c r="H58" s="3665">
        <f t="shared" si="0"/>
        <v>106555</v>
      </c>
      <c r="I58" s="141">
        <v>893</v>
      </c>
      <c r="J58" s="2774">
        <v>7095</v>
      </c>
      <c r="K58" s="141">
        <v>65514</v>
      </c>
      <c r="L58" s="223">
        <v>11412</v>
      </c>
      <c r="M58" s="3664">
        <v>0</v>
      </c>
      <c r="N58" s="318">
        <v>97772</v>
      </c>
      <c r="O58" s="166"/>
    </row>
    <row r="59" spans="1:15">
      <c r="A59" s="972">
        <v>1997.02</v>
      </c>
      <c r="B59" s="215">
        <v>119423</v>
      </c>
      <c r="C59" s="947">
        <v>8050</v>
      </c>
      <c r="D59" s="3538">
        <v>2391</v>
      </c>
      <c r="E59" s="1434">
        <v>307</v>
      </c>
      <c r="F59" s="3538">
        <v>21715</v>
      </c>
      <c r="G59" s="141">
        <v>79087</v>
      </c>
      <c r="H59" s="3665">
        <f t="shared" si="0"/>
        <v>100802</v>
      </c>
      <c r="I59" s="141">
        <v>1121</v>
      </c>
      <c r="J59" s="2774">
        <v>6752</v>
      </c>
      <c r="K59" s="141">
        <v>70972</v>
      </c>
      <c r="L59" s="223">
        <v>10815</v>
      </c>
      <c r="M59" s="3664">
        <v>0</v>
      </c>
      <c r="N59" s="318">
        <v>92685</v>
      </c>
      <c r="O59" s="166"/>
    </row>
    <row r="60" spans="1:15">
      <c r="A60" s="972">
        <v>1997.03</v>
      </c>
      <c r="B60" s="215">
        <v>138201</v>
      </c>
      <c r="C60" s="947">
        <v>9955</v>
      </c>
      <c r="D60" s="3538">
        <v>3177</v>
      </c>
      <c r="E60" s="1434">
        <v>357</v>
      </c>
      <c r="F60" s="3538">
        <v>26387</v>
      </c>
      <c r="G60" s="141">
        <v>89529</v>
      </c>
      <c r="H60" s="3665">
        <f t="shared" si="0"/>
        <v>115916</v>
      </c>
      <c r="I60" s="141">
        <v>1484</v>
      </c>
      <c r="J60" s="2774">
        <v>7312</v>
      </c>
      <c r="K60" s="141">
        <v>79680</v>
      </c>
      <c r="L60" s="223">
        <v>13388</v>
      </c>
      <c r="M60" s="3664">
        <v>0</v>
      </c>
      <c r="N60" s="318">
        <v>106062</v>
      </c>
      <c r="O60" s="166"/>
    </row>
    <row r="61" spans="1:15">
      <c r="A61" s="972">
        <v>1997.04</v>
      </c>
      <c r="B61" s="215">
        <v>149022</v>
      </c>
      <c r="C61" s="947">
        <v>11905</v>
      </c>
      <c r="D61" s="3538">
        <v>3238</v>
      </c>
      <c r="E61" s="1434">
        <v>399</v>
      </c>
      <c r="F61" s="3538">
        <v>27481</v>
      </c>
      <c r="G61" s="141">
        <v>95704</v>
      </c>
      <c r="H61" s="3665">
        <f t="shared" si="0"/>
        <v>123185</v>
      </c>
      <c r="I61" s="141">
        <v>1875</v>
      </c>
      <c r="J61" s="2774">
        <v>8420</v>
      </c>
      <c r="K61" s="141">
        <v>84749</v>
      </c>
      <c r="L61" s="223">
        <v>14594</v>
      </c>
      <c r="M61" s="3664">
        <v>0</v>
      </c>
      <c r="N61" s="318">
        <v>112228</v>
      </c>
      <c r="O61" s="166"/>
    </row>
    <row r="62" spans="1:15">
      <c r="A62" s="972">
        <v>1997.05</v>
      </c>
      <c r="B62" s="215">
        <v>154939</v>
      </c>
      <c r="C62" s="947">
        <v>21444</v>
      </c>
      <c r="D62" s="3538">
        <v>3405</v>
      </c>
      <c r="E62" s="1434">
        <v>524</v>
      </c>
      <c r="F62" s="3538">
        <v>20309</v>
      </c>
      <c r="G62" s="141">
        <v>98715</v>
      </c>
      <c r="H62" s="3665">
        <f t="shared" si="0"/>
        <v>119024</v>
      </c>
      <c r="I62" s="141">
        <v>2579</v>
      </c>
      <c r="J62" s="2774">
        <v>7963</v>
      </c>
      <c r="K62" s="141">
        <v>87996</v>
      </c>
      <c r="L62" s="223">
        <v>14649</v>
      </c>
      <c r="M62" s="3664">
        <v>0</v>
      </c>
      <c r="N62" s="318">
        <v>108304</v>
      </c>
      <c r="O62" s="166"/>
    </row>
    <row r="63" spans="1:15">
      <c r="A63" s="972">
        <v>1997.06</v>
      </c>
      <c r="B63" s="215">
        <v>165533</v>
      </c>
      <c r="C63" s="947">
        <v>39608</v>
      </c>
      <c r="D63" s="3538">
        <v>5102</v>
      </c>
      <c r="E63" s="1434">
        <v>1107</v>
      </c>
      <c r="F63" s="3538">
        <v>6119</v>
      </c>
      <c r="G63" s="141">
        <v>100922</v>
      </c>
      <c r="H63" s="3665">
        <f t="shared" si="0"/>
        <v>107041</v>
      </c>
      <c r="I63" s="141">
        <v>4545</v>
      </c>
      <c r="J63" s="2774">
        <v>8130</v>
      </c>
      <c r="K63" s="141">
        <v>90536</v>
      </c>
      <c r="L63" s="223">
        <v>16595</v>
      </c>
      <c r="M63" s="3664">
        <v>0</v>
      </c>
      <c r="N63" s="318">
        <v>96655</v>
      </c>
      <c r="O63" s="166"/>
    </row>
    <row r="64" spans="1:15">
      <c r="A64" s="972">
        <v>1997.07</v>
      </c>
      <c r="B64" s="215">
        <v>159170</v>
      </c>
      <c r="C64" s="947">
        <v>38144</v>
      </c>
      <c r="D64" s="3538">
        <v>5879</v>
      </c>
      <c r="E64" s="1434">
        <v>1420</v>
      </c>
      <c r="F64" s="3538">
        <v>688</v>
      </c>
      <c r="G64" s="141">
        <v>99394</v>
      </c>
      <c r="H64" s="3665">
        <f t="shared" si="0"/>
        <v>100082</v>
      </c>
      <c r="I64" s="141">
        <v>5370</v>
      </c>
      <c r="J64" s="2774">
        <v>8275</v>
      </c>
      <c r="K64" s="141">
        <v>88659</v>
      </c>
      <c r="L64" s="223">
        <v>18400</v>
      </c>
      <c r="M64" s="3664">
        <v>0</v>
      </c>
      <c r="N64" s="318">
        <v>88981</v>
      </c>
      <c r="O64" s="166"/>
    </row>
    <row r="65" spans="1:15">
      <c r="A65" s="972">
        <v>1997.08</v>
      </c>
      <c r="B65" s="215">
        <v>150258</v>
      </c>
      <c r="C65" s="947">
        <v>32925</v>
      </c>
      <c r="D65" s="3538">
        <v>5162</v>
      </c>
      <c r="E65" s="1434">
        <v>1032</v>
      </c>
      <c r="F65" s="3538">
        <v>7314</v>
      </c>
      <c r="G65" s="141">
        <v>90999</v>
      </c>
      <c r="H65" s="3665">
        <f t="shared" si="0"/>
        <v>98313</v>
      </c>
      <c r="I65" s="141">
        <v>4447</v>
      </c>
      <c r="J65" s="2774">
        <v>8379</v>
      </c>
      <c r="K65" s="141">
        <v>80331</v>
      </c>
      <c r="L65" s="223">
        <v>16868</v>
      </c>
      <c r="M65" s="3664">
        <v>0</v>
      </c>
      <c r="N65" s="318">
        <v>87639</v>
      </c>
      <c r="O65" s="166"/>
    </row>
    <row r="66" spans="1:15">
      <c r="A66" s="972">
        <v>1997.09</v>
      </c>
      <c r="B66" s="215">
        <v>151245</v>
      </c>
      <c r="C66" s="947">
        <v>21826</v>
      </c>
      <c r="D66" s="3538">
        <v>4418</v>
      </c>
      <c r="E66" s="1434">
        <v>788</v>
      </c>
      <c r="F66" s="3538">
        <v>11561</v>
      </c>
      <c r="G66" s="141">
        <v>101574</v>
      </c>
      <c r="H66" s="3665">
        <f t="shared" si="0"/>
        <v>113135</v>
      </c>
      <c r="I66" s="141">
        <v>2644</v>
      </c>
      <c r="J66" s="2774">
        <v>8434</v>
      </c>
      <c r="K66" s="141">
        <v>90750</v>
      </c>
      <c r="L66" s="223">
        <v>16034</v>
      </c>
      <c r="M66" s="3664">
        <v>0</v>
      </c>
      <c r="N66" s="318">
        <v>102307</v>
      </c>
      <c r="O66" s="166"/>
    </row>
    <row r="67" spans="1:15">
      <c r="A67" s="972">
        <v>1997.1</v>
      </c>
      <c r="B67" s="215">
        <v>155702</v>
      </c>
      <c r="C67" s="947">
        <v>14206</v>
      </c>
      <c r="D67" s="3538">
        <v>3569</v>
      </c>
      <c r="E67" s="1434">
        <v>536</v>
      </c>
      <c r="F67" s="3538">
        <v>15352</v>
      </c>
      <c r="G67" s="141">
        <v>111098</v>
      </c>
      <c r="H67" s="3665">
        <f t="shared" si="0"/>
        <v>126450</v>
      </c>
      <c r="I67" s="141">
        <v>1929</v>
      </c>
      <c r="J67" s="2774">
        <v>9012</v>
      </c>
      <c r="K67" s="141">
        <v>100416</v>
      </c>
      <c r="L67" s="223">
        <v>14791</v>
      </c>
      <c r="M67" s="3664">
        <v>0</v>
      </c>
      <c r="N67" s="318">
        <v>115764</v>
      </c>
      <c r="O67" s="166"/>
    </row>
    <row r="68" spans="1:15">
      <c r="A68" s="972">
        <v>1997.11</v>
      </c>
      <c r="B68" s="215">
        <v>145514</v>
      </c>
      <c r="C68" s="947">
        <v>10455</v>
      </c>
      <c r="D68" s="3538">
        <v>3494</v>
      </c>
      <c r="E68" s="1434">
        <v>438</v>
      </c>
      <c r="F68" s="3538">
        <v>20167</v>
      </c>
      <c r="G68" s="141">
        <v>101259</v>
      </c>
      <c r="H68" s="3665">
        <f t="shared" si="0"/>
        <v>121426</v>
      </c>
      <c r="I68" s="141">
        <v>1543</v>
      </c>
      <c r="J68" s="2774">
        <v>8158</v>
      </c>
      <c r="K68" s="141">
        <v>92161</v>
      </c>
      <c r="L68" s="223">
        <v>13039</v>
      </c>
      <c r="M68" s="3664">
        <v>0</v>
      </c>
      <c r="N68" s="318">
        <v>112319</v>
      </c>
      <c r="O68" s="166"/>
    </row>
    <row r="69" spans="1:15">
      <c r="A69" s="972">
        <v>1997.12</v>
      </c>
      <c r="B69" s="215">
        <v>143071</v>
      </c>
      <c r="C69" s="947">
        <v>11570</v>
      </c>
      <c r="D69" s="3538">
        <v>3194</v>
      </c>
      <c r="E69" s="1434">
        <v>344</v>
      </c>
      <c r="F69" s="3538">
        <v>18289</v>
      </c>
      <c r="G69" s="141">
        <v>98931</v>
      </c>
      <c r="H69" s="3665">
        <f t="shared" si="0"/>
        <v>117220</v>
      </c>
      <c r="I69" s="141">
        <v>1356</v>
      </c>
      <c r="J69" s="2774">
        <v>9387</v>
      </c>
      <c r="K69" s="141">
        <v>89797</v>
      </c>
      <c r="L69" s="223">
        <v>12674</v>
      </c>
      <c r="M69" s="3664">
        <v>0</v>
      </c>
      <c r="N69" s="318">
        <v>108084</v>
      </c>
      <c r="O69" s="166"/>
    </row>
    <row r="70" spans="1:15">
      <c r="A70" s="972">
        <v>1998.01</v>
      </c>
      <c r="B70" s="215">
        <v>139475</v>
      </c>
      <c r="C70" s="947">
        <v>9277</v>
      </c>
      <c r="D70" s="3538">
        <v>2702</v>
      </c>
      <c r="E70" s="1434">
        <v>298</v>
      </c>
      <c r="F70" s="3538">
        <v>18401</v>
      </c>
      <c r="G70" s="141">
        <v>99058</v>
      </c>
      <c r="H70" s="3665">
        <f t="shared" si="0"/>
        <v>117459</v>
      </c>
      <c r="I70" s="141">
        <v>1275</v>
      </c>
      <c r="J70" s="2774">
        <v>8464</v>
      </c>
      <c r="K70" s="141">
        <v>91070</v>
      </c>
      <c r="L70" s="223">
        <v>10989</v>
      </c>
      <c r="M70" s="3664">
        <v>0</v>
      </c>
      <c r="N70" s="318">
        <v>109470</v>
      </c>
      <c r="O70" s="166"/>
    </row>
    <row r="71" spans="1:15">
      <c r="A71" s="972">
        <v>1998.02</v>
      </c>
      <c r="B71" s="215">
        <v>122423</v>
      </c>
      <c r="C71" s="947">
        <v>8372</v>
      </c>
      <c r="D71" s="3538">
        <v>2760</v>
      </c>
      <c r="E71" s="1434">
        <v>310</v>
      </c>
      <c r="F71" s="3538">
        <v>15654</v>
      </c>
      <c r="G71" s="141">
        <v>86395</v>
      </c>
      <c r="H71" s="3665">
        <f t="shared" si="0"/>
        <v>102049</v>
      </c>
      <c r="I71" s="141">
        <v>1246</v>
      </c>
      <c r="J71" s="2774">
        <v>7686</v>
      </c>
      <c r="K71" s="141">
        <v>78303</v>
      </c>
      <c r="L71" s="223">
        <v>11161</v>
      </c>
      <c r="M71" s="3664">
        <v>0</v>
      </c>
      <c r="N71" s="318">
        <v>93958</v>
      </c>
      <c r="O71" s="166"/>
    </row>
    <row r="72" spans="1:15">
      <c r="A72" s="972">
        <v>1998.03</v>
      </c>
      <c r="B72" s="215">
        <v>143907</v>
      </c>
      <c r="C72" s="947">
        <v>10866</v>
      </c>
      <c r="D72" s="3538">
        <v>4306</v>
      </c>
      <c r="E72" s="1434">
        <v>356</v>
      </c>
      <c r="F72" s="3538">
        <v>13423</v>
      </c>
      <c r="G72" s="141">
        <v>103874</v>
      </c>
      <c r="H72" s="3665">
        <f t="shared" si="0"/>
        <v>117297</v>
      </c>
      <c r="I72" s="141">
        <v>2265</v>
      </c>
      <c r="J72" s="2774">
        <v>8817</v>
      </c>
      <c r="K72" s="141">
        <v>92448</v>
      </c>
      <c r="L72" s="223">
        <v>16090</v>
      </c>
      <c r="M72" s="3664">
        <v>0</v>
      </c>
      <c r="N72" s="318">
        <v>105869</v>
      </c>
      <c r="O72" s="166"/>
    </row>
    <row r="73" spans="1:15">
      <c r="A73" s="972">
        <v>1998.04</v>
      </c>
      <c r="B73" s="215">
        <v>140611</v>
      </c>
      <c r="C73" s="947">
        <v>12899</v>
      </c>
      <c r="D73" s="3538">
        <v>4231</v>
      </c>
      <c r="E73" s="1434">
        <v>410</v>
      </c>
      <c r="F73" s="3538">
        <v>1097</v>
      </c>
      <c r="G73" s="141">
        <v>110047</v>
      </c>
      <c r="H73" s="3665">
        <f t="shared" si="0"/>
        <v>111144</v>
      </c>
      <c r="I73" s="141">
        <v>2702</v>
      </c>
      <c r="J73" s="2774">
        <v>9225</v>
      </c>
      <c r="K73" s="141">
        <v>100217</v>
      </c>
      <c r="L73" s="223">
        <v>14480</v>
      </c>
      <c r="M73" s="3664">
        <v>0</v>
      </c>
      <c r="N73" s="318">
        <v>101305</v>
      </c>
      <c r="O73" s="166"/>
    </row>
    <row r="74" spans="1:15">
      <c r="A74" s="972">
        <v>1998.05</v>
      </c>
      <c r="B74" s="215">
        <v>175519</v>
      </c>
      <c r="C74" s="947">
        <v>24391</v>
      </c>
      <c r="D74" s="3538">
        <v>4901</v>
      </c>
      <c r="E74" s="1434">
        <v>573</v>
      </c>
      <c r="F74" s="3538">
        <v>13946</v>
      </c>
      <c r="G74" s="141">
        <v>118739</v>
      </c>
      <c r="H74" s="3665">
        <f t="shared" si="0"/>
        <v>132685</v>
      </c>
      <c r="I74" s="141">
        <v>4145</v>
      </c>
      <c r="J74" s="2774">
        <v>8824</v>
      </c>
      <c r="K74" s="141">
        <v>108879</v>
      </c>
      <c r="L74" s="223">
        <v>15336</v>
      </c>
      <c r="M74" s="3664">
        <v>0</v>
      </c>
      <c r="N74" s="318">
        <v>122823</v>
      </c>
      <c r="O74" s="166"/>
    </row>
    <row r="75" spans="1:15">
      <c r="A75" s="972">
        <v>1998.06</v>
      </c>
      <c r="B75" s="215">
        <v>185579</v>
      </c>
      <c r="C75" s="947">
        <v>36131</v>
      </c>
      <c r="D75" s="3538">
        <v>6130</v>
      </c>
      <c r="E75" s="1434">
        <v>972</v>
      </c>
      <c r="F75" s="3538">
        <v>11359</v>
      </c>
      <c r="G75" s="141">
        <v>115433</v>
      </c>
      <c r="H75" s="3665">
        <f t="shared" si="0"/>
        <v>126792</v>
      </c>
      <c r="I75" s="141">
        <v>6160</v>
      </c>
      <c r="J75" s="2774">
        <v>9394</v>
      </c>
      <c r="K75" s="141">
        <v>105225</v>
      </c>
      <c r="L75" s="223">
        <v>17313</v>
      </c>
      <c r="M75" s="3664">
        <v>0</v>
      </c>
      <c r="N75" s="318">
        <v>116581</v>
      </c>
      <c r="O75" s="166"/>
    </row>
    <row r="76" spans="1:15">
      <c r="A76" s="972">
        <v>1998.07</v>
      </c>
      <c r="B76" s="215">
        <v>189764</v>
      </c>
      <c r="C76" s="947">
        <v>36461</v>
      </c>
      <c r="D76" s="3538">
        <v>5531</v>
      </c>
      <c r="E76" s="1434">
        <v>998</v>
      </c>
      <c r="F76" s="3538">
        <v>15814</v>
      </c>
      <c r="G76" s="141">
        <v>115999</v>
      </c>
      <c r="H76" s="3665">
        <f t="shared" ref="H76:H139" si="1">F76+G76</f>
        <v>131813</v>
      </c>
      <c r="I76" s="141">
        <v>5403</v>
      </c>
      <c r="J76" s="2774">
        <v>9558</v>
      </c>
      <c r="K76" s="141">
        <v>106944</v>
      </c>
      <c r="L76" s="223">
        <v>15716</v>
      </c>
      <c r="M76" s="3664">
        <v>0</v>
      </c>
      <c r="N76" s="318">
        <v>122626</v>
      </c>
      <c r="O76" s="166"/>
    </row>
    <row r="77" spans="1:15">
      <c r="A77" s="972">
        <v>1998.08</v>
      </c>
      <c r="B77" s="215">
        <v>187387</v>
      </c>
      <c r="C77" s="947">
        <v>34044</v>
      </c>
      <c r="D77" s="3538">
        <v>6150</v>
      </c>
      <c r="E77" s="1434">
        <v>1101</v>
      </c>
      <c r="F77" s="3538">
        <v>13787</v>
      </c>
      <c r="G77" s="141">
        <v>117192</v>
      </c>
      <c r="H77" s="3665">
        <f t="shared" si="1"/>
        <v>130979</v>
      </c>
      <c r="I77" s="141">
        <v>5347</v>
      </c>
      <c r="J77" s="2774">
        <v>9766</v>
      </c>
      <c r="K77" s="141">
        <v>107525</v>
      </c>
      <c r="L77" s="223">
        <v>16842</v>
      </c>
      <c r="M77" s="3664">
        <v>0</v>
      </c>
      <c r="N77" s="318">
        <v>121388</v>
      </c>
      <c r="O77" s="166"/>
    </row>
    <row r="78" spans="1:15">
      <c r="A78" s="972">
        <v>1998.09</v>
      </c>
      <c r="B78" s="215">
        <v>181071</v>
      </c>
      <c r="C78" s="947">
        <v>28484</v>
      </c>
      <c r="D78" s="3538">
        <v>4696</v>
      </c>
      <c r="E78" s="1434">
        <v>811</v>
      </c>
      <c r="F78" s="3538">
        <v>17664</v>
      </c>
      <c r="G78" s="141">
        <v>115162</v>
      </c>
      <c r="H78" s="3665">
        <f t="shared" si="1"/>
        <v>132826</v>
      </c>
      <c r="I78" s="141">
        <v>4030</v>
      </c>
      <c r="J78" s="2774">
        <v>10224</v>
      </c>
      <c r="K78" s="141">
        <v>105921</v>
      </c>
      <c r="L78" s="223">
        <v>14755</v>
      </c>
      <c r="M78" s="3664">
        <v>0</v>
      </c>
      <c r="N78" s="318">
        <v>123578</v>
      </c>
      <c r="O78" s="166"/>
    </row>
    <row r="79" spans="1:15">
      <c r="A79" s="972">
        <v>1998.1</v>
      </c>
      <c r="B79" s="215">
        <v>147925</v>
      </c>
      <c r="C79" s="947">
        <v>14470</v>
      </c>
      <c r="D79" s="3538">
        <v>3838</v>
      </c>
      <c r="E79" s="1434">
        <v>524</v>
      </c>
      <c r="F79" s="3538">
        <v>3360</v>
      </c>
      <c r="G79" s="141">
        <v>114088</v>
      </c>
      <c r="H79" s="3665">
        <f t="shared" si="1"/>
        <v>117448</v>
      </c>
      <c r="I79" s="141">
        <v>2126</v>
      </c>
      <c r="J79" s="2774">
        <v>9519</v>
      </c>
      <c r="K79" s="141">
        <v>105708</v>
      </c>
      <c r="L79" s="223">
        <v>12769</v>
      </c>
      <c r="M79" s="3664">
        <v>0</v>
      </c>
      <c r="N79" s="318">
        <v>109041</v>
      </c>
      <c r="O79" s="166"/>
    </row>
    <row r="80" spans="1:15">
      <c r="A80" s="972">
        <v>1998.11</v>
      </c>
      <c r="B80" s="215">
        <v>140179</v>
      </c>
      <c r="C80" s="947">
        <v>12397</v>
      </c>
      <c r="D80" s="3538">
        <v>3239</v>
      </c>
      <c r="E80" s="1434">
        <v>393</v>
      </c>
      <c r="F80" s="3538">
        <v>2679</v>
      </c>
      <c r="G80" s="141">
        <v>110133</v>
      </c>
      <c r="H80" s="3665">
        <f t="shared" si="1"/>
        <v>112812</v>
      </c>
      <c r="I80" s="141">
        <v>1763</v>
      </c>
      <c r="J80" s="2774">
        <v>9575</v>
      </c>
      <c r="K80" s="141">
        <v>101645</v>
      </c>
      <c r="L80" s="223">
        <v>12146</v>
      </c>
      <c r="M80" s="3664">
        <v>0</v>
      </c>
      <c r="N80" s="318">
        <v>104298</v>
      </c>
      <c r="O80" s="166"/>
    </row>
    <row r="81" spans="1:15">
      <c r="A81" s="972">
        <v>1998.12</v>
      </c>
      <c r="B81" s="215">
        <v>145173</v>
      </c>
      <c r="C81" s="947">
        <v>13522</v>
      </c>
      <c r="D81" s="3538">
        <v>3428</v>
      </c>
      <c r="E81" s="1434">
        <v>346</v>
      </c>
      <c r="F81" s="3538">
        <v>29137</v>
      </c>
      <c r="G81" s="141">
        <v>87231</v>
      </c>
      <c r="H81" s="3665">
        <f t="shared" si="1"/>
        <v>116368</v>
      </c>
      <c r="I81" s="141">
        <v>1534</v>
      </c>
      <c r="J81" s="2774">
        <v>9975</v>
      </c>
      <c r="K81" s="141">
        <v>79464</v>
      </c>
      <c r="L81" s="223">
        <v>11726</v>
      </c>
      <c r="M81" s="3664">
        <v>0</v>
      </c>
      <c r="N81" s="318">
        <v>108416</v>
      </c>
      <c r="O81" s="166"/>
    </row>
    <row r="82" spans="1:15">
      <c r="A82" s="972">
        <v>1999.01</v>
      </c>
      <c r="B82" s="215">
        <v>122978</v>
      </c>
      <c r="C82" s="947">
        <v>9675</v>
      </c>
      <c r="D82" s="3538">
        <v>2745</v>
      </c>
      <c r="E82" s="1434">
        <v>234</v>
      </c>
      <c r="F82" s="3538">
        <v>27237</v>
      </c>
      <c r="G82" s="141">
        <v>72784</v>
      </c>
      <c r="H82" s="3665">
        <f t="shared" si="1"/>
        <v>100021</v>
      </c>
      <c r="I82" s="141">
        <v>1170</v>
      </c>
      <c r="J82" s="2774">
        <v>9133</v>
      </c>
      <c r="K82" s="141">
        <v>65744</v>
      </c>
      <c r="L82" s="223">
        <v>10020</v>
      </c>
      <c r="M82" s="3664">
        <v>0</v>
      </c>
      <c r="N82" s="318">
        <v>92980</v>
      </c>
      <c r="O82" s="166"/>
    </row>
    <row r="83" spans="1:15">
      <c r="A83" s="972">
        <v>1999.02</v>
      </c>
      <c r="B83" s="215">
        <v>107081</v>
      </c>
      <c r="C83" s="947">
        <v>8850</v>
      </c>
      <c r="D83" s="3538">
        <v>2916</v>
      </c>
      <c r="E83" s="1434">
        <v>279</v>
      </c>
      <c r="F83" s="3538">
        <v>22310</v>
      </c>
      <c r="G83" s="141">
        <v>62875</v>
      </c>
      <c r="H83" s="3665">
        <f t="shared" si="1"/>
        <v>85185</v>
      </c>
      <c r="I83" s="141">
        <v>1340</v>
      </c>
      <c r="J83" s="2774">
        <v>8511</v>
      </c>
      <c r="K83" s="141">
        <v>55518</v>
      </c>
      <c r="L83" s="223">
        <v>10555</v>
      </c>
      <c r="M83" s="3664">
        <v>0</v>
      </c>
      <c r="N83" s="318">
        <v>77825</v>
      </c>
      <c r="O83" s="166"/>
    </row>
    <row r="84" spans="1:15">
      <c r="A84" s="972">
        <v>1999.03</v>
      </c>
      <c r="B84" s="215">
        <v>134391</v>
      </c>
      <c r="C84" s="947">
        <v>11205</v>
      </c>
      <c r="D84" s="3538">
        <v>3553</v>
      </c>
      <c r="E84" s="1434">
        <v>269</v>
      </c>
      <c r="F84" s="3538">
        <v>28026</v>
      </c>
      <c r="G84" s="141">
        <v>79786</v>
      </c>
      <c r="H84" s="3665">
        <f t="shared" si="1"/>
        <v>107812</v>
      </c>
      <c r="I84" s="141">
        <v>1795</v>
      </c>
      <c r="J84" s="2774">
        <v>9757</v>
      </c>
      <c r="K84" s="141">
        <v>70721</v>
      </c>
      <c r="L84" s="223">
        <v>12886</v>
      </c>
      <c r="M84" s="3664">
        <v>0</v>
      </c>
      <c r="N84" s="318">
        <v>98748</v>
      </c>
      <c r="O84" s="166"/>
    </row>
    <row r="85" spans="1:15">
      <c r="A85" s="972">
        <v>1999.04</v>
      </c>
      <c r="B85" s="215">
        <v>161333</v>
      </c>
      <c r="C85" s="947">
        <v>19739</v>
      </c>
      <c r="D85" s="3538">
        <v>4354</v>
      </c>
      <c r="E85" s="1434">
        <v>405</v>
      </c>
      <c r="F85" s="3538">
        <v>17622</v>
      </c>
      <c r="G85" s="141">
        <v>106130</v>
      </c>
      <c r="H85" s="3665">
        <f t="shared" si="1"/>
        <v>123752</v>
      </c>
      <c r="I85" s="141">
        <v>3177</v>
      </c>
      <c r="J85" s="2774">
        <v>9906</v>
      </c>
      <c r="K85" s="141">
        <v>97012</v>
      </c>
      <c r="L85" s="223">
        <v>13879</v>
      </c>
      <c r="M85" s="3664">
        <v>0</v>
      </c>
      <c r="N85" s="318">
        <v>114632</v>
      </c>
      <c r="O85" s="166"/>
    </row>
    <row r="86" spans="1:15">
      <c r="A86" s="972">
        <v>1999.05</v>
      </c>
      <c r="B86" s="215">
        <v>171461</v>
      </c>
      <c r="C86" s="947">
        <v>29466</v>
      </c>
      <c r="D86" s="3538">
        <v>5271</v>
      </c>
      <c r="E86" s="1434">
        <v>756</v>
      </c>
      <c r="F86" s="3538">
        <v>11395</v>
      </c>
      <c r="G86" s="141">
        <v>110891</v>
      </c>
      <c r="H86" s="3665">
        <f t="shared" si="1"/>
        <v>122286</v>
      </c>
      <c r="I86" s="141">
        <v>4100</v>
      </c>
      <c r="J86" s="2774">
        <v>9582</v>
      </c>
      <c r="K86" s="141">
        <v>102213</v>
      </c>
      <c r="L86" s="223">
        <v>14705</v>
      </c>
      <c r="M86" s="3664">
        <v>0</v>
      </c>
      <c r="N86" s="318">
        <v>113608</v>
      </c>
      <c r="O86" s="166"/>
    </row>
    <row r="87" spans="1:15">
      <c r="A87" s="972">
        <v>1999.06</v>
      </c>
      <c r="B87" s="215">
        <v>172633</v>
      </c>
      <c r="C87" s="947">
        <v>42692</v>
      </c>
      <c r="D87" s="3538">
        <v>6367</v>
      </c>
      <c r="E87" s="1434">
        <v>1230</v>
      </c>
      <c r="F87" s="3538">
        <v>7827</v>
      </c>
      <c r="G87" s="141">
        <v>97087</v>
      </c>
      <c r="H87" s="3665">
        <f t="shared" si="1"/>
        <v>104914</v>
      </c>
      <c r="I87" s="141">
        <v>7079</v>
      </c>
      <c r="J87" s="2774">
        <v>10351</v>
      </c>
      <c r="K87" s="141">
        <v>87922</v>
      </c>
      <c r="L87" s="223">
        <v>16765</v>
      </c>
      <c r="M87" s="3664">
        <v>0</v>
      </c>
      <c r="N87" s="318">
        <v>95746</v>
      </c>
      <c r="O87" s="166"/>
    </row>
    <row r="88" spans="1:15">
      <c r="A88" s="972">
        <v>1999.07</v>
      </c>
      <c r="B88" s="215">
        <v>183101</v>
      </c>
      <c r="C88" s="947">
        <v>48420</v>
      </c>
      <c r="D88" s="3538">
        <v>7116</v>
      </c>
      <c r="E88" s="1434">
        <v>1329</v>
      </c>
      <c r="F88" s="3538">
        <v>8655</v>
      </c>
      <c r="G88" s="141">
        <v>100013</v>
      </c>
      <c r="H88" s="3665">
        <f t="shared" si="1"/>
        <v>108668</v>
      </c>
      <c r="I88" s="141">
        <v>7594</v>
      </c>
      <c r="J88" s="2774">
        <v>9974</v>
      </c>
      <c r="K88" s="141">
        <v>91947</v>
      </c>
      <c r="L88" s="223">
        <v>16518</v>
      </c>
      <c r="M88" s="3664">
        <v>0</v>
      </c>
      <c r="N88" s="318">
        <v>100595</v>
      </c>
      <c r="O88" s="166"/>
    </row>
    <row r="89" spans="1:15">
      <c r="A89" s="972">
        <v>1999.08</v>
      </c>
      <c r="B89" s="215">
        <v>180337</v>
      </c>
      <c r="C89" s="947">
        <v>39833</v>
      </c>
      <c r="D89" s="3538">
        <v>7557</v>
      </c>
      <c r="E89" s="1434">
        <v>1204</v>
      </c>
      <c r="F89" s="3538">
        <v>8348</v>
      </c>
      <c r="G89" s="141">
        <v>107395</v>
      </c>
      <c r="H89" s="3665">
        <f t="shared" si="1"/>
        <v>115743</v>
      </c>
      <c r="I89" s="141">
        <v>6085</v>
      </c>
      <c r="J89" s="2774">
        <v>9915</v>
      </c>
      <c r="K89" s="141">
        <v>98159</v>
      </c>
      <c r="L89" s="223">
        <v>18104</v>
      </c>
      <c r="M89" s="3664">
        <v>0</v>
      </c>
      <c r="N89" s="318">
        <v>106400</v>
      </c>
      <c r="O89" s="166"/>
    </row>
    <row r="90" spans="1:15">
      <c r="A90" s="972">
        <v>1999.09</v>
      </c>
      <c r="B90" s="215">
        <v>162180</v>
      </c>
      <c r="C90" s="947">
        <v>20426</v>
      </c>
      <c r="D90" s="3538">
        <v>4313</v>
      </c>
      <c r="E90" s="1434">
        <v>795</v>
      </c>
      <c r="F90" s="3538">
        <v>13988</v>
      </c>
      <c r="G90" s="141">
        <v>109224</v>
      </c>
      <c r="H90" s="3665">
        <f t="shared" si="1"/>
        <v>123212</v>
      </c>
      <c r="I90" s="141">
        <v>3182</v>
      </c>
      <c r="J90" s="2774">
        <v>10252</v>
      </c>
      <c r="K90" s="141">
        <v>101161</v>
      </c>
      <c r="L90" s="223">
        <v>13268</v>
      </c>
      <c r="M90" s="3664">
        <v>0</v>
      </c>
      <c r="N90" s="318">
        <v>115052</v>
      </c>
      <c r="O90" s="166"/>
    </row>
    <row r="91" spans="1:15">
      <c r="A91" s="972">
        <v>1999.1</v>
      </c>
      <c r="B91" s="215">
        <v>164237</v>
      </c>
      <c r="C91" s="947">
        <v>15156</v>
      </c>
      <c r="D91" s="3538">
        <v>3633</v>
      </c>
      <c r="E91" s="1434">
        <v>567</v>
      </c>
      <c r="F91" s="3538">
        <v>22156</v>
      </c>
      <c r="G91" s="141">
        <v>110256</v>
      </c>
      <c r="H91" s="3665">
        <f t="shared" si="1"/>
        <v>132412</v>
      </c>
      <c r="I91" s="141">
        <v>2470</v>
      </c>
      <c r="J91" s="2774">
        <v>9999</v>
      </c>
      <c r="K91" s="141">
        <v>89118</v>
      </c>
      <c r="L91" s="223">
        <v>12205</v>
      </c>
      <c r="M91" s="3664">
        <v>0</v>
      </c>
      <c r="N91" s="318">
        <v>124407</v>
      </c>
      <c r="O91" s="166"/>
    </row>
    <row r="92" spans="1:15">
      <c r="A92" s="972">
        <v>1999.11</v>
      </c>
      <c r="B92" s="215">
        <v>162889</v>
      </c>
      <c r="C92" s="947">
        <v>14960</v>
      </c>
      <c r="D92" s="3538">
        <v>3446</v>
      </c>
      <c r="E92" s="1434">
        <v>404</v>
      </c>
      <c r="F92" s="3538">
        <v>24758</v>
      </c>
      <c r="G92" s="141">
        <v>107446</v>
      </c>
      <c r="H92" s="3665">
        <f t="shared" si="1"/>
        <v>132204</v>
      </c>
      <c r="I92" s="141">
        <v>1843</v>
      </c>
      <c r="J92" s="2774">
        <v>10032</v>
      </c>
      <c r="K92" s="141">
        <v>99159</v>
      </c>
      <c r="L92" s="223">
        <v>12143</v>
      </c>
      <c r="M92" s="3664">
        <v>0</v>
      </c>
      <c r="N92" s="318">
        <v>123911</v>
      </c>
      <c r="O92" s="166"/>
    </row>
    <row r="93" spans="1:15">
      <c r="A93" s="972">
        <v>1999.12</v>
      </c>
      <c r="B93" s="215">
        <v>161938</v>
      </c>
      <c r="C93" s="947">
        <v>16706</v>
      </c>
      <c r="D93" s="3538">
        <v>3529</v>
      </c>
      <c r="E93" s="1434">
        <v>343</v>
      </c>
      <c r="F93" s="3538">
        <v>26016</v>
      </c>
      <c r="G93" s="141">
        <v>103480</v>
      </c>
      <c r="H93" s="3665">
        <f t="shared" si="1"/>
        <v>129496</v>
      </c>
      <c r="I93" s="141">
        <v>1717</v>
      </c>
      <c r="J93" s="2774">
        <v>10147</v>
      </c>
      <c r="K93" s="141">
        <v>96519</v>
      </c>
      <c r="L93" s="223">
        <v>11137</v>
      </c>
      <c r="M93" s="3664">
        <v>0</v>
      </c>
      <c r="N93" s="318">
        <v>122231</v>
      </c>
      <c r="O93" s="166"/>
    </row>
    <row r="94" spans="1:15">
      <c r="A94" s="972">
        <v>2000.01</v>
      </c>
      <c r="B94" s="215">
        <v>145370</v>
      </c>
      <c r="C94" s="947">
        <v>9977</v>
      </c>
      <c r="D94" s="3538">
        <v>2771</v>
      </c>
      <c r="E94" s="1434">
        <v>277</v>
      </c>
      <c r="F94" s="3538">
        <v>20956</v>
      </c>
      <c r="G94" s="141">
        <v>100423</v>
      </c>
      <c r="H94" s="3665">
        <f t="shared" si="1"/>
        <v>121379</v>
      </c>
      <c r="I94" s="141">
        <v>1602</v>
      </c>
      <c r="J94" s="2774">
        <v>9364</v>
      </c>
      <c r="K94" s="141">
        <v>94210</v>
      </c>
      <c r="L94" s="223">
        <v>9278</v>
      </c>
      <c r="M94" s="3664">
        <v>0</v>
      </c>
      <c r="N94" s="318">
        <v>115149</v>
      </c>
      <c r="O94" s="166"/>
    </row>
    <row r="95" spans="1:15">
      <c r="A95" s="972">
        <v>2000.02</v>
      </c>
      <c r="B95" s="215">
        <v>140112</v>
      </c>
      <c r="C95" s="947">
        <v>9502</v>
      </c>
      <c r="D95" s="3538">
        <v>2929</v>
      </c>
      <c r="E95" s="1434">
        <v>275</v>
      </c>
      <c r="F95" s="3538">
        <v>21273</v>
      </c>
      <c r="G95" s="141">
        <v>94707</v>
      </c>
      <c r="H95" s="3665">
        <f t="shared" si="1"/>
        <v>115980</v>
      </c>
      <c r="I95" s="141">
        <v>2036</v>
      </c>
      <c r="J95" s="2774">
        <v>9390</v>
      </c>
      <c r="K95" s="141">
        <v>87013</v>
      </c>
      <c r="L95" s="223">
        <v>10897</v>
      </c>
      <c r="M95" s="3664">
        <v>0</v>
      </c>
      <c r="N95" s="318">
        <v>108287</v>
      </c>
      <c r="O95" s="166"/>
    </row>
    <row r="96" spans="1:15">
      <c r="A96" s="972">
        <v>2000.03</v>
      </c>
      <c r="B96" s="215">
        <v>155596</v>
      </c>
      <c r="C96" s="947">
        <v>11423</v>
      </c>
      <c r="D96" s="3538">
        <v>4293</v>
      </c>
      <c r="E96" s="1434">
        <v>349</v>
      </c>
      <c r="F96" s="3538">
        <v>18842</v>
      </c>
      <c r="G96" s="141">
        <v>107824</v>
      </c>
      <c r="H96" s="3665">
        <f t="shared" si="1"/>
        <v>126666</v>
      </c>
      <c r="I96" s="141">
        <v>2573</v>
      </c>
      <c r="J96" s="2774">
        <v>10292</v>
      </c>
      <c r="K96" s="141">
        <v>98499</v>
      </c>
      <c r="L96" s="223">
        <v>13969</v>
      </c>
      <c r="M96" s="3664">
        <v>0</v>
      </c>
      <c r="N96" s="318">
        <v>117339</v>
      </c>
      <c r="O96" s="166"/>
    </row>
    <row r="97" spans="1:15">
      <c r="A97" s="972">
        <v>2000.04</v>
      </c>
      <c r="B97" s="215">
        <v>159526</v>
      </c>
      <c r="C97" s="947">
        <v>15341</v>
      </c>
      <c r="D97" s="3538">
        <v>3956</v>
      </c>
      <c r="E97" s="1434">
        <v>401</v>
      </c>
      <c r="F97" s="3538">
        <v>16482</v>
      </c>
      <c r="G97" s="141">
        <v>110733</v>
      </c>
      <c r="H97" s="3665">
        <f t="shared" si="1"/>
        <v>127215</v>
      </c>
      <c r="I97" s="141">
        <v>2704</v>
      </c>
      <c r="J97" s="2774">
        <v>9909</v>
      </c>
      <c r="K97" s="141">
        <v>115967</v>
      </c>
      <c r="L97" s="223">
        <v>11848</v>
      </c>
      <c r="M97" s="3664">
        <v>0</v>
      </c>
      <c r="N97" s="318">
        <v>119724</v>
      </c>
      <c r="O97" s="166"/>
    </row>
    <row r="98" spans="1:15">
      <c r="A98" s="972">
        <v>2000.05</v>
      </c>
      <c r="B98" s="215">
        <v>179430</v>
      </c>
      <c r="C98" s="947">
        <v>34670</v>
      </c>
      <c r="D98" s="3538">
        <v>6164</v>
      </c>
      <c r="E98" s="1434">
        <v>800</v>
      </c>
      <c r="F98" s="3538">
        <v>3498</v>
      </c>
      <c r="G98" s="141">
        <v>117348</v>
      </c>
      <c r="H98" s="3665">
        <f t="shared" si="1"/>
        <v>120846</v>
      </c>
      <c r="I98" s="141">
        <v>5851</v>
      </c>
      <c r="J98" s="2774">
        <v>11099</v>
      </c>
      <c r="K98" s="141">
        <v>108706</v>
      </c>
      <c r="L98" s="223">
        <v>15610</v>
      </c>
      <c r="M98" s="3664">
        <v>0</v>
      </c>
      <c r="N98" s="318">
        <v>112200</v>
      </c>
      <c r="O98" s="166"/>
    </row>
    <row r="99" spans="1:15">
      <c r="A99" s="972">
        <v>2000.06</v>
      </c>
      <c r="B99" s="215">
        <v>171079</v>
      </c>
      <c r="C99" s="947">
        <v>41299</v>
      </c>
      <c r="D99" s="3538">
        <v>6224</v>
      </c>
      <c r="E99" s="1434">
        <v>1026</v>
      </c>
      <c r="F99" s="3538">
        <v>2430</v>
      </c>
      <c r="G99" s="141">
        <v>101643</v>
      </c>
      <c r="H99" s="3665">
        <f t="shared" si="1"/>
        <v>104073</v>
      </c>
      <c r="I99" s="141">
        <v>7670</v>
      </c>
      <c r="J99" s="2774">
        <v>10787</v>
      </c>
      <c r="K99" s="141">
        <v>93225</v>
      </c>
      <c r="L99" s="223">
        <v>15824</v>
      </c>
      <c r="M99" s="3664">
        <v>0</v>
      </c>
      <c r="N99" s="318">
        <v>95499</v>
      </c>
      <c r="O99" s="166"/>
    </row>
    <row r="100" spans="1:15">
      <c r="A100" s="972">
        <v>2000.07</v>
      </c>
      <c r="B100" s="215">
        <v>188813</v>
      </c>
      <c r="C100" s="947">
        <v>60830</v>
      </c>
      <c r="D100" s="3538">
        <v>7216</v>
      </c>
      <c r="E100" s="1434">
        <v>1435</v>
      </c>
      <c r="F100" s="3538">
        <v>2184</v>
      </c>
      <c r="G100" s="141">
        <v>97089</v>
      </c>
      <c r="H100" s="3665">
        <f t="shared" si="1"/>
        <v>99273</v>
      </c>
      <c r="I100" s="141">
        <v>9244</v>
      </c>
      <c r="J100" s="2774">
        <v>10815</v>
      </c>
      <c r="K100" s="141">
        <v>89091</v>
      </c>
      <c r="L100" s="223">
        <v>16646</v>
      </c>
      <c r="M100" s="3664">
        <v>0</v>
      </c>
      <c r="N100" s="318">
        <v>91278</v>
      </c>
      <c r="O100" s="166"/>
    </row>
    <row r="101" spans="1:15">
      <c r="A101" s="972">
        <v>2000.08</v>
      </c>
      <c r="B101" s="215">
        <v>182160</v>
      </c>
      <c r="C101" s="947">
        <v>39177</v>
      </c>
      <c r="D101" s="3538">
        <v>7464</v>
      </c>
      <c r="E101" s="1434">
        <v>1403</v>
      </c>
      <c r="F101" s="3538">
        <v>3177</v>
      </c>
      <c r="G101" s="141">
        <v>112485</v>
      </c>
      <c r="H101" s="3665">
        <f t="shared" si="1"/>
        <v>115662</v>
      </c>
      <c r="I101" s="141">
        <v>6914</v>
      </c>
      <c r="J101" s="2774">
        <v>11540</v>
      </c>
      <c r="K101" s="141">
        <v>104515</v>
      </c>
      <c r="L101" s="223">
        <v>16841</v>
      </c>
      <c r="M101" s="3664">
        <v>0</v>
      </c>
      <c r="N101" s="318">
        <v>107688</v>
      </c>
      <c r="O101" s="166"/>
    </row>
    <row r="102" spans="1:15">
      <c r="A102" s="972">
        <v>2000.09</v>
      </c>
      <c r="B102" s="215">
        <v>167267</v>
      </c>
      <c r="C102" s="947">
        <v>28324</v>
      </c>
      <c r="D102" s="3538">
        <v>5462</v>
      </c>
      <c r="E102" s="1434">
        <v>1050</v>
      </c>
      <c r="F102" s="3538">
        <v>4529</v>
      </c>
      <c r="G102" s="141">
        <v>111604</v>
      </c>
      <c r="H102" s="3665">
        <f t="shared" si="1"/>
        <v>116133</v>
      </c>
      <c r="I102" s="141">
        <v>4912</v>
      </c>
      <c r="J102" s="2774">
        <v>11386</v>
      </c>
      <c r="K102" s="141">
        <v>104166</v>
      </c>
      <c r="L102" s="223">
        <v>13952</v>
      </c>
      <c r="M102" s="3664">
        <v>0</v>
      </c>
      <c r="N102" s="318">
        <v>108693</v>
      </c>
      <c r="O102" s="166"/>
    </row>
    <row r="103" spans="1:15">
      <c r="A103" s="972">
        <v>2000.1</v>
      </c>
      <c r="B103" s="215">
        <v>155199</v>
      </c>
      <c r="C103" s="947">
        <v>15635</v>
      </c>
      <c r="D103" s="3538">
        <v>4144</v>
      </c>
      <c r="E103" s="1434">
        <v>593</v>
      </c>
      <c r="F103" s="3538">
        <v>8945</v>
      </c>
      <c r="G103" s="141">
        <v>111491</v>
      </c>
      <c r="H103" s="3665">
        <f t="shared" si="1"/>
        <v>120436</v>
      </c>
      <c r="I103" s="141">
        <v>2954</v>
      </c>
      <c r="J103" s="2774">
        <v>11437</v>
      </c>
      <c r="K103" s="141">
        <v>104554</v>
      </c>
      <c r="L103" s="223">
        <v>11676</v>
      </c>
      <c r="M103" s="3664">
        <v>0</v>
      </c>
      <c r="N103" s="318">
        <v>113497</v>
      </c>
      <c r="O103" s="166"/>
    </row>
    <row r="104" spans="1:15">
      <c r="A104" s="972">
        <v>2000.11</v>
      </c>
      <c r="B104" s="215">
        <v>145987</v>
      </c>
      <c r="C104" s="947">
        <v>14424</v>
      </c>
      <c r="D104" s="3538">
        <v>4273</v>
      </c>
      <c r="E104" s="1434">
        <v>463</v>
      </c>
      <c r="F104" s="3538">
        <v>2920</v>
      </c>
      <c r="G104" s="141">
        <v>109680</v>
      </c>
      <c r="H104" s="3665">
        <f t="shared" si="1"/>
        <v>112600</v>
      </c>
      <c r="I104" s="141">
        <v>2535</v>
      </c>
      <c r="J104" s="2774">
        <v>11692</v>
      </c>
      <c r="K104" s="141">
        <v>102449</v>
      </c>
      <c r="L104" s="223">
        <v>11969</v>
      </c>
      <c r="M104" s="3664">
        <v>0</v>
      </c>
      <c r="N104" s="318">
        <v>105367</v>
      </c>
      <c r="O104" s="166"/>
    </row>
    <row r="105" spans="1:15">
      <c r="A105" s="972">
        <v>2000.12</v>
      </c>
      <c r="B105" s="215">
        <v>154640</v>
      </c>
      <c r="C105" s="947">
        <v>11044</v>
      </c>
      <c r="D105" s="3538">
        <v>3541</v>
      </c>
      <c r="E105" s="1434">
        <v>361</v>
      </c>
      <c r="F105" s="3538">
        <v>22981</v>
      </c>
      <c r="G105" s="141">
        <v>103232</v>
      </c>
      <c r="H105" s="3665">
        <f t="shared" si="1"/>
        <v>126213</v>
      </c>
      <c r="I105" s="141">
        <v>2093</v>
      </c>
      <c r="J105" s="2774">
        <v>11388</v>
      </c>
      <c r="K105" s="141">
        <v>96681</v>
      </c>
      <c r="L105" s="223">
        <v>10455</v>
      </c>
      <c r="M105" s="3664">
        <v>0</v>
      </c>
      <c r="N105" s="318">
        <v>119660</v>
      </c>
      <c r="O105" s="166"/>
    </row>
    <row r="106" spans="1:15">
      <c r="A106" s="972">
        <v>2001.01</v>
      </c>
      <c r="B106" s="215">
        <v>132758</v>
      </c>
      <c r="C106" s="947">
        <v>10859</v>
      </c>
      <c r="D106" s="3538">
        <v>3389</v>
      </c>
      <c r="E106" s="1434">
        <v>298</v>
      </c>
      <c r="F106" s="3538">
        <v>8370</v>
      </c>
      <c r="G106" s="141">
        <v>96768</v>
      </c>
      <c r="H106" s="3665">
        <f t="shared" si="1"/>
        <v>105138</v>
      </c>
      <c r="I106" s="141">
        <v>1903</v>
      </c>
      <c r="J106" s="2774">
        <v>11171</v>
      </c>
      <c r="K106" s="141">
        <v>91340</v>
      </c>
      <c r="L106" s="223">
        <v>9589</v>
      </c>
      <c r="M106" s="3664">
        <v>0</v>
      </c>
      <c r="N106" s="318">
        <v>99236</v>
      </c>
      <c r="O106" s="166"/>
    </row>
    <row r="107" spans="1:15">
      <c r="A107" s="972">
        <v>2001.02</v>
      </c>
      <c r="B107" s="215">
        <v>107873</v>
      </c>
      <c r="C107" s="947">
        <v>9841</v>
      </c>
      <c r="D107" s="3538">
        <v>3028</v>
      </c>
      <c r="E107" s="1434">
        <v>284</v>
      </c>
      <c r="F107" s="3538">
        <v>4033</v>
      </c>
      <c r="G107" s="141">
        <v>78651</v>
      </c>
      <c r="H107" s="3665">
        <f t="shared" si="1"/>
        <v>82684</v>
      </c>
      <c r="I107" s="141">
        <v>1867</v>
      </c>
      <c r="J107" s="2774">
        <v>10169</v>
      </c>
      <c r="K107" s="141">
        <v>72209</v>
      </c>
      <c r="L107" s="223">
        <v>9753</v>
      </c>
      <c r="M107" s="3664">
        <v>0</v>
      </c>
      <c r="N107" s="318">
        <v>76243</v>
      </c>
      <c r="O107" s="166"/>
    </row>
    <row r="108" spans="1:15">
      <c r="A108" s="972">
        <v>2001.03</v>
      </c>
      <c r="B108" s="215">
        <v>140781</v>
      </c>
      <c r="C108" s="947">
        <v>11032</v>
      </c>
      <c r="D108" s="3538">
        <v>4551</v>
      </c>
      <c r="E108" s="1434">
        <v>300</v>
      </c>
      <c r="F108" s="3538">
        <v>10306</v>
      </c>
      <c r="G108" s="141">
        <v>100406</v>
      </c>
      <c r="H108" s="3665">
        <f t="shared" si="1"/>
        <v>110712</v>
      </c>
      <c r="I108" s="141">
        <v>2459</v>
      </c>
      <c r="J108" s="2774">
        <v>11727</v>
      </c>
      <c r="K108" s="141">
        <v>92875</v>
      </c>
      <c r="L108" s="223">
        <v>12384</v>
      </c>
      <c r="M108" s="3664">
        <v>0</v>
      </c>
      <c r="N108" s="318">
        <v>103179</v>
      </c>
      <c r="O108" s="166"/>
    </row>
    <row r="109" spans="1:15">
      <c r="A109" s="972">
        <v>2001.04</v>
      </c>
      <c r="B109" s="215">
        <v>148492</v>
      </c>
      <c r="C109" s="947">
        <v>16907</v>
      </c>
      <c r="D109" s="3538">
        <v>4271</v>
      </c>
      <c r="E109" s="1434">
        <v>362</v>
      </c>
      <c r="F109" s="3538">
        <v>1596</v>
      </c>
      <c r="G109" s="141">
        <v>110349</v>
      </c>
      <c r="H109" s="3665">
        <f t="shared" si="1"/>
        <v>111945</v>
      </c>
      <c r="I109" s="141">
        <v>3139</v>
      </c>
      <c r="J109" s="2774">
        <v>11868</v>
      </c>
      <c r="K109" s="141">
        <v>103036</v>
      </c>
      <c r="L109" s="223">
        <v>11950</v>
      </c>
      <c r="M109" s="3664">
        <v>0</v>
      </c>
      <c r="N109" s="318">
        <v>104628</v>
      </c>
      <c r="O109" s="166"/>
    </row>
    <row r="110" spans="1:15">
      <c r="A110" s="972">
        <v>2001.05</v>
      </c>
      <c r="B110" s="215">
        <v>174970</v>
      </c>
      <c r="C110" s="947">
        <v>35471</v>
      </c>
      <c r="D110" s="3538">
        <v>7091</v>
      </c>
      <c r="E110" s="1434">
        <v>989</v>
      </c>
      <c r="F110" s="3538">
        <v>374</v>
      </c>
      <c r="G110" s="141">
        <v>112240</v>
      </c>
      <c r="H110" s="3665">
        <f t="shared" si="1"/>
        <v>112614</v>
      </c>
      <c r="I110" s="141">
        <v>6627</v>
      </c>
      <c r="J110" s="2774">
        <v>12178</v>
      </c>
      <c r="K110" s="141">
        <v>104718</v>
      </c>
      <c r="L110" s="223">
        <v>15602</v>
      </c>
      <c r="M110" s="3664">
        <v>0</v>
      </c>
      <c r="N110" s="318">
        <v>105092</v>
      </c>
      <c r="O110" s="166"/>
    </row>
    <row r="111" spans="1:15">
      <c r="A111" s="972">
        <v>2001.06</v>
      </c>
      <c r="B111" s="215">
        <v>167653</v>
      </c>
      <c r="C111" s="947">
        <v>37952</v>
      </c>
      <c r="D111" s="3538">
        <v>6236</v>
      </c>
      <c r="E111" s="1434">
        <v>913</v>
      </c>
      <c r="F111" s="3538">
        <v>720</v>
      </c>
      <c r="G111" s="141">
        <v>103148</v>
      </c>
      <c r="H111" s="3665">
        <f t="shared" si="1"/>
        <v>103868</v>
      </c>
      <c r="I111" s="141">
        <v>6799</v>
      </c>
      <c r="J111" s="2774">
        <v>11885</v>
      </c>
      <c r="K111" s="141">
        <v>95961</v>
      </c>
      <c r="L111" s="223">
        <v>14336</v>
      </c>
      <c r="M111" s="3664">
        <v>0</v>
      </c>
      <c r="N111" s="318">
        <v>96681</v>
      </c>
      <c r="O111" s="166"/>
    </row>
    <row r="112" spans="1:15">
      <c r="A112" s="972">
        <v>2001.07</v>
      </c>
      <c r="B112" s="215">
        <v>184252</v>
      </c>
      <c r="C112" s="947">
        <v>46223</v>
      </c>
      <c r="D112" s="3538">
        <v>7269</v>
      </c>
      <c r="E112" s="1434">
        <v>1431</v>
      </c>
      <c r="F112" s="3538">
        <v>127</v>
      </c>
      <c r="G112" s="141">
        <v>108607</v>
      </c>
      <c r="H112" s="3665">
        <f t="shared" si="1"/>
        <v>108734</v>
      </c>
      <c r="I112" s="141">
        <v>8014</v>
      </c>
      <c r="J112" s="2774">
        <v>12581</v>
      </c>
      <c r="K112" s="141">
        <v>101225</v>
      </c>
      <c r="L112" s="223">
        <v>16084</v>
      </c>
      <c r="M112" s="3664">
        <v>0</v>
      </c>
      <c r="N112" s="318">
        <v>101350</v>
      </c>
      <c r="O112" s="166"/>
    </row>
    <row r="113" spans="1:15">
      <c r="A113" s="972">
        <v>2001.08</v>
      </c>
      <c r="B113" s="215">
        <v>166695</v>
      </c>
      <c r="C113" s="947">
        <v>28285</v>
      </c>
      <c r="D113" s="3538">
        <v>6615</v>
      </c>
      <c r="E113" s="1434">
        <v>1151</v>
      </c>
      <c r="F113" s="3538">
        <v>229</v>
      </c>
      <c r="G113" s="141">
        <v>111053</v>
      </c>
      <c r="H113" s="3665">
        <f t="shared" si="1"/>
        <v>111282</v>
      </c>
      <c r="I113" s="141">
        <v>6090</v>
      </c>
      <c r="J113" s="2774">
        <v>13272</v>
      </c>
      <c r="K113" s="141">
        <v>103708</v>
      </c>
      <c r="L113" s="223">
        <v>15111</v>
      </c>
      <c r="M113" s="3664">
        <v>0</v>
      </c>
      <c r="N113" s="318">
        <v>103937</v>
      </c>
      <c r="O113" s="166"/>
    </row>
    <row r="114" spans="1:15">
      <c r="A114" s="972">
        <v>2001.09</v>
      </c>
      <c r="B114" s="215">
        <v>135594</v>
      </c>
      <c r="C114" s="947">
        <v>30085</v>
      </c>
      <c r="D114" s="3538">
        <v>5103</v>
      </c>
      <c r="E114" s="1434">
        <v>891</v>
      </c>
      <c r="F114" s="3538">
        <v>132</v>
      </c>
      <c r="G114" s="141">
        <v>81982</v>
      </c>
      <c r="H114" s="3665">
        <f t="shared" si="1"/>
        <v>82114</v>
      </c>
      <c r="I114" s="141">
        <v>5252</v>
      </c>
      <c r="J114" s="2774">
        <v>12149</v>
      </c>
      <c r="K114" s="141">
        <v>75402</v>
      </c>
      <c r="L114" s="223">
        <v>12575</v>
      </c>
      <c r="M114" s="3664">
        <v>0</v>
      </c>
      <c r="N114" s="318">
        <v>75533</v>
      </c>
      <c r="O114" s="166"/>
    </row>
    <row r="115" spans="1:15">
      <c r="A115" s="972">
        <v>2001.1</v>
      </c>
      <c r="B115" s="215">
        <v>138496</v>
      </c>
      <c r="C115" s="947">
        <v>18842</v>
      </c>
      <c r="D115" s="3538">
        <v>4684</v>
      </c>
      <c r="E115" s="1434">
        <v>712</v>
      </c>
      <c r="F115" s="3538">
        <v>1880</v>
      </c>
      <c r="G115" s="141">
        <v>95062</v>
      </c>
      <c r="H115" s="3665">
        <f t="shared" si="1"/>
        <v>96942</v>
      </c>
      <c r="I115" s="141">
        <v>3850</v>
      </c>
      <c r="J115" s="2774">
        <v>13466</v>
      </c>
      <c r="K115" s="141">
        <v>88264</v>
      </c>
      <c r="L115" s="223">
        <v>12195</v>
      </c>
      <c r="M115" s="3664">
        <v>0</v>
      </c>
      <c r="N115" s="318">
        <v>90143</v>
      </c>
      <c r="O115" s="166"/>
    </row>
    <row r="116" spans="1:15">
      <c r="A116" s="972">
        <v>2001.11</v>
      </c>
      <c r="B116" s="215">
        <v>126580</v>
      </c>
      <c r="C116" s="947">
        <v>13327</v>
      </c>
      <c r="D116" s="3538">
        <v>3693</v>
      </c>
      <c r="E116" s="1434">
        <v>427</v>
      </c>
      <c r="F116" s="3538">
        <v>403</v>
      </c>
      <c r="G116" s="141">
        <v>93523</v>
      </c>
      <c r="H116" s="3665">
        <f t="shared" si="1"/>
        <v>93926</v>
      </c>
      <c r="I116" s="141">
        <v>2727</v>
      </c>
      <c r="J116" s="2774">
        <v>12480</v>
      </c>
      <c r="K116" s="141">
        <v>87324</v>
      </c>
      <c r="L116" s="223">
        <v>10322</v>
      </c>
      <c r="M116" s="3664">
        <v>0</v>
      </c>
      <c r="N116" s="318">
        <v>87724</v>
      </c>
      <c r="O116" s="166"/>
    </row>
    <row r="117" spans="1:15">
      <c r="A117" s="972">
        <v>2001.12</v>
      </c>
      <c r="B117" s="215">
        <v>125821</v>
      </c>
      <c r="C117" s="947">
        <v>15433</v>
      </c>
      <c r="D117" s="3538">
        <v>3319</v>
      </c>
      <c r="E117" s="1434">
        <v>362</v>
      </c>
      <c r="F117" s="3538">
        <v>3991</v>
      </c>
      <c r="G117" s="141">
        <v>89050</v>
      </c>
      <c r="H117" s="3665">
        <f t="shared" si="1"/>
        <v>93041</v>
      </c>
      <c r="I117" s="141">
        <v>2349</v>
      </c>
      <c r="J117" s="2774">
        <v>11317</v>
      </c>
      <c r="K117" s="141">
        <v>83888</v>
      </c>
      <c r="L117" s="223">
        <v>8845</v>
      </c>
      <c r="M117" s="3664">
        <v>0</v>
      </c>
      <c r="N117" s="318">
        <v>87877</v>
      </c>
      <c r="O117" s="166"/>
    </row>
    <row r="118" spans="1:15">
      <c r="A118" s="972">
        <v>2002.01</v>
      </c>
      <c r="B118" s="215">
        <v>114559</v>
      </c>
      <c r="C118" s="947">
        <v>11559</v>
      </c>
      <c r="D118" s="3538">
        <v>2978</v>
      </c>
      <c r="E118" s="1434">
        <v>292</v>
      </c>
      <c r="F118" s="3538">
        <v>188</v>
      </c>
      <c r="G118" s="141">
        <v>85103</v>
      </c>
      <c r="H118" s="3665">
        <f t="shared" si="1"/>
        <v>85291</v>
      </c>
      <c r="I118" s="141">
        <v>2275</v>
      </c>
      <c r="J118" s="2774">
        <v>12164</v>
      </c>
      <c r="K118" s="141">
        <v>80479</v>
      </c>
      <c r="L118" s="223">
        <v>7896</v>
      </c>
      <c r="M118" s="3664">
        <v>0</v>
      </c>
      <c r="N118" s="318">
        <v>80665</v>
      </c>
      <c r="O118" s="166"/>
    </row>
    <row r="119" spans="1:15">
      <c r="A119" s="972">
        <v>2002.02</v>
      </c>
      <c r="B119" s="215">
        <v>104600</v>
      </c>
      <c r="C119" s="947">
        <v>10200</v>
      </c>
      <c r="D119" s="3538">
        <v>2737</v>
      </c>
      <c r="E119" s="1434">
        <v>310</v>
      </c>
      <c r="F119" s="3538">
        <v>2071</v>
      </c>
      <c r="G119" s="141">
        <v>76566</v>
      </c>
      <c r="H119" s="3665">
        <f t="shared" si="1"/>
        <v>78637</v>
      </c>
      <c r="I119" s="141">
        <v>2265</v>
      </c>
      <c r="J119" s="2774">
        <v>10451</v>
      </c>
      <c r="K119" s="141">
        <v>70801</v>
      </c>
      <c r="L119" s="223">
        <v>8812</v>
      </c>
      <c r="M119" s="3664">
        <v>0</v>
      </c>
      <c r="N119" s="318">
        <v>72872</v>
      </c>
      <c r="O119" s="166"/>
    </row>
    <row r="120" spans="1:15">
      <c r="A120" s="972">
        <v>2002.03</v>
      </c>
      <c r="B120" s="215">
        <v>126411</v>
      </c>
      <c r="C120" s="947">
        <v>12370</v>
      </c>
      <c r="D120" s="3538">
        <v>4290</v>
      </c>
      <c r="E120" s="1434">
        <v>289</v>
      </c>
      <c r="F120" s="3538">
        <v>472</v>
      </c>
      <c r="G120" s="141">
        <v>95539</v>
      </c>
      <c r="H120" s="3665">
        <f t="shared" si="1"/>
        <v>96011</v>
      </c>
      <c r="I120" s="141">
        <v>2525</v>
      </c>
      <c r="J120" s="2774">
        <v>10926</v>
      </c>
      <c r="K120" s="141">
        <v>88414</v>
      </c>
      <c r="L120" s="223">
        <v>11708</v>
      </c>
      <c r="M120" s="3664">
        <v>0</v>
      </c>
      <c r="N120" s="318">
        <v>88882</v>
      </c>
      <c r="O120" s="166"/>
    </row>
    <row r="121" spans="1:15">
      <c r="A121" s="972">
        <v>2002.04</v>
      </c>
      <c r="B121" s="215">
        <v>154594</v>
      </c>
      <c r="C121" s="947">
        <v>22696</v>
      </c>
      <c r="D121" s="3538">
        <v>5484</v>
      </c>
      <c r="E121" s="1434">
        <v>445</v>
      </c>
      <c r="F121" s="3538">
        <v>1082</v>
      </c>
      <c r="G121" s="141">
        <v>108008</v>
      </c>
      <c r="H121" s="3665">
        <f t="shared" si="1"/>
        <v>109090</v>
      </c>
      <c r="I121" s="141">
        <v>4022</v>
      </c>
      <c r="J121" s="2774">
        <v>12857</v>
      </c>
      <c r="K121" s="141">
        <v>100279</v>
      </c>
      <c r="L121" s="223">
        <v>13658</v>
      </c>
      <c r="M121" s="3664">
        <v>0</v>
      </c>
      <c r="N121" s="318">
        <v>101361</v>
      </c>
      <c r="O121" s="166"/>
    </row>
    <row r="122" spans="1:15">
      <c r="A122" s="972">
        <v>2002.05</v>
      </c>
      <c r="B122" s="215">
        <v>170669</v>
      </c>
      <c r="C122" s="947">
        <v>24376</v>
      </c>
      <c r="D122" s="3538">
        <v>6029</v>
      </c>
      <c r="E122" s="1434">
        <v>581</v>
      </c>
      <c r="F122" s="3538">
        <v>207</v>
      </c>
      <c r="G122" s="141">
        <v>121251</v>
      </c>
      <c r="H122" s="3665">
        <f t="shared" si="1"/>
        <v>121458</v>
      </c>
      <c r="I122" s="141">
        <v>5152</v>
      </c>
      <c r="J122" s="2774">
        <v>13073</v>
      </c>
      <c r="K122" s="141">
        <v>113549</v>
      </c>
      <c r="L122" s="223">
        <v>14312</v>
      </c>
      <c r="M122" s="3664">
        <v>0</v>
      </c>
      <c r="N122" s="318">
        <v>113756</v>
      </c>
      <c r="O122" s="166"/>
    </row>
    <row r="123" spans="1:15">
      <c r="A123" s="972">
        <v>2002.06</v>
      </c>
      <c r="B123" s="215">
        <v>178225</v>
      </c>
      <c r="C123" s="947">
        <v>49162</v>
      </c>
      <c r="D123" s="3538">
        <v>6843</v>
      </c>
      <c r="E123" s="1434">
        <v>1176</v>
      </c>
      <c r="F123" s="3538">
        <v>175</v>
      </c>
      <c r="G123" s="141">
        <v>100446</v>
      </c>
      <c r="H123" s="3665">
        <f t="shared" si="1"/>
        <v>100621</v>
      </c>
      <c r="I123" s="141">
        <v>8077</v>
      </c>
      <c r="J123" s="2774">
        <v>12346</v>
      </c>
      <c r="K123" s="141">
        <v>92794</v>
      </c>
      <c r="L123" s="223">
        <v>15675</v>
      </c>
      <c r="M123" s="3664">
        <v>0</v>
      </c>
      <c r="N123" s="318">
        <v>92965</v>
      </c>
      <c r="O123" s="166"/>
    </row>
    <row r="124" spans="1:15">
      <c r="A124" s="972">
        <v>2002.07</v>
      </c>
      <c r="B124" s="215">
        <v>196146</v>
      </c>
      <c r="C124" s="947">
        <v>48570</v>
      </c>
      <c r="D124" s="3538">
        <v>8469</v>
      </c>
      <c r="E124" s="1434">
        <v>1835</v>
      </c>
      <c r="F124" s="3538">
        <v>114</v>
      </c>
      <c r="G124" s="141">
        <v>112874</v>
      </c>
      <c r="H124" s="3665">
        <f t="shared" si="1"/>
        <v>112988</v>
      </c>
      <c r="I124" s="141">
        <v>9652</v>
      </c>
      <c r="J124" s="2774">
        <v>14632</v>
      </c>
      <c r="K124" s="141">
        <v>104081</v>
      </c>
      <c r="L124" s="223">
        <v>19099</v>
      </c>
      <c r="M124" s="3664">
        <v>0</v>
      </c>
      <c r="N124" s="318">
        <v>104193</v>
      </c>
      <c r="O124" s="166"/>
    </row>
    <row r="125" spans="1:15">
      <c r="A125" s="972">
        <v>2002.08</v>
      </c>
      <c r="B125" s="215">
        <v>187069</v>
      </c>
      <c r="C125" s="947">
        <v>36896</v>
      </c>
      <c r="D125" s="3538">
        <v>6764</v>
      </c>
      <c r="E125" s="1434">
        <v>1446</v>
      </c>
      <c r="F125" s="3538">
        <v>299</v>
      </c>
      <c r="G125" s="141">
        <v>120977</v>
      </c>
      <c r="H125" s="3665">
        <f t="shared" si="1"/>
        <v>121276</v>
      </c>
      <c r="I125" s="141">
        <v>6754</v>
      </c>
      <c r="J125" s="2774">
        <v>13933</v>
      </c>
      <c r="K125" s="141">
        <v>113176</v>
      </c>
      <c r="L125" s="223">
        <v>16016</v>
      </c>
      <c r="M125" s="3664">
        <v>0</v>
      </c>
      <c r="N125" s="318">
        <v>113470</v>
      </c>
      <c r="O125" s="166"/>
    </row>
    <row r="126" spans="1:15">
      <c r="A126" s="972">
        <v>2002.09</v>
      </c>
      <c r="B126" s="215">
        <v>166495</v>
      </c>
      <c r="C126" s="947">
        <v>24132</v>
      </c>
      <c r="D126" s="3538">
        <v>4652</v>
      </c>
      <c r="E126" s="1434">
        <v>905</v>
      </c>
      <c r="F126" s="3538">
        <v>364</v>
      </c>
      <c r="G126" s="141">
        <v>117023</v>
      </c>
      <c r="H126" s="3665">
        <f t="shared" si="1"/>
        <v>117387</v>
      </c>
      <c r="I126" s="141">
        <v>5249</v>
      </c>
      <c r="J126" s="2774">
        <v>14170</v>
      </c>
      <c r="K126" s="141">
        <v>109203</v>
      </c>
      <c r="L126" s="223">
        <v>13377</v>
      </c>
      <c r="M126" s="3664">
        <v>0</v>
      </c>
      <c r="N126" s="318">
        <v>109567</v>
      </c>
      <c r="O126" s="166"/>
    </row>
    <row r="127" spans="1:15">
      <c r="A127" s="972">
        <v>2002.1</v>
      </c>
      <c r="B127" s="215">
        <v>157591</v>
      </c>
      <c r="C127" s="947">
        <v>13714</v>
      </c>
      <c r="D127" s="3538">
        <v>3712</v>
      </c>
      <c r="E127" s="1434">
        <v>492</v>
      </c>
      <c r="F127" s="3538">
        <v>567</v>
      </c>
      <c r="G127" s="141">
        <v>121162</v>
      </c>
      <c r="H127" s="3665">
        <f t="shared" si="1"/>
        <v>121729</v>
      </c>
      <c r="I127" s="141">
        <v>3338</v>
      </c>
      <c r="J127" s="2774">
        <v>14606</v>
      </c>
      <c r="K127" s="141">
        <v>113705</v>
      </c>
      <c r="L127" s="223">
        <v>11660</v>
      </c>
      <c r="M127" s="3664">
        <v>0</v>
      </c>
      <c r="N127" s="318">
        <v>114273</v>
      </c>
      <c r="O127" s="166"/>
    </row>
    <row r="128" spans="1:15">
      <c r="A128" s="972">
        <v>2002.11</v>
      </c>
      <c r="B128" s="215">
        <v>146556</v>
      </c>
      <c r="C128" s="947">
        <v>10414</v>
      </c>
      <c r="D128" s="3538">
        <v>3839</v>
      </c>
      <c r="E128" s="1434">
        <v>454</v>
      </c>
      <c r="F128" s="3538">
        <v>726</v>
      </c>
      <c r="G128" s="141">
        <v>113425</v>
      </c>
      <c r="H128" s="3665">
        <f t="shared" si="1"/>
        <v>114151</v>
      </c>
      <c r="I128" s="141">
        <v>3130</v>
      </c>
      <c r="J128" s="2774">
        <v>14568</v>
      </c>
      <c r="K128" s="141">
        <v>105465</v>
      </c>
      <c r="L128" s="223">
        <v>12256</v>
      </c>
      <c r="M128" s="3664">
        <v>0</v>
      </c>
      <c r="N128" s="318">
        <v>106188</v>
      </c>
      <c r="O128" s="166"/>
    </row>
    <row r="129" spans="1:15">
      <c r="A129" s="972">
        <v>2002.12</v>
      </c>
      <c r="B129" s="215">
        <v>145088</v>
      </c>
      <c r="C129" s="947">
        <v>11782</v>
      </c>
      <c r="D129" s="3538">
        <v>3340</v>
      </c>
      <c r="E129" s="1434">
        <v>352</v>
      </c>
      <c r="F129" s="3538">
        <v>612</v>
      </c>
      <c r="G129" s="141">
        <v>111817</v>
      </c>
      <c r="H129" s="3665">
        <f t="shared" si="1"/>
        <v>112429</v>
      </c>
      <c r="I129" s="141">
        <v>2890</v>
      </c>
      <c r="J129" s="2774">
        <v>14295</v>
      </c>
      <c r="K129" s="141">
        <v>104532</v>
      </c>
      <c r="L129" s="223">
        <v>10976</v>
      </c>
      <c r="M129" s="3664">
        <v>0</v>
      </c>
      <c r="N129" s="318">
        <v>105145</v>
      </c>
      <c r="O129" s="166"/>
    </row>
    <row r="130" spans="1:15">
      <c r="A130" s="972">
        <v>2003.01</v>
      </c>
      <c r="B130" s="215">
        <v>140312</v>
      </c>
      <c r="C130" s="947">
        <v>12710</v>
      </c>
      <c r="D130" s="3538">
        <v>3265</v>
      </c>
      <c r="E130" s="1434">
        <v>300</v>
      </c>
      <c r="F130" s="3538">
        <v>140</v>
      </c>
      <c r="G130" s="141">
        <v>105628</v>
      </c>
      <c r="H130" s="3665">
        <f t="shared" si="1"/>
        <v>105768</v>
      </c>
      <c r="I130" s="141">
        <v>2732</v>
      </c>
      <c r="J130" s="2774">
        <v>15537</v>
      </c>
      <c r="K130" s="141">
        <v>98547</v>
      </c>
      <c r="L130" s="223">
        <v>10649</v>
      </c>
      <c r="M130" s="3664">
        <v>0</v>
      </c>
      <c r="N130" s="318">
        <v>98684</v>
      </c>
      <c r="O130" s="166"/>
    </row>
    <row r="131" spans="1:15">
      <c r="A131" s="972">
        <v>2003.02</v>
      </c>
      <c r="B131" s="215">
        <v>127628</v>
      </c>
      <c r="C131" s="947">
        <v>11460</v>
      </c>
      <c r="D131" s="3538">
        <v>3751</v>
      </c>
      <c r="E131" s="1434">
        <v>301</v>
      </c>
      <c r="F131" s="3538">
        <v>522</v>
      </c>
      <c r="G131" s="141">
        <v>95313</v>
      </c>
      <c r="H131" s="3665">
        <f t="shared" si="1"/>
        <v>95835</v>
      </c>
      <c r="I131" s="141">
        <v>2742</v>
      </c>
      <c r="J131" s="2774">
        <v>13539</v>
      </c>
      <c r="K131" s="141">
        <v>88608</v>
      </c>
      <c r="L131" s="223">
        <v>11621</v>
      </c>
      <c r="M131" s="3664">
        <v>0</v>
      </c>
      <c r="N131" s="318">
        <v>88266</v>
      </c>
      <c r="O131" s="166"/>
    </row>
    <row r="132" spans="1:15">
      <c r="A132" s="972">
        <v>2003.03</v>
      </c>
      <c r="B132" s="215">
        <v>146529</v>
      </c>
      <c r="C132" s="947">
        <v>13413</v>
      </c>
      <c r="D132" s="3538">
        <v>4739</v>
      </c>
      <c r="E132" s="1434">
        <v>358</v>
      </c>
      <c r="F132" s="3538">
        <v>385</v>
      </c>
      <c r="G132" s="141">
        <v>109910</v>
      </c>
      <c r="H132" s="3665">
        <f t="shared" si="1"/>
        <v>110295</v>
      </c>
      <c r="I132" s="141">
        <v>3329</v>
      </c>
      <c r="J132" s="2774">
        <v>14395</v>
      </c>
      <c r="K132" s="141">
        <v>101881</v>
      </c>
      <c r="L132" s="223">
        <v>13128</v>
      </c>
      <c r="M132" s="3664">
        <v>0</v>
      </c>
      <c r="N132" s="318">
        <v>102264</v>
      </c>
      <c r="O132" s="166"/>
    </row>
    <row r="133" spans="1:15">
      <c r="A133" s="972">
        <v>2003.04</v>
      </c>
      <c r="B133" s="215">
        <v>168187</v>
      </c>
      <c r="C133" s="947">
        <v>18964</v>
      </c>
      <c r="D133" s="3538">
        <v>4109</v>
      </c>
      <c r="E133" s="1434">
        <v>402</v>
      </c>
      <c r="F133" s="3538">
        <v>2627</v>
      </c>
      <c r="G133" s="141">
        <v>121176</v>
      </c>
      <c r="H133" s="3665">
        <f t="shared" si="1"/>
        <v>123803</v>
      </c>
      <c r="I133" s="141">
        <v>4188</v>
      </c>
      <c r="J133" s="2774">
        <v>16721</v>
      </c>
      <c r="K133" s="141">
        <v>112344</v>
      </c>
      <c r="L133" s="223">
        <v>13346</v>
      </c>
      <c r="M133" s="3664">
        <v>0</v>
      </c>
      <c r="N133" s="318">
        <v>114968</v>
      </c>
      <c r="O133" s="166"/>
    </row>
    <row r="134" spans="1:15">
      <c r="A134" s="972">
        <v>2003.05</v>
      </c>
      <c r="B134" s="215">
        <v>189352</v>
      </c>
      <c r="C134" s="947">
        <v>32328</v>
      </c>
      <c r="D134" s="3538">
        <v>5850</v>
      </c>
      <c r="E134" s="1434">
        <v>679</v>
      </c>
      <c r="F134" s="3538">
        <v>3</v>
      </c>
      <c r="G134" s="141">
        <v>127802</v>
      </c>
      <c r="H134" s="3665">
        <f t="shared" si="1"/>
        <v>127805</v>
      </c>
      <c r="I134" s="141">
        <v>6441</v>
      </c>
      <c r="J134" s="2774">
        <v>16249</v>
      </c>
      <c r="K134" s="141">
        <v>118953</v>
      </c>
      <c r="L134" s="223">
        <v>15376</v>
      </c>
      <c r="M134" s="3664">
        <v>0</v>
      </c>
      <c r="N134" s="318">
        <v>118958</v>
      </c>
      <c r="O134" s="166"/>
    </row>
    <row r="135" spans="1:15">
      <c r="A135" s="972">
        <v>2003.06</v>
      </c>
      <c r="B135" s="215">
        <v>185704</v>
      </c>
      <c r="C135" s="947">
        <v>35438</v>
      </c>
      <c r="D135" s="3538">
        <v>6821</v>
      </c>
      <c r="E135" s="1434">
        <v>1166</v>
      </c>
      <c r="F135" s="3538">
        <v>243</v>
      </c>
      <c r="G135" s="141">
        <v>117525</v>
      </c>
      <c r="H135" s="3665">
        <f t="shared" si="1"/>
        <v>117768</v>
      </c>
      <c r="I135" s="141">
        <v>7913</v>
      </c>
      <c r="J135" s="2774">
        <v>16598</v>
      </c>
      <c r="K135" s="141">
        <v>108362</v>
      </c>
      <c r="L135" s="223">
        <v>17156</v>
      </c>
      <c r="M135" s="3664">
        <v>0</v>
      </c>
      <c r="N135" s="318">
        <v>108599</v>
      </c>
      <c r="O135" s="166"/>
    </row>
    <row r="136" spans="1:15">
      <c r="A136" s="972">
        <v>2003.07</v>
      </c>
      <c r="B136" s="215">
        <v>193139</v>
      </c>
      <c r="C136" s="947">
        <v>52907</v>
      </c>
      <c r="D136" s="3538">
        <v>6320</v>
      </c>
      <c r="E136" s="1434">
        <v>1190</v>
      </c>
      <c r="F136" s="3538">
        <v>311</v>
      </c>
      <c r="G136" s="141">
        <v>103638</v>
      </c>
      <c r="H136" s="3665">
        <f t="shared" si="1"/>
        <v>103949</v>
      </c>
      <c r="I136" s="141">
        <v>10583</v>
      </c>
      <c r="J136" s="2774">
        <v>18190</v>
      </c>
      <c r="K136" s="141">
        <v>93750</v>
      </c>
      <c r="L136" s="223">
        <v>17401</v>
      </c>
      <c r="M136" s="3664">
        <v>0</v>
      </c>
      <c r="N136" s="318">
        <v>94058</v>
      </c>
      <c r="O136" s="166"/>
    </row>
    <row r="137" spans="1:15">
      <c r="A137" s="972">
        <v>2003.08</v>
      </c>
      <c r="B137" s="215">
        <v>189969</v>
      </c>
      <c r="C137" s="947">
        <v>44158</v>
      </c>
      <c r="D137" s="3538">
        <v>7575</v>
      </c>
      <c r="E137" s="1434">
        <v>1536</v>
      </c>
      <c r="F137" s="3538">
        <v>162</v>
      </c>
      <c r="G137" s="141">
        <v>108432</v>
      </c>
      <c r="H137" s="3665">
        <f t="shared" si="1"/>
        <v>108594</v>
      </c>
      <c r="I137" s="141">
        <v>9801</v>
      </c>
      <c r="J137" s="2774">
        <v>18305</v>
      </c>
      <c r="K137" s="141">
        <v>97975</v>
      </c>
      <c r="L137" s="223">
        <v>19567</v>
      </c>
      <c r="M137" s="3664">
        <v>0</v>
      </c>
      <c r="N137" s="318">
        <v>98138</v>
      </c>
      <c r="O137" s="166"/>
    </row>
    <row r="138" spans="1:15">
      <c r="A138" s="972">
        <v>2003.09</v>
      </c>
      <c r="B138" s="215">
        <v>197808</v>
      </c>
      <c r="C138" s="947">
        <v>33323</v>
      </c>
      <c r="D138" s="3538">
        <v>6304</v>
      </c>
      <c r="E138" s="1434">
        <v>1270</v>
      </c>
      <c r="F138" s="3538">
        <v>1944</v>
      </c>
      <c r="G138" s="141">
        <v>129876</v>
      </c>
      <c r="H138" s="3665">
        <f t="shared" si="1"/>
        <v>131820</v>
      </c>
      <c r="I138" s="141">
        <v>6667</v>
      </c>
      <c r="J138" s="2774">
        <v>18424</v>
      </c>
      <c r="K138" s="141">
        <v>119404</v>
      </c>
      <c r="L138" s="223">
        <v>18045</v>
      </c>
      <c r="M138" s="3664">
        <v>0</v>
      </c>
      <c r="N138" s="318">
        <v>121349</v>
      </c>
      <c r="O138" s="166"/>
    </row>
    <row r="139" spans="1:15">
      <c r="A139" s="972">
        <v>2003.1</v>
      </c>
      <c r="B139" s="215">
        <v>179005</v>
      </c>
      <c r="C139" s="947">
        <v>17566</v>
      </c>
      <c r="D139" s="3538">
        <v>4737</v>
      </c>
      <c r="E139" s="1434">
        <v>641</v>
      </c>
      <c r="F139" s="3538">
        <v>41</v>
      </c>
      <c r="G139" s="141">
        <v>132642</v>
      </c>
      <c r="H139" s="3665">
        <f t="shared" si="1"/>
        <v>132683</v>
      </c>
      <c r="I139" s="141">
        <v>4359</v>
      </c>
      <c r="J139" s="2774">
        <v>19019</v>
      </c>
      <c r="K139" s="141">
        <v>122588</v>
      </c>
      <c r="L139" s="223">
        <v>15427</v>
      </c>
      <c r="M139" s="3664">
        <v>0</v>
      </c>
      <c r="N139" s="318">
        <v>122634</v>
      </c>
      <c r="O139" s="166"/>
    </row>
    <row r="140" spans="1:15">
      <c r="A140" s="972">
        <v>2003.11</v>
      </c>
      <c r="B140" s="215">
        <v>165677</v>
      </c>
      <c r="C140" s="947">
        <v>14365</v>
      </c>
      <c r="D140" s="3538">
        <v>4460</v>
      </c>
      <c r="E140" s="1434">
        <v>470</v>
      </c>
      <c r="F140" s="3538">
        <v>385</v>
      </c>
      <c r="G140" s="141">
        <v>125344</v>
      </c>
      <c r="H140" s="3665">
        <f t="shared" ref="H140:H203" si="2">F140+G140</f>
        <v>125729</v>
      </c>
      <c r="I140" s="141">
        <v>3064</v>
      </c>
      <c r="J140" s="2774">
        <v>17589</v>
      </c>
      <c r="K140" s="141">
        <v>116012</v>
      </c>
      <c r="L140" s="223">
        <v>14549</v>
      </c>
      <c r="M140" s="3664">
        <v>0</v>
      </c>
      <c r="N140" s="318">
        <v>116110</v>
      </c>
      <c r="O140" s="166"/>
    </row>
    <row r="141" spans="1:15">
      <c r="A141" s="972">
        <v>2003.12</v>
      </c>
      <c r="B141" s="215">
        <v>172152</v>
      </c>
      <c r="C141" s="947">
        <v>12783</v>
      </c>
      <c r="D141" s="3538">
        <v>6513</v>
      </c>
      <c r="E141" s="1434">
        <v>532</v>
      </c>
      <c r="F141" s="3538">
        <v>148</v>
      </c>
      <c r="G141" s="141">
        <v>126170</v>
      </c>
      <c r="H141" s="3665">
        <f t="shared" si="2"/>
        <v>126318</v>
      </c>
      <c r="I141" s="141">
        <v>4546</v>
      </c>
      <c r="J141" s="2774">
        <v>21460</v>
      </c>
      <c r="K141" s="141">
        <v>115381</v>
      </c>
      <c r="L141" s="223">
        <v>17831</v>
      </c>
      <c r="M141" s="3664">
        <v>0</v>
      </c>
      <c r="N141" s="318">
        <v>115532</v>
      </c>
      <c r="O141" s="166"/>
    </row>
    <row r="142" spans="1:15">
      <c r="A142" s="972">
        <v>2004.01</v>
      </c>
      <c r="B142" s="215">
        <v>157353</v>
      </c>
      <c r="C142" s="947">
        <v>11961</v>
      </c>
      <c r="D142" s="3538">
        <v>3421</v>
      </c>
      <c r="E142" s="1434">
        <v>304</v>
      </c>
      <c r="F142" s="3538">
        <v>437</v>
      </c>
      <c r="G142" s="141">
        <v>119930</v>
      </c>
      <c r="H142" s="3665">
        <f t="shared" si="2"/>
        <v>120367</v>
      </c>
      <c r="I142" s="141">
        <v>3118</v>
      </c>
      <c r="J142" s="2774">
        <v>18182</v>
      </c>
      <c r="K142" s="141">
        <v>111283</v>
      </c>
      <c r="L142" s="223">
        <v>12371</v>
      </c>
      <c r="M142" s="3664">
        <v>0</v>
      </c>
      <c r="N142" s="318">
        <v>111721</v>
      </c>
      <c r="O142" s="166"/>
    </row>
    <row r="143" spans="1:15">
      <c r="A143" s="972">
        <v>2004.02</v>
      </c>
      <c r="B143" s="215">
        <v>149895</v>
      </c>
      <c r="C143" s="947">
        <v>11072</v>
      </c>
      <c r="D143" s="3538">
        <v>3733</v>
      </c>
      <c r="E143" s="1434">
        <v>311</v>
      </c>
      <c r="F143" s="3538">
        <v>1380</v>
      </c>
      <c r="G143" s="141">
        <v>112860</v>
      </c>
      <c r="H143" s="3665">
        <f t="shared" si="2"/>
        <v>114240</v>
      </c>
      <c r="I143" s="141">
        <v>2907</v>
      </c>
      <c r="J143" s="2774">
        <v>17632</v>
      </c>
      <c r="K143" s="141">
        <v>102855</v>
      </c>
      <c r="L143" s="223">
        <v>14053</v>
      </c>
      <c r="M143" s="3664">
        <v>0</v>
      </c>
      <c r="N143" s="318">
        <v>104231</v>
      </c>
      <c r="O143" s="166"/>
    </row>
    <row r="144" spans="1:15">
      <c r="A144" s="972">
        <v>2004.03</v>
      </c>
      <c r="B144" s="215">
        <v>161779</v>
      </c>
      <c r="C144" s="947">
        <v>11948</v>
      </c>
      <c r="D144" s="3538">
        <v>5574</v>
      </c>
      <c r="E144" s="1434">
        <v>335</v>
      </c>
      <c r="F144" s="3538">
        <v>1145</v>
      </c>
      <c r="G144" s="141">
        <v>119542</v>
      </c>
      <c r="H144" s="3665">
        <f t="shared" si="2"/>
        <v>120687</v>
      </c>
      <c r="I144" s="141">
        <v>3825</v>
      </c>
      <c r="J144" s="2774">
        <v>19410</v>
      </c>
      <c r="K144" s="141">
        <v>107486</v>
      </c>
      <c r="L144" s="223">
        <v>17965</v>
      </c>
      <c r="M144" s="3664">
        <v>0</v>
      </c>
      <c r="N144" s="318">
        <v>108631</v>
      </c>
      <c r="O144" s="166"/>
    </row>
    <row r="145" spans="1:15">
      <c r="A145" s="972">
        <v>2004.04</v>
      </c>
      <c r="B145" s="215">
        <v>176361</v>
      </c>
      <c r="C145" s="947">
        <v>18952</v>
      </c>
      <c r="D145" s="3538">
        <v>4994</v>
      </c>
      <c r="E145" s="1434">
        <v>433</v>
      </c>
      <c r="F145" s="3538">
        <v>5141</v>
      </c>
      <c r="G145" s="141">
        <v>122919</v>
      </c>
      <c r="H145" s="3665">
        <f t="shared" si="2"/>
        <v>128060</v>
      </c>
      <c r="I145" s="141">
        <v>4316</v>
      </c>
      <c r="J145" s="2774">
        <v>19606</v>
      </c>
      <c r="K145" s="141">
        <v>111794</v>
      </c>
      <c r="L145" s="223">
        <v>16551</v>
      </c>
      <c r="M145" s="3664">
        <v>0</v>
      </c>
      <c r="N145" s="318">
        <v>116936</v>
      </c>
      <c r="O145" s="166"/>
    </row>
    <row r="146" spans="1:15">
      <c r="A146" s="972">
        <v>2004.05</v>
      </c>
      <c r="B146" s="215">
        <v>193485</v>
      </c>
      <c r="C146" s="947">
        <v>45003</v>
      </c>
      <c r="D146" s="3538">
        <v>6942</v>
      </c>
      <c r="E146" s="1434">
        <v>846</v>
      </c>
      <c r="F146" s="3538">
        <v>17</v>
      </c>
      <c r="G146" s="141">
        <v>111751</v>
      </c>
      <c r="H146" s="3665">
        <f t="shared" si="2"/>
        <v>111768</v>
      </c>
      <c r="I146" s="141">
        <v>8566</v>
      </c>
      <c r="J146" s="2774">
        <v>20360</v>
      </c>
      <c r="K146" s="141">
        <v>100021</v>
      </c>
      <c r="L146" s="223">
        <v>19508</v>
      </c>
      <c r="M146" s="3664">
        <v>0</v>
      </c>
      <c r="N146" s="318">
        <v>100048</v>
      </c>
      <c r="O146" s="166"/>
    </row>
    <row r="147" spans="1:15">
      <c r="A147" s="972">
        <v>2004.06</v>
      </c>
      <c r="B147" s="215">
        <v>189349</v>
      </c>
      <c r="C147" s="947">
        <v>45044</v>
      </c>
      <c r="D147" s="3538">
        <v>9920</v>
      </c>
      <c r="E147" s="1434">
        <v>1855</v>
      </c>
      <c r="F147" s="3538">
        <v>94</v>
      </c>
      <c r="G147" s="141">
        <v>102488</v>
      </c>
      <c r="H147" s="3665">
        <f t="shared" si="2"/>
        <v>102582</v>
      </c>
      <c r="I147" s="141">
        <v>10565</v>
      </c>
      <c r="J147" s="2774">
        <v>19383</v>
      </c>
      <c r="K147" s="141">
        <v>89572</v>
      </c>
      <c r="L147" s="223">
        <v>24685</v>
      </c>
      <c r="M147" s="3664">
        <v>0</v>
      </c>
      <c r="N147" s="318">
        <v>89672</v>
      </c>
      <c r="O147" s="166"/>
    </row>
    <row r="148" spans="1:15">
      <c r="A148" s="972">
        <v>2004.07</v>
      </c>
      <c r="B148" s="215">
        <v>189990</v>
      </c>
      <c r="C148" s="947">
        <v>50137</v>
      </c>
      <c r="D148" s="3538">
        <v>7419</v>
      </c>
      <c r="E148" s="1434">
        <v>1453</v>
      </c>
      <c r="F148" s="3538">
        <v>14</v>
      </c>
      <c r="G148" s="141">
        <v>99267</v>
      </c>
      <c r="H148" s="3665">
        <f t="shared" si="2"/>
        <v>99281</v>
      </c>
      <c r="I148" s="141">
        <v>10294</v>
      </c>
      <c r="J148" s="2774">
        <v>21406</v>
      </c>
      <c r="K148" s="141">
        <v>87405</v>
      </c>
      <c r="L148" s="223">
        <v>20731</v>
      </c>
      <c r="M148" s="3664">
        <v>0</v>
      </c>
      <c r="N148" s="318">
        <v>87422</v>
      </c>
      <c r="O148" s="166"/>
    </row>
    <row r="149" spans="1:15">
      <c r="A149" s="972">
        <v>2004.08</v>
      </c>
      <c r="B149" s="215">
        <v>188897</v>
      </c>
      <c r="C149" s="947">
        <v>39673</v>
      </c>
      <c r="D149" s="3538">
        <v>6857</v>
      </c>
      <c r="E149" s="1434">
        <v>1328</v>
      </c>
      <c r="F149" s="3538">
        <v>1296</v>
      </c>
      <c r="G149" s="141">
        <v>109081</v>
      </c>
      <c r="H149" s="3665">
        <f t="shared" si="2"/>
        <v>110377</v>
      </c>
      <c r="I149" s="141">
        <v>9871</v>
      </c>
      <c r="J149" s="2774">
        <v>20791</v>
      </c>
      <c r="K149" s="141">
        <v>97177</v>
      </c>
      <c r="L149" s="223">
        <v>20083</v>
      </c>
      <c r="M149" s="3664">
        <v>0</v>
      </c>
      <c r="N149" s="318">
        <v>98479</v>
      </c>
      <c r="O149" s="166"/>
    </row>
    <row r="150" spans="1:15">
      <c r="A150" s="972">
        <v>2004.09</v>
      </c>
      <c r="B150" s="215">
        <v>193041</v>
      </c>
      <c r="C150" s="947">
        <v>27041</v>
      </c>
      <c r="D150" s="3538">
        <v>6290</v>
      </c>
      <c r="E150" s="1434">
        <v>1046</v>
      </c>
      <c r="F150" s="3538">
        <v>6171</v>
      </c>
      <c r="G150" s="141">
        <v>126415</v>
      </c>
      <c r="H150" s="3665">
        <f t="shared" si="2"/>
        <v>132586</v>
      </c>
      <c r="I150" s="141">
        <v>5530</v>
      </c>
      <c r="J150" s="2774">
        <v>20548</v>
      </c>
      <c r="K150" s="141">
        <v>114796</v>
      </c>
      <c r="L150" s="223">
        <v>18959</v>
      </c>
      <c r="M150" s="3664">
        <v>0</v>
      </c>
      <c r="N150" s="318">
        <v>120963</v>
      </c>
      <c r="O150" s="166"/>
    </row>
    <row r="151" spans="1:15">
      <c r="A151" s="972">
        <v>2004.1</v>
      </c>
      <c r="B151" s="215">
        <v>181072</v>
      </c>
      <c r="C151" s="947">
        <v>18337</v>
      </c>
      <c r="D151" s="3538">
        <v>4702</v>
      </c>
      <c r="E151" s="1434">
        <v>548</v>
      </c>
      <c r="F151" s="3538">
        <v>463</v>
      </c>
      <c r="G151" s="141">
        <v>131165</v>
      </c>
      <c r="H151" s="3665">
        <f t="shared" si="2"/>
        <v>131628</v>
      </c>
      <c r="I151" s="141">
        <v>4463</v>
      </c>
      <c r="J151" s="2774">
        <v>21394</v>
      </c>
      <c r="K151" s="141">
        <v>119846</v>
      </c>
      <c r="L151" s="223">
        <v>16566</v>
      </c>
      <c r="M151" s="3664">
        <v>0</v>
      </c>
      <c r="N151" s="318">
        <v>120312</v>
      </c>
      <c r="O151" s="166"/>
    </row>
    <row r="152" spans="1:15">
      <c r="A152" s="972">
        <v>2004.11</v>
      </c>
      <c r="B152" s="215">
        <v>171426</v>
      </c>
      <c r="C152" s="947">
        <v>14593</v>
      </c>
      <c r="D152" s="3538">
        <v>4338</v>
      </c>
      <c r="E152" s="1434">
        <v>437</v>
      </c>
      <c r="F152" s="3538">
        <v>659</v>
      </c>
      <c r="G152" s="141">
        <v>126943</v>
      </c>
      <c r="H152" s="3665">
        <f t="shared" si="2"/>
        <v>127602</v>
      </c>
      <c r="I152" s="141">
        <v>3982</v>
      </c>
      <c r="J152" s="2774">
        <v>20474</v>
      </c>
      <c r="K152" s="141">
        <v>115449</v>
      </c>
      <c r="L152" s="223">
        <v>16269</v>
      </c>
      <c r="M152" s="3664">
        <v>0</v>
      </c>
      <c r="N152" s="318">
        <v>116108</v>
      </c>
      <c r="O152" s="166"/>
    </row>
    <row r="153" spans="1:15">
      <c r="A153" s="972">
        <v>2004.12</v>
      </c>
      <c r="B153" s="215">
        <v>166369</v>
      </c>
      <c r="C153" s="947">
        <v>14203</v>
      </c>
      <c r="D153" s="3538">
        <v>2958</v>
      </c>
      <c r="E153" s="1434">
        <v>278</v>
      </c>
      <c r="F153" s="3538">
        <v>4731</v>
      </c>
      <c r="G153" s="141">
        <v>119450</v>
      </c>
      <c r="H153" s="3665">
        <f t="shared" si="2"/>
        <v>124181</v>
      </c>
      <c r="I153" s="141">
        <v>3074</v>
      </c>
      <c r="J153" s="2774">
        <v>21675</v>
      </c>
      <c r="K153" s="141">
        <v>109982</v>
      </c>
      <c r="L153" s="223">
        <v>12706</v>
      </c>
      <c r="M153" s="3664">
        <v>0</v>
      </c>
      <c r="N153" s="318">
        <v>114711</v>
      </c>
      <c r="O153" s="166"/>
    </row>
    <row r="154" spans="1:15">
      <c r="A154" s="972">
        <v>2005.01</v>
      </c>
      <c r="B154" s="215">
        <v>188523</v>
      </c>
      <c r="C154" s="947">
        <v>13056</v>
      </c>
      <c r="D154" s="3538">
        <v>3727</v>
      </c>
      <c r="E154" s="1434">
        <v>298</v>
      </c>
      <c r="F154" s="3538">
        <v>26706</v>
      </c>
      <c r="G154" s="141">
        <v>122168</v>
      </c>
      <c r="H154" s="3665">
        <f t="shared" si="2"/>
        <v>148874</v>
      </c>
      <c r="I154" s="141">
        <v>3063</v>
      </c>
      <c r="J154" s="2774">
        <v>19505</v>
      </c>
      <c r="K154" s="141">
        <v>113089</v>
      </c>
      <c r="L154" s="223">
        <v>13105</v>
      </c>
      <c r="M154" s="3664">
        <v>0</v>
      </c>
      <c r="N154" s="318">
        <v>139794</v>
      </c>
      <c r="O154" s="166"/>
    </row>
    <row r="155" spans="1:15">
      <c r="A155" s="972">
        <v>2005.02</v>
      </c>
      <c r="B155" s="215">
        <v>177151</v>
      </c>
      <c r="C155" s="947">
        <v>11905</v>
      </c>
      <c r="D155" s="3538">
        <v>4209</v>
      </c>
      <c r="E155" s="1434">
        <v>291</v>
      </c>
      <c r="F155" s="3538">
        <v>23438</v>
      </c>
      <c r="G155" s="141">
        <v>115707</v>
      </c>
      <c r="H155" s="3665">
        <f t="shared" si="2"/>
        <v>139145</v>
      </c>
      <c r="I155" s="141">
        <v>3170</v>
      </c>
      <c r="J155" s="2774">
        <v>18431</v>
      </c>
      <c r="K155" s="141">
        <v>105583</v>
      </c>
      <c r="L155" s="223">
        <v>14623</v>
      </c>
      <c r="M155" s="3664">
        <v>0</v>
      </c>
      <c r="N155" s="318">
        <v>129022</v>
      </c>
      <c r="O155" s="166"/>
    </row>
    <row r="156" spans="1:15">
      <c r="A156" s="972">
        <v>2005.03</v>
      </c>
      <c r="B156" s="215">
        <v>184818</v>
      </c>
      <c r="C156" s="947">
        <v>14712</v>
      </c>
      <c r="D156" s="3538">
        <v>5810</v>
      </c>
      <c r="E156" s="1434">
        <v>309</v>
      </c>
      <c r="F156" s="3538">
        <v>9468</v>
      </c>
      <c r="G156" s="141">
        <v>129501</v>
      </c>
      <c r="H156" s="3665">
        <f t="shared" si="2"/>
        <v>138969</v>
      </c>
      <c r="I156" s="141">
        <v>4274</v>
      </c>
      <c r="J156" s="2774">
        <v>20744</v>
      </c>
      <c r="K156" s="141">
        <v>117170</v>
      </c>
      <c r="L156" s="223">
        <v>18117</v>
      </c>
      <c r="M156" s="3664">
        <v>0</v>
      </c>
      <c r="N156" s="318">
        <v>126971</v>
      </c>
      <c r="O156" s="166"/>
    </row>
    <row r="157" spans="1:15">
      <c r="A157" s="972">
        <v>2005.04</v>
      </c>
      <c r="B157" s="215">
        <v>210098</v>
      </c>
      <c r="C157" s="947">
        <v>25415</v>
      </c>
      <c r="D157" s="3538">
        <v>4210</v>
      </c>
      <c r="E157" s="1434">
        <v>292</v>
      </c>
      <c r="F157" s="3538">
        <v>21951</v>
      </c>
      <c r="G157" s="141">
        <v>132115</v>
      </c>
      <c r="H157" s="3665">
        <f t="shared" si="2"/>
        <v>154066</v>
      </c>
      <c r="I157" s="141">
        <v>5361</v>
      </c>
      <c r="J157" s="2774">
        <v>20754</v>
      </c>
      <c r="K157" s="141">
        <v>120159</v>
      </c>
      <c r="L157" s="223">
        <v>16455</v>
      </c>
      <c r="M157" s="3664">
        <v>0</v>
      </c>
      <c r="N157" s="318">
        <v>142113</v>
      </c>
      <c r="O157" s="166"/>
    </row>
    <row r="158" spans="1:15">
      <c r="A158" s="972">
        <v>2005.05</v>
      </c>
      <c r="B158" s="215">
        <v>200048</v>
      </c>
      <c r="C158" s="947">
        <v>36350</v>
      </c>
      <c r="D158" s="3538">
        <v>5920</v>
      </c>
      <c r="E158" s="1434">
        <v>762</v>
      </c>
      <c r="F158" s="3538">
        <v>2918</v>
      </c>
      <c r="G158" s="141">
        <v>124027</v>
      </c>
      <c r="H158" s="3665">
        <f t="shared" si="2"/>
        <v>126945</v>
      </c>
      <c r="I158" s="141">
        <v>8827</v>
      </c>
      <c r="J158" s="2774">
        <v>21244</v>
      </c>
      <c r="K158" s="141">
        <v>112263</v>
      </c>
      <c r="L158" s="223">
        <v>18447</v>
      </c>
      <c r="M158" s="3664">
        <v>0</v>
      </c>
      <c r="N158" s="318">
        <v>115180</v>
      </c>
      <c r="O158" s="166"/>
    </row>
    <row r="159" spans="1:15">
      <c r="A159" s="972">
        <v>2005.06</v>
      </c>
      <c r="B159" s="215">
        <v>189458</v>
      </c>
      <c r="C159" s="947">
        <v>38199</v>
      </c>
      <c r="D159" s="3538">
        <v>6717</v>
      </c>
      <c r="E159" s="1434">
        <v>1082</v>
      </c>
      <c r="F159" s="3538">
        <v>133</v>
      </c>
      <c r="G159" s="141">
        <v>112405</v>
      </c>
      <c r="H159" s="3665">
        <f t="shared" si="2"/>
        <v>112538</v>
      </c>
      <c r="I159" s="141">
        <v>10378</v>
      </c>
      <c r="J159" s="2774">
        <v>20544</v>
      </c>
      <c r="K159" s="141">
        <v>100535</v>
      </c>
      <c r="L159" s="223">
        <v>19671</v>
      </c>
      <c r="M159" s="3664">
        <v>0</v>
      </c>
      <c r="N159" s="318">
        <v>100666</v>
      </c>
      <c r="O159" s="166"/>
    </row>
    <row r="160" spans="1:15">
      <c r="A160" s="972">
        <v>2005.07</v>
      </c>
      <c r="B160" s="215">
        <v>190867</v>
      </c>
      <c r="C160" s="947">
        <v>52433</v>
      </c>
      <c r="D160" s="3538">
        <v>7535</v>
      </c>
      <c r="E160" s="1434">
        <v>1431</v>
      </c>
      <c r="F160" s="3538">
        <v>706</v>
      </c>
      <c r="G160" s="141">
        <v>94958</v>
      </c>
      <c r="H160" s="3665">
        <f t="shared" si="2"/>
        <v>95664</v>
      </c>
      <c r="I160" s="141">
        <v>12023</v>
      </c>
      <c r="J160" s="2774">
        <v>21781</v>
      </c>
      <c r="K160" s="141">
        <v>82845</v>
      </c>
      <c r="L160" s="223">
        <v>21079</v>
      </c>
      <c r="M160" s="3664">
        <v>0</v>
      </c>
      <c r="N160" s="318">
        <v>83551</v>
      </c>
      <c r="O160" s="166"/>
    </row>
    <row r="161" spans="1:15">
      <c r="A161" s="972">
        <v>2005.08</v>
      </c>
      <c r="B161" s="215">
        <v>220026</v>
      </c>
      <c r="C161" s="947">
        <v>47316</v>
      </c>
      <c r="D161" s="3538">
        <v>7638</v>
      </c>
      <c r="E161" s="1434">
        <v>1398</v>
      </c>
      <c r="F161" s="3538">
        <v>853</v>
      </c>
      <c r="G161" s="141">
        <v>130168</v>
      </c>
      <c r="H161" s="3665">
        <f t="shared" si="2"/>
        <v>131021</v>
      </c>
      <c r="I161" s="141">
        <v>10906</v>
      </c>
      <c r="J161" s="2774">
        <v>21747</v>
      </c>
      <c r="K161" s="141">
        <v>117639</v>
      </c>
      <c r="L161" s="223">
        <v>21564</v>
      </c>
      <c r="M161" s="3664">
        <v>0</v>
      </c>
      <c r="N161" s="318">
        <v>118493</v>
      </c>
      <c r="O161" s="166"/>
    </row>
    <row r="162" spans="1:15">
      <c r="A162" s="972">
        <v>2005.09</v>
      </c>
      <c r="B162" s="215">
        <v>217192</v>
      </c>
      <c r="C162" s="947">
        <v>43286</v>
      </c>
      <c r="D162" s="3538">
        <v>7668</v>
      </c>
      <c r="E162" s="1434">
        <v>1406</v>
      </c>
      <c r="F162" s="3538">
        <v>320</v>
      </c>
      <c r="G162" s="141">
        <v>134535</v>
      </c>
      <c r="H162" s="3665">
        <f t="shared" si="2"/>
        <v>134855</v>
      </c>
      <c r="I162" s="141">
        <v>9034</v>
      </c>
      <c r="J162" s="2774">
        <v>20943</v>
      </c>
      <c r="K162" s="141">
        <v>121899</v>
      </c>
      <c r="L162" s="223">
        <v>21710</v>
      </c>
      <c r="M162" s="3664">
        <v>0</v>
      </c>
      <c r="N162" s="318">
        <v>122219</v>
      </c>
      <c r="O162" s="166"/>
    </row>
    <row r="163" spans="1:15">
      <c r="A163" s="972">
        <v>2005.1</v>
      </c>
      <c r="B163" s="215">
        <v>203144</v>
      </c>
      <c r="C163" s="947">
        <v>28975</v>
      </c>
      <c r="D163" s="3538">
        <v>6464</v>
      </c>
      <c r="E163" s="1434">
        <v>891</v>
      </c>
      <c r="F163" s="3538">
        <v>1156</v>
      </c>
      <c r="G163" s="141">
        <v>139060</v>
      </c>
      <c r="H163" s="3665">
        <f t="shared" si="2"/>
        <v>140216</v>
      </c>
      <c r="I163" s="141">
        <v>5136</v>
      </c>
      <c r="J163" s="2774">
        <v>21462</v>
      </c>
      <c r="K163" s="141">
        <v>128224</v>
      </c>
      <c r="L163" s="223">
        <v>18190</v>
      </c>
      <c r="M163" s="3664">
        <v>0</v>
      </c>
      <c r="N163" s="318">
        <v>129381</v>
      </c>
      <c r="O163" s="166"/>
    </row>
    <row r="164" spans="1:15">
      <c r="A164" s="972">
        <v>2005.11</v>
      </c>
      <c r="B164" s="215">
        <v>180538</v>
      </c>
      <c r="C164" s="947">
        <v>16081</v>
      </c>
      <c r="D164" s="3538">
        <v>4886</v>
      </c>
      <c r="E164" s="1434">
        <v>479</v>
      </c>
      <c r="F164" s="3538">
        <v>5909</v>
      </c>
      <c r="G164" s="141">
        <v>128686</v>
      </c>
      <c r="H164" s="3665">
        <f t="shared" si="2"/>
        <v>134595</v>
      </c>
      <c r="I164" s="141">
        <v>4102</v>
      </c>
      <c r="J164" s="2774">
        <v>20395</v>
      </c>
      <c r="K164" s="141">
        <v>117493</v>
      </c>
      <c r="L164" s="223">
        <v>16563</v>
      </c>
      <c r="M164" s="3664">
        <v>0</v>
      </c>
      <c r="N164" s="318">
        <v>123397</v>
      </c>
      <c r="O164" s="166"/>
    </row>
    <row r="165" spans="1:15">
      <c r="A165" s="972">
        <v>2005.12</v>
      </c>
      <c r="B165" s="215">
        <v>195193</v>
      </c>
      <c r="C165" s="947">
        <v>16449</v>
      </c>
      <c r="D165" s="3538">
        <v>5620</v>
      </c>
      <c r="E165" s="1434">
        <v>445</v>
      </c>
      <c r="F165" s="3538">
        <v>9487</v>
      </c>
      <c r="G165" s="141">
        <v>137944</v>
      </c>
      <c r="H165" s="3665">
        <f t="shared" si="2"/>
        <v>147431</v>
      </c>
      <c r="I165" s="141">
        <v>3838</v>
      </c>
      <c r="J165" s="2774">
        <v>21410</v>
      </c>
      <c r="K165" s="141">
        <v>126623</v>
      </c>
      <c r="L165" s="223">
        <v>17384</v>
      </c>
      <c r="M165" s="3664">
        <v>0</v>
      </c>
      <c r="N165" s="318">
        <v>136112</v>
      </c>
      <c r="O165" s="166"/>
    </row>
    <row r="166" spans="1:15">
      <c r="A166" s="972">
        <v>2006.01</v>
      </c>
      <c r="B166" s="215">
        <v>177681</v>
      </c>
      <c r="C166" s="947">
        <v>12706</v>
      </c>
      <c r="D166" s="3538">
        <v>3822</v>
      </c>
      <c r="E166" s="1434">
        <v>284</v>
      </c>
      <c r="F166" s="3538">
        <v>802</v>
      </c>
      <c r="G166" s="141">
        <v>137516</v>
      </c>
      <c r="H166" s="3665">
        <f t="shared" si="2"/>
        <v>138318</v>
      </c>
      <c r="I166" s="141">
        <v>3208</v>
      </c>
      <c r="J166" s="2774">
        <v>19343</v>
      </c>
      <c r="K166" s="141">
        <v>127942</v>
      </c>
      <c r="L166" s="223">
        <v>13680</v>
      </c>
      <c r="M166" s="3664">
        <v>0</v>
      </c>
      <c r="N166" s="318">
        <v>128744</v>
      </c>
      <c r="O166" s="166"/>
    </row>
    <row r="167" spans="1:15">
      <c r="A167" s="972">
        <v>2006.02</v>
      </c>
      <c r="B167" s="215">
        <v>160328</v>
      </c>
      <c r="C167" s="947">
        <v>12100</v>
      </c>
      <c r="D167" s="3538">
        <v>3642</v>
      </c>
      <c r="E167" s="1434">
        <v>250</v>
      </c>
      <c r="F167" s="3538">
        <v>1474</v>
      </c>
      <c r="G167" s="141">
        <v>121471</v>
      </c>
      <c r="H167" s="3665">
        <f t="shared" si="2"/>
        <v>122945</v>
      </c>
      <c r="I167" s="141">
        <v>3324</v>
      </c>
      <c r="J167" s="2774">
        <v>18067</v>
      </c>
      <c r="K167" s="141">
        <v>111236</v>
      </c>
      <c r="L167" s="223">
        <v>14126</v>
      </c>
      <c r="M167" s="3664">
        <v>0</v>
      </c>
      <c r="N167" s="318">
        <v>112711</v>
      </c>
      <c r="O167" s="166"/>
    </row>
    <row r="168" spans="1:15">
      <c r="A168" s="972">
        <v>2006.03</v>
      </c>
      <c r="B168" s="215">
        <v>194006</v>
      </c>
      <c r="C168" s="947">
        <v>15629</v>
      </c>
      <c r="D168" s="3538">
        <v>5788</v>
      </c>
      <c r="E168" s="1434">
        <v>316</v>
      </c>
      <c r="F168" s="3538">
        <v>2276</v>
      </c>
      <c r="G168" s="141">
        <v>144749</v>
      </c>
      <c r="H168" s="3665">
        <f t="shared" si="2"/>
        <v>147025</v>
      </c>
      <c r="I168" s="141">
        <v>4683</v>
      </c>
      <c r="J168" s="2774">
        <v>20565</v>
      </c>
      <c r="K168" s="141">
        <v>128775</v>
      </c>
      <c r="L168" s="223">
        <v>22075</v>
      </c>
      <c r="M168" s="3664">
        <v>87</v>
      </c>
      <c r="N168" s="318">
        <v>130967</v>
      </c>
      <c r="O168" s="166"/>
    </row>
    <row r="169" spans="1:15">
      <c r="A169" s="972">
        <v>2006.04</v>
      </c>
      <c r="B169" s="215">
        <v>199441</v>
      </c>
      <c r="C169" s="947">
        <v>20316</v>
      </c>
      <c r="D169" s="3538">
        <v>4893</v>
      </c>
      <c r="E169" s="1434">
        <v>244</v>
      </c>
      <c r="F169" s="3538">
        <v>2003</v>
      </c>
      <c r="G169" s="141">
        <v>147323</v>
      </c>
      <c r="H169" s="3665">
        <f t="shared" si="2"/>
        <v>149326</v>
      </c>
      <c r="I169" s="141">
        <v>4709</v>
      </c>
      <c r="J169" s="2774">
        <v>19953</v>
      </c>
      <c r="K169" s="141">
        <v>137120</v>
      </c>
      <c r="L169" s="223">
        <v>15340</v>
      </c>
      <c r="M169" s="3664">
        <v>60</v>
      </c>
      <c r="N169" s="318">
        <v>139063</v>
      </c>
      <c r="O169" s="166"/>
    </row>
    <row r="170" spans="1:15">
      <c r="A170" s="972">
        <v>2006.05</v>
      </c>
      <c r="B170" s="215">
        <v>233926</v>
      </c>
      <c r="C170" s="947">
        <v>50258</v>
      </c>
      <c r="D170" s="3538">
        <v>5757</v>
      </c>
      <c r="E170" s="1434">
        <v>698</v>
      </c>
      <c r="F170" s="3538">
        <v>284</v>
      </c>
      <c r="G170" s="141">
        <v>145596</v>
      </c>
      <c r="H170" s="3665">
        <f t="shared" si="2"/>
        <v>145880</v>
      </c>
      <c r="I170" s="141">
        <v>10295</v>
      </c>
      <c r="J170" s="2774">
        <v>21038</v>
      </c>
      <c r="K170" s="141">
        <v>133283</v>
      </c>
      <c r="L170" s="223">
        <v>18769</v>
      </c>
      <c r="M170" s="3664">
        <v>14</v>
      </c>
      <c r="N170" s="318">
        <v>133552</v>
      </c>
      <c r="O170" s="166"/>
    </row>
    <row r="171" spans="1:15">
      <c r="A171" s="972">
        <v>2006.06</v>
      </c>
      <c r="B171" s="215">
        <v>222147</v>
      </c>
      <c r="C171" s="947">
        <v>46535</v>
      </c>
      <c r="D171" s="3538">
        <v>7201</v>
      </c>
      <c r="E171" s="1434">
        <v>1195</v>
      </c>
      <c r="F171" s="3538">
        <v>163</v>
      </c>
      <c r="G171" s="141">
        <v>135203</v>
      </c>
      <c r="H171" s="3665">
        <f t="shared" si="2"/>
        <v>135366</v>
      </c>
      <c r="I171" s="141">
        <v>12520</v>
      </c>
      <c r="J171" s="2774">
        <v>19330</v>
      </c>
      <c r="K171" s="141">
        <v>122734</v>
      </c>
      <c r="L171" s="223">
        <v>20865</v>
      </c>
      <c r="M171" s="3664">
        <v>12</v>
      </c>
      <c r="N171" s="318">
        <v>122885</v>
      </c>
      <c r="O171" s="166"/>
    </row>
    <row r="172" spans="1:15">
      <c r="A172" s="972">
        <v>2006.07</v>
      </c>
      <c r="B172" s="215">
        <v>227805</v>
      </c>
      <c r="C172" s="947">
        <v>46089</v>
      </c>
      <c r="D172" s="3538">
        <v>7508</v>
      </c>
      <c r="E172" s="1434">
        <v>1388</v>
      </c>
      <c r="F172" s="3538">
        <v>788</v>
      </c>
      <c r="G172" s="141">
        <v>140220</v>
      </c>
      <c r="H172" s="3665">
        <f t="shared" si="2"/>
        <v>141008</v>
      </c>
      <c r="I172" s="141">
        <v>11246</v>
      </c>
      <c r="J172" s="2774">
        <v>20566</v>
      </c>
      <c r="K172" s="141">
        <v>127573</v>
      </c>
      <c r="L172" s="223">
        <v>21544</v>
      </c>
      <c r="M172" s="3664">
        <v>25</v>
      </c>
      <c r="N172" s="318">
        <v>128335</v>
      </c>
      <c r="O172" s="166"/>
    </row>
    <row r="173" spans="1:15">
      <c r="A173" s="972">
        <v>2006.08</v>
      </c>
      <c r="B173" s="215">
        <v>228156</v>
      </c>
      <c r="C173" s="947">
        <v>57260</v>
      </c>
      <c r="D173" s="3538">
        <v>8247</v>
      </c>
      <c r="E173" s="1434">
        <v>1461</v>
      </c>
      <c r="F173" s="3538">
        <v>299</v>
      </c>
      <c r="G173" s="141">
        <v>126648</v>
      </c>
      <c r="H173" s="3665">
        <f t="shared" si="2"/>
        <v>126947</v>
      </c>
      <c r="I173" s="141">
        <v>13203</v>
      </c>
      <c r="J173" s="2774">
        <v>21038</v>
      </c>
      <c r="K173" s="141">
        <v>113285</v>
      </c>
      <c r="L173" s="223">
        <v>23070</v>
      </c>
      <c r="M173" s="3664">
        <v>29</v>
      </c>
      <c r="N173" s="318">
        <v>113556</v>
      </c>
      <c r="O173" s="166"/>
    </row>
    <row r="174" spans="1:15">
      <c r="A174" s="972">
        <v>2006.09</v>
      </c>
      <c r="B174" s="215">
        <v>215942</v>
      </c>
      <c r="C174" s="947">
        <v>37045</v>
      </c>
      <c r="D174" s="3538">
        <v>7441</v>
      </c>
      <c r="E174" s="1434">
        <v>1431</v>
      </c>
      <c r="F174" s="3538">
        <v>531</v>
      </c>
      <c r="G174" s="141">
        <v>140633</v>
      </c>
      <c r="H174" s="3665">
        <f t="shared" si="2"/>
        <v>141164</v>
      </c>
      <c r="I174" s="141">
        <v>8815</v>
      </c>
      <c r="J174" s="2774">
        <v>20046</v>
      </c>
      <c r="K174" s="141">
        <v>128098</v>
      </c>
      <c r="L174" s="223">
        <v>21404</v>
      </c>
      <c r="M174" s="3664">
        <v>31</v>
      </c>
      <c r="N174" s="318">
        <v>128601</v>
      </c>
      <c r="O174" s="166"/>
    </row>
    <row r="175" spans="1:15">
      <c r="A175" s="972">
        <v>2006.1</v>
      </c>
      <c r="B175" s="215">
        <v>193729</v>
      </c>
      <c r="C175" s="947">
        <v>15998</v>
      </c>
      <c r="D175" s="3538">
        <v>5086</v>
      </c>
      <c r="E175" s="1434">
        <v>692</v>
      </c>
      <c r="F175" s="3538">
        <v>1288</v>
      </c>
      <c r="G175" s="141">
        <v>145488</v>
      </c>
      <c r="H175" s="3665">
        <f t="shared" si="2"/>
        <v>146776</v>
      </c>
      <c r="I175" s="141">
        <v>5270</v>
      </c>
      <c r="J175" s="2774">
        <v>19907</v>
      </c>
      <c r="K175" s="141">
        <v>133876</v>
      </c>
      <c r="L175" s="223">
        <v>17625</v>
      </c>
      <c r="M175" s="3538">
        <v>56</v>
      </c>
      <c r="N175" s="318">
        <v>134873</v>
      </c>
      <c r="O175" s="166"/>
    </row>
    <row r="176" spans="1:15">
      <c r="A176" s="972">
        <v>2006.11</v>
      </c>
      <c r="B176" s="215">
        <v>188490</v>
      </c>
      <c r="C176" s="947">
        <v>15188</v>
      </c>
      <c r="D176" s="3538">
        <v>4570</v>
      </c>
      <c r="E176" s="1434">
        <v>443</v>
      </c>
      <c r="F176" s="3538">
        <v>3777</v>
      </c>
      <c r="G176" s="141">
        <v>139812</v>
      </c>
      <c r="H176" s="3665">
        <f t="shared" si="2"/>
        <v>143589</v>
      </c>
      <c r="I176" s="141">
        <v>5134</v>
      </c>
      <c r="J176" s="2774">
        <v>19566</v>
      </c>
      <c r="K176" s="141">
        <v>127836</v>
      </c>
      <c r="L176" s="223">
        <v>16992</v>
      </c>
      <c r="M176" s="3538">
        <v>62</v>
      </c>
      <c r="N176" s="318">
        <v>131548</v>
      </c>
      <c r="O176" s="166"/>
    </row>
    <row r="177" spans="1:15">
      <c r="A177" s="972">
        <v>2006.12</v>
      </c>
      <c r="B177" s="215">
        <v>189650</v>
      </c>
      <c r="C177" s="947">
        <v>12700</v>
      </c>
      <c r="D177" s="3538">
        <v>2984</v>
      </c>
      <c r="E177" s="1434">
        <v>293</v>
      </c>
      <c r="F177" s="3538">
        <v>8035</v>
      </c>
      <c r="G177" s="141">
        <v>141748</v>
      </c>
      <c r="H177" s="3665">
        <f t="shared" si="2"/>
        <v>149783</v>
      </c>
      <c r="I177" s="141">
        <v>4211</v>
      </c>
      <c r="J177" s="2774">
        <v>19679</v>
      </c>
      <c r="K177" s="141">
        <v>131328</v>
      </c>
      <c r="L177" s="223">
        <v>13697</v>
      </c>
      <c r="M177" s="3538">
        <v>54</v>
      </c>
      <c r="N177" s="318">
        <v>139309</v>
      </c>
      <c r="O177" s="166"/>
    </row>
    <row r="178" spans="1:15">
      <c r="A178" s="972">
        <v>2007.01</v>
      </c>
      <c r="B178" s="215">
        <v>185254</v>
      </c>
      <c r="C178" s="947">
        <v>12842</v>
      </c>
      <c r="D178" s="3538">
        <v>3932</v>
      </c>
      <c r="E178" s="1434">
        <v>292</v>
      </c>
      <c r="F178" s="3538">
        <v>4288</v>
      </c>
      <c r="G178" s="141">
        <v>140878</v>
      </c>
      <c r="H178" s="3665">
        <f t="shared" si="2"/>
        <v>145166</v>
      </c>
      <c r="I178" s="141">
        <v>4216</v>
      </c>
      <c r="J178" s="2774">
        <v>18806</v>
      </c>
      <c r="K178" s="141">
        <v>130847</v>
      </c>
      <c r="L178" s="223">
        <v>14257</v>
      </c>
      <c r="M178" s="3538">
        <v>61</v>
      </c>
      <c r="N178" s="318">
        <v>135072</v>
      </c>
      <c r="O178" s="166"/>
    </row>
    <row r="179" spans="1:15">
      <c r="A179" s="972">
        <v>2007.02</v>
      </c>
      <c r="B179" s="215">
        <v>164753</v>
      </c>
      <c r="C179" s="947">
        <v>12308</v>
      </c>
      <c r="D179" s="3538">
        <v>4239</v>
      </c>
      <c r="E179" s="1434">
        <v>293</v>
      </c>
      <c r="F179" s="3538">
        <v>2290</v>
      </c>
      <c r="G179" s="141">
        <v>124174</v>
      </c>
      <c r="H179" s="3665">
        <f t="shared" si="2"/>
        <v>126464</v>
      </c>
      <c r="I179" s="141">
        <v>4099</v>
      </c>
      <c r="J179" s="2774">
        <v>17350</v>
      </c>
      <c r="K179" s="141">
        <v>112852</v>
      </c>
      <c r="L179" s="223">
        <v>15855</v>
      </c>
      <c r="M179" s="3538">
        <v>66</v>
      </c>
      <c r="N179" s="318">
        <v>115075</v>
      </c>
      <c r="O179" s="166"/>
    </row>
    <row r="180" spans="1:15">
      <c r="A180" s="972">
        <v>2007.03</v>
      </c>
      <c r="B180" s="215">
        <v>194550</v>
      </c>
      <c r="C180" s="947">
        <v>13098</v>
      </c>
      <c r="D180" s="3538">
        <v>5955</v>
      </c>
      <c r="E180" s="1434">
        <v>305</v>
      </c>
      <c r="F180" s="3538">
        <v>2490</v>
      </c>
      <c r="G180" s="141">
        <v>148220</v>
      </c>
      <c r="H180" s="3665">
        <f t="shared" si="2"/>
        <v>150710</v>
      </c>
      <c r="I180" s="141">
        <v>5479</v>
      </c>
      <c r="J180" s="2774">
        <v>19003</v>
      </c>
      <c r="K180" s="141">
        <v>135813</v>
      </c>
      <c r="L180" s="223">
        <v>18668</v>
      </c>
      <c r="M180" s="3538">
        <v>111</v>
      </c>
      <c r="N180" s="318">
        <v>138191</v>
      </c>
      <c r="O180" s="166"/>
    </row>
    <row r="181" spans="1:15">
      <c r="A181" s="972">
        <v>2007.04</v>
      </c>
      <c r="B181" s="215">
        <v>206804</v>
      </c>
      <c r="C181" s="947">
        <v>21739</v>
      </c>
      <c r="D181" s="3538">
        <v>6867</v>
      </c>
      <c r="E181" s="1434">
        <v>368</v>
      </c>
      <c r="F181" s="3538">
        <v>2854</v>
      </c>
      <c r="G181" s="141">
        <v>150490</v>
      </c>
      <c r="H181" s="3665">
        <f t="shared" si="2"/>
        <v>153344</v>
      </c>
      <c r="I181" s="141">
        <v>6172</v>
      </c>
      <c r="J181" s="2774">
        <v>18314</v>
      </c>
      <c r="K181" s="141">
        <v>139309</v>
      </c>
      <c r="L181" s="223">
        <v>18415</v>
      </c>
      <c r="M181" s="3538">
        <v>155</v>
      </c>
      <c r="N181" s="318">
        <v>142009</v>
      </c>
      <c r="O181" s="166"/>
    </row>
    <row r="182" spans="1:15">
      <c r="A182" s="972">
        <v>2007.05</v>
      </c>
      <c r="B182" s="215">
        <v>238789</v>
      </c>
      <c r="C182" s="947">
        <v>61283</v>
      </c>
      <c r="D182" s="3538">
        <v>8003</v>
      </c>
      <c r="E182" s="1434">
        <v>869</v>
      </c>
      <c r="F182" s="3538">
        <v>432</v>
      </c>
      <c r="G182" s="141">
        <v>134506</v>
      </c>
      <c r="H182" s="3665">
        <f t="shared" si="2"/>
        <v>134938</v>
      </c>
      <c r="I182" s="141">
        <v>13803</v>
      </c>
      <c r="J182" s="2774">
        <v>19893</v>
      </c>
      <c r="K182" s="141">
        <v>120537</v>
      </c>
      <c r="L182" s="223">
        <v>22841</v>
      </c>
      <c r="M182" s="3538">
        <v>79</v>
      </c>
      <c r="N182" s="318">
        <v>120890</v>
      </c>
      <c r="O182" s="166"/>
    </row>
    <row r="183" spans="1:15">
      <c r="A183" s="972">
        <v>2007.06</v>
      </c>
      <c r="B183" s="215">
        <v>212484</v>
      </c>
      <c r="C183" s="947">
        <v>70914</v>
      </c>
      <c r="D183" s="3538">
        <v>8899</v>
      </c>
      <c r="E183" s="1434">
        <v>1547</v>
      </c>
      <c r="F183" s="3538">
        <v>31</v>
      </c>
      <c r="G183" s="141">
        <v>95769</v>
      </c>
      <c r="H183" s="3665">
        <f t="shared" si="2"/>
        <v>95800</v>
      </c>
      <c r="I183" s="141">
        <v>16595</v>
      </c>
      <c r="J183" s="2774">
        <v>18729</v>
      </c>
      <c r="K183" s="141">
        <v>82556</v>
      </c>
      <c r="L183" s="223">
        <v>23659</v>
      </c>
      <c r="M183" s="3538">
        <v>59</v>
      </c>
      <c r="N183" s="318">
        <v>82528</v>
      </c>
      <c r="O183" s="166"/>
    </row>
    <row r="184" spans="1:15">
      <c r="A184" s="972">
        <v>2007.07</v>
      </c>
      <c r="B184" s="215">
        <v>228112</v>
      </c>
      <c r="C184" s="947">
        <v>85054</v>
      </c>
      <c r="D184" s="3538">
        <v>10851</v>
      </c>
      <c r="E184" s="1434">
        <v>2123</v>
      </c>
      <c r="F184" s="3538">
        <v>4</v>
      </c>
      <c r="G184" s="141">
        <v>92571</v>
      </c>
      <c r="H184" s="3665">
        <f t="shared" si="2"/>
        <v>92575</v>
      </c>
      <c r="I184" s="141">
        <v>19391</v>
      </c>
      <c r="J184" s="2774">
        <v>18118</v>
      </c>
      <c r="K184" s="141">
        <v>78241</v>
      </c>
      <c r="L184" s="223">
        <v>27304</v>
      </c>
      <c r="M184" s="3538">
        <v>49</v>
      </c>
      <c r="N184" s="318">
        <v>78196</v>
      </c>
      <c r="O184" s="166"/>
    </row>
    <row r="185" spans="1:15">
      <c r="A185" s="972">
        <v>2007.08</v>
      </c>
      <c r="B185" s="215">
        <v>218689</v>
      </c>
      <c r="C185" s="947">
        <v>76436</v>
      </c>
      <c r="D185" s="3538">
        <v>11167</v>
      </c>
      <c r="E185" s="1434">
        <v>2224</v>
      </c>
      <c r="F185" s="3538">
        <v>4</v>
      </c>
      <c r="G185" s="141">
        <v>90093</v>
      </c>
      <c r="H185" s="3665">
        <f t="shared" si="2"/>
        <v>90097</v>
      </c>
      <c r="I185" s="141">
        <v>18956</v>
      </c>
      <c r="J185" s="2774">
        <v>19809</v>
      </c>
      <c r="K185" s="141">
        <v>75258</v>
      </c>
      <c r="L185" s="223">
        <v>28227</v>
      </c>
      <c r="M185" s="3538">
        <v>48</v>
      </c>
      <c r="N185" s="318">
        <v>75213</v>
      </c>
      <c r="O185" s="166"/>
    </row>
    <row r="186" spans="1:15">
      <c r="A186" s="972">
        <v>2007.09</v>
      </c>
      <c r="B186" s="215">
        <v>178039</v>
      </c>
      <c r="C186" s="947">
        <v>38444</v>
      </c>
      <c r="D186" s="3538">
        <v>8411</v>
      </c>
      <c r="E186" s="1434">
        <v>1577</v>
      </c>
      <c r="F186" s="3538">
        <v>1241</v>
      </c>
      <c r="G186" s="141">
        <v>100959</v>
      </c>
      <c r="H186" s="3665">
        <f t="shared" si="2"/>
        <v>102200</v>
      </c>
      <c r="I186" s="141">
        <v>8897</v>
      </c>
      <c r="J186" s="2774">
        <v>18510</v>
      </c>
      <c r="K186" s="141">
        <v>88543</v>
      </c>
      <c r="L186" s="223">
        <v>22403</v>
      </c>
      <c r="M186" s="3538">
        <v>62</v>
      </c>
      <c r="N186" s="318">
        <v>89723</v>
      </c>
      <c r="O186" s="166"/>
    </row>
    <row r="187" spans="1:15">
      <c r="A187" s="972">
        <v>2007.1</v>
      </c>
      <c r="B187" s="215">
        <v>204872</v>
      </c>
      <c r="C187" s="947">
        <v>24180</v>
      </c>
      <c r="D187" s="3538">
        <v>6028</v>
      </c>
      <c r="E187" s="1434">
        <v>826</v>
      </c>
      <c r="F187" s="3538">
        <v>1451</v>
      </c>
      <c r="G187" s="141">
        <v>147056</v>
      </c>
      <c r="H187" s="3665">
        <f t="shared" si="2"/>
        <v>148507</v>
      </c>
      <c r="I187" s="141">
        <v>6143</v>
      </c>
      <c r="J187" s="2774">
        <v>19188</v>
      </c>
      <c r="K187" s="141">
        <v>133986</v>
      </c>
      <c r="L187" s="223">
        <v>19924</v>
      </c>
      <c r="M187" s="3538">
        <v>115</v>
      </c>
      <c r="N187" s="318">
        <v>135322</v>
      </c>
      <c r="O187" s="166"/>
    </row>
    <row r="188" spans="1:15">
      <c r="A188" s="972">
        <v>2007.11</v>
      </c>
      <c r="B188" s="215">
        <v>210683</v>
      </c>
      <c r="C188" s="947">
        <v>22103</v>
      </c>
      <c r="D188" s="3538">
        <v>5828</v>
      </c>
      <c r="E188" s="1434">
        <v>587</v>
      </c>
      <c r="F188" s="3538">
        <v>2736</v>
      </c>
      <c r="G188" s="141">
        <v>155817</v>
      </c>
      <c r="H188" s="3665">
        <f t="shared" si="2"/>
        <v>158553</v>
      </c>
      <c r="I188" s="141">
        <v>5038</v>
      </c>
      <c r="J188" s="2774">
        <v>18574</v>
      </c>
      <c r="K188" s="141">
        <v>143171</v>
      </c>
      <c r="L188" s="223">
        <v>19061</v>
      </c>
      <c r="M188" s="3538">
        <v>90</v>
      </c>
      <c r="N188" s="318">
        <v>145817</v>
      </c>
      <c r="O188" s="166"/>
    </row>
    <row r="189" spans="1:15">
      <c r="A189" s="972">
        <v>2007.12</v>
      </c>
      <c r="B189" s="215">
        <v>213290</v>
      </c>
      <c r="C189" s="947">
        <v>12764</v>
      </c>
      <c r="D189" s="3538">
        <v>5285</v>
      </c>
      <c r="E189" s="1434">
        <v>417</v>
      </c>
      <c r="F189" s="3538">
        <v>6017</v>
      </c>
      <c r="G189" s="141">
        <v>165648</v>
      </c>
      <c r="H189" s="3665">
        <f t="shared" si="2"/>
        <v>171665</v>
      </c>
      <c r="I189" s="141">
        <v>4187</v>
      </c>
      <c r="J189" s="2774">
        <v>18972</v>
      </c>
      <c r="K189" s="141">
        <v>154489</v>
      </c>
      <c r="L189" s="223">
        <v>16862</v>
      </c>
      <c r="M189" s="3538">
        <v>73</v>
      </c>
      <c r="N189" s="318">
        <v>160432</v>
      </c>
      <c r="O189" s="166"/>
    </row>
    <row r="190" spans="1:15">
      <c r="A190" s="972">
        <f t="shared" ref="A190:A253" si="3">A178+1</f>
        <v>2008.01</v>
      </c>
      <c r="B190" s="215">
        <v>201338</v>
      </c>
      <c r="C190" s="947">
        <v>14260</v>
      </c>
      <c r="D190" s="3538">
        <v>4181</v>
      </c>
      <c r="E190" s="1434">
        <v>332</v>
      </c>
      <c r="F190" s="3538">
        <v>7369</v>
      </c>
      <c r="G190" s="141">
        <v>153630</v>
      </c>
      <c r="H190" s="3665">
        <f t="shared" si="2"/>
        <v>160999</v>
      </c>
      <c r="I190" s="141">
        <v>4296</v>
      </c>
      <c r="J190" s="2774">
        <v>17270</v>
      </c>
      <c r="K190" s="141">
        <v>142749</v>
      </c>
      <c r="L190" s="223">
        <v>15395</v>
      </c>
      <c r="M190" s="3538">
        <v>74</v>
      </c>
      <c r="N190" s="318">
        <v>150043</v>
      </c>
      <c r="O190" s="166"/>
    </row>
    <row r="191" spans="1:15">
      <c r="A191" s="972">
        <f t="shared" si="3"/>
        <v>2008.02</v>
      </c>
      <c r="B191" s="215">
        <v>190084</v>
      </c>
      <c r="C191" s="947">
        <v>12698</v>
      </c>
      <c r="D191" s="3538">
        <v>4189</v>
      </c>
      <c r="E191" s="1434">
        <v>307</v>
      </c>
      <c r="F191" s="3538">
        <v>18942</v>
      </c>
      <c r="G191" s="141">
        <v>133045</v>
      </c>
      <c r="H191" s="3665">
        <f t="shared" si="2"/>
        <v>151987</v>
      </c>
      <c r="I191" s="141">
        <v>4349</v>
      </c>
      <c r="J191" s="2774">
        <v>16554</v>
      </c>
      <c r="K191" s="141">
        <v>121242</v>
      </c>
      <c r="L191" s="223">
        <v>16293</v>
      </c>
      <c r="M191" s="3538">
        <v>171</v>
      </c>
      <c r="N191" s="318">
        <v>140019</v>
      </c>
      <c r="O191" s="166"/>
    </row>
    <row r="192" spans="1:15">
      <c r="A192" s="972">
        <f t="shared" si="3"/>
        <v>2008.03</v>
      </c>
      <c r="B192" s="215">
        <v>180658</v>
      </c>
      <c r="C192" s="947">
        <v>13497</v>
      </c>
      <c r="D192" s="3538">
        <v>6445</v>
      </c>
      <c r="E192" s="1434">
        <v>313</v>
      </c>
      <c r="F192" s="3538">
        <v>5966</v>
      </c>
      <c r="G192" s="141">
        <v>131707</v>
      </c>
      <c r="H192" s="3665">
        <f t="shared" si="2"/>
        <v>137673</v>
      </c>
      <c r="I192" s="141">
        <v>5176</v>
      </c>
      <c r="J192" s="2774">
        <v>17554</v>
      </c>
      <c r="K192" s="141">
        <v>119982</v>
      </c>
      <c r="L192" s="223">
        <v>18327</v>
      </c>
      <c r="M192" s="3538">
        <v>373</v>
      </c>
      <c r="N192" s="318">
        <v>125731</v>
      </c>
      <c r="O192" s="166"/>
    </row>
    <row r="193" spans="1:15">
      <c r="A193" s="972">
        <f t="shared" si="3"/>
        <v>2008.04</v>
      </c>
      <c r="B193" s="215">
        <v>206361</v>
      </c>
      <c r="C193" s="947">
        <v>24124</v>
      </c>
      <c r="D193" s="3538">
        <v>4835</v>
      </c>
      <c r="E193" s="1434">
        <v>452</v>
      </c>
      <c r="F193" s="3538">
        <v>3923</v>
      </c>
      <c r="G193" s="141">
        <v>149094</v>
      </c>
      <c r="H193" s="3665">
        <f t="shared" si="2"/>
        <v>153017</v>
      </c>
      <c r="I193" s="141">
        <v>6632</v>
      </c>
      <c r="J193" s="2774">
        <v>17301</v>
      </c>
      <c r="K193" s="141">
        <v>135824</v>
      </c>
      <c r="L193" s="223">
        <v>18557</v>
      </c>
      <c r="M193" s="3538">
        <v>167</v>
      </c>
      <c r="N193" s="318">
        <v>139580</v>
      </c>
      <c r="O193" s="166"/>
    </row>
    <row r="194" spans="1:15">
      <c r="A194" s="972">
        <f t="shared" si="3"/>
        <v>2008.05</v>
      </c>
      <c r="B194" s="215">
        <v>213125</v>
      </c>
      <c r="C194" s="947">
        <v>46849</v>
      </c>
      <c r="D194" s="3538">
        <v>5892</v>
      </c>
      <c r="E194" s="1434">
        <v>903</v>
      </c>
      <c r="F194" s="3538">
        <v>1577</v>
      </c>
      <c r="G194" s="141">
        <v>129732</v>
      </c>
      <c r="H194" s="3665">
        <f t="shared" si="2"/>
        <v>131309</v>
      </c>
      <c r="I194" s="141">
        <v>10177</v>
      </c>
      <c r="J194" s="2774">
        <v>17995</v>
      </c>
      <c r="K194" s="141">
        <v>116555</v>
      </c>
      <c r="L194" s="223">
        <v>19782</v>
      </c>
      <c r="M194" s="3538">
        <v>151</v>
      </c>
      <c r="N194" s="318">
        <v>118171</v>
      </c>
      <c r="O194" s="166"/>
    </row>
    <row r="195" spans="1:15">
      <c r="A195" s="972">
        <f t="shared" si="3"/>
        <v>2008.06</v>
      </c>
      <c r="B195" s="215">
        <v>196068</v>
      </c>
      <c r="C195" s="947">
        <v>70097</v>
      </c>
      <c r="D195" s="3538">
        <v>7177</v>
      </c>
      <c r="E195" s="1434">
        <v>1533</v>
      </c>
      <c r="F195" s="3538">
        <v>1022</v>
      </c>
      <c r="G195" s="141">
        <v>81210</v>
      </c>
      <c r="H195" s="3665">
        <f t="shared" si="2"/>
        <v>82232</v>
      </c>
      <c r="I195" s="141">
        <v>17125</v>
      </c>
      <c r="J195" s="2774">
        <v>17904</v>
      </c>
      <c r="K195" s="141">
        <v>68986</v>
      </c>
      <c r="L195" s="223">
        <v>20678</v>
      </c>
      <c r="M195" s="3538">
        <v>126</v>
      </c>
      <c r="N195" s="318">
        <v>70138</v>
      </c>
      <c r="O195" s="166"/>
    </row>
    <row r="196" spans="1:15">
      <c r="A196" s="972">
        <f t="shared" si="3"/>
        <v>2008.07</v>
      </c>
      <c r="B196" s="215">
        <v>208379</v>
      </c>
      <c r="C196" s="947">
        <v>52406</v>
      </c>
      <c r="D196" s="3538">
        <v>9064</v>
      </c>
      <c r="E196" s="1434">
        <v>2044</v>
      </c>
      <c r="F196" s="3538">
        <v>1809</v>
      </c>
      <c r="G196" s="141">
        <v>109371</v>
      </c>
      <c r="H196" s="3665">
        <f t="shared" si="2"/>
        <v>111180</v>
      </c>
      <c r="I196" s="141">
        <v>15125</v>
      </c>
      <c r="J196" s="2774">
        <v>18560</v>
      </c>
      <c r="K196" s="141">
        <v>95131</v>
      </c>
      <c r="L196" s="223">
        <v>25181</v>
      </c>
      <c r="M196" s="3538">
        <v>206</v>
      </c>
      <c r="N196" s="318">
        <v>96901</v>
      </c>
      <c r="O196" s="166"/>
    </row>
    <row r="197" spans="1:15">
      <c r="A197" s="972">
        <f t="shared" si="3"/>
        <v>2008.08</v>
      </c>
      <c r="B197" s="215">
        <v>211076</v>
      </c>
      <c r="C197" s="947">
        <v>57532</v>
      </c>
      <c r="D197" s="3538">
        <v>7992</v>
      </c>
      <c r="E197" s="1434">
        <v>1806</v>
      </c>
      <c r="F197" s="3538">
        <v>521</v>
      </c>
      <c r="G197" s="141">
        <v>109949</v>
      </c>
      <c r="H197" s="3665">
        <f t="shared" si="2"/>
        <v>110470</v>
      </c>
      <c r="I197" s="141">
        <v>14377</v>
      </c>
      <c r="J197" s="2774">
        <v>18899</v>
      </c>
      <c r="K197" s="141">
        <v>97017</v>
      </c>
      <c r="L197" s="223">
        <v>22731</v>
      </c>
      <c r="M197" s="3538">
        <v>192</v>
      </c>
      <c r="N197" s="318">
        <v>97345</v>
      </c>
      <c r="O197" s="166"/>
    </row>
    <row r="198" spans="1:15">
      <c r="A198" s="972">
        <f t="shared" si="3"/>
        <v>2008.09</v>
      </c>
      <c r="B198" s="215">
        <v>211195</v>
      </c>
      <c r="C198" s="947">
        <v>48188</v>
      </c>
      <c r="D198" s="3538">
        <v>7616</v>
      </c>
      <c r="E198" s="1434">
        <v>1797</v>
      </c>
      <c r="F198" s="3538">
        <v>478</v>
      </c>
      <c r="G198" s="141">
        <v>123835</v>
      </c>
      <c r="H198" s="3665">
        <f t="shared" si="2"/>
        <v>124313</v>
      </c>
      <c r="I198" s="141">
        <v>11066</v>
      </c>
      <c r="J198" s="2774">
        <v>18215</v>
      </c>
      <c r="K198" s="141">
        <v>110696</v>
      </c>
      <c r="L198" s="223">
        <v>22553</v>
      </c>
      <c r="M198" s="3538">
        <v>118</v>
      </c>
      <c r="N198" s="318">
        <v>111055</v>
      </c>
      <c r="O198" s="166"/>
    </row>
    <row r="199" spans="1:15">
      <c r="A199" s="972">
        <f t="shared" si="3"/>
        <v>2008.1</v>
      </c>
      <c r="B199" s="215">
        <v>216275</v>
      </c>
      <c r="C199" s="947">
        <v>28169</v>
      </c>
      <c r="D199" s="3538">
        <v>5996</v>
      </c>
      <c r="E199" s="1434">
        <v>1138</v>
      </c>
      <c r="F199" s="3538">
        <v>2159</v>
      </c>
      <c r="G199" s="141">
        <v>153395</v>
      </c>
      <c r="H199" s="3665">
        <f t="shared" si="2"/>
        <v>155554</v>
      </c>
      <c r="I199" s="141">
        <v>6784</v>
      </c>
      <c r="J199" s="2774">
        <v>18634</v>
      </c>
      <c r="K199" s="141">
        <v>141382</v>
      </c>
      <c r="L199" s="223">
        <v>19147</v>
      </c>
      <c r="M199" s="3538">
        <v>167</v>
      </c>
      <c r="N199" s="318">
        <v>143374</v>
      </c>
      <c r="O199" s="166"/>
    </row>
    <row r="200" spans="1:15">
      <c r="A200" s="972">
        <f t="shared" si="3"/>
        <v>2008.11</v>
      </c>
      <c r="B200" s="215">
        <v>194067</v>
      </c>
      <c r="C200" s="947">
        <v>20251</v>
      </c>
      <c r="D200" s="3538">
        <v>4656</v>
      </c>
      <c r="E200" s="1434">
        <v>701</v>
      </c>
      <c r="F200" s="3538">
        <v>11739</v>
      </c>
      <c r="G200" s="141">
        <v>135253</v>
      </c>
      <c r="H200" s="3665">
        <f t="shared" si="2"/>
        <v>146992</v>
      </c>
      <c r="I200" s="141">
        <v>4023</v>
      </c>
      <c r="J200" s="2774">
        <v>17444</v>
      </c>
      <c r="K200" s="141">
        <v>124898</v>
      </c>
      <c r="L200" s="223">
        <v>15714</v>
      </c>
      <c r="M200" s="3538">
        <v>144</v>
      </c>
      <c r="N200" s="318">
        <v>136491</v>
      </c>
      <c r="O200" s="166"/>
    </row>
    <row r="201" spans="1:15">
      <c r="A201" s="972">
        <f t="shared" si="3"/>
        <v>2008.12</v>
      </c>
      <c r="B201" s="215">
        <v>153993</v>
      </c>
      <c r="C201" s="947">
        <v>23945</v>
      </c>
      <c r="D201" s="3538">
        <v>4789</v>
      </c>
      <c r="E201" s="1434">
        <v>616</v>
      </c>
      <c r="F201" s="3538">
        <v>2954</v>
      </c>
      <c r="G201" s="141">
        <v>99216</v>
      </c>
      <c r="H201" s="3665">
        <f t="shared" si="2"/>
        <v>102170</v>
      </c>
      <c r="I201" s="141">
        <v>4512</v>
      </c>
      <c r="J201" s="2774">
        <v>17961</v>
      </c>
      <c r="K201" s="141">
        <v>89738</v>
      </c>
      <c r="L201" s="223">
        <v>14883</v>
      </c>
      <c r="M201" s="3538">
        <v>150</v>
      </c>
      <c r="N201" s="318">
        <v>92542</v>
      </c>
      <c r="O201" s="166"/>
    </row>
    <row r="202" spans="1:15">
      <c r="A202" s="972">
        <f t="shared" si="3"/>
        <v>2009.01</v>
      </c>
      <c r="B202" s="215">
        <v>159411</v>
      </c>
      <c r="C202" s="947">
        <v>15006</v>
      </c>
      <c r="D202" s="3538">
        <v>3880</v>
      </c>
      <c r="E202" s="1434">
        <v>428</v>
      </c>
      <c r="F202" s="3538">
        <v>16083</v>
      </c>
      <c r="G202" s="141">
        <v>103625</v>
      </c>
      <c r="H202" s="3665">
        <f t="shared" si="2"/>
        <v>119708</v>
      </c>
      <c r="I202" s="141">
        <v>3887</v>
      </c>
      <c r="J202" s="2774">
        <v>16502</v>
      </c>
      <c r="K202" s="141">
        <v>94589</v>
      </c>
      <c r="L202" s="223">
        <v>13344</v>
      </c>
      <c r="M202" s="3538">
        <v>113</v>
      </c>
      <c r="N202" s="318">
        <v>110559</v>
      </c>
      <c r="O202" s="166"/>
    </row>
    <row r="203" spans="1:15">
      <c r="A203" s="972">
        <f t="shared" si="3"/>
        <v>2009.02</v>
      </c>
      <c r="B203" s="215">
        <v>164641</v>
      </c>
      <c r="C203" s="947">
        <v>13235</v>
      </c>
      <c r="D203" s="3538">
        <v>3598</v>
      </c>
      <c r="E203" s="1434">
        <v>381</v>
      </c>
      <c r="F203" s="3538">
        <v>13155</v>
      </c>
      <c r="G203" s="141">
        <v>115061</v>
      </c>
      <c r="H203" s="3665">
        <f t="shared" si="2"/>
        <v>128216</v>
      </c>
      <c r="I203" s="141">
        <v>3816</v>
      </c>
      <c r="J203" s="2774">
        <v>15395</v>
      </c>
      <c r="K203" s="141">
        <v>105313</v>
      </c>
      <c r="L203" s="223">
        <v>13727</v>
      </c>
      <c r="M203" s="3538">
        <v>174</v>
      </c>
      <c r="N203" s="318">
        <v>118294</v>
      </c>
      <c r="O203" s="166"/>
    </row>
    <row r="204" spans="1:15">
      <c r="A204" s="972">
        <f t="shared" si="3"/>
        <v>2009.03</v>
      </c>
      <c r="B204" s="215">
        <v>170426</v>
      </c>
      <c r="C204" s="947">
        <v>14078</v>
      </c>
      <c r="D204" s="3538">
        <v>4716</v>
      </c>
      <c r="E204" s="1434">
        <v>415</v>
      </c>
      <c r="F204" s="3538">
        <v>21639</v>
      </c>
      <c r="G204" s="141">
        <v>107658</v>
      </c>
      <c r="H204" s="3665">
        <f t="shared" ref="H204:H209" si="4">F204+G204</f>
        <v>129297</v>
      </c>
      <c r="I204" s="141">
        <v>4782</v>
      </c>
      <c r="J204" s="2774">
        <v>17138</v>
      </c>
      <c r="K204" s="141">
        <v>96238</v>
      </c>
      <c r="L204" s="223">
        <v>16553</v>
      </c>
      <c r="M204" s="3538">
        <v>259</v>
      </c>
      <c r="N204" s="318">
        <v>117616</v>
      </c>
      <c r="O204" s="166"/>
    </row>
    <row r="205" spans="1:15">
      <c r="A205" s="972">
        <f t="shared" si="3"/>
        <v>2009.04</v>
      </c>
      <c r="B205" s="215">
        <v>205342</v>
      </c>
      <c r="C205" s="947">
        <v>16998</v>
      </c>
      <c r="D205" s="3538">
        <v>4303</v>
      </c>
      <c r="E205" s="1434">
        <v>516</v>
      </c>
      <c r="F205" s="3538">
        <v>14753</v>
      </c>
      <c r="G205" s="141">
        <v>146889</v>
      </c>
      <c r="H205" s="3665">
        <f t="shared" si="4"/>
        <v>161642</v>
      </c>
      <c r="I205" s="141">
        <v>4997</v>
      </c>
      <c r="J205" s="2774">
        <v>16886</v>
      </c>
      <c r="K205" s="141">
        <v>135936</v>
      </c>
      <c r="L205" s="223">
        <v>15771</v>
      </c>
      <c r="M205" s="3538">
        <v>265</v>
      </c>
      <c r="N205" s="318">
        <v>150425</v>
      </c>
      <c r="O205" s="166"/>
    </row>
    <row r="206" spans="1:15">
      <c r="A206" s="972">
        <f t="shared" si="3"/>
        <v>2009.05</v>
      </c>
      <c r="B206" s="215">
        <v>210330</v>
      </c>
      <c r="C206" s="947">
        <v>41017</v>
      </c>
      <c r="D206" s="3538">
        <v>4916</v>
      </c>
      <c r="E206" s="1434">
        <v>831</v>
      </c>
      <c r="F206" s="3538">
        <v>838</v>
      </c>
      <c r="G206" s="141">
        <v>137419</v>
      </c>
      <c r="H206" s="3665">
        <f t="shared" si="4"/>
        <v>138257</v>
      </c>
      <c r="I206" s="141">
        <v>7606</v>
      </c>
      <c r="J206" s="2774">
        <v>17703</v>
      </c>
      <c r="K206" s="141">
        <v>126806</v>
      </c>
      <c r="L206" s="223">
        <v>16367</v>
      </c>
      <c r="M206" s="3538">
        <v>266</v>
      </c>
      <c r="N206" s="318">
        <v>127371</v>
      </c>
      <c r="O206" s="166"/>
    </row>
    <row r="207" spans="1:15">
      <c r="A207" s="972">
        <f t="shared" si="3"/>
        <v>2009.06</v>
      </c>
      <c r="B207" s="215">
        <v>241342</v>
      </c>
      <c r="C207" s="947">
        <v>69963</v>
      </c>
      <c r="D207" s="3538">
        <v>6602</v>
      </c>
      <c r="E207" s="1434">
        <v>1782</v>
      </c>
      <c r="F207" s="3538">
        <v>124</v>
      </c>
      <c r="G207" s="141">
        <v>128395</v>
      </c>
      <c r="H207" s="3665">
        <f t="shared" si="4"/>
        <v>128519</v>
      </c>
      <c r="I207" s="141">
        <v>16794</v>
      </c>
      <c r="J207" s="2774">
        <v>17682</v>
      </c>
      <c r="K207" s="141">
        <v>116657</v>
      </c>
      <c r="L207" s="223">
        <v>20122</v>
      </c>
      <c r="M207" s="3538">
        <v>230</v>
      </c>
      <c r="N207" s="318">
        <v>116551</v>
      </c>
      <c r="O207" s="166"/>
    </row>
    <row r="208" spans="1:15">
      <c r="A208" s="972">
        <f t="shared" si="3"/>
        <v>2009.07</v>
      </c>
      <c r="B208" s="215">
        <v>237833</v>
      </c>
      <c r="C208" s="947">
        <v>83068</v>
      </c>
      <c r="D208" s="3538">
        <v>8823</v>
      </c>
      <c r="E208" s="1434">
        <v>2529</v>
      </c>
      <c r="F208" s="3538">
        <v>56</v>
      </c>
      <c r="G208" s="141">
        <v>107712</v>
      </c>
      <c r="H208" s="3665">
        <f t="shared" si="4"/>
        <v>107768</v>
      </c>
      <c r="I208" s="141">
        <v>17985</v>
      </c>
      <c r="J208" s="2774">
        <v>17660</v>
      </c>
      <c r="K208" s="141">
        <v>94721</v>
      </c>
      <c r="L208" s="223">
        <v>24346</v>
      </c>
      <c r="M208" s="3538">
        <v>227</v>
      </c>
      <c r="N208" s="318">
        <v>94547</v>
      </c>
      <c r="O208" s="166"/>
    </row>
    <row r="209" spans="1:15">
      <c r="A209" s="972">
        <f t="shared" si="3"/>
        <v>2009.08</v>
      </c>
      <c r="B209" s="215">
        <v>193456</v>
      </c>
      <c r="C209" s="947">
        <v>50367</v>
      </c>
      <c r="D209" s="3538">
        <v>8414</v>
      </c>
      <c r="E209" s="1434">
        <v>2200</v>
      </c>
      <c r="F209" s="3538">
        <v>351</v>
      </c>
      <c r="G209" s="141">
        <v>101438</v>
      </c>
      <c r="H209" s="3665">
        <f t="shared" si="4"/>
        <v>101789</v>
      </c>
      <c r="I209" s="141">
        <v>12347</v>
      </c>
      <c r="J209" s="2774">
        <v>18339</v>
      </c>
      <c r="K209" s="141">
        <v>89938</v>
      </c>
      <c r="L209" s="223">
        <v>22042</v>
      </c>
      <c r="M209" s="3538">
        <v>271</v>
      </c>
      <c r="N209" s="318">
        <v>90090</v>
      </c>
      <c r="O209" s="166"/>
    </row>
    <row r="210" spans="1:15">
      <c r="A210" s="972">
        <f t="shared" si="3"/>
        <v>2009.09</v>
      </c>
      <c r="B210" s="215">
        <v>209101</v>
      </c>
      <c r="C210" s="947">
        <v>54996</v>
      </c>
      <c r="D210" s="3538">
        <v>7431</v>
      </c>
      <c r="E210" s="1434">
        <v>1799</v>
      </c>
      <c r="F210" s="3538">
        <v>513</v>
      </c>
      <c r="G210" s="141">
        <v>115665</v>
      </c>
      <c r="H210" s="3665">
        <f>F210+G210</f>
        <v>116178</v>
      </c>
      <c r="I210" s="141">
        <v>10560</v>
      </c>
      <c r="J210" s="2774">
        <v>18137</v>
      </c>
      <c r="K210" s="141">
        <v>103475</v>
      </c>
      <c r="L210" s="223">
        <v>21420</v>
      </c>
      <c r="M210" s="3538">
        <v>265</v>
      </c>
      <c r="N210" s="318">
        <v>103723</v>
      </c>
      <c r="O210" s="166"/>
    </row>
    <row r="211" spans="1:15">
      <c r="A211" s="972">
        <f t="shared" si="3"/>
        <v>2009.1</v>
      </c>
      <c r="B211" s="215">
        <v>195592</v>
      </c>
      <c r="C211" s="947">
        <v>27910</v>
      </c>
      <c r="D211" s="3538">
        <v>5955</v>
      </c>
      <c r="E211" s="1434">
        <v>1263</v>
      </c>
      <c r="F211" s="3538">
        <v>357</v>
      </c>
      <c r="G211" s="141">
        <v>134989</v>
      </c>
      <c r="H211" s="3665">
        <f>F211+G211</f>
        <v>135346</v>
      </c>
      <c r="I211" s="141">
        <v>6733</v>
      </c>
      <c r="J211" s="2774">
        <v>18385</v>
      </c>
      <c r="K211" s="141">
        <v>123535</v>
      </c>
      <c r="L211" s="223">
        <v>18674</v>
      </c>
      <c r="M211" s="3538">
        <v>323</v>
      </c>
      <c r="N211" s="318">
        <v>123567</v>
      </c>
      <c r="O211" s="166"/>
    </row>
    <row r="212" spans="1:15">
      <c r="A212" s="972">
        <f t="shared" si="3"/>
        <v>2009.11</v>
      </c>
      <c r="B212" s="215">
        <v>170742</v>
      </c>
      <c r="C212" s="947">
        <v>18453</v>
      </c>
      <c r="D212" s="3538">
        <v>4772</v>
      </c>
      <c r="E212" s="1434">
        <v>745</v>
      </c>
      <c r="F212" s="3538">
        <v>2566</v>
      </c>
      <c r="G212" s="141">
        <v>122645</v>
      </c>
      <c r="H212" s="3665">
        <f>F212+G212</f>
        <v>125211</v>
      </c>
      <c r="I212" s="141">
        <v>4364</v>
      </c>
      <c r="J212" s="2774">
        <v>17197</v>
      </c>
      <c r="K212" s="141">
        <v>112041</v>
      </c>
      <c r="L212" s="223">
        <v>16121</v>
      </c>
      <c r="M212" s="3538">
        <v>342</v>
      </c>
      <c r="N212" s="318">
        <v>114265</v>
      </c>
      <c r="O212" s="166"/>
    </row>
    <row r="213" spans="1:15">
      <c r="A213" s="972">
        <f t="shared" si="3"/>
        <v>2009.12</v>
      </c>
      <c r="B213" s="215">
        <v>174253</v>
      </c>
      <c r="C213" s="947">
        <v>20199</v>
      </c>
      <c r="D213" s="3538">
        <v>3794</v>
      </c>
      <c r="E213" s="1434">
        <v>447</v>
      </c>
      <c r="F213" s="3538">
        <v>1600</v>
      </c>
      <c r="G213" s="141">
        <v>125375</v>
      </c>
      <c r="H213" s="3665">
        <f>F213+G213</f>
        <v>126975</v>
      </c>
      <c r="I213" s="141">
        <v>4428</v>
      </c>
      <c r="J213" s="2774">
        <v>18410</v>
      </c>
      <c r="K213" s="141">
        <v>115492</v>
      </c>
      <c r="L213" s="223">
        <v>14124</v>
      </c>
      <c r="M213" s="3538">
        <v>289</v>
      </c>
      <c r="N213" s="318">
        <v>116803</v>
      </c>
      <c r="O213" s="166"/>
    </row>
    <row r="214" spans="1:15">
      <c r="A214" s="972">
        <f t="shared" si="3"/>
        <v>2010.01</v>
      </c>
      <c r="B214" s="215">
        <v>158367</v>
      </c>
      <c r="C214" s="947">
        <v>15127</v>
      </c>
      <c r="D214" s="3538">
        <v>4187</v>
      </c>
      <c r="E214" s="1434">
        <v>387</v>
      </c>
      <c r="F214" s="3538">
        <v>2750</v>
      </c>
      <c r="G214" s="141">
        <v>115578</v>
      </c>
      <c r="H214" s="3665">
        <f t="shared" ref="H214:H277" si="5">F214+G214</f>
        <v>118328</v>
      </c>
      <c r="I214" s="141">
        <v>3626</v>
      </c>
      <c r="J214" s="2774">
        <v>16712</v>
      </c>
      <c r="K214" s="141">
        <v>107023</v>
      </c>
      <c r="L214" s="223">
        <v>12985</v>
      </c>
      <c r="M214" s="3538">
        <v>427</v>
      </c>
      <c r="N214" s="318">
        <v>109490</v>
      </c>
      <c r="O214" s="166"/>
    </row>
    <row r="215" spans="1:15">
      <c r="A215" s="972">
        <f t="shared" si="3"/>
        <v>2010.02</v>
      </c>
      <c r="B215" s="215">
        <v>150759</v>
      </c>
      <c r="C215" s="947">
        <v>14048</v>
      </c>
      <c r="D215" s="3538">
        <v>3890</v>
      </c>
      <c r="E215" s="1434">
        <v>312</v>
      </c>
      <c r="F215" s="3538">
        <v>4211</v>
      </c>
      <c r="G215" s="141">
        <v>108500</v>
      </c>
      <c r="H215" s="3665">
        <f t="shared" si="5"/>
        <v>112711</v>
      </c>
      <c r="I215" s="141">
        <v>4218</v>
      </c>
      <c r="J215" s="2774">
        <v>15580</v>
      </c>
      <c r="K215" s="141">
        <v>98776</v>
      </c>
      <c r="L215" s="223">
        <v>13781</v>
      </c>
      <c r="M215" s="3538">
        <v>448</v>
      </c>
      <c r="N215" s="318">
        <v>102684</v>
      </c>
      <c r="O215" s="166"/>
    </row>
    <row r="216" spans="1:15">
      <c r="A216" s="972">
        <f t="shared" si="3"/>
        <v>2010.03</v>
      </c>
      <c r="B216" s="215">
        <v>173937</v>
      </c>
      <c r="C216" s="947">
        <v>15415</v>
      </c>
      <c r="D216" s="3538">
        <v>7336</v>
      </c>
      <c r="E216" s="1434">
        <v>426</v>
      </c>
      <c r="F216" s="3538">
        <v>1886</v>
      </c>
      <c r="G216" s="141">
        <v>126269</v>
      </c>
      <c r="H216" s="3665">
        <f t="shared" si="5"/>
        <v>128155</v>
      </c>
      <c r="I216" s="141">
        <v>5066</v>
      </c>
      <c r="J216" s="2774">
        <v>17539</v>
      </c>
      <c r="K216" s="141">
        <v>114314</v>
      </c>
      <c r="L216" s="223">
        <v>19444</v>
      </c>
      <c r="M216" s="3538">
        <v>944</v>
      </c>
      <c r="N216" s="318">
        <v>115529</v>
      </c>
      <c r="O216" s="166"/>
    </row>
    <row r="217" spans="1:15">
      <c r="A217" s="972">
        <f t="shared" si="3"/>
        <v>2010.04</v>
      </c>
      <c r="B217" s="215">
        <v>218270</v>
      </c>
      <c r="C217" s="947">
        <v>26094</v>
      </c>
      <c r="D217" s="3538">
        <v>5017</v>
      </c>
      <c r="E217" s="1434">
        <v>580</v>
      </c>
      <c r="F217" s="3538">
        <v>913</v>
      </c>
      <c r="G217" s="141">
        <v>161621</v>
      </c>
      <c r="H217" s="3665">
        <f>F217+G217</f>
        <v>162534</v>
      </c>
      <c r="I217" s="141">
        <v>6553</v>
      </c>
      <c r="J217" s="2774">
        <v>17492</v>
      </c>
      <c r="K217" s="141">
        <v>150050</v>
      </c>
      <c r="L217" s="223">
        <v>17021</v>
      </c>
      <c r="M217" s="3538">
        <v>501</v>
      </c>
      <c r="N217" s="318">
        <v>150609</v>
      </c>
      <c r="O217" s="166"/>
    </row>
    <row r="218" spans="1:15">
      <c r="A218" s="972">
        <f t="shared" si="3"/>
        <v>2010.05</v>
      </c>
      <c r="B218" s="215">
        <v>251658</v>
      </c>
      <c r="C218" s="947">
        <v>48564</v>
      </c>
      <c r="D218" s="3538">
        <v>6802</v>
      </c>
      <c r="E218" s="1434">
        <v>1099</v>
      </c>
      <c r="F218" s="3538">
        <v>419</v>
      </c>
      <c r="G218" s="141">
        <v>166222</v>
      </c>
      <c r="H218" s="3665">
        <f>F218+G218</f>
        <v>166641</v>
      </c>
      <c r="I218" s="141">
        <v>10467</v>
      </c>
      <c r="J218" s="2774">
        <v>18085</v>
      </c>
      <c r="K218" s="141">
        <v>154928</v>
      </c>
      <c r="L218" s="223">
        <v>19193</v>
      </c>
      <c r="M218" s="3538">
        <v>294</v>
      </c>
      <c r="N218" s="318">
        <v>155055</v>
      </c>
      <c r="O218" s="166"/>
    </row>
    <row r="219" spans="1:15">
      <c r="A219" s="972">
        <f t="shared" si="3"/>
        <v>2010.06</v>
      </c>
      <c r="B219" s="215">
        <v>235434</v>
      </c>
      <c r="C219" s="947">
        <v>65764</v>
      </c>
      <c r="D219" s="3538">
        <v>7546</v>
      </c>
      <c r="E219" s="1434">
        <v>2025</v>
      </c>
      <c r="F219" s="3538">
        <v>58</v>
      </c>
      <c r="G219" s="141">
        <v>124388</v>
      </c>
      <c r="H219" s="3665">
        <f t="shared" si="5"/>
        <v>124446</v>
      </c>
      <c r="I219" s="141">
        <v>17553</v>
      </c>
      <c r="J219" s="2774">
        <v>18100</v>
      </c>
      <c r="K219" s="141">
        <v>112068</v>
      </c>
      <c r="L219" s="223">
        <v>22283</v>
      </c>
      <c r="M219" s="3538">
        <v>390</v>
      </c>
      <c r="N219" s="318">
        <v>111344</v>
      </c>
      <c r="O219" s="166"/>
    </row>
    <row r="220" spans="1:15">
      <c r="A220" s="972">
        <f t="shared" si="3"/>
        <v>2010.07</v>
      </c>
      <c r="B220" s="215">
        <v>220423</v>
      </c>
      <c r="C220" s="947">
        <v>88404</v>
      </c>
      <c r="D220" s="3538">
        <v>9060</v>
      </c>
      <c r="E220" s="1434">
        <v>2325</v>
      </c>
      <c r="F220" s="3538">
        <v>1</v>
      </c>
      <c r="G220" s="141">
        <v>83130</v>
      </c>
      <c r="H220" s="3665">
        <f t="shared" si="5"/>
        <v>83131</v>
      </c>
      <c r="I220" s="141">
        <v>18461</v>
      </c>
      <c r="J220" s="2774">
        <v>19042</v>
      </c>
      <c r="K220" s="141">
        <v>70725</v>
      </c>
      <c r="L220" s="223">
        <v>23751</v>
      </c>
      <c r="M220" s="3538">
        <v>362</v>
      </c>
      <c r="N220" s="318">
        <v>70403</v>
      </c>
      <c r="O220" s="166"/>
    </row>
    <row r="221" spans="1:15">
      <c r="A221" s="972">
        <f t="shared" si="3"/>
        <v>2010.08</v>
      </c>
      <c r="B221" s="215">
        <v>272978</v>
      </c>
      <c r="C221" s="947">
        <v>82656</v>
      </c>
      <c r="D221" s="3538">
        <v>10450</v>
      </c>
      <c r="E221" s="1434">
        <v>2772</v>
      </c>
      <c r="F221" s="3538">
        <v>233</v>
      </c>
      <c r="G221" s="141">
        <v>140206</v>
      </c>
      <c r="H221" s="3665">
        <f t="shared" si="5"/>
        <v>140439</v>
      </c>
      <c r="I221" s="141">
        <v>17578</v>
      </c>
      <c r="J221" s="2774">
        <v>19083</v>
      </c>
      <c r="K221" s="141">
        <v>127073</v>
      </c>
      <c r="L221" s="223">
        <v>26273</v>
      </c>
      <c r="M221" s="3538">
        <v>423</v>
      </c>
      <c r="N221" s="318">
        <v>126965</v>
      </c>
      <c r="O221" s="166"/>
    </row>
    <row r="222" spans="1:15">
      <c r="A222" s="972">
        <f t="shared" si="3"/>
        <v>2010.09</v>
      </c>
      <c r="B222" s="215">
        <v>248855</v>
      </c>
      <c r="C222" s="947">
        <v>54379</v>
      </c>
      <c r="D222" s="3538">
        <v>8728</v>
      </c>
      <c r="E222" s="1434">
        <v>2191</v>
      </c>
      <c r="F222" s="3538">
        <v>644</v>
      </c>
      <c r="G222" s="141">
        <v>153504</v>
      </c>
      <c r="H222" s="3665">
        <f t="shared" si="5"/>
        <v>154148</v>
      </c>
      <c r="I222" s="141">
        <v>10894</v>
      </c>
      <c r="J222" s="2774">
        <v>18515</v>
      </c>
      <c r="K222" s="141">
        <v>141459</v>
      </c>
      <c r="L222" s="223">
        <v>22891</v>
      </c>
      <c r="M222" s="3538">
        <v>380</v>
      </c>
      <c r="N222" s="318">
        <v>141796</v>
      </c>
      <c r="O222" s="166"/>
    </row>
    <row r="223" spans="1:15">
      <c r="A223" s="972">
        <f t="shared" si="3"/>
        <v>2010.1</v>
      </c>
      <c r="B223" s="215">
        <v>226309</v>
      </c>
      <c r="C223" s="947">
        <v>33217</v>
      </c>
      <c r="D223" s="3538">
        <v>6324</v>
      </c>
      <c r="E223" s="1434">
        <v>1194</v>
      </c>
      <c r="F223" s="3538">
        <v>79</v>
      </c>
      <c r="G223" s="141">
        <v>159769</v>
      </c>
      <c r="H223" s="3665">
        <f t="shared" si="5"/>
        <v>159848</v>
      </c>
      <c r="I223" s="141">
        <v>6893</v>
      </c>
      <c r="J223" s="2774">
        <v>18833</v>
      </c>
      <c r="K223" s="141">
        <v>149235</v>
      </c>
      <c r="L223" s="223">
        <v>17946</v>
      </c>
      <c r="M223" s="3538">
        <v>429</v>
      </c>
      <c r="N223" s="318">
        <v>148991</v>
      </c>
      <c r="O223" s="166"/>
    </row>
    <row r="224" spans="1:15">
      <c r="A224" s="972">
        <f t="shared" si="3"/>
        <v>2010.11</v>
      </c>
      <c r="B224" s="215">
        <v>198230</v>
      </c>
      <c r="C224" s="947">
        <v>18946</v>
      </c>
      <c r="D224" s="3538">
        <v>5205</v>
      </c>
      <c r="E224" s="1434">
        <v>777</v>
      </c>
      <c r="F224" s="3538">
        <v>978</v>
      </c>
      <c r="G224" s="141">
        <v>149040</v>
      </c>
      <c r="H224" s="3665">
        <f t="shared" si="5"/>
        <v>150018</v>
      </c>
      <c r="I224" s="141">
        <v>5229</v>
      </c>
      <c r="J224" s="2774">
        <v>18055</v>
      </c>
      <c r="K224" s="141">
        <v>137852</v>
      </c>
      <c r="L224" s="223">
        <v>17036</v>
      </c>
      <c r="M224" s="3538">
        <v>489</v>
      </c>
      <c r="N224" s="318">
        <v>138475</v>
      </c>
      <c r="O224" s="166"/>
    </row>
    <row r="225" spans="1:15">
      <c r="A225" s="972">
        <f t="shared" si="3"/>
        <v>2010.12</v>
      </c>
      <c r="B225" s="215">
        <v>175530</v>
      </c>
      <c r="C225" s="947">
        <v>16210</v>
      </c>
      <c r="D225" s="3538">
        <v>4816</v>
      </c>
      <c r="E225" s="1434">
        <v>517</v>
      </c>
      <c r="F225" s="3538">
        <v>3052</v>
      </c>
      <c r="G225" s="141">
        <v>127757</v>
      </c>
      <c r="H225" s="3665">
        <f t="shared" si="5"/>
        <v>130809</v>
      </c>
      <c r="I225" s="141">
        <v>4236</v>
      </c>
      <c r="J225" s="2774">
        <v>18942</v>
      </c>
      <c r="K225" s="141">
        <v>117686</v>
      </c>
      <c r="L225" s="223">
        <v>15268</v>
      </c>
      <c r="M225" s="3538">
        <v>505</v>
      </c>
      <c r="N225" s="318">
        <v>120369</v>
      </c>
      <c r="O225" s="166"/>
    </row>
    <row r="226" spans="1:15">
      <c r="A226" s="972">
        <f t="shared" si="3"/>
        <v>2011.01</v>
      </c>
      <c r="B226" s="215">
        <v>183280</v>
      </c>
      <c r="C226" s="947">
        <v>15250</v>
      </c>
      <c r="D226" s="3538">
        <v>4311</v>
      </c>
      <c r="E226" s="1434">
        <v>371</v>
      </c>
      <c r="F226" s="3538">
        <v>11653</v>
      </c>
      <c r="G226" s="141">
        <v>130503</v>
      </c>
      <c r="H226" s="3665">
        <f t="shared" si="5"/>
        <v>142156</v>
      </c>
      <c r="I226" s="141">
        <v>3914</v>
      </c>
      <c r="J226" s="2774">
        <v>17278</v>
      </c>
      <c r="K226" s="141">
        <v>121954</v>
      </c>
      <c r="L226" s="223">
        <v>13233</v>
      </c>
      <c r="M226" s="3538">
        <v>380</v>
      </c>
      <c r="N226" s="318">
        <v>133225</v>
      </c>
      <c r="O226" s="166"/>
    </row>
    <row r="227" spans="1:15">
      <c r="A227" s="972">
        <f t="shared" si="3"/>
        <v>2011.02</v>
      </c>
      <c r="B227" s="215">
        <v>161841</v>
      </c>
      <c r="C227" s="947">
        <v>13478</v>
      </c>
      <c r="D227" s="3538">
        <v>4047</v>
      </c>
      <c r="E227" s="1434">
        <v>325</v>
      </c>
      <c r="F227" s="3538">
        <v>1689</v>
      </c>
      <c r="G227" s="141">
        <v>121877</v>
      </c>
      <c r="H227" s="3665">
        <f t="shared" si="5"/>
        <v>123566</v>
      </c>
      <c r="I227" s="141">
        <v>4180</v>
      </c>
      <c r="J227" s="2774">
        <v>16245</v>
      </c>
      <c r="K227" s="141">
        <v>112438</v>
      </c>
      <c r="L227" s="223">
        <v>13813</v>
      </c>
      <c r="M227" s="3538">
        <v>411</v>
      </c>
      <c r="N227" s="318">
        <v>113714</v>
      </c>
      <c r="O227" s="166"/>
    </row>
    <row r="228" spans="1:15">
      <c r="A228" s="972">
        <f t="shared" si="3"/>
        <v>2011.03</v>
      </c>
      <c r="B228" s="215">
        <v>203230</v>
      </c>
      <c r="C228" s="947">
        <v>18812</v>
      </c>
      <c r="D228" s="3538">
        <v>6498</v>
      </c>
      <c r="E228" s="1434">
        <v>406</v>
      </c>
      <c r="F228" s="3538">
        <v>1168</v>
      </c>
      <c r="G228" s="141">
        <v>152787</v>
      </c>
      <c r="H228" s="3665">
        <f t="shared" si="5"/>
        <v>153955</v>
      </c>
      <c r="I228" s="141">
        <v>5328</v>
      </c>
      <c r="J228" s="2774">
        <v>18231</v>
      </c>
      <c r="K228" s="141">
        <v>141522</v>
      </c>
      <c r="L228" s="223">
        <v>18164</v>
      </c>
      <c r="M228" s="3538">
        <v>491</v>
      </c>
      <c r="N228" s="318">
        <v>142204</v>
      </c>
      <c r="O228" s="166"/>
    </row>
    <row r="229" spans="1:15">
      <c r="A229" s="972">
        <f t="shared" si="3"/>
        <v>2011.04</v>
      </c>
      <c r="B229" s="215">
        <v>223070</v>
      </c>
      <c r="C229" s="947">
        <v>24035</v>
      </c>
      <c r="D229" s="3538">
        <v>5280</v>
      </c>
      <c r="E229" s="1434">
        <v>568</v>
      </c>
      <c r="F229" s="3538">
        <v>774</v>
      </c>
      <c r="G229" s="141">
        <v>168205</v>
      </c>
      <c r="H229" s="3665">
        <f t="shared" si="5"/>
        <v>168979</v>
      </c>
      <c r="I229" s="141">
        <v>6129</v>
      </c>
      <c r="J229" s="2774">
        <v>18079</v>
      </c>
      <c r="K229" s="141">
        <v>156226</v>
      </c>
      <c r="L229" s="223">
        <v>17824</v>
      </c>
      <c r="M229" s="3538">
        <v>454</v>
      </c>
      <c r="N229" s="318">
        <v>156549</v>
      </c>
      <c r="O229" s="166"/>
    </row>
    <row r="230" spans="1:15">
      <c r="A230" s="972">
        <f t="shared" si="3"/>
        <v>2011.05</v>
      </c>
      <c r="B230" s="215">
        <v>261640</v>
      </c>
      <c r="C230" s="947">
        <v>50355</v>
      </c>
      <c r="D230" s="3538">
        <v>6021</v>
      </c>
      <c r="E230" s="1434">
        <v>1083</v>
      </c>
      <c r="F230" s="3538">
        <v>152</v>
      </c>
      <c r="G230" s="141">
        <v>173531</v>
      </c>
      <c r="H230" s="3665">
        <f t="shared" si="5"/>
        <v>173683</v>
      </c>
      <c r="I230" s="141">
        <v>11669</v>
      </c>
      <c r="J230" s="2774">
        <v>18829</v>
      </c>
      <c r="K230" s="141">
        <v>161876</v>
      </c>
      <c r="L230" s="223">
        <v>18718</v>
      </c>
      <c r="M230" s="3538">
        <v>457</v>
      </c>
      <c r="N230" s="318">
        <v>161612</v>
      </c>
      <c r="O230" s="166"/>
    </row>
    <row r="231" spans="1:15">
      <c r="A231" s="972">
        <f t="shared" si="3"/>
        <v>2011.06</v>
      </c>
      <c r="B231" s="215">
        <v>242710</v>
      </c>
      <c r="C231" s="947">
        <v>79510</v>
      </c>
      <c r="D231" s="3538">
        <v>9152</v>
      </c>
      <c r="E231" s="1434">
        <v>2079</v>
      </c>
      <c r="F231" s="3538">
        <v>108</v>
      </c>
      <c r="G231" s="141">
        <v>114300</v>
      </c>
      <c r="H231" s="3665">
        <f>F231+G231</f>
        <v>114408</v>
      </c>
      <c r="I231" s="141">
        <v>18781</v>
      </c>
      <c r="J231" s="2774">
        <v>18780</v>
      </c>
      <c r="K231" s="141">
        <v>101524</v>
      </c>
      <c r="L231" s="223">
        <v>23893</v>
      </c>
      <c r="M231" s="3538">
        <v>560</v>
      </c>
      <c r="N231" s="318">
        <v>101186</v>
      </c>
      <c r="O231" s="166"/>
    </row>
    <row r="232" spans="1:15">
      <c r="A232" s="972">
        <f t="shared" si="3"/>
        <v>2011.07</v>
      </c>
      <c r="B232" s="215">
        <v>266733</v>
      </c>
      <c r="C232" s="947">
        <v>99788</v>
      </c>
      <c r="D232" s="3538">
        <v>11287</v>
      </c>
      <c r="E232" s="1434">
        <v>2806</v>
      </c>
      <c r="F232" s="3538">
        <v>321</v>
      </c>
      <c r="G232" s="141">
        <v>112477</v>
      </c>
      <c r="H232" s="3665">
        <f t="shared" si="5"/>
        <v>112798</v>
      </c>
      <c r="I232" s="141">
        <v>20315</v>
      </c>
      <c r="J232" s="2774">
        <v>19739</v>
      </c>
      <c r="K232" s="141">
        <v>99344</v>
      </c>
      <c r="L232" s="223">
        <v>27092</v>
      </c>
      <c r="M232" s="3538">
        <v>587</v>
      </c>
      <c r="N232" s="318">
        <v>99212</v>
      </c>
      <c r="O232" s="166"/>
    </row>
    <row r="233" spans="1:15">
      <c r="A233" s="972">
        <f t="shared" si="3"/>
        <v>2011.08</v>
      </c>
      <c r="B233" s="215">
        <v>254340</v>
      </c>
      <c r="C233" s="947">
        <v>90121</v>
      </c>
      <c r="D233" s="3538">
        <v>10903</v>
      </c>
      <c r="E233" s="1434">
        <v>2899</v>
      </c>
      <c r="F233" s="3538">
        <v>885</v>
      </c>
      <c r="G233" s="141">
        <v>109800</v>
      </c>
      <c r="H233" s="3665">
        <f t="shared" si="5"/>
        <v>110685</v>
      </c>
      <c r="I233" s="141">
        <v>20002</v>
      </c>
      <c r="J233" s="2774">
        <v>19730</v>
      </c>
      <c r="K233" s="141">
        <v>97086</v>
      </c>
      <c r="L233" s="223">
        <v>26597</v>
      </c>
      <c r="M233" s="3538">
        <v>548</v>
      </c>
      <c r="N233" s="318">
        <v>97342</v>
      </c>
      <c r="O233" s="166"/>
    </row>
    <row r="234" spans="1:15">
      <c r="A234" s="972">
        <f t="shared" si="3"/>
        <v>2011.09</v>
      </c>
      <c r="B234" s="215">
        <v>251135</v>
      </c>
      <c r="C234" s="947">
        <v>46737</v>
      </c>
      <c r="D234" s="3538">
        <v>8287</v>
      </c>
      <c r="E234" s="1434">
        <v>1980</v>
      </c>
      <c r="F234" s="3538">
        <v>1836</v>
      </c>
      <c r="G234" s="141">
        <v>162627</v>
      </c>
      <c r="H234" s="3665">
        <f t="shared" si="5"/>
        <v>164463</v>
      </c>
      <c r="I234" s="141">
        <v>10712</v>
      </c>
      <c r="J234" s="2774">
        <v>18956</v>
      </c>
      <c r="K234" s="141">
        <v>150610</v>
      </c>
      <c r="L234" s="223">
        <v>22148</v>
      </c>
      <c r="M234" s="3538">
        <v>524</v>
      </c>
      <c r="N234" s="318">
        <v>152058</v>
      </c>
      <c r="O234" s="166"/>
    </row>
    <row r="235" spans="1:15">
      <c r="A235" s="972">
        <f t="shared" si="3"/>
        <v>2011.1</v>
      </c>
      <c r="B235" s="215">
        <v>226303</v>
      </c>
      <c r="C235" s="947">
        <v>29709</v>
      </c>
      <c r="D235" s="3538">
        <v>6241</v>
      </c>
      <c r="E235" s="1434">
        <v>1199</v>
      </c>
      <c r="F235" s="3538">
        <v>1399</v>
      </c>
      <c r="G235" s="141">
        <v>161104</v>
      </c>
      <c r="H235" s="3665">
        <f t="shared" si="5"/>
        <v>162503</v>
      </c>
      <c r="I235" s="141">
        <v>7144</v>
      </c>
      <c r="J235" s="2774">
        <v>19507</v>
      </c>
      <c r="K235" s="141">
        <v>149912</v>
      </c>
      <c r="L235" s="223">
        <v>18632</v>
      </c>
      <c r="M235" s="3538">
        <v>424</v>
      </c>
      <c r="N235" s="318">
        <v>150887</v>
      </c>
      <c r="O235" s="166"/>
    </row>
    <row r="236" spans="1:15">
      <c r="A236" s="972">
        <f t="shared" si="3"/>
        <v>2011.11</v>
      </c>
      <c r="B236" s="215">
        <v>191922</v>
      </c>
      <c r="C236" s="947">
        <v>13720</v>
      </c>
      <c r="D236" s="3538">
        <v>4815</v>
      </c>
      <c r="E236" s="1434">
        <v>698</v>
      </c>
      <c r="F236" s="3538">
        <v>6830</v>
      </c>
      <c r="G236" s="141">
        <v>141679</v>
      </c>
      <c r="H236" s="3665">
        <f t="shared" si="5"/>
        <v>148509</v>
      </c>
      <c r="I236" s="141">
        <v>5335</v>
      </c>
      <c r="J236" s="2774">
        <v>18845</v>
      </c>
      <c r="K236" s="141">
        <v>130672</v>
      </c>
      <c r="L236" s="223">
        <v>16519</v>
      </c>
      <c r="M236" s="3538">
        <v>440</v>
      </c>
      <c r="N236" s="318">
        <v>137063</v>
      </c>
      <c r="O236" s="166"/>
    </row>
    <row r="237" spans="1:15">
      <c r="A237" s="972">
        <f t="shared" si="3"/>
        <v>2011.12</v>
      </c>
      <c r="B237" s="215">
        <v>202527</v>
      </c>
      <c r="C237" s="947">
        <v>14503</v>
      </c>
      <c r="D237" s="3538">
        <v>5026</v>
      </c>
      <c r="E237" s="1434">
        <v>457</v>
      </c>
      <c r="F237" s="3538">
        <v>9808</v>
      </c>
      <c r="G237" s="141">
        <v>148732</v>
      </c>
      <c r="H237" s="3665">
        <f t="shared" si="5"/>
        <v>158540</v>
      </c>
      <c r="I237" s="141">
        <v>4482</v>
      </c>
      <c r="J237" s="2774">
        <v>19519</v>
      </c>
      <c r="K237" s="141">
        <v>138440</v>
      </c>
      <c r="L237" s="223">
        <v>15621</v>
      </c>
      <c r="M237" s="3538">
        <v>566</v>
      </c>
      <c r="N237" s="318">
        <v>147836</v>
      </c>
      <c r="O237" s="166"/>
    </row>
    <row r="238" spans="1:15">
      <c r="A238" s="972">
        <f t="shared" si="3"/>
        <v>2012.01</v>
      </c>
      <c r="B238" s="215">
        <v>201834</v>
      </c>
      <c r="C238" s="947">
        <v>14648</v>
      </c>
      <c r="D238" s="3538">
        <v>4173</v>
      </c>
      <c r="E238" s="1434">
        <v>408</v>
      </c>
      <c r="F238" s="3538">
        <v>24498</v>
      </c>
      <c r="G238" s="141">
        <v>136066</v>
      </c>
      <c r="H238" s="3665">
        <f t="shared" si="5"/>
        <v>160564</v>
      </c>
      <c r="I238" s="141">
        <v>4330</v>
      </c>
      <c r="J238" s="2774">
        <v>17711</v>
      </c>
      <c r="K238" s="141">
        <v>127043</v>
      </c>
      <c r="L238" s="223">
        <v>13436</v>
      </c>
      <c r="M238" s="3538">
        <v>677</v>
      </c>
      <c r="N238" s="318">
        <v>151032</v>
      </c>
      <c r="O238" s="166"/>
    </row>
    <row r="239" spans="1:15">
      <c r="A239" s="972">
        <f t="shared" si="3"/>
        <v>2012.02</v>
      </c>
      <c r="B239" s="215">
        <v>185348</v>
      </c>
      <c r="C239" s="947">
        <v>13808</v>
      </c>
      <c r="D239" s="3538">
        <v>4237</v>
      </c>
      <c r="E239" s="1434">
        <v>341</v>
      </c>
      <c r="F239" s="3538">
        <v>15488</v>
      </c>
      <c r="G239" s="141">
        <v>129912</v>
      </c>
      <c r="H239" s="3665">
        <f t="shared" si="5"/>
        <v>145400</v>
      </c>
      <c r="I239" s="141">
        <v>5060</v>
      </c>
      <c r="J239" s="2774">
        <v>16502</v>
      </c>
      <c r="K239" s="141">
        <v>120240</v>
      </c>
      <c r="L239" s="223">
        <v>14252</v>
      </c>
      <c r="M239" s="3538">
        <v>411</v>
      </c>
      <c r="N239" s="318">
        <v>135315</v>
      </c>
      <c r="O239" s="166"/>
    </row>
    <row r="240" spans="1:15">
      <c r="A240" s="972">
        <f t="shared" si="3"/>
        <v>2012.03</v>
      </c>
      <c r="B240" s="215">
        <v>194060</v>
      </c>
      <c r="C240" s="947">
        <v>19100</v>
      </c>
      <c r="D240" s="3538">
        <v>5881</v>
      </c>
      <c r="E240" s="1434">
        <v>390</v>
      </c>
      <c r="F240" s="3538">
        <v>4462</v>
      </c>
      <c r="G240" s="141">
        <v>139968</v>
      </c>
      <c r="H240" s="3665">
        <f t="shared" si="5"/>
        <v>144430</v>
      </c>
      <c r="I240" s="141">
        <v>4660</v>
      </c>
      <c r="J240" s="2774">
        <v>19599</v>
      </c>
      <c r="K240" s="141">
        <v>128880</v>
      </c>
      <c r="L240" s="223">
        <v>17358</v>
      </c>
      <c r="M240" s="3538">
        <v>615</v>
      </c>
      <c r="N240" s="318">
        <v>132728</v>
      </c>
      <c r="O240" s="166"/>
    </row>
    <row r="241" spans="1:15">
      <c r="A241" s="972">
        <f t="shared" si="3"/>
        <v>2012.04</v>
      </c>
      <c r="B241" s="215">
        <v>216155</v>
      </c>
      <c r="C241" s="947">
        <v>28135</v>
      </c>
      <c r="D241" s="3538">
        <v>5634</v>
      </c>
      <c r="E241" s="1434">
        <v>580</v>
      </c>
      <c r="F241" s="3538">
        <v>1506</v>
      </c>
      <c r="G241" s="141">
        <v>156165</v>
      </c>
      <c r="H241" s="3665">
        <f t="shared" si="5"/>
        <v>157671</v>
      </c>
      <c r="I241" s="141">
        <v>5955</v>
      </c>
      <c r="J241" s="2774">
        <v>18180</v>
      </c>
      <c r="K241" s="141">
        <v>145432</v>
      </c>
      <c r="L241" s="223">
        <v>16948</v>
      </c>
      <c r="M241" s="3538">
        <v>506</v>
      </c>
      <c r="N241" s="318">
        <v>146431</v>
      </c>
      <c r="O241" s="166"/>
    </row>
    <row r="242" spans="1:15">
      <c r="A242" s="972">
        <f t="shared" si="3"/>
        <v>2012.05</v>
      </c>
      <c r="B242" s="215">
        <v>237949</v>
      </c>
      <c r="C242" s="947">
        <v>40456</v>
      </c>
      <c r="D242" s="3538">
        <v>6025</v>
      </c>
      <c r="E242" s="1434">
        <v>1108</v>
      </c>
      <c r="F242" s="3538">
        <v>694</v>
      </c>
      <c r="G242" s="141">
        <v>158569</v>
      </c>
      <c r="H242" s="3665">
        <f t="shared" si="5"/>
        <v>159263</v>
      </c>
      <c r="I242" s="141">
        <v>13170</v>
      </c>
      <c r="J242" s="2774">
        <v>17927</v>
      </c>
      <c r="K242" s="141">
        <v>147420</v>
      </c>
      <c r="L242" s="223">
        <v>18282</v>
      </c>
      <c r="M242" s="3538">
        <v>468</v>
      </c>
      <c r="N242" s="318">
        <v>147646</v>
      </c>
      <c r="O242" s="166"/>
    </row>
    <row r="243" spans="1:15">
      <c r="A243" s="972">
        <f t="shared" si="3"/>
        <v>2012.06</v>
      </c>
      <c r="B243" s="215">
        <v>241028</v>
      </c>
      <c r="C243" s="947">
        <v>81910</v>
      </c>
      <c r="D243" s="3538">
        <v>9183</v>
      </c>
      <c r="E243" s="1434">
        <v>2120</v>
      </c>
      <c r="F243" s="3538">
        <v>548</v>
      </c>
      <c r="G243" s="141">
        <v>109773</v>
      </c>
      <c r="H243" s="3665">
        <f t="shared" si="5"/>
        <v>110321</v>
      </c>
      <c r="I243" s="141">
        <v>19358</v>
      </c>
      <c r="J243" s="2774">
        <v>18136</v>
      </c>
      <c r="K243" s="141">
        <v>97547</v>
      </c>
      <c r="L243" s="223">
        <v>23525</v>
      </c>
      <c r="M243" s="3538">
        <v>397</v>
      </c>
      <c r="N243" s="318">
        <v>97702</v>
      </c>
      <c r="O243" s="166"/>
    </row>
    <row r="244" spans="1:15">
      <c r="A244" s="972">
        <f t="shared" si="3"/>
        <v>2012.07</v>
      </c>
      <c r="B244" s="215">
        <v>267692</v>
      </c>
      <c r="C244" s="947">
        <v>119401</v>
      </c>
      <c r="D244" s="3538">
        <v>11049</v>
      </c>
      <c r="E244" s="1434">
        <v>2989</v>
      </c>
      <c r="F244" s="3538">
        <v>225</v>
      </c>
      <c r="G244" s="141">
        <v>91148</v>
      </c>
      <c r="H244" s="3665">
        <f t="shared" si="5"/>
        <v>91373</v>
      </c>
      <c r="I244" s="141">
        <v>22714</v>
      </c>
      <c r="J244" s="2774">
        <v>20166</v>
      </c>
      <c r="K244" s="141">
        <v>78905</v>
      </c>
      <c r="L244" s="223">
        <v>26661</v>
      </c>
      <c r="M244" s="3538">
        <v>459</v>
      </c>
      <c r="N244" s="318">
        <v>78291</v>
      </c>
      <c r="O244" s="166"/>
    </row>
    <row r="245" spans="1:15">
      <c r="A245" s="972">
        <f t="shared" si="3"/>
        <v>2012.08</v>
      </c>
      <c r="B245" s="215">
        <v>228655</v>
      </c>
      <c r="C245" s="947">
        <v>75532</v>
      </c>
      <c r="D245" s="3538">
        <v>9850</v>
      </c>
      <c r="E245" s="1434">
        <v>2494</v>
      </c>
      <c r="F245" s="3538">
        <v>420</v>
      </c>
      <c r="G245" s="141">
        <v>102396</v>
      </c>
      <c r="H245" s="3665">
        <f t="shared" si="5"/>
        <v>102816</v>
      </c>
      <c r="I245" s="141">
        <v>18216</v>
      </c>
      <c r="J245" s="2774">
        <v>19747</v>
      </c>
      <c r="K245" s="141">
        <v>90758</v>
      </c>
      <c r="L245" s="223">
        <v>23980</v>
      </c>
      <c r="M245" s="3538">
        <v>468</v>
      </c>
      <c r="N245" s="318">
        <v>90712</v>
      </c>
      <c r="O245" s="166"/>
    </row>
    <row r="246" spans="1:15">
      <c r="A246" s="972">
        <f t="shared" si="3"/>
        <v>2012.09</v>
      </c>
      <c r="B246" s="215">
        <v>229574</v>
      </c>
      <c r="C246" s="947">
        <v>48546</v>
      </c>
      <c r="D246" s="3538">
        <v>7670</v>
      </c>
      <c r="E246" s="1434">
        <v>1805</v>
      </c>
      <c r="F246" s="3538">
        <v>1250</v>
      </c>
      <c r="G246" s="141">
        <v>140727</v>
      </c>
      <c r="H246" s="3665">
        <f t="shared" si="5"/>
        <v>141977</v>
      </c>
      <c r="I246" s="141">
        <v>10444</v>
      </c>
      <c r="J246" s="2774">
        <v>19132</v>
      </c>
      <c r="K246" s="141">
        <v>130239</v>
      </c>
      <c r="L246" s="223">
        <v>19965</v>
      </c>
      <c r="M246" s="3538">
        <v>457</v>
      </c>
      <c r="N246" s="318">
        <v>131030</v>
      </c>
      <c r="O246" s="166"/>
    </row>
    <row r="247" spans="1:15">
      <c r="A247" s="972">
        <f t="shared" si="3"/>
        <v>2012.1</v>
      </c>
      <c r="B247" s="215">
        <v>212169</v>
      </c>
      <c r="C247" s="947">
        <v>29967</v>
      </c>
      <c r="D247" s="3538">
        <v>6678</v>
      </c>
      <c r="E247" s="1434">
        <v>1304</v>
      </c>
      <c r="F247" s="3538">
        <v>6024</v>
      </c>
      <c r="G247" s="141">
        <v>139727</v>
      </c>
      <c r="H247" s="3665">
        <f t="shared" si="5"/>
        <v>145751</v>
      </c>
      <c r="I247" s="141">
        <v>9117</v>
      </c>
      <c r="J247" s="2774">
        <v>19352</v>
      </c>
      <c r="K247" s="141">
        <v>128434</v>
      </c>
      <c r="L247" s="223">
        <v>19273</v>
      </c>
      <c r="M247" s="3538">
        <v>497</v>
      </c>
      <c r="N247" s="318">
        <v>133963</v>
      </c>
      <c r="O247" s="166"/>
    </row>
    <row r="248" spans="1:15">
      <c r="A248" s="972">
        <f t="shared" si="3"/>
        <v>2012.11</v>
      </c>
      <c r="B248" s="215">
        <v>211878</v>
      </c>
      <c r="C248" s="947">
        <v>25167</v>
      </c>
      <c r="D248" s="3538">
        <v>5057</v>
      </c>
      <c r="E248" s="1434">
        <v>1105</v>
      </c>
      <c r="F248" s="3538">
        <v>15706</v>
      </c>
      <c r="G248" s="141">
        <v>140413</v>
      </c>
      <c r="H248" s="3665">
        <f t="shared" si="5"/>
        <v>156119</v>
      </c>
      <c r="I248" s="141">
        <v>5782</v>
      </c>
      <c r="J248" s="2774">
        <v>18648</v>
      </c>
      <c r="K248" s="141">
        <v>130148</v>
      </c>
      <c r="L248" s="223">
        <v>16426</v>
      </c>
      <c r="M248" s="3538">
        <v>462</v>
      </c>
      <c r="N248" s="318">
        <v>145393</v>
      </c>
      <c r="O248" s="166"/>
    </row>
    <row r="249" spans="1:15">
      <c r="A249" s="972">
        <f t="shared" si="3"/>
        <v>2012.12</v>
      </c>
      <c r="B249" s="215">
        <v>176322</v>
      </c>
      <c r="C249" s="947">
        <v>18009</v>
      </c>
      <c r="D249" s="3538">
        <v>6338</v>
      </c>
      <c r="E249" s="1434">
        <v>780</v>
      </c>
      <c r="F249" s="3538">
        <v>6339</v>
      </c>
      <c r="G249" s="141">
        <v>121000</v>
      </c>
      <c r="H249" s="3665">
        <f t="shared" si="5"/>
        <v>127339</v>
      </c>
      <c r="I249" s="141">
        <v>4999</v>
      </c>
      <c r="J249" s="2774">
        <v>18857</v>
      </c>
      <c r="K249" s="141">
        <v>112123</v>
      </c>
      <c r="L249" s="223">
        <v>15993</v>
      </c>
      <c r="M249" s="3538">
        <v>384</v>
      </c>
      <c r="N249" s="318">
        <v>118080</v>
      </c>
      <c r="O249" s="166"/>
    </row>
    <row r="250" spans="1:15">
      <c r="A250" s="972">
        <f t="shared" si="3"/>
        <v>2013.01</v>
      </c>
      <c r="B250" s="215">
        <v>185453</v>
      </c>
      <c r="C250" s="947">
        <v>15978</v>
      </c>
      <c r="D250" s="3538">
        <v>4278</v>
      </c>
      <c r="E250" s="1434">
        <v>571</v>
      </c>
      <c r="F250" s="3538">
        <v>21180</v>
      </c>
      <c r="G250" s="141">
        <v>120635</v>
      </c>
      <c r="H250" s="3665">
        <f t="shared" si="5"/>
        <v>141815</v>
      </c>
      <c r="I250" s="141">
        <v>5192</v>
      </c>
      <c r="J250" s="2774">
        <v>17619</v>
      </c>
      <c r="K250" s="141">
        <v>112645</v>
      </c>
      <c r="L250" s="223">
        <v>12974</v>
      </c>
      <c r="M250" s="3538">
        <v>369</v>
      </c>
      <c r="N250" s="318">
        <v>133321</v>
      </c>
      <c r="O250" s="166"/>
    </row>
    <row r="251" spans="1:15">
      <c r="A251" s="972">
        <f t="shared" si="3"/>
        <v>2013.02</v>
      </c>
      <c r="B251" s="215">
        <v>166685</v>
      </c>
      <c r="C251" s="947">
        <v>14873</v>
      </c>
      <c r="D251" s="3538">
        <v>3924</v>
      </c>
      <c r="E251" s="1434">
        <v>491</v>
      </c>
      <c r="F251" s="3538">
        <v>17655</v>
      </c>
      <c r="G251" s="141">
        <v>108778</v>
      </c>
      <c r="H251" s="3665">
        <f t="shared" si="5"/>
        <v>126433</v>
      </c>
      <c r="I251" s="141">
        <v>4858</v>
      </c>
      <c r="J251" s="2774">
        <v>16106</v>
      </c>
      <c r="K251" s="141">
        <v>99551</v>
      </c>
      <c r="L251" s="223">
        <v>13644</v>
      </c>
      <c r="M251" s="3538">
        <v>445</v>
      </c>
      <c r="N251" s="318">
        <v>116759</v>
      </c>
      <c r="O251" s="166"/>
    </row>
    <row r="252" spans="1:15">
      <c r="A252" s="972">
        <f t="shared" si="3"/>
        <v>2013.03</v>
      </c>
      <c r="B252" s="215">
        <v>196410</v>
      </c>
      <c r="C252" s="947">
        <v>24780</v>
      </c>
      <c r="D252" s="3538">
        <v>5671</v>
      </c>
      <c r="E252" s="1434">
        <v>626</v>
      </c>
      <c r="F252" s="3538">
        <v>3096</v>
      </c>
      <c r="G252" s="141">
        <v>137615</v>
      </c>
      <c r="H252" s="3665">
        <f t="shared" si="5"/>
        <v>140711</v>
      </c>
      <c r="I252" s="141">
        <v>6180</v>
      </c>
      <c r="J252" s="2774">
        <v>18442</v>
      </c>
      <c r="K252" s="141">
        <v>126716</v>
      </c>
      <c r="L252" s="223">
        <v>17197</v>
      </c>
      <c r="M252" s="3538">
        <v>525</v>
      </c>
      <c r="N252" s="318">
        <v>129286</v>
      </c>
      <c r="O252" s="166"/>
    </row>
    <row r="253" spans="1:15">
      <c r="A253" s="972">
        <f t="shared" si="3"/>
        <v>2013.04</v>
      </c>
      <c r="B253" s="215">
        <v>229911</v>
      </c>
      <c r="C253" s="947">
        <v>28131</v>
      </c>
      <c r="D253" s="3538">
        <v>4989</v>
      </c>
      <c r="E253" s="1434">
        <v>903</v>
      </c>
      <c r="F253" s="3538">
        <v>2073</v>
      </c>
      <c r="G253" s="141">
        <v>168891</v>
      </c>
      <c r="H253" s="3665">
        <f t="shared" si="5"/>
        <v>170964</v>
      </c>
      <c r="I253" s="141">
        <v>6928</v>
      </c>
      <c r="J253" s="2774">
        <v>17996</v>
      </c>
      <c r="K253" s="141">
        <v>157943</v>
      </c>
      <c r="L253" s="223">
        <v>16838</v>
      </c>
      <c r="M253" s="3538">
        <v>467</v>
      </c>
      <c r="N253" s="318">
        <v>159551</v>
      </c>
      <c r="O253" s="166"/>
    </row>
    <row r="254" spans="1:15">
      <c r="A254" s="972">
        <f t="shared" ref="A254:A317" si="6">A242+1</f>
        <v>2013.05</v>
      </c>
      <c r="B254" s="215">
        <v>250569</v>
      </c>
      <c r="C254" s="947">
        <v>58009</v>
      </c>
      <c r="D254" s="3538">
        <v>6414</v>
      </c>
      <c r="E254" s="1434">
        <v>1504</v>
      </c>
      <c r="F254" s="3538">
        <v>1392</v>
      </c>
      <c r="G254" s="141">
        <v>150685</v>
      </c>
      <c r="H254" s="3665">
        <f t="shared" si="5"/>
        <v>152077</v>
      </c>
      <c r="I254" s="141">
        <v>13480</v>
      </c>
      <c r="J254" s="2774">
        <v>19085</v>
      </c>
      <c r="K254" s="141">
        <v>138775</v>
      </c>
      <c r="L254" s="223">
        <v>19829</v>
      </c>
      <c r="M254" s="3538">
        <v>671</v>
      </c>
      <c r="N254" s="318">
        <v>139495</v>
      </c>
      <c r="O254" s="166"/>
    </row>
    <row r="255" spans="1:15">
      <c r="A255" s="972">
        <f t="shared" si="6"/>
        <v>2013.06</v>
      </c>
      <c r="B255" s="215">
        <v>250407</v>
      </c>
      <c r="C255" s="947">
        <v>80445</v>
      </c>
      <c r="D255" s="3538">
        <v>9043</v>
      </c>
      <c r="E255" s="1434">
        <v>2813</v>
      </c>
      <c r="F255" s="3538">
        <v>1238</v>
      </c>
      <c r="G255" s="141">
        <v>118863</v>
      </c>
      <c r="H255" s="3665">
        <f t="shared" si="5"/>
        <v>120101</v>
      </c>
      <c r="I255" s="141">
        <v>19118</v>
      </c>
      <c r="J255" s="2774">
        <v>18887</v>
      </c>
      <c r="K255" s="141">
        <v>107401</v>
      </c>
      <c r="L255" s="223">
        <v>23321</v>
      </c>
      <c r="M255" s="3538">
        <v>639</v>
      </c>
      <c r="N255" s="318">
        <v>107997</v>
      </c>
      <c r="O255" s="166"/>
    </row>
    <row r="256" spans="1:15">
      <c r="A256" s="972">
        <f t="shared" si="6"/>
        <v>2013.07</v>
      </c>
      <c r="B256" s="215">
        <v>273866</v>
      </c>
      <c r="C256" s="947">
        <v>110787</v>
      </c>
      <c r="D256" s="3538">
        <v>10069</v>
      </c>
      <c r="E256" s="1434">
        <v>3584</v>
      </c>
      <c r="F256" s="3538">
        <v>1252</v>
      </c>
      <c r="G256" s="141">
        <v>107640</v>
      </c>
      <c r="H256" s="3665">
        <f t="shared" si="5"/>
        <v>108892</v>
      </c>
      <c r="I256" s="141">
        <v>22921</v>
      </c>
      <c r="J256" s="2774">
        <v>17965</v>
      </c>
      <c r="K256" s="141">
        <v>94812</v>
      </c>
      <c r="L256" s="223">
        <v>26459</v>
      </c>
      <c r="M256" s="3538">
        <v>298</v>
      </c>
      <c r="N256" s="318">
        <v>95788</v>
      </c>
      <c r="O256" s="166"/>
    </row>
    <row r="257" spans="1:15">
      <c r="A257" s="972">
        <f t="shared" si="6"/>
        <v>2013.08</v>
      </c>
      <c r="B257" s="215">
        <v>265778</v>
      </c>
      <c r="C257" s="947">
        <v>93256</v>
      </c>
      <c r="D257" s="3538">
        <v>9647</v>
      </c>
      <c r="E257" s="1434">
        <v>3603</v>
      </c>
      <c r="F257" s="3538">
        <v>992</v>
      </c>
      <c r="G257" s="141">
        <v>114978</v>
      </c>
      <c r="H257" s="3665">
        <f t="shared" si="5"/>
        <v>115970</v>
      </c>
      <c r="I257" s="141">
        <v>21452</v>
      </c>
      <c r="J257" s="2774">
        <v>22724</v>
      </c>
      <c r="K257" s="141">
        <v>103771</v>
      </c>
      <c r="L257" s="223">
        <v>24454</v>
      </c>
      <c r="M257" s="3538">
        <v>1040</v>
      </c>
      <c r="N257" s="318">
        <v>103726</v>
      </c>
      <c r="O257" s="166"/>
    </row>
    <row r="258" spans="1:15">
      <c r="A258" s="972">
        <f t="shared" si="6"/>
        <v>2013.09</v>
      </c>
      <c r="B258" s="215">
        <v>245653</v>
      </c>
      <c r="C258" s="947">
        <v>58597</v>
      </c>
      <c r="D258" s="3538">
        <v>7229</v>
      </c>
      <c r="E258" s="1434">
        <v>2727</v>
      </c>
      <c r="F258" s="3538">
        <v>1027</v>
      </c>
      <c r="G258" s="141">
        <v>142140</v>
      </c>
      <c r="H258" s="3665">
        <f t="shared" si="5"/>
        <v>143167</v>
      </c>
      <c r="I258" s="141">
        <v>14626</v>
      </c>
      <c r="J258" s="2774">
        <v>19307</v>
      </c>
      <c r="K258" s="141">
        <v>130853</v>
      </c>
      <c r="L258" s="223">
        <v>21242</v>
      </c>
      <c r="M258" s="3538">
        <v>691</v>
      </c>
      <c r="N258" s="318">
        <v>131190</v>
      </c>
      <c r="O258" s="166"/>
    </row>
    <row r="259" spans="1:15">
      <c r="A259" s="972">
        <f t="shared" si="6"/>
        <v>2013.1</v>
      </c>
      <c r="B259" s="215">
        <v>226520</v>
      </c>
      <c r="C259" s="947">
        <v>31062</v>
      </c>
      <c r="D259" s="3538">
        <v>6187</v>
      </c>
      <c r="E259" s="1434">
        <v>1999</v>
      </c>
      <c r="F259" s="3538">
        <v>6900</v>
      </c>
      <c r="G259" s="141">
        <v>151713</v>
      </c>
      <c r="H259" s="3665">
        <f t="shared" si="5"/>
        <v>158613</v>
      </c>
      <c r="I259" s="141">
        <v>9028</v>
      </c>
      <c r="J259" s="2774">
        <v>19631</v>
      </c>
      <c r="K259" s="141">
        <v>140430</v>
      </c>
      <c r="L259" s="223">
        <v>19470</v>
      </c>
      <c r="M259" s="3538">
        <v>566</v>
      </c>
      <c r="N259" s="318">
        <v>146763</v>
      </c>
      <c r="O259" s="166"/>
    </row>
    <row r="260" spans="1:15">
      <c r="A260" s="972">
        <f t="shared" si="6"/>
        <v>2013.11</v>
      </c>
      <c r="B260" s="215">
        <v>204292</v>
      </c>
      <c r="C260" s="947">
        <v>15667</v>
      </c>
      <c r="D260" s="3538">
        <v>4678</v>
      </c>
      <c r="E260" s="1434">
        <v>1065</v>
      </c>
      <c r="F260" s="3538">
        <v>14020</v>
      </c>
      <c r="G260" s="141">
        <v>143815</v>
      </c>
      <c r="H260" s="3665">
        <f t="shared" si="5"/>
        <v>157835</v>
      </c>
      <c r="I260" s="141">
        <v>6252</v>
      </c>
      <c r="J260" s="2774">
        <v>18795</v>
      </c>
      <c r="K260" s="141">
        <v>133656</v>
      </c>
      <c r="L260" s="223">
        <v>15900</v>
      </c>
      <c r="M260" s="3538">
        <v>901</v>
      </c>
      <c r="N260" s="318">
        <v>146777</v>
      </c>
      <c r="O260" s="166"/>
    </row>
    <row r="261" spans="1:15">
      <c r="A261" s="972">
        <f t="shared" si="6"/>
        <v>2013.12</v>
      </c>
      <c r="B261" s="215">
        <v>184331</v>
      </c>
      <c r="C261" s="947">
        <v>15866</v>
      </c>
      <c r="D261" s="3538">
        <v>2597</v>
      </c>
      <c r="E261" s="1434">
        <v>903</v>
      </c>
      <c r="F261" s="3538">
        <v>14935</v>
      </c>
      <c r="G261" s="141">
        <v>124917</v>
      </c>
      <c r="H261" s="3665">
        <f t="shared" si="5"/>
        <v>139852</v>
      </c>
      <c r="I261" s="141">
        <v>5663</v>
      </c>
      <c r="J261" s="2774">
        <v>19450</v>
      </c>
      <c r="K261" s="141">
        <v>115695</v>
      </c>
      <c r="L261" s="223">
        <v>12724</v>
      </c>
      <c r="M261" s="3538">
        <v>653</v>
      </c>
      <c r="N261" s="318">
        <v>129975</v>
      </c>
      <c r="O261" s="166"/>
    </row>
    <row r="262" spans="1:15">
      <c r="A262" s="972">
        <f t="shared" si="6"/>
        <v>2014.01</v>
      </c>
      <c r="B262" s="215">
        <v>186624</v>
      </c>
      <c r="C262" s="947">
        <v>14993</v>
      </c>
      <c r="D262" s="3538">
        <v>3901</v>
      </c>
      <c r="E262" s="1434">
        <v>513</v>
      </c>
      <c r="F262" s="3538">
        <v>17462</v>
      </c>
      <c r="G262" s="141">
        <v>126631</v>
      </c>
      <c r="H262" s="3665">
        <f t="shared" si="5"/>
        <v>144093</v>
      </c>
      <c r="I262" s="141">
        <v>5236</v>
      </c>
      <c r="J262" s="2774">
        <v>17888</v>
      </c>
      <c r="K262" s="141">
        <v>117815</v>
      </c>
      <c r="L262" s="223">
        <v>13231</v>
      </c>
      <c r="M262" s="3538">
        <v>731</v>
      </c>
      <c r="N262" s="318">
        <v>134545</v>
      </c>
      <c r="O262" s="166"/>
    </row>
    <row r="263" spans="1:15">
      <c r="A263" s="972">
        <f t="shared" si="6"/>
        <v>2014.02</v>
      </c>
      <c r="B263" s="215">
        <v>170648</v>
      </c>
      <c r="C263" s="947">
        <v>14352</v>
      </c>
      <c r="D263" s="3538">
        <v>3662</v>
      </c>
      <c r="E263" s="1434">
        <v>463</v>
      </c>
      <c r="F263" s="3538">
        <v>6466</v>
      </c>
      <c r="G263" s="141">
        <v>123362</v>
      </c>
      <c r="H263" s="3665">
        <f t="shared" si="5"/>
        <v>129828</v>
      </c>
      <c r="I263" s="141">
        <v>5716</v>
      </c>
      <c r="J263" s="2774">
        <v>16627</v>
      </c>
      <c r="K263" s="141">
        <v>114001</v>
      </c>
      <c r="L263" s="223">
        <v>13485</v>
      </c>
      <c r="M263" s="3538">
        <v>677</v>
      </c>
      <c r="N263" s="318">
        <v>119791</v>
      </c>
      <c r="O263" s="166"/>
    </row>
    <row r="264" spans="1:15">
      <c r="A264" s="972">
        <f t="shared" si="6"/>
        <v>2014.03</v>
      </c>
      <c r="B264" s="215">
        <v>210106</v>
      </c>
      <c r="C264" s="947">
        <v>20134</v>
      </c>
      <c r="D264" s="3538">
        <v>5008</v>
      </c>
      <c r="E264" s="1434">
        <v>618</v>
      </c>
      <c r="F264" s="3538">
        <v>14176</v>
      </c>
      <c r="G264" s="141">
        <v>145686</v>
      </c>
      <c r="H264" s="3665">
        <f t="shared" si="5"/>
        <v>159862</v>
      </c>
      <c r="I264" s="141">
        <v>5627</v>
      </c>
      <c r="J264" s="2774">
        <v>18857</v>
      </c>
      <c r="K264" s="141">
        <v>135031</v>
      </c>
      <c r="L264" s="223">
        <v>16282</v>
      </c>
      <c r="M264" s="3538">
        <v>655</v>
      </c>
      <c r="N264" s="318">
        <v>148551</v>
      </c>
      <c r="O264" s="166"/>
    </row>
    <row r="265" spans="1:15">
      <c r="A265" s="972">
        <f t="shared" si="6"/>
        <v>2014.04</v>
      </c>
      <c r="B265" s="215">
        <v>238379</v>
      </c>
      <c r="C265" s="947">
        <v>30031</v>
      </c>
      <c r="D265" s="3538">
        <v>4583</v>
      </c>
      <c r="E265" s="1434">
        <v>683</v>
      </c>
      <c r="F265" s="3538">
        <v>1683</v>
      </c>
      <c r="G265" s="141">
        <v>174265</v>
      </c>
      <c r="H265" s="3665">
        <f t="shared" si="5"/>
        <v>175948</v>
      </c>
      <c r="I265" s="141">
        <v>8310</v>
      </c>
      <c r="J265" s="2774">
        <v>18824</v>
      </c>
      <c r="K265" s="141">
        <v>163800</v>
      </c>
      <c r="L265" s="223">
        <v>15732</v>
      </c>
      <c r="M265" s="3538">
        <v>836</v>
      </c>
      <c r="N265" s="318">
        <v>164646</v>
      </c>
      <c r="O265" s="166"/>
    </row>
    <row r="266" spans="1:15">
      <c r="A266" s="972">
        <f t="shared" si="6"/>
        <v>2014.05</v>
      </c>
      <c r="B266" s="215">
        <v>267548</v>
      </c>
      <c r="C266" s="947">
        <v>55487</v>
      </c>
      <c r="D266" s="3538">
        <v>8049</v>
      </c>
      <c r="E266" s="1434">
        <v>1415</v>
      </c>
      <c r="F266" s="3538">
        <v>1338</v>
      </c>
      <c r="G266" s="141">
        <v>167617</v>
      </c>
      <c r="H266" s="3665">
        <f t="shared" si="5"/>
        <v>168955</v>
      </c>
      <c r="I266" s="141">
        <v>13657</v>
      </c>
      <c r="J266" s="2774">
        <v>19985</v>
      </c>
      <c r="K266" s="141">
        <v>155294</v>
      </c>
      <c r="L266" s="223">
        <v>21788</v>
      </c>
      <c r="M266" s="3538">
        <v>825</v>
      </c>
      <c r="N266" s="318">
        <v>155806</v>
      </c>
      <c r="O266" s="166"/>
    </row>
    <row r="267" spans="1:15">
      <c r="A267" s="972">
        <f t="shared" si="6"/>
        <v>2014.06</v>
      </c>
      <c r="B267" s="215">
        <v>260087</v>
      </c>
      <c r="C267" s="947">
        <v>88973</v>
      </c>
      <c r="D267" s="3538">
        <v>10351</v>
      </c>
      <c r="E267" s="1434">
        <v>2523</v>
      </c>
      <c r="F267" s="3538">
        <v>1066</v>
      </c>
      <c r="G267" s="141">
        <v>117878</v>
      </c>
      <c r="H267" s="3665">
        <f t="shared" si="5"/>
        <v>118944</v>
      </c>
      <c r="I267" s="141">
        <v>19743</v>
      </c>
      <c r="J267" s="2774">
        <v>19553</v>
      </c>
      <c r="K267" s="141">
        <v>105353</v>
      </c>
      <c r="L267" s="223">
        <v>25398</v>
      </c>
      <c r="M267" s="3538">
        <v>1559</v>
      </c>
      <c r="N267" s="318">
        <v>104861</v>
      </c>
      <c r="O267" s="166"/>
    </row>
    <row r="268" spans="1:15">
      <c r="A268" s="972">
        <f t="shared" si="6"/>
        <v>2014.07</v>
      </c>
      <c r="B268" s="215">
        <v>274981</v>
      </c>
      <c r="C268" s="947">
        <v>99832</v>
      </c>
      <c r="D268" s="3538">
        <v>10142</v>
      </c>
      <c r="E268" s="1434">
        <v>3242</v>
      </c>
      <c r="F268" s="3538">
        <v>1292</v>
      </c>
      <c r="G268" s="141">
        <v>117570</v>
      </c>
      <c r="H268" s="3665">
        <f t="shared" si="5"/>
        <v>118862</v>
      </c>
      <c r="I268" s="141">
        <v>22502</v>
      </c>
      <c r="J268" s="2774">
        <v>20401</v>
      </c>
      <c r="K268" s="141">
        <v>105589</v>
      </c>
      <c r="L268" s="223">
        <v>25368</v>
      </c>
      <c r="M268" s="3538">
        <v>898</v>
      </c>
      <c r="N268" s="318">
        <v>105980</v>
      </c>
      <c r="O268" s="166"/>
    </row>
    <row r="269" spans="1:15">
      <c r="A269" s="972">
        <f t="shared" si="6"/>
        <v>2014.08</v>
      </c>
      <c r="B269" s="215">
        <v>280859</v>
      </c>
      <c r="C269" s="947">
        <v>71014</v>
      </c>
      <c r="D269" s="3538">
        <v>9921</v>
      </c>
      <c r="E269" s="1434">
        <v>2952</v>
      </c>
      <c r="F269" s="3538">
        <v>3443</v>
      </c>
      <c r="G269" s="141">
        <v>156652</v>
      </c>
      <c r="H269" s="3665">
        <f t="shared" si="5"/>
        <v>160095</v>
      </c>
      <c r="I269" s="141">
        <v>15849</v>
      </c>
      <c r="J269" s="2774">
        <v>21028</v>
      </c>
      <c r="K269" s="141">
        <v>146366</v>
      </c>
      <c r="L269" s="223">
        <v>23160</v>
      </c>
      <c r="M269" s="3538">
        <v>647</v>
      </c>
      <c r="N269" s="318">
        <v>149161</v>
      </c>
      <c r="O269" s="166"/>
    </row>
    <row r="270" spans="1:15">
      <c r="A270" s="972">
        <f t="shared" si="6"/>
        <v>2014.09</v>
      </c>
      <c r="B270" s="215">
        <v>249447</v>
      </c>
      <c r="C270" s="947">
        <v>47568</v>
      </c>
      <c r="D270" s="3538">
        <v>7098</v>
      </c>
      <c r="E270" s="1434">
        <v>2215</v>
      </c>
      <c r="F270" s="3538">
        <v>825</v>
      </c>
      <c r="G270" s="141">
        <v>159918</v>
      </c>
      <c r="H270" s="3665">
        <f t="shared" si="5"/>
        <v>160743</v>
      </c>
      <c r="I270" s="141">
        <v>10911</v>
      </c>
      <c r="J270" s="2774">
        <v>20912</v>
      </c>
      <c r="K270" s="141">
        <v>150032</v>
      </c>
      <c r="L270" s="223">
        <v>19196</v>
      </c>
      <c r="M270" s="3538">
        <v>710</v>
      </c>
      <c r="N270" s="318">
        <v>150150</v>
      </c>
      <c r="O270" s="166"/>
    </row>
    <row r="271" spans="1:15">
      <c r="A271" s="972">
        <f t="shared" si="6"/>
        <v>2014.1</v>
      </c>
      <c r="B271" s="215">
        <v>211347</v>
      </c>
      <c r="C271" s="947">
        <v>29063</v>
      </c>
      <c r="D271" s="3538">
        <v>5488</v>
      </c>
      <c r="E271" s="1434">
        <v>1600</v>
      </c>
      <c r="F271" s="3538">
        <v>5119</v>
      </c>
      <c r="G271" s="141">
        <v>140612</v>
      </c>
      <c r="H271" s="3665">
        <f t="shared" si="5"/>
        <v>145731</v>
      </c>
      <c r="I271" s="141">
        <v>7966</v>
      </c>
      <c r="J271" s="2774">
        <v>21499</v>
      </c>
      <c r="K271" s="141">
        <v>129965</v>
      </c>
      <c r="L271" s="223">
        <v>17736</v>
      </c>
      <c r="M271" s="3538">
        <v>720</v>
      </c>
      <c r="N271" s="318">
        <v>134363</v>
      </c>
      <c r="O271" s="166"/>
    </row>
    <row r="272" spans="1:15">
      <c r="A272" s="972">
        <f t="shared" si="6"/>
        <v>2014.11</v>
      </c>
      <c r="B272" s="215">
        <v>200147</v>
      </c>
      <c r="C272" s="947">
        <v>11339</v>
      </c>
      <c r="D272" s="3538">
        <v>4328</v>
      </c>
      <c r="E272" s="1434">
        <v>913</v>
      </c>
      <c r="F272" s="3538">
        <v>3939</v>
      </c>
      <c r="G272" s="141">
        <v>153208</v>
      </c>
      <c r="H272" s="3665">
        <f t="shared" si="5"/>
        <v>157147</v>
      </c>
      <c r="I272" s="141">
        <v>6223</v>
      </c>
      <c r="J272" s="2774">
        <v>20197</v>
      </c>
      <c r="K272" s="141">
        <v>143563</v>
      </c>
      <c r="L272" s="223">
        <v>14883</v>
      </c>
      <c r="M272" s="3538">
        <v>810</v>
      </c>
      <c r="N272" s="318">
        <v>146695</v>
      </c>
      <c r="O272" s="166"/>
    </row>
    <row r="273" spans="1:15">
      <c r="A273" s="972">
        <f t="shared" si="6"/>
        <v>2014.12</v>
      </c>
      <c r="B273" s="215">
        <v>179205</v>
      </c>
      <c r="C273" s="947">
        <v>8498</v>
      </c>
      <c r="D273" s="3538">
        <v>4085</v>
      </c>
      <c r="E273" s="1434">
        <v>680</v>
      </c>
      <c r="F273" s="3538">
        <v>3268</v>
      </c>
      <c r="G273" s="141">
        <v>135004</v>
      </c>
      <c r="H273" s="3665">
        <f>F273+G273</f>
        <v>138272</v>
      </c>
      <c r="I273" s="141">
        <v>5705</v>
      </c>
      <c r="J273" s="2774">
        <v>21965</v>
      </c>
      <c r="K273" s="141">
        <v>125289</v>
      </c>
      <c r="L273" s="223">
        <v>14482</v>
      </c>
      <c r="M273" s="3538">
        <v>1127</v>
      </c>
      <c r="N273" s="318">
        <v>127428</v>
      </c>
      <c r="O273" s="166"/>
    </row>
    <row r="274" spans="1:15">
      <c r="A274" s="972">
        <f t="shared" si="6"/>
        <v>2015.01</v>
      </c>
      <c r="B274" s="215">
        <v>175933</v>
      </c>
      <c r="C274" s="947">
        <v>15183</v>
      </c>
      <c r="D274" s="3538">
        <v>3093</v>
      </c>
      <c r="E274" s="1434">
        <v>726</v>
      </c>
      <c r="F274" s="3538">
        <v>36940</v>
      </c>
      <c r="G274" s="141">
        <v>94482</v>
      </c>
      <c r="H274" s="3665">
        <f t="shared" si="5"/>
        <v>131422</v>
      </c>
      <c r="I274" s="141">
        <v>5183</v>
      </c>
      <c r="J274" s="2774">
        <v>20326</v>
      </c>
      <c r="K274" s="141">
        <v>116719</v>
      </c>
      <c r="L274" s="223">
        <v>12440</v>
      </c>
      <c r="M274" s="3538">
        <v>844</v>
      </c>
      <c r="N274" s="318">
        <v>121957</v>
      </c>
      <c r="O274" s="166"/>
    </row>
    <row r="275" spans="1:15">
      <c r="A275" s="972">
        <f t="shared" si="6"/>
        <v>2015.02</v>
      </c>
      <c r="B275" s="215">
        <v>170990</v>
      </c>
      <c r="C275" s="947">
        <v>15368</v>
      </c>
      <c r="D275" s="3538">
        <v>3989</v>
      </c>
      <c r="E275" s="1434">
        <v>507</v>
      </c>
      <c r="F275" s="3538">
        <v>3258</v>
      </c>
      <c r="G275" s="141">
        <v>123256</v>
      </c>
      <c r="H275" s="3665">
        <f t="shared" si="5"/>
        <v>126514</v>
      </c>
      <c r="I275" s="141">
        <v>6101</v>
      </c>
      <c r="J275" s="2774">
        <v>18511</v>
      </c>
      <c r="K275" s="141">
        <v>114170</v>
      </c>
      <c r="L275" s="223">
        <v>13583</v>
      </c>
      <c r="M275" s="3538">
        <v>590</v>
      </c>
      <c r="N275" s="318">
        <v>116837</v>
      </c>
      <c r="O275" s="166"/>
    </row>
    <row r="276" spans="1:15">
      <c r="A276" s="972">
        <f t="shared" si="6"/>
        <v>2015.03</v>
      </c>
      <c r="B276" s="215">
        <v>181499</v>
      </c>
      <c r="C276" s="947">
        <v>19327</v>
      </c>
      <c r="D276" s="3538">
        <v>4304</v>
      </c>
      <c r="E276" s="1434">
        <v>572</v>
      </c>
      <c r="F276" s="3538">
        <v>5498</v>
      </c>
      <c r="G276" s="141">
        <v>125593</v>
      </c>
      <c r="H276" s="3665">
        <f t="shared" si="5"/>
        <v>131091</v>
      </c>
      <c r="I276" s="141">
        <v>5885</v>
      </c>
      <c r="J276" s="2774">
        <v>20320</v>
      </c>
      <c r="K276" s="141">
        <v>115435</v>
      </c>
      <c r="L276" s="223">
        <v>15036</v>
      </c>
      <c r="M276" s="3538">
        <v>804</v>
      </c>
      <c r="N276" s="318">
        <v>120127</v>
      </c>
      <c r="O276" s="166"/>
    </row>
    <row r="277" spans="1:15">
      <c r="A277" s="972">
        <f t="shared" si="6"/>
        <v>2015.04</v>
      </c>
      <c r="B277" s="215">
        <v>206067</v>
      </c>
      <c r="C277" s="947">
        <v>20127</v>
      </c>
      <c r="D277" s="3538">
        <v>5073</v>
      </c>
      <c r="E277" s="1434">
        <v>545</v>
      </c>
      <c r="F277" s="3538">
        <v>5201</v>
      </c>
      <c r="G277" s="141">
        <v>147440</v>
      </c>
      <c r="H277" s="3665">
        <f t="shared" si="5"/>
        <v>152641</v>
      </c>
      <c r="I277" s="141">
        <v>7115</v>
      </c>
      <c r="J277" s="2774">
        <v>20566</v>
      </c>
      <c r="K277" s="141">
        <v>137569</v>
      </c>
      <c r="L277" s="223">
        <v>15487</v>
      </c>
      <c r="M277" s="3538">
        <v>1183</v>
      </c>
      <c r="N277" s="318">
        <v>141589</v>
      </c>
      <c r="O277" s="166"/>
    </row>
    <row r="278" spans="1:15">
      <c r="A278" s="972">
        <f t="shared" si="6"/>
        <v>2015.05</v>
      </c>
      <c r="B278" s="215">
        <v>238834</v>
      </c>
      <c r="C278" s="947">
        <v>42009</v>
      </c>
      <c r="D278" s="3538">
        <v>5838</v>
      </c>
      <c r="E278" s="1434">
        <v>806</v>
      </c>
      <c r="F278" s="3538">
        <v>3710</v>
      </c>
      <c r="G278" s="141">
        <v>154878</v>
      </c>
      <c r="H278" s="3665">
        <f t="shared" ref="H278:H285" si="7">F278+G278</f>
        <v>158588</v>
      </c>
      <c r="I278" s="141">
        <v>10415</v>
      </c>
      <c r="J278" s="2774">
        <v>21178</v>
      </c>
      <c r="K278" s="141">
        <v>144551</v>
      </c>
      <c r="L278" s="223">
        <v>16972</v>
      </c>
      <c r="M278" s="3538">
        <v>1540</v>
      </c>
      <c r="N278" s="318">
        <v>146720</v>
      </c>
      <c r="O278" s="166"/>
    </row>
    <row r="279" spans="1:15">
      <c r="A279" s="972">
        <f t="shared" si="6"/>
        <v>2015.06</v>
      </c>
      <c r="B279" s="215">
        <v>260649</v>
      </c>
      <c r="C279" s="947">
        <v>76884</v>
      </c>
      <c r="D279" s="3538">
        <v>7690</v>
      </c>
      <c r="E279" s="1434">
        <v>1508</v>
      </c>
      <c r="F279" s="3538">
        <v>871</v>
      </c>
      <c r="G279" s="141">
        <v>133875</v>
      </c>
      <c r="H279" s="3665">
        <f t="shared" si="7"/>
        <v>134746</v>
      </c>
      <c r="I279" s="141">
        <v>18681</v>
      </c>
      <c r="J279" s="2774">
        <v>21140</v>
      </c>
      <c r="K279" s="141">
        <v>122563</v>
      </c>
      <c r="L279" s="223">
        <v>20510</v>
      </c>
      <c r="M279" s="3538">
        <v>1277</v>
      </c>
      <c r="N279" s="318">
        <v>122157</v>
      </c>
      <c r="O279" s="166"/>
    </row>
    <row r="280" spans="1:15">
      <c r="A280" s="972">
        <f t="shared" si="6"/>
        <v>2015.07</v>
      </c>
      <c r="B280" s="215">
        <v>297293</v>
      </c>
      <c r="C280" s="947">
        <v>94497</v>
      </c>
      <c r="D280" s="3538">
        <v>10345</v>
      </c>
      <c r="E280" s="1434">
        <v>1991</v>
      </c>
      <c r="F280" s="3538">
        <v>996</v>
      </c>
      <c r="G280" s="141">
        <v>146196</v>
      </c>
      <c r="H280" s="3665">
        <f>F280+G280</f>
        <v>147192</v>
      </c>
      <c r="I280" s="141">
        <v>21301</v>
      </c>
      <c r="J280" s="2774">
        <v>21967</v>
      </c>
      <c r="K280" s="141">
        <v>134799</v>
      </c>
      <c r="L280" s="223">
        <v>23734</v>
      </c>
      <c r="M280" s="3538">
        <v>1293</v>
      </c>
      <c r="N280" s="318">
        <v>134501</v>
      </c>
      <c r="O280" s="166"/>
    </row>
    <row r="281" spans="1:15">
      <c r="A281" s="972">
        <f t="shared" si="6"/>
        <v>2015.08</v>
      </c>
      <c r="B281" s="215">
        <v>283055</v>
      </c>
      <c r="C281" s="947">
        <v>67328</v>
      </c>
      <c r="D281" s="3538">
        <v>9597</v>
      </c>
      <c r="E281" s="1434">
        <v>1955</v>
      </c>
      <c r="F281" s="3538">
        <v>962</v>
      </c>
      <c r="G281" s="141">
        <v>164363</v>
      </c>
      <c r="H281" s="3665">
        <f t="shared" si="7"/>
        <v>165325</v>
      </c>
      <c r="I281" s="141">
        <v>17536</v>
      </c>
      <c r="J281" s="2774">
        <v>21314</v>
      </c>
      <c r="K281" s="141">
        <v>154340</v>
      </c>
      <c r="L281" s="223">
        <v>21576</v>
      </c>
      <c r="M281" s="3538">
        <v>1421</v>
      </c>
      <c r="N281" s="318">
        <v>153880</v>
      </c>
      <c r="O281" s="166"/>
    </row>
    <row r="282" spans="1:15">
      <c r="A282" s="972">
        <f t="shared" si="6"/>
        <v>2015.09</v>
      </c>
      <c r="B282" s="215">
        <v>265895</v>
      </c>
      <c r="C282" s="947">
        <v>60984</v>
      </c>
      <c r="D282" s="3538">
        <v>7827</v>
      </c>
      <c r="E282" s="1434">
        <v>1369</v>
      </c>
      <c r="F282" s="3538">
        <v>408</v>
      </c>
      <c r="G282" s="141">
        <v>160943</v>
      </c>
      <c r="H282" s="3665">
        <f t="shared" si="7"/>
        <v>161351</v>
      </c>
      <c r="I282" s="141">
        <v>13023</v>
      </c>
      <c r="J282" s="2774">
        <v>21341</v>
      </c>
      <c r="K282" s="141">
        <v>150073</v>
      </c>
      <c r="L282" s="223">
        <v>20065</v>
      </c>
      <c r="M282" s="3538">
        <v>861</v>
      </c>
      <c r="N282" s="318">
        <v>149621</v>
      </c>
      <c r="O282" s="166"/>
    </row>
    <row r="283" spans="1:15">
      <c r="A283" s="972">
        <f t="shared" si="6"/>
        <v>2015.1</v>
      </c>
      <c r="B283" s="215">
        <v>252396</v>
      </c>
      <c r="C283" s="947">
        <v>40287</v>
      </c>
      <c r="D283" s="3538">
        <v>6999</v>
      </c>
      <c r="E283" s="1434">
        <v>1267</v>
      </c>
      <c r="F283" s="3538">
        <v>1056</v>
      </c>
      <c r="G283" s="141">
        <v>169804</v>
      </c>
      <c r="H283" s="3665">
        <f t="shared" si="7"/>
        <v>170860</v>
      </c>
      <c r="I283" s="141">
        <v>10695</v>
      </c>
      <c r="J283" s="2774">
        <v>22288</v>
      </c>
      <c r="K283" s="141">
        <v>159268</v>
      </c>
      <c r="L283" s="223">
        <v>18803</v>
      </c>
      <c r="M283" s="3538">
        <v>1973</v>
      </c>
      <c r="N283" s="318">
        <v>158350</v>
      </c>
      <c r="O283" s="166"/>
    </row>
    <row r="284" spans="1:15">
      <c r="A284" s="972">
        <f t="shared" si="6"/>
        <v>2015.11</v>
      </c>
      <c r="B284" s="215">
        <v>208884</v>
      </c>
      <c r="C284" s="947">
        <v>24847</v>
      </c>
      <c r="D284" s="3538">
        <v>5470</v>
      </c>
      <c r="E284" s="1434">
        <v>752</v>
      </c>
      <c r="F284" s="3538">
        <v>1520</v>
      </c>
      <c r="G284" s="141">
        <v>146908</v>
      </c>
      <c r="H284" s="3665">
        <f t="shared" si="7"/>
        <v>148428</v>
      </c>
      <c r="I284" s="141">
        <v>8453</v>
      </c>
      <c r="J284" s="2774">
        <v>20934</v>
      </c>
      <c r="K284" s="141">
        <v>137734</v>
      </c>
      <c r="L284" s="223">
        <v>15393</v>
      </c>
      <c r="M284" s="3538">
        <v>814</v>
      </c>
      <c r="N284" s="318">
        <v>138443</v>
      </c>
      <c r="O284" s="166"/>
    </row>
    <row r="285" spans="1:15">
      <c r="A285" s="972">
        <f t="shared" si="6"/>
        <v>2015.12</v>
      </c>
      <c r="B285" s="215">
        <v>202462</v>
      </c>
      <c r="C285" s="947">
        <v>25227</v>
      </c>
      <c r="D285" s="3538">
        <v>5288</v>
      </c>
      <c r="E285" s="1434">
        <v>791</v>
      </c>
      <c r="F285" s="3538">
        <v>4772</v>
      </c>
      <c r="G285" s="141">
        <v>140658</v>
      </c>
      <c r="H285" s="3665">
        <f t="shared" si="7"/>
        <v>145430</v>
      </c>
      <c r="I285" s="141">
        <v>4020</v>
      </c>
      <c r="J285" s="2774">
        <v>21706</v>
      </c>
      <c r="K285" s="141">
        <v>131927</v>
      </c>
      <c r="L285" s="223">
        <v>14809</v>
      </c>
      <c r="M285" s="3538">
        <v>866</v>
      </c>
      <c r="N285" s="318">
        <v>135834</v>
      </c>
      <c r="O285" s="166"/>
    </row>
    <row r="286" spans="1:15">
      <c r="A286" s="972">
        <f t="shared" si="6"/>
        <v>2016.01</v>
      </c>
      <c r="B286" s="215">
        <v>213447</v>
      </c>
      <c r="C286" s="947">
        <v>16285</v>
      </c>
      <c r="D286" s="3538">
        <v>3833</v>
      </c>
      <c r="E286" s="1434">
        <v>523</v>
      </c>
      <c r="F286" s="3538">
        <v>9204</v>
      </c>
      <c r="G286" s="141">
        <v>158614</v>
      </c>
      <c r="H286" s="3665">
        <f t="shared" ref="H286:H299" si="8">F286+G286</f>
        <v>167818</v>
      </c>
      <c r="I286" s="141">
        <v>5275</v>
      </c>
      <c r="J286" s="2774">
        <v>19713</v>
      </c>
      <c r="K286" s="141">
        <v>150924</v>
      </c>
      <c r="L286" s="223">
        <v>12048</v>
      </c>
      <c r="M286" s="3538">
        <v>642</v>
      </c>
      <c r="N286" s="318">
        <v>159484</v>
      </c>
      <c r="O286" s="166"/>
    </row>
    <row r="287" spans="1:15">
      <c r="A287" s="972">
        <f t="shared" si="6"/>
        <v>2016.02</v>
      </c>
      <c r="B287" s="215">
        <v>194842</v>
      </c>
      <c r="C287" s="947">
        <v>15901</v>
      </c>
      <c r="D287" s="3538">
        <v>3652</v>
      </c>
      <c r="E287" s="1434">
        <v>517</v>
      </c>
      <c r="F287" s="3538">
        <v>3711</v>
      </c>
      <c r="G287" s="141">
        <v>147015</v>
      </c>
      <c r="H287" s="3665">
        <f t="shared" si="8"/>
        <v>150726</v>
      </c>
      <c r="I287" s="141">
        <v>5283</v>
      </c>
      <c r="J287" s="2774">
        <v>18763</v>
      </c>
      <c r="K287" s="141">
        <v>139058</v>
      </c>
      <c r="L287" s="223">
        <v>12127</v>
      </c>
      <c r="M287" s="3538">
        <v>532</v>
      </c>
      <c r="N287" s="318">
        <v>142236</v>
      </c>
      <c r="O287" s="166"/>
    </row>
    <row r="288" spans="1:15">
      <c r="A288" s="972">
        <f t="shared" si="6"/>
        <v>2016.03</v>
      </c>
      <c r="B288" s="215">
        <v>216344</v>
      </c>
      <c r="C288" s="947">
        <v>18895</v>
      </c>
      <c r="D288" s="3538">
        <v>4183</v>
      </c>
      <c r="E288" s="1434">
        <v>575</v>
      </c>
      <c r="F288" s="3538">
        <v>5627</v>
      </c>
      <c r="G288" s="141">
        <v>160167</v>
      </c>
      <c r="H288" s="3665">
        <f t="shared" si="8"/>
        <v>165794</v>
      </c>
      <c r="I288" s="141">
        <v>6290</v>
      </c>
      <c r="J288" s="2774">
        <v>20607</v>
      </c>
      <c r="K288" s="141">
        <v>150700</v>
      </c>
      <c r="L288" s="223">
        <v>14227</v>
      </c>
      <c r="M288" s="3538">
        <v>1359</v>
      </c>
      <c r="N288" s="318">
        <v>154966</v>
      </c>
      <c r="O288" s="166"/>
    </row>
    <row r="289" spans="1:15">
      <c r="A289" s="972">
        <f t="shared" si="6"/>
        <v>2016.04</v>
      </c>
      <c r="B289" s="215">
        <v>221603</v>
      </c>
      <c r="C289" s="947">
        <v>35924</v>
      </c>
      <c r="D289" s="3538">
        <v>8044</v>
      </c>
      <c r="E289" s="1434">
        <v>664</v>
      </c>
      <c r="F289" s="3538">
        <v>399</v>
      </c>
      <c r="G289" s="141">
        <v>146901</v>
      </c>
      <c r="H289" s="3665">
        <f t="shared" si="8"/>
        <v>147300</v>
      </c>
      <c r="I289" s="141">
        <v>9916</v>
      </c>
      <c r="J289" s="2774">
        <v>19755</v>
      </c>
      <c r="K289" s="141">
        <v>138690</v>
      </c>
      <c r="L289" s="223">
        <v>16919</v>
      </c>
      <c r="M289" s="3538">
        <v>1284</v>
      </c>
      <c r="N289" s="318">
        <v>137805</v>
      </c>
      <c r="O289" s="166"/>
    </row>
    <row r="290" spans="1:15">
      <c r="A290" s="972">
        <f t="shared" si="6"/>
        <v>2016.05</v>
      </c>
      <c r="B290" s="215">
        <v>282300</v>
      </c>
      <c r="C290" s="947">
        <v>74356</v>
      </c>
      <c r="D290" s="3538">
        <v>7791</v>
      </c>
      <c r="E290" s="1434">
        <v>1423</v>
      </c>
      <c r="F290" s="3538">
        <v>84</v>
      </c>
      <c r="G290" s="141">
        <v>158917</v>
      </c>
      <c r="H290" s="3665">
        <f t="shared" si="8"/>
        <v>159001</v>
      </c>
      <c r="I290" s="141">
        <v>19530</v>
      </c>
      <c r="J290" s="2774">
        <v>20199</v>
      </c>
      <c r="K290" s="141">
        <v>145624</v>
      </c>
      <c r="L290" s="223">
        <v>22507</v>
      </c>
      <c r="M290" s="3538">
        <v>905</v>
      </c>
      <c r="N290" s="318">
        <v>144803</v>
      </c>
      <c r="O290" s="166"/>
    </row>
    <row r="291" spans="1:15">
      <c r="A291" s="972">
        <f t="shared" si="6"/>
        <v>2016.06</v>
      </c>
      <c r="B291" s="215">
        <v>273213</v>
      </c>
      <c r="C291" s="947">
        <v>96790</v>
      </c>
      <c r="D291" s="3538">
        <v>9600</v>
      </c>
      <c r="E291" s="1434">
        <v>2091</v>
      </c>
      <c r="F291" s="3538">
        <v>145</v>
      </c>
      <c r="G291" s="141">
        <v>122699</v>
      </c>
      <c r="H291" s="3665">
        <f t="shared" si="8"/>
        <v>122844</v>
      </c>
      <c r="I291" s="141">
        <v>22406</v>
      </c>
      <c r="J291" s="2774">
        <v>19482</v>
      </c>
      <c r="K291" s="141">
        <v>113084</v>
      </c>
      <c r="L291" s="223">
        <v>21305</v>
      </c>
      <c r="M291" s="3538">
        <v>1128</v>
      </c>
      <c r="N291" s="318">
        <v>112102</v>
      </c>
      <c r="O291" s="166"/>
    </row>
    <row r="292" spans="1:15">
      <c r="A292" s="972">
        <f t="shared" si="6"/>
        <v>2016.07</v>
      </c>
      <c r="B292" s="215">
        <v>296634</v>
      </c>
      <c r="C292" s="947">
        <v>103007</v>
      </c>
      <c r="D292" s="3538">
        <v>3975</v>
      </c>
      <c r="E292" s="1434">
        <v>2528</v>
      </c>
      <c r="F292" s="3538">
        <v>80</v>
      </c>
      <c r="G292" s="141">
        <v>145515</v>
      </c>
      <c r="H292" s="3665">
        <f t="shared" si="8"/>
        <v>145595</v>
      </c>
      <c r="I292" s="141">
        <v>21247</v>
      </c>
      <c r="J292" s="2774">
        <v>20282</v>
      </c>
      <c r="K292" s="141">
        <v>128278</v>
      </c>
      <c r="L292" s="223">
        <v>23741</v>
      </c>
      <c r="M292" s="3538">
        <v>1083</v>
      </c>
      <c r="N292" s="318">
        <v>127274</v>
      </c>
      <c r="O292" s="166"/>
    </row>
    <row r="293" spans="1:15">
      <c r="A293" s="972">
        <f t="shared" si="6"/>
        <v>2016.08</v>
      </c>
      <c r="B293" s="215">
        <v>287242</v>
      </c>
      <c r="C293" s="947">
        <v>98432</v>
      </c>
      <c r="D293" s="3538">
        <v>3828</v>
      </c>
      <c r="E293" s="1434">
        <v>2416</v>
      </c>
      <c r="F293" s="3538">
        <v>379</v>
      </c>
      <c r="G293" s="141">
        <v>148861</v>
      </c>
      <c r="H293" s="3665">
        <f t="shared" si="8"/>
        <v>149240</v>
      </c>
      <c r="I293" s="141">
        <v>13271</v>
      </c>
      <c r="J293" s="2774">
        <v>20055</v>
      </c>
      <c r="K293" s="141">
        <v>132395</v>
      </c>
      <c r="L293" s="223">
        <v>22711</v>
      </c>
      <c r="M293" s="3538">
        <v>1160</v>
      </c>
      <c r="N293" s="318">
        <v>131613</v>
      </c>
      <c r="O293" s="166"/>
    </row>
    <row r="294" spans="1:15">
      <c r="A294" s="972">
        <f t="shared" si="6"/>
        <v>2016.09</v>
      </c>
      <c r="B294" s="215">
        <v>242887</v>
      </c>
      <c r="C294" s="947">
        <v>66267</v>
      </c>
      <c r="D294" s="3538">
        <v>2138</v>
      </c>
      <c r="E294" s="1434">
        <v>2068</v>
      </c>
      <c r="F294" s="3538">
        <v>2</v>
      </c>
      <c r="G294" s="141">
        <v>136501</v>
      </c>
      <c r="H294" s="3665">
        <f t="shared" si="8"/>
        <v>136503</v>
      </c>
      <c r="I294" s="141">
        <v>16362</v>
      </c>
      <c r="J294" s="2774">
        <v>19549</v>
      </c>
      <c r="K294" s="141">
        <v>123455</v>
      </c>
      <c r="L294" s="223">
        <v>17252</v>
      </c>
      <c r="M294" s="3538">
        <v>1064</v>
      </c>
      <c r="N294" s="318">
        <v>122393</v>
      </c>
      <c r="O294" s="166"/>
    </row>
    <row r="295" spans="1:15">
      <c r="A295" s="972">
        <f t="shared" si="6"/>
        <v>2016.1</v>
      </c>
      <c r="B295" s="215">
        <v>250770</v>
      </c>
      <c r="C295" s="947">
        <v>51129</v>
      </c>
      <c r="D295" s="3538">
        <v>3121</v>
      </c>
      <c r="E295" s="1434">
        <v>3406</v>
      </c>
      <c r="F295" s="3538">
        <v>0</v>
      </c>
      <c r="G295" s="141">
        <v>164876</v>
      </c>
      <c r="H295" s="3665">
        <f t="shared" si="8"/>
        <v>164876</v>
      </c>
      <c r="I295" s="141">
        <v>8810</v>
      </c>
      <c r="J295" s="2774">
        <v>19428</v>
      </c>
      <c r="K295" s="141">
        <v>149052</v>
      </c>
      <c r="L295" s="223">
        <v>22240</v>
      </c>
      <c r="M295" s="3538">
        <v>1129</v>
      </c>
      <c r="N295" s="318">
        <v>148034</v>
      </c>
      <c r="O295" s="166"/>
    </row>
    <row r="296" spans="1:15">
      <c r="A296" s="972">
        <f t="shared" si="6"/>
        <v>2016.11</v>
      </c>
      <c r="B296" s="215">
        <v>220709</v>
      </c>
      <c r="C296" s="947">
        <v>26440</v>
      </c>
      <c r="D296" s="3538">
        <v>4019</v>
      </c>
      <c r="E296" s="1434">
        <v>1855</v>
      </c>
      <c r="F296" s="3538">
        <v>5945</v>
      </c>
      <c r="G296" s="141">
        <v>153523</v>
      </c>
      <c r="H296" s="3665">
        <f t="shared" si="8"/>
        <v>159468</v>
      </c>
      <c r="I296" s="141">
        <v>10464</v>
      </c>
      <c r="J296" s="2774">
        <v>18463</v>
      </c>
      <c r="K296" s="141">
        <v>141995</v>
      </c>
      <c r="L296" s="223">
        <v>17403</v>
      </c>
      <c r="M296" s="3538">
        <v>1044</v>
      </c>
      <c r="N296" s="318">
        <v>146895</v>
      </c>
      <c r="O296" s="166"/>
    </row>
    <row r="297" spans="1:15">
      <c r="A297" s="972">
        <f t="shared" si="6"/>
        <v>2016.12</v>
      </c>
      <c r="B297" s="215">
        <v>197498</v>
      </c>
      <c r="C297" s="947">
        <v>8298</v>
      </c>
      <c r="D297" s="3538">
        <v>2448</v>
      </c>
      <c r="E297" s="1434">
        <v>1844</v>
      </c>
      <c r="F297" s="3538">
        <v>15117</v>
      </c>
      <c r="G297" s="141">
        <v>148413</v>
      </c>
      <c r="H297" s="3665">
        <f t="shared" si="8"/>
        <v>163530</v>
      </c>
      <c r="I297" s="141">
        <v>2201</v>
      </c>
      <c r="J297" s="2774">
        <v>19177</v>
      </c>
      <c r="K297" s="141">
        <v>136064</v>
      </c>
      <c r="L297" s="223">
        <v>16640</v>
      </c>
      <c r="M297" s="3538">
        <v>1074</v>
      </c>
      <c r="N297" s="318">
        <v>150108</v>
      </c>
      <c r="O297" s="166"/>
    </row>
    <row r="298" spans="1:15">
      <c r="A298" s="972">
        <f t="shared" si="6"/>
        <v>2017.01</v>
      </c>
      <c r="B298" s="215">
        <v>201027</v>
      </c>
      <c r="C298" s="947">
        <v>16971</v>
      </c>
      <c r="D298" s="3538">
        <v>2181</v>
      </c>
      <c r="E298" s="1434">
        <v>526</v>
      </c>
      <c r="F298" s="3538">
        <v>13524</v>
      </c>
      <c r="G298" s="141">
        <v>146298</v>
      </c>
      <c r="H298" s="3665">
        <f t="shared" si="8"/>
        <v>159822</v>
      </c>
      <c r="I298" s="141">
        <v>3781</v>
      </c>
      <c r="J298" s="2774">
        <v>17746</v>
      </c>
      <c r="K298" s="141">
        <v>137271</v>
      </c>
      <c r="L298" s="223">
        <v>11734</v>
      </c>
      <c r="M298" s="3538">
        <v>810</v>
      </c>
      <c r="N298" s="318">
        <v>149985</v>
      </c>
      <c r="O298" s="166"/>
    </row>
    <row r="299" spans="1:15">
      <c r="A299" s="972">
        <f t="shared" si="6"/>
        <v>2017.02</v>
      </c>
      <c r="B299" s="215">
        <v>170143</v>
      </c>
      <c r="C299" s="947">
        <v>14358</v>
      </c>
      <c r="D299" s="3538">
        <v>2206</v>
      </c>
      <c r="E299" s="1434">
        <v>514</v>
      </c>
      <c r="F299" s="3538">
        <v>3779</v>
      </c>
      <c r="G299" s="141">
        <v>127603</v>
      </c>
      <c r="H299" s="3665">
        <f t="shared" si="8"/>
        <v>131382</v>
      </c>
      <c r="I299" s="141">
        <v>4996</v>
      </c>
      <c r="J299" s="2774">
        <v>16687</v>
      </c>
      <c r="K299" s="141">
        <v>117821</v>
      </c>
      <c r="L299" s="223">
        <v>12723</v>
      </c>
      <c r="M299" s="3538">
        <v>1175</v>
      </c>
      <c r="N299" s="318">
        <v>120204</v>
      </c>
      <c r="O299" s="166"/>
    </row>
    <row r="300" spans="1:15">
      <c r="A300" s="972">
        <f t="shared" si="6"/>
        <v>2017.03</v>
      </c>
      <c r="B300" s="215">
        <v>217240</v>
      </c>
      <c r="C300" s="947">
        <v>18979</v>
      </c>
      <c r="D300" s="3538">
        <v>3209</v>
      </c>
      <c r="E300" s="1434">
        <v>636</v>
      </c>
      <c r="F300" s="3538">
        <v>6803</v>
      </c>
      <c r="G300" s="141">
        <v>163413</v>
      </c>
      <c r="H300" s="3665">
        <f t="shared" ref="H300:H345" si="9">F300+G300</f>
        <v>170216</v>
      </c>
      <c r="I300" s="141">
        <v>5914</v>
      </c>
      <c r="J300" s="2774">
        <v>18286</v>
      </c>
      <c r="K300" s="141">
        <v>151661</v>
      </c>
      <c r="L300" s="223">
        <v>16292</v>
      </c>
      <c r="M300" s="3538">
        <v>1060</v>
      </c>
      <c r="N300" s="318">
        <v>156709</v>
      </c>
      <c r="O300" s="166"/>
    </row>
    <row r="301" spans="1:15">
      <c r="A301" s="972">
        <f t="shared" si="6"/>
        <v>2017.04</v>
      </c>
      <c r="B301" s="215">
        <v>241714</v>
      </c>
      <c r="C301" s="947">
        <v>28327</v>
      </c>
      <c r="D301" s="3538">
        <v>2904</v>
      </c>
      <c r="E301" s="1434">
        <v>665</v>
      </c>
      <c r="F301" s="3538">
        <v>3475</v>
      </c>
      <c r="G301" s="141">
        <v>180773</v>
      </c>
      <c r="H301" s="3665">
        <f t="shared" si="9"/>
        <v>184248</v>
      </c>
      <c r="I301" s="141">
        <v>7658</v>
      </c>
      <c r="J301" s="2774">
        <v>17912</v>
      </c>
      <c r="K301" s="141">
        <v>168762</v>
      </c>
      <c r="L301" s="1437">
        <v>15896</v>
      </c>
      <c r="M301" s="3538">
        <v>867</v>
      </c>
      <c r="N301" s="1438">
        <v>171054</v>
      </c>
      <c r="O301" s="166"/>
    </row>
    <row r="302" spans="1:15">
      <c r="A302" s="972">
        <f t="shared" si="6"/>
        <v>2017.05</v>
      </c>
      <c r="B302" s="215">
        <v>288185</v>
      </c>
      <c r="C302" s="947">
        <v>61286</v>
      </c>
      <c r="D302" s="3538">
        <v>2877</v>
      </c>
      <c r="E302" s="1434">
        <v>1263</v>
      </c>
      <c r="F302" s="3538">
        <v>1</v>
      </c>
      <c r="G302" s="141">
        <v>191700</v>
      </c>
      <c r="H302" s="3665">
        <f t="shared" si="9"/>
        <v>191701</v>
      </c>
      <c r="I302" s="141">
        <v>12887</v>
      </c>
      <c r="J302" s="2774">
        <v>18171</v>
      </c>
      <c r="K302" s="141">
        <v>177835</v>
      </c>
      <c r="L302" s="1437">
        <v>18004</v>
      </c>
      <c r="M302" s="3538">
        <v>987</v>
      </c>
      <c r="N302" s="318">
        <v>176850</v>
      </c>
      <c r="O302" s="166"/>
    </row>
    <row r="303" spans="1:15">
      <c r="A303" s="972">
        <f t="shared" si="6"/>
        <v>2017.06</v>
      </c>
      <c r="B303" s="215">
        <v>292406</v>
      </c>
      <c r="C303" s="947">
        <v>82910</v>
      </c>
      <c r="D303" s="3538">
        <v>3462</v>
      </c>
      <c r="E303" s="1434">
        <v>2489</v>
      </c>
      <c r="F303" s="3538">
        <v>24</v>
      </c>
      <c r="G303" s="141">
        <v>167667</v>
      </c>
      <c r="H303" s="3665">
        <f t="shared" si="9"/>
        <v>167691</v>
      </c>
      <c r="I303" s="141">
        <v>17952</v>
      </c>
      <c r="J303" s="2774">
        <v>17902</v>
      </c>
      <c r="K303" s="141">
        <v>149883</v>
      </c>
      <c r="L303" s="1437">
        <v>23737</v>
      </c>
      <c r="M303" s="3538">
        <v>1219</v>
      </c>
      <c r="N303" s="318">
        <v>148686</v>
      </c>
      <c r="O303" s="166"/>
    </row>
    <row r="304" spans="1:15">
      <c r="A304" s="972">
        <f t="shared" si="6"/>
        <v>2017.07</v>
      </c>
      <c r="B304" s="215">
        <v>278798</v>
      </c>
      <c r="C304" s="947">
        <v>84809</v>
      </c>
      <c r="D304" s="3538">
        <v>3748</v>
      </c>
      <c r="E304" s="1434">
        <v>2912</v>
      </c>
      <c r="F304" s="3538">
        <v>3</v>
      </c>
      <c r="G304" s="141">
        <v>150387</v>
      </c>
      <c r="H304" s="3665">
        <f t="shared" si="9"/>
        <v>150390</v>
      </c>
      <c r="I304" s="141">
        <v>18443</v>
      </c>
      <c r="J304" s="2774">
        <v>18496</v>
      </c>
      <c r="K304" s="141">
        <v>135447</v>
      </c>
      <c r="L304" s="223">
        <v>21600</v>
      </c>
      <c r="M304" s="3538">
        <v>1001</v>
      </c>
      <c r="N304" s="318">
        <v>134449</v>
      </c>
      <c r="O304" s="166"/>
    </row>
    <row r="305" spans="1:15">
      <c r="A305" s="972">
        <f t="shared" si="6"/>
        <v>2017.08</v>
      </c>
      <c r="B305" s="215">
        <v>255461</v>
      </c>
      <c r="C305" s="947">
        <v>66838</v>
      </c>
      <c r="D305" s="3538">
        <v>3450</v>
      </c>
      <c r="E305" s="1434">
        <v>2854</v>
      </c>
      <c r="F305" s="3538">
        <v>0</v>
      </c>
      <c r="G305" s="141">
        <v>147808</v>
      </c>
      <c r="H305" s="3665">
        <f t="shared" si="9"/>
        <v>147808</v>
      </c>
      <c r="I305" s="141">
        <v>15824</v>
      </c>
      <c r="J305" s="2774">
        <v>18687</v>
      </c>
      <c r="K305" s="141">
        <v>135008</v>
      </c>
      <c r="L305" s="223">
        <v>19105</v>
      </c>
      <c r="M305" s="3538">
        <v>997</v>
      </c>
      <c r="N305" s="318">
        <v>134010</v>
      </c>
      <c r="O305" s="166"/>
    </row>
    <row r="306" spans="1:15">
      <c r="A306" s="972">
        <f t="shared" si="6"/>
        <v>2017.09</v>
      </c>
      <c r="B306" s="215">
        <v>244602</v>
      </c>
      <c r="C306" s="947">
        <v>49181</v>
      </c>
      <c r="D306" s="3538">
        <v>3043</v>
      </c>
      <c r="E306" s="1434">
        <v>2242</v>
      </c>
      <c r="F306" s="3538">
        <v>0</v>
      </c>
      <c r="G306" s="141">
        <v>159710</v>
      </c>
      <c r="H306" s="3665">
        <f t="shared" si="9"/>
        <v>159710</v>
      </c>
      <c r="I306" s="141">
        <v>12730</v>
      </c>
      <c r="J306" s="2774">
        <v>17696</v>
      </c>
      <c r="K306" s="141">
        <v>144900</v>
      </c>
      <c r="L306" s="223">
        <v>20099</v>
      </c>
      <c r="M306" s="3538">
        <v>1057</v>
      </c>
      <c r="N306" s="318">
        <v>143839</v>
      </c>
      <c r="O306" s="166"/>
    </row>
    <row r="307" spans="1:15">
      <c r="A307" s="972">
        <f t="shared" si="6"/>
        <v>2017.1</v>
      </c>
      <c r="B307" s="215">
        <v>239902</v>
      </c>
      <c r="C307" s="947">
        <v>31252</v>
      </c>
      <c r="D307" s="3538">
        <v>2783</v>
      </c>
      <c r="E307" s="1434">
        <v>1800</v>
      </c>
      <c r="F307" s="3538">
        <v>13331</v>
      </c>
      <c r="G307" s="141">
        <v>164162</v>
      </c>
      <c r="H307" s="3665">
        <f>F307+G307</f>
        <v>177493</v>
      </c>
      <c r="I307" s="141">
        <v>8333</v>
      </c>
      <c r="J307" s="2774">
        <v>18241</v>
      </c>
      <c r="K307" s="141">
        <v>153874</v>
      </c>
      <c r="L307" s="223">
        <v>14870</v>
      </c>
      <c r="M307" s="3538">
        <v>1145</v>
      </c>
      <c r="N307" s="318">
        <v>166061</v>
      </c>
      <c r="O307" s="166"/>
    </row>
    <row r="308" spans="1:15">
      <c r="A308" s="972">
        <f t="shared" si="6"/>
        <v>2017.11</v>
      </c>
      <c r="B308" s="215">
        <v>212349</v>
      </c>
      <c r="C308" s="947">
        <v>17784</v>
      </c>
      <c r="D308" s="3538">
        <v>2577</v>
      </c>
      <c r="E308" s="1434">
        <v>1192</v>
      </c>
      <c r="F308" s="3538">
        <v>17307</v>
      </c>
      <c r="G308" s="141">
        <v>149516</v>
      </c>
      <c r="H308" s="3665">
        <f t="shared" si="9"/>
        <v>166823</v>
      </c>
      <c r="I308" s="141">
        <v>6206</v>
      </c>
      <c r="J308" s="2774">
        <v>17767</v>
      </c>
      <c r="K308" s="141">
        <v>137663</v>
      </c>
      <c r="L308" s="223">
        <v>15624</v>
      </c>
      <c r="M308" s="3538">
        <v>980</v>
      </c>
      <c r="N308" s="318">
        <v>153988</v>
      </c>
      <c r="O308" s="166"/>
    </row>
    <row r="309" spans="1:15">
      <c r="A309" s="972">
        <f t="shared" si="6"/>
        <v>2017.12</v>
      </c>
      <c r="B309" s="215">
        <v>184314</v>
      </c>
      <c r="C309" s="947">
        <v>18965</v>
      </c>
      <c r="D309" s="3538">
        <v>3111</v>
      </c>
      <c r="E309" s="1434">
        <v>857</v>
      </c>
      <c r="F309" s="3538">
        <v>14195</v>
      </c>
      <c r="G309" s="141">
        <v>124146</v>
      </c>
      <c r="H309" s="3665">
        <f t="shared" si="9"/>
        <v>138341</v>
      </c>
      <c r="I309" s="141">
        <v>5107</v>
      </c>
      <c r="J309" s="2774">
        <v>17933</v>
      </c>
      <c r="K309" s="141">
        <v>117573</v>
      </c>
      <c r="L309" s="223">
        <v>10540</v>
      </c>
      <c r="M309" s="3538">
        <v>634</v>
      </c>
      <c r="N309" s="318">
        <v>131135</v>
      </c>
      <c r="O309" s="166"/>
    </row>
    <row r="310" spans="1:15">
      <c r="A310" s="972">
        <f t="shared" si="6"/>
        <v>2018.01</v>
      </c>
      <c r="B310" s="215">
        <v>201292</v>
      </c>
      <c r="C310" s="947">
        <v>16429</v>
      </c>
      <c r="D310" s="3538">
        <v>5675</v>
      </c>
      <c r="E310" s="1434">
        <v>714</v>
      </c>
      <c r="F310" s="3538">
        <v>8375</v>
      </c>
      <c r="G310" s="141">
        <v>148915</v>
      </c>
      <c r="H310" s="3665">
        <f t="shared" si="9"/>
        <v>157290</v>
      </c>
      <c r="I310" s="141">
        <v>5137</v>
      </c>
      <c r="J310" s="2774">
        <v>16047</v>
      </c>
      <c r="K310" s="141">
        <v>141031</v>
      </c>
      <c r="L310" s="223">
        <v>14154</v>
      </c>
      <c r="M310" s="3538">
        <v>320</v>
      </c>
      <c r="N310" s="318">
        <v>149205</v>
      </c>
      <c r="O310" s="166"/>
    </row>
    <row r="311" spans="1:15">
      <c r="A311" s="972">
        <f t="shared" si="6"/>
        <v>2018.02</v>
      </c>
      <c r="B311" s="215">
        <v>167514</v>
      </c>
      <c r="C311" s="947">
        <v>14193</v>
      </c>
      <c r="D311" s="3538">
        <v>3100</v>
      </c>
      <c r="E311" s="1434">
        <v>364</v>
      </c>
      <c r="F311" s="3538">
        <v>1463</v>
      </c>
      <c r="G311" s="141">
        <v>128540</v>
      </c>
      <c r="H311" s="3665">
        <f t="shared" si="9"/>
        <v>130003</v>
      </c>
      <c r="I311" s="141">
        <v>4662</v>
      </c>
      <c r="J311" s="2774">
        <v>15192</v>
      </c>
      <c r="K311" s="141">
        <v>121223</v>
      </c>
      <c r="L311" s="223">
        <v>10782</v>
      </c>
      <c r="M311" s="3538">
        <v>858</v>
      </c>
      <c r="N311" s="318">
        <v>121827</v>
      </c>
      <c r="O311" s="166"/>
    </row>
    <row r="312" spans="1:15">
      <c r="A312" s="972">
        <f t="shared" si="6"/>
        <v>2018.03</v>
      </c>
      <c r="B312" s="215">
        <v>199382</v>
      </c>
      <c r="C312" s="947">
        <v>18979</v>
      </c>
      <c r="D312" s="3538">
        <v>2635</v>
      </c>
      <c r="E312" s="1434">
        <v>359</v>
      </c>
      <c r="F312" s="3538">
        <v>177</v>
      </c>
      <c r="G312" s="141">
        <v>154370</v>
      </c>
      <c r="H312" s="3665">
        <f t="shared" si="9"/>
        <v>154547</v>
      </c>
      <c r="I312" s="141">
        <v>5668</v>
      </c>
      <c r="J312" s="2774">
        <v>17194</v>
      </c>
      <c r="K312" s="141">
        <v>143241</v>
      </c>
      <c r="L312" s="223">
        <v>14127</v>
      </c>
      <c r="M312" s="3538">
        <v>200</v>
      </c>
      <c r="N312" s="318">
        <v>143214</v>
      </c>
      <c r="O312" s="166"/>
    </row>
    <row r="313" spans="1:15">
      <c r="A313" s="972">
        <f t="shared" si="6"/>
        <v>2018.04</v>
      </c>
      <c r="B313" s="215">
        <v>206229</v>
      </c>
      <c r="C313" s="947">
        <v>18366</v>
      </c>
      <c r="D313" s="3538">
        <v>2431</v>
      </c>
      <c r="E313" s="1434">
        <v>373</v>
      </c>
      <c r="F313" s="3538">
        <v>33</v>
      </c>
      <c r="G313" s="141">
        <v>162320</v>
      </c>
      <c r="H313" s="3665">
        <f t="shared" si="9"/>
        <v>162353</v>
      </c>
      <c r="I313" s="141">
        <v>6510</v>
      </c>
      <c r="J313" s="2774">
        <v>16196</v>
      </c>
      <c r="K313" s="141">
        <v>149916</v>
      </c>
      <c r="L313" s="223">
        <v>15207</v>
      </c>
      <c r="M313" s="3538">
        <v>234</v>
      </c>
      <c r="N313" s="318">
        <v>149716</v>
      </c>
      <c r="O313" s="166"/>
    </row>
    <row r="314" spans="1:15">
      <c r="A314" s="972">
        <f t="shared" si="6"/>
        <v>2018.05</v>
      </c>
      <c r="B314" s="215">
        <v>252769</v>
      </c>
      <c r="C314" s="947">
        <v>47138</v>
      </c>
      <c r="D314" s="3538">
        <v>3331</v>
      </c>
      <c r="E314" s="1434">
        <v>364</v>
      </c>
      <c r="F314" s="3538">
        <v>0</v>
      </c>
      <c r="G314" s="141">
        <v>174296</v>
      </c>
      <c r="H314" s="3665">
        <f t="shared" si="9"/>
        <v>174296</v>
      </c>
      <c r="I314" s="141">
        <v>10925</v>
      </c>
      <c r="J314" s="2774">
        <v>16715</v>
      </c>
      <c r="K314" s="141">
        <v>158114</v>
      </c>
      <c r="L314" s="223">
        <v>19833</v>
      </c>
      <c r="M314" s="3538">
        <v>0</v>
      </c>
      <c r="N314" s="318">
        <v>158158</v>
      </c>
      <c r="O314" s="166"/>
    </row>
    <row r="315" spans="1:15">
      <c r="A315" s="972">
        <f t="shared" si="6"/>
        <v>2018.06</v>
      </c>
      <c r="B315" s="215">
        <v>296756</v>
      </c>
      <c r="C315" s="947">
        <v>86165</v>
      </c>
      <c r="D315" s="3538">
        <v>4213</v>
      </c>
      <c r="E315" s="1434">
        <v>360</v>
      </c>
      <c r="F315" s="3538">
        <v>0</v>
      </c>
      <c r="G315" s="141">
        <v>169570</v>
      </c>
      <c r="H315" s="3665">
        <f t="shared" si="9"/>
        <v>169570</v>
      </c>
      <c r="I315" s="141">
        <v>20175</v>
      </c>
      <c r="J315" s="2774">
        <v>16273</v>
      </c>
      <c r="K315" s="141">
        <v>153571</v>
      </c>
      <c r="L315" s="223">
        <v>20414</v>
      </c>
      <c r="M315" s="3538">
        <v>0</v>
      </c>
      <c r="N315" s="318">
        <v>153729</v>
      </c>
      <c r="O315" s="166"/>
    </row>
    <row r="316" spans="1:15">
      <c r="A316" s="972">
        <f t="shared" si="6"/>
        <v>2018.07</v>
      </c>
      <c r="B316" s="215">
        <v>297352</v>
      </c>
      <c r="C316" s="947">
        <v>93277</v>
      </c>
      <c r="D316" s="3538">
        <v>3384</v>
      </c>
      <c r="E316" s="1434">
        <v>387</v>
      </c>
      <c r="F316" s="3538">
        <v>0</v>
      </c>
      <c r="G316" s="141">
        <v>161543</v>
      </c>
      <c r="H316" s="3665">
        <f t="shared" si="9"/>
        <v>161543</v>
      </c>
      <c r="I316" s="141">
        <v>21488</v>
      </c>
      <c r="J316" s="2774">
        <v>17273</v>
      </c>
      <c r="K316" s="141">
        <v>140237</v>
      </c>
      <c r="L316" s="223">
        <v>25075</v>
      </c>
      <c r="M316" s="3538">
        <v>0</v>
      </c>
      <c r="N316" s="318">
        <v>140239</v>
      </c>
      <c r="O316" s="166"/>
    </row>
    <row r="317" spans="1:15">
      <c r="A317" s="972">
        <f t="shared" si="6"/>
        <v>2018.08</v>
      </c>
      <c r="B317" s="215">
        <v>272437</v>
      </c>
      <c r="C317" s="947">
        <v>84003</v>
      </c>
      <c r="D317" s="3538">
        <v>3381</v>
      </c>
      <c r="E317" s="1434">
        <v>383</v>
      </c>
      <c r="F317" s="3538">
        <v>0</v>
      </c>
      <c r="G317" s="141">
        <v>148521</v>
      </c>
      <c r="H317" s="3665">
        <f t="shared" si="9"/>
        <v>148521</v>
      </c>
      <c r="I317" s="141">
        <v>18670</v>
      </c>
      <c r="J317" s="2774">
        <v>17479</v>
      </c>
      <c r="K317" s="141">
        <v>136255</v>
      </c>
      <c r="L317" s="223">
        <v>15941</v>
      </c>
      <c r="M317" s="3538">
        <v>432</v>
      </c>
      <c r="N317" s="318">
        <v>135912</v>
      </c>
      <c r="O317" s="166"/>
    </row>
    <row r="318" spans="1:15">
      <c r="A318" s="972">
        <f t="shared" ref="A318:A381" si="10">A306+1</f>
        <v>2018.09</v>
      </c>
      <c r="B318" s="215">
        <v>217301</v>
      </c>
      <c r="C318" s="947">
        <v>32046</v>
      </c>
      <c r="D318" s="3538">
        <v>2931</v>
      </c>
      <c r="E318" s="1434">
        <v>363</v>
      </c>
      <c r="F318" s="3538">
        <v>0</v>
      </c>
      <c r="G318" s="141">
        <v>156398</v>
      </c>
      <c r="H318" s="3665">
        <f t="shared" si="9"/>
        <v>156398</v>
      </c>
      <c r="I318" s="141">
        <v>9042</v>
      </c>
      <c r="J318" s="2774">
        <v>16521</v>
      </c>
      <c r="K318" s="141">
        <v>137957</v>
      </c>
      <c r="L318" s="223">
        <v>21645</v>
      </c>
      <c r="M318" s="3538">
        <v>344</v>
      </c>
      <c r="N318" s="318">
        <v>137703</v>
      </c>
      <c r="O318" s="166"/>
    </row>
    <row r="319" spans="1:15">
      <c r="A319" s="972">
        <f t="shared" si="10"/>
        <v>2018.1</v>
      </c>
      <c r="B319" s="215">
        <v>218974</v>
      </c>
      <c r="C319" s="947">
        <v>26291</v>
      </c>
      <c r="D319" s="3538">
        <v>2660</v>
      </c>
      <c r="E319" s="1434">
        <v>389</v>
      </c>
      <c r="F319" s="3538">
        <v>0</v>
      </c>
      <c r="G319" s="141">
        <v>165631</v>
      </c>
      <c r="H319" s="3665">
        <f t="shared" si="9"/>
        <v>165631</v>
      </c>
      <c r="I319" s="141">
        <v>6928</v>
      </c>
      <c r="J319" s="2774">
        <v>17075</v>
      </c>
      <c r="K319" s="141">
        <v>153096</v>
      </c>
      <c r="L319" s="223">
        <v>15585</v>
      </c>
      <c r="M319" s="3538">
        <v>421</v>
      </c>
      <c r="N319" s="318">
        <v>152674</v>
      </c>
      <c r="O319" s="166"/>
    </row>
    <row r="320" spans="1:15">
      <c r="A320" s="972">
        <f t="shared" si="10"/>
        <v>2018.11</v>
      </c>
      <c r="B320" s="215">
        <v>207176</v>
      </c>
      <c r="C320" s="947">
        <v>22206</v>
      </c>
      <c r="D320" s="3538">
        <v>2429</v>
      </c>
      <c r="E320" s="1434">
        <v>388</v>
      </c>
      <c r="F320" s="3538">
        <v>0</v>
      </c>
      <c r="G320" s="141">
        <v>160450</v>
      </c>
      <c r="H320" s="3665">
        <f t="shared" si="9"/>
        <v>160450</v>
      </c>
      <c r="I320" s="141">
        <v>5811</v>
      </c>
      <c r="J320" s="2774">
        <v>15892</v>
      </c>
      <c r="K320" s="141">
        <v>151422</v>
      </c>
      <c r="L320" s="223">
        <v>11396</v>
      </c>
      <c r="M320" s="3538">
        <v>359</v>
      </c>
      <c r="N320" s="318">
        <v>151512</v>
      </c>
      <c r="O320" s="166"/>
    </row>
    <row r="321" spans="1:15">
      <c r="A321" s="972">
        <f t="shared" si="10"/>
        <v>2018.12</v>
      </c>
      <c r="B321" s="215">
        <v>165843</v>
      </c>
      <c r="C321" s="947">
        <v>14556</v>
      </c>
      <c r="D321" s="3538">
        <v>6565</v>
      </c>
      <c r="E321" s="1434">
        <v>679</v>
      </c>
      <c r="F321" s="3538">
        <v>0</v>
      </c>
      <c r="G321" s="141">
        <v>121639</v>
      </c>
      <c r="H321" s="3665">
        <f t="shared" si="9"/>
        <v>121639</v>
      </c>
      <c r="I321" s="141">
        <v>5040</v>
      </c>
      <c r="J321" s="2774">
        <v>17364</v>
      </c>
      <c r="K321" s="141">
        <v>129135</v>
      </c>
      <c r="L321" s="223">
        <v>12553</v>
      </c>
      <c r="M321" s="3538">
        <v>315</v>
      </c>
      <c r="N321" s="318">
        <v>116015</v>
      </c>
      <c r="O321" s="166"/>
    </row>
    <row r="322" spans="1:15">
      <c r="A322" s="972">
        <f t="shared" si="10"/>
        <v>2019.01</v>
      </c>
      <c r="B322" s="215">
        <v>171493</v>
      </c>
      <c r="C322" s="947">
        <v>14988</v>
      </c>
      <c r="D322" s="3538">
        <v>8875</v>
      </c>
      <c r="E322" s="1434">
        <v>405</v>
      </c>
      <c r="F322" s="3538">
        <v>405</v>
      </c>
      <c r="G322" s="141">
        <v>128244</v>
      </c>
      <c r="H322" s="3665">
        <f>F322+G322</f>
        <v>128649</v>
      </c>
      <c r="I322" s="141">
        <v>2994</v>
      </c>
      <c r="J322" s="2774">
        <v>15827</v>
      </c>
      <c r="K322" s="141">
        <v>124571</v>
      </c>
      <c r="L322" s="223">
        <v>12708</v>
      </c>
      <c r="M322" s="3538">
        <v>138</v>
      </c>
      <c r="N322" s="318">
        <v>124838</v>
      </c>
      <c r="O322" s="166"/>
    </row>
    <row r="323" spans="1:15">
      <c r="A323" s="972">
        <f t="shared" si="10"/>
        <v>2019.02</v>
      </c>
      <c r="B323" s="215">
        <v>153106</v>
      </c>
      <c r="C323" s="947">
        <v>13447</v>
      </c>
      <c r="D323" s="3538">
        <v>9279</v>
      </c>
      <c r="E323" s="1434">
        <v>781</v>
      </c>
      <c r="F323" s="3538">
        <v>781</v>
      </c>
      <c r="G323" s="141">
        <v>111106</v>
      </c>
      <c r="H323" s="3665">
        <f>F323+G323</f>
        <v>111887</v>
      </c>
      <c r="I323" s="141">
        <v>3041</v>
      </c>
      <c r="J323" s="2774">
        <v>14978</v>
      </c>
      <c r="K323" s="141">
        <v>107557</v>
      </c>
      <c r="L323" s="223">
        <v>13303</v>
      </c>
      <c r="M323" s="3538">
        <v>202</v>
      </c>
      <c r="N323" s="318">
        <v>108135</v>
      </c>
      <c r="O323" s="166"/>
    </row>
    <row r="324" spans="1:15">
      <c r="A324" s="972">
        <f t="shared" si="10"/>
        <v>2019.03</v>
      </c>
      <c r="B324" s="215">
        <v>178685</v>
      </c>
      <c r="C324" s="947">
        <v>18118</v>
      </c>
      <c r="D324" s="3538">
        <v>11638</v>
      </c>
      <c r="E324" s="1434">
        <v>8</v>
      </c>
      <c r="F324" s="3538">
        <v>8</v>
      </c>
      <c r="G324" s="141">
        <v>127952</v>
      </c>
      <c r="H324" s="3665">
        <f t="shared" si="9"/>
        <v>127960</v>
      </c>
      <c r="I324" s="141">
        <v>3920</v>
      </c>
      <c r="J324" s="2774">
        <v>16469</v>
      </c>
      <c r="K324" s="141">
        <v>122616</v>
      </c>
      <c r="L324" s="223">
        <v>17552</v>
      </c>
      <c r="M324" s="3538">
        <v>308</v>
      </c>
      <c r="N324" s="318">
        <v>122318</v>
      </c>
      <c r="O324" s="166"/>
    </row>
    <row r="325" spans="1:15">
      <c r="A325" s="972">
        <f t="shared" si="10"/>
        <v>2019.04</v>
      </c>
      <c r="B325" s="215">
        <v>203478</v>
      </c>
      <c r="C325" s="947">
        <v>23818</v>
      </c>
      <c r="D325" s="3538">
        <v>9850</v>
      </c>
      <c r="E325" s="1434">
        <v>274</v>
      </c>
      <c r="F325" s="3538">
        <v>274</v>
      </c>
      <c r="G325" s="141">
        <v>147472</v>
      </c>
      <c r="H325" s="3665">
        <f t="shared" si="9"/>
        <v>147746</v>
      </c>
      <c r="I325" s="141">
        <v>5212</v>
      </c>
      <c r="J325" s="2774">
        <v>16303</v>
      </c>
      <c r="K325" s="141">
        <v>142465</v>
      </c>
      <c r="L325" s="223">
        <v>15404</v>
      </c>
      <c r="M325" s="3538">
        <v>234</v>
      </c>
      <c r="N325" s="318">
        <v>142506</v>
      </c>
      <c r="O325" s="166"/>
    </row>
    <row r="326" spans="1:15">
      <c r="A326" s="972">
        <f t="shared" si="10"/>
        <v>2019.05</v>
      </c>
      <c r="B326" s="215">
        <v>240412</v>
      </c>
      <c r="C326" s="947">
        <v>51105</v>
      </c>
      <c r="D326" s="3538">
        <v>12028</v>
      </c>
      <c r="E326" s="1434">
        <v>37</v>
      </c>
      <c r="F326" s="3538">
        <v>37</v>
      </c>
      <c r="G326" s="141">
        <v>151676</v>
      </c>
      <c r="H326" s="3665">
        <f t="shared" si="9"/>
        <v>151713</v>
      </c>
      <c r="I326" s="141">
        <v>7503</v>
      </c>
      <c r="J326" s="2774">
        <v>16874</v>
      </c>
      <c r="K326" s="141">
        <v>146931</v>
      </c>
      <c r="L326" s="223">
        <v>17961</v>
      </c>
      <c r="M326" s="3538">
        <v>319</v>
      </c>
      <c r="N326" s="318">
        <v>146650</v>
      </c>
      <c r="O326" s="166"/>
    </row>
    <row r="327" spans="1:15">
      <c r="A327" s="972">
        <f t="shared" si="10"/>
        <v>2019.06</v>
      </c>
      <c r="B327" s="215">
        <v>257717</v>
      </c>
      <c r="C327" s="947">
        <v>66338</v>
      </c>
      <c r="D327" s="3538">
        <v>11359</v>
      </c>
      <c r="E327" s="1434">
        <v>94</v>
      </c>
      <c r="F327" s="3538">
        <v>94</v>
      </c>
      <c r="G327" s="141">
        <v>150504</v>
      </c>
      <c r="H327" s="3665">
        <f t="shared" si="9"/>
        <v>150598</v>
      </c>
      <c r="I327" s="141">
        <v>10619</v>
      </c>
      <c r="J327" s="2774">
        <v>16786</v>
      </c>
      <c r="K327" s="141">
        <v>144053</v>
      </c>
      <c r="L327" s="223">
        <v>19826</v>
      </c>
      <c r="M327" s="3538">
        <v>350</v>
      </c>
      <c r="N327" s="318">
        <v>143797</v>
      </c>
      <c r="O327" s="166"/>
    </row>
    <row r="328" spans="1:15">
      <c r="A328" s="972">
        <f t="shared" si="10"/>
        <v>2019.07</v>
      </c>
      <c r="B328" s="215">
        <v>270746</v>
      </c>
      <c r="C328" s="947">
        <v>91248</v>
      </c>
      <c r="D328" s="3538">
        <v>11633</v>
      </c>
      <c r="E328" s="1434">
        <v>232</v>
      </c>
      <c r="F328" s="3538">
        <v>232</v>
      </c>
      <c r="G328" s="141">
        <v>132706</v>
      </c>
      <c r="H328" s="3665">
        <f t="shared" si="9"/>
        <v>132938</v>
      </c>
      <c r="I328" s="141">
        <v>14412</v>
      </c>
      <c r="J328" s="2774">
        <v>17533</v>
      </c>
      <c r="K328" s="141">
        <v>124037</v>
      </c>
      <c r="L328" s="223">
        <v>23285</v>
      </c>
      <c r="M328" s="3538">
        <v>310</v>
      </c>
      <c r="N328" s="318">
        <v>123958</v>
      </c>
      <c r="O328" s="166"/>
    </row>
    <row r="329" spans="1:15">
      <c r="A329" s="972">
        <f t="shared" si="10"/>
        <v>2019.08</v>
      </c>
      <c r="B329" s="215">
        <v>254442</v>
      </c>
      <c r="C329" s="947">
        <v>73727</v>
      </c>
      <c r="D329" s="3538">
        <v>12340</v>
      </c>
      <c r="E329" s="1434">
        <v>69</v>
      </c>
      <c r="F329" s="3538">
        <v>69</v>
      </c>
      <c r="G329" s="141">
        <v>134991</v>
      </c>
      <c r="H329" s="3665">
        <f t="shared" si="9"/>
        <v>135060</v>
      </c>
      <c r="I329" s="141">
        <v>12259</v>
      </c>
      <c r="J329" s="2774">
        <v>17897</v>
      </c>
      <c r="K329" s="141">
        <v>127290</v>
      </c>
      <c r="L329" s="223">
        <v>23202</v>
      </c>
      <c r="M329" s="3538">
        <v>323</v>
      </c>
      <c r="N329" s="318">
        <v>127035</v>
      </c>
      <c r="O329" s="166"/>
    </row>
    <row r="330" spans="1:15">
      <c r="A330" s="972">
        <f t="shared" si="10"/>
        <v>2019.09</v>
      </c>
      <c r="B330" s="215">
        <v>219198</v>
      </c>
      <c r="C330" s="947">
        <v>47354</v>
      </c>
      <c r="D330" s="3538">
        <v>10800</v>
      </c>
      <c r="E330" s="1434">
        <v>4</v>
      </c>
      <c r="F330" s="3538">
        <v>4</v>
      </c>
      <c r="G330" s="141">
        <v>133240</v>
      </c>
      <c r="H330" s="3665">
        <f t="shared" si="9"/>
        <v>133244</v>
      </c>
      <c r="I330" s="141">
        <v>8923</v>
      </c>
      <c r="J330" s="2774">
        <v>16890</v>
      </c>
      <c r="K330" s="141">
        <v>126505</v>
      </c>
      <c r="L330" s="223">
        <v>20329</v>
      </c>
      <c r="M330" s="3538">
        <v>249</v>
      </c>
      <c r="N330" s="318">
        <v>126257</v>
      </c>
      <c r="O330" s="166"/>
    </row>
    <row r="331" spans="1:15">
      <c r="A331" s="972">
        <f t="shared" si="10"/>
        <v>2019.1</v>
      </c>
      <c r="B331" s="215">
        <v>210524</v>
      </c>
      <c r="C331" s="947">
        <v>28946</v>
      </c>
      <c r="D331" s="3538">
        <v>10717</v>
      </c>
      <c r="E331" s="1434">
        <v>161</v>
      </c>
      <c r="F331" s="3538">
        <v>161</v>
      </c>
      <c r="G331" s="141">
        <v>145879</v>
      </c>
      <c r="H331" s="3665">
        <f t="shared" si="9"/>
        <v>146040</v>
      </c>
      <c r="I331" s="141">
        <v>5293</v>
      </c>
      <c r="J331" s="2774">
        <v>17752</v>
      </c>
      <c r="K331" s="141">
        <v>141048</v>
      </c>
      <c r="L331" s="223">
        <v>17323</v>
      </c>
      <c r="M331" s="3538">
        <v>231</v>
      </c>
      <c r="N331" s="318">
        <v>140979</v>
      </c>
      <c r="O331" s="166"/>
    </row>
    <row r="332" spans="1:15">
      <c r="A332" s="972">
        <f t="shared" si="10"/>
        <v>2019.11</v>
      </c>
      <c r="B332" s="215">
        <v>171897</v>
      </c>
      <c r="C332" s="947">
        <v>15387</v>
      </c>
      <c r="D332" s="3538">
        <v>9767</v>
      </c>
      <c r="E332" s="1434">
        <v>135</v>
      </c>
      <c r="F332" s="3538">
        <v>135</v>
      </c>
      <c r="G332" s="141">
        <v>125220</v>
      </c>
      <c r="H332" s="3665">
        <f>F332+G332</f>
        <v>125355</v>
      </c>
      <c r="I332" s="141">
        <v>3286</v>
      </c>
      <c r="J332" s="2774">
        <v>17082</v>
      </c>
      <c r="K332" s="141">
        <v>121124</v>
      </c>
      <c r="L332" s="223">
        <v>14882</v>
      </c>
      <c r="M332" s="3538">
        <v>213</v>
      </c>
      <c r="N332" s="318">
        <v>121047</v>
      </c>
      <c r="O332" s="166"/>
    </row>
    <row r="333" spans="1:15">
      <c r="A333" s="972">
        <f t="shared" si="10"/>
        <v>2019.12</v>
      </c>
      <c r="B333" s="215">
        <v>150470</v>
      </c>
      <c r="C333" s="947">
        <v>16628</v>
      </c>
      <c r="D333" s="3538">
        <v>9388</v>
      </c>
      <c r="E333" s="1434">
        <v>440</v>
      </c>
      <c r="F333" s="3538">
        <v>440</v>
      </c>
      <c r="G333" s="141">
        <v>102778</v>
      </c>
      <c r="H333" s="3665">
        <f t="shared" si="9"/>
        <v>103218</v>
      </c>
      <c r="I333" s="141">
        <v>2910</v>
      </c>
      <c r="J333" s="2774">
        <v>17655</v>
      </c>
      <c r="K333" s="141">
        <v>99053</v>
      </c>
      <c r="L333" s="223">
        <v>13783</v>
      </c>
      <c r="M333" s="3538">
        <v>151</v>
      </c>
      <c r="N333" s="318">
        <v>99343</v>
      </c>
      <c r="O333" s="166"/>
    </row>
    <row r="334" spans="1:15">
      <c r="A334" s="972">
        <f t="shared" si="10"/>
        <v>2020.01</v>
      </c>
      <c r="B334" s="215">
        <v>141050</v>
      </c>
      <c r="C334" s="947">
        <v>15194</v>
      </c>
      <c r="D334" s="3538">
        <v>8726</v>
      </c>
      <c r="E334" s="1434">
        <v>236</v>
      </c>
      <c r="F334" s="3538">
        <v>236</v>
      </c>
      <c r="G334" s="141">
        <v>97101</v>
      </c>
      <c r="H334" s="3665">
        <f t="shared" si="9"/>
        <v>97337</v>
      </c>
      <c r="I334" s="141">
        <v>2909</v>
      </c>
      <c r="J334" s="2774">
        <v>16378</v>
      </c>
      <c r="K334" s="141">
        <v>93988</v>
      </c>
      <c r="L334" s="223">
        <v>12346</v>
      </c>
      <c r="M334" s="3538">
        <v>162</v>
      </c>
      <c r="N334" s="318">
        <v>94060</v>
      </c>
      <c r="O334" s="166"/>
    </row>
    <row r="335" spans="1:15">
      <c r="A335" s="972">
        <f t="shared" si="10"/>
        <v>2020.02</v>
      </c>
      <c r="B335" s="215">
        <v>153199</v>
      </c>
      <c r="C335" s="947">
        <v>15096</v>
      </c>
      <c r="D335" s="3538">
        <v>9508</v>
      </c>
      <c r="E335" s="1434">
        <v>1760</v>
      </c>
      <c r="F335" s="3538">
        <v>1760</v>
      </c>
      <c r="G335" s="141">
        <v>107731</v>
      </c>
      <c r="H335" s="3665">
        <f t="shared" si="9"/>
        <v>109491</v>
      </c>
      <c r="I335" s="141">
        <v>2907</v>
      </c>
      <c r="J335" s="2774">
        <v>15720</v>
      </c>
      <c r="K335" s="141">
        <v>104806</v>
      </c>
      <c r="L335" s="223">
        <v>12908</v>
      </c>
      <c r="M335" s="3538">
        <v>216</v>
      </c>
      <c r="N335" s="318">
        <v>106351</v>
      </c>
      <c r="O335" s="166"/>
    </row>
    <row r="336" spans="1:15">
      <c r="A336" s="972">
        <f t="shared" si="10"/>
        <v>2020.03</v>
      </c>
      <c r="B336" s="215">
        <v>151043</v>
      </c>
      <c r="C336" s="947">
        <v>16968</v>
      </c>
      <c r="D336" s="3538">
        <v>10092</v>
      </c>
      <c r="E336" s="1434">
        <v>150</v>
      </c>
      <c r="F336" s="3538">
        <v>150</v>
      </c>
      <c r="G336" s="141">
        <v>108172</v>
      </c>
      <c r="H336" s="3665">
        <f t="shared" si="9"/>
        <v>108322</v>
      </c>
      <c r="I336" s="141">
        <v>3463</v>
      </c>
      <c r="J336" s="2774">
        <v>11695</v>
      </c>
      <c r="K336" s="141">
        <v>104530</v>
      </c>
      <c r="L336" s="223">
        <v>14236</v>
      </c>
      <c r="M336" s="3538">
        <v>309</v>
      </c>
      <c r="N336" s="318">
        <v>104371</v>
      </c>
      <c r="O336" s="166"/>
    </row>
    <row r="337" spans="1:15">
      <c r="A337" s="972">
        <f t="shared" si="10"/>
        <v>2020.04</v>
      </c>
      <c r="B337" s="215">
        <v>145162</v>
      </c>
      <c r="C337" s="947">
        <v>26221</v>
      </c>
      <c r="D337" s="3538">
        <v>8938</v>
      </c>
      <c r="E337" s="1434">
        <v>1</v>
      </c>
      <c r="F337" s="3538">
        <v>1</v>
      </c>
      <c r="G337" s="141">
        <v>99186</v>
      </c>
      <c r="H337" s="3665">
        <f t="shared" si="9"/>
        <v>99187</v>
      </c>
      <c r="I337" s="141">
        <v>4352</v>
      </c>
      <c r="J337" s="2774">
        <v>6197</v>
      </c>
      <c r="K337" s="141">
        <v>96808</v>
      </c>
      <c r="L337" s="223">
        <v>11583</v>
      </c>
      <c r="M337" s="3538">
        <v>182</v>
      </c>
      <c r="N337" s="318">
        <v>96627</v>
      </c>
      <c r="O337" s="166"/>
    </row>
    <row r="338" spans="1:15">
      <c r="A338" s="972">
        <f t="shared" si="10"/>
        <v>2020.05</v>
      </c>
      <c r="B338" s="215">
        <v>192416</v>
      </c>
      <c r="C338" s="947">
        <v>54817</v>
      </c>
      <c r="D338" s="3538">
        <v>9778</v>
      </c>
      <c r="E338" s="1434">
        <v>0</v>
      </c>
      <c r="F338" s="3538">
        <v>0</v>
      </c>
      <c r="G338" s="141">
        <v>109579</v>
      </c>
      <c r="H338" s="3665">
        <f t="shared" si="9"/>
        <v>109579</v>
      </c>
      <c r="I338" s="141">
        <v>7566</v>
      </c>
      <c r="J338" s="2774">
        <v>9903</v>
      </c>
      <c r="K338" s="141">
        <v>106686</v>
      </c>
      <c r="L338" s="223">
        <v>13442</v>
      </c>
      <c r="M338" s="3538">
        <v>545</v>
      </c>
      <c r="N338" s="318">
        <v>106143</v>
      </c>
      <c r="O338" s="166"/>
    </row>
    <row r="339" spans="1:15">
      <c r="A339" s="972">
        <f t="shared" si="10"/>
        <v>2020.06</v>
      </c>
      <c r="B339" s="215">
        <v>226342</v>
      </c>
      <c r="C339" s="947">
        <v>82166</v>
      </c>
      <c r="D339" s="3538">
        <v>11704</v>
      </c>
      <c r="E339" s="1434">
        <v>1</v>
      </c>
      <c r="F339" s="3538">
        <v>1</v>
      </c>
      <c r="G339" s="141">
        <v>106326</v>
      </c>
      <c r="H339" s="3665">
        <f t="shared" si="9"/>
        <v>106327</v>
      </c>
      <c r="I339" s="141">
        <v>14029</v>
      </c>
      <c r="J339" s="2774">
        <v>12366</v>
      </c>
      <c r="K339" s="141">
        <v>103395</v>
      </c>
      <c r="L339" s="223">
        <v>15872</v>
      </c>
      <c r="M339" s="3538">
        <v>680</v>
      </c>
      <c r="N339" s="318">
        <v>102719</v>
      </c>
      <c r="O339" s="166"/>
    </row>
    <row r="340" spans="1:15">
      <c r="A340" s="972">
        <f t="shared" si="10"/>
        <v>2020.07</v>
      </c>
      <c r="B340" s="215">
        <v>281043</v>
      </c>
      <c r="C340" s="947">
        <v>102857</v>
      </c>
      <c r="D340" s="3538">
        <v>12065</v>
      </c>
      <c r="E340" s="1434">
        <v>312</v>
      </c>
      <c r="F340" s="3538">
        <v>312</v>
      </c>
      <c r="G340" s="141">
        <v>133259</v>
      </c>
      <c r="H340" s="3665">
        <f t="shared" si="9"/>
        <v>133571</v>
      </c>
      <c r="I340" s="141">
        <v>16431</v>
      </c>
      <c r="J340" s="2774">
        <v>14272</v>
      </c>
      <c r="K340" s="141">
        <v>128125</v>
      </c>
      <c r="L340" s="223">
        <v>19048</v>
      </c>
      <c r="M340" s="3538">
        <v>541</v>
      </c>
      <c r="N340" s="318">
        <v>127896</v>
      </c>
      <c r="O340" s="166"/>
    </row>
    <row r="341" spans="1:15">
      <c r="A341" s="972">
        <f t="shared" si="10"/>
        <v>2020.08</v>
      </c>
      <c r="B341" s="215">
        <v>228270</v>
      </c>
      <c r="C341" s="947">
        <v>67168</v>
      </c>
      <c r="D341" s="3538">
        <v>11020</v>
      </c>
      <c r="E341" s="1434">
        <v>186</v>
      </c>
      <c r="F341" s="3538">
        <v>186</v>
      </c>
      <c r="G341" s="141">
        <v>124131</v>
      </c>
      <c r="H341" s="3665">
        <f t="shared" si="9"/>
        <v>124317</v>
      </c>
      <c r="I341" s="141">
        <v>10717</v>
      </c>
      <c r="J341" s="2774">
        <v>13206</v>
      </c>
      <c r="K341" s="141">
        <v>118847</v>
      </c>
      <c r="L341" s="223">
        <v>18148</v>
      </c>
      <c r="M341" s="3538">
        <v>441</v>
      </c>
      <c r="N341" s="318">
        <v>118590</v>
      </c>
      <c r="O341" s="166"/>
    </row>
    <row r="342" spans="1:15">
      <c r="A342" s="972">
        <f t="shared" si="10"/>
        <v>2020.09</v>
      </c>
      <c r="B342" s="215">
        <v>194814</v>
      </c>
      <c r="C342" s="947">
        <v>48148</v>
      </c>
      <c r="D342" s="3538">
        <v>11505</v>
      </c>
      <c r="E342" s="1434">
        <v>24</v>
      </c>
      <c r="F342" s="3538">
        <v>24</v>
      </c>
      <c r="G342" s="141">
        <v>112250</v>
      </c>
      <c r="H342" s="3665">
        <f t="shared" si="9"/>
        <v>112274</v>
      </c>
      <c r="I342" s="141">
        <v>9238</v>
      </c>
      <c r="J342" s="2774">
        <v>12163</v>
      </c>
      <c r="K342" s="141">
        <v>107437</v>
      </c>
      <c r="L342" s="223">
        <v>17804</v>
      </c>
      <c r="M342" s="3538">
        <v>409</v>
      </c>
      <c r="N342" s="318">
        <v>107051</v>
      </c>
      <c r="O342" s="166"/>
    </row>
    <row r="343" spans="1:15">
      <c r="A343" s="972">
        <f t="shared" si="10"/>
        <v>2020.1</v>
      </c>
      <c r="B343" s="215">
        <v>179252</v>
      </c>
      <c r="C343" s="947">
        <v>27036</v>
      </c>
      <c r="D343" s="3538">
        <v>11553</v>
      </c>
      <c r="E343" s="1434">
        <v>0</v>
      </c>
      <c r="F343" s="3538">
        <v>0</v>
      </c>
      <c r="G343" s="141">
        <v>121658</v>
      </c>
      <c r="H343" s="3665">
        <f t="shared" si="9"/>
        <v>121658</v>
      </c>
      <c r="I343" s="141">
        <v>5236</v>
      </c>
      <c r="J343" s="2774">
        <v>13273</v>
      </c>
      <c r="K343" s="141">
        <v>118115</v>
      </c>
      <c r="L343" s="223">
        <v>16111</v>
      </c>
      <c r="M343" s="3538">
        <v>345</v>
      </c>
      <c r="N343" s="318">
        <v>117770</v>
      </c>
      <c r="O343" s="166"/>
    </row>
    <row r="344" spans="1:15">
      <c r="A344" s="972">
        <f t="shared" si="10"/>
        <v>2020.11</v>
      </c>
      <c r="B344" s="215">
        <v>156349</v>
      </c>
      <c r="C344" s="947">
        <v>16761</v>
      </c>
      <c r="D344" s="3538">
        <v>10320</v>
      </c>
      <c r="E344" s="1434">
        <v>203</v>
      </c>
      <c r="F344" s="3538">
        <v>203</v>
      </c>
      <c r="G344" s="141">
        <v>111062</v>
      </c>
      <c r="H344" s="3665">
        <f t="shared" si="9"/>
        <v>111265</v>
      </c>
      <c r="I344" s="141">
        <v>4154</v>
      </c>
      <c r="J344" s="2774">
        <v>14052</v>
      </c>
      <c r="K344" s="141">
        <v>107943</v>
      </c>
      <c r="L344" s="223">
        <v>14097</v>
      </c>
      <c r="M344" s="3538">
        <v>328</v>
      </c>
      <c r="N344" s="318">
        <v>107818</v>
      </c>
      <c r="O344" s="166"/>
    </row>
    <row r="345" spans="1:15">
      <c r="A345" s="972">
        <f t="shared" si="10"/>
        <v>2020.12</v>
      </c>
      <c r="B345" s="215">
        <v>124547</v>
      </c>
      <c r="C345" s="947">
        <v>15469</v>
      </c>
      <c r="D345" s="3538">
        <v>8633</v>
      </c>
      <c r="E345" s="1434">
        <v>110</v>
      </c>
      <c r="F345" s="3538">
        <v>110</v>
      </c>
      <c r="G345" s="141">
        <v>80629</v>
      </c>
      <c r="H345" s="3665">
        <f t="shared" si="9"/>
        <v>80739</v>
      </c>
      <c r="I345" s="141">
        <v>4490</v>
      </c>
      <c r="J345" s="2774">
        <v>15888</v>
      </c>
      <c r="K345" s="141">
        <v>77560</v>
      </c>
      <c r="L345" s="223">
        <v>12182</v>
      </c>
      <c r="M345" s="3538">
        <v>336</v>
      </c>
      <c r="N345" s="318">
        <v>77334</v>
      </c>
      <c r="O345" s="166"/>
    </row>
    <row r="346" spans="1:15">
      <c r="A346" s="972">
        <f t="shared" si="10"/>
        <v>2021.01</v>
      </c>
      <c r="B346" s="215">
        <v>168555</v>
      </c>
      <c r="C346" s="947">
        <v>14393</v>
      </c>
      <c r="D346" s="3538">
        <v>8891</v>
      </c>
      <c r="E346" s="1434">
        <v>84</v>
      </c>
      <c r="F346" s="3538">
        <v>84</v>
      </c>
      <c r="G346" s="141">
        <v>127127</v>
      </c>
      <c r="H346" s="3665">
        <f t="shared" ref="H346:H405" si="11">F346+G346</f>
        <v>127211</v>
      </c>
      <c r="I346" s="141">
        <v>3022</v>
      </c>
      <c r="J346" s="2774">
        <v>14621</v>
      </c>
      <c r="K346" s="141">
        <v>124306</v>
      </c>
      <c r="L346" s="223">
        <v>12129</v>
      </c>
      <c r="M346" s="3538">
        <v>430</v>
      </c>
      <c r="N346" s="318">
        <v>123959</v>
      </c>
      <c r="O346" s="166"/>
    </row>
    <row r="347" spans="1:15">
      <c r="A347" s="972">
        <f t="shared" si="10"/>
        <v>2021.02</v>
      </c>
      <c r="B347" s="215">
        <v>165229</v>
      </c>
      <c r="C347" s="947">
        <v>14077</v>
      </c>
      <c r="D347" s="3538">
        <v>9617</v>
      </c>
      <c r="E347" s="1434">
        <v>0</v>
      </c>
      <c r="F347" s="3538">
        <v>0</v>
      </c>
      <c r="G347" s="141">
        <v>123996</v>
      </c>
      <c r="H347" s="3665">
        <f t="shared" si="11"/>
        <v>123996</v>
      </c>
      <c r="I347" s="141">
        <v>2843</v>
      </c>
      <c r="J347" s="2774">
        <v>14307</v>
      </c>
      <c r="K347" s="141">
        <v>121417</v>
      </c>
      <c r="L347" s="223">
        <v>12585</v>
      </c>
      <c r="M347" s="3538">
        <v>439</v>
      </c>
      <c r="N347" s="318">
        <v>120978</v>
      </c>
      <c r="O347" s="166"/>
    </row>
    <row r="348" spans="1:15">
      <c r="A348" s="972">
        <f t="shared" si="10"/>
        <v>2021.03</v>
      </c>
      <c r="B348" s="215">
        <v>188238</v>
      </c>
      <c r="C348" s="947">
        <v>17347</v>
      </c>
      <c r="D348" s="3538">
        <v>12718</v>
      </c>
      <c r="E348" s="1434">
        <v>417</v>
      </c>
      <c r="F348" s="3538">
        <v>417</v>
      </c>
      <c r="G348" s="141">
        <v>137250</v>
      </c>
      <c r="H348" s="3665">
        <f t="shared" si="11"/>
        <v>137667</v>
      </c>
      <c r="I348" s="141">
        <v>3509</v>
      </c>
      <c r="J348" s="2774">
        <v>16506</v>
      </c>
      <c r="K348" s="141">
        <v>133063</v>
      </c>
      <c r="L348" s="223">
        <v>17397</v>
      </c>
      <c r="M348" s="3538">
        <v>520</v>
      </c>
      <c r="N348" s="318">
        <v>132959</v>
      </c>
      <c r="O348" s="166"/>
    </row>
    <row r="349" spans="1:15">
      <c r="A349" s="972">
        <f t="shared" si="10"/>
        <v>2021.04</v>
      </c>
      <c r="B349" s="215">
        <v>201460</v>
      </c>
      <c r="C349" s="947">
        <v>18942</v>
      </c>
      <c r="D349" s="3538">
        <v>12417</v>
      </c>
      <c r="E349" s="1434">
        <v>77</v>
      </c>
      <c r="F349" s="3538">
        <v>77</v>
      </c>
      <c r="G349" s="141">
        <v>150160</v>
      </c>
      <c r="H349" s="3665">
        <f t="shared" si="11"/>
        <v>150237</v>
      </c>
      <c r="I349" s="141">
        <v>4193</v>
      </c>
      <c r="J349" s="2774">
        <v>15091</v>
      </c>
      <c r="K349" s="141">
        <v>145357</v>
      </c>
      <c r="L349" s="223">
        <v>17800</v>
      </c>
      <c r="M349" s="3538">
        <v>421</v>
      </c>
      <c r="N349" s="318">
        <v>145013</v>
      </c>
      <c r="O349" s="166"/>
    </row>
    <row r="350" spans="1:15">
      <c r="A350" s="972">
        <v>2021.05</v>
      </c>
      <c r="B350" s="215">
        <v>252385</v>
      </c>
      <c r="C350" s="947">
        <v>65400</v>
      </c>
      <c r="D350" s="3538">
        <v>8866</v>
      </c>
      <c r="E350" s="1434">
        <v>636</v>
      </c>
      <c r="F350" s="3538">
        <v>636</v>
      </c>
      <c r="G350" s="141">
        <v>154399</v>
      </c>
      <c r="H350" s="3665">
        <v>153737</v>
      </c>
      <c r="I350" s="141">
        <v>8503</v>
      </c>
      <c r="J350" s="2774">
        <v>13488</v>
      </c>
      <c r="K350" s="141">
        <v>148942</v>
      </c>
      <c r="L350" s="223">
        <v>15626</v>
      </c>
      <c r="M350" s="3538">
        <v>439</v>
      </c>
      <c r="N350" s="318">
        <v>149138</v>
      </c>
      <c r="O350" s="166"/>
    </row>
    <row r="351" spans="1:15">
      <c r="A351" s="972">
        <v>2021.06</v>
      </c>
      <c r="B351" s="215">
        <v>274512</v>
      </c>
      <c r="C351" s="947">
        <v>85014</v>
      </c>
      <c r="D351" s="3538">
        <v>9145</v>
      </c>
      <c r="E351" s="1434">
        <v>101</v>
      </c>
      <c r="F351" s="3538">
        <v>101</v>
      </c>
      <c r="G351" s="141">
        <v>149511</v>
      </c>
      <c r="H351" s="3665">
        <v>149612</v>
      </c>
      <c r="I351" s="141">
        <v>14592</v>
      </c>
      <c r="J351" s="2774">
        <v>14029</v>
      </c>
      <c r="K351" s="141">
        <v>142326</v>
      </c>
      <c r="L351" s="223">
        <v>18453</v>
      </c>
      <c r="M351" s="3538">
        <v>464</v>
      </c>
      <c r="N351" s="318">
        <v>141961</v>
      </c>
      <c r="O351" s="166"/>
    </row>
    <row r="352" spans="1:15">
      <c r="A352" s="972">
        <v>2021.07</v>
      </c>
      <c r="B352" s="215">
        <v>289578</v>
      </c>
      <c r="C352" s="947">
        <v>87100</v>
      </c>
      <c r="D352" s="3538">
        <v>9838</v>
      </c>
      <c r="E352" s="1434">
        <v>253</v>
      </c>
      <c r="F352" s="3538">
        <v>253</v>
      </c>
      <c r="G352" s="141">
        <v>156406</v>
      </c>
      <c r="H352" s="3665">
        <v>156659</v>
      </c>
      <c r="I352" s="141">
        <v>16183</v>
      </c>
      <c r="J352" s="2774">
        <v>16319</v>
      </c>
      <c r="K352" s="141">
        <v>147548</v>
      </c>
      <c r="L352" s="223">
        <v>22175</v>
      </c>
      <c r="M352" s="3538">
        <v>548</v>
      </c>
      <c r="N352" s="318">
        <v>147253</v>
      </c>
      <c r="O352" s="166"/>
    </row>
    <row r="353" spans="1:15">
      <c r="A353" s="972">
        <v>2021.08</v>
      </c>
      <c r="B353" s="215">
        <v>255153</v>
      </c>
      <c r="C353" s="947">
        <v>62285</v>
      </c>
      <c r="D353" s="3538">
        <v>9099</v>
      </c>
      <c r="E353" s="1434">
        <v>315</v>
      </c>
      <c r="F353" s="3538">
        <v>315</v>
      </c>
      <c r="G353" s="141">
        <v>150001</v>
      </c>
      <c r="H353" s="3665">
        <v>150316</v>
      </c>
      <c r="I353" s="141">
        <v>12943</v>
      </c>
      <c r="J353" s="2774">
        <v>16665</v>
      </c>
      <c r="K353" s="141">
        <v>141324</v>
      </c>
      <c r="L353" s="223">
        <v>21620</v>
      </c>
      <c r="M353" s="3538">
        <v>562</v>
      </c>
      <c r="N353" s="318">
        <v>141079</v>
      </c>
      <c r="O353" s="166"/>
    </row>
    <row r="354" spans="1:15">
      <c r="A354" s="972">
        <v>2021.09</v>
      </c>
      <c r="B354" s="215">
        <v>225689</v>
      </c>
      <c r="C354" s="947">
        <v>37134</v>
      </c>
      <c r="D354" s="3538">
        <v>8568</v>
      </c>
      <c r="E354" s="1434">
        <v>0</v>
      </c>
      <c r="F354" s="3538">
        <v>0</v>
      </c>
      <c r="G354" s="141">
        <v>152629</v>
      </c>
      <c r="H354" s="3665">
        <v>152629</v>
      </c>
      <c r="I354" s="141">
        <v>7281</v>
      </c>
      <c r="J354" s="2774">
        <v>16794</v>
      </c>
      <c r="K354" s="141">
        <v>144931</v>
      </c>
      <c r="L354" s="223">
        <v>19550</v>
      </c>
      <c r="M354" s="3538">
        <v>532</v>
      </c>
      <c r="N354" s="318">
        <v>144398</v>
      </c>
      <c r="O354" s="166"/>
    </row>
    <row r="355" spans="1:15">
      <c r="A355" s="972">
        <v>2021.1</v>
      </c>
      <c r="B355" s="215">
        <v>189250</v>
      </c>
      <c r="C355" s="947">
        <v>24070</v>
      </c>
      <c r="D355" s="3538">
        <v>8677</v>
      </c>
      <c r="E355" s="1434">
        <v>108</v>
      </c>
      <c r="F355" s="3538">
        <v>108</v>
      </c>
      <c r="G355" s="141">
        <v>131558</v>
      </c>
      <c r="H355" s="3665">
        <v>131666</v>
      </c>
      <c r="I355" s="141">
        <v>5471</v>
      </c>
      <c r="J355" s="2774">
        <v>17331</v>
      </c>
      <c r="K355" s="141">
        <v>124723</v>
      </c>
      <c r="L355" s="223">
        <v>17544</v>
      </c>
      <c r="M355" s="3538">
        <v>522</v>
      </c>
      <c r="N355" s="318">
        <v>124312</v>
      </c>
      <c r="O355" s="166"/>
    </row>
    <row r="356" spans="1:15">
      <c r="A356" s="972">
        <v>2021.11</v>
      </c>
      <c r="B356" s="215">
        <v>176965</v>
      </c>
      <c r="C356" s="947">
        <v>14748</v>
      </c>
      <c r="D356" s="3538">
        <v>9130</v>
      </c>
      <c r="E356" s="1434">
        <v>273</v>
      </c>
      <c r="F356" s="3538">
        <v>273</v>
      </c>
      <c r="G356" s="141">
        <v>130075</v>
      </c>
      <c r="H356" s="3665">
        <v>130348</v>
      </c>
      <c r="I356" s="141">
        <v>4495</v>
      </c>
      <c r="J356" s="2774">
        <v>16855</v>
      </c>
      <c r="K356" s="141">
        <v>123736</v>
      </c>
      <c r="L356" s="223">
        <v>16859</v>
      </c>
      <c r="M356" s="3538">
        <v>565</v>
      </c>
      <c r="N356" s="318">
        <v>123443</v>
      </c>
      <c r="O356" s="166"/>
    </row>
    <row r="357" spans="1:15">
      <c r="A357" s="972">
        <v>2021.12</v>
      </c>
      <c r="B357" s="215">
        <v>165547</v>
      </c>
      <c r="C357" s="947">
        <v>9934</v>
      </c>
      <c r="D357" s="3538">
        <v>8188</v>
      </c>
      <c r="E357" s="1434">
        <v>637</v>
      </c>
      <c r="F357" s="3538">
        <v>637</v>
      </c>
      <c r="G357" s="141">
        <v>124726</v>
      </c>
      <c r="H357" s="3665">
        <v>125363</v>
      </c>
      <c r="I357" s="141">
        <v>3619</v>
      </c>
      <c r="J357" s="2774">
        <v>17523</v>
      </c>
      <c r="K357" s="141">
        <v>119111</v>
      </c>
      <c r="L357" s="223">
        <v>14724</v>
      </c>
      <c r="M357" s="3538">
        <v>461</v>
      </c>
      <c r="N357" s="318">
        <v>119287</v>
      </c>
      <c r="O357" s="166"/>
    </row>
    <row r="358" spans="1:15">
      <c r="A358" s="972">
        <v>2022.01</v>
      </c>
      <c r="B358" s="215">
        <v>153280</v>
      </c>
      <c r="C358" s="947">
        <v>13092</v>
      </c>
      <c r="D358" s="3538">
        <v>6398</v>
      </c>
      <c r="E358" s="1434">
        <v>1196</v>
      </c>
      <c r="F358" s="3538">
        <v>1196</v>
      </c>
      <c r="G358" s="141">
        <v>114372</v>
      </c>
      <c r="H358" s="3665">
        <v>115568</v>
      </c>
      <c r="I358" s="141">
        <v>3138</v>
      </c>
      <c r="J358" s="2774">
        <v>14412</v>
      </c>
      <c r="K358" s="141">
        <v>109804</v>
      </c>
      <c r="L358" s="223">
        <v>11639</v>
      </c>
      <c r="M358" s="3538">
        <v>432</v>
      </c>
      <c r="N358" s="318">
        <v>110566</v>
      </c>
      <c r="O358" s="166"/>
    </row>
    <row r="359" spans="1:15">
      <c r="A359" s="972">
        <v>2022.02</v>
      </c>
      <c r="B359" s="215">
        <v>150005</v>
      </c>
      <c r="C359" s="947">
        <v>14318</v>
      </c>
      <c r="D359" s="3538">
        <v>7562</v>
      </c>
      <c r="E359" s="1434">
        <v>344</v>
      </c>
      <c r="F359" s="3538">
        <v>344</v>
      </c>
      <c r="G359" s="141">
        <v>108870</v>
      </c>
      <c r="H359" s="3665">
        <v>109214</v>
      </c>
      <c r="I359" s="141">
        <v>3594</v>
      </c>
      <c r="J359" s="2774">
        <v>14644</v>
      </c>
      <c r="K359" s="141">
        <v>103607</v>
      </c>
      <c r="L359" s="223">
        <v>13498</v>
      </c>
      <c r="M359" s="3538">
        <v>426</v>
      </c>
      <c r="N359" s="318">
        <v>103527</v>
      </c>
      <c r="O359" s="166"/>
    </row>
    <row r="360" spans="1:15">
      <c r="A360" s="972">
        <v>2022.03</v>
      </c>
      <c r="B360" s="1439">
        <v>179855</v>
      </c>
      <c r="C360" s="1200">
        <v>22537</v>
      </c>
      <c r="D360" s="3538">
        <v>8542</v>
      </c>
      <c r="E360" s="1434">
        <v>1192</v>
      </c>
      <c r="F360" s="3538">
        <v>1192</v>
      </c>
      <c r="G360" s="141">
        <v>125628</v>
      </c>
      <c r="H360" s="3665">
        <v>126820</v>
      </c>
      <c r="I360" s="141">
        <v>4712</v>
      </c>
      <c r="J360" s="2774">
        <v>16484</v>
      </c>
      <c r="K360" s="141">
        <v>119262</v>
      </c>
      <c r="L360" s="223">
        <v>15668</v>
      </c>
      <c r="M360" s="3538">
        <v>479</v>
      </c>
      <c r="N360" s="318">
        <v>119976</v>
      </c>
      <c r="O360" s="166"/>
    </row>
    <row r="361" spans="1:15">
      <c r="A361" s="972">
        <v>2022.04</v>
      </c>
      <c r="B361" s="215">
        <v>205011</v>
      </c>
      <c r="C361" s="947">
        <v>31361</v>
      </c>
      <c r="D361" s="3538">
        <v>8732</v>
      </c>
      <c r="E361" s="1434">
        <v>14</v>
      </c>
      <c r="F361" s="3538">
        <v>14</v>
      </c>
      <c r="G361" s="141">
        <v>141907</v>
      </c>
      <c r="H361" s="3665">
        <v>141921</v>
      </c>
      <c r="I361" s="141">
        <v>5548</v>
      </c>
      <c r="J361" s="2774">
        <v>16369</v>
      </c>
      <c r="K361" s="141">
        <v>134180</v>
      </c>
      <c r="L361" s="223">
        <v>17538</v>
      </c>
      <c r="M361" s="3538">
        <v>475</v>
      </c>
      <c r="N361" s="318">
        <v>133720</v>
      </c>
      <c r="O361" s="166"/>
    </row>
    <row r="362" spans="1:15">
      <c r="A362" s="972">
        <v>2022.05</v>
      </c>
      <c r="B362" s="215">
        <v>258593</v>
      </c>
      <c r="C362" s="947">
        <v>70176</v>
      </c>
      <c r="D362" s="3538">
        <v>8491</v>
      </c>
      <c r="E362" s="1434">
        <v>1</v>
      </c>
      <c r="F362" s="3538">
        <v>1</v>
      </c>
      <c r="G362" s="141">
        <v>149908</v>
      </c>
      <c r="H362" s="3665">
        <v>149909</v>
      </c>
      <c r="I362" s="141">
        <v>11207</v>
      </c>
      <c r="J362" s="2774">
        <v>16736</v>
      </c>
      <c r="K362" s="141">
        <v>141654</v>
      </c>
      <c r="L362" s="223">
        <v>18819</v>
      </c>
      <c r="M362" s="3538">
        <v>495</v>
      </c>
      <c r="N362" s="318">
        <v>141160</v>
      </c>
      <c r="O362" s="166"/>
    </row>
    <row r="363" spans="1:15">
      <c r="A363" s="972">
        <v>2022.06</v>
      </c>
      <c r="B363" s="215">
        <v>306168</v>
      </c>
      <c r="C363" s="947">
        <v>103284</v>
      </c>
      <c r="D363" s="3538">
        <v>7472</v>
      </c>
      <c r="E363" s="1434">
        <v>6</v>
      </c>
      <c r="F363" s="3538">
        <v>6</v>
      </c>
      <c r="G363" s="141">
        <v>159845</v>
      </c>
      <c r="H363" s="3665">
        <v>159851</v>
      </c>
      <c r="I363" s="141">
        <v>15279</v>
      </c>
      <c r="J363" s="2774">
        <v>16643</v>
      </c>
      <c r="K363" s="141">
        <v>149546</v>
      </c>
      <c r="L363" s="223">
        <v>21411</v>
      </c>
      <c r="M363" s="3538">
        <v>464</v>
      </c>
      <c r="N363" s="318">
        <v>149089</v>
      </c>
      <c r="O363" s="166"/>
    </row>
    <row r="364" spans="1:15">
      <c r="A364" s="972">
        <v>2022.07</v>
      </c>
      <c r="B364" s="215">
        <v>266569</v>
      </c>
      <c r="C364" s="947">
        <v>85758</v>
      </c>
      <c r="D364" s="3538">
        <v>7275</v>
      </c>
      <c r="E364" s="1434">
        <v>125</v>
      </c>
      <c r="F364" s="3538">
        <v>125</v>
      </c>
      <c r="G364" s="141">
        <v>138570</v>
      </c>
      <c r="H364" s="3665">
        <v>138695</v>
      </c>
      <c r="I364" s="141">
        <v>13179</v>
      </c>
      <c r="J364" s="2774">
        <v>16823</v>
      </c>
      <c r="K364" s="141">
        <v>127325</v>
      </c>
      <c r="L364" s="223">
        <v>22819</v>
      </c>
      <c r="M364" s="3538">
        <v>542</v>
      </c>
      <c r="N364" s="318">
        <v>126908</v>
      </c>
      <c r="O364" s="166"/>
    </row>
    <row r="365" spans="1:15">
      <c r="A365" s="972">
        <f t="shared" si="10"/>
        <v>2022.08</v>
      </c>
      <c r="B365" s="215">
        <v>227967</v>
      </c>
      <c r="C365" s="947">
        <v>71975</v>
      </c>
      <c r="D365" s="3538">
        <v>7131</v>
      </c>
      <c r="E365" s="1434">
        <v>321</v>
      </c>
      <c r="F365" s="3538">
        <v>321</v>
      </c>
      <c r="G365" s="141">
        <v>115422</v>
      </c>
      <c r="H365" s="3665">
        <v>138695</v>
      </c>
      <c r="I365" s="141">
        <v>12595</v>
      </c>
      <c r="J365" s="2774">
        <v>16636</v>
      </c>
      <c r="K365" s="141">
        <v>104364</v>
      </c>
      <c r="L365" s="223">
        <v>22074</v>
      </c>
      <c r="M365" s="3538">
        <v>511</v>
      </c>
      <c r="N365" s="318">
        <v>104176</v>
      </c>
      <c r="O365" s="166"/>
    </row>
    <row r="366" spans="1:15">
      <c r="A366" s="972">
        <f t="shared" si="10"/>
        <v>2022.09</v>
      </c>
      <c r="B366" s="215">
        <v>198151</v>
      </c>
      <c r="C366" s="947">
        <v>42127</v>
      </c>
      <c r="D366" s="3538">
        <v>6997</v>
      </c>
      <c r="E366" s="1434">
        <v>23</v>
      </c>
      <c r="F366" s="3538">
        <v>23</v>
      </c>
      <c r="G366" s="141">
        <v>120473</v>
      </c>
      <c r="H366" s="3665">
        <f t="shared" si="11"/>
        <v>120496</v>
      </c>
      <c r="I366" s="141">
        <v>9073</v>
      </c>
      <c r="J366" s="2774">
        <v>16109</v>
      </c>
      <c r="K366" s="141">
        <v>110756</v>
      </c>
      <c r="L366" s="223">
        <v>20062</v>
      </c>
      <c r="M366" s="3538">
        <v>521</v>
      </c>
      <c r="N366" s="318">
        <v>110259</v>
      </c>
      <c r="O366" s="166"/>
    </row>
    <row r="367" spans="1:15">
      <c r="A367" s="972">
        <f t="shared" si="10"/>
        <v>2022.1</v>
      </c>
      <c r="B367" s="215">
        <v>189942</v>
      </c>
      <c r="C367" s="947">
        <v>26562</v>
      </c>
      <c r="D367" s="3538">
        <v>6539</v>
      </c>
      <c r="E367" s="1434">
        <v>262</v>
      </c>
      <c r="F367" s="3538">
        <v>262</v>
      </c>
      <c r="G367" s="141">
        <v>132298</v>
      </c>
      <c r="H367" s="3665">
        <f t="shared" si="11"/>
        <v>132560</v>
      </c>
      <c r="I367" s="141">
        <v>5547</v>
      </c>
      <c r="J367" s="2774">
        <v>16302</v>
      </c>
      <c r="K367" s="141">
        <v>124182</v>
      </c>
      <c r="L367" s="223">
        <v>17087</v>
      </c>
      <c r="M367" s="3538">
        <v>520</v>
      </c>
      <c r="N367" s="318">
        <v>123924</v>
      </c>
      <c r="O367" s="166"/>
    </row>
    <row r="368" spans="1:15">
      <c r="A368" s="972">
        <f t="shared" si="10"/>
        <v>2022.11</v>
      </c>
      <c r="B368" s="215">
        <v>182187</v>
      </c>
      <c r="C368" s="947">
        <v>13658</v>
      </c>
      <c r="D368" s="3538">
        <v>6922</v>
      </c>
      <c r="E368" s="1434">
        <v>315</v>
      </c>
      <c r="F368" s="3538">
        <v>315</v>
      </c>
      <c r="G368" s="141">
        <v>139471</v>
      </c>
      <c r="H368" s="3665">
        <f t="shared" si="11"/>
        <v>139786</v>
      </c>
      <c r="I368" s="141">
        <v>4558</v>
      </c>
      <c r="J368" s="2774">
        <v>15569</v>
      </c>
      <c r="K368" s="141">
        <v>131556</v>
      </c>
      <c r="L368" s="223">
        <v>16529</v>
      </c>
      <c r="M368" s="3538">
        <v>498</v>
      </c>
      <c r="N368" s="318">
        <v>131374</v>
      </c>
      <c r="O368" s="166"/>
    </row>
    <row r="369" spans="1:15">
      <c r="A369" s="972">
        <f t="shared" si="10"/>
        <v>2022.12</v>
      </c>
      <c r="B369" s="215">
        <v>166931</v>
      </c>
      <c r="C369" s="947">
        <v>11692</v>
      </c>
      <c r="D369" s="3538">
        <v>6345</v>
      </c>
      <c r="E369" s="1434">
        <v>2195</v>
      </c>
      <c r="F369" s="3538">
        <v>2195</v>
      </c>
      <c r="G369" s="141">
        <v>126029</v>
      </c>
      <c r="H369" s="3665">
        <f t="shared" si="11"/>
        <v>128224</v>
      </c>
      <c r="I369" s="141">
        <v>3737</v>
      </c>
      <c r="J369" s="2774">
        <v>15852</v>
      </c>
      <c r="K369" s="141">
        <v>119436</v>
      </c>
      <c r="L369" s="223">
        <v>14019</v>
      </c>
      <c r="M369" s="3538">
        <v>481</v>
      </c>
      <c r="N369" s="318">
        <v>121150</v>
      </c>
      <c r="O369" s="166"/>
    </row>
    <row r="370" spans="1:15">
      <c r="A370" s="972">
        <f t="shared" si="10"/>
        <v>2023.01</v>
      </c>
      <c r="B370" s="215">
        <v>142736</v>
      </c>
      <c r="C370" s="947">
        <v>10418</v>
      </c>
      <c r="D370" s="3538">
        <v>5771</v>
      </c>
      <c r="E370" s="1434">
        <v>348</v>
      </c>
      <c r="F370" s="3538">
        <v>348</v>
      </c>
      <c r="G370" s="141">
        <v>107344</v>
      </c>
      <c r="H370" s="3665">
        <f t="shared" si="11"/>
        <v>107692</v>
      </c>
      <c r="I370" s="141">
        <v>3441</v>
      </c>
      <c r="J370" s="2774">
        <v>14597</v>
      </c>
      <c r="K370" s="141">
        <v>101281</v>
      </c>
      <c r="L370" s="223">
        <v>12651</v>
      </c>
      <c r="M370" s="3538">
        <v>478</v>
      </c>
      <c r="N370" s="318">
        <v>101151</v>
      </c>
      <c r="O370" s="166"/>
    </row>
    <row r="371" spans="1:15">
      <c r="A371" s="972">
        <f t="shared" si="10"/>
        <v>2023.02</v>
      </c>
      <c r="B371" s="215">
        <v>132166</v>
      </c>
      <c r="C371" s="947">
        <v>12720</v>
      </c>
      <c r="D371" s="3538">
        <v>6069</v>
      </c>
      <c r="E371" s="1434">
        <v>1475</v>
      </c>
      <c r="F371" s="3538">
        <v>1475</v>
      </c>
      <c r="G371" s="141">
        <v>94163</v>
      </c>
      <c r="H371" s="3665">
        <f t="shared" si="11"/>
        <v>95638</v>
      </c>
      <c r="I371" s="141">
        <v>3288</v>
      </c>
      <c r="J371" s="2774">
        <v>13692</v>
      </c>
      <c r="K371" s="141">
        <v>88406</v>
      </c>
      <c r="L371" s="223">
        <v>12575</v>
      </c>
      <c r="M371" s="3538">
        <v>448</v>
      </c>
      <c r="N371" s="318">
        <v>89443</v>
      </c>
      <c r="O371" s="166"/>
    </row>
    <row r="372" spans="1:15">
      <c r="A372" s="972">
        <f t="shared" si="10"/>
        <v>2023.03</v>
      </c>
      <c r="B372" s="215">
        <v>154316</v>
      </c>
      <c r="C372" s="947">
        <v>14210</v>
      </c>
      <c r="D372" s="3538">
        <v>7195</v>
      </c>
      <c r="E372" s="1434">
        <v>493</v>
      </c>
      <c r="F372" s="3538">
        <v>493</v>
      </c>
      <c r="G372" s="141">
        <v>112073</v>
      </c>
      <c r="H372" s="3665">
        <f t="shared" si="11"/>
        <v>112566</v>
      </c>
      <c r="I372" s="141">
        <v>4095</v>
      </c>
      <c r="J372" s="2774">
        <v>15792</v>
      </c>
      <c r="K372" s="141">
        <v>105766</v>
      </c>
      <c r="L372" s="223">
        <v>14339</v>
      </c>
      <c r="M372" s="3538">
        <v>523</v>
      </c>
      <c r="N372" s="318">
        <v>105739</v>
      </c>
      <c r="O372" s="166"/>
    </row>
    <row r="373" spans="1:15">
      <c r="A373" s="972">
        <f t="shared" si="10"/>
        <v>2023.04</v>
      </c>
      <c r="B373" s="215">
        <v>177659</v>
      </c>
      <c r="C373" s="947">
        <v>25690</v>
      </c>
      <c r="D373" s="3538">
        <v>10652</v>
      </c>
      <c r="E373" s="1434">
        <v>120</v>
      </c>
      <c r="F373" s="3538">
        <v>120</v>
      </c>
      <c r="G373" s="141">
        <v>120678</v>
      </c>
      <c r="H373" s="3665">
        <f t="shared" si="11"/>
        <v>120798</v>
      </c>
      <c r="I373" s="141">
        <v>4432</v>
      </c>
      <c r="J373" s="2774">
        <v>14930</v>
      </c>
      <c r="K373" s="141">
        <v>115517</v>
      </c>
      <c r="L373" s="223">
        <v>16972</v>
      </c>
      <c r="M373" s="3538">
        <v>539</v>
      </c>
      <c r="N373" s="318">
        <v>115095</v>
      </c>
      <c r="O373" s="166"/>
    </row>
    <row r="374" spans="1:15">
      <c r="A374" s="972">
        <f t="shared" si="10"/>
        <v>2023.05</v>
      </c>
      <c r="B374" s="215">
        <v>214969</v>
      </c>
      <c r="C374" s="947">
        <v>44716</v>
      </c>
      <c r="D374" s="3538">
        <v>9411</v>
      </c>
      <c r="E374" s="1434">
        <v>14</v>
      </c>
      <c r="F374" s="3538">
        <v>14</v>
      </c>
      <c r="G374" s="141">
        <v>136420</v>
      </c>
      <c r="H374" s="3665">
        <f t="shared" si="11"/>
        <v>136434</v>
      </c>
      <c r="I374" s="141">
        <v>7206</v>
      </c>
      <c r="J374" s="2774">
        <v>15479</v>
      </c>
      <c r="K374" s="141">
        <v>130584</v>
      </c>
      <c r="L374" s="223">
        <v>16969</v>
      </c>
      <c r="M374" s="3538">
        <v>447</v>
      </c>
      <c r="N374" s="318">
        <v>130151</v>
      </c>
      <c r="O374" s="166"/>
    </row>
    <row r="375" spans="1:15">
      <c r="A375" s="972">
        <f t="shared" si="10"/>
        <v>2023.06</v>
      </c>
      <c r="B375" s="215">
        <v>240778</v>
      </c>
      <c r="C375" s="947">
        <v>75683</v>
      </c>
      <c r="D375" s="3538">
        <v>9145</v>
      </c>
      <c r="E375" s="1434">
        <v>189</v>
      </c>
      <c r="F375" s="3538">
        <v>189</v>
      </c>
      <c r="G375" s="141">
        <v>125795</v>
      </c>
      <c r="H375" s="3665">
        <f t="shared" si="11"/>
        <v>125984</v>
      </c>
      <c r="I375" s="141">
        <v>12043</v>
      </c>
      <c r="J375" s="2774">
        <v>15384</v>
      </c>
      <c r="K375" s="141">
        <v>119209</v>
      </c>
      <c r="L375" s="223">
        <v>18271</v>
      </c>
      <c r="M375" s="3538">
        <v>481</v>
      </c>
      <c r="N375" s="318">
        <v>118917</v>
      </c>
      <c r="O375" s="166"/>
    </row>
    <row r="376" spans="1:15">
      <c r="A376" s="972">
        <f t="shared" si="10"/>
        <v>2023.07</v>
      </c>
      <c r="B376" s="215">
        <v>236815</v>
      </c>
      <c r="C376" s="947">
        <v>89695</v>
      </c>
      <c r="D376" s="3538">
        <v>8564</v>
      </c>
      <c r="E376" s="1434">
        <v>3501</v>
      </c>
      <c r="F376" s="3538">
        <v>0</v>
      </c>
      <c r="G376" s="141">
        <v>106198</v>
      </c>
      <c r="H376" s="3665">
        <f t="shared" si="11"/>
        <v>106198</v>
      </c>
      <c r="I376" s="141">
        <v>13193</v>
      </c>
      <c r="J376" s="2774">
        <v>15664</v>
      </c>
      <c r="K376" s="141">
        <v>98294</v>
      </c>
      <c r="L376" s="223">
        <v>19969</v>
      </c>
      <c r="M376" s="3538">
        <v>411</v>
      </c>
      <c r="N376" s="318">
        <v>97883</v>
      </c>
      <c r="O376" s="166"/>
    </row>
    <row r="377" spans="1:15">
      <c r="A377" s="972">
        <f t="shared" si="10"/>
        <v>2023.08</v>
      </c>
      <c r="B377" s="215">
        <v>208424</v>
      </c>
      <c r="C377" s="947">
        <v>67333</v>
      </c>
      <c r="D377" s="3538">
        <v>9196</v>
      </c>
      <c r="E377" s="1434">
        <v>3888</v>
      </c>
      <c r="F377" s="3538">
        <v>493</v>
      </c>
      <c r="G377" s="141">
        <v>100274</v>
      </c>
      <c r="H377" s="3665">
        <f t="shared" si="11"/>
        <v>100767</v>
      </c>
      <c r="I377" s="141">
        <v>11471</v>
      </c>
      <c r="J377" s="2774">
        <v>15769</v>
      </c>
      <c r="K377" s="141">
        <v>90963</v>
      </c>
      <c r="L377" s="223">
        <v>22394</v>
      </c>
      <c r="M377" s="3538">
        <v>429</v>
      </c>
      <c r="N377" s="318">
        <v>91028</v>
      </c>
      <c r="O377" s="166"/>
    </row>
    <row r="378" spans="1:15">
      <c r="A378" s="972">
        <f t="shared" si="10"/>
        <v>2023.09</v>
      </c>
      <c r="B378" s="215">
        <v>199852</v>
      </c>
      <c r="C378" s="947">
        <v>51722</v>
      </c>
      <c r="D378" s="3538">
        <v>9236</v>
      </c>
      <c r="E378" s="1434">
        <v>3513</v>
      </c>
      <c r="F378" s="3538">
        <v>554</v>
      </c>
      <c r="G378" s="141">
        <v>110468</v>
      </c>
      <c r="H378" s="3665">
        <f t="shared" si="11"/>
        <v>111022</v>
      </c>
      <c r="I378" s="141">
        <v>9217</v>
      </c>
      <c r="J378" s="2774">
        <v>15142</v>
      </c>
      <c r="K378" s="141">
        <v>102385</v>
      </c>
      <c r="L378" s="223">
        <v>20815</v>
      </c>
      <c r="M378" s="3538">
        <v>401</v>
      </c>
      <c r="N378" s="318">
        <v>102555</v>
      </c>
      <c r="O378" s="166"/>
    </row>
    <row r="379" spans="1:15">
      <c r="A379" s="972">
        <f t="shared" si="10"/>
        <v>2023.1</v>
      </c>
      <c r="B379" s="215">
        <v>176963</v>
      </c>
      <c r="C379" s="947">
        <v>24713</v>
      </c>
      <c r="D379" s="3538">
        <v>6154</v>
      </c>
      <c r="E379" s="1434">
        <v>659</v>
      </c>
      <c r="F379" s="3538">
        <v>1282</v>
      </c>
      <c r="G379" s="141">
        <v>121623</v>
      </c>
      <c r="H379" s="3665">
        <f t="shared" si="11"/>
        <v>122905</v>
      </c>
      <c r="I379" s="141">
        <v>5348</v>
      </c>
      <c r="J379" s="2774">
        <v>15499</v>
      </c>
      <c r="K379" s="141">
        <v>110124</v>
      </c>
      <c r="L379" s="223">
        <v>18312</v>
      </c>
      <c r="M379" s="3538">
        <v>389</v>
      </c>
      <c r="N379" s="318">
        <v>111018</v>
      </c>
      <c r="O379" s="166"/>
    </row>
    <row r="380" spans="1:15">
      <c r="A380" s="972">
        <f t="shared" si="10"/>
        <v>2023.11</v>
      </c>
      <c r="B380" s="215">
        <v>162814</v>
      </c>
      <c r="C380" s="947">
        <v>21085</v>
      </c>
      <c r="D380" s="3538">
        <v>5334</v>
      </c>
      <c r="E380" s="1434">
        <v>423</v>
      </c>
      <c r="F380" s="3538">
        <v>666</v>
      </c>
      <c r="G380" s="141">
        <v>113962</v>
      </c>
      <c r="H380" s="3665">
        <f t="shared" si="11"/>
        <v>114628</v>
      </c>
      <c r="I380" s="141">
        <v>4874</v>
      </c>
      <c r="J380" s="2774">
        <v>14987</v>
      </c>
      <c r="K380" s="141">
        <v>103894</v>
      </c>
      <c r="L380" s="223">
        <v>15825</v>
      </c>
      <c r="M380" s="3538">
        <v>460</v>
      </c>
      <c r="N380" s="318">
        <v>104100</v>
      </c>
      <c r="O380" s="166"/>
    </row>
    <row r="381" spans="1:15">
      <c r="A381" s="972">
        <f t="shared" si="10"/>
        <v>2023.12</v>
      </c>
      <c r="B381" s="215">
        <v>131801</v>
      </c>
      <c r="C381" s="947">
        <v>15915</v>
      </c>
      <c r="D381" s="3538">
        <v>4288</v>
      </c>
      <c r="E381" s="1434">
        <v>264</v>
      </c>
      <c r="F381" s="3538">
        <v>1013</v>
      </c>
      <c r="G381" s="141">
        <v>90299</v>
      </c>
      <c r="H381" s="3665">
        <f t="shared" si="11"/>
        <v>91312</v>
      </c>
      <c r="I381" s="141">
        <v>3509</v>
      </c>
      <c r="J381" s="2774">
        <v>15414</v>
      </c>
      <c r="K381" s="141">
        <v>81157</v>
      </c>
      <c r="L381" s="223">
        <v>13696</v>
      </c>
      <c r="M381" s="3538">
        <v>270</v>
      </c>
      <c r="N381" s="318">
        <v>81898</v>
      </c>
      <c r="O381" s="166"/>
    </row>
    <row r="382" spans="1:15">
      <c r="A382" s="972">
        <f t="shared" ref="A382:A445" si="12">A370+1</f>
        <v>2024.01</v>
      </c>
      <c r="B382" s="215">
        <v>142346</v>
      </c>
      <c r="C382" s="947">
        <v>14457</v>
      </c>
      <c r="D382" s="3538">
        <v>3799</v>
      </c>
      <c r="E382" s="1434">
        <v>210</v>
      </c>
      <c r="F382" s="3538">
        <v>1015</v>
      </c>
      <c r="G382" s="141">
        <v>105093</v>
      </c>
      <c r="H382" s="3665">
        <f t="shared" si="11"/>
        <v>106108</v>
      </c>
      <c r="I382" s="141">
        <v>4183</v>
      </c>
      <c r="J382" s="2774">
        <v>13589</v>
      </c>
      <c r="K382" s="141">
        <v>97086</v>
      </c>
      <c r="L382" s="223">
        <v>12019</v>
      </c>
      <c r="M382" s="3538">
        <v>322</v>
      </c>
      <c r="N382" s="318">
        <v>97776</v>
      </c>
      <c r="O382" s="166"/>
    </row>
    <row r="383" spans="1:15">
      <c r="A383" s="972">
        <f t="shared" si="12"/>
        <v>2024.02</v>
      </c>
      <c r="B383" s="215">
        <v>143844</v>
      </c>
      <c r="C383" s="947">
        <v>14520</v>
      </c>
      <c r="D383" s="3538">
        <v>7493</v>
      </c>
      <c r="E383" s="1434">
        <v>810</v>
      </c>
      <c r="F383" s="3538">
        <v>720</v>
      </c>
      <c r="G383" s="141">
        <v>103276</v>
      </c>
      <c r="H383" s="3665">
        <f t="shared" si="11"/>
        <v>103996</v>
      </c>
      <c r="I383" s="141">
        <v>3901</v>
      </c>
      <c r="J383" s="2774">
        <v>13124</v>
      </c>
      <c r="K383" s="141">
        <v>98888</v>
      </c>
      <c r="L383" s="223">
        <v>12694</v>
      </c>
      <c r="M383" s="3538">
        <v>368</v>
      </c>
      <c r="N383" s="318">
        <v>99237</v>
      </c>
      <c r="O383" s="166"/>
    </row>
    <row r="384" spans="1:15">
      <c r="A384" s="972">
        <f t="shared" si="12"/>
        <v>2024.03</v>
      </c>
      <c r="B384" s="215">
        <v>150912</v>
      </c>
      <c r="C384" s="947">
        <v>18422</v>
      </c>
      <c r="D384" s="3538">
        <v>5304</v>
      </c>
      <c r="E384" s="1434">
        <v>231</v>
      </c>
      <c r="F384" s="3538">
        <v>637</v>
      </c>
      <c r="G384" s="141">
        <v>107492</v>
      </c>
      <c r="H384" s="3665">
        <f t="shared" si="11"/>
        <v>108129</v>
      </c>
      <c r="I384" s="141">
        <v>4867</v>
      </c>
      <c r="J384" s="2774">
        <v>13959</v>
      </c>
      <c r="K384" s="141">
        <v>97438</v>
      </c>
      <c r="L384" s="223">
        <v>15280</v>
      </c>
      <c r="M384" s="3538">
        <v>487</v>
      </c>
      <c r="N384" s="318">
        <v>97897</v>
      </c>
      <c r="O384" s="166"/>
    </row>
    <row r="385" spans="1:15">
      <c r="A385" s="972">
        <f t="shared" si="12"/>
        <v>2024.04</v>
      </c>
      <c r="B385" s="215">
        <v>180418</v>
      </c>
      <c r="C385" s="947">
        <v>26356</v>
      </c>
      <c r="D385" s="3538">
        <v>5502</v>
      </c>
      <c r="E385" s="1434">
        <v>376</v>
      </c>
      <c r="F385" s="3538">
        <v>1</v>
      </c>
      <c r="G385" s="141">
        <v>128874</v>
      </c>
      <c r="H385" s="3665">
        <f t="shared" si="11"/>
        <v>128875</v>
      </c>
      <c r="I385" s="141">
        <v>5714</v>
      </c>
      <c r="J385" s="2774">
        <v>13595</v>
      </c>
      <c r="K385" s="141">
        <v>117407</v>
      </c>
      <c r="L385" s="223">
        <v>17348</v>
      </c>
      <c r="M385" s="3538">
        <v>446</v>
      </c>
      <c r="N385" s="318">
        <v>116959</v>
      </c>
      <c r="O385" s="166"/>
    </row>
    <row r="386" spans="1:15">
      <c r="A386" s="972">
        <f t="shared" si="12"/>
        <v>2024.05</v>
      </c>
      <c r="B386" s="215">
        <v>253549</v>
      </c>
      <c r="C386" s="947">
        <v>83633</v>
      </c>
      <c r="D386" s="3538">
        <v>6747</v>
      </c>
      <c r="E386" s="1434">
        <v>907</v>
      </c>
      <c r="F386" s="3538">
        <v>27</v>
      </c>
      <c r="G386" s="141">
        <v>133023</v>
      </c>
      <c r="H386" s="3665">
        <f t="shared" si="11"/>
        <v>133050</v>
      </c>
      <c r="I386" s="141">
        <v>14799</v>
      </c>
      <c r="J386" s="2774">
        <v>14413</v>
      </c>
      <c r="K386" s="141">
        <v>121322</v>
      </c>
      <c r="L386" s="223">
        <v>19359</v>
      </c>
      <c r="M386" s="3538">
        <v>501</v>
      </c>
      <c r="N386" s="318">
        <v>120845</v>
      </c>
      <c r="O386" s="166"/>
    </row>
    <row r="387" spans="1:15">
      <c r="A387" s="972">
        <f t="shared" si="12"/>
        <v>2024.06</v>
      </c>
      <c r="B387" s="215">
        <v>246493</v>
      </c>
      <c r="C387" s="947">
        <v>69472</v>
      </c>
      <c r="D387" s="3538">
        <v>8187</v>
      </c>
      <c r="E387" s="1434">
        <v>1277</v>
      </c>
      <c r="F387" s="3538">
        <v>970</v>
      </c>
      <c r="G387" s="141">
        <v>140530</v>
      </c>
      <c r="H387" s="3665">
        <f>F387+G387</f>
        <v>141500</v>
      </c>
      <c r="I387" s="141">
        <v>12255</v>
      </c>
      <c r="J387" s="2774">
        <v>13802</v>
      </c>
      <c r="K387" s="141">
        <v>128989</v>
      </c>
      <c r="L387" s="223">
        <v>20705</v>
      </c>
      <c r="M387" s="3538">
        <v>451</v>
      </c>
      <c r="N387" s="318">
        <v>129808</v>
      </c>
      <c r="O387" s="166"/>
    </row>
    <row r="388" spans="1:15">
      <c r="A388" s="972">
        <f t="shared" si="12"/>
        <v>2024.07</v>
      </c>
      <c r="B388" s="215">
        <v>278597</v>
      </c>
      <c r="C388" s="947">
        <v>99029</v>
      </c>
      <c r="D388" s="3538">
        <v>8665</v>
      </c>
      <c r="E388" s="1600">
        <v>1681</v>
      </c>
      <c r="F388" s="3538">
        <v>239</v>
      </c>
      <c r="G388" s="141">
        <v>134474</v>
      </c>
      <c r="H388" s="3665">
        <f t="shared" si="11"/>
        <v>134713</v>
      </c>
      <c r="I388" s="141">
        <v>20163</v>
      </c>
      <c r="J388" s="2774">
        <v>14346</v>
      </c>
      <c r="K388" s="141">
        <v>122183</v>
      </c>
      <c r="L388" s="223">
        <v>22367</v>
      </c>
      <c r="M388" s="3538">
        <v>460</v>
      </c>
      <c r="N388" s="318">
        <v>122232</v>
      </c>
      <c r="O388" s="166"/>
    </row>
    <row r="389" spans="1:15">
      <c r="A389" s="972">
        <f t="shared" si="12"/>
        <v>2024.08</v>
      </c>
      <c r="B389" s="215">
        <v>240084</v>
      </c>
      <c r="C389" s="947">
        <v>85998</v>
      </c>
      <c r="D389" s="3538">
        <v>8128</v>
      </c>
      <c r="E389" s="1434">
        <v>1825</v>
      </c>
      <c r="F389" s="3538">
        <v>166</v>
      </c>
      <c r="G389" s="141">
        <v>112725</v>
      </c>
      <c r="H389" s="3665">
        <f t="shared" si="11"/>
        <v>112891</v>
      </c>
      <c r="I389" s="141">
        <v>16733</v>
      </c>
      <c r="J389" s="2774">
        <v>14509</v>
      </c>
      <c r="K389" s="141">
        <v>99584</v>
      </c>
      <c r="L389" s="223">
        <v>22832</v>
      </c>
      <c r="M389" s="3538">
        <v>436</v>
      </c>
      <c r="N389" s="318">
        <v>99574</v>
      </c>
      <c r="O389" s="166"/>
    </row>
    <row r="390" spans="1:15">
      <c r="A390" s="972">
        <f t="shared" si="12"/>
        <v>2024.09</v>
      </c>
      <c r="B390" s="215">
        <v>172355</v>
      </c>
      <c r="C390" s="947">
        <v>33727</v>
      </c>
      <c r="D390" s="3538">
        <v>7192</v>
      </c>
      <c r="E390" s="1434">
        <v>1100</v>
      </c>
      <c r="F390" s="3538">
        <v>211</v>
      </c>
      <c r="G390" s="141">
        <v>108468</v>
      </c>
      <c r="H390" s="3665">
        <f t="shared" si="11"/>
        <v>108679</v>
      </c>
      <c r="I390" s="141">
        <v>8057</v>
      </c>
      <c r="J390" s="2774">
        <v>13600</v>
      </c>
      <c r="K390" s="141">
        <v>96505</v>
      </c>
      <c r="L390" s="223">
        <v>20258</v>
      </c>
      <c r="M390" s="3538">
        <v>499</v>
      </c>
      <c r="N390" s="318">
        <v>96216</v>
      </c>
      <c r="O390" s="166"/>
    </row>
    <row r="391" spans="1:15">
      <c r="A391" s="972">
        <f t="shared" si="12"/>
        <v>2024.1</v>
      </c>
      <c r="B391" s="215">
        <v>184706</v>
      </c>
      <c r="C391" s="947">
        <v>19719</v>
      </c>
      <c r="D391" s="3538">
        <v>7497</v>
      </c>
      <c r="E391" s="1434">
        <v>572</v>
      </c>
      <c r="F391" s="3538">
        <v>447</v>
      </c>
      <c r="G391" s="141">
        <v>137352</v>
      </c>
      <c r="H391" s="3665">
        <f t="shared" si="11"/>
        <v>137799</v>
      </c>
      <c r="I391" s="141">
        <v>4807</v>
      </c>
      <c r="J391" s="2774">
        <v>14312</v>
      </c>
      <c r="K391" s="141">
        <v>124636</v>
      </c>
      <c r="L391" s="223">
        <v>20781</v>
      </c>
      <c r="M391" s="3538">
        <v>514</v>
      </c>
      <c r="N391" s="318">
        <v>124573</v>
      </c>
      <c r="O391" s="166"/>
    </row>
    <row r="392" spans="1:15">
      <c r="A392" s="972">
        <f t="shared" si="12"/>
        <v>2024.11</v>
      </c>
      <c r="B392" s="215">
        <v>162878</v>
      </c>
      <c r="C392" s="947">
        <v>17463</v>
      </c>
      <c r="D392" s="3538">
        <v>4650</v>
      </c>
      <c r="E392" s="1434">
        <v>301</v>
      </c>
      <c r="F392" s="3538">
        <v>400</v>
      </c>
      <c r="G392" s="141">
        <v>122415</v>
      </c>
      <c r="H392" s="3665">
        <f t="shared" si="11"/>
        <v>122815</v>
      </c>
      <c r="I392" s="141">
        <v>3797</v>
      </c>
      <c r="J392" s="2774">
        <v>13852</v>
      </c>
      <c r="K392" s="141">
        <v>110917</v>
      </c>
      <c r="L392" s="223">
        <v>16151</v>
      </c>
      <c r="M392" s="3538">
        <v>453</v>
      </c>
      <c r="N392" s="318">
        <v>111161</v>
      </c>
      <c r="O392" s="166"/>
    </row>
    <row r="393" spans="1:15">
      <c r="A393" s="972">
        <f t="shared" si="12"/>
        <v>2024.12</v>
      </c>
      <c r="B393" s="215">
        <v>144504</v>
      </c>
      <c r="C393" s="947">
        <v>17892</v>
      </c>
      <c r="D393" s="3538">
        <v>4022</v>
      </c>
      <c r="E393" s="1434">
        <v>265</v>
      </c>
      <c r="F393" s="3538">
        <v>300</v>
      </c>
      <c r="G393" s="141">
        <v>104632</v>
      </c>
      <c r="H393" s="3665">
        <f t="shared" si="11"/>
        <v>104932</v>
      </c>
      <c r="I393" s="141">
        <v>3426</v>
      </c>
      <c r="J393" s="2774">
        <v>13967</v>
      </c>
      <c r="K393" s="141">
        <v>94340</v>
      </c>
      <c r="L393" s="223">
        <v>14271</v>
      </c>
      <c r="M393" s="3538">
        <v>386</v>
      </c>
      <c r="N393" s="318">
        <v>94563</v>
      </c>
      <c r="O393" s="166"/>
    </row>
    <row r="394" spans="1:15">
      <c r="A394" s="972">
        <f t="shared" si="12"/>
        <v>2025.01</v>
      </c>
      <c r="B394" s="215">
        <v>143935</v>
      </c>
      <c r="C394" s="947">
        <v>13756</v>
      </c>
      <c r="D394" s="3538">
        <v>3799</v>
      </c>
      <c r="E394" s="1434">
        <v>192</v>
      </c>
      <c r="F394" s="3538">
        <v>267</v>
      </c>
      <c r="G394" s="141">
        <v>110300</v>
      </c>
      <c r="H394" s="3665">
        <f t="shared" si="11"/>
        <v>110567</v>
      </c>
      <c r="I394" s="141">
        <v>2999</v>
      </c>
      <c r="J394" s="2774">
        <v>12622</v>
      </c>
      <c r="K394" s="141">
        <v>101242</v>
      </c>
      <c r="L394" s="223">
        <v>13044</v>
      </c>
      <c r="M394" s="3538">
        <v>315</v>
      </c>
      <c r="N394" s="318">
        <v>101197</v>
      </c>
      <c r="O394" s="166"/>
    </row>
    <row r="395" spans="1:15">
      <c r="A395" s="972">
        <f t="shared" si="12"/>
        <v>2025.02</v>
      </c>
      <c r="B395" s="215">
        <v>137354</v>
      </c>
      <c r="C395" s="947">
        <v>12561</v>
      </c>
      <c r="D395" s="3538">
        <v>2084</v>
      </c>
      <c r="E395" s="1434">
        <v>85</v>
      </c>
      <c r="F395" s="3538">
        <v>842</v>
      </c>
      <c r="G395" s="141">
        <v>106754</v>
      </c>
      <c r="H395" s="3665">
        <f t="shared" si="11"/>
        <v>107596</v>
      </c>
      <c r="I395" s="141">
        <v>2375</v>
      </c>
      <c r="J395" s="2774">
        <v>11926</v>
      </c>
      <c r="K395" s="141">
        <v>95319</v>
      </c>
      <c r="L395" s="223">
        <v>13325</v>
      </c>
      <c r="M395" s="3538">
        <v>426</v>
      </c>
      <c r="N395" s="318">
        <v>96014</v>
      </c>
      <c r="O395" s="166"/>
    </row>
    <row r="396" spans="1:15">
      <c r="A396" s="972">
        <f t="shared" si="12"/>
        <v>2025.03</v>
      </c>
      <c r="B396" s="215">
        <v>143511</v>
      </c>
      <c r="C396" s="947">
        <v>19732</v>
      </c>
      <c r="D396" s="3538">
        <v>4117</v>
      </c>
      <c r="E396" s="1434">
        <v>204</v>
      </c>
      <c r="F396" s="3538">
        <v>154</v>
      </c>
      <c r="G396" s="141">
        <v>102850</v>
      </c>
      <c r="H396" s="3665">
        <f t="shared" si="11"/>
        <v>103004</v>
      </c>
      <c r="I396" s="141">
        <v>2503</v>
      </c>
      <c r="J396" s="2774">
        <v>13065</v>
      </c>
      <c r="K396" s="141">
        <v>92114</v>
      </c>
      <c r="L396" s="223">
        <v>15055</v>
      </c>
      <c r="M396" s="3538">
        <v>471</v>
      </c>
      <c r="N396" s="318">
        <v>91799</v>
      </c>
      <c r="O396" s="166"/>
    </row>
    <row r="397" spans="1:15">
      <c r="A397" s="972">
        <f t="shared" si="12"/>
        <v>2025.04</v>
      </c>
      <c r="B397" s="215">
        <v>164071</v>
      </c>
      <c r="C397" s="947">
        <v>27861</v>
      </c>
      <c r="D397" s="3538">
        <v>11731</v>
      </c>
      <c r="E397" s="1434">
        <v>486</v>
      </c>
      <c r="F397" s="3538">
        <v>0</v>
      </c>
      <c r="G397" s="141">
        <v>112764</v>
      </c>
      <c r="H397" s="3665">
        <f t="shared" si="11"/>
        <v>112764</v>
      </c>
      <c r="I397" s="141">
        <v>4711</v>
      </c>
      <c r="J397" s="2774">
        <v>12792</v>
      </c>
      <c r="K397" s="141">
        <v>100690</v>
      </c>
      <c r="L397" s="223">
        <v>17197</v>
      </c>
      <c r="M397" s="3538">
        <v>525</v>
      </c>
      <c r="N397" s="318">
        <v>100164</v>
      </c>
      <c r="O397" s="166"/>
    </row>
    <row r="398" spans="1:15">
      <c r="A398" s="972">
        <f t="shared" si="12"/>
        <v>2025.05</v>
      </c>
      <c r="B398" s="215">
        <v>183546</v>
      </c>
      <c r="C398" s="947">
        <v>48117</v>
      </c>
      <c r="D398" s="3538">
        <v>11418</v>
      </c>
      <c r="E398" s="1434">
        <v>704</v>
      </c>
      <c r="F398" s="3538">
        <v>11</v>
      </c>
      <c r="G398" s="141">
        <v>108838</v>
      </c>
      <c r="H398" s="3665">
        <f t="shared" si="11"/>
        <v>108849</v>
      </c>
      <c r="I398" s="141">
        <v>6351</v>
      </c>
      <c r="J398" s="2774">
        <v>13298</v>
      </c>
      <c r="K398" s="141">
        <v>96940</v>
      </c>
      <c r="L398" s="223">
        <v>17265</v>
      </c>
      <c r="M398" s="3538">
        <v>534</v>
      </c>
      <c r="N398" s="318">
        <v>96730</v>
      </c>
      <c r="O398" s="166"/>
    </row>
    <row r="399" spans="1:15">
      <c r="A399" s="972">
        <f t="shared" si="12"/>
        <v>2025.06</v>
      </c>
      <c r="B399" s="215">
        <v>248765</v>
      </c>
      <c r="C399" s="947">
        <v>101371</v>
      </c>
      <c r="D399" s="3538">
        <v>11064</v>
      </c>
      <c r="E399" s="1434">
        <v>1187</v>
      </c>
      <c r="F399" s="3538">
        <v>21</v>
      </c>
      <c r="G399" s="141">
        <v>116293</v>
      </c>
      <c r="H399" s="3665">
        <f t="shared" si="11"/>
        <v>116314</v>
      </c>
      <c r="I399" s="141">
        <v>14097</v>
      </c>
      <c r="J399" s="2774">
        <v>12797</v>
      </c>
      <c r="K399" s="141">
        <v>104566</v>
      </c>
      <c r="L399" s="223">
        <v>17095</v>
      </c>
      <c r="M399" s="3538">
        <v>492</v>
      </c>
      <c r="N399" s="318">
        <v>104394</v>
      </c>
      <c r="O399" s="166"/>
    </row>
    <row r="400" spans="1:15">
      <c r="A400" s="972">
        <f t="shared" si="12"/>
        <v>2025.07</v>
      </c>
      <c r="B400" s="215">
        <v>227856</v>
      </c>
      <c r="C400" s="947">
        <v>90690</v>
      </c>
      <c r="D400" s="3538">
        <v>12333</v>
      </c>
      <c r="E400" s="1434">
        <v>2548</v>
      </c>
      <c r="F400" s="3538">
        <v>1</v>
      </c>
      <c r="G400" s="141">
        <v>101489</v>
      </c>
      <c r="H400" s="3665">
        <f t="shared" si="11"/>
        <v>101490</v>
      </c>
      <c r="I400" s="141">
        <v>14580</v>
      </c>
      <c r="J400" s="2774">
        <v>12965</v>
      </c>
      <c r="K400" s="141">
        <v>88613</v>
      </c>
      <c r="L400" s="223">
        <v>22258</v>
      </c>
      <c r="M400" s="3538">
        <v>486</v>
      </c>
      <c r="N400" s="318">
        <v>88129</v>
      </c>
      <c r="O400" s="166"/>
    </row>
    <row r="401" spans="1:14">
      <c r="A401" s="972">
        <f t="shared" si="12"/>
        <v>2025.08</v>
      </c>
      <c r="B401" s="215">
        <v>213965</v>
      </c>
      <c r="C401" s="947">
        <v>74709</v>
      </c>
      <c r="D401" s="3538">
        <v>12559</v>
      </c>
      <c r="E401" s="1434">
        <v>2920</v>
      </c>
      <c r="F401" s="3538">
        <v>211</v>
      </c>
      <c r="G401" s="141">
        <v>98838</v>
      </c>
      <c r="H401" s="3665">
        <f t="shared" si="11"/>
        <v>99049</v>
      </c>
      <c r="I401" s="141">
        <v>11446</v>
      </c>
      <c r="J401" s="2774">
        <v>13282</v>
      </c>
      <c r="K401" s="141">
        <v>90781</v>
      </c>
      <c r="L401" s="223">
        <v>23535</v>
      </c>
      <c r="M401" s="3538">
        <v>430</v>
      </c>
      <c r="N401" s="318">
        <v>90563</v>
      </c>
    </row>
    <row r="402" spans="1:14">
      <c r="A402" s="972">
        <f t="shared" si="12"/>
        <v>2025.09</v>
      </c>
      <c r="B402" s="215">
        <v>183096</v>
      </c>
      <c r="C402" s="947">
        <v>42515</v>
      </c>
      <c r="D402" s="3538">
        <v>11730</v>
      </c>
      <c r="E402" s="1434">
        <v>2284</v>
      </c>
      <c r="F402" s="3538">
        <v>2</v>
      </c>
      <c r="G402" s="141">
        <v>106193</v>
      </c>
      <c r="H402" s="3665">
        <f t="shared" si="11"/>
        <v>106195</v>
      </c>
      <c r="I402" s="141">
        <v>7377</v>
      </c>
      <c r="J402" s="2774">
        <v>12995</v>
      </c>
      <c r="K402" s="141">
        <v>98949</v>
      </c>
      <c r="L402" s="223">
        <v>20955</v>
      </c>
      <c r="M402" s="3538">
        <v>450</v>
      </c>
      <c r="N402" s="318">
        <v>98803</v>
      </c>
    </row>
    <row r="403" spans="1:14">
      <c r="A403" s="972">
        <f t="shared" si="12"/>
        <v>2025.1</v>
      </c>
      <c r="B403" s="215">
        <v>174245</v>
      </c>
      <c r="C403" s="947">
        <v>21259</v>
      </c>
      <c r="D403" s="3538">
        <v>11266</v>
      </c>
      <c r="E403" s="1434">
        <v>1628</v>
      </c>
      <c r="F403" s="3538">
        <v>469</v>
      </c>
      <c r="G403" s="141">
        <v>122592</v>
      </c>
      <c r="H403" s="3665">
        <f t="shared" si="11"/>
        <v>123061</v>
      </c>
      <c r="I403" s="141">
        <v>3623</v>
      </c>
      <c r="J403" s="2774">
        <v>13408</v>
      </c>
      <c r="K403" s="141">
        <v>115944</v>
      </c>
      <c r="L403" s="223">
        <v>19230</v>
      </c>
      <c r="M403" s="3538">
        <v>449</v>
      </c>
      <c r="N403" s="318">
        <v>116277</v>
      </c>
    </row>
    <row r="404" spans="1:14">
      <c r="A404" s="972">
        <f t="shared" si="12"/>
        <v>2025.11</v>
      </c>
      <c r="B404" s="215">
        <v>151829</v>
      </c>
      <c r="C404" s="947">
        <v>16556</v>
      </c>
      <c r="D404" s="3538">
        <v>5107</v>
      </c>
      <c r="E404" s="1434">
        <v>358</v>
      </c>
      <c r="F404" s="3538">
        <v>194</v>
      </c>
      <c r="G404" s="141">
        <v>113763</v>
      </c>
      <c r="H404" s="3665">
        <f t="shared" si="11"/>
        <v>113957</v>
      </c>
      <c r="I404" s="141">
        <v>3214</v>
      </c>
      <c r="J404" s="2774">
        <v>12637</v>
      </c>
      <c r="K404" s="141">
        <v>112273</v>
      </c>
      <c r="L404" s="223">
        <v>15548</v>
      </c>
      <c r="M404" s="3538">
        <v>479</v>
      </c>
      <c r="N404" s="318">
        <v>103395</v>
      </c>
    </row>
    <row r="405" spans="1:14">
      <c r="A405" s="972">
        <f t="shared" si="12"/>
        <v>2025.12</v>
      </c>
      <c r="B405" s="215">
        <v>133969</v>
      </c>
      <c r="C405" s="947">
        <v>14211</v>
      </c>
      <c r="D405" s="3538">
        <v>4134</v>
      </c>
      <c r="E405" s="1434">
        <v>274</v>
      </c>
      <c r="F405" s="3538">
        <v>115</v>
      </c>
      <c r="G405" s="141">
        <v>99429</v>
      </c>
      <c r="H405" s="3665">
        <f t="shared" si="11"/>
        <v>99544</v>
      </c>
      <c r="I405" s="141">
        <v>2689</v>
      </c>
      <c r="J405" s="2774">
        <v>13115</v>
      </c>
      <c r="K405" s="141">
        <v>98164</v>
      </c>
      <c r="L405" s="223">
        <v>12943</v>
      </c>
      <c r="M405" s="3538">
        <v>405</v>
      </c>
      <c r="N405" s="318">
        <v>90606</v>
      </c>
    </row>
    <row r="406" spans="1:14">
      <c r="A406" s="972">
        <f t="shared" si="12"/>
        <v>2026.01</v>
      </c>
      <c r="B406" s="215">
        <v>135664</v>
      </c>
      <c r="C406" s="947">
        <v>12603</v>
      </c>
      <c r="D406" s="3538">
        <v>3706</v>
      </c>
      <c r="E406" s="1434">
        <v>209</v>
      </c>
      <c r="F406" s="3538">
        <v>29</v>
      </c>
      <c r="G406" s="141">
        <v>103432</v>
      </c>
      <c r="H406" s="3665">
        <f t="shared" ref="H406:H420" si="13">F406+G406</f>
        <v>103461</v>
      </c>
      <c r="I406" s="141">
        <v>3572</v>
      </c>
      <c r="J406" s="2774">
        <v>12113</v>
      </c>
      <c r="K406" s="141" t="e">
        <v>#N/A</v>
      </c>
      <c r="L406" s="223">
        <v>12305</v>
      </c>
      <c r="M406" s="3771">
        <v>385.03631306497721</v>
      </c>
      <c r="N406" s="318">
        <v>94693</v>
      </c>
    </row>
    <row r="407" spans="1:14">
      <c r="A407" s="972">
        <f t="shared" si="12"/>
        <v>2026.02</v>
      </c>
      <c r="B407" s="215" t="e">
        <v>#N/A</v>
      </c>
      <c r="C407" s="947" t="e">
        <v>#N/A</v>
      </c>
      <c r="D407" s="3538" t="e">
        <v>#N/A</v>
      </c>
      <c r="E407" s="1434" t="e">
        <v>#N/A</v>
      </c>
      <c r="F407" s="3538" t="e">
        <v>#N/A</v>
      </c>
      <c r="G407" s="141" t="e">
        <v>#N/A</v>
      </c>
      <c r="H407" s="3665" t="e">
        <f t="shared" si="13"/>
        <v>#N/A</v>
      </c>
      <c r="I407" s="141" t="e">
        <v>#N/A</v>
      </c>
      <c r="J407" s="2774" t="e">
        <v>#N/A</v>
      </c>
      <c r="K407" s="141" t="e">
        <v>#N/A</v>
      </c>
      <c r="L407" s="223" t="e">
        <v>#N/A</v>
      </c>
      <c r="M407" s="3538" t="e">
        <v>#N/A</v>
      </c>
      <c r="N407" s="318" t="e">
        <v>#N/A</v>
      </c>
    </row>
    <row r="408" spans="1:14">
      <c r="A408" s="972">
        <f t="shared" si="12"/>
        <v>2026.03</v>
      </c>
      <c r="B408" s="215" t="e">
        <v>#N/A</v>
      </c>
      <c r="C408" s="947" t="e">
        <v>#N/A</v>
      </c>
      <c r="D408" s="3538" t="e">
        <v>#N/A</v>
      </c>
      <c r="E408" s="1434" t="e">
        <v>#N/A</v>
      </c>
      <c r="F408" s="3538" t="e">
        <v>#N/A</v>
      </c>
      <c r="G408" s="141" t="e">
        <v>#N/A</v>
      </c>
      <c r="H408" s="3665" t="e">
        <f t="shared" si="13"/>
        <v>#N/A</v>
      </c>
      <c r="I408" s="141" t="e">
        <v>#N/A</v>
      </c>
      <c r="J408" s="2774" t="e">
        <v>#N/A</v>
      </c>
      <c r="K408" s="141" t="e">
        <v>#N/A</v>
      </c>
      <c r="L408" s="223" t="e">
        <v>#N/A</v>
      </c>
      <c r="M408" s="3538" t="e">
        <v>#N/A</v>
      </c>
      <c r="N408" s="318" t="e">
        <v>#N/A</v>
      </c>
    </row>
    <row r="409" spans="1:14">
      <c r="A409" s="972">
        <f t="shared" si="12"/>
        <v>2026.04</v>
      </c>
      <c r="B409" s="215" t="e">
        <v>#N/A</v>
      </c>
      <c r="C409" s="947" t="e">
        <v>#N/A</v>
      </c>
      <c r="D409" s="3538" t="e">
        <v>#N/A</v>
      </c>
      <c r="E409" s="1434" t="e">
        <v>#N/A</v>
      </c>
      <c r="F409" s="3538" t="e">
        <v>#N/A</v>
      </c>
      <c r="G409" s="141" t="e">
        <v>#N/A</v>
      </c>
      <c r="H409" s="3665" t="e">
        <f t="shared" si="13"/>
        <v>#N/A</v>
      </c>
      <c r="I409" s="141" t="e">
        <v>#N/A</v>
      </c>
      <c r="J409" s="2774" t="e">
        <v>#N/A</v>
      </c>
      <c r="K409" s="141" t="e">
        <v>#N/A</v>
      </c>
      <c r="L409" s="223" t="e">
        <v>#N/A</v>
      </c>
      <c r="M409" s="3538" t="e">
        <v>#N/A</v>
      </c>
      <c r="N409" s="318" t="e">
        <v>#N/A</v>
      </c>
    </row>
    <row r="410" spans="1:14">
      <c r="A410" s="972">
        <f t="shared" si="12"/>
        <v>2026.05</v>
      </c>
      <c r="B410" s="215" t="e">
        <v>#N/A</v>
      </c>
      <c r="C410" s="947" t="e">
        <v>#N/A</v>
      </c>
      <c r="D410" s="3538" t="e">
        <v>#N/A</v>
      </c>
      <c r="E410" s="1434" t="e">
        <v>#N/A</v>
      </c>
      <c r="F410" s="3538" t="e">
        <v>#N/A</v>
      </c>
      <c r="G410" s="141" t="e">
        <v>#N/A</v>
      </c>
      <c r="H410" s="3665" t="e">
        <f t="shared" si="13"/>
        <v>#N/A</v>
      </c>
      <c r="I410" s="141" t="e">
        <v>#N/A</v>
      </c>
      <c r="J410" s="2774" t="e">
        <v>#N/A</v>
      </c>
      <c r="K410" s="141" t="e">
        <v>#N/A</v>
      </c>
      <c r="L410" s="223" t="e">
        <v>#N/A</v>
      </c>
      <c r="M410" s="3538" t="e">
        <v>#N/A</v>
      </c>
      <c r="N410" s="318" t="e">
        <v>#N/A</v>
      </c>
    </row>
    <row r="411" spans="1:14">
      <c r="A411" s="972">
        <f t="shared" si="12"/>
        <v>2026.06</v>
      </c>
      <c r="B411" s="215" t="e">
        <v>#N/A</v>
      </c>
      <c r="C411" s="947" t="e">
        <v>#N/A</v>
      </c>
      <c r="D411" s="3538" t="e">
        <v>#N/A</v>
      </c>
      <c r="E411" s="1434" t="e">
        <v>#N/A</v>
      </c>
      <c r="F411" s="3538" t="e">
        <v>#N/A</v>
      </c>
      <c r="G411" s="141" t="e">
        <v>#N/A</v>
      </c>
      <c r="H411" s="3665" t="e">
        <f t="shared" si="13"/>
        <v>#N/A</v>
      </c>
      <c r="I411" s="141" t="e">
        <v>#N/A</v>
      </c>
      <c r="J411" s="2774" t="e">
        <v>#N/A</v>
      </c>
      <c r="K411" s="141" t="e">
        <v>#N/A</v>
      </c>
      <c r="L411" s="223" t="e">
        <v>#N/A</v>
      </c>
      <c r="M411" s="3538" t="e">
        <v>#N/A</v>
      </c>
      <c r="N411" s="318" t="e">
        <v>#N/A</v>
      </c>
    </row>
    <row r="412" spans="1:14">
      <c r="A412" s="972">
        <f t="shared" si="12"/>
        <v>2026.07</v>
      </c>
      <c r="B412" s="215" t="e">
        <v>#N/A</v>
      </c>
      <c r="C412" s="947" t="e">
        <v>#N/A</v>
      </c>
      <c r="D412" s="3538" t="e">
        <v>#N/A</v>
      </c>
      <c r="E412" s="1434" t="e">
        <v>#N/A</v>
      </c>
      <c r="F412" s="3538" t="e">
        <v>#N/A</v>
      </c>
      <c r="G412" s="141" t="e">
        <v>#N/A</v>
      </c>
      <c r="H412" s="3665" t="e">
        <f t="shared" si="13"/>
        <v>#N/A</v>
      </c>
      <c r="I412" s="141" t="e">
        <v>#N/A</v>
      </c>
      <c r="J412" s="2774" t="e">
        <v>#N/A</v>
      </c>
      <c r="K412" s="141" t="e">
        <v>#N/A</v>
      </c>
      <c r="L412" s="223" t="e">
        <v>#N/A</v>
      </c>
      <c r="M412" s="3538" t="e">
        <v>#N/A</v>
      </c>
      <c r="N412" s="318" t="e">
        <v>#N/A</v>
      </c>
    </row>
    <row r="413" spans="1:14">
      <c r="A413" s="972">
        <f t="shared" si="12"/>
        <v>2026.08</v>
      </c>
      <c r="B413" s="215" t="e">
        <v>#N/A</v>
      </c>
      <c r="C413" s="947" t="e">
        <v>#N/A</v>
      </c>
      <c r="D413" s="3538" t="e">
        <v>#N/A</v>
      </c>
      <c r="E413" s="1434" t="e">
        <v>#N/A</v>
      </c>
      <c r="F413" s="3538" t="e">
        <v>#N/A</v>
      </c>
      <c r="G413" s="141" t="e">
        <v>#N/A</v>
      </c>
      <c r="H413" s="3665" t="e">
        <f t="shared" si="13"/>
        <v>#N/A</v>
      </c>
      <c r="I413" s="141" t="e">
        <v>#N/A</v>
      </c>
      <c r="J413" s="2774" t="e">
        <v>#N/A</v>
      </c>
      <c r="K413" s="141" t="e">
        <v>#N/A</v>
      </c>
      <c r="L413" s="223" t="e">
        <v>#N/A</v>
      </c>
      <c r="M413" s="3538" t="e">
        <v>#N/A</v>
      </c>
      <c r="N413" s="318" t="e">
        <v>#N/A</v>
      </c>
    </row>
    <row r="414" spans="1:14">
      <c r="A414" s="972">
        <f t="shared" si="12"/>
        <v>2026.09</v>
      </c>
      <c r="B414" s="215" t="e">
        <v>#N/A</v>
      </c>
      <c r="C414" s="947" t="e">
        <v>#N/A</v>
      </c>
      <c r="D414" s="3538" t="e">
        <v>#N/A</v>
      </c>
      <c r="E414" s="1434" t="e">
        <v>#N/A</v>
      </c>
      <c r="F414" s="3538" t="e">
        <v>#N/A</v>
      </c>
      <c r="G414" s="141" t="e">
        <v>#N/A</v>
      </c>
      <c r="H414" s="3665" t="e">
        <f t="shared" si="13"/>
        <v>#N/A</v>
      </c>
      <c r="I414" s="141" t="e">
        <v>#N/A</v>
      </c>
      <c r="J414" s="2774" t="e">
        <v>#N/A</v>
      </c>
      <c r="K414" s="141" t="e">
        <v>#N/A</v>
      </c>
      <c r="L414" s="223" t="e">
        <v>#N/A</v>
      </c>
      <c r="M414" s="3538" t="e">
        <v>#N/A</v>
      </c>
      <c r="N414" s="318" t="e">
        <v>#N/A</v>
      </c>
    </row>
    <row r="415" spans="1:14">
      <c r="A415" s="972">
        <f t="shared" si="12"/>
        <v>2026.1</v>
      </c>
      <c r="B415" s="215" t="e">
        <v>#N/A</v>
      </c>
      <c r="C415" s="947" t="e">
        <v>#N/A</v>
      </c>
      <c r="D415" s="3538" t="e">
        <v>#N/A</v>
      </c>
      <c r="E415" s="1434" t="e">
        <v>#N/A</v>
      </c>
      <c r="F415" s="3538" t="e">
        <v>#N/A</v>
      </c>
      <c r="G415" s="141" t="e">
        <v>#N/A</v>
      </c>
      <c r="H415" s="3665" t="e">
        <f t="shared" si="13"/>
        <v>#N/A</v>
      </c>
      <c r="I415" s="141" t="e">
        <v>#N/A</v>
      </c>
      <c r="J415" s="2774" t="e">
        <v>#N/A</v>
      </c>
      <c r="K415" s="141" t="e">
        <v>#N/A</v>
      </c>
      <c r="L415" s="223" t="e">
        <v>#N/A</v>
      </c>
      <c r="M415" s="3538" t="e">
        <v>#N/A</v>
      </c>
      <c r="N415" s="318" t="e">
        <v>#N/A</v>
      </c>
    </row>
    <row r="416" spans="1:14">
      <c r="A416" s="972">
        <f t="shared" si="12"/>
        <v>2026.11</v>
      </c>
      <c r="B416" s="215" t="e">
        <v>#N/A</v>
      </c>
      <c r="C416" s="947" t="e">
        <v>#N/A</v>
      </c>
      <c r="D416" s="3538" t="e">
        <v>#N/A</v>
      </c>
      <c r="E416" s="1434" t="e">
        <v>#N/A</v>
      </c>
      <c r="F416" s="3538" t="e">
        <v>#N/A</v>
      </c>
      <c r="G416" s="141" t="e">
        <v>#N/A</v>
      </c>
      <c r="H416" s="3665" t="e">
        <f t="shared" si="13"/>
        <v>#N/A</v>
      </c>
      <c r="I416" s="141" t="e">
        <v>#N/A</v>
      </c>
      <c r="J416" s="2774" t="e">
        <v>#N/A</v>
      </c>
      <c r="K416" s="141" t="e">
        <v>#N/A</v>
      </c>
      <c r="L416" s="223" t="e">
        <v>#N/A</v>
      </c>
      <c r="M416" s="3538" t="e">
        <v>#N/A</v>
      </c>
      <c r="N416" s="318" t="e">
        <v>#N/A</v>
      </c>
    </row>
    <row r="417" spans="1:14">
      <c r="A417" s="972">
        <f t="shared" si="12"/>
        <v>2026.12</v>
      </c>
      <c r="B417" s="215" t="e">
        <v>#N/A</v>
      </c>
      <c r="C417" s="947" t="e">
        <v>#N/A</v>
      </c>
      <c r="D417" s="3538" t="e">
        <v>#N/A</v>
      </c>
      <c r="E417" s="1434" t="e">
        <v>#N/A</v>
      </c>
      <c r="F417" s="3538" t="e">
        <v>#N/A</v>
      </c>
      <c r="G417" s="141" t="e">
        <v>#N/A</v>
      </c>
      <c r="H417" s="3665" t="e">
        <f t="shared" si="13"/>
        <v>#N/A</v>
      </c>
      <c r="I417" s="141" t="e">
        <v>#N/A</v>
      </c>
      <c r="J417" s="2774" t="e">
        <v>#N/A</v>
      </c>
      <c r="K417" s="141" t="e">
        <v>#N/A</v>
      </c>
      <c r="L417" s="223" t="e">
        <v>#N/A</v>
      </c>
      <c r="M417" s="3538" t="e">
        <v>#N/A</v>
      </c>
      <c r="N417" s="318" t="e">
        <v>#N/A</v>
      </c>
    </row>
    <row r="418" spans="1:14">
      <c r="A418" s="972">
        <f t="shared" si="12"/>
        <v>2027.01</v>
      </c>
      <c r="B418" s="215" t="e">
        <v>#N/A</v>
      </c>
      <c r="C418" s="947" t="e">
        <v>#N/A</v>
      </c>
      <c r="D418" s="3538" t="e">
        <v>#N/A</v>
      </c>
      <c r="E418" s="1434" t="e">
        <v>#N/A</v>
      </c>
      <c r="F418" s="3538" t="e">
        <v>#N/A</v>
      </c>
      <c r="G418" s="141" t="e">
        <v>#N/A</v>
      </c>
      <c r="H418" s="3665" t="e">
        <f t="shared" si="13"/>
        <v>#N/A</v>
      </c>
      <c r="I418" s="141" t="e">
        <v>#N/A</v>
      </c>
      <c r="J418" s="2774" t="e">
        <v>#N/A</v>
      </c>
      <c r="K418" s="141" t="e">
        <v>#N/A</v>
      </c>
      <c r="L418" s="223" t="e">
        <v>#N/A</v>
      </c>
      <c r="M418" s="3538" t="e">
        <v>#N/A</v>
      </c>
      <c r="N418" s="318" t="e">
        <v>#N/A</v>
      </c>
    </row>
    <row r="419" spans="1:14">
      <c r="A419" s="972">
        <f t="shared" si="12"/>
        <v>2027.02</v>
      </c>
      <c r="B419" s="215" t="e">
        <v>#N/A</v>
      </c>
      <c r="C419" s="947" t="e">
        <v>#N/A</v>
      </c>
      <c r="D419" s="3538" t="e">
        <v>#N/A</v>
      </c>
      <c r="E419" s="1434" t="e">
        <v>#N/A</v>
      </c>
      <c r="F419" s="3538" t="e">
        <v>#N/A</v>
      </c>
      <c r="G419" s="141" t="e">
        <v>#N/A</v>
      </c>
      <c r="H419" s="3665" t="e">
        <f t="shared" si="13"/>
        <v>#N/A</v>
      </c>
      <c r="I419" s="141" t="e">
        <v>#N/A</v>
      </c>
      <c r="J419" s="2774" t="e">
        <v>#N/A</v>
      </c>
      <c r="K419" s="141" t="e">
        <v>#N/A</v>
      </c>
      <c r="L419" s="223" t="e">
        <v>#N/A</v>
      </c>
      <c r="M419" s="3538" t="e">
        <v>#N/A</v>
      </c>
      <c r="N419" s="318" t="e">
        <v>#N/A</v>
      </c>
    </row>
    <row r="420" spans="1:14">
      <c r="A420" s="972">
        <f t="shared" si="12"/>
        <v>2027.03</v>
      </c>
      <c r="B420" s="215" t="e">
        <v>#N/A</v>
      </c>
      <c r="C420" s="947" t="e">
        <v>#N/A</v>
      </c>
      <c r="D420" s="3538" t="e">
        <v>#N/A</v>
      </c>
      <c r="E420" s="1434" t="e">
        <v>#N/A</v>
      </c>
      <c r="F420" s="3538" t="e">
        <v>#N/A</v>
      </c>
      <c r="G420" s="141" t="e">
        <v>#N/A</v>
      </c>
      <c r="H420" s="3665" t="e">
        <f t="shared" si="13"/>
        <v>#N/A</v>
      </c>
      <c r="I420" s="141" t="e">
        <v>#N/A</v>
      </c>
      <c r="J420" s="2774" t="e">
        <v>#N/A</v>
      </c>
      <c r="K420" s="141" t="e">
        <v>#N/A</v>
      </c>
      <c r="L420" s="223" t="e">
        <v>#N/A</v>
      </c>
      <c r="M420" s="3538" t="e">
        <v>#N/A</v>
      </c>
      <c r="N420" s="318" t="e">
        <v>#N/A</v>
      </c>
    </row>
    <row r="421" spans="1:14">
      <c r="A421" s="972">
        <f t="shared" si="12"/>
        <v>2027.04</v>
      </c>
      <c r="B421" s="215" t="e">
        <v>#N/A</v>
      </c>
      <c r="C421" s="947" t="e">
        <v>#N/A</v>
      </c>
      <c r="D421" s="3538" t="e">
        <v>#N/A</v>
      </c>
      <c r="E421" s="1434" t="e">
        <v>#N/A</v>
      </c>
      <c r="F421" s="3538" t="e">
        <v>#N/A</v>
      </c>
      <c r="G421" s="141" t="e">
        <v>#N/A</v>
      </c>
      <c r="H421" s="3665" t="e">
        <f t="shared" ref="H421:H465" si="14">F421+G421</f>
        <v>#N/A</v>
      </c>
      <c r="I421" s="141" t="e">
        <v>#N/A</v>
      </c>
      <c r="J421" s="2774" t="e">
        <v>#N/A</v>
      </c>
      <c r="K421" s="141" t="e">
        <v>#N/A</v>
      </c>
      <c r="L421" s="223" t="e">
        <v>#N/A</v>
      </c>
      <c r="M421" s="3538" t="e">
        <v>#N/A</v>
      </c>
      <c r="N421" s="318" t="e">
        <v>#N/A</v>
      </c>
    </row>
    <row r="422" spans="1:14">
      <c r="A422" s="972">
        <f t="shared" si="12"/>
        <v>2027.05</v>
      </c>
      <c r="B422" s="215" t="e">
        <v>#N/A</v>
      </c>
      <c r="C422" s="947" t="e">
        <v>#N/A</v>
      </c>
      <c r="D422" s="3538" t="e">
        <v>#N/A</v>
      </c>
      <c r="E422" s="1434" t="e">
        <v>#N/A</v>
      </c>
      <c r="F422" s="3538" t="e">
        <v>#N/A</v>
      </c>
      <c r="G422" s="141" t="e">
        <v>#N/A</v>
      </c>
      <c r="H422" s="3665" t="e">
        <f t="shared" si="14"/>
        <v>#N/A</v>
      </c>
      <c r="I422" s="141" t="e">
        <v>#N/A</v>
      </c>
      <c r="J422" s="2774" t="e">
        <v>#N/A</v>
      </c>
      <c r="K422" s="141" t="e">
        <v>#N/A</v>
      </c>
      <c r="L422" s="223" t="e">
        <v>#N/A</v>
      </c>
      <c r="M422" s="3538" t="e">
        <v>#N/A</v>
      </c>
      <c r="N422" s="318" t="e">
        <v>#N/A</v>
      </c>
    </row>
    <row r="423" spans="1:14">
      <c r="A423" s="972">
        <f t="shared" si="12"/>
        <v>2027.06</v>
      </c>
      <c r="B423" s="215" t="e">
        <v>#N/A</v>
      </c>
      <c r="C423" s="947" t="e">
        <v>#N/A</v>
      </c>
      <c r="D423" s="3538" t="e">
        <v>#N/A</v>
      </c>
      <c r="E423" s="1434" t="e">
        <v>#N/A</v>
      </c>
      <c r="F423" s="3538" t="e">
        <v>#N/A</v>
      </c>
      <c r="G423" s="141" t="e">
        <v>#N/A</v>
      </c>
      <c r="H423" s="3665" t="e">
        <f t="shared" si="14"/>
        <v>#N/A</v>
      </c>
      <c r="I423" s="141" t="e">
        <v>#N/A</v>
      </c>
      <c r="J423" s="2774" t="e">
        <v>#N/A</v>
      </c>
      <c r="K423" s="141" t="e">
        <v>#N/A</v>
      </c>
      <c r="L423" s="223" t="e">
        <v>#N/A</v>
      </c>
      <c r="M423" s="3538" t="e">
        <v>#N/A</v>
      </c>
      <c r="N423" s="318" t="e">
        <v>#N/A</v>
      </c>
    </row>
    <row r="424" spans="1:14">
      <c r="A424" s="972">
        <f t="shared" si="12"/>
        <v>2027.07</v>
      </c>
      <c r="B424" s="215" t="e">
        <v>#N/A</v>
      </c>
      <c r="C424" s="947" t="e">
        <v>#N/A</v>
      </c>
      <c r="D424" s="3538" t="e">
        <v>#N/A</v>
      </c>
      <c r="E424" s="1434" t="e">
        <v>#N/A</v>
      </c>
      <c r="F424" s="3538" t="e">
        <v>#N/A</v>
      </c>
      <c r="G424" s="141" t="e">
        <v>#N/A</v>
      </c>
      <c r="H424" s="3665" t="e">
        <f t="shared" si="14"/>
        <v>#N/A</v>
      </c>
      <c r="I424" s="141" t="e">
        <v>#N/A</v>
      </c>
      <c r="J424" s="2774" t="e">
        <v>#N/A</v>
      </c>
      <c r="K424" s="141" t="e">
        <v>#N/A</v>
      </c>
      <c r="L424" s="223" t="e">
        <v>#N/A</v>
      </c>
      <c r="M424" s="3538" t="e">
        <v>#N/A</v>
      </c>
      <c r="N424" s="318" t="e">
        <v>#N/A</v>
      </c>
    </row>
    <row r="425" spans="1:14">
      <c r="A425" s="972">
        <f t="shared" si="12"/>
        <v>2027.08</v>
      </c>
      <c r="B425" s="215" t="e">
        <v>#N/A</v>
      </c>
      <c r="C425" s="947" t="e">
        <v>#N/A</v>
      </c>
      <c r="D425" s="3538" t="e">
        <v>#N/A</v>
      </c>
      <c r="E425" s="1434" t="e">
        <v>#N/A</v>
      </c>
      <c r="F425" s="3538" t="e">
        <v>#N/A</v>
      </c>
      <c r="G425" s="141" t="e">
        <v>#N/A</v>
      </c>
      <c r="H425" s="3665" t="e">
        <f t="shared" si="14"/>
        <v>#N/A</v>
      </c>
      <c r="I425" s="141" t="e">
        <v>#N/A</v>
      </c>
      <c r="J425" s="2774" t="e">
        <v>#N/A</v>
      </c>
      <c r="K425" s="141" t="e">
        <v>#N/A</v>
      </c>
      <c r="L425" s="223" t="e">
        <v>#N/A</v>
      </c>
      <c r="M425" s="3538" t="e">
        <v>#N/A</v>
      </c>
      <c r="N425" s="318" t="e">
        <v>#N/A</v>
      </c>
    </row>
    <row r="426" spans="1:14">
      <c r="A426" s="972">
        <f t="shared" si="12"/>
        <v>2027.09</v>
      </c>
      <c r="B426" s="215" t="e">
        <v>#N/A</v>
      </c>
      <c r="C426" s="947" t="e">
        <v>#N/A</v>
      </c>
      <c r="D426" s="3538" t="e">
        <v>#N/A</v>
      </c>
      <c r="E426" s="1434" t="e">
        <v>#N/A</v>
      </c>
      <c r="F426" s="3538" t="e">
        <v>#N/A</v>
      </c>
      <c r="G426" s="141" t="e">
        <v>#N/A</v>
      </c>
      <c r="H426" s="3665" t="e">
        <f t="shared" si="14"/>
        <v>#N/A</v>
      </c>
      <c r="I426" s="141" t="e">
        <v>#N/A</v>
      </c>
      <c r="J426" s="2774" t="e">
        <v>#N/A</v>
      </c>
      <c r="K426" s="141" t="e">
        <v>#N/A</v>
      </c>
      <c r="L426" s="223" t="e">
        <v>#N/A</v>
      </c>
      <c r="M426" s="3538" t="e">
        <v>#N/A</v>
      </c>
      <c r="N426" s="318" t="e">
        <v>#N/A</v>
      </c>
    </row>
    <row r="427" spans="1:14">
      <c r="A427" s="972">
        <f t="shared" si="12"/>
        <v>2027.1</v>
      </c>
      <c r="B427" s="215" t="e">
        <v>#N/A</v>
      </c>
      <c r="C427" s="947" t="e">
        <v>#N/A</v>
      </c>
      <c r="D427" s="3538" t="e">
        <v>#N/A</v>
      </c>
      <c r="E427" s="1434" t="e">
        <v>#N/A</v>
      </c>
      <c r="F427" s="3538" t="e">
        <v>#N/A</v>
      </c>
      <c r="G427" s="141" t="e">
        <v>#N/A</v>
      </c>
      <c r="H427" s="3665" t="e">
        <f t="shared" si="14"/>
        <v>#N/A</v>
      </c>
      <c r="I427" s="141" t="e">
        <v>#N/A</v>
      </c>
      <c r="J427" s="2774" t="e">
        <v>#N/A</v>
      </c>
      <c r="K427" s="141" t="e">
        <v>#N/A</v>
      </c>
      <c r="L427" s="223" t="e">
        <v>#N/A</v>
      </c>
      <c r="M427" s="3538" t="e">
        <v>#N/A</v>
      </c>
      <c r="N427" s="318" t="e">
        <v>#N/A</v>
      </c>
    </row>
    <row r="428" spans="1:14">
      <c r="A428" s="972">
        <f t="shared" si="12"/>
        <v>2027.11</v>
      </c>
      <c r="B428" s="215" t="e">
        <v>#N/A</v>
      </c>
      <c r="C428" s="947" t="e">
        <v>#N/A</v>
      </c>
      <c r="D428" s="3538" t="e">
        <v>#N/A</v>
      </c>
      <c r="E428" s="1434" t="e">
        <v>#N/A</v>
      </c>
      <c r="F428" s="3538" t="e">
        <v>#N/A</v>
      </c>
      <c r="G428" s="141" t="e">
        <v>#N/A</v>
      </c>
      <c r="H428" s="3665" t="e">
        <f t="shared" si="14"/>
        <v>#N/A</v>
      </c>
      <c r="I428" s="141" t="e">
        <v>#N/A</v>
      </c>
      <c r="J428" s="2774" t="e">
        <v>#N/A</v>
      </c>
      <c r="K428" s="141" t="e">
        <v>#N/A</v>
      </c>
      <c r="L428" s="223" t="e">
        <v>#N/A</v>
      </c>
      <c r="M428" s="3538" t="e">
        <v>#N/A</v>
      </c>
      <c r="N428" s="318" t="e">
        <v>#N/A</v>
      </c>
    </row>
    <row r="429" spans="1:14">
      <c r="A429" s="972">
        <f t="shared" si="12"/>
        <v>2027.12</v>
      </c>
      <c r="B429" s="215" t="e">
        <v>#N/A</v>
      </c>
      <c r="C429" s="947" t="e">
        <v>#N/A</v>
      </c>
      <c r="D429" s="3538" t="e">
        <v>#N/A</v>
      </c>
      <c r="E429" s="1434" t="e">
        <v>#N/A</v>
      </c>
      <c r="F429" s="3538" t="e">
        <v>#N/A</v>
      </c>
      <c r="G429" s="141" t="e">
        <v>#N/A</v>
      </c>
      <c r="H429" s="3665" t="e">
        <f t="shared" si="14"/>
        <v>#N/A</v>
      </c>
      <c r="I429" s="141" t="e">
        <v>#N/A</v>
      </c>
      <c r="J429" s="2774" t="e">
        <v>#N/A</v>
      </c>
      <c r="K429" s="141" t="e">
        <v>#N/A</v>
      </c>
      <c r="L429" s="223" t="e">
        <v>#N/A</v>
      </c>
      <c r="M429" s="3538" t="e">
        <v>#N/A</v>
      </c>
      <c r="N429" s="318" t="e">
        <v>#N/A</v>
      </c>
    </row>
    <row r="430" spans="1:14">
      <c r="A430" s="972">
        <f t="shared" si="12"/>
        <v>2028.01</v>
      </c>
      <c r="B430" s="215" t="e">
        <v>#N/A</v>
      </c>
      <c r="C430" s="947" t="e">
        <v>#N/A</v>
      </c>
      <c r="D430" s="3538" t="e">
        <v>#N/A</v>
      </c>
      <c r="E430" s="1434" t="e">
        <v>#N/A</v>
      </c>
      <c r="F430" s="3538" t="e">
        <v>#N/A</v>
      </c>
      <c r="G430" s="141" t="e">
        <v>#N/A</v>
      </c>
      <c r="H430" s="3665" t="e">
        <f t="shared" si="14"/>
        <v>#N/A</v>
      </c>
      <c r="I430" s="141" t="e">
        <v>#N/A</v>
      </c>
      <c r="J430" s="2774" t="e">
        <v>#N/A</v>
      </c>
      <c r="K430" s="141" t="e">
        <v>#N/A</v>
      </c>
      <c r="L430" s="223" t="e">
        <v>#N/A</v>
      </c>
      <c r="M430" s="3538" t="e">
        <v>#N/A</v>
      </c>
      <c r="N430" s="318" t="e">
        <v>#N/A</v>
      </c>
    </row>
    <row r="431" spans="1:14">
      <c r="A431" s="972">
        <f t="shared" si="12"/>
        <v>2028.02</v>
      </c>
      <c r="B431" s="215" t="e">
        <v>#N/A</v>
      </c>
      <c r="C431" s="947" t="e">
        <v>#N/A</v>
      </c>
      <c r="D431" s="3538" t="e">
        <v>#N/A</v>
      </c>
      <c r="E431" s="1434" t="e">
        <v>#N/A</v>
      </c>
      <c r="F431" s="3538" t="e">
        <v>#N/A</v>
      </c>
      <c r="G431" s="141" t="e">
        <v>#N/A</v>
      </c>
      <c r="H431" s="3665" t="e">
        <f t="shared" si="14"/>
        <v>#N/A</v>
      </c>
      <c r="I431" s="141" t="e">
        <v>#N/A</v>
      </c>
      <c r="J431" s="2774" t="e">
        <v>#N/A</v>
      </c>
      <c r="K431" s="141" t="e">
        <v>#N/A</v>
      </c>
      <c r="L431" s="223" t="e">
        <v>#N/A</v>
      </c>
      <c r="M431" s="3538" t="e">
        <v>#N/A</v>
      </c>
      <c r="N431" s="318" t="e">
        <v>#N/A</v>
      </c>
    </row>
    <row r="432" spans="1:14">
      <c r="A432" s="972">
        <f t="shared" si="12"/>
        <v>2028.03</v>
      </c>
      <c r="B432" s="215" t="e">
        <v>#N/A</v>
      </c>
      <c r="C432" s="947" t="e">
        <v>#N/A</v>
      </c>
      <c r="D432" s="3538" t="e">
        <v>#N/A</v>
      </c>
      <c r="E432" s="1434" t="e">
        <v>#N/A</v>
      </c>
      <c r="F432" s="3538" t="e">
        <v>#N/A</v>
      </c>
      <c r="G432" s="141" t="e">
        <v>#N/A</v>
      </c>
      <c r="H432" s="3665" t="e">
        <f t="shared" si="14"/>
        <v>#N/A</v>
      </c>
      <c r="I432" s="141" t="e">
        <v>#N/A</v>
      </c>
      <c r="J432" s="2774" t="e">
        <v>#N/A</v>
      </c>
      <c r="K432" s="141" t="e">
        <v>#N/A</v>
      </c>
      <c r="L432" s="223" t="e">
        <v>#N/A</v>
      </c>
      <c r="M432" s="3538" t="e">
        <v>#N/A</v>
      </c>
      <c r="N432" s="318" t="e">
        <v>#N/A</v>
      </c>
    </row>
    <row r="433" spans="1:14">
      <c r="A433" s="972">
        <f t="shared" si="12"/>
        <v>2028.04</v>
      </c>
      <c r="B433" s="215" t="e">
        <v>#N/A</v>
      </c>
      <c r="C433" s="947" t="e">
        <v>#N/A</v>
      </c>
      <c r="D433" s="3538" t="e">
        <v>#N/A</v>
      </c>
      <c r="E433" s="1434" t="e">
        <v>#N/A</v>
      </c>
      <c r="F433" s="3538" t="e">
        <v>#N/A</v>
      </c>
      <c r="G433" s="141" t="e">
        <v>#N/A</v>
      </c>
      <c r="H433" s="3665" t="e">
        <f t="shared" si="14"/>
        <v>#N/A</v>
      </c>
      <c r="I433" s="141" t="e">
        <v>#N/A</v>
      </c>
      <c r="J433" s="2774" t="e">
        <v>#N/A</v>
      </c>
      <c r="K433" s="141" t="e">
        <v>#N/A</v>
      </c>
      <c r="L433" s="223" t="e">
        <v>#N/A</v>
      </c>
      <c r="M433" s="3538" t="e">
        <v>#N/A</v>
      </c>
      <c r="N433" s="318" t="e">
        <v>#N/A</v>
      </c>
    </row>
    <row r="434" spans="1:14">
      <c r="A434" s="972">
        <f t="shared" si="12"/>
        <v>2028.05</v>
      </c>
      <c r="B434" s="215" t="e">
        <v>#N/A</v>
      </c>
      <c r="C434" s="947" t="e">
        <v>#N/A</v>
      </c>
      <c r="D434" s="3538" t="e">
        <v>#N/A</v>
      </c>
      <c r="E434" s="1434" t="e">
        <v>#N/A</v>
      </c>
      <c r="F434" s="3538" t="e">
        <v>#N/A</v>
      </c>
      <c r="G434" s="141" t="e">
        <v>#N/A</v>
      </c>
      <c r="H434" s="3665" t="e">
        <f t="shared" si="14"/>
        <v>#N/A</v>
      </c>
      <c r="I434" s="141" t="e">
        <v>#N/A</v>
      </c>
      <c r="J434" s="2774" t="e">
        <v>#N/A</v>
      </c>
      <c r="K434" s="141" t="e">
        <v>#N/A</v>
      </c>
      <c r="L434" s="223" t="e">
        <v>#N/A</v>
      </c>
      <c r="M434" s="3538" t="e">
        <v>#N/A</v>
      </c>
      <c r="N434" s="318" t="e">
        <v>#N/A</v>
      </c>
    </row>
    <row r="435" spans="1:14">
      <c r="A435" s="972">
        <f t="shared" si="12"/>
        <v>2028.06</v>
      </c>
      <c r="B435" s="215" t="e">
        <v>#N/A</v>
      </c>
      <c r="C435" s="947" t="e">
        <v>#N/A</v>
      </c>
      <c r="D435" s="3538" t="e">
        <v>#N/A</v>
      </c>
      <c r="E435" s="1434" t="e">
        <v>#N/A</v>
      </c>
      <c r="F435" s="3538" t="e">
        <v>#N/A</v>
      </c>
      <c r="G435" s="141" t="e">
        <v>#N/A</v>
      </c>
      <c r="H435" s="3665" t="e">
        <f t="shared" si="14"/>
        <v>#N/A</v>
      </c>
      <c r="I435" s="141" t="e">
        <v>#N/A</v>
      </c>
      <c r="J435" s="2774" t="e">
        <v>#N/A</v>
      </c>
      <c r="K435" s="141" t="e">
        <v>#N/A</v>
      </c>
      <c r="L435" s="223" t="e">
        <v>#N/A</v>
      </c>
      <c r="M435" s="3538" t="e">
        <v>#N/A</v>
      </c>
      <c r="N435" s="318" t="e">
        <v>#N/A</v>
      </c>
    </row>
    <row r="436" spans="1:14">
      <c r="A436" s="972">
        <f t="shared" si="12"/>
        <v>2028.07</v>
      </c>
      <c r="B436" s="215" t="e">
        <v>#N/A</v>
      </c>
      <c r="C436" s="947" t="e">
        <v>#N/A</v>
      </c>
      <c r="D436" s="3538" t="e">
        <v>#N/A</v>
      </c>
      <c r="E436" s="1434" t="e">
        <v>#N/A</v>
      </c>
      <c r="F436" s="3538" t="e">
        <v>#N/A</v>
      </c>
      <c r="G436" s="141" t="e">
        <v>#N/A</v>
      </c>
      <c r="H436" s="3665" t="e">
        <f t="shared" si="14"/>
        <v>#N/A</v>
      </c>
      <c r="I436" s="141" t="e">
        <v>#N/A</v>
      </c>
      <c r="J436" s="2774" t="e">
        <v>#N/A</v>
      </c>
      <c r="K436" s="141" t="e">
        <v>#N/A</v>
      </c>
      <c r="L436" s="223" t="e">
        <v>#N/A</v>
      </c>
      <c r="M436" s="3538" t="e">
        <v>#N/A</v>
      </c>
      <c r="N436" s="318" t="e">
        <v>#N/A</v>
      </c>
    </row>
    <row r="437" spans="1:14">
      <c r="A437" s="972">
        <f t="shared" si="12"/>
        <v>2028.08</v>
      </c>
      <c r="B437" s="215" t="e">
        <v>#N/A</v>
      </c>
      <c r="C437" s="947" t="e">
        <v>#N/A</v>
      </c>
      <c r="D437" s="3538" t="e">
        <v>#N/A</v>
      </c>
      <c r="E437" s="1434" t="e">
        <v>#N/A</v>
      </c>
      <c r="F437" s="3538" t="e">
        <v>#N/A</v>
      </c>
      <c r="G437" s="141" t="e">
        <v>#N/A</v>
      </c>
      <c r="H437" s="3665" t="e">
        <f t="shared" si="14"/>
        <v>#N/A</v>
      </c>
      <c r="I437" s="141" t="e">
        <v>#N/A</v>
      </c>
      <c r="J437" s="2774" t="e">
        <v>#N/A</v>
      </c>
      <c r="K437" s="141" t="e">
        <v>#N/A</v>
      </c>
      <c r="L437" s="223" t="e">
        <v>#N/A</v>
      </c>
      <c r="M437" s="3538" t="e">
        <v>#N/A</v>
      </c>
      <c r="N437" s="318" t="e">
        <v>#N/A</v>
      </c>
    </row>
    <row r="438" spans="1:14">
      <c r="A438" s="972">
        <f t="shared" si="12"/>
        <v>2028.09</v>
      </c>
      <c r="B438" s="215" t="e">
        <v>#N/A</v>
      </c>
      <c r="C438" s="947" t="e">
        <v>#N/A</v>
      </c>
      <c r="D438" s="3538" t="e">
        <v>#N/A</v>
      </c>
      <c r="E438" s="1434" t="e">
        <v>#N/A</v>
      </c>
      <c r="F438" s="3538" t="e">
        <v>#N/A</v>
      </c>
      <c r="G438" s="141" t="e">
        <v>#N/A</v>
      </c>
      <c r="H438" s="3665" t="e">
        <f t="shared" si="14"/>
        <v>#N/A</v>
      </c>
      <c r="I438" s="141" t="e">
        <v>#N/A</v>
      </c>
      <c r="J438" s="2774" t="e">
        <v>#N/A</v>
      </c>
      <c r="K438" s="141" t="e">
        <v>#N/A</v>
      </c>
      <c r="L438" s="223" t="e">
        <v>#N/A</v>
      </c>
      <c r="M438" s="3538" t="e">
        <v>#N/A</v>
      </c>
      <c r="N438" s="318" t="e">
        <v>#N/A</v>
      </c>
    </row>
    <row r="439" spans="1:14">
      <c r="A439" s="972">
        <f t="shared" si="12"/>
        <v>2028.1</v>
      </c>
      <c r="B439" s="215" t="e">
        <v>#N/A</v>
      </c>
      <c r="C439" s="947" t="e">
        <v>#N/A</v>
      </c>
      <c r="D439" s="3538" t="e">
        <v>#N/A</v>
      </c>
      <c r="E439" s="1434" t="e">
        <v>#N/A</v>
      </c>
      <c r="F439" s="3538" t="e">
        <v>#N/A</v>
      </c>
      <c r="G439" s="141" t="e">
        <v>#N/A</v>
      </c>
      <c r="H439" s="3665" t="e">
        <f t="shared" si="14"/>
        <v>#N/A</v>
      </c>
      <c r="I439" s="141" t="e">
        <v>#N/A</v>
      </c>
      <c r="J439" s="2774" t="e">
        <v>#N/A</v>
      </c>
      <c r="K439" s="141" t="e">
        <v>#N/A</v>
      </c>
      <c r="L439" s="223" t="e">
        <v>#N/A</v>
      </c>
      <c r="M439" s="3538" t="e">
        <v>#N/A</v>
      </c>
      <c r="N439" s="318" t="e">
        <v>#N/A</v>
      </c>
    </row>
    <row r="440" spans="1:14">
      <c r="A440" s="972">
        <f t="shared" si="12"/>
        <v>2028.11</v>
      </c>
      <c r="B440" s="215" t="e">
        <v>#N/A</v>
      </c>
      <c r="C440" s="947" t="e">
        <v>#N/A</v>
      </c>
      <c r="D440" s="3538" t="e">
        <v>#N/A</v>
      </c>
      <c r="E440" s="1434" t="e">
        <v>#N/A</v>
      </c>
      <c r="F440" s="3538" t="e">
        <v>#N/A</v>
      </c>
      <c r="G440" s="141" t="e">
        <v>#N/A</v>
      </c>
      <c r="H440" s="3665" t="e">
        <f t="shared" si="14"/>
        <v>#N/A</v>
      </c>
      <c r="I440" s="141" t="e">
        <v>#N/A</v>
      </c>
      <c r="J440" s="2774" t="e">
        <v>#N/A</v>
      </c>
      <c r="K440" s="141" t="e">
        <v>#N/A</v>
      </c>
      <c r="L440" s="223" t="e">
        <v>#N/A</v>
      </c>
      <c r="M440" s="3538" t="e">
        <v>#N/A</v>
      </c>
      <c r="N440" s="318" t="e">
        <v>#N/A</v>
      </c>
    </row>
    <row r="441" spans="1:14">
      <c r="A441" s="972">
        <f t="shared" si="12"/>
        <v>2028.12</v>
      </c>
      <c r="B441" s="215" t="e">
        <v>#N/A</v>
      </c>
      <c r="C441" s="947" t="e">
        <v>#N/A</v>
      </c>
      <c r="D441" s="3538" t="e">
        <v>#N/A</v>
      </c>
      <c r="E441" s="1434" t="e">
        <v>#N/A</v>
      </c>
      <c r="F441" s="3538" t="e">
        <v>#N/A</v>
      </c>
      <c r="G441" s="141" t="e">
        <v>#N/A</v>
      </c>
      <c r="H441" s="3665" t="e">
        <f t="shared" si="14"/>
        <v>#N/A</v>
      </c>
      <c r="I441" s="141" t="e">
        <v>#N/A</v>
      </c>
      <c r="J441" s="2774" t="e">
        <v>#N/A</v>
      </c>
      <c r="K441" s="141" t="e">
        <v>#N/A</v>
      </c>
      <c r="L441" s="223" t="e">
        <v>#N/A</v>
      </c>
      <c r="M441" s="3538" t="e">
        <v>#N/A</v>
      </c>
      <c r="N441" s="318" t="e">
        <v>#N/A</v>
      </c>
    </row>
    <row r="442" spans="1:14">
      <c r="A442" s="972">
        <f t="shared" si="12"/>
        <v>2029.01</v>
      </c>
      <c r="B442" s="215" t="e">
        <v>#N/A</v>
      </c>
      <c r="C442" s="947" t="e">
        <v>#N/A</v>
      </c>
      <c r="D442" s="3538" t="e">
        <v>#N/A</v>
      </c>
      <c r="E442" s="1434" t="e">
        <v>#N/A</v>
      </c>
      <c r="F442" s="3538" t="e">
        <v>#N/A</v>
      </c>
      <c r="G442" s="141" t="e">
        <v>#N/A</v>
      </c>
      <c r="H442" s="3665" t="e">
        <f t="shared" si="14"/>
        <v>#N/A</v>
      </c>
      <c r="I442" s="141" t="e">
        <v>#N/A</v>
      </c>
      <c r="J442" s="2774" t="e">
        <v>#N/A</v>
      </c>
      <c r="K442" s="141" t="e">
        <v>#N/A</v>
      </c>
      <c r="L442" s="223" t="e">
        <v>#N/A</v>
      </c>
      <c r="M442" s="3538" t="e">
        <v>#N/A</v>
      </c>
      <c r="N442" s="318" t="e">
        <v>#N/A</v>
      </c>
    </row>
    <row r="443" spans="1:14">
      <c r="A443" s="972">
        <f t="shared" si="12"/>
        <v>2029.02</v>
      </c>
      <c r="B443" s="215" t="e">
        <v>#N/A</v>
      </c>
      <c r="C443" s="947" t="e">
        <v>#N/A</v>
      </c>
      <c r="D443" s="3538" t="e">
        <v>#N/A</v>
      </c>
      <c r="E443" s="1434" t="e">
        <v>#N/A</v>
      </c>
      <c r="F443" s="3538" t="e">
        <v>#N/A</v>
      </c>
      <c r="G443" s="141" t="e">
        <v>#N/A</v>
      </c>
      <c r="H443" s="3665" t="e">
        <f t="shared" si="14"/>
        <v>#N/A</v>
      </c>
      <c r="I443" s="141" t="e">
        <v>#N/A</v>
      </c>
      <c r="J443" s="2774" t="e">
        <v>#N/A</v>
      </c>
      <c r="K443" s="141" t="e">
        <v>#N/A</v>
      </c>
      <c r="L443" s="223" t="e">
        <v>#N/A</v>
      </c>
      <c r="M443" s="3538" t="e">
        <v>#N/A</v>
      </c>
      <c r="N443" s="318" t="e">
        <v>#N/A</v>
      </c>
    </row>
    <row r="444" spans="1:14">
      <c r="A444" s="972">
        <f t="shared" si="12"/>
        <v>2029.03</v>
      </c>
      <c r="B444" s="215" t="e">
        <v>#N/A</v>
      </c>
      <c r="C444" s="947" t="e">
        <v>#N/A</v>
      </c>
      <c r="D444" s="3538" t="e">
        <v>#N/A</v>
      </c>
      <c r="E444" s="1434" t="e">
        <v>#N/A</v>
      </c>
      <c r="F444" s="3538" t="e">
        <v>#N/A</v>
      </c>
      <c r="G444" s="141" t="e">
        <v>#N/A</v>
      </c>
      <c r="H444" s="3665" t="e">
        <f t="shared" si="14"/>
        <v>#N/A</v>
      </c>
      <c r="I444" s="141" t="e">
        <v>#N/A</v>
      </c>
      <c r="J444" s="2774" t="e">
        <v>#N/A</v>
      </c>
      <c r="K444" s="141" t="e">
        <v>#N/A</v>
      </c>
      <c r="L444" s="223" t="e">
        <v>#N/A</v>
      </c>
      <c r="M444" s="3538" t="e">
        <v>#N/A</v>
      </c>
      <c r="N444" s="318" t="e">
        <v>#N/A</v>
      </c>
    </row>
    <row r="445" spans="1:14">
      <c r="A445" s="972">
        <f t="shared" si="12"/>
        <v>2029.04</v>
      </c>
      <c r="B445" s="215" t="e">
        <v>#N/A</v>
      </c>
      <c r="C445" s="947" t="e">
        <v>#N/A</v>
      </c>
      <c r="D445" s="3538" t="e">
        <v>#N/A</v>
      </c>
      <c r="E445" s="1434" t="e">
        <v>#N/A</v>
      </c>
      <c r="F445" s="3538" t="e">
        <v>#N/A</v>
      </c>
      <c r="G445" s="141" t="e">
        <v>#N/A</v>
      </c>
      <c r="H445" s="3665" t="e">
        <f t="shared" si="14"/>
        <v>#N/A</v>
      </c>
      <c r="I445" s="141" t="e">
        <v>#N/A</v>
      </c>
      <c r="J445" s="2774" t="e">
        <v>#N/A</v>
      </c>
      <c r="K445" s="141" t="e">
        <v>#N/A</v>
      </c>
      <c r="L445" s="223" t="e">
        <v>#N/A</v>
      </c>
      <c r="M445" s="3538" t="e">
        <v>#N/A</v>
      </c>
      <c r="N445" s="318" t="e">
        <v>#N/A</v>
      </c>
    </row>
    <row r="446" spans="1:14">
      <c r="A446" s="972">
        <f t="shared" ref="A446:A465" si="15">A434+1</f>
        <v>2029.05</v>
      </c>
      <c r="B446" s="215" t="e">
        <v>#N/A</v>
      </c>
      <c r="C446" s="947" t="e">
        <v>#N/A</v>
      </c>
      <c r="D446" s="3538" t="e">
        <v>#N/A</v>
      </c>
      <c r="E446" s="1434" t="e">
        <v>#N/A</v>
      </c>
      <c r="F446" s="3538" t="e">
        <v>#N/A</v>
      </c>
      <c r="G446" s="141" t="e">
        <v>#N/A</v>
      </c>
      <c r="H446" s="3665" t="e">
        <f t="shared" si="14"/>
        <v>#N/A</v>
      </c>
      <c r="I446" s="141" t="e">
        <v>#N/A</v>
      </c>
      <c r="J446" s="2774" t="e">
        <v>#N/A</v>
      </c>
      <c r="K446" s="141" t="e">
        <v>#N/A</v>
      </c>
      <c r="L446" s="223" t="e">
        <v>#N/A</v>
      </c>
      <c r="M446" s="3538" t="e">
        <v>#N/A</v>
      </c>
      <c r="N446" s="318" t="e">
        <v>#N/A</v>
      </c>
    </row>
    <row r="447" spans="1:14">
      <c r="A447" s="972">
        <f t="shared" si="15"/>
        <v>2029.06</v>
      </c>
      <c r="B447" s="215" t="e">
        <v>#N/A</v>
      </c>
      <c r="C447" s="947" t="e">
        <v>#N/A</v>
      </c>
      <c r="D447" s="3538" t="e">
        <v>#N/A</v>
      </c>
      <c r="E447" s="1434" t="e">
        <v>#N/A</v>
      </c>
      <c r="F447" s="3538" t="e">
        <v>#N/A</v>
      </c>
      <c r="G447" s="141" t="e">
        <v>#N/A</v>
      </c>
      <c r="H447" s="3665" t="e">
        <f t="shared" si="14"/>
        <v>#N/A</v>
      </c>
      <c r="I447" s="141" t="e">
        <v>#N/A</v>
      </c>
      <c r="J447" s="2774" t="e">
        <v>#N/A</v>
      </c>
      <c r="K447" s="141" t="e">
        <v>#N/A</v>
      </c>
      <c r="L447" s="223" t="e">
        <v>#N/A</v>
      </c>
      <c r="M447" s="3538" t="e">
        <v>#N/A</v>
      </c>
      <c r="N447" s="318" t="e">
        <v>#N/A</v>
      </c>
    </row>
    <row r="448" spans="1:14">
      <c r="A448" s="972">
        <f t="shared" si="15"/>
        <v>2029.07</v>
      </c>
      <c r="B448" s="215" t="e">
        <v>#N/A</v>
      </c>
      <c r="C448" s="947" t="e">
        <v>#N/A</v>
      </c>
      <c r="D448" s="3538" t="e">
        <v>#N/A</v>
      </c>
      <c r="E448" s="1434" t="e">
        <v>#N/A</v>
      </c>
      <c r="F448" s="3538" t="e">
        <v>#N/A</v>
      </c>
      <c r="G448" s="141" t="e">
        <v>#N/A</v>
      </c>
      <c r="H448" s="3665" t="e">
        <f t="shared" si="14"/>
        <v>#N/A</v>
      </c>
      <c r="I448" s="141" t="e">
        <v>#N/A</v>
      </c>
      <c r="J448" s="2774" t="e">
        <v>#N/A</v>
      </c>
      <c r="K448" s="141" t="e">
        <v>#N/A</v>
      </c>
      <c r="L448" s="223" t="e">
        <v>#N/A</v>
      </c>
      <c r="M448" s="3538" t="e">
        <v>#N/A</v>
      </c>
      <c r="N448" s="318" t="e">
        <v>#N/A</v>
      </c>
    </row>
    <row r="449" spans="1:14">
      <c r="A449" s="972">
        <f t="shared" si="15"/>
        <v>2029.08</v>
      </c>
      <c r="B449" s="215" t="e">
        <v>#N/A</v>
      </c>
      <c r="C449" s="947" t="e">
        <v>#N/A</v>
      </c>
      <c r="D449" s="3538" t="e">
        <v>#N/A</v>
      </c>
      <c r="E449" s="1434" t="e">
        <v>#N/A</v>
      </c>
      <c r="F449" s="3538" t="e">
        <v>#N/A</v>
      </c>
      <c r="G449" s="141" t="e">
        <v>#N/A</v>
      </c>
      <c r="H449" s="3665" t="e">
        <f t="shared" si="14"/>
        <v>#N/A</v>
      </c>
      <c r="I449" s="141" t="e">
        <v>#N/A</v>
      </c>
      <c r="J449" s="2774" t="e">
        <v>#N/A</v>
      </c>
      <c r="K449" s="141" t="e">
        <v>#N/A</v>
      </c>
      <c r="L449" s="223" t="e">
        <v>#N/A</v>
      </c>
      <c r="M449" s="3538" t="e">
        <v>#N/A</v>
      </c>
      <c r="N449" s="318" t="e">
        <v>#N/A</v>
      </c>
    </row>
    <row r="450" spans="1:14">
      <c r="A450" s="972">
        <f t="shared" si="15"/>
        <v>2029.09</v>
      </c>
      <c r="B450" s="215" t="e">
        <v>#N/A</v>
      </c>
      <c r="C450" s="947" t="e">
        <v>#N/A</v>
      </c>
      <c r="D450" s="3538" t="e">
        <v>#N/A</v>
      </c>
      <c r="E450" s="1434" t="e">
        <v>#N/A</v>
      </c>
      <c r="F450" s="3538" t="e">
        <v>#N/A</v>
      </c>
      <c r="G450" s="141" t="e">
        <v>#N/A</v>
      </c>
      <c r="H450" s="3665" t="e">
        <f t="shared" si="14"/>
        <v>#N/A</v>
      </c>
      <c r="I450" s="141" t="e">
        <v>#N/A</v>
      </c>
      <c r="J450" s="2774" t="e">
        <v>#N/A</v>
      </c>
      <c r="K450" s="141" t="e">
        <v>#N/A</v>
      </c>
      <c r="L450" s="223" t="e">
        <v>#N/A</v>
      </c>
      <c r="M450" s="3538" t="e">
        <v>#N/A</v>
      </c>
      <c r="N450" s="318" t="e">
        <v>#N/A</v>
      </c>
    </row>
    <row r="451" spans="1:14">
      <c r="A451" s="972">
        <f t="shared" si="15"/>
        <v>2029.1</v>
      </c>
      <c r="B451" s="215" t="e">
        <v>#N/A</v>
      </c>
      <c r="C451" s="947" t="e">
        <v>#N/A</v>
      </c>
      <c r="D451" s="3538" t="e">
        <v>#N/A</v>
      </c>
      <c r="E451" s="1434" t="e">
        <v>#N/A</v>
      </c>
      <c r="F451" s="3538" t="e">
        <v>#N/A</v>
      </c>
      <c r="G451" s="141" t="e">
        <v>#N/A</v>
      </c>
      <c r="H451" s="3665" t="e">
        <f t="shared" si="14"/>
        <v>#N/A</v>
      </c>
      <c r="I451" s="141" t="e">
        <v>#N/A</v>
      </c>
      <c r="J451" s="2774" t="e">
        <v>#N/A</v>
      </c>
      <c r="K451" s="141" t="e">
        <v>#N/A</v>
      </c>
      <c r="L451" s="223" t="e">
        <v>#N/A</v>
      </c>
      <c r="M451" s="3538" t="e">
        <v>#N/A</v>
      </c>
      <c r="N451" s="318" t="e">
        <v>#N/A</v>
      </c>
    </row>
    <row r="452" spans="1:14">
      <c r="A452" s="972">
        <f t="shared" si="15"/>
        <v>2029.11</v>
      </c>
      <c r="B452" s="215" t="e">
        <v>#N/A</v>
      </c>
      <c r="C452" s="947" t="e">
        <v>#N/A</v>
      </c>
      <c r="D452" s="3538" t="e">
        <v>#N/A</v>
      </c>
      <c r="E452" s="1434" t="e">
        <v>#N/A</v>
      </c>
      <c r="F452" s="3538" t="e">
        <v>#N/A</v>
      </c>
      <c r="G452" s="141" t="e">
        <v>#N/A</v>
      </c>
      <c r="H452" s="3665" t="e">
        <f t="shared" si="14"/>
        <v>#N/A</v>
      </c>
      <c r="I452" s="141" t="e">
        <v>#N/A</v>
      </c>
      <c r="J452" s="2774" t="e">
        <v>#N/A</v>
      </c>
      <c r="K452" s="141" t="e">
        <v>#N/A</v>
      </c>
      <c r="L452" s="223" t="e">
        <v>#N/A</v>
      </c>
      <c r="M452" s="3538" t="e">
        <v>#N/A</v>
      </c>
      <c r="N452" s="318" t="e">
        <v>#N/A</v>
      </c>
    </row>
    <row r="453" spans="1:14">
      <c r="A453" s="972">
        <f t="shared" si="15"/>
        <v>2029.12</v>
      </c>
      <c r="B453" s="215" t="e">
        <v>#N/A</v>
      </c>
      <c r="C453" s="947" t="e">
        <v>#N/A</v>
      </c>
      <c r="D453" s="3538" t="e">
        <v>#N/A</v>
      </c>
      <c r="E453" s="1434" t="e">
        <v>#N/A</v>
      </c>
      <c r="F453" s="3538" t="e">
        <v>#N/A</v>
      </c>
      <c r="G453" s="141" t="e">
        <v>#N/A</v>
      </c>
      <c r="H453" s="3665" t="e">
        <f t="shared" si="14"/>
        <v>#N/A</v>
      </c>
      <c r="I453" s="141" t="e">
        <v>#N/A</v>
      </c>
      <c r="J453" s="2774" t="e">
        <v>#N/A</v>
      </c>
      <c r="K453" s="141" t="e">
        <v>#N/A</v>
      </c>
      <c r="L453" s="223" t="e">
        <v>#N/A</v>
      </c>
      <c r="M453" s="3538" t="e">
        <v>#N/A</v>
      </c>
      <c r="N453" s="318" t="e">
        <v>#N/A</v>
      </c>
    </row>
    <row r="454" spans="1:14">
      <c r="A454" s="972">
        <f t="shared" si="15"/>
        <v>2030.01</v>
      </c>
      <c r="B454" s="215" t="e">
        <v>#N/A</v>
      </c>
      <c r="C454" s="947" t="e">
        <v>#N/A</v>
      </c>
      <c r="D454" s="3538" t="e">
        <v>#N/A</v>
      </c>
      <c r="E454" s="1434" t="e">
        <v>#N/A</v>
      </c>
      <c r="F454" s="3538" t="e">
        <v>#N/A</v>
      </c>
      <c r="G454" s="141" t="e">
        <v>#N/A</v>
      </c>
      <c r="H454" s="3665" t="e">
        <f t="shared" si="14"/>
        <v>#N/A</v>
      </c>
      <c r="I454" s="141" t="e">
        <v>#N/A</v>
      </c>
      <c r="J454" s="2774" t="e">
        <v>#N/A</v>
      </c>
      <c r="K454" s="141" t="e">
        <v>#N/A</v>
      </c>
      <c r="L454" s="223" t="e">
        <v>#N/A</v>
      </c>
      <c r="M454" s="3538" t="e">
        <v>#N/A</v>
      </c>
      <c r="N454" s="318" t="e">
        <v>#N/A</v>
      </c>
    </row>
    <row r="455" spans="1:14">
      <c r="A455" s="972">
        <f t="shared" si="15"/>
        <v>2030.02</v>
      </c>
      <c r="B455" s="215" t="e">
        <v>#N/A</v>
      </c>
      <c r="C455" s="947" t="e">
        <v>#N/A</v>
      </c>
      <c r="D455" s="3538" t="e">
        <v>#N/A</v>
      </c>
      <c r="E455" s="1434" t="e">
        <v>#N/A</v>
      </c>
      <c r="F455" s="3538" t="e">
        <v>#N/A</v>
      </c>
      <c r="G455" s="141" t="e">
        <v>#N/A</v>
      </c>
      <c r="H455" s="3665" t="e">
        <f t="shared" si="14"/>
        <v>#N/A</v>
      </c>
      <c r="I455" s="141" t="e">
        <v>#N/A</v>
      </c>
      <c r="J455" s="2774" t="e">
        <v>#N/A</v>
      </c>
      <c r="K455" s="141" t="e">
        <v>#N/A</v>
      </c>
      <c r="L455" s="223" t="e">
        <v>#N/A</v>
      </c>
      <c r="M455" s="3538" t="e">
        <v>#N/A</v>
      </c>
      <c r="N455" s="318" t="e">
        <v>#N/A</v>
      </c>
    </row>
    <row r="456" spans="1:14">
      <c r="A456" s="972">
        <f t="shared" si="15"/>
        <v>2030.03</v>
      </c>
      <c r="B456" s="215" t="e">
        <v>#N/A</v>
      </c>
      <c r="C456" s="947" t="e">
        <v>#N/A</v>
      </c>
      <c r="D456" s="3538" t="e">
        <v>#N/A</v>
      </c>
      <c r="E456" s="1434" t="e">
        <v>#N/A</v>
      </c>
      <c r="F456" s="3538" t="e">
        <v>#N/A</v>
      </c>
      <c r="G456" s="141" t="e">
        <v>#N/A</v>
      </c>
      <c r="H456" s="3665" t="e">
        <f t="shared" si="14"/>
        <v>#N/A</v>
      </c>
      <c r="I456" s="141" t="e">
        <v>#N/A</v>
      </c>
      <c r="J456" s="2774" t="e">
        <v>#N/A</v>
      </c>
      <c r="K456" s="141" t="e">
        <v>#N/A</v>
      </c>
      <c r="L456" s="223" t="e">
        <v>#N/A</v>
      </c>
      <c r="M456" s="3538" t="e">
        <v>#N/A</v>
      </c>
      <c r="N456" s="318" t="e">
        <v>#N/A</v>
      </c>
    </row>
    <row r="457" spans="1:14">
      <c r="A457" s="972">
        <f t="shared" si="15"/>
        <v>2030.04</v>
      </c>
      <c r="B457" s="215" t="e">
        <v>#N/A</v>
      </c>
      <c r="C457" s="947" t="e">
        <v>#N/A</v>
      </c>
      <c r="D457" s="3538" t="e">
        <v>#N/A</v>
      </c>
      <c r="E457" s="1434" t="e">
        <v>#N/A</v>
      </c>
      <c r="F457" s="3538" t="e">
        <v>#N/A</v>
      </c>
      <c r="G457" s="141" t="e">
        <v>#N/A</v>
      </c>
      <c r="H457" s="3665" t="e">
        <f t="shared" si="14"/>
        <v>#N/A</v>
      </c>
      <c r="I457" s="141" t="e">
        <v>#N/A</v>
      </c>
      <c r="J457" s="2774" t="e">
        <v>#N/A</v>
      </c>
      <c r="K457" s="141" t="e">
        <v>#N/A</v>
      </c>
      <c r="L457" s="223" t="e">
        <v>#N/A</v>
      </c>
      <c r="M457" s="3538" t="e">
        <v>#N/A</v>
      </c>
      <c r="N457" s="318" t="e">
        <v>#N/A</v>
      </c>
    </row>
    <row r="458" spans="1:14">
      <c r="A458" s="972">
        <f t="shared" si="15"/>
        <v>2030.05</v>
      </c>
      <c r="B458" s="215" t="e">
        <v>#N/A</v>
      </c>
      <c r="C458" s="947" t="e">
        <v>#N/A</v>
      </c>
      <c r="D458" s="3538" t="e">
        <v>#N/A</v>
      </c>
      <c r="E458" s="1434" t="e">
        <v>#N/A</v>
      </c>
      <c r="F458" s="3538" t="e">
        <v>#N/A</v>
      </c>
      <c r="G458" s="141" t="e">
        <v>#N/A</v>
      </c>
      <c r="H458" s="3665" t="e">
        <f t="shared" si="14"/>
        <v>#N/A</v>
      </c>
      <c r="I458" s="141" t="e">
        <v>#N/A</v>
      </c>
      <c r="J458" s="2774" t="e">
        <v>#N/A</v>
      </c>
      <c r="K458" s="141" t="e">
        <v>#N/A</v>
      </c>
      <c r="L458" s="223" t="e">
        <v>#N/A</v>
      </c>
      <c r="M458" s="3538" t="e">
        <v>#N/A</v>
      </c>
      <c r="N458" s="318" t="e">
        <v>#N/A</v>
      </c>
    </row>
    <row r="459" spans="1:14">
      <c r="A459" s="972">
        <f t="shared" si="15"/>
        <v>2030.06</v>
      </c>
      <c r="B459" s="215" t="e">
        <v>#N/A</v>
      </c>
      <c r="C459" s="947" t="e">
        <v>#N/A</v>
      </c>
      <c r="D459" s="3538" t="e">
        <v>#N/A</v>
      </c>
      <c r="E459" s="1434" t="e">
        <v>#N/A</v>
      </c>
      <c r="F459" s="3538" t="e">
        <v>#N/A</v>
      </c>
      <c r="G459" s="141" t="e">
        <v>#N/A</v>
      </c>
      <c r="H459" s="3665" t="e">
        <f t="shared" si="14"/>
        <v>#N/A</v>
      </c>
      <c r="I459" s="141" t="e">
        <v>#N/A</v>
      </c>
      <c r="J459" s="2774" t="e">
        <v>#N/A</v>
      </c>
      <c r="K459" s="141" t="e">
        <v>#N/A</v>
      </c>
      <c r="L459" s="223" t="e">
        <v>#N/A</v>
      </c>
      <c r="M459" s="3538" t="e">
        <v>#N/A</v>
      </c>
      <c r="N459" s="318" t="e">
        <v>#N/A</v>
      </c>
    </row>
    <row r="460" spans="1:14">
      <c r="A460" s="972">
        <f t="shared" si="15"/>
        <v>2030.07</v>
      </c>
      <c r="B460" s="215" t="e">
        <v>#N/A</v>
      </c>
      <c r="C460" s="947" t="e">
        <v>#N/A</v>
      </c>
      <c r="D460" s="3538" t="e">
        <v>#N/A</v>
      </c>
      <c r="E460" s="1434" t="e">
        <v>#N/A</v>
      </c>
      <c r="F460" s="3538" t="e">
        <v>#N/A</v>
      </c>
      <c r="G460" s="141" t="e">
        <v>#N/A</v>
      </c>
      <c r="H460" s="3665" t="e">
        <f t="shared" si="14"/>
        <v>#N/A</v>
      </c>
      <c r="I460" s="141" t="e">
        <v>#N/A</v>
      </c>
      <c r="J460" s="2774" t="e">
        <v>#N/A</v>
      </c>
      <c r="K460" s="141" t="e">
        <v>#N/A</v>
      </c>
      <c r="L460" s="223" t="e">
        <v>#N/A</v>
      </c>
      <c r="M460" s="3538" t="e">
        <v>#N/A</v>
      </c>
      <c r="N460" s="318" t="e">
        <v>#N/A</v>
      </c>
    </row>
    <row r="461" spans="1:14">
      <c r="A461" s="972">
        <f t="shared" si="15"/>
        <v>2030.08</v>
      </c>
      <c r="B461" s="215" t="e">
        <v>#N/A</v>
      </c>
      <c r="C461" s="947" t="e">
        <v>#N/A</v>
      </c>
      <c r="D461" s="3538" t="e">
        <v>#N/A</v>
      </c>
      <c r="E461" s="1434" t="e">
        <v>#N/A</v>
      </c>
      <c r="F461" s="3538" t="e">
        <v>#N/A</v>
      </c>
      <c r="G461" s="141" t="e">
        <v>#N/A</v>
      </c>
      <c r="H461" s="3665" t="e">
        <f t="shared" si="14"/>
        <v>#N/A</v>
      </c>
      <c r="I461" s="141" t="e">
        <v>#N/A</v>
      </c>
      <c r="J461" s="2774" t="e">
        <v>#N/A</v>
      </c>
      <c r="K461" s="141" t="e">
        <v>#N/A</v>
      </c>
      <c r="L461" s="223" t="e">
        <v>#N/A</v>
      </c>
      <c r="M461" s="3538" t="e">
        <v>#N/A</v>
      </c>
      <c r="N461" s="318" t="e">
        <v>#N/A</v>
      </c>
    </row>
    <row r="462" spans="1:14">
      <c r="A462" s="972">
        <f t="shared" si="15"/>
        <v>2030.09</v>
      </c>
      <c r="B462" s="215" t="e">
        <v>#N/A</v>
      </c>
      <c r="C462" s="947" t="e">
        <v>#N/A</v>
      </c>
      <c r="D462" s="3538" t="e">
        <v>#N/A</v>
      </c>
      <c r="E462" s="1434" t="e">
        <v>#N/A</v>
      </c>
      <c r="F462" s="3538" t="e">
        <v>#N/A</v>
      </c>
      <c r="G462" s="141" t="e">
        <v>#N/A</v>
      </c>
      <c r="H462" s="3665" t="e">
        <f t="shared" si="14"/>
        <v>#N/A</v>
      </c>
      <c r="I462" s="141" t="e">
        <v>#N/A</v>
      </c>
      <c r="J462" s="2774" t="e">
        <v>#N/A</v>
      </c>
      <c r="K462" s="141" t="e">
        <v>#N/A</v>
      </c>
      <c r="L462" s="223" t="e">
        <v>#N/A</v>
      </c>
      <c r="M462" s="3538" t="e">
        <v>#N/A</v>
      </c>
      <c r="N462" s="318" t="e">
        <v>#N/A</v>
      </c>
    </row>
    <row r="463" spans="1:14">
      <c r="A463" s="972">
        <f t="shared" si="15"/>
        <v>2030.1</v>
      </c>
      <c r="B463" s="215" t="e">
        <v>#N/A</v>
      </c>
      <c r="C463" s="947" t="e">
        <v>#N/A</v>
      </c>
      <c r="D463" s="3538" t="e">
        <v>#N/A</v>
      </c>
      <c r="E463" s="1434" t="e">
        <v>#N/A</v>
      </c>
      <c r="F463" s="3538" t="e">
        <v>#N/A</v>
      </c>
      <c r="G463" s="141" t="e">
        <v>#N/A</v>
      </c>
      <c r="H463" s="3665" t="e">
        <f t="shared" si="14"/>
        <v>#N/A</v>
      </c>
      <c r="I463" s="141" t="e">
        <v>#N/A</v>
      </c>
      <c r="J463" s="2774" t="e">
        <v>#N/A</v>
      </c>
      <c r="K463" s="141" t="e">
        <v>#N/A</v>
      </c>
      <c r="L463" s="223" t="e">
        <v>#N/A</v>
      </c>
      <c r="M463" s="3538" t="e">
        <v>#N/A</v>
      </c>
      <c r="N463" s="318" t="e">
        <v>#N/A</v>
      </c>
    </row>
    <row r="464" spans="1:14">
      <c r="A464" s="972">
        <f t="shared" si="15"/>
        <v>2030.11</v>
      </c>
      <c r="B464" s="215" t="e">
        <v>#N/A</v>
      </c>
      <c r="C464" s="947" t="e">
        <v>#N/A</v>
      </c>
      <c r="D464" s="3538" t="e">
        <v>#N/A</v>
      </c>
      <c r="E464" s="1434" t="e">
        <v>#N/A</v>
      </c>
      <c r="F464" s="3538" t="e">
        <v>#N/A</v>
      </c>
      <c r="G464" s="141" t="e">
        <v>#N/A</v>
      </c>
      <c r="H464" s="3665" t="e">
        <f t="shared" si="14"/>
        <v>#N/A</v>
      </c>
      <c r="I464" s="141" t="e">
        <v>#N/A</v>
      </c>
      <c r="J464" s="2774" t="e">
        <v>#N/A</v>
      </c>
      <c r="K464" s="141" t="e">
        <v>#N/A</v>
      </c>
      <c r="L464" s="223" t="e">
        <v>#N/A</v>
      </c>
      <c r="M464" s="3538" t="e">
        <v>#N/A</v>
      </c>
      <c r="N464" s="318" t="e">
        <v>#N/A</v>
      </c>
    </row>
    <row r="465" spans="1:14">
      <c r="A465" s="972">
        <f t="shared" si="15"/>
        <v>2030.12</v>
      </c>
      <c r="B465" s="215" t="e">
        <v>#N/A</v>
      </c>
      <c r="C465" s="947" t="e">
        <v>#N/A</v>
      </c>
      <c r="D465" s="3538" t="e">
        <v>#N/A</v>
      </c>
      <c r="E465" s="1434" t="e">
        <v>#N/A</v>
      </c>
      <c r="F465" s="3538" t="e">
        <v>#N/A</v>
      </c>
      <c r="G465" s="141" t="e">
        <v>#N/A</v>
      </c>
      <c r="H465" s="3665" t="e">
        <f t="shared" si="14"/>
        <v>#N/A</v>
      </c>
      <c r="I465" s="141" t="e">
        <v>#N/A</v>
      </c>
      <c r="J465" s="2774" t="e">
        <v>#N/A</v>
      </c>
      <c r="K465" s="141" t="e">
        <v>#N/A</v>
      </c>
      <c r="L465" s="223" t="e">
        <v>#N/A</v>
      </c>
      <c r="M465" s="3538" t="e">
        <v>#N/A</v>
      </c>
      <c r="N465" s="318" t="e">
        <v>#N/A</v>
      </c>
    </row>
  </sheetData>
  <phoneticPr fontId="0" type="noConversion"/>
  <hyperlinks>
    <hyperlink ref="A5" location="INDICE!A13" display="VOLVER AL INDICE" xr:uid="{00000000-0004-0000-2600-000000000000}"/>
  </hyperlinks>
  <pageMargins left="0.75" right="0.75" top="1" bottom="1" header="0" footer="0"/>
  <pageSetup paperSize="9" orientation="portrait" horizontalDpi="300" verticalDpi="300" r:id="rId1"/>
  <headerFooter alignWithMargins="0"/>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62">
    <pageSetUpPr autoPageBreaks="0"/>
  </sheetPr>
  <dimension ref="A1:E453"/>
  <sheetViews>
    <sheetView workbookViewId="0">
      <pane xSplit="1" ySplit="9" topLeftCell="B10" activePane="bottomRight" state="frozen"/>
      <selection pane="topRight" activeCell="B1" sqref="B1"/>
      <selection pane="bottomLeft" activeCell="A10" sqref="A10"/>
      <selection pane="bottomRight" activeCell="B7" sqref="B7"/>
    </sheetView>
  </sheetViews>
  <sheetFormatPr baseColWidth="10" defaultColWidth="11.42578125" defaultRowHeight="12.75"/>
  <cols>
    <col min="1" max="1" width="11.42578125" style="955"/>
    <col min="2" max="2" width="2" style="967" customWidth="1"/>
    <col min="3" max="16384" width="11.42578125" style="967"/>
  </cols>
  <sheetData>
    <row r="1" spans="1:4">
      <c r="A1" s="2761"/>
    </row>
    <row r="2" spans="1:4">
      <c r="A2" s="2762" t="s">
        <v>99</v>
      </c>
    </row>
    <row r="3" spans="1:4">
      <c r="A3" s="2762" t="s">
        <v>104</v>
      </c>
    </row>
    <row r="4" spans="1:4" ht="19.5" customHeight="1">
      <c r="A4" s="2762"/>
    </row>
    <row r="5" spans="1:4" ht="76.5" customHeight="1">
      <c r="A5" s="2867" t="s">
        <v>140</v>
      </c>
    </row>
    <row r="6" spans="1:4" ht="3.75" hidden="1" customHeight="1">
      <c r="A6" s="2762"/>
    </row>
    <row r="7" spans="1:4" ht="22.5">
      <c r="A7" s="2762" t="s">
        <v>125</v>
      </c>
    </row>
    <row r="8" spans="1:4" ht="13.5" customHeight="1">
      <c r="A8" s="3002" t="s">
        <v>144</v>
      </c>
    </row>
    <row r="9" spans="1:4" ht="13.5" thickBot="1">
      <c r="A9" s="2140"/>
    </row>
    <row r="10" spans="1:4">
      <c r="A10" s="970">
        <v>1994.01</v>
      </c>
      <c r="C10" s="971"/>
      <c r="D10" s="971"/>
    </row>
    <row r="11" spans="1:4">
      <c r="A11" s="972">
        <v>1994.02</v>
      </c>
      <c r="C11" s="971"/>
      <c r="D11" s="971"/>
    </row>
    <row r="12" spans="1:4">
      <c r="A12" s="972">
        <v>1994.03</v>
      </c>
      <c r="C12" s="971"/>
      <c r="D12" s="971"/>
    </row>
    <row r="13" spans="1:4">
      <c r="A13" s="972">
        <v>1994.04</v>
      </c>
      <c r="C13" s="971"/>
      <c r="D13" s="971"/>
    </row>
    <row r="14" spans="1:4">
      <c r="A14" s="972">
        <v>1994.05</v>
      </c>
      <c r="C14" s="971"/>
      <c r="D14" s="971"/>
    </row>
    <row r="15" spans="1:4">
      <c r="A15" s="972">
        <v>1994.06</v>
      </c>
      <c r="C15" s="971"/>
      <c r="D15" s="971"/>
    </row>
    <row r="16" spans="1:4">
      <c r="A16" s="972">
        <v>1994.07</v>
      </c>
      <c r="C16" s="971"/>
      <c r="D16" s="971"/>
    </row>
    <row r="17" spans="1:4">
      <c r="A17" s="972">
        <v>1994.08</v>
      </c>
      <c r="C17" s="971"/>
      <c r="D17" s="971"/>
    </row>
    <row r="18" spans="1:4">
      <c r="A18" s="972">
        <v>1994.09</v>
      </c>
      <c r="C18" s="971"/>
      <c r="D18" s="971"/>
    </row>
    <row r="19" spans="1:4">
      <c r="A19" s="972">
        <v>1994.1</v>
      </c>
      <c r="C19" s="971"/>
      <c r="D19" s="971"/>
    </row>
    <row r="20" spans="1:4">
      <c r="A20" s="972">
        <v>1994.11</v>
      </c>
      <c r="C20" s="971"/>
      <c r="D20" s="971"/>
    </row>
    <row r="21" spans="1:4">
      <c r="A21" s="972">
        <v>1994.12</v>
      </c>
      <c r="C21" s="971"/>
      <c r="D21" s="971"/>
    </row>
    <row r="22" spans="1:4">
      <c r="A22" s="972">
        <v>1995.01</v>
      </c>
      <c r="C22" s="971"/>
      <c r="D22" s="971"/>
    </row>
    <row r="23" spans="1:4">
      <c r="A23" s="972">
        <v>1995.02</v>
      </c>
      <c r="C23" s="971"/>
      <c r="D23" s="971"/>
    </row>
    <row r="24" spans="1:4">
      <c r="A24" s="972">
        <v>1995.03</v>
      </c>
      <c r="C24" s="971"/>
      <c r="D24" s="971"/>
    </row>
    <row r="25" spans="1:4">
      <c r="A25" s="972">
        <v>1995.04</v>
      </c>
      <c r="C25" s="971"/>
      <c r="D25" s="971"/>
    </row>
    <row r="26" spans="1:4">
      <c r="A26" s="972">
        <v>1995.05</v>
      </c>
      <c r="C26" s="971"/>
      <c r="D26" s="971"/>
    </row>
    <row r="27" spans="1:4">
      <c r="A27" s="972">
        <v>1995.06</v>
      </c>
      <c r="C27" s="971"/>
      <c r="D27" s="971"/>
    </row>
    <row r="28" spans="1:4">
      <c r="A28" s="972">
        <v>1995.07</v>
      </c>
      <c r="C28" s="971"/>
      <c r="D28" s="971"/>
    </row>
    <row r="29" spans="1:4">
      <c r="A29" s="972">
        <v>1995.08</v>
      </c>
      <c r="C29" s="971"/>
      <c r="D29" s="971"/>
    </row>
    <row r="30" spans="1:4">
      <c r="A30" s="972">
        <v>1995.09</v>
      </c>
      <c r="C30" s="971"/>
      <c r="D30" s="971"/>
    </row>
    <row r="31" spans="1:4">
      <c r="A31" s="972">
        <v>1995.1</v>
      </c>
      <c r="C31" s="971"/>
      <c r="D31" s="971"/>
    </row>
    <row r="32" spans="1:4">
      <c r="A32" s="972">
        <v>1995.11</v>
      </c>
      <c r="C32" s="971"/>
      <c r="D32" s="971"/>
    </row>
    <row r="33" spans="1:4">
      <c r="A33" s="972">
        <v>1995.12</v>
      </c>
      <c r="C33" s="971"/>
      <c r="D33" s="971"/>
    </row>
    <row r="34" spans="1:4">
      <c r="A34" s="972">
        <v>1996.01</v>
      </c>
      <c r="C34" s="971"/>
      <c r="D34" s="971"/>
    </row>
    <row r="35" spans="1:4">
      <c r="A35" s="972">
        <v>1996.02</v>
      </c>
      <c r="C35" s="971"/>
      <c r="D35" s="971"/>
    </row>
    <row r="36" spans="1:4">
      <c r="A36" s="972">
        <v>1996.03</v>
      </c>
      <c r="C36" s="971"/>
      <c r="D36" s="971"/>
    </row>
    <row r="37" spans="1:4">
      <c r="A37" s="972">
        <v>1996.04</v>
      </c>
      <c r="C37" s="971"/>
      <c r="D37" s="971"/>
    </row>
    <row r="38" spans="1:4">
      <c r="A38" s="972">
        <v>1996.05</v>
      </c>
      <c r="C38" s="971"/>
      <c r="D38" s="971"/>
    </row>
    <row r="39" spans="1:4">
      <c r="A39" s="972">
        <v>1996.06</v>
      </c>
      <c r="C39" s="971"/>
      <c r="D39" s="971"/>
    </row>
    <row r="40" spans="1:4">
      <c r="A40" s="972">
        <v>1996.07</v>
      </c>
      <c r="C40" s="971"/>
      <c r="D40" s="971"/>
    </row>
    <row r="41" spans="1:4">
      <c r="A41" s="972">
        <v>1996.08</v>
      </c>
      <c r="C41" s="971"/>
      <c r="D41" s="971"/>
    </row>
    <row r="42" spans="1:4">
      <c r="A42" s="972">
        <v>1996.09</v>
      </c>
      <c r="C42" s="971"/>
      <c r="D42" s="971"/>
    </row>
    <row r="43" spans="1:4">
      <c r="A43" s="972">
        <v>1996.1</v>
      </c>
      <c r="C43" s="971"/>
      <c r="D43" s="971"/>
    </row>
    <row r="44" spans="1:4">
      <c r="A44" s="972">
        <v>1996.11</v>
      </c>
      <c r="C44" s="971"/>
      <c r="D44" s="971"/>
    </row>
    <row r="45" spans="1:4">
      <c r="A45" s="972">
        <v>1996.12</v>
      </c>
      <c r="C45" s="971"/>
      <c r="D45" s="971"/>
    </row>
    <row r="46" spans="1:4">
      <c r="A46" s="972">
        <v>1997.01</v>
      </c>
      <c r="C46" s="971"/>
      <c r="D46" s="971"/>
    </row>
    <row r="47" spans="1:4">
      <c r="A47" s="972">
        <v>1997.02</v>
      </c>
      <c r="C47" s="971"/>
      <c r="D47" s="971"/>
    </row>
    <row r="48" spans="1:4">
      <c r="A48" s="972">
        <v>1997.03</v>
      </c>
      <c r="C48" s="971"/>
      <c r="D48" s="971"/>
    </row>
    <row r="49" spans="1:4">
      <c r="A49" s="972">
        <v>1997.04</v>
      </c>
      <c r="C49" s="971"/>
      <c r="D49" s="971"/>
    </row>
    <row r="50" spans="1:4">
      <c r="A50" s="972">
        <v>1997.05</v>
      </c>
      <c r="C50" s="971"/>
      <c r="D50" s="971"/>
    </row>
    <row r="51" spans="1:4">
      <c r="A51" s="972">
        <v>1997.06</v>
      </c>
      <c r="C51" s="971"/>
      <c r="D51" s="971"/>
    </row>
    <row r="52" spans="1:4">
      <c r="A52" s="972">
        <v>1997.07</v>
      </c>
      <c r="C52" s="971"/>
      <c r="D52" s="971"/>
    </row>
    <row r="53" spans="1:4">
      <c r="A53" s="972">
        <v>1997.08</v>
      </c>
      <c r="C53" s="971"/>
      <c r="D53" s="971"/>
    </row>
    <row r="54" spans="1:4">
      <c r="A54" s="972">
        <v>1997.09</v>
      </c>
      <c r="C54" s="971"/>
      <c r="D54" s="971"/>
    </row>
    <row r="55" spans="1:4">
      <c r="A55" s="972">
        <v>1997.1</v>
      </c>
      <c r="C55" s="971"/>
      <c r="D55" s="971"/>
    </row>
    <row r="56" spans="1:4">
      <c r="A56" s="972">
        <v>1997.11</v>
      </c>
      <c r="C56" s="971"/>
      <c r="D56" s="971"/>
    </row>
    <row r="57" spans="1:4">
      <c r="A57" s="972">
        <v>1997.12</v>
      </c>
      <c r="C57" s="971"/>
      <c r="D57" s="971"/>
    </row>
    <row r="58" spans="1:4">
      <c r="A58" s="972">
        <v>1998.01</v>
      </c>
      <c r="C58" s="971"/>
      <c r="D58" s="971"/>
    </row>
    <row r="59" spans="1:4">
      <c r="A59" s="972">
        <v>1998.02</v>
      </c>
      <c r="C59" s="971"/>
      <c r="D59" s="971"/>
    </row>
    <row r="60" spans="1:4">
      <c r="A60" s="972">
        <v>1998.03</v>
      </c>
      <c r="C60" s="971"/>
      <c r="D60" s="971"/>
    </row>
    <row r="61" spans="1:4">
      <c r="A61" s="972">
        <v>1998.04</v>
      </c>
      <c r="C61" s="971"/>
      <c r="D61" s="971"/>
    </row>
    <row r="62" spans="1:4">
      <c r="A62" s="972">
        <v>1998.05</v>
      </c>
      <c r="C62" s="971"/>
      <c r="D62" s="971"/>
    </row>
    <row r="63" spans="1:4">
      <c r="A63" s="972">
        <v>1998.06</v>
      </c>
      <c r="C63" s="971"/>
      <c r="D63" s="971"/>
    </row>
    <row r="64" spans="1:4">
      <c r="A64" s="972">
        <v>1998.07</v>
      </c>
      <c r="C64" s="971"/>
      <c r="D64" s="971"/>
    </row>
    <row r="65" spans="1:4">
      <c r="A65" s="972">
        <v>1998.08</v>
      </c>
      <c r="C65" s="971"/>
      <c r="D65" s="971"/>
    </row>
    <row r="66" spans="1:4">
      <c r="A66" s="972">
        <v>1998.09</v>
      </c>
      <c r="C66" s="971"/>
      <c r="D66" s="971"/>
    </row>
    <row r="67" spans="1:4">
      <c r="A67" s="972">
        <v>1998.1</v>
      </c>
      <c r="C67" s="971"/>
      <c r="D67" s="971"/>
    </row>
    <row r="68" spans="1:4">
      <c r="A68" s="972">
        <v>1998.11</v>
      </c>
      <c r="C68" s="971"/>
      <c r="D68" s="971"/>
    </row>
    <row r="69" spans="1:4">
      <c r="A69" s="972">
        <v>1998.12</v>
      </c>
      <c r="C69" s="971"/>
      <c r="D69" s="971"/>
    </row>
    <row r="70" spans="1:4">
      <c r="A70" s="972">
        <v>1999.01</v>
      </c>
      <c r="C70" s="971"/>
      <c r="D70" s="971"/>
    </row>
    <row r="71" spans="1:4">
      <c r="A71" s="972">
        <v>1999.02</v>
      </c>
      <c r="C71" s="971"/>
      <c r="D71" s="971"/>
    </row>
    <row r="72" spans="1:4">
      <c r="A72" s="972">
        <v>1999.03</v>
      </c>
      <c r="C72" s="971"/>
      <c r="D72" s="971"/>
    </row>
    <row r="73" spans="1:4">
      <c r="A73" s="972">
        <v>1999.04</v>
      </c>
      <c r="C73" s="971"/>
      <c r="D73" s="971"/>
    </row>
    <row r="74" spans="1:4">
      <c r="A74" s="972">
        <v>1999.05</v>
      </c>
      <c r="C74" s="971"/>
      <c r="D74" s="971"/>
    </row>
    <row r="75" spans="1:4">
      <c r="A75" s="972">
        <v>1999.06</v>
      </c>
      <c r="C75" s="971"/>
      <c r="D75" s="971"/>
    </row>
    <row r="76" spans="1:4">
      <c r="A76" s="972">
        <v>1999.07</v>
      </c>
      <c r="C76" s="971"/>
      <c r="D76" s="971"/>
    </row>
    <row r="77" spans="1:4">
      <c r="A77" s="972">
        <v>1999.08</v>
      </c>
      <c r="C77" s="971"/>
      <c r="D77" s="971"/>
    </row>
    <row r="78" spans="1:4">
      <c r="A78" s="972">
        <v>1999.09</v>
      </c>
      <c r="C78" s="971"/>
      <c r="D78" s="971"/>
    </row>
    <row r="79" spans="1:4">
      <c r="A79" s="972">
        <v>1999.1</v>
      </c>
      <c r="C79" s="971"/>
      <c r="D79" s="971"/>
    </row>
    <row r="80" spans="1:4">
      <c r="A80" s="972">
        <v>1999.11</v>
      </c>
      <c r="C80" s="971"/>
      <c r="D80" s="971"/>
    </row>
    <row r="81" spans="1:4">
      <c r="A81" s="972">
        <v>1999.12</v>
      </c>
      <c r="C81" s="971"/>
      <c r="D81" s="971"/>
    </row>
    <row r="82" spans="1:4">
      <c r="A82" s="972">
        <v>2000.01</v>
      </c>
      <c r="C82" s="971"/>
      <c r="D82" s="971"/>
    </row>
    <row r="83" spans="1:4">
      <c r="A83" s="972">
        <v>2000.02</v>
      </c>
      <c r="C83" s="971"/>
      <c r="D83" s="971"/>
    </row>
    <row r="84" spans="1:4">
      <c r="A84" s="972">
        <v>2000.03</v>
      </c>
      <c r="C84" s="971"/>
      <c r="D84" s="971"/>
    </row>
    <row r="85" spans="1:4">
      <c r="A85" s="972">
        <v>2000.04</v>
      </c>
      <c r="C85" s="971"/>
      <c r="D85" s="971"/>
    </row>
    <row r="86" spans="1:4">
      <c r="A86" s="972">
        <v>2000.05</v>
      </c>
      <c r="C86" s="971"/>
      <c r="D86" s="971"/>
    </row>
    <row r="87" spans="1:4">
      <c r="A87" s="972">
        <v>2000.06</v>
      </c>
      <c r="C87" s="971"/>
      <c r="D87" s="971"/>
    </row>
    <row r="88" spans="1:4">
      <c r="A88" s="972">
        <v>2000.07</v>
      </c>
      <c r="C88" s="971"/>
      <c r="D88" s="971"/>
    </row>
    <row r="89" spans="1:4">
      <c r="A89" s="972">
        <v>2000.08</v>
      </c>
      <c r="C89" s="971"/>
      <c r="D89" s="971"/>
    </row>
    <row r="90" spans="1:4">
      <c r="A90" s="972">
        <v>2000.09</v>
      </c>
      <c r="C90" s="971"/>
      <c r="D90" s="971"/>
    </row>
    <row r="91" spans="1:4">
      <c r="A91" s="972">
        <v>2000.1</v>
      </c>
      <c r="C91" s="971"/>
      <c r="D91" s="971"/>
    </row>
    <row r="92" spans="1:4">
      <c r="A92" s="972">
        <v>2000.11</v>
      </c>
      <c r="C92" s="971"/>
      <c r="D92" s="971"/>
    </row>
    <row r="93" spans="1:4">
      <c r="A93" s="972">
        <v>2000.12</v>
      </c>
      <c r="C93" s="971"/>
      <c r="D93" s="971"/>
    </row>
    <row r="94" spans="1:4">
      <c r="A94" s="972">
        <v>2001.01</v>
      </c>
      <c r="C94" s="971"/>
      <c r="D94" s="971"/>
    </row>
    <row r="95" spans="1:4">
      <c r="A95" s="972">
        <v>2001.02</v>
      </c>
      <c r="C95" s="971"/>
      <c r="D95" s="971"/>
    </row>
    <row r="96" spans="1:4">
      <c r="A96" s="972">
        <v>2001.03</v>
      </c>
      <c r="C96" s="971"/>
      <c r="D96" s="971"/>
    </row>
    <row r="97" spans="1:4">
      <c r="A97" s="972">
        <v>2001.04</v>
      </c>
      <c r="C97" s="971"/>
      <c r="D97" s="971"/>
    </row>
    <row r="98" spans="1:4">
      <c r="A98" s="972">
        <v>2001.05</v>
      </c>
      <c r="C98" s="971"/>
      <c r="D98" s="971"/>
    </row>
    <row r="99" spans="1:4">
      <c r="A99" s="972">
        <v>2001.06</v>
      </c>
      <c r="C99" s="971"/>
      <c r="D99" s="971"/>
    </row>
    <row r="100" spans="1:4">
      <c r="A100" s="972">
        <v>2001.07</v>
      </c>
      <c r="C100" s="971"/>
      <c r="D100" s="971"/>
    </row>
    <row r="101" spans="1:4">
      <c r="A101" s="972">
        <v>2001.08</v>
      </c>
      <c r="C101" s="971"/>
      <c r="D101" s="971"/>
    </row>
    <row r="102" spans="1:4">
      <c r="A102" s="972">
        <v>2001.09</v>
      </c>
      <c r="C102" s="971"/>
      <c r="D102" s="971"/>
    </row>
    <row r="103" spans="1:4">
      <c r="A103" s="972">
        <v>2001.1</v>
      </c>
      <c r="C103" s="971"/>
      <c r="D103" s="971"/>
    </row>
    <row r="104" spans="1:4">
      <c r="A104" s="972">
        <v>2001.11</v>
      </c>
      <c r="C104" s="971"/>
      <c r="D104" s="971"/>
    </row>
    <row r="105" spans="1:4">
      <c r="A105" s="972">
        <v>2001.12</v>
      </c>
      <c r="C105" s="971"/>
      <c r="D105" s="971"/>
    </row>
    <row r="106" spans="1:4">
      <c r="A106" s="972">
        <v>2002.01</v>
      </c>
      <c r="C106" s="971"/>
      <c r="D106" s="971"/>
    </row>
    <row r="107" spans="1:4">
      <c r="A107" s="972">
        <v>2002.02</v>
      </c>
      <c r="C107" s="971"/>
      <c r="D107" s="971"/>
    </row>
    <row r="108" spans="1:4">
      <c r="A108" s="972">
        <v>2002.03</v>
      </c>
      <c r="C108" s="971"/>
      <c r="D108" s="971"/>
    </row>
    <row r="109" spans="1:4">
      <c r="A109" s="972">
        <v>2002.04</v>
      </c>
      <c r="C109" s="971"/>
      <c r="D109" s="971"/>
    </row>
    <row r="110" spans="1:4">
      <c r="A110" s="972">
        <v>2002.05</v>
      </c>
      <c r="C110" s="971"/>
      <c r="D110" s="971"/>
    </row>
    <row r="111" spans="1:4">
      <c r="A111" s="972">
        <v>2002.06</v>
      </c>
      <c r="C111" s="971"/>
      <c r="D111" s="971"/>
    </row>
    <row r="112" spans="1:4">
      <c r="A112" s="972">
        <v>2002.07</v>
      </c>
      <c r="C112" s="971"/>
      <c r="D112" s="971"/>
    </row>
    <row r="113" spans="1:4">
      <c r="A113" s="972">
        <v>2002.08</v>
      </c>
      <c r="C113" s="971"/>
      <c r="D113" s="971"/>
    </row>
    <row r="114" spans="1:4">
      <c r="A114" s="972">
        <v>2002.09</v>
      </c>
      <c r="C114" s="971"/>
      <c r="D114" s="971"/>
    </row>
    <row r="115" spans="1:4">
      <c r="A115" s="972">
        <v>2002.1</v>
      </c>
      <c r="C115" s="971"/>
      <c r="D115" s="971"/>
    </row>
    <row r="116" spans="1:4">
      <c r="A116" s="972">
        <v>2002.11</v>
      </c>
      <c r="C116" s="971"/>
      <c r="D116" s="971"/>
    </row>
    <row r="117" spans="1:4">
      <c r="A117" s="972">
        <v>2002.12</v>
      </c>
      <c r="C117" s="971"/>
      <c r="D117" s="971"/>
    </row>
    <row r="118" spans="1:4">
      <c r="A118" s="972">
        <v>2003.01</v>
      </c>
      <c r="C118" s="971"/>
      <c r="D118" s="971"/>
    </row>
    <row r="119" spans="1:4">
      <c r="A119" s="972">
        <v>2003.02</v>
      </c>
      <c r="C119" s="971"/>
      <c r="D119" s="971"/>
    </row>
    <row r="120" spans="1:4">
      <c r="A120" s="972">
        <v>2003.03</v>
      </c>
      <c r="C120" s="971"/>
      <c r="D120" s="971"/>
    </row>
    <row r="121" spans="1:4">
      <c r="A121" s="972">
        <v>2003.04</v>
      </c>
      <c r="C121" s="971"/>
      <c r="D121" s="971"/>
    </row>
    <row r="122" spans="1:4">
      <c r="A122" s="972">
        <v>2003.05</v>
      </c>
      <c r="C122" s="971"/>
      <c r="D122" s="971"/>
    </row>
    <row r="123" spans="1:4">
      <c r="A123" s="972">
        <v>2003.06</v>
      </c>
      <c r="C123" s="971"/>
      <c r="D123" s="971"/>
    </row>
    <row r="124" spans="1:4">
      <c r="A124" s="972">
        <v>2003.07</v>
      </c>
      <c r="C124" s="971"/>
      <c r="D124" s="971"/>
    </row>
    <row r="125" spans="1:4">
      <c r="A125" s="972">
        <v>2003.08</v>
      </c>
      <c r="C125" s="971"/>
      <c r="D125" s="971"/>
    </row>
    <row r="126" spans="1:4">
      <c r="A126" s="972">
        <v>2003.09</v>
      </c>
      <c r="C126" s="971"/>
      <c r="D126" s="971"/>
    </row>
    <row r="127" spans="1:4">
      <c r="A127" s="972">
        <v>2003.1</v>
      </c>
      <c r="C127" s="971"/>
      <c r="D127" s="971"/>
    </row>
    <row r="128" spans="1:4">
      <c r="A128" s="972">
        <v>2003.11</v>
      </c>
      <c r="C128" s="971"/>
      <c r="D128" s="971"/>
    </row>
    <row r="129" spans="1:4">
      <c r="A129" s="972">
        <v>2003.12</v>
      </c>
      <c r="C129" s="971"/>
      <c r="D129" s="971"/>
    </row>
    <row r="130" spans="1:4">
      <c r="A130" s="972">
        <v>2004.01</v>
      </c>
      <c r="C130" s="971"/>
      <c r="D130" s="971"/>
    </row>
    <row r="131" spans="1:4">
      <c r="A131" s="972">
        <v>2004.02</v>
      </c>
      <c r="C131" s="971"/>
      <c r="D131" s="971"/>
    </row>
    <row r="132" spans="1:4">
      <c r="A132" s="972">
        <v>2004.03</v>
      </c>
      <c r="C132" s="971"/>
      <c r="D132" s="971"/>
    </row>
    <row r="133" spans="1:4">
      <c r="A133" s="972">
        <v>2004.04</v>
      </c>
      <c r="C133" s="971"/>
      <c r="D133" s="971"/>
    </row>
    <row r="134" spans="1:4">
      <c r="A134" s="972">
        <v>2004.05</v>
      </c>
      <c r="C134" s="971"/>
      <c r="D134" s="971"/>
    </row>
    <row r="135" spans="1:4">
      <c r="A135" s="972">
        <v>2004.06</v>
      </c>
      <c r="C135" s="971"/>
      <c r="D135" s="971"/>
    </row>
    <row r="136" spans="1:4">
      <c r="A136" s="972">
        <v>2004.07</v>
      </c>
      <c r="C136" s="971"/>
      <c r="D136" s="971"/>
    </row>
    <row r="137" spans="1:4">
      <c r="A137" s="972">
        <v>2004.08</v>
      </c>
      <c r="C137" s="971"/>
      <c r="D137" s="971"/>
    </row>
    <row r="138" spans="1:4">
      <c r="A138" s="972">
        <v>2004.09</v>
      </c>
      <c r="C138" s="971"/>
      <c r="D138" s="971"/>
    </row>
    <row r="139" spans="1:4">
      <c r="A139" s="972">
        <v>2004.1</v>
      </c>
      <c r="C139" s="971"/>
      <c r="D139" s="971"/>
    </row>
    <row r="140" spans="1:4">
      <c r="A140" s="972">
        <v>2004.11</v>
      </c>
      <c r="C140" s="971"/>
      <c r="D140" s="971"/>
    </row>
    <row r="141" spans="1:4">
      <c r="A141" s="972">
        <v>2004.12</v>
      </c>
      <c r="C141" s="971"/>
      <c r="D141" s="971"/>
    </row>
    <row r="142" spans="1:4">
      <c r="A142" s="972">
        <v>2005.01</v>
      </c>
      <c r="C142" s="971"/>
      <c r="D142" s="971"/>
    </row>
    <row r="143" spans="1:4">
      <c r="A143" s="972">
        <v>2005.02</v>
      </c>
      <c r="C143" s="971"/>
      <c r="D143" s="971"/>
    </row>
    <row r="144" spans="1:4">
      <c r="A144" s="972">
        <v>2005.03</v>
      </c>
      <c r="C144" s="971"/>
      <c r="D144" s="971"/>
    </row>
    <row r="145" spans="1:4">
      <c r="A145" s="972">
        <v>2005.04</v>
      </c>
      <c r="C145" s="971"/>
      <c r="D145" s="971"/>
    </row>
    <row r="146" spans="1:4">
      <c r="A146" s="972">
        <v>2005.05</v>
      </c>
      <c r="C146" s="971"/>
      <c r="D146" s="971"/>
    </row>
    <row r="147" spans="1:4">
      <c r="A147" s="972">
        <v>2005.06</v>
      </c>
      <c r="C147" s="971"/>
      <c r="D147" s="971"/>
    </row>
    <row r="148" spans="1:4">
      <c r="A148" s="972">
        <v>2005.07</v>
      </c>
      <c r="C148" s="971"/>
      <c r="D148" s="971"/>
    </row>
    <row r="149" spans="1:4">
      <c r="A149" s="972">
        <v>2005.08</v>
      </c>
      <c r="C149" s="971"/>
      <c r="D149" s="971"/>
    </row>
    <row r="150" spans="1:4">
      <c r="A150" s="972">
        <v>2005.09</v>
      </c>
      <c r="C150" s="971"/>
      <c r="D150" s="971"/>
    </row>
    <row r="151" spans="1:4">
      <c r="A151" s="972">
        <v>2005.1</v>
      </c>
      <c r="C151" s="971"/>
      <c r="D151" s="971"/>
    </row>
    <row r="152" spans="1:4">
      <c r="A152" s="972">
        <v>2005.11</v>
      </c>
      <c r="C152" s="971"/>
      <c r="D152" s="971"/>
    </row>
    <row r="153" spans="1:4">
      <c r="A153" s="972">
        <v>2005.12</v>
      </c>
      <c r="C153" s="971"/>
      <c r="D153" s="971"/>
    </row>
    <row r="154" spans="1:4">
      <c r="A154" s="972">
        <v>2006.01</v>
      </c>
      <c r="C154" s="971"/>
      <c r="D154" s="971"/>
    </row>
    <row r="155" spans="1:4">
      <c r="A155" s="972">
        <v>2006.02</v>
      </c>
      <c r="C155" s="971"/>
      <c r="D155" s="971"/>
    </row>
    <row r="156" spans="1:4">
      <c r="A156" s="972">
        <v>2006.03</v>
      </c>
      <c r="C156" s="971"/>
      <c r="D156" s="971"/>
    </row>
    <row r="157" spans="1:4">
      <c r="A157" s="972">
        <v>2006.04</v>
      </c>
      <c r="C157" s="971"/>
      <c r="D157" s="971"/>
    </row>
    <row r="158" spans="1:4">
      <c r="A158" s="972">
        <v>2006.05</v>
      </c>
      <c r="C158" s="971"/>
      <c r="D158" s="971"/>
    </row>
    <row r="159" spans="1:4">
      <c r="A159" s="972">
        <v>2006.06</v>
      </c>
      <c r="C159" s="971"/>
      <c r="D159" s="971"/>
    </row>
    <row r="160" spans="1:4">
      <c r="A160" s="972">
        <v>2006.07</v>
      </c>
      <c r="C160" s="971"/>
      <c r="D160" s="971"/>
    </row>
    <row r="161" spans="1:4">
      <c r="A161" s="972">
        <v>2006.08</v>
      </c>
      <c r="C161" s="971"/>
      <c r="D161" s="971"/>
    </row>
    <row r="162" spans="1:4">
      <c r="A162" s="972">
        <v>2006.09</v>
      </c>
      <c r="C162" s="971"/>
      <c r="D162" s="971"/>
    </row>
    <row r="163" spans="1:4">
      <c r="A163" s="972">
        <v>2006.1</v>
      </c>
      <c r="C163" s="971"/>
      <c r="D163" s="971"/>
    </row>
    <row r="164" spans="1:4">
      <c r="A164" s="972">
        <v>2006.11</v>
      </c>
      <c r="C164" s="971"/>
      <c r="D164" s="971"/>
    </row>
    <row r="165" spans="1:4">
      <c r="A165" s="972">
        <v>2006.12</v>
      </c>
      <c r="C165" s="971"/>
      <c r="D165" s="971"/>
    </row>
    <row r="166" spans="1:4">
      <c r="A166" s="972">
        <v>2007.01</v>
      </c>
      <c r="C166" s="971"/>
      <c r="D166" s="971"/>
    </row>
    <row r="167" spans="1:4">
      <c r="A167" s="972">
        <v>2007.02</v>
      </c>
      <c r="C167" s="971"/>
      <c r="D167" s="971"/>
    </row>
    <row r="168" spans="1:4">
      <c r="A168" s="972">
        <v>2007.03</v>
      </c>
      <c r="C168" s="971"/>
      <c r="D168" s="971"/>
    </row>
    <row r="169" spans="1:4">
      <c r="A169" s="972">
        <v>2007.04</v>
      </c>
      <c r="C169" s="971"/>
      <c r="D169" s="971"/>
    </row>
    <row r="170" spans="1:4">
      <c r="A170" s="972">
        <v>2007.05</v>
      </c>
      <c r="C170" s="971"/>
      <c r="D170" s="971"/>
    </row>
    <row r="171" spans="1:4">
      <c r="A171" s="972">
        <v>2007.06</v>
      </c>
      <c r="C171" s="971"/>
      <c r="D171" s="971"/>
    </row>
    <row r="172" spans="1:4">
      <c r="A172" s="972">
        <v>2007.07</v>
      </c>
      <c r="C172" s="971"/>
      <c r="D172" s="971"/>
    </row>
    <row r="173" spans="1:4">
      <c r="A173" s="972">
        <v>2007.08</v>
      </c>
      <c r="C173" s="971"/>
      <c r="D173" s="971"/>
    </row>
    <row r="174" spans="1:4">
      <c r="A174" s="972">
        <v>2007.09</v>
      </c>
      <c r="C174" s="971"/>
      <c r="D174" s="971"/>
    </row>
    <row r="175" spans="1:4">
      <c r="A175" s="972">
        <v>2007.1</v>
      </c>
      <c r="C175" s="971"/>
      <c r="D175" s="971"/>
    </row>
    <row r="176" spans="1:4">
      <c r="A176" s="972">
        <v>2007.11</v>
      </c>
      <c r="C176" s="971"/>
      <c r="D176" s="971"/>
    </row>
    <row r="177" spans="1:4">
      <c r="A177" s="972">
        <v>2007.12</v>
      </c>
      <c r="C177" s="971"/>
      <c r="D177" s="971"/>
    </row>
    <row r="178" spans="1:4">
      <c r="A178" s="972">
        <f t="shared" ref="A178:A241" si="0">A166+1</f>
        <v>2008.01</v>
      </c>
      <c r="C178" s="971"/>
      <c r="D178" s="971"/>
    </row>
    <row r="179" spans="1:4">
      <c r="A179" s="972">
        <f t="shared" si="0"/>
        <v>2008.02</v>
      </c>
      <c r="C179" s="971"/>
      <c r="D179" s="971"/>
    </row>
    <row r="180" spans="1:4">
      <c r="A180" s="972">
        <f t="shared" si="0"/>
        <v>2008.03</v>
      </c>
      <c r="C180" s="971"/>
      <c r="D180" s="971"/>
    </row>
    <row r="181" spans="1:4">
      <c r="A181" s="972">
        <f t="shared" si="0"/>
        <v>2008.04</v>
      </c>
      <c r="C181" s="971"/>
      <c r="D181" s="971"/>
    </row>
    <row r="182" spans="1:4">
      <c r="A182" s="972">
        <f t="shared" si="0"/>
        <v>2008.05</v>
      </c>
      <c r="C182" s="971"/>
      <c r="D182" s="971"/>
    </row>
    <row r="183" spans="1:4">
      <c r="A183" s="972">
        <f t="shared" si="0"/>
        <v>2008.06</v>
      </c>
      <c r="C183" s="971"/>
      <c r="D183" s="971"/>
    </row>
    <row r="184" spans="1:4">
      <c r="A184" s="972">
        <f t="shared" si="0"/>
        <v>2008.07</v>
      </c>
      <c r="C184" s="971"/>
      <c r="D184" s="971"/>
    </row>
    <row r="185" spans="1:4">
      <c r="A185" s="972">
        <f t="shared" si="0"/>
        <v>2008.08</v>
      </c>
      <c r="C185" s="971"/>
      <c r="D185" s="971"/>
    </row>
    <row r="186" spans="1:4">
      <c r="A186" s="972">
        <f t="shared" si="0"/>
        <v>2008.09</v>
      </c>
      <c r="C186" s="971"/>
      <c r="D186" s="971"/>
    </row>
    <row r="187" spans="1:4">
      <c r="A187" s="972">
        <f t="shared" si="0"/>
        <v>2008.1</v>
      </c>
      <c r="C187" s="971"/>
      <c r="D187" s="971"/>
    </row>
    <row r="188" spans="1:4">
      <c r="A188" s="972">
        <f t="shared" si="0"/>
        <v>2008.11</v>
      </c>
      <c r="C188" s="971"/>
      <c r="D188" s="971"/>
    </row>
    <row r="189" spans="1:4">
      <c r="A189" s="972">
        <f t="shared" si="0"/>
        <v>2008.12</v>
      </c>
      <c r="C189" s="971"/>
      <c r="D189" s="971"/>
    </row>
    <row r="190" spans="1:4">
      <c r="A190" s="972">
        <f t="shared" si="0"/>
        <v>2009.01</v>
      </c>
      <c r="C190" s="971"/>
      <c r="D190" s="971"/>
    </row>
    <row r="191" spans="1:4">
      <c r="A191" s="972">
        <f t="shared" si="0"/>
        <v>2009.02</v>
      </c>
      <c r="C191" s="971"/>
      <c r="D191" s="971"/>
    </row>
    <row r="192" spans="1:4">
      <c r="A192" s="972">
        <f t="shared" si="0"/>
        <v>2009.03</v>
      </c>
      <c r="C192" s="971"/>
      <c r="D192" s="971"/>
    </row>
    <row r="193" spans="1:4">
      <c r="A193" s="972">
        <f t="shared" si="0"/>
        <v>2009.04</v>
      </c>
      <c r="C193" s="971"/>
      <c r="D193" s="971"/>
    </row>
    <row r="194" spans="1:4">
      <c r="A194" s="972">
        <f t="shared" si="0"/>
        <v>2009.05</v>
      </c>
      <c r="C194" s="971"/>
      <c r="D194" s="971"/>
    </row>
    <row r="195" spans="1:4">
      <c r="A195" s="972">
        <f t="shared" si="0"/>
        <v>2009.06</v>
      </c>
      <c r="C195" s="971"/>
      <c r="D195" s="971"/>
    </row>
    <row r="196" spans="1:4">
      <c r="A196" s="972">
        <f t="shared" si="0"/>
        <v>2009.07</v>
      </c>
      <c r="C196" s="971"/>
      <c r="D196" s="971"/>
    </row>
    <row r="197" spans="1:4">
      <c r="A197" s="972">
        <f t="shared" si="0"/>
        <v>2009.08</v>
      </c>
      <c r="C197" s="971"/>
      <c r="D197" s="971"/>
    </row>
    <row r="198" spans="1:4">
      <c r="A198" s="972">
        <f t="shared" si="0"/>
        <v>2009.09</v>
      </c>
      <c r="C198" s="971"/>
      <c r="D198" s="971"/>
    </row>
    <row r="199" spans="1:4">
      <c r="A199" s="972">
        <f t="shared" si="0"/>
        <v>2009.1</v>
      </c>
      <c r="C199" s="971"/>
      <c r="D199" s="971"/>
    </row>
    <row r="200" spans="1:4">
      <c r="A200" s="972">
        <f t="shared" si="0"/>
        <v>2009.11</v>
      </c>
      <c r="C200" s="971"/>
      <c r="D200" s="971"/>
    </row>
    <row r="201" spans="1:4">
      <c r="A201" s="972">
        <f t="shared" si="0"/>
        <v>2009.12</v>
      </c>
      <c r="C201" s="971"/>
      <c r="D201" s="971"/>
    </row>
    <row r="202" spans="1:4">
      <c r="A202" s="972">
        <f t="shared" si="0"/>
        <v>2010.01</v>
      </c>
      <c r="C202" s="971"/>
      <c r="D202" s="971"/>
    </row>
    <row r="203" spans="1:4">
      <c r="A203" s="972">
        <f t="shared" si="0"/>
        <v>2010.02</v>
      </c>
      <c r="C203" s="971"/>
      <c r="D203" s="971"/>
    </row>
    <row r="204" spans="1:4">
      <c r="A204" s="972">
        <f t="shared" si="0"/>
        <v>2010.03</v>
      </c>
      <c r="C204" s="971"/>
      <c r="D204" s="971"/>
    </row>
    <row r="205" spans="1:4">
      <c r="A205" s="972">
        <f t="shared" si="0"/>
        <v>2010.04</v>
      </c>
      <c r="C205" s="971"/>
      <c r="D205" s="971"/>
    </row>
    <row r="206" spans="1:4">
      <c r="A206" s="972">
        <f t="shared" si="0"/>
        <v>2010.05</v>
      </c>
      <c r="C206" s="971"/>
      <c r="D206" s="971"/>
    </row>
    <row r="207" spans="1:4">
      <c r="A207" s="972">
        <f t="shared" si="0"/>
        <v>2010.06</v>
      </c>
      <c r="C207" s="971"/>
      <c r="D207" s="971"/>
    </row>
    <row r="208" spans="1:4">
      <c r="A208" s="972">
        <f t="shared" si="0"/>
        <v>2010.07</v>
      </c>
      <c r="C208" s="971"/>
      <c r="D208" s="971"/>
    </row>
    <row r="209" spans="1:4">
      <c r="A209" s="972">
        <f t="shared" si="0"/>
        <v>2010.08</v>
      </c>
      <c r="C209" s="971"/>
      <c r="D209" s="971"/>
    </row>
    <row r="210" spans="1:4">
      <c r="A210" s="972">
        <f t="shared" si="0"/>
        <v>2010.09</v>
      </c>
      <c r="C210" s="971"/>
      <c r="D210" s="971"/>
    </row>
    <row r="211" spans="1:4">
      <c r="A211" s="972">
        <f t="shared" si="0"/>
        <v>2010.1</v>
      </c>
      <c r="C211" s="971"/>
      <c r="D211" s="971"/>
    </row>
    <row r="212" spans="1:4">
      <c r="A212" s="972">
        <f t="shared" si="0"/>
        <v>2010.11</v>
      </c>
      <c r="C212" s="971"/>
      <c r="D212" s="971"/>
    </row>
    <row r="213" spans="1:4">
      <c r="A213" s="972">
        <f t="shared" si="0"/>
        <v>2010.12</v>
      </c>
      <c r="C213" s="971"/>
      <c r="D213" s="971"/>
    </row>
    <row r="214" spans="1:4">
      <c r="A214" s="972">
        <f t="shared" si="0"/>
        <v>2011.01</v>
      </c>
      <c r="C214" s="971"/>
      <c r="D214" s="971"/>
    </row>
    <row r="215" spans="1:4">
      <c r="A215" s="972">
        <f t="shared" si="0"/>
        <v>2011.02</v>
      </c>
      <c r="C215" s="971"/>
      <c r="D215" s="971"/>
    </row>
    <row r="216" spans="1:4">
      <c r="A216" s="972">
        <f t="shared" si="0"/>
        <v>2011.03</v>
      </c>
      <c r="C216" s="971"/>
      <c r="D216" s="971"/>
    </row>
    <row r="217" spans="1:4">
      <c r="A217" s="972">
        <f t="shared" si="0"/>
        <v>2011.04</v>
      </c>
      <c r="C217" s="971"/>
      <c r="D217" s="971"/>
    </row>
    <row r="218" spans="1:4">
      <c r="A218" s="972">
        <f t="shared" si="0"/>
        <v>2011.05</v>
      </c>
      <c r="C218" s="971"/>
      <c r="D218" s="971"/>
    </row>
    <row r="219" spans="1:4">
      <c r="A219" s="972">
        <f t="shared" si="0"/>
        <v>2011.06</v>
      </c>
      <c r="C219" s="971"/>
      <c r="D219" s="971"/>
    </row>
    <row r="220" spans="1:4">
      <c r="A220" s="972">
        <f t="shared" si="0"/>
        <v>2011.07</v>
      </c>
      <c r="C220" s="971"/>
      <c r="D220" s="971"/>
    </row>
    <row r="221" spans="1:4">
      <c r="A221" s="972">
        <f t="shared" si="0"/>
        <v>2011.08</v>
      </c>
      <c r="C221" s="971"/>
      <c r="D221" s="971"/>
    </row>
    <row r="222" spans="1:4">
      <c r="A222" s="972">
        <f t="shared" si="0"/>
        <v>2011.09</v>
      </c>
      <c r="C222" s="971"/>
      <c r="D222" s="971"/>
    </row>
    <row r="223" spans="1:4">
      <c r="A223" s="972">
        <f t="shared" si="0"/>
        <v>2011.1</v>
      </c>
      <c r="C223" s="971"/>
      <c r="D223" s="971"/>
    </row>
    <row r="224" spans="1:4">
      <c r="A224" s="972">
        <f t="shared" si="0"/>
        <v>2011.11</v>
      </c>
      <c r="C224" s="971"/>
      <c r="D224" s="971"/>
    </row>
    <row r="225" spans="1:4">
      <c r="A225" s="972">
        <f t="shared" si="0"/>
        <v>2011.12</v>
      </c>
      <c r="C225" s="971"/>
      <c r="D225" s="971"/>
    </row>
    <row r="226" spans="1:4">
      <c r="A226" s="972">
        <f t="shared" si="0"/>
        <v>2012.01</v>
      </c>
      <c r="C226" s="971"/>
      <c r="D226" s="971"/>
    </row>
    <row r="227" spans="1:4">
      <c r="A227" s="972">
        <f t="shared" si="0"/>
        <v>2012.02</v>
      </c>
      <c r="C227" s="971"/>
      <c r="D227" s="971"/>
    </row>
    <row r="228" spans="1:4">
      <c r="A228" s="972">
        <f t="shared" si="0"/>
        <v>2012.03</v>
      </c>
      <c r="C228" s="971"/>
      <c r="D228" s="971"/>
    </row>
    <row r="229" spans="1:4">
      <c r="A229" s="972">
        <f t="shared" si="0"/>
        <v>2012.04</v>
      </c>
      <c r="C229" s="971"/>
      <c r="D229" s="971"/>
    </row>
    <row r="230" spans="1:4">
      <c r="A230" s="972">
        <f t="shared" si="0"/>
        <v>2012.05</v>
      </c>
      <c r="C230" s="971"/>
      <c r="D230" s="971"/>
    </row>
    <row r="231" spans="1:4">
      <c r="A231" s="972">
        <f t="shared" si="0"/>
        <v>2012.06</v>
      </c>
      <c r="C231" s="971"/>
      <c r="D231" s="971"/>
    </row>
    <row r="232" spans="1:4">
      <c r="A232" s="972">
        <f t="shared" si="0"/>
        <v>2012.07</v>
      </c>
      <c r="C232" s="971"/>
      <c r="D232" s="971"/>
    </row>
    <row r="233" spans="1:4">
      <c r="A233" s="972">
        <f t="shared" si="0"/>
        <v>2012.08</v>
      </c>
      <c r="C233" s="971"/>
      <c r="D233" s="971"/>
    </row>
    <row r="234" spans="1:4">
      <c r="A234" s="972">
        <f t="shared" si="0"/>
        <v>2012.09</v>
      </c>
      <c r="C234" s="971"/>
      <c r="D234" s="971"/>
    </row>
    <row r="235" spans="1:4">
      <c r="A235" s="972">
        <f t="shared" si="0"/>
        <v>2012.1</v>
      </c>
      <c r="C235" s="971"/>
      <c r="D235" s="971"/>
    </row>
    <row r="236" spans="1:4">
      <c r="A236" s="972">
        <f t="shared" si="0"/>
        <v>2012.11</v>
      </c>
      <c r="C236" s="971"/>
      <c r="D236" s="971"/>
    </row>
    <row r="237" spans="1:4">
      <c r="A237" s="972">
        <f t="shared" si="0"/>
        <v>2012.12</v>
      </c>
      <c r="C237" s="971"/>
      <c r="D237" s="971"/>
    </row>
    <row r="238" spans="1:4">
      <c r="A238" s="972">
        <f t="shared" si="0"/>
        <v>2013.01</v>
      </c>
      <c r="C238" s="971"/>
      <c r="D238" s="971"/>
    </row>
    <row r="239" spans="1:4">
      <c r="A239" s="972">
        <f t="shared" si="0"/>
        <v>2013.02</v>
      </c>
      <c r="C239" s="971"/>
      <c r="D239" s="971"/>
    </row>
    <row r="240" spans="1:4">
      <c r="A240" s="972">
        <f t="shared" si="0"/>
        <v>2013.03</v>
      </c>
      <c r="C240" s="971"/>
      <c r="D240" s="971"/>
    </row>
    <row r="241" spans="1:4">
      <c r="A241" s="972">
        <f t="shared" si="0"/>
        <v>2013.04</v>
      </c>
      <c r="C241" s="971"/>
      <c r="D241" s="971"/>
    </row>
    <row r="242" spans="1:4">
      <c r="A242" s="972">
        <f t="shared" ref="A242:A305" si="1">A230+1</f>
        <v>2013.05</v>
      </c>
      <c r="C242" s="971"/>
      <c r="D242" s="971"/>
    </row>
    <row r="243" spans="1:4">
      <c r="A243" s="972">
        <f t="shared" si="1"/>
        <v>2013.06</v>
      </c>
      <c r="C243" s="971"/>
      <c r="D243" s="971"/>
    </row>
    <row r="244" spans="1:4">
      <c r="A244" s="972">
        <f t="shared" si="1"/>
        <v>2013.07</v>
      </c>
      <c r="C244" s="971"/>
      <c r="D244" s="971"/>
    </row>
    <row r="245" spans="1:4">
      <c r="A245" s="972">
        <f t="shared" si="1"/>
        <v>2013.08</v>
      </c>
      <c r="C245" s="971"/>
      <c r="D245" s="971"/>
    </row>
    <row r="246" spans="1:4">
      <c r="A246" s="972">
        <f t="shared" si="1"/>
        <v>2013.09</v>
      </c>
      <c r="C246" s="971"/>
      <c r="D246" s="971"/>
    </row>
    <row r="247" spans="1:4">
      <c r="A247" s="972">
        <f t="shared" si="1"/>
        <v>2013.1</v>
      </c>
      <c r="C247" s="971"/>
      <c r="D247" s="971"/>
    </row>
    <row r="248" spans="1:4">
      <c r="A248" s="972">
        <f t="shared" si="1"/>
        <v>2013.11</v>
      </c>
      <c r="C248" s="971"/>
      <c r="D248" s="971"/>
    </row>
    <row r="249" spans="1:4">
      <c r="A249" s="972">
        <f t="shared" si="1"/>
        <v>2013.12</v>
      </c>
      <c r="C249" s="971"/>
      <c r="D249" s="971"/>
    </row>
    <row r="250" spans="1:4">
      <c r="A250" s="972">
        <f t="shared" si="1"/>
        <v>2014.01</v>
      </c>
      <c r="C250" s="971"/>
      <c r="D250" s="971"/>
    </row>
    <row r="251" spans="1:4">
      <c r="A251" s="972">
        <f t="shared" si="1"/>
        <v>2014.02</v>
      </c>
      <c r="C251" s="971"/>
      <c r="D251" s="971"/>
    </row>
    <row r="252" spans="1:4">
      <c r="A252" s="972">
        <f t="shared" si="1"/>
        <v>2014.03</v>
      </c>
      <c r="C252" s="971"/>
      <c r="D252" s="971"/>
    </row>
    <row r="253" spans="1:4">
      <c r="A253" s="972">
        <f t="shared" si="1"/>
        <v>2014.04</v>
      </c>
      <c r="C253" s="971"/>
      <c r="D253" s="971"/>
    </row>
    <row r="254" spans="1:4">
      <c r="A254" s="972">
        <f t="shared" si="1"/>
        <v>2014.05</v>
      </c>
      <c r="C254" s="971"/>
      <c r="D254" s="971"/>
    </row>
    <row r="255" spans="1:4">
      <c r="A255" s="972">
        <f t="shared" si="1"/>
        <v>2014.06</v>
      </c>
      <c r="C255" s="971"/>
      <c r="D255" s="971"/>
    </row>
    <row r="256" spans="1:4">
      <c r="A256" s="972">
        <f t="shared" si="1"/>
        <v>2014.07</v>
      </c>
      <c r="C256" s="971"/>
      <c r="D256" s="971"/>
    </row>
    <row r="257" spans="1:5">
      <c r="A257" s="972">
        <f t="shared" si="1"/>
        <v>2014.08</v>
      </c>
      <c r="C257" s="971"/>
      <c r="D257" s="971"/>
    </row>
    <row r="258" spans="1:5">
      <c r="A258" s="972">
        <f t="shared" si="1"/>
        <v>2014.09</v>
      </c>
      <c r="C258" s="971"/>
      <c r="D258" s="971"/>
    </row>
    <row r="259" spans="1:5">
      <c r="A259" s="972">
        <f t="shared" si="1"/>
        <v>2014.1</v>
      </c>
      <c r="C259" s="971"/>
      <c r="D259" s="971"/>
    </row>
    <row r="260" spans="1:5">
      <c r="A260" s="972">
        <f t="shared" si="1"/>
        <v>2014.11</v>
      </c>
      <c r="C260" s="971"/>
      <c r="D260" s="971"/>
    </row>
    <row r="261" spans="1:5">
      <c r="A261" s="972">
        <f t="shared" si="1"/>
        <v>2014.12</v>
      </c>
      <c r="C261" s="971"/>
      <c r="D261" s="971"/>
    </row>
    <row r="262" spans="1:5">
      <c r="A262" s="972">
        <f t="shared" si="1"/>
        <v>2015.01</v>
      </c>
      <c r="C262" s="971"/>
      <c r="D262" s="971"/>
    </row>
    <row r="263" spans="1:5">
      <c r="A263" s="972">
        <f t="shared" si="1"/>
        <v>2015.02</v>
      </c>
      <c r="C263" s="971"/>
      <c r="D263" s="971"/>
    </row>
    <row r="264" spans="1:5">
      <c r="A264" s="972">
        <f t="shared" si="1"/>
        <v>2015.03</v>
      </c>
      <c r="C264" s="971"/>
      <c r="D264" s="971"/>
      <c r="E264" s="973"/>
    </row>
    <row r="265" spans="1:5">
      <c r="A265" s="972">
        <f t="shared" si="1"/>
        <v>2015.04</v>
      </c>
      <c r="C265" s="971"/>
      <c r="D265" s="971"/>
    </row>
    <row r="266" spans="1:5">
      <c r="A266" s="972">
        <f t="shared" si="1"/>
        <v>2015.05</v>
      </c>
      <c r="C266" s="971"/>
      <c r="D266" s="971"/>
    </row>
    <row r="267" spans="1:5">
      <c r="A267" s="972">
        <f t="shared" si="1"/>
        <v>2015.06</v>
      </c>
      <c r="C267" s="971"/>
      <c r="D267" s="971"/>
    </row>
    <row r="268" spans="1:5">
      <c r="A268" s="972">
        <f t="shared" si="1"/>
        <v>2015.07</v>
      </c>
      <c r="C268" s="971"/>
      <c r="D268" s="971"/>
    </row>
    <row r="269" spans="1:5">
      <c r="A269" s="972">
        <f t="shared" si="1"/>
        <v>2015.08</v>
      </c>
      <c r="C269" s="971"/>
      <c r="D269" s="971"/>
    </row>
    <row r="270" spans="1:5">
      <c r="A270" s="972">
        <f t="shared" si="1"/>
        <v>2015.09</v>
      </c>
      <c r="C270" s="971"/>
      <c r="D270" s="971"/>
    </row>
    <row r="271" spans="1:5">
      <c r="A271" s="972">
        <f t="shared" si="1"/>
        <v>2015.1</v>
      </c>
      <c r="C271" s="971"/>
      <c r="D271" s="971"/>
    </row>
    <row r="272" spans="1:5">
      <c r="A272" s="972">
        <f t="shared" si="1"/>
        <v>2015.11</v>
      </c>
      <c r="C272" s="971"/>
      <c r="D272" s="971"/>
    </row>
    <row r="273" spans="1:4">
      <c r="A273" s="972">
        <f t="shared" si="1"/>
        <v>2015.12</v>
      </c>
      <c r="C273" s="971"/>
      <c r="D273" s="971"/>
    </row>
    <row r="274" spans="1:4">
      <c r="A274" s="972">
        <f t="shared" si="1"/>
        <v>2016.01</v>
      </c>
    </row>
    <row r="275" spans="1:4">
      <c r="A275" s="972">
        <f t="shared" si="1"/>
        <v>2016.02</v>
      </c>
    </row>
    <row r="276" spans="1:4">
      <c r="A276" s="972">
        <f t="shared" si="1"/>
        <v>2016.03</v>
      </c>
    </row>
    <row r="277" spans="1:4">
      <c r="A277" s="972">
        <f t="shared" si="1"/>
        <v>2016.04</v>
      </c>
    </row>
    <row r="278" spans="1:4">
      <c r="A278" s="972">
        <f t="shared" si="1"/>
        <v>2016.05</v>
      </c>
    </row>
    <row r="279" spans="1:4">
      <c r="A279" s="972">
        <f t="shared" si="1"/>
        <v>2016.06</v>
      </c>
    </row>
    <row r="280" spans="1:4">
      <c r="A280" s="972">
        <f t="shared" si="1"/>
        <v>2016.07</v>
      </c>
    </row>
    <row r="281" spans="1:4">
      <c r="A281" s="972">
        <f t="shared" si="1"/>
        <v>2016.08</v>
      </c>
    </row>
    <row r="282" spans="1:4">
      <c r="A282" s="972">
        <f t="shared" si="1"/>
        <v>2016.09</v>
      </c>
    </row>
    <row r="283" spans="1:4">
      <c r="A283" s="972">
        <f t="shared" si="1"/>
        <v>2016.1</v>
      </c>
    </row>
    <row r="284" spans="1:4">
      <c r="A284" s="972">
        <f t="shared" si="1"/>
        <v>2016.11</v>
      </c>
    </row>
    <row r="285" spans="1:4">
      <c r="A285" s="972">
        <f t="shared" si="1"/>
        <v>2016.12</v>
      </c>
    </row>
    <row r="286" spans="1:4">
      <c r="A286" s="972">
        <f t="shared" si="1"/>
        <v>2017.01</v>
      </c>
    </row>
    <row r="287" spans="1:4">
      <c r="A287" s="972">
        <f t="shared" si="1"/>
        <v>2017.02</v>
      </c>
    </row>
    <row r="288" spans="1:4">
      <c r="A288" s="972">
        <f t="shared" si="1"/>
        <v>2017.03</v>
      </c>
    </row>
    <row r="289" spans="1:1">
      <c r="A289" s="972">
        <f t="shared" si="1"/>
        <v>2017.04</v>
      </c>
    </row>
    <row r="290" spans="1:1">
      <c r="A290" s="972">
        <f t="shared" si="1"/>
        <v>2017.05</v>
      </c>
    </row>
    <row r="291" spans="1:1">
      <c r="A291" s="972">
        <f t="shared" si="1"/>
        <v>2017.06</v>
      </c>
    </row>
    <row r="292" spans="1:1">
      <c r="A292" s="972">
        <f t="shared" si="1"/>
        <v>2017.07</v>
      </c>
    </row>
    <row r="293" spans="1:1">
      <c r="A293" s="972">
        <f t="shared" si="1"/>
        <v>2017.08</v>
      </c>
    </row>
    <row r="294" spans="1:1">
      <c r="A294" s="972">
        <f t="shared" si="1"/>
        <v>2017.09</v>
      </c>
    </row>
    <row r="295" spans="1:1">
      <c r="A295" s="972">
        <f t="shared" si="1"/>
        <v>2017.1</v>
      </c>
    </row>
    <row r="296" spans="1:1">
      <c r="A296" s="972">
        <f t="shared" si="1"/>
        <v>2017.11</v>
      </c>
    </row>
    <row r="297" spans="1:1">
      <c r="A297" s="972">
        <f t="shared" si="1"/>
        <v>2017.12</v>
      </c>
    </row>
    <row r="298" spans="1:1">
      <c r="A298" s="972">
        <f t="shared" si="1"/>
        <v>2018.01</v>
      </c>
    </row>
    <row r="299" spans="1:1">
      <c r="A299" s="972">
        <f t="shared" si="1"/>
        <v>2018.02</v>
      </c>
    </row>
    <row r="300" spans="1:1">
      <c r="A300" s="972">
        <f t="shared" si="1"/>
        <v>2018.03</v>
      </c>
    </row>
    <row r="301" spans="1:1">
      <c r="A301" s="972">
        <f t="shared" si="1"/>
        <v>2018.04</v>
      </c>
    </row>
    <row r="302" spans="1:1">
      <c r="A302" s="972">
        <f t="shared" si="1"/>
        <v>2018.05</v>
      </c>
    </row>
    <row r="303" spans="1:1">
      <c r="A303" s="972">
        <f t="shared" si="1"/>
        <v>2018.06</v>
      </c>
    </row>
    <row r="304" spans="1:1">
      <c r="A304" s="972">
        <f t="shared" si="1"/>
        <v>2018.07</v>
      </c>
    </row>
    <row r="305" spans="1:1">
      <c r="A305" s="972">
        <f t="shared" si="1"/>
        <v>2018.08</v>
      </c>
    </row>
    <row r="306" spans="1:1">
      <c r="A306" s="972">
        <f t="shared" ref="A306:A369" si="2">A294+1</f>
        <v>2018.09</v>
      </c>
    </row>
    <row r="307" spans="1:1">
      <c r="A307" s="972">
        <f t="shared" si="2"/>
        <v>2018.1</v>
      </c>
    </row>
    <row r="308" spans="1:1">
      <c r="A308" s="972">
        <f t="shared" si="2"/>
        <v>2018.11</v>
      </c>
    </row>
    <row r="309" spans="1:1">
      <c r="A309" s="972">
        <f t="shared" si="2"/>
        <v>2018.12</v>
      </c>
    </row>
    <row r="310" spans="1:1">
      <c r="A310" s="972">
        <f t="shared" si="2"/>
        <v>2019.01</v>
      </c>
    </row>
    <row r="311" spans="1:1">
      <c r="A311" s="972">
        <f t="shared" si="2"/>
        <v>2019.02</v>
      </c>
    </row>
    <row r="312" spans="1:1">
      <c r="A312" s="972">
        <f t="shared" si="2"/>
        <v>2019.03</v>
      </c>
    </row>
    <row r="313" spans="1:1">
      <c r="A313" s="972">
        <f t="shared" si="2"/>
        <v>2019.04</v>
      </c>
    </row>
    <row r="314" spans="1:1">
      <c r="A314" s="972">
        <f t="shared" si="2"/>
        <v>2019.05</v>
      </c>
    </row>
    <row r="315" spans="1:1">
      <c r="A315" s="972">
        <f t="shared" si="2"/>
        <v>2019.06</v>
      </c>
    </row>
    <row r="316" spans="1:1">
      <c r="A316" s="972">
        <f t="shared" si="2"/>
        <v>2019.07</v>
      </c>
    </row>
    <row r="317" spans="1:1">
      <c r="A317" s="972">
        <f t="shared" si="2"/>
        <v>2019.08</v>
      </c>
    </row>
    <row r="318" spans="1:1">
      <c r="A318" s="972">
        <f t="shared" si="2"/>
        <v>2019.09</v>
      </c>
    </row>
    <row r="319" spans="1:1">
      <c r="A319" s="972">
        <f t="shared" si="2"/>
        <v>2019.1</v>
      </c>
    </row>
    <row r="320" spans="1:1">
      <c r="A320" s="972">
        <f t="shared" si="2"/>
        <v>2019.11</v>
      </c>
    </row>
    <row r="321" spans="1:1">
      <c r="A321" s="972">
        <f t="shared" si="2"/>
        <v>2019.12</v>
      </c>
    </row>
    <row r="322" spans="1:1">
      <c r="A322" s="972">
        <f t="shared" si="2"/>
        <v>2020.01</v>
      </c>
    </row>
    <row r="323" spans="1:1">
      <c r="A323" s="972">
        <f t="shared" si="2"/>
        <v>2020.02</v>
      </c>
    </row>
    <row r="324" spans="1:1">
      <c r="A324" s="972">
        <f t="shared" si="2"/>
        <v>2020.03</v>
      </c>
    </row>
    <row r="325" spans="1:1">
      <c r="A325" s="972">
        <f t="shared" si="2"/>
        <v>2020.04</v>
      </c>
    </row>
    <row r="326" spans="1:1">
      <c r="A326" s="972">
        <f t="shared" si="2"/>
        <v>2020.05</v>
      </c>
    </row>
    <row r="327" spans="1:1">
      <c r="A327" s="972">
        <f t="shared" si="2"/>
        <v>2020.06</v>
      </c>
    </row>
    <row r="328" spans="1:1">
      <c r="A328" s="972">
        <f t="shared" si="2"/>
        <v>2020.07</v>
      </c>
    </row>
    <row r="329" spans="1:1">
      <c r="A329" s="972">
        <f t="shared" si="2"/>
        <v>2020.08</v>
      </c>
    </row>
    <row r="330" spans="1:1">
      <c r="A330" s="972">
        <f t="shared" si="2"/>
        <v>2020.09</v>
      </c>
    </row>
    <row r="331" spans="1:1">
      <c r="A331" s="972">
        <f t="shared" si="2"/>
        <v>2020.1</v>
      </c>
    </row>
    <row r="332" spans="1:1">
      <c r="A332" s="972">
        <f t="shared" si="2"/>
        <v>2020.11</v>
      </c>
    </row>
    <row r="333" spans="1:1">
      <c r="A333" s="972">
        <f t="shared" si="2"/>
        <v>2020.12</v>
      </c>
    </row>
    <row r="334" spans="1:1">
      <c r="A334" s="972">
        <f t="shared" si="2"/>
        <v>2021.01</v>
      </c>
    </row>
    <row r="335" spans="1:1">
      <c r="A335" s="972">
        <f t="shared" si="2"/>
        <v>2021.02</v>
      </c>
    </row>
    <row r="336" spans="1:1">
      <c r="A336" s="972">
        <f t="shared" si="2"/>
        <v>2021.03</v>
      </c>
    </row>
    <row r="337" spans="1:1">
      <c r="A337" s="972">
        <f t="shared" si="2"/>
        <v>2021.04</v>
      </c>
    </row>
    <row r="338" spans="1:1">
      <c r="A338" s="972">
        <f t="shared" si="2"/>
        <v>2021.05</v>
      </c>
    </row>
    <row r="339" spans="1:1">
      <c r="A339" s="972">
        <f t="shared" si="2"/>
        <v>2021.06</v>
      </c>
    </row>
    <row r="340" spans="1:1">
      <c r="A340" s="972">
        <f t="shared" si="2"/>
        <v>2021.07</v>
      </c>
    </row>
    <row r="341" spans="1:1">
      <c r="A341" s="972">
        <f t="shared" si="2"/>
        <v>2021.08</v>
      </c>
    </row>
    <row r="342" spans="1:1">
      <c r="A342" s="972">
        <f t="shared" si="2"/>
        <v>2021.09</v>
      </c>
    </row>
    <row r="343" spans="1:1">
      <c r="A343" s="972">
        <f t="shared" si="2"/>
        <v>2021.1</v>
      </c>
    </row>
    <row r="344" spans="1:1">
      <c r="A344" s="972">
        <f t="shared" si="2"/>
        <v>2021.11</v>
      </c>
    </row>
    <row r="345" spans="1:1">
      <c r="A345" s="972">
        <f t="shared" si="2"/>
        <v>2021.12</v>
      </c>
    </row>
    <row r="346" spans="1:1">
      <c r="A346" s="972">
        <f>A334+1</f>
        <v>2022.01</v>
      </c>
    </row>
    <row r="347" spans="1:1">
      <c r="A347" s="972">
        <f t="shared" si="2"/>
        <v>2022.02</v>
      </c>
    </row>
    <row r="348" spans="1:1">
      <c r="A348" s="972">
        <f t="shared" si="2"/>
        <v>2022.03</v>
      </c>
    </row>
    <row r="349" spans="1:1">
      <c r="A349" s="972">
        <f t="shared" si="2"/>
        <v>2022.04</v>
      </c>
    </row>
    <row r="350" spans="1:1">
      <c r="A350" s="972">
        <f t="shared" si="2"/>
        <v>2022.05</v>
      </c>
    </row>
    <row r="351" spans="1:1">
      <c r="A351" s="972">
        <f t="shared" si="2"/>
        <v>2022.06</v>
      </c>
    </row>
    <row r="352" spans="1:1">
      <c r="A352" s="972">
        <f t="shared" si="2"/>
        <v>2022.07</v>
      </c>
    </row>
    <row r="353" spans="1:1">
      <c r="A353" s="972">
        <f t="shared" si="2"/>
        <v>2022.08</v>
      </c>
    </row>
    <row r="354" spans="1:1">
      <c r="A354" s="972">
        <f t="shared" si="2"/>
        <v>2022.09</v>
      </c>
    </row>
    <row r="355" spans="1:1">
      <c r="A355" s="972">
        <f t="shared" si="2"/>
        <v>2022.1</v>
      </c>
    </row>
    <row r="356" spans="1:1">
      <c r="A356" s="972">
        <f t="shared" si="2"/>
        <v>2022.11</v>
      </c>
    </row>
    <row r="357" spans="1:1">
      <c r="A357" s="972">
        <f t="shared" si="2"/>
        <v>2022.12</v>
      </c>
    </row>
    <row r="358" spans="1:1">
      <c r="A358" s="972">
        <f t="shared" si="2"/>
        <v>2023.01</v>
      </c>
    </row>
    <row r="359" spans="1:1">
      <c r="A359" s="972">
        <f t="shared" si="2"/>
        <v>2023.02</v>
      </c>
    </row>
    <row r="360" spans="1:1">
      <c r="A360" s="972">
        <f t="shared" si="2"/>
        <v>2023.03</v>
      </c>
    </row>
    <row r="361" spans="1:1">
      <c r="A361" s="972">
        <f t="shared" si="2"/>
        <v>2023.04</v>
      </c>
    </row>
    <row r="362" spans="1:1">
      <c r="A362" s="972">
        <f t="shared" si="2"/>
        <v>2023.05</v>
      </c>
    </row>
    <row r="363" spans="1:1">
      <c r="A363" s="972">
        <f t="shared" si="2"/>
        <v>2023.06</v>
      </c>
    </row>
    <row r="364" spans="1:1">
      <c r="A364" s="972">
        <f t="shared" si="2"/>
        <v>2023.07</v>
      </c>
    </row>
    <row r="365" spans="1:1">
      <c r="A365" s="972">
        <f t="shared" si="2"/>
        <v>2023.08</v>
      </c>
    </row>
    <row r="366" spans="1:1">
      <c r="A366" s="972">
        <f t="shared" si="2"/>
        <v>2023.09</v>
      </c>
    </row>
    <row r="367" spans="1:1">
      <c r="A367" s="972">
        <f t="shared" si="2"/>
        <v>2023.1</v>
      </c>
    </row>
    <row r="368" spans="1:1">
      <c r="A368" s="972">
        <f t="shared" si="2"/>
        <v>2023.11</v>
      </c>
    </row>
    <row r="369" spans="1:1">
      <c r="A369" s="972">
        <f t="shared" si="2"/>
        <v>2023.12</v>
      </c>
    </row>
    <row r="370" spans="1:1">
      <c r="A370" s="972">
        <f t="shared" ref="A370:A435" si="3">A358+1</f>
        <v>2024.01</v>
      </c>
    </row>
    <row r="371" spans="1:1">
      <c r="A371" s="972">
        <f t="shared" si="3"/>
        <v>2024.02</v>
      </c>
    </row>
    <row r="372" spans="1:1">
      <c r="A372" s="972">
        <f t="shared" si="3"/>
        <v>2024.03</v>
      </c>
    </row>
    <row r="373" spans="1:1">
      <c r="A373" s="972">
        <f t="shared" si="3"/>
        <v>2024.04</v>
      </c>
    </row>
    <row r="374" spans="1:1">
      <c r="A374" s="972">
        <f t="shared" si="3"/>
        <v>2024.05</v>
      </c>
    </row>
    <row r="375" spans="1:1">
      <c r="A375" s="972">
        <f t="shared" si="3"/>
        <v>2024.06</v>
      </c>
    </row>
    <row r="376" spans="1:1">
      <c r="A376" s="972">
        <f t="shared" si="3"/>
        <v>2024.07</v>
      </c>
    </row>
    <row r="377" spans="1:1">
      <c r="A377" s="972">
        <f t="shared" si="3"/>
        <v>2024.08</v>
      </c>
    </row>
    <row r="378" spans="1:1">
      <c r="A378" s="972">
        <f t="shared" si="3"/>
        <v>2024.09</v>
      </c>
    </row>
    <row r="379" spans="1:1">
      <c r="A379" s="972">
        <f t="shared" si="3"/>
        <v>2024.1</v>
      </c>
    </row>
    <row r="380" spans="1:1">
      <c r="A380" s="972">
        <f t="shared" si="3"/>
        <v>2024.11</v>
      </c>
    </row>
    <row r="381" spans="1:1">
      <c r="A381" s="972">
        <f t="shared" si="3"/>
        <v>2024.12</v>
      </c>
    </row>
    <row r="382" spans="1:1">
      <c r="A382" s="972">
        <f t="shared" si="3"/>
        <v>2025.01</v>
      </c>
    </row>
    <row r="383" spans="1:1">
      <c r="A383" s="972">
        <f t="shared" si="3"/>
        <v>2025.02</v>
      </c>
    </row>
    <row r="384" spans="1:1">
      <c r="A384" s="972">
        <f t="shared" si="3"/>
        <v>2025.03</v>
      </c>
    </row>
    <row r="385" spans="1:1">
      <c r="A385" s="972">
        <f t="shared" si="3"/>
        <v>2025.04</v>
      </c>
    </row>
    <row r="386" spans="1:1">
      <c r="A386" s="972">
        <f t="shared" si="3"/>
        <v>2025.05</v>
      </c>
    </row>
    <row r="387" spans="1:1">
      <c r="A387" s="972">
        <f t="shared" si="3"/>
        <v>2025.06</v>
      </c>
    </row>
    <row r="388" spans="1:1">
      <c r="A388" s="972">
        <f t="shared" si="3"/>
        <v>2025.07</v>
      </c>
    </row>
    <row r="389" spans="1:1">
      <c r="A389" s="972">
        <f t="shared" si="3"/>
        <v>2025.08</v>
      </c>
    </row>
    <row r="390" spans="1:1">
      <c r="A390" s="972">
        <f t="shared" si="3"/>
        <v>2025.09</v>
      </c>
    </row>
    <row r="391" spans="1:1">
      <c r="A391" s="972">
        <f t="shared" si="3"/>
        <v>2025.1</v>
      </c>
    </row>
    <row r="392" spans="1:1">
      <c r="A392" s="972">
        <f t="shared" si="3"/>
        <v>2025.11</v>
      </c>
    </row>
    <row r="393" spans="1:1">
      <c r="A393" s="972">
        <f t="shared" si="3"/>
        <v>2025.12</v>
      </c>
    </row>
    <row r="394" spans="1:1">
      <c r="A394" s="972">
        <f t="shared" si="3"/>
        <v>2026.01</v>
      </c>
    </row>
    <row r="395" spans="1:1">
      <c r="A395" s="972">
        <f t="shared" si="3"/>
        <v>2026.02</v>
      </c>
    </row>
    <row r="396" spans="1:1">
      <c r="A396" s="972">
        <f t="shared" si="3"/>
        <v>2026.03</v>
      </c>
    </row>
    <row r="397" spans="1:1">
      <c r="A397" s="972">
        <f t="shared" si="3"/>
        <v>2026.04</v>
      </c>
    </row>
    <row r="398" spans="1:1">
      <c r="A398" s="972">
        <f t="shared" si="3"/>
        <v>2026.05</v>
      </c>
    </row>
    <row r="399" spans="1:1">
      <c r="A399" s="972">
        <f t="shared" si="3"/>
        <v>2026.06</v>
      </c>
    </row>
    <row r="400" spans="1:1">
      <c r="A400" s="972">
        <f t="shared" si="3"/>
        <v>2026.07</v>
      </c>
    </row>
    <row r="401" spans="1:1">
      <c r="A401" s="972">
        <f t="shared" si="3"/>
        <v>2026.08</v>
      </c>
    </row>
    <row r="402" spans="1:1">
      <c r="A402" s="972">
        <f t="shared" si="3"/>
        <v>2026.09</v>
      </c>
    </row>
    <row r="403" spans="1:1">
      <c r="A403" s="972">
        <f t="shared" si="3"/>
        <v>2026.1</v>
      </c>
    </row>
    <row r="404" spans="1:1">
      <c r="A404" s="972">
        <f t="shared" si="3"/>
        <v>2026.11</v>
      </c>
    </row>
    <row r="405" spans="1:1">
      <c r="A405" s="972">
        <f t="shared" si="3"/>
        <v>2026.12</v>
      </c>
    </row>
    <row r="406" spans="1:1">
      <c r="A406" s="972">
        <f t="shared" si="3"/>
        <v>2027.01</v>
      </c>
    </row>
    <row r="407" spans="1:1">
      <c r="A407" s="972">
        <f t="shared" si="3"/>
        <v>2027.02</v>
      </c>
    </row>
    <row r="408" spans="1:1">
      <c r="A408" s="972">
        <f t="shared" si="3"/>
        <v>2027.03</v>
      </c>
    </row>
    <row r="409" spans="1:1">
      <c r="A409" s="972">
        <f t="shared" si="3"/>
        <v>2027.04</v>
      </c>
    </row>
    <row r="410" spans="1:1">
      <c r="A410" s="972">
        <f t="shared" si="3"/>
        <v>2027.05</v>
      </c>
    </row>
    <row r="411" spans="1:1">
      <c r="A411" s="972">
        <f t="shared" si="3"/>
        <v>2027.06</v>
      </c>
    </row>
    <row r="412" spans="1:1">
      <c r="A412" s="972">
        <f t="shared" si="3"/>
        <v>2027.07</v>
      </c>
    </row>
    <row r="413" spans="1:1">
      <c r="A413" s="972">
        <f t="shared" si="3"/>
        <v>2027.08</v>
      </c>
    </row>
    <row r="414" spans="1:1">
      <c r="A414" s="972">
        <f t="shared" si="3"/>
        <v>2027.09</v>
      </c>
    </row>
    <row r="415" spans="1:1">
      <c r="A415" s="972">
        <f t="shared" si="3"/>
        <v>2027.1</v>
      </c>
    </row>
    <row r="416" spans="1:1">
      <c r="A416" s="972">
        <f t="shared" si="3"/>
        <v>2027.11</v>
      </c>
    </row>
    <row r="417" spans="1:1">
      <c r="A417" s="972">
        <f t="shared" si="3"/>
        <v>2027.12</v>
      </c>
    </row>
    <row r="418" spans="1:1">
      <c r="A418" s="972">
        <f t="shared" si="3"/>
        <v>2028.01</v>
      </c>
    </row>
    <row r="419" spans="1:1">
      <c r="A419" s="972">
        <f t="shared" si="3"/>
        <v>2028.02</v>
      </c>
    </row>
    <row r="420" spans="1:1">
      <c r="A420" s="972">
        <f t="shared" si="3"/>
        <v>2028.03</v>
      </c>
    </row>
    <row r="421" spans="1:1">
      <c r="A421" s="972">
        <f t="shared" si="3"/>
        <v>2028.04</v>
      </c>
    </row>
    <row r="422" spans="1:1">
      <c r="A422" s="972">
        <f t="shared" si="3"/>
        <v>2028.05</v>
      </c>
    </row>
    <row r="423" spans="1:1">
      <c r="A423" s="972">
        <f t="shared" si="3"/>
        <v>2028.06</v>
      </c>
    </row>
    <row r="424" spans="1:1">
      <c r="A424" s="972">
        <f t="shared" si="3"/>
        <v>2028.07</v>
      </c>
    </row>
    <row r="425" spans="1:1">
      <c r="A425" s="972">
        <f t="shared" si="3"/>
        <v>2028.08</v>
      </c>
    </row>
    <row r="426" spans="1:1">
      <c r="A426" s="972">
        <f t="shared" si="3"/>
        <v>2028.09</v>
      </c>
    </row>
    <row r="427" spans="1:1">
      <c r="A427" s="972">
        <f t="shared" si="3"/>
        <v>2028.1</v>
      </c>
    </row>
    <row r="428" spans="1:1">
      <c r="A428" s="972">
        <f t="shared" si="3"/>
        <v>2028.11</v>
      </c>
    </row>
    <row r="429" spans="1:1">
      <c r="A429" s="972">
        <f t="shared" si="3"/>
        <v>2028.12</v>
      </c>
    </row>
    <row r="430" spans="1:1">
      <c r="A430" s="972">
        <f t="shared" si="3"/>
        <v>2029.01</v>
      </c>
    </row>
    <row r="431" spans="1:1">
      <c r="A431" s="972">
        <f t="shared" si="3"/>
        <v>2029.02</v>
      </c>
    </row>
    <row r="432" spans="1:1">
      <c r="A432" s="972">
        <f t="shared" si="3"/>
        <v>2029.03</v>
      </c>
    </row>
    <row r="433" spans="1:1">
      <c r="A433" s="972">
        <f t="shared" si="3"/>
        <v>2029.04</v>
      </c>
    </row>
    <row r="434" spans="1:1">
      <c r="A434" s="972">
        <f t="shared" ref="A434" si="4">A422+1</f>
        <v>2029.05</v>
      </c>
    </row>
    <row r="435" spans="1:1">
      <c r="A435" s="972">
        <f t="shared" si="3"/>
        <v>2029.06</v>
      </c>
    </row>
    <row r="436" spans="1:1">
      <c r="A436" s="972">
        <f t="shared" ref="A436:A453" si="5">A424+1</f>
        <v>2029.07</v>
      </c>
    </row>
    <row r="437" spans="1:1">
      <c r="A437" s="972">
        <f t="shared" si="5"/>
        <v>2029.08</v>
      </c>
    </row>
    <row r="438" spans="1:1">
      <c r="A438" s="972">
        <f t="shared" si="5"/>
        <v>2029.09</v>
      </c>
    </row>
    <row r="439" spans="1:1">
      <c r="A439" s="972">
        <f t="shared" si="5"/>
        <v>2029.1</v>
      </c>
    </row>
    <row r="440" spans="1:1">
      <c r="A440" s="972">
        <f t="shared" si="5"/>
        <v>2029.11</v>
      </c>
    </row>
    <row r="441" spans="1:1">
      <c r="A441" s="972">
        <f t="shared" si="5"/>
        <v>2029.12</v>
      </c>
    </row>
    <row r="442" spans="1:1">
      <c r="A442" s="972">
        <f t="shared" si="5"/>
        <v>2030.01</v>
      </c>
    </row>
    <row r="443" spans="1:1">
      <c r="A443" s="972">
        <f t="shared" si="5"/>
        <v>2030.02</v>
      </c>
    </row>
    <row r="444" spans="1:1">
      <c r="A444" s="972">
        <f t="shared" si="5"/>
        <v>2030.03</v>
      </c>
    </row>
    <row r="445" spans="1:1">
      <c r="A445" s="972">
        <f t="shared" si="5"/>
        <v>2030.04</v>
      </c>
    </row>
    <row r="446" spans="1:1">
      <c r="A446" s="972">
        <f t="shared" si="5"/>
        <v>2030.05</v>
      </c>
    </row>
    <row r="447" spans="1:1">
      <c r="A447" s="972">
        <f t="shared" si="5"/>
        <v>2030.06</v>
      </c>
    </row>
    <row r="448" spans="1:1">
      <c r="A448" s="972">
        <f t="shared" si="5"/>
        <v>2030.07</v>
      </c>
    </row>
    <row r="449" spans="1:1">
      <c r="A449" s="972">
        <f t="shared" si="5"/>
        <v>2030.08</v>
      </c>
    </row>
    <row r="450" spans="1:1">
      <c r="A450" s="972">
        <f t="shared" si="5"/>
        <v>2030.09</v>
      </c>
    </row>
    <row r="451" spans="1:1">
      <c r="A451" s="972">
        <f t="shared" si="5"/>
        <v>2030.1</v>
      </c>
    </row>
    <row r="452" spans="1:1">
      <c r="A452" s="972">
        <f t="shared" si="5"/>
        <v>2030.11</v>
      </c>
    </row>
    <row r="453" spans="1:1">
      <c r="A453" s="972">
        <f t="shared" si="5"/>
        <v>2030.12</v>
      </c>
    </row>
  </sheetData>
  <phoneticPr fontId="71" type="noConversion"/>
  <hyperlinks>
    <hyperlink ref="A5" location="INDICE!A13" display="VOLVER AL INDICE" xr:uid="{00000000-0004-0000-2700-000000000000}"/>
  </hyperlinks>
  <pageMargins left="0.75" right="0.75" top="1" bottom="1" header="0" footer="0"/>
  <pageSetup paperSize="9"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2191E-FEE7-46AA-93A5-BE03E5C6EE6D}">
  <dimension ref="A1:T483"/>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11.42578125" style="52" customWidth="1"/>
    <col min="2" max="8" width="16.42578125" style="52" customWidth="1"/>
    <col min="9" max="9" width="11.42578125" style="300"/>
    <col min="10" max="16384" width="11.42578125" style="166"/>
  </cols>
  <sheetData>
    <row r="1" spans="1:8" ht="3" customHeight="1">
      <c r="A1" s="2761"/>
      <c r="B1" s="457"/>
      <c r="C1" s="457"/>
      <c r="D1" s="457"/>
      <c r="E1" s="457"/>
      <c r="F1" s="458"/>
      <c r="G1" s="457"/>
      <c r="H1" s="459"/>
    </row>
    <row r="2" spans="1:8" ht="22.5">
      <c r="A2" s="2762" t="s">
        <v>99</v>
      </c>
      <c r="B2" s="2906" t="s">
        <v>1551</v>
      </c>
      <c r="C2" s="315"/>
      <c r="D2" s="2906"/>
      <c r="E2" s="2906"/>
      <c r="F2" s="2906" t="s">
        <v>1552</v>
      </c>
      <c r="G2" s="315"/>
      <c r="H2" s="2988"/>
    </row>
    <row r="3" spans="1:8">
      <c r="A3" s="2762" t="s">
        <v>104</v>
      </c>
      <c r="B3" s="2921" t="s">
        <v>113</v>
      </c>
      <c r="C3" s="2020"/>
      <c r="D3" s="2921"/>
      <c r="E3" s="3036"/>
      <c r="F3" s="2020"/>
      <c r="G3" s="2020"/>
      <c r="H3" s="2923"/>
    </row>
    <row r="4" spans="1:8" ht="3.75" hidden="1" customHeight="1">
      <c r="A4" s="2762"/>
      <c r="B4" s="3037"/>
      <c r="C4" s="2017"/>
      <c r="D4" s="2017"/>
      <c r="E4" s="2017"/>
      <c r="F4" s="3037"/>
      <c r="G4" s="2017"/>
      <c r="H4" s="2018"/>
    </row>
    <row r="5" spans="1:8" ht="22.5">
      <c r="A5" s="2867" t="s">
        <v>140</v>
      </c>
      <c r="B5" s="2750" t="s">
        <v>1548</v>
      </c>
      <c r="C5" s="2024" t="s">
        <v>1549</v>
      </c>
      <c r="D5" s="2025" t="s">
        <v>1553</v>
      </c>
      <c r="E5" s="2442" t="s">
        <v>1554</v>
      </c>
      <c r="F5" s="2750" t="s">
        <v>1555</v>
      </c>
      <c r="G5" s="2024" t="s">
        <v>1556</v>
      </c>
      <c r="H5" s="2105" t="s">
        <v>1557</v>
      </c>
    </row>
    <row r="6" spans="1:8" hidden="1">
      <c r="A6" s="2762"/>
      <c r="B6" s="2927"/>
      <c r="C6" s="1664"/>
      <c r="D6" s="1664"/>
      <c r="E6" s="1664"/>
      <c r="F6" s="2927"/>
      <c r="G6" s="627"/>
      <c r="H6" s="2106"/>
    </row>
    <row r="7" spans="1:8" ht="22.5">
      <c r="A7" s="2762" t="s">
        <v>125</v>
      </c>
      <c r="B7" s="3038" t="s">
        <v>1550</v>
      </c>
      <c r="C7" s="2417" t="s">
        <v>1550</v>
      </c>
      <c r="D7" s="2417" t="s">
        <v>1550</v>
      </c>
      <c r="E7" s="2443" t="s">
        <v>1550</v>
      </c>
      <c r="F7" s="2758" t="s">
        <v>1550</v>
      </c>
      <c r="G7" s="2417" t="s">
        <v>1550</v>
      </c>
      <c r="H7" s="2932" t="s">
        <v>1550</v>
      </c>
    </row>
    <row r="8" spans="1:8">
      <c r="A8" s="3002" t="s">
        <v>144</v>
      </c>
      <c r="B8" s="3031" t="s">
        <v>1558</v>
      </c>
      <c r="C8" s="2283" t="s">
        <v>1559</v>
      </c>
      <c r="D8" s="2283" t="s">
        <v>1560</v>
      </c>
      <c r="E8" s="2283" t="s">
        <v>1561</v>
      </c>
      <c r="F8" s="3031" t="s">
        <v>1562</v>
      </c>
      <c r="G8" s="2283" t="s">
        <v>1563</v>
      </c>
      <c r="H8" s="2286" t="s">
        <v>1564</v>
      </c>
    </row>
    <row r="9" spans="1:8" ht="13.5" thickBot="1">
      <c r="A9" s="2140"/>
      <c r="B9" s="573"/>
      <c r="C9" s="1244"/>
      <c r="D9" s="1244"/>
      <c r="E9" s="1244"/>
      <c r="F9" s="573"/>
      <c r="G9" s="1244"/>
      <c r="H9" s="2107"/>
    </row>
    <row r="10" spans="1:8">
      <c r="A10" s="57">
        <v>2012.01</v>
      </c>
      <c r="B10" s="2108">
        <v>491949.95899999997</v>
      </c>
      <c r="C10" s="2109">
        <v>111418.41800000001</v>
      </c>
      <c r="D10" s="2109">
        <v>475035.69500000007</v>
      </c>
      <c r="E10" s="2110">
        <f>SUM(B10:D10)</f>
        <v>1078404.0720000002</v>
      </c>
      <c r="F10" s="2111">
        <v>1626.9740000000002</v>
      </c>
      <c r="G10" s="2109">
        <v>301017.179</v>
      </c>
      <c r="H10" s="2112">
        <f>D10-F10-G10</f>
        <v>172391.54200000007</v>
      </c>
    </row>
    <row r="11" spans="1:8">
      <c r="A11" s="53">
        <v>2012.02</v>
      </c>
      <c r="B11" s="214">
        <v>435219.15499999997</v>
      </c>
      <c r="C11" s="3598">
        <v>100873.96299999999</v>
      </c>
      <c r="D11" s="3598">
        <v>511227.29400000005</v>
      </c>
      <c r="E11" s="2360">
        <f>SUM(B11:D11)</f>
        <v>1047320.412</v>
      </c>
      <c r="F11" s="572">
        <v>1551.2040000000002</v>
      </c>
      <c r="G11" s="3598">
        <v>290770.53000000003</v>
      </c>
      <c r="H11" s="2393">
        <f t="shared" ref="H11:H74" si="0">D11-F11-G11</f>
        <v>218905.56</v>
      </c>
    </row>
    <row r="12" spans="1:8">
      <c r="A12" s="53">
        <v>2012.03</v>
      </c>
      <c r="B12" s="214">
        <v>395557.32800000004</v>
      </c>
      <c r="C12" s="3598">
        <v>101161.88800000001</v>
      </c>
      <c r="D12" s="3598">
        <v>536011.22600000014</v>
      </c>
      <c r="E12" s="2360">
        <f t="shared" ref="E12:E75" si="1">SUM(B12:D12)</f>
        <v>1032730.4420000002</v>
      </c>
      <c r="F12" s="572">
        <v>1526.277</v>
      </c>
      <c r="G12" s="3598">
        <v>295664.386</v>
      </c>
      <c r="H12" s="2393">
        <f t="shared" si="0"/>
        <v>238820.56300000014</v>
      </c>
    </row>
    <row r="13" spans="1:8">
      <c r="A13" s="53">
        <v>2012.04</v>
      </c>
      <c r="B13" s="214">
        <v>316014.93700000003</v>
      </c>
      <c r="C13" s="3598">
        <v>91625.108000000007</v>
      </c>
      <c r="D13" s="3598">
        <v>536670.84300000011</v>
      </c>
      <c r="E13" s="2360">
        <f t="shared" si="1"/>
        <v>944310.88800000015</v>
      </c>
      <c r="F13" s="572">
        <v>1352.211</v>
      </c>
      <c r="G13" s="3598">
        <v>289390.59299999999</v>
      </c>
      <c r="H13" s="2393">
        <f t="shared" si="0"/>
        <v>245928.03900000011</v>
      </c>
    </row>
    <row r="14" spans="1:8">
      <c r="A14" s="53">
        <v>2012.05</v>
      </c>
      <c r="B14" s="214">
        <v>339683.43300000002</v>
      </c>
      <c r="C14" s="3598">
        <v>98537.202000000005</v>
      </c>
      <c r="D14" s="3598">
        <v>535102.44900000002</v>
      </c>
      <c r="E14" s="2360">
        <f t="shared" si="1"/>
        <v>973323.08400000003</v>
      </c>
      <c r="F14" s="572">
        <v>1237.83</v>
      </c>
      <c r="G14" s="3598">
        <v>291504.53000000003</v>
      </c>
      <c r="H14" s="2393">
        <f t="shared" si="0"/>
        <v>242360.08900000004</v>
      </c>
    </row>
    <row r="15" spans="1:8">
      <c r="A15" s="53">
        <v>2012.06</v>
      </c>
      <c r="B15" s="214">
        <v>384081.70600000001</v>
      </c>
      <c r="C15" s="3598">
        <v>104295.75900000001</v>
      </c>
      <c r="D15" s="3598">
        <v>523869.87400000001</v>
      </c>
      <c r="E15" s="2360">
        <f t="shared" si="1"/>
        <v>1012247.339</v>
      </c>
      <c r="F15" s="572">
        <v>1144.5889999999999</v>
      </c>
      <c r="G15" s="3598">
        <v>282192.68200000003</v>
      </c>
      <c r="H15" s="2393">
        <f t="shared" si="0"/>
        <v>240532.603</v>
      </c>
    </row>
    <row r="16" spans="1:8">
      <c r="A16" s="53">
        <v>2012.07</v>
      </c>
      <c r="B16" s="214">
        <v>442356.73</v>
      </c>
      <c r="C16" s="3598">
        <v>111469.924</v>
      </c>
      <c r="D16" s="3598">
        <v>501727.70900000003</v>
      </c>
      <c r="E16" s="2360">
        <f t="shared" si="1"/>
        <v>1055554.3629999999</v>
      </c>
      <c r="F16" s="572">
        <v>1110.7270000000001</v>
      </c>
      <c r="G16" s="3598">
        <v>277027.02900000004</v>
      </c>
      <c r="H16" s="2393">
        <f t="shared" si="0"/>
        <v>223589.95299999998</v>
      </c>
    </row>
    <row r="17" spans="1:8">
      <c r="A17" s="53">
        <v>2012.08</v>
      </c>
      <c r="B17" s="214">
        <v>378474.15700000001</v>
      </c>
      <c r="C17" s="3598">
        <v>103239.72399999999</v>
      </c>
      <c r="D17" s="3598">
        <v>508897.30100000004</v>
      </c>
      <c r="E17" s="2360">
        <f t="shared" si="1"/>
        <v>990611.18200000003</v>
      </c>
      <c r="F17" s="572">
        <v>1090.0060000000001</v>
      </c>
      <c r="G17" s="3598">
        <v>275987.65700000001</v>
      </c>
      <c r="H17" s="2393">
        <f t="shared" si="0"/>
        <v>231819.63800000004</v>
      </c>
    </row>
    <row r="18" spans="1:8">
      <c r="A18" s="53">
        <v>2012.09</v>
      </c>
      <c r="B18" s="214">
        <v>314127.48499999999</v>
      </c>
      <c r="C18" s="3598">
        <v>92916.231999999989</v>
      </c>
      <c r="D18" s="3598">
        <v>497402.76400000002</v>
      </c>
      <c r="E18" s="2360">
        <f t="shared" si="1"/>
        <v>904446.48099999991</v>
      </c>
      <c r="F18" s="572">
        <v>1119.693</v>
      </c>
      <c r="G18" s="3598">
        <v>272344.89400000003</v>
      </c>
      <c r="H18" s="2393">
        <f t="shared" si="0"/>
        <v>223938.17699999997</v>
      </c>
    </row>
    <row r="19" spans="1:8">
      <c r="A19" s="53">
        <v>2012.1</v>
      </c>
      <c r="B19" s="214">
        <v>323478.25</v>
      </c>
      <c r="C19" s="3598">
        <v>94444.584000000003</v>
      </c>
      <c r="D19" s="3598">
        <v>505628.81300000002</v>
      </c>
      <c r="E19" s="2360">
        <f t="shared" si="1"/>
        <v>923551.64700000011</v>
      </c>
      <c r="F19" s="572">
        <v>1243.5510000000002</v>
      </c>
      <c r="G19" s="3598">
        <v>278172.78100000002</v>
      </c>
      <c r="H19" s="2393">
        <f t="shared" si="0"/>
        <v>226212.48100000003</v>
      </c>
    </row>
    <row r="20" spans="1:8">
      <c r="A20" s="53">
        <v>2012.11</v>
      </c>
      <c r="B20" s="214">
        <v>377032.27600000001</v>
      </c>
      <c r="C20" s="3598">
        <v>101398.21900000001</v>
      </c>
      <c r="D20" s="3598">
        <v>519399.87400000001</v>
      </c>
      <c r="E20" s="2360">
        <f t="shared" si="1"/>
        <v>997830.36899999995</v>
      </c>
      <c r="F20" s="572">
        <v>1468.6390000000001</v>
      </c>
      <c r="G20" s="3598">
        <v>289051.02</v>
      </c>
      <c r="H20" s="2393">
        <f t="shared" si="0"/>
        <v>228880.21499999997</v>
      </c>
    </row>
    <row r="21" spans="1:8">
      <c r="A21" s="53">
        <v>2012.12</v>
      </c>
      <c r="B21" s="214">
        <v>441830.05</v>
      </c>
      <c r="C21" s="3598">
        <v>103168.41800000001</v>
      </c>
      <c r="D21" s="3598">
        <v>481390.00399999996</v>
      </c>
      <c r="E21" s="2360">
        <f t="shared" si="1"/>
        <v>1026388.472</v>
      </c>
      <c r="F21" s="572">
        <v>1531.7340000000002</v>
      </c>
      <c r="G21" s="3598">
        <v>286384.61499999999</v>
      </c>
      <c r="H21" s="2393">
        <f t="shared" si="0"/>
        <v>193473.65499999997</v>
      </c>
    </row>
    <row r="22" spans="1:8">
      <c r="A22" s="53">
        <f>A10+1</f>
        <v>2013.01</v>
      </c>
      <c r="B22" s="214">
        <v>448837.96499999997</v>
      </c>
      <c r="C22" s="3598">
        <v>264610.77500000002</v>
      </c>
      <c r="D22" s="3598">
        <v>340081.2910000002</v>
      </c>
      <c r="E22" s="2360">
        <f t="shared" si="1"/>
        <v>1053530.0310000002</v>
      </c>
      <c r="F22" s="572">
        <v>1657.354</v>
      </c>
      <c r="G22" s="3598">
        <v>181413.524</v>
      </c>
      <c r="H22" s="2393">
        <f t="shared" si="0"/>
        <v>157010.4130000002</v>
      </c>
    </row>
    <row r="23" spans="1:8">
      <c r="A23" s="53">
        <f t="shared" ref="A23:A86" si="2">A11+1</f>
        <v>2013.02</v>
      </c>
      <c r="B23" s="214">
        <v>349697.51199999999</v>
      </c>
      <c r="C23" s="3598">
        <v>231272.67199999999</v>
      </c>
      <c r="D23" s="3598">
        <v>369553.43399999983</v>
      </c>
      <c r="E23" s="2360">
        <f t="shared" si="1"/>
        <v>950523.61799999978</v>
      </c>
      <c r="F23" s="572">
        <v>1377.9060000000002</v>
      </c>
      <c r="G23" s="3598">
        <v>168059.47700000001</v>
      </c>
      <c r="H23" s="2393">
        <f t="shared" si="0"/>
        <v>200116.0509999998</v>
      </c>
    </row>
    <row r="24" spans="1:8">
      <c r="A24" s="53">
        <f t="shared" si="2"/>
        <v>2013.03</v>
      </c>
      <c r="B24" s="214">
        <v>313171.09899999999</v>
      </c>
      <c r="C24" s="3598">
        <v>241341.38499999998</v>
      </c>
      <c r="D24" s="3598">
        <v>395178.63599999994</v>
      </c>
      <c r="E24" s="2360">
        <f t="shared" si="1"/>
        <v>949691.11999999988</v>
      </c>
      <c r="F24" s="572">
        <v>1321.5920000000001</v>
      </c>
      <c r="G24" s="3598">
        <v>171468.52799999999</v>
      </c>
      <c r="H24" s="2393">
        <f t="shared" si="0"/>
        <v>222388.51599999995</v>
      </c>
    </row>
    <row r="25" spans="1:8">
      <c r="A25" s="53">
        <f t="shared" si="2"/>
        <v>2013.04</v>
      </c>
      <c r="B25" s="214">
        <v>272323.52600000001</v>
      </c>
      <c r="C25" s="3598">
        <v>238288.65299999999</v>
      </c>
      <c r="D25" s="3598">
        <v>416455.45700000005</v>
      </c>
      <c r="E25" s="2360">
        <f t="shared" si="1"/>
        <v>927067.63600000006</v>
      </c>
      <c r="F25" s="572">
        <v>1196.569</v>
      </c>
      <c r="G25" s="3598">
        <v>193928.239</v>
      </c>
      <c r="H25" s="2393">
        <f t="shared" si="0"/>
        <v>221330.64900000003</v>
      </c>
    </row>
    <row r="26" spans="1:8">
      <c r="A26" s="53">
        <f t="shared" si="2"/>
        <v>2013.05</v>
      </c>
      <c r="B26" s="214">
        <v>320459.84899999999</v>
      </c>
      <c r="C26" s="3598">
        <v>253941.22100000002</v>
      </c>
      <c r="D26" s="3598">
        <v>427892.68299999996</v>
      </c>
      <c r="E26" s="2360">
        <f t="shared" si="1"/>
        <v>1002293.753</v>
      </c>
      <c r="F26" s="572">
        <v>1075.729</v>
      </c>
      <c r="G26" s="3598">
        <v>201235.89799999999</v>
      </c>
      <c r="H26" s="2393">
        <f t="shared" si="0"/>
        <v>225581.05599999998</v>
      </c>
    </row>
    <row r="27" spans="1:8">
      <c r="A27" s="53">
        <f t="shared" si="2"/>
        <v>2013.06</v>
      </c>
      <c r="B27" s="214">
        <v>351660.41599999997</v>
      </c>
      <c r="C27" s="3598">
        <v>253025.94700000001</v>
      </c>
      <c r="D27" s="3598">
        <v>418198.88899999991</v>
      </c>
      <c r="E27" s="2360">
        <f t="shared" si="1"/>
        <v>1022885.2519999999</v>
      </c>
      <c r="F27" s="572">
        <v>966.52300000000002</v>
      </c>
      <c r="G27" s="3598">
        <v>194315.65600000002</v>
      </c>
      <c r="H27" s="2393">
        <f t="shared" si="0"/>
        <v>222916.7099999999</v>
      </c>
    </row>
    <row r="28" spans="1:8">
      <c r="A28" s="53">
        <f t="shared" si="2"/>
        <v>2013.07</v>
      </c>
      <c r="B28" s="214">
        <v>396481.48499999999</v>
      </c>
      <c r="C28" s="3598">
        <v>267552.09299999999</v>
      </c>
      <c r="D28" s="3598">
        <v>418528.87999999995</v>
      </c>
      <c r="E28" s="2360">
        <f t="shared" si="1"/>
        <v>1082562.4579999999</v>
      </c>
      <c r="F28" s="572">
        <v>1039.8690000000001</v>
      </c>
      <c r="G28" s="3598">
        <v>186116.36599999998</v>
      </c>
      <c r="H28" s="2393">
        <f t="shared" si="0"/>
        <v>231372.64499999996</v>
      </c>
    </row>
    <row r="29" spans="1:8">
      <c r="A29" s="53">
        <f t="shared" si="2"/>
        <v>2013.08</v>
      </c>
      <c r="B29" s="214">
        <v>376672.636</v>
      </c>
      <c r="C29" s="3598">
        <v>259940.94899999999</v>
      </c>
      <c r="D29" s="3598">
        <v>434418.48100000009</v>
      </c>
      <c r="E29" s="2360">
        <f t="shared" si="1"/>
        <v>1071032.0660000001</v>
      </c>
      <c r="F29" s="572">
        <v>1020.091</v>
      </c>
      <c r="G29" s="3598">
        <v>193168.83100000001</v>
      </c>
      <c r="H29" s="2393">
        <f t="shared" si="0"/>
        <v>240229.55900000007</v>
      </c>
    </row>
    <row r="30" spans="1:8">
      <c r="A30" s="53">
        <f t="shared" si="2"/>
        <v>2013.09</v>
      </c>
      <c r="B30" s="214">
        <v>319301.12199999997</v>
      </c>
      <c r="C30" s="3598">
        <v>241400.27100000001</v>
      </c>
      <c r="D30" s="3598">
        <v>425108.4090000001</v>
      </c>
      <c r="E30" s="2360">
        <f t="shared" si="1"/>
        <v>985809.80200000003</v>
      </c>
      <c r="F30" s="572">
        <v>1050.3040000000001</v>
      </c>
      <c r="G30" s="3598">
        <v>190428.79400000002</v>
      </c>
      <c r="H30" s="2393">
        <f t="shared" si="0"/>
        <v>233629.31100000007</v>
      </c>
    </row>
    <row r="31" spans="1:8">
      <c r="A31" s="53">
        <f t="shared" si="2"/>
        <v>2013.1</v>
      </c>
      <c r="B31" s="214">
        <v>311231.10200000001</v>
      </c>
      <c r="C31" s="3598">
        <v>243467.27799999999</v>
      </c>
      <c r="D31" s="3598">
        <v>416515.42900000012</v>
      </c>
      <c r="E31" s="2360">
        <f t="shared" si="1"/>
        <v>971213.80900000012</v>
      </c>
      <c r="F31" s="572">
        <v>1293.866</v>
      </c>
      <c r="G31" s="3598">
        <v>189706.34899999999</v>
      </c>
      <c r="H31" s="2393">
        <f t="shared" si="0"/>
        <v>225515.21400000015</v>
      </c>
    </row>
    <row r="32" spans="1:8">
      <c r="A32" s="53">
        <f>A20+1</f>
        <v>2013.11</v>
      </c>
      <c r="B32" s="214">
        <v>327314.234</v>
      </c>
      <c r="C32" s="3598">
        <v>237866.07199999999</v>
      </c>
      <c r="D32" s="3598">
        <v>405848.85399999999</v>
      </c>
      <c r="E32" s="2360">
        <f t="shared" si="1"/>
        <v>971029.15999999992</v>
      </c>
      <c r="F32" s="572">
        <v>1386.63</v>
      </c>
      <c r="G32" s="3598">
        <v>181768.99799999999</v>
      </c>
      <c r="H32" s="2393">
        <f t="shared" si="0"/>
        <v>222693.226</v>
      </c>
    </row>
    <row r="33" spans="1:8">
      <c r="A33" s="53">
        <f t="shared" si="2"/>
        <v>2013.12</v>
      </c>
      <c r="B33" s="214">
        <v>550988.14900000009</v>
      </c>
      <c r="C33" s="3598">
        <v>288543.647</v>
      </c>
      <c r="D33" s="3598">
        <v>365344.32699999999</v>
      </c>
      <c r="E33" s="2360">
        <f t="shared" si="1"/>
        <v>1204876.1230000001</v>
      </c>
      <c r="F33" s="572">
        <v>1542.998</v>
      </c>
      <c r="G33" s="3598">
        <v>176191.94099999999</v>
      </c>
      <c r="H33" s="2393">
        <f t="shared" si="0"/>
        <v>187609.38799999998</v>
      </c>
    </row>
    <row r="34" spans="1:8">
      <c r="A34" s="53">
        <f>A22+1</f>
        <v>2014.01</v>
      </c>
      <c r="B34" s="214">
        <v>532920.98099999991</v>
      </c>
      <c r="C34" s="3598">
        <v>280473.01900000003</v>
      </c>
      <c r="D34" s="3598">
        <v>333476.55899999995</v>
      </c>
      <c r="E34" s="2360">
        <f t="shared" si="1"/>
        <v>1146870.5589999999</v>
      </c>
      <c r="F34" s="572">
        <v>1541.1660000000002</v>
      </c>
      <c r="G34" s="3598">
        <v>172854.17199999999</v>
      </c>
      <c r="H34" s="2393">
        <f t="shared" si="0"/>
        <v>159081.22099999993</v>
      </c>
    </row>
    <row r="35" spans="1:8">
      <c r="A35" s="53">
        <f t="shared" si="2"/>
        <v>2014.02</v>
      </c>
      <c r="B35" s="214">
        <v>349156.82500000007</v>
      </c>
      <c r="C35" s="3598">
        <v>228555.95499999999</v>
      </c>
      <c r="D35" s="3598">
        <v>366255.51900000026</v>
      </c>
      <c r="E35" s="2360">
        <f t="shared" si="1"/>
        <v>943968.29900000035</v>
      </c>
      <c r="F35" s="572">
        <v>3020.3679999999999</v>
      </c>
      <c r="G35" s="3598">
        <v>160193.39600000001</v>
      </c>
      <c r="H35" s="2393">
        <f t="shared" si="0"/>
        <v>203041.75500000024</v>
      </c>
    </row>
    <row r="36" spans="1:8">
      <c r="A36" s="53">
        <f t="shared" si="2"/>
        <v>2014.03</v>
      </c>
      <c r="B36" s="214">
        <v>312688.56400000001</v>
      </c>
      <c r="C36" s="3598">
        <v>232310.94200000001</v>
      </c>
      <c r="D36" s="3598">
        <v>402754.54600000003</v>
      </c>
      <c r="E36" s="2360">
        <f t="shared" si="1"/>
        <v>947754.05200000014</v>
      </c>
      <c r="F36" s="572">
        <v>2798.8850000000002</v>
      </c>
      <c r="G36" s="3598">
        <v>158706.34299999999</v>
      </c>
      <c r="H36" s="2393">
        <f t="shared" si="0"/>
        <v>241249.31800000003</v>
      </c>
    </row>
    <row r="37" spans="1:8">
      <c r="A37" s="53">
        <f t="shared" si="2"/>
        <v>2014.04</v>
      </c>
      <c r="B37" s="214">
        <v>292932.136</v>
      </c>
      <c r="C37" s="3598">
        <v>236622.18900000001</v>
      </c>
      <c r="D37" s="3598">
        <v>423924.79700000014</v>
      </c>
      <c r="E37" s="2360">
        <f t="shared" si="1"/>
        <v>953479.12200000009</v>
      </c>
      <c r="F37" s="572">
        <v>2618.0129999999999</v>
      </c>
      <c r="G37" s="3598">
        <v>173576.28600000002</v>
      </c>
      <c r="H37" s="2393">
        <f t="shared" si="0"/>
        <v>247730.49800000014</v>
      </c>
    </row>
    <row r="38" spans="1:8">
      <c r="A38" s="53">
        <f t="shared" si="2"/>
        <v>2014.05</v>
      </c>
      <c r="B38" s="214">
        <v>331236.80200000003</v>
      </c>
      <c r="C38" s="3598">
        <v>248426.28900000002</v>
      </c>
      <c r="D38" s="3598">
        <v>442079.65600000002</v>
      </c>
      <c r="E38" s="2360">
        <f t="shared" si="1"/>
        <v>1021742.747</v>
      </c>
      <c r="F38" s="572">
        <v>2410.2730000000001</v>
      </c>
      <c r="G38" s="3598">
        <v>181314.08600000001</v>
      </c>
      <c r="H38" s="2393">
        <f t="shared" si="0"/>
        <v>258355.29700000002</v>
      </c>
    </row>
    <row r="39" spans="1:8">
      <c r="A39" s="53">
        <f t="shared" si="2"/>
        <v>2014.06</v>
      </c>
      <c r="B39" s="214">
        <v>375965.36499999999</v>
      </c>
      <c r="C39" s="3598">
        <v>255799.37799999997</v>
      </c>
      <c r="D39" s="3598">
        <v>433335.73099999997</v>
      </c>
      <c r="E39" s="2360">
        <f t="shared" si="1"/>
        <v>1065100.4739999999</v>
      </c>
      <c r="F39" s="572">
        <v>2243.8789999999999</v>
      </c>
      <c r="G39" s="3598">
        <v>180039.97500000001</v>
      </c>
      <c r="H39" s="2393">
        <f t="shared" si="0"/>
        <v>251051.87699999995</v>
      </c>
    </row>
    <row r="40" spans="1:8">
      <c r="A40" s="53">
        <f t="shared" si="2"/>
        <v>2014.07</v>
      </c>
      <c r="B40" s="214">
        <v>405420.66500000004</v>
      </c>
      <c r="C40" s="3598">
        <v>264995.03899999999</v>
      </c>
      <c r="D40" s="3598">
        <v>422304.92499999993</v>
      </c>
      <c r="E40" s="2360">
        <f t="shared" si="1"/>
        <v>1092720.629</v>
      </c>
      <c r="F40" s="572">
        <v>2430.3360000000002</v>
      </c>
      <c r="G40" s="3598">
        <v>181650.163</v>
      </c>
      <c r="H40" s="2393">
        <f t="shared" si="0"/>
        <v>238224.42599999992</v>
      </c>
    </row>
    <row r="41" spans="1:8">
      <c r="A41" s="53">
        <f t="shared" si="2"/>
        <v>2014.08</v>
      </c>
      <c r="B41" s="214">
        <v>348788.62299999996</v>
      </c>
      <c r="C41" s="3598">
        <v>249756.11600000001</v>
      </c>
      <c r="D41" s="3598">
        <v>404077.386</v>
      </c>
      <c r="E41" s="2360">
        <f t="shared" si="1"/>
        <v>1002622.125</v>
      </c>
      <c r="F41" s="572">
        <v>2520.5540000000001</v>
      </c>
      <c r="G41" s="3598">
        <v>177953.6</v>
      </c>
      <c r="H41" s="2393">
        <f t="shared" si="0"/>
        <v>223603.23199999999</v>
      </c>
    </row>
    <row r="42" spans="1:8">
      <c r="A42" s="53">
        <f t="shared" si="2"/>
        <v>2014.09</v>
      </c>
      <c r="B42" s="214">
        <v>296650.68699999998</v>
      </c>
      <c r="C42" s="3598">
        <v>233009.98499999999</v>
      </c>
      <c r="D42" s="3598">
        <v>413828.28400000004</v>
      </c>
      <c r="E42" s="2360">
        <f t="shared" si="1"/>
        <v>943488.95600000001</v>
      </c>
      <c r="F42" s="572">
        <v>2506.7690000000002</v>
      </c>
      <c r="G42" s="3598">
        <v>172934.633</v>
      </c>
      <c r="H42" s="2393">
        <f t="shared" si="0"/>
        <v>238386.88200000001</v>
      </c>
    </row>
    <row r="43" spans="1:8">
      <c r="A43" s="53">
        <f t="shared" si="2"/>
        <v>2014.1</v>
      </c>
      <c r="B43" s="214">
        <v>357392.13</v>
      </c>
      <c r="C43" s="3598">
        <v>255090.02900000001</v>
      </c>
      <c r="D43" s="3598">
        <v>430990.71099999989</v>
      </c>
      <c r="E43" s="2360">
        <f t="shared" si="1"/>
        <v>1043472.8699999999</v>
      </c>
      <c r="F43" s="572">
        <v>2938.4530000000004</v>
      </c>
      <c r="G43" s="3598">
        <v>176441.82799999998</v>
      </c>
      <c r="H43" s="2393">
        <f t="shared" si="0"/>
        <v>251610.42999999993</v>
      </c>
    </row>
    <row r="44" spans="1:8">
      <c r="A44" s="53">
        <f t="shared" si="2"/>
        <v>2014.11</v>
      </c>
      <c r="B44" s="214">
        <v>359458.55599999998</v>
      </c>
      <c r="C44" s="3598">
        <v>245286.40799999997</v>
      </c>
      <c r="D44" s="3598">
        <v>404764.41499999992</v>
      </c>
      <c r="E44" s="2360">
        <f t="shared" si="1"/>
        <v>1009509.3789999998</v>
      </c>
      <c r="F44" s="572">
        <v>2944.4780000000001</v>
      </c>
      <c r="G44" s="3598">
        <v>175766.193</v>
      </c>
      <c r="H44" s="2393">
        <f t="shared" si="0"/>
        <v>226053.74399999992</v>
      </c>
    </row>
    <row r="45" spans="1:8">
      <c r="A45" s="53">
        <f t="shared" si="2"/>
        <v>2014.12</v>
      </c>
      <c r="B45" s="214">
        <v>434454.23199999996</v>
      </c>
      <c r="C45" s="3598">
        <v>254034.788</v>
      </c>
      <c r="D45" s="3598">
        <v>372840.25499999995</v>
      </c>
      <c r="E45" s="2360">
        <f t="shared" si="1"/>
        <v>1061329.2749999999</v>
      </c>
      <c r="F45" s="572">
        <v>3319.6509999999998</v>
      </c>
      <c r="G45" s="3598">
        <v>166722.81900000002</v>
      </c>
      <c r="H45" s="2393">
        <f t="shared" si="0"/>
        <v>202797.78499999992</v>
      </c>
    </row>
    <row r="46" spans="1:8">
      <c r="A46" s="53">
        <f t="shared" si="2"/>
        <v>2015.01</v>
      </c>
      <c r="B46" s="214">
        <v>478291.45</v>
      </c>
      <c r="C46" s="3598">
        <v>278680.25299999997</v>
      </c>
      <c r="D46" s="3598">
        <v>354466.60300000012</v>
      </c>
      <c r="E46" s="2360">
        <f t="shared" si="1"/>
        <v>1111438.3060000001</v>
      </c>
      <c r="F46" s="572">
        <v>3502.8</v>
      </c>
      <c r="G46" s="3598">
        <v>181278.44</v>
      </c>
      <c r="H46" s="2393">
        <f t="shared" si="0"/>
        <v>169685.36300000013</v>
      </c>
    </row>
    <row r="47" spans="1:8">
      <c r="A47" s="53">
        <f t="shared" si="2"/>
        <v>2015.02</v>
      </c>
      <c r="B47" s="214">
        <v>419860.41200000007</v>
      </c>
      <c r="C47" s="3598">
        <v>245316.58099999998</v>
      </c>
      <c r="D47" s="3598">
        <v>373962.60899999994</v>
      </c>
      <c r="E47" s="2360">
        <f t="shared" si="1"/>
        <v>1039139.602</v>
      </c>
      <c r="F47" s="572">
        <v>3091.5430000000001</v>
      </c>
      <c r="G47" s="3598">
        <v>160691.15000000002</v>
      </c>
      <c r="H47" s="2393">
        <f t="shared" si="0"/>
        <v>210179.91599999991</v>
      </c>
    </row>
    <row r="48" spans="1:8">
      <c r="A48" s="53">
        <f t="shared" si="2"/>
        <v>2015.03</v>
      </c>
      <c r="B48" s="214">
        <v>432797.94900000002</v>
      </c>
      <c r="C48" s="3598">
        <v>288873.85000000003</v>
      </c>
      <c r="D48" s="3598">
        <v>400037.23999999993</v>
      </c>
      <c r="E48" s="2360">
        <f t="shared" si="1"/>
        <v>1121709.0390000001</v>
      </c>
      <c r="F48" s="572">
        <v>3270.1060000000002</v>
      </c>
      <c r="G48" s="3598">
        <v>166730.603</v>
      </c>
      <c r="H48" s="2393">
        <f t="shared" si="0"/>
        <v>230036.5309999999</v>
      </c>
    </row>
    <row r="49" spans="1:8">
      <c r="A49" s="53">
        <f t="shared" si="2"/>
        <v>2015.04</v>
      </c>
      <c r="B49" s="214">
        <v>329149.29200000002</v>
      </c>
      <c r="C49" s="3598">
        <v>250170.179</v>
      </c>
      <c r="D49" s="3598">
        <v>411636.52900000004</v>
      </c>
      <c r="E49" s="2360">
        <f t="shared" si="1"/>
        <v>990956</v>
      </c>
      <c r="F49" s="572">
        <v>2863.6850000000004</v>
      </c>
      <c r="G49" s="3598">
        <v>182113.32800000001</v>
      </c>
      <c r="H49" s="2393">
        <f t="shared" si="0"/>
        <v>226659.51600000003</v>
      </c>
    </row>
    <row r="50" spans="1:8">
      <c r="A50" s="53">
        <f t="shared" si="2"/>
        <v>2015.05</v>
      </c>
      <c r="B50" s="214">
        <v>350085.34399999992</v>
      </c>
      <c r="C50" s="3598">
        <v>251172.34699999998</v>
      </c>
      <c r="D50" s="3598">
        <v>373100.17100000003</v>
      </c>
      <c r="E50" s="2360">
        <f t="shared" si="1"/>
        <v>974357.86199999996</v>
      </c>
      <c r="F50" s="572">
        <v>2620.1530000000002</v>
      </c>
      <c r="G50" s="3598">
        <v>157980.152</v>
      </c>
      <c r="H50" s="2393">
        <f t="shared" si="0"/>
        <v>212499.86600000004</v>
      </c>
    </row>
    <row r="51" spans="1:8">
      <c r="A51" s="53">
        <f t="shared" si="2"/>
        <v>2015.06</v>
      </c>
      <c r="B51" s="214">
        <v>389522.17200000002</v>
      </c>
      <c r="C51" s="3598">
        <v>254462.98500000002</v>
      </c>
      <c r="D51" s="3598">
        <v>429460.80099999992</v>
      </c>
      <c r="E51" s="2360">
        <f t="shared" si="1"/>
        <v>1073445.9579999999</v>
      </c>
      <c r="F51" s="572">
        <v>2384.6280000000002</v>
      </c>
      <c r="G51" s="3598">
        <v>183998.26299999998</v>
      </c>
      <c r="H51" s="2393">
        <f t="shared" si="0"/>
        <v>243077.90999999992</v>
      </c>
    </row>
    <row r="52" spans="1:8">
      <c r="A52" s="53">
        <f t="shared" si="2"/>
        <v>2015.07</v>
      </c>
      <c r="B52" s="214">
        <v>430920.95899999997</v>
      </c>
      <c r="C52" s="3598">
        <v>271501.57500000001</v>
      </c>
      <c r="D52" s="3598">
        <v>409762.7460000001</v>
      </c>
      <c r="E52" s="2360">
        <f t="shared" si="1"/>
        <v>1112185.28</v>
      </c>
      <c r="F52" s="572">
        <v>2441.1310000000003</v>
      </c>
      <c r="G52" s="3598">
        <v>182057.77600000001</v>
      </c>
      <c r="H52" s="2393">
        <f t="shared" si="0"/>
        <v>225263.83900000009</v>
      </c>
    </row>
    <row r="53" spans="1:8">
      <c r="A53" s="53">
        <f t="shared" si="2"/>
        <v>2015.08</v>
      </c>
      <c r="B53" s="214">
        <v>377845.87199999997</v>
      </c>
      <c r="C53" s="3598">
        <v>258446.09099999999</v>
      </c>
      <c r="D53" s="3598">
        <v>437546.41499999998</v>
      </c>
      <c r="E53" s="2360">
        <f t="shared" si="1"/>
        <v>1073838.378</v>
      </c>
      <c r="F53" s="572">
        <v>2497.1930000000002</v>
      </c>
      <c r="G53" s="3598">
        <v>177397.55299999999</v>
      </c>
      <c r="H53" s="2393">
        <f t="shared" si="0"/>
        <v>257651.66899999997</v>
      </c>
    </row>
    <row r="54" spans="1:8">
      <c r="A54" s="53">
        <f t="shared" si="2"/>
        <v>2015.09</v>
      </c>
      <c r="B54" s="214">
        <v>328909.00900000002</v>
      </c>
      <c r="C54" s="3598">
        <v>241731.76799999998</v>
      </c>
      <c r="D54" s="3598">
        <v>412051.34700000001</v>
      </c>
      <c r="E54" s="2360">
        <f t="shared" si="1"/>
        <v>982692.12400000007</v>
      </c>
      <c r="F54" s="572">
        <v>2421.5510000000004</v>
      </c>
      <c r="G54" s="3598">
        <v>170167.07800000001</v>
      </c>
      <c r="H54" s="2393">
        <f t="shared" si="0"/>
        <v>239462.71800000002</v>
      </c>
    </row>
    <row r="55" spans="1:8">
      <c r="A55" s="53">
        <f t="shared" si="2"/>
        <v>2015.1</v>
      </c>
      <c r="B55" s="214">
        <v>314080.77400000003</v>
      </c>
      <c r="C55" s="3598">
        <v>250766.16699999999</v>
      </c>
      <c r="D55" s="3598">
        <v>423128.69400000008</v>
      </c>
      <c r="E55" s="2360">
        <f t="shared" si="1"/>
        <v>987975.63500000001</v>
      </c>
      <c r="F55" s="572">
        <v>2547.6999999999998</v>
      </c>
      <c r="G55" s="3598">
        <v>168001.04300000001</v>
      </c>
      <c r="H55" s="2393">
        <f t="shared" si="0"/>
        <v>252579.95100000006</v>
      </c>
    </row>
    <row r="56" spans="1:8">
      <c r="A56" s="53">
        <f t="shared" si="2"/>
        <v>2015.11</v>
      </c>
      <c r="B56" s="214">
        <v>335938.01</v>
      </c>
      <c r="C56" s="3598">
        <v>243473.24099999998</v>
      </c>
      <c r="D56" s="3598">
        <v>405032.29700000008</v>
      </c>
      <c r="E56" s="2360">
        <f t="shared" si="1"/>
        <v>984443.54799999995</v>
      </c>
      <c r="F56" s="572">
        <v>2698.8220000000001</v>
      </c>
      <c r="G56" s="3598">
        <v>176186.65</v>
      </c>
      <c r="H56" s="2393">
        <f t="shared" si="0"/>
        <v>226146.8250000001</v>
      </c>
    </row>
    <row r="57" spans="1:8">
      <c r="A57" s="53">
        <f t="shared" si="2"/>
        <v>2015.12</v>
      </c>
      <c r="B57" s="214">
        <v>470626.625</v>
      </c>
      <c r="C57" s="3598">
        <v>296862.804</v>
      </c>
      <c r="D57" s="3598">
        <v>390136.14100000006</v>
      </c>
      <c r="E57" s="2360">
        <f t="shared" si="1"/>
        <v>1157625.57</v>
      </c>
      <c r="F57" s="572">
        <v>3166.4589999999998</v>
      </c>
      <c r="G57" s="3598">
        <v>186154.06199999998</v>
      </c>
      <c r="H57" s="2393">
        <f t="shared" si="0"/>
        <v>200815.62000000011</v>
      </c>
    </row>
    <row r="58" spans="1:8">
      <c r="A58" s="53">
        <f t="shared" si="2"/>
        <v>2016.01</v>
      </c>
      <c r="B58" s="214">
        <v>552562.22199999995</v>
      </c>
      <c r="C58" s="3598">
        <v>324914.386</v>
      </c>
      <c r="D58" s="3598">
        <v>379269.61799999996</v>
      </c>
      <c r="E58" s="2360">
        <f t="shared" si="1"/>
        <v>1256746.226</v>
      </c>
      <c r="F58" s="572">
        <v>3312.2820000000002</v>
      </c>
      <c r="G58" s="3598">
        <v>186992.62899999999</v>
      </c>
      <c r="H58" s="2393">
        <f t="shared" si="0"/>
        <v>188964.70699999997</v>
      </c>
    </row>
    <row r="59" spans="1:8">
      <c r="A59" s="53">
        <f t="shared" si="2"/>
        <v>2016.02</v>
      </c>
      <c r="B59" s="214">
        <v>467729.02799999999</v>
      </c>
      <c r="C59" s="3598">
        <v>329667.04599999997</v>
      </c>
      <c r="D59" s="3598">
        <v>396149.77500000002</v>
      </c>
      <c r="E59" s="2360">
        <f t="shared" si="1"/>
        <v>1193545.8489999999</v>
      </c>
      <c r="F59" s="572">
        <v>3174.2939999999999</v>
      </c>
      <c r="G59" s="3598">
        <v>179775.86499999999</v>
      </c>
      <c r="H59" s="2393">
        <f t="shared" si="0"/>
        <v>213199.61600000004</v>
      </c>
    </row>
    <row r="60" spans="1:8">
      <c r="A60" s="53">
        <f t="shared" si="2"/>
        <v>2016.03</v>
      </c>
      <c r="B60" s="214">
        <v>346461.342</v>
      </c>
      <c r="C60" s="3598">
        <v>277791.16600000003</v>
      </c>
      <c r="D60" s="3598">
        <v>370019.88099999994</v>
      </c>
      <c r="E60" s="2360">
        <f t="shared" si="1"/>
        <v>994272.38899999997</v>
      </c>
      <c r="F60" s="572">
        <v>2974.431</v>
      </c>
      <c r="G60" s="3598">
        <v>175377.36199999999</v>
      </c>
      <c r="H60" s="2393">
        <f t="shared" si="0"/>
        <v>191668.08799999996</v>
      </c>
    </row>
    <row r="61" spans="1:8">
      <c r="A61" s="53">
        <f t="shared" si="2"/>
        <v>2016.04</v>
      </c>
      <c r="B61" s="214">
        <v>322946.96999999997</v>
      </c>
      <c r="C61" s="3598">
        <v>267085.91200000001</v>
      </c>
      <c r="D61" s="3598">
        <v>363919.09900000005</v>
      </c>
      <c r="E61" s="2360">
        <f t="shared" si="1"/>
        <v>953951.98100000003</v>
      </c>
      <c r="F61" s="572">
        <v>2609.08</v>
      </c>
      <c r="G61" s="3598">
        <v>176816.44</v>
      </c>
      <c r="H61" s="2393">
        <f t="shared" si="0"/>
        <v>184493.57900000003</v>
      </c>
    </row>
    <row r="62" spans="1:8">
      <c r="A62" s="53">
        <f t="shared" si="2"/>
        <v>2016.05</v>
      </c>
      <c r="B62" s="214">
        <v>369261.30499999999</v>
      </c>
      <c r="C62" s="3598">
        <v>291207.72200000001</v>
      </c>
      <c r="D62" s="3598">
        <v>383002.84899999999</v>
      </c>
      <c r="E62" s="2360">
        <f t="shared" si="1"/>
        <v>1043471.8759999999</v>
      </c>
      <c r="F62" s="572">
        <v>2406.7430000000004</v>
      </c>
      <c r="G62" s="3598">
        <v>178166.766</v>
      </c>
      <c r="H62" s="2393">
        <f t="shared" si="0"/>
        <v>202429.33999999997</v>
      </c>
    </row>
    <row r="63" spans="1:8">
      <c r="A63" s="53">
        <f t="shared" si="2"/>
        <v>2016.06</v>
      </c>
      <c r="B63" s="214">
        <v>418369.63399999996</v>
      </c>
      <c r="C63" s="3598">
        <v>304934.37900000002</v>
      </c>
      <c r="D63" s="3598">
        <v>385862.96299999993</v>
      </c>
      <c r="E63" s="2360">
        <f t="shared" si="1"/>
        <v>1109166.976</v>
      </c>
      <c r="F63" s="572">
        <v>2293.1080000000002</v>
      </c>
      <c r="G63" s="3598">
        <v>173505.34400000001</v>
      </c>
      <c r="H63" s="2393">
        <f t="shared" si="0"/>
        <v>210064.51099999991</v>
      </c>
    </row>
    <row r="64" spans="1:8">
      <c r="A64" s="53">
        <f t="shared" si="2"/>
        <v>2016.07</v>
      </c>
      <c r="B64" s="214">
        <v>424952.96799999999</v>
      </c>
      <c r="C64" s="3598">
        <v>311294.28700000001</v>
      </c>
      <c r="D64" s="3598">
        <v>361427.62199999992</v>
      </c>
      <c r="E64" s="2360">
        <f t="shared" si="1"/>
        <v>1097674.8769999999</v>
      </c>
      <c r="F64" s="572">
        <v>2394.2920000000004</v>
      </c>
      <c r="G64" s="3598">
        <v>172469.114</v>
      </c>
      <c r="H64" s="2393">
        <f t="shared" si="0"/>
        <v>186564.2159999999</v>
      </c>
    </row>
    <row r="65" spans="1:8">
      <c r="A65" s="53">
        <f t="shared" si="2"/>
        <v>2016.08</v>
      </c>
      <c r="B65" s="214">
        <v>344400.69500000001</v>
      </c>
      <c r="C65" s="3598">
        <v>280863.18900000001</v>
      </c>
      <c r="D65" s="3598">
        <v>362006.74000000005</v>
      </c>
      <c r="E65" s="2360">
        <f t="shared" si="1"/>
        <v>987270.62400000007</v>
      </c>
      <c r="F65" s="572">
        <v>2370.1419999999998</v>
      </c>
      <c r="G65" s="3598">
        <v>178243.20499999999</v>
      </c>
      <c r="H65" s="2393">
        <f t="shared" si="0"/>
        <v>181393.39300000007</v>
      </c>
    </row>
    <row r="66" spans="1:8">
      <c r="A66" s="53">
        <f t="shared" si="2"/>
        <v>2016.09</v>
      </c>
      <c r="B66" s="214">
        <v>313209.71799999999</v>
      </c>
      <c r="C66" s="3598">
        <v>261856.90599999999</v>
      </c>
      <c r="D66" s="3598">
        <v>353434.76999999996</v>
      </c>
      <c r="E66" s="2360">
        <f t="shared" si="1"/>
        <v>928501.39399999985</v>
      </c>
      <c r="F66" s="572">
        <v>2282.2860000000001</v>
      </c>
      <c r="G66" s="3598">
        <v>166391.315</v>
      </c>
      <c r="H66" s="2393">
        <f t="shared" si="0"/>
        <v>184761.16899999994</v>
      </c>
    </row>
    <row r="67" spans="1:8">
      <c r="A67" s="53">
        <f t="shared" si="2"/>
        <v>2016.1</v>
      </c>
      <c r="B67" s="214">
        <v>293464.92800000001</v>
      </c>
      <c r="C67" s="3598">
        <v>250431.14199999999</v>
      </c>
      <c r="D67" s="3598">
        <v>361315.19099999999</v>
      </c>
      <c r="E67" s="2360">
        <f t="shared" si="1"/>
        <v>905211.26100000006</v>
      </c>
      <c r="F67" s="572">
        <v>2557.462</v>
      </c>
      <c r="G67" s="3598">
        <v>161985.038</v>
      </c>
      <c r="H67" s="2393">
        <f t="shared" si="0"/>
        <v>196772.69099999999</v>
      </c>
    </row>
    <row r="68" spans="1:8">
      <c r="A68" s="53">
        <f t="shared" si="2"/>
        <v>2016.11</v>
      </c>
      <c r="B68" s="214">
        <v>326988.41099999996</v>
      </c>
      <c r="C68" s="3598">
        <v>259430.46299999999</v>
      </c>
      <c r="D68" s="3598">
        <v>367412.87700000004</v>
      </c>
      <c r="E68" s="2360">
        <f t="shared" si="1"/>
        <v>953831.75099999993</v>
      </c>
      <c r="F68" s="572">
        <v>2711.4580000000001</v>
      </c>
      <c r="G68" s="3598">
        <v>167419.62600000002</v>
      </c>
      <c r="H68" s="2393">
        <f t="shared" si="0"/>
        <v>197281.79300000003</v>
      </c>
    </row>
    <row r="69" spans="1:8">
      <c r="A69" s="53">
        <f t="shared" si="2"/>
        <v>2016.12</v>
      </c>
      <c r="B69" s="214">
        <v>435859.07</v>
      </c>
      <c r="C69" s="3598">
        <v>318224.94799999997</v>
      </c>
      <c r="D69" s="3598">
        <v>338773.364</v>
      </c>
      <c r="E69" s="2360">
        <f t="shared" si="1"/>
        <v>1092857.382</v>
      </c>
      <c r="F69" s="572">
        <v>3066.7629999999999</v>
      </c>
      <c r="G69" s="3598">
        <v>179917.652</v>
      </c>
      <c r="H69" s="2393">
        <f t="shared" si="0"/>
        <v>155788.94900000002</v>
      </c>
    </row>
    <row r="70" spans="1:8">
      <c r="A70" s="53">
        <f t="shared" si="2"/>
        <v>2017.01</v>
      </c>
      <c r="B70" s="214">
        <v>487466.65899999999</v>
      </c>
      <c r="C70" s="3598">
        <v>336509.18900000001</v>
      </c>
      <c r="D70" s="3598">
        <v>345025.54399999994</v>
      </c>
      <c r="E70" s="2360">
        <f t="shared" si="1"/>
        <v>1169001.392</v>
      </c>
      <c r="F70" s="572">
        <v>3256.6480000000001</v>
      </c>
      <c r="G70" s="3598">
        <v>182308.891</v>
      </c>
      <c r="H70" s="2393">
        <f t="shared" si="0"/>
        <v>159460.00499999995</v>
      </c>
    </row>
    <row r="71" spans="1:8">
      <c r="A71" s="53">
        <f t="shared" si="2"/>
        <v>2017.02</v>
      </c>
      <c r="B71" s="214">
        <v>406501.31200000003</v>
      </c>
      <c r="C71" s="3598">
        <v>295574.60700000002</v>
      </c>
      <c r="D71" s="3598">
        <v>354652.37299999996</v>
      </c>
      <c r="E71" s="2360">
        <f t="shared" si="1"/>
        <v>1056728.2919999999</v>
      </c>
      <c r="F71" s="572">
        <v>2880.11</v>
      </c>
      <c r="G71" s="3598">
        <v>173315.318</v>
      </c>
      <c r="H71" s="2393">
        <f t="shared" si="0"/>
        <v>178456.94499999998</v>
      </c>
    </row>
    <row r="72" spans="1:8">
      <c r="A72" s="53">
        <f t="shared" si="2"/>
        <v>2017.03</v>
      </c>
      <c r="B72" s="214">
        <v>386619.72899999999</v>
      </c>
      <c r="C72" s="3598">
        <v>299825.95500000002</v>
      </c>
      <c r="D72" s="3598">
        <v>391343.9420000001</v>
      </c>
      <c r="E72" s="2360">
        <f t="shared" si="1"/>
        <v>1077789.6260000002</v>
      </c>
      <c r="F72" s="572">
        <v>2935.7240000000002</v>
      </c>
      <c r="G72" s="3598">
        <v>176403.96100000001</v>
      </c>
      <c r="H72" s="2393">
        <f t="shared" si="0"/>
        <v>212004.2570000001</v>
      </c>
    </row>
    <row r="73" spans="1:8">
      <c r="A73" s="53">
        <f t="shared" si="2"/>
        <v>2017.04</v>
      </c>
      <c r="B73" s="214">
        <v>294874.647</v>
      </c>
      <c r="C73" s="3598">
        <v>256014.78899999999</v>
      </c>
      <c r="D73" s="3598">
        <v>378247.29599999997</v>
      </c>
      <c r="E73" s="2360">
        <f t="shared" si="1"/>
        <v>929136.73199999996</v>
      </c>
      <c r="F73" s="572">
        <v>2484.4290000000001</v>
      </c>
      <c r="G73" s="3598">
        <v>177038.12599999999</v>
      </c>
      <c r="H73" s="2393">
        <f t="shared" si="0"/>
        <v>198724.74099999998</v>
      </c>
    </row>
    <row r="74" spans="1:8">
      <c r="A74" s="53">
        <f t="shared" si="2"/>
        <v>2017.05</v>
      </c>
      <c r="B74" s="214">
        <v>355817.65800000005</v>
      </c>
      <c r="C74" s="3598">
        <v>258913.18700000001</v>
      </c>
      <c r="D74" s="3598">
        <v>402295.49599999998</v>
      </c>
      <c r="E74" s="2360">
        <f t="shared" si="1"/>
        <v>1017026.341</v>
      </c>
      <c r="F74" s="572">
        <v>2462.701</v>
      </c>
      <c r="G74" s="3598">
        <v>184980.45500000002</v>
      </c>
      <c r="H74" s="2393">
        <f t="shared" si="0"/>
        <v>214852.33999999997</v>
      </c>
    </row>
    <row r="75" spans="1:8">
      <c r="A75" s="53">
        <f t="shared" si="2"/>
        <v>2017.06</v>
      </c>
      <c r="B75" s="214">
        <v>374713.902</v>
      </c>
      <c r="C75" s="3598">
        <v>290750.22899999999</v>
      </c>
      <c r="D75" s="3598">
        <v>379050.95400000003</v>
      </c>
      <c r="E75" s="2360">
        <f t="shared" si="1"/>
        <v>1044515.0850000001</v>
      </c>
      <c r="F75" s="572">
        <v>2224.991</v>
      </c>
      <c r="G75" s="3598">
        <v>176656.14</v>
      </c>
      <c r="H75" s="2393">
        <f t="shared" ref="H75:H138" si="3">D75-F75-G75</f>
        <v>200169.82300000003</v>
      </c>
    </row>
    <row r="76" spans="1:8">
      <c r="A76" s="53">
        <f t="shared" si="2"/>
        <v>2017.07</v>
      </c>
      <c r="B76" s="214">
        <v>384097.03600000002</v>
      </c>
      <c r="C76" s="3598">
        <v>298410.12699999998</v>
      </c>
      <c r="D76" s="3598">
        <v>383270.36199999996</v>
      </c>
      <c r="E76" s="2360">
        <f t="shared" ref="E76:E139" si="4">SUM(B76:D76)</f>
        <v>1065777.5249999999</v>
      </c>
      <c r="F76" s="572">
        <v>2313.4960000000001</v>
      </c>
      <c r="G76" s="3598">
        <v>178559.899</v>
      </c>
      <c r="H76" s="2393">
        <f t="shared" si="3"/>
        <v>202396.96699999998</v>
      </c>
    </row>
    <row r="77" spans="1:8">
      <c r="A77" s="53">
        <f t="shared" si="2"/>
        <v>2017.08</v>
      </c>
      <c r="B77" s="214">
        <v>347802.38799999998</v>
      </c>
      <c r="C77" s="3598">
        <v>283229.5</v>
      </c>
      <c r="D77" s="3598">
        <v>379895.435</v>
      </c>
      <c r="E77" s="2360">
        <f t="shared" si="4"/>
        <v>1010927.3230000001</v>
      </c>
      <c r="F77" s="572">
        <v>2346.453</v>
      </c>
      <c r="G77" s="3598">
        <v>173707.39199999999</v>
      </c>
      <c r="H77" s="2393">
        <f t="shared" si="3"/>
        <v>203841.59000000003</v>
      </c>
    </row>
    <row r="78" spans="1:8">
      <c r="A78" s="53">
        <f t="shared" si="2"/>
        <v>2017.09</v>
      </c>
      <c r="B78" s="214">
        <v>305419.33199999999</v>
      </c>
      <c r="C78" s="3598">
        <v>262032.74900000001</v>
      </c>
      <c r="D78" s="3598">
        <v>373258.39799999999</v>
      </c>
      <c r="E78" s="2360">
        <f t="shared" si="4"/>
        <v>940710.47900000005</v>
      </c>
      <c r="F78" s="572">
        <v>2305.317</v>
      </c>
      <c r="G78" s="3598">
        <v>167217.90700000001</v>
      </c>
      <c r="H78" s="2393">
        <f t="shared" si="3"/>
        <v>203735.174</v>
      </c>
    </row>
    <row r="79" spans="1:8">
      <c r="A79" s="53">
        <f t="shared" si="2"/>
        <v>2017.1</v>
      </c>
      <c r="B79" s="214">
        <v>298034.08199999999</v>
      </c>
      <c r="C79" s="3598">
        <v>255932.13200000001</v>
      </c>
      <c r="D79" s="3598">
        <v>391241.92599999998</v>
      </c>
      <c r="E79" s="2360">
        <f t="shared" si="4"/>
        <v>945208.14</v>
      </c>
      <c r="F79" s="572">
        <v>2495.4800000000005</v>
      </c>
      <c r="G79" s="3598">
        <v>166044.42799999999</v>
      </c>
      <c r="H79" s="2393">
        <f t="shared" si="3"/>
        <v>222702.01800000001</v>
      </c>
    </row>
    <row r="80" spans="1:8">
      <c r="A80" s="53">
        <f t="shared" si="2"/>
        <v>2017.11</v>
      </c>
      <c r="B80" s="214">
        <v>321651.86800000002</v>
      </c>
      <c r="C80" s="3598">
        <v>263625.19500000001</v>
      </c>
      <c r="D80" s="3598">
        <v>389141.00799999997</v>
      </c>
      <c r="E80" s="2360">
        <f t="shared" si="4"/>
        <v>974418.071</v>
      </c>
      <c r="F80" s="572">
        <v>2555.3990000000003</v>
      </c>
      <c r="G80" s="3598">
        <v>171976.15699999998</v>
      </c>
      <c r="H80" s="2393">
        <f t="shared" si="3"/>
        <v>214609.45200000002</v>
      </c>
    </row>
    <row r="81" spans="1:8">
      <c r="A81" s="53">
        <f t="shared" si="2"/>
        <v>2017.12</v>
      </c>
      <c r="B81" s="214">
        <v>451431.24700000003</v>
      </c>
      <c r="C81" s="3598">
        <v>320097.30699999997</v>
      </c>
      <c r="D81" s="3598">
        <v>345801.0610000001</v>
      </c>
      <c r="E81" s="2360">
        <f t="shared" si="4"/>
        <v>1117329.6150000002</v>
      </c>
      <c r="F81" s="572">
        <v>3023.5839999999998</v>
      </c>
      <c r="G81" s="3598">
        <v>165583.03</v>
      </c>
      <c r="H81" s="2393">
        <f t="shared" si="3"/>
        <v>177194.44700000013</v>
      </c>
    </row>
    <row r="82" spans="1:8">
      <c r="A82" s="53">
        <f t="shared" si="2"/>
        <v>2018.01</v>
      </c>
      <c r="B82" s="214">
        <v>487638.43299999996</v>
      </c>
      <c r="C82" s="3598">
        <v>327841.64899999998</v>
      </c>
      <c r="D82" s="3598">
        <v>366142.56600000005</v>
      </c>
      <c r="E82" s="2360">
        <f t="shared" si="4"/>
        <v>1181622.648</v>
      </c>
      <c r="F82" s="572">
        <v>3135.9639999999999</v>
      </c>
      <c r="G82" s="3598">
        <v>181616.065</v>
      </c>
      <c r="H82" s="2393">
        <f t="shared" si="3"/>
        <v>181390.53700000007</v>
      </c>
    </row>
    <row r="83" spans="1:8">
      <c r="A83" s="53">
        <f t="shared" si="2"/>
        <v>2018.02</v>
      </c>
      <c r="B83" s="214">
        <v>456531.18299999996</v>
      </c>
      <c r="C83" s="3598">
        <v>306675.16499999998</v>
      </c>
      <c r="D83" s="3598">
        <v>396532.25799999991</v>
      </c>
      <c r="E83" s="2360">
        <f t="shared" si="4"/>
        <v>1159738.6059999999</v>
      </c>
      <c r="F83" s="572">
        <v>2879.3630000000003</v>
      </c>
      <c r="G83" s="3598">
        <v>178282.3</v>
      </c>
      <c r="H83" s="2393">
        <f t="shared" si="3"/>
        <v>215370.59499999991</v>
      </c>
    </row>
    <row r="84" spans="1:8">
      <c r="A84" s="53">
        <f t="shared" si="2"/>
        <v>2018.03</v>
      </c>
      <c r="B84" s="214">
        <v>384643.62100000004</v>
      </c>
      <c r="C84" s="3598">
        <v>297471.26799999998</v>
      </c>
      <c r="D84" s="3598">
        <v>420116.859</v>
      </c>
      <c r="E84" s="2360">
        <f t="shared" si="4"/>
        <v>1102231.7479999999</v>
      </c>
      <c r="F84" s="572">
        <v>2802.3680000000004</v>
      </c>
      <c r="G84" s="3598">
        <v>180405.20500000002</v>
      </c>
      <c r="H84" s="2393">
        <f t="shared" si="3"/>
        <v>236909.28599999996</v>
      </c>
    </row>
    <row r="85" spans="1:8">
      <c r="A85" s="53">
        <f t="shared" si="2"/>
        <v>2018.04</v>
      </c>
      <c r="B85" s="214">
        <v>337165.516</v>
      </c>
      <c r="C85" s="3598">
        <v>282368.37900000002</v>
      </c>
      <c r="D85" s="3598">
        <v>424883.00799999997</v>
      </c>
      <c r="E85" s="2360">
        <f t="shared" si="4"/>
        <v>1044416.9029999999</v>
      </c>
      <c r="F85" s="572">
        <v>2683.3060000000005</v>
      </c>
      <c r="G85" s="3598">
        <v>185985.769</v>
      </c>
      <c r="H85" s="2393">
        <f t="shared" si="3"/>
        <v>236213.93299999999</v>
      </c>
    </row>
    <row r="86" spans="1:8">
      <c r="A86" s="53">
        <f t="shared" si="2"/>
        <v>2018.05</v>
      </c>
      <c r="B86" s="214">
        <v>326044.48300000001</v>
      </c>
      <c r="C86" s="3598">
        <v>271961.538</v>
      </c>
      <c r="D86" s="3598">
        <v>422647.13300000009</v>
      </c>
      <c r="E86" s="2360">
        <f t="shared" si="4"/>
        <v>1020653.1540000001</v>
      </c>
      <c r="F86" s="572">
        <v>2347.8580000000002</v>
      </c>
      <c r="G86" s="3598">
        <v>178189.45</v>
      </c>
      <c r="H86" s="2393">
        <f t="shared" si="3"/>
        <v>242109.82500000007</v>
      </c>
    </row>
    <row r="87" spans="1:8">
      <c r="A87" s="53">
        <f t="shared" ref="A87:A150" si="5">A75+1</f>
        <v>2018.06</v>
      </c>
      <c r="B87" s="214">
        <v>402932.79800000001</v>
      </c>
      <c r="C87" s="3598">
        <v>302235.402</v>
      </c>
      <c r="D87" s="3598">
        <v>396048.13199999993</v>
      </c>
      <c r="E87" s="2360">
        <f t="shared" si="4"/>
        <v>1101216.3319999999</v>
      </c>
      <c r="F87" s="572">
        <v>2199.348</v>
      </c>
      <c r="G87" s="3598">
        <v>170578.48300000001</v>
      </c>
      <c r="H87" s="2393">
        <f t="shared" si="3"/>
        <v>223270.30099999992</v>
      </c>
    </row>
    <row r="88" spans="1:8">
      <c r="A88" s="53">
        <f t="shared" si="5"/>
        <v>2018.07</v>
      </c>
      <c r="B88" s="214">
        <v>445528.27799999999</v>
      </c>
      <c r="C88" s="3598">
        <v>319241.413</v>
      </c>
      <c r="D88" s="3598">
        <v>385146.49600000004</v>
      </c>
      <c r="E88" s="2360">
        <f t="shared" si="4"/>
        <v>1149916.1869999999</v>
      </c>
      <c r="F88" s="572">
        <v>2363.1970000000001</v>
      </c>
      <c r="G88" s="3598">
        <v>162551.774</v>
      </c>
      <c r="H88" s="2393">
        <f t="shared" si="3"/>
        <v>220231.52500000005</v>
      </c>
    </row>
    <row r="89" spans="1:8">
      <c r="A89" s="53">
        <f t="shared" si="5"/>
        <v>2018.08</v>
      </c>
      <c r="B89" s="214">
        <v>400168.88600000006</v>
      </c>
      <c r="C89" s="3598">
        <v>295061.61700000003</v>
      </c>
      <c r="D89" s="3598">
        <v>378793.23199999996</v>
      </c>
      <c r="E89" s="2360">
        <f t="shared" si="4"/>
        <v>1074023.7349999999</v>
      </c>
      <c r="F89" s="572">
        <v>2306.7400000000002</v>
      </c>
      <c r="G89" s="3598">
        <v>161576.14499999999</v>
      </c>
      <c r="H89" s="2393">
        <f t="shared" si="3"/>
        <v>214910.34699999998</v>
      </c>
    </row>
    <row r="90" spans="1:8">
      <c r="A90" s="53">
        <f t="shared" si="5"/>
        <v>2018.09</v>
      </c>
      <c r="B90" s="214">
        <v>291643.68099999998</v>
      </c>
      <c r="C90" s="3598">
        <v>242309.43599999999</v>
      </c>
      <c r="D90" s="3598">
        <v>358332.23100000003</v>
      </c>
      <c r="E90" s="2360">
        <f t="shared" si="4"/>
        <v>892285.348</v>
      </c>
      <c r="F90" s="572">
        <v>2250.8360000000002</v>
      </c>
      <c r="G90" s="3598">
        <v>152621.666</v>
      </c>
      <c r="H90" s="2393">
        <f t="shared" si="3"/>
        <v>203459.72900000002</v>
      </c>
    </row>
    <row r="91" spans="1:8">
      <c r="A91" s="53">
        <f t="shared" si="5"/>
        <v>2018.1</v>
      </c>
      <c r="B91" s="214">
        <v>290969.027</v>
      </c>
      <c r="C91" s="3598">
        <v>247940.90100000001</v>
      </c>
      <c r="D91" s="3598">
        <v>386953.73699999996</v>
      </c>
      <c r="E91" s="2360">
        <f t="shared" si="4"/>
        <v>925863.66500000004</v>
      </c>
      <c r="F91" s="572">
        <v>2228.2290000000003</v>
      </c>
      <c r="G91" s="3598">
        <v>166647.76199999999</v>
      </c>
      <c r="H91" s="2393">
        <f t="shared" si="3"/>
        <v>218077.74599999998</v>
      </c>
    </row>
    <row r="92" spans="1:8">
      <c r="A92" s="53">
        <f t="shared" si="5"/>
        <v>2018.11</v>
      </c>
      <c r="B92" s="214">
        <v>316106.02599999995</v>
      </c>
      <c r="C92" s="3598">
        <v>254856.77600000001</v>
      </c>
      <c r="D92" s="3598">
        <v>394249.25700000016</v>
      </c>
      <c r="E92" s="2360">
        <f t="shared" si="4"/>
        <v>965212.05900000012</v>
      </c>
      <c r="F92" s="572">
        <v>2424.857</v>
      </c>
      <c r="G92" s="3598">
        <v>166610.47500000001</v>
      </c>
      <c r="H92" s="2393">
        <f t="shared" si="3"/>
        <v>225213.92500000013</v>
      </c>
    </row>
    <row r="93" spans="1:8">
      <c r="A93" s="53">
        <f t="shared" si="5"/>
        <v>2018.12</v>
      </c>
      <c r="B93" s="214">
        <v>400200.37699999998</v>
      </c>
      <c r="C93" s="3598">
        <v>288139.65700000001</v>
      </c>
      <c r="D93" s="3598">
        <v>329100.859</v>
      </c>
      <c r="E93" s="2360">
        <f t="shared" si="4"/>
        <v>1017440.8929999999</v>
      </c>
      <c r="F93" s="572">
        <v>2632.777</v>
      </c>
      <c r="G93" s="3598">
        <v>161824.981</v>
      </c>
      <c r="H93" s="2393">
        <f t="shared" si="3"/>
        <v>164643.101</v>
      </c>
    </row>
    <row r="94" spans="1:8">
      <c r="A94" s="53">
        <f t="shared" si="5"/>
        <v>2019.01</v>
      </c>
      <c r="B94" s="214">
        <v>449278.924</v>
      </c>
      <c r="C94" s="3598">
        <v>308913.01500000001</v>
      </c>
      <c r="D94" s="3598">
        <v>342933.24699999997</v>
      </c>
      <c r="E94" s="2360">
        <f t="shared" si="4"/>
        <v>1101125.186</v>
      </c>
      <c r="F94" s="572">
        <v>2801.17</v>
      </c>
      <c r="G94" s="3598">
        <v>170932.02299999999</v>
      </c>
      <c r="H94" s="2393">
        <f t="shared" si="3"/>
        <v>169200.054</v>
      </c>
    </row>
    <row r="95" spans="1:8">
      <c r="A95" s="53">
        <f t="shared" si="5"/>
        <v>2019.02</v>
      </c>
      <c r="B95" s="214">
        <v>404681.02400000003</v>
      </c>
      <c r="C95" s="3598">
        <v>287194.658</v>
      </c>
      <c r="D95" s="3598">
        <v>363004.90500000003</v>
      </c>
      <c r="E95" s="2360">
        <f t="shared" si="4"/>
        <v>1054880.5870000001</v>
      </c>
      <c r="F95" s="572">
        <v>2518.6990000000001</v>
      </c>
      <c r="G95" s="3598">
        <v>171055.424</v>
      </c>
      <c r="H95" s="2393">
        <f t="shared" si="3"/>
        <v>189430.78200000001</v>
      </c>
    </row>
    <row r="96" spans="1:8">
      <c r="A96" s="53">
        <f t="shared" si="5"/>
        <v>2019.03</v>
      </c>
      <c r="B96" s="214">
        <v>331884.59999999998</v>
      </c>
      <c r="C96" s="3598">
        <v>260652.27000000002</v>
      </c>
      <c r="D96" s="3598">
        <v>367354.82899999997</v>
      </c>
      <c r="E96" s="2360">
        <f t="shared" si="4"/>
        <v>959891.69900000002</v>
      </c>
      <c r="F96" s="572">
        <v>2430.5749999999998</v>
      </c>
      <c r="G96" s="3598">
        <v>163524.13399999999</v>
      </c>
      <c r="H96" s="2393">
        <f t="shared" si="3"/>
        <v>201400.11999999997</v>
      </c>
    </row>
    <row r="97" spans="1:8">
      <c r="A97" s="53">
        <f t="shared" si="5"/>
        <v>2019.04</v>
      </c>
      <c r="B97" s="214">
        <v>290012.408</v>
      </c>
      <c r="C97" s="3598">
        <v>250599.046</v>
      </c>
      <c r="D97" s="3598">
        <v>408207.79699999996</v>
      </c>
      <c r="E97" s="2360">
        <f t="shared" si="4"/>
        <v>948819.25099999993</v>
      </c>
      <c r="F97" s="572">
        <v>2228.0820000000003</v>
      </c>
      <c r="G97" s="3598">
        <v>180253.454</v>
      </c>
      <c r="H97" s="2393">
        <f t="shared" si="3"/>
        <v>225726.26099999997</v>
      </c>
    </row>
    <row r="98" spans="1:8">
      <c r="A98" s="53">
        <f t="shared" si="5"/>
        <v>2019.05</v>
      </c>
      <c r="B98" s="214">
        <v>328872.89199999999</v>
      </c>
      <c r="C98" s="3598">
        <v>266020.71899999998</v>
      </c>
      <c r="D98" s="3598">
        <v>401536.19700000004</v>
      </c>
      <c r="E98" s="2360">
        <f t="shared" si="4"/>
        <v>996429.80800000008</v>
      </c>
      <c r="F98" s="572">
        <v>2076.183</v>
      </c>
      <c r="G98" s="3598">
        <v>174995.20800000001</v>
      </c>
      <c r="H98" s="2393">
        <f t="shared" si="3"/>
        <v>224464.80600000001</v>
      </c>
    </row>
    <row r="99" spans="1:8">
      <c r="A99" s="53">
        <f t="shared" si="5"/>
        <v>2019.06</v>
      </c>
      <c r="B99" s="214">
        <v>357125.15600000002</v>
      </c>
      <c r="C99" s="3598">
        <v>267345.86700000003</v>
      </c>
      <c r="D99" s="3598">
        <v>386700.52100000001</v>
      </c>
      <c r="E99" s="2360">
        <f t="shared" si="4"/>
        <v>1011171.544</v>
      </c>
      <c r="F99" s="572">
        <v>1957.0129999999999</v>
      </c>
      <c r="G99" s="3598">
        <v>169323.34</v>
      </c>
      <c r="H99" s="2393">
        <f t="shared" si="3"/>
        <v>215420.16800000003</v>
      </c>
    </row>
    <row r="100" spans="1:8">
      <c r="A100" s="53">
        <f t="shared" si="5"/>
        <v>2019.07</v>
      </c>
      <c r="B100" s="214">
        <v>427879.62900000002</v>
      </c>
      <c r="C100" s="3598">
        <v>300027.71799999999</v>
      </c>
      <c r="D100" s="3598">
        <v>384600.99899999989</v>
      </c>
      <c r="E100" s="2360">
        <f t="shared" si="4"/>
        <v>1112508.3459999999</v>
      </c>
      <c r="F100" s="572">
        <v>2049.049</v>
      </c>
      <c r="G100" s="3598">
        <v>176747.82799999998</v>
      </c>
      <c r="H100" s="2393">
        <f t="shared" si="3"/>
        <v>205804.12199999992</v>
      </c>
    </row>
    <row r="101" spans="1:8">
      <c r="A101" s="53">
        <f t="shared" si="5"/>
        <v>2019.08</v>
      </c>
      <c r="B101" s="214">
        <v>380202.467</v>
      </c>
      <c r="C101" s="3598">
        <v>288532.01799999998</v>
      </c>
      <c r="D101" s="3598">
        <v>394884.60600000015</v>
      </c>
      <c r="E101" s="2360">
        <f t="shared" si="4"/>
        <v>1063619.091</v>
      </c>
      <c r="F101" s="572">
        <v>1984.1979999999999</v>
      </c>
      <c r="G101" s="3598">
        <v>177283.71900000001</v>
      </c>
      <c r="H101" s="2393">
        <f t="shared" si="3"/>
        <v>215616.68900000016</v>
      </c>
    </row>
    <row r="102" spans="1:8">
      <c r="A102" s="53">
        <f t="shared" si="5"/>
        <v>2019.09</v>
      </c>
      <c r="B102" s="214">
        <v>310867.40499999997</v>
      </c>
      <c r="C102" s="3598">
        <v>253447.18799999999</v>
      </c>
      <c r="D102" s="3598">
        <v>367377.75199999998</v>
      </c>
      <c r="E102" s="2360">
        <f t="shared" si="4"/>
        <v>931692.34499999997</v>
      </c>
      <c r="F102" s="572">
        <v>1973.44</v>
      </c>
      <c r="G102" s="3598">
        <v>162289.14299999998</v>
      </c>
      <c r="H102" s="2393">
        <f t="shared" si="3"/>
        <v>203115.16899999999</v>
      </c>
    </row>
    <row r="103" spans="1:8">
      <c r="A103" s="53">
        <f t="shared" si="5"/>
        <v>2019.1</v>
      </c>
      <c r="B103" s="214">
        <v>307236.10100000002</v>
      </c>
      <c r="C103" s="3598">
        <v>253322.01500000001</v>
      </c>
      <c r="D103" s="3598">
        <v>384531.228</v>
      </c>
      <c r="E103" s="2360">
        <f t="shared" si="4"/>
        <v>945089.34400000004</v>
      </c>
      <c r="F103" s="572">
        <v>2195.7790000000005</v>
      </c>
      <c r="G103" s="3598">
        <v>176306.04400000002</v>
      </c>
      <c r="H103" s="2393">
        <f t="shared" si="3"/>
        <v>206029.405</v>
      </c>
    </row>
    <row r="104" spans="1:8">
      <c r="A104" s="53">
        <f t="shared" si="5"/>
        <v>2019.11</v>
      </c>
      <c r="B104" s="214">
        <v>343479.97699999996</v>
      </c>
      <c r="C104" s="3598">
        <v>270208.26400000002</v>
      </c>
      <c r="D104" s="3598">
        <v>368195.69499999995</v>
      </c>
      <c r="E104" s="2360">
        <f t="shared" si="4"/>
        <v>981883.93599999987</v>
      </c>
      <c r="F104" s="572">
        <v>2378.6620000000003</v>
      </c>
      <c r="G104" s="3598">
        <v>175208.01299999998</v>
      </c>
      <c r="H104" s="2393">
        <f t="shared" si="3"/>
        <v>190609.01999999996</v>
      </c>
    </row>
    <row r="105" spans="1:8">
      <c r="A105" s="53">
        <f t="shared" si="5"/>
        <v>2019.12</v>
      </c>
      <c r="B105" s="214">
        <v>406673.37700000004</v>
      </c>
      <c r="C105" s="3598">
        <v>288770.95899999997</v>
      </c>
      <c r="D105" s="3598">
        <v>318741.09000000003</v>
      </c>
      <c r="E105" s="2360">
        <f t="shared" si="4"/>
        <v>1014185.426</v>
      </c>
      <c r="F105" s="572">
        <v>2485.9340000000002</v>
      </c>
      <c r="G105" s="3598">
        <v>168415.71600000001</v>
      </c>
      <c r="H105" s="2393">
        <f t="shared" si="3"/>
        <v>147839.44</v>
      </c>
    </row>
    <row r="106" spans="1:8">
      <c r="A106" s="53">
        <f t="shared" si="5"/>
        <v>2020.01</v>
      </c>
      <c r="B106" s="214">
        <v>471982.91199999995</v>
      </c>
      <c r="C106" s="3598">
        <v>308147.91000000003</v>
      </c>
      <c r="D106" s="3598">
        <v>333480.31800000014</v>
      </c>
      <c r="E106" s="2360">
        <f t="shared" si="4"/>
        <v>1113611.1400000001</v>
      </c>
      <c r="F106" s="572">
        <v>2637.0820000000003</v>
      </c>
      <c r="G106" s="3598">
        <v>170380.984</v>
      </c>
      <c r="H106" s="2393">
        <f t="shared" si="3"/>
        <v>160462.25200000015</v>
      </c>
    </row>
    <row r="107" spans="1:8">
      <c r="A107" s="53">
        <f t="shared" si="5"/>
        <v>2020.02</v>
      </c>
      <c r="B107" s="214">
        <v>410196.82700000005</v>
      </c>
      <c r="C107" s="3598">
        <v>274446.598</v>
      </c>
      <c r="D107" s="3598">
        <v>345325.61300000001</v>
      </c>
      <c r="E107" s="2360">
        <f t="shared" si="4"/>
        <v>1029969.0380000001</v>
      </c>
      <c r="F107" s="572">
        <v>2417.1150000000002</v>
      </c>
      <c r="G107" s="3598">
        <v>161781.35999999999</v>
      </c>
      <c r="H107" s="2393">
        <f t="shared" si="3"/>
        <v>181127.13800000004</v>
      </c>
    </row>
    <row r="108" spans="1:8">
      <c r="A108" s="53">
        <f t="shared" si="5"/>
        <v>2020.03</v>
      </c>
      <c r="B108" s="214">
        <v>443997.25099999999</v>
      </c>
      <c r="C108" s="3598">
        <v>292409.56300000002</v>
      </c>
      <c r="D108" s="3598">
        <v>314505.15599999996</v>
      </c>
      <c r="E108" s="2360">
        <f t="shared" si="4"/>
        <v>1050911.97</v>
      </c>
      <c r="F108" s="572">
        <v>2029.2420000000002</v>
      </c>
      <c r="G108" s="3598">
        <v>158643.80600000001</v>
      </c>
      <c r="H108" s="2393">
        <f t="shared" si="3"/>
        <v>153832.10799999992</v>
      </c>
    </row>
    <row r="109" spans="1:8">
      <c r="A109" s="53">
        <f t="shared" si="5"/>
        <v>2020.04</v>
      </c>
      <c r="B109" s="214">
        <v>296063.52399999998</v>
      </c>
      <c r="C109" s="3598">
        <v>209915.791</v>
      </c>
      <c r="D109" s="3598">
        <v>246699.01200000005</v>
      </c>
      <c r="E109" s="2360">
        <f t="shared" si="4"/>
        <v>752678.32700000005</v>
      </c>
      <c r="F109" s="572">
        <v>1025.6010000000001</v>
      </c>
      <c r="G109" s="3598">
        <v>150884.71100000001</v>
      </c>
      <c r="H109" s="2393">
        <f t="shared" si="3"/>
        <v>94788.700000000041</v>
      </c>
    </row>
    <row r="110" spans="1:8">
      <c r="A110" s="53">
        <f t="shared" si="5"/>
        <v>2020.05</v>
      </c>
      <c r="B110" s="214">
        <v>351912.53</v>
      </c>
      <c r="C110" s="3598">
        <v>230480.73199999999</v>
      </c>
      <c r="D110" s="3598">
        <v>318487.0529999999</v>
      </c>
      <c r="E110" s="2360">
        <f t="shared" si="4"/>
        <v>900880.31499999994</v>
      </c>
      <c r="F110" s="572">
        <v>920.64</v>
      </c>
      <c r="G110" s="3598">
        <v>155258.568</v>
      </c>
      <c r="H110" s="2393">
        <f t="shared" si="3"/>
        <v>162307.84499999988</v>
      </c>
    </row>
    <row r="111" spans="1:8">
      <c r="A111" s="53">
        <f t="shared" si="5"/>
        <v>2020.06</v>
      </c>
      <c r="B111" s="214">
        <v>415905.788</v>
      </c>
      <c r="C111" s="3598">
        <v>257883.73</v>
      </c>
      <c r="D111" s="3598">
        <v>320521.41900000005</v>
      </c>
      <c r="E111" s="2360">
        <f t="shared" si="4"/>
        <v>994310.93700000015</v>
      </c>
      <c r="F111" s="572">
        <v>1199.373</v>
      </c>
      <c r="G111" s="3598">
        <v>155531.375</v>
      </c>
      <c r="H111" s="2393">
        <f t="shared" si="3"/>
        <v>163790.67100000003</v>
      </c>
    </row>
    <row r="112" spans="1:8">
      <c r="A112" s="53">
        <f t="shared" si="5"/>
        <v>2020.07</v>
      </c>
      <c r="B112" s="214">
        <v>485411.95500000002</v>
      </c>
      <c r="C112" s="3598">
        <v>291377.92499999999</v>
      </c>
      <c r="D112" s="3598">
        <v>333575.18400000001</v>
      </c>
      <c r="E112" s="2360">
        <f t="shared" si="4"/>
        <v>1110365.064</v>
      </c>
      <c r="F112" s="572">
        <v>1500.1610000000001</v>
      </c>
      <c r="G112" s="3598">
        <v>153255.37</v>
      </c>
      <c r="H112" s="2393">
        <f t="shared" si="3"/>
        <v>178819.65299999999</v>
      </c>
    </row>
    <row r="113" spans="1:8">
      <c r="A113" s="53">
        <f t="shared" si="5"/>
        <v>2020.08</v>
      </c>
      <c r="B113" s="214">
        <v>377875.68200000003</v>
      </c>
      <c r="C113" s="3598">
        <v>252361.00899999999</v>
      </c>
      <c r="D113" s="3598">
        <v>348877.48400000005</v>
      </c>
      <c r="E113" s="2360">
        <f t="shared" si="4"/>
        <v>979114.17500000005</v>
      </c>
      <c r="F113" s="572">
        <v>1374.0830000000001</v>
      </c>
      <c r="G113" s="3598">
        <v>157548.06899999999</v>
      </c>
      <c r="H113" s="2393">
        <f t="shared" si="3"/>
        <v>189955.33200000008</v>
      </c>
    </row>
    <row r="114" spans="1:8">
      <c r="A114" s="53">
        <f t="shared" si="5"/>
        <v>2020.09</v>
      </c>
      <c r="B114" s="214">
        <v>336872.77299999999</v>
      </c>
      <c r="C114" s="3598">
        <v>236280.943</v>
      </c>
      <c r="D114" s="3598">
        <v>331363.89999999991</v>
      </c>
      <c r="E114" s="2360">
        <f t="shared" si="4"/>
        <v>904517.61599999992</v>
      </c>
      <c r="F114" s="572">
        <v>625.78800000000001</v>
      </c>
      <c r="G114" s="3598">
        <v>158957.97699999998</v>
      </c>
      <c r="H114" s="2393">
        <f t="shared" si="3"/>
        <v>171780.13499999992</v>
      </c>
    </row>
    <row r="115" spans="1:8">
      <c r="A115" s="53">
        <f t="shared" si="5"/>
        <v>2020.1</v>
      </c>
      <c r="B115" s="214">
        <v>334183.86699999997</v>
      </c>
      <c r="C115" s="3598">
        <v>238410.42800000001</v>
      </c>
      <c r="D115" s="3598">
        <v>349676.261</v>
      </c>
      <c r="E115" s="2360">
        <f t="shared" si="4"/>
        <v>922270.55599999987</v>
      </c>
      <c r="F115" s="572">
        <v>744.22500000000014</v>
      </c>
      <c r="G115" s="3598">
        <v>145359.11599999998</v>
      </c>
      <c r="H115" s="2393">
        <f t="shared" si="3"/>
        <v>203572.92000000004</v>
      </c>
    </row>
    <row r="116" spans="1:8">
      <c r="A116" s="53">
        <f t="shared" si="5"/>
        <v>2020.11</v>
      </c>
      <c r="B116" s="214">
        <v>358725.10800000001</v>
      </c>
      <c r="C116" s="3598">
        <v>252081.02900000001</v>
      </c>
      <c r="D116" s="3598">
        <v>369020.201</v>
      </c>
      <c r="E116" s="2360">
        <f t="shared" si="4"/>
        <v>979826.33799999999</v>
      </c>
      <c r="F116" s="572">
        <v>1427.1460000000002</v>
      </c>
      <c r="G116" s="3598">
        <v>160649.95499999999</v>
      </c>
      <c r="H116" s="2393">
        <f t="shared" si="3"/>
        <v>206943.1</v>
      </c>
    </row>
    <row r="117" spans="1:8">
      <c r="A117" s="53">
        <f t="shared" si="5"/>
        <v>2020.12</v>
      </c>
      <c r="B117" s="214">
        <v>433686.26199999999</v>
      </c>
      <c r="C117" s="3598">
        <v>279607.56699999998</v>
      </c>
      <c r="D117" s="3598">
        <v>310551.05799999996</v>
      </c>
      <c r="E117" s="2360">
        <f t="shared" si="4"/>
        <v>1023844.8869999999</v>
      </c>
      <c r="F117" s="572">
        <v>2070.942</v>
      </c>
      <c r="G117" s="3598">
        <v>144716.22099999999</v>
      </c>
      <c r="H117" s="2393">
        <f t="shared" si="3"/>
        <v>163763.89499999999</v>
      </c>
    </row>
    <row r="118" spans="1:8">
      <c r="A118" s="53">
        <f t="shared" si="5"/>
        <v>2021.01</v>
      </c>
      <c r="B118" s="214">
        <v>478250.16000000003</v>
      </c>
      <c r="C118" s="3598">
        <v>299105.11599999998</v>
      </c>
      <c r="D118" s="3598">
        <v>370057.07700000011</v>
      </c>
      <c r="E118" s="2360">
        <f t="shared" si="4"/>
        <v>1147412.3530000001</v>
      </c>
      <c r="F118" s="572">
        <v>2272.13</v>
      </c>
      <c r="G118" s="3598">
        <v>165541.70799999998</v>
      </c>
      <c r="H118" s="2393">
        <f t="shared" si="3"/>
        <v>202243.23900000012</v>
      </c>
    </row>
    <row r="119" spans="1:8">
      <c r="A119" s="53">
        <f t="shared" si="5"/>
        <v>2021.02</v>
      </c>
      <c r="B119" s="214">
        <v>384590.09599999996</v>
      </c>
      <c r="C119" s="3598">
        <v>260320.804</v>
      </c>
      <c r="D119" s="3598">
        <v>369063.54599999991</v>
      </c>
      <c r="E119" s="2360">
        <f t="shared" si="4"/>
        <v>1013974.4459999998</v>
      </c>
      <c r="F119" s="572">
        <v>1983.2650000000001</v>
      </c>
      <c r="G119" s="3598">
        <v>164867.50599999999</v>
      </c>
      <c r="H119" s="2393">
        <f t="shared" si="3"/>
        <v>202212.77499999991</v>
      </c>
    </row>
    <row r="120" spans="1:8">
      <c r="A120" s="53">
        <f t="shared" si="5"/>
        <v>2021.03</v>
      </c>
      <c r="B120" s="214">
        <v>395980.85399999999</v>
      </c>
      <c r="C120" s="3598">
        <v>285299.32</v>
      </c>
      <c r="D120" s="3598">
        <v>401980.13399999973</v>
      </c>
      <c r="E120" s="2360">
        <f t="shared" si="4"/>
        <v>1083260.3079999997</v>
      </c>
      <c r="F120" s="572">
        <v>2074.971</v>
      </c>
      <c r="G120" s="3598">
        <v>180708.174</v>
      </c>
      <c r="H120" s="2393">
        <f t="shared" si="3"/>
        <v>219196.98899999971</v>
      </c>
    </row>
    <row r="121" spans="1:8">
      <c r="A121" s="53">
        <f t="shared" si="5"/>
        <v>2021.04</v>
      </c>
      <c r="B121" s="214">
        <v>308508.05699999997</v>
      </c>
      <c r="C121" s="3598">
        <v>250598.29399999999</v>
      </c>
      <c r="D121" s="3598">
        <v>352878.97199999995</v>
      </c>
      <c r="E121" s="2360">
        <f t="shared" si="4"/>
        <v>911985.32299999997</v>
      </c>
      <c r="F121" s="572">
        <v>1455.0700000000002</v>
      </c>
      <c r="G121" s="3598">
        <v>183572.43</v>
      </c>
      <c r="H121" s="2393">
        <f t="shared" si="3"/>
        <v>167851.47199999995</v>
      </c>
    </row>
    <row r="122" spans="1:8">
      <c r="A122" s="53">
        <f t="shared" si="5"/>
        <v>2021.05</v>
      </c>
      <c r="B122" s="214">
        <v>379333.48499999999</v>
      </c>
      <c r="C122" s="3598">
        <v>265683.82500000001</v>
      </c>
      <c r="D122" s="3598">
        <v>385970.55200000003</v>
      </c>
      <c r="E122" s="2360">
        <f t="shared" si="4"/>
        <v>1030987.8620000001</v>
      </c>
      <c r="F122" s="572">
        <v>734.14900000000011</v>
      </c>
      <c r="G122" s="3598">
        <v>178722.31299999999</v>
      </c>
      <c r="H122" s="2393">
        <f t="shared" si="3"/>
        <v>206514.09000000005</v>
      </c>
    </row>
    <row r="123" spans="1:8">
      <c r="A123" s="53">
        <f t="shared" si="5"/>
        <v>2021.06</v>
      </c>
      <c r="B123" s="214">
        <v>443640.87199999997</v>
      </c>
      <c r="C123" s="3598">
        <v>281200.48800000001</v>
      </c>
      <c r="D123" s="3598">
        <v>380295.89799999987</v>
      </c>
      <c r="E123" s="2360">
        <f t="shared" si="4"/>
        <v>1105137.2579999999</v>
      </c>
      <c r="F123" s="572">
        <v>875.16399999999999</v>
      </c>
      <c r="G123" s="3598">
        <v>181799.717</v>
      </c>
      <c r="H123" s="2393">
        <f t="shared" si="3"/>
        <v>197621.01699999988</v>
      </c>
    </row>
    <row r="124" spans="1:8">
      <c r="A124" s="53">
        <f t="shared" si="5"/>
        <v>2021.07</v>
      </c>
      <c r="B124" s="214">
        <v>460363.87300000002</v>
      </c>
      <c r="C124" s="3598">
        <v>299599.82799999998</v>
      </c>
      <c r="D124" s="3598">
        <v>395541.77000000008</v>
      </c>
      <c r="E124" s="2360">
        <f t="shared" si="4"/>
        <v>1155505.4710000001</v>
      </c>
      <c r="F124" s="572">
        <v>1522.971</v>
      </c>
      <c r="G124" s="3598">
        <v>185695.625</v>
      </c>
      <c r="H124" s="2393">
        <f t="shared" si="3"/>
        <v>208323.17400000006</v>
      </c>
    </row>
    <row r="125" spans="1:8">
      <c r="A125" s="53">
        <f t="shared" si="5"/>
        <v>2021.08</v>
      </c>
      <c r="B125" s="214">
        <v>389289.88199999998</v>
      </c>
      <c r="C125" s="3598">
        <v>277399.55599999998</v>
      </c>
      <c r="D125" s="3598">
        <v>387672.82500000007</v>
      </c>
      <c r="E125" s="2360">
        <f t="shared" si="4"/>
        <v>1054362.263</v>
      </c>
      <c r="F125" s="572">
        <v>1617.2919999999999</v>
      </c>
      <c r="G125" s="3598">
        <v>172364.981</v>
      </c>
      <c r="H125" s="2393">
        <f t="shared" si="3"/>
        <v>213690.55200000005</v>
      </c>
    </row>
    <row r="126" spans="1:8">
      <c r="A126" s="53">
        <f t="shared" si="5"/>
        <v>2021.09</v>
      </c>
      <c r="B126" s="214">
        <v>314090.13700000005</v>
      </c>
      <c r="C126" s="3598">
        <v>246222.64799999999</v>
      </c>
      <c r="D126" s="3598">
        <v>373164.62599999999</v>
      </c>
      <c r="E126" s="2360">
        <f t="shared" si="4"/>
        <v>933477.41100000008</v>
      </c>
      <c r="F126" s="572">
        <v>1560.162</v>
      </c>
      <c r="G126" s="3598">
        <v>167174.231</v>
      </c>
      <c r="H126" s="2393">
        <f t="shared" si="3"/>
        <v>204430.23299999998</v>
      </c>
    </row>
    <row r="127" spans="1:8">
      <c r="A127" s="53">
        <f t="shared" si="5"/>
        <v>2021.1</v>
      </c>
      <c r="B127" s="214">
        <v>335490.41799999995</v>
      </c>
      <c r="C127" s="3598">
        <v>257170.079</v>
      </c>
      <c r="D127" s="3598">
        <v>385251.489</v>
      </c>
      <c r="E127" s="2360">
        <f t="shared" si="4"/>
        <v>977911.98600000003</v>
      </c>
      <c r="F127" s="572">
        <v>1813.663</v>
      </c>
      <c r="G127" s="3598">
        <v>169874.948</v>
      </c>
      <c r="H127" s="2393">
        <f t="shared" si="3"/>
        <v>213562.878</v>
      </c>
    </row>
    <row r="128" spans="1:8">
      <c r="A128" s="53">
        <f t="shared" si="5"/>
        <v>2021.11</v>
      </c>
      <c r="B128" s="214">
        <v>368016.679</v>
      </c>
      <c r="C128" s="3598">
        <v>266121.696</v>
      </c>
      <c r="D128" s="3598">
        <v>386237.40599999996</v>
      </c>
      <c r="E128" s="2360">
        <f t="shared" si="4"/>
        <v>1020375.781</v>
      </c>
      <c r="F128" s="572">
        <v>1939.88</v>
      </c>
      <c r="G128" s="3598">
        <v>177598.05</v>
      </c>
      <c r="H128" s="2393">
        <f t="shared" si="3"/>
        <v>206699.47599999997</v>
      </c>
    </row>
    <row r="129" spans="1:8">
      <c r="A129" s="53">
        <f t="shared" si="5"/>
        <v>2021.12</v>
      </c>
      <c r="B129" s="214">
        <v>536185.73599999992</v>
      </c>
      <c r="C129" s="3598">
        <v>332814.88500000001</v>
      </c>
      <c r="D129" s="3598">
        <v>376700.15799999988</v>
      </c>
      <c r="E129" s="2360">
        <f t="shared" si="4"/>
        <v>1245700.7789999999</v>
      </c>
      <c r="F129" s="572">
        <v>2263.8810000000003</v>
      </c>
      <c r="G129" s="3598">
        <v>187258.12299999999</v>
      </c>
      <c r="H129" s="2393">
        <f t="shared" si="3"/>
        <v>187178.15399999989</v>
      </c>
    </row>
    <row r="130" spans="1:8">
      <c r="A130" s="53">
        <f t="shared" si="5"/>
        <v>2022.01</v>
      </c>
      <c r="B130" s="214">
        <v>567646.98699999996</v>
      </c>
      <c r="C130" s="3598">
        <v>338968.67599999998</v>
      </c>
      <c r="D130" s="3598">
        <v>333705.10000000009</v>
      </c>
      <c r="E130" s="2360">
        <f t="shared" si="4"/>
        <v>1240320.763</v>
      </c>
      <c r="F130" s="572">
        <v>2317.576</v>
      </c>
      <c r="G130" s="3598">
        <v>187223.11400000003</v>
      </c>
      <c r="H130" s="2393">
        <f t="shared" si="3"/>
        <v>144164.41000000006</v>
      </c>
    </row>
    <row r="131" spans="1:8">
      <c r="A131" s="53">
        <f t="shared" si="5"/>
        <v>2022.02</v>
      </c>
      <c r="B131" s="214">
        <v>397034.09299999999</v>
      </c>
      <c r="C131" s="3598">
        <v>274285.62300000002</v>
      </c>
      <c r="D131" s="3598">
        <v>334867.90500000009</v>
      </c>
      <c r="E131" s="2360">
        <f t="shared" si="4"/>
        <v>1006187.621</v>
      </c>
      <c r="F131" s="572">
        <v>1880.5149999999999</v>
      </c>
      <c r="G131" s="3598">
        <v>180795.57200000001</v>
      </c>
      <c r="H131" s="2393">
        <f t="shared" si="3"/>
        <v>152191.81800000006</v>
      </c>
    </row>
    <row r="132" spans="1:8">
      <c r="A132" s="53">
        <f t="shared" si="5"/>
        <v>2022.03</v>
      </c>
      <c r="B132" s="214">
        <v>355788.24900000001</v>
      </c>
      <c r="C132" s="3598">
        <v>272122.70799999998</v>
      </c>
      <c r="D132" s="3598">
        <v>395295.69</v>
      </c>
      <c r="E132" s="2360">
        <f t="shared" si="4"/>
        <v>1023206.6469999999</v>
      </c>
      <c r="F132" s="572">
        <v>1863.855</v>
      </c>
      <c r="G132" s="3598">
        <v>186051.26499999998</v>
      </c>
      <c r="H132" s="2393">
        <f t="shared" si="3"/>
        <v>207380.57000000004</v>
      </c>
    </row>
    <row r="133" spans="1:8">
      <c r="A133" s="53">
        <f t="shared" si="5"/>
        <v>2022.04</v>
      </c>
      <c r="B133" s="214">
        <v>306522.95200000005</v>
      </c>
      <c r="C133" s="3598">
        <v>249467.505</v>
      </c>
      <c r="D133" s="3598">
        <v>416276.05699999997</v>
      </c>
      <c r="E133" s="2360">
        <f t="shared" si="4"/>
        <v>972266.51399999997</v>
      </c>
      <c r="F133" s="572">
        <v>1651.009</v>
      </c>
      <c r="G133" s="3598">
        <v>191758.40399999998</v>
      </c>
      <c r="H133" s="2393">
        <f t="shared" si="3"/>
        <v>222866.64399999997</v>
      </c>
    </row>
    <row r="134" spans="1:8">
      <c r="A134" s="53">
        <f t="shared" si="5"/>
        <v>2022.05</v>
      </c>
      <c r="B134" s="214">
        <v>395642.66200000001</v>
      </c>
      <c r="C134" s="3598">
        <v>283011.56599999999</v>
      </c>
      <c r="D134" s="3598">
        <v>424523.76800000004</v>
      </c>
      <c r="E134" s="2360">
        <f t="shared" si="4"/>
        <v>1103177.996</v>
      </c>
      <c r="F134" s="572">
        <v>1663.1730000000002</v>
      </c>
      <c r="G134" s="3598">
        <v>191962.22100000002</v>
      </c>
      <c r="H134" s="2393">
        <f t="shared" si="3"/>
        <v>230898.37400000001</v>
      </c>
    </row>
    <row r="135" spans="1:8">
      <c r="A135" s="53">
        <f t="shared" si="5"/>
        <v>2022.06</v>
      </c>
      <c r="B135" s="214">
        <v>494552.43699999998</v>
      </c>
      <c r="C135" s="3598">
        <v>322219.93699999998</v>
      </c>
      <c r="D135" s="3598">
        <v>413768.76600000006</v>
      </c>
      <c r="E135" s="2360">
        <f t="shared" si="4"/>
        <v>1230541.1400000001</v>
      </c>
      <c r="F135" s="572">
        <v>1682.3130000000001</v>
      </c>
      <c r="G135" s="3598">
        <v>185234.77100000001</v>
      </c>
      <c r="H135" s="2393">
        <f t="shared" si="3"/>
        <v>226851.68200000003</v>
      </c>
    </row>
    <row r="136" spans="1:8">
      <c r="A136" s="53">
        <f t="shared" si="5"/>
        <v>2022.07</v>
      </c>
      <c r="B136" s="214">
        <v>445281.554</v>
      </c>
      <c r="C136" s="3598">
        <v>306252.31900000002</v>
      </c>
      <c r="D136" s="3598">
        <v>404983.56800000009</v>
      </c>
      <c r="E136" s="2360">
        <f t="shared" si="4"/>
        <v>1156517.4410000001</v>
      </c>
      <c r="F136" s="572">
        <v>1700.9090000000001</v>
      </c>
      <c r="G136" s="3598">
        <v>187404.56899999999</v>
      </c>
      <c r="H136" s="2393">
        <f t="shared" si="3"/>
        <v>215878.09000000011</v>
      </c>
    </row>
    <row r="137" spans="1:8">
      <c r="A137" s="53">
        <f t="shared" si="5"/>
        <v>2022.08</v>
      </c>
      <c r="B137" s="214">
        <v>393563.48199999996</v>
      </c>
      <c r="C137" s="3598">
        <v>294260.723</v>
      </c>
      <c r="D137" s="3598">
        <v>370507.51099999994</v>
      </c>
      <c r="E137" s="2360">
        <f t="shared" si="4"/>
        <v>1058331.716</v>
      </c>
      <c r="F137" s="572">
        <v>1715.19</v>
      </c>
      <c r="G137" s="3598">
        <v>174604.5</v>
      </c>
      <c r="H137" s="2393">
        <f t="shared" si="3"/>
        <v>194187.82099999994</v>
      </c>
    </row>
    <row r="138" spans="1:8">
      <c r="A138" s="53">
        <f t="shared" si="5"/>
        <v>2022.09</v>
      </c>
      <c r="B138" s="214">
        <v>337814.95</v>
      </c>
      <c r="C138" s="3598">
        <v>238924.87599999999</v>
      </c>
      <c r="D138" s="3598">
        <v>379299.68</v>
      </c>
      <c r="E138" s="2360">
        <f t="shared" si="4"/>
        <v>956039.50600000005</v>
      </c>
      <c r="F138" s="572">
        <v>1563.3679999999999</v>
      </c>
      <c r="G138" s="3598">
        <v>171860.88</v>
      </c>
      <c r="H138" s="2393">
        <f t="shared" si="3"/>
        <v>205875.43199999997</v>
      </c>
    </row>
    <row r="139" spans="1:8">
      <c r="A139" s="53">
        <f t="shared" si="5"/>
        <v>2022.1</v>
      </c>
      <c r="B139" s="214">
        <v>323224.745</v>
      </c>
      <c r="C139" s="3598">
        <v>237347.60200000001</v>
      </c>
      <c r="D139" s="3598">
        <v>396523.77</v>
      </c>
      <c r="E139" s="2360">
        <f t="shared" si="4"/>
        <v>957096.11700000009</v>
      </c>
      <c r="F139" s="572">
        <v>1697.0500000000002</v>
      </c>
      <c r="G139" s="3598">
        <v>170938.421</v>
      </c>
      <c r="H139" s="2393">
        <f t="shared" ref="H139:H202" si="6">D139-F139-G139</f>
        <v>223888.29900000003</v>
      </c>
    </row>
    <row r="140" spans="1:8">
      <c r="A140" s="53">
        <f t="shared" si="5"/>
        <v>2022.11</v>
      </c>
      <c r="B140" s="214">
        <v>442878.95199999999</v>
      </c>
      <c r="C140" s="3598">
        <v>269445.09000000003</v>
      </c>
      <c r="D140" s="3598">
        <v>403962.66199999989</v>
      </c>
      <c r="E140" s="2360">
        <f t="shared" ref="E140:E203" si="7">SUM(B140:D140)</f>
        <v>1116286.7039999999</v>
      </c>
      <c r="F140" s="572">
        <v>2012.4769999999999</v>
      </c>
      <c r="G140" s="3598">
        <v>178751.40400000001</v>
      </c>
      <c r="H140" s="2393">
        <f t="shared" si="6"/>
        <v>223198.78099999987</v>
      </c>
    </row>
    <row r="141" spans="1:8">
      <c r="A141" s="53">
        <f t="shared" si="5"/>
        <v>2022.12</v>
      </c>
      <c r="B141" s="214">
        <v>596309.68299999996</v>
      </c>
      <c r="C141" s="3598">
        <v>310913.62699999998</v>
      </c>
      <c r="D141" s="3598">
        <v>381736.98900000006</v>
      </c>
      <c r="E141" s="2360">
        <f t="shared" si="7"/>
        <v>1288960.2990000001</v>
      </c>
      <c r="F141" s="572">
        <v>2276.942</v>
      </c>
      <c r="G141" s="3598">
        <v>186692.89799999999</v>
      </c>
      <c r="H141" s="2393">
        <f t="shared" si="6"/>
        <v>192767.14900000009</v>
      </c>
    </row>
    <row r="142" spans="1:8">
      <c r="A142" s="53">
        <f t="shared" si="5"/>
        <v>2023.01</v>
      </c>
      <c r="B142" s="214">
        <v>638421.03999999992</v>
      </c>
      <c r="C142" s="3598">
        <v>321404.65899999999</v>
      </c>
      <c r="D142" s="3598">
        <v>371382.84300000005</v>
      </c>
      <c r="E142" s="2360">
        <f t="shared" si="7"/>
        <v>1331208.5419999999</v>
      </c>
      <c r="F142" s="572">
        <v>2404.1010000000001</v>
      </c>
      <c r="G142" s="3598">
        <v>179709.34299999999</v>
      </c>
      <c r="H142" s="2393">
        <f t="shared" si="6"/>
        <v>189269.39900000003</v>
      </c>
    </row>
    <row r="143" spans="1:8">
      <c r="A143" s="53">
        <f t="shared" si="5"/>
        <v>2023.02</v>
      </c>
      <c r="B143" s="214">
        <v>521914.23200000002</v>
      </c>
      <c r="C143" s="3598">
        <v>266694.565</v>
      </c>
      <c r="D143" s="3598">
        <v>301157.10600000003</v>
      </c>
      <c r="E143" s="2360">
        <f t="shared" si="7"/>
        <v>1089765.9029999999</v>
      </c>
      <c r="F143" s="572">
        <v>2120.8940000000002</v>
      </c>
      <c r="G143" s="3598">
        <v>161390.323</v>
      </c>
      <c r="H143" s="2393">
        <f t="shared" si="6"/>
        <v>137645.88900000005</v>
      </c>
    </row>
    <row r="144" spans="1:8">
      <c r="A144" s="53">
        <f t="shared" si="5"/>
        <v>2023.03</v>
      </c>
      <c r="B144" s="214">
        <v>649431.09000000008</v>
      </c>
      <c r="C144" s="3598">
        <v>345977.712</v>
      </c>
      <c r="D144" s="3598">
        <v>401607.01399999997</v>
      </c>
      <c r="E144" s="2360">
        <f t="shared" si="7"/>
        <v>1397015.8160000001</v>
      </c>
      <c r="F144" s="572">
        <v>2471.4470000000001</v>
      </c>
      <c r="G144" s="3598">
        <v>195155.79200000002</v>
      </c>
      <c r="H144" s="2393">
        <f t="shared" si="6"/>
        <v>203979.77499999997</v>
      </c>
    </row>
    <row r="145" spans="1:8">
      <c r="A145" s="53">
        <f t="shared" si="5"/>
        <v>2023.04</v>
      </c>
      <c r="B145" s="214">
        <v>330951.74699999997</v>
      </c>
      <c r="C145" s="3598">
        <v>235739.85399999999</v>
      </c>
      <c r="D145" s="3598">
        <v>369592.82500000001</v>
      </c>
      <c r="E145" s="2360">
        <f t="shared" si="7"/>
        <v>936284.42599999998</v>
      </c>
      <c r="F145" s="572">
        <v>1771.3719999999998</v>
      </c>
      <c r="G145" s="3598">
        <v>165599.20199999999</v>
      </c>
      <c r="H145" s="2393">
        <f t="shared" si="6"/>
        <v>202222.25100000005</v>
      </c>
    </row>
    <row r="146" spans="1:8">
      <c r="A146" s="53">
        <f t="shared" si="5"/>
        <v>2023.05</v>
      </c>
      <c r="B146" s="214">
        <v>349302.636</v>
      </c>
      <c r="C146" s="3598">
        <v>249263.08</v>
      </c>
      <c r="D146" s="3598">
        <v>389281.17100000003</v>
      </c>
      <c r="E146" s="2360">
        <f t="shared" si="7"/>
        <v>987846.8870000001</v>
      </c>
      <c r="F146" s="572">
        <v>1654.3689999999999</v>
      </c>
      <c r="G146" s="3598">
        <v>173633.951</v>
      </c>
      <c r="H146" s="2393">
        <f t="shared" si="6"/>
        <v>213992.85100000002</v>
      </c>
    </row>
    <row r="147" spans="1:8">
      <c r="A147" s="53">
        <f t="shared" si="5"/>
        <v>2023.06</v>
      </c>
      <c r="B147" s="214">
        <v>438491.092</v>
      </c>
      <c r="C147" s="3598">
        <v>263878.277</v>
      </c>
      <c r="D147" s="3598">
        <v>376375.67</v>
      </c>
      <c r="E147" s="2360">
        <f t="shared" si="7"/>
        <v>1078745.0389999999</v>
      </c>
      <c r="F147" s="572">
        <v>1661.4880000000001</v>
      </c>
      <c r="G147" s="3598">
        <v>172026.85600000003</v>
      </c>
      <c r="H147" s="2393">
        <f t="shared" si="6"/>
        <v>202687.32599999994</v>
      </c>
    </row>
    <row r="148" spans="1:8">
      <c r="A148" s="53">
        <f t="shared" si="5"/>
        <v>2023.07</v>
      </c>
      <c r="B148" s="214">
        <v>475653.81099999999</v>
      </c>
      <c r="C148" s="3598">
        <v>278526.47900000005</v>
      </c>
      <c r="D148" s="3598">
        <v>350423.48600000015</v>
      </c>
      <c r="E148" s="2360">
        <f t="shared" si="7"/>
        <v>1104603.7760000001</v>
      </c>
      <c r="F148" s="572">
        <v>1811.95</v>
      </c>
      <c r="G148" s="3598">
        <v>171835.853</v>
      </c>
      <c r="H148" s="2393">
        <f t="shared" si="6"/>
        <v>176775.68300000014</v>
      </c>
    </row>
    <row r="149" spans="1:8">
      <c r="A149" s="53">
        <f t="shared" si="5"/>
        <v>2023.08</v>
      </c>
      <c r="B149" s="214">
        <v>403781.163</v>
      </c>
      <c r="C149" s="3598">
        <v>264085.50600000005</v>
      </c>
      <c r="D149" s="3598">
        <v>371547.40899999999</v>
      </c>
      <c r="E149" s="2360">
        <f t="shared" si="7"/>
        <v>1039414.078</v>
      </c>
      <c r="F149" s="572">
        <v>1749.336</v>
      </c>
      <c r="G149" s="3598">
        <v>171669.41899999999</v>
      </c>
      <c r="H149" s="2393">
        <f t="shared" si="6"/>
        <v>198128.65399999998</v>
      </c>
    </row>
    <row r="150" spans="1:8">
      <c r="A150" s="53">
        <f t="shared" si="5"/>
        <v>2023.09</v>
      </c>
      <c r="B150" s="214">
        <v>353587.16500000004</v>
      </c>
      <c r="C150" s="3598">
        <v>244800.01</v>
      </c>
      <c r="D150" s="3598">
        <v>352687.57</v>
      </c>
      <c r="E150" s="2360">
        <f t="shared" si="7"/>
        <v>951074.74500000011</v>
      </c>
      <c r="F150" s="572">
        <v>1699.0540000000001</v>
      </c>
      <c r="G150" s="3598">
        <v>161031.85099999997</v>
      </c>
      <c r="H150" s="2393">
        <f t="shared" si="6"/>
        <v>189956.66500000004</v>
      </c>
    </row>
    <row r="151" spans="1:8">
      <c r="A151" s="53">
        <f t="shared" ref="A151:A214" si="8">A139+1</f>
        <v>2023.1</v>
      </c>
      <c r="B151" s="214">
        <v>325912.44099999999</v>
      </c>
      <c r="C151" s="3598">
        <v>247373.166</v>
      </c>
      <c r="D151" s="3598">
        <v>354264.56800000009</v>
      </c>
      <c r="E151" s="2360">
        <f t="shared" si="7"/>
        <v>927550.17500000005</v>
      </c>
      <c r="F151" s="572">
        <v>1817.453</v>
      </c>
      <c r="G151" s="3598">
        <v>158579.69700000001</v>
      </c>
      <c r="H151" s="2393">
        <f t="shared" si="6"/>
        <v>193867.41800000009</v>
      </c>
    </row>
    <row r="152" spans="1:8">
      <c r="A152" s="53">
        <f t="shared" si="8"/>
        <v>2023.11</v>
      </c>
      <c r="B152" s="214">
        <v>404396.28100000002</v>
      </c>
      <c r="C152" s="3598">
        <v>260616.742</v>
      </c>
      <c r="D152" s="3598">
        <v>354074.64600000001</v>
      </c>
      <c r="E152" s="2360">
        <f t="shared" si="7"/>
        <v>1019087.669</v>
      </c>
      <c r="F152" s="572">
        <v>1919.5150000000001</v>
      </c>
      <c r="G152" s="3598">
        <v>164661.26199999999</v>
      </c>
      <c r="H152" s="2393">
        <f t="shared" si="6"/>
        <v>187493.86900000001</v>
      </c>
    </row>
    <row r="153" spans="1:8">
      <c r="A153" s="53">
        <f t="shared" si="8"/>
        <v>2023.12</v>
      </c>
      <c r="B153" s="214">
        <v>476477.13500000001</v>
      </c>
      <c r="C153" s="3598">
        <v>280423.16599999997</v>
      </c>
      <c r="D153" s="3598">
        <v>321504.30100000004</v>
      </c>
      <c r="E153" s="2360">
        <f t="shared" si="7"/>
        <v>1078404.602</v>
      </c>
      <c r="F153" s="572">
        <v>2164.855</v>
      </c>
      <c r="G153" s="3598">
        <v>157762.63099999999</v>
      </c>
      <c r="H153" s="2393">
        <f t="shared" si="6"/>
        <v>161576.81500000006</v>
      </c>
    </row>
    <row r="154" spans="1:8">
      <c r="A154" s="53">
        <f t="shared" si="8"/>
        <v>2024.01</v>
      </c>
      <c r="B154" s="214">
        <v>567950.47600000002</v>
      </c>
      <c r="C154" s="3598">
        <v>300799.56999999995</v>
      </c>
      <c r="D154" s="3598">
        <v>353608.02100000001</v>
      </c>
      <c r="E154" s="2360">
        <f t="shared" si="7"/>
        <v>1222358.067</v>
      </c>
      <c r="F154" s="572">
        <v>2302.2960000000003</v>
      </c>
      <c r="G154" s="3598">
        <v>170127.386</v>
      </c>
      <c r="H154" s="2393">
        <f t="shared" si="6"/>
        <v>181178.33900000004</v>
      </c>
    </row>
    <row r="155" spans="1:8">
      <c r="A155" s="53">
        <f t="shared" si="8"/>
        <v>2024.02</v>
      </c>
      <c r="B155" s="214">
        <v>586392.04500000004</v>
      </c>
      <c r="C155" s="3598">
        <v>290877.78600000002</v>
      </c>
      <c r="D155" s="3598">
        <v>313493.06100000005</v>
      </c>
      <c r="E155" s="2360">
        <f t="shared" si="7"/>
        <v>1190762.892</v>
      </c>
      <c r="F155" s="572">
        <v>2235.75</v>
      </c>
      <c r="G155" s="3598">
        <v>172428.77100000001</v>
      </c>
      <c r="H155" s="2393">
        <f t="shared" si="6"/>
        <v>138828.54000000004</v>
      </c>
    </row>
    <row r="156" spans="1:8">
      <c r="A156" s="53">
        <f t="shared" si="8"/>
        <v>2024.03</v>
      </c>
      <c r="B156" s="214">
        <v>509430.89099999995</v>
      </c>
      <c r="C156" s="3598">
        <v>295180.84600000002</v>
      </c>
      <c r="D156" s="3598">
        <v>315841.21899999998</v>
      </c>
      <c r="E156" s="2360">
        <f t="shared" si="7"/>
        <v>1120452.956</v>
      </c>
      <c r="F156" s="572">
        <v>2208.143</v>
      </c>
      <c r="G156" s="3598">
        <v>178618.32199999999</v>
      </c>
      <c r="H156" s="2393">
        <f t="shared" si="6"/>
        <v>135014.75400000002</v>
      </c>
    </row>
    <row r="157" spans="1:8">
      <c r="A157" s="53">
        <f t="shared" si="8"/>
        <v>2024.04</v>
      </c>
      <c r="B157" s="214">
        <v>328993.28399999999</v>
      </c>
      <c r="C157" s="3598">
        <v>229742.04</v>
      </c>
      <c r="D157" s="3598">
        <v>333523.68900000007</v>
      </c>
      <c r="E157" s="2360">
        <f t="shared" si="7"/>
        <v>892259.01300000004</v>
      </c>
      <c r="F157" s="572">
        <v>1706.7600000000002</v>
      </c>
      <c r="G157" s="3598">
        <v>171357.59500000003</v>
      </c>
      <c r="H157" s="2393">
        <f t="shared" si="6"/>
        <v>160459.33400000003</v>
      </c>
    </row>
    <row r="158" spans="1:8">
      <c r="A158" s="53">
        <f t="shared" si="8"/>
        <v>2024.05</v>
      </c>
      <c r="B158" s="214">
        <v>463521.44200000004</v>
      </c>
      <c r="C158" s="3598">
        <v>274922.58</v>
      </c>
      <c r="D158" s="3598">
        <v>354509.89900000003</v>
      </c>
      <c r="E158" s="2360">
        <f t="shared" si="7"/>
        <v>1092953.9210000001</v>
      </c>
      <c r="F158" s="572">
        <v>1615.22</v>
      </c>
      <c r="G158" s="3598">
        <v>176244.70800000001</v>
      </c>
      <c r="H158" s="2393">
        <f t="shared" si="6"/>
        <v>176649.97100000005</v>
      </c>
    </row>
    <row r="159" spans="1:8">
      <c r="A159" s="53">
        <f t="shared" si="8"/>
        <v>2024.06</v>
      </c>
      <c r="B159" s="214">
        <v>415604.12799999997</v>
      </c>
      <c r="C159" s="3598">
        <v>243534.90099999998</v>
      </c>
      <c r="D159" s="3598">
        <v>314604.50099999999</v>
      </c>
      <c r="E159" s="2360">
        <f t="shared" si="7"/>
        <v>973743.53</v>
      </c>
      <c r="F159" s="572">
        <v>1546.29</v>
      </c>
      <c r="G159" s="3598">
        <v>162460.82399999999</v>
      </c>
      <c r="H159" s="2393">
        <f t="shared" si="6"/>
        <v>150597.38700000002</v>
      </c>
    </row>
    <row r="160" spans="1:8">
      <c r="A160" s="53">
        <f t="shared" si="8"/>
        <v>2024.07</v>
      </c>
      <c r="B160" s="214">
        <v>531987.64199999999</v>
      </c>
      <c r="C160" s="3598">
        <v>283392.81</v>
      </c>
      <c r="D160" s="3598">
        <v>330427.66799999995</v>
      </c>
      <c r="E160" s="2360">
        <f t="shared" si="7"/>
        <v>1145808.1200000001</v>
      </c>
      <c r="F160" s="572">
        <v>1703.1410000000001</v>
      </c>
      <c r="G160" s="3598">
        <v>178140.64400000003</v>
      </c>
      <c r="H160" s="2393">
        <f t="shared" si="6"/>
        <v>150583.88299999991</v>
      </c>
    </row>
    <row r="161" spans="1:8">
      <c r="A161" s="53">
        <f t="shared" si="8"/>
        <v>2024.08</v>
      </c>
      <c r="B161" s="214">
        <v>467225.701</v>
      </c>
      <c r="C161" s="3598">
        <v>272808.34700000001</v>
      </c>
      <c r="D161" s="3598">
        <v>333785.30499999999</v>
      </c>
      <c r="E161" s="2360">
        <f t="shared" si="7"/>
        <v>1073819.3529999999</v>
      </c>
      <c r="F161" s="572">
        <v>1676.5409999999999</v>
      </c>
      <c r="G161" s="3598">
        <v>164223.095</v>
      </c>
      <c r="H161" s="2393">
        <f t="shared" si="6"/>
        <v>167885.66899999997</v>
      </c>
    </row>
    <row r="162" spans="1:8">
      <c r="A162" s="53">
        <f t="shared" si="8"/>
        <v>2024.09</v>
      </c>
      <c r="B162" s="214">
        <v>327323.95500000002</v>
      </c>
      <c r="C162" s="3598">
        <v>231786.45</v>
      </c>
      <c r="D162" s="3598">
        <v>352728.85499999992</v>
      </c>
      <c r="E162" s="2360">
        <f t="shared" si="7"/>
        <v>911839.26</v>
      </c>
      <c r="F162" s="572">
        <v>1516.42</v>
      </c>
      <c r="G162" s="3598">
        <v>164460.69</v>
      </c>
      <c r="H162" s="2393">
        <f t="shared" si="6"/>
        <v>186751.74499999994</v>
      </c>
    </row>
    <row r="163" spans="1:8">
      <c r="A163" s="53">
        <f t="shared" si="8"/>
        <v>2024.1</v>
      </c>
      <c r="B163" s="214">
        <v>355514.26899999997</v>
      </c>
      <c r="C163" s="3598">
        <v>255268.24400000001</v>
      </c>
      <c r="D163" s="3598">
        <v>376465.98700000002</v>
      </c>
      <c r="E163" s="2360">
        <f t="shared" si="7"/>
        <v>987248.5</v>
      </c>
      <c r="F163" s="572">
        <v>1841.3510000000001</v>
      </c>
      <c r="G163" s="3598">
        <v>176877.769</v>
      </c>
      <c r="H163" s="2393">
        <f t="shared" si="6"/>
        <v>197746.867</v>
      </c>
    </row>
    <row r="164" spans="1:8">
      <c r="A164" s="53">
        <f t="shared" si="8"/>
        <v>2024.11</v>
      </c>
      <c r="B164" s="214">
        <v>415518.71400000004</v>
      </c>
      <c r="C164" s="3598">
        <v>254127.99300000002</v>
      </c>
      <c r="D164" s="3598">
        <v>345591.85500000004</v>
      </c>
      <c r="E164" s="2360">
        <f t="shared" si="7"/>
        <v>1015238.5620000002</v>
      </c>
      <c r="F164" s="572">
        <v>1942.8910000000001</v>
      </c>
      <c r="G164" s="3598">
        <v>167798.56400000001</v>
      </c>
      <c r="H164" s="2393">
        <f t="shared" si="6"/>
        <v>175850.40000000002</v>
      </c>
    </row>
    <row r="165" spans="1:8">
      <c r="A165" s="53">
        <f t="shared" si="8"/>
        <v>2024.12</v>
      </c>
      <c r="B165" s="214">
        <v>451895.30300000001</v>
      </c>
      <c r="C165" s="3598">
        <v>270046.33</v>
      </c>
      <c r="D165" s="3598">
        <v>293618.36800000002</v>
      </c>
      <c r="E165" s="2360">
        <f t="shared" si="7"/>
        <v>1015560.001</v>
      </c>
      <c r="F165" s="572">
        <v>2017.3869999999999</v>
      </c>
      <c r="G165" s="3598">
        <v>175351.32299999997</v>
      </c>
      <c r="H165" s="2393">
        <f t="shared" si="6"/>
        <v>116249.65800000005</v>
      </c>
    </row>
    <row r="166" spans="1:8">
      <c r="A166" s="53">
        <f t="shared" si="8"/>
        <v>2025.01</v>
      </c>
      <c r="B166" s="214">
        <v>644557.71699999995</v>
      </c>
      <c r="C166" s="3598">
        <v>320833.71600000001</v>
      </c>
      <c r="D166" s="3598">
        <v>352898.364</v>
      </c>
      <c r="E166" s="2360">
        <f t="shared" si="7"/>
        <v>1318289.797</v>
      </c>
      <c r="F166" s="572">
        <v>2267.7220000000002</v>
      </c>
      <c r="G166" s="3598">
        <v>185304.51400000002</v>
      </c>
      <c r="H166" s="2393">
        <f t="shared" si="6"/>
        <v>165326.12799999997</v>
      </c>
    </row>
    <row r="167" spans="1:8">
      <c r="A167" s="53">
        <f t="shared" si="8"/>
        <v>2025.02</v>
      </c>
      <c r="B167" s="214">
        <v>602292.78</v>
      </c>
      <c r="C167" s="3598">
        <v>289101.56799999997</v>
      </c>
      <c r="D167" s="3598">
        <v>335515.65899999999</v>
      </c>
      <c r="E167" s="2360">
        <f t="shared" si="7"/>
        <v>1226910.007</v>
      </c>
      <c r="F167" s="572">
        <v>2086.3739999999998</v>
      </c>
      <c r="G167" s="3598">
        <v>173057.285</v>
      </c>
      <c r="H167" s="2393">
        <f t="shared" si="6"/>
        <v>160371.99999999997</v>
      </c>
    </row>
    <row r="168" spans="1:8">
      <c r="A168" s="53">
        <f t="shared" si="8"/>
        <v>2025.03</v>
      </c>
      <c r="B168" s="214">
        <v>464127.52099999995</v>
      </c>
      <c r="C168" s="3598">
        <v>280722.96899999998</v>
      </c>
      <c r="D168" s="3598">
        <v>343310.62000000005</v>
      </c>
      <c r="E168" s="2360">
        <f t="shared" si="7"/>
        <v>1088161.1100000001</v>
      </c>
      <c r="F168" s="572">
        <v>2080.81</v>
      </c>
      <c r="G168" s="3598">
        <v>171327.345</v>
      </c>
      <c r="H168" s="2393">
        <f t="shared" si="6"/>
        <v>169902.46500000005</v>
      </c>
    </row>
    <row r="169" spans="1:8">
      <c r="A169" s="53">
        <f t="shared" si="8"/>
        <v>2025.04</v>
      </c>
      <c r="B169" s="214">
        <v>325376.19400000002</v>
      </c>
      <c r="C169" s="3598">
        <v>233317.89899999998</v>
      </c>
      <c r="D169" s="3598">
        <v>304701.42799999996</v>
      </c>
      <c r="E169" s="2360">
        <f t="shared" si="7"/>
        <v>863395.52099999995</v>
      </c>
      <c r="F169" s="572">
        <v>1570.8600000000001</v>
      </c>
      <c r="G169" s="3598">
        <v>163101.78600000002</v>
      </c>
      <c r="H169" s="2393">
        <f t="shared" si="6"/>
        <v>140028.78199999995</v>
      </c>
    </row>
    <row r="170" spans="1:8">
      <c r="A170" s="53">
        <f t="shared" si="8"/>
        <v>2025.05</v>
      </c>
      <c r="B170" s="214">
        <v>378436.03600000002</v>
      </c>
      <c r="C170" s="3598">
        <v>253176.02100000001</v>
      </c>
      <c r="D170" s="3598">
        <v>349272.29500000004</v>
      </c>
      <c r="E170" s="2360">
        <f t="shared" si="7"/>
        <v>980884.35200000007</v>
      </c>
      <c r="F170" s="572">
        <v>1652.3050000000001</v>
      </c>
      <c r="G170" s="3598">
        <v>177402.23699999999</v>
      </c>
      <c r="H170" s="2393">
        <f>D170-F170-G170</f>
        <v>170217.75300000006</v>
      </c>
    </row>
    <row r="171" spans="1:8">
      <c r="A171" s="53">
        <f t="shared" si="8"/>
        <v>2025.06</v>
      </c>
      <c r="B171" s="214">
        <v>536091.15599999996</v>
      </c>
      <c r="C171" s="3598">
        <v>276147.48700000002</v>
      </c>
      <c r="D171" s="3598">
        <v>326100.20400000003</v>
      </c>
      <c r="E171" s="2360">
        <f t="shared" si="7"/>
        <v>1138338.8470000001</v>
      </c>
      <c r="F171" s="572">
        <v>1633.8890000000001</v>
      </c>
      <c r="G171" s="3598">
        <v>170051.56600000002</v>
      </c>
      <c r="H171" s="2393">
        <f>D171-F171-G171</f>
        <v>154414.74899999998</v>
      </c>
    </row>
    <row r="172" spans="1:8">
      <c r="A172" s="53">
        <f t="shared" si="8"/>
        <v>2025.07</v>
      </c>
      <c r="B172" s="214">
        <v>511219.91399999999</v>
      </c>
      <c r="C172" s="3598">
        <v>277107.83999999997</v>
      </c>
      <c r="D172" s="3598">
        <v>338052.19000000006</v>
      </c>
      <c r="E172" s="2360">
        <f t="shared" si="7"/>
        <v>1126379.9440000001</v>
      </c>
      <c r="F172" s="572">
        <v>1623.4290000000001</v>
      </c>
      <c r="G172" s="3598">
        <v>174772.057</v>
      </c>
      <c r="H172" s="2393">
        <f t="shared" si="6"/>
        <v>161656.70400000006</v>
      </c>
    </row>
    <row r="173" spans="1:8">
      <c r="A173" s="53">
        <f t="shared" si="8"/>
        <v>2025.08</v>
      </c>
      <c r="B173" s="214">
        <v>450307.65400000004</v>
      </c>
      <c r="C173" s="3598">
        <v>247691.87499999997</v>
      </c>
      <c r="D173" s="3598">
        <v>338808.95500000002</v>
      </c>
      <c r="E173" s="2360">
        <f t="shared" si="7"/>
        <v>1036808.4839999999</v>
      </c>
      <c r="F173" s="572">
        <v>1549.4740000000002</v>
      </c>
      <c r="G173" s="3598">
        <v>169179.451</v>
      </c>
      <c r="H173" s="2393">
        <f t="shared" si="6"/>
        <v>168080.03000000003</v>
      </c>
    </row>
    <row r="174" spans="1:8">
      <c r="A174" s="53">
        <f t="shared" si="8"/>
        <v>2025.09</v>
      </c>
      <c r="B174" s="214">
        <v>358930.75599999999</v>
      </c>
      <c r="C174" s="3598">
        <v>232420.39299999998</v>
      </c>
      <c r="D174" s="3598">
        <v>319487.47399999999</v>
      </c>
      <c r="E174" s="2360">
        <f t="shared" si="7"/>
        <v>910838.62299999991</v>
      </c>
      <c r="F174" s="572">
        <v>1609.193</v>
      </c>
      <c r="G174" s="3598">
        <v>161884.514</v>
      </c>
      <c r="H174" s="2393">
        <f t="shared" si="6"/>
        <v>155993.76699999996</v>
      </c>
    </row>
    <row r="175" spans="1:8">
      <c r="A175" s="53">
        <f t="shared" si="8"/>
        <v>2025.1</v>
      </c>
      <c r="B175" s="214">
        <v>352951.63399999996</v>
      </c>
      <c r="C175" s="3598">
        <v>240952.28899999999</v>
      </c>
      <c r="D175" s="3598">
        <v>329715.60699999996</v>
      </c>
      <c r="E175" s="2360">
        <f t="shared" si="7"/>
        <v>923619.52999999991</v>
      </c>
      <c r="F175" s="572">
        <v>1740.5520000000001</v>
      </c>
      <c r="G175" s="3598">
        <v>165656.12399999998</v>
      </c>
      <c r="H175" s="2393">
        <f t="shared" si="6"/>
        <v>162318.93099999995</v>
      </c>
    </row>
    <row r="176" spans="1:8">
      <c r="A176" s="53">
        <f t="shared" si="8"/>
        <v>2025.11</v>
      </c>
      <c r="B176" s="214">
        <v>379639.92800000001</v>
      </c>
      <c r="C176" s="3598">
        <v>254664.408</v>
      </c>
      <c r="D176" s="3598">
        <v>329050.217</v>
      </c>
      <c r="E176" s="2360">
        <f t="shared" si="7"/>
        <v>963354.55300000007</v>
      </c>
      <c r="F176" s="572">
        <v>1794.8690000000001</v>
      </c>
      <c r="G176" s="3598">
        <v>165019.68799999997</v>
      </c>
      <c r="H176" s="2393">
        <f t="shared" si="6"/>
        <v>162235.66000000003</v>
      </c>
    </row>
    <row r="177" spans="1:8">
      <c r="A177" s="53">
        <f t="shared" si="8"/>
        <v>2025.12</v>
      </c>
      <c r="B177" s="214">
        <v>558917.83799999999</v>
      </c>
      <c r="C177" s="3598">
        <v>324710.11800000002</v>
      </c>
      <c r="D177" s="3598">
        <v>300072.29200000007</v>
      </c>
      <c r="E177" s="2360">
        <f t="shared" si="7"/>
        <v>1183700.2480000001</v>
      </c>
      <c r="F177" s="572">
        <v>2106.8810000000003</v>
      </c>
      <c r="G177" s="3598">
        <v>174593.853</v>
      </c>
      <c r="H177" s="2393">
        <f t="shared" si="6"/>
        <v>123371.55800000008</v>
      </c>
    </row>
    <row r="178" spans="1:8">
      <c r="A178" s="53">
        <f t="shared" si="8"/>
        <v>2026.01</v>
      </c>
      <c r="B178" s="214">
        <v>568479.505</v>
      </c>
      <c r="C178" s="3598">
        <v>338083.864</v>
      </c>
      <c r="D178" s="3598">
        <v>313439.39499999996</v>
      </c>
      <c r="E178" s="2360">
        <f t="shared" si="7"/>
        <v>1220002.764</v>
      </c>
      <c r="F178" s="572">
        <v>2131.5140000000001</v>
      </c>
      <c r="G178" s="3598">
        <v>170834.28</v>
      </c>
      <c r="H178" s="2393">
        <f t="shared" si="6"/>
        <v>140473.60099999994</v>
      </c>
    </row>
    <row r="179" spans="1:8">
      <c r="A179" s="53">
        <f t="shared" si="8"/>
        <v>2026.02</v>
      </c>
      <c r="B179" s="214">
        <v>492939.94999999995</v>
      </c>
      <c r="C179" s="3598">
        <v>286410.94900000002</v>
      </c>
      <c r="D179" s="3598">
        <v>298181.55799999996</v>
      </c>
      <c r="E179" s="2360">
        <f t="shared" ref="E179" si="9">SUM(B179:D179)</f>
        <v>1077532.4569999999</v>
      </c>
      <c r="F179" s="572">
        <v>1948.431</v>
      </c>
      <c r="G179" s="3598">
        <v>139609.23200000002</v>
      </c>
      <c r="H179" s="2393">
        <f t="shared" ref="H179" si="10">D179-F179-G179</f>
        <v>156623.89499999996</v>
      </c>
    </row>
    <row r="180" spans="1:8">
      <c r="A180" s="53">
        <f t="shared" si="8"/>
        <v>2026.03</v>
      </c>
      <c r="B180" s="214" t="e">
        <v>#N/A</v>
      </c>
      <c r="C180" s="3598" t="e">
        <v>#N/A</v>
      </c>
      <c r="D180" s="3598" t="e">
        <v>#N/A</v>
      </c>
      <c r="E180" s="2360" t="e">
        <f t="shared" si="7"/>
        <v>#N/A</v>
      </c>
      <c r="F180" s="572" t="e">
        <v>#N/A</v>
      </c>
      <c r="G180" s="3598" t="e">
        <v>#N/A</v>
      </c>
      <c r="H180" s="2393" t="e">
        <f t="shared" si="6"/>
        <v>#N/A</v>
      </c>
    </row>
    <row r="181" spans="1:8">
      <c r="A181" s="53">
        <f t="shared" si="8"/>
        <v>2026.04</v>
      </c>
      <c r="B181" s="214" t="e">
        <v>#N/A</v>
      </c>
      <c r="C181" s="3598" t="e">
        <v>#N/A</v>
      </c>
      <c r="D181" s="3598" t="e">
        <v>#N/A</v>
      </c>
      <c r="E181" s="2360" t="e">
        <f t="shared" ref="E181" si="11">SUM(B181:D181)</f>
        <v>#N/A</v>
      </c>
      <c r="F181" s="572" t="e">
        <v>#N/A</v>
      </c>
      <c r="G181" s="3598" t="e">
        <v>#N/A</v>
      </c>
      <c r="H181" s="2393" t="e">
        <f t="shared" ref="H181" si="12">D181-F181-G181</f>
        <v>#N/A</v>
      </c>
    </row>
    <row r="182" spans="1:8">
      <c r="A182" s="53">
        <f t="shared" si="8"/>
        <v>2026.05</v>
      </c>
      <c r="B182" s="214" t="e">
        <v>#N/A</v>
      </c>
      <c r="C182" s="3598" t="e">
        <v>#N/A</v>
      </c>
      <c r="D182" s="3598" t="e">
        <v>#N/A</v>
      </c>
      <c r="E182" s="2360" t="e">
        <f t="shared" si="7"/>
        <v>#N/A</v>
      </c>
      <c r="F182" s="572" t="e">
        <v>#N/A</v>
      </c>
      <c r="G182" s="3598" t="e">
        <v>#N/A</v>
      </c>
      <c r="H182" s="2393" t="e">
        <f t="shared" si="6"/>
        <v>#N/A</v>
      </c>
    </row>
    <row r="183" spans="1:8">
      <c r="A183" s="53">
        <f t="shared" si="8"/>
        <v>2026.06</v>
      </c>
      <c r="B183" s="214" t="e">
        <v>#N/A</v>
      </c>
      <c r="C183" s="3598" t="e">
        <v>#N/A</v>
      </c>
      <c r="D183" s="3598" t="e">
        <v>#N/A</v>
      </c>
      <c r="E183" s="2360" t="e">
        <f t="shared" si="7"/>
        <v>#N/A</v>
      </c>
      <c r="F183" s="572" t="e">
        <v>#N/A</v>
      </c>
      <c r="G183" s="3598" t="e">
        <v>#N/A</v>
      </c>
      <c r="H183" s="2393" t="e">
        <f t="shared" si="6"/>
        <v>#N/A</v>
      </c>
    </row>
    <row r="184" spans="1:8">
      <c r="A184" s="53">
        <f t="shared" si="8"/>
        <v>2026.07</v>
      </c>
      <c r="B184" s="214" t="e">
        <v>#N/A</v>
      </c>
      <c r="C184" s="3598" t="e">
        <v>#N/A</v>
      </c>
      <c r="D184" s="3598" t="e">
        <v>#N/A</v>
      </c>
      <c r="E184" s="2360" t="e">
        <f t="shared" si="7"/>
        <v>#N/A</v>
      </c>
      <c r="F184" s="572" t="e">
        <v>#N/A</v>
      </c>
      <c r="G184" s="3598" t="e">
        <v>#N/A</v>
      </c>
      <c r="H184" s="2393" t="e">
        <f t="shared" si="6"/>
        <v>#N/A</v>
      </c>
    </row>
    <row r="185" spans="1:8">
      <c r="A185" s="53">
        <f t="shared" si="8"/>
        <v>2026.08</v>
      </c>
      <c r="B185" s="214" t="e">
        <v>#N/A</v>
      </c>
      <c r="C185" s="3598" t="e">
        <v>#N/A</v>
      </c>
      <c r="D185" s="3598" t="e">
        <v>#N/A</v>
      </c>
      <c r="E185" s="2360" t="e">
        <f t="shared" si="7"/>
        <v>#N/A</v>
      </c>
      <c r="F185" s="572" t="e">
        <v>#N/A</v>
      </c>
      <c r="G185" s="3598" t="e">
        <v>#N/A</v>
      </c>
      <c r="H185" s="2393" t="e">
        <f t="shared" si="6"/>
        <v>#N/A</v>
      </c>
    </row>
    <row r="186" spans="1:8">
      <c r="A186" s="53">
        <f t="shared" si="8"/>
        <v>2026.09</v>
      </c>
      <c r="B186" s="214" t="e">
        <v>#N/A</v>
      </c>
      <c r="C186" s="3598" t="e">
        <v>#N/A</v>
      </c>
      <c r="D186" s="3598" t="e">
        <v>#N/A</v>
      </c>
      <c r="E186" s="2360" t="e">
        <f t="shared" si="7"/>
        <v>#N/A</v>
      </c>
      <c r="F186" s="572" t="e">
        <v>#N/A</v>
      </c>
      <c r="G186" s="3598" t="e">
        <v>#N/A</v>
      </c>
      <c r="H186" s="2393" t="e">
        <f t="shared" si="6"/>
        <v>#N/A</v>
      </c>
    </row>
    <row r="187" spans="1:8">
      <c r="A187" s="53">
        <f t="shared" si="8"/>
        <v>2026.1</v>
      </c>
      <c r="B187" s="214" t="e">
        <v>#N/A</v>
      </c>
      <c r="C187" s="3598" t="e">
        <v>#N/A</v>
      </c>
      <c r="D187" s="3598" t="e">
        <v>#N/A</v>
      </c>
      <c r="E187" s="2360" t="e">
        <f t="shared" si="7"/>
        <v>#N/A</v>
      </c>
      <c r="F187" s="572" t="e">
        <v>#N/A</v>
      </c>
      <c r="G187" s="3598" t="e">
        <v>#N/A</v>
      </c>
      <c r="H187" s="2393" t="e">
        <f t="shared" si="6"/>
        <v>#N/A</v>
      </c>
    </row>
    <row r="188" spans="1:8">
      <c r="A188" s="53">
        <f t="shared" si="8"/>
        <v>2026.11</v>
      </c>
      <c r="B188" s="214" t="e">
        <v>#N/A</v>
      </c>
      <c r="C188" s="3598" t="e">
        <v>#N/A</v>
      </c>
      <c r="D188" s="3598" t="e">
        <v>#N/A</v>
      </c>
      <c r="E188" s="2360" t="e">
        <f t="shared" si="7"/>
        <v>#N/A</v>
      </c>
      <c r="F188" s="572" t="e">
        <v>#N/A</v>
      </c>
      <c r="G188" s="3598" t="e">
        <v>#N/A</v>
      </c>
      <c r="H188" s="2393" t="e">
        <f t="shared" si="6"/>
        <v>#N/A</v>
      </c>
    </row>
    <row r="189" spans="1:8">
      <c r="A189" s="53">
        <f t="shared" si="8"/>
        <v>2026.12</v>
      </c>
      <c r="B189" s="214" t="e">
        <v>#N/A</v>
      </c>
      <c r="C189" s="3598" t="e">
        <v>#N/A</v>
      </c>
      <c r="D189" s="3598" t="e">
        <v>#N/A</v>
      </c>
      <c r="E189" s="2360" t="e">
        <f t="shared" si="7"/>
        <v>#N/A</v>
      </c>
      <c r="F189" s="572" t="e">
        <v>#N/A</v>
      </c>
      <c r="G189" s="3598" t="e">
        <v>#N/A</v>
      </c>
      <c r="H189" s="2393" t="e">
        <f t="shared" si="6"/>
        <v>#N/A</v>
      </c>
    </row>
    <row r="190" spans="1:8">
      <c r="A190" s="53">
        <f t="shared" si="8"/>
        <v>2027.01</v>
      </c>
      <c r="B190" s="214" t="e">
        <v>#N/A</v>
      </c>
      <c r="C190" s="3598" t="e">
        <v>#N/A</v>
      </c>
      <c r="D190" s="3598" t="e">
        <v>#N/A</v>
      </c>
      <c r="E190" s="2360" t="e">
        <f t="shared" si="7"/>
        <v>#N/A</v>
      </c>
      <c r="F190" s="572" t="e">
        <v>#N/A</v>
      </c>
      <c r="G190" s="3598" t="e">
        <v>#N/A</v>
      </c>
      <c r="H190" s="2393" t="e">
        <f t="shared" si="6"/>
        <v>#N/A</v>
      </c>
    </row>
    <row r="191" spans="1:8">
      <c r="A191" s="53">
        <f t="shared" si="8"/>
        <v>2027.02</v>
      </c>
      <c r="B191" s="214" t="e">
        <v>#N/A</v>
      </c>
      <c r="C191" s="3598" t="e">
        <v>#N/A</v>
      </c>
      <c r="D191" s="3598" t="e">
        <v>#N/A</v>
      </c>
      <c r="E191" s="2360" t="e">
        <f t="shared" si="7"/>
        <v>#N/A</v>
      </c>
      <c r="F191" s="572" t="e">
        <v>#N/A</v>
      </c>
      <c r="G191" s="3598" t="e">
        <v>#N/A</v>
      </c>
      <c r="H191" s="2393" t="e">
        <f t="shared" si="6"/>
        <v>#N/A</v>
      </c>
    </row>
    <row r="192" spans="1:8">
      <c r="A192" s="53">
        <f t="shared" si="8"/>
        <v>2027.03</v>
      </c>
      <c r="B192" s="214" t="e">
        <v>#N/A</v>
      </c>
      <c r="C192" s="3598" t="e">
        <v>#N/A</v>
      </c>
      <c r="D192" s="3598" t="e">
        <v>#N/A</v>
      </c>
      <c r="E192" s="2360" t="e">
        <f t="shared" si="7"/>
        <v>#N/A</v>
      </c>
      <c r="F192" s="572" t="e">
        <v>#N/A</v>
      </c>
      <c r="G192" s="3598" t="e">
        <v>#N/A</v>
      </c>
      <c r="H192" s="2393" t="e">
        <f t="shared" si="6"/>
        <v>#N/A</v>
      </c>
    </row>
    <row r="193" spans="1:8">
      <c r="A193" s="53">
        <f t="shared" si="8"/>
        <v>2027.04</v>
      </c>
      <c r="B193" s="214" t="e">
        <v>#N/A</v>
      </c>
      <c r="C193" s="3598" t="e">
        <v>#N/A</v>
      </c>
      <c r="D193" s="3598" t="e">
        <v>#N/A</v>
      </c>
      <c r="E193" s="2360" t="e">
        <f t="shared" si="7"/>
        <v>#N/A</v>
      </c>
      <c r="F193" s="572" t="e">
        <v>#N/A</v>
      </c>
      <c r="G193" s="3598" t="e">
        <v>#N/A</v>
      </c>
      <c r="H193" s="2393" t="e">
        <f t="shared" si="6"/>
        <v>#N/A</v>
      </c>
    </row>
    <row r="194" spans="1:8">
      <c r="A194" s="53">
        <f t="shared" si="8"/>
        <v>2027.05</v>
      </c>
      <c r="B194" s="214" t="e">
        <v>#N/A</v>
      </c>
      <c r="C194" s="3598" t="e">
        <v>#N/A</v>
      </c>
      <c r="D194" s="3598" t="e">
        <v>#N/A</v>
      </c>
      <c r="E194" s="2360" t="e">
        <f t="shared" si="7"/>
        <v>#N/A</v>
      </c>
      <c r="F194" s="572" t="e">
        <v>#N/A</v>
      </c>
      <c r="G194" s="3598" t="e">
        <v>#N/A</v>
      </c>
      <c r="H194" s="2393" t="e">
        <f t="shared" si="6"/>
        <v>#N/A</v>
      </c>
    </row>
    <row r="195" spans="1:8">
      <c r="A195" s="53">
        <f t="shared" si="8"/>
        <v>2027.06</v>
      </c>
      <c r="B195" s="214" t="e">
        <v>#N/A</v>
      </c>
      <c r="C195" s="3598" t="e">
        <v>#N/A</v>
      </c>
      <c r="D195" s="3598" t="e">
        <v>#N/A</v>
      </c>
      <c r="E195" s="2360" t="e">
        <f t="shared" si="7"/>
        <v>#N/A</v>
      </c>
      <c r="F195" s="572" t="e">
        <v>#N/A</v>
      </c>
      <c r="G195" s="3598" t="e">
        <v>#N/A</v>
      </c>
      <c r="H195" s="2393" t="e">
        <f t="shared" si="6"/>
        <v>#N/A</v>
      </c>
    </row>
    <row r="196" spans="1:8">
      <c r="A196" s="53">
        <f t="shared" si="8"/>
        <v>2027.07</v>
      </c>
      <c r="B196" s="214" t="e">
        <v>#N/A</v>
      </c>
      <c r="C196" s="3598" t="e">
        <v>#N/A</v>
      </c>
      <c r="D196" s="3598" t="e">
        <v>#N/A</v>
      </c>
      <c r="E196" s="2360" t="e">
        <f t="shared" si="7"/>
        <v>#N/A</v>
      </c>
      <c r="F196" s="572" t="e">
        <v>#N/A</v>
      </c>
      <c r="G196" s="3598" t="e">
        <v>#N/A</v>
      </c>
      <c r="H196" s="2393" t="e">
        <f t="shared" si="6"/>
        <v>#N/A</v>
      </c>
    </row>
    <row r="197" spans="1:8">
      <c r="A197" s="53">
        <f t="shared" si="8"/>
        <v>2027.08</v>
      </c>
      <c r="B197" s="214" t="e">
        <v>#N/A</v>
      </c>
      <c r="C197" s="3598" t="e">
        <v>#N/A</v>
      </c>
      <c r="D197" s="3598" t="e">
        <v>#N/A</v>
      </c>
      <c r="E197" s="2360" t="e">
        <f t="shared" si="7"/>
        <v>#N/A</v>
      </c>
      <c r="F197" s="572" t="e">
        <v>#N/A</v>
      </c>
      <c r="G197" s="3598" t="e">
        <v>#N/A</v>
      </c>
      <c r="H197" s="2393" t="e">
        <f t="shared" si="6"/>
        <v>#N/A</v>
      </c>
    </row>
    <row r="198" spans="1:8">
      <c r="A198" s="53">
        <f t="shared" si="8"/>
        <v>2027.09</v>
      </c>
      <c r="B198" s="214" t="e">
        <v>#N/A</v>
      </c>
      <c r="C198" s="3598" t="e">
        <v>#N/A</v>
      </c>
      <c r="D198" s="3598" t="e">
        <v>#N/A</v>
      </c>
      <c r="E198" s="2360" t="e">
        <f t="shared" si="7"/>
        <v>#N/A</v>
      </c>
      <c r="F198" s="572" t="e">
        <v>#N/A</v>
      </c>
      <c r="G198" s="3598" t="e">
        <v>#N/A</v>
      </c>
      <c r="H198" s="2393" t="e">
        <f t="shared" si="6"/>
        <v>#N/A</v>
      </c>
    </row>
    <row r="199" spans="1:8">
      <c r="A199" s="53">
        <f t="shared" si="8"/>
        <v>2027.1</v>
      </c>
      <c r="B199" s="214" t="e">
        <v>#N/A</v>
      </c>
      <c r="C199" s="3598" t="e">
        <v>#N/A</v>
      </c>
      <c r="D199" s="3598" t="e">
        <v>#N/A</v>
      </c>
      <c r="E199" s="2360" t="e">
        <f t="shared" si="7"/>
        <v>#N/A</v>
      </c>
      <c r="F199" s="572" t="e">
        <v>#N/A</v>
      </c>
      <c r="G199" s="3598" t="e">
        <v>#N/A</v>
      </c>
      <c r="H199" s="2393" t="e">
        <f t="shared" si="6"/>
        <v>#N/A</v>
      </c>
    </row>
    <row r="200" spans="1:8">
      <c r="A200" s="53">
        <f t="shared" si="8"/>
        <v>2027.11</v>
      </c>
      <c r="B200" s="214" t="e">
        <v>#N/A</v>
      </c>
      <c r="C200" s="3598" t="e">
        <v>#N/A</v>
      </c>
      <c r="D200" s="3598" t="e">
        <v>#N/A</v>
      </c>
      <c r="E200" s="2360" t="e">
        <f t="shared" si="7"/>
        <v>#N/A</v>
      </c>
      <c r="F200" s="572" t="e">
        <v>#N/A</v>
      </c>
      <c r="G200" s="3598" t="e">
        <v>#N/A</v>
      </c>
      <c r="H200" s="2393" t="e">
        <f t="shared" si="6"/>
        <v>#N/A</v>
      </c>
    </row>
    <row r="201" spans="1:8">
      <c r="A201" s="53">
        <f t="shared" si="8"/>
        <v>2027.12</v>
      </c>
      <c r="B201" s="214" t="e">
        <v>#N/A</v>
      </c>
      <c r="C201" s="3598" t="e">
        <v>#N/A</v>
      </c>
      <c r="D201" s="3598" t="e">
        <v>#N/A</v>
      </c>
      <c r="E201" s="2360" t="e">
        <f t="shared" si="7"/>
        <v>#N/A</v>
      </c>
      <c r="F201" s="572" t="e">
        <v>#N/A</v>
      </c>
      <c r="G201" s="3598" t="e">
        <v>#N/A</v>
      </c>
      <c r="H201" s="2393" t="e">
        <f t="shared" si="6"/>
        <v>#N/A</v>
      </c>
    </row>
    <row r="202" spans="1:8">
      <c r="A202" s="53">
        <f t="shared" si="8"/>
        <v>2028.01</v>
      </c>
      <c r="B202" s="214" t="e">
        <v>#N/A</v>
      </c>
      <c r="C202" s="3598" t="e">
        <v>#N/A</v>
      </c>
      <c r="D202" s="3598" t="e">
        <v>#N/A</v>
      </c>
      <c r="E202" s="2360" t="e">
        <f t="shared" si="7"/>
        <v>#N/A</v>
      </c>
      <c r="F202" s="572" t="e">
        <v>#N/A</v>
      </c>
      <c r="G202" s="3598" t="e">
        <v>#N/A</v>
      </c>
      <c r="H202" s="2393" t="e">
        <f t="shared" si="6"/>
        <v>#N/A</v>
      </c>
    </row>
    <row r="203" spans="1:8">
      <c r="A203" s="53">
        <f t="shared" si="8"/>
        <v>2028.02</v>
      </c>
      <c r="B203" s="214" t="e">
        <v>#N/A</v>
      </c>
      <c r="C203" s="3598" t="e">
        <v>#N/A</v>
      </c>
      <c r="D203" s="3598" t="e">
        <v>#N/A</v>
      </c>
      <c r="E203" s="2360" t="e">
        <f t="shared" si="7"/>
        <v>#N/A</v>
      </c>
      <c r="F203" s="572" t="e">
        <v>#N/A</v>
      </c>
      <c r="G203" s="3598" t="e">
        <v>#N/A</v>
      </c>
      <c r="H203" s="2393" t="e">
        <f t="shared" ref="H203:H237" si="13">D203-F203-G203</f>
        <v>#N/A</v>
      </c>
    </row>
    <row r="204" spans="1:8">
      <c r="A204" s="53">
        <f t="shared" si="8"/>
        <v>2028.03</v>
      </c>
      <c r="B204" s="214" t="e">
        <v>#N/A</v>
      </c>
      <c r="C204" s="3598" t="e">
        <v>#N/A</v>
      </c>
      <c r="D204" s="3598" t="e">
        <v>#N/A</v>
      </c>
      <c r="E204" s="2360" t="e">
        <f t="shared" ref="E204:E237" si="14">SUM(B204:D204)</f>
        <v>#N/A</v>
      </c>
      <c r="F204" s="572" t="e">
        <v>#N/A</v>
      </c>
      <c r="G204" s="3598" t="e">
        <v>#N/A</v>
      </c>
      <c r="H204" s="2393" t="e">
        <f t="shared" si="13"/>
        <v>#N/A</v>
      </c>
    </row>
    <row r="205" spans="1:8">
      <c r="A205" s="53">
        <f t="shared" si="8"/>
        <v>2028.04</v>
      </c>
      <c r="B205" s="214" t="e">
        <v>#N/A</v>
      </c>
      <c r="C205" s="3598" t="e">
        <v>#N/A</v>
      </c>
      <c r="D205" s="3598" t="e">
        <v>#N/A</v>
      </c>
      <c r="E205" s="2360" t="e">
        <f t="shared" si="14"/>
        <v>#N/A</v>
      </c>
      <c r="F205" s="572" t="e">
        <v>#N/A</v>
      </c>
      <c r="G205" s="3598" t="e">
        <v>#N/A</v>
      </c>
      <c r="H205" s="2393" t="e">
        <f t="shared" si="13"/>
        <v>#N/A</v>
      </c>
    </row>
    <row r="206" spans="1:8">
      <c r="A206" s="53">
        <f t="shared" si="8"/>
        <v>2028.05</v>
      </c>
      <c r="B206" s="214" t="e">
        <v>#N/A</v>
      </c>
      <c r="C206" s="3598" t="e">
        <v>#N/A</v>
      </c>
      <c r="D206" s="3598" t="e">
        <v>#N/A</v>
      </c>
      <c r="E206" s="2360" t="e">
        <f t="shared" si="14"/>
        <v>#N/A</v>
      </c>
      <c r="F206" s="572" t="e">
        <v>#N/A</v>
      </c>
      <c r="G206" s="3598" t="e">
        <v>#N/A</v>
      </c>
      <c r="H206" s="2393" t="e">
        <f t="shared" si="13"/>
        <v>#N/A</v>
      </c>
    </row>
    <row r="207" spans="1:8">
      <c r="A207" s="53">
        <f t="shared" si="8"/>
        <v>2028.06</v>
      </c>
      <c r="B207" s="214" t="e">
        <v>#N/A</v>
      </c>
      <c r="C207" s="3598" t="e">
        <v>#N/A</v>
      </c>
      <c r="D207" s="3598" t="e">
        <v>#N/A</v>
      </c>
      <c r="E207" s="2360" t="e">
        <f t="shared" si="14"/>
        <v>#N/A</v>
      </c>
      <c r="F207" s="572" t="e">
        <v>#N/A</v>
      </c>
      <c r="G207" s="3598" t="e">
        <v>#N/A</v>
      </c>
      <c r="H207" s="2393" t="e">
        <f t="shared" si="13"/>
        <v>#N/A</v>
      </c>
    </row>
    <row r="208" spans="1:8">
      <c r="A208" s="53">
        <f t="shared" si="8"/>
        <v>2028.07</v>
      </c>
      <c r="B208" s="214" t="e">
        <v>#N/A</v>
      </c>
      <c r="C208" s="3598" t="e">
        <v>#N/A</v>
      </c>
      <c r="D208" s="3598" t="e">
        <v>#N/A</v>
      </c>
      <c r="E208" s="2360" t="e">
        <f t="shared" si="14"/>
        <v>#N/A</v>
      </c>
      <c r="F208" s="572" t="e">
        <v>#N/A</v>
      </c>
      <c r="G208" s="3598" t="e">
        <v>#N/A</v>
      </c>
      <c r="H208" s="2393" t="e">
        <f t="shared" si="13"/>
        <v>#N/A</v>
      </c>
    </row>
    <row r="209" spans="1:8">
      <c r="A209" s="53">
        <f t="shared" si="8"/>
        <v>2028.08</v>
      </c>
      <c r="B209" s="214" t="e">
        <v>#N/A</v>
      </c>
      <c r="C209" s="3598" t="e">
        <v>#N/A</v>
      </c>
      <c r="D209" s="3598" t="e">
        <v>#N/A</v>
      </c>
      <c r="E209" s="2360" t="e">
        <f t="shared" si="14"/>
        <v>#N/A</v>
      </c>
      <c r="F209" s="572" t="e">
        <v>#N/A</v>
      </c>
      <c r="G209" s="3598" t="e">
        <v>#N/A</v>
      </c>
      <c r="H209" s="2393" t="e">
        <f t="shared" si="13"/>
        <v>#N/A</v>
      </c>
    </row>
    <row r="210" spans="1:8">
      <c r="A210" s="53">
        <f t="shared" si="8"/>
        <v>2028.09</v>
      </c>
      <c r="B210" s="214" t="e">
        <v>#N/A</v>
      </c>
      <c r="C210" s="3598" t="e">
        <v>#N/A</v>
      </c>
      <c r="D210" s="3598" t="e">
        <v>#N/A</v>
      </c>
      <c r="E210" s="2360" t="e">
        <f t="shared" si="14"/>
        <v>#N/A</v>
      </c>
      <c r="F210" s="572" t="e">
        <v>#N/A</v>
      </c>
      <c r="G210" s="3598" t="e">
        <v>#N/A</v>
      </c>
      <c r="H210" s="2393" t="e">
        <f t="shared" si="13"/>
        <v>#N/A</v>
      </c>
    </row>
    <row r="211" spans="1:8">
      <c r="A211" s="53">
        <f t="shared" si="8"/>
        <v>2028.1</v>
      </c>
      <c r="B211" s="214" t="e">
        <v>#N/A</v>
      </c>
      <c r="C211" s="3598" t="e">
        <v>#N/A</v>
      </c>
      <c r="D211" s="3598" t="e">
        <v>#N/A</v>
      </c>
      <c r="E211" s="2360" t="e">
        <f t="shared" si="14"/>
        <v>#N/A</v>
      </c>
      <c r="F211" s="572" t="e">
        <v>#N/A</v>
      </c>
      <c r="G211" s="3598" t="e">
        <v>#N/A</v>
      </c>
      <c r="H211" s="2393" t="e">
        <f t="shared" si="13"/>
        <v>#N/A</v>
      </c>
    </row>
    <row r="212" spans="1:8">
      <c r="A212" s="53">
        <f t="shared" si="8"/>
        <v>2028.11</v>
      </c>
      <c r="B212" s="214" t="e">
        <v>#N/A</v>
      </c>
      <c r="C212" s="3598" t="e">
        <v>#N/A</v>
      </c>
      <c r="D212" s="3598" t="e">
        <v>#N/A</v>
      </c>
      <c r="E212" s="2360" t="e">
        <f t="shared" si="14"/>
        <v>#N/A</v>
      </c>
      <c r="F212" s="572" t="e">
        <v>#N/A</v>
      </c>
      <c r="G212" s="3598" t="e">
        <v>#N/A</v>
      </c>
      <c r="H212" s="2393" t="e">
        <f t="shared" si="13"/>
        <v>#N/A</v>
      </c>
    </row>
    <row r="213" spans="1:8">
      <c r="A213" s="53">
        <f t="shared" si="8"/>
        <v>2028.12</v>
      </c>
      <c r="B213" s="214" t="e">
        <v>#N/A</v>
      </c>
      <c r="C213" s="3598" t="e">
        <v>#N/A</v>
      </c>
      <c r="D213" s="3598" t="e">
        <v>#N/A</v>
      </c>
      <c r="E213" s="2360" t="e">
        <f t="shared" si="14"/>
        <v>#N/A</v>
      </c>
      <c r="F213" s="572" t="e">
        <v>#N/A</v>
      </c>
      <c r="G213" s="3598" t="e">
        <v>#N/A</v>
      </c>
      <c r="H213" s="2393" t="e">
        <f t="shared" si="13"/>
        <v>#N/A</v>
      </c>
    </row>
    <row r="214" spans="1:8">
      <c r="A214" s="53">
        <f t="shared" si="8"/>
        <v>2029.01</v>
      </c>
      <c r="B214" s="214" t="e">
        <v>#N/A</v>
      </c>
      <c r="C214" s="3598" t="e">
        <v>#N/A</v>
      </c>
      <c r="D214" s="3598" t="e">
        <v>#N/A</v>
      </c>
      <c r="E214" s="2360" t="e">
        <f t="shared" si="14"/>
        <v>#N/A</v>
      </c>
      <c r="F214" s="572" t="e">
        <v>#N/A</v>
      </c>
      <c r="G214" s="3598" t="e">
        <v>#N/A</v>
      </c>
      <c r="H214" s="2393" t="e">
        <f t="shared" si="13"/>
        <v>#N/A</v>
      </c>
    </row>
    <row r="215" spans="1:8">
      <c r="A215" s="53">
        <f t="shared" ref="A215:A237" si="15">A203+1</f>
        <v>2029.02</v>
      </c>
      <c r="B215" s="214" t="e">
        <v>#N/A</v>
      </c>
      <c r="C215" s="3598" t="e">
        <v>#N/A</v>
      </c>
      <c r="D215" s="3598" t="e">
        <v>#N/A</v>
      </c>
      <c r="E215" s="2360" t="e">
        <f t="shared" si="14"/>
        <v>#N/A</v>
      </c>
      <c r="F215" s="572" t="e">
        <v>#N/A</v>
      </c>
      <c r="G215" s="3598" t="e">
        <v>#N/A</v>
      </c>
      <c r="H215" s="2393" t="e">
        <f t="shared" si="13"/>
        <v>#N/A</v>
      </c>
    </row>
    <row r="216" spans="1:8">
      <c r="A216" s="53">
        <f t="shared" si="15"/>
        <v>2029.03</v>
      </c>
      <c r="B216" s="214" t="e">
        <v>#N/A</v>
      </c>
      <c r="C216" s="3598" t="e">
        <v>#N/A</v>
      </c>
      <c r="D216" s="3598" t="e">
        <v>#N/A</v>
      </c>
      <c r="E216" s="2360" t="e">
        <f t="shared" si="14"/>
        <v>#N/A</v>
      </c>
      <c r="F216" s="572" t="e">
        <v>#N/A</v>
      </c>
      <c r="G216" s="3598" t="e">
        <v>#N/A</v>
      </c>
      <c r="H216" s="2393" t="e">
        <f t="shared" si="13"/>
        <v>#N/A</v>
      </c>
    </row>
    <row r="217" spans="1:8">
      <c r="A217" s="53">
        <f t="shared" si="15"/>
        <v>2029.04</v>
      </c>
      <c r="B217" s="214" t="e">
        <v>#N/A</v>
      </c>
      <c r="C217" s="3598" t="e">
        <v>#N/A</v>
      </c>
      <c r="D217" s="3598" t="e">
        <v>#N/A</v>
      </c>
      <c r="E217" s="2360" t="e">
        <f t="shared" si="14"/>
        <v>#N/A</v>
      </c>
      <c r="F217" s="572" t="e">
        <v>#N/A</v>
      </c>
      <c r="G217" s="3598" t="e">
        <v>#N/A</v>
      </c>
      <c r="H217" s="2393" t="e">
        <f t="shared" si="13"/>
        <v>#N/A</v>
      </c>
    </row>
    <row r="218" spans="1:8">
      <c r="A218" s="53">
        <f t="shared" si="15"/>
        <v>2029.05</v>
      </c>
      <c r="B218" s="214" t="e">
        <v>#N/A</v>
      </c>
      <c r="C218" s="3598" t="e">
        <v>#N/A</v>
      </c>
      <c r="D218" s="3598" t="e">
        <v>#N/A</v>
      </c>
      <c r="E218" s="2360" t="e">
        <f t="shared" si="14"/>
        <v>#N/A</v>
      </c>
      <c r="F218" s="572" t="e">
        <v>#N/A</v>
      </c>
      <c r="G218" s="3598" t="e">
        <v>#N/A</v>
      </c>
      <c r="H218" s="2393" t="e">
        <f t="shared" si="13"/>
        <v>#N/A</v>
      </c>
    </row>
    <row r="219" spans="1:8">
      <c r="A219" s="53">
        <f t="shared" si="15"/>
        <v>2029.06</v>
      </c>
      <c r="B219" s="214" t="e">
        <v>#N/A</v>
      </c>
      <c r="C219" s="3598" t="e">
        <v>#N/A</v>
      </c>
      <c r="D219" s="3598" t="e">
        <v>#N/A</v>
      </c>
      <c r="E219" s="2360" t="e">
        <f t="shared" si="14"/>
        <v>#N/A</v>
      </c>
      <c r="F219" s="572" t="e">
        <v>#N/A</v>
      </c>
      <c r="G219" s="3598" t="e">
        <v>#N/A</v>
      </c>
      <c r="H219" s="2393" t="e">
        <f t="shared" si="13"/>
        <v>#N/A</v>
      </c>
    </row>
    <row r="220" spans="1:8">
      <c r="A220" s="53">
        <f t="shared" si="15"/>
        <v>2029.07</v>
      </c>
      <c r="B220" s="214" t="e">
        <v>#N/A</v>
      </c>
      <c r="C220" s="3598" t="e">
        <v>#N/A</v>
      </c>
      <c r="D220" s="3598" t="e">
        <v>#N/A</v>
      </c>
      <c r="E220" s="2360" t="e">
        <f t="shared" si="14"/>
        <v>#N/A</v>
      </c>
      <c r="F220" s="572" t="e">
        <v>#N/A</v>
      </c>
      <c r="G220" s="3598" t="e">
        <v>#N/A</v>
      </c>
      <c r="H220" s="2393" t="e">
        <f t="shared" si="13"/>
        <v>#N/A</v>
      </c>
    </row>
    <row r="221" spans="1:8">
      <c r="A221" s="53">
        <f t="shared" si="15"/>
        <v>2029.08</v>
      </c>
      <c r="B221" s="214" t="e">
        <v>#N/A</v>
      </c>
      <c r="C221" s="3598" t="e">
        <v>#N/A</v>
      </c>
      <c r="D221" s="3598" t="e">
        <v>#N/A</v>
      </c>
      <c r="E221" s="2360" t="e">
        <f t="shared" si="14"/>
        <v>#N/A</v>
      </c>
      <c r="F221" s="572" t="e">
        <v>#N/A</v>
      </c>
      <c r="G221" s="3598" t="e">
        <v>#N/A</v>
      </c>
      <c r="H221" s="2393" t="e">
        <f t="shared" si="13"/>
        <v>#N/A</v>
      </c>
    </row>
    <row r="222" spans="1:8">
      <c r="A222" s="53">
        <f t="shared" si="15"/>
        <v>2029.09</v>
      </c>
      <c r="B222" s="214" t="e">
        <v>#N/A</v>
      </c>
      <c r="C222" s="3598" t="e">
        <v>#N/A</v>
      </c>
      <c r="D222" s="3598" t="e">
        <v>#N/A</v>
      </c>
      <c r="E222" s="2360" t="e">
        <f t="shared" si="14"/>
        <v>#N/A</v>
      </c>
      <c r="F222" s="572" t="e">
        <v>#N/A</v>
      </c>
      <c r="G222" s="3598" t="e">
        <v>#N/A</v>
      </c>
      <c r="H222" s="2393" t="e">
        <f t="shared" si="13"/>
        <v>#N/A</v>
      </c>
    </row>
    <row r="223" spans="1:8">
      <c r="A223" s="53">
        <f t="shared" si="15"/>
        <v>2029.1</v>
      </c>
      <c r="B223" s="214" t="e">
        <v>#N/A</v>
      </c>
      <c r="C223" s="3598" t="e">
        <v>#N/A</v>
      </c>
      <c r="D223" s="3598" t="e">
        <v>#N/A</v>
      </c>
      <c r="E223" s="2360" t="e">
        <f t="shared" si="14"/>
        <v>#N/A</v>
      </c>
      <c r="F223" s="572" t="e">
        <v>#N/A</v>
      </c>
      <c r="G223" s="3598" t="e">
        <v>#N/A</v>
      </c>
      <c r="H223" s="2393" t="e">
        <f t="shared" si="13"/>
        <v>#N/A</v>
      </c>
    </row>
    <row r="224" spans="1:8">
      <c r="A224" s="53">
        <f t="shared" si="15"/>
        <v>2029.11</v>
      </c>
      <c r="B224" s="214" t="e">
        <v>#N/A</v>
      </c>
      <c r="C224" s="3598" t="e">
        <v>#N/A</v>
      </c>
      <c r="D224" s="3598" t="e">
        <v>#N/A</v>
      </c>
      <c r="E224" s="2360" t="e">
        <f t="shared" si="14"/>
        <v>#N/A</v>
      </c>
      <c r="F224" s="572" t="e">
        <v>#N/A</v>
      </c>
      <c r="G224" s="3598" t="e">
        <v>#N/A</v>
      </c>
      <c r="H224" s="2393" t="e">
        <f t="shared" si="13"/>
        <v>#N/A</v>
      </c>
    </row>
    <row r="225" spans="1:8">
      <c r="A225" s="53">
        <f t="shared" si="15"/>
        <v>2029.12</v>
      </c>
      <c r="B225" s="214" t="e">
        <v>#N/A</v>
      </c>
      <c r="C225" s="3598" t="e">
        <v>#N/A</v>
      </c>
      <c r="D225" s="3598" t="e">
        <v>#N/A</v>
      </c>
      <c r="E225" s="2360" t="e">
        <f t="shared" si="14"/>
        <v>#N/A</v>
      </c>
      <c r="F225" s="572" t="e">
        <v>#N/A</v>
      </c>
      <c r="G225" s="3598" t="e">
        <v>#N/A</v>
      </c>
      <c r="H225" s="2393" t="e">
        <f t="shared" si="13"/>
        <v>#N/A</v>
      </c>
    </row>
    <row r="226" spans="1:8">
      <c r="A226" s="53">
        <f t="shared" si="15"/>
        <v>2030.01</v>
      </c>
      <c r="B226" s="214" t="e">
        <v>#N/A</v>
      </c>
      <c r="C226" s="3598" t="e">
        <v>#N/A</v>
      </c>
      <c r="D226" s="3598" t="e">
        <v>#N/A</v>
      </c>
      <c r="E226" s="2360" t="e">
        <f t="shared" si="14"/>
        <v>#N/A</v>
      </c>
      <c r="F226" s="572" t="e">
        <v>#N/A</v>
      </c>
      <c r="G226" s="3598" t="e">
        <v>#N/A</v>
      </c>
      <c r="H226" s="2393" t="e">
        <f t="shared" si="13"/>
        <v>#N/A</v>
      </c>
    </row>
    <row r="227" spans="1:8">
      <c r="A227" s="53">
        <f t="shared" si="15"/>
        <v>2030.02</v>
      </c>
      <c r="B227" s="214" t="e">
        <v>#N/A</v>
      </c>
      <c r="C227" s="3598" t="e">
        <v>#N/A</v>
      </c>
      <c r="D227" s="3598" t="e">
        <v>#N/A</v>
      </c>
      <c r="E227" s="2360" t="e">
        <f t="shared" si="14"/>
        <v>#N/A</v>
      </c>
      <c r="F227" s="572" t="e">
        <v>#N/A</v>
      </c>
      <c r="G227" s="3598" t="e">
        <v>#N/A</v>
      </c>
      <c r="H227" s="2393" t="e">
        <f t="shared" si="13"/>
        <v>#N/A</v>
      </c>
    </row>
    <row r="228" spans="1:8">
      <c r="A228" s="53">
        <f t="shared" si="15"/>
        <v>2030.03</v>
      </c>
      <c r="B228" s="214" t="e">
        <v>#N/A</v>
      </c>
      <c r="C228" s="3598" t="e">
        <v>#N/A</v>
      </c>
      <c r="D228" s="3598" t="e">
        <v>#N/A</v>
      </c>
      <c r="E228" s="2360" t="e">
        <f t="shared" si="14"/>
        <v>#N/A</v>
      </c>
      <c r="F228" s="572" t="e">
        <v>#N/A</v>
      </c>
      <c r="G228" s="3598" t="e">
        <v>#N/A</v>
      </c>
      <c r="H228" s="2393" t="e">
        <f t="shared" si="13"/>
        <v>#N/A</v>
      </c>
    </row>
    <row r="229" spans="1:8">
      <c r="A229" s="53">
        <f t="shared" si="15"/>
        <v>2030.04</v>
      </c>
      <c r="B229" s="214" t="e">
        <v>#N/A</v>
      </c>
      <c r="C229" s="3598" t="e">
        <v>#N/A</v>
      </c>
      <c r="D229" s="3598" t="e">
        <v>#N/A</v>
      </c>
      <c r="E229" s="2360" t="e">
        <f t="shared" si="14"/>
        <v>#N/A</v>
      </c>
      <c r="F229" s="572" t="e">
        <v>#N/A</v>
      </c>
      <c r="G229" s="3598" t="e">
        <v>#N/A</v>
      </c>
      <c r="H229" s="2393" t="e">
        <f t="shared" si="13"/>
        <v>#N/A</v>
      </c>
    </row>
    <row r="230" spans="1:8">
      <c r="A230" s="53">
        <f t="shared" si="15"/>
        <v>2030.05</v>
      </c>
      <c r="B230" s="214" t="e">
        <v>#N/A</v>
      </c>
      <c r="C230" s="3598" t="e">
        <v>#N/A</v>
      </c>
      <c r="D230" s="3598" t="e">
        <v>#N/A</v>
      </c>
      <c r="E230" s="2360" t="e">
        <f t="shared" si="14"/>
        <v>#N/A</v>
      </c>
      <c r="F230" s="572" t="e">
        <v>#N/A</v>
      </c>
      <c r="G230" s="3598" t="e">
        <v>#N/A</v>
      </c>
      <c r="H230" s="2393" t="e">
        <f t="shared" si="13"/>
        <v>#N/A</v>
      </c>
    </row>
    <row r="231" spans="1:8">
      <c r="A231" s="53">
        <f t="shared" si="15"/>
        <v>2030.06</v>
      </c>
      <c r="B231" s="214" t="e">
        <v>#N/A</v>
      </c>
      <c r="C231" s="3598" t="e">
        <v>#N/A</v>
      </c>
      <c r="D231" s="3598" t="e">
        <v>#N/A</v>
      </c>
      <c r="E231" s="2360" t="e">
        <f t="shared" si="14"/>
        <v>#N/A</v>
      </c>
      <c r="F231" s="572" t="e">
        <v>#N/A</v>
      </c>
      <c r="G231" s="3598" t="e">
        <v>#N/A</v>
      </c>
      <c r="H231" s="2393" t="e">
        <f t="shared" si="13"/>
        <v>#N/A</v>
      </c>
    </row>
    <row r="232" spans="1:8">
      <c r="A232" s="53">
        <f t="shared" si="15"/>
        <v>2030.07</v>
      </c>
      <c r="B232" s="214" t="e">
        <v>#N/A</v>
      </c>
      <c r="C232" s="3598" t="e">
        <v>#N/A</v>
      </c>
      <c r="D232" s="3598" t="e">
        <v>#N/A</v>
      </c>
      <c r="E232" s="2360" t="e">
        <f t="shared" si="14"/>
        <v>#N/A</v>
      </c>
      <c r="F232" s="572" t="e">
        <v>#N/A</v>
      </c>
      <c r="G232" s="3598" t="e">
        <v>#N/A</v>
      </c>
      <c r="H232" s="2393" t="e">
        <f t="shared" si="13"/>
        <v>#N/A</v>
      </c>
    </row>
    <row r="233" spans="1:8">
      <c r="A233" s="53">
        <f t="shared" si="15"/>
        <v>2030.08</v>
      </c>
      <c r="B233" s="214" t="e">
        <v>#N/A</v>
      </c>
      <c r="C233" s="3598" t="e">
        <v>#N/A</v>
      </c>
      <c r="D233" s="3598" t="e">
        <v>#N/A</v>
      </c>
      <c r="E233" s="2360" t="e">
        <f t="shared" si="14"/>
        <v>#N/A</v>
      </c>
      <c r="F233" s="572" t="e">
        <v>#N/A</v>
      </c>
      <c r="G233" s="3598" t="e">
        <v>#N/A</v>
      </c>
      <c r="H233" s="2393" t="e">
        <f t="shared" si="13"/>
        <v>#N/A</v>
      </c>
    </row>
    <row r="234" spans="1:8">
      <c r="A234" s="53">
        <f t="shared" si="15"/>
        <v>2030.09</v>
      </c>
      <c r="B234" s="214" t="e">
        <v>#N/A</v>
      </c>
      <c r="C234" s="3598" t="e">
        <v>#N/A</v>
      </c>
      <c r="D234" s="3598" t="e">
        <v>#N/A</v>
      </c>
      <c r="E234" s="2360" t="e">
        <f t="shared" si="14"/>
        <v>#N/A</v>
      </c>
      <c r="F234" s="572" t="e">
        <v>#N/A</v>
      </c>
      <c r="G234" s="3598" t="e">
        <v>#N/A</v>
      </c>
      <c r="H234" s="2393" t="e">
        <f t="shared" si="13"/>
        <v>#N/A</v>
      </c>
    </row>
    <row r="235" spans="1:8">
      <c r="A235" s="53">
        <f t="shared" si="15"/>
        <v>2030.1</v>
      </c>
      <c r="B235" s="214" t="e">
        <v>#N/A</v>
      </c>
      <c r="C235" s="3598" t="e">
        <v>#N/A</v>
      </c>
      <c r="D235" s="3598" t="e">
        <v>#N/A</v>
      </c>
      <c r="E235" s="2360" t="e">
        <f t="shared" si="14"/>
        <v>#N/A</v>
      </c>
      <c r="F235" s="572" t="e">
        <v>#N/A</v>
      </c>
      <c r="G235" s="3598" t="e">
        <v>#N/A</v>
      </c>
      <c r="H235" s="2393" t="e">
        <f t="shared" si="13"/>
        <v>#N/A</v>
      </c>
    </row>
    <row r="236" spans="1:8">
      <c r="A236" s="53">
        <f t="shared" si="15"/>
        <v>2030.11</v>
      </c>
      <c r="B236" s="214" t="e">
        <v>#N/A</v>
      </c>
      <c r="C236" s="3598" t="e">
        <v>#N/A</v>
      </c>
      <c r="D236" s="3598" t="e">
        <v>#N/A</v>
      </c>
      <c r="E236" s="2360" t="e">
        <f t="shared" si="14"/>
        <v>#N/A</v>
      </c>
      <c r="F236" s="572" t="e">
        <v>#N/A</v>
      </c>
      <c r="G236" s="3598" t="e">
        <v>#N/A</v>
      </c>
      <c r="H236" s="2393" t="e">
        <f t="shared" si="13"/>
        <v>#N/A</v>
      </c>
    </row>
    <row r="237" spans="1:8">
      <c r="A237" s="53">
        <f t="shared" si="15"/>
        <v>2030.12</v>
      </c>
      <c r="B237" s="214" t="e">
        <v>#N/A</v>
      </c>
      <c r="C237" s="3598" t="e">
        <v>#N/A</v>
      </c>
      <c r="D237" s="3598" t="e">
        <v>#N/A</v>
      </c>
      <c r="E237" s="2360" t="e">
        <f t="shared" si="14"/>
        <v>#N/A</v>
      </c>
      <c r="F237" s="572" t="e">
        <v>#N/A</v>
      </c>
      <c r="G237" s="3598" t="e">
        <v>#N/A</v>
      </c>
      <c r="H237" s="2393" t="e">
        <f t="shared" si="13"/>
        <v>#N/A</v>
      </c>
    </row>
    <row r="258" spans="10:10">
      <c r="J258" s="52"/>
    </row>
    <row r="259" spans="10:10">
      <c r="J259" s="52"/>
    </row>
    <row r="260" spans="10:10">
      <c r="J260" s="52"/>
    </row>
    <row r="262" spans="10:10">
      <c r="J262" s="52"/>
    </row>
    <row r="263" spans="10:10">
      <c r="J263" s="52"/>
    </row>
    <row r="264" spans="10:10">
      <c r="J264" s="52"/>
    </row>
    <row r="265" spans="10:10">
      <c r="J265" s="52"/>
    </row>
    <row r="266" spans="10:10">
      <c r="J266" s="52"/>
    </row>
    <row r="267" spans="10:10">
      <c r="J267" s="52"/>
    </row>
    <row r="286" spans="11:12">
      <c r="K286" s="2113"/>
      <c r="L286" s="2113"/>
    </row>
    <row r="287" spans="11:12">
      <c r="K287" s="2113"/>
      <c r="L287" s="2113"/>
    </row>
    <row r="288" spans="11:12">
      <c r="K288" s="2113"/>
      <c r="L288" s="2113"/>
    </row>
    <row r="289" spans="1:14">
      <c r="K289" s="2113"/>
      <c r="L289" s="2113"/>
    </row>
    <row r="290" spans="1:14">
      <c r="K290" s="2113"/>
      <c r="L290" s="2113"/>
    </row>
    <row r="291" spans="1:14">
      <c r="K291" s="2113"/>
      <c r="L291" s="2113"/>
    </row>
    <row r="292" spans="1:14">
      <c r="K292" s="2113"/>
      <c r="L292" s="2113"/>
    </row>
    <row r="293" spans="1:14">
      <c r="K293" s="2113"/>
      <c r="L293" s="2113"/>
    </row>
    <row r="294" spans="1:14">
      <c r="K294" s="2113"/>
      <c r="L294" s="2113"/>
    </row>
    <row r="295" spans="1:14">
      <c r="K295" s="2113"/>
      <c r="L295" s="2113"/>
    </row>
    <row r="296" spans="1:14">
      <c r="K296" s="2113"/>
      <c r="L296" s="2113"/>
    </row>
    <row r="297" spans="1:14">
      <c r="K297" s="2113"/>
      <c r="L297" s="2113"/>
      <c r="M297" s="1012"/>
      <c r="N297" s="1012"/>
    </row>
    <row r="298" spans="1:14" s="219" customFormat="1">
      <c r="A298" s="52"/>
      <c r="B298" s="52"/>
      <c r="C298" s="52"/>
      <c r="D298" s="52"/>
      <c r="E298" s="52"/>
      <c r="F298" s="52"/>
      <c r="G298" s="52"/>
      <c r="H298" s="52"/>
      <c r="I298" s="300"/>
      <c r="J298" s="166"/>
    </row>
    <row r="474" spans="11:20">
      <c r="K474" s="52"/>
      <c r="L474" s="52"/>
      <c r="M474" s="52"/>
      <c r="N474" s="52"/>
      <c r="O474" s="52"/>
      <c r="P474" s="52"/>
      <c r="Q474" s="52"/>
      <c r="R474" s="52"/>
      <c r="S474" s="52"/>
      <c r="T474" s="300"/>
    </row>
    <row r="475" spans="11:20">
      <c r="K475" s="52"/>
      <c r="L475" s="52"/>
      <c r="M475" s="52"/>
      <c r="N475" s="52"/>
      <c r="O475" s="52"/>
      <c r="P475" s="52"/>
      <c r="Q475" s="52"/>
      <c r="R475" s="52"/>
      <c r="S475" s="300"/>
    </row>
    <row r="476" spans="11:20">
      <c r="K476" s="52"/>
      <c r="L476" s="52"/>
      <c r="M476" s="52"/>
      <c r="N476" s="52"/>
      <c r="O476" s="52"/>
      <c r="P476" s="52"/>
      <c r="Q476" s="52"/>
      <c r="R476" s="52"/>
      <c r="S476" s="300"/>
    </row>
    <row r="478" spans="11:20">
      <c r="K478" s="52"/>
      <c r="L478" s="52"/>
      <c r="M478" s="52"/>
      <c r="N478" s="52"/>
      <c r="O478" s="52"/>
      <c r="P478" s="52"/>
      <c r="Q478" s="52"/>
      <c r="R478" s="52"/>
      <c r="S478" s="52"/>
      <c r="T478" s="300"/>
    </row>
    <row r="479" spans="11:20">
      <c r="K479" s="52"/>
      <c r="L479" s="52"/>
      <c r="M479" s="52"/>
      <c r="N479" s="52"/>
      <c r="O479" s="52"/>
      <c r="P479" s="52"/>
      <c r="Q479" s="52"/>
      <c r="R479" s="52"/>
      <c r="S479" s="52"/>
      <c r="T479" s="300"/>
    </row>
    <row r="480" spans="11:20">
      <c r="K480" s="52"/>
      <c r="L480" s="52"/>
      <c r="M480" s="52"/>
      <c r="N480" s="52"/>
      <c r="O480" s="52"/>
      <c r="P480" s="52"/>
      <c r="Q480" s="52"/>
      <c r="R480" s="52"/>
      <c r="S480" s="52"/>
      <c r="T480" s="300"/>
    </row>
    <row r="481" spans="11:20">
      <c r="K481" s="52"/>
      <c r="L481" s="52"/>
      <c r="M481" s="52"/>
      <c r="N481" s="52"/>
      <c r="O481" s="52"/>
      <c r="P481" s="52"/>
      <c r="Q481" s="52"/>
      <c r="R481" s="52"/>
      <c r="S481" s="52"/>
      <c r="T481" s="300"/>
    </row>
    <row r="482" spans="11:20">
      <c r="K482" s="52"/>
      <c r="L482" s="52"/>
      <c r="M482" s="52"/>
      <c r="N482" s="52"/>
      <c r="O482" s="52"/>
      <c r="P482" s="52"/>
      <c r="Q482" s="52"/>
      <c r="R482" s="52"/>
      <c r="S482" s="52"/>
      <c r="T482" s="300"/>
    </row>
    <row r="483" spans="11:20">
      <c r="K483" s="52"/>
      <c r="L483" s="52"/>
      <c r="M483" s="52"/>
      <c r="N483" s="52"/>
      <c r="O483" s="52"/>
      <c r="P483" s="52"/>
      <c r="Q483" s="52"/>
      <c r="R483" s="52"/>
      <c r="S483" s="52"/>
      <c r="T483" s="300"/>
    </row>
  </sheetData>
  <phoneticPr fontId="291" type="noConversion"/>
  <hyperlinks>
    <hyperlink ref="A5" location="INDICE!A13" display="VOLVER AL ÍNDICE" xr:uid="{E5A3AF1A-98F8-4EA1-9E4F-8B202B6D884F}"/>
  </hyperlink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27">
    <pageSetUpPr autoPageBreaks="0"/>
  </sheetPr>
  <dimension ref="A1:V453"/>
  <sheetViews>
    <sheetView zoomScale="130" zoomScaleNormal="130" workbookViewId="0">
      <pane xSplit="1" ySplit="9" topLeftCell="B386" activePane="bottomRight" state="frozen"/>
      <selection pane="topRight" activeCell="B1" sqref="B1"/>
      <selection pane="bottomLeft" activeCell="A10" sqref="A10"/>
      <selection pane="bottomRight" activeCell="A5" sqref="A5"/>
    </sheetView>
  </sheetViews>
  <sheetFormatPr baseColWidth="10" defaultColWidth="11.42578125" defaultRowHeight="12.75"/>
  <cols>
    <col min="1" max="1" width="10.140625" style="21" customWidth="1"/>
    <col min="2" max="22" width="11" style="21" customWidth="1"/>
    <col min="23" max="16384" width="11.42578125" style="6"/>
  </cols>
  <sheetData>
    <row r="1" spans="1:22" ht="3" customHeight="1">
      <c r="A1" s="2761"/>
      <c r="B1" s="36"/>
      <c r="C1" s="36"/>
      <c r="D1" s="36"/>
      <c r="E1" s="36"/>
      <c r="F1" s="36"/>
      <c r="G1" s="36"/>
      <c r="H1" s="36"/>
      <c r="I1" s="36"/>
      <c r="J1" s="36"/>
      <c r="K1" s="36"/>
      <c r="L1" s="12"/>
      <c r="M1" s="12"/>
      <c r="N1" s="12"/>
      <c r="O1" s="12"/>
      <c r="P1" s="36"/>
      <c r="Q1" s="12"/>
      <c r="R1" s="12"/>
      <c r="S1" s="12"/>
      <c r="T1" s="12"/>
      <c r="U1" s="12"/>
      <c r="V1" s="9"/>
    </row>
    <row r="2" spans="1:22">
      <c r="A2" s="2762" t="s">
        <v>99</v>
      </c>
      <c r="B2" s="1440" t="s">
        <v>1565</v>
      </c>
      <c r="C2" s="37"/>
      <c r="D2" s="37"/>
      <c r="E2" s="37"/>
      <c r="F2" s="37"/>
      <c r="G2" s="37"/>
      <c r="H2" s="37"/>
      <c r="I2" s="37"/>
      <c r="J2" s="37"/>
      <c r="K2" s="37"/>
      <c r="L2" s="69"/>
      <c r="M2" s="69"/>
      <c r="N2" s="69"/>
      <c r="O2" s="320"/>
      <c r="P2" s="320"/>
      <c r="Q2" s="69"/>
      <c r="R2" s="69"/>
      <c r="S2" s="69"/>
      <c r="T2" s="69"/>
      <c r="U2" s="69"/>
      <c r="V2" s="70"/>
    </row>
    <row r="3" spans="1:22">
      <c r="A3" s="2762" t="s">
        <v>193</v>
      </c>
      <c r="B3" s="1440" t="s">
        <v>108</v>
      </c>
      <c r="C3" s="37"/>
      <c r="D3" s="37"/>
      <c r="E3" s="37"/>
      <c r="F3" s="37"/>
      <c r="G3" s="37"/>
      <c r="H3" s="37"/>
      <c r="I3" s="37"/>
      <c r="J3" s="37"/>
      <c r="K3" s="37"/>
      <c r="L3" s="69"/>
      <c r="M3" s="69"/>
      <c r="N3" s="69"/>
      <c r="O3" s="320"/>
      <c r="P3" s="320"/>
      <c r="Q3" s="69"/>
      <c r="R3" s="69"/>
      <c r="S3" s="69"/>
      <c r="T3" s="69"/>
      <c r="U3" s="69"/>
      <c r="V3" s="70"/>
    </row>
    <row r="4" spans="1:22" ht="3" hidden="1" customHeight="1">
      <c r="A4" s="2762"/>
      <c r="B4" s="36"/>
      <c r="C4" s="36"/>
      <c r="D4" s="36"/>
      <c r="E4" s="36"/>
      <c r="F4" s="36"/>
      <c r="G4" s="36"/>
      <c r="H4" s="36"/>
      <c r="I4" s="36"/>
      <c r="J4" s="36"/>
      <c r="K4" s="36"/>
      <c r="L4" s="12"/>
      <c r="M4" s="12"/>
      <c r="N4" s="12"/>
      <c r="O4" s="12"/>
      <c r="P4" s="36"/>
      <c r="Q4" s="12"/>
      <c r="R4" s="12"/>
      <c r="S4" s="12"/>
      <c r="T4" s="12"/>
      <c r="U4" s="12"/>
      <c r="V4" s="9"/>
    </row>
    <row r="5" spans="1:22" ht="45.75" customHeight="1">
      <c r="A5" s="2867" t="s">
        <v>140</v>
      </c>
      <c r="B5" s="2728" t="s">
        <v>1566</v>
      </c>
      <c r="C5" s="2728" t="s">
        <v>1567</v>
      </c>
      <c r="D5" s="2728" t="s">
        <v>1568</v>
      </c>
      <c r="E5" s="2728" t="s">
        <v>1569</v>
      </c>
      <c r="F5" s="2728" t="s">
        <v>1570</v>
      </c>
      <c r="G5" s="2728"/>
      <c r="H5" s="3039"/>
      <c r="I5" s="2728" t="s">
        <v>1571</v>
      </c>
      <c r="J5" s="2728"/>
      <c r="K5" s="3040"/>
      <c r="L5" s="2726" t="s">
        <v>1572</v>
      </c>
      <c r="M5" s="581"/>
      <c r="N5" s="2729" t="s">
        <v>1573</v>
      </c>
      <c r="O5" s="3041" t="s">
        <v>1574</v>
      </c>
      <c r="P5" s="2729" t="s">
        <v>1575</v>
      </c>
      <c r="Q5" s="2729" t="s">
        <v>1576</v>
      </c>
      <c r="R5" s="2964" t="s">
        <v>1577</v>
      </c>
      <c r="S5" s="2964" t="s">
        <v>1578</v>
      </c>
      <c r="T5" s="2726" t="s">
        <v>1579</v>
      </c>
      <c r="U5" s="2726"/>
      <c r="V5" s="2920" t="s">
        <v>1580</v>
      </c>
    </row>
    <row r="6" spans="1:22" ht="33.75">
      <c r="A6" s="2762"/>
      <c r="B6" s="3042" t="s">
        <v>554</v>
      </c>
      <c r="C6" s="3042" t="s">
        <v>554</v>
      </c>
      <c r="D6" s="3042" t="s">
        <v>554</v>
      </c>
      <c r="E6" s="3042" t="s">
        <v>554</v>
      </c>
      <c r="F6" s="3043" t="s">
        <v>1581</v>
      </c>
      <c r="G6" s="2446" t="s">
        <v>1582</v>
      </c>
      <c r="H6" s="1867" t="s">
        <v>554</v>
      </c>
      <c r="I6" s="3043" t="s">
        <v>1581</v>
      </c>
      <c r="J6" s="3666" t="s">
        <v>1582</v>
      </c>
      <c r="K6" s="3042" t="s">
        <v>1583</v>
      </c>
      <c r="L6" s="3044" t="s">
        <v>1581</v>
      </c>
      <c r="M6" s="1868" t="s">
        <v>1582</v>
      </c>
      <c r="N6" s="3041" t="s">
        <v>554</v>
      </c>
      <c r="O6" s="3041" t="s">
        <v>1574</v>
      </c>
      <c r="P6" s="2930" t="s">
        <v>1581</v>
      </c>
      <c r="Q6" s="2930" t="s">
        <v>1581</v>
      </c>
      <c r="R6" s="2930" t="s">
        <v>1581</v>
      </c>
      <c r="S6" s="3041" t="s">
        <v>1582</v>
      </c>
      <c r="T6" s="3044" t="s">
        <v>1581</v>
      </c>
      <c r="U6" s="3045" t="s">
        <v>1582</v>
      </c>
      <c r="V6" s="3046" t="str">
        <f>V5</f>
        <v>Total Naftas</v>
      </c>
    </row>
    <row r="7" spans="1:22" ht="22.5">
      <c r="A7" s="2762" t="s">
        <v>125</v>
      </c>
      <c r="B7" s="2816" t="s">
        <v>1584</v>
      </c>
      <c r="C7" s="2816" t="s">
        <v>1584</v>
      </c>
      <c r="D7" s="2816" t="s">
        <v>127</v>
      </c>
      <c r="E7" s="2816" t="s">
        <v>1584</v>
      </c>
      <c r="F7" s="2824" t="s">
        <v>1584</v>
      </c>
      <c r="G7" s="1375" t="s">
        <v>1584</v>
      </c>
      <c r="H7" s="133" t="s">
        <v>1584</v>
      </c>
      <c r="I7" s="2824" t="s">
        <v>1584</v>
      </c>
      <c r="J7" s="2080" t="s">
        <v>1584</v>
      </c>
      <c r="K7" s="2816" t="s">
        <v>1584</v>
      </c>
      <c r="L7" s="570" t="s">
        <v>1584</v>
      </c>
      <c r="M7" s="133" t="s">
        <v>1584</v>
      </c>
      <c r="N7" s="2816" t="s">
        <v>1585</v>
      </c>
      <c r="O7" s="2816" t="s">
        <v>1584</v>
      </c>
      <c r="P7" s="2816" t="s">
        <v>1584</v>
      </c>
      <c r="Q7" s="2816" t="s">
        <v>1584</v>
      </c>
      <c r="R7" s="2816" t="s">
        <v>1584</v>
      </c>
      <c r="S7" s="2816" t="s">
        <v>1584</v>
      </c>
      <c r="T7" s="570" t="s">
        <v>1584</v>
      </c>
      <c r="U7" s="133" t="s">
        <v>1584</v>
      </c>
      <c r="V7" s="2998" t="s">
        <v>1584</v>
      </c>
    </row>
    <row r="8" spans="1:22">
      <c r="A8" s="3002" t="s">
        <v>144</v>
      </c>
      <c r="B8" s="3030" t="s">
        <v>1586</v>
      </c>
      <c r="C8" s="3030" t="s">
        <v>1587</v>
      </c>
      <c r="D8" s="3030" t="s">
        <v>1588</v>
      </c>
      <c r="E8" s="3030" t="s">
        <v>1589</v>
      </c>
      <c r="F8" s="3031" t="s">
        <v>1590</v>
      </c>
      <c r="G8" s="2283" t="s">
        <v>1591</v>
      </c>
      <c r="H8" s="2287" t="s">
        <v>1592</v>
      </c>
      <c r="I8" s="3031" t="s">
        <v>1593</v>
      </c>
      <c r="J8" s="2288" t="s">
        <v>1594</v>
      </c>
      <c r="K8" s="3030" t="s">
        <v>1595</v>
      </c>
      <c r="L8" s="2282" t="s">
        <v>1596</v>
      </c>
      <c r="M8" s="2287" t="s">
        <v>1597</v>
      </c>
      <c r="N8" s="3030" t="s">
        <v>1598</v>
      </c>
      <c r="O8" s="3030" t="s">
        <v>1599</v>
      </c>
      <c r="P8" s="3030" t="s">
        <v>1600</v>
      </c>
      <c r="Q8" s="3030" t="s">
        <v>1601</v>
      </c>
      <c r="R8" s="3030" t="s">
        <v>1602</v>
      </c>
      <c r="S8" s="3030" t="s">
        <v>1603</v>
      </c>
      <c r="T8" s="2282" t="s">
        <v>1604</v>
      </c>
      <c r="U8" s="2287" t="s">
        <v>1605</v>
      </c>
      <c r="V8" s="3047" t="s">
        <v>1606</v>
      </c>
    </row>
    <row r="9" spans="1:22" ht="13.5" thickBot="1">
      <c r="A9" s="2140"/>
      <c r="B9" s="1315"/>
      <c r="C9" s="1441"/>
      <c r="D9" s="1441"/>
      <c r="E9" s="1441"/>
      <c r="F9" s="683"/>
      <c r="G9" s="1442"/>
      <c r="H9" s="172"/>
      <c r="I9" s="686"/>
      <c r="J9" s="1443"/>
      <c r="K9" s="664"/>
      <c r="L9" s="686"/>
      <c r="M9" s="1444"/>
      <c r="N9" s="1445"/>
      <c r="O9" s="1017"/>
      <c r="P9" s="683"/>
      <c r="Q9" s="683"/>
      <c r="R9" s="683"/>
      <c r="S9" s="1444"/>
      <c r="T9" s="1666"/>
      <c r="U9" s="1444"/>
      <c r="V9" s="1018"/>
    </row>
    <row r="10" spans="1:22">
      <c r="A10" s="972">
        <v>1994.01</v>
      </c>
      <c r="B10" s="47">
        <v>5</v>
      </c>
      <c r="C10" s="158">
        <v>181</v>
      </c>
      <c r="D10" s="132"/>
      <c r="E10" s="158">
        <v>1248</v>
      </c>
      <c r="F10" s="561">
        <v>0</v>
      </c>
      <c r="G10" s="660"/>
      <c r="H10" s="661">
        <f>F10+G10</f>
        <v>0</v>
      </c>
      <c r="I10" s="567">
        <v>14153</v>
      </c>
      <c r="J10" s="662"/>
      <c r="K10" s="336">
        <f>I10+J10</f>
        <v>14153</v>
      </c>
      <c r="L10" s="665">
        <v>85738</v>
      </c>
      <c r="M10" s="659">
        <v>0</v>
      </c>
      <c r="N10" s="1667"/>
      <c r="O10" s="337">
        <f>L10+M10+N10</f>
        <v>85738</v>
      </c>
      <c r="P10" s="158">
        <v>16675</v>
      </c>
      <c r="Q10" s="158">
        <v>34426</v>
      </c>
      <c r="R10" s="170">
        <v>0</v>
      </c>
      <c r="S10" s="132"/>
      <c r="T10" s="667"/>
      <c r="U10" s="666"/>
      <c r="V10" s="338">
        <f>SUM(P10:U10)</f>
        <v>51101</v>
      </c>
    </row>
    <row r="11" spans="1:22">
      <c r="A11" s="972">
        <v>1994.02</v>
      </c>
      <c r="B11" s="223">
        <v>56</v>
      </c>
      <c r="C11" s="1398">
        <v>155</v>
      </c>
      <c r="D11" s="1446"/>
      <c r="E11" s="1398">
        <v>1201</v>
      </c>
      <c r="F11" s="223">
        <v>0</v>
      </c>
      <c r="G11" s="3614"/>
      <c r="H11" s="2364">
        <f>F11+G11</f>
        <v>0</v>
      </c>
      <c r="I11" s="223">
        <v>28611.7109375</v>
      </c>
      <c r="J11" s="1447"/>
      <c r="K11" s="1602">
        <f t="shared" ref="K11:K73" si="0">I11+J11</f>
        <v>28611.7109375</v>
      </c>
      <c r="L11" s="947">
        <v>78037</v>
      </c>
      <c r="M11" s="190">
        <v>0</v>
      </c>
      <c r="N11" s="1335"/>
      <c r="O11" s="2394">
        <f>L11+M11+N11</f>
        <v>78037</v>
      </c>
      <c r="P11" s="1398">
        <v>17005</v>
      </c>
      <c r="Q11" s="1398">
        <v>27930</v>
      </c>
      <c r="R11" s="1398">
        <v>0</v>
      </c>
      <c r="S11" s="1335"/>
      <c r="T11" s="668"/>
      <c r="U11" s="1354"/>
      <c r="V11" s="2365">
        <f>SUM(P11:U11)</f>
        <v>44935</v>
      </c>
    </row>
    <row r="12" spans="1:22">
      <c r="A12" s="972">
        <v>1994.03</v>
      </c>
      <c r="B12" s="223">
        <v>1</v>
      </c>
      <c r="C12" s="1398">
        <v>183</v>
      </c>
      <c r="D12" s="1446"/>
      <c r="E12" s="1398">
        <v>2597</v>
      </c>
      <c r="F12" s="223">
        <v>0</v>
      </c>
      <c r="G12" s="3614"/>
      <c r="H12" s="2364">
        <f t="shared" ref="H12:H73" si="1">F12+G12</f>
        <v>0</v>
      </c>
      <c r="I12" s="223">
        <v>38518.421875</v>
      </c>
      <c r="J12" s="1447"/>
      <c r="K12" s="1602">
        <f t="shared" si="0"/>
        <v>38518.421875</v>
      </c>
      <c r="L12" s="947">
        <v>109029</v>
      </c>
      <c r="M12" s="190">
        <v>0</v>
      </c>
      <c r="N12" s="1335"/>
      <c r="O12" s="2394">
        <f t="shared" ref="O12:O75" si="2">L12+M12+N12</f>
        <v>109029</v>
      </c>
      <c r="P12" s="1398">
        <v>20332</v>
      </c>
      <c r="Q12" s="1398">
        <v>32900</v>
      </c>
      <c r="R12" s="1398">
        <v>0</v>
      </c>
      <c r="S12" s="1335"/>
      <c r="T12" s="668"/>
      <c r="U12" s="1354"/>
      <c r="V12" s="2365">
        <f t="shared" ref="V12:V75" si="3">SUM(P12:U12)</f>
        <v>53232</v>
      </c>
    </row>
    <row r="13" spans="1:22">
      <c r="A13" s="972">
        <v>1994.04</v>
      </c>
      <c r="B13" s="223">
        <v>28136</v>
      </c>
      <c r="C13" s="1398">
        <v>65</v>
      </c>
      <c r="D13" s="1446"/>
      <c r="E13" s="1398">
        <v>3698</v>
      </c>
      <c r="F13" s="223">
        <v>0</v>
      </c>
      <c r="G13" s="3614"/>
      <c r="H13" s="2364">
        <f t="shared" si="1"/>
        <v>0</v>
      </c>
      <c r="I13" s="223">
        <v>32558.369140625</v>
      </c>
      <c r="J13" s="1447"/>
      <c r="K13" s="1602">
        <f t="shared" si="0"/>
        <v>32558.369140625</v>
      </c>
      <c r="L13" s="947">
        <v>59359</v>
      </c>
      <c r="M13" s="190">
        <v>0</v>
      </c>
      <c r="N13" s="1335"/>
      <c r="O13" s="2394">
        <f t="shared" si="2"/>
        <v>59359</v>
      </c>
      <c r="P13" s="1398">
        <v>18059</v>
      </c>
      <c r="Q13" s="1398">
        <v>28912</v>
      </c>
      <c r="R13" s="1398">
        <v>0</v>
      </c>
      <c r="S13" s="1335"/>
      <c r="T13" s="668"/>
      <c r="U13" s="1354"/>
      <c r="V13" s="2365">
        <f t="shared" si="3"/>
        <v>46971</v>
      </c>
    </row>
    <row r="14" spans="1:22">
      <c r="A14" s="972">
        <v>1994.05</v>
      </c>
      <c r="B14" s="223">
        <v>5</v>
      </c>
      <c r="C14" s="1398">
        <v>33</v>
      </c>
      <c r="D14" s="1446"/>
      <c r="E14" s="1398">
        <v>4434</v>
      </c>
      <c r="F14" s="223">
        <v>0</v>
      </c>
      <c r="G14" s="3614"/>
      <c r="H14" s="2364">
        <f t="shared" si="1"/>
        <v>0</v>
      </c>
      <c r="I14" s="223">
        <v>18747.4296875</v>
      </c>
      <c r="J14" s="1447"/>
      <c r="K14" s="1602">
        <f t="shared" si="0"/>
        <v>18747.4296875</v>
      </c>
      <c r="L14" s="947">
        <v>96850</v>
      </c>
      <c r="M14" s="190">
        <v>0</v>
      </c>
      <c r="N14" s="1335"/>
      <c r="O14" s="2394">
        <f t="shared" si="2"/>
        <v>96850</v>
      </c>
      <c r="P14" s="1398">
        <v>18285</v>
      </c>
      <c r="Q14" s="1398">
        <v>26048</v>
      </c>
      <c r="R14" s="1398">
        <v>0</v>
      </c>
      <c r="S14" s="1335"/>
      <c r="T14" s="668"/>
      <c r="U14" s="1354"/>
      <c r="V14" s="2365">
        <f t="shared" si="3"/>
        <v>44333</v>
      </c>
    </row>
    <row r="15" spans="1:22">
      <c r="A15" s="972">
        <v>1994.06</v>
      </c>
      <c r="B15" s="223">
        <v>25</v>
      </c>
      <c r="C15" s="1398">
        <v>41</v>
      </c>
      <c r="D15" s="1446"/>
      <c r="E15" s="1398">
        <v>9641</v>
      </c>
      <c r="F15" s="223">
        <v>0</v>
      </c>
      <c r="G15" s="3614"/>
      <c r="H15" s="2364">
        <f t="shared" si="1"/>
        <v>0</v>
      </c>
      <c r="I15" s="223">
        <v>17029.2001953125</v>
      </c>
      <c r="J15" s="1447"/>
      <c r="K15" s="1602">
        <f t="shared" si="0"/>
        <v>17029.2001953125</v>
      </c>
      <c r="L15" s="947">
        <v>114416</v>
      </c>
      <c r="M15" s="190">
        <v>0</v>
      </c>
      <c r="N15" s="1335"/>
      <c r="O15" s="2394">
        <f t="shared" si="2"/>
        <v>114416</v>
      </c>
      <c r="P15" s="1398">
        <v>18831</v>
      </c>
      <c r="Q15" s="1398">
        <v>29043</v>
      </c>
      <c r="R15" s="1398">
        <v>0</v>
      </c>
      <c r="S15" s="1335"/>
      <c r="T15" s="668"/>
      <c r="U15" s="1354"/>
      <c r="V15" s="2365">
        <f t="shared" si="3"/>
        <v>47874</v>
      </c>
    </row>
    <row r="16" spans="1:22">
      <c r="A16" s="972">
        <v>1994.07</v>
      </c>
      <c r="B16" s="223">
        <v>43</v>
      </c>
      <c r="C16" s="1398">
        <v>53</v>
      </c>
      <c r="D16" s="1446"/>
      <c r="E16" s="1398">
        <v>12840</v>
      </c>
      <c r="F16" s="223">
        <v>0</v>
      </c>
      <c r="G16" s="3614"/>
      <c r="H16" s="2364">
        <f t="shared" si="1"/>
        <v>0</v>
      </c>
      <c r="I16" s="223">
        <v>26332.119140625</v>
      </c>
      <c r="J16" s="1447"/>
      <c r="K16" s="1602">
        <f t="shared" si="0"/>
        <v>26332.119140625</v>
      </c>
      <c r="L16" s="947">
        <v>102843</v>
      </c>
      <c r="M16" s="190">
        <v>0</v>
      </c>
      <c r="N16" s="1335"/>
      <c r="O16" s="2394">
        <f t="shared" si="2"/>
        <v>102843</v>
      </c>
      <c r="P16" s="1398">
        <v>20098</v>
      </c>
      <c r="Q16" s="1398">
        <v>31912</v>
      </c>
      <c r="R16" s="1398">
        <v>0</v>
      </c>
      <c r="S16" s="1335"/>
      <c r="T16" s="668"/>
      <c r="U16" s="1354"/>
      <c r="V16" s="2365">
        <f t="shared" si="3"/>
        <v>52010</v>
      </c>
    </row>
    <row r="17" spans="1:22">
      <c r="A17" s="972">
        <v>1994.08</v>
      </c>
      <c r="B17" s="223">
        <v>59</v>
      </c>
      <c r="C17" s="1398">
        <v>61</v>
      </c>
      <c r="D17" s="1446"/>
      <c r="E17" s="1398">
        <v>7390</v>
      </c>
      <c r="F17" s="223">
        <v>0</v>
      </c>
      <c r="G17" s="3614"/>
      <c r="H17" s="2364">
        <f t="shared" si="1"/>
        <v>0</v>
      </c>
      <c r="I17" s="223">
        <v>13315.48046875</v>
      </c>
      <c r="J17" s="1447"/>
      <c r="K17" s="1602">
        <f t="shared" si="0"/>
        <v>13315.48046875</v>
      </c>
      <c r="L17" s="947">
        <v>95698</v>
      </c>
      <c r="M17" s="190">
        <v>0</v>
      </c>
      <c r="N17" s="1335"/>
      <c r="O17" s="2394">
        <f t="shared" si="2"/>
        <v>95698</v>
      </c>
      <c r="P17" s="1398">
        <v>18953</v>
      </c>
      <c r="Q17" s="1398">
        <v>29213</v>
      </c>
      <c r="R17" s="1398">
        <v>0</v>
      </c>
      <c r="S17" s="1335"/>
      <c r="T17" s="668"/>
      <c r="U17" s="1354"/>
      <c r="V17" s="2365">
        <f t="shared" si="3"/>
        <v>48166</v>
      </c>
    </row>
    <row r="18" spans="1:22">
      <c r="A18" s="972">
        <v>1994.09</v>
      </c>
      <c r="B18" s="223">
        <v>8</v>
      </c>
      <c r="C18" s="1398">
        <v>55</v>
      </c>
      <c r="D18" s="1446"/>
      <c r="E18" s="1398">
        <v>3254</v>
      </c>
      <c r="F18" s="223">
        <v>0</v>
      </c>
      <c r="G18" s="3614"/>
      <c r="H18" s="2364">
        <f t="shared" si="1"/>
        <v>0</v>
      </c>
      <c r="I18" s="223">
        <v>30711</v>
      </c>
      <c r="J18" s="1447"/>
      <c r="K18" s="1602">
        <f t="shared" si="0"/>
        <v>30711</v>
      </c>
      <c r="L18" s="947">
        <v>92467</v>
      </c>
      <c r="M18" s="190">
        <v>0</v>
      </c>
      <c r="N18" s="1335"/>
      <c r="O18" s="2394">
        <f t="shared" si="2"/>
        <v>92467</v>
      </c>
      <c r="P18" s="1398">
        <v>18945</v>
      </c>
      <c r="Q18" s="1398">
        <v>28227</v>
      </c>
      <c r="R18" s="1398">
        <v>0</v>
      </c>
      <c r="S18" s="1335"/>
      <c r="T18" s="668"/>
      <c r="U18" s="1354"/>
      <c r="V18" s="2365">
        <f t="shared" si="3"/>
        <v>47172</v>
      </c>
    </row>
    <row r="19" spans="1:22">
      <c r="A19" s="972">
        <v>1994.1</v>
      </c>
      <c r="B19" s="223">
        <v>67</v>
      </c>
      <c r="C19" s="1398">
        <v>60</v>
      </c>
      <c r="D19" s="1446"/>
      <c r="E19" s="1398">
        <v>1039</v>
      </c>
      <c r="F19" s="223">
        <v>0</v>
      </c>
      <c r="G19" s="3614"/>
      <c r="H19" s="2364">
        <f t="shared" si="1"/>
        <v>0</v>
      </c>
      <c r="I19" s="223">
        <v>9414.18994140625</v>
      </c>
      <c r="J19" s="1447"/>
      <c r="K19" s="1602">
        <f t="shared" si="0"/>
        <v>9414.18994140625</v>
      </c>
      <c r="L19" s="947">
        <v>93737</v>
      </c>
      <c r="M19" s="190">
        <v>0</v>
      </c>
      <c r="N19" s="1335"/>
      <c r="O19" s="2394">
        <f t="shared" si="2"/>
        <v>93737</v>
      </c>
      <c r="P19" s="1398">
        <v>16884</v>
      </c>
      <c r="Q19" s="1398">
        <v>24896</v>
      </c>
      <c r="R19" s="1398">
        <v>0</v>
      </c>
      <c r="S19" s="1335"/>
      <c r="T19" s="668"/>
      <c r="U19" s="1354"/>
      <c r="V19" s="2365">
        <f t="shared" si="3"/>
        <v>41780</v>
      </c>
    </row>
    <row r="20" spans="1:22">
      <c r="A20" s="972">
        <v>1994.11</v>
      </c>
      <c r="B20" s="223">
        <v>106</v>
      </c>
      <c r="C20" s="1398">
        <v>110</v>
      </c>
      <c r="D20" s="1446"/>
      <c r="E20" s="1398">
        <v>1044</v>
      </c>
      <c r="F20" s="223">
        <v>0</v>
      </c>
      <c r="G20" s="3614"/>
      <c r="H20" s="2364">
        <f t="shared" si="1"/>
        <v>0</v>
      </c>
      <c r="I20" s="223">
        <v>11131.1201171875</v>
      </c>
      <c r="J20" s="1447"/>
      <c r="K20" s="1602">
        <f t="shared" si="0"/>
        <v>11131.1201171875</v>
      </c>
      <c r="L20" s="947">
        <v>112609</v>
      </c>
      <c r="M20" s="190">
        <v>0</v>
      </c>
      <c r="N20" s="1335"/>
      <c r="O20" s="2394">
        <f t="shared" si="2"/>
        <v>112609</v>
      </c>
      <c r="P20" s="1398">
        <v>17474</v>
      </c>
      <c r="Q20" s="1398">
        <v>27323</v>
      </c>
      <c r="R20" s="1398">
        <v>0</v>
      </c>
      <c r="S20" s="1335"/>
      <c r="T20" s="668"/>
      <c r="U20" s="1354"/>
      <c r="V20" s="2365">
        <f t="shared" si="3"/>
        <v>44797</v>
      </c>
    </row>
    <row r="21" spans="1:22">
      <c r="A21" s="972">
        <v>1994.12</v>
      </c>
      <c r="B21" s="223">
        <v>95</v>
      </c>
      <c r="C21" s="1398">
        <v>260</v>
      </c>
      <c r="D21" s="1446"/>
      <c r="E21" s="1398">
        <v>925</v>
      </c>
      <c r="F21" s="223">
        <v>0</v>
      </c>
      <c r="G21" s="3614"/>
      <c r="H21" s="2364">
        <f t="shared" si="1"/>
        <v>0</v>
      </c>
      <c r="I21" s="223">
        <v>35228</v>
      </c>
      <c r="J21" s="1447"/>
      <c r="K21" s="1602">
        <f t="shared" si="0"/>
        <v>35228</v>
      </c>
      <c r="L21" s="947">
        <v>101035</v>
      </c>
      <c r="M21" s="190">
        <v>0</v>
      </c>
      <c r="N21" s="1335"/>
      <c r="O21" s="2394">
        <f t="shared" si="2"/>
        <v>101035</v>
      </c>
      <c r="P21" s="1398">
        <v>19444</v>
      </c>
      <c r="Q21" s="1398">
        <v>29846</v>
      </c>
      <c r="R21" s="1398">
        <v>0</v>
      </c>
      <c r="S21" s="1335"/>
      <c r="T21" s="668"/>
      <c r="U21" s="1354"/>
      <c r="V21" s="2365">
        <f t="shared" si="3"/>
        <v>49290</v>
      </c>
    </row>
    <row r="22" spans="1:22">
      <c r="A22" s="972">
        <v>1995.01</v>
      </c>
      <c r="B22" s="223">
        <v>59</v>
      </c>
      <c r="C22" s="1398">
        <v>249</v>
      </c>
      <c r="D22" s="1446"/>
      <c r="E22" s="1398">
        <v>1163</v>
      </c>
      <c r="F22" s="223">
        <v>0</v>
      </c>
      <c r="G22" s="3614"/>
      <c r="H22" s="2364">
        <f t="shared" si="1"/>
        <v>0</v>
      </c>
      <c r="I22" s="223">
        <v>2453</v>
      </c>
      <c r="J22" s="1447"/>
      <c r="K22" s="1602">
        <f t="shared" si="0"/>
        <v>2453</v>
      </c>
      <c r="L22" s="947">
        <v>87281</v>
      </c>
      <c r="M22" s="190">
        <v>0</v>
      </c>
      <c r="N22" s="1335"/>
      <c r="O22" s="2394">
        <f t="shared" si="2"/>
        <v>87281</v>
      </c>
      <c r="P22" s="1398">
        <v>16411</v>
      </c>
      <c r="Q22" s="1398">
        <v>25441</v>
      </c>
      <c r="R22" s="1398">
        <v>0</v>
      </c>
      <c r="S22" s="1335"/>
      <c r="T22" s="668"/>
      <c r="U22" s="1354"/>
      <c r="V22" s="2365">
        <f t="shared" si="3"/>
        <v>41852</v>
      </c>
    </row>
    <row r="23" spans="1:22">
      <c r="A23" s="972">
        <v>1995.02</v>
      </c>
      <c r="B23" s="223">
        <v>20</v>
      </c>
      <c r="C23" s="1398">
        <v>83</v>
      </c>
      <c r="D23" s="1446"/>
      <c r="E23" s="1398">
        <v>1165</v>
      </c>
      <c r="F23" s="223">
        <v>0</v>
      </c>
      <c r="G23" s="3614"/>
      <c r="H23" s="2364">
        <f t="shared" si="1"/>
        <v>0</v>
      </c>
      <c r="I23" s="223">
        <v>1969</v>
      </c>
      <c r="J23" s="1447"/>
      <c r="K23" s="1602">
        <f t="shared" si="0"/>
        <v>1969</v>
      </c>
      <c r="L23" s="947">
        <v>81824</v>
      </c>
      <c r="M23" s="190">
        <v>0</v>
      </c>
      <c r="N23" s="1335"/>
      <c r="O23" s="2394">
        <f t="shared" si="2"/>
        <v>81824</v>
      </c>
      <c r="P23" s="1398">
        <v>15430</v>
      </c>
      <c r="Q23" s="1398">
        <v>24516</v>
      </c>
      <c r="R23" s="1398">
        <v>0</v>
      </c>
      <c r="S23" s="1335"/>
      <c r="T23" s="668"/>
      <c r="U23" s="1354"/>
      <c r="V23" s="2365">
        <f t="shared" si="3"/>
        <v>39946</v>
      </c>
    </row>
    <row r="24" spans="1:22">
      <c r="A24" s="972">
        <v>1995.03</v>
      </c>
      <c r="B24" s="223">
        <v>127</v>
      </c>
      <c r="C24" s="1398">
        <v>190</v>
      </c>
      <c r="D24" s="1446"/>
      <c r="E24" s="1398">
        <v>1709</v>
      </c>
      <c r="F24" s="223">
        <v>0</v>
      </c>
      <c r="G24" s="3614"/>
      <c r="H24" s="2364">
        <f t="shared" si="1"/>
        <v>0</v>
      </c>
      <c r="I24" s="223">
        <v>6264</v>
      </c>
      <c r="J24" s="1447"/>
      <c r="K24" s="1602">
        <f t="shared" si="0"/>
        <v>6264</v>
      </c>
      <c r="L24" s="947">
        <v>111740</v>
      </c>
      <c r="M24" s="190">
        <v>0</v>
      </c>
      <c r="N24" s="1335"/>
      <c r="O24" s="2394">
        <f t="shared" si="2"/>
        <v>111740</v>
      </c>
      <c r="P24" s="1398">
        <v>17560</v>
      </c>
      <c r="Q24" s="1398">
        <v>27132</v>
      </c>
      <c r="R24" s="1398">
        <v>0</v>
      </c>
      <c r="S24" s="1335"/>
      <c r="T24" s="668"/>
      <c r="U24" s="1354"/>
      <c r="V24" s="2365">
        <f t="shared" si="3"/>
        <v>44692</v>
      </c>
    </row>
    <row r="25" spans="1:22">
      <c r="A25" s="972">
        <v>1995.04</v>
      </c>
      <c r="B25" s="223">
        <v>40</v>
      </c>
      <c r="C25" s="1398">
        <v>41</v>
      </c>
      <c r="D25" s="1446"/>
      <c r="E25" s="1398">
        <v>2731</v>
      </c>
      <c r="F25" s="223">
        <v>0</v>
      </c>
      <c r="G25" s="3614"/>
      <c r="H25" s="2364">
        <f t="shared" si="1"/>
        <v>0</v>
      </c>
      <c r="I25" s="223">
        <v>8402</v>
      </c>
      <c r="J25" s="1447"/>
      <c r="K25" s="1602">
        <f t="shared" si="0"/>
        <v>8402</v>
      </c>
      <c r="L25" s="947">
        <v>106911</v>
      </c>
      <c r="M25" s="190">
        <v>0</v>
      </c>
      <c r="N25" s="1335"/>
      <c r="O25" s="2394">
        <f t="shared" si="2"/>
        <v>106911</v>
      </c>
      <c r="P25" s="1398">
        <v>16058</v>
      </c>
      <c r="Q25" s="1398">
        <v>24877</v>
      </c>
      <c r="R25" s="1398">
        <v>0</v>
      </c>
      <c r="S25" s="1335"/>
      <c r="T25" s="668"/>
      <c r="U25" s="1354"/>
      <c r="V25" s="2365">
        <f t="shared" si="3"/>
        <v>40935</v>
      </c>
    </row>
    <row r="26" spans="1:22">
      <c r="A26" s="972">
        <v>1995.05</v>
      </c>
      <c r="B26" s="223">
        <v>37</v>
      </c>
      <c r="C26" s="1398">
        <v>64</v>
      </c>
      <c r="D26" s="1446"/>
      <c r="E26" s="1398">
        <v>4267</v>
      </c>
      <c r="F26" s="223">
        <v>0</v>
      </c>
      <c r="G26" s="3614"/>
      <c r="H26" s="2364">
        <f t="shared" si="1"/>
        <v>0</v>
      </c>
      <c r="I26" s="223">
        <v>4989</v>
      </c>
      <c r="J26" s="1447"/>
      <c r="K26" s="1602">
        <f t="shared" si="0"/>
        <v>4989</v>
      </c>
      <c r="L26" s="947">
        <v>120530</v>
      </c>
      <c r="M26" s="190">
        <v>0</v>
      </c>
      <c r="N26" s="1335"/>
      <c r="O26" s="2394">
        <f t="shared" si="2"/>
        <v>120530</v>
      </c>
      <c r="P26" s="1398">
        <v>17801</v>
      </c>
      <c r="Q26" s="1398">
        <v>25046</v>
      </c>
      <c r="R26" s="1398">
        <v>0</v>
      </c>
      <c r="S26" s="1335"/>
      <c r="T26" s="668"/>
      <c r="U26" s="1354"/>
      <c r="V26" s="2365">
        <f t="shared" si="3"/>
        <v>42847</v>
      </c>
    </row>
    <row r="27" spans="1:22">
      <c r="A27" s="972">
        <v>1995.06</v>
      </c>
      <c r="B27" s="223">
        <v>23</v>
      </c>
      <c r="C27" s="1398">
        <v>62</v>
      </c>
      <c r="D27" s="1446"/>
      <c r="E27" s="1398">
        <v>9744</v>
      </c>
      <c r="F27" s="223">
        <v>35</v>
      </c>
      <c r="G27" s="3614"/>
      <c r="H27" s="2364">
        <f t="shared" si="1"/>
        <v>35</v>
      </c>
      <c r="I27" s="223">
        <v>3857</v>
      </c>
      <c r="J27" s="1447"/>
      <c r="K27" s="1602">
        <f t="shared" si="0"/>
        <v>3857</v>
      </c>
      <c r="L27" s="947">
        <v>112664</v>
      </c>
      <c r="M27" s="190">
        <v>0</v>
      </c>
      <c r="N27" s="1335"/>
      <c r="O27" s="2394">
        <f t="shared" si="2"/>
        <v>112664</v>
      </c>
      <c r="P27" s="1398">
        <v>18218</v>
      </c>
      <c r="Q27" s="1398">
        <v>25522</v>
      </c>
      <c r="R27" s="1398">
        <v>0</v>
      </c>
      <c r="S27" s="1335"/>
      <c r="T27" s="668"/>
      <c r="U27" s="1354"/>
      <c r="V27" s="2365">
        <f t="shared" si="3"/>
        <v>43740</v>
      </c>
    </row>
    <row r="28" spans="1:22">
      <c r="A28" s="972">
        <v>1995.07</v>
      </c>
      <c r="B28" s="223">
        <v>54</v>
      </c>
      <c r="C28" s="1398">
        <v>67</v>
      </c>
      <c r="D28" s="1446"/>
      <c r="E28" s="1398">
        <v>10323</v>
      </c>
      <c r="F28" s="223">
        <v>0</v>
      </c>
      <c r="G28" s="3614"/>
      <c r="H28" s="2364">
        <f t="shared" si="1"/>
        <v>0</v>
      </c>
      <c r="I28" s="223">
        <v>9335</v>
      </c>
      <c r="J28" s="1447"/>
      <c r="K28" s="1602">
        <f t="shared" si="0"/>
        <v>9335</v>
      </c>
      <c r="L28" s="947">
        <v>105526</v>
      </c>
      <c r="M28" s="190">
        <v>0</v>
      </c>
      <c r="N28" s="1335"/>
      <c r="O28" s="2394">
        <f t="shared" si="2"/>
        <v>105526</v>
      </c>
      <c r="P28" s="1398">
        <v>18431</v>
      </c>
      <c r="Q28" s="1398">
        <v>25896</v>
      </c>
      <c r="R28" s="1398">
        <v>0</v>
      </c>
      <c r="S28" s="1335"/>
      <c r="T28" s="668"/>
      <c r="U28" s="1354"/>
      <c r="V28" s="2365">
        <f t="shared" si="3"/>
        <v>44327</v>
      </c>
    </row>
    <row r="29" spans="1:22">
      <c r="A29" s="972">
        <v>1995.08</v>
      </c>
      <c r="B29" s="223">
        <v>103</v>
      </c>
      <c r="C29" s="1398">
        <v>84</v>
      </c>
      <c r="D29" s="1446"/>
      <c r="E29" s="1398">
        <v>8515</v>
      </c>
      <c r="F29" s="223">
        <v>0</v>
      </c>
      <c r="G29" s="3614"/>
      <c r="H29" s="2364">
        <f t="shared" si="1"/>
        <v>0</v>
      </c>
      <c r="I29" s="223">
        <v>8900</v>
      </c>
      <c r="J29" s="1447"/>
      <c r="K29" s="1602">
        <f t="shared" si="0"/>
        <v>8900</v>
      </c>
      <c r="L29" s="947">
        <v>98590</v>
      </c>
      <c r="M29" s="190">
        <v>0</v>
      </c>
      <c r="N29" s="1335"/>
      <c r="O29" s="2394">
        <f t="shared" si="2"/>
        <v>98590</v>
      </c>
      <c r="P29" s="1398">
        <v>18496</v>
      </c>
      <c r="Q29" s="1398">
        <v>26025</v>
      </c>
      <c r="R29" s="1398">
        <v>0</v>
      </c>
      <c r="S29" s="1335"/>
      <c r="T29" s="668"/>
      <c r="U29" s="1354"/>
      <c r="V29" s="2365">
        <f t="shared" si="3"/>
        <v>44521</v>
      </c>
    </row>
    <row r="30" spans="1:22">
      <c r="A30" s="972">
        <v>1995.09</v>
      </c>
      <c r="B30" s="223">
        <v>37</v>
      </c>
      <c r="C30" s="1398">
        <v>103</v>
      </c>
      <c r="D30" s="1446"/>
      <c r="E30" s="1398">
        <v>1065</v>
      </c>
      <c r="F30" s="223">
        <v>0</v>
      </c>
      <c r="G30" s="3614"/>
      <c r="H30" s="2364">
        <f t="shared" si="1"/>
        <v>0</v>
      </c>
      <c r="I30" s="223">
        <v>6482</v>
      </c>
      <c r="J30" s="1447"/>
      <c r="K30" s="1602">
        <f t="shared" si="0"/>
        <v>6482</v>
      </c>
      <c r="L30" s="947">
        <v>101168</v>
      </c>
      <c r="M30" s="190">
        <v>0</v>
      </c>
      <c r="N30" s="1335"/>
      <c r="O30" s="2394">
        <f t="shared" si="2"/>
        <v>101168</v>
      </c>
      <c r="P30" s="1398">
        <v>17779</v>
      </c>
      <c r="Q30" s="1398">
        <v>25011</v>
      </c>
      <c r="R30" s="1398">
        <v>0</v>
      </c>
      <c r="S30" s="1335"/>
      <c r="T30" s="668"/>
      <c r="U30" s="1354"/>
      <c r="V30" s="2365">
        <f t="shared" si="3"/>
        <v>42790</v>
      </c>
    </row>
    <row r="31" spans="1:22">
      <c r="A31" s="972">
        <v>1995.1</v>
      </c>
      <c r="B31" s="223">
        <v>68</v>
      </c>
      <c r="C31" s="1398">
        <v>110</v>
      </c>
      <c r="D31" s="1446"/>
      <c r="E31" s="1398">
        <v>1054</v>
      </c>
      <c r="F31" s="223">
        <v>0</v>
      </c>
      <c r="G31" s="3614"/>
      <c r="H31" s="2364">
        <f t="shared" si="1"/>
        <v>0</v>
      </c>
      <c r="I31" s="223">
        <v>10840</v>
      </c>
      <c r="J31" s="1447"/>
      <c r="K31" s="1602">
        <f t="shared" si="0"/>
        <v>10840</v>
      </c>
      <c r="L31" s="947">
        <v>108304</v>
      </c>
      <c r="M31" s="190">
        <v>0</v>
      </c>
      <c r="N31" s="1335"/>
      <c r="O31" s="2394">
        <f t="shared" si="2"/>
        <v>108304</v>
      </c>
      <c r="P31" s="1398">
        <v>16821</v>
      </c>
      <c r="Q31" s="1398">
        <v>23643</v>
      </c>
      <c r="R31" s="1398">
        <v>0</v>
      </c>
      <c r="S31" s="1335"/>
      <c r="T31" s="668"/>
      <c r="U31" s="1354"/>
      <c r="V31" s="2365">
        <f t="shared" si="3"/>
        <v>40464</v>
      </c>
    </row>
    <row r="32" spans="1:22">
      <c r="A32" s="972">
        <v>1995.11</v>
      </c>
      <c r="B32" s="223">
        <v>78</v>
      </c>
      <c r="C32" s="1398">
        <v>182</v>
      </c>
      <c r="D32" s="1446"/>
      <c r="E32" s="1398">
        <v>505</v>
      </c>
      <c r="F32" s="223">
        <v>0</v>
      </c>
      <c r="G32" s="3614"/>
      <c r="H32" s="2364">
        <f t="shared" si="1"/>
        <v>0</v>
      </c>
      <c r="I32" s="223">
        <v>2042</v>
      </c>
      <c r="J32" s="1447"/>
      <c r="K32" s="1602">
        <f t="shared" si="0"/>
        <v>2042</v>
      </c>
      <c r="L32" s="947">
        <v>114074</v>
      </c>
      <c r="M32" s="190">
        <v>0</v>
      </c>
      <c r="N32" s="1335"/>
      <c r="O32" s="2394">
        <f t="shared" si="2"/>
        <v>114074</v>
      </c>
      <c r="P32" s="1398">
        <v>17043</v>
      </c>
      <c r="Q32" s="1398">
        <v>23521</v>
      </c>
      <c r="R32" s="1398">
        <v>0</v>
      </c>
      <c r="S32" s="1335"/>
      <c r="T32" s="668"/>
      <c r="U32" s="1354"/>
      <c r="V32" s="2365">
        <f t="shared" si="3"/>
        <v>40564</v>
      </c>
    </row>
    <row r="33" spans="1:22">
      <c r="A33" s="972">
        <v>1995.12</v>
      </c>
      <c r="B33" s="223">
        <v>88</v>
      </c>
      <c r="C33" s="1398">
        <v>155</v>
      </c>
      <c r="D33" s="1446"/>
      <c r="E33" s="1398">
        <v>468</v>
      </c>
      <c r="F33" s="223">
        <v>640</v>
      </c>
      <c r="G33" s="3614"/>
      <c r="H33" s="2364">
        <f t="shared" si="1"/>
        <v>640</v>
      </c>
      <c r="I33" s="223">
        <v>12420</v>
      </c>
      <c r="J33" s="1447"/>
      <c r="K33" s="1602">
        <f t="shared" si="0"/>
        <v>12420</v>
      </c>
      <c r="L33" s="947">
        <v>103044</v>
      </c>
      <c r="M33" s="190">
        <v>0</v>
      </c>
      <c r="N33" s="1335"/>
      <c r="O33" s="2394">
        <f t="shared" si="2"/>
        <v>103044</v>
      </c>
      <c r="P33" s="1398">
        <v>17892</v>
      </c>
      <c r="Q33" s="1398">
        <v>25818</v>
      </c>
      <c r="R33" s="1398">
        <v>0</v>
      </c>
      <c r="S33" s="1335"/>
      <c r="T33" s="668"/>
      <c r="U33" s="1354"/>
      <c r="V33" s="2365">
        <f t="shared" si="3"/>
        <v>43710</v>
      </c>
    </row>
    <row r="34" spans="1:22">
      <c r="A34" s="972">
        <v>1996.01</v>
      </c>
      <c r="B34" s="223">
        <v>125</v>
      </c>
      <c r="C34" s="1398">
        <v>320</v>
      </c>
      <c r="D34" s="1446"/>
      <c r="E34" s="1398">
        <v>1228</v>
      </c>
      <c r="F34" s="223">
        <v>628</v>
      </c>
      <c r="G34" s="3614"/>
      <c r="H34" s="2364">
        <f t="shared" si="1"/>
        <v>628</v>
      </c>
      <c r="I34" s="223">
        <v>29152</v>
      </c>
      <c r="J34" s="1447"/>
      <c r="K34" s="1602">
        <f t="shared" si="0"/>
        <v>29152</v>
      </c>
      <c r="L34" s="947">
        <v>94911</v>
      </c>
      <c r="M34" s="190">
        <v>0</v>
      </c>
      <c r="N34" s="1335"/>
      <c r="O34" s="2394">
        <f t="shared" si="2"/>
        <v>94911</v>
      </c>
      <c r="P34" s="1398">
        <v>16914</v>
      </c>
      <c r="Q34" s="1398">
        <v>24220</v>
      </c>
      <c r="R34" s="1398">
        <v>0</v>
      </c>
      <c r="S34" s="1335"/>
      <c r="T34" s="668"/>
      <c r="U34" s="1354"/>
      <c r="V34" s="2365">
        <f t="shared" si="3"/>
        <v>41134</v>
      </c>
    </row>
    <row r="35" spans="1:22">
      <c r="A35" s="972">
        <v>1996.02</v>
      </c>
      <c r="B35" s="223">
        <v>99</v>
      </c>
      <c r="C35" s="1398">
        <v>404</v>
      </c>
      <c r="D35" s="1446"/>
      <c r="E35" s="1398">
        <v>1404</v>
      </c>
      <c r="F35" s="223">
        <v>0</v>
      </c>
      <c r="G35" s="3614"/>
      <c r="H35" s="2364">
        <f t="shared" si="1"/>
        <v>0</v>
      </c>
      <c r="I35" s="223">
        <v>39755</v>
      </c>
      <c r="J35" s="1447"/>
      <c r="K35" s="1602">
        <f t="shared" si="0"/>
        <v>39755</v>
      </c>
      <c r="L35" s="947">
        <v>96443</v>
      </c>
      <c r="M35" s="190">
        <v>0</v>
      </c>
      <c r="N35" s="1335"/>
      <c r="O35" s="2394">
        <f t="shared" si="2"/>
        <v>96443</v>
      </c>
      <c r="P35" s="1398">
        <v>15697</v>
      </c>
      <c r="Q35" s="1398">
        <v>23220</v>
      </c>
      <c r="R35" s="1398">
        <v>0</v>
      </c>
      <c r="S35" s="1335"/>
      <c r="T35" s="668"/>
      <c r="U35" s="1354"/>
      <c r="V35" s="2365">
        <f t="shared" si="3"/>
        <v>38917</v>
      </c>
    </row>
    <row r="36" spans="1:22">
      <c r="A36" s="972">
        <v>1996.03</v>
      </c>
      <c r="B36" s="223">
        <v>234</v>
      </c>
      <c r="C36" s="1398">
        <v>429</v>
      </c>
      <c r="D36" s="1446"/>
      <c r="E36" s="1398">
        <v>1386</v>
      </c>
      <c r="F36" s="223">
        <v>393</v>
      </c>
      <c r="G36" s="3614"/>
      <c r="H36" s="2364">
        <f t="shared" si="1"/>
        <v>393</v>
      </c>
      <c r="I36" s="223">
        <v>34981</v>
      </c>
      <c r="J36" s="1447"/>
      <c r="K36" s="1602">
        <f t="shared" si="0"/>
        <v>34981</v>
      </c>
      <c r="L36" s="947">
        <v>110981</v>
      </c>
      <c r="M36" s="190">
        <v>0</v>
      </c>
      <c r="N36" s="1335"/>
      <c r="O36" s="2394">
        <f t="shared" si="2"/>
        <v>110981</v>
      </c>
      <c r="P36" s="1398">
        <v>15783</v>
      </c>
      <c r="Q36" s="1398">
        <v>23662</v>
      </c>
      <c r="R36" s="1398">
        <v>0</v>
      </c>
      <c r="S36" s="1335"/>
      <c r="T36" s="668"/>
      <c r="U36" s="1354"/>
      <c r="V36" s="2365">
        <f t="shared" si="3"/>
        <v>39445</v>
      </c>
    </row>
    <row r="37" spans="1:22">
      <c r="A37" s="972">
        <v>1996.04</v>
      </c>
      <c r="B37" s="223">
        <v>90</v>
      </c>
      <c r="C37" s="1398">
        <v>121</v>
      </c>
      <c r="D37" s="1446"/>
      <c r="E37" s="1398">
        <v>2918</v>
      </c>
      <c r="F37" s="223">
        <v>85</v>
      </c>
      <c r="G37" s="3614"/>
      <c r="H37" s="2364">
        <f t="shared" si="1"/>
        <v>85</v>
      </c>
      <c r="I37" s="223">
        <v>22753</v>
      </c>
      <c r="J37" s="1447"/>
      <c r="K37" s="1602">
        <f t="shared" si="0"/>
        <v>22753</v>
      </c>
      <c r="L37" s="947">
        <v>121408</v>
      </c>
      <c r="M37" s="190">
        <v>0</v>
      </c>
      <c r="N37" s="1335"/>
      <c r="O37" s="2394">
        <f t="shared" si="2"/>
        <v>121408</v>
      </c>
      <c r="P37" s="1398">
        <v>16473</v>
      </c>
      <c r="Q37" s="1398">
        <v>24288</v>
      </c>
      <c r="R37" s="1398">
        <v>0</v>
      </c>
      <c r="S37" s="1335"/>
      <c r="T37" s="668"/>
      <c r="U37" s="1354"/>
      <c r="V37" s="2365">
        <f t="shared" si="3"/>
        <v>40761</v>
      </c>
    </row>
    <row r="38" spans="1:22">
      <c r="A38" s="972">
        <v>1996.05</v>
      </c>
      <c r="B38" s="223">
        <v>45</v>
      </c>
      <c r="C38" s="1398">
        <v>88</v>
      </c>
      <c r="D38" s="1446"/>
      <c r="E38" s="1398">
        <v>5778</v>
      </c>
      <c r="F38" s="223">
        <v>717</v>
      </c>
      <c r="G38" s="3614"/>
      <c r="H38" s="2364">
        <f t="shared" si="1"/>
        <v>717</v>
      </c>
      <c r="I38" s="223">
        <v>27711</v>
      </c>
      <c r="J38" s="1447"/>
      <c r="K38" s="1602">
        <f t="shared" si="0"/>
        <v>27711</v>
      </c>
      <c r="L38" s="947">
        <v>144208</v>
      </c>
      <c r="M38" s="190">
        <v>0</v>
      </c>
      <c r="N38" s="1335"/>
      <c r="O38" s="2394">
        <f t="shared" si="2"/>
        <v>144208</v>
      </c>
      <c r="P38" s="1398">
        <v>17221</v>
      </c>
      <c r="Q38" s="1398">
        <v>23817</v>
      </c>
      <c r="R38" s="1398">
        <v>0</v>
      </c>
      <c r="S38" s="1335"/>
      <c r="T38" s="668"/>
      <c r="U38" s="1354"/>
      <c r="V38" s="2365">
        <f t="shared" si="3"/>
        <v>41038</v>
      </c>
    </row>
    <row r="39" spans="1:22">
      <c r="A39" s="972">
        <v>1996.06</v>
      </c>
      <c r="B39" s="223">
        <v>31</v>
      </c>
      <c r="C39" s="1398">
        <v>64</v>
      </c>
      <c r="D39" s="1446"/>
      <c r="E39" s="1398">
        <v>12076</v>
      </c>
      <c r="F39" s="223">
        <v>356</v>
      </c>
      <c r="G39" s="3614"/>
      <c r="H39" s="2364">
        <f t="shared" si="1"/>
        <v>356</v>
      </c>
      <c r="I39" s="223">
        <v>35145</v>
      </c>
      <c r="J39" s="1447"/>
      <c r="K39" s="1602">
        <f t="shared" si="0"/>
        <v>35145</v>
      </c>
      <c r="L39" s="947">
        <v>116151</v>
      </c>
      <c r="M39" s="190">
        <v>0</v>
      </c>
      <c r="N39" s="1335"/>
      <c r="O39" s="2394">
        <f t="shared" si="2"/>
        <v>116151</v>
      </c>
      <c r="P39" s="1398">
        <v>16270</v>
      </c>
      <c r="Q39" s="1398">
        <v>22130</v>
      </c>
      <c r="R39" s="1398">
        <v>0</v>
      </c>
      <c r="S39" s="1335"/>
      <c r="T39" s="668"/>
      <c r="U39" s="1354"/>
      <c r="V39" s="2365">
        <f t="shared" si="3"/>
        <v>38400</v>
      </c>
    </row>
    <row r="40" spans="1:22">
      <c r="A40" s="972">
        <v>1996.07</v>
      </c>
      <c r="B40" s="223">
        <v>41</v>
      </c>
      <c r="C40" s="1398">
        <v>75</v>
      </c>
      <c r="D40" s="1446"/>
      <c r="E40" s="1398">
        <v>14115</v>
      </c>
      <c r="F40" s="223">
        <v>1049</v>
      </c>
      <c r="G40" s="3614"/>
      <c r="H40" s="2364">
        <f t="shared" si="1"/>
        <v>1049</v>
      </c>
      <c r="I40" s="223">
        <v>36176</v>
      </c>
      <c r="J40" s="1447"/>
      <c r="K40" s="1602">
        <f t="shared" si="0"/>
        <v>36176</v>
      </c>
      <c r="L40" s="947">
        <v>126486</v>
      </c>
      <c r="M40" s="190">
        <v>0</v>
      </c>
      <c r="N40" s="1335"/>
      <c r="O40" s="2394">
        <f t="shared" si="2"/>
        <v>126486</v>
      </c>
      <c r="P40" s="1398">
        <v>18241</v>
      </c>
      <c r="Q40" s="1398">
        <v>25048</v>
      </c>
      <c r="R40" s="1398">
        <v>0</v>
      </c>
      <c r="S40" s="1335"/>
      <c r="T40" s="668"/>
      <c r="U40" s="1354"/>
      <c r="V40" s="2365">
        <f t="shared" si="3"/>
        <v>43289</v>
      </c>
    </row>
    <row r="41" spans="1:22">
      <c r="A41" s="972">
        <v>1996.08</v>
      </c>
      <c r="B41" s="223">
        <v>30</v>
      </c>
      <c r="C41" s="1398">
        <v>109</v>
      </c>
      <c r="D41" s="1446"/>
      <c r="E41" s="1398">
        <v>3629</v>
      </c>
      <c r="F41" s="223">
        <v>864</v>
      </c>
      <c r="G41" s="3614"/>
      <c r="H41" s="2364">
        <f t="shared" si="1"/>
        <v>864</v>
      </c>
      <c r="I41" s="223">
        <v>12480</v>
      </c>
      <c r="J41" s="1447"/>
      <c r="K41" s="1602">
        <f t="shared" si="0"/>
        <v>12480</v>
      </c>
      <c r="L41" s="947">
        <v>151172</v>
      </c>
      <c r="M41" s="190">
        <v>0</v>
      </c>
      <c r="N41" s="1335"/>
      <c r="O41" s="2394">
        <f t="shared" si="2"/>
        <v>151172</v>
      </c>
      <c r="P41" s="1398">
        <v>19032</v>
      </c>
      <c r="Q41" s="1398">
        <v>25991</v>
      </c>
      <c r="R41" s="1398">
        <v>0</v>
      </c>
      <c r="S41" s="1335"/>
      <c r="T41" s="668"/>
      <c r="U41" s="1354"/>
      <c r="V41" s="2365">
        <f t="shared" si="3"/>
        <v>45023</v>
      </c>
    </row>
    <row r="42" spans="1:22">
      <c r="A42" s="972">
        <v>1996.09</v>
      </c>
      <c r="B42" s="223">
        <v>76</v>
      </c>
      <c r="C42" s="1398">
        <v>74</v>
      </c>
      <c r="D42" s="1446"/>
      <c r="E42" s="1398">
        <v>2101</v>
      </c>
      <c r="F42" s="223">
        <v>1386</v>
      </c>
      <c r="G42" s="3614"/>
      <c r="H42" s="2364">
        <f t="shared" si="1"/>
        <v>1386</v>
      </c>
      <c r="I42" s="223">
        <v>18094</v>
      </c>
      <c r="J42" s="1447"/>
      <c r="K42" s="1602">
        <f t="shared" si="0"/>
        <v>18094</v>
      </c>
      <c r="L42" s="947">
        <v>114343</v>
      </c>
      <c r="M42" s="190">
        <v>0</v>
      </c>
      <c r="N42" s="1335"/>
      <c r="O42" s="2394">
        <f t="shared" si="2"/>
        <v>114343</v>
      </c>
      <c r="P42" s="1398">
        <v>17916</v>
      </c>
      <c r="Q42" s="1398">
        <v>24161</v>
      </c>
      <c r="R42" s="1398">
        <v>0</v>
      </c>
      <c r="S42" s="1335"/>
      <c r="T42" s="668"/>
      <c r="U42" s="1354"/>
      <c r="V42" s="2365">
        <f t="shared" si="3"/>
        <v>42077</v>
      </c>
    </row>
    <row r="43" spans="1:22">
      <c r="A43" s="972">
        <v>1996.1</v>
      </c>
      <c r="B43" s="223">
        <v>102</v>
      </c>
      <c r="C43" s="1398">
        <v>88</v>
      </c>
      <c r="D43" s="1446"/>
      <c r="E43" s="1398">
        <v>687</v>
      </c>
      <c r="F43" s="223">
        <v>170</v>
      </c>
      <c r="G43" s="3614"/>
      <c r="H43" s="2364">
        <f t="shared" si="1"/>
        <v>170</v>
      </c>
      <c r="I43" s="223">
        <v>13552</v>
      </c>
      <c r="J43" s="1447"/>
      <c r="K43" s="1602">
        <f t="shared" si="0"/>
        <v>13552</v>
      </c>
      <c r="L43" s="947">
        <v>90887</v>
      </c>
      <c r="M43" s="190">
        <v>0</v>
      </c>
      <c r="N43" s="1335"/>
      <c r="O43" s="2394">
        <f t="shared" si="2"/>
        <v>90887</v>
      </c>
      <c r="P43" s="1398">
        <v>15788</v>
      </c>
      <c r="Q43" s="1398">
        <v>21186</v>
      </c>
      <c r="R43" s="1398">
        <v>0</v>
      </c>
      <c r="S43" s="1335"/>
      <c r="T43" s="668"/>
      <c r="U43" s="1354"/>
      <c r="V43" s="2365">
        <f t="shared" si="3"/>
        <v>36974</v>
      </c>
    </row>
    <row r="44" spans="1:22">
      <c r="A44" s="972">
        <v>1996.11</v>
      </c>
      <c r="B44" s="223">
        <v>86</v>
      </c>
      <c r="C44" s="1398">
        <v>150</v>
      </c>
      <c r="D44" s="1446"/>
      <c r="E44" s="1398">
        <v>651</v>
      </c>
      <c r="F44" s="223">
        <v>414</v>
      </c>
      <c r="G44" s="3614"/>
      <c r="H44" s="2364">
        <f t="shared" si="1"/>
        <v>414</v>
      </c>
      <c r="I44" s="223">
        <v>10648</v>
      </c>
      <c r="J44" s="1447"/>
      <c r="K44" s="1602">
        <f t="shared" si="0"/>
        <v>10648</v>
      </c>
      <c r="L44" s="947">
        <v>120178</v>
      </c>
      <c r="M44" s="190">
        <v>0</v>
      </c>
      <c r="N44" s="1335"/>
      <c r="O44" s="2394">
        <f t="shared" si="2"/>
        <v>120178</v>
      </c>
      <c r="P44" s="1398">
        <v>16965</v>
      </c>
      <c r="Q44" s="1398">
        <v>23136</v>
      </c>
      <c r="R44" s="1398">
        <v>0</v>
      </c>
      <c r="S44" s="1335"/>
      <c r="T44" s="668"/>
      <c r="U44" s="1354"/>
      <c r="V44" s="2365">
        <f t="shared" si="3"/>
        <v>40101</v>
      </c>
    </row>
    <row r="45" spans="1:22">
      <c r="A45" s="972">
        <v>1996.12</v>
      </c>
      <c r="B45" s="223">
        <v>149</v>
      </c>
      <c r="C45" s="1398">
        <v>143</v>
      </c>
      <c r="D45" s="1446"/>
      <c r="E45" s="1398">
        <v>724</v>
      </c>
      <c r="F45" s="223">
        <v>188</v>
      </c>
      <c r="G45" s="3614"/>
      <c r="H45" s="2364">
        <f t="shared" si="1"/>
        <v>188</v>
      </c>
      <c r="I45" s="223">
        <v>11374</v>
      </c>
      <c r="J45" s="1447"/>
      <c r="K45" s="1602">
        <f t="shared" si="0"/>
        <v>11374</v>
      </c>
      <c r="L45" s="947">
        <v>122448</v>
      </c>
      <c r="M45" s="190">
        <v>0</v>
      </c>
      <c r="N45" s="1335"/>
      <c r="O45" s="2394">
        <f t="shared" si="2"/>
        <v>122448</v>
      </c>
      <c r="P45" s="1398">
        <v>19526</v>
      </c>
      <c r="Q45" s="1398">
        <v>26572</v>
      </c>
      <c r="R45" s="1398">
        <v>0</v>
      </c>
      <c r="S45" s="1335"/>
      <c r="T45" s="668"/>
      <c r="U45" s="1354"/>
      <c r="V45" s="2365">
        <f t="shared" si="3"/>
        <v>46098</v>
      </c>
    </row>
    <row r="46" spans="1:22">
      <c r="A46" s="972">
        <v>1997.01</v>
      </c>
      <c r="B46" s="223">
        <v>186</v>
      </c>
      <c r="C46" s="1398">
        <v>403</v>
      </c>
      <c r="D46" s="1446"/>
      <c r="E46" s="1398">
        <v>885</v>
      </c>
      <c r="F46" s="223">
        <v>0</v>
      </c>
      <c r="G46" s="3614"/>
      <c r="H46" s="2364">
        <f t="shared" si="1"/>
        <v>0</v>
      </c>
      <c r="I46" s="223">
        <v>9333</v>
      </c>
      <c r="J46" s="1447"/>
      <c r="K46" s="1602">
        <f t="shared" si="0"/>
        <v>9333</v>
      </c>
      <c r="L46" s="947">
        <v>94390</v>
      </c>
      <c r="M46" s="190">
        <v>0</v>
      </c>
      <c r="N46" s="1335"/>
      <c r="O46" s="2394">
        <f t="shared" si="2"/>
        <v>94390</v>
      </c>
      <c r="P46" s="1398">
        <v>16842</v>
      </c>
      <c r="Q46" s="1398">
        <v>24257</v>
      </c>
      <c r="R46" s="1398">
        <v>0</v>
      </c>
      <c r="S46" s="1335"/>
      <c r="T46" s="668"/>
      <c r="U46" s="1354"/>
      <c r="V46" s="2365">
        <f t="shared" si="3"/>
        <v>41099</v>
      </c>
    </row>
    <row r="47" spans="1:22">
      <c r="A47" s="972">
        <v>1997.02</v>
      </c>
      <c r="B47" s="223">
        <v>111</v>
      </c>
      <c r="C47" s="1398">
        <v>241</v>
      </c>
      <c r="D47" s="1446"/>
      <c r="E47" s="1398">
        <v>770</v>
      </c>
      <c r="F47" s="223">
        <v>0</v>
      </c>
      <c r="G47" s="3614"/>
      <c r="H47" s="2364">
        <f t="shared" si="1"/>
        <v>0</v>
      </c>
      <c r="I47" s="223">
        <v>8302</v>
      </c>
      <c r="J47" s="1447"/>
      <c r="K47" s="1602">
        <f t="shared" si="0"/>
        <v>8302</v>
      </c>
      <c r="L47" s="947">
        <v>86335</v>
      </c>
      <c r="M47" s="190">
        <v>0</v>
      </c>
      <c r="N47" s="1335"/>
      <c r="O47" s="2394">
        <f t="shared" si="2"/>
        <v>86335</v>
      </c>
      <c r="P47" s="1398">
        <v>14408</v>
      </c>
      <c r="Q47" s="1398">
        <v>21609</v>
      </c>
      <c r="R47" s="1398">
        <v>0</v>
      </c>
      <c r="S47" s="1335"/>
      <c r="T47" s="668"/>
      <c r="U47" s="1354"/>
      <c r="V47" s="2365">
        <f t="shared" si="3"/>
        <v>36017</v>
      </c>
    </row>
    <row r="48" spans="1:22">
      <c r="A48" s="972">
        <v>1997.03</v>
      </c>
      <c r="B48" s="223">
        <v>129</v>
      </c>
      <c r="C48" s="1398">
        <v>166</v>
      </c>
      <c r="D48" s="1446"/>
      <c r="E48" s="1398">
        <v>904</v>
      </c>
      <c r="F48" s="223">
        <v>0</v>
      </c>
      <c r="G48" s="3614"/>
      <c r="H48" s="2364">
        <f t="shared" si="1"/>
        <v>0</v>
      </c>
      <c r="I48" s="223">
        <v>6803</v>
      </c>
      <c r="J48" s="1447"/>
      <c r="K48" s="1602">
        <f t="shared" si="0"/>
        <v>6803</v>
      </c>
      <c r="L48" s="947">
        <v>106370</v>
      </c>
      <c r="M48" s="190">
        <v>0</v>
      </c>
      <c r="N48" s="1335"/>
      <c r="O48" s="2394">
        <f t="shared" si="2"/>
        <v>106370</v>
      </c>
      <c r="P48" s="1398">
        <v>15044</v>
      </c>
      <c r="Q48" s="1398">
        <v>23500</v>
      </c>
      <c r="R48" s="1398">
        <v>0</v>
      </c>
      <c r="S48" s="1335"/>
      <c r="T48" s="668"/>
      <c r="U48" s="1354"/>
      <c r="V48" s="2365">
        <f t="shared" si="3"/>
        <v>38544</v>
      </c>
    </row>
    <row r="49" spans="1:22">
      <c r="A49" s="972">
        <v>1997.04</v>
      </c>
      <c r="B49" s="223">
        <v>59</v>
      </c>
      <c r="C49" s="1398">
        <v>92</v>
      </c>
      <c r="D49" s="1446"/>
      <c r="E49" s="1398">
        <v>1620</v>
      </c>
      <c r="F49" s="223">
        <v>0</v>
      </c>
      <c r="G49" s="3614"/>
      <c r="H49" s="2364">
        <f t="shared" si="1"/>
        <v>0</v>
      </c>
      <c r="I49" s="223">
        <v>11721</v>
      </c>
      <c r="J49" s="1447"/>
      <c r="K49" s="1602">
        <f t="shared" si="0"/>
        <v>11721</v>
      </c>
      <c r="L49" s="947">
        <v>110516</v>
      </c>
      <c r="M49" s="190">
        <v>0</v>
      </c>
      <c r="N49" s="1335"/>
      <c r="O49" s="2394">
        <f t="shared" si="2"/>
        <v>110516</v>
      </c>
      <c r="P49" s="1398">
        <v>15441</v>
      </c>
      <c r="Q49" s="1398">
        <v>23499</v>
      </c>
      <c r="R49" s="1398">
        <v>0</v>
      </c>
      <c r="S49" s="1335"/>
      <c r="T49" s="668"/>
      <c r="U49" s="1354"/>
      <c r="V49" s="2365">
        <f t="shared" si="3"/>
        <v>38940</v>
      </c>
    </row>
    <row r="50" spans="1:22">
      <c r="A50" s="972">
        <v>1997.05</v>
      </c>
      <c r="B50" s="223">
        <v>63</v>
      </c>
      <c r="C50" s="1398">
        <v>65</v>
      </c>
      <c r="D50" s="1446"/>
      <c r="E50" s="1398">
        <v>4476</v>
      </c>
      <c r="F50" s="223">
        <v>0</v>
      </c>
      <c r="G50" s="3614"/>
      <c r="H50" s="2364">
        <f t="shared" si="1"/>
        <v>0</v>
      </c>
      <c r="I50" s="223">
        <v>10327</v>
      </c>
      <c r="J50" s="1447"/>
      <c r="K50" s="1602">
        <f t="shared" si="0"/>
        <v>10327</v>
      </c>
      <c r="L50" s="947">
        <v>104072</v>
      </c>
      <c r="M50" s="190">
        <v>0</v>
      </c>
      <c r="N50" s="1335"/>
      <c r="O50" s="2394">
        <f t="shared" si="2"/>
        <v>104072</v>
      </c>
      <c r="P50" s="1398">
        <v>14961</v>
      </c>
      <c r="Q50" s="1398">
        <v>22569</v>
      </c>
      <c r="R50" s="1398">
        <v>0</v>
      </c>
      <c r="S50" s="1335"/>
      <c r="T50" s="668"/>
      <c r="U50" s="1354"/>
      <c r="V50" s="2365">
        <f t="shared" si="3"/>
        <v>37530</v>
      </c>
    </row>
    <row r="51" spans="1:22">
      <c r="A51" s="972">
        <v>1997.06</v>
      </c>
      <c r="B51" s="223">
        <v>40</v>
      </c>
      <c r="C51" s="1398">
        <v>40</v>
      </c>
      <c r="D51" s="1446"/>
      <c r="E51" s="1398">
        <v>6743</v>
      </c>
      <c r="F51" s="223">
        <v>0</v>
      </c>
      <c r="G51" s="3614"/>
      <c r="H51" s="2364">
        <f t="shared" si="1"/>
        <v>0</v>
      </c>
      <c r="I51" s="223">
        <v>22937</v>
      </c>
      <c r="J51" s="1447"/>
      <c r="K51" s="1602">
        <f t="shared" si="0"/>
        <v>22937</v>
      </c>
      <c r="L51" s="947">
        <v>92241</v>
      </c>
      <c r="M51" s="190">
        <v>0</v>
      </c>
      <c r="N51" s="1335"/>
      <c r="O51" s="2394">
        <f t="shared" si="2"/>
        <v>92241</v>
      </c>
      <c r="P51" s="1398">
        <v>14224</v>
      </c>
      <c r="Q51" s="1398">
        <v>21848</v>
      </c>
      <c r="R51" s="1398">
        <v>0</v>
      </c>
      <c r="S51" s="1335"/>
      <c r="T51" s="668"/>
      <c r="U51" s="1354"/>
      <c r="V51" s="2365">
        <f t="shared" si="3"/>
        <v>36072</v>
      </c>
    </row>
    <row r="52" spans="1:22">
      <c r="A52" s="972">
        <v>1997.07</v>
      </c>
      <c r="B52" s="223">
        <v>48</v>
      </c>
      <c r="C52" s="1398">
        <v>53</v>
      </c>
      <c r="D52" s="1446"/>
      <c r="E52" s="1398">
        <v>8202</v>
      </c>
      <c r="F52" s="223">
        <v>0</v>
      </c>
      <c r="G52" s="3614"/>
      <c r="H52" s="2364">
        <f t="shared" si="1"/>
        <v>0</v>
      </c>
      <c r="I52" s="223">
        <v>14705</v>
      </c>
      <c r="J52" s="1447"/>
      <c r="K52" s="1602">
        <f t="shared" si="0"/>
        <v>14705</v>
      </c>
      <c r="L52" s="947">
        <v>102199</v>
      </c>
      <c r="M52" s="190">
        <v>0</v>
      </c>
      <c r="N52" s="1335"/>
      <c r="O52" s="2394">
        <f t="shared" si="2"/>
        <v>102199</v>
      </c>
      <c r="P52" s="1398">
        <v>16170</v>
      </c>
      <c r="Q52" s="1398">
        <v>24477</v>
      </c>
      <c r="R52" s="1398">
        <v>0</v>
      </c>
      <c r="S52" s="1335"/>
      <c r="T52" s="668"/>
      <c r="U52" s="1354"/>
      <c r="V52" s="2365">
        <f t="shared" si="3"/>
        <v>40647</v>
      </c>
    </row>
    <row r="53" spans="1:22">
      <c r="A53" s="972">
        <v>1997.08</v>
      </c>
      <c r="B53" s="223">
        <v>1601</v>
      </c>
      <c r="C53" s="1398">
        <v>56</v>
      </c>
      <c r="D53" s="1446"/>
      <c r="E53" s="1398">
        <v>2935</v>
      </c>
      <c r="F53" s="223">
        <v>0</v>
      </c>
      <c r="G53" s="3614"/>
      <c r="H53" s="2364">
        <f t="shared" si="1"/>
        <v>0</v>
      </c>
      <c r="I53" s="223">
        <v>12456</v>
      </c>
      <c r="J53" s="1447"/>
      <c r="K53" s="1602">
        <f t="shared" si="0"/>
        <v>12456</v>
      </c>
      <c r="L53" s="947">
        <v>97542</v>
      </c>
      <c r="M53" s="190">
        <v>0</v>
      </c>
      <c r="N53" s="1335"/>
      <c r="O53" s="2394">
        <f t="shared" si="2"/>
        <v>97542</v>
      </c>
      <c r="P53" s="1398">
        <v>15112</v>
      </c>
      <c r="Q53" s="1398">
        <v>23795</v>
      </c>
      <c r="R53" s="1398">
        <v>0</v>
      </c>
      <c r="S53" s="1335"/>
      <c r="T53" s="668"/>
      <c r="U53" s="1354"/>
      <c r="V53" s="2365">
        <f t="shared" si="3"/>
        <v>38907</v>
      </c>
    </row>
    <row r="54" spans="1:22">
      <c r="A54" s="972">
        <v>1997.09</v>
      </c>
      <c r="B54" s="223">
        <v>1244</v>
      </c>
      <c r="C54" s="1398">
        <v>52</v>
      </c>
      <c r="D54" s="1446"/>
      <c r="E54" s="1398">
        <v>995</v>
      </c>
      <c r="F54" s="223">
        <v>0</v>
      </c>
      <c r="G54" s="3614"/>
      <c r="H54" s="2364">
        <f t="shared" si="1"/>
        <v>0</v>
      </c>
      <c r="I54" s="223">
        <v>9515</v>
      </c>
      <c r="J54" s="1447"/>
      <c r="K54" s="1602">
        <f t="shared" si="0"/>
        <v>9515</v>
      </c>
      <c r="L54" s="947">
        <v>101912</v>
      </c>
      <c r="M54" s="190">
        <v>0</v>
      </c>
      <c r="N54" s="1335"/>
      <c r="O54" s="2394">
        <f t="shared" si="2"/>
        <v>101912</v>
      </c>
      <c r="P54" s="1398">
        <v>14246</v>
      </c>
      <c r="Q54" s="1398">
        <v>22408</v>
      </c>
      <c r="R54" s="1398">
        <v>0</v>
      </c>
      <c r="S54" s="1335"/>
      <c r="T54" s="668"/>
      <c r="U54" s="1354"/>
      <c r="V54" s="2365">
        <f t="shared" si="3"/>
        <v>36654</v>
      </c>
    </row>
    <row r="55" spans="1:22">
      <c r="A55" s="972">
        <v>1997.1</v>
      </c>
      <c r="B55" s="223">
        <v>1331</v>
      </c>
      <c r="C55" s="1398">
        <v>103</v>
      </c>
      <c r="D55" s="1446"/>
      <c r="E55" s="1398">
        <v>556</v>
      </c>
      <c r="F55" s="223">
        <v>302</v>
      </c>
      <c r="G55" s="3614"/>
      <c r="H55" s="2364">
        <f t="shared" si="1"/>
        <v>302</v>
      </c>
      <c r="I55" s="223">
        <v>12471</v>
      </c>
      <c r="J55" s="1447"/>
      <c r="K55" s="1602">
        <f t="shared" si="0"/>
        <v>12471</v>
      </c>
      <c r="L55" s="947">
        <v>110889</v>
      </c>
      <c r="M55" s="190">
        <v>0</v>
      </c>
      <c r="N55" s="1335"/>
      <c r="O55" s="2394">
        <f t="shared" si="2"/>
        <v>110889</v>
      </c>
      <c r="P55" s="1398">
        <v>15398</v>
      </c>
      <c r="Q55" s="1398">
        <v>24248</v>
      </c>
      <c r="R55" s="1398">
        <v>0</v>
      </c>
      <c r="S55" s="1335"/>
      <c r="T55" s="668"/>
      <c r="U55" s="1354"/>
      <c r="V55" s="2365">
        <f t="shared" si="3"/>
        <v>39646</v>
      </c>
    </row>
    <row r="56" spans="1:22">
      <c r="A56" s="972">
        <v>1997.11</v>
      </c>
      <c r="B56" s="223">
        <v>1025</v>
      </c>
      <c r="C56" s="1398">
        <v>85</v>
      </c>
      <c r="D56" s="1446"/>
      <c r="E56" s="1398">
        <v>604</v>
      </c>
      <c r="F56" s="223">
        <v>0</v>
      </c>
      <c r="G56" s="3614"/>
      <c r="H56" s="2364">
        <f t="shared" si="1"/>
        <v>0</v>
      </c>
      <c r="I56" s="223">
        <v>5590</v>
      </c>
      <c r="J56" s="1447"/>
      <c r="K56" s="1602">
        <f t="shared" si="0"/>
        <v>5590</v>
      </c>
      <c r="L56" s="947">
        <v>106844</v>
      </c>
      <c r="M56" s="190">
        <v>0</v>
      </c>
      <c r="N56" s="1335"/>
      <c r="O56" s="2394">
        <f t="shared" si="2"/>
        <v>106844</v>
      </c>
      <c r="P56" s="1398">
        <v>13595</v>
      </c>
      <c r="Q56" s="1398">
        <v>22162</v>
      </c>
      <c r="R56" s="1398">
        <v>0</v>
      </c>
      <c r="S56" s="1335"/>
      <c r="T56" s="668"/>
      <c r="U56" s="1354"/>
      <c r="V56" s="2365">
        <f t="shared" si="3"/>
        <v>35757</v>
      </c>
    </row>
    <row r="57" spans="1:22">
      <c r="A57" s="972">
        <v>1997.12</v>
      </c>
      <c r="B57" s="223">
        <v>841</v>
      </c>
      <c r="C57" s="1398">
        <v>143</v>
      </c>
      <c r="D57" s="1446"/>
      <c r="E57" s="1398">
        <v>611</v>
      </c>
      <c r="F57" s="223">
        <v>0</v>
      </c>
      <c r="G57" s="3614"/>
      <c r="H57" s="2364">
        <f t="shared" si="1"/>
        <v>0</v>
      </c>
      <c r="I57" s="223">
        <v>6648</v>
      </c>
      <c r="J57" s="1447"/>
      <c r="K57" s="1602">
        <f t="shared" si="0"/>
        <v>6648</v>
      </c>
      <c r="L57" s="947">
        <v>103164</v>
      </c>
      <c r="M57" s="190">
        <v>0</v>
      </c>
      <c r="N57" s="1335"/>
      <c r="O57" s="2394">
        <f t="shared" si="2"/>
        <v>103164</v>
      </c>
      <c r="P57" s="1398">
        <v>15348</v>
      </c>
      <c r="Q57" s="1398">
        <v>25943</v>
      </c>
      <c r="R57" s="1398">
        <v>0</v>
      </c>
      <c r="S57" s="1335"/>
      <c r="T57" s="668"/>
      <c r="U57" s="1354"/>
      <c r="V57" s="2365">
        <f t="shared" si="3"/>
        <v>41291</v>
      </c>
    </row>
    <row r="58" spans="1:22">
      <c r="A58" s="972">
        <v>1998.01</v>
      </c>
      <c r="B58" s="223">
        <v>635</v>
      </c>
      <c r="C58" s="1398">
        <v>265</v>
      </c>
      <c r="D58" s="1446"/>
      <c r="E58" s="1398">
        <v>732</v>
      </c>
      <c r="F58" s="223">
        <v>372</v>
      </c>
      <c r="G58" s="3614"/>
      <c r="H58" s="2364">
        <f t="shared" si="1"/>
        <v>372</v>
      </c>
      <c r="I58" s="223">
        <v>7110</v>
      </c>
      <c r="J58" s="1447"/>
      <c r="K58" s="1602">
        <f t="shared" si="0"/>
        <v>7110</v>
      </c>
      <c r="L58" s="947">
        <v>91073</v>
      </c>
      <c r="M58" s="190">
        <v>0</v>
      </c>
      <c r="N58" s="1335"/>
      <c r="O58" s="2394">
        <f t="shared" si="2"/>
        <v>91073</v>
      </c>
      <c r="P58" s="1398">
        <v>13937</v>
      </c>
      <c r="Q58" s="1398">
        <v>25994</v>
      </c>
      <c r="R58" s="1398">
        <v>0</v>
      </c>
      <c r="S58" s="1335"/>
      <c r="T58" s="668"/>
      <c r="U58" s="1354"/>
      <c r="V58" s="2365">
        <f t="shared" si="3"/>
        <v>39931</v>
      </c>
    </row>
    <row r="59" spans="1:22">
      <c r="A59" s="972">
        <v>1998.02</v>
      </c>
      <c r="B59" s="223">
        <v>169</v>
      </c>
      <c r="C59" s="1398">
        <v>171</v>
      </c>
      <c r="D59" s="1446"/>
      <c r="E59" s="1398">
        <v>625</v>
      </c>
      <c r="F59" s="223">
        <v>158</v>
      </c>
      <c r="G59" s="3614"/>
      <c r="H59" s="2364">
        <f t="shared" si="1"/>
        <v>158</v>
      </c>
      <c r="I59" s="223">
        <v>7015</v>
      </c>
      <c r="J59" s="1447"/>
      <c r="K59" s="1602">
        <f t="shared" si="0"/>
        <v>7015</v>
      </c>
      <c r="L59" s="947">
        <v>83841</v>
      </c>
      <c r="M59" s="190">
        <v>0</v>
      </c>
      <c r="N59" s="1335"/>
      <c r="O59" s="2394">
        <f t="shared" si="2"/>
        <v>83841</v>
      </c>
      <c r="P59" s="1398">
        <v>12140</v>
      </c>
      <c r="Q59" s="1398">
        <v>23958</v>
      </c>
      <c r="R59" s="1398">
        <v>0</v>
      </c>
      <c r="S59" s="1335"/>
      <c r="T59" s="668"/>
      <c r="U59" s="1354"/>
      <c r="V59" s="2365">
        <f t="shared" si="3"/>
        <v>36098</v>
      </c>
    </row>
    <row r="60" spans="1:22">
      <c r="A60" s="972">
        <v>1998.03</v>
      </c>
      <c r="B60" s="223">
        <v>151</v>
      </c>
      <c r="C60" s="1398">
        <v>161</v>
      </c>
      <c r="D60" s="1446"/>
      <c r="E60" s="1398">
        <v>896</v>
      </c>
      <c r="F60" s="223">
        <v>0</v>
      </c>
      <c r="G60" s="3614"/>
      <c r="H60" s="2364">
        <f t="shared" si="1"/>
        <v>0</v>
      </c>
      <c r="I60" s="223">
        <v>4848</v>
      </c>
      <c r="J60" s="1447"/>
      <c r="K60" s="1602">
        <f t="shared" si="0"/>
        <v>4848</v>
      </c>
      <c r="L60" s="947">
        <v>117151</v>
      </c>
      <c r="M60" s="190">
        <v>0</v>
      </c>
      <c r="N60" s="1335"/>
      <c r="O60" s="2394">
        <f t="shared" si="2"/>
        <v>117151</v>
      </c>
      <c r="P60" s="1398">
        <v>13403</v>
      </c>
      <c r="Q60" s="1398">
        <v>25416</v>
      </c>
      <c r="R60" s="1398">
        <v>0</v>
      </c>
      <c r="S60" s="1335"/>
      <c r="T60" s="668"/>
      <c r="U60" s="1354"/>
      <c r="V60" s="2365">
        <f t="shared" si="3"/>
        <v>38819</v>
      </c>
    </row>
    <row r="61" spans="1:22">
      <c r="A61" s="972">
        <v>1998.04</v>
      </c>
      <c r="B61" s="223">
        <v>62</v>
      </c>
      <c r="C61" s="1398">
        <v>69</v>
      </c>
      <c r="D61" s="1446"/>
      <c r="E61" s="1398">
        <v>2330</v>
      </c>
      <c r="F61" s="223">
        <v>0</v>
      </c>
      <c r="G61" s="3614"/>
      <c r="H61" s="2364">
        <f t="shared" si="1"/>
        <v>0</v>
      </c>
      <c r="I61" s="223">
        <v>15470</v>
      </c>
      <c r="J61" s="1447"/>
      <c r="K61" s="1602">
        <f t="shared" si="0"/>
        <v>15470</v>
      </c>
      <c r="L61" s="947">
        <v>114930</v>
      </c>
      <c r="M61" s="190">
        <v>0</v>
      </c>
      <c r="N61" s="1335"/>
      <c r="O61" s="2394">
        <f t="shared" si="2"/>
        <v>114930</v>
      </c>
      <c r="P61" s="1398">
        <v>13268</v>
      </c>
      <c r="Q61" s="1398">
        <v>24266</v>
      </c>
      <c r="R61" s="1398">
        <v>0</v>
      </c>
      <c r="S61" s="1335"/>
      <c r="T61" s="668"/>
      <c r="U61" s="1354"/>
      <c r="V61" s="2365">
        <f t="shared" si="3"/>
        <v>37534</v>
      </c>
    </row>
    <row r="62" spans="1:22">
      <c r="A62" s="972">
        <v>1998.05</v>
      </c>
      <c r="B62" s="223">
        <v>492</v>
      </c>
      <c r="C62" s="1398">
        <v>52</v>
      </c>
      <c r="D62" s="1446"/>
      <c r="E62" s="1398">
        <v>2985</v>
      </c>
      <c r="F62" s="223">
        <v>0</v>
      </c>
      <c r="G62" s="3614"/>
      <c r="H62" s="2364">
        <f t="shared" si="1"/>
        <v>0</v>
      </c>
      <c r="I62" s="223">
        <v>6224</v>
      </c>
      <c r="J62" s="1447"/>
      <c r="K62" s="1602">
        <f t="shared" si="0"/>
        <v>6224</v>
      </c>
      <c r="L62" s="947">
        <v>131397</v>
      </c>
      <c r="M62" s="190">
        <v>0</v>
      </c>
      <c r="N62" s="1335"/>
      <c r="O62" s="2394">
        <f t="shared" si="2"/>
        <v>131397</v>
      </c>
      <c r="P62" s="1398">
        <v>13269</v>
      </c>
      <c r="Q62" s="1398">
        <v>23004</v>
      </c>
      <c r="R62" s="1398">
        <v>0</v>
      </c>
      <c r="S62" s="1335"/>
      <c r="T62" s="668"/>
      <c r="U62" s="1354"/>
      <c r="V62" s="2365">
        <f t="shared" si="3"/>
        <v>36273</v>
      </c>
    </row>
    <row r="63" spans="1:22">
      <c r="A63" s="972">
        <v>1998.06</v>
      </c>
      <c r="B63" s="223">
        <v>763</v>
      </c>
      <c r="C63" s="1398">
        <v>45</v>
      </c>
      <c r="D63" s="1446"/>
      <c r="E63" s="1398">
        <v>7592</v>
      </c>
      <c r="F63" s="223">
        <v>0</v>
      </c>
      <c r="G63" s="3614"/>
      <c r="H63" s="2364">
        <f t="shared" si="1"/>
        <v>0</v>
      </c>
      <c r="I63" s="223">
        <v>7465</v>
      </c>
      <c r="J63" s="1447"/>
      <c r="K63" s="1602">
        <f t="shared" si="0"/>
        <v>7465</v>
      </c>
      <c r="L63" s="947">
        <v>120631</v>
      </c>
      <c r="M63" s="190">
        <v>0</v>
      </c>
      <c r="N63" s="1335"/>
      <c r="O63" s="2394">
        <f t="shared" si="2"/>
        <v>120631</v>
      </c>
      <c r="P63" s="1398">
        <v>13287</v>
      </c>
      <c r="Q63" s="1398">
        <v>22953</v>
      </c>
      <c r="R63" s="1398">
        <v>0</v>
      </c>
      <c r="S63" s="1335"/>
      <c r="T63" s="668"/>
      <c r="U63" s="1354"/>
      <c r="V63" s="2365">
        <f t="shared" si="3"/>
        <v>36240</v>
      </c>
    </row>
    <row r="64" spans="1:22">
      <c r="A64" s="972">
        <v>1998.07</v>
      </c>
      <c r="B64" s="223">
        <v>470</v>
      </c>
      <c r="C64" s="1398">
        <v>46</v>
      </c>
      <c r="D64" s="1446"/>
      <c r="E64" s="1398">
        <v>6286</v>
      </c>
      <c r="F64" s="223">
        <v>0</v>
      </c>
      <c r="G64" s="3614"/>
      <c r="H64" s="2364">
        <f t="shared" si="1"/>
        <v>0</v>
      </c>
      <c r="I64" s="223">
        <v>15325</v>
      </c>
      <c r="J64" s="1447"/>
      <c r="K64" s="1602">
        <f t="shared" si="0"/>
        <v>15325</v>
      </c>
      <c r="L64" s="947">
        <v>115847</v>
      </c>
      <c r="M64" s="190">
        <v>0</v>
      </c>
      <c r="N64" s="1335"/>
      <c r="O64" s="2394">
        <f t="shared" si="2"/>
        <v>115847</v>
      </c>
      <c r="P64" s="1398">
        <v>14049</v>
      </c>
      <c r="Q64" s="1398">
        <v>24859</v>
      </c>
      <c r="R64" s="1398">
        <v>0</v>
      </c>
      <c r="S64" s="1335"/>
      <c r="T64" s="668"/>
      <c r="U64" s="1354"/>
      <c r="V64" s="2365">
        <f t="shared" si="3"/>
        <v>38908</v>
      </c>
    </row>
    <row r="65" spans="1:22">
      <c r="A65" s="972">
        <v>1998.08</v>
      </c>
      <c r="B65" s="223">
        <v>290</v>
      </c>
      <c r="C65" s="1398">
        <v>51</v>
      </c>
      <c r="D65" s="1446"/>
      <c r="E65" s="1398">
        <v>4619</v>
      </c>
      <c r="F65" s="223">
        <v>0</v>
      </c>
      <c r="G65" s="3614"/>
      <c r="H65" s="2364">
        <f t="shared" si="1"/>
        <v>0</v>
      </c>
      <c r="I65" s="223">
        <v>5857</v>
      </c>
      <c r="J65" s="1447"/>
      <c r="K65" s="1602">
        <f t="shared" si="0"/>
        <v>5857</v>
      </c>
      <c r="L65" s="947">
        <v>113153</v>
      </c>
      <c r="M65" s="190">
        <v>0</v>
      </c>
      <c r="N65" s="1335"/>
      <c r="O65" s="2394">
        <f t="shared" si="2"/>
        <v>113153</v>
      </c>
      <c r="P65" s="1398">
        <v>13234</v>
      </c>
      <c r="Q65" s="1398">
        <v>23450</v>
      </c>
      <c r="R65" s="1398">
        <v>0</v>
      </c>
      <c r="S65" s="1335"/>
      <c r="T65" s="668"/>
      <c r="U65" s="1354"/>
      <c r="V65" s="2365">
        <f t="shared" si="3"/>
        <v>36684</v>
      </c>
    </row>
    <row r="66" spans="1:22">
      <c r="A66" s="972">
        <v>1998.09</v>
      </c>
      <c r="B66" s="223">
        <v>332</v>
      </c>
      <c r="C66" s="1398">
        <v>55</v>
      </c>
      <c r="D66" s="1446"/>
      <c r="E66" s="1398">
        <v>2161</v>
      </c>
      <c r="F66" s="223">
        <v>0</v>
      </c>
      <c r="G66" s="3614"/>
      <c r="H66" s="2364">
        <f t="shared" si="1"/>
        <v>0</v>
      </c>
      <c r="I66" s="223">
        <v>8886</v>
      </c>
      <c r="J66" s="1447"/>
      <c r="K66" s="1602">
        <f t="shared" si="0"/>
        <v>8886</v>
      </c>
      <c r="L66" s="947">
        <v>110858</v>
      </c>
      <c r="M66" s="190">
        <v>0</v>
      </c>
      <c r="N66" s="1335"/>
      <c r="O66" s="2394">
        <f t="shared" si="2"/>
        <v>110858</v>
      </c>
      <c r="P66" s="1398">
        <v>12796</v>
      </c>
      <c r="Q66" s="1398">
        <v>22962</v>
      </c>
      <c r="R66" s="1398">
        <v>0</v>
      </c>
      <c r="S66" s="1335"/>
      <c r="T66" s="668"/>
      <c r="U66" s="1354"/>
      <c r="V66" s="2365">
        <f t="shared" si="3"/>
        <v>35758</v>
      </c>
    </row>
    <row r="67" spans="1:22">
      <c r="A67" s="972">
        <v>1998.1</v>
      </c>
      <c r="B67" s="223">
        <v>158</v>
      </c>
      <c r="C67" s="1398">
        <v>67</v>
      </c>
      <c r="D67" s="1446"/>
      <c r="E67" s="1398">
        <v>444</v>
      </c>
      <c r="F67" s="223">
        <v>0</v>
      </c>
      <c r="G67" s="3614"/>
      <c r="H67" s="2364">
        <f t="shared" si="1"/>
        <v>0</v>
      </c>
      <c r="I67" s="223">
        <v>5978</v>
      </c>
      <c r="J67" s="1447"/>
      <c r="K67" s="1602">
        <f t="shared" si="0"/>
        <v>5978</v>
      </c>
      <c r="L67" s="947">
        <v>110927</v>
      </c>
      <c r="M67" s="190">
        <v>0</v>
      </c>
      <c r="N67" s="1335"/>
      <c r="O67" s="2394">
        <f t="shared" si="2"/>
        <v>110927</v>
      </c>
      <c r="P67" s="1398">
        <v>12588</v>
      </c>
      <c r="Q67" s="1398">
        <v>23712</v>
      </c>
      <c r="R67" s="1398">
        <v>0</v>
      </c>
      <c r="S67" s="1335"/>
      <c r="T67" s="668"/>
      <c r="U67" s="1354"/>
      <c r="V67" s="2365">
        <f t="shared" si="3"/>
        <v>36300</v>
      </c>
    </row>
    <row r="68" spans="1:22">
      <c r="A68" s="972">
        <v>1998.11</v>
      </c>
      <c r="B68" s="223">
        <v>96</v>
      </c>
      <c r="C68" s="1398">
        <v>67</v>
      </c>
      <c r="D68" s="1446"/>
      <c r="E68" s="1398">
        <v>458</v>
      </c>
      <c r="F68" s="223">
        <v>0</v>
      </c>
      <c r="G68" s="3614"/>
      <c r="H68" s="2364">
        <f t="shared" si="1"/>
        <v>0</v>
      </c>
      <c r="I68" s="223">
        <v>5000</v>
      </c>
      <c r="J68" s="1447"/>
      <c r="K68" s="1602">
        <f t="shared" si="0"/>
        <v>5000</v>
      </c>
      <c r="L68" s="947">
        <v>113378</v>
      </c>
      <c r="M68" s="190">
        <v>0</v>
      </c>
      <c r="N68" s="1335"/>
      <c r="O68" s="2394">
        <f t="shared" si="2"/>
        <v>113378</v>
      </c>
      <c r="P68" s="1398">
        <v>12747</v>
      </c>
      <c r="Q68" s="1398">
        <v>22192</v>
      </c>
      <c r="R68" s="1398">
        <v>0</v>
      </c>
      <c r="S68" s="1335"/>
      <c r="T68" s="668"/>
      <c r="U68" s="1354"/>
      <c r="V68" s="2365">
        <f t="shared" si="3"/>
        <v>34939</v>
      </c>
    </row>
    <row r="69" spans="1:22">
      <c r="A69" s="972">
        <v>1998.12</v>
      </c>
      <c r="B69" s="223">
        <v>157</v>
      </c>
      <c r="C69" s="1398">
        <v>70</v>
      </c>
      <c r="D69" s="1446"/>
      <c r="E69" s="1398">
        <v>526</v>
      </c>
      <c r="F69" s="223">
        <v>0</v>
      </c>
      <c r="G69" s="3614"/>
      <c r="H69" s="2364">
        <f t="shared" si="1"/>
        <v>0</v>
      </c>
      <c r="I69" s="223">
        <v>5826</v>
      </c>
      <c r="J69" s="1447"/>
      <c r="K69" s="1602">
        <f t="shared" si="0"/>
        <v>5826</v>
      </c>
      <c r="L69" s="947">
        <v>107791</v>
      </c>
      <c r="M69" s="190">
        <v>0</v>
      </c>
      <c r="N69" s="1335"/>
      <c r="O69" s="2394">
        <f t="shared" si="2"/>
        <v>107791</v>
      </c>
      <c r="P69" s="1398">
        <v>13582</v>
      </c>
      <c r="Q69" s="1398">
        <v>26590</v>
      </c>
      <c r="R69" s="1398">
        <v>0</v>
      </c>
      <c r="S69" s="1335"/>
      <c r="T69" s="668"/>
      <c r="U69" s="1354"/>
      <c r="V69" s="2365">
        <f t="shared" si="3"/>
        <v>40172</v>
      </c>
    </row>
    <row r="70" spans="1:22">
      <c r="A70" s="972">
        <v>1999.01</v>
      </c>
      <c r="B70" s="223">
        <v>197</v>
      </c>
      <c r="C70" s="1398">
        <v>76</v>
      </c>
      <c r="D70" s="1446"/>
      <c r="E70" s="1398">
        <v>630</v>
      </c>
      <c r="F70" s="223">
        <v>0</v>
      </c>
      <c r="G70" s="3614"/>
      <c r="H70" s="2364">
        <f t="shared" si="1"/>
        <v>0</v>
      </c>
      <c r="I70" s="223">
        <v>4669</v>
      </c>
      <c r="J70" s="1447"/>
      <c r="K70" s="1602">
        <f t="shared" si="0"/>
        <v>4669</v>
      </c>
      <c r="L70" s="947">
        <v>92575</v>
      </c>
      <c r="M70" s="190">
        <v>0</v>
      </c>
      <c r="N70" s="1335"/>
      <c r="O70" s="2394">
        <f t="shared" si="2"/>
        <v>92575</v>
      </c>
      <c r="P70" s="1398">
        <v>11374</v>
      </c>
      <c r="Q70" s="1398">
        <v>22444</v>
      </c>
      <c r="R70" s="1398">
        <v>0</v>
      </c>
      <c r="S70" s="1335"/>
      <c r="T70" s="668"/>
      <c r="U70" s="1354"/>
      <c r="V70" s="2365">
        <f t="shared" si="3"/>
        <v>33818</v>
      </c>
    </row>
    <row r="71" spans="1:22">
      <c r="A71" s="972">
        <v>1999.02</v>
      </c>
      <c r="B71" s="223">
        <v>387</v>
      </c>
      <c r="C71" s="1398">
        <v>0</v>
      </c>
      <c r="D71" s="1446"/>
      <c r="E71" s="1398">
        <v>555</v>
      </c>
      <c r="F71" s="223">
        <v>0</v>
      </c>
      <c r="G71" s="3614"/>
      <c r="H71" s="2364">
        <f t="shared" si="1"/>
        <v>0</v>
      </c>
      <c r="I71" s="223">
        <v>4844</v>
      </c>
      <c r="J71" s="1447"/>
      <c r="K71" s="1602">
        <f t="shared" si="0"/>
        <v>4844</v>
      </c>
      <c r="L71" s="947">
        <v>86210</v>
      </c>
      <c r="M71" s="190">
        <v>0</v>
      </c>
      <c r="N71" s="1335"/>
      <c r="O71" s="2394">
        <f t="shared" si="2"/>
        <v>86210</v>
      </c>
      <c r="P71" s="1398">
        <v>10619</v>
      </c>
      <c r="Q71" s="1398">
        <v>21589</v>
      </c>
      <c r="R71" s="1398">
        <v>0</v>
      </c>
      <c r="S71" s="1335"/>
      <c r="T71" s="668"/>
      <c r="U71" s="1354"/>
      <c r="V71" s="2365">
        <f t="shared" si="3"/>
        <v>32208</v>
      </c>
    </row>
    <row r="72" spans="1:22">
      <c r="A72" s="972">
        <v>1999.03</v>
      </c>
      <c r="B72" s="223">
        <v>257</v>
      </c>
      <c r="C72" s="1398">
        <v>107</v>
      </c>
      <c r="D72" s="1446"/>
      <c r="E72" s="1398">
        <v>615</v>
      </c>
      <c r="F72" s="223">
        <v>0</v>
      </c>
      <c r="G72" s="3614"/>
      <c r="H72" s="2364">
        <f t="shared" si="1"/>
        <v>0</v>
      </c>
      <c r="I72" s="223">
        <v>5780</v>
      </c>
      <c r="J72" s="1447"/>
      <c r="K72" s="1602">
        <f t="shared" si="0"/>
        <v>5780</v>
      </c>
      <c r="L72" s="947">
        <v>109167</v>
      </c>
      <c r="M72" s="190">
        <v>0</v>
      </c>
      <c r="N72" s="1335"/>
      <c r="O72" s="2394">
        <f t="shared" si="2"/>
        <v>109167</v>
      </c>
      <c r="P72" s="1398">
        <v>12072</v>
      </c>
      <c r="Q72" s="1398">
        <v>24045</v>
      </c>
      <c r="R72" s="1398">
        <v>0</v>
      </c>
      <c r="S72" s="1335"/>
      <c r="T72" s="668"/>
      <c r="U72" s="1354"/>
      <c r="V72" s="2365">
        <f t="shared" si="3"/>
        <v>36117</v>
      </c>
    </row>
    <row r="73" spans="1:22">
      <c r="A73" s="972">
        <v>1999.04</v>
      </c>
      <c r="B73" s="223">
        <v>72</v>
      </c>
      <c r="C73" s="1398">
        <v>38</v>
      </c>
      <c r="D73" s="1446"/>
      <c r="E73" s="1398">
        <v>2962</v>
      </c>
      <c r="F73" s="223">
        <v>0</v>
      </c>
      <c r="G73" s="3614"/>
      <c r="H73" s="2364">
        <f t="shared" si="1"/>
        <v>0</v>
      </c>
      <c r="I73" s="223">
        <v>5505</v>
      </c>
      <c r="J73" s="1447"/>
      <c r="K73" s="1602">
        <f t="shared" si="0"/>
        <v>5505</v>
      </c>
      <c r="L73" s="947">
        <v>128060</v>
      </c>
      <c r="M73" s="190">
        <v>0</v>
      </c>
      <c r="N73" s="1335"/>
      <c r="O73" s="2394">
        <f t="shared" si="2"/>
        <v>128060</v>
      </c>
      <c r="P73" s="1398">
        <v>11322</v>
      </c>
      <c r="Q73" s="1398">
        <v>22265</v>
      </c>
      <c r="R73" s="1398">
        <v>0</v>
      </c>
      <c r="S73" s="1335"/>
      <c r="T73" s="668"/>
      <c r="U73" s="1354"/>
      <c r="V73" s="2365">
        <f t="shared" si="3"/>
        <v>33587</v>
      </c>
    </row>
    <row r="74" spans="1:22">
      <c r="A74" s="972">
        <v>1999.05</v>
      </c>
      <c r="B74" s="223">
        <v>58</v>
      </c>
      <c r="C74" s="1398">
        <v>39</v>
      </c>
      <c r="D74" s="1446"/>
      <c r="E74" s="1398">
        <v>3972</v>
      </c>
      <c r="F74" s="223">
        <v>0</v>
      </c>
      <c r="G74" s="3614"/>
      <c r="H74" s="2364">
        <f t="shared" ref="H74:H137" si="4">F74+G74</f>
        <v>0</v>
      </c>
      <c r="I74" s="223">
        <v>6492</v>
      </c>
      <c r="J74" s="1447"/>
      <c r="K74" s="1602">
        <f t="shared" ref="K74:K137" si="5">I74+J74</f>
        <v>6492</v>
      </c>
      <c r="L74" s="947">
        <v>138531</v>
      </c>
      <c r="M74" s="190">
        <v>0</v>
      </c>
      <c r="N74" s="1335"/>
      <c r="O74" s="2394">
        <f t="shared" si="2"/>
        <v>138531</v>
      </c>
      <c r="P74" s="1398">
        <v>11617</v>
      </c>
      <c r="Q74" s="1398">
        <v>22232</v>
      </c>
      <c r="R74" s="1398">
        <v>0</v>
      </c>
      <c r="S74" s="1335"/>
      <c r="T74" s="668"/>
      <c r="U74" s="1354"/>
      <c r="V74" s="2365">
        <f t="shared" si="3"/>
        <v>33849</v>
      </c>
    </row>
    <row r="75" spans="1:22">
      <c r="A75" s="972">
        <v>1999.06</v>
      </c>
      <c r="B75" s="223">
        <v>79</v>
      </c>
      <c r="C75" s="1398">
        <v>38</v>
      </c>
      <c r="D75" s="1446"/>
      <c r="E75" s="1398">
        <v>7908</v>
      </c>
      <c r="F75" s="223">
        <v>0</v>
      </c>
      <c r="G75" s="3614"/>
      <c r="H75" s="2364">
        <f t="shared" si="4"/>
        <v>0</v>
      </c>
      <c r="I75" s="223">
        <v>20599</v>
      </c>
      <c r="J75" s="1447"/>
      <c r="K75" s="1602">
        <f t="shared" si="5"/>
        <v>20599</v>
      </c>
      <c r="L75" s="947">
        <v>119270</v>
      </c>
      <c r="M75" s="190">
        <v>0</v>
      </c>
      <c r="N75" s="1335"/>
      <c r="O75" s="2394">
        <f t="shared" si="2"/>
        <v>119270</v>
      </c>
      <c r="P75" s="1398">
        <v>11381</v>
      </c>
      <c r="Q75" s="1398">
        <v>21923</v>
      </c>
      <c r="R75" s="1398">
        <v>0</v>
      </c>
      <c r="S75" s="1335"/>
      <c r="T75" s="668"/>
      <c r="U75" s="1354"/>
      <c r="V75" s="2365">
        <f t="shared" si="3"/>
        <v>33304</v>
      </c>
    </row>
    <row r="76" spans="1:22">
      <c r="A76" s="972">
        <v>1999.07</v>
      </c>
      <c r="B76" s="223">
        <v>88</v>
      </c>
      <c r="C76" s="1398">
        <v>30</v>
      </c>
      <c r="D76" s="1446"/>
      <c r="E76" s="1398">
        <v>10029</v>
      </c>
      <c r="F76" s="223">
        <v>0</v>
      </c>
      <c r="G76" s="3614"/>
      <c r="H76" s="2364">
        <f t="shared" si="4"/>
        <v>0</v>
      </c>
      <c r="I76" s="223">
        <v>27049</v>
      </c>
      <c r="J76" s="1447"/>
      <c r="K76" s="1602">
        <f t="shared" si="5"/>
        <v>27049</v>
      </c>
      <c r="L76" s="947">
        <v>111826</v>
      </c>
      <c r="M76" s="190">
        <v>0</v>
      </c>
      <c r="N76" s="1335"/>
      <c r="O76" s="2394">
        <f t="shared" ref="O76:O139" si="6">L76+M76+N76</f>
        <v>111826</v>
      </c>
      <c r="P76" s="1398">
        <v>12464</v>
      </c>
      <c r="Q76" s="1398">
        <v>23778</v>
      </c>
      <c r="R76" s="1398">
        <v>0</v>
      </c>
      <c r="S76" s="1335"/>
      <c r="T76" s="668"/>
      <c r="U76" s="1354"/>
      <c r="V76" s="2365">
        <f t="shared" ref="V76:V139" si="7">SUM(P76:U76)</f>
        <v>36242</v>
      </c>
    </row>
    <row r="77" spans="1:22">
      <c r="A77" s="972">
        <v>1999.08</v>
      </c>
      <c r="B77" s="223">
        <v>36</v>
      </c>
      <c r="C77" s="1398">
        <v>38</v>
      </c>
      <c r="D77" s="1446"/>
      <c r="E77" s="1398">
        <v>4483</v>
      </c>
      <c r="F77" s="223">
        <v>0</v>
      </c>
      <c r="G77" s="3614"/>
      <c r="H77" s="2364">
        <f t="shared" si="4"/>
        <v>0</v>
      </c>
      <c r="I77" s="223">
        <v>16768</v>
      </c>
      <c r="J77" s="1447"/>
      <c r="K77" s="1602">
        <f t="shared" si="5"/>
        <v>16768</v>
      </c>
      <c r="L77" s="947">
        <v>115430</v>
      </c>
      <c r="M77" s="190">
        <v>0</v>
      </c>
      <c r="N77" s="1335"/>
      <c r="O77" s="2394">
        <f t="shared" si="6"/>
        <v>115430</v>
      </c>
      <c r="P77" s="1398">
        <v>12383</v>
      </c>
      <c r="Q77" s="1398">
        <v>23326</v>
      </c>
      <c r="R77" s="1398">
        <v>0</v>
      </c>
      <c r="S77" s="1335"/>
      <c r="T77" s="668"/>
      <c r="U77" s="1354"/>
      <c r="V77" s="2365">
        <f t="shared" si="7"/>
        <v>35709</v>
      </c>
    </row>
    <row r="78" spans="1:22">
      <c r="A78" s="972">
        <v>1999.09</v>
      </c>
      <c r="B78" s="223">
        <v>203</v>
      </c>
      <c r="C78" s="1398">
        <v>42</v>
      </c>
      <c r="D78" s="1446"/>
      <c r="E78" s="1398">
        <v>666</v>
      </c>
      <c r="F78" s="223">
        <v>0</v>
      </c>
      <c r="G78" s="3614"/>
      <c r="H78" s="2364">
        <f t="shared" si="4"/>
        <v>0</v>
      </c>
      <c r="I78" s="223">
        <v>6599</v>
      </c>
      <c r="J78" s="1447"/>
      <c r="K78" s="1602">
        <f t="shared" si="5"/>
        <v>6599</v>
      </c>
      <c r="L78" s="947">
        <v>112814</v>
      </c>
      <c r="M78" s="190">
        <v>0</v>
      </c>
      <c r="N78" s="1335"/>
      <c r="O78" s="2394">
        <f t="shared" si="6"/>
        <v>112814</v>
      </c>
      <c r="P78" s="1398">
        <v>11523</v>
      </c>
      <c r="Q78" s="1398">
        <v>21996</v>
      </c>
      <c r="R78" s="1398">
        <v>0</v>
      </c>
      <c r="S78" s="1335"/>
      <c r="T78" s="668"/>
      <c r="U78" s="1354"/>
      <c r="V78" s="2365">
        <f t="shared" si="7"/>
        <v>33519</v>
      </c>
    </row>
    <row r="79" spans="1:22">
      <c r="A79" s="972">
        <v>1999.1</v>
      </c>
      <c r="B79" s="223">
        <v>119</v>
      </c>
      <c r="C79" s="1398">
        <v>34</v>
      </c>
      <c r="D79" s="1446"/>
      <c r="E79" s="1398">
        <v>465</v>
      </c>
      <c r="F79" s="223">
        <v>0</v>
      </c>
      <c r="G79" s="3614"/>
      <c r="H79" s="2364">
        <f t="shared" si="4"/>
        <v>0</v>
      </c>
      <c r="I79" s="223">
        <v>5505</v>
      </c>
      <c r="J79" s="1447"/>
      <c r="K79" s="1602">
        <f t="shared" si="5"/>
        <v>5505</v>
      </c>
      <c r="L79" s="947">
        <v>111292</v>
      </c>
      <c r="M79" s="190">
        <v>0</v>
      </c>
      <c r="N79" s="1335"/>
      <c r="O79" s="2394">
        <f t="shared" si="6"/>
        <v>111292</v>
      </c>
      <c r="P79" s="1398">
        <v>12162</v>
      </c>
      <c r="Q79" s="1398">
        <v>23388</v>
      </c>
      <c r="R79" s="1398">
        <v>0</v>
      </c>
      <c r="S79" s="1335"/>
      <c r="T79" s="668"/>
      <c r="U79" s="1354"/>
      <c r="V79" s="2365">
        <f t="shared" si="7"/>
        <v>35550</v>
      </c>
    </row>
    <row r="80" spans="1:22">
      <c r="A80" s="972">
        <v>1999.11</v>
      </c>
      <c r="B80" s="223">
        <v>89</v>
      </c>
      <c r="C80" s="1398">
        <v>41</v>
      </c>
      <c r="D80" s="1446"/>
      <c r="E80" s="1398">
        <v>421</v>
      </c>
      <c r="F80" s="223">
        <v>129</v>
      </c>
      <c r="G80" s="3614"/>
      <c r="H80" s="2364">
        <f t="shared" si="4"/>
        <v>129</v>
      </c>
      <c r="I80" s="223">
        <v>5058</v>
      </c>
      <c r="J80" s="1447"/>
      <c r="K80" s="1602">
        <f t="shared" si="5"/>
        <v>5058</v>
      </c>
      <c r="L80" s="947">
        <v>131910</v>
      </c>
      <c r="M80" s="190">
        <v>0</v>
      </c>
      <c r="N80" s="1335"/>
      <c r="O80" s="2394">
        <f t="shared" si="6"/>
        <v>131910</v>
      </c>
      <c r="P80" s="1398">
        <v>12079</v>
      </c>
      <c r="Q80" s="1398">
        <v>23234</v>
      </c>
      <c r="R80" s="1398">
        <v>0</v>
      </c>
      <c r="S80" s="1335"/>
      <c r="T80" s="668"/>
      <c r="U80" s="1354"/>
      <c r="V80" s="2365">
        <f t="shared" si="7"/>
        <v>35313</v>
      </c>
    </row>
    <row r="81" spans="1:22">
      <c r="A81" s="972">
        <v>1999.12</v>
      </c>
      <c r="B81" s="223">
        <v>114</v>
      </c>
      <c r="C81" s="1398">
        <v>51</v>
      </c>
      <c r="D81" s="1446"/>
      <c r="E81" s="1398">
        <v>458</v>
      </c>
      <c r="F81" s="223">
        <v>0</v>
      </c>
      <c r="G81" s="3614"/>
      <c r="H81" s="2364">
        <f t="shared" si="4"/>
        <v>0</v>
      </c>
      <c r="I81" s="223">
        <v>4113</v>
      </c>
      <c r="J81" s="1447"/>
      <c r="K81" s="1602">
        <f t="shared" si="5"/>
        <v>4113</v>
      </c>
      <c r="L81" s="947">
        <v>117425</v>
      </c>
      <c r="M81" s="190">
        <v>0</v>
      </c>
      <c r="N81" s="1335"/>
      <c r="O81" s="2394">
        <f t="shared" si="6"/>
        <v>117425</v>
      </c>
      <c r="P81" s="1398">
        <v>13235</v>
      </c>
      <c r="Q81" s="1398">
        <v>25611</v>
      </c>
      <c r="R81" s="1398">
        <v>0</v>
      </c>
      <c r="S81" s="1335"/>
      <c r="T81" s="668"/>
      <c r="U81" s="1354"/>
      <c r="V81" s="2365">
        <f t="shared" si="7"/>
        <v>38846</v>
      </c>
    </row>
    <row r="82" spans="1:22">
      <c r="A82" s="972">
        <v>2000.01</v>
      </c>
      <c r="B82" s="223">
        <v>651</v>
      </c>
      <c r="C82" s="1398">
        <v>112</v>
      </c>
      <c r="D82" s="1446"/>
      <c r="E82" s="1398">
        <v>513</v>
      </c>
      <c r="F82" s="223">
        <v>0</v>
      </c>
      <c r="G82" s="3614"/>
      <c r="H82" s="2364">
        <f t="shared" si="4"/>
        <v>0</v>
      </c>
      <c r="I82" s="223">
        <v>4140</v>
      </c>
      <c r="J82" s="1447"/>
      <c r="K82" s="1602">
        <f t="shared" si="5"/>
        <v>4140</v>
      </c>
      <c r="L82" s="947">
        <v>100111</v>
      </c>
      <c r="M82" s="190">
        <v>0</v>
      </c>
      <c r="N82" s="1335"/>
      <c r="O82" s="2394">
        <f t="shared" si="6"/>
        <v>100111</v>
      </c>
      <c r="P82" s="1398">
        <v>9228</v>
      </c>
      <c r="Q82" s="1398">
        <v>24560</v>
      </c>
      <c r="R82" s="1398">
        <v>0</v>
      </c>
      <c r="S82" s="1335"/>
      <c r="T82" s="668"/>
      <c r="U82" s="1354"/>
      <c r="V82" s="2365">
        <f t="shared" si="7"/>
        <v>33788</v>
      </c>
    </row>
    <row r="83" spans="1:22">
      <c r="A83" s="972">
        <v>2000.02</v>
      </c>
      <c r="B83" s="223">
        <v>394</v>
      </c>
      <c r="C83" s="1398">
        <v>123</v>
      </c>
      <c r="D83" s="1446"/>
      <c r="E83" s="1398">
        <v>547</v>
      </c>
      <c r="F83" s="223">
        <v>0</v>
      </c>
      <c r="G83" s="3614"/>
      <c r="H83" s="2364">
        <f t="shared" si="4"/>
        <v>0</v>
      </c>
      <c r="I83" s="223">
        <v>4015</v>
      </c>
      <c r="J83" s="1447"/>
      <c r="K83" s="1602">
        <f t="shared" si="5"/>
        <v>4015</v>
      </c>
      <c r="L83" s="947">
        <v>95707</v>
      </c>
      <c r="M83" s="190">
        <v>0</v>
      </c>
      <c r="N83" s="1335"/>
      <c r="O83" s="2394">
        <f t="shared" si="6"/>
        <v>95707</v>
      </c>
      <c r="P83" s="1398">
        <v>8777</v>
      </c>
      <c r="Q83" s="1398">
        <v>23092</v>
      </c>
      <c r="R83" s="1398">
        <v>0</v>
      </c>
      <c r="S83" s="1335"/>
      <c r="T83" s="668"/>
      <c r="U83" s="1354"/>
      <c r="V83" s="2365">
        <f t="shared" si="7"/>
        <v>31869</v>
      </c>
    </row>
    <row r="84" spans="1:22">
      <c r="A84" s="972">
        <v>2000.03</v>
      </c>
      <c r="B84" s="223">
        <v>415</v>
      </c>
      <c r="C84" s="1398">
        <v>129</v>
      </c>
      <c r="D84" s="1446"/>
      <c r="E84" s="1398">
        <v>811</v>
      </c>
      <c r="F84" s="223">
        <v>0</v>
      </c>
      <c r="G84" s="3614"/>
      <c r="H84" s="2364">
        <f t="shared" si="4"/>
        <v>0</v>
      </c>
      <c r="I84" s="223">
        <v>4244</v>
      </c>
      <c r="J84" s="1447"/>
      <c r="K84" s="1602">
        <f t="shared" si="5"/>
        <v>4244</v>
      </c>
      <c r="L84" s="947">
        <v>123496</v>
      </c>
      <c r="M84" s="190">
        <v>0</v>
      </c>
      <c r="N84" s="1335"/>
      <c r="O84" s="2394">
        <f t="shared" si="6"/>
        <v>123496</v>
      </c>
      <c r="P84" s="1398">
        <v>9938</v>
      </c>
      <c r="Q84" s="1398">
        <v>25506</v>
      </c>
      <c r="R84" s="1398">
        <v>0</v>
      </c>
      <c r="S84" s="1335"/>
      <c r="T84" s="668"/>
      <c r="U84" s="1354"/>
      <c r="V84" s="2365">
        <f t="shared" si="7"/>
        <v>35444</v>
      </c>
    </row>
    <row r="85" spans="1:22">
      <c r="A85" s="972">
        <v>2000.04</v>
      </c>
      <c r="B85" s="223">
        <v>190</v>
      </c>
      <c r="C85" s="1398">
        <v>40</v>
      </c>
      <c r="D85" s="1446"/>
      <c r="E85" s="1398">
        <v>1202</v>
      </c>
      <c r="F85" s="223">
        <v>0</v>
      </c>
      <c r="G85" s="3614"/>
      <c r="H85" s="2364">
        <f t="shared" si="4"/>
        <v>0</v>
      </c>
      <c r="I85" s="223">
        <v>5781</v>
      </c>
      <c r="J85" s="1447"/>
      <c r="K85" s="1602">
        <f t="shared" si="5"/>
        <v>5781</v>
      </c>
      <c r="L85" s="947">
        <v>112325</v>
      </c>
      <c r="M85" s="190">
        <v>0</v>
      </c>
      <c r="N85" s="1335"/>
      <c r="O85" s="2394">
        <f t="shared" si="6"/>
        <v>112325</v>
      </c>
      <c r="P85" s="1398">
        <v>9346</v>
      </c>
      <c r="Q85" s="1398">
        <v>24080</v>
      </c>
      <c r="R85" s="1398">
        <v>0</v>
      </c>
      <c r="S85" s="1335"/>
      <c r="T85" s="668"/>
      <c r="U85" s="1354"/>
      <c r="V85" s="2365">
        <f t="shared" si="7"/>
        <v>33426</v>
      </c>
    </row>
    <row r="86" spans="1:22">
      <c r="A86" s="972">
        <v>2000.05</v>
      </c>
      <c r="B86" s="223">
        <v>326</v>
      </c>
      <c r="C86" s="1398">
        <v>40</v>
      </c>
      <c r="D86" s="1446"/>
      <c r="E86" s="1398">
        <v>5751</v>
      </c>
      <c r="F86" s="223">
        <v>0</v>
      </c>
      <c r="G86" s="3614"/>
      <c r="H86" s="2364">
        <f t="shared" si="4"/>
        <v>0</v>
      </c>
      <c r="I86" s="223">
        <v>15135</v>
      </c>
      <c r="J86" s="1447"/>
      <c r="K86" s="1602">
        <f t="shared" si="5"/>
        <v>15135</v>
      </c>
      <c r="L86" s="947">
        <v>124787</v>
      </c>
      <c r="M86" s="190">
        <v>0</v>
      </c>
      <c r="N86" s="1335"/>
      <c r="O86" s="2394">
        <f t="shared" si="6"/>
        <v>124787</v>
      </c>
      <c r="P86" s="1398">
        <v>9104</v>
      </c>
      <c r="Q86" s="1398">
        <v>23677</v>
      </c>
      <c r="R86" s="1398">
        <v>0</v>
      </c>
      <c r="S86" s="1335"/>
      <c r="T86" s="668"/>
      <c r="U86" s="1354"/>
      <c r="V86" s="2365">
        <f t="shared" si="7"/>
        <v>32781</v>
      </c>
    </row>
    <row r="87" spans="1:22">
      <c r="A87" s="972">
        <v>2000.06</v>
      </c>
      <c r="B87" s="223">
        <v>470</v>
      </c>
      <c r="C87" s="1398">
        <v>49</v>
      </c>
      <c r="D87" s="1446"/>
      <c r="E87" s="1398">
        <v>7177</v>
      </c>
      <c r="F87" s="223">
        <v>0</v>
      </c>
      <c r="G87" s="3614"/>
      <c r="H87" s="2364">
        <f t="shared" si="4"/>
        <v>0</v>
      </c>
      <c r="I87" s="223">
        <v>9971</v>
      </c>
      <c r="J87" s="1447"/>
      <c r="K87" s="1602">
        <f t="shared" si="5"/>
        <v>9971</v>
      </c>
      <c r="L87" s="947">
        <v>122726</v>
      </c>
      <c r="M87" s="190">
        <v>0</v>
      </c>
      <c r="N87" s="1335"/>
      <c r="O87" s="2394">
        <f t="shared" si="6"/>
        <v>122726</v>
      </c>
      <c r="P87" s="1398">
        <v>9171</v>
      </c>
      <c r="Q87" s="1398">
        <v>23190</v>
      </c>
      <c r="R87" s="1398">
        <v>0</v>
      </c>
      <c r="S87" s="1335"/>
      <c r="T87" s="668"/>
      <c r="U87" s="1354"/>
      <c r="V87" s="2365">
        <f t="shared" si="7"/>
        <v>32361</v>
      </c>
    </row>
    <row r="88" spans="1:22">
      <c r="A88" s="972">
        <v>2000.07</v>
      </c>
      <c r="B88" s="223">
        <v>655</v>
      </c>
      <c r="C88" s="1398">
        <v>36</v>
      </c>
      <c r="D88" s="1446"/>
      <c r="E88" s="1398">
        <v>9357</v>
      </c>
      <c r="F88" s="223">
        <v>1</v>
      </c>
      <c r="G88" s="3614"/>
      <c r="H88" s="2364">
        <f t="shared" si="4"/>
        <v>1</v>
      </c>
      <c r="I88" s="223">
        <v>26134</v>
      </c>
      <c r="J88" s="1447"/>
      <c r="K88" s="1602">
        <f t="shared" si="5"/>
        <v>26134</v>
      </c>
      <c r="L88" s="947">
        <v>110944</v>
      </c>
      <c r="M88" s="190">
        <v>0</v>
      </c>
      <c r="N88" s="1335"/>
      <c r="O88" s="2394">
        <f t="shared" si="6"/>
        <v>110944</v>
      </c>
      <c r="P88" s="1398">
        <v>9149</v>
      </c>
      <c r="Q88" s="1398">
        <v>23901</v>
      </c>
      <c r="R88" s="1398">
        <v>0</v>
      </c>
      <c r="S88" s="1335"/>
      <c r="T88" s="668"/>
      <c r="U88" s="1354"/>
      <c r="V88" s="2365">
        <f t="shared" si="7"/>
        <v>33050</v>
      </c>
    </row>
    <row r="89" spans="1:22">
      <c r="A89" s="972">
        <v>2000.08</v>
      </c>
      <c r="B89" s="223">
        <v>293</v>
      </c>
      <c r="C89" s="1398">
        <v>35</v>
      </c>
      <c r="D89" s="1446"/>
      <c r="E89" s="1398">
        <v>4081</v>
      </c>
      <c r="F89" s="223">
        <v>5</v>
      </c>
      <c r="G89" s="3614"/>
      <c r="H89" s="2364">
        <f t="shared" si="4"/>
        <v>5</v>
      </c>
      <c r="I89" s="223">
        <v>6475</v>
      </c>
      <c r="J89" s="1447"/>
      <c r="K89" s="1602">
        <f t="shared" si="5"/>
        <v>6475</v>
      </c>
      <c r="L89" s="947">
        <v>109614</v>
      </c>
      <c r="M89" s="190">
        <v>0</v>
      </c>
      <c r="N89" s="1335"/>
      <c r="O89" s="2394">
        <f t="shared" si="6"/>
        <v>109614</v>
      </c>
      <c r="P89" s="1398">
        <v>8830</v>
      </c>
      <c r="Q89" s="1398">
        <v>23721</v>
      </c>
      <c r="R89" s="1398">
        <v>0</v>
      </c>
      <c r="S89" s="1335"/>
      <c r="T89" s="668"/>
      <c r="U89" s="1354"/>
      <c r="V89" s="2365">
        <f t="shared" si="7"/>
        <v>32551</v>
      </c>
    </row>
    <row r="90" spans="1:22">
      <c r="A90" s="972">
        <v>2000.09</v>
      </c>
      <c r="B90" s="223">
        <v>302</v>
      </c>
      <c r="C90" s="1398">
        <v>50</v>
      </c>
      <c r="D90" s="1446"/>
      <c r="E90" s="1398">
        <v>1726</v>
      </c>
      <c r="F90" s="223">
        <v>18</v>
      </c>
      <c r="G90" s="3614"/>
      <c r="H90" s="2364">
        <f t="shared" si="4"/>
        <v>18</v>
      </c>
      <c r="I90" s="223">
        <v>6168</v>
      </c>
      <c r="J90" s="1447"/>
      <c r="K90" s="1602">
        <f t="shared" si="5"/>
        <v>6168</v>
      </c>
      <c r="L90" s="947">
        <v>103789</v>
      </c>
      <c r="M90" s="190">
        <v>0</v>
      </c>
      <c r="N90" s="1335"/>
      <c r="O90" s="2394">
        <f t="shared" si="6"/>
        <v>103789</v>
      </c>
      <c r="P90" s="1398">
        <v>8464</v>
      </c>
      <c r="Q90" s="1398">
        <v>22942</v>
      </c>
      <c r="R90" s="1398">
        <v>0</v>
      </c>
      <c r="S90" s="1335"/>
      <c r="T90" s="668"/>
      <c r="U90" s="1354"/>
      <c r="V90" s="2365">
        <f t="shared" si="7"/>
        <v>31406</v>
      </c>
    </row>
    <row r="91" spans="1:22">
      <c r="A91" s="972">
        <v>2000.1</v>
      </c>
      <c r="B91" s="223">
        <v>411</v>
      </c>
      <c r="C91" s="1398">
        <v>119</v>
      </c>
      <c r="D91" s="1446"/>
      <c r="E91" s="1398">
        <v>343</v>
      </c>
      <c r="F91" s="223">
        <v>26</v>
      </c>
      <c r="G91" s="3614"/>
      <c r="H91" s="2364">
        <f t="shared" si="4"/>
        <v>26</v>
      </c>
      <c r="I91" s="223">
        <v>4604</v>
      </c>
      <c r="J91" s="1447"/>
      <c r="K91" s="1602">
        <f t="shared" si="5"/>
        <v>4604</v>
      </c>
      <c r="L91" s="947">
        <v>94366</v>
      </c>
      <c r="M91" s="190">
        <v>0</v>
      </c>
      <c r="N91" s="1335"/>
      <c r="O91" s="2394">
        <f t="shared" si="6"/>
        <v>94366</v>
      </c>
      <c r="P91" s="1398">
        <v>7836</v>
      </c>
      <c r="Q91" s="1398">
        <v>21336</v>
      </c>
      <c r="R91" s="1398">
        <v>0</v>
      </c>
      <c r="S91" s="1335"/>
      <c r="T91" s="668"/>
      <c r="U91" s="1354"/>
      <c r="V91" s="2365">
        <f t="shared" si="7"/>
        <v>29172</v>
      </c>
    </row>
    <row r="92" spans="1:22">
      <c r="A92" s="972">
        <v>2000.11</v>
      </c>
      <c r="B92" s="223">
        <v>321</v>
      </c>
      <c r="C92" s="1398">
        <v>149</v>
      </c>
      <c r="D92" s="1446"/>
      <c r="E92" s="1398">
        <v>421</v>
      </c>
      <c r="F92" s="223">
        <v>56</v>
      </c>
      <c r="G92" s="3614"/>
      <c r="H92" s="2364">
        <f t="shared" si="4"/>
        <v>56</v>
      </c>
      <c r="I92" s="223">
        <v>5615</v>
      </c>
      <c r="J92" s="1447"/>
      <c r="K92" s="1602">
        <f t="shared" si="5"/>
        <v>5615</v>
      </c>
      <c r="L92" s="947">
        <v>108225</v>
      </c>
      <c r="M92" s="190">
        <v>0</v>
      </c>
      <c r="N92" s="1335"/>
      <c r="O92" s="2394">
        <f t="shared" si="6"/>
        <v>108225</v>
      </c>
      <c r="P92" s="1398">
        <v>8022</v>
      </c>
      <c r="Q92" s="1398">
        <v>21138</v>
      </c>
      <c r="R92" s="1398">
        <v>0</v>
      </c>
      <c r="S92" s="1335"/>
      <c r="T92" s="668"/>
      <c r="U92" s="1354"/>
      <c r="V92" s="2365">
        <f t="shared" si="7"/>
        <v>29160</v>
      </c>
    </row>
    <row r="93" spans="1:22">
      <c r="A93" s="972">
        <v>2000.12</v>
      </c>
      <c r="B93" s="223">
        <v>312</v>
      </c>
      <c r="C93" s="1398">
        <v>71</v>
      </c>
      <c r="D93" s="1446"/>
      <c r="E93" s="1398">
        <v>337</v>
      </c>
      <c r="F93" s="223">
        <v>0</v>
      </c>
      <c r="G93" s="3614"/>
      <c r="H93" s="2364">
        <f t="shared" si="4"/>
        <v>0</v>
      </c>
      <c r="I93" s="223">
        <v>4043</v>
      </c>
      <c r="J93" s="1447"/>
      <c r="K93" s="1602">
        <f t="shared" si="5"/>
        <v>4043</v>
      </c>
      <c r="L93" s="947">
        <v>117444</v>
      </c>
      <c r="M93" s="190">
        <v>0</v>
      </c>
      <c r="N93" s="1335"/>
      <c r="O93" s="2394">
        <f t="shared" si="6"/>
        <v>117444</v>
      </c>
      <c r="P93" s="1398">
        <v>8748</v>
      </c>
      <c r="Q93" s="1398">
        <v>25705</v>
      </c>
      <c r="R93" s="1398">
        <v>0</v>
      </c>
      <c r="S93" s="1335"/>
      <c r="T93" s="668"/>
      <c r="U93" s="1354"/>
      <c r="V93" s="2365">
        <f t="shared" si="7"/>
        <v>34453</v>
      </c>
    </row>
    <row r="94" spans="1:22">
      <c r="A94" s="972">
        <v>2001.01</v>
      </c>
      <c r="B94" s="223">
        <v>231</v>
      </c>
      <c r="C94" s="1398">
        <v>117</v>
      </c>
      <c r="D94" s="1446"/>
      <c r="E94" s="1398">
        <v>359</v>
      </c>
      <c r="F94" s="223">
        <v>5.9</v>
      </c>
      <c r="G94" s="3614"/>
      <c r="H94" s="2364">
        <f t="shared" si="4"/>
        <v>5.9</v>
      </c>
      <c r="I94" s="223">
        <v>4270</v>
      </c>
      <c r="J94" s="1447"/>
      <c r="K94" s="1602">
        <f t="shared" si="5"/>
        <v>4270</v>
      </c>
      <c r="L94" s="947">
        <v>93293.1</v>
      </c>
      <c r="M94" s="190">
        <v>15212</v>
      </c>
      <c r="N94" s="1335"/>
      <c r="O94" s="2394">
        <f t="shared" si="6"/>
        <v>108505.1</v>
      </c>
      <c r="P94" s="1398">
        <v>8839.1</v>
      </c>
      <c r="Q94" s="1398">
        <v>21638.9</v>
      </c>
      <c r="R94" s="1398">
        <v>5207.1000000000004</v>
      </c>
      <c r="S94" s="1335"/>
      <c r="T94" s="668"/>
      <c r="U94" s="1354"/>
      <c r="V94" s="2365">
        <f t="shared" si="7"/>
        <v>35685.1</v>
      </c>
    </row>
    <row r="95" spans="1:22">
      <c r="A95" s="972">
        <v>2001.02</v>
      </c>
      <c r="B95" s="223">
        <v>736</v>
      </c>
      <c r="C95" s="1398">
        <v>279</v>
      </c>
      <c r="D95" s="1446"/>
      <c r="E95" s="1398">
        <v>447</v>
      </c>
      <c r="F95" s="223">
        <v>3</v>
      </c>
      <c r="G95" s="3614"/>
      <c r="H95" s="2364">
        <f t="shared" si="4"/>
        <v>3</v>
      </c>
      <c r="I95" s="223">
        <v>5217</v>
      </c>
      <c r="J95" s="1447"/>
      <c r="K95" s="1602">
        <f t="shared" si="5"/>
        <v>5217</v>
      </c>
      <c r="L95" s="947">
        <v>87182.63</v>
      </c>
      <c r="M95" s="190">
        <v>16402</v>
      </c>
      <c r="N95" s="1335"/>
      <c r="O95" s="2394">
        <f t="shared" si="6"/>
        <v>103584.63</v>
      </c>
      <c r="P95" s="1398">
        <v>8593</v>
      </c>
      <c r="Q95" s="1398">
        <v>20734</v>
      </c>
      <c r="R95" s="1398">
        <v>4863</v>
      </c>
      <c r="S95" s="1335"/>
      <c r="T95" s="668"/>
      <c r="U95" s="1354"/>
      <c r="V95" s="2365">
        <f t="shared" si="7"/>
        <v>34190</v>
      </c>
    </row>
    <row r="96" spans="1:22">
      <c r="A96" s="972">
        <v>2001.03</v>
      </c>
      <c r="B96" s="223">
        <v>591</v>
      </c>
      <c r="C96" s="1398">
        <v>292</v>
      </c>
      <c r="D96" s="1446"/>
      <c r="E96" s="1398">
        <v>782</v>
      </c>
      <c r="F96" s="223">
        <v>6</v>
      </c>
      <c r="G96" s="3614"/>
      <c r="H96" s="2364">
        <f t="shared" si="4"/>
        <v>6</v>
      </c>
      <c r="I96" s="223">
        <v>3745</v>
      </c>
      <c r="J96" s="1447"/>
      <c r="K96" s="1602">
        <f t="shared" si="5"/>
        <v>3745</v>
      </c>
      <c r="L96" s="947">
        <v>109611</v>
      </c>
      <c r="M96" s="190">
        <v>18968</v>
      </c>
      <c r="N96" s="1335"/>
      <c r="O96" s="2394">
        <f t="shared" si="6"/>
        <v>128579</v>
      </c>
      <c r="P96" s="1398">
        <v>8969</v>
      </c>
      <c r="Q96" s="1398">
        <v>21493</v>
      </c>
      <c r="R96" s="1398">
        <v>5091</v>
      </c>
      <c r="S96" s="1335"/>
      <c r="T96" s="668"/>
      <c r="U96" s="1354"/>
      <c r="V96" s="2365">
        <f t="shared" si="7"/>
        <v>35553</v>
      </c>
    </row>
    <row r="97" spans="1:22">
      <c r="A97" s="972">
        <v>2001.04</v>
      </c>
      <c r="B97" s="223">
        <v>186</v>
      </c>
      <c r="C97" s="1398">
        <v>62</v>
      </c>
      <c r="D97" s="1446"/>
      <c r="E97" s="1398">
        <v>1724</v>
      </c>
      <c r="F97" s="223">
        <v>3208</v>
      </c>
      <c r="G97" s="3614"/>
      <c r="H97" s="2364">
        <f t="shared" si="4"/>
        <v>3208</v>
      </c>
      <c r="I97" s="223">
        <v>5376</v>
      </c>
      <c r="J97" s="1447"/>
      <c r="K97" s="1602">
        <f t="shared" si="5"/>
        <v>5376</v>
      </c>
      <c r="L97" s="947">
        <v>123399.12</v>
      </c>
      <c r="M97" s="190">
        <v>28022</v>
      </c>
      <c r="N97" s="1335"/>
      <c r="O97" s="2394">
        <f t="shared" si="6"/>
        <v>151421.12</v>
      </c>
      <c r="P97" s="1398">
        <v>8863</v>
      </c>
      <c r="Q97" s="1398">
        <v>21750</v>
      </c>
      <c r="R97" s="1398">
        <v>5493</v>
      </c>
      <c r="S97" s="1335"/>
      <c r="T97" s="668"/>
      <c r="U97" s="1354"/>
      <c r="V97" s="2365">
        <f t="shared" si="7"/>
        <v>36106</v>
      </c>
    </row>
    <row r="98" spans="1:22">
      <c r="A98" s="972">
        <v>2001.05</v>
      </c>
      <c r="B98" s="223">
        <v>576</v>
      </c>
      <c r="C98" s="1398">
        <v>41</v>
      </c>
      <c r="D98" s="1446"/>
      <c r="E98" s="1398">
        <v>5110</v>
      </c>
      <c r="F98" s="223">
        <v>3125</v>
      </c>
      <c r="G98" s="3614"/>
      <c r="H98" s="2364">
        <f t="shared" si="4"/>
        <v>3125</v>
      </c>
      <c r="I98" s="223">
        <v>10986</v>
      </c>
      <c r="J98" s="1447"/>
      <c r="K98" s="1602">
        <f t="shared" si="5"/>
        <v>10986</v>
      </c>
      <c r="L98" s="947">
        <v>122424.7</v>
      </c>
      <c r="M98" s="190">
        <v>17197</v>
      </c>
      <c r="N98" s="1335"/>
      <c r="O98" s="2394">
        <f t="shared" si="6"/>
        <v>139621.70000000001</v>
      </c>
      <c r="P98" s="1398">
        <v>8291</v>
      </c>
      <c r="Q98" s="1398">
        <v>20208</v>
      </c>
      <c r="R98" s="1398">
        <v>4750</v>
      </c>
      <c r="S98" s="1335"/>
      <c r="T98" s="668"/>
      <c r="U98" s="1354"/>
      <c r="V98" s="2365">
        <f t="shared" si="7"/>
        <v>33249</v>
      </c>
    </row>
    <row r="99" spans="1:22">
      <c r="A99" s="972">
        <v>2001.06</v>
      </c>
      <c r="B99" s="223">
        <v>555</v>
      </c>
      <c r="C99" s="1398">
        <v>31</v>
      </c>
      <c r="D99" s="1446"/>
      <c r="E99" s="1398">
        <v>4990</v>
      </c>
      <c r="F99" s="223">
        <v>2983</v>
      </c>
      <c r="G99" s="3614"/>
      <c r="H99" s="2364">
        <f t="shared" si="4"/>
        <v>2983</v>
      </c>
      <c r="I99" s="223">
        <v>9857</v>
      </c>
      <c r="J99" s="1447"/>
      <c r="K99" s="1602">
        <f t="shared" si="5"/>
        <v>9857</v>
      </c>
      <c r="L99" s="947">
        <v>100372.8</v>
      </c>
      <c r="M99" s="190">
        <v>21102</v>
      </c>
      <c r="N99" s="1335"/>
      <c r="O99" s="2394">
        <f t="shared" si="6"/>
        <v>121474.8</v>
      </c>
      <c r="P99" s="1398">
        <v>9942</v>
      </c>
      <c r="Q99" s="1398">
        <v>21826</v>
      </c>
      <c r="R99" s="1398">
        <v>4987</v>
      </c>
      <c r="S99" s="1335"/>
      <c r="T99" s="668"/>
      <c r="U99" s="1354"/>
      <c r="V99" s="2365">
        <f t="shared" si="7"/>
        <v>36755</v>
      </c>
    </row>
    <row r="100" spans="1:22">
      <c r="A100" s="972">
        <v>2001.07</v>
      </c>
      <c r="B100" s="223">
        <v>461</v>
      </c>
      <c r="C100" s="1398">
        <v>32</v>
      </c>
      <c r="D100" s="1446"/>
      <c r="E100" s="1398">
        <v>5893</v>
      </c>
      <c r="F100" s="223">
        <v>3591</v>
      </c>
      <c r="G100" s="3614"/>
      <c r="H100" s="2364">
        <f t="shared" si="4"/>
        <v>3591</v>
      </c>
      <c r="I100" s="223">
        <v>7313</v>
      </c>
      <c r="J100" s="1447"/>
      <c r="K100" s="1602">
        <f t="shared" si="5"/>
        <v>7313</v>
      </c>
      <c r="L100" s="947">
        <v>101210.57</v>
      </c>
      <c r="M100" s="190">
        <v>19287</v>
      </c>
      <c r="N100" s="1335"/>
      <c r="O100" s="2394">
        <f t="shared" si="6"/>
        <v>120497.57</v>
      </c>
      <c r="P100" s="1398">
        <v>10215</v>
      </c>
      <c r="Q100" s="1398">
        <v>24802</v>
      </c>
      <c r="R100" s="1398">
        <v>5257</v>
      </c>
      <c r="S100" s="1335"/>
      <c r="T100" s="668"/>
      <c r="U100" s="1354"/>
      <c r="V100" s="2365">
        <f t="shared" si="7"/>
        <v>40274</v>
      </c>
    </row>
    <row r="101" spans="1:22">
      <c r="A101" s="972">
        <v>2001.08</v>
      </c>
      <c r="B101" s="223">
        <v>372</v>
      </c>
      <c r="C101" s="1398">
        <v>48</v>
      </c>
      <c r="D101" s="1446"/>
      <c r="E101" s="1398">
        <v>1851</v>
      </c>
      <c r="F101" s="223">
        <v>3501</v>
      </c>
      <c r="G101" s="3614"/>
      <c r="H101" s="2364">
        <f t="shared" si="4"/>
        <v>3501</v>
      </c>
      <c r="I101" s="223">
        <v>6424</v>
      </c>
      <c r="J101" s="1447"/>
      <c r="K101" s="1602">
        <f t="shared" si="5"/>
        <v>6424</v>
      </c>
      <c r="L101" s="947">
        <v>101112.5</v>
      </c>
      <c r="M101" s="190">
        <v>14355</v>
      </c>
      <c r="N101" s="1335"/>
      <c r="O101" s="2394">
        <f t="shared" si="6"/>
        <v>115467.5</v>
      </c>
      <c r="P101" s="1398">
        <v>8244</v>
      </c>
      <c r="Q101" s="1398">
        <v>21581</v>
      </c>
      <c r="R101" s="1398">
        <v>5021</v>
      </c>
      <c r="S101" s="1335"/>
      <c r="T101" s="668"/>
      <c r="U101" s="1354"/>
      <c r="V101" s="2365">
        <f t="shared" si="7"/>
        <v>34846</v>
      </c>
    </row>
    <row r="102" spans="1:22">
      <c r="A102" s="972">
        <v>2001.09</v>
      </c>
      <c r="B102" s="223">
        <v>377</v>
      </c>
      <c r="C102" s="1398">
        <v>48</v>
      </c>
      <c r="D102" s="1446"/>
      <c r="E102" s="1398">
        <v>1545</v>
      </c>
      <c r="F102" s="223">
        <v>320</v>
      </c>
      <c r="G102" s="3614"/>
      <c r="H102" s="2364">
        <f t="shared" si="4"/>
        <v>320</v>
      </c>
      <c r="I102" s="223">
        <v>1330</v>
      </c>
      <c r="J102" s="1447"/>
      <c r="K102" s="1602">
        <f t="shared" si="5"/>
        <v>1330</v>
      </c>
      <c r="L102" s="947">
        <v>91262</v>
      </c>
      <c r="M102" s="190">
        <v>14742</v>
      </c>
      <c r="N102" s="1335"/>
      <c r="O102" s="2394">
        <f t="shared" si="6"/>
        <v>106004</v>
      </c>
      <c r="P102" s="1398">
        <v>8467</v>
      </c>
      <c r="Q102" s="1398">
        <v>21668</v>
      </c>
      <c r="R102" s="1398">
        <v>4597</v>
      </c>
      <c r="S102" s="1335"/>
      <c r="T102" s="668"/>
      <c r="U102" s="1354"/>
      <c r="V102" s="2365">
        <f t="shared" si="7"/>
        <v>34732</v>
      </c>
    </row>
    <row r="103" spans="1:22">
      <c r="A103" s="972">
        <v>2001.1</v>
      </c>
      <c r="B103" s="223">
        <v>459</v>
      </c>
      <c r="C103" s="1398">
        <v>214</v>
      </c>
      <c r="D103" s="1446"/>
      <c r="E103" s="1398">
        <v>403</v>
      </c>
      <c r="F103" s="223">
        <v>7</v>
      </c>
      <c r="G103" s="3614"/>
      <c r="H103" s="2364">
        <f t="shared" si="4"/>
        <v>7</v>
      </c>
      <c r="I103" s="223">
        <v>6587</v>
      </c>
      <c r="J103" s="1447"/>
      <c r="K103" s="1602">
        <f t="shared" si="5"/>
        <v>6587</v>
      </c>
      <c r="L103" s="947">
        <v>93241.600000000006</v>
      </c>
      <c r="M103" s="190">
        <v>16169</v>
      </c>
      <c r="N103" s="1335"/>
      <c r="O103" s="2394">
        <f t="shared" si="6"/>
        <v>109410.6</v>
      </c>
      <c r="P103" s="1398">
        <v>8767</v>
      </c>
      <c r="Q103" s="1398">
        <v>22620</v>
      </c>
      <c r="R103" s="1398">
        <v>5272</v>
      </c>
      <c r="S103" s="1335"/>
      <c r="T103" s="668"/>
      <c r="U103" s="1354"/>
      <c r="V103" s="2365">
        <f t="shared" si="7"/>
        <v>36659</v>
      </c>
    </row>
    <row r="104" spans="1:22">
      <c r="A104" s="972">
        <v>2001.11</v>
      </c>
      <c r="B104" s="223">
        <v>254</v>
      </c>
      <c r="C104" s="1398">
        <v>157</v>
      </c>
      <c r="D104" s="1446"/>
      <c r="E104" s="1398">
        <v>243</v>
      </c>
      <c r="F104" s="223">
        <v>56</v>
      </c>
      <c r="G104" s="3614"/>
      <c r="H104" s="2364">
        <f t="shared" si="4"/>
        <v>56</v>
      </c>
      <c r="I104" s="223">
        <v>5406</v>
      </c>
      <c r="J104" s="1447"/>
      <c r="K104" s="1602">
        <f t="shared" si="5"/>
        <v>5406</v>
      </c>
      <c r="L104" s="947">
        <v>113243</v>
      </c>
      <c r="M104" s="190">
        <v>18124</v>
      </c>
      <c r="N104" s="1335"/>
      <c r="O104" s="2394">
        <f t="shared" si="6"/>
        <v>131367</v>
      </c>
      <c r="P104" s="1398">
        <v>7590</v>
      </c>
      <c r="Q104" s="1398">
        <v>20699</v>
      </c>
      <c r="R104" s="1398">
        <v>4653</v>
      </c>
      <c r="S104" s="1335"/>
      <c r="T104" s="668"/>
      <c r="U104" s="1354"/>
      <c r="V104" s="2365">
        <f t="shared" si="7"/>
        <v>32942</v>
      </c>
    </row>
    <row r="105" spans="1:22">
      <c r="A105" s="972">
        <v>2001.12</v>
      </c>
      <c r="B105" s="223">
        <v>109</v>
      </c>
      <c r="C105" s="1398">
        <v>96</v>
      </c>
      <c r="D105" s="1446"/>
      <c r="E105" s="1398">
        <v>252</v>
      </c>
      <c r="F105" s="223">
        <v>165</v>
      </c>
      <c r="G105" s="3614"/>
      <c r="H105" s="2364">
        <f t="shared" si="4"/>
        <v>165</v>
      </c>
      <c r="I105" s="223">
        <v>394</v>
      </c>
      <c r="J105" s="1447"/>
      <c r="K105" s="1602">
        <f t="shared" si="5"/>
        <v>394</v>
      </c>
      <c r="L105" s="947">
        <v>94381.92</v>
      </c>
      <c r="M105" s="190">
        <v>17161</v>
      </c>
      <c r="N105" s="1335"/>
      <c r="O105" s="2394">
        <f t="shared" si="6"/>
        <v>111542.92</v>
      </c>
      <c r="P105" s="1398">
        <v>8161</v>
      </c>
      <c r="Q105" s="1398">
        <v>22871</v>
      </c>
      <c r="R105" s="1398">
        <v>5004</v>
      </c>
      <c r="S105" s="1335"/>
      <c r="T105" s="668"/>
      <c r="U105" s="1354"/>
      <c r="V105" s="2365">
        <f t="shared" si="7"/>
        <v>36036</v>
      </c>
    </row>
    <row r="106" spans="1:22">
      <c r="A106" s="972">
        <v>2002.01</v>
      </c>
      <c r="B106" s="223">
        <v>326</v>
      </c>
      <c r="C106" s="1398">
        <v>297</v>
      </c>
      <c r="D106" s="1446"/>
      <c r="E106" s="1398">
        <v>234</v>
      </c>
      <c r="F106" s="223">
        <v>2596</v>
      </c>
      <c r="G106" s="3614"/>
      <c r="H106" s="2364">
        <f t="shared" si="4"/>
        <v>2596</v>
      </c>
      <c r="I106" s="223">
        <v>6358</v>
      </c>
      <c r="J106" s="1447"/>
      <c r="K106" s="1602">
        <f t="shared" si="5"/>
        <v>6358</v>
      </c>
      <c r="L106" s="947">
        <v>77045</v>
      </c>
      <c r="M106" s="190">
        <v>13208</v>
      </c>
      <c r="N106" s="1335"/>
      <c r="O106" s="2394">
        <f t="shared" si="6"/>
        <v>90253</v>
      </c>
      <c r="P106" s="1398">
        <v>7256</v>
      </c>
      <c r="Q106" s="1398">
        <v>21232</v>
      </c>
      <c r="R106" s="1398">
        <v>4343</v>
      </c>
      <c r="S106" s="1335"/>
      <c r="T106" s="668"/>
      <c r="U106" s="1354"/>
      <c r="V106" s="2365">
        <f t="shared" si="7"/>
        <v>32831</v>
      </c>
    </row>
    <row r="107" spans="1:22">
      <c r="A107" s="972">
        <v>2002.02</v>
      </c>
      <c r="B107" s="223">
        <v>315</v>
      </c>
      <c r="C107" s="1398">
        <v>333</v>
      </c>
      <c r="D107" s="1446"/>
      <c r="E107" s="1398">
        <v>536</v>
      </c>
      <c r="F107" s="223">
        <v>2550</v>
      </c>
      <c r="G107" s="3614"/>
      <c r="H107" s="2364">
        <f t="shared" si="4"/>
        <v>2550</v>
      </c>
      <c r="I107" s="223">
        <v>5650</v>
      </c>
      <c r="J107" s="1447"/>
      <c r="K107" s="1602">
        <f t="shared" si="5"/>
        <v>5650</v>
      </c>
      <c r="L107" s="947">
        <v>81312</v>
      </c>
      <c r="M107" s="190">
        <v>11803.15</v>
      </c>
      <c r="N107" s="1335"/>
      <c r="O107" s="2394">
        <f t="shared" si="6"/>
        <v>93115.15</v>
      </c>
      <c r="P107" s="1398">
        <v>7555</v>
      </c>
      <c r="Q107" s="1398">
        <v>21078</v>
      </c>
      <c r="R107" s="1398">
        <v>4324</v>
      </c>
      <c r="S107" s="1335"/>
      <c r="T107" s="668"/>
      <c r="U107" s="1354"/>
      <c r="V107" s="2365">
        <f t="shared" si="7"/>
        <v>32957</v>
      </c>
    </row>
    <row r="108" spans="1:22">
      <c r="A108" s="972">
        <v>2002.03</v>
      </c>
      <c r="B108" s="223">
        <v>550</v>
      </c>
      <c r="C108" s="1398">
        <v>526</v>
      </c>
      <c r="D108" s="1446"/>
      <c r="E108" s="1398">
        <v>588</v>
      </c>
      <c r="F108" s="223">
        <v>3076</v>
      </c>
      <c r="G108" s="3614"/>
      <c r="H108" s="2364">
        <f t="shared" si="4"/>
        <v>3076</v>
      </c>
      <c r="I108" s="223">
        <v>3440</v>
      </c>
      <c r="J108" s="1447"/>
      <c r="K108" s="1602">
        <f t="shared" si="5"/>
        <v>3440</v>
      </c>
      <c r="L108" s="947">
        <v>91077</v>
      </c>
      <c r="M108" s="190">
        <v>12516.77</v>
      </c>
      <c r="N108" s="1335"/>
      <c r="O108" s="2394">
        <f t="shared" si="6"/>
        <v>103593.77</v>
      </c>
      <c r="P108" s="1398">
        <v>8086</v>
      </c>
      <c r="Q108" s="1398">
        <v>22041</v>
      </c>
      <c r="R108" s="1398">
        <v>4075</v>
      </c>
      <c r="S108" s="1335"/>
      <c r="T108" s="668"/>
      <c r="U108" s="1354"/>
      <c r="V108" s="2365">
        <f t="shared" si="7"/>
        <v>34202</v>
      </c>
    </row>
    <row r="109" spans="1:22">
      <c r="A109" s="972">
        <v>2002.04</v>
      </c>
      <c r="B109" s="223">
        <v>407</v>
      </c>
      <c r="C109" s="1398">
        <v>154</v>
      </c>
      <c r="D109" s="1446"/>
      <c r="E109" s="1398">
        <v>1538</v>
      </c>
      <c r="F109" s="223">
        <v>291</v>
      </c>
      <c r="G109" s="3614"/>
      <c r="H109" s="2364">
        <f t="shared" si="4"/>
        <v>291</v>
      </c>
      <c r="I109" s="223">
        <v>4616</v>
      </c>
      <c r="J109" s="1447"/>
      <c r="K109" s="1602">
        <f t="shared" si="5"/>
        <v>4616</v>
      </c>
      <c r="L109" s="947">
        <v>97954</v>
      </c>
      <c r="M109" s="190">
        <v>13868.98</v>
      </c>
      <c r="N109" s="1335"/>
      <c r="O109" s="2394">
        <f t="shared" si="6"/>
        <v>111822.98</v>
      </c>
      <c r="P109" s="1398">
        <v>8151</v>
      </c>
      <c r="Q109" s="1398">
        <v>19900</v>
      </c>
      <c r="R109" s="1398">
        <v>3465</v>
      </c>
      <c r="S109" s="1335"/>
      <c r="T109" s="668"/>
      <c r="U109" s="1354"/>
      <c r="V109" s="2365">
        <f t="shared" si="7"/>
        <v>31516</v>
      </c>
    </row>
    <row r="110" spans="1:22">
      <c r="A110" s="972">
        <v>2002.05</v>
      </c>
      <c r="B110" s="223">
        <v>209</v>
      </c>
      <c r="C110" s="1398">
        <v>101</v>
      </c>
      <c r="D110" s="1446"/>
      <c r="E110" s="1398">
        <v>1607</v>
      </c>
      <c r="F110" s="223">
        <v>202</v>
      </c>
      <c r="G110" s="3614"/>
      <c r="H110" s="2364">
        <f t="shared" si="4"/>
        <v>202</v>
      </c>
      <c r="I110" s="223">
        <v>5162</v>
      </c>
      <c r="J110" s="1447"/>
      <c r="K110" s="1602">
        <f t="shared" si="5"/>
        <v>5162</v>
      </c>
      <c r="L110" s="947">
        <v>113108</v>
      </c>
      <c r="M110" s="190">
        <v>14882</v>
      </c>
      <c r="N110" s="1335"/>
      <c r="O110" s="2394">
        <f t="shared" si="6"/>
        <v>127990</v>
      </c>
      <c r="P110" s="1398">
        <v>9699</v>
      </c>
      <c r="Q110" s="1398">
        <v>19800</v>
      </c>
      <c r="R110" s="1398">
        <v>3825</v>
      </c>
      <c r="S110" s="1335"/>
      <c r="T110" s="668"/>
      <c r="U110" s="1354"/>
      <c r="V110" s="2365">
        <f t="shared" si="7"/>
        <v>33324</v>
      </c>
    </row>
    <row r="111" spans="1:22">
      <c r="A111" s="972">
        <v>2002.06</v>
      </c>
      <c r="B111" s="223">
        <v>158</v>
      </c>
      <c r="C111" s="1398">
        <v>51</v>
      </c>
      <c r="D111" s="1446"/>
      <c r="E111" s="1398">
        <v>3595</v>
      </c>
      <c r="F111" s="223">
        <v>173</v>
      </c>
      <c r="G111" s="3614"/>
      <c r="H111" s="2364">
        <f t="shared" si="4"/>
        <v>173</v>
      </c>
      <c r="I111" s="223">
        <v>6759</v>
      </c>
      <c r="J111" s="1447"/>
      <c r="K111" s="1602">
        <f t="shared" si="5"/>
        <v>6759</v>
      </c>
      <c r="L111" s="947">
        <v>96540</v>
      </c>
      <c r="M111" s="190">
        <v>13162.4</v>
      </c>
      <c r="N111" s="1335"/>
      <c r="O111" s="2394">
        <f t="shared" si="6"/>
        <v>109702.39999999999</v>
      </c>
      <c r="P111" s="1398">
        <v>9807</v>
      </c>
      <c r="Q111" s="1398">
        <v>18227</v>
      </c>
      <c r="R111" s="1398">
        <v>2985</v>
      </c>
      <c r="S111" s="1335"/>
      <c r="T111" s="668"/>
      <c r="U111" s="1354"/>
      <c r="V111" s="2365">
        <f t="shared" si="7"/>
        <v>31019</v>
      </c>
    </row>
    <row r="112" spans="1:22">
      <c r="A112" s="972">
        <v>2002.07</v>
      </c>
      <c r="B112" s="223">
        <v>62</v>
      </c>
      <c r="C112" s="1398">
        <v>45</v>
      </c>
      <c r="D112" s="1446"/>
      <c r="E112" s="1398">
        <v>3311</v>
      </c>
      <c r="F112" s="223">
        <v>405</v>
      </c>
      <c r="G112" s="3614"/>
      <c r="H112" s="2364">
        <f t="shared" si="4"/>
        <v>405</v>
      </c>
      <c r="I112" s="223">
        <v>11415</v>
      </c>
      <c r="J112" s="1447"/>
      <c r="K112" s="1602">
        <f t="shared" si="5"/>
        <v>11415</v>
      </c>
      <c r="L112" s="947">
        <v>142100</v>
      </c>
      <c r="M112" s="190">
        <v>13333.2</v>
      </c>
      <c r="N112" s="1335"/>
      <c r="O112" s="2394">
        <f t="shared" si="6"/>
        <v>155433.20000000001</v>
      </c>
      <c r="P112" s="1398">
        <v>10628</v>
      </c>
      <c r="Q112" s="1398">
        <v>19750</v>
      </c>
      <c r="R112" s="1398">
        <v>3213</v>
      </c>
      <c r="S112" s="1335"/>
      <c r="T112" s="668"/>
      <c r="U112" s="1354"/>
      <c r="V112" s="2365">
        <f t="shared" si="7"/>
        <v>33591</v>
      </c>
    </row>
    <row r="113" spans="1:22">
      <c r="A113" s="972">
        <v>2002.08</v>
      </c>
      <c r="B113" s="223">
        <v>43</v>
      </c>
      <c r="C113" s="1398">
        <v>79</v>
      </c>
      <c r="D113" s="1446"/>
      <c r="E113" s="1398">
        <v>1457</v>
      </c>
      <c r="F113" s="223">
        <v>663</v>
      </c>
      <c r="G113" s="3614"/>
      <c r="H113" s="2364">
        <f t="shared" si="4"/>
        <v>663</v>
      </c>
      <c r="I113" s="223">
        <v>4684</v>
      </c>
      <c r="J113" s="1447"/>
      <c r="K113" s="1602">
        <f t="shared" si="5"/>
        <v>4684</v>
      </c>
      <c r="L113" s="947">
        <v>96181</v>
      </c>
      <c r="M113" s="190">
        <v>9126</v>
      </c>
      <c r="N113" s="1335"/>
      <c r="O113" s="2394">
        <f t="shared" si="6"/>
        <v>105307</v>
      </c>
      <c r="P113" s="1398">
        <v>10960</v>
      </c>
      <c r="Q113" s="1398">
        <v>20352</v>
      </c>
      <c r="R113" s="1398">
        <v>3134</v>
      </c>
      <c r="S113" s="1335"/>
      <c r="T113" s="668"/>
      <c r="U113" s="1354"/>
      <c r="V113" s="2365">
        <f t="shared" si="7"/>
        <v>34446</v>
      </c>
    </row>
    <row r="114" spans="1:22">
      <c r="A114" s="972">
        <v>2002.09</v>
      </c>
      <c r="B114" s="223">
        <v>94</v>
      </c>
      <c r="C114" s="1398">
        <v>110</v>
      </c>
      <c r="D114" s="1446"/>
      <c r="E114" s="1398">
        <v>536</v>
      </c>
      <c r="F114" s="223">
        <v>583</v>
      </c>
      <c r="G114" s="3614"/>
      <c r="H114" s="2364">
        <f t="shared" si="4"/>
        <v>583</v>
      </c>
      <c r="I114" s="223">
        <v>4552</v>
      </c>
      <c r="J114" s="1447"/>
      <c r="K114" s="1602">
        <f t="shared" si="5"/>
        <v>4552</v>
      </c>
      <c r="L114" s="947">
        <v>91653</v>
      </c>
      <c r="M114" s="190">
        <v>8886.68</v>
      </c>
      <c r="N114" s="1335"/>
      <c r="O114" s="2394">
        <f t="shared" si="6"/>
        <v>100539.68</v>
      </c>
      <c r="P114" s="1398">
        <v>9338</v>
      </c>
      <c r="Q114" s="1398">
        <v>17551</v>
      </c>
      <c r="R114" s="1398">
        <v>2942</v>
      </c>
      <c r="S114" s="1335"/>
      <c r="T114" s="668"/>
      <c r="U114" s="1354"/>
      <c r="V114" s="2365">
        <f t="shared" si="7"/>
        <v>29831</v>
      </c>
    </row>
    <row r="115" spans="1:22">
      <c r="A115" s="972">
        <v>2002.1</v>
      </c>
      <c r="B115" s="223">
        <v>184</v>
      </c>
      <c r="C115" s="1398">
        <v>153</v>
      </c>
      <c r="D115" s="1446"/>
      <c r="E115" s="1398">
        <v>185</v>
      </c>
      <c r="F115" s="223">
        <v>333</v>
      </c>
      <c r="G115" s="3614"/>
      <c r="H115" s="2364">
        <f t="shared" si="4"/>
        <v>333</v>
      </c>
      <c r="I115" s="223">
        <v>3642</v>
      </c>
      <c r="J115" s="1447"/>
      <c r="K115" s="1602">
        <f t="shared" si="5"/>
        <v>3642</v>
      </c>
      <c r="L115" s="947">
        <v>76679</v>
      </c>
      <c r="M115" s="190">
        <v>8959</v>
      </c>
      <c r="N115" s="1335"/>
      <c r="O115" s="2394">
        <f t="shared" si="6"/>
        <v>85638</v>
      </c>
      <c r="P115" s="1398">
        <v>9172</v>
      </c>
      <c r="Q115" s="1398">
        <v>18119</v>
      </c>
      <c r="R115" s="1398">
        <v>3352</v>
      </c>
      <c r="S115" s="1335"/>
      <c r="T115" s="668"/>
      <c r="U115" s="1354"/>
      <c r="V115" s="2365">
        <f t="shared" si="7"/>
        <v>30643</v>
      </c>
    </row>
    <row r="116" spans="1:22">
      <c r="A116" s="972">
        <v>2002.11</v>
      </c>
      <c r="B116" s="223">
        <v>109</v>
      </c>
      <c r="C116" s="1398">
        <v>113</v>
      </c>
      <c r="D116" s="1446"/>
      <c r="E116" s="1398">
        <v>205</v>
      </c>
      <c r="F116" s="223">
        <v>267</v>
      </c>
      <c r="G116" s="3614"/>
      <c r="H116" s="2364">
        <f t="shared" si="4"/>
        <v>267</v>
      </c>
      <c r="I116" s="223">
        <v>3426</v>
      </c>
      <c r="J116" s="1447"/>
      <c r="K116" s="1602">
        <f t="shared" si="5"/>
        <v>3426</v>
      </c>
      <c r="L116" s="947">
        <v>98507</v>
      </c>
      <c r="M116" s="190">
        <v>14841</v>
      </c>
      <c r="N116" s="1335"/>
      <c r="O116" s="2394">
        <f t="shared" si="6"/>
        <v>113348</v>
      </c>
      <c r="P116" s="1398">
        <v>8500</v>
      </c>
      <c r="Q116" s="1398">
        <v>17975</v>
      </c>
      <c r="R116" s="1398">
        <v>3273</v>
      </c>
      <c r="S116" s="1335"/>
      <c r="T116" s="668"/>
      <c r="U116" s="1354"/>
      <c r="V116" s="2365">
        <f t="shared" si="7"/>
        <v>29748</v>
      </c>
    </row>
    <row r="117" spans="1:22">
      <c r="A117" s="972">
        <v>2002.12</v>
      </c>
      <c r="B117" s="223">
        <v>115</v>
      </c>
      <c r="C117" s="1398">
        <v>188</v>
      </c>
      <c r="D117" s="1446"/>
      <c r="E117" s="1398">
        <v>268</v>
      </c>
      <c r="F117" s="223">
        <v>179</v>
      </c>
      <c r="G117" s="3614"/>
      <c r="H117" s="2364">
        <f t="shared" si="4"/>
        <v>179</v>
      </c>
      <c r="I117" s="223">
        <v>3499</v>
      </c>
      <c r="J117" s="1447"/>
      <c r="K117" s="1602">
        <f t="shared" si="5"/>
        <v>3499</v>
      </c>
      <c r="L117" s="947">
        <v>96325.5</v>
      </c>
      <c r="M117" s="190">
        <v>13087.5</v>
      </c>
      <c r="N117" s="1335"/>
      <c r="O117" s="2394">
        <f t="shared" si="6"/>
        <v>109413</v>
      </c>
      <c r="P117" s="1398">
        <v>9380</v>
      </c>
      <c r="Q117" s="1398">
        <v>21009</v>
      </c>
      <c r="R117" s="1398">
        <v>3923</v>
      </c>
      <c r="S117" s="1335"/>
      <c r="T117" s="668"/>
      <c r="U117" s="1354"/>
      <c r="V117" s="2365">
        <f t="shared" si="7"/>
        <v>34312</v>
      </c>
    </row>
    <row r="118" spans="1:22">
      <c r="A118" s="972">
        <v>2003.01</v>
      </c>
      <c r="B118" s="223">
        <v>308</v>
      </c>
      <c r="C118" s="1398">
        <v>231</v>
      </c>
      <c r="D118" s="1446"/>
      <c r="E118" s="1398">
        <v>321</v>
      </c>
      <c r="F118" s="223">
        <v>447</v>
      </c>
      <c r="G118" s="3614"/>
      <c r="H118" s="2364">
        <f t="shared" si="4"/>
        <v>447</v>
      </c>
      <c r="I118" s="223">
        <v>3165</v>
      </c>
      <c r="J118" s="1447"/>
      <c r="K118" s="1602">
        <f t="shared" si="5"/>
        <v>3165</v>
      </c>
      <c r="L118" s="947">
        <v>89235</v>
      </c>
      <c r="M118" s="190">
        <v>12960.14</v>
      </c>
      <c r="N118" s="1335"/>
      <c r="O118" s="2394">
        <f t="shared" si="6"/>
        <v>102195.14</v>
      </c>
      <c r="P118" s="1398">
        <v>8370</v>
      </c>
      <c r="Q118" s="1398">
        <v>19673</v>
      </c>
      <c r="R118" s="1398">
        <v>3713</v>
      </c>
      <c r="S118" s="1335"/>
      <c r="T118" s="668"/>
      <c r="U118" s="1354"/>
      <c r="V118" s="2365">
        <f t="shared" si="7"/>
        <v>31756</v>
      </c>
    </row>
    <row r="119" spans="1:22">
      <c r="A119" s="972">
        <v>2003.02</v>
      </c>
      <c r="B119" s="223">
        <v>538</v>
      </c>
      <c r="C119" s="1398">
        <v>508</v>
      </c>
      <c r="D119" s="1446"/>
      <c r="E119" s="1398">
        <v>402</v>
      </c>
      <c r="F119" s="223">
        <v>453</v>
      </c>
      <c r="G119" s="3614"/>
      <c r="H119" s="2364">
        <f t="shared" si="4"/>
        <v>453</v>
      </c>
      <c r="I119" s="223">
        <v>2318</v>
      </c>
      <c r="J119" s="1447"/>
      <c r="K119" s="1602">
        <f t="shared" si="5"/>
        <v>2318</v>
      </c>
      <c r="L119" s="947">
        <v>94485</v>
      </c>
      <c r="M119" s="190">
        <v>10502</v>
      </c>
      <c r="N119" s="1335"/>
      <c r="O119" s="2394">
        <f t="shared" si="6"/>
        <v>104987</v>
      </c>
      <c r="P119" s="1398">
        <v>7588</v>
      </c>
      <c r="Q119" s="1398">
        <v>17538</v>
      </c>
      <c r="R119" s="1398">
        <v>3448</v>
      </c>
      <c r="S119" s="1335"/>
      <c r="T119" s="668"/>
      <c r="U119" s="1354"/>
      <c r="V119" s="2365">
        <f t="shared" si="7"/>
        <v>28574</v>
      </c>
    </row>
    <row r="120" spans="1:22">
      <c r="A120" s="972">
        <v>2003.03</v>
      </c>
      <c r="B120" s="223">
        <v>310</v>
      </c>
      <c r="C120" s="1398">
        <v>376</v>
      </c>
      <c r="D120" s="1446"/>
      <c r="E120" s="1398">
        <v>612</v>
      </c>
      <c r="F120" s="223">
        <v>497</v>
      </c>
      <c r="G120" s="3614"/>
      <c r="H120" s="2364">
        <f t="shared" si="4"/>
        <v>497</v>
      </c>
      <c r="I120" s="223">
        <v>2786</v>
      </c>
      <c r="J120" s="1447"/>
      <c r="K120" s="1602">
        <f t="shared" si="5"/>
        <v>2786</v>
      </c>
      <c r="L120" s="947">
        <v>107227</v>
      </c>
      <c r="M120" s="190">
        <v>3408</v>
      </c>
      <c r="N120" s="1335"/>
      <c r="O120" s="2394">
        <f t="shared" si="6"/>
        <v>110635</v>
      </c>
      <c r="P120" s="1398">
        <v>6354</v>
      </c>
      <c r="Q120" s="1398">
        <v>15515</v>
      </c>
      <c r="R120" s="1398">
        <v>2990</v>
      </c>
      <c r="S120" s="1335"/>
      <c r="T120" s="668"/>
      <c r="U120" s="1354"/>
      <c r="V120" s="2365">
        <f t="shared" si="7"/>
        <v>24859</v>
      </c>
    </row>
    <row r="121" spans="1:22">
      <c r="A121" s="972">
        <v>2003.04</v>
      </c>
      <c r="B121" s="223">
        <v>49</v>
      </c>
      <c r="C121" s="1398">
        <v>67</v>
      </c>
      <c r="D121" s="1446"/>
      <c r="E121" s="1398">
        <v>810</v>
      </c>
      <c r="F121" s="223">
        <v>1067</v>
      </c>
      <c r="G121" s="3614"/>
      <c r="H121" s="2364">
        <f t="shared" si="4"/>
        <v>1067</v>
      </c>
      <c r="I121" s="223">
        <v>3421</v>
      </c>
      <c r="J121" s="1447"/>
      <c r="K121" s="1602">
        <f t="shared" si="5"/>
        <v>3421</v>
      </c>
      <c r="L121" s="947">
        <v>97212</v>
      </c>
      <c r="M121" s="190">
        <v>0</v>
      </c>
      <c r="N121" s="1335"/>
      <c r="O121" s="2394">
        <f t="shared" si="6"/>
        <v>97212</v>
      </c>
      <c r="P121" s="1398">
        <v>6287</v>
      </c>
      <c r="Q121" s="1398">
        <v>15836</v>
      </c>
      <c r="R121" s="1398">
        <v>3139</v>
      </c>
      <c r="S121" s="1335"/>
      <c r="T121" s="668"/>
      <c r="U121" s="1354"/>
      <c r="V121" s="2365">
        <f t="shared" si="7"/>
        <v>25262</v>
      </c>
    </row>
    <row r="122" spans="1:22">
      <c r="A122" s="972">
        <v>2003.05</v>
      </c>
      <c r="B122" s="223">
        <v>74</v>
      </c>
      <c r="C122" s="1398">
        <v>54</v>
      </c>
      <c r="D122" s="1446"/>
      <c r="E122" s="1398">
        <v>1930</v>
      </c>
      <c r="F122" s="223">
        <v>654</v>
      </c>
      <c r="G122" s="3614"/>
      <c r="H122" s="2364">
        <f t="shared" si="4"/>
        <v>654</v>
      </c>
      <c r="I122" s="223">
        <v>6840</v>
      </c>
      <c r="J122" s="1447"/>
      <c r="K122" s="1602">
        <f t="shared" si="5"/>
        <v>6840</v>
      </c>
      <c r="L122" s="947">
        <v>103272</v>
      </c>
      <c r="M122" s="190">
        <v>4254</v>
      </c>
      <c r="N122" s="1335"/>
      <c r="O122" s="2394">
        <f t="shared" si="6"/>
        <v>107526</v>
      </c>
      <c r="P122" s="1398">
        <v>6874</v>
      </c>
      <c r="Q122" s="1398">
        <v>16330</v>
      </c>
      <c r="R122" s="1398">
        <v>3155</v>
      </c>
      <c r="S122" s="1335"/>
      <c r="T122" s="668"/>
      <c r="U122" s="1354"/>
      <c r="V122" s="2365">
        <f t="shared" si="7"/>
        <v>26359</v>
      </c>
    </row>
    <row r="123" spans="1:22">
      <c r="A123" s="972">
        <v>2003.06</v>
      </c>
      <c r="B123" s="223">
        <v>59</v>
      </c>
      <c r="C123" s="1398">
        <v>54</v>
      </c>
      <c r="D123" s="1446"/>
      <c r="E123" s="1398">
        <v>2064</v>
      </c>
      <c r="F123" s="223">
        <v>926</v>
      </c>
      <c r="G123" s="3614"/>
      <c r="H123" s="2364">
        <f t="shared" si="4"/>
        <v>926</v>
      </c>
      <c r="I123" s="223">
        <v>17268</v>
      </c>
      <c r="J123" s="1447"/>
      <c r="K123" s="1602">
        <f t="shared" si="5"/>
        <v>17268</v>
      </c>
      <c r="L123" s="947">
        <v>99145</v>
      </c>
      <c r="M123" s="190">
        <v>13048</v>
      </c>
      <c r="N123" s="1335"/>
      <c r="O123" s="2394">
        <f t="shared" si="6"/>
        <v>112193</v>
      </c>
      <c r="P123" s="1398">
        <v>8246</v>
      </c>
      <c r="Q123" s="1398">
        <v>19783</v>
      </c>
      <c r="R123" s="1398">
        <v>3848</v>
      </c>
      <c r="S123" s="1335"/>
      <c r="T123" s="668"/>
      <c r="U123" s="1354"/>
      <c r="V123" s="2365">
        <f t="shared" si="7"/>
        <v>31877</v>
      </c>
    </row>
    <row r="124" spans="1:22">
      <c r="A124" s="972">
        <v>2003.07</v>
      </c>
      <c r="B124" s="223">
        <v>78</v>
      </c>
      <c r="C124" s="1398">
        <v>58</v>
      </c>
      <c r="D124" s="1446"/>
      <c r="E124" s="1398">
        <v>3056</v>
      </c>
      <c r="F124" s="223">
        <v>1027</v>
      </c>
      <c r="G124" s="3614"/>
      <c r="H124" s="2364">
        <f t="shared" si="4"/>
        <v>1027</v>
      </c>
      <c r="I124" s="223">
        <v>10073</v>
      </c>
      <c r="J124" s="1447"/>
      <c r="K124" s="1602">
        <f t="shared" si="5"/>
        <v>10073</v>
      </c>
      <c r="L124" s="947">
        <v>101383</v>
      </c>
      <c r="M124" s="190">
        <v>17508</v>
      </c>
      <c r="N124" s="1335"/>
      <c r="O124" s="2394">
        <f t="shared" si="6"/>
        <v>118891</v>
      </c>
      <c r="P124" s="1398">
        <v>9924</v>
      </c>
      <c r="Q124" s="1398">
        <v>23154</v>
      </c>
      <c r="R124" s="1398">
        <v>4291</v>
      </c>
      <c r="S124" s="1335"/>
      <c r="T124" s="668"/>
      <c r="U124" s="1354"/>
      <c r="V124" s="2365">
        <f t="shared" si="7"/>
        <v>37369</v>
      </c>
    </row>
    <row r="125" spans="1:22">
      <c r="A125" s="972">
        <v>2003.08</v>
      </c>
      <c r="B125" s="223">
        <v>29</v>
      </c>
      <c r="C125" s="1398">
        <v>49</v>
      </c>
      <c r="D125" s="1446"/>
      <c r="E125" s="1398">
        <v>1592</v>
      </c>
      <c r="F125" s="223">
        <v>1759</v>
      </c>
      <c r="G125" s="3614"/>
      <c r="H125" s="2364">
        <f t="shared" si="4"/>
        <v>1759</v>
      </c>
      <c r="I125" s="223">
        <v>9017</v>
      </c>
      <c r="J125" s="1447"/>
      <c r="K125" s="1602">
        <f t="shared" si="5"/>
        <v>9017</v>
      </c>
      <c r="L125" s="947">
        <v>100991</v>
      </c>
      <c r="M125" s="190">
        <v>9813</v>
      </c>
      <c r="N125" s="1335"/>
      <c r="O125" s="2394">
        <f t="shared" si="6"/>
        <v>110804</v>
      </c>
      <c r="P125" s="1398">
        <v>8342</v>
      </c>
      <c r="Q125" s="1398">
        <v>20979</v>
      </c>
      <c r="R125" s="1398">
        <v>4206</v>
      </c>
      <c r="S125" s="1335"/>
      <c r="T125" s="668"/>
      <c r="U125" s="1354"/>
      <c r="V125" s="2365">
        <f t="shared" si="7"/>
        <v>33527</v>
      </c>
    </row>
    <row r="126" spans="1:22">
      <c r="A126" s="972">
        <v>2003.09</v>
      </c>
      <c r="B126" s="223">
        <v>57</v>
      </c>
      <c r="C126" s="1398">
        <v>68</v>
      </c>
      <c r="D126" s="1446"/>
      <c r="E126" s="1398">
        <v>560</v>
      </c>
      <c r="F126" s="223">
        <v>883</v>
      </c>
      <c r="G126" s="3614"/>
      <c r="H126" s="2364">
        <f t="shared" si="4"/>
        <v>883</v>
      </c>
      <c r="I126" s="223">
        <v>8292.2999999999993</v>
      </c>
      <c r="J126" s="1447"/>
      <c r="K126" s="1602">
        <f t="shared" si="5"/>
        <v>8292.2999999999993</v>
      </c>
      <c r="L126" s="947">
        <v>105286.5</v>
      </c>
      <c r="M126" s="190">
        <v>11077</v>
      </c>
      <c r="N126" s="1335"/>
      <c r="O126" s="2394">
        <f t="shared" si="6"/>
        <v>116363.5</v>
      </c>
      <c r="P126" s="1398">
        <v>8502</v>
      </c>
      <c r="Q126" s="1398">
        <v>20176.099999999999</v>
      </c>
      <c r="R126" s="1398">
        <v>4501</v>
      </c>
      <c r="S126" s="1335"/>
      <c r="T126" s="668"/>
      <c r="U126" s="1354"/>
      <c r="V126" s="2365">
        <f t="shared" si="7"/>
        <v>33179.1</v>
      </c>
    </row>
    <row r="127" spans="1:22">
      <c r="A127" s="972">
        <v>2003.1</v>
      </c>
      <c r="B127" s="223">
        <v>158</v>
      </c>
      <c r="C127" s="1398">
        <v>103</v>
      </c>
      <c r="D127" s="1446"/>
      <c r="E127" s="1398">
        <v>237</v>
      </c>
      <c r="F127" s="223">
        <v>582</v>
      </c>
      <c r="G127" s="3614"/>
      <c r="H127" s="2364">
        <f t="shared" si="4"/>
        <v>582</v>
      </c>
      <c r="I127" s="223">
        <v>4453.22</v>
      </c>
      <c r="J127" s="1447"/>
      <c r="K127" s="1602">
        <f t="shared" si="5"/>
        <v>4453.22</v>
      </c>
      <c r="L127" s="947">
        <v>109139.93799999999</v>
      </c>
      <c r="M127" s="190">
        <v>10606</v>
      </c>
      <c r="N127" s="1335"/>
      <c r="O127" s="2394">
        <f t="shared" si="6"/>
        <v>119745.93799999999</v>
      </c>
      <c r="P127" s="1398">
        <v>8219</v>
      </c>
      <c r="Q127" s="1398">
        <v>21029</v>
      </c>
      <c r="R127" s="1398">
        <v>4877</v>
      </c>
      <c r="S127" s="1335"/>
      <c r="T127" s="668"/>
      <c r="U127" s="1354"/>
      <c r="V127" s="2365">
        <f t="shared" si="7"/>
        <v>34125</v>
      </c>
    </row>
    <row r="128" spans="1:22">
      <c r="A128" s="972">
        <v>2003.11</v>
      </c>
      <c r="B128" s="223">
        <v>61</v>
      </c>
      <c r="C128" s="1398">
        <v>110</v>
      </c>
      <c r="D128" s="1446"/>
      <c r="E128" s="1398">
        <v>207</v>
      </c>
      <c r="F128" s="223">
        <v>115</v>
      </c>
      <c r="G128" s="3614"/>
      <c r="H128" s="2364">
        <f t="shared" si="4"/>
        <v>115</v>
      </c>
      <c r="I128" s="223">
        <v>3788</v>
      </c>
      <c r="J128" s="1447"/>
      <c r="K128" s="1602">
        <f t="shared" si="5"/>
        <v>3788</v>
      </c>
      <c r="L128" s="947">
        <v>120387</v>
      </c>
      <c r="M128" s="190">
        <v>87</v>
      </c>
      <c r="N128" s="1335"/>
      <c r="O128" s="2394">
        <f t="shared" si="6"/>
        <v>120474</v>
      </c>
      <c r="P128" s="1398">
        <v>6407</v>
      </c>
      <c r="Q128" s="1398">
        <v>16498</v>
      </c>
      <c r="R128" s="1398">
        <v>3742</v>
      </c>
      <c r="S128" s="1335"/>
      <c r="T128" s="668"/>
      <c r="U128" s="1354"/>
      <c r="V128" s="2365">
        <f t="shared" si="7"/>
        <v>26647</v>
      </c>
    </row>
    <row r="129" spans="1:22">
      <c r="A129" s="972">
        <v>2003.12</v>
      </c>
      <c r="B129" s="223">
        <v>198</v>
      </c>
      <c r="C129" s="1398">
        <v>182</v>
      </c>
      <c r="D129" s="1446"/>
      <c r="E129" s="1398">
        <v>292</v>
      </c>
      <c r="F129" s="223">
        <v>35</v>
      </c>
      <c r="G129" s="3614"/>
      <c r="H129" s="2364">
        <f t="shared" si="4"/>
        <v>35</v>
      </c>
      <c r="I129" s="223">
        <v>3433</v>
      </c>
      <c r="J129" s="1447"/>
      <c r="K129" s="1602">
        <f t="shared" si="5"/>
        <v>3433</v>
      </c>
      <c r="L129" s="947">
        <v>115013</v>
      </c>
      <c r="M129" s="190">
        <v>11793</v>
      </c>
      <c r="N129" s="1335"/>
      <c r="O129" s="2394">
        <f t="shared" si="6"/>
        <v>126806</v>
      </c>
      <c r="P129" s="1398">
        <v>8726</v>
      </c>
      <c r="Q129" s="1398">
        <v>22480</v>
      </c>
      <c r="R129" s="1398">
        <v>5800</v>
      </c>
      <c r="S129" s="1335"/>
      <c r="T129" s="668"/>
      <c r="U129" s="1354"/>
      <c r="V129" s="2365">
        <f t="shared" si="7"/>
        <v>37006</v>
      </c>
    </row>
    <row r="130" spans="1:22">
      <c r="A130" s="972">
        <v>2004.01</v>
      </c>
      <c r="B130" s="223">
        <v>204</v>
      </c>
      <c r="C130" s="1398">
        <v>224</v>
      </c>
      <c r="D130" s="1446"/>
      <c r="E130" s="1398">
        <v>295</v>
      </c>
      <c r="F130" s="223">
        <v>143</v>
      </c>
      <c r="G130" s="3614"/>
      <c r="H130" s="2364">
        <f t="shared" si="4"/>
        <v>143</v>
      </c>
      <c r="I130" s="223">
        <v>6943</v>
      </c>
      <c r="J130" s="1447"/>
      <c r="K130" s="1602">
        <f t="shared" si="5"/>
        <v>6943</v>
      </c>
      <c r="L130" s="947">
        <v>78490</v>
      </c>
      <c r="M130" s="190">
        <v>10601</v>
      </c>
      <c r="N130" s="1335"/>
      <c r="O130" s="2394">
        <f t="shared" si="6"/>
        <v>89091</v>
      </c>
      <c r="P130" s="1398">
        <v>7470</v>
      </c>
      <c r="Q130" s="1398">
        <v>21794</v>
      </c>
      <c r="R130" s="1398">
        <v>5104</v>
      </c>
      <c r="S130" s="1335"/>
      <c r="T130" s="668"/>
      <c r="U130" s="1354"/>
      <c r="V130" s="2365">
        <f t="shared" si="7"/>
        <v>34368</v>
      </c>
    </row>
    <row r="131" spans="1:22">
      <c r="A131" s="972">
        <v>2004.02</v>
      </c>
      <c r="B131" s="223">
        <v>414</v>
      </c>
      <c r="C131" s="1398">
        <v>441</v>
      </c>
      <c r="D131" s="1446"/>
      <c r="E131" s="1398">
        <v>421.31399999999996</v>
      </c>
      <c r="F131" s="223">
        <v>0</v>
      </c>
      <c r="G131" s="3614"/>
      <c r="H131" s="2364">
        <f t="shared" si="4"/>
        <v>0</v>
      </c>
      <c r="I131" s="223">
        <v>7688</v>
      </c>
      <c r="J131" s="1447"/>
      <c r="K131" s="1602">
        <f t="shared" si="5"/>
        <v>7688</v>
      </c>
      <c r="L131" s="947">
        <v>97308</v>
      </c>
      <c r="M131" s="190">
        <v>0</v>
      </c>
      <c r="N131" s="1335"/>
      <c r="O131" s="2394">
        <f t="shared" si="6"/>
        <v>97308</v>
      </c>
      <c r="P131" s="1398">
        <v>5436</v>
      </c>
      <c r="Q131" s="1398">
        <v>17012</v>
      </c>
      <c r="R131" s="1398">
        <v>3935</v>
      </c>
      <c r="S131" s="1335"/>
      <c r="T131" s="668"/>
      <c r="U131" s="1354"/>
      <c r="V131" s="2365">
        <f t="shared" si="7"/>
        <v>26383</v>
      </c>
    </row>
    <row r="132" spans="1:22">
      <c r="A132" s="972">
        <v>2004.03</v>
      </c>
      <c r="B132" s="223">
        <v>281</v>
      </c>
      <c r="C132" s="1398">
        <v>345</v>
      </c>
      <c r="D132" s="1446"/>
      <c r="E132" s="1398">
        <v>478</v>
      </c>
      <c r="F132" s="223">
        <v>609</v>
      </c>
      <c r="G132" s="3614"/>
      <c r="H132" s="2364">
        <f t="shared" si="4"/>
        <v>609</v>
      </c>
      <c r="I132" s="223">
        <v>12468.082</v>
      </c>
      <c r="J132" s="1447"/>
      <c r="K132" s="1602">
        <f t="shared" si="5"/>
        <v>12468.082</v>
      </c>
      <c r="L132" s="947">
        <v>119306.1</v>
      </c>
      <c r="M132" s="190">
        <v>12591</v>
      </c>
      <c r="N132" s="1335"/>
      <c r="O132" s="2394">
        <f t="shared" si="6"/>
        <v>131897.1</v>
      </c>
      <c r="P132" s="1398">
        <v>6747</v>
      </c>
      <c r="Q132" s="1398">
        <v>21394</v>
      </c>
      <c r="R132" s="1398">
        <v>4835</v>
      </c>
      <c r="S132" s="1335"/>
      <c r="T132" s="668"/>
      <c r="U132" s="1354"/>
      <c r="V132" s="2365">
        <f t="shared" si="7"/>
        <v>32976</v>
      </c>
    </row>
    <row r="133" spans="1:22">
      <c r="A133" s="972">
        <v>2004.04</v>
      </c>
      <c r="B133" s="223">
        <v>66</v>
      </c>
      <c r="C133" s="1398">
        <v>99</v>
      </c>
      <c r="D133" s="1446"/>
      <c r="E133" s="1398">
        <v>870</v>
      </c>
      <c r="F133" s="223">
        <v>598</v>
      </c>
      <c r="G133" s="3614"/>
      <c r="H133" s="2364">
        <f t="shared" si="4"/>
        <v>598</v>
      </c>
      <c r="I133" s="223">
        <v>16630</v>
      </c>
      <c r="J133" s="1447"/>
      <c r="K133" s="1602">
        <f t="shared" si="5"/>
        <v>16630</v>
      </c>
      <c r="L133" s="947">
        <v>109061</v>
      </c>
      <c r="M133" s="190">
        <v>12467</v>
      </c>
      <c r="N133" s="1335"/>
      <c r="O133" s="2394">
        <f t="shared" si="6"/>
        <v>121528</v>
      </c>
      <c r="P133" s="1398">
        <v>6304</v>
      </c>
      <c r="Q133" s="1398">
        <v>20932</v>
      </c>
      <c r="R133" s="1398">
        <v>4642</v>
      </c>
      <c r="S133" s="1335"/>
      <c r="T133" s="668"/>
      <c r="U133" s="1354"/>
      <c r="V133" s="2365">
        <f t="shared" si="7"/>
        <v>31878</v>
      </c>
    </row>
    <row r="134" spans="1:22">
      <c r="A134" s="972">
        <v>2004.05</v>
      </c>
      <c r="B134" s="223">
        <v>109</v>
      </c>
      <c r="C134" s="1398">
        <v>65</v>
      </c>
      <c r="D134" s="1446"/>
      <c r="E134" s="1398">
        <v>2496.1</v>
      </c>
      <c r="F134" s="223">
        <v>522</v>
      </c>
      <c r="G134" s="3614"/>
      <c r="H134" s="2364">
        <f t="shared" si="4"/>
        <v>522</v>
      </c>
      <c r="I134" s="223">
        <v>15847</v>
      </c>
      <c r="J134" s="1447"/>
      <c r="K134" s="1602">
        <f t="shared" si="5"/>
        <v>15847</v>
      </c>
      <c r="L134" s="947">
        <v>110768</v>
      </c>
      <c r="M134" s="190">
        <v>14091</v>
      </c>
      <c r="N134" s="1335"/>
      <c r="O134" s="2394">
        <f t="shared" si="6"/>
        <v>124859</v>
      </c>
      <c r="P134" s="1398">
        <v>5957</v>
      </c>
      <c r="Q134" s="1398">
        <v>19263</v>
      </c>
      <c r="R134" s="1398">
        <v>4341</v>
      </c>
      <c r="S134" s="1335"/>
      <c r="T134" s="668"/>
      <c r="U134" s="1354"/>
      <c r="V134" s="2365">
        <f t="shared" si="7"/>
        <v>29561</v>
      </c>
    </row>
    <row r="135" spans="1:22">
      <c r="A135" s="972">
        <v>2004.06</v>
      </c>
      <c r="B135" s="223">
        <v>30</v>
      </c>
      <c r="C135" s="1398">
        <v>61</v>
      </c>
      <c r="D135" s="1446"/>
      <c r="E135" s="1398">
        <v>2047.6</v>
      </c>
      <c r="F135" s="223">
        <v>259.80900000000003</v>
      </c>
      <c r="G135" s="3614"/>
      <c r="H135" s="2364">
        <f t="shared" si="4"/>
        <v>259.80900000000003</v>
      </c>
      <c r="I135" s="223">
        <v>17908.28</v>
      </c>
      <c r="J135" s="1447"/>
      <c r="K135" s="1602">
        <f t="shared" si="5"/>
        <v>17908.28</v>
      </c>
      <c r="L135" s="947">
        <v>96182.080000000002</v>
      </c>
      <c r="M135" s="190">
        <v>13523</v>
      </c>
      <c r="N135" s="1335"/>
      <c r="O135" s="2394">
        <f t="shared" si="6"/>
        <v>109705.08</v>
      </c>
      <c r="P135" s="1398">
        <v>5339</v>
      </c>
      <c r="Q135" s="1398">
        <v>17869</v>
      </c>
      <c r="R135" s="1398">
        <v>5378</v>
      </c>
      <c r="S135" s="1335"/>
      <c r="T135" s="668"/>
      <c r="U135" s="1354"/>
      <c r="V135" s="2365">
        <f t="shared" si="7"/>
        <v>28586</v>
      </c>
    </row>
    <row r="136" spans="1:22">
      <c r="A136" s="972">
        <v>2004.07</v>
      </c>
      <c r="B136" s="223">
        <v>52</v>
      </c>
      <c r="C136" s="1398">
        <v>84</v>
      </c>
      <c r="D136" s="1446"/>
      <c r="E136" s="1398">
        <v>2029.2</v>
      </c>
      <c r="F136" s="223">
        <v>272</v>
      </c>
      <c r="G136" s="3614"/>
      <c r="H136" s="2364">
        <f t="shared" si="4"/>
        <v>272</v>
      </c>
      <c r="I136" s="223">
        <v>6446</v>
      </c>
      <c r="J136" s="1447"/>
      <c r="K136" s="1602">
        <f t="shared" si="5"/>
        <v>6446</v>
      </c>
      <c r="L136" s="947">
        <v>89797</v>
      </c>
      <c r="M136" s="190">
        <v>11245</v>
      </c>
      <c r="N136" s="1335"/>
      <c r="O136" s="2394">
        <f t="shared" si="6"/>
        <v>101042</v>
      </c>
      <c r="P136" s="1398">
        <v>5507</v>
      </c>
      <c r="Q136" s="1398">
        <v>17946</v>
      </c>
      <c r="R136" s="1398">
        <v>6543</v>
      </c>
      <c r="S136" s="1335"/>
      <c r="T136" s="668"/>
      <c r="U136" s="1354"/>
      <c r="V136" s="2365">
        <f t="shared" si="7"/>
        <v>29996</v>
      </c>
    </row>
    <row r="137" spans="1:22">
      <c r="A137" s="972">
        <v>2004.08</v>
      </c>
      <c r="B137" s="223">
        <v>45</v>
      </c>
      <c r="C137" s="1398">
        <v>59</v>
      </c>
      <c r="D137" s="1446"/>
      <c r="E137" s="1398">
        <v>1279</v>
      </c>
      <c r="F137" s="223">
        <v>0</v>
      </c>
      <c r="G137" s="3614"/>
      <c r="H137" s="2364">
        <f t="shared" si="4"/>
        <v>0</v>
      </c>
      <c r="I137" s="223">
        <v>1041</v>
      </c>
      <c r="J137" s="1447"/>
      <c r="K137" s="1602">
        <f t="shared" si="5"/>
        <v>1041</v>
      </c>
      <c r="L137" s="947">
        <v>56798</v>
      </c>
      <c r="M137" s="190">
        <v>11500</v>
      </c>
      <c r="N137" s="1335"/>
      <c r="O137" s="2394">
        <f t="shared" si="6"/>
        <v>68298</v>
      </c>
      <c r="P137" s="1398">
        <v>5205</v>
      </c>
      <c r="Q137" s="1398">
        <v>17096</v>
      </c>
      <c r="R137" s="1398">
        <v>5683</v>
      </c>
      <c r="S137" s="1335"/>
      <c r="T137" s="668"/>
      <c r="U137" s="1354"/>
      <c r="V137" s="2365">
        <f t="shared" si="7"/>
        <v>27984</v>
      </c>
    </row>
    <row r="138" spans="1:22">
      <c r="A138" s="972">
        <v>2004.09</v>
      </c>
      <c r="B138" s="223">
        <v>44</v>
      </c>
      <c r="C138" s="1398">
        <v>52</v>
      </c>
      <c r="D138" s="1446"/>
      <c r="E138" s="1398">
        <v>239.2</v>
      </c>
      <c r="F138" s="223">
        <v>0</v>
      </c>
      <c r="G138" s="3614"/>
      <c r="H138" s="2364">
        <f t="shared" ref="H138:H201" si="8">F138+G138</f>
        <v>0</v>
      </c>
      <c r="I138" s="223">
        <v>495</v>
      </c>
      <c r="J138" s="1447"/>
      <c r="K138" s="1602">
        <f t="shared" ref="K138:K201" si="9">I138+J138</f>
        <v>495</v>
      </c>
      <c r="L138" s="947">
        <v>83862</v>
      </c>
      <c r="M138" s="190">
        <v>12131</v>
      </c>
      <c r="N138" s="1335"/>
      <c r="O138" s="2394">
        <f t="shared" si="6"/>
        <v>95993</v>
      </c>
      <c r="P138" s="1398">
        <v>5035</v>
      </c>
      <c r="Q138" s="1398">
        <v>17355</v>
      </c>
      <c r="R138" s="1398">
        <v>5823</v>
      </c>
      <c r="S138" s="1335"/>
      <c r="T138" s="668"/>
      <c r="U138" s="1354"/>
      <c r="V138" s="2365">
        <f t="shared" si="7"/>
        <v>28213</v>
      </c>
    </row>
    <row r="139" spans="1:22">
      <c r="A139" s="972">
        <v>2004.1</v>
      </c>
      <c r="B139" s="223">
        <v>135</v>
      </c>
      <c r="C139" s="1398">
        <v>55</v>
      </c>
      <c r="D139" s="1446"/>
      <c r="E139" s="1398">
        <v>195</v>
      </c>
      <c r="F139" s="223">
        <v>914</v>
      </c>
      <c r="G139" s="3614"/>
      <c r="H139" s="2364">
        <f t="shared" si="8"/>
        <v>914</v>
      </c>
      <c r="I139" s="223">
        <v>877</v>
      </c>
      <c r="J139" s="1447"/>
      <c r="K139" s="1602">
        <f t="shared" si="9"/>
        <v>877</v>
      </c>
      <c r="L139" s="947">
        <v>77879.399999999994</v>
      </c>
      <c r="M139" s="190">
        <v>8771.4</v>
      </c>
      <c r="N139" s="1335"/>
      <c r="O139" s="2394">
        <f t="shared" si="6"/>
        <v>86650.799999999988</v>
      </c>
      <c r="P139" s="1398">
        <v>3703</v>
      </c>
      <c r="Q139" s="1398">
        <v>15267</v>
      </c>
      <c r="R139" s="1398">
        <v>6038</v>
      </c>
      <c r="S139" s="1335"/>
      <c r="T139" s="668"/>
      <c r="U139" s="1354"/>
      <c r="V139" s="2365">
        <f t="shared" si="7"/>
        <v>25008</v>
      </c>
    </row>
    <row r="140" spans="1:22">
      <c r="A140" s="972">
        <v>2004.11</v>
      </c>
      <c r="B140" s="223">
        <v>127</v>
      </c>
      <c r="C140" s="1398">
        <v>82</v>
      </c>
      <c r="D140" s="1446"/>
      <c r="E140" s="1398">
        <v>180</v>
      </c>
      <c r="F140" s="223">
        <v>0</v>
      </c>
      <c r="G140" s="3614"/>
      <c r="H140" s="2364">
        <f t="shared" si="8"/>
        <v>0</v>
      </c>
      <c r="I140" s="223">
        <v>2453</v>
      </c>
      <c r="J140" s="1447"/>
      <c r="K140" s="1602">
        <f t="shared" si="9"/>
        <v>2453</v>
      </c>
      <c r="L140" s="947">
        <v>82154</v>
      </c>
      <c r="M140" s="190">
        <v>2753</v>
      </c>
      <c r="N140" s="1335"/>
      <c r="O140" s="2394">
        <f t="shared" ref="O140:O200" si="10">L140+M140+N140</f>
        <v>84907</v>
      </c>
      <c r="P140" s="1398">
        <v>3336</v>
      </c>
      <c r="Q140" s="1398">
        <v>13840</v>
      </c>
      <c r="R140" s="1398">
        <v>5798</v>
      </c>
      <c r="S140" s="1335"/>
      <c r="T140" s="668"/>
      <c r="U140" s="1354"/>
      <c r="V140" s="2365">
        <f t="shared" ref="V140:V203" si="11">SUM(P140:U140)</f>
        <v>22974</v>
      </c>
    </row>
    <row r="141" spans="1:22">
      <c r="A141" s="972">
        <v>2004.12</v>
      </c>
      <c r="B141" s="223">
        <v>91</v>
      </c>
      <c r="C141" s="1398">
        <v>82</v>
      </c>
      <c r="D141" s="1446"/>
      <c r="E141" s="1398">
        <v>269</v>
      </c>
      <c r="F141" s="223">
        <v>1182</v>
      </c>
      <c r="G141" s="3614"/>
      <c r="H141" s="2364">
        <f t="shared" si="8"/>
        <v>1182</v>
      </c>
      <c r="I141" s="223">
        <v>6394.1180000000004</v>
      </c>
      <c r="J141" s="1447"/>
      <c r="K141" s="1602">
        <f t="shared" si="9"/>
        <v>6394.1180000000004</v>
      </c>
      <c r="L141" s="947">
        <v>102176.5</v>
      </c>
      <c r="M141" s="190">
        <v>2694.14</v>
      </c>
      <c r="N141" s="1335"/>
      <c r="O141" s="2394">
        <f t="shared" si="10"/>
        <v>104870.64</v>
      </c>
      <c r="P141" s="1398">
        <v>4490</v>
      </c>
      <c r="Q141" s="1398">
        <v>18699</v>
      </c>
      <c r="R141" s="1398">
        <v>7032</v>
      </c>
      <c r="S141" s="1335"/>
      <c r="T141" s="668"/>
      <c r="U141" s="1354"/>
      <c r="V141" s="2365">
        <f t="shared" si="11"/>
        <v>30221</v>
      </c>
    </row>
    <row r="142" spans="1:22">
      <c r="A142" s="972">
        <v>2005.01</v>
      </c>
      <c r="B142" s="223">
        <v>57</v>
      </c>
      <c r="C142" s="1398">
        <v>127</v>
      </c>
      <c r="D142" s="1446"/>
      <c r="E142" s="1398">
        <v>365.9</v>
      </c>
      <c r="F142" s="223">
        <v>634.61</v>
      </c>
      <c r="G142" s="3614"/>
      <c r="H142" s="2364">
        <f t="shared" si="8"/>
        <v>634.61</v>
      </c>
      <c r="I142" s="223">
        <v>4810.71</v>
      </c>
      <c r="J142" s="1447"/>
      <c r="K142" s="1602">
        <f t="shared" si="9"/>
        <v>4810.71</v>
      </c>
      <c r="L142" s="947">
        <v>102083.44</v>
      </c>
      <c r="M142" s="190">
        <v>3646.65</v>
      </c>
      <c r="N142" s="1335"/>
      <c r="O142" s="2394">
        <f t="shared" si="10"/>
        <v>105730.09</v>
      </c>
      <c r="P142" s="1398">
        <v>3256.23</v>
      </c>
      <c r="Q142" s="1398">
        <v>16827.740000000002</v>
      </c>
      <c r="R142" s="1398">
        <v>6331.28</v>
      </c>
      <c r="S142" s="1335"/>
      <c r="T142" s="668"/>
      <c r="U142" s="1354"/>
      <c r="V142" s="2365">
        <f t="shared" si="11"/>
        <v>26415.25</v>
      </c>
    </row>
    <row r="143" spans="1:22">
      <c r="A143" s="972">
        <v>2005.02</v>
      </c>
      <c r="B143" s="223">
        <v>144</v>
      </c>
      <c r="C143" s="1398">
        <v>250</v>
      </c>
      <c r="D143" s="1446"/>
      <c r="E143" s="1398">
        <v>320.39999999999998</v>
      </c>
      <c r="F143" s="223">
        <v>1027.69</v>
      </c>
      <c r="G143" s="3614"/>
      <c r="H143" s="2364">
        <f t="shared" si="8"/>
        <v>1027.69</v>
      </c>
      <c r="I143" s="223">
        <v>10659.95</v>
      </c>
      <c r="J143" s="1447"/>
      <c r="K143" s="1602">
        <f t="shared" si="9"/>
        <v>10659.95</v>
      </c>
      <c r="L143" s="947">
        <v>57897.24</v>
      </c>
      <c r="M143" s="190">
        <v>2881.78</v>
      </c>
      <c r="N143" s="1335"/>
      <c r="O143" s="2394">
        <f t="shared" si="10"/>
        <v>60779.02</v>
      </c>
      <c r="P143" s="1398">
        <v>3276.66</v>
      </c>
      <c r="Q143" s="1398">
        <v>15224.26</v>
      </c>
      <c r="R143" s="1398">
        <v>5862.54</v>
      </c>
      <c r="S143" s="1335"/>
      <c r="T143" s="668"/>
      <c r="U143" s="1354"/>
      <c r="V143" s="2365">
        <f t="shared" si="11"/>
        <v>24363.46</v>
      </c>
    </row>
    <row r="144" spans="1:22">
      <c r="A144" s="972">
        <v>2005.03</v>
      </c>
      <c r="B144" s="223">
        <v>157</v>
      </c>
      <c r="C144" s="1398">
        <v>136</v>
      </c>
      <c r="D144" s="1446"/>
      <c r="E144" s="1398">
        <v>399.89</v>
      </c>
      <c r="F144" s="223">
        <v>886.59</v>
      </c>
      <c r="G144" s="3614"/>
      <c r="H144" s="2364">
        <f t="shared" si="8"/>
        <v>886.59</v>
      </c>
      <c r="I144" s="223">
        <v>11059.03</v>
      </c>
      <c r="J144" s="1447"/>
      <c r="K144" s="1602">
        <f t="shared" si="9"/>
        <v>11059.03</v>
      </c>
      <c r="L144" s="947">
        <v>112400.63</v>
      </c>
      <c r="M144" s="190">
        <v>3129.5</v>
      </c>
      <c r="N144" s="1335"/>
      <c r="O144" s="2394">
        <f t="shared" si="10"/>
        <v>115530.13</v>
      </c>
      <c r="P144" s="1398">
        <v>3775.46</v>
      </c>
      <c r="Q144" s="1398">
        <v>17409.849999999999</v>
      </c>
      <c r="R144" s="1398">
        <v>6920.33</v>
      </c>
      <c r="S144" s="1335"/>
      <c r="T144" s="668"/>
      <c r="U144" s="1354"/>
      <c r="V144" s="2365">
        <f t="shared" si="11"/>
        <v>28105.64</v>
      </c>
    </row>
    <row r="145" spans="1:22">
      <c r="A145" s="972">
        <v>2005.04</v>
      </c>
      <c r="B145" s="223">
        <v>67</v>
      </c>
      <c r="C145" s="1398">
        <v>93</v>
      </c>
      <c r="D145" s="1446"/>
      <c r="E145" s="1398">
        <v>1039.9000000000001</v>
      </c>
      <c r="F145" s="223">
        <v>110.66</v>
      </c>
      <c r="G145" s="3614"/>
      <c r="H145" s="2364">
        <f t="shared" si="8"/>
        <v>110.66</v>
      </c>
      <c r="I145" s="223">
        <v>16680.455999999998</v>
      </c>
      <c r="J145" s="1447"/>
      <c r="K145" s="1602">
        <f t="shared" si="9"/>
        <v>16680.455999999998</v>
      </c>
      <c r="L145" s="947">
        <v>113796.35</v>
      </c>
      <c r="M145" s="190">
        <v>3136.7</v>
      </c>
      <c r="N145" s="1335"/>
      <c r="O145" s="2394">
        <f t="shared" si="10"/>
        <v>116933.05</v>
      </c>
      <c r="P145" s="1398">
        <v>3410.32</v>
      </c>
      <c r="Q145" s="1398">
        <v>16155.3</v>
      </c>
      <c r="R145" s="1398">
        <v>6228.04</v>
      </c>
      <c r="S145" s="1335"/>
      <c r="T145" s="668"/>
      <c r="U145" s="1354"/>
      <c r="V145" s="2365">
        <f t="shared" si="11"/>
        <v>25793.66</v>
      </c>
    </row>
    <row r="146" spans="1:22">
      <c r="A146" s="972">
        <v>2005.05</v>
      </c>
      <c r="B146" s="223">
        <v>32</v>
      </c>
      <c r="C146" s="1398">
        <v>32</v>
      </c>
      <c r="D146" s="1446"/>
      <c r="E146" s="1398">
        <v>1137.7</v>
      </c>
      <c r="F146" s="223">
        <v>1019.15</v>
      </c>
      <c r="G146" s="3614"/>
      <c r="H146" s="2364">
        <f t="shared" si="8"/>
        <v>1019.15</v>
      </c>
      <c r="I146" s="223">
        <v>10697.23</v>
      </c>
      <c r="J146" s="1447"/>
      <c r="K146" s="1602">
        <f t="shared" si="9"/>
        <v>10697.23</v>
      </c>
      <c r="L146" s="947">
        <v>103454.33</v>
      </c>
      <c r="M146" s="190">
        <v>3147.98</v>
      </c>
      <c r="N146" s="1335"/>
      <c r="O146" s="2394">
        <f t="shared" si="10"/>
        <v>106602.31</v>
      </c>
      <c r="P146" s="1398">
        <v>3455.85</v>
      </c>
      <c r="Q146" s="1398">
        <v>16591.900000000001</v>
      </c>
      <c r="R146" s="1398">
        <v>8341.6</v>
      </c>
      <c r="S146" s="1335"/>
      <c r="T146" s="668"/>
      <c r="U146" s="1354"/>
      <c r="V146" s="2365">
        <f t="shared" si="11"/>
        <v>28389.35</v>
      </c>
    </row>
    <row r="147" spans="1:22">
      <c r="A147" s="972">
        <v>2005.06</v>
      </c>
      <c r="B147" s="223">
        <v>92</v>
      </c>
      <c r="C147" s="1398">
        <v>34</v>
      </c>
      <c r="D147" s="1446"/>
      <c r="E147" s="1398">
        <v>1761.73</v>
      </c>
      <c r="F147" s="223">
        <v>1405.94</v>
      </c>
      <c r="G147" s="3614"/>
      <c r="H147" s="2364">
        <f t="shared" si="8"/>
        <v>1405.94</v>
      </c>
      <c r="I147" s="223">
        <v>34897.72</v>
      </c>
      <c r="J147" s="1447"/>
      <c r="K147" s="1602">
        <f t="shared" si="9"/>
        <v>34897.72</v>
      </c>
      <c r="L147" s="947">
        <v>100761.76</v>
      </c>
      <c r="M147" s="190">
        <v>3283.46</v>
      </c>
      <c r="N147" s="1335"/>
      <c r="O147" s="2394">
        <f t="shared" si="10"/>
        <v>104045.22</v>
      </c>
      <c r="P147" s="1398">
        <v>3335.11</v>
      </c>
      <c r="Q147" s="1398">
        <v>16705.439999999999</v>
      </c>
      <c r="R147" s="1398">
        <v>6735.22</v>
      </c>
      <c r="S147" s="1335"/>
      <c r="T147" s="668"/>
      <c r="U147" s="1354"/>
      <c r="V147" s="2365">
        <f t="shared" si="11"/>
        <v>26775.77</v>
      </c>
    </row>
    <row r="148" spans="1:22">
      <c r="A148" s="972">
        <v>2005.07</v>
      </c>
      <c r="B148" s="223">
        <v>17</v>
      </c>
      <c r="C148" s="1398">
        <v>39</v>
      </c>
      <c r="D148" s="1446"/>
      <c r="E148" s="1398">
        <v>2370.7199999999998</v>
      </c>
      <c r="F148" s="223">
        <v>812.3</v>
      </c>
      <c r="G148" s="3614"/>
      <c r="H148" s="2364">
        <f t="shared" si="8"/>
        <v>812.3</v>
      </c>
      <c r="I148" s="223">
        <v>24808.04</v>
      </c>
      <c r="J148" s="1447"/>
      <c r="K148" s="1602">
        <f t="shared" si="9"/>
        <v>24808.04</v>
      </c>
      <c r="L148" s="947">
        <v>110743.17</v>
      </c>
      <c r="M148" s="190">
        <v>3299.04</v>
      </c>
      <c r="N148" s="1335"/>
      <c r="O148" s="2394">
        <f t="shared" si="10"/>
        <v>114042.20999999999</v>
      </c>
      <c r="P148" s="1398">
        <v>3666.03</v>
      </c>
      <c r="Q148" s="1398">
        <v>17542.03</v>
      </c>
      <c r="R148" s="1398">
        <v>7696.52</v>
      </c>
      <c r="S148" s="1335"/>
      <c r="T148" s="668"/>
      <c r="U148" s="1354"/>
      <c r="V148" s="2365">
        <f t="shared" si="11"/>
        <v>28904.579999999998</v>
      </c>
    </row>
    <row r="149" spans="1:22">
      <c r="A149" s="972">
        <v>2005.08</v>
      </c>
      <c r="B149" s="223">
        <v>57</v>
      </c>
      <c r="C149" s="1398">
        <v>59</v>
      </c>
      <c r="D149" s="1446"/>
      <c r="E149" s="1398">
        <v>1399.94</v>
      </c>
      <c r="F149" s="223">
        <v>1208.3800000000001</v>
      </c>
      <c r="G149" s="3614"/>
      <c r="H149" s="2364">
        <f t="shared" si="8"/>
        <v>1208.3800000000001</v>
      </c>
      <c r="I149" s="223">
        <v>16975.599999999999</v>
      </c>
      <c r="J149" s="1447"/>
      <c r="K149" s="1602">
        <f t="shared" si="9"/>
        <v>16975.599999999999</v>
      </c>
      <c r="L149" s="947">
        <v>108354.82</v>
      </c>
      <c r="M149" s="190">
        <v>3321.1</v>
      </c>
      <c r="N149" s="1335"/>
      <c r="O149" s="2394">
        <f t="shared" si="10"/>
        <v>111675.92000000001</v>
      </c>
      <c r="P149" s="1398">
        <v>3469.5</v>
      </c>
      <c r="Q149" s="1398">
        <v>18172.349999999999</v>
      </c>
      <c r="R149" s="1398">
        <v>8056.05</v>
      </c>
      <c r="S149" s="1335"/>
      <c r="T149" s="668"/>
      <c r="U149" s="1354"/>
      <c r="V149" s="2365">
        <f t="shared" si="11"/>
        <v>29697.899999999998</v>
      </c>
    </row>
    <row r="150" spans="1:22">
      <c r="A150" s="972">
        <v>2005.09</v>
      </c>
      <c r="B150" s="223">
        <v>32</v>
      </c>
      <c r="C150" s="1398">
        <v>64</v>
      </c>
      <c r="D150" s="1446"/>
      <c r="E150" s="1398">
        <v>976.58</v>
      </c>
      <c r="F150" s="223">
        <v>1665.15</v>
      </c>
      <c r="G150" s="3614"/>
      <c r="H150" s="2364">
        <f t="shared" si="8"/>
        <v>1665.15</v>
      </c>
      <c r="I150" s="223">
        <v>15028.3</v>
      </c>
      <c r="J150" s="1447"/>
      <c r="K150" s="1602">
        <f t="shared" si="9"/>
        <v>15028.3</v>
      </c>
      <c r="L150" s="947">
        <v>119570.47</v>
      </c>
      <c r="M150" s="190">
        <v>19698.810000000001</v>
      </c>
      <c r="N150" s="1335"/>
      <c r="O150" s="2394">
        <f t="shared" si="10"/>
        <v>139269.28</v>
      </c>
      <c r="P150" s="1398">
        <v>3486.48</v>
      </c>
      <c r="Q150" s="1398">
        <v>17732.169999999998</v>
      </c>
      <c r="R150" s="1398">
        <v>7736.89</v>
      </c>
      <c r="S150" s="1335"/>
      <c r="T150" s="668"/>
      <c r="U150" s="1354"/>
      <c r="V150" s="2365">
        <f t="shared" si="11"/>
        <v>28955.539999999997</v>
      </c>
    </row>
    <row r="151" spans="1:22">
      <c r="A151" s="972">
        <v>2005.1</v>
      </c>
      <c r="B151" s="223">
        <v>86</v>
      </c>
      <c r="C151" s="1398">
        <v>99</v>
      </c>
      <c r="D151" s="1446"/>
      <c r="E151" s="1398">
        <v>272.97899999999998</v>
      </c>
      <c r="F151" s="223">
        <v>1226.57</v>
      </c>
      <c r="G151" s="3614"/>
      <c r="H151" s="2364">
        <f t="shared" si="8"/>
        <v>1226.57</v>
      </c>
      <c r="I151" s="223">
        <v>3158.05</v>
      </c>
      <c r="J151" s="1447"/>
      <c r="K151" s="1602">
        <f t="shared" si="9"/>
        <v>3158.05</v>
      </c>
      <c r="L151" s="947">
        <v>115486.8</v>
      </c>
      <c r="M151" s="190">
        <v>3178.15</v>
      </c>
      <c r="N151" s="1335"/>
      <c r="O151" s="2394">
        <f t="shared" si="10"/>
        <v>118664.95</v>
      </c>
      <c r="P151" s="1398">
        <v>3738.22</v>
      </c>
      <c r="Q151" s="1398">
        <v>19185.02</v>
      </c>
      <c r="R151" s="1398">
        <v>8401.31</v>
      </c>
      <c r="S151" s="1335"/>
      <c r="T151" s="668"/>
      <c r="U151" s="1354"/>
      <c r="V151" s="2365">
        <f t="shared" si="11"/>
        <v>31324.550000000003</v>
      </c>
    </row>
    <row r="152" spans="1:22">
      <c r="A152" s="972">
        <v>2005.11</v>
      </c>
      <c r="B152" s="223">
        <v>125</v>
      </c>
      <c r="C152" s="1398">
        <v>56</v>
      </c>
      <c r="D152" s="1446"/>
      <c r="E152" s="1398">
        <v>331.66399999999999</v>
      </c>
      <c r="F152" s="223">
        <v>1379.2</v>
      </c>
      <c r="G152" s="3614"/>
      <c r="H152" s="2364">
        <f t="shared" si="8"/>
        <v>1379.2</v>
      </c>
      <c r="I152" s="223">
        <v>11898.06</v>
      </c>
      <c r="J152" s="1447"/>
      <c r="K152" s="1602">
        <f t="shared" si="9"/>
        <v>11898.06</v>
      </c>
      <c r="L152" s="947">
        <v>126333.03</v>
      </c>
      <c r="M152" s="190">
        <v>18237.64</v>
      </c>
      <c r="N152" s="1335"/>
      <c r="O152" s="2394">
        <f t="shared" si="10"/>
        <v>144570.66999999998</v>
      </c>
      <c r="P152" s="1398">
        <v>3477.63</v>
      </c>
      <c r="Q152" s="1398">
        <v>18173.11</v>
      </c>
      <c r="R152" s="1398">
        <v>8969.0499999999993</v>
      </c>
      <c r="S152" s="1335"/>
      <c r="T152" s="668"/>
      <c r="U152" s="1354"/>
      <c r="V152" s="2365">
        <f t="shared" si="11"/>
        <v>30619.79</v>
      </c>
    </row>
    <row r="153" spans="1:22">
      <c r="A153" s="972">
        <v>2005.12</v>
      </c>
      <c r="B153" s="223">
        <v>118</v>
      </c>
      <c r="C153" s="1398">
        <v>155</v>
      </c>
      <c r="D153" s="1446"/>
      <c r="E153" s="1398">
        <v>301.55599999999998</v>
      </c>
      <c r="F153" s="223">
        <v>1426.16</v>
      </c>
      <c r="G153" s="3614"/>
      <c r="H153" s="2364">
        <f t="shared" si="8"/>
        <v>1426.16</v>
      </c>
      <c r="I153" s="223">
        <v>4103.6499999999996</v>
      </c>
      <c r="J153" s="1447"/>
      <c r="K153" s="1602">
        <f t="shared" si="9"/>
        <v>4103.6499999999996</v>
      </c>
      <c r="L153" s="947">
        <v>116390.21</v>
      </c>
      <c r="M153" s="190">
        <v>18409.32</v>
      </c>
      <c r="N153" s="1335"/>
      <c r="O153" s="2394">
        <f t="shared" si="10"/>
        <v>134799.53</v>
      </c>
      <c r="P153" s="1398">
        <v>3575.8</v>
      </c>
      <c r="Q153" s="1398">
        <v>17587.18</v>
      </c>
      <c r="R153" s="1398">
        <v>9738.18</v>
      </c>
      <c r="S153" s="1335"/>
      <c r="T153" s="668"/>
      <c r="U153" s="1354"/>
      <c r="V153" s="2365">
        <f t="shared" si="11"/>
        <v>30901.16</v>
      </c>
    </row>
    <row r="154" spans="1:22">
      <c r="A154" s="972">
        <v>2006.01</v>
      </c>
      <c r="B154" s="223">
        <v>80</v>
      </c>
      <c r="C154" s="1398">
        <v>178</v>
      </c>
      <c r="D154" s="1446"/>
      <c r="E154" s="1398">
        <v>379.62099999999998</v>
      </c>
      <c r="F154" s="223">
        <v>962.11</v>
      </c>
      <c r="G154" s="3614"/>
      <c r="H154" s="2364">
        <f t="shared" si="8"/>
        <v>962.11</v>
      </c>
      <c r="I154" s="223">
        <v>13486.4</v>
      </c>
      <c r="J154" s="1447"/>
      <c r="K154" s="1602">
        <f t="shared" si="9"/>
        <v>13486.4</v>
      </c>
      <c r="L154" s="947">
        <v>100632.33</v>
      </c>
      <c r="M154" s="190">
        <v>3094.55</v>
      </c>
      <c r="N154" s="1335"/>
      <c r="O154" s="2394">
        <f t="shared" si="10"/>
        <v>103726.88</v>
      </c>
      <c r="P154" s="1398">
        <v>3409.31</v>
      </c>
      <c r="Q154" s="1398">
        <v>19991.89</v>
      </c>
      <c r="R154" s="1398">
        <v>9183.09</v>
      </c>
      <c r="S154" s="1335"/>
      <c r="T154" s="668"/>
      <c r="U154" s="1354"/>
      <c r="V154" s="2365">
        <f t="shared" si="11"/>
        <v>32584.29</v>
      </c>
    </row>
    <row r="155" spans="1:22">
      <c r="A155" s="972">
        <v>2006.02</v>
      </c>
      <c r="B155" s="223">
        <v>108</v>
      </c>
      <c r="C155" s="1398">
        <v>265</v>
      </c>
      <c r="D155" s="1446"/>
      <c r="E155" s="1398">
        <v>331.1</v>
      </c>
      <c r="F155" s="223">
        <v>870.32</v>
      </c>
      <c r="G155" s="3614"/>
      <c r="H155" s="2364">
        <f t="shared" si="8"/>
        <v>870.32</v>
      </c>
      <c r="I155" s="223">
        <v>4845.22</v>
      </c>
      <c r="J155" s="1447"/>
      <c r="K155" s="1602">
        <f t="shared" si="9"/>
        <v>4845.22</v>
      </c>
      <c r="L155" s="947">
        <v>91885.69</v>
      </c>
      <c r="M155" s="190">
        <v>2949.14</v>
      </c>
      <c r="N155" s="1335"/>
      <c r="O155" s="2394">
        <f t="shared" si="10"/>
        <v>94834.83</v>
      </c>
      <c r="P155" s="1398">
        <v>3184.22</v>
      </c>
      <c r="Q155" s="1398">
        <v>18176.77</v>
      </c>
      <c r="R155" s="1398">
        <v>8730.75</v>
      </c>
      <c r="S155" s="1335"/>
      <c r="T155" s="668"/>
      <c r="U155" s="1354"/>
      <c r="V155" s="2365">
        <f t="shared" si="11"/>
        <v>30091.74</v>
      </c>
    </row>
    <row r="156" spans="1:22">
      <c r="A156" s="972">
        <v>2006.03</v>
      </c>
      <c r="B156" s="223">
        <v>140</v>
      </c>
      <c r="C156" s="1398">
        <v>110</v>
      </c>
      <c r="D156" s="1446"/>
      <c r="E156" s="1398">
        <v>408.20200000000006</v>
      </c>
      <c r="F156" s="223">
        <v>1044.1199999999999</v>
      </c>
      <c r="G156" s="3614"/>
      <c r="H156" s="2364">
        <f t="shared" si="8"/>
        <v>1044.1199999999999</v>
      </c>
      <c r="I156" s="223">
        <v>3613.8</v>
      </c>
      <c r="J156" s="1447"/>
      <c r="K156" s="1602">
        <f t="shared" si="9"/>
        <v>3613.8</v>
      </c>
      <c r="L156" s="947">
        <v>115577.68</v>
      </c>
      <c r="M156" s="190">
        <v>3446.7</v>
      </c>
      <c r="N156" s="1335"/>
      <c r="O156" s="2394">
        <f t="shared" si="10"/>
        <v>119024.37999999999</v>
      </c>
      <c r="P156" s="1398">
        <v>3490.4</v>
      </c>
      <c r="Q156" s="1398">
        <v>20353.75</v>
      </c>
      <c r="R156" s="1398">
        <v>9793.33</v>
      </c>
      <c r="S156" s="1335"/>
      <c r="T156" s="668"/>
      <c r="U156" s="1354"/>
      <c r="V156" s="2365">
        <f t="shared" si="11"/>
        <v>33637.480000000003</v>
      </c>
    </row>
    <row r="157" spans="1:22">
      <c r="A157" s="972">
        <v>2006.04</v>
      </c>
      <c r="B157" s="223">
        <v>129</v>
      </c>
      <c r="C157" s="1398">
        <v>57</v>
      </c>
      <c r="D157" s="1446"/>
      <c r="E157" s="1398">
        <v>767.03499999999997</v>
      </c>
      <c r="F157" s="223">
        <v>436.07</v>
      </c>
      <c r="G157" s="3614"/>
      <c r="H157" s="2364">
        <f t="shared" si="8"/>
        <v>436.07</v>
      </c>
      <c r="I157" s="223">
        <v>19571.43</v>
      </c>
      <c r="J157" s="1447"/>
      <c r="K157" s="1602">
        <f t="shared" si="9"/>
        <v>19571.43</v>
      </c>
      <c r="L157" s="947">
        <v>113753.24</v>
      </c>
      <c r="M157" s="190">
        <v>3164.04</v>
      </c>
      <c r="N157" s="1335"/>
      <c r="O157" s="2394">
        <f t="shared" si="10"/>
        <v>116917.28</v>
      </c>
      <c r="P157" s="1398">
        <v>2875.28</v>
      </c>
      <c r="Q157" s="1398">
        <v>19579.96</v>
      </c>
      <c r="R157" s="1398">
        <v>9799.82</v>
      </c>
      <c r="S157" s="1335"/>
      <c r="T157" s="668"/>
      <c r="U157" s="1354"/>
      <c r="V157" s="2365">
        <f t="shared" si="11"/>
        <v>32255.059999999998</v>
      </c>
    </row>
    <row r="158" spans="1:22">
      <c r="A158" s="972">
        <v>2006.05</v>
      </c>
      <c r="B158" s="223">
        <v>83</v>
      </c>
      <c r="C158" s="1398">
        <v>41</v>
      </c>
      <c r="D158" s="1446"/>
      <c r="E158" s="1398">
        <v>1930.903</v>
      </c>
      <c r="F158" s="223">
        <v>156.76</v>
      </c>
      <c r="G158" s="3614"/>
      <c r="H158" s="2364">
        <f t="shared" si="8"/>
        <v>156.76</v>
      </c>
      <c r="I158" s="223">
        <v>5308</v>
      </c>
      <c r="J158" s="1447"/>
      <c r="K158" s="1602">
        <f t="shared" si="9"/>
        <v>5308</v>
      </c>
      <c r="L158" s="947">
        <v>120688.3</v>
      </c>
      <c r="M158" s="190">
        <v>3279.08</v>
      </c>
      <c r="N158" s="1335"/>
      <c r="O158" s="2394">
        <f t="shared" si="10"/>
        <v>123967.38</v>
      </c>
      <c r="P158" s="1398">
        <v>3076.92</v>
      </c>
      <c r="Q158" s="1398">
        <v>19562.669999999998</v>
      </c>
      <c r="R158" s="1398">
        <v>10287.209999999999</v>
      </c>
      <c r="S158" s="1335"/>
      <c r="T158" s="668"/>
      <c r="U158" s="1354"/>
      <c r="V158" s="2365">
        <f t="shared" si="11"/>
        <v>32926.799999999996</v>
      </c>
    </row>
    <row r="159" spans="1:22">
      <c r="A159" s="972">
        <v>2006.06</v>
      </c>
      <c r="B159" s="223">
        <v>31</v>
      </c>
      <c r="C159" s="1398">
        <v>41</v>
      </c>
      <c r="D159" s="1446"/>
      <c r="E159" s="1398">
        <v>2334.1480000000001</v>
      </c>
      <c r="F159" s="223">
        <v>234.32</v>
      </c>
      <c r="G159" s="3614"/>
      <c r="H159" s="2364">
        <f t="shared" si="8"/>
        <v>234.32</v>
      </c>
      <c r="I159" s="223">
        <v>11016.93</v>
      </c>
      <c r="J159" s="1447"/>
      <c r="K159" s="1602">
        <f t="shared" si="9"/>
        <v>11016.93</v>
      </c>
      <c r="L159" s="947">
        <v>119629.1</v>
      </c>
      <c r="M159" s="190">
        <v>3320.63</v>
      </c>
      <c r="N159" s="1335"/>
      <c r="O159" s="2394">
        <f t="shared" si="10"/>
        <v>122949.73000000001</v>
      </c>
      <c r="P159" s="1398">
        <v>2666.78</v>
      </c>
      <c r="Q159" s="1398">
        <v>17986.419999999998</v>
      </c>
      <c r="R159" s="1398">
        <v>9585.68</v>
      </c>
      <c r="S159" s="1335"/>
      <c r="T159" s="668"/>
      <c r="U159" s="1354"/>
      <c r="V159" s="2365">
        <f t="shared" si="11"/>
        <v>30238.879999999997</v>
      </c>
    </row>
    <row r="160" spans="1:22">
      <c r="A160" s="972">
        <v>2006.07</v>
      </c>
      <c r="B160" s="223">
        <v>38</v>
      </c>
      <c r="C160" s="1398">
        <v>73</v>
      </c>
      <c r="D160" s="1446"/>
      <c r="E160" s="1398">
        <v>1480.396</v>
      </c>
      <c r="F160" s="223">
        <v>175.1</v>
      </c>
      <c r="G160" s="3614"/>
      <c r="H160" s="2364">
        <f t="shared" si="8"/>
        <v>175.1</v>
      </c>
      <c r="I160" s="223">
        <v>21076.04</v>
      </c>
      <c r="J160" s="1447"/>
      <c r="K160" s="1602">
        <f t="shared" si="9"/>
        <v>21076.04</v>
      </c>
      <c r="L160" s="947">
        <v>111414.66</v>
      </c>
      <c r="M160" s="190">
        <v>3166.79</v>
      </c>
      <c r="N160" s="1335"/>
      <c r="O160" s="2394">
        <f t="shared" si="10"/>
        <v>114581.45</v>
      </c>
      <c r="P160" s="1398">
        <v>2777.34</v>
      </c>
      <c r="Q160" s="1398">
        <v>19250.62</v>
      </c>
      <c r="R160" s="1398">
        <v>10625.55</v>
      </c>
      <c r="S160" s="1335"/>
      <c r="T160" s="668"/>
      <c r="U160" s="1354"/>
      <c r="V160" s="2365">
        <f t="shared" si="11"/>
        <v>32653.51</v>
      </c>
    </row>
    <row r="161" spans="1:22">
      <c r="A161" s="972">
        <v>2006.08</v>
      </c>
      <c r="B161" s="223">
        <v>202</v>
      </c>
      <c r="C161" s="1398">
        <v>75</v>
      </c>
      <c r="D161" s="1446"/>
      <c r="E161" s="1398">
        <v>2131.8000000000002</v>
      </c>
      <c r="F161" s="223">
        <v>254.67</v>
      </c>
      <c r="G161" s="3614"/>
      <c r="H161" s="2364">
        <f t="shared" si="8"/>
        <v>254.67</v>
      </c>
      <c r="I161" s="223">
        <v>13414.88</v>
      </c>
      <c r="J161" s="1447"/>
      <c r="K161" s="1602">
        <f t="shared" si="9"/>
        <v>13414.88</v>
      </c>
      <c r="L161" s="947">
        <v>112401.84</v>
      </c>
      <c r="M161" s="190">
        <v>3752.16</v>
      </c>
      <c r="N161" s="1335"/>
      <c r="O161" s="2394">
        <f t="shared" si="10"/>
        <v>116154</v>
      </c>
      <c r="P161" s="1398">
        <v>2743.57</v>
      </c>
      <c r="Q161" s="1398">
        <v>20407.82</v>
      </c>
      <c r="R161" s="1398">
        <v>11990.09</v>
      </c>
      <c r="S161" s="1335"/>
      <c r="T161" s="668"/>
      <c r="U161" s="1354"/>
      <c r="V161" s="2365">
        <f t="shared" si="11"/>
        <v>35141.479999999996</v>
      </c>
    </row>
    <row r="162" spans="1:22">
      <c r="A162" s="972">
        <v>2006.09</v>
      </c>
      <c r="B162" s="223">
        <v>279</v>
      </c>
      <c r="C162" s="1398">
        <v>35</v>
      </c>
      <c r="D162" s="1446"/>
      <c r="E162" s="1398">
        <v>1043.577</v>
      </c>
      <c r="F162" s="223">
        <v>707.18</v>
      </c>
      <c r="G162" s="3614"/>
      <c r="H162" s="2364">
        <f t="shared" si="8"/>
        <v>707.18</v>
      </c>
      <c r="I162" s="223">
        <v>10660.72</v>
      </c>
      <c r="J162" s="1447"/>
      <c r="K162" s="1602">
        <f t="shared" si="9"/>
        <v>10660.72</v>
      </c>
      <c r="L162" s="947">
        <v>113458.25</v>
      </c>
      <c r="M162" s="190">
        <v>4310.26</v>
      </c>
      <c r="N162" s="1335"/>
      <c r="O162" s="2394">
        <f t="shared" si="10"/>
        <v>117768.51</v>
      </c>
      <c r="P162" s="1398">
        <v>2738.26</v>
      </c>
      <c r="Q162" s="1398">
        <v>19683.560000000001</v>
      </c>
      <c r="R162" s="1398">
        <v>11192.7</v>
      </c>
      <c r="S162" s="1335"/>
      <c r="T162" s="668"/>
      <c r="U162" s="1354"/>
      <c r="V162" s="2365">
        <f t="shared" si="11"/>
        <v>33614.520000000004</v>
      </c>
    </row>
    <row r="163" spans="1:22">
      <c r="A163" s="972">
        <v>2006.1</v>
      </c>
      <c r="B163" s="223">
        <v>340</v>
      </c>
      <c r="C163" s="1398">
        <v>129</v>
      </c>
      <c r="D163" s="1446"/>
      <c r="E163" s="1398">
        <v>607</v>
      </c>
      <c r="F163" s="223">
        <v>204.48</v>
      </c>
      <c r="G163" s="3614"/>
      <c r="H163" s="2364">
        <f t="shared" si="8"/>
        <v>204.48</v>
      </c>
      <c r="I163" s="223">
        <v>2887.6</v>
      </c>
      <c r="J163" s="1447"/>
      <c r="K163" s="1602">
        <f t="shared" si="9"/>
        <v>2887.6</v>
      </c>
      <c r="L163" s="947">
        <v>119232.36</v>
      </c>
      <c r="M163" s="190">
        <v>4251.5</v>
      </c>
      <c r="N163" s="1335"/>
      <c r="O163" s="2394">
        <f t="shared" si="10"/>
        <v>123483.86</v>
      </c>
      <c r="P163" s="1398">
        <v>2310.83</v>
      </c>
      <c r="Q163" s="1398">
        <v>19630.61</v>
      </c>
      <c r="R163" s="1398">
        <v>12058.21</v>
      </c>
      <c r="S163" s="1335"/>
      <c r="T163" s="668"/>
      <c r="U163" s="1354"/>
      <c r="V163" s="2365">
        <f t="shared" si="11"/>
        <v>33999.65</v>
      </c>
    </row>
    <row r="164" spans="1:22">
      <c r="A164" s="972">
        <v>2006.11</v>
      </c>
      <c r="B164" s="223">
        <v>385</v>
      </c>
      <c r="C164" s="1398">
        <v>147</v>
      </c>
      <c r="D164" s="1446"/>
      <c r="E164" s="1398">
        <v>643.4</v>
      </c>
      <c r="F164" s="223">
        <v>448.09</v>
      </c>
      <c r="G164" s="3614"/>
      <c r="H164" s="2364">
        <f t="shared" si="8"/>
        <v>448.09</v>
      </c>
      <c r="I164" s="223">
        <v>14293.1</v>
      </c>
      <c r="J164" s="1447"/>
      <c r="K164" s="1602">
        <f t="shared" si="9"/>
        <v>14293.1</v>
      </c>
      <c r="L164" s="947">
        <v>125717.53</v>
      </c>
      <c r="M164" s="190">
        <v>4353.66</v>
      </c>
      <c r="N164" s="1335"/>
      <c r="O164" s="2394">
        <f t="shared" si="10"/>
        <v>130071.19</v>
      </c>
      <c r="P164" s="1398">
        <v>2255.56</v>
      </c>
      <c r="Q164" s="1398">
        <v>19368.78</v>
      </c>
      <c r="R164" s="1398">
        <v>11760.54</v>
      </c>
      <c r="S164" s="1335"/>
      <c r="T164" s="668"/>
      <c r="U164" s="1354"/>
      <c r="V164" s="2365">
        <f t="shared" si="11"/>
        <v>33384.880000000005</v>
      </c>
    </row>
    <row r="165" spans="1:22">
      <c r="A165" s="972">
        <v>2006.12</v>
      </c>
      <c r="B165" s="223">
        <v>346</v>
      </c>
      <c r="C165" s="1398">
        <v>158</v>
      </c>
      <c r="D165" s="1446"/>
      <c r="E165" s="1398">
        <v>359</v>
      </c>
      <c r="F165" s="223">
        <v>157.16999999999999</v>
      </c>
      <c r="G165" s="3614"/>
      <c r="H165" s="2364">
        <f t="shared" si="8"/>
        <v>157.16999999999999</v>
      </c>
      <c r="I165" s="223">
        <v>6813</v>
      </c>
      <c r="J165" s="1447"/>
      <c r="K165" s="1602">
        <f t="shared" si="9"/>
        <v>6813</v>
      </c>
      <c r="L165" s="947">
        <v>115996.36</v>
      </c>
      <c r="M165" s="190">
        <v>4350.8900000000003</v>
      </c>
      <c r="N165" s="1335"/>
      <c r="O165" s="2394">
        <f t="shared" si="10"/>
        <v>120347.25</v>
      </c>
      <c r="P165" s="1398">
        <v>2156.5</v>
      </c>
      <c r="Q165" s="1398">
        <v>21820.62</v>
      </c>
      <c r="R165" s="1398">
        <v>13649.42</v>
      </c>
      <c r="S165" s="1335"/>
      <c r="T165" s="668"/>
      <c r="U165" s="1354"/>
      <c r="V165" s="2365">
        <f t="shared" si="11"/>
        <v>37626.54</v>
      </c>
    </row>
    <row r="166" spans="1:22">
      <c r="A166" s="972">
        <v>2007.01</v>
      </c>
      <c r="B166" s="223">
        <v>480</v>
      </c>
      <c r="C166" s="1398">
        <v>256</v>
      </c>
      <c r="D166" s="1446"/>
      <c r="E166" s="1398">
        <v>351.4</v>
      </c>
      <c r="F166" s="223">
        <v>195.49</v>
      </c>
      <c r="G166" s="3614"/>
      <c r="H166" s="2364">
        <f t="shared" si="8"/>
        <v>195.49</v>
      </c>
      <c r="I166" s="223">
        <v>2691.16</v>
      </c>
      <c r="J166" s="1447"/>
      <c r="K166" s="1602">
        <f t="shared" si="9"/>
        <v>2691.16</v>
      </c>
      <c r="L166" s="947">
        <v>106978.06</v>
      </c>
      <c r="M166" s="190">
        <v>3706.46</v>
      </c>
      <c r="N166" s="1335"/>
      <c r="O166" s="2394">
        <f t="shared" si="10"/>
        <v>110684.52</v>
      </c>
      <c r="P166" s="1398">
        <v>2187.13</v>
      </c>
      <c r="Q166" s="1398">
        <v>21276.61</v>
      </c>
      <c r="R166" s="1398">
        <v>13100.7</v>
      </c>
      <c r="S166" s="1335"/>
      <c r="T166" s="668"/>
      <c r="U166" s="1354"/>
      <c r="V166" s="2365">
        <f t="shared" si="11"/>
        <v>36564.44</v>
      </c>
    </row>
    <row r="167" spans="1:22">
      <c r="A167" s="972">
        <v>2007.02</v>
      </c>
      <c r="B167" s="223">
        <v>344</v>
      </c>
      <c r="C167" s="1398">
        <v>208</v>
      </c>
      <c r="D167" s="1446"/>
      <c r="E167" s="1398">
        <v>392.84</v>
      </c>
      <c r="F167" s="223">
        <v>162.25</v>
      </c>
      <c r="G167" s="3614"/>
      <c r="H167" s="2364">
        <f t="shared" si="8"/>
        <v>162.25</v>
      </c>
      <c r="I167" s="223">
        <v>2783.52</v>
      </c>
      <c r="J167" s="1447"/>
      <c r="K167" s="1602">
        <f t="shared" si="9"/>
        <v>2783.52</v>
      </c>
      <c r="L167" s="947">
        <v>104437.61</v>
      </c>
      <c r="M167" s="190">
        <v>3626.43</v>
      </c>
      <c r="N167" s="1335"/>
      <c r="O167" s="2394">
        <f t="shared" si="10"/>
        <v>108064.04</v>
      </c>
      <c r="P167" s="1398">
        <v>1897.07</v>
      </c>
      <c r="Q167" s="1398">
        <v>19110.11</v>
      </c>
      <c r="R167" s="1398">
        <v>12287.61</v>
      </c>
      <c r="S167" s="1335"/>
      <c r="T167" s="668"/>
      <c r="U167" s="1354"/>
      <c r="V167" s="2365">
        <f t="shared" si="11"/>
        <v>33294.79</v>
      </c>
    </row>
    <row r="168" spans="1:22">
      <c r="A168" s="972">
        <v>2007.03</v>
      </c>
      <c r="B168" s="223">
        <v>399</v>
      </c>
      <c r="C168" s="1398">
        <v>118</v>
      </c>
      <c r="D168" s="1446"/>
      <c r="E168" s="1398">
        <v>584</v>
      </c>
      <c r="F168" s="223">
        <v>266</v>
      </c>
      <c r="G168" s="3614"/>
      <c r="H168" s="2364">
        <f t="shared" si="8"/>
        <v>266</v>
      </c>
      <c r="I168" s="223">
        <v>2331</v>
      </c>
      <c r="J168" s="1447"/>
      <c r="K168" s="1602">
        <f t="shared" si="9"/>
        <v>2331</v>
      </c>
      <c r="L168" s="947">
        <v>120930</v>
      </c>
      <c r="M168" s="190">
        <v>4264</v>
      </c>
      <c r="N168" s="1335"/>
      <c r="O168" s="2394">
        <f t="shared" si="10"/>
        <v>125194</v>
      </c>
      <c r="P168" s="1398">
        <v>1890</v>
      </c>
      <c r="Q168" s="1398">
        <v>20292</v>
      </c>
      <c r="R168" s="1398">
        <v>13762</v>
      </c>
      <c r="S168" s="1335"/>
      <c r="T168" s="668"/>
      <c r="U168" s="1354"/>
      <c r="V168" s="2365">
        <f t="shared" si="11"/>
        <v>35944</v>
      </c>
    </row>
    <row r="169" spans="1:22">
      <c r="A169" s="972">
        <v>2007.04</v>
      </c>
      <c r="B169" s="223">
        <v>255</v>
      </c>
      <c r="C169" s="1398">
        <v>24</v>
      </c>
      <c r="D169" s="1446"/>
      <c r="E169" s="1398">
        <v>813</v>
      </c>
      <c r="F169" s="223">
        <v>305</v>
      </c>
      <c r="G169" s="3614"/>
      <c r="H169" s="2364">
        <f t="shared" si="8"/>
        <v>305</v>
      </c>
      <c r="I169" s="223">
        <v>2213</v>
      </c>
      <c r="J169" s="1447"/>
      <c r="K169" s="1602">
        <f t="shared" si="9"/>
        <v>2213</v>
      </c>
      <c r="L169" s="947">
        <v>130512</v>
      </c>
      <c r="M169" s="190">
        <v>4072</v>
      </c>
      <c r="N169" s="1335"/>
      <c r="O169" s="2394">
        <f t="shared" si="10"/>
        <v>134584</v>
      </c>
      <c r="P169" s="1398">
        <v>1671</v>
      </c>
      <c r="Q169" s="1398">
        <v>19876</v>
      </c>
      <c r="R169" s="1398">
        <v>12596</v>
      </c>
      <c r="S169" s="1335"/>
      <c r="T169" s="668"/>
      <c r="U169" s="1354"/>
      <c r="V169" s="2365">
        <f t="shared" si="11"/>
        <v>34143</v>
      </c>
    </row>
    <row r="170" spans="1:22">
      <c r="A170" s="972">
        <v>2007.05</v>
      </c>
      <c r="B170" s="223">
        <v>283</v>
      </c>
      <c r="C170" s="1398">
        <v>31</v>
      </c>
      <c r="D170" s="1446"/>
      <c r="E170" s="1398">
        <v>2597</v>
      </c>
      <c r="F170" s="223">
        <v>872</v>
      </c>
      <c r="G170" s="3614"/>
      <c r="H170" s="2364">
        <f t="shared" si="8"/>
        <v>872</v>
      </c>
      <c r="I170" s="223">
        <v>3253</v>
      </c>
      <c r="J170" s="1447"/>
      <c r="K170" s="1602">
        <f t="shared" si="9"/>
        <v>3253</v>
      </c>
      <c r="L170" s="947">
        <v>125762</v>
      </c>
      <c r="M170" s="190">
        <v>4748</v>
      </c>
      <c r="N170" s="1335"/>
      <c r="O170" s="2394">
        <f t="shared" si="10"/>
        <v>130510</v>
      </c>
      <c r="P170" s="1398">
        <v>1763</v>
      </c>
      <c r="Q170" s="1398">
        <v>22100</v>
      </c>
      <c r="R170" s="1398">
        <v>13233</v>
      </c>
      <c r="S170" s="1335"/>
      <c r="T170" s="668"/>
      <c r="U170" s="1354"/>
      <c r="V170" s="2365">
        <f t="shared" si="11"/>
        <v>37096</v>
      </c>
    </row>
    <row r="171" spans="1:22">
      <c r="A171" s="972">
        <v>2007.06</v>
      </c>
      <c r="B171" s="223">
        <v>285</v>
      </c>
      <c r="C171" s="1398">
        <v>24</v>
      </c>
      <c r="D171" s="1446"/>
      <c r="E171" s="1398">
        <v>3082</v>
      </c>
      <c r="F171" s="223">
        <v>346</v>
      </c>
      <c r="G171" s="3614"/>
      <c r="H171" s="2364">
        <f t="shared" si="8"/>
        <v>346</v>
      </c>
      <c r="I171" s="223">
        <v>10277</v>
      </c>
      <c r="J171" s="1447"/>
      <c r="K171" s="1602">
        <f t="shared" si="9"/>
        <v>10277</v>
      </c>
      <c r="L171" s="947">
        <v>133504</v>
      </c>
      <c r="M171" s="190">
        <v>4274</v>
      </c>
      <c r="N171" s="1335"/>
      <c r="O171" s="2394">
        <f t="shared" si="10"/>
        <v>137778</v>
      </c>
      <c r="P171" s="1398">
        <v>1717</v>
      </c>
      <c r="Q171" s="1398">
        <v>21983</v>
      </c>
      <c r="R171" s="1398">
        <v>12802</v>
      </c>
      <c r="S171" s="1335"/>
      <c r="T171" s="668"/>
      <c r="U171" s="1354"/>
      <c r="V171" s="2365">
        <f t="shared" si="11"/>
        <v>36502</v>
      </c>
    </row>
    <row r="172" spans="1:22">
      <c r="A172" s="972">
        <v>2007.07</v>
      </c>
      <c r="B172" s="223">
        <v>272</v>
      </c>
      <c r="C172" s="1398">
        <v>23</v>
      </c>
      <c r="D172" s="1446"/>
      <c r="E172" s="1398">
        <v>3740</v>
      </c>
      <c r="F172" s="223">
        <v>363</v>
      </c>
      <c r="G172" s="3614"/>
      <c r="H172" s="2364">
        <f t="shared" si="8"/>
        <v>363</v>
      </c>
      <c r="I172" s="223">
        <v>9778</v>
      </c>
      <c r="J172" s="1447"/>
      <c r="K172" s="1602">
        <f t="shared" si="9"/>
        <v>9778</v>
      </c>
      <c r="L172" s="947">
        <v>123357</v>
      </c>
      <c r="M172" s="190">
        <v>4118</v>
      </c>
      <c r="N172" s="1335"/>
      <c r="O172" s="2394">
        <f t="shared" si="10"/>
        <v>127475</v>
      </c>
      <c r="P172" s="1398">
        <v>1883</v>
      </c>
      <c r="Q172" s="1398">
        <v>24832</v>
      </c>
      <c r="R172" s="1398">
        <v>14290</v>
      </c>
      <c r="S172" s="1335"/>
      <c r="T172" s="668"/>
      <c r="U172" s="1354"/>
      <c r="V172" s="2365">
        <f t="shared" si="11"/>
        <v>41005</v>
      </c>
    </row>
    <row r="173" spans="1:22">
      <c r="A173" s="972">
        <v>2007.08</v>
      </c>
      <c r="B173" s="223">
        <v>292</v>
      </c>
      <c r="C173" s="1398">
        <v>26</v>
      </c>
      <c r="D173" s="1446"/>
      <c r="E173" s="1398">
        <v>2711</v>
      </c>
      <c r="F173" s="223">
        <v>988</v>
      </c>
      <c r="G173" s="3614"/>
      <c r="H173" s="2364">
        <f t="shared" si="8"/>
        <v>988</v>
      </c>
      <c r="I173" s="223">
        <v>12992</v>
      </c>
      <c r="J173" s="1447"/>
      <c r="K173" s="1602">
        <f t="shared" si="9"/>
        <v>12992</v>
      </c>
      <c r="L173" s="947">
        <v>122608</v>
      </c>
      <c r="M173" s="190">
        <v>4652</v>
      </c>
      <c r="N173" s="1335"/>
      <c r="O173" s="2394">
        <f t="shared" si="10"/>
        <v>127260</v>
      </c>
      <c r="P173" s="1398">
        <v>1804</v>
      </c>
      <c r="Q173" s="1398">
        <v>25401</v>
      </c>
      <c r="R173" s="1398">
        <v>13595</v>
      </c>
      <c r="S173" s="1335"/>
      <c r="T173" s="668"/>
      <c r="U173" s="1354"/>
      <c r="V173" s="2365">
        <f t="shared" si="11"/>
        <v>40800</v>
      </c>
    </row>
    <row r="174" spans="1:22">
      <c r="A174" s="972">
        <v>2007.09</v>
      </c>
      <c r="B174" s="223">
        <v>228</v>
      </c>
      <c r="C174" s="1398">
        <v>20</v>
      </c>
      <c r="D174" s="1446"/>
      <c r="E174" s="1398">
        <v>1073.5150000000001</v>
      </c>
      <c r="F174" s="223">
        <v>1134</v>
      </c>
      <c r="G174" s="3614"/>
      <c r="H174" s="2364">
        <f t="shared" si="8"/>
        <v>1134</v>
      </c>
      <c r="I174" s="223">
        <v>6004</v>
      </c>
      <c r="J174" s="1447"/>
      <c r="K174" s="1602">
        <f t="shared" si="9"/>
        <v>6004</v>
      </c>
      <c r="L174" s="947">
        <v>118640.37</v>
      </c>
      <c r="M174" s="190">
        <v>4651.72</v>
      </c>
      <c r="N174" s="1335"/>
      <c r="O174" s="2394">
        <f t="shared" si="10"/>
        <v>123292.09</v>
      </c>
      <c r="P174" s="1398">
        <v>1651.37</v>
      </c>
      <c r="Q174" s="1398">
        <v>23868.28</v>
      </c>
      <c r="R174" s="1398">
        <v>11484.67</v>
      </c>
      <c r="S174" s="1335"/>
      <c r="T174" s="668"/>
      <c r="U174" s="1354"/>
      <c r="V174" s="2365">
        <f t="shared" si="11"/>
        <v>37004.32</v>
      </c>
    </row>
    <row r="175" spans="1:22">
      <c r="A175" s="972">
        <v>2007.1</v>
      </c>
      <c r="B175" s="223">
        <v>286</v>
      </c>
      <c r="C175" s="1398">
        <v>111</v>
      </c>
      <c r="D175" s="1446"/>
      <c r="E175" s="1398">
        <v>772.56</v>
      </c>
      <c r="F175" s="223">
        <v>797</v>
      </c>
      <c r="G175" s="3614"/>
      <c r="H175" s="2364">
        <f t="shared" si="8"/>
        <v>797</v>
      </c>
      <c r="I175" s="223">
        <v>69209.69</v>
      </c>
      <c r="J175" s="1447"/>
      <c r="K175" s="1602">
        <f t="shared" si="9"/>
        <v>69209.69</v>
      </c>
      <c r="L175" s="947">
        <v>127526.61</v>
      </c>
      <c r="M175" s="190">
        <v>4673.7</v>
      </c>
      <c r="N175" s="1335"/>
      <c r="O175" s="2394">
        <f t="shared" si="10"/>
        <v>132200.31</v>
      </c>
      <c r="P175" s="1398">
        <v>1646.87</v>
      </c>
      <c r="Q175" s="1398">
        <v>26103.57</v>
      </c>
      <c r="R175" s="1398">
        <v>12916.12</v>
      </c>
      <c r="S175" s="1335"/>
      <c r="T175" s="668"/>
      <c r="U175" s="1354"/>
      <c r="V175" s="2365">
        <f t="shared" si="11"/>
        <v>40666.559999999998</v>
      </c>
    </row>
    <row r="176" spans="1:22">
      <c r="A176" s="972">
        <v>2007.11</v>
      </c>
      <c r="B176" s="223">
        <v>315</v>
      </c>
      <c r="C176" s="1398">
        <v>41</v>
      </c>
      <c r="D176" s="1446"/>
      <c r="E176" s="1398">
        <v>798.1</v>
      </c>
      <c r="F176" s="223">
        <v>627</v>
      </c>
      <c r="G176" s="3614"/>
      <c r="H176" s="2364">
        <f t="shared" si="8"/>
        <v>627</v>
      </c>
      <c r="I176" s="223">
        <v>1716</v>
      </c>
      <c r="J176" s="1447"/>
      <c r="K176" s="1602">
        <f t="shared" si="9"/>
        <v>1716</v>
      </c>
      <c r="L176" s="947">
        <v>127731.6</v>
      </c>
      <c r="M176" s="190">
        <v>4931.5600000000004</v>
      </c>
      <c r="N176" s="1335"/>
      <c r="O176" s="2394">
        <f t="shared" si="10"/>
        <v>132663.16</v>
      </c>
      <c r="P176" s="1398">
        <v>1687.09</v>
      </c>
      <c r="Q176" s="1398">
        <v>26520.38</v>
      </c>
      <c r="R176" s="1398">
        <v>12404.15</v>
      </c>
      <c r="S176" s="1335"/>
      <c r="T176" s="668"/>
      <c r="U176" s="1354"/>
      <c r="V176" s="2365">
        <f t="shared" si="11"/>
        <v>40611.620000000003</v>
      </c>
    </row>
    <row r="177" spans="1:22">
      <c r="A177" s="972">
        <v>2007.12</v>
      </c>
      <c r="B177" s="223">
        <v>292</v>
      </c>
      <c r="C177" s="1398">
        <v>47</v>
      </c>
      <c r="D177" s="1446"/>
      <c r="E177" s="1398">
        <v>766.5</v>
      </c>
      <c r="F177" s="223">
        <v>916</v>
      </c>
      <c r="G177" s="3614"/>
      <c r="H177" s="2364">
        <f t="shared" si="8"/>
        <v>916</v>
      </c>
      <c r="I177" s="223">
        <v>689</v>
      </c>
      <c r="J177" s="1447"/>
      <c r="K177" s="1602">
        <f t="shared" si="9"/>
        <v>689</v>
      </c>
      <c r="L177" s="947">
        <v>118465.84</v>
      </c>
      <c r="M177" s="190">
        <v>4360</v>
      </c>
      <c r="N177" s="1335"/>
      <c r="O177" s="2394">
        <f t="shared" si="10"/>
        <v>122825.84</v>
      </c>
      <c r="P177" s="1398">
        <v>1747.45</v>
      </c>
      <c r="Q177" s="1398">
        <v>28584.97</v>
      </c>
      <c r="R177" s="1398">
        <v>12511.89</v>
      </c>
      <c r="S177" s="1335"/>
      <c r="T177" s="668"/>
      <c r="U177" s="1354"/>
      <c r="V177" s="2365">
        <f t="shared" si="11"/>
        <v>42844.31</v>
      </c>
    </row>
    <row r="178" spans="1:22">
      <c r="A178" s="972">
        <f t="shared" ref="A178:A241" si="12">A166+1</f>
        <v>2008.01</v>
      </c>
      <c r="B178" s="223">
        <v>344</v>
      </c>
      <c r="C178" s="1398">
        <v>57</v>
      </c>
      <c r="D178" s="1446"/>
      <c r="E178" s="1398">
        <v>696.1</v>
      </c>
      <c r="F178" s="223">
        <v>724.14</v>
      </c>
      <c r="G178" s="3614"/>
      <c r="H178" s="2364">
        <f t="shared" si="8"/>
        <v>724.14</v>
      </c>
      <c r="I178" s="223">
        <v>2175.4899999999998</v>
      </c>
      <c r="J178" s="1447"/>
      <c r="K178" s="1602">
        <f t="shared" si="9"/>
        <v>2175.4899999999998</v>
      </c>
      <c r="L178" s="947">
        <v>88644.7</v>
      </c>
      <c r="M178" s="190">
        <v>4050.29</v>
      </c>
      <c r="N178" s="1335"/>
      <c r="O178" s="2394">
        <f t="shared" si="10"/>
        <v>92694.989999999991</v>
      </c>
      <c r="P178" s="1398">
        <v>1388.16</v>
      </c>
      <c r="Q178" s="1398">
        <v>24052.720000000001</v>
      </c>
      <c r="R178" s="1398">
        <v>10912.8</v>
      </c>
      <c r="S178" s="1335"/>
      <c r="T178" s="668"/>
      <c r="U178" s="1354"/>
      <c r="V178" s="2365">
        <f t="shared" si="11"/>
        <v>36353.68</v>
      </c>
    </row>
    <row r="179" spans="1:22">
      <c r="A179" s="972">
        <f t="shared" si="12"/>
        <v>2008.02</v>
      </c>
      <c r="B179" s="223">
        <v>318</v>
      </c>
      <c r="C179" s="1398">
        <v>115</v>
      </c>
      <c r="D179" s="1446"/>
      <c r="E179" s="1398">
        <v>478.15100000000001</v>
      </c>
      <c r="F179" s="223">
        <v>583.14</v>
      </c>
      <c r="G179" s="3614"/>
      <c r="H179" s="2364">
        <f t="shared" si="8"/>
        <v>583.14</v>
      </c>
      <c r="I179" s="223">
        <v>8574.18</v>
      </c>
      <c r="J179" s="1447"/>
      <c r="K179" s="1602">
        <f t="shared" si="9"/>
        <v>8574.18</v>
      </c>
      <c r="L179" s="947">
        <v>87804.44</v>
      </c>
      <c r="M179" s="190">
        <v>4195.1499999999996</v>
      </c>
      <c r="N179" s="1335"/>
      <c r="O179" s="2394">
        <f t="shared" si="10"/>
        <v>91999.59</v>
      </c>
      <c r="P179" s="1398">
        <v>1172.8399999999999</v>
      </c>
      <c r="Q179" s="1398">
        <v>21819.37</v>
      </c>
      <c r="R179" s="1398">
        <v>10195.58</v>
      </c>
      <c r="S179" s="1335"/>
      <c r="T179" s="668"/>
      <c r="U179" s="1354"/>
      <c r="V179" s="2365">
        <f t="shared" si="11"/>
        <v>33187.79</v>
      </c>
    </row>
    <row r="180" spans="1:22">
      <c r="A180" s="972">
        <f t="shared" si="12"/>
        <v>2008.03</v>
      </c>
      <c r="B180" s="223">
        <v>786</v>
      </c>
      <c r="C180" s="1398">
        <v>330</v>
      </c>
      <c r="D180" s="1446"/>
      <c r="E180" s="1398">
        <v>422</v>
      </c>
      <c r="F180" s="223">
        <v>417</v>
      </c>
      <c r="G180" s="3614"/>
      <c r="H180" s="2364">
        <f t="shared" si="8"/>
        <v>417</v>
      </c>
      <c r="I180" s="223">
        <v>11563.6</v>
      </c>
      <c r="J180" s="1447"/>
      <c r="K180" s="1602">
        <f t="shared" si="9"/>
        <v>11563.6</v>
      </c>
      <c r="L180" s="947">
        <v>118423.28</v>
      </c>
      <c r="M180" s="190">
        <v>3901.64</v>
      </c>
      <c r="N180" s="1335"/>
      <c r="O180" s="2394">
        <f t="shared" si="10"/>
        <v>122324.92</v>
      </c>
      <c r="P180" s="1398">
        <v>1673.15</v>
      </c>
      <c r="Q180" s="1398">
        <v>28645.759999999998</v>
      </c>
      <c r="R180" s="1398">
        <v>12546.29</v>
      </c>
      <c r="S180" s="1335"/>
      <c r="T180" s="668"/>
      <c r="U180" s="1354"/>
      <c r="V180" s="2365">
        <f t="shared" si="11"/>
        <v>42865.2</v>
      </c>
    </row>
    <row r="181" spans="1:22">
      <c r="A181" s="972">
        <f t="shared" si="12"/>
        <v>2008.04</v>
      </c>
      <c r="B181" s="223">
        <v>441</v>
      </c>
      <c r="C181" s="1398">
        <v>74</v>
      </c>
      <c r="D181" s="1446"/>
      <c r="E181" s="1398">
        <v>929.07400000000007</v>
      </c>
      <c r="F181" s="223">
        <v>548.05499999999995</v>
      </c>
      <c r="G181" s="3614"/>
      <c r="H181" s="2364">
        <f t="shared" si="8"/>
        <v>548.05499999999995</v>
      </c>
      <c r="I181" s="223">
        <v>1136.4000000000001</v>
      </c>
      <c r="J181" s="1447"/>
      <c r="K181" s="1602">
        <f t="shared" si="9"/>
        <v>1136.4000000000001</v>
      </c>
      <c r="L181" s="947">
        <v>135662.53</v>
      </c>
      <c r="M181" s="190">
        <v>4401.34</v>
      </c>
      <c r="N181" s="1335"/>
      <c r="O181" s="2394">
        <f t="shared" si="10"/>
        <v>140063.87</v>
      </c>
      <c r="P181" s="1398">
        <v>1534.96</v>
      </c>
      <c r="Q181" s="1398">
        <v>27897.69</v>
      </c>
      <c r="R181" s="1398">
        <v>11116.87</v>
      </c>
      <c r="S181" s="1335"/>
      <c r="T181" s="668"/>
      <c r="U181" s="1354"/>
      <c r="V181" s="2365">
        <f t="shared" si="11"/>
        <v>40549.519999999997</v>
      </c>
    </row>
    <row r="182" spans="1:22">
      <c r="A182" s="972">
        <f t="shared" si="12"/>
        <v>2008.05</v>
      </c>
      <c r="B182" s="223">
        <v>413</v>
      </c>
      <c r="C182" s="1398">
        <v>93</v>
      </c>
      <c r="D182" s="1446"/>
      <c r="E182" s="1398">
        <v>1513.1010000000001</v>
      </c>
      <c r="F182" s="223">
        <v>893.81299999999999</v>
      </c>
      <c r="G182" s="3614"/>
      <c r="H182" s="2364">
        <f t="shared" si="8"/>
        <v>893.81299999999999</v>
      </c>
      <c r="I182" s="223">
        <v>5115.12</v>
      </c>
      <c r="J182" s="1447"/>
      <c r="K182" s="1602">
        <f t="shared" si="9"/>
        <v>5115.12</v>
      </c>
      <c r="L182" s="947">
        <v>131855.76999999999</v>
      </c>
      <c r="M182" s="190">
        <v>4329.3900000000003</v>
      </c>
      <c r="N182" s="1335"/>
      <c r="O182" s="2394">
        <f t="shared" si="10"/>
        <v>136185.16</v>
      </c>
      <c r="P182" s="1398">
        <v>1530</v>
      </c>
      <c r="Q182" s="1398">
        <v>30079.05</v>
      </c>
      <c r="R182" s="1398">
        <v>11200.08</v>
      </c>
      <c r="S182" s="1335"/>
      <c r="T182" s="668"/>
      <c r="U182" s="1354"/>
      <c r="V182" s="2365">
        <f t="shared" si="11"/>
        <v>42809.13</v>
      </c>
    </row>
    <row r="183" spans="1:22">
      <c r="A183" s="972">
        <f t="shared" si="12"/>
        <v>2008.06</v>
      </c>
      <c r="B183" s="223">
        <v>343</v>
      </c>
      <c r="C183" s="1398">
        <v>42</v>
      </c>
      <c r="D183" s="1446"/>
      <c r="E183" s="1398">
        <v>1379.1010000000001</v>
      </c>
      <c r="F183" s="223">
        <v>655.57</v>
      </c>
      <c r="G183" s="3614"/>
      <c r="H183" s="2364">
        <f t="shared" si="8"/>
        <v>655.57</v>
      </c>
      <c r="I183" s="223">
        <v>6468.73</v>
      </c>
      <c r="J183" s="1447"/>
      <c r="K183" s="1602">
        <f t="shared" si="9"/>
        <v>6468.73</v>
      </c>
      <c r="L183" s="947">
        <v>92748.07</v>
      </c>
      <c r="M183" s="190">
        <v>3512.98</v>
      </c>
      <c r="N183" s="1335"/>
      <c r="O183" s="2394">
        <f t="shared" si="10"/>
        <v>96261.05</v>
      </c>
      <c r="P183" s="1398">
        <v>1802.78</v>
      </c>
      <c r="Q183" s="1398">
        <v>25307.62</v>
      </c>
      <c r="R183" s="1398">
        <v>10819.68</v>
      </c>
      <c r="S183" s="1335"/>
      <c r="T183" s="668"/>
      <c r="U183" s="1354"/>
      <c r="V183" s="2365">
        <f t="shared" si="11"/>
        <v>37930.080000000002</v>
      </c>
    </row>
    <row r="184" spans="1:22">
      <c r="A184" s="972">
        <f t="shared" si="12"/>
        <v>2008.07</v>
      </c>
      <c r="B184" s="223">
        <v>393</v>
      </c>
      <c r="C184" s="1398">
        <v>33</v>
      </c>
      <c r="D184" s="1446"/>
      <c r="E184" s="1398">
        <v>1292.4100000000001</v>
      </c>
      <c r="F184" s="223">
        <v>777.81500000000005</v>
      </c>
      <c r="G184" s="3614"/>
      <c r="H184" s="2364">
        <f t="shared" si="8"/>
        <v>777.81500000000005</v>
      </c>
      <c r="I184" s="223">
        <v>9201.32</v>
      </c>
      <c r="J184" s="1447"/>
      <c r="K184" s="1602">
        <f t="shared" si="9"/>
        <v>9201.32</v>
      </c>
      <c r="L184" s="947">
        <v>132374.98000000001</v>
      </c>
      <c r="M184" s="190">
        <v>4004.21</v>
      </c>
      <c r="N184" s="1335"/>
      <c r="O184" s="2394">
        <f t="shared" si="10"/>
        <v>136379.19</v>
      </c>
      <c r="P184" s="1398">
        <v>1843.92</v>
      </c>
      <c r="Q184" s="1398">
        <v>30757.29</v>
      </c>
      <c r="R184" s="1398">
        <v>10147.86</v>
      </c>
      <c r="S184" s="1335"/>
      <c r="T184" s="668"/>
      <c r="U184" s="1354"/>
      <c r="V184" s="2365">
        <f t="shared" si="11"/>
        <v>42749.07</v>
      </c>
    </row>
    <row r="185" spans="1:22">
      <c r="A185" s="972">
        <f t="shared" si="12"/>
        <v>2008.08</v>
      </c>
      <c r="B185" s="223">
        <v>503</v>
      </c>
      <c r="C185" s="1398">
        <v>145</v>
      </c>
      <c r="D185" s="1446"/>
      <c r="E185" s="1398">
        <v>946.73199999999997</v>
      </c>
      <c r="F185" s="223">
        <v>913.01</v>
      </c>
      <c r="G185" s="3614"/>
      <c r="H185" s="2364">
        <f t="shared" si="8"/>
        <v>913.01</v>
      </c>
      <c r="I185" s="223">
        <v>14565.74</v>
      </c>
      <c r="J185" s="1447"/>
      <c r="K185" s="1602">
        <f t="shared" si="9"/>
        <v>14565.74</v>
      </c>
      <c r="L185" s="947">
        <v>126401.49</v>
      </c>
      <c r="M185" s="190">
        <v>0</v>
      </c>
      <c r="N185" s="1335"/>
      <c r="O185" s="2394">
        <f t="shared" si="10"/>
        <v>126401.49</v>
      </c>
      <c r="P185" s="1398">
        <v>2198.37</v>
      </c>
      <c r="Q185" s="1398">
        <v>30333.89</v>
      </c>
      <c r="R185" s="1398">
        <v>9004.8799999999992</v>
      </c>
      <c r="S185" s="1335"/>
      <c r="T185" s="668"/>
      <c r="U185" s="1354"/>
      <c r="V185" s="2365">
        <f t="shared" si="11"/>
        <v>41537.14</v>
      </c>
    </row>
    <row r="186" spans="1:22">
      <c r="A186" s="972">
        <f t="shared" si="12"/>
        <v>2008.09</v>
      </c>
      <c r="B186" s="223">
        <v>480</v>
      </c>
      <c r="C186" s="1398">
        <v>72</v>
      </c>
      <c r="D186" s="1446"/>
      <c r="E186" s="1398">
        <v>369.29899999999998</v>
      </c>
      <c r="F186" s="223">
        <v>581.55400000000009</v>
      </c>
      <c r="G186" s="3614"/>
      <c r="H186" s="2364">
        <f t="shared" si="8"/>
        <v>581.55400000000009</v>
      </c>
      <c r="I186" s="223">
        <v>9951.65</v>
      </c>
      <c r="J186" s="1447"/>
      <c r="K186" s="1602">
        <f t="shared" si="9"/>
        <v>9951.65</v>
      </c>
      <c r="L186" s="947">
        <v>120829.8</v>
      </c>
      <c r="M186" s="190">
        <v>0</v>
      </c>
      <c r="N186" s="1335"/>
      <c r="O186" s="2394">
        <f t="shared" si="10"/>
        <v>120829.8</v>
      </c>
      <c r="P186" s="1398">
        <v>1926.31</v>
      </c>
      <c r="Q186" s="1398">
        <v>30097.24</v>
      </c>
      <c r="R186" s="1398">
        <v>8494.11</v>
      </c>
      <c r="S186" s="1335"/>
      <c r="T186" s="668"/>
      <c r="U186" s="1354"/>
      <c r="V186" s="2365">
        <f t="shared" si="11"/>
        <v>40517.660000000003</v>
      </c>
    </row>
    <row r="187" spans="1:22">
      <c r="A187" s="972">
        <f t="shared" si="12"/>
        <v>2008.1</v>
      </c>
      <c r="B187" s="223">
        <v>589</v>
      </c>
      <c r="C187" s="1398">
        <v>104</v>
      </c>
      <c r="D187" s="1446"/>
      <c r="E187" s="1398">
        <v>331.56200000000001</v>
      </c>
      <c r="F187" s="223">
        <v>822.41</v>
      </c>
      <c r="G187" s="3614"/>
      <c r="H187" s="2364">
        <f t="shared" si="8"/>
        <v>822.41</v>
      </c>
      <c r="I187" s="223">
        <v>1508.53</v>
      </c>
      <c r="J187" s="1447"/>
      <c r="K187" s="1602">
        <f t="shared" si="9"/>
        <v>1508.53</v>
      </c>
      <c r="L187" s="947">
        <v>74717.73</v>
      </c>
      <c r="M187" s="190">
        <v>4054.33</v>
      </c>
      <c r="N187" s="1335"/>
      <c r="O187" s="2394">
        <f t="shared" si="10"/>
        <v>78772.06</v>
      </c>
      <c r="P187" s="1398">
        <v>1900.54</v>
      </c>
      <c r="Q187" s="1398">
        <v>32517.82</v>
      </c>
      <c r="R187" s="1398">
        <v>8756.36</v>
      </c>
      <c r="S187" s="1335"/>
      <c r="T187" s="668"/>
      <c r="U187" s="1354"/>
      <c r="V187" s="2365">
        <f t="shared" si="11"/>
        <v>43174.720000000001</v>
      </c>
    </row>
    <row r="188" spans="1:22">
      <c r="A188" s="972">
        <f t="shared" si="12"/>
        <v>2008.11</v>
      </c>
      <c r="B188" s="223">
        <v>487</v>
      </c>
      <c r="C188" s="1398">
        <v>145</v>
      </c>
      <c r="D188" s="1446"/>
      <c r="E188" s="1398">
        <v>300.31</v>
      </c>
      <c r="F188" s="223">
        <v>634.73</v>
      </c>
      <c r="G188" s="3614"/>
      <c r="H188" s="2364">
        <f t="shared" si="8"/>
        <v>634.73</v>
      </c>
      <c r="I188" s="223">
        <v>1353</v>
      </c>
      <c r="J188" s="1447"/>
      <c r="K188" s="1602">
        <f t="shared" si="9"/>
        <v>1353</v>
      </c>
      <c r="L188" s="947">
        <v>110632.68</v>
      </c>
      <c r="M188" s="190">
        <v>3397.72</v>
      </c>
      <c r="N188" s="1335"/>
      <c r="O188" s="2394">
        <f t="shared" si="10"/>
        <v>114030.39999999999</v>
      </c>
      <c r="P188" s="1398">
        <v>1718.23</v>
      </c>
      <c r="Q188" s="1398">
        <v>31261.47</v>
      </c>
      <c r="R188" s="1398">
        <v>7829.86</v>
      </c>
      <c r="S188" s="1335"/>
      <c r="T188" s="668"/>
      <c r="U188" s="1354"/>
      <c r="V188" s="2365">
        <f t="shared" si="11"/>
        <v>40809.560000000005</v>
      </c>
    </row>
    <row r="189" spans="1:22">
      <c r="A189" s="972">
        <f t="shared" si="12"/>
        <v>2008.12</v>
      </c>
      <c r="B189" s="223">
        <v>724</v>
      </c>
      <c r="C189" s="1398">
        <v>139</v>
      </c>
      <c r="D189" s="1446"/>
      <c r="E189" s="1398">
        <v>176.36099999999999</v>
      </c>
      <c r="F189" s="223">
        <v>0</v>
      </c>
      <c r="G189" s="3614"/>
      <c r="H189" s="2364">
        <f t="shared" si="8"/>
        <v>0</v>
      </c>
      <c r="I189" s="223">
        <v>1543.39</v>
      </c>
      <c r="J189" s="1447"/>
      <c r="K189" s="1602">
        <f t="shared" si="9"/>
        <v>1543.39</v>
      </c>
      <c r="L189" s="947">
        <v>115608.31</v>
      </c>
      <c r="M189" s="190">
        <v>2981.68</v>
      </c>
      <c r="N189" s="1335"/>
      <c r="O189" s="2394">
        <f t="shared" si="10"/>
        <v>118589.98999999999</v>
      </c>
      <c r="P189" s="1398">
        <v>2492.21</v>
      </c>
      <c r="Q189" s="1398">
        <v>35974.519999999997</v>
      </c>
      <c r="R189" s="1398">
        <v>9183.0300000000007</v>
      </c>
      <c r="S189" s="1335"/>
      <c r="T189" s="668"/>
      <c r="U189" s="1354"/>
      <c r="V189" s="2365">
        <f t="shared" si="11"/>
        <v>47649.759999999995</v>
      </c>
    </row>
    <row r="190" spans="1:22">
      <c r="A190" s="972">
        <f t="shared" si="12"/>
        <v>2009.01</v>
      </c>
      <c r="B190" s="223">
        <v>931</v>
      </c>
      <c r="C190" s="1398">
        <v>363</v>
      </c>
      <c r="D190" s="1446"/>
      <c r="E190" s="1398">
        <v>248.66800000000001</v>
      </c>
      <c r="F190" s="223">
        <v>0</v>
      </c>
      <c r="G190" s="3614"/>
      <c r="H190" s="2364">
        <f t="shared" si="8"/>
        <v>0</v>
      </c>
      <c r="I190" s="223">
        <v>1729.89</v>
      </c>
      <c r="J190" s="1447"/>
      <c r="K190" s="1602">
        <f t="shared" si="9"/>
        <v>1729.89</v>
      </c>
      <c r="L190" s="947">
        <v>100468.91</v>
      </c>
      <c r="M190" s="190">
        <v>3015.13</v>
      </c>
      <c r="N190" s="1335"/>
      <c r="O190" s="2394">
        <f t="shared" si="10"/>
        <v>103484.04000000001</v>
      </c>
      <c r="P190" s="1398">
        <v>3066</v>
      </c>
      <c r="Q190" s="1398">
        <v>34641.519999999997</v>
      </c>
      <c r="R190" s="1398">
        <v>7934.7</v>
      </c>
      <c r="S190" s="1335"/>
      <c r="T190" s="668"/>
      <c r="U190" s="1354"/>
      <c r="V190" s="2365">
        <f t="shared" si="11"/>
        <v>45642.219999999994</v>
      </c>
    </row>
    <row r="191" spans="1:22">
      <c r="A191" s="972">
        <f t="shared" si="12"/>
        <v>2009.02</v>
      </c>
      <c r="B191" s="223">
        <v>1026</v>
      </c>
      <c r="C191" s="1398">
        <v>632</v>
      </c>
      <c r="D191" s="1446"/>
      <c r="E191" s="1398">
        <v>238.22199999999998</v>
      </c>
      <c r="F191" s="223">
        <v>472.74</v>
      </c>
      <c r="G191" s="3614"/>
      <c r="H191" s="2364">
        <f t="shared" si="8"/>
        <v>472.74</v>
      </c>
      <c r="I191" s="223">
        <v>1854.2</v>
      </c>
      <c r="J191" s="1447"/>
      <c r="K191" s="1602">
        <f t="shared" si="9"/>
        <v>1854.2</v>
      </c>
      <c r="L191" s="947">
        <v>95001.35</v>
      </c>
      <c r="M191" s="190">
        <v>2843.46</v>
      </c>
      <c r="N191" s="1335"/>
      <c r="O191" s="2394">
        <f t="shared" si="10"/>
        <v>97844.810000000012</v>
      </c>
      <c r="P191" s="1398">
        <v>2499.0300000000002</v>
      </c>
      <c r="Q191" s="1398">
        <v>30375.11</v>
      </c>
      <c r="R191" s="1398">
        <v>7069.3</v>
      </c>
      <c r="S191" s="1335"/>
      <c r="T191" s="668"/>
      <c r="U191" s="1354"/>
      <c r="V191" s="2365">
        <f t="shared" si="11"/>
        <v>39943.440000000002</v>
      </c>
    </row>
    <row r="192" spans="1:22">
      <c r="A192" s="972">
        <f t="shared" si="12"/>
        <v>2009.03</v>
      </c>
      <c r="B192" s="223">
        <v>1010</v>
      </c>
      <c r="C192" s="1398">
        <v>297</v>
      </c>
      <c r="D192" s="1446"/>
      <c r="E192" s="1398">
        <v>283.07900000000001</v>
      </c>
      <c r="F192" s="223">
        <v>450.79</v>
      </c>
      <c r="G192" s="3614"/>
      <c r="H192" s="2364">
        <f t="shared" si="8"/>
        <v>450.79</v>
      </c>
      <c r="I192" s="223">
        <v>9212.15</v>
      </c>
      <c r="J192" s="1447"/>
      <c r="K192" s="1602">
        <f t="shared" si="9"/>
        <v>9212.15</v>
      </c>
      <c r="L192" s="947">
        <v>116348.47</v>
      </c>
      <c r="M192" s="190">
        <v>2946.39</v>
      </c>
      <c r="N192" s="1335"/>
      <c r="O192" s="2394">
        <f t="shared" si="10"/>
        <v>119294.86</v>
      </c>
      <c r="P192" s="1398">
        <v>2763.54</v>
      </c>
      <c r="Q192" s="1398">
        <v>34021.839999999997</v>
      </c>
      <c r="R192" s="1398">
        <v>7746.54</v>
      </c>
      <c r="S192" s="1335"/>
      <c r="T192" s="668"/>
      <c r="U192" s="1354"/>
      <c r="V192" s="2365">
        <f t="shared" si="11"/>
        <v>44531.92</v>
      </c>
    </row>
    <row r="193" spans="1:22">
      <c r="A193" s="972">
        <f t="shared" si="12"/>
        <v>2009.04</v>
      </c>
      <c r="B193" s="223">
        <v>664</v>
      </c>
      <c r="C193" s="1398">
        <v>109</v>
      </c>
      <c r="D193" s="1446"/>
      <c r="E193" s="1398">
        <v>431.584</v>
      </c>
      <c r="F193" s="223">
        <v>619.87</v>
      </c>
      <c r="G193" s="3614"/>
      <c r="H193" s="2364">
        <f t="shared" si="8"/>
        <v>619.87</v>
      </c>
      <c r="I193" s="223">
        <v>2052.7399999999998</v>
      </c>
      <c r="J193" s="1447"/>
      <c r="K193" s="1602">
        <f t="shared" si="9"/>
        <v>2052.7399999999998</v>
      </c>
      <c r="L193" s="947">
        <v>122841.06</v>
      </c>
      <c r="M193" s="190">
        <v>3068.76</v>
      </c>
      <c r="N193" s="1335"/>
      <c r="O193" s="2394">
        <f t="shared" si="10"/>
        <v>125909.81999999999</v>
      </c>
      <c r="P193" s="1398">
        <v>2593.1</v>
      </c>
      <c r="Q193" s="1398">
        <v>32218.09</v>
      </c>
      <c r="R193" s="1398">
        <v>7916.14</v>
      </c>
      <c r="S193" s="1335"/>
      <c r="T193" s="668"/>
      <c r="U193" s="1354"/>
      <c r="V193" s="2365">
        <f t="shared" si="11"/>
        <v>42727.33</v>
      </c>
    </row>
    <row r="194" spans="1:22">
      <c r="A194" s="972">
        <f t="shared" si="12"/>
        <v>2009.05</v>
      </c>
      <c r="B194" s="223">
        <v>561</v>
      </c>
      <c r="C194" s="1398">
        <v>79</v>
      </c>
      <c r="D194" s="1446"/>
      <c r="E194" s="1398">
        <v>785.80899999999997</v>
      </c>
      <c r="F194" s="223">
        <v>0</v>
      </c>
      <c r="G194" s="3614"/>
      <c r="H194" s="2364">
        <f t="shared" si="8"/>
        <v>0</v>
      </c>
      <c r="I194" s="223">
        <v>13219.75</v>
      </c>
      <c r="J194" s="1447"/>
      <c r="K194" s="1602">
        <f t="shared" si="9"/>
        <v>13219.75</v>
      </c>
      <c r="L194" s="947">
        <v>105830.06</v>
      </c>
      <c r="M194" s="190">
        <v>2695.23</v>
      </c>
      <c r="N194" s="1335"/>
      <c r="O194" s="2394">
        <f t="shared" si="10"/>
        <v>108525.29</v>
      </c>
      <c r="P194" s="1398">
        <v>1421.2090000000001</v>
      </c>
      <c r="Q194" s="1398">
        <v>31942.77</v>
      </c>
      <c r="R194" s="1398">
        <v>7598.39</v>
      </c>
      <c r="S194" s="1335"/>
      <c r="T194" s="668"/>
      <c r="U194" s="1354"/>
      <c r="V194" s="2365">
        <f t="shared" si="11"/>
        <v>40962.368999999999</v>
      </c>
    </row>
    <row r="195" spans="1:22">
      <c r="A195" s="972">
        <f t="shared" si="12"/>
        <v>2009.06</v>
      </c>
      <c r="B195" s="223">
        <v>367</v>
      </c>
      <c r="C195" s="1398">
        <v>57</v>
      </c>
      <c r="D195" s="1446"/>
      <c r="E195" s="1398">
        <v>1078.25</v>
      </c>
      <c r="F195" s="223">
        <v>308.52</v>
      </c>
      <c r="G195" s="3614"/>
      <c r="H195" s="2364">
        <f t="shared" si="8"/>
        <v>308.52</v>
      </c>
      <c r="I195" s="223">
        <v>12076.17</v>
      </c>
      <c r="J195" s="1447"/>
      <c r="K195" s="1602">
        <f t="shared" si="9"/>
        <v>12076.17</v>
      </c>
      <c r="L195" s="947">
        <v>105773.8</v>
      </c>
      <c r="M195" s="190">
        <v>2782.85</v>
      </c>
      <c r="N195" s="1335"/>
      <c r="O195" s="2394">
        <f t="shared" si="10"/>
        <v>108556.65000000001</v>
      </c>
      <c r="P195" s="1398">
        <v>2327.81</v>
      </c>
      <c r="Q195" s="1398">
        <v>33325.050000000003</v>
      </c>
      <c r="R195" s="1398">
        <v>7924.4</v>
      </c>
      <c r="S195" s="1335"/>
      <c r="T195" s="668"/>
      <c r="U195" s="1354"/>
      <c r="V195" s="2365">
        <f t="shared" si="11"/>
        <v>43577.26</v>
      </c>
    </row>
    <row r="196" spans="1:22">
      <c r="A196" s="972">
        <f t="shared" si="12"/>
        <v>2009.07</v>
      </c>
      <c r="B196" s="223">
        <v>349</v>
      </c>
      <c r="C196" s="1398">
        <v>116</v>
      </c>
      <c r="D196" s="1446"/>
      <c r="E196" s="1398">
        <v>1304.8119999999999</v>
      </c>
      <c r="F196" s="223">
        <v>377.62</v>
      </c>
      <c r="G196" s="3614"/>
      <c r="H196" s="2364">
        <f t="shared" si="8"/>
        <v>377.62</v>
      </c>
      <c r="I196" s="223">
        <v>2241.56</v>
      </c>
      <c r="J196" s="1447"/>
      <c r="K196" s="1602">
        <f t="shared" si="9"/>
        <v>2241.56</v>
      </c>
      <c r="L196" s="947">
        <v>101360.98</v>
      </c>
      <c r="M196" s="190">
        <v>3173.29</v>
      </c>
      <c r="N196" s="1335"/>
      <c r="O196" s="2394">
        <f t="shared" si="10"/>
        <v>104534.26999999999</v>
      </c>
      <c r="P196" s="1398">
        <v>2337.75</v>
      </c>
      <c r="Q196" s="1398">
        <v>33131.800000000003</v>
      </c>
      <c r="R196" s="1398">
        <v>7578.49</v>
      </c>
      <c r="S196" s="1335"/>
      <c r="T196" s="668"/>
      <c r="U196" s="1354"/>
      <c r="V196" s="2365">
        <f t="shared" si="11"/>
        <v>43048.04</v>
      </c>
    </row>
    <row r="197" spans="1:22">
      <c r="A197" s="972">
        <f t="shared" si="12"/>
        <v>2009.08</v>
      </c>
      <c r="B197" s="223">
        <v>384</v>
      </c>
      <c r="C197" s="1398">
        <v>45</v>
      </c>
      <c r="D197" s="1446"/>
      <c r="E197" s="1398">
        <v>503.56</v>
      </c>
      <c r="F197" s="223">
        <v>173.21</v>
      </c>
      <c r="G197" s="3614"/>
      <c r="H197" s="2364">
        <f t="shared" si="8"/>
        <v>173.21</v>
      </c>
      <c r="I197" s="223">
        <v>1846.97</v>
      </c>
      <c r="J197" s="1447"/>
      <c r="K197" s="1602">
        <f t="shared" si="9"/>
        <v>1846.97</v>
      </c>
      <c r="L197" s="947">
        <v>100952.83</v>
      </c>
      <c r="M197" s="190">
        <v>2733.34</v>
      </c>
      <c r="N197" s="1335"/>
      <c r="O197" s="2394">
        <f t="shared" si="10"/>
        <v>103686.17</v>
      </c>
      <c r="P197" s="1398">
        <v>2385.42</v>
      </c>
      <c r="Q197" s="1398">
        <v>33305.11</v>
      </c>
      <c r="R197" s="1398">
        <v>8429.81</v>
      </c>
      <c r="S197" s="1335"/>
      <c r="T197" s="668"/>
      <c r="U197" s="1354"/>
      <c r="V197" s="2365">
        <f t="shared" si="11"/>
        <v>44120.34</v>
      </c>
    </row>
    <row r="198" spans="1:22">
      <c r="A198" s="972">
        <f t="shared" si="12"/>
        <v>2009.09</v>
      </c>
      <c r="B198" s="223">
        <v>398</v>
      </c>
      <c r="C198" s="1398">
        <v>122</v>
      </c>
      <c r="D198" s="1446"/>
      <c r="E198" s="1398">
        <v>340.2</v>
      </c>
      <c r="F198" s="223">
        <v>226.46</v>
      </c>
      <c r="G198" s="3614"/>
      <c r="H198" s="2364">
        <f t="shared" si="8"/>
        <v>226.46</v>
      </c>
      <c r="I198" s="223">
        <v>1383.96</v>
      </c>
      <c r="J198" s="1447"/>
      <c r="K198" s="1602">
        <f t="shared" si="9"/>
        <v>1383.96</v>
      </c>
      <c r="L198" s="947">
        <v>98491.3</v>
      </c>
      <c r="M198" s="190">
        <v>2790.09</v>
      </c>
      <c r="N198" s="1335"/>
      <c r="O198" s="2394">
        <f t="shared" si="10"/>
        <v>101281.39</v>
      </c>
      <c r="P198" s="1398">
        <v>2932.7249999999999</v>
      </c>
      <c r="Q198" s="1398">
        <v>33131</v>
      </c>
      <c r="R198" s="1398">
        <v>8201.4650000000001</v>
      </c>
      <c r="S198" s="1335"/>
      <c r="T198" s="668"/>
      <c r="U198" s="1354"/>
      <c r="V198" s="2365">
        <f t="shared" si="11"/>
        <v>44265.19</v>
      </c>
    </row>
    <row r="199" spans="1:22">
      <c r="A199" s="972">
        <f t="shared" si="12"/>
        <v>2009.1</v>
      </c>
      <c r="B199" s="223">
        <v>439</v>
      </c>
      <c r="C199" s="1398">
        <v>124</v>
      </c>
      <c r="D199" s="1446"/>
      <c r="E199" s="1398">
        <v>80</v>
      </c>
      <c r="F199" s="223">
        <v>465.86</v>
      </c>
      <c r="G199" s="3614"/>
      <c r="H199" s="2364">
        <f t="shared" si="8"/>
        <v>465.86</v>
      </c>
      <c r="I199" s="223">
        <v>2123.2600000000002</v>
      </c>
      <c r="J199" s="1447"/>
      <c r="K199" s="1602">
        <f t="shared" si="9"/>
        <v>2123.2600000000002</v>
      </c>
      <c r="L199" s="947">
        <v>110521.27</v>
      </c>
      <c r="M199" s="190">
        <v>2768.07</v>
      </c>
      <c r="N199" s="1335"/>
      <c r="O199" s="2394">
        <f t="shared" si="10"/>
        <v>113289.34000000001</v>
      </c>
      <c r="P199" s="1398">
        <v>2608.98</v>
      </c>
      <c r="Q199" s="1398">
        <v>34025.32</v>
      </c>
      <c r="R199" s="1398">
        <v>9548.14</v>
      </c>
      <c r="S199" s="1335"/>
      <c r="T199" s="668"/>
      <c r="U199" s="1354"/>
      <c r="V199" s="2365">
        <f t="shared" si="11"/>
        <v>46182.44</v>
      </c>
    </row>
    <row r="200" spans="1:22">
      <c r="A200" s="972">
        <f t="shared" si="12"/>
        <v>2009.11</v>
      </c>
      <c r="B200" s="223">
        <v>495</v>
      </c>
      <c r="C200" s="1398">
        <v>193</v>
      </c>
      <c r="D200" s="1446"/>
      <c r="E200" s="1398">
        <v>258.63900000000001</v>
      </c>
      <c r="F200" s="223">
        <v>420.26</v>
      </c>
      <c r="G200" s="3614"/>
      <c r="H200" s="2364">
        <f t="shared" si="8"/>
        <v>420.26</v>
      </c>
      <c r="I200" s="223">
        <v>11356.69</v>
      </c>
      <c r="J200" s="1447"/>
      <c r="K200" s="1602">
        <f t="shared" si="9"/>
        <v>11356.69</v>
      </c>
      <c r="L200" s="947">
        <v>103350.8</v>
      </c>
      <c r="M200" s="190">
        <v>2514.34</v>
      </c>
      <c r="N200" s="1335"/>
      <c r="O200" s="2394">
        <f t="shared" si="10"/>
        <v>105865.14</v>
      </c>
      <c r="P200" s="1398">
        <v>2993.11</v>
      </c>
      <c r="Q200" s="1398">
        <v>31802.2</v>
      </c>
      <c r="R200" s="1398">
        <v>6461.48</v>
      </c>
      <c r="S200" s="1335"/>
      <c r="T200" s="668"/>
      <c r="U200" s="1354"/>
      <c r="V200" s="2365">
        <f t="shared" si="11"/>
        <v>41256.789999999994</v>
      </c>
    </row>
    <row r="201" spans="1:22" ht="13.5" thickBot="1">
      <c r="A201" s="972">
        <f t="shared" si="12"/>
        <v>2009.12</v>
      </c>
      <c r="B201" s="223">
        <v>505</v>
      </c>
      <c r="C201" s="1398">
        <v>360</v>
      </c>
      <c r="D201" s="1446"/>
      <c r="E201" s="1398">
        <v>95.412999999999997</v>
      </c>
      <c r="F201" s="223">
        <v>1154.1600000000001</v>
      </c>
      <c r="G201" s="3614"/>
      <c r="H201" s="2364">
        <f t="shared" si="8"/>
        <v>1154.1600000000001</v>
      </c>
      <c r="I201" s="223">
        <v>4036.57</v>
      </c>
      <c r="J201" s="1447"/>
      <c r="K201" s="1602">
        <f t="shared" si="9"/>
        <v>4036.57</v>
      </c>
      <c r="L201" s="947">
        <v>114845.91</v>
      </c>
      <c r="M201" s="190">
        <v>2225.98</v>
      </c>
      <c r="N201" s="1335"/>
      <c r="O201" s="2394">
        <f>L201+M201+N201</f>
        <v>117071.89</v>
      </c>
      <c r="P201" s="1398">
        <v>3663.38</v>
      </c>
      <c r="Q201" s="1398">
        <v>35648.51</v>
      </c>
      <c r="R201" s="1398">
        <v>10006.799999999999</v>
      </c>
      <c r="S201" s="1335"/>
      <c r="T201" s="668"/>
      <c r="U201" s="1354"/>
      <c r="V201" s="2365">
        <f t="shared" si="11"/>
        <v>49318.69</v>
      </c>
    </row>
    <row r="202" spans="1:22">
      <c r="A202" s="972">
        <f t="shared" si="12"/>
        <v>2010.01</v>
      </c>
      <c r="B202" s="223">
        <v>661</v>
      </c>
      <c r="C202" s="1398">
        <v>391</v>
      </c>
      <c r="D202" s="170">
        <v>1849.54</v>
      </c>
      <c r="E202" s="1398">
        <v>260.65300000000002</v>
      </c>
      <c r="F202" s="223">
        <v>1136.52</v>
      </c>
      <c r="G202" s="3614"/>
      <c r="H202" s="2364">
        <f t="shared" ref="H202:H265" si="13">F202+G202</f>
        <v>1136.52</v>
      </c>
      <c r="I202" s="223">
        <v>3200</v>
      </c>
      <c r="J202" s="1447"/>
      <c r="K202" s="1602">
        <f t="shared" ref="K202:K207" si="14">I202+J202</f>
        <v>3200</v>
      </c>
      <c r="L202" s="947">
        <v>105275.485</v>
      </c>
      <c r="M202" s="190">
        <v>14987.28</v>
      </c>
      <c r="N202" s="158">
        <v>1328</v>
      </c>
      <c r="O202" s="2394">
        <f t="shared" ref="O202:O265" si="15">L202+M202+N202</f>
        <v>121590.765</v>
      </c>
      <c r="P202" s="1398">
        <v>3284.7760000000003</v>
      </c>
      <c r="Q202" s="1398">
        <v>32534.441999999999</v>
      </c>
      <c r="R202" s="1398">
        <v>11057.307000000001</v>
      </c>
      <c r="S202" s="1335"/>
      <c r="T202" s="665">
        <v>0</v>
      </c>
      <c r="U202" s="170">
        <v>0</v>
      </c>
      <c r="V202" s="2365">
        <f t="shared" si="11"/>
        <v>46876.525000000001</v>
      </c>
    </row>
    <row r="203" spans="1:22">
      <c r="A203" s="972">
        <f t="shared" si="12"/>
        <v>2010.02</v>
      </c>
      <c r="B203" s="223">
        <v>546</v>
      </c>
      <c r="C203" s="1398">
        <v>689</v>
      </c>
      <c r="D203" s="1398">
        <v>1574.28</v>
      </c>
      <c r="E203" s="1398">
        <v>301.60599999999999</v>
      </c>
      <c r="F203" s="223">
        <v>905.08</v>
      </c>
      <c r="G203" s="3614"/>
      <c r="H203" s="2364">
        <f t="shared" si="13"/>
        <v>905.08</v>
      </c>
      <c r="I203" s="223">
        <v>1504.0530000000001</v>
      </c>
      <c r="J203" s="1447"/>
      <c r="K203" s="1602">
        <f t="shared" si="14"/>
        <v>1504.0530000000001</v>
      </c>
      <c r="L203" s="947">
        <v>102952.966</v>
      </c>
      <c r="M203" s="190">
        <v>26562.121999999999</v>
      </c>
      <c r="N203" s="1398">
        <v>987</v>
      </c>
      <c r="O203" s="2394">
        <f t="shared" si="15"/>
        <v>130502.088</v>
      </c>
      <c r="P203" s="1398">
        <v>2398.634</v>
      </c>
      <c r="Q203" s="1398">
        <v>33254.120000000003</v>
      </c>
      <c r="R203" s="1398">
        <v>8798.6659999999993</v>
      </c>
      <c r="S203" s="1335"/>
      <c r="T203" s="947">
        <v>0</v>
      </c>
      <c r="U203" s="190">
        <v>0</v>
      </c>
      <c r="V203" s="2365">
        <f t="shared" si="11"/>
        <v>44451.42</v>
      </c>
    </row>
    <row r="204" spans="1:22">
      <c r="A204" s="972">
        <f t="shared" si="12"/>
        <v>2010.03</v>
      </c>
      <c r="B204" s="223">
        <v>804</v>
      </c>
      <c r="C204" s="1398">
        <v>291</v>
      </c>
      <c r="D204" s="1398">
        <v>2995.94</v>
      </c>
      <c r="E204" s="1398">
        <v>381.39699999999999</v>
      </c>
      <c r="F204" s="223">
        <v>1390.87</v>
      </c>
      <c r="G204" s="3614"/>
      <c r="H204" s="2364">
        <f t="shared" si="13"/>
        <v>1390.87</v>
      </c>
      <c r="I204" s="223">
        <v>1371.672</v>
      </c>
      <c r="J204" s="1447"/>
      <c r="K204" s="1602">
        <f t="shared" si="14"/>
        <v>1371.672</v>
      </c>
      <c r="L204" s="947">
        <v>147527.72099999999</v>
      </c>
      <c r="M204" s="190">
        <v>36832.15</v>
      </c>
      <c r="N204" s="1398">
        <v>1566</v>
      </c>
      <c r="O204" s="2394">
        <f t="shared" si="15"/>
        <v>185925.87099999998</v>
      </c>
      <c r="P204" s="1398">
        <v>4941.6109999999999</v>
      </c>
      <c r="Q204" s="1398">
        <v>37633.347000000002</v>
      </c>
      <c r="R204" s="1398">
        <v>9590.2199999999993</v>
      </c>
      <c r="S204" s="1335"/>
      <c r="T204" s="947">
        <v>0</v>
      </c>
      <c r="U204" s="190">
        <v>0</v>
      </c>
      <c r="V204" s="2365">
        <f t="shared" ref="V204:V267" si="16">SUM(P204:U204)</f>
        <v>52165.178</v>
      </c>
    </row>
    <row r="205" spans="1:22">
      <c r="A205" s="972">
        <f t="shared" si="12"/>
        <v>2010.04</v>
      </c>
      <c r="B205" s="223">
        <v>636</v>
      </c>
      <c r="C205" s="1398">
        <v>46</v>
      </c>
      <c r="D205" s="1398">
        <v>3641</v>
      </c>
      <c r="E205" s="1398">
        <v>806.97799999999995</v>
      </c>
      <c r="F205" s="223">
        <v>477.54</v>
      </c>
      <c r="G205" s="3614"/>
      <c r="H205" s="2364">
        <f t="shared" si="13"/>
        <v>477.54</v>
      </c>
      <c r="I205" s="223">
        <v>3607.0439999999999</v>
      </c>
      <c r="J205" s="1447"/>
      <c r="K205" s="1602">
        <f t="shared" si="14"/>
        <v>3607.0439999999999</v>
      </c>
      <c r="L205" s="947">
        <v>138970.24300000002</v>
      </c>
      <c r="M205" s="190">
        <v>16022.9</v>
      </c>
      <c r="N205" s="1398">
        <v>921</v>
      </c>
      <c r="O205" s="2394">
        <f t="shared" si="15"/>
        <v>155914.14300000001</v>
      </c>
      <c r="P205" s="1398">
        <v>3082.1210000000001</v>
      </c>
      <c r="Q205" s="1398">
        <v>38036.366000000002</v>
      </c>
      <c r="R205" s="1398">
        <v>9889.8420000000006</v>
      </c>
      <c r="S205" s="1335"/>
      <c r="T205" s="947">
        <v>0</v>
      </c>
      <c r="U205" s="190">
        <v>8459</v>
      </c>
      <c r="V205" s="2365">
        <f t="shared" si="16"/>
        <v>59467.328999999998</v>
      </c>
    </row>
    <row r="206" spans="1:22">
      <c r="A206" s="972">
        <f t="shared" si="12"/>
        <v>2010.05</v>
      </c>
      <c r="B206" s="223">
        <v>611</v>
      </c>
      <c r="C206" s="1398">
        <v>35</v>
      </c>
      <c r="D206" s="1398">
        <v>2860.26</v>
      </c>
      <c r="E206" s="1398">
        <v>880.68899999999996</v>
      </c>
      <c r="F206" s="223">
        <v>1.4</v>
      </c>
      <c r="G206" s="3614"/>
      <c r="H206" s="2364">
        <f t="shared" si="13"/>
        <v>1.4</v>
      </c>
      <c r="I206" s="223">
        <v>8472.8629999999994</v>
      </c>
      <c r="J206" s="1447"/>
      <c r="K206" s="1602">
        <f t="shared" si="14"/>
        <v>8472.8629999999994</v>
      </c>
      <c r="L206" s="947">
        <v>123571.792</v>
      </c>
      <c r="M206" s="190">
        <v>4993.8</v>
      </c>
      <c r="N206" s="1398">
        <v>2336</v>
      </c>
      <c r="O206" s="2394">
        <f t="shared" si="15"/>
        <v>130901.592</v>
      </c>
      <c r="P206" s="1398">
        <v>2253.8389999999999</v>
      </c>
      <c r="Q206" s="1398">
        <v>32888.131000000001</v>
      </c>
      <c r="R206" s="1398">
        <v>9254.5429999999997</v>
      </c>
      <c r="S206" s="1335"/>
      <c r="T206" s="947">
        <v>0</v>
      </c>
      <c r="U206" s="190">
        <v>0</v>
      </c>
      <c r="V206" s="2365">
        <f t="shared" si="16"/>
        <v>44396.512999999999</v>
      </c>
    </row>
    <row r="207" spans="1:22" ht="13.5" thickBot="1">
      <c r="A207" s="972">
        <f t="shared" si="12"/>
        <v>2010.06</v>
      </c>
      <c r="B207" s="223">
        <v>632</v>
      </c>
      <c r="C207" s="1398">
        <v>50</v>
      </c>
      <c r="D207" s="1398">
        <v>1965.98</v>
      </c>
      <c r="E207" s="1398">
        <v>1054.7339999999999</v>
      </c>
      <c r="F207" s="223">
        <v>0</v>
      </c>
      <c r="G207" s="3614"/>
      <c r="H207" s="2364">
        <f t="shared" si="13"/>
        <v>0</v>
      </c>
      <c r="I207" s="223">
        <v>6278.268</v>
      </c>
      <c r="J207" s="1447"/>
      <c r="K207" s="1602">
        <f t="shared" si="14"/>
        <v>6278.268</v>
      </c>
      <c r="L207" s="947">
        <v>120932.997</v>
      </c>
      <c r="M207" s="190">
        <v>13868.46</v>
      </c>
      <c r="N207" s="1398">
        <v>2046</v>
      </c>
      <c r="O207" s="2394">
        <f t="shared" si="15"/>
        <v>136847.45699999999</v>
      </c>
      <c r="P207" s="1398">
        <v>2837.663</v>
      </c>
      <c r="Q207" s="1398">
        <v>32023.828999999998</v>
      </c>
      <c r="R207" s="1398">
        <v>8872.3169999999991</v>
      </c>
      <c r="S207" s="1335"/>
      <c r="T207" s="947">
        <v>0</v>
      </c>
      <c r="U207" s="190">
        <v>0</v>
      </c>
      <c r="V207" s="2365">
        <f t="shared" si="16"/>
        <v>43733.808999999994</v>
      </c>
    </row>
    <row r="208" spans="1:22">
      <c r="A208" s="972">
        <f t="shared" si="12"/>
        <v>2010.07</v>
      </c>
      <c r="B208" s="223">
        <v>623</v>
      </c>
      <c r="C208" s="1398">
        <v>52</v>
      </c>
      <c r="D208" s="1398">
        <v>3306.34</v>
      </c>
      <c r="E208" s="1398">
        <v>1325.95</v>
      </c>
      <c r="F208" s="223">
        <v>0</v>
      </c>
      <c r="G208" s="560">
        <v>0</v>
      </c>
      <c r="H208" s="2364">
        <f t="shared" si="13"/>
        <v>0</v>
      </c>
      <c r="I208" s="223">
        <v>14035.602999999999</v>
      </c>
      <c r="J208" s="663">
        <v>83.79</v>
      </c>
      <c r="K208" s="1602">
        <f>I208+J208</f>
        <v>14119.393</v>
      </c>
      <c r="L208" s="947">
        <v>123888.99799999999</v>
      </c>
      <c r="M208" s="190">
        <v>2798.79</v>
      </c>
      <c r="N208" s="1398">
        <v>850.14</v>
      </c>
      <c r="O208" s="2394">
        <f t="shared" si="15"/>
        <v>127537.92799999999</v>
      </c>
      <c r="P208" s="1398">
        <v>2738.2809999999999</v>
      </c>
      <c r="Q208" s="1398">
        <v>34475.521999999997</v>
      </c>
      <c r="R208" s="1398">
        <v>10517.558999999999</v>
      </c>
      <c r="S208" s="39">
        <v>0</v>
      </c>
      <c r="T208" s="947">
        <v>0</v>
      </c>
      <c r="U208" s="190">
        <v>0</v>
      </c>
      <c r="V208" s="2365">
        <f t="shared" si="16"/>
        <v>47731.362000000001</v>
      </c>
    </row>
    <row r="209" spans="1:22">
      <c r="A209" s="972">
        <f t="shared" si="12"/>
        <v>2010.08</v>
      </c>
      <c r="B209" s="223">
        <v>1063</v>
      </c>
      <c r="C209" s="1398">
        <v>52</v>
      </c>
      <c r="D209" s="1398">
        <v>4217.18</v>
      </c>
      <c r="E209" s="1398">
        <v>839.00099999999998</v>
      </c>
      <c r="F209" s="223">
        <v>0</v>
      </c>
      <c r="G209" s="3538">
        <v>0</v>
      </c>
      <c r="H209" s="2364">
        <f t="shared" si="13"/>
        <v>0</v>
      </c>
      <c r="I209" s="223">
        <v>13129.957</v>
      </c>
      <c r="J209" s="1299">
        <v>683.25</v>
      </c>
      <c r="K209" s="1602">
        <f>I209+J209</f>
        <v>13813.207</v>
      </c>
      <c r="L209" s="947">
        <v>122321.16500000001</v>
      </c>
      <c r="M209" s="190">
        <v>12242.51</v>
      </c>
      <c r="N209" s="1398">
        <v>1807.44</v>
      </c>
      <c r="O209" s="2394">
        <f t="shared" si="15"/>
        <v>136371.11500000002</v>
      </c>
      <c r="P209" s="1398">
        <v>2986.7219999999998</v>
      </c>
      <c r="Q209" s="1398">
        <v>35113.972999999998</v>
      </c>
      <c r="R209" s="1398">
        <v>9718.0770000000011</v>
      </c>
      <c r="S209" s="1398">
        <v>0</v>
      </c>
      <c r="T209" s="947">
        <v>0</v>
      </c>
      <c r="U209" s="190">
        <v>0</v>
      </c>
      <c r="V209" s="2365">
        <f t="shared" si="16"/>
        <v>47818.771999999997</v>
      </c>
    </row>
    <row r="210" spans="1:22">
      <c r="A210" s="972">
        <f t="shared" si="12"/>
        <v>2010.09</v>
      </c>
      <c r="B210" s="223">
        <v>848</v>
      </c>
      <c r="C210" s="1398">
        <v>49</v>
      </c>
      <c r="D210" s="1398">
        <v>3201.3599999999997</v>
      </c>
      <c r="E210" s="1398">
        <v>344.21800000000002</v>
      </c>
      <c r="F210" s="223">
        <v>0</v>
      </c>
      <c r="G210" s="3538">
        <v>0</v>
      </c>
      <c r="H210" s="2364">
        <f t="shared" si="13"/>
        <v>0</v>
      </c>
      <c r="I210" s="223">
        <v>35024.019</v>
      </c>
      <c r="J210" s="1299">
        <v>0</v>
      </c>
      <c r="K210" s="1602">
        <f>I210+J210</f>
        <v>35024.019</v>
      </c>
      <c r="L210" s="947">
        <v>122818.95300000001</v>
      </c>
      <c r="M210" s="190">
        <v>5972.88</v>
      </c>
      <c r="N210" s="1398">
        <v>1463.22</v>
      </c>
      <c r="O210" s="2394">
        <f t="shared" si="15"/>
        <v>130255.05300000001</v>
      </c>
      <c r="P210" s="1398">
        <v>2758.279</v>
      </c>
      <c r="Q210" s="1398">
        <v>34242.498999999996</v>
      </c>
      <c r="R210" s="1398">
        <v>9530.9670000000006</v>
      </c>
      <c r="S210" s="1398">
        <v>0</v>
      </c>
      <c r="T210" s="947">
        <v>0</v>
      </c>
      <c r="U210" s="190">
        <v>0</v>
      </c>
      <c r="V210" s="2365">
        <f t="shared" si="16"/>
        <v>46531.744999999995</v>
      </c>
    </row>
    <row r="211" spans="1:22">
      <c r="A211" s="972">
        <f t="shared" si="12"/>
        <v>2010.1</v>
      </c>
      <c r="B211" s="223">
        <v>1334</v>
      </c>
      <c r="C211" s="1398">
        <v>73</v>
      </c>
      <c r="D211" s="1398">
        <v>3067.18</v>
      </c>
      <c r="E211" s="1398">
        <v>166.209</v>
      </c>
      <c r="F211" s="223">
        <v>0</v>
      </c>
      <c r="G211" s="3538">
        <v>0</v>
      </c>
      <c r="H211" s="2364">
        <f t="shared" si="13"/>
        <v>0</v>
      </c>
      <c r="I211" s="223">
        <v>1702.2049999999999</v>
      </c>
      <c r="J211" s="1299">
        <v>0</v>
      </c>
      <c r="K211" s="1602">
        <f>I211+J211</f>
        <v>1702.2049999999999</v>
      </c>
      <c r="L211" s="947">
        <v>118851.00200000001</v>
      </c>
      <c r="M211" s="190">
        <v>6498.2640000000001</v>
      </c>
      <c r="N211" s="1398">
        <v>950.32</v>
      </c>
      <c r="O211" s="2394">
        <f t="shared" si="15"/>
        <v>126299.58600000001</v>
      </c>
      <c r="P211" s="1398">
        <v>2860.3560000000002</v>
      </c>
      <c r="Q211" s="1398">
        <v>34843.058000000005</v>
      </c>
      <c r="R211" s="1398">
        <v>9889.7170000000006</v>
      </c>
      <c r="S211" s="1398">
        <v>0</v>
      </c>
      <c r="T211" s="947">
        <v>0</v>
      </c>
      <c r="U211" s="190">
        <v>0</v>
      </c>
      <c r="V211" s="2365">
        <f t="shared" si="16"/>
        <v>47593.131000000008</v>
      </c>
    </row>
    <row r="212" spans="1:22">
      <c r="A212" s="972">
        <f t="shared" si="12"/>
        <v>2010.11</v>
      </c>
      <c r="B212" s="223">
        <v>1246</v>
      </c>
      <c r="C212" s="1398">
        <v>61</v>
      </c>
      <c r="D212" s="1398">
        <v>2740.7799999999997</v>
      </c>
      <c r="E212" s="1398">
        <v>180.27100000000002</v>
      </c>
      <c r="F212" s="223">
        <v>114</v>
      </c>
      <c r="G212" s="3538">
        <v>0</v>
      </c>
      <c r="H212" s="2364">
        <f t="shared" si="13"/>
        <v>114</v>
      </c>
      <c r="I212" s="223">
        <v>5521.567</v>
      </c>
      <c r="J212" s="1299">
        <v>70.983999999999995</v>
      </c>
      <c r="K212" s="1602">
        <f t="shared" ref="K212:K273" si="17">I212+J212</f>
        <v>5592.5510000000004</v>
      </c>
      <c r="L212" s="947">
        <v>120930.96799999999</v>
      </c>
      <c r="M212" s="190">
        <v>27.795000000000002</v>
      </c>
      <c r="N212" s="1398">
        <v>800.45</v>
      </c>
      <c r="O212" s="2394">
        <f t="shared" si="15"/>
        <v>121759.21299999999</v>
      </c>
      <c r="P212" s="1398">
        <v>2759.5950000000003</v>
      </c>
      <c r="Q212" s="1398">
        <v>34724.175999999999</v>
      </c>
      <c r="R212" s="1398">
        <v>10317.003000000001</v>
      </c>
      <c r="S212" s="1398">
        <v>0</v>
      </c>
      <c r="T212" s="947">
        <v>0</v>
      </c>
      <c r="U212" s="190">
        <v>0</v>
      </c>
      <c r="V212" s="2365">
        <f t="shared" si="16"/>
        <v>47800.774000000005</v>
      </c>
    </row>
    <row r="213" spans="1:22">
      <c r="A213" s="972">
        <f t="shared" si="12"/>
        <v>2010.12</v>
      </c>
      <c r="B213" s="223">
        <v>1522</v>
      </c>
      <c r="C213" s="1398">
        <v>99</v>
      </c>
      <c r="D213" s="1398">
        <v>3060.84</v>
      </c>
      <c r="E213" s="1398">
        <v>263.49700000000001</v>
      </c>
      <c r="F213" s="223">
        <v>187</v>
      </c>
      <c r="G213" s="3538">
        <v>0</v>
      </c>
      <c r="H213" s="2364">
        <f t="shared" si="13"/>
        <v>187</v>
      </c>
      <c r="I213" s="223">
        <v>1972.59</v>
      </c>
      <c r="J213" s="1299">
        <v>0</v>
      </c>
      <c r="K213" s="1602">
        <f t="shared" si="17"/>
        <v>1972.59</v>
      </c>
      <c r="L213" s="947">
        <v>127075.696</v>
      </c>
      <c r="M213" s="190">
        <v>0</v>
      </c>
      <c r="N213" s="1398">
        <v>1638.14</v>
      </c>
      <c r="O213" s="2394">
        <f t="shared" si="15"/>
        <v>128713.836</v>
      </c>
      <c r="P213" s="1398">
        <v>2860.817</v>
      </c>
      <c r="Q213" s="1398">
        <v>35772.760999999999</v>
      </c>
      <c r="R213" s="1398">
        <v>11875.654</v>
      </c>
      <c r="S213" s="1398">
        <v>0</v>
      </c>
      <c r="T213" s="947">
        <v>0</v>
      </c>
      <c r="U213" s="190">
        <v>0</v>
      </c>
      <c r="V213" s="2365">
        <f t="shared" si="16"/>
        <v>50509.232000000004</v>
      </c>
    </row>
    <row r="214" spans="1:22">
      <c r="A214" s="972">
        <f t="shared" si="12"/>
        <v>2011.01</v>
      </c>
      <c r="B214" s="223">
        <v>1205</v>
      </c>
      <c r="C214" s="1398">
        <v>55</v>
      </c>
      <c r="D214" s="1398">
        <v>2589.7399999999998</v>
      </c>
      <c r="E214" s="1398">
        <v>242.10799999999998</v>
      </c>
      <c r="F214" s="223">
        <v>152</v>
      </c>
      <c r="G214" s="3538">
        <v>0</v>
      </c>
      <c r="H214" s="2364">
        <f t="shared" si="13"/>
        <v>152</v>
      </c>
      <c r="I214" s="223">
        <v>10099.35</v>
      </c>
      <c r="J214" s="1299">
        <v>0</v>
      </c>
      <c r="K214" s="1602">
        <f t="shared" si="17"/>
        <v>10099.35</v>
      </c>
      <c r="L214" s="947">
        <v>113573.124</v>
      </c>
      <c r="M214" s="190">
        <v>2990.23</v>
      </c>
      <c r="N214" s="1398">
        <v>1811.11</v>
      </c>
      <c r="O214" s="2394">
        <f t="shared" si="15"/>
        <v>118374.46399999999</v>
      </c>
      <c r="P214" s="1398">
        <v>2643.25</v>
      </c>
      <c r="Q214" s="1398">
        <v>35315.756999999998</v>
      </c>
      <c r="R214" s="1398">
        <v>11697.655999999999</v>
      </c>
      <c r="S214" s="1398">
        <v>0</v>
      </c>
      <c r="T214" s="947">
        <v>0</v>
      </c>
      <c r="U214" s="190">
        <v>1673.7</v>
      </c>
      <c r="V214" s="2365">
        <f t="shared" si="16"/>
        <v>51330.362999999998</v>
      </c>
    </row>
    <row r="215" spans="1:22">
      <c r="A215" s="972">
        <f t="shared" si="12"/>
        <v>2011.02</v>
      </c>
      <c r="B215" s="223">
        <v>1079</v>
      </c>
      <c r="C215" s="1398">
        <v>102</v>
      </c>
      <c r="D215" s="1398">
        <v>2678.35</v>
      </c>
      <c r="E215" s="1398">
        <v>475.62</v>
      </c>
      <c r="F215" s="223">
        <v>76</v>
      </c>
      <c r="G215" s="3538">
        <v>0</v>
      </c>
      <c r="H215" s="2364">
        <f t="shared" si="13"/>
        <v>76</v>
      </c>
      <c r="I215" s="223">
        <v>7622.3519999999999</v>
      </c>
      <c r="J215" s="1299">
        <v>0</v>
      </c>
      <c r="K215" s="1602">
        <f t="shared" si="17"/>
        <v>7622.3519999999999</v>
      </c>
      <c r="L215" s="947">
        <v>102621.389</v>
      </c>
      <c r="M215" s="190">
        <v>2992.19</v>
      </c>
      <c r="N215" s="1398">
        <v>1168.31</v>
      </c>
      <c r="O215" s="2394">
        <f t="shared" si="15"/>
        <v>106781.889</v>
      </c>
      <c r="P215" s="1398">
        <v>2640.9359999999997</v>
      </c>
      <c r="Q215" s="1398">
        <v>30089.186000000002</v>
      </c>
      <c r="R215" s="1398">
        <v>12461.847</v>
      </c>
      <c r="S215" s="1398">
        <v>0</v>
      </c>
      <c r="T215" s="947">
        <v>0</v>
      </c>
      <c r="U215" s="190">
        <v>0</v>
      </c>
      <c r="V215" s="2365">
        <f t="shared" si="16"/>
        <v>45191.969000000005</v>
      </c>
    </row>
    <row r="216" spans="1:22">
      <c r="A216" s="972">
        <f t="shared" si="12"/>
        <v>2011.03</v>
      </c>
      <c r="B216" s="223">
        <v>1743</v>
      </c>
      <c r="C216" s="1398">
        <v>92</v>
      </c>
      <c r="D216" s="1398">
        <v>3352.5039999999999</v>
      </c>
      <c r="E216" s="1398">
        <v>342.56600000000003</v>
      </c>
      <c r="F216" s="223">
        <f>38</f>
        <v>38</v>
      </c>
      <c r="G216" s="3538">
        <v>31.861999999999998</v>
      </c>
      <c r="H216" s="2364">
        <f t="shared" si="13"/>
        <v>69.861999999999995</v>
      </c>
      <c r="I216" s="223">
        <v>10344.027</v>
      </c>
      <c r="J216" s="1299">
        <v>0</v>
      </c>
      <c r="K216" s="1602">
        <f t="shared" si="17"/>
        <v>10344.027</v>
      </c>
      <c r="L216" s="947">
        <v>124633.629</v>
      </c>
      <c r="M216" s="190">
        <v>3376.672</v>
      </c>
      <c r="N216" s="1398">
        <v>1754.59</v>
      </c>
      <c r="O216" s="2394">
        <f t="shared" si="15"/>
        <v>129764.891</v>
      </c>
      <c r="P216" s="1398">
        <v>3199.433</v>
      </c>
      <c r="Q216" s="1398">
        <v>34303.947</v>
      </c>
      <c r="R216" s="1398">
        <v>14555.726999999999</v>
      </c>
      <c r="S216" s="1398">
        <v>1057.1300000000001</v>
      </c>
      <c r="T216" s="947">
        <v>0</v>
      </c>
      <c r="U216" s="190">
        <v>236.6</v>
      </c>
      <c r="V216" s="2365">
        <f t="shared" si="16"/>
        <v>53352.836999999992</v>
      </c>
    </row>
    <row r="217" spans="1:22">
      <c r="A217" s="972">
        <f t="shared" si="12"/>
        <v>2011.04</v>
      </c>
      <c r="B217" s="223">
        <v>791</v>
      </c>
      <c r="C217" s="1398">
        <v>53</v>
      </c>
      <c r="D217" s="1398">
        <v>2083.3000000000002</v>
      </c>
      <c r="E217" s="1398">
        <v>401.34500000000003</v>
      </c>
      <c r="F217" s="223">
        <f>0</f>
        <v>0</v>
      </c>
      <c r="G217" s="3538">
        <v>114</v>
      </c>
      <c r="H217" s="2364">
        <f t="shared" si="13"/>
        <v>114</v>
      </c>
      <c r="I217" s="223">
        <v>5692.5060000000003</v>
      </c>
      <c r="J217" s="1299">
        <v>0</v>
      </c>
      <c r="K217" s="1602">
        <f t="shared" si="17"/>
        <v>5692.5060000000003</v>
      </c>
      <c r="L217" s="947">
        <v>133409.88399999999</v>
      </c>
      <c r="M217" s="190">
        <v>5938.8</v>
      </c>
      <c r="N217" s="1398">
        <v>1731.8</v>
      </c>
      <c r="O217" s="2394">
        <f t="shared" si="15"/>
        <v>141080.48399999997</v>
      </c>
      <c r="P217" s="1398">
        <v>3277.5949999999998</v>
      </c>
      <c r="Q217" s="1398">
        <v>34904.350999999995</v>
      </c>
      <c r="R217" s="1398">
        <f>12862.086+60</f>
        <v>12922.085999999999</v>
      </c>
      <c r="S217" s="1398">
        <v>60</v>
      </c>
      <c r="T217" s="947">
        <v>0</v>
      </c>
      <c r="U217" s="190">
        <v>0</v>
      </c>
      <c r="V217" s="2365">
        <f t="shared" si="16"/>
        <v>51164.031999999992</v>
      </c>
    </row>
    <row r="218" spans="1:22">
      <c r="A218" s="972">
        <f t="shared" si="12"/>
        <v>2011.05</v>
      </c>
      <c r="B218" s="223">
        <v>553</v>
      </c>
      <c r="C218" s="1398">
        <v>64</v>
      </c>
      <c r="D218" s="1398">
        <v>3950</v>
      </c>
      <c r="E218" s="1398">
        <v>775.11300000000006</v>
      </c>
      <c r="F218" s="223">
        <v>0</v>
      </c>
      <c r="G218" s="3538">
        <v>35</v>
      </c>
      <c r="H218" s="2364">
        <f t="shared" si="13"/>
        <v>35</v>
      </c>
      <c r="I218" s="223">
        <v>6443.134</v>
      </c>
      <c r="J218" s="1299">
        <v>5066.8710000000001</v>
      </c>
      <c r="K218" s="1602">
        <f t="shared" si="17"/>
        <v>11510.005000000001</v>
      </c>
      <c r="L218" s="947">
        <v>122689.88470000001</v>
      </c>
      <c r="M218" s="190">
        <v>24758.022385000004</v>
      </c>
      <c r="N218" s="1398">
        <v>597.70000000000005</v>
      </c>
      <c r="O218" s="2394">
        <f t="shared" si="15"/>
        <v>148045.60708500003</v>
      </c>
      <c r="P218" s="1398">
        <v>3268.79</v>
      </c>
      <c r="Q218" s="1398">
        <v>33991.084900000002</v>
      </c>
      <c r="R218" s="1398">
        <v>11991.7952</v>
      </c>
      <c r="S218" s="1398">
        <v>11764.241119999999</v>
      </c>
      <c r="T218" s="947">
        <v>0</v>
      </c>
      <c r="U218" s="190">
        <v>21531.4</v>
      </c>
      <c r="V218" s="2365">
        <f t="shared" si="16"/>
        <v>82547.311220000003</v>
      </c>
    </row>
    <row r="219" spans="1:22">
      <c r="A219" s="972">
        <f t="shared" si="12"/>
        <v>2011.06</v>
      </c>
      <c r="B219" s="223">
        <v>244</v>
      </c>
      <c r="C219" s="1398">
        <v>39</v>
      </c>
      <c r="D219" s="1398">
        <v>4182.16</v>
      </c>
      <c r="E219" s="1398">
        <v>920.66</v>
      </c>
      <c r="F219" s="223">
        <v>38</v>
      </c>
      <c r="G219" s="3538">
        <v>0</v>
      </c>
      <c r="H219" s="2364">
        <f t="shared" si="13"/>
        <v>38</v>
      </c>
      <c r="I219" s="223">
        <v>4048.0009999999997</v>
      </c>
      <c r="J219" s="1299">
        <v>1535.424</v>
      </c>
      <c r="K219" s="1602">
        <f t="shared" si="17"/>
        <v>5583.4249999999993</v>
      </c>
      <c r="L219" s="947">
        <v>123484.14059999998</v>
      </c>
      <c r="M219" s="190">
        <v>11514.594153</v>
      </c>
      <c r="N219" s="1398">
        <v>812.31</v>
      </c>
      <c r="O219" s="2394">
        <f t="shared" si="15"/>
        <v>135811.04475299999</v>
      </c>
      <c r="P219" s="1398">
        <v>2250.4699999999998</v>
      </c>
      <c r="Q219" s="1398">
        <v>33001.855900000002</v>
      </c>
      <c r="R219" s="1398">
        <v>12380.878499999999</v>
      </c>
      <c r="S219" s="1398">
        <v>4286.9910970000001</v>
      </c>
      <c r="T219" s="947">
        <v>0</v>
      </c>
      <c r="U219" s="190">
        <v>21752.1</v>
      </c>
      <c r="V219" s="2365">
        <f t="shared" si="16"/>
        <v>73672.295496999999</v>
      </c>
    </row>
    <row r="220" spans="1:22">
      <c r="A220" s="972">
        <f t="shared" si="12"/>
        <v>2011.07</v>
      </c>
      <c r="B220" s="223">
        <v>541</v>
      </c>
      <c r="C220" s="1398">
        <v>60</v>
      </c>
      <c r="D220" s="1398">
        <v>3349.08</v>
      </c>
      <c r="E220" s="1398">
        <v>941.90699999999993</v>
      </c>
      <c r="F220" s="223">
        <v>0</v>
      </c>
      <c r="G220" s="3538">
        <v>0</v>
      </c>
      <c r="H220" s="2364">
        <f t="shared" si="13"/>
        <v>0</v>
      </c>
      <c r="I220" s="223">
        <v>19565.082000000002</v>
      </c>
      <c r="J220" s="1299">
        <v>866.50130000000001</v>
      </c>
      <c r="K220" s="1602">
        <f t="shared" si="17"/>
        <v>20431.583300000002</v>
      </c>
      <c r="L220" s="947">
        <v>127432.49710000001</v>
      </c>
      <c r="M220" s="190">
        <v>7713.41</v>
      </c>
      <c r="N220" s="1398">
        <v>1831.05</v>
      </c>
      <c r="O220" s="2394">
        <f t="shared" si="15"/>
        <v>136976.9571</v>
      </c>
      <c r="P220" s="1398">
        <v>2515.56</v>
      </c>
      <c r="Q220" s="1398">
        <v>35674.614099999999</v>
      </c>
      <c r="R220" s="1398">
        <v>13769.4247</v>
      </c>
      <c r="S220" s="1398">
        <v>3687.5565000000001</v>
      </c>
      <c r="T220" s="947">
        <v>0</v>
      </c>
      <c r="U220" s="190">
        <v>20739.400000000001</v>
      </c>
      <c r="V220" s="2365">
        <f t="shared" si="16"/>
        <v>76386.555299999993</v>
      </c>
    </row>
    <row r="221" spans="1:22">
      <c r="A221" s="972">
        <f t="shared" si="12"/>
        <v>2011.08</v>
      </c>
      <c r="B221" s="223">
        <v>502</v>
      </c>
      <c r="C221" s="1398">
        <v>67</v>
      </c>
      <c r="D221" s="1398">
        <v>5359.92</v>
      </c>
      <c r="E221" s="1398">
        <v>775.87300000000005</v>
      </c>
      <c r="F221" s="223">
        <v>0</v>
      </c>
      <c r="G221" s="3538">
        <v>0</v>
      </c>
      <c r="H221" s="2364">
        <f t="shared" si="13"/>
        <v>0</v>
      </c>
      <c r="I221" s="223">
        <v>6075.732</v>
      </c>
      <c r="J221" s="1299">
        <v>679.08699999999999</v>
      </c>
      <c r="K221" s="1602">
        <f t="shared" si="17"/>
        <v>6754.8189999999995</v>
      </c>
      <c r="L221" s="947">
        <v>130455.74619999999</v>
      </c>
      <c r="M221" s="190">
        <v>8099.8492999999999</v>
      </c>
      <c r="N221" s="1398">
        <v>1890.4</v>
      </c>
      <c r="O221" s="2394">
        <f t="shared" si="15"/>
        <v>140445.99549999999</v>
      </c>
      <c r="P221" s="1398">
        <v>2190</v>
      </c>
      <c r="Q221" s="1398">
        <v>36310.565900000001</v>
      </c>
      <c r="R221" s="1398">
        <v>13602.727500000001</v>
      </c>
      <c r="S221" s="1398">
        <v>4003.0072</v>
      </c>
      <c r="T221" s="947">
        <v>0</v>
      </c>
      <c r="U221" s="190">
        <v>21238.5</v>
      </c>
      <c r="V221" s="2365">
        <f t="shared" si="16"/>
        <v>77344.800600000002</v>
      </c>
    </row>
    <row r="222" spans="1:22">
      <c r="A222" s="972">
        <f t="shared" si="12"/>
        <v>2011.09</v>
      </c>
      <c r="B222" s="223">
        <v>717</v>
      </c>
      <c r="C222" s="1398">
        <v>79</v>
      </c>
      <c r="D222" s="1398">
        <v>9535.06</v>
      </c>
      <c r="E222" s="1398">
        <v>293.78700000000003</v>
      </c>
      <c r="F222" s="223">
        <v>0</v>
      </c>
      <c r="G222" s="3538">
        <v>0</v>
      </c>
      <c r="H222" s="2364">
        <f t="shared" si="13"/>
        <v>0</v>
      </c>
      <c r="I222" s="223">
        <v>6956.6509999999998</v>
      </c>
      <c r="J222" s="1299">
        <v>0</v>
      </c>
      <c r="K222" s="1602">
        <f t="shared" si="17"/>
        <v>6956.6509999999998</v>
      </c>
      <c r="L222" s="947">
        <v>129622.68340000001</v>
      </c>
      <c r="M222" s="190">
        <v>9164.8631000000005</v>
      </c>
      <c r="N222" s="1398">
        <v>2015.84</v>
      </c>
      <c r="O222" s="2394">
        <f t="shared" si="15"/>
        <v>140803.38649999999</v>
      </c>
      <c r="P222" s="1398">
        <v>2603</v>
      </c>
      <c r="Q222" s="1398">
        <v>36118.3439</v>
      </c>
      <c r="R222" s="1398">
        <v>13149.9766</v>
      </c>
      <c r="S222" s="1398">
        <v>3688.8462</v>
      </c>
      <c r="T222" s="947">
        <v>0</v>
      </c>
      <c r="U222" s="190">
        <v>21012.400000000001</v>
      </c>
      <c r="V222" s="2365">
        <f t="shared" si="16"/>
        <v>76572.566699999996</v>
      </c>
    </row>
    <row r="223" spans="1:22">
      <c r="A223" s="972">
        <f t="shared" si="12"/>
        <v>2011.1</v>
      </c>
      <c r="B223" s="223">
        <v>921</v>
      </c>
      <c r="C223" s="1398">
        <v>98</v>
      </c>
      <c r="D223" s="1398">
        <v>8745.58</v>
      </c>
      <c r="E223" s="1398">
        <v>340.18599999999998</v>
      </c>
      <c r="F223" s="223">
        <v>0</v>
      </c>
      <c r="G223" s="3538">
        <v>0</v>
      </c>
      <c r="H223" s="2364">
        <f t="shared" si="13"/>
        <v>0</v>
      </c>
      <c r="I223" s="223">
        <v>25159.219000000001</v>
      </c>
      <c r="J223" s="1299">
        <v>0</v>
      </c>
      <c r="K223" s="1602">
        <f t="shared" si="17"/>
        <v>25159.219000000001</v>
      </c>
      <c r="L223" s="947">
        <v>122345.698</v>
      </c>
      <c r="M223" s="190">
        <v>7545.3191999999999</v>
      </c>
      <c r="N223" s="1398">
        <v>2622.98</v>
      </c>
      <c r="O223" s="2394">
        <f t="shared" si="15"/>
        <v>132513.99720000001</v>
      </c>
      <c r="P223" s="1398">
        <v>2925.52</v>
      </c>
      <c r="Q223" s="1398">
        <v>35249.753600000004</v>
      </c>
      <c r="R223" s="1398">
        <v>13867.3343</v>
      </c>
      <c r="S223" s="1398">
        <v>3855.3998000000001</v>
      </c>
      <c r="T223" s="947">
        <v>0</v>
      </c>
      <c r="U223" s="190">
        <v>21043</v>
      </c>
      <c r="V223" s="2365">
        <f t="shared" si="16"/>
        <v>76941.007700000002</v>
      </c>
    </row>
    <row r="224" spans="1:22">
      <c r="A224" s="972">
        <f t="shared" si="12"/>
        <v>2011.11</v>
      </c>
      <c r="B224" s="223">
        <v>747</v>
      </c>
      <c r="C224" s="1398">
        <v>96</v>
      </c>
      <c r="D224" s="1398">
        <v>8954.48</v>
      </c>
      <c r="E224" s="1398">
        <v>296.92200000000003</v>
      </c>
      <c r="F224" s="223">
        <v>0</v>
      </c>
      <c r="G224" s="3538">
        <v>0</v>
      </c>
      <c r="H224" s="2364">
        <f t="shared" si="13"/>
        <v>0</v>
      </c>
      <c r="I224" s="223">
        <v>14750.941999999999</v>
      </c>
      <c r="J224" s="1299">
        <v>0</v>
      </c>
      <c r="K224" s="1602">
        <f t="shared" si="17"/>
        <v>14750.941999999999</v>
      </c>
      <c r="L224" s="947">
        <v>127985.05320000001</v>
      </c>
      <c r="M224" s="190">
        <v>6820.9295000000002</v>
      </c>
      <c r="N224" s="1398">
        <v>3192.33</v>
      </c>
      <c r="O224" s="2394">
        <f t="shared" si="15"/>
        <v>137998.31270000001</v>
      </c>
      <c r="P224" s="1398">
        <v>2969</v>
      </c>
      <c r="Q224" s="1398">
        <v>35857.789900000003</v>
      </c>
      <c r="R224" s="1398">
        <v>13550.921899999999</v>
      </c>
      <c r="S224" s="1398">
        <v>3617.0763999999999</v>
      </c>
      <c r="T224" s="947">
        <v>0</v>
      </c>
      <c r="U224" s="190">
        <v>20685.5</v>
      </c>
      <c r="V224" s="2365">
        <f t="shared" si="16"/>
        <v>76680.28820000001</v>
      </c>
    </row>
    <row r="225" spans="1:22">
      <c r="A225" s="972">
        <f t="shared" si="12"/>
        <v>2011.12</v>
      </c>
      <c r="B225" s="223">
        <v>809</v>
      </c>
      <c r="C225" s="1398">
        <v>88</v>
      </c>
      <c r="D225" s="1398">
        <v>7452.63</v>
      </c>
      <c r="E225" s="1398">
        <v>267.65100000000001</v>
      </c>
      <c r="F225" s="223">
        <v>0</v>
      </c>
      <c r="G225" s="3538">
        <v>0</v>
      </c>
      <c r="H225" s="2364">
        <f t="shared" si="13"/>
        <v>0</v>
      </c>
      <c r="I225" s="223">
        <v>14402.795</v>
      </c>
      <c r="J225" s="1299">
        <v>0</v>
      </c>
      <c r="K225" s="1602">
        <f t="shared" si="17"/>
        <v>14402.795</v>
      </c>
      <c r="L225" s="947">
        <v>125601.6161</v>
      </c>
      <c r="M225" s="190">
        <v>10820.499399999999</v>
      </c>
      <c r="N225" s="1398">
        <v>2968.07</v>
      </c>
      <c r="O225" s="2394">
        <f t="shared" si="15"/>
        <v>139390.18549999999</v>
      </c>
      <c r="P225" s="1398">
        <v>2255.0100000000002</v>
      </c>
      <c r="Q225" s="1398">
        <v>41824.187400000003</v>
      </c>
      <c r="R225" s="1398">
        <v>15030.2618</v>
      </c>
      <c r="S225" s="1398">
        <v>4167.3954999999996</v>
      </c>
      <c r="T225" s="947">
        <v>0</v>
      </c>
      <c r="U225" s="190">
        <v>21351.1</v>
      </c>
      <c r="V225" s="2365">
        <f t="shared" si="16"/>
        <v>84627.954700000002</v>
      </c>
    </row>
    <row r="226" spans="1:22">
      <c r="A226" s="972">
        <f t="shared" si="12"/>
        <v>2012.01</v>
      </c>
      <c r="B226" s="223">
        <v>1144</v>
      </c>
      <c r="C226" s="1398">
        <v>85</v>
      </c>
      <c r="D226" s="1398">
        <v>6647.32</v>
      </c>
      <c r="E226" s="1398">
        <v>130.62200000000001</v>
      </c>
      <c r="F226" s="223">
        <v>0</v>
      </c>
      <c r="G226" s="3538">
        <v>0</v>
      </c>
      <c r="H226" s="2364">
        <f t="shared" si="13"/>
        <v>0</v>
      </c>
      <c r="I226" s="223">
        <v>15042.078</v>
      </c>
      <c r="J226" s="1299">
        <v>0</v>
      </c>
      <c r="K226" s="1602">
        <f t="shared" si="17"/>
        <v>15042.078</v>
      </c>
      <c r="L226" s="947">
        <v>113913.6719</v>
      </c>
      <c r="M226" s="190">
        <v>6941.8059999999996</v>
      </c>
      <c r="N226" s="1398">
        <v>1598.9</v>
      </c>
      <c r="O226" s="2394">
        <f t="shared" si="15"/>
        <v>122454.37789999999</v>
      </c>
      <c r="P226" s="1398">
        <v>2259.1799999999998</v>
      </c>
      <c r="Q226" s="1398">
        <v>40303.052299999996</v>
      </c>
      <c r="R226" s="1398">
        <v>13659.3727</v>
      </c>
      <c r="S226" s="1398">
        <v>4236.0039999999999</v>
      </c>
      <c r="T226" s="947">
        <v>0</v>
      </c>
      <c r="U226" s="190">
        <v>20840.099999999999</v>
      </c>
      <c r="V226" s="2365">
        <f t="shared" si="16"/>
        <v>81297.709000000003</v>
      </c>
    </row>
    <row r="227" spans="1:22">
      <c r="A227" s="972">
        <f t="shared" si="12"/>
        <v>2012.02</v>
      </c>
      <c r="B227" s="223">
        <v>749</v>
      </c>
      <c r="C227" s="1398">
        <v>75</v>
      </c>
      <c r="D227" s="1398">
        <v>5911.6509999999998</v>
      </c>
      <c r="E227" s="1398">
        <v>189.358</v>
      </c>
      <c r="F227" s="223">
        <v>0</v>
      </c>
      <c r="G227" s="3538">
        <v>0</v>
      </c>
      <c r="H227" s="2364">
        <f t="shared" si="13"/>
        <v>0</v>
      </c>
      <c r="I227" s="223">
        <v>13058.502200000003</v>
      </c>
      <c r="J227" s="1299">
        <v>0</v>
      </c>
      <c r="K227" s="1602">
        <f t="shared" si="17"/>
        <v>13058.502200000003</v>
      </c>
      <c r="L227" s="947">
        <v>100970.74160000001</v>
      </c>
      <c r="M227" s="190">
        <v>5235.5612000000001</v>
      </c>
      <c r="N227" s="1398">
        <v>1721.3</v>
      </c>
      <c r="O227" s="2394">
        <f t="shared" si="15"/>
        <v>107927.60280000001</v>
      </c>
      <c r="P227" s="1398">
        <v>1678</v>
      </c>
      <c r="Q227" s="1398">
        <v>37406.2549</v>
      </c>
      <c r="R227" s="1398">
        <v>13628.275399999999</v>
      </c>
      <c r="S227" s="1398">
        <v>3923.6545000000001</v>
      </c>
      <c r="T227" s="947">
        <v>0</v>
      </c>
      <c r="U227" s="190">
        <v>21124.3</v>
      </c>
      <c r="V227" s="2365">
        <f t="shared" si="16"/>
        <v>77760.484799999991</v>
      </c>
    </row>
    <row r="228" spans="1:22">
      <c r="A228" s="972">
        <f t="shared" si="12"/>
        <v>2012.03</v>
      </c>
      <c r="B228" s="223">
        <v>1282</v>
      </c>
      <c r="C228" s="1398">
        <v>99</v>
      </c>
      <c r="D228" s="1398">
        <v>8333.17</v>
      </c>
      <c r="E228" s="1398">
        <v>226.73099999999999</v>
      </c>
      <c r="F228" s="223">
        <v>0</v>
      </c>
      <c r="G228" s="3538">
        <v>0</v>
      </c>
      <c r="H228" s="2364">
        <f t="shared" si="13"/>
        <v>0</v>
      </c>
      <c r="I228" s="223">
        <v>2511.3449999999998</v>
      </c>
      <c r="J228" s="1299">
        <v>0</v>
      </c>
      <c r="K228" s="1602">
        <f t="shared" si="17"/>
        <v>2511.3449999999998</v>
      </c>
      <c r="L228" s="947">
        <v>123176.28030000001</v>
      </c>
      <c r="M228" s="190">
        <v>12605.564200000001</v>
      </c>
      <c r="N228" s="1398">
        <v>1538.6</v>
      </c>
      <c r="O228" s="2394">
        <f t="shared" si="15"/>
        <v>137320.44450000001</v>
      </c>
      <c r="P228" s="1398">
        <v>2001.2</v>
      </c>
      <c r="Q228" s="1398">
        <v>41134.136299999998</v>
      </c>
      <c r="R228" s="1398">
        <v>13479.423500000001</v>
      </c>
      <c r="S228" s="1398">
        <v>4206.4355000000005</v>
      </c>
      <c r="T228" s="947">
        <v>0</v>
      </c>
      <c r="U228" s="190">
        <v>20972.1</v>
      </c>
      <c r="V228" s="2365">
        <f t="shared" si="16"/>
        <v>81793.295299999998</v>
      </c>
    </row>
    <row r="229" spans="1:22">
      <c r="A229" s="972">
        <f t="shared" si="12"/>
        <v>2012.04</v>
      </c>
      <c r="B229" s="223">
        <v>665</v>
      </c>
      <c r="C229" s="1398">
        <v>62</v>
      </c>
      <c r="D229" s="1398">
        <v>5563.1100000000006</v>
      </c>
      <c r="E229" s="1398">
        <v>291</v>
      </c>
      <c r="F229" s="223">
        <v>0</v>
      </c>
      <c r="G229" s="3538">
        <v>0</v>
      </c>
      <c r="H229" s="2364">
        <f t="shared" si="13"/>
        <v>0</v>
      </c>
      <c r="I229" s="223">
        <v>5221.0169999999998</v>
      </c>
      <c r="J229" s="1299">
        <v>5143.5150000000003</v>
      </c>
      <c r="K229" s="1602">
        <f t="shared" si="17"/>
        <v>10364.531999999999</v>
      </c>
      <c r="L229" s="947">
        <v>131103.48980000001</v>
      </c>
      <c r="M229" s="190">
        <v>8983.531500000001</v>
      </c>
      <c r="N229" s="1398">
        <v>2016.9</v>
      </c>
      <c r="O229" s="2394">
        <f t="shared" si="15"/>
        <v>142103.92130000002</v>
      </c>
      <c r="P229" s="1398">
        <v>2101</v>
      </c>
      <c r="Q229" s="1398">
        <v>36370.155700000003</v>
      </c>
      <c r="R229" s="1398">
        <v>12959.845499999999</v>
      </c>
      <c r="S229" s="1398">
        <v>3912.4785999999999</v>
      </c>
      <c r="T229" s="947">
        <v>0</v>
      </c>
      <c r="U229" s="190">
        <v>20998.799999999999</v>
      </c>
      <c r="V229" s="2365">
        <f t="shared" si="16"/>
        <v>76342.279800000004</v>
      </c>
    </row>
    <row r="230" spans="1:22">
      <c r="A230" s="972">
        <f t="shared" si="12"/>
        <v>2012.05</v>
      </c>
      <c r="B230" s="223">
        <v>702</v>
      </c>
      <c r="C230" s="1398">
        <v>65</v>
      </c>
      <c r="D230" s="1398">
        <v>4791.66</v>
      </c>
      <c r="E230" s="1398">
        <v>493.85699999999997</v>
      </c>
      <c r="F230" s="223">
        <v>0</v>
      </c>
      <c r="G230" s="3538">
        <v>0</v>
      </c>
      <c r="H230" s="2364">
        <f t="shared" si="13"/>
        <v>0</v>
      </c>
      <c r="I230" s="223">
        <v>19680.263999999999</v>
      </c>
      <c r="J230" s="1299">
        <v>54.58</v>
      </c>
      <c r="K230" s="1602">
        <f t="shared" si="17"/>
        <v>19734.844000000001</v>
      </c>
      <c r="L230" s="947">
        <v>124712.014</v>
      </c>
      <c r="M230" s="190">
        <v>5486.9056</v>
      </c>
      <c r="N230" s="1398">
        <v>1189.0999999999999</v>
      </c>
      <c r="O230" s="2394">
        <f t="shared" si="15"/>
        <v>131388.0196</v>
      </c>
      <c r="P230" s="1398">
        <v>1971</v>
      </c>
      <c r="Q230" s="1398">
        <v>38481.029399999999</v>
      </c>
      <c r="R230" s="1398">
        <v>12745.9764</v>
      </c>
      <c r="S230" s="1398">
        <v>4093.1352999999999</v>
      </c>
      <c r="T230" s="947">
        <v>0</v>
      </c>
      <c r="U230" s="190">
        <v>21102.3</v>
      </c>
      <c r="V230" s="2365">
        <f t="shared" si="16"/>
        <v>78393.441099999996</v>
      </c>
    </row>
    <row r="231" spans="1:22">
      <c r="A231" s="972">
        <f t="shared" si="12"/>
        <v>2012.06</v>
      </c>
      <c r="B231" s="223">
        <v>771</v>
      </c>
      <c r="C231" s="1398">
        <v>61</v>
      </c>
      <c r="D231" s="1398">
        <v>3425.12</v>
      </c>
      <c r="E231" s="1398">
        <v>585.21900000000005</v>
      </c>
      <c r="F231" s="223">
        <v>0</v>
      </c>
      <c r="G231" s="3538">
        <v>0</v>
      </c>
      <c r="H231" s="2364">
        <f t="shared" si="13"/>
        <v>0</v>
      </c>
      <c r="I231" s="223">
        <v>33116.129000000001</v>
      </c>
      <c r="J231" s="1299">
        <v>0</v>
      </c>
      <c r="K231" s="1602">
        <f t="shared" si="17"/>
        <v>33116.129000000001</v>
      </c>
      <c r="L231" s="947">
        <v>120631.43919999999</v>
      </c>
      <c r="M231" s="190">
        <v>5627.6724999999997</v>
      </c>
      <c r="N231" s="1398">
        <v>1257.3</v>
      </c>
      <c r="O231" s="2394">
        <f t="shared" si="15"/>
        <v>127516.4117</v>
      </c>
      <c r="P231" s="1398">
        <v>2453.21</v>
      </c>
      <c r="Q231" s="1398">
        <v>38169.984799999998</v>
      </c>
      <c r="R231" s="1398">
        <v>13110.3333</v>
      </c>
      <c r="S231" s="1398">
        <v>3972.9506999999999</v>
      </c>
      <c r="T231" s="947">
        <v>0</v>
      </c>
      <c r="U231" s="190">
        <v>20957.900000000001</v>
      </c>
      <c r="V231" s="2365">
        <f t="shared" si="16"/>
        <v>78664.378800000006</v>
      </c>
    </row>
    <row r="232" spans="1:22">
      <c r="A232" s="972">
        <f t="shared" si="12"/>
        <v>2012.07</v>
      </c>
      <c r="B232" s="223">
        <v>1064</v>
      </c>
      <c r="C232" s="1398">
        <v>68</v>
      </c>
      <c r="D232" s="1398">
        <v>4732.38</v>
      </c>
      <c r="E232" s="1398">
        <v>741.32500000000005</v>
      </c>
      <c r="F232" s="223">
        <v>0</v>
      </c>
      <c r="G232" s="3538">
        <v>0</v>
      </c>
      <c r="H232" s="2364">
        <f t="shared" si="13"/>
        <v>0</v>
      </c>
      <c r="I232" s="223">
        <v>40067.269</v>
      </c>
      <c r="J232" s="1299">
        <v>0</v>
      </c>
      <c r="K232" s="1602">
        <f t="shared" si="17"/>
        <v>40067.269</v>
      </c>
      <c r="L232" s="947">
        <v>126003.99649999999</v>
      </c>
      <c r="M232" s="190">
        <v>6469.4333000000006</v>
      </c>
      <c r="N232" s="1398">
        <v>890.3</v>
      </c>
      <c r="O232" s="2394">
        <f t="shared" si="15"/>
        <v>133363.72979999997</v>
      </c>
      <c r="P232" s="1398">
        <v>2574</v>
      </c>
      <c r="Q232" s="1398">
        <v>41253.826699999998</v>
      </c>
      <c r="R232" s="1398">
        <v>14433.9308</v>
      </c>
      <c r="S232" s="1398">
        <v>4050.2882</v>
      </c>
      <c r="T232" s="947">
        <v>0</v>
      </c>
      <c r="U232" s="190">
        <v>19600.099999999999</v>
      </c>
      <c r="V232" s="2365">
        <f t="shared" si="16"/>
        <v>81912.145699999994</v>
      </c>
    </row>
    <row r="233" spans="1:22">
      <c r="A233" s="972">
        <f t="shared" si="12"/>
        <v>2012.08</v>
      </c>
      <c r="B233" s="223">
        <v>820</v>
      </c>
      <c r="C233" s="1398">
        <v>50</v>
      </c>
      <c r="D233" s="1398">
        <v>3748.7</v>
      </c>
      <c r="E233" s="1398">
        <v>359</v>
      </c>
      <c r="F233" s="223">
        <v>0</v>
      </c>
      <c r="G233" s="3538">
        <v>0</v>
      </c>
      <c r="H233" s="2364">
        <f t="shared" si="13"/>
        <v>0</v>
      </c>
      <c r="I233" s="223">
        <v>34365.108</v>
      </c>
      <c r="J233" s="1299">
        <v>0</v>
      </c>
      <c r="K233" s="1602">
        <f t="shared" si="17"/>
        <v>34365.108</v>
      </c>
      <c r="L233" s="947">
        <v>119829.7037</v>
      </c>
      <c r="M233" s="190">
        <v>5744.5185000000001</v>
      </c>
      <c r="N233" s="1398">
        <v>2254.1999999999998</v>
      </c>
      <c r="O233" s="2394">
        <f t="shared" si="15"/>
        <v>127828.4222</v>
      </c>
      <c r="P233" s="1398">
        <v>2193</v>
      </c>
      <c r="Q233" s="1398">
        <v>40512.922099999996</v>
      </c>
      <c r="R233" s="1398">
        <v>13813.5093</v>
      </c>
      <c r="S233" s="1398">
        <v>3598.4758000000002</v>
      </c>
      <c r="T233" s="947">
        <v>66</v>
      </c>
      <c r="U233" s="190">
        <v>22621.200000000001</v>
      </c>
      <c r="V233" s="2365">
        <f t="shared" si="16"/>
        <v>82805.107199999999</v>
      </c>
    </row>
    <row r="234" spans="1:22">
      <c r="A234" s="972">
        <f t="shared" si="12"/>
        <v>2012.09</v>
      </c>
      <c r="B234" s="223">
        <v>891</v>
      </c>
      <c r="C234" s="1398">
        <v>67</v>
      </c>
      <c r="D234" s="1398">
        <v>3104.34</v>
      </c>
      <c r="E234" s="1398">
        <v>234.88200000000001</v>
      </c>
      <c r="F234" s="223">
        <v>18</v>
      </c>
      <c r="G234" s="3538">
        <v>0</v>
      </c>
      <c r="H234" s="2364">
        <f t="shared" si="13"/>
        <v>18</v>
      </c>
      <c r="I234" s="223">
        <v>6990.45</v>
      </c>
      <c r="J234" s="1299">
        <v>0</v>
      </c>
      <c r="K234" s="1602">
        <f t="shared" si="17"/>
        <v>6990.45</v>
      </c>
      <c r="L234" s="947">
        <v>110577.1335</v>
      </c>
      <c r="M234" s="190">
        <v>5505.5272000000004</v>
      </c>
      <c r="N234" s="1398">
        <v>156.4</v>
      </c>
      <c r="O234" s="2394">
        <f t="shared" si="15"/>
        <v>116239.06069999999</v>
      </c>
      <c r="P234" s="1398">
        <v>1740</v>
      </c>
      <c r="Q234" s="1398">
        <v>39378.091500000002</v>
      </c>
      <c r="R234" s="1398">
        <v>12936.747100000001</v>
      </c>
      <c r="S234" s="1398">
        <v>2205.0151000000001</v>
      </c>
      <c r="T234" s="947">
        <v>46</v>
      </c>
      <c r="U234" s="190">
        <v>20767.599999999999</v>
      </c>
      <c r="V234" s="2365">
        <f t="shared" si="16"/>
        <v>77073.453699999998</v>
      </c>
    </row>
    <row r="235" spans="1:22">
      <c r="A235" s="972">
        <f t="shared" si="12"/>
        <v>2012.1</v>
      </c>
      <c r="B235" s="223">
        <v>1030</v>
      </c>
      <c r="C235" s="1398">
        <v>121</v>
      </c>
      <c r="D235" s="1398">
        <v>2441.3000000000002</v>
      </c>
      <c r="E235" s="1398">
        <v>260.86</v>
      </c>
      <c r="F235" s="223">
        <v>0</v>
      </c>
      <c r="G235" s="3538">
        <v>0</v>
      </c>
      <c r="H235" s="2364">
        <f t="shared" si="13"/>
        <v>0</v>
      </c>
      <c r="I235" s="223">
        <v>9903.92</v>
      </c>
      <c r="J235" s="1299">
        <v>0</v>
      </c>
      <c r="K235" s="1602">
        <f t="shared" si="17"/>
        <v>9903.92</v>
      </c>
      <c r="L235" s="947">
        <v>113940.8168</v>
      </c>
      <c r="M235" s="190">
        <v>17523.2045</v>
      </c>
      <c r="N235" s="1398">
        <v>29.9</v>
      </c>
      <c r="O235" s="2394">
        <f t="shared" si="15"/>
        <v>131493.92129999999</v>
      </c>
      <c r="P235" s="1398">
        <v>1783</v>
      </c>
      <c r="Q235" s="1398">
        <v>40608.739499999996</v>
      </c>
      <c r="R235" s="1398">
        <v>14390.519</v>
      </c>
      <c r="S235" s="1398">
        <v>4364.2334000000001</v>
      </c>
      <c r="T235" s="947">
        <v>64</v>
      </c>
      <c r="U235" s="190">
        <v>17160.400000000001</v>
      </c>
      <c r="V235" s="2365">
        <f t="shared" si="16"/>
        <v>78370.891899999988</v>
      </c>
    </row>
    <row r="236" spans="1:22">
      <c r="A236" s="972">
        <f t="shared" si="12"/>
        <v>2012.11</v>
      </c>
      <c r="B236" s="223">
        <v>895</v>
      </c>
      <c r="C236" s="1398">
        <v>75</v>
      </c>
      <c r="D236" s="1398">
        <v>3274.06</v>
      </c>
      <c r="E236" s="1398">
        <v>202.32900000000001</v>
      </c>
      <c r="F236" s="223">
        <v>0</v>
      </c>
      <c r="G236" s="3538">
        <v>0</v>
      </c>
      <c r="H236" s="2364">
        <f t="shared" si="13"/>
        <v>0</v>
      </c>
      <c r="I236" s="223">
        <v>1520.252</v>
      </c>
      <c r="J236" s="1299">
        <v>0</v>
      </c>
      <c r="K236" s="1602">
        <f t="shared" si="17"/>
        <v>1520.252</v>
      </c>
      <c r="L236" s="947">
        <v>123072.79310000001</v>
      </c>
      <c r="M236" s="190">
        <v>6183.7187999999996</v>
      </c>
      <c r="N236" s="1398">
        <v>1893.9</v>
      </c>
      <c r="O236" s="2394">
        <f t="shared" si="15"/>
        <v>131150.41190000001</v>
      </c>
      <c r="P236" s="1398">
        <v>1490</v>
      </c>
      <c r="Q236" s="1398">
        <v>40044.734199999999</v>
      </c>
      <c r="R236" s="1398">
        <v>13756.975699999999</v>
      </c>
      <c r="S236" s="1398">
        <v>3872.2435999999998</v>
      </c>
      <c r="T236" s="947">
        <v>96</v>
      </c>
      <c r="U236" s="190">
        <v>24507.7</v>
      </c>
      <c r="V236" s="2365">
        <f t="shared" si="16"/>
        <v>83767.6535</v>
      </c>
    </row>
    <row r="237" spans="1:22">
      <c r="A237" s="972">
        <f t="shared" si="12"/>
        <v>2012.12</v>
      </c>
      <c r="B237" s="223">
        <v>1185</v>
      </c>
      <c r="C237" s="1398">
        <v>54</v>
      </c>
      <c r="D237" s="1398">
        <v>1720.28</v>
      </c>
      <c r="E237" s="1398">
        <v>182.35499999999999</v>
      </c>
      <c r="F237" s="223">
        <v>0</v>
      </c>
      <c r="G237" s="3538">
        <v>0</v>
      </c>
      <c r="H237" s="2364">
        <f t="shared" si="13"/>
        <v>0</v>
      </c>
      <c r="I237" s="223">
        <v>12449.456</v>
      </c>
      <c r="J237" s="1299">
        <v>0</v>
      </c>
      <c r="K237" s="1602">
        <f t="shared" si="17"/>
        <v>12449.456</v>
      </c>
      <c r="L237" s="947">
        <v>111847.2838</v>
      </c>
      <c r="M237" s="190">
        <v>4526.3134</v>
      </c>
      <c r="N237" s="1398">
        <v>2239.3000000000002</v>
      </c>
      <c r="O237" s="2394">
        <f t="shared" si="15"/>
        <v>118612.89720000001</v>
      </c>
      <c r="P237" s="1398">
        <v>1877</v>
      </c>
      <c r="Q237" s="1398">
        <v>43847.686799999996</v>
      </c>
      <c r="R237" s="1398">
        <v>15198.693299999999</v>
      </c>
      <c r="S237" s="1398">
        <v>3606.8105</v>
      </c>
      <c r="T237" s="947">
        <v>54</v>
      </c>
      <c r="U237" s="190">
        <v>21337.200000000001</v>
      </c>
      <c r="V237" s="2365">
        <f t="shared" si="16"/>
        <v>85921.390599999999</v>
      </c>
    </row>
    <row r="238" spans="1:22">
      <c r="A238" s="972">
        <f t="shared" si="12"/>
        <v>2013.01</v>
      </c>
      <c r="B238" s="223">
        <v>433</v>
      </c>
      <c r="C238" s="1398">
        <v>95</v>
      </c>
      <c r="D238" s="1398">
        <v>3179.8999999999996</v>
      </c>
      <c r="E238" s="1398">
        <v>169.7</v>
      </c>
      <c r="F238" s="223">
        <v>72</v>
      </c>
      <c r="G238" s="3538">
        <v>0</v>
      </c>
      <c r="H238" s="2364">
        <f t="shared" si="13"/>
        <v>72</v>
      </c>
      <c r="I238" s="223">
        <v>1775</v>
      </c>
      <c r="J238" s="1299">
        <v>0</v>
      </c>
      <c r="K238" s="1602">
        <f t="shared" si="17"/>
        <v>1775</v>
      </c>
      <c r="L238" s="947">
        <v>116329.7</v>
      </c>
      <c r="M238" s="190">
        <v>2314</v>
      </c>
      <c r="N238" s="1398">
        <v>49.1</v>
      </c>
      <c r="O238" s="2394">
        <f t="shared" si="15"/>
        <v>118692.8</v>
      </c>
      <c r="P238" s="1398">
        <v>1863</v>
      </c>
      <c r="Q238" s="1398">
        <v>44046.2477</v>
      </c>
      <c r="R238" s="1398">
        <v>15156.8295</v>
      </c>
      <c r="S238" s="1398">
        <v>2247</v>
      </c>
      <c r="T238" s="947">
        <v>37</v>
      </c>
      <c r="U238" s="190">
        <v>20806.2</v>
      </c>
      <c r="V238" s="2365">
        <f t="shared" si="16"/>
        <v>84156.277199999997</v>
      </c>
    </row>
    <row r="239" spans="1:22">
      <c r="A239" s="972">
        <f t="shared" si="12"/>
        <v>2013.02</v>
      </c>
      <c r="B239" s="223">
        <v>408</v>
      </c>
      <c r="C239" s="1398">
        <v>92</v>
      </c>
      <c r="D239" s="1398">
        <v>2560.3200000000002</v>
      </c>
      <c r="E239" s="1398">
        <v>153.99599999999998</v>
      </c>
      <c r="F239" s="223">
        <v>152</v>
      </c>
      <c r="G239" s="3538">
        <v>0</v>
      </c>
      <c r="H239" s="2364">
        <f t="shared" si="13"/>
        <v>152</v>
      </c>
      <c r="I239" s="223">
        <v>5581.9989999999998</v>
      </c>
      <c r="J239" s="1299">
        <v>0</v>
      </c>
      <c r="K239" s="1602">
        <f t="shared" si="17"/>
        <v>5581.9989999999998</v>
      </c>
      <c r="L239" s="947">
        <v>91301.712400000004</v>
      </c>
      <c r="M239" s="190">
        <v>1659.3903</v>
      </c>
      <c r="N239" s="1398">
        <v>62.3</v>
      </c>
      <c r="O239" s="2394">
        <f t="shared" si="15"/>
        <v>93023.402700000006</v>
      </c>
      <c r="P239" s="1398">
        <v>561</v>
      </c>
      <c r="Q239" s="1398">
        <v>37850.146200000003</v>
      </c>
      <c r="R239" s="1398">
        <v>13222.6116</v>
      </c>
      <c r="S239" s="1398">
        <v>542.04340000000002</v>
      </c>
      <c r="T239" s="947">
        <v>9</v>
      </c>
      <c r="U239" s="190">
        <v>21016.9</v>
      </c>
      <c r="V239" s="2365">
        <f t="shared" si="16"/>
        <v>73201.70120000001</v>
      </c>
    </row>
    <row r="240" spans="1:22">
      <c r="A240" s="972">
        <f t="shared" si="12"/>
        <v>2013.03</v>
      </c>
      <c r="B240" s="223">
        <v>482</v>
      </c>
      <c r="C240" s="1398">
        <v>80</v>
      </c>
      <c r="D240" s="1398">
        <v>3066.94</v>
      </c>
      <c r="E240" s="1398">
        <v>182.744</v>
      </c>
      <c r="F240" s="223">
        <v>0</v>
      </c>
      <c r="G240" s="3538">
        <v>0</v>
      </c>
      <c r="H240" s="2364">
        <f t="shared" si="13"/>
        <v>0</v>
      </c>
      <c r="I240" s="223">
        <v>12644.162</v>
      </c>
      <c r="J240" s="1299">
        <v>0</v>
      </c>
      <c r="K240" s="1602">
        <f t="shared" si="17"/>
        <v>12644.162</v>
      </c>
      <c r="L240" s="947">
        <v>113437.228</v>
      </c>
      <c r="M240" s="190">
        <v>2625.6961999999999</v>
      </c>
      <c r="N240" s="1398">
        <v>203.5</v>
      </c>
      <c r="O240" s="2394">
        <f t="shared" si="15"/>
        <v>116266.42420000001</v>
      </c>
      <c r="P240" s="1398">
        <v>268</v>
      </c>
      <c r="Q240" s="1398">
        <v>40912.304300000003</v>
      </c>
      <c r="R240" s="1398">
        <v>13836.5723</v>
      </c>
      <c r="S240" s="1398">
        <v>496.65109999999999</v>
      </c>
      <c r="T240" s="947">
        <v>67</v>
      </c>
      <c r="U240" s="190">
        <v>21159.9</v>
      </c>
      <c r="V240" s="2365">
        <f t="shared" si="16"/>
        <v>76740.4277</v>
      </c>
    </row>
    <row r="241" spans="1:22">
      <c r="A241" s="972">
        <f t="shared" si="12"/>
        <v>2013.04</v>
      </c>
      <c r="B241" s="223">
        <v>472</v>
      </c>
      <c r="C241" s="1398">
        <v>71</v>
      </c>
      <c r="D241" s="1398">
        <v>3202.74</v>
      </c>
      <c r="E241" s="1398">
        <v>611.66</v>
      </c>
      <c r="F241" s="223">
        <v>180</v>
      </c>
      <c r="G241" s="3538">
        <v>0</v>
      </c>
      <c r="H241" s="2364">
        <f t="shared" si="13"/>
        <v>180</v>
      </c>
      <c r="I241" s="223">
        <v>14876.671</v>
      </c>
      <c r="J241" s="1299">
        <v>0</v>
      </c>
      <c r="K241" s="1602">
        <f t="shared" si="17"/>
        <v>14876.671</v>
      </c>
      <c r="L241" s="947">
        <v>130214.17509999999</v>
      </c>
      <c r="M241" s="190">
        <v>1872.9347</v>
      </c>
      <c r="N241" s="1398">
        <v>44.7</v>
      </c>
      <c r="O241" s="2394">
        <f t="shared" si="15"/>
        <v>132131.80980000002</v>
      </c>
      <c r="P241" s="1398">
        <v>308</v>
      </c>
      <c r="Q241" s="1398">
        <v>37793.8416</v>
      </c>
      <c r="R241" s="1398">
        <v>14088.7546</v>
      </c>
      <c r="S241" s="1398">
        <v>493.37240000000003</v>
      </c>
      <c r="T241" s="947">
        <v>62</v>
      </c>
      <c r="U241" s="190">
        <v>20996</v>
      </c>
      <c r="V241" s="2365">
        <f t="shared" si="16"/>
        <v>73741.968599999993</v>
      </c>
    </row>
    <row r="242" spans="1:22">
      <c r="A242" s="972">
        <f t="shared" ref="A242:A306" si="18">A230+1</f>
        <v>2013.05</v>
      </c>
      <c r="B242" s="223">
        <v>466</v>
      </c>
      <c r="C242" s="1398">
        <v>53</v>
      </c>
      <c r="D242" s="1398">
        <v>4279.42</v>
      </c>
      <c r="E242" s="1398">
        <v>388.02100000000002</v>
      </c>
      <c r="F242" s="223">
        <v>34</v>
      </c>
      <c r="G242" s="3538">
        <v>0</v>
      </c>
      <c r="H242" s="2364">
        <f t="shared" si="13"/>
        <v>34</v>
      </c>
      <c r="I242" s="223">
        <v>15274.428</v>
      </c>
      <c r="J242" s="1299">
        <v>0</v>
      </c>
      <c r="K242" s="1602">
        <f t="shared" si="17"/>
        <v>15274.428</v>
      </c>
      <c r="L242" s="947">
        <v>128209.57500000001</v>
      </c>
      <c r="M242" s="190">
        <v>2625.1934999999999</v>
      </c>
      <c r="N242" s="1398">
        <v>92.4</v>
      </c>
      <c r="O242" s="2394">
        <f t="shared" si="15"/>
        <v>130927.1685</v>
      </c>
      <c r="P242" s="1398">
        <v>411</v>
      </c>
      <c r="Q242" s="1398">
        <v>41140.019800000002</v>
      </c>
      <c r="R242" s="1398">
        <v>13933.4627</v>
      </c>
      <c r="S242" s="1398">
        <v>735.4067</v>
      </c>
      <c r="T242" s="947">
        <v>92</v>
      </c>
      <c r="U242" s="190">
        <v>20915.3</v>
      </c>
      <c r="V242" s="2365">
        <f t="shared" si="16"/>
        <v>77227.189199999993</v>
      </c>
    </row>
    <row r="243" spans="1:22">
      <c r="A243" s="972">
        <f t="shared" si="18"/>
        <v>2013.06</v>
      </c>
      <c r="B243" s="223">
        <v>367</v>
      </c>
      <c r="C243" s="1398">
        <v>57</v>
      </c>
      <c r="D243" s="1398">
        <v>3260.09</v>
      </c>
      <c r="E243" s="1398">
        <v>409.05200000000002</v>
      </c>
      <c r="F243" s="223">
        <v>0</v>
      </c>
      <c r="G243" s="3538">
        <v>0</v>
      </c>
      <c r="H243" s="2364">
        <f t="shared" si="13"/>
        <v>0</v>
      </c>
      <c r="I243" s="223">
        <v>20537.303</v>
      </c>
      <c r="J243" s="1299">
        <v>0</v>
      </c>
      <c r="K243" s="1602">
        <f t="shared" si="17"/>
        <v>20537.303</v>
      </c>
      <c r="L243" s="947">
        <v>113571.2032</v>
      </c>
      <c r="M243" s="190">
        <v>2193.6803</v>
      </c>
      <c r="N243" s="1398">
        <v>24.9</v>
      </c>
      <c r="O243" s="2394">
        <f t="shared" si="15"/>
        <v>115789.78349999999</v>
      </c>
      <c r="P243" s="1398">
        <v>654</v>
      </c>
      <c r="Q243" s="1398">
        <v>38538.348899999997</v>
      </c>
      <c r="R243" s="1398">
        <v>13722.6502</v>
      </c>
      <c r="S243" s="1398">
        <v>630.68629999999996</v>
      </c>
      <c r="T243" s="947">
        <v>105</v>
      </c>
      <c r="U243" s="190">
        <v>20315.400000000001</v>
      </c>
      <c r="V243" s="2365">
        <f t="shared" si="16"/>
        <v>73966.085400000011</v>
      </c>
    </row>
    <row r="244" spans="1:22">
      <c r="A244" s="972">
        <f t="shared" si="18"/>
        <v>2013.07</v>
      </c>
      <c r="B244" s="223">
        <v>375</v>
      </c>
      <c r="C244" s="1398">
        <v>59</v>
      </c>
      <c r="D244" s="1398">
        <v>3974.74</v>
      </c>
      <c r="E244" s="1398">
        <v>455.072</v>
      </c>
      <c r="F244" s="223">
        <v>0</v>
      </c>
      <c r="G244" s="3538">
        <v>0</v>
      </c>
      <c r="H244" s="2364">
        <f t="shared" si="13"/>
        <v>0</v>
      </c>
      <c r="I244" s="223">
        <v>20434.709000000003</v>
      </c>
      <c r="J244" s="1299">
        <v>0</v>
      </c>
      <c r="K244" s="1602">
        <f t="shared" si="17"/>
        <v>20434.709000000003</v>
      </c>
      <c r="L244" s="947">
        <v>119756.2015</v>
      </c>
      <c r="M244" s="190">
        <v>2228.2903999999999</v>
      </c>
      <c r="N244" s="1398">
        <v>128.69999999999999</v>
      </c>
      <c r="O244" s="2394">
        <f t="shared" si="15"/>
        <v>122113.19189999999</v>
      </c>
      <c r="P244" s="1398">
        <v>802</v>
      </c>
      <c r="Q244" s="1398">
        <v>42897.880499999999</v>
      </c>
      <c r="R244" s="1398">
        <v>14512.5537</v>
      </c>
      <c r="S244" s="1398">
        <v>1437.4303</v>
      </c>
      <c r="T244" s="947">
        <v>79</v>
      </c>
      <c r="U244" s="190">
        <v>19752.599999999999</v>
      </c>
      <c r="V244" s="2365">
        <f t="shared" si="16"/>
        <v>79481.464500000002</v>
      </c>
    </row>
    <row r="245" spans="1:22">
      <c r="A245" s="972">
        <f t="shared" si="18"/>
        <v>2013.08</v>
      </c>
      <c r="B245" s="223">
        <v>505</v>
      </c>
      <c r="C245" s="1398">
        <v>82</v>
      </c>
      <c r="D245" s="1398">
        <v>3640.04</v>
      </c>
      <c r="E245" s="1398">
        <v>290</v>
      </c>
      <c r="F245" s="223">
        <v>0</v>
      </c>
      <c r="G245" s="3538">
        <v>0</v>
      </c>
      <c r="H245" s="2364">
        <f t="shared" si="13"/>
        <v>0</v>
      </c>
      <c r="I245" s="223">
        <v>11077.447</v>
      </c>
      <c r="J245" s="1299">
        <v>0</v>
      </c>
      <c r="K245" s="1602">
        <f t="shared" si="17"/>
        <v>11077.447</v>
      </c>
      <c r="L245" s="947">
        <v>117959.7111</v>
      </c>
      <c r="M245" s="190">
        <v>2137.1770999999999</v>
      </c>
      <c r="N245" s="1398">
        <v>64.7</v>
      </c>
      <c r="O245" s="2394">
        <f t="shared" si="15"/>
        <v>120161.5882</v>
      </c>
      <c r="P245" s="1398">
        <v>774</v>
      </c>
      <c r="Q245" s="1398">
        <v>41472.428</v>
      </c>
      <c r="R245" s="1398">
        <v>14450.9192</v>
      </c>
      <c r="S245" s="1398">
        <v>714.27670000000001</v>
      </c>
      <c r="T245" s="947">
        <v>97</v>
      </c>
      <c r="U245" s="190">
        <v>20203</v>
      </c>
      <c r="V245" s="2365">
        <f t="shared" si="16"/>
        <v>77711.623900000006</v>
      </c>
    </row>
    <row r="246" spans="1:22">
      <c r="A246" s="972">
        <f t="shared" si="18"/>
        <v>2013.09</v>
      </c>
      <c r="B246" s="223">
        <v>376</v>
      </c>
      <c r="C246" s="1398">
        <v>45</v>
      </c>
      <c r="D246" s="1398">
        <v>3643.48</v>
      </c>
      <c r="E246" s="1398">
        <v>120.229</v>
      </c>
      <c r="F246" s="223">
        <v>0</v>
      </c>
      <c r="G246" s="3538">
        <v>0</v>
      </c>
      <c r="H246" s="2364">
        <f t="shared" si="13"/>
        <v>0</v>
      </c>
      <c r="I246" s="223">
        <v>9129.8860000000004</v>
      </c>
      <c r="J246" s="1299">
        <v>0</v>
      </c>
      <c r="K246" s="1602">
        <f t="shared" si="17"/>
        <v>9129.8860000000004</v>
      </c>
      <c r="L246" s="947">
        <v>106468.16649999999</v>
      </c>
      <c r="M246" s="190">
        <v>2126.3177999999998</v>
      </c>
      <c r="N246" s="1398">
        <v>0</v>
      </c>
      <c r="O246" s="2394">
        <f t="shared" si="15"/>
        <v>108594.4843</v>
      </c>
      <c r="P246" s="1398">
        <v>604</v>
      </c>
      <c r="Q246" s="1398">
        <v>40296.768400000001</v>
      </c>
      <c r="R246" s="1398">
        <v>13406.847399999999</v>
      </c>
      <c r="S246" s="1398">
        <v>675.4769</v>
      </c>
      <c r="T246" s="947">
        <v>99</v>
      </c>
      <c r="U246" s="190">
        <v>18984.400000000001</v>
      </c>
      <c r="V246" s="2365">
        <f t="shared" si="16"/>
        <v>74066.492700000003</v>
      </c>
    </row>
    <row r="247" spans="1:22">
      <c r="A247" s="972">
        <f t="shared" si="18"/>
        <v>2013.1</v>
      </c>
      <c r="B247" s="223">
        <v>372</v>
      </c>
      <c r="C247" s="1398">
        <v>44</v>
      </c>
      <c r="D247" s="1398">
        <v>3851.6</v>
      </c>
      <c r="E247" s="1398">
        <v>484.83199999999999</v>
      </c>
      <c r="F247" s="223">
        <v>0</v>
      </c>
      <c r="G247" s="3538">
        <v>0</v>
      </c>
      <c r="H247" s="2364">
        <f t="shared" si="13"/>
        <v>0</v>
      </c>
      <c r="I247" s="223">
        <v>14279.144</v>
      </c>
      <c r="J247" s="1299">
        <v>0</v>
      </c>
      <c r="K247" s="1602">
        <f t="shared" si="17"/>
        <v>14279.144</v>
      </c>
      <c r="L247" s="947">
        <v>112340.304</v>
      </c>
      <c r="M247" s="190">
        <v>2379.2674999999999</v>
      </c>
      <c r="N247" s="1398">
        <v>0</v>
      </c>
      <c r="O247" s="2394">
        <f t="shared" si="15"/>
        <v>114719.57150000001</v>
      </c>
      <c r="P247" s="1398">
        <v>332</v>
      </c>
      <c r="Q247" s="1398">
        <v>43140.333599999998</v>
      </c>
      <c r="R247" s="1398">
        <v>14729.706099999999</v>
      </c>
      <c r="S247" s="1398">
        <v>792.62940000000003</v>
      </c>
      <c r="T247" s="947">
        <v>110</v>
      </c>
      <c r="U247" s="190">
        <v>20623.900000000001</v>
      </c>
      <c r="V247" s="2365">
        <f t="shared" si="16"/>
        <v>79728.569099999993</v>
      </c>
    </row>
    <row r="248" spans="1:22">
      <c r="A248" s="972">
        <f t="shared" si="18"/>
        <v>2013.11</v>
      </c>
      <c r="B248" s="223">
        <v>338</v>
      </c>
      <c r="C248" s="1398">
        <v>56</v>
      </c>
      <c r="D248" s="1398">
        <v>3120.36</v>
      </c>
      <c r="E248" s="1398">
        <v>130.84199999999998</v>
      </c>
      <c r="F248" s="223">
        <v>84</v>
      </c>
      <c r="G248" s="3538">
        <v>0</v>
      </c>
      <c r="H248" s="2364">
        <f t="shared" si="13"/>
        <v>84</v>
      </c>
      <c r="I248" s="223">
        <v>8699.9079999999994</v>
      </c>
      <c r="J248" s="1299">
        <v>0</v>
      </c>
      <c r="K248" s="1602">
        <f t="shared" si="17"/>
        <v>8699.9079999999994</v>
      </c>
      <c r="L248" s="947">
        <v>112425.17790000001</v>
      </c>
      <c r="M248" s="190">
        <v>1906.2121999999999</v>
      </c>
      <c r="N248" s="1398">
        <v>0</v>
      </c>
      <c r="O248" s="2394">
        <f t="shared" si="15"/>
        <v>114331.3901</v>
      </c>
      <c r="P248" s="1398">
        <v>410</v>
      </c>
      <c r="Q248" s="1398">
        <v>41424.816200000001</v>
      </c>
      <c r="R248" s="1398">
        <v>14264.093699999999</v>
      </c>
      <c r="S248" s="1398">
        <v>612.06380000000001</v>
      </c>
      <c r="T248" s="947">
        <v>42</v>
      </c>
      <c r="U248" s="190">
        <v>22908.9</v>
      </c>
      <c r="V248" s="2365">
        <f t="shared" si="16"/>
        <v>79661.873699999996</v>
      </c>
    </row>
    <row r="249" spans="1:22">
      <c r="A249" s="972">
        <f t="shared" si="18"/>
        <v>2013.12</v>
      </c>
      <c r="B249" s="223">
        <v>452</v>
      </c>
      <c r="C249" s="1398">
        <v>81</v>
      </c>
      <c r="D249" s="1398">
        <v>2581.3000000000002</v>
      </c>
      <c r="E249" s="1398">
        <v>131.65699999999998</v>
      </c>
      <c r="F249" s="223">
        <v>0</v>
      </c>
      <c r="G249" s="3538">
        <v>0</v>
      </c>
      <c r="H249" s="2364">
        <f t="shared" si="13"/>
        <v>0</v>
      </c>
      <c r="I249" s="223">
        <v>3263.5340000000001</v>
      </c>
      <c r="J249" s="1299">
        <v>0</v>
      </c>
      <c r="K249" s="1602">
        <f t="shared" si="17"/>
        <v>3263.5340000000001</v>
      </c>
      <c r="L249" s="947">
        <v>116738.1943</v>
      </c>
      <c r="M249" s="190">
        <v>2022.41</v>
      </c>
      <c r="N249" s="1398">
        <v>20</v>
      </c>
      <c r="O249" s="2394">
        <f t="shared" si="15"/>
        <v>118780.60430000001</v>
      </c>
      <c r="P249" s="1398">
        <v>520</v>
      </c>
      <c r="Q249" s="1398">
        <v>47256.803500000002</v>
      </c>
      <c r="R249" s="1398">
        <v>16553.544399999999</v>
      </c>
      <c r="S249" s="1398">
        <v>1236.3900000000001</v>
      </c>
      <c r="T249" s="947">
        <v>119</v>
      </c>
      <c r="U249" s="190">
        <v>24322.400000000001</v>
      </c>
      <c r="V249" s="2365">
        <f t="shared" si="16"/>
        <v>90008.137900000002</v>
      </c>
    </row>
    <row r="250" spans="1:22">
      <c r="A250" s="972">
        <f t="shared" si="18"/>
        <v>2014.01</v>
      </c>
      <c r="B250" s="223">
        <v>523</v>
      </c>
      <c r="C250" s="1398">
        <v>75</v>
      </c>
      <c r="D250" s="1398">
        <v>3057.92</v>
      </c>
      <c r="E250" s="1398">
        <v>142.93</v>
      </c>
      <c r="F250" s="223">
        <v>71.760000000000005</v>
      </c>
      <c r="G250" s="3538">
        <v>0</v>
      </c>
      <c r="H250" s="2364">
        <f t="shared" si="13"/>
        <v>71.760000000000005</v>
      </c>
      <c r="I250" s="223">
        <v>8741.8220000000001</v>
      </c>
      <c r="J250" s="1299">
        <v>0</v>
      </c>
      <c r="K250" s="1602">
        <f t="shared" si="17"/>
        <v>8741.8220000000001</v>
      </c>
      <c r="L250" s="947">
        <v>104272.71279999999</v>
      </c>
      <c r="M250" s="190">
        <v>1778.4746</v>
      </c>
      <c r="N250" s="1398">
        <v>39.700000000000003</v>
      </c>
      <c r="O250" s="2394">
        <f t="shared" si="15"/>
        <v>106090.88739999999</v>
      </c>
      <c r="P250" s="1398">
        <v>765</v>
      </c>
      <c r="Q250" s="1398">
        <v>45140.7719</v>
      </c>
      <c r="R250" s="1398">
        <v>16181.534599999999</v>
      </c>
      <c r="S250" s="1398">
        <v>1012.6022</v>
      </c>
      <c r="T250" s="947">
        <v>87</v>
      </c>
      <c r="U250" s="190">
        <v>20918.900000000001</v>
      </c>
      <c r="V250" s="2365">
        <f t="shared" si="16"/>
        <v>84105.808699999994</v>
      </c>
    </row>
    <row r="251" spans="1:22">
      <c r="A251" s="972">
        <f t="shared" si="18"/>
        <v>2014.02</v>
      </c>
      <c r="B251" s="223">
        <v>503</v>
      </c>
      <c r="C251" s="1398">
        <v>149</v>
      </c>
      <c r="D251" s="1398">
        <v>1303.0999999999999</v>
      </c>
      <c r="E251" s="1398">
        <v>218.49099999999999</v>
      </c>
      <c r="F251" s="223">
        <v>37</v>
      </c>
      <c r="G251" s="3538">
        <v>0</v>
      </c>
      <c r="H251" s="2364">
        <f t="shared" si="13"/>
        <v>37</v>
      </c>
      <c r="I251" s="223">
        <v>8332.2180000000008</v>
      </c>
      <c r="J251" s="1299">
        <v>0</v>
      </c>
      <c r="K251" s="1602">
        <f t="shared" si="17"/>
        <v>8332.2180000000008</v>
      </c>
      <c r="L251" s="947">
        <v>90980.9283</v>
      </c>
      <c r="M251" s="190">
        <v>1868.2766999999999</v>
      </c>
      <c r="N251" s="1398">
        <v>0</v>
      </c>
      <c r="O251" s="2394">
        <f t="shared" si="15"/>
        <v>92849.205000000002</v>
      </c>
      <c r="P251" s="1398">
        <v>708</v>
      </c>
      <c r="Q251" s="1398">
        <v>38600.8874</v>
      </c>
      <c r="R251" s="1398">
        <v>13337.2323</v>
      </c>
      <c r="S251" s="1398">
        <v>759.1096</v>
      </c>
      <c r="T251" s="947">
        <v>39</v>
      </c>
      <c r="U251" s="190">
        <v>19995</v>
      </c>
      <c r="V251" s="2365">
        <f t="shared" si="16"/>
        <v>73439.229300000006</v>
      </c>
    </row>
    <row r="252" spans="1:22">
      <c r="A252" s="972">
        <f t="shared" si="18"/>
        <v>2014.03</v>
      </c>
      <c r="B252" s="223">
        <v>359</v>
      </c>
      <c r="C252" s="1398">
        <v>97</v>
      </c>
      <c r="D252" s="1398">
        <v>2337.52</v>
      </c>
      <c r="E252" s="1398">
        <v>263.34699999999998</v>
      </c>
      <c r="F252" s="223">
        <v>263.34699999999998</v>
      </c>
      <c r="G252" s="3538">
        <v>0</v>
      </c>
      <c r="H252" s="2364">
        <f t="shared" si="13"/>
        <v>263.34699999999998</v>
      </c>
      <c r="I252" s="223">
        <v>18402.534</v>
      </c>
      <c r="J252" s="1299">
        <v>0</v>
      </c>
      <c r="K252" s="1602">
        <f t="shared" si="17"/>
        <v>18402.534</v>
      </c>
      <c r="L252" s="947">
        <v>108777.03080000001</v>
      </c>
      <c r="M252" s="190">
        <v>2513.3788709999999</v>
      </c>
      <c r="N252" s="1398">
        <v>185.6</v>
      </c>
      <c r="O252" s="2394">
        <f t="shared" si="15"/>
        <v>111476.00967100001</v>
      </c>
      <c r="P252" s="1398">
        <v>528</v>
      </c>
      <c r="Q252" s="1398">
        <v>41836.030500000001</v>
      </c>
      <c r="R252" s="1398">
        <v>13755.7225</v>
      </c>
      <c r="S252" s="1398">
        <v>691.39083670000002</v>
      </c>
      <c r="T252" s="947">
        <v>77</v>
      </c>
      <c r="U252" s="190">
        <v>19924.099999999999</v>
      </c>
      <c r="V252" s="2365">
        <f t="shared" si="16"/>
        <v>76812.243836699985</v>
      </c>
    </row>
    <row r="253" spans="1:22">
      <c r="A253" s="972">
        <f t="shared" si="18"/>
        <v>2014.04</v>
      </c>
      <c r="B253" s="223">
        <v>367</v>
      </c>
      <c r="C253" s="1398">
        <v>60</v>
      </c>
      <c r="D253" s="1398">
        <v>1531.38</v>
      </c>
      <c r="E253" s="1398">
        <v>315.15999999999997</v>
      </c>
      <c r="F253" s="223">
        <v>0</v>
      </c>
      <c r="G253" s="3538">
        <v>0</v>
      </c>
      <c r="H253" s="2364">
        <f t="shared" si="13"/>
        <v>0</v>
      </c>
      <c r="I253" s="223">
        <v>23356.04</v>
      </c>
      <c r="J253" s="1299">
        <v>0</v>
      </c>
      <c r="K253" s="1602">
        <f t="shared" si="17"/>
        <v>23356.04</v>
      </c>
      <c r="L253" s="947">
        <v>128693.73819999999</v>
      </c>
      <c r="M253" s="190">
        <v>2462.0949719999999</v>
      </c>
      <c r="N253" s="1398">
        <v>209.4</v>
      </c>
      <c r="O253" s="2394">
        <f t="shared" si="15"/>
        <v>131365.23317199998</v>
      </c>
      <c r="P253" s="1398">
        <v>415</v>
      </c>
      <c r="Q253" s="1398">
        <v>42200.117599999998</v>
      </c>
      <c r="R253" s="1398">
        <v>12801.65</v>
      </c>
      <c r="S253" s="1398">
        <v>622.84826659999999</v>
      </c>
      <c r="T253" s="947">
        <v>82</v>
      </c>
      <c r="U253" s="190">
        <v>19906.400000000001</v>
      </c>
      <c r="V253" s="2365">
        <f t="shared" si="16"/>
        <v>76028.015866600006</v>
      </c>
    </row>
    <row r="254" spans="1:22">
      <c r="A254" s="972">
        <f t="shared" si="18"/>
        <v>2014.05</v>
      </c>
      <c r="B254" s="223">
        <v>380</v>
      </c>
      <c r="C254" s="1398">
        <v>48</v>
      </c>
      <c r="D254" s="1398">
        <v>2000.12</v>
      </c>
      <c r="E254" s="1398">
        <v>290.41300000000001</v>
      </c>
      <c r="F254" s="223">
        <v>0</v>
      </c>
      <c r="G254" s="3538">
        <v>0</v>
      </c>
      <c r="H254" s="2364">
        <f t="shared" si="13"/>
        <v>0</v>
      </c>
      <c r="I254" s="223">
        <v>21794.946</v>
      </c>
      <c r="J254" s="1299">
        <v>0</v>
      </c>
      <c r="K254" s="1602">
        <f t="shared" si="17"/>
        <v>21794.946</v>
      </c>
      <c r="L254" s="947">
        <v>117364.56509999999</v>
      </c>
      <c r="M254" s="190">
        <v>1743.7653800000001</v>
      </c>
      <c r="N254" s="1398">
        <v>384.9</v>
      </c>
      <c r="O254" s="2394">
        <f t="shared" si="15"/>
        <v>119493.23047999998</v>
      </c>
      <c r="P254" s="1398">
        <v>276</v>
      </c>
      <c r="Q254" s="1398">
        <v>40398.116999999998</v>
      </c>
      <c r="R254" s="1398">
        <v>11985.1702</v>
      </c>
      <c r="S254" s="1398">
        <v>538.05791580000005</v>
      </c>
      <c r="T254" s="947">
        <v>90</v>
      </c>
      <c r="U254" s="190">
        <v>18772</v>
      </c>
      <c r="V254" s="2365">
        <f t="shared" si="16"/>
        <v>72059.345115799995</v>
      </c>
    </row>
    <row r="255" spans="1:22">
      <c r="A255" s="972">
        <f t="shared" si="18"/>
        <v>2014.06</v>
      </c>
      <c r="B255" s="223">
        <v>296</v>
      </c>
      <c r="C255" s="1398">
        <v>62</v>
      </c>
      <c r="D255" s="1398">
        <v>2042.96</v>
      </c>
      <c r="E255" s="1398">
        <v>416.52300000000002</v>
      </c>
      <c r="F255" s="223">
        <v>0</v>
      </c>
      <c r="G255" s="3538">
        <v>0</v>
      </c>
      <c r="H255" s="2364">
        <f t="shared" si="13"/>
        <v>0</v>
      </c>
      <c r="I255" s="223">
        <v>19521.4041</v>
      </c>
      <c r="J255" s="1299">
        <v>268.89299999999997</v>
      </c>
      <c r="K255" s="1602">
        <f t="shared" si="17"/>
        <v>19790.2971</v>
      </c>
      <c r="L255" s="947">
        <v>121147.8544</v>
      </c>
      <c r="M255" s="190">
        <v>1407.1890410000001</v>
      </c>
      <c r="N255" s="1398">
        <v>73.099999999999994</v>
      </c>
      <c r="O255" s="2394">
        <f t="shared" si="15"/>
        <v>122628.14344100001</v>
      </c>
      <c r="P255" s="1398">
        <v>332</v>
      </c>
      <c r="Q255" s="1398">
        <v>39528.9827</v>
      </c>
      <c r="R255" s="1398">
        <v>11788.063200000001</v>
      </c>
      <c r="S255" s="1398">
        <v>252.02277040000001</v>
      </c>
      <c r="T255" s="947">
        <v>45</v>
      </c>
      <c r="U255" s="190">
        <v>18018.599999999999</v>
      </c>
      <c r="V255" s="2365">
        <f t="shared" si="16"/>
        <v>69964.668670399988</v>
      </c>
    </row>
    <row r="256" spans="1:22">
      <c r="A256" s="972">
        <f t="shared" si="18"/>
        <v>2014.07</v>
      </c>
      <c r="B256" s="223">
        <v>279</v>
      </c>
      <c r="C256" s="1398">
        <v>52</v>
      </c>
      <c r="D256" s="1398">
        <v>2779.16</v>
      </c>
      <c r="E256" s="1398">
        <v>295.471</v>
      </c>
      <c r="F256" s="223">
        <v>0</v>
      </c>
      <c r="G256" s="3538">
        <v>0</v>
      </c>
      <c r="H256" s="2364">
        <f t="shared" si="13"/>
        <v>0</v>
      </c>
      <c r="I256" s="223">
        <v>35858.100999999995</v>
      </c>
      <c r="J256" s="1299">
        <v>453.38</v>
      </c>
      <c r="K256" s="1602">
        <f t="shared" si="17"/>
        <v>36311.480999999992</v>
      </c>
      <c r="L256" s="947">
        <v>122122.81789999999</v>
      </c>
      <c r="M256" s="190">
        <v>2556.8152129999999</v>
      </c>
      <c r="N256" s="1398">
        <v>79.900000000000006</v>
      </c>
      <c r="O256" s="2394">
        <f t="shared" si="15"/>
        <v>124759.53311299998</v>
      </c>
      <c r="P256" s="1398">
        <v>337</v>
      </c>
      <c r="Q256" s="1398">
        <v>41684.337700000004</v>
      </c>
      <c r="R256" s="1398">
        <v>12850.3109</v>
      </c>
      <c r="S256" s="1398">
        <v>618.82849620000002</v>
      </c>
      <c r="T256" s="947">
        <v>75</v>
      </c>
      <c r="U256" s="190">
        <v>19762.7</v>
      </c>
      <c r="V256" s="2365">
        <f t="shared" si="16"/>
        <v>75328.177096200001</v>
      </c>
    </row>
    <row r="257" spans="1:22">
      <c r="A257" s="972">
        <f t="shared" si="18"/>
        <v>2014.08</v>
      </c>
      <c r="B257" s="223">
        <v>319</v>
      </c>
      <c r="C257" s="1398">
        <v>67</v>
      </c>
      <c r="D257" s="1398">
        <v>2206.88</v>
      </c>
      <c r="E257" s="1398">
        <v>318.60599999999999</v>
      </c>
      <c r="F257" s="223">
        <v>0</v>
      </c>
      <c r="G257" s="3538">
        <v>0</v>
      </c>
      <c r="H257" s="2364">
        <f t="shared" si="13"/>
        <v>0</v>
      </c>
      <c r="I257" s="223">
        <v>22192.636000000002</v>
      </c>
      <c r="J257" s="1299">
        <v>0</v>
      </c>
      <c r="K257" s="1602">
        <f t="shared" si="17"/>
        <v>22192.636000000002</v>
      </c>
      <c r="L257" s="947">
        <v>116480.97070000001</v>
      </c>
      <c r="M257" s="190">
        <v>1637.3950299999999</v>
      </c>
      <c r="N257" s="1398">
        <v>276.8</v>
      </c>
      <c r="O257" s="2394">
        <f t="shared" si="15"/>
        <v>118395.16573000001</v>
      </c>
      <c r="P257" s="1398">
        <v>301</v>
      </c>
      <c r="Q257" s="1398">
        <v>41152.281000000003</v>
      </c>
      <c r="R257" s="1398">
        <v>13151.4138</v>
      </c>
      <c r="S257" s="1398">
        <v>1499.697316</v>
      </c>
      <c r="T257" s="947">
        <v>79</v>
      </c>
      <c r="U257" s="190">
        <v>24876.1</v>
      </c>
      <c r="V257" s="2365">
        <f t="shared" si="16"/>
        <v>81059.492116000009</v>
      </c>
    </row>
    <row r="258" spans="1:22">
      <c r="A258" s="972">
        <f t="shared" si="18"/>
        <v>2014.09</v>
      </c>
      <c r="B258" s="223">
        <v>421</v>
      </c>
      <c r="C258" s="1398">
        <v>41</v>
      </c>
      <c r="D258" s="1398">
        <v>2125.3200000000002</v>
      </c>
      <c r="E258" s="1398">
        <v>266.92599999999999</v>
      </c>
      <c r="F258" s="223">
        <v>0</v>
      </c>
      <c r="G258" s="3538">
        <v>0</v>
      </c>
      <c r="H258" s="2364">
        <f t="shared" si="13"/>
        <v>0</v>
      </c>
      <c r="I258" s="223">
        <v>2820.8379999999997</v>
      </c>
      <c r="J258" s="1299">
        <v>0</v>
      </c>
      <c r="K258" s="1602">
        <f t="shared" si="17"/>
        <v>2820.8379999999997</v>
      </c>
      <c r="L258" s="947">
        <v>116790.9708</v>
      </c>
      <c r="M258" s="190">
        <v>1951.8059270000001</v>
      </c>
      <c r="N258" s="1398">
        <v>0</v>
      </c>
      <c r="O258" s="2394">
        <f t="shared" si="15"/>
        <v>118742.77672699999</v>
      </c>
      <c r="P258" s="1398">
        <v>368</v>
      </c>
      <c r="Q258" s="1398">
        <v>40741.161099999998</v>
      </c>
      <c r="R258" s="1398">
        <v>12438.166300000001</v>
      </c>
      <c r="S258" s="1398">
        <v>539.39968020000003</v>
      </c>
      <c r="T258" s="947">
        <v>59</v>
      </c>
      <c r="U258" s="190">
        <v>23332.1</v>
      </c>
      <c r="V258" s="2365">
        <f t="shared" si="16"/>
        <v>77477.82708019999</v>
      </c>
    </row>
    <row r="259" spans="1:22">
      <c r="A259" s="972">
        <f t="shared" si="18"/>
        <v>2014.1</v>
      </c>
      <c r="B259" s="223">
        <v>300</v>
      </c>
      <c r="C259" s="1398">
        <v>106</v>
      </c>
      <c r="D259" s="1398">
        <v>2722.2200000000003</v>
      </c>
      <c r="E259" s="1398">
        <v>348.44399999999996</v>
      </c>
      <c r="F259" s="223">
        <v>0</v>
      </c>
      <c r="G259" s="3538">
        <v>0</v>
      </c>
      <c r="H259" s="2364">
        <f t="shared" si="13"/>
        <v>0</v>
      </c>
      <c r="I259" s="223">
        <v>22351.282999999999</v>
      </c>
      <c r="J259" s="1299">
        <v>0</v>
      </c>
      <c r="K259" s="1602">
        <f t="shared" si="17"/>
        <v>22351.282999999999</v>
      </c>
      <c r="L259" s="947">
        <v>117107.22320000001</v>
      </c>
      <c r="M259" s="190">
        <v>1928.6909129999999</v>
      </c>
      <c r="N259" s="1398">
        <v>85.4</v>
      </c>
      <c r="O259" s="2394">
        <f t="shared" si="15"/>
        <v>119121.314113</v>
      </c>
      <c r="P259" s="1398">
        <v>440</v>
      </c>
      <c r="Q259" s="1398">
        <v>43866.229500000001</v>
      </c>
      <c r="R259" s="1398">
        <v>13475.9645</v>
      </c>
      <c r="S259" s="1398">
        <v>551.59865019999995</v>
      </c>
      <c r="T259" s="947">
        <v>103</v>
      </c>
      <c r="U259" s="190">
        <v>21129.1</v>
      </c>
      <c r="V259" s="2365">
        <f t="shared" si="16"/>
        <v>79565.892650199996</v>
      </c>
    </row>
    <row r="260" spans="1:22">
      <c r="A260" s="972">
        <f t="shared" si="18"/>
        <v>2014.11</v>
      </c>
      <c r="B260" s="223">
        <v>313</v>
      </c>
      <c r="C260" s="1398">
        <v>60</v>
      </c>
      <c r="D260" s="1398">
        <v>1590.44</v>
      </c>
      <c r="E260" s="1398">
        <v>228.99299999999999</v>
      </c>
      <c r="F260" s="223">
        <v>0</v>
      </c>
      <c r="G260" s="3538">
        <v>0</v>
      </c>
      <c r="H260" s="2364">
        <f t="shared" si="13"/>
        <v>0</v>
      </c>
      <c r="I260" s="223">
        <v>30205.643000000004</v>
      </c>
      <c r="J260" s="1299">
        <v>0</v>
      </c>
      <c r="K260" s="1602">
        <f t="shared" si="17"/>
        <v>30205.643000000004</v>
      </c>
      <c r="L260" s="947">
        <v>105613.94930000001</v>
      </c>
      <c r="M260" s="190">
        <v>2901.8785189999999</v>
      </c>
      <c r="N260" s="1398">
        <v>83.7</v>
      </c>
      <c r="O260" s="2394">
        <f t="shared" si="15"/>
        <v>108599.52781900001</v>
      </c>
      <c r="P260" s="1398">
        <v>390</v>
      </c>
      <c r="Q260" s="1398">
        <v>40309.896099999998</v>
      </c>
      <c r="R260" s="1398">
        <v>13444.8789</v>
      </c>
      <c r="S260" s="1398">
        <v>546.49415839999995</v>
      </c>
      <c r="T260" s="947">
        <v>85</v>
      </c>
      <c r="U260" s="190">
        <v>20614.900000000001</v>
      </c>
      <c r="V260" s="2365">
        <f t="shared" si="16"/>
        <v>75391.169158399993</v>
      </c>
    </row>
    <row r="261" spans="1:22">
      <c r="A261" s="972">
        <f t="shared" si="18"/>
        <v>2014.12</v>
      </c>
      <c r="B261" s="223">
        <v>404</v>
      </c>
      <c r="C261" s="1398">
        <v>96</v>
      </c>
      <c r="D261" s="1398">
        <v>2111.6799999999998</v>
      </c>
      <c r="E261" s="1398">
        <v>243.28299999999999</v>
      </c>
      <c r="F261" s="223">
        <v>0</v>
      </c>
      <c r="G261" s="3538">
        <v>0</v>
      </c>
      <c r="H261" s="2364">
        <f t="shared" si="13"/>
        <v>0</v>
      </c>
      <c r="I261" s="223">
        <v>21915.817999999999</v>
      </c>
      <c r="J261" s="1299">
        <v>0</v>
      </c>
      <c r="K261" s="1602">
        <f t="shared" si="17"/>
        <v>21915.817999999999</v>
      </c>
      <c r="L261" s="947">
        <v>106063.10920000001</v>
      </c>
      <c r="M261" s="190">
        <v>1756.134591</v>
      </c>
      <c r="N261" s="1398">
        <v>0</v>
      </c>
      <c r="O261" s="2394">
        <f t="shared" si="15"/>
        <v>107819.243791</v>
      </c>
      <c r="P261" s="1398">
        <v>509</v>
      </c>
      <c r="Q261" s="1398">
        <v>43865.667099999999</v>
      </c>
      <c r="R261" s="1398">
        <v>15973.490299999999</v>
      </c>
      <c r="S261" s="1398">
        <v>446.86689919999998</v>
      </c>
      <c r="T261" s="947">
        <v>70</v>
      </c>
      <c r="U261" s="190">
        <v>24736.7</v>
      </c>
      <c r="V261" s="2365">
        <f t="shared" si="16"/>
        <v>85601.724299199996</v>
      </c>
    </row>
    <row r="262" spans="1:22">
      <c r="A262" s="972">
        <f t="shared" si="18"/>
        <v>2015.01</v>
      </c>
      <c r="B262" s="223">
        <v>390</v>
      </c>
      <c r="C262" s="1398">
        <v>125</v>
      </c>
      <c r="D262" s="1398">
        <v>2119.1800000000003</v>
      </c>
      <c r="E262" s="1398">
        <v>223.04599999999999</v>
      </c>
      <c r="F262" s="223">
        <v>0</v>
      </c>
      <c r="G262" s="3538">
        <v>0</v>
      </c>
      <c r="H262" s="2364">
        <f t="shared" si="13"/>
        <v>0</v>
      </c>
      <c r="I262" s="223">
        <v>40817.493000000002</v>
      </c>
      <c r="J262" s="1299">
        <v>0</v>
      </c>
      <c r="K262" s="1602">
        <f t="shared" si="17"/>
        <v>40817.493000000002</v>
      </c>
      <c r="L262" s="947">
        <v>101845.571</v>
      </c>
      <c r="M262" s="190">
        <v>1400.0932250000001</v>
      </c>
      <c r="N262" s="1398">
        <v>33.509</v>
      </c>
      <c r="O262" s="2394">
        <f t="shared" si="15"/>
        <v>103279.17322500001</v>
      </c>
      <c r="P262" s="1398">
        <v>527</v>
      </c>
      <c r="Q262" s="1398">
        <v>43979.087899999999</v>
      </c>
      <c r="R262" s="1398">
        <v>16510.6849</v>
      </c>
      <c r="S262" s="1398">
        <v>394.03303160000002</v>
      </c>
      <c r="T262" s="947">
        <v>19</v>
      </c>
      <c r="U262" s="190">
        <v>21792.7</v>
      </c>
      <c r="V262" s="2365">
        <f t="shared" si="16"/>
        <v>83222.505831600007</v>
      </c>
    </row>
    <row r="263" spans="1:22">
      <c r="A263" s="972">
        <f t="shared" si="18"/>
        <v>2015.02</v>
      </c>
      <c r="B263" s="223">
        <v>312</v>
      </c>
      <c r="C263" s="1398">
        <v>121</v>
      </c>
      <c r="D263" s="1398">
        <v>2073.4</v>
      </c>
      <c r="E263" s="1398">
        <v>195.76300000000001</v>
      </c>
      <c r="F263" s="223">
        <v>0</v>
      </c>
      <c r="G263" s="3538">
        <v>0</v>
      </c>
      <c r="H263" s="2364">
        <f t="shared" si="13"/>
        <v>0</v>
      </c>
      <c r="I263" s="223">
        <v>29351.228999999999</v>
      </c>
      <c r="J263" s="1299">
        <v>0</v>
      </c>
      <c r="K263" s="1602">
        <f t="shared" si="17"/>
        <v>29351.228999999999</v>
      </c>
      <c r="L263" s="947">
        <v>95475.878599999996</v>
      </c>
      <c r="M263" s="190">
        <v>2147.362083</v>
      </c>
      <c r="N263" s="1398">
        <v>0</v>
      </c>
      <c r="O263" s="2394">
        <f t="shared" si="15"/>
        <v>97623.240682999996</v>
      </c>
      <c r="P263" s="1398">
        <v>467</v>
      </c>
      <c r="Q263" s="1398">
        <v>40294.542399999998</v>
      </c>
      <c r="R263" s="1398">
        <v>15433.2603</v>
      </c>
      <c r="S263" s="1398">
        <v>2147.362083</v>
      </c>
      <c r="T263" s="947">
        <v>57</v>
      </c>
      <c r="U263" s="190">
        <v>22529.4</v>
      </c>
      <c r="V263" s="2365">
        <f t="shared" si="16"/>
        <v>80928.564783000009</v>
      </c>
    </row>
    <row r="264" spans="1:22">
      <c r="A264" s="972">
        <f t="shared" si="18"/>
        <v>2015.03</v>
      </c>
      <c r="B264" s="223">
        <v>381</v>
      </c>
      <c r="C264" s="1398">
        <v>112</v>
      </c>
      <c r="D264" s="1398">
        <v>2216.8200000000002</v>
      </c>
      <c r="E264" s="1398">
        <v>156.75799999999998</v>
      </c>
      <c r="F264" s="223">
        <v>0</v>
      </c>
      <c r="G264" s="3538">
        <v>0</v>
      </c>
      <c r="H264" s="2364">
        <f t="shared" si="13"/>
        <v>0</v>
      </c>
      <c r="I264" s="223">
        <v>37785.018000000004</v>
      </c>
      <c r="J264" s="1299">
        <v>0</v>
      </c>
      <c r="K264" s="1602">
        <f t="shared" si="17"/>
        <v>37785.018000000004</v>
      </c>
      <c r="L264" s="947">
        <v>103664.9767</v>
      </c>
      <c r="M264" s="190">
        <v>2323.0876191999996</v>
      </c>
      <c r="N264" s="1398">
        <v>79.834999999999994</v>
      </c>
      <c r="O264" s="2394">
        <f t="shared" si="15"/>
        <v>106067.89931920001</v>
      </c>
      <c r="P264" s="1398">
        <v>547</v>
      </c>
      <c r="Q264" s="1398">
        <v>40498.724399999999</v>
      </c>
      <c r="R264" s="1398">
        <v>15168.9257</v>
      </c>
      <c r="S264" s="1398">
        <v>449.30668509999998</v>
      </c>
      <c r="T264" s="947">
        <v>84</v>
      </c>
      <c r="U264" s="190">
        <v>18982.5</v>
      </c>
      <c r="V264" s="2365">
        <f t="shared" si="16"/>
        <v>75730.456785099988</v>
      </c>
    </row>
    <row r="265" spans="1:22">
      <c r="A265" s="972">
        <f t="shared" si="18"/>
        <v>2015.04</v>
      </c>
      <c r="B265" s="223">
        <v>323</v>
      </c>
      <c r="C265" s="1398">
        <v>59</v>
      </c>
      <c r="D265" s="1398">
        <v>3431.32</v>
      </c>
      <c r="E265" s="1398">
        <v>321.85599999999999</v>
      </c>
      <c r="F265" s="223">
        <v>0</v>
      </c>
      <c r="G265" s="3538">
        <v>0</v>
      </c>
      <c r="H265" s="2364">
        <f t="shared" si="13"/>
        <v>0</v>
      </c>
      <c r="I265" s="223">
        <v>32616.706000000002</v>
      </c>
      <c r="J265" s="1299">
        <v>0</v>
      </c>
      <c r="K265" s="1602">
        <f t="shared" si="17"/>
        <v>32616.706000000002</v>
      </c>
      <c r="L265" s="947">
        <v>138005.554</v>
      </c>
      <c r="M265" s="190">
        <v>1674.4332569999999</v>
      </c>
      <c r="N265" s="1398">
        <v>19.831</v>
      </c>
      <c r="O265" s="2394">
        <f t="shared" si="15"/>
        <v>139699.81825700001</v>
      </c>
      <c r="P265" s="1398">
        <v>380</v>
      </c>
      <c r="Q265" s="1398">
        <v>41832.136299999998</v>
      </c>
      <c r="R265" s="1398">
        <v>15820.0131</v>
      </c>
      <c r="S265" s="1398">
        <v>232.6702841</v>
      </c>
      <c r="T265" s="947">
        <v>53</v>
      </c>
      <c r="U265" s="190">
        <v>21004.9</v>
      </c>
      <c r="V265" s="2365">
        <f t="shared" si="16"/>
        <v>79322.719684099997</v>
      </c>
    </row>
    <row r="266" spans="1:22">
      <c r="A266" s="972">
        <f t="shared" si="18"/>
        <v>2015.05</v>
      </c>
      <c r="B266" s="223">
        <v>353</v>
      </c>
      <c r="C266" s="1398">
        <v>47</v>
      </c>
      <c r="D266" s="1398">
        <v>3324.76</v>
      </c>
      <c r="E266" s="1398">
        <v>305.14300000000003</v>
      </c>
      <c r="F266" s="223">
        <v>0</v>
      </c>
      <c r="G266" s="3538">
        <v>0</v>
      </c>
      <c r="H266" s="2364">
        <f t="shared" ref="H266:H273" si="19">F266+G266</f>
        <v>0</v>
      </c>
      <c r="I266" s="223">
        <v>33736.569000000003</v>
      </c>
      <c r="J266" s="1299">
        <v>0</v>
      </c>
      <c r="K266" s="1602">
        <f t="shared" si="17"/>
        <v>33736.569000000003</v>
      </c>
      <c r="L266" s="947">
        <v>114945.67970000001</v>
      </c>
      <c r="M266" s="190">
        <v>1452.4699579999999</v>
      </c>
      <c r="N266" s="1398">
        <v>57.95</v>
      </c>
      <c r="O266" s="2394">
        <f t="shared" ref="O266:O329" si="20">L266+M266+N266</f>
        <v>116456.09965800001</v>
      </c>
      <c r="P266" s="1398">
        <v>348</v>
      </c>
      <c r="Q266" s="1398">
        <v>40270.085800000001</v>
      </c>
      <c r="R266" s="1398">
        <v>15623.458999999999</v>
      </c>
      <c r="S266" s="1398">
        <v>279.38958109999999</v>
      </c>
      <c r="T266" s="947">
        <v>0</v>
      </c>
      <c r="U266" s="190">
        <v>0</v>
      </c>
      <c r="V266" s="2365">
        <f t="shared" si="16"/>
        <v>56520.9343811</v>
      </c>
    </row>
    <row r="267" spans="1:22">
      <c r="A267" s="972">
        <f t="shared" si="18"/>
        <v>2015.06</v>
      </c>
      <c r="B267" s="223">
        <v>295</v>
      </c>
      <c r="C267" s="1398">
        <v>62</v>
      </c>
      <c r="D267" s="1398">
        <v>4390.88</v>
      </c>
      <c r="E267" s="1398">
        <v>381.185</v>
      </c>
      <c r="F267" s="223">
        <v>0</v>
      </c>
      <c r="G267" s="3538">
        <v>0</v>
      </c>
      <c r="H267" s="2364">
        <f t="shared" si="19"/>
        <v>0</v>
      </c>
      <c r="I267" s="223">
        <v>21422.547000000002</v>
      </c>
      <c r="J267" s="1299">
        <v>180.37299999999999</v>
      </c>
      <c r="K267" s="1602">
        <f t="shared" si="17"/>
        <v>21602.920000000002</v>
      </c>
      <c r="L267" s="947">
        <v>112108.042</v>
      </c>
      <c r="M267" s="190">
        <v>2257.1837890000002</v>
      </c>
      <c r="N267" s="1398">
        <v>58.335999999999999</v>
      </c>
      <c r="O267" s="2394">
        <f t="shared" si="20"/>
        <v>114423.561789</v>
      </c>
      <c r="P267" s="1398">
        <v>359</v>
      </c>
      <c r="Q267" s="1398">
        <v>40041.6299</v>
      </c>
      <c r="R267" s="1398">
        <v>15401.840200000001</v>
      </c>
      <c r="S267" s="1398">
        <v>2257.1837890000002</v>
      </c>
      <c r="T267" s="947">
        <v>0</v>
      </c>
      <c r="U267" s="190">
        <v>20227</v>
      </c>
      <c r="V267" s="2365">
        <f t="shared" si="16"/>
        <v>78286.653889000008</v>
      </c>
    </row>
    <row r="268" spans="1:22">
      <c r="A268" s="972">
        <f t="shared" si="18"/>
        <v>2015.07</v>
      </c>
      <c r="B268" s="223">
        <v>342</v>
      </c>
      <c r="C268" s="1398">
        <v>47</v>
      </c>
      <c r="D268" s="1398">
        <v>3878.74</v>
      </c>
      <c r="E268" s="1398">
        <v>319.52</v>
      </c>
      <c r="F268" s="223">
        <v>0</v>
      </c>
      <c r="G268" s="3538">
        <v>0</v>
      </c>
      <c r="H268" s="2364">
        <f t="shared" si="19"/>
        <v>0</v>
      </c>
      <c r="I268" s="223">
        <v>34026.074000000001</v>
      </c>
      <c r="J268" s="1299">
        <v>0</v>
      </c>
      <c r="K268" s="1602">
        <f t="shared" si="17"/>
        <v>34026.074000000001</v>
      </c>
      <c r="L268" s="947">
        <v>113491.26879999999</v>
      </c>
      <c r="M268" s="190">
        <v>2804.5832190000001</v>
      </c>
      <c r="N268" s="1398">
        <v>0</v>
      </c>
      <c r="O268" s="2394">
        <f t="shared" si="20"/>
        <v>116295.85201899998</v>
      </c>
      <c r="P268" s="1398">
        <v>369</v>
      </c>
      <c r="Q268" s="1398">
        <v>42090.216100000005</v>
      </c>
      <c r="R268" s="1398">
        <v>16909.960500000001</v>
      </c>
      <c r="S268" s="1398">
        <v>387.42435330000001</v>
      </c>
      <c r="T268" s="947">
        <v>0</v>
      </c>
      <c r="U268" s="190">
        <v>21693.3</v>
      </c>
      <c r="V268" s="2365">
        <f t="shared" ref="V268:V331" si="21">SUM(P268:U268)</f>
        <v>81449.900953300006</v>
      </c>
    </row>
    <row r="269" spans="1:22">
      <c r="A269" s="972">
        <f t="shared" si="18"/>
        <v>2015.08</v>
      </c>
      <c r="B269" s="223">
        <v>365</v>
      </c>
      <c r="C269" s="1398">
        <v>50</v>
      </c>
      <c r="D269" s="1398">
        <v>2186.06</v>
      </c>
      <c r="E269" s="1398">
        <v>290.60599999999999</v>
      </c>
      <c r="F269" s="223">
        <v>0</v>
      </c>
      <c r="G269" s="3538">
        <v>0</v>
      </c>
      <c r="H269" s="2364">
        <f t="shared" si="19"/>
        <v>0</v>
      </c>
      <c r="I269" s="223">
        <v>26703.530000000002</v>
      </c>
      <c r="J269" s="1299">
        <v>0</v>
      </c>
      <c r="K269" s="1602">
        <f t="shared" si="17"/>
        <v>26703.530000000002</v>
      </c>
      <c r="L269" s="947">
        <v>98684.816500000001</v>
      </c>
      <c r="M269" s="190">
        <v>1625.4553109999999</v>
      </c>
      <c r="N269" s="1398">
        <v>61.100999999999999</v>
      </c>
      <c r="O269" s="2394">
        <f t="shared" si="20"/>
        <v>100371.37281099999</v>
      </c>
      <c r="P269" s="1398">
        <v>367</v>
      </c>
      <c r="Q269" s="1398">
        <v>39812.643299999996</v>
      </c>
      <c r="R269" s="1398">
        <v>15941.331399999999</v>
      </c>
      <c r="S269" s="1398">
        <v>787.6609661</v>
      </c>
      <c r="T269" s="947">
        <v>0</v>
      </c>
      <c r="U269" s="190">
        <v>19107.099999999999</v>
      </c>
      <c r="V269" s="2365">
        <f t="shared" si="21"/>
        <v>76015.735666099994</v>
      </c>
    </row>
    <row r="270" spans="1:22">
      <c r="A270" s="972">
        <f t="shared" si="18"/>
        <v>2015.09</v>
      </c>
      <c r="B270" s="223">
        <v>170</v>
      </c>
      <c r="C270" s="1398">
        <v>79</v>
      </c>
      <c r="D270" s="1398">
        <v>3504.96</v>
      </c>
      <c r="E270" s="1398">
        <v>259.62299999999999</v>
      </c>
      <c r="F270" s="223">
        <v>0</v>
      </c>
      <c r="G270" s="3538">
        <v>0</v>
      </c>
      <c r="H270" s="2364">
        <f t="shared" si="19"/>
        <v>0</v>
      </c>
      <c r="I270" s="223">
        <v>17162.488000000001</v>
      </c>
      <c r="J270" s="1299">
        <v>0</v>
      </c>
      <c r="K270" s="1602">
        <f t="shared" si="17"/>
        <v>17162.488000000001</v>
      </c>
      <c r="L270" s="947">
        <v>108194.50390000001</v>
      </c>
      <c r="M270" s="190">
        <v>1780.5425419999999</v>
      </c>
      <c r="N270" s="1398">
        <v>68.019000000000005</v>
      </c>
      <c r="O270" s="2394">
        <f t="shared" si="20"/>
        <v>110043.06544200001</v>
      </c>
      <c r="P270" s="1398">
        <v>381</v>
      </c>
      <c r="Q270" s="1398">
        <v>39393.3583</v>
      </c>
      <c r="R270" s="1398">
        <v>16140.303</v>
      </c>
      <c r="S270" s="1398">
        <v>390.92468270000001</v>
      </c>
      <c r="T270" s="947">
        <v>0</v>
      </c>
      <c r="U270" s="190">
        <v>18023.7</v>
      </c>
      <c r="V270" s="2365">
        <f t="shared" si="21"/>
        <v>74329.285982700007</v>
      </c>
    </row>
    <row r="271" spans="1:22">
      <c r="A271" s="972">
        <f t="shared" si="18"/>
        <v>2015.1</v>
      </c>
      <c r="B271" s="223">
        <v>148</v>
      </c>
      <c r="C271" s="1398">
        <v>80</v>
      </c>
      <c r="D271" s="1398">
        <v>2802.14</v>
      </c>
      <c r="E271" s="1398">
        <v>256.88200000000001</v>
      </c>
      <c r="F271" s="223">
        <v>0</v>
      </c>
      <c r="G271" s="3538">
        <v>0</v>
      </c>
      <c r="H271" s="2364">
        <f t="shared" si="19"/>
        <v>0</v>
      </c>
      <c r="I271" s="223">
        <v>24609.039000000001</v>
      </c>
      <c r="J271" s="1299">
        <v>0</v>
      </c>
      <c r="K271" s="1602">
        <f t="shared" si="17"/>
        <v>24609.039000000001</v>
      </c>
      <c r="L271" s="947">
        <v>109311.4029</v>
      </c>
      <c r="M271" s="190">
        <v>1044.8076699999999</v>
      </c>
      <c r="N271" s="1398">
        <v>98.04</v>
      </c>
      <c r="O271" s="2394">
        <f t="shared" si="20"/>
        <v>110454.25056999999</v>
      </c>
      <c r="P271" s="1398">
        <v>492</v>
      </c>
      <c r="Q271" s="1398">
        <v>40797.1253</v>
      </c>
      <c r="R271" s="1398">
        <v>17597.4663</v>
      </c>
      <c r="S271" s="1398">
        <v>0</v>
      </c>
      <c r="T271" s="947">
        <v>0</v>
      </c>
      <c r="U271" s="190">
        <v>22214.799999999999</v>
      </c>
      <c r="V271" s="2365">
        <f t="shared" si="21"/>
        <v>81101.391600000003</v>
      </c>
    </row>
    <row r="272" spans="1:22">
      <c r="A272" s="972">
        <f t="shared" si="18"/>
        <v>2015.11</v>
      </c>
      <c r="B272" s="223">
        <v>166</v>
      </c>
      <c r="C272" s="1398">
        <v>109</v>
      </c>
      <c r="D272" s="1398">
        <v>2543.1999999999998</v>
      </c>
      <c r="E272" s="1398">
        <v>237.9</v>
      </c>
      <c r="F272" s="223">
        <v>0</v>
      </c>
      <c r="G272" s="3538">
        <v>0</v>
      </c>
      <c r="H272" s="2364">
        <f t="shared" si="19"/>
        <v>0</v>
      </c>
      <c r="I272" s="223">
        <v>33629.688999999998</v>
      </c>
      <c r="J272" s="1299">
        <v>0</v>
      </c>
      <c r="K272" s="1602">
        <f t="shared" si="17"/>
        <v>33629.688999999998</v>
      </c>
      <c r="L272" s="947">
        <v>118038.98240000001</v>
      </c>
      <c r="M272" s="190">
        <v>1018.022255</v>
      </c>
      <c r="N272" s="1398">
        <v>39.743000000000002</v>
      </c>
      <c r="O272" s="2394">
        <f t="shared" si="20"/>
        <v>119096.74765500001</v>
      </c>
      <c r="P272" s="1398">
        <v>441</v>
      </c>
      <c r="Q272" s="1398">
        <v>39128.0314</v>
      </c>
      <c r="R272" s="1398">
        <v>16272.696899999999</v>
      </c>
      <c r="S272" s="1398">
        <v>0</v>
      </c>
      <c r="T272" s="947">
        <v>0</v>
      </c>
      <c r="U272" s="190">
        <v>22964.7</v>
      </c>
      <c r="V272" s="2365">
        <f t="shared" si="21"/>
        <v>78806.4283</v>
      </c>
    </row>
    <row r="273" spans="1:22">
      <c r="A273" s="972">
        <f t="shared" si="18"/>
        <v>2015.12</v>
      </c>
      <c r="B273" s="223">
        <v>209</v>
      </c>
      <c r="C273" s="1398">
        <v>138</v>
      </c>
      <c r="D273" s="1398">
        <v>1691.6599999999999</v>
      </c>
      <c r="E273" s="1398">
        <v>222.226</v>
      </c>
      <c r="F273" s="223">
        <v>0</v>
      </c>
      <c r="G273" s="3538">
        <v>0</v>
      </c>
      <c r="H273" s="2364">
        <f t="shared" si="19"/>
        <v>0</v>
      </c>
      <c r="I273" s="223">
        <v>23319.038</v>
      </c>
      <c r="J273" s="1299">
        <v>0</v>
      </c>
      <c r="K273" s="1602">
        <f t="shared" si="17"/>
        <v>23319.038</v>
      </c>
      <c r="L273" s="947">
        <v>112978.23019999999</v>
      </c>
      <c r="M273" s="190">
        <v>966.94084029999999</v>
      </c>
      <c r="N273" s="1398">
        <v>101.48699999999999</v>
      </c>
      <c r="O273" s="2394">
        <f t="shared" si="20"/>
        <v>114046.65804029998</v>
      </c>
      <c r="P273" s="1398">
        <v>297</v>
      </c>
      <c r="Q273" s="1398">
        <v>44227.3851</v>
      </c>
      <c r="R273" s="1398">
        <v>19243.3842</v>
      </c>
      <c r="S273" s="1398">
        <v>225.62243620000001</v>
      </c>
      <c r="T273" s="947">
        <v>0</v>
      </c>
      <c r="U273" s="190">
        <v>18510.599999999999</v>
      </c>
      <c r="V273" s="2365">
        <f t="shared" si="21"/>
        <v>82503.991736199998</v>
      </c>
    </row>
    <row r="274" spans="1:22">
      <c r="A274" s="972">
        <f t="shared" si="18"/>
        <v>2016.01</v>
      </c>
      <c r="B274" s="223">
        <v>198</v>
      </c>
      <c r="C274" s="1398">
        <v>79</v>
      </c>
      <c r="D274" s="1398">
        <v>1062.2</v>
      </c>
      <c r="E274" s="1398">
        <v>256.66800000000001</v>
      </c>
      <c r="F274" s="223">
        <v>0</v>
      </c>
      <c r="G274" s="3538">
        <v>0</v>
      </c>
      <c r="H274" s="2364">
        <f t="shared" ref="H274:H285" si="22">F274+G274</f>
        <v>0</v>
      </c>
      <c r="I274" s="223">
        <v>31250.44</v>
      </c>
      <c r="J274" s="1299">
        <v>0</v>
      </c>
      <c r="K274" s="1602">
        <f t="shared" ref="K274:K285" si="23">I274+J274</f>
        <v>31250.44</v>
      </c>
      <c r="L274" s="947">
        <v>101686.66320000001</v>
      </c>
      <c r="M274" s="190">
        <v>682.01958349999995</v>
      </c>
      <c r="N274" s="1398">
        <v>69.150000000000006</v>
      </c>
      <c r="O274" s="2394">
        <f t="shared" si="20"/>
        <v>102437.83278350001</v>
      </c>
      <c r="P274" s="1398">
        <v>261</v>
      </c>
      <c r="Q274" s="1398">
        <v>40018.507100000003</v>
      </c>
      <c r="R274" s="1398">
        <v>16772.1613</v>
      </c>
      <c r="S274" s="1398">
        <v>264.83834519999999</v>
      </c>
      <c r="T274" s="947">
        <v>0</v>
      </c>
      <c r="U274" s="190">
        <v>18020.400000000001</v>
      </c>
      <c r="V274" s="2365">
        <f t="shared" si="21"/>
        <v>75336.906745200002</v>
      </c>
    </row>
    <row r="275" spans="1:22">
      <c r="A275" s="972">
        <f t="shared" si="18"/>
        <v>2016.02</v>
      </c>
      <c r="B275" s="223">
        <v>261</v>
      </c>
      <c r="C275" s="1398">
        <v>220</v>
      </c>
      <c r="D275" s="1398">
        <v>1365.98</v>
      </c>
      <c r="E275" s="1398">
        <v>204.08699999999999</v>
      </c>
      <c r="F275" s="223">
        <v>36</v>
      </c>
      <c r="G275" s="3538">
        <v>0</v>
      </c>
      <c r="H275" s="2364">
        <f t="shared" si="22"/>
        <v>36</v>
      </c>
      <c r="I275" s="223">
        <v>30926.679</v>
      </c>
      <c r="J275" s="1299">
        <v>0</v>
      </c>
      <c r="K275" s="1602">
        <f t="shared" si="23"/>
        <v>30926.679</v>
      </c>
      <c r="L275" s="947">
        <v>109661.0181</v>
      </c>
      <c r="M275" s="190">
        <v>413.27325760000002</v>
      </c>
      <c r="N275" s="1398">
        <v>224.09700000000001</v>
      </c>
      <c r="O275" s="2394">
        <f t="shared" si="20"/>
        <v>110298.38835759999</v>
      </c>
      <c r="P275" s="1398">
        <v>244</v>
      </c>
      <c r="Q275" s="1398">
        <v>44766.767099999997</v>
      </c>
      <c r="R275" s="1398">
        <v>17115.3115</v>
      </c>
      <c r="S275" s="1398">
        <v>0</v>
      </c>
      <c r="T275" s="947">
        <v>0</v>
      </c>
      <c r="U275" s="190">
        <v>22848.6</v>
      </c>
      <c r="V275" s="2365">
        <f t="shared" si="21"/>
        <v>84974.678599999985</v>
      </c>
    </row>
    <row r="276" spans="1:22">
      <c r="A276" s="972">
        <f t="shared" si="18"/>
        <v>2016.03</v>
      </c>
      <c r="B276" s="223">
        <v>140</v>
      </c>
      <c r="C276" s="1398">
        <v>104</v>
      </c>
      <c r="D276" s="1398">
        <v>2280.6800000000003</v>
      </c>
      <c r="E276" s="1398">
        <v>277.50400000000002</v>
      </c>
      <c r="F276" s="223">
        <v>0</v>
      </c>
      <c r="G276" s="3538">
        <v>0</v>
      </c>
      <c r="H276" s="2364">
        <f t="shared" si="22"/>
        <v>0</v>
      </c>
      <c r="I276" s="223">
        <v>25826.578000000001</v>
      </c>
      <c r="J276" s="1299">
        <v>0</v>
      </c>
      <c r="K276" s="1602">
        <f t="shared" si="23"/>
        <v>25826.578000000001</v>
      </c>
      <c r="L276" s="947">
        <v>132702.7598</v>
      </c>
      <c r="M276" s="190">
        <v>1739.4496630000001</v>
      </c>
      <c r="N276" s="1398">
        <v>50.5901</v>
      </c>
      <c r="O276" s="2394">
        <f t="shared" si="20"/>
        <v>134492.79956300001</v>
      </c>
      <c r="P276" s="1398">
        <v>251</v>
      </c>
      <c r="Q276" s="1398">
        <v>46638.119299999998</v>
      </c>
      <c r="R276" s="1398">
        <v>17232.312299999998</v>
      </c>
      <c r="S276" s="1398">
        <v>0</v>
      </c>
      <c r="T276" s="947">
        <v>0</v>
      </c>
      <c r="U276" s="190">
        <v>19916.900000000001</v>
      </c>
      <c r="V276" s="2365">
        <f t="shared" si="21"/>
        <v>84038.331600000005</v>
      </c>
    </row>
    <row r="277" spans="1:22">
      <c r="A277" s="972">
        <f t="shared" si="18"/>
        <v>2016.04</v>
      </c>
      <c r="B277" s="223">
        <v>115</v>
      </c>
      <c r="C277" s="1398">
        <v>39</v>
      </c>
      <c r="D277" s="1398">
        <v>1342.2</v>
      </c>
      <c r="E277" s="1398">
        <v>268.91899999999998</v>
      </c>
      <c r="F277" s="223">
        <v>36</v>
      </c>
      <c r="G277" s="3538">
        <v>0</v>
      </c>
      <c r="H277" s="2364">
        <f t="shared" si="22"/>
        <v>36</v>
      </c>
      <c r="I277" s="223">
        <v>26348.303</v>
      </c>
      <c r="J277" s="1299">
        <v>0</v>
      </c>
      <c r="K277" s="1602">
        <f t="shared" si="23"/>
        <v>26348.303</v>
      </c>
      <c r="L277" s="947">
        <v>114021.82</v>
      </c>
      <c r="M277" s="190">
        <v>154.48837080000001</v>
      </c>
      <c r="N277" s="1398">
        <v>0</v>
      </c>
      <c r="O277" s="2394">
        <f t="shared" si="20"/>
        <v>114176.3083708</v>
      </c>
      <c r="P277" s="1398">
        <v>189</v>
      </c>
      <c r="Q277" s="1398">
        <v>43238.353199999998</v>
      </c>
      <c r="R277" s="1398">
        <v>14643.845300000001</v>
      </c>
      <c r="S277" s="1398">
        <v>0</v>
      </c>
      <c r="T277" s="947">
        <v>0</v>
      </c>
      <c r="U277" s="190">
        <v>16928.7</v>
      </c>
      <c r="V277" s="2365">
        <f t="shared" si="21"/>
        <v>74999.898499999996</v>
      </c>
    </row>
    <row r="278" spans="1:22">
      <c r="A278" s="972">
        <f t="shared" si="18"/>
        <v>2016.05</v>
      </c>
      <c r="B278" s="223">
        <v>126</v>
      </c>
      <c r="C278" s="1398">
        <v>75</v>
      </c>
      <c r="D278" s="1398">
        <v>3095.1800000000003</v>
      </c>
      <c r="E278" s="1398">
        <v>301.73400000000004</v>
      </c>
      <c r="F278" s="223">
        <v>36</v>
      </c>
      <c r="G278" s="3538">
        <v>0</v>
      </c>
      <c r="H278" s="2364">
        <f t="shared" si="22"/>
        <v>36</v>
      </c>
      <c r="I278" s="223">
        <v>37041.546000000002</v>
      </c>
      <c r="J278" s="1299">
        <v>0</v>
      </c>
      <c r="K278" s="1602">
        <f t="shared" si="23"/>
        <v>37041.546000000002</v>
      </c>
      <c r="L278" s="947">
        <v>154510.49309999999</v>
      </c>
      <c r="M278" s="190">
        <v>0</v>
      </c>
      <c r="N278" s="1398">
        <v>140.89400000000001</v>
      </c>
      <c r="O278" s="2394">
        <f t="shared" si="20"/>
        <v>154651.38709999999</v>
      </c>
      <c r="P278" s="1398">
        <v>69</v>
      </c>
      <c r="Q278" s="1398">
        <v>46208.132100000003</v>
      </c>
      <c r="R278" s="1398">
        <v>14573.8187</v>
      </c>
      <c r="S278" s="1398">
        <v>0</v>
      </c>
      <c r="T278" s="947">
        <v>0</v>
      </c>
      <c r="U278" s="190">
        <v>9042</v>
      </c>
      <c r="V278" s="2365">
        <f t="shared" si="21"/>
        <v>69892.950800000006</v>
      </c>
    </row>
    <row r="279" spans="1:22">
      <c r="A279" s="972">
        <f t="shared" si="18"/>
        <v>2016.06</v>
      </c>
      <c r="B279" s="223">
        <v>142</v>
      </c>
      <c r="C279" s="1398">
        <v>60</v>
      </c>
      <c r="D279" s="1398">
        <v>2860.54</v>
      </c>
      <c r="E279" s="1398">
        <v>429.57299999999998</v>
      </c>
      <c r="F279" s="223">
        <v>36</v>
      </c>
      <c r="G279" s="3538">
        <v>0</v>
      </c>
      <c r="H279" s="2364">
        <f t="shared" si="22"/>
        <v>36</v>
      </c>
      <c r="I279" s="223">
        <v>37289.396999999997</v>
      </c>
      <c r="J279" s="1299">
        <v>0</v>
      </c>
      <c r="K279" s="1602">
        <f t="shared" si="23"/>
        <v>37289.396999999997</v>
      </c>
      <c r="L279" s="947">
        <v>132549.5374</v>
      </c>
      <c r="M279" s="190">
        <v>0</v>
      </c>
      <c r="N279" s="1398">
        <v>68.218999999999994</v>
      </c>
      <c r="O279" s="2394">
        <f t="shared" si="20"/>
        <v>132617.75640000001</v>
      </c>
      <c r="P279" s="1398">
        <v>142</v>
      </c>
      <c r="Q279" s="1398">
        <v>45283.1106</v>
      </c>
      <c r="R279" s="1398">
        <v>15673.5185</v>
      </c>
      <c r="S279" s="1398">
        <v>0</v>
      </c>
      <c r="T279" s="947">
        <v>0</v>
      </c>
      <c r="U279" s="190">
        <v>18487.099999999999</v>
      </c>
      <c r="V279" s="2365">
        <f t="shared" si="21"/>
        <v>79585.729099999997</v>
      </c>
    </row>
    <row r="280" spans="1:22">
      <c r="A280" s="972">
        <f t="shared" si="18"/>
        <v>2016.07</v>
      </c>
      <c r="B280" s="223">
        <v>145</v>
      </c>
      <c r="C280" s="1398">
        <v>54</v>
      </c>
      <c r="D280" s="1398">
        <v>3577.8599999999997</v>
      </c>
      <c r="E280" s="1398">
        <v>352.08499999999998</v>
      </c>
      <c r="F280" s="223">
        <v>72</v>
      </c>
      <c r="G280" s="3538">
        <v>0</v>
      </c>
      <c r="H280" s="2364">
        <f t="shared" si="22"/>
        <v>72</v>
      </c>
      <c r="I280" s="223">
        <v>44614.234000000004</v>
      </c>
      <c r="J280" s="1299">
        <v>0</v>
      </c>
      <c r="K280" s="1602">
        <f t="shared" si="23"/>
        <v>44614.234000000004</v>
      </c>
      <c r="L280" s="947">
        <v>124083.0263</v>
      </c>
      <c r="M280" s="190">
        <v>0</v>
      </c>
      <c r="N280" s="1398">
        <v>0</v>
      </c>
      <c r="O280" s="2394">
        <f t="shared" si="20"/>
        <v>124083.0263</v>
      </c>
      <c r="P280" s="1398">
        <v>141</v>
      </c>
      <c r="Q280" s="1398">
        <v>45266.290200000003</v>
      </c>
      <c r="R280" s="1398">
        <v>17409.569499999998</v>
      </c>
      <c r="S280" s="1398">
        <v>0</v>
      </c>
      <c r="T280" s="947">
        <v>0</v>
      </c>
      <c r="U280" s="190">
        <v>18746.599999999999</v>
      </c>
      <c r="V280" s="2365">
        <f t="shared" si="21"/>
        <v>81563.459700000007</v>
      </c>
    </row>
    <row r="281" spans="1:22">
      <c r="A281" s="972">
        <f t="shared" si="18"/>
        <v>2016.08</v>
      </c>
      <c r="B281" s="223">
        <v>169</v>
      </c>
      <c r="C281" s="1398">
        <v>66</v>
      </c>
      <c r="D281" s="1398">
        <v>4317.22</v>
      </c>
      <c r="E281" s="1398">
        <v>407.57600000000002</v>
      </c>
      <c r="F281" s="223">
        <v>72</v>
      </c>
      <c r="G281" s="3538">
        <v>0</v>
      </c>
      <c r="H281" s="2364">
        <f t="shared" si="22"/>
        <v>72</v>
      </c>
      <c r="I281" s="223">
        <v>33926.58</v>
      </c>
      <c r="J281" s="1299">
        <v>0</v>
      </c>
      <c r="K281" s="1602">
        <f t="shared" si="23"/>
        <v>33926.58</v>
      </c>
      <c r="L281" s="947">
        <v>150940.2836</v>
      </c>
      <c r="M281" s="190">
        <v>0</v>
      </c>
      <c r="N281" s="1398">
        <v>68.792000000000002</v>
      </c>
      <c r="O281" s="2394">
        <f t="shared" si="20"/>
        <v>151009.07559999998</v>
      </c>
      <c r="P281" s="1398">
        <v>177</v>
      </c>
      <c r="Q281" s="1398">
        <v>48678.181899999996</v>
      </c>
      <c r="R281" s="1398">
        <v>17308.718399999998</v>
      </c>
      <c r="S281" s="1398">
        <v>0</v>
      </c>
      <c r="T281" s="947">
        <v>0</v>
      </c>
      <c r="U281" s="190">
        <v>18008</v>
      </c>
      <c r="V281" s="2365">
        <f t="shared" si="21"/>
        <v>84171.900299999994</v>
      </c>
    </row>
    <row r="282" spans="1:22">
      <c r="A282" s="972">
        <f t="shared" si="18"/>
        <v>2016.09</v>
      </c>
      <c r="B282" s="223">
        <v>166</v>
      </c>
      <c r="C282" s="1398">
        <v>79</v>
      </c>
      <c r="D282" s="1398">
        <v>4367.5</v>
      </c>
      <c r="E282" s="1398">
        <v>340.99199999999996</v>
      </c>
      <c r="F282" s="223">
        <v>72</v>
      </c>
      <c r="G282" s="3538">
        <v>0</v>
      </c>
      <c r="H282" s="2364">
        <f t="shared" si="22"/>
        <v>72</v>
      </c>
      <c r="I282" s="223">
        <v>26060.548000000003</v>
      </c>
      <c r="J282" s="1299">
        <v>0</v>
      </c>
      <c r="K282" s="1602">
        <f t="shared" si="23"/>
        <v>26060.548000000003</v>
      </c>
      <c r="L282" s="947">
        <v>119877.5297</v>
      </c>
      <c r="M282" s="190">
        <v>0</v>
      </c>
      <c r="N282" s="1398">
        <v>181.86699999999999</v>
      </c>
      <c r="O282" s="2394">
        <f t="shared" si="20"/>
        <v>120059.3967</v>
      </c>
      <c r="P282" s="1398">
        <v>437</v>
      </c>
      <c r="Q282" s="1398">
        <v>41693.867899999997</v>
      </c>
      <c r="R282" s="1398">
        <v>16775.102699999999</v>
      </c>
      <c r="S282" s="1398">
        <v>0</v>
      </c>
      <c r="T282" s="947">
        <v>0</v>
      </c>
      <c r="U282" s="190">
        <v>18652.599999999999</v>
      </c>
      <c r="V282" s="2365">
        <f t="shared" si="21"/>
        <v>77558.570600000006</v>
      </c>
    </row>
    <row r="283" spans="1:22">
      <c r="A283" s="972">
        <f t="shared" si="18"/>
        <v>2016.1</v>
      </c>
      <c r="B283" s="223">
        <v>176</v>
      </c>
      <c r="C283" s="1398">
        <v>112</v>
      </c>
      <c r="D283" s="1398">
        <v>4429.96</v>
      </c>
      <c r="E283" s="1398">
        <v>388.911</v>
      </c>
      <c r="F283" s="223">
        <v>144</v>
      </c>
      <c r="G283" s="3538">
        <v>0</v>
      </c>
      <c r="H283" s="2364">
        <f t="shared" si="22"/>
        <v>144</v>
      </c>
      <c r="I283" s="223">
        <v>8014.7070000000003</v>
      </c>
      <c r="J283" s="1299">
        <v>0</v>
      </c>
      <c r="K283" s="1602">
        <f t="shared" si="23"/>
        <v>8014.7070000000003</v>
      </c>
      <c r="L283" s="947">
        <v>114737.511</v>
      </c>
      <c r="M283" s="190">
        <v>0</v>
      </c>
      <c r="N283" s="1398">
        <v>0</v>
      </c>
      <c r="O283" s="2394">
        <f t="shared" si="20"/>
        <v>114737.511</v>
      </c>
      <c r="P283" s="1398">
        <v>384</v>
      </c>
      <c r="Q283" s="1398">
        <v>44955.171900000001</v>
      </c>
      <c r="R283" s="1398">
        <v>17846.896499999999</v>
      </c>
      <c r="S283" s="1398">
        <v>0</v>
      </c>
      <c r="T283" s="947">
        <v>0</v>
      </c>
      <c r="U283" s="190">
        <v>18319.5</v>
      </c>
      <c r="V283" s="2365">
        <f t="shared" si="21"/>
        <v>81505.568400000004</v>
      </c>
    </row>
    <row r="284" spans="1:22">
      <c r="A284" s="972">
        <f t="shared" si="18"/>
        <v>2016.11</v>
      </c>
      <c r="B284" s="223">
        <v>200</v>
      </c>
      <c r="C284" s="1398">
        <v>102</v>
      </c>
      <c r="D284" s="1398">
        <v>5480.9400000000005</v>
      </c>
      <c r="E284" s="1398">
        <v>333.41499999999996</v>
      </c>
      <c r="F284" s="223">
        <v>72</v>
      </c>
      <c r="G284" s="3538">
        <v>0</v>
      </c>
      <c r="H284" s="2364">
        <f t="shared" si="22"/>
        <v>72</v>
      </c>
      <c r="I284" s="223">
        <v>9504.6790000000001</v>
      </c>
      <c r="J284" s="1299">
        <v>0</v>
      </c>
      <c r="K284" s="1602">
        <f t="shared" si="23"/>
        <v>9504.6790000000001</v>
      </c>
      <c r="L284" s="947">
        <v>128352.8167</v>
      </c>
      <c r="M284" s="190">
        <v>0</v>
      </c>
      <c r="N284" s="1398">
        <v>0</v>
      </c>
      <c r="O284" s="2394">
        <f t="shared" si="20"/>
        <v>128352.8167</v>
      </c>
      <c r="P284" s="1398">
        <v>562</v>
      </c>
      <c r="Q284" s="1398">
        <v>43971.887799999997</v>
      </c>
      <c r="R284" s="1398">
        <v>17923.114399999999</v>
      </c>
      <c r="S284" s="1398">
        <v>0</v>
      </c>
      <c r="T284" s="947">
        <v>0</v>
      </c>
      <c r="U284" s="190">
        <v>18018.29</v>
      </c>
      <c r="V284" s="2365">
        <f t="shared" si="21"/>
        <v>80475.292199999996</v>
      </c>
    </row>
    <row r="285" spans="1:22">
      <c r="A285" s="972">
        <f t="shared" si="18"/>
        <v>2016.12</v>
      </c>
      <c r="B285" s="223">
        <v>259</v>
      </c>
      <c r="C285" s="1398">
        <v>93</v>
      </c>
      <c r="D285" s="1398">
        <v>3720.44</v>
      </c>
      <c r="E285" s="1398">
        <v>351.87099999999998</v>
      </c>
      <c r="F285" s="223">
        <v>36</v>
      </c>
      <c r="G285" s="3538">
        <v>0</v>
      </c>
      <c r="H285" s="2364">
        <f t="shared" si="22"/>
        <v>36</v>
      </c>
      <c r="I285" s="223">
        <v>17345.403000000002</v>
      </c>
      <c r="J285" s="1299">
        <v>0</v>
      </c>
      <c r="K285" s="1602">
        <f t="shared" si="23"/>
        <v>17345.403000000002</v>
      </c>
      <c r="L285" s="947">
        <v>127957.9838</v>
      </c>
      <c r="M285" s="190">
        <v>0</v>
      </c>
      <c r="N285" s="1398">
        <v>0</v>
      </c>
      <c r="O285" s="2394">
        <f t="shared" si="20"/>
        <v>127957.9838</v>
      </c>
      <c r="P285" s="1398">
        <v>520</v>
      </c>
      <c r="Q285" s="1398">
        <v>49134.998099999997</v>
      </c>
      <c r="R285" s="1398">
        <v>21219.408500000001</v>
      </c>
      <c r="S285" s="1398">
        <v>0</v>
      </c>
      <c r="T285" s="947">
        <v>0</v>
      </c>
      <c r="U285" s="190">
        <v>19234.12</v>
      </c>
      <c r="V285" s="2365">
        <f t="shared" si="21"/>
        <v>90108.526599999997</v>
      </c>
    </row>
    <row r="286" spans="1:22">
      <c r="A286" s="972">
        <f t="shared" si="18"/>
        <v>2017.01</v>
      </c>
      <c r="B286" s="223">
        <v>233</v>
      </c>
      <c r="C286" s="1398">
        <v>209</v>
      </c>
      <c r="D286" s="1398">
        <v>3755.2799999999997</v>
      </c>
      <c r="E286" s="1398">
        <v>362.70400000000001</v>
      </c>
      <c r="F286" s="223">
        <v>143</v>
      </c>
      <c r="G286" s="3538">
        <v>0</v>
      </c>
      <c r="H286" s="2364">
        <f t="shared" ref="H286:H333" si="24">F286+G286</f>
        <v>143</v>
      </c>
      <c r="I286" s="223">
        <v>11170.666999999999</v>
      </c>
      <c r="J286" s="1299">
        <v>0</v>
      </c>
      <c r="K286" s="1602">
        <f t="shared" ref="K286:K333" si="25">I286+J286</f>
        <v>11170.666999999999</v>
      </c>
      <c r="L286" s="947">
        <v>106860.76329999999</v>
      </c>
      <c r="M286" s="190">
        <v>0</v>
      </c>
      <c r="N286" s="1398">
        <v>0</v>
      </c>
      <c r="O286" s="2394">
        <f t="shared" si="20"/>
        <v>106860.76329999999</v>
      </c>
      <c r="P286" s="1398">
        <v>403</v>
      </c>
      <c r="Q286" s="1398">
        <v>45725.525200000004</v>
      </c>
      <c r="R286" s="1398">
        <v>18709.943800000001</v>
      </c>
      <c r="S286" s="1398">
        <v>0</v>
      </c>
      <c r="T286" s="947">
        <v>0</v>
      </c>
      <c r="U286" s="190">
        <v>20263.66</v>
      </c>
      <c r="V286" s="2365">
        <f t="shared" si="21"/>
        <v>85102.129000000001</v>
      </c>
    </row>
    <row r="287" spans="1:22">
      <c r="A287" s="972">
        <f t="shared" si="18"/>
        <v>2017.02</v>
      </c>
      <c r="B287" s="223">
        <v>203</v>
      </c>
      <c r="C287" s="1398">
        <v>119</v>
      </c>
      <c r="D287" s="1398">
        <v>4200.6400000000003</v>
      </c>
      <c r="E287" s="1398">
        <v>238.57599999999999</v>
      </c>
      <c r="F287" s="223">
        <v>105</v>
      </c>
      <c r="G287" s="3538">
        <v>0</v>
      </c>
      <c r="H287" s="2364">
        <f t="shared" si="24"/>
        <v>105</v>
      </c>
      <c r="I287" s="223">
        <v>7709.6760000000004</v>
      </c>
      <c r="J287" s="1299">
        <v>0</v>
      </c>
      <c r="K287" s="1602">
        <f t="shared" si="25"/>
        <v>7709.6760000000004</v>
      </c>
      <c r="L287" s="947">
        <v>95684.027399999992</v>
      </c>
      <c r="M287" s="190">
        <v>0</v>
      </c>
      <c r="N287" s="1398">
        <v>33.545000000000002</v>
      </c>
      <c r="O287" s="2394">
        <f t="shared" si="20"/>
        <v>95717.57239999999</v>
      </c>
      <c r="P287" s="1398">
        <v>269</v>
      </c>
      <c r="Q287" s="1398">
        <v>41517.1109</v>
      </c>
      <c r="R287" s="1398">
        <v>17213.8645</v>
      </c>
      <c r="S287" s="1398">
        <v>0</v>
      </c>
      <c r="T287" s="947">
        <v>0</v>
      </c>
      <c r="U287" s="190">
        <v>16988.57</v>
      </c>
      <c r="V287" s="2365">
        <f t="shared" si="21"/>
        <v>75988.545400000003</v>
      </c>
    </row>
    <row r="288" spans="1:22">
      <c r="A288" s="972">
        <f t="shared" si="18"/>
        <v>2017.03</v>
      </c>
      <c r="B288" s="223">
        <v>220</v>
      </c>
      <c r="C288" s="1398">
        <v>113</v>
      </c>
      <c r="D288" s="1398">
        <v>4843.2199999999993</v>
      </c>
      <c r="E288" s="1398">
        <v>457.73500000000001</v>
      </c>
      <c r="F288" s="223">
        <v>105</v>
      </c>
      <c r="G288" s="3538">
        <v>0</v>
      </c>
      <c r="H288" s="2364">
        <f t="shared" si="24"/>
        <v>105</v>
      </c>
      <c r="I288" s="223">
        <v>27021.616000000002</v>
      </c>
      <c r="J288" s="1299">
        <v>0</v>
      </c>
      <c r="K288" s="1602">
        <f t="shared" si="25"/>
        <v>27021.616000000002</v>
      </c>
      <c r="L288" s="947">
        <v>123665.9621</v>
      </c>
      <c r="M288" s="190">
        <v>0</v>
      </c>
      <c r="N288" s="1398">
        <v>0</v>
      </c>
      <c r="O288" s="2394">
        <f t="shared" si="20"/>
        <v>123665.9621</v>
      </c>
      <c r="P288" s="1398">
        <v>98</v>
      </c>
      <c r="Q288" s="1398">
        <v>44425.710299999999</v>
      </c>
      <c r="R288" s="1398">
        <v>19137.841700000001</v>
      </c>
      <c r="S288" s="1398">
        <v>0</v>
      </c>
      <c r="T288" s="947">
        <v>0</v>
      </c>
      <c r="U288" s="190">
        <v>18115.46</v>
      </c>
      <c r="V288" s="2365">
        <f t="shared" si="21"/>
        <v>81777.011999999988</v>
      </c>
    </row>
    <row r="289" spans="1:22">
      <c r="A289" s="972">
        <f t="shared" si="18"/>
        <v>2017.04</v>
      </c>
      <c r="B289" s="223">
        <v>131</v>
      </c>
      <c r="C289" s="1398">
        <v>81</v>
      </c>
      <c r="D289" s="1398">
        <v>3976.7200000000003</v>
      </c>
      <c r="E289" s="1398">
        <v>421.358</v>
      </c>
      <c r="F289" s="223">
        <v>216</v>
      </c>
      <c r="G289" s="3538">
        <v>0</v>
      </c>
      <c r="H289" s="2364">
        <f t="shared" si="24"/>
        <v>216</v>
      </c>
      <c r="I289" s="223">
        <v>12939.789000000001</v>
      </c>
      <c r="J289" s="1299">
        <v>0</v>
      </c>
      <c r="K289" s="1602">
        <f t="shared" si="25"/>
        <v>12939.789000000001</v>
      </c>
      <c r="L289" s="947">
        <v>116614.5422</v>
      </c>
      <c r="M289" s="190">
        <v>0</v>
      </c>
      <c r="N289" s="1398">
        <v>33.911000000000001</v>
      </c>
      <c r="O289" s="2394">
        <f t="shared" si="20"/>
        <v>116648.45319999999</v>
      </c>
      <c r="P289" s="1398">
        <v>0</v>
      </c>
      <c r="Q289" s="1398">
        <v>42585.003899999996</v>
      </c>
      <c r="R289" s="1398">
        <v>18594.341700000001</v>
      </c>
      <c r="S289" s="1398">
        <v>0</v>
      </c>
      <c r="T289" s="947">
        <v>0</v>
      </c>
      <c r="U289" s="190">
        <v>17260.75</v>
      </c>
      <c r="V289" s="2365">
        <f t="shared" si="21"/>
        <v>78440.095600000001</v>
      </c>
    </row>
    <row r="290" spans="1:22">
      <c r="A290" s="972">
        <f t="shared" si="18"/>
        <v>2017.05</v>
      </c>
      <c r="B290" s="223">
        <v>150</v>
      </c>
      <c r="C290" s="1398">
        <v>50</v>
      </c>
      <c r="D290" s="1398">
        <v>3534.36</v>
      </c>
      <c r="E290" s="1398">
        <v>504.33699999999999</v>
      </c>
      <c r="F290" s="223">
        <v>72</v>
      </c>
      <c r="G290" s="3538">
        <v>0</v>
      </c>
      <c r="H290" s="2364">
        <f t="shared" si="24"/>
        <v>72</v>
      </c>
      <c r="I290" s="223">
        <v>12864.626</v>
      </c>
      <c r="J290" s="1299">
        <v>0</v>
      </c>
      <c r="K290" s="1602">
        <f t="shared" si="25"/>
        <v>12864.626</v>
      </c>
      <c r="L290" s="947">
        <v>132638.36629999999</v>
      </c>
      <c r="M290" s="190">
        <v>0</v>
      </c>
      <c r="N290" s="1398">
        <v>32.896999999999998</v>
      </c>
      <c r="O290" s="2394">
        <f t="shared" si="20"/>
        <v>132671.26329999999</v>
      </c>
      <c r="P290" s="1398">
        <v>67</v>
      </c>
      <c r="Q290" s="1398">
        <v>43960.573400000001</v>
      </c>
      <c r="R290" s="1398">
        <v>19010.530299999999</v>
      </c>
      <c r="S290" s="1398">
        <v>0</v>
      </c>
      <c r="T290" s="947">
        <v>0</v>
      </c>
      <c r="U290" s="190">
        <v>21897.56</v>
      </c>
      <c r="V290" s="2365">
        <f t="shared" si="21"/>
        <v>84935.663700000005</v>
      </c>
    </row>
    <row r="291" spans="1:22">
      <c r="A291" s="972">
        <f t="shared" si="18"/>
        <v>2017.06</v>
      </c>
      <c r="B291" s="223">
        <v>129</v>
      </c>
      <c r="C291" s="1398">
        <v>51</v>
      </c>
      <c r="D291" s="1398">
        <v>3752.9</v>
      </c>
      <c r="E291" s="1398">
        <v>346.00599999999997</v>
      </c>
      <c r="F291" s="223">
        <v>35</v>
      </c>
      <c r="G291" s="3538">
        <v>0</v>
      </c>
      <c r="H291" s="2364">
        <f t="shared" si="24"/>
        <v>35</v>
      </c>
      <c r="I291" s="223">
        <v>11314.119000000001</v>
      </c>
      <c r="J291" s="1299">
        <v>0</v>
      </c>
      <c r="K291" s="1602">
        <f t="shared" si="25"/>
        <v>11314.119000000001</v>
      </c>
      <c r="L291" s="947">
        <v>169020.549</v>
      </c>
      <c r="M291" s="190">
        <v>0</v>
      </c>
      <c r="N291" s="1398">
        <v>0</v>
      </c>
      <c r="O291" s="2394">
        <f t="shared" si="20"/>
        <v>169020.549</v>
      </c>
      <c r="P291" s="1398">
        <v>0</v>
      </c>
      <c r="Q291" s="1398">
        <v>61723.681000000004</v>
      </c>
      <c r="R291" s="1398">
        <v>23113.506099999999</v>
      </c>
      <c r="S291" s="1398">
        <v>0</v>
      </c>
      <c r="T291" s="947">
        <v>0</v>
      </c>
      <c r="U291" s="190">
        <v>16627.25</v>
      </c>
      <c r="V291" s="2365">
        <f t="shared" si="21"/>
        <v>101464.43710000001</v>
      </c>
    </row>
    <row r="292" spans="1:22">
      <c r="A292" s="972">
        <f t="shared" si="18"/>
        <v>2017.07</v>
      </c>
      <c r="B292" s="223">
        <v>134</v>
      </c>
      <c r="C292" s="1398">
        <v>56</v>
      </c>
      <c r="D292" s="1398">
        <v>4337.58</v>
      </c>
      <c r="E292" s="1398">
        <v>504.59800000000001</v>
      </c>
      <c r="F292" s="223">
        <v>36</v>
      </c>
      <c r="G292" s="3538">
        <v>0</v>
      </c>
      <c r="H292" s="2364">
        <f t="shared" si="24"/>
        <v>36</v>
      </c>
      <c r="I292" s="223">
        <v>20357.14</v>
      </c>
      <c r="J292" s="1299">
        <v>0</v>
      </c>
      <c r="K292" s="1602">
        <f t="shared" si="25"/>
        <v>20357.14</v>
      </c>
      <c r="L292" s="947">
        <v>127025.8058</v>
      </c>
      <c r="M292" s="190">
        <v>0</v>
      </c>
      <c r="N292" s="1398">
        <v>537.01599999999996</v>
      </c>
      <c r="O292" s="2394">
        <f t="shared" si="20"/>
        <v>127562.82180000001</v>
      </c>
      <c r="P292" s="1398">
        <v>166</v>
      </c>
      <c r="Q292" s="1398">
        <v>46019.179199999999</v>
      </c>
      <c r="R292" s="1398">
        <v>20567.797599999998</v>
      </c>
      <c r="S292" s="1398">
        <v>0</v>
      </c>
      <c r="T292" s="947">
        <v>0</v>
      </c>
      <c r="U292" s="190">
        <v>22903.25</v>
      </c>
      <c r="V292" s="2365">
        <f t="shared" si="21"/>
        <v>89656.226800000004</v>
      </c>
    </row>
    <row r="293" spans="1:22">
      <c r="A293" s="972">
        <f t="shared" si="18"/>
        <v>2017.08</v>
      </c>
      <c r="B293" s="223">
        <v>169</v>
      </c>
      <c r="C293" s="1398">
        <v>70</v>
      </c>
      <c r="D293" s="1398">
        <v>5588.34</v>
      </c>
      <c r="E293" s="1398">
        <v>412.44</v>
      </c>
      <c r="F293" s="223">
        <v>70</v>
      </c>
      <c r="G293" s="3538">
        <v>0</v>
      </c>
      <c r="H293" s="2364">
        <f t="shared" si="24"/>
        <v>70</v>
      </c>
      <c r="I293" s="223">
        <v>7898.2060000000001</v>
      </c>
      <c r="J293" s="1299">
        <v>0</v>
      </c>
      <c r="K293" s="1602">
        <f t="shared" si="25"/>
        <v>7898.2060000000001</v>
      </c>
      <c r="L293" s="947">
        <v>134126.00839999999</v>
      </c>
      <c r="M293" s="190">
        <v>0</v>
      </c>
      <c r="N293" s="1398">
        <v>579.178</v>
      </c>
      <c r="O293" s="2394">
        <f t="shared" si="20"/>
        <v>134705.18640000001</v>
      </c>
      <c r="P293" s="1398">
        <v>132</v>
      </c>
      <c r="Q293" s="1398">
        <v>47437.535399999993</v>
      </c>
      <c r="R293" s="1398">
        <v>21083.7588</v>
      </c>
      <c r="S293" s="1398">
        <v>0</v>
      </c>
      <c r="T293" s="947">
        <v>0</v>
      </c>
      <c r="U293" s="190">
        <v>19478.830000000002</v>
      </c>
      <c r="V293" s="2365">
        <f t="shared" si="21"/>
        <v>88132.124199999991</v>
      </c>
    </row>
    <row r="294" spans="1:22">
      <c r="A294" s="972">
        <f t="shared" si="18"/>
        <v>2017.09</v>
      </c>
      <c r="B294" s="223">
        <v>172</v>
      </c>
      <c r="C294" s="1398">
        <v>81</v>
      </c>
      <c r="D294" s="1398">
        <v>5217.08</v>
      </c>
      <c r="E294" s="1398">
        <v>271.95400000000001</v>
      </c>
      <c r="F294" s="223">
        <v>108</v>
      </c>
      <c r="G294" s="3538">
        <v>0</v>
      </c>
      <c r="H294" s="2364">
        <f t="shared" si="24"/>
        <v>108</v>
      </c>
      <c r="I294" s="223">
        <v>1160.3130000000001</v>
      </c>
      <c r="J294" s="1299">
        <v>0</v>
      </c>
      <c r="K294" s="1602">
        <f t="shared" si="25"/>
        <v>1160.3130000000001</v>
      </c>
      <c r="L294" s="947">
        <v>123083.00930000001</v>
      </c>
      <c r="M294" s="190">
        <v>0</v>
      </c>
      <c r="N294" s="1398">
        <v>96.426000000000002</v>
      </c>
      <c r="O294" s="2394">
        <f t="shared" si="20"/>
        <v>123179.43530000001</v>
      </c>
      <c r="P294" s="1398">
        <v>69</v>
      </c>
      <c r="Q294" s="1398">
        <v>45771.133699999998</v>
      </c>
      <c r="R294" s="1398">
        <v>20918.5527</v>
      </c>
      <c r="S294" s="1398">
        <v>0</v>
      </c>
      <c r="T294" s="947">
        <v>0</v>
      </c>
      <c r="U294" s="190">
        <v>25074.63</v>
      </c>
      <c r="V294" s="2365">
        <f t="shared" si="21"/>
        <v>91833.316400000011</v>
      </c>
    </row>
    <row r="295" spans="1:22">
      <c r="A295" s="972">
        <f t="shared" si="18"/>
        <v>2017.1</v>
      </c>
      <c r="B295" s="223">
        <v>254</v>
      </c>
      <c r="C295" s="1398">
        <v>120</v>
      </c>
      <c r="D295" s="1398">
        <v>5199.2199999999993</v>
      </c>
      <c r="E295" s="1398">
        <v>273.10699999999997</v>
      </c>
      <c r="F295" s="223">
        <v>105</v>
      </c>
      <c r="G295" s="3538">
        <v>0</v>
      </c>
      <c r="H295" s="2364">
        <f t="shared" si="24"/>
        <v>105</v>
      </c>
      <c r="I295" s="223">
        <v>0</v>
      </c>
      <c r="J295" s="1299">
        <v>0</v>
      </c>
      <c r="K295" s="1602">
        <v>0</v>
      </c>
      <c r="L295" s="947">
        <v>124318.4587</v>
      </c>
      <c r="M295" s="190">
        <v>0</v>
      </c>
      <c r="N295" s="1398">
        <v>89.471000000000004</v>
      </c>
      <c r="O295" s="2394">
        <f t="shared" si="20"/>
        <v>124407.92970000001</v>
      </c>
      <c r="P295" s="1398">
        <v>83</v>
      </c>
      <c r="Q295" s="1398">
        <v>46618.670400000003</v>
      </c>
      <c r="R295" s="1398">
        <v>22066.5121</v>
      </c>
      <c r="S295" s="1398">
        <v>0</v>
      </c>
      <c r="T295" s="947">
        <v>0</v>
      </c>
      <c r="U295" s="190">
        <v>11960.08</v>
      </c>
      <c r="V295" s="2365">
        <f t="shared" si="21"/>
        <v>80728.262499999997</v>
      </c>
    </row>
    <row r="296" spans="1:22">
      <c r="A296" s="972">
        <f t="shared" si="18"/>
        <v>2017.11</v>
      </c>
      <c r="B296" s="223">
        <f>0+2031</f>
        <v>2031</v>
      </c>
      <c r="C296" s="1398">
        <v>90</v>
      </c>
      <c r="D296" s="1398">
        <v>6008.78</v>
      </c>
      <c r="E296" s="1398">
        <v>81</v>
      </c>
      <c r="F296" s="223">
        <v>0</v>
      </c>
      <c r="G296" s="3538">
        <v>0</v>
      </c>
      <c r="H296" s="2364">
        <f t="shared" si="24"/>
        <v>0</v>
      </c>
      <c r="I296" s="223">
        <v>0</v>
      </c>
      <c r="J296" s="1299">
        <v>0</v>
      </c>
      <c r="K296" s="1602">
        <f t="shared" si="25"/>
        <v>0</v>
      </c>
      <c r="L296" s="947">
        <f>109555.9682+26374.5934</f>
        <v>135930.56160000002</v>
      </c>
      <c r="M296" s="190">
        <v>0</v>
      </c>
      <c r="N296" s="1398">
        <v>59.665999999999997</v>
      </c>
      <c r="O296" s="2394">
        <f t="shared" si="20"/>
        <v>135990.22760000001</v>
      </c>
      <c r="P296" s="1398">
        <v>414</v>
      </c>
      <c r="Q296" s="1398">
        <v>47100.704400000002</v>
      </c>
      <c r="R296" s="1398">
        <v>21032.6826</v>
      </c>
      <c r="S296" s="1398">
        <v>0</v>
      </c>
      <c r="T296" s="947">
        <v>0</v>
      </c>
      <c r="U296" s="190">
        <v>16428.61</v>
      </c>
      <c r="V296" s="2365">
        <f t="shared" si="21"/>
        <v>84975.997000000003</v>
      </c>
    </row>
    <row r="297" spans="1:22">
      <c r="A297" s="972">
        <f t="shared" si="18"/>
        <v>2017.12</v>
      </c>
      <c r="B297" s="223">
        <v>2272</v>
      </c>
      <c r="C297" s="1398">
        <v>139</v>
      </c>
      <c r="D297" s="1398">
        <v>4271.2300000000005</v>
      </c>
      <c r="E297" s="1398">
        <v>375.55700000000002</v>
      </c>
      <c r="F297" s="223">
        <v>0</v>
      </c>
      <c r="G297" s="3538">
        <v>0</v>
      </c>
      <c r="H297" s="2364">
        <f t="shared" si="24"/>
        <v>0</v>
      </c>
      <c r="I297" s="223">
        <v>577.48</v>
      </c>
      <c r="J297" s="1299">
        <v>0</v>
      </c>
      <c r="K297" s="1602">
        <f t="shared" si="25"/>
        <v>577.48</v>
      </c>
      <c r="L297" s="947">
        <v>125889.1759</v>
      </c>
      <c r="M297" s="190">
        <v>0</v>
      </c>
      <c r="N297" s="1398">
        <v>49.423999999999999</v>
      </c>
      <c r="O297" s="2394">
        <f t="shared" si="20"/>
        <v>125938.5999</v>
      </c>
      <c r="P297" s="1398">
        <v>285</v>
      </c>
      <c r="Q297" s="1398">
        <v>50836.3315</v>
      </c>
      <c r="R297" s="1398">
        <v>22771.734699999997</v>
      </c>
      <c r="S297" s="1398">
        <v>0</v>
      </c>
      <c r="T297" s="947">
        <v>0</v>
      </c>
      <c r="U297" s="190">
        <v>12320.831</v>
      </c>
      <c r="V297" s="2365">
        <f t="shared" si="21"/>
        <v>86213.897200000007</v>
      </c>
    </row>
    <row r="298" spans="1:22">
      <c r="A298" s="972">
        <f t="shared" si="18"/>
        <v>2018.01</v>
      </c>
      <c r="B298" s="223">
        <v>2916</v>
      </c>
      <c r="C298" s="1398">
        <v>161</v>
      </c>
      <c r="D298" s="1398">
        <v>3712.92</v>
      </c>
      <c r="E298" s="1398">
        <v>246.78899999999999</v>
      </c>
      <c r="F298" s="223">
        <v>0</v>
      </c>
      <c r="G298" s="3538">
        <v>0</v>
      </c>
      <c r="H298" s="2364">
        <f t="shared" si="24"/>
        <v>0</v>
      </c>
      <c r="I298" s="223">
        <v>778.14400000000001</v>
      </c>
      <c r="J298" s="1299">
        <v>0</v>
      </c>
      <c r="K298" s="1602">
        <f t="shared" si="25"/>
        <v>778.14400000000001</v>
      </c>
      <c r="L298" s="947">
        <v>115144.3989</v>
      </c>
      <c r="M298" s="190">
        <v>0</v>
      </c>
      <c r="N298" s="1398">
        <v>0</v>
      </c>
      <c r="O298" s="2394">
        <f t="shared" si="20"/>
        <v>115144.3989</v>
      </c>
      <c r="P298" s="1398">
        <v>237</v>
      </c>
      <c r="Q298" s="1398">
        <v>46390.646999999997</v>
      </c>
      <c r="R298" s="1398">
        <v>21065.332699999999</v>
      </c>
      <c r="S298" s="1398">
        <v>0</v>
      </c>
      <c r="T298" s="947">
        <v>0</v>
      </c>
      <c r="U298" s="190">
        <v>15382.562</v>
      </c>
      <c r="V298" s="2365">
        <f t="shared" si="21"/>
        <v>83075.541700000002</v>
      </c>
    </row>
    <row r="299" spans="1:22">
      <c r="A299" s="972">
        <f t="shared" si="18"/>
        <v>2018.02</v>
      </c>
      <c r="B299" s="223">
        <v>2628</v>
      </c>
      <c r="C299" s="1398">
        <v>139</v>
      </c>
      <c r="D299" s="1398">
        <v>4672.38</v>
      </c>
      <c r="E299" s="1398">
        <v>296.31399999999996</v>
      </c>
      <c r="F299" s="223">
        <v>0</v>
      </c>
      <c r="G299" s="3538">
        <v>0</v>
      </c>
      <c r="H299" s="2364">
        <f t="shared" si="24"/>
        <v>0</v>
      </c>
      <c r="I299" s="223">
        <v>630.48800000000006</v>
      </c>
      <c r="J299" s="1299">
        <v>0</v>
      </c>
      <c r="K299" s="1602">
        <f t="shared" si="25"/>
        <v>630.48800000000006</v>
      </c>
      <c r="L299" s="947">
        <v>95699.698099999994</v>
      </c>
      <c r="M299" s="190">
        <v>0</v>
      </c>
      <c r="N299" s="1398">
        <v>0</v>
      </c>
      <c r="O299" s="2394">
        <f t="shared" si="20"/>
        <v>95699.698099999994</v>
      </c>
      <c r="P299" s="1398">
        <v>363</v>
      </c>
      <c r="Q299" s="1398">
        <v>42631.658200000005</v>
      </c>
      <c r="R299" s="1398">
        <v>18997.856800000001</v>
      </c>
      <c r="S299" s="1398">
        <v>0</v>
      </c>
      <c r="T299" s="947">
        <v>0</v>
      </c>
      <c r="U299" s="190">
        <v>11809.072</v>
      </c>
      <c r="V299" s="2365">
        <f t="shared" si="21"/>
        <v>73801.587</v>
      </c>
    </row>
    <row r="300" spans="1:22">
      <c r="A300" s="972">
        <f t="shared" si="18"/>
        <v>2018.03</v>
      </c>
      <c r="B300" s="223">
        <v>2498</v>
      </c>
      <c r="C300" s="1398">
        <v>88</v>
      </c>
      <c r="D300" s="1398">
        <v>4485.32</v>
      </c>
      <c r="E300" s="1398">
        <v>201.38800000000001</v>
      </c>
      <c r="F300" s="223">
        <v>0</v>
      </c>
      <c r="G300" s="3538">
        <v>0</v>
      </c>
      <c r="H300" s="2364">
        <f t="shared" si="24"/>
        <v>0</v>
      </c>
      <c r="I300" s="223">
        <v>608.22</v>
      </c>
      <c r="J300" s="1299">
        <v>0</v>
      </c>
      <c r="K300" s="1602">
        <f t="shared" si="25"/>
        <v>608.22</v>
      </c>
      <c r="L300" s="947">
        <v>136061.32740000001</v>
      </c>
      <c r="M300" s="190">
        <v>0</v>
      </c>
      <c r="N300" s="1398">
        <v>0</v>
      </c>
      <c r="O300" s="2394">
        <f t="shared" si="20"/>
        <v>136061.32740000001</v>
      </c>
      <c r="P300" s="1398">
        <v>444</v>
      </c>
      <c r="Q300" s="1398">
        <v>47878.616000000002</v>
      </c>
      <c r="R300" s="1398">
        <v>21111.2215</v>
      </c>
      <c r="S300" s="1398">
        <v>0</v>
      </c>
      <c r="T300" s="947">
        <v>0</v>
      </c>
      <c r="U300" s="190">
        <v>0</v>
      </c>
      <c r="V300" s="2365">
        <f t="shared" si="21"/>
        <v>69433.837499999994</v>
      </c>
    </row>
    <row r="301" spans="1:22">
      <c r="A301" s="972">
        <f t="shared" si="18"/>
        <v>2018.04</v>
      </c>
      <c r="B301" s="223">
        <v>2293</v>
      </c>
      <c r="C301" s="1398">
        <v>59</v>
      </c>
      <c r="D301" s="1398">
        <v>5555.42</v>
      </c>
      <c r="E301" s="1398">
        <v>304.82600000000002</v>
      </c>
      <c r="F301" s="223">
        <v>0</v>
      </c>
      <c r="G301" s="3538">
        <v>0</v>
      </c>
      <c r="H301" s="2364">
        <f t="shared" si="24"/>
        <v>0</v>
      </c>
      <c r="I301" s="223">
        <v>391.83</v>
      </c>
      <c r="J301" s="1299">
        <v>0</v>
      </c>
      <c r="K301" s="1602">
        <f t="shared" si="25"/>
        <v>391.83</v>
      </c>
      <c r="L301" s="947">
        <v>131738.59299999999</v>
      </c>
      <c r="M301" s="190">
        <v>0</v>
      </c>
      <c r="N301" s="1398">
        <v>0</v>
      </c>
      <c r="O301" s="2394">
        <f t="shared" si="20"/>
        <v>131738.59299999999</v>
      </c>
      <c r="P301" s="1398">
        <v>483</v>
      </c>
      <c r="Q301" s="1398">
        <v>45850.663</v>
      </c>
      <c r="R301" s="1398">
        <v>19357.578000000001</v>
      </c>
      <c r="S301" s="1398">
        <v>0</v>
      </c>
      <c r="T301" s="947">
        <v>0</v>
      </c>
      <c r="U301" s="190">
        <v>140</v>
      </c>
      <c r="V301" s="2365">
        <f t="shared" si="21"/>
        <v>65831.241000000009</v>
      </c>
    </row>
    <row r="302" spans="1:22">
      <c r="A302" s="972">
        <f t="shared" si="18"/>
        <v>2018.05</v>
      </c>
      <c r="B302" s="223">
        <v>2381</v>
      </c>
      <c r="C302" s="1398">
        <v>51</v>
      </c>
      <c r="D302" s="1398">
        <v>3922.66</v>
      </c>
      <c r="E302" s="1398">
        <v>349.70600000000002</v>
      </c>
      <c r="F302" s="223">
        <v>0</v>
      </c>
      <c r="G302" s="3538">
        <v>0</v>
      </c>
      <c r="H302" s="2364">
        <f t="shared" si="24"/>
        <v>0</v>
      </c>
      <c r="I302" s="223">
        <v>314</v>
      </c>
      <c r="J302" s="1299">
        <v>0</v>
      </c>
      <c r="K302" s="1602">
        <f t="shared" si="25"/>
        <v>314</v>
      </c>
      <c r="L302" s="947">
        <v>120264.90000000001</v>
      </c>
      <c r="M302" s="190">
        <v>0</v>
      </c>
      <c r="N302" s="1398">
        <v>0</v>
      </c>
      <c r="O302" s="2394">
        <f t="shared" si="20"/>
        <v>120264.90000000001</v>
      </c>
      <c r="P302" s="1398">
        <v>423</v>
      </c>
      <c r="Q302" s="1398">
        <v>46240.112999999998</v>
      </c>
      <c r="R302" s="1398">
        <v>19789.815999999999</v>
      </c>
      <c r="S302" s="1398">
        <v>0</v>
      </c>
      <c r="T302" s="947">
        <v>0</v>
      </c>
      <c r="U302" s="190">
        <v>140</v>
      </c>
      <c r="V302" s="2365">
        <f t="shared" si="21"/>
        <v>66592.929000000004</v>
      </c>
    </row>
    <row r="303" spans="1:22">
      <c r="A303" s="972">
        <f t="shared" si="18"/>
        <v>2018.06</v>
      </c>
      <c r="B303" s="223">
        <v>2171</v>
      </c>
      <c r="C303" s="1398">
        <v>92</v>
      </c>
      <c r="D303" s="1398">
        <v>4700.5600000000004</v>
      </c>
      <c r="E303" s="1398">
        <v>511.29</v>
      </c>
      <c r="F303" s="223">
        <v>0</v>
      </c>
      <c r="G303" s="3538">
        <v>0</v>
      </c>
      <c r="H303" s="2364">
        <f t="shared" si="24"/>
        <v>0</v>
      </c>
      <c r="I303" s="223">
        <v>388.19</v>
      </c>
      <c r="J303" s="1299">
        <v>0</v>
      </c>
      <c r="K303" s="1602">
        <f t="shared" si="25"/>
        <v>388.19</v>
      </c>
      <c r="L303" s="947">
        <v>126389.277</v>
      </c>
      <c r="M303" s="190">
        <v>1972</v>
      </c>
      <c r="N303" s="1398">
        <v>173.67699999999999</v>
      </c>
      <c r="O303" s="2394">
        <f t="shared" si="20"/>
        <v>128534.954</v>
      </c>
      <c r="P303" s="1398">
        <v>357</v>
      </c>
      <c r="Q303" s="1398">
        <v>43807.545899999997</v>
      </c>
      <c r="R303" s="1398">
        <v>18805.291000000001</v>
      </c>
      <c r="S303" s="1398">
        <v>412</v>
      </c>
      <c r="T303" s="947">
        <v>0</v>
      </c>
      <c r="U303" s="190">
        <v>9909.5</v>
      </c>
      <c r="V303" s="2365">
        <f t="shared" si="21"/>
        <v>73291.336899999995</v>
      </c>
    </row>
    <row r="304" spans="1:22">
      <c r="A304" s="972">
        <f t="shared" si="18"/>
        <v>2018.07</v>
      </c>
      <c r="B304" s="223">
        <v>2628</v>
      </c>
      <c r="C304" s="1398">
        <v>39</v>
      </c>
      <c r="D304" s="1398">
        <v>3536</v>
      </c>
      <c r="E304" s="1398">
        <v>342.08500000000004</v>
      </c>
      <c r="F304" s="223">
        <v>0</v>
      </c>
      <c r="G304" s="3538">
        <v>0</v>
      </c>
      <c r="H304" s="2364">
        <f>F304+G304</f>
        <v>0</v>
      </c>
      <c r="I304" s="223">
        <v>801.85</v>
      </c>
      <c r="J304" s="1299">
        <v>4679.95</v>
      </c>
      <c r="K304" s="1602">
        <f>I304+J304</f>
        <v>5481.8</v>
      </c>
      <c r="L304" s="947">
        <v>118562.802</v>
      </c>
      <c r="M304" s="190">
        <v>0</v>
      </c>
      <c r="N304" s="1398">
        <v>0</v>
      </c>
      <c r="O304" s="2394">
        <f>L304+M304+N304</f>
        <v>118562.802</v>
      </c>
      <c r="P304" s="1398">
        <v>361</v>
      </c>
      <c r="Q304" s="1398">
        <v>48003.635000000002</v>
      </c>
      <c r="R304" s="1398">
        <v>19421.243999999999</v>
      </c>
      <c r="S304" s="1398">
        <v>0</v>
      </c>
      <c r="T304" s="947">
        <v>12524.91</v>
      </c>
      <c r="U304" s="190">
        <v>0</v>
      </c>
      <c r="V304" s="2365">
        <f>SUM(P304:U304)</f>
        <v>80310.789000000004</v>
      </c>
    </row>
    <row r="305" spans="1:22">
      <c r="A305" s="972">
        <f t="shared" si="18"/>
        <v>2018.08</v>
      </c>
      <c r="B305" s="223">
        <v>2658</v>
      </c>
      <c r="C305" s="1398">
        <v>79</v>
      </c>
      <c r="D305" s="1398">
        <v>5607.4279999999999</v>
      </c>
      <c r="E305" s="1398">
        <v>350.09899999999999</v>
      </c>
      <c r="F305" s="223">
        <v>0</v>
      </c>
      <c r="G305" s="3538">
        <v>0</v>
      </c>
      <c r="H305" s="2364">
        <f t="shared" si="24"/>
        <v>0</v>
      </c>
      <c r="I305" s="223">
        <v>365.61</v>
      </c>
      <c r="J305" s="1299">
        <v>22784.478999999999</v>
      </c>
      <c r="K305" s="1602">
        <f t="shared" si="25"/>
        <v>23150.089</v>
      </c>
      <c r="L305" s="947">
        <v>126950.576</v>
      </c>
      <c r="M305" s="190">
        <v>14670.675999999999</v>
      </c>
      <c r="N305" s="1398">
        <v>6.0010000000000003</v>
      </c>
      <c r="O305" s="2394">
        <f t="shared" si="20"/>
        <v>141627.253</v>
      </c>
      <c r="P305" s="1398">
        <v>393</v>
      </c>
      <c r="Q305" s="1398">
        <v>51105.648999999998</v>
      </c>
      <c r="R305" s="1398">
        <v>18640.183000000001</v>
      </c>
      <c r="S305" s="1398">
        <v>0</v>
      </c>
      <c r="T305" s="947">
        <v>0</v>
      </c>
      <c r="U305" s="190">
        <v>8801.9599999999991</v>
      </c>
      <c r="V305" s="2365">
        <f t="shared" si="21"/>
        <v>78940.791999999987</v>
      </c>
    </row>
    <row r="306" spans="1:22">
      <c r="A306" s="972">
        <f t="shared" si="18"/>
        <v>2018.09</v>
      </c>
      <c r="B306" s="223">
        <v>185</v>
      </c>
      <c r="C306" s="1398">
        <v>80</v>
      </c>
      <c r="D306" s="1398">
        <v>3371.02</v>
      </c>
      <c r="E306" s="1398">
        <v>141.21</v>
      </c>
      <c r="F306" s="223">
        <v>0</v>
      </c>
      <c r="G306" s="3538">
        <v>0</v>
      </c>
      <c r="H306" s="2364">
        <f t="shared" si="24"/>
        <v>0</v>
      </c>
      <c r="I306" s="223">
        <v>494</v>
      </c>
      <c r="J306" s="1299">
        <v>0</v>
      </c>
      <c r="K306" s="1602">
        <f t="shared" si="25"/>
        <v>494</v>
      </c>
      <c r="L306" s="947">
        <v>106344.768</v>
      </c>
      <c r="M306" s="190">
        <v>0</v>
      </c>
      <c r="N306" s="1398">
        <v>0</v>
      </c>
      <c r="O306" s="2394">
        <f t="shared" si="20"/>
        <v>106344.768</v>
      </c>
      <c r="P306" s="1398">
        <v>234</v>
      </c>
      <c r="Q306" s="1398">
        <v>45573.165000000001</v>
      </c>
      <c r="R306" s="1398">
        <v>14826.778</v>
      </c>
      <c r="S306" s="1398">
        <v>0</v>
      </c>
      <c r="T306" s="947">
        <v>0</v>
      </c>
      <c r="U306" s="190">
        <v>9191.5499999999993</v>
      </c>
      <c r="V306" s="2365">
        <f t="shared" si="21"/>
        <v>69825.493000000002</v>
      </c>
    </row>
    <row r="307" spans="1:22">
      <c r="A307" s="972">
        <f t="shared" ref="A307:A370" si="26">A295+1</f>
        <v>2018.1</v>
      </c>
      <c r="B307" s="223">
        <v>2728</v>
      </c>
      <c r="C307" s="1398">
        <v>87</v>
      </c>
      <c r="D307" s="1398">
        <v>5329.94</v>
      </c>
      <c r="E307" s="1398">
        <v>200.09899999999999</v>
      </c>
      <c r="F307" s="223">
        <v>0</v>
      </c>
      <c r="G307" s="3538">
        <v>0</v>
      </c>
      <c r="H307" s="2364">
        <f t="shared" si="24"/>
        <v>0</v>
      </c>
      <c r="I307" s="223">
        <v>382</v>
      </c>
      <c r="J307" s="1299">
        <v>0</v>
      </c>
      <c r="K307" s="1602">
        <f t="shared" si="25"/>
        <v>382</v>
      </c>
      <c r="L307" s="947">
        <v>111630.17300000001</v>
      </c>
      <c r="M307" s="190">
        <v>0</v>
      </c>
      <c r="N307" s="1398">
        <v>0</v>
      </c>
      <c r="O307" s="2394">
        <f t="shared" si="20"/>
        <v>111630.17300000001</v>
      </c>
      <c r="P307" s="1398">
        <v>82</v>
      </c>
      <c r="Q307" s="1398">
        <v>50251.673000000003</v>
      </c>
      <c r="R307" s="1398">
        <v>15615.162</v>
      </c>
      <c r="S307" s="1398">
        <v>0</v>
      </c>
      <c r="T307" s="947">
        <v>0</v>
      </c>
      <c r="U307" s="190">
        <v>10912.81</v>
      </c>
      <c r="V307" s="2365">
        <f t="shared" si="21"/>
        <v>76861.645000000004</v>
      </c>
    </row>
    <row r="308" spans="1:22">
      <c r="A308" s="972">
        <f t="shared" si="26"/>
        <v>2018.11</v>
      </c>
      <c r="B308" s="223">
        <v>2412</v>
      </c>
      <c r="C308" s="1398">
        <v>144</v>
      </c>
      <c r="D308" s="1398">
        <v>4420.34</v>
      </c>
      <c r="E308" s="1398">
        <v>161.06</v>
      </c>
      <c r="F308" s="223">
        <v>0</v>
      </c>
      <c r="G308" s="3538">
        <v>0</v>
      </c>
      <c r="H308" s="2364">
        <f t="shared" si="24"/>
        <v>0</v>
      </c>
      <c r="I308" s="223">
        <v>424.02</v>
      </c>
      <c r="J308" s="1299">
        <v>0</v>
      </c>
      <c r="K308" s="1602">
        <f t="shared" si="25"/>
        <v>424.02</v>
      </c>
      <c r="L308" s="947">
        <v>118943.56</v>
      </c>
      <c r="M308" s="190">
        <v>0</v>
      </c>
      <c r="N308" s="1398">
        <v>75.259</v>
      </c>
      <c r="O308" s="2394">
        <f t="shared" si="20"/>
        <v>119018.819</v>
      </c>
      <c r="P308" s="1398">
        <v>0</v>
      </c>
      <c r="Q308" s="1398">
        <v>48138.847999999998</v>
      </c>
      <c r="R308" s="1398">
        <v>14488.013000000001</v>
      </c>
      <c r="S308" s="1398">
        <v>0</v>
      </c>
      <c r="T308" s="947">
        <v>7484.87</v>
      </c>
      <c r="U308" s="190">
        <v>0</v>
      </c>
      <c r="V308" s="2365">
        <f t="shared" si="21"/>
        <v>70111.731</v>
      </c>
    </row>
    <row r="309" spans="1:22">
      <c r="A309" s="972">
        <f t="shared" si="26"/>
        <v>2018.12</v>
      </c>
      <c r="B309" s="223">
        <v>2803</v>
      </c>
      <c r="C309" s="1398">
        <v>97</v>
      </c>
      <c r="D309" s="1398">
        <v>3023.66</v>
      </c>
      <c r="E309" s="1398">
        <v>125.62</v>
      </c>
      <c r="F309" s="223">
        <v>0</v>
      </c>
      <c r="G309" s="3538">
        <v>0</v>
      </c>
      <c r="H309" s="2364">
        <f t="shared" si="24"/>
        <v>0</v>
      </c>
      <c r="I309" s="223">
        <v>289.06</v>
      </c>
      <c r="J309" s="1299">
        <v>0</v>
      </c>
      <c r="K309" s="1602">
        <f t="shared" si="25"/>
        <v>289.06</v>
      </c>
      <c r="L309" s="947">
        <v>121037.55</v>
      </c>
      <c r="M309" s="190">
        <v>0</v>
      </c>
      <c r="N309" s="1398">
        <v>58.55</v>
      </c>
      <c r="O309" s="2394">
        <f t="shared" si="20"/>
        <v>121096.1</v>
      </c>
      <c r="P309" s="1398">
        <v>0</v>
      </c>
      <c r="Q309" s="1398">
        <v>54068.661</v>
      </c>
      <c r="R309" s="1398">
        <v>17250.996999999999</v>
      </c>
      <c r="S309" s="1398">
        <v>0</v>
      </c>
      <c r="T309" s="947">
        <v>0</v>
      </c>
      <c r="U309" s="190">
        <v>12694.41</v>
      </c>
      <c r="V309" s="2365">
        <f t="shared" si="21"/>
        <v>84014.067999999999</v>
      </c>
    </row>
    <row r="310" spans="1:22">
      <c r="A310" s="972">
        <f t="shared" si="26"/>
        <v>2019.01</v>
      </c>
      <c r="B310" s="223">
        <v>2939</v>
      </c>
      <c r="C310" s="1398">
        <v>88</v>
      </c>
      <c r="D310" s="1398">
        <v>2964</v>
      </c>
      <c r="E310" s="1398">
        <v>117.86</v>
      </c>
      <c r="F310" s="223">
        <v>0</v>
      </c>
      <c r="G310" s="3538">
        <v>0</v>
      </c>
      <c r="H310" s="2364">
        <f t="shared" si="24"/>
        <v>0</v>
      </c>
      <c r="I310" s="223">
        <v>180</v>
      </c>
      <c r="J310" s="1299">
        <v>0</v>
      </c>
      <c r="K310" s="1602">
        <f t="shared" si="25"/>
        <v>180</v>
      </c>
      <c r="L310" s="947">
        <f>75934.46+21297</f>
        <v>97231.46</v>
      </c>
      <c r="M310" s="190">
        <v>0</v>
      </c>
      <c r="N310" s="1398">
        <v>0</v>
      </c>
      <c r="O310" s="2394">
        <f t="shared" si="20"/>
        <v>97231.46</v>
      </c>
      <c r="P310" s="1398">
        <v>0</v>
      </c>
      <c r="Q310" s="1398">
        <v>46116</v>
      </c>
      <c r="R310" s="1398">
        <v>14847</v>
      </c>
      <c r="S310" s="1398">
        <v>0</v>
      </c>
      <c r="T310" s="947">
        <v>0</v>
      </c>
      <c r="U310" s="190">
        <v>4311.6000000000004</v>
      </c>
      <c r="V310" s="2365">
        <f t="shared" si="21"/>
        <v>65274.6</v>
      </c>
    </row>
    <row r="311" spans="1:22">
      <c r="A311" s="972">
        <f t="shared" si="26"/>
        <v>2019.02</v>
      </c>
      <c r="B311" s="223">
        <v>3157</v>
      </c>
      <c r="C311" s="1398">
        <v>85</v>
      </c>
      <c r="D311" s="1398">
        <v>3314</v>
      </c>
      <c r="E311" s="1398">
        <v>77.67</v>
      </c>
      <c r="F311" s="223">
        <v>0</v>
      </c>
      <c r="G311" s="3538">
        <v>0</v>
      </c>
      <c r="H311" s="2364">
        <f t="shared" si="24"/>
        <v>0</v>
      </c>
      <c r="I311" s="223">
        <v>519.22</v>
      </c>
      <c r="J311" s="1299">
        <v>0</v>
      </c>
      <c r="K311" s="1602">
        <f t="shared" si="25"/>
        <v>519.22</v>
      </c>
      <c r="L311" s="947">
        <v>101146.33</v>
      </c>
      <c r="M311" s="190">
        <v>0</v>
      </c>
      <c r="N311" s="1398">
        <v>0</v>
      </c>
      <c r="O311" s="2394">
        <f t="shared" si="20"/>
        <v>101146.33</v>
      </c>
      <c r="P311" s="1398">
        <v>0</v>
      </c>
      <c r="Q311" s="1398">
        <v>43471</v>
      </c>
      <c r="R311" s="1398">
        <v>14512</v>
      </c>
      <c r="S311" s="1398">
        <v>0</v>
      </c>
      <c r="T311" s="947">
        <v>0</v>
      </c>
      <c r="U311" s="190">
        <v>0</v>
      </c>
      <c r="V311" s="2365">
        <f t="shared" si="21"/>
        <v>57983</v>
      </c>
    </row>
    <row r="312" spans="1:22">
      <c r="A312" s="972">
        <f t="shared" si="26"/>
        <v>2019.03</v>
      </c>
      <c r="B312" s="223">
        <v>2988</v>
      </c>
      <c r="C312" s="1398">
        <v>76</v>
      </c>
      <c r="D312" s="1398">
        <v>5250</v>
      </c>
      <c r="E312" s="1398">
        <v>120.89</v>
      </c>
      <c r="F312" s="223">
        <v>0</v>
      </c>
      <c r="G312" s="3538">
        <v>0</v>
      </c>
      <c r="H312" s="2364">
        <f t="shared" si="24"/>
        <v>0</v>
      </c>
      <c r="I312" s="223">
        <v>390.34</v>
      </c>
      <c r="J312" s="1299">
        <v>0</v>
      </c>
      <c r="K312" s="1602">
        <f t="shared" si="25"/>
        <v>390.34</v>
      </c>
      <c r="L312" s="947">
        <v>123106.69</v>
      </c>
      <c r="M312" s="190">
        <v>0</v>
      </c>
      <c r="N312" s="1398">
        <v>0</v>
      </c>
      <c r="O312" s="2394">
        <f t="shared" si="20"/>
        <v>123106.69</v>
      </c>
      <c r="P312" s="1398">
        <v>0</v>
      </c>
      <c r="Q312" s="1398">
        <v>47020</v>
      </c>
      <c r="R312" s="1398">
        <v>15218</v>
      </c>
      <c r="S312" s="1398">
        <v>0</v>
      </c>
      <c r="T312" s="947">
        <v>0</v>
      </c>
      <c r="U312" s="190">
        <v>2381.77</v>
      </c>
      <c r="V312" s="2365">
        <f t="shared" si="21"/>
        <v>64619.77</v>
      </c>
    </row>
    <row r="313" spans="1:22">
      <c r="A313" s="972">
        <f t="shared" si="26"/>
        <v>2019.04</v>
      </c>
      <c r="B313" s="223">
        <v>2235</v>
      </c>
      <c r="C313" s="1398">
        <v>51</v>
      </c>
      <c r="D313" s="1398">
        <v>4865</v>
      </c>
      <c r="E313" s="1398">
        <v>127.968</v>
      </c>
      <c r="F313" s="223">
        <v>0</v>
      </c>
      <c r="G313" s="3538">
        <v>0</v>
      </c>
      <c r="H313" s="2364">
        <f t="shared" si="24"/>
        <v>0</v>
      </c>
      <c r="I313" s="223">
        <v>451.78</v>
      </c>
      <c r="J313" s="1299">
        <v>0</v>
      </c>
      <c r="K313" s="1602">
        <f t="shared" si="25"/>
        <v>451.78</v>
      </c>
      <c r="L313" s="947">
        <v>121833.594</v>
      </c>
      <c r="M313" s="190">
        <v>0</v>
      </c>
      <c r="N313" s="1398">
        <v>0</v>
      </c>
      <c r="O313" s="2394">
        <f t="shared" si="20"/>
        <v>121833.594</v>
      </c>
      <c r="P313" s="1398">
        <v>0</v>
      </c>
      <c r="Q313" s="1398">
        <v>44809</v>
      </c>
      <c r="R313" s="1398">
        <v>14156</v>
      </c>
      <c r="S313" s="1398">
        <v>0</v>
      </c>
      <c r="T313" s="947">
        <v>0</v>
      </c>
      <c r="U313" s="190">
        <v>16381.14</v>
      </c>
      <c r="V313" s="2365">
        <f t="shared" si="21"/>
        <v>75346.14</v>
      </c>
    </row>
    <row r="314" spans="1:22">
      <c r="A314" s="972">
        <f t="shared" si="26"/>
        <v>2019.05</v>
      </c>
      <c r="B314" s="223">
        <v>2390</v>
      </c>
      <c r="C314" s="1398">
        <v>38</v>
      </c>
      <c r="D314" s="1398">
        <v>3422</v>
      </c>
      <c r="E314" s="1398">
        <v>276.19</v>
      </c>
      <c r="F314" s="223">
        <v>0</v>
      </c>
      <c r="G314" s="3538">
        <v>0</v>
      </c>
      <c r="H314" s="2364">
        <f t="shared" si="24"/>
        <v>0</v>
      </c>
      <c r="I314" s="223">
        <v>424.56</v>
      </c>
      <c r="J314" s="1299">
        <v>0</v>
      </c>
      <c r="K314" s="1602">
        <f t="shared" si="25"/>
        <v>424.56</v>
      </c>
      <c r="L314" s="947">
        <v>120719.53</v>
      </c>
      <c r="M314" s="190">
        <v>0</v>
      </c>
      <c r="N314" s="1398">
        <v>0</v>
      </c>
      <c r="O314" s="2394">
        <f t="shared" si="20"/>
        <v>120719.53</v>
      </c>
      <c r="P314" s="1398">
        <v>0</v>
      </c>
      <c r="Q314" s="1398">
        <v>49309.158000000003</v>
      </c>
      <c r="R314" s="1398">
        <v>14815.339</v>
      </c>
      <c r="S314" s="1398">
        <v>0</v>
      </c>
      <c r="T314" s="947">
        <v>0</v>
      </c>
      <c r="U314" s="190">
        <v>10734.71</v>
      </c>
      <c r="V314" s="2365">
        <f t="shared" si="21"/>
        <v>74859.206999999995</v>
      </c>
    </row>
    <row r="315" spans="1:22">
      <c r="A315" s="972">
        <f t="shared" si="26"/>
        <v>2019.06</v>
      </c>
      <c r="B315" s="223">
        <v>2343</v>
      </c>
      <c r="C315" s="1398">
        <v>25</v>
      </c>
      <c r="D315" s="1398">
        <v>2929</v>
      </c>
      <c r="E315" s="1398">
        <v>272.988</v>
      </c>
      <c r="F315" s="223">
        <v>0</v>
      </c>
      <c r="G315" s="3538">
        <v>0</v>
      </c>
      <c r="H315" s="2364">
        <f t="shared" si="24"/>
        <v>0</v>
      </c>
      <c r="I315" s="223">
        <v>466</v>
      </c>
      <c r="J315" s="1299">
        <v>0</v>
      </c>
      <c r="K315" s="1602">
        <f t="shared" si="25"/>
        <v>466</v>
      </c>
      <c r="L315" s="947">
        <v>118588.54</v>
      </c>
      <c r="M315" s="190">
        <v>0</v>
      </c>
      <c r="N315" s="1398">
        <v>0</v>
      </c>
      <c r="O315" s="2394">
        <f t="shared" si="20"/>
        <v>118588.54</v>
      </c>
      <c r="P315" s="1398">
        <v>0</v>
      </c>
      <c r="Q315" s="1398">
        <v>46589.138999999996</v>
      </c>
      <c r="R315" s="1398">
        <v>14594.189</v>
      </c>
      <c r="S315" s="1398">
        <v>0</v>
      </c>
      <c r="T315" s="947">
        <v>5479.1459999999997</v>
      </c>
      <c r="U315" s="190">
        <v>0</v>
      </c>
      <c r="V315" s="2365">
        <f t="shared" si="21"/>
        <v>66662.473999999987</v>
      </c>
    </row>
    <row r="316" spans="1:22">
      <c r="A316" s="972">
        <f t="shared" si="26"/>
        <v>2019.07</v>
      </c>
      <c r="B316" s="223">
        <v>2549</v>
      </c>
      <c r="C316" s="223">
        <v>37</v>
      </c>
      <c r="D316" s="223">
        <v>4684.3</v>
      </c>
      <c r="E316" s="223">
        <v>257</v>
      </c>
      <c r="F316" s="223">
        <v>0</v>
      </c>
      <c r="G316" s="3538">
        <v>0</v>
      </c>
      <c r="H316" s="2364">
        <f t="shared" si="24"/>
        <v>0</v>
      </c>
      <c r="I316" s="223">
        <v>374</v>
      </c>
      <c r="J316" s="1299">
        <v>0</v>
      </c>
      <c r="K316" s="1602">
        <f t="shared" si="25"/>
        <v>374</v>
      </c>
      <c r="L316" s="947">
        <v>131652.946</v>
      </c>
      <c r="M316" s="141">
        <v>0</v>
      </c>
      <c r="N316" s="223">
        <v>271.62</v>
      </c>
      <c r="O316" s="2394">
        <f t="shared" si="20"/>
        <v>131924.56599999999</v>
      </c>
      <c r="P316" s="223">
        <v>0</v>
      </c>
      <c r="Q316" s="223">
        <v>50607.28</v>
      </c>
      <c r="R316" s="223">
        <v>16594.739999999998</v>
      </c>
      <c r="S316" s="223">
        <v>0</v>
      </c>
      <c r="T316" s="947">
        <v>10492.78</v>
      </c>
      <c r="U316" s="190">
        <v>0</v>
      </c>
      <c r="V316" s="2365">
        <f t="shared" si="21"/>
        <v>77694.799999999988</v>
      </c>
    </row>
    <row r="317" spans="1:22">
      <c r="A317" s="972">
        <f t="shared" si="26"/>
        <v>2019.08</v>
      </c>
      <c r="B317" s="223">
        <v>2230</v>
      </c>
      <c r="C317" s="1398">
        <v>59</v>
      </c>
      <c r="D317" s="1398">
        <v>2932</v>
      </c>
      <c r="E317" s="1398">
        <v>270.09300000000002</v>
      </c>
      <c r="F317" s="223">
        <v>0</v>
      </c>
      <c r="G317" s="3538">
        <v>0</v>
      </c>
      <c r="H317" s="2364">
        <f t="shared" si="24"/>
        <v>0</v>
      </c>
      <c r="I317" s="223">
        <v>236</v>
      </c>
      <c r="J317" s="1299">
        <v>0</v>
      </c>
      <c r="K317" s="1602">
        <f t="shared" si="25"/>
        <v>236</v>
      </c>
      <c r="L317" s="947">
        <v>130293.883</v>
      </c>
      <c r="M317" s="190">
        <v>0</v>
      </c>
      <c r="N317" s="223">
        <v>435.51</v>
      </c>
      <c r="O317" s="2394">
        <f t="shared" si="20"/>
        <v>130729.393</v>
      </c>
      <c r="P317" s="1398">
        <v>0</v>
      </c>
      <c r="Q317" s="223">
        <v>52401.479999999996</v>
      </c>
      <c r="R317" s="223">
        <v>16573.650000000001</v>
      </c>
      <c r="S317" s="1398">
        <v>0</v>
      </c>
      <c r="T317" s="947">
        <v>0</v>
      </c>
      <c r="U317" s="190">
        <v>9429.4140000000007</v>
      </c>
      <c r="V317" s="2365">
        <f t="shared" si="21"/>
        <v>78404.544000000009</v>
      </c>
    </row>
    <row r="318" spans="1:22">
      <c r="A318" s="972">
        <f t="shared" si="26"/>
        <v>2019.09</v>
      </c>
      <c r="B318" s="223">
        <v>2189</v>
      </c>
      <c r="C318" s="1398">
        <v>73</v>
      </c>
      <c r="D318" s="1398">
        <v>2642.76</v>
      </c>
      <c r="E318" s="1398">
        <v>164.63299999999998</v>
      </c>
      <c r="F318" s="223">
        <v>0</v>
      </c>
      <c r="G318" s="3538">
        <v>0</v>
      </c>
      <c r="H318" s="2364">
        <f t="shared" si="24"/>
        <v>0</v>
      </c>
      <c r="I318" s="223">
        <v>293</v>
      </c>
      <c r="J318" s="1299">
        <v>0</v>
      </c>
      <c r="K318" s="1602">
        <f t="shared" si="25"/>
        <v>293</v>
      </c>
      <c r="L318" s="947">
        <v>122027.10500000001</v>
      </c>
      <c r="M318" s="190">
        <v>0</v>
      </c>
      <c r="N318" s="1398">
        <v>99.1</v>
      </c>
      <c r="O318" s="2394">
        <f t="shared" si="20"/>
        <v>122126.20500000002</v>
      </c>
      <c r="P318" s="1398">
        <v>0</v>
      </c>
      <c r="Q318" s="1398">
        <v>49173.68</v>
      </c>
      <c r="R318" s="1398">
        <v>15962.75</v>
      </c>
      <c r="S318" s="1398">
        <v>0</v>
      </c>
      <c r="T318" s="947">
        <v>11548.13</v>
      </c>
      <c r="U318" s="190">
        <v>0</v>
      </c>
      <c r="V318" s="2365">
        <f t="shared" si="21"/>
        <v>76684.56</v>
      </c>
    </row>
    <row r="319" spans="1:22">
      <c r="A319" s="972">
        <f t="shared" si="26"/>
        <v>2019.1</v>
      </c>
      <c r="B319" s="223">
        <v>2294</v>
      </c>
      <c r="C319" s="1398">
        <v>43</v>
      </c>
      <c r="D319" s="1398">
        <v>2516.2199999999998</v>
      </c>
      <c r="E319" s="1398">
        <v>157.83000000000001</v>
      </c>
      <c r="F319" s="223">
        <v>0</v>
      </c>
      <c r="G319" s="3538">
        <v>0</v>
      </c>
      <c r="H319" s="2364">
        <f t="shared" si="24"/>
        <v>0</v>
      </c>
      <c r="I319" s="223">
        <v>365.42</v>
      </c>
      <c r="J319" s="1299">
        <v>0</v>
      </c>
      <c r="K319" s="1602">
        <f t="shared" si="25"/>
        <v>365.42</v>
      </c>
      <c r="L319" s="947">
        <v>127452.27499999999</v>
      </c>
      <c r="M319" s="190">
        <v>0</v>
      </c>
      <c r="N319" s="1398">
        <v>0</v>
      </c>
      <c r="O319" s="2394">
        <f t="shared" si="20"/>
        <v>127452.27499999999</v>
      </c>
      <c r="P319" s="1398">
        <v>0</v>
      </c>
      <c r="Q319" s="1398">
        <v>52805.72</v>
      </c>
      <c r="R319" s="1398">
        <v>17213.650000000001</v>
      </c>
      <c r="S319" s="1398">
        <v>0</v>
      </c>
      <c r="T319" s="947">
        <v>0</v>
      </c>
      <c r="U319" s="190">
        <v>0</v>
      </c>
      <c r="V319" s="2365">
        <f t="shared" si="21"/>
        <v>70019.37</v>
      </c>
    </row>
    <row r="320" spans="1:22">
      <c r="A320" s="972">
        <f t="shared" si="26"/>
        <v>2019.11</v>
      </c>
      <c r="B320" s="223">
        <v>2179</v>
      </c>
      <c r="C320" s="1398">
        <v>52</v>
      </c>
      <c r="D320" s="1398">
        <v>2176.86</v>
      </c>
      <c r="E320" s="1398">
        <v>75</v>
      </c>
      <c r="F320" s="223">
        <v>0</v>
      </c>
      <c r="G320" s="3538">
        <v>0</v>
      </c>
      <c r="H320" s="2364">
        <f t="shared" si="24"/>
        <v>0</v>
      </c>
      <c r="I320" s="223">
        <v>283.48</v>
      </c>
      <c r="J320" s="1299">
        <v>0</v>
      </c>
      <c r="K320" s="1602">
        <f t="shared" si="25"/>
        <v>283.48</v>
      </c>
      <c r="L320" s="947">
        <v>137587.81400000001</v>
      </c>
      <c r="M320" s="190">
        <v>0</v>
      </c>
      <c r="N320" s="1398">
        <v>0</v>
      </c>
      <c r="O320" s="2394">
        <f t="shared" si="20"/>
        <v>137587.81400000001</v>
      </c>
      <c r="P320" s="1398">
        <v>0</v>
      </c>
      <c r="Q320" s="1398">
        <v>51938.75</v>
      </c>
      <c r="R320" s="1398">
        <v>16329.630000000001</v>
      </c>
      <c r="S320" s="1398">
        <v>0</v>
      </c>
      <c r="T320" s="947">
        <v>0</v>
      </c>
      <c r="U320" s="190">
        <v>9427.0400000000009</v>
      </c>
      <c r="V320" s="2365">
        <f t="shared" si="21"/>
        <v>77695.420000000013</v>
      </c>
    </row>
    <row r="321" spans="1:22">
      <c r="A321" s="972">
        <f t="shared" si="26"/>
        <v>2019.12</v>
      </c>
      <c r="B321" s="223">
        <v>2220</v>
      </c>
      <c r="C321" s="1398">
        <v>48</v>
      </c>
      <c r="D321" s="1398">
        <v>1575.46</v>
      </c>
      <c r="E321" s="1398">
        <v>112.542</v>
      </c>
      <c r="F321" s="223">
        <v>0</v>
      </c>
      <c r="G321" s="3538">
        <v>0</v>
      </c>
      <c r="H321" s="2364">
        <f t="shared" si="24"/>
        <v>0</v>
      </c>
      <c r="I321" s="223">
        <v>261</v>
      </c>
      <c r="J321" s="1299">
        <v>0</v>
      </c>
      <c r="K321" s="1602">
        <f t="shared" si="25"/>
        <v>261</v>
      </c>
      <c r="L321" s="947">
        <v>130554.52100000001</v>
      </c>
      <c r="M321" s="190">
        <v>0</v>
      </c>
      <c r="N321" s="1398">
        <v>0</v>
      </c>
      <c r="O321" s="2394">
        <f t="shared" si="20"/>
        <v>130554.52100000001</v>
      </c>
      <c r="P321" s="1398">
        <v>0</v>
      </c>
      <c r="Q321" s="1398">
        <v>55380.05</v>
      </c>
      <c r="R321" s="1398">
        <v>17450.22</v>
      </c>
      <c r="S321" s="1398">
        <v>0</v>
      </c>
      <c r="T321" s="947">
        <v>0</v>
      </c>
      <c r="U321" s="190">
        <v>12921.43</v>
      </c>
      <c r="V321" s="2365">
        <f t="shared" si="21"/>
        <v>85751.700000000012</v>
      </c>
    </row>
    <row r="322" spans="1:22">
      <c r="A322" s="972">
        <f t="shared" si="26"/>
        <v>2020.01</v>
      </c>
      <c r="B322" s="223">
        <v>2890</v>
      </c>
      <c r="C322" s="1398">
        <v>51</v>
      </c>
      <c r="D322" s="1398">
        <v>1718.0549999999998</v>
      </c>
      <c r="E322" s="1398">
        <v>100</v>
      </c>
      <c r="F322" s="223">
        <v>0</v>
      </c>
      <c r="G322" s="3538">
        <v>0</v>
      </c>
      <c r="H322" s="2364">
        <f t="shared" si="24"/>
        <v>0</v>
      </c>
      <c r="I322" s="223">
        <v>790.16</v>
      </c>
      <c r="J322" s="1299">
        <v>0</v>
      </c>
      <c r="K322" s="1602">
        <f t="shared" si="25"/>
        <v>790.16</v>
      </c>
      <c r="L322" s="947">
        <v>110659.00199999999</v>
      </c>
      <c r="M322" s="190">
        <v>0</v>
      </c>
      <c r="N322" s="1398">
        <v>0</v>
      </c>
      <c r="O322" s="2394">
        <f t="shared" si="20"/>
        <v>110659.00199999999</v>
      </c>
      <c r="P322" s="1398">
        <v>0</v>
      </c>
      <c r="Q322" s="1398">
        <v>50737.773999999998</v>
      </c>
      <c r="R322" s="1398">
        <v>15883.77</v>
      </c>
      <c r="S322" s="1398">
        <v>0</v>
      </c>
      <c r="T322" s="947">
        <v>0</v>
      </c>
      <c r="U322" s="190"/>
      <c r="V322" s="2365">
        <f t="shared" si="21"/>
        <v>66621.543999999994</v>
      </c>
    </row>
    <row r="323" spans="1:22">
      <c r="A323" s="972">
        <f t="shared" si="26"/>
        <v>2020.02</v>
      </c>
      <c r="B323" s="223">
        <v>2423</v>
      </c>
      <c r="C323" s="1398">
        <v>51</v>
      </c>
      <c r="D323" s="1398">
        <v>1489.6399999999999</v>
      </c>
      <c r="E323" s="1398">
        <v>70</v>
      </c>
      <c r="F323" s="223">
        <v>0</v>
      </c>
      <c r="G323" s="3538">
        <v>0</v>
      </c>
      <c r="H323" s="2364">
        <f t="shared" si="24"/>
        <v>0</v>
      </c>
      <c r="I323" s="223">
        <v>134</v>
      </c>
      <c r="J323" s="1299">
        <v>0</v>
      </c>
      <c r="K323" s="1602">
        <f t="shared" si="25"/>
        <v>134</v>
      </c>
      <c r="L323" s="947">
        <v>109799.85</v>
      </c>
      <c r="M323" s="190">
        <v>0</v>
      </c>
      <c r="N323" s="1398">
        <v>0</v>
      </c>
      <c r="O323" s="2394">
        <f t="shared" si="20"/>
        <v>109799.85</v>
      </c>
      <c r="P323" s="1398">
        <v>0</v>
      </c>
      <c r="Q323" s="1398">
        <v>49240.65</v>
      </c>
      <c r="R323" s="1398">
        <v>16225.13</v>
      </c>
      <c r="S323" s="1398">
        <v>0</v>
      </c>
      <c r="T323" s="947">
        <v>0</v>
      </c>
      <c r="U323" s="190">
        <v>12899.670999999998</v>
      </c>
      <c r="V323" s="2365">
        <f t="shared" si="21"/>
        <v>78365.451000000001</v>
      </c>
    </row>
    <row r="324" spans="1:22">
      <c r="A324" s="972">
        <f t="shared" si="26"/>
        <v>2020.03</v>
      </c>
      <c r="B324" s="223">
        <v>1567</v>
      </c>
      <c r="C324" s="1398">
        <v>20</v>
      </c>
      <c r="D324" s="1398">
        <v>1226.3800000000001</v>
      </c>
      <c r="E324" s="1398">
        <v>116</v>
      </c>
      <c r="F324" s="223">
        <v>0</v>
      </c>
      <c r="G324" s="3538">
        <v>0</v>
      </c>
      <c r="H324" s="2364">
        <f t="shared" si="24"/>
        <v>0</v>
      </c>
      <c r="I324" s="223">
        <v>578</v>
      </c>
      <c r="J324" s="1299">
        <v>0</v>
      </c>
      <c r="K324" s="1602">
        <f t="shared" si="25"/>
        <v>578</v>
      </c>
      <c r="L324" s="947">
        <v>118479.18500000001</v>
      </c>
      <c r="M324" s="190">
        <v>0</v>
      </c>
      <c r="N324" s="1398">
        <v>4.9269999999999996</v>
      </c>
      <c r="O324" s="2394">
        <f t="shared" si="20"/>
        <v>118484.11200000001</v>
      </c>
      <c r="P324" s="1398">
        <v>0</v>
      </c>
      <c r="Q324" s="1398">
        <v>37324.167000000001</v>
      </c>
      <c r="R324" s="1398">
        <v>11503.969000000001</v>
      </c>
      <c r="S324" s="1398">
        <v>0</v>
      </c>
      <c r="T324" s="947">
        <v>0</v>
      </c>
      <c r="U324" s="190">
        <v>7968.3</v>
      </c>
      <c r="V324" s="2365">
        <f t="shared" si="21"/>
        <v>56796.436000000002</v>
      </c>
    </row>
    <row r="325" spans="1:22">
      <c r="A325" s="972">
        <f t="shared" si="26"/>
        <v>2020.04</v>
      </c>
      <c r="B325" s="223">
        <v>98</v>
      </c>
      <c r="C325" s="1398">
        <v>7</v>
      </c>
      <c r="D325" s="1398">
        <v>470</v>
      </c>
      <c r="E325" s="1398">
        <v>114.83</v>
      </c>
      <c r="F325" s="223">
        <v>0</v>
      </c>
      <c r="G325" s="3538">
        <v>0</v>
      </c>
      <c r="H325" s="2364">
        <f t="shared" si="24"/>
        <v>0</v>
      </c>
      <c r="I325" s="223">
        <v>157</v>
      </c>
      <c r="J325" s="1299">
        <v>0</v>
      </c>
      <c r="K325" s="1602">
        <f t="shared" si="25"/>
        <v>157</v>
      </c>
      <c r="L325" s="947">
        <v>117365.32</v>
      </c>
      <c r="M325" s="190">
        <v>0</v>
      </c>
      <c r="N325" s="1398">
        <v>0</v>
      </c>
      <c r="O325" s="2394">
        <f t="shared" si="20"/>
        <v>117365.32</v>
      </c>
      <c r="P325" s="1398">
        <v>0</v>
      </c>
      <c r="Q325" s="1398">
        <v>18998.5</v>
      </c>
      <c r="R325" s="1398">
        <v>3555.29</v>
      </c>
      <c r="S325" s="1398">
        <v>0</v>
      </c>
      <c r="T325" s="947">
        <v>0</v>
      </c>
      <c r="U325" s="190">
        <v>2767.8</v>
      </c>
      <c r="V325" s="2365">
        <f t="shared" si="21"/>
        <v>25321.59</v>
      </c>
    </row>
    <row r="326" spans="1:22">
      <c r="A326" s="972">
        <f t="shared" si="26"/>
        <v>2020.05</v>
      </c>
      <c r="B326" s="223">
        <v>172</v>
      </c>
      <c r="C326" s="1398">
        <v>8</v>
      </c>
      <c r="D326" s="1398">
        <v>1649.1399999999999</v>
      </c>
      <c r="E326" s="1398">
        <v>339.04399999999998</v>
      </c>
      <c r="F326" s="223">
        <v>0</v>
      </c>
      <c r="G326" s="3538">
        <v>0</v>
      </c>
      <c r="H326" s="2364">
        <f>F326+G326</f>
        <v>0</v>
      </c>
      <c r="I326" s="223">
        <v>374</v>
      </c>
      <c r="J326" s="1299">
        <v>0</v>
      </c>
      <c r="K326" s="1602">
        <f t="shared" si="25"/>
        <v>374</v>
      </c>
      <c r="L326" s="947">
        <v>133679.06299999999</v>
      </c>
      <c r="M326" s="190">
        <v>0</v>
      </c>
      <c r="N326" s="1398">
        <v>0</v>
      </c>
      <c r="O326" s="2394">
        <f t="shared" si="20"/>
        <v>133679.06299999999</v>
      </c>
      <c r="P326" s="1398">
        <v>0</v>
      </c>
      <c r="Q326" s="1398">
        <v>28140.442999999999</v>
      </c>
      <c r="R326" s="1398">
        <v>7177.5730000000003</v>
      </c>
      <c r="S326" s="1398">
        <v>0</v>
      </c>
      <c r="T326" s="947">
        <v>2636</v>
      </c>
      <c r="U326" s="190">
        <v>4036.5770000000002</v>
      </c>
      <c r="V326" s="2365">
        <f t="shared" si="21"/>
        <v>41990.593000000001</v>
      </c>
    </row>
    <row r="327" spans="1:22">
      <c r="A327" s="972">
        <f t="shared" si="26"/>
        <v>2020.06</v>
      </c>
      <c r="B327" s="223">
        <v>164</v>
      </c>
      <c r="C327" s="1398">
        <v>12</v>
      </c>
      <c r="D327" s="1398">
        <v>2187.14</v>
      </c>
      <c r="E327" s="1398">
        <v>295.54700000000003</v>
      </c>
      <c r="F327" s="223">
        <v>0</v>
      </c>
      <c r="G327" s="3538">
        <v>0</v>
      </c>
      <c r="H327" s="2364">
        <f t="shared" si="24"/>
        <v>0</v>
      </c>
      <c r="I327" s="223">
        <v>541.55999999999995</v>
      </c>
      <c r="J327" s="1299">
        <v>0</v>
      </c>
      <c r="K327" s="1602">
        <f t="shared" si="25"/>
        <v>541.55999999999995</v>
      </c>
      <c r="L327" s="947">
        <v>122035.74399999999</v>
      </c>
      <c r="M327" s="190">
        <v>0</v>
      </c>
      <c r="N327" s="1398">
        <v>0</v>
      </c>
      <c r="O327" s="2394">
        <f t="shared" si="20"/>
        <v>122035.74399999999</v>
      </c>
      <c r="P327" s="1398">
        <v>0</v>
      </c>
      <c r="Q327" s="1398">
        <v>34983.082000000002</v>
      </c>
      <c r="R327" s="1398">
        <v>10098.636</v>
      </c>
      <c r="S327" s="1398">
        <v>0</v>
      </c>
      <c r="T327" s="947">
        <v>0</v>
      </c>
      <c r="U327" s="190">
        <v>0</v>
      </c>
      <c r="V327" s="2365">
        <f t="shared" si="21"/>
        <v>45081.718000000001</v>
      </c>
    </row>
    <row r="328" spans="1:22">
      <c r="A328" s="972">
        <f t="shared" si="26"/>
        <v>2020.07</v>
      </c>
      <c r="B328" s="223">
        <v>105</v>
      </c>
      <c r="C328" s="1398">
        <v>14</v>
      </c>
      <c r="D328" s="1398">
        <v>2842.26</v>
      </c>
      <c r="E328" s="1398">
        <v>389.822</v>
      </c>
      <c r="F328" s="223">
        <v>0</v>
      </c>
      <c r="G328" s="3538">
        <v>0</v>
      </c>
      <c r="H328" s="2364">
        <f t="shared" si="24"/>
        <v>0</v>
      </c>
      <c r="I328" s="223">
        <v>1304.2</v>
      </c>
      <c r="J328" s="1299">
        <v>0</v>
      </c>
      <c r="K328" s="1602">
        <f t="shared" si="25"/>
        <v>1304.2</v>
      </c>
      <c r="L328" s="947">
        <v>139728.48800000001</v>
      </c>
      <c r="M328" s="190">
        <v>0</v>
      </c>
      <c r="N328" s="1398">
        <v>0</v>
      </c>
      <c r="O328" s="2394">
        <f t="shared" si="20"/>
        <v>139728.48800000001</v>
      </c>
      <c r="P328" s="1398">
        <v>0</v>
      </c>
      <c r="Q328" s="1398">
        <v>40220.232000000004</v>
      </c>
      <c r="R328" s="1398">
        <v>12032.895</v>
      </c>
      <c r="S328" s="1398">
        <v>0</v>
      </c>
      <c r="T328" s="947">
        <v>0</v>
      </c>
      <c r="U328" s="190">
        <v>0</v>
      </c>
      <c r="V328" s="2365">
        <f t="shared" si="21"/>
        <v>52253.127000000008</v>
      </c>
    </row>
    <row r="329" spans="1:22">
      <c r="A329" s="972">
        <f t="shared" si="26"/>
        <v>2020.08</v>
      </c>
      <c r="B329" s="223">
        <v>160</v>
      </c>
      <c r="C329" s="1398">
        <v>34</v>
      </c>
      <c r="D329" s="1398">
        <v>3081.2959999999998</v>
      </c>
      <c r="E329" s="1398">
        <v>192.64600000000002</v>
      </c>
      <c r="F329" s="223">
        <v>0</v>
      </c>
      <c r="G329" s="3538">
        <v>0</v>
      </c>
      <c r="H329" s="2364">
        <f t="shared" si="24"/>
        <v>0</v>
      </c>
      <c r="I329" s="223">
        <v>926.99</v>
      </c>
      <c r="J329" s="1299">
        <v>0</v>
      </c>
      <c r="K329" s="1602">
        <f t="shared" si="25"/>
        <v>926.99</v>
      </c>
      <c r="L329" s="947">
        <v>130801.86000000002</v>
      </c>
      <c r="M329" s="190">
        <v>0</v>
      </c>
      <c r="N329" s="1398">
        <v>0</v>
      </c>
      <c r="O329" s="2394">
        <f t="shared" si="20"/>
        <v>130801.86000000002</v>
      </c>
      <c r="P329" s="1398">
        <v>0</v>
      </c>
      <c r="Q329" s="1398">
        <v>37465.648000000001</v>
      </c>
      <c r="R329" s="1398">
        <v>11445.264000000001</v>
      </c>
      <c r="S329" s="1398">
        <v>0</v>
      </c>
      <c r="T329" s="947">
        <v>0</v>
      </c>
      <c r="U329" s="190">
        <v>1997.9770000000001</v>
      </c>
      <c r="V329" s="2365">
        <f t="shared" si="21"/>
        <v>50908.889000000003</v>
      </c>
    </row>
    <row r="330" spans="1:22">
      <c r="A330" s="972">
        <f t="shared" si="26"/>
        <v>2020.09</v>
      </c>
      <c r="B330" s="223">
        <v>171</v>
      </c>
      <c r="C330" s="1398">
        <v>17</v>
      </c>
      <c r="D330" s="1398">
        <v>2695.75</v>
      </c>
      <c r="E330" s="1398">
        <v>190.184</v>
      </c>
      <c r="F330" s="223">
        <v>0</v>
      </c>
      <c r="G330" s="3538">
        <v>0</v>
      </c>
      <c r="H330" s="2364">
        <f t="shared" si="24"/>
        <v>0</v>
      </c>
      <c r="I330" s="223">
        <v>534.5</v>
      </c>
      <c r="J330" s="1299">
        <v>0</v>
      </c>
      <c r="K330" s="1602">
        <f t="shared" si="25"/>
        <v>534.5</v>
      </c>
      <c r="L330" s="947">
        <v>119273.481</v>
      </c>
      <c r="M330" s="190">
        <v>5933.4250000000002</v>
      </c>
      <c r="N330" s="1398">
        <v>0</v>
      </c>
      <c r="O330" s="2394">
        <f>L330+M330+N330</f>
        <v>125206.906</v>
      </c>
      <c r="P330" s="1398">
        <v>0</v>
      </c>
      <c r="Q330" s="1398">
        <v>36269.300999999999</v>
      </c>
      <c r="R330" s="1398">
        <v>10257.724</v>
      </c>
      <c r="S330" s="1398">
        <v>0</v>
      </c>
      <c r="T330" s="947">
        <v>0</v>
      </c>
      <c r="U330" s="190">
        <v>2943.9389999999999</v>
      </c>
      <c r="V330" s="2365">
        <f t="shared" si="21"/>
        <v>49470.964</v>
      </c>
    </row>
    <row r="331" spans="1:22">
      <c r="A331" s="972">
        <f t="shared" si="26"/>
        <v>2020.1</v>
      </c>
      <c r="B331" s="223">
        <v>107</v>
      </c>
      <c r="C331" s="1398">
        <v>19</v>
      </c>
      <c r="D331" s="1398">
        <v>3197.3599999999997</v>
      </c>
      <c r="E331" s="1398">
        <v>160.041</v>
      </c>
      <c r="F331" s="223">
        <v>0</v>
      </c>
      <c r="G331" s="3538">
        <v>0</v>
      </c>
      <c r="H331" s="2364">
        <f t="shared" si="24"/>
        <v>0</v>
      </c>
      <c r="I331" s="223">
        <v>434.9</v>
      </c>
      <c r="J331" s="1299">
        <v>0</v>
      </c>
      <c r="K331" s="1602">
        <f t="shared" si="25"/>
        <v>434.9</v>
      </c>
      <c r="L331" s="947">
        <v>114489.12699999999</v>
      </c>
      <c r="M331" s="190">
        <v>0</v>
      </c>
      <c r="N331" s="1398">
        <v>0</v>
      </c>
      <c r="O331" s="2394">
        <f>L331+M331+N331</f>
        <v>114489.12699999999</v>
      </c>
      <c r="P331" s="1398">
        <v>0</v>
      </c>
      <c r="Q331" s="1398">
        <v>40827.739000000001</v>
      </c>
      <c r="R331" s="1398">
        <v>11737.647000000001</v>
      </c>
      <c r="S331" s="1398">
        <v>0</v>
      </c>
      <c r="T331" s="947">
        <v>0</v>
      </c>
      <c r="U331" s="190">
        <v>0</v>
      </c>
      <c r="V331" s="2365">
        <f t="shared" si="21"/>
        <v>52565.385999999999</v>
      </c>
    </row>
    <row r="332" spans="1:22">
      <c r="A332" s="972">
        <f t="shared" si="26"/>
        <v>2020.11</v>
      </c>
      <c r="B332" s="223">
        <v>201</v>
      </c>
      <c r="C332" s="1398">
        <v>37</v>
      </c>
      <c r="D332" s="1398">
        <v>3494</v>
      </c>
      <c r="E332" s="1398">
        <v>124.455</v>
      </c>
      <c r="F332" s="223">
        <v>0</v>
      </c>
      <c r="G332" s="3538">
        <v>0</v>
      </c>
      <c r="H332" s="2364">
        <f t="shared" si="24"/>
        <v>0</v>
      </c>
      <c r="I332" s="223">
        <v>506.8</v>
      </c>
      <c r="J332" s="1299">
        <v>0</v>
      </c>
      <c r="K332" s="1602">
        <f t="shared" si="25"/>
        <v>506.8</v>
      </c>
      <c r="L332" s="947">
        <v>125372.072</v>
      </c>
      <c r="M332" s="190">
        <v>0</v>
      </c>
      <c r="N332" s="1398">
        <v>0</v>
      </c>
      <c r="O332" s="2394">
        <f>L332+M332+N332</f>
        <v>125372.072</v>
      </c>
      <c r="P332" s="1398">
        <v>0</v>
      </c>
      <c r="Q332" s="1398">
        <v>43697.752999999997</v>
      </c>
      <c r="R332" s="1398">
        <v>13354.152</v>
      </c>
      <c r="S332" s="1398">
        <v>0</v>
      </c>
      <c r="T332" s="947">
        <v>0</v>
      </c>
      <c r="U332" s="190">
        <v>1074.9780000000001</v>
      </c>
      <c r="V332" s="2365">
        <f>SUM(P332:U332)</f>
        <v>58126.883000000002</v>
      </c>
    </row>
    <row r="333" spans="1:22">
      <c r="A333" s="972">
        <f t="shared" si="26"/>
        <v>2020.12</v>
      </c>
      <c r="B333" s="223">
        <v>287</v>
      </c>
      <c r="C333" s="1398">
        <v>75</v>
      </c>
      <c r="D333" s="1398">
        <v>1970.96</v>
      </c>
      <c r="E333" s="1398">
        <v>76.721000000000004</v>
      </c>
      <c r="F333" s="223">
        <v>0</v>
      </c>
      <c r="G333" s="3538">
        <v>0</v>
      </c>
      <c r="H333" s="2364">
        <f t="shared" si="24"/>
        <v>0</v>
      </c>
      <c r="I333" s="223">
        <v>504.24</v>
      </c>
      <c r="J333" s="1299">
        <v>0</v>
      </c>
      <c r="K333" s="1602">
        <f t="shared" si="25"/>
        <v>504.24</v>
      </c>
      <c r="L333" s="947">
        <v>117046.15299999999</v>
      </c>
      <c r="M333" s="190">
        <v>0</v>
      </c>
      <c r="N333" s="1398">
        <v>0</v>
      </c>
      <c r="O333" s="2394">
        <f>L333+M333+N333</f>
        <v>117046.15299999999</v>
      </c>
      <c r="P333" s="1398">
        <v>0</v>
      </c>
      <c r="Q333" s="1398">
        <v>49478.438000000002</v>
      </c>
      <c r="R333" s="1398">
        <v>17161.087</v>
      </c>
      <c r="S333" s="1398">
        <v>0</v>
      </c>
      <c r="T333" s="947">
        <v>0</v>
      </c>
      <c r="U333" s="190">
        <v>4719.6080000000002</v>
      </c>
      <c r="V333" s="2365">
        <f>SUM(P333:U333)</f>
        <v>71359.133000000002</v>
      </c>
    </row>
    <row r="334" spans="1:22">
      <c r="A334" s="972">
        <f t="shared" si="26"/>
        <v>2021.01</v>
      </c>
      <c r="B334" s="223">
        <v>359</v>
      </c>
      <c r="C334" s="1398">
        <v>27</v>
      </c>
      <c r="D334" s="1398">
        <v>2502.7399999999998</v>
      </c>
      <c r="E334" s="1398">
        <v>130.95499999999998</v>
      </c>
      <c r="F334" s="223">
        <v>0</v>
      </c>
      <c r="G334" s="3538">
        <v>0</v>
      </c>
      <c r="H334" s="2364">
        <f t="shared" ref="H334:H393" si="27">F334+G334</f>
        <v>0</v>
      </c>
      <c r="I334" s="223">
        <v>470.4</v>
      </c>
      <c r="J334" s="1299">
        <v>0</v>
      </c>
      <c r="K334" s="1602">
        <f t="shared" ref="K334:K393" si="28">I334+J334</f>
        <v>470.4</v>
      </c>
      <c r="L334" s="947">
        <v>101156.622</v>
      </c>
      <c r="M334" s="190">
        <v>107</v>
      </c>
      <c r="N334" s="1398">
        <v>0</v>
      </c>
      <c r="O334" s="2394">
        <f t="shared" ref="O334:O393" si="29">L334+M334+N334</f>
        <v>101263.622</v>
      </c>
      <c r="P334" s="1398">
        <v>0</v>
      </c>
      <c r="Q334" s="1398">
        <v>45706.17</v>
      </c>
      <c r="R334" s="1398">
        <v>15794.644</v>
      </c>
      <c r="S334" s="1398">
        <v>0</v>
      </c>
      <c r="T334" s="947">
        <v>0</v>
      </c>
      <c r="U334" s="190">
        <v>21633.499</v>
      </c>
      <c r="V334" s="2365">
        <f t="shared" ref="V334:V393" si="30">SUM(P334:U334)</f>
        <v>83134.312999999995</v>
      </c>
    </row>
    <row r="335" spans="1:22">
      <c r="A335" s="972">
        <f t="shared" si="26"/>
        <v>2021.02</v>
      </c>
      <c r="B335" s="223">
        <v>475</v>
      </c>
      <c r="C335" s="1398">
        <v>70</v>
      </c>
      <c r="D335" s="1398">
        <v>3242.6</v>
      </c>
      <c r="E335" s="1398">
        <v>90.5</v>
      </c>
      <c r="F335" s="223">
        <v>0</v>
      </c>
      <c r="G335" s="3538">
        <v>0</v>
      </c>
      <c r="H335" s="2364">
        <f t="shared" si="27"/>
        <v>0</v>
      </c>
      <c r="I335" s="223">
        <v>16786.78</v>
      </c>
      <c r="J335" s="1299">
        <v>0</v>
      </c>
      <c r="K335" s="1602">
        <f t="shared" si="28"/>
        <v>16786.78</v>
      </c>
      <c r="L335" s="947">
        <v>102825.54999999999</v>
      </c>
      <c r="M335" s="190">
        <v>0</v>
      </c>
      <c r="N335" s="1398">
        <v>0</v>
      </c>
      <c r="O335" s="2394">
        <f t="shared" si="29"/>
        <v>102825.54999999999</v>
      </c>
      <c r="P335" s="1398">
        <v>0</v>
      </c>
      <c r="Q335" s="1398">
        <v>43449.24</v>
      </c>
      <c r="R335" s="1398">
        <v>14648.32</v>
      </c>
      <c r="S335" s="1398">
        <v>0</v>
      </c>
      <c r="T335" s="947">
        <v>0</v>
      </c>
      <c r="U335" s="190">
        <v>10715.07</v>
      </c>
      <c r="V335" s="2365">
        <f t="shared" si="30"/>
        <v>68812.63</v>
      </c>
    </row>
    <row r="336" spans="1:22">
      <c r="A336" s="972">
        <f t="shared" si="26"/>
        <v>2021.03</v>
      </c>
      <c r="B336" s="223">
        <v>395</v>
      </c>
      <c r="C336" s="1398">
        <v>30</v>
      </c>
      <c r="D336" s="1398">
        <v>7067.32</v>
      </c>
      <c r="E336" s="1398">
        <v>139.74600000000001</v>
      </c>
      <c r="F336" s="223">
        <v>0</v>
      </c>
      <c r="G336" s="3538">
        <v>0</v>
      </c>
      <c r="H336" s="2364">
        <f t="shared" si="27"/>
        <v>0</v>
      </c>
      <c r="I336" s="223">
        <v>16880.439999999999</v>
      </c>
      <c r="J336" s="1299">
        <v>0</v>
      </c>
      <c r="K336" s="1602">
        <f t="shared" si="28"/>
        <v>16880.439999999999</v>
      </c>
      <c r="L336" s="947">
        <v>158946.65899999999</v>
      </c>
      <c r="M336" s="190">
        <v>0</v>
      </c>
      <c r="N336" s="1398">
        <v>0</v>
      </c>
      <c r="O336" s="2394">
        <f t="shared" si="29"/>
        <v>158946.65899999999</v>
      </c>
      <c r="P336" s="1398">
        <v>0</v>
      </c>
      <c r="Q336" s="1398">
        <v>57846.16</v>
      </c>
      <c r="R336" s="1398">
        <v>17966.349999999999</v>
      </c>
      <c r="S336" s="1398">
        <v>0</v>
      </c>
      <c r="T336" s="947">
        <v>0</v>
      </c>
      <c r="U336" s="190">
        <v>4798.45</v>
      </c>
      <c r="V336" s="2365">
        <f t="shared" si="30"/>
        <v>80610.960000000006</v>
      </c>
    </row>
    <row r="337" spans="1:22">
      <c r="A337" s="972">
        <f t="shared" si="26"/>
        <v>2021.04</v>
      </c>
      <c r="B337" s="223">
        <v>722</v>
      </c>
      <c r="C337" s="1398">
        <v>36</v>
      </c>
      <c r="D337" s="1398">
        <v>6815.39</v>
      </c>
      <c r="E337" s="1398">
        <v>124.947</v>
      </c>
      <c r="F337" s="223">
        <v>0</v>
      </c>
      <c r="G337" s="3538">
        <v>0</v>
      </c>
      <c r="H337" s="2364">
        <f t="shared" si="27"/>
        <v>0</v>
      </c>
      <c r="I337" s="223">
        <v>22858.45</v>
      </c>
      <c r="J337" s="1299">
        <v>0</v>
      </c>
      <c r="K337" s="1602">
        <f t="shared" si="28"/>
        <v>22858.45</v>
      </c>
      <c r="L337" s="947">
        <v>154044.17600000001</v>
      </c>
      <c r="M337" s="190">
        <v>0</v>
      </c>
      <c r="N337" s="1398">
        <v>0</v>
      </c>
      <c r="O337" s="2394">
        <f t="shared" si="29"/>
        <v>154044.17600000001</v>
      </c>
      <c r="P337" s="1398">
        <v>0</v>
      </c>
      <c r="Q337" s="1398">
        <v>46901.599999999999</v>
      </c>
      <c r="R337" s="1398">
        <v>14518.35</v>
      </c>
      <c r="S337" s="1398">
        <v>0</v>
      </c>
      <c r="T337" s="947">
        <v>0</v>
      </c>
      <c r="U337" s="190">
        <v>3976.99</v>
      </c>
      <c r="V337" s="2365">
        <f t="shared" si="30"/>
        <v>65396.939999999995</v>
      </c>
    </row>
    <row r="338" spans="1:22">
      <c r="A338" s="972">
        <f t="shared" si="26"/>
        <v>2021.05</v>
      </c>
      <c r="B338" s="223">
        <v>1201</v>
      </c>
      <c r="C338" s="1398">
        <v>33</v>
      </c>
      <c r="D338" s="1398">
        <v>3773.6800000000003</v>
      </c>
      <c r="E338" s="1398">
        <v>271.15899999999999</v>
      </c>
      <c r="F338" s="223">
        <v>0</v>
      </c>
      <c r="G338" s="3538">
        <v>0</v>
      </c>
      <c r="H338" s="2364">
        <f t="shared" si="27"/>
        <v>0</v>
      </c>
      <c r="I338" s="223">
        <v>12597.079999999998</v>
      </c>
      <c r="J338" s="1299">
        <v>0</v>
      </c>
      <c r="K338" s="1602">
        <f t="shared" si="28"/>
        <v>12597.079999999998</v>
      </c>
      <c r="L338" s="947">
        <v>143638.74600000001</v>
      </c>
      <c r="M338" s="190">
        <v>0</v>
      </c>
      <c r="N338" s="1398">
        <v>0</v>
      </c>
      <c r="O338" s="2394">
        <f t="shared" si="29"/>
        <v>143638.74600000001</v>
      </c>
      <c r="P338" s="1398">
        <v>0</v>
      </c>
      <c r="Q338" s="1398">
        <v>35425.760000000002</v>
      </c>
      <c r="R338" s="1398">
        <v>11227.65</v>
      </c>
      <c r="S338" s="1398">
        <v>0</v>
      </c>
      <c r="T338" s="947">
        <v>0</v>
      </c>
      <c r="U338" s="190">
        <v>3322.61</v>
      </c>
      <c r="V338" s="2365">
        <f t="shared" si="30"/>
        <v>49976.020000000004</v>
      </c>
    </row>
    <row r="339" spans="1:22">
      <c r="A339" s="972">
        <f t="shared" si="26"/>
        <v>2021.06</v>
      </c>
      <c r="B339" s="223">
        <v>1379</v>
      </c>
      <c r="C339" s="1398">
        <v>29</v>
      </c>
      <c r="D339" s="1398">
        <v>3994.2200000000003</v>
      </c>
      <c r="E339" s="1398">
        <v>255.04900000000001</v>
      </c>
      <c r="F339" s="223">
        <v>0</v>
      </c>
      <c r="G339" s="3538">
        <v>0</v>
      </c>
      <c r="H339" s="2364">
        <f t="shared" si="27"/>
        <v>0</v>
      </c>
      <c r="I339" s="223">
        <v>28801.559999999998</v>
      </c>
      <c r="J339" s="1299">
        <v>0</v>
      </c>
      <c r="K339" s="1602">
        <f t="shared" si="28"/>
        <v>28801.559999999998</v>
      </c>
      <c r="L339" s="947">
        <v>133735.272</v>
      </c>
      <c r="M339" s="190">
        <v>0</v>
      </c>
      <c r="N339" s="1398">
        <v>0</v>
      </c>
      <c r="O339" s="2394">
        <f t="shared" si="29"/>
        <v>133735.272</v>
      </c>
      <c r="P339" s="1398">
        <v>0</v>
      </c>
      <c r="Q339" s="1398">
        <v>37276.28</v>
      </c>
      <c r="R339" s="1398">
        <v>11627.02</v>
      </c>
      <c r="S339" s="1398">
        <v>0</v>
      </c>
      <c r="T339" s="947">
        <v>0</v>
      </c>
      <c r="U339" s="190">
        <v>16167.92</v>
      </c>
      <c r="V339" s="2365">
        <f t="shared" si="30"/>
        <v>65071.22</v>
      </c>
    </row>
    <row r="340" spans="1:22">
      <c r="A340" s="972">
        <f t="shared" si="26"/>
        <v>2021.07</v>
      </c>
      <c r="B340" s="223">
        <v>486</v>
      </c>
      <c r="C340" s="1398">
        <v>33</v>
      </c>
      <c r="D340" s="1398">
        <v>4465.9400000000005</v>
      </c>
      <c r="E340" s="1398">
        <v>248.84399999999999</v>
      </c>
      <c r="F340" s="223">
        <v>0</v>
      </c>
      <c r="G340" s="3538">
        <v>0</v>
      </c>
      <c r="H340" s="2364">
        <f t="shared" si="27"/>
        <v>0</v>
      </c>
      <c r="I340" s="223">
        <v>28323.859999999997</v>
      </c>
      <c r="J340" s="1299">
        <v>0</v>
      </c>
      <c r="K340" s="1602">
        <f t="shared" si="28"/>
        <v>28323.859999999997</v>
      </c>
      <c r="L340" s="947">
        <v>144636.342</v>
      </c>
      <c r="M340" s="190">
        <v>0</v>
      </c>
      <c r="N340" s="1398">
        <v>0</v>
      </c>
      <c r="O340" s="2394">
        <f t="shared" si="29"/>
        <v>144636.342</v>
      </c>
      <c r="P340" s="1398">
        <v>0</v>
      </c>
      <c r="Q340" s="1398">
        <v>45999.87</v>
      </c>
      <c r="R340" s="1398">
        <v>15856.41</v>
      </c>
      <c r="S340" s="1398">
        <v>0</v>
      </c>
      <c r="T340" s="947">
        <v>0</v>
      </c>
      <c r="U340" s="190">
        <v>8886.92</v>
      </c>
      <c r="V340" s="2365">
        <f t="shared" si="30"/>
        <v>70743.199999999997</v>
      </c>
    </row>
    <row r="341" spans="1:22">
      <c r="A341" s="972">
        <f t="shared" si="26"/>
        <v>2021.08</v>
      </c>
      <c r="B341" s="223">
        <v>883</v>
      </c>
      <c r="C341" s="1398">
        <v>48</v>
      </c>
      <c r="D341" s="1398">
        <v>5359.9400000000005</v>
      </c>
      <c r="E341" s="1398">
        <v>194.42599999999999</v>
      </c>
      <c r="F341" s="223">
        <v>0</v>
      </c>
      <c r="G341" s="3538">
        <v>0</v>
      </c>
      <c r="H341" s="2364">
        <f t="shared" si="27"/>
        <v>0</v>
      </c>
      <c r="I341" s="223">
        <v>462.82</v>
      </c>
      <c r="J341" s="1299">
        <v>0</v>
      </c>
      <c r="K341" s="1602">
        <f t="shared" si="28"/>
        <v>462.82</v>
      </c>
      <c r="L341" s="947">
        <v>138539.88999999998</v>
      </c>
      <c r="M341" s="190">
        <v>0</v>
      </c>
      <c r="N341" s="1398">
        <v>0</v>
      </c>
      <c r="O341" s="2394">
        <f t="shared" si="29"/>
        <v>138539.88999999998</v>
      </c>
      <c r="P341" s="1398">
        <v>0</v>
      </c>
      <c r="Q341" s="1398">
        <v>48479.13</v>
      </c>
      <c r="R341" s="1398">
        <v>17081.740000000002</v>
      </c>
      <c r="S341" s="1398">
        <v>0</v>
      </c>
      <c r="T341" s="947">
        <v>0</v>
      </c>
      <c r="U341" s="190">
        <v>19013.618999999999</v>
      </c>
      <c r="V341" s="2365">
        <f t="shared" si="30"/>
        <v>84574.489000000001</v>
      </c>
    </row>
    <row r="342" spans="1:22">
      <c r="A342" s="972">
        <f t="shared" si="26"/>
        <v>2021.09</v>
      </c>
      <c r="B342" s="223">
        <v>833</v>
      </c>
      <c r="C342" s="1398">
        <v>39</v>
      </c>
      <c r="D342" s="1398">
        <v>4263.8</v>
      </c>
      <c r="E342" s="1398">
        <v>91.462000000000003</v>
      </c>
      <c r="F342" s="223">
        <v>0</v>
      </c>
      <c r="G342" s="3538">
        <v>0</v>
      </c>
      <c r="H342" s="2364">
        <f t="shared" si="27"/>
        <v>0</v>
      </c>
      <c r="I342" s="223">
        <v>757.68000000000006</v>
      </c>
      <c r="J342" s="1299">
        <v>2478</v>
      </c>
      <c r="K342" s="1602">
        <f t="shared" si="28"/>
        <v>3235.6800000000003</v>
      </c>
      <c r="L342" s="947">
        <v>136360.495</v>
      </c>
      <c r="M342" s="190">
        <v>0</v>
      </c>
      <c r="N342" s="1398">
        <v>0</v>
      </c>
      <c r="O342" s="2394">
        <f t="shared" si="29"/>
        <v>136360.495</v>
      </c>
      <c r="P342" s="1398">
        <v>0</v>
      </c>
      <c r="Q342" s="1398">
        <v>47162.63</v>
      </c>
      <c r="R342" s="1398">
        <v>17016.79</v>
      </c>
      <c r="S342" s="1398">
        <v>0</v>
      </c>
      <c r="T342" s="947">
        <v>0</v>
      </c>
      <c r="U342" s="190">
        <v>17639.04</v>
      </c>
      <c r="V342" s="2365">
        <f t="shared" si="30"/>
        <v>81818.459999999992</v>
      </c>
    </row>
    <row r="343" spans="1:22">
      <c r="A343" s="972">
        <f t="shared" si="26"/>
        <v>2021.1</v>
      </c>
      <c r="B343" s="223">
        <v>1531</v>
      </c>
      <c r="C343" s="1398">
        <v>56</v>
      </c>
      <c r="D343" s="1398">
        <v>5562.1</v>
      </c>
      <c r="E343" s="1398">
        <v>89.87</v>
      </c>
      <c r="F343" s="223">
        <v>0</v>
      </c>
      <c r="G343" s="3538">
        <v>0</v>
      </c>
      <c r="H343" s="2364">
        <f t="shared" si="27"/>
        <v>0</v>
      </c>
      <c r="I343" s="223">
        <v>724.6</v>
      </c>
      <c r="J343" s="1299">
        <v>0</v>
      </c>
      <c r="K343" s="1602">
        <f t="shared" si="28"/>
        <v>724.6</v>
      </c>
      <c r="L343" s="947">
        <v>131371.76999999999</v>
      </c>
      <c r="M343" s="190">
        <v>0</v>
      </c>
      <c r="N343" s="1398">
        <v>0</v>
      </c>
      <c r="O343" s="2394">
        <f t="shared" si="29"/>
        <v>131371.76999999999</v>
      </c>
      <c r="P343" s="1398">
        <v>0</v>
      </c>
      <c r="Q343" s="1398">
        <v>47954.9</v>
      </c>
      <c r="R343" s="1398">
        <v>19374.12</v>
      </c>
      <c r="S343" s="1398">
        <v>0</v>
      </c>
      <c r="T343" s="947">
        <v>0</v>
      </c>
      <c r="U343" s="190">
        <v>16338.606</v>
      </c>
      <c r="V343" s="2365">
        <f t="shared" si="30"/>
        <v>83667.626000000004</v>
      </c>
    </row>
    <row r="344" spans="1:22">
      <c r="A344" s="972">
        <f t="shared" si="26"/>
        <v>2021.11</v>
      </c>
      <c r="B344" s="223">
        <v>1018</v>
      </c>
      <c r="C344" s="1398">
        <v>42</v>
      </c>
      <c r="D344" s="1398">
        <v>4946.08</v>
      </c>
      <c r="E344" s="1398">
        <v>172.12799999999999</v>
      </c>
      <c r="F344" s="223">
        <v>0</v>
      </c>
      <c r="G344" s="3538">
        <v>0</v>
      </c>
      <c r="H344" s="2364">
        <f t="shared" si="27"/>
        <v>0</v>
      </c>
      <c r="I344" s="223">
        <v>704.26</v>
      </c>
      <c r="J344" s="1299">
        <v>0</v>
      </c>
      <c r="K344" s="1602">
        <f t="shared" si="28"/>
        <v>704.26</v>
      </c>
      <c r="L344" s="947">
        <v>138398.03200000001</v>
      </c>
      <c r="M344" s="190">
        <v>0</v>
      </c>
      <c r="N344" s="1398">
        <v>0</v>
      </c>
      <c r="O344" s="2394">
        <f t="shared" si="29"/>
        <v>138398.03200000001</v>
      </c>
      <c r="P344" s="1398">
        <v>0</v>
      </c>
      <c r="Q344" s="1398">
        <v>47763.55</v>
      </c>
      <c r="R344" s="1398">
        <v>19246.21</v>
      </c>
      <c r="S344" s="1398">
        <v>0</v>
      </c>
      <c r="T344" s="947">
        <v>0</v>
      </c>
      <c r="U344" s="190">
        <v>14134.67</v>
      </c>
      <c r="V344" s="2365">
        <f t="shared" si="30"/>
        <v>81144.430000000008</v>
      </c>
    </row>
    <row r="345" spans="1:22">
      <c r="A345" s="972">
        <f t="shared" si="26"/>
        <v>2021.12</v>
      </c>
      <c r="B345" s="223">
        <v>1209</v>
      </c>
      <c r="C345" s="1398">
        <v>51</v>
      </c>
      <c r="D345" s="1398">
        <v>4326.58</v>
      </c>
      <c r="E345" s="1398">
        <v>130.00399999999999</v>
      </c>
      <c r="F345" s="223">
        <v>0</v>
      </c>
      <c r="G345" s="3538">
        <v>0</v>
      </c>
      <c r="H345" s="2364">
        <f t="shared" si="27"/>
        <v>0</v>
      </c>
      <c r="I345" s="223">
        <v>492.18</v>
      </c>
      <c r="J345" s="1299">
        <v>5585.87</v>
      </c>
      <c r="K345" s="1602">
        <f t="shared" si="28"/>
        <v>6078.05</v>
      </c>
      <c r="L345" s="947">
        <v>141489.78399999999</v>
      </c>
      <c r="M345" s="190">
        <v>0</v>
      </c>
      <c r="N345" s="1398">
        <v>0</v>
      </c>
      <c r="O345" s="2394">
        <f t="shared" si="29"/>
        <v>141489.78399999999</v>
      </c>
      <c r="P345" s="1398">
        <v>0</v>
      </c>
      <c r="Q345" s="1398">
        <v>53696.12</v>
      </c>
      <c r="R345" s="1398">
        <v>22835.94</v>
      </c>
      <c r="S345" s="1398">
        <v>0</v>
      </c>
      <c r="T345" s="947">
        <v>0</v>
      </c>
      <c r="U345" s="190">
        <v>10139.768</v>
      </c>
      <c r="V345" s="2365">
        <f t="shared" si="30"/>
        <v>86671.827999999994</v>
      </c>
    </row>
    <row r="346" spans="1:22">
      <c r="A346" s="972">
        <f t="shared" si="26"/>
        <v>2022.01</v>
      </c>
      <c r="B346" s="223">
        <v>1507</v>
      </c>
      <c r="C346" s="1398">
        <v>40</v>
      </c>
      <c r="D346" s="1398">
        <v>4120.28</v>
      </c>
      <c r="E346" s="1398">
        <v>87.343000000000004</v>
      </c>
      <c r="F346" s="223">
        <v>0</v>
      </c>
      <c r="G346" s="3538">
        <v>0</v>
      </c>
      <c r="H346" s="2364">
        <f t="shared" si="27"/>
        <v>0</v>
      </c>
      <c r="I346" s="223">
        <v>619.94000000000005</v>
      </c>
      <c r="J346" s="1299">
        <v>0</v>
      </c>
      <c r="K346" s="1602">
        <f t="shared" si="28"/>
        <v>619.94000000000005</v>
      </c>
      <c r="L346" s="947">
        <v>119465.76999999999</v>
      </c>
      <c r="M346" s="190">
        <v>0</v>
      </c>
      <c r="N346" s="1398">
        <v>0</v>
      </c>
      <c r="O346" s="2394">
        <f t="shared" si="29"/>
        <v>119465.76999999999</v>
      </c>
      <c r="P346" s="1398">
        <v>0</v>
      </c>
      <c r="Q346" s="1398">
        <v>43368.02</v>
      </c>
      <c r="R346" s="1398">
        <v>18629.009999999998</v>
      </c>
      <c r="S346" s="1398">
        <v>0</v>
      </c>
      <c r="T346" s="947">
        <v>0</v>
      </c>
      <c r="U346" s="190">
        <v>16362.5</v>
      </c>
      <c r="V346" s="2365">
        <f t="shared" si="30"/>
        <v>78359.53</v>
      </c>
    </row>
    <row r="347" spans="1:22">
      <c r="A347" s="972">
        <f t="shared" si="26"/>
        <v>2022.02</v>
      </c>
      <c r="B347" s="223">
        <v>1497</v>
      </c>
      <c r="C347" s="1398">
        <v>41</v>
      </c>
      <c r="D347" s="1398">
        <v>5145.9400000000005</v>
      </c>
      <c r="E347" s="1398">
        <v>186.32400000000001</v>
      </c>
      <c r="F347" s="223">
        <v>0</v>
      </c>
      <c r="G347" s="3538">
        <v>0</v>
      </c>
      <c r="H347" s="2364">
        <f t="shared" si="27"/>
        <v>0</v>
      </c>
      <c r="I347" s="223">
        <v>751.92</v>
      </c>
      <c r="J347" s="1299">
        <v>0</v>
      </c>
      <c r="K347" s="1602">
        <f t="shared" si="28"/>
        <v>751.92</v>
      </c>
      <c r="L347" s="947">
        <v>114047.678</v>
      </c>
      <c r="M347" s="190">
        <v>0</v>
      </c>
      <c r="N347" s="1398">
        <v>0</v>
      </c>
      <c r="O347" s="2394">
        <f t="shared" si="29"/>
        <v>114047.678</v>
      </c>
      <c r="P347" s="1398">
        <v>0</v>
      </c>
      <c r="Q347" s="1398">
        <v>43721.11</v>
      </c>
      <c r="R347" s="1398">
        <v>19057.18</v>
      </c>
      <c r="S347" s="1398">
        <v>0</v>
      </c>
      <c r="T347" s="947">
        <v>0</v>
      </c>
      <c r="U347" s="190">
        <v>1247</v>
      </c>
      <c r="V347" s="2365">
        <f t="shared" si="30"/>
        <v>64025.29</v>
      </c>
    </row>
    <row r="348" spans="1:22">
      <c r="A348" s="972">
        <f t="shared" si="26"/>
        <v>2022.03</v>
      </c>
      <c r="B348" s="223">
        <v>2619</v>
      </c>
      <c r="C348" s="1398">
        <v>53</v>
      </c>
      <c r="D348" s="1398">
        <v>4953.2</v>
      </c>
      <c r="E348" s="1398">
        <v>175.1</v>
      </c>
      <c r="F348" s="223">
        <v>0</v>
      </c>
      <c r="G348" s="3538">
        <v>0</v>
      </c>
      <c r="H348" s="2364">
        <f t="shared" si="27"/>
        <v>0</v>
      </c>
      <c r="I348" s="223">
        <v>1406.47</v>
      </c>
      <c r="J348" s="1299">
        <v>7397.36</v>
      </c>
      <c r="K348" s="1602">
        <f t="shared" si="28"/>
        <v>8803.83</v>
      </c>
      <c r="L348" s="947">
        <v>128625.34000000003</v>
      </c>
      <c r="M348" s="190">
        <v>0</v>
      </c>
      <c r="N348" s="1398">
        <v>0</v>
      </c>
      <c r="O348" s="2394">
        <f t="shared" si="29"/>
        <v>128625.34000000003</v>
      </c>
      <c r="P348" s="1398">
        <v>0</v>
      </c>
      <c r="Q348" s="1398">
        <v>47329.17</v>
      </c>
      <c r="R348" s="1398">
        <v>19560.330000000002</v>
      </c>
      <c r="S348" s="1398">
        <v>0</v>
      </c>
      <c r="T348" s="947">
        <v>0</v>
      </c>
      <c r="U348" s="190">
        <v>12925.1</v>
      </c>
      <c r="V348" s="2365">
        <f t="shared" si="30"/>
        <v>79814.600000000006</v>
      </c>
    </row>
    <row r="349" spans="1:22">
      <c r="A349" s="972">
        <f t="shared" si="26"/>
        <v>2022.04</v>
      </c>
      <c r="B349" s="223">
        <v>1345</v>
      </c>
      <c r="C349" s="1398">
        <v>37</v>
      </c>
      <c r="D349" s="1398">
        <v>4616.22</v>
      </c>
      <c r="E349" s="1398">
        <v>180.24099999999999</v>
      </c>
      <c r="F349" s="223">
        <v>0</v>
      </c>
      <c r="G349" s="3538">
        <v>0</v>
      </c>
      <c r="H349" s="2364">
        <f t="shared" si="27"/>
        <v>0</v>
      </c>
      <c r="I349" s="223">
        <v>1312.4699999999998</v>
      </c>
      <c r="J349" s="1299">
        <v>9616.15</v>
      </c>
      <c r="K349" s="1602">
        <f t="shared" si="28"/>
        <v>10928.619999999999</v>
      </c>
      <c r="L349" s="947">
        <v>149451.804</v>
      </c>
      <c r="M349" s="190">
        <v>0</v>
      </c>
      <c r="N349" s="1398">
        <v>0</v>
      </c>
      <c r="O349" s="2394">
        <f t="shared" si="29"/>
        <v>149451.804</v>
      </c>
      <c r="P349" s="1398">
        <v>0</v>
      </c>
      <c r="Q349" s="1398">
        <v>45558.16</v>
      </c>
      <c r="R349" s="1398">
        <v>19354.13</v>
      </c>
      <c r="S349" s="1398">
        <v>0</v>
      </c>
      <c r="T349" s="947">
        <v>1708</v>
      </c>
      <c r="U349" s="190">
        <v>8324.39</v>
      </c>
      <c r="V349" s="2365">
        <f t="shared" si="30"/>
        <v>74944.680000000008</v>
      </c>
    </row>
    <row r="350" spans="1:22">
      <c r="A350" s="972">
        <f t="shared" si="26"/>
        <v>2022.05</v>
      </c>
      <c r="B350" s="223">
        <v>1071</v>
      </c>
      <c r="C350" s="1398">
        <v>28</v>
      </c>
      <c r="D350" s="1398">
        <v>4345.96</v>
      </c>
      <c r="E350" s="1398">
        <v>177.15</v>
      </c>
      <c r="F350" s="223">
        <v>0</v>
      </c>
      <c r="G350" s="3538">
        <v>0</v>
      </c>
      <c r="H350" s="2364">
        <f t="shared" si="27"/>
        <v>0</v>
      </c>
      <c r="I350" s="223">
        <v>2507.1</v>
      </c>
      <c r="J350" s="1299">
        <v>6903.3</v>
      </c>
      <c r="K350" s="1602">
        <f t="shared" si="28"/>
        <v>9410.4</v>
      </c>
      <c r="L350" s="947">
        <v>149460.087</v>
      </c>
      <c r="M350" s="190">
        <v>0</v>
      </c>
      <c r="N350" s="1398">
        <v>0</v>
      </c>
      <c r="O350" s="2394">
        <f t="shared" si="29"/>
        <v>149460.087</v>
      </c>
      <c r="P350" s="1398">
        <v>0</v>
      </c>
      <c r="Q350" s="1398">
        <v>44346.987999999998</v>
      </c>
      <c r="R350" s="1398">
        <v>18261.393</v>
      </c>
      <c r="S350" s="1398">
        <v>0</v>
      </c>
      <c r="T350" s="947">
        <v>0</v>
      </c>
      <c r="U350" s="190">
        <v>166</v>
      </c>
      <c r="V350" s="2365">
        <f t="shared" si="30"/>
        <v>62774.380999999994</v>
      </c>
    </row>
    <row r="351" spans="1:22">
      <c r="A351" s="972">
        <f t="shared" si="26"/>
        <v>2022.06</v>
      </c>
      <c r="B351" s="223">
        <v>1736</v>
      </c>
      <c r="C351" s="1398">
        <v>10</v>
      </c>
      <c r="D351" s="1398">
        <v>4250.87</v>
      </c>
      <c r="E351" s="1398">
        <v>281</v>
      </c>
      <c r="F351" s="223">
        <v>0</v>
      </c>
      <c r="G351" s="3538">
        <v>0</v>
      </c>
      <c r="H351" s="2364">
        <f t="shared" si="27"/>
        <v>0</v>
      </c>
      <c r="I351" s="223">
        <v>1464</v>
      </c>
      <c r="J351" s="1299">
        <v>0</v>
      </c>
      <c r="K351" s="1602">
        <f t="shared" si="28"/>
        <v>1464</v>
      </c>
      <c r="L351" s="947">
        <v>143151.79</v>
      </c>
      <c r="M351" s="190">
        <v>632.29999999999995</v>
      </c>
      <c r="N351" s="1398">
        <v>0</v>
      </c>
      <c r="O351" s="2394">
        <f t="shared" si="29"/>
        <v>143784.09</v>
      </c>
      <c r="P351" s="1398">
        <v>0</v>
      </c>
      <c r="Q351" s="1398">
        <v>45397.66</v>
      </c>
      <c r="R351" s="1398">
        <v>19141.89</v>
      </c>
      <c r="S351" s="1398">
        <v>0</v>
      </c>
      <c r="T351" s="947">
        <v>0</v>
      </c>
      <c r="U351" s="190">
        <v>12597.734999999999</v>
      </c>
      <c r="V351" s="2365">
        <f t="shared" si="30"/>
        <v>77137.285000000003</v>
      </c>
    </row>
    <row r="352" spans="1:22">
      <c r="A352" s="972">
        <f t="shared" si="26"/>
        <v>2022.07</v>
      </c>
      <c r="B352" s="223">
        <v>1594</v>
      </c>
      <c r="C352" s="1398">
        <v>22</v>
      </c>
      <c r="D352" s="1398">
        <v>4223.66</v>
      </c>
      <c r="E352" s="1398">
        <v>177.94</v>
      </c>
      <c r="F352" s="223">
        <v>0</v>
      </c>
      <c r="G352" s="3538">
        <v>0</v>
      </c>
      <c r="H352" s="2364">
        <f t="shared" si="27"/>
        <v>0</v>
      </c>
      <c r="I352" s="223">
        <v>16964.12</v>
      </c>
      <c r="J352" s="1299">
        <v>0</v>
      </c>
      <c r="K352" s="1602">
        <f t="shared" si="28"/>
        <v>16964.12</v>
      </c>
      <c r="L352" s="947">
        <v>141978.163</v>
      </c>
      <c r="M352" s="190">
        <v>0</v>
      </c>
      <c r="N352" s="1398">
        <v>0</v>
      </c>
      <c r="O352" s="2394">
        <f t="shared" si="29"/>
        <v>141978.163</v>
      </c>
      <c r="P352" s="1398">
        <v>0</v>
      </c>
      <c r="Q352" s="1398">
        <v>46447.375</v>
      </c>
      <c r="R352" s="1398">
        <v>19091.923999999999</v>
      </c>
      <c r="S352" s="1398">
        <v>0</v>
      </c>
      <c r="T352" s="947">
        <v>18843.620000000003</v>
      </c>
      <c r="U352" s="190">
        <v>4893.59</v>
      </c>
      <c r="V352" s="2365">
        <f t="shared" si="30"/>
        <v>89276.508999999991</v>
      </c>
    </row>
    <row r="353" spans="1:22">
      <c r="A353" s="972">
        <f t="shared" si="26"/>
        <v>2022.08</v>
      </c>
      <c r="B353" s="223">
        <v>1686</v>
      </c>
      <c r="C353" s="1398">
        <v>32</v>
      </c>
      <c r="D353" s="1398">
        <v>5424.18</v>
      </c>
      <c r="E353" s="1398">
        <v>183</v>
      </c>
      <c r="F353" s="223">
        <v>0</v>
      </c>
      <c r="G353" s="3538">
        <v>0</v>
      </c>
      <c r="H353" s="2364">
        <f t="shared" si="27"/>
        <v>0</v>
      </c>
      <c r="I353" s="223">
        <v>839</v>
      </c>
      <c r="J353" s="1299">
        <v>0</v>
      </c>
      <c r="K353" s="1602">
        <f t="shared" si="28"/>
        <v>839</v>
      </c>
      <c r="L353" s="947">
        <v>139727.15</v>
      </c>
      <c r="M353" s="190">
        <v>0</v>
      </c>
      <c r="N353" s="1398">
        <v>0</v>
      </c>
      <c r="O353" s="2394">
        <f t="shared" si="29"/>
        <v>139727.15</v>
      </c>
      <c r="P353" s="1398">
        <v>0</v>
      </c>
      <c r="Q353" s="1398">
        <v>47071.78</v>
      </c>
      <c r="R353" s="1398">
        <v>19149.689999999999</v>
      </c>
      <c r="S353" s="1398">
        <v>0</v>
      </c>
      <c r="T353" s="947">
        <v>0</v>
      </c>
      <c r="U353" s="190">
        <v>1394</v>
      </c>
      <c r="V353" s="2365">
        <f t="shared" si="30"/>
        <v>67615.47</v>
      </c>
    </row>
    <row r="354" spans="1:22">
      <c r="A354" s="972">
        <f t="shared" si="26"/>
        <v>2022.09</v>
      </c>
      <c r="B354" s="223">
        <v>1720</v>
      </c>
      <c r="C354" s="1398">
        <v>78</v>
      </c>
      <c r="D354" s="1398">
        <v>5540.02</v>
      </c>
      <c r="E354" s="1398">
        <v>89</v>
      </c>
      <c r="F354" s="223">
        <v>0</v>
      </c>
      <c r="G354" s="3538">
        <v>0</v>
      </c>
      <c r="H354" s="2364">
        <f t="shared" si="27"/>
        <v>0</v>
      </c>
      <c r="I354" s="223">
        <v>676</v>
      </c>
      <c r="J354" s="1299">
        <v>6207</v>
      </c>
      <c r="K354" s="1602">
        <f t="shared" si="28"/>
        <v>6883</v>
      </c>
      <c r="L354" s="947">
        <v>132299.23000000001</v>
      </c>
      <c r="M354" s="190">
        <v>0</v>
      </c>
      <c r="N354" s="1398">
        <v>0</v>
      </c>
      <c r="O354" s="2394">
        <f t="shared" si="29"/>
        <v>132299.23000000001</v>
      </c>
      <c r="P354" s="1398">
        <v>0</v>
      </c>
      <c r="Q354" s="1398">
        <v>47516.21</v>
      </c>
      <c r="R354" s="1398">
        <v>18937.27</v>
      </c>
      <c r="S354" s="1398">
        <v>0</v>
      </c>
      <c r="T354" s="947">
        <v>0</v>
      </c>
      <c r="U354" s="190">
        <v>1082</v>
      </c>
      <c r="V354" s="2365">
        <f t="shared" si="30"/>
        <v>67535.48</v>
      </c>
    </row>
    <row r="355" spans="1:22">
      <c r="A355" s="972">
        <f t="shared" si="26"/>
        <v>2022.1</v>
      </c>
      <c r="B355" s="223">
        <v>1674</v>
      </c>
      <c r="C355" s="1398">
        <v>70</v>
      </c>
      <c r="D355" s="1398">
        <v>4222.0200000000004</v>
      </c>
      <c r="E355" s="1398">
        <v>51</v>
      </c>
      <c r="F355" s="223">
        <v>0</v>
      </c>
      <c r="G355" s="3538">
        <v>0</v>
      </c>
      <c r="H355" s="2364">
        <f t="shared" si="27"/>
        <v>0</v>
      </c>
      <c r="I355" s="223">
        <v>689</v>
      </c>
      <c r="J355" s="1299">
        <v>6163.94</v>
      </c>
      <c r="K355" s="1602">
        <f t="shared" si="28"/>
        <v>6852.94</v>
      </c>
      <c r="L355" s="947">
        <v>125497.09</v>
      </c>
      <c r="M355" s="190">
        <v>0</v>
      </c>
      <c r="N355" s="1398">
        <v>0</v>
      </c>
      <c r="O355" s="2394">
        <f t="shared" si="29"/>
        <v>125497.09</v>
      </c>
      <c r="P355" s="1398">
        <v>0</v>
      </c>
      <c r="Q355" s="1398">
        <v>49396.9</v>
      </c>
      <c r="R355" s="1398">
        <v>19595.48</v>
      </c>
      <c r="S355" s="1398">
        <v>0</v>
      </c>
      <c r="T355" s="947">
        <v>0</v>
      </c>
      <c r="U355" s="190">
        <v>25612.117999999999</v>
      </c>
      <c r="V355" s="2365">
        <f t="shared" si="30"/>
        <v>94604.498000000007</v>
      </c>
    </row>
    <row r="356" spans="1:22">
      <c r="A356" s="972">
        <f t="shared" si="26"/>
        <v>2022.11</v>
      </c>
      <c r="B356" s="223">
        <v>1042</v>
      </c>
      <c r="C356" s="1398">
        <v>70</v>
      </c>
      <c r="D356" s="1398">
        <v>6709.28</v>
      </c>
      <c r="E356" s="1398">
        <v>101</v>
      </c>
      <c r="F356" s="223">
        <v>0</v>
      </c>
      <c r="G356" s="3538">
        <v>0</v>
      </c>
      <c r="H356" s="2364">
        <f t="shared" si="27"/>
        <v>0</v>
      </c>
      <c r="I356" s="223">
        <v>714</v>
      </c>
      <c r="J356" s="1299">
        <v>0</v>
      </c>
      <c r="K356" s="1602">
        <f t="shared" si="28"/>
        <v>714</v>
      </c>
      <c r="L356" s="947">
        <v>139110.48000000001</v>
      </c>
      <c r="M356" s="190">
        <v>0</v>
      </c>
      <c r="N356" s="1398">
        <v>0</v>
      </c>
      <c r="O356" s="2394">
        <f t="shared" si="29"/>
        <v>139110.48000000001</v>
      </c>
      <c r="P356" s="1398">
        <v>0</v>
      </c>
      <c r="Q356" s="1398">
        <v>49193.06</v>
      </c>
      <c r="R356" s="1398">
        <v>18651.59</v>
      </c>
      <c r="S356" s="1398">
        <v>0</v>
      </c>
      <c r="T356" s="947">
        <v>18307.78</v>
      </c>
      <c r="U356" s="190">
        <v>852</v>
      </c>
      <c r="V356" s="2365">
        <f t="shared" si="30"/>
        <v>87004.43</v>
      </c>
    </row>
    <row r="357" spans="1:22">
      <c r="A357" s="972">
        <f t="shared" si="26"/>
        <v>2022.12</v>
      </c>
      <c r="B357" s="223">
        <v>1142</v>
      </c>
      <c r="C357" s="1398">
        <v>81</v>
      </c>
      <c r="D357" s="1398">
        <v>5206.8500000000004</v>
      </c>
      <c r="E357" s="1398">
        <v>57</v>
      </c>
      <c r="F357" s="223">
        <v>0</v>
      </c>
      <c r="G357" s="3538">
        <v>0</v>
      </c>
      <c r="H357" s="2364">
        <f t="shared" si="27"/>
        <v>0</v>
      </c>
      <c r="I357" s="223">
        <v>492</v>
      </c>
      <c r="J357" s="1299">
        <v>8850.2800000000007</v>
      </c>
      <c r="K357" s="1602">
        <f t="shared" si="28"/>
        <v>9342.2800000000007</v>
      </c>
      <c r="L357" s="947">
        <v>131788.71</v>
      </c>
      <c r="M357" s="190">
        <v>0</v>
      </c>
      <c r="N357" s="1398">
        <v>0</v>
      </c>
      <c r="O357" s="2394">
        <f t="shared" si="29"/>
        <v>131788.71</v>
      </c>
      <c r="P357" s="1398">
        <v>0</v>
      </c>
      <c r="Q357" s="1398">
        <v>53490.63</v>
      </c>
      <c r="R357" s="1398">
        <v>20271.64</v>
      </c>
      <c r="S357" s="1398">
        <v>0</v>
      </c>
      <c r="T357" s="947">
        <v>0</v>
      </c>
      <c r="U357" s="190">
        <v>798</v>
      </c>
      <c r="V357" s="2365">
        <f t="shared" si="30"/>
        <v>74560.26999999999</v>
      </c>
    </row>
    <row r="358" spans="1:22">
      <c r="A358" s="972">
        <f t="shared" si="26"/>
        <v>2023.01</v>
      </c>
      <c r="B358" s="223">
        <v>3255</v>
      </c>
      <c r="C358" s="1398">
        <v>66</v>
      </c>
      <c r="D358" s="1398">
        <v>5354.76</v>
      </c>
      <c r="E358" s="1398">
        <v>66</v>
      </c>
      <c r="F358" s="223">
        <v>0</v>
      </c>
      <c r="G358" s="3538">
        <v>0</v>
      </c>
      <c r="H358" s="2364">
        <f t="shared" si="27"/>
        <v>0</v>
      </c>
      <c r="I358" s="223">
        <v>647</v>
      </c>
      <c r="J358" s="1299">
        <v>0</v>
      </c>
      <c r="K358" s="1602">
        <f t="shared" si="28"/>
        <v>647</v>
      </c>
      <c r="L358" s="947">
        <v>112481.3</v>
      </c>
      <c r="M358" s="190">
        <v>0</v>
      </c>
      <c r="N358" s="1398">
        <v>0</v>
      </c>
      <c r="O358" s="2394">
        <f t="shared" si="29"/>
        <v>112481.3</v>
      </c>
      <c r="P358" s="1398">
        <v>0</v>
      </c>
      <c r="Q358" s="1398">
        <v>49808.49</v>
      </c>
      <c r="R358" s="1398">
        <v>18384.34</v>
      </c>
      <c r="S358" s="1398">
        <v>0</v>
      </c>
      <c r="T358" s="947">
        <v>0</v>
      </c>
      <c r="U358" s="190">
        <v>1515</v>
      </c>
      <c r="V358" s="2365">
        <f t="shared" si="30"/>
        <v>69707.83</v>
      </c>
    </row>
    <row r="359" spans="1:22">
      <c r="A359" s="972">
        <f t="shared" si="26"/>
        <v>2023.02</v>
      </c>
      <c r="B359" s="223">
        <v>1935</v>
      </c>
      <c r="C359" s="1398">
        <v>91</v>
      </c>
      <c r="D359" s="1398">
        <v>5138.76</v>
      </c>
      <c r="E359" s="1398">
        <v>81</v>
      </c>
      <c r="F359" s="223">
        <v>0</v>
      </c>
      <c r="G359" s="3538">
        <v>0</v>
      </c>
      <c r="H359" s="2364">
        <f t="shared" si="27"/>
        <v>0</v>
      </c>
      <c r="I359" s="223">
        <v>429</v>
      </c>
      <c r="J359" s="1299">
        <v>5762.08</v>
      </c>
      <c r="K359" s="1602">
        <f t="shared" si="28"/>
        <v>6191.08</v>
      </c>
      <c r="L359" s="947">
        <v>100370.90700000001</v>
      </c>
      <c r="M359" s="190">
        <v>0</v>
      </c>
      <c r="N359" s="1398">
        <v>0</v>
      </c>
      <c r="O359" s="2394">
        <f t="shared" si="29"/>
        <v>100370.90700000001</v>
      </c>
      <c r="P359" s="1398">
        <v>0</v>
      </c>
      <c r="Q359" s="1398">
        <v>47416.777000000002</v>
      </c>
      <c r="R359" s="1398">
        <v>17250.305</v>
      </c>
      <c r="S359" s="1398">
        <v>0</v>
      </c>
      <c r="T359" s="947">
        <v>0</v>
      </c>
      <c r="U359" s="190">
        <v>913</v>
      </c>
      <c r="V359" s="2365">
        <f t="shared" si="30"/>
        <v>65580.081999999995</v>
      </c>
    </row>
    <row r="360" spans="1:22">
      <c r="A360" s="972">
        <f t="shared" si="26"/>
        <v>2023.03</v>
      </c>
      <c r="B360" s="223">
        <v>1757</v>
      </c>
      <c r="C360" s="1398">
        <v>73</v>
      </c>
      <c r="D360" s="1398">
        <v>8143.28</v>
      </c>
      <c r="E360" s="1398">
        <v>36</v>
      </c>
      <c r="F360" s="223">
        <v>0</v>
      </c>
      <c r="G360" s="3538">
        <v>0</v>
      </c>
      <c r="H360" s="2364">
        <f t="shared" si="27"/>
        <v>0</v>
      </c>
      <c r="I360" s="223">
        <v>651</v>
      </c>
      <c r="J360" s="1299">
        <v>0</v>
      </c>
      <c r="K360" s="1602">
        <f t="shared" si="28"/>
        <v>651</v>
      </c>
      <c r="L360" s="947">
        <v>124557.87</v>
      </c>
      <c r="M360" s="190">
        <v>0</v>
      </c>
      <c r="N360" s="1398">
        <v>0</v>
      </c>
      <c r="O360" s="2394">
        <f t="shared" si="29"/>
        <v>124557.87</v>
      </c>
      <c r="P360" s="1398">
        <v>0</v>
      </c>
      <c r="Q360" s="1398">
        <v>55681.68</v>
      </c>
      <c r="R360" s="1398">
        <v>19077.419999999998</v>
      </c>
      <c r="S360" s="1398">
        <v>0</v>
      </c>
      <c r="T360" s="947">
        <v>0</v>
      </c>
      <c r="U360" s="190">
        <v>14468.1</v>
      </c>
      <c r="V360" s="2365">
        <f t="shared" si="30"/>
        <v>89227.200000000012</v>
      </c>
    </row>
    <row r="361" spans="1:22">
      <c r="A361" s="972">
        <f t="shared" si="26"/>
        <v>2023.04</v>
      </c>
      <c r="B361" s="223">
        <v>1363</v>
      </c>
      <c r="C361" s="1398">
        <v>63</v>
      </c>
      <c r="D361" s="1398">
        <v>6245.34</v>
      </c>
      <c r="E361" s="1398">
        <v>93</v>
      </c>
      <c r="F361" s="223">
        <v>0</v>
      </c>
      <c r="G361" s="3538">
        <v>0</v>
      </c>
      <c r="H361" s="2364">
        <f t="shared" si="27"/>
        <v>0</v>
      </c>
      <c r="I361" s="223">
        <v>903</v>
      </c>
      <c r="J361" s="1299">
        <v>0</v>
      </c>
      <c r="K361" s="1602">
        <f t="shared" si="28"/>
        <v>903</v>
      </c>
      <c r="L361" s="947">
        <v>127369.73999999999</v>
      </c>
      <c r="M361" s="190">
        <v>9361</v>
      </c>
      <c r="N361" s="1398">
        <v>0</v>
      </c>
      <c r="O361" s="2394">
        <f t="shared" si="29"/>
        <v>136730.74</v>
      </c>
      <c r="P361" s="1398">
        <v>0</v>
      </c>
      <c r="Q361" s="1398">
        <v>48649.07</v>
      </c>
      <c r="R361" s="1398">
        <v>17530.72</v>
      </c>
      <c r="S361" s="1398">
        <v>5205</v>
      </c>
      <c r="T361" s="947">
        <v>0</v>
      </c>
      <c r="U361" s="190">
        <v>10451.67</v>
      </c>
      <c r="V361" s="2365">
        <f t="shared" si="30"/>
        <v>81836.460000000006</v>
      </c>
    </row>
    <row r="362" spans="1:22">
      <c r="A362" s="972">
        <f t="shared" si="26"/>
        <v>2023.05</v>
      </c>
      <c r="B362" s="223">
        <v>1484</v>
      </c>
      <c r="C362" s="1398">
        <v>50</v>
      </c>
      <c r="D362" s="1398">
        <v>4733.5</v>
      </c>
      <c r="E362" s="1398">
        <v>101</v>
      </c>
      <c r="F362" s="223">
        <v>0</v>
      </c>
      <c r="G362" s="3538">
        <v>0</v>
      </c>
      <c r="H362" s="2364">
        <f t="shared" si="27"/>
        <v>0</v>
      </c>
      <c r="I362" s="223">
        <v>682</v>
      </c>
      <c r="J362" s="1299">
        <v>6103.2</v>
      </c>
      <c r="K362" s="1602">
        <f t="shared" si="28"/>
        <v>6785.2</v>
      </c>
      <c r="L362" s="947">
        <v>152611.76999999999</v>
      </c>
      <c r="M362" s="190">
        <v>10124</v>
      </c>
      <c r="N362" s="1398">
        <v>0</v>
      </c>
      <c r="O362" s="2394">
        <f t="shared" si="29"/>
        <v>162735.76999999999</v>
      </c>
      <c r="P362" s="1398">
        <v>0</v>
      </c>
      <c r="Q362" s="1398">
        <v>47804.4</v>
      </c>
      <c r="R362" s="1398">
        <v>17941.3</v>
      </c>
      <c r="S362" s="1398">
        <v>5204</v>
      </c>
      <c r="T362" s="947">
        <v>0</v>
      </c>
      <c r="U362" s="190">
        <v>12678.4</v>
      </c>
      <c r="V362" s="2365">
        <f t="shared" si="30"/>
        <v>83628.099999999991</v>
      </c>
    </row>
    <row r="363" spans="1:22">
      <c r="A363" s="972">
        <f t="shared" si="26"/>
        <v>2023.06</v>
      </c>
      <c r="B363" s="223">
        <v>1653</v>
      </c>
      <c r="C363" s="1398">
        <v>75</v>
      </c>
      <c r="D363" s="1398">
        <v>6131.46</v>
      </c>
      <c r="E363" s="1398">
        <v>102</v>
      </c>
      <c r="F363" s="223">
        <v>0</v>
      </c>
      <c r="G363" s="3538">
        <v>0</v>
      </c>
      <c r="H363" s="2364">
        <f t="shared" si="27"/>
        <v>0</v>
      </c>
      <c r="I363" s="223">
        <v>677</v>
      </c>
      <c r="J363" s="1299">
        <v>0</v>
      </c>
      <c r="K363" s="1602">
        <f t="shared" si="28"/>
        <v>677</v>
      </c>
      <c r="L363" s="947">
        <v>112989.75</v>
      </c>
      <c r="M363" s="190">
        <v>9878</v>
      </c>
      <c r="N363" s="1398">
        <v>0</v>
      </c>
      <c r="O363" s="2394">
        <f t="shared" si="29"/>
        <v>122867.75</v>
      </c>
      <c r="P363" s="1398">
        <v>0</v>
      </c>
      <c r="Q363" s="1398">
        <v>50064.69</v>
      </c>
      <c r="R363" s="1398">
        <v>17714.57</v>
      </c>
      <c r="S363" s="1398">
        <v>5391</v>
      </c>
      <c r="T363" s="947">
        <v>74</v>
      </c>
      <c r="U363" s="190">
        <v>17346.7</v>
      </c>
      <c r="V363" s="2365">
        <f t="shared" si="30"/>
        <v>90590.96</v>
      </c>
    </row>
    <row r="364" spans="1:22">
      <c r="A364" s="972">
        <f t="shared" si="26"/>
        <v>2023.07</v>
      </c>
      <c r="B364" s="223">
        <v>1954</v>
      </c>
      <c r="C364" s="1398">
        <v>69</v>
      </c>
      <c r="D364" s="1398">
        <v>4645.3999999999996</v>
      </c>
      <c r="E364" s="1398">
        <v>203</v>
      </c>
      <c r="F364" s="223">
        <v>0</v>
      </c>
      <c r="G364" s="3538">
        <v>0</v>
      </c>
      <c r="H364" s="2364">
        <f t="shared" si="27"/>
        <v>0</v>
      </c>
      <c r="I364" s="223">
        <v>1057</v>
      </c>
      <c r="J364" s="1299">
        <v>6122.63</v>
      </c>
      <c r="K364" s="1602">
        <f t="shared" si="28"/>
        <v>7179.63</v>
      </c>
      <c r="L364" s="947">
        <v>130346.97</v>
      </c>
      <c r="M364" s="190">
        <v>10637</v>
      </c>
      <c r="N364" s="1398">
        <v>0</v>
      </c>
      <c r="O364" s="2394">
        <f t="shared" si="29"/>
        <v>140983.97</v>
      </c>
      <c r="P364" s="1398">
        <v>0</v>
      </c>
      <c r="Q364" s="1398">
        <v>51023.14</v>
      </c>
      <c r="R364" s="1398">
        <v>19000.7</v>
      </c>
      <c r="S364" s="1398">
        <v>5392</v>
      </c>
      <c r="T364" s="947">
        <v>37</v>
      </c>
      <c r="U364" s="190">
        <v>10384.379999999999</v>
      </c>
      <c r="V364" s="2365">
        <f t="shared" si="30"/>
        <v>85837.22</v>
      </c>
    </row>
    <row r="365" spans="1:22">
      <c r="A365" s="972">
        <f t="shared" si="26"/>
        <v>2023.08</v>
      </c>
      <c r="B365" s="223">
        <v>2467</v>
      </c>
      <c r="C365" s="1398">
        <v>113</v>
      </c>
      <c r="D365" s="1398">
        <v>3274.4</v>
      </c>
      <c r="E365" s="1398">
        <v>92</v>
      </c>
      <c r="F365" s="223">
        <v>0</v>
      </c>
      <c r="G365" s="3538">
        <v>0</v>
      </c>
      <c r="H365" s="2364">
        <f t="shared" si="27"/>
        <v>0</v>
      </c>
      <c r="I365" s="223">
        <v>606</v>
      </c>
      <c r="J365" s="1299">
        <v>6245.4</v>
      </c>
      <c r="K365" s="1602">
        <f t="shared" si="28"/>
        <v>6851.4</v>
      </c>
      <c r="L365" s="947">
        <v>137037.67000000001</v>
      </c>
      <c r="M365" s="190">
        <v>10340</v>
      </c>
      <c r="N365" s="1398">
        <v>0</v>
      </c>
      <c r="O365" s="2394">
        <f t="shared" si="29"/>
        <v>147377.67000000001</v>
      </c>
      <c r="P365" s="1398">
        <v>0</v>
      </c>
      <c r="Q365" s="1398">
        <v>50307.51</v>
      </c>
      <c r="R365" s="1398">
        <v>18555.23</v>
      </c>
      <c r="S365" s="1398">
        <v>5392</v>
      </c>
      <c r="T365" s="947">
        <v>0</v>
      </c>
      <c r="U365" s="190">
        <v>11176.04</v>
      </c>
      <c r="V365" s="2365">
        <f t="shared" si="30"/>
        <v>85430.78</v>
      </c>
    </row>
    <row r="366" spans="1:22">
      <c r="A366" s="972">
        <f t="shared" si="26"/>
        <v>2023.09</v>
      </c>
      <c r="B366" s="223">
        <v>1310</v>
      </c>
      <c r="C366" s="1398">
        <v>113</v>
      </c>
      <c r="D366" s="1398">
        <v>3473.34</v>
      </c>
      <c r="E366" s="1398">
        <v>78</v>
      </c>
      <c r="F366" s="223">
        <v>0</v>
      </c>
      <c r="G366" s="3538">
        <v>0</v>
      </c>
      <c r="H366" s="2364">
        <f t="shared" si="27"/>
        <v>0</v>
      </c>
      <c r="I366" s="223">
        <v>499</v>
      </c>
      <c r="J366" s="1299">
        <v>0</v>
      </c>
      <c r="K366" s="1602">
        <f t="shared" si="28"/>
        <v>499</v>
      </c>
      <c r="L366" s="947">
        <v>124297.18000000001</v>
      </c>
      <c r="M366" s="190">
        <v>8712</v>
      </c>
      <c r="N366" s="1398">
        <v>0</v>
      </c>
      <c r="O366" s="2394">
        <f t="shared" si="29"/>
        <v>133009.18</v>
      </c>
      <c r="P366" s="1398">
        <v>0</v>
      </c>
      <c r="Q366" s="1398">
        <v>45904.51</v>
      </c>
      <c r="R366" s="1398">
        <v>18479.78</v>
      </c>
      <c r="S366" s="1398">
        <v>5173</v>
      </c>
      <c r="T366" s="947">
        <v>37</v>
      </c>
      <c r="U366" s="190">
        <v>13623.34</v>
      </c>
      <c r="V366" s="2365">
        <f t="shared" si="30"/>
        <v>83217.63</v>
      </c>
    </row>
    <row r="367" spans="1:22">
      <c r="A367" s="972">
        <f t="shared" si="26"/>
        <v>2023.1</v>
      </c>
      <c r="B367" s="223">
        <v>1785</v>
      </c>
      <c r="C367" s="1398">
        <v>109</v>
      </c>
      <c r="D367" s="1398">
        <v>2502.88</v>
      </c>
      <c r="E367" s="1398">
        <v>51</v>
      </c>
      <c r="F367" s="223">
        <v>0</v>
      </c>
      <c r="G367" s="3538">
        <v>0</v>
      </c>
      <c r="H367" s="2364">
        <f t="shared" si="27"/>
        <v>0</v>
      </c>
      <c r="I367" s="223">
        <v>666</v>
      </c>
      <c r="J367" s="1299">
        <v>584.08000000000004</v>
      </c>
      <c r="K367" s="1602">
        <f t="shared" si="28"/>
        <v>1250.08</v>
      </c>
      <c r="L367" s="947">
        <v>130910.46799999999</v>
      </c>
      <c r="M367" s="190">
        <v>8499</v>
      </c>
      <c r="N367" s="1398">
        <v>0</v>
      </c>
      <c r="O367" s="2394">
        <f t="shared" si="29"/>
        <v>139409.46799999999</v>
      </c>
      <c r="P367" s="1398">
        <v>0</v>
      </c>
      <c r="Q367" s="1398">
        <v>50196.610999999997</v>
      </c>
      <c r="R367" s="1398">
        <v>21970.628000000001</v>
      </c>
      <c r="S367" s="1398">
        <v>4880</v>
      </c>
      <c r="T367" s="947">
        <v>0</v>
      </c>
      <c r="U367" s="190">
        <v>16609.084999999999</v>
      </c>
      <c r="V367" s="2365">
        <f t="shared" si="30"/>
        <v>93656.323999999993</v>
      </c>
    </row>
    <row r="368" spans="1:22">
      <c r="A368" s="972">
        <f t="shared" si="26"/>
        <v>2023.11</v>
      </c>
      <c r="B368" s="223">
        <v>2198</v>
      </c>
      <c r="C368" s="1398">
        <v>64</v>
      </c>
      <c r="D368" s="1398">
        <v>2160.88</v>
      </c>
      <c r="E368" s="1398">
        <v>89</v>
      </c>
      <c r="F368" s="223">
        <v>0</v>
      </c>
      <c r="G368" s="3538">
        <v>0</v>
      </c>
      <c r="H368" s="2364">
        <f t="shared" si="27"/>
        <v>0</v>
      </c>
      <c r="I368" s="223">
        <v>574</v>
      </c>
      <c r="J368" s="1299">
        <v>0</v>
      </c>
      <c r="K368" s="1602">
        <f t="shared" si="28"/>
        <v>574</v>
      </c>
      <c r="L368" s="947">
        <v>134881.63399999999</v>
      </c>
      <c r="M368" s="190">
        <v>9224</v>
      </c>
      <c r="N368" s="1398">
        <v>0</v>
      </c>
      <c r="O368" s="2394">
        <f t="shared" si="29"/>
        <v>144105.63399999999</v>
      </c>
      <c r="P368" s="1398">
        <v>0</v>
      </c>
      <c r="Q368" s="1398">
        <v>49851.936000000002</v>
      </c>
      <c r="R368" s="1398">
        <v>18306.526000000002</v>
      </c>
      <c r="S368" s="1398">
        <v>5446</v>
      </c>
      <c r="T368" s="947">
        <v>0</v>
      </c>
      <c r="U368" s="190">
        <v>3732.62</v>
      </c>
      <c r="V368" s="2365">
        <f t="shared" si="30"/>
        <v>77337.081999999995</v>
      </c>
    </row>
    <row r="369" spans="1:22">
      <c r="A369" s="972">
        <f t="shared" si="26"/>
        <v>2023.12</v>
      </c>
      <c r="B369" s="223">
        <v>2217</v>
      </c>
      <c r="C369" s="1398">
        <v>78</v>
      </c>
      <c r="D369" s="1398">
        <v>1143.6600000000001</v>
      </c>
      <c r="E369" s="1398">
        <v>69</v>
      </c>
      <c r="F369" s="223">
        <v>0</v>
      </c>
      <c r="G369" s="3538">
        <v>0</v>
      </c>
      <c r="H369" s="2364">
        <f t="shared" si="27"/>
        <v>0</v>
      </c>
      <c r="I369" s="223">
        <v>105</v>
      </c>
      <c r="J369" s="1299">
        <v>0</v>
      </c>
      <c r="K369" s="1602">
        <f t="shared" si="28"/>
        <v>105</v>
      </c>
      <c r="L369" s="947">
        <v>113281.716</v>
      </c>
      <c r="M369" s="190">
        <v>8200</v>
      </c>
      <c r="N369" s="1398">
        <v>0</v>
      </c>
      <c r="O369" s="2394">
        <f t="shared" si="29"/>
        <v>121481.716</v>
      </c>
      <c r="P369" s="1398">
        <v>0</v>
      </c>
      <c r="Q369" s="1398">
        <v>51021.362999999998</v>
      </c>
      <c r="R369" s="1398">
        <v>17917.84</v>
      </c>
      <c r="S369" s="1398">
        <v>4650</v>
      </c>
      <c r="T369" s="947">
        <v>120.7</v>
      </c>
      <c r="U369" s="190">
        <v>9535.86</v>
      </c>
      <c r="V369" s="2365">
        <f t="shared" si="30"/>
        <v>83245.762999999992</v>
      </c>
    </row>
    <row r="370" spans="1:22">
      <c r="A370" s="972">
        <f t="shared" si="26"/>
        <v>2024.01</v>
      </c>
      <c r="B370" s="223">
        <v>1918</v>
      </c>
      <c r="C370" s="1398">
        <v>80</v>
      </c>
      <c r="D370" s="1398">
        <v>1167.8600000000001</v>
      </c>
      <c r="E370" s="1398">
        <v>27</v>
      </c>
      <c r="F370" s="223">
        <v>0</v>
      </c>
      <c r="G370" s="3538">
        <v>0</v>
      </c>
      <c r="H370" s="2364">
        <f t="shared" si="27"/>
        <v>0</v>
      </c>
      <c r="I370" s="223">
        <v>117</v>
      </c>
      <c r="J370" s="1299">
        <v>0</v>
      </c>
      <c r="K370" s="1602">
        <f t="shared" si="28"/>
        <v>117</v>
      </c>
      <c r="L370" s="947">
        <v>110424.061</v>
      </c>
      <c r="M370" s="190">
        <v>7398</v>
      </c>
      <c r="N370" s="1398">
        <v>0</v>
      </c>
      <c r="O370" s="2394">
        <f t="shared" si="29"/>
        <v>117822.061</v>
      </c>
      <c r="P370" s="1398">
        <v>0</v>
      </c>
      <c r="Q370" s="1398">
        <v>50007.256000000001</v>
      </c>
      <c r="R370" s="1398">
        <v>14410.227999999999</v>
      </c>
      <c r="S370" s="1398">
        <v>20694.78</v>
      </c>
      <c r="T370" s="947">
        <v>103</v>
      </c>
      <c r="U370" s="190">
        <v>16828.78</v>
      </c>
      <c r="V370" s="2365">
        <f t="shared" si="30"/>
        <v>102044.04399999999</v>
      </c>
    </row>
    <row r="371" spans="1:22">
      <c r="A371" s="972">
        <f t="shared" ref="A371:A434" si="31">A359+1</f>
        <v>2024.02</v>
      </c>
      <c r="B371" s="223">
        <v>2174</v>
      </c>
      <c r="C371" s="1398">
        <v>0</v>
      </c>
      <c r="D371" s="1398">
        <v>1356.46</v>
      </c>
      <c r="E371" s="1398">
        <v>69</v>
      </c>
      <c r="F371" s="223">
        <v>0</v>
      </c>
      <c r="G371" s="3538">
        <v>0</v>
      </c>
      <c r="H371" s="2364">
        <f t="shared" si="27"/>
        <v>0</v>
      </c>
      <c r="I371" s="223">
        <v>29</v>
      </c>
      <c r="J371" s="1299">
        <v>0</v>
      </c>
      <c r="K371" s="1602">
        <f t="shared" si="28"/>
        <v>29</v>
      </c>
      <c r="L371" s="947">
        <v>105134.56700000001</v>
      </c>
      <c r="M371" s="190">
        <v>6248</v>
      </c>
      <c r="N371" s="1398">
        <v>0</v>
      </c>
      <c r="O371" s="2394">
        <f t="shared" si="29"/>
        <v>111382.56700000001</v>
      </c>
      <c r="P371" s="1398">
        <v>0</v>
      </c>
      <c r="Q371" s="1398">
        <v>48749.463000000003</v>
      </c>
      <c r="R371" s="1398">
        <v>14331.53</v>
      </c>
      <c r="S371" s="1398">
        <v>16084.91</v>
      </c>
      <c r="T371" s="947">
        <v>0</v>
      </c>
      <c r="U371" s="190">
        <v>1128</v>
      </c>
      <c r="V371" s="2365">
        <f t="shared" si="30"/>
        <v>80293.903000000006</v>
      </c>
    </row>
    <row r="372" spans="1:22">
      <c r="A372" s="972">
        <f t="shared" si="31"/>
        <v>2024.03</v>
      </c>
      <c r="B372" s="223">
        <v>2239</v>
      </c>
      <c r="C372" s="1398">
        <v>108</v>
      </c>
      <c r="D372" s="1398">
        <v>2451.96</v>
      </c>
      <c r="E372" s="1398">
        <v>71</v>
      </c>
      <c r="F372" s="223">
        <v>0</v>
      </c>
      <c r="G372" s="3538">
        <v>0</v>
      </c>
      <c r="H372" s="2364">
        <f t="shared" si="27"/>
        <v>0</v>
      </c>
      <c r="I372" s="223">
        <v>238</v>
      </c>
      <c r="J372" s="1299">
        <v>0</v>
      </c>
      <c r="K372" s="1602">
        <f t="shared" si="28"/>
        <v>238</v>
      </c>
      <c r="L372" s="947">
        <v>122732.57</v>
      </c>
      <c r="M372" s="190">
        <v>5647</v>
      </c>
      <c r="N372" s="1398">
        <v>0</v>
      </c>
      <c r="O372" s="2394">
        <f t="shared" si="29"/>
        <v>128379.57</v>
      </c>
      <c r="P372" s="1398">
        <v>0</v>
      </c>
      <c r="Q372" s="1398">
        <v>51440.51</v>
      </c>
      <c r="R372" s="1398">
        <v>14841.49</v>
      </c>
      <c r="S372" s="1398">
        <v>18898.246999999999</v>
      </c>
      <c r="T372" s="947">
        <v>1195</v>
      </c>
      <c r="U372" s="190">
        <v>1280</v>
      </c>
      <c r="V372" s="2365">
        <f t="shared" si="30"/>
        <v>87655.247000000003</v>
      </c>
    </row>
    <row r="373" spans="1:22">
      <c r="A373" s="972">
        <f t="shared" si="31"/>
        <v>2024.04</v>
      </c>
      <c r="B373" s="223">
        <v>1488</v>
      </c>
      <c r="C373" s="1398">
        <v>37</v>
      </c>
      <c r="D373" s="1398">
        <v>2891.67</v>
      </c>
      <c r="E373" s="1398">
        <v>56</v>
      </c>
      <c r="F373" s="223">
        <v>0</v>
      </c>
      <c r="G373" s="3538">
        <v>0</v>
      </c>
      <c r="H373" s="2364">
        <f t="shared" si="27"/>
        <v>0</v>
      </c>
      <c r="I373" s="223">
        <v>162</v>
      </c>
      <c r="J373" s="1299">
        <v>0</v>
      </c>
      <c r="K373" s="1602">
        <f t="shared" si="28"/>
        <v>162</v>
      </c>
      <c r="L373" s="947">
        <v>135137.51</v>
      </c>
      <c r="M373" s="190">
        <v>5833</v>
      </c>
      <c r="N373" s="1398">
        <v>0</v>
      </c>
      <c r="O373" s="2394">
        <f t="shared" si="29"/>
        <v>140970.51</v>
      </c>
      <c r="P373" s="1398">
        <v>0</v>
      </c>
      <c r="Q373" s="1398">
        <v>47895.979999999996</v>
      </c>
      <c r="R373" s="1398">
        <v>13540.98</v>
      </c>
      <c r="S373" s="1398">
        <v>14466.01</v>
      </c>
      <c r="T373" s="947">
        <v>0</v>
      </c>
      <c r="U373" s="190">
        <v>1675</v>
      </c>
      <c r="V373" s="2365">
        <f t="shared" si="30"/>
        <v>77577.969999999987</v>
      </c>
    </row>
    <row r="374" spans="1:22">
      <c r="A374" s="972">
        <f>A362+1</f>
        <v>2024.05</v>
      </c>
      <c r="B374" s="223">
        <v>1557</v>
      </c>
      <c r="C374" s="1398">
        <v>68</v>
      </c>
      <c r="D374" s="1398">
        <v>2464.7600000000002</v>
      </c>
      <c r="E374" s="1398">
        <v>200</v>
      </c>
      <c r="F374" s="223">
        <v>0</v>
      </c>
      <c r="G374" s="3538">
        <v>0</v>
      </c>
      <c r="H374" s="2364">
        <f t="shared" si="27"/>
        <v>0</v>
      </c>
      <c r="I374" s="223">
        <v>103</v>
      </c>
      <c r="J374" s="1299">
        <v>0</v>
      </c>
      <c r="K374" s="1602">
        <f t="shared" si="28"/>
        <v>103</v>
      </c>
      <c r="L374" s="947">
        <v>154969.84</v>
      </c>
      <c r="M374" s="190">
        <v>6972</v>
      </c>
      <c r="N374" s="1398">
        <v>0</v>
      </c>
      <c r="O374" s="2394">
        <f t="shared" si="29"/>
        <v>161941.84</v>
      </c>
      <c r="P374" s="1398">
        <v>0</v>
      </c>
      <c r="Q374" s="1398">
        <v>53003.224000000002</v>
      </c>
      <c r="R374" s="1398">
        <v>15056.164000000001</v>
      </c>
      <c r="S374" s="1398">
        <v>23708.31</v>
      </c>
      <c r="T374" s="947">
        <v>0</v>
      </c>
      <c r="U374" s="190">
        <v>2350</v>
      </c>
      <c r="V374" s="2365">
        <f t="shared" si="30"/>
        <v>94117.698000000004</v>
      </c>
    </row>
    <row r="375" spans="1:22">
      <c r="A375" s="972">
        <f t="shared" si="31"/>
        <v>2024.06</v>
      </c>
      <c r="B375" s="223">
        <v>1565</v>
      </c>
      <c r="C375" s="1398">
        <v>63</v>
      </c>
      <c r="D375" s="1398">
        <v>3449.26</v>
      </c>
      <c r="E375" s="1398">
        <v>133</v>
      </c>
      <c r="F375" s="223">
        <v>0</v>
      </c>
      <c r="G375" s="3538">
        <v>0</v>
      </c>
      <c r="H375" s="2364">
        <f t="shared" si="27"/>
        <v>0</v>
      </c>
      <c r="I375" s="223">
        <v>889.26</v>
      </c>
      <c r="J375" s="1299">
        <v>0</v>
      </c>
      <c r="K375" s="1602">
        <f t="shared" si="28"/>
        <v>889.26</v>
      </c>
      <c r="L375" s="947">
        <v>124426.22</v>
      </c>
      <c r="M375" s="190">
        <v>6438</v>
      </c>
      <c r="N375" s="1398">
        <v>0</v>
      </c>
      <c r="O375" s="2394">
        <f t="shared" si="29"/>
        <v>130864.22</v>
      </c>
      <c r="P375" s="1398">
        <v>0</v>
      </c>
      <c r="Q375" s="1398">
        <v>50465.85</v>
      </c>
      <c r="R375" s="1398">
        <v>15000.01</v>
      </c>
      <c r="S375" s="1398">
        <v>22573.65</v>
      </c>
      <c r="T375" s="947">
        <v>0</v>
      </c>
      <c r="U375" s="190">
        <v>746.3</v>
      </c>
      <c r="V375" s="2365">
        <f t="shared" si="30"/>
        <v>88785.810000000012</v>
      </c>
    </row>
    <row r="376" spans="1:22">
      <c r="A376" s="972">
        <f t="shared" si="31"/>
        <v>2024.07</v>
      </c>
      <c r="B376" s="223">
        <v>2339</v>
      </c>
      <c r="C376" s="1398">
        <v>55</v>
      </c>
      <c r="D376" s="1398">
        <v>4736.6400000000003</v>
      </c>
      <c r="E376" s="1398">
        <v>158</v>
      </c>
      <c r="F376" s="223">
        <v>0</v>
      </c>
      <c r="G376" s="3538">
        <v>0</v>
      </c>
      <c r="H376" s="2364">
        <f t="shared" si="27"/>
        <v>0</v>
      </c>
      <c r="I376" s="223">
        <v>581</v>
      </c>
      <c r="J376" s="1299">
        <v>0</v>
      </c>
      <c r="K376" s="1602">
        <f t="shared" si="28"/>
        <v>581</v>
      </c>
      <c r="L376" s="947">
        <v>130103.49</v>
      </c>
      <c r="M376" s="190">
        <v>5281</v>
      </c>
      <c r="N376" s="1398">
        <v>0</v>
      </c>
      <c r="O376" s="2394">
        <f t="shared" si="29"/>
        <v>135384.49</v>
      </c>
      <c r="P376" s="1398">
        <v>0</v>
      </c>
      <c r="Q376" s="1398">
        <v>54498.09</v>
      </c>
      <c r="R376" s="1398">
        <v>16549.79</v>
      </c>
      <c r="S376" s="1398">
        <v>25053.800999999999</v>
      </c>
      <c r="T376" s="947">
        <v>110.56</v>
      </c>
      <c r="U376" s="190">
        <v>0</v>
      </c>
      <c r="V376" s="2365">
        <f t="shared" si="30"/>
        <v>96212.241000000009</v>
      </c>
    </row>
    <row r="377" spans="1:22">
      <c r="A377" s="972">
        <f t="shared" si="31"/>
        <v>2024.08</v>
      </c>
      <c r="B377" s="223">
        <v>2062</v>
      </c>
      <c r="C377" s="1398">
        <v>51</v>
      </c>
      <c r="D377" s="1398">
        <v>4163.82</v>
      </c>
      <c r="E377" s="1398">
        <v>125</v>
      </c>
      <c r="F377" s="223">
        <v>0</v>
      </c>
      <c r="G377" s="3538">
        <v>0</v>
      </c>
      <c r="H377" s="2364">
        <f t="shared" si="27"/>
        <v>0</v>
      </c>
      <c r="I377" s="223">
        <v>483</v>
      </c>
      <c r="J377" s="1299">
        <v>0</v>
      </c>
      <c r="K377" s="1602">
        <f t="shared" si="28"/>
        <v>483</v>
      </c>
      <c r="L377" s="947">
        <v>121124.95</v>
      </c>
      <c r="M377" s="190">
        <v>5730</v>
      </c>
      <c r="N377" s="1398">
        <v>0</v>
      </c>
      <c r="O377" s="2394">
        <f t="shared" si="29"/>
        <v>126854.95</v>
      </c>
      <c r="P377" s="1398">
        <v>0</v>
      </c>
      <c r="Q377" s="1398">
        <v>53448.36</v>
      </c>
      <c r="R377" s="1398">
        <v>16370.72</v>
      </c>
      <c r="S377" s="1398">
        <v>23753.606</v>
      </c>
      <c r="T377" s="947">
        <v>347</v>
      </c>
      <c r="U377" s="190">
        <v>0</v>
      </c>
      <c r="V377" s="2365">
        <f t="shared" si="30"/>
        <v>93919.686000000002</v>
      </c>
    </row>
    <row r="378" spans="1:22">
      <c r="A378" s="972">
        <f t="shared" si="31"/>
        <v>2024.09</v>
      </c>
      <c r="B378" s="223">
        <v>2166</v>
      </c>
      <c r="C378" s="1398">
        <v>66</v>
      </c>
      <c r="D378" s="1398">
        <v>6292.84</v>
      </c>
      <c r="E378" s="1398">
        <v>92</v>
      </c>
      <c r="F378" s="223">
        <v>0</v>
      </c>
      <c r="G378" s="3538">
        <v>0</v>
      </c>
      <c r="H378" s="2364">
        <f t="shared" si="27"/>
        <v>0</v>
      </c>
      <c r="I378" s="223">
        <v>436</v>
      </c>
      <c r="J378" s="1299">
        <v>0</v>
      </c>
      <c r="K378" s="1602">
        <f t="shared" si="28"/>
        <v>436</v>
      </c>
      <c r="L378" s="947">
        <v>115069.84899999999</v>
      </c>
      <c r="M378" s="190">
        <v>0</v>
      </c>
      <c r="N378" s="1398">
        <v>0</v>
      </c>
      <c r="O378" s="2394">
        <f>L378+M378+N378</f>
        <v>115069.84899999999</v>
      </c>
      <c r="P378" s="1398">
        <v>0</v>
      </c>
      <c r="Q378" s="1398">
        <v>50273.337</v>
      </c>
      <c r="R378" s="1398">
        <v>15523.597</v>
      </c>
      <c r="S378" s="1398">
        <v>16568.148000000001</v>
      </c>
      <c r="T378" s="947">
        <v>971.7</v>
      </c>
      <c r="U378" s="190">
        <v>0</v>
      </c>
      <c r="V378" s="2365">
        <f t="shared" si="30"/>
        <v>83336.781999999992</v>
      </c>
    </row>
    <row r="379" spans="1:22">
      <c r="A379" s="972">
        <f t="shared" si="31"/>
        <v>2024.1</v>
      </c>
      <c r="B379" s="223">
        <v>2872</v>
      </c>
      <c r="C379" s="1398">
        <v>88</v>
      </c>
      <c r="D379" s="1398">
        <v>5831.66</v>
      </c>
      <c r="E379" s="1398">
        <v>70</v>
      </c>
      <c r="F379" s="223">
        <v>0</v>
      </c>
      <c r="G379" s="3538">
        <v>0</v>
      </c>
      <c r="H379" s="2364">
        <f t="shared" si="27"/>
        <v>0</v>
      </c>
      <c r="I379" s="223">
        <v>525</v>
      </c>
      <c r="J379" s="1299">
        <v>0</v>
      </c>
      <c r="K379" s="1602">
        <f t="shared" si="28"/>
        <v>525</v>
      </c>
      <c r="L379" s="947">
        <v>125251.378</v>
      </c>
      <c r="M379" s="190">
        <v>5766</v>
      </c>
      <c r="N379" s="1398">
        <v>0</v>
      </c>
      <c r="O379" s="2394">
        <f t="shared" si="29"/>
        <v>131017.378</v>
      </c>
      <c r="P379" s="1398">
        <v>0</v>
      </c>
      <c r="Q379" s="1398">
        <v>54942.373999999996</v>
      </c>
      <c r="R379" s="1398">
        <v>17559.969999999998</v>
      </c>
      <c r="S379" s="1398">
        <v>20136.59</v>
      </c>
      <c r="T379" s="947">
        <v>0</v>
      </c>
      <c r="U379" s="190">
        <v>892</v>
      </c>
      <c r="V379" s="2365">
        <f t="shared" si="30"/>
        <v>93530.933999999994</v>
      </c>
    </row>
    <row r="380" spans="1:22">
      <c r="A380" s="972">
        <f t="shared" si="31"/>
        <v>2024.11</v>
      </c>
      <c r="B380" s="223">
        <v>3000</v>
      </c>
      <c r="C380" s="1398">
        <v>32</v>
      </c>
      <c r="D380" s="1398">
        <v>5655.68</v>
      </c>
      <c r="E380" s="1398">
        <v>62</v>
      </c>
      <c r="F380" s="223">
        <v>0</v>
      </c>
      <c r="G380" s="3538">
        <v>0</v>
      </c>
      <c r="H380" s="2364">
        <f t="shared" si="27"/>
        <v>0</v>
      </c>
      <c r="I380" s="223">
        <v>627</v>
      </c>
      <c r="J380" s="1299">
        <v>0</v>
      </c>
      <c r="K380" s="1602">
        <f t="shared" si="28"/>
        <v>627</v>
      </c>
      <c r="L380" s="947">
        <v>135872.82999999999</v>
      </c>
      <c r="M380" s="190">
        <v>5814</v>
      </c>
      <c r="N380" s="1398">
        <v>0</v>
      </c>
      <c r="O380" s="2394">
        <f t="shared" si="29"/>
        <v>141686.82999999999</v>
      </c>
      <c r="P380" s="1398">
        <v>0</v>
      </c>
      <c r="Q380" s="1398">
        <v>54211.6</v>
      </c>
      <c r="R380" s="1398">
        <v>17623.97</v>
      </c>
      <c r="S380" s="1398">
        <v>22649</v>
      </c>
      <c r="T380" s="947">
        <v>0</v>
      </c>
      <c r="U380" s="190">
        <v>0</v>
      </c>
      <c r="V380" s="2365">
        <f t="shared" si="30"/>
        <v>94484.57</v>
      </c>
    </row>
    <row r="381" spans="1:22">
      <c r="A381" s="972">
        <f t="shared" si="31"/>
        <v>2024.12</v>
      </c>
      <c r="B381" s="223">
        <v>2577</v>
      </c>
      <c r="C381" s="1398">
        <v>91</v>
      </c>
      <c r="D381" s="1398">
        <v>4508</v>
      </c>
      <c r="E381" s="1398">
        <v>75</v>
      </c>
      <c r="F381" s="223">
        <v>0</v>
      </c>
      <c r="G381" s="3538">
        <v>0</v>
      </c>
      <c r="H381" s="2364">
        <f t="shared" si="27"/>
        <v>0</v>
      </c>
      <c r="I381" s="223">
        <v>571</v>
      </c>
      <c r="J381" s="1299">
        <v>0</v>
      </c>
      <c r="K381" s="1602">
        <f t="shared" si="28"/>
        <v>571</v>
      </c>
      <c r="L381" s="947">
        <v>123538.79</v>
      </c>
      <c r="M381" s="190">
        <v>5210</v>
      </c>
      <c r="N381" s="1398">
        <v>0</v>
      </c>
      <c r="O381" s="2394">
        <f t="shared" si="29"/>
        <v>128748.79</v>
      </c>
      <c r="P381" s="1398">
        <v>0</v>
      </c>
      <c r="Q381" s="1398">
        <v>56020.82</v>
      </c>
      <c r="R381" s="1398">
        <v>18431.66</v>
      </c>
      <c r="S381" s="1398">
        <v>17996.300000000003</v>
      </c>
      <c r="T381" s="947">
        <v>0</v>
      </c>
      <c r="U381" s="190">
        <v>0</v>
      </c>
      <c r="V381" s="2365">
        <f t="shared" si="30"/>
        <v>92448.78</v>
      </c>
    </row>
    <row r="382" spans="1:22">
      <c r="A382" s="972">
        <f t="shared" si="31"/>
        <v>2025.01</v>
      </c>
      <c r="B382" s="223">
        <v>3127</v>
      </c>
      <c r="C382" s="1398">
        <v>68</v>
      </c>
      <c r="D382" s="1398">
        <v>5708.02</v>
      </c>
      <c r="E382" s="1398">
        <v>46</v>
      </c>
      <c r="F382" s="223">
        <v>0</v>
      </c>
      <c r="G382" s="3538">
        <v>0</v>
      </c>
      <c r="H382" s="2364">
        <f t="shared" si="27"/>
        <v>0</v>
      </c>
      <c r="I382" s="223">
        <v>282</v>
      </c>
      <c r="J382" s="1299">
        <v>0</v>
      </c>
      <c r="K382" s="1602">
        <f t="shared" si="28"/>
        <v>282</v>
      </c>
      <c r="L382" s="947">
        <v>109832.234</v>
      </c>
      <c r="M382" s="190">
        <v>5339</v>
      </c>
      <c r="N382" s="1398">
        <v>0</v>
      </c>
      <c r="O382" s="2394">
        <f t="shared" si="29"/>
        <v>115171.234</v>
      </c>
      <c r="P382" s="1398">
        <v>0</v>
      </c>
      <c r="Q382" s="1398">
        <v>51799.792000000001</v>
      </c>
      <c r="R382" s="1398">
        <v>17308.544000000002</v>
      </c>
      <c r="S382" s="1398">
        <v>21737.832999999999</v>
      </c>
      <c r="T382" s="947">
        <v>0</v>
      </c>
      <c r="U382" s="190">
        <v>1631</v>
      </c>
      <c r="V382" s="2365">
        <f t="shared" si="30"/>
        <v>92477.169000000009</v>
      </c>
    </row>
    <row r="383" spans="1:22">
      <c r="A383" s="972">
        <f t="shared" si="31"/>
        <v>2025.02</v>
      </c>
      <c r="B383" s="223">
        <v>2876</v>
      </c>
      <c r="C383" s="1398">
        <v>97</v>
      </c>
      <c r="D383" s="1398">
        <v>3606.7</v>
      </c>
      <c r="E383" s="1398">
        <v>30.880000000000003</v>
      </c>
      <c r="F383" s="223">
        <v>0</v>
      </c>
      <c r="G383" s="3538">
        <v>0</v>
      </c>
      <c r="H383" s="2364">
        <f t="shared" si="27"/>
        <v>0</v>
      </c>
      <c r="I383" s="223">
        <v>392</v>
      </c>
      <c r="J383" s="1299">
        <v>0</v>
      </c>
      <c r="K383" s="1602">
        <f t="shared" si="28"/>
        <v>392</v>
      </c>
      <c r="L383" s="947">
        <v>104317.58</v>
      </c>
      <c r="M383" s="190">
        <v>5441</v>
      </c>
      <c r="N383" s="1398">
        <v>0</v>
      </c>
      <c r="O383" s="2394">
        <f t="shared" si="29"/>
        <v>109758.58</v>
      </c>
      <c r="P383" s="1398">
        <v>0</v>
      </c>
      <c r="Q383" s="1398">
        <v>47024.31</v>
      </c>
      <c r="R383" s="1398">
        <v>15907.75</v>
      </c>
      <c r="S383" s="1398">
        <v>5814.2420000000002</v>
      </c>
      <c r="T383" s="947">
        <v>0</v>
      </c>
      <c r="U383" s="190">
        <v>0</v>
      </c>
      <c r="V383" s="2365">
        <f t="shared" si="30"/>
        <v>68746.301999999996</v>
      </c>
    </row>
    <row r="384" spans="1:22">
      <c r="A384" s="972">
        <f t="shared" si="31"/>
        <v>2025.03</v>
      </c>
      <c r="B384" s="223">
        <v>2351</v>
      </c>
      <c r="C384" s="1398">
        <v>158</v>
      </c>
      <c r="D384" s="1398">
        <v>4877.54</v>
      </c>
      <c r="E384" s="1398">
        <v>90</v>
      </c>
      <c r="F384" s="223">
        <v>0</v>
      </c>
      <c r="G384" s="3538">
        <v>0</v>
      </c>
      <c r="H384" s="2364">
        <f t="shared" si="27"/>
        <v>0</v>
      </c>
      <c r="I384" s="223">
        <v>410</v>
      </c>
      <c r="J384" s="1299">
        <v>0</v>
      </c>
      <c r="K384" s="1602">
        <f t="shared" si="28"/>
        <v>410</v>
      </c>
      <c r="L384" s="947">
        <v>124278.20600000001</v>
      </c>
      <c r="M384" s="190">
        <v>6706</v>
      </c>
      <c r="N384" s="1398">
        <v>0</v>
      </c>
      <c r="O384" s="2394">
        <f t="shared" si="29"/>
        <v>130984.20600000001</v>
      </c>
      <c r="P384" s="1398">
        <v>0</v>
      </c>
      <c r="Q384" s="1398">
        <v>51651.247000000003</v>
      </c>
      <c r="R384" s="1398">
        <v>17691.911</v>
      </c>
      <c r="S384" s="1398">
        <v>13247.66</v>
      </c>
      <c r="T384" s="947">
        <v>0</v>
      </c>
      <c r="U384" s="190">
        <v>0</v>
      </c>
      <c r="V384" s="2365">
        <f t="shared" si="30"/>
        <v>82590.817999999999</v>
      </c>
    </row>
    <row r="385" spans="1:22">
      <c r="A385" s="972">
        <f t="shared" si="31"/>
        <v>2025.04</v>
      </c>
      <c r="B385" s="223">
        <v>2365</v>
      </c>
      <c r="C385" s="1398">
        <v>57</v>
      </c>
      <c r="D385" s="1398">
        <v>5233.08</v>
      </c>
      <c r="E385" s="1398">
        <v>106</v>
      </c>
      <c r="F385" s="223">
        <v>0</v>
      </c>
      <c r="G385" s="3538">
        <v>0</v>
      </c>
      <c r="H385" s="2364">
        <f t="shared" si="27"/>
        <v>0</v>
      </c>
      <c r="I385" s="223">
        <v>275</v>
      </c>
      <c r="J385" s="1299">
        <v>0</v>
      </c>
      <c r="K385" s="1602">
        <f t="shared" si="28"/>
        <v>275</v>
      </c>
      <c r="L385" s="947">
        <v>132974.48799999998</v>
      </c>
      <c r="M385" s="190">
        <v>11166</v>
      </c>
      <c r="N385" s="1398">
        <v>0</v>
      </c>
      <c r="O385" s="2394">
        <f t="shared" si="29"/>
        <v>144140.48799999998</v>
      </c>
      <c r="P385" s="1398">
        <v>0</v>
      </c>
      <c r="Q385" s="1398">
        <v>49720.006999999998</v>
      </c>
      <c r="R385" s="1398">
        <v>16844.093000000001</v>
      </c>
      <c r="S385" s="1398">
        <v>20850.686000000002</v>
      </c>
      <c r="T385" s="947">
        <v>0</v>
      </c>
      <c r="U385" s="190">
        <v>149</v>
      </c>
      <c r="V385" s="2365">
        <f t="shared" si="30"/>
        <v>87563.786000000007</v>
      </c>
    </row>
    <row r="386" spans="1:22">
      <c r="A386" s="972">
        <f t="shared" si="31"/>
        <v>2025.05</v>
      </c>
      <c r="B386" s="223">
        <v>2402</v>
      </c>
      <c r="C386" s="1398">
        <v>66</v>
      </c>
      <c r="D386" s="1398">
        <v>4978.6400000000003</v>
      </c>
      <c r="E386" s="1398">
        <v>110</v>
      </c>
      <c r="F386" s="223">
        <v>0</v>
      </c>
      <c r="G386" s="3538">
        <v>0</v>
      </c>
      <c r="H386" s="2364">
        <f t="shared" ref="H386" si="32">F386+G386</f>
        <v>0</v>
      </c>
      <c r="I386" s="223">
        <v>439</v>
      </c>
      <c r="J386" s="1299">
        <v>0</v>
      </c>
      <c r="K386" s="1602">
        <f t="shared" ref="K386" si="33">I386+J386</f>
        <v>439</v>
      </c>
      <c r="L386" s="947">
        <v>151680.19</v>
      </c>
      <c r="M386" s="190">
        <v>8734</v>
      </c>
      <c r="N386" s="1398">
        <v>0</v>
      </c>
      <c r="O386" s="2394">
        <f t="shared" ref="O386" si="34">L386+M386+N386</f>
        <v>160414.19</v>
      </c>
      <c r="P386" s="1398">
        <v>0</v>
      </c>
      <c r="Q386" s="1398">
        <v>52025.83</v>
      </c>
      <c r="R386" s="1398">
        <v>17643.77</v>
      </c>
      <c r="S386" s="1398">
        <v>19434.900000000001</v>
      </c>
      <c r="T386" s="947">
        <v>0</v>
      </c>
      <c r="U386" s="190">
        <v>0</v>
      </c>
      <c r="V386" s="2365">
        <f t="shared" ref="V386" si="35">SUM(P386:U386)</f>
        <v>89104.5</v>
      </c>
    </row>
    <row r="387" spans="1:22">
      <c r="A387" s="972">
        <f t="shared" si="31"/>
        <v>2025.06</v>
      </c>
      <c r="B387" s="223">
        <v>2515</v>
      </c>
      <c r="C387" s="1398">
        <v>89</v>
      </c>
      <c r="D387" s="1398">
        <v>5166.1400000000003</v>
      </c>
      <c r="E387" s="1398">
        <v>113</v>
      </c>
      <c r="F387" s="223">
        <v>0</v>
      </c>
      <c r="G387" s="3538">
        <v>0</v>
      </c>
      <c r="H387" s="2364">
        <f t="shared" si="27"/>
        <v>0</v>
      </c>
      <c r="I387" s="223">
        <v>499</v>
      </c>
      <c r="J387" s="1299">
        <v>0</v>
      </c>
      <c r="K387" s="1602">
        <f t="shared" si="28"/>
        <v>499</v>
      </c>
      <c r="L387" s="947">
        <v>123250.12</v>
      </c>
      <c r="M387" s="190">
        <v>9905</v>
      </c>
      <c r="N387" s="1398">
        <v>0</v>
      </c>
      <c r="O387" s="2394">
        <f t="shared" si="29"/>
        <v>133155.12</v>
      </c>
      <c r="P387" s="1398">
        <v>0</v>
      </c>
      <c r="Q387" s="190">
        <v>50397.59</v>
      </c>
      <c r="R387" s="1398">
        <v>17210.63</v>
      </c>
      <c r="S387" s="1398">
        <v>24067.9</v>
      </c>
      <c r="T387" s="947">
        <v>46</v>
      </c>
      <c r="U387" s="190">
        <v>0</v>
      </c>
      <c r="V387" s="2365">
        <f t="shared" si="30"/>
        <v>91722.12</v>
      </c>
    </row>
    <row r="388" spans="1:22">
      <c r="A388" s="972">
        <f t="shared" si="31"/>
        <v>2025.07</v>
      </c>
      <c r="B388" s="223">
        <v>3014</v>
      </c>
      <c r="C388" s="1398">
        <v>51</v>
      </c>
      <c r="D388" s="1398">
        <v>5481.5599999999995</v>
      </c>
      <c r="E388" s="1398">
        <v>166.75</v>
      </c>
      <c r="F388" s="223">
        <v>0</v>
      </c>
      <c r="G388" s="3538">
        <v>0</v>
      </c>
      <c r="H388" s="2364">
        <f t="shared" si="27"/>
        <v>0</v>
      </c>
      <c r="I388" s="223">
        <v>678.87</v>
      </c>
      <c r="J388" s="1299">
        <v>0</v>
      </c>
      <c r="K388" s="1602">
        <f t="shared" si="28"/>
        <v>678.87</v>
      </c>
      <c r="L388" s="947">
        <v>133399.514</v>
      </c>
      <c r="M388" s="190">
        <v>8448</v>
      </c>
      <c r="N388" s="1398">
        <v>0</v>
      </c>
      <c r="O388" s="2394">
        <f t="shared" si="29"/>
        <v>141847.514</v>
      </c>
      <c r="P388" s="1398">
        <v>0</v>
      </c>
      <c r="Q388" s="190">
        <v>52398.128999999994</v>
      </c>
      <c r="R388" s="1398">
        <v>18809.511999999999</v>
      </c>
      <c r="S388" s="1398">
        <v>13241.94</v>
      </c>
      <c r="T388" s="947">
        <v>0</v>
      </c>
      <c r="U388" s="190">
        <v>0</v>
      </c>
      <c r="V388" s="2365">
        <f t="shared" si="30"/>
        <v>84449.580999999991</v>
      </c>
    </row>
    <row r="389" spans="1:22">
      <c r="A389" s="972">
        <f t="shared" si="31"/>
        <v>2025.08</v>
      </c>
      <c r="B389" s="223">
        <v>2468</v>
      </c>
      <c r="C389" s="1398">
        <v>50</v>
      </c>
      <c r="D389" s="1398">
        <v>5828.18</v>
      </c>
      <c r="E389" s="1398">
        <v>119.92</v>
      </c>
      <c r="F389" s="223">
        <v>0</v>
      </c>
      <c r="G389" s="3538">
        <v>0</v>
      </c>
      <c r="H389" s="2364">
        <f t="shared" si="27"/>
        <v>0</v>
      </c>
      <c r="I389" s="223">
        <v>621</v>
      </c>
      <c r="J389" s="1299">
        <v>0</v>
      </c>
      <c r="K389" s="1602">
        <f t="shared" si="28"/>
        <v>621</v>
      </c>
      <c r="L389" s="947">
        <v>129339.31299999999</v>
      </c>
      <c r="M389" s="190">
        <v>8384</v>
      </c>
      <c r="N389" s="1398">
        <v>0</v>
      </c>
      <c r="O389" s="2394">
        <f t="shared" si="29"/>
        <v>137723.31299999999</v>
      </c>
      <c r="P389" s="1398">
        <v>0</v>
      </c>
      <c r="Q389" s="1398">
        <v>53696.374000000003</v>
      </c>
      <c r="R389" s="1398">
        <v>18576.788</v>
      </c>
      <c r="S389" s="1398">
        <v>16738.777000000002</v>
      </c>
      <c r="T389" s="947">
        <v>0</v>
      </c>
      <c r="U389" s="190">
        <v>501.7</v>
      </c>
      <c r="V389" s="2365">
        <f t="shared" si="30"/>
        <v>89513.63900000001</v>
      </c>
    </row>
    <row r="390" spans="1:22">
      <c r="A390" s="972">
        <f t="shared" si="31"/>
        <v>2025.09</v>
      </c>
      <c r="B390" s="223">
        <v>2099</v>
      </c>
      <c r="C390" s="1398">
        <v>11</v>
      </c>
      <c r="D390" s="1398">
        <v>5821.35</v>
      </c>
      <c r="E390" s="1398">
        <v>106.92</v>
      </c>
      <c r="F390" s="223">
        <v>0</v>
      </c>
      <c r="G390" s="3538">
        <v>0</v>
      </c>
      <c r="H390" s="2364">
        <f t="shared" si="27"/>
        <v>0</v>
      </c>
      <c r="I390" s="223">
        <v>429</v>
      </c>
      <c r="J390" s="1299">
        <v>0</v>
      </c>
      <c r="K390" s="1602">
        <f t="shared" si="28"/>
        <v>429</v>
      </c>
      <c r="L390" s="947">
        <v>129108.34</v>
      </c>
      <c r="M390" s="190">
        <v>8441.5</v>
      </c>
      <c r="N390" s="1398">
        <v>0</v>
      </c>
      <c r="O390" s="2394">
        <f t="shared" si="29"/>
        <v>137549.84</v>
      </c>
      <c r="P390" s="1398">
        <v>0</v>
      </c>
      <c r="Q390" s="1398">
        <v>64091.868999999999</v>
      </c>
      <c r="R390" s="1398">
        <v>21464.568000000003</v>
      </c>
      <c r="S390" s="1398">
        <v>4333</v>
      </c>
      <c r="T390" s="947">
        <v>0</v>
      </c>
      <c r="U390" s="190">
        <v>0</v>
      </c>
      <c r="V390" s="2365">
        <f t="shared" si="30"/>
        <v>89889.437000000005</v>
      </c>
    </row>
    <row r="391" spans="1:22">
      <c r="A391" s="972">
        <f t="shared" si="31"/>
        <v>2025.1</v>
      </c>
      <c r="B391" s="223">
        <v>1414</v>
      </c>
      <c r="C391" s="1398">
        <v>41</v>
      </c>
      <c r="D391" s="1398">
        <v>7709.12</v>
      </c>
      <c r="E391" s="1398">
        <v>3.97</v>
      </c>
      <c r="F391" s="223">
        <v>0</v>
      </c>
      <c r="G391" s="3538">
        <v>0</v>
      </c>
      <c r="H391" s="2364">
        <f t="shared" si="27"/>
        <v>0</v>
      </c>
      <c r="I391" s="223">
        <v>454</v>
      </c>
      <c r="J391" s="1299">
        <v>0</v>
      </c>
      <c r="K391" s="1602">
        <f t="shared" si="28"/>
        <v>454</v>
      </c>
      <c r="L391" s="947">
        <v>137343.655</v>
      </c>
      <c r="M391" s="190">
        <v>10824.41</v>
      </c>
      <c r="N391" s="1398">
        <v>0</v>
      </c>
      <c r="O391" s="2394">
        <f t="shared" si="29"/>
        <v>148168.065</v>
      </c>
      <c r="P391" s="1398">
        <v>0</v>
      </c>
      <c r="Q391" s="1398">
        <v>54605.872000000003</v>
      </c>
      <c r="R391" s="1398">
        <v>19082.02</v>
      </c>
      <c r="S391" s="1398">
        <v>18905.620999999999</v>
      </c>
      <c r="T391" s="947">
        <v>0</v>
      </c>
      <c r="U391" s="190">
        <v>0</v>
      </c>
      <c r="V391" s="2365">
        <f t="shared" si="30"/>
        <v>92593.513000000006</v>
      </c>
    </row>
    <row r="392" spans="1:22">
      <c r="A392" s="972">
        <f t="shared" si="31"/>
        <v>2025.11</v>
      </c>
      <c r="B392" s="223">
        <v>1670.82</v>
      </c>
      <c r="C392" s="1398">
        <v>15</v>
      </c>
      <c r="D392" s="1398">
        <v>7674.64</v>
      </c>
      <c r="E392" s="1398">
        <v>84.14</v>
      </c>
      <c r="F392" s="223">
        <v>0</v>
      </c>
      <c r="G392" s="3538">
        <v>0</v>
      </c>
      <c r="H392" s="2364">
        <f t="shared" si="27"/>
        <v>0</v>
      </c>
      <c r="I392" s="223">
        <v>358</v>
      </c>
      <c r="J392" s="1299">
        <v>0</v>
      </c>
      <c r="K392" s="1602">
        <f t="shared" si="28"/>
        <v>358</v>
      </c>
      <c r="L392" s="947">
        <v>136839.91500000001</v>
      </c>
      <c r="M392" s="190">
        <v>12741.39</v>
      </c>
      <c r="N392" s="1398">
        <v>0</v>
      </c>
      <c r="O392" s="2394">
        <f t="shared" si="29"/>
        <v>149581.30499999999</v>
      </c>
      <c r="P392" s="1398">
        <v>0</v>
      </c>
      <c r="Q392" s="1398">
        <v>50487.97</v>
      </c>
      <c r="R392" s="1398">
        <v>17955.96</v>
      </c>
      <c r="S392" s="1398">
        <v>27533.150999999998</v>
      </c>
      <c r="T392" s="947">
        <v>0</v>
      </c>
      <c r="U392" s="190">
        <v>0</v>
      </c>
      <c r="V392" s="2365">
        <f t="shared" si="30"/>
        <v>95977.080999999991</v>
      </c>
    </row>
    <row r="393" spans="1:22">
      <c r="A393" s="972">
        <f t="shared" si="31"/>
        <v>2025.12</v>
      </c>
      <c r="B393" s="223">
        <v>998</v>
      </c>
      <c r="C393" s="1398">
        <v>13</v>
      </c>
      <c r="D393" s="1398">
        <v>3949.92</v>
      </c>
      <c r="E393" s="1398">
        <v>69.75</v>
      </c>
      <c r="F393" s="223">
        <v>0</v>
      </c>
      <c r="G393" s="3538">
        <v>0</v>
      </c>
      <c r="H393" s="2364">
        <f t="shared" si="27"/>
        <v>0</v>
      </c>
      <c r="I393" s="223">
        <v>403</v>
      </c>
      <c r="J393" s="1299">
        <v>0</v>
      </c>
      <c r="K393" s="1602">
        <f t="shared" si="28"/>
        <v>403</v>
      </c>
      <c r="L393" s="947">
        <v>133329.66099999999</v>
      </c>
      <c r="M393" s="190">
        <v>11283.05</v>
      </c>
      <c r="N393" s="1398">
        <v>0</v>
      </c>
      <c r="O393" s="2394">
        <f t="shared" si="29"/>
        <v>144612.71099999998</v>
      </c>
      <c r="P393" s="1398">
        <v>0</v>
      </c>
      <c r="Q393" s="1398">
        <v>55276.031999999999</v>
      </c>
      <c r="R393" s="1398">
        <v>20034.683999999997</v>
      </c>
      <c r="S393" s="1398">
        <v>33621.948000000004</v>
      </c>
      <c r="T393" s="947">
        <v>0</v>
      </c>
      <c r="U393" s="190">
        <v>0</v>
      </c>
      <c r="V393" s="2365">
        <f t="shared" si="30"/>
        <v>108932.664</v>
      </c>
    </row>
    <row r="394" spans="1:22">
      <c r="A394" s="972">
        <f t="shared" si="31"/>
        <v>2026.01</v>
      </c>
      <c r="B394" s="223">
        <v>3172</v>
      </c>
      <c r="C394" s="1398">
        <v>23.65</v>
      </c>
      <c r="D394" s="1398">
        <v>3545.88</v>
      </c>
      <c r="E394" s="1398">
        <v>69.77</v>
      </c>
      <c r="F394" s="223">
        <v>0</v>
      </c>
      <c r="G394" s="3538">
        <v>0</v>
      </c>
      <c r="H394" s="2364">
        <f t="shared" ref="H394:H410" si="36">F394+G394</f>
        <v>0</v>
      </c>
      <c r="I394" s="223">
        <v>147</v>
      </c>
      <c r="J394" s="1299">
        <v>0</v>
      </c>
      <c r="K394" s="1602">
        <f t="shared" ref="K394:K410" si="37">I394+J394</f>
        <v>147</v>
      </c>
      <c r="L394" s="947">
        <v>126221.73000000001</v>
      </c>
      <c r="M394" s="190">
        <v>6361</v>
      </c>
      <c r="N394" s="1398">
        <v>0</v>
      </c>
      <c r="O394" s="2394">
        <f>L394+M394+N394</f>
        <v>132582.73000000001</v>
      </c>
      <c r="P394" s="1398">
        <v>0</v>
      </c>
      <c r="Q394" s="1398">
        <v>50301.36</v>
      </c>
      <c r="R394" s="1398">
        <v>18454.400000000001</v>
      </c>
      <c r="S394" s="1398">
        <v>19657.773000000001</v>
      </c>
      <c r="T394" s="947">
        <v>0</v>
      </c>
      <c r="U394" s="190">
        <v>0</v>
      </c>
      <c r="V394" s="2365">
        <f t="shared" ref="V394:V410" si="38">SUM(P394:U394)</f>
        <v>88413.53300000001</v>
      </c>
    </row>
    <row r="395" spans="1:22">
      <c r="A395" s="972">
        <f t="shared" si="31"/>
        <v>2026.02</v>
      </c>
      <c r="B395" s="223">
        <v>3190</v>
      </c>
      <c r="C395" s="1398">
        <v>19</v>
      </c>
      <c r="D395" s="1398">
        <v>3318.0299999999997</v>
      </c>
      <c r="E395" s="1398">
        <v>28.83</v>
      </c>
      <c r="F395" s="223">
        <v>0</v>
      </c>
      <c r="G395" s="3538">
        <v>0</v>
      </c>
      <c r="H395" s="2364">
        <f t="shared" si="36"/>
        <v>0</v>
      </c>
      <c r="I395" s="223">
        <v>1043</v>
      </c>
      <c r="J395" s="1299">
        <v>0</v>
      </c>
      <c r="K395" s="1602">
        <f t="shared" si="37"/>
        <v>1043</v>
      </c>
      <c r="L395" s="947">
        <v>113767.95999999999</v>
      </c>
      <c r="M395" s="190">
        <v>9186.73</v>
      </c>
      <c r="N395" s="1398">
        <v>0</v>
      </c>
      <c r="O395" s="2394">
        <f>L395+M395+N395</f>
        <v>122954.68999999999</v>
      </c>
      <c r="P395" s="1398">
        <v>0</v>
      </c>
      <c r="Q395" s="1398">
        <v>45939.43</v>
      </c>
      <c r="R395" s="1398">
        <v>17135.89</v>
      </c>
      <c r="S395" s="1398">
        <v>8876.5679999999993</v>
      </c>
      <c r="T395" s="947">
        <v>0</v>
      </c>
      <c r="U395" s="190">
        <v>0</v>
      </c>
      <c r="V395" s="2365">
        <f t="shared" si="38"/>
        <v>71951.888000000006</v>
      </c>
    </row>
    <row r="396" spans="1:22">
      <c r="A396" s="972">
        <f t="shared" si="31"/>
        <v>2026.03</v>
      </c>
      <c r="B396" s="223" t="e">
        <v>#N/A</v>
      </c>
      <c r="C396" s="1398" t="e">
        <v>#N/A</v>
      </c>
      <c r="D396" s="1398" t="e">
        <v>#N/A</v>
      </c>
      <c r="E396" s="1398" t="e">
        <v>#N/A</v>
      </c>
      <c r="F396" s="223" t="e">
        <v>#N/A</v>
      </c>
      <c r="G396" s="3538" t="e">
        <v>#N/A</v>
      </c>
      <c r="H396" s="2364" t="e">
        <f t="shared" si="36"/>
        <v>#N/A</v>
      </c>
      <c r="I396" s="223" t="e">
        <v>#N/A</v>
      </c>
      <c r="J396" s="1299" t="e">
        <v>#N/A</v>
      </c>
      <c r="K396" s="1602" t="e">
        <f t="shared" si="37"/>
        <v>#N/A</v>
      </c>
      <c r="L396" s="947" t="e">
        <v>#N/A</v>
      </c>
      <c r="M396" s="190" t="e">
        <v>#N/A</v>
      </c>
      <c r="N396" s="1398" t="e">
        <v>#N/A</v>
      </c>
      <c r="O396" s="2394" t="e">
        <f t="shared" ref="O396:O410" si="39">L396+M396+N396</f>
        <v>#N/A</v>
      </c>
      <c r="P396" s="1398" t="e">
        <v>#N/A</v>
      </c>
      <c r="Q396" s="1398" t="e">
        <v>#N/A</v>
      </c>
      <c r="R396" s="1398" t="e">
        <v>#N/A</v>
      </c>
      <c r="S396" s="1398" t="e">
        <v>#N/A</v>
      </c>
      <c r="T396" s="947" t="e">
        <v>#N/A</v>
      </c>
      <c r="U396" s="190" t="e">
        <v>#N/A</v>
      </c>
      <c r="V396" s="2365" t="e">
        <f t="shared" si="38"/>
        <v>#N/A</v>
      </c>
    </row>
    <row r="397" spans="1:22">
      <c r="A397" s="972">
        <f t="shared" si="31"/>
        <v>2026.04</v>
      </c>
      <c r="B397" s="223" t="e">
        <v>#N/A</v>
      </c>
      <c r="C397" s="1398" t="e">
        <v>#N/A</v>
      </c>
      <c r="D397" s="1398" t="e">
        <v>#N/A</v>
      </c>
      <c r="E397" s="1398" t="e">
        <v>#N/A</v>
      </c>
      <c r="F397" s="223" t="e">
        <v>#N/A</v>
      </c>
      <c r="G397" s="3538" t="e">
        <v>#N/A</v>
      </c>
      <c r="H397" s="2364" t="e">
        <f t="shared" si="36"/>
        <v>#N/A</v>
      </c>
      <c r="I397" s="223" t="e">
        <v>#N/A</v>
      </c>
      <c r="J397" s="1299" t="e">
        <v>#N/A</v>
      </c>
      <c r="K397" s="1602" t="e">
        <f t="shared" si="37"/>
        <v>#N/A</v>
      </c>
      <c r="L397" s="947" t="e">
        <v>#N/A</v>
      </c>
      <c r="M397" s="190" t="e">
        <v>#N/A</v>
      </c>
      <c r="N397" s="1398" t="e">
        <v>#N/A</v>
      </c>
      <c r="O397" s="2394" t="e">
        <f>L397+M397+N397</f>
        <v>#N/A</v>
      </c>
      <c r="P397" s="1398" t="e">
        <v>#N/A</v>
      </c>
      <c r="Q397" s="1398" t="e">
        <v>#N/A</v>
      </c>
      <c r="R397" s="1398" t="e">
        <v>#N/A</v>
      </c>
      <c r="S397" s="1398" t="e">
        <v>#N/A</v>
      </c>
      <c r="T397" s="947" t="e">
        <v>#N/A</v>
      </c>
      <c r="U397" s="190" t="e">
        <v>#N/A</v>
      </c>
      <c r="V397" s="2365" t="e">
        <f t="shared" si="38"/>
        <v>#N/A</v>
      </c>
    </row>
    <row r="398" spans="1:22">
      <c r="A398" s="972">
        <f t="shared" si="31"/>
        <v>2026.05</v>
      </c>
      <c r="B398" s="223" t="e">
        <v>#N/A</v>
      </c>
      <c r="C398" s="1398" t="e">
        <v>#N/A</v>
      </c>
      <c r="D398" s="1398" t="e">
        <v>#N/A</v>
      </c>
      <c r="E398" s="1398" t="e">
        <v>#N/A</v>
      </c>
      <c r="F398" s="223" t="e">
        <v>#N/A</v>
      </c>
      <c r="G398" s="3538" t="e">
        <v>#N/A</v>
      </c>
      <c r="H398" s="2364" t="e">
        <f t="shared" si="36"/>
        <v>#N/A</v>
      </c>
      <c r="I398" s="223" t="e">
        <v>#N/A</v>
      </c>
      <c r="J398" s="1299" t="e">
        <v>#N/A</v>
      </c>
      <c r="K398" s="1602" t="e">
        <f t="shared" si="37"/>
        <v>#N/A</v>
      </c>
      <c r="L398" s="947" t="e">
        <v>#N/A</v>
      </c>
      <c r="M398" s="190" t="e">
        <v>#N/A</v>
      </c>
      <c r="N398" s="1398" t="e">
        <v>#N/A</v>
      </c>
      <c r="O398" s="2394" t="e">
        <f t="shared" si="39"/>
        <v>#N/A</v>
      </c>
      <c r="P398" s="1398" t="e">
        <v>#N/A</v>
      </c>
      <c r="Q398" s="1398" t="e">
        <v>#N/A</v>
      </c>
      <c r="R398" s="1398" t="e">
        <v>#N/A</v>
      </c>
      <c r="S398" s="1398" t="e">
        <v>#N/A</v>
      </c>
      <c r="T398" s="947" t="e">
        <v>#N/A</v>
      </c>
      <c r="U398" s="190" t="e">
        <v>#N/A</v>
      </c>
      <c r="V398" s="2365" t="e">
        <f t="shared" si="38"/>
        <v>#N/A</v>
      </c>
    </row>
    <row r="399" spans="1:22">
      <c r="A399" s="972">
        <f t="shared" si="31"/>
        <v>2026.06</v>
      </c>
      <c r="B399" s="223" t="e">
        <v>#N/A</v>
      </c>
      <c r="C399" s="1398" t="e">
        <v>#N/A</v>
      </c>
      <c r="D399" s="1398" t="e">
        <v>#N/A</v>
      </c>
      <c r="E399" s="1398" t="e">
        <v>#N/A</v>
      </c>
      <c r="F399" s="223" t="e">
        <v>#N/A</v>
      </c>
      <c r="G399" s="3538" t="e">
        <v>#N/A</v>
      </c>
      <c r="H399" s="2364" t="e">
        <f t="shared" si="36"/>
        <v>#N/A</v>
      </c>
      <c r="I399" s="223" t="e">
        <v>#N/A</v>
      </c>
      <c r="J399" s="1299" t="e">
        <v>#N/A</v>
      </c>
      <c r="K399" s="1602" t="e">
        <f t="shared" si="37"/>
        <v>#N/A</v>
      </c>
      <c r="L399" s="947" t="e">
        <v>#N/A</v>
      </c>
      <c r="M399" s="190" t="e">
        <v>#N/A</v>
      </c>
      <c r="N399" s="1398" t="e">
        <v>#N/A</v>
      </c>
      <c r="O399" s="2394" t="e">
        <f t="shared" si="39"/>
        <v>#N/A</v>
      </c>
      <c r="P399" s="1398" t="e">
        <v>#N/A</v>
      </c>
      <c r="Q399" s="1398" t="e">
        <v>#N/A</v>
      </c>
      <c r="R399" s="1398" t="e">
        <v>#N/A</v>
      </c>
      <c r="S399" s="1398" t="e">
        <v>#N/A</v>
      </c>
      <c r="T399" s="947" t="e">
        <v>#N/A</v>
      </c>
      <c r="U399" s="190" t="e">
        <v>#N/A</v>
      </c>
      <c r="V399" s="2365" t="e">
        <f t="shared" si="38"/>
        <v>#N/A</v>
      </c>
    </row>
    <row r="400" spans="1:22">
      <c r="A400" s="972">
        <f t="shared" si="31"/>
        <v>2026.07</v>
      </c>
      <c r="B400" s="223" t="e">
        <v>#N/A</v>
      </c>
      <c r="C400" s="1398" t="e">
        <v>#N/A</v>
      </c>
      <c r="D400" s="1398" t="e">
        <v>#N/A</v>
      </c>
      <c r="E400" s="1398" t="e">
        <v>#N/A</v>
      </c>
      <c r="F400" s="223" t="e">
        <v>#N/A</v>
      </c>
      <c r="G400" s="3538" t="e">
        <v>#N/A</v>
      </c>
      <c r="H400" s="2364" t="e">
        <f t="shared" si="36"/>
        <v>#N/A</v>
      </c>
      <c r="I400" s="223" t="e">
        <v>#N/A</v>
      </c>
      <c r="J400" s="1299" t="e">
        <v>#N/A</v>
      </c>
      <c r="K400" s="1602" t="e">
        <f t="shared" si="37"/>
        <v>#N/A</v>
      </c>
      <c r="L400" s="947" t="e">
        <v>#N/A</v>
      </c>
      <c r="M400" s="190" t="e">
        <v>#N/A</v>
      </c>
      <c r="N400" s="1398" t="e">
        <v>#N/A</v>
      </c>
      <c r="O400" s="2394" t="e">
        <f t="shared" si="39"/>
        <v>#N/A</v>
      </c>
      <c r="P400" s="1398" t="e">
        <v>#N/A</v>
      </c>
      <c r="Q400" s="1398" t="e">
        <v>#N/A</v>
      </c>
      <c r="R400" s="1398" t="e">
        <v>#N/A</v>
      </c>
      <c r="S400" s="1398" t="e">
        <v>#N/A</v>
      </c>
      <c r="T400" s="947" t="e">
        <v>#N/A</v>
      </c>
      <c r="U400" s="190" t="e">
        <v>#N/A</v>
      </c>
      <c r="V400" s="2365" t="e">
        <f t="shared" si="38"/>
        <v>#N/A</v>
      </c>
    </row>
    <row r="401" spans="1:22">
      <c r="A401" s="972">
        <f t="shared" si="31"/>
        <v>2026.08</v>
      </c>
      <c r="B401" s="223" t="e">
        <v>#N/A</v>
      </c>
      <c r="C401" s="1398" t="e">
        <v>#N/A</v>
      </c>
      <c r="D401" s="1398" t="e">
        <v>#N/A</v>
      </c>
      <c r="E401" s="1398" t="e">
        <v>#N/A</v>
      </c>
      <c r="F401" s="223" t="e">
        <v>#N/A</v>
      </c>
      <c r="G401" s="3538" t="e">
        <v>#N/A</v>
      </c>
      <c r="H401" s="2364" t="e">
        <f t="shared" si="36"/>
        <v>#N/A</v>
      </c>
      <c r="I401" s="223" t="e">
        <v>#N/A</v>
      </c>
      <c r="J401" s="1299" t="e">
        <v>#N/A</v>
      </c>
      <c r="K401" s="1602" t="e">
        <f t="shared" si="37"/>
        <v>#N/A</v>
      </c>
      <c r="L401" s="947" t="e">
        <v>#N/A</v>
      </c>
      <c r="M401" s="190" t="e">
        <v>#N/A</v>
      </c>
      <c r="N401" s="1398" t="e">
        <v>#N/A</v>
      </c>
      <c r="O401" s="2394" t="e">
        <f t="shared" si="39"/>
        <v>#N/A</v>
      </c>
      <c r="P401" s="1398" t="e">
        <v>#N/A</v>
      </c>
      <c r="Q401" s="1398" t="e">
        <v>#N/A</v>
      </c>
      <c r="R401" s="1398" t="e">
        <v>#N/A</v>
      </c>
      <c r="S401" s="1398" t="e">
        <v>#N/A</v>
      </c>
      <c r="T401" s="947" t="e">
        <v>#N/A</v>
      </c>
      <c r="U401" s="190" t="e">
        <v>#N/A</v>
      </c>
      <c r="V401" s="2365" t="e">
        <f t="shared" si="38"/>
        <v>#N/A</v>
      </c>
    </row>
    <row r="402" spans="1:22">
      <c r="A402" s="972">
        <f t="shared" si="31"/>
        <v>2026.09</v>
      </c>
      <c r="B402" s="223" t="e">
        <v>#N/A</v>
      </c>
      <c r="C402" s="1398" t="e">
        <v>#N/A</v>
      </c>
      <c r="D402" s="1398" t="e">
        <v>#N/A</v>
      </c>
      <c r="E402" s="1398" t="e">
        <v>#N/A</v>
      </c>
      <c r="F402" s="223" t="e">
        <v>#N/A</v>
      </c>
      <c r="G402" s="3538" t="e">
        <v>#N/A</v>
      </c>
      <c r="H402" s="2364" t="e">
        <f t="shared" si="36"/>
        <v>#N/A</v>
      </c>
      <c r="I402" s="223" t="e">
        <v>#N/A</v>
      </c>
      <c r="J402" s="1299" t="e">
        <v>#N/A</v>
      </c>
      <c r="K402" s="1602" t="e">
        <f t="shared" si="37"/>
        <v>#N/A</v>
      </c>
      <c r="L402" s="947" t="e">
        <v>#N/A</v>
      </c>
      <c r="M402" s="190" t="e">
        <v>#N/A</v>
      </c>
      <c r="N402" s="1398" t="e">
        <v>#N/A</v>
      </c>
      <c r="O402" s="2394" t="e">
        <f t="shared" si="39"/>
        <v>#N/A</v>
      </c>
      <c r="P402" s="1398" t="e">
        <v>#N/A</v>
      </c>
      <c r="Q402" s="1398" t="e">
        <v>#N/A</v>
      </c>
      <c r="R402" s="1398" t="e">
        <v>#N/A</v>
      </c>
      <c r="S402" s="1398" t="e">
        <v>#N/A</v>
      </c>
      <c r="T402" s="947" t="e">
        <v>#N/A</v>
      </c>
      <c r="U402" s="190" t="e">
        <v>#N/A</v>
      </c>
      <c r="V402" s="2365" t="e">
        <f t="shared" si="38"/>
        <v>#N/A</v>
      </c>
    </row>
    <row r="403" spans="1:22">
      <c r="A403" s="972">
        <f t="shared" si="31"/>
        <v>2026.1</v>
      </c>
      <c r="B403" s="223" t="e">
        <v>#N/A</v>
      </c>
      <c r="C403" s="1398" t="e">
        <v>#N/A</v>
      </c>
      <c r="D403" s="1398" t="e">
        <v>#N/A</v>
      </c>
      <c r="E403" s="1398" t="e">
        <v>#N/A</v>
      </c>
      <c r="F403" s="223" t="e">
        <v>#N/A</v>
      </c>
      <c r="G403" s="3538" t="e">
        <v>#N/A</v>
      </c>
      <c r="H403" s="2364" t="e">
        <f t="shared" si="36"/>
        <v>#N/A</v>
      </c>
      <c r="I403" s="223" t="e">
        <v>#N/A</v>
      </c>
      <c r="J403" s="1299" t="e">
        <v>#N/A</v>
      </c>
      <c r="K403" s="1602" t="e">
        <f t="shared" si="37"/>
        <v>#N/A</v>
      </c>
      <c r="L403" s="947" t="e">
        <v>#N/A</v>
      </c>
      <c r="M403" s="190" t="e">
        <v>#N/A</v>
      </c>
      <c r="N403" s="1398" t="e">
        <v>#N/A</v>
      </c>
      <c r="O403" s="2394" t="e">
        <f t="shared" si="39"/>
        <v>#N/A</v>
      </c>
      <c r="P403" s="1398" t="e">
        <v>#N/A</v>
      </c>
      <c r="Q403" s="1398" t="e">
        <v>#N/A</v>
      </c>
      <c r="R403" s="1398" t="e">
        <v>#N/A</v>
      </c>
      <c r="S403" s="1398" t="e">
        <v>#N/A</v>
      </c>
      <c r="T403" s="947" t="e">
        <v>#N/A</v>
      </c>
      <c r="U403" s="190" t="e">
        <v>#N/A</v>
      </c>
      <c r="V403" s="2365" t="e">
        <f t="shared" si="38"/>
        <v>#N/A</v>
      </c>
    </row>
    <row r="404" spans="1:22">
      <c r="A404" s="972">
        <f t="shared" si="31"/>
        <v>2026.11</v>
      </c>
      <c r="B404" s="223" t="e">
        <v>#N/A</v>
      </c>
      <c r="C404" s="1398" t="e">
        <v>#N/A</v>
      </c>
      <c r="D404" s="1398" t="e">
        <v>#N/A</v>
      </c>
      <c r="E404" s="1398" t="e">
        <v>#N/A</v>
      </c>
      <c r="F404" s="223" t="e">
        <v>#N/A</v>
      </c>
      <c r="G404" s="3538" t="e">
        <v>#N/A</v>
      </c>
      <c r="H404" s="2364" t="e">
        <f t="shared" si="36"/>
        <v>#N/A</v>
      </c>
      <c r="I404" s="223" t="e">
        <v>#N/A</v>
      </c>
      <c r="J404" s="1299" t="e">
        <v>#N/A</v>
      </c>
      <c r="K404" s="1602" t="e">
        <f t="shared" si="37"/>
        <v>#N/A</v>
      </c>
      <c r="L404" s="947" t="e">
        <v>#N/A</v>
      </c>
      <c r="M404" s="190" t="e">
        <v>#N/A</v>
      </c>
      <c r="N404" s="1398" t="e">
        <v>#N/A</v>
      </c>
      <c r="O404" s="2394" t="e">
        <f t="shared" si="39"/>
        <v>#N/A</v>
      </c>
      <c r="P404" s="1398" t="e">
        <v>#N/A</v>
      </c>
      <c r="Q404" s="1398" t="e">
        <v>#N/A</v>
      </c>
      <c r="R404" s="1398" t="e">
        <v>#N/A</v>
      </c>
      <c r="S404" s="1398" t="e">
        <v>#N/A</v>
      </c>
      <c r="T404" s="947" t="e">
        <v>#N/A</v>
      </c>
      <c r="U404" s="190" t="e">
        <v>#N/A</v>
      </c>
      <c r="V404" s="2365" t="e">
        <f t="shared" si="38"/>
        <v>#N/A</v>
      </c>
    </row>
    <row r="405" spans="1:22">
      <c r="A405" s="972">
        <f t="shared" si="31"/>
        <v>2026.12</v>
      </c>
      <c r="B405" s="223" t="e">
        <v>#N/A</v>
      </c>
      <c r="C405" s="1398" t="e">
        <v>#N/A</v>
      </c>
      <c r="D405" s="1398" t="e">
        <v>#N/A</v>
      </c>
      <c r="E405" s="1398" t="e">
        <v>#N/A</v>
      </c>
      <c r="F405" s="223" t="e">
        <v>#N/A</v>
      </c>
      <c r="G405" s="3538" t="e">
        <v>#N/A</v>
      </c>
      <c r="H405" s="2364" t="e">
        <f t="shared" si="36"/>
        <v>#N/A</v>
      </c>
      <c r="I405" s="223" t="e">
        <v>#N/A</v>
      </c>
      <c r="J405" s="1299" t="e">
        <v>#N/A</v>
      </c>
      <c r="K405" s="1602" t="e">
        <f t="shared" si="37"/>
        <v>#N/A</v>
      </c>
      <c r="L405" s="947" t="e">
        <v>#N/A</v>
      </c>
      <c r="M405" s="190" t="e">
        <v>#N/A</v>
      </c>
      <c r="N405" s="1398" t="e">
        <v>#N/A</v>
      </c>
      <c r="O405" s="2394" t="e">
        <f t="shared" si="39"/>
        <v>#N/A</v>
      </c>
      <c r="P405" s="1398" t="e">
        <v>#N/A</v>
      </c>
      <c r="Q405" s="1398" t="e">
        <v>#N/A</v>
      </c>
      <c r="R405" s="1398" t="e">
        <v>#N/A</v>
      </c>
      <c r="S405" s="1398" t="e">
        <v>#N/A</v>
      </c>
      <c r="T405" s="947" t="e">
        <v>#N/A</v>
      </c>
      <c r="U405" s="190" t="e">
        <v>#N/A</v>
      </c>
      <c r="V405" s="2365" t="e">
        <f t="shared" si="38"/>
        <v>#N/A</v>
      </c>
    </row>
    <row r="406" spans="1:22">
      <c r="A406" s="972">
        <f t="shared" si="31"/>
        <v>2027.01</v>
      </c>
      <c r="B406" s="223" t="e">
        <v>#N/A</v>
      </c>
      <c r="C406" s="1398" t="e">
        <v>#N/A</v>
      </c>
      <c r="D406" s="1398" t="e">
        <v>#N/A</v>
      </c>
      <c r="E406" s="1398" t="e">
        <v>#N/A</v>
      </c>
      <c r="F406" s="223" t="e">
        <v>#N/A</v>
      </c>
      <c r="G406" s="3538" t="e">
        <v>#N/A</v>
      </c>
      <c r="H406" s="2364" t="e">
        <f t="shared" si="36"/>
        <v>#N/A</v>
      </c>
      <c r="I406" s="223" t="e">
        <v>#N/A</v>
      </c>
      <c r="J406" s="1299" t="e">
        <v>#N/A</v>
      </c>
      <c r="K406" s="1602" t="e">
        <f t="shared" si="37"/>
        <v>#N/A</v>
      </c>
      <c r="L406" s="947" t="e">
        <v>#N/A</v>
      </c>
      <c r="M406" s="190" t="e">
        <v>#N/A</v>
      </c>
      <c r="N406" s="1398" t="e">
        <v>#N/A</v>
      </c>
      <c r="O406" s="2394" t="e">
        <f t="shared" si="39"/>
        <v>#N/A</v>
      </c>
      <c r="P406" s="1398" t="e">
        <v>#N/A</v>
      </c>
      <c r="Q406" s="1398" t="e">
        <v>#N/A</v>
      </c>
      <c r="R406" s="1398" t="e">
        <v>#N/A</v>
      </c>
      <c r="S406" s="1398" t="e">
        <v>#N/A</v>
      </c>
      <c r="T406" s="947" t="e">
        <v>#N/A</v>
      </c>
      <c r="U406" s="190" t="e">
        <v>#N/A</v>
      </c>
      <c r="V406" s="2365" t="e">
        <f t="shared" si="38"/>
        <v>#N/A</v>
      </c>
    </row>
    <row r="407" spans="1:22">
      <c r="A407" s="972">
        <f t="shared" si="31"/>
        <v>2027.02</v>
      </c>
      <c r="B407" s="223" t="e">
        <v>#N/A</v>
      </c>
      <c r="C407" s="1398" t="e">
        <v>#N/A</v>
      </c>
      <c r="D407" s="1398" t="e">
        <v>#N/A</v>
      </c>
      <c r="E407" s="1398" t="e">
        <v>#N/A</v>
      </c>
      <c r="F407" s="223" t="e">
        <v>#N/A</v>
      </c>
      <c r="G407" s="3538" t="e">
        <v>#N/A</v>
      </c>
      <c r="H407" s="2364" t="e">
        <f t="shared" si="36"/>
        <v>#N/A</v>
      </c>
      <c r="I407" s="223" t="e">
        <v>#N/A</v>
      </c>
      <c r="J407" s="1299" t="e">
        <v>#N/A</v>
      </c>
      <c r="K407" s="1602" t="e">
        <f t="shared" si="37"/>
        <v>#N/A</v>
      </c>
      <c r="L407" s="947" t="e">
        <v>#N/A</v>
      </c>
      <c r="M407" s="190" t="e">
        <v>#N/A</v>
      </c>
      <c r="N407" s="1398" t="e">
        <v>#N/A</v>
      </c>
      <c r="O407" s="2394" t="e">
        <f t="shared" si="39"/>
        <v>#N/A</v>
      </c>
      <c r="P407" s="1398" t="e">
        <v>#N/A</v>
      </c>
      <c r="Q407" s="1398" t="e">
        <v>#N/A</v>
      </c>
      <c r="R407" s="1398" t="e">
        <v>#N/A</v>
      </c>
      <c r="S407" s="1398" t="e">
        <v>#N/A</v>
      </c>
      <c r="T407" s="947" t="e">
        <v>#N/A</v>
      </c>
      <c r="U407" s="190" t="e">
        <v>#N/A</v>
      </c>
      <c r="V407" s="2365" t="e">
        <f t="shared" si="38"/>
        <v>#N/A</v>
      </c>
    </row>
    <row r="408" spans="1:22">
      <c r="A408" s="972">
        <f t="shared" si="31"/>
        <v>2027.03</v>
      </c>
      <c r="B408" s="223" t="e">
        <v>#N/A</v>
      </c>
      <c r="C408" s="1398" t="e">
        <v>#N/A</v>
      </c>
      <c r="D408" s="1398" t="e">
        <v>#N/A</v>
      </c>
      <c r="E408" s="1398" t="e">
        <v>#N/A</v>
      </c>
      <c r="F408" s="223" t="e">
        <v>#N/A</v>
      </c>
      <c r="G408" s="3538" t="e">
        <v>#N/A</v>
      </c>
      <c r="H408" s="2364" t="e">
        <f t="shared" si="36"/>
        <v>#N/A</v>
      </c>
      <c r="I408" s="223" t="e">
        <v>#N/A</v>
      </c>
      <c r="J408" s="1299" t="e">
        <v>#N/A</v>
      </c>
      <c r="K408" s="1602" t="e">
        <f t="shared" si="37"/>
        <v>#N/A</v>
      </c>
      <c r="L408" s="947" t="e">
        <v>#N/A</v>
      </c>
      <c r="M408" s="190" t="e">
        <v>#N/A</v>
      </c>
      <c r="N408" s="1398" t="e">
        <v>#N/A</v>
      </c>
      <c r="O408" s="2394" t="e">
        <f t="shared" si="39"/>
        <v>#N/A</v>
      </c>
      <c r="P408" s="1398" t="e">
        <v>#N/A</v>
      </c>
      <c r="Q408" s="1398" t="e">
        <v>#N/A</v>
      </c>
      <c r="R408" s="1398" t="e">
        <v>#N/A</v>
      </c>
      <c r="S408" s="1398" t="e">
        <v>#N/A</v>
      </c>
      <c r="T408" s="947" t="e">
        <v>#N/A</v>
      </c>
      <c r="U408" s="190" t="e">
        <v>#N/A</v>
      </c>
      <c r="V408" s="2365" t="e">
        <f t="shared" si="38"/>
        <v>#N/A</v>
      </c>
    </row>
    <row r="409" spans="1:22">
      <c r="A409" s="972">
        <f t="shared" si="31"/>
        <v>2027.04</v>
      </c>
      <c r="B409" s="223" t="e">
        <v>#N/A</v>
      </c>
      <c r="C409" s="1398" t="e">
        <v>#N/A</v>
      </c>
      <c r="D409" s="1398" t="e">
        <v>#N/A</v>
      </c>
      <c r="E409" s="1398" t="e">
        <v>#N/A</v>
      </c>
      <c r="F409" s="223" t="e">
        <v>#N/A</v>
      </c>
      <c r="G409" s="3538" t="e">
        <v>#N/A</v>
      </c>
      <c r="H409" s="2364" t="e">
        <f t="shared" si="36"/>
        <v>#N/A</v>
      </c>
      <c r="I409" s="223" t="e">
        <v>#N/A</v>
      </c>
      <c r="J409" s="1299" t="e">
        <v>#N/A</v>
      </c>
      <c r="K409" s="1602" t="e">
        <f t="shared" si="37"/>
        <v>#N/A</v>
      </c>
      <c r="L409" s="947" t="e">
        <v>#N/A</v>
      </c>
      <c r="M409" s="190" t="e">
        <v>#N/A</v>
      </c>
      <c r="N409" s="1398" t="e">
        <v>#N/A</v>
      </c>
      <c r="O409" s="2394" t="e">
        <f t="shared" si="39"/>
        <v>#N/A</v>
      </c>
      <c r="P409" s="1398" t="e">
        <v>#N/A</v>
      </c>
      <c r="Q409" s="1398" t="e">
        <v>#N/A</v>
      </c>
      <c r="R409" s="1398" t="e">
        <v>#N/A</v>
      </c>
      <c r="S409" s="1398" t="e">
        <v>#N/A</v>
      </c>
      <c r="T409" s="947" t="e">
        <v>#N/A</v>
      </c>
      <c r="U409" s="190" t="e">
        <v>#N/A</v>
      </c>
      <c r="V409" s="2365" t="e">
        <f t="shared" si="38"/>
        <v>#N/A</v>
      </c>
    </row>
    <row r="410" spans="1:22">
      <c r="A410" s="972">
        <f t="shared" si="31"/>
        <v>2027.05</v>
      </c>
      <c r="B410" s="223" t="e">
        <v>#N/A</v>
      </c>
      <c r="C410" s="1398" t="e">
        <v>#N/A</v>
      </c>
      <c r="D410" s="1398" t="e">
        <v>#N/A</v>
      </c>
      <c r="E410" s="1398" t="e">
        <v>#N/A</v>
      </c>
      <c r="F410" s="223" t="e">
        <v>#N/A</v>
      </c>
      <c r="G410" s="3538" t="e">
        <v>#N/A</v>
      </c>
      <c r="H410" s="2364" t="e">
        <f t="shared" si="36"/>
        <v>#N/A</v>
      </c>
      <c r="I410" s="223" t="e">
        <v>#N/A</v>
      </c>
      <c r="J410" s="1299" t="e">
        <v>#N/A</v>
      </c>
      <c r="K410" s="1602" t="e">
        <f t="shared" si="37"/>
        <v>#N/A</v>
      </c>
      <c r="L410" s="947" t="e">
        <v>#N/A</v>
      </c>
      <c r="M410" s="190" t="e">
        <v>#N/A</v>
      </c>
      <c r="N410" s="1398" t="e">
        <v>#N/A</v>
      </c>
      <c r="O410" s="2394" t="e">
        <f t="shared" si="39"/>
        <v>#N/A</v>
      </c>
      <c r="P410" s="1398" t="e">
        <v>#N/A</v>
      </c>
      <c r="Q410" s="1398" t="e">
        <v>#N/A</v>
      </c>
      <c r="R410" s="1398" t="e">
        <v>#N/A</v>
      </c>
      <c r="S410" s="1398" t="e">
        <v>#N/A</v>
      </c>
      <c r="T410" s="947" t="e">
        <v>#N/A</v>
      </c>
      <c r="U410" s="190" t="e">
        <v>#N/A</v>
      </c>
      <c r="V410" s="2365" t="e">
        <f t="shared" si="38"/>
        <v>#N/A</v>
      </c>
    </row>
    <row r="411" spans="1:22">
      <c r="A411" s="972">
        <f t="shared" si="31"/>
        <v>2027.06</v>
      </c>
      <c r="B411" s="223" t="e">
        <v>#N/A</v>
      </c>
      <c r="C411" s="1398" t="e">
        <v>#N/A</v>
      </c>
      <c r="D411" s="1398" t="e">
        <v>#N/A</v>
      </c>
      <c r="E411" s="1398" t="e">
        <v>#N/A</v>
      </c>
      <c r="F411" s="223" t="e">
        <v>#N/A</v>
      </c>
      <c r="G411" s="3538" t="e">
        <v>#N/A</v>
      </c>
      <c r="H411" s="2364" t="e">
        <f t="shared" ref="H411:H453" si="40">F411+G411</f>
        <v>#N/A</v>
      </c>
      <c r="I411" s="223" t="e">
        <v>#N/A</v>
      </c>
      <c r="J411" s="1299" t="e">
        <v>#N/A</v>
      </c>
      <c r="K411" s="1602" t="e">
        <f t="shared" ref="K411:K453" si="41">I411+J411</f>
        <v>#N/A</v>
      </c>
      <c r="L411" s="947" t="e">
        <v>#N/A</v>
      </c>
      <c r="M411" s="190" t="e">
        <v>#N/A</v>
      </c>
      <c r="N411" s="1398" t="e">
        <v>#N/A</v>
      </c>
      <c r="O411" s="2394" t="e">
        <f t="shared" ref="O411:O453" si="42">L411+M411+N411</f>
        <v>#N/A</v>
      </c>
      <c r="P411" s="1398" t="e">
        <v>#N/A</v>
      </c>
      <c r="Q411" s="1398" t="e">
        <v>#N/A</v>
      </c>
      <c r="R411" s="1398" t="e">
        <v>#N/A</v>
      </c>
      <c r="S411" s="1398" t="e">
        <v>#N/A</v>
      </c>
      <c r="T411" s="947" t="e">
        <v>#N/A</v>
      </c>
      <c r="U411" s="190" t="e">
        <v>#N/A</v>
      </c>
      <c r="V411" s="2365" t="e">
        <f t="shared" ref="V411:V453" si="43">SUM(P411:U411)</f>
        <v>#N/A</v>
      </c>
    </row>
    <row r="412" spans="1:22">
      <c r="A412" s="972">
        <f t="shared" si="31"/>
        <v>2027.07</v>
      </c>
      <c r="B412" s="223" t="e">
        <v>#N/A</v>
      </c>
      <c r="C412" s="1398" t="e">
        <v>#N/A</v>
      </c>
      <c r="D412" s="1398" t="e">
        <v>#N/A</v>
      </c>
      <c r="E412" s="1398" t="e">
        <v>#N/A</v>
      </c>
      <c r="F412" s="223" t="e">
        <v>#N/A</v>
      </c>
      <c r="G412" s="3538" t="e">
        <v>#N/A</v>
      </c>
      <c r="H412" s="2364" t="e">
        <f t="shared" si="40"/>
        <v>#N/A</v>
      </c>
      <c r="I412" s="223" t="e">
        <v>#N/A</v>
      </c>
      <c r="J412" s="1299" t="e">
        <v>#N/A</v>
      </c>
      <c r="K412" s="1602" t="e">
        <f t="shared" si="41"/>
        <v>#N/A</v>
      </c>
      <c r="L412" s="947" t="e">
        <v>#N/A</v>
      </c>
      <c r="M412" s="190" t="e">
        <v>#N/A</v>
      </c>
      <c r="N412" s="1398" t="e">
        <v>#N/A</v>
      </c>
      <c r="O412" s="2394" t="e">
        <f t="shared" si="42"/>
        <v>#N/A</v>
      </c>
      <c r="P412" s="1398" t="e">
        <v>#N/A</v>
      </c>
      <c r="Q412" s="1398" t="e">
        <v>#N/A</v>
      </c>
      <c r="R412" s="1398" t="e">
        <v>#N/A</v>
      </c>
      <c r="S412" s="1398" t="e">
        <v>#N/A</v>
      </c>
      <c r="T412" s="947" t="e">
        <v>#N/A</v>
      </c>
      <c r="U412" s="190" t="e">
        <v>#N/A</v>
      </c>
      <c r="V412" s="2365" t="e">
        <f t="shared" si="43"/>
        <v>#N/A</v>
      </c>
    </row>
    <row r="413" spans="1:22">
      <c r="A413" s="972">
        <f t="shared" si="31"/>
        <v>2027.08</v>
      </c>
      <c r="B413" s="223" t="e">
        <v>#N/A</v>
      </c>
      <c r="C413" s="1398" t="e">
        <v>#N/A</v>
      </c>
      <c r="D413" s="1398" t="e">
        <v>#N/A</v>
      </c>
      <c r="E413" s="1398" t="e">
        <v>#N/A</v>
      </c>
      <c r="F413" s="223" t="e">
        <v>#N/A</v>
      </c>
      <c r="G413" s="3538" t="e">
        <v>#N/A</v>
      </c>
      <c r="H413" s="2364" t="e">
        <f t="shared" si="40"/>
        <v>#N/A</v>
      </c>
      <c r="I413" s="223" t="e">
        <v>#N/A</v>
      </c>
      <c r="J413" s="1299" t="e">
        <v>#N/A</v>
      </c>
      <c r="K413" s="1602" t="e">
        <f t="shared" si="41"/>
        <v>#N/A</v>
      </c>
      <c r="L413" s="947" t="e">
        <v>#N/A</v>
      </c>
      <c r="M413" s="190" t="e">
        <v>#N/A</v>
      </c>
      <c r="N413" s="1398" t="e">
        <v>#N/A</v>
      </c>
      <c r="O413" s="2394" t="e">
        <f t="shared" si="42"/>
        <v>#N/A</v>
      </c>
      <c r="P413" s="1398" t="e">
        <v>#N/A</v>
      </c>
      <c r="Q413" s="1398" t="e">
        <v>#N/A</v>
      </c>
      <c r="R413" s="1398" t="e">
        <v>#N/A</v>
      </c>
      <c r="S413" s="1398" t="e">
        <v>#N/A</v>
      </c>
      <c r="T413" s="947" t="e">
        <v>#N/A</v>
      </c>
      <c r="U413" s="190" t="e">
        <v>#N/A</v>
      </c>
      <c r="V413" s="2365" t="e">
        <f t="shared" si="43"/>
        <v>#N/A</v>
      </c>
    </row>
    <row r="414" spans="1:22">
      <c r="A414" s="972">
        <f t="shared" si="31"/>
        <v>2027.09</v>
      </c>
      <c r="B414" s="223" t="e">
        <v>#N/A</v>
      </c>
      <c r="C414" s="1398" t="e">
        <v>#N/A</v>
      </c>
      <c r="D414" s="1398" t="e">
        <v>#N/A</v>
      </c>
      <c r="E414" s="1398" t="e">
        <v>#N/A</v>
      </c>
      <c r="F414" s="223" t="e">
        <v>#N/A</v>
      </c>
      <c r="G414" s="3538" t="e">
        <v>#N/A</v>
      </c>
      <c r="H414" s="2364" t="e">
        <f t="shared" si="40"/>
        <v>#N/A</v>
      </c>
      <c r="I414" s="223" t="e">
        <v>#N/A</v>
      </c>
      <c r="J414" s="1299" t="e">
        <v>#N/A</v>
      </c>
      <c r="K414" s="1602" t="e">
        <f t="shared" si="41"/>
        <v>#N/A</v>
      </c>
      <c r="L414" s="947" t="e">
        <v>#N/A</v>
      </c>
      <c r="M414" s="190" t="e">
        <v>#N/A</v>
      </c>
      <c r="N414" s="1398" t="e">
        <v>#N/A</v>
      </c>
      <c r="O414" s="2394" t="e">
        <f t="shared" si="42"/>
        <v>#N/A</v>
      </c>
      <c r="P414" s="1398" t="e">
        <v>#N/A</v>
      </c>
      <c r="Q414" s="1398" t="e">
        <v>#N/A</v>
      </c>
      <c r="R414" s="1398" t="e">
        <v>#N/A</v>
      </c>
      <c r="S414" s="1398" t="e">
        <v>#N/A</v>
      </c>
      <c r="T414" s="947" t="e">
        <v>#N/A</v>
      </c>
      <c r="U414" s="190" t="e">
        <v>#N/A</v>
      </c>
      <c r="V414" s="2365" t="e">
        <f t="shared" si="43"/>
        <v>#N/A</v>
      </c>
    </row>
    <row r="415" spans="1:22">
      <c r="A415" s="972">
        <f t="shared" si="31"/>
        <v>2027.1</v>
      </c>
      <c r="B415" s="223" t="e">
        <v>#N/A</v>
      </c>
      <c r="C415" s="1398" t="e">
        <v>#N/A</v>
      </c>
      <c r="D415" s="1398" t="e">
        <v>#N/A</v>
      </c>
      <c r="E415" s="1398" t="e">
        <v>#N/A</v>
      </c>
      <c r="F415" s="223" t="e">
        <v>#N/A</v>
      </c>
      <c r="G415" s="3538" t="e">
        <v>#N/A</v>
      </c>
      <c r="H415" s="2364" t="e">
        <f t="shared" si="40"/>
        <v>#N/A</v>
      </c>
      <c r="I415" s="223" t="e">
        <v>#N/A</v>
      </c>
      <c r="J415" s="1299" t="e">
        <v>#N/A</v>
      </c>
      <c r="K415" s="1602" t="e">
        <f t="shared" si="41"/>
        <v>#N/A</v>
      </c>
      <c r="L415" s="947" t="e">
        <v>#N/A</v>
      </c>
      <c r="M415" s="190" t="e">
        <v>#N/A</v>
      </c>
      <c r="N415" s="1398" t="e">
        <v>#N/A</v>
      </c>
      <c r="O415" s="2394" t="e">
        <f t="shared" si="42"/>
        <v>#N/A</v>
      </c>
      <c r="P415" s="1398" t="e">
        <v>#N/A</v>
      </c>
      <c r="Q415" s="1398" t="e">
        <v>#N/A</v>
      </c>
      <c r="R415" s="1398" t="e">
        <v>#N/A</v>
      </c>
      <c r="S415" s="1398" t="e">
        <v>#N/A</v>
      </c>
      <c r="T415" s="947" t="e">
        <v>#N/A</v>
      </c>
      <c r="U415" s="190" t="e">
        <v>#N/A</v>
      </c>
      <c r="V415" s="2365" t="e">
        <f t="shared" si="43"/>
        <v>#N/A</v>
      </c>
    </row>
    <row r="416" spans="1:22">
      <c r="A416" s="972">
        <f t="shared" si="31"/>
        <v>2027.11</v>
      </c>
      <c r="B416" s="223" t="e">
        <v>#N/A</v>
      </c>
      <c r="C416" s="1398" t="e">
        <v>#N/A</v>
      </c>
      <c r="D416" s="1398" t="e">
        <v>#N/A</v>
      </c>
      <c r="E416" s="1398" t="e">
        <v>#N/A</v>
      </c>
      <c r="F416" s="223" t="e">
        <v>#N/A</v>
      </c>
      <c r="G416" s="3538" t="e">
        <v>#N/A</v>
      </c>
      <c r="H416" s="2364" t="e">
        <f t="shared" si="40"/>
        <v>#N/A</v>
      </c>
      <c r="I416" s="223" t="e">
        <v>#N/A</v>
      </c>
      <c r="J416" s="1299" t="e">
        <v>#N/A</v>
      </c>
      <c r="K416" s="1602" t="e">
        <f t="shared" si="41"/>
        <v>#N/A</v>
      </c>
      <c r="L416" s="947" t="e">
        <v>#N/A</v>
      </c>
      <c r="M416" s="190" t="e">
        <v>#N/A</v>
      </c>
      <c r="N416" s="1398" t="e">
        <v>#N/A</v>
      </c>
      <c r="O416" s="2394" t="e">
        <f t="shared" si="42"/>
        <v>#N/A</v>
      </c>
      <c r="P416" s="1398" t="e">
        <v>#N/A</v>
      </c>
      <c r="Q416" s="1398" t="e">
        <v>#N/A</v>
      </c>
      <c r="R416" s="1398" t="e">
        <v>#N/A</v>
      </c>
      <c r="S416" s="1398" t="e">
        <v>#N/A</v>
      </c>
      <c r="T416" s="947" t="e">
        <v>#N/A</v>
      </c>
      <c r="U416" s="190" t="e">
        <v>#N/A</v>
      </c>
      <c r="V416" s="2365" t="e">
        <f t="shared" si="43"/>
        <v>#N/A</v>
      </c>
    </row>
    <row r="417" spans="1:22">
      <c r="A417" s="972">
        <f t="shared" si="31"/>
        <v>2027.12</v>
      </c>
      <c r="B417" s="223" t="e">
        <v>#N/A</v>
      </c>
      <c r="C417" s="1398" t="e">
        <v>#N/A</v>
      </c>
      <c r="D417" s="1398" t="e">
        <v>#N/A</v>
      </c>
      <c r="E417" s="1398" t="e">
        <v>#N/A</v>
      </c>
      <c r="F417" s="223" t="e">
        <v>#N/A</v>
      </c>
      <c r="G417" s="3538" t="e">
        <v>#N/A</v>
      </c>
      <c r="H417" s="2364" t="e">
        <f t="shared" si="40"/>
        <v>#N/A</v>
      </c>
      <c r="I417" s="223" t="e">
        <v>#N/A</v>
      </c>
      <c r="J417" s="1299" t="e">
        <v>#N/A</v>
      </c>
      <c r="K417" s="1602" t="e">
        <f t="shared" si="41"/>
        <v>#N/A</v>
      </c>
      <c r="L417" s="947" t="e">
        <v>#N/A</v>
      </c>
      <c r="M417" s="190" t="e">
        <v>#N/A</v>
      </c>
      <c r="N417" s="1398" t="e">
        <v>#N/A</v>
      </c>
      <c r="O417" s="2394" t="e">
        <f t="shared" si="42"/>
        <v>#N/A</v>
      </c>
      <c r="P417" s="1398" t="e">
        <v>#N/A</v>
      </c>
      <c r="Q417" s="1398" t="e">
        <v>#N/A</v>
      </c>
      <c r="R417" s="1398" t="e">
        <v>#N/A</v>
      </c>
      <c r="S417" s="1398" t="e">
        <v>#N/A</v>
      </c>
      <c r="T417" s="947" t="e">
        <v>#N/A</v>
      </c>
      <c r="U417" s="190" t="e">
        <v>#N/A</v>
      </c>
      <c r="V417" s="2365" t="e">
        <f t="shared" si="43"/>
        <v>#N/A</v>
      </c>
    </row>
    <row r="418" spans="1:22">
      <c r="A418" s="972">
        <f t="shared" si="31"/>
        <v>2028.01</v>
      </c>
      <c r="B418" s="223" t="e">
        <v>#N/A</v>
      </c>
      <c r="C418" s="1398" t="e">
        <v>#N/A</v>
      </c>
      <c r="D418" s="1398" t="e">
        <v>#N/A</v>
      </c>
      <c r="E418" s="1398" t="e">
        <v>#N/A</v>
      </c>
      <c r="F418" s="223" t="e">
        <v>#N/A</v>
      </c>
      <c r="G418" s="3538" t="e">
        <v>#N/A</v>
      </c>
      <c r="H418" s="2364" t="e">
        <f t="shared" si="40"/>
        <v>#N/A</v>
      </c>
      <c r="I418" s="223" t="e">
        <v>#N/A</v>
      </c>
      <c r="J418" s="1299" t="e">
        <v>#N/A</v>
      </c>
      <c r="K418" s="1602" t="e">
        <f t="shared" si="41"/>
        <v>#N/A</v>
      </c>
      <c r="L418" s="947" t="e">
        <v>#N/A</v>
      </c>
      <c r="M418" s="190" t="e">
        <v>#N/A</v>
      </c>
      <c r="N418" s="1398" t="e">
        <v>#N/A</v>
      </c>
      <c r="O418" s="2394" t="e">
        <f t="shared" si="42"/>
        <v>#N/A</v>
      </c>
      <c r="P418" s="1398" t="e">
        <v>#N/A</v>
      </c>
      <c r="Q418" s="1398" t="e">
        <v>#N/A</v>
      </c>
      <c r="R418" s="1398" t="e">
        <v>#N/A</v>
      </c>
      <c r="S418" s="1398" t="e">
        <v>#N/A</v>
      </c>
      <c r="T418" s="947" t="e">
        <v>#N/A</v>
      </c>
      <c r="U418" s="190" t="e">
        <v>#N/A</v>
      </c>
      <c r="V418" s="2365" t="e">
        <f t="shared" si="43"/>
        <v>#N/A</v>
      </c>
    </row>
    <row r="419" spans="1:22">
      <c r="A419" s="972">
        <f t="shared" si="31"/>
        <v>2028.02</v>
      </c>
      <c r="B419" s="223" t="e">
        <v>#N/A</v>
      </c>
      <c r="C419" s="1398" t="e">
        <v>#N/A</v>
      </c>
      <c r="D419" s="1398" t="e">
        <v>#N/A</v>
      </c>
      <c r="E419" s="1398" t="e">
        <v>#N/A</v>
      </c>
      <c r="F419" s="223" t="e">
        <v>#N/A</v>
      </c>
      <c r="G419" s="3538" t="e">
        <v>#N/A</v>
      </c>
      <c r="H419" s="2364" t="e">
        <f t="shared" si="40"/>
        <v>#N/A</v>
      </c>
      <c r="I419" s="223" t="e">
        <v>#N/A</v>
      </c>
      <c r="J419" s="1299" t="e">
        <v>#N/A</v>
      </c>
      <c r="K419" s="1602" t="e">
        <f t="shared" si="41"/>
        <v>#N/A</v>
      </c>
      <c r="L419" s="947" t="e">
        <v>#N/A</v>
      </c>
      <c r="M419" s="190" t="e">
        <v>#N/A</v>
      </c>
      <c r="N419" s="1398" t="e">
        <v>#N/A</v>
      </c>
      <c r="O419" s="2394" t="e">
        <f t="shared" si="42"/>
        <v>#N/A</v>
      </c>
      <c r="P419" s="1398" t="e">
        <v>#N/A</v>
      </c>
      <c r="Q419" s="1398" t="e">
        <v>#N/A</v>
      </c>
      <c r="R419" s="1398" t="e">
        <v>#N/A</v>
      </c>
      <c r="S419" s="1398" t="e">
        <v>#N/A</v>
      </c>
      <c r="T419" s="947" t="e">
        <v>#N/A</v>
      </c>
      <c r="U419" s="190" t="e">
        <v>#N/A</v>
      </c>
      <c r="V419" s="2365" t="e">
        <f t="shared" si="43"/>
        <v>#N/A</v>
      </c>
    </row>
    <row r="420" spans="1:22">
      <c r="A420" s="972">
        <f t="shared" si="31"/>
        <v>2028.03</v>
      </c>
      <c r="B420" s="223" t="e">
        <v>#N/A</v>
      </c>
      <c r="C420" s="1398" t="e">
        <v>#N/A</v>
      </c>
      <c r="D420" s="1398" t="e">
        <v>#N/A</v>
      </c>
      <c r="E420" s="1398" t="e">
        <v>#N/A</v>
      </c>
      <c r="F420" s="223" t="e">
        <v>#N/A</v>
      </c>
      <c r="G420" s="3538" t="e">
        <v>#N/A</v>
      </c>
      <c r="H420" s="2364" t="e">
        <f t="shared" si="40"/>
        <v>#N/A</v>
      </c>
      <c r="I420" s="223" t="e">
        <v>#N/A</v>
      </c>
      <c r="J420" s="1299" t="e">
        <v>#N/A</v>
      </c>
      <c r="K420" s="1602" t="e">
        <f t="shared" si="41"/>
        <v>#N/A</v>
      </c>
      <c r="L420" s="947" t="e">
        <v>#N/A</v>
      </c>
      <c r="M420" s="190" t="e">
        <v>#N/A</v>
      </c>
      <c r="N420" s="1398" t="e">
        <v>#N/A</v>
      </c>
      <c r="O420" s="2394" t="e">
        <f t="shared" si="42"/>
        <v>#N/A</v>
      </c>
      <c r="P420" s="1398" t="e">
        <v>#N/A</v>
      </c>
      <c r="Q420" s="1398" t="e">
        <v>#N/A</v>
      </c>
      <c r="R420" s="1398" t="e">
        <v>#N/A</v>
      </c>
      <c r="S420" s="1398" t="e">
        <v>#N/A</v>
      </c>
      <c r="T420" s="947" t="e">
        <v>#N/A</v>
      </c>
      <c r="U420" s="190" t="e">
        <v>#N/A</v>
      </c>
      <c r="V420" s="2365" t="e">
        <f t="shared" si="43"/>
        <v>#N/A</v>
      </c>
    </row>
    <row r="421" spans="1:22">
      <c r="A421" s="972">
        <f t="shared" si="31"/>
        <v>2028.04</v>
      </c>
      <c r="B421" s="223" t="e">
        <v>#N/A</v>
      </c>
      <c r="C421" s="1398" t="e">
        <v>#N/A</v>
      </c>
      <c r="D421" s="1398" t="e">
        <v>#N/A</v>
      </c>
      <c r="E421" s="1398" t="e">
        <v>#N/A</v>
      </c>
      <c r="F421" s="223" t="e">
        <v>#N/A</v>
      </c>
      <c r="G421" s="3538" t="e">
        <v>#N/A</v>
      </c>
      <c r="H421" s="2364" t="e">
        <f t="shared" si="40"/>
        <v>#N/A</v>
      </c>
      <c r="I421" s="223" t="e">
        <v>#N/A</v>
      </c>
      <c r="J421" s="1299" t="e">
        <v>#N/A</v>
      </c>
      <c r="K421" s="1602" t="e">
        <f t="shared" si="41"/>
        <v>#N/A</v>
      </c>
      <c r="L421" s="947" t="e">
        <v>#N/A</v>
      </c>
      <c r="M421" s="190" t="e">
        <v>#N/A</v>
      </c>
      <c r="N421" s="1398" t="e">
        <v>#N/A</v>
      </c>
      <c r="O421" s="2394" t="e">
        <f t="shared" si="42"/>
        <v>#N/A</v>
      </c>
      <c r="P421" s="1398" t="e">
        <v>#N/A</v>
      </c>
      <c r="Q421" s="1398" t="e">
        <v>#N/A</v>
      </c>
      <c r="R421" s="1398" t="e">
        <v>#N/A</v>
      </c>
      <c r="S421" s="1398" t="e">
        <v>#N/A</v>
      </c>
      <c r="T421" s="947" t="e">
        <v>#N/A</v>
      </c>
      <c r="U421" s="190" t="e">
        <v>#N/A</v>
      </c>
      <c r="V421" s="2365" t="e">
        <f t="shared" si="43"/>
        <v>#N/A</v>
      </c>
    </row>
    <row r="422" spans="1:22">
      <c r="A422" s="972">
        <f t="shared" si="31"/>
        <v>2028.05</v>
      </c>
      <c r="B422" s="223" t="e">
        <v>#N/A</v>
      </c>
      <c r="C422" s="1398" t="e">
        <v>#N/A</v>
      </c>
      <c r="D422" s="1398" t="e">
        <v>#N/A</v>
      </c>
      <c r="E422" s="1398" t="e">
        <v>#N/A</v>
      </c>
      <c r="F422" s="223" t="e">
        <v>#N/A</v>
      </c>
      <c r="G422" s="3538" t="e">
        <v>#N/A</v>
      </c>
      <c r="H422" s="2364" t="e">
        <f t="shared" si="40"/>
        <v>#N/A</v>
      </c>
      <c r="I422" s="223" t="e">
        <v>#N/A</v>
      </c>
      <c r="J422" s="1299" t="e">
        <v>#N/A</v>
      </c>
      <c r="K422" s="1602" t="e">
        <f t="shared" si="41"/>
        <v>#N/A</v>
      </c>
      <c r="L422" s="947" t="e">
        <v>#N/A</v>
      </c>
      <c r="M422" s="190" t="e">
        <v>#N/A</v>
      </c>
      <c r="N422" s="1398" t="e">
        <v>#N/A</v>
      </c>
      <c r="O422" s="2394" t="e">
        <f t="shared" si="42"/>
        <v>#N/A</v>
      </c>
      <c r="P422" s="1398" t="e">
        <v>#N/A</v>
      </c>
      <c r="Q422" s="1398" t="e">
        <v>#N/A</v>
      </c>
      <c r="R422" s="1398" t="e">
        <v>#N/A</v>
      </c>
      <c r="S422" s="1398" t="e">
        <v>#N/A</v>
      </c>
      <c r="T422" s="947" t="e">
        <v>#N/A</v>
      </c>
      <c r="U422" s="190" t="e">
        <v>#N/A</v>
      </c>
      <c r="V422" s="2365" t="e">
        <f t="shared" si="43"/>
        <v>#N/A</v>
      </c>
    </row>
    <row r="423" spans="1:22">
      <c r="A423" s="972">
        <f t="shared" si="31"/>
        <v>2028.06</v>
      </c>
      <c r="B423" s="223" t="e">
        <v>#N/A</v>
      </c>
      <c r="C423" s="1398" t="e">
        <v>#N/A</v>
      </c>
      <c r="D423" s="1398" t="e">
        <v>#N/A</v>
      </c>
      <c r="E423" s="1398" t="e">
        <v>#N/A</v>
      </c>
      <c r="F423" s="223" t="e">
        <v>#N/A</v>
      </c>
      <c r="G423" s="3538" t="e">
        <v>#N/A</v>
      </c>
      <c r="H423" s="2364" t="e">
        <f t="shared" si="40"/>
        <v>#N/A</v>
      </c>
      <c r="I423" s="223" t="e">
        <v>#N/A</v>
      </c>
      <c r="J423" s="1299" t="e">
        <v>#N/A</v>
      </c>
      <c r="K423" s="1602" t="e">
        <f t="shared" si="41"/>
        <v>#N/A</v>
      </c>
      <c r="L423" s="947" t="e">
        <v>#N/A</v>
      </c>
      <c r="M423" s="190" t="e">
        <v>#N/A</v>
      </c>
      <c r="N423" s="1398" t="e">
        <v>#N/A</v>
      </c>
      <c r="O423" s="2394" t="e">
        <f t="shared" si="42"/>
        <v>#N/A</v>
      </c>
      <c r="P423" s="1398" t="e">
        <v>#N/A</v>
      </c>
      <c r="Q423" s="1398" t="e">
        <v>#N/A</v>
      </c>
      <c r="R423" s="1398" t="e">
        <v>#N/A</v>
      </c>
      <c r="S423" s="1398" t="e">
        <v>#N/A</v>
      </c>
      <c r="T423" s="947" t="e">
        <v>#N/A</v>
      </c>
      <c r="U423" s="190" t="e">
        <v>#N/A</v>
      </c>
      <c r="V423" s="2365" t="e">
        <f t="shared" si="43"/>
        <v>#N/A</v>
      </c>
    </row>
    <row r="424" spans="1:22">
      <c r="A424" s="972">
        <f t="shared" si="31"/>
        <v>2028.07</v>
      </c>
      <c r="B424" s="223" t="e">
        <v>#N/A</v>
      </c>
      <c r="C424" s="1398" t="e">
        <v>#N/A</v>
      </c>
      <c r="D424" s="1398" t="e">
        <v>#N/A</v>
      </c>
      <c r="E424" s="1398" t="e">
        <v>#N/A</v>
      </c>
      <c r="F424" s="223" t="e">
        <v>#N/A</v>
      </c>
      <c r="G424" s="3538" t="e">
        <v>#N/A</v>
      </c>
      <c r="H424" s="2364" t="e">
        <f t="shared" si="40"/>
        <v>#N/A</v>
      </c>
      <c r="I424" s="223" t="e">
        <v>#N/A</v>
      </c>
      <c r="J424" s="1299" t="e">
        <v>#N/A</v>
      </c>
      <c r="K424" s="1602" t="e">
        <f t="shared" si="41"/>
        <v>#N/A</v>
      </c>
      <c r="L424" s="947" t="e">
        <v>#N/A</v>
      </c>
      <c r="M424" s="190" t="e">
        <v>#N/A</v>
      </c>
      <c r="N424" s="1398" t="e">
        <v>#N/A</v>
      </c>
      <c r="O424" s="2394" t="e">
        <f t="shared" si="42"/>
        <v>#N/A</v>
      </c>
      <c r="P424" s="1398" t="e">
        <v>#N/A</v>
      </c>
      <c r="Q424" s="1398" t="e">
        <v>#N/A</v>
      </c>
      <c r="R424" s="1398" t="e">
        <v>#N/A</v>
      </c>
      <c r="S424" s="1398" t="e">
        <v>#N/A</v>
      </c>
      <c r="T424" s="947" t="e">
        <v>#N/A</v>
      </c>
      <c r="U424" s="190" t="e">
        <v>#N/A</v>
      </c>
      <c r="V424" s="2365" t="e">
        <f t="shared" si="43"/>
        <v>#N/A</v>
      </c>
    </row>
    <row r="425" spans="1:22">
      <c r="A425" s="972">
        <f t="shared" si="31"/>
        <v>2028.08</v>
      </c>
      <c r="B425" s="223" t="e">
        <v>#N/A</v>
      </c>
      <c r="C425" s="1398" t="e">
        <v>#N/A</v>
      </c>
      <c r="D425" s="1398" t="e">
        <v>#N/A</v>
      </c>
      <c r="E425" s="1398" t="e">
        <v>#N/A</v>
      </c>
      <c r="F425" s="223" t="e">
        <v>#N/A</v>
      </c>
      <c r="G425" s="3538" t="e">
        <v>#N/A</v>
      </c>
      <c r="H425" s="2364" t="e">
        <f t="shared" si="40"/>
        <v>#N/A</v>
      </c>
      <c r="I425" s="223" t="e">
        <v>#N/A</v>
      </c>
      <c r="J425" s="1299" t="e">
        <v>#N/A</v>
      </c>
      <c r="K425" s="1602" t="e">
        <f t="shared" si="41"/>
        <v>#N/A</v>
      </c>
      <c r="L425" s="947" t="e">
        <v>#N/A</v>
      </c>
      <c r="M425" s="190" t="e">
        <v>#N/A</v>
      </c>
      <c r="N425" s="1398" t="e">
        <v>#N/A</v>
      </c>
      <c r="O425" s="2394" t="e">
        <f t="shared" si="42"/>
        <v>#N/A</v>
      </c>
      <c r="P425" s="1398" t="e">
        <v>#N/A</v>
      </c>
      <c r="Q425" s="1398" t="e">
        <v>#N/A</v>
      </c>
      <c r="R425" s="1398" t="e">
        <v>#N/A</v>
      </c>
      <c r="S425" s="1398" t="e">
        <v>#N/A</v>
      </c>
      <c r="T425" s="947" t="e">
        <v>#N/A</v>
      </c>
      <c r="U425" s="190" t="e">
        <v>#N/A</v>
      </c>
      <c r="V425" s="2365" t="e">
        <f t="shared" si="43"/>
        <v>#N/A</v>
      </c>
    </row>
    <row r="426" spans="1:22">
      <c r="A426" s="972">
        <f t="shared" si="31"/>
        <v>2028.09</v>
      </c>
      <c r="B426" s="223" t="e">
        <v>#N/A</v>
      </c>
      <c r="C426" s="1398" t="e">
        <v>#N/A</v>
      </c>
      <c r="D426" s="1398" t="e">
        <v>#N/A</v>
      </c>
      <c r="E426" s="1398" t="e">
        <v>#N/A</v>
      </c>
      <c r="F426" s="223" t="e">
        <v>#N/A</v>
      </c>
      <c r="G426" s="3538" t="e">
        <v>#N/A</v>
      </c>
      <c r="H426" s="2364" t="e">
        <f t="shared" si="40"/>
        <v>#N/A</v>
      </c>
      <c r="I426" s="223" t="e">
        <v>#N/A</v>
      </c>
      <c r="J426" s="1299" t="e">
        <v>#N/A</v>
      </c>
      <c r="K426" s="1602" t="e">
        <f t="shared" si="41"/>
        <v>#N/A</v>
      </c>
      <c r="L426" s="947" t="e">
        <v>#N/A</v>
      </c>
      <c r="M426" s="190" t="e">
        <v>#N/A</v>
      </c>
      <c r="N426" s="1398" t="e">
        <v>#N/A</v>
      </c>
      <c r="O426" s="2394" t="e">
        <f t="shared" si="42"/>
        <v>#N/A</v>
      </c>
      <c r="P426" s="1398" t="e">
        <v>#N/A</v>
      </c>
      <c r="Q426" s="1398" t="e">
        <v>#N/A</v>
      </c>
      <c r="R426" s="1398" t="e">
        <v>#N/A</v>
      </c>
      <c r="S426" s="1398" t="e">
        <v>#N/A</v>
      </c>
      <c r="T426" s="947" t="e">
        <v>#N/A</v>
      </c>
      <c r="U426" s="190" t="e">
        <v>#N/A</v>
      </c>
      <c r="V426" s="2365" t="e">
        <f t="shared" si="43"/>
        <v>#N/A</v>
      </c>
    </row>
    <row r="427" spans="1:22">
      <c r="A427" s="972">
        <f t="shared" si="31"/>
        <v>2028.1</v>
      </c>
      <c r="B427" s="223" t="e">
        <v>#N/A</v>
      </c>
      <c r="C427" s="1398" t="e">
        <v>#N/A</v>
      </c>
      <c r="D427" s="1398" t="e">
        <v>#N/A</v>
      </c>
      <c r="E427" s="1398" t="e">
        <v>#N/A</v>
      </c>
      <c r="F427" s="223" t="e">
        <v>#N/A</v>
      </c>
      <c r="G427" s="3538" t="e">
        <v>#N/A</v>
      </c>
      <c r="H427" s="2364" t="e">
        <f t="shared" si="40"/>
        <v>#N/A</v>
      </c>
      <c r="I427" s="223" t="e">
        <v>#N/A</v>
      </c>
      <c r="J427" s="1299" t="e">
        <v>#N/A</v>
      </c>
      <c r="K427" s="1602" t="e">
        <f t="shared" si="41"/>
        <v>#N/A</v>
      </c>
      <c r="L427" s="947" t="e">
        <v>#N/A</v>
      </c>
      <c r="M427" s="190" t="e">
        <v>#N/A</v>
      </c>
      <c r="N427" s="1398" t="e">
        <v>#N/A</v>
      </c>
      <c r="O427" s="2394" t="e">
        <f t="shared" si="42"/>
        <v>#N/A</v>
      </c>
      <c r="P427" s="1398" t="e">
        <v>#N/A</v>
      </c>
      <c r="Q427" s="1398" t="e">
        <v>#N/A</v>
      </c>
      <c r="R427" s="1398" t="e">
        <v>#N/A</v>
      </c>
      <c r="S427" s="1398" t="e">
        <v>#N/A</v>
      </c>
      <c r="T427" s="947" t="e">
        <v>#N/A</v>
      </c>
      <c r="U427" s="190" t="e">
        <v>#N/A</v>
      </c>
      <c r="V427" s="2365" t="e">
        <f t="shared" si="43"/>
        <v>#N/A</v>
      </c>
    </row>
    <row r="428" spans="1:22">
      <c r="A428" s="972">
        <f t="shared" si="31"/>
        <v>2028.11</v>
      </c>
      <c r="B428" s="223" t="e">
        <v>#N/A</v>
      </c>
      <c r="C428" s="1398" t="e">
        <v>#N/A</v>
      </c>
      <c r="D428" s="1398" t="e">
        <v>#N/A</v>
      </c>
      <c r="E428" s="1398" t="e">
        <v>#N/A</v>
      </c>
      <c r="F428" s="223" t="e">
        <v>#N/A</v>
      </c>
      <c r="G428" s="3538" t="e">
        <v>#N/A</v>
      </c>
      <c r="H428" s="2364" t="e">
        <f t="shared" si="40"/>
        <v>#N/A</v>
      </c>
      <c r="I428" s="223" t="e">
        <v>#N/A</v>
      </c>
      <c r="J428" s="1299" t="e">
        <v>#N/A</v>
      </c>
      <c r="K428" s="1602" t="e">
        <f t="shared" si="41"/>
        <v>#N/A</v>
      </c>
      <c r="L428" s="947" t="e">
        <v>#N/A</v>
      </c>
      <c r="M428" s="190" t="e">
        <v>#N/A</v>
      </c>
      <c r="N428" s="1398" t="e">
        <v>#N/A</v>
      </c>
      <c r="O428" s="2394" t="e">
        <f t="shared" si="42"/>
        <v>#N/A</v>
      </c>
      <c r="P428" s="1398" t="e">
        <v>#N/A</v>
      </c>
      <c r="Q428" s="1398" t="e">
        <v>#N/A</v>
      </c>
      <c r="R428" s="1398" t="e">
        <v>#N/A</v>
      </c>
      <c r="S428" s="1398" t="e">
        <v>#N/A</v>
      </c>
      <c r="T428" s="947" t="e">
        <v>#N/A</v>
      </c>
      <c r="U428" s="190" t="e">
        <v>#N/A</v>
      </c>
      <c r="V428" s="2365" t="e">
        <f t="shared" si="43"/>
        <v>#N/A</v>
      </c>
    </row>
    <row r="429" spans="1:22">
      <c r="A429" s="972">
        <f t="shared" si="31"/>
        <v>2028.12</v>
      </c>
      <c r="B429" s="223" t="e">
        <v>#N/A</v>
      </c>
      <c r="C429" s="1398" t="e">
        <v>#N/A</v>
      </c>
      <c r="D429" s="1398" t="e">
        <v>#N/A</v>
      </c>
      <c r="E429" s="1398" t="e">
        <v>#N/A</v>
      </c>
      <c r="F429" s="223" t="e">
        <v>#N/A</v>
      </c>
      <c r="G429" s="3538" t="e">
        <v>#N/A</v>
      </c>
      <c r="H429" s="2364" t="e">
        <f t="shared" si="40"/>
        <v>#N/A</v>
      </c>
      <c r="I429" s="223" t="e">
        <v>#N/A</v>
      </c>
      <c r="J429" s="1299" t="e">
        <v>#N/A</v>
      </c>
      <c r="K429" s="1602" t="e">
        <f t="shared" si="41"/>
        <v>#N/A</v>
      </c>
      <c r="L429" s="947" t="e">
        <v>#N/A</v>
      </c>
      <c r="M429" s="190" t="e">
        <v>#N/A</v>
      </c>
      <c r="N429" s="1398" t="e">
        <v>#N/A</v>
      </c>
      <c r="O429" s="2394" t="e">
        <f t="shared" si="42"/>
        <v>#N/A</v>
      </c>
      <c r="P429" s="1398" t="e">
        <v>#N/A</v>
      </c>
      <c r="Q429" s="1398" t="e">
        <v>#N/A</v>
      </c>
      <c r="R429" s="1398" t="e">
        <v>#N/A</v>
      </c>
      <c r="S429" s="1398" t="e">
        <v>#N/A</v>
      </c>
      <c r="T429" s="947" t="e">
        <v>#N/A</v>
      </c>
      <c r="U429" s="190" t="e">
        <v>#N/A</v>
      </c>
      <c r="V429" s="2365" t="e">
        <f t="shared" si="43"/>
        <v>#N/A</v>
      </c>
    </row>
    <row r="430" spans="1:22">
      <c r="A430" s="972">
        <f t="shared" si="31"/>
        <v>2029.01</v>
      </c>
      <c r="B430" s="223" t="e">
        <v>#N/A</v>
      </c>
      <c r="C430" s="1398" t="e">
        <v>#N/A</v>
      </c>
      <c r="D430" s="1398" t="e">
        <v>#N/A</v>
      </c>
      <c r="E430" s="1398" t="e">
        <v>#N/A</v>
      </c>
      <c r="F430" s="223" t="e">
        <v>#N/A</v>
      </c>
      <c r="G430" s="3538" t="e">
        <v>#N/A</v>
      </c>
      <c r="H430" s="2364" t="e">
        <f t="shared" si="40"/>
        <v>#N/A</v>
      </c>
      <c r="I430" s="223" t="e">
        <v>#N/A</v>
      </c>
      <c r="J430" s="1299" t="e">
        <v>#N/A</v>
      </c>
      <c r="K430" s="1602" t="e">
        <f t="shared" si="41"/>
        <v>#N/A</v>
      </c>
      <c r="L430" s="947" t="e">
        <v>#N/A</v>
      </c>
      <c r="M430" s="190" t="e">
        <v>#N/A</v>
      </c>
      <c r="N430" s="1398" t="e">
        <v>#N/A</v>
      </c>
      <c r="O430" s="2394" t="e">
        <f t="shared" si="42"/>
        <v>#N/A</v>
      </c>
      <c r="P430" s="1398" t="e">
        <v>#N/A</v>
      </c>
      <c r="Q430" s="1398" t="e">
        <v>#N/A</v>
      </c>
      <c r="R430" s="1398" t="e">
        <v>#N/A</v>
      </c>
      <c r="S430" s="1398" t="e">
        <v>#N/A</v>
      </c>
      <c r="T430" s="947" t="e">
        <v>#N/A</v>
      </c>
      <c r="U430" s="190" t="e">
        <v>#N/A</v>
      </c>
      <c r="V430" s="2365" t="e">
        <f t="shared" si="43"/>
        <v>#N/A</v>
      </c>
    </row>
    <row r="431" spans="1:22">
      <c r="A431" s="972">
        <f t="shared" si="31"/>
        <v>2029.02</v>
      </c>
      <c r="B431" s="223" t="e">
        <v>#N/A</v>
      </c>
      <c r="C431" s="1398" t="e">
        <v>#N/A</v>
      </c>
      <c r="D431" s="1398" t="e">
        <v>#N/A</v>
      </c>
      <c r="E431" s="1398" t="e">
        <v>#N/A</v>
      </c>
      <c r="F431" s="223" t="e">
        <v>#N/A</v>
      </c>
      <c r="G431" s="3538" t="e">
        <v>#N/A</v>
      </c>
      <c r="H431" s="2364" t="e">
        <f t="shared" si="40"/>
        <v>#N/A</v>
      </c>
      <c r="I431" s="223" t="e">
        <v>#N/A</v>
      </c>
      <c r="J431" s="1299" t="e">
        <v>#N/A</v>
      </c>
      <c r="K431" s="1602" t="e">
        <f t="shared" si="41"/>
        <v>#N/A</v>
      </c>
      <c r="L431" s="947" t="e">
        <v>#N/A</v>
      </c>
      <c r="M431" s="190" t="e">
        <v>#N/A</v>
      </c>
      <c r="N431" s="1398" t="e">
        <v>#N/A</v>
      </c>
      <c r="O431" s="2394" t="e">
        <f t="shared" si="42"/>
        <v>#N/A</v>
      </c>
      <c r="P431" s="1398" t="e">
        <v>#N/A</v>
      </c>
      <c r="Q431" s="1398" t="e">
        <v>#N/A</v>
      </c>
      <c r="R431" s="1398" t="e">
        <v>#N/A</v>
      </c>
      <c r="S431" s="1398" t="e">
        <v>#N/A</v>
      </c>
      <c r="T431" s="947" t="e">
        <v>#N/A</v>
      </c>
      <c r="U431" s="190" t="e">
        <v>#N/A</v>
      </c>
      <c r="V431" s="2365" t="e">
        <f t="shared" si="43"/>
        <v>#N/A</v>
      </c>
    </row>
    <row r="432" spans="1:22">
      <c r="A432" s="972">
        <f t="shared" si="31"/>
        <v>2029.03</v>
      </c>
      <c r="B432" s="223" t="e">
        <v>#N/A</v>
      </c>
      <c r="C432" s="1398" t="e">
        <v>#N/A</v>
      </c>
      <c r="D432" s="1398" t="e">
        <v>#N/A</v>
      </c>
      <c r="E432" s="1398" t="e">
        <v>#N/A</v>
      </c>
      <c r="F432" s="223" t="e">
        <v>#N/A</v>
      </c>
      <c r="G432" s="3538" t="e">
        <v>#N/A</v>
      </c>
      <c r="H432" s="2364" t="e">
        <f t="shared" si="40"/>
        <v>#N/A</v>
      </c>
      <c r="I432" s="223" t="e">
        <v>#N/A</v>
      </c>
      <c r="J432" s="1299" t="e">
        <v>#N/A</v>
      </c>
      <c r="K432" s="1602" t="e">
        <f t="shared" si="41"/>
        <v>#N/A</v>
      </c>
      <c r="L432" s="947" t="e">
        <v>#N/A</v>
      </c>
      <c r="M432" s="190" t="e">
        <v>#N/A</v>
      </c>
      <c r="N432" s="1398" t="e">
        <v>#N/A</v>
      </c>
      <c r="O432" s="2394" t="e">
        <f t="shared" si="42"/>
        <v>#N/A</v>
      </c>
      <c r="P432" s="1398" t="e">
        <v>#N/A</v>
      </c>
      <c r="Q432" s="1398" t="e">
        <v>#N/A</v>
      </c>
      <c r="R432" s="1398" t="e">
        <v>#N/A</v>
      </c>
      <c r="S432" s="1398" t="e">
        <v>#N/A</v>
      </c>
      <c r="T432" s="947" t="e">
        <v>#N/A</v>
      </c>
      <c r="U432" s="190" t="e">
        <v>#N/A</v>
      </c>
      <c r="V432" s="2365" t="e">
        <f t="shared" si="43"/>
        <v>#N/A</v>
      </c>
    </row>
    <row r="433" spans="1:22">
      <c r="A433" s="972">
        <f t="shared" si="31"/>
        <v>2029.04</v>
      </c>
      <c r="B433" s="223" t="e">
        <v>#N/A</v>
      </c>
      <c r="C433" s="1398" t="e">
        <v>#N/A</v>
      </c>
      <c r="D433" s="1398" t="e">
        <v>#N/A</v>
      </c>
      <c r="E433" s="1398" t="e">
        <v>#N/A</v>
      </c>
      <c r="F433" s="223" t="e">
        <v>#N/A</v>
      </c>
      <c r="G433" s="3538" t="e">
        <v>#N/A</v>
      </c>
      <c r="H433" s="2364" t="e">
        <f t="shared" si="40"/>
        <v>#N/A</v>
      </c>
      <c r="I433" s="223" t="e">
        <v>#N/A</v>
      </c>
      <c r="J433" s="1299" t="e">
        <v>#N/A</v>
      </c>
      <c r="K433" s="1602" t="e">
        <f t="shared" si="41"/>
        <v>#N/A</v>
      </c>
      <c r="L433" s="947" t="e">
        <v>#N/A</v>
      </c>
      <c r="M433" s="190" t="e">
        <v>#N/A</v>
      </c>
      <c r="N433" s="1398" t="e">
        <v>#N/A</v>
      </c>
      <c r="O433" s="2394" t="e">
        <f t="shared" si="42"/>
        <v>#N/A</v>
      </c>
      <c r="P433" s="1398" t="e">
        <v>#N/A</v>
      </c>
      <c r="Q433" s="1398" t="e">
        <v>#N/A</v>
      </c>
      <c r="R433" s="1398" t="e">
        <v>#N/A</v>
      </c>
      <c r="S433" s="1398" t="e">
        <v>#N/A</v>
      </c>
      <c r="T433" s="947" t="e">
        <v>#N/A</v>
      </c>
      <c r="U433" s="190" t="e">
        <v>#N/A</v>
      </c>
      <c r="V433" s="2365" t="e">
        <f t="shared" si="43"/>
        <v>#N/A</v>
      </c>
    </row>
    <row r="434" spans="1:22">
      <c r="A434" s="972">
        <f t="shared" si="31"/>
        <v>2029.05</v>
      </c>
      <c r="B434" s="223" t="e">
        <v>#N/A</v>
      </c>
      <c r="C434" s="1398" t="e">
        <v>#N/A</v>
      </c>
      <c r="D434" s="1398" t="e">
        <v>#N/A</v>
      </c>
      <c r="E434" s="1398" t="e">
        <v>#N/A</v>
      </c>
      <c r="F434" s="223" t="e">
        <v>#N/A</v>
      </c>
      <c r="G434" s="3538" t="e">
        <v>#N/A</v>
      </c>
      <c r="H434" s="2364" t="e">
        <f t="shared" si="40"/>
        <v>#N/A</v>
      </c>
      <c r="I434" s="223" t="e">
        <v>#N/A</v>
      </c>
      <c r="J434" s="1299" t="e">
        <v>#N/A</v>
      </c>
      <c r="K434" s="1602" t="e">
        <f t="shared" si="41"/>
        <v>#N/A</v>
      </c>
      <c r="L434" s="947" t="e">
        <v>#N/A</v>
      </c>
      <c r="M434" s="190" t="e">
        <v>#N/A</v>
      </c>
      <c r="N434" s="1398" t="e">
        <v>#N/A</v>
      </c>
      <c r="O434" s="2394" t="e">
        <f t="shared" si="42"/>
        <v>#N/A</v>
      </c>
      <c r="P434" s="1398" t="e">
        <v>#N/A</v>
      </c>
      <c r="Q434" s="1398" t="e">
        <v>#N/A</v>
      </c>
      <c r="R434" s="1398" t="e">
        <v>#N/A</v>
      </c>
      <c r="S434" s="1398" t="e">
        <v>#N/A</v>
      </c>
      <c r="T434" s="947" t="e">
        <v>#N/A</v>
      </c>
      <c r="U434" s="190" t="e">
        <v>#N/A</v>
      </c>
      <c r="V434" s="2365" t="e">
        <f t="shared" si="43"/>
        <v>#N/A</v>
      </c>
    </row>
    <row r="435" spans="1:22">
      <c r="A435" s="972">
        <f t="shared" ref="A435:A453" si="44">A423+1</f>
        <v>2029.06</v>
      </c>
      <c r="B435" s="223" t="e">
        <v>#N/A</v>
      </c>
      <c r="C435" s="1398" t="e">
        <v>#N/A</v>
      </c>
      <c r="D435" s="1398" t="e">
        <v>#N/A</v>
      </c>
      <c r="E435" s="1398" t="e">
        <v>#N/A</v>
      </c>
      <c r="F435" s="223" t="e">
        <v>#N/A</v>
      </c>
      <c r="G435" s="3538" t="e">
        <v>#N/A</v>
      </c>
      <c r="H435" s="2364" t="e">
        <f t="shared" si="40"/>
        <v>#N/A</v>
      </c>
      <c r="I435" s="223" t="e">
        <v>#N/A</v>
      </c>
      <c r="J435" s="1299" t="e">
        <v>#N/A</v>
      </c>
      <c r="K435" s="1602" t="e">
        <f t="shared" si="41"/>
        <v>#N/A</v>
      </c>
      <c r="L435" s="947" t="e">
        <v>#N/A</v>
      </c>
      <c r="M435" s="190" t="e">
        <v>#N/A</v>
      </c>
      <c r="N435" s="1398" t="e">
        <v>#N/A</v>
      </c>
      <c r="O435" s="2394" t="e">
        <f t="shared" si="42"/>
        <v>#N/A</v>
      </c>
      <c r="P435" s="1398" t="e">
        <v>#N/A</v>
      </c>
      <c r="Q435" s="1398" t="e">
        <v>#N/A</v>
      </c>
      <c r="R435" s="1398" t="e">
        <v>#N/A</v>
      </c>
      <c r="S435" s="1398" t="e">
        <v>#N/A</v>
      </c>
      <c r="T435" s="947" t="e">
        <v>#N/A</v>
      </c>
      <c r="U435" s="190" t="e">
        <v>#N/A</v>
      </c>
      <c r="V435" s="2365" t="e">
        <f t="shared" si="43"/>
        <v>#N/A</v>
      </c>
    </row>
    <row r="436" spans="1:22">
      <c r="A436" s="972">
        <f t="shared" si="44"/>
        <v>2029.07</v>
      </c>
      <c r="B436" s="223" t="e">
        <v>#N/A</v>
      </c>
      <c r="C436" s="1398" t="e">
        <v>#N/A</v>
      </c>
      <c r="D436" s="1398" t="e">
        <v>#N/A</v>
      </c>
      <c r="E436" s="1398" t="e">
        <v>#N/A</v>
      </c>
      <c r="F436" s="223" t="e">
        <v>#N/A</v>
      </c>
      <c r="G436" s="3538" t="e">
        <v>#N/A</v>
      </c>
      <c r="H436" s="2364" t="e">
        <f t="shared" si="40"/>
        <v>#N/A</v>
      </c>
      <c r="I436" s="223" t="e">
        <v>#N/A</v>
      </c>
      <c r="J436" s="1299" t="e">
        <v>#N/A</v>
      </c>
      <c r="K436" s="1602" t="e">
        <f t="shared" si="41"/>
        <v>#N/A</v>
      </c>
      <c r="L436" s="947" t="e">
        <v>#N/A</v>
      </c>
      <c r="M436" s="190" t="e">
        <v>#N/A</v>
      </c>
      <c r="N436" s="1398" t="e">
        <v>#N/A</v>
      </c>
      <c r="O436" s="2394" t="e">
        <f t="shared" si="42"/>
        <v>#N/A</v>
      </c>
      <c r="P436" s="1398" t="e">
        <v>#N/A</v>
      </c>
      <c r="Q436" s="1398" t="e">
        <v>#N/A</v>
      </c>
      <c r="R436" s="1398" t="e">
        <v>#N/A</v>
      </c>
      <c r="S436" s="1398" t="e">
        <v>#N/A</v>
      </c>
      <c r="T436" s="947" t="e">
        <v>#N/A</v>
      </c>
      <c r="U436" s="190" t="e">
        <v>#N/A</v>
      </c>
      <c r="V436" s="2365" t="e">
        <f t="shared" si="43"/>
        <v>#N/A</v>
      </c>
    </row>
    <row r="437" spans="1:22">
      <c r="A437" s="972">
        <f t="shared" si="44"/>
        <v>2029.08</v>
      </c>
      <c r="B437" s="223" t="e">
        <v>#N/A</v>
      </c>
      <c r="C437" s="1398" t="e">
        <v>#N/A</v>
      </c>
      <c r="D437" s="1398" t="e">
        <v>#N/A</v>
      </c>
      <c r="E437" s="1398" t="e">
        <v>#N/A</v>
      </c>
      <c r="F437" s="223" t="e">
        <v>#N/A</v>
      </c>
      <c r="G437" s="3538" t="e">
        <v>#N/A</v>
      </c>
      <c r="H437" s="2364" t="e">
        <f t="shared" si="40"/>
        <v>#N/A</v>
      </c>
      <c r="I437" s="223" t="e">
        <v>#N/A</v>
      </c>
      <c r="J437" s="1299" t="e">
        <v>#N/A</v>
      </c>
      <c r="K437" s="1602" t="e">
        <f t="shared" si="41"/>
        <v>#N/A</v>
      </c>
      <c r="L437" s="947" t="e">
        <v>#N/A</v>
      </c>
      <c r="M437" s="190" t="e">
        <v>#N/A</v>
      </c>
      <c r="N437" s="1398" t="e">
        <v>#N/A</v>
      </c>
      <c r="O437" s="2394" t="e">
        <f t="shared" si="42"/>
        <v>#N/A</v>
      </c>
      <c r="P437" s="1398" t="e">
        <v>#N/A</v>
      </c>
      <c r="Q437" s="1398" t="e">
        <v>#N/A</v>
      </c>
      <c r="R437" s="1398" t="e">
        <v>#N/A</v>
      </c>
      <c r="S437" s="1398" t="e">
        <v>#N/A</v>
      </c>
      <c r="T437" s="947" t="e">
        <v>#N/A</v>
      </c>
      <c r="U437" s="190" t="e">
        <v>#N/A</v>
      </c>
      <c r="V437" s="2365" t="e">
        <f t="shared" si="43"/>
        <v>#N/A</v>
      </c>
    </row>
    <row r="438" spans="1:22">
      <c r="A438" s="972">
        <f t="shared" si="44"/>
        <v>2029.09</v>
      </c>
      <c r="B438" s="223" t="e">
        <v>#N/A</v>
      </c>
      <c r="C438" s="1398" t="e">
        <v>#N/A</v>
      </c>
      <c r="D438" s="1398" t="e">
        <v>#N/A</v>
      </c>
      <c r="E438" s="1398" t="e">
        <v>#N/A</v>
      </c>
      <c r="F438" s="223" t="e">
        <v>#N/A</v>
      </c>
      <c r="G438" s="3538" t="e">
        <v>#N/A</v>
      </c>
      <c r="H438" s="2364" t="e">
        <f t="shared" si="40"/>
        <v>#N/A</v>
      </c>
      <c r="I438" s="223" t="e">
        <v>#N/A</v>
      </c>
      <c r="J438" s="1299" t="e">
        <v>#N/A</v>
      </c>
      <c r="K438" s="1602" t="e">
        <f t="shared" si="41"/>
        <v>#N/A</v>
      </c>
      <c r="L438" s="947" t="e">
        <v>#N/A</v>
      </c>
      <c r="M438" s="190" t="e">
        <v>#N/A</v>
      </c>
      <c r="N438" s="1398" t="e">
        <v>#N/A</v>
      </c>
      <c r="O438" s="2394" t="e">
        <f t="shared" si="42"/>
        <v>#N/A</v>
      </c>
      <c r="P438" s="1398" t="e">
        <v>#N/A</v>
      </c>
      <c r="Q438" s="1398" t="e">
        <v>#N/A</v>
      </c>
      <c r="R438" s="1398" t="e">
        <v>#N/A</v>
      </c>
      <c r="S438" s="1398" t="e">
        <v>#N/A</v>
      </c>
      <c r="T438" s="947" t="e">
        <v>#N/A</v>
      </c>
      <c r="U438" s="190" t="e">
        <v>#N/A</v>
      </c>
      <c r="V438" s="2365" t="e">
        <f t="shared" si="43"/>
        <v>#N/A</v>
      </c>
    </row>
    <row r="439" spans="1:22">
      <c r="A439" s="972">
        <f t="shared" si="44"/>
        <v>2029.1</v>
      </c>
      <c r="B439" s="223" t="e">
        <v>#N/A</v>
      </c>
      <c r="C439" s="1398" t="e">
        <v>#N/A</v>
      </c>
      <c r="D439" s="1398" t="e">
        <v>#N/A</v>
      </c>
      <c r="E439" s="1398" t="e">
        <v>#N/A</v>
      </c>
      <c r="F439" s="223" t="e">
        <v>#N/A</v>
      </c>
      <c r="G439" s="3538" t="e">
        <v>#N/A</v>
      </c>
      <c r="H439" s="2364" t="e">
        <f t="shared" si="40"/>
        <v>#N/A</v>
      </c>
      <c r="I439" s="223" t="e">
        <v>#N/A</v>
      </c>
      <c r="J439" s="1299" t="e">
        <v>#N/A</v>
      </c>
      <c r="K439" s="1602" t="e">
        <f t="shared" si="41"/>
        <v>#N/A</v>
      </c>
      <c r="L439" s="947" t="e">
        <v>#N/A</v>
      </c>
      <c r="M439" s="190" t="e">
        <v>#N/A</v>
      </c>
      <c r="N439" s="1398" t="e">
        <v>#N/A</v>
      </c>
      <c r="O439" s="2394" t="e">
        <f t="shared" si="42"/>
        <v>#N/A</v>
      </c>
      <c r="P439" s="1398" t="e">
        <v>#N/A</v>
      </c>
      <c r="Q439" s="1398" t="e">
        <v>#N/A</v>
      </c>
      <c r="R439" s="1398" t="e">
        <v>#N/A</v>
      </c>
      <c r="S439" s="1398" t="e">
        <v>#N/A</v>
      </c>
      <c r="T439" s="947" t="e">
        <v>#N/A</v>
      </c>
      <c r="U439" s="190" t="e">
        <v>#N/A</v>
      </c>
      <c r="V439" s="2365" t="e">
        <f t="shared" si="43"/>
        <v>#N/A</v>
      </c>
    </row>
    <row r="440" spans="1:22">
      <c r="A440" s="972">
        <f t="shared" si="44"/>
        <v>2029.11</v>
      </c>
      <c r="B440" s="223" t="e">
        <v>#N/A</v>
      </c>
      <c r="C440" s="1398" t="e">
        <v>#N/A</v>
      </c>
      <c r="D440" s="1398" t="e">
        <v>#N/A</v>
      </c>
      <c r="E440" s="1398" t="e">
        <v>#N/A</v>
      </c>
      <c r="F440" s="223" t="e">
        <v>#N/A</v>
      </c>
      <c r="G440" s="3538" t="e">
        <v>#N/A</v>
      </c>
      <c r="H440" s="2364" t="e">
        <f t="shared" si="40"/>
        <v>#N/A</v>
      </c>
      <c r="I440" s="223" t="e">
        <v>#N/A</v>
      </c>
      <c r="J440" s="1299" t="e">
        <v>#N/A</v>
      </c>
      <c r="K440" s="1602" t="e">
        <f t="shared" si="41"/>
        <v>#N/A</v>
      </c>
      <c r="L440" s="947" t="e">
        <v>#N/A</v>
      </c>
      <c r="M440" s="190" t="e">
        <v>#N/A</v>
      </c>
      <c r="N440" s="1398" t="e">
        <v>#N/A</v>
      </c>
      <c r="O440" s="2394" t="e">
        <f t="shared" si="42"/>
        <v>#N/A</v>
      </c>
      <c r="P440" s="1398" t="e">
        <v>#N/A</v>
      </c>
      <c r="Q440" s="1398" t="e">
        <v>#N/A</v>
      </c>
      <c r="R440" s="1398" t="e">
        <v>#N/A</v>
      </c>
      <c r="S440" s="1398" t="e">
        <v>#N/A</v>
      </c>
      <c r="T440" s="947" t="e">
        <v>#N/A</v>
      </c>
      <c r="U440" s="190" t="e">
        <v>#N/A</v>
      </c>
      <c r="V440" s="2365" t="e">
        <f t="shared" si="43"/>
        <v>#N/A</v>
      </c>
    </row>
    <row r="441" spans="1:22">
      <c r="A441" s="972">
        <f t="shared" si="44"/>
        <v>2029.12</v>
      </c>
      <c r="B441" s="223" t="e">
        <v>#N/A</v>
      </c>
      <c r="C441" s="1398" t="e">
        <v>#N/A</v>
      </c>
      <c r="D441" s="1398" t="e">
        <v>#N/A</v>
      </c>
      <c r="E441" s="1398" t="e">
        <v>#N/A</v>
      </c>
      <c r="F441" s="223" t="e">
        <v>#N/A</v>
      </c>
      <c r="G441" s="3538" t="e">
        <v>#N/A</v>
      </c>
      <c r="H441" s="2364" t="e">
        <f t="shared" si="40"/>
        <v>#N/A</v>
      </c>
      <c r="I441" s="223" t="e">
        <v>#N/A</v>
      </c>
      <c r="J441" s="1299" t="e">
        <v>#N/A</v>
      </c>
      <c r="K441" s="1602" t="e">
        <f t="shared" si="41"/>
        <v>#N/A</v>
      </c>
      <c r="L441" s="947" t="e">
        <v>#N/A</v>
      </c>
      <c r="M441" s="190" t="e">
        <v>#N/A</v>
      </c>
      <c r="N441" s="1398" t="e">
        <v>#N/A</v>
      </c>
      <c r="O441" s="2394" t="e">
        <f t="shared" si="42"/>
        <v>#N/A</v>
      </c>
      <c r="P441" s="1398" t="e">
        <v>#N/A</v>
      </c>
      <c r="Q441" s="1398" t="e">
        <v>#N/A</v>
      </c>
      <c r="R441" s="1398" t="e">
        <v>#N/A</v>
      </c>
      <c r="S441" s="1398" t="e">
        <v>#N/A</v>
      </c>
      <c r="T441" s="947" t="e">
        <v>#N/A</v>
      </c>
      <c r="U441" s="190" t="e">
        <v>#N/A</v>
      </c>
      <c r="V441" s="2365" t="e">
        <f t="shared" si="43"/>
        <v>#N/A</v>
      </c>
    </row>
    <row r="442" spans="1:22">
      <c r="A442" s="972">
        <f t="shared" si="44"/>
        <v>2030.01</v>
      </c>
      <c r="B442" s="223" t="e">
        <v>#N/A</v>
      </c>
      <c r="C442" s="1398" t="e">
        <v>#N/A</v>
      </c>
      <c r="D442" s="1398" t="e">
        <v>#N/A</v>
      </c>
      <c r="E442" s="1398" t="e">
        <v>#N/A</v>
      </c>
      <c r="F442" s="223" t="e">
        <v>#N/A</v>
      </c>
      <c r="G442" s="3538" t="e">
        <v>#N/A</v>
      </c>
      <c r="H442" s="2364" t="e">
        <f t="shared" si="40"/>
        <v>#N/A</v>
      </c>
      <c r="I442" s="223" t="e">
        <v>#N/A</v>
      </c>
      <c r="J442" s="1299" t="e">
        <v>#N/A</v>
      </c>
      <c r="K442" s="1602" t="e">
        <f t="shared" si="41"/>
        <v>#N/A</v>
      </c>
      <c r="L442" s="947" t="e">
        <v>#N/A</v>
      </c>
      <c r="M442" s="190" t="e">
        <v>#N/A</v>
      </c>
      <c r="N442" s="1398" t="e">
        <v>#N/A</v>
      </c>
      <c r="O442" s="2394" t="e">
        <f t="shared" si="42"/>
        <v>#N/A</v>
      </c>
      <c r="P442" s="1398" t="e">
        <v>#N/A</v>
      </c>
      <c r="Q442" s="1398" t="e">
        <v>#N/A</v>
      </c>
      <c r="R442" s="1398" t="e">
        <v>#N/A</v>
      </c>
      <c r="S442" s="1398" t="e">
        <v>#N/A</v>
      </c>
      <c r="T442" s="947" t="e">
        <v>#N/A</v>
      </c>
      <c r="U442" s="190" t="e">
        <v>#N/A</v>
      </c>
      <c r="V442" s="2365" t="e">
        <f t="shared" si="43"/>
        <v>#N/A</v>
      </c>
    </row>
    <row r="443" spans="1:22">
      <c r="A443" s="972">
        <f t="shared" si="44"/>
        <v>2030.02</v>
      </c>
      <c r="B443" s="223" t="e">
        <v>#N/A</v>
      </c>
      <c r="C443" s="1398" t="e">
        <v>#N/A</v>
      </c>
      <c r="D443" s="1398" t="e">
        <v>#N/A</v>
      </c>
      <c r="E443" s="1398" t="e">
        <v>#N/A</v>
      </c>
      <c r="F443" s="223" t="e">
        <v>#N/A</v>
      </c>
      <c r="G443" s="3538" t="e">
        <v>#N/A</v>
      </c>
      <c r="H443" s="2364" t="e">
        <f t="shared" si="40"/>
        <v>#N/A</v>
      </c>
      <c r="I443" s="223" t="e">
        <v>#N/A</v>
      </c>
      <c r="J443" s="1299" t="e">
        <v>#N/A</v>
      </c>
      <c r="K443" s="1602" t="e">
        <f t="shared" si="41"/>
        <v>#N/A</v>
      </c>
      <c r="L443" s="947" t="e">
        <v>#N/A</v>
      </c>
      <c r="M443" s="190" t="e">
        <v>#N/A</v>
      </c>
      <c r="N443" s="1398" t="e">
        <v>#N/A</v>
      </c>
      <c r="O443" s="2394" t="e">
        <f t="shared" si="42"/>
        <v>#N/A</v>
      </c>
      <c r="P443" s="1398" t="e">
        <v>#N/A</v>
      </c>
      <c r="Q443" s="1398" t="e">
        <v>#N/A</v>
      </c>
      <c r="R443" s="1398" t="e">
        <v>#N/A</v>
      </c>
      <c r="S443" s="1398" t="e">
        <v>#N/A</v>
      </c>
      <c r="T443" s="947" t="e">
        <v>#N/A</v>
      </c>
      <c r="U443" s="190" t="e">
        <v>#N/A</v>
      </c>
      <c r="V443" s="2365" t="e">
        <f t="shared" si="43"/>
        <v>#N/A</v>
      </c>
    </row>
    <row r="444" spans="1:22">
      <c r="A444" s="972">
        <f t="shared" si="44"/>
        <v>2030.03</v>
      </c>
      <c r="B444" s="223" t="e">
        <v>#N/A</v>
      </c>
      <c r="C444" s="1398" t="e">
        <v>#N/A</v>
      </c>
      <c r="D444" s="1398" t="e">
        <v>#N/A</v>
      </c>
      <c r="E444" s="1398" t="e">
        <v>#N/A</v>
      </c>
      <c r="F444" s="223" t="e">
        <v>#N/A</v>
      </c>
      <c r="G444" s="3538" t="e">
        <v>#N/A</v>
      </c>
      <c r="H444" s="2364" t="e">
        <f t="shared" si="40"/>
        <v>#N/A</v>
      </c>
      <c r="I444" s="223" t="e">
        <v>#N/A</v>
      </c>
      <c r="J444" s="1299" t="e">
        <v>#N/A</v>
      </c>
      <c r="K444" s="1602" t="e">
        <f t="shared" si="41"/>
        <v>#N/A</v>
      </c>
      <c r="L444" s="947" t="e">
        <v>#N/A</v>
      </c>
      <c r="M444" s="190" t="e">
        <v>#N/A</v>
      </c>
      <c r="N444" s="1398" t="e">
        <v>#N/A</v>
      </c>
      <c r="O444" s="2394" t="e">
        <f t="shared" si="42"/>
        <v>#N/A</v>
      </c>
      <c r="P444" s="1398" t="e">
        <v>#N/A</v>
      </c>
      <c r="Q444" s="1398" t="e">
        <v>#N/A</v>
      </c>
      <c r="R444" s="1398" t="e">
        <v>#N/A</v>
      </c>
      <c r="S444" s="1398" t="e">
        <v>#N/A</v>
      </c>
      <c r="T444" s="947" t="e">
        <v>#N/A</v>
      </c>
      <c r="U444" s="190" t="e">
        <v>#N/A</v>
      </c>
      <c r="V444" s="2365" t="e">
        <f t="shared" si="43"/>
        <v>#N/A</v>
      </c>
    </row>
    <row r="445" spans="1:22">
      <c r="A445" s="972">
        <f t="shared" si="44"/>
        <v>2030.04</v>
      </c>
      <c r="B445" s="223" t="e">
        <v>#N/A</v>
      </c>
      <c r="C445" s="1398" t="e">
        <v>#N/A</v>
      </c>
      <c r="D445" s="1398" t="e">
        <v>#N/A</v>
      </c>
      <c r="E445" s="1398" t="e">
        <v>#N/A</v>
      </c>
      <c r="F445" s="223" t="e">
        <v>#N/A</v>
      </c>
      <c r="G445" s="3538" t="e">
        <v>#N/A</v>
      </c>
      <c r="H445" s="2364" t="e">
        <f t="shared" si="40"/>
        <v>#N/A</v>
      </c>
      <c r="I445" s="223" t="e">
        <v>#N/A</v>
      </c>
      <c r="J445" s="1299" t="e">
        <v>#N/A</v>
      </c>
      <c r="K445" s="1602" t="e">
        <f t="shared" si="41"/>
        <v>#N/A</v>
      </c>
      <c r="L445" s="947" t="e">
        <v>#N/A</v>
      </c>
      <c r="M445" s="190" t="e">
        <v>#N/A</v>
      </c>
      <c r="N445" s="1398" t="e">
        <v>#N/A</v>
      </c>
      <c r="O445" s="2394" t="e">
        <f t="shared" si="42"/>
        <v>#N/A</v>
      </c>
      <c r="P445" s="1398" t="e">
        <v>#N/A</v>
      </c>
      <c r="Q445" s="1398" t="e">
        <v>#N/A</v>
      </c>
      <c r="R445" s="1398" t="e">
        <v>#N/A</v>
      </c>
      <c r="S445" s="1398" t="e">
        <v>#N/A</v>
      </c>
      <c r="T445" s="947" t="e">
        <v>#N/A</v>
      </c>
      <c r="U445" s="190" t="e">
        <v>#N/A</v>
      </c>
      <c r="V445" s="2365" t="e">
        <f t="shared" si="43"/>
        <v>#N/A</v>
      </c>
    </row>
    <row r="446" spans="1:22">
      <c r="A446" s="972">
        <f t="shared" si="44"/>
        <v>2030.05</v>
      </c>
      <c r="B446" s="223" t="e">
        <v>#N/A</v>
      </c>
      <c r="C446" s="1398" t="e">
        <v>#N/A</v>
      </c>
      <c r="D446" s="1398" t="e">
        <v>#N/A</v>
      </c>
      <c r="E446" s="1398" t="e">
        <v>#N/A</v>
      </c>
      <c r="F446" s="223" t="e">
        <v>#N/A</v>
      </c>
      <c r="G446" s="3538" t="e">
        <v>#N/A</v>
      </c>
      <c r="H446" s="2364" t="e">
        <f t="shared" si="40"/>
        <v>#N/A</v>
      </c>
      <c r="I446" s="223" t="e">
        <v>#N/A</v>
      </c>
      <c r="J446" s="1299" t="e">
        <v>#N/A</v>
      </c>
      <c r="K446" s="1602" t="e">
        <f t="shared" si="41"/>
        <v>#N/A</v>
      </c>
      <c r="L446" s="947" t="e">
        <v>#N/A</v>
      </c>
      <c r="M446" s="190" t="e">
        <v>#N/A</v>
      </c>
      <c r="N446" s="1398" t="e">
        <v>#N/A</v>
      </c>
      <c r="O446" s="2394" t="e">
        <f t="shared" si="42"/>
        <v>#N/A</v>
      </c>
      <c r="P446" s="1398" t="e">
        <v>#N/A</v>
      </c>
      <c r="Q446" s="1398" t="e">
        <v>#N/A</v>
      </c>
      <c r="R446" s="1398" t="e">
        <v>#N/A</v>
      </c>
      <c r="S446" s="1398" t="e">
        <v>#N/A</v>
      </c>
      <c r="T446" s="947" t="e">
        <v>#N/A</v>
      </c>
      <c r="U446" s="190" t="e">
        <v>#N/A</v>
      </c>
      <c r="V446" s="2365" t="e">
        <f t="shared" si="43"/>
        <v>#N/A</v>
      </c>
    </row>
    <row r="447" spans="1:22">
      <c r="A447" s="972">
        <f t="shared" si="44"/>
        <v>2030.06</v>
      </c>
      <c r="B447" s="223" t="e">
        <v>#N/A</v>
      </c>
      <c r="C447" s="1398" t="e">
        <v>#N/A</v>
      </c>
      <c r="D447" s="1398" t="e">
        <v>#N/A</v>
      </c>
      <c r="E447" s="1398" t="e">
        <v>#N/A</v>
      </c>
      <c r="F447" s="223" t="e">
        <v>#N/A</v>
      </c>
      <c r="G447" s="3538" t="e">
        <v>#N/A</v>
      </c>
      <c r="H447" s="2364" t="e">
        <f t="shared" si="40"/>
        <v>#N/A</v>
      </c>
      <c r="I447" s="223" t="e">
        <v>#N/A</v>
      </c>
      <c r="J447" s="1299" t="e">
        <v>#N/A</v>
      </c>
      <c r="K447" s="1602" t="e">
        <f t="shared" si="41"/>
        <v>#N/A</v>
      </c>
      <c r="L447" s="947" t="e">
        <v>#N/A</v>
      </c>
      <c r="M447" s="190" t="e">
        <v>#N/A</v>
      </c>
      <c r="N447" s="1398" t="e">
        <v>#N/A</v>
      </c>
      <c r="O447" s="2394" t="e">
        <f t="shared" si="42"/>
        <v>#N/A</v>
      </c>
      <c r="P447" s="1398" t="e">
        <v>#N/A</v>
      </c>
      <c r="Q447" s="1398" t="e">
        <v>#N/A</v>
      </c>
      <c r="R447" s="1398" t="e">
        <v>#N/A</v>
      </c>
      <c r="S447" s="1398" t="e">
        <v>#N/A</v>
      </c>
      <c r="T447" s="947" t="e">
        <v>#N/A</v>
      </c>
      <c r="U447" s="190" t="e">
        <v>#N/A</v>
      </c>
      <c r="V447" s="2365" t="e">
        <f t="shared" si="43"/>
        <v>#N/A</v>
      </c>
    </row>
    <row r="448" spans="1:22">
      <c r="A448" s="972">
        <f t="shared" si="44"/>
        <v>2030.07</v>
      </c>
      <c r="B448" s="223" t="e">
        <v>#N/A</v>
      </c>
      <c r="C448" s="1398" t="e">
        <v>#N/A</v>
      </c>
      <c r="D448" s="1398" t="e">
        <v>#N/A</v>
      </c>
      <c r="E448" s="1398" t="e">
        <v>#N/A</v>
      </c>
      <c r="F448" s="223" t="e">
        <v>#N/A</v>
      </c>
      <c r="G448" s="3538" t="e">
        <v>#N/A</v>
      </c>
      <c r="H448" s="2364" t="e">
        <f t="shared" si="40"/>
        <v>#N/A</v>
      </c>
      <c r="I448" s="223" t="e">
        <v>#N/A</v>
      </c>
      <c r="J448" s="1299" t="e">
        <v>#N/A</v>
      </c>
      <c r="K448" s="1602" t="e">
        <f t="shared" si="41"/>
        <v>#N/A</v>
      </c>
      <c r="L448" s="947" t="e">
        <v>#N/A</v>
      </c>
      <c r="M448" s="190" t="e">
        <v>#N/A</v>
      </c>
      <c r="N448" s="1398" t="e">
        <v>#N/A</v>
      </c>
      <c r="O448" s="2394" t="e">
        <f t="shared" si="42"/>
        <v>#N/A</v>
      </c>
      <c r="P448" s="1398" t="e">
        <v>#N/A</v>
      </c>
      <c r="Q448" s="1398" t="e">
        <v>#N/A</v>
      </c>
      <c r="R448" s="1398" t="e">
        <v>#N/A</v>
      </c>
      <c r="S448" s="1398" t="e">
        <v>#N/A</v>
      </c>
      <c r="T448" s="947" t="e">
        <v>#N/A</v>
      </c>
      <c r="U448" s="190" t="e">
        <v>#N/A</v>
      </c>
      <c r="V448" s="2365" t="e">
        <f t="shared" si="43"/>
        <v>#N/A</v>
      </c>
    </row>
    <row r="449" spans="1:22">
      <c r="A449" s="972">
        <f t="shared" si="44"/>
        <v>2030.08</v>
      </c>
      <c r="B449" s="223" t="e">
        <v>#N/A</v>
      </c>
      <c r="C449" s="1398" t="e">
        <v>#N/A</v>
      </c>
      <c r="D449" s="1398" t="e">
        <v>#N/A</v>
      </c>
      <c r="E449" s="1398" t="e">
        <v>#N/A</v>
      </c>
      <c r="F449" s="223" t="e">
        <v>#N/A</v>
      </c>
      <c r="G449" s="3538" t="e">
        <v>#N/A</v>
      </c>
      <c r="H449" s="2364" t="e">
        <f t="shared" si="40"/>
        <v>#N/A</v>
      </c>
      <c r="I449" s="223" t="e">
        <v>#N/A</v>
      </c>
      <c r="J449" s="1299" t="e">
        <v>#N/A</v>
      </c>
      <c r="K449" s="1602" t="e">
        <f t="shared" si="41"/>
        <v>#N/A</v>
      </c>
      <c r="L449" s="947" t="e">
        <v>#N/A</v>
      </c>
      <c r="M449" s="190" t="e">
        <v>#N/A</v>
      </c>
      <c r="N449" s="1398" t="e">
        <v>#N/A</v>
      </c>
      <c r="O449" s="2394" t="e">
        <f t="shared" si="42"/>
        <v>#N/A</v>
      </c>
      <c r="P449" s="1398" t="e">
        <v>#N/A</v>
      </c>
      <c r="Q449" s="1398" t="e">
        <v>#N/A</v>
      </c>
      <c r="R449" s="1398" t="e">
        <v>#N/A</v>
      </c>
      <c r="S449" s="1398" t="e">
        <v>#N/A</v>
      </c>
      <c r="T449" s="947" t="e">
        <v>#N/A</v>
      </c>
      <c r="U449" s="190" t="e">
        <v>#N/A</v>
      </c>
      <c r="V449" s="2365" t="e">
        <f t="shared" si="43"/>
        <v>#N/A</v>
      </c>
    </row>
    <row r="450" spans="1:22">
      <c r="A450" s="972">
        <f t="shared" si="44"/>
        <v>2030.09</v>
      </c>
      <c r="B450" s="223" t="e">
        <v>#N/A</v>
      </c>
      <c r="C450" s="1398" t="e">
        <v>#N/A</v>
      </c>
      <c r="D450" s="1398" t="e">
        <v>#N/A</v>
      </c>
      <c r="E450" s="1398" t="e">
        <v>#N/A</v>
      </c>
      <c r="F450" s="223" t="e">
        <v>#N/A</v>
      </c>
      <c r="G450" s="3538" t="e">
        <v>#N/A</v>
      </c>
      <c r="H450" s="2364" t="e">
        <f t="shared" si="40"/>
        <v>#N/A</v>
      </c>
      <c r="I450" s="223" t="e">
        <v>#N/A</v>
      </c>
      <c r="J450" s="1299" t="e">
        <v>#N/A</v>
      </c>
      <c r="K450" s="1602" t="e">
        <f t="shared" si="41"/>
        <v>#N/A</v>
      </c>
      <c r="L450" s="947" t="e">
        <v>#N/A</v>
      </c>
      <c r="M450" s="190" t="e">
        <v>#N/A</v>
      </c>
      <c r="N450" s="1398" t="e">
        <v>#N/A</v>
      </c>
      <c r="O450" s="2394" t="e">
        <f t="shared" si="42"/>
        <v>#N/A</v>
      </c>
      <c r="P450" s="1398" t="e">
        <v>#N/A</v>
      </c>
      <c r="Q450" s="1398" t="e">
        <v>#N/A</v>
      </c>
      <c r="R450" s="1398" t="e">
        <v>#N/A</v>
      </c>
      <c r="S450" s="1398" t="e">
        <v>#N/A</v>
      </c>
      <c r="T450" s="947" t="e">
        <v>#N/A</v>
      </c>
      <c r="U450" s="190" t="e">
        <v>#N/A</v>
      </c>
      <c r="V450" s="2365" t="e">
        <f t="shared" si="43"/>
        <v>#N/A</v>
      </c>
    </row>
    <row r="451" spans="1:22">
      <c r="A451" s="972">
        <f t="shared" si="44"/>
        <v>2030.1</v>
      </c>
      <c r="B451" s="223" t="e">
        <v>#N/A</v>
      </c>
      <c r="C451" s="1398" t="e">
        <v>#N/A</v>
      </c>
      <c r="D451" s="1398" t="e">
        <v>#N/A</v>
      </c>
      <c r="E451" s="1398" t="e">
        <v>#N/A</v>
      </c>
      <c r="F451" s="223" t="e">
        <v>#N/A</v>
      </c>
      <c r="G451" s="3538" t="e">
        <v>#N/A</v>
      </c>
      <c r="H451" s="2364" t="e">
        <f t="shared" si="40"/>
        <v>#N/A</v>
      </c>
      <c r="I451" s="223" t="e">
        <v>#N/A</v>
      </c>
      <c r="J451" s="1299" t="e">
        <v>#N/A</v>
      </c>
      <c r="K451" s="1602" t="e">
        <f t="shared" si="41"/>
        <v>#N/A</v>
      </c>
      <c r="L451" s="947" t="e">
        <v>#N/A</v>
      </c>
      <c r="M451" s="190" t="e">
        <v>#N/A</v>
      </c>
      <c r="N451" s="1398" t="e">
        <v>#N/A</v>
      </c>
      <c r="O451" s="2394" t="e">
        <f t="shared" si="42"/>
        <v>#N/A</v>
      </c>
      <c r="P451" s="1398" t="e">
        <v>#N/A</v>
      </c>
      <c r="Q451" s="1398" t="e">
        <v>#N/A</v>
      </c>
      <c r="R451" s="1398" t="e">
        <v>#N/A</v>
      </c>
      <c r="S451" s="1398" t="e">
        <v>#N/A</v>
      </c>
      <c r="T451" s="947" t="e">
        <v>#N/A</v>
      </c>
      <c r="U451" s="190" t="e">
        <v>#N/A</v>
      </c>
      <c r="V451" s="2365" t="e">
        <f t="shared" si="43"/>
        <v>#N/A</v>
      </c>
    </row>
    <row r="452" spans="1:22">
      <c r="A452" s="972">
        <f t="shared" si="44"/>
        <v>2030.11</v>
      </c>
      <c r="B452" s="223" t="e">
        <v>#N/A</v>
      </c>
      <c r="C452" s="1398" t="e">
        <v>#N/A</v>
      </c>
      <c r="D452" s="1398" t="e">
        <v>#N/A</v>
      </c>
      <c r="E452" s="1398" t="e">
        <v>#N/A</v>
      </c>
      <c r="F452" s="223" t="e">
        <v>#N/A</v>
      </c>
      <c r="G452" s="3538" t="e">
        <v>#N/A</v>
      </c>
      <c r="H452" s="2364" t="e">
        <f t="shared" si="40"/>
        <v>#N/A</v>
      </c>
      <c r="I452" s="223" t="e">
        <v>#N/A</v>
      </c>
      <c r="J452" s="1299" t="e">
        <v>#N/A</v>
      </c>
      <c r="K452" s="1602" t="e">
        <f t="shared" si="41"/>
        <v>#N/A</v>
      </c>
      <c r="L452" s="947" t="e">
        <v>#N/A</v>
      </c>
      <c r="M452" s="190" t="e">
        <v>#N/A</v>
      </c>
      <c r="N452" s="1398" t="e">
        <v>#N/A</v>
      </c>
      <c r="O452" s="2394" t="e">
        <f t="shared" si="42"/>
        <v>#N/A</v>
      </c>
      <c r="P452" s="1398" t="e">
        <v>#N/A</v>
      </c>
      <c r="Q452" s="1398" t="e">
        <v>#N/A</v>
      </c>
      <c r="R452" s="1398" t="e">
        <v>#N/A</v>
      </c>
      <c r="S452" s="1398" t="e">
        <v>#N/A</v>
      </c>
      <c r="T452" s="947" t="e">
        <v>#N/A</v>
      </c>
      <c r="U452" s="190" t="e">
        <v>#N/A</v>
      </c>
      <c r="V452" s="2365" t="e">
        <f t="shared" si="43"/>
        <v>#N/A</v>
      </c>
    </row>
    <row r="453" spans="1:22">
      <c r="A453" s="972">
        <f t="shared" si="44"/>
        <v>2030.12</v>
      </c>
      <c r="B453" s="223" t="e">
        <v>#N/A</v>
      </c>
      <c r="C453" s="1398" t="e">
        <v>#N/A</v>
      </c>
      <c r="D453" s="1398" t="e">
        <v>#N/A</v>
      </c>
      <c r="E453" s="1398" t="e">
        <v>#N/A</v>
      </c>
      <c r="F453" s="223" t="e">
        <v>#N/A</v>
      </c>
      <c r="G453" s="3538" t="e">
        <v>#N/A</v>
      </c>
      <c r="H453" s="2364" t="e">
        <f t="shared" si="40"/>
        <v>#N/A</v>
      </c>
      <c r="I453" s="223" t="e">
        <v>#N/A</v>
      </c>
      <c r="J453" s="1299" t="e">
        <v>#N/A</v>
      </c>
      <c r="K453" s="1602" t="e">
        <f t="shared" si="41"/>
        <v>#N/A</v>
      </c>
      <c r="L453" s="947" t="e">
        <v>#N/A</v>
      </c>
      <c r="M453" s="190" t="e">
        <v>#N/A</v>
      </c>
      <c r="N453" s="1398" t="e">
        <v>#N/A</v>
      </c>
      <c r="O453" s="2394" t="e">
        <f t="shared" si="42"/>
        <v>#N/A</v>
      </c>
      <c r="P453" s="1398" t="e">
        <v>#N/A</v>
      </c>
      <c r="Q453" s="1398" t="e">
        <v>#N/A</v>
      </c>
      <c r="R453" s="1398" t="e">
        <v>#N/A</v>
      </c>
      <c r="S453" s="1398" t="e">
        <v>#N/A</v>
      </c>
      <c r="T453" s="947" t="e">
        <v>#N/A</v>
      </c>
      <c r="U453" s="190" t="e">
        <v>#N/A</v>
      </c>
      <c r="V453" s="2365" t="e">
        <f t="shared" si="43"/>
        <v>#N/A</v>
      </c>
    </row>
  </sheetData>
  <phoneticPr fontId="0" type="noConversion"/>
  <hyperlinks>
    <hyperlink ref="A5" location="INDICE!A13" display="VOLVER AL INDICE" xr:uid="{00000000-0004-0000-2800-000000000000}"/>
  </hyperlinks>
  <pageMargins left="0.75" right="0.75" top="1" bottom="1" header="0" footer="0"/>
  <pageSetup paperSize="9" orientation="portrait" horizontalDpi="300" verticalDpi="300" r:id="rId1"/>
  <headerFooter alignWithMargins="0"/>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28"/>
  <dimension ref="A1:AC465"/>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10" style="52" customWidth="1"/>
    <col min="2" max="17" width="11.5703125" style="52" customWidth="1"/>
    <col min="18" max="29" width="11" style="52" customWidth="1"/>
    <col min="30" max="16384" width="11.42578125" style="7"/>
  </cols>
  <sheetData>
    <row r="1" spans="1:29" ht="7.5" customHeight="1">
      <c r="A1" s="2761"/>
      <c r="B1" s="55"/>
      <c r="C1" s="54"/>
      <c r="D1" s="3048" t="s">
        <v>5</v>
      </c>
      <c r="E1" s="3048"/>
      <c r="F1" s="3048"/>
      <c r="G1" s="3048"/>
      <c r="H1" s="3049"/>
      <c r="I1" s="3050"/>
      <c r="J1" s="3050"/>
      <c r="K1" s="3050"/>
      <c r="L1" s="3051"/>
      <c r="M1" s="1448"/>
      <c r="N1" s="3050"/>
      <c r="O1" s="3051"/>
      <c r="P1" s="3051"/>
      <c r="Q1" s="3051"/>
      <c r="R1" s="880"/>
      <c r="S1" s="67"/>
      <c r="T1" s="67"/>
      <c r="U1" s="67"/>
      <c r="V1" s="67"/>
      <c r="W1" s="67"/>
      <c r="X1" s="67"/>
      <c r="Y1" s="67"/>
      <c r="Z1" s="67"/>
      <c r="AA1" s="67"/>
      <c r="AB1" s="67"/>
      <c r="AC1" s="68"/>
    </row>
    <row r="2" spans="1:29" ht="33.75">
      <c r="A2" s="2762" t="s">
        <v>99</v>
      </c>
      <c r="B2" s="56" t="s">
        <v>1607</v>
      </c>
      <c r="C2" s="2816"/>
      <c r="D2" s="2736" t="s">
        <v>1608</v>
      </c>
      <c r="E2" s="2736"/>
      <c r="F2" s="2816"/>
      <c r="G2" s="2816"/>
      <c r="H2" s="2736" t="s">
        <v>1609</v>
      </c>
      <c r="I2" s="2746"/>
      <c r="J2" s="2746"/>
      <c r="K2" s="2746"/>
      <c r="L2" s="2746"/>
      <c r="M2" s="2736" t="s">
        <v>1610</v>
      </c>
      <c r="N2" s="2746"/>
      <c r="O2" s="3052"/>
      <c r="P2" s="3052"/>
      <c r="Q2" s="3052"/>
      <c r="R2" s="2742" t="s">
        <v>1611</v>
      </c>
      <c r="S2" s="320"/>
      <c r="T2" s="320"/>
      <c r="U2" s="320"/>
      <c r="V2" s="320"/>
      <c r="W2" s="320"/>
      <c r="X2" s="69"/>
      <c r="Y2" s="69"/>
      <c r="Z2" s="69"/>
      <c r="AA2" s="69"/>
      <c r="AB2" s="69"/>
      <c r="AC2" s="70"/>
    </row>
    <row r="3" spans="1:29">
      <c r="A3" s="2762" t="s">
        <v>104</v>
      </c>
      <c r="B3" s="146" t="s">
        <v>1612</v>
      </c>
      <c r="C3" s="3053"/>
      <c r="D3" s="2736"/>
      <c r="E3" s="2736"/>
      <c r="F3" s="2816"/>
      <c r="G3" s="2816"/>
      <c r="H3" s="2745"/>
      <c r="I3" s="2746"/>
      <c r="J3" s="2746"/>
      <c r="K3" s="2746"/>
      <c r="L3" s="2746"/>
      <c r="M3" s="2745"/>
      <c r="N3" s="2746"/>
      <c r="O3" s="3052"/>
      <c r="P3" s="3052"/>
      <c r="Q3" s="3052"/>
      <c r="R3" s="2742" t="s">
        <v>993</v>
      </c>
      <c r="S3" s="320"/>
      <c r="T3" s="320"/>
      <c r="U3" s="320"/>
      <c r="V3" s="320"/>
      <c r="W3" s="320"/>
      <c r="X3" s="69"/>
      <c r="Y3" s="69"/>
      <c r="Z3" s="69"/>
      <c r="AA3" s="69"/>
      <c r="AB3" s="69"/>
      <c r="AC3" s="70"/>
    </row>
    <row r="4" spans="1:29" ht="3" hidden="1" customHeight="1">
      <c r="A4" s="2762"/>
      <c r="B4" s="55"/>
      <c r="C4" s="54"/>
      <c r="D4" s="2927"/>
      <c r="E4" s="58"/>
      <c r="F4" s="58"/>
      <c r="G4" s="58"/>
      <c r="H4" s="2927"/>
      <c r="I4" s="58"/>
      <c r="J4" s="58"/>
      <c r="K4" s="58"/>
      <c r="L4" s="54"/>
      <c r="M4" s="2927"/>
      <c r="N4" s="58"/>
      <c r="O4" s="58"/>
      <c r="P4" s="58"/>
      <c r="Q4" s="58"/>
      <c r="R4" s="2914"/>
      <c r="S4" s="73"/>
      <c r="T4" s="73"/>
      <c r="U4" s="73"/>
      <c r="V4" s="73"/>
      <c r="W4" s="73"/>
      <c r="X4" s="73"/>
      <c r="Y4" s="73"/>
      <c r="Z4" s="73"/>
      <c r="AA4" s="73"/>
      <c r="AB4" s="73"/>
      <c r="AC4" s="74"/>
    </row>
    <row r="5" spans="1:29" ht="22.5">
      <c r="A5" s="2867" t="s">
        <v>140</v>
      </c>
      <c r="B5" s="2758" t="s">
        <v>1613</v>
      </c>
      <c r="C5" s="3667" t="s">
        <v>1614</v>
      </c>
      <c r="D5" s="2758" t="s">
        <v>1615</v>
      </c>
      <c r="E5" s="952" t="s">
        <v>1616</v>
      </c>
      <c r="F5" s="1632" t="s">
        <v>1617</v>
      </c>
      <c r="G5" s="3668" t="s">
        <v>1618</v>
      </c>
      <c r="H5" s="2746" t="s">
        <v>1615</v>
      </c>
      <c r="I5" s="3054"/>
      <c r="J5" s="2081" t="s">
        <v>1616</v>
      </c>
      <c r="K5" s="1633"/>
      <c r="L5" s="1634" t="s">
        <v>1613</v>
      </c>
      <c r="M5" s="2746" t="s">
        <v>1617</v>
      </c>
      <c r="N5" s="3054"/>
      <c r="O5" s="2081" t="s">
        <v>1618</v>
      </c>
      <c r="P5" s="1633"/>
      <c r="Q5" s="1485" t="s">
        <v>1619</v>
      </c>
      <c r="R5" s="2726" t="s">
        <v>1620</v>
      </c>
      <c r="S5" s="968"/>
      <c r="T5" s="2726" t="s">
        <v>1621</v>
      </c>
      <c r="U5" s="969"/>
      <c r="V5" s="3055" t="s">
        <v>1622</v>
      </c>
      <c r="W5" s="968"/>
      <c r="X5" s="3055" t="s">
        <v>1623</v>
      </c>
      <c r="Y5" s="968"/>
      <c r="Z5" s="2726" t="s">
        <v>1624</v>
      </c>
      <c r="AA5" s="969"/>
      <c r="AB5" s="3055" t="s">
        <v>1625</v>
      </c>
      <c r="AC5" s="1630"/>
    </row>
    <row r="6" spans="1:29" ht="3" hidden="1" customHeight="1">
      <c r="A6" s="2762"/>
      <c r="B6" s="55"/>
      <c r="C6" s="2062"/>
      <c r="D6" s="2927"/>
      <c r="E6" s="627"/>
      <c r="F6" s="58"/>
      <c r="G6" s="2063"/>
      <c r="H6" s="2927"/>
      <c r="I6" s="58"/>
      <c r="J6" s="58"/>
      <c r="K6" s="58"/>
      <c r="L6" s="54"/>
      <c r="M6" s="2927"/>
      <c r="N6" s="58"/>
      <c r="O6" s="58"/>
      <c r="P6" s="58"/>
      <c r="Q6" s="58"/>
      <c r="R6" s="2914"/>
      <c r="S6" s="73"/>
      <c r="T6" s="73"/>
      <c r="U6" s="73"/>
      <c r="V6" s="73"/>
      <c r="W6" s="73"/>
      <c r="X6" s="73"/>
      <c r="Y6" s="73"/>
      <c r="Z6" s="73"/>
      <c r="AA6" s="73"/>
      <c r="AB6" s="73"/>
      <c r="AC6" s="74"/>
    </row>
    <row r="7" spans="1:29" ht="22.5">
      <c r="A7" s="2762" t="s">
        <v>125</v>
      </c>
      <c r="B7" s="3056" t="s">
        <v>1626</v>
      </c>
      <c r="C7" s="3667" t="s">
        <v>1626</v>
      </c>
      <c r="D7" s="2917" t="s">
        <v>1626</v>
      </c>
      <c r="E7" s="655" t="s">
        <v>1626</v>
      </c>
      <c r="F7" s="651" t="s">
        <v>1626</v>
      </c>
      <c r="G7" s="2058" t="s">
        <v>1626</v>
      </c>
      <c r="H7" s="2917" t="s">
        <v>1626</v>
      </c>
      <c r="I7" s="655" t="s">
        <v>1626</v>
      </c>
      <c r="J7" s="651" t="s">
        <v>1626</v>
      </c>
      <c r="K7" s="655" t="s">
        <v>1626</v>
      </c>
      <c r="L7" s="777" t="s">
        <v>1626</v>
      </c>
      <c r="M7" s="2917" t="s">
        <v>1626</v>
      </c>
      <c r="N7" s="655" t="s">
        <v>1626</v>
      </c>
      <c r="O7" s="651" t="s">
        <v>1626</v>
      </c>
      <c r="P7" s="655" t="s">
        <v>1626</v>
      </c>
      <c r="Q7" s="2078" t="s">
        <v>1626</v>
      </c>
      <c r="R7" s="2917" t="s">
        <v>998</v>
      </c>
      <c r="S7" s="2058" t="s">
        <v>998</v>
      </c>
      <c r="T7" s="2917" t="s">
        <v>998</v>
      </c>
      <c r="U7" s="2058" t="s">
        <v>998</v>
      </c>
      <c r="V7" s="3057" t="s">
        <v>998</v>
      </c>
      <c r="W7" s="2058" t="s">
        <v>998</v>
      </c>
      <c r="X7" s="2917" t="s">
        <v>998</v>
      </c>
      <c r="Y7" s="2058" t="s">
        <v>998</v>
      </c>
      <c r="Z7" s="2917" t="s">
        <v>998</v>
      </c>
      <c r="AA7" s="2058" t="s">
        <v>998</v>
      </c>
      <c r="AB7" s="2917" t="s">
        <v>998</v>
      </c>
      <c r="AC7" s="2059" t="s">
        <v>998</v>
      </c>
    </row>
    <row r="8" spans="1:29" ht="12.75" customHeight="1">
      <c r="A8" s="3002" t="s">
        <v>144</v>
      </c>
      <c r="B8" s="2281" t="s">
        <v>1627</v>
      </c>
      <c r="C8" s="2284" t="s">
        <v>1628</v>
      </c>
      <c r="D8" s="3031" t="s">
        <v>1629</v>
      </c>
      <c r="E8" s="2283" t="s">
        <v>1630</v>
      </c>
      <c r="F8" s="2281" t="s">
        <v>1631</v>
      </c>
      <c r="G8" s="2284" t="s">
        <v>1632</v>
      </c>
      <c r="H8" s="2282" t="s">
        <v>1633</v>
      </c>
      <c r="I8" s="2283" t="s">
        <v>1634</v>
      </c>
      <c r="J8" s="2289" t="s">
        <v>1635</v>
      </c>
      <c r="K8" s="2281" t="s">
        <v>1636</v>
      </c>
      <c r="L8" s="2284" t="s">
        <v>1637</v>
      </c>
      <c r="M8" s="2282" t="s">
        <v>1638</v>
      </c>
      <c r="N8" s="2281" t="s">
        <v>1639</v>
      </c>
      <c r="O8" s="2283" t="s">
        <v>1640</v>
      </c>
      <c r="P8" s="2281" t="s">
        <v>1641</v>
      </c>
      <c r="Q8" s="2288" t="s">
        <v>1642</v>
      </c>
      <c r="R8" s="2797" t="s">
        <v>1643</v>
      </c>
      <c r="S8" s="2210" t="s">
        <v>1644</v>
      </c>
      <c r="T8" s="2797" t="s">
        <v>1645</v>
      </c>
      <c r="U8" s="2210" t="s">
        <v>1646</v>
      </c>
      <c r="V8" s="2797" t="s">
        <v>1647</v>
      </c>
      <c r="W8" s="2210" t="s">
        <v>1648</v>
      </c>
      <c r="X8" s="2797" t="s">
        <v>1649</v>
      </c>
      <c r="Y8" s="2210" t="s">
        <v>1650</v>
      </c>
      <c r="Z8" s="2797" t="s">
        <v>1651</v>
      </c>
      <c r="AA8" s="2210" t="s">
        <v>1652</v>
      </c>
      <c r="AB8" s="2797" t="s">
        <v>1653</v>
      </c>
      <c r="AC8" s="2166" t="s">
        <v>1654</v>
      </c>
    </row>
    <row r="9" spans="1:29" ht="27.75" thickBot="1">
      <c r="A9" s="2140" t="s">
        <v>1689</v>
      </c>
      <c r="B9" s="1635" t="s">
        <v>2092</v>
      </c>
      <c r="C9" s="1639" t="s">
        <v>2092</v>
      </c>
      <c r="D9" s="1635" t="s">
        <v>2092</v>
      </c>
      <c r="E9" s="1636" t="s">
        <v>2092</v>
      </c>
      <c r="F9" s="1637" t="s">
        <v>2092</v>
      </c>
      <c r="G9" s="1639" t="s">
        <v>2092</v>
      </c>
      <c r="H9" s="1635" t="s">
        <v>1092</v>
      </c>
      <c r="I9" s="1636" t="s">
        <v>1655</v>
      </c>
      <c r="J9" s="1637" t="s">
        <v>1092</v>
      </c>
      <c r="K9" s="1638" t="s">
        <v>1655</v>
      </c>
      <c r="L9" s="1639" t="s">
        <v>2092</v>
      </c>
      <c r="M9" s="1635" t="s">
        <v>1092</v>
      </c>
      <c r="N9" s="1638" t="s">
        <v>1655</v>
      </c>
      <c r="O9" s="1640" t="s">
        <v>1092</v>
      </c>
      <c r="P9" s="1638" t="s">
        <v>1655</v>
      </c>
      <c r="Q9" s="2514" t="s">
        <v>2092</v>
      </c>
      <c r="R9" s="3754" t="s">
        <v>1092</v>
      </c>
      <c r="S9" s="3755" t="s">
        <v>1656</v>
      </c>
      <c r="T9" s="3754" t="s">
        <v>1092</v>
      </c>
      <c r="U9" s="3755" t="s">
        <v>1656</v>
      </c>
      <c r="V9" s="3756" t="s">
        <v>1657</v>
      </c>
      <c r="W9" s="3757" t="s">
        <v>2092</v>
      </c>
      <c r="X9" s="3756" t="s">
        <v>1092</v>
      </c>
      <c r="Y9" s="3757" t="s">
        <v>1656</v>
      </c>
      <c r="Z9" s="3756" t="s">
        <v>1092</v>
      </c>
      <c r="AA9" s="3757" t="s">
        <v>1656</v>
      </c>
      <c r="AB9" s="3756" t="s">
        <v>1657</v>
      </c>
      <c r="AC9" s="3758" t="s">
        <v>2092</v>
      </c>
    </row>
    <row r="10" spans="1:29">
      <c r="A10" s="57">
        <v>1993.01</v>
      </c>
      <c r="B10" s="334">
        <f>L10</f>
        <v>53305</v>
      </c>
      <c r="C10" s="625">
        <f>Q10</f>
        <v>269160</v>
      </c>
      <c r="D10" s="152">
        <v>64826</v>
      </c>
      <c r="E10" s="628"/>
      <c r="F10" s="150">
        <v>886147</v>
      </c>
      <c r="G10" s="630"/>
      <c r="H10" s="631">
        <v>31209</v>
      </c>
      <c r="I10" s="3636">
        <v>22096</v>
      </c>
      <c r="J10" s="633"/>
      <c r="K10" s="149"/>
      <c r="L10" s="625">
        <f t="shared" ref="L10:L73" si="0">SUM(H10:K10)</f>
        <v>53305</v>
      </c>
      <c r="M10" s="634">
        <v>58629</v>
      </c>
      <c r="N10" s="150">
        <v>210531</v>
      </c>
      <c r="O10" s="628"/>
      <c r="P10" s="149"/>
      <c r="Q10" s="2515">
        <f>SUM(M10:P10)</f>
        <v>269160</v>
      </c>
      <c r="R10" s="2111">
        <v>28770</v>
      </c>
      <c r="S10" s="2941">
        <v>51225</v>
      </c>
      <c r="T10" s="2214"/>
      <c r="U10" s="3058"/>
      <c r="V10" s="2368">
        <f t="shared" ref="V10:V73" si="1">SUM(R10:U10)</f>
        <v>79995</v>
      </c>
      <c r="W10" s="2458">
        <v>80000</v>
      </c>
      <c r="X10" s="2213">
        <v>6120</v>
      </c>
      <c r="Y10" s="2941">
        <v>5460</v>
      </c>
      <c r="Z10" s="1338"/>
      <c r="AA10" s="3059"/>
      <c r="AB10" s="2368">
        <f t="shared" ref="AB10:AB73" si="2">SUM(X10:AA10)</f>
        <v>11580</v>
      </c>
      <c r="AC10" s="3060">
        <v>26580</v>
      </c>
    </row>
    <row r="11" spans="1:29">
      <c r="A11" s="53">
        <f t="shared" ref="A11:A21" si="3">A10+0.01</f>
        <v>1993.02</v>
      </c>
      <c r="B11" s="2395">
        <f>L11</f>
        <v>35151</v>
      </c>
      <c r="C11" s="2396">
        <f>Q11</f>
        <v>296619</v>
      </c>
      <c r="D11" s="386">
        <v>54066</v>
      </c>
      <c r="E11" s="3669"/>
      <c r="F11" s="151">
        <v>801410</v>
      </c>
      <c r="G11" s="3061"/>
      <c r="H11" s="632">
        <v>18900</v>
      </c>
      <c r="I11" s="3504">
        <v>16251</v>
      </c>
      <c r="J11" s="636"/>
      <c r="K11" s="669"/>
      <c r="L11" s="3062">
        <f t="shared" si="0"/>
        <v>35151</v>
      </c>
      <c r="M11" s="632">
        <v>189012</v>
      </c>
      <c r="N11" s="151">
        <v>107607</v>
      </c>
      <c r="O11" s="3669"/>
      <c r="P11" s="669"/>
      <c r="Q11" s="2396">
        <f t="shared" ref="Q11:Q73" si="4">SUM(M11:P11)</f>
        <v>296619</v>
      </c>
      <c r="R11" s="456">
        <v>13130</v>
      </c>
      <c r="S11" s="2942">
        <v>37150</v>
      </c>
      <c r="T11" s="473"/>
      <c r="U11" s="3063"/>
      <c r="V11" s="2369">
        <f t="shared" si="1"/>
        <v>50280</v>
      </c>
      <c r="W11" s="2942">
        <v>58080</v>
      </c>
      <c r="X11" s="456">
        <v>0</v>
      </c>
      <c r="Y11" s="2942">
        <v>7620</v>
      </c>
      <c r="Z11" s="1338"/>
      <c r="AA11" s="3059"/>
      <c r="AB11" s="2369">
        <f t="shared" si="2"/>
        <v>7620</v>
      </c>
      <c r="AC11" s="2944">
        <v>26210</v>
      </c>
    </row>
    <row r="12" spans="1:29">
      <c r="A12" s="53">
        <f t="shared" si="3"/>
        <v>1993.03</v>
      </c>
      <c r="B12" s="2395">
        <f t="shared" ref="B12:B75" si="5">L12</f>
        <v>425750</v>
      </c>
      <c r="C12" s="2396">
        <f t="shared" ref="C12:C75" si="6">Q12</f>
        <v>352578</v>
      </c>
      <c r="D12" s="386">
        <v>576323</v>
      </c>
      <c r="E12" s="3669"/>
      <c r="F12" s="151">
        <v>1151401</v>
      </c>
      <c r="G12" s="3061"/>
      <c r="H12" s="632">
        <v>128913</v>
      </c>
      <c r="I12" s="3504">
        <v>296837</v>
      </c>
      <c r="J12" s="636"/>
      <c r="K12" s="669"/>
      <c r="L12" s="3062">
        <f t="shared" si="0"/>
        <v>425750</v>
      </c>
      <c r="M12" s="632">
        <v>133124</v>
      </c>
      <c r="N12" s="151">
        <v>219454</v>
      </c>
      <c r="O12" s="3669"/>
      <c r="P12" s="669"/>
      <c r="Q12" s="2396">
        <f t="shared" si="4"/>
        <v>352578</v>
      </c>
      <c r="R12" s="456">
        <v>12675</v>
      </c>
      <c r="S12" s="2942">
        <v>54428</v>
      </c>
      <c r="T12" s="473"/>
      <c r="U12" s="3063"/>
      <c r="V12" s="2369">
        <f>SUM(R12:U12)</f>
        <v>67103</v>
      </c>
      <c r="W12" s="2942">
        <v>67103</v>
      </c>
      <c r="X12" s="456">
        <v>0</v>
      </c>
      <c r="Y12" s="2942">
        <v>29101</v>
      </c>
      <c r="Z12" s="1338"/>
      <c r="AA12" s="3059"/>
      <c r="AB12" s="2369">
        <f t="shared" si="2"/>
        <v>29101</v>
      </c>
      <c r="AC12" s="2944">
        <v>47700</v>
      </c>
    </row>
    <row r="13" spans="1:29">
      <c r="A13" s="53">
        <f t="shared" si="3"/>
        <v>1993.04</v>
      </c>
      <c r="B13" s="2395">
        <f t="shared" si="5"/>
        <v>596554</v>
      </c>
      <c r="C13" s="2396">
        <f t="shared" si="6"/>
        <v>307648</v>
      </c>
      <c r="D13" s="386">
        <v>938859</v>
      </c>
      <c r="E13" s="3669"/>
      <c r="F13" s="151">
        <v>779710</v>
      </c>
      <c r="G13" s="3061"/>
      <c r="H13" s="632">
        <v>220920</v>
      </c>
      <c r="I13" s="3504">
        <v>375634</v>
      </c>
      <c r="J13" s="636"/>
      <c r="K13" s="669"/>
      <c r="L13" s="3062">
        <f t="shared" si="0"/>
        <v>596554</v>
      </c>
      <c r="M13" s="632">
        <v>131130</v>
      </c>
      <c r="N13" s="151">
        <v>176518</v>
      </c>
      <c r="O13" s="3669"/>
      <c r="P13" s="669"/>
      <c r="Q13" s="2396">
        <f t="shared" si="4"/>
        <v>307648</v>
      </c>
      <c r="R13" s="456">
        <v>2500</v>
      </c>
      <c r="S13" s="2942">
        <v>44505</v>
      </c>
      <c r="T13" s="473"/>
      <c r="U13" s="3063"/>
      <c r="V13" s="2369">
        <f t="shared" si="1"/>
        <v>47005</v>
      </c>
      <c r="W13" s="2942">
        <v>59410</v>
      </c>
      <c r="X13" s="456">
        <v>8500</v>
      </c>
      <c r="Y13" s="2942">
        <v>6875</v>
      </c>
      <c r="Z13" s="1338"/>
      <c r="AA13" s="3059"/>
      <c r="AB13" s="2369">
        <f t="shared" si="2"/>
        <v>15375</v>
      </c>
      <c r="AC13" s="2944">
        <v>158910</v>
      </c>
    </row>
    <row r="14" spans="1:29">
      <c r="A14" s="53">
        <f t="shared" si="3"/>
        <v>1993.05</v>
      </c>
      <c r="B14" s="2395">
        <f t="shared" si="5"/>
        <v>600749</v>
      </c>
      <c r="C14" s="2396">
        <f>Q14</f>
        <v>144759</v>
      </c>
      <c r="D14" s="386">
        <v>1090846</v>
      </c>
      <c r="E14" s="3669"/>
      <c r="F14" s="151">
        <v>502654</v>
      </c>
      <c r="G14" s="3061"/>
      <c r="H14" s="632">
        <v>258934</v>
      </c>
      <c r="I14" s="3504">
        <v>341815</v>
      </c>
      <c r="J14" s="636"/>
      <c r="K14" s="669"/>
      <c r="L14" s="3062">
        <f t="shared" si="0"/>
        <v>600749</v>
      </c>
      <c r="M14" s="632">
        <v>61454</v>
      </c>
      <c r="N14" s="151">
        <v>83305</v>
      </c>
      <c r="O14" s="3669"/>
      <c r="P14" s="669"/>
      <c r="Q14" s="2396">
        <f>SUM(M14:P14)</f>
        <v>144759</v>
      </c>
      <c r="R14" s="456">
        <v>28440</v>
      </c>
      <c r="S14" s="2942">
        <v>43950</v>
      </c>
      <c r="T14" s="473"/>
      <c r="U14" s="3063"/>
      <c r="V14" s="2369">
        <f t="shared" si="1"/>
        <v>72390</v>
      </c>
      <c r="W14" s="2942">
        <v>72640</v>
      </c>
      <c r="X14" s="456">
        <v>7500</v>
      </c>
      <c r="Y14" s="2942">
        <v>21200</v>
      </c>
      <c r="Z14" s="1338"/>
      <c r="AA14" s="3059"/>
      <c r="AB14" s="2369">
        <f t="shared" si="2"/>
        <v>28700</v>
      </c>
      <c r="AC14" s="2944">
        <v>110480</v>
      </c>
    </row>
    <row r="15" spans="1:29">
      <c r="A15" s="53">
        <f t="shared" si="3"/>
        <v>1993.06</v>
      </c>
      <c r="B15" s="2395">
        <f t="shared" si="5"/>
        <v>222833</v>
      </c>
      <c r="C15" s="2396">
        <f t="shared" si="6"/>
        <v>88400</v>
      </c>
      <c r="D15" s="386">
        <v>490187</v>
      </c>
      <c r="E15" s="3669"/>
      <c r="F15" s="151">
        <v>377580</v>
      </c>
      <c r="G15" s="3061"/>
      <c r="H15" s="632">
        <v>100583</v>
      </c>
      <c r="I15" s="3504">
        <v>122250</v>
      </c>
      <c r="J15" s="636"/>
      <c r="K15" s="669"/>
      <c r="L15" s="3062">
        <f t="shared" si="0"/>
        <v>222833</v>
      </c>
      <c r="M15" s="632">
        <v>53445</v>
      </c>
      <c r="N15" s="151">
        <v>34955</v>
      </c>
      <c r="O15" s="3669"/>
      <c r="P15" s="669"/>
      <c r="Q15" s="2396">
        <f t="shared" si="4"/>
        <v>88400</v>
      </c>
      <c r="R15" s="456">
        <v>10994</v>
      </c>
      <c r="S15" s="2942">
        <v>123717</v>
      </c>
      <c r="T15" s="473"/>
      <c r="U15" s="3063"/>
      <c r="V15" s="2369">
        <f t="shared" si="1"/>
        <v>134711</v>
      </c>
      <c r="W15" s="2942">
        <v>135960</v>
      </c>
      <c r="X15" s="456">
        <v>0</v>
      </c>
      <c r="Y15" s="2942">
        <v>4000</v>
      </c>
      <c r="Z15" s="1338"/>
      <c r="AA15" s="3059"/>
      <c r="AB15" s="2369">
        <f t="shared" si="2"/>
        <v>4000</v>
      </c>
      <c r="AC15" s="2944">
        <v>62240</v>
      </c>
    </row>
    <row r="16" spans="1:29">
      <c r="A16" s="53">
        <f t="shared" si="3"/>
        <v>1993.07</v>
      </c>
      <c r="B16" s="2395">
        <f t="shared" si="5"/>
        <v>154269</v>
      </c>
      <c r="C16" s="2396">
        <f t="shared" si="6"/>
        <v>110322</v>
      </c>
      <c r="D16" s="386">
        <v>413979</v>
      </c>
      <c r="E16" s="3669"/>
      <c r="F16" s="151">
        <v>374986</v>
      </c>
      <c r="G16" s="3061"/>
      <c r="H16" s="632">
        <v>102245</v>
      </c>
      <c r="I16" s="3504">
        <v>52024</v>
      </c>
      <c r="J16" s="636"/>
      <c r="K16" s="669"/>
      <c r="L16" s="3062">
        <f t="shared" si="0"/>
        <v>154269</v>
      </c>
      <c r="M16" s="632">
        <v>67853</v>
      </c>
      <c r="N16" s="151">
        <v>42469</v>
      </c>
      <c r="O16" s="3669"/>
      <c r="P16" s="669"/>
      <c r="Q16" s="2396">
        <f t="shared" si="4"/>
        <v>110322</v>
      </c>
      <c r="R16" s="456">
        <v>21551</v>
      </c>
      <c r="S16" s="2942">
        <v>42434</v>
      </c>
      <c r="T16" s="473"/>
      <c r="U16" s="3063"/>
      <c r="V16" s="2369">
        <f t="shared" si="1"/>
        <v>63985</v>
      </c>
      <c r="W16" s="2942">
        <v>67480</v>
      </c>
      <c r="X16" s="456">
        <v>3300</v>
      </c>
      <c r="Y16" s="2942">
        <v>1000</v>
      </c>
      <c r="Z16" s="1338"/>
      <c r="AA16" s="3059"/>
      <c r="AB16" s="2369">
        <f t="shared" si="2"/>
        <v>4300</v>
      </c>
      <c r="AC16" s="2944">
        <v>43010</v>
      </c>
    </row>
    <row r="17" spans="1:29">
      <c r="A17" s="53">
        <f t="shared" si="3"/>
        <v>1993.08</v>
      </c>
      <c r="B17" s="2395">
        <f t="shared" si="5"/>
        <v>112966</v>
      </c>
      <c r="C17" s="2396">
        <f t="shared" si="6"/>
        <v>33543</v>
      </c>
      <c r="D17" s="386">
        <v>237469</v>
      </c>
      <c r="E17" s="3669"/>
      <c r="F17" s="151">
        <v>162217</v>
      </c>
      <c r="G17" s="3061"/>
      <c r="H17" s="632">
        <v>76863</v>
      </c>
      <c r="I17" s="3504">
        <v>36103</v>
      </c>
      <c r="J17" s="636"/>
      <c r="K17" s="669"/>
      <c r="L17" s="3062">
        <f t="shared" si="0"/>
        <v>112966</v>
      </c>
      <c r="M17" s="632">
        <v>33543</v>
      </c>
      <c r="N17" s="151">
        <v>0</v>
      </c>
      <c r="O17" s="3669"/>
      <c r="P17" s="669"/>
      <c r="Q17" s="2396">
        <f t="shared" si="4"/>
        <v>33543</v>
      </c>
      <c r="R17" s="456">
        <v>42455</v>
      </c>
      <c r="S17" s="2942">
        <v>86440</v>
      </c>
      <c r="T17" s="473"/>
      <c r="U17" s="3063"/>
      <c r="V17" s="2369">
        <f t="shared" si="1"/>
        <v>128895</v>
      </c>
      <c r="W17" s="2942">
        <v>128900</v>
      </c>
      <c r="X17" s="456">
        <v>2000</v>
      </c>
      <c r="Y17" s="2942">
        <v>0</v>
      </c>
      <c r="Z17" s="1338"/>
      <c r="AA17" s="3059"/>
      <c r="AB17" s="2369">
        <f t="shared" si="2"/>
        <v>2000</v>
      </c>
      <c r="AC17" s="2944">
        <v>38680</v>
      </c>
    </row>
    <row r="18" spans="1:29">
      <c r="A18" s="53">
        <f t="shared" si="3"/>
        <v>1993.09</v>
      </c>
      <c r="B18" s="2395">
        <f t="shared" si="5"/>
        <v>138400</v>
      </c>
      <c r="C18" s="2396">
        <f t="shared" si="6"/>
        <v>6300</v>
      </c>
      <c r="D18" s="386">
        <v>249789</v>
      </c>
      <c r="E18" s="3669"/>
      <c r="F18" s="151">
        <v>143790</v>
      </c>
      <c r="G18" s="3061"/>
      <c r="H18" s="632">
        <v>69426</v>
      </c>
      <c r="I18" s="3504">
        <v>68974</v>
      </c>
      <c r="J18" s="636"/>
      <c r="K18" s="669"/>
      <c r="L18" s="3062">
        <f t="shared" si="0"/>
        <v>138400</v>
      </c>
      <c r="M18" s="632">
        <v>6300</v>
      </c>
      <c r="N18" s="151">
        <v>0</v>
      </c>
      <c r="O18" s="3669"/>
      <c r="P18" s="669"/>
      <c r="Q18" s="2396">
        <f t="shared" si="4"/>
        <v>6300</v>
      </c>
      <c r="R18" s="456">
        <v>45023</v>
      </c>
      <c r="S18" s="2942">
        <v>97449</v>
      </c>
      <c r="T18" s="473"/>
      <c r="U18" s="3063"/>
      <c r="V18" s="2369">
        <f t="shared" si="1"/>
        <v>142472</v>
      </c>
      <c r="W18" s="2942">
        <v>168700</v>
      </c>
      <c r="X18" s="456">
        <v>1000</v>
      </c>
      <c r="Y18" s="2942">
        <v>0</v>
      </c>
      <c r="Z18" s="1338"/>
      <c r="AA18" s="3059"/>
      <c r="AB18" s="2369">
        <f t="shared" si="2"/>
        <v>1000</v>
      </c>
      <c r="AC18" s="2944">
        <v>34250</v>
      </c>
    </row>
    <row r="19" spans="1:29">
      <c r="A19" s="53">
        <f t="shared" si="3"/>
        <v>1993.1</v>
      </c>
      <c r="B19" s="2395">
        <f t="shared" si="5"/>
        <v>97409</v>
      </c>
      <c r="C19" s="2396">
        <f t="shared" si="6"/>
        <v>8466</v>
      </c>
      <c r="D19" s="386">
        <v>158014</v>
      </c>
      <c r="E19" s="3669"/>
      <c r="F19" s="151">
        <v>55577</v>
      </c>
      <c r="G19" s="3061"/>
      <c r="H19" s="632">
        <v>58300</v>
      </c>
      <c r="I19" s="3504">
        <v>39109</v>
      </c>
      <c r="J19" s="636"/>
      <c r="K19" s="669"/>
      <c r="L19" s="3062">
        <f t="shared" si="0"/>
        <v>97409</v>
      </c>
      <c r="M19" s="632">
        <v>8466</v>
      </c>
      <c r="N19" s="151">
        <v>0</v>
      </c>
      <c r="O19" s="3669"/>
      <c r="P19" s="669"/>
      <c r="Q19" s="2396">
        <f t="shared" si="4"/>
        <v>8466</v>
      </c>
      <c r="R19" s="456">
        <v>47100</v>
      </c>
      <c r="S19" s="2942">
        <v>32620</v>
      </c>
      <c r="T19" s="473"/>
      <c r="U19" s="3063"/>
      <c r="V19" s="2369">
        <f t="shared" si="1"/>
        <v>79720</v>
      </c>
      <c r="W19" s="2942">
        <v>79720</v>
      </c>
      <c r="X19" s="456">
        <v>0</v>
      </c>
      <c r="Y19" s="2942">
        <v>0</v>
      </c>
      <c r="Z19" s="1338"/>
      <c r="AA19" s="3059"/>
      <c r="AB19" s="2369">
        <f t="shared" si="2"/>
        <v>0</v>
      </c>
      <c r="AC19" s="2944">
        <v>13500</v>
      </c>
    </row>
    <row r="20" spans="1:29">
      <c r="A20" s="53">
        <f t="shared" si="3"/>
        <v>1993.11</v>
      </c>
      <c r="B20" s="2395">
        <f t="shared" si="5"/>
        <v>86707</v>
      </c>
      <c r="C20" s="2396">
        <f t="shared" si="6"/>
        <v>21225</v>
      </c>
      <c r="D20" s="386">
        <v>183360</v>
      </c>
      <c r="E20" s="3669"/>
      <c r="F20" s="151">
        <v>42330</v>
      </c>
      <c r="G20" s="3061"/>
      <c r="H20" s="632">
        <v>69051</v>
      </c>
      <c r="I20" s="3504">
        <v>17656</v>
      </c>
      <c r="J20" s="636"/>
      <c r="K20" s="669"/>
      <c r="L20" s="3062">
        <f t="shared" si="0"/>
        <v>86707</v>
      </c>
      <c r="M20" s="632">
        <v>18205</v>
      </c>
      <c r="N20" s="151">
        <v>3020</v>
      </c>
      <c r="O20" s="3669"/>
      <c r="P20" s="669"/>
      <c r="Q20" s="2396">
        <f t="shared" si="4"/>
        <v>21225</v>
      </c>
      <c r="R20" s="456">
        <v>25500</v>
      </c>
      <c r="S20" s="2942">
        <v>117846</v>
      </c>
      <c r="T20" s="473"/>
      <c r="U20" s="3063"/>
      <c r="V20" s="2369">
        <f t="shared" si="1"/>
        <v>143346</v>
      </c>
      <c r="W20" s="2942">
        <v>148350</v>
      </c>
      <c r="X20" s="456">
        <v>0</v>
      </c>
      <c r="Y20" s="2942">
        <v>0</v>
      </c>
      <c r="Z20" s="1338"/>
      <c r="AA20" s="3059"/>
      <c r="AB20" s="2369">
        <f t="shared" si="2"/>
        <v>0</v>
      </c>
      <c r="AC20" s="2944">
        <v>11100</v>
      </c>
    </row>
    <row r="21" spans="1:29">
      <c r="A21" s="53">
        <f t="shared" si="3"/>
        <v>1993.12</v>
      </c>
      <c r="B21" s="2395">
        <f t="shared" si="5"/>
        <v>136041</v>
      </c>
      <c r="C21" s="2396">
        <f t="shared" si="6"/>
        <v>243386</v>
      </c>
      <c r="D21" s="386">
        <v>251612</v>
      </c>
      <c r="E21" s="3669"/>
      <c r="F21" s="151">
        <v>319923</v>
      </c>
      <c r="G21" s="3061"/>
      <c r="H21" s="632">
        <v>82741</v>
      </c>
      <c r="I21" s="3504">
        <v>53300</v>
      </c>
      <c r="J21" s="636"/>
      <c r="K21" s="669"/>
      <c r="L21" s="3062">
        <f t="shared" si="0"/>
        <v>136041</v>
      </c>
      <c r="M21" s="632">
        <v>81904</v>
      </c>
      <c r="N21" s="151">
        <v>161482</v>
      </c>
      <c r="O21" s="3669"/>
      <c r="P21" s="669"/>
      <c r="Q21" s="2396">
        <f t="shared" si="4"/>
        <v>243386</v>
      </c>
      <c r="R21" s="456">
        <v>28290</v>
      </c>
      <c r="S21" s="2942">
        <v>85320</v>
      </c>
      <c r="T21" s="473"/>
      <c r="U21" s="3063"/>
      <c r="V21" s="2369">
        <f t="shared" si="1"/>
        <v>113610</v>
      </c>
      <c r="W21" s="2942">
        <v>122770</v>
      </c>
      <c r="X21" s="456">
        <v>7335</v>
      </c>
      <c r="Y21" s="2942">
        <v>4700</v>
      </c>
      <c r="Z21" s="1338"/>
      <c r="AA21" s="3059"/>
      <c r="AB21" s="2369">
        <f t="shared" si="2"/>
        <v>12035</v>
      </c>
      <c r="AC21" s="2944">
        <v>16840</v>
      </c>
    </row>
    <row r="22" spans="1:29">
      <c r="A22" s="53">
        <f t="shared" ref="A22:A85" si="7">A10+1</f>
        <v>1994.01</v>
      </c>
      <c r="B22" s="2395">
        <f t="shared" si="5"/>
        <v>86942</v>
      </c>
      <c r="C22" s="2396">
        <f t="shared" si="6"/>
        <v>211303</v>
      </c>
      <c r="D22" s="386">
        <v>123915</v>
      </c>
      <c r="E22" s="3669"/>
      <c r="F22" s="151">
        <v>575218</v>
      </c>
      <c r="G22" s="3061"/>
      <c r="H22" s="632">
        <v>56321</v>
      </c>
      <c r="I22" s="3504">
        <v>30621</v>
      </c>
      <c r="J22" s="636"/>
      <c r="K22" s="669"/>
      <c r="L22" s="3062">
        <f t="shared" si="0"/>
        <v>86942</v>
      </c>
      <c r="M22" s="632">
        <v>121607</v>
      </c>
      <c r="N22" s="151">
        <v>89696</v>
      </c>
      <c r="O22" s="3669"/>
      <c r="P22" s="669"/>
      <c r="Q22" s="2396">
        <f t="shared" si="4"/>
        <v>211303</v>
      </c>
      <c r="R22" s="456">
        <v>26500</v>
      </c>
      <c r="S22" s="2942">
        <v>75627</v>
      </c>
      <c r="T22" s="473"/>
      <c r="U22" s="3063"/>
      <c r="V22" s="2369">
        <f t="shared" si="1"/>
        <v>102127</v>
      </c>
      <c r="W22" s="2942">
        <v>115630</v>
      </c>
      <c r="X22" s="456">
        <v>8500</v>
      </c>
      <c r="Y22" s="2942">
        <v>13075</v>
      </c>
      <c r="Z22" s="1338"/>
      <c r="AA22" s="3059"/>
      <c r="AB22" s="2369">
        <f t="shared" si="2"/>
        <v>21575</v>
      </c>
      <c r="AC22" s="2944">
        <v>41980</v>
      </c>
    </row>
    <row r="23" spans="1:29">
      <c r="A23" s="53">
        <f t="shared" si="7"/>
        <v>1994.02</v>
      </c>
      <c r="B23" s="2395">
        <f t="shared" si="5"/>
        <v>50997</v>
      </c>
      <c r="C23" s="2396">
        <f t="shared" si="6"/>
        <v>195649</v>
      </c>
      <c r="D23" s="386">
        <v>116407</v>
      </c>
      <c r="E23" s="3669"/>
      <c r="F23" s="151">
        <v>580909</v>
      </c>
      <c r="G23" s="3061"/>
      <c r="H23" s="632">
        <v>34497</v>
      </c>
      <c r="I23" s="3504">
        <v>16500</v>
      </c>
      <c r="J23" s="636"/>
      <c r="K23" s="669"/>
      <c r="L23" s="3062">
        <f t="shared" si="0"/>
        <v>50997</v>
      </c>
      <c r="M23" s="632">
        <v>44886</v>
      </c>
      <c r="N23" s="151">
        <v>150763</v>
      </c>
      <c r="O23" s="3669"/>
      <c r="P23" s="669"/>
      <c r="Q23" s="2396">
        <f t="shared" si="4"/>
        <v>195649</v>
      </c>
      <c r="R23" s="456">
        <v>20686</v>
      </c>
      <c r="S23" s="2942">
        <v>78140</v>
      </c>
      <c r="T23" s="473"/>
      <c r="U23" s="3063"/>
      <c r="V23" s="2369">
        <f t="shared" si="1"/>
        <v>98826</v>
      </c>
      <c r="W23" s="2942">
        <v>123180</v>
      </c>
      <c r="X23" s="456">
        <v>0</v>
      </c>
      <c r="Y23" s="2942">
        <v>7565</v>
      </c>
      <c r="Z23" s="1338"/>
      <c r="AA23" s="3059"/>
      <c r="AB23" s="2369">
        <f t="shared" si="2"/>
        <v>7565</v>
      </c>
      <c r="AC23" s="2944">
        <v>21570</v>
      </c>
    </row>
    <row r="24" spans="1:29">
      <c r="A24" s="53">
        <f t="shared" si="7"/>
        <v>1994.03</v>
      </c>
      <c r="B24" s="2395">
        <f t="shared" si="5"/>
        <v>162635</v>
      </c>
      <c r="C24" s="2396">
        <f t="shared" si="6"/>
        <v>83826</v>
      </c>
      <c r="D24" s="386">
        <v>329036</v>
      </c>
      <c r="E24" s="3669"/>
      <c r="F24" s="151">
        <v>571228</v>
      </c>
      <c r="G24" s="3061"/>
      <c r="H24" s="632">
        <v>108464</v>
      </c>
      <c r="I24" s="3504">
        <v>54171</v>
      </c>
      <c r="J24" s="636"/>
      <c r="K24" s="669"/>
      <c r="L24" s="3062">
        <f t="shared" si="0"/>
        <v>162635</v>
      </c>
      <c r="M24" s="632">
        <v>43070</v>
      </c>
      <c r="N24" s="151">
        <v>40756</v>
      </c>
      <c r="O24" s="3669"/>
      <c r="P24" s="669"/>
      <c r="Q24" s="2396">
        <f t="shared" si="4"/>
        <v>83826</v>
      </c>
      <c r="R24" s="456">
        <v>20500</v>
      </c>
      <c r="S24" s="2942">
        <v>53518</v>
      </c>
      <c r="T24" s="473"/>
      <c r="U24" s="3063"/>
      <c r="V24" s="2369">
        <f t="shared" si="1"/>
        <v>74018</v>
      </c>
      <c r="W24" s="2942">
        <v>74020</v>
      </c>
      <c r="X24" s="456">
        <v>5500</v>
      </c>
      <c r="Y24" s="2942">
        <v>29230</v>
      </c>
      <c r="Z24" s="1338"/>
      <c r="AA24" s="3059"/>
      <c r="AB24" s="2369">
        <f t="shared" si="2"/>
        <v>34730</v>
      </c>
      <c r="AC24" s="2944">
        <v>45830</v>
      </c>
    </row>
    <row r="25" spans="1:29">
      <c r="A25" s="53">
        <f t="shared" si="7"/>
        <v>1994.04</v>
      </c>
      <c r="B25" s="2395">
        <f t="shared" si="5"/>
        <v>482811</v>
      </c>
      <c r="C25" s="2396">
        <f t="shared" si="6"/>
        <v>95101</v>
      </c>
      <c r="D25" s="386">
        <v>763905</v>
      </c>
      <c r="E25" s="3669"/>
      <c r="F25" s="151">
        <v>593675</v>
      </c>
      <c r="G25" s="3061"/>
      <c r="H25" s="632">
        <v>257150</v>
      </c>
      <c r="I25" s="3504">
        <v>225661</v>
      </c>
      <c r="J25" s="636"/>
      <c r="K25" s="669"/>
      <c r="L25" s="3062">
        <f t="shared" si="0"/>
        <v>482811</v>
      </c>
      <c r="M25" s="632">
        <v>40774</v>
      </c>
      <c r="N25" s="151">
        <v>54327</v>
      </c>
      <c r="O25" s="3669"/>
      <c r="P25" s="669"/>
      <c r="Q25" s="2396">
        <f t="shared" si="4"/>
        <v>95101</v>
      </c>
      <c r="R25" s="456">
        <v>31436</v>
      </c>
      <c r="S25" s="2942">
        <v>13520</v>
      </c>
      <c r="T25" s="473"/>
      <c r="U25" s="3063"/>
      <c r="V25" s="2369">
        <f t="shared" si="1"/>
        <v>44956</v>
      </c>
      <c r="W25" s="2942">
        <v>44960</v>
      </c>
      <c r="X25" s="456">
        <v>5479</v>
      </c>
      <c r="Y25" s="2942">
        <v>37315</v>
      </c>
      <c r="Z25" s="1338"/>
      <c r="AA25" s="3059"/>
      <c r="AB25" s="2369">
        <f t="shared" si="2"/>
        <v>42794</v>
      </c>
      <c r="AC25" s="2944">
        <v>124590</v>
      </c>
    </row>
    <row r="26" spans="1:29">
      <c r="A26" s="53">
        <f t="shared" si="7"/>
        <v>1994.05</v>
      </c>
      <c r="B26" s="2395">
        <f t="shared" si="5"/>
        <v>474195</v>
      </c>
      <c r="C26" s="2396">
        <f t="shared" si="6"/>
        <v>104574</v>
      </c>
      <c r="D26" s="386">
        <v>923454</v>
      </c>
      <c r="E26" s="3669"/>
      <c r="F26" s="151">
        <v>435998</v>
      </c>
      <c r="G26" s="3061"/>
      <c r="H26" s="632">
        <v>231312</v>
      </c>
      <c r="I26" s="3504">
        <v>242883</v>
      </c>
      <c r="J26" s="636"/>
      <c r="K26" s="669"/>
      <c r="L26" s="3062">
        <f t="shared" si="0"/>
        <v>474195</v>
      </c>
      <c r="M26" s="632">
        <v>46989</v>
      </c>
      <c r="N26" s="151">
        <v>57585</v>
      </c>
      <c r="O26" s="3669"/>
      <c r="P26" s="669"/>
      <c r="Q26" s="2396">
        <f t="shared" si="4"/>
        <v>104574</v>
      </c>
      <c r="R26" s="456">
        <v>28240</v>
      </c>
      <c r="S26" s="2942">
        <v>79165</v>
      </c>
      <c r="T26" s="473"/>
      <c r="U26" s="3063"/>
      <c r="V26" s="2369">
        <f t="shared" si="1"/>
        <v>107405</v>
      </c>
      <c r="W26" s="2942">
        <v>107410</v>
      </c>
      <c r="X26" s="456">
        <v>18776</v>
      </c>
      <c r="Y26" s="2942">
        <v>28770</v>
      </c>
      <c r="Z26" s="1338"/>
      <c r="AA26" s="3059"/>
      <c r="AB26" s="2369">
        <f t="shared" si="2"/>
        <v>47546</v>
      </c>
      <c r="AC26" s="2944">
        <v>115810</v>
      </c>
    </row>
    <row r="27" spans="1:29">
      <c r="A27" s="53">
        <f t="shared" si="7"/>
        <v>1994.06</v>
      </c>
      <c r="B27" s="2395">
        <f t="shared" si="5"/>
        <v>232296</v>
      </c>
      <c r="C27" s="2396">
        <f t="shared" si="6"/>
        <v>84063</v>
      </c>
      <c r="D27" s="386">
        <v>451580</v>
      </c>
      <c r="E27" s="3669"/>
      <c r="F27" s="151">
        <v>380192</v>
      </c>
      <c r="G27" s="3061"/>
      <c r="H27" s="632">
        <v>93921</v>
      </c>
      <c r="I27" s="3504">
        <v>138375</v>
      </c>
      <c r="J27" s="636"/>
      <c r="K27" s="669"/>
      <c r="L27" s="3062">
        <f t="shared" si="0"/>
        <v>232296</v>
      </c>
      <c r="M27" s="632">
        <v>44160</v>
      </c>
      <c r="N27" s="151">
        <v>39903</v>
      </c>
      <c r="O27" s="3669"/>
      <c r="P27" s="669"/>
      <c r="Q27" s="2396">
        <f t="shared" si="4"/>
        <v>84063</v>
      </c>
      <c r="R27" s="456">
        <v>45958</v>
      </c>
      <c r="S27" s="2942">
        <v>90847</v>
      </c>
      <c r="T27" s="473"/>
      <c r="U27" s="3063"/>
      <c r="V27" s="2369">
        <f t="shared" si="1"/>
        <v>136805</v>
      </c>
      <c r="W27" s="2942">
        <v>142500</v>
      </c>
      <c r="X27" s="456">
        <v>12000</v>
      </c>
      <c r="Y27" s="2942">
        <v>10200</v>
      </c>
      <c r="Z27" s="1338"/>
      <c r="AA27" s="3059"/>
      <c r="AB27" s="2369">
        <f t="shared" si="2"/>
        <v>22200</v>
      </c>
      <c r="AC27" s="2944">
        <v>66750</v>
      </c>
    </row>
    <row r="28" spans="1:29">
      <c r="A28" s="53">
        <f t="shared" si="7"/>
        <v>1994.07</v>
      </c>
      <c r="B28" s="2395">
        <f t="shared" si="5"/>
        <v>130262</v>
      </c>
      <c r="C28" s="2396">
        <f t="shared" si="6"/>
        <v>79291</v>
      </c>
      <c r="D28" s="386">
        <v>403982</v>
      </c>
      <c r="E28" s="3669"/>
      <c r="F28" s="151">
        <v>303567</v>
      </c>
      <c r="G28" s="3061"/>
      <c r="H28" s="632">
        <v>49510</v>
      </c>
      <c r="I28" s="3504">
        <v>80752</v>
      </c>
      <c r="J28" s="636"/>
      <c r="K28" s="669"/>
      <c r="L28" s="3062">
        <f t="shared" si="0"/>
        <v>130262</v>
      </c>
      <c r="M28" s="632">
        <v>25907</v>
      </c>
      <c r="N28" s="151">
        <v>53384</v>
      </c>
      <c r="O28" s="3669"/>
      <c r="P28" s="669"/>
      <c r="Q28" s="2396">
        <f t="shared" si="4"/>
        <v>79291</v>
      </c>
      <c r="R28" s="456">
        <v>33750</v>
      </c>
      <c r="S28" s="2942">
        <v>67425</v>
      </c>
      <c r="T28" s="473"/>
      <c r="U28" s="3063"/>
      <c r="V28" s="2369">
        <f t="shared" si="1"/>
        <v>101175</v>
      </c>
      <c r="W28" s="2942">
        <v>120880</v>
      </c>
      <c r="X28" s="456">
        <v>12000</v>
      </c>
      <c r="Y28" s="2942">
        <v>4350</v>
      </c>
      <c r="Z28" s="1338"/>
      <c r="AA28" s="3059"/>
      <c r="AB28" s="2369">
        <f t="shared" si="2"/>
        <v>16350</v>
      </c>
      <c r="AC28" s="2944">
        <v>80330</v>
      </c>
    </row>
    <row r="29" spans="1:29">
      <c r="A29" s="53">
        <f t="shared" si="7"/>
        <v>1994.08</v>
      </c>
      <c r="B29" s="2395">
        <f t="shared" si="5"/>
        <v>53755</v>
      </c>
      <c r="C29" s="2396">
        <f t="shared" si="6"/>
        <v>20685</v>
      </c>
      <c r="D29" s="386">
        <v>226353</v>
      </c>
      <c r="E29" s="3669"/>
      <c r="F29" s="151">
        <v>257272</v>
      </c>
      <c r="G29" s="3061"/>
      <c r="H29" s="632">
        <v>28805</v>
      </c>
      <c r="I29" s="3504">
        <v>24950</v>
      </c>
      <c r="J29" s="636"/>
      <c r="K29" s="669"/>
      <c r="L29" s="3062">
        <f t="shared" si="0"/>
        <v>53755</v>
      </c>
      <c r="M29" s="632">
        <v>12278</v>
      </c>
      <c r="N29" s="151">
        <v>8407</v>
      </c>
      <c r="O29" s="3669"/>
      <c r="P29" s="669"/>
      <c r="Q29" s="2396">
        <f t="shared" si="4"/>
        <v>20685</v>
      </c>
      <c r="R29" s="456">
        <v>45484</v>
      </c>
      <c r="S29" s="2942">
        <v>131245</v>
      </c>
      <c r="T29" s="473"/>
      <c r="U29" s="3063"/>
      <c r="V29" s="2369">
        <f t="shared" si="1"/>
        <v>176729</v>
      </c>
      <c r="W29" s="2942">
        <v>195230</v>
      </c>
      <c r="X29" s="456">
        <v>3080</v>
      </c>
      <c r="Y29" s="2942">
        <v>13991</v>
      </c>
      <c r="Z29" s="1338"/>
      <c r="AA29" s="3059"/>
      <c r="AB29" s="2369">
        <f t="shared" si="2"/>
        <v>17071</v>
      </c>
      <c r="AC29" s="2944">
        <v>57130</v>
      </c>
    </row>
    <row r="30" spans="1:29">
      <c r="A30" s="53">
        <f t="shared" si="7"/>
        <v>1994.09</v>
      </c>
      <c r="B30" s="2395">
        <f t="shared" si="5"/>
        <v>140745</v>
      </c>
      <c r="C30" s="2396">
        <f t="shared" si="6"/>
        <v>20370</v>
      </c>
      <c r="D30" s="386">
        <v>249202</v>
      </c>
      <c r="E30" s="3669"/>
      <c r="F30" s="151">
        <v>331736</v>
      </c>
      <c r="G30" s="3061"/>
      <c r="H30" s="632">
        <v>86923</v>
      </c>
      <c r="I30" s="3504">
        <v>53822</v>
      </c>
      <c r="J30" s="636"/>
      <c r="K30" s="669"/>
      <c r="L30" s="3062">
        <f t="shared" si="0"/>
        <v>140745</v>
      </c>
      <c r="M30" s="632">
        <v>6335</v>
      </c>
      <c r="N30" s="151">
        <v>14035</v>
      </c>
      <c r="O30" s="3669"/>
      <c r="P30" s="669"/>
      <c r="Q30" s="2396">
        <f t="shared" si="4"/>
        <v>20370</v>
      </c>
      <c r="R30" s="456">
        <v>56315</v>
      </c>
      <c r="S30" s="2942">
        <v>48457</v>
      </c>
      <c r="T30" s="473"/>
      <c r="U30" s="3063"/>
      <c r="V30" s="2369">
        <f t="shared" si="1"/>
        <v>104772</v>
      </c>
      <c r="W30" s="2942">
        <v>120520</v>
      </c>
      <c r="X30" s="456">
        <v>20500</v>
      </c>
      <c r="Y30" s="2942">
        <v>2860</v>
      </c>
      <c r="Z30" s="1338"/>
      <c r="AA30" s="3059"/>
      <c r="AB30" s="2369">
        <f t="shared" si="2"/>
        <v>23360</v>
      </c>
      <c r="AC30" s="2944">
        <v>53590</v>
      </c>
    </row>
    <row r="31" spans="1:29">
      <c r="A31" s="53">
        <f t="shared" si="7"/>
        <v>1994.1</v>
      </c>
      <c r="B31" s="2395">
        <f t="shared" si="5"/>
        <v>78336</v>
      </c>
      <c r="C31" s="2396">
        <f t="shared" si="6"/>
        <v>16990</v>
      </c>
      <c r="D31" s="386">
        <v>163727</v>
      </c>
      <c r="E31" s="3669"/>
      <c r="F31" s="151">
        <v>206987</v>
      </c>
      <c r="G31" s="3061"/>
      <c r="H31" s="632">
        <v>46782</v>
      </c>
      <c r="I31" s="3504">
        <v>31554</v>
      </c>
      <c r="J31" s="636"/>
      <c r="K31" s="669"/>
      <c r="L31" s="3062">
        <f t="shared" si="0"/>
        <v>78336</v>
      </c>
      <c r="M31" s="632">
        <v>12090</v>
      </c>
      <c r="N31" s="151">
        <v>4900</v>
      </c>
      <c r="O31" s="3669"/>
      <c r="P31" s="669"/>
      <c r="Q31" s="2396">
        <f t="shared" si="4"/>
        <v>16990</v>
      </c>
      <c r="R31" s="456">
        <v>52819</v>
      </c>
      <c r="S31" s="2942">
        <v>112267</v>
      </c>
      <c r="T31" s="473"/>
      <c r="U31" s="3063"/>
      <c r="V31" s="2369">
        <f t="shared" si="1"/>
        <v>165086</v>
      </c>
      <c r="W31" s="2942">
        <v>172300</v>
      </c>
      <c r="X31" s="456">
        <v>13700</v>
      </c>
      <c r="Y31" s="2942">
        <v>17248</v>
      </c>
      <c r="Z31" s="1338"/>
      <c r="AA31" s="3059"/>
      <c r="AB31" s="2369">
        <f t="shared" si="2"/>
        <v>30948</v>
      </c>
      <c r="AC31" s="2944">
        <v>61320</v>
      </c>
    </row>
    <row r="32" spans="1:29">
      <c r="A32" s="53">
        <f t="shared" si="7"/>
        <v>1994.11</v>
      </c>
      <c r="B32" s="2395">
        <f t="shared" si="5"/>
        <v>134484</v>
      </c>
      <c r="C32" s="2396">
        <f t="shared" si="6"/>
        <v>34913</v>
      </c>
      <c r="D32" s="386">
        <v>225402</v>
      </c>
      <c r="E32" s="3669"/>
      <c r="F32" s="151">
        <v>270985</v>
      </c>
      <c r="G32" s="3061"/>
      <c r="H32" s="632">
        <v>66760</v>
      </c>
      <c r="I32" s="3504">
        <v>67724</v>
      </c>
      <c r="J32" s="636"/>
      <c r="K32" s="669"/>
      <c r="L32" s="3062">
        <f t="shared" si="0"/>
        <v>134484</v>
      </c>
      <c r="M32" s="632">
        <v>13333</v>
      </c>
      <c r="N32" s="151">
        <v>21580</v>
      </c>
      <c r="O32" s="3669"/>
      <c r="P32" s="669"/>
      <c r="Q32" s="2396">
        <f t="shared" si="4"/>
        <v>34913</v>
      </c>
      <c r="R32" s="456">
        <v>52255</v>
      </c>
      <c r="S32" s="2942">
        <v>87391</v>
      </c>
      <c r="T32" s="473"/>
      <c r="U32" s="3063"/>
      <c r="V32" s="2369">
        <f t="shared" si="1"/>
        <v>139646</v>
      </c>
      <c r="W32" s="2942">
        <v>145700</v>
      </c>
      <c r="X32" s="456">
        <v>1300</v>
      </c>
      <c r="Y32" s="2942">
        <v>5264</v>
      </c>
      <c r="Z32" s="1338"/>
      <c r="AA32" s="3059"/>
      <c r="AB32" s="2369">
        <f t="shared" si="2"/>
        <v>6564</v>
      </c>
      <c r="AC32" s="2944">
        <v>43590</v>
      </c>
    </row>
    <row r="33" spans="1:29">
      <c r="A33" s="53">
        <f t="shared" si="7"/>
        <v>1994.12</v>
      </c>
      <c r="B33" s="2395">
        <f t="shared" si="5"/>
        <v>93065</v>
      </c>
      <c r="C33" s="2396">
        <f t="shared" si="6"/>
        <v>460336</v>
      </c>
      <c r="D33" s="386">
        <v>139147</v>
      </c>
      <c r="E33" s="3669"/>
      <c r="F33" s="151">
        <v>753736</v>
      </c>
      <c r="G33" s="3061"/>
      <c r="H33" s="632">
        <v>42721</v>
      </c>
      <c r="I33" s="3504">
        <v>50344</v>
      </c>
      <c r="J33" s="636"/>
      <c r="K33" s="669"/>
      <c r="L33" s="3062">
        <f t="shared" si="0"/>
        <v>93065</v>
      </c>
      <c r="M33" s="632">
        <v>170553</v>
      </c>
      <c r="N33" s="151">
        <v>289783</v>
      </c>
      <c r="O33" s="3669"/>
      <c r="P33" s="669"/>
      <c r="Q33" s="2396">
        <f t="shared" si="4"/>
        <v>460336</v>
      </c>
      <c r="R33" s="456">
        <v>23434</v>
      </c>
      <c r="S33" s="2942">
        <v>61966</v>
      </c>
      <c r="T33" s="473"/>
      <c r="U33" s="3063"/>
      <c r="V33" s="2369">
        <f t="shared" si="1"/>
        <v>85400</v>
      </c>
      <c r="W33" s="2942">
        <v>86900</v>
      </c>
      <c r="X33" s="456">
        <v>3200</v>
      </c>
      <c r="Y33" s="2942">
        <v>2000</v>
      </c>
      <c r="Z33" s="1338"/>
      <c r="AA33" s="3059"/>
      <c r="AB33" s="2369">
        <f t="shared" si="2"/>
        <v>5200</v>
      </c>
      <c r="AC33" s="2944">
        <v>54550</v>
      </c>
    </row>
    <row r="34" spans="1:29">
      <c r="A34" s="53">
        <f t="shared" si="7"/>
        <v>1995.01</v>
      </c>
      <c r="B34" s="2395">
        <f t="shared" si="5"/>
        <v>64804</v>
      </c>
      <c r="C34" s="2396">
        <f t="shared" si="6"/>
        <v>327235</v>
      </c>
      <c r="D34" s="386">
        <v>98162</v>
      </c>
      <c r="E34" s="3669"/>
      <c r="F34" s="151">
        <v>1119465</v>
      </c>
      <c r="G34" s="3061"/>
      <c r="H34" s="632">
        <v>28125</v>
      </c>
      <c r="I34" s="3504">
        <v>36679</v>
      </c>
      <c r="J34" s="636"/>
      <c r="K34" s="669"/>
      <c r="L34" s="3062">
        <f t="shared" si="0"/>
        <v>64804</v>
      </c>
      <c r="M34" s="632">
        <v>138051</v>
      </c>
      <c r="N34" s="151">
        <v>189184</v>
      </c>
      <c r="O34" s="3669"/>
      <c r="P34" s="669"/>
      <c r="Q34" s="2396">
        <f t="shared" si="4"/>
        <v>327235</v>
      </c>
      <c r="R34" s="456">
        <v>36540</v>
      </c>
      <c r="S34" s="2942">
        <v>81693</v>
      </c>
      <c r="T34" s="473"/>
      <c r="U34" s="3063"/>
      <c r="V34" s="2369">
        <f t="shared" si="1"/>
        <v>118233</v>
      </c>
      <c r="W34" s="2942">
        <v>121650</v>
      </c>
      <c r="X34" s="456">
        <v>0</v>
      </c>
      <c r="Y34" s="2942">
        <v>14850</v>
      </c>
      <c r="Z34" s="1338"/>
      <c r="AA34" s="3059"/>
      <c r="AB34" s="2369">
        <f t="shared" si="2"/>
        <v>14850</v>
      </c>
      <c r="AC34" s="2944">
        <v>59850</v>
      </c>
    </row>
    <row r="35" spans="1:29">
      <c r="A35" s="53">
        <f t="shared" si="7"/>
        <v>1995.02</v>
      </c>
      <c r="B35" s="2395">
        <f t="shared" si="5"/>
        <v>29573</v>
      </c>
      <c r="C35" s="2396">
        <f t="shared" si="6"/>
        <v>302282</v>
      </c>
      <c r="D35" s="386">
        <v>119642</v>
      </c>
      <c r="E35" s="3669"/>
      <c r="F35" s="151">
        <v>1120280</v>
      </c>
      <c r="G35" s="3061"/>
      <c r="H35" s="632">
        <v>18423</v>
      </c>
      <c r="I35" s="3504">
        <v>11150</v>
      </c>
      <c r="J35" s="636"/>
      <c r="K35" s="669"/>
      <c r="L35" s="3062">
        <f t="shared" si="0"/>
        <v>29573</v>
      </c>
      <c r="M35" s="632">
        <v>140402</v>
      </c>
      <c r="N35" s="151">
        <v>161880</v>
      </c>
      <c r="O35" s="3669"/>
      <c r="P35" s="669"/>
      <c r="Q35" s="2396">
        <f t="shared" si="4"/>
        <v>302282</v>
      </c>
      <c r="R35" s="456">
        <v>20973</v>
      </c>
      <c r="S35" s="2942">
        <v>49105</v>
      </c>
      <c r="T35" s="473"/>
      <c r="U35" s="3063"/>
      <c r="V35" s="2369">
        <f t="shared" si="1"/>
        <v>70078</v>
      </c>
      <c r="W35" s="2942">
        <v>72580</v>
      </c>
      <c r="X35" s="456">
        <v>0</v>
      </c>
      <c r="Y35" s="2942">
        <v>26680</v>
      </c>
      <c r="Z35" s="1338"/>
      <c r="AA35" s="3059"/>
      <c r="AB35" s="2369">
        <f t="shared" si="2"/>
        <v>26680</v>
      </c>
      <c r="AC35" s="2944">
        <v>51630</v>
      </c>
    </row>
    <row r="36" spans="1:29">
      <c r="A36" s="53">
        <f t="shared" si="7"/>
        <v>1995.03</v>
      </c>
      <c r="B36" s="2395">
        <f t="shared" si="5"/>
        <v>454273</v>
      </c>
      <c r="C36" s="2396">
        <f t="shared" si="6"/>
        <v>278629</v>
      </c>
      <c r="D36" s="386">
        <v>575612</v>
      </c>
      <c r="E36" s="3669"/>
      <c r="F36" s="151">
        <v>1121139</v>
      </c>
      <c r="G36" s="3061"/>
      <c r="H36" s="632">
        <v>163309</v>
      </c>
      <c r="I36" s="3504">
        <v>290964</v>
      </c>
      <c r="J36" s="636"/>
      <c r="K36" s="669"/>
      <c r="L36" s="3062">
        <f t="shared" si="0"/>
        <v>454273</v>
      </c>
      <c r="M36" s="632">
        <v>170587</v>
      </c>
      <c r="N36" s="151">
        <v>108042</v>
      </c>
      <c r="O36" s="3669"/>
      <c r="P36" s="669"/>
      <c r="Q36" s="2396">
        <f t="shared" si="4"/>
        <v>278629</v>
      </c>
      <c r="R36" s="456">
        <v>28356</v>
      </c>
      <c r="S36" s="2942">
        <v>50220</v>
      </c>
      <c r="T36" s="473"/>
      <c r="U36" s="3063"/>
      <c r="V36" s="2369">
        <f t="shared" si="1"/>
        <v>78576</v>
      </c>
      <c r="W36" s="2942">
        <v>86950</v>
      </c>
      <c r="X36" s="456">
        <v>17438</v>
      </c>
      <c r="Y36" s="2942">
        <v>78855</v>
      </c>
      <c r="Z36" s="1338"/>
      <c r="AA36" s="3059"/>
      <c r="AB36" s="2369">
        <f t="shared" si="2"/>
        <v>96293</v>
      </c>
      <c r="AC36" s="2944">
        <v>149670</v>
      </c>
    </row>
    <row r="37" spans="1:29">
      <c r="A37" s="53">
        <f t="shared" si="7"/>
        <v>1995.04</v>
      </c>
      <c r="B37" s="2395">
        <f t="shared" si="5"/>
        <v>890866</v>
      </c>
      <c r="C37" s="2396">
        <f t="shared" si="6"/>
        <v>185658</v>
      </c>
      <c r="D37" s="386">
        <v>1453339</v>
      </c>
      <c r="E37" s="3669"/>
      <c r="F37" s="151">
        <v>599081</v>
      </c>
      <c r="G37" s="3061"/>
      <c r="H37" s="632">
        <v>471354</v>
      </c>
      <c r="I37" s="3504">
        <v>419512</v>
      </c>
      <c r="J37" s="636"/>
      <c r="K37" s="669"/>
      <c r="L37" s="3062">
        <f t="shared" si="0"/>
        <v>890866</v>
      </c>
      <c r="M37" s="632">
        <v>72697</v>
      </c>
      <c r="N37" s="151">
        <v>112961</v>
      </c>
      <c r="O37" s="3669"/>
      <c r="P37" s="669"/>
      <c r="Q37" s="2396">
        <f t="shared" si="4"/>
        <v>185658</v>
      </c>
      <c r="R37" s="456">
        <v>12108</v>
      </c>
      <c r="S37" s="2942">
        <v>24300</v>
      </c>
      <c r="T37" s="473"/>
      <c r="U37" s="3063"/>
      <c r="V37" s="2369">
        <f t="shared" si="1"/>
        <v>36408</v>
      </c>
      <c r="W37" s="2942">
        <v>39630</v>
      </c>
      <c r="X37" s="456">
        <v>20915</v>
      </c>
      <c r="Y37" s="2942">
        <v>96050</v>
      </c>
      <c r="Z37" s="1338"/>
      <c r="AA37" s="3059"/>
      <c r="AB37" s="2369">
        <f t="shared" si="2"/>
        <v>116965</v>
      </c>
      <c r="AC37" s="2944">
        <v>219280</v>
      </c>
    </row>
    <row r="38" spans="1:29">
      <c r="A38" s="53">
        <f t="shared" si="7"/>
        <v>1995.05</v>
      </c>
      <c r="B38" s="2395">
        <f t="shared" si="5"/>
        <v>573452</v>
      </c>
      <c r="C38" s="2396">
        <f t="shared" si="6"/>
        <v>253585</v>
      </c>
      <c r="D38" s="386">
        <v>1130130</v>
      </c>
      <c r="E38" s="3669"/>
      <c r="F38" s="151">
        <v>753132</v>
      </c>
      <c r="G38" s="3061"/>
      <c r="H38" s="632">
        <v>298560</v>
      </c>
      <c r="I38" s="3504">
        <v>274892</v>
      </c>
      <c r="J38" s="636"/>
      <c r="K38" s="669"/>
      <c r="L38" s="3062">
        <f t="shared" si="0"/>
        <v>573452</v>
      </c>
      <c r="M38" s="632">
        <v>68622</v>
      </c>
      <c r="N38" s="151">
        <v>184963</v>
      </c>
      <c r="O38" s="3669"/>
      <c r="P38" s="669"/>
      <c r="Q38" s="2396">
        <f t="shared" si="4"/>
        <v>253585</v>
      </c>
      <c r="R38" s="456">
        <v>35892</v>
      </c>
      <c r="S38" s="2942">
        <v>79666</v>
      </c>
      <c r="T38" s="473"/>
      <c r="U38" s="3063"/>
      <c r="V38" s="2369">
        <f t="shared" si="1"/>
        <v>115558</v>
      </c>
      <c r="W38" s="2942">
        <v>122020</v>
      </c>
      <c r="X38" s="456">
        <v>9871</v>
      </c>
      <c r="Y38" s="2942">
        <v>39744</v>
      </c>
      <c r="Z38" s="1338"/>
      <c r="AA38" s="3059"/>
      <c r="AB38" s="2369">
        <f t="shared" si="2"/>
        <v>49615</v>
      </c>
      <c r="AC38" s="2944">
        <v>152480</v>
      </c>
    </row>
    <row r="39" spans="1:29">
      <c r="A39" s="53">
        <f t="shared" si="7"/>
        <v>1995.06</v>
      </c>
      <c r="B39" s="2395">
        <f t="shared" si="5"/>
        <v>357587</v>
      </c>
      <c r="C39" s="2396">
        <f t="shared" si="6"/>
        <v>172474</v>
      </c>
      <c r="D39" s="386">
        <v>925630</v>
      </c>
      <c r="E39" s="3669"/>
      <c r="F39" s="151">
        <v>595230</v>
      </c>
      <c r="G39" s="3061"/>
      <c r="H39" s="632">
        <v>184654</v>
      </c>
      <c r="I39" s="3504">
        <v>172933</v>
      </c>
      <c r="J39" s="636"/>
      <c r="K39" s="669"/>
      <c r="L39" s="3062">
        <f t="shared" si="0"/>
        <v>357587</v>
      </c>
      <c r="M39" s="632">
        <v>66131</v>
      </c>
      <c r="N39" s="151">
        <v>106343</v>
      </c>
      <c r="O39" s="3669"/>
      <c r="P39" s="669"/>
      <c r="Q39" s="2396">
        <f t="shared" si="4"/>
        <v>172474</v>
      </c>
      <c r="R39" s="456">
        <v>66000</v>
      </c>
      <c r="S39" s="2942">
        <v>66312</v>
      </c>
      <c r="T39" s="473"/>
      <c r="U39" s="3063"/>
      <c r="V39" s="2369">
        <f t="shared" si="1"/>
        <v>132312</v>
      </c>
      <c r="W39" s="2942">
        <v>132810</v>
      </c>
      <c r="X39" s="456">
        <v>24900</v>
      </c>
      <c r="Y39" s="2942">
        <v>31020</v>
      </c>
      <c r="Z39" s="1338"/>
      <c r="AA39" s="3059"/>
      <c r="AB39" s="2369">
        <f t="shared" si="2"/>
        <v>55920</v>
      </c>
      <c r="AC39" s="2944">
        <v>136620</v>
      </c>
    </row>
    <row r="40" spans="1:29">
      <c r="A40" s="53">
        <f t="shared" si="7"/>
        <v>1995.07</v>
      </c>
      <c r="B40" s="2395">
        <f t="shared" si="5"/>
        <v>240759</v>
      </c>
      <c r="C40" s="2396">
        <f t="shared" si="6"/>
        <v>105666</v>
      </c>
      <c r="D40" s="386">
        <v>507486</v>
      </c>
      <c r="E40" s="3669"/>
      <c r="F40" s="151">
        <v>399147</v>
      </c>
      <c r="G40" s="3061"/>
      <c r="H40" s="632">
        <v>150256</v>
      </c>
      <c r="I40" s="3504">
        <v>90503</v>
      </c>
      <c r="J40" s="636"/>
      <c r="K40" s="669"/>
      <c r="L40" s="3062">
        <f t="shared" si="0"/>
        <v>240759</v>
      </c>
      <c r="M40" s="632">
        <v>26779</v>
      </c>
      <c r="N40" s="151">
        <v>78887</v>
      </c>
      <c r="O40" s="3669"/>
      <c r="P40" s="669"/>
      <c r="Q40" s="2396">
        <f t="shared" si="4"/>
        <v>105666</v>
      </c>
      <c r="R40" s="456">
        <v>48778</v>
      </c>
      <c r="S40" s="2942">
        <v>84836</v>
      </c>
      <c r="T40" s="473"/>
      <c r="U40" s="3063"/>
      <c r="V40" s="2369">
        <f t="shared" si="1"/>
        <v>133614</v>
      </c>
      <c r="W40" s="2942">
        <v>133614</v>
      </c>
      <c r="X40" s="456">
        <v>4068</v>
      </c>
      <c r="Y40" s="2942">
        <v>27934</v>
      </c>
      <c r="Z40" s="1338"/>
      <c r="AA40" s="3059"/>
      <c r="AB40" s="2369">
        <f t="shared" si="2"/>
        <v>32002</v>
      </c>
      <c r="AC40" s="2944">
        <v>106510</v>
      </c>
    </row>
    <row r="41" spans="1:29">
      <c r="A41" s="53">
        <f t="shared" si="7"/>
        <v>1995.08</v>
      </c>
      <c r="B41" s="2395">
        <f t="shared" si="5"/>
        <v>177362</v>
      </c>
      <c r="C41" s="2396">
        <f t="shared" si="6"/>
        <v>25959</v>
      </c>
      <c r="D41" s="386">
        <v>388347</v>
      </c>
      <c r="E41" s="3669"/>
      <c r="F41" s="151">
        <v>210174</v>
      </c>
      <c r="G41" s="3061"/>
      <c r="H41" s="632">
        <v>77192</v>
      </c>
      <c r="I41" s="3504">
        <v>100170</v>
      </c>
      <c r="J41" s="636"/>
      <c r="K41" s="669"/>
      <c r="L41" s="3062">
        <f t="shared" si="0"/>
        <v>177362</v>
      </c>
      <c r="M41" s="632">
        <v>25959</v>
      </c>
      <c r="N41" s="151">
        <v>0</v>
      </c>
      <c r="O41" s="3669"/>
      <c r="P41" s="669"/>
      <c r="Q41" s="2396">
        <f t="shared" si="4"/>
        <v>25959</v>
      </c>
      <c r="R41" s="456">
        <v>48610</v>
      </c>
      <c r="S41" s="2942">
        <v>100891</v>
      </c>
      <c r="T41" s="473"/>
      <c r="U41" s="3063"/>
      <c r="V41" s="2369">
        <f t="shared" si="1"/>
        <v>149501</v>
      </c>
      <c r="W41" s="2942">
        <v>152500</v>
      </c>
      <c r="X41" s="456">
        <v>14000</v>
      </c>
      <c r="Y41" s="2942">
        <v>16642</v>
      </c>
      <c r="Z41" s="1338"/>
      <c r="AA41" s="3059"/>
      <c r="AB41" s="2369">
        <f t="shared" si="2"/>
        <v>30642</v>
      </c>
      <c r="AC41" s="2944">
        <v>116340</v>
      </c>
    </row>
    <row r="42" spans="1:29">
      <c r="A42" s="53">
        <f t="shared" si="7"/>
        <v>1995.09</v>
      </c>
      <c r="B42" s="2395">
        <f t="shared" si="5"/>
        <v>192838</v>
      </c>
      <c r="C42" s="2396">
        <f t="shared" si="6"/>
        <v>0</v>
      </c>
      <c r="D42" s="386">
        <v>371577</v>
      </c>
      <c r="E42" s="3669"/>
      <c r="F42" s="151">
        <v>92515</v>
      </c>
      <c r="G42" s="3061"/>
      <c r="H42" s="632">
        <v>59212</v>
      </c>
      <c r="I42" s="3504">
        <v>133626</v>
      </c>
      <c r="J42" s="636"/>
      <c r="K42" s="669"/>
      <c r="L42" s="3062">
        <f t="shared" si="0"/>
        <v>192838</v>
      </c>
      <c r="M42" s="632">
        <v>0</v>
      </c>
      <c r="N42" s="151">
        <v>0</v>
      </c>
      <c r="O42" s="3669"/>
      <c r="P42" s="669"/>
      <c r="Q42" s="2396">
        <f>SUM(M42:P42)</f>
        <v>0</v>
      </c>
      <c r="R42" s="456">
        <v>66436</v>
      </c>
      <c r="S42" s="2942">
        <v>86655</v>
      </c>
      <c r="T42" s="473"/>
      <c r="U42" s="3063"/>
      <c r="V42" s="2369">
        <f t="shared" si="1"/>
        <v>153091</v>
      </c>
      <c r="W42" s="2942">
        <v>160090</v>
      </c>
      <c r="X42" s="456">
        <v>9062</v>
      </c>
      <c r="Y42" s="2942">
        <v>12895</v>
      </c>
      <c r="Z42" s="1338"/>
      <c r="AA42" s="3059"/>
      <c r="AB42" s="2369">
        <f t="shared" si="2"/>
        <v>21957</v>
      </c>
      <c r="AC42" s="2944">
        <v>95200</v>
      </c>
    </row>
    <row r="43" spans="1:29">
      <c r="A43" s="53">
        <f t="shared" si="7"/>
        <v>1995.1</v>
      </c>
      <c r="B43" s="2395">
        <f t="shared" si="5"/>
        <v>132839</v>
      </c>
      <c r="C43" s="2396">
        <f t="shared" si="6"/>
        <v>32355</v>
      </c>
      <c r="D43" s="386">
        <v>199820</v>
      </c>
      <c r="E43" s="3669"/>
      <c r="F43" s="151">
        <v>84436</v>
      </c>
      <c r="G43" s="3061"/>
      <c r="H43" s="632">
        <v>80689</v>
      </c>
      <c r="I43" s="3504">
        <v>52150</v>
      </c>
      <c r="J43" s="636"/>
      <c r="K43" s="669"/>
      <c r="L43" s="3062">
        <f t="shared" si="0"/>
        <v>132839</v>
      </c>
      <c r="M43" s="632">
        <v>32355</v>
      </c>
      <c r="N43" s="151">
        <v>0</v>
      </c>
      <c r="O43" s="3669"/>
      <c r="P43" s="669"/>
      <c r="Q43" s="2396">
        <f t="shared" si="4"/>
        <v>32355</v>
      </c>
      <c r="R43" s="456">
        <v>30800</v>
      </c>
      <c r="S43" s="2942">
        <v>81110</v>
      </c>
      <c r="T43" s="473"/>
      <c r="U43" s="3063"/>
      <c r="V43" s="2369">
        <f t="shared" si="1"/>
        <v>111910</v>
      </c>
      <c r="W43" s="2942">
        <v>111910</v>
      </c>
      <c r="X43" s="456">
        <v>3000</v>
      </c>
      <c r="Y43" s="2942">
        <v>13883</v>
      </c>
      <c r="Z43" s="1338"/>
      <c r="AA43" s="3059"/>
      <c r="AB43" s="2369">
        <f t="shared" si="2"/>
        <v>16883</v>
      </c>
      <c r="AC43" s="2944">
        <v>63080</v>
      </c>
    </row>
    <row r="44" spans="1:29">
      <c r="A44" s="53">
        <f t="shared" si="7"/>
        <v>1995.11</v>
      </c>
      <c r="B44" s="2395">
        <f t="shared" si="5"/>
        <v>84477</v>
      </c>
      <c r="C44" s="2396">
        <f t="shared" si="6"/>
        <v>26124</v>
      </c>
      <c r="D44" s="386">
        <v>146516</v>
      </c>
      <c r="E44" s="3669"/>
      <c r="F44" s="151">
        <v>47309</v>
      </c>
      <c r="G44" s="3061"/>
      <c r="H44" s="632">
        <v>69617</v>
      </c>
      <c r="I44" s="3504">
        <v>14860</v>
      </c>
      <c r="J44" s="636"/>
      <c r="K44" s="669"/>
      <c r="L44" s="3062">
        <f t="shared" si="0"/>
        <v>84477</v>
      </c>
      <c r="M44" s="632">
        <v>26124</v>
      </c>
      <c r="N44" s="151">
        <v>0</v>
      </c>
      <c r="O44" s="3669"/>
      <c r="P44" s="669"/>
      <c r="Q44" s="2396">
        <f t="shared" si="4"/>
        <v>26124</v>
      </c>
      <c r="R44" s="456">
        <v>61820</v>
      </c>
      <c r="S44" s="2942">
        <v>112816</v>
      </c>
      <c r="T44" s="473"/>
      <c r="U44" s="3063"/>
      <c r="V44" s="2369">
        <f t="shared" si="1"/>
        <v>174636</v>
      </c>
      <c r="W44" s="2942">
        <v>185940</v>
      </c>
      <c r="X44" s="456">
        <v>18300</v>
      </c>
      <c r="Y44" s="2942">
        <v>19578</v>
      </c>
      <c r="Z44" s="1338"/>
      <c r="AA44" s="3059"/>
      <c r="AB44" s="2369">
        <f t="shared" si="2"/>
        <v>37878</v>
      </c>
      <c r="AC44" s="2944">
        <v>63410</v>
      </c>
    </row>
    <row r="45" spans="1:29">
      <c r="A45" s="53">
        <f t="shared" si="7"/>
        <v>1995.12</v>
      </c>
      <c r="B45" s="2395">
        <f t="shared" si="5"/>
        <v>80789</v>
      </c>
      <c r="C45" s="2396">
        <f t="shared" si="6"/>
        <v>486152</v>
      </c>
      <c r="D45" s="386">
        <v>124826</v>
      </c>
      <c r="E45" s="3669"/>
      <c r="F45" s="151">
        <v>638888</v>
      </c>
      <c r="G45" s="3061"/>
      <c r="H45" s="632">
        <v>39802</v>
      </c>
      <c r="I45" s="3504">
        <v>40987</v>
      </c>
      <c r="J45" s="636"/>
      <c r="K45" s="669"/>
      <c r="L45" s="3062">
        <f t="shared" si="0"/>
        <v>80789</v>
      </c>
      <c r="M45" s="632">
        <v>213594</v>
      </c>
      <c r="N45" s="151">
        <v>272558</v>
      </c>
      <c r="O45" s="3669"/>
      <c r="P45" s="669"/>
      <c r="Q45" s="2396">
        <f t="shared" si="4"/>
        <v>486152</v>
      </c>
      <c r="R45" s="456">
        <v>49320</v>
      </c>
      <c r="S45" s="2942">
        <v>96663</v>
      </c>
      <c r="T45" s="473"/>
      <c r="U45" s="3063"/>
      <c r="V45" s="2369">
        <f t="shared" si="1"/>
        <v>145983</v>
      </c>
      <c r="W45" s="2942">
        <v>152079</v>
      </c>
      <c r="X45" s="456">
        <v>20900</v>
      </c>
      <c r="Y45" s="2942">
        <v>13530</v>
      </c>
      <c r="Z45" s="1338"/>
      <c r="AA45" s="3059"/>
      <c r="AB45" s="2369">
        <f t="shared" si="2"/>
        <v>34430</v>
      </c>
      <c r="AC45" s="2944">
        <v>115160</v>
      </c>
    </row>
    <row r="46" spans="1:29">
      <c r="A46" s="53">
        <f t="shared" si="7"/>
        <v>1996.01</v>
      </c>
      <c r="B46" s="2395">
        <f t="shared" si="5"/>
        <v>50483</v>
      </c>
      <c r="C46" s="2396">
        <f t="shared" si="6"/>
        <v>134883</v>
      </c>
      <c r="D46" s="386">
        <v>72563</v>
      </c>
      <c r="E46" s="3669"/>
      <c r="F46" s="151">
        <v>777919</v>
      </c>
      <c r="G46" s="3061"/>
      <c r="H46" s="632">
        <v>42119</v>
      </c>
      <c r="I46" s="3504">
        <v>8364</v>
      </c>
      <c r="J46" s="636"/>
      <c r="K46" s="669"/>
      <c r="L46" s="3062">
        <f t="shared" si="0"/>
        <v>50483</v>
      </c>
      <c r="M46" s="632">
        <v>40008</v>
      </c>
      <c r="N46" s="151">
        <v>94875</v>
      </c>
      <c r="O46" s="3669"/>
      <c r="P46" s="669"/>
      <c r="Q46" s="2396">
        <f t="shared" si="4"/>
        <v>134883</v>
      </c>
      <c r="R46" s="456">
        <v>49562</v>
      </c>
      <c r="S46" s="2942">
        <v>51832</v>
      </c>
      <c r="T46" s="473"/>
      <c r="U46" s="3063"/>
      <c r="V46" s="2369">
        <f t="shared" si="1"/>
        <v>101394</v>
      </c>
      <c r="W46" s="2942">
        <v>119950</v>
      </c>
      <c r="X46" s="456">
        <v>4350</v>
      </c>
      <c r="Y46" s="2942">
        <v>9000</v>
      </c>
      <c r="Z46" s="1338"/>
      <c r="AA46" s="3059"/>
      <c r="AB46" s="2369">
        <f t="shared" si="2"/>
        <v>13350</v>
      </c>
      <c r="AC46" s="2944">
        <v>69780</v>
      </c>
    </row>
    <row r="47" spans="1:29">
      <c r="A47" s="53">
        <f t="shared" si="7"/>
        <v>1996.02</v>
      </c>
      <c r="B47" s="2395">
        <f t="shared" si="5"/>
        <v>85121</v>
      </c>
      <c r="C47" s="2396">
        <f t="shared" si="6"/>
        <v>114007</v>
      </c>
      <c r="D47" s="386">
        <v>97230</v>
      </c>
      <c r="E47" s="3669"/>
      <c r="F47" s="151">
        <v>567145</v>
      </c>
      <c r="G47" s="3061"/>
      <c r="H47" s="632">
        <v>59406</v>
      </c>
      <c r="I47" s="3504">
        <v>25715</v>
      </c>
      <c r="J47" s="636"/>
      <c r="K47" s="669"/>
      <c r="L47" s="3062">
        <f t="shared" si="0"/>
        <v>85121</v>
      </c>
      <c r="M47" s="632">
        <v>64000</v>
      </c>
      <c r="N47" s="151">
        <v>50007</v>
      </c>
      <c r="O47" s="3669"/>
      <c r="P47" s="669"/>
      <c r="Q47" s="2396">
        <f t="shared" si="4"/>
        <v>114007</v>
      </c>
      <c r="R47" s="456">
        <v>28580</v>
      </c>
      <c r="S47" s="2942">
        <v>102327</v>
      </c>
      <c r="T47" s="473"/>
      <c r="U47" s="3063"/>
      <c r="V47" s="2369">
        <f t="shared" si="1"/>
        <v>130907</v>
      </c>
      <c r="W47" s="2942">
        <v>134850</v>
      </c>
      <c r="X47" s="456">
        <v>4780</v>
      </c>
      <c r="Y47" s="2942">
        <v>16795</v>
      </c>
      <c r="Z47" s="1338"/>
      <c r="AA47" s="3059"/>
      <c r="AB47" s="2369">
        <f t="shared" si="2"/>
        <v>21575</v>
      </c>
      <c r="AC47" s="2944">
        <v>32460</v>
      </c>
    </row>
    <row r="48" spans="1:29">
      <c r="A48" s="53">
        <f t="shared" si="7"/>
        <v>1996.03</v>
      </c>
      <c r="B48" s="2395">
        <f t="shared" si="5"/>
        <v>328772</v>
      </c>
      <c r="C48" s="2396">
        <f t="shared" si="6"/>
        <v>123813</v>
      </c>
      <c r="D48" s="386">
        <v>545462</v>
      </c>
      <c r="E48" s="3669"/>
      <c r="F48" s="151">
        <v>493132</v>
      </c>
      <c r="G48" s="3061"/>
      <c r="H48" s="632">
        <v>225853</v>
      </c>
      <c r="I48" s="3504">
        <v>102919</v>
      </c>
      <c r="J48" s="636"/>
      <c r="K48" s="669"/>
      <c r="L48" s="3062">
        <f t="shared" si="0"/>
        <v>328772</v>
      </c>
      <c r="M48" s="632">
        <v>67998</v>
      </c>
      <c r="N48" s="151">
        <v>55815</v>
      </c>
      <c r="O48" s="3669"/>
      <c r="P48" s="669"/>
      <c r="Q48" s="2396">
        <f t="shared" si="4"/>
        <v>123813</v>
      </c>
      <c r="R48" s="456">
        <v>36597</v>
      </c>
      <c r="S48" s="2942">
        <v>57936</v>
      </c>
      <c r="T48" s="473"/>
      <c r="U48" s="3063"/>
      <c r="V48" s="2369">
        <f t="shared" si="1"/>
        <v>94533</v>
      </c>
      <c r="W48" s="2942">
        <v>98420</v>
      </c>
      <c r="X48" s="456">
        <v>6500</v>
      </c>
      <c r="Y48" s="2942">
        <v>50140</v>
      </c>
      <c r="Z48" s="1338"/>
      <c r="AA48" s="3059"/>
      <c r="AB48" s="2369">
        <f t="shared" si="2"/>
        <v>56640</v>
      </c>
      <c r="AC48" s="2944">
        <v>101380</v>
      </c>
    </row>
    <row r="49" spans="1:29">
      <c r="A49" s="53">
        <f t="shared" si="7"/>
        <v>1996.04</v>
      </c>
      <c r="B49" s="2395">
        <f t="shared" si="5"/>
        <v>1000893</v>
      </c>
      <c r="C49" s="2396">
        <f t="shared" si="6"/>
        <v>152490</v>
      </c>
      <c r="D49" s="386">
        <v>1278771</v>
      </c>
      <c r="E49" s="3669"/>
      <c r="F49" s="151">
        <v>348874</v>
      </c>
      <c r="G49" s="3061"/>
      <c r="H49" s="632">
        <v>519054</v>
      </c>
      <c r="I49" s="3504">
        <v>481839</v>
      </c>
      <c r="J49" s="636"/>
      <c r="K49" s="669"/>
      <c r="L49" s="3062">
        <f t="shared" si="0"/>
        <v>1000893</v>
      </c>
      <c r="M49" s="632">
        <v>98800</v>
      </c>
      <c r="N49" s="151">
        <v>53690</v>
      </c>
      <c r="O49" s="3669"/>
      <c r="P49" s="669"/>
      <c r="Q49" s="2396">
        <f t="shared" si="4"/>
        <v>152490</v>
      </c>
      <c r="R49" s="456">
        <v>22500</v>
      </c>
      <c r="S49" s="2942">
        <v>19965</v>
      </c>
      <c r="T49" s="473"/>
      <c r="U49" s="3063"/>
      <c r="V49" s="2369">
        <f t="shared" si="1"/>
        <v>42465</v>
      </c>
      <c r="W49" s="2942">
        <v>46000</v>
      </c>
      <c r="X49" s="456">
        <v>27450</v>
      </c>
      <c r="Y49" s="2942">
        <v>68946</v>
      </c>
      <c r="Z49" s="1338"/>
      <c r="AA49" s="3059"/>
      <c r="AB49" s="2369">
        <f t="shared" si="2"/>
        <v>96396</v>
      </c>
      <c r="AC49" s="2944">
        <v>223490</v>
      </c>
    </row>
    <row r="50" spans="1:29">
      <c r="A50" s="53">
        <f t="shared" si="7"/>
        <v>1996.05</v>
      </c>
      <c r="B50" s="2395">
        <f t="shared" si="5"/>
        <v>710321</v>
      </c>
      <c r="C50" s="2396">
        <f t="shared" si="6"/>
        <v>81345</v>
      </c>
      <c r="D50" s="386">
        <v>1127343</v>
      </c>
      <c r="E50" s="3669"/>
      <c r="F50" s="151">
        <v>351281</v>
      </c>
      <c r="G50" s="3061"/>
      <c r="H50" s="632">
        <v>335855</v>
      </c>
      <c r="I50" s="3504">
        <v>374466</v>
      </c>
      <c r="J50" s="636"/>
      <c r="K50" s="669"/>
      <c r="L50" s="3062">
        <f t="shared" si="0"/>
        <v>710321</v>
      </c>
      <c r="M50" s="632">
        <v>65970</v>
      </c>
      <c r="N50" s="151">
        <v>15375</v>
      </c>
      <c r="O50" s="3669"/>
      <c r="P50" s="669"/>
      <c r="Q50" s="2396">
        <f t="shared" si="4"/>
        <v>81345</v>
      </c>
      <c r="R50" s="456">
        <v>41300</v>
      </c>
      <c r="S50" s="2942">
        <v>64932</v>
      </c>
      <c r="T50" s="473"/>
      <c r="U50" s="3063"/>
      <c r="V50" s="2369">
        <f t="shared" si="1"/>
        <v>106232</v>
      </c>
      <c r="W50" s="2942">
        <v>110180</v>
      </c>
      <c r="X50" s="456">
        <v>10000</v>
      </c>
      <c r="Y50" s="2942">
        <v>49050</v>
      </c>
      <c r="Z50" s="1338"/>
      <c r="AA50" s="3059"/>
      <c r="AB50" s="2369">
        <f t="shared" si="2"/>
        <v>59050</v>
      </c>
      <c r="AC50" s="2944">
        <v>145410</v>
      </c>
    </row>
    <row r="51" spans="1:29">
      <c r="A51" s="53">
        <f t="shared" si="7"/>
        <v>1996.06</v>
      </c>
      <c r="B51" s="2395">
        <f t="shared" si="5"/>
        <v>407336</v>
      </c>
      <c r="C51" s="2396">
        <f t="shared" si="6"/>
        <v>30078</v>
      </c>
      <c r="D51" s="386">
        <v>751577</v>
      </c>
      <c r="E51" s="3669"/>
      <c r="F51" s="151">
        <v>165729</v>
      </c>
      <c r="G51" s="3061"/>
      <c r="H51" s="632">
        <v>224431</v>
      </c>
      <c r="I51" s="3504">
        <v>182905</v>
      </c>
      <c r="J51" s="636"/>
      <c r="K51" s="669"/>
      <c r="L51" s="3062">
        <f t="shared" si="0"/>
        <v>407336</v>
      </c>
      <c r="M51" s="632">
        <v>30078</v>
      </c>
      <c r="N51" s="151">
        <v>0</v>
      </c>
      <c r="O51" s="3669"/>
      <c r="P51" s="669"/>
      <c r="Q51" s="2396">
        <f t="shared" si="4"/>
        <v>30078</v>
      </c>
      <c r="R51" s="456">
        <v>43041</v>
      </c>
      <c r="S51" s="2942">
        <v>77943</v>
      </c>
      <c r="T51" s="473"/>
      <c r="U51" s="3063"/>
      <c r="V51" s="2369">
        <f t="shared" si="1"/>
        <v>120984</v>
      </c>
      <c r="W51" s="2942">
        <v>132970</v>
      </c>
      <c r="X51" s="456">
        <v>12562</v>
      </c>
      <c r="Y51" s="2942">
        <v>34475</v>
      </c>
      <c r="Z51" s="1338"/>
      <c r="AA51" s="3059"/>
      <c r="AB51" s="2369">
        <f t="shared" si="2"/>
        <v>47037</v>
      </c>
      <c r="AC51" s="2944">
        <v>116290</v>
      </c>
    </row>
    <row r="52" spans="1:29">
      <c r="A52" s="53">
        <f t="shared" si="7"/>
        <v>1996.07</v>
      </c>
      <c r="B52" s="2395">
        <f t="shared" si="5"/>
        <v>589469</v>
      </c>
      <c r="C52" s="2396">
        <f t="shared" si="6"/>
        <v>26266</v>
      </c>
      <c r="D52" s="386">
        <v>1044233</v>
      </c>
      <c r="E52" s="3669"/>
      <c r="F52" s="151">
        <v>212194</v>
      </c>
      <c r="G52" s="3061"/>
      <c r="H52" s="632">
        <v>341087</v>
      </c>
      <c r="I52" s="3504">
        <v>248382</v>
      </c>
      <c r="J52" s="636"/>
      <c r="K52" s="669"/>
      <c r="L52" s="3062">
        <f t="shared" si="0"/>
        <v>589469</v>
      </c>
      <c r="M52" s="632">
        <v>12304</v>
      </c>
      <c r="N52" s="151">
        <v>13962</v>
      </c>
      <c r="O52" s="3669"/>
      <c r="P52" s="669"/>
      <c r="Q52" s="2396">
        <f t="shared" si="4"/>
        <v>26266</v>
      </c>
      <c r="R52" s="456">
        <v>78502</v>
      </c>
      <c r="S52" s="2942">
        <v>100199</v>
      </c>
      <c r="T52" s="473"/>
      <c r="U52" s="3063"/>
      <c r="V52" s="2369">
        <f t="shared" si="1"/>
        <v>178701</v>
      </c>
      <c r="W52" s="2942">
        <v>183460</v>
      </c>
      <c r="X52" s="456">
        <v>12125</v>
      </c>
      <c r="Y52" s="2942">
        <v>29870</v>
      </c>
      <c r="Z52" s="1338"/>
      <c r="AA52" s="3059"/>
      <c r="AB52" s="2369">
        <f t="shared" si="2"/>
        <v>41995</v>
      </c>
      <c r="AC52" s="2944">
        <v>151980</v>
      </c>
    </row>
    <row r="53" spans="1:29">
      <c r="A53" s="53">
        <f t="shared" si="7"/>
        <v>1996.08</v>
      </c>
      <c r="B53" s="2395">
        <f t="shared" si="5"/>
        <v>602854</v>
      </c>
      <c r="C53" s="2396">
        <f t="shared" si="6"/>
        <v>15738</v>
      </c>
      <c r="D53" s="386">
        <v>1057665</v>
      </c>
      <c r="E53" s="3669"/>
      <c r="F53" s="151">
        <v>123337</v>
      </c>
      <c r="G53" s="3061"/>
      <c r="H53" s="632">
        <v>300952</v>
      </c>
      <c r="I53" s="3504">
        <v>301902</v>
      </c>
      <c r="J53" s="636"/>
      <c r="K53" s="669"/>
      <c r="L53" s="3062">
        <f t="shared" si="0"/>
        <v>602854</v>
      </c>
      <c r="M53" s="632">
        <v>15738</v>
      </c>
      <c r="N53" s="151">
        <v>0</v>
      </c>
      <c r="O53" s="3669"/>
      <c r="P53" s="669"/>
      <c r="Q53" s="2396">
        <f t="shared" si="4"/>
        <v>15738</v>
      </c>
      <c r="R53" s="456">
        <v>44600</v>
      </c>
      <c r="S53" s="2942">
        <v>108971</v>
      </c>
      <c r="T53" s="473"/>
      <c r="U53" s="3063"/>
      <c r="V53" s="2369">
        <f t="shared" si="1"/>
        <v>153571</v>
      </c>
      <c r="W53" s="2942">
        <v>174370</v>
      </c>
      <c r="X53" s="456">
        <v>6850</v>
      </c>
      <c r="Y53" s="2942">
        <v>18909</v>
      </c>
      <c r="Z53" s="1338"/>
      <c r="AA53" s="3059"/>
      <c r="AB53" s="2369">
        <f t="shared" si="2"/>
        <v>25759</v>
      </c>
      <c r="AC53" s="2944">
        <v>111300</v>
      </c>
    </row>
    <row r="54" spans="1:29">
      <c r="A54" s="53">
        <f t="shared" si="7"/>
        <v>1996.09</v>
      </c>
      <c r="B54" s="2395">
        <f t="shared" si="5"/>
        <v>173163</v>
      </c>
      <c r="C54" s="2396">
        <f t="shared" si="6"/>
        <v>52578</v>
      </c>
      <c r="D54" s="386">
        <v>315882</v>
      </c>
      <c r="E54" s="3669"/>
      <c r="F54" s="151">
        <v>249998</v>
      </c>
      <c r="G54" s="3061"/>
      <c r="H54" s="632">
        <v>55517</v>
      </c>
      <c r="I54" s="3504">
        <v>117646</v>
      </c>
      <c r="J54" s="636"/>
      <c r="K54" s="669"/>
      <c r="L54" s="3062">
        <f t="shared" si="0"/>
        <v>173163</v>
      </c>
      <c r="M54" s="632">
        <v>52578</v>
      </c>
      <c r="N54" s="151">
        <v>0</v>
      </c>
      <c r="O54" s="3669"/>
      <c r="P54" s="669"/>
      <c r="Q54" s="2396">
        <f t="shared" si="4"/>
        <v>52578</v>
      </c>
      <c r="R54" s="456">
        <v>65154</v>
      </c>
      <c r="S54" s="2942">
        <v>72251</v>
      </c>
      <c r="T54" s="473"/>
      <c r="U54" s="3063"/>
      <c r="V54" s="2369">
        <f t="shared" si="1"/>
        <v>137405</v>
      </c>
      <c r="W54" s="2942">
        <v>139400</v>
      </c>
      <c r="X54" s="456">
        <v>15893</v>
      </c>
      <c r="Y54" s="2942">
        <v>21360</v>
      </c>
      <c r="Z54" s="1338"/>
      <c r="AA54" s="3059"/>
      <c r="AB54" s="2369">
        <f t="shared" si="2"/>
        <v>37253</v>
      </c>
      <c r="AC54" s="2944">
        <v>78500</v>
      </c>
    </row>
    <row r="55" spans="1:29">
      <c r="A55" s="53">
        <f t="shared" si="7"/>
        <v>1996.1</v>
      </c>
      <c r="B55" s="2395">
        <f t="shared" si="5"/>
        <v>159379</v>
      </c>
      <c r="C55" s="2396">
        <f t="shared" si="6"/>
        <v>35010</v>
      </c>
      <c r="D55" s="386">
        <v>217268</v>
      </c>
      <c r="E55" s="3669"/>
      <c r="F55" s="151">
        <v>296388</v>
      </c>
      <c r="G55" s="3061"/>
      <c r="H55" s="632">
        <v>90652</v>
      </c>
      <c r="I55" s="3504">
        <v>68727</v>
      </c>
      <c r="J55" s="636"/>
      <c r="K55" s="669"/>
      <c r="L55" s="3062">
        <f t="shared" si="0"/>
        <v>159379</v>
      </c>
      <c r="M55" s="632">
        <v>35010</v>
      </c>
      <c r="N55" s="151">
        <v>0</v>
      </c>
      <c r="O55" s="3669"/>
      <c r="P55" s="669"/>
      <c r="Q55" s="2396">
        <f t="shared" si="4"/>
        <v>35010</v>
      </c>
      <c r="R55" s="456">
        <v>63768</v>
      </c>
      <c r="S55" s="2942">
        <v>123682</v>
      </c>
      <c r="T55" s="473"/>
      <c r="U55" s="3063"/>
      <c r="V55" s="2369">
        <f t="shared" si="1"/>
        <v>187450</v>
      </c>
      <c r="W55" s="2942">
        <v>216200</v>
      </c>
      <c r="X55" s="456">
        <v>10942</v>
      </c>
      <c r="Y55" s="2942">
        <v>4000</v>
      </c>
      <c r="Z55" s="1338"/>
      <c r="AA55" s="3059"/>
      <c r="AB55" s="2369">
        <f t="shared" si="2"/>
        <v>14942</v>
      </c>
      <c r="AC55" s="2944">
        <v>132380</v>
      </c>
    </row>
    <row r="56" spans="1:29">
      <c r="A56" s="53">
        <f t="shared" si="7"/>
        <v>1996.11</v>
      </c>
      <c r="B56" s="2395">
        <f t="shared" si="5"/>
        <v>225977</v>
      </c>
      <c r="C56" s="2396">
        <f t="shared" si="6"/>
        <v>101969</v>
      </c>
      <c r="D56" s="386">
        <v>252524</v>
      </c>
      <c r="E56" s="3669"/>
      <c r="F56" s="151">
        <v>383763</v>
      </c>
      <c r="G56" s="3061"/>
      <c r="H56" s="632">
        <v>123192</v>
      </c>
      <c r="I56" s="3504">
        <v>102785</v>
      </c>
      <c r="J56" s="636"/>
      <c r="K56" s="669"/>
      <c r="L56" s="3062">
        <f t="shared" si="0"/>
        <v>225977</v>
      </c>
      <c r="M56" s="632">
        <v>35959</v>
      </c>
      <c r="N56" s="151">
        <v>66010</v>
      </c>
      <c r="O56" s="3669"/>
      <c r="P56" s="669"/>
      <c r="Q56" s="2396">
        <f t="shared" si="4"/>
        <v>101969</v>
      </c>
      <c r="R56" s="456">
        <v>56100</v>
      </c>
      <c r="S56" s="2942">
        <v>136674</v>
      </c>
      <c r="T56" s="473"/>
      <c r="U56" s="3063"/>
      <c r="V56" s="2369">
        <f t="shared" si="1"/>
        <v>192774</v>
      </c>
      <c r="W56" s="2942">
        <v>197770</v>
      </c>
      <c r="X56" s="456">
        <v>4000</v>
      </c>
      <c r="Y56" s="2942">
        <v>24728</v>
      </c>
      <c r="Z56" s="1338"/>
      <c r="AA56" s="3059"/>
      <c r="AB56" s="2369">
        <f t="shared" si="2"/>
        <v>28728</v>
      </c>
      <c r="AC56" s="2944">
        <v>121140</v>
      </c>
    </row>
    <row r="57" spans="1:29">
      <c r="A57" s="53">
        <f t="shared" si="7"/>
        <v>1996.12</v>
      </c>
      <c r="B57" s="2395">
        <f t="shared" si="5"/>
        <v>146447</v>
      </c>
      <c r="C57" s="2396">
        <f t="shared" si="6"/>
        <v>1077513</v>
      </c>
      <c r="D57" s="386">
        <v>270489</v>
      </c>
      <c r="E57" s="3669"/>
      <c r="F57" s="151">
        <v>1862965</v>
      </c>
      <c r="G57" s="3061"/>
      <c r="H57" s="632">
        <v>90894</v>
      </c>
      <c r="I57" s="3504">
        <v>55553</v>
      </c>
      <c r="J57" s="636"/>
      <c r="K57" s="669"/>
      <c r="L57" s="3062">
        <f t="shared" si="0"/>
        <v>146447</v>
      </c>
      <c r="M57" s="632">
        <v>550070</v>
      </c>
      <c r="N57" s="151">
        <v>527443</v>
      </c>
      <c r="O57" s="3669"/>
      <c r="P57" s="669"/>
      <c r="Q57" s="2396">
        <f t="shared" si="4"/>
        <v>1077513</v>
      </c>
      <c r="R57" s="456">
        <v>4969</v>
      </c>
      <c r="S57" s="2942">
        <v>97690</v>
      </c>
      <c r="T57" s="473"/>
      <c r="U57" s="3063"/>
      <c r="V57" s="2369">
        <f t="shared" si="1"/>
        <v>102659</v>
      </c>
      <c r="W57" s="2942">
        <v>104220</v>
      </c>
      <c r="X57" s="456">
        <v>2000</v>
      </c>
      <c r="Y57" s="2942">
        <v>11750</v>
      </c>
      <c r="Z57" s="1338"/>
      <c r="AA57" s="3059"/>
      <c r="AB57" s="2369">
        <f t="shared" si="2"/>
        <v>13750</v>
      </c>
      <c r="AC57" s="2944">
        <v>92350</v>
      </c>
    </row>
    <row r="58" spans="1:29">
      <c r="A58" s="53">
        <f t="shared" si="7"/>
        <v>1997.01</v>
      </c>
      <c r="B58" s="2395">
        <f t="shared" si="5"/>
        <v>68978</v>
      </c>
      <c r="C58" s="2396">
        <f t="shared" si="6"/>
        <v>784918</v>
      </c>
      <c r="D58" s="386">
        <v>112492</v>
      </c>
      <c r="E58" s="3669"/>
      <c r="F58" s="151">
        <v>2490871</v>
      </c>
      <c r="G58" s="3061"/>
      <c r="H58" s="632">
        <v>39348</v>
      </c>
      <c r="I58" s="3504">
        <v>29630</v>
      </c>
      <c r="J58" s="636"/>
      <c r="K58" s="669"/>
      <c r="L58" s="3062">
        <f t="shared" si="0"/>
        <v>68978</v>
      </c>
      <c r="M58" s="632">
        <v>264706</v>
      </c>
      <c r="N58" s="151">
        <v>520212</v>
      </c>
      <c r="O58" s="3669"/>
      <c r="P58" s="669"/>
      <c r="Q58" s="2396">
        <f t="shared" si="4"/>
        <v>784918</v>
      </c>
      <c r="R58" s="456">
        <v>67750</v>
      </c>
      <c r="S58" s="2942">
        <v>83295</v>
      </c>
      <c r="T58" s="473"/>
      <c r="U58" s="3063"/>
      <c r="V58" s="2369">
        <f t="shared" si="1"/>
        <v>151045</v>
      </c>
      <c r="W58" s="2942">
        <v>151990</v>
      </c>
      <c r="X58" s="456">
        <v>4900</v>
      </c>
      <c r="Y58" s="2942">
        <v>7850</v>
      </c>
      <c r="Z58" s="1338"/>
      <c r="AA58" s="3059"/>
      <c r="AB58" s="2369">
        <f t="shared" si="2"/>
        <v>12750</v>
      </c>
      <c r="AC58" s="2944">
        <v>50410</v>
      </c>
    </row>
    <row r="59" spans="1:29">
      <c r="A59" s="53">
        <f t="shared" si="7"/>
        <v>1997.02</v>
      </c>
      <c r="B59" s="2395">
        <f t="shared" si="5"/>
        <v>152365</v>
      </c>
      <c r="C59" s="2396">
        <f t="shared" si="6"/>
        <v>462825</v>
      </c>
      <c r="D59" s="386">
        <v>333980</v>
      </c>
      <c r="E59" s="3669"/>
      <c r="F59" s="151">
        <v>1732882</v>
      </c>
      <c r="G59" s="3061"/>
      <c r="H59" s="632">
        <v>81699</v>
      </c>
      <c r="I59" s="3504">
        <v>70666</v>
      </c>
      <c r="J59" s="636"/>
      <c r="K59" s="669"/>
      <c r="L59" s="3062">
        <f t="shared" si="0"/>
        <v>152365</v>
      </c>
      <c r="M59" s="632">
        <v>252406</v>
      </c>
      <c r="N59" s="151">
        <v>210419</v>
      </c>
      <c r="O59" s="3669"/>
      <c r="P59" s="669"/>
      <c r="Q59" s="2396">
        <f t="shared" si="4"/>
        <v>462825</v>
      </c>
      <c r="R59" s="456">
        <v>31557</v>
      </c>
      <c r="S59" s="2942">
        <v>75209</v>
      </c>
      <c r="T59" s="473"/>
      <c r="U59" s="3063"/>
      <c r="V59" s="2369">
        <f t="shared" si="1"/>
        <v>106766</v>
      </c>
      <c r="W59" s="2942">
        <v>108570</v>
      </c>
      <c r="X59" s="456">
        <v>5000</v>
      </c>
      <c r="Y59" s="2942">
        <v>35864</v>
      </c>
      <c r="Z59" s="1338"/>
      <c r="AA59" s="3059"/>
      <c r="AB59" s="2369">
        <f t="shared" si="2"/>
        <v>40864</v>
      </c>
      <c r="AC59" s="2944">
        <v>85620</v>
      </c>
    </row>
    <row r="60" spans="1:29">
      <c r="A60" s="53">
        <f t="shared" si="7"/>
        <v>1997.03</v>
      </c>
      <c r="B60" s="2395">
        <f t="shared" si="5"/>
        <v>957996</v>
      </c>
      <c r="C60" s="2396">
        <f t="shared" si="6"/>
        <v>292164</v>
      </c>
      <c r="D60" s="386">
        <v>1257212</v>
      </c>
      <c r="E60" s="3669"/>
      <c r="F60" s="151">
        <v>822349</v>
      </c>
      <c r="G60" s="3061"/>
      <c r="H60" s="632">
        <v>605967</v>
      </c>
      <c r="I60" s="3504">
        <v>352029</v>
      </c>
      <c r="J60" s="636"/>
      <c r="K60" s="669"/>
      <c r="L60" s="3062">
        <f t="shared" si="0"/>
        <v>957996</v>
      </c>
      <c r="M60" s="632">
        <v>171888</v>
      </c>
      <c r="N60" s="151">
        <v>120276</v>
      </c>
      <c r="O60" s="3669"/>
      <c r="P60" s="669"/>
      <c r="Q60" s="2396">
        <f t="shared" si="4"/>
        <v>292164</v>
      </c>
      <c r="R60" s="456">
        <v>31217</v>
      </c>
      <c r="S60" s="2942">
        <v>96608</v>
      </c>
      <c r="T60" s="473"/>
      <c r="U60" s="3063"/>
      <c r="V60" s="2369">
        <f t="shared" si="1"/>
        <v>127825</v>
      </c>
      <c r="W60" s="2942">
        <v>129230</v>
      </c>
      <c r="X60" s="456">
        <v>0</v>
      </c>
      <c r="Y60" s="2942">
        <v>40360</v>
      </c>
      <c r="Z60" s="1338"/>
      <c r="AA60" s="3059"/>
      <c r="AB60" s="2369">
        <f t="shared" si="2"/>
        <v>40360</v>
      </c>
      <c r="AC60" s="2944">
        <v>119440</v>
      </c>
    </row>
    <row r="61" spans="1:29">
      <c r="A61" s="53">
        <f t="shared" si="7"/>
        <v>1997.04</v>
      </c>
      <c r="B61" s="2395">
        <f t="shared" si="5"/>
        <v>1590734</v>
      </c>
      <c r="C61" s="2396">
        <f t="shared" si="6"/>
        <v>253897</v>
      </c>
      <c r="D61" s="386">
        <v>2429281</v>
      </c>
      <c r="E61" s="3669"/>
      <c r="F61" s="151">
        <v>675382</v>
      </c>
      <c r="G61" s="3061"/>
      <c r="H61" s="632">
        <v>971078</v>
      </c>
      <c r="I61" s="3504">
        <v>619656</v>
      </c>
      <c r="J61" s="636"/>
      <c r="K61" s="669"/>
      <c r="L61" s="3062">
        <f t="shared" si="0"/>
        <v>1590734</v>
      </c>
      <c r="M61" s="632">
        <v>54248</v>
      </c>
      <c r="N61" s="151">
        <v>199649</v>
      </c>
      <c r="O61" s="3669"/>
      <c r="P61" s="669"/>
      <c r="Q61" s="2396">
        <f t="shared" si="4"/>
        <v>253897</v>
      </c>
      <c r="R61" s="456">
        <v>59500</v>
      </c>
      <c r="S61" s="2942">
        <v>48465</v>
      </c>
      <c r="T61" s="473"/>
      <c r="U61" s="3063"/>
      <c r="V61" s="2369">
        <f t="shared" si="1"/>
        <v>107965</v>
      </c>
      <c r="W61" s="2942">
        <v>107970</v>
      </c>
      <c r="X61" s="456">
        <v>14800</v>
      </c>
      <c r="Y61" s="2942">
        <v>93890</v>
      </c>
      <c r="Z61" s="1338"/>
      <c r="AA61" s="3059"/>
      <c r="AB61" s="2369">
        <f t="shared" si="2"/>
        <v>108690</v>
      </c>
      <c r="AC61" s="2944">
        <v>258760</v>
      </c>
    </row>
    <row r="62" spans="1:29">
      <c r="A62" s="53">
        <f t="shared" si="7"/>
        <v>1997.05</v>
      </c>
      <c r="B62" s="2395">
        <f t="shared" si="5"/>
        <v>781989</v>
      </c>
      <c r="C62" s="2396">
        <f t="shared" si="6"/>
        <v>66576</v>
      </c>
      <c r="D62" s="386">
        <v>1895621</v>
      </c>
      <c r="E62" s="3669"/>
      <c r="F62" s="151">
        <v>328069</v>
      </c>
      <c r="G62" s="3061"/>
      <c r="H62" s="632">
        <v>271367</v>
      </c>
      <c r="I62" s="3504">
        <v>510622</v>
      </c>
      <c r="J62" s="636"/>
      <c r="K62" s="669"/>
      <c r="L62" s="3062">
        <f t="shared" si="0"/>
        <v>781989</v>
      </c>
      <c r="M62" s="632">
        <v>23417</v>
      </c>
      <c r="N62" s="151">
        <v>43159</v>
      </c>
      <c r="O62" s="3669"/>
      <c r="P62" s="669"/>
      <c r="Q62" s="2396">
        <f t="shared" si="4"/>
        <v>66576</v>
      </c>
      <c r="R62" s="456">
        <v>67774</v>
      </c>
      <c r="S62" s="2942">
        <v>110636</v>
      </c>
      <c r="T62" s="473"/>
      <c r="U62" s="3063"/>
      <c r="V62" s="2369">
        <f t="shared" si="1"/>
        <v>178410</v>
      </c>
      <c r="W62" s="2942">
        <v>178780</v>
      </c>
      <c r="X62" s="456">
        <v>3000</v>
      </c>
      <c r="Y62" s="2942">
        <v>31430</v>
      </c>
      <c r="Z62" s="1338"/>
      <c r="AA62" s="3059"/>
      <c r="AB62" s="2369">
        <f t="shared" si="2"/>
        <v>34430</v>
      </c>
      <c r="AC62" s="2944">
        <v>147380</v>
      </c>
    </row>
    <row r="63" spans="1:29">
      <c r="A63" s="53">
        <f t="shared" si="7"/>
        <v>1997.06</v>
      </c>
      <c r="B63" s="2395">
        <f t="shared" si="5"/>
        <v>641552</v>
      </c>
      <c r="C63" s="2396">
        <f t="shared" si="6"/>
        <v>85614</v>
      </c>
      <c r="D63" s="386">
        <v>1356849</v>
      </c>
      <c r="E63" s="3669"/>
      <c r="F63" s="151">
        <v>236898</v>
      </c>
      <c r="G63" s="3061"/>
      <c r="H63" s="632">
        <v>465746</v>
      </c>
      <c r="I63" s="3504">
        <v>175806</v>
      </c>
      <c r="J63" s="636"/>
      <c r="K63" s="669"/>
      <c r="L63" s="3062">
        <f t="shared" si="0"/>
        <v>641552</v>
      </c>
      <c r="M63" s="632">
        <v>60861</v>
      </c>
      <c r="N63" s="151">
        <v>24753</v>
      </c>
      <c r="O63" s="3669"/>
      <c r="P63" s="669"/>
      <c r="Q63" s="2396">
        <f t="shared" si="4"/>
        <v>85614</v>
      </c>
      <c r="R63" s="456">
        <v>59318</v>
      </c>
      <c r="S63" s="2942">
        <v>131586</v>
      </c>
      <c r="T63" s="473"/>
      <c r="U63" s="3063"/>
      <c r="V63" s="2369">
        <f t="shared" si="1"/>
        <v>190904</v>
      </c>
      <c r="W63" s="2942">
        <v>193400</v>
      </c>
      <c r="X63" s="456">
        <v>10000</v>
      </c>
      <c r="Y63" s="2942">
        <v>34924</v>
      </c>
      <c r="Z63" s="1338"/>
      <c r="AA63" s="3059"/>
      <c r="AB63" s="2369">
        <f t="shared" si="2"/>
        <v>44924</v>
      </c>
      <c r="AC63" s="2944">
        <v>160560</v>
      </c>
    </row>
    <row r="64" spans="1:29">
      <c r="A64" s="53">
        <f t="shared" si="7"/>
        <v>1997.07</v>
      </c>
      <c r="B64" s="2395">
        <f t="shared" si="5"/>
        <v>433459</v>
      </c>
      <c r="C64" s="2396">
        <f t="shared" si="6"/>
        <v>117731</v>
      </c>
      <c r="D64" s="386">
        <v>825909</v>
      </c>
      <c r="E64" s="3669"/>
      <c r="F64" s="151">
        <v>357294</v>
      </c>
      <c r="G64" s="3061"/>
      <c r="H64" s="632">
        <v>243201</v>
      </c>
      <c r="I64" s="3504">
        <v>190258</v>
      </c>
      <c r="J64" s="636"/>
      <c r="K64" s="669"/>
      <c r="L64" s="3062">
        <f t="shared" si="0"/>
        <v>433459</v>
      </c>
      <c r="M64" s="632">
        <v>74525</v>
      </c>
      <c r="N64" s="151">
        <v>43206</v>
      </c>
      <c r="O64" s="3669"/>
      <c r="P64" s="669"/>
      <c r="Q64" s="2396">
        <f t="shared" si="4"/>
        <v>117731</v>
      </c>
      <c r="R64" s="456">
        <v>58485</v>
      </c>
      <c r="S64" s="2942">
        <v>126251</v>
      </c>
      <c r="T64" s="473"/>
      <c r="U64" s="3063"/>
      <c r="V64" s="2369">
        <f t="shared" si="1"/>
        <v>184736</v>
      </c>
      <c r="W64" s="2942">
        <v>194970</v>
      </c>
      <c r="X64" s="456">
        <v>25788</v>
      </c>
      <c r="Y64" s="2942">
        <v>50000</v>
      </c>
      <c r="Z64" s="1338"/>
      <c r="AA64" s="3059"/>
      <c r="AB64" s="2369">
        <f t="shared" si="2"/>
        <v>75788</v>
      </c>
      <c r="AC64" s="2944">
        <v>170370</v>
      </c>
    </row>
    <row r="65" spans="1:29">
      <c r="A65" s="53">
        <f t="shared" si="7"/>
        <v>1997.08</v>
      </c>
      <c r="B65" s="2395">
        <f t="shared" si="5"/>
        <v>371917</v>
      </c>
      <c r="C65" s="2396">
        <f t="shared" si="6"/>
        <v>64400</v>
      </c>
      <c r="D65" s="386">
        <v>693876</v>
      </c>
      <c r="E65" s="3669"/>
      <c r="F65" s="151">
        <v>268634</v>
      </c>
      <c r="G65" s="3061"/>
      <c r="H65" s="632">
        <v>141605</v>
      </c>
      <c r="I65" s="3504">
        <v>230312</v>
      </c>
      <c r="J65" s="636"/>
      <c r="K65" s="669"/>
      <c r="L65" s="3062">
        <f t="shared" si="0"/>
        <v>371917</v>
      </c>
      <c r="M65" s="632">
        <v>59120</v>
      </c>
      <c r="N65" s="151">
        <v>5280</v>
      </c>
      <c r="O65" s="3669"/>
      <c r="P65" s="669"/>
      <c r="Q65" s="2396">
        <f t="shared" si="4"/>
        <v>64400</v>
      </c>
      <c r="R65" s="456">
        <v>79200</v>
      </c>
      <c r="S65" s="2942">
        <v>120212</v>
      </c>
      <c r="T65" s="473"/>
      <c r="U65" s="3063"/>
      <c r="V65" s="2369">
        <f t="shared" si="1"/>
        <v>199412</v>
      </c>
      <c r="W65" s="2942">
        <v>206420</v>
      </c>
      <c r="X65" s="456">
        <v>8500</v>
      </c>
      <c r="Y65" s="2942">
        <v>14280</v>
      </c>
      <c r="Z65" s="1338"/>
      <c r="AA65" s="3059"/>
      <c r="AB65" s="2369">
        <f t="shared" si="2"/>
        <v>22780</v>
      </c>
      <c r="AC65" s="2944">
        <v>154090</v>
      </c>
    </row>
    <row r="66" spans="1:29">
      <c r="A66" s="53">
        <f t="shared" si="7"/>
        <v>1997.09</v>
      </c>
      <c r="B66" s="2395">
        <f t="shared" si="5"/>
        <v>403170</v>
      </c>
      <c r="C66" s="2396">
        <f t="shared" si="6"/>
        <v>53061</v>
      </c>
      <c r="D66" s="386">
        <v>656539</v>
      </c>
      <c r="E66" s="3669"/>
      <c r="F66" s="151">
        <v>214695</v>
      </c>
      <c r="G66" s="3061"/>
      <c r="H66" s="632">
        <v>217332</v>
      </c>
      <c r="I66" s="3504">
        <v>185838</v>
      </c>
      <c r="J66" s="636"/>
      <c r="K66" s="669"/>
      <c r="L66" s="3062">
        <f t="shared" si="0"/>
        <v>403170</v>
      </c>
      <c r="M66" s="632">
        <v>23561</v>
      </c>
      <c r="N66" s="151">
        <v>29500</v>
      </c>
      <c r="O66" s="3669"/>
      <c r="P66" s="669"/>
      <c r="Q66" s="2396">
        <f t="shared" si="4"/>
        <v>53061</v>
      </c>
      <c r="R66" s="456">
        <v>77754</v>
      </c>
      <c r="S66" s="2942">
        <v>124866</v>
      </c>
      <c r="T66" s="473"/>
      <c r="U66" s="3063"/>
      <c r="V66" s="2369">
        <f t="shared" si="1"/>
        <v>202620</v>
      </c>
      <c r="W66" s="2942">
        <v>203590</v>
      </c>
      <c r="X66" s="456">
        <v>16700</v>
      </c>
      <c r="Y66" s="2942">
        <v>28566</v>
      </c>
      <c r="Z66" s="1338"/>
      <c r="AA66" s="3059"/>
      <c r="AB66" s="2369">
        <f t="shared" si="2"/>
        <v>45266</v>
      </c>
      <c r="AC66" s="2944">
        <v>141820</v>
      </c>
    </row>
    <row r="67" spans="1:29">
      <c r="A67" s="53">
        <f t="shared" si="7"/>
        <v>1997.1</v>
      </c>
      <c r="B67" s="2395">
        <f t="shared" si="5"/>
        <v>302661</v>
      </c>
      <c r="C67" s="2396">
        <f t="shared" si="6"/>
        <v>57050</v>
      </c>
      <c r="D67" s="386">
        <v>593580</v>
      </c>
      <c r="E67" s="3669"/>
      <c r="F67" s="151">
        <v>248543</v>
      </c>
      <c r="G67" s="3061"/>
      <c r="H67" s="632">
        <v>107973</v>
      </c>
      <c r="I67" s="3504">
        <v>194688</v>
      </c>
      <c r="J67" s="636"/>
      <c r="K67" s="669"/>
      <c r="L67" s="3062">
        <f t="shared" si="0"/>
        <v>302661</v>
      </c>
      <c r="M67" s="632">
        <v>36050</v>
      </c>
      <c r="N67" s="151">
        <v>21000</v>
      </c>
      <c r="O67" s="3669"/>
      <c r="P67" s="669"/>
      <c r="Q67" s="2396">
        <f t="shared" si="4"/>
        <v>57050</v>
      </c>
      <c r="R67" s="456">
        <v>86191</v>
      </c>
      <c r="S67" s="2942">
        <v>113340</v>
      </c>
      <c r="T67" s="473"/>
      <c r="U67" s="3063"/>
      <c r="V67" s="2369">
        <f t="shared" si="1"/>
        <v>199531</v>
      </c>
      <c r="W67" s="2942">
        <v>199531</v>
      </c>
      <c r="X67" s="456">
        <v>2500</v>
      </c>
      <c r="Y67" s="2942">
        <v>28588</v>
      </c>
      <c r="Z67" s="1338"/>
      <c r="AA67" s="3059"/>
      <c r="AB67" s="2369">
        <f t="shared" si="2"/>
        <v>31088</v>
      </c>
      <c r="AC67" s="2944">
        <v>111440</v>
      </c>
    </row>
    <row r="68" spans="1:29">
      <c r="A68" s="53">
        <f t="shared" si="7"/>
        <v>1997.11</v>
      </c>
      <c r="B68" s="2395">
        <f t="shared" si="5"/>
        <v>182900</v>
      </c>
      <c r="C68" s="2396">
        <f t="shared" si="6"/>
        <v>103368</v>
      </c>
      <c r="D68" s="386">
        <v>337737</v>
      </c>
      <c r="E68" s="3669"/>
      <c r="F68" s="151">
        <v>338459</v>
      </c>
      <c r="G68" s="3061"/>
      <c r="H68" s="632">
        <v>77835</v>
      </c>
      <c r="I68" s="3504">
        <v>105065</v>
      </c>
      <c r="J68" s="636"/>
      <c r="K68" s="669"/>
      <c r="L68" s="3062">
        <f t="shared" si="0"/>
        <v>182900</v>
      </c>
      <c r="M68" s="632">
        <v>74958</v>
      </c>
      <c r="N68" s="151">
        <v>28410</v>
      </c>
      <c r="O68" s="3669"/>
      <c r="P68" s="669"/>
      <c r="Q68" s="2396">
        <f t="shared" si="4"/>
        <v>103368</v>
      </c>
      <c r="R68" s="456">
        <v>40100</v>
      </c>
      <c r="S68" s="2942">
        <v>85445</v>
      </c>
      <c r="T68" s="473"/>
      <c r="U68" s="3063"/>
      <c r="V68" s="2369">
        <f t="shared" si="1"/>
        <v>125545</v>
      </c>
      <c r="W68" s="2942">
        <v>125590</v>
      </c>
      <c r="X68" s="456">
        <v>1000</v>
      </c>
      <c r="Y68" s="2942">
        <v>6125</v>
      </c>
      <c r="Z68" s="1338"/>
      <c r="AA68" s="3059"/>
      <c r="AB68" s="2369">
        <f t="shared" si="2"/>
        <v>7125</v>
      </c>
      <c r="AC68" s="2944">
        <v>102540</v>
      </c>
    </row>
    <row r="69" spans="1:29">
      <c r="A69" s="53">
        <f t="shared" si="7"/>
        <v>1997.12</v>
      </c>
      <c r="B69" s="2395">
        <f t="shared" si="5"/>
        <v>303438</v>
      </c>
      <c r="C69" s="2396">
        <f t="shared" si="6"/>
        <v>393687</v>
      </c>
      <c r="D69" s="386">
        <v>427034</v>
      </c>
      <c r="E69" s="3669"/>
      <c r="F69" s="151">
        <v>765437</v>
      </c>
      <c r="G69" s="3061"/>
      <c r="H69" s="632">
        <v>186231</v>
      </c>
      <c r="I69" s="3504">
        <v>117207</v>
      </c>
      <c r="J69" s="636"/>
      <c r="K69" s="669"/>
      <c r="L69" s="3062">
        <f t="shared" si="0"/>
        <v>303438</v>
      </c>
      <c r="M69" s="632">
        <v>206437</v>
      </c>
      <c r="N69" s="151">
        <v>187250</v>
      </c>
      <c r="O69" s="3669"/>
      <c r="P69" s="669"/>
      <c r="Q69" s="2396">
        <f t="shared" si="4"/>
        <v>393687</v>
      </c>
      <c r="R69" s="456">
        <v>36325</v>
      </c>
      <c r="S69" s="2942">
        <v>90125</v>
      </c>
      <c r="T69" s="473"/>
      <c r="U69" s="3063"/>
      <c r="V69" s="2369">
        <f t="shared" si="1"/>
        <v>126450</v>
      </c>
      <c r="W69" s="2942">
        <v>131700</v>
      </c>
      <c r="X69" s="456">
        <v>2000</v>
      </c>
      <c r="Y69" s="2942">
        <v>0</v>
      </c>
      <c r="Z69" s="1338"/>
      <c r="AA69" s="3059"/>
      <c r="AB69" s="2369">
        <f t="shared" si="2"/>
        <v>2000</v>
      </c>
      <c r="AC69" s="2944">
        <v>114480</v>
      </c>
    </row>
    <row r="70" spans="1:29">
      <c r="A70" s="53">
        <f t="shared" si="7"/>
        <v>1998.01</v>
      </c>
      <c r="B70" s="2395">
        <f t="shared" si="5"/>
        <v>139864</v>
      </c>
      <c r="C70" s="2396">
        <f t="shared" si="6"/>
        <v>412310</v>
      </c>
      <c r="D70" s="386">
        <v>208733</v>
      </c>
      <c r="E70" s="3669"/>
      <c r="F70" s="151">
        <v>1713718</v>
      </c>
      <c r="G70" s="3061"/>
      <c r="H70" s="632">
        <v>47940</v>
      </c>
      <c r="I70" s="3504">
        <v>91924</v>
      </c>
      <c r="J70" s="636"/>
      <c r="K70" s="669"/>
      <c r="L70" s="3062">
        <f t="shared" si="0"/>
        <v>139864</v>
      </c>
      <c r="M70" s="632">
        <v>212785</v>
      </c>
      <c r="N70" s="151">
        <v>199525</v>
      </c>
      <c r="O70" s="3669"/>
      <c r="P70" s="669"/>
      <c r="Q70" s="2396">
        <f t="shared" si="4"/>
        <v>412310</v>
      </c>
      <c r="R70" s="456">
        <v>37861</v>
      </c>
      <c r="S70" s="2942">
        <v>79803</v>
      </c>
      <c r="T70" s="473"/>
      <c r="U70" s="3063"/>
      <c r="V70" s="2369">
        <f t="shared" si="1"/>
        <v>117664</v>
      </c>
      <c r="W70" s="2942">
        <v>117664</v>
      </c>
      <c r="X70" s="456">
        <v>843</v>
      </c>
      <c r="Y70" s="2942">
        <v>18151</v>
      </c>
      <c r="Z70" s="1338"/>
      <c r="AA70" s="3059"/>
      <c r="AB70" s="2369">
        <f t="shared" si="2"/>
        <v>18994</v>
      </c>
      <c r="AC70" s="2944">
        <v>73930</v>
      </c>
    </row>
    <row r="71" spans="1:29">
      <c r="A71" s="53">
        <f t="shared" si="7"/>
        <v>1998.02</v>
      </c>
      <c r="B71" s="2395">
        <f t="shared" si="5"/>
        <v>151932</v>
      </c>
      <c r="C71" s="2396">
        <f t="shared" si="6"/>
        <v>266453</v>
      </c>
      <c r="D71" s="386">
        <v>247148</v>
      </c>
      <c r="E71" s="3669"/>
      <c r="F71" s="151">
        <v>1208721</v>
      </c>
      <c r="G71" s="3061"/>
      <c r="H71" s="632">
        <v>73135</v>
      </c>
      <c r="I71" s="3504">
        <v>78797</v>
      </c>
      <c r="J71" s="636"/>
      <c r="K71" s="669"/>
      <c r="L71" s="3062">
        <f t="shared" si="0"/>
        <v>151932</v>
      </c>
      <c r="M71" s="632">
        <v>95686</v>
      </c>
      <c r="N71" s="151">
        <v>170767</v>
      </c>
      <c r="O71" s="3669"/>
      <c r="P71" s="669"/>
      <c r="Q71" s="2396">
        <f t="shared" si="4"/>
        <v>266453</v>
      </c>
      <c r="R71" s="456">
        <v>24526</v>
      </c>
      <c r="S71" s="2942">
        <v>51500</v>
      </c>
      <c r="T71" s="473"/>
      <c r="U71" s="3063"/>
      <c r="V71" s="2369">
        <f t="shared" si="1"/>
        <v>76026</v>
      </c>
      <c r="W71" s="2942">
        <v>76030</v>
      </c>
      <c r="X71" s="456">
        <v>0</v>
      </c>
      <c r="Y71" s="2942">
        <v>37100</v>
      </c>
      <c r="Z71" s="1338"/>
      <c r="AA71" s="3059"/>
      <c r="AB71" s="2369">
        <f t="shared" si="2"/>
        <v>37100</v>
      </c>
      <c r="AC71" s="2944">
        <v>43540</v>
      </c>
    </row>
    <row r="72" spans="1:29">
      <c r="A72" s="53">
        <f t="shared" si="7"/>
        <v>1998.03</v>
      </c>
      <c r="B72" s="2395">
        <f t="shared" si="5"/>
        <v>1319934</v>
      </c>
      <c r="C72" s="2396">
        <f t="shared" si="6"/>
        <v>631086</v>
      </c>
      <c r="D72" s="386">
        <v>1661373</v>
      </c>
      <c r="E72" s="3669"/>
      <c r="F72" s="151">
        <v>1374496</v>
      </c>
      <c r="G72" s="3061"/>
      <c r="H72" s="632">
        <v>702218</v>
      </c>
      <c r="I72" s="3504">
        <v>617716</v>
      </c>
      <c r="J72" s="636"/>
      <c r="K72" s="669"/>
      <c r="L72" s="3062">
        <f t="shared" si="0"/>
        <v>1319934</v>
      </c>
      <c r="M72" s="632">
        <v>340436</v>
      </c>
      <c r="N72" s="151">
        <v>290650</v>
      </c>
      <c r="O72" s="3669"/>
      <c r="P72" s="669"/>
      <c r="Q72" s="2396">
        <f t="shared" si="4"/>
        <v>631086</v>
      </c>
      <c r="R72" s="456">
        <v>4970</v>
      </c>
      <c r="S72" s="2942">
        <v>29179</v>
      </c>
      <c r="T72" s="473"/>
      <c r="U72" s="3063"/>
      <c r="V72" s="2369">
        <f t="shared" si="1"/>
        <v>34149</v>
      </c>
      <c r="W72" s="2942">
        <v>34620</v>
      </c>
      <c r="X72" s="456">
        <v>19298</v>
      </c>
      <c r="Y72" s="2942">
        <v>83460</v>
      </c>
      <c r="Z72" s="1338"/>
      <c r="AA72" s="3059"/>
      <c r="AB72" s="2369">
        <f t="shared" si="2"/>
        <v>102758</v>
      </c>
      <c r="AC72" s="2944">
        <v>176310</v>
      </c>
    </row>
    <row r="73" spans="1:29">
      <c r="A73" s="53">
        <f t="shared" si="7"/>
        <v>1998.04</v>
      </c>
      <c r="B73" s="2395">
        <f t="shared" si="5"/>
        <v>1541857</v>
      </c>
      <c r="C73" s="2396">
        <f t="shared" si="6"/>
        <v>214023</v>
      </c>
      <c r="D73" s="386">
        <v>2193405</v>
      </c>
      <c r="E73" s="3669"/>
      <c r="F73" s="151">
        <v>900044</v>
      </c>
      <c r="G73" s="3061"/>
      <c r="H73" s="632">
        <v>735230</v>
      </c>
      <c r="I73" s="3504">
        <v>806627</v>
      </c>
      <c r="J73" s="636"/>
      <c r="K73" s="669"/>
      <c r="L73" s="3062">
        <f t="shared" si="0"/>
        <v>1541857</v>
      </c>
      <c r="M73" s="632">
        <v>65207</v>
      </c>
      <c r="N73" s="151">
        <v>148816</v>
      </c>
      <c r="O73" s="3669"/>
      <c r="P73" s="669"/>
      <c r="Q73" s="2396">
        <f t="shared" si="4"/>
        <v>214023</v>
      </c>
      <c r="R73" s="456">
        <v>47100</v>
      </c>
      <c r="S73" s="2942">
        <v>73342</v>
      </c>
      <c r="T73" s="473"/>
      <c r="U73" s="3063"/>
      <c r="V73" s="2369">
        <f t="shared" si="1"/>
        <v>120442</v>
      </c>
      <c r="W73" s="2942">
        <v>120442</v>
      </c>
      <c r="X73" s="456">
        <v>15750</v>
      </c>
      <c r="Y73" s="2942">
        <v>69911</v>
      </c>
      <c r="Z73" s="1338"/>
      <c r="AA73" s="3059"/>
      <c r="AB73" s="2369">
        <f t="shared" si="2"/>
        <v>85661</v>
      </c>
      <c r="AC73" s="2944">
        <v>271760</v>
      </c>
    </row>
    <row r="74" spans="1:29">
      <c r="A74" s="53">
        <f t="shared" si="7"/>
        <v>1998.05</v>
      </c>
      <c r="B74" s="2395">
        <f t="shared" si="5"/>
        <v>1180598</v>
      </c>
      <c r="C74" s="2396">
        <f t="shared" si="6"/>
        <v>111460</v>
      </c>
      <c r="D74" s="386">
        <v>2081960</v>
      </c>
      <c r="E74" s="3669"/>
      <c r="F74" s="151">
        <v>788528</v>
      </c>
      <c r="G74" s="3061"/>
      <c r="H74" s="632">
        <v>532255</v>
      </c>
      <c r="I74" s="3504">
        <v>648343</v>
      </c>
      <c r="J74" s="636"/>
      <c r="K74" s="669"/>
      <c r="L74" s="3062">
        <f t="shared" ref="L74:L137" si="8">SUM(H74:K74)</f>
        <v>1180598</v>
      </c>
      <c r="M74" s="632">
        <v>43554</v>
      </c>
      <c r="N74" s="151">
        <v>67906</v>
      </c>
      <c r="O74" s="3669"/>
      <c r="P74" s="669"/>
      <c r="Q74" s="2396">
        <f t="shared" ref="Q74:Q137" si="9">SUM(M74:P74)</f>
        <v>111460</v>
      </c>
      <c r="R74" s="456">
        <v>84490</v>
      </c>
      <c r="S74" s="2942">
        <v>139441</v>
      </c>
      <c r="T74" s="473"/>
      <c r="U74" s="3063"/>
      <c r="V74" s="2369">
        <f t="shared" ref="V74:V137" si="10">SUM(R74:U74)</f>
        <v>223931</v>
      </c>
      <c r="W74" s="2942">
        <v>223931</v>
      </c>
      <c r="X74" s="456">
        <v>25558</v>
      </c>
      <c r="Y74" s="2942">
        <v>23015</v>
      </c>
      <c r="Z74" s="1338"/>
      <c r="AA74" s="3059"/>
      <c r="AB74" s="2369">
        <f t="shared" ref="AB74:AB137" si="11">SUM(X74:AA74)</f>
        <v>48573</v>
      </c>
      <c r="AC74" s="2944">
        <v>118130</v>
      </c>
    </row>
    <row r="75" spans="1:29">
      <c r="A75" s="53">
        <f t="shared" si="7"/>
        <v>1998.06</v>
      </c>
      <c r="B75" s="2395">
        <f t="shared" si="5"/>
        <v>798895</v>
      </c>
      <c r="C75" s="2396">
        <f t="shared" si="6"/>
        <v>184335</v>
      </c>
      <c r="D75" s="386">
        <v>1897457</v>
      </c>
      <c r="E75" s="3669"/>
      <c r="F75" s="151">
        <v>632721</v>
      </c>
      <c r="G75" s="3061"/>
      <c r="H75" s="632">
        <v>445685</v>
      </c>
      <c r="I75" s="3504">
        <v>353210</v>
      </c>
      <c r="J75" s="636"/>
      <c r="K75" s="669"/>
      <c r="L75" s="3062">
        <f t="shared" si="8"/>
        <v>798895</v>
      </c>
      <c r="M75" s="632">
        <v>152519</v>
      </c>
      <c r="N75" s="151">
        <v>31816</v>
      </c>
      <c r="O75" s="3669"/>
      <c r="P75" s="669"/>
      <c r="Q75" s="2396">
        <f t="shared" si="9"/>
        <v>184335</v>
      </c>
      <c r="R75" s="456">
        <v>75485</v>
      </c>
      <c r="S75" s="2942">
        <v>207103</v>
      </c>
      <c r="T75" s="473"/>
      <c r="U75" s="3063"/>
      <c r="V75" s="2369">
        <f t="shared" si="10"/>
        <v>282588</v>
      </c>
      <c r="W75" s="2942">
        <v>282590</v>
      </c>
      <c r="X75" s="456">
        <v>13000</v>
      </c>
      <c r="Y75" s="2942">
        <v>14650</v>
      </c>
      <c r="Z75" s="1338"/>
      <c r="AA75" s="3059"/>
      <c r="AB75" s="2369">
        <f t="shared" si="11"/>
        <v>27650</v>
      </c>
      <c r="AC75" s="2944">
        <v>192870</v>
      </c>
    </row>
    <row r="76" spans="1:29">
      <c r="A76" s="53">
        <f t="shared" si="7"/>
        <v>1998.07</v>
      </c>
      <c r="B76" s="2395">
        <f t="shared" ref="B76:B139" si="12">L76</f>
        <v>492283</v>
      </c>
      <c r="C76" s="2396">
        <f t="shared" ref="C76:C139" si="13">Q76</f>
        <v>77200</v>
      </c>
      <c r="D76" s="386">
        <v>1335399</v>
      </c>
      <c r="E76" s="3669"/>
      <c r="F76" s="151">
        <v>631634</v>
      </c>
      <c r="G76" s="3061"/>
      <c r="H76" s="632">
        <v>210690</v>
      </c>
      <c r="I76" s="3504">
        <v>281593</v>
      </c>
      <c r="J76" s="636"/>
      <c r="K76" s="669"/>
      <c r="L76" s="3062">
        <f t="shared" si="8"/>
        <v>492283</v>
      </c>
      <c r="M76" s="632">
        <v>77200</v>
      </c>
      <c r="N76" s="151">
        <v>0</v>
      </c>
      <c r="O76" s="3669"/>
      <c r="P76" s="669"/>
      <c r="Q76" s="2396">
        <f t="shared" si="9"/>
        <v>77200</v>
      </c>
      <c r="R76" s="456">
        <v>80000</v>
      </c>
      <c r="S76" s="2942">
        <v>185822</v>
      </c>
      <c r="T76" s="473"/>
      <c r="U76" s="3063"/>
      <c r="V76" s="2369">
        <f t="shared" si="10"/>
        <v>265822</v>
      </c>
      <c r="W76" s="2942">
        <v>265822</v>
      </c>
      <c r="X76" s="456">
        <v>23300</v>
      </c>
      <c r="Y76" s="2942">
        <v>15661</v>
      </c>
      <c r="Z76" s="1338"/>
      <c r="AA76" s="3059"/>
      <c r="AB76" s="2369">
        <f t="shared" si="11"/>
        <v>38961</v>
      </c>
      <c r="AC76" s="2944">
        <v>119850</v>
      </c>
    </row>
    <row r="77" spans="1:29">
      <c r="A77" s="53">
        <f t="shared" si="7"/>
        <v>1998.08</v>
      </c>
      <c r="B77" s="2395">
        <f t="shared" si="12"/>
        <v>558318</v>
      </c>
      <c r="C77" s="2396">
        <f t="shared" si="13"/>
        <v>44880</v>
      </c>
      <c r="D77" s="386">
        <v>1100473</v>
      </c>
      <c r="E77" s="3669"/>
      <c r="F77" s="151">
        <v>553061</v>
      </c>
      <c r="G77" s="3061"/>
      <c r="H77" s="632">
        <v>270625</v>
      </c>
      <c r="I77" s="3504">
        <v>287693</v>
      </c>
      <c r="J77" s="636"/>
      <c r="K77" s="669"/>
      <c r="L77" s="3062">
        <f t="shared" si="8"/>
        <v>558318</v>
      </c>
      <c r="M77" s="632">
        <v>22030</v>
      </c>
      <c r="N77" s="151">
        <v>22850</v>
      </c>
      <c r="O77" s="3669"/>
      <c r="P77" s="669"/>
      <c r="Q77" s="2396">
        <f t="shared" si="9"/>
        <v>44880</v>
      </c>
      <c r="R77" s="456">
        <v>115803</v>
      </c>
      <c r="S77" s="2942">
        <v>173032</v>
      </c>
      <c r="T77" s="473"/>
      <c r="U77" s="3063"/>
      <c r="V77" s="2369">
        <f t="shared" si="10"/>
        <v>288835</v>
      </c>
      <c r="W77" s="2942">
        <v>288835</v>
      </c>
      <c r="X77" s="456">
        <v>8000</v>
      </c>
      <c r="Y77" s="2942">
        <v>10000</v>
      </c>
      <c r="Z77" s="1338"/>
      <c r="AA77" s="3059"/>
      <c r="AB77" s="2369">
        <f t="shared" si="11"/>
        <v>18000</v>
      </c>
      <c r="AC77" s="2944">
        <v>124340</v>
      </c>
    </row>
    <row r="78" spans="1:29">
      <c r="A78" s="53">
        <f t="shared" si="7"/>
        <v>1998.09</v>
      </c>
      <c r="B78" s="2395">
        <f t="shared" si="12"/>
        <v>290098</v>
      </c>
      <c r="C78" s="2396">
        <f t="shared" si="13"/>
        <v>43900</v>
      </c>
      <c r="D78" s="386">
        <v>630030</v>
      </c>
      <c r="E78" s="3669"/>
      <c r="F78" s="151">
        <v>634791</v>
      </c>
      <c r="G78" s="3061"/>
      <c r="H78" s="632">
        <v>101596</v>
      </c>
      <c r="I78" s="3504">
        <v>188502</v>
      </c>
      <c r="J78" s="636"/>
      <c r="K78" s="669"/>
      <c r="L78" s="3062">
        <f t="shared" si="8"/>
        <v>290098</v>
      </c>
      <c r="M78" s="632">
        <v>40900</v>
      </c>
      <c r="N78" s="151">
        <v>3000</v>
      </c>
      <c r="O78" s="3669"/>
      <c r="P78" s="669"/>
      <c r="Q78" s="2396">
        <f t="shared" si="9"/>
        <v>43900</v>
      </c>
      <c r="R78" s="456">
        <v>55875</v>
      </c>
      <c r="S78" s="2942">
        <v>179681</v>
      </c>
      <c r="T78" s="473"/>
      <c r="U78" s="3063"/>
      <c r="V78" s="2369">
        <f t="shared" si="10"/>
        <v>235556</v>
      </c>
      <c r="W78" s="2942">
        <v>240560</v>
      </c>
      <c r="X78" s="456">
        <v>3960</v>
      </c>
      <c r="Y78" s="2942">
        <v>6620</v>
      </c>
      <c r="Z78" s="1338"/>
      <c r="AA78" s="3059"/>
      <c r="AB78" s="2369">
        <f t="shared" si="11"/>
        <v>10580</v>
      </c>
      <c r="AC78" s="2944">
        <v>97890</v>
      </c>
    </row>
    <row r="79" spans="1:29">
      <c r="A79" s="53">
        <f t="shared" si="7"/>
        <v>1998.1</v>
      </c>
      <c r="B79" s="2395">
        <f t="shared" si="12"/>
        <v>249967</v>
      </c>
      <c r="C79" s="2396">
        <f t="shared" si="13"/>
        <v>25957</v>
      </c>
      <c r="D79" s="386">
        <v>472442</v>
      </c>
      <c r="E79" s="3669"/>
      <c r="F79" s="151">
        <v>523226</v>
      </c>
      <c r="G79" s="3061"/>
      <c r="H79" s="632">
        <v>70651</v>
      </c>
      <c r="I79" s="3504">
        <v>179316</v>
      </c>
      <c r="J79" s="636"/>
      <c r="K79" s="669"/>
      <c r="L79" s="3062">
        <f t="shared" si="8"/>
        <v>249967</v>
      </c>
      <c r="M79" s="632">
        <v>15457</v>
      </c>
      <c r="N79" s="151">
        <v>10500</v>
      </c>
      <c r="O79" s="3669"/>
      <c r="P79" s="669"/>
      <c r="Q79" s="2396">
        <f t="shared" si="9"/>
        <v>25957</v>
      </c>
      <c r="R79" s="456">
        <v>55060</v>
      </c>
      <c r="S79" s="2942">
        <v>174271</v>
      </c>
      <c r="T79" s="473"/>
      <c r="U79" s="3063"/>
      <c r="V79" s="2369">
        <f t="shared" si="10"/>
        <v>229331</v>
      </c>
      <c r="W79" s="2942">
        <v>229331</v>
      </c>
      <c r="X79" s="456">
        <v>16900</v>
      </c>
      <c r="Y79" s="2942">
        <v>0</v>
      </c>
      <c r="Z79" s="1338"/>
      <c r="AA79" s="3059"/>
      <c r="AB79" s="2369">
        <f t="shared" si="11"/>
        <v>16900</v>
      </c>
      <c r="AC79" s="2944">
        <v>100170</v>
      </c>
    </row>
    <row r="80" spans="1:29">
      <c r="A80" s="53">
        <f t="shared" si="7"/>
        <v>1998.11</v>
      </c>
      <c r="B80" s="2395">
        <f t="shared" si="12"/>
        <v>217481</v>
      </c>
      <c r="C80" s="2396">
        <f t="shared" si="13"/>
        <v>58330</v>
      </c>
      <c r="D80" s="386">
        <v>262010</v>
      </c>
      <c r="E80" s="3669"/>
      <c r="F80" s="151">
        <v>579585</v>
      </c>
      <c r="G80" s="3061"/>
      <c r="H80" s="632">
        <v>99142</v>
      </c>
      <c r="I80" s="3504">
        <v>118339</v>
      </c>
      <c r="J80" s="636"/>
      <c r="K80" s="669"/>
      <c r="L80" s="3062">
        <f t="shared" si="8"/>
        <v>217481</v>
      </c>
      <c r="M80" s="632">
        <v>9830</v>
      </c>
      <c r="N80" s="151">
        <v>48500</v>
      </c>
      <c r="O80" s="3669"/>
      <c r="P80" s="669"/>
      <c r="Q80" s="2396">
        <f t="shared" si="9"/>
        <v>58330</v>
      </c>
      <c r="R80" s="456">
        <v>99550</v>
      </c>
      <c r="S80" s="2942">
        <v>159505</v>
      </c>
      <c r="T80" s="473"/>
      <c r="U80" s="3063"/>
      <c r="V80" s="2369">
        <f t="shared" si="10"/>
        <v>259055</v>
      </c>
      <c r="W80" s="2942">
        <v>270560</v>
      </c>
      <c r="X80" s="456">
        <v>25000</v>
      </c>
      <c r="Y80" s="2942">
        <v>10199</v>
      </c>
      <c r="Z80" s="1338"/>
      <c r="AA80" s="3059"/>
      <c r="AB80" s="2369">
        <f t="shared" si="11"/>
        <v>35199</v>
      </c>
      <c r="AC80" s="2944">
        <v>81600</v>
      </c>
    </row>
    <row r="81" spans="1:29">
      <c r="A81" s="53">
        <f t="shared" si="7"/>
        <v>1998.12</v>
      </c>
      <c r="B81" s="2395">
        <f t="shared" si="12"/>
        <v>174010</v>
      </c>
      <c r="C81" s="2396">
        <f t="shared" si="13"/>
        <v>270459</v>
      </c>
      <c r="D81" s="386">
        <v>243675</v>
      </c>
      <c r="E81" s="3669"/>
      <c r="F81" s="151">
        <v>602356</v>
      </c>
      <c r="G81" s="3061"/>
      <c r="H81" s="632">
        <v>85063</v>
      </c>
      <c r="I81" s="3504">
        <v>88947</v>
      </c>
      <c r="J81" s="636"/>
      <c r="K81" s="669"/>
      <c r="L81" s="3062">
        <f t="shared" si="8"/>
        <v>174010</v>
      </c>
      <c r="M81" s="632">
        <v>89946</v>
      </c>
      <c r="N81" s="151">
        <v>180513</v>
      </c>
      <c r="O81" s="3669"/>
      <c r="P81" s="669"/>
      <c r="Q81" s="2396">
        <f t="shared" si="9"/>
        <v>270459</v>
      </c>
      <c r="R81" s="456">
        <v>105510</v>
      </c>
      <c r="S81" s="2942">
        <v>194690</v>
      </c>
      <c r="T81" s="473"/>
      <c r="U81" s="3063"/>
      <c r="V81" s="2369">
        <f t="shared" si="10"/>
        <v>300200</v>
      </c>
      <c r="W81" s="2942">
        <v>303200</v>
      </c>
      <c r="X81" s="456">
        <v>4905</v>
      </c>
      <c r="Y81" s="2942">
        <v>0</v>
      </c>
      <c r="Z81" s="1338"/>
      <c r="AA81" s="3059"/>
      <c r="AB81" s="2369">
        <f t="shared" si="11"/>
        <v>4905</v>
      </c>
      <c r="AC81" s="2944">
        <v>28680</v>
      </c>
    </row>
    <row r="82" spans="1:29">
      <c r="A82" s="53">
        <f t="shared" si="7"/>
        <v>1999.01</v>
      </c>
      <c r="B82" s="2395">
        <f t="shared" si="12"/>
        <v>114937</v>
      </c>
      <c r="C82" s="2396">
        <f t="shared" si="13"/>
        <v>110651</v>
      </c>
      <c r="D82" s="386">
        <v>148835</v>
      </c>
      <c r="E82" s="3669"/>
      <c r="F82" s="151">
        <v>739516</v>
      </c>
      <c r="G82" s="3061"/>
      <c r="H82" s="632">
        <v>13650</v>
      </c>
      <c r="I82" s="3504">
        <v>101287</v>
      </c>
      <c r="J82" s="636"/>
      <c r="K82" s="669"/>
      <c r="L82" s="3062">
        <f t="shared" si="8"/>
        <v>114937</v>
      </c>
      <c r="M82" s="632">
        <v>50431</v>
      </c>
      <c r="N82" s="151">
        <v>60220</v>
      </c>
      <c r="O82" s="3669"/>
      <c r="P82" s="669"/>
      <c r="Q82" s="2396">
        <f t="shared" si="9"/>
        <v>110651</v>
      </c>
      <c r="R82" s="456">
        <v>59000</v>
      </c>
      <c r="S82" s="2942">
        <v>151447</v>
      </c>
      <c r="T82" s="473"/>
      <c r="U82" s="3063"/>
      <c r="V82" s="2369">
        <f t="shared" si="10"/>
        <v>210447</v>
      </c>
      <c r="W82" s="2942">
        <v>215950</v>
      </c>
      <c r="X82" s="456">
        <v>1200</v>
      </c>
      <c r="Y82" s="2942">
        <v>20900</v>
      </c>
      <c r="Z82" s="1338"/>
      <c r="AA82" s="3059"/>
      <c r="AB82" s="2369">
        <f t="shared" si="11"/>
        <v>22100</v>
      </c>
      <c r="AC82" s="2944">
        <v>42980</v>
      </c>
    </row>
    <row r="83" spans="1:29">
      <c r="A83" s="53">
        <f t="shared" si="7"/>
        <v>1999.02</v>
      </c>
      <c r="B83" s="2395">
        <f t="shared" si="12"/>
        <v>89250</v>
      </c>
      <c r="C83" s="2396">
        <f t="shared" si="13"/>
        <v>398248</v>
      </c>
      <c r="D83" s="386">
        <v>153097</v>
      </c>
      <c r="E83" s="3669"/>
      <c r="F83" s="151">
        <v>1000908</v>
      </c>
      <c r="G83" s="3061"/>
      <c r="H83" s="632">
        <v>72050</v>
      </c>
      <c r="I83" s="3504">
        <v>17200</v>
      </c>
      <c r="J83" s="636"/>
      <c r="K83" s="669"/>
      <c r="L83" s="3062">
        <f t="shared" si="8"/>
        <v>89250</v>
      </c>
      <c r="M83" s="632">
        <v>195883</v>
      </c>
      <c r="N83" s="151">
        <v>202365</v>
      </c>
      <c r="O83" s="3669"/>
      <c r="P83" s="669"/>
      <c r="Q83" s="2396">
        <f t="shared" si="9"/>
        <v>398248</v>
      </c>
      <c r="R83" s="456">
        <v>9750</v>
      </c>
      <c r="S83" s="2942">
        <v>83179</v>
      </c>
      <c r="T83" s="473"/>
      <c r="U83" s="3063"/>
      <c r="V83" s="2369">
        <f t="shared" si="10"/>
        <v>92929</v>
      </c>
      <c r="W83" s="2942">
        <v>105750</v>
      </c>
      <c r="X83" s="456">
        <v>1980</v>
      </c>
      <c r="Y83" s="2942">
        <v>61724</v>
      </c>
      <c r="Z83" s="1338"/>
      <c r="AA83" s="3059"/>
      <c r="AB83" s="2369">
        <f t="shared" si="11"/>
        <v>63704</v>
      </c>
      <c r="AC83" s="2944">
        <v>96260</v>
      </c>
    </row>
    <row r="84" spans="1:29">
      <c r="A84" s="53">
        <f t="shared" si="7"/>
        <v>1999.03</v>
      </c>
      <c r="B84" s="2395">
        <f t="shared" si="12"/>
        <v>975040</v>
      </c>
      <c r="C84" s="2396">
        <f t="shared" si="13"/>
        <v>416061</v>
      </c>
      <c r="D84" s="386">
        <v>1257304</v>
      </c>
      <c r="E84" s="3669"/>
      <c r="F84" s="151">
        <v>896628</v>
      </c>
      <c r="G84" s="3061"/>
      <c r="H84" s="632">
        <v>520047</v>
      </c>
      <c r="I84" s="3504">
        <v>454993</v>
      </c>
      <c r="J84" s="636"/>
      <c r="K84" s="669"/>
      <c r="L84" s="3062">
        <f t="shared" si="8"/>
        <v>975040</v>
      </c>
      <c r="M84" s="632">
        <v>148325</v>
      </c>
      <c r="N84" s="151">
        <v>267736</v>
      </c>
      <c r="O84" s="3669"/>
      <c r="P84" s="669"/>
      <c r="Q84" s="2396">
        <f t="shared" si="9"/>
        <v>416061</v>
      </c>
      <c r="R84" s="456">
        <v>77843</v>
      </c>
      <c r="S84" s="2942">
        <v>111393</v>
      </c>
      <c r="T84" s="473"/>
      <c r="U84" s="3063"/>
      <c r="V84" s="2369">
        <f t="shared" si="10"/>
        <v>189236</v>
      </c>
      <c r="W84" s="2942">
        <v>190170</v>
      </c>
      <c r="X84" s="456">
        <v>30000</v>
      </c>
      <c r="Y84" s="2942">
        <v>97696</v>
      </c>
      <c r="Z84" s="1338"/>
      <c r="AA84" s="3059"/>
      <c r="AB84" s="2369">
        <f t="shared" si="11"/>
        <v>127696</v>
      </c>
      <c r="AC84" s="2944">
        <v>197250</v>
      </c>
    </row>
    <row r="85" spans="1:29">
      <c r="A85" s="53">
        <f t="shared" si="7"/>
        <v>1999.04</v>
      </c>
      <c r="B85" s="2395">
        <f t="shared" si="12"/>
        <v>1348456</v>
      </c>
      <c r="C85" s="2396">
        <f t="shared" si="13"/>
        <v>325900</v>
      </c>
      <c r="D85" s="386">
        <v>1849488</v>
      </c>
      <c r="E85" s="3669"/>
      <c r="F85" s="151">
        <v>794220</v>
      </c>
      <c r="G85" s="3061"/>
      <c r="H85" s="632">
        <v>688065</v>
      </c>
      <c r="I85" s="3504">
        <v>660391</v>
      </c>
      <c r="J85" s="636"/>
      <c r="K85" s="669"/>
      <c r="L85" s="3062">
        <f t="shared" si="8"/>
        <v>1348456</v>
      </c>
      <c r="M85" s="632">
        <v>113330</v>
      </c>
      <c r="N85" s="151">
        <v>212570</v>
      </c>
      <c r="O85" s="3669"/>
      <c r="P85" s="669"/>
      <c r="Q85" s="2396">
        <f t="shared" si="9"/>
        <v>325900</v>
      </c>
      <c r="R85" s="456">
        <v>79082</v>
      </c>
      <c r="S85" s="2942">
        <v>105791</v>
      </c>
      <c r="T85" s="473"/>
      <c r="U85" s="3063"/>
      <c r="V85" s="2369">
        <f t="shared" si="10"/>
        <v>184873</v>
      </c>
      <c r="W85" s="2942">
        <v>185810</v>
      </c>
      <c r="X85" s="456">
        <v>26862</v>
      </c>
      <c r="Y85" s="2942">
        <v>67742</v>
      </c>
      <c r="Z85" s="1338"/>
      <c r="AA85" s="3059"/>
      <c r="AB85" s="2369">
        <f t="shared" si="11"/>
        <v>94604</v>
      </c>
      <c r="AC85" s="2944">
        <v>224040</v>
      </c>
    </row>
    <row r="86" spans="1:29">
      <c r="A86" s="53">
        <f t="shared" ref="A86:A149" si="14">A74+1</f>
        <v>1999.05</v>
      </c>
      <c r="B86" s="2395">
        <f t="shared" si="12"/>
        <v>933796</v>
      </c>
      <c r="C86" s="2396">
        <f t="shared" si="13"/>
        <v>232117</v>
      </c>
      <c r="D86" s="386">
        <v>1641981</v>
      </c>
      <c r="E86" s="3669"/>
      <c r="F86" s="151">
        <v>675128</v>
      </c>
      <c r="G86" s="3061"/>
      <c r="H86" s="632">
        <v>398416</v>
      </c>
      <c r="I86" s="3504">
        <v>535380</v>
      </c>
      <c r="J86" s="636"/>
      <c r="K86" s="669"/>
      <c r="L86" s="3062">
        <f t="shared" si="8"/>
        <v>933796</v>
      </c>
      <c r="M86" s="632">
        <v>90926</v>
      </c>
      <c r="N86" s="151">
        <v>141191</v>
      </c>
      <c r="O86" s="3669"/>
      <c r="P86" s="669"/>
      <c r="Q86" s="2396">
        <f t="shared" si="9"/>
        <v>232117</v>
      </c>
      <c r="R86" s="456">
        <v>108410</v>
      </c>
      <c r="S86" s="2942">
        <v>244635</v>
      </c>
      <c r="T86" s="473"/>
      <c r="U86" s="3063"/>
      <c r="V86" s="2369">
        <f t="shared" si="10"/>
        <v>353045</v>
      </c>
      <c r="W86" s="2942">
        <v>353190</v>
      </c>
      <c r="X86" s="456">
        <v>21500</v>
      </c>
      <c r="Y86" s="2942">
        <v>61115</v>
      </c>
      <c r="Z86" s="1338"/>
      <c r="AA86" s="3059"/>
      <c r="AB86" s="2369">
        <f t="shared" si="11"/>
        <v>82615</v>
      </c>
      <c r="AC86" s="2944">
        <v>184350</v>
      </c>
    </row>
    <row r="87" spans="1:29">
      <c r="A87" s="53">
        <f t="shared" si="14"/>
        <v>1999.06</v>
      </c>
      <c r="B87" s="2395">
        <f t="shared" si="12"/>
        <v>443465</v>
      </c>
      <c r="C87" s="2396">
        <f t="shared" si="13"/>
        <v>144781</v>
      </c>
      <c r="D87" s="386">
        <v>862199</v>
      </c>
      <c r="E87" s="3669"/>
      <c r="F87" s="151">
        <v>715982</v>
      </c>
      <c r="G87" s="3061"/>
      <c r="H87" s="632">
        <v>217328</v>
      </c>
      <c r="I87" s="3504">
        <v>226137</v>
      </c>
      <c r="J87" s="636"/>
      <c r="K87" s="669"/>
      <c r="L87" s="3062">
        <f t="shared" si="8"/>
        <v>443465</v>
      </c>
      <c r="M87" s="632">
        <v>104781</v>
      </c>
      <c r="N87" s="151">
        <v>40000</v>
      </c>
      <c r="O87" s="3669"/>
      <c r="P87" s="669"/>
      <c r="Q87" s="2396">
        <f t="shared" si="9"/>
        <v>144781</v>
      </c>
      <c r="R87" s="456">
        <v>87350</v>
      </c>
      <c r="S87" s="2942">
        <v>172830</v>
      </c>
      <c r="T87" s="473"/>
      <c r="U87" s="3063"/>
      <c r="V87" s="2369">
        <f t="shared" si="10"/>
        <v>260180</v>
      </c>
      <c r="W87" s="2942">
        <v>275180</v>
      </c>
      <c r="X87" s="456">
        <v>11000</v>
      </c>
      <c r="Y87" s="2942">
        <v>50206</v>
      </c>
      <c r="Z87" s="1338"/>
      <c r="AA87" s="3059"/>
      <c r="AB87" s="2369">
        <f t="shared" si="11"/>
        <v>61206</v>
      </c>
      <c r="AC87" s="2944">
        <v>158970</v>
      </c>
    </row>
    <row r="88" spans="1:29">
      <c r="A88" s="53">
        <f t="shared" si="14"/>
        <v>1999.07</v>
      </c>
      <c r="B88" s="2395">
        <f t="shared" si="12"/>
        <v>267494</v>
      </c>
      <c r="C88" s="2396">
        <f t="shared" si="13"/>
        <v>51700</v>
      </c>
      <c r="D88" s="386">
        <v>430311</v>
      </c>
      <c r="E88" s="3669"/>
      <c r="F88" s="151">
        <v>468181</v>
      </c>
      <c r="G88" s="3061"/>
      <c r="H88" s="632">
        <v>102619</v>
      </c>
      <c r="I88" s="3504">
        <v>164875</v>
      </c>
      <c r="J88" s="636"/>
      <c r="K88" s="669"/>
      <c r="L88" s="3062">
        <f t="shared" si="8"/>
        <v>267494</v>
      </c>
      <c r="M88" s="632">
        <v>26600</v>
      </c>
      <c r="N88" s="151">
        <v>25100</v>
      </c>
      <c r="O88" s="3669"/>
      <c r="P88" s="669"/>
      <c r="Q88" s="2396">
        <f t="shared" si="9"/>
        <v>51700</v>
      </c>
      <c r="R88" s="456">
        <v>108160</v>
      </c>
      <c r="S88" s="2942">
        <v>215918</v>
      </c>
      <c r="T88" s="473"/>
      <c r="U88" s="3063"/>
      <c r="V88" s="2369">
        <f t="shared" si="10"/>
        <v>324078</v>
      </c>
      <c r="W88" s="2942">
        <v>324080</v>
      </c>
      <c r="X88" s="456">
        <v>31000</v>
      </c>
      <c r="Y88" s="2942">
        <v>41056</v>
      </c>
      <c r="Z88" s="1338"/>
      <c r="AA88" s="3059"/>
      <c r="AB88" s="2369">
        <f t="shared" si="11"/>
        <v>72056</v>
      </c>
      <c r="AC88" s="2944">
        <v>167530</v>
      </c>
    </row>
    <row r="89" spans="1:29">
      <c r="A89" s="53">
        <f t="shared" si="14"/>
        <v>1999.08</v>
      </c>
      <c r="B89" s="2395">
        <f t="shared" si="12"/>
        <v>211119</v>
      </c>
      <c r="C89" s="2396">
        <f t="shared" si="13"/>
        <v>43260</v>
      </c>
      <c r="D89" s="386">
        <v>389645</v>
      </c>
      <c r="E89" s="3669"/>
      <c r="F89" s="151">
        <v>541266</v>
      </c>
      <c r="G89" s="3061"/>
      <c r="H89" s="632">
        <v>65791</v>
      </c>
      <c r="I89" s="3504">
        <v>145328</v>
      </c>
      <c r="J89" s="636"/>
      <c r="K89" s="669"/>
      <c r="L89" s="3062">
        <f t="shared" si="8"/>
        <v>211119</v>
      </c>
      <c r="M89" s="632">
        <v>14700</v>
      </c>
      <c r="N89" s="151">
        <v>28560</v>
      </c>
      <c r="O89" s="3669"/>
      <c r="P89" s="669"/>
      <c r="Q89" s="2396">
        <f t="shared" si="9"/>
        <v>43260</v>
      </c>
      <c r="R89" s="456">
        <v>108060</v>
      </c>
      <c r="S89" s="2942">
        <v>238269</v>
      </c>
      <c r="T89" s="473"/>
      <c r="U89" s="3063"/>
      <c r="V89" s="2369">
        <f t="shared" si="10"/>
        <v>346329</v>
      </c>
      <c r="W89" s="2942">
        <v>363330</v>
      </c>
      <c r="X89" s="456">
        <v>30200</v>
      </c>
      <c r="Y89" s="2942">
        <v>44577</v>
      </c>
      <c r="Z89" s="1338"/>
      <c r="AA89" s="3059"/>
      <c r="AB89" s="2369">
        <f t="shared" si="11"/>
        <v>74777</v>
      </c>
      <c r="AC89" s="2944">
        <v>265210</v>
      </c>
    </row>
    <row r="90" spans="1:29">
      <c r="A90" s="53">
        <f t="shared" si="14"/>
        <v>1999.09</v>
      </c>
      <c r="B90" s="2395">
        <f t="shared" si="12"/>
        <v>100803</v>
      </c>
      <c r="C90" s="2396">
        <f t="shared" si="13"/>
        <v>70786</v>
      </c>
      <c r="D90" s="386">
        <v>144072</v>
      </c>
      <c r="E90" s="3669"/>
      <c r="F90" s="151">
        <v>467680</v>
      </c>
      <c r="G90" s="3061"/>
      <c r="H90" s="632">
        <v>47047</v>
      </c>
      <c r="I90" s="3504">
        <v>53756</v>
      </c>
      <c r="J90" s="636"/>
      <c r="K90" s="669"/>
      <c r="L90" s="3062">
        <f t="shared" si="8"/>
        <v>100803</v>
      </c>
      <c r="M90" s="632">
        <v>26620</v>
      </c>
      <c r="N90" s="151">
        <v>44166</v>
      </c>
      <c r="O90" s="3669"/>
      <c r="P90" s="669"/>
      <c r="Q90" s="2396">
        <f t="shared" si="9"/>
        <v>70786</v>
      </c>
      <c r="R90" s="456">
        <v>113350</v>
      </c>
      <c r="S90" s="2942">
        <v>246992</v>
      </c>
      <c r="T90" s="473"/>
      <c r="U90" s="3063"/>
      <c r="V90" s="2369">
        <f t="shared" si="10"/>
        <v>360342</v>
      </c>
      <c r="W90" s="2942">
        <v>369340</v>
      </c>
      <c r="X90" s="456">
        <v>15100</v>
      </c>
      <c r="Y90" s="2942">
        <v>60872</v>
      </c>
      <c r="Z90" s="1338"/>
      <c r="AA90" s="3059"/>
      <c r="AB90" s="2369">
        <f t="shared" si="11"/>
        <v>75972</v>
      </c>
      <c r="AC90" s="2944">
        <v>131470</v>
      </c>
    </row>
    <row r="91" spans="1:29">
      <c r="A91" s="53">
        <f t="shared" si="14"/>
        <v>1999.1</v>
      </c>
      <c r="B91" s="2395">
        <f t="shared" si="12"/>
        <v>113277</v>
      </c>
      <c r="C91" s="2396">
        <f t="shared" si="13"/>
        <v>37952</v>
      </c>
      <c r="D91" s="386">
        <v>200536</v>
      </c>
      <c r="E91" s="3669"/>
      <c r="F91" s="151">
        <v>435624</v>
      </c>
      <c r="G91" s="3061"/>
      <c r="H91" s="632">
        <v>46739</v>
      </c>
      <c r="I91" s="3504">
        <v>66538</v>
      </c>
      <c r="J91" s="636"/>
      <c r="K91" s="669"/>
      <c r="L91" s="3062">
        <f t="shared" si="8"/>
        <v>113277</v>
      </c>
      <c r="M91" s="632">
        <v>17400</v>
      </c>
      <c r="N91" s="151">
        <v>20552</v>
      </c>
      <c r="O91" s="3669"/>
      <c r="P91" s="669"/>
      <c r="Q91" s="2396">
        <f t="shared" si="9"/>
        <v>37952</v>
      </c>
      <c r="R91" s="456">
        <v>70300</v>
      </c>
      <c r="S91" s="2942">
        <v>142251</v>
      </c>
      <c r="T91" s="473"/>
      <c r="U91" s="3063"/>
      <c r="V91" s="2369">
        <f t="shared" si="10"/>
        <v>212551</v>
      </c>
      <c r="W91" s="2942">
        <v>221610</v>
      </c>
      <c r="X91" s="456">
        <v>9000</v>
      </c>
      <c r="Y91" s="2942">
        <v>11400</v>
      </c>
      <c r="Z91" s="1338"/>
      <c r="AA91" s="3059"/>
      <c r="AB91" s="2369">
        <f t="shared" si="11"/>
        <v>20400</v>
      </c>
      <c r="AC91" s="2944">
        <v>89110</v>
      </c>
    </row>
    <row r="92" spans="1:29">
      <c r="A92" s="53">
        <f t="shared" si="14"/>
        <v>1999.11</v>
      </c>
      <c r="B92" s="2395">
        <f t="shared" si="12"/>
        <v>300009</v>
      </c>
      <c r="C92" s="2396">
        <f t="shared" si="13"/>
        <v>330945</v>
      </c>
      <c r="D92" s="386">
        <v>425355</v>
      </c>
      <c r="E92" s="3669"/>
      <c r="F92" s="151">
        <v>436718</v>
      </c>
      <c r="G92" s="3061"/>
      <c r="H92" s="632">
        <v>83649</v>
      </c>
      <c r="I92" s="3504">
        <v>216360</v>
      </c>
      <c r="J92" s="636"/>
      <c r="K92" s="669"/>
      <c r="L92" s="3062">
        <f t="shared" si="8"/>
        <v>300009</v>
      </c>
      <c r="M92" s="632">
        <v>145500</v>
      </c>
      <c r="N92" s="151">
        <v>185445</v>
      </c>
      <c r="O92" s="3669"/>
      <c r="P92" s="669"/>
      <c r="Q92" s="2396">
        <f t="shared" si="9"/>
        <v>330945</v>
      </c>
      <c r="R92" s="456">
        <v>81223</v>
      </c>
      <c r="S92" s="2942">
        <v>153841</v>
      </c>
      <c r="T92" s="473"/>
      <c r="U92" s="3063"/>
      <c r="V92" s="2369">
        <f t="shared" si="10"/>
        <v>235064</v>
      </c>
      <c r="W92" s="2942">
        <v>239920</v>
      </c>
      <c r="X92" s="456">
        <v>1750</v>
      </c>
      <c r="Y92" s="2942">
        <v>12127</v>
      </c>
      <c r="Z92" s="1338"/>
      <c r="AA92" s="3059"/>
      <c r="AB92" s="2369">
        <f t="shared" si="11"/>
        <v>13877</v>
      </c>
      <c r="AC92" s="2944">
        <v>102580</v>
      </c>
    </row>
    <row r="93" spans="1:29">
      <c r="A93" s="53">
        <f t="shared" si="14"/>
        <v>1999.12</v>
      </c>
      <c r="B93" s="2395">
        <f t="shared" si="12"/>
        <v>218644</v>
      </c>
      <c r="C93" s="2396">
        <f t="shared" si="13"/>
        <v>1020368</v>
      </c>
      <c r="D93" s="386">
        <v>238713</v>
      </c>
      <c r="E93" s="3669"/>
      <c r="F93" s="151">
        <v>1383449</v>
      </c>
      <c r="G93" s="3061"/>
      <c r="H93" s="632">
        <v>121180</v>
      </c>
      <c r="I93" s="3504">
        <v>97464</v>
      </c>
      <c r="J93" s="636"/>
      <c r="K93" s="669"/>
      <c r="L93" s="3062">
        <f t="shared" si="8"/>
        <v>218644</v>
      </c>
      <c r="M93" s="632">
        <v>428630</v>
      </c>
      <c r="N93" s="151">
        <v>591738</v>
      </c>
      <c r="O93" s="3669"/>
      <c r="P93" s="669"/>
      <c r="Q93" s="2396">
        <f t="shared" si="9"/>
        <v>1020368</v>
      </c>
      <c r="R93" s="456">
        <v>60546</v>
      </c>
      <c r="S93" s="2942">
        <v>129774</v>
      </c>
      <c r="T93" s="473"/>
      <c r="U93" s="3063"/>
      <c r="V93" s="2369">
        <f t="shared" si="10"/>
        <v>190320</v>
      </c>
      <c r="W93" s="2942">
        <v>190320</v>
      </c>
      <c r="X93" s="456">
        <v>9000</v>
      </c>
      <c r="Y93" s="2942">
        <v>15538</v>
      </c>
      <c r="Z93" s="1338"/>
      <c r="AA93" s="3059"/>
      <c r="AB93" s="2369">
        <f t="shared" si="11"/>
        <v>24538</v>
      </c>
      <c r="AC93" s="2944">
        <v>73350</v>
      </c>
    </row>
    <row r="94" spans="1:29">
      <c r="A94" s="53">
        <f t="shared" si="14"/>
        <v>2000.01</v>
      </c>
      <c r="B94" s="2395">
        <f t="shared" si="12"/>
        <v>191256</v>
      </c>
      <c r="C94" s="2396">
        <f t="shared" si="13"/>
        <v>625308</v>
      </c>
      <c r="D94" s="386">
        <v>252872</v>
      </c>
      <c r="E94" s="3669"/>
      <c r="F94" s="151">
        <v>1699812</v>
      </c>
      <c r="G94" s="3061"/>
      <c r="H94" s="632">
        <v>92361</v>
      </c>
      <c r="I94" s="3504">
        <v>98895</v>
      </c>
      <c r="J94" s="636"/>
      <c r="K94" s="669"/>
      <c r="L94" s="3062">
        <f t="shared" si="8"/>
        <v>191256</v>
      </c>
      <c r="M94" s="632">
        <v>201675</v>
      </c>
      <c r="N94" s="151">
        <v>423633</v>
      </c>
      <c r="O94" s="3669"/>
      <c r="P94" s="669"/>
      <c r="Q94" s="2396">
        <f t="shared" si="9"/>
        <v>625308</v>
      </c>
      <c r="R94" s="456">
        <v>85056</v>
      </c>
      <c r="S94" s="2942">
        <v>141621</v>
      </c>
      <c r="T94" s="473"/>
      <c r="U94" s="3063"/>
      <c r="V94" s="2369">
        <f t="shared" si="10"/>
        <v>226677</v>
      </c>
      <c r="W94" s="2942">
        <v>228930</v>
      </c>
      <c r="X94" s="456">
        <v>5000</v>
      </c>
      <c r="Y94" s="2942">
        <v>38088</v>
      </c>
      <c r="Z94" s="1338"/>
      <c r="AA94" s="3059"/>
      <c r="AB94" s="2369">
        <f t="shared" si="11"/>
        <v>43088</v>
      </c>
      <c r="AC94" s="2944">
        <v>69940</v>
      </c>
    </row>
    <row r="95" spans="1:29">
      <c r="A95" s="53">
        <f t="shared" si="14"/>
        <v>2000.02</v>
      </c>
      <c r="B95" s="2395">
        <f t="shared" si="12"/>
        <v>154597</v>
      </c>
      <c r="C95" s="2396">
        <f t="shared" si="13"/>
        <v>579460</v>
      </c>
      <c r="D95" s="386">
        <v>204071</v>
      </c>
      <c r="E95" s="3669"/>
      <c r="F95" s="151">
        <v>1356696</v>
      </c>
      <c r="G95" s="3061"/>
      <c r="H95" s="632">
        <v>85512</v>
      </c>
      <c r="I95" s="3504">
        <v>69085</v>
      </c>
      <c r="J95" s="636"/>
      <c r="K95" s="669"/>
      <c r="L95" s="3062">
        <f t="shared" si="8"/>
        <v>154597</v>
      </c>
      <c r="M95" s="632">
        <v>224961</v>
      </c>
      <c r="N95" s="151">
        <v>354499</v>
      </c>
      <c r="O95" s="3669"/>
      <c r="P95" s="669"/>
      <c r="Q95" s="2396">
        <f t="shared" si="9"/>
        <v>579460</v>
      </c>
      <c r="R95" s="456">
        <v>50555</v>
      </c>
      <c r="S95" s="2942">
        <v>139216</v>
      </c>
      <c r="T95" s="473"/>
      <c r="U95" s="3063"/>
      <c r="V95" s="2369">
        <f t="shared" si="10"/>
        <v>189771</v>
      </c>
      <c r="W95" s="2942">
        <v>196450</v>
      </c>
      <c r="X95" s="456">
        <v>1050</v>
      </c>
      <c r="Y95" s="2942">
        <v>33122</v>
      </c>
      <c r="Z95" s="1338"/>
      <c r="AA95" s="3059"/>
      <c r="AB95" s="2369">
        <f t="shared" si="11"/>
        <v>34172</v>
      </c>
      <c r="AC95" s="2944">
        <v>70570</v>
      </c>
    </row>
    <row r="96" spans="1:29">
      <c r="A96" s="53">
        <f t="shared" si="14"/>
        <v>2000.03</v>
      </c>
      <c r="B96" s="2395">
        <f t="shared" si="12"/>
        <v>1243926</v>
      </c>
      <c r="C96" s="2396">
        <f t="shared" si="13"/>
        <v>574782</v>
      </c>
      <c r="D96" s="386">
        <v>1365203</v>
      </c>
      <c r="E96" s="3669"/>
      <c r="F96" s="151">
        <v>1121253</v>
      </c>
      <c r="G96" s="3061"/>
      <c r="H96" s="632">
        <v>600429</v>
      </c>
      <c r="I96" s="3504">
        <v>643497</v>
      </c>
      <c r="J96" s="636"/>
      <c r="K96" s="669"/>
      <c r="L96" s="3062">
        <f t="shared" si="8"/>
        <v>1243926</v>
      </c>
      <c r="M96" s="632">
        <v>156004</v>
      </c>
      <c r="N96" s="151">
        <v>418778</v>
      </c>
      <c r="O96" s="3669"/>
      <c r="P96" s="669"/>
      <c r="Q96" s="2396">
        <f t="shared" si="9"/>
        <v>574782</v>
      </c>
      <c r="R96" s="456">
        <v>42550</v>
      </c>
      <c r="S96" s="2942">
        <v>98202</v>
      </c>
      <c r="T96" s="473"/>
      <c r="U96" s="3063"/>
      <c r="V96" s="2369">
        <f t="shared" si="10"/>
        <v>140752</v>
      </c>
      <c r="W96" s="2942">
        <v>141330</v>
      </c>
      <c r="X96" s="456">
        <v>5500</v>
      </c>
      <c r="Y96" s="2942">
        <v>122333</v>
      </c>
      <c r="Z96" s="1338"/>
      <c r="AA96" s="3059"/>
      <c r="AB96" s="2369">
        <f t="shared" si="11"/>
        <v>127833</v>
      </c>
      <c r="AC96" s="2944">
        <v>183620</v>
      </c>
    </row>
    <row r="97" spans="1:29">
      <c r="A97" s="53">
        <f t="shared" si="14"/>
        <v>2000.04</v>
      </c>
      <c r="B97" s="2395">
        <f t="shared" si="12"/>
        <v>1408273</v>
      </c>
      <c r="C97" s="2396">
        <f t="shared" si="13"/>
        <v>261387</v>
      </c>
      <c r="D97" s="386">
        <v>1799333</v>
      </c>
      <c r="E97" s="3669"/>
      <c r="F97" s="151">
        <v>849785</v>
      </c>
      <c r="G97" s="3061"/>
      <c r="H97" s="632">
        <v>806096</v>
      </c>
      <c r="I97" s="3504">
        <v>602177</v>
      </c>
      <c r="J97" s="636"/>
      <c r="K97" s="669"/>
      <c r="L97" s="3062">
        <f t="shared" si="8"/>
        <v>1408273</v>
      </c>
      <c r="M97" s="632">
        <v>114020</v>
      </c>
      <c r="N97" s="151">
        <v>147367</v>
      </c>
      <c r="O97" s="3669"/>
      <c r="P97" s="669"/>
      <c r="Q97" s="2396">
        <f t="shared" si="9"/>
        <v>261387</v>
      </c>
      <c r="R97" s="456">
        <v>32300</v>
      </c>
      <c r="S97" s="2942">
        <v>178469</v>
      </c>
      <c r="T97" s="473"/>
      <c r="U97" s="3063"/>
      <c r="V97" s="2369">
        <f t="shared" si="10"/>
        <v>210769</v>
      </c>
      <c r="W97" s="2942">
        <v>210770</v>
      </c>
      <c r="X97" s="456">
        <v>15281</v>
      </c>
      <c r="Y97" s="2942">
        <v>70480</v>
      </c>
      <c r="Z97" s="1338"/>
      <c r="AA97" s="3059"/>
      <c r="AB97" s="2369">
        <f t="shared" si="11"/>
        <v>85761</v>
      </c>
      <c r="AC97" s="2944">
        <v>200170</v>
      </c>
    </row>
    <row r="98" spans="1:29">
      <c r="A98" s="53">
        <f t="shared" si="14"/>
        <v>2000.05</v>
      </c>
      <c r="B98" s="2395">
        <f t="shared" si="12"/>
        <v>871889</v>
      </c>
      <c r="C98" s="2396">
        <f t="shared" si="13"/>
        <v>345154</v>
      </c>
      <c r="D98" s="386">
        <v>1460185</v>
      </c>
      <c r="E98" s="3669"/>
      <c r="F98" s="151">
        <v>784773</v>
      </c>
      <c r="G98" s="3061"/>
      <c r="H98" s="632">
        <v>432739</v>
      </c>
      <c r="I98" s="3504">
        <v>439150</v>
      </c>
      <c r="J98" s="636"/>
      <c r="K98" s="669"/>
      <c r="L98" s="3062">
        <f t="shared" si="8"/>
        <v>871889</v>
      </c>
      <c r="M98" s="632">
        <v>62000</v>
      </c>
      <c r="N98" s="151">
        <v>283154</v>
      </c>
      <c r="O98" s="3669"/>
      <c r="P98" s="669"/>
      <c r="Q98" s="2396">
        <f t="shared" si="9"/>
        <v>345154</v>
      </c>
      <c r="R98" s="456">
        <v>69320</v>
      </c>
      <c r="S98" s="2942">
        <v>177350</v>
      </c>
      <c r="T98" s="473"/>
      <c r="U98" s="3063"/>
      <c r="V98" s="2369">
        <f t="shared" si="10"/>
        <v>246670</v>
      </c>
      <c r="W98" s="2942">
        <v>246670</v>
      </c>
      <c r="X98" s="456">
        <v>4910</v>
      </c>
      <c r="Y98" s="2942">
        <v>54200</v>
      </c>
      <c r="Z98" s="1338"/>
      <c r="AA98" s="3059"/>
      <c r="AB98" s="2369">
        <f t="shared" si="11"/>
        <v>59110</v>
      </c>
      <c r="AC98" s="2944">
        <v>96000</v>
      </c>
    </row>
    <row r="99" spans="1:29">
      <c r="A99" s="53">
        <f t="shared" si="14"/>
        <v>2000.06</v>
      </c>
      <c r="B99" s="2395">
        <f t="shared" si="12"/>
        <v>498969</v>
      </c>
      <c r="C99" s="2396">
        <f t="shared" si="13"/>
        <v>125993</v>
      </c>
      <c r="D99" s="386">
        <v>1024773</v>
      </c>
      <c r="E99" s="3669"/>
      <c r="F99" s="151">
        <v>739089</v>
      </c>
      <c r="G99" s="3061"/>
      <c r="H99" s="632">
        <v>183149</v>
      </c>
      <c r="I99" s="3504">
        <v>315820</v>
      </c>
      <c r="J99" s="636"/>
      <c r="K99" s="669"/>
      <c r="L99" s="3062">
        <f t="shared" si="8"/>
        <v>498969</v>
      </c>
      <c r="M99" s="632">
        <v>19885</v>
      </c>
      <c r="N99" s="151">
        <v>106108</v>
      </c>
      <c r="O99" s="3669"/>
      <c r="P99" s="669"/>
      <c r="Q99" s="2396">
        <f t="shared" si="9"/>
        <v>125993</v>
      </c>
      <c r="R99" s="456">
        <v>89269</v>
      </c>
      <c r="S99" s="2942">
        <v>122517</v>
      </c>
      <c r="T99" s="473"/>
      <c r="U99" s="3063"/>
      <c r="V99" s="2369">
        <f t="shared" si="10"/>
        <v>211786</v>
      </c>
      <c r="W99" s="2942">
        <v>239290</v>
      </c>
      <c r="X99" s="456">
        <v>23580</v>
      </c>
      <c r="Y99" s="2942">
        <v>38494</v>
      </c>
      <c r="Z99" s="1338"/>
      <c r="AA99" s="3059"/>
      <c r="AB99" s="2369">
        <f t="shared" si="11"/>
        <v>62074</v>
      </c>
      <c r="AC99" s="2944">
        <v>163770</v>
      </c>
    </row>
    <row r="100" spans="1:29">
      <c r="A100" s="53">
        <f t="shared" si="14"/>
        <v>2000.07</v>
      </c>
      <c r="B100" s="2395">
        <f t="shared" si="12"/>
        <v>298190</v>
      </c>
      <c r="C100" s="2396">
        <f t="shared" si="13"/>
        <v>324602</v>
      </c>
      <c r="D100" s="386">
        <v>499612</v>
      </c>
      <c r="E100" s="3669"/>
      <c r="F100" s="151">
        <v>625148</v>
      </c>
      <c r="G100" s="3061"/>
      <c r="H100" s="632">
        <v>142613</v>
      </c>
      <c r="I100" s="3504">
        <v>155577</v>
      </c>
      <c r="J100" s="636"/>
      <c r="K100" s="669"/>
      <c r="L100" s="3062">
        <f t="shared" si="8"/>
        <v>298190</v>
      </c>
      <c r="M100" s="632">
        <v>215082</v>
      </c>
      <c r="N100" s="151">
        <v>109520</v>
      </c>
      <c r="O100" s="3669"/>
      <c r="P100" s="669"/>
      <c r="Q100" s="2396">
        <f t="shared" si="9"/>
        <v>324602</v>
      </c>
      <c r="R100" s="456">
        <v>78067</v>
      </c>
      <c r="S100" s="2942">
        <v>321522</v>
      </c>
      <c r="T100" s="473"/>
      <c r="U100" s="3063"/>
      <c r="V100" s="2369">
        <f t="shared" si="10"/>
        <v>399589</v>
      </c>
      <c r="W100" s="2942">
        <v>419590</v>
      </c>
      <c r="X100" s="456">
        <v>17426</v>
      </c>
      <c r="Y100" s="2942">
        <v>99303</v>
      </c>
      <c r="Z100" s="1338"/>
      <c r="AA100" s="3059"/>
      <c r="AB100" s="2369">
        <f t="shared" si="11"/>
        <v>116729</v>
      </c>
      <c r="AC100" s="2944">
        <v>229690</v>
      </c>
    </row>
    <row r="101" spans="1:29">
      <c r="A101" s="53">
        <f t="shared" si="14"/>
        <v>2000.08</v>
      </c>
      <c r="B101" s="2395">
        <f t="shared" si="12"/>
        <v>459237</v>
      </c>
      <c r="C101" s="2396">
        <f t="shared" si="13"/>
        <v>112931</v>
      </c>
      <c r="D101" s="386">
        <v>754289</v>
      </c>
      <c r="E101" s="3669"/>
      <c r="F101" s="151">
        <v>667072</v>
      </c>
      <c r="G101" s="3061"/>
      <c r="H101" s="632">
        <v>218406</v>
      </c>
      <c r="I101" s="3504">
        <v>240831</v>
      </c>
      <c r="J101" s="636"/>
      <c r="K101" s="669"/>
      <c r="L101" s="3062">
        <f t="shared" si="8"/>
        <v>459237</v>
      </c>
      <c r="M101" s="632">
        <v>61400</v>
      </c>
      <c r="N101" s="151">
        <v>51531</v>
      </c>
      <c r="O101" s="3669"/>
      <c r="P101" s="669"/>
      <c r="Q101" s="2396">
        <f t="shared" si="9"/>
        <v>112931</v>
      </c>
      <c r="R101" s="456">
        <v>109713</v>
      </c>
      <c r="S101" s="2942">
        <v>214543</v>
      </c>
      <c r="T101" s="473"/>
      <c r="U101" s="3063"/>
      <c r="V101" s="2369">
        <f t="shared" si="10"/>
        <v>324256</v>
      </c>
      <c r="W101" s="2942">
        <v>330460</v>
      </c>
      <c r="X101" s="456">
        <v>4499</v>
      </c>
      <c r="Y101" s="2942">
        <v>26698</v>
      </c>
      <c r="Z101" s="1338"/>
      <c r="AA101" s="3059"/>
      <c r="AB101" s="2369">
        <f t="shared" si="11"/>
        <v>31197</v>
      </c>
      <c r="AC101" s="2944">
        <v>59510</v>
      </c>
    </row>
    <row r="102" spans="1:29">
      <c r="A102" s="53">
        <f t="shared" si="14"/>
        <v>2000.09</v>
      </c>
      <c r="B102" s="2395">
        <f t="shared" si="12"/>
        <v>358505</v>
      </c>
      <c r="C102" s="2396">
        <f t="shared" si="13"/>
        <v>108956</v>
      </c>
      <c r="D102" s="386">
        <v>631260</v>
      </c>
      <c r="E102" s="3669"/>
      <c r="F102" s="151">
        <v>635547</v>
      </c>
      <c r="G102" s="3061"/>
      <c r="H102" s="632">
        <v>156981</v>
      </c>
      <c r="I102" s="3504">
        <v>201524</v>
      </c>
      <c r="J102" s="636"/>
      <c r="K102" s="669"/>
      <c r="L102" s="3062">
        <f t="shared" si="8"/>
        <v>358505</v>
      </c>
      <c r="M102" s="632">
        <v>46534</v>
      </c>
      <c r="N102" s="151">
        <v>62422</v>
      </c>
      <c r="O102" s="3669"/>
      <c r="P102" s="669"/>
      <c r="Q102" s="2396">
        <f t="shared" si="9"/>
        <v>108956</v>
      </c>
      <c r="R102" s="456">
        <v>93099</v>
      </c>
      <c r="S102" s="2942">
        <v>174738</v>
      </c>
      <c r="T102" s="473"/>
      <c r="U102" s="3063"/>
      <c r="V102" s="2369">
        <f t="shared" si="10"/>
        <v>267837</v>
      </c>
      <c r="W102" s="2942">
        <v>274840</v>
      </c>
      <c r="X102" s="456">
        <v>9500</v>
      </c>
      <c r="Y102" s="2942">
        <v>17781</v>
      </c>
      <c r="Z102" s="1338"/>
      <c r="AA102" s="3059"/>
      <c r="AB102" s="2369">
        <f t="shared" si="11"/>
        <v>27281</v>
      </c>
      <c r="AC102" s="2944">
        <v>119490</v>
      </c>
    </row>
    <row r="103" spans="1:29">
      <c r="A103" s="53">
        <f t="shared" si="14"/>
        <v>2000.1</v>
      </c>
      <c r="B103" s="2395">
        <f t="shared" si="12"/>
        <v>669982</v>
      </c>
      <c r="C103" s="2396">
        <f t="shared" si="13"/>
        <v>202404</v>
      </c>
      <c r="D103" s="386">
        <v>812812</v>
      </c>
      <c r="E103" s="3669"/>
      <c r="F103" s="151">
        <v>525737</v>
      </c>
      <c r="G103" s="3061"/>
      <c r="H103" s="632">
        <v>232951</v>
      </c>
      <c r="I103" s="3504">
        <v>437031</v>
      </c>
      <c r="J103" s="636"/>
      <c r="K103" s="669"/>
      <c r="L103" s="3062">
        <f t="shared" si="8"/>
        <v>669982</v>
      </c>
      <c r="M103" s="632">
        <v>102756</v>
      </c>
      <c r="N103" s="151">
        <v>99648</v>
      </c>
      <c r="O103" s="3669"/>
      <c r="P103" s="669"/>
      <c r="Q103" s="2396">
        <f t="shared" si="9"/>
        <v>202404</v>
      </c>
      <c r="R103" s="456">
        <v>102370</v>
      </c>
      <c r="S103" s="2942">
        <v>223258</v>
      </c>
      <c r="T103" s="473"/>
      <c r="U103" s="3063"/>
      <c r="V103" s="2369">
        <f t="shared" si="10"/>
        <v>325628</v>
      </c>
      <c r="W103" s="2942">
        <v>329470</v>
      </c>
      <c r="X103" s="456">
        <v>14000</v>
      </c>
      <c r="Y103" s="2942">
        <v>50350</v>
      </c>
      <c r="Z103" s="1338"/>
      <c r="AA103" s="3059"/>
      <c r="AB103" s="2369">
        <f t="shared" si="11"/>
        <v>64350</v>
      </c>
      <c r="AC103" s="2944">
        <v>145670</v>
      </c>
    </row>
    <row r="104" spans="1:29">
      <c r="A104" s="53">
        <f t="shared" si="14"/>
        <v>2000.11</v>
      </c>
      <c r="B104" s="2395">
        <f t="shared" si="12"/>
        <v>793646</v>
      </c>
      <c r="C104" s="2396">
        <f t="shared" si="13"/>
        <v>734464</v>
      </c>
      <c r="D104" s="386">
        <v>1311471</v>
      </c>
      <c r="E104" s="3669"/>
      <c r="F104" s="151">
        <v>446693</v>
      </c>
      <c r="G104" s="3061"/>
      <c r="H104" s="632">
        <v>266052</v>
      </c>
      <c r="I104" s="3504">
        <v>527594</v>
      </c>
      <c r="J104" s="636"/>
      <c r="K104" s="669"/>
      <c r="L104" s="3062">
        <f t="shared" si="8"/>
        <v>793646</v>
      </c>
      <c r="M104" s="632">
        <v>545928</v>
      </c>
      <c r="N104" s="151">
        <v>188536</v>
      </c>
      <c r="O104" s="3669"/>
      <c r="P104" s="669"/>
      <c r="Q104" s="2396">
        <f t="shared" si="9"/>
        <v>734464</v>
      </c>
      <c r="R104" s="456">
        <v>88500</v>
      </c>
      <c r="S104" s="2942">
        <v>134019</v>
      </c>
      <c r="T104" s="473"/>
      <c r="U104" s="3063"/>
      <c r="V104" s="2369">
        <f t="shared" si="10"/>
        <v>222519</v>
      </c>
      <c r="W104" s="2942">
        <v>228690</v>
      </c>
      <c r="X104" s="456">
        <v>2000</v>
      </c>
      <c r="Y104" s="2942">
        <v>21710</v>
      </c>
      <c r="Z104" s="1338"/>
      <c r="AA104" s="3059"/>
      <c r="AB104" s="2369">
        <f t="shared" si="11"/>
        <v>23710</v>
      </c>
      <c r="AC104" s="2944">
        <v>95830</v>
      </c>
    </row>
    <row r="105" spans="1:29">
      <c r="A105" s="53">
        <f t="shared" si="14"/>
        <v>2000.12</v>
      </c>
      <c r="B105" s="2395">
        <f t="shared" si="12"/>
        <v>439871</v>
      </c>
      <c r="C105" s="2396">
        <f t="shared" si="13"/>
        <v>723257</v>
      </c>
      <c r="D105" s="386">
        <v>683119</v>
      </c>
      <c r="E105" s="3669"/>
      <c r="F105" s="151">
        <v>1343916</v>
      </c>
      <c r="G105" s="3061"/>
      <c r="H105" s="632">
        <v>156591</v>
      </c>
      <c r="I105" s="3504">
        <v>283280</v>
      </c>
      <c r="J105" s="636"/>
      <c r="K105" s="669"/>
      <c r="L105" s="3062">
        <f t="shared" si="8"/>
        <v>439871</v>
      </c>
      <c r="M105" s="632">
        <v>235980</v>
      </c>
      <c r="N105" s="151">
        <v>487277</v>
      </c>
      <c r="O105" s="3669"/>
      <c r="P105" s="669"/>
      <c r="Q105" s="2396">
        <f t="shared" si="9"/>
        <v>723257</v>
      </c>
      <c r="R105" s="456">
        <v>84017</v>
      </c>
      <c r="S105" s="2942">
        <v>206917</v>
      </c>
      <c r="T105" s="473"/>
      <c r="U105" s="3063"/>
      <c r="V105" s="2369">
        <f t="shared" si="10"/>
        <v>290934</v>
      </c>
      <c r="W105" s="2942">
        <v>295930</v>
      </c>
      <c r="X105" s="456">
        <v>2057</v>
      </c>
      <c r="Y105" s="2942">
        <v>18549</v>
      </c>
      <c r="Z105" s="1338"/>
      <c r="AA105" s="3059"/>
      <c r="AB105" s="2369">
        <f t="shared" si="11"/>
        <v>20606</v>
      </c>
      <c r="AC105" s="2944">
        <v>122010</v>
      </c>
    </row>
    <row r="106" spans="1:29">
      <c r="A106" s="53">
        <f t="shared" si="14"/>
        <v>2001.01</v>
      </c>
      <c r="B106" s="2395">
        <f t="shared" si="12"/>
        <v>770693</v>
      </c>
      <c r="C106" s="2396">
        <f t="shared" si="13"/>
        <v>957631</v>
      </c>
      <c r="D106" s="386">
        <v>1018300</v>
      </c>
      <c r="E106" s="3669"/>
      <c r="F106" s="151">
        <v>2179017</v>
      </c>
      <c r="G106" s="3061"/>
      <c r="H106" s="632">
        <v>172808</v>
      </c>
      <c r="I106" s="3504">
        <v>597885</v>
      </c>
      <c r="J106" s="636"/>
      <c r="K106" s="669"/>
      <c r="L106" s="3062">
        <f t="shared" si="8"/>
        <v>770693</v>
      </c>
      <c r="M106" s="632">
        <v>342802</v>
      </c>
      <c r="N106" s="151">
        <v>614829</v>
      </c>
      <c r="O106" s="3669"/>
      <c r="P106" s="669"/>
      <c r="Q106" s="2396">
        <f t="shared" si="9"/>
        <v>957631</v>
      </c>
      <c r="R106" s="456">
        <v>15405</v>
      </c>
      <c r="S106" s="2942">
        <v>82630</v>
      </c>
      <c r="T106" s="473"/>
      <c r="U106" s="3063"/>
      <c r="V106" s="2369">
        <f t="shared" si="10"/>
        <v>98035</v>
      </c>
      <c r="W106" s="2942">
        <v>98035</v>
      </c>
      <c r="X106" s="456">
        <v>0</v>
      </c>
      <c r="Y106" s="2942">
        <v>19200</v>
      </c>
      <c r="Z106" s="1338"/>
      <c r="AA106" s="3059"/>
      <c r="AB106" s="2369">
        <f t="shared" si="11"/>
        <v>19200</v>
      </c>
      <c r="AC106" s="2944">
        <v>90670</v>
      </c>
    </row>
    <row r="107" spans="1:29">
      <c r="A107" s="53">
        <f t="shared" si="14"/>
        <v>2001.02</v>
      </c>
      <c r="B107" s="2395">
        <f t="shared" si="12"/>
        <v>463679</v>
      </c>
      <c r="C107" s="2396">
        <f t="shared" si="13"/>
        <v>578547</v>
      </c>
      <c r="D107" s="386">
        <v>579888</v>
      </c>
      <c r="E107" s="3669"/>
      <c r="F107" s="151">
        <v>1356172</v>
      </c>
      <c r="G107" s="3061"/>
      <c r="H107" s="632">
        <v>138867</v>
      </c>
      <c r="I107" s="3504">
        <v>324812</v>
      </c>
      <c r="J107" s="636"/>
      <c r="K107" s="669"/>
      <c r="L107" s="3062">
        <f t="shared" si="8"/>
        <v>463679</v>
      </c>
      <c r="M107" s="632">
        <v>129760</v>
      </c>
      <c r="N107" s="151">
        <v>448787</v>
      </c>
      <c r="O107" s="3669"/>
      <c r="P107" s="669"/>
      <c r="Q107" s="2396">
        <f t="shared" si="9"/>
        <v>578547</v>
      </c>
      <c r="R107" s="456">
        <v>94962</v>
      </c>
      <c r="S107" s="2942">
        <v>91851</v>
      </c>
      <c r="T107" s="473"/>
      <c r="U107" s="3063"/>
      <c r="V107" s="2369">
        <f t="shared" si="10"/>
        <v>186813</v>
      </c>
      <c r="W107" s="2942">
        <v>186813</v>
      </c>
      <c r="X107" s="456">
        <v>0</v>
      </c>
      <c r="Y107" s="2942">
        <v>21089</v>
      </c>
      <c r="Z107" s="1338"/>
      <c r="AA107" s="3059"/>
      <c r="AB107" s="2369">
        <f t="shared" si="11"/>
        <v>21089</v>
      </c>
      <c r="AC107" s="2944">
        <v>52760</v>
      </c>
    </row>
    <row r="108" spans="1:29">
      <c r="A108" s="53">
        <f t="shared" si="14"/>
        <v>2001.03</v>
      </c>
      <c r="B108" s="2395">
        <f t="shared" si="12"/>
        <v>1033958</v>
      </c>
      <c r="C108" s="2396">
        <f t="shared" si="13"/>
        <v>252367</v>
      </c>
      <c r="D108" s="386">
        <v>1245249</v>
      </c>
      <c r="E108" s="3669"/>
      <c r="F108" s="151">
        <v>750976</v>
      </c>
      <c r="G108" s="3061"/>
      <c r="H108" s="632">
        <v>453925</v>
      </c>
      <c r="I108" s="3504">
        <v>580033</v>
      </c>
      <c r="J108" s="636"/>
      <c r="K108" s="669"/>
      <c r="L108" s="3062">
        <f t="shared" si="8"/>
        <v>1033958</v>
      </c>
      <c r="M108" s="632">
        <v>104494</v>
      </c>
      <c r="N108" s="151">
        <v>147873</v>
      </c>
      <c r="O108" s="3669"/>
      <c r="P108" s="669"/>
      <c r="Q108" s="2396">
        <f t="shared" si="9"/>
        <v>252367</v>
      </c>
      <c r="R108" s="456">
        <v>15000</v>
      </c>
      <c r="S108" s="2942">
        <v>142455</v>
      </c>
      <c r="T108" s="473"/>
      <c r="U108" s="3063"/>
      <c r="V108" s="2369">
        <f t="shared" si="10"/>
        <v>157455</v>
      </c>
      <c r="W108" s="2942">
        <v>157460</v>
      </c>
      <c r="X108" s="456">
        <v>0</v>
      </c>
      <c r="Y108" s="2942">
        <v>62113</v>
      </c>
      <c r="Z108" s="1338"/>
      <c r="AA108" s="3059"/>
      <c r="AB108" s="2369">
        <f t="shared" si="11"/>
        <v>62113</v>
      </c>
      <c r="AC108" s="2944">
        <v>105770</v>
      </c>
    </row>
    <row r="109" spans="1:29">
      <c r="A109" s="53">
        <f t="shared" si="14"/>
        <v>2001.04</v>
      </c>
      <c r="B109" s="2395">
        <f t="shared" si="12"/>
        <v>1205319</v>
      </c>
      <c r="C109" s="2396">
        <f t="shared" si="13"/>
        <v>265497</v>
      </c>
      <c r="D109" s="386">
        <v>1686946</v>
      </c>
      <c r="E109" s="3669"/>
      <c r="F109" s="151">
        <v>633974</v>
      </c>
      <c r="G109" s="3061"/>
      <c r="H109" s="632">
        <v>546758</v>
      </c>
      <c r="I109" s="3504">
        <v>658561</v>
      </c>
      <c r="J109" s="636"/>
      <c r="K109" s="669"/>
      <c r="L109" s="3062">
        <f t="shared" si="8"/>
        <v>1205319</v>
      </c>
      <c r="M109" s="632">
        <v>24250</v>
      </c>
      <c r="N109" s="151">
        <v>241247</v>
      </c>
      <c r="O109" s="3669"/>
      <c r="P109" s="669"/>
      <c r="Q109" s="2396">
        <f t="shared" si="9"/>
        <v>265497</v>
      </c>
      <c r="R109" s="456">
        <v>72000</v>
      </c>
      <c r="S109" s="2942">
        <v>145278</v>
      </c>
      <c r="T109" s="473"/>
      <c r="U109" s="3063"/>
      <c r="V109" s="2369">
        <f t="shared" si="10"/>
        <v>217278</v>
      </c>
      <c r="W109" s="2942">
        <v>217280</v>
      </c>
      <c r="X109" s="456">
        <v>5500</v>
      </c>
      <c r="Y109" s="2942">
        <v>29440</v>
      </c>
      <c r="Z109" s="1338"/>
      <c r="AA109" s="3059"/>
      <c r="AB109" s="2369">
        <f t="shared" si="11"/>
        <v>34940</v>
      </c>
      <c r="AC109" s="2944">
        <v>111450</v>
      </c>
    </row>
    <row r="110" spans="1:29">
      <c r="A110" s="53">
        <f t="shared" si="14"/>
        <v>2001.05</v>
      </c>
      <c r="B110" s="2395">
        <f t="shared" si="12"/>
        <v>1164501</v>
      </c>
      <c r="C110" s="2396">
        <f t="shared" si="13"/>
        <v>332815</v>
      </c>
      <c r="D110" s="386">
        <v>1712699</v>
      </c>
      <c r="E110" s="3669"/>
      <c r="F110" s="151">
        <v>916692</v>
      </c>
      <c r="G110" s="3061"/>
      <c r="H110" s="632">
        <v>362844</v>
      </c>
      <c r="I110" s="3504">
        <v>801657</v>
      </c>
      <c r="J110" s="636"/>
      <c r="K110" s="669"/>
      <c r="L110" s="3062">
        <f t="shared" si="8"/>
        <v>1164501</v>
      </c>
      <c r="M110" s="632">
        <v>182150</v>
      </c>
      <c r="N110" s="151">
        <v>150665</v>
      </c>
      <c r="O110" s="3669"/>
      <c r="P110" s="669"/>
      <c r="Q110" s="2396">
        <f t="shared" si="9"/>
        <v>332815</v>
      </c>
      <c r="R110" s="456">
        <v>64800</v>
      </c>
      <c r="S110" s="2942">
        <v>219310</v>
      </c>
      <c r="T110" s="473"/>
      <c r="U110" s="3063"/>
      <c r="V110" s="2369">
        <f t="shared" si="10"/>
        <v>284110</v>
      </c>
      <c r="W110" s="2942">
        <v>293950</v>
      </c>
      <c r="X110" s="456">
        <v>12500</v>
      </c>
      <c r="Y110" s="2942">
        <v>9975</v>
      </c>
      <c r="Z110" s="1338"/>
      <c r="AA110" s="3059"/>
      <c r="AB110" s="2369">
        <f t="shared" si="11"/>
        <v>22475</v>
      </c>
      <c r="AC110" s="2944">
        <v>88390</v>
      </c>
    </row>
    <row r="111" spans="1:29">
      <c r="A111" s="53">
        <f t="shared" si="14"/>
        <v>2001.06</v>
      </c>
      <c r="B111" s="2395">
        <f t="shared" si="12"/>
        <v>587297</v>
      </c>
      <c r="C111" s="2396">
        <f t="shared" si="13"/>
        <v>170186</v>
      </c>
      <c r="D111" s="386">
        <v>897904</v>
      </c>
      <c r="E111" s="3669"/>
      <c r="F111" s="151">
        <v>617010</v>
      </c>
      <c r="G111" s="3061"/>
      <c r="H111" s="632">
        <v>146152</v>
      </c>
      <c r="I111" s="3504">
        <v>441145</v>
      </c>
      <c r="J111" s="636"/>
      <c r="K111" s="669"/>
      <c r="L111" s="3062">
        <f t="shared" si="8"/>
        <v>587297</v>
      </c>
      <c r="M111" s="632">
        <v>93590</v>
      </c>
      <c r="N111" s="151">
        <v>76596</v>
      </c>
      <c r="O111" s="3669"/>
      <c r="P111" s="669"/>
      <c r="Q111" s="2396">
        <f t="shared" si="9"/>
        <v>170186</v>
      </c>
      <c r="R111" s="456">
        <v>108500</v>
      </c>
      <c r="S111" s="2942">
        <v>229722</v>
      </c>
      <c r="T111" s="473"/>
      <c r="U111" s="3063"/>
      <c r="V111" s="2369">
        <f t="shared" si="10"/>
        <v>338222</v>
      </c>
      <c r="W111" s="2942">
        <v>358720</v>
      </c>
      <c r="X111" s="456">
        <v>10240</v>
      </c>
      <c r="Y111" s="2942">
        <v>15100</v>
      </c>
      <c r="Z111" s="1338"/>
      <c r="AA111" s="3059"/>
      <c r="AB111" s="2369">
        <f t="shared" si="11"/>
        <v>25340</v>
      </c>
      <c r="AC111" s="2944">
        <v>134680</v>
      </c>
    </row>
    <row r="112" spans="1:29">
      <c r="A112" s="53">
        <f t="shared" si="14"/>
        <v>2001.07</v>
      </c>
      <c r="B112" s="2395">
        <f t="shared" si="12"/>
        <v>290013</v>
      </c>
      <c r="C112" s="2396">
        <f t="shared" si="13"/>
        <v>99666</v>
      </c>
      <c r="D112" s="386">
        <v>503277</v>
      </c>
      <c r="E112" s="3669"/>
      <c r="F112" s="151">
        <v>680228</v>
      </c>
      <c r="G112" s="3061"/>
      <c r="H112" s="632">
        <v>67459</v>
      </c>
      <c r="I112" s="3504">
        <v>222554</v>
      </c>
      <c r="J112" s="636"/>
      <c r="K112" s="669"/>
      <c r="L112" s="3062">
        <f t="shared" si="8"/>
        <v>290013</v>
      </c>
      <c r="M112" s="632">
        <v>7400</v>
      </c>
      <c r="N112" s="151">
        <v>92266</v>
      </c>
      <c r="O112" s="3669"/>
      <c r="P112" s="669"/>
      <c r="Q112" s="2396">
        <f t="shared" si="9"/>
        <v>99666</v>
      </c>
      <c r="R112" s="456">
        <v>104159</v>
      </c>
      <c r="S112" s="2942">
        <v>277482</v>
      </c>
      <c r="T112" s="473"/>
      <c r="U112" s="3063"/>
      <c r="V112" s="2369">
        <f t="shared" si="10"/>
        <v>381641</v>
      </c>
      <c r="W112" s="2942">
        <v>401340</v>
      </c>
      <c r="X112" s="456">
        <v>7000</v>
      </c>
      <c r="Y112" s="2942">
        <v>4300</v>
      </c>
      <c r="Z112" s="1338"/>
      <c r="AA112" s="3059"/>
      <c r="AB112" s="2369">
        <f t="shared" si="11"/>
        <v>11300</v>
      </c>
      <c r="AC112" s="2944">
        <v>64030</v>
      </c>
    </row>
    <row r="113" spans="1:29">
      <c r="A113" s="53">
        <f t="shared" si="14"/>
        <v>2001.08</v>
      </c>
      <c r="B113" s="2395">
        <f t="shared" si="12"/>
        <v>410235</v>
      </c>
      <c r="C113" s="2396">
        <f t="shared" si="13"/>
        <v>181673</v>
      </c>
      <c r="D113" s="386">
        <v>842437</v>
      </c>
      <c r="E113" s="3669"/>
      <c r="F113" s="151">
        <v>697250</v>
      </c>
      <c r="G113" s="3061"/>
      <c r="H113" s="632">
        <v>148697</v>
      </c>
      <c r="I113" s="3504">
        <v>261538</v>
      </c>
      <c r="J113" s="636"/>
      <c r="K113" s="669"/>
      <c r="L113" s="3062">
        <f t="shared" si="8"/>
        <v>410235</v>
      </c>
      <c r="M113" s="632">
        <v>109650</v>
      </c>
      <c r="N113" s="151">
        <v>72023</v>
      </c>
      <c r="O113" s="3669"/>
      <c r="P113" s="669"/>
      <c r="Q113" s="2396">
        <f t="shared" si="9"/>
        <v>181673</v>
      </c>
      <c r="R113" s="456">
        <v>103685</v>
      </c>
      <c r="S113" s="2942">
        <v>228846</v>
      </c>
      <c r="T113" s="473"/>
      <c r="U113" s="3063"/>
      <c r="V113" s="2369">
        <f t="shared" si="10"/>
        <v>332531</v>
      </c>
      <c r="W113" s="2942">
        <v>351060</v>
      </c>
      <c r="X113" s="456">
        <v>1500</v>
      </c>
      <c r="Y113" s="2942">
        <v>6500</v>
      </c>
      <c r="Z113" s="1338"/>
      <c r="AA113" s="3059"/>
      <c r="AB113" s="2369">
        <f t="shared" si="11"/>
        <v>8000</v>
      </c>
      <c r="AC113" s="2944">
        <v>53230</v>
      </c>
    </row>
    <row r="114" spans="1:29">
      <c r="A114" s="53">
        <f t="shared" si="14"/>
        <v>2001.09</v>
      </c>
      <c r="B114" s="2395">
        <f t="shared" si="12"/>
        <v>584267</v>
      </c>
      <c r="C114" s="2396">
        <f t="shared" si="13"/>
        <v>37487</v>
      </c>
      <c r="D114" s="386">
        <v>851628</v>
      </c>
      <c r="E114" s="3669"/>
      <c r="F114" s="151">
        <v>483840</v>
      </c>
      <c r="G114" s="3061"/>
      <c r="H114" s="632">
        <v>184417</v>
      </c>
      <c r="I114" s="3504">
        <v>399850</v>
      </c>
      <c r="J114" s="636"/>
      <c r="K114" s="669"/>
      <c r="L114" s="3062">
        <f t="shared" si="8"/>
        <v>584267</v>
      </c>
      <c r="M114" s="632">
        <v>5270</v>
      </c>
      <c r="N114" s="151">
        <v>32217</v>
      </c>
      <c r="O114" s="3669"/>
      <c r="P114" s="669"/>
      <c r="Q114" s="2396">
        <f t="shared" si="9"/>
        <v>37487</v>
      </c>
      <c r="R114" s="456">
        <v>56518</v>
      </c>
      <c r="S114" s="2942">
        <v>223017</v>
      </c>
      <c r="T114" s="473"/>
      <c r="U114" s="3063"/>
      <c r="V114" s="2369">
        <f t="shared" si="10"/>
        <v>279535</v>
      </c>
      <c r="W114" s="2942">
        <v>296060</v>
      </c>
      <c r="X114" s="456">
        <v>1000</v>
      </c>
      <c r="Y114" s="2942">
        <v>23050</v>
      </c>
      <c r="Z114" s="1338"/>
      <c r="AA114" s="3059"/>
      <c r="AB114" s="2369">
        <f t="shared" si="11"/>
        <v>24050</v>
      </c>
      <c r="AC114" s="2944">
        <v>84800</v>
      </c>
    </row>
    <row r="115" spans="1:29">
      <c r="A115" s="53">
        <f t="shared" si="14"/>
        <v>2001.1</v>
      </c>
      <c r="B115" s="2395">
        <f t="shared" si="12"/>
        <v>265601</v>
      </c>
      <c r="C115" s="2396">
        <f t="shared" si="13"/>
        <v>50499</v>
      </c>
      <c r="D115" s="386">
        <v>436919</v>
      </c>
      <c r="E115" s="3669"/>
      <c r="F115" s="151">
        <v>450632</v>
      </c>
      <c r="G115" s="3061"/>
      <c r="H115" s="632">
        <v>16190</v>
      </c>
      <c r="I115" s="3504">
        <v>249411</v>
      </c>
      <c r="J115" s="636"/>
      <c r="K115" s="669"/>
      <c r="L115" s="3062">
        <f t="shared" si="8"/>
        <v>265601</v>
      </c>
      <c r="M115" s="632">
        <v>0</v>
      </c>
      <c r="N115" s="151">
        <v>50499</v>
      </c>
      <c r="O115" s="3669"/>
      <c r="P115" s="669"/>
      <c r="Q115" s="2396">
        <f t="shared" si="9"/>
        <v>50499</v>
      </c>
      <c r="R115" s="456">
        <v>120600</v>
      </c>
      <c r="S115" s="2942">
        <v>207619</v>
      </c>
      <c r="T115" s="473"/>
      <c r="U115" s="3063"/>
      <c r="V115" s="2369">
        <f t="shared" si="10"/>
        <v>328219</v>
      </c>
      <c r="W115" s="2942">
        <v>344320</v>
      </c>
      <c r="X115" s="456">
        <v>4500</v>
      </c>
      <c r="Y115" s="2942">
        <v>31746</v>
      </c>
      <c r="Z115" s="1338"/>
      <c r="AA115" s="3059"/>
      <c r="AB115" s="2369">
        <f t="shared" si="11"/>
        <v>36246</v>
      </c>
      <c r="AC115" s="2944">
        <v>133400</v>
      </c>
    </row>
    <row r="116" spans="1:29">
      <c r="A116" s="53">
        <f t="shared" si="14"/>
        <v>2001.11</v>
      </c>
      <c r="B116" s="2395">
        <f t="shared" si="12"/>
        <v>387157</v>
      </c>
      <c r="C116" s="2396">
        <f t="shared" si="13"/>
        <v>394014</v>
      </c>
      <c r="D116" s="386">
        <v>501193</v>
      </c>
      <c r="E116" s="3669"/>
      <c r="F116" s="151">
        <v>579227</v>
      </c>
      <c r="G116" s="3061"/>
      <c r="H116" s="632">
        <v>130084</v>
      </c>
      <c r="I116" s="3504">
        <v>257073</v>
      </c>
      <c r="J116" s="636"/>
      <c r="K116" s="669"/>
      <c r="L116" s="3062">
        <f t="shared" si="8"/>
        <v>387157</v>
      </c>
      <c r="M116" s="632">
        <v>40660</v>
      </c>
      <c r="N116" s="151">
        <v>353354</v>
      </c>
      <c r="O116" s="3669"/>
      <c r="P116" s="669"/>
      <c r="Q116" s="2396">
        <f t="shared" si="9"/>
        <v>394014</v>
      </c>
      <c r="R116" s="456">
        <v>123750</v>
      </c>
      <c r="S116" s="2942">
        <v>195859</v>
      </c>
      <c r="T116" s="473"/>
      <c r="U116" s="3063"/>
      <c r="V116" s="2369">
        <f t="shared" si="10"/>
        <v>319609</v>
      </c>
      <c r="W116" s="2942">
        <v>319610</v>
      </c>
      <c r="X116" s="456">
        <v>1500</v>
      </c>
      <c r="Y116" s="2942">
        <v>16931</v>
      </c>
      <c r="Z116" s="1338"/>
      <c r="AA116" s="3059"/>
      <c r="AB116" s="2369">
        <f t="shared" si="11"/>
        <v>18431</v>
      </c>
      <c r="AC116" s="2944">
        <v>45230</v>
      </c>
    </row>
    <row r="117" spans="1:29">
      <c r="A117" s="53">
        <f t="shared" si="14"/>
        <v>2001.12</v>
      </c>
      <c r="B117" s="2395">
        <f t="shared" si="12"/>
        <v>296255</v>
      </c>
      <c r="C117" s="2396">
        <f t="shared" si="13"/>
        <v>877241</v>
      </c>
      <c r="D117" s="386">
        <v>436303</v>
      </c>
      <c r="E117" s="3669"/>
      <c r="F117" s="151">
        <v>1238426</v>
      </c>
      <c r="G117" s="3061"/>
      <c r="H117" s="632">
        <v>110795</v>
      </c>
      <c r="I117" s="3504">
        <v>185460</v>
      </c>
      <c r="J117" s="636"/>
      <c r="K117" s="669"/>
      <c r="L117" s="3062">
        <f t="shared" si="8"/>
        <v>296255</v>
      </c>
      <c r="M117" s="632">
        <v>215175</v>
      </c>
      <c r="N117" s="151">
        <v>662066</v>
      </c>
      <c r="O117" s="3669"/>
      <c r="P117" s="669"/>
      <c r="Q117" s="2396">
        <f t="shared" si="9"/>
        <v>877241</v>
      </c>
      <c r="R117" s="456">
        <v>91920</v>
      </c>
      <c r="S117" s="2942">
        <v>396566</v>
      </c>
      <c r="T117" s="473"/>
      <c r="U117" s="3063"/>
      <c r="V117" s="2369">
        <f t="shared" si="10"/>
        <v>488486</v>
      </c>
      <c r="W117" s="2942">
        <v>493510</v>
      </c>
      <c r="X117" s="456">
        <v>4500</v>
      </c>
      <c r="Y117" s="2942">
        <v>7641</v>
      </c>
      <c r="Z117" s="1338"/>
      <c r="AA117" s="3059"/>
      <c r="AB117" s="2369">
        <f t="shared" si="11"/>
        <v>12141</v>
      </c>
      <c r="AC117" s="2944">
        <v>47390</v>
      </c>
    </row>
    <row r="118" spans="1:29">
      <c r="A118" s="53">
        <f t="shared" si="14"/>
        <v>2002.01</v>
      </c>
      <c r="B118" s="2395">
        <f t="shared" si="12"/>
        <v>190427</v>
      </c>
      <c r="C118" s="2396">
        <f t="shared" si="13"/>
        <v>1013926</v>
      </c>
      <c r="D118" s="386">
        <v>217175</v>
      </c>
      <c r="E118" s="3669"/>
      <c r="F118" s="151">
        <v>2233787</v>
      </c>
      <c r="G118" s="3061"/>
      <c r="H118" s="632">
        <v>75845</v>
      </c>
      <c r="I118" s="3504">
        <v>114582</v>
      </c>
      <c r="J118" s="636"/>
      <c r="K118" s="669"/>
      <c r="L118" s="3062">
        <f t="shared" si="8"/>
        <v>190427</v>
      </c>
      <c r="M118" s="632">
        <v>276335</v>
      </c>
      <c r="N118" s="151">
        <v>737591</v>
      </c>
      <c r="O118" s="3669"/>
      <c r="P118" s="669"/>
      <c r="Q118" s="2396">
        <f t="shared" si="9"/>
        <v>1013926</v>
      </c>
      <c r="R118" s="456">
        <v>86309</v>
      </c>
      <c r="S118" s="2942">
        <v>123115</v>
      </c>
      <c r="T118" s="473"/>
      <c r="U118" s="3063"/>
      <c r="V118" s="2369">
        <f t="shared" si="10"/>
        <v>209424</v>
      </c>
      <c r="W118" s="2942">
        <v>215450</v>
      </c>
      <c r="X118" s="456">
        <v>4000</v>
      </c>
      <c r="Y118" s="2942">
        <v>11000</v>
      </c>
      <c r="Z118" s="1338"/>
      <c r="AA118" s="3059"/>
      <c r="AB118" s="2369">
        <f t="shared" si="11"/>
        <v>15000</v>
      </c>
      <c r="AC118" s="2944">
        <v>55010</v>
      </c>
    </row>
    <row r="119" spans="1:29">
      <c r="A119" s="53">
        <f t="shared" si="14"/>
        <v>2002.02</v>
      </c>
      <c r="B119" s="2395">
        <f t="shared" si="12"/>
        <v>220929</v>
      </c>
      <c r="C119" s="2396">
        <f t="shared" si="13"/>
        <v>617284</v>
      </c>
      <c r="D119" s="386">
        <v>299313</v>
      </c>
      <c r="E119" s="3669"/>
      <c r="F119" s="151">
        <v>1257954</v>
      </c>
      <c r="G119" s="3061"/>
      <c r="H119" s="632">
        <v>106112</v>
      </c>
      <c r="I119" s="3504">
        <v>114817</v>
      </c>
      <c r="J119" s="636"/>
      <c r="K119" s="669"/>
      <c r="L119" s="3062">
        <f t="shared" si="8"/>
        <v>220929</v>
      </c>
      <c r="M119" s="632">
        <v>130060</v>
      </c>
      <c r="N119" s="151">
        <v>487224</v>
      </c>
      <c r="O119" s="3669"/>
      <c r="P119" s="669"/>
      <c r="Q119" s="2396">
        <f t="shared" si="9"/>
        <v>617284</v>
      </c>
      <c r="R119" s="456">
        <v>45652</v>
      </c>
      <c r="S119" s="2942">
        <v>106843</v>
      </c>
      <c r="T119" s="473"/>
      <c r="U119" s="3063"/>
      <c r="V119" s="2369">
        <f t="shared" si="10"/>
        <v>152495</v>
      </c>
      <c r="W119" s="2942">
        <v>157790</v>
      </c>
      <c r="X119" s="456">
        <v>6000</v>
      </c>
      <c r="Y119" s="2942">
        <v>30780</v>
      </c>
      <c r="Z119" s="1338"/>
      <c r="AA119" s="3059"/>
      <c r="AB119" s="2369">
        <f t="shared" si="11"/>
        <v>36780</v>
      </c>
      <c r="AC119" s="2944">
        <v>68460</v>
      </c>
    </row>
    <row r="120" spans="1:29">
      <c r="A120" s="53">
        <f t="shared" si="14"/>
        <v>2002.03</v>
      </c>
      <c r="B120" s="2395">
        <f t="shared" si="12"/>
        <v>1583792</v>
      </c>
      <c r="C120" s="2396">
        <f t="shared" si="13"/>
        <v>719564</v>
      </c>
      <c r="D120" s="386">
        <v>1778147</v>
      </c>
      <c r="E120" s="3669"/>
      <c r="F120" s="151">
        <v>1297258</v>
      </c>
      <c r="G120" s="3061"/>
      <c r="H120" s="632">
        <v>664185</v>
      </c>
      <c r="I120" s="3504">
        <v>919607</v>
      </c>
      <c r="J120" s="636"/>
      <c r="K120" s="669"/>
      <c r="L120" s="3062">
        <f t="shared" si="8"/>
        <v>1583792</v>
      </c>
      <c r="M120" s="632">
        <v>168174</v>
      </c>
      <c r="N120" s="151">
        <v>551390</v>
      </c>
      <c r="O120" s="3669"/>
      <c r="P120" s="669"/>
      <c r="Q120" s="2396">
        <f t="shared" si="9"/>
        <v>719564</v>
      </c>
      <c r="R120" s="456">
        <v>46700</v>
      </c>
      <c r="S120" s="2942">
        <v>188134</v>
      </c>
      <c r="T120" s="473"/>
      <c r="U120" s="3063"/>
      <c r="V120" s="2369">
        <f t="shared" si="10"/>
        <v>234834</v>
      </c>
      <c r="W120" s="2942">
        <v>248810</v>
      </c>
      <c r="X120" s="456">
        <v>28500</v>
      </c>
      <c r="Y120" s="2942">
        <v>33717</v>
      </c>
      <c r="Z120" s="1338"/>
      <c r="AA120" s="3059"/>
      <c r="AB120" s="2369">
        <f t="shared" si="11"/>
        <v>62217</v>
      </c>
      <c r="AC120" s="2944">
        <v>109500</v>
      </c>
    </row>
    <row r="121" spans="1:29">
      <c r="A121" s="53">
        <f t="shared" si="14"/>
        <v>2002.04</v>
      </c>
      <c r="B121" s="2395">
        <f t="shared" si="12"/>
        <v>1145269</v>
      </c>
      <c r="C121" s="2396">
        <f t="shared" si="13"/>
        <v>225068</v>
      </c>
      <c r="D121" s="386">
        <v>1408306</v>
      </c>
      <c r="E121" s="3669"/>
      <c r="F121" s="151">
        <v>702738</v>
      </c>
      <c r="G121" s="3061"/>
      <c r="H121" s="632">
        <v>474488</v>
      </c>
      <c r="I121" s="3504">
        <v>670781</v>
      </c>
      <c r="J121" s="636"/>
      <c r="K121" s="669"/>
      <c r="L121" s="3062">
        <f t="shared" si="8"/>
        <v>1145269</v>
      </c>
      <c r="M121" s="632">
        <v>135968</v>
      </c>
      <c r="N121" s="151">
        <v>89100</v>
      </c>
      <c r="O121" s="3669"/>
      <c r="P121" s="669"/>
      <c r="Q121" s="2396">
        <f t="shared" si="9"/>
        <v>225068</v>
      </c>
      <c r="R121" s="456">
        <v>58742</v>
      </c>
      <c r="S121" s="2942">
        <v>175319</v>
      </c>
      <c r="T121" s="473"/>
      <c r="U121" s="3063"/>
      <c r="V121" s="2369">
        <f t="shared" si="10"/>
        <v>234061</v>
      </c>
      <c r="W121" s="2942">
        <v>234061</v>
      </c>
      <c r="X121" s="456">
        <v>12400</v>
      </c>
      <c r="Y121" s="2942">
        <v>22646</v>
      </c>
      <c r="Z121" s="1338"/>
      <c r="AA121" s="3059"/>
      <c r="AB121" s="2369">
        <f t="shared" si="11"/>
        <v>35046</v>
      </c>
      <c r="AC121" s="2944">
        <v>130000</v>
      </c>
    </row>
    <row r="122" spans="1:29">
      <c r="A122" s="53">
        <f t="shared" si="14"/>
        <v>2002.05</v>
      </c>
      <c r="B122" s="2395">
        <f t="shared" si="12"/>
        <v>892640</v>
      </c>
      <c r="C122" s="2396">
        <f t="shared" si="13"/>
        <v>206579</v>
      </c>
      <c r="D122" s="386">
        <v>1202119</v>
      </c>
      <c r="E122" s="3669"/>
      <c r="F122" s="151">
        <v>724971</v>
      </c>
      <c r="G122" s="3061"/>
      <c r="H122" s="632">
        <v>322225</v>
      </c>
      <c r="I122" s="3504">
        <v>570415</v>
      </c>
      <c r="J122" s="636"/>
      <c r="K122" s="669"/>
      <c r="L122" s="3062">
        <f t="shared" si="8"/>
        <v>892640</v>
      </c>
      <c r="M122" s="632">
        <v>124300</v>
      </c>
      <c r="N122" s="151">
        <v>82279</v>
      </c>
      <c r="O122" s="3669"/>
      <c r="P122" s="669"/>
      <c r="Q122" s="2396">
        <f t="shared" si="9"/>
        <v>206579</v>
      </c>
      <c r="R122" s="456">
        <v>98333</v>
      </c>
      <c r="S122" s="2942">
        <v>190113</v>
      </c>
      <c r="T122" s="473"/>
      <c r="U122" s="3063"/>
      <c r="V122" s="2369">
        <f t="shared" si="10"/>
        <v>288446</v>
      </c>
      <c r="W122" s="2942">
        <v>288450</v>
      </c>
      <c r="X122" s="456">
        <v>30875</v>
      </c>
      <c r="Y122" s="2942">
        <v>44020</v>
      </c>
      <c r="Z122" s="1338"/>
      <c r="AA122" s="3059"/>
      <c r="AB122" s="2369">
        <f t="shared" si="11"/>
        <v>74895</v>
      </c>
      <c r="AC122" s="2944">
        <v>138680</v>
      </c>
    </row>
    <row r="123" spans="1:29">
      <c r="A123" s="53">
        <f t="shared" si="14"/>
        <v>2002.06</v>
      </c>
      <c r="B123" s="2395">
        <f t="shared" si="12"/>
        <v>548001</v>
      </c>
      <c r="C123" s="2396">
        <f t="shared" si="13"/>
        <v>139708</v>
      </c>
      <c r="D123" s="386">
        <v>724986</v>
      </c>
      <c r="E123" s="3669"/>
      <c r="F123" s="151">
        <v>593015</v>
      </c>
      <c r="G123" s="3061"/>
      <c r="H123" s="632">
        <v>237419</v>
      </c>
      <c r="I123" s="3504">
        <v>310582</v>
      </c>
      <c r="J123" s="636"/>
      <c r="K123" s="669"/>
      <c r="L123" s="3062">
        <f t="shared" si="8"/>
        <v>548001</v>
      </c>
      <c r="M123" s="632">
        <v>92886</v>
      </c>
      <c r="N123" s="151">
        <v>46822</v>
      </c>
      <c r="O123" s="3669"/>
      <c r="P123" s="669"/>
      <c r="Q123" s="2396">
        <f t="shared" si="9"/>
        <v>139708</v>
      </c>
      <c r="R123" s="456">
        <v>42970</v>
      </c>
      <c r="S123" s="2942">
        <v>280860</v>
      </c>
      <c r="T123" s="473"/>
      <c r="U123" s="3063"/>
      <c r="V123" s="2369">
        <f t="shared" si="10"/>
        <v>323830</v>
      </c>
      <c r="W123" s="2942">
        <v>341530</v>
      </c>
      <c r="X123" s="456">
        <v>10000</v>
      </c>
      <c r="Y123" s="2942">
        <v>18650</v>
      </c>
      <c r="Z123" s="1338"/>
      <c r="AA123" s="3059"/>
      <c r="AB123" s="2369">
        <f t="shared" si="11"/>
        <v>28650</v>
      </c>
      <c r="AC123" s="2944">
        <v>120910</v>
      </c>
    </row>
    <row r="124" spans="1:29">
      <c r="A124" s="53">
        <f t="shared" si="14"/>
        <v>2002.07</v>
      </c>
      <c r="B124" s="2395">
        <f t="shared" si="12"/>
        <v>255572</v>
      </c>
      <c r="C124" s="2396">
        <f t="shared" si="13"/>
        <v>75295</v>
      </c>
      <c r="D124" s="386">
        <v>410997</v>
      </c>
      <c r="E124" s="3669"/>
      <c r="F124" s="151">
        <v>354907</v>
      </c>
      <c r="G124" s="3061"/>
      <c r="H124" s="632">
        <v>115045</v>
      </c>
      <c r="I124" s="3504">
        <v>140527</v>
      </c>
      <c r="J124" s="636"/>
      <c r="K124" s="669"/>
      <c r="L124" s="3062">
        <f t="shared" si="8"/>
        <v>255572</v>
      </c>
      <c r="M124" s="632">
        <v>43380</v>
      </c>
      <c r="N124" s="151">
        <v>31915</v>
      </c>
      <c r="O124" s="3669"/>
      <c r="P124" s="669"/>
      <c r="Q124" s="2396">
        <f t="shared" si="9"/>
        <v>75295</v>
      </c>
      <c r="R124" s="456">
        <v>139267</v>
      </c>
      <c r="S124" s="2942">
        <v>251375</v>
      </c>
      <c r="T124" s="473"/>
      <c r="U124" s="3063"/>
      <c r="V124" s="2369">
        <f t="shared" si="10"/>
        <v>390642</v>
      </c>
      <c r="W124" s="2942">
        <v>397830</v>
      </c>
      <c r="X124" s="456">
        <v>2880</v>
      </c>
      <c r="Y124" s="2942">
        <v>23920</v>
      </c>
      <c r="Z124" s="1338"/>
      <c r="AA124" s="3059"/>
      <c r="AB124" s="2369">
        <f t="shared" si="11"/>
        <v>26800</v>
      </c>
      <c r="AC124" s="2944">
        <v>100740</v>
      </c>
    </row>
    <row r="125" spans="1:29">
      <c r="A125" s="53">
        <f t="shared" si="14"/>
        <v>2002.08</v>
      </c>
      <c r="B125" s="2395">
        <f t="shared" si="12"/>
        <v>345961</v>
      </c>
      <c r="C125" s="2396">
        <f t="shared" si="13"/>
        <v>4100</v>
      </c>
      <c r="D125" s="386">
        <v>465770</v>
      </c>
      <c r="E125" s="3669"/>
      <c r="F125" s="151">
        <v>334518</v>
      </c>
      <c r="G125" s="3061"/>
      <c r="H125" s="632">
        <v>135205</v>
      </c>
      <c r="I125" s="3504">
        <v>210756</v>
      </c>
      <c r="J125" s="636"/>
      <c r="K125" s="669"/>
      <c r="L125" s="3062">
        <f t="shared" si="8"/>
        <v>345961</v>
      </c>
      <c r="M125" s="632">
        <v>4100</v>
      </c>
      <c r="N125" s="151">
        <v>0</v>
      </c>
      <c r="O125" s="3669"/>
      <c r="P125" s="669"/>
      <c r="Q125" s="2396">
        <f t="shared" si="9"/>
        <v>4100</v>
      </c>
      <c r="R125" s="456">
        <v>81400</v>
      </c>
      <c r="S125" s="2942">
        <v>283959</v>
      </c>
      <c r="T125" s="473"/>
      <c r="U125" s="3063"/>
      <c r="V125" s="2369">
        <f t="shared" si="10"/>
        <v>365359</v>
      </c>
      <c r="W125" s="2942">
        <v>365360</v>
      </c>
      <c r="X125" s="456">
        <v>23000</v>
      </c>
      <c r="Y125" s="2942">
        <v>18960</v>
      </c>
      <c r="Z125" s="1338"/>
      <c r="AA125" s="3059"/>
      <c r="AB125" s="2369">
        <f t="shared" si="11"/>
        <v>41960</v>
      </c>
      <c r="AC125" s="2944">
        <v>69770</v>
      </c>
    </row>
    <row r="126" spans="1:29">
      <c r="A126" s="53">
        <f t="shared" si="14"/>
        <v>2002.09</v>
      </c>
      <c r="B126" s="2395">
        <f t="shared" si="12"/>
        <v>392823</v>
      </c>
      <c r="C126" s="2396">
        <f t="shared" si="13"/>
        <v>3150</v>
      </c>
      <c r="D126" s="386">
        <v>579943</v>
      </c>
      <c r="E126" s="3669"/>
      <c r="F126" s="151">
        <v>161788</v>
      </c>
      <c r="G126" s="3061"/>
      <c r="H126" s="632">
        <v>179804</v>
      </c>
      <c r="I126" s="3504">
        <v>213019</v>
      </c>
      <c r="J126" s="636"/>
      <c r="K126" s="669"/>
      <c r="L126" s="3062">
        <f t="shared" si="8"/>
        <v>392823</v>
      </c>
      <c r="M126" s="632">
        <v>3150</v>
      </c>
      <c r="N126" s="151">
        <v>0</v>
      </c>
      <c r="O126" s="3669"/>
      <c r="P126" s="669"/>
      <c r="Q126" s="2396">
        <f t="shared" si="9"/>
        <v>3150</v>
      </c>
      <c r="R126" s="456">
        <v>126260</v>
      </c>
      <c r="S126" s="2942">
        <v>266995</v>
      </c>
      <c r="T126" s="473"/>
      <c r="U126" s="3063"/>
      <c r="V126" s="2369">
        <f t="shared" si="10"/>
        <v>393255</v>
      </c>
      <c r="W126" s="2942">
        <v>431320</v>
      </c>
      <c r="X126" s="456">
        <v>5573</v>
      </c>
      <c r="Y126" s="2942">
        <v>19356</v>
      </c>
      <c r="Z126" s="1338"/>
      <c r="AA126" s="3059"/>
      <c r="AB126" s="2369">
        <f t="shared" si="11"/>
        <v>24929</v>
      </c>
      <c r="AC126" s="2944">
        <v>27630</v>
      </c>
    </row>
    <row r="127" spans="1:29">
      <c r="A127" s="53">
        <f t="shared" si="14"/>
        <v>2002.1</v>
      </c>
      <c r="B127" s="2395">
        <f t="shared" si="12"/>
        <v>553735</v>
      </c>
      <c r="C127" s="2396">
        <f t="shared" si="13"/>
        <v>15500</v>
      </c>
      <c r="D127" s="386">
        <v>713237</v>
      </c>
      <c r="E127" s="3669"/>
      <c r="F127" s="151">
        <v>191197</v>
      </c>
      <c r="G127" s="3061"/>
      <c r="H127" s="632">
        <v>187936</v>
      </c>
      <c r="I127" s="3504">
        <v>365799</v>
      </c>
      <c r="J127" s="636"/>
      <c r="K127" s="669"/>
      <c r="L127" s="3062">
        <f t="shared" si="8"/>
        <v>553735</v>
      </c>
      <c r="M127" s="632">
        <v>15500</v>
      </c>
      <c r="N127" s="151">
        <v>0</v>
      </c>
      <c r="O127" s="3669"/>
      <c r="P127" s="669"/>
      <c r="Q127" s="2396">
        <f t="shared" si="9"/>
        <v>15500</v>
      </c>
      <c r="R127" s="456">
        <v>110958</v>
      </c>
      <c r="S127" s="2942">
        <v>184385</v>
      </c>
      <c r="T127" s="473"/>
      <c r="U127" s="3063"/>
      <c r="V127" s="2369">
        <f t="shared" si="10"/>
        <v>295343</v>
      </c>
      <c r="W127" s="2942">
        <v>295343</v>
      </c>
      <c r="X127" s="456">
        <v>0</v>
      </c>
      <c r="Y127" s="2942">
        <v>28550</v>
      </c>
      <c r="Z127" s="1338"/>
      <c r="AA127" s="3059"/>
      <c r="AB127" s="2369">
        <f t="shared" si="11"/>
        <v>28550</v>
      </c>
      <c r="AC127" s="2944">
        <v>75990</v>
      </c>
    </row>
    <row r="128" spans="1:29">
      <c r="A128" s="53">
        <f t="shared" si="14"/>
        <v>2002.11</v>
      </c>
      <c r="B128" s="2395">
        <f t="shared" si="12"/>
        <v>654080</v>
      </c>
      <c r="C128" s="2396">
        <f t="shared" si="13"/>
        <v>189250</v>
      </c>
      <c r="D128" s="386">
        <v>880920</v>
      </c>
      <c r="E128" s="3669"/>
      <c r="F128" s="151">
        <v>414593</v>
      </c>
      <c r="G128" s="3061"/>
      <c r="H128" s="632">
        <v>267872</v>
      </c>
      <c r="I128" s="3504">
        <v>386208</v>
      </c>
      <c r="J128" s="636"/>
      <c r="K128" s="669"/>
      <c r="L128" s="3062">
        <f t="shared" si="8"/>
        <v>654080</v>
      </c>
      <c r="M128" s="635">
        <v>0</v>
      </c>
      <c r="N128" s="151">
        <v>189250</v>
      </c>
      <c r="O128" s="3669"/>
      <c r="P128" s="669"/>
      <c r="Q128" s="2396">
        <f t="shared" si="9"/>
        <v>189250</v>
      </c>
      <c r="R128" s="456">
        <v>79822</v>
      </c>
      <c r="S128" s="2942">
        <v>213875</v>
      </c>
      <c r="T128" s="473"/>
      <c r="U128" s="3063"/>
      <c r="V128" s="2369">
        <f t="shared" si="10"/>
        <v>293697</v>
      </c>
      <c r="W128" s="2942">
        <v>319020</v>
      </c>
      <c r="X128" s="456">
        <v>2050</v>
      </c>
      <c r="Y128" s="2942">
        <v>25680</v>
      </c>
      <c r="Z128" s="1338"/>
      <c r="AA128" s="3059"/>
      <c r="AB128" s="2369">
        <f t="shared" si="11"/>
        <v>27730</v>
      </c>
      <c r="AC128" s="2944">
        <v>47570</v>
      </c>
    </row>
    <row r="129" spans="1:29">
      <c r="A129" s="53">
        <f t="shared" si="14"/>
        <v>2002.12</v>
      </c>
      <c r="B129" s="2395">
        <f t="shared" si="12"/>
        <v>508174</v>
      </c>
      <c r="C129" s="2396">
        <f t="shared" si="13"/>
        <v>440897</v>
      </c>
      <c r="D129" s="386">
        <v>619626</v>
      </c>
      <c r="E129" s="3669"/>
      <c r="F129" s="151">
        <v>605895</v>
      </c>
      <c r="G129" s="3061"/>
      <c r="H129" s="632">
        <v>165208</v>
      </c>
      <c r="I129" s="3504">
        <v>342966</v>
      </c>
      <c r="J129" s="636"/>
      <c r="K129" s="669"/>
      <c r="L129" s="3062">
        <f t="shared" si="8"/>
        <v>508174</v>
      </c>
      <c r="M129" s="632">
        <v>134760</v>
      </c>
      <c r="N129" s="151">
        <v>306137</v>
      </c>
      <c r="O129" s="3669"/>
      <c r="P129" s="669"/>
      <c r="Q129" s="2396">
        <f t="shared" si="9"/>
        <v>440897</v>
      </c>
      <c r="R129" s="456">
        <v>53513</v>
      </c>
      <c r="S129" s="2942">
        <v>237054</v>
      </c>
      <c r="T129" s="473"/>
      <c r="U129" s="3063"/>
      <c r="V129" s="2369">
        <f t="shared" si="10"/>
        <v>290567</v>
      </c>
      <c r="W129" s="2942">
        <v>297200</v>
      </c>
      <c r="X129" s="456">
        <v>20937</v>
      </c>
      <c r="Y129" s="2942">
        <v>33700</v>
      </c>
      <c r="Z129" s="1338"/>
      <c r="AA129" s="3059"/>
      <c r="AB129" s="2369">
        <f t="shared" si="11"/>
        <v>54637</v>
      </c>
      <c r="AC129" s="2944">
        <v>120250</v>
      </c>
    </row>
    <row r="130" spans="1:29">
      <c r="A130" s="53">
        <f t="shared" si="14"/>
        <v>2003.01</v>
      </c>
      <c r="B130" s="2395">
        <f t="shared" si="12"/>
        <v>499624</v>
      </c>
      <c r="C130" s="2396">
        <f t="shared" si="13"/>
        <v>348211</v>
      </c>
      <c r="D130" s="386">
        <v>762298</v>
      </c>
      <c r="E130" s="3669"/>
      <c r="F130" s="151">
        <v>929398</v>
      </c>
      <c r="G130" s="3061"/>
      <c r="H130" s="632">
        <v>266830</v>
      </c>
      <c r="I130" s="3504">
        <v>232794</v>
      </c>
      <c r="J130" s="636"/>
      <c r="K130" s="669"/>
      <c r="L130" s="3062">
        <f t="shared" si="8"/>
        <v>499624</v>
      </c>
      <c r="M130" s="632">
        <v>60837</v>
      </c>
      <c r="N130" s="151">
        <v>287374</v>
      </c>
      <c r="O130" s="3669"/>
      <c r="P130" s="669"/>
      <c r="Q130" s="2396">
        <f t="shared" si="9"/>
        <v>348211</v>
      </c>
      <c r="R130" s="456">
        <v>117588</v>
      </c>
      <c r="S130" s="2942">
        <v>200163</v>
      </c>
      <c r="T130" s="473"/>
      <c r="U130" s="3063"/>
      <c r="V130" s="2369">
        <f t="shared" si="10"/>
        <v>317751</v>
      </c>
      <c r="W130" s="2942">
        <v>334400</v>
      </c>
      <c r="X130" s="456">
        <v>4528</v>
      </c>
      <c r="Y130" s="2942">
        <v>30737</v>
      </c>
      <c r="Z130" s="1338"/>
      <c r="AA130" s="3059"/>
      <c r="AB130" s="2369">
        <f t="shared" si="11"/>
        <v>35265</v>
      </c>
      <c r="AC130" s="2944">
        <v>72960</v>
      </c>
    </row>
    <row r="131" spans="1:29">
      <c r="A131" s="53">
        <f t="shared" si="14"/>
        <v>2003.02</v>
      </c>
      <c r="B131" s="2395">
        <f t="shared" si="12"/>
        <v>885026</v>
      </c>
      <c r="C131" s="2396">
        <f t="shared" si="13"/>
        <v>176076</v>
      </c>
      <c r="D131" s="386">
        <v>1104263</v>
      </c>
      <c r="E131" s="3669"/>
      <c r="F131" s="151">
        <v>787742</v>
      </c>
      <c r="G131" s="3061"/>
      <c r="H131" s="632">
        <v>355529</v>
      </c>
      <c r="I131" s="3504">
        <v>529497</v>
      </c>
      <c r="J131" s="636"/>
      <c r="K131" s="669"/>
      <c r="L131" s="3062">
        <f t="shared" si="8"/>
        <v>885026</v>
      </c>
      <c r="M131" s="632">
        <v>54080</v>
      </c>
      <c r="N131" s="151">
        <v>121996</v>
      </c>
      <c r="O131" s="3669"/>
      <c r="P131" s="669"/>
      <c r="Q131" s="2396">
        <f t="shared" si="9"/>
        <v>176076</v>
      </c>
      <c r="R131" s="456">
        <v>83529</v>
      </c>
      <c r="S131" s="2942">
        <v>150384</v>
      </c>
      <c r="T131" s="473"/>
      <c r="U131" s="3063"/>
      <c r="V131" s="2369">
        <f t="shared" si="10"/>
        <v>233913</v>
      </c>
      <c r="W131" s="2942">
        <v>239410</v>
      </c>
      <c r="X131" s="456">
        <v>20801</v>
      </c>
      <c r="Y131" s="2942">
        <v>83135</v>
      </c>
      <c r="Z131" s="1338"/>
      <c r="AA131" s="3059"/>
      <c r="AB131" s="2369">
        <f t="shared" si="11"/>
        <v>103936</v>
      </c>
      <c r="AC131" s="2944">
        <v>166710</v>
      </c>
    </row>
    <row r="132" spans="1:29">
      <c r="A132" s="53">
        <f t="shared" si="14"/>
        <v>2003.03</v>
      </c>
      <c r="B132" s="2395">
        <f t="shared" si="12"/>
        <v>1232586</v>
      </c>
      <c r="C132" s="2396">
        <f t="shared" si="13"/>
        <v>135863</v>
      </c>
      <c r="D132" s="386">
        <v>1595943</v>
      </c>
      <c r="E132" s="3669"/>
      <c r="F132" s="151">
        <v>484346</v>
      </c>
      <c r="G132" s="3061"/>
      <c r="H132" s="632">
        <v>507165</v>
      </c>
      <c r="I132" s="3504">
        <v>725421</v>
      </c>
      <c r="J132" s="636"/>
      <c r="K132" s="669"/>
      <c r="L132" s="3062">
        <f t="shared" si="8"/>
        <v>1232586</v>
      </c>
      <c r="M132" s="632">
        <v>72080</v>
      </c>
      <c r="N132" s="151">
        <v>63783</v>
      </c>
      <c r="O132" s="3669"/>
      <c r="P132" s="669"/>
      <c r="Q132" s="2396">
        <f t="shared" si="9"/>
        <v>135863</v>
      </c>
      <c r="R132" s="456">
        <v>87365</v>
      </c>
      <c r="S132" s="2942">
        <v>191781</v>
      </c>
      <c r="T132" s="473"/>
      <c r="U132" s="3063"/>
      <c r="V132" s="2369">
        <f t="shared" si="10"/>
        <v>279146</v>
      </c>
      <c r="W132" s="2942">
        <v>280650</v>
      </c>
      <c r="X132" s="456">
        <v>0</v>
      </c>
      <c r="Y132" s="2942">
        <v>19230</v>
      </c>
      <c r="Z132" s="1338"/>
      <c r="AA132" s="3059"/>
      <c r="AB132" s="2369">
        <f t="shared" si="11"/>
        <v>19230</v>
      </c>
      <c r="AC132" s="2944">
        <v>88430</v>
      </c>
    </row>
    <row r="133" spans="1:29">
      <c r="A133" s="53">
        <f t="shared" si="14"/>
        <v>2003.04</v>
      </c>
      <c r="B133" s="2395">
        <f t="shared" si="12"/>
        <v>1254626</v>
      </c>
      <c r="C133" s="2396">
        <f t="shared" si="13"/>
        <v>130891</v>
      </c>
      <c r="D133" s="386">
        <v>1736573</v>
      </c>
      <c r="E133" s="3669"/>
      <c r="F133" s="151">
        <v>431078</v>
      </c>
      <c r="G133" s="3061"/>
      <c r="H133" s="632">
        <v>453872</v>
      </c>
      <c r="I133" s="3504">
        <v>800754</v>
      </c>
      <c r="J133" s="636"/>
      <c r="K133" s="669"/>
      <c r="L133" s="3062">
        <f t="shared" si="8"/>
        <v>1254626</v>
      </c>
      <c r="M133" s="632">
        <v>68245</v>
      </c>
      <c r="N133" s="151">
        <v>62646</v>
      </c>
      <c r="O133" s="3669"/>
      <c r="P133" s="669"/>
      <c r="Q133" s="2396">
        <f t="shared" si="9"/>
        <v>130891</v>
      </c>
      <c r="R133" s="456">
        <v>47121</v>
      </c>
      <c r="S133" s="2942">
        <v>229693</v>
      </c>
      <c r="T133" s="473"/>
      <c r="U133" s="3063"/>
      <c r="V133" s="2369">
        <f t="shared" si="10"/>
        <v>276814</v>
      </c>
      <c r="W133" s="2942">
        <v>276814</v>
      </c>
      <c r="X133" s="456">
        <v>13750</v>
      </c>
      <c r="Y133" s="2942">
        <v>48237</v>
      </c>
      <c r="Z133" s="1338"/>
      <c r="AA133" s="3059"/>
      <c r="AB133" s="2369">
        <f t="shared" si="11"/>
        <v>61987</v>
      </c>
      <c r="AC133" s="2944">
        <v>77280</v>
      </c>
    </row>
    <row r="134" spans="1:29">
      <c r="A134" s="53">
        <f t="shared" si="14"/>
        <v>2003.05</v>
      </c>
      <c r="B134" s="2395">
        <f t="shared" si="12"/>
        <v>1066035</v>
      </c>
      <c r="C134" s="2396">
        <f t="shared" si="13"/>
        <v>92301</v>
      </c>
      <c r="D134" s="386">
        <v>1426263</v>
      </c>
      <c r="E134" s="3669"/>
      <c r="F134" s="151">
        <v>525031</v>
      </c>
      <c r="G134" s="3061"/>
      <c r="H134" s="632">
        <v>501406</v>
      </c>
      <c r="I134" s="3504">
        <v>564629</v>
      </c>
      <c r="J134" s="636"/>
      <c r="K134" s="669"/>
      <c r="L134" s="3062">
        <f t="shared" si="8"/>
        <v>1066035</v>
      </c>
      <c r="M134" s="632">
        <v>37660</v>
      </c>
      <c r="N134" s="151">
        <v>54641</v>
      </c>
      <c r="O134" s="3669"/>
      <c r="P134" s="669"/>
      <c r="Q134" s="2396">
        <f t="shared" si="9"/>
        <v>92301</v>
      </c>
      <c r="R134" s="456">
        <v>111423</v>
      </c>
      <c r="S134" s="2942">
        <v>325028</v>
      </c>
      <c r="T134" s="473"/>
      <c r="U134" s="3063"/>
      <c r="V134" s="2369">
        <f t="shared" si="10"/>
        <v>436451</v>
      </c>
      <c r="W134" s="2942">
        <v>438430</v>
      </c>
      <c r="X134" s="456">
        <v>15000</v>
      </c>
      <c r="Y134" s="2942">
        <v>22900</v>
      </c>
      <c r="Z134" s="1338"/>
      <c r="AA134" s="3059"/>
      <c r="AB134" s="2369">
        <f t="shared" si="11"/>
        <v>37900</v>
      </c>
      <c r="AC134" s="2944">
        <v>87110</v>
      </c>
    </row>
    <row r="135" spans="1:29">
      <c r="A135" s="53">
        <f t="shared" si="14"/>
        <v>2003.06</v>
      </c>
      <c r="B135" s="2395">
        <f t="shared" si="12"/>
        <v>1009143</v>
      </c>
      <c r="C135" s="2396">
        <f t="shared" si="13"/>
        <v>68921</v>
      </c>
      <c r="D135" s="386">
        <v>1254390</v>
      </c>
      <c r="E135" s="3669"/>
      <c r="F135" s="151">
        <v>405375</v>
      </c>
      <c r="G135" s="3061"/>
      <c r="H135" s="632">
        <v>444558</v>
      </c>
      <c r="I135" s="3504">
        <v>564585</v>
      </c>
      <c r="J135" s="636"/>
      <c r="K135" s="669"/>
      <c r="L135" s="3062">
        <f t="shared" si="8"/>
        <v>1009143</v>
      </c>
      <c r="M135" s="632">
        <v>63640</v>
      </c>
      <c r="N135" s="151">
        <v>5281</v>
      </c>
      <c r="O135" s="3669"/>
      <c r="P135" s="669"/>
      <c r="Q135" s="2396">
        <f t="shared" si="9"/>
        <v>68921</v>
      </c>
      <c r="R135" s="456">
        <v>102374</v>
      </c>
      <c r="S135" s="2942">
        <v>280614</v>
      </c>
      <c r="T135" s="473"/>
      <c r="U135" s="3063"/>
      <c r="V135" s="2369">
        <f t="shared" si="10"/>
        <v>382988</v>
      </c>
      <c r="W135" s="2942">
        <v>425440</v>
      </c>
      <c r="X135" s="456">
        <v>20750</v>
      </c>
      <c r="Y135" s="2942">
        <v>43601</v>
      </c>
      <c r="Z135" s="1338"/>
      <c r="AA135" s="3059"/>
      <c r="AB135" s="2369">
        <f t="shared" si="11"/>
        <v>64351</v>
      </c>
      <c r="AC135" s="2944">
        <v>138760</v>
      </c>
    </row>
    <row r="136" spans="1:29">
      <c r="A136" s="53">
        <f t="shared" si="14"/>
        <v>2003.07</v>
      </c>
      <c r="B136" s="2395">
        <f t="shared" si="12"/>
        <v>732377</v>
      </c>
      <c r="C136" s="2396">
        <f t="shared" si="13"/>
        <v>5470</v>
      </c>
      <c r="D136" s="386">
        <v>979390</v>
      </c>
      <c r="E136" s="3669"/>
      <c r="F136" s="151">
        <v>434772</v>
      </c>
      <c r="G136" s="3061"/>
      <c r="H136" s="632">
        <v>342317</v>
      </c>
      <c r="I136" s="3504">
        <v>390060</v>
      </c>
      <c r="J136" s="636"/>
      <c r="K136" s="669"/>
      <c r="L136" s="3062">
        <f t="shared" si="8"/>
        <v>732377</v>
      </c>
      <c r="M136" s="632">
        <v>2500</v>
      </c>
      <c r="N136" s="151">
        <v>2970</v>
      </c>
      <c r="O136" s="3669"/>
      <c r="P136" s="669"/>
      <c r="Q136" s="2396">
        <f t="shared" si="9"/>
        <v>5470</v>
      </c>
      <c r="R136" s="456">
        <v>108582</v>
      </c>
      <c r="S136" s="2942">
        <v>346971</v>
      </c>
      <c r="T136" s="473"/>
      <c r="U136" s="3063"/>
      <c r="V136" s="2369">
        <f t="shared" si="10"/>
        <v>455553</v>
      </c>
      <c r="W136" s="2942">
        <v>479820</v>
      </c>
      <c r="X136" s="456">
        <v>17370</v>
      </c>
      <c r="Y136" s="2942">
        <v>21008</v>
      </c>
      <c r="Z136" s="1338"/>
      <c r="AA136" s="3059"/>
      <c r="AB136" s="2369">
        <f t="shared" si="11"/>
        <v>38378</v>
      </c>
      <c r="AC136" s="2944">
        <v>88320</v>
      </c>
    </row>
    <row r="137" spans="1:29">
      <c r="A137" s="53">
        <f t="shared" si="14"/>
        <v>2003.08</v>
      </c>
      <c r="B137" s="2395">
        <f t="shared" si="12"/>
        <v>408704</v>
      </c>
      <c r="C137" s="2396">
        <f t="shared" si="13"/>
        <v>27895</v>
      </c>
      <c r="D137" s="386">
        <v>501579</v>
      </c>
      <c r="E137" s="3669"/>
      <c r="F137" s="151">
        <v>380410</v>
      </c>
      <c r="G137" s="3061"/>
      <c r="H137" s="632">
        <v>181807</v>
      </c>
      <c r="I137" s="3504">
        <v>226897</v>
      </c>
      <c r="J137" s="636"/>
      <c r="K137" s="669"/>
      <c r="L137" s="3062">
        <f t="shared" si="8"/>
        <v>408704</v>
      </c>
      <c r="M137" s="632">
        <v>27895</v>
      </c>
      <c r="N137" s="151">
        <v>0</v>
      </c>
      <c r="O137" s="3669"/>
      <c r="P137" s="669"/>
      <c r="Q137" s="2396">
        <f t="shared" si="9"/>
        <v>27895</v>
      </c>
      <c r="R137" s="456">
        <v>28400</v>
      </c>
      <c r="S137" s="2942">
        <v>217976</v>
      </c>
      <c r="T137" s="473"/>
      <c r="U137" s="3063"/>
      <c r="V137" s="2369">
        <f t="shared" si="10"/>
        <v>246376</v>
      </c>
      <c r="W137" s="2942">
        <v>253480</v>
      </c>
      <c r="X137" s="456">
        <v>0</v>
      </c>
      <c r="Y137" s="2942">
        <v>27735</v>
      </c>
      <c r="Z137" s="1338"/>
      <c r="AA137" s="3059"/>
      <c r="AB137" s="2369">
        <f t="shared" si="11"/>
        <v>27735</v>
      </c>
      <c r="AC137" s="2944">
        <v>68240</v>
      </c>
    </row>
    <row r="138" spans="1:29">
      <c r="A138" s="53">
        <f t="shared" si="14"/>
        <v>2003.09</v>
      </c>
      <c r="B138" s="2395">
        <f t="shared" si="12"/>
        <v>356625</v>
      </c>
      <c r="C138" s="2396">
        <f t="shared" si="13"/>
        <v>5048</v>
      </c>
      <c r="D138" s="386">
        <v>527402</v>
      </c>
      <c r="E138" s="3669"/>
      <c r="F138" s="151">
        <v>368102</v>
      </c>
      <c r="G138" s="3061"/>
      <c r="H138" s="632">
        <v>152544</v>
      </c>
      <c r="I138" s="3504">
        <v>204081</v>
      </c>
      <c r="J138" s="636"/>
      <c r="K138" s="669"/>
      <c r="L138" s="3062">
        <f t="shared" ref="L138:L201" si="15">SUM(H138:K138)</f>
        <v>356625</v>
      </c>
      <c r="M138" s="632">
        <v>0</v>
      </c>
      <c r="N138" s="151">
        <v>5048</v>
      </c>
      <c r="O138" s="3669"/>
      <c r="P138" s="669"/>
      <c r="Q138" s="2396">
        <f t="shared" ref="Q138:Q201" si="16">SUM(M138:P138)</f>
        <v>5048</v>
      </c>
      <c r="R138" s="456">
        <v>60160</v>
      </c>
      <c r="S138" s="2942">
        <v>306013</v>
      </c>
      <c r="T138" s="473"/>
      <c r="U138" s="3063"/>
      <c r="V138" s="2369">
        <f t="shared" ref="V138:V201" si="17">SUM(R138:U138)</f>
        <v>366173</v>
      </c>
      <c r="W138" s="2942">
        <v>395880</v>
      </c>
      <c r="X138" s="456">
        <v>0</v>
      </c>
      <c r="Y138" s="2942">
        <v>5000</v>
      </c>
      <c r="Z138" s="1338"/>
      <c r="AA138" s="3059"/>
      <c r="AB138" s="2369">
        <f t="shared" ref="AB138:AB201" si="18">SUM(X138:AA138)</f>
        <v>5000</v>
      </c>
      <c r="AC138" s="2944">
        <v>66230</v>
      </c>
    </row>
    <row r="139" spans="1:29">
      <c r="A139" s="53">
        <f t="shared" si="14"/>
        <v>2003.1</v>
      </c>
      <c r="B139" s="2395">
        <f t="shared" si="12"/>
        <v>528777</v>
      </c>
      <c r="C139" s="2396">
        <f t="shared" si="13"/>
        <v>91036</v>
      </c>
      <c r="D139" s="386">
        <v>617601</v>
      </c>
      <c r="E139" s="3669"/>
      <c r="F139" s="151">
        <v>371097</v>
      </c>
      <c r="G139" s="3061"/>
      <c r="H139" s="632">
        <v>205311</v>
      </c>
      <c r="I139" s="3504">
        <v>323466</v>
      </c>
      <c r="J139" s="636"/>
      <c r="K139" s="669"/>
      <c r="L139" s="3062">
        <f t="shared" si="15"/>
        <v>528777</v>
      </c>
      <c r="M139" s="632">
        <v>91036</v>
      </c>
      <c r="N139" s="151">
        <v>0</v>
      </c>
      <c r="O139" s="3669"/>
      <c r="P139" s="669"/>
      <c r="Q139" s="2396">
        <f t="shared" si="16"/>
        <v>91036</v>
      </c>
      <c r="R139" s="456">
        <v>58265</v>
      </c>
      <c r="S139" s="2942">
        <v>385666</v>
      </c>
      <c r="T139" s="473"/>
      <c r="U139" s="3063"/>
      <c r="V139" s="2369">
        <f t="shared" si="17"/>
        <v>443931</v>
      </c>
      <c r="W139" s="2942">
        <v>464600</v>
      </c>
      <c r="X139" s="456">
        <v>3050</v>
      </c>
      <c r="Y139" s="2942">
        <v>12460</v>
      </c>
      <c r="Z139" s="1338"/>
      <c r="AA139" s="3059"/>
      <c r="AB139" s="2369">
        <f t="shared" si="18"/>
        <v>15510</v>
      </c>
      <c r="AC139" s="2944">
        <v>54040</v>
      </c>
    </row>
    <row r="140" spans="1:29">
      <c r="A140" s="53">
        <f t="shared" si="14"/>
        <v>2003.11</v>
      </c>
      <c r="B140" s="2395">
        <f t="shared" ref="B140:B203" si="19">L140</f>
        <v>498945</v>
      </c>
      <c r="C140" s="2396">
        <f t="shared" ref="C140:C203" si="20">Q140</f>
        <v>113347</v>
      </c>
      <c r="D140" s="386">
        <v>587279</v>
      </c>
      <c r="E140" s="3669"/>
      <c r="F140" s="151">
        <v>330998</v>
      </c>
      <c r="G140" s="3061"/>
      <c r="H140" s="632">
        <v>206086</v>
      </c>
      <c r="I140" s="3504">
        <v>292859</v>
      </c>
      <c r="J140" s="636"/>
      <c r="K140" s="669"/>
      <c r="L140" s="3062">
        <f t="shared" si="15"/>
        <v>498945</v>
      </c>
      <c r="M140" s="632">
        <v>0</v>
      </c>
      <c r="N140" s="151">
        <v>113347</v>
      </c>
      <c r="O140" s="3669"/>
      <c r="P140" s="669"/>
      <c r="Q140" s="2396">
        <f t="shared" si="16"/>
        <v>113347</v>
      </c>
      <c r="R140" s="456">
        <v>135696</v>
      </c>
      <c r="S140" s="2942">
        <v>340204</v>
      </c>
      <c r="T140" s="473"/>
      <c r="U140" s="3063"/>
      <c r="V140" s="2369">
        <f t="shared" si="17"/>
        <v>475900</v>
      </c>
      <c r="W140" s="2942">
        <v>489250</v>
      </c>
      <c r="X140" s="456">
        <v>1500</v>
      </c>
      <c r="Y140" s="2942">
        <v>7341</v>
      </c>
      <c r="Z140" s="1338"/>
      <c r="AA140" s="3059"/>
      <c r="AB140" s="2369">
        <f t="shared" si="18"/>
        <v>8841</v>
      </c>
      <c r="AC140" s="2944">
        <v>88480</v>
      </c>
    </row>
    <row r="141" spans="1:29">
      <c r="A141" s="53">
        <f t="shared" si="14"/>
        <v>2003.12</v>
      </c>
      <c r="B141" s="2395">
        <f t="shared" si="19"/>
        <v>451457</v>
      </c>
      <c r="C141" s="2396">
        <f t="shared" si="20"/>
        <v>332707</v>
      </c>
      <c r="D141" s="386">
        <v>555012</v>
      </c>
      <c r="E141" s="3669"/>
      <c r="F141" s="151">
        <v>588311</v>
      </c>
      <c r="G141" s="3061"/>
      <c r="H141" s="632">
        <v>191065</v>
      </c>
      <c r="I141" s="3504">
        <v>260392</v>
      </c>
      <c r="J141" s="636"/>
      <c r="K141" s="669"/>
      <c r="L141" s="3062">
        <f t="shared" si="15"/>
        <v>451457</v>
      </c>
      <c r="M141" s="635">
        <v>0</v>
      </c>
      <c r="N141" s="151">
        <v>332707</v>
      </c>
      <c r="O141" s="3669"/>
      <c r="P141" s="669"/>
      <c r="Q141" s="2396">
        <f t="shared" si="16"/>
        <v>332707</v>
      </c>
      <c r="R141" s="456">
        <v>62236</v>
      </c>
      <c r="S141" s="2942">
        <v>189915</v>
      </c>
      <c r="T141" s="473"/>
      <c r="U141" s="3063"/>
      <c r="V141" s="2369">
        <f t="shared" si="17"/>
        <v>252151</v>
      </c>
      <c r="W141" s="2942">
        <v>259290</v>
      </c>
      <c r="X141" s="456">
        <v>7015</v>
      </c>
      <c r="Y141" s="2942">
        <v>6015</v>
      </c>
      <c r="Z141" s="1338"/>
      <c r="AA141" s="3059"/>
      <c r="AB141" s="2369">
        <f t="shared" si="18"/>
        <v>13030</v>
      </c>
      <c r="AC141" s="2944">
        <v>50740</v>
      </c>
    </row>
    <row r="142" spans="1:29">
      <c r="A142" s="53">
        <f t="shared" si="14"/>
        <v>2004.01</v>
      </c>
      <c r="B142" s="2395">
        <f t="shared" si="19"/>
        <v>375543</v>
      </c>
      <c r="C142" s="2396">
        <f t="shared" si="20"/>
        <v>464379</v>
      </c>
      <c r="D142" s="386">
        <v>392365</v>
      </c>
      <c r="E142" s="3669"/>
      <c r="F142" s="151">
        <v>1020975</v>
      </c>
      <c r="G142" s="3061"/>
      <c r="H142" s="632">
        <v>209429</v>
      </c>
      <c r="I142" s="3504">
        <v>166114</v>
      </c>
      <c r="J142" s="636"/>
      <c r="K142" s="669"/>
      <c r="L142" s="3062">
        <f t="shared" si="15"/>
        <v>375543</v>
      </c>
      <c r="M142" s="632">
        <v>140665</v>
      </c>
      <c r="N142" s="151">
        <v>323714</v>
      </c>
      <c r="O142" s="3669"/>
      <c r="P142" s="669"/>
      <c r="Q142" s="2396">
        <f t="shared" si="16"/>
        <v>464379</v>
      </c>
      <c r="R142" s="456">
        <v>53999</v>
      </c>
      <c r="S142" s="2942">
        <v>215089</v>
      </c>
      <c r="T142" s="473"/>
      <c r="U142" s="3063"/>
      <c r="V142" s="2369">
        <f t="shared" si="17"/>
        <v>269088</v>
      </c>
      <c r="W142" s="2942">
        <v>274090</v>
      </c>
      <c r="X142" s="456">
        <v>2000</v>
      </c>
      <c r="Y142" s="2942">
        <v>10300</v>
      </c>
      <c r="Z142" s="1338"/>
      <c r="AA142" s="3059"/>
      <c r="AB142" s="2369">
        <f t="shared" si="18"/>
        <v>12300</v>
      </c>
      <c r="AC142" s="2944">
        <v>58550</v>
      </c>
    </row>
    <row r="143" spans="1:29">
      <c r="A143" s="53">
        <f t="shared" si="14"/>
        <v>2004.02</v>
      </c>
      <c r="B143" s="2395">
        <f t="shared" si="19"/>
        <v>554354</v>
      </c>
      <c r="C143" s="2396">
        <f t="shared" si="20"/>
        <v>259890</v>
      </c>
      <c r="D143" s="386">
        <v>716116</v>
      </c>
      <c r="E143" s="3669"/>
      <c r="F143" s="151">
        <v>589979</v>
      </c>
      <c r="G143" s="3061"/>
      <c r="H143" s="632">
        <v>240412</v>
      </c>
      <c r="I143" s="3504">
        <v>313942</v>
      </c>
      <c r="J143" s="636"/>
      <c r="K143" s="669"/>
      <c r="L143" s="3062">
        <f t="shared" si="15"/>
        <v>554354</v>
      </c>
      <c r="M143" s="632">
        <v>84540</v>
      </c>
      <c r="N143" s="151">
        <v>175350</v>
      </c>
      <c r="O143" s="3669"/>
      <c r="P143" s="669"/>
      <c r="Q143" s="2396">
        <f t="shared" si="16"/>
        <v>259890</v>
      </c>
      <c r="R143" s="456">
        <v>40250</v>
      </c>
      <c r="S143" s="2942">
        <v>377309</v>
      </c>
      <c r="T143" s="473"/>
      <c r="U143" s="3063"/>
      <c r="V143" s="2369">
        <f t="shared" si="17"/>
        <v>417559</v>
      </c>
      <c r="W143" s="2942">
        <v>433360</v>
      </c>
      <c r="X143" s="456">
        <v>3250</v>
      </c>
      <c r="Y143" s="2942">
        <v>31331</v>
      </c>
      <c r="Z143" s="1338"/>
      <c r="AA143" s="3059"/>
      <c r="AB143" s="2369">
        <f t="shared" si="18"/>
        <v>34581</v>
      </c>
      <c r="AC143" s="2944">
        <v>55210</v>
      </c>
    </row>
    <row r="144" spans="1:29">
      <c r="A144" s="53">
        <f t="shared" si="14"/>
        <v>2004.03</v>
      </c>
      <c r="B144" s="2395">
        <f t="shared" si="19"/>
        <v>871621</v>
      </c>
      <c r="C144" s="2396">
        <f t="shared" si="20"/>
        <v>376859</v>
      </c>
      <c r="D144" s="386">
        <v>1072720</v>
      </c>
      <c r="E144" s="3669"/>
      <c r="F144" s="151">
        <v>838853</v>
      </c>
      <c r="G144" s="3061"/>
      <c r="H144" s="632">
        <v>331108</v>
      </c>
      <c r="I144" s="3504">
        <v>540513</v>
      </c>
      <c r="J144" s="636"/>
      <c r="K144" s="669"/>
      <c r="L144" s="3062">
        <f t="shared" si="15"/>
        <v>871621</v>
      </c>
      <c r="M144" s="632">
        <v>147721</v>
      </c>
      <c r="N144" s="151">
        <v>229138</v>
      </c>
      <c r="O144" s="3669"/>
      <c r="P144" s="669"/>
      <c r="Q144" s="2396">
        <f t="shared" si="16"/>
        <v>376859</v>
      </c>
      <c r="R144" s="456">
        <v>66137</v>
      </c>
      <c r="S144" s="2942">
        <v>162794</v>
      </c>
      <c r="T144" s="473"/>
      <c r="U144" s="3063"/>
      <c r="V144" s="2369">
        <f t="shared" si="17"/>
        <v>228931</v>
      </c>
      <c r="W144" s="2942">
        <v>230340</v>
      </c>
      <c r="X144" s="456">
        <v>11100</v>
      </c>
      <c r="Y144" s="2942">
        <v>60000</v>
      </c>
      <c r="Z144" s="1338"/>
      <c r="AA144" s="3059"/>
      <c r="AB144" s="2369">
        <f t="shared" si="18"/>
        <v>71100</v>
      </c>
      <c r="AC144" s="2944">
        <v>124980</v>
      </c>
    </row>
    <row r="145" spans="1:29">
      <c r="A145" s="53">
        <f t="shared" si="14"/>
        <v>2004.04</v>
      </c>
      <c r="B145" s="2395">
        <f t="shared" si="19"/>
        <v>1725667.905</v>
      </c>
      <c r="C145" s="2396">
        <f t="shared" si="20"/>
        <v>505010.799999999</v>
      </c>
      <c r="D145" s="386">
        <v>2182770</v>
      </c>
      <c r="E145" s="3669"/>
      <c r="F145" s="151">
        <v>953181</v>
      </c>
      <c r="G145" s="3061"/>
      <c r="H145" s="632">
        <v>704834.90500000003</v>
      </c>
      <c r="I145" s="3504">
        <v>1020833</v>
      </c>
      <c r="J145" s="636"/>
      <c r="K145" s="669"/>
      <c r="L145" s="3062">
        <f t="shared" si="15"/>
        <v>1725667.905</v>
      </c>
      <c r="M145" s="632">
        <v>261341.799999999</v>
      </c>
      <c r="N145" s="151">
        <v>243669</v>
      </c>
      <c r="O145" s="3669"/>
      <c r="P145" s="669"/>
      <c r="Q145" s="2396">
        <f t="shared" si="16"/>
        <v>505010.799999999</v>
      </c>
      <c r="R145" s="456">
        <v>59965</v>
      </c>
      <c r="S145" s="2942">
        <v>272487</v>
      </c>
      <c r="T145" s="473"/>
      <c r="U145" s="3063"/>
      <c r="V145" s="2369">
        <f t="shared" si="17"/>
        <v>332452</v>
      </c>
      <c r="W145" s="2942">
        <v>334740</v>
      </c>
      <c r="X145" s="456">
        <v>750</v>
      </c>
      <c r="Y145" s="2942">
        <v>39349</v>
      </c>
      <c r="Z145" s="1338"/>
      <c r="AA145" s="3059"/>
      <c r="AB145" s="2369">
        <f t="shared" si="18"/>
        <v>40099</v>
      </c>
      <c r="AC145" s="2944">
        <v>131590</v>
      </c>
    </row>
    <row r="146" spans="1:29">
      <c r="A146" s="53">
        <f t="shared" si="14"/>
        <v>2004.05</v>
      </c>
      <c r="B146" s="2395">
        <f t="shared" si="19"/>
        <v>1163090</v>
      </c>
      <c r="C146" s="2396">
        <f t="shared" si="20"/>
        <v>198317</v>
      </c>
      <c r="D146" s="386">
        <v>1469131</v>
      </c>
      <c r="E146" s="3669"/>
      <c r="F146" s="151">
        <v>654282</v>
      </c>
      <c r="G146" s="3061"/>
      <c r="H146" s="632">
        <v>483868</v>
      </c>
      <c r="I146" s="3504">
        <v>679222</v>
      </c>
      <c r="J146" s="636"/>
      <c r="K146" s="669"/>
      <c r="L146" s="3062">
        <f t="shared" si="15"/>
        <v>1163090</v>
      </c>
      <c r="M146" s="632">
        <v>134700</v>
      </c>
      <c r="N146" s="151">
        <v>63617</v>
      </c>
      <c r="O146" s="3669"/>
      <c r="P146" s="669"/>
      <c r="Q146" s="2396">
        <f t="shared" si="16"/>
        <v>198317</v>
      </c>
      <c r="R146" s="456">
        <v>122080</v>
      </c>
      <c r="S146" s="2942">
        <v>349592</v>
      </c>
      <c r="T146" s="473"/>
      <c r="U146" s="3063"/>
      <c r="V146" s="2369">
        <f t="shared" si="17"/>
        <v>471672</v>
      </c>
      <c r="W146" s="2942">
        <v>484670</v>
      </c>
      <c r="X146" s="456">
        <v>5500</v>
      </c>
      <c r="Y146" s="2942">
        <v>17800</v>
      </c>
      <c r="Z146" s="1338"/>
      <c r="AA146" s="3059"/>
      <c r="AB146" s="2369">
        <f t="shared" si="18"/>
        <v>23300</v>
      </c>
      <c r="AC146" s="2944">
        <v>44660</v>
      </c>
    </row>
    <row r="147" spans="1:29">
      <c r="A147" s="53">
        <f t="shared" si="14"/>
        <v>2004.06</v>
      </c>
      <c r="B147" s="2395">
        <f t="shared" si="19"/>
        <v>754548</v>
      </c>
      <c r="C147" s="2396">
        <f t="shared" si="20"/>
        <v>313729</v>
      </c>
      <c r="D147" s="386">
        <v>924260</v>
      </c>
      <c r="E147" s="3669"/>
      <c r="F147" s="151">
        <v>776375</v>
      </c>
      <c r="G147" s="3061"/>
      <c r="H147" s="632">
        <v>265368</v>
      </c>
      <c r="I147" s="3504">
        <v>489180</v>
      </c>
      <c r="J147" s="636"/>
      <c r="K147" s="669"/>
      <c r="L147" s="3062">
        <f t="shared" si="15"/>
        <v>754548</v>
      </c>
      <c r="M147" s="632">
        <v>222510</v>
      </c>
      <c r="N147" s="151">
        <v>91219</v>
      </c>
      <c r="O147" s="3669"/>
      <c r="P147" s="669"/>
      <c r="Q147" s="2396">
        <f t="shared" si="16"/>
        <v>313729</v>
      </c>
      <c r="R147" s="456">
        <v>30700</v>
      </c>
      <c r="S147" s="2942">
        <v>226822</v>
      </c>
      <c r="T147" s="473"/>
      <c r="U147" s="3063"/>
      <c r="V147" s="2369">
        <f t="shared" si="17"/>
        <v>257522</v>
      </c>
      <c r="W147" s="2942">
        <v>284580</v>
      </c>
      <c r="X147" s="456">
        <v>0</v>
      </c>
      <c r="Y147" s="2942">
        <v>4121</v>
      </c>
      <c r="Z147" s="1338"/>
      <c r="AA147" s="3059"/>
      <c r="AB147" s="2369">
        <f t="shared" si="18"/>
        <v>4121</v>
      </c>
      <c r="AC147" s="2944">
        <v>75470</v>
      </c>
    </row>
    <row r="148" spans="1:29">
      <c r="A148" s="53">
        <f t="shared" si="14"/>
        <v>2004.07</v>
      </c>
      <c r="B148" s="2395">
        <f t="shared" si="19"/>
        <v>763341</v>
      </c>
      <c r="C148" s="2396">
        <f t="shared" si="20"/>
        <v>233222</v>
      </c>
      <c r="D148" s="386">
        <v>1006199</v>
      </c>
      <c r="E148" s="3669"/>
      <c r="F148" s="151">
        <v>590170</v>
      </c>
      <c r="G148" s="3061"/>
      <c r="H148" s="632">
        <v>311325</v>
      </c>
      <c r="I148" s="3504">
        <v>452016</v>
      </c>
      <c r="J148" s="636"/>
      <c r="K148" s="669"/>
      <c r="L148" s="3062">
        <f t="shared" si="15"/>
        <v>763341</v>
      </c>
      <c r="M148" s="632">
        <v>98970</v>
      </c>
      <c r="N148" s="151">
        <v>134252</v>
      </c>
      <c r="O148" s="3669"/>
      <c r="P148" s="669"/>
      <c r="Q148" s="2396">
        <f t="shared" si="16"/>
        <v>233222</v>
      </c>
      <c r="R148" s="456">
        <v>70963</v>
      </c>
      <c r="S148" s="2942">
        <v>418060</v>
      </c>
      <c r="T148" s="473"/>
      <c r="U148" s="3063"/>
      <c r="V148" s="2369">
        <f t="shared" si="17"/>
        <v>489023</v>
      </c>
      <c r="W148" s="2942">
        <v>526430</v>
      </c>
      <c r="X148" s="456">
        <v>1195</v>
      </c>
      <c r="Y148" s="2942">
        <v>11500</v>
      </c>
      <c r="Z148" s="1338"/>
      <c r="AA148" s="3059"/>
      <c r="AB148" s="2369">
        <f t="shared" si="18"/>
        <v>12695</v>
      </c>
      <c r="AC148" s="2944">
        <v>57900</v>
      </c>
    </row>
    <row r="149" spans="1:29">
      <c r="A149" s="53">
        <f t="shared" si="14"/>
        <v>2004.08</v>
      </c>
      <c r="B149" s="2395">
        <f t="shared" si="19"/>
        <v>602182</v>
      </c>
      <c r="C149" s="2396">
        <f t="shared" si="20"/>
        <v>320324</v>
      </c>
      <c r="D149" s="386">
        <v>845784</v>
      </c>
      <c r="E149" s="3669"/>
      <c r="F149" s="151">
        <v>677784</v>
      </c>
      <c r="G149" s="3061"/>
      <c r="H149" s="632">
        <v>124193</v>
      </c>
      <c r="I149" s="3504">
        <v>477989</v>
      </c>
      <c r="J149" s="636"/>
      <c r="K149" s="669"/>
      <c r="L149" s="3062">
        <f t="shared" si="15"/>
        <v>602182</v>
      </c>
      <c r="M149" s="632">
        <v>230460</v>
      </c>
      <c r="N149" s="151">
        <v>89864</v>
      </c>
      <c r="O149" s="3669"/>
      <c r="P149" s="669"/>
      <c r="Q149" s="2396">
        <f t="shared" si="16"/>
        <v>320324</v>
      </c>
      <c r="R149" s="456">
        <v>109181</v>
      </c>
      <c r="S149" s="2942">
        <v>293529</v>
      </c>
      <c r="T149" s="473"/>
      <c r="U149" s="3063"/>
      <c r="V149" s="2369">
        <f t="shared" si="17"/>
        <v>402710</v>
      </c>
      <c r="W149" s="2942">
        <v>403710</v>
      </c>
      <c r="X149" s="456">
        <v>20417</v>
      </c>
      <c r="Y149" s="2942">
        <v>8192</v>
      </c>
      <c r="Z149" s="1338"/>
      <c r="AA149" s="3059"/>
      <c r="AB149" s="2369">
        <f t="shared" si="18"/>
        <v>28609</v>
      </c>
      <c r="AC149" s="2944">
        <v>72100</v>
      </c>
    </row>
    <row r="150" spans="1:29">
      <c r="A150" s="53">
        <f t="shared" ref="A150:A213" si="21">A138+1</f>
        <v>2004.09</v>
      </c>
      <c r="B150" s="2395">
        <f t="shared" si="19"/>
        <v>508269</v>
      </c>
      <c r="C150" s="2396">
        <f t="shared" si="20"/>
        <v>240759</v>
      </c>
      <c r="D150" s="386">
        <v>774743</v>
      </c>
      <c r="E150" s="3669"/>
      <c r="F150" s="151">
        <v>678144</v>
      </c>
      <c r="G150" s="3061"/>
      <c r="H150" s="632">
        <v>197355</v>
      </c>
      <c r="I150" s="3504">
        <v>310914</v>
      </c>
      <c r="J150" s="636"/>
      <c r="K150" s="669"/>
      <c r="L150" s="3062">
        <f t="shared" si="15"/>
        <v>508269</v>
      </c>
      <c r="M150" s="632">
        <v>125611</v>
      </c>
      <c r="N150" s="151">
        <v>115148</v>
      </c>
      <c r="O150" s="3669"/>
      <c r="P150" s="669"/>
      <c r="Q150" s="2396">
        <f t="shared" si="16"/>
        <v>240759</v>
      </c>
      <c r="R150" s="456">
        <v>39050</v>
      </c>
      <c r="S150" s="2942">
        <v>223139</v>
      </c>
      <c r="T150" s="473"/>
      <c r="U150" s="3063"/>
      <c r="V150" s="2369">
        <f t="shared" si="17"/>
        <v>262189</v>
      </c>
      <c r="W150" s="2942">
        <v>300420</v>
      </c>
      <c r="X150" s="456">
        <v>1500</v>
      </c>
      <c r="Y150" s="2942">
        <v>19200</v>
      </c>
      <c r="Z150" s="1338"/>
      <c r="AA150" s="3059"/>
      <c r="AB150" s="2369">
        <f t="shared" si="18"/>
        <v>20700</v>
      </c>
      <c r="AC150" s="2944">
        <v>89890</v>
      </c>
    </row>
    <row r="151" spans="1:29">
      <c r="A151" s="53">
        <f t="shared" si="21"/>
        <v>2004.1</v>
      </c>
      <c r="B151" s="2395">
        <f t="shared" si="19"/>
        <v>408340</v>
      </c>
      <c r="C151" s="2396">
        <f t="shared" si="20"/>
        <v>227156</v>
      </c>
      <c r="D151" s="386">
        <v>558435</v>
      </c>
      <c r="E151" s="3669"/>
      <c r="F151" s="151">
        <v>844480</v>
      </c>
      <c r="G151" s="3061"/>
      <c r="H151" s="632">
        <v>267226</v>
      </c>
      <c r="I151" s="3504">
        <v>141114</v>
      </c>
      <c r="J151" s="636"/>
      <c r="K151" s="669"/>
      <c r="L151" s="3062">
        <f t="shared" si="15"/>
        <v>408340</v>
      </c>
      <c r="M151" s="632">
        <v>110463</v>
      </c>
      <c r="N151" s="151">
        <v>116693</v>
      </c>
      <c r="O151" s="3669"/>
      <c r="P151" s="669"/>
      <c r="Q151" s="2396">
        <f t="shared" si="16"/>
        <v>227156</v>
      </c>
      <c r="R151" s="456">
        <v>104168</v>
      </c>
      <c r="S151" s="2942">
        <v>300484</v>
      </c>
      <c r="T151" s="473"/>
      <c r="U151" s="3063"/>
      <c r="V151" s="2369">
        <f t="shared" si="17"/>
        <v>404652</v>
      </c>
      <c r="W151" s="2942">
        <v>417450</v>
      </c>
      <c r="X151" s="456">
        <v>0</v>
      </c>
      <c r="Y151" s="2942">
        <v>10400</v>
      </c>
      <c r="Z151" s="1338"/>
      <c r="AA151" s="3059"/>
      <c r="AB151" s="2369">
        <f t="shared" si="18"/>
        <v>10400</v>
      </c>
      <c r="AC151" s="2944">
        <v>60130</v>
      </c>
    </row>
    <row r="152" spans="1:29">
      <c r="A152" s="53">
        <f t="shared" si="21"/>
        <v>2004.11</v>
      </c>
      <c r="B152" s="2395">
        <f t="shared" si="19"/>
        <v>474336</v>
      </c>
      <c r="C152" s="2396">
        <f t="shared" si="20"/>
        <v>489236</v>
      </c>
      <c r="D152" s="386">
        <v>630479</v>
      </c>
      <c r="E152" s="3669"/>
      <c r="F152" s="151">
        <v>1112500</v>
      </c>
      <c r="G152" s="3061"/>
      <c r="H152" s="632">
        <v>193536</v>
      </c>
      <c r="I152" s="3504">
        <v>280800</v>
      </c>
      <c r="J152" s="636"/>
      <c r="K152" s="669"/>
      <c r="L152" s="3062">
        <f t="shared" si="15"/>
        <v>474336</v>
      </c>
      <c r="M152" s="632">
        <v>163014</v>
      </c>
      <c r="N152" s="151">
        <v>326222</v>
      </c>
      <c r="O152" s="3669"/>
      <c r="P152" s="669"/>
      <c r="Q152" s="2396">
        <f t="shared" si="16"/>
        <v>489236</v>
      </c>
      <c r="R152" s="456">
        <v>115732</v>
      </c>
      <c r="S152" s="2942">
        <v>380474</v>
      </c>
      <c r="T152" s="473"/>
      <c r="U152" s="3063"/>
      <c r="V152" s="2369">
        <f t="shared" si="17"/>
        <v>496206</v>
      </c>
      <c r="W152" s="2942">
        <v>516110</v>
      </c>
      <c r="X152" s="456">
        <v>9500</v>
      </c>
      <c r="Y152" s="2942">
        <v>8900</v>
      </c>
      <c r="Z152" s="1338"/>
      <c r="AA152" s="3059"/>
      <c r="AB152" s="2369">
        <f t="shared" si="18"/>
        <v>18400</v>
      </c>
      <c r="AC152" s="2944">
        <v>72980</v>
      </c>
    </row>
    <row r="153" spans="1:29">
      <c r="A153" s="53">
        <f t="shared" si="21"/>
        <v>2004.12</v>
      </c>
      <c r="B153" s="2395">
        <f t="shared" si="19"/>
        <v>630599</v>
      </c>
      <c r="C153" s="2396">
        <f t="shared" si="20"/>
        <v>1184999</v>
      </c>
      <c r="D153" s="386">
        <v>683826</v>
      </c>
      <c r="E153" s="3669"/>
      <c r="F153" s="151">
        <v>1698486</v>
      </c>
      <c r="G153" s="3061"/>
      <c r="H153" s="632">
        <v>263036</v>
      </c>
      <c r="I153" s="3504">
        <v>367563</v>
      </c>
      <c r="J153" s="636"/>
      <c r="K153" s="669"/>
      <c r="L153" s="3062">
        <f t="shared" si="15"/>
        <v>630599</v>
      </c>
      <c r="M153" s="632">
        <v>458629</v>
      </c>
      <c r="N153" s="151">
        <v>726370</v>
      </c>
      <c r="O153" s="3669"/>
      <c r="P153" s="669"/>
      <c r="Q153" s="2396">
        <f t="shared" si="16"/>
        <v>1184999</v>
      </c>
      <c r="R153" s="456">
        <v>36300</v>
      </c>
      <c r="S153" s="2942">
        <v>298435</v>
      </c>
      <c r="T153" s="473"/>
      <c r="U153" s="3063"/>
      <c r="V153" s="2369">
        <f t="shared" si="17"/>
        <v>334735</v>
      </c>
      <c r="W153" s="2942">
        <v>382240</v>
      </c>
      <c r="X153" s="456">
        <v>3250</v>
      </c>
      <c r="Y153" s="2942">
        <v>25465</v>
      </c>
      <c r="Z153" s="1338"/>
      <c r="AA153" s="3059"/>
      <c r="AB153" s="2369">
        <f t="shared" si="18"/>
        <v>28715</v>
      </c>
      <c r="AC153" s="2944">
        <v>57270</v>
      </c>
    </row>
    <row r="154" spans="1:29">
      <c r="A154" s="53">
        <f t="shared" si="21"/>
        <v>2005.01</v>
      </c>
      <c r="B154" s="2395">
        <f t="shared" si="19"/>
        <v>636815.75087001419</v>
      </c>
      <c r="C154" s="2396">
        <f t="shared" si="20"/>
        <v>1152662</v>
      </c>
      <c r="D154" s="386">
        <v>701073</v>
      </c>
      <c r="E154" s="3669"/>
      <c r="F154" s="151">
        <v>2316812.9537163507</v>
      </c>
      <c r="G154" s="3061"/>
      <c r="H154" s="632">
        <v>301295</v>
      </c>
      <c r="I154" s="3504">
        <v>335520.75087001419</v>
      </c>
      <c r="J154" s="636"/>
      <c r="K154" s="669"/>
      <c r="L154" s="3062">
        <f t="shared" si="15"/>
        <v>636815.75087001419</v>
      </c>
      <c r="M154" s="632">
        <v>407794</v>
      </c>
      <c r="N154" s="151">
        <v>744868</v>
      </c>
      <c r="O154" s="3669"/>
      <c r="P154" s="669"/>
      <c r="Q154" s="2396">
        <f t="shared" si="16"/>
        <v>1152662</v>
      </c>
      <c r="R154" s="456">
        <v>87153</v>
      </c>
      <c r="S154" s="2942">
        <v>192068</v>
      </c>
      <c r="T154" s="473"/>
      <c r="U154" s="3063"/>
      <c r="V154" s="2369">
        <f t="shared" si="17"/>
        <v>279221</v>
      </c>
      <c r="W154" s="2942">
        <v>302570</v>
      </c>
      <c r="X154" s="456">
        <v>22522</v>
      </c>
      <c r="Y154" s="2942">
        <v>61950</v>
      </c>
      <c r="Z154" s="1338"/>
      <c r="AA154" s="3059"/>
      <c r="AB154" s="2369">
        <f t="shared" si="18"/>
        <v>84472</v>
      </c>
      <c r="AC154" s="2944">
        <v>113050</v>
      </c>
    </row>
    <row r="155" spans="1:29">
      <c r="A155" s="53">
        <f t="shared" si="21"/>
        <v>2005.02</v>
      </c>
      <c r="B155" s="2395">
        <f t="shared" si="19"/>
        <v>646444.24912998581</v>
      </c>
      <c r="C155" s="2396">
        <f t="shared" si="20"/>
        <v>724725</v>
      </c>
      <c r="D155" s="386">
        <v>698960</v>
      </c>
      <c r="E155" s="3669"/>
      <c r="F155" s="151">
        <v>1631271.8732272375</v>
      </c>
      <c r="G155" s="3061"/>
      <c r="H155" s="632">
        <v>350959</v>
      </c>
      <c r="I155" s="3504">
        <v>295485.24912998581</v>
      </c>
      <c r="J155" s="636"/>
      <c r="K155" s="669"/>
      <c r="L155" s="3062">
        <f t="shared" si="15"/>
        <v>646444.24912998581</v>
      </c>
      <c r="M155" s="632">
        <v>288503</v>
      </c>
      <c r="N155" s="151">
        <v>436222</v>
      </c>
      <c r="O155" s="3669"/>
      <c r="P155" s="669"/>
      <c r="Q155" s="2396">
        <f t="shared" si="16"/>
        <v>724725</v>
      </c>
      <c r="R155" s="456">
        <v>66000</v>
      </c>
      <c r="S155" s="2942">
        <v>224273</v>
      </c>
      <c r="T155" s="473"/>
      <c r="U155" s="3063"/>
      <c r="V155" s="2369">
        <f t="shared" si="17"/>
        <v>290273</v>
      </c>
      <c r="W155" s="2942">
        <v>295600</v>
      </c>
      <c r="X155" s="456">
        <v>2200</v>
      </c>
      <c r="Y155" s="2942">
        <v>67247</v>
      </c>
      <c r="Z155" s="1338"/>
      <c r="AA155" s="3059"/>
      <c r="AB155" s="2369">
        <f t="shared" si="18"/>
        <v>69447</v>
      </c>
      <c r="AC155" s="2944">
        <v>89610</v>
      </c>
    </row>
    <row r="156" spans="1:29">
      <c r="A156" s="53">
        <f t="shared" si="21"/>
        <v>2005.03</v>
      </c>
      <c r="B156" s="2395">
        <f t="shared" si="19"/>
        <v>1872518</v>
      </c>
      <c r="C156" s="2396">
        <f t="shared" si="20"/>
        <v>475753</v>
      </c>
      <c r="D156" s="386">
        <v>2364810</v>
      </c>
      <c r="E156" s="3669"/>
      <c r="F156" s="151">
        <v>1016376.4921164028</v>
      </c>
      <c r="G156" s="3061"/>
      <c r="H156" s="632">
        <v>731174</v>
      </c>
      <c r="I156" s="3504">
        <v>1141344</v>
      </c>
      <c r="J156" s="636"/>
      <c r="K156" s="669"/>
      <c r="L156" s="3062">
        <f t="shared" si="15"/>
        <v>1872518</v>
      </c>
      <c r="M156" s="632">
        <v>189904</v>
      </c>
      <c r="N156" s="151">
        <v>285849</v>
      </c>
      <c r="O156" s="3669"/>
      <c r="P156" s="669"/>
      <c r="Q156" s="2396">
        <f t="shared" si="16"/>
        <v>475753</v>
      </c>
      <c r="R156" s="456">
        <v>83150</v>
      </c>
      <c r="S156" s="2942">
        <v>328093</v>
      </c>
      <c r="T156" s="473"/>
      <c r="U156" s="3063"/>
      <c r="V156" s="2369">
        <f t="shared" si="17"/>
        <v>411243</v>
      </c>
      <c r="W156" s="2942">
        <v>431010</v>
      </c>
      <c r="X156" s="456">
        <v>35700</v>
      </c>
      <c r="Y156" s="2942">
        <v>87400</v>
      </c>
      <c r="Z156" s="1338"/>
      <c r="AA156" s="3059"/>
      <c r="AB156" s="2369">
        <f t="shared" si="18"/>
        <v>123100</v>
      </c>
      <c r="AC156" s="2944">
        <v>170190</v>
      </c>
    </row>
    <row r="157" spans="1:29">
      <c r="A157" s="53">
        <f t="shared" si="21"/>
        <v>2005.04</v>
      </c>
      <c r="B157" s="2395">
        <f t="shared" si="19"/>
        <v>1362778</v>
      </c>
      <c r="C157" s="2396">
        <f t="shared" si="20"/>
        <v>450550</v>
      </c>
      <c r="D157" s="386">
        <v>1708937</v>
      </c>
      <c r="E157" s="3669"/>
      <c r="F157" s="151">
        <v>857946.29075583268</v>
      </c>
      <c r="G157" s="3061"/>
      <c r="H157" s="632">
        <v>538003</v>
      </c>
      <c r="I157" s="3504">
        <v>824775</v>
      </c>
      <c r="J157" s="636"/>
      <c r="K157" s="669"/>
      <c r="L157" s="3062">
        <f t="shared" si="15"/>
        <v>1362778</v>
      </c>
      <c r="M157" s="632">
        <v>249689</v>
      </c>
      <c r="N157" s="151">
        <v>200861</v>
      </c>
      <c r="O157" s="3669"/>
      <c r="P157" s="669"/>
      <c r="Q157" s="2396">
        <f t="shared" si="16"/>
        <v>450550</v>
      </c>
      <c r="R157" s="456">
        <v>82366</v>
      </c>
      <c r="S157" s="2942">
        <v>294687</v>
      </c>
      <c r="T157" s="473"/>
      <c r="U157" s="3063"/>
      <c r="V157" s="2369">
        <f t="shared" si="17"/>
        <v>377053</v>
      </c>
      <c r="W157" s="2942">
        <v>381050</v>
      </c>
      <c r="X157" s="456">
        <v>39300</v>
      </c>
      <c r="Y157" s="2942">
        <v>17136</v>
      </c>
      <c r="Z157" s="1338"/>
      <c r="AA157" s="3059"/>
      <c r="AB157" s="2369">
        <f t="shared" si="18"/>
        <v>56436</v>
      </c>
      <c r="AC157" s="2944">
        <v>162530</v>
      </c>
    </row>
    <row r="158" spans="1:29">
      <c r="A158" s="53">
        <f t="shared" si="21"/>
        <v>2005.05</v>
      </c>
      <c r="B158" s="2395">
        <f t="shared" si="19"/>
        <v>1036100</v>
      </c>
      <c r="C158" s="2396">
        <f t="shared" si="20"/>
        <v>239778</v>
      </c>
      <c r="D158" s="386">
        <v>1462436</v>
      </c>
      <c r="E158" s="3669"/>
      <c r="F158" s="151">
        <v>687082.39018417639</v>
      </c>
      <c r="G158" s="3061"/>
      <c r="H158" s="632">
        <v>471495</v>
      </c>
      <c r="I158" s="3504">
        <v>564605</v>
      </c>
      <c r="J158" s="636"/>
      <c r="K158" s="669"/>
      <c r="L158" s="3062">
        <f t="shared" si="15"/>
        <v>1036100</v>
      </c>
      <c r="M158" s="632">
        <v>119760</v>
      </c>
      <c r="N158" s="151">
        <v>120018</v>
      </c>
      <c r="O158" s="3669"/>
      <c r="P158" s="669"/>
      <c r="Q158" s="2396">
        <f t="shared" si="16"/>
        <v>239778</v>
      </c>
      <c r="R158" s="456">
        <v>71500</v>
      </c>
      <c r="S158" s="2942">
        <v>312298</v>
      </c>
      <c r="T158" s="473"/>
      <c r="U158" s="3063"/>
      <c r="V158" s="2369">
        <f t="shared" si="17"/>
        <v>383798</v>
      </c>
      <c r="W158" s="2942">
        <v>389800</v>
      </c>
      <c r="X158" s="456">
        <v>4000</v>
      </c>
      <c r="Y158" s="2942">
        <v>21599</v>
      </c>
      <c r="Z158" s="1338"/>
      <c r="AA158" s="3059"/>
      <c r="AB158" s="2369">
        <f t="shared" si="18"/>
        <v>25599</v>
      </c>
      <c r="AC158" s="2944">
        <v>68170</v>
      </c>
    </row>
    <row r="159" spans="1:29">
      <c r="A159" s="53">
        <f t="shared" si="21"/>
        <v>2005.06</v>
      </c>
      <c r="B159" s="2395">
        <f t="shared" si="19"/>
        <v>770919</v>
      </c>
      <c r="C159" s="2396">
        <f t="shared" si="20"/>
        <v>161082</v>
      </c>
      <c r="D159" s="386">
        <v>950702</v>
      </c>
      <c r="E159" s="3669"/>
      <c r="F159" s="151">
        <v>426576</v>
      </c>
      <c r="G159" s="3061"/>
      <c r="H159" s="632">
        <v>361555</v>
      </c>
      <c r="I159" s="3504">
        <v>409364</v>
      </c>
      <c r="J159" s="636"/>
      <c r="K159" s="669"/>
      <c r="L159" s="3062">
        <f t="shared" si="15"/>
        <v>770919</v>
      </c>
      <c r="M159" s="632">
        <v>76820</v>
      </c>
      <c r="N159" s="151">
        <v>84262</v>
      </c>
      <c r="O159" s="3669"/>
      <c r="P159" s="669"/>
      <c r="Q159" s="2396">
        <f t="shared" si="16"/>
        <v>161082</v>
      </c>
      <c r="R159" s="456">
        <v>24900</v>
      </c>
      <c r="S159" s="2942">
        <v>413798</v>
      </c>
      <c r="T159" s="473"/>
      <c r="U159" s="3063"/>
      <c r="V159" s="2369">
        <f t="shared" si="17"/>
        <v>438698</v>
      </c>
      <c r="W159" s="2942">
        <v>466550</v>
      </c>
      <c r="X159" s="456">
        <v>3000</v>
      </c>
      <c r="Y159" s="2942">
        <v>45000</v>
      </c>
      <c r="Z159" s="1338"/>
      <c r="AA159" s="3059"/>
      <c r="AB159" s="2369">
        <f t="shared" si="18"/>
        <v>48000</v>
      </c>
      <c r="AC159" s="2944">
        <v>138000</v>
      </c>
    </row>
    <row r="160" spans="1:29">
      <c r="A160" s="53">
        <f t="shared" si="21"/>
        <v>2005.07</v>
      </c>
      <c r="B160" s="2395">
        <f t="shared" si="19"/>
        <v>1159997</v>
      </c>
      <c r="C160" s="2396">
        <f t="shared" si="20"/>
        <v>178970</v>
      </c>
      <c r="D160" s="386">
        <v>1357612</v>
      </c>
      <c r="E160" s="3669"/>
      <c r="F160" s="151">
        <v>502931</v>
      </c>
      <c r="G160" s="3061"/>
      <c r="H160" s="632">
        <v>478533</v>
      </c>
      <c r="I160" s="3504">
        <v>681464</v>
      </c>
      <c r="J160" s="636"/>
      <c r="K160" s="669"/>
      <c r="L160" s="3062">
        <f t="shared" si="15"/>
        <v>1159997</v>
      </c>
      <c r="M160" s="632">
        <v>134150</v>
      </c>
      <c r="N160" s="151">
        <v>44820</v>
      </c>
      <c r="O160" s="3669"/>
      <c r="P160" s="669"/>
      <c r="Q160" s="2396">
        <f t="shared" si="16"/>
        <v>178970</v>
      </c>
      <c r="R160" s="456">
        <v>68100</v>
      </c>
      <c r="S160" s="2942">
        <v>335246</v>
      </c>
      <c r="T160" s="473"/>
      <c r="U160" s="3063"/>
      <c r="V160" s="2369">
        <f t="shared" si="17"/>
        <v>403346</v>
      </c>
      <c r="W160" s="2942">
        <v>408850</v>
      </c>
      <c r="X160" s="456">
        <v>4700</v>
      </c>
      <c r="Y160" s="2942">
        <v>48705</v>
      </c>
      <c r="Z160" s="1338"/>
      <c r="AA160" s="3059"/>
      <c r="AB160" s="2369">
        <f t="shared" si="18"/>
        <v>53405</v>
      </c>
      <c r="AC160" s="2944">
        <v>82050</v>
      </c>
    </row>
    <row r="161" spans="1:29">
      <c r="A161" s="53">
        <f t="shared" si="21"/>
        <v>2005.08</v>
      </c>
      <c r="B161" s="2395">
        <f t="shared" si="19"/>
        <v>809596</v>
      </c>
      <c r="C161" s="2396">
        <f t="shared" si="20"/>
        <v>139260</v>
      </c>
      <c r="D161" s="386">
        <v>1197132</v>
      </c>
      <c r="E161" s="3669"/>
      <c r="F161" s="151">
        <v>508231</v>
      </c>
      <c r="G161" s="3061"/>
      <c r="H161" s="632">
        <v>369753</v>
      </c>
      <c r="I161" s="3504">
        <v>439843</v>
      </c>
      <c r="J161" s="636"/>
      <c r="K161" s="669"/>
      <c r="L161" s="3062">
        <f t="shared" si="15"/>
        <v>809596</v>
      </c>
      <c r="M161" s="632">
        <v>55219</v>
      </c>
      <c r="N161" s="151">
        <v>84041</v>
      </c>
      <c r="O161" s="3669"/>
      <c r="P161" s="669"/>
      <c r="Q161" s="2396">
        <f t="shared" si="16"/>
        <v>139260</v>
      </c>
      <c r="R161" s="456">
        <v>117736</v>
      </c>
      <c r="S161" s="2942">
        <v>414298</v>
      </c>
      <c r="T161" s="473"/>
      <c r="U161" s="3063"/>
      <c r="V161" s="2369">
        <f t="shared" si="17"/>
        <v>532034</v>
      </c>
      <c r="W161" s="2942">
        <v>556850</v>
      </c>
      <c r="X161" s="456">
        <v>7100</v>
      </c>
      <c r="Y161" s="2942">
        <v>47800</v>
      </c>
      <c r="Z161" s="1338"/>
      <c r="AA161" s="3059"/>
      <c r="AB161" s="2369">
        <f t="shared" si="18"/>
        <v>54900</v>
      </c>
      <c r="AC161" s="2944">
        <v>135940</v>
      </c>
    </row>
    <row r="162" spans="1:29">
      <c r="A162" s="53">
        <f t="shared" si="21"/>
        <v>2005.09</v>
      </c>
      <c r="B162" s="2395">
        <f t="shared" si="19"/>
        <v>793798</v>
      </c>
      <c r="C162" s="2396">
        <f t="shared" si="20"/>
        <v>121448</v>
      </c>
      <c r="D162" s="386">
        <v>1029143</v>
      </c>
      <c r="E162" s="3669"/>
      <c r="F162" s="151">
        <v>388285</v>
      </c>
      <c r="G162" s="3061"/>
      <c r="H162" s="632">
        <v>354560</v>
      </c>
      <c r="I162" s="3504">
        <v>439238</v>
      </c>
      <c r="J162" s="636"/>
      <c r="K162" s="669"/>
      <c r="L162" s="3062">
        <f t="shared" si="15"/>
        <v>793798</v>
      </c>
      <c r="M162" s="632">
        <v>103173</v>
      </c>
      <c r="N162" s="151">
        <v>18275</v>
      </c>
      <c r="O162" s="3669"/>
      <c r="P162" s="669"/>
      <c r="Q162" s="2396">
        <f t="shared" si="16"/>
        <v>121448</v>
      </c>
      <c r="R162" s="456">
        <v>76593</v>
      </c>
      <c r="S162" s="2942">
        <v>318151</v>
      </c>
      <c r="T162" s="473"/>
      <c r="U162" s="3063"/>
      <c r="V162" s="2369">
        <f t="shared" si="17"/>
        <v>394744</v>
      </c>
      <c r="W162" s="2942">
        <v>404770</v>
      </c>
      <c r="X162" s="456">
        <v>2500</v>
      </c>
      <c r="Y162" s="2942">
        <v>3500</v>
      </c>
      <c r="Z162" s="1338"/>
      <c r="AA162" s="3059"/>
      <c r="AB162" s="2369">
        <f t="shared" si="18"/>
        <v>6000</v>
      </c>
      <c r="AC162" s="2944">
        <v>63440</v>
      </c>
    </row>
    <row r="163" spans="1:29">
      <c r="A163" s="53">
        <f t="shared" si="21"/>
        <v>2005.1</v>
      </c>
      <c r="B163" s="2395">
        <f t="shared" si="19"/>
        <v>685621</v>
      </c>
      <c r="C163" s="2396">
        <f t="shared" si="20"/>
        <v>72281</v>
      </c>
      <c r="D163" s="386">
        <v>944458</v>
      </c>
      <c r="E163" s="3669"/>
      <c r="F163" s="151">
        <v>356237</v>
      </c>
      <c r="G163" s="3061"/>
      <c r="H163" s="632">
        <v>280473</v>
      </c>
      <c r="I163" s="3504">
        <v>405148</v>
      </c>
      <c r="J163" s="636"/>
      <c r="K163" s="669"/>
      <c r="L163" s="3062">
        <f t="shared" si="15"/>
        <v>685621</v>
      </c>
      <c r="M163" s="632">
        <v>33640</v>
      </c>
      <c r="N163" s="151">
        <v>38641</v>
      </c>
      <c r="O163" s="3669"/>
      <c r="P163" s="669"/>
      <c r="Q163" s="2396">
        <f t="shared" si="16"/>
        <v>72281</v>
      </c>
      <c r="R163" s="456">
        <v>53410</v>
      </c>
      <c r="S163" s="2942">
        <v>302151</v>
      </c>
      <c r="T163" s="473"/>
      <c r="U163" s="3063"/>
      <c r="V163" s="2369">
        <f t="shared" si="17"/>
        <v>355561</v>
      </c>
      <c r="W163" s="2942">
        <v>359560</v>
      </c>
      <c r="X163" s="456">
        <v>4500</v>
      </c>
      <c r="Y163" s="2942">
        <v>35664</v>
      </c>
      <c r="Z163" s="1338"/>
      <c r="AA163" s="3059"/>
      <c r="AB163" s="2369">
        <f t="shared" si="18"/>
        <v>40164</v>
      </c>
      <c r="AC163" s="2944">
        <v>77900</v>
      </c>
    </row>
    <row r="164" spans="1:29">
      <c r="A164" s="53">
        <f t="shared" si="21"/>
        <v>2005.11</v>
      </c>
      <c r="B164" s="2395">
        <f t="shared" si="19"/>
        <v>793814</v>
      </c>
      <c r="C164" s="2396">
        <f t="shared" si="20"/>
        <v>88024</v>
      </c>
      <c r="D164" s="386">
        <v>1074870</v>
      </c>
      <c r="E164" s="3669"/>
      <c r="F164" s="151">
        <v>511874</v>
      </c>
      <c r="G164" s="3061"/>
      <c r="H164" s="632">
        <v>359045</v>
      </c>
      <c r="I164" s="3504">
        <v>434769</v>
      </c>
      <c r="J164" s="636"/>
      <c r="K164" s="669"/>
      <c r="L164" s="3062">
        <f t="shared" si="15"/>
        <v>793814</v>
      </c>
      <c r="M164" s="632">
        <v>34979</v>
      </c>
      <c r="N164" s="151">
        <v>53045</v>
      </c>
      <c r="O164" s="3669"/>
      <c r="P164" s="669"/>
      <c r="Q164" s="2396">
        <f t="shared" si="16"/>
        <v>88024</v>
      </c>
      <c r="R164" s="456">
        <v>45678</v>
      </c>
      <c r="S164" s="2942">
        <v>291458</v>
      </c>
      <c r="T164" s="473"/>
      <c r="U164" s="3063"/>
      <c r="V164" s="2369">
        <f t="shared" si="17"/>
        <v>337136</v>
      </c>
      <c r="W164" s="2942">
        <v>358700</v>
      </c>
      <c r="X164" s="456">
        <v>6730</v>
      </c>
      <c r="Y164" s="2942">
        <v>29481</v>
      </c>
      <c r="Z164" s="1338"/>
      <c r="AA164" s="3059"/>
      <c r="AB164" s="2369">
        <f t="shared" si="18"/>
        <v>36211</v>
      </c>
      <c r="AC164" s="2944">
        <v>84030</v>
      </c>
    </row>
    <row r="165" spans="1:29">
      <c r="A165" s="53">
        <f t="shared" si="21"/>
        <v>2005.12</v>
      </c>
      <c r="B165" s="2395">
        <f t="shared" si="19"/>
        <v>610638</v>
      </c>
      <c r="C165" s="2396">
        <f t="shared" si="20"/>
        <v>391497</v>
      </c>
      <c r="D165" s="386">
        <v>736339</v>
      </c>
      <c r="E165" s="3669"/>
      <c r="F165" s="151">
        <v>767351</v>
      </c>
      <c r="G165" s="3061"/>
      <c r="H165" s="632">
        <v>332995</v>
      </c>
      <c r="I165" s="3504">
        <v>277643</v>
      </c>
      <c r="J165" s="636"/>
      <c r="K165" s="669"/>
      <c r="L165" s="3062">
        <f t="shared" si="15"/>
        <v>610638</v>
      </c>
      <c r="M165" s="632">
        <v>90410</v>
      </c>
      <c r="N165" s="151">
        <v>301087</v>
      </c>
      <c r="O165" s="3669"/>
      <c r="P165" s="669"/>
      <c r="Q165" s="2396">
        <f t="shared" si="16"/>
        <v>391497</v>
      </c>
      <c r="R165" s="456">
        <v>104759</v>
      </c>
      <c r="S165" s="2942">
        <v>459413</v>
      </c>
      <c r="T165" s="473"/>
      <c r="U165" s="3063"/>
      <c r="V165" s="2369">
        <f t="shared" si="17"/>
        <v>564172</v>
      </c>
      <c r="W165" s="2942">
        <v>608870</v>
      </c>
      <c r="X165" s="456">
        <v>500</v>
      </c>
      <c r="Y165" s="2942">
        <v>12500</v>
      </c>
      <c r="Z165" s="1338"/>
      <c r="AA165" s="3059"/>
      <c r="AB165" s="2369">
        <f t="shared" si="18"/>
        <v>13000</v>
      </c>
      <c r="AC165" s="2944">
        <v>91330</v>
      </c>
    </row>
    <row r="166" spans="1:29">
      <c r="A166" s="53">
        <f t="shared" si="21"/>
        <v>2006.01</v>
      </c>
      <c r="B166" s="2395">
        <f t="shared" si="19"/>
        <v>670218.17915671389</v>
      </c>
      <c r="C166" s="2396">
        <f t="shared" si="20"/>
        <v>442314</v>
      </c>
      <c r="D166" s="386">
        <v>836144.1802657271</v>
      </c>
      <c r="E166" s="3669"/>
      <c r="F166" s="151">
        <v>910511</v>
      </c>
      <c r="G166" s="3061"/>
      <c r="H166" s="632">
        <v>169148</v>
      </c>
      <c r="I166" s="3504">
        <v>501070.17915671383</v>
      </c>
      <c r="J166" s="636"/>
      <c r="K166" s="669"/>
      <c r="L166" s="3062">
        <f t="shared" si="15"/>
        <v>670218.17915671389</v>
      </c>
      <c r="M166" s="632">
        <v>158381</v>
      </c>
      <c r="N166" s="151">
        <v>283933</v>
      </c>
      <c r="O166" s="3669"/>
      <c r="P166" s="669"/>
      <c r="Q166" s="2396">
        <f t="shared" si="16"/>
        <v>442314</v>
      </c>
      <c r="R166" s="456">
        <v>65795</v>
      </c>
      <c r="S166" s="2942">
        <v>397408</v>
      </c>
      <c r="T166" s="473"/>
      <c r="U166" s="3063"/>
      <c r="V166" s="2369">
        <f t="shared" si="17"/>
        <v>463203</v>
      </c>
      <c r="W166" s="2942">
        <v>463203</v>
      </c>
      <c r="X166" s="456">
        <v>0</v>
      </c>
      <c r="Y166" s="2942">
        <v>53172</v>
      </c>
      <c r="Z166" s="1338"/>
      <c r="AA166" s="3059"/>
      <c r="AB166" s="2369">
        <f t="shared" si="18"/>
        <v>53172</v>
      </c>
      <c r="AC166" s="2944">
        <v>102890</v>
      </c>
    </row>
    <row r="167" spans="1:29">
      <c r="A167" s="53">
        <f t="shared" si="21"/>
        <v>2006.02</v>
      </c>
      <c r="B167" s="2395">
        <f t="shared" si="19"/>
        <v>482947.99327229999</v>
      </c>
      <c r="C167" s="2396">
        <f t="shared" si="20"/>
        <v>278276.005</v>
      </c>
      <c r="D167" s="386">
        <v>571462.213581649</v>
      </c>
      <c r="E167" s="3669"/>
      <c r="F167" s="151">
        <v>623784</v>
      </c>
      <c r="G167" s="3061"/>
      <c r="H167" s="632">
        <v>189388.75</v>
      </c>
      <c r="I167" s="3504">
        <v>293559.24327229999</v>
      </c>
      <c r="J167" s="636"/>
      <c r="K167" s="669"/>
      <c r="L167" s="3062">
        <f t="shared" si="15"/>
        <v>482947.99327229999</v>
      </c>
      <c r="M167" s="632">
        <v>114603.005</v>
      </c>
      <c r="N167" s="151">
        <v>163673</v>
      </c>
      <c r="O167" s="3669"/>
      <c r="P167" s="669"/>
      <c r="Q167" s="2396">
        <f t="shared" si="16"/>
        <v>278276.005</v>
      </c>
      <c r="R167" s="456">
        <v>68400</v>
      </c>
      <c r="S167" s="2942">
        <v>296391</v>
      </c>
      <c r="T167" s="473"/>
      <c r="U167" s="3063"/>
      <c r="V167" s="2369">
        <f t="shared" si="17"/>
        <v>364791</v>
      </c>
      <c r="W167" s="2942">
        <v>369230</v>
      </c>
      <c r="X167" s="456">
        <v>12595.531000000001</v>
      </c>
      <c r="Y167" s="2942">
        <v>34398</v>
      </c>
      <c r="Z167" s="1338"/>
      <c r="AA167" s="3059"/>
      <c r="AB167" s="2369">
        <f t="shared" si="18"/>
        <v>46993.531000000003</v>
      </c>
      <c r="AC167" s="2944">
        <v>53110</v>
      </c>
    </row>
    <row r="168" spans="1:29">
      <c r="A168" s="53">
        <f t="shared" si="21"/>
        <v>2006.03</v>
      </c>
      <c r="B168" s="2395">
        <f t="shared" si="19"/>
        <v>806258.88359011046</v>
      </c>
      <c r="C168" s="2396">
        <f t="shared" si="20"/>
        <v>348844</v>
      </c>
      <c r="D168" s="386">
        <v>843084.83267184976</v>
      </c>
      <c r="E168" s="3669"/>
      <c r="F168" s="151">
        <v>865803</v>
      </c>
      <c r="G168" s="3061"/>
      <c r="H168" s="632">
        <v>331189</v>
      </c>
      <c r="I168" s="3504">
        <v>475069.88359011046</v>
      </c>
      <c r="J168" s="636"/>
      <c r="K168" s="669"/>
      <c r="L168" s="3062">
        <f t="shared" si="15"/>
        <v>806258.88359011046</v>
      </c>
      <c r="M168" s="632">
        <v>129387</v>
      </c>
      <c r="N168" s="151">
        <v>219457</v>
      </c>
      <c r="O168" s="3669"/>
      <c r="P168" s="669"/>
      <c r="Q168" s="2396">
        <f t="shared" si="16"/>
        <v>348844</v>
      </c>
      <c r="R168" s="456">
        <v>69595</v>
      </c>
      <c r="S168" s="2942">
        <v>388555.4</v>
      </c>
      <c r="T168" s="473"/>
      <c r="U168" s="3063"/>
      <c r="V168" s="2369">
        <f t="shared" si="17"/>
        <v>458150.40000000002</v>
      </c>
      <c r="W168" s="2942">
        <v>460350</v>
      </c>
      <c r="X168" s="456">
        <v>5850</v>
      </c>
      <c r="Y168" s="2942">
        <v>92881.34</v>
      </c>
      <c r="Z168" s="1338"/>
      <c r="AA168" s="3059"/>
      <c r="AB168" s="2369">
        <f t="shared" si="18"/>
        <v>98731.34</v>
      </c>
      <c r="AC168" s="2944">
        <v>170640</v>
      </c>
    </row>
    <row r="169" spans="1:29">
      <c r="A169" s="53">
        <f t="shared" si="21"/>
        <v>2006.04</v>
      </c>
      <c r="B169" s="2395">
        <f t="shared" si="19"/>
        <v>837770.3600447746</v>
      </c>
      <c r="C169" s="2396">
        <f t="shared" si="20"/>
        <v>303146.799999999</v>
      </c>
      <c r="D169" s="386">
        <v>974772.67329517566</v>
      </c>
      <c r="E169" s="3669"/>
      <c r="F169" s="151">
        <v>471148</v>
      </c>
      <c r="G169" s="3061"/>
      <c r="H169" s="632">
        <v>424038.90500000003</v>
      </c>
      <c r="I169" s="3504">
        <v>413731.45504477457</v>
      </c>
      <c r="J169" s="636"/>
      <c r="K169" s="669"/>
      <c r="L169" s="3062">
        <f t="shared" si="15"/>
        <v>837770.3600447746</v>
      </c>
      <c r="M169" s="632">
        <v>148081.799999999</v>
      </c>
      <c r="N169" s="151">
        <v>155065</v>
      </c>
      <c r="O169" s="3669"/>
      <c r="P169" s="669"/>
      <c r="Q169" s="2396">
        <f t="shared" si="16"/>
        <v>303146.799999999</v>
      </c>
      <c r="R169" s="456">
        <v>26601</v>
      </c>
      <c r="S169" s="2942">
        <v>454482.7</v>
      </c>
      <c r="T169" s="473"/>
      <c r="U169" s="3063"/>
      <c r="V169" s="2369">
        <f t="shared" si="17"/>
        <v>481083.7</v>
      </c>
      <c r="W169" s="2942">
        <v>481083.7</v>
      </c>
      <c r="X169" s="456">
        <v>16977.169999999998</v>
      </c>
      <c r="Y169" s="2942">
        <v>82586.960000000006</v>
      </c>
      <c r="Z169" s="1338"/>
      <c r="AA169" s="3059"/>
      <c r="AB169" s="2369">
        <f t="shared" si="18"/>
        <v>99564.13</v>
      </c>
      <c r="AC169" s="2944">
        <v>153020</v>
      </c>
    </row>
    <row r="170" spans="1:29">
      <c r="A170" s="53">
        <f t="shared" si="21"/>
        <v>2006.05</v>
      </c>
      <c r="B170" s="2395">
        <f t="shared" si="19"/>
        <v>832648.85627016728</v>
      </c>
      <c r="C170" s="2396">
        <f t="shared" si="20"/>
        <v>340294.95</v>
      </c>
      <c r="D170" s="386">
        <v>1128395.1094113407</v>
      </c>
      <c r="E170" s="3669"/>
      <c r="F170" s="151">
        <v>758732</v>
      </c>
      <c r="G170" s="3061"/>
      <c r="H170" s="632">
        <v>306383.565</v>
      </c>
      <c r="I170" s="3504">
        <v>526265.29127016733</v>
      </c>
      <c r="J170" s="636"/>
      <c r="K170" s="669"/>
      <c r="L170" s="3062">
        <f t="shared" si="15"/>
        <v>832648.85627016728</v>
      </c>
      <c r="M170" s="632">
        <v>121695.95</v>
      </c>
      <c r="N170" s="151">
        <v>218599</v>
      </c>
      <c r="O170" s="3669"/>
      <c r="P170" s="669"/>
      <c r="Q170" s="2396">
        <f t="shared" si="16"/>
        <v>340294.95</v>
      </c>
      <c r="R170" s="456">
        <v>134184</v>
      </c>
      <c r="S170" s="2942">
        <v>538767</v>
      </c>
      <c r="T170" s="473"/>
      <c r="U170" s="3063"/>
      <c r="V170" s="2369">
        <f t="shared" si="17"/>
        <v>672951</v>
      </c>
      <c r="W170" s="2942">
        <v>679650</v>
      </c>
      <c r="X170" s="456">
        <v>1600</v>
      </c>
      <c r="Y170" s="2942">
        <v>55713</v>
      </c>
      <c r="Z170" s="1338"/>
      <c r="AA170" s="3059"/>
      <c r="AB170" s="2369">
        <f t="shared" si="18"/>
        <v>57313</v>
      </c>
      <c r="AC170" s="2944">
        <v>121060</v>
      </c>
    </row>
    <row r="171" spans="1:29">
      <c r="A171" s="53">
        <f t="shared" si="21"/>
        <v>2006.06</v>
      </c>
      <c r="B171" s="2395">
        <f t="shared" si="19"/>
        <v>493880.96117041685</v>
      </c>
      <c r="C171" s="2396">
        <f t="shared" si="20"/>
        <v>379970</v>
      </c>
      <c r="D171" s="386">
        <v>628676.35034520435</v>
      </c>
      <c r="E171" s="3669"/>
      <c r="F171" s="151">
        <v>847175</v>
      </c>
      <c r="G171" s="3061"/>
      <c r="H171" s="632">
        <v>317031</v>
      </c>
      <c r="I171" s="3504">
        <v>176849.96117041685</v>
      </c>
      <c r="J171" s="636"/>
      <c r="K171" s="669"/>
      <c r="L171" s="3062">
        <f t="shared" si="15"/>
        <v>493880.96117041685</v>
      </c>
      <c r="M171" s="632">
        <v>170307</v>
      </c>
      <c r="N171" s="151">
        <v>209663</v>
      </c>
      <c r="O171" s="3669"/>
      <c r="P171" s="669"/>
      <c r="Q171" s="2396">
        <f t="shared" si="16"/>
        <v>379970</v>
      </c>
      <c r="R171" s="456">
        <v>85030</v>
      </c>
      <c r="S171" s="2942">
        <v>346814</v>
      </c>
      <c r="T171" s="473"/>
      <c r="U171" s="3063"/>
      <c r="V171" s="2369">
        <f t="shared" si="17"/>
        <v>431844</v>
      </c>
      <c r="W171" s="2942">
        <v>453140</v>
      </c>
      <c r="X171" s="456">
        <v>2350</v>
      </c>
      <c r="Y171" s="2942">
        <v>53250</v>
      </c>
      <c r="Z171" s="1338"/>
      <c r="AA171" s="3059"/>
      <c r="AB171" s="2369">
        <f t="shared" si="18"/>
        <v>55600</v>
      </c>
      <c r="AC171" s="2944">
        <v>123760</v>
      </c>
    </row>
    <row r="172" spans="1:29">
      <c r="A172" s="53">
        <f t="shared" si="21"/>
        <v>2006.07</v>
      </c>
      <c r="B172" s="2395">
        <f t="shared" si="19"/>
        <v>581374.94462784776</v>
      </c>
      <c r="C172" s="2396">
        <f t="shared" si="20"/>
        <v>328956</v>
      </c>
      <c r="D172" s="386">
        <v>720760.19233305613</v>
      </c>
      <c r="E172" s="3669"/>
      <c r="F172" s="151">
        <v>735054</v>
      </c>
      <c r="G172" s="3061"/>
      <c r="H172" s="632">
        <v>324006</v>
      </c>
      <c r="I172" s="3504">
        <v>257368.94462784781</v>
      </c>
      <c r="J172" s="636"/>
      <c r="K172" s="669"/>
      <c r="L172" s="3062">
        <f t="shared" si="15"/>
        <v>581374.94462784776</v>
      </c>
      <c r="M172" s="632">
        <v>124731</v>
      </c>
      <c r="N172" s="151">
        <v>204225</v>
      </c>
      <c r="O172" s="3669"/>
      <c r="P172" s="669"/>
      <c r="Q172" s="2396">
        <f t="shared" si="16"/>
        <v>328956</v>
      </c>
      <c r="R172" s="456">
        <v>84769</v>
      </c>
      <c r="S172" s="2942">
        <v>394371</v>
      </c>
      <c r="T172" s="473"/>
      <c r="U172" s="3063"/>
      <c r="V172" s="2369">
        <f t="shared" si="17"/>
        <v>479140</v>
      </c>
      <c r="W172" s="2942">
        <v>485370</v>
      </c>
      <c r="X172" s="456">
        <v>0</v>
      </c>
      <c r="Y172" s="2942">
        <v>55154</v>
      </c>
      <c r="Z172" s="1338"/>
      <c r="AA172" s="3059"/>
      <c r="AB172" s="2369">
        <f t="shared" si="18"/>
        <v>55154</v>
      </c>
      <c r="AC172" s="2944">
        <v>94190</v>
      </c>
    </row>
    <row r="173" spans="1:29">
      <c r="A173" s="53">
        <f t="shared" si="21"/>
        <v>2006.08</v>
      </c>
      <c r="B173" s="2395">
        <f t="shared" si="19"/>
        <v>858484.64769383834</v>
      </c>
      <c r="C173" s="2396">
        <f t="shared" si="20"/>
        <v>257755</v>
      </c>
      <c r="D173" s="386">
        <v>1137226.4480959973</v>
      </c>
      <c r="E173" s="3669"/>
      <c r="F173" s="151">
        <v>783558</v>
      </c>
      <c r="G173" s="3061"/>
      <c r="H173" s="632">
        <v>349831</v>
      </c>
      <c r="I173" s="3504">
        <v>508653.64769383834</v>
      </c>
      <c r="J173" s="636"/>
      <c r="K173" s="669"/>
      <c r="L173" s="3062">
        <f t="shared" si="15"/>
        <v>858484.64769383834</v>
      </c>
      <c r="M173" s="632">
        <v>155224</v>
      </c>
      <c r="N173" s="151">
        <v>102531</v>
      </c>
      <c r="O173" s="3669"/>
      <c r="P173" s="669"/>
      <c r="Q173" s="2396">
        <f t="shared" si="16"/>
        <v>257755</v>
      </c>
      <c r="R173" s="456">
        <v>73500</v>
      </c>
      <c r="S173" s="2942">
        <v>539122</v>
      </c>
      <c r="T173" s="473"/>
      <c r="U173" s="3063"/>
      <c r="V173" s="2369">
        <f t="shared" si="17"/>
        <v>612622</v>
      </c>
      <c r="W173" s="2942">
        <v>644790</v>
      </c>
      <c r="X173" s="456">
        <v>0</v>
      </c>
      <c r="Y173" s="2942">
        <v>23608</v>
      </c>
      <c r="Z173" s="1338"/>
      <c r="AA173" s="3059"/>
      <c r="AB173" s="2369">
        <f t="shared" si="18"/>
        <v>23608</v>
      </c>
      <c r="AC173" s="2944">
        <v>103350</v>
      </c>
    </row>
    <row r="174" spans="1:29">
      <c r="A174" s="53">
        <f t="shared" si="21"/>
        <v>2006.09</v>
      </c>
      <c r="B174" s="2395">
        <f t="shared" si="19"/>
        <v>600896.47148210905</v>
      </c>
      <c r="C174" s="2396">
        <f t="shared" si="20"/>
        <v>198249</v>
      </c>
      <c r="D174" s="386">
        <v>731969</v>
      </c>
      <c r="E174" s="3669"/>
      <c r="F174" s="151">
        <v>497121</v>
      </c>
      <c r="G174" s="3061"/>
      <c r="H174" s="632">
        <v>336426</v>
      </c>
      <c r="I174" s="3504">
        <v>264470.47148210899</v>
      </c>
      <c r="J174" s="636"/>
      <c r="K174" s="669"/>
      <c r="L174" s="3062">
        <f t="shared" si="15"/>
        <v>600896.47148210905</v>
      </c>
      <c r="M174" s="632">
        <v>76568</v>
      </c>
      <c r="N174" s="151">
        <v>121681</v>
      </c>
      <c r="O174" s="3669"/>
      <c r="P174" s="669"/>
      <c r="Q174" s="2396">
        <f t="shared" si="16"/>
        <v>198249</v>
      </c>
      <c r="R174" s="456">
        <v>103130</v>
      </c>
      <c r="S174" s="2942">
        <v>421547</v>
      </c>
      <c r="T174" s="473"/>
      <c r="U174" s="3063"/>
      <c r="V174" s="2369">
        <f t="shared" si="17"/>
        <v>524677</v>
      </c>
      <c r="W174" s="2942">
        <v>528330</v>
      </c>
      <c r="X174" s="456">
        <v>0</v>
      </c>
      <c r="Y174" s="2942">
        <v>38083</v>
      </c>
      <c r="Z174" s="1338"/>
      <c r="AA174" s="3059"/>
      <c r="AB174" s="2369">
        <f t="shared" si="18"/>
        <v>38083</v>
      </c>
      <c r="AC174" s="2944">
        <v>78390</v>
      </c>
    </row>
    <row r="175" spans="1:29">
      <c r="A175" s="53">
        <f t="shared" si="21"/>
        <v>2006.1</v>
      </c>
      <c r="B175" s="2395">
        <f t="shared" si="19"/>
        <v>931483.28614006471</v>
      </c>
      <c r="C175" s="2396">
        <f t="shared" si="20"/>
        <v>150576</v>
      </c>
      <c r="D175" s="386">
        <v>1204909</v>
      </c>
      <c r="E175" s="3669"/>
      <c r="F175" s="151">
        <v>717622</v>
      </c>
      <c r="G175" s="3061"/>
      <c r="H175" s="632">
        <v>455454</v>
      </c>
      <c r="I175" s="3504">
        <v>476029.28614006465</v>
      </c>
      <c r="J175" s="636"/>
      <c r="K175" s="669"/>
      <c r="L175" s="3062">
        <f t="shared" si="15"/>
        <v>931483.28614006471</v>
      </c>
      <c r="M175" s="632">
        <v>68654</v>
      </c>
      <c r="N175" s="151">
        <v>81922</v>
      </c>
      <c r="O175" s="3669"/>
      <c r="P175" s="669"/>
      <c r="Q175" s="2396">
        <f t="shared" si="16"/>
        <v>150576</v>
      </c>
      <c r="R175" s="456">
        <v>132849</v>
      </c>
      <c r="S175" s="2942">
        <v>422698</v>
      </c>
      <c r="T175" s="473"/>
      <c r="U175" s="3063"/>
      <c r="V175" s="2369">
        <f t="shared" si="17"/>
        <v>555547</v>
      </c>
      <c r="W175" s="2942">
        <v>576900</v>
      </c>
      <c r="X175" s="456">
        <v>1000</v>
      </c>
      <c r="Y175" s="2942">
        <v>40600</v>
      </c>
      <c r="Z175" s="1338"/>
      <c r="AA175" s="3059"/>
      <c r="AB175" s="2369">
        <f t="shared" si="18"/>
        <v>41600</v>
      </c>
      <c r="AC175" s="2944">
        <v>101300</v>
      </c>
    </row>
    <row r="176" spans="1:29">
      <c r="A176" s="53">
        <f t="shared" si="21"/>
        <v>2006.11</v>
      </c>
      <c r="B176" s="2395">
        <f t="shared" si="19"/>
        <v>1003521.4316745845</v>
      </c>
      <c r="C176" s="2396">
        <f t="shared" si="20"/>
        <v>321247</v>
      </c>
      <c r="D176" s="386">
        <v>1081568</v>
      </c>
      <c r="E176" s="3669"/>
      <c r="F176" s="151">
        <v>618368</v>
      </c>
      <c r="G176" s="3061"/>
      <c r="H176" s="632">
        <v>532231</v>
      </c>
      <c r="I176" s="3504">
        <v>471290.43167458451</v>
      </c>
      <c r="J176" s="636"/>
      <c r="K176" s="669"/>
      <c r="L176" s="3062">
        <f t="shared" si="15"/>
        <v>1003521.4316745845</v>
      </c>
      <c r="M176" s="632">
        <v>143254</v>
      </c>
      <c r="N176" s="151">
        <v>177993</v>
      </c>
      <c r="O176" s="3669"/>
      <c r="P176" s="669"/>
      <c r="Q176" s="2396">
        <f t="shared" si="16"/>
        <v>321247</v>
      </c>
      <c r="R176" s="456">
        <v>74088</v>
      </c>
      <c r="S176" s="2942">
        <v>362494</v>
      </c>
      <c r="T176" s="473"/>
      <c r="U176" s="3063"/>
      <c r="V176" s="2369">
        <f t="shared" si="17"/>
        <v>436582</v>
      </c>
      <c r="W176" s="2942">
        <v>449620</v>
      </c>
      <c r="X176" s="456">
        <v>0</v>
      </c>
      <c r="Y176" s="2942">
        <v>7030</v>
      </c>
      <c r="Z176" s="1338"/>
      <c r="AA176" s="3059"/>
      <c r="AB176" s="2369">
        <f t="shared" si="18"/>
        <v>7030</v>
      </c>
      <c r="AC176" s="2944">
        <v>37600</v>
      </c>
    </row>
    <row r="177" spans="1:29">
      <c r="A177" s="53">
        <f t="shared" si="21"/>
        <v>2006.12</v>
      </c>
      <c r="B177" s="2395">
        <f t="shared" si="19"/>
        <v>369468.20487707271</v>
      </c>
      <c r="C177" s="2396">
        <f t="shared" si="20"/>
        <v>736415</v>
      </c>
      <c r="D177" s="386">
        <v>454109</v>
      </c>
      <c r="E177" s="3669"/>
      <c r="F177" s="151">
        <v>1556235</v>
      </c>
      <c r="G177" s="3061"/>
      <c r="H177" s="632">
        <v>113239</v>
      </c>
      <c r="I177" s="3504">
        <v>256229.20487707271</v>
      </c>
      <c r="J177" s="636"/>
      <c r="K177" s="669"/>
      <c r="L177" s="3062">
        <f t="shared" si="15"/>
        <v>369468.20487707271</v>
      </c>
      <c r="M177" s="632">
        <v>226220</v>
      </c>
      <c r="N177" s="151">
        <v>510195</v>
      </c>
      <c r="O177" s="3669"/>
      <c r="P177" s="669"/>
      <c r="Q177" s="2396">
        <f t="shared" si="16"/>
        <v>736415</v>
      </c>
      <c r="R177" s="456">
        <v>96553</v>
      </c>
      <c r="S177" s="2942">
        <v>378470.66666666698</v>
      </c>
      <c r="T177" s="473"/>
      <c r="U177" s="3063"/>
      <c r="V177" s="2369">
        <f t="shared" si="17"/>
        <v>475023.66666666698</v>
      </c>
      <c r="W177" s="2942">
        <v>494620</v>
      </c>
      <c r="X177" s="456">
        <v>1000</v>
      </c>
      <c r="Y177" s="2942">
        <v>27121</v>
      </c>
      <c r="Z177" s="1338"/>
      <c r="AA177" s="3059"/>
      <c r="AB177" s="2369">
        <f t="shared" si="18"/>
        <v>28121</v>
      </c>
      <c r="AC177" s="2944">
        <v>75020</v>
      </c>
    </row>
    <row r="178" spans="1:29">
      <c r="A178" s="53">
        <f t="shared" si="21"/>
        <v>2007.01</v>
      </c>
      <c r="B178" s="2395">
        <f t="shared" si="19"/>
        <v>286915.32441014226</v>
      </c>
      <c r="C178" s="2396">
        <f t="shared" si="20"/>
        <v>645634</v>
      </c>
      <c r="D178" s="386">
        <v>359491</v>
      </c>
      <c r="E178" s="3669"/>
      <c r="F178" s="151">
        <v>1443602</v>
      </c>
      <c r="G178" s="3061"/>
      <c r="H178" s="632">
        <v>132098</v>
      </c>
      <c r="I178" s="3504">
        <v>154817.32441014223</v>
      </c>
      <c r="J178" s="636"/>
      <c r="K178" s="669"/>
      <c r="L178" s="3062">
        <f t="shared" si="15"/>
        <v>286915.32441014226</v>
      </c>
      <c r="M178" s="632">
        <v>324208</v>
      </c>
      <c r="N178" s="151">
        <v>321426</v>
      </c>
      <c r="O178" s="3669"/>
      <c r="P178" s="669"/>
      <c r="Q178" s="2396">
        <f t="shared" si="16"/>
        <v>645634</v>
      </c>
      <c r="R178" s="456">
        <v>35400</v>
      </c>
      <c r="S178" s="2942">
        <v>186630</v>
      </c>
      <c r="T178" s="473"/>
      <c r="U178" s="3063"/>
      <c r="V178" s="2369">
        <f t="shared" si="17"/>
        <v>222030</v>
      </c>
      <c r="W178" s="2942">
        <v>228530</v>
      </c>
      <c r="X178" s="456">
        <v>0</v>
      </c>
      <c r="Y178" s="2942">
        <v>20855</v>
      </c>
      <c r="Z178" s="1338"/>
      <c r="AA178" s="3059"/>
      <c r="AB178" s="2369">
        <f t="shared" si="18"/>
        <v>20855</v>
      </c>
      <c r="AC178" s="2944">
        <v>40420</v>
      </c>
    </row>
    <row r="179" spans="1:29">
      <c r="A179" s="53">
        <f t="shared" si="21"/>
        <v>2007.02</v>
      </c>
      <c r="B179" s="2395">
        <f t="shared" si="19"/>
        <v>307484.74985436455</v>
      </c>
      <c r="C179" s="2396">
        <f t="shared" si="20"/>
        <v>704208</v>
      </c>
      <c r="D179" s="386">
        <v>308060</v>
      </c>
      <c r="E179" s="3669"/>
      <c r="F179" s="151">
        <v>1253649</v>
      </c>
      <c r="G179" s="3061"/>
      <c r="H179" s="632">
        <v>89952</v>
      </c>
      <c r="I179" s="3504">
        <v>217532.74985436455</v>
      </c>
      <c r="J179" s="636"/>
      <c r="K179" s="669"/>
      <c r="L179" s="3062">
        <f t="shared" si="15"/>
        <v>307484.74985436455</v>
      </c>
      <c r="M179" s="632">
        <v>283827</v>
      </c>
      <c r="N179" s="151">
        <v>420381</v>
      </c>
      <c r="O179" s="3669"/>
      <c r="P179" s="669"/>
      <c r="Q179" s="2396">
        <f t="shared" si="16"/>
        <v>704208</v>
      </c>
      <c r="R179" s="456">
        <v>78451</v>
      </c>
      <c r="S179" s="2942">
        <v>427762</v>
      </c>
      <c r="T179" s="473"/>
      <c r="U179" s="3063"/>
      <c r="V179" s="2369">
        <f t="shared" si="17"/>
        <v>506213</v>
      </c>
      <c r="W179" s="2942">
        <v>506213</v>
      </c>
      <c r="X179" s="456">
        <v>0</v>
      </c>
      <c r="Y179" s="2942">
        <v>83478</v>
      </c>
      <c r="Z179" s="1338"/>
      <c r="AA179" s="3059"/>
      <c r="AB179" s="2369">
        <f t="shared" si="18"/>
        <v>83478</v>
      </c>
      <c r="AC179" s="2944">
        <v>98160</v>
      </c>
    </row>
    <row r="180" spans="1:29">
      <c r="A180" s="53">
        <f t="shared" si="21"/>
        <v>2007.03</v>
      </c>
      <c r="B180" s="2395">
        <f t="shared" si="19"/>
        <v>1102043.5672890474</v>
      </c>
      <c r="C180" s="2396">
        <f t="shared" si="20"/>
        <v>540048</v>
      </c>
      <c r="D180" s="386">
        <v>1283674</v>
      </c>
      <c r="E180" s="3669"/>
      <c r="F180" s="151">
        <v>1031947</v>
      </c>
      <c r="G180" s="3061"/>
      <c r="H180" s="632">
        <v>412353</v>
      </c>
      <c r="I180" s="3504">
        <v>689690.56728904741</v>
      </c>
      <c r="J180" s="636"/>
      <c r="K180" s="669"/>
      <c r="L180" s="3062">
        <f t="shared" si="15"/>
        <v>1102043.5672890474</v>
      </c>
      <c r="M180" s="632">
        <v>231643</v>
      </c>
      <c r="N180" s="151">
        <v>308405</v>
      </c>
      <c r="O180" s="3669"/>
      <c r="P180" s="669"/>
      <c r="Q180" s="2396">
        <f t="shared" si="16"/>
        <v>540048</v>
      </c>
      <c r="R180" s="456">
        <v>75653</v>
      </c>
      <c r="S180" s="2942">
        <v>376186</v>
      </c>
      <c r="T180" s="473"/>
      <c r="U180" s="3063"/>
      <c r="V180" s="2369">
        <f t="shared" si="17"/>
        <v>451839</v>
      </c>
      <c r="W180" s="2942">
        <v>461340</v>
      </c>
      <c r="X180" s="456">
        <v>12529</v>
      </c>
      <c r="Y180" s="2942">
        <v>53493</v>
      </c>
      <c r="Z180" s="1338"/>
      <c r="AA180" s="3059"/>
      <c r="AB180" s="2369">
        <f t="shared" si="18"/>
        <v>66022</v>
      </c>
      <c r="AC180" s="2944">
        <v>97550</v>
      </c>
    </row>
    <row r="181" spans="1:29">
      <c r="A181" s="53">
        <f t="shared" si="21"/>
        <v>2007.04</v>
      </c>
      <c r="B181" s="2395">
        <f t="shared" si="19"/>
        <v>1795252.549077095</v>
      </c>
      <c r="C181" s="2396">
        <f t="shared" si="20"/>
        <v>367496</v>
      </c>
      <c r="D181" s="386">
        <v>2373118</v>
      </c>
      <c r="E181" s="3669"/>
      <c r="F181" s="151">
        <v>983555</v>
      </c>
      <c r="G181" s="3061"/>
      <c r="H181" s="632">
        <v>865390</v>
      </c>
      <c r="I181" s="3504">
        <v>929862.54907709511</v>
      </c>
      <c r="J181" s="636"/>
      <c r="K181" s="669"/>
      <c r="L181" s="3062">
        <f t="shared" si="15"/>
        <v>1795252.549077095</v>
      </c>
      <c r="M181" s="632">
        <v>193179</v>
      </c>
      <c r="N181" s="151">
        <v>174317</v>
      </c>
      <c r="O181" s="3669"/>
      <c r="P181" s="669"/>
      <c r="Q181" s="2396">
        <f t="shared" si="16"/>
        <v>367496</v>
      </c>
      <c r="R181" s="456">
        <v>70000</v>
      </c>
      <c r="S181" s="2942">
        <v>335463</v>
      </c>
      <c r="T181" s="473"/>
      <c r="U181" s="3063"/>
      <c r="V181" s="2369">
        <f t="shared" si="17"/>
        <v>405463</v>
      </c>
      <c r="W181" s="2942">
        <v>419160</v>
      </c>
      <c r="X181" s="456">
        <v>7000</v>
      </c>
      <c r="Y181" s="2942">
        <v>32623</v>
      </c>
      <c r="Z181" s="1338"/>
      <c r="AA181" s="3059"/>
      <c r="AB181" s="2369">
        <f t="shared" si="18"/>
        <v>39623</v>
      </c>
      <c r="AC181" s="2944">
        <v>106930</v>
      </c>
    </row>
    <row r="182" spans="1:29">
      <c r="A182" s="53">
        <f t="shared" si="21"/>
        <v>2007.05</v>
      </c>
      <c r="B182" s="2395">
        <f t="shared" si="19"/>
        <v>1598442.8093693508</v>
      </c>
      <c r="C182" s="2396">
        <f t="shared" si="20"/>
        <v>241609</v>
      </c>
      <c r="D182" s="386">
        <v>2153950</v>
      </c>
      <c r="E182" s="3669"/>
      <c r="F182" s="151">
        <v>688093</v>
      </c>
      <c r="G182" s="3061"/>
      <c r="H182" s="632">
        <v>663394</v>
      </c>
      <c r="I182" s="3504">
        <v>935048.80936935067</v>
      </c>
      <c r="J182" s="636"/>
      <c r="K182" s="669"/>
      <c r="L182" s="3062">
        <f t="shared" si="15"/>
        <v>1598442.8093693508</v>
      </c>
      <c r="M182" s="632">
        <v>63608</v>
      </c>
      <c r="N182" s="151">
        <v>178001</v>
      </c>
      <c r="O182" s="3669"/>
      <c r="P182" s="669"/>
      <c r="Q182" s="2396">
        <f t="shared" si="16"/>
        <v>241609</v>
      </c>
      <c r="R182" s="456">
        <v>174123</v>
      </c>
      <c r="S182" s="2942">
        <v>430699.89</v>
      </c>
      <c r="T182" s="473"/>
      <c r="U182" s="3063"/>
      <c r="V182" s="2369">
        <f t="shared" si="17"/>
        <v>604822.89</v>
      </c>
      <c r="W182" s="2942">
        <v>614770</v>
      </c>
      <c r="X182" s="456">
        <v>2000</v>
      </c>
      <c r="Y182" s="2942">
        <v>71080</v>
      </c>
      <c r="Z182" s="1338"/>
      <c r="AA182" s="3059"/>
      <c r="AB182" s="2369">
        <f t="shared" si="18"/>
        <v>73080</v>
      </c>
      <c r="AC182" s="2944">
        <v>111390</v>
      </c>
    </row>
    <row r="183" spans="1:29">
      <c r="A183" s="53">
        <f t="shared" si="21"/>
        <v>2007.06</v>
      </c>
      <c r="B183" s="2395">
        <f t="shared" si="19"/>
        <v>1285700</v>
      </c>
      <c r="C183" s="2396">
        <f t="shared" si="20"/>
        <v>328806</v>
      </c>
      <c r="D183" s="386">
        <v>1564223</v>
      </c>
      <c r="E183" s="3669"/>
      <c r="F183" s="151">
        <v>659794</v>
      </c>
      <c r="G183" s="3061"/>
      <c r="H183" s="632">
        <v>632188</v>
      </c>
      <c r="I183" s="3504">
        <v>653512</v>
      </c>
      <c r="J183" s="636"/>
      <c r="K183" s="669"/>
      <c r="L183" s="3062">
        <f t="shared" si="15"/>
        <v>1285700</v>
      </c>
      <c r="M183" s="632">
        <v>104341</v>
      </c>
      <c r="N183" s="151">
        <v>224465</v>
      </c>
      <c r="O183" s="3669"/>
      <c r="P183" s="669"/>
      <c r="Q183" s="2396">
        <f t="shared" si="16"/>
        <v>328806</v>
      </c>
      <c r="R183" s="456">
        <v>144087</v>
      </c>
      <c r="S183" s="2942">
        <v>511018</v>
      </c>
      <c r="T183" s="473"/>
      <c r="U183" s="3063"/>
      <c r="V183" s="2369">
        <f t="shared" si="17"/>
        <v>655105</v>
      </c>
      <c r="W183" s="2942">
        <v>662010</v>
      </c>
      <c r="X183" s="456">
        <v>0</v>
      </c>
      <c r="Y183" s="2942">
        <v>38352</v>
      </c>
      <c r="Z183" s="1338"/>
      <c r="AA183" s="3059"/>
      <c r="AB183" s="2369">
        <f t="shared" si="18"/>
        <v>38352</v>
      </c>
      <c r="AC183" s="2944">
        <v>89360</v>
      </c>
    </row>
    <row r="184" spans="1:29">
      <c r="A184" s="53">
        <f t="shared" si="21"/>
        <v>2007.07</v>
      </c>
      <c r="B184" s="2395">
        <f t="shared" si="19"/>
        <v>1291575</v>
      </c>
      <c r="C184" s="2396">
        <f t="shared" si="20"/>
        <v>274827</v>
      </c>
      <c r="D184" s="386">
        <v>1582896</v>
      </c>
      <c r="E184" s="3669"/>
      <c r="F184" s="151">
        <v>611284</v>
      </c>
      <c r="G184" s="3061"/>
      <c r="H184" s="632">
        <v>585290</v>
      </c>
      <c r="I184" s="3504">
        <v>706285</v>
      </c>
      <c r="J184" s="636"/>
      <c r="K184" s="669"/>
      <c r="L184" s="3062">
        <f t="shared" si="15"/>
        <v>1291575</v>
      </c>
      <c r="M184" s="632">
        <v>190251</v>
      </c>
      <c r="N184" s="151">
        <v>84576</v>
      </c>
      <c r="O184" s="3669"/>
      <c r="P184" s="669"/>
      <c r="Q184" s="2396">
        <f t="shared" si="16"/>
        <v>274827</v>
      </c>
      <c r="R184" s="456">
        <v>148302</v>
      </c>
      <c r="S184" s="2942">
        <v>549106</v>
      </c>
      <c r="T184" s="473"/>
      <c r="U184" s="3063"/>
      <c r="V184" s="2369">
        <f t="shared" si="17"/>
        <v>697408</v>
      </c>
      <c r="W184" s="2942">
        <v>716510</v>
      </c>
      <c r="X184" s="456">
        <v>0</v>
      </c>
      <c r="Y184" s="2942">
        <v>44913</v>
      </c>
      <c r="Z184" s="1338"/>
      <c r="AA184" s="3059"/>
      <c r="AB184" s="2369">
        <f t="shared" si="18"/>
        <v>44913</v>
      </c>
      <c r="AC184" s="2944">
        <v>65600</v>
      </c>
    </row>
    <row r="185" spans="1:29">
      <c r="A185" s="53">
        <f t="shared" si="21"/>
        <v>2007.08</v>
      </c>
      <c r="B185" s="2395">
        <f t="shared" si="19"/>
        <v>1188045</v>
      </c>
      <c r="C185" s="2396">
        <f t="shared" si="20"/>
        <v>146476</v>
      </c>
      <c r="D185" s="386">
        <v>1669874</v>
      </c>
      <c r="E185" s="3669"/>
      <c r="F185" s="151">
        <v>373104</v>
      </c>
      <c r="G185" s="3061"/>
      <c r="H185" s="632">
        <v>690439</v>
      </c>
      <c r="I185" s="3504">
        <v>497606</v>
      </c>
      <c r="J185" s="636"/>
      <c r="K185" s="669"/>
      <c r="L185" s="3062">
        <f t="shared" si="15"/>
        <v>1188045</v>
      </c>
      <c r="M185" s="632">
        <v>100751</v>
      </c>
      <c r="N185" s="151">
        <v>45725</v>
      </c>
      <c r="O185" s="3669"/>
      <c r="P185" s="669"/>
      <c r="Q185" s="2396">
        <f t="shared" si="16"/>
        <v>146476</v>
      </c>
      <c r="R185" s="456">
        <v>121027</v>
      </c>
      <c r="S185" s="2942">
        <v>437027</v>
      </c>
      <c r="T185" s="473"/>
      <c r="U185" s="3063"/>
      <c r="V185" s="2369">
        <f t="shared" si="17"/>
        <v>558054</v>
      </c>
      <c r="W185" s="2942">
        <v>570850</v>
      </c>
      <c r="X185" s="456">
        <v>0</v>
      </c>
      <c r="Y185" s="2942">
        <v>35380</v>
      </c>
      <c r="Z185" s="1338"/>
      <c r="AA185" s="3059"/>
      <c r="AB185" s="2369">
        <f t="shared" si="18"/>
        <v>35380</v>
      </c>
      <c r="AC185" s="2944">
        <v>88470</v>
      </c>
    </row>
    <row r="186" spans="1:29">
      <c r="A186" s="53">
        <f t="shared" si="21"/>
        <v>2007.09</v>
      </c>
      <c r="B186" s="2395">
        <f>L186</f>
        <v>1250034</v>
      </c>
      <c r="C186" s="2396">
        <f t="shared" si="20"/>
        <v>50632</v>
      </c>
      <c r="D186" s="386">
        <v>1505063</v>
      </c>
      <c r="E186" s="3669"/>
      <c r="F186" s="151">
        <v>116428</v>
      </c>
      <c r="G186" s="3061"/>
      <c r="H186" s="632">
        <v>549685</v>
      </c>
      <c r="I186" s="3504">
        <v>700349</v>
      </c>
      <c r="J186" s="636"/>
      <c r="K186" s="669"/>
      <c r="L186" s="3062">
        <f t="shared" si="15"/>
        <v>1250034</v>
      </c>
      <c r="M186" s="632">
        <v>14500</v>
      </c>
      <c r="N186" s="151">
        <v>36132</v>
      </c>
      <c r="O186" s="3669"/>
      <c r="P186" s="669"/>
      <c r="Q186" s="2396">
        <f t="shared" si="16"/>
        <v>50632</v>
      </c>
      <c r="R186" s="456">
        <v>143440</v>
      </c>
      <c r="S186" s="2942">
        <v>344728</v>
      </c>
      <c r="T186" s="473"/>
      <c r="U186" s="3063"/>
      <c r="V186" s="2369">
        <f t="shared" si="17"/>
        <v>488168</v>
      </c>
      <c r="W186" s="2942">
        <v>509740</v>
      </c>
      <c r="X186" s="456">
        <v>0</v>
      </c>
      <c r="Y186" s="2942">
        <v>24518</v>
      </c>
      <c r="Z186" s="1338"/>
      <c r="AA186" s="3059"/>
      <c r="AB186" s="2369">
        <f t="shared" si="18"/>
        <v>24518</v>
      </c>
      <c r="AC186" s="2944">
        <v>79450</v>
      </c>
    </row>
    <row r="187" spans="1:29">
      <c r="A187" s="53">
        <f t="shared" si="21"/>
        <v>2007.1</v>
      </c>
      <c r="B187" s="2395">
        <f t="shared" si="19"/>
        <v>867666</v>
      </c>
      <c r="C187" s="2396">
        <f t="shared" si="20"/>
        <v>7388</v>
      </c>
      <c r="D187" s="386">
        <v>1047065</v>
      </c>
      <c r="E187" s="3669"/>
      <c r="F187" s="151">
        <v>62082</v>
      </c>
      <c r="G187" s="3061"/>
      <c r="H187" s="632">
        <v>467611</v>
      </c>
      <c r="I187" s="3504">
        <v>400055</v>
      </c>
      <c r="J187" s="636"/>
      <c r="K187" s="669"/>
      <c r="L187" s="3062">
        <f t="shared" si="15"/>
        <v>867666</v>
      </c>
      <c r="M187" s="632">
        <v>0</v>
      </c>
      <c r="N187" s="151">
        <v>7388</v>
      </c>
      <c r="O187" s="3669"/>
      <c r="P187" s="669"/>
      <c r="Q187" s="2396">
        <f t="shared" si="16"/>
        <v>7388</v>
      </c>
      <c r="R187" s="456">
        <v>146082</v>
      </c>
      <c r="S187" s="2942">
        <v>556186</v>
      </c>
      <c r="T187" s="473"/>
      <c r="U187" s="3063"/>
      <c r="V187" s="2369">
        <f t="shared" si="17"/>
        <v>702268</v>
      </c>
      <c r="W187" s="2942">
        <v>733410</v>
      </c>
      <c r="X187" s="456">
        <v>0</v>
      </c>
      <c r="Y187" s="2942">
        <v>11020</v>
      </c>
      <c r="Z187" s="1338"/>
      <c r="AA187" s="3059"/>
      <c r="AB187" s="2369">
        <f t="shared" si="18"/>
        <v>11020</v>
      </c>
      <c r="AC187" s="2944">
        <v>47830</v>
      </c>
    </row>
    <row r="188" spans="1:29">
      <c r="A188" s="53">
        <f t="shared" si="21"/>
        <v>2007.11</v>
      </c>
      <c r="B188" s="2395">
        <f t="shared" si="19"/>
        <v>386013</v>
      </c>
      <c r="C188" s="2396">
        <f>Q188</f>
        <v>368942</v>
      </c>
      <c r="D188" s="386">
        <v>488678</v>
      </c>
      <c r="E188" s="3669"/>
      <c r="F188" s="151">
        <v>536186</v>
      </c>
      <c r="G188" s="3061"/>
      <c r="H188" s="632">
        <v>135527</v>
      </c>
      <c r="I188" s="3504">
        <v>250486</v>
      </c>
      <c r="J188" s="636"/>
      <c r="K188" s="669"/>
      <c r="L188" s="3062">
        <f t="shared" si="15"/>
        <v>386013</v>
      </c>
      <c r="M188" s="632">
        <v>105054</v>
      </c>
      <c r="N188" s="151">
        <v>263888</v>
      </c>
      <c r="O188" s="3669"/>
      <c r="P188" s="669"/>
      <c r="Q188" s="2396">
        <f t="shared" si="16"/>
        <v>368942</v>
      </c>
      <c r="R188" s="456">
        <v>131600</v>
      </c>
      <c r="S188" s="2942">
        <v>366019</v>
      </c>
      <c r="T188" s="473"/>
      <c r="U188" s="3063"/>
      <c r="V188" s="2369">
        <f t="shared" si="17"/>
        <v>497619</v>
      </c>
      <c r="W188" s="2942">
        <v>515000</v>
      </c>
      <c r="X188" s="456">
        <v>0</v>
      </c>
      <c r="Y188" s="2942">
        <v>8399</v>
      </c>
      <c r="Z188" s="1338"/>
      <c r="AA188" s="3059"/>
      <c r="AB188" s="2369">
        <f t="shared" si="18"/>
        <v>8399</v>
      </c>
      <c r="AC188" s="2944">
        <v>34400</v>
      </c>
    </row>
    <row r="189" spans="1:29">
      <c r="A189" s="53">
        <f t="shared" si="21"/>
        <v>2007.12</v>
      </c>
      <c r="B189" s="2395">
        <f t="shared" si="19"/>
        <v>280778</v>
      </c>
      <c r="C189" s="2396">
        <f t="shared" si="20"/>
        <v>1143697</v>
      </c>
      <c r="D189" s="386">
        <v>331444</v>
      </c>
      <c r="E189" s="3669"/>
      <c r="F189" s="151">
        <v>1724593</v>
      </c>
      <c r="G189" s="3061"/>
      <c r="H189" s="632">
        <v>113035</v>
      </c>
      <c r="I189" s="3504">
        <v>167743</v>
      </c>
      <c r="J189" s="636"/>
      <c r="K189" s="669"/>
      <c r="L189" s="3062">
        <f t="shared" si="15"/>
        <v>280778</v>
      </c>
      <c r="M189" s="632">
        <v>523544</v>
      </c>
      <c r="N189" s="151">
        <v>620153</v>
      </c>
      <c r="O189" s="3669"/>
      <c r="P189" s="669"/>
      <c r="Q189" s="2396">
        <f t="shared" si="16"/>
        <v>1143697</v>
      </c>
      <c r="R189" s="456">
        <v>165400</v>
      </c>
      <c r="S189" s="2942">
        <v>520320</v>
      </c>
      <c r="T189" s="473"/>
      <c r="U189" s="3063"/>
      <c r="V189" s="2369">
        <f t="shared" si="17"/>
        <v>685720</v>
      </c>
      <c r="W189" s="2942">
        <v>700240</v>
      </c>
      <c r="X189" s="456">
        <v>0</v>
      </c>
      <c r="Y189" s="2942">
        <v>4036</v>
      </c>
      <c r="Z189" s="1338"/>
      <c r="AA189" s="3059"/>
      <c r="AB189" s="2369">
        <f t="shared" si="18"/>
        <v>4036</v>
      </c>
      <c r="AC189" s="2944">
        <v>27940</v>
      </c>
    </row>
    <row r="190" spans="1:29">
      <c r="A190" s="53">
        <f t="shared" si="21"/>
        <v>2008.01</v>
      </c>
      <c r="B190" s="2395">
        <f t="shared" si="19"/>
        <v>123386.28984423952</v>
      </c>
      <c r="C190" s="2396">
        <f t="shared" si="20"/>
        <v>1632380</v>
      </c>
      <c r="D190" s="386">
        <v>124845.35662293155</v>
      </c>
      <c r="E190" s="3669"/>
      <c r="F190" s="151">
        <v>3351208</v>
      </c>
      <c r="G190" s="3061"/>
      <c r="H190" s="632">
        <v>42550</v>
      </c>
      <c r="I190" s="3504">
        <v>80836.289844239524</v>
      </c>
      <c r="J190" s="636"/>
      <c r="K190" s="669"/>
      <c r="L190" s="3062">
        <f t="shared" si="15"/>
        <v>123386.28984423952</v>
      </c>
      <c r="M190" s="632">
        <v>767385</v>
      </c>
      <c r="N190" s="151">
        <v>864995</v>
      </c>
      <c r="O190" s="3669"/>
      <c r="P190" s="669"/>
      <c r="Q190" s="2396">
        <f t="shared" si="16"/>
        <v>1632380</v>
      </c>
      <c r="R190" s="456">
        <v>162096</v>
      </c>
      <c r="S190" s="2942">
        <v>490002</v>
      </c>
      <c r="T190" s="473"/>
      <c r="U190" s="3063"/>
      <c r="V190" s="2369">
        <f t="shared" si="17"/>
        <v>652098</v>
      </c>
      <c r="W190" s="2942">
        <v>672800</v>
      </c>
      <c r="X190" s="456">
        <v>0</v>
      </c>
      <c r="Y190" s="2942">
        <v>49328</v>
      </c>
      <c r="Z190" s="1338"/>
      <c r="AA190" s="3059"/>
      <c r="AB190" s="2369">
        <f t="shared" si="18"/>
        <v>49328</v>
      </c>
      <c r="AC190" s="2944">
        <v>54980</v>
      </c>
    </row>
    <row r="191" spans="1:29">
      <c r="A191" s="53">
        <f t="shared" si="21"/>
        <v>2008.02</v>
      </c>
      <c r="B191" s="2395">
        <f t="shared" si="19"/>
        <v>783941.4350068908</v>
      </c>
      <c r="C191" s="2396">
        <f t="shared" si="20"/>
        <v>1050039</v>
      </c>
      <c r="D191" s="386">
        <v>837998.97254652029</v>
      </c>
      <c r="E191" s="3669"/>
      <c r="F191" s="151">
        <v>1599502</v>
      </c>
      <c r="G191" s="3061"/>
      <c r="H191" s="632">
        <v>144118</v>
      </c>
      <c r="I191" s="3504">
        <v>639823.4350068908</v>
      </c>
      <c r="J191" s="636"/>
      <c r="K191" s="669"/>
      <c r="L191" s="3062">
        <f t="shared" si="15"/>
        <v>783941.4350068908</v>
      </c>
      <c r="M191" s="632">
        <v>489005</v>
      </c>
      <c r="N191" s="151">
        <v>561034</v>
      </c>
      <c r="O191" s="3669"/>
      <c r="P191" s="669"/>
      <c r="Q191" s="2396">
        <f t="shared" si="16"/>
        <v>1050039</v>
      </c>
      <c r="R191" s="456">
        <v>69416</v>
      </c>
      <c r="S191" s="2942">
        <v>273540</v>
      </c>
      <c r="T191" s="473"/>
      <c r="U191" s="3063"/>
      <c r="V191" s="2369">
        <f t="shared" si="17"/>
        <v>342956</v>
      </c>
      <c r="W191" s="2942">
        <v>348760</v>
      </c>
      <c r="X191" s="456">
        <v>0</v>
      </c>
      <c r="Y191" s="2942">
        <v>70645</v>
      </c>
      <c r="Z191" s="1338"/>
      <c r="AA191" s="3059"/>
      <c r="AB191" s="2369">
        <f t="shared" si="18"/>
        <v>70645</v>
      </c>
      <c r="AC191" s="2944">
        <v>86350</v>
      </c>
    </row>
    <row r="192" spans="1:29">
      <c r="A192" s="53">
        <f t="shared" si="21"/>
        <v>2008.03</v>
      </c>
      <c r="B192" s="2395">
        <f t="shared" si="19"/>
        <v>1756747.9425710104</v>
      </c>
      <c r="C192" s="2396">
        <f t="shared" si="20"/>
        <v>0</v>
      </c>
      <c r="D192" s="386">
        <v>1956124.6708305483</v>
      </c>
      <c r="E192" s="3669"/>
      <c r="F192" s="151">
        <v>2674</v>
      </c>
      <c r="G192" s="3061"/>
      <c r="H192" s="632">
        <v>682556</v>
      </c>
      <c r="I192" s="3504">
        <v>1074191.9425710104</v>
      </c>
      <c r="J192" s="636"/>
      <c r="K192" s="669"/>
      <c r="L192" s="3062">
        <f t="shared" si="15"/>
        <v>1756747.9425710104</v>
      </c>
      <c r="M192" s="632">
        <v>0</v>
      </c>
      <c r="N192" s="151">
        <v>0</v>
      </c>
      <c r="O192" s="3669"/>
      <c r="P192" s="669"/>
      <c r="Q192" s="2396">
        <f t="shared" si="16"/>
        <v>0</v>
      </c>
      <c r="R192" s="456">
        <v>58552</v>
      </c>
      <c r="S192" s="2942">
        <v>221632</v>
      </c>
      <c r="T192" s="473"/>
      <c r="U192" s="3063"/>
      <c r="V192" s="2369">
        <f t="shared" si="17"/>
        <v>280184</v>
      </c>
      <c r="W192" s="2942">
        <v>282790</v>
      </c>
      <c r="X192" s="456">
        <v>0</v>
      </c>
      <c r="Y192" s="2942">
        <v>67658</v>
      </c>
      <c r="Z192" s="1338"/>
      <c r="AA192" s="3059"/>
      <c r="AB192" s="2369">
        <f t="shared" si="18"/>
        <v>67658</v>
      </c>
      <c r="AC192" s="2944">
        <v>87660</v>
      </c>
    </row>
    <row r="193" spans="1:29">
      <c r="A193" s="53">
        <f t="shared" si="21"/>
        <v>2008.04</v>
      </c>
      <c r="B193" s="2395">
        <f t="shared" si="19"/>
        <v>1723829.7224124488</v>
      </c>
      <c r="C193" s="2396">
        <f t="shared" si="20"/>
        <v>0</v>
      </c>
      <c r="D193" s="386">
        <v>2111533</v>
      </c>
      <c r="E193" s="3669"/>
      <c r="F193" s="151">
        <v>1298</v>
      </c>
      <c r="G193" s="3061"/>
      <c r="H193" s="632">
        <v>651373</v>
      </c>
      <c r="I193" s="3504">
        <v>1072456.7224124488</v>
      </c>
      <c r="J193" s="636"/>
      <c r="K193" s="669"/>
      <c r="L193" s="3062">
        <f>SUM(H193:K193)</f>
        <v>1723829.7224124488</v>
      </c>
      <c r="M193" s="632">
        <v>0</v>
      </c>
      <c r="N193" s="151">
        <v>0</v>
      </c>
      <c r="O193" s="3669"/>
      <c r="P193" s="669"/>
      <c r="Q193" s="2396">
        <f t="shared" si="16"/>
        <v>0</v>
      </c>
      <c r="R193" s="456">
        <v>63300</v>
      </c>
      <c r="S193" s="2942">
        <v>258416</v>
      </c>
      <c r="T193" s="473"/>
      <c r="U193" s="3063"/>
      <c r="V193" s="2369">
        <f t="shared" si="17"/>
        <v>321716</v>
      </c>
      <c r="W193" s="2942">
        <v>326720</v>
      </c>
      <c r="X193" s="456">
        <v>22730</v>
      </c>
      <c r="Y193" s="2942">
        <v>113660</v>
      </c>
      <c r="Z193" s="1338"/>
      <c r="AA193" s="3059"/>
      <c r="AB193" s="2369">
        <f t="shared" si="18"/>
        <v>136390</v>
      </c>
      <c r="AC193" s="2944">
        <v>226740</v>
      </c>
    </row>
    <row r="194" spans="1:29">
      <c r="A194" s="53">
        <f t="shared" si="21"/>
        <v>2008.05</v>
      </c>
      <c r="B194" s="2395">
        <f t="shared" si="19"/>
        <v>1669749.6101654104</v>
      </c>
      <c r="C194" s="2396">
        <f t="shared" si="20"/>
        <v>0</v>
      </c>
      <c r="D194" s="386">
        <v>2146635</v>
      </c>
      <c r="E194" s="3669"/>
      <c r="F194" s="151">
        <v>454</v>
      </c>
      <c r="G194" s="3061"/>
      <c r="H194" s="632">
        <v>722824</v>
      </c>
      <c r="I194" s="3504">
        <v>946925.61016541044</v>
      </c>
      <c r="J194" s="636"/>
      <c r="K194" s="669"/>
      <c r="L194" s="3062">
        <f t="shared" si="15"/>
        <v>1669749.6101654104</v>
      </c>
      <c r="M194" s="632">
        <v>0</v>
      </c>
      <c r="N194" s="151">
        <v>0</v>
      </c>
      <c r="O194" s="3669"/>
      <c r="P194" s="669"/>
      <c r="Q194" s="2396">
        <f t="shared" si="16"/>
        <v>0</v>
      </c>
      <c r="R194" s="456">
        <v>184463</v>
      </c>
      <c r="S194" s="2942">
        <v>373524</v>
      </c>
      <c r="T194" s="473"/>
      <c r="U194" s="3063"/>
      <c r="V194" s="2369">
        <f t="shared" si="17"/>
        <v>557987</v>
      </c>
      <c r="W194" s="2942">
        <v>557990</v>
      </c>
      <c r="X194" s="456">
        <v>0</v>
      </c>
      <c r="Y194" s="2942">
        <v>68036</v>
      </c>
      <c r="Z194" s="1338"/>
      <c r="AA194" s="3059"/>
      <c r="AB194" s="2369">
        <f t="shared" si="18"/>
        <v>68036</v>
      </c>
      <c r="AC194" s="2944">
        <v>136280</v>
      </c>
    </row>
    <row r="195" spans="1:29">
      <c r="A195" s="53">
        <f t="shared" si="21"/>
        <v>2008.06</v>
      </c>
      <c r="B195" s="2395">
        <f t="shared" si="19"/>
        <v>1013358</v>
      </c>
      <c r="C195" s="2396">
        <f t="shared" si="20"/>
        <v>28143</v>
      </c>
      <c r="D195" s="386">
        <v>1274685</v>
      </c>
      <c r="E195" s="3669"/>
      <c r="F195" s="151">
        <v>93382</v>
      </c>
      <c r="G195" s="3061"/>
      <c r="H195" s="632">
        <v>487769</v>
      </c>
      <c r="I195" s="3504">
        <v>525589</v>
      </c>
      <c r="J195" s="636"/>
      <c r="K195" s="669"/>
      <c r="L195" s="3062">
        <f t="shared" si="15"/>
        <v>1013358</v>
      </c>
      <c r="M195" s="632">
        <v>0</v>
      </c>
      <c r="N195" s="151">
        <v>28143</v>
      </c>
      <c r="O195" s="3669"/>
      <c r="P195" s="669"/>
      <c r="Q195" s="2396">
        <f>SUM(M195:P195)</f>
        <v>28143</v>
      </c>
      <c r="R195" s="456">
        <v>44276</v>
      </c>
      <c r="S195" s="2942">
        <v>209005</v>
      </c>
      <c r="T195" s="473"/>
      <c r="U195" s="3063"/>
      <c r="V195" s="2369">
        <f t="shared" si="17"/>
        <v>253281</v>
      </c>
      <c r="W195" s="2942">
        <v>258280</v>
      </c>
      <c r="X195" s="456">
        <v>10575</v>
      </c>
      <c r="Y195" s="2942">
        <v>25892</v>
      </c>
      <c r="Z195" s="1338"/>
      <c r="AA195" s="3059"/>
      <c r="AB195" s="2369">
        <f t="shared" si="18"/>
        <v>36467</v>
      </c>
      <c r="AC195" s="2944">
        <v>62170</v>
      </c>
    </row>
    <row r="196" spans="1:29">
      <c r="A196" s="53">
        <f t="shared" si="21"/>
        <v>2008.07</v>
      </c>
      <c r="B196" s="2395">
        <f t="shared" si="19"/>
        <v>2352357</v>
      </c>
      <c r="C196" s="2396">
        <f t="shared" si="20"/>
        <v>12070</v>
      </c>
      <c r="D196" s="386">
        <v>2983621</v>
      </c>
      <c r="E196" s="3669"/>
      <c r="F196" s="151">
        <v>105465</v>
      </c>
      <c r="G196" s="3061"/>
      <c r="H196" s="632">
        <v>883682</v>
      </c>
      <c r="I196" s="3504">
        <v>1468675</v>
      </c>
      <c r="J196" s="636"/>
      <c r="K196" s="669"/>
      <c r="L196" s="3062">
        <f t="shared" si="15"/>
        <v>2352357</v>
      </c>
      <c r="M196" s="632">
        <v>0</v>
      </c>
      <c r="N196" s="151">
        <v>12070</v>
      </c>
      <c r="O196" s="3669"/>
      <c r="P196" s="669"/>
      <c r="Q196" s="2396">
        <f t="shared" si="16"/>
        <v>12070</v>
      </c>
      <c r="R196" s="456">
        <v>101424</v>
      </c>
      <c r="S196" s="2942">
        <v>291720</v>
      </c>
      <c r="T196" s="473"/>
      <c r="U196" s="3063"/>
      <c r="V196" s="2369">
        <f t="shared" si="17"/>
        <v>393144</v>
      </c>
      <c r="W196" s="2942">
        <v>408990</v>
      </c>
      <c r="X196" s="456">
        <v>0</v>
      </c>
      <c r="Y196" s="2942">
        <v>102406</v>
      </c>
      <c r="Z196" s="1338"/>
      <c r="AA196" s="3059"/>
      <c r="AB196" s="2369">
        <f t="shared" si="18"/>
        <v>102406</v>
      </c>
      <c r="AC196" s="2944">
        <v>160360</v>
      </c>
    </row>
    <row r="197" spans="1:29">
      <c r="A197" s="53">
        <f t="shared" si="21"/>
        <v>2008.08</v>
      </c>
      <c r="B197" s="2395">
        <f t="shared" si="19"/>
        <v>937976</v>
      </c>
      <c r="C197" s="2396">
        <f t="shared" si="20"/>
        <v>237129</v>
      </c>
      <c r="D197" s="386">
        <v>1176944</v>
      </c>
      <c r="E197" s="3669"/>
      <c r="F197" s="151">
        <v>441124</v>
      </c>
      <c r="G197" s="3061"/>
      <c r="H197" s="632">
        <v>407129</v>
      </c>
      <c r="I197" s="3504">
        <v>530847</v>
      </c>
      <c r="J197" s="636"/>
      <c r="K197" s="669"/>
      <c r="L197" s="3062">
        <f t="shared" si="15"/>
        <v>937976</v>
      </c>
      <c r="M197" s="632">
        <v>36997</v>
      </c>
      <c r="N197" s="151">
        <v>200132</v>
      </c>
      <c r="O197" s="3669"/>
      <c r="P197" s="669"/>
      <c r="Q197" s="2396">
        <f t="shared" si="16"/>
        <v>237129</v>
      </c>
      <c r="R197" s="456">
        <v>161313</v>
      </c>
      <c r="S197" s="2942">
        <v>432607</v>
      </c>
      <c r="T197" s="473"/>
      <c r="U197" s="3063"/>
      <c r="V197" s="2369">
        <f t="shared" si="17"/>
        <v>593920</v>
      </c>
      <c r="W197" s="2942">
        <v>601480</v>
      </c>
      <c r="X197" s="456">
        <v>0</v>
      </c>
      <c r="Y197" s="2942">
        <v>40448</v>
      </c>
      <c r="Z197" s="1338"/>
      <c r="AA197" s="3059"/>
      <c r="AB197" s="2369">
        <f t="shared" si="18"/>
        <v>40448</v>
      </c>
      <c r="AC197" s="2944">
        <v>117090</v>
      </c>
    </row>
    <row r="198" spans="1:29">
      <c r="A198" s="53">
        <f t="shared" si="21"/>
        <v>2008.09</v>
      </c>
      <c r="B198" s="2395">
        <f t="shared" si="19"/>
        <v>660198</v>
      </c>
      <c r="C198" s="2396">
        <f t="shared" si="20"/>
        <v>529951</v>
      </c>
      <c r="D198" s="386">
        <v>843710</v>
      </c>
      <c r="E198" s="3669"/>
      <c r="F198" s="151">
        <v>884319</v>
      </c>
      <c r="G198" s="3061"/>
      <c r="H198" s="632">
        <v>167603</v>
      </c>
      <c r="I198" s="3504">
        <v>492595</v>
      </c>
      <c r="J198" s="636"/>
      <c r="K198" s="669"/>
      <c r="L198" s="3062">
        <f t="shared" si="15"/>
        <v>660198</v>
      </c>
      <c r="M198" s="632">
        <v>183625</v>
      </c>
      <c r="N198" s="151">
        <v>346326</v>
      </c>
      <c r="O198" s="3669"/>
      <c r="P198" s="669"/>
      <c r="Q198" s="2396">
        <f t="shared" si="16"/>
        <v>529951</v>
      </c>
      <c r="R198" s="456">
        <v>72789</v>
      </c>
      <c r="S198" s="2942">
        <v>568047</v>
      </c>
      <c r="T198" s="473"/>
      <c r="U198" s="3063"/>
      <c r="V198" s="2369">
        <f t="shared" si="17"/>
        <v>640836</v>
      </c>
      <c r="W198" s="2942">
        <v>657790</v>
      </c>
      <c r="X198" s="456">
        <v>0</v>
      </c>
      <c r="Y198" s="2942">
        <v>38141</v>
      </c>
      <c r="Z198" s="1338"/>
      <c r="AA198" s="3059"/>
      <c r="AB198" s="2369">
        <f t="shared" si="18"/>
        <v>38141</v>
      </c>
      <c r="AC198" s="2944">
        <v>75730</v>
      </c>
    </row>
    <row r="199" spans="1:29">
      <c r="A199" s="53">
        <f t="shared" si="21"/>
        <v>2008.1</v>
      </c>
      <c r="B199" s="2395">
        <f t="shared" si="19"/>
        <v>631376</v>
      </c>
      <c r="C199" s="2396">
        <f t="shared" si="20"/>
        <v>278476</v>
      </c>
      <c r="D199" s="386">
        <v>755875</v>
      </c>
      <c r="E199" s="3669"/>
      <c r="F199" s="151">
        <v>599128</v>
      </c>
      <c r="G199" s="3061"/>
      <c r="H199" s="632">
        <v>145616</v>
      </c>
      <c r="I199" s="3504">
        <v>485760</v>
      </c>
      <c r="J199" s="636"/>
      <c r="K199" s="669"/>
      <c r="L199" s="3062">
        <f t="shared" si="15"/>
        <v>631376</v>
      </c>
      <c r="M199" s="632">
        <v>70971</v>
      </c>
      <c r="N199" s="151">
        <v>207505</v>
      </c>
      <c r="O199" s="3669"/>
      <c r="P199" s="669"/>
      <c r="Q199" s="2396">
        <f t="shared" si="16"/>
        <v>278476</v>
      </c>
      <c r="R199" s="456">
        <v>115834</v>
      </c>
      <c r="S199" s="2942">
        <v>225274</v>
      </c>
      <c r="T199" s="473"/>
      <c r="U199" s="3063"/>
      <c r="V199" s="2369">
        <f t="shared" si="17"/>
        <v>341108</v>
      </c>
      <c r="W199" s="2942">
        <v>366680</v>
      </c>
      <c r="X199" s="456">
        <v>0</v>
      </c>
      <c r="Y199" s="2942">
        <v>10891</v>
      </c>
      <c r="Z199" s="1338"/>
      <c r="AA199" s="3059"/>
      <c r="AB199" s="2369">
        <f t="shared" si="18"/>
        <v>10891</v>
      </c>
      <c r="AC199" s="2944">
        <v>78320</v>
      </c>
    </row>
    <row r="200" spans="1:29">
      <c r="A200" s="53">
        <f t="shared" si="21"/>
        <v>2008.11</v>
      </c>
      <c r="B200" s="2395">
        <f t="shared" si="19"/>
        <v>335349</v>
      </c>
      <c r="C200" s="2396">
        <f t="shared" si="20"/>
        <v>318908</v>
      </c>
      <c r="D200" s="386">
        <v>406368</v>
      </c>
      <c r="E200" s="3669"/>
      <c r="F200" s="151">
        <v>598213</v>
      </c>
      <c r="G200" s="3061"/>
      <c r="H200" s="632">
        <v>114816</v>
      </c>
      <c r="I200" s="3504">
        <v>220533</v>
      </c>
      <c r="J200" s="636"/>
      <c r="K200" s="669"/>
      <c r="L200" s="3062">
        <f t="shared" si="15"/>
        <v>335349</v>
      </c>
      <c r="M200" s="632">
        <v>75834</v>
      </c>
      <c r="N200" s="151">
        <v>243074</v>
      </c>
      <c r="O200" s="3669"/>
      <c r="P200" s="669"/>
      <c r="Q200" s="2396">
        <f t="shared" si="16"/>
        <v>318908</v>
      </c>
      <c r="R200" s="456">
        <v>76601</v>
      </c>
      <c r="S200" s="2942">
        <v>276336</v>
      </c>
      <c r="T200" s="473"/>
      <c r="U200" s="3063"/>
      <c r="V200" s="2369">
        <f t="shared" si="17"/>
        <v>352937</v>
      </c>
      <c r="W200" s="2942">
        <v>355200</v>
      </c>
      <c r="X200" s="456">
        <v>0</v>
      </c>
      <c r="Y200" s="2942">
        <v>30987</v>
      </c>
      <c r="Z200" s="1338"/>
      <c r="AA200" s="3059"/>
      <c r="AB200" s="2369">
        <f t="shared" si="18"/>
        <v>30987</v>
      </c>
      <c r="AC200" s="2944">
        <v>59980</v>
      </c>
    </row>
    <row r="201" spans="1:29">
      <c r="A201" s="53">
        <f t="shared" si="21"/>
        <v>2008.12</v>
      </c>
      <c r="B201" s="2395">
        <f t="shared" si="19"/>
        <v>356096</v>
      </c>
      <c r="C201" s="2396">
        <f t="shared" si="20"/>
        <v>478518</v>
      </c>
      <c r="D201" s="386">
        <v>362631</v>
      </c>
      <c r="E201" s="3669"/>
      <c r="F201" s="151">
        <v>819857</v>
      </c>
      <c r="G201" s="3061"/>
      <c r="H201" s="632">
        <v>124265</v>
      </c>
      <c r="I201" s="3504">
        <v>231831</v>
      </c>
      <c r="J201" s="636"/>
      <c r="K201" s="669"/>
      <c r="L201" s="3062">
        <f t="shared" si="15"/>
        <v>356096</v>
      </c>
      <c r="M201" s="632">
        <v>122086</v>
      </c>
      <c r="N201" s="151">
        <v>356432</v>
      </c>
      <c r="O201" s="3669"/>
      <c r="P201" s="669"/>
      <c r="Q201" s="2396">
        <f t="shared" si="16"/>
        <v>478518</v>
      </c>
      <c r="R201" s="456">
        <v>89875</v>
      </c>
      <c r="S201" s="2942">
        <v>189498</v>
      </c>
      <c r="T201" s="473"/>
      <c r="U201" s="3063"/>
      <c r="V201" s="2369">
        <f t="shared" si="17"/>
        <v>279373</v>
      </c>
      <c r="W201" s="2942">
        <v>288010</v>
      </c>
      <c r="X201" s="456">
        <v>0</v>
      </c>
      <c r="Y201" s="2942">
        <v>15727</v>
      </c>
      <c r="Z201" s="1338"/>
      <c r="AA201" s="3059"/>
      <c r="AB201" s="2369">
        <f t="shared" si="18"/>
        <v>15727</v>
      </c>
      <c r="AC201" s="2944">
        <v>41740</v>
      </c>
    </row>
    <row r="202" spans="1:29">
      <c r="A202" s="53">
        <f t="shared" si="21"/>
        <v>2009.01</v>
      </c>
      <c r="B202" s="2395">
        <f t="shared" si="19"/>
        <v>167540.42094001826</v>
      </c>
      <c r="C202" s="2396">
        <f t="shared" si="20"/>
        <v>537852.93162922177</v>
      </c>
      <c r="D202" s="386">
        <v>169133</v>
      </c>
      <c r="E202" s="3669"/>
      <c r="F202" s="151">
        <v>1156327</v>
      </c>
      <c r="G202" s="3061"/>
      <c r="H202" s="632">
        <v>62235.815941479974</v>
      </c>
      <c r="I202" s="3504">
        <v>105304.6049985383</v>
      </c>
      <c r="J202" s="636"/>
      <c r="K202" s="669"/>
      <c r="L202" s="3062">
        <f t="shared" ref="L202:L265" si="22">SUM(H202:K202)</f>
        <v>167540.42094001826</v>
      </c>
      <c r="M202" s="632">
        <v>196462.95392511674</v>
      </c>
      <c r="N202" s="151">
        <v>341389.97770410503</v>
      </c>
      <c r="O202" s="3669"/>
      <c r="P202" s="669"/>
      <c r="Q202" s="2396">
        <f t="shared" ref="Q202:Q265" si="23">SUM(M202:P202)</f>
        <v>537852.93162922177</v>
      </c>
      <c r="R202" s="456">
        <v>133863</v>
      </c>
      <c r="S202" s="2942">
        <v>341484</v>
      </c>
      <c r="T202" s="473"/>
      <c r="U202" s="3063"/>
      <c r="V202" s="2369">
        <f t="shared" ref="V202:V265" si="24">SUM(R202:U202)</f>
        <v>475347</v>
      </c>
      <c r="W202" s="2942">
        <v>496504</v>
      </c>
      <c r="X202" s="456">
        <v>0</v>
      </c>
      <c r="Y202" s="2942">
        <v>58164</v>
      </c>
      <c r="Z202" s="1338"/>
      <c r="AA202" s="3059"/>
      <c r="AB202" s="2369">
        <f t="shared" ref="AB202:AB265" si="25">SUM(X202:AA202)</f>
        <v>58164</v>
      </c>
      <c r="AC202" s="2944">
        <v>71641</v>
      </c>
    </row>
    <row r="203" spans="1:29">
      <c r="A203" s="53">
        <f t="shared" si="21"/>
        <v>2009.02</v>
      </c>
      <c r="B203" s="2395">
        <f t="shared" si="19"/>
        <v>160388.81098065822</v>
      </c>
      <c r="C203" s="2396">
        <f t="shared" si="20"/>
        <v>592940.6554933798</v>
      </c>
      <c r="D203" s="386">
        <v>178284</v>
      </c>
      <c r="E203" s="3669"/>
      <c r="F203" s="151">
        <v>1113460</v>
      </c>
      <c r="G203" s="3061"/>
      <c r="H203" s="632">
        <v>85896.553731339198</v>
      </c>
      <c r="I203" s="3504">
        <v>74492.257249319038</v>
      </c>
      <c r="J203" s="636"/>
      <c r="K203" s="669"/>
      <c r="L203" s="3062">
        <f t="shared" si="22"/>
        <v>160388.81098065822</v>
      </c>
      <c r="M203" s="632">
        <v>179375.63319748483</v>
      </c>
      <c r="N203" s="151">
        <v>413565.02229589497</v>
      </c>
      <c r="O203" s="3669"/>
      <c r="P203" s="669"/>
      <c r="Q203" s="2396">
        <f t="shared" si="23"/>
        <v>592940.6554933798</v>
      </c>
      <c r="R203" s="456">
        <v>79220</v>
      </c>
      <c r="S203" s="2942">
        <v>326224</v>
      </c>
      <c r="T203" s="473"/>
      <c r="U203" s="3063"/>
      <c r="V203" s="2369">
        <f t="shared" si="24"/>
        <v>405444</v>
      </c>
      <c r="W203" s="2942">
        <v>413794</v>
      </c>
      <c r="X203" s="456">
        <v>0</v>
      </c>
      <c r="Y203" s="2942">
        <v>47880</v>
      </c>
      <c r="Z203" s="1338"/>
      <c r="AA203" s="3059"/>
      <c r="AB203" s="2369">
        <f t="shared" si="25"/>
        <v>47880</v>
      </c>
      <c r="AC203" s="2944">
        <v>93097</v>
      </c>
    </row>
    <row r="204" spans="1:29">
      <c r="A204" s="53">
        <f t="shared" si="21"/>
        <v>2009.03</v>
      </c>
      <c r="B204" s="2395">
        <f t="shared" ref="B204:B267" si="26">L204</f>
        <v>951980.48620391381</v>
      </c>
      <c r="C204" s="2396">
        <f t="shared" ref="C204:C267" si="27">Q204</f>
        <v>316292.98113621725</v>
      </c>
      <c r="D204" s="386">
        <v>1116542</v>
      </c>
      <c r="E204" s="3669"/>
      <c r="F204" s="151">
        <v>487322</v>
      </c>
      <c r="G204" s="3061"/>
      <c r="H204" s="632">
        <v>388475.48620391387</v>
      </c>
      <c r="I204" s="3504">
        <v>563505</v>
      </c>
      <c r="J204" s="636"/>
      <c r="K204" s="669"/>
      <c r="L204" s="3062">
        <f t="shared" si="22"/>
        <v>951980.48620391381</v>
      </c>
      <c r="M204" s="632">
        <v>142223.98113621725</v>
      </c>
      <c r="N204" s="151">
        <v>174069</v>
      </c>
      <c r="O204" s="3669"/>
      <c r="P204" s="669"/>
      <c r="Q204" s="2396">
        <f t="shared" si="23"/>
        <v>316292.98113621725</v>
      </c>
      <c r="R204" s="456">
        <v>63595</v>
      </c>
      <c r="S204" s="2942">
        <v>361910</v>
      </c>
      <c r="T204" s="473"/>
      <c r="U204" s="3063"/>
      <c r="V204" s="2369">
        <f t="shared" si="24"/>
        <v>425505</v>
      </c>
      <c r="W204" s="2942">
        <v>433205</v>
      </c>
      <c r="X204" s="456">
        <v>0</v>
      </c>
      <c r="Y204" s="2942">
        <v>15550</v>
      </c>
      <c r="Z204" s="1338"/>
      <c r="AA204" s="3059"/>
      <c r="AB204" s="2369">
        <f t="shared" si="25"/>
        <v>15550</v>
      </c>
      <c r="AC204" s="2944">
        <v>62690</v>
      </c>
    </row>
    <row r="205" spans="1:29">
      <c r="A205" s="53">
        <f t="shared" si="21"/>
        <v>2009.04</v>
      </c>
      <c r="B205" s="2395">
        <f t="shared" si="26"/>
        <v>1408081.6087316428</v>
      </c>
      <c r="C205" s="2396">
        <f t="shared" si="27"/>
        <v>207633.25688942548</v>
      </c>
      <c r="D205" s="386">
        <v>1850974</v>
      </c>
      <c r="E205" s="3669"/>
      <c r="F205" s="151">
        <v>450313</v>
      </c>
      <c r="G205" s="3061"/>
      <c r="H205" s="632">
        <v>473460.62568732334</v>
      </c>
      <c r="I205" s="3504">
        <v>934620.98304431955</v>
      </c>
      <c r="J205" s="636"/>
      <c r="K205" s="669"/>
      <c r="L205" s="3062">
        <f t="shared" si="22"/>
        <v>1408081.6087316428</v>
      </c>
      <c r="M205" s="632">
        <v>30490.25688942548</v>
      </c>
      <c r="N205" s="151">
        <v>177143</v>
      </c>
      <c r="O205" s="3669"/>
      <c r="P205" s="669"/>
      <c r="Q205" s="2396">
        <f t="shared" si="23"/>
        <v>207633.25688942548</v>
      </c>
      <c r="R205" s="456">
        <v>87206</v>
      </c>
      <c r="S205" s="2942">
        <v>376173</v>
      </c>
      <c r="T205" s="473"/>
      <c r="U205" s="3063"/>
      <c r="V205" s="2369">
        <f t="shared" si="24"/>
        <v>463379</v>
      </c>
      <c r="W205" s="2942">
        <v>463929</v>
      </c>
      <c r="X205" s="456">
        <v>730</v>
      </c>
      <c r="Y205" s="2942">
        <v>44248</v>
      </c>
      <c r="Z205" s="1338"/>
      <c r="AA205" s="3059"/>
      <c r="AB205" s="2369">
        <f t="shared" si="25"/>
        <v>44978</v>
      </c>
      <c r="AC205" s="2944">
        <v>120472</v>
      </c>
    </row>
    <row r="206" spans="1:29">
      <c r="A206" s="53">
        <f t="shared" si="21"/>
        <v>2009.05</v>
      </c>
      <c r="B206" s="2395">
        <f t="shared" si="26"/>
        <v>793319.56147947419</v>
      </c>
      <c r="C206" s="2396">
        <f t="shared" si="27"/>
        <v>54487.495642931208</v>
      </c>
      <c r="D206" s="386">
        <v>1116809</v>
      </c>
      <c r="E206" s="3669"/>
      <c r="F206" s="151">
        <v>310372</v>
      </c>
      <c r="G206" s="3061"/>
      <c r="H206" s="632">
        <v>297749.4967425564</v>
      </c>
      <c r="I206" s="3504">
        <v>495570.06473691779</v>
      </c>
      <c r="J206" s="636"/>
      <c r="K206" s="669"/>
      <c r="L206" s="3062">
        <f t="shared" si="22"/>
        <v>793319.56147947419</v>
      </c>
      <c r="M206" s="632">
        <v>10221.495642931208</v>
      </c>
      <c r="N206" s="151">
        <v>44266</v>
      </c>
      <c r="O206" s="3669"/>
      <c r="P206" s="669"/>
      <c r="Q206" s="2396">
        <f t="shared" si="23"/>
        <v>54487.495642931208</v>
      </c>
      <c r="R206" s="456">
        <v>143065</v>
      </c>
      <c r="S206" s="2942">
        <v>356171</v>
      </c>
      <c r="T206" s="473"/>
      <c r="U206" s="3063"/>
      <c r="V206" s="2369">
        <f t="shared" si="24"/>
        <v>499236</v>
      </c>
      <c r="W206" s="2942">
        <v>509296</v>
      </c>
      <c r="X206" s="456">
        <v>0</v>
      </c>
      <c r="Y206" s="2942">
        <v>33956</v>
      </c>
      <c r="Z206" s="1338"/>
      <c r="AA206" s="3059"/>
      <c r="AB206" s="2369">
        <f t="shared" si="25"/>
        <v>33956</v>
      </c>
      <c r="AC206" s="2944">
        <v>107500</v>
      </c>
    </row>
    <row r="207" spans="1:29">
      <c r="A207" s="53">
        <f t="shared" si="21"/>
        <v>2009.06</v>
      </c>
      <c r="B207" s="2395">
        <f t="shared" si="26"/>
        <v>926058.83319303324</v>
      </c>
      <c r="C207" s="2396">
        <f t="shared" si="27"/>
        <v>136002.92524384853</v>
      </c>
      <c r="D207" s="386">
        <v>1123200</v>
      </c>
      <c r="E207" s="3669"/>
      <c r="F207" s="151">
        <v>175395</v>
      </c>
      <c r="G207" s="3061"/>
      <c r="H207" s="632">
        <v>338491.83319303329</v>
      </c>
      <c r="I207" s="3504">
        <v>587567</v>
      </c>
      <c r="J207" s="636"/>
      <c r="K207" s="669"/>
      <c r="L207" s="3062">
        <f t="shared" si="22"/>
        <v>926058.83319303324</v>
      </c>
      <c r="M207" s="632">
        <v>93132.925243848542</v>
      </c>
      <c r="N207" s="151">
        <v>42870</v>
      </c>
      <c r="O207" s="3669"/>
      <c r="P207" s="669"/>
      <c r="Q207" s="2396">
        <f t="shared" si="23"/>
        <v>136002.92524384853</v>
      </c>
      <c r="R207" s="456">
        <v>118740</v>
      </c>
      <c r="S207" s="2942">
        <v>278059</v>
      </c>
      <c r="T207" s="473"/>
      <c r="U207" s="3063"/>
      <c r="V207" s="2369">
        <f t="shared" si="24"/>
        <v>396799</v>
      </c>
      <c r="W207" s="2942">
        <v>415229</v>
      </c>
      <c r="X207" s="456">
        <v>0</v>
      </c>
      <c r="Y207" s="2942">
        <v>94300</v>
      </c>
      <c r="Z207" s="1338"/>
      <c r="AA207" s="3059"/>
      <c r="AB207" s="2369">
        <f t="shared" si="25"/>
        <v>94300</v>
      </c>
      <c r="AC207" s="2944">
        <v>110307</v>
      </c>
    </row>
    <row r="208" spans="1:29">
      <c r="A208" s="53">
        <f t="shared" si="21"/>
        <v>2009.07</v>
      </c>
      <c r="B208" s="2395">
        <f t="shared" si="26"/>
        <v>568989.95434666739</v>
      </c>
      <c r="C208" s="2396">
        <f t="shared" si="27"/>
        <v>58937.25688942548</v>
      </c>
      <c r="D208" s="386">
        <v>582792</v>
      </c>
      <c r="E208" s="3669"/>
      <c r="F208" s="151">
        <v>65402</v>
      </c>
      <c r="G208" s="3061"/>
      <c r="H208" s="632">
        <v>129954.95434666736</v>
      </c>
      <c r="I208" s="3504">
        <v>439035</v>
      </c>
      <c r="J208" s="636"/>
      <c r="K208" s="669"/>
      <c r="L208" s="3062">
        <f t="shared" si="22"/>
        <v>568989.95434666739</v>
      </c>
      <c r="M208" s="632">
        <v>30490.25688942548</v>
      </c>
      <c r="N208" s="151">
        <v>28447</v>
      </c>
      <c r="O208" s="3669"/>
      <c r="P208" s="669"/>
      <c r="Q208" s="2396">
        <f t="shared" si="23"/>
        <v>58937.25688942548</v>
      </c>
      <c r="R208" s="456">
        <v>82100</v>
      </c>
      <c r="S208" s="2942">
        <v>335915</v>
      </c>
      <c r="T208" s="473"/>
      <c r="U208" s="3063"/>
      <c r="V208" s="2369">
        <f t="shared" si="24"/>
        <v>418015</v>
      </c>
      <c r="W208" s="2942">
        <v>435775</v>
      </c>
      <c r="X208" s="456">
        <v>0</v>
      </c>
      <c r="Y208" s="2942">
        <v>27220</v>
      </c>
      <c r="Z208" s="1338"/>
      <c r="AA208" s="3059"/>
      <c r="AB208" s="2369">
        <f t="shared" si="25"/>
        <v>27220</v>
      </c>
      <c r="AC208" s="2944">
        <v>79414</v>
      </c>
    </row>
    <row r="209" spans="1:29">
      <c r="A209" s="53">
        <f t="shared" si="21"/>
        <v>2009.08</v>
      </c>
      <c r="B209" s="2395">
        <f t="shared" si="26"/>
        <v>285987</v>
      </c>
      <c r="C209" s="2396">
        <f t="shared" si="27"/>
        <v>42269</v>
      </c>
      <c r="D209" s="386">
        <v>341265</v>
      </c>
      <c r="E209" s="3669"/>
      <c r="F209" s="151">
        <v>42269</v>
      </c>
      <c r="G209" s="3061"/>
      <c r="H209" s="632">
        <v>0</v>
      </c>
      <c r="I209" s="3504">
        <v>285987</v>
      </c>
      <c r="J209" s="636"/>
      <c r="K209" s="669"/>
      <c r="L209" s="3062">
        <f t="shared" si="22"/>
        <v>285987</v>
      </c>
      <c r="M209" s="632">
        <v>0</v>
      </c>
      <c r="N209" s="151">
        <v>42269</v>
      </c>
      <c r="O209" s="3669"/>
      <c r="P209" s="669"/>
      <c r="Q209" s="2396">
        <f t="shared" si="23"/>
        <v>42269</v>
      </c>
      <c r="R209" s="456">
        <v>83212</v>
      </c>
      <c r="S209" s="2942">
        <v>201692</v>
      </c>
      <c r="T209" s="473"/>
      <c r="U209" s="3063"/>
      <c r="V209" s="2369">
        <f t="shared" si="24"/>
        <v>284904</v>
      </c>
      <c r="W209" s="2942">
        <v>300182</v>
      </c>
      <c r="X209" s="456">
        <v>0</v>
      </c>
      <c r="Y209" s="2942">
        <v>38250</v>
      </c>
      <c r="Z209" s="1338"/>
      <c r="AA209" s="3059"/>
      <c r="AB209" s="2369">
        <f t="shared" si="25"/>
        <v>38250</v>
      </c>
      <c r="AC209" s="2944">
        <v>74315</v>
      </c>
    </row>
    <row r="210" spans="1:29">
      <c r="A210" s="53">
        <f t="shared" si="21"/>
        <v>2009.09</v>
      </c>
      <c r="B210" s="2395">
        <f t="shared" si="26"/>
        <v>110351.09246564051</v>
      </c>
      <c r="C210" s="2396">
        <f t="shared" si="27"/>
        <v>27289</v>
      </c>
      <c r="D210" s="386">
        <v>121782</v>
      </c>
      <c r="E210" s="3669"/>
      <c r="F210" s="151">
        <v>27289</v>
      </c>
      <c r="G210" s="3061"/>
      <c r="H210" s="632">
        <v>53519.092465640511</v>
      </c>
      <c r="I210" s="3504">
        <v>56832</v>
      </c>
      <c r="J210" s="636"/>
      <c r="K210" s="669"/>
      <c r="L210" s="3062">
        <f t="shared" si="22"/>
        <v>110351.09246564051</v>
      </c>
      <c r="M210" s="632">
        <v>0</v>
      </c>
      <c r="N210" s="151">
        <v>27289</v>
      </c>
      <c r="O210" s="3669"/>
      <c r="P210" s="669"/>
      <c r="Q210" s="2396">
        <f t="shared" si="23"/>
        <v>27289</v>
      </c>
      <c r="R210" s="456">
        <v>94670</v>
      </c>
      <c r="S210" s="2942">
        <v>243410</v>
      </c>
      <c r="T210" s="473"/>
      <c r="U210" s="3063"/>
      <c r="V210" s="2369">
        <f t="shared" si="24"/>
        <v>338080</v>
      </c>
      <c r="W210" s="2942">
        <v>350280</v>
      </c>
      <c r="X210" s="456">
        <v>0</v>
      </c>
      <c r="Y210" s="2942">
        <v>23318</v>
      </c>
      <c r="Z210" s="1338"/>
      <c r="AA210" s="3059"/>
      <c r="AB210" s="2369">
        <f t="shared" si="25"/>
        <v>23318</v>
      </c>
      <c r="AC210" s="2944">
        <v>63652</v>
      </c>
    </row>
    <row r="211" spans="1:29">
      <c r="A211" s="53">
        <f t="shared" si="21"/>
        <v>2009.1</v>
      </c>
      <c r="B211" s="2395">
        <f t="shared" si="26"/>
        <v>160365.33024204086</v>
      </c>
      <c r="C211" s="2396">
        <f t="shared" si="27"/>
        <v>45213</v>
      </c>
      <c r="D211" s="386">
        <v>158796</v>
      </c>
      <c r="E211" s="3669"/>
      <c r="F211" s="151">
        <v>219263</v>
      </c>
      <c r="G211" s="3061"/>
      <c r="H211" s="632">
        <v>27819.330242040862</v>
      </c>
      <c r="I211" s="3504">
        <v>132546</v>
      </c>
      <c r="J211" s="636"/>
      <c r="K211" s="669"/>
      <c r="L211" s="3062">
        <f t="shared" si="22"/>
        <v>160365.33024204086</v>
      </c>
      <c r="M211" s="632">
        <v>0</v>
      </c>
      <c r="N211" s="151">
        <v>45213</v>
      </c>
      <c r="O211" s="3669"/>
      <c r="P211" s="669"/>
      <c r="Q211" s="2396">
        <f t="shared" si="23"/>
        <v>45213</v>
      </c>
      <c r="R211" s="456">
        <v>46100</v>
      </c>
      <c r="S211" s="2942">
        <v>181628</v>
      </c>
      <c r="T211" s="473"/>
      <c r="U211" s="3063"/>
      <c r="V211" s="2369">
        <f t="shared" si="24"/>
        <v>227728</v>
      </c>
      <c r="W211" s="2942">
        <v>238228</v>
      </c>
      <c r="X211" s="456">
        <v>0</v>
      </c>
      <c r="Y211" s="2942">
        <v>18400</v>
      </c>
      <c r="Z211" s="1338"/>
      <c r="AA211" s="3059"/>
      <c r="AB211" s="2369">
        <f t="shared" si="25"/>
        <v>18400</v>
      </c>
      <c r="AC211" s="2944">
        <v>50560</v>
      </c>
    </row>
    <row r="212" spans="1:29">
      <c r="A212" s="53">
        <f t="shared" si="21"/>
        <v>2009.11</v>
      </c>
      <c r="B212" s="2395">
        <f t="shared" si="26"/>
        <v>464878.27280581859</v>
      </c>
      <c r="C212" s="2396">
        <f t="shared" si="27"/>
        <v>167325.49707555043</v>
      </c>
      <c r="D212" s="386">
        <v>488146</v>
      </c>
      <c r="E212" s="3669"/>
      <c r="F212" s="151">
        <v>483483</v>
      </c>
      <c r="G212" s="3061"/>
      <c r="H212" s="632">
        <v>173533.27280581859</v>
      </c>
      <c r="I212" s="3504">
        <v>291345</v>
      </c>
      <c r="J212" s="636"/>
      <c r="K212" s="669"/>
      <c r="L212" s="3062">
        <f t="shared" si="22"/>
        <v>464878.27280581859</v>
      </c>
      <c r="M212" s="632">
        <v>121892.49707555045</v>
      </c>
      <c r="N212" s="151">
        <v>45433</v>
      </c>
      <c r="O212" s="3669"/>
      <c r="P212" s="669"/>
      <c r="Q212" s="2396">
        <f t="shared" si="23"/>
        <v>167325.49707555043</v>
      </c>
      <c r="R212" s="456">
        <v>40835</v>
      </c>
      <c r="S212" s="2942">
        <v>233771</v>
      </c>
      <c r="T212" s="473"/>
      <c r="U212" s="3063"/>
      <c r="V212" s="2369">
        <f t="shared" si="24"/>
        <v>274606</v>
      </c>
      <c r="W212" s="2942">
        <v>290706</v>
      </c>
      <c r="X212" s="456">
        <v>0</v>
      </c>
      <c r="Y212" s="2942">
        <v>3900</v>
      </c>
      <c r="Z212" s="1338"/>
      <c r="AA212" s="3059"/>
      <c r="AB212" s="2369">
        <f t="shared" si="25"/>
        <v>3900</v>
      </c>
      <c r="AC212" s="2944">
        <v>43250</v>
      </c>
    </row>
    <row r="213" spans="1:29">
      <c r="A213" s="53">
        <f t="shared" si="21"/>
        <v>2009.12</v>
      </c>
      <c r="B213" s="2395">
        <f t="shared" si="26"/>
        <v>996038.53864018654</v>
      </c>
      <c r="C213" s="2396">
        <f t="shared" si="27"/>
        <v>373075</v>
      </c>
      <c r="D213" s="386">
        <v>1061006</v>
      </c>
      <c r="E213" s="3669"/>
      <c r="F213" s="151">
        <v>510267</v>
      </c>
      <c r="G213" s="3061"/>
      <c r="H213" s="632">
        <v>298421.53864018654</v>
      </c>
      <c r="I213" s="3504">
        <v>697617</v>
      </c>
      <c r="J213" s="636"/>
      <c r="K213" s="669"/>
      <c r="L213" s="3062">
        <f t="shared" si="22"/>
        <v>996038.53864018654</v>
      </c>
      <c r="M213" s="632">
        <v>155911</v>
      </c>
      <c r="N213" s="151">
        <v>217164</v>
      </c>
      <c r="O213" s="3669"/>
      <c r="P213" s="669"/>
      <c r="Q213" s="2396">
        <f t="shared" si="23"/>
        <v>373075</v>
      </c>
      <c r="R213" s="456">
        <v>104223</v>
      </c>
      <c r="S213" s="2942">
        <v>168666</v>
      </c>
      <c r="T213" s="473"/>
      <c r="U213" s="3063"/>
      <c r="V213" s="2369">
        <f t="shared" si="24"/>
        <v>272889</v>
      </c>
      <c r="W213" s="2942">
        <v>297639</v>
      </c>
      <c r="X213" s="456">
        <v>0</v>
      </c>
      <c r="Y213" s="2942">
        <v>0</v>
      </c>
      <c r="Z213" s="1338"/>
      <c r="AA213" s="3059"/>
      <c r="AB213" s="2369">
        <f t="shared" si="25"/>
        <v>0</v>
      </c>
      <c r="AC213" s="2944">
        <v>20250</v>
      </c>
    </row>
    <row r="214" spans="1:29">
      <c r="A214" s="53">
        <v>2010.01</v>
      </c>
      <c r="B214" s="2395">
        <f t="shared" si="26"/>
        <v>1373506</v>
      </c>
      <c r="C214" s="2396">
        <f t="shared" si="27"/>
        <v>243967</v>
      </c>
      <c r="D214" s="386">
        <v>1558351.1947821444</v>
      </c>
      <c r="E214" s="3669"/>
      <c r="F214" s="151">
        <v>546879</v>
      </c>
      <c r="G214" s="3061"/>
      <c r="H214" s="632">
        <v>586430</v>
      </c>
      <c r="I214" s="3504">
        <v>787076</v>
      </c>
      <c r="J214" s="636"/>
      <c r="K214" s="669"/>
      <c r="L214" s="3062">
        <f t="shared" si="22"/>
        <v>1373506</v>
      </c>
      <c r="M214" s="632">
        <v>164252</v>
      </c>
      <c r="N214" s="151">
        <v>79715</v>
      </c>
      <c r="O214" s="3669"/>
      <c r="P214" s="669"/>
      <c r="Q214" s="2396">
        <f t="shared" si="23"/>
        <v>243967</v>
      </c>
      <c r="R214" s="456">
        <v>43000</v>
      </c>
      <c r="S214" s="2942">
        <v>129563</v>
      </c>
      <c r="T214" s="456">
        <v>0</v>
      </c>
      <c r="U214" s="2942">
        <f>15100+1997</f>
        <v>17097</v>
      </c>
      <c r="V214" s="2369">
        <f t="shared" si="24"/>
        <v>189660</v>
      </c>
      <c r="W214" s="2942">
        <f>198793+17097</f>
        <v>215890</v>
      </c>
      <c r="X214" s="456">
        <v>0</v>
      </c>
      <c r="Y214" s="2942">
        <v>7500</v>
      </c>
      <c r="Z214" s="456">
        <v>0</v>
      </c>
      <c r="AA214" s="2942">
        <v>0</v>
      </c>
      <c r="AB214" s="2369">
        <f t="shared" si="25"/>
        <v>7500</v>
      </c>
      <c r="AC214" s="2944">
        <v>38250</v>
      </c>
    </row>
    <row r="215" spans="1:29">
      <c r="A215" s="53">
        <v>2010.02</v>
      </c>
      <c r="B215" s="2395">
        <f t="shared" si="26"/>
        <v>421156</v>
      </c>
      <c r="C215" s="2396">
        <f t="shared" si="27"/>
        <v>172111</v>
      </c>
      <c r="D215" s="386">
        <v>501288.25164731132</v>
      </c>
      <c r="E215" s="3669"/>
      <c r="F215" s="151">
        <v>422526</v>
      </c>
      <c r="G215" s="3061"/>
      <c r="H215" s="632">
        <v>167892</v>
      </c>
      <c r="I215" s="3504">
        <v>253264</v>
      </c>
      <c r="J215" s="636"/>
      <c r="K215" s="669"/>
      <c r="L215" s="3062">
        <f t="shared" si="22"/>
        <v>421156</v>
      </c>
      <c r="M215" s="632">
        <v>59010</v>
      </c>
      <c r="N215" s="151">
        <v>113101</v>
      </c>
      <c r="O215" s="3669"/>
      <c r="P215" s="669"/>
      <c r="Q215" s="2396">
        <f t="shared" si="23"/>
        <v>172111</v>
      </c>
      <c r="R215" s="456">
        <v>51914</v>
      </c>
      <c r="S215" s="2942">
        <v>189809</v>
      </c>
      <c r="T215" s="456">
        <v>3255</v>
      </c>
      <c r="U215" s="2942">
        <v>10500</v>
      </c>
      <c r="V215" s="2369">
        <f t="shared" si="24"/>
        <v>255478</v>
      </c>
      <c r="W215" s="2942">
        <f>267008+10500+3255</f>
        <v>280763</v>
      </c>
      <c r="X215" s="456">
        <v>0</v>
      </c>
      <c r="Y215" s="2942">
        <v>618</v>
      </c>
      <c r="Z215" s="456">
        <v>0</v>
      </c>
      <c r="AA215" s="2942">
        <v>0</v>
      </c>
      <c r="AB215" s="2369">
        <f t="shared" si="25"/>
        <v>618</v>
      </c>
      <c r="AC215" s="2944">
        <v>618</v>
      </c>
    </row>
    <row r="216" spans="1:29">
      <c r="A216" s="53">
        <v>2010.03</v>
      </c>
      <c r="B216" s="2395">
        <f t="shared" si="26"/>
        <v>1242244</v>
      </c>
      <c r="C216" s="2396">
        <f t="shared" si="27"/>
        <v>102526</v>
      </c>
      <c r="D216" s="386">
        <v>1356332.7026332004</v>
      </c>
      <c r="E216" s="3669"/>
      <c r="F216" s="151">
        <v>279459</v>
      </c>
      <c r="G216" s="3061"/>
      <c r="H216" s="632">
        <v>434822</v>
      </c>
      <c r="I216" s="3504">
        <v>807422</v>
      </c>
      <c r="J216" s="636"/>
      <c r="K216" s="669"/>
      <c r="L216" s="3062">
        <f t="shared" si="22"/>
        <v>1242244</v>
      </c>
      <c r="M216" s="632">
        <v>61840</v>
      </c>
      <c r="N216" s="151">
        <v>40686</v>
      </c>
      <c r="O216" s="3669"/>
      <c r="P216" s="669"/>
      <c r="Q216" s="2396">
        <f t="shared" si="23"/>
        <v>102526</v>
      </c>
      <c r="R216" s="456">
        <v>19272</v>
      </c>
      <c r="S216" s="2942">
        <v>57750</v>
      </c>
      <c r="T216" s="456">
        <v>0</v>
      </c>
      <c r="U216" s="2942">
        <f>5000+2120</f>
        <v>7120</v>
      </c>
      <c r="V216" s="2369">
        <f t="shared" si="24"/>
        <v>84142</v>
      </c>
      <c r="W216" s="2942">
        <f>83572+7120</f>
        <v>90692</v>
      </c>
      <c r="X216" s="456">
        <v>0</v>
      </c>
      <c r="Y216" s="2942">
        <v>42700</v>
      </c>
      <c r="Z216" s="456">
        <v>0</v>
      </c>
      <c r="AA216" s="2942">
        <v>0</v>
      </c>
      <c r="AB216" s="2369">
        <f t="shared" si="25"/>
        <v>42700</v>
      </c>
      <c r="AC216" s="2944">
        <v>115212</v>
      </c>
    </row>
    <row r="217" spans="1:29">
      <c r="A217" s="53">
        <v>2010.04</v>
      </c>
      <c r="B217" s="2395">
        <f t="shared" si="26"/>
        <v>1980346.9612374576</v>
      </c>
      <c r="C217" s="2396">
        <f t="shared" si="27"/>
        <v>147679</v>
      </c>
      <c r="D217" s="386">
        <v>2426571.8304579337</v>
      </c>
      <c r="E217" s="3670">
        <v>1377.5556584913941</v>
      </c>
      <c r="F217" s="151">
        <v>433963</v>
      </c>
      <c r="G217" s="3064">
        <v>0</v>
      </c>
      <c r="H217" s="632">
        <v>853947</v>
      </c>
      <c r="I217" s="3504">
        <v>1125592</v>
      </c>
      <c r="J217" s="637">
        <v>0</v>
      </c>
      <c r="K217" s="670">
        <v>807.96123745763794</v>
      </c>
      <c r="L217" s="3062">
        <f t="shared" si="22"/>
        <v>1980346.9612374576</v>
      </c>
      <c r="M217" s="632">
        <v>60627</v>
      </c>
      <c r="N217" s="151">
        <v>87052</v>
      </c>
      <c r="O217" s="3670">
        <v>0</v>
      </c>
      <c r="P217" s="671">
        <v>0</v>
      </c>
      <c r="Q217" s="2396">
        <f t="shared" si="23"/>
        <v>147679</v>
      </c>
      <c r="R217" s="456">
        <v>151276</v>
      </c>
      <c r="S217" s="2942">
        <v>351762</v>
      </c>
      <c r="T217" s="456">
        <f>46+2562</f>
        <v>2608</v>
      </c>
      <c r="U217" s="2942">
        <f>18354+984</f>
        <v>19338</v>
      </c>
      <c r="V217" s="2369">
        <f t="shared" si="24"/>
        <v>524984</v>
      </c>
      <c r="W217" s="2942">
        <f>519998+18400+3546</f>
        <v>541944</v>
      </c>
      <c r="X217" s="456">
        <v>0</v>
      </c>
      <c r="Y217" s="2942">
        <v>69000</v>
      </c>
      <c r="Z217" s="456">
        <v>0</v>
      </c>
      <c r="AA217" s="2942">
        <v>0</v>
      </c>
      <c r="AB217" s="2369">
        <f t="shared" si="25"/>
        <v>69000</v>
      </c>
      <c r="AC217" s="2944">
        <v>106700</v>
      </c>
    </row>
    <row r="218" spans="1:29">
      <c r="A218" s="53">
        <v>2010.05</v>
      </c>
      <c r="B218" s="2395">
        <f t="shared" si="26"/>
        <v>1589871</v>
      </c>
      <c r="C218" s="2396">
        <f t="shared" si="27"/>
        <v>130518</v>
      </c>
      <c r="D218" s="386">
        <v>2100966.70827172</v>
      </c>
      <c r="E218" s="3504">
        <v>0</v>
      </c>
      <c r="F218" s="151">
        <v>443229</v>
      </c>
      <c r="G218" s="3065">
        <v>0</v>
      </c>
      <c r="H218" s="632">
        <v>652485</v>
      </c>
      <c r="I218" s="3504">
        <v>937386</v>
      </c>
      <c r="J218" s="638">
        <v>0</v>
      </c>
      <c r="K218" s="151">
        <v>0</v>
      </c>
      <c r="L218" s="3062">
        <f t="shared" si="22"/>
        <v>1589871</v>
      </c>
      <c r="M218" s="632">
        <v>41907</v>
      </c>
      <c r="N218" s="151">
        <v>88611</v>
      </c>
      <c r="O218" s="3504">
        <v>0</v>
      </c>
      <c r="P218" s="151">
        <v>0</v>
      </c>
      <c r="Q218" s="2396">
        <f t="shared" si="23"/>
        <v>130518</v>
      </c>
      <c r="R218" s="456">
        <v>88533</v>
      </c>
      <c r="S218" s="2942">
        <v>380614</v>
      </c>
      <c r="T218" s="456">
        <v>3417</v>
      </c>
      <c r="U218" s="2942">
        <v>17705</v>
      </c>
      <c r="V218" s="2369">
        <f t="shared" si="24"/>
        <v>490269</v>
      </c>
      <c r="W218" s="2942">
        <f>492699+21122</f>
        <v>513821</v>
      </c>
      <c r="X218" s="456">
        <v>0</v>
      </c>
      <c r="Y218" s="2942">
        <v>24660</v>
      </c>
      <c r="Z218" s="456">
        <v>4000</v>
      </c>
      <c r="AA218" s="2942">
        <v>0</v>
      </c>
      <c r="AB218" s="2369">
        <f t="shared" si="25"/>
        <v>28660</v>
      </c>
      <c r="AC218" s="2944">
        <f>48270+4000</f>
        <v>52270</v>
      </c>
    </row>
    <row r="219" spans="1:29">
      <c r="A219" s="53">
        <v>2010.06</v>
      </c>
      <c r="B219" s="2395">
        <f t="shared" si="26"/>
        <v>1734775</v>
      </c>
      <c r="C219" s="2396">
        <f t="shared" si="27"/>
        <v>151886</v>
      </c>
      <c r="D219" s="386">
        <v>2198895.2421183772</v>
      </c>
      <c r="E219" s="3504">
        <v>0</v>
      </c>
      <c r="F219" s="151">
        <v>397949</v>
      </c>
      <c r="G219" s="3065">
        <v>0</v>
      </c>
      <c r="H219" s="632">
        <v>543867</v>
      </c>
      <c r="I219" s="3504">
        <v>1190908</v>
      </c>
      <c r="J219" s="638">
        <v>0</v>
      </c>
      <c r="K219" s="151">
        <v>0</v>
      </c>
      <c r="L219" s="3062">
        <f t="shared" si="22"/>
        <v>1734775</v>
      </c>
      <c r="M219" s="632">
        <v>51750</v>
      </c>
      <c r="N219" s="151">
        <v>100136</v>
      </c>
      <c r="O219" s="3504">
        <v>0</v>
      </c>
      <c r="P219" s="151">
        <v>0</v>
      </c>
      <c r="Q219" s="2396">
        <f t="shared" si="23"/>
        <v>151886</v>
      </c>
      <c r="R219" s="456">
        <v>132770</v>
      </c>
      <c r="S219" s="2942">
        <v>362868</v>
      </c>
      <c r="T219" s="456">
        <v>0</v>
      </c>
      <c r="U219" s="2942">
        <v>16000</v>
      </c>
      <c r="V219" s="2369">
        <f t="shared" si="24"/>
        <v>511638</v>
      </c>
      <c r="W219" s="2942">
        <f>529573+16000</f>
        <v>545573</v>
      </c>
      <c r="X219" s="456">
        <v>4000</v>
      </c>
      <c r="Y219" s="2942">
        <v>3500</v>
      </c>
      <c r="Z219" s="456">
        <v>0</v>
      </c>
      <c r="AA219" s="2942">
        <v>0</v>
      </c>
      <c r="AB219" s="2369">
        <f t="shared" si="25"/>
        <v>7500</v>
      </c>
      <c r="AC219" s="2944">
        <v>34000</v>
      </c>
    </row>
    <row r="220" spans="1:29">
      <c r="A220" s="53">
        <v>2010.07</v>
      </c>
      <c r="B220" s="2395">
        <f t="shared" si="26"/>
        <v>1638761</v>
      </c>
      <c r="C220" s="2396">
        <f t="shared" si="27"/>
        <v>39873</v>
      </c>
      <c r="D220" s="386">
        <v>2065006.5583314612</v>
      </c>
      <c r="E220" s="3504">
        <v>0</v>
      </c>
      <c r="F220" s="151">
        <v>230717</v>
      </c>
      <c r="G220" s="3065">
        <v>0</v>
      </c>
      <c r="H220" s="632">
        <v>592086</v>
      </c>
      <c r="I220" s="3504">
        <v>1046675</v>
      </c>
      <c r="J220" s="638">
        <v>0</v>
      </c>
      <c r="K220" s="151">
        <v>0</v>
      </c>
      <c r="L220" s="3062">
        <f t="shared" si="22"/>
        <v>1638761</v>
      </c>
      <c r="M220" s="632">
        <v>11550</v>
      </c>
      <c r="N220" s="151">
        <v>28323</v>
      </c>
      <c r="O220" s="3504">
        <v>0</v>
      </c>
      <c r="P220" s="151">
        <v>0</v>
      </c>
      <c r="Q220" s="2396">
        <f t="shared" si="23"/>
        <v>39873</v>
      </c>
      <c r="R220" s="456">
        <v>88939</v>
      </c>
      <c r="S220" s="2942">
        <v>499432</v>
      </c>
      <c r="T220" s="456">
        <v>4461</v>
      </c>
      <c r="U220" s="2942">
        <v>19000</v>
      </c>
      <c r="V220" s="2369">
        <f t="shared" si="24"/>
        <v>611832</v>
      </c>
      <c r="W220" s="2942">
        <f>625071+23461</f>
        <v>648532</v>
      </c>
      <c r="X220" s="456">
        <v>0</v>
      </c>
      <c r="Y220" s="2942">
        <v>8050</v>
      </c>
      <c r="Z220" s="456">
        <v>0</v>
      </c>
      <c r="AA220" s="2942">
        <v>0</v>
      </c>
      <c r="AB220" s="2369">
        <f t="shared" si="25"/>
        <v>8050</v>
      </c>
      <c r="AC220" s="2944">
        <v>26050</v>
      </c>
    </row>
    <row r="221" spans="1:29">
      <c r="A221" s="53">
        <v>2010.08</v>
      </c>
      <c r="B221" s="2395">
        <f t="shared" si="26"/>
        <v>1158715</v>
      </c>
      <c r="C221" s="2396">
        <f t="shared" si="27"/>
        <v>0</v>
      </c>
      <c r="D221" s="386">
        <v>1409249.5248454057</v>
      </c>
      <c r="E221" s="3504">
        <v>0</v>
      </c>
      <c r="F221" s="151">
        <v>139809</v>
      </c>
      <c r="G221" s="3065">
        <v>0</v>
      </c>
      <c r="H221" s="632">
        <v>482639</v>
      </c>
      <c r="I221" s="3504">
        <v>676076</v>
      </c>
      <c r="J221" s="638">
        <v>0</v>
      </c>
      <c r="K221" s="151">
        <v>0</v>
      </c>
      <c r="L221" s="3062">
        <f t="shared" si="22"/>
        <v>1158715</v>
      </c>
      <c r="M221" s="632">
        <v>0</v>
      </c>
      <c r="N221" s="151">
        <v>0</v>
      </c>
      <c r="O221" s="3504">
        <v>0</v>
      </c>
      <c r="P221" s="151">
        <v>0</v>
      </c>
      <c r="Q221" s="2396">
        <f t="shared" si="23"/>
        <v>0</v>
      </c>
      <c r="R221" s="456">
        <v>101173</v>
      </c>
      <c r="S221" s="2942">
        <v>366254</v>
      </c>
      <c r="T221" s="456">
        <v>0</v>
      </c>
      <c r="U221" s="2942">
        <v>36833</v>
      </c>
      <c r="V221" s="2369">
        <f t="shared" si="24"/>
        <v>504260</v>
      </c>
      <c r="W221" s="2942">
        <f>511606+36833</f>
        <v>548439</v>
      </c>
      <c r="X221" s="456">
        <v>5737</v>
      </c>
      <c r="Y221" s="2942">
        <v>0</v>
      </c>
      <c r="Z221" s="456">
        <v>0</v>
      </c>
      <c r="AA221" s="2942">
        <v>0</v>
      </c>
      <c r="AB221" s="2369">
        <f t="shared" si="25"/>
        <v>5737</v>
      </c>
      <c r="AC221" s="2944">
        <v>17637</v>
      </c>
    </row>
    <row r="222" spans="1:29">
      <c r="A222" s="53">
        <v>2010.09</v>
      </c>
      <c r="B222" s="2395">
        <f t="shared" si="26"/>
        <v>846472.53393849905</v>
      </c>
      <c r="C222" s="2396">
        <f t="shared" si="27"/>
        <v>56575</v>
      </c>
      <c r="D222" s="386">
        <v>926326.49972130358</v>
      </c>
      <c r="E222" s="3504">
        <v>90649.444341508613</v>
      </c>
      <c r="F222" s="151">
        <v>146077</v>
      </c>
      <c r="G222" s="3065">
        <v>0</v>
      </c>
      <c r="H222" s="632">
        <v>439461</v>
      </c>
      <c r="I222" s="3504">
        <v>353844</v>
      </c>
      <c r="J222" s="638">
        <v>0</v>
      </c>
      <c r="K222" s="151">
        <v>53167.533938499037</v>
      </c>
      <c r="L222" s="3062">
        <f t="shared" si="22"/>
        <v>846472.53393849905</v>
      </c>
      <c r="M222" s="632">
        <v>0</v>
      </c>
      <c r="N222" s="151">
        <v>56575</v>
      </c>
      <c r="O222" s="3504">
        <v>0</v>
      </c>
      <c r="P222" s="151">
        <v>0</v>
      </c>
      <c r="Q222" s="2396">
        <f t="shared" si="23"/>
        <v>56575</v>
      </c>
      <c r="R222" s="456">
        <v>85437</v>
      </c>
      <c r="S222" s="2942">
        <v>429977</v>
      </c>
      <c r="T222" s="456">
        <v>9700</v>
      </c>
      <c r="U222" s="2942">
        <f>27589+4500</f>
        <v>32089</v>
      </c>
      <c r="V222" s="2369">
        <f t="shared" si="24"/>
        <v>557203</v>
      </c>
      <c r="W222" s="2942">
        <f>538914+37289+4500</f>
        <v>580703</v>
      </c>
      <c r="X222" s="456">
        <v>500</v>
      </c>
      <c r="Y222" s="2942">
        <v>0</v>
      </c>
      <c r="Z222" s="456">
        <v>0</v>
      </c>
      <c r="AA222" s="2942">
        <v>0</v>
      </c>
      <c r="AB222" s="2369">
        <f t="shared" si="25"/>
        <v>500</v>
      </c>
      <c r="AC222" s="2944">
        <v>34150</v>
      </c>
    </row>
    <row r="223" spans="1:29">
      <c r="A223" s="53">
        <v>2010.1</v>
      </c>
      <c r="B223" s="2395">
        <f t="shared" si="26"/>
        <v>793764.80250603729</v>
      </c>
      <c r="C223" s="2396">
        <f t="shared" si="27"/>
        <v>8149</v>
      </c>
      <c r="D223" s="386">
        <v>880345.40664546425</v>
      </c>
      <c r="E223" s="3504">
        <v>59952</v>
      </c>
      <c r="F223" s="151">
        <v>73565</v>
      </c>
      <c r="G223" s="3065">
        <v>0</v>
      </c>
      <c r="H223" s="632">
        <v>289452</v>
      </c>
      <c r="I223" s="3504">
        <v>451719</v>
      </c>
      <c r="J223" s="638">
        <v>0</v>
      </c>
      <c r="K223" s="151">
        <v>52593.80250603726</v>
      </c>
      <c r="L223" s="3062">
        <f t="shared" si="22"/>
        <v>793764.80250603729</v>
      </c>
      <c r="M223" s="632">
        <v>8149</v>
      </c>
      <c r="N223" s="151">
        <v>0</v>
      </c>
      <c r="O223" s="3504">
        <v>0</v>
      </c>
      <c r="P223" s="151">
        <v>0</v>
      </c>
      <c r="Q223" s="2396">
        <f t="shared" si="23"/>
        <v>8149</v>
      </c>
      <c r="R223" s="456">
        <v>103898</v>
      </c>
      <c r="S223" s="2942">
        <v>297781</v>
      </c>
      <c r="T223" s="456">
        <f>8831+1554</f>
        <v>10385</v>
      </c>
      <c r="U223" s="2942">
        <v>2900</v>
      </c>
      <c r="V223" s="2369">
        <f t="shared" si="24"/>
        <v>414964</v>
      </c>
      <c r="W223" s="2942">
        <f>432379+11731+1554</f>
        <v>445664</v>
      </c>
      <c r="X223" s="456">
        <v>0</v>
      </c>
      <c r="Y223" s="2942">
        <v>5000</v>
      </c>
      <c r="Z223" s="456">
        <v>0</v>
      </c>
      <c r="AA223" s="2942">
        <v>0</v>
      </c>
      <c r="AB223" s="2369">
        <f t="shared" si="25"/>
        <v>5000</v>
      </c>
      <c r="AC223" s="2944">
        <v>36800</v>
      </c>
    </row>
    <row r="224" spans="1:29">
      <c r="A224" s="53">
        <v>2010.11</v>
      </c>
      <c r="B224" s="2395">
        <f t="shared" si="26"/>
        <v>597266</v>
      </c>
      <c r="C224" s="2396">
        <f t="shared" si="27"/>
        <v>158280</v>
      </c>
      <c r="D224" s="386">
        <v>638087.08054567827</v>
      </c>
      <c r="E224" s="3504">
        <v>62646</v>
      </c>
      <c r="F224" s="151">
        <v>158302</v>
      </c>
      <c r="G224" s="3065">
        <v>0</v>
      </c>
      <c r="H224" s="632">
        <v>287524</v>
      </c>
      <c r="I224" s="3504">
        <v>309742</v>
      </c>
      <c r="J224" s="638">
        <v>0</v>
      </c>
      <c r="K224" s="151">
        <v>0</v>
      </c>
      <c r="L224" s="3062">
        <f t="shared" si="22"/>
        <v>597266</v>
      </c>
      <c r="M224" s="632">
        <v>23304</v>
      </c>
      <c r="N224" s="151">
        <v>108748</v>
      </c>
      <c r="O224" s="3504">
        <v>0</v>
      </c>
      <c r="P224" s="151">
        <v>26228</v>
      </c>
      <c r="Q224" s="2396">
        <f t="shared" si="23"/>
        <v>158280</v>
      </c>
      <c r="R224" s="456">
        <v>110000</v>
      </c>
      <c r="S224" s="2942">
        <v>342099</v>
      </c>
      <c r="T224" s="456">
        <v>0</v>
      </c>
      <c r="U224" s="2942">
        <v>25226</v>
      </c>
      <c r="V224" s="2369">
        <f t="shared" si="24"/>
        <v>477325</v>
      </c>
      <c r="W224" s="2942">
        <f>511099+25226</f>
        <v>536325</v>
      </c>
      <c r="X224" s="456">
        <v>8335</v>
      </c>
      <c r="Y224" s="2942">
        <v>0</v>
      </c>
      <c r="Z224" s="456">
        <v>0</v>
      </c>
      <c r="AA224" s="2942">
        <v>0</v>
      </c>
      <c r="AB224" s="2369">
        <f t="shared" si="25"/>
        <v>8335</v>
      </c>
      <c r="AC224" s="2944">
        <v>12835</v>
      </c>
    </row>
    <row r="225" spans="1:29">
      <c r="A225" s="53">
        <v>2010.12</v>
      </c>
      <c r="B225" s="2395">
        <f t="shared" si="26"/>
        <v>547942.70231800608</v>
      </c>
      <c r="C225" s="2396">
        <f t="shared" si="27"/>
        <v>597613</v>
      </c>
      <c r="D225" s="386">
        <v>519013</v>
      </c>
      <c r="E225" s="3504">
        <v>64759</v>
      </c>
      <c r="F225" s="151">
        <v>716966</v>
      </c>
      <c r="G225" s="3065">
        <v>0</v>
      </c>
      <c r="H225" s="632">
        <v>227385</v>
      </c>
      <c r="I225" s="3504">
        <v>275148</v>
      </c>
      <c r="J225" s="638">
        <v>0</v>
      </c>
      <c r="K225" s="151">
        <v>45409.702318006071</v>
      </c>
      <c r="L225" s="3062">
        <f t="shared" si="22"/>
        <v>547942.70231800608</v>
      </c>
      <c r="M225" s="632">
        <v>149018</v>
      </c>
      <c r="N225" s="151">
        <v>410303</v>
      </c>
      <c r="O225" s="3504">
        <v>0</v>
      </c>
      <c r="P225" s="151">
        <v>38292</v>
      </c>
      <c r="Q225" s="2396">
        <f t="shared" si="23"/>
        <v>597613</v>
      </c>
      <c r="R225" s="456">
        <v>94811</v>
      </c>
      <c r="S225" s="2942">
        <v>278947</v>
      </c>
      <c r="T225" s="456">
        <v>0</v>
      </c>
      <c r="U225" s="2942">
        <f>12500+4475</f>
        <v>16975</v>
      </c>
      <c r="V225" s="2369">
        <f t="shared" si="24"/>
        <v>390733</v>
      </c>
      <c r="W225" s="2942">
        <f>391258+12500+4475</f>
        <v>408233</v>
      </c>
      <c r="X225" s="456">
        <v>0</v>
      </c>
      <c r="Y225" s="2942">
        <v>3000</v>
      </c>
      <c r="Z225" s="456">
        <v>0</v>
      </c>
      <c r="AA225" s="2942">
        <v>0</v>
      </c>
      <c r="AB225" s="2369">
        <f t="shared" si="25"/>
        <v>3000</v>
      </c>
      <c r="AC225" s="2944">
        <v>27600</v>
      </c>
    </row>
    <row r="226" spans="1:29">
      <c r="A226" s="53">
        <v>2011.01</v>
      </c>
      <c r="B226" s="2395">
        <f t="shared" si="26"/>
        <v>492161.15098030714</v>
      </c>
      <c r="C226" s="2396">
        <f t="shared" si="27"/>
        <v>721925</v>
      </c>
      <c r="D226" s="386">
        <v>489126.77585003123</v>
      </c>
      <c r="E226" s="3504">
        <v>27805.735621353811</v>
      </c>
      <c r="F226" s="151">
        <v>1036732.6796669072</v>
      </c>
      <c r="G226" s="3065">
        <v>0</v>
      </c>
      <c r="H226" s="632">
        <v>274714.99769607373</v>
      </c>
      <c r="I226" s="3504">
        <v>177097.15328423338</v>
      </c>
      <c r="J226" s="638">
        <v>0</v>
      </c>
      <c r="K226" s="151">
        <v>40349</v>
      </c>
      <c r="L226" s="3062">
        <f t="shared" si="22"/>
        <v>492161.15098030714</v>
      </c>
      <c r="M226" s="632">
        <v>349153</v>
      </c>
      <c r="N226" s="151">
        <v>344861</v>
      </c>
      <c r="O226" s="3504">
        <v>0</v>
      </c>
      <c r="P226" s="151">
        <v>27911</v>
      </c>
      <c r="Q226" s="2396">
        <f t="shared" si="23"/>
        <v>721925</v>
      </c>
      <c r="R226" s="456">
        <v>37087</v>
      </c>
      <c r="S226" s="2942">
        <v>194376</v>
      </c>
      <c r="T226" s="456">
        <v>0</v>
      </c>
      <c r="U226" s="2942">
        <v>6600</v>
      </c>
      <c r="V226" s="2369">
        <f t="shared" si="24"/>
        <v>238063</v>
      </c>
      <c r="W226" s="2942">
        <f>264964+6600</f>
        <v>271564</v>
      </c>
      <c r="X226" s="456">
        <v>1000</v>
      </c>
      <c r="Y226" s="2942">
        <v>4750</v>
      </c>
      <c r="Z226" s="456">
        <v>0</v>
      </c>
      <c r="AA226" s="2942">
        <v>0</v>
      </c>
      <c r="AB226" s="2369">
        <f t="shared" si="25"/>
        <v>5750</v>
      </c>
      <c r="AC226" s="2944">
        <v>14750</v>
      </c>
    </row>
    <row r="227" spans="1:29">
      <c r="A227" s="53">
        <v>2011.02</v>
      </c>
      <c r="B227" s="2395">
        <f t="shared" si="26"/>
        <v>555000.43778002867</v>
      </c>
      <c r="C227" s="2396">
        <f t="shared" si="27"/>
        <v>725230</v>
      </c>
      <c r="D227" s="386">
        <v>562193.8499001055</v>
      </c>
      <c r="E227" s="3504">
        <v>19927.593173627305</v>
      </c>
      <c r="F227" s="151">
        <v>1086216.625413747</v>
      </c>
      <c r="G227" s="3065">
        <v>0</v>
      </c>
      <c r="H227" s="632">
        <v>266461.2083803835</v>
      </c>
      <c r="I227" s="3504">
        <v>259622.22939964518</v>
      </c>
      <c r="J227" s="638">
        <v>0</v>
      </c>
      <c r="K227" s="151">
        <v>28917</v>
      </c>
      <c r="L227" s="3062">
        <f t="shared" si="22"/>
        <v>555000.43778002867</v>
      </c>
      <c r="M227" s="632">
        <v>123049</v>
      </c>
      <c r="N227" s="151">
        <v>564012</v>
      </c>
      <c r="O227" s="3504">
        <v>0</v>
      </c>
      <c r="P227" s="151">
        <v>38169</v>
      </c>
      <c r="Q227" s="2396">
        <f t="shared" si="23"/>
        <v>725230</v>
      </c>
      <c r="R227" s="456">
        <v>63640</v>
      </c>
      <c r="S227" s="2942">
        <v>183260</v>
      </c>
      <c r="T227" s="456">
        <v>0</v>
      </c>
      <c r="U227" s="2942">
        <v>13800</v>
      </c>
      <c r="V227" s="2369">
        <f t="shared" si="24"/>
        <v>260700</v>
      </c>
      <c r="W227" s="2942">
        <f>266900+13800</f>
        <v>280700</v>
      </c>
      <c r="X227" s="456">
        <v>0</v>
      </c>
      <c r="Y227" s="2942">
        <v>7400</v>
      </c>
      <c r="Z227" s="456">
        <v>0</v>
      </c>
      <c r="AA227" s="2942">
        <v>0</v>
      </c>
      <c r="AB227" s="2369">
        <f t="shared" si="25"/>
        <v>7400</v>
      </c>
      <c r="AC227" s="2944">
        <v>32900</v>
      </c>
    </row>
    <row r="228" spans="1:29">
      <c r="A228" s="53">
        <v>2011.03</v>
      </c>
      <c r="B228" s="2395">
        <f t="shared" si="26"/>
        <v>1419695.1002863082</v>
      </c>
      <c r="C228" s="2396">
        <f t="shared" si="27"/>
        <v>615504</v>
      </c>
      <c r="D228" s="386">
        <v>1513941.8337871232</v>
      </c>
      <c r="E228" s="3504">
        <v>0</v>
      </c>
      <c r="F228" s="151">
        <v>935915.91908484069</v>
      </c>
      <c r="G228" s="3065">
        <v>0</v>
      </c>
      <c r="H228" s="632">
        <v>594982.60082949908</v>
      </c>
      <c r="I228" s="3504">
        <v>824712.49945680914</v>
      </c>
      <c r="J228" s="638">
        <v>0</v>
      </c>
      <c r="K228" s="151">
        <v>0</v>
      </c>
      <c r="L228" s="3062">
        <f t="shared" si="22"/>
        <v>1419695.1002863082</v>
      </c>
      <c r="M228" s="632">
        <v>269650</v>
      </c>
      <c r="N228" s="151">
        <v>345854</v>
      </c>
      <c r="O228" s="3504">
        <v>0</v>
      </c>
      <c r="P228" s="151">
        <v>0</v>
      </c>
      <c r="Q228" s="2396">
        <f t="shared" si="23"/>
        <v>615504</v>
      </c>
      <c r="R228" s="456">
        <v>185257</v>
      </c>
      <c r="S228" s="2942">
        <v>194535</v>
      </c>
      <c r="T228" s="456">
        <v>0</v>
      </c>
      <c r="U228" s="2942">
        <v>12150</v>
      </c>
      <c r="V228" s="2369">
        <f t="shared" si="24"/>
        <v>391942</v>
      </c>
      <c r="W228" s="2942">
        <f>400934+12150</f>
        <v>413084</v>
      </c>
      <c r="X228" s="456">
        <v>3000</v>
      </c>
      <c r="Y228" s="2942">
        <v>39800</v>
      </c>
      <c r="Z228" s="456">
        <v>0</v>
      </c>
      <c r="AA228" s="2942">
        <v>0</v>
      </c>
      <c r="AB228" s="2369">
        <f t="shared" si="25"/>
        <v>42800</v>
      </c>
      <c r="AC228" s="2944">
        <v>61800</v>
      </c>
    </row>
    <row r="229" spans="1:29">
      <c r="A229" s="53">
        <v>2011.04</v>
      </c>
      <c r="B229" s="2395">
        <f t="shared" si="26"/>
        <v>1446098.1215359429</v>
      </c>
      <c r="C229" s="2396">
        <f t="shared" si="27"/>
        <v>235132</v>
      </c>
      <c r="D229" s="386">
        <v>1809909.4554141301</v>
      </c>
      <c r="E229" s="3504">
        <v>0</v>
      </c>
      <c r="F229" s="151">
        <v>507177.94243946619</v>
      </c>
      <c r="G229" s="3065">
        <v>0</v>
      </c>
      <c r="H229" s="632">
        <v>642841.63882082549</v>
      </c>
      <c r="I229" s="3504">
        <v>803256.48271511728</v>
      </c>
      <c r="J229" s="638">
        <v>0</v>
      </c>
      <c r="K229" s="151">
        <v>0</v>
      </c>
      <c r="L229" s="3062">
        <f t="shared" si="22"/>
        <v>1446098.1215359429</v>
      </c>
      <c r="M229" s="632">
        <v>82753</v>
      </c>
      <c r="N229" s="151">
        <v>152379</v>
      </c>
      <c r="O229" s="3504">
        <v>0</v>
      </c>
      <c r="P229" s="151">
        <v>0</v>
      </c>
      <c r="Q229" s="2396">
        <f t="shared" si="23"/>
        <v>235132</v>
      </c>
      <c r="R229" s="456">
        <v>75920</v>
      </c>
      <c r="S229" s="2942">
        <v>206074</v>
      </c>
      <c r="T229" s="456">
        <v>0</v>
      </c>
      <c r="U229" s="2942">
        <v>0</v>
      </c>
      <c r="V229" s="2369">
        <f t="shared" si="24"/>
        <v>281994</v>
      </c>
      <c r="W229" s="2942">
        <v>300994</v>
      </c>
      <c r="X229" s="456">
        <v>3550</v>
      </c>
      <c r="Y229" s="2942">
        <v>19000</v>
      </c>
      <c r="Z229" s="456">
        <v>0</v>
      </c>
      <c r="AA229" s="2942">
        <v>0</v>
      </c>
      <c r="AB229" s="2369">
        <f t="shared" si="25"/>
        <v>22550</v>
      </c>
      <c r="AC229" s="2944">
        <v>135640</v>
      </c>
    </row>
    <row r="230" spans="1:29">
      <c r="A230" s="53">
        <v>2011.05</v>
      </c>
      <c r="B230" s="2395">
        <f t="shared" si="26"/>
        <v>1831652.8197707213</v>
      </c>
      <c r="C230" s="2396">
        <f t="shared" si="27"/>
        <v>235204</v>
      </c>
      <c r="D230" s="386">
        <v>2412867.0760402791</v>
      </c>
      <c r="E230" s="3504">
        <v>0</v>
      </c>
      <c r="F230" s="151">
        <v>715427.83339503885</v>
      </c>
      <c r="G230" s="3065">
        <v>0</v>
      </c>
      <c r="H230" s="632">
        <v>655729.09025482892</v>
      </c>
      <c r="I230" s="3504">
        <v>1175923.7295158922</v>
      </c>
      <c r="J230" s="638">
        <v>0</v>
      </c>
      <c r="K230" s="151">
        <v>0</v>
      </c>
      <c r="L230" s="3062">
        <f t="shared" si="22"/>
        <v>1831652.8197707213</v>
      </c>
      <c r="M230" s="632">
        <v>123050</v>
      </c>
      <c r="N230" s="151">
        <v>112154</v>
      </c>
      <c r="O230" s="3504">
        <v>0</v>
      </c>
      <c r="P230" s="151">
        <v>0</v>
      </c>
      <c r="Q230" s="2396">
        <f t="shared" si="23"/>
        <v>235204</v>
      </c>
      <c r="R230" s="456">
        <v>113063</v>
      </c>
      <c r="S230" s="2942">
        <v>418916</v>
      </c>
      <c r="T230" s="456">
        <v>0</v>
      </c>
      <c r="U230" s="2942">
        <v>40004</v>
      </c>
      <c r="V230" s="2369">
        <f t="shared" si="24"/>
        <v>571983</v>
      </c>
      <c r="W230" s="2942">
        <f>558329+40004</f>
        <v>598333</v>
      </c>
      <c r="X230" s="456">
        <v>15600</v>
      </c>
      <c r="Y230" s="2942">
        <v>33200</v>
      </c>
      <c r="Z230" s="456">
        <v>0</v>
      </c>
      <c r="AA230" s="2942">
        <v>0</v>
      </c>
      <c r="AB230" s="2369">
        <f t="shared" si="25"/>
        <v>48800</v>
      </c>
      <c r="AC230" s="2944">
        <v>71882</v>
      </c>
    </row>
    <row r="231" spans="1:29">
      <c r="A231" s="53">
        <v>2011.06</v>
      </c>
      <c r="B231" s="2395">
        <f t="shared" si="26"/>
        <v>1398816.2727613978</v>
      </c>
      <c r="C231" s="2396">
        <f t="shared" si="27"/>
        <v>327302</v>
      </c>
      <c r="D231" s="386">
        <v>1789609.162553841</v>
      </c>
      <c r="E231" s="3504">
        <v>0</v>
      </c>
      <c r="F231" s="151">
        <v>591808</v>
      </c>
      <c r="G231" s="3065">
        <v>0</v>
      </c>
      <c r="H231" s="632">
        <v>540044.38407282962</v>
      </c>
      <c r="I231" s="3504">
        <v>858771.88868856814</v>
      </c>
      <c r="J231" s="638">
        <v>0</v>
      </c>
      <c r="K231" s="151">
        <v>0</v>
      </c>
      <c r="L231" s="3062">
        <f t="shared" si="22"/>
        <v>1398816.2727613978</v>
      </c>
      <c r="M231" s="632">
        <v>166844</v>
      </c>
      <c r="N231" s="151">
        <v>160458</v>
      </c>
      <c r="O231" s="3504">
        <v>0</v>
      </c>
      <c r="P231" s="151">
        <v>0</v>
      </c>
      <c r="Q231" s="2396">
        <f t="shared" si="23"/>
        <v>327302</v>
      </c>
      <c r="R231" s="456">
        <v>74772</v>
      </c>
      <c r="S231" s="2942">
        <v>412585</v>
      </c>
      <c r="T231" s="456">
        <v>0</v>
      </c>
      <c r="U231" s="2942">
        <v>2957</v>
      </c>
      <c r="V231" s="2369">
        <f t="shared" si="24"/>
        <v>490314</v>
      </c>
      <c r="W231" s="2942">
        <f>532557+2957</f>
        <v>535514</v>
      </c>
      <c r="X231" s="456">
        <v>5508</v>
      </c>
      <c r="Y231" s="2942">
        <v>75100</v>
      </c>
      <c r="Z231" s="456">
        <v>0</v>
      </c>
      <c r="AA231" s="2942">
        <v>0</v>
      </c>
      <c r="AB231" s="2369">
        <f t="shared" si="25"/>
        <v>80608</v>
      </c>
      <c r="AC231" s="2944">
        <v>135107</v>
      </c>
    </row>
    <row r="232" spans="1:29">
      <c r="A232" s="53">
        <v>2011.07</v>
      </c>
      <c r="B232" s="2395">
        <f t="shared" si="26"/>
        <v>1109422.0968852942</v>
      </c>
      <c r="C232" s="2396">
        <f t="shared" si="27"/>
        <v>228796</v>
      </c>
      <c r="D232" s="386">
        <v>1371364.8464544895</v>
      </c>
      <c r="E232" s="3504">
        <v>0</v>
      </c>
      <c r="F232" s="151">
        <v>340456</v>
      </c>
      <c r="G232" s="3065">
        <v>0</v>
      </c>
      <c r="H232" s="632">
        <v>448659.07994555973</v>
      </c>
      <c r="I232" s="3504">
        <v>660763.01693973457</v>
      </c>
      <c r="J232" s="638">
        <v>0</v>
      </c>
      <c r="K232" s="151">
        <v>0</v>
      </c>
      <c r="L232" s="3062">
        <f t="shared" si="22"/>
        <v>1109422.0968852942</v>
      </c>
      <c r="M232" s="632">
        <v>116836</v>
      </c>
      <c r="N232" s="151">
        <v>111960</v>
      </c>
      <c r="O232" s="3504">
        <v>0</v>
      </c>
      <c r="P232" s="151">
        <v>0</v>
      </c>
      <c r="Q232" s="2396">
        <f t="shared" si="23"/>
        <v>228796</v>
      </c>
      <c r="R232" s="456">
        <v>116715</v>
      </c>
      <c r="S232" s="2942">
        <v>183460</v>
      </c>
      <c r="T232" s="456">
        <v>0</v>
      </c>
      <c r="U232" s="2942">
        <f>20000+1831</f>
        <v>21831</v>
      </c>
      <c r="V232" s="2369">
        <f t="shared" si="24"/>
        <v>322006</v>
      </c>
      <c r="W232" s="2942">
        <f>318175+21831</f>
        <v>340006</v>
      </c>
      <c r="X232" s="456">
        <v>0</v>
      </c>
      <c r="Y232" s="2942">
        <v>20500</v>
      </c>
      <c r="Z232" s="456">
        <v>0</v>
      </c>
      <c r="AA232" s="2942">
        <v>0</v>
      </c>
      <c r="AB232" s="2369">
        <f t="shared" si="25"/>
        <v>20500</v>
      </c>
      <c r="AC232" s="2944">
        <v>67280</v>
      </c>
    </row>
    <row r="233" spans="1:29">
      <c r="A233" s="53">
        <v>2011.08</v>
      </c>
      <c r="B233" s="2395">
        <f t="shared" si="26"/>
        <v>1265560</v>
      </c>
      <c r="C233" s="2396">
        <f t="shared" si="27"/>
        <v>350761</v>
      </c>
      <c r="D233" s="386">
        <v>1706260</v>
      </c>
      <c r="E233" s="3504">
        <v>40033.67120501888</v>
      </c>
      <c r="F233" s="151">
        <v>553854</v>
      </c>
      <c r="G233" s="3065">
        <v>0</v>
      </c>
      <c r="H233" s="632">
        <v>309157</v>
      </c>
      <c r="I233" s="3504">
        <v>937902</v>
      </c>
      <c r="J233" s="638">
        <v>18501</v>
      </c>
      <c r="K233" s="151">
        <v>0</v>
      </c>
      <c r="L233" s="3062">
        <f t="shared" si="22"/>
        <v>1265560</v>
      </c>
      <c r="M233" s="632">
        <v>207488</v>
      </c>
      <c r="N233" s="151">
        <v>85180</v>
      </c>
      <c r="O233" s="3504">
        <v>24733</v>
      </c>
      <c r="P233" s="151">
        <v>33360</v>
      </c>
      <c r="Q233" s="2396">
        <f t="shared" si="23"/>
        <v>350761</v>
      </c>
      <c r="R233" s="456">
        <v>64996</v>
      </c>
      <c r="S233" s="2942">
        <v>352645</v>
      </c>
      <c r="T233" s="456">
        <v>0</v>
      </c>
      <c r="U233" s="2942">
        <f>21602+1847</f>
        <v>23449</v>
      </c>
      <c r="V233" s="2369">
        <f t="shared" si="24"/>
        <v>441090</v>
      </c>
      <c r="W233" s="2942">
        <f>457316+23449</f>
        <v>480765</v>
      </c>
      <c r="X233" s="456">
        <v>0</v>
      </c>
      <c r="Y233" s="2942">
        <v>17800</v>
      </c>
      <c r="Z233" s="456">
        <v>0</v>
      </c>
      <c r="AA233" s="2942">
        <v>0</v>
      </c>
      <c r="AB233" s="2369">
        <f t="shared" si="25"/>
        <v>17800</v>
      </c>
      <c r="AC233" s="2944">
        <v>56601</v>
      </c>
    </row>
    <row r="234" spans="1:29">
      <c r="A234" s="53">
        <v>2011.09</v>
      </c>
      <c r="B234" s="2395">
        <f t="shared" si="26"/>
        <v>848204</v>
      </c>
      <c r="C234" s="2396">
        <f t="shared" si="27"/>
        <v>190408</v>
      </c>
      <c r="D234" s="386">
        <v>866259</v>
      </c>
      <c r="E234" s="3504">
        <v>17483</v>
      </c>
      <c r="F234" s="151">
        <v>382721</v>
      </c>
      <c r="G234" s="3065">
        <v>0</v>
      </c>
      <c r="H234" s="632">
        <v>283138</v>
      </c>
      <c r="I234" s="3504">
        <v>547583</v>
      </c>
      <c r="J234" s="638">
        <v>17483</v>
      </c>
      <c r="K234" s="151">
        <v>0</v>
      </c>
      <c r="L234" s="3062">
        <f t="shared" si="22"/>
        <v>848204</v>
      </c>
      <c r="M234" s="632">
        <v>82474</v>
      </c>
      <c r="N234" s="151">
        <v>107934</v>
      </c>
      <c r="O234" s="3504">
        <v>0</v>
      </c>
      <c r="P234" s="151">
        <v>0</v>
      </c>
      <c r="Q234" s="2396">
        <f t="shared" si="23"/>
        <v>190408</v>
      </c>
      <c r="R234" s="456">
        <v>91017</v>
      </c>
      <c r="S234" s="2942">
        <v>219501</v>
      </c>
      <c r="T234" s="456">
        <v>0</v>
      </c>
      <c r="U234" s="2942">
        <f>20000</f>
        <v>20000</v>
      </c>
      <c r="V234" s="2369">
        <f t="shared" si="24"/>
        <v>330518</v>
      </c>
      <c r="W234" s="2942">
        <f>326460+20000</f>
        <v>346460</v>
      </c>
      <c r="X234" s="456">
        <v>4100</v>
      </c>
      <c r="Y234" s="2942">
        <v>2200</v>
      </c>
      <c r="Z234" s="456">
        <v>0</v>
      </c>
      <c r="AA234" s="2942">
        <v>0</v>
      </c>
      <c r="AB234" s="2369">
        <f t="shared" si="25"/>
        <v>6300</v>
      </c>
      <c r="AC234" s="2944">
        <v>21700</v>
      </c>
    </row>
    <row r="235" spans="1:29">
      <c r="A235" s="53">
        <v>2011.1</v>
      </c>
      <c r="B235" s="2395">
        <f t="shared" si="26"/>
        <v>576965</v>
      </c>
      <c r="C235" s="2396">
        <f t="shared" si="27"/>
        <v>242116</v>
      </c>
      <c r="D235" s="386">
        <v>567738</v>
      </c>
      <c r="E235" s="3504">
        <v>57182</v>
      </c>
      <c r="F235" s="151">
        <v>462858</v>
      </c>
      <c r="G235" s="3065">
        <v>0</v>
      </c>
      <c r="H235" s="632">
        <v>137369</v>
      </c>
      <c r="I235" s="3504">
        <v>382414</v>
      </c>
      <c r="J235" s="638">
        <v>5081</v>
      </c>
      <c r="K235" s="151">
        <v>52101</v>
      </c>
      <c r="L235" s="3062">
        <f t="shared" si="22"/>
        <v>576965</v>
      </c>
      <c r="M235" s="632">
        <v>161035</v>
      </c>
      <c r="N235" s="151">
        <v>81081</v>
      </c>
      <c r="O235" s="3504">
        <v>0</v>
      </c>
      <c r="P235" s="151">
        <v>0</v>
      </c>
      <c r="Q235" s="2396">
        <f t="shared" si="23"/>
        <v>242116</v>
      </c>
      <c r="R235" s="456">
        <v>93082</v>
      </c>
      <c r="S235" s="2942">
        <v>271660</v>
      </c>
      <c r="T235" s="456">
        <v>0</v>
      </c>
      <c r="U235" s="2942">
        <f>9000</f>
        <v>9000</v>
      </c>
      <c r="V235" s="2369">
        <f t="shared" si="24"/>
        <v>373742</v>
      </c>
      <c r="W235" s="2942">
        <f>414022+9000</f>
        <v>423022</v>
      </c>
      <c r="X235" s="456">
        <v>4925</v>
      </c>
      <c r="Y235" s="2942">
        <f>15000+5250</f>
        <v>20250</v>
      </c>
      <c r="Z235" s="456">
        <v>0</v>
      </c>
      <c r="AA235" s="2942">
        <v>0</v>
      </c>
      <c r="AB235" s="2369">
        <f t="shared" si="25"/>
        <v>25175</v>
      </c>
      <c r="AC235" s="2944">
        <f>5250+77405</f>
        <v>82655</v>
      </c>
    </row>
    <row r="236" spans="1:29">
      <c r="A236" s="53">
        <v>2011.11</v>
      </c>
      <c r="B236" s="2395">
        <f t="shared" si="26"/>
        <v>707352</v>
      </c>
      <c r="C236" s="2396">
        <f t="shared" si="27"/>
        <v>342785</v>
      </c>
      <c r="D236" s="386">
        <v>709191</v>
      </c>
      <c r="E236" s="3504">
        <v>121603</v>
      </c>
      <c r="F236" s="151">
        <v>467309</v>
      </c>
      <c r="G236" s="3065">
        <v>0</v>
      </c>
      <c r="H236" s="632">
        <v>239275</v>
      </c>
      <c r="I236" s="3504">
        <v>346474</v>
      </c>
      <c r="J236" s="638">
        <v>65249</v>
      </c>
      <c r="K236" s="151">
        <v>56354</v>
      </c>
      <c r="L236" s="3062">
        <f t="shared" si="22"/>
        <v>707352</v>
      </c>
      <c r="M236" s="632">
        <v>189695</v>
      </c>
      <c r="N236" s="151">
        <v>153090</v>
      </c>
      <c r="O236" s="3504">
        <v>0</v>
      </c>
      <c r="P236" s="151">
        <v>0</v>
      </c>
      <c r="Q236" s="2396">
        <f t="shared" si="23"/>
        <v>342785</v>
      </c>
      <c r="R236" s="456">
        <v>51455</v>
      </c>
      <c r="S236" s="2942">
        <v>212551</v>
      </c>
      <c r="T236" s="456">
        <v>0</v>
      </c>
      <c r="U236" s="2942">
        <f>6478</f>
        <v>6478</v>
      </c>
      <c r="V236" s="2369">
        <f t="shared" si="24"/>
        <v>270484</v>
      </c>
      <c r="W236" s="2942">
        <f>271006+6478</f>
        <v>277484</v>
      </c>
      <c r="X236" s="456">
        <v>0</v>
      </c>
      <c r="Y236" s="2942">
        <v>4500</v>
      </c>
      <c r="Z236" s="456">
        <v>0</v>
      </c>
      <c r="AA236" s="2942">
        <v>0</v>
      </c>
      <c r="AB236" s="2369">
        <f t="shared" si="25"/>
        <v>4500</v>
      </c>
      <c r="AC236" s="2944">
        <v>62840</v>
      </c>
    </row>
    <row r="237" spans="1:29">
      <c r="A237" s="53">
        <v>2011.12</v>
      </c>
      <c r="B237" s="2395">
        <f t="shared" si="26"/>
        <v>735998</v>
      </c>
      <c r="C237" s="2396">
        <f t="shared" si="27"/>
        <v>604368</v>
      </c>
      <c r="D237" s="386">
        <v>663903</v>
      </c>
      <c r="E237" s="3504">
        <v>91845</v>
      </c>
      <c r="F237" s="151">
        <v>776019</v>
      </c>
      <c r="G237" s="3065">
        <v>0</v>
      </c>
      <c r="H237" s="632">
        <v>141023</v>
      </c>
      <c r="I237" s="3504">
        <v>503130</v>
      </c>
      <c r="J237" s="638">
        <v>7816</v>
      </c>
      <c r="K237" s="151">
        <v>84029</v>
      </c>
      <c r="L237" s="3062">
        <f t="shared" si="22"/>
        <v>735998</v>
      </c>
      <c r="M237" s="632">
        <v>164815</v>
      </c>
      <c r="N237" s="151">
        <v>439553</v>
      </c>
      <c r="O237" s="3504">
        <v>0</v>
      </c>
      <c r="P237" s="151">
        <v>0</v>
      </c>
      <c r="Q237" s="2396">
        <f t="shared" si="23"/>
        <v>604368</v>
      </c>
      <c r="R237" s="456">
        <v>78238</v>
      </c>
      <c r="S237" s="2942">
        <v>133250</v>
      </c>
      <c r="T237" s="456">
        <v>0</v>
      </c>
      <c r="U237" s="2942">
        <f>21500</f>
        <v>21500</v>
      </c>
      <c r="V237" s="2369">
        <f t="shared" si="24"/>
        <v>232988</v>
      </c>
      <c r="W237" s="2942">
        <f>234738+21500</f>
        <v>256238</v>
      </c>
      <c r="X237" s="456">
        <v>2875</v>
      </c>
      <c r="Y237" s="2942">
        <v>11950</v>
      </c>
      <c r="Z237" s="456">
        <v>1475</v>
      </c>
      <c r="AA237" s="2942">
        <v>0</v>
      </c>
      <c r="AB237" s="2369">
        <f t="shared" si="25"/>
        <v>16300</v>
      </c>
      <c r="AC237" s="2944">
        <f>38375+1475</f>
        <v>39850</v>
      </c>
    </row>
    <row r="238" spans="1:29">
      <c r="A238" s="53">
        <v>2012.01</v>
      </c>
      <c r="B238" s="2395">
        <f t="shared" si="26"/>
        <v>576505</v>
      </c>
      <c r="C238" s="2396">
        <f t="shared" si="27"/>
        <v>830933.86637659778</v>
      </c>
      <c r="D238" s="386">
        <v>540103</v>
      </c>
      <c r="E238" s="3504">
        <v>41902</v>
      </c>
      <c r="F238" s="151">
        <v>1295318.8663765979</v>
      </c>
      <c r="G238" s="3065">
        <v>0</v>
      </c>
      <c r="H238" s="632">
        <v>74054</v>
      </c>
      <c r="I238" s="3504">
        <v>460549</v>
      </c>
      <c r="J238" s="638">
        <v>0</v>
      </c>
      <c r="K238" s="151">
        <v>41902</v>
      </c>
      <c r="L238" s="3062">
        <f t="shared" si="22"/>
        <v>576505</v>
      </c>
      <c r="M238" s="632">
        <v>493631</v>
      </c>
      <c r="N238" s="151">
        <v>337302.86637659778</v>
      </c>
      <c r="O238" s="3504">
        <v>0</v>
      </c>
      <c r="P238" s="151">
        <v>0</v>
      </c>
      <c r="Q238" s="2396">
        <f t="shared" si="23"/>
        <v>830933.86637659778</v>
      </c>
      <c r="R238" s="456">
        <v>23868</v>
      </c>
      <c r="S238" s="2942">
        <v>147769</v>
      </c>
      <c r="T238" s="456">
        <v>0</v>
      </c>
      <c r="U238" s="2942">
        <f>16500</f>
        <v>16500</v>
      </c>
      <c r="V238" s="2369">
        <f t="shared" si="24"/>
        <v>188137</v>
      </c>
      <c r="W238" s="2942">
        <f>191937+16500</f>
        <v>208437</v>
      </c>
      <c r="X238" s="456">
        <v>0</v>
      </c>
      <c r="Y238" s="2942">
        <v>4597</v>
      </c>
      <c r="Z238" s="456">
        <v>0</v>
      </c>
      <c r="AA238" s="2942">
        <v>0</v>
      </c>
      <c r="AB238" s="2369">
        <f t="shared" si="25"/>
        <v>4597</v>
      </c>
      <c r="AC238" s="2944">
        <v>33597</v>
      </c>
    </row>
    <row r="239" spans="1:29">
      <c r="A239" s="53">
        <v>2012.02</v>
      </c>
      <c r="B239" s="2395">
        <f t="shared" si="26"/>
        <v>1536468</v>
      </c>
      <c r="C239" s="2396">
        <f t="shared" si="27"/>
        <v>924592.13362340222</v>
      </c>
      <c r="D239" s="386">
        <v>1803731</v>
      </c>
      <c r="E239" s="3504">
        <v>46387</v>
      </c>
      <c r="F239" s="151">
        <v>1317555.1336234021</v>
      </c>
      <c r="G239" s="3065">
        <v>0</v>
      </c>
      <c r="H239" s="632">
        <v>612933</v>
      </c>
      <c r="I239" s="3504">
        <v>877148</v>
      </c>
      <c r="J239" s="638">
        <v>10772</v>
      </c>
      <c r="K239" s="151">
        <v>35615</v>
      </c>
      <c r="L239" s="3062">
        <f t="shared" si="22"/>
        <v>1536468</v>
      </c>
      <c r="M239" s="632">
        <v>347958</v>
      </c>
      <c r="N239" s="151">
        <v>565133.13362340222</v>
      </c>
      <c r="O239" s="3504">
        <v>0</v>
      </c>
      <c r="P239" s="151">
        <v>11501</v>
      </c>
      <c r="Q239" s="2396">
        <f t="shared" si="23"/>
        <v>924592.13362340222</v>
      </c>
      <c r="R239" s="456">
        <v>96079</v>
      </c>
      <c r="S239" s="2942">
        <v>229740</v>
      </c>
      <c r="T239" s="456">
        <v>0</v>
      </c>
      <c r="U239" s="2942">
        <v>19086</v>
      </c>
      <c r="V239" s="2369">
        <f t="shared" si="24"/>
        <v>344905</v>
      </c>
      <c r="W239" s="2942">
        <f>421139+19086</f>
        <v>440225</v>
      </c>
      <c r="X239" s="456">
        <v>0</v>
      </c>
      <c r="Y239" s="2942">
        <v>41700</v>
      </c>
      <c r="Z239" s="456">
        <v>0</v>
      </c>
      <c r="AA239" s="2942">
        <v>0</v>
      </c>
      <c r="AB239" s="2369">
        <f t="shared" si="25"/>
        <v>41700</v>
      </c>
      <c r="AC239" s="2944">
        <v>80100</v>
      </c>
    </row>
    <row r="240" spans="1:29">
      <c r="A240" s="53">
        <v>2012.03</v>
      </c>
      <c r="B240" s="2395">
        <f t="shared" si="26"/>
        <v>1229074</v>
      </c>
      <c r="C240" s="2396">
        <f t="shared" si="27"/>
        <v>718488</v>
      </c>
      <c r="D240" s="386">
        <v>1480973</v>
      </c>
      <c r="E240" s="3504">
        <v>0</v>
      </c>
      <c r="F240" s="151">
        <v>1190617</v>
      </c>
      <c r="G240" s="3065">
        <v>0</v>
      </c>
      <c r="H240" s="632">
        <v>594238</v>
      </c>
      <c r="I240" s="3504">
        <v>634836</v>
      </c>
      <c r="J240" s="638">
        <v>0</v>
      </c>
      <c r="K240" s="151">
        <v>0</v>
      </c>
      <c r="L240" s="3062">
        <f t="shared" si="22"/>
        <v>1229074</v>
      </c>
      <c r="M240" s="632">
        <v>292078</v>
      </c>
      <c r="N240" s="151">
        <v>415917</v>
      </c>
      <c r="O240" s="3504">
        <v>0</v>
      </c>
      <c r="P240" s="151">
        <v>10493</v>
      </c>
      <c r="Q240" s="2396">
        <f t="shared" si="23"/>
        <v>718488</v>
      </c>
      <c r="R240" s="456">
        <v>17300</v>
      </c>
      <c r="S240" s="2942">
        <v>274806</v>
      </c>
      <c r="T240" s="456">
        <v>0</v>
      </c>
      <c r="U240" s="2942">
        <f>11000+4964</f>
        <v>15964</v>
      </c>
      <c r="V240" s="2369">
        <f t="shared" si="24"/>
        <v>308070</v>
      </c>
      <c r="W240" s="2942">
        <f>316856+15964</f>
        <v>332820</v>
      </c>
      <c r="X240" s="456">
        <v>0</v>
      </c>
      <c r="Y240" s="2942">
        <v>61000</v>
      </c>
      <c r="Z240" s="456">
        <v>0</v>
      </c>
      <c r="AA240" s="2942">
        <v>0</v>
      </c>
      <c r="AB240" s="2369">
        <f t="shared" si="25"/>
        <v>61000</v>
      </c>
      <c r="AC240" s="2944">
        <v>86350</v>
      </c>
    </row>
    <row r="241" spans="1:29">
      <c r="A241" s="53">
        <v>2012.04</v>
      </c>
      <c r="B241" s="2395">
        <f t="shared" si="26"/>
        <v>1541870</v>
      </c>
      <c r="C241" s="2396">
        <f t="shared" si="27"/>
        <v>821151</v>
      </c>
      <c r="D241" s="386">
        <v>1173552</v>
      </c>
      <c r="E241" s="3504">
        <v>10108</v>
      </c>
      <c r="F241" s="151">
        <v>1869142</v>
      </c>
      <c r="G241" s="3065">
        <v>0</v>
      </c>
      <c r="H241" s="632">
        <v>440788</v>
      </c>
      <c r="I241" s="3504">
        <v>1090974</v>
      </c>
      <c r="J241" s="638">
        <v>0</v>
      </c>
      <c r="K241" s="151">
        <v>10108</v>
      </c>
      <c r="L241" s="3062">
        <f t="shared" si="22"/>
        <v>1541870</v>
      </c>
      <c r="M241" s="632">
        <v>393609</v>
      </c>
      <c r="N241" s="151">
        <v>427542</v>
      </c>
      <c r="O241" s="3504">
        <v>0</v>
      </c>
      <c r="P241" s="151">
        <v>0</v>
      </c>
      <c r="Q241" s="2396">
        <f t="shared" si="23"/>
        <v>821151</v>
      </c>
      <c r="R241" s="456">
        <v>30278</v>
      </c>
      <c r="S241" s="2942">
        <v>249019</v>
      </c>
      <c r="T241" s="456">
        <v>1772</v>
      </c>
      <c r="U241" s="2942">
        <v>0</v>
      </c>
      <c r="V241" s="2369">
        <f t="shared" si="24"/>
        <v>281069</v>
      </c>
      <c r="W241" s="2942">
        <f>295947+1772</f>
        <v>297719</v>
      </c>
      <c r="X241" s="456">
        <v>0</v>
      </c>
      <c r="Y241" s="2942">
        <v>27267</v>
      </c>
      <c r="Z241" s="456">
        <v>0</v>
      </c>
      <c r="AA241" s="2942">
        <v>0</v>
      </c>
      <c r="AB241" s="2369">
        <f t="shared" si="25"/>
        <v>27267</v>
      </c>
      <c r="AC241" s="2944">
        <v>86517</v>
      </c>
    </row>
    <row r="242" spans="1:29">
      <c r="A242" s="53">
        <v>2012.05</v>
      </c>
      <c r="B242" s="2395">
        <f t="shared" si="26"/>
        <v>1561716</v>
      </c>
      <c r="C242" s="2396">
        <f t="shared" si="27"/>
        <v>698989</v>
      </c>
      <c r="D242" s="386">
        <v>2535133</v>
      </c>
      <c r="E242" s="3504">
        <v>19207</v>
      </c>
      <c r="F242" s="151">
        <v>353350</v>
      </c>
      <c r="G242" s="3065">
        <v>0</v>
      </c>
      <c r="H242" s="632">
        <v>546004</v>
      </c>
      <c r="I242" s="3504">
        <v>996505</v>
      </c>
      <c r="J242" s="638">
        <v>0</v>
      </c>
      <c r="K242" s="151">
        <v>19207</v>
      </c>
      <c r="L242" s="3062">
        <f t="shared" si="22"/>
        <v>1561716</v>
      </c>
      <c r="M242" s="632">
        <v>325859</v>
      </c>
      <c r="N242" s="151">
        <v>368463</v>
      </c>
      <c r="O242" s="3504">
        <v>0</v>
      </c>
      <c r="P242" s="151">
        <v>4667</v>
      </c>
      <c r="Q242" s="2396">
        <f t="shared" si="23"/>
        <v>698989</v>
      </c>
      <c r="R242" s="456">
        <v>79266</v>
      </c>
      <c r="S242" s="2942">
        <v>343738</v>
      </c>
      <c r="T242" s="456">
        <v>2923</v>
      </c>
      <c r="U242" s="2942">
        <v>1471</v>
      </c>
      <c r="V242" s="2369">
        <f t="shared" si="24"/>
        <v>427398</v>
      </c>
      <c r="W242" s="2942">
        <f>465304+2923+1471</f>
        <v>469698</v>
      </c>
      <c r="X242" s="456">
        <v>0</v>
      </c>
      <c r="Y242" s="2942">
        <v>17000</v>
      </c>
      <c r="Z242" s="456">
        <v>0</v>
      </c>
      <c r="AA242" s="2942">
        <v>0</v>
      </c>
      <c r="AB242" s="2369">
        <f t="shared" si="25"/>
        <v>17000</v>
      </c>
      <c r="AC242" s="2944">
        <v>66300</v>
      </c>
    </row>
    <row r="243" spans="1:29">
      <c r="A243" s="53">
        <v>2012.06</v>
      </c>
      <c r="B243" s="2395">
        <f t="shared" si="26"/>
        <v>1607139</v>
      </c>
      <c r="C243" s="2396">
        <f t="shared" si="27"/>
        <v>692794</v>
      </c>
      <c r="D243" s="386">
        <v>1968463</v>
      </c>
      <c r="E243" s="3504">
        <v>0</v>
      </c>
      <c r="F243" s="151">
        <v>977975</v>
      </c>
      <c r="G243" s="3065">
        <v>0</v>
      </c>
      <c r="H243" s="632">
        <v>629385</v>
      </c>
      <c r="I243" s="3504">
        <v>977754</v>
      </c>
      <c r="J243" s="638">
        <v>0</v>
      </c>
      <c r="K243" s="151">
        <v>0</v>
      </c>
      <c r="L243" s="3062">
        <f t="shared" si="22"/>
        <v>1607139</v>
      </c>
      <c r="M243" s="632">
        <v>349944</v>
      </c>
      <c r="N243" s="151">
        <v>342850</v>
      </c>
      <c r="O243" s="3504">
        <v>0</v>
      </c>
      <c r="P243" s="151">
        <v>0</v>
      </c>
      <c r="Q243" s="2396">
        <f t="shared" si="23"/>
        <v>692794</v>
      </c>
      <c r="R243" s="456">
        <v>28420</v>
      </c>
      <c r="S243" s="2942">
        <v>357917</v>
      </c>
      <c r="T243" s="456">
        <v>1034</v>
      </c>
      <c r="U243" s="2942">
        <f>12000+998</f>
        <v>12998</v>
      </c>
      <c r="V243" s="2369">
        <f t="shared" si="24"/>
        <v>400369</v>
      </c>
      <c r="W243" s="2942">
        <f>403384+12000+2032</f>
        <v>417416</v>
      </c>
      <c r="X243" s="456">
        <v>6000</v>
      </c>
      <c r="Y243" s="2942">
        <v>1200</v>
      </c>
      <c r="Z243" s="456">
        <v>0</v>
      </c>
      <c r="AA243" s="2942">
        <v>0</v>
      </c>
      <c r="AB243" s="2369">
        <f t="shared" si="25"/>
        <v>7200</v>
      </c>
      <c r="AC243" s="2944">
        <v>83594</v>
      </c>
    </row>
    <row r="244" spans="1:29">
      <c r="A244" s="53">
        <v>2012.07</v>
      </c>
      <c r="B244" s="2395">
        <f t="shared" si="26"/>
        <v>1424083</v>
      </c>
      <c r="C244" s="2396">
        <f t="shared" si="27"/>
        <v>669582</v>
      </c>
      <c r="D244" s="386">
        <v>1973186</v>
      </c>
      <c r="E244" s="3504">
        <v>0</v>
      </c>
      <c r="F244" s="151">
        <v>1128055</v>
      </c>
      <c r="G244" s="3065">
        <v>0</v>
      </c>
      <c r="H244" s="632">
        <v>503713</v>
      </c>
      <c r="I244" s="3504">
        <v>920370</v>
      </c>
      <c r="J244" s="638">
        <v>0</v>
      </c>
      <c r="K244" s="151">
        <v>0</v>
      </c>
      <c r="L244" s="3062">
        <f t="shared" si="22"/>
        <v>1424083</v>
      </c>
      <c r="M244" s="632">
        <v>311182</v>
      </c>
      <c r="N244" s="151">
        <v>358400</v>
      </c>
      <c r="O244" s="3504">
        <v>0</v>
      </c>
      <c r="P244" s="151">
        <v>0</v>
      </c>
      <c r="Q244" s="2396">
        <f t="shared" si="23"/>
        <v>669582</v>
      </c>
      <c r="R244" s="456">
        <v>64978</v>
      </c>
      <c r="S244" s="2942">
        <v>205235</v>
      </c>
      <c r="T244" s="456">
        <v>0</v>
      </c>
      <c r="U244" s="2942">
        <v>2300</v>
      </c>
      <c r="V244" s="2369">
        <f t="shared" si="24"/>
        <v>272513</v>
      </c>
      <c r="W244" s="2942">
        <f>299603+2300</f>
        <v>301903</v>
      </c>
      <c r="X244" s="456">
        <v>0</v>
      </c>
      <c r="Y244" s="2942">
        <v>30740</v>
      </c>
      <c r="Z244" s="456">
        <v>0</v>
      </c>
      <c r="AA244" s="2942">
        <v>0</v>
      </c>
      <c r="AB244" s="2369">
        <f t="shared" si="25"/>
        <v>30740</v>
      </c>
      <c r="AC244" s="2944">
        <v>56390</v>
      </c>
    </row>
    <row r="245" spans="1:29">
      <c r="A245" s="53">
        <v>2012.08</v>
      </c>
      <c r="B245" s="2395">
        <f t="shared" si="26"/>
        <v>1008158</v>
      </c>
      <c r="C245" s="2396">
        <f t="shared" si="27"/>
        <v>466103</v>
      </c>
      <c r="D245" s="386">
        <v>1160884</v>
      </c>
      <c r="E245" s="3504">
        <v>78067</v>
      </c>
      <c r="F245" s="151">
        <v>718743</v>
      </c>
      <c r="G245" s="3065">
        <v>0</v>
      </c>
      <c r="H245" s="632">
        <v>302718</v>
      </c>
      <c r="I245" s="3504">
        <v>627373</v>
      </c>
      <c r="J245" s="638">
        <v>11000</v>
      </c>
      <c r="K245" s="151">
        <v>67067</v>
      </c>
      <c r="L245" s="3062">
        <f t="shared" si="22"/>
        <v>1008158</v>
      </c>
      <c r="M245" s="632">
        <v>128600</v>
      </c>
      <c r="N245" s="151">
        <v>337503</v>
      </c>
      <c r="O245" s="3504">
        <v>0</v>
      </c>
      <c r="P245" s="151">
        <v>0</v>
      </c>
      <c r="Q245" s="2396">
        <f t="shared" si="23"/>
        <v>466103</v>
      </c>
      <c r="R245" s="456">
        <v>43845</v>
      </c>
      <c r="S245" s="2942">
        <v>286985</v>
      </c>
      <c r="T245" s="456">
        <f>1955</f>
        <v>1955</v>
      </c>
      <c r="U245" s="2942">
        <v>1408</v>
      </c>
      <c r="V245" s="2369">
        <f t="shared" si="24"/>
        <v>334193</v>
      </c>
      <c r="W245" s="2942">
        <f>366337+1955+1408</f>
        <v>369700</v>
      </c>
      <c r="X245" s="456">
        <v>0</v>
      </c>
      <c r="Y245" s="2942">
        <v>0</v>
      </c>
      <c r="Z245" s="456">
        <v>0</v>
      </c>
      <c r="AA245" s="2942">
        <v>0</v>
      </c>
      <c r="AB245" s="2369">
        <f t="shared" si="25"/>
        <v>0</v>
      </c>
      <c r="AC245" s="2944">
        <v>16060</v>
      </c>
    </row>
    <row r="246" spans="1:29">
      <c r="A246" s="53">
        <v>2012.09</v>
      </c>
      <c r="B246" s="2395">
        <f t="shared" si="26"/>
        <v>722744</v>
      </c>
      <c r="C246" s="2396">
        <f t="shared" si="27"/>
        <v>317707</v>
      </c>
      <c r="D246" s="386">
        <v>828336</v>
      </c>
      <c r="E246" s="3504">
        <v>89061</v>
      </c>
      <c r="F246" s="151">
        <v>506381</v>
      </c>
      <c r="G246" s="3065">
        <v>0</v>
      </c>
      <c r="H246" s="632">
        <v>276990</v>
      </c>
      <c r="I246" s="3504">
        <v>356693</v>
      </c>
      <c r="J246" s="638">
        <v>18412</v>
      </c>
      <c r="K246" s="151">
        <v>70649</v>
      </c>
      <c r="L246" s="3062">
        <f t="shared" si="22"/>
        <v>722744</v>
      </c>
      <c r="M246" s="632">
        <v>216673</v>
      </c>
      <c r="N246" s="151">
        <v>101034</v>
      </c>
      <c r="O246" s="3504">
        <v>0</v>
      </c>
      <c r="P246" s="151">
        <v>0</v>
      </c>
      <c r="Q246" s="2396">
        <f t="shared" si="23"/>
        <v>317707</v>
      </c>
      <c r="R246" s="456">
        <v>27200</v>
      </c>
      <c r="S246" s="2942">
        <v>279153</v>
      </c>
      <c r="T246" s="456">
        <v>0</v>
      </c>
      <c r="U246" s="2942">
        <v>5000</v>
      </c>
      <c r="V246" s="2369">
        <f t="shared" si="24"/>
        <v>311353</v>
      </c>
      <c r="W246" s="2942">
        <v>382019</v>
      </c>
      <c r="X246" s="456">
        <v>0</v>
      </c>
      <c r="Y246" s="2942">
        <v>24300</v>
      </c>
      <c r="Z246" s="456">
        <v>0</v>
      </c>
      <c r="AA246" s="2942">
        <v>0</v>
      </c>
      <c r="AB246" s="2369">
        <f t="shared" si="25"/>
        <v>24300</v>
      </c>
      <c r="AC246" s="2944">
        <v>38050</v>
      </c>
    </row>
    <row r="247" spans="1:29">
      <c r="A247" s="53">
        <v>2012.1</v>
      </c>
      <c r="B247" s="2395">
        <f t="shared" si="26"/>
        <v>863387</v>
      </c>
      <c r="C247" s="2396">
        <f t="shared" si="27"/>
        <v>272786</v>
      </c>
      <c r="D247" s="386">
        <v>902744</v>
      </c>
      <c r="E247" s="3504">
        <v>181504</v>
      </c>
      <c r="F247" s="151">
        <v>482576</v>
      </c>
      <c r="G247" s="3065">
        <v>0</v>
      </c>
      <c r="H247" s="632">
        <v>125695</v>
      </c>
      <c r="I247" s="3504">
        <v>556188</v>
      </c>
      <c r="J247" s="638">
        <v>18412</v>
      </c>
      <c r="K247" s="151">
        <v>163092</v>
      </c>
      <c r="L247" s="3062">
        <f t="shared" si="22"/>
        <v>863387</v>
      </c>
      <c r="M247" s="632">
        <v>133255</v>
      </c>
      <c r="N247" s="151">
        <v>114064</v>
      </c>
      <c r="O247" s="3504">
        <v>0</v>
      </c>
      <c r="P247" s="151">
        <v>25467</v>
      </c>
      <c r="Q247" s="2396">
        <f t="shared" si="23"/>
        <v>272786</v>
      </c>
      <c r="R247" s="456">
        <v>44366</v>
      </c>
      <c r="S247" s="2942">
        <v>263966</v>
      </c>
      <c r="T247" s="456">
        <v>1950</v>
      </c>
      <c r="U247" s="2942">
        <v>10000</v>
      </c>
      <c r="V247" s="2369">
        <f t="shared" si="24"/>
        <v>320282</v>
      </c>
      <c r="W247" s="2942">
        <f>368471+11950</f>
        <v>380421</v>
      </c>
      <c r="X247" s="456">
        <v>0</v>
      </c>
      <c r="Y247" s="2942">
        <v>4440</v>
      </c>
      <c r="Z247" s="456">
        <v>0</v>
      </c>
      <c r="AA247" s="2942">
        <v>0</v>
      </c>
      <c r="AB247" s="2369">
        <f t="shared" si="25"/>
        <v>4440</v>
      </c>
      <c r="AC247" s="2944">
        <v>22350</v>
      </c>
    </row>
    <row r="248" spans="1:29">
      <c r="A248" s="53">
        <v>2012.11</v>
      </c>
      <c r="B248" s="2395">
        <f t="shared" si="26"/>
        <v>1255885</v>
      </c>
      <c r="C248" s="2396">
        <f t="shared" si="27"/>
        <v>154106</v>
      </c>
      <c r="D248" s="386">
        <v>1256404</v>
      </c>
      <c r="E248" s="3504">
        <v>188023</v>
      </c>
      <c r="F248" s="151">
        <v>295069</v>
      </c>
      <c r="G248" s="3065">
        <v>0</v>
      </c>
      <c r="H248" s="632">
        <v>366957</v>
      </c>
      <c r="I248" s="3504">
        <v>700905</v>
      </c>
      <c r="J248" s="638">
        <v>10706</v>
      </c>
      <c r="K248" s="151">
        <v>177317</v>
      </c>
      <c r="L248" s="3062">
        <f t="shared" si="22"/>
        <v>1255885</v>
      </c>
      <c r="M248" s="632">
        <v>21703</v>
      </c>
      <c r="N248" s="151">
        <v>97768</v>
      </c>
      <c r="O248" s="3504">
        <v>0</v>
      </c>
      <c r="P248" s="151">
        <v>34635</v>
      </c>
      <c r="Q248" s="2396">
        <f t="shared" si="23"/>
        <v>154106</v>
      </c>
      <c r="R248" s="456">
        <v>26496</v>
      </c>
      <c r="S248" s="2942">
        <v>292800</v>
      </c>
      <c r="T248" s="456">
        <v>0</v>
      </c>
      <c r="U248" s="2942">
        <v>0</v>
      </c>
      <c r="V248" s="2369">
        <f t="shared" si="24"/>
        <v>319296</v>
      </c>
      <c r="W248" s="2942">
        <f>330546</f>
        <v>330546</v>
      </c>
      <c r="X248" s="456">
        <v>2000</v>
      </c>
      <c r="Y248" s="2942">
        <v>2700</v>
      </c>
      <c r="Z248" s="456">
        <v>0</v>
      </c>
      <c r="AA248" s="2942">
        <v>0</v>
      </c>
      <c r="AB248" s="2369">
        <f t="shared" si="25"/>
        <v>4700</v>
      </c>
      <c r="AC248" s="2944">
        <v>32560</v>
      </c>
    </row>
    <row r="249" spans="1:29">
      <c r="A249" s="53">
        <v>2012.12</v>
      </c>
      <c r="B249" s="2395">
        <f t="shared" si="26"/>
        <v>865824</v>
      </c>
      <c r="C249" s="2396">
        <f t="shared" si="27"/>
        <v>593902</v>
      </c>
      <c r="D249" s="386">
        <v>897175</v>
      </c>
      <c r="E249" s="3504">
        <v>126627</v>
      </c>
      <c r="F249" s="151">
        <v>709157</v>
      </c>
      <c r="G249" s="3065">
        <v>0</v>
      </c>
      <c r="H249" s="632">
        <v>274285</v>
      </c>
      <c r="I249" s="3504">
        <v>464912</v>
      </c>
      <c r="J249" s="638">
        <v>44301</v>
      </c>
      <c r="K249" s="151">
        <v>82326</v>
      </c>
      <c r="L249" s="3062">
        <f t="shared" si="22"/>
        <v>865824</v>
      </c>
      <c r="M249" s="632">
        <v>161048</v>
      </c>
      <c r="N249" s="151">
        <v>366734</v>
      </c>
      <c r="O249" s="3504">
        <v>0</v>
      </c>
      <c r="P249" s="151">
        <v>66120</v>
      </c>
      <c r="Q249" s="2396">
        <f t="shared" si="23"/>
        <v>593902</v>
      </c>
      <c r="R249" s="456">
        <v>5200</v>
      </c>
      <c r="S249" s="2942">
        <v>236469</v>
      </c>
      <c r="T249" s="456">
        <v>0</v>
      </c>
      <c r="U249" s="2942">
        <v>4312</v>
      </c>
      <c r="V249" s="2369">
        <f t="shared" si="24"/>
        <v>245981</v>
      </c>
      <c r="W249" s="2942">
        <f>306759+4312</f>
        <v>311071</v>
      </c>
      <c r="X249" s="456">
        <v>0</v>
      </c>
      <c r="Y249" s="2942">
        <v>8500</v>
      </c>
      <c r="Z249" s="456">
        <v>0</v>
      </c>
      <c r="AA249" s="2942">
        <v>0</v>
      </c>
      <c r="AB249" s="2369">
        <f t="shared" si="25"/>
        <v>8500</v>
      </c>
      <c r="AC249" s="2944">
        <v>40716</v>
      </c>
    </row>
    <row r="250" spans="1:29">
      <c r="A250" s="53">
        <v>2013.01</v>
      </c>
      <c r="B250" s="2395">
        <f t="shared" si="26"/>
        <v>1020155.2517519377</v>
      </c>
      <c r="C250" s="2396">
        <f t="shared" si="27"/>
        <v>479982.39576157305</v>
      </c>
      <c r="D250" s="386">
        <v>1024928.8574243813</v>
      </c>
      <c r="E250" s="3504">
        <v>92406.715492072472</v>
      </c>
      <c r="F250" s="151">
        <v>705101.39576157299</v>
      </c>
      <c r="G250" s="3065">
        <v>0</v>
      </c>
      <c r="H250" s="632">
        <v>329805.75409864972</v>
      </c>
      <c r="I250" s="3504">
        <v>597942.78216121544</v>
      </c>
      <c r="J250" s="638">
        <v>0</v>
      </c>
      <c r="K250" s="151">
        <v>92406.715492072472</v>
      </c>
      <c r="L250" s="3062">
        <f t="shared" si="22"/>
        <v>1020155.2517519377</v>
      </c>
      <c r="M250" s="632">
        <v>113458.39576157303</v>
      </c>
      <c r="N250" s="151">
        <v>317606</v>
      </c>
      <c r="O250" s="3504">
        <v>0</v>
      </c>
      <c r="P250" s="151">
        <v>48918</v>
      </c>
      <c r="Q250" s="2396">
        <f t="shared" si="23"/>
        <v>479982.39576157305</v>
      </c>
      <c r="R250" s="456">
        <v>46311</v>
      </c>
      <c r="S250" s="2942">
        <v>76654</v>
      </c>
      <c r="T250" s="456">
        <v>0</v>
      </c>
      <c r="U250" s="2942">
        <v>0</v>
      </c>
      <c r="V250" s="2369">
        <f t="shared" si="24"/>
        <v>122965</v>
      </c>
      <c r="W250" s="2942">
        <v>176779</v>
      </c>
      <c r="X250" s="456">
        <v>0</v>
      </c>
      <c r="Y250" s="2942">
        <v>54150</v>
      </c>
      <c r="Z250" s="456">
        <v>0</v>
      </c>
      <c r="AA250" s="2942">
        <v>0</v>
      </c>
      <c r="AB250" s="2369">
        <f t="shared" si="25"/>
        <v>54150</v>
      </c>
      <c r="AC250" s="2944">
        <v>64350</v>
      </c>
    </row>
    <row r="251" spans="1:29">
      <c r="A251" s="53">
        <v>2013.02</v>
      </c>
      <c r="B251" s="2395">
        <f t="shared" si="26"/>
        <v>698461.81636570953</v>
      </c>
      <c r="C251" s="2396">
        <f t="shared" si="27"/>
        <v>310495.52444134542</v>
      </c>
      <c r="D251" s="386">
        <v>707782.89400386659</v>
      </c>
      <c r="E251" s="3504">
        <v>98974.638268986004</v>
      </c>
      <c r="F251" s="151">
        <v>572211.52444134536</v>
      </c>
      <c r="G251" s="3065">
        <v>0</v>
      </c>
      <c r="H251" s="632">
        <v>203096.06418679352</v>
      </c>
      <c r="I251" s="3504">
        <v>396391.11390992993</v>
      </c>
      <c r="J251" s="638">
        <v>0</v>
      </c>
      <c r="K251" s="151">
        <v>98974.638268986004</v>
      </c>
      <c r="L251" s="3062">
        <f t="shared" si="22"/>
        <v>698461.81636570953</v>
      </c>
      <c r="M251" s="632">
        <v>99952.524441345406</v>
      </c>
      <c r="N251" s="151">
        <v>141822</v>
      </c>
      <c r="O251" s="3504">
        <v>0</v>
      </c>
      <c r="P251" s="151">
        <v>68721</v>
      </c>
      <c r="Q251" s="2396">
        <f t="shared" si="23"/>
        <v>310495.52444134542</v>
      </c>
      <c r="R251" s="456">
        <v>22066</v>
      </c>
      <c r="S251" s="2942">
        <v>167725</v>
      </c>
      <c r="T251" s="456">
        <v>0</v>
      </c>
      <c r="U251" s="2942">
        <f>11368+4779</f>
        <v>16147</v>
      </c>
      <c r="V251" s="2369">
        <f t="shared" si="24"/>
        <v>205938</v>
      </c>
      <c r="W251" s="2942">
        <f>235470+11368+4779</f>
        <v>251617</v>
      </c>
      <c r="X251" s="456">
        <v>0</v>
      </c>
      <c r="Y251" s="2942">
        <v>46100</v>
      </c>
      <c r="Z251" s="456">
        <v>0</v>
      </c>
      <c r="AA251" s="2942">
        <v>0</v>
      </c>
      <c r="AB251" s="2369">
        <f t="shared" si="25"/>
        <v>46100</v>
      </c>
      <c r="AC251" s="2944">
        <v>52450</v>
      </c>
    </row>
    <row r="252" spans="1:29">
      <c r="A252" s="53">
        <v>2013.03</v>
      </c>
      <c r="B252" s="2395">
        <f t="shared" si="26"/>
        <v>1983668.4328555907</v>
      </c>
      <c r="C252" s="2396">
        <f t="shared" si="27"/>
        <v>274394.38752435532</v>
      </c>
      <c r="D252" s="386">
        <v>2246533.9356204793</v>
      </c>
      <c r="E252" s="3504">
        <v>51640.49847420607</v>
      </c>
      <c r="F252" s="151">
        <v>542383.38752435532</v>
      </c>
      <c r="G252" s="3065">
        <v>0</v>
      </c>
      <c r="H252" s="632">
        <v>567719.1594591788</v>
      </c>
      <c r="I252" s="3504">
        <v>1364308.7749222058</v>
      </c>
      <c r="J252" s="638">
        <v>0</v>
      </c>
      <c r="K252" s="151">
        <v>51640.49847420607</v>
      </c>
      <c r="L252" s="3062">
        <f t="shared" si="22"/>
        <v>1983668.4328555907</v>
      </c>
      <c r="M252" s="632">
        <v>169165.38752435529</v>
      </c>
      <c r="N252" s="151">
        <v>105229</v>
      </c>
      <c r="O252" s="3504">
        <v>0</v>
      </c>
      <c r="P252" s="151">
        <v>0</v>
      </c>
      <c r="Q252" s="2396">
        <f t="shared" si="23"/>
        <v>274394.38752435532</v>
      </c>
      <c r="R252" s="456">
        <v>8956</v>
      </c>
      <c r="S252" s="2942">
        <v>120408</v>
      </c>
      <c r="T252" s="456">
        <v>15846</v>
      </c>
      <c r="U252" s="2942">
        <v>0</v>
      </c>
      <c r="V252" s="2369">
        <f t="shared" si="24"/>
        <v>145210</v>
      </c>
      <c r="W252" s="2942">
        <f>151924+15846</f>
        <v>167770</v>
      </c>
      <c r="X252" s="456">
        <v>0</v>
      </c>
      <c r="Y252" s="2942">
        <v>25026</v>
      </c>
      <c r="Z252" s="456">
        <v>0</v>
      </c>
      <c r="AA252" s="2942">
        <v>0</v>
      </c>
      <c r="AB252" s="2369">
        <f t="shared" si="25"/>
        <v>25026</v>
      </c>
      <c r="AC252" s="2944">
        <v>35026</v>
      </c>
    </row>
    <row r="253" spans="1:29">
      <c r="A253" s="53">
        <v>2013.04</v>
      </c>
      <c r="B253" s="2395">
        <f t="shared" si="26"/>
        <v>2371808.5810557622</v>
      </c>
      <c r="C253" s="2396">
        <f t="shared" si="27"/>
        <v>83694.340166421374</v>
      </c>
      <c r="D253" s="386">
        <v>2857300.5149024432</v>
      </c>
      <c r="E253" s="3504">
        <v>0</v>
      </c>
      <c r="F253" s="151">
        <v>277718.34016642137</v>
      </c>
      <c r="G253" s="3065">
        <v>0</v>
      </c>
      <c r="H253" s="632">
        <v>1048625.3109131367</v>
      </c>
      <c r="I253" s="3504">
        <v>1323183.2701426256</v>
      </c>
      <c r="J253" s="638">
        <v>0</v>
      </c>
      <c r="K253" s="151">
        <v>0</v>
      </c>
      <c r="L253" s="3062">
        <f t="shared" si="22"/>
        <v>2371808.5810557622</v>
      </c>
      <c r="M253" s="632">
        <v>47757.340166421367</v>
      </c>
      <c r="N253" s="151">
        <v>35937</v>
      </c>
      <c r="O253" s="3504">
        <v>0</v>
      </c>
      <c r="P253" s="151">
        <v>0</v>
      </c>
      <c r="Q253" s="2396">
        <f t="shared" si="23"/>
        <v>83694.340166421374</v>
      </c>
      <c r="R253" s="456">
        <v>39450</v>
      </c>
      <c r="S253" s="2942">
        <v>380223</v>
      </c>
      <c r="T253" s="456">
        <v>13000</v>
      </c>
      <c r="U253" s="2942">
        <v>0</v>
      </c>
      <c r="V253" s="2369">
        <f t="shared" si="24"/>
        <v>432673</v>
      </c>
      <c r="W253" s="2942">
        <f>459357+13000</f>
        <v>472357</v>
      </c>
      <c r="X253" s="456">
        <v>0</v>
      </c>
      <c r="Y253" s="2942">
        <v>14280</v>
      </c>
      <c r="Z253" s="456">
        <v>0</v>
      </c>
      <c r="AA253" s="2942">
        <v>0</v>
      </c>
      <c r="AB253" s="2369">
        <f t="shared" si="25"/>
        <v>14280</v>
      </c>
      <c r="AC253" s="2944">
        <v>50484</v>
      </c>
    </row>
    <row r="254" spans="1:29">
      <c r="A254" s="53">
        <v>2013.05</v>
      </c>
      <c r="B254" s="2395">
        <f t="shared" si="26"/>
        <v>2138166.0760817537</v>
      </c>
      <c r="C254" s="2396">
        <f t="shared" si="27"/>
        <v>103621.3521063049</v>
      </c>
      <c r="D254" s="386">
        <v>2850473.5983033627</v>
      </c>
      <c r="E254" s="3504">
        <v>0</v>
      </c>
      <c r="F254" s="151">
        <v>212621.3521063049</v>
      </c>
      <c r="G254" s="3065">
        <v>0</v>
      </c>
      <c r="H254" s="632">
        <v>1099300.0200898838</v>
      </c>
      <c r="I254" s="3504">
        <v>1038866.0559918701</v>
      </c>
      <c r="J254" s="638">
        <v>0</v>
      </c>
      <c r="K254" s="151">
        <v>0</v>
      </c>
      <c r="L254" s="3062">
        <f t="shared" si="22"/>
        <v>2138166.0760817537</v>
      </c>
      <c r="M254" s="632">
        <v>59360.352106304905</v>
      </c>
      <c r="N254" s="151">
        <v>44261</v>
      </c>
      <c r="O254" s="3504">
        <v>0</v>
      </c>
      <c r="P254" s="151">
        <v>0</v>
      </c>
      <c r="Q254" s="2396">
        <f t="shared" si="23"/>
        <v>103621.3521063049</v>
      </c>
      <c r="R254" s="456">
        <v>94837</v>
      </c>
      <c r="S254" s="2942">
        <v>513870</v>
      </c>
      <c r="T254" s="456">
        <v>10810</v>
      </c>
      <c r="U254" s="2942">
        <v>20450</v>
      </c>
      <c r="V254" s="2369">
        <f t="shared" si="24"/>
        <v>639967</v>
      </c>
      <c r="W254" s="2942">
        <f>632207+10810+20450</f>
        <v>663467</v>
      </c>
      <c r="X254" s="456">
        <v>0</v>
      </c>
      <c r="Y254" s="2942">
        <v>7440</v>
      </c>
      <c r="Z254" s="456">
        <v>0</v>
      </c>
      <c r="AA254" s="2942">
        <v>0</v>
      </c>
      <c r="AB254" s="2369">
        <f t="shared" si="25"/>
        <v>7440</v>
      </c>
      <c r="AC254" s="2944">
        <v>22560</v>
      </c>
    </row>
    <row r="255" spans="1:29">
      <c r="A255" s="53">
        <v>2013.06</v>
      </c>
      <c r="B255" s="2395">
        <f t="shared" si="26"/>
        <v>2439831.9921083995</v>
      </c>
      <c r="C255" s="2396">
        <f t="shared" si="27"/>
        <v>18579</v>
      </c>
      <c r="D255" s="386">
        <v>3255225.3015455953</v>
      </c>
      <c r="E255" s="3504">
        <v>0</v>
      </c>
      <c r="F255" s="151">
        <v>81643</v>
      </c>
      <c r="G255" s="3065">
        <v>0</v>
      </c>
      <c r="H255" s="632">
        <v>1160315.5712631103</v>
      </c>
      <c r="I255" s="3504">
        <v>1279516.4208452892</v>
      </c>
      <c r="J255" s="638">
        <v>0</v>
      </c>
      <c r="K255" s="151">
        <v>0</v>
      </c>
      <c r="L255" s="3062">
        <f t="shared" si="22"/>
        <v>2439831.9921083995</v>
      </c>
      <c r="M255" s="632">
        <v>0</v>
      </c>
      <c r="N255" s="151">
        <v>18579</v>
      </c>
      <c r="O255" s="3504">
        <v>0</v>
      </c>
      <c r="P255" s="151">
        <v>0</v>
      </c>
      <c r="Q255" s="2396">
        <f t="shared" si="23"/>
        <v>18579</v>
      </c>
      <c r="R255" s="456">
        <v>50117</v>
      </c>
      <c r="S255" s="2942">
        <v>419135</v>
      </c>
      <c r="T255" s="456">
        <v>0</v>
      </c>
      <c r="U255" s="2942">
        <v>8116</v>
      </c>
      <c r="V255" s="2369">
        <f t="shared" si="24"/>
        <v>477368</v>
      </c>
      <c r="W255" s="2942">
        <f>506852+8116</f>
        <v>514968</v>
      </c>
      <c r="X255" s="456">
        <v>0</v>
      </c>
      <c r="Y255" s="2942">
        <v>5300</v>
      </c>
      <c r="Z255" s="456">
        <v>0</v>
      </c>
      <c r="AA255" s="2942">
        <v>0</v>
      </c>
      <c r="AB255" s="2369">
        <f t="shared" si="25"/>
        <v>5300</v>
      </c>
      <c r="AC255" s="2944">
        <v>15250</v>
      </c>
    </row>
    <row r="256" spans="1:29">
      <c r="A256" s="53">
        <v>2013.07</v>
      </c>
      <c r="B256" s="2395">
        <f t="shared" si="26"/>
        <v>2942226.1262497571</v>
      </c>
      <c r="C256" s="2396">
        <f t="shared" si="27"/>
        <v>0</v>
      </c>
      <c r="D256" s="386">
        <v>3583832.6390745104</v>
      </c>
      <c r="E256" s="3504">
        <v>0</v>
      </c>
      <c r="F256" s="151">
        <v>0</v>
      </c>
      <c r="G256" s="3065">
        <v>0</v>
      </c>
      <c r="H256" s="632">
        <v>1112596.5636003017</v>
      </c>
      <c r="I256" s="3504">
        <v>1829629.5626494554</v>
      </c>
      <c r="J256" s="638">
        <v>0</v>
      </c>
      <c r="K256" s="151">
        <v>0</v>
      </c>
      <c r="L256" s="3062">
        <f t="shared" si="22"/>
        <v>2942226.1262497571</v>
      </c>
      <c r="M256" s="632">
        <v>0</v>
      </c>
      <c r="N256" s="151">
        <v>0</v>
      </c>
      <c r="O256" s="3504">
        <v>0</v>
      </c>
      <c r="P256" s="151">
        <v>0</v>
      </c>
      <c r="Q256" s="2396">
        <f t="shared" si="23"/>
        <v>0</v>
      </c>
      <c r="R256" s="456">
        <v>87650</v>
      </c>
      <c r="S256" s="2942">
        <v>311120</v>
      </c>
      <c r="T256" s="456">
        <v>0</v>
      </c>
      <c r="U256" s="2942">
        <f>23414+1972</f>
        <v>25386</v>
      </c>
      <c r="V256" s="2369">
        <f t="shared" si="24"/>
        <v>424156</v>
      </c>
      <c r="W256" s="2942">
        <f>409770+25386</f>
        <v>435156</v>
      </c>
      <c r="X256" s="456">
        <v>0</v>
      </c>
      <c r="Y256" s="2942">
        <v>3400</v>
      </c>
      <c r="Z256" s="456">
        <v>0</v>
      </c>
      <c r="AA256" s="2942">
        <v>0</v>
      </c>
      <c r="AB256" s="2369">
        <f t="shared" si="25"/>
        <v>3400</v>
      </c>
      <c r="AC256" s="2944">
        <v>5499</v>
      </c>
    </row>
    <row r="257" spans="1:29">
      <c r="A257" s="53">
        <v>2013.08</v>
      </c>
      <c r="B257" s="2395">
        <f t="shared" si="26"/>
        <v>1463133.8295579869</v>
      </c>
      <c r="C257" s="2396">
        <f t="shared" si="27"/>
        <v>0</v>
      </c>
      <c r="D257" s="386">
        <v>1607481.1470681354</v>
      </c>
      <c r="E257" s="3504">
        <v>64902.147764735462</v>
      </c>
      <c r="F257" s="151">
        <v>0</v>
      </c>
      <c r="G257" s="3065">
        <v>0</v>
      </c>
      <c r="H257" s="632">
        <v>673748.34060730645</v>
      </c>
      <c r="I257" s="3504">
        <v>724483.34118594497</v>
      </c>
      <c r="J257" s="638">
        <v>0</v>
      </c>
      <c r="K257" s="151">
        <v>64902.147764735462</v>
      </c>
      <c r="L257" s="3062">
        <f t="shared" si="22"/>
        <v>1463133.8295579869</v>
      </c>
      <c r="M257" s="632">
        <v>0</v>
      </c>
      <c r="N257" s="151">
        <v>0</v>
      </c>
      <c r="O257" s="3504">
        <v>0</v>
      </c>
      <c r="P257" s="151">
        <v>0</v>
      </c>
      <c r="Q257" s="2396">
        <f t="shared" si="23"/>
        <v>0</v>
      </c>
      <c r="R257" s="456">
        <v>72516</v>
      </c>
      <c r="S257" s="2942">
        <v>352754</v>
      </c>
      <c r="T257" s="456">
        <f>5293</f>
        <v>5293</v>
      </c>
      <c r="U257" s="2942">
        <f>27959+8656</f>
        <v>36615</v>
      </c>
      <c r="V257" s="2369">
        <f t="shared" si="24"/>
        <v>467178</v>
      </c>
      <c r="W257" s="2942">
        <f>444020+33252+8656</f>
        <v>485928</v>
      </c>
      <c r="X257" s="456">
        <v>0</v>
      </c>
      <c r="Y257" s="2942">
        <v>4500</v>
      </c>
      <c r="Z257" s="456">
        <v>0</v>
      </c>
      <c r="AA257" s="2942">
        <v>0</v>
      </c>
      <c r="AB257" s="2369">
        <f t="shared" si="25"/>
        <v>4500</v>
      </c>
      <c r="AC257" s="2944">
        <v>9245</v>
      </c>
    </row>
    <row r="258" spans="1:29">
      <c r="A258" s="53">
        <v>2013.09</v>
      </c>
      <c r="B258" s="2395">
        <f t="shared" si="26"/>
        <v>780314.85620934237</v>
      </c>
      <c r="C258" s="2396">
        <f>Q258</f>
        <v>0</v>
      </c>
      <c r="D258" s="386">
        <v>791724.00165915035</v>
      </c>
      <c r="E258" s="3504">
        <v>187675</v>
      </c>
      <c r="F258" s="151">
        <v>0</v>
      </c>
      <c r="G258" s="3065">
        <v>0</v>
      </c>
      <c r="H258" s="632">
        <v>87804.901475504899</v>
      </c>
      <c r="I258" s="3504">
        <v>504834.95473383745</v>
      </c>
      <c r="J258" s="638">
        <v>0</v>
      </c>
      <c r="K258" s="151">
        <v>187675</v>
      </c>
      <c r="L258" s="3062">
        <f t="shared" si="22"/>
        <v>780314.85620934237</v>
      </c>
      <c r="M258" s="632">
        <v>0</v>
      </c>
      <c r="N258" s="151">
        <v>0</v>
      </c>
      <c r="O258" s="3504">
        <v>0</v>
      </c>
      <c r="P258" s="151">
        <v>0</v>
      </c>
      <c r="Q258" s="2396">
        <f t="shared" si="23"/>
        <v>0</v>
      </c>
      <c r="R258" s="456">
        <v>55420</v>
      </c>
      <c r="S258" s="2942">
        <v>434770</v>
      </c>
      <c r="T258" s="456">
        <f>4761</f>
        <v>4761</v>
      </c>
      <c r="U258" s="2942">
        <f>27600+2007</f>
        <v>29607</v>
      </c>
      <c r="V258" s="2369">
        <f t="shared" si="24"/>
        <v>524558</v>
      </c>
      <c r="W258" s="2942">
        <f>524190+32361+2007</f>
        <v>558558</v>
      </c>
      <c r="X258" s="456">
        <v>0</v>
      </c>
      <c r="Y258" s="2942">
        <v>4000</v>
      </c>
      <c r="Z258" s="456">
        <v>0</v>
      </c>
      <c r="AA258" s="2942">
        <v>0</v>
      </c>
      <c r="AB258" s="2369">
        <f t="shared" si="25"/>
        <v>4000</v>
      </c>
      <c r="AC258" s="2944">
        <v>4000</v>
      </c>
    </row>
    <row r="259" spans="1:29">
      <c r="A259" s="53">
        <v>2013.1</v>
      </c>
      <c r="B259" s="2395">
        <f t="shared" si="26"/>
        <v>414760.59823256632</v>
      </c>
      <c r="C259" s="2396">
        <f t="shared" si="27"/>
        <v>0</v>
      </c>
      <c r="D259" s="386">
        <v>250090.71364541433</v>
      </c>
      <c r="E259" s="3504">
        <v>204191</v>
      </c>
      <c r="F259" s="151">
        <v>0</v>
      </c>
      <c r="G259" s="3065">
        <v>0</v>
      </c>
      <c r="H259" s="632">
        <v>150336.49835568192</v>
      </c>
      <c r="I259" s="3504">
        <v>60233.099876884407</v>
      </c>
      <c r="J259" s="638">
        <v>0</v>
      </c>
      <c r="K259" s="151">
        <v>204191</v>
      </c>
      <c r="L259" s="3062">
        <f t="shared" si="22"/>
        <v>414760.59823256632</v>
      </c>
      <c r="M259" s="632">
        <v>0</v>
      </c>
      <c r="N259" s="151">
        <v>0</v>
      </c>
      <c r="O259" s="3504">
        <v>0</v>
      </c>
      <c r="P259" s="151">
        <v>0</v>
      </c>
      <c r="Q259" s="2396">
        <f t="shared" si="23"/>
        <v>0</v>
      </c>
      <c r="R259" s="456">
        <v>25000</v>
      </c>
      <c r="S259" s="2942">
        <v>285746</v>
      </c>
      <c r="T259" s="456">
        <f>5293</f>
        <v>5293</v>
      </c>
      <c r="U259" s="2942">
        <f>27959+8656</f>
        <v>36615</v>
      </c>
      <c r="V259" s="2369">
        <f t="shared" si="24"/>
        <v>352654</v>
      </c>
      <c r="W259" s="2942">
        <f>310746+33252+8656</f>
        <v>352654</v>
      </c>
      <c r="X259" s="456">
        <v>0</v>
      </c>
      <c r="Y259" s="2942">
        <v>9550</v>
      </c>
      <c r="Z259" s="456">
        <v>0</v>
      </c>
      <c r="AA259" s="2942">
        <v>0</v>
      </c>
      <c r="AB259" s="2369">
        <f t="shared" si="25"/>
        <v>9550</v>
      </c>
      <c r="AC259" s="2944">
        <v>12050</v>
      </c>
    </row>
    <row r="260" spans="1:29">
      <c r="A260" s="53">
        <v>2013.11</v>
      </c>
      <c r="B260" s="2395">
        <f t="shared" si="26"/>
        <v>366733.91182844283</v>
      </c>
      <c r="C260" s="2396">
        <f t="shared" si="27"/>
        <v>26250</v>
      </c>
      <c r="D260" s="386">
        <v>174959.7609308431</v>
      </c>
      <c r="E260" s="3504">
        <v>194808</v>
      </c>
      <c r="F260" s="151">
        <v>26250</v>
      </c>
      <c r="G260" s="3065">
        <v>0</v>
      </c>
      <c r="H260" s="632">
        <v>68793.218218652109</v>
      </c>
      <c r="I260" s="3504">
        <v>103132.69360979069</v>
      </c>
      <c r="J260" s="638">
        <v>0</v>
      </c>
      <c r="K260" s="151">
        <v>194808</v>
      </c>
      <c r="L260" s="3062">
        <f t="shared" si="22"/>
        <v>366733.91182844283</v>
      </c>
      <c r="M260" s="632">
        <v>0</v>
      </c>
      <c r="N260" s="151">
        <v>26250</v>
      </c>
      <c r="O260" s="3504">
        <v>0</v>
      </c>
      <c r="P260" s="151">
        <v>0</v>
      </c>
      <c r="Q260" s="2396">
        <f t="shared" si="23"/>
        <v>26250</v>
      </c>
      <c r="R260" s="456">
        <v>26105</v>
      </c>
      <c r="S260" s="2942">
        <v>305472</v>
      </c>
      <c r="T260" s="456">
        <f>6195</f>
        <v>6195</v>
      </c>
      <c r="U260" s="2942">
        <f>41315+2559</f>
        <v>43874</v>
      </c>
      <c r="V260" s="2369">
        <f t="shared" si="24"/>
        <v>381646</v>
      </c>
      <c r="W260" s="2942">
        <f>331577+47510+2559</f>
        <v>381646</v>
      </c>
      <c r="X260" s="456">
        <v>0</v>
      </c>
      <c r="Y260" s="2942">
        <v>5200</v>
      </c>
      <c r="Z260" s="456">
        <v>0</v>
      </c>
      <c r="AA260" s="2942">
        <v>0</v>
      </c>
      <c r="AB260" s="2369">
        <f t="shared" si="25"/>
        <v>5200</v>
      </c>
      <c r="AC260" s="2944">
        <v>10900</v>
      </c>
    </row>
    <row r="261" spans="1:29">
      <c r="A261" s="53">
        <v>2013.12</v>
      </c>
      <c r="B261" s="2395">
        <f t="shared" si="26"/>
        <v>199861.52770275116</v>
      </c>
      <c r="C261" s="2396">
        <f t="shared" si="27"/>
        <v>26250</v>
      </c>
      <c r="D261" s="386">
        <v>177688.98230242287</v>
      </c>
      <c r="E261" s="3504">
        <v>99245</v>
      </c>
      <c r="F261" s="151">
        <v>26250</v>
      </c>
      <c r="G261" s="3065">
        <v>0</v>
      </c>
      <c r="H261" s="632">
        <v>29339.597731800088</v>
      </c>
      <c r="I261" s="3504">
        <v>71276.929970951067</v>
      </c>
      <c r="J261" s="638">
        <v>0</v>
      </c>
      <c r="K261" s="151">
        <v>99245</v>
      </c>
      <c r="L261" s="3062">
        <f t="shared" si="22"/>
        <v>199861.52770275116</v>
      </c>
      <c r="M261" s="632">
        <v>0</v>
      </c>
      <c r="N261" s="151">
        <v>26250</v>
      </c>
      <c r="O261" s="3504">
        <v>0</v>
      </c>
      <c r="P261" s="151">
        <v>0</v>
      </c>
      <c r="Q261" s="2396">
        <f t="shared" si="23"/>
        <v>26250</v>
      </c>
      <c r="R261" s="456">
        <v>23312</v>
      </c>
      <c r="S261" s="2942">
        <v>280344</v>
      </c>
      <c r="T261" s="456">
        <f>6914</f>
        <v>6914</v>
      </c>
      <c r="U261" s="2942">
        <f>54213+5794</f>
        <v>60007</v>
      </c>
      <c r="V261" s="2369">
        <f t="shared" si="24"/>
        <v>370577</v>
      </c>
      <c r="W261" s="2942">
        <f>303656+61127+5794</f>
        <v>370577</v>
      </c>
      <c r="X261" s="456">
        <v>0</v>
      </c>
      <c r="Y261" s="2942">
        <v>0</v>
      </c>
      <c r="Z261" s="456">
        <v>0</v>
      </c>
      <c r="AA261" s="2942">
        <v>0</v>
      </c>
      <c r="AB261" s="2369">
        <f t="shared" si="25"/>
        <v>0</v>
      </c>
      <c r="AC261" s="2944">
        <v>2550</v>
      </c>
    </row>
    <row r="262" spans="1:29">
      <c r="A262" s="53">
        <v>2014.01</v>
      </c>
      <c r="B262" s="2395">
        <f t="shared" si="26"/>
        <v>218367.32106552477</v>
      </c>
      <c r="C262" s="2396">
        <f t="shared" si="27"/>
        <v>75260</v>
      </c>
      <c r="D262" s="386">
        <v>72552.370258522045</v>
      </c>
      <c r="E262" s="3504">
        <v>145814.95080700272</v>
      </c>
      <c r="F262" s="151">
        <v>154695</v>
      </c>
      <c r="G262" s="3065">
        <v>0</v>
      </c>
      <c r="H262" s="632">
        <v>13975</v>
      </c>
      <c r="I262" s="3504">
        <v>58577.370258522053</v>
      </c>
      <c r="J262" s="638">
        <v>0</v>
      </c>
      <c r="K262" s="151">
        <v>145814.95080700272</v>
      </c>
      <c r="L262" s="3062">
        <f t="shared" si="22"/>
        <v>218367.32106552477</v>
      </c>
      <c r="M262" s="632">
        <v>0</v>
      </c>
      <c r="N262" s="151">
        <v>75260</v>
      </c>
      <c r="O262" s="3504">
        <v>0</v>
      </c>
      <c r="P262" s="151">
        <v>0</v>
      </c>
      <c r="Q262" s="2396">
        <f t="shared" si="23"/>
        <v>75260</v>
      </c>
      <c r="R262" s="456">
        <v>28905</v>
      </c>
      <c r="S262" s="2942">
        <v>153445</v>
      </c>
      <c r="T262" s="456">
        <v>4895</v>
      </c>
      <c r="U262" s="2942">
        <v>35000</v>
      </c>
      <c r="V262" s="2369">
        <f t="shared" si="24"/>
        <v>222245</v>
      </c>
      <c r="W262" s="2942">
        <v>233105</v>
      </c>
      <c r="X262" s="456">
        <v>0</v>
      </c>
      <c r="Y262" s="2942">
        <v>500</v>
      </c>
      <c r="Z262" s="456">
        <v>0</v>
      </c>
      <c r="AA262" s="2942">
        <v>0</v>
      </c>
      <c r="AB262" s="2369">
        <f t="shared" si="25"/>
        <v>500</v>
      </c>
      <c r="AC262" s="2944">
        <v>500</v>
      </c>
    </row>
    <row r="263" spans="1:29">
      <c r="A263" s="53">
        <v>2014.02</v>
      </c>
      <c r="B263" s="2395">
        <f t="shared" si="26"/>
        <v>399904.91155254398</v>
      </c>
      <c r="C263" s="2396">
        <f t="shared" si="27"/>
        <v>92305</v>
      </c>
      <c r="D263" s="386">
        <v>260324.23041943362</v>
      </c>
      <c r="E263" s="3504">
        <v>180030.6811331104</v>
      </c>
      <c r="F263" s="151">
        <v>246721</v>
      </c>
      <c r="G263" s="3065">
        <v>0</v>
      </c>
      <c r="H263" s="632">
        <v>92425</v>
      </c>
      <c r="I263" s="3504">
        <v>127449.23041943363</v>
      </c>
      <c r="J263" s="638">
        <v>0</v>
      </c>
      <c r="K263" s="151">
        <v>180030.6811331104</v>
      </c>
      <c r="L263" s="3062">
        <f t="shared" si="22"/>
        <v>399904.91155254398</v>
      </c>
      <c r="M263" s="632">
        <v>0</v>
      </c>
      <c r="N263" s="151">
        <v>92305</v>
      </c>
      <c r="O263" s="3504">
        <v>0</v>
      </c>
      <c r="P263" s="151">
        <v>0</v>
      </c>
      <c r="Q263" s="2396">
        <f t="shared" si="23"/>
        <v>92305</v>
      </c>
      <c r="R263" s="456">
        <v>20500</v>
      </c>
      <c r="S263" s="2942">
        <v>105658</v>
      </c>
      <c r="T263" s="456">
        <v>0</v>
      </c>
      <c r="U263" s="2942">
        <v>28796</v>
      </c>
      <c r="V263" s="2369">
        <f t="shared" si="24"/>
        <v>154954</v>
      </c>
      <c r="W263" s="2942">
        <v>169954</v>
      </c>
      <c r="X263" s="456">
        <v>3000</v>
      </c>
      <c r="Y263" s="2942">
        <v>1470</v>
      </c>
      <c r="Z263" s="456">
        <v>0</v>
      </c>
      <c r="AA263" s="2942">
        <v>0</v>
      </c>
      <c r="AB263" s="2369">
        <f t="shared" si="25"/>
        <v>4470</v>
      </c>
      <c r="AC263" s="2944">
        <v>6470</v>
      </c>
    </row>
    <row r="264" spans="1:29">
      <c r="A264" s="53">
        <v>2014.03</v>
      </c>
      <c r="B264" s="2395">
        <f t="shared" si="26"/>
        <v>590767.72133969073</v>
      </c>
      <c r="C264" s="2396">
        <f t="shared" si="27"/>
        <v>101947</v>
      </c>
      <c r="D264" s="386">
        <v>600982.56577690237</v>
      </c>
      <c r="E264" s="3504">
        <v>19696.155562788274</v>
      </c>
      <c r="F264" s="151">
        <v>292798</v>
      </c>
      <c r="G264" s="3065">
        <v>0</v>
      </c>
      <c r="H264" s="632">
        <v>93100</v>
      </c>
      <c r="I264" s="3504">
        <v>477971.56577690243</v>
      </c>
      <c r="J264" s="638">
        <v>0</v>
      </c>
      <c r="K264" s="151">
        <v>19696.155562788274</v>
      </c>
      <c r="L264" s="3062">
        <f t="shared" si="22"/>
        <v>590767.72133969073</v>
      </c>
      <c r="M264" s="632">
        <v>55296</v>
      </c>
      <c r="N264" s="151">
        <v>46651</v>
      </c>
      <c r="O264" s="3504">
        <v>0</v>
      </c>
      <c r="P264" s="151">
        <v>0</v>
      </c>
      <c r="Q264" s="2396">
        <f t="shared" si="23"/>
        <v>101947</v>
      </c>
      <c r="R264" s="456">
        <v>48177</v>
      </c>
      <c r="S264" s="2942">
        <v>218030</v>
      </c>
      <c r="T264" s="456">
        <v>6973</v>
      </c>
      <c r="U264" s="2942">
        <v>21597</v>
      </c>
      <c r="V264" s="2369">
        <f t="shared" si="24"/>
        <v>294777</v>
      </c>
      <c r="W264" s="2942">
        <v>313277</v>
      </c>
      <c r="X264" s="456">
        <v>0</v>
      </c>
      <c r="Y264" s="2942">
        <v>15730</v>
      </c>
      <c r="Z264" s="456">
        <v>0</v>
      </c>
      <c r="AA264" s="2942">
        <v>0</v>
      </c>
      <c r="AB264" s="2369">
        <f t="shared" si="25"/>
        <v>15730</v>
      </c>
      <c r="AC264" s="2944">
        <v>15730</v>
      </c>
    </row>
    <row r="265" spans="1:29">
      <c r="A265" s="53">
        <v>2014.04</v>
      </c>
      <c r="B265" s="2395">
        <f t="shared" si="26"/>
        <v>1504034.9152334789</v>
      </c>
      <c r="C265" s="2396">
        <f t="shared" si="27"/>
        <v>149239</v>
      </c>
      <c r="D265" s="386">
        <v>1689385.9152334786</v>
      </c>
      <c r="E265" s="3504">
        <v>0</v>
      </c>
      <c r="F265" s="151">
        <v>245014</v>
      </c>
      <c r="G265" s="3065">
        <v>0</v>
      </c>
      <c r="H265" s="632">
        <v>591337</v>
      </c>
      <c r="I265" s="3504">
        <v>912697.91523347877</v>
      </c>
      <c r="J265" s="638">
        <v>0</v>
      </c>
      <c r="K265" s="151">
        <v>0</v>
      </c>
      <c r="L265" s="3062">
        <f t="shared" si="22"/>
        <v>1504034.9152334789</v>
      </c>
      <c r="M265" s="632">
        <v>28798</v>
      </c>
      <c r="N265" s="151">
        <v>120441</v>
      </c>
      <c r="O265" s="3504">
        <v>0</v>
      </c>
      <c r="P265" s="151">
        <v>0</v>
      </c>
      <c r="Q265" s="2396">
        <f t="shared" si="23"/>
        <v>149239</v>
      </c>
      <c r="R265" s="456">
        <v>29787</v>
      </c>
      <c r="S265" s="2942">
        <v>439309</v>
      </c>
      <c r="T265" s="456">
        <v>5620</v>
      </c>
      <c r="U265" s="2942">
        <v>27863</v>
      </c>
      <c r="V265" s="2369">
        <f t="shared" si="24"/>
        <v>502579</v>
      </c>
      <c r="W265" s="2942">
        <v>521579</v>
      </c>
      <c r="X265" s="456">
        <v>0</v>
      </c>
      <c r="Y265" s="2942">
        <v>15150</v>
      </c>
      <c r="Z265" s="456">
        <v>0</v>
      </c>
      <c r="AA265" s="2942">
        <v>0</v>
      </c>
      <c r="AB265" s="2369">
        <f t="shared" si="25"/>
        <v>15150</v>
      </c>
      <c r="AC265" s="2944">
        <v>25150</v>
      </c>
    </row>
    <row r="266" spans="1:29">
      <c r="A266" s="53">
        <v>2014.05</v>
      </c>
      <c r="B266" s="2395">
        <f t="shared" si="26"/>
        <v>1259902.0988800942</v>
      </c>
      <c r="C266" s="2396">
        <f t="shared" si="27"/>
        <v>25000</v>
      </c>
      <c r="D266" s="386">
        <v>1432646.1371016928</v>
      </c>
      <c r="E266" s="3504">
        <v>5593.9617784013471</v>
      </c>
      <c r="F266" s="151">
        <v>77500</v>
      </c>
      <c r="G266" s="3065">
        <v>0</v>
      </c>
      <c r="H266" s="632">
        <v>364137</v>
      </c>
      <c r="I266" s="3504">
        <v>890171.13710169285</v>
      </c>
      <c r="J266" s="638">
        <v>0</v>
      </c>
      <c r="K266" s="151">
        <v>5593.9617784013471</v>
      </c>
      <c r="L266" s="3062">
        <f t="shared" ref="L266:L329" si="28">SUM(H266:K266)</f>
        <v>1259902.0988800942</v>
      </c>
      <c r="M266" s="632">
        <v>0</v>
      </c>
      <c r="N266" s="151">
        <v>25000</v>
      </c>
      <c r="O266" s="3504">
        <v>0</v>
      </c>
      <c r="P266" s="151">
        <v>0</v>
      </c>
      <c r="Q266" s="2396">
        <f t="shared" ref="Q266:Q329" si="29">SUM(M266:P266)</f>
        <v>25000</v>
      </c>
      <c r="R266" s="456">
        <v>100528</v>
      </c>
      <c r="S266" s="2942">
        <v>513225</v>
      </c>
      <c r="T266" s="456">
        <v>9919</v>
      </c>
      <c r="U266" s="2942">
        <v>47513</v>
      </c>
      <c r="V266" s="2369">
        <f t="shared" ref="V266:V329" si="30">SUM(R266:U266)</f>
        <v>671185</v>
      </c>
      <c r="W266" s="2942">
        <v>679235</v>
      </c>
      <c r="X266" s="456">
        <v>0</v>
      </c>
      <c r="Y266" s="2942">
        <v>9500</v>
      </c>
      <c r="Z266" s="456">
        <v>0</v>
      </c>
      <c r="AA266" s="2942">
        <v>0</v>
      </c>
      <c r="AB266" s="2369">
        <f t="shared" ref="AB266:AB329" si="31">SUM(X266:AA266)</f>
        <v>9500</v>
      </c>
      <c r="AC266" s="2944">
        <v>24320</v>
      </c>
    </row>
    <row r="267" spans="1:29">
      <c r="A267" s="53">
        <v>2014.06</v>
      </c>
      <c r="B267" s="2395">
        <f t="shared" si="26"/>
        <v>1527845.7428345177</v>
      </c>
      <c r="C267" s="2396">
        <f t="shared" si="27"/>
        <v>15750</v>
      </c>
      <c r="D267" s="386">
        <v>1727781.7428345177</v>
      </c>
      <c r="E267" s="3504">
        <v>0</v>
      </c>
      <c r="F267" s="151">
        <v>120548</v>
      </c>
      <c r="G267" s="3065">
        <v>0</v>
      </c>
      <c r="H267" s="632">
        <v>376344</v>
      </c>
      <c r="I267" s="3504">
        <v>1151501.7428345177</v>
      </c>
      <c r="J267" s="638">
        <v>0</v>
      </c>
      <c r="K267" s="151">
        <v>0</v>
      </c>
      <c r="L267" s="3062">
        <f t="shared" si="28"/>
        <v>1527845.7428345177</v>
      </c>
      <c r="M267" s="632">
        <v>0</v>
      </c>
      <c r="N267" s="151">
        <v>15750</v>
      </c>
      <c r="O267" s="3504">
        <v>0</v>
      </c>
      <c r="P267" s="151">
        <v>0</v>
      </c>
      <c r="Q267" s="2396">
        <f t="shared" si="29"/>
        <v>15750</v>
      </c>
      <c r="R267" s="456">
        <v>47000</v>
      </c>
      <c r="S267" s="2942">
        <v>448602</v>
      </c>
      <c r="T267" s="456">
        <v>0</v>
      </c>
      <c r="U267" s="2942">
        <v>71713</v>
      </c>
      <c r="V267" s="2369">
        <f t="shared" si="30"/>
        <v>567315</v>
      </c>
      <c r="W267" s="2942">
        <v>583815</v>
      </c>
      <c r="X267" s="456">
        <v>0</v>
      </c>
      <c r="Y267" s="2942">
        <v>19850</v>
      </c>
      <c r="Z267" s="456">
        <v>0</v>
      </c>
      <c r="AA267" s="2942">
        <v>0</v>
      </c>
      <c r="AB267" s="2369">
        <f t="shared" si="31"/>
        <v>19850</v>
      </c>
      <c r="AC267" s="2944">
        <v>35315</v>
      </c>
    </row>
    <row r="268" spans="1:29">
      <c r="A268" s="53">
        <v>2014.07</v>
      </c>
      <c r="B268" s="2395">
        <f t="shared" ref="B268:B331" si="32">L268</f>
        <v>2270708.4091289691</v>
      </c>
      <c r="C268" s="2396">
        <f t="shared" ref="C268:C331" si="33">Q268</f>
        <v>73641</v>
      </c>
      <c r="D268" s="386">
        <v>2677716.4091289691</v>
      </c>
      <c r="E268" s="3504">
        <v>0</v>
      </c>
      <c r="F268" s="151">
        <v>146041</v>
      </c>
      <c r="G268" s="3065">
        <v>0</v>
      </c>
      <c r="H268" s="632">
        <v>650182</v>
      </c>
      <c r="I268" s="3504">
        <v>1620526.4091289691</v>
      </c>
      <c r="J268" s="638">
        <v>0</v>
      </c>
      <c r="K268" s="151">
        <v>0</v>
      </c>
      <c r="L268" s="3062">
        <f t="shared" si="28"/>
        <v>2270708.4091289691</v>
      </c>
      <c r="M268" s="632">
        <v>46099</v>
      </c>
      <c r="N268" s="151">
        <v>27542</v>
      </c>
      <c r="O268" s="3504">
        <v>0</v>
      </c>
      <c r="P268" s="151">
        <v>0</v>
      </c>
      <c r="Q268" s="2396">
        <f t="shared" si="29"/>
        <v>73641</v>
      </c>
      <c r="R268" s="456">
        <v>21267.172829473115</v>
      </c>
      <c r="S268" s="2942">
        <v>377879.86795296823</v>
      </c>
      <c r="T268" s="456">
        <v>7766.0109779813065</v>
      </c>
      <c r="U268" s="2942">
        <v>49226</v>
      </c>
      <c r="V268" s="2369">
        <f t="shared" si="30"/>
        <v>456139.05176042265</v>
      </c>
      <c r="W268" s="2942">
        <v>456139.05176042265</v>
      </c>
      <c r="X268" s="456">
        <v>0</v>
      </c>
      <c r="Y268" s="2942">
        <v>2827.4285714285716</v>
      </c>
      <c r="Z268" s="456">
        <v>0</v>
      </c>
      <c r="AA268" s="2942">
        <v>0</v>
      </c>
      <c r="AB268" s="2369">
        <f t="shared" si="31"/>
        <v>2827.4285714285716</v>
      </c>
      <c r="AC268" s="2944">
        <v>2000</v>
      </c>
    </row>
    <row r="269" spans="1:29">
      <c r="A269" s="53">
        <v>2014.08</v>
      </c>
      <c r="B269" s="2395">
        <f t="shared" si="32"/>
        <v>2153709.735285941</v>
      </c>
      <c r="C269" s="2396">
        <f t="shared" si="33"/>
        <v>18240</v>
      </c>
      <c r="D269" s="386">
        <v>2271432.2224479392</v>
      </c>
      <c r="E269" s="3504">
        <v>102317.51283800168</v>
      </c>
      <c r="F269" s="151">
        <v>26875</v>
      </c>
      <c r="G269" s="3065">
        <v>0</v>
      </c>
      <c r="H269" s="632">
        <v>854525</v>
      </c>
      <c r="I269" s="3504">
        <v>1196867.2224479392</v>
      </c>
      <c r="J269" s="638">
        <v>0</v>
      </c>
      <c r="K269" s="151">
        <v>102317.51283800168</v>
      </c>
      <c r="L269" s="3062">
        <f t="shared" si="28"/>
        <v>2153709.735285941</v>
      </c>
      <c r="M269" s="632">
        <v>15750</v>
      </c>
      <c r="N269" s="151">
        <v>2490</v>
      </c>
      <c r="O269" s="3504">
        <v>0</v>
      </c>
      <c r="P269" s="151">
        <v>0</v>
      </c>
      <c r="Q269" s="2396">
        <f t="shared" si="29"/>
        <v>18240</v>
      </c>
      <c r="R269" s="456">
        <v>78453.711228497894</v>
      </c>
      <c r="S269" s="2942">
        <v>312450.09207617579</v>
      </c>
      <c r="T269" s="456">
        <v>8627.2331723229399</v>
      </c>
      <c r="U269" s="2942">
        <v>67246</v>
      </c>
      <c r="V269" s="2369">
        <f t="shared" si="30"/>
        <v>466777.03647699661</v>
      </c>
      <c r="W269" s="2942">
        <v>466777.03647699661</v>
      </c>
      <c r="X269" s="456">
        <v>0</v>
      </c>
      <c r="Y269" s="2942">
        <v>4241.1428571428569</v>
      </c>
      <c r="Z269" s="456">
        <v>0</v>
      </c>
      <c r="AA269" s="2942">
        <v>0</v>
      </c>
      <c r="AB269" s="2369">
        <f t="shared" si="31"/>
        <v>4241.1428571428569</v>
      </c>
      <c r="AC269" s="2944">
        <v>3000</v>
      </c>
    </row>
    <row r="270" spans="1:29">
      <c r="A270" s="53">
        <v>2014.09</v>
      </c>
      <c r="B270" s="2395">
        <f t="shared" si="32"/>
        <v>1199691.9410475434</v>
      </c>
      <c r="C270" s="2396">
        <f t="shared" si="33"/>
        <v>30000</v>
      </c>
      <c r="D270" s="386">
        <v>1354845.666477303</v>
      </c>
      <c r="E270" s="3504">
        <v>118556.27457024042</v>
      </c>
      <c r="F270" s="151">
        <v>118355</v>
      </c>
      <c r="G270" s="3065">
        <v>0</v>
      </c>
      <c r="H270" s="632">
        <v>329485</v>
      </c>
      <c r="I270" s="3504">
        <v>751650.66647730302</v>
      </c>
      <c r="J270" s="638">
        <v>0</v>
      </c>
      <c r="K270" s="151">
        <v>118556.27457024042</v>
      </c>
      <c r="L270" s="3062">
        <f t="shared" si="28"/>
        <v>1199691.9410475434</v>
      </c>
      <c r="M270" s="632">
        <v>0</v>
      </c>
      <c r="N270" s="151">
        <v>30000</v>
      </c>
      <c r="O270" s="3504">
        <v>0</v>
      </c>
      <c r="P270" s="151">
        <v>0</v>
      </c>
      <c r="Q270" s="2396">
        <f t="shared" si="29"/>
        <v>30000</v>
      </c>
      <c r="R270" s="456">
        <v>39100</v>
      </c>
      <c r="S270" s="2942">
        <v>260951</v>
      </c>
      <c r="T270" s="456">
        <v>8637.7035317734153</v>
      </c>
      <c r="U270" s="2942">
        <v>12056</v>
      </c>
      <c r="V270" s="2369">
        <f t="shared" si="30"/>
        <v>320744.70353177341</v>
      </c>
      <c r="W270" s="2942">
        <v>323067</v>
      </c>
      <c r="X270" s="456">
        <v>0</v>
      </c>
      <c r="Y270" s="2942">
        <v>9000</v>
      </c>
      <c r="Z270" s="456">
        <v>0</v>
      </c>
      <c r="AA270" s="2942">
        <v>0</v>
      </c>
      <c r="AB270" s="2369">
        <f t="shared" si="31"/>
        <v>9000</v>
      </c>
      <c r="AC270" s="2944">
        <v>11500</v>
      </c>
    </row>
    <row r="271" spans="1:29">
      <c r="A271" s="53">
        <v>2014.1</v>
      </c>
      <c r="B271" s="2395">
        <f t="shared" si="32"/>
        <v>1643533.672054071</v>
      </c>
      <c r="C271" s="2396">
        <f t="shared" si="33"/>
        <v>26250</v>
      </c>
      <c r="D271" s="386">
        <v>1683361.9609684329</v>
      </c>
      <c r="E271" s="3504">
        <v>167629.71108563812</v>
      </c>
      <c r="F271" s="151">
        <v>63152</v>
      </c>
      <c r="G271" s="3065">
        <v>0</v>
      </c>
      <c r="H271" s="632">
        <v>510649</v>
      </c>
      <c r="I271" s="3504">
        <v>965254.96096843283</v>
      </c>
      <c r="J271" s="638">
        <v>0</v>
      </c>
      <c r="K271" s="151">
        <v>167629.71108563812</v>
      </c>
      <c r="L271" s="3062">
        <f t="shared" si="28"/>
        <v>1643533.672054071</v>
      </c>
      <c r="M271" s="632">
        <v>0</v>
      </c>
      <c r="N271" s="151">
        <v>26250</v>
      </c>
      <c r="O271" s="3504">
        <v>0</v>
      </c>
      <c r="P271" s="151">
        <v>0</v>
      </c>
      <c r="Q271" s="2396">
        <f t="shared" si="29"/>
        <v>26250</v>
      </c>
      <c r="R271" s="456">
        <v>56548</v>
      </c>
      <c r="S271" s="2942">
        <v>302050</v>
      </c>
      <c r="T271" s="456">
        <v>4662</v>
      </c>
      <c r="U271" s="2942">
        <v>38101</v>
      </c>
      <c r="V271" s="2369">
        <f t="shared" si="30"/>
        <v>401361</v>
      </c>
      <c r="W271" s="2942">
        <v>410561</v>
      </c>
      <c r="X271" s="456">
        <v>0</v>
      </c>
      <c r="Y271" s="2942">
        <v>12955</v>
      </c>
      <c r="Z271" s="456">
        <v>0</v>
      </c>
      <c r="AA271" s="2942">
        <v>0</v>
      </c>
      <c r="AB271" s="2369">
        <f t="shared" si="31"/>
        <v>12955</v>
      </c>
      <c r="AC271" s="2944">
        <v>12955</v>
      </c>
    </row>
    <row r="272" spans="1:29">
      <c r="A272" s="53">
        <v>2014.11</v>
      </c>
      <c r="B272" s="2395">
        <f t="shared" si="32"/>
        <v>809204.3318243291</v>
      </c>
      <c r="C272" s="2396">
        <f t="shared" si="33"/>
        <v>0</v>
      </c>
      <c r="D272" s="386">
        <v>868346.22934723855</v>
      </c>
      <c r="E272" s="3504">
        <v>28516.10247709051</v>
      </c>
      <c r="F272" s="151">
        <v>36612</v>
      </c>
      <c r="G272" s="3065">
        <v>0</v>
      </c>
      <c r="H272" s="632">
        <v>253392</v>
      </c>
      <c r="I272" s="3504">
        <v>527296.22934723855</v>
      </c>
      <c r="J272" s="638">
        <v>0</v>
      </c>
      <c r="K272" s="151">
        <v>28516.10247709051</v>
      </c>
      <c r="L272" s="3062">
        <f t="shared" si="28"/>
        <v>809204.3318243291</v>
      </c>
      <c r="M272" s="635">
        <v>0</v>
      </c>
      <c r="N272" s="151">
        <v>0</v>
      </c>
      <c r="O272" s="3504">
        <v>0</v>
      </c>
      <c r="P272" s="151">
        <v>0</v>
      </c>
      <c r="Q272" s="2396">
        <f t="shared" si="29"/>
        <v>0</v>
      </c>
      <c r="R272" s="456">
        <v>17977</v>
      </c>
      <c r="S272" s="2942">
        <v>199195</v>
      </c>
      <c r="T272" s="456">
        <v>23</v>
      </c>
      <c r="U272" s="2942">
        <v>45599</v>
      </c>
      <c r="V272" s="2369">
        <f t="shared" si="30"/>
        <v>262794</v>
      </c>
      <c r="W272" s="2942">
        <v>262794</v>
      </c>
      <c r="X272" s="456">
        <v>0</v>
      </c>
      <c r="Y272" s="2942">
        <v>0</v>
      </c>
      <c r="Z272" s="456">
        <v>0</v>
      </c>
      <c r="AA272" s="2942">
        <v>0</v>
      </c>
      <c r="AB272" s="2369">
        <f t="shared" si="31"/>
        <v>0</v>
      </c>
      <c r="AC272" s="2944">
        <v>0</v>
      </c>
    </row>
    <row r="273" spans="1:29">
      <c r="A273" s="53">
        <v>2014.12</v>
      </c>
      <c r="B273" s="2395">
        <f t="shared" si="32"/>
        <v>876591.19975329656</v>
      </c>
      <c r="C273" s="2396">
        <f t="shared" si="33"/>
        <v>191672</v>
      </c>
      <c r="D273" s="386">
        <v>834863.55000557005</v>
      </c>
      <c r="E273" s="3504">
        <v>46727.649747726558</v>
      </c>
      <c r="F273" s="151">
        <v>326732</v>
      </c>
      <c r="G273" s="3065">
        <v>0</v>
      </c>
      <c r="H273" s="632">
        <v>222244</v>
      </c>
      <c r="I273" s="3504">
        <v>607619.55000557005</v>
      </c>
      <c r="J273" s="638">
        <v>0</v>
      </c>
      <c r="K273" s="151">
        <v>46727.649747726558</v>
      </c>
      <c r="L273" s="3062">
        <f t="shared" si="28"/>
        <v>876591.19975329656</v>
      </c>
      <c r="M273" s="632">
        <v>10500</v>
      </c>
      <c r="N273" s="151">
        <v>181172</v>
      </c>
      <c r="O273" s="3504">
        <v>0</v>
      </c>
      <c r="P273" s="151">
        <v>0</v>
      </c>
      <c r="Q273" s="2396">
        <f t="shared" si="29"/>
        <v>191672</v>
      </c>
      <c r="R273" s="456">
        <v>49231</v>
      </c>
      <c r="S273" s="2942">
        <v>246529.45589688589</v>
      </c>
      <c r="T273" s="456">
        <v>0</v>
      </c>
      <c r="U273" s="2942">
        <v>44673</v>
      </c>
      <c r="V273" s="2369">
        <f t="shared" si="30"/>
        <v>340433.45589688589</v>
      </c>
      <c r="W273" s="2942">
        <v>340433.45589688589</v>
      </c>
      <c r="X273" s="456">
        <v>0</v>
      </c>
      <c r="Y273" s="2942">
        <v>800</v>
      </c>
      <c r="Z273" s="456">
        <v>0</v>
      </c>
      <c r="AA273" s="2942">
        <v>0</v>
      </c>
      <c r="AB273" s="2369">
        <f t="shared" si="31"/>
        <v>800</v>
      </c>
      <c r="AC273" s="2944">
        <v>800</v>
      </c>
    </row>
    <row r="274" spans="1:29">
      <c r="A274" s="53">
        <v>2015.01</v>
      </c>
      <c r="B274" s="2395">
        <f t="shared" si="32"/>
        <v>1023459.9638810034</v>
      </c>
      <c r="C274" s="2396">
        <f t="shared" si="33"/>
        <v>396779.33465249947</v>
      </c>
      <c r="D274" s="386">
        <v>1068969.9109194945</v>
      </c>
      <c r="E274" s="3504">
        <v>58473</v>
      </c>
      <c r="F274" s="151">
        <v>617828.60626646667</v>
      </c>
      <c r="G274" s="3065">
        <v>0</v>
      </c>
      <c r="H274" s="632">
        <v>516500.68970280612</v>
      </c>
      <c r="I274" s="3504">
        <v>448486.27417819732</v>
      </c>
      <c r="J274" s="638">
        <v>0</v>
      </c>
      <c r="K274" s="151">
        <v>58473</v>
      </c>
      <c r="L274" s="3062">
        <f t="shared" si="28"/>
        <v>1023459.9638810034</v>
      </c>
      <c r="M274" s="632">
        <v>60558.186199344978</v>
      </c>
      <c r="N274" s="151">
        <v>326434.14845315448</v>
      </c>
      <c r="O274" s="3504">
        <v>0</v>
      </c>
      <c r="P274" s="151">
        <v>9787</v>
      </c>
      <c r="Q274" s="2396">
        <f t="shared" si="29"/>
        <v>396779.33465249947</v>
      </c>
      <c r="R274" s="456">
        <v>57110.534094775241</v>
      </c>
      <c r="S274" s="2942">
        <v>235693.89923203585</v>
      </c>
      <c r="T274" s="456">
        <v>0</v>
      </c>
      <c r="U274" s="2942">
        <v>38196.103612370251</v>
      </c>
      <c r="V274" s="2369">
        <f t="shared" si="30"/>
        <v>331000.53693918133</v>
      </c>
      <c r="W274" s="2942">
        <v>331000.53693918133</v>
      </c>
      <c r="X274" s="456">
        <v>0</v>
      </c>
      <c r="Y274" s="2942">
        <v>0</v>
      </c>
      <c r="Z274" s="456">
        <v>0</v>
      </c>
      <c r="AA274" s="2942">
        <v>0</v>
      </c>
      <c r="AB274" s="2369">
        <f t="shared" si="31"/>
        <v>0</v>
      </c>
      <c r="AC274" s="2944">
        <v>2500</v>
      </c>
    </row>
    <row r="275" spans="1:29">
      <c r="A275" s="53">
        <v>2015.02</v>
      </c>
      <c r="B275" s="2395">
        <f t="shared" si="32"/>
        <v>813533.44213229744</v>
      </c>
      <c r="C275" s="2396">
        <f t="shared" si="33"/>
        <v>438730.64134825266</v>
      </c>
      <c r="D275" s="386">
        <v>816271.77099883254</v>
      </c>
      <c r="E275" s="3504">
        <v>42090</v>
      </c>
      <c r="F275" s="151">
        <v>637959.21932687459</v>
      </c>
      <c r="G275" s="3065">
        <v>0</v>
      </c>
      <c r="H275" s="632">
        <v>210424.10099547653</v>
      </c>
      <c r="I275" s="3504">
        <v>561019.34113682096</v>
      </c>
      <c r="J275" s="638">
        <v>0</v>
      </c>
      <c r="K275" s="151">
        <v>42090</v>
      </c>
      <c r="L275" s="3062">
        <f t="shared" si="28"/>
        <v>813533.44213229744</v>
      </c>
      <c r="M275" s="632">
        <v>102149.6335233889</v>
      </c>
      <c r="N275" s="151">
        <v>336581.00782486377</v>
      </c>
      <c r="O275" s="3504">
        <v>0</v>
      </c>
      <c r="P275" s="151">
        <v>0</v>
      </c>
      <c r="Q275" s="2396">
        <f t="shared" si="29"/>
        <v>438730.64134825266</v>
      </c>
      <c r="R275" s="456">
        <v>51839.955125953071</v>
      </c>
      <c r="S275" s="2942">
        <v>240204.77603193239</v>
      </c>
      <c r="T275" s="456">
        <v>7744.9586826347304</v>
      </c>
      <c r="U275" s="2942">
        <v>38324.179655470391</v>
      </c>
      <c r="V275" s="2369">
        <f t="shared" si="30"/>
        <v>338113.86949599057</v>
      </c>
      <c r="W275" s="2942">
        <v>338113.86949599057</v>
      </c>
      <c r="X275" s="456">
        <v>0</v>
      </c>
      <c r="Y275" s="2942">
        <v>0</v>
      </c>
      <c r="Z275" s="456">
        <v>0</v>
      </c>
      <c r="AA275" s="2942">
        <v>0</v>
      </c>
      <c r="AB275" s="2369">
        <f t="shared" si="31"/>
        <v>0</v>
      </c>
      <c r="AC275" s="2944">
        <v>0</v>
      </c>
    </row>
    <row r="276" spans="1:29">
      <c r="A276" s="53">
        <v>2015.03</v>
      </c>
      <c r="B276" s="2395">
        <f t="shared" si="32"/>
        <v>1864648.4122323284</v>
      </c>
      <c r="C276" s="2396">
        <f t="shared" si="33"/>
        <v>490300.40097478585</v>
      </c>
      <c r="D276" s="386">
        <v>2017581.1121260345</v>
      </c>
      <c r="E276" s="3504">
        <v>46273</v>
      </c>
      <c r="F276" s="151">
        <v>545458.36246840039</v>
      </c>
      <c r="G276" s="3065">
        <v>0</v>
      </c>
      <c r="H276" s="632">
        <v>672415.87392660696</v>
      </c>
      <c r="I276" s="3504">
        <v>1145959.5383057215</v>
      </c>
      <c r="J276" s="638">
        <v>0</v>
      </c>
      <c r="K276" s="151">
        <v>46273</v>
      </c>
      <c r="L276" s="3062">
        <f t="shared" si="28"/>
        <v>1864648.4122323284</v>
      </c>
      <c r="M276" s="632">
        <v>74141.975190259822</v>
      </c>
      <c r="N276" s="151">
        <v>389822.42578452604</v>
      </c>
      <c r="O276" s="3504">
        <v>0</v>
      </c>
      <c r="P276" s="151">
        <v>26336</v>
      </c>
      <c r="Q276" s="2396">
        <f t="shared" si="29"/>
        <v>490300.40097478585</v>
      </c>
      <c r="R276" s="456">
        <v>28609.246758252248</v>
      </c>
      <c r="S276" s="2942">
        <v>293739.47719014296</v>
      </c>
      <c r="T276" s="456">
        <v>0</v>
      </c>
      <c r="U276" s="2942">
        <v>51806.02336479308</v>
      </c>
      <c r="V276" s="2369">
        <f t="shared" si="30"/>
        <v>374154.74731318833</v>
      </c>
      <c r="W276" s="2942">
        <v>374154.74731318833</v>
      </c>
      <c r="X276" s="456">
        <v>0</v>
      </c>
      <c r="Y276" s="2942">
        <v>12876.934640758498</v>
      </c>
      <c r="Z276" s="456">
        <v>0</v>
      </c>
      <c r="AA276" s="2942">
        <v>0</v>
      </c>
      <c r="AB276" s="2369">
        <f t="shared" si="31"/>
        <v>12876.934640758498</v>
      </c>
      <c r="AC276" s="2944">
        <v>11860</v>
      </c>
    </row>
    <row r="277" spans="1:29">
      <c r="A277" s="53">
        <v>2015.04</v>
      </c>
      <c r="B277" s="2395">
        <f t="shared" si="32"/>
        <v>2149957.5162228625</v>
      </c>
      <c r="C277" s="2396">
        <f t="shared" si="33"/>
        <v>230049.1399918797</v>
      </c>
      <c r="D277" s="386">
        <v>2518175.5329053644</v>
      </c>
      <c r="E277" s="3504">
        <v>0</v>
      </c>
      <c r="F277" s="151">
        <v>437851.84540566365</v>
      </c>
      <c r="G277" s="3065">
        <v>0</v>
      </c>
      <c r="H277" s="632">
        <v>882179.52586029633</v>
      </c>
      <c r="I277" s="3504">
        <v>1267777.9903625662</v>
      </c>
      <c r="J277" s="638">
        <v>0</v>
      </c>
      <c r="K277" s="151">
        <v>0</v>
      </c>
      <c r="L277" s="3062">
        <f t="shared" si="28"/>
        <v>2149957.5162228625</v>
      </c>
      <c r="M277" s="632">
        <v>82915.126218740697</v>
      </c>
      <c r="N277" s="151">
        <v>147134.01377313901</v>
      </c>
      <c r="O277" s="3504">
        <v>0</v>
      </c>
      <c r="P277" s="151">
        <v>0</v>
      </c>
      <c r="Q277" s="2396">
        <f t="shared" si="29"/>
        <v>230049.1399918797</v>
      </c>
      <c r="R277" s="456">
        <v>128314.21627243131</v>
      </c>
      <c r="S277" s="2942">
        <v>531089.47575693019</v>
      </c>
      <c r="T277" s="456">
        <v>4706.2729540918162</v>
      </c>
      <c r="U277" s="2942">
        <v>86973.938233979599</v>
      </c>
      <c r="V277" s="2369">
        <f t="shared" si="30"/>
        <v>751083.9032174329</v>
      </c>
      <c r="W277" s="2942">
        <v>751083.9032174329</v>
      </c>
      <c r="X277" s="456">
        <v>0</v>
      </c>
      <c r="Y277" s="2942">
        <v>457.09200043260392</v>
      </c>
      <c r="Z277" s="456">
        <v>0</v>
      </c>
      <c r="AA277" s="2942">
        <v>0</v>
      </c>
      <c r="AB277" s="2369">
        <f t="shared" si="31"/>
        <v>457.09200043260392</v>
      </c>
      <c r="AC277" s="2944">
        <v>31350</v>
      </c>
    </row>
    <row r="278" spans="1:29">
      <c r="A278" s="53">
        <v>2015.05</v>
      </c>
      <c r="B278" s="2395">
        <f t="shared" si="32"/>
        <v>1487135.8155017081</v>
      </c>
      <c r="C278" s="2396">
        <f t="shared" si="33"/>
        <v>228919.55989670102</v>
      </c>
      <c r="D278" s="386">
        <v>1616559.6253734212</v>
      </c>
      <c r="E278" s="3504">
        <v>0</v>
      </c>
      <c r="F278" s="151">
        <v>324121.23873689026</v>
      </c>
      <c r="G278" s="3065">
        <v>0</v>
      </c>
      <c r="H278" s="632">
        <v>469116.78616574523</v>
      </c>
      <c r="I278" s="3504">
        <v>1018019.029335963</v>
      </c>
      <c r="J278" s="638">
        <v>0</v>
      </c>
      <c r="K278" s="151">
        <v>0</v>
      </c>
      <c r="L278" s="3062">
        <f t="shared" si="28"/>
        <v>1487135.8155017081</v>
      </c>
      <c r="M278" s="632">
        <v>154203.70877675075</v>
      </c>
      <c r="N278" s="151">
        <v>74715.851119950283</v>
      </c>
      <c r="O278" s="3504">
        <v>0</v>
      </c>
      <c r="P278" s="151">
        <v>0</v>
      </c>
      <c r="Q278" s="2396">
        <f t="shared" si="29"/>
        <v>228919.55989670102</v>
      </c>
      <c r="R278" s="456">
        <v>0</v>
      </c>
      <c r="S278" s="2942">
        <v>360295.18227134814</v>
      </c>
      <c r="T278" s="456">
        <v>0</v>
      </c>
      <c r="U278" s="2942">
        <v>9146.3960434616638</v>
      </c>
      <c r="V278" s="2369">
        <f t="shared" si="30"/>
        <v>369441.57831480983</v>
      </c>
      <c r="W278" s="2942">
        <v>369441.57831480983</v>
      </c>
      <c r="X278" s="456">
        <v>0</v>
      </c>
      <c r="Y278" s="2942">
        <v>23078.481817760454</v>
      </c>
      <c r="Z278" s="456">
        <v>0</v>
      </c>
      <c r="AA278" s="2942">
        <v>0</v>
      </c>
      <c r="AB278" s="2369">
        <f t="shared" si="31"/>
        <v>23078.481817760454</v>
      </c>
      <c r="AC278" s="2944">
        <v>12500</v>
      </c>
    </row>
    <row r="279" spans="1:29">
      <c r="A279" s="53">
        <v>2015.06</v>
      </c>
      <c r="B279" s="2395">
        <f t="shared" si="32"/>
        <v>2077028.7536475402</v>
      </c>
      <c r="C279" s="2396">
        <f t="shared" si="33"/>
        <v>362230.1965681765</v>
      </c>
      <c r="D279" s="386">
        <v>2412775.3251288678</v>
      </c>
      <c r="E279" s="3504">
        <v>0</v>
      </c>
      <c r="F279" s="151">
        <v>510582.6990114933</v>
      </c>
      <c r="G279" s="3065">
        <v>0</v>
      </c>
      <c r="H279" s="632">
        <v>700606.48713324894</v>
      </c>
      <c r="I279" s="3504">
        <v>1376422.2665142913</v>
      </c>
      <c r="J279" s="638">
        <v>0</v>
      </c>
      <c r="K279" s="151">
        <v>0</v>
      </c>
      <c r="L279" s="3062">
        <f t="shared" si="28"/>
        <v>2077028.7536475402</v>
      </c>
      <c r="M279" s="632">
        <v>213245.92478927123</v>
      </c>
      <c r="N279" s="151">
        <v>148984.27177890527</v>
      </c>
      <c r="O279" s="3504">
        <v>0</v>
      </c>
      <c r="P279" s="151">
        <v>0</v>
      </c>
      <c r="Q279" s="2396">
        <f t="shared" si="29"/>
        <v>362230.1965681765</v>
      </c>
      <c r="R279" s="456">
        <v>100337.48655516845</v>
      </c>
      <c r="S279" s="2942">
        <v>620298.33935550821</v>
      </c>
      <c r="T279" s="456">
        <v>0</v>
      </c>
      <c r="U279" s="2942">
        <v>80437.643620593182</v>
      </c>
      <c r="V279" s="2369">
        <f t="shared" si="30"/>
        <v>801073.46953126974</v>
      </c>
      <c r="W279" s="2942">
        <v>801073.46953126974</v>
      </c>
      <c r="X279" s="456">
        <v>0</v>
      </c>
      <c r="Y279" s="2942">
        <v>21676.60863765817</v>
      </c>
      <c r="Z279" s="456">
        <v>0</v>
      </c>
      <c r="AA279" s="2942">
        <v>0</v>
      </c>
      <c r="AB279" s="2369">
        <f t="shared" si="31"/>
        <v>21676.60863765817</v>
      </c>
      <c r="AC279" s="2944">
        <v>21178</v>
      </c>
    </row>
    <row r="280" spans="1:29">
      <c r="A280" s="53">
        <v>2015.07</v>
      </c>
      <c r="B280" s="2395">
        <f t="shared" si="32"/>
        <v>1694511.2155576181</v>
      </c>
      <c r="C280" s="2396">
        <f t="shared" si="33"/>
        <v>176022.2770654402</v>
      </c>
      <c r="D280" s="386">
        <v>1916780.6881285682</v>
      </c>
      <c r="E280" s="3504">
        <v>89133</v>
      </c>
      <c r="F280" s="151">
        <v>254272.10263775542</v>
      </c>
      <c r="G280" s="3065">
        <v>0</v>
      </c>
      <c r="H280" s="632">
        <v>444350.50337290886</v>
      </c>
      <c r="I280" s="3504">
        <v>1161027.7121847093</v>
      </c>
      <c r="J280" s="638">
        <v>0</v>
      </c>
      <c r="K280" s="151">
        <v>89133</v>
      </c>
      <c r="L280" s="3062">
        <f t="shared" si="28"/>
        <v>1694511.2155576181</v>
      </c>
      <c r="M280" s="632">
        <v>141769.78900178292</v>
      </c>
      <c r="N280" s="151">
        <v>34252.488063657271</v>
      </c>
      <c r="O280" s="3504">
        <v>0</v>
      </c>
      <c r="P280" s="151">
        <v>0</v>
      </c>
      <c r="Q280" s="2396">
        <f t="shared" si="29"/>
        <v>176022.2770654402</v>
      </c>
      <c r="R280" s="456">
        <v>155194.90751845416</v>
      </c>
      <c r="S280" s="2942">
        <v>455009.30300246837</v>
      </c>
      <c r="T280" s="456">
        <v>0</v>
      </c>
      <c r="U280" s="2942">
        <v>43212.642475199282</v>
      </c>
      <c r="V280" s="2369">
        <f t="shared" si="30"/>
        <v>653416.85299612186</v>
      </c>
      <c r="W280" s="2942">
        <v>653416.85299612186</v>
      </c>
      <c r="X280" s="456">
        <v>0</v>
      </c>
      <c r="Y280" s="2942">
        <v>21522.503334655179</v>
      </c>
      <c r="Z280" s="456">
        <v>0</v>
      </c>
      <c r="AA280" s="2942">
        <v>0</v>
      </c>
      <c r="AB280" s="2369">
        <f t="shared" si="31"/>
        <v>21522.503334655179</v>
      </c>
      <c r="AC280" s="2944">
        <v>23830</v>
      </c>
    </row>
    <row r="281" spans="1:29">
      <c r="A281" s="53">
        <v>2015.08</v>
      </c>
      <c r="B281" s="2395">
        <f t="shared" si="32"/>
        <v>1373596.874640421</v>
      </c>
      <c r="C281" s="2396">
        <f t="shared" si="33"/>
        <v>178256.84180270639</v>
      </c>
      <c r="D281" s="386">
        <v>1469889.6897623895</v>
      </c>
      <c r="E281" s="3504">
        <v>41596</v>
      </c>
      <c r="F281" s="151">
        <v>305503.17236107553</v>
      </c>
      <c r="G281" s="3065">
        <v>0</v>
      </c>
      <c r="H281" s="632">
        <v>330918.8016184665</v>
      </c>
      <c r="I281" s="3504">
        <v>1001082.0730219546</v>
      </c>
      <c r="J281" s="638">
        <v>0</v>
      </c>
      <c r="K281" s="151">
        <v>41596</v>
      </c>
      <c r="L281" s="3062">
        <f t="shared" si="28"/>
        <v>1373596.874640421</v>
      </c>
      <c r="M281" s="632">
        <v>123452.86090085476</v>
      </c>
      <c r="N281" s="151">
        <v>54803.980901851632</v>
      </c>
      <c r="O281" s="3504">
        <v>0</v>
      </c>
      <c r="P281" s="151">
        <v>0</v>
      </c>
      <c r="Q281" s="2396">
        <f t="shared" si="29"/>
        <v>178256.84180270639</v>
      </c>
      <c r="R281" s="456">
        <v>64883.612459281518</v>
      </c>
      <c r="S281" s="2942">
        <v>384810.49068653648</v>
      </c>
      <c r="T281" s="456">
        <v>0</v>
      </c>
      <c r="U281" s="2942">
        <v>62005.054235700227</v>
      </c>
      <c r="V281" s="2369">
        <f t="shared" si="30"/>
        <v>511699.15738151822</v>
      </c>
      <c r="W281" s="2942">
        <v>511699.15738151822</v>
      </c>
      <c r="X281" s="456">
        <v>0</v>
      </c>
      <c r="Y281" s="2942">
        <v>3134.3451458235695</v>
      </c>
      <c r="Z281" s="456">
        <v>0</v>
      </c>
      <c r="AA281" s="2942">
        <v>0</v>
      </c>
      <c r="AB281" s="2369">
        <f t="shared" si="31"/>
        <v>3134.3451458235695</v>
      </c>
      <c r="AC281" s="2944">
        <v>19149</v>
      </c>
    </row>
    <row r="282" spans="1:29">
      <c r="A282" s="53">
        <v>2015.09</v>
      </c>
      <c r="B282" s="2395">
        <f t="shared" si="32"/>
        <v>1006479.615749997</v>
      </c>
      <c r="C282" s="2396">
        <f t="shared" si="33"/>
        <v>153140.16433920088</v>
      </c>
      <c r="D282" s="386">
        <v>1187761.6804626531</v>
      </c>
      <c r="E282" s="3504">
        <v>44337</v>
      </c>
      <c r="F282" s="151">
        <v>225320.20907210166</v>
      </c>
      <c r="G282" s="3065">
        <v>0</v>
      </c>
      <c r="H282" s="632">
        <v>140021.9214900801</v>
      </c>
      <c r="I282" s="3504">
        <v>822120.6942599169</v>
      </c>
      <c r="J282" s="638">
        <v>0</v>
      </c>
      <c r="K282" s="151">
        <v>44337</v>
      </c>
      <c r="L282" s="3062">
        <f t="shared" si="28"/>
        <v>1006479.615749997</v>
      </c>
      <c r="M282" s="632">
        <v>55133.512515693583</v>
      </c>
      <c r="N282" s="151">
        <v>98006.651823507316</v>
      </c>
      <c r="O282" s="3504">
        <v>0</v>
      </c>
      <c r="P282" s="151">
        <v>0</v>
      </c>
      <c r="Q282" s="2396">
        <f t="shared" si="29"/>
        <v>153140.16433920088</v>
      </c>
      <c r="R282" s="456">
        <v>42317.934129432891</v>
      </c>
      <c r="S282" s="2942">
        <v>495790.00976404769</v>
      </c>
      <c r="T282" s="456">
        <v>521.76836327345313</v>
      </c>
      <c r="U282" s="2942">
        <v>52934.548676018792</v>
      </c>
      <c r="V282" s="2369">
        <f t="shared" si="30"/>
        <v>591564.26093277289</v>
      </c>
      <c r="W282" s="2942">
        <v>591564.26093277289</v>
      </c>
      <c r="X282" s="456">
        <v>0</v>
      </c>
      <c r="Y282" s="2942">
        <v>0</v>
      </c>
      <c r="Z282" s="456">
        <v>0</v>
      </c>
      <c r="AA282" s="2942">
        <v>0</v>
      </c>
      <c r="AB282" s="2369">
        <f t="shared" si="31"/>
        <v>0</v>
      </c>
      <c r="AC282" s="2944">
        <v>0</v>
      </c>
    </row>
    <row r="283" spans="1:29">
      <c r="A283" s="53">
        <v>2015.1</v>
      </c>
      <c r="B283" s="2395">
        <f t="shared" si="32"/>
        <v>807365.62173153902</v>
      </c>
      <c r="C283" s="2396">
        <f t="shared" si="33"/>
        <v>140690.76524141943</v>
      </c>
      <c r="D283" s="386">
        <v>788839.06923775305</v>
      </c>
      <c r="E283" s="3504">
        <v>101791</v>
      </c>
      <c r="F283" s="151">
        <v>227707.63424986089</v>
      </c>
      <c r="G283" s="3065">
        <v>0</v>
      </c>
      <c r="H283" s="632">
        <v>236098.30973436453</v>
      </c>
      <c r="I283" s="3504">
        <v>469476.31199717452</v>
      </c>
      <c r="J283" s="638">
        <v>0</v>
      </c>
      <c r="K283" s="151">
        <v>101791</v>
      </c>
      <c r="L283" s="3062">
        <f t="shared" si="28"/>
        <v>807365.62173153902</v>
      </c>
      <c r="M283" s="632">
        <v>91535.282883912383</v>
      </c>
      <c r="N283" s="151">
        <v>49155.482357507048</v>
      </c>
      <c r="O283" s="3504">
        <v>0</v>
      </c>
      <c r="P283" s="151">
        <v>0</v>
      </c>
      <c r="Q283" s="2396">
        <f t="shared" si="29"/>
        <v>140690.76524141943</v>
      </c>
      <c r="R283" s="456">
        <v>70602.223028280088</v>
      </c>
      <c r="S283" s="2942">
        <v>284105.8622426868</v>
      </c>
      <c r="T283" s="456">
        <v>0</v>
      </c>
      <c r="U283" s="2942">
        <v>26758.12350655895</v>
      </c>
      <c r="V283" s="2369">
        <f t="shared" si="30"/>
        <v>381466.20877752581</v>
      </c>
      <c r="W283" s="2942">
        <v>381466.20877752581</v>
      </c>
      <c r="X283" s="456">
        <v>0</v>
      </c>
      <c r="Y283" s="2942">
        <v>0</v>
      </c>
      <c r="Z283" s="456">
        <v>0</v>
      </c>
      <c r="AA283" s="2942">
        <v>0</v>
      </c>
      <c r="AB283" s="2369">
        <f t="shared" si="31"/>
        <v>0</v>
      </c>
      <c r="AC283" s="2944">
        <v>4000</v>
      </c>
    </row>
    <row r="284" spans="1:29">
      <c r="A284" s="53">
        <v>2015.11</v>
      </c>
      <c r="B284" s="2395">
        <f t="shared" si="32"/>
        <v>519440.97532869159</v>
      </c>
      <c r="C284" s="2396">
        <f t="shared" si="33"/>
        <v>16500</v>
      </c>
      <c r="D284" s="386">
        <v>452737.44146515033</v>
      </c>
      <c r="E284" s="3504">
        <v>110381</v>
      </c>
      <c r="F284" s="151">
        <v>108086.2873063047</v>
      </c>
      <c r="G284" s="3065">
        <v>0</v>
      </c>
      <c r="H284" s="632">
        <v>119938</v>
      </c>
      <c r="I284" s="3504">
        <v>289121.97532869159</v>
      </c>
      <c r="J284" s="638">
        <v>0</v>
      </c>
      <c r="K284" s="151">
        <v>110381</v>
      </c>
      <c r="L284" s="3062">
        <f t="shared" si="28"/>
        <v>519440.97532869159</v>
      </c>
      <c r="M284" s="632">
        <v>16500</v>
      </c>
      <c r="N284" s="151">
        <v>0</v>
      </c>
      <c r="O284" s="3504">
        <v>0</v>
      </c>
      <c r="P284" s="151">
        <v>0</v>
      </c>
      <c r="Q284" s="2396">
        <f t="shared" si="29"/>
        <v>16500</v>
      </c>
      <c r="R284" s="456">
        <v>75703</v>
      </c>
      <c r="S284" s="2942">
        <v>330944.06459803163</v>
      </c>
      <c r="T284" s="456">
        <v>0</v>
      </c>
      <c r="U284" s="2942">
        <v>49467.626586908111</v>
      </c>
      <c r="V284" s="2369">
        <f t="shared" si="30"/>
        <v>456114.69118493976</v>
      </c>
      <c r="W284" s="2942">
        <v>456114.69118493976</v>
      </c>
      <c r="X284" s="456">
        <v>0</v>
      </c>
      <c r="Y284" s="2942">
        <v>0</v>
      </c>
      <c r="Z284" s="456">
        <v>0</v>
      </c>
      <c r="AA284" s="2942">
        <v>0</v>
      </c>
      <c r="AB284" s="2369">
        <f t="shared" si="31"/>
        <v>0</v>
      </c>
      <c r="AC284" s="2944">
        <v>0</v>
      </c>
    </row>
    <row r="285" spans="1:29">
      <c r="A285" s="53">
        <v>2015.12</v>
      </c>
      <c r="B285" s="2395">
        <f t="shared" si="32"/>
        <v>370771.28711725835</v>
      </c>
      <c r="C285" s="2396">
        <f t="shared" si="33"/>
        <v>46863.921857365523</v>
      </c>
      <c r="D285" s="386">
        <v>457670.15349147085</v>
      </c>
      <c r="E285" s="3504">
        <v>37767</v>
      </c>
      <c r="F285" s="151">
        <v>43617.866895540588</v>
      </c>
      <c r="G285" s="3065">
        <v>0</v>
      </c>
      <c r="H285" s="632">
        <v>41848</v>
      </c>
      <c r="I285" s="3504">
        <v>291156.28711725835</v>
      </c>
      <c r="J285" s="638">
        <v>0</v>
      </c>
      <c r="K285" s="151">
        <v>37767</v>
      </c>
      <c r="L285" s="3062">
        <f t="shared" si="28"/>
        <v>370771.28711725835</v>
      </c>
      <c r="M285" s="635">
        <v>13300</v>
      </c>
      <c r="N285" s="151">
        <v>33563.921857365523</v>
      </c>
      <c r="O285" s="3504">
        <v>0</v>
      </c>
      <c r="P285" s="151">
        <v>0</v>
      </c>
      <c r="Q285" s="2396">
        <f t="shared" si="29"/>
        <v>46863.921857365523</v>
      </c>
      <c r="R285" s="456">
        <v>27849</v>
      </c>
      <c r="S285" s="2942">
        <v>147674.90413541344</v>
      </c>
      <c r="T285" s="456">
        <v>15151</v>
      </c>
      <c r="U285" s="2942">
        <v>33305.719988946505</v>
      </c>
      <c r="V285" s="2369">
        <f t="shared" si="30"/>
        <v>223980.62412435995</v>
      </c>
      <c r="W285" s="2942">
        <v>223980.62412435995</v>
      </c>
      <c r="X285" s="456">
        <v>0</v>
      </c>
      <c r="Y285" s="2942">
        <v>57.462994340098774</v>
      </c>
      <c r="Z285" s="456">
        <v>0</v>
      </c>
      <c r="AA285" s="2942">
        <v>0</v>
      </c>
      <c r="AB285" s="2369">
        <f t="shared" si="31"/>
        <v>57.462994340098774</v>
      </c>
      <c r="AC285" s="2944">
        <v>44</v>
      </c>
    </row>
    <row r="286" spans="1:29">
      <c r="A286" s="53">
        <f>A274+1</f>
        <v>2016.01</v>
      </c>
      <c r="B286" s="2395">
        <f t="shared" si="32"/>
        <v>1264759.0883399867</v>
      </c>
      <c r="C286" s="2396">
        <f t="shared" si="33"/>
        <v>742086.12253169506</v>
      </c>
      <c r="D286" s="386">
        <v>1343884.8079278679</v>
      </c>
      <c r="E286" s="3504">
        <v>42999</v>
      </c>
      <c r="F286" s="151">
        <v>1127112.1247328664</v>
      </c>
      <c r="G286" s="3065">
        <v>0</v>
      </c>
      <c r="H286" s="632">
        <v>453068</v>
      </c>
      <c r="I286" s="3504">
        <v>768692.08833998675</v>
      </c>
      <c r="J286" s="638">
        <v>0</v>
      </c>
      <c r="K286" s="151">
        <v>42999</v>
      </c>
      <c r="L286" s="3062">
        <f t="shared" si="28"/>
        <v>1264759.0883399867</v>
      </c>
      <c r="M286" s="632">
        <v>143164</v>
      </c>
      <c r="N286" s="151">
        <v>583952.12253169506</v>
      </c>
      <c r="O286" s="3504">
        <v>0</v>
      </c>
      <c r="P286" s="151">
        <v>14970</v>
      </c>
      <c r="Q286" s="2396">
        <f t="shared" si="29"/>
        <v>742086.12253169506</v>
      </c>
      <c r="R286" s="456">
        <v>53500</v>
      </c>
      <c r="S286" s="2942">
        <v>381919.66795195086</v>
      </c>
      <c r="T286" s="456">
        <v>11000</v>
      </c>
      <c r="U286" s="2942">
        <v>107623.11533371042</v>
      </c>
      <c r="V286" s="2369">
        <f t="shared" si="30"/>
        <v>554042.78328566125</v>
      </c>
      <c r="W286" s="2942">
        <v>554042.78328566125</v>
      </c>
      <c r="X286" s="456">
        <v>0</v>
      </c>
      <c r="Y286" s="2942">
        <v>0</v>
      </c>
      <c r="Z286" s="456">
        <v>0</v>
      </c>
      <c r="AA286" s="2942">
        <v>0</v>
      </c>
      <c r="AB286" s="2369">
        <f t="shared" si="31"/>
        <v>0</v>
      </c>
      <c r="AC286" s="2944">
        <v>0</v>
      </c>
    </row>
    <row r="287" spans="1:29">
      <c r="A287" s="53">
        <f t="shared" ref="A287:A350" si="34">A275+1</f>
        <v>2016.02</v>
      </c>
      <c r="B287" s="2395">
        <f t="shared" si="32"/>
        <v>2082534.651674889</v>
      </c>
      <c r="C287" s="2396">
        <f t="shared" si="33"/>
        <v>383942.59552888054</v>
      </c>
      <c r="D287" s="386">
        <v>2521613.1518233605</v>
      </c>
      <c r="E287" s="3504">
        <v>0</v>
      </c>
      <c r="F287" s="151">
        <v>1084726.9736799616</v>
      </c>
      <c r="G287" s="3065">
        <v>0</v>
      </c>
      <c r="H287" s="632">
        <v>953060</v>
      </c>
      <c r="I287" s="3504">
        <v>1129474.651674889</v>
      </c>
      <c r="J287" s="638">
        <v>0</v>
      </c>
      <c r="K287" s="151">
        <v>0</v>
      </c>
      <c r="L287" s="3062">
        <f t="shared" si="28"/>
        <v>2082534.651674889</v>
      </c>
      <c r="M287" s="632">
        <v>108519</v>
      </c>
      <c r="N287" s="151">
        <v>275423.59552888054</v>
      </c>
      <c r="O287" s="3504">
        <v>0</v>
      </c>
      <c r="P287" s="151">
        <v>0</v>
      </c>
      <c r="Q287" s="2396">
        <f t="shared" si="29"/>
        <v>383942.59552888054</v>
      </c>
      <c r="R287" s="456">
        <v>42000</v>
      </c>
      <c r="S287" s="2942">
        <v>366779.74114861107</v>
      </c>
      <c r="T287" s="456">
        <v>0</v>
      </c>
      <c r="U287" s="2942">
        <v>26002.786137472351</v>
      </c>
      <c r="V287" s="2369">
        <f t="shared" si="30"/>
        <v>434782.52728608344</v>
      </c>
      <c r="W287" s="2942">
        <v>434782.52728608344</v>
      </c>
      <c r="X287" s="456">
        <v>0</v>
      </c>
      <c r="Y287" s="2942">
        <v>2146.3496971746495</v>
      </c>
      <c r="Z287" s="456">
        <v>0</v>
      </c>
      <c r="AA287" s="2942">
        <v>0</v>
      </c>
      <c r="AB287" s="2369">
        <f t="shared" si="31"/>
        <v>2146.3496971746495</v>
      </c>
      <c r="AC287" s="2944">
        <v>4500</v>
      </c>
    </row>
    <row r="288" spans="1:29">
      <c r="A288" s="53">
        <f t="shared" si="34"/>
        <v>2016.03</v>
      </c>
      <c r="B288" s="2395">
        <f t="shared" si="32"/>
        <v>2692157.8168854686</v>
      </c>
      <c r="C288" s="2396">
        <f t="shared" si="33"/>
        <v>690280.73516719032</v>
      </c>
      <c r="D288" s="386">
        <v>3038089.3001133874</v>
      </c>
      <c r="E288" s="3504">
        <v>43998</v>
      </c>
      <c r="F288" s="151">
        <v>1394066.2047160179</v>
      </c>
      <c r="G288" s="3065">
        <v>0</v>
      </c>
      <c r="H288" s="632">
        <v>956590</v>
      </c>
      <c r="I288" s="3504">
        <v>1691569.8168854686</v>
      </c>
      <c r="J288" s="638">
        <v>0</v>
      </c>
      <c r="K288" s="151">
        <v>43998</v>
      </c>
      <c r="L288" s="3062">
        <f t="shared" si="28"/>
        <v>2692157.8168854686</v>
      </c>
      <c r="M288" s="632">
        <v>224794</v>
      </c>
      <c r="N288" s="151">
        <v>465486.73516719032</v>
      </c>
      <c r="O288" s="3504">
        <v>0</v>
      </c>
      <c r="P288" s="151">
        <v>0</v>
      </c>
      <c r="Q288" s="2396">
        <f t="shared" si="29"/>
        <v>690280.73516719032</v>
      </c>
      <c r="R288" s="456">
        <v>50106</v>
      </c>
      <c r="S288" s="2942">
        <v>450455.89301958471</v>
      </c>
      <c r="T288" s="456">
        <v>0</v>
      </c>
      <c r="U288" s="2942">
        <v>23399.104017686182</v>
      </c>
      <c r="V288" s="2369">
        <f t="shared" si="30"/>
        <v>523960.99703727086</v>
      </c>
      <c r="W288" s="2942">
        <v>523960.99703727086</v>
      </c>
      <c r="X288" s="456">
        <v>0</v>
      </c>
      <c r="Y288" s="2942">
        <v>108811.34424796602</v>
      </c>
      <c r="Z288" s="456">
        <v>0</v>
      </c>
      <c r="AA288" s="2942">
        <v>0</v>
      </c>
      <c r="AB288" s="2369">
        <f t="shared" si="31"/>
        <v>108811.34424796602</v>
      </c>
      <c r="AC288" s="2944">
        <v>59196</v>
      </c>
    </row>
    <row r="289" spans="1:29">
      <c r="A289" s="53">
        <f t="shared" si="34"/>
        <v>2016.04</v>
      </c>
      <c r="B289" s="2395">
        <f t="shared" si="32"/>
        <v>1378311.2656571832</v>
      </c>
      <c r="C289" s="2396">
        <f t="shared" si="33"/>
        <v>560324.91217509215</v>
      </c>
      <c r="D289" s="386">
        <v>1795928.2226735486</v>
      </c>
      <c r="E289" s="3504">
        <v>0</v>
      </c>
      <c r="F289" s="151">
        <v>1031548.4563433327</v>
      </c>
      <c r="G289" s="3065">
        <v>0</v>
      </c>
      <c r="H289" s="632">
        <v>517016</v>
      </c>
      <c r="I289" s="3504">
        <v>861295.26565718336</v>
      </c>
      <c r="J289" s="638">
        <v>0</v>
      </c>
      <c r="K289" s="151">
        <v>0</v>
      </c>
      <c r="L289" s="3062">
        <f t="shared" si="28"/>
        <v>1378311.2656571832</v>
      </c>
      <c r="M289" s="632">
        <v>264354</v>
      </c>
      <c r="N289" s="151">
        <v>295970.91217509221</v>
      </c>
      <c r="O289" s="3504">
        <v>0</v>
      </c>
      <c r="P289" s="151">
        <v>0</v>
      </c>
      <c r="Q289" s="2396">
        <f t="shared" si="29"/>
        <v>560324.91217509215</v>
      </c>
      <c r="R289" s="456">
        <v>72450</v>
      </c>
      <c r="S289" s="2942">
        <v>382015.84730625618</v>
      </c>
      <c r="T289" s="456">
        <v>0</v>
      </c>
      <c r="U289" s="2942">
        <v>51880.292810540566</v>
      </c>
      <c r="V289" s="2369">
        <f t="shared" si="30"/>
        <v>506346.14011679677</v>
      </c>
      <c r="W289" s="2942">
        <v>506346.14011679677</v>
      </c>
      <c r="X289" s="456">
        <v>0</v>
      </c>
      <c r="Y289" s="2942">
        <v>44072.869767428216</v>
      </c>
      <c r="Z289" s="456">
        <v>0</v>
      </c>
      <c r="AA289" s="2942">
        <v>0</v>
      </c>
      <c r="AB289" s="2369">
        <f t="shared" si="31"/>
        <v>44072.869767428216</v>
      </c>
      <c r="AC289" s="2944">
        <v>46950</v>
      </c>
    </row>
    <row r="290" spans="1:29">
      <c r="A290" s="53">
        <f t="shared" si="34"/>
        <v>2016.05</v>
      </c>
      <c r="B290" s="2395">
        <f t="shared" si="32"/>
        <v>1496160.5241534375</v>
      </c>
      <c r="C290" s="2396">
        <f t="shared" si="33"/>
        <v>983619.99405638536</v>
      </c>
      <c r="D290" s="386">
        <v>1652764.7289970396</v>
      </c>
      <c r="E290" s="3504">
        <v>0</v>
      </c>
      <c r="F290" s="151">
        <v>1263746.7142337612</v>
      </c>
      <c r="G290" s="3065">
        <v>0</v>
      </c>
      <c r="H290" s="632">
        <v>549851</v>
      </c>
      <c r="I290" s="3504">
        <v>946309.52415343758</v>
      </c>
      <c r="J290" s="638">
        <v>0</v>
      </c>
      <c r="K290" s="151">
        <v>0</v>
      </c>
      <c r="L290" s="3062">
        <f t="shared" si="28"/>
        <v>1496160.5241534375</v>
      </c>
      <c r="M290" s="632">
        <v>268011</v>
      </c>
      <c r="N290" s="151">
        <v>715608.99405638536</v>
      </c>
      <c r="O290" s="3504">
        <v>0</v>
      </c>
      <c r="P290" s="151">
        <v>0</v>
      </c>
      <c r="Q290" s="2396">
        <f t="shared" si="29"/>
        <v>983619.99405638536</v>
      </c>
      <c r="R290" s="456">
        <v>55700</v>
      </c>
      <c r="S290" s="2942">
        <v>495618.46423884941</v>
      </c>
      <c r="T290" s="456">
        <v>0</v>
      </c>
      <c r="U290" s="2942">
        <v>92076.75213076768</v>
      </c>
      <c r="V290" s="2369">
        <f t="shared" si="30"/>
        <v>643395.21636961715</v>
      </c>
      <c r="W290" s="2942">
        <v>643395.21636961715</v>
      </c>
      <c r="X290" s="456">
        <v>0</v>
      </c>
      <c r="Y290" s="2942">
        <v>14298.89592947563</v>
      </c>
      <c r="Z290" s="456">
        <v>0</v>
      </c>
      <c r="AA290" s="2942">
        <v>0</v>
      </c>
      <c r="AB290" s="2369">
        <f t="shared" si="31"/>
        <v>14298.89592947563</v>
      </c>
      <c r="AC290" s="2944">
        <v>43528</v>
      </c>
    </row>
    <row r="291" spans="1:29">
      <c r="A291" s="53">
        <f t="shared" si="34"/>
        <v>2016.06</v>
      </c>
      <c r="B291" s="2395">
        <f t="shared" si="32"/>
        <v>1429486.406850908</v>
      </c>
      <c r="C291" s="2396">
        <f t="shared" si="33"/>
        <v>404183.05550639209</v>
      </c>
      <c r="D291" s="386">
        <v>1583710.7159719022</v>
      </c>
      <c r="E291" s="3504">
        <v>0</v>
      </c>
      <c r="F291" s="151">
        <v>657055.73109264718</v>
      </c>
      <c r="G291" s="3065">
        <v>0</v>
      </c>
      <c r="H291" s="632">
        <v>462900</v>
      </c>
      <c r="I291" s="3504">
        <v>966586.40685090807</v>
      </c>
      <c r="J291" s="638">
        <v>0</v>
      </c>
      <c r="K291" s="151">
        <v>0</v>
      </c>
      <c r="L291" s="3062">
        <f t="shared" si="28"/>
        <v>1429486.406850908</v>
      </c>
      <c r="M291" s="632">
        <v>167585</v>
      </c>
      <c r="N291" s="151">
        <v>236598.05550639209</v>
      </c>
      <c r="O291" s="3504">
        <v>0</v>
      </c>
      <c r="P291" s="151">
        <v>0</v>
      </c>
      <c r="Q291" s="2396">
        <f t="shared" si="29"/>
        <v>404183.05550639209</v>
      </c>
      <c r="R291" s="456">
        <v>96305</v>
      </c>
      <c r="S291" s="2942">
        <v>375030.10711110453</v>
      </c>
      <c r="T291" s="456">
        <v>0</v>
      </c>
      <c r="U291" s="2942">
        <v>86984.983579897264</v>
      </c>
      <c r="V291" s="2369">
        <f t="shared" si="30"/>
        <v>558320.09069100185</v>
      </c>
      <c r="W291" s="2942">
        <v>558320.09069100185</v>
      </c>
      <c r="X291" s="456">
        <v>0</v>
      </c>
      <c r="Y291" s="2942">
        <v>0</v>
      </c>
      <c r="Z291" s="456">
        <v>0</v>
      </c>
      <c r="AA291" s="2942">
        <v>0</v>
      </c>
      <c r="AB291" s="2369">
        <f t="shared" si="31"/>
        <v>0</v>
      </c>
      <c r="AC291" s="2944">
        <v>0</v>
      </c>
    </row>
    <row r="292" spans="1:29">
      <c r="A292" s="53">
        <f t="shared" si="34"/>
        <v>2016.07</v>
      </c>
      <c r="B292" s="2395">
        <f t="shared" si="32"/>
        <v>1835287.0532030996</v>
      </c>
      <c r="C292" s="2396">
        <f t="shared" si="33"/>
        <v>196405.7394828703</v>
      </c>
      <c r="D292" s="386">
        <v>2194730.6153972121</v>
      </c>
      <c r="E292" s="3504">
        <v>0</v>
      </c>
      <c r="F292" s="151">
        <v>381674.18524951063</v>
      </c>
      <c r="G292" s="3065">
        <v>0</v>
      </c>
      <c r="H292" s="632">
        <v>536451</v>
      </c>
      <c r="I292" s="3504">
        <v>1298836.0532030996</v>
      </c>
      <c r="J292" s="638">
        <v>0</v>
      </c>
      <c r="K292" s="151">
        <v>0</v>
      </c>
      <c r="L292" s="3062">
        <f t="shared" si="28"/>
        <v>1835287.0532030996</v>
      </c>
      <c r="M292" s="632">
        <v>120143</v>
      </c>
      <c r="N292" s="151">
        <v>76262.739482870296</v>
      </c>
      <c r="O292" s="3504">
        <v>0</v>
      </c>
      <c r="P292" s="151">
        <v>0</v>
      </c>
      <c r="Q292" s="2396">
        <f t="shared" si="29"/>
        <v>196405.7394828703</v>
      </c>
      <c r="R292" s="456">
        <v>53014</v>
      </c>
      <c r="S292" s="2942">
        <v>398624.25684505893</v>
      </c>
      <c r="T292" s="456">
        <v>0</v>
      </c>
      <c r="U292" s="2942">
        <v>38683.805016522107</v>
      </c>
      <c r="V292" s="2369">
        <f t="shared" si="30"/>
        <v>490322.06186158105</v>
      </c>
      <c r="W292" s="2942">
        <v>490322.06186158105</v>
      </c>
      <c r="X292" s="456">
        <v>0</v>
      </c>
      <c r="Y292" s="2942">
        <v>1035.1856630151767</v>
      </c>
      <c r="Z292" s="456">
        <v>0</v>
      </c>
      <c r="AA292" s="2942">
        <v>0</v>
      </c>
      <c r="AB292" s="2369">
        <f t="shared" si="31"/>
        <v>1035.1856630151767</v>
      </c>
      <c r="AC292" s="2944">
        <v>26065</v>
      </c>
    </row>
    <row r="293" spans="1:29">
      <c r="A293" s="53">
        <f t="shared" si="34"/>
        <v>2016.08</v>
      </c>
      <c r="B293" s="2395">
        <f t="shared" si="32"/>
        <v>3181597.0400949302</v>
      </c>
      <c r="C293" s="2396">
        <f t="shared" si="33"/>
        <v>259176.49292830596</v>
      </c>
      <c r="D293" s="386">
        <v>3889829.3617679775</v>
      </c>
      <c r="E293" s="3504">
        <v>0</v>
      </c>
      <c r="F293" s="151">
        <v>434599.15164716565</v>
      </c>
      <c r="G293" s="3065">
        <v>0</v>
      </c>
      <c r="H293" s="632">
        <v>912661</v>
      </c>
      <c r="I293" s="3504">
        <v>2268936.0400949302</v>
      </c>
      <c r="J293" s="638">
        <v>0</v>
      </c>
      <c r="K293" s="151">
        <v>0</v>
      </c>
      <c r="L293" s="3062">
        <f t="shared" si="28"/>
        <v>3181597.0400949302</v>
      </c>
      <c r="M293" s="632">
        <v>110694</v>
      </c>
      <c r="N293" s="151">
        <v>148482.49292830596</v>
      </c>
      <c r="O293" s="3504">
        <v>0</v>
      </c>
      <c r="P293" s="151">
        <v>0</v>
      </c>
      <c r="Q293" s="2396">
        <f t="shared" si="29"/>
        <v>259176.49292830596</v>
      </c>
      <c r="R293" s="456">
        <v>62645</v>
      </c>
      <c r="S293" s="2942">
        <v>354853.11121855141</v>
      </c>
      <c r="T293" s="456">
        <v>2255</v>
      </c>
      <c r="U293" s="2942">
        <v>46223.904317819804</v>
      </c>
      <c r="V293" s="2369">
        <f t="shared" si="30"/>
        <v>465977.01553637121</v>
      </c>
      <c r="W293" s="2942">
        <v>465977.01553637121</v>
      </c>
      <c r="X293" s="456">
        <v>0</v>
      </c>
      <c r="Y293" s="2942">
        <v>2795.0012901409773</v>
      </c>
      <c r="Z293" s="456">
        <v>0</v>
      </c>
      <c r="AA293" s="2942">
        <v>0</v>
      </c>
      <c r="AB293" s="2369">
        <f t="shared" si="31"/>
        <v>2795.0012901409773</v>
      </c>
      <c r="AC293" s="2944">
        <v>4700</v>
      </c>
    </row>
    <row r="294" spans="1:29">
      <c r="A294" s="53">
        <f t="shared" si="34"/>
        <v>2016.09</v>
      </c>
      <c r="B294" s="2395">
        <f t="shared" si="32"/>
        <v>1368037.1463030791</v>
      </c>
      <c r="C294" s="2396">
        <f t="shared" si="33"/>
        <v>123251.43414127636</v>
      </c>
      <c r="D294" s="386">
        <v>1693910.2803667865</v>
      </c>
      <c r="E294" s="3504">
        <v>0</v>
      </c>
      <c r="F294" s="151">
        <v>284741.74437066511</v>
      </c>
      <c r="G294" s="3065">
        <v>0</v>
      </c>
      <c r="H294" s="632">
        <v>312976</v>
      </c>
      <c r="I294" s="3504">
        <v>1055061.1463030791</v>
      </c>
      <c r="J294" s="638">
        <v>0</v>
      </c>
      <c r="K294" s="151">
        <v>0</v>
      </c>
      <c r="L294" s="3062">
        <f t="shared" si="28"/>
        <v>1368037.1463030791</v>
      </c>
      <c r="M294" s="632">
        <v>55954</v>
      </c>
      <c r="N294" s="151">
        <v>67297.434141276361</v>
      </c>
      <c r="O294" s="3504">
        <v>0</v>
      </c>
      <c r="P294" s="151">
        <v>0</v>
      </c>
      <c r="Q294" s="2396">
        <f t="shared" si="29"/>
        <v>123251.43414127636</v>
      </c>
      <c r="R294" s="456">
        <v>61158</v>
      </c>
      <c r="S294" s="2942">
        <v>205058.34595989337</v>
      </c>
      <c r="T294" s="456">
        <v>0</v>
      </c>
      <c r="U294" s="2942">
        <v>30535.791337226416</v>
      </c>
      <c r="V294" s="2369">
        <f t="shared" si="30"/>
        <v>296752.13729711977</v>
      </c>
      <c r="W294" s="2942">
        <v>296752.13729711977</v>
      </c>
      <c r="X294" s="456">
        <v>0</v>
      </c>
      <c r="Y294" s="2942">
        <v>2070.3713260303534</v>
      </c>
      <c r="Z294" s="456">
        <v>0</v>
      </c>
      <c r="AA294" s="2942">
        <v>0</v>
      </c>
      <c r="AB294" s="2369">
        <f t="shared" si="31"/>
        <v>2070.3713260303534</v>
      </c>
      <c r="AC294" s="2944">
        <v>2000</v>
      </c>
    </row>
    <row r="295" spans="1:29" ht="12.75" customHeight="1">
      <c r="A295" s="53">
        <f t="shared" si="34"/>
        <v>2016.1</v>
      </c>
      <c r="B295" s="2395">
        <f t="shared" si="32"/>
        <v>1253741.5924525452</v>
      </c>
      <c r="C295" s="2396">
        <f t="shared" si="33"/>
        <v>194295.39511388459</v>
      </c>
      <c r="D295" s="386">
        <v>1723521.1263473374</v>
      </c>
      <c r="E295" s="3504">
        <v>0</v>
      </c>
      <c r="F295" s="151">
        <v>382389.05755627464</v>
      </c>
      <c r="G295" s="3065">
        <v>0</v>
      </c>
      <c r="H295" s="632">
        <v>475705</v>
      </c>
      <c r="I295" s="3504">
        <v>778036.59245254518</v>
      </c>
      <c r="J295" s="638">
        <v>0</v>
      </c>
      <c r="K295" s="151">
        <v>0</v>
      </c>
      <c r="L295" s="3062">
        <f t="shared" si="28"/>
        <v>1253741.5924525452</v>
      </c>
      <c r="M295" s="632">
        <v>87118</v>
      </c>
      <c r="N295" s="151">
        <v>107177.39511388457</v>
      </c>
      <c r="O295" s="3504">
        <v>0</v>
      </c>
      <c r="P295" s="151">
        <v>0</v>
      </c>
      <c r="Q295" s="2396">
        <f t="shared" si="29"/>
        <v>194295.39511388459</v>
      </c>
      <c r="R295" s="456">
        <v>37000</v>
      </c>
      <c r="S295" s="2942">
        <v>268680.35618535208</v>
      </c>
      <c r="T295" s="456">
        <v>0</v>
      </c>
      <c r="U295" s="2942">
        <v>71303.473520595537</v>
      </c>
      <c r="V295" s="2369">
        <f t="shared" si="30"/>
        <v>376983.8297059476</v>
      </c>
      <c r="W295" s="2942">
        <v>376983.8297059476</v>
      </c>
      <c r="X295" s="456">
        <v>0</v>
      </c>
      <c r="Y295" s="2942">
        <v>0</v>
      </c>
      <c r="Z295" s="456">
        <v>0</v>
      </c>
      <c r="AA295" s="2942">
        <v>0</v>
      </c>
      <c r="AB295" s="2369">
        <f t="shared" si="31"/>
        <v>0</v>
      </c>
      <c r="AC295" s="2944">
        <v>2100</v>
      </c>
    </row>
    <row r="296" spans="1:29" ht="12.75" customHeight="1">
      <c r="A296" s="53">
        <f t="shared" si="34"/>
        <v>2016.11</v>
      </c>
      <c r="B296" s="2395">
        <f t="shared" si="32"/>
        <v>897849.95921251376</v>
      </c>
      <c r="C296" s="2396">
        <f t="shared" si="33"/>
        <v>357880.73997811973</v>
      </c>
      <c r="D296" s="386">
        <v>1255326.3361062282</v>
      </c>
      <c r="E296" s="3504">
        <v>0</v>
      </c>
      <c r="F296" s="151">
        <v>486997.39317485329</v>
      </c>
      <c r="G296" s="3065">
        <v>0</v>
      </c>
      <c r="H296" s="632">
        <v>249818</v>
      </c>
      <c r="I296" s="3504">
        <v>648031.95921251376</v>
      </c>
      <c r="J296" s="638">
        <v>0</v>
      </c>
      <c r="K296" s="151">
        <v>0</v>
      </c>
      <c r="L296" s="3062">
        <f t="shared" si="28"/>
        <v>897849.95921251376</v>
      </c>
      <c r="M296" s="632">
        <v>108450</v>
      </c>
      <c r="N296" s="151">
        <v>249430.7399781197</v>
      </c>
      <c r="O296" s="3504">
        <v>0</v>
      </c>
      <c r="P296" s="151">
        <v>0</v>
      </c>
      <c r="Q296" s="2396">
        <f t="shared" si="29"/>
        <v>357880.73997811973</v>
      </c>
      <c r="R296" s="456">
        <v>66983</v>
      </c>
      <c r="S296" s="2942">
        <v>368408.34457992995</v>
      </c>
      <c r="T296" s="456">
        <v>0</v>
      </c>
      <c r="U296" s="2942">
        <v>85901.991797761671</v>
      </c>
      <c r="V296" s="2369">
        <f t="shared" si="30"/>
        <v>521293.33637769159</v>
      </c>
      <c r="W296" s="2942">
        <v>521293.33637769159</v>
      </c>
      <c r="X296" s="456">
        <v>0</v>
      </c>
      <c r="Y296" s="2942">
        <v>879.90781356290029</v>
      </c>
      <c r="Z296" s="456">
        <v>0</v>
      </c>
      <c r="AA296" s="2942">
        <v>0</v>
      </c>
      <c r="AB296" s="2369">
        <f t="shared" si="31"/>
        <v>879.90781356290029</v>
      </c>
      <c r="AC296" s="2944">
        <v>850</v>
      </c>
    </row>
    <row r="297" spans="1:29">
      <c r="A297" s="53">
        <f t="shared" si="34"/>
        <v>2016.12</v>
      </c>
      <c r="B297" s="2395">
        <f t="shared" si="32"/>
        <v>564219.45517195924</v>
      </c>
      <c r="C297" s="2396">
        <f t="shared" si="33"/>
        <v>1164948.7833899078</v>
      </c>
      <c r="D297" s="386">
        <v>874367.35250735132</v>
      </c>
      <c r="E297" s="3504">
        <v>33299</v>
      </c>
      <c r="F297" s="151">
        <v>1584860.2632029434</v>
      </c>
      <c r="G297" s="3065">
        <v>0</v>
      </c>
      <c r="H297" s="632">
        <v>304560</v>
      </c>
      <c r="I297" s="3504">
        <v>226360.45517195921</v>
      </c>
      <c r="J297" s="638">
        <v>0</v>
      </c>
      <c r="K297" s="151">
        <v>33299</v>
      </c>
      <c r="L297" s="3062">
        <f t="shared" si="28"/>
        <v>564219.45517195924</v>
      </c>
      <c r="M297" s="632">
        <v>451125</v>
      </c>
      <c r="N297" s="151">
        <v>713823.78338990768</v>
      </c>
      <c r="O297" s="3504">
        <v>0</v>
      </c>
      <c r="P297" s="151">
        <v>0</v>
      </c>
      <c r="Q297" s="2396">
        <f t="shared" si="29"/>
        <v>1164948.7833899078</v>
      </c>
      <c r="R297" s="456">
        <v>31500</v>
      </c>
      <c r="S297" s="2942">
        <v>364653.86443485756</v>
      </c>
      <c r="T297" s="456">
        <v>0</v>
      </c>
      <c r="U297" s="2942">
        <v>52345</v>
      </c>
      <c r="V297" s="2369">
        <f t="shared" si="30"/>
        <v>448498.86443485756</v>
      </c>
      <c r="W297" s="2942">
        <v>456350</v>
      </c>
      <c r="X297" s="456">
        <v>0</v>
      </c>
      <c r="Y297" s="2942">
        <v>414.07426520607072</v>
      </c>
      <c r="Z297" s="456">
        <v>0</v>
      </c>
      <c r="AA297" s="2942">
        <v>400</v>
      </c>
      <c r="AB297" s="2369">
        <f t="shared" si="31"/>
        <v>814.07426520607078</v>
      </c>
      <c r="AC297" s="2944">
        <v>400</v>
      </c>
    </row>
    <row r="298" spans="1:29">
      <c r="A298" s="53">
        <f t="shared" si="34"/>
        <v>2017.01</v>
      </c>
      <c r="B298" s="2395">
        <f t="shared" si="32"/>
        <v>778604.53779191279</v>
      </c>
      <c r="C298" s="2396">
        <f t="shared" si="33"/>
        <v>1535418.8525927218</v>
      </c>
      <c r="D298" s="386">
        <v>655973.92081640207</v>
      </c>
      <c r="E298" s="3504">
        <v>0</v>
      </c>
      <c r="F298" s="151">
        <v>2532348.3254604423</v>
      </c>
      <c r="G298" s="3065">
        <v>0</v>
      </c>
      <c r="H298" s="632">
        <v>548914.84072485939</v>
      </c>
      <c r="I298" s="3504">
        <v>229689.69706705341</v>
      </c>
      <c r="J298" s="638">
        <v>0</v>
      </c>
      <c r="K298" s="151">
        <v>0</v>
      </c>
      <c r="L298" s="3062">
        <f t="shared" si="28"/>
        <v>778604.53779191279</v>
      </c>
      <c r="M298" s="632">
        <v>280226</v>
      </c>
      <c r="N298" s="151">
        <v>1255192.8525927218</v>
      </c>
      <c r="O298" s="3504">
        <v>0</v>
      </c>
      <c r="P298" s="151">
        <v>0</v>
      </c>
      <c r="Q298" s="2396">
        <f t="shared" si="29"/>
        <v>1535418.8525927218</v>
      </c>
      <c r="R298" s="456">
        <v>66184</v>
      </c>
      <c r="S298" s="2942">
        <v>195281.84874978152</v>
      </c>
      <c r="T298" s="456">
        <v>0</v>
      </c>
      <c r="U298" s="2942">
        <v>25171.78714144996</v>
      </c>
      <c r="V298" s="2369">
        <f t="shared" si="30"/>
        <v>286637.63589123148</v>
      </c>
      <c r="W298" s="2942">
        <v>286637.63589123148</v>
      </c>
      <c r="X298" s="456">
        <v>0</v>
      </c>
      <c r="Y298" s="2942">
        <v>20832.051941473739</v>
      </c>
      <c r="Z298" s="456">
        <v>0</v>
      </c>
      <c r="AA298" s="2942">
        <v>0</v>
      </c>
      <c r="AB298" s="2369">
        <f t="shared" si="31"/>
        <v>20832.051941473739</v>
      </c>
      <c r="AC298" s="2944">
        <v>16860</v>
      </c>
    </row>
    <row r="299" spans="1:29">
      <c r="A299" s="53">
        <f t="shared" si="34"/>
        <v>2017.02</v>
      </c>
      <c r="B299" s="2395">
        <f t="shared" si="32"/>
        <v>375566.50414025929</v>
      </c>
      <c r="C299" s="2396">
        <f t="shared" si="33"/>
        <v>1238385.1474072782</v>
      </c>
      <c r="D299" s="386">
        <v>210407.83544042148</v>
      </c>
      <c r="E299" s="3504">
        <v>0</v>
      </c>
      <c r="F299" s="151">
        <v>1837583.6928307384</v>
      </c>
      <c r="G299" s="3065">
        <v>0</v>
      </c>
      <c r="H299" s="632">
        <v>270570.19595789979</v>
      </c>
      <c r="I299" s="3504">
        <v>104996.3081823595</v>
      </c>
      <c r="J299" s="638">
        <v>0</v>
      </c>
      <c r="K299" s="151">
        <v>0</v>
      </c>
      <c r="L299" s="3062">
        <f t="shared" si="28"/>
        <v>375566.50414025929</v>
      </c>
      <c r="M299" s="632">
        <v>350865</v>
      </c>
      <c r="N299" s="151">
        <v>887520.14740727819</v>
      </c>
      <c r="O299" s="3504">
        <v>0</v>
      </c>
      <c r="P299" s="151">
        <v>0</v>
      </c>
      <c r="Q299" s="2396">
        <f t="shared" si="29"/>
        <v>1238385.1474072782</v>
      </c>
      <c r="R299" s="456">
        <v>60000</v>
      </c>
      <c r="S299" s="2942">
        <v>203650.07498246676</v>
      </c>
      <c r="T299" s="456">
        <v>0</v>
      </c>
      <c r="U299" s="2942">
        <v>18550.019713248708</v>
      </c>
      <c r="V299" s="2369">
        <f t="shared" si="30"/>
        <v>282200.09469571547</v>
      </c>
      <c r="W299" s="2942">
        <v>282200.09469571547</v>
      </c>
      <c r="X299" s="456">
        <v>0</v>
      </c>
      <c r="Y299" s="2942">
        <v>7042.8645353736847</v>
      </c>
      <c r="Z299" s="456">
        <v>0</v>
      </c>
      <c r="AA299" s="2942">
        <v>0</v>
      </c>
      <c r="AB299" s="2369">
        <f t="shared" si="31"/>
        <v>7042.8645353736847</v>
      </c>
      <c r="AC299" s="2944">
        <v>11900</v>
      </c>
    </row>
    <row r="300" spans="1:29">
      <c r="A300" s="53">
        <f t="shared" si="34"/>
        <v>2017.03</v>
      </c>
      <c r="B300" s="2395">
        <f t="shared" si="32"/>
        <v>1255257.0678425778</v>
      </c>
      <c r="C300" s="2396">
        <f t="shared" si="33"/>
        <v>689902.70109174412</v>
      </c>
      <c r="D300" s="386">
        <v>2095301.4552554123</v>
      </c>
      <c r="E300" s="3504">
        <v>0</v>
      </c>
      <c r="F300" s="151">
        <v>1242756.4784138426</v>
      </c>
      <c r="G300" s="3065">
        <v>0</v>
      </c>
      <c r="H300" s="632">
        <v>61719.963317240894</v>
      </c>
      <c r="I300" s="3504">
        <v>1193537.104525337</v>
      </c>
      <c r="J300" s="638">
        <v>0</v>
      </c>
      <c r="K300" s="151">
        <v>0</v>
      </c>
      <c r="L300" s="3062">
        <f t="shared" si="28"/>
        <v>1255257.0678425778</v>
      </c>
      <c r="M300" s="632">
        <v>163650</v>
      </c>
      <c r="N300" s="151">
        <v>526252.70109174412</v>
      </c>
      <c r="O300" s="3504">
        <v>0</v>
      </c>
      <c r="P300" s="151">
        <v>0</v>
      </c>
      <c r="Q300" s="2396">
        <f t="shared" si="29"/>
        <v>689902.70109174412</v>
      </c>
      <c r="R300" s="456">
        <v>62000</v>
      </c>
      <c r="S300" s="2942">
        <v>415337.52598425746</v>
      </c>
      <c r="T300" s="456">
        <v>0</v>
      </c>
      <c r="U300" s="2942">
        <v>43382.63353794744</v>
      </c>
      <c r="V300" s="2369">
        <f t="shared" si="30"/>
        <v>520720.15952220489</v>
      </c>
      <c r="W300" s="2942">
        <v>520720.15952220489</v>
      </c>
      <c r="X300" s="456">
        <v>0</v>
      </c>
      <c r="Y300" s="2942">
        <v>85255.728586102472</v>
      </c>
      <c r="Z300" s="456">
        <v>0</v>
      </c>
      <c r="AA300" s="2942">
        <v>0</v>
      </c>
      <c r="AB300" s="2369">
        <f t="shared" si="31"/>
        <v>85255.728586102472</v>
      </c>
      <c r="AC300" s="2944">
        <v>71300</v>
      </c>
    </row>
    <row r="301" spans="1:29">
      <c r="A301" s="53">
        <f>A289+1</f>
        <v>2017.04</v>
      </c>
      <c r="B301" s="2395">
        <f t="shared" si="32"/>
        <v>2819808.4419844528</v>
      </c>
      <c r="C301" s="2396">
        <f t="shared" si="33"/>
        <v>621384.29881124105</v>
      </c>
      <c r="D301" s="386">
        <v>3357364.9984561997</v>
      </c>
      <c r="E301" s="3504">
        <v>0</v>
      </c>
      <c r="F301" s="151">
        <v>833961.09171336808</v>
      </c>
      <c r="G301" s="3065">
        <v>0</v>
      </c>
      <c r="H301" s="632">
        <v>814984</v>
      </c>
      <c r="I301" s="3504">
        <v>2004824.4419844528</v>
      </c>
      <c r="J301" s="638">
        <v>0</v>
      </c>
      <c r="K301" s="151">
        <v>0</v>
      </c>
      <c r="L301" s="3062">
        <f t="shared" si="28"/>
        <v>2819808.4419844528</v>
      </c>
      <c r="M301" s="632">
        <v>183198</v>
      </c>
      <c r="N301" s="151">
        <v>438186.29881124099</v>
      </c>
      <c r="O301" s="3504">
        <v>0</v>
      </c>
      <c r="P301" s="151">
        <v>0</v>
      </c>
      <c r="Q301" s="2396">
        <f t="shared" si="29"/>
        <v>621384.29881124105</v>
      </c>
      <c r="R301" s="456">
        <v>60550</v>
      </c>
      <c r="S301" s="2942">
        <v>415954.96407630597</v>
      </c>
      <c r="T301" s="456">
        <v>0</v>
      </c>
      <c r="U301" s="2942">
        <v>262772.55521512381</v>
      </c>
      <c r="V301" s="2369">
        <f t="shared" si="30"/>
        <v>739277.51929142978</v>
      </c>
      <c r="W301" s="2942">
        <v>739277.51929142978</v>
      </c>
      <c r="X301" s="456">
        <v>0</v>
      </c>
      <c r="Y301" s="2942">
        <v>3475.5958544685072</v>
      </c>
      <c r="Z301" s="456">
        <v>0</v>
      </c>
      <c r="AA301" s="2942">
        <v>0</v>
      </c>
      <c r="AB301" s="2369">
        <f t="shared" si="31"/>
        <v>3475.5958544685072</v>
      </c>
      <c r="AC301" s="2944">
        <v>26495</v>
      </c>
    </row>
    <row r="302" spans="1:29">
      <c r="A302" s="53">
        <f t="shared" si="34"/>
        <v>2017.05</v>
      </c>
      <c r="B302" s="2395">
        <f t="shared" si="32"/>
        <v>1713002.0726953412</v>
      </c>
      <c r="C302" s="2396">
        <f t="shared" si="33"/>
        <v>128254.01770072822</v>
      </c>
      <c r="D302" s="386">
        <v>2135879.2826290131</v>
      </c>
      <c r="E302" s="3504">
        <v>0</v>
      </c>
      <c r="F302" s="151">
        <v>417599.77334042371</v>
      </c>
      <c r="G302" s="3065">
        <v>0</v>
      </c>
      <c r="H302" s="632">
        <v>649692</v>
      </c>
      <c r="I302" s="3504">
        <v>1063310.0726953412</v>
      </c>
      <c r="J302" s="638">
        <v>0</v>
      </c>
      <c r="K302" s="151">
        <v>0</v>
      </c>
      <c r="L302" s="3062">
        <f t="shared" si="28"/>
        <v>1713002.0726953412</v>
      </c>
      <c r="M302" s="632">
        <v>64383</v>
      </c>
      <c r="N302" s="151">
        <v>63871.017700728218</v>
      </c>
      <c r="O302" s="3504">
        <v>0</v>
      </c>
      <c r="P302" s="151">
        <v>0</v>
      </c>
      <c r="Q302" s="2396">
        <f t="shared" si="29"/>
        <v>128254.01770072822</v>
      </c>
      <c r="R302" s="456">
        <v>54839</v>
      </c>
      <c r="S302" s="2942">
        <v>429556.46139418508</v>
      </c>
      <c r="T302" s="456">
        <v>0</v>
      </c>
      <c r="U302" s="2942">
        <v>70978.150863281422</v>
      </c>
      <c r="V302" s="2369">
        <f t="shared" si="30"/>
        <v>555373.61225746654</v>
      </c>
      <c r="W302" s="2942">
        <v>555373.61225746654</v>
      </c>
      <c r="X302" s="456">
        <v>0</v>
      </c>
      <c r="Y302" s="2942">
        <v>5430.618522607042</v>
      </c>
      <c r="Z302" s="456">
        <v>0</v>
      </c>
      <c r="AA302" s="2942">
        <v>0</v>
      </c>
      <c r="AB302" s="2369">
        <f t="shared" si="31"/>
        <v>5430.618522607042</v>
      </c>
      <c r="AC302" s="2944">
        <v>7000</v>
      </c>
    </row>
    <row r="303" spans="1:29">
      <c r="A303" s="53">
        <f t="shared" si="34"/>
        <v>2017.06</v>
      </c>
      <c r="B303" s="2395">
        <f t="shared" si="32"/>
        <v>1579274.0532464588</v>
      </c>
      <c r="C303" s="2396">
        <f t="shared" si="33"/>
        <v>219533.66279502897</v>
      </c>
      <c r="D303" s="386">
        <v>2011891.1708850418</v>
      </c>
      <c r="E303" s="3504">
        <v>0</v>
      </c>
      <c r="F303" s="151">
        <v>429218.74704386765</v>
      </c>
      <c r="G303" s="3065">
        <v>0</v>
      </c>
      <c r="H303" s="632">
        <v>611865</v>
      </c>
      <c r="I303" s="3504">
        <v>967409.05324645876</v>
      </c>
      <c r="J303" s="638">
        <v>0</v>
      </c>
      <c r="K303" s="151">
        <v>0</v>
      </c>
      <c r="L303" s="3062">
        <f t="shared" si="28"/>
        <v>1579274.0532464588</v>
      </c>
      <c r="M303" s="632">
        <v>155360</v>
      </c>
      <c r="N303" s="151">
        <v>64173.662795028962</v>
      </c>
      <c r="O303" s="3504">
        <v>0</v>
      </c>
      <c r="P303" s="151">
        <v>0</v>
      </c>
      <c r="Q303" s="2396">
        <f t="shared" si="29"/>
        <v>219533.66279502897</v>
      </c>
      <c r="R303" s="456">
        <v>43442</v>
      </c>
      <c r="S303" s="2942">
        <v>346359.32656646299</v>
      </c>
      <c r="T303" s="456">
        <v>3224</v>
      </c>
      <c r="U303" s="2942">
        <v>68533.392420220916</v>
      </c>
      <c r="V303" s="2369">
        <f t="shared" si="30"/>
        <v>461558.71898668387</v>
      </c>
      <c r="W303" s="2942">
        <v>461558.71898668387</v>
      </c>
      <c r="X303" s="456">
        <v>0</v>
      </c>
      <c r="Y303" s="2942">
        <v>1086.1237045214084</v>
      </c>
      <c r="Z303" s="456">
        <v>0</v>
      </c>
      <c r="AA303" s="2942">
        <v>0</v>
      </c>
      <c r="AB303" s="2369">
        <f t="shared" si="31"/>
        <v>1086.1237045214084</v>
      </c>
      <c r="AC303" s="2944">
        <v>1000</v>
      </c>
    </row>
    <row r="304" spans="1:29">
      <c r="A304" s="53">
        <f t="shared" si="34"/>
        <v>2017.07</v>
      </c>
      <c r="B304" s="2395">
        <f t="shared" si="32"/>
        <v>2686598.0845672088</v>
      </c>
      <c r="C304" s="2396">
        <f t="shared" si="33"/>
        <v>310220.72242595418</v>
      </c>
      <c r="D304" s="386">
        <v>3408657.3616412235</v>
      </c>
      <c r="E304" s="3504">
        <v>0</v>
      </c>
      <c r="F304" s="151">
        <v>637787.30232072575</v>
      </c>
      <c r="G304" s="3065">
        <v>0</v>
      </c>
      <c r="H304" s="632">
        <v>911379</v>
      </c>
      <c r="I304" s="3504">
        <v>1775219.084567209</v>
      </c>
      <c r="J304" s="638">
        <v>0</v>
      </c>
      <c r="K304" s="151">
        <v>0</v>
      </c>
      <c r="L304" s="3062">
        <f t="shared" si="28"/>
        <v>2686598.0845672088</v>
      </c>
      <c r="M304" s="632">
        <v>151817</v>
      </c>
      <c r="N304" s="151">
        <v>158403.72242595421</v>
      </c>
      <c r="O304" s="3504">
        <v>0</v>
      </c>
      <c r="P304" s="151">
        <v>0</v>
      </c>
      <c r="Q304" s="2396">
        <f t="shared" si="29"/>
        <v>310220.72242595418</v>
      </c>
      <c r="R304" s="456">
        <v>32500</v>
      </c>
      <c r="S304" s="2942">
        <v>406486.44164771849</v>
      </c>
      <c r="T304" s="456">
        <v>0</v>
      </c>
      <c r="U304" s="2942">
        <v>52722.618554854162</v>
      </c>
      <c r="V304" s="2369">
        <f t="shared" si="30"/>
        <v>491709.06020257267</v>
      </c>
      <c r="W304" s="2942">
        <v>491709.06020257267</v>
      </c>
      <c r="X304" s="456">
        <v>0</v>
      </c>
      <c r="Y304" s="2942">
        <v>5973.6803748677467</v>
      </c>
      <c r="Z304" s="456">
        <v>0</v>
      </c>
      <c r="AA304" s="2942">
        <v>0</v>
      </c>
      <c r="AB304" s="2369">
        <f t="shared" si="31"/>
        <v>5973.6803748677467</v>
      </c>
      <c r="AC304" s="2944">
        <v>39010</v>
      </c>
    </row>
    <row r="305" spans="1:29">
      <c r="A305" s="53">
        <f t="shared" si="34"/>
        <v>2017.08</v>
      </c>
      <c r="B305" s="2395">
        <f t="shared" si="32"/>
        <v>1931619.039851842</v>
      </c>
      <c r="C305" s="2396">
        <f t="shared" si="33"/>
        <v>311435.16234561946</v>
      </c>
      <c r="D305" s="386">
        <v>2357702.0416359999</v>
      </c>
      <c r="E305" s="3504">
        <v>0</v>
      </c>
      <c r="F305" s="151">
        <v>646962.29736124875</v>
      </c>
      <c r="G305" s="3065">
        <v>0</v>
      </c>
      <c r="H305" s="632">
        <v>637607</v>
      </c>
      <c r="I305" s="3504">
        <v>1294012.039851842</v>
      </c>
      <c r="J305" s="638">
        <v>0</v>
      </c>
      <c r="K305" s="151">
        <v>0</v>
      </c>
      <c r="L305" s="3062">
        <f t="shared" si="28"/>
        <v>1931619.039851842</v>
      </c>
      <c r="M305" s="632">
        <v>226139</v>
      </c>
      <c r="N305" s="151">
        <v>85296.162345619465</v>
      </c>
      <c r="O305" s="3504">
        <v>0</v>
      </c>
      <c r="P305" s="151">
        <v>0</v>
      </c>
      <c r="Q305" s="2396">
        <f t="shared" si="29"/>
        <v>311435.16234561946</v>
      </c>
      <c r="R305" s="456">
        <v>103680</v>
      </c>
      <c r="S305" s="2942">
        <v>410978.31979312614</v>
      </c>
      <c r="T305" s="456">
        <v>5000</v>
      </c>
      <c r="U305" s="2942">
        <v>54701.47016347896</v>
      </c>
      <c r="V305" s="2369">
        <f t="shared" si="30"/>
        <v>574359.78995660506</v>
      </c>
      <c r="W305" s="2942">
        <v>574359.78995660506</v>
      </c>
      <c r="X305" s="456">
        <v>0</v>
      </c>
      <c r="Y305" s="2942">
        <v>4652.690900507494</v>
      </c>
      <c r="Z305" s="456">
        <v>0</v>
      </c>
      <c r="AA305" s="2942">
        <v>0</v>
      </c>
      <c r="AB305" s="2369">
        <f t="shared" si="31"/>
        <v>4652.690900507494</v>
      </c>
      <c r="AC305" s="2944">
        <v>18455</v>
      </c>
    </row>
    <row r="306" spans="1:29">
      <c r="A306" s="53">
        <f t="shared" si="34"/>
        <v>2017.09</v>
      </c>
      <c r="B306" s="2395">
        <f t="shared" si="32"/>
        <v>1455508.1094362014</v>
      </c>
      <c r="C306" s="2396">
        <f t="shared" si="33"/>
        <v>358079.66771997628</v>
      </c>
      <c r="D306" s="386">
        <v>1949616.4318668444</v>
      </c>
      <c r="E306" s="3504">
        <v>0</v>
      </c>
      <c r="F306" s="151">
        <v>521442.77122632507</v>
      </c>
      <c r="G306" s="3065">
        <v>0</v>
      </c>
      <c r="H306" s="632">
        <v>433765</v>
      </c>
      <c r="I306" s="3504">
        <v>1021743.1094362015</v>
      </c>
      <c r="J306" s="638">
        <v>0</v>
      </c>
      <c r="K306" s="151">
        <v>0</v>
      </c>
      <c r="L306" s="3062">
        <f t="shared" si="28"/>
        <v>1455508.1094362014</v>
      </c>
      <c r="M306" s="632">
        <v>254015</v>
      </c>
      <c r="N306" s="151">
        <v>104064.66771997631</v>
      </c>
      <c r="O306" s="3504">
        <v>0</v>
      </c>
      <c r="P306" s="151">
        <v>0</v>
      </c>
      <c r="Q306" s="2396">
        <f t="shared" si="29"/>
        <v>358079.66771997628</v>
      </c>
      <c r="R306" s="456">
        <v>32500</v>
      </c>
      <c r="S306" s="2942">
        <v>382518.43199666083</v>
      </c>
      <c r="T306" s="456">
        <v>0</v>
      </c>
      <c r="U306" s="2942">
        <v>40779.372390394608</v>
      </c>
      <c r="V306" s="2369">
        <f t="shared" si="30"/>
        <v>455797.80438705545</v>
      </c>
      <c r="W306" s="2942">
        <v>458048</v>
      </c>
      <c r="X306" s="456">
        <v>0</v>
      </c>
      <c r="Y306" s="2942">
        <v>29156.862976513632</v>
      </c>
      <c r="Z306" s="456">
        <v>0</v>
      </c>
      <c r="AA306" s="2942">
        <v>0</v>
      </c>
      <c r="AB306" s="2369">
        <f t="shared" si="31"/>
        <v>29156.862976513632</v>
      </c>
      <c r="AC306" s="2944">
        <v>32500</v>
      </c>
    </row>
    <row r="307" spans="1:29">
      <c r="A307" s="53">
        <f t="shared" si="34"/>
        <v>2017.1</v>
      </c>
      <c r="B307" s="2395">
        <f t="shared" si="32"/>
        <v>1454800.8716986224</v>
      </c>
      <c r="C307" s="2396">
        <f t="shared" si="33"/>
        <v>229702.54600611827</v>
      </c>
      <c r="D307" s="386">
        <v>1717758.154876173</v>
      </c>
      <c r="E307" s="3504">
        <v>0</v>
      </c>
      <c r="F307" s="151">
        <v>591342.94443061634</v>
      </c>
      <c r="G307" s="3065">
        <v>0</v>
      </c>
      <c r="H307" s="632">
        <v>610598</v>
      </c>
      <c r="I307" s="3504">
        <v>844202.87169862236</v>
      </c>
      <c r="J307" s="638">
        <v>0</v>
      </c>
      <c r="K307" s="151">
        <v>0</v>
      </c>
      <c r="L307" s="3062">
        <f t="shared" si="28"/>
        <v>1454800.8716986224</v>
      </c>
      <c r="M307" s="632">
        <v>124486</v>
      </c>
      <c r="N307" s="151">
        <v>105216.54600611827</v>
      </c>
      <c r="O307" s="3504">
        <v>0</v>
      </c>
      <c r="P307" s="151">
        <v>0</v>
      </c>
      <c r="Q307" s="2396">
        <f t="shared" si="29"/>
        <v>229702.54600611827</v>
      </c>
      <c r="R307" s="456">
        <v>44685</v>
      </c>
      <c r="S307" s="2942">
        <v>348818.73388741055</v>
      </c>
      <c r="T307" s="456">
        <v>0</v>
      </c>
      <c r="U307" s="2942">
        <v>21382</v>
      </c>
      <c r="V307" s="2369">
        <f t="shared" si="30"/>
        <v>414885.73388741055</v>
      </c>
      <c r="W307" s="2942">
        <v>414885.73388741055</v>
      </c>
      <c r="X307" s="456">
        <v>0</v>
      </c>
      <c r="Y307" s="2942">
        <v>12303.782603564263</v>
      </c>
      <c r="Z307" s="456">
        <v>0</v>
      </c>
      <c r="AA307" s="2942">
        <v>0</v>
      </c>
      <c r="AB307" s="2369">
        <f t="shared" si="31"/>
        <v>12303.782603564263</v>
      </c>
      <c r="AC307" s="2944">
        <v>11900</v>
      </c>
    </row>
    <row r="308" spans="1:29">
      <c r="A308" s="53">
        <f t="shared" si="34"/>
        <v>2017.11</v>
      </c>
      <c r="B308" s="2395">
        <f t="shared" ref="B308:B319" si="35">L308</f>
        <v>1313646.8573798519</v>
      </c>
      <c r="C308" s="2396">
        <f t="shared" ref="C308:C319" si="36">Q308</f>
        <v>601215.05885435676</v>
      </c>
      <c r="D308" s="386">
        <v>1655381.8663281777</v>
      </c>
      <c r="E308" s="3504">
        <v>0</v>
      </c>
      <c r="F308" s="151">
        <v>871614.26635739149</v>
      </c>
      <c r="G308" s="3065">
        <v>0</v>
      </c>
      <c r="H308" s="632">
        <v>568901</v>
      </c>
      <c r="I308" s="3504">
        <v>744745.85737985186</v>
      </c>
      <c r="J308" s="638">
        <v>0</v>
      </c>
      <c r="K308" s="151">
        <v>0</v>
      </c>
      <c r="L308" s="3062">
        <f t="shared" si="28"/>
        <v>1313646.8573798519</v>
      </c>
      <c r="M308" s="632">
        <v>332881</v>
      </c>
      <c r="N308" s="151">
        <v>268334.05885435676</v>
      </c>
      <c r="O308" s="3504">
        <v>0</v>
      </c>
      <c r="P308" s="151">
        <v>0</v>
      </c>
      <c r="Q308" s="2396">
        <f t="shared" si="29"/>
        <v>601215.05885435676</v>
      </c>
      <c r="R308" s="456">
        <v>63518</v>
      </c>
      <c r="S308" s="2942">
        <v>233992.27090597435</v>
      </c>
      <c r="T308" s="456">
        <v>0</v>
      </c>
      <c r="U308" s="2942">
        <v>110888</v>
      </c>
      <c r="V308" s="2369">
        <f t="shared" si="30"/>
        <v>408398.27090597432</v>
      </c>
      <c r="W308" s="2942">
        <v>414038</v>
      </c>
      <c r="X308" s="456">
        <v>0</v>
      </c>
      <c r="Y308" s="2942">
        <v>0</v>
      </c>
      <c r="Z308" s="456">
        <v>0</v>
      </c>
      <c r="AA308" s="2942">
        <v>0</v>
      </c>
      <c r="AB308" s="2369">
        <f t="shared" si="31"/>
        <v>0</v>
      </c>
      <c r="AC308" s="2944">
        <v>4999</v>
      </c>
    </row>
    <row r="309" spans="1:29">
      <c r="A309" s="53">
        <f t="shared" si="34"/>
        <v>2017.12</v>
      </c>
      <c r="B309" s="2395">
        <f t="shared" si="35"/>
        <v>1114635.3593652709</v>
      </c>
      <c r="C309" s="2396">
        <f t="shared" si="36"/>
        <v>1422328.1622492326</v>
      </c>
      <c r="D309" s="386">
        <v>1462163.4801690904</v>
      </c>
      <c r="E309" s="3504">
        <v>0</v>
      </c>
      <c r="F309" s="151">
        <v>1858471.3095010098</v>
      </c>
      <c r="G309" s="3065">
        <v>0</v>
      </c>
      <c r="H309" s="632">
        <v>494814</v>
      </c>
      <c r="I309" s="3504">
        <v>619821.35936527094</v>
      </c>
      <c r="J309" s="638">
        <v>0</v>
      </c>
      <c r="K309" s="151">
        <v>0</v>
      </c>
      <c r="L309" s="3062">
        <f t="shared" si="28"/>
        <v>1114635.3593652709</v>
      </c>
      <c r="M309" s="632">
        <v>328877</v>
      </c>
      <c r="N309" s="151">
        <v>1093451.1622492326</v>
      </c>
      <c r="O309" s="3504">
        <v>0</v>
      </c>
      <c r="P309" s="151">
        <v>0</v>
      </c>
      <c r="Q309" s="2396">
        <f t="shared" si="29"/>
        <v>1422328.1622492326</v>
      </c>
      <c r="R309" s="456">
        <v>61800</v>
      </c>
      <c r="S309" s="2942">
        <v>287241</v>
      </c>
      <c r="T309" s="456">
        <v>0</v>
      </c>
      <c r="U309" s="2942">
        <v>15766</v>
      </c>
      <c r="V309" s="2369">
        <f t="shared" si="30"/>
        <v>364807</v>
      </c>
      <c r="W309" s="2942">
        <v>368639</v>
      </c>
      <c r="X309" s="456">
        <v>0</v>
      </c>
      <c r="Y309" s="2942">
        <v>0</v>
      </c>
      <c r="Z309" s="456">
        <v>0</v>
      </c>
      <c r="AA309" s="2942">
        <v>0</v>
      </c>
      <c r="AB309" s="2369">
        <f t="shared" si="31"/>
        <v>0</v>
      </c>
      <c r="AC309" s="2944">
        <v>3500</v>
      </c>
    </row>
    <row r="310" spans="1:29">
      <c r="A310" s="53">
        <f t="shared" si="34"/>
        <v>2018.01</v>
      </c>
      <c r="B310" s="2395">
        <f t="shared" si="35"/>
        <v>1174660</v>
      </c>
      <c r="C310" s="2396">
        <f t="shared" si="36"/>
        <v>864369</v>
      </c>
      <c r="D310" s="386">
        <v>1458951</v>
      </c>
      <c r="E310" s="3504">
        <v>13321</v>
      </c>
      <c r="F310" s="151">
        <v>1702865</v>
      </c>
      <c r="G310" s="3065">
        <v>0</v>
      </c>
      <c r="H310" s="632">
        <v>782284</v>
      </c>
      <c r="I310" s="3504">
        <v>379055</v>
      </c>
      <c r="J310" s="638">
        <v>0</v>
      </c>
      <c r="K310" s="151">
        <v>13321</v>
      </c>
      <c r="L310" s="3062">
        <f t="shared" si="28"/>
        <v>1174660</v>
      </c>
      <c r="M310" s="632">
        <v>386968</v>
      </c>
      <c r="N310" s="151">
        <v>477401</v>
      </c>
      <c r="O310" s="3504">
        <v>0</v>
      </c>
      <c r="P310" s="151">
        <v>0</v>
      </c>
      <c r="Q310" s="2396">
        <f t="shared" si="29"/>
        <v>864369</v>
      </c>
      <c r="R310" s="456">
        <v>17000.043076798331</v>
      </c>
      <c r="S310" s="2942">
        <v>66562</v>
      </c>
      <c r="T310" s="456">
        <v>3084</v>
      </c>
      <c r="U310" s="2942">
        <v>26038</v>
      </c>
      <c r="V310" s="2369">
        <f t="shared" si="30"/>
        <v>112684.04307679833</v>
      </c>
      <c r="W310" s="2942">
        <v>112684.04307679833</v>
      </c>
      <c r="X310" s="456">
        <v>0</v>
      </c>
      <c r="Y310" s="2942">
        <v>5000</v>
      </c>
      <c r="Z310" s="456">
        <v>0</v>
      </c>
      <c r="AA310" s="2942">
        <v>0</v>
      </c>
      <c r="AB310" s="2369">
        <f t="shared" si="31"/>
        <v>5000</v>
      </c>
      <c r="AC310" s="2944">
        <v>9500</v>
      </c>
    </row>
    <row r="311" spans="1:29">
      <c r="A311" s="53">
        <f>A299+1</f>
        <v>2018.02</v>
      </c>
      <c r="B311" s="2395">
        <f t="shared" si="35"/>
        <v>1319976</v>
      </c>
      <c r="C311" s="2396">
        <f t="shared" si="36"/>
        <v>758915</v>
      </c>
      <c r="D311" s="626">
        <v>1592089</v>
      </c>
      <c r="E311" s="3504">
        <v>0</v>
      </c>
      <c r="F311" s="629">
        <v>1226473</v>
      </c>
      <c r="G311" s="3065">
        <v>0</v>
      </c>
      <c r="H311" s="632">
        <v>821297</v>
      </c>
      <c r="I311" s="3504">
        <v>498679</v>
      </c>
      <c r="J311" s="638">
        <v>0</v>
      </c>
      <c r="K311" s="151">
        <v>0</v>
      </c>
      <c r="L311" s="3062">
        <f t="shared" si="28"/>
        <v>1319976</v>
      </c>
      <c r="M311" s="632">
        <v>233057</v>
      </c>
      <c r="N311" s="151">
        <v>525858</v>
      </c>
      <c r="O311" s="3504">
        <v>0</v>
      </c>
      <c r="P311" s="151">
        <v>0</v>
      </c>
      <c r="Q311" s="2396">
        <f t="shared" si="29"/>
        <v>758915</v>
      </c>
      <c r="R311" s="456">
        <v>3600.0091221455286</v>
      </c>
      <c r="S311" s="2942">
        <v>117987</v>
      </c>
      <c r="T311" s="456">
        <v>0</v>
      </c>
      <c r="U311" s="2942">
        <v>6250</v>
      </c>
      <c r="V311" s="2369">
        <f t="shared" si="30"/>
        <v>127837.00912214552</v>
      </c>
      <c r="W311" s="2942">
        <v>187837</v>
      </c>
      <c r="X311" s="456">
        <v>0</v>
      </c>
      <c r="Y311" s="2942">
        <v>14556.233974546605</v>
      </c>
      <c r="Z311" s="456">
        <v>0</v>
      </c>
      <c r="AA311" s="2942">
        <v>0</v>
      </c>
      <c r="AB311" s="2369">
        <f t="shared" si="31"/>
        <v>14556.233974546605</v>
      </c>
      <c r="AC311" s="2944">
        <v>14556</v>
      </c>
    </row>
    <row r="312" spans="1:29">
      <c r="A312" s="53">
        <f t="shared" si="34"/>
        <v>2018.03</v>
      </c>
      <c r="B312" s="2395">
        <f t="shared" si="35"/>
        <v>2207747</v>
      </c>
      <c r="C312" s="2396">
        <f t="shared" si="36"/>
        <v>1058922</v>
      </c>
      <c r="D312" s="626">
        <v>2574118</v>
      </c>
      <c r="E312" s="3504">
        <v>31607</v>
      </c>
      <c r="F312" s="629">
        <v>1546165</v>
      </c>
      <c r="G312" s="3065">
        <v>0</v>
      </c>
      <c r="H312" s="632">
        <v>985125</v>
      </c>
      <c r="I312" s="3504">
        <v>1191015</v>
      </c>
      <c r="J312" s="638">
        <v>0</v>
      </c>
      <c r="K312" s="151">
        <v>31607</v>
      </c>
      <c r="L312" s="3062">
        <f t="shared" si="28"/>
        <v>2207747</v>
      </c>
      <c r="M312" s="632">
        <v>314672</v>
      </c>
      <c r="N312" s="151">
        <v>744250</v>
      </c>
      <c r="O312" s="3504">
        <v>0</v>
      </c>
      <c r="P312" s="151">
        <v>0</v>
      </c>
      <c r="Q312" s="2396">
        <f t="shared" si="29"/>
        <v>1058922</v>
      </c>
      <c r="R312" s="456">
        <v>65618.166271373688</v>
      </c>
      <c r="S312" s="2942">
        <v>344870</v>
      </c>
      <c r="T312" s="456">
        <v>7284.0000000000009</v>
      </c>
      <c r="U312" s="2942">
        <f>72250+12405</f>
        <v>84655</v>
      </c>
      <c r="V312" s="2369">
        <f t="shared" si="30"/>
        <v>502427.16627137369</v>
      </c>
      <c r="W312" s="2942">
        <v>502427.16627137369</v>
      </c>
      <c r="X312" s="456">
        <v>0</v>
      </c>
      <c r="Y312" s="2942">
        <v>0</v>
      </c>
      <c r="Z312" s="456">
        <v>0</v>
      </c>
      <c r="AA312" s="2942">
        <v>0</v>
      </c>
      <c r="AB312" s="2369">
        <f t="shared" si="31"/>
        <v>0</v>
      </c>
      <c r="AC312" s="2944">
        <v>0</v>
      </c>
    </row>
    <row r="313" spans="1:29">
      <c r="A313" s="53">
        <f t="shared" si="34"/>
        <v>2018.04</v>
      </c>
      <c r="B313" s="2395">
        <f t="shared" si="35"/>
        <v>2211422</v>
      </c>
      <c r="C313" s="2396">
        <f t="shared" si="36"/>
        <v>1497640</v>
      </c>
      <c r="D313" s="626">
        <v>2559495</v>
      </c>
      <c r="E313" s="3504">
        <v>0</v>
      </c>
      <c r="F313" s="151">
        <v>1863928</v>
      </c>
      <c r="G313" s="3065">
        <v>0</v>
      </c>
      <c r="H313" s="632">
        <v>946664</v>
      </c>
      <c r="I313" s="3504">
        <v>1264758</v>
      </c>
      <c r="J313" s="638">
        <v>0</v>
      </c>
      <c r="K313" s="151">
        <v>0</v>
      </c>
      <c r="L313" s="3062">
        <f t="shared" si="28"/>
        <v>2211422</v>
      </c>
      <c r="M313" s="632">
        <v>83734</v>
      </c>
      <c r="N313" s="151">
        <v>1413906</v>
      </c>
      <c r="O313" s="3504">
        <v>0</v>
      </c>
      <c r="P313" s="151">
        <v>0</v>
      </c>
      <c r="Q313" s="2396">
        <f t="shared" si="29"/>
        <v>1497640</v>
      </c>
      <c r="R313" s="456">
        <v>2057.0052122925977</v>
      </c>
      <c r="S313" s="2942">
        <v>411633</v>
      </c>
      <c r="T313" s="456">
        <v>7581.9999999999991</v>
      </c>
      <c r="U313" s="2942">
        <f>29500+30300</f>
        <v>59800</v>
      </c>
      <c r="V313" s="2369">
        <f t="shared" si="30"/>
        <v>481072.0052122926</v>
      </c>
      <c r="W313" s="2942">
        <v>481072.0052122926</v>
      </c>
      <c r="X313" s="456">
        <v>0</v>
      </c>
      <c r="Y313" s="2942">
        <v>40700</v>
      </c>
      <c r="Z313" s="456">
        <v>0</v>
      </c>
      <c r="AA313" s="2942">
        <v>0</v>
      </c>
      <c r="AB313" s="2369">
        <f t="shared" si="31"/>
        <v>40700</v>
      </c>
      <c r="AC313" s="2944">
        <v>49700</v>
      </c>
    </row>
    <row r="314" spans="1:29">
      <c r="A314" s="53">
        <f t="shared" si="34"/>
        <v>2018.05</v>
      </c>
      <c r="B314" s="2395">
        <f t="shared" si="35"/>
        <v>1493218</v>
      </c>
      <c r="C314" s="2396">
        <f t="shared" si="36"/>
        <v>317709</v>
      </c>
      <c r="D314" s="386">
        <v>1714744</v>
      </c>
      <c r="E314" s="3504">
        <v>0</v>
      </c>
      <c r="F314" s="151">
        <v>561926</v>
      </c>
      <c r="G314" s="3065">
        <v>0</v>
      </c>
      <c r="H314" s="632">
        <v>668264</v>
      </c>
      <c r="I314" s="3504">
        <v>824954</v>
      </c>
      <c r="J314" s="638">
        <v>0</v>
      </c>
      <c r="K314" s="151">
        <v>0</v>
      </c>
      <c r="L314" s="3062">
        <f t="shared" si="28"/>
        <v>1493218</v>
      </c>
      <c r="M314" s="632">
        <v>134245</v>
      </c>
      <c r="N314" s="151">
        <v>183464</v>
      </c>
      <c r="O314" s="3504">
        <v>0</v>
      </c>
      <c r="P314" s="151">
        <v>0</v>
      </c>
      <c r="Q314" s="2396">
        <f t="shared" si="29"/>
        <v>317709</v>
      </c>
      <c r="R314" s="456">
        <v>10530.026682275671</v>
      </c>
      <c r="S314" s="2942">
        <v>239961</v>
      </c>
      <c r="T314" s="456">
        <v>9639</v>
      </c>
      <c r="U314" s="2942">
        <f>42000+13904</f>
        <v>55904</v>
      </c>
      <c r="V314" s="2369">
        <f t="shared" si="30"/>
        <v>316034.0266822757</v>
      </c>
      <c r="W314" s="2942">
        <v>316034.0266822757</v>
      </c>
      <c r="X314" s="456">
        <v>0</v>
      </c>
      <c r="Y314" s="2942">
        <v>11450</v>
      </c>
      <c r="Z314" s="456">
        <v>0</v>
      </c>
      <c r="AA314" s="2942">
        <v>0</v>
      </c>
      <c r="AB314" s="2369">
        <f t="shared" si="31"/>
        <v>11450</v>
      </c>
      <c r="AC314" s="2944">
        <v>26942</v>
      </c>
    </row>
    <row r="315" spans="1:29">
      <c r="A315" s="53">
        <f t="shared" si="34"/>
        <v>2018.06</v>
      </c>
      <c r="B315" s="2395">
        <f t="shared" si="35"/>
        <v>1531599</v>
      </c>
      <c r="C315" s="2396">
        <f t="shared" si="36"/>
        <v>186549</v>
      </c>
      <c r="D315" s="386">
        <v>1693413</v>
      </c>
      <c r="E315" s="3504">
        <v>0</v>
      </c>
      <c r="F315" s="151">
        <v>390022</v>
      </c>
      <c r="G315" s="3065">
        <v>0</v>
      </c>
      <c r="H315" s="632">
        <v>782945</v>
      </c>
      <c r="I315" s="3504">
        <v>748654</v>
      </c>
      <c r="J315" s="638">
        <v>0</v>
      </c>
      <c r="K315" s="151">
        <v>0</v>
      </c>
      <c r="L315" s="3062">
        <f t="shared" si="28"/>
        <v>1531599</v>
      </c>
      <c r="M315" s="632">
        <v>127439</v>
      </c>
      <c r="N315" s="151">
        <v>59110</v>
      </c>
      <c r="O315" s="3504">
        <v>0</v>
      </c>
      <c r="P315" s="151">
        <v>0</v>
      </c>
      <c r="Q315" s="2396">
        <f t="shared" si="29"/>
        <v>186549</v>
      </c>
      <c r="R315" s="456">
        <v>49691.125913481512</v>
      </c>
      <c r="S315" s="2942">
        <v>248550</v>
      </c>
      <c r="T315" s="456">
        <v>0</v>
      </c>
      <c r="U315" s="2942">
        <v>56448</v>
      </c>
      <c r="V315" s="2369">
        <f t="shared" si="30"/>
        <v>354689.12591348152</v>
      </c>
      <c r="W315" s="2942">
        <v>354689.12591348152</v>
      </c>
      <c r="X315" s="456">
        <v>0</v>
      </c>
      <c r="Y315" s="2942">
        <v>32510</v>
      </c>
      <c r="Z315" s="456">
        <v>0</v>
      </c>
      <c r="AA315" s="2942">
        <v>0</v>
      </c>
      <c r="AB315" s="2369">
        <f t="shared" si="31"/>
        <v>32510</v>
      </c>
      <c r="AC315" s="2944">
        <v>66010</v>
      </c>
    </row>
    <row r="316" spans="1:29">
      <c r="A316" s="53">
        <f t="shared" si="34"/>
        <v>2018.07</v>
      </c>
      <c r="B316" s="2395">
        <f t="shared" si="35"/>
        <v>1765837</v>
      </c>
      <c r="C316" s="2396">
        <f t="shared" si="36"/>
        <v>176570</v>
      </c>
      <c r="D316" s="386">
        <v>2091711</v>
      </c>
      <c r="E316" s="3504">
        <v>0</v>
      </c>
      <c r="F316" s="151">
        <v>405157</v>
      </c>
      <c r="G316" s="3065">
        <v>0</v>
      </c>
      <c r="H316" s="632">
        <v>860778</v>
      </c>
      <c r="I316" s="3504">
        <v>905059</v>
      </c>
      <c r="J316" s="638">
        <v>0</v>
      </c>
      <c r="K316" s="151">
        <v>0</v>
      </c>
      <c r="L316" s="3062">
        <f t="shared" si="28"/>
        <v>1765837</v>
      </c>
      <c r="M316" s="632">
        <v>116250</v>
      </c>
      <c r="N316" s="151">
        <v>60320</v>
      </c>
      <c r="O316" s="3504">
        <v>0</v>
      </c>
      <c r="P316" s="151">
        <v>0</v>
      </c>
      <c r="Q316" s="2396">
        <f t="shared" si="29"/>
        <v>176570</v>
      </c>
      <c r="R316" s="456">
        <v>39891.101080974244</v>
      </c>
      <c r="S316" s="2942">
        <v>233930</v>
      </c>
      <c r="T316" s="456">
        <v>6925.9999999999991</v>
      </c>
      <c r="U316" s="2942">
        <v>46031</v>
      </c>
      <c r="V316" s="2369">
        <f t="shared" si="30"/>
        <v>326778.10108097421</v>
      </c>
      <c r="W316" s="2942">
        <v>326778.10108097421</v>
      </c>
      <c r="X316" s="456">
        <v>0</v>
      </c>
      <c r="Y316" s="2942">
        <v>9862</v>
      </c>
      <c r="Z316" s="456">
        <v>0</v>
      </c>
      <c r="AA316" s="2942">
        <v>0</v>
      </c>
      <c r="AB316" s="2369">
        <f t="shared" si="31"/>
        <v>9862</v>
      </c>
      <c r="AC316" s="2944">
        <v>16862</v>
      </c>
    </row>
    <row r="317" spans="1:29">
      <c r="A317" s="53">
        <f t="shared" si="34"/>
        <v>2018.08</v>
      </c>
      <c r="B317" s="2395">
        <f t="shared" si="35"/>
        <v>1219507</v>
      </c>
      <c r="C317" s="2396">
        <f t="shared" si="36"/>
        <v>292312</v>
      </c>
      <c r="D317" s="386">
        <v>1810476</v>
      </c>
      <c r="E317" s="3504">
        <v>0</v>
      </c>
      <c r="F317" s="151">
        <v>483162</v>
      </c>
      <c r="G317" s="3065">
        <v>0</v>
      </c>
      <c r="H317" s="632">
        <v>588823</v>
      </c>
      <c r="I317" s="3504">
        <v>630684</v>
      </c>
      <c r="J317" s="638">
        <v>0</v>
      </c>
      <c r="K317" s="151">
        <v>0</v>
      </c>
      <c r="L317" s="3062">
        <f t="shared" si="28"/>
        <v>1219507</v>
      </c>
      <c r="M317" s="632">
        <v>171861</v>
      </c>
      <c r="N317" s="151">
        <v>120451</v>
      </c>
      <c r="O317" s="3504">
        <v>0</v>
      </c>
      <c r="P317" s="151">
        <v>0</v>
      </c>
      <c r="Q317" s="2396">
        <f t="shared" si="29"/>
        <v>292312</v>
      </c>
      <c r="R317" s="456">
        <v>71086.180126899184</v>
      </c>
      <c r="S317" s="2942">
        <v>306456</v>
      </c>
      <c r="T317" s="456">
        <v>3761</v>
      </c>
      <c r="U317" s="2942">
        <v>23500</v>
      </c>
      <c r="V317" s="2369">
        <f t="shared" si="30"/>
        <v>404803.18012689915</v>
      </c>
      <c r="W317" s="2942">
        <f>386542+27261</f>
        <v>413803</v>
      </c>
      <c r="X317" s="456">
        <v>0</v>
      </c>
      <c r="Y317" s="2942">
        <v>41050</v>
      </c>
      <c r="Z317" s="456">
        <v>0</v>
      </c>
      <c r="AA317" s="2942">
        <v>0</v>
      </c>
      <c r="AB317" s="2369">
        <f t="shared" si="31"/>
        <v>41050</v>
      </c>
      <c r="AC317" s="2944">
        <v>101150</v>
      </c>
    </row>
    <row r="318" spans="1:29">
      <c r="A318" s="53">
        <f t="shared" si="34"/>
        <v>2018.09</v>
      </c>
      <c r="B318" s="2395">
        <f t="shared" si="35"/>
        <v>1126261</v>
      </c>
      <c r="C318" s="2396">
        <f t="shared" si="36"/>
        <v>243970</v>
      </c>
      <c r="D318" s="386">
        <v>1487294</v>
      </c>
      <c r="E318" s="3504">
        <v>0</v>
      </c>
      <c r="F318" s="151">
        <v>390538</v>
      </c>
      <c r="G318" s="3065">
        <v>0</v>
      </c>
      <c r="H318" s="632">
        <v>715363</v>
      </c>
      <c r="I318" s="3504">
        <v>410898</v>
      </c>
      <c r="J318" s="638">
        <v>0</v>
      </c>
      <c r="K318" s="151">
        <v>0</v>
      </c>
      <c r="L318" s="3062">
        <f t="shared" si="28"/>
        <v>1126261</v>
      </c>
      <c r="M318" s="632">
        <v>158380</v>
      </c>
      <c r="N318" s="151">
        <v>85590</v>
      </c>
      <c r="O318" s="3504">
        <v>0</v>
      </c>
      <c r="P318" s="151">
        <v>0</v>
      </c>
      <c r="Q318" s="2396">
        <f t="shared" si="29"/>
        <v>243970</v>
      </c>
      <c r="R318" s="456">
        <v>50462.127867141018</v>
      </c>
      <c r="S318" s="2942">
        <v>304698</v>
      </c>
      <c r="T318" s="456">
        <v>10538</v>
      </c>
      <c r="U318" s="2942">
        <v>49258</v>
      </c>
      <c r="V318" s="2369">
        <f t="shared" si="30"/>
        <v>414956.12786714104</v>
      </c>
      <c r="W318" s="2942">
        <f>363391+59796</f>
        <v>423187</v>
      </c>
      <c r="X318" s="456">
        <v>0</v>
      </c>
      <c r="Y318" s="2942">
        <v>2750</v>
      </c>
      <c r="Z318" s="456">
        <v>0</v>
      </c>
      <c r="AA318" s="2942">
        <v>0</v>
      </c>
      <c r="AB318" s="2369">
        <f t="shared" si="31"/>
        <v>2750</v>
      </c>
      <c r="AC318" s="2944">
        <v>4750</v>
      </c>
    </row>
    <row r="319" spans="1:29">
      <c r="A319" s="53">
        <f t="shared" si="34"/>
        <v>2018.1</v>
      </c>
      <c r="B319" s="2395">
        <f t="shared" si="35"/>
        <v>1329913</v>
      </c>
      <c r="C319" s="2396">
        <f t="shared" si="36"/>
        <v>170145</v>
      </c>
      <c r="D319" s="386">
        <v>1835572</v>
      </c>
      <c r="E319" s="3504">
        <v>72546</v>
      </c>
      <c r="F319" s="151">
        <v>308365</v>
      </c>
      <c r="G319" s="3065">
        <v>0</v>
      </c>
      <c r="H319" s="632">
        <v>715476</v>
      </c>
      <c r="I319" s="3504">
        <f>516891+25000</f>
        <v>541891</v>
      </c>
      <c r="J319" s="638">
        <v>0</v>
      </c>
      <c r="K319" s="151">
        <v>72546</v>
      </c>
      <c r="L319" s="3062">
        <f t="shared" si="28"/>
        <v>1329913</v>
      </c>
      <c r="M319" s="632">
        <v>139015</v>
      </c>
      <c r="N319" s="151">
        <v>31130</v>
      </c>
      <c r="O319" s="3504">
        <v>0</v>
      </c>
      <c r="P319" s="151">
        <v>0</v>
      </c>
      <c r="Q319" s="2396">
        <f t="shared" si="29"/>
        <v>170145</v>
      </c>
      <c r="R319" s="456">
        <v>33349.084504008679</v>
      </c>
      <c r="S319" s="2942">
        <v>266128</v>
      </c>
      <c r="T319" s="456">
        <v>13710</v>
      </c>
      <c r="U319" s="2942">
        <v>46829</v>
      </c>
      <c r="V319" s="2369">
        <f t="shared" si="30"/>
        <v>360016.0845040087</v>
      </c>
      <c r="W319" s="2942">
        <v>360016.0845040087</v>
      </c>
      <c r="X319" s="456">
        <v>0</v>
      </c>
      <c r="Y319" s="2942">
        <v>3500</v>
      </c>
      <c r="Z319" s="456">
        <v>0</v>
      </c>
      <c r="AA319" s="2942">
        <v>0</v>
      </c>
      <c r="AB319" s="2369">
        <f t="shared" si="31"/>
        <v>3500</v>
      </c>
      <c r="AC319" s="2944">
        <v>28500</v>
      </c>
    </row>
    <row r="320" spans="1:29">
      <c r="A320" s="53">
        <f t="shared" si="34"/>
        <v>2018.11</v>
      </c>
      <c r="B320" s="2395">
        <f t="shared" si="32"/>
        <v>753459</v>
      </c>
      <c r="C320" s="2396">
        <f t="shared" si="33"/>
        <v>428016</v>
      </c>
      <c r="D320" s="386">
        <v>1000989</v>
      </c>
      <c r="E320" s="3504">
        <v>75227</v>
      </c>
      <c r="F320" s="151">
        <v>498714</v>
      </c>
      <c r="G320" s="3065">
        <v>0</v>
      </c>
      <c r="H320" s="632">
        <v>331894</v>
      </c>
      <c r="I320" s="3504">
        <v>379100</v>
      </c>
      <c r="J320" s="638">
        <v>0</v>
      </c>
      <c r="K320" s="151">
        <v>42465</v>
      </c>
      <c r="L320" s="3062">
        <f t="shared" si="28"/>
        <v>753459</v>
      </c>
      <c r="M320" s="632">
        <v>309276</v>
      </c>
      <c r="N320" s="151">
        <v>118740</v>
      </c>
      <c r="O320" s="3504">
        <v>0</v>
      </c>
      <c r="P320" s="151">
        <v>0</v>
      </c>
      <c r="Q320" s="2396">
        <f t="shared" si="29"/>
        <v>428016</v>
      </c>
      <c r="R320" s="456">
        <v>18500.046877692301</v>
      </c>
      <c r="S320" s="2942">
        <v>166656</v>
      </c>
      <c r="T320" s="456">
        <v>0</v>
      </c>
      <c r="U320" s="2942">
        <v>45800</v>
      </c>
      <c r="V320" s="2369">
        <f>SUM(R320:U320)</f>
        <v>230956.04687769231</v>
      </c>
      <c r="W320" s="2942">
        <v>230956.04687769231</v>
      </c>
      <c r="X320" s="456">
        <v>0</v>
      </c>
      <c r="Y320" s="2942">
        <v>4000</v>
      </c>
      <c r="Z320" s="456">
        <v>0</v>
      </c>
      <c r="AA320" s="2942">
        <v>0</v>
      </c>
      <c r="AB320" s="2369">
        <f t="shared" si="31"/>
        <v>4000</v>
      </c>
      <c r="AC320" s="2944">
        <v>6300</v>
      </c>
    </row>
    <row r="321" spans="1:29">
      <c r="A321" s="53">
        <f>A309+1</f>
        <v>2018.12</v>
      </c>
      <c r="B321" s="2395">
        <f t="shared" si="32"/>
        <v>1079810</v>
      </c>
      <c r="C321" s="2396">
        <f t="shared" si="33"/>
        <v>1366755</v>
      </c>
      <c r="D321" s="386">
        <v>1291567</v>
      </c>
      <c r="E321" s="3504">
        <v>98011</v>
      </c>
      <c r="F321" s="151">
        <v>1734305</v>
      </c>
      <c r="G321" s="3065">
        <v>0</v>
      </c>
      <c r="H321" s="632">
        <v>624517</v>
      </c>
      <c r="I321" s="3504">
        <v>357282</v>
      </c>
      <c r="J321" s="638">
        <v>0</v>
      </c>
      <c r="K321" s="151">
        <v>98011</v>
      </c>
      <c r="L321" s="3062">
        <f t="shared" si="28"/>
        <v>1079810</v>
      </c>
      <c r="M321" s="632">
        <v>553728</v>
      </c>
      <c r="N321" s="151">
        <v>813027</v>
      </c>
      <c r="O321" s="3504">
        <v>0</v>
      </c>
      <c r="P321" s="151">
        <v>0</v>
      </c>
      <c r="Q321" s="2396">
        <f t="shared" si="29"/>
        <v>1366755</v>
      </c>
      <c r="R321" s="456">
        <v>32860.083264917237</v>
      </c>
      <c r="S321" s="2942">
        <v>326704</v>
      </c>
      <c r="T321" s="456">
        <v>18294</v>
      </c>
      <c r="U321" s="2942">
        <f>58723+9000</f>
        <v>67723</v>
      </c>
      <c r="V321" s="2369">
        <f t="shared" si="30"/>
        <v>445581.08326491725</v>
      </c>
      <c r="W321" s="2942">
        <v>445581.08326491725</v>
      </c>
      <c r="X321" s="456">
        <v>0</v>
      </c>
      <c r="Y321" s="2942">
        <v>0</v>
      </c>
      <c r="Z321" s="456">
        <v>0</v>
      </c>
      <c r="AA321" s="2942">
        <v>0</v>
      </c>
      <c r="AB321" s="2369">
        <f t="shared" si="31"/>
        <v>0</v>
      </c>
      <c r="AC321" s="2944">
        <v>5500</v>
      </c>
    </row>
    <row r="322" spans="1:29">
      <c r="A322" s="53">
        <f t="shared" si="34"/>
        <v>2019.01</v>
      </c>
      <c r="B322" s="2395">
        <f t="shared" si="32"/>
        <v>910112</v>
      </c>
      <c r="C322" s="2396">
        <f t="shared" si="33"/>
        <v>1265725</v>
      </c>
      <c r="D322" s="386">
        <v>961773</v>
      </c>
      <c r="E322" s="3504">
        <v>64057</v>
      </c>
      <c r="F322" s="151">
        <v>2178450</v>
      </c>
      <c r="G322" s="3065">
        <v>0</v>
      </c>
      <c r="H322" s="632">
        <v>677245</v>
      </c>
      <c r="I322" s="3504">
        <v>168810</v>
      </c>
      <c r="J322" s="638">
        <v>0</v>
      </c>
      <c r="K322" s="151">
        <v>64057</v>
      </c>
      <c r="L322" s="3062">
        <f t="shared" si="28"/>
        <v>910112</v>
      </c>
      <c r="M322" s="632">
        <v>577755</v>
      </c>
      <c r="N322" s="151">
        <v>687970</v>
      </c>
      <c r="O322" s="3504">
        <v>0</v>
      </c>
      <c r="P322" s="151">
        <v>0</v>
      </c>
      <c r="Q322" s="2396">
        <f t="shared" si="29"/>
        <v>1265725</v>
      </c>
      <c r="R322" s="456">
        <v>45100</v>
      </c>
      <c r="S322" s="2942">
        <v>248805</v>
      </c>
      <c r="T322" s="456">
        <v>12000</v>
      </c>
      <c r="U322" s="2942">
        <v>28950</v>
      </c>
      <c r="V322" s="2369">
        <f t="shared" si="30"/>
        <v>334855</v>
      </c>
      <c r="W322" s="2942">
        <f>293905+40950</f>
        <v>334855</v>
      </c>
      <c r="X322" s="456">
        <v>0</v>
      </c>
      <c r="Y322" s="2942">
        <v>45700</v>
      </c>
      <c r="Z322" s="456">
        <v>0</v>
      </c>
      <c r="AA322" s="2942">
        <v>0</v>
      </c>
      <c r="AB322" s="2369">
        <f t="shared" si="31"/>
        <v>45700</v>
      </c>
      <c r="AC322" s="2944">
        <v>75576</v>
      </c>
    </row>
    <row r="323" spans="1:29">
      <c r="A323" s="53">
        <f t="shared" si="34"/>
        <v>2019.02</v>
      </c>
      <c r="B323" s="2395">
        <f t="shared" si="32"/>
        <v>913847</v>
      </c>
      <c r="C323" s="2396">
        <f t="shared" si="33"/>
        <v>876459</v>
      </c>
      <c r="D323" s="386">
        <v>1089432</v>
      </c>
      <c r="E323" s="3504">
        <v>0</v>
      </c>
      <c r="F323" s="151">
        <v>1356524</v>
      </c>
      <c r="G323" s="3065">
        <v>0</v>
      </c>
      <c r="H323" s="632">
        <v>681187</v>
      </c>
      <c r="I323" s="3504">
        <v>232660</v>
      </c>
      <c r="J323" s="638">
        <v>0</v>
      </c>
      <c r="K323" s="151">
        <v>0</v>
      </c>
      <c r="L323" s="3062">
        <f t="shared" si="28"/>
        <v>913847</v>
      </c>
      <c r="M323" s="632">
        <v>230751</v>
      </c>
      <c r="N323" s="151">
        <v>645708</v>
      </c>
      <c r="O323" s="3504">
        <v>0</v>
      </c>
      <c r="P323" s="151">
        <v>0</v>
      </c>
      <c r="Q323" s="2396">
        <f t="shared" si="29"/>
        <v>876459</v>
      </c>
      <c r="R323" s="456">
        <v>53810</v>
      </c>
      <c r="S323" s="2942">
        <v>230792</v>
      </c>
      <c r="T323" s="456">
        <v>3527</v>
      </c>
      <c r="U323" s="2942">
        <v>13300</v>
      </c>
      <c r="V323" s="2369">
        <f t="shared" si="30"/>
        <v>301429</v>
      </c>
      <c r="W323" s="2942">
        <f>284602+16827</f>
        <v>301429</v>
      </c>
      <c r="X323" s="456">
        <v>0</v>
      </c>
      <c r="Y323" s="2942">
        <v>10000</v>
      </c>
      <c r="Z323" s="456">
        <v>0</v>
      </c>
      <c r="AA323" s="2942">
        <v>0</v>
      </c>
      <c r="AB323" s="2369">
        <f t="shared" si="31"/>
        <v>10000</v>
      </c>
      <c r="AC323" s="2944">
        <v>12300</v>
      </c>
    </row>
    <row r="324" spans="1:29">
      <c r="A324" s="53">
        <f t="shared" si="34"/>
        <v>2019.03</v>
      </c>
      <c r="B324" s="2395">
        <f t="shared" si="32"/>
        <v>2964917</v>
      </c>
      <c r="C324" s="2396">
        <f t="shared" si="33"/>
        <v>327379</v>
      </c>
      <c r="D324" s="386">
        <v>3238497</v>
      </c>
      <c r="E324" s="3504">
        <v>0</v>
      </c>
      <c r="F324" s="151">
        <v>885769</v>
      </c>
      <c r="G324" s="3065">
        <v>0</v>
      </c>
      <c r="H324" s="632">
        <v>1158918</v>
      </c>
      <c r="I324" s="3504">
        <v>1805999</v>
      </c>
      <c r="J324" s="638">
        <v>0</v>
      </c>
      <c r="K324" s="151">
        <v>0</v>
      </c>
      <c r="L324" s="3062">
        <f t="shared" si="28"/>
        <v>2964917</v>
      </c>
      <c r="M324" s="632">
        <v>196866</v>
      </c>
      <c r="N324" s="151">
        <v>130513</v>
      </c>
      <c r="O324" s="3504">
        <v>0</v>
      </c>
      <c r="P324" s="151">
        <v>0</v>
      </c>
      <c r="Q324" s="2396">
        <f t="shared" si="29"/>
        <v>327379</v>
      </c>
      <c r="R324" s="456">
        <v>24180</v>
      </c>
      <c r="S324" s="2942">
        <v>265454</v>
      </c>
      <c r="T324" s="456">
        <v>12420</v>
      </c>
      <c r="U324" s="2942">
        <v>40070</v>
      </c>
      <c r="V324" s="2369">
        <f t="shared" si="30"/>
        <v>342124</v>
      </c>
      <c r="W324" s="2942">
        <f>295634+47620+4870</f>
        <v>348124</v>
      </c>
      <c r="X324" s="456">
        <v>0</v>
      </c>
      <c r="Y324" s="2942">
        <v>39800</v>
      </c>
      <c r="Z324" s="456">
        <v>0</v>
      </c>
      <c r="AA324" s="2942">
        <v>0</v>
      </c>
      <c r="AB324" s="2369">
        <f t="shared" si="31"/>
        <v>39800</v>
      </c>
      <c r="AC324" s="2944">
        <v>66800</v>
      </c>
    </row>
    <row r="325" spans="1:29">
      <c r="A325" s="53">
        <f t="shared" si="34"/>
        <v>2019.04</v>
      </c>
      <c r="B325" s="2395">
        <f t="shared" si="32"/>
        <v>2442940</v>
      </c>
      <c r="C325" s="2396">
        <f t="shared" si="33"/>
        <v>269842</v>
      </c>
      <c r="D325" s="386">
        <v>3044790</v>
      </c>
      <c r="E325" s="3504">
        <v>0</v>
      </c>
      <c r="F325" s="151">
        <v>817406</v>
      </c>
      <c r="G325" s="3065">
        <v>0</v>
      </c>
      <c r="H325" s="632">
        <v>1075426</v>
      </c>
      <c r="I325" s="3504">
        <f>1345514+22000</f>
        <v>1367514</v>
      </c>
      <c r="J325" s="638">
        <v>0</v>
      </c>
      <c r="K325" s="151">
        <v>0</v>
      </c>
      <c r="L325" s="3062">
        <f t="shared" si="28"/>
        <v>2442940</v>
      </c>
      <c r="M325" s="632">
        <v>175392</v>
      </c>
      <c r="N325" s="151">
        <v>94450</v>
      </c>
      <c r="O325" s="3504">
        <v>0</v>
      </c>
      <c r="P325" s="151">
        <v>0</v>
      </c>
      <c r="Q325" s="2396">
        <f t="shared" si="29"/>
        <v>269842</v>
      </c>
      <c r="R325" s="456">
        <v>15000</v>
      </c>
      <c r="S325" s="2942">
        <v>319090</v>
      </c>
      <c r="T325" s="456">
        <v>0</v>
      </c>
      <c r="U325" s="2942">
        <v>54588</v>
      </c>
      <c r="V325" s="2369">
        <f t="shared" si="30"/>
        <v>388678</v>
      </c>
      <c r="W325" s="2942">
        <f>334090+37500+17088</f>
        <v>388678</v>
      </c>
      <c r="X325" s="456">
        <v>0</v>
      </c>
      <c r="Y325" s="2942">
        <v>5000</v>
      </c>
      <c r="Z325" s="456">
        <v>0</v>
      </c>
      <c r="AA325" s="2942">
        <v>0</v>
      </c>
      <c r="AB325" s="2369">
        <f t="shared" si="31"/>
        <v>5000</v>
      </c>
      <c r="AC325" s="2944">
        <v>25200</v>
      </c>
    </row>
    <row r="326" spans="1:29">
      <c r="A326" s="53">
        <f t="shared" si="34"/>
        <v>2019.05</v>
      </c>
      <c r="B326" s="2395">
        <f t="shared" si="32"/>
        <v>3087173</v>
      </c>
      <c r="C326" s="2396">
        <f t="shared" si="33"/>
        <v>426121</v>
      </c>
      <c r="D326" s="386">
        <v>3704027</v>
      </c>
      <c r="E326" s="3504">
        <v>0</v>
      </c>
      <c r="F326" s="151">
        <v>708644</v>
      </c>
      <c r="G326" s="3065">
        <v>0</v>
      </c>
      <c r="H326" s="632">
        <v>1236126</v>
      </c>
      <c r="I326" s="3504">
        <v>1851047</v>
      </c>
      <c r="J326" s="638">
        <v>0</v>
      </c>
      <c r="K326" s="151">
        <v>0</v>
      </c>
      <c r="L326" s="3062">
        <f t="shared" si="28"/>
        <v>3087173</v>
      </c>
      <c r="M326" s="632">
        <v>178050</v>
      </c>
      <c r="N326" s="151">
        <f>220571+27500</f>
        <v>248071</v>
      </c>
      <c r="O326" s="3504">
        <v>0</v>
      </c>
      <c r="P326" s="151">
        <v>0</v>
      </c>
      <c r="Q326" s="2396">
        <f t="shared" si="29"/>
        <v>426121</v>
      </c>
      <c r="R326" s="456">
        <v>79874</v>
      </c>
      <c r="S326" s="2942">
        <v>376434</v>
      </c>
      <c r="T326" s="456">
        <v>2432</v>
      </c>
      <c r="U326" s="2942">
        <v>40000</v>
      </c>
      <c r="V326" s="2369">
        <f t="shared" si="30"/>
        <v>498740</v>
      </c>
      <c r="W326" s="2942">
        <f>456308+42432</f>
        <v>498740</v>
      </c>
      <c r="X326" s="456">
        <v>0</v>
      </c>
      <c r="Y326" s="2942">
        <v>18000</v>
      </c>
      <c r="Z326" s="456">
        <v>0</v>
      </c>
      <c r="AA326" s="2942">
        <v>0</v>
      </c>
      <c r="AB326" s="2369">
        <f t="shared" si="31"/>
        <v>18000</v>
      </c>
      <c r="AC326" s="2944">
        <v>74772</v>
      </c>
    </row>
    <row r="327" spans="1:29">
      <c r="A327" s="53">
        <f t="shared" si="34"/>
        <v>2019.06</v>
      </c>
      <c r="B327" s="2395">
        <f t="shared" si="32"/>
        <v>2130493</v>
      </c>
      <c r="C327" s="2396">
        <f t="shared" si="33"/>
        <v>125850</v>
      </c>
      <c r="D327" s="386">
        <v>2606526</v>
      </c>
      <c r="E327" s="3504">
        <v>0</v>
      </c>
      <c r="F327" s="151">
        <v>422881</v>
      </c>
      <c r="G327" s="3065">
        <v>0</v>
      </c>
      <c r="H327" s="632">
        <v>1004436</v>
      </c>
      <c r="I327" s="3504">
        <v>1126057</v>
      </c>
      <c r="J327" s="638">
        <v>0</v>
      </c>
      <c r="K327" s="151">
        <v>0</v>
      </c>
      <c r="L327" s="3062">
        <f t="shared" si="28"/>
        <v>2130493</v>
      </c>
      <c r="M327" s="632">
        <v>65500</v>
      </c>
      <c r="N327" s="151">
        <v>60350</v>
      </c>
      <c r="O327" s="3504">
        <v>0</v>
      </c>
      <c r="P327" s="151">
        <v>0</v>
      </c>
      <c r="Q327" s="2396">
        <f t="shared" si="29"/>
        <v>125850</v>
      </c>
      <c r="R327" s="456">
        <v>71748</v>
      </c>
      <c r="S327" s="2942">
        <v>411820</v>
      </c>
      <c r="T327" s="456">
        <v>11464</v>
      </c>
      <c r="U327" s="2942">
        <v>41239</v>
      </c>
      <c r="V327" s="2369">
        <f t="shared" si="30"/>
        <v>536271</v>
      </c>
      <c r="W327" s="2942">
        <f>488568+52703</f>
        <v>541271</v>
      </c>
      <c r="X327" s="456">
        <v>0</v>
      </c>
      <c r="Y327" s="2942">
        <v>6000</v>
      </c>
      <c r="Z327" s="456">
        <v>0</v>
      </c>
      <c r="AA327" s="2942">
        <v>0</v>
      </c>
      <c r="AB327" s="2369">
        <f t="shared" si="31"/>
        <v>6000</v>
      </c>
      <c r="AC327" s="2944">
        <v>78634</v>
      </c>
    </row>
    <row r="328" spans="1:29">
      <c r="A328" s="53">
        <f t="shared" si="34"/>
        <v>2019.07</v>
      </c>
      <c r="B328" s="2395">
        <f t="shared" si="32"/>
        <v>3432824</v>
      </c>
      <c r="C328" s="2396">
        <f t="shared" si="33"/>
        <v>182129</v>
      </c>
      <c r="D328" s="386">
        <v>4183325</v>
      </c>
      <c r="E328" s="3504">
        <v>65572</v>
      </c>
      <c r="F328" s="151">
        <v>379431</v>
      </c>
      <c r="G328" s="3065">
        <v>0</v>
      </c>
      <c r="H328" s="632">
        <v>1267456</v>
      </c>
      <c r="I328" s="3504">
        <v>2099796</v>
      </c>
      <c r="J328" s="638">
        <v>0</v>
      </c>
      <c r="K328" s="151">
        <v>65572</v>
      </c>
      <c r="L328" s="3062">
        <f t="shared" si="28"/>
        <v>3432824</v>
      </c>
      <c r="M328" s="632">
        <v>118979</v>
      </c>
      <c r="N328" s="151">
        <v>63150</v>
      </c>
      <c r="O328" s="3504">
        <v>0</v>
      </c>
      <c r="P328" s="151">
        <v>0</v>
      </c>
      <c r="Q328" s="2396">
        <f t="shared" si="29"/>
        <v>182129</v>
      </c>
      <c r="R328" s="456">
        <v>64000</v>
      </c>
      <c r="S328" s="2942">
        <v>404751</v>
      </c>
      <c r="T328" s="456">
        <v>0</v>
      </c>
      <c r="U328" s="2942">
        <v>45500</v>
      </c>
      <c r="V328" s="2369">
        <f t="shared" si="30"/>
        <v>514251</v>
      </c>
      <c r="W328" s="2942">
        <f>478751+45500</f>
        <v>524251</v>
      </c>
      <c r="X328" s="456">
        <v>0</v>
      </c>
      <c r="Y328" s="2942">
        <v>31000</v>
      </c>
      <c r="Z328" s="456">
        <v>0</v>
      </c>
      <c r="AA328" s="2942">
        <v>0</v>
      </c>
      <c r="AB328" s="2369">
        <f t="shared" si="31"/>
        <v>31000</v>
      </c>
      <c r="AC328" s="2944">
        <v>71000</v>
      </c>
    </row>
    <row r="329" spans="1:29">
      <c r="A329" s="53">
        <f>A317+1</f>
        <v>2019.08</v>
      </c>
      <c r="B329" s="2395">
        <f t="shared" si="32"/>
        <v>2759238</v>
      </c>
      <c r="C329" s="2396">
        <f t="shared" si="33"/>
        <v>144180</v>
      </c>
      <c r="D329" s="386">
        <v>3418392</v>
      </c>
      <c r="E329" s="3504">
        <v>193146</v>
      </c>
      <c r="F329" s="151">
        <v>379532</v>
      </c>
      <c r="G329" s="3065">
        <v>0</v>
      </c>
      <c r="H329" s="632">
        <v>731252</v>
      </c>
      <c r="I329" s="3504">
        <f>1862211+18000</f>
        <v>1880211</v>
      </c>
      <c r="J329" s="638">
        <v>0</v>
      </c>
      <c r="K329" s="151">
        <v>147775</v>
      </c>
      <c r="L329" s="3062">
        <f t="shared" si="28"/>
        <v>2759238</v>
      </c>
      <c r="M329" s="632">
        <v>27404</v>
      </c>
      <c r="N329" s="151">
        <v>116776</v>
      </c>
      <c r="O329" s="3504">
        <v>0</v>
      </c>
      <c r="P329" s="151">
        <v>0</v>
      </c>
      <c r="Q329" s="2396">
        <f t="shared" si="29"/>
        <v>144180</v>
      </c>
      <c r="R329" s="456">
        <v>49500</v>
      </c>
      <c r="S329" s="2942">
        <v>476712</v>
      </c>
      <c r="T329" s="456">
        <v>0</v>
      </c>
      <c r="U329" s="2942">
        <v>32458</v>
      </c>
      <c r="V329" s="2369">
        <f t="shared" si="30"/>
        <v>558670</v>
      </c>
      <c r="W329" s="2942">
        <f>530712+32458</f>
        <v>563170</v>
      </c>
      <c r="X329" s="456">
        <v>0</v>
      </c>
      <c r="Y329" s="2942">
        <v>20970</v>
      </c>
      <c r="Z329" s="456">
        <v>0</v>
      </c>
      <c r="AA329" s="2942">
        <v>0</v>
      </c>
      <c r="AB329" s="2369">
        <f t="shared" si="31"/>
        <v>20970</v>
      </c>
      <c r="AC329" s="2944">
        <v>90907</v>
      </c>
    </row>
    <row r="330" spans="1:29">
      <c r="A330" s="53">
        <f t="shared" si="34"/>
        <v>2019.09</v>
      </c>
      <c r="B330" s="2395">
        <f t="shared" si="32"/>
        <v>2326373</v>
      </c>
      <c r="C330" s="2396">
        <f t="shared" si="33"/>
        <v>163133</v>
      </c>
      <c r="D330" s="386">
        <v>2997321</v>
      </c>
      <c r="E330" s="3504">
        <v>82726</v>
      </c>
      <c r="F330" s="151">
        <v>278657</v>
      </c>
      <c r="G330" s="3065">
        <v>0</v>
      </c>
      <c r="H330" s="632">
        <v>728342</v>
      </c>
      <c r="I330" s="3504">
        <v>1515305</v>
      </c>
      <c r="J330" s="638">
        <v>0</v>
      </c>
      <c r="K330" s="151">
        <v>82726</v>
      </c>
      <c r="L330" s="3062">
        <f t="shared" ref="L330:L345" si="37">SUM(H330:K330)</f>
        <v>2326373</v>
      </c>
      <c r="M330" s="632">
        <v>108133</v>
      </c>
      <c r="N330" s="151">
        <v>55000</v>
      </c>
      <c r="O330" s="3504">
        <v>0</v>
      </c>
      <c r="P330" s="151">
        <v>0</v>
      </c>
      <c r="Q330" s="2396">
        <f t="shared" ref="Q330:Q345" si="38">SUM(M330:P330)</f>
        <v>163133</v>
      </c>
      <c r="R330" s="456">
        <v>43524</v>
      </c>
      <c r="S330" s="2942">
        <v>311008</v>
      </c>
      <c r="T330" s="456">
        <f>17000+2462</f>
        <v>19462</v>
      </c>
      <c r="U330" s="2942">
        <v>19500</v>
      </c>
      <c r="V330" s="2369">
        <f t="shared" ref="V330:V393" si="39">SUM(R330:U330)</f>
        <v>393494</v>
      </c>
      <c r="W330" s="2942">
        <f>365232+36500+2462</f>
        <v>404194</v>
      </c>
      <c r="X330" s="456">
        <v>0</v>
      </c>
      <c r="Y330" s="2942">
        <v>4000</v>
      </c>
      <c r="Z330" s="456">
        <v>0</v>
      </c>
      <c r="AA330" s="2942">
        <v>0</v>
      </c>
      <c r="AB330" s="2369">
        <f t="shared" ref="AB330:AB393" si="40">SUM(X330:AA330)</f>
        <v>4000</v>
      </c>
      <c r="AC330" s="2944">
        <v>19200</v>
      </c>
    </row>
    <row r="331" spans="1:29">
      <c r="A331" s="53">
        <f t="shared" si="34"/>
        <v>2019.1</v>
      </c>
      <c r="B331" s="2395">
        <f t="shared" si="32"/>
        <v>1935071</v>
      </c>
      <c r="C331" s="2396">
        <f t="shared" si="33"/>
        <v>90696</v>
      </c>
      <c r="D331" s="386">
        <v>2684078</v>
      </c>
      <c r="E331" s="3504">
        <v>152252</v>
      </c>
      <c r="F331" s="151">
        <v>246384</v>
      </c>
      <c r="G331" s="3065">
        <v>0</v>
      </c>
      <c r="H331" s="632">
        <v>580404</v>
      </c>
      <c r="I331" s="3504">
        <v>1251452</v>
      </c>
      <c r="J331" s="638">
        <v>0</v>
      </c>
      <c r="K331" s="151">
        <v>103215</v>
      </c>
      <c r="L331" s="3062">
        <f t="shared" si="37"/>
        <v>1935071</v>
      </c>
      <c r="M331" s="632">
        <v>0</v>
      </c>
      <c r="N331" s="151">
        <v>90696</v>
      </c>
      <c r="O331" s="3504">
        <v>0</v>
      </c>
      <c r="P331" s="151">
        <v>0</v>
      </c>
      <c r="Q331" s="2396">
        <f t="shared" si="38"/>
        <v>90696</v>
      </c>
      <c r="R331" s="456">
        <v>26269</v>
      </c>
      <c r="S331" s="2942">
        <v>265291</v>
      </c>
      <c r="T331" s="456">
        <v>1000</v>
      </c>
      <c r="U331" s="2942">
        <v>64115</v>
      </c>
      <c r="V331" s="2369">
        <f>SUM(R331:U331)</f>
        <v>356675</v>
      </c>
      <c r="W331" s="2942">
        <f>294350+65115</f>
        <v>359465</v>
      </c>
      <c r="X331" s="456">
        <v>0</v>
      </c>
      <c r="Y331" s="2942">
        <v>0</v>
      </c>
      <c r="Z331" s="456">
        <v>0</v>
      </c>
      <c r="AA331" s="2942">
        <v>0</v>
      </c>
      <c r="AB331" s="2369">
        <f t="shared" si="40"/>
        <v>0</v>
      </c>
      <c r="AC331" s="2944">
        <v>13500</v>
      </c>
    </row>
    <row r="332" spans="1:29">
      <c r="A332" s="53">
        <f t="shared" si="34"/>
        <v>2019.11</v>
      </c>
      <c r="B332" s="2395">
        <f t="shared" ref="B332:B345" si="41">L332</f>
        <v>2196879</v>
      </c>
      <c r="C332" s="2396">
        <f t="shared" ref="C332:C345" si="42">Q332</f>
        <v>691733</v>
      </c>
      <c r="D332" s="386">
        <v>2495078</v>
      </c>
      <c r="E332" s="3504">
        <v>236219</v>
      </c>
      <c r="F332" s="151">
        <v>723203</v>
      </c>
      <c r="G332" s="3065">
        <v>0</v>
      </c>
      <c r="H332" s="632">
        <v>893291</v>
      </c>
      <c r="I332" s="3504">
        <v>1088045</v>
      </c>
      <c r="J332" s="638">
        <v>112104</v>
      </c>
      <c r="K332" s="151">
        <v>103439</v>
      </c>
      <c r="L332" s="3062">
        <f t="shared" si="37"/>
        <v>2196879</v>
      </c>
      <c r="M332" s="632">
        <v>148864</v>
      </c>
      <c r="N332" s="151">
        <v>542869</v>
      </c>
      <c r="O332" s="3504">
        <v>0</v>
      </c>
      <c r="P332" s="151">
        <v>0</v>
      </c>
      <c r="Q332" s="2396">
        <f t="shared" si="38"/>
        <v>691733</v>
      </c>
      <c r="R332" s="456">
        <v>33960</v>
      </c>
      <c r="S332" s="2942">
        <v>297115</v>
      </c>
      <c r="T332" s="456">
        <v>11000</v>
      </c>
      <c r="U332" s="2942">
        <v>34000</v>
      </c>
      <c r="V332" s="2369">
        <f t="shared" si="39"/>
        <v>376075</v>
      </c>
      <c r="W332" s="2942">
        <f>344074+45000</f>
        <v>389074</v>
      </c>
      <c r="X332" s="456">
        <v>23453</v>
      </c>
      <c r="Y332" s="2942">
        <v>7500</v>
      </c>
      <c r="Z332" s="456">
        <v>0</v>
      </c>
      <c r="AA332" s="2942">
        <v>0</v>
      </c>
      <c r="AB332" s="2369">
        <f t="shared" si="40"/>
        <v>30953</v>
      </c>
      <c r="AC332" s="2944">
        <v>37953</v>
      </c>
    </row>
    <row r="333" spans="1:29">
      <c r="A333" s="53">
        <f t="shared" si="34"/>
        <v>2019.12</v>
      </c>
      <c r="B333" s="2395">
        <f t="shared" si="41"/>
        <v>1383007</v>
      </c>
      <c r="C333" s="2396">
        <f t="shared" si="42"/>
        <v>1700817</v>
      </c>
      <c r="D333" s="386">
        <v>1710348</v>
      </c>
      <c r="E333" s="3504">
        <v>54621</v>
      </c>
      <c r="F333" s="151">
        <v>2108332</v>
      </c>
      <c r="G333" s="3065">
        <v>0</v>
      </c>
      <c r="H333" s="632">
        <v>635395</v>
      </c>
      <c r="I333" s="3504">
        <v>692991</v>
      </c>
      <c r="J333" s="638">
        <v>0</v>
      </c>
      <c r="K333" s="151">
        <v>54621</v>
      </c>
      <c r="L333" s="3062">
        <f t="shared" si="37"/>
        <v>1383007</v>
      </c>
      <c r="M333" s="632">
        <v>500467</v>
      </c>
      <c r="N333" s="151">
        <v>1200350</v>
      </c>
      <c r="O333" s="3504">
        <v>0</v>
      </c>
      <c r="P333" s="151">
        <v>0</v>
      </c>
      <c r="Q333" s="2396">
        <f t="shared" si="38"/>
        <v>1700817</v>
      </c>
      <c r="R333" s="456">
        <v>88148</v>
      </c>
      <c r="S333" s="2942">
        <v>247357</v>
      </c>
      <c r="T333" s="456">
        <v>4000</v>
      </c>
      <c r="U333" s="2942">
        <v>47100</v>
      </c>
      <c r="V333" s="2369">
        <f t="shared" si="39"/>
        <v>386605</v>
      </c>
      <c r="W333" s="2942">
        <f>355505+51100</f>
        <v>406605</v>
      </c>
      <c r="X333" s="456">
        <v>0</v>
      </c>
      <c r="Y333" s="2942">
        <v>1000</v>
      </c>
      <c r="Z333" s="456">
        <v>0</v>
      </c>
      <c r="AA333" s="2942">
        <v>0</v>
      </c>
      <c r="AB333" s="2369">
        <f t="shared" si="40"/>
        <v>1000</v>
      </c>
      <c r="AC333" s="2944">
        <v>28000</v>
      </c>
    </row>
    <row r="334" spans="1:29">
      <c r="A334" s="53">
        <f t="shared" si="34"/>
        <v>2020.01</v>
      </c>
      <c r="B334" s="2395">
        <f t="shared" si="41"/>
        <v>1596697</v>
      </c>
      <c r="C334" s="2396">
        <f t="shared" si="42"/>
        <v>2093434</v>
      </c>
      <c r="D334" s="386">
        <v>1818017</v>
      </c>
      <c r="E334" s="3504">
        <v>46136</v>
      </c>
      <c r="F334" s="151">
        <v>3360490</v>
      </c>
      <c r="G334" s="3065">
        <v>0</v>
      </c>
      <c r="H334" s="632">
        <v>640360</v>
      </c>
      <c r="I334" s="3504">
        <v>910201</v>
      </c>
      <c r="J334" s="638">
        <v>0</v>
      </c>
      <c r="K334" s="151">
        <v>46136</v>
      </c>
      <c r="L334" s="3062">
        <f t="shared" si="37"/>
        <v>1596697</v>
      </c>
      <c r="M334" s="632">
        <v>561954</v>
      </c>
      <c r="N334" s="151">
        <v>1531480</v>
      </c>
      <c r="O334" s="3504">
        <v>0</v>
      </c>
      <c r="P334" s="151">
        <v>0</v>
      </c>
      <c r="Q334" s="2396">
        <f t="shared" si="38"/>
        <v>2093434</v>
      </c>
      <c r="R334" s="456">
        <v>62264</v>
      </c>
      <c r="S334" s="2942">
        <v>359385</v>
      </c>
      <c r="T334" s="456">
        <v>10000</v>
      </c>
      <c r="U334" s="2942">
        <v>7150</v>
      </c>
      <c r="V334" s="2369">
        <f t="shared" si="39"/>
        <v>438799</v>
      </c>
      <c r="W334" s="2942">
        <f>421649+17150</f>
        <v>438799</v>
      </c>
      <c r="X334" s="456">
        <v>0</v>
      </c>
      <c r="Y334" s="2942">
        <v>5500</v>
      </c>
      <c r="Z334" s="456">
        <v>0</v>
      </c>
      <c r="AA334" s="2942">
        <v>0</v>
      </c>
      <c r="AB334" s="2369">
        <f t="shared" si="40"/>
        <v>5500</v>
      </c>
      <c r="AC334" s="2944">
        <v>5500</v>
      </c>
    </row>
    <row r="335" spans="1:29">
      <c r="A335" s="53">
        <f t="shared" si="34"/>
        <v>2020.02</v>
      </c>
      <c r="B335" s="2395">
        <f t="shared" si="41"/>
        <v>1071410</v>
      </c>
      <c r="C335" s="2396">
        <f t="shared" si="42"/>
        <v>1356915</v>
      </c>
      <c r="D335" s="386">
        <v>1331603</v>
      </c>
      <c r="E335" s="3504">
        <v>0</v>
      </c>
      <c r="F335" s="151">
        <v>1966636</v>
      </c>
      <c r="G335" s="3065">
        <v>0</v>
      </c>
      <c r="H335" s="632">
        <v>377031</v>
      </c>
      <c r="I335" s="3504">
        <v>694379</v>
      </c>
      <c r="J335" s="638">
        <v>0</v>
      </c>
      <c r="K335" s="151">
        <v>0</v>
      </c>
      <c r="L335" s="3062">
        <f t="shared" si="37"/>
        <v>1071410</v>
      </c>
      <c r="M335" s="632">
        <v>474505</v>
      </c>
      <c r="N335" s="151">
        <v>882410</v>
      </c>
      <c r="O335" s="3504">
        <v>0</v>
      </c>
      <c r="P335" s="151">
        <v>0</v>
      </c>
      <c r="Q335" s="2396">
        <f t="shared" si="38"/>
        <v>1356915</v>
      </c>
      <c r="R335" s="456">
        <v>24264</v>
      </c>
      <c r="S335" s="2942">
        <v>229245</v>
      </c>
      <c r="T335" s="456">
        <v>0</v>
      </c>
      <c r="U335" s="2942">
        <v>18460</v>
      </c>
      <c r="V335" s="2369">
        <f t="shared" si="39"/>
        <v>271969</v>
      </c>
      <c r="W335" s="2942">
        <f>253509+18460</f>
        <v>271969</v>
      </c>
      <c r="X335" s="456">
        <v>0</v>
      </c>
      <c r="Y335" s="2942">
        <v>35300</v>
      </c>
      <c r="Z335" s="456">
        <v>0</v>
      </c>
      <c r="AA335" s="2942">
        <v>0</v>
      </c>
      <c r="AB335" s="2369">
        <f t="shared" si="40"/>
        <v>35300</v>
      </c>
      <c r="AC335" s="2944">
        <v>35300</v>
      </c>
    </row>
    <row r="336" spans="1:29">
      <c r="A336" s="53">
        <f t="shared" si="34"/>
        <v>2020.03</v>
      </c>
      <c r="B336" s="2395">
        <f t="shared" si="41"/>
        <v>3111123</v>
      </c>
      <c r="C336" s="2396">
        <f t="shared" si="42"/>
        <v>768764</v>
      </c>
      <c r="D336" s="386">
        <v>3431890</v>
      </c>
      <c r="E336" s="3504">
        <v>0</v>
      </c>
      <c r="F336" s="151">
        <v>1202262</v>
      </c>
      <c r="G336" s="3065">
        <v>0</v>
      </c>
      <c r="H336" s="632">
        <v>1044659</v>
      </c>
      <c r="I336" s="3504">
        <v>2066464</v>
      </c>
      <c r="J336" s="638">
        <v>0</v>
      </c>
      <c r="K336" s="151">
        <v>0</v>
      </c>
      <c r="L336" s="3062">
        <f t="shared" si="37"/>
        <v>3111123</v>
      </c>
      <c r="M336" s="632">
        <v>553166</v>
      </c>
      <c r="N336" s="151">
        <v>215598</v>
      </c>
      <c r="O336" s="3504">
        <v>0</v>
      </c>
      <c r="P336" s="151">
        <v>0</v>
      </c>
      <c r="Q336" s="2396">
        <f t="shared" si="38"/>
        <v>768764</v>
      </c>
      <c r="R336" s="456">
        <v>0</v>
      </c>
      <c r="S336" s="2942">
        <v>167947</v>
      </c>
      <c r="T336" s="456">
        <v>0</v>
      </c>
      <c r="U336" s="2942">
        <v>14941</v>
      </c>
      <c r="V336" s="2369">
        <f t="shared" si="39"/>
        <v>182888</v>
      </c>
      <c r="W336" s="2942">
        <f>167947+14941</f>
        <v>182888</v>
      </c>
      <c r="X336" s="456">
        <v>0</v>
      </c>
      <c r="Y336" s="2942">
        <v>35900</v>
      </c>
      <c r="Z336" s="456">
        <v>0</v>
      </c>
      <c r="AA336" s="2942">
        <v>0</v>
      </c>
      <c r="AB336" s="2369">
        <f t="shared" si="40"/>
        <v>35900</v>
      </c>
      <c r="AC336" s="2944">
        <v>45800</v>
      </c>
    </row>
    <row r="337" spans="1:29">
      <c r="A337" s="53">
        <f>A325+1</f>
        <v>2020.04</v>
      </c>
      <c r="B337" s="2395">
        <f t="shared" si="41"/>
        <v>2678374</v>
      </c>
      <c r="C337" s="2396">
        <f t="shared" si="42"/>
        <v>383701</v>
      </c>
      <c r="D337" s="386">
        <v>3498202</v>
      </c>
      <c r="E337" s="3504">
        <v>0</v>
      </c>
      <c r="F337" s="151">
        <v>667902</v>
      </c>
      <c r="G337" s="3065">
        <v>0</v>
      </c>
      <c r="H337" s="632">
        <v>979853</v>
      </c>
      <c r="I337" s="3504">
        <f>1677038+21483</f>
        <v>1698521</v>
      </c>
      <c r="J337" s="638">
        <v>0</v>
      </c>
      <c r="K337" s="151">
        <v>0</v>
      </c>
      <c r="L337" s="3062">
        <f t="shared" si="37"/>
        <v>2678374</v>
      </c>
      <c r="M337" s="632">
        <v>255498</v>
      </c>
      <c r="N337" s="151">
        <v>128203</v>
      </c>
      <c r="O337" s="3504">
        <v>0</v>
      </c>
      <c r="P337" s="151">
        <v>0</v>
      </c>
      <c r="Q337" s="2396">
        <f t="shared" si="38"/>
        <v>383701</v>
      </c>
      <c r="R337" s="456">
        <v>44417</v>
      </c>
      <c r="S337" s="2942">
        <v>446194</v>
      </c>
      <c r="T337" s="456">
        <v>0</v>
      </c>
      <c r="U337" s="2942">
        <v>15000</v>
      </c>
      <c r="V337" s="2369">
        <f t="shared" si="39"/>
        <v>505611</v>
      </c>
      <c r="W337" s="2942">
        <f>495667+15000</f>
        <v>510667</v>
      </c>
      <c r="X337" s="456">
        <v>0</v>
      </c>
      <c r="Y337" s="2942">
        <v>24480</v>
      </c>
      <c r="Z337" s="456">
        <v>0</v>
      </c>
      <c r="AA337" s="2942">
        <v>0</v>
      </c>
      <c r="AB337" s="2369">
        <f t="shared" si="40"/>
        <v>24480</v>
      </c>
      <c r="AC337" s="2944">
        <v>49508</v>
      </c>
    </row>
    <row r="338" spans="1:29">
      <c r="A338" s="53">
        <f t="shared" si="34"/>
        <v>2020.05</v>
      </c>
      <c r="B338" s="2395">
        <f t="shared" si="41"/>
        <v>2926703</v>
      </c>
      <c r="C338" s="2396">
        <f t="shared" si="42"/>
        <v>182101</v>
      </c>
      <c r="D338" s="386">
        <v>3786962</v>
      </c>
      <c r="E338" s="3504">
        <v>0</v>
      </c>
      <c r="F338" s="151">
        <v>395865</v>
      </c>
      <c r="G338" s="3065">
        <v>0</v>
      </c>
      <c r="H338" s="632">
        <v>1151576</v>
      </c>
      <c r="I338" s="3504">
        <f>1756117+19010</f>
        <v>1775127</v>
      </c>
      <c r="J338" s="638">
        <v>0</v>
      </c>
      <c r="K338" s="151">
        <v>0</v>
      </c>
      <c r="L338" s="3062">
        <f t="shared" si="37"/>
        <v>2926703</v>
      </c>
      <c r="M338" s="632">
        <v>132101</v>
      </c>
      <c r="N338" s="151">
        <v>50000</v>
      </c>
      <c r="O338" s="3504">
        <v>0</v>
      </c>
      <c r="P338" s="151">
        <v>0</v>
      </c>
      <c r="Q338" s="2396">
        <f t="shared" si="38"/>
        <v>182101</v>
      </c>
      <c r="R338" s="456">
        <v>80650</v>
      </c>
      <c r="S338" s="2942">
        <v>457821</v>
      </c>
      <c r="T338" s="456">
        <v>0</v>
      </c>
      <c r="U338" s="2942">
        <v>44218</v>
      </c>
      <c r="V338" s="2369">
        <f t="shared" si="39"/>
        <v>582689</v>
      </c>
      <c r="W338" s="2942">
        <f>544216+44218</f>
        <v>588434</v>
      </c>
      <c r="X338" s="456">
        <v>0</v>
      </c>
      <c r="Y338" s="2942">
        <v>31300</v>
      </c>
      <c r="Z338" s="456">
        <v>0</v>
      </c>
      <c r="AA338" s="2942">
        <v>0</v>
      </c>
      <c r="AB338" s="2369">
        <f t="shared" si="40"/>
        <v>31300</v>
      </c>
      <c r="AC338" s="2944">
        <v>92302</v>
      </c>
    </row>
    <row r="339" spans="1:29">
      <c r="A339" s="53">
        <f t="shared" si="34"/>
        <v>2020.06</v>
      </c>
      <c r="B339" s="2395">
        <f t="shared" si="41"/>
        <v>3535583</v>
      </c>
      <c r="C339" s="2396">
        <f t="shared" si="42"/>
        <v>167148</v>
      </c>
      <c r="D339" s="386">
        <v>4545068</v>
      </c>
      <c r="E339" s="3504">
        <v>0</v>
      </c>
      <c r="F339" s="151">
        <v>293341</v>
      </c>
      <c r="G339" s="3065">
        <v>0</v>
      </c>
      <c r="H339" s="632">
        <v>860111</v>
      </c>
      <c r="I339" s="3504">
        <v>2675472</v>
      </c>
      <c r="J339" s="638">
        <v>0</v>
      </c>
      <c r="K339" s="151">
        <v>0</v>
      </c>
      <c r="L339" s="3062">
        <f t="shared" si="37"/>
        <v>3535583</v>
      </c>
      <c r="M339" s="632">
        <v>135298</v>
      </c>
      <c r="N339" s="151">
        <v>31850</v>
      </c>
      <c r="O339" s="3504">
        <v>0</v>
      </c>
      <c r="P339" s="151">
        <v>0</v>
      </c>
      <c r="Q339" s="2396">
        <f t="shared" si="38"/>
        <v>167148</v>
      </c>
      <c r="R339" s="456">
        <v>43500</v>
      </c>
      <c r="S339" s="2942">
        <v>513934</v>
      </c>
      <c r="T339" s="456">
        <v>0</v>
      </c>
      <c r="U339" s="2942">
        <v>82127</v>
      </c>
      <c r="V339" s="2369">
        <f t="shared" si="39"/>
        <v>639561</v>
      </c>
      <c r="W339" s="2942">
        <f>565434+82127</f>
        <v>647561</v>
      </c>
      <c r="X339" s="456">
        <v>0</v>
      </c>
      <c r="Y339" s="2942">
        <v>13000</v>
      </c>
      <c r="Z339" s="456">
        <v>0</v>
      </c>
      <c r="AA339" s="2942">
        <v>0</v>
      </c>
      <c r="AB339" s="2369">
        <f t="shared" si="40"/>
        <v>13000</v>
      </c>
      <c r="AC339" s="2944">
        <v>27000</v>
      </c>
    </row>
    <row r="340" spans="1:29">
      <c r="A340" s="53">
        <f t="shared" si="34"/>
        <v>2020.07</v>
      </c>
      <c r="B340" s="2395">
        <f t="shared" si="41"/>
        <v>3393426</v>
      </c>
      <c r="C340" s="2396">
        <f t="shared" si="42"/>
        <v>291327</v>
      </c>
      <c r="D340" s="386">
        <v>4265471</v>
      </c>
      <c r="E340" s="3504">
        <v>0</v>
      </c>
      <c r="F340" s="151">
        <v>347997</v>
      </c>
      <c r="G340" s="3065">
        <v>0</v>
      </c>
      <c r="H340" s="632">
        <v>947466</v>
      </c>
      <c r="I340" s="3504">
        <v>2445960</v>
      </c>
      <c r="J340" s="638">
        <v>0</v>
      </c>
      <c r="K340" s="151">
        <v>0</v>
      </c>
      <c r="L340" s="3062">
        <f t="shared" si="37"/>
        <v>3393426</v>
      </c>
      <c r="M340" s="632">
        <v>153651</v>
      </c>
      <c r="N340" s="151">
        <v>137676</v>
      </c>
      <c r="O340" s="3504">
        <v>0</v>
      </c>
      <c r="P340" s="151">
        <v>0</v>
      </c>
      <c r="Q340" s="2396">
        <f t="shared" si="38"/>
        <v>291327</v>
      </c>
      <c r="R340" s="456">
        <v>87864</v>
      </c>
      <c r="S340" s="2942">
        <v>405946</v>
      </c>
      <c r="T340" s="456">
        <v>14030</v>
      </c>
      <c r="U340" s="2942">
        <v>59195</v>
      </c>
      <c r="V340" s="2369">
        <f t="shared" si="39"/>
        <v>567035</v>
      </c>
      <c r="W340" s="2942">
        <f>506209+73225</f>
        <v>579434</v>
      </c>
      <c r="X340" s="456">
        <v>0</v>
      </c>
      <c r="Y340" s="2942">
        <v>34650</v>
      </c>
      <c r="Z340" s="456">
        <v>0</v>
      </c>
      <c r="AA340" s="2942">
        <v>0</v>
      </c>
      <c r="AB340" s="2369">
        <f t="shared" si="40"/>
        <v>34650</v>
      </c>
      <c r="AC340" s="2944">
        <v>88150</v>
      </c>
    </row>
    <row r="341" spans="1:29">
      <c r="A341" s="53">
        <f t="shared" si="34"/>
        <v>2020.08</v>
      </c>
      <c r="B341" s="2395">
        <f t="shared" si="41"/>
        <v>3290728</v>
      </c>
      <c r="C341" s="2396">
        <f t="shared" si="42"/>
        <v>209347</v>
      </c>
      <c r="D341" s="386">
        <v>4492636</v>
      </c>
      <c r="E341" s="3504">
        <v>0</v>
      </c>
      <c r="F341" s="151">
        <v>221347</v>
      </c>
      <c r="G341" s="3065">
        <v>0</v>
      </c>
      <c r="H341" s="632">
        <v>1154807</v>
      </c>
      <c r="I341" s="3504">
        <v>2135921</v>
      </c>
      <c r="J341" s="638">
        <v>0</v>
      </c>
      <c r="K341" s="151">
        <v>0</v>
      </c>
      <c r="L341" s="3062">
        <f t="shared" si="37"/>
        <v>3290728</v>
      </c>
      <c r="M341" s="632">
        <v>174762</v>
      </c>
      <c r="N341" s="151">
        <v>34585</v>
      </c>
      <c r="O341" s="3504">
        <v>0</v>
      </c>
      <c r="P341" s="151">
        <v>0</v>
      </c>
      <c r="Q341" s="2396">
        <f t="shared" si="38"/>
        <v>209347</v>
      </c>
      <c r="R341" s="456">
        <v>62174</v>
      </c>
      <c r="S341" s="2942">
        <v>310477</v>
      </c>
      <c r="T341" s="456">
        <v>4394</v>
      </c>
      <c r="U341" s="2942">
        <v>31210</v>
      </c>
      <c r="V341" s="2369">
        <f t="shared" si="39"/>
        <v>408255</v>
      </c>
      <c r="W341" s="2942">
        <f>378378+35406</f>
        <v>413784</v>
      </c>
      <c r="X341" s="456">
        <v>0</v>
      </c>
      <c r="Y341" s="2942">
        <v>9980</v>
      </c>
      <c r="Z341" s="456">
        <v>0</v>
      </c>
      <c r="AA341" s="2942">
        <v>0</v>
      </c>
      <c r="AB341" s="2369">
        <f t="shared" si="40"/>
        <v>9980</v>
      </c>
      <c r="AC341" s="2944">
        <v>30000</v>
      </c>
    </row>
    <row r="342" spans="1:29">
      <c r="A342" s="53">
        <f t="shared" si="34"/>
        <v>2020.09</v>
      </c>
      <c r="B342" s="2395">
        <f t="shared" si="41"/>
        <v>2183683</v>
      </c>
      <c r="C342" s="2396">
        <f t="shared" si="42"/>
        <v>149294</v>
      </c>
      <c r="D342" s="386">
        <v>2800685</v>
      </c>
      <c r="E342" s="3504">
        <v>0</v>
      </c>
      <c r="F342" s="151">
        <v>247794</v>
      </c>
      <c r="G342" s="3065">
        <v>0</v>
      </c>
      <c r="H342" s="632">
        <v>648852</v>
      </c>
      <c r="I342" s="3504">
        <f>1524331+10500</f>
        <v>1534831</v>
      </c>
      <c r="J342" s="638">
        <v>0</v>
      </c>
      <c r="K342" s="151">
        <v>0</v>
      </c>
      <c r="L342" s="3062">
        <f t="shared" si="37"/>
        <v>2183683</v>
      </c>
      <c r="M342" s="632">
        <v>120694</v>
      </c>
      <c r="N342" s="151">
        <v>28600</v>
      </c>
      <c r="O342" s="3504">
        <v>0</v>
      </c>
      <c r="P342" s="151">
        <v>0</v>
      </c>
      <c r="Q342" s="2396">
        <f t="shared" si="38"/>
        <v>149294</v>
      </c>
      <c r="R342" s="456">
        <v>49930</v>
      </c>
      <c r="S342" s="2942">
        <v>319532</v>
      </c>
      <c r="T342" s="456">
        <v>0</v>
      </c>
      <c r="U342" s="2942">
        <v>85539</v>
      </c>
      <c r="V342" s="2369">
        <f t="shared" si="39"/>
        <v>455001</v>
      </c>
      <c r="W342" s="2942">
        <f>378660+85539</f>
        <v>464199</v>
      </c>
      <c r="X342" s="456">
        <v>0</v>
      </c>
      <c r="Y342" s="2942">
        <v>8800</v>
      </c>
      <c r="Z342" s="456">
        <v>0</v>
      </c>
      <c r="AA342" s="2942">
        <v>0</v>
      </c>
      <c r="AB342" s="2369">
        <f t="shared" si="40"/>
        <v>8800</v>
      </c>
      <c r="AC342" s="2944">
        <v>18800</v>
      </c>
    </row>
    <row r="343" spans="1:29">
      <c r="A343" s="53">
        <f t="shared" si="34"/>
        <v>2020.1</v>
      </c>
      <c r="B343" s="2395">
        <f t="shared" si="41"/>
        <v>1878398</v>
      </c>
      <c r="C343" s="2396">
        <f t="shared" si="42"/>
        <v>32300</v>
      </c>
      <c r="D343" s="386">
        <v>2486889</v>
      </c>
      <c r="E343" s="3504">
        <v>26400</v>
      </c>
      <c r="F343" s="151">
        <v>63500</v>
      </c>
      <c r="G343" s="3065">
        <v>0</v>
      </c>
      <c r="H343" s="632">
        <v>617581</v>
      </c>
      <c r="I343" s="3504">
        <v>1234417</v>
      </c>
      <c r="J343" s="638">
        <v>0</v>
      </c>
      <c r="K343" s="151">
        <v>26400</v>
      </c>
      <c r="L343" s="3062">
        <f t="shared" si="37"/>
        <v>1878398</v>
      </c>
      <c r="M343" s="632">
        <v>32300</v>
      </c>
      <c r="N343" s="151">
        <v>0</v>
      </c>
      <c r="O343" s="3504">
        <v>0</v>
      </c>
      <c r="P343" s="151">
        <v>0</v>
      </c>
      <c r="Q343" s="2396">
        <f t="shared" si="38"/>
        <v>32300</v>
      </c>
      <c r="R343" s="456">
        <v>63045</v>
      </c>
      <c r="S343" s="2942">
        <v>473817</v>
      </c>
      <c r="T343" s="456">
        <v>10120</v>
      </c>
      <c r="U343" s="2942">
        <v>41000</v>
      </c>
      <c r="V343" s="2369">
        <f t="shared" si="39"/>
        <v>587982</v>
      </c>
      <c r="W343" s="2942">
        <f>556005+51120</f>
        <v>607125</v>
      </c>
      <c r="X343" s="456">
        <v>0</v>
      </c>
      <c r="Y343" s="2942">
        <v>9457</v>
      </c>
      <c r="Z343" s="456">
        <v>0</v>
      </c>
      <c r="AA343" s="2942">
        <v>0</v>
      </c>
      <c r="AB343" s="2369">
        <f t="shared" si="40"/>
        <v>9457</v>
      </c>
      <c r="AC343" s="2944">
        <v>11457</v>
      </c>
    </row>
    <row r="344" spans="1:29">
      <c r="A344" s="53">
        <f t="shared" si="34"/>
        <v>2020.11</v>
      </c>
      <c r="B344" s="2395">
        <f t="shared" si="41"/>
        <v>895767</v>
      </c>
      <c r="C344" s="2396">
        <f t="shared" si="42"/>
        <v>283442</v>
      </c>
      <c r="D344" s="386">
        <v>1395515</v>
      </c>
      <c r="E344" s="3504">
        <v>106361</v>
      </c>
      <c r="F344" s="151">
        <v>283442</v>
      </c>
      <c r="G344" s="3065">
        <v>0</v>
      </c>
      <c r="H344" s="632">
        <v>330701</v>
      </c>
      <c r="I344" s="3504">
        <f>481452+16500</f>
        <v>497952</v>
      </c>
      <c r="J344" s="638">
        <v>0</v>
      </c>
      <c r="K344" s="151">
        <f>67114</f>
        <v>67114</v>
      </c>
      <c r="L344" s="3062">
        <f t="shared" si="37"/>
        <v>895767</v>
      </c>
      <c r="M344" s="632">
        <v>52797</v>
      </c>
      <c r="N344" s="151">
        <v>230645</v>
      </c>
      <c r="O344" s="3504">
        <v>0</v>
      </c>
      <c r="P344" s="151">
        <v>0</v>
      </c>
      <c r="Q344" s="2396">
        <f>SUM(M344:P344)</f>
        <v>283442</v>
      </c>
      <c r="R344" s="456">
        <v>91219</v>
      </c>
      <c r="S344" s="2942">
        <v>415782</v>
      </c>
      <c r="T344" s="456">
        <v>0</v>
      </c>
      <c r="U344" s="2942">
        <v>46181</v>
      </c>
      <c r="V344" s="2369">
        <f t="shared" si="39"/>
        <v>553182</v>
      </c>
      <c r="W344" s="2942">
        <f>527333+46181</f>
        <v>573514</v>
      </c>
      <c r="X344" s="456">
        <v>0</v>
      </c>
      <c r="Y344" s="2942">
        <v>1636</v>
      </c>
      <c r="Z344" s="456">
        <v>0</v>
      </c>
      <c r="AA344" s="2942">
        <v>0</v>
      </c>
      <c r="AB344" s="2369">
        <f t="shared" si="40"/>
        <v>1636</v>
      </c>
      <c r="AC344" s="2944">
        <v>7636</v>
      </c>
    </row>
    <row r="345" spans="1:29">
      <c r="A345" s="53">
        <f t="shared" si="34"/>
        <v>2020.12</v>
      </c>
      <c r="B345" s="2395">
        <f t="shared" si="41"/>
        <v>574286</v>
      </c>
      <c r="C345" s="2396">
        <f t="shared" si="42"/>
        <v>700780</v>
      </c>
      <c r="D345" s="386">
        <v>746782</v>
      </c>
      <c r="E345" s="3504">
        <v>29461</v>
      </c>
      <c r="F345" s="151">
        <v>868190</v>
      </c>
      <c r="G345" s="3065">
        <v>0</v>
      </c>
      <c r="H345" s="632">
        <v>363657</v>
      </c>
      <c r="I345" s="3504">
        <v>181168</v>
      </c>
      <c r="J345" s="638">
        <v>0</v>
      </c>
      <c r="K345" s="151">
        <v>29461</v>
      </c>
      <c r="L345" s="3062">
        <f t="shared" si="37"/>
        <v>574286</v>
      </c>
      <c r="M345" s="632">
        <v>351177</v>
      </c>
      <c r="N345" s="151">
        <v>349603</v>
      </c>
      <c r="O345" s="3504">
        <v>0</v>
      </c>
      <c r="P345" s="151">
        <v>0</v>
      </c>
      <c r="Q345" s="2396">
        <f t="shared" si="38"/>
        <v>700780</v>
      </c>
      <c r="R345" s="456">
        <v>0</v>
      </c>
      <c r="S345" s="2942">
        <v>74814</v>
      </c>
      <c r="T345" s="456">
        <v>0</v>
      </c>
      <c r="U345" s="2942">
        <v>2500</v>
      </c>
      <c r="V345" s="2369">
        <f t="shared" si="39"/>
        <v>77314</v>
      </c>
      <c r="W345" s="2942">
        <v>99814</v>
      </c>
      <c r="X345" s="456">
        <v>0</v>
      </c>
      <c r="Y345" s="2942">
        <v>0</v>
      </c>
      <c r="Z345" s="456">
        <v>0</v>
      </c>
      <c r="AA345" s="2942">
        <v>0</v>
      </c>
      <c r="AB345" s="2369">
        <f t="shared" si="40"/>
        <v>0</v>
      </c>
      <c r="AC345" s="2944">
        <v>0</v>
      </c>
    </row>
    <row r="346" spans="1:29">
      <c r="A346" s="53">
        <f t="shared" si="34"/>
        <v>2021.01</v>
      </c>
      <c r="B346" s="2395">
        <f t="shared" ref="B346:B405" si="43">L346</f>
        <v>1506889</v>
      </c>
      <c r="C346" s="2396">
        <f t="shared" ref="C346:C405" si="44">Q346</f>
        <v>931914</v>
      </c>
      <c r="D346" s="386">
        <v>1609795</v>
      </c>
      <c r="E346" s="3504">
        <v>162305</v>
      </c>
      <c r="F346" s="151">
        <v>1425172</v>
      </c>
      <c r="G346" s="3065">
        <v>0</v>
      </c>
      <c r="H346" s="632">
        <v>531772</v>
      </c>
      <c r="I346" s="3504">
        <v>812812</v>
      </c>
      <c r="J346" s="638">
        <v>0</v>
      </c>
      <c r="K346" s="151">
        <v>162305</v>
      </c>
      <c r="L346" s="3062">
        <f t="shared" ref="L346:L405" si="45">SUM(H346:K346)</f>
        <v>1506889</v>
      </c>
      <c r="M346" s="632">
        <v>367895</v>
      </c>
      <c r="N346" s="151">
        <v>564019</v>
      </c>
      <c r="O346" s="3504">
        <v>0</v>
      </c>
      <c r="P346" s="151">
        <v>0</v>
      </c>
      <c r="Q346" s="2396">
        <f t="shared" ref="Q346:Q405" si="46">SUM(M346:P346)</f>
        <v>931914</v>
      </c>
      <c r="R346" s="456">
        <v>52660</v>
      </c>
      <c r="S346" s="2942">
        <v>576148</v>
      </c>
      <c r="T346" s="456">
        <v>11066</v>
      </c>
      <c r="U346" s="2942">
        <v>28499</v>
      </c>
      <c r="V346" s="2369">
        <f t="shared" si="39"/>
        <v>668373</v>
      </c>
      <c r="W346" s="2942">
        <f>664272+39565</f>
        <v>703837</v>
      </c>
      <c r="X346" s="456">
        <v>0</v>
      </c>
      <c r="Y346" s="2942">
        <v>5000</v>
      </c>
      <c r="Z346" s="456">
        <v>0</v>
      </c>
      <c r="AA346" s="2942">
        <v>3492</v>
      </c>
      <c r="AB346" s="2369">
        <f t="shared" si="40"/>
        <v>8492</v>
      </c>
      <c r="AC346" s="2944">
        <f>7500+3492</f>
        <v>10992</v>
      </c>
    </row>
    <row r="347" spans="1:29">
      <c r="A347" s="53">
        <f t="shared" si="34"/>
        <v>2021.02</v>
      </c>
      <c r="B347" s="2395">
        <f t="shared" si="43"/>
        <v>821249</v>
      </c>
      <c r="C347" s="2396">
        <f t="shared" si="44"/>
        <v>843071</v>
      </c>
      <c r="D347" s="386">
        <v>1061976</v>
      </c>
      <c r="E347" s="3504">
        <v>102080</v>
      </c>
      <c r="F347" s="151">
        <v>1566139</v>
      </c>
      <c r="G347" s="3065">
        <v>0</v>
      </c>
      <c r="H347" s="632">
        <v>251761</v>
      </c>
      <c r="I347" s="3504">
        <v>467408</v>
      </c>
      <c r="J347" s="638">
        <v>0</v>
      </c>
      <c r="K347" s="151">
        <v>102080</v>
      </c>
      <c r="L347" s="3062">
        <f t="shared" si="45"/>
        <v>821249</v>
      </c>
      <c r="M347" s="632">
        <v>296338</v>
      </c>
      <c r="N347" s="151">
        <v>546733</v>
      </c>
      <c r="O347" s="3504">
        <v>0</v>
      </c>
      <c r="P347" s="151">
        <v>0</v>
      </c>
      <c r="Q347" s="2396">
        <f t="shared" si="46"/>
        <v>843071</v>
      </c>
      <c r="R347" s="456">
        <v>0</v>
      </c>
      <c r="S347" s="2942">
        <v>403860</v>
      </c>
      <c r="T347" s="456">
        <v>7000</v>
      </c>
      <c r="U347" s="2942">
        <v>71853</v>
      </c>
      <c r="V347" s="2369">
        <f t="shared" si="39"/>
        <v>482713</v>
      </c>
      <c r="W347" s="2942">
        <f>418906+78853</f>
        <v>497759</v>
      </c>
      <c r="X347" s="456">
        <v>0</v>
      </c>
      <c r="Y347" s="2942">
        <v>11000</v>
      </c>
      <c r="Z347" s="456">
        <v>0</v>
      </c>
      <c r="AA347" s="2942">
        <v>0</v>
      </c>
      <c r="AB347" s="2369">
        <f t="shared" si="40"/>
        <v>11000</v>
      </c>
      <c r="AC347" s="2944">
        <v>11000</v>
      </c>
    </row>
    <row r="348" spans="1:29">
      <c r="A348" s="53">
        <f t="shared" si="34"/>
        <v>2021.03</v>
      </c>
      <c r="B348" s="2395">
        <f t="shared" si="43"/>
        <v>2355207</v>
      </c>
      <c r="C348" s="2396">
        <f t="shared" si="44"/>
        <v>459118</v>
      </c>
      <c r="D348" s="386">
        <v>2802621</v>
      </c>
      <c r="E348" s="3504">
        <v>0</v>
      </c>
      <c r="F348" s="151">
        <v>1114086</v>
      </c>
      <c r="G348" s="3065">
        <v>0</v>
      </c>
      <c r="H348" s="632">
        <v>552726</v>
      </c>
      <c r="I348" s="3504">
        <v>1802481</v>
      </c>
      <c r="J348" s="638">
        <v>0</v>
      </c>
      <c r="K348" s="151">
        <v>0</v>
      </c>
      <c r="L348" s="3062">
        <f t="shared" si="45"/>
        <v>2355207</v>
      </c>
      <c r="M348" s="632">
        <v>249364</v>
      </c>
      <c r="N348" s="151">
        <v>209754</v>
      </c>
      <c r="O348" s="3504">
        <v>0</v>
      </c>
      <c r="P348" s="151">
        <v>0</v>
      </c>
      <c r="Q348" s="2396">
        <f t="shared" si="46"/>
        <v>459118</v>
      </c>
      <c r="R348" s="456">
        <v>67953</v>
      </c>
      <c r="S348" s="2942">
        <v>420845</v>
      </c>
      <c r="T348" s="456">
        <v>0</v>
      </c>
      <c r="U348" s="2942">
        <v>6107</v>
      </c>
      <c r="V348" s="2369">
        <f t="shared" si="39"/>
        <v>494905</v>
      </c>
      <c r="W348" s="2942">
        <f>488798+6107</f>
        <v>494905</v>
      </c>
      <c r="X348" s="456">
        <v>5000</v>
      </c>
      <c r="Y348" s="2942">
        <v>23693</v>
      </c>
      <c r="Z348" s="456">
        <v>0</v>
      </c>
      <c r="AA348" s="2942">
        <v>0</v>
      </c>
      <c r="AB348" s="2369">
        <f t="shared" si="40"/>
        <v>28693</v>
      </c>
      <c r="AC348" s="2944">
        <v>28693</v>
      </c>
    </row>
    <row r="349" spans="1:29">
      <c r="A349" s="53">
        <f t="shared" si="34"/>
        <v>2021.04</v>
      </c>
      <c r="B349" s="2395">
        <f t="shared" si="43"/>
        <v>3042671</v>
      </c>
      <c r="C349" s="2396">
        <f t="shared" si="44"/>
        <v>438015</v>
      </c>
      <c r="D349" s="386">
        <v>3972973</v>
      </c>
      <c r="E349" s="3504">
        <v>0</v>
      </c>
      <c r="F349" s="151">
        <v>802248</v>
      </c>
      <c r="G349" s="3065">
        <v>0</v>
      </c>
      <c r="H349" s="632">
        <v>983971</v>
      </c>
      <c r="I349" s="3504">
        <f>2033850+24850</f>
        <v>2058700</v>
      </c>
      <c r="J349" s="638">
        <v>0</v>
      </c>
      <c r="K349" s="151">
        <v>0</v>
      </c>
      <c r="L349" s="3062">
        <f t="shared" si="45"/>
        <v>3042671</v>
      </c>
      <c r="M349" s="632">
        <v>147845</v>
      </c>
      <c r="N349" s="151">
        <v>290170</v>
      </c>
      <c r="O349" s="3504">
        <v>0</v>
      </c>
      <c r="P349" s="151">
        <v>0</v>
      </c>
      <c r="Q349" s="2396">
        <f t="shared" si="46"/>
        <v>438015</v>
      </c>
      <c r="R349" s="456">
        <v>81892</v>
      </c>
      <c r="S349" s="2942">
        <v>524366</v>
      </c>
      <c r="T349" s="456">
        <v>3200</v>
      </c>
      <c r="U349" s="2942">
        <f>53480+8650</f>
        <v>62130</v>
      </c>
      <c r="V349" s="2369">
        <f t="shared" si="39"/>
        <v>671588</v>
      </c>
      <c r="W349" s="2942">
        <f>606258+56680+8650</f>
        <v>671588</v>
      </c>
      <c r="X349" s="456">
        <v>0</v>
      </c>
      <c r="Y349" s="2942">
        <v>38342</v>
      </c>
      <c r="Z349" s="456">
        <v>0</v>
      </c>
      <c r="AA349" s="2942">
        <v>0</v>
      </c>
      <c r="AB349" s="2369">
        <f t="shared" si="40"/>
        <v>38342</v>
      </c>
      <c r="AC349" s="2944">
        <v>74342</v>
      </c>
    </row>
    <row r="350" spans="1:29">
      <c r="A350" s="53">
        <f t="shared" si="34"/>
        <v>2021.05</v>
      </c>
      <c r="B350" s="2395">
        <f t="shared" si="43"/>
        <v>2322305</v>
      </c>
      <c r="C350" s="2396">
        <f t="shared" si="44"/>
        <v>379394</v>
      </c>
      <c r="D350" s="386">
        <v>3260348</v>
      </c>
      <c r="E350" s="3504">
        <v>0</v>
      </c>
      <c r="F350" s="151">
        <v>692740</v>
      </c>
      <c r="G350" s="3065">
        <v>0</v>
      </c>
      <c r="H350" s="632">
        <v>814682</v>
      </c>
      <c r="I350" s="3504">
        <f>1483973+23650</f>
        <v>1507623</v>
      </c>
      <c r="J350" s="638">
        <v>0</v>
      </c>
      <c r="K350" s="151">
        <v>0</v>
      </c>
      <c r="L350" s="3062">
        <f t="shared" si="45"/>
        <v>2322305</v>
      </c>
      <c r="M350" s="632">
        <v>227491</v>
      </c>
      <c r="N350" s="151">
        <v>151903</v>
      </c>
      <c r="O350" s="3504">
        <v>0</v>
      </c>
      <c r="P350" s="151">
        <v>0</v>
      </c>
      <c r="Q350" s="2396">
        <f t="shared" si="46"/>
        <v>379394</v>
      </c>
      <c r="R350" s="456">
        <v>64287</v>
      </c>
      <c r="S350" s="2942">
        <v>527943</v>
      </c>
      <c r="T350" s="456">
        <v>6122</v>
      </c>
      <c r="U350" s="2942">
        <f>43470+14364</f>
        <v>57834</v>
      </c>
      <c r="V350" s="2369">
        <f t="shared" si="39"/>
        <v>656186</v>
      </c>
      <c r="W350" s="2942">
        <f>592231+49592+14364</f>
        <v>656187</v>
      </c>
      <c r="X350" s="456">
        <v>22000</v>
      </c>
      <c r="Y350" s="2942">
        <v>28507</v>
      </c>
      <c r="Z350" s="456">
        <v>0</v>
      </c>
      <c r="AA350" s="2942">
        <v>0</v>
      </c>
      <c r="AB350" s="2369">
        <f t="shared" si="40"/>
        <v>50507</v>
      </c>
      <c r="AC350" s="2944">
        <v>80507</v>
      </c>
    </row>
    <row r="351" spans="1:29">
      <c r="A351" s="53">
        <f t="shared" ref="A351:A414" si="47">A339+1</f>
        <v>2021.06</v>
      </c>
      <c r="B351" s="2395">
        <f t="shared" si="43"/>
        <v>2918419</v>
      </c>
      <c r="C351" s="2396">
        <f t="shared" si="44"/>
        <v>115289</v>
      </c>
      <c r="D351" s="386">
        <v>3993871</v>
      </c>
      <c r="E351" s="3504">
        <v>0</v>
      </c>
      <c r="F351" s="151">
        <v>569219</v>
      </c>
      <c r="G351" s="3065">
        <v>0</v>
      </c>
      <c r="H351" s="632">
        <v>882902</v>
      </c>
      <c r="I351" s="3504">
        <f>1997240+38277</f>
        <v>2035517</v>
      </c>
      <c r="J351" s="638">
        <v>0</v>
      </c>
      <c r="K351" s="151">
        <v>0</v>
      </c>
      <c r="L351" s="3062">
        <f t="shared" si="45"/>
        <v>2918419</v>
      </c>
      <c r="M351" s="632">
        <v>47881</v>
      </c>
      <c r="N351" s="151">
        <v>67408</v>
      </c>
      <c r="O351" s="3504">
        <v>0</v>
      </c>
      <c r="P351" s="151">
        <v>0</v>
      </c>
      <c r="Q351" s="2396">
        <f t="shared" si="46"/>
        <v>115289</v>
      </c>
      <c r="R351" s="456">
        <v>46495</v>
      </c>
      <c r="S351" s="2942">
        <v>543339</v>
      </c>
      <c r="T351" s="456">
        <v>0</v>
      </c>
      <c r="U351" s="2942">
        <f>95198+11195</f>
        <v>106393</v>
      </c>
      <c r="V351" s="2369">
        <f t="shared" si="39"/>
        <v>696227</v>
      </c>
      <c r="W351" s="2942">
        <f>596430+95198+11195</f>
        <v>702823</v>
      </c>
      <c r="X351" s="456">
        <v>0</v>
      </c>
      <c r="Y351" s="2942">
        <v>31800</v>
      </c>
      <c r="Z351" s="456">
        <v>0</v>
      </c>
      <c r="AA351" s="2942">
        <v>0</v>
      </c>
      <c r="AB351" s="2369">
        <f t="shared" si="40"/>
        <v>31800</v>
      </c>
      <c r="AC351" s="2944">
        <v>109224</v>
      </c>
    </row>
    <row r="352" spans="1:29">
      <c r="A352" s="53">
        <f t="shared" si="47"/>
        <v>2021.07</v>
      </c>
      <c r="B352" s="2395">
        <f t="shared" si="43"/>
        <v>3465306</v>
      </c>
      <c r="C352" s="2396">
        <f t="shared" si="44"/>
        <v>301926</v>
      </c>
      <c r="D352" s="386">
        <v>4750126</v>
      </c>
      <c r="E352" s="3504">
        <v>0</v>
      </c>
      <c r="F352" s="151">
        <v>583813</v>
      </c>
      <c r="G352" s="3065">
        <v>0</v>
      </c>
      <c r="H352" s="632">
        <v>1044200</v>
      </c>
      <c r="I352" s="3504">
        <v>2421106</v>
      </c>
      <c r="J352" s="638">
        <v>0</v>
      </c>
      <c r="K352" s="151">
        <v>0</v>
      </c>
      <c r="L352" s="3062">
        <f t="shared" si="45"/>
        <v>3465306</v>
      </c>
      <c r="M352" s="632">
        <v>180109</v>
      </c>
      <c r="N352" s="151">
        <v>121817</v>
      </c>
      <c r="O352" s="3504">
        <v>0</v>
      </c>
      <c r="P352" s="151">
        <v>0</v>
      </c>
      <c r="Q352" s="2396">
        <f t="shared" si="46"/>
        <v>301926</v>
      </c>
      <c r="R352" s="456">
        <v>85958</v>
      </c>
      <c r="S352" s="2942">
        <v>322719</v>
      </c>
      <c r="T352" s="456">
        <v>0</v>
      </c>
      <c r="U352" s="2942">
        <f>45607+4440</f>
        <v>50047</v>
      </c>
      <c r="V352" s="2369">
        <f t="shared" si="39"/>
        <v>458724</v>
      </c>
      <c r="W352" s="2942">
        <f>408704+45607+4440</f>
        <v>458751</v>
      </c>
      <c r="X352" s="456">
        <v>0</v>
      </c>
      <c r="Y352" s="2942">
        <v>75010</v>
      </c>
      <c r="Z352" s="456">
        <v>0</v>
      </c>
      <c r="AA352" s="2942">
        <v>0</v>
      </c>
      <c r="AB352" s="2369">
        <f t="shared" si="40"/>
        <v>75010</v>
      </c>
      <c r="AC352" s="2944">
        <v>108010</v>
      </c>
    </row>
    <row r="353" spans="1:29">
      <c r="A353" s="53">
        <f t="shared" si="47"/>
        <v>2021.08</v>
      </c>
      <c r="B353" s="2395">
        <f t="shared" si="43"/>
        <v>2765882</v>
      </c>
      <c r="C353" s="2396">
        <f t="shared" si="44"/>
        <v>265306</v>
      </c>
      <c r="D353" s="386">
        <v>4326117</v>
      </c>
      <c r="E353" s="3504">
        <v>0</v>
      </c>
      <c r="F353" s="151">
        <v>609172</v>
      </c>
      <c r="G353" s="3065">
        <v>0</v>
      </c>
      <c r="H353" s="632">
        <v>718001</v>
      </c>
      <c r="I353" s="3504">
        <v>2047881</v>
      </c>
      <c r="J353" s="638">
        <v>0</v>
      </c>
      <c r="K353" s="151">
        <v>0</v>
      </c>
      <c r="L353" s="3062">
        <f t="shared" si="45"/>
        <v>2765882</v>
      </c>
      <c r="M353" s="632">
        <v>173644</v>
      </c>
      <c r="N353" s="151">
        <v>91662</v>
      </c>
      <c r="O353" s="3504">
        <v>0</v>
      </c>
      <c r="P353" s="151">
        <v>0</v>
      </c>
      <c r="Q353" s="2396">
        <f t="shared" si="46"/>
        <v>265306</v>
      </c>
      <c r="R353" s="456">
        <v>53211</v>
      </c>
      <c r="S353" s="2942">
        <v>402332</v>
      </c>
      <c r="T353" s="456">
        <v>0</v>
      </c>
      <c r="U353" s="2942">
        <f>90249+15998</f>
        <v>106247</v>
      </c>
      <c r="V353" s="2369">
        <f t="shared" si="39"/>
        <v>561790</v>
      </c>
      <c r="W353" s="2942">
        <f>473770+90249+15998</f>
        <v>580017</v>
      </c>
      <c r="X353" s="456">
        <v>0</v>
      </c>
      <c r="Y353" s="2942">
        <v>23421</v>
      </c>
      <c r="Z353" s="456">
        <v>0</v>
      </c>
      <c r="AA353" s="2942">
        <v>0</v>
      </c>
      <c r="AB353" s="2369">
        <f t="shared" si="40"/>
        <v>23421</v>
      </c>
      <c r="AC353" s="2944">
        <v>120421</v>
      </c>
    </row>
    <row r="354" spans="1:29">
      <c r="A354" s="53">
        <f t="shared" si="47"/>
        <v>2021.09</v>
      </c>
      <c r="B354" s="2395">
        <f t="shared" si="43"/>
        <v>2646702</v>
      </c>
      <c r="C354" s="2396">
        <f t="shared" si="44"/>
        <v>193103</v>
      </c>
      <c r="D354" s="386">
        <v>4068971</v>
      </c>
      <c r="E354" s="3504">
        <v>0</v>
      </c>
      <c r="F354" s="151">
        <v>434651</v>
      </c>
      <c r="G354" s="3065">
        <v>0</v>
      </c>
      <c r="H354" s="632">
        <v>833513</v>
      </c>
      <c r="I354" s="3504">
        <f>1789159+24030</f>
        <v>1813189</v>
      </c>
      <c r="J354" s="638">
        <v>0</v>
      </c>
      <c r="K354" s="151">
        <v>0</v>
      </c>
      <c r="L354" s="3062">
        <f t="shared" si="45"/>
        <v>2646702</v>
      </c>
      <c r="M354" s="632">
        <v>149498</v>
      </c>
      <c r="N354" s="151">
        <v>43605</v>
      </c>
      <c r="O354" s="3504">
        <v>0</v>
      </c>
      <c r="P354" s="151">
        <v>0</v>
      </c>
      <c r="Q354" s="2396">
        <f t="shared" si="46"/>
        <v>193103</v>
      </c>
      <c r="R354" s="456">
        <v>67750</v>
      </c>
      <c r="S354" s="2942">
        <v>363184</v>
      </c>
      <c r="T354" s="456">
        <v>15295</v>
      </c>
      <c r="U354" s="2942">
        <f>97662+35622</f>
        <v>133284</v>
      </c>
      <c r="V354" s="2369">
        <f t="shared" si="39"/>
        <v>579513</v>
      </c>
      <c r="W354" s="2942">
        <f>448897+112957+35622</f>
        <v>597476</v>
      </c>
      <c r="X354" s="456">
        <v>0</v>
      </c>
      <c r="Y354" s="2942">
        <v>30258</v>
      </c>
      <c r="Z354" s="456">
        <v>0</v>
      </c>
      <c r="AA354" s="2942">
        <v>0</v>
      </c>
      <c r="AB354" s="2369">
        <f t="shared" si="40"/>
        <v>30258</v>
      </c>
      <c r="AC354" s="2944">
        <v>50358</v>
      </c>
    </row>
    <row r="355" spans="1:29">
      <c r="A355" s="53">
        <f t="shared" si="47"/>
        <v>2021.1</v>
      </c>
      <c r="B355" s="2395">
        <f t="shared" si="43"/>
        <v>2403124</v>
      </c>
      <c r="C355" s="2396">
        <f t="shared" si="44"/>
        <v>192421</v>
      </c>
      <c r="D355" s="386">
        <v>3893083</v>
      </c>
      <c r="E355" s="3504">
        <v>0</v>
      </c>
      <c r="F355" s="151">
        <v>810960</v>
      </c>
      <c r="G355" s="3065">
        <v>0</v>
      </c>
      <c r="H355" s="632">
        <v>636952</v>
      </c>
      <c r="I355" s="3504">
        <f>1744172+22000</f>
        <v>1766172</v>
      </c>
      <c r="J355" s="638">
        <v>0</v>
      </c>
      <c r="K355" s="151">
        <v>0</v>
      </c>
      <c r="L355" s="3062">
        <f t="shared" si="45"/>
        <v>2403124</v>
      </c>
      <c r="M355" s="632">
        <v>126509</v>
      </c>
      <c r="N355" s="151">
        <v>65912</v>
      </c>
      <c r="O355" s="3504">
        <v>0</v>
      </c>
      <c r="P355" s="151">
        <v>0</v>
      </c>
      <c r="Q355" s="2396">
        <f t="shared" si="46"/>
        <v>192421</v>
      </c>
      <c r="R355" s="456">
        <v>62688</v>
      </c>
      <c r="S355" s="2942">
        <v>334282</v>
      </c>
      <c r="T355" s="456">
        <v>0</v>
      </c>
      <c r="U355" s="2942">
        <f>66215+7813</f>
        <v>74028</v>
      </c>
      <c r="V355" s="2369">
        <f t="shared" si="39"/>
        <v>470998</v>
      </c>
      <c r="W355" s="2942">
        <f>433790+66215+7813</f>
        <v>507818</v>
      </c>
      <c r="X355" s="456">
        <v>0</v>
      </c>
      <c r="Y355" s="2942">
        <v>12500</v>
      </c>
      <c r="Z355" s="456">
        <v>0</v>
      </c>
      <c r="AA355" s="2942">
        <v>996</v>
      </c>
      <c r="AB355" s="2369">
        <f t="shared" si="40"/>
        <v>13496</v>
      </c>
      <c r="AC355" s="2944">
        <f>12500+996</f>
        <v>13496</v>
      </c>
    </row>
    <row r="356" spans="1:29">
      <c r="A356" s="53">
        <f t="shared" si="47"/>
        <v>2021.11</v>
      </c>
      <c r="B356" s="2395">
        <f t="shared" si="43"/>
        <v>1732055</v>
      </c>
      <c r="C356" s="2396">
        <f t="shared" si="44"/>
        <v>641059</v>
      </c>
      <c r="D356" s="386">
        <v>2153245</v>
      </c>
      <c r="E356" s="3504">
        <v>0</v>
      </c>
      <c r="F356" s="151">
        <v>825582</v>
      </c>
      <c r="G356" s="3065">
        <v>0</v>
      </c>
      <c r="H356" s="632">
        <v>657004</v>
      </c>
      <c r="I356" s="3504">
        <v>1075051</v>
      </c>
      <c r="J356" s="638">
        <v>0</v>
      </c>
      <c r="K356" s="151">
        <v>0</v>
      </c>
      <c r="L356" s="3062">
        <f t="shared" si="45"/>
        <v>1732055</v>
      </c>
      <c r="M356" s="632">
        <v>89708</v>
      </c>
      <c r="N356" s="151">
        <v>551351</v>
      </c>
      <c r="O356" s="3504">
        <v>0</v>
      </c>
      <c r="P356" s="151">
        <v>0</v>
      </c>
      <c r="Q356" s="2396">
        <f t="shared" si="46"/>
        <v>641059</v>
      </c>
      <c r="R356" s="456">
        <v>75489</v>
      </c>
      <c r="S356" s="2942">
        <v>374777</v>
      </c>
      <c r="T356" s="456">
        <v>0</v>
      </c>
      <c r="U356" s="2942">
        <v>52987</v>
      </c>
      <c r="V356" s="2369">
        <f t="shared" si="39"/>
        <v>503253</v>
      </c>
      <c r="W356" s="2942">
        <f>460266+52987</f>
        <v>513253</v>
      </c>
      <c r="X356" s="456">
        <v>0</v>
      </c>
      <c r="Y356" s="2942">
        <v>6014</v>
      </c>
      <c r="Z356" s="456">
        <v>0</v>
      </c>
      <c r="AA356" s="2942">
        <v>0</v>
      </c>
      <c r="AB356" s="2369">
        <f t="shared" si="40"/>
        <v>6014</v>
      </c>
      <c r="AC356" s="2944">
        <v>6014</v>
      </c>
    </row>
    <row r="357" spans="1:29">
      <c r="A357" s="53">
        <f t="shared" si="47"/>
        <v>2021.12</v>
      </c>
      <c r="B357" s="2395">
        <f t="shared" si="43"/>
        <v>1698312</v>
      </c>
      <c r="C357" s="2396">
        <f t="shared" si="44"/>
        <v>1518938</v>
      </c>
      <c r="D357" s="386">
        <v>2304805</v>
      </c>
      <c r="E357" s="3504">
        <v>0</v>
      </c>
      <c r="F357" s="151">
        <v>2143164</v>
      </c>
      <c r="G357" s="3065">
        <v>0</v>
      </c>
      <c r="H357" s="632">
        <v>646903</v>
      </c>
      <c r="I357" s="3504">
        <v>1051409</v>
      </c>
      <c r="J357" s="638">
        <v>0</v>
      </c>
      <c r="K357" s="151">
        <v>0</v>
      </c>
      <c r="L357" s="3062">
        <f t="shared" si="45"/>
        <v>1698312</v>
      </c>
      <c r="M357" s="632">
        <v>413925</v>
      </c>
      <c r="N357" s="151">
        <v>1105013</v>
      </c>
      <c r="O357" s="3504">
        <v>0</v>
      </c>
      <c r="P357" s="151">
        <v>0</v>
      </c>
      <c r="Q357" s="2396">
        <f t="shared" si="46"/>
        <v>1518938</v>
      </c>
      <c r="R357" s="456">
        <v>45507</v>
      </c>
      <c r="S357" s="2942">
        <v>302237</v>
      </c>
      <c r="T357" s="456">
        <v>11050</v>
      </c>
      <c r="U357" s="2942">
        <v>52824</v>
      </c>
      <c r="V357" s="2369">
        <f t="shared" si="39"/>
        <v>411618</v>
      </c>
      <c r="W357" s="2942">
        <f>347744+62450+1424</f>
        <v>411618</v>
      </c>
      <c r="X357" s="456">
        <v>0</v>
      </c>
      <c r="Y357" s="2942">
        <v>9076</v>
      </c>
      <c r="Z357" s="456">
        <v>0</v>
      </c>
      <c r="AA357" s="2942">
        <v>0</v>
      </c>
      <c r="AB357" s="2369">
        <f t="shared" si="40"/>
        <v>9076</v>
      </c>
      <c r="AC357" s="2944">
        <v>15076</v>
      </c>
    </row>
    <row r="358" spans="1:29">
      <c r="A358" s="53">
        <f t="shared" si="47"/>
        <v>2022.01</v>
      </c>
      <c r="B358" s="2395">
        <f t="shared" si="43"/>
        <v>1280121</v>
      </c>
      <c r="C358" s="2396">
        <f t="shared" si="44"/>
        <v>1447584</v>
      </c>
      <c r="D358" s="386">
        <v>1725357</v>
      </c>
      <c r="E358" s="3504">
        <v>0</v>
      </c>
      <c r="F358" s="151">
        <v>2721649</v>
      </c>
      <c r="G358" s="3065">
        <v>0</v>
      </c>
      <c r="H358" s="632">
        <v>503498</v>
      </c>
      <c r="I358" s="3504">
        <v>776623</v>
      </c>
      <c r="J358" s="638">
        <v>0</v>
      </c>
      <c r="K358" s="151">
        <v>0</v>
      </c>
      <c r="L358" s="3062">
        <f t="shared" si="45"/>
        <v>1280121</v>
      </c>
      <c r="M358" s="632">
        <v>438361</v>
      </c>
      <c r="N358" s="151">
        <v>1009223</v>
      </c>
      <c r="O358" s="3504">
        <v>0</v>
      </c>
      <c r="P358" s="151">
        <v>0</v>
      </c>
      <c r="Q358" s="2396">
        <f t="shared" si="46"/>
        <v>1447584</v>
      </c>
      <c r="R358" s="456">
        <v>30880</v>
      </c>
      <c r="S358" s="2942">
        <v>188594</v>
      </c>
      <c r="T358" s="456">
        <v>0</v>
      </c>
      <c r="U358" s="2942">
        <v>69940</v>
      </c>
      <c r="V358" s="2369">
        <f t="shared" si="39"/>
        <v>289414</v>
      </c>
      <c r="W358" s="2942">
        <v>289414</v>
      </c>
      <c r="X358" s="456">
        <v>0</v>
      </c>
      <c r="Y358" s="2942">
        <v>26500</v>
      </c>
      <c r="Z358" s="456">
        <v>0</v>
      </c>
      <c r="AA358" s="2942">
        <v>0</v>
      </c>
      <c r="AB358" s="2369">
        <f t="shared" si="40"/>
        <v>26500</v>
      </c>
      <c r="AC358" s="2944">
        <v>65034</v>
      </c>
    </row>
    <row r="359" spans="1:29">
      <c r="A359" s="53">
        <f t="shared" si="47"/>
        <v>2022.02</v>
      </c>
      <c r="B359" s="2395">
        <f t="shared" si="43"/>
        <v>1247987</v>
      </c>
      <c r="C359" s="2396">
        <f t="shared" si="44"/>
        <v>1448049</v>
      </c>
      <c r="D359" s="386">
        <v>1728980</v>
      </c>
      <c r="E359" s="3504">
        <v>0</v>
      </c>
      <c r="F359" s="151">
        <v>2402281</v>
      </c>
      <c r="G359" s="3065">
        <v>0</v>
      </c>
      <c r="H359" s="632">
        <v>480369</v>
      </c>
      <c r="I359" s="3504">
        <v>767618</v>
      </c>
      <c r="J359" s="638">
        <v>0</v>
      </c>
      <c r="K359" s="151">
        <v>0</v>
      </c>
      <c r="L359" s="3062">
        <f t="shared" si="45"/>
        <v>1247987</v>
      </c>
      <c r="M359" s="632">
        <v>388295</v>
      </c>
      <c r="N359" s="151">
        <v>1059754</v>
      </c>
      <c r="O359" s="3504">
        <v>0</v>
      </c>
      <c r="P359" s="151">
        <v>0</v>
      </c>
      <c r="Q359" s="2396">
        <f t="shared" si="46"/>
        <v>1448049</v>
      </c>
      <c r="R359" s="456">
        <v>2600</v>
      </c>
      <c r="S359" s="2942">
        <v>219215</v>
      </c>
      <c r="T359" s="456">
        <v>0</v>
      </c>
      <c r="U359" s="2942">
        <v>49398</v>
      </c>
      <c r="V359" s="2369">
        <f t="shared" si="39"/>
        <v>271213</v>
      </c>
      <c r="W359" s="2942">
        <v>271213</v>
      </c>
      <c r="X359" s="456">
        <v>0</v>
      </c>
      <c r="Y359" s="2942">
        <v>14700</v>
      </c>
      <c r="Z359" s="456">
        <v>0</v>
      </c>
      <c r="AA359" s="2942">
        <v>0</v>
      </c>
      <c r="AB359" s="2369">
        <f t="shared" si="40"/>
        <v>14700</v>
      </c>
      <c r="AC359" s="2944">
        <v>14700</v>
      </c>
    </row>
    <row r="360" spans="1:29">
      <c r="A360" s="53">
        <f t="shared" si="47"/>
        <v>2022.03</v>
      </c>
      <c r="B360" s="2395">
        <f t="shared" si="43"/>
        <v>2352829</v>
      </c>
      <c r="C360" s="2396">
        <f t="shared" si="44"/>
        <v>1425745</v>
      </c>
      <c r="D360" s="386">
        <v>2961946</v>
      </c>
      <c r="E360" s="3504">
        <v>0</v>
      </c>
      <c r="F360" s="151">
        <v>2048231</v>
      </c>
      <c r="G360" s="3065">
        <v>0</v>
      </c>
      <c r="H360" s="632">
        <v>595236</v>
      </c>
      <c r="I360" s="638">
        <v>1757593</v>
      </c>
      <c r="J360" s="638">
        <v>0</v>
      </c>
      <c r="K360" s="151">
        <v>0</v>
      </c>
      <c r="L360" s="3062">
        <f t="shared" si="45"/>
        <v>2352829</v>
      </c>
      <c r="M360" s="632">
        <v>465943</v>
      </c>
      <c r="N360" s="3504">
        <v>959802</v>
      </c>
      <c r="O360" s="3504">
        <v>0</v>
      </c>
      <c r="P360" s="151">
        <v>0</v>
      </c>
      <c r="Q360" s="2396">
        <f>SUM(M360:P360)</f>
        <v>1425745</v>
      </c>
      <c r="R360" s="456">
        <v>39178</v>
      </c>
      <c r="S360" s="2942">
        <v>323182</v>
      </c>
      <c r="T360" s="873">
        <v>0</v>
      </c>
      <c r="U360" s="111">
        <v>24122</v>
      </c>
      <c r="V360" s="2369">
        <f t="shared" si="39"/>
        <v>386482</v>
      </c>
      <c r="W360" s="2942">
        <v>389482</v>
      </c>
      <c r="X360" s="456">
        <v>0</v>
      </c>
      <c r="Y360" s="2942">
        <v>43000</v>
      </c>
      <c r="Z360" s="456">
        <v>0</v>
      </c>
      <c r="AA360" s="2942">
        <v>0</v>
      </c>
      <c r="AB360" s="2369">
        <f t="shared" si="40"/>
        <v>43000</v>
      </c>
      <c r="AC360" s="2944">
        <v>59106</v>
      </c>
    </row>
    <row r="361" spans="1:29">
      <c r="A361" s="53">
        <f t="shared" si="47"/>
        <v>2022.04</v>
      </c>
      <c r="B361" s="2395">
        <f>L361</f>
        <v>2814395</v>
      </c>
      <c r="C361" s="3062">
        <f t="shared" si="44"/>
        <v>1246665</v>
      </c>
      <c r="D361" s="151">
        <v>3821618</v>
      </c>
      <c r="E361" s="3504">
        <v>0</v>
      </c>
      <c r="F361" s="151">
        <v>1763462</v>
      </c>
      <c r="G361" s="3065">
        <v>0</v>
      </c>
      <c r="H361" s="632">
        <v>861841</v>
      </c>
      <c r="I361" s="3504">
        <v>1952554</v>
      </c>
      <c r="J361" s="638">
        <v>0</v>
      </c>
      <c r="K361" s="151">
        <v>0</v>
      </c>
      <c r="L361" s="3062">
        <f t="shared" si="45"/>
        <v>2814395</v>
      </c>
      <c r="M361" s="632">
        <v>486775</v>
      </c>
      <c r="N361" s="151">
        <v>759890</v>
      </c>
      <c r="O361" s="3504">
        <v>0</v>
      </c>
      <c r="P361" s="151">
        <v>0</v>
      </c>
      <c r="Q361" s="2396">
        <f t="shared" si="46"/>
        <v>1246665</v>
      </c>
      <c r="R361" s="456">
        <v>51344</v>
      </c>
      <c r="S361" s="2942">
        <v>352122</v>
      </c>
      <c r="T361" s="456">
        <v>7415</v>
      </c>
      <c r="U361" s="2942">
        <v>40200</v>
      </c>
      <c r="V361" s="2369">
        <f t="shared" si="39"/>
        <v>451081</v>
      </c>
      <c r="W361" s="2942">
        <f>403466+43415+4200</f>
        <v>451081</v>
      </c>
      <c r="X361" s="456">
        <v>0</v>
      </c>
      <c r="Y361" s="2942">
        <v>35000</v>
      </c>
      <c r="Z361" s="456">
        <v>0</v>
      </c>
      <c r="AA361" s="2942">
        <v>0</v>
      </c>
      <c r="AB361" s="2369">
        <f t="shared" si="40"/>
        <v>35000</v>
      </c>
      <c r="AC361" s="2944">
        <v>66576</v>
      </c>
    </row>
    <row r="362" spans="1:29">
      <c r="A362" s="53">
        <f t="shared" si="47"/>
        <v>2022.05</v>
      </c>
      <c r="B362" s="2395">
        <f t="shared" si="43"/>
        <v>2356891</v>
      </c>
      <c r="C362" s="2396">
        <f t="shared" si="44"/>
        <v>650109</v>
      </c>
      <c r="D362" s="386">
        <v>3464701</v>
      </c>
      <c r="E362" s="3504">
        <v>0</v>
      </c>
      <c r="F362" s="151">
        <v>1209643</v>
      </c>
      <c r="G362" s="3065">
        <v>0</v>
      </c>
      <c r="H362" s="632">
        <v>712163</v>
      </c>
      <c r="I362" s="3504">
        <v>1644728</v>
      </c>
      <c r="J362" s="638">
        <v>0</v>
      </c>
      <c r="K362" s="151">
        <v>0</v>
      </c>
      <c r="L362" s="3062">
        <f t="shared" si="45"/>
        <v>2356891</v>
      </c>
      <c r="M362" s="632">
        <v>208268</v>
      </c>
      <c r="N362" s="151">
        <v>441841</v>
      </c>
      <c r="O362" s="3504">
        <v>0</v>
      </c>
      <c r="P362" s="151">
        <v>0</v>
      </c>
      <c r="Q362" s="2396">
        <f t="shared" si="46"/>
        <v>650109</v>
      </c>
      <c r="R362" s="456">
        <v>42900</v>
      </c>
      <c r="S362" s="2942">
        <v>428135</v>
      </c>
      <c r="T362" s="456">
        <v>0</v>
      </c>
      <c r="U362" s="2942">
        <v>39850</v>
      </c>
      <c r="V362" s="2369">
        <f t="shared" si="39"/>
        <v>510885</v>
      </c>
      <c r="W362" s="2942">
        <f>471035+39850+34507</f>
        <v>545392</v>
      </c>
      <c r="X362" s="456">
        <v>0</v>
      </c>
      <c r="Y362" s="2942">
        <v>77775</v>
      </c>
      <c r="Z362" s="456">
        <v>0</v>
      </c>
      <c r="AA362" s="2942">
        <v>0</v>
      </c>
      <c r="AB362" s="2369">
        <f t="shared" si="40"/>
        <v>77775</v>
      </c>
      <c r="AC362" s="2944">
        <v>125905</v>
      </c>
    </row>
    <row r="363" spans="1:29">
      <c r="A363" s="53">
        <f t="shared" si="47"/>
        <v>2022.06</v>
      </c>
      <c r="B363" s="2395">
        <f t="shared" si="43"/>
        <v>2447404</v>
      </c>
      <c r="C363" s="2396">
        <f t="shared" si="44"/>
        <v>321658</v>
      </c>
      <c r="D363" s="386">
        <v>3383386</v>
      </c>
      <c r="E363" s="3504">
        <v>0</v>
      </c>
      <c r="F363" s="151">
        <v>668062</v>
      </c>
      <c r="G363" s="3065">
        <v>0</v>
      </c>
      <c r="H363" s="632">
        <v>907693</v>
      </c>
      <c r="I363" s="3504">
        <v>1539711</v>
      </c>
      <c r="J363" s="638">
        <v>0</v>
      </c>
      <c r="K363" s="151">
        <v>0</v>
      </c>
      <c r="L363" s="3062">
        <f t="shared" si="45"/>
        <v>2447404</v>
      </c>
      <c r="M363" s="632">
        <v>179407</v>
      </c>
      <c r="N363" s="151">
        <v>142251</v>
      </c>
      <c r="O363" s="3504">
        <v>0</v>
      </c>
      <c r="P363" s="151">
        <v>0</v>
      </c>
      <c r="Q363" s="2396">
        <f t="shared" si="46"/>
        <v>321658</v>
      </c>
      <c r="R363" s="456">
        <v>57991</v>
      </c>
      <c r="S363" s="2942">
        <v>445303</v>
      </c>
      <c r="T363" s="456">
        <v>3009</v>
      </c>
      <c r="U363" s="2942">
        <v>45739</v>
      </c>
      <c r="V363" s="2369">
        <f t="shared" si="39"/>
        <v>552042</v>
      </c>
      <c r="W363" s="2942">
        <v>557424</v>
      </c>
      <c r="X363" s="456">
        <v>0</v>
      </c>
      <c r="Y363" s="2942">
        <v>51680</v>
      </c>
      <c r="Z363" s="456">
        <v>0</v>
      </c>
      <c r="AA363" s="2942">
        <v>0</v>
      </c>
      <c r="AB363" s="2369">
        <f t="shared" si="40"/>
        <v>51680</v>
      </c>
      <c r="AC363" s="2944">
        <v>120883</v>
      </c>
    </row>
    <row r="364" spans="1:29">
      <c r="A364" s="53">
        <f t="shared" si="47"/>
        <v>2022.07</v>
      </c>
      <c r="B364" s="2395">
        <f t="shared" si="43"/>
        <v>3451783</v>
      </c>
      <c r="C364" s="2396">
        <f t="shared" si="44"/>
        <v>374512</v>
      </c>
      <c r="D364" s="386">
        <v>4689646</v>
      </c>
      <c r="E364" s="3504">
        <v>16990</v>
      </c>
      <c r="F364" s="151">
        <v>615795</v>
      </c>
      <c r="G364" s="3065">
        <v>0</v>
      </c>
      <c r="H364" s="632">
        <v>963176</v>
      </c>
      <c r="I364" s="3504">
        <v>2471617</v>
      </c>
      <c r="J364" s="638">
        <v>0</v>
      </c>
      <c r="K364" s="151">
        <v>16990</v>
      </c>
      <c r="L364" s="3062">
        <f t="shared" si="45"/>
        <v>3451783</v>
      </c>
      <c r="M364" s="632">
        <v>275678</v>
      </c>
      <c r="N364" s="151">
        <v>98834</v>
      </c>
      <c r="O364" s="3504">
        <v>0</v>
      </c>
      <c r="P364" s="151">
        <v>0</v>
      </c>
      <c r="Q364" s="2396">
        <f t="shared" si="46"/>
        <v>374512</v>
      </c>
      <c r="R364" s="456">
        <v>8000</v>
      </c>
      <c r="S364" s="2942">
        <v>268718</v>
      </c>
      <c r="T364" s="456">
        <v>0</v>
      </c>
      <c r="U364" s="2942">
        <v>19309</v>
      </c>
      <c r="V364" s="2369">
        <f t="shared" si="39"/>
        <v>296027</v>
      </c>
      <c r="W364" s="2942">
        <v>298540</v>
      </c>
      <c r="X364" s="456">
        <v>0</v>
      </c>
      <c r="Y364" s="2942">
        <v>41300</v>
      </c>
      <c r="Z364" s="456">
        <v>0</v>
      </c>
      <c r="AA364" s="2942">
        <v>0</v>
      </c>
      <c r="AB364" s="2369">
        <f t="shared" si="40"/>
        <v>41300</v>
      </c>
      <c r="AC364" s="2944">
        <v>91053</v>
      </c>
    </row>
    <row r="365" spans="1:29">
      <c r="A365" s="53">
        <f t="shared" si="47"/>
        <v>2022.08</v>
      </c>
      <c r="B365" s="2395">
        <f t="shared" si="43"/>
        <v>2317711</v>
      </c>
      <c r="C365" s="2396">
        <f t="shared" si="44"/>
        <v>229638</v>
      </c>
      <c r="D365" s="386">
        <v>3433575</v>
      </c>
      <c r="E365" s="3504">
        <v>260111</v>
      </c>
      <c r="F365" s="151">
        <v>419796</v>
      </c>
      <c r="G365" s="3065">
        <v>0</v>
      </c>
      <c r="H365" s="632">
        <v>808385</v>
      </c>
      <c r="I365" s="3504">
        <v>1288453</v>
      </c>
      <c r="J365" s="638">
        <v>0</v>
      </c>
      <c r="K365" s="151">
        <v>220873</v>
      </c>
      <c r="L365" s="3062">
        <f t="shared" si="45"/>
        <v>2317711</v>
      </c>
      <c r="M365" s="632">
        <v>175638</v>
      </c>
      <c r="N365" s="151">
        <v>54000</v>
      </c>
      <c r="O365" s="3504">
        <v>0</v>
      </c>
      <c r="P365" s="151">
        <v>0</v>
      </c>
      <c r="Q365" s="2396">
        <f t="shared" si="46"/>
        <v>229638</v>
      </c>
      <c r="R365" s="456">
        <v>59536</v>
      </c>
      <c r="S365" s="2942">
        <v>387226</v>
      </c>
      <c r="T365" s="456">
        <f>3918+1982</f>
        <v>5900</v>
      </c>
      <c r="U365" s="2942">
        <f>12650+8000</f>
        <v>20650</v>
      </c>
      <c r="V365" s="2369">
        <f t="shared" si="39"/>
        <v>473312</v>
      </c>
      <c r="W365" s="2942">
        <f>450950+16568+9982</f>
        <v>477500</v>
      </c>
      <c r="X365" s="456">
        <v>0</v>
      </c>
      <c r="Y365" s="2942">
        <v>18000</v>
      </c>
      <c r="Z365" s="456">
        <v>0</v>
      </c>
      <c r="AA365" s="2942">
        <v>0</v>
      </c>
      <c r="AB365" s="2369">
        <f t="shared" si="40"/>
        <v>18000</v>
      </c>
      <c r="AC365" s="2944">
        <v>65729</v>
      </c>
    </row>
    <row r="366" spans="1:29">
      <c r="A366" s="53">
        <f t="shared" si="47"/>
        <v>2022.09</v>
      </c>
      <c r="B366" s="2395">
        <f t="shared" si="43"/>
        <v>1934300</v>
      </c>
      <c r="C366" s="2396">
        <f t="shared" si="44"/>
        <v>94530</v>
      </c>
      <c r="D366" s="386">
        <v>2633727</v>
      </c>
      <c r="E366" s="3504">
        <v>180038</v>
      </c>
      <c r="F366" s="151">
        <v>129880</v>
      </c>
      <c r="G366" s="3065">
        <v>0</v>
      </c>
      <c r="H366" s="632">
        <v>484514</v>
      </c>
      <c r="I366" s="3504">
        <v>1269748</v>
      </c>
      <c r="J366" s="638">
        <v>0</v>
      </c>
      <c r="K366" s="151">
        <v>180038</v>
      </c>
      <c r="L366" s="3062">
        <f t="shared" si="45"/>
        <v>1934300</v>
      </c>
      <c r="M366" s="632">
        <v>94530</v>
      </c>
      <c r="N366" s="151">
        <v>0</v>
      </c>
      <c r="O366" s="3504">
        <v>0</v>
      </c>
      <c r="P366" s="151">
        <v>0</v>
      </c>
      <c r="Q366" s="2396">
        <f t="shared" si="46"/>
        <v>94530</v>
      </c>
      <c r="R366" s="456">
        <v>80879</v>
      </c>
      <c r="S366" s="2942">
        <v>210621</v>
      </c>
      <c r="T366" s="456">
        <v>4000</v>
      </c>
      <c r="U366" s="2942">
        <v>38610</v>
      </c>
      <c r="V366" s="2369">
        <f t="shared" si="39"/>
        <v>334110</v>
      </c>
      <c r="W366" s="2942">
        <v>334110</v>
      </c>
      <c r="X366" s="456">
        <v>0</v>
      </c>
      <c r="Y366" s="2942">
        <v>8540</v>
      </c>
      <c r="Z366" s="456">
        <v>0</v>
      </c>
      <c r="AA366" s="2942">
        <v>0</v>
      </c>
      <c r="AB366" s="2369">
        <f t="shared" si="40"/>
        <v>8540</v>
      </c>
      <c r="AC366" s="2944">
        <v>42290</v>
      </c>
    </row>
    <row r="367" spans="1:29">
      <c r="A367" s="53">
        <f t="shared" si="47"/>
        <v>2022.1</v>
      </c>
      <c r="B367" s="2395">
        <f t="shared" si="43"/>
        <v>1952061</v>
      </c>
      <c r="C367" s="2396">
        <f t="shared" si="44"/>
        <v>171777</v>
      </c>
      <c r="D367" s="386">
        <v>2301882</v>
      </c>
      <c r="E367" s="3504">
        <v>336800</v>
      </c>
      <c r="F367" s="151">
        <v>249737</v>
      </c>
      <c r="G367" s="3065">
        <v>0</v>
      </c>
      <c r="H367" s="632">
        <v>490181</v>
      </c>
      <c r="I367" s="3504">
        <v>1125080</v>
      </c>
      <c r="J367" s="638">
        <v>0</v>
      </c>
      <c r="K367" s="151">
        <v>336800</v>
      </c>
      <c r="L367" s="3062">
        <f t="shared" si="45"/>
        <v>1952061</v>
      </c>
      <c r="M367" s="632">
        <v>171777</v>
      </c>
      <c r="N367" s="151">
        <v>0</v>
      </c>
      <c r="O367" s="3504">
        <v>0</v>
      </c>
      <c r="P367" s="151">
        <v>0</v>
      </c>
      <c r="Q367" s="2396">
        <f t="shared" si="46"/>
        <v>171777</v>
      </c>
      <c r="R367" s="456">
        <v>55990</v>
      </c>
      <c r="S367" s="2942">
        <v>168146</v>
      </c>
      <c r="T367" s="456">
        <v>0</v>
      </c>
      <c r="U367" s="2942">
        <v>6000</v>
      </c>
      <c r="V367" s="2369">
        <f t="shared" si="39"/>
        <v>230136</v>
      </c>
      <c r="W367" s="2942">
        <v>230136</v>
      </c>
      <c r="X367" s="456">
        <v>0</v>
      </c>
      <c r="Y367" s="2942">
        <v>0</v>
      </c>
      <c r="Z367" s="456">
        <v>0</v>
      </c>
      <c r="AA367" s="2942">
        <v>0</v>
      </c>
      <c r="AB367" s="2369">
        <f t="shared" si="40"/>
        <v>0</v>
      </c>
      <c r="AC367" s="2944">
        <v>15000</v>
      </c>
    </row>
    <row r="368" spans="1:29">
      <c r="A368" s="53">
        <f t="shared" si="47"/>
        <v>2022.11</v>
      </c>
      <c r="B368" s="2395">
        <f t="shared" si="43"/>
        <v>1362878</v>
      </c>
      <c r="C368" s="2396">
        <f t="shared" si="44"/>
        <v>163337</v>
      </c>
      <c r="D368" s="386">
        <v>1621233</v>
      </c>
      <c r="E368" s="3504">
        <v>85363</v>
      </c>
      <c r="F368" s="151">
        <v>196337</v>
      </c>
      <c r="G368" s="3065">
        <v>0</v>
      </c>
      <c r="H368" s="632">
        <v>438408</v>
      </c>
      <c r="I368" s="3504">
        <v>839107</v>
      </c>
      <c r="J368" s="638">
        <v>0</v>
      </c>
      <c r="K368" s="151">
        <v>85363</v>
      </c>
      <c r="L368" s="3062">
        <f t="shared" si="45"/>
        <v>1362878</v>
      </c>
      <c r="M368" s="632">
        <v>93158</v>
      </c>
      <c r="N368" s="151">
        <v>70179</v>
      </c>
      <c r="O368" s="3504">
        <v>0</v>
      </c>
      <c r="P368" s="151">
        <v>0</v>
      </c>
      <c r="Q368" s="2396">
        <f t="shared" si="46"/>
        <v>163337</v>
      </c>
      <c r="R368" s="456">
        <v>52478</v>
      </c>
      <c r="S368" s="2942">
        <v>197658</v>
      </c>
      <c r="T368" s="456">
        <v>0</v>
      </c>
      <c r="U368" s="2942">
        <f>24350+17633</f>
        <v>41983</v>
      </c>
      <c r="V368" s="2369">
        <f t="shared" si="39"/>
        <v>292119</v>
      </c>
      <c r="W368" s="2942">
        <f>265136+30045+17633</f>
        <v>312814</v>
      </c>
      <c r="X368" s="456">
        <v>0</v>
      </c>
      <c r="Y368" s="2942">
        <v>13940</v>
      </c>
      <c r="Z368" s="456">
        <v>0</v>
      </c>
      <c r="AA368" s="2942">
        <v>0</v>
      </c>
      <c r="AB368" s="2369">
        <f t="shared" si="40"/>
        <v>13940</v>
      </c>
      <c r="AC368" s="2944">
        <v>43440</v>
      </c>
    </row>
    <row r="369" spans="1:29">
      <c r="A369" s="53">
        <f t="shared" si="47"/>
        <v>2022.12</v>
      </c>
      <c r="B369" s="2395">
        <f t="shared" si="43"/>
        <v>1185339</v>
      </c>
      <c r="C369" s="2396">
        <f t="shared" si="44"/>
        <v>576934</v>
      </c>
      <c r="D369" s="386">
        <v>1397713</v>
      </c>
      <c r="E369" s="3504">
        <v>163975</v>
      </c>
      <c r="F369" s="151">
        <v>847019</v>
      </c>
      <c r="G369" s="3065">
        <v>0</v>
      </c>
      <c r="H369" s="632">
        <v>397263</v>
      </c>
      <c r="I369" s="3504">
        <v>624101</v>
      </c>
      <c r="J369" s="638">
        <v>0</v>
      </c>
      <c r="K369" s="151">
        <v>163975</v>
      </c>
      <c r="L369" s="3062">
        <f t="shared" si="45"/>
        <v>1185339</v>
      </c>
      <c r="M369" s="632">
        <v>123230</v>
      </c>
      <c r="N369" s="151">
        <v>453704</v>
      </c>
      <c r="O369" s="3504">
        <v>0</v>
      </c>
      <c r="P369" s="151">
        <v>0</v>
      </c>
      <c r="Q369" s="2396">
        <f t="shared" si="46"/>
        <v>576934</v>
      </c>
      <c r="R369" s="456">
        <v>57970</v>
      </c>
      <c r="S369" s="2942">
        <v>268857</v>
      </c>
      <c r="T369" s="456">
        <v>6418</v>
      </c>
      <c r="U369" s="2942">
        <v>10305</v>
      </c>
      <c r="V369" s="2369">
        <f t="shared" si="39"/>
        <v>343550</v>
      </c>
      <c r="W369" s="2942">
        <v>343550</v>
      </c>
      <c r="X369" s="456">
        <v>0</v>
      </c>
      <c r="Y369" s="2942">
        <v>1765</v>
      </c>
      <c r="Z369" s="456">
        <v>0</v>
      </c>
      <c r="AA369" s="2942">
        <v>1520</v>
      </c>
      <c r="AB369" s="2369">
        <f t="shared" si="40"/>
        <v>3285</v>
      </c>
      <c r="AC369" s="2944">
        <v>29400</v>
      </c>
    </row>
    <row r="370" spans="1:29">
      <c r="A370" s="53">
        <f t="shared" si="47"/>
        <v>2023.01</v>
      </c>
      <c r="B370" s="2395">
        <f t="shared" si="43"/>
        <v>886064</v>
      </c>
      <c r="C370" s="2396">
        <f>Q370</f>
        <v>169243</v>
      </c>
      <c r="D370" s="386">
        <v>1006431</v>
      </c>
      <c r="E370" s="3504">
        <v>138012</v>
      </c>
      <c r="F370" s="151">
        <v>387652</v>
      </c>
      <c r="G370" s="3065">
        <v>0</v>
      </c>
      <c r="H370" s="632">
        <v>333957</v>
      </c>
      <c r="I370" s="3504">
        <v>414095</v>
      </c>
      <c r="J370" s="638">
        <v>0</v>
      </c>
      <c r="K370" s="151">
        <v>138012</v>
      </c>
      <c r="L370" s="3062">
        <f t="shared" si="45"/>
        <v>886064</v>
      </c>
      <c r="M370" s="632">
        <v>82060</v>
      </c>
      <c r="N370" s="151">
        <v>87183</v>
      </c>
      <c r="O370" s="3504">
        <v>0</v>
      </c>
      <c r="P370" s="151">
        <v>0</v>
      </c>
      <c r="Q370" s="2396">
        <f t="shared" si="46"/>
        <v>169243</v>
      </c>
      <c r="R370" s="456">
        <v>13504</v>
      </c>
      <c r="S370" s="2942">
        <v>174915</v>
      </c>
      <c r="T370" s="456">
        <v>0</v>
      </c>
      <c r="U370" s="2942">
        <v>15575</v>
      </c>
      <c r="V370" s="2369">
        <f t="shared" si="39"/>
        <v>203994</v>
      </c>
      <c r="W370" s="2942">
        <v>239398</v>
      </c>
      <c r="X370" s="456">
        <v>0</v>
      </c>
      <c r="Y370" s="2942">
        <v>1250</v>
      </c>
      <c r="Z370" s="456">
        <v>0</v>
      </c>
      <c r="AA370" s="2942">
        <v>0</v>
      </c>
      <c r="AB370" s="2369">
        <f t="shared" si="40"/>
        <v>1250</v>
      </c>
      <c r="AC370" s="2944">
        <v>1250</v>
      </c>
    </row>
    <row r="371" spans="1:29">
      <c r="A371" s="53">
        <f t="shared" si="47"/>
        <v>2023.02</v>
      </c>
      <c r="B371" s="2395">
        <f t="shared" si="43"/>
        <v>1123289</v>
      </c>
      <c r="C371" s="2396">
        <f t="shared" si="44"/>
        <v>98002</v>
      </c>
      <c r="D371" s="386">
        <v>1415123</v>
      </c>
      <c r="E371" s="3504">
        <v>41754</v>
      </c>
      <c r="F371" s="151">
        <v>155002</v>
      </c>
      <c r="G371" s="3065">
        <v>0</v>
      </c>
      <c r="H371" s="632">
        <v>473788</v>
      </c>
      <c r="I371" s="3504">
        <f>590747+17000</f>
        <v>607747</v>
      </c>
      <c r="J371" s="638">
        <v>0</v>
      </c>
      <c r="K371" s="151">
        <v>41754</v>
      </c>
      <c r="L371" s="3062">
        <f t="shared" si="45"/>
        <v>1123289</v>
      </c>
      <c r="M371" s="632">
        <v>37491</v>
      </c>
      <c r="N371" s="151">
        <f>60511</f>
        <v>60511</v>
      </c>
      <c r="O371" s="3504">
        <v>0</v>
      </c>
      <c r="P371" s="151">
        <v>0</v>
      </c>
      <c r="Q371" s="2396">
        <f t="shared" si="46"/>
        <v>98002</v>
      </c>
      <c r="R371" s="456">
        <v>84452</v>
      </c>
      <c r="S371" s="2942">
        <v>180618</v>
      </c>
      <c r="T371" s="456">
        <v>190</v>
      </c>
      <c r="U371" s="2942">
        <v>22708</v>
      </c>
      <c r="V371" s="2369">
        <f t="shared" si="39"/>
        <v>287968</v>
      </c>
      <c r="W371" s="2942">
        <v>293984</v>
      </c>
      <c r="X371" s="456">
        <v>0</v>
      </c>
      <c r="Y371" s="2942">
        <v>13000</v>
      </c>
      <c r="Z371" s="456">
        <v>0</v>
      </c>
      <c r="AA371" s="2942">
        <v>1237</v>
      </c>
      <c r="AB371" s="2369">
        <f t="shared" si="40"/>
        <v>14237</v>
      </c>
      <c r="AC371" s="2944">
        <v>20273</v>
      </c>
    </row>
    <row r="372" spans="1:29">
      <c r="A372" s="53">
        <f t="shared" si="47"/>
        <v>2023.03</v>
      </c>
      <c r="B372" s="2395">
        <f t="shared" si="43"/>
        <v>1475025</v>
      </c>
      <c r="C372" s="2396">
        <f t="shared" si="44"/>
        <v>116071</v>
      </c>
      <c r="D372" s="386">
        <v>1889146</v>
      </c>
      <c r="E372" s="3504">
        <v>10749</v>
      </c>
      <c r="F372" s="151">
        <v>346551</v>
      </c>
      <c r="G372" s="3065">
        <v>0</v>
      </c>
      <c r="H372" s="3504">
        <v>498980</v>
      </c>
      <c r="I372" s="3504">
        <v>965296</v>
      </c>
      <c r="J372" s="638">
        <v>0</v>
      </c>
      <c r="K372" s="151">
        <v>10749</v>
      </c>
      <c r="L372" s="3062">
        <f t="shared" si="45"/>
        <v>1475025</v>
      </c>
      <c r="M372" s="632">
        <v>93579</v>
      </c>
      <c r="N372" s="151">
        <v>22492</v>
      </c>
      <c r="O372" s="3504">
        <v>0</v>
      </c>
      <c r="P372" s="151">
        <v>0</v>
      </c>
      <c r="Q372" s="2396">
        <f t="shared" si="46"/>
        <v>116071</v>
      </c>
      <c r="R372" s="456">
        <v>26000</v>
      </c>
      <c r="S372" s="2942">
        <v>148698</v>
      </c>
      <c r="T372" s="456">
        <v>0</v>
      </c>
      <c r="U372" s="2942">
        <v>22830</v>
      </c>
      <c r="V372" s="2369">
        <f t="shared" si="39"/>
        <v>197528</v>
      </c>
      <c r="W372" s="2942">
        <v>207528</v>
      </c>
      <c r="X372" s="456">
        <v>0</v>
      </c>
      <c r="Y372" s="2942">
        <v>36700</v>
      </c>
      <c r="Z372" s="456">
        <v>0</v>
      </c>
      <c r="AA372" s="2942">
        <v>2485</v>
      </c>
      <c r="AB372" s="2369">
        <f t="shared" si="40"/>
        <v>39185</v>
      </c>
      <c r="AC372" s="2944">
        <v>39185</v>
      </c>
    </row>
    <row r="373" spans="1:29">
      <c r="A373" s="53">
        <f t="shared" si="47"/>
        <v>2023.04</v>
      </c>
      <c r="B373" s="2395">
        <f t="shared" si="43"/>
        <v>1060688</v>
      </c>
      <c r="C373" s="2396">
        <f t="shared" si="44"/>
        <v>155850</v>
      </c>
      <c r="D373" s="386">
        <v>1560652</v>
      </c>
      <c r="E373" s="3504">
        <v>28120</v>
      </c>
      <c r="F373" s="151">
        <v>223850</v>
      </c>
      <c r="G373" s="3065">
        <v>0</v>
      </c>
      <c r="H373" s="632">
        <v>291389</v>
      </c>
      <c r="I373" s="3504">
        <v>741179</v>
      </c>
      <c r="J373" s="638">
        <v>0</v>
      </c>
      <c r="K373" s="151">
        <v>28120</v>
      </c>
      <c r="L373" s="3062">
        <f t="shared" si="45"/>
        <v>1060688</v>
      </c>
      <c r="M373" s="632">
        <v>128850</v>
      </c>
      <c r="N373" s="151">
        <v>27000</v>
      </c>
      <c r="O373" s="3504">
        <v>0</v>
      </c>
      <c r="P373" s="151">
        <v>0</v>
      </c>
      <c r="Q373" s="2396">
        <f t="shared" si="46"/>
        <v>155850</v>
      </c>
      <c r="R373" s="456">
        <v>55708</v>
      </c>
      <c r="S373" s="2942">
        <v>279731</v>
      </c>
      <c r="T373" s="456">
        <v>0</v>
      </c>
      <c r="U373" s="2942">
        <v>62875</v>
      </c>
      <c r="V373" s="2369">
        <f t="shared" si="39"/>
        <v>398314</v>
      </c>
      <c r="W373" s="2942">
        <v>401314</v>
      </c>
      <c r="X373" s="456">
        <v>0</v>
      </c>
      <c r="Y373" s="2942">
        <v>33890</v>
      </c>
      <c r="Z373" s="456">
        <v>0</v>
      </c>
      <c r="AA373" s="2942">
        <v>0</v>
      </c>
      <c r="AB373" s="2369">
        <f t="shared" si="40"/>
        <v>33890</v>
      </c>
      <c r="AC373" s="2944">
        <v>53890</v>
      </c>
    </row>
    <row r="374" spans="1:29">
      <c r="A374" s="53">
        <f t="shared" si="47"/>
        <v>2023.05</v>
      </c>
      <c r="B374" s="2395">
        <f t="shared" si="43"/>
        <v>1087094</v>
      </c>
      <c r="C374" s="2396">
        <f t="shared" si="44"/>
        <v>89110</v>
      </c>
      <c r="D374" s="386">
        <v>1741202</v>
      </c>
      <c r="E374" s="3504">
        <v>0</v>
      </c>
      <c r="F374" s="151">
        <v>166760</v>
      </c>
      <c r="G374" s="3065">
        <v>0</v>
      </c>
      <c r="H374" s="632">
        <v>314289</v>
      </c>
      <c r="I374" s="3504">
        <v>772805</v>
      </c>
      <c r="J374" s="638">
        <v>0</v>
      </c>
      <c r="K374" s="151">
        <v>0</v>
      </c>
      <c r="L374" s="3062">
        <f t="shared" si="45"/>
        <v>1087094</v>
      </c>
      <c r="M374" s="632">
        <v>42610</v>
      </c>
      <c r="N374" s="151">
        <v>46500</v>
      </c>
      <c r="O374" s="3504">
        <v>0</v>
      </c>
      <c r="P374" s="151">
        <v>0</v>
      </c>
      <c r="Q374" s="2396">
        <f t="shared" si="46"/>
        <v>89110</v>
      </c>
      <c r="R374" s="456">
        <v>121344</v>
      </c>
      <c r="S374" s="2942">
        <v>317288</v>
      </c>
      <c r="T374" s="456">
        <v>1843</v>
      </c>
      <c r="U374" s="2942">
        <v>50771</v>
      </c>
      <c r="V374" s="2369">
        <f t="shared" si="39"/>
        <v>491246</v>
      </c>
      <c r="W374" s="2942">
        <v>491246</v>
      </c>
      <c r="X374" s="456">
        <v>0</v>
      </c>
      <c r="Y374" s="2942">
        <v>13000</v>
      </c>
      <c r="Z374" s="456">
        <v>0</v>
      </c>
      <c r="AA374" s="2942">
        <v>0</v>
      </c>
      <c r="AB374" s="2369">
        <f t="shared" si="40"/>
        <v>13000</v>
      </c>
      <c r="AC374" s="2944">
        <v>81520</v>
      </c>
    </row>
    <row r="375" spans="1:29">
      <c r="A375" s="53">
        <f t="shared" si="47"/>
        <v>2023.06</v>
      </c>
      <c r="B375" s="2395">
        <f t="shared" si="43"/>
        <v>1573325</v>
      </c>
      <c r="C375" s="2396">
        <f t="shared" si="44"/>
        <v>81244</v>
      </c>
      <c r="D375" s="386">
        <v>2214253</v>
      </c>
      <c r="E375" s="3504">
        <v>0</v>
      </c>
      <c r="F375" s="151">
        <v>149744</v>
      </c>
      <c r="G375" s="3065">
        <v>0</v>
      </c>
      <c r="H375" s="632">
        <v>490918</v>
      </c>
      <c r="I375" s="3504">
        <v>1082407</v>
      </c>
      <c r="J375" s="638">
        <v>0</v>
      </c>
      <c r="K375" s="151">
        <v>0</v>
      </c>
      <c r="L375" s="3062">
        <f t="shared" si="45"/>
        <v>1573325</v>
      </c>
      <c r="M375" s="632">
        <v>53740</v>
      </c>
      <c r="N375" s="151">
        <v>27504</v>
      </c>
      <c r="O375" s="3504">
        <v>0</v>
      </c>
      <c r="P375" s="151">
        <v>0</v>
      </c>
      <c r="Q375" s="2396">
        <f t="shared" si="46"/>
        <v>81244</v>
      </c>
      <c r="R375" s="456">
        <v>73010</v>
      </c>
      <c r="S375" s="2942">
        <v>289358</v>
      </c>
      <c r="T375" s="456">
        <v>0</v>
      </c>
      <c r="U375" s="2942">
        <v>114128</v>
      </c>
      <c r="V375" s="2369">
        <f t="shared" si="39"/>
        <v>476496</v>
      </c>
      <c r="W375" s="2942">
        <v>476496</v>
      </c>
      <c r="X375" s="456">
        <v>0</v>
      </c>
      <c r="Y375" s="2942">
        <v>28651</v>
      </c>
      <c r="Z375" s="456">
        <v>0</v>
      </c>
      <c r="AA375" s="2942">
        <v>0</v>
      </c>
      <c r="AB375" s="2369">
        <f t="shared" si="40"/>
        <v>28651</v>
      </c>
      <c r="AC375" s="2944">
        <v>86335</v>
      </c>
    </row>
    <row r="376" spans="1:29">
      <c r="A376" s="53">
        <f t="shared" si="47"/>
        <v>2023.07</v>
      </c>
      <c r="B376" s="2395">
        <f t="shared" si="43"/>
        <v>2122198</v>
      </c>
      <c r="C376" s="2396">
        <f t="shared" si="44"/>
        <v>0</v>
      </c>
      <c r="D376" s="386">
        <v>2835046</v>
      </c>
      <c r="E376" s="3504">
        <v>0</v>
      </c>
      <c r="F376" s="151">
        <v>153160</v>
      </c>
      <c r="G376" s="3065">
        <v>0</v>
      </c>
      <c r="H376" s="632">
        <v>719517</v>
      </c>
      <c r="I376" s="3504">
        <v>1402681</v>
      </c>
      <c r="J376" s="638">
        <v>0</v>
      </c>
      <c r="K376" s="151">
        <v>0</v>
      </c>
      <c r="L376" s="3062">
        <f t="shared" si="45"/>
        <v>2122198</v>
      </c>
      <c r="M376" s="632">
        <v>0</v>
      </c>
      <c r="N376" s="151">
        <v>0</v>
      </c>
      <c r="O376" s="3504">
        <v>0</v>
      </c>
      <c r="P376" s="151">
        <v>0</v>
      </c>
      <c r="Q376" s="2396">
        <f t="shared" si="46"/>
        <v>0</v>
      </c>
      <c r="R376" s="456">
        <v>51040</v>
      </c>
      <c r="S376" s="2942">
        <v>189489</v>
      </c>
      <c r="T376" s="456">
        <v>8267</v>
      </c>
      <c r="U376" s="2942">
        <v>66370</v>
      </c>
      <c r="V376" s="2369">
        <f t="shared" si="39"/>
        <v>315166</v>
      </c>
      <c r="W376" s="2942">
        <v>315166</v>
      </c>
      <c r="X376" s="456">
        <v>0</v>
      </c>
      <c r="Y376" s="2942">
        <v>34450</v>
      </c>
      <c r="Z376" s="456">
        <v>0</v>
      </c>
      <c r="AA376" s="2942">
        <v>0</v>
      </c>
      <c r="AB376" s="2369">
        <f t="shared" si="40"/>
        <v>34450</v>
      </c>
      <c r="AC376" s="2944">
        <v>80620</v>
      </c>
    </row>
    <row r="377" spans="1:29">
      <c r="A377" s="53">
        <f t="shared" si="47"/>
        <v>2023.08</v>
      </c>
      <c r="B377" s="2395">
        <f t="shared" si="43"/>
        <v>3056065</v>
      </c>
      <c r="C377" s="2396">
        <f t="shared" si="44"/>
        <v>58430</v>
      </c>
      <c r="D377" s="386">
        <v>3934564</v>
      </c>
      <c r="E377" s="3504">
        <v>30495</v>
      </c>
      <c r="F377" s="151">
        <v>111387</v>
      </c>
      <c r="G377" s="3065">
        <v>0</v>
      </c>
      <c r="H377" s="632">
        <v>685133</v>
      </c>
      <c r="I377" s="3504">
        <f>2322483+17954</f>
        <v>2340437</v>
      </c>
      <c r="J377" s="638">
        <v>0</v>
      </c>
      <c r="K377" s="151">
        <v>30495</v>
      </c>
      <c r="L377" s="3062">
        <f t="shared" si="45"/>
        <v>3056065</v>
      </c>
      <c r="M377" s="632">
        <v>58430</v>
      </c>
      <c r="N377" s="151">
        <v>0</v>
      </c>
      <c r="O377" s="3504">
        <v>0</v>
      </c>
      <c r="P377" s="151">
        <v>0</v>
      </c>
      <c r="Q377" s="2396">
        <f t="shared" si="46"/>
        <v>58430</v>
      </c>
      <c r="R377" s="456">
        <v>37900</v>
      </c>
      <c r="S377" s="2942">
        <v>149649</v>
      </c>
      <c r="T377" s="456">
        <v>0</v>
      </c>
      <c r="U377" s="2942">
        <v>47053</v>
      </c>
      <c r="V377" s="2369">
        <f t="shared" si="39"/>
        <v>234602</v>
      </c>
      <c r="W377" s="2942">
        <v>239602</v>
      </c>
      <c r="X377" s="456">
        <v>0</v>
      </c>
      <c r="Y377" s="2942">
        <v>22700</v>
      </c>
      <c r="Z377" s="456">
        <v>0</v>
      </c>
      <c r="AA377" s="2942">
        <v>0</v>
      </c>
      <c r="AB377" s="2369">
        <f t="shared" si="40"/>
        <v>22700</v>
      </c>
      <c r="AC377" s="2944">
        <v>81050</v>
      </c>
    </row>
    <row r="378" spans="1:29">
      <c r="A378" s="53">
        <f t="shared" si="47"/>
        <v>2023.09</v>
      </c>
      <c r="B378" s="2395">
        <f t="shared" si="43"/>
        <v>2190357</v>
      </c>
      <c r="C378" s="2396">
        <f t="shared" si="44"/>
        <v>0</v>
      </c>
      <c r="D378" s="386">
        <v>2891785</v>
      </c>
      <c r="E378" s="3504">
        <v>37864</v>
      </c>
      <c r="F378" s="151">
        <v>124649</v>
      </c>
      <c r="G378" s="3065">
        <v>0</v>
      </c>
      <c r="H378" s="632">
        <v>838501</v>
      </c>
      <c r="I378" s="3504">
        <f>82021+1231971</f>
        <v>1313992</v>
      </c>
      <c r="J378" s="638">
        <v>0</v>
      </c>
      <c r="K378" s="151">
        <v>37864</v>
      </c>
      <c r="L378" s="3062">
        <f t="shared" si="45"/>
        <v>2190357</v>
      </c>
      <c r="M378" s="632">
        <v>0</v>
      </c>
      <c r="N378" s="151">
        <v>0</v>
      </c>
      <c r="O378" s="3504">
        <v>0</v>
      </c>
      <c r="P378" s="151">
        <v>0</v>
      </c>
      <c r="Q378" s="2396">
        <f t="shared" si="46"/>
        <v>0</v>
      </c>
      <c r="R378" s="456">
        <v>34000</v>
      </c>
      <c r="S378" s="2942">
        <v>199987</v>
      </c>
      <c r="T378" s="456">
        <v>0</v>
      </c>
      <c r="U378" s="2942">
        <v>109343</v>
      </c>
      <c r="V378" s="2369">
        <f t="shared" si="39"/>
        <v>343330</v>
      </c>
      <c r="W378" s="2942">
        <v>343330</v>
      </c>
      <c r="X378" s="456">
        <v>0</v>
      </c>
      <c r="Y378" s="2942">
        <v>28961</v>
      </c>
      <c r="Z378" s="456">
        <v>0</v>
      </c>
      <c r="AA378" s="2942">
        <v>0</v>
      </c>
      <c r="AB378" s="2369">
        <f t="shared" si="40"/>
        <v>28961</v>
      </c>
      <c r="AC378" s="2944">
        <v>70461</v>
      </c>
    </row>
    <row r="379" spans="1:29">
      <c r="A379" s="53">
        <f t="shared" si="47"/>
        <v>2023.1</v>
      </c>
      <c r="B379" s="2395">
        <f t="shared" si="43"/>
        <v>1308566</v>
      </c>
      <c r="C379" s="2396">
        <f t="shared" si="44"/>
        <v>29700</v>
      </c>
      <c r="D379" s="386">
        <v>1637070</v>
      </c>
      <c r="E379" s="3504">
        <v>120036</v>
      </c>
      <c r="F379" s="151">
        <v>56700</v>
      </c>
      <c r="G379" s="3065">
        <v>0</v>
      </c>
      <c r="H379" s="632">
        <v>376475</v>
      </c>
      <c r="I379" s="3504">
        <v>812055</v>
      </c>
      <c r="J379" s="638">
        <v>0</v>
      </c>
      <c r="K379" s="151">
        <v>120036</v>
      </c>
      <c r="L379" s="3062">
        <f t="shared" si="45"/>
        <v>1308566</v>
      </c>
      <c r="M379" s="632">
        <v>29700</v>
      </c>
      <c r="N379" s="151">
        <v>0</v>
      </c>
      <c r="O379" s="3504">
        <v>0</v>
      </c>
      <c r="P379" s="151">
        <v>0</v>
      </c>
      <c r="Q379" s="2396">
        <f t="shared" si="46"/>
        <v>29700</v>
      </c>
      <c r="R379" s="456">
        <v>25803</v>
      </c>
      <c r="S379" s="2942">
        <v>151318</v>
      </c>
      <c r="T379" s="456">
        <v>4697</v>
      </c>
      <c r="U379" s="2942">
        <f>57869+26342</f>
        <v>84211</v>
      </c>
      <c r="V379" s="2369">
        <f t="shared" si="39"/>
        <v>266029</v>
      </c>
      <c r="W379" s="2942">
        <f>177121+57869+31039</f>
        <v>266029</v>
      </c>
      <c r="X379" s="456">
        <v>0</v>
      </c>
      <c r="Y379" s="2942">
        <v>14950</v>
      </c>
      <c r="Z379" s="456">
        <v>0</v>
      </c>
      <c r="AA379" s="2942">
        <v>0</v>
      </c>
      <c r="AB379" s="2369">
        <f t="shared" si="40"/>
        <v>14950</v>
      </c>
      <c r="AC379" s="2944">
        <v>55273</v>
      </c>
    </row>
    <row r="380" spans="1:29">
      <c r="A380" s="53">
        <f t="shared" si="47"/>
        <v>2023.11</v>
      </c>
      <c r="B380" s="2395">
        <f t="shared" si="43"/>
        <v>968767</v>
      </c>
      <c r="C380" s="2396">
        <f t="shared" si="44"/>
        <v>138258</v>
      </c>
      <c r="D380" s="386">
        <v>1130563</v>
      </c>
      <c r="E380" s="3504">
        <v>190780</v>
      </c>
      <c r="F380" s="151">
        <v>161558</v>
      </c>
      <c r="G380" s="3065">
        <v>0</v>
      </c>
      <c r="H380" s="632">
        <v>213313</v>
      </c>
      <c r="I380" s="3504">
        <v>564674</v>
      </c>
      <c r="J380" s="638">
        <v>0</v>
      </c>
      <c r="K380" s="151">
        <v>190780</v>
      </c>
      <c r="L380" s="3062">
        <f t="shared" si="45"/>
        <v>968767</v>
      </c>
      <c r="M380" s="632">
        <v>103258</v>
      </c>
      <c r="N380" s="151">
        <v>35000</v>
      </c>
      <c r="O380" s="3504">
        <v>0</v>
      </c>
      <c r="P380" s="151">
        <v>0</v>
      </c>
      <c r="Q380" s="2396">
        <f t="shared" si="46"/>
        <v>138258</v>
      </c>
      <c r="R380" s="456">
        <v>34113</v>
      </c>
      <c r="S380" s="2942">
        <v>164196</v>
      </c>
      <c r="T380" s="456">
        <v>10687</v>
      </c>
      <c r="U380" s="2942">
        <v>43176</v>
      </c>
      <c r="V380" s="2369">
        <f t="shared" si="39"/>
        <v>252172</v>
      </c>
      <c r="W380" s="2942">
        <v>255872</v>
      </c>
      <c r="X380" s="456">
        <v>0</v>
      </c>
      <c r="Y380" s="2942">
        <v>21498</v>
      </c>
      <c r="Z380" s="456">
        <v>0</v>
      </c>
      <c r="AA380" s="2942">
        <v>0</v>
      </c>
      <c r="AB380" s="2369">
        <f t="shared" si="40"/>
        <v>21498</v>
      </c>
      <c r="AC380" s="2944">
        <v>44358</v>
      </c>
    </row>
    <row r="381" spans="1:29">
      <c r="A381" s="53">
        <f t="shared" si="47"/>
        <v>2023.12</v>
      </c>
      <c r="B381" s="2395">
        <f t="shared" si="43"/>
        <v>989074</v>
      </c>
      <c r="C381" s="2396">
        <f t="shared" si="44"/>
        <v>709267</v>
      </c>
      <c r="D381" s="386">
        <v>1221503</v>
      </c>
      <c r="E381" s="3504">
        <v>111029</v>
      </c>
      <c r="F381" s="151">
        <v>748156</v>
      </c>
      <c r="G381" s="3065">
        <v>0</v>
      </c>
      <c r="H381" s="632">
        <v>348396</v>
      </c>
      <c r="I381" s="3504">
        <v>529649</v>
      </c>
      <c r="J381" s="638">
        <v>0</v>
      </c>
      <c r="K381" s="151">
        <v>111029</v>
      </c>
      <c r="L381" s="3062">
        <f t="shared" si="45"/>
        <v>989074</v>
      </c>
      <c r="M381" s="632">
        <v>313824</v>
      </c>
      <c r="N381" s="151">
        <v>395443</v>
      </c>
      <c r="O381" s="3504">
        <v>0</v>
      </c>
      <c r="P381" s="151">
        <v>0</v>
      </c>
      <c r="Q381" s="2396">
        <f t="shared" si="46"/>
        <v>709267</v>
      </c>
      <c r="R381" s="456">
        <v>105948</v>
      </c>
      <c r="S381" s="2942">
        <v>160005</v>
      </c>
      <c r="T381" s="456">
        <v>7677</v>
      </c>
      <c r="U381" s="2942">
        <v>49211</v>
      </c>
      <c r="V381" s="2369">
        <f t="shared" si="39"/>
        <v>322841</v>
      </c>
      <c r="W381" s="2942">
        <v>322841</v>
      </c>
      <c r="X381" s="456">
        <v>0</v>
      </c>
      <c r="Y381" s="2942">
        <v>5962</v>
      </c>
      <c r="Z381" s="456">
        <v>0</v>
      </c>
      <c r="AA381" s="2942">
        <v>0</v>
      </c>
      <c r="AB381" s="2369">
        <f t="shared" si="40"/>
        <v>5962</v>
      </c>
      <c r="AC381" s="2944">
        <v>26382</v>
      </c>
    </row>
    <row r="382" spans="1:29">
      <c r="A382" s="53">
        <f t="shared" si="47"/>
        <v>2024.01</v>
      </c>
      <c r="B382" s="2395">
        <f>L382</f>
        <v>1690798</v>
      </c>
      <c r="C382" s="2396">
        <f t="shared" si="44"/>
        <v>803737</v>
      </c>
      <c r="D382" s="386">
        <v>1940076</v>
      </c>
      <c r="E382" s="3504">
        <v>60395</v>
      </c>
      <c r="F382" s="151">
        <v>1223839</v>
      </c>
      <c r="G382" s="3065">
        <v>0</v>
      </c>
      <c r="H382" s="632">
        <v>560991</v>
      </c>
      <c r="I382" s="3504">
        <v>1069412</v>
      </c>
      <c r="J382" s="638">
        <v>0</v>
      </c>
      <c r="K382" s="151">
        <v>60395</v>
      </c>
      <c r="L382" s="3062">
        <f t="shared" si="45"/>
        <v>1690798</v>
      </c>
      <c r="M382" s="632">
        <v>211325</v>
      </c>
      <c r="N382" s="151">
        <v>592412</v>
      </c>
      <c r="O382" s="3504">
        <v>0</v>
      </c>
      <c r="P382" s="151">
        <v>0</v>
      </c>
      <c r="Q382" s="2396">
        <f t="shared" si="46"/>
        <v>803737</v>
      </c>
      <c r="R382" s="456">
        <v>36010</v>
      </c>
      <c r="S382" s="2942">
        <v>162651</v>
      </c>
      <c r="T382" s="456">
        <v>0</v>
      </c>
      <c r="U382" s="2942">
        <v>25313</v>
      </c>
      <c r="V382" s="2369">
        <f t="shared" si="39"/>
        <v>223974</v>
      </c>
      <c r="W382" s="2942">
        <v>248195</v>
      </c>
      <c r="X382" s="456">
        <v>0</v>
      </c>
      <c r="Y382" s="2942">
        <v>30500</v>
      </c>
      <c r="Z382" s="456">
        <v>0</v>
      </c>
      <c r="AA382" s="2942">
        <v>0</v>
      </c>
      <c r="AB382" s="2369">
        <f t="shared" si="40"/>
        <v>30500</v>
      </c>
      <c r="AC382" s="2944">
        <v>40233</v>
      </c>
    </row>
    <row r="383" spans="1:29">
      <c r="A383" s="53">
        <f t="shared" si="47"/>
        <v>2024.02</v>
      </c>
      <c r="B383" s="2395">
        <f t="shared" si="43"/>
        <v>1382781</v>
      </c>
      <c r="C383" s="2396">
        <f t="shared" si="44"/>
        <v>759624</v>
      </c>
      <c r="D383" s="386">
        <v>1775038</v>
      </c>
      <c r="E383" s="3504">
        <v>43106</v>
      </c>
      <c r="F383" s="151">
        <v>1142541</v>
      </c>
      <c r="G383" s="3065">
        <v>9630</v>
      </c>
      <c r="H383" s="632">
        <v>404851</v>
      </c>
      <c r="I383" s="3504">
        <v>934824</v>
      </c>
      <c r="J383" s="638">
        <v>0</v>
      </c>
      <c r="K383" s="151">
        <v>43106</v>
      </c>
      <c r="L383" s="3062">
        <f t="shared" si="45"/>
        <v>1382781</v>
      </c>
      <c r="M383" s="632">
        <v>221039</v>
      </c>
      <c r="N383" s="151">
        <v>528955</v>
      </c>
      <c r="O383" s="3504">
        <v>0</v>
      </c>
      <c r="P383" s="151">
        <v>9630</v>
      </c>
      <c r="Q383" s="2396">
        <f t="shared" si="46"/>
        <v>759624</v>
      </c>
      <c r="R383" s="456">
        <v>90924</v>
      </c>
      <c r="S383" s="2942">
        <v>266048</v>
      </c>
      <c r="T383" s="456">
        <v>5170</v>
      </c>
      <c r="U383" s="2942">
        <v>98286</v>
      </c>
      <c r="V383" s="2369">
        <f t="shared" si="39"/>
        <v>460428</v>
      </c>
      <c r="W383" s="2942">
        <v>460428</v>
      </c>
      <c r="X383" s="456">
        <v>0</v>
      </c>
      <c r="Y383" s="2942">
        <v>37146</v>
      </c>
      <c r="Z383" s="456">
        <v>0</v>
      </c>
      <c r="AA383" s="2942">
        <v>0</v>
      </c>
      <c r="AB383" s="2369">
        <f t="shared" si="40"/>
        <v>37146</v>
      </c>
      <c r="AC383" s="2944">
        <v>37146</v>
      </c>
    </row>
    <row r="384" spans="1:29">
      <c r="A384" s="53">
        <f t="shared" si="47"/>
        <v>2024.03</v>
      </c>
      <c r="B384" s="2395">
        <f t="shared" si="43"/>
        <v>2987286</v>
      </c>
      <c r="C384" s="2396">
        <f t="shared" si="44"/>
        <v>545618</v>
      </c>
      <c r="D384" s="386">
        <v>3710101</v>
      </c>
      <c r="E384" s="3504">
        <v>0</v>
      </c>
      <c r="F384" s="151">
        <v>997797</v>
      </c>
      <c r="G384" s="3065">
        <v>9773</v>
      </c>
      <c r="H384" s="632">
        <v>1031953</v>
      </c>
      <c r="I384" s="3504">
        <v>1955333</v>
      </c>
      <c r="J384" s="638">
        <v>0</v>
      </c>
      <c r="K384" s="151">
        <v>0</v>
      </c>
      <c r="L384" s="3062">
        <f t="shared" si="45"/>
        <v>2987286</v>
      </c>
      <c r="M384" s="632">
        <v>282053</v>
      </c>
      <c r="N384" s="151">
        <v>253792</v>
      </c>
      <c r="O384" s="3504">
        <v>9773</v>
      </c>
      <c r="P384" s="151">
        <v>0</v>
      </c>
      <c r="Q384" s="2396">
        <f t="shared" si="46"/>
        <v>545618</v>
      </c>
      <c r="R384" s="456">
        <v>79112</v>
      </c>
      <c r="S384" s="2942">
        <v>288875</v>
      </c>
      <c r="T384" s="456">
        <v>884</v>
      </c>
      <c r="U384" s="2942">
        <v>17204</v>
      </c>
      <c r="V384" s="2369">
        <f t="shared" si="39"/>
        <v>386075</v>
      </c>
      <c r="W384" s="2942">
        <v>386075</v>
      </c>
      <c r="X384" s="456">
        <v>0</v>
      </c>
      <c r="Y384" s="2942">
        <v>40860</v>
      </c>
      <c r="Z384" s="456">
        <v>0</v>
      </c>
      <c r="AA384" s="2942">
        <v>0</v>
      </c>
      <c r="AB384" s="2369">
        <f t="shared" si="40"/>
        <v>40860</v>
      </c>
      <c r="AC384" s="2944">
        <v>76515</v>
      </c>
    </row>
    <row r="385" spans="1:29">
      <c r="A385" s="53">
        <f t="shared" si="47"/>
        <v>2024.04</v>
      </c>
      <c r="B385" s="2395">
        <f t="shared" si="43"/>
        <v>2892076</v>
      </c>
      <c r="C385" s="2396">
        <f t="shared" si="44"/>
        <v>395925</v>
      </c>
      <c r="D385" s="386">
        <v>4601941</v>
      </c>
      <c r="E385" s="3504">
        <v>0</v>
      </c>
      <c r="F385" s="151">
        <v>517896</v>
      </c>
      <c r="G385" s="3065">
        <v>0</v>
      </c>
      <c r="H385" s="632">
        <v>887268</v>
      </c>
      <c r="I385" s="3504">
        <v>2004808</v>
      </c>
      <c r="J385" s="638">
        <v>0</v>
      </c>
      <c r="K385" s="151">
        <v>0</v>
      </c>
      <c r="L385" s="3062">
        <f t="shared" si="45"/>
        <v>2892076</v>
      </c>
      <c r="M385" s="632">
        <v>217297</v>
      </c>
      <c r="N385" s="151">
        <v>178628</v>
      </c>
      <c r="O385" s="3504">
        <v>0</v>
      </c>
      <c r="P385" s="151">
        <v>0</v>
      </c>
      <c r="Q385" s="2396">
        <f t="shared" si="46"/>
        <v>395925</v>
      </c>
      <c r="R385" s="456">
        <v>61130</v>
      </c>
      <c r="S385" s="2942">
        <v>454148</v>
      </c>
      <c r="T385" s="456">
        <v>0</v>
      </c>
      <c r="U385" s="2942">
        <v>28000</v>
      </c>
      <c r="V385" s="2369">
        <f t="shared" si="39"/>
        <v>543278</v>
      </c>
      <c r="W385" s="2942">
        <v>543278</v>
      </c>
      <c r="X385" s="456">
        <v>0</v>
      </c>
      <c r="Y385" s="2942">
        <v>52656</v>
      </c>
      <c r="Z385" s="456">
        <v>0</v>
      </c>
      <c r="AA385" s="2942">
        <v>0</v>
      </c>
      <c r="AB385" s="2369">
        <f t="shared" si="40"/>
        <v>52656</v>
      </c>
      <c r="AC385" s="2944">
        <v>52656</v>
      </c>
    </row>
    <row r="386" spans="1:29">
      <c r="A386" s="53">
        <f t="shared" si="47"/>
        <v>2024.05</v>
      </c>
      <c r="B386" s="2395">
        <f t="shared" si="43"/>
        <v>2531431</v>
      </c>
      <c r="C386" s="2396">
        <f t="shared" si="44"/>
        <v>396640</v>
      </c>
      <c r="D386" s="386">
        <v>3473277</v>
      </c>
      <c r="E386" s="3504">
        <v>0</v>
      </c>
      <c r="F386" s="151">
        <v>503743</v>
      </c>
      <c r="G386" s="3065">
        <v>0</v>
      </c>
      <c r="H386" s="632">
        <v>823449</v>
      </c>
      <c r="I386" s="3504">
        <v>1707982</v>
      </c>
      <c r="J386" s="638">
        <v>0</v>
      </c>
      <c r="K386" s="151">
        <v>0</v>
      </c>
      <c r="L386" s="3062">
        <f t="shared" si="45"/>
        <v>2531431</v>
      </c>
      <c r="M386" s="632">
        <v>187745</v>
      </c>
      <c r="N386" s="151">
        <v>208895</v>
      </c>
      <c r="O386" s="3504">
        <v>0</v>
      </c>
      <c r="P386" s="151">
        <v>0</v>
      </c>
      <c r="Q386" s="2396">
        <f t="shared" si="46"/>
        <v>396640</v>
      </c>
      <c r="R386" s="456">
        <v>91200</v>
      </c>
      <c r="S386" s="2942">
        <v>447173</v>
      </c>
      <c r="T386" s="456">
        <v>0</v>
      </c>
      <c r="U386" s="2942">
        <v>34981</v>
      </c>
      <c r="V386" s="2369">
        <f t="shared" si="39"/>
        <v>573354</v>
      </c>
      <c r="W386" s="2942">
        <v>573354</v>
      </c>
      <c r="X386" s="456">
        <v>0</v>
      </c>
      <c r="Y386" s="2942">
        <v>71689</v>
      </c>
      <c r="Z386" s="456">
        <v>0</v>
      </c>
      <c r="AA386" s="2942">
        <v>0</v>
      </c>
      <c r="AB386" s="2369">
        <f t="shared" si="40"/>
        <v>71689</v>
      </c>
      <c r="AC386" s="2944">
        <v>139157</v>
      </c>
    </row>
    <row r="387" spans="1:29">
      <c r="A387" s="53">
        <f t="shared" si="47"/>
        <v>2024.06</v>
      </c>
      <c r="B387" s="2395">
        <f>L387</f>
        <v>1847083</v>
      </c>
      <c r="C387" s="2396">
        <f>Q387</f>
        <v>126163</v>
      </c>
      <c r="D387" s="386">
        <v>2201931</v>
      </c>
      <c r="E387" s="3504">
        <v>0</v>
      </c>
      <c r="F387" s="151">
        <v>288232</v>
      </c>
      <c r="G387" s="3065">
        <v>0</v>
      </c>
      <c r="H387" s="632">
        <v>601801</v>
      </c>
      <c r="I387" s="3504">
        <v>1245282</v>
      </c>
      <c r="J387" s="638">
        <v>0</v>
      </c>
      <c r="K387" s="151">
        <v>0</v>
      </c>
      <c r="L387" s="3062">
        <f t="shared" si="45"/>
        <v>1847083</v>
      </c>
      <c r="M387" s="632">
        <v>66000</v>
      </c>
      <c r="N387" s="151">
        <v>60163</v>
      </c>
      <c r="O387" s="3504">
        <v>0</v>
      </c>
      <c r="P387" s="151">
        <v>0</v>
      </c>
      <c r="Q387" s="2396">
        <f t="shared" si="46"/>
        <v>126163</v>
      </c>
      <c r="R387" s="456">
        <v>102085</v>
      </c>
      <c r="S387" s="2942">
        <v>503715</v>
      </c>
      <c r="T387" s="456">
        <v>0</v>
      </c>
      <c r="U387" s="2942">
        <v>58994</v>
      </c>
      <c r="V387" s="2369">
        <f t="shared" si="39"/>
        <v>664794</v>
      </c>
      <c r="W387" s="2942">
        <v>666911</v>
      </c>
      <c r="X387" s="456">
        <v>0</v>
      </c>
      <c r="Y387" s="2942">
        <v>17500</v>
      </c>
      <c r="Z387" s="456">
        <v>0</v>
      </c>
      <c r="AA387" s="2942">
        <v>0</v>
      </c>
      <c r="AB387" s="2369">
        <f t="shared" si="40"/>
        <v>17500</v>
      </c>
      <c r="AC387" s="2944">
        <v>40815</v>
      </c>
    </row>
    <row r="388" spans="1:29">
      <c r="A388" s="53">
        <f t="shared" si="47"/>
        <v>2024.07</v>
      </c>
      <c r="B388" s="2395">
        <f t="shared" si="43"/>
        <v>2764674</v>
      </c>
      <c r="C388" s="2396">
        <f t="shared" si="44"/>
        <v>162505</v>
      </c>
      <c r="D388" s="386">
        <v>4080103</v>
      </c>
      <c r="E388" s="3504">
        <v>0</v>
      </c>
      <c r="F388" s="151">
        <v>357285</v>
      </c>
      <c r="G388" s="3065">
        <v>0</v>
      </c>
      <c r="H388" s="632">
        <v>684827</v>
      </c>
      <c r="I388" s="3504">
        <v>2079847</v>
      </c>
      <c r="J388" s="638">
        <v>0</v>
      </c>
      <c r="K388" s="151">
        <v>0</v>
      </c>
      <c r="L388" s="3062">
        <f t="shared" si="45"/>
        <v>2764674</v>
      </c>
      <c r="M388" s="632">
        <v>63655</v>
      </c>
      <c r="N388" s="151">
        <v>98850</v>
      </c>
      <c r="O388" s="3504">
        <v>0</v>
      </c>
      <c r="P388" s="151">
        <v>0</v>
      </c>
      <c r="Q388" s="2396">
        <f t="shared" si="46"/>
        <v>162505</v>
      </c>
      <c r="R388" s="456">
        <v>54000</v>
      </c>
      <c r="S388" s="2942">
        <v>493622</v>
      </c>
      <c r="T388" s="456">
        <v>0</v>
      </c>
      <c r="U388" s="2942">
        <v>8315</v>
      </c>
      <c r="V388" s="2369">
        <f t="shared" si="39"/>
        <v>555937</v>
      </c>
      <c r="W388" s="2942">
        <v>555937</v>
      </c>
      <c r="X388" s="456">
        <v>0</v>
      </c>
      <c r="Y388" s="2942">
        <v>52054</v>
      </c>
      <c r="Z388" s="456">
        <v>0</v>
      </c>
      <c r="AA388" s="2942">
        <v>0</v>
      </c>
      <c r="AB388" s="2369">
        <f t="shared" si="40"/>
        <v>52054</v>
      </c>
      <c r="AC388" s="2944">
        <v>166010</v>
      </c>
    </row>
    <row r="389" spans="1:29">
      <c r="A389" s="53">
        <f t="shared" si="47"/>
        <v>2024.08</v>
      </c>
      <c r="B389" s="2395">
        <f t="shared" si="43"/>
        <v>1781602</v>
      </c>
      <c r="C389" s="2396">
        <f t="shared" si="44"/>
        <v>141363</v>
      </c>
      <c r="D389" s="386">
        <v>2649428</v>
      </c>
      <c r="E389" s="3504">
        <v>0</v>
      </c>
      <c r="F389" s="151">
        <v>203363</v>
      </c>
      <c r="G389" s="3065">
        <v>0</v>
      </c>
      <c r="H389" s="632">
        <v>475691</v>
      </c>
      <c r="I389" s="3504">
        <v>1305911</v>
      </c>
      <c r="J389" s="638">
        <v>0</v>
      </c>
      <c r="K389" s="151">
        <v>0</v>
      </c>
      <c r="L389" s="3062">
        <f t="shared" si="45"/>
        <v>1781602</v>
      </c>
      <c r="M389" s="632">
        <v>111693</v>
      </c>
      <c r="N389" s="151">
        <v>29670</v>
      </c>
      <c r="O389" s="3504">
        <v>0</v>
      </c>
      <c r="P389" s="151">
        <v>0</v>
      </c>
      <c r="Q389" s="2396">
        <f t="shared" si="46"/>
        <v>141363</v>
      </c>
      <c r="R389" s="456">
        <v>77400</v>
      </c>
      <c r="S389" s="2942">
        <v>353165</v>
      </c>
      <c r="T389" s="456">
        <v>4810</v>
      </c>
      <c r="U389" s="2942">
        <v>49848</v>
      </c>
      <c r="V389" s="2369">
        <f t="shared" si="39"/>
        <v>485223</v>
      </c>
      <c r="W389" s="2942">
        <v>485223</v>
      </c>
      <c r="X389" s="456">
        <v>0</v>
      </c>
      <c r="Y389" s="2942">
        <v>23200</v>
      </c>
      <c r="Z389" s="456">
        <v>0</v>
      </c>
      <c r="AA389" s="2942">
        <v>0</v>
      </c>
      <c r="AB389" s="2369">
        <f t="shared" si="40"/>
        <v>23200</v>
      </c>
      <c r="AC389" s="2944">
        <v>87680</v>
      </c>
    </row>
    <row r="390" spans="1:29">
      <c r="A390" s="53">
        <f t="shared" si="47"/>
        <v>2024.09</v>
      </c>
      <c r="B390" s="2395">
        <f t="shared" si="43"/>
        <v>1709021</v>
      </c>
      <c r="C390" s="2396">
        <f t="shared" si="44"/>
        <v>50014</v>
      </c>
      <c r="D390" s="386">
        <v>2834758</v>
      </c>
      <c r="E390" s="3504">
        <v>0</v>
      </c>
      <c r="F390" s="151">
        <v>167714</v>
      </c>
      <c r="G390" s="3065">
        <v>0</v>
      </c>
      <c r="H390" s="632">
        <v>628731</v>
      </c>
      <c r="I390" s="3504">
        <v>1080290</v>
      </c>
      <c r="J390" s="638">
        <v>0</v>
      </c>
      <c r="K390" s="151">
        <v>0</v>
      </c>
      <c r="L390" s="3062">
        <f t="shared" si="45"/>
        <v>1709021</v>
      </c>
      <c r="M390" s="632">
        <v>0</v>
      </c>
      <c r="N390" s="151">
        <v>50014</v>
      </c>
      <c r="O390" s="3504">
        <v>0</v>
      </c>
      <c r="P390" s="151">
        <v>0</v>
      </c>
      <c r="Q390" s="2396">
        <f t="shared" si="46"/>
        <v>50014</v>
      </c>
      <c r="R390" s="456">
        <v>72914</v>
      </c>
      <c r="S390" s="2942">
        <v>455427</v>
      </c>
      <c r="T390" s="456">
        <v>1830</v>
      </c>
      <c r="U390" s="2942">
        <f>32830+2500</f>
        <v>35330</v>
      </c>
      <c r="V390" s="2369">
        <f t="shared" si="39"/>
        <v>565501</v>
      </c>
      <c r="W390" s="2942">
        <v>565501</v>
      </c>
      <c r="X390" s="456">
        <v>0</v>
      </c>
      <c r="Y390" s="2942">
        <v>17592</v>
      </c>
      <c r="Z390" s="456">
        <v>0</v>
      </c>
      <c r="AA390" s="2942">
        <v>0</v>
      </c>
      <c r="AB390" s="2369">
        <f t="shared" si="40"/>
        <v>17592</v>
      </c>
      <c r="AC390" s="2944">
        <v>60043</v>
      </c>
    </row>
    <row r="391" spans="1:29">
      <c r="A391" s="53">
        <f t="shared" si="47"/>
        <v>2024.1</v>
      </c>
      <c r="B391" s="2395">
        <f t="shared" si="43"/>
        <v>1583592</v>
      </c>
      <c r="C391" s="2396">
        <f t="shared" si="44"/>
        <v>182550</v>
      </c>
      <c r="D391" s="386">
        <v>2511152</v>
      </c>
      <c r="E391" s="3504">
        <v>0</v>
      </c>
      <c r="F391" s="151">
        <v>268770</v>
      </c>
      <c r="G391" s="3065">
        <v>0</v>
      </c>
      <c r="H391" s="632">
        <v>540761</v>
      </c>
      <c r="I391" s="3504">
        <v>1042831</v>
      </c>
      <c r="J391" s="638">
        <v>0</v>
      </c>
      <c r="K391" s="151">
        <v>0</v>
      </c>
      <c r="L391" s="3062">
        <f t="shared" si="45"/>
        <v>1583592</v>
      </c>
      <c r="M391" s="632">
        <v>123800</v>
      </c>
      <c r="N391" s="151">
        <v>58750</v>
      </c>
      <c r="O391" s="3504">
        <v>0</v>
      </c>
      <c r="P391" s="151">
        <v>0</v>
      </c>
      <c r="Q391" s="2396">
        <f t="shared" si="46"/>
        <v>182550</v>
      </c>
      <c r="R391" s="456">
        <v>102934</v>
      </c>
      <c r="S391" s="2942">
        <v>523141</v>
      </c>
      <c r="T391" s="456">
        <v>0</v>
      </c>
      <c r="U391" s="2942">
        <v>26266</v>
      </c>
      <c r="V391" s="2369">
        <f t="shared" si="39"/>
        <v>652341</v>
      </c>
      <c r="W391" s="2942">
        <v>652341</v>
      </c>
      <c r="X391" s="456">
        <v>0</v>
      </c>
      <c r="Y391" s="2942">
        <v>21340</v>
      </c>
      <c r="Z391" s="456">
        <v>0</v>
      </c>
      <c r="AA391" s="2942">
        <v>0</v>
      </c>
      <c r="AB391" s="2369">
        <f t="shared" si="40"/>
        <v>21340</v>
      </c>
      <c r="AC391" s="2944">
        <v>58740</v>
      </c>
    </row>
    <row r="392" spans="1:29">
      <c r="A392" s="53">
        <f t="shared" si="47"/>
        <v>2024.11</v>
      </c>
      <c r="B392" s="2395">
        <f>L392</f>
        <v>1548414</v>
      </c>
      <c r="C392" s="2396">
        <f t="shared" si="44"/>
        <v>257697</v>
      </c>
      <c r="D392" s="386">
        <v>2335138</v>
      </c>
      <c r="E392" s="3504">
        <v>0</v>
      </c>
      <c r="F392" s="151">
        <v>361038</v>
      </c>
      <c r="G392" s="3065">
        <v>0</v>
      </c>
      <c r="H392" s="632">
        <v>602253</v>
      </c>
      <c r="I392" s="3504">
        <v>946161</v>
      </c>
      <c r="J392" s="638">
        <v>0</v>
      </c>
      <c r="K392" s="151">
        <v>0</v>
      </c>
      <c r="L392" s="3062">
        <f t="shared" si="45"/>
        <v>1548414</v>
      </c>
      <c r="M392" s="632">
        <v>125317</v>
      </c>
      <c r="N392" s="151">
        <v>132380</v>
      </c>
      <c r="O392" s="3504">
        <v>0</v>
      </c>
      <c r="P392" s="151">
        <v>0</v>
      </c>
      <c r="Q392" s="2396">
        <f t="shared" si="46"/>
        <v>257697</v>
      </c>
      <c r="R392" s="456">
        <v>73387</v>
      </c>
      <c r="S392" s="2942">
        <v>510928</v>
      </c>
      <c r="T392" s="456">
        <v>1648</v>
      </c>
      <c r="U392" s="2942">
        <v>12907</v>
      </c>
      <c r="V392" s="2369">
        <f t="shared" si="39"/>
        <v>598870</v>
      </c>
      <c r="W392" s="2942">
        <v>598870</v>
      </c>
      <c r="X392" s="456">
        <v>0</v>
      </c>
      <c r="Y392" s="2942">
        <v>27700</v>
      </c>
      <c r="Z392" s="456">
        <v>0</v>
      </c>
      <c r="AA392" s="2942">
        <v>0</v>
      </c>
      <c r="AB392" s="2369">
        <f t="shared" si="40"/>
        <v>27700</v>
      </c>
      <c r="AC392" s="2944">
        <v>111674</v>
      </c>
    </row>
    <row r="393" spans="1:29">
      <c r="A393" s="53">
        <f t="shared" si="47"/>
        <v>2024.12</v>
      </c>
      <c r="B393" s="2395">
        <f t="shared" si="43"/>
        <v>1574677</v>
      </c>
      <c r="C393" s="2396">
        <f t="shared" si="44"/>
        <v>825988</v>
      </c>
      <c r="D393" s="386">
        <v>2267359</v>
      </c>
      <c r="E393" s="3504">
        <v>0</v>
      </c>
      <c r="F393" s="151">
        <v>1269365</v>
      </c>
      <c r="G393" s="3065">
        <v>0</v>
      </c>
      <c r="H393" s="632">
        <v>537739</v>
      </c>
      <c r="I393" s="3504">
        <v>1036938</v>
      </c>
      <c r="J393" s="638">
        <v>0</v>
      </c>
      <c r="K393" s="151">
        <v>0</v>
      </c>
      <c r="L393" s="3062">
        <f t="shared" si="45"/>
        <v>1574677</v>
      </c>
      <c r="M393" s="632">
        <v>311970</v>
      </c>
      <c r="N393" s="151">
        <v>514018</v>
      </c>
      <c r="O393" s="3504">
        <v>0</v>
      </c>
      <c r="P393" s="151">
        <v>0</v>
      </c>
      <c r="Q393" s="2396">
        <f t="shared" si="46"/>
        <v>825988</v>
      </c>
      <c r="R393" s="456">
        <v>132850</v>
      </c>
      <c r="S393" s="2942">
        <v>418760</v>
      </c>
      <c r="T393" s="456">
        <v>0</v>
      </c>
      <c r="U393" s="2942">
        <v>20865</v>
      </c>
      <c r="V393" s="2369">
        <f t="shared" si="39"/>
        <v>572475</v>
      </c>
      <c r="W393" s="2942">
        <v>572475</v>
      </c>
      <c r="X393" s="456">
        <v>0</v>
      </c>
      <c r="Y393" s="2942">
        <v>20500</v>
      </c>
      <c r="Z393" s="456">
        <v>0</v>
      </c>
      <c r="AA393" s="2942">
        <v>0</v>
      </c>
      <c r="AB393" s="2369">
        <f t="shared" si="40"/>
        <v>20500</v>
      </c>
      <c r="AC393" s="2944">
        <v>29500</v>
      </c>
    </row>
    <row r="394" spans="1:29">
      <c r="A394" s="53">
        <f t="shared" si="47"/>
        <v>2025.01</v>
      </c>
      <c r="B394" s="2395">
        <f t="shared" si="43"/>
        <v>1923309</v>
      </c>
      <c r="C394" s="2396">
        <f t="shared" si="44"/>
        <v>1247962</v>
      </c>
      <c r="D394" s="386">
        <v>2473190</v>
      </c>
      <c r="E394" s="3504">
        <v>0</v>
      </c>
      <c r="F394" s="151">
        <v>1868380</v>
      </c>
      <c r="G394" s="3065">
        <v>0</v>
      </c>
      <c r="H394" s="632">
        <v>902966</v>
      </c>
      <c r="I394" s="3504">
        <v>1020343</v>
      </c>
      <c r="J394" s="638">
        <v>0</v>
      </c>
      <c r="K394" s="151">
        <v>0</v>
      </c>
      <c r="L394" s="3062">
        <f t="shared" si="45"/>
        <v>1923309</v>
      </c>
      <c r="M394" s="632">
        <v>295459</v>
      </c>
      <c r="N394" s="151">
        <v>952503</v>
      </c>
      <c r="O394" s="3504">
        <v>0</v>
      </c>
      <c r="P394" s="151">
        <v>0</v>
      </c>
      <c r="Q394" s="2396">
        <f t="shared" si="46"/>
        <v>1247962</v>
      </c>
      <c r="R394" s="456">
        <v>114608</v>
      </c>
      <c r="S394" s="2942">
        <v>332826</v>
      </c>
      <c r="T394" s="456">
        <v>0</v>
      </c>
      <c r="U394" s="2942">
        <v>5000</v>
      </c>
      <c r="V394" s="2369">
        <v>452434</v>
      </c>
      <c r="W394" s="2942">
        <v>457434</v>
      </c>
      <c r="X394" s="456">
        <v>0</v>
      </c>
      <c r="Y394" s="2942">
        <v>19545</v>
      </c>
      <c r="Z394" s="456">
        <v>0</v>
      </c>
      <c r="AA394" s="2942">
        <v>0</v>
      </c>
      <c r="AB394" s="2369">
        <v>19545</v>
      </c>
      <c r="AC394" s="2944">
        <v>36645</v>
      </c>
    </row>
    <row r="395" spans="1:29">
      <c r="A395" s="53">
        <f t="shared" si="47"/>
        <v>2025.02</v>
      </c>
      <c r="B395" s="2395">
        <f t="shared" si="43"/>
        <v>1723875</v>
      </c>
      <c r="C395" s="2396">
        <f t="shared" si="44"/>
        <v>928147</v>
      </c>
      <c r="D395" s="386">
        <v>2337546</v>
      </c>
      <c r="E395" s="3504">
        <v>0</v>
      </c>
      <c r="F395" s="151">
        <v>1721217</v>
      </c>
      <c r="G395" s="3065">
        <v>0</v>
      </c>
      <c r="H395" s="632">
        <v>722142</v>
      </c>
      <c r="I395" s="3504">
        <v>1001733</v>
      </c>
      <c r="J395" s="638">
        <v>0</v>
      </c>
      <c r="K395" s="151">
        <v>0</v>
      </c>
      <c r="L395" s="3062">
        <f t="shared" si="45"/>
        <v>1723875</v>
      </c>
      <c r="M395" s="632">
        <v>344564</v>
      </c>
      <c r="N395" s="151">
        <v>583583</v>
      </c>
      <c r="O395" s="3504">
        <v>0</v>
      </c>
      <c r="P395" s="151">
        <v>0</v>
      </c>
      <c r="Q395" s="2396">
        <f t="shared" si="46"/>
        <v>928147</v>
      </c>
      <c r="R395" s="456">
        <v>114170</v>
      </c>
      <c r="S395" s="2942">
        <v>405235</v>
      </c>
      <c r="T395" s="456">
        <v>8720</v>
      </c>
      <c r="U395" s="2942">
        <v>0</v>
      </c>
      <c r="V395" s="2369">
        <f t="shared" ref="V395:V426" si="48">SUM(R395:U395)</f>
        <v>528125</v>
      </c>
      <c r="W395" s="2942">
        <v>528125</v>
      </c>
      <c r="X395" s="456">
        <v>0</v>
      </c>
      <c r="Y395" s="2942">
        <v>47350</v>
      </c>
      <c r="Z395" s="456">
        <v>0</v>
      </c>
      <c r="AA395" s="2942">
        <v>0</v>
      </c>
      <c r="AB395" s="2369">
        <f t="shared" ref="AB395:AB426" si="49">SUM(X395:AA395)</f>
        <v>47350</v>
      </c>
      <c r="AC395" s="2944">
        <v>55350</v>
      </c>
    </row>
    <row r="396" spans="1:29">
      <c r="A396" s="53">
        <f t="shared" si="47"/>
        <v>2025.03</v>
      </c>
      <c r="B396" s="2395">
        <f t="shared" si="43"/>
        <v>2308772</v>
      </c>
      <c r="C396" s="2396">
        <f t="shared" si="44"/>
        <v>615405</v>
      </c>
      <c r="D396" s="386">
        <v>2913436</v>
      </c>
      <c r="E396" s="3504">
        <v>0</v>
      </c>
      <c r="F396" s="151">
        <v>1126084</v>
      </c>
      <c r="G396" s="3065">
        <v>0</v>
      </c>
      <c r="H396" s="632">
        <v>910325</v>
      </c>
      <c r="I396" s="3504">
        <v>1398447</v>
      </c>
      <c r="J396" s="638">
        <v>0</v>
      </c>
      <c r="K396" s="151">
        <v>0</v>
      </c>
      <c r="L396" s="3062">
        <f t="shared" si="45"/>
        <v>2308772</v>
      </c>
      <c r="M396" s="632">
        <v>357505</v>
      </c>
      <c r="N396" s="151">
        <v>257900</v>
      </c>
      <c r="O396" s="3504">
        <v>0</v>
      </c>
      <c r="P396" s="151">
        <v>0</v>
      </c>
      <c r="Q396" s="2396">
        <f t="shared" si="46"/>
        <v>615405</v>
      </c>
      <c r="R396" s="456">
        <v>61800</v>
      </c>
      <c r="S396" s="2942">
        <v>355387</v>
      </c>
      <c r="T396" s="456">
        <v>0</v>
      </c>
      <c r="U396" s="2942">
        <v>1500</v>
      </c>
      <c r="V396" s="2369">
        <f t="shared" si="48"/>
        <v>418687</v>
      </c>
      <c r="W396" s="2942">
        <v>418687</v>
      </c>
      <c r="X396" s="456">
        <v>0</v>
      </c>
      <c r="Y396" s="2942">
        <v>60850</v>
      </c>
      <c r="Z396" s="456">
        <v>0</v>
      </c>
      <c r="AA396" s="2942">
        <v>0</v>
      </c>
      <c r="AB396" s="2369">
        <f t="shared" si="49"/>
        <v>60850</v>
      </c>
      <c r="AC396" s="2944">
        <v>92630</v>
      </c>
    </row>
    <row r="397" spans="1:29">
      <c r="A397" s="53">
        <f t="shared" si="47"/>
        <v>2025.04</v>
      </c>
      <c r="B397" s="2395">
        <f t="shared" si="43"/>
        <v>2754737</v>
      </c>
      <c r="C397" s="2396">
        <f t="shared" si="44"/>
        <v>259875</v>
      </c>
      <c r="D397" s="386">
        <v>3686749</v>
      </c>
      <c r="E397" s="3504">
        <v>0</v>
      </c>
      <c r="F397" s="151">
        <v>531570</v>
      </c>
      <c r="G397" s="3065">
        <v>0</v>
      </c>
      <c r="H397" s="632">
        <v>839712</v>
      </c>
      <c r="I397" s="3504">
        <v>1915025</v>
      </c>
      <c r="J397" s="638">
        <v>0</v>
      </c>
      <c r="K397" s="151">
        <v>0</v>
      </c>
      <c r="L397" s="3062">
        <f t="shared" si="45"/>
        <v>2754737</v>
      </c>
      <c r="M397" s="632">
        <v>57800</v>
      </c>
      <c r="N397" s="151">
        <v>202075</v>
      </c>
      <c r="O397" s="3504">
        <v>0</v>
      </c>
      <c r="P397" s="151">
        <v>0</v>
      </c>
      <c r="Q397" s="2396">
        <f t="shared" si="46"/>
        <v>259875</v>
      </c>
      <c r="R397" s="456">
        <v>91275</v>
      </c>
      <c r="S397" s="2942">
        <v>425347</v>
      </c>
      <c r="T397" s="456">
        <v>3670</v>
      </c>
      <c r="U397" s="2942">
        <v>34502</v>
      </c>
      <c r="V397" s="2369">
        <f t="shared" si="48"/>
        <v>554794</v>
      </c>
      <c r="W397" s="2942">
        <v>559294</v>
      </c>
      <c r="X397" s="456">
        <v>0</v>
      </c>
      <c r="Y397" s="2942">
        <v>49100</v>
      </c>
      <c r="Z397" s="456">
        <v>0</v>
      </c>
      <c r="AA397" s="2942">
        <v>0</v>
      </c>
      <c r="AB397" s="2369">
        <f t="shared" si="49"/>
        <v>49100</v>
      </c>
      <c r="AC397" s="2944">
        <v>119610</v>
      </c>
    </row>
    <row r="398" spans="1:29">
      <c r="A398" s="53">
        <f t="shared" si="47"/>
        <v>2025.05</v>
      </c>
      <c r="B398" s="2395">
        <f t="shared" si="43"/>
        <v>2396875</v>
      </c>
      <c r="C398" s="2396">
        <f t="shared" si="44"/>
        <v>377075</v>
      </c>
      <c r="D398" s="386">
        <v>2998992</v>
      </c>
      <c r="E398" s="3504">
        <v>0</v>
      </c>
      <c r="F398" s="151">
        <v>708005</v>
      </c>
      <c r="G398" s="3065">
        <v>0</v>
      </c>
      <c r="H398" s="632">
        <v>996610</v>
      </c>
      <c r="I398" s="3504">
        <v>1400265</v>
      </c>
      <c r="J398" s="638">
        <v>0</v>
      </c>
      <c r="K398" s="151">
        <v>0</v>
      </c>
      <c r="L398" s="3062">
        <f t="shared" si="45"/>
        <v>2396875</v>
      </c>
      <c r="M398" s="632">
        <v>249600</v>
      </c>
      <c r="N398" s="151">
        <v>127475</v>
      </c>
      <c r="O398" s="3504">
        <v>0</v>
      </c>
      <c r="P398" s="151">
        <v>0</v>
      </c>
      <c r="Q398" s="2396">
        <f t="shared" si="46"/>
        <v>377075</v>
      </c>
      <c r="R398" s="456">
        <v>100116</v>
      </c>
      <c r="S398" s="2942">
        <v>415333</v>
      </c>
      <c r="T398" s="456">
        <v>8085</v>
      </c>
      <c r="U398" s="2942">
        <v>34740</v>
      </c>
      <c r="V398" s="2369">
        <f t="shared" si="48"/>
        <v>558274</v>
      </c>
      <c r="W398" s="2942">
        <v>558274</v>
      </c>
      <c r="X398" s="456">
        <v>0</v>
      </c>
      <c r="Y398" s="2942">
        <v>86170</v>
      </c>
      <c r="Z398" s="456">
        <v>0</v>
      </c>
      <c r="AA398" s="2942">
        <v>0</v>
      </c>
      <c r="AB398" s="2369">
        <f t="shared" si="49"/>
        <v>86170</v>
      </c>
      <c r="AC398" s="2944">
        <v>116770</v>
      </c>
    </row>
    <row r="399" spans="1:29">
      <c r="A399" s="53">
        <f t="shared" si="47"/>
        <v>2025.06</v>
      </c>
      <c r="B399" s="2395">
        <f t="shared" si="43"/>
        <v>2286330</v>
      </c>
      <c r="C399" s="2396">
        <f t="shared" si="44"/>
        <v>416810</v>
      </c>
      <c r="D399" s="386">
        <v>2847562</v>
      </c>
      <c r="E399" s="3504">
        <v>0</v>
      </c>
      <c r="F399" s="151">
        <v>659400</v>
      </c>
      <c r="G399" s="3065">
        <v>0</v>
      </c>
      <c r="H399" s="632">
        <v>642050</v>
      </c>
      <c r="I399" s="3504">
        <v>1644280</v>
      </c>
      <c r="J399" s="638">
        <v>0</v>
      </c>
      <c r="K399" s="151">
        <v>0</v>
      </c>
      <c r="L399" s="3062">
        <f t="shared" si="45"/>
        <v>2286330</v>
      </c>
      <c r="M399" s="632">
        <v>174410</v>
      </c>
      <c r="N399" s="151">
        <v>242400</v>
      </c>
      <c r="O399" s="3504">
        <v>0</v>
      </c>
      <c r="P399" s="151">
        <v>0</v>
      </c>
      <c r="Q399" s="2396">
        <f t="shared" si="46"/>
        <v>416810</v>
      </c>
      <c r="R399" s="456">
        <v>90430</v>
      </c>
      <c r="S399" s="2942">
        <v>441607</v>
      </c>
      <c r="T399" s="456">
        <v>0</v>
      </c>
      <c r="U399" s="2942">
        <v>24670</v>
      </c>
      <c r="V399" s="2369">
        <f>SUM(R399:U399)</f>
        <v>556707</v>
      </c>
      <c r="W399" s="2942">
        <v>556707</v>
      </c>
      <c r="X399" s="456">
        <v>0</v>
      </c>
      <c r="Y399" s="2942">
        <v>38050</v>
      </c>
      <c r="Z399" s="456">
        <v>0</v>
      </c>
      <c r="AA399" s="2942">
        <v>0</v>
      </c>
      <c r="AB399" s="2369">
        <f t="shared" si="49"/>
        <v>38050</v>
      </c>
      <c r="AC399" s="2944">
        <v>106529</v>
      </c>
    </row>
    <row r="400" spans="1:29">
      <c r="A400" s="53">
        <f t="shared" si="47"/>
        <v>2025.07</v>
      </c>
      <c r="B400" s="2395">
        <f t="shared" si="43"/>
        <v>943305</v>
      </c>
      <c r="C400" s="2396">
        <f t="shared" si="44"/>
        <v>300140</v>
      </c>
      <c r="D400" s="386">
        <v>3498909</v>
      </c>
      <c r="E400" s="3504">
        <v>0</v>
      </c>
      <c r="F400" s="151">
        <v>564475</v>
      </c>
      <c r="G400" s="3065">
        <v>0</v>
      </c>
      <c r="H400" s="632">
        <v>906305</v>
      </c>
      <c r="I400" s="3504">
        <v>37000</v>
      </c>
      <c r="J400" s="638">
        <v>0</v>
      </c>
      <c r="K400" s="151">
        <v>0</v>
      </c>
      <c r="L400" s="3062">
        <f t="shared" si="45"/>
        <v>943305</v>
      </c>
      <c r="M400" s="632">
        <v>211090</v>
      </c>
      <c r="N400" s="151">
        <v>89050</v>
      </c>
      <c r="O400" s="3504">
        <v>0</v>
      </c>
      <c r="P400" s="151">
        <v>0</v>
      </c>
      <c r="Q400" s="2396">
        <f t="shared" si="46"/>
        <v>300140</v>
      </c>
      <c r="R400" s="456">
        <v>96990</v>
      </c>
      <c r="S400" s="2942">
        <v>449950</v>
      </c>
      <c r="T400" s="456">
        <v>0</v>
      </c>
      <c r="U400" s="2942">
        <v>16602</v>
      </c>
      <c r="V400" s="2369">
        <f t="shared" si="48"/>
        <v>563542</v>
      </c>
      <c r="W400" s="2942">
        <v>586022</v>
      </c>
      <c r="X400" s="456">
        <v>0</v>
      </c>
      <c r="Y400" s="2942">
        <v>88420</v>
      </c>
      <c r="Z400" s="456">
        <v>0</v>
      </c>
      <c r="AA400" s="2942">
        <v>0</v>
      </c>
      <c r="AB400" s="2369">
        <f t="shared" si="49"/>
        <v>88420</v>
      </c>
      <c r="AC400" s="2944">
        <v>172470</v>
      </c>
    </row>
    <row r="401" spans="1:29">
      <c r="A401" s="53">
        <f t="shared" si="47"/>
        <v>2025.08</v>
      </c>
      <c r="B401" s="2395">
        <f t="shared" si="43"/>
        <v>1689112</v>
      </c>
      <c r="C401" s="2396">
        <f t="shared" si="44"/>
        <v>499601</v>
      </c>
      <c r="D401" s="386">
        <v>2446935</v>
      </c>
      <c r="E401" s="3504">
        <v>0</v>
      </c>
      <c r="F401" s="151">
        <v>865346</v>
      </c>
      <c r="G401" s="3065">
        <v>0</v>
      </c>
      <c r="H401" s="632">
        <v>736286</v>
      </c>
      <c r="I401" s="3504">
        <v>952826</v>
      </c>
      <c r="J401" s="638">
        <v>0</v>
      </c>
      <c r="K401" s="151">
        <v>0</v>
      </c>
      <c r="L401" s="3062">
        <f t="shared" si="45"/>
        <v>1689112</v>
      </c>
      <c r="M401" s="632">
        <v>172630</v>
      </c>
      <c r="N401" s="151">
        <v>326971</v>
      </c>
      <c r="O401" s="3504">
        <v>0</v>
      </c>
      <c r="P401" s="151">
        <v>0</v>
      </c>
      <c r="Q401" s="2396">
        <f t="shared" si="46"/>
        <v>499601</v>
      </c>
      <c r="R401" s="456">
        <v>45408</v>
      </c>
      <c r="S401" s="2942">
        <v>499654</v>
      </c>
      <c r="T401" s="456">
        <v>0</v>
      </c>
      <c r="U401" s="2942">
        <v>34500</v>
      </c>
      <c r="V401" s="2369">
        <f t="shared" si="48"/>
        <v>579562</v>
      </c>
      <c r="W401" s="2942">
        <v>579562</v>
      </c>
      <c r="X401" s="456">
        <v>0</v>
      </c>
      <c r="Y401" s="2942">
        <v>90020</v>
      </c>
      <c r="Z401" s="456">
        <v>0</v>
      </c>
      <c r="AA401" s="2942">
        <v>0</v>
      </c>
      <c r="AB401" s="2369">
        <f t="shared" si="49"/>
        <v>90020</v>
      </c>
      <c r="AC401" s="2944">
        <v>154160</v>
      </c>
    </row>
    <row r="402" spans="1:29">
      <c r="A402" s="53">
        <f t="shared" si="47"/>
        <v>2025.09</v>
      </c>
      <c r="B402" s="2395">
        <f t="shared" si="43"/>
        <v>1261660</v>
      </c>
      <c r="C402" s="2396">
        <f t="shared" si="44"/>
        <v>349655</v>
      </c>
      <c r="D402" s="386">
        <v>1982015</v>
      </c>
      <c r="E402" s="3504">
        <v>199300</v>
      </c>
      <c r="F402" s="3504">
        <v>751295</v>
      </c>
      <c r="G402" s="3065">
        <v>0</v>
      </c>
      <c r="H402" s="632">
        <v>435970</v>
      </c>
      <c r="I402" s="3504">
        <v>825690</v>
      </c>
      <c r="J402" s="638">
        <v>0</v>
      </c>
      <c r="K402" s="151">
        <v>0</v>
      </c>
      <c r="L402" s="3062">
        <f t="shared" si="45"/>
        <v>1261660</v>
      </c>
      <c r="M402" s="632">
        <v>187255</v>
      </c>
      <c r="N402" s="151">
        <v>162400</v>
      </c>
      <c r="O402" s="3504">
        <v>0</v>
      </c>
      <c r="P402" s="151">
        <v>0</v>
      </c>
      <c r="Q402" s="2396">
        <f t="shared" si="46"/>
        <v>349655</v>
      </c>
      <c r="R402" s="456">
        <v>138960</v>
      </c>
      <c r="S402" s="2942">
        <v>512110</v>
      </c>
      <c r="T402" s="456">
        <v>0</v>
      </c>
      <c r="U402" s="2942">
        <v>37230</v>
      </c>
      <c r="V402" s="2369">
        <f>SUM(R402:U402)</f>
        <v>688300</v>
      </c>
      <c r="W402" s="2942">
        <v>688300</v>
      </c>
      <c r="X402" s="456">
        <v>0</v>
      </c>
      <c r="Y402" s="2942">
        <v>71173</v>
      </c>
      <c r="Z402" s="456">
        <v>0</v>
      </c>
      <c r="AA402" s="2942">
        <v>0</v>
      </c>
      <c r="AB402" s="2369">
        <f t="shared" si="49"/>
        <v>71173</v>
      </c>
      <c r="AC402" s="2944">
        <v>138973</v>
      </c>
    </row>
    <row r="403" spans="1:29">
      <c r="A403" s="53">
        <f t="shared" si="47"/>
        <v>2025.1</v>
      </c>
      <c r="B403" s="2395">
        <f t="shared" si="43"/>
        <v>842031</v>
      </c>
      <c r="C403" s="2396">
        <f t="shared" si="44"/>
        <v>324675</v>
      </c>
      <c r="D403" s="386">
        <v>1740279</v>
      </c>
      <c r="E403" s="3504">
        <v>218340</v>
      </c>
      <c r="F403" s="151">
        <v>637465</v>
      </c>
      <c r="G403" s="3065">
        <v>0</v>
      </c>
      <c r="H403" s="632">
        <v>375247</v>
      </c>
      <c r="I403" s="3504">
        <v>466784</v>
      </c>
      <c r="J403" s="638">
        <v>0</v>
      </c>
      <c r="K403" s="151">
        <v>0</v>
      </c>
      <c r="L403" s="3062">
        <f t="shared" si="45"/>
        <v>842031</v>
      </c>
      <c r="M403" s="632">
        <v>116420</v>
      </c>
      <c r="N403" s="151">
        <v>208255</v>
      </c>
      <c r="O403" s="3504">
        <v>0</v>
      </c>
      <c r="P403" s="151">
        <v>0</v>
      </c>
      <c r="Q403" s="2396">
        <f t="shared" si="46"/>
        <v>324675</v>
      </c>
      <c r="R403" s="456">
        <v>70500</v>
      </c>
      <c r="S403" s="2942">
        <v>507496</v>
      </c>
      <c r="T403" s="456">
        <v>0</v>
      </c>
      <c r="U403" s="2942">
        <v>14200</v>
      </c>
      <c r="V403" s="2369">
        <f>SUM(R403:U403)</f>
        <v>592196</v>
      </c>
      <c r="W403" s="2942">
        <v>592196</v>
      </c>
      <c r="X403" s="456">
        <v>0</v>
      </c>
      <c r="Y403" s="2942">
        <v>47830</v>
      </c>
      <c r="Z403" s="456">
        <v>0</v>
      </c>
      <c r="AA403" s="2942">
        <v>0</v>
      </c>
      <c r="AB403" s="2369">
        <f t="shared" si="49"/>
        <v>47830</v>
      </c>
      <c r="AC403" s="2944">
        <v>103430</v>
      </c>
    </row>
    <row r="404" spans="1:29">
      <c r="A404" s="53">
        <f t="shared" si="47"/>
        <v>2025.11</v>
      </c>
      <c r="B404" s="2395">
        <f t="shared" si="43"/>
        <v>1030117</v>
      </c>
      <c r="C404" s="2396">
        <f t="shared" si="44"/>
        <v>896234</v>
      </c>
      <c r="D404" s="386">
        <v>1576717</v>
      </c>
      <c r="E404" s="3504">
        <v>73500</v>
      </c>
      <c r="F404" s="151">
        <v>1169139</v>
      </c>
      <c r="G404" s="3065">
        <v>0</v>
      </c>
      <c r="H404" s="632">
        <v>155430</v>
      </c>
      <c r="I404" s="3504">
        <v>801187</v>
      </c>
      <c r="J404" s="638">
        <v>0</v>
      </c>
      <c r="K404" s="151">
        <v>73500</v>
      </c>
      <c r="L404" s="3062">
        <f t="shared" si="45"/>
        <v>1030117</v>
      </c>
      <c r="M404" s="632">
        <v>300900</v>
      </c>
      <c r="N404" s="151">
        <v>595334</v>
      </c>
      <c r="O404" s="3504">
        <v>0</v>
      </c>
      <c r="P404" s="151">
        <v>0</v>
      </c>
      <c r="Q404" s="2396">
        <f t="shared" si="46"/>
        <v>896234</v>
      </c>
      <c r="R404" s="456">
        <v>127190</v>
      </c>
      <c r="S404" s="2942">
        <v>405291</v>
      </c>
      <c r="T404" s="456">
        <v>0</v>
      </c>
      <c r="U404" s="2942">
        <v>16350</v>
      </c>
      <c r="V404" s="2369">
        <f t="shared" si="48"/>
        <v>548831</v>
      </c>
      <c r="W404" s="2942">
        <v>548831</v>
      </c>
      <c r="X404" s="456">
        <v>0</v>
      </c>
      <c r="Y404" s="2942">
        <v>45695</v>
      </c>
      <c r="Z404" s="456">
        <v>0</v>
      </c>
      <c r="AA404" s="2942">
        <v>0</v>
      </c>
      <c r="AB404" s="2369">
        <f t="shared" si="49"/>
        <v>45695</v>
      </c>
      <c r="AC404" s="2944">
        <v>107960</v>
      </c>
    </row>
    <row r="405" spans="1:29">
      <c r="A405" s="53">
        <f t="shared" si="47"/>
        <v>2025.12</v>
      </c>
      <c r="B405" s="2395">
        <f t="shared" si="43"/>
        <v>672768</v>
      </c>
      <c r="C405" s="2396">
        <f t="shared" si="44"/>
        <v>2137915</v>
      </c>
      <c r="D405" s="386">
        <v>1262232</v>
      </c>
      <c r="E405" s="3504">
        <v>0</v>
      </c>
      <c r="F405" s="151">
        <v>2734702</v>
      </c>
      <c r="G405" s="3065">
        <v>0</v>
      </c>
      <c r="H405" s="632">
        <v>235980</v>
      </c>
      <c r="I405" s="3504">
        <v>436788</v>
      </c>
      <c r="J405" s="638">
        <v>0</v>
      </c>
      <c r="K405" s="151">
        <v>0</v>
      </c>
      <c r="L405" s="3062">
        <f t="shared" si="45"/>
        <v>672768</v>
      </c>
      <c r="M405" s="632">
        <v>628917</v>
      </c>
      <c r="N405" s="151">
        <v>1508998</v>
      </c>
      <c r="O405" s="3504">
        <v>0</v>
      </c>
      <c r="P405" s="151">
        <v>0</v>
      </c>
      <c r="Q405" s="2396">
        <f t="shared" si="46"/>
        <v>2137915</v>
      </c>
      <c r="R405" s="456">
        <v>106900</v>
      </c>
      <c r="S405" s="2942">
        <v>335405</v>
      </c>
      <c r="T405" s="456">
        <v>0</v>
      </c>
      <c r="U405" s="2942">
        <v>0</v>
      </c>
      <c r="V405" s="2369">
        <f t="shared" si="48"/>
        <v>442305</v>
      </c>
      <c r="W405" s="2942">
        <v>442305</v>
      </c>
      <c r="X405" s="456">
        <v>0</v>
      </c>
      <c r="Y405" s="2942">
        <v>9750</v>
      </c>
      <c r="Z405" s="456">
        <v>0</v>
      </c>
      <c r="AA405" s="2942">
        <v>0</v>
      </c>
      <c r="AB405" s="2369">
        <f t="shared" si="49"/>
        <v>9750</v>
      </c>
      <c r="AC405" s="2944">
        <v>70160</v>
      </c>
    </row>
    <row r="406" spans="1:29">
      <c r="A406" s="53">
        <f t="shared" si="47"/>
        <v>2026.01</v>
      </c>
      <c r="B406" s="2395">
        <f t="shared" ref="B406:B433" si="50">L406</f>
        <v>1227751.1399999999</v>
      </c>
      <c r="C406" s="2396">
        <f t="shared" ref="C406:C433" si="51">Q406</f>
        <v>2402497.0619999999</v>
      </c>
      <c r="D406" s="386">
        <v>1645026.3450000004</v>
      </c>
      <c r="E406" s="3504">
        <v>121767.875</v>
      </c>
      <c r="F406" s="151">
        <v>3825397.9529999997</v>
      </c>
      <c r="G406" s="3065">
        <v>0</v>
      </c>
      <c r="H406" s="632">
        <v>299350</v>
      </c>
      <c r="I406" s="3504">
        <v>928401.1399999999</v>
      </c>
      <c r="J406" s="638">
        <v>0</v>
      </c>
      <c r="K406" s="151">
        <v>0</v>
      </c>
      <c r="L406" s="3062">
        <f t="shared" ref="L406:L433" si="52">SUM(H406:K406)</f>
        <v>1227751.1399999999</v>
      </c>
      <c r="M406" s="632">
        <v>795870</v>
      </c>
      <c r="N406" s="151">
        <v>1606627.0620000002</v>
      </c>
      <c r="O406" s="3504">
        <v>0</v>
      </c>
      <c r="P406" s="151">
        <v>0</v>
      </c>
      <c r="Q406" s="2396">
        <f t="shared" ref="Q406:Q433" si="53">SUM(M406:P406)</f>
        <v>2402497.0619999999</v>
      </c>
      <c r="R406" s="456">
        <v>82350</v>
      </c>
      <c r="S406" s="2942">
        <v>389685</v>
      </c>
      <c r="T406" s="456">
        <v>0</v>
      </c>
      <c r="U406" s="2942">
        <v>0</v>
      </c>
      <c r="V406" s="2369">
        <f t="shared" si="48"/>
        <v>472035</v>
      </c>
      <c r="W406" s="2942">
        <v>472035</v>
      </c>
      <c r="X406" s="456">
        <v>0</v>
      </c>
      <c r="Y406" s="2942">
        <v>53150</v>
      </c>
      <c r="Z406" s="456">
        <v>0</v>
      </c>
      <c r="AA406" s="2942">
        <v>0</v>
      </c>
      <c r="AB406" s="2369">
        <f t="shared" si="49"/>
        <v>53150</v>
      </c>
      <c r="AC406" s="2944">
        <v>64150</v>
      </c>
    </row>
    <row r="407" spans="1:29">
      <c r="A407" s="53">
        <f t="shared" si="47"/>
        <v>2026.02</v>
      </c>
      <c r="B407" s="2395">
        <f t="shared" si="50"/>
        <v>454352</v>
      </c>
      <c r="C407" s="2396">
        <f t="shared" si="51"/>
        <v>1192456.2</v>
      </c>
      <c r="D407" s="386">
        <v>747100</v>
      </c>
      <c r="E407" s="3504">
        <v>0</v>
      </c>
      <c r="F407" s="151">
        <v>2124095.4900000002</v>
      </c>
      <c r="G407" s="3065">
        <v>0</v>
      </c>
      <c r="H407" s="632">
        <v>154572</v>
      </c>
      <c r="I407" s="3504">
        <v>299780</v>
      </c>
      <c r="J407" s="638">
        <v>0</v>
      </c>
      <c r="K407" s="151">
        <v>0</v>
      </c>
      <c r="L407" s="3062">
        <f t="shared" si="52"/>
        <v>454352</v>
      </c>
      <c r="M407" s="632">
        <v>695140</v>
      </c>
      <c r="N407" s="151">
        <v>497316.2</v>
      </c>
      <c r="O407" s="3504">
        <v>0</v>
      </c>
      <c r="P407" s="151">
        <v>0</v>
      </c>
      <c r="Q407" s="2396">
        <f t="shared" si="53"/>
        <v>1192456.2</v>
      </c>
      <c r="R407" s="456">
        <v>73780</v>
      </c>
      <c r="S407" s="2942">
        <v>208952</v>
      </c>
      <c r="T407" s="456">
        <v>1920</v>
      </c>
      <c r="U407" s="2942">
        <v>0</v>
      </c>
      <c r="V407" s="2369">
        <f t="shared" si="48"/>
        <v>284652</v>
      </c>
      <c r="W407" s="2942">
        <v>284652</v>
      </c>
      <c r="X407" s="456">
        <v>0</v>
      </c>
      <c r="Y407" s="2942">
        <v>88790</v>
      </c>
      <c r="Z407" s="456">
        <v>0</v>
      </c>
      <c r="AA407" s="2942">
        <v>0</v>
      </c>
      <c r="AB407" s="2369">
        <f t="shared" si="49"/>
        <v>88790</v>
      </c>
      <c r="AC407" s="2944">
        <v>112290</v>
      </c>
    </row>
    <row r="408" spans="1:29">
      <c r="A408" s="53">
        <f t="shared" si="47"/>
        <v>2026.03</v>
      </c>
      <c r="B408" s="2395" t="e">
        <f t="shared" si="50"/>
        <v>#N/A</v>
      </c>
      <c r="C408" s="2396" t="e">
        <f t="shared" si="51"/>
        <v>#N/A</v>
      </c>
      <c r="D408" s="386" t="e">
        <v>#N/A</v>
      </c>
      <c r="E408" s="3504" t="e">
        <v>#N/A</v>
      </c>
      <c r="F408" s="151" t="e">
        <v>#N/A</v>
      </c>
      <c r="G408" s="3065" t="e">
        <v>#N/A</v>
      </c>
      <c r="H408" s="632" t="e">
        <v>#N/A</v>
      </c>
      <c r="I408" s="3504" t="e">
        <v>#N/A</v>
      </c>
      <c r="J408" s="638" t="e">
        <v>#N/A</v>
      </c>
      <c r="K408" s="151" t="e">
        <v>#N/A</v>
      </c>
      <c r="L408" s="3062" t="e">
        <f t="shared" si="52"/>
        <v>#N/A</v>
      </c>
      <c r="M408" s="632" t="e">
        <v>#N/A</v>
      </c>
      <c r="N408" s="151" t="e">
        <v>#N/A</v>
      </c>
      <c r="O408" s="3504" t="e">
        <v>#N/A</v>
      </c>
      <c r="P408" s="151" t="e">
        <v>#N/A</v>
      </c>
      <c r="Q408" s="2396" t="e">
        <f t="shared" si="53"/>
        <v>#N/A</v>
      </c>
      <c r="R408" s="456" t="e">
        <v>#N/A</v>
      </c>
      <c r="S408" s="2942" t="e">
        <v>#N/A</v>
      </c>
      <c r="T408" s="456" t="e">
        <v>#N/A</v>
      </c>
      <c r="U408" s="2942" t="e">
        <v>#N/A</v>
      </c>
      <c r="V408" s="2369" t="e">
        <f t="shared" si="48"/>
        <v>#N/A</v>
      </c>
      <c r="W408" s="2942" t="e">
        <v>#N/A</v>
      </c>
      <c r="X408" s="456" t="e">
        <v>#N/A</v>
      </c>
      <c r="Y408" s="2942" t="e">
        <v>#N/A</v>
      </c>
      <c r="Z408" s="456" t="e">
        <v>#N/A</v>
      </c>
      <c r="AA408" s="2942" t="e">
        <v>#N/A</v>
      </c>
      <c r="AB408" s="2369" t="e">
        <f t="shared" si="49"/>
        <v>#N/A</v>
      </c>
      <c r="AC408" s="2944" t="e">
        <v>#N/A</v>
      </c>
    </row>
    <row r="409" spans="1:29">
      <c r="A409" s="53">
        <f t="shared" si="47"/>
        <v>2026.04</v>
      </c>
      <c r="B409" s="2395" t="e">
        <f t="shared" si="50"/>
        <v>#N/A</v>
      </c>
      <c r="C409" s="2396" t="e">
        <f t="shared" si="51"/>
        <v>#N/A</v>
      </c>
      <c r="D409" s="386" t="e">
        <v>#N/A</v>
      </c>
      <c r="E409" s="3504" t="e">
        <v>#N/A</v>
      </c>
      <c r="F409" s="151" t="e">
        <v>#N/A</v>
      </c>
      <c r="G409" s="3065" t="e">
        <v>#N/A</v>
      </c>
      <c r="H409" s="632" t="e">
        <v>#N/A</v>
      </c>
      <c r="I409" s="3504" t="e">
        <v>#N/A</v>
      </c>
      <c r="J409" s="638" t="e">
        <v>#N/A</v>
      </c>
      <c r="K409" s="151" t="e">
        <v>#N/A</v>
      </c>
      <c r="L409" s="3062" t="e">
        <f t="shared" si="52"/>
        <v>#N/A</v>
      </c>
      <c r="M409" s="632" t="e">
        <v>#N/A</v>
      </c>
      <c r="N409" s="151" t="e">
        <v>#N/A</v>
      </c>
      <c r="O409" s="3504" t="e">
        <v>#N/A</v>
      </c>
      <c r="P409" s="151" t="e">
        <v>#N/A</v>
      </c>
      <c r="Q409" s="2396" t="e">
        <f t="shared" si="53"/>
        <v>#N/A</v>
      </c>
      <c r="R409" s="456" t="e">
        <v>#N/A</v>
      </c>
      <c r="S409" s="2942" t="e">
        <v>#N/A</v>
      </c>
      <c r="T409" s="456" t="e">
        <v>#N/A</v>
      </c>
      <c r="U409" s="2942" t="e">
        <v>#N/A</v>
      </c>
      <c r="V409" s="2369" t="e">
        <f t="shared" si="48"/>
        <v>#N/A</v>
      </c>
      <c r="W409" s="2942" t="e">
        <v>#N/A</v>
      </c>
      <c r="X409" s="456" t="e">
        <v>#N/A</v>
      </c>
      <c r="Y409" s="2942" t="e">
        <v>#N/A</v>
      </c>
      <c r="Z409" s="456" t="e">
        <v>#N/A</v>
      </c>
      <c r="AA409" s="2942" t="e">
        <v>#N/A</v>
      </c>
      <c r="AB409" s="2369" t="e">
        <f t="shared" si="49"/>
        <v>#N/A</v>
      </c>
      <c r="AC409" s="2944" t="e">
        <v>#N/A</v>
      </c>
    </row>
    <row r="410" spans="1:29">
      <c r="A410" s="53">
        <f t="shared" si="47"/>
        <v>2026.05</v>
      </c>
      <c r="B410" s="2395" t="e">
        <f t="shared" si="50"/>
        <v>#N/A</v>
      </c>
      <c r="C410" s="2396" t="e">
        <f t="shared" si="51"/>
        <v>#N/A</v>
      </c>
      <c r="D410" s="386" t="e">
        <v>#N/A</v>
      </c>
      <c r="E410" s="3504" t="e">
        <v>#N/A</v>
      </c>
      <c r="F410" s="151" t="e">
        <v>#N/A</v>
      </c>
      <c r="G410" s="3065" t="e">
        <v>#N/A</v>
      </c>
      <c r="H410" s="632" t="e">
        <v>#N/A</v>
      </c>
      <c r="I410" s="3504" t="e">
        <v>#N/A</v>
      </c>
      <c r="J410" s="638" t="e">
        <v>#N/A</v>
      </c>
      <c r="K410" s="151" t="e">
        <v>#N/A</v>
      </c>
      <c r="L410" s="3062" t="e">
        <f t="shared" si="52"/>
        <v>#N/A</v>
      </c>
      <c r="M410" s="632" t="e">
        <v>#N/A</v>
      </c>
      <c r="N410" s="151" t="e">
        <v>#N/A</v>
      </c>
      <c r="O410" s="3504" t="e">
        <v>#N/A</v>
      </c>
      <c r="P410" s="151" t="e">
        <v>#N/A</v>
      </c>
      <c r="Q410" s="2396" t="e">
        <f t="shared" si="53"/>
        <v>#N/A</v>
      </c>
      <c r="R410" s="456" t="e">
        <v>#N/A</v>
      </c>
      <c r="S410" s="2942" t="e">
        <v>#N/A</v>
      </c>
      <c r="T410" s="456" t="e">
        <v>#N/A</v>
      </c>
      <c r="U410" s="2942" t="e">
        <v>#N/A</v>
      </c>
      <c r="V410" s="2369" t="e">
        <f t="shared" si="48"/>
        <v>#N/A</v>
      </c>
      <c r="W410" s="2942" t="e">
        <v>#N/A</v>
      </c>
      <c r="X410" s="456" t="e">
        <v>#N/A</v>
      </c>
      <c r="Y410" s="2942" t="e">
        <v>#N/A</v>
      </c>
      <c r="Z410" s="456" t="e">
        <v>#N/A</v>
      </c>
      <c r="AA410" s="2942" t="e">
        <v>#N/A</v>
      </c>
      <c r="AB410" s="2369" t="e">
        <f t="shared" si="49"/>
        <v>#N/A</v>
      </c>
      <c r="AC410" s="2944" t="e">
        <v>#N/A</v>
      </c>
    </row>
    <row r="411" spans="1:29">
      <c r="A411" s="53">
        <f t="shared" si="47"/>
        <v>2026.06</v>
      </c>
      <c r="B411" s="2395" t="e">
        <f t="shared" si="50"/>
        <v>#N/A</v>
      </c>
      <c r="C411" s="2396" t="e">
        <f t="shared" si="51"/>
        <v>#N/A</v>
      </c>
      <c r="D411" s="386" t="e">
        <v>#N/A</v>
      </c>
      <c r="E411" s="3504" t="e">
        <v>#N/A</v>
      </c>
      <c r="F411" s="151" t="e">
        <v>#N/A</v>
      </c>
      <c r="G411" s="3065" t="e">
        <v>#N/A</v>
      </c>
      <c r="H411" s="632" t="e">
        <v>#N/A</v>
      </c>
      <c r="I411" s="3504" t="e">
        <v>#N/A</v>
      </c>
      <c r="J411" s="638" t="e">
        <v>#N/A</v>
      </c>
      <c r="K411" s="151" t="e">
        <v>#N/A</v>
      </c>
      <c r="L411" s="3062" t="e">
        <f t="shared" si="52"/>
        <v>#N/A</v>
      </c>
      <c r="M411" s="632" t="e">
        <v>#N/A</v>
      </c>
      <c r="N411" s="151" t="e">
        <v>#N/A</v>
      </c>
      <c r="O411" s="3504" t="e">
        <v>#N/A</v>
      </c>
      <c r="P411" s="151" t="e">
        <v>#N/A</v>
      </c>
      <c r="Q411" s="2396" t="e">
        <f t="shared" si="53"/>
        <v>#N/A</v>
      </c>
      <c r="R411" s="456" t="e">
        <v>#N/A</v>
      </c>
      <c r="S411" s="2942" t="e">
        <v>#N/A</v>
      </c>
      <c r="T411" s="456" t="e">
        <v>#N/A</v>
      </c>
      <c r="U411" s="2942" t="e">
        <v>#N/A</v>
      </c>
      <c r="V411" s="2369" t="e">
        <f t="shared" si="48"/>
        <v>#N/A</v>
      </c>
      <c r="W411" s="2942" t="e">
        <v>#N/A</v>
      </c>
      <c r="X411" s="456" t="e">
        <v>#N/A</v>
      </c>
      <c r="Y411" s="2942" t="e">
        <v>#N/A</v>
      </c>
      <c r="Z411" s="456" t="e">
        <v>#N/A</v>
      </c>
      <c r="AA411" s="2942" t="e">
        <v>#N/A</v>
      </c>
      <c r="AB411" s="2369" t="e">
        <f t="shared" si="49"/>
        <v>#N/A</v>
      </c>
      <c r="AC411" s="2944" t="e">
        <v>#N/A</v>
      </c>
    </row>
    <row r="412" spans="1:29">
      <c r="A412" s="53">
        <f t="shared" si="47"/>
        <v>2026.07</v>
      </c>
      <c r="B412" s="2395" t="e">
        <f t="shared" si="50"/>
        <v>#N/A</v>
      </c>
      <c r="C412" s="2396" t="e">
        <f t="shared" si="51"/>
        <v>#N/A</v>
      </c>
      <c r="D412" s="386" t="e">
        <v>#N/A</v>
      </c>
      <c r="E412" s="3504" t="e">
        <v>#N/A</v>
      </c>
      <c r="F412" s="151" t="e">
        <v>#N/A</v>
      </c>
      <c r="G412" s="3065" t="e">
        <v>#N/A</v>
      </c>
      <c r="H412" s="632" t="e">
        <v>#N/A</v>
      </c>
      <c r="I412" s="3504" t="e">
        <v>#N/A</v>
      </c>
      <c r="J412" s="638" t="e">
        <v>#N/A</v>
      </c>
      <c r="K412" s="151" t="e">
        <v>#N/A</v>
      </c>
      <c r="L412" s="3062" t="e">
        <f t="shared" si="52"/>
        <v>#N/A</v>
      </c>
      <c r="M412" s="632" t="e">
        <v>#N/A</v>
      </c>
      <c r="N412" s="151" t="e">
        <v>#N/A</v>
      </c>
      <c r="O412" s="3504" t="e">
        <v>#N/A</v>
      </c>
      <c r="P412" s="151" t="e">
        <v>#N/A</v>
      </c>
      <c r="Q412" s="2396" t="e">
        <f t="shared" si="53"/>
        <v>#N/A</v>
      </c>
      <c r="R412" s="456" t="e">
        <v>#N/A</v>
      </c>
      <c r="S412" s="2942" t="e">
        <v>#N/A</v>
      </c>
      <c r="T412" s="456" t="e">
        <v>#N/A</v>
      </c>
      <c r="U412" s="2942" t="e">
        <v>#N/A</v>
      </c>
      <c r="V412" s="2369" t="e">
        <f t="shared" si="48"/>
        <v>#N/A</v>
      </c>
      <c r="W412" s="2942" t="e">
        <v>#N/A</v>
      </c>
      <c r="X412" s="456" t="e">
        <v>#N/A</v>
      </c>
      <c r="Y412" s="2942" t="e">
        <v>#N/A</v>
      </c>
      <c r="Z412" s="456" t="e">
        <v>#N/A</v>
      </c>
      <c r="AA412" s="2942" t="e">
        <v>#N/A</v>
      </c>
      <c r="AB412" s="2369" t="e">
        <f t="shared" si="49"/>
        <v>#N/A</v>
      </c>
      <c r="AC412" s="2944" t="e">
        <v>#N/A</v>
      </c>
    </row>
    <row r="413" spans="1:29">
      <c r="A413" s="53">
        <f t="shared" si="47"/>
        <v>2026.08</v>
      </c>
      <c r="B413" s="2395" t="e">
        <f t="shared" si="50"/>
        <v>#N/A</v>
      </c>
      <c r="C413" s="2396" t="e">
        <f t="shared" si="51"/>
        <v>#N/A</v>
      </c>
      <c r="D413" s="386" t="e">
        <v>#N/A</v>
      </c>
      <c r="E413" s="3504" t="e">
        <v>#N/A</v>
      </c>
      <c r="F413" s="151" t="e">
        <v>#N/A</v>
      </c>
      <c r="G413" s="3065" t="e">
        <v>#N/A</v>
      </c>
      <c r="H413" s="632" t="e">
        <v>#N/A</v>
      </c>
      <c r="I413" s="3504" t="e">
        <v>#N/A</v>
      </c>
      <c r="J413" s="638" t="e">
        <v>#N/A</v>
      </c>
      <c r="K413" s="151" t="e">
        <v>#N/A</v>
      </c>
      <c r="L413" s="3062" t="e">
        <f t="shared" si="52"/>
        <v>#N/A</v>
      </c>
      <c r="M413" s="632" t="e">
        <v>#N/A</v>
      </c>
      <c r="N413" s="151" t="e">
        <v>#N/A</v>
      </c>
      <c r="O413" s="3504" t="e">
        <v>#N/A</v>
      </c>
      <c r="P413" s="151" t="e">
        <v>#N/A</v>
      </c>
      <c r="Q413" s="2396" t="e">
        <f t="shared" si="53"/>
        <v>#N/A</v>
      </c>
      <c r="R413" s="456" t="e">
        <v>#N/A</v>
      </c>
      <c r="S413" s="2942" t="e">
        <v>#N/A</v>
      </c>
      <c r="T413" s="456" t="e">
        <v>#N/A</v>
      </c>
      <c r="U413" s="2942" t="e">
        <v>#N/A</v>
      </c>
      <c r="V413" s="2369" t="e">
        <f t="shared" si="48"/>
        <v>#N/A</v>
      </c>
      <c r="W413" s="2942" t="e">
        <v>#N/A</v>
      </c>
      <c r="X413" s="456" t="e">
        <v>#N/A</v>
      </c>
      <c r="Y413" s="2942" t="e">
        <v>#N/A</v>
      </c>
      <c r="Z413" s="456" t="e">
        <v>#N/A</v>
      </c>
      <c r="AA413" s="2942" t="e">
        <v>#N/A</v>
      </c>
      <c r="AB413" s="2369" t="e">
        <f t="shared" si="49"/>
        <v>#N/A</v>
      </c>
      <c r="AC413" s="2944" t="e">
        <v>#N/A</v>
      </c>
    </row>
    <row r="414" spans="1:29">
      <c r="A414" s="53">
        <f t="shared" si="47"/>
        <v>2026.09</v>
      </c>
      <c r="B414" s="2395" t="e">
        <f t="shared" si="50"/>
        <v>#N/A</v>
      </c>
      <c r="C414" s="2396" t="e">
        <f t="shared" si="51"/>
        <v>#N/A</v>
      </c>
      <c r="D414" s="386" t="e">
        <v>#N/A</v>
      </c>
      <c r="E414" s="3504" t="e">
        <v>#N/A</v>
      </c>
      <c r="F414" s="151" t="e">
        <v>#N/A</v>
      </c>
      <c r="G414" s="3065" t="e">
        <v>#N/A</v>
      </c>
      <c r="H414" s="632" t="e">
        <v>#N/A</v>
      </c>
      <c r="I414" s="3504" t="e">
        <v>#N/A</v>
      </c>
      <c r="J414" s="638" t="e">
        <v>#N/A</v>
      </c>
      <c r="K414" s="151" t="e">
        <v>#N/A</v>
      </c>
      <c r="L414" s="3062" t="e">
        <f t="shared" si="52"/>
        <v>#N/A</v>
      </c>
      <c r="M414" s="632" t="e">
        <v>#N/A</v>
      </c>
      <c r="N414" s="151" t="e">
        <v>#N/A</v>
      </c>
      <c r="O414" s="3504" t="e">
        <v>#N/A</v>
      </c>
      <c r="P414" s="151" t="e">
        <v>#N/A</v>
      </c>
      <c r="Q414" s="2396" t="e">
        <f t="shared" si="53"/>
        <v>#N/A</v>
      </c>
      <c r="R414" s="456" t="e">
        <v>#N/A</v>
      </c>
      <c r="S414" s="2942" t="e">
        <v>#N/A</v>
      </c>
      <c r="T414" s="456" t="e">
        <v>#N/A</v>
      </c>
      <c r="U414" s="2942" t="e">
        <v>#N/A</v>
      </c>
      <c r="V414" s="2369" t="e">
        <f t="shared" si="48"/>
        <v>#N/A</v>
      </c>
      <c r="W414" s="2942" t="e">
        <v>#N/A</v>
      </c>
      <c r="X414" s="456" t="e">
        <v>#N/A</v>
      </c>
      <c r="Y414" s="2942" t="e">
        <v>#N/A</v>
      </c>
      <c r="Z414" s="456" t="e">
        <v>#N/A</v>
      </c>
      <c r="AA414" s="2942" t="e">
        <v>#N/A</v>
      </c>
      <c r="AB414" s="2369" t="e">
        <f t="shared" si="49"/>
        <v>#N/A</v>
      </c>
      <c r="AC414" s="2944" t="e">
        <v>#N/A</v>
      </c>
    </row>
    <row r="415" spans="1:29">
      <c r="A415" s="53">
        <f t="shared" ref="A415:A465" si="54">A403+1</f>
        <v>2026.1</v>
      </c>
      <c r="B415" s="2395" t="e">
        <f t="shared" si="50"/>
        <v>#N/A</v>
      </c>
      <c r="C415" s="2396" t="e">
        <f t="shared" si="51"/>
        <v>#N/A</v>
      </c>
      <c r="D415" s="386" t="e">
        <v>#N/A</v>
      </c>
      <c r="E415" s="3504" t="e">
        <v>#N/A</v>
      </c>
      <c r="F415" s="151" t="e">
        <v>#N/A</v>
      </c>
      <c r="G415" s="3065" t="e">
        <v>#N/A</v>
      </c>
      <c r="H415" s="632" t="e">
        <v>#N/A</v>
      </c>
      <c r="I415" s="3504" t="e">
        <v>#N/A</v>
      </c>
      <c r="J415" s="638" t="e">
        <v>#N/A</v>
      </c>
      <c r="K415" s="151" t="e">
        <v>#N/A</v>
      </c>
      <c r="L415" s="3062" t="e">
        <f t="shared" si="52"/>
        <v>#N/A</v>
      </c>
      <c r="M415" s="632" t="e">
        <v>#N/A</v>
      </c>
      <c r="N415" s="151" t="e">
        <v>#N/A</v>
      </c>
      <c r="O415" s="3504" t="e">
        <v>#N/A</v>
      </c>
      <c r="P415" s="151" t="e">
        <v>#N/A</v>
      </c>
      <c r="Q415" s="2396" t="e">
        <f t="shared" si="53"/>
        <v>#N/A</v>
      </c>
      <c r="R415" s="456" t="e">
        <v>#N/A</v>
      </c>
      <c r="S415" s="2942" t="e">
        <v>#N/A</v>
      </c>
      <c r="T415" s="456" t="e">
        <v>#N/A</v>
      </c>
      <c r="U415" s="2942" t="e">
        <v>#N/A</v>
      </c>
      <c r="V415" s="2369" t="e">
        <f t="shared" si="48"/>
        <v>#N/A</v>
      </c>
      <c r="W415" s="2942" t="e">
        <v>#N/A</v>
      </c>
      <c r="X415" s="456" t="e">
        <v>#N/A</v>
      </c>
      <c r="Y415" s="2942" t="e">
        <v>#N/A</v>
      </c>
      <c r="Z415" s="456" t="e">
        <v>#N/A</v>
      </c>
      <c r="AA415" s="2942" t="e">
        <v>#N/A</v>
      </c>
      <c r="AB415" s="2369" t="e">
        <f t="shared" si="49"/>
        <v>#N/A</v>
      </c>
      <c r="AC415" s="2944" t="e">
        <v>#N/A</v>
      </c>
    </row>
    <row r="416" spans="1:29">
      <c r="A416" s="53">
        <f t="shared" si="54"/>
        <v>2026.11</v>
      </c>
      <c r="B416" s="2395" t="e">
        <f t="shared" si="50"/>
        <v>#N/A</v>
      </c>
      <c r="C416" s="2396" t="e">
        <f t="shared" si="51"/>
        <v>#N/A</v>
      </c>
      <c r="D416" s="386" t="e">
        <v>#N/A</v>
      </c>
      <c r="E416" s="3504" t="e">
        <v>#N/A</v>
      </c>
      <c r="F416" s="151" t="e">
        <v>#N/A</v>
      </c>
      <c r="G416" s="3065" t="e">
        <v>#N/A</v>
      </c>
      <c r="H416" s="632" t="e">
        <v>#N/A</v>
      </c>
      <c r="I416" s="3504" t="e">
        <v>#N/A</v>
      </c>
      <c r="J416" s="638" t="e">
        <v>#N/A</v>
      </c>
      <c r="K416" s="151" t="e">
        <v>#N/A</v>
      </c>
      <c r="L416" s="3062" t="e">
        <f t="shared" si="52"/>
        <v>#N/A</v>
      </c>
      <c r="M416" s="632" t="e">
        <v>#N/A</v>
      </c>
      <c r="N416" s="151" t="e">
        <v>#N/A</v>
      </c>
      <c r="O416" s="3504" t="e">
        <v>#N/A</v>
      </c>
      <c r="P416" s="151" t="e">
        <v>#N/A</v>
      </c>
      <c r="Q416" s="2396" t="e">
        <f t="shared" si="53"/>
        <v>#N/A</v>
      </c>
      <c r="R416" s="456" t="e">
        <v>#N/A</v>
      </c>
      <c r="S416" s="2942" t="e">
        <v>#N/A</v>
      </c>
      <c r="T416" s="456" t="e">
        <v>#N/A</v>
      </c>
      <c r="U416" s="2942" t="e">
        <v>#N/A</v>
      </c>
      <c r="V416" s="2369" t="e">
        <f t="shared" si="48"/>
        <v>#N/A</v>
      </c>
      <c r="W416" s="2942" t="e">
        <v>#N/A</v>
      </c>
      <c r="X416" s="456" t="e">
        <v>#N/A</v>
      </c>
      <c r="Y416" s="2942" t="e">
        <v>#N/A</v>
      </c>
      <c r="Z416" s="456" t="e">
        <v>#N/A</v>
      </c>
      <c r="AA416" s="2942" t="e">
        <v>#N/A</v>
      </c>
      <c r="AB416" s="2369" t="e">
        <f t="shared" si="49"/>
        <v>#N/A</v>
      </c>
      <c r="AC416" s="2944" t="e">
        <v>#N/A</v>
      </c>
    </row>
    <row r="417" spans="1:29">
      <c r="A417" s="53">
        <f t="shared" si="54"/>
        <v>2026.12</v>
      </c>
      <c r="B417" s="2395" t="e">
        <f t="shared" si="50"/>
        <v>#N/A</v>
      </c>
      <c r="C417" s="2396" t="e">
        <f t="shared" si="51"/>
        <v>#N/A</v>
      </c>
      <c r="D417" s="386" t="e">
        <v>#N/A</v>
      </c>
      <c r="E417" s="3504" t="e">
        <v>#N/A</v>
      </c>
      <c r="F417" s="151" t="e">
        <v>#N/A</v>
      </c>
      <c r="G417" s="3065" t="e">
        <v>#N/A</v>
      </c>
      <c r="H417" s="632" t="e">
        <v>#N/A</v>
      </c>
      <c r="I417" s="3504" t="e">
        <v>#N/A</v>
      </c>
      <c r="J417" s="638" t="e">
        <v>#N/A</v>
      </c>
      <c r="K417" s="151" t="e">
        <v>#N/A</v>
      </c>
      <c r="L417" s="3062" t="e">
        <f t="shared" si="52"/>
        <v>#N/A</v>
      </c>
      <c r="M417" s="632" t="e">
        <v>#N/A</v>
      </c>
      <c r="N417" s="151" t="e">
        <v>#N/A</v>
      </c>
      <c r="O417" s="3504" t="e">
        <v>#N/A</v>
      </c>
      <c r="P417" s="151" t="e">
        <v>#N/A</v>
      </c>
      <c r="Q417" s="2396" t="e">
        <f t="shared" si="53"/>
        <v>#N/A</v>
      </c>
      <c r="R417" s="456" t="e">
        <v>#N/A</v>
      </c>
      <c r="S417" s="2942" t="e">
        <v>#N/A</v>
      </c>
      <c r="T417" s="456" t="e">
        <v>#N/A</v>
      </c>
      <c r="U417" s="2942" t="e">
        <v>#N/A</v>
      </c>
      <c r="V417" s="2369" t="e">
        <f t="shared" si="48"/>
        <v>#N/A</v>
      </c>
      <c r="W417" s="2942" t="e">
        <v>#N/A</v>
      </c>
      <c r="X417" s="456" t="e">
        <v>#N/A</v>
      </c>
      <c r="Y417" s="2942" t="e">
        <v>#N/A</v>
      </c>
      <c r="Z417" s="456" t="e">
        <v>#N/A</v>
      </c>
      <c r="AA417" s="2942" t="e">
        <v>#N/A</v>
      </c>
      <c r="AB417" s="2369" t="e">
        <f t="shared" si="49"/>
        <v>#N/A</v>
      </c>
      <c r="AC417" s="2944" t="e">
        <v>#N/A</v>
      </c>
    </row>
    <row r="418" spans="1:29">
      <c r="A418" s="53">
        <f t="shared" si="54"/>
        <v>2027.01</v>
      </c>
      <c r="B418" s="2395" t="e">
        <f t="shared" si="50"/>
        <v>#N/A</v>
      </c>
      <c r="C418" s="2396" t="e">
        <f t="shared" si="51"/>
        <v>#N/A</v>
      </c>
      <c r="D418" s="386" t="e">
        <v>#N/A</v>
      </c>
      <c r="E418" s="3504" t="e">
        <v>#N/A</v>
      </c>
      <c r="F418" s="151" t="e">
        <v>#N/A</v>
      </c>
      <c r="G418" s="3065" t="e">
        <v>#N/A</v>
      </c>
      <c r="H418" s="632" t="e">
        <v>#N/A</v>
      </c>
      <c r="I418" s="3504" t="e">
        <v>#N/A</v>
      </c>
      <c r="J418" s="638" t="e">
        <v>#N/A</v>
      </c>
      <c r="K418" s="151" t="e">
        <v>#N/A</v>
      </c>
      <c r="L418" s="3062" t="e">
        <f t="shared" si="52"/>
        <v>#N/A</v>
      </c>
      <c r="M418" s="632" t="e">
        <v>#N/A</v>
      </c>
      <c r="N418" s="151" t="e">
        <v>#N/A</v>
      </c>
      <c r="O418" s="3504" t="e">
        <v>#N/A</v>
      </c>
      <c r="P418" s="151" t="e">
        <v>#N/A</v>
      </c>
      <c r="Q418" s="2396" t="e">
        <f t="shared" si="53"/>
        <v>#N/A</v>
      </c>
      <c r="R418" s="456" t="e">
        <v>#N/A</v>
      </c>
      <c r="S418" s="2942" t="e">
        <v>#N/A</v>
      </c>
      <c r="T418" s="456" t="e">
        <v>#N/A</v>
      </c>
      <c r="U418" s="2942" t="e">
        <v>#N/A</v>
      </c>
      <c r="V418" s="2369" t="e">
        <f t="shared" si="48"/>
        <v>#N/A</v>
      </c>
      <c r="W418" s="2942" t="e">
        <v>#N/A</v>
      </c>
      <c r="X418" s="456" t="e">
        <v>#N/A</v>
      </c>
      <c r="Y418" s="2942" t="e">
        <v>#N/A</v>
      </c>
      <c r="Z418" s="456" t="e">
        <v>#N/A</v>
      </c>
      <c r="AA418" s="2942" t="e">
        <v>#N/A</v>
      </c>
      <c r="AB418" s="2369" t="e">
        <f t="shared" si="49"/>
        <v>#N/A</v>
      </c>
      <c r="AC418" s="2944" t="e">
        <v>#N/A</v>
      </c>
    </row>
    <row r="419" spans="1:29">
      <c r="A419" s="53">
        <f t="shared" si="54"/>
        <v>2027.02</v>
      </c>
      <c r="B419" s="2395" t="e">
        <f t="shared" si="50"/>
        <v>#N/A</v>
      </c>
      <c r="C419" s="2396" t="e">
        <f t="shared" si="51"/>
        <v>#N/A</v>
      </c>
      <c r="D419" s="386" t="e">
        <v>#N/A</v>
      </c>
      <c r="E419" s="3504" t="e">
        <v>#N/A</v>
      </c>
      <c r="F419" s="151" t="e">
        <v>#N/A</v>
      </c>
      <c r="G419" s="3065" t="e">
        <v>#N/A</v>
      </c>
      <c r="H419" s="632" t="e">
        <v>#N/A</v>
      </c>
      <c r="I419" s="3504" t="e">
        <v>#N/A</v>
      </c>
      <c r="J419" s="638" t="e">
        <v>#N/A</v>
      </c>
      <c r="K419" s="151" t="e">
        <v>#N/A</v>
      </c>
      <c r="L419" s="3062" t="e">
        <f t="shared" si="52"/>
        <v>#N/A</v>
      </c>
      <c r="M419" s="632" t="e">
        <v>#N/A</v>
      </c>
      <c r="N419" s="151" t="e">
        <v>#N/A</v>
      </c>
      <c r="O419" s="3504" t="e">
        <v>#N/A</v>
      </c>
      <c r="P419" s="151" t="e">
        <v>#N/A</v>
      </c>
      <c r="Q419" s="2396" t="e">
        <f t="shared" si="53"/>
        <v>#N/A</v>
      </c>
      <c r="R419" s="456" t="e">
        <v>#N/A</v>
      </c>
      <c r="S419" s="2942" t="e">
        <v>#N/A</v>
      </c>
      <c r="T419" s="456" t="e">
        <v>#N/A</v>
      </c>
      <c r="U419" s="2942" t="e">
        <v>#N/A</v>
      </c>
      <c r="V419" s="2369" t="e">
        <f t="shared" si="48"/>
        <v>#N/A</v>
      </c>
      <c r="W419" s="2942" t="e">
        <v>#N/A</v>
      </c>
      <c r="X419" s="456" t="e">
        <v>#N/A</v>
      </c>
      <c r="Y419" s="2942" t="e">
        <v>#N/A</v>
      </c>
      <c r="Z419" s="456" t="e">
        <v>#N/A</v>
      </c>
      <c r="AA419" s="2942" t="e">
        <v>#N/A</v>
      </c>
      <c r="AB419" s="2369" t="e">
        <f t="shared" si="49"/>
        <v>#N/A</v>
      </c>
      <c r="AC419" s="2944" t="e">
        <v>#N/A</v>
      </c>
    </row>
    <row r="420" spans="1:29">
      <c r="A420" s="53">
        <f t="shared" si="54"/>
        <v>2027.03</v>
      </c>
      <c r="B420" s="2395" t="e">
        <f t="shared" si="50"/>
        <v>#N/A</v>
      </c>
      <c r="C420" s="2396" t="e">
        <f t="shared" si="51"/>
        <v>#N/A</v>
      </c>
      <c r="D420" s="386" t="e">
        <v>#N/A</v>
      </c>
      <c r="E420" s="3504" t="e">
        <v>#N/A</v>
      </c>
      <c r="F420" s="151" t="e">
        <v>#N/A</v>
      </c>
      <c r="G420" s="3065" t="e">
        <v>#N/A</v>
      </c>
      <c r="H420" s="632" t="e">
        <v>#N/A</v>
      </c>
      <c r="I420" s="3504" t="e">
        <v>#N/A</v>
      </c>
      <c r="J420" s="638" t="e">
        <v>#N/A</v>
      </c>
      <c r="K420" s="151" t="e">
        <v>#N/A</v>
      </c>
      <c r="L420" s="3062" t="e">
        <f t="shared" si="52"/>
        <v>#N/A</v>
      </c>
      <c r="M420" s="632" t="e">
        <v>#N/A</v>
      </c>
      <c r="N420" s="151" t="e">
        <v>#N/A</v>
      </c>
      <c r="O420" s="3504" t="e">
        <v>#N/A</v>
      </c>
      <c r="P420" s="151" t="e">
        <v>#N/A</v>
      </c>
      <c r="Q420" s="2396" t="e">
        <f t="shared" si="53"/>
        <v>#N/A</v>
      </c>
      <c r="R420" s="456" t="e">
        <v>#N/A</v>
      </c>
      <c r="S420" s="2942" t="e">
        <v>#N/A</v>
      </c>
      <c r="T420" s="456" t="e">
        <v>#N/A</v>
      </c>
      <c r="U420" s="2942" t="e">
        <v>#N/A</v>
      </c>
      <c r="V420" s="2369" t="e">
        <f t="shared" si="48"/>
        <v>#N/A</v>
      </c>
      <c r="W420" s="2942" t="e">
        <v>#N/A</v>
      </c>
      <c r="X420" s="456" t="e">
        <v>#N/A</v>
      </c>
      <c r="Y420" s="2942" t="e">
        <v>#N/A</v>
      </c>
      <c r="Z420" s="456" t="e">
        <v>#N/A</v>
      </c>
      <c r="AA420" s="2942" t="e">
        <v>#N/A</v>
      </c>
      <c r="AB420" s="2369" t="e">
        <f t="shared" si="49"/>
        <v>#N/A</v>
      </c>
      <c r="AC420" s="2944" t="e">
        <v>#N/A</v>
      </c>
    </row>
    <row r="421" spans="1:29">
      <c r="A421" s="53">
        <f t="shared" si="54"/>
        <v>2027.04</v>
      </c>
      <c r="B421" s="2395" t="e">
        <f t="shared" si="50"/>
        <v>#N/A</v>
      </c>
      <c r="C421" s="2396" t="e">
        <f t="shared" si="51"/>
        <v>#N/A</v>
      </c>
      <c r="D421" s="386" t="e">
        <v>#N/A</v>
      </c>
      <c r="E421" s="3504" t="e">
        <v>#N/A</v>
      </c>
      <c r="F421" s="151" t="e">
        <v>#N/A</v>
      </c>
      <c r="G421" s="3065" t="e">
        <v>#N/A</v>
      </c>
      <c r="H421" s="632" t="e">
        <v>#N/A</v>
      </c>
      <c r="I421" s="3504" t="e">
        <v>#N/A</v>
      </c>
      <c r="J421" s="638" t="e">
        <v>#N/A</v>
      </c>
      <c r="K421" s="151" t="e">
        <v>#N/A</v>
      </c>
      <c r="L421" s="3062" t="e">
        <f t="shared" si="52"/>
        <v>#N/A</v>
      </c>
      <c r="M421" s="632" t="e">
        <v>#N/A</v>
      </c>
      <c r="N421" s="151" t="e">
        <v>#N/A</v>
      </c>
      <c r="O421" s="3504" t="e">
        <v>#N/A</v>
      </c>
      <c r="P421" s="151" t="e">
        <v>#N/A</v>
      </c>
      <c r="Q421" s="2396" t="e">
        <f t="shared" si="53"/>
        <v>#N/A</v>
      </c>
      <c r="R421" s="456" t="e">
        <v>#N/A</v>
      </c>
      <c r="S421" s="2942" t="e">
        <v>#N/A</v>
      </c>
      <c r="T421" s="456" t="e">
        <v>#N/A</v>
      </c>
      <c r="U421" s="2942" t="e">
        <v>#N/A</v>
      </c>
      <c r="V421" s="2369" t="e">
        <f t="shared" si="48"/>
        <v>#N/A</v>
      </c>
      <c r="W421" s="2942" t="e">
        <v>#N/A</v>
      </c>
      <c r="X421" s="456" t="e">
        <v>#N/A</v>
      </c>
      <c r="Y421" s="2942" t="e">
        <v>#N/A</v>
      </c>
      <c r="Z421" s="456" t="e">
        <v>#N/A</v>
      </c>
      <c r="AA421" s="2942" t="e">
        <v>#N/A</v>
      </c>
      <c r="AB421" s="2369" t="e">
        <f t="shared" si="49"/>
        <v>#N/A</v>
      </c>
      <c r="AC421" s="2944" t="e">
        <v>#N/A</v>
      </c>
    </row>
    <row r="422" spans="1:29">
      <c r="A422" s="53">
        <f t="shared" si="54"/>
        <v>2027.05</v>
      </c>
      <c r="B422" s="2395" t="e">
        <f t="shared" si="50"/>
        <v>#N/A</v>
      </c>
      <c r="C422" s="2396" t="e">
        <f t="shared" si="51"/>
        <v>#N/A</v>
      </c>
      <c r="D422" s="386" t="e">
        <v>#N/A</v>
      </c>
      <c r="E422" s="3504" t="e">
        <v>#N/A</v>
      </c>
      <c r="F422" s="151" t="e">
        <v>#N/A</v>
      </c>
      <c r="G422" s="3065" t="e">
        <v>#N/A</v>
      </c>
      <c r="H422" s="632" t="e">
        <v>#N/A</v>
      </c>
      <c r="I422" s="3504" t="e">
        <v>#N/A</v>
      </c>
      <c r="J422" s="638" t="e">
        <v>#N/A</v>
      </c>
      <c r="K422" s="151" t="e">
        <v>#N/A</v>
      </c>
      <c r="L422" s="3062" t="e">
        <f t="shared" si="52"/>
        <v>#N/A</v>
      </c>
      <c r="M422" s="632" t="e">
        <v>#N/A</v>
      </c>
      <c r="N422" s="151" t="e">
        <v>#N/A</v>
      </c>
      <c r="O422" s="3504" t="e">
        <v>#N/A</v>
      </c>
      <c r="P422" s="151" t="e">
        <v>#N/A</v>
      </c>
      <c r="Q422" s="2396" t="e">
        <f t="shared" si="53"/>
        <v>#N/A</v>
      </c>
      <c r="R422" s="456" t="e">
        <v>#N/A</v>
      </c>
      <c r="S422" s="2942" t="e">
        <v>#N/A</v>
      </c>
      <c r="T422" s="456" t="e">
        <v>#N/A</v>
      </c>
      <c r="U422" s="2942" t="e">
        <v>#N/A</v>
      </c>
      <c r="V422" s="2369" t="e">
        <f t="shared" si="48"/>
        <v>#N/A</v>
      </c>
      <c r="W422" s="2942" t="e">
        <v>#N/A</v>
      </c>
      <c r="X422" s="456" t="e">
        <v>#N/A</v>
      </c>
      <c r="Y422" s="2942" t="e">
        <v>#N/A</v>
      </c>
      <c r="Z422" s="456" t="e">
        <v>#N/A</v>
      </c>
      <c r="AA422" s="2942" t="e">
        <v>#N/A</v>
      </c>
      <c r="AB422" s="2369" t="e">
        <f t="shared" si="49"/>
        <v>#N/A</v>
      </c>
      <c r="AC422" s="2944" t="e">
        <v>#N/A</v>
      </c>
    </row>
    <row r="423" spans="1:29">
      <c r="A423" s="53">
        <f t="shared" si="54"/>
        <v>2027.06</v>
      </c>
      <c r="B423" s="2395" t="e">
        <f t="shared" si="50"/>
        <v>#N/A</v>
      </c>
      <c r="C423" s="2396" t="e">
        <f t="shared" si="51"/>
        <v>#N/A</v>
      </c>
      <c r="D423" s="386" t="e">
        <v>#N/A</v>
      </c>
      <c r="E423" s="3504" t="e">
        <v>#N/A</v>
      </c>
      <c r="F423" s="151" t="e">
        <v>#N/A</v>
      </c>
      <c r="G423" s="3065" t="e">
        <v>#N/A</v>
      </c>
      <c r="H423" s="632" t="e">
        <v>#N/A</v>
      </c>
      <c r="I423" s="3504" t="e">
        <v>#N/A</v>
      </c>
      <c r="J423" s="638" t="e">
        <v>#N/A</v>
      </c>
      <c r="K423" s="151" t="e">
        <v>#N/A</v>
      </c>
      <c r="L423" s="3062" t="e">
        <f t="shared" si="52"/>
        <v>#N/A</v>
      </c>
      <c r="M423" s="632" t="e">
        <v>#N/A</v>
      </c>
      <c r="N423" s="151" t="e">
        <v>#N/A</v>
      </c>
      <c r="O423" s="3504" t="e">
        <v>#N/A</v>
      </c>
      <c r="P423" s="151" t="e">
        <v>#N/A</v>
      </c>
      <c r="Q423" s="2396" t="e">
        <f t="shared" si="53"/>
        <v>#N/A</v>
      </c>
      <c r="R423" s="456" t="e">
        <v>#N/A</v>
      </c>
      <c r="S423" s="2942" t="e">
        <v>#N/A</v>
      </c>
      <c r="T423" s="456" t="e">
        <v>#N/A</v>
      </c>
      <c r="U423" s="2942" t="e">
        <v>#N/A</v>
      </c>
      <c r="V423" s="2369" t="e">
        <f t="shared" si="48"/>
        <v>#N/A</v>
      </c>
      <c r="W423" s="2942" t="e">
        <v>#N/A</v>
      </c>
      <c r="X423" s="456" t="e">
        <v>#N/A</v>
      </c>
      <c r="Y423" s="2942" t="e">
        <v>#N/A</v>
      </c>
      <c r="Z423" s="456" t="e">
        <v>#N/A</v>
      </c>
      <c r="AA423" s="2942" t="e">
        <v>#N/A</v>
      </c>
      <c r="AB423" s="2369" t="e">
        <f t="shared" si="49"/>
        <v>#N/A</v>
      </c>
      <c r="AC423" s="2944" t="e">
        <v>#N/A</v>
      </c>
    </row>
    <row r="424" spans="1:29">
      <c r="A424" s="53">
        <f t="shared" si="54"/>
        <v>2027.07</v>
      </c>
      <c r="B424" s="2395" t="e">
        <f t="shared" si="50"/>
        <v>#N/A</v>
      </c>
      <c r="C424" s="2396" t="e">
        <f t="shared" si="51"/>
        <v>#N/A</v>
      </c>
      <c r="D424" s="386" t="e">
        <v>#N/A</v>
      </c>
      <c r="E424" s="3504" t="e">
        <v>#N/A</v>
      </c>
      <c r="F424" s="151" t="e">
        <v>#N/A</v>
      </c>
      <c r="G424" s="3065" t="e">
        <v>#N/A</v>
      </c>
      <c r="H424" s="632" t="e">
        <v>#N/A</v>
      </c>
      <c r="I424" s="3504" t="e">
        <v>#N/A</v>
      </c>
      <c r="J424" s="638" t="e">
        <v>#N/A</v>
      </c>
      <c r="K424" s="151" t="e">
        <v>#N/A</v>
      </c>
      <c r="L424" s="3062" t="e">
        <f t="shared" si="52"/>
        <v>#N/A</v>
      </c>
      <c r="M424" s="632" t="e">
        <v>#N/A</v>
      </c>
      <c r="N424" s="151" t="e">
        <v>#N/A</v>
      </c>
      <c r="O424" s="3504" t="e">
        <v>#N/A</v>
      </c>
      <c r="P424" s="151" t="e">
        <v>#N/A</v>
      </c>
      <c r="Q424" s="2396" t="e">
        <f t="shared" si="53"/>
        <v>#N/A</v>
      </c>
      <c r="R424" s="456" t="e">
        <v>#N/A</v>
      </c>
      <c r="S424" s="2942" t="e">
        <v>#N/A</v>
      </c>
      <c r="T424" s="456" t="e">
        <v>#N/A</v>
      </c>
      <c r="U424" s="2942" t="e">
        <v>#N/A</v>
      </c>
      <c r="V424" s="2369" t="e">
        <f t="shared" si="48"/>
        <v>#N/A</v>
      </c>
      <c r="W424" s="2942" t="e">
        <v>#N/A</v>
      </c>
      <c r="X424" s="456" t="e">
        <v>#N/A</v>
      </c>
      <c r="Y424" s="2942" t="e">
        <v>#N/A</v>
      </c>
      <c r="Z424" s="456" t="e">
        <v>#N/A</v>
      </c>
      <c r="AA424" s="2942" t="e">
        <v>#N/A</v>
      </c>
      <c r="AB424" s="2369" t="e">
        <f t="shared" si="49"/>
        <v>#N/A</v>
      </c>
      <c r="AC424" s="2944" t="e">
        <v>#N/A</v>
      </c>
    </row>
    <row r="425" spans="1:29">
      <c r="A425" s="53">
        <f t="shared" si="54"/>
        <v>2027.08</v>
      </c>
      <c r="B425" s="2395" t="e">
        <f t="shared" si="50"/>
        <v>#N/A</v>
      </c>
      <c r="C425" s="2396" t="e">
        <f t="shared" si="51"/>
        <v>#N/A</v>
      </c>
      <c r="D425" s="386" t="e">
        <v>#N/A</v>
      </c>
      <c r="E425" s="3504" t="e">
        <v>#N/A</v>
      </c>
      <c r="F425" s="151" t="e">
        <v>#N/A</v>
      </c>
      <c r="G425" s="3065" t="e">
        <v>#N/A</v>
      </c>
      <c r="H425" s="632" t="e">
        <v>#N/A</v>
      </c>
      <c r="I425" s="3504" t="e">
        <v>#N/A</v>
      </c>
      <c r="J425" s="638" t="e">
        <v>#N/A</v>
      </c>
      <c r="K425" s="151" t="e">
        <v>#N/A</v>
      </c>
      <c r="L425" s="3062" t="e">
        <f t="shared" si="52"/>
        <v>#N/A</v>
      </c>
      <c r="M425" s="632" t="e">
        <v>#N/A</v>
      </c>
      <c r="N425" s="151" t="e">
        <v>#N/A</v>
      </c>
      <c r="O425" s="3504" t="e">
        <v>#N/A</v>
      </c>
      <c r="P425" s="151" t="e">
        <v>#N/A</v>
      </c>
      <c r="Q425" s="2396" t="e">
        <f t="shared" si="53"/>
        <v>#N/A</v>
      </c>
      <c r="R425" s="456" t="e">
        <v>#N/A</v>
      </c>
      <c r="S425" s="2942" t="e">
        <v>#N/A</v>
      </c>
      <c r="T425" s="456" t="e">
        <v>#N/A</v>
      </c>
      <c r="U425" s="2942" t="e">
        <v>#N/A</v>
      </c>
      <c r="V425" s="2369" t="e">
        <f t="shared" si="48"/>
        <v>#N/A</v>
      </c>
      <c r="W425" s="2942" t="e">
        <v>#N/A</v>
      </c>
      <c r="X425" s="456" t="e">
        <v>#N/A</v>
      </c>
      <c r="Y425" s="2942" t="e">
        <v>#N/A</v>
      </c>
      <c r="Z425" s="456" t="e">
        <v>#N/A</v>
      </c>
      <c r="AA425" s="2942" t="e">
        <v>#N/A</v>
      </c>
      <c r="AB425" s="2369" t="e">
        <f t="shared" si="49"/>
        <v>#N/A</v>
      </c>
      <c r="AC425" s="2944" t="e">
        <v>#N/A</v>
      </c>
    </row>
    <row r="426" spans="1:29">
      <c r="A426" s="53">
        <f t="shared" si="54"/>
        <v>2027.09</v>
      </c>
      <c r="B426" s="2395" t="e">
        <f t="shared" si="50"/>
        <v>#N/A</v>
      </c>
      <c r="C426" s="2396" t="e">
        <f t="shared" si="51"/>
        <v>#N/A</v>
      </c>
      <c r="D426" s="386" t="e">
        <v>#N/A</v>
      </c>
      <c r="E426" s="3504" t="e">
        <v>#N/A</v>
      </c>
      <c r="F426" s="151" t="e">
        <v>#N/A</v>
      </c>
      <c r="G426" s="3065" t="e">
        <v>#N/A</v>
      </c>
      <c r="H426" s="632" t="e">
        <v>#N/A</v>
      </c>
      <c r="I426" s="3504" t="e">
        <v>#N/A</v>
      </c>
      <c r="J426" s="638" t="e">
        <v>#N/A</v>
      </c>
      <c r="K426" s="151" t="e">
        <v>#N/A</v>
      </c>
      <c r="L426" s="3062" t="e">
        <f t="shared" si="52"/>
        <v>#N/A</v>
      </c>
      <c r="M426" s="632" t="e">
        <v>#N/A</v>
      </c>
      <c r="N426" s="151" t="e">
        <v>#N/A</v>
      </c>
      <c r="O426" s="3504" t="e">
        <v>#N/A</v>
      </c>
      <c r="P426" s="151" t="e">
        <v>#N/A</v>
      </c>
      <c r="Q426" s="2396" t="e">
        <f t="shared" si="53"/>
        <v>#N/A</v>
      </c>
      <c r="R426" s="456" t="e">
        <v>#N/A</v>
      </c>
      <c r="S426" s="2942" t="e">
        <v>#N/A</v>
      </c>
      <c r="T426" s="456" t="e">
        <v>#N/A</v>
      </c>
      <c r="U426" s="2942" t="e">
        <v>#N/A</v>
      </c>
      <c r="V426" s="2369" t="e">
        <f t="shared" si="48"/>
        <v>#N/A</v>
      </c>
      <c r="W426" s="2942" t="e">
        <v>#N/A</v>
      </c>
      <c r="X426" s="456" t="e">
        <v>#N/A</v>
      </c>
      <c r="Y426" s="2942" t="e">
        <v>#N/A</v>
      </c>
      <c r="Z426" s="456" t="e">
        <v>#N/A</v>
      </c>
      <c r="AA426" s="2942" t="e">
        <v>#N/A</v>
      </c>
      <c r="AB426" s="2369" t="e">
        <f t="shared" si="49"/>
        <v>#N/A</v>
      </c>
      <c r="AC426" s="2944" t="e">
        <v>#N/A</v>
      </c>
    </row>
    <row r="427" spans="1:29">
      <c r="A427" s="53">
        <f t="shared" si="54"/>
        <v>2027.1</v>
      </c>
      <c r="B427" s="2395" t="e">
        <f t="shared" si="50"/>
        <v>#N/A</v>
      </c>
      <c r="C427" s="2396" t="e">
        <f t="shared" si="51"/>
        <v>#N/A</v>
      </c>
      <c r="D427" s="386" t="e">
        <v>#N/A</v>
      </c>
      <c r="E427" s="3504" t="e">
        <v>#N/A</v>
      </c>
      <c r="F427" s="151" t="e">
        <v>#N/A</v>
      </c>
      <c r="G427" s="3065" t="e">
        <v>#N/A</v>
      </c>
      <c r="H427" s="632" t="e">
        <v>#N/A</v>
      </c>
      <c r="I427" s="3504" t="e">
        <v>#N/A</v>
      </c>
      <c r="J427" s="638" t="e">
        <v>#N/A</v>
      </c>
      <c r="K427" s="151" t="e">
        <v>#N/A</v>
      </c>
      <c r="L427" s="3062" t="e">
        <f t="shared" si="52"/>
        <v>#N/A</v>
      </c>
      <c r="M427" s="632" t="e">
        <v>#N/A</v>
      </c>
      <c r="N427" s="151" t="e">
        <v>#N/A</v>
      </c>
      <c r="O427" s="3504" t="e">
        <v>#N/A</v>
      </c>
      <c r="P427" s="151" t="e">
        <v>#N/A</v>
      </c>
      <c r="Q427" s="2396" t="e">
        <f t="shared" si="53"/>
        <v>#N/A</v>
      </c>
      <c r="R427" s="456" t="e">
        <v>#N/A</v>
      </c>
      <c r="S427" s="2942" t="e">
        <v>#N/A</v>
      </c>
      <c r="T427" s="456" t="e">
        <v>#N/A</v>
      </c>
      <c r="U427" s="2942" t="e">
        <v>#N/A</v>
      </c>
      <c r="V427" s="2369" t="e">
        <f t="shared" ref="V427:V458" si="55">SUM(R427:U427)</f>
        <v>#N/A</v>
      </c>
      <c r="W427" s="2942" t="e">
        <v>#N/A</v>
      </c>
      <c r="X427" s="456" t="e">
        <v>#N/A</v>
      </c>
      <c r="Y427" s="2942" t="e">
        <v>#N/A</v>
      </c>
      <c r="Z427" s="456" t="e">
        <v>#N/A</v>
      </c>
      <c r="AA427" s="2942" t="e">
        <v>#N/A</v>
      </c>
      <c r="AB427" s="2369" t="e">
        <f t="shared" ref="AB427:AB458" si="56">SUM(X427:AA427)</f>
        <v>#N/A</v>
      </c>
      <c r="AC427" s="2944" t="e">
        <v>#N/A</v>
      </c>
    </row>
    <row r="428" spans="1:29">
      <c r="A428" s="53">
        <f t="shared" si="54"/>
        <v>2027.11</v>
      </c>
      <c r="B428" s="2395" t="e">
        <f t="shared" si="50"/>
        <v>#N/A</v>
      </c>
      <c r="C428" s="2396" t="e">
        <f t="shared" si="51"/>
        <v>#N/A</v>
      </c>
      <c r="D428" s="386" t="e">
        <v>#N/A</v>
      </c>
      <c r="E428" s="3504" t="e">
        <v>#N/A</v>
      </c>
      <c r="F428" s="151" t="e">
        <v>#N/A</v>
      </c>
      <c r="G428" s="3065" t="e">
        <v>#N/A</v>
      </c>
      <c r="H428" s="632" t="e">
        <v>#N/A</v>
      </c>
      <c r="I428" s="3504" t="e">
        <v>#N/A</v>
      </c>
      <c r="J428" s="638" t="e">
        <v>#N/A</v>
      </c>
      <c r="K428" s="151" t="e">
        <v>#N/A</v>
      </c>
      <c r="L428" s="3062" t="e">
        <f t="shared" si="52"/>
        <v>#N/A</v>
      </c>
      <c r="M428" s="632" t="e">
        <v>#N/A</v>
      </c>
      <c r="N428" s="151" t="e">
        <v>#N/A</v>
      </c>
      <c r="O428" s="3504" t="e">
        <v>#N/A</v>
      </c>
      <c r="P428" s="151" t="e">
        <v>#N/A</v>
      </c>
      <c r="Q428" s="2396" t="e">
        <f t="shared" si="53"/>
        <v>#N/A</v>
      </c>
      <c r="R428" s="456" t="e">
        <v>#N/A</v>
      </c>
      <c r="S428" s="2942" t="e">
        <v>#N/A</v>
      </c>
      <c r="T428" s="456" t="e">
        <v>#N/A</v>
      </c>
      <c r="U428" s="2942" t="e">
        <v>#N/A</v>
      </c>
      <c r="V428" s="2369" t="e">
        <f t="shared" si="55"/>
        <v>#N/A</v>
      </c>
      <c r="W428" s="2942" t="e">
        <v>#N/A</v>
      </c>
      <c r="X428" s="456" t="e">
        <v>#N/A</v>
      </c>
      <c r="Y428" s="2942" t="e">
        <v>#N/A</v>
      </c>
      <c r="Z428" s="456" t="e">
        <v>#N/A</v>
      </c>
      <c r="AA428" s="2942" t="e">
        <v>#N/A</v>
      </c>
      <c r="AB428" s="2369" t="e">
        <f t="shared" si="56"/>
        <v>#N/A</v>
      </c>
      <c r="AC428" s="2944" t="e">
        <v>#N/A</v>
      </c>
    </row>
    <row r="429" spans="1:29">
      <c r="A429" s="53">
        <f t="shared" si="54"/>
        <v>2027.12</v>
      </c>
      <c r="B429" s="2395" t="e">
        <f t="shared" si="50"/>
        <v>#N/A</v>
      </c>
      <c r="C429" s="2396" t="e">
        <f t="shared" si="51"/>
        <v>#N/A</v>
      </c>
      <c r="D429" s="386" t="e">
        <v>#N/A</v>
      </c>
      <c r="E429" s="3504" t="e">
        <v>#N/A</v>
      </c>
      <c r="F429" s="151" t="e">
        <v>#N/A</v>
      </c>
      <c r="G429" s="3065" t="e">
        <v>#N/A</v>
      </c>
      <c r="H429" s="632" t="e">
        <v>#N/A</v>
      </c>
      <c r="I429" s="3504" t="e">
        <v>#N/A</v>
      </c>
      <c r="J429" s="638" t="e">
        <v>#N/A</v>
      </c>
      <c r="K429" s="151" t="e">
        <v>#N/A</v>
      </c>
      <c r="L429" s="3062" t="e">
        <f t="shared" si="52"/>
        <v>#N/A</v>
      </c>
      <c r="M429" s="632" t="e">
        <v>#N/A</v>
      </c>
      <c r="N429" s="151" t="e">
        <v>#N/A</v>
      </c>
      <c r="O429" s="3504" t="e">
        <v>#N/A</v>
      </c>
      <c r="P429" s="151" t="e">
        <v>#N/A</v>
      </c>
      <c r="Q429" s="2396" t="e">
        <f t="shared" si="53"/>
        <v>#N/A</v>
      </c>
      <c r="R429" s="456" t="e">
        <v>#N/A</v>
      </c>
      <c r="S429" s="2942" t="e">
        <v>#N/A</v>
      </c>
      <c r="T429" s="456" t="e">
        <v>#N/A</v>
      </c>
      <c r="U429" s="2942" t="e">
        <v>#N/A</v>
      </c>
      <c r="V429" s="2369" t="e">
        <f t="shared" si="55"/>
        <v>#N/A</v>
      </c>
      <c r="W429" s="2942" t="e">
        <v>#N/A</v>
      </c>
      <c r="X429" s="456" t="e">
        <v>#N/A</v>
      </c>
      <c r="Y429" s="2942" t="e">
        <v>#N/A</v>
      </c>
      <c r="Z429" s="456" t="e">
        <v>#N/A</v>
      </c>
      <c r="AA429" s="2942" t="e">
        <v>#N/A</v>
      </c>
      <c r="AB429" s="2369" t="e">
        <f t="shared" si="56"/>
        <v>#N/A</v>
      </c>
      <c r="AC429" s="2944" t="e">
        <v>#N/A</v>
      </c>
    </row>
    <row r="430" spans="1:29">
      <c r="A430" s="53">
        <f t="shared" si="54"/>
        <v>2028.01</v>
      </c>
      <c r="B430" s="2395" t="e">
        <f t="shared" si="50"/>
        <v>#N/A</v>
      </c>
      <c r="C430" s="2396" t="e">
        <f t="shared" si="51"/>
        <v>#N/A</v>
      </c>
      <c r="D430" s="386" t="e">
        <v>#N/A</v>
      </c>
      <c r="E430" s="3504" t="e">
        <v>#N/A</v>
      </c>
      <c r="F430" s="151" t="e">
        <v>#N/A</v>
      </c>
      <c r="G430" s="3065" t="e">
        <v>#N/A</v>
      </c>
      <c r="H430" s="632" t="e">
        <v>#N/A</v>
      </c>
      <c r="I430" s="3504" t="e">
        <v>#N/A</v>
      </c>
      <c r="J430" s="638" t="e">
        <v>#N/A</v>
      </c>
      <c r="K430" s="151" t="e">
        <v>#N/A</v>
      </c>
      <c r="L430" s="3062" t="e">
        <f t="shared" si="52"/>
        <v>#N/A</v>
      </c>
      <c r="M430" s="632" t="e">
        <v>#N/A</v>
      </c>
      <c r="N430" s="151" t="e">
        <v>#N/A</v>
      </c>
      <c r="O430" s="3504" t="e">
        <v>#N/A</v>
      </c>
      <c r="P430" s="151" t="e">
        <v>#N/A</v>
      </c>
      <c r="Q430" s="2396" t="e">
        <f t="shared" si="53"/>
        <v>#N/A</v>
      </c>
      <c r="R430" s="456" t="e">
        <v>#N/A</v>
      </c>
      <c r="S430" s="2942" t="e">
        <v>#N/A</v>
      </c>
      <c r="T430" s="456" t="e">
        <v>#N/A</v>
      </c>
      <c r="U430" s="2942" t="e">
        <v>#N/A</v>
      </c>
      <c r="V430" s="2369" t="e">
        <f t="shared" si="55"/>
        <v>#N/A</v>
      </c>
      <c r="W430" s="2942" t="e">
        <v>#N/A</v>
      </c>
      <c r="X430" s="456" t="e">
        <v>#N/A</v>
      </c>
      <c r="Y430" s="2942" t="e">
        <v>#N/A</v>
      </c>
      <c r="Z430" s="456" t="e">
        <v>#N/A</v>
      </c>
      <c r="AA430" s="2942" t="e">
        <v>#N/A</v>
      </c>
      <c r="AB430" s="2369" t="e">
        <f t="shared" si="56"/>
        <v>#N/A</v>
      </c>
      <c r="AC430" s="2944" t="e">
        <v>#N/A</v>
      </c>
    </row>
    <row r="431" spans="1:29">
      <c r="A431" s="53">
        <f t="shared" si="54"/>
        <v>2028.02</v>
      </c>
      <c r="B431" s="2395" t="e">
        <f t="shared" si="50"/>
        <v>#N/A</v>
      </c>
      <c r="C431" s="2396" t="e">
        <f t="shared" si="51"/>
        <v>#N/A</v>
      </c>
      <c r="D431" s="386" t="e">
        <v>#N/A</v>
      </c>
      <c r="E431" s="3504" t="e">
        <v>#N/A</v>
      </c>
      <c r="F431" s="151" t="e">
        <v>#N/A</v>
      </c>
      <c r="G431" s="3065" t="e">
        <v>#N/A</v>
      </c>
      <c r="H431" s="632" t="e">
        <v>#N/A</v>
      </c>
      <c r="I431" s="3504" t="e">
        <v>#N/A</v>
      </c>
      <c r="J431" s="638" t="e">
        <v>#N/A</v>
      </c>
      <c r="K431" s="151" t="e">
        <v>#N/A</v>
      </c>
      <c r="L431" s="3062" t="e">
        <f t="shared" si="52"/>
        <v>#N/A</v>
      </c>
      <c r="M431" s="632" t="e">
        <v>#N/A</v>
      </c>
      <c r="N431" s="151" t="e">
        <v>#N/A</v>
      </c>
      <c r="O431" s="3504" t="e">
        <v>#N/A</v>
      </c>
      <c r="P431" s="151" t="e">
        <v>#N/A</v>
      </c>
      <c r="Q431" s="2396" t="e">
        <f t="shared" si="53"/>
        <v>#N/A</v>
      </c>
      <c r="R431" s="456" t="e">
        <v>#N/A</v>
      </c>
      <c r="S431" s="2942" t="e">
        <v>#N/A</v>
      </c>
      <c r="T431" s="456" t="e">
        <v>#N/A</v>
      </c>
      <c r="U431" s="2942" t="e">
        <v>#N/A</v>
      </c>
      <c r="V431" s="2369" t="e">
        <f t="shared" si="55"/>
        <v>#N/A</v>
      </c>
      <c r="W431" s="2942" t="e">
        <v>#N/A</v>
      </c>
      <c r="X431" s="456" t="e">
        <v>#N/A</v>
      </c>
      <c r="Y431" s="2942" t="e">
        <v>#N/A</v>
      </c>
      <c r="Z431" s="456" t="e">
        <v>#N/A</v>
      </c>
      <c r="AA431" s="2942" t="e">
        <v>#N/A</v>
      </c>
      <c r="AB431" s="2369" t="e">
        <f t="shared" si="56"/>
        <v>#N/A</v>
      </c>
      <c r="AC431" s="2944" t="e">
        <v>#N/A</v>
      </c>
    </row>
    <row r="432" spans="1:29">
      <c r="A432" s="53">
        <f t="shared" si="54"/>
        <v>2028.03</v>
      </c>
      <c r="B432" s="2395" t="e">
        <f t="shared" si="50"/>
        <v>#N/A</v>
      </c>
      <c r="C432" s="2396" t="e">
        <f t="shared" si="51"/>
        <v>#N/A</v>
      </c>
      <c r="D432" s="386" t="e">
        <v>#N/A</v>
      </c>
      <c r="E432" s="3504" t="e">
        <v>#N/A</v>
      </c>
      <c r="F432" s="151" t="e">
        <v>#N/A</v>
      </c>
      <c r="G432" s="3065" t="e">
        <v>#N/A</v>
      </c>
      <c r="H432" s="632" t="e">
        <v>#N/A</v>
      </c>
      <c r="I432" s="3504" t="e">
        <v>#N/A</v>
      </c>
      <c r="J432" s="638" t="e">
        <v>#N/A</v>
      </c>
      <c r="K432" s="151" t="e">
        <v>#N/A</v>
      </c>
      <c r="L432" s="3062" t="e">
        <f t="shared" si="52"/>
        <v>#N/A</v>
      </c>
      <c r="M432" s="632" t="e">
        <v>#N/A</v>
      </c>
      <c r="N432" s="151" t="e">
        <v>#N/A</v>
      </c>
      <c r="O432" s="3504" t="e">
        <v>#N/A</v>
      </c>
      <c r="P432" s="151" t="e">
        <v>#N/A</v>
      </c>
      <c r="Q432" s="2396" t="e">
        <f t="shared" si="53"/>
        <v>#N/A</v>
      </c>
      <c r="R432" s="456" t="e">
        <v>#N/A</v>
      </c>
      <c r="S432" s="2942" t="e">
        <v>#N/A</v>
      </c>
      <c r="T432" s="456" t="e">
        <v>#N/A</v>
      </c>
      <c r="U432" s="2942" t="e">
        <v>#N/A</v>
      </c>
      <c r="V432" s="2369" t="e">
        <f t="shared" si="55"/>
        <v>#N/A</v>
      </c>
      <c r="W432" s="2942" t="e">
        <v>#N/A</v>
      </c>
      <c r="X432" s="456" t="e">
        <v>#N/A</v>
      </c>
      <c r="Y432" s="2942" t="e">
        <v>#N/A</v>
      </c>
      <c r="Z432" s="456" t="e">
        <v>#N/A</v>
      </c>
      <c r="AA432" s="2942" t="e">
        <v>#N/A</v>
      </c>
      <c r="AB432" s="2369" t="e">
        <f t="shared" si="56"/>
        <v>#N/A</v>
      </c>
      <c r="AC432" s="2944" t="e">
        <v>#N/A</v>
      </c>
    </row>
    <row r="433" spans="1:29">
      <c r="A433" s="53">
        <f t="shared" si="54"/>
        <v>2028.04</v>
      </c>
      <c r="B433" s="2395" t="e">
        <f t="shared" si="50"/>
        <v>#N/A</v>
      </c>
      <c r="C433" s="2396" t="e">
        <f t="shared" si="51"/>
        <v>#N/A</v>
      </c>
      <c r="D433" s="386" t="e">
        <v>#N/A</v>
      </c>
      <c r="E433" s="3504" t="e">
        <v>#N/A</v>
      </c>
      <c r="F433" s="151" t="e">
        <v>#N/A</v>
      </c>
      <c r="G433" s="3065" t="e">
        <v>#N/A</v>
      </c>
      <c r="H433" s="632" t="e">
        <v>#N/A</v>
      </c>
      <c r="I433" s="3504" t="e">
        <v>#N/A</v>
      </c>
      <c r="J433" s="638" t="e">
        <v>#N/A</v>
      </c>
      <c r="K433" s="151" t="e">
        <v>#N/A</v>
      </c>
      <c r="L433" s="3062" t="e">
        <f t="shared" si="52"/>
        <v>#N/A</v>
      </c>
      <c r="M433" s="632" t="e">
        <v>#N/A</v>
      </c>
      <c r="N433" s="151" t="e">
        <v>#N/A</v>
      </c>
      <c r="O433" s="3504" t="e">
        <v>#N/A</v>
      </c>
      <c r="P433" s="151" t="e">
        <v>#N/A</v>
      </c>
      <c r="Q433" s="2396" t="e">
        <f t="shared" si="53"/>
        <v>#N/A</v>
      </c>
      <c r="R433" s="456" t="e">
        <v>#N/A</v>
      </c>
      <c r="S433" s="2942" t="e">
        <v>#N/A</v>
      </c>
      <c r="T433" s="456" t="e">
        <v>#N/A</v>
      </c>
      <c r="U433" s="2942" t="e">
        <v>#N/A</v>
      </c>
      <c r="V433" s="2369" t="e">
        <f t="shared" si="55"/>
        <v>#N/A</v>
      </c>
      <c r="W433" s="2942" t="e">
        <v>#N/A</v>
      </c>
      <c r="X433" s="456" t="e">
        <v>#N/A</v>
      </c>
      <c r="Y433" s="2942" t="e">
        <v>#N/A</v>
      </c>
      <c r="Z433" s="456" t="e">
        <v>#N/A</v>
      </c>
      <c r="AA433" s="2942" t="e">
        <v>#N/A</v>
      </c>
      <c r="AB433" s="2369" t="e">
        <f t="shared" si="56"/>
        <v>#N/A</v>
      </c>
      <c r="AC433" s="2944" t="e">
        <v>#N/A</v>
      </c>
    </row>
    <row r="434" spans="1:29">
      <c r="A434" s="53">
        <f t="shared" si="54"/>
        <v>2028.05</v>
      </c>
      <c r="B434" s="2395" t="e">
        <f t="shared" ref="B434:B465" si="57">L434</f>
        <v>#N/A</v>
      </c>
      <c r="C434" s="2396" t="e">
        <f t="shared" ref="C434:C465" si="58">Q434</f>
        <v>#N/A</v>
      </c>
      <c r="D434" s="386" t="e">
        <v>#N/A</v>
      </c>
      <c r="E434" s="3504" t="e">
        <v>#N/A</v>
      </c>
      <c r="F434" s="151" t="e">
        <v>#N/A</v>
      </c>
      <c r="G434" s="3065" t="e">
        <v>#N/A</v>
      </c>
      <c r="H434" s="632" t="e">
        <v>#N/A</v>
      </c>
      <c r="I434" s="3504" t="e">
        <v>#N/A</v>
      </c>
      <c r="J434" s="638" t="e">
        <v>#N/A</v>
      </c>
      <c r="K434" s="151" t="e">
        <v>#N/A</v>
      </c>
      <c r="L434" s="3062" t="e">
        <f t="shared" ref="L434:L465" si="59">SUM(H434:K434)</f>
        <v>#N/A</v>
      </c>
      <c r="M434" s="632" t="e">
        <v>#N/A</v>
      </c>
      <c r="N434" s="151" t="e">
        <v>#N/A</v>
      </c>
      <c r="O434" s="3504" t="e">
        <v>#N/A</v>
      </c>
      <c r="P434" s="151" t="e">
        <v>#N/A</v>
      </c>
      <c r="Q434" s="2396" t="e">
        <f t="shared" ref="Q434:Q465" si="60">SUM(M434:P434)</f>
        <v>#N/A</v>
      </c>
      <c r="R434" s="456" t="e">
        <v>#N/A</v>
      </c>
      <c r="S434" s="2942" t="e">
        <v>#N/A</v>
      </c>
      <c r="T434" s="456" t="e">
        <v>#N/A</v>
      </c>
      <c r="U434" s="2942" t="e">
        <v>#N/A</v>
      </c>
      <c r="V434" s="2369" t="e">
        <f t="shared" si="55"/>
        <v>#N/A</v>
      </c>
      <c r="W434" s="2942" t="e">
        <v>#N/A</v>
      </c>
      <c r="X434" s="456" t="e">
        <v>#N/A</v>
      </c>
      <c r="Y434" s="2942" t="e">
        <v>#N/A</v>
      </c>
      <c r="Z434" s="456" t="e">
        <v>#N/A</v>
      </c>
      <c r="AA434" s="2942" t="e">
        <v>#N/A</v>
      </c>
      <c r="AB434" s="2369" t="e">
        <f t="shared" si="56"/>
        <v>#N/A</v>
      </c>
      <c r="AC434" s="2944" t="e">
        <v>#N/A</v>
      </c>
    </row>
    <row r="435" spans="1:29">
      <c r="A435" s="53">
        <f t="shared" si="54"/>
        <v>2028.06</v>
      </c>
      <c r="B435" s="2395" t="e">
        <f t="shared" si="57"/>
        <v>#N/A</v>
      </c>
      <c r="C435" s="2396" t="e">
        <f t="shared" si="58"/>
        <v>#N/A</v>
      </c>
      <c r="D435" s="386" t="e">
        <v>#N/A</v>
      </c>
      <c r="E435" s="3504" t="e">
        <v>#N/A</v>
      </c>
      <c r="F435" s="151" t="e">
        <v>#N/A</v>
      </c>
      <c r="G435" s="3065" t="e">
        <v>#N/A</v>
      </c>
      <c r="H435" s="632" t="e">
        <v>#N/A</v>
      </c>
      <c r="I435" s="3504" t="e">
        <v>#N/A</v>
      </c>
      <c r="J435" s="638" t="e">
        <v>#N/A</v>
      </c>
      <c r="K435" s="151" t="e">
        <v>#N/A</v>
      </c>
      <c r="L435" s="3062" t="e">
        <f t="shared" si="59"/>
        <v>#N/A</v>
      </c>
      <c r="M435" s="632" t="e">
        <v>#N/A</v>
      </c>
      <c r="N435" s="151" t="e">
        <v>#N/A</v>
      </c>
      <c r="O435" s="3504" t="e">
        <v>#N/A</v>
      </c>
      <c r="P435" s="151" t="e">
        <v>#N/A</v>
      </c>
      <c r="Q435" s="2396" t="e">
        <f t="shared" si="60"/>
        <v>#N/A</v>
      </c>
      <c r="R435" s="456" t="e">
        <v>#N/A</v>
      </c>
      <c r="S435" s="2942" t="e">
        <v>#N/A</v>
      </c>
      <c r="T435" s="456" t="e">
        <v>#N/A</v>
      </c>
      <c r="U435" s="2942" t="e">
        <v>#N/A</v>
      </c>
      <c r="V435" s="2369" t="e">
        <f t="shared" si="55"/>
        <v>#N/A</v>
      </c>
      <c r="W435" s="2942" t="e">
        <v>#N/A</v>
      </c>
      <c r="X435" s="456" t="e">
        <v>#N/A</v>
      </c>
      <c r="Y435" s="2942" t="e">
        <v>#N/A</v>
      </c>
      <c r="Z435" s="456" t="e">
        <v>#N/A</v>
      </c>
      <c r="AA435" s="2942" t="e">
        <v>#N/A</v>
      </c>
      <c r="AB435" s="2369" t="e">
        <f t="shared" si="56"/>
        <v>#N/A</v>
      </c>
      <c r="AC435" s="2944" t="e">
        <v>#N/A</v>
      </c>
    </row>
    <row r="436" spans="1:29">
      <c r="A436" s="53">
        <f t="shared" si="54"/>
        <v>2028.07</v>
      </c>
      <c r="B436" s="2395" t="e">
        <f t="shared" si="57"/>
        <v>#N/A</v>
      </c>
      <c r="C436" s="2396" t="e">
        <f t="shared" si="58"/>
        <v>#N/A</v>
      </c>
      <c r="D436" s="386" t="e">
        <v>#N/A</v>
      </c>
      <c r="E436" s="3504" t="e">
        <v>#N/A</v>
      </c>
      <c r="F436" s="151" t="e">
        <v>#N/A</v>
      </c>
      <c r="G436" s="3065" t="e">
        <v>#N/A</v>
      </c>
      <c r="H436" s="632" t="e">
        <v>#N/A</v>
      </c>
      <c r="I436" s="3504" t="e">
        <v>#N/A</v>
      </c>
      <c r="J436" s="638" t="e">
        <v>#N/A</v>
      </c>
      <c r="K436" s="151" t="e">
        <v>#N/A</v>
      </c>
      <c r="L436" s="3062" t="e">
        <f t="shared" si="59"/>
        <v>#N/A</v>
      </c>
      <c r="M436" s="632" t="e">
        <v>#N/A</v>
      </c>
      <c r="N436" s="151" t="e">
        <v>#N/A</v>
      </c>
      <c r="O436" s="3504" t="e">
        <v>#N/A</v>
      </c>
      <c r="P436" s="151" t="e">
        <v>#N/A</v>
      </c>
      <c r="Q436" s="2396" t="e">
        <f t="shared" si="60"/>
        <v>#N/A</v>
      </c>
      <c r="R436" s="456" t="e">
        <v>#N/A</v>
      </c>
      <c r="S436" s="2942" t="e">
        <v>#N/A</v>
      </c>
      <c r="T436" s="456" t="e">
        <v>#N/A</v>
      </c>
      <c r="U436" s="2942" t="e">
        <v>#N/A</v>
      </c>
      <c r="V436" s="2369" t="e">
        <f t="shared" si="55"/>
        <v>#N/A</v>
      </c>
      <c r="W436" s="2942" t="e">
        <v>#N/A</v>
      </c>
      <c r="X436" s="456" t="e">
        <v>#N/A</v>
      </c>
      <c r="Y436" s="2942" t="e">
        <v>#N/A</v>
      </c>
      <c r="Z436" s="456" t="e">
        <v>#N/A</v>
      </c>
      <c r="AA436" s="2942" t="e">
        <v>#N/A</v>
      </c>
      <c r="AB436" s="2369" t="e">
        <f t="shared" si="56"/>
        <v>#N/A</v>
      </c>
      <c r="AC436" s="2944" t="e">
        <v>#N/A</v>
      </c>
    </row>
    <row r="437" spans="1:29">
      <c r="A437" s="53">
        <f t="shared" si="54"/>
        <v>2028.08</v>
      </c>
      <c r="B437" s="2395" t="e">
        <f t="shared" si="57"/>
        <v>#N/A</v>
      </c>
      <c r="C437" s="2396" t="e">
        <f t="shared" si="58"/>
        <v>#N/A</v>
      </c>
      <c r="D437" s="386" t="e">
        <v>#N/A</v>
      </c>
      <c r="E437" s="3504" t="e">
        <v>#N/A</v>
      </c>
      <c r="F437" s="151" t="e">
        <v>#N/A</v>
      </c>
      <c r="G437" s="3065" t="e">
        <v>#N/A</v>
      </c>
      <c r="H437" s="632" t="e">
        <v>#N/A</v>
      </c>
      <c r="I437" s="3504" t="e">
        <v>#N/A</v>
      </c>
      <c r="J437" s="638" t="e">
        <v>#N/A</v>
      </c>
      <c r="K437" s="151" t="e">
        <v>#N/A</v>
      </c>
      <c r="L437" s="3062" t="e">
        <f t="shared" si="59"/>
        <v>#N/A</v>
      </c>
      <c r="M437" s="632" t="e">
        <v>#N/A</v>
      </c>
      <c r="N437" s="151" t="e">
        <v>#N/A</v>
      </c>
      <c r="O437" s="3504" t="e">
        <v>#N/A</v>
      </c>
      <c r="P437" s="151" t="e">
        <v>#N/A</v>
      </c>
      <c r="Q437" s="2396" t="e">
        <f t="shared" si="60"/>
        <v>#N/A</v>
      </c>
      <c r="R437" s="456" t="e">
        <v>#N/A</v>
      </c>
      <c r="S437" s="2942" t="e">
        <v>#N/A</v>
      </c>
      <c r="T437" s="456" t="e">
        <v>#N/A</v>
      </c>
      <c r="U437" s="2942" t="e">
        <v>#N/A</v>
      </c>
      <c r="V437" s="2369" t="e">
        <f t="shared" si="55"/>
        <v>#N/A</v>
      </c>
      <c r="W437" s="2942" t="e">
        <v>#N/A</v>
      </c>
      <c r="X437" s="456" t="e">
        <v>#N/A</v>
      </c>
      <c r="Y437" s="2942" t="e">
        <v>#N/A</v>
      </c>
      <c r="Z437" s="456" t="e">
        <v>#N/A</v>
      </c>
      <c r="AA437" s="2942" t="e">
        <v>#N/A</v>
      </c>
      <c r="AB437" s="2369" t="e">
        <f t="shared" si="56"/>
        <v>#N/A</v>
      </c>
      <c r="AC437" s="2944" t="e">
        <v>#N/A</v>
      </c>
    </row>
    <row r="438" spans="1:29">
      <c r="A438" s="53">
        <f t="shared" si="54"/>
        <v>2028.09</v>
      </c>
      <c r="B438" s="2395" t="e">
        <f t="shared" si="57"/>
        <v>#N/A</v>
      </c>
      <c r="C438" s="2396" t="e">
        <f t="shared" si="58"/>
        <v>#N/A</v>
      </c>
      <c r="D438" s="386" t="e">
        <v>#N/A</v>
      </c>
      <c r="E438" s="3504" t="e">
        <v>#N/A</v>
      </c>
      <c r="F438" s="151" t="e">
        <v>#N/A</v>
      </c>
      <c r="G438" s="3065" t="e">
        <v>#N/A</v>
      </c>
      <c r="H438" s="632" t="e">
        <v>#N/A</v>
      </c>
      <c r="I438" s="3504" t="e">
        <v>#N/A</v>
      </c>
      <c r="J438" s="638" t="e">
        <v>#N/A</v>
      </c>
      <c r="K438" s="151" t="e">
        <v>#N/A</v>
      </c>
      <c r="L438" s="3062" t="e">
        <f t="shared" si="59"/>
        <v>#N/A</v>
      </c>
      <c r="M438" s="632" t="e">
        <v>#N/A</v>
      </c>
      <c r="N438" s="151" t="e">
        <v>#N/A</v>
      </c>
      <c r="O438" s="3504" t="e">
        <v>#N/A</v>
      </c>
      <c r="P438" s="151" t="e">
        <v>#N/A</v>
      </c>
      <c r="Q438" s="2396" t="e">
        <f t="shared" si="60"/>
        <v>#N/A</v>
      </c>
      <c r="R438" s="456" t="e">
        <v>#N/A</v>
      </c>
      <c r="S438" s="2942" t="e">
        <v>#N/A</v>
      </c>
      <c r="T438" s="456" t="e">
        <v>#N/A</v>
      </c>
      <c r="U438" s="2942" t="e">
        <v>#N/A</v>
      </c>
      <c r="V438" s="2369" t="e">
        <f t="shared" si="55"/>
        <v>#N/A</v>
      </c>
      <c r="W438" s="2942" t="e">
        <v>#N/A</v>
      </c>
      <c r="X438" s="456" t="e">
        <v>#N/A</v>
      </c>
      <c r="Y438" s="2942" t="e">
        <v>#N/A</v>
      </c>
      <c r="Z438" s="456" t="e">
        <v>#N/A</v>
      </c>
      <c r="AA438" s="2942" t="e">
        <v>#N/A</v>
      </c>
      <c r="AB438" s="2369" t="e">
        <f t="shared" si="56"/>
        <v>#N/A</v>
      </c>
      <c r="AC438" s="2944" t="e">
        <v>#N/A</v>
      </c>
    </row>
    <row r="439" spans="1:29">
      <c r="A439" s="53">
        <f t="shared" si="54"/>
        <v>2028.1</v>
      </c>
      <c r="B439" s="2395" t="e">
        <f t="shared" si="57"/>
        <v>#N/A</v>
      </c>
      <c r="C439" s="2396" t="e">
        <f t="shared" si="58"/>
        <v>#N/A</v>
      </c>
      <c r="D439" s="386" t="e">
        <v>#N/A</v>
      </c>
      <c r="E439" s="3504" t="e">
        <v>#N/A</v>
      </c>
      <c r="F439" s="151" t="e">
        <v>#N/A</v>
      </c>
      <c r="G439" s="3065" t="e">
        <v>#N/A</v>
      </c>
      <c r="H439" s="632" t="e">
        <v>#N/A</v>
      </c>
      <c r="I439" s="3504" t="e">
        <v>#N/A</v>
      </c>
      <c r="J439" s="638" t="e">
        <v>#N/A</v>
      </c>
      <c r="K439" s="151" t="e">
        <v>#N/A</v>
      </c>
      <c r="L439" s="3062" t="e">
        <f t="shared" si="59"/>
        <v>#N/A</v>
      </c>
      <c r="M439" s="632" t="e">
        <v>#N/A</v>
      </c>
      <c r="N439" s="151" t="e">
        <v>#N/A</v>
      </c>
      <c r="O439" s="3504" t="e">
        <v>#N/A</v>
      </c>
      <c r="P439" s="151" t="e">
        <v>#N/A</v>
      </c>
      <c r="Q439" s="2396" t="e">
        <f t="shared" si="60"/>
        <v>#N/A</v>
      </c>
      <c r="R439" s="456" t="e">
        <v>#N/A</v>
      </c>
      <c r="S439" s="2942" t="e">
        <v>#N/A</v>
      </c>
      <c r="T439" s="456" t="e">
        <v>#N/A</v>
      </c>
      <c r="U439" s="2942" t="e">
        <v>#N/A</v>
      </c>
      <c r="V439" s="2369" t="e">
        <f t="shared" si="55"/>
        <v>#N/A</v>
      </c>
      <c r="W439" s="2942" t="e">
        <v>#N/A</v>
      </c>
      <c r="X439" s="456" t="e">
        <v>#N/A</v>
      </c>
      <c r="Y439" s="2942" t="e">
        <v>#N/A</v>
      </c>
      <c r="Z439" s="456" t="e">
        <v>#N/A</v>
      </c>
      <c r="AA439" s="2942" t="e">
        <v>#N/A</v>
      </c>
      <c r="AB439" s="2369" t="e">
        <f t="shared" si="56"/>
        <v>#N/A</v>
      </c>
      <c r="AC439" s="2944" t="e">
        <v>#N/A</v>
      </c>
    </row>
    <row r="440" spans="1:29">
      <c r="A440" s="53">
        <f t="shared" si="54"/>
        <v>2028.11</v>
      </c>
      <c r="B440" s="2395" t="e">
        <f t="shared" si="57"/>
        <v>#N/A</v>
      </c>
      <c r="C440" s="2396" t="e">
        <f t="shared" si="58"/>
        <v>#N/A</v>
      </c>
      <c r="D440" s="386" t="e">
        <v>#N/A</v>
      </c>
      <c r="E440" s="3504" t="e">
        <v>#N/A</v>
      </c>
      <c r="F440" s="151" t="e">
        <v>#N/A</v>
      </c>
      <c r="G440" s="3065" t="e">
        <v>#N/A</v>
      </c>
      <c r="H440" s="632" t="e">
        <v>#N/A</v>
      </c>
      <c r="I440" s="3504" t="e">
        <v>#N/A</v>
      </c>
      <c r="J440" s="638" t="e">
        <v>#N/A</v>
      </c>
      <c r="K440" s="151" t="e">
        <v>#N/A</v>
      </c>
      <c r="L440" s="3062" t="e">
        <f t="shared" si="59"/>
        <v>#N/A</v>
      </c>
      <c r="M440" s="632" t="e">
        <v>#N/A</v>
      </c>
      <c r="N440" s="151" t="e">
        <v>#N/A</v>
      </c>
      <c r="O440" s="3504" t="e">
        <v>#N/A</v>
      </c>
      <c r="P440" s="151" t="e">
        <v>#N/A</v>
      </c>
      <c r="Q440" s="2396" t="e">
        <f t="shared" si="60"/>
        <v>#N/A</v>
      </c>
      <c r="R440" s="456" t="e">
        <v>#N/A</v>
      </c>
      <c r="S440" s="2942" t="e">
        <v>#N/A</v>
      </c>
      <c r="T440" s="456" t="e">
        <v>#N/A</v>
      </c>
      <c r="U440" s="2942" t="e">
        <v>#N/A</v>
      </c>
      <c r="V440" s="2369" t="e">
        <f t="shared" si="55"/>
        <v>#N/A</v>
      </c>
      <c r="W440" s="2942" t="e">
        <v>#N/A</v>
      </c>
      <c r="X440" s="456" t="e">
        <v>#N/A</v>
      </c>
      <c r="Y440" s="2942" t="e">
        <v>#N/A</v>
      </c>
      <c r="Z440" s="456" t="e">
        <v>#N/A</v>
      </c>
      <c r="AA440" s="2942" t="e">
        <v>#N/A</v>
      </c>
      <c r="AB440" s="2369" t="e">
        <f t="shared" si="56"/>
        <v>#N/A</v>
      </c>
      <c r="AC440" s="2944" t="e">
        <v>#N/A</v>
      </c>
    </row>
    <row r="441" spans="1:29">
      <c r="A441" s="53">
        <f t="shared" si="54"/>
        <v>2028.12</v>
      </c>
      <c r="B441" s="2395" t="e">
        <f t="shared" si="57"/>
        <v>#N/A</v>
      </c>
      <c r="C441" s="2396" t="e">
        <f t="shared" si="58"/>
        <v>#N/A</v>
      </c>
      <c r="D441" s="386" t="e">
        <v>#N/A</v>
      </c>
      <c r="E441" s="3504" t="e">
        <v>#N/A</v>
      </c>
      <c r="F441" s="151" t="e">
        <v>#N/A</v>
      </c>
      <c r="G441" s="3065" t="e">
        <v>#N/A</v>
      </c>
      <c r="H441" s="632" t="e">
        <v>#N/A</v>
      </c>
      <c r="I441" s="3504" t="e">
        <v>#N/A</v>
      </c>
      <c r="J441" s="638" t="e">
        <v>#N/A</v>
      </c>
      <c r="K441" s="151" t="e">
        <v>#N/A</v>
      </c>
      <c r="L441" s="3062" t="e">
        <f t="shared" si="59"/>
        <v>#N/A</v>
      </c>
      <c r="M441" s="632" t="e">
        <v>#N/A</v>
      </c>
      <c r="N441" s="151" t="e">
        <v>#N/A</v>
      </c>
      <c r="O441" s="3504" t="e">
        <v>#N/A</v>
      </c>
      <c r="P441" s="151" t="e">
        <v>#N/A</v>
      </c>
      <c r="Q441" s="2396" t="e">
        <f t="shared" si="60"/>
        <v>#N/A</v>
      </c>
      <c r="R441" s="456" t="e">
        <v>#N/A</v>
      </c>
      <c r="S441" s="2942" t="e">
        <v>#N/A</v>
      </c>
      <c r="T441" s="456" t="e">
        <v>#N/A</v>
      </c>
      <c r="U441" s="2942" t="e">
        <v>#N/A</v>
      </c>
      <c r="V441" s="2369" t="e">
        <f t="shared" si="55"/>
        <v>#N/A</v>
      </c>
      <c r="W441" s="2942" t="e">
        <v>#N/A</v>
      </c>
      <c r="X441" s="456" t="e">
        <v>#N/A</v>
      </c>
      <c r="Y441" s="2942" t="e">
        <v>#N/A</v>
      </c>
      <c r="Z441" s="456" t="e">
        <v>#N/A</v>
      </c>
      <c r="AA441" s="2942" t="e">
        <v>#N/A</v>
      </c>
      <c r="AB441" s="2369" t="e">
        <f t="shared" si="56"/>
        <v>#N/A</v>
      </c>
      <c r="AC441" s="2944" t="e">
        <v>#N/A</v>
      </c>
    </row>
    <row r="442" spans="1:29">
      <c r="A442" s="53">
        <f t="shared" si="54"/>
        <v>2029.01</v>
      </c>
      <c r="B442" s="2395" t="e">
        <f t="shared" si="57"/>
        <v>#N/A</v>
      </c>
      <c r="C442" s="2396" t="e">
        <f t="shared" si="58"/>
        <v>#N/A</v>
      </c>
      <c r="D442" s="386" t="e">
        <v>#N/A</v>
      </c>
      <c r="E442" s="3504" t="e">
        <v>#N/A</v>
      </c>
      <c r="F442" s="151" t="e">
        <v>#N/A</v>
      </c>
      <c r="G442" s="3065" t="e">
        <v>#N/A</v>
      </c>
      <c r="H442" s="632" t="e">
        <v>#N/A</v>
      </c>
      <c r="I442" s="3504" t="e">
        <v>#N/A</v>
      </c>
      <c r="J442" s="638" t="e">
        <v>#N/A</v>
      </c>
      <c r="K442" s="151" t="e">
        <v>#N/A</v>
      </c>
      <c r="L442" s="3062" t="e">
        <f t="shared" si="59"/>
        <v>#N/A</v>
      </c>
      <c r="M442" s="632" t="e">
        <v>#N/A</v>
      </c>
      <c r="N442" s="151" t="e">
        <v>#N/A</v>
      </c>
      <c r="O442" s="3504" t="e">
        <v>#N/A</v>
      </c>
      <c r="P442" s="151" t="e">
        <v>#N/A</v>
      </c>
      <c r="Q442" s="2396" t="e">
        <f t="shared" si="60"/>
        <v>#N/A</v>
      </c>
      <c r="R442" s="456" t="e">
        <v>#N/A</v>
      </c>
      <c r="S442" s="2942" t="e">
        <v>#N/A</v>
      </c>
      <c r="T442" s="456" t="e">
        <v>#N/A</v>
      </c>
      <c r="U442" s="2942" t="e">
        <v>#N/A</v>
      </c>
      <c r="V442" s="2369" t="e">
        <f t="shared" si="55"/>
        <v>#N/A</v>
      </c>
      <c r="W442" s="2942" t="e">
        <v>#N/A</v>
      </c>
      <c r="X442" s="456" t="e">
        <v>#N/A</v>
      </c>
      <c r="Y442" s="2942" t="e">
        <v>#N/A</v>
      </c>
      <c r="Z442" s="456" t="e">
        <v>#N/A</v>
      </c>
      <c r="AA442" s="2942" t="e">
        <v>#N/A</v>
      </c>
      <c r="AB442" s="2369" t="e">
        <f t="shared" si="56"/>
        <v>#N/A</v>
      </c>
      <c r="AC442" s="2944" t="e">
        <v>#N/A</v>
      </c>
    </row>
    <row r="443" spans="1:29">
      <c r="A443" s="53">
        <f t="shared" si="54"/>
        <v>2029.02</v>
      </c>
      <c r="B443" s="2395" t="e">
        <f t="shared" si="57"/>
        <v>#N/A</v>
      </c>
      <c r="C443" s="2396" t="e">
        <f t="shared" si="58"/>
        <v>#N/A</v>
      </c>
      <c r="D443" s="386" t="e">
        <v>#N/A</v>
      </c>
      <c r="E443" s="3504" t="e">
        <v>#N/A</v>
      </c>
      <c r="F443" s="151" t="e">
        <v>#N/A</v>
      </c>
      <c r="G443" s="3065" t="e">
        <v>#N/A</v>
      </c>
      <c r="H443" s="632" t="e">
        <v>#N/A</v>
      </c>
      <c r="I443" s="3504" t="e">
        <v>#N/A</v>
      </c>
      <c r="J443" s="638" t="e">
        <v>#N/A</v>
      </c>
      <c r="K443" s="151" t="e">
        <v>#N/A</v>
      </c>
      <c r="L443" s="3062" t="e">
        <f t="shared" si="59"/>
        <v>#N/A</v>
      </c>
      <c r="M443" s="632" t="e">
        <v>#N/A</v>
      </c>
      <c r="N443" s="151" t="e">
        <v>#N/A</v>
      </c>
      <c r="O443" s="3504" t="e">
        <v>#N/A</v>
      </c>
      <c r="P443" s="151" t="e">
        <v>#N/A</v>
      </c>
      <c r="Q443" s="2396" t="e">
        <f t="shared" si="60"/>
        <v>#N/A</v>
      </c>
      <c r="R443" s="456" t="e">
        <v>#N/A</v>
      </c>
      <c r="S443" s="2942" t="e">
        <v>#N/A</v>
      </c>
      <c r="T443" s="456" t="e">
        <v>#N/A</v>
      </c>
      <c r="U443" s="2942" t="e">
        <v>#N/A</v>
      </c>
      <c r="V443" s="2369" t="e">
        <f t="shared" si="55"/>
        <v>#N/A</v>
      </c>
      <c r="W443" s="2942" t="e">
        <v>#N/A</v>
      </c>
      <c r="X443" s="456" t="e">
        <v>#N/A</v>
      </c>
      <c r="Y443" s="2942" t="e">
        <v>#N/A</v>
      </c>
      <c r="Z443" s="456" t="e">
        <v>#N/A</v>
      </c>
      <c r="AA443" s="2942" t="e">
        <v>#N/A</v>
      </c>
      <c r="AB443" s="2369" t="e">
        <f t="shared" si="56"/>
        <v>#N/A</v>
      </c>
      <c r="AC443" s="2944" t="e">
        <v>#N/A</v>
      </c>
    </row>
    <row r="444" spans="1:29">
      <c r="A444" s="53">
        <f t="shared" si="54"/>
        <v>2029.03</v>
      </c>
      <c r="B444" s="2395" t="e">
        <f t="shared" si="57"/>
        <v>#N/A</v>
      </c>
      <c r="C444" s="2396" t="e">
        <f t="shared" si="58"/>
        <v>#N/A</v>
      </c>
      <c r="D444" s="386" t="e">
        <v>#N/A</v>
      </c>
      <c r="E444" s="3504" t="e">
        <v>#N/A</v>
      </c>
      <c r="F444" s="151" t="e">
        <v>#N/A</v>
      </c>
      <c r="G444" s="3065" t="e">
        <v>#N/A</v>
      </c>
      <c r="H444" s="632" t="e">
        <v>#N/A</v>
      </c>
      <c r="I444" s="3504" t="e">
        <v>#N/A</v>
      </c>
      <c r="J444" s="638" t="e">
        <v>#N/A</v>
      </c>
      <c r="K444" s="151" t="e">
        <v>#N/A</v>
      </c>
      <c r="L444" s="3062" t="e">
        <f t="shared" si="59"/>
        <v>#N/A</v>
      </c>
      <c r="M444" s="632" t="e">
        <v>#N/A</v>
      </c>
      <c r="N444" s="151" t="e">
        <v>#N/A</v>
      </c>
      <c r="O444" s="3504" t="e">
        <v>#N/A</v>
      </c>
      <c r="P444" s="151" t="e">
        <v>#N/A</v>
      </c>
      <c r="Q444" s="2396" t="e">
        <f t="shared" si="60"/>
        <v>#N/A</v>
      </c>
      <c r="R444" s="456" t="e">
        <v>#N/A</v>
      </c>
      <c r="S444" s="2942" t="e">
        <v>#N/A</v>
      </c>
      <c r="T444" s="456" t="e">
        <v>#N/A</v>
      </c>
      <c r="U444" s="2942" t="e">
        <v>#N/A</v>
      </c>
      <c r="V444" s="2369" t="e">
        <f t="shared" si="55"/>
        <v>#N/A</v>
      </c>
      <c r="W444" s="2942" t="e">
        <v>#N/A</v>
      </c>
      <c r="X444" s="456" t="e">
        <v>#N/A</v>
      </c>
      <c r="Y444" s="2942" t="e">
        <v>#N/A</v>
      </c>
      <c r="Z444" s="456" t="e">
        <v>#N/A</v>
      </c>
      <c r="AA444" s="2942" t="e">
        <v>#N/A</v>
      </c>
      <c r="AB444" s="2369" t="e">
        <f t="shared" si="56"/>
        <v>#N/A</v>
      </c>
      <c r="AC444" s="2944" t="e">
        <v>#N/A</v>
      </c>
    </row>
    <row r="445" spans="1:29">
      <c r="A445" s="53">
        <f t="shared" si="54"/>
        <v>2029.04</v>
      </c>
      <c r="B445" s="2395" t="e">
        <f t="shared" si="57"/>
        <v>#N/A</v>
      </c>
      <c r="C445" s="2396" t="e">
        <f t="shared" si="58"/>
        <v>#N/A</v>
      </c>
      <c r="D445" s="386" t="e">
        <v>#N/A</v>
      </c>
      <c r="E445" s="3504" t="e">
        <v>#N/A</v>
      </c>
      <c r="F445" s="151" t="e">
        <v>#N/A</v>
      </c>
      <c r="G445" s="3065" t="e">
        <v>#N/A</v>
      </c>
      <c r="H445" s="632" t="e">
        <v>#N/A</v>
      </c>
      <c r="I445" s="3504" t="e">
        <v>#N/A</v>
      </c>
      <c r="J445" s="638" t="e">
        <v>#N/A</v>
      </c>
      <c r="K445" s="151" t="e">
        <v>#N/A</v>
      </c>
      <c r="L445" s="3062" t="e">
        <f t="shared" si="59"/>
        <v>#N/A</v>
      </c>
      <c r="M445" s="632" t="e">
        <v>#N/A</v>
      </c>
      <c r="N445" s="151" t="e">
        <v>#N/A</v>
      </c>
      <c r="O445" s="3504" t="e">
        <v>#N/A</v>
      </c>
      <c r="P445" s="151" t="e">
        <v>#N/A</v>
      </c>
      <c r="Q445" s="2396" t="e">
        <f t="shared" si="60"/>
        <v>#N/A</v>
      </c>
      <c r="R445" s="456" t="e">
        <v>#N/A</v>
      </c>
      <c r="S445" s="2942" t="e">
        <v>#N/A</v>
      </c>
      <c r="T445" s="456" t="e">
        <v>#N/A</v>
      </c>
      <c r="U445" s="2942" t="e">
        <v>#N/A</v>
      </c>
      <c r="V445" s="2369" t="e">
        <f t="shared" si="55"/>
        <v>#N/A</v>
      </c>
      <c r="W445" s="2942" t="e">
        <v>#N/A</v>
      </c>
      <c r="X445" s="456" t="e">
        <v>#N/A</v>
      </c>
      <c r="Y445" s="2942" t="e">
        <v>#N/A</v>
      </c>
      <c r="Z445" s="456" t="e">
        <v>#N/A</v>
      </c>
      <c r="AA445" s="2942" t="e">
        <v>#N/A</v>
      </c>
      <c r="AB445" s="2369" t="e">
        <f t="shared" si="56"/>
        <v>#N/A</v>
      </c>
      <c r="AC445" s="2944" t="e">
        <v>#N/A</v>
      </c>
    </row>
    <row r="446" spans="1:29">
      <c r="A446" s="53">
        <f t="shared" si="54"/>
        <v>2029.05</v>
      </c>
      <c r="B446" s="2395" t="e">
        <f t="shared" si="57"/>
        <v>#N/A</v>
      </c>
      <c r="C446" s="2396" t="e">
        <f t="shared" si="58"/>
        <v>#N/A</v>
      </c>
      <c r="D446" s="386" t="e">
        <v>#N/A</v>
      </c>
      <c r="E446" s="3504" t="e">
        <v>#N/A</v>
      </c>
      <c r="F446" s="151" t="e">
        <v>#N/A</v>
      </c>
      <c r="G446" s="3065" t="e">
        <v>#N/A</v>
      </c>
      <c r="H446" s="632" t="e">
        <v>#N/A</v>
      </c>
      <c r="I446" s="3504" t="e">
        <v>#N/A</v>
      </c>
      <c r="J446" s="638" t="e">
        <v>#N/A</v>
      </c>
      <c r="K446" s="151" t="e">
        <v>#N/A</v>
      </c>
      <c r="L446" s="3062" t="e">
        <f t="shared" si="59"/>
        <v>#N/A</v>
      </c>
      <c r="M446" s="632" t="e">
        <v>#N/A</v>
      </c>
      <c r="N446" s="151" t="e">
        <v>#N/A</v>
      </c>
      <c r="O446" s="3504" t="e">
        <v>#N/A</v>
      </c>
      <c r="P446" s="151" t="e">
        <v>#N/A</v>
      </c>
      <c r="Q446" s="2396" t="e">
        <f t="shared" si="60"/>
        <v>#N/A</v>
      </c>
      <c r="R446" s="456" t="e">
        <v>#N/A</v>
      </c>
      <c r="S446" s="2942" t="e">
        <v>#N/A</v>
      </c>
      <c r="T446" s="456" t="e">
        <v>#N/A</v>
      </c>
      <c r="U446" s="2942" t="e">
        <v>#N/A</v>
      </c>
      <c r="V446" s="2369" t="e">
        <f t="shared" si="55"/>
        <v>#N/A</v>
      </c>
      <c r="W446" s="2942" t="e">
        <v>#N/A</v>
      </c>
      <c r="X446" s="456" t="e">
        <v>#N/A</v>
      </c>
      <c r="Y446" s="2942" t="e">
        <v>#N/A</v>
      </c>
      <c r="Z446" s="456" t="e">
        <v>#N/A</v>
      </c>
      <c r="AA446" s="2942" t="e">
        <v>#N/A</v>
      </c>
      <c r="AB446" s="2369" t="e">
        <f t="shared" si="56"/>
        <v>#N/A</v>
      </c>
      <c r="AC446" s="2944" t="e">
        <v>#N/A</v>
      </c>
    </row>
    <row r="447" spans="1:29">
      <c r="A447" s="53">
        <f t="shared" si="54"/>
        <v>2029.06</v>
      </c>
      <c r="B447" s="2395" t="e">
        <f t="shared" si="57"/>
        <v>#N/A</v>
      </c>
      <c r="C447" s="2396" t="e">
        <f t="shared" si="58"/>
        <v>#N/A</v>
      </c>
      <c r="D447" s="386" t="e">
        <v>#N/A</v>
      </c>
      <c r="E447" s="3504" t="e">
        <v>#N/A</v>
      </c>
      <c r="F447" s="151" t="e">
        <v>#N/A</v>
      </c>
      <c r="G447" s="3065" t="e">
        <v>#N/A</v>
      </c>
      <c r="H447" s="632" t="e">
        <v>#N/A</v>
      </c>
      <c r="I447" s="3504" t="e">
        <v>#N/A</v>
      </c>
      <c r="J447" s="638" t="e">
        <v>#N/A</v>
      </c>
      <c r="K447" s="151" t="e">
        <v>#N/A</v>
      </c>
      <c r="L447" s="3062" t="e">
        <f t="shared" si="59"/>
        <v>#N/A</v>
      </c>
      <c r="M447" s="632" t="e">
        <v>#N/A</v>
      </c>
      <c r="N447" s="151" t="e">
        <v>#N/A</v>
      </c>
      <c r="O447" s="3504" t="e">
        <v>#N/A</v>
      </c>
      <c r="P447" s="151" t="e">
        <v>#N/A</v>
      </c>
      <c r="Q447" s="2396" t="e">
        <f t="shared" si="60"/>
        <v>#N/A</v>
      </c>
      <c r="R447" s="456" t="e">
        <v>#N/A</v>
      </c>
      <c r="S447" s="2942" t="e">
        <v>#N/A</v>
      </c>
      <c r="T447" s="456" t="e">
        <v>#N/A</v>
      </c>
      <c r="U447" s="2942" t="e">
        <v>#N/A</v>
      </c>
      <c r="V447" s="2369" t="e">
        <f t="shared" si="55"/>
        <v>#N/A</v>
      </c>
      <c r="W447" s="2942" t="e">
        <v>#N/A</v>
      </c>
      <c r="X447" s="456" t="e">
        <v>#N/A</v>
      </c>
      <c r="Y447" s="2942" t="e">
        <v>#N/A</v>
      </c>
      <c r="Z447" s="456" t="e">
        <v>#N/A</v>
      </c>
      <c r="AA447" s="2942" t="e">
        <v>#N/A</v>
      </c>
      <c r="AB447" s="2369" t="e">
        <f t="shared" si="56"/>
        <v>#N/A</v>
      </c>
      <c r="AC447" s="2944" t="e">
        <v>#N/A</v>
      </c>
    </row>
    <row r="448" spans="1:29">
      <c r="A448" s="53">
        <f t="shared" si="54"/>
        <v>2029.07</v>
      </c>
      <c r="B448" s="2395" t="e">
        <f t="shared" si="57"/>
        <v>#N/A</v>
      </c>
      <c r="C448" s="2396" t="e">
        <f t="shared" si="58"/>
        <v>#N/A</v>
      </c>
      <c r="D448" s="386" t="e">
        <v>#N/A</v>
      </c>
      <c r="E448" s="3504" t="e">
        <v>#N/A</v>
      </c>
      <c r="F448" s="151" t="e">
        <v>#N/A</v>
      </c>
      <c r="G448" s="3065" t="e">
        <v>#N/A</v>
      </c>
      <c r="H448" s="632" t="e">
        <v>#N/A</v>
      </c>
      <c r="I448" s="3504" t="e">
        <v>#N/A</v>
      </c>
      <c r="J448" s="638" t="e">
        <v>#N/A</v>
      </c>
      <c r="K448" s="151" t="e">
        <v>#N/A</v>
      </c>
      <c r="L448" s="3062" t="e">
        <f t="shared" si="59"/>
        <v>#N/A</v>
      </c>
      <c r="M448" s="632" t="e">
        <v>#N/A</v>
      </c>
      <c r="N448" s="151" t="e">
        <v>#N/A</v>
      </c>
      <c r="O448" s="3504" t="e">
        <v>#N/A</v>
      </c>
      <c r="P448" s="151" t="e">
        <v>#N/A</v>
      </c>
      <c r="Q448" s="2396" t="e">
        <f t="shared" si="60"/>
        <v>#N/A</v>
      </c>
      <c r="R448" s="456" t="e">
        <v>#N/A</v>
      </c>
      <c r="S448" s="2942" t="e">
        <v>#N/A</v>
      </c>
      <c r="T448" s="456" t="e">
        <v>#N/A</v>
      </c>
      <c r="U448" s="2942" t="e">
        <v>#N/A</v>
      </c>
      <c r="V448" s="2369" t="e">
        <f t="shared" si="55"/>
        <v>#N/A</v>
      </c>
      <c r="W448" s="2942" t="e">
        <v>#N/A</v>
      </c>
      <c r="X448" s="456" t="e">
        <v>#N/A</v>
      </c>
      <c r="Y448" s="2942" t="e">
        <v>#N/A</v>
      </c>
      <c r="Z448" s="456" t="e">
        <v>#N/A</v>
      </c>
      <c r="AA448" s="2942" t="e">
        <v>#N/A</v>
      </c>
      <c r="AB448" s="2369" t="e">
        <f t="shared" si="56"/>
        <v>#N/A</v>
      </c>
      <c r="AC448" s="2944" t="e">
        <v>#N/A</v>
      </c>
    </row>
    <row r="449" spans="1:29">
      <c r="A449" s="53">
        <f t="shared" si="54"/>
        <v>2029.08</v>
      </c>
      <c r="B449" s="2395" t="e">
        <f t="shared" si="57"/>
        <v>#N/A</v>
      </c>
      <c r="C449" s="2396" t="e">
        <f t="shared" si="58"/>
        <v>#N/A</v>
      </c>
      <c r="D449" s="386" t="e">
        <v>#N/A</v>
      </c>
      <c r="E449" s="3504" t="e">
        <v>#N/A</v>
      </c>
      <c r="F449" s="151" t="e">
        <v>#N/A</v>
      </c>
      <c r="G449" s="3065" t="e">
        <v>#N/A</v>
      </c>
      <c r="H449" s="632" t="e">
        <v>#N/A</v>
      </c>
      <c r="I449" s="3504" t="e">
        <v>#N/A</v>
      </c>
      <c r="J449" s="638" t="e">
        <v>#N/A</v>
      </c>
      <c r="K449" s="151" t="e">
        <v>#N/A</v>
      </c>
      <c r="L449" s="3062" t="e">
        <f t="shared" si="59"/>
        <v>#N/A</v>
      </c>
      <c r="M449" s="632" t="e">
        <v>#N/A</v>
      </c>
      <c r="N449" s="151" t="e">
        <v>#N/A</v>
      </c>
      <c r="O449" s="3504" t="e">
        <v>#N/A</v>
      </c>
      <c r="P449" s="151" t="e">
        <v>#N/A</v>
      </c>
      <c r="Q449" s="2396" t="e">
        <f t="shared" si="60"/>
        <v>#N/A</v>
      </c>
      <c r="R449" s="456" t="e">
        <v>#N/A</v>
      </c>
      <c r="S449" s="2942" t="e">
        <v>#N/A</v>
      </c>
      <c r="T449" s="456" t="e">
        <v>#N/A</v>
      </c>
      <c r="U449" s="2942" t="e">
        <v>#N/A</v>
      </c>
      <c r="V449" s="2369" t="e">
        <f t="shared" si="55"/>
        <v>#N/A</v>
      </c>
      <c r="W449" s="2942" t="e">
        <v>#N/A</v>
      </c>
      <c r="X449" s="456" t="e">
        <v>#N/A</v>
      </c>
      <c r="Y449" s="2942" t="e">
        <v>#N/A</v>
      </c>
      <c r="Z449" s="456" t="e">
        <v>#N/A</v>
      </c>
      <c r="AA449" s="2942" t="e">
        <v>#N/A</v>
      </c>
      <c r="AB449" s="2369" t="e">
        <f t="shared" si="56"/>
        <v>#N/A</v>
      </c>
      <c r="AC449" s="2944" t="e">
        <v>#N/A</v>
      </c>
    </row>
    <row r="450" spans="1:29">
      <c r="A450" s="53">
        <f t="shared" si="54"/>
        <v>2029.09</v>
      </c>
      <c r="B450" s="2395" t="e">
        <f t="shared" si="57"/>
        <v>#N/A</v>
      </c>
      <c r="C450" s="2396" t="e">
        <f t="shared" si="58"/>
        <v>#N/A</v>
      </c>
      <c r="D450" s="386" t="e">
        <v>#N/A</v>
      </c>
      <c r="E450" s="3504" t="e">
        <v>#N/A</v>
      </c>
      <c r="F450" s="151" t="e">
        <v>#N/A</v>
      </c>
      <c r="G450" s="3065" t="e">
        <v>#N/A</v>
      </c>
      <c r="H450" s="632" t="e">
        <v>#N/A</v>
      </c>
      <c r="I450" s="3504" t="e">
        <v>#N/A</v>
      </c>
      <c r="J450" s="638" t="e">
        <v>#N/A</v>
      </c>
      <c r="K450" s="151" t="e">
        <v>#N/A</v>
      </c>
      <c r="L450" s="3062" t="e">
        <f t="shared" si="59"/>
        <v>#N/A</v>
      </c>
      <c r="M450" s="632" t="e">
        <v>#N/A</v>
      </c>
      <c r="N450" s="151" t="e">
        <v>#N/A</v>
      </c>
      <c r="O450" s="3504" t="e">
        <v>#N/A</v>
      </c>
      <c r="P450" s="151" t="e">
        <v>#N/A</v>
      </c>
      <c r="Q450" s="2396" t="e">
        <f t="shared" si="60"/>
        <v>#N/A</v>
      </c>
      <c r="R450" s="456" t="e">
        <v>#N/A</v>
      </c>
      <c r="S450" s="2942" t="e">
        <v>#N/A</v>
      </c>
      <c r="T450" s="456" t="e">
        <v>#N/A</v>
      </c>
      <c r="U450" s="2942" t="e">
        <v>#N/A</v>
      </c>
      <c r="V450" s="2369" t="e">
        <f t="shared" si="55"/>
        <v>#N/A</v>
      </c>
      <c r="W450" s="2942" t="e">
        <v>#N/A</v>
      </c>
      <c r="X450" s="456" t="e">
        <v>#N/A</v>
      </c>
      <c r="Y450" s="2942" t="e">
        <v>#N/A</v>
      </c>
      <c r="Z450" s="456" t="e">
        <v>#N/A</v>
      </c>
      <c r="AA450" s="2942" t="e">
        <v>#N/A</v>
      </c>
      <c r="AB450" s="2369" t="e">
        <f t="shared" si="56"/>
        <v>#N/A</v>
      </c>
      <c r="AC450" s="2944" t="e">
        <v>#N/A</v>
      </c>
    </row>
    <row r="451" spans="1:29">
      <c r="A451" s="53">
        <f t="shared" si="54"/>
        <v>2029.1</v>
      </c>
      <c r="B451" s="2395" t="e">
        <f t="shared" si="57"/>
        <v>#N/A</v>
      </c>
      <c r="C451" s="2396" t="e">
        <f t="shared" si="58"/>
        <v>#N/A</v>
      </c>
      <c r="D451" s="386" t="e">
        <v>#N/A</v>
      </c>
      <c r="E451" s="3504" t="e">
        <v>#N/A</v>
      </c>
      <c r="F451" s="151" t="e">
        <v>#N/A</v>
      </c>
      <c r="G451" s="3065" t="e">
        <v>#N/A</v>
      </c>
      <c r="H451" s="632" t="e">
        <v>#N/A</v>
      </c>
      <c r="I451" s="3504" t="e">
        <v>#N/A</v>
      </c>
      <c r="J451" s="638" t="e">
        <v>#N/A</v>
      </c>
      <c r="K451" s="151" t="e">
        <v>#N/A</v>
      </c>
      <c r="L451" s="3062" t="e">
        <f t="shared" si="59"/>
        <v>#N/A</v>
      </c>
      <c r="M451" s="632" t="e">
        <v>#N/A</v>
      </c>
      <c r="N451" s="151" t="e">
        <v>#N/A</v>
      </c>
      <c r="O451" s="3504" t="e">
        <v>#N/A</v>
      </c>
      <c r="P451" s="151" t="e">
        <v>#N/A</v>
      </c>
      <c r="Q451" s="2396" t="e">
        <f t="shared" si="60"/>
        <v>#N/A</v>
      </c>
      <c r="R451" s="456" t="e">
        <v>#N/A</v>
      </c>
      <c r="S451" s="2942" t="e">
        <v>#N/A</v>
      </c>
      <c r="T451" s="456" t="e">
        <v>#N/A</v>
      </c>
      <c r="U451" s="2942" t="e">
        <v>#N/A</v>
      </c>
      <c r="V451" s="2369" t="e">
        <f t="shared" si="55"/>
        <v>#N/A</v>
      </c>
      <c r="W451" s="2942" t="e">
        <v>#N/A</v>
      </c>
      <c r="X451" s="456" t="e">
        <v>#N/A</v>
      </c>
      <c r="Y451" s="2942" t="e">
        <v>#N/A</v>
      </c>
      <c r="Z451" s="456" t="e">
        <v>#N/A</v>
      </c>
      <c r="AA451" s="2942" t="e">
        <v>#N/A</v>
      </c>
      <c r="AB451" s="2369" t="e">
        <f t="shared" si="56"/>
        <v>#N/A</v>
      </c>
      <c r="AC451" s="2944" t="e">
        <v>#N/A</v>
      </c>
    </row>
    <row r="452" spans="1:29">
      <c r="A452" s="53">
        <f t="shared" si="54"/>
        <v>2029.11</v>
      </c>
      <c r="B452" s="2395" t="e">
        <f t="shared" si="57"/>
        <v>#N/A</v>
      </c>
      <c r="C452" s="2396" t="e">
        <f t="shared" si="58"/>
        <v>#N/A</v>
      </c>
      <c r="D452" s="386" t="e">
        <v>#N/A</v>
      </c>
      <c r="E452" s="3504" t="e">
        <v>#N/A</v>
      </c>
      <c r="F452" s="151" t="e">
        <v>#N/A</v>
      </c>
      <c r="G452" s="3065" t="e">
        <v>#N/A</v>
      </c>
      <c r="H452" s="632" t="e">
        <v>#N/A</v>
      </c>
      <c r="I452" s="3504" t="e">
        <v>#N/A</v>
      </c>
      <c r="J452" s="638" t="e">
        <v>#N/A</v>
      </c>
      <c r="K452" s="151" t="e">
        <v>#N/A</v>
      </c>
      <c r="L452" s="3062" t="e">
        <f t="shared" si="59"/>
        <v>#N/A</v>
      </c>
      <c r="M452" s="632" t="e">
        <v>#N/A</v>
      </c>
      <c r="N452" s="151" t="e">
        <v>#N/A</v>
      </c>
      <c r="O452" s="3504" t="e">
        <v>#N/A</v>
      </c>
      <c r="P452" s="151" t="e">
        <v>#N/A</v>
      </c>
      <c r="Q452" s="2396" t="e">
        <f t="shared" si="60"/>
        <v>#N/A</v>
      </c>
      <c r="R452" s="456" t="e">
        <v>#N/A</v>
      </c>
      <c r="S452" s="2942" t="e">
        <v>#N/A</v>
      </c>
      <c r="T452" s="456" t="e">
        <v>#N/A</v>
      </c>
      <c r="U452" s="2942" t="e">
        <v>#N/A</v>
      </c>
      <c r="V452" s="2369" t="e">
        <f t="shared" si="55"/>
        <v>#N/A</v>
      </c>
      <c r="W452" s="2942" t="e">
        <v>#N/A</v>
      </c>
      <c r="X452" s="456" t="e">
        <v>#N/A</v>
      </c>
      <c r="Y452" s="2942" t="e">
        <v>#N/A</v>
      </c>
      <c r="Z452" s="456" t="e">
        <v>#N/A</v>
      </c>
      <c r="AA452" s="2942" t="e">
        <v>#N/A</v>
      </c>
      <c r="AB452" s="2369" t="e">
        <f t="shared" si="56"/>
        <v>#N/A</v>
      </c>
      <c r="AC452" s="2944" t="e">
        <v>#N/A</v>
      </c>
    </row>
    <row r="453" spans="1:29">
      <c r="A453" s="53">
        <f t="shared" si="54"/>
        <v>2029.12</v>
      </c>
      <c r="B453" s="2395" t="e">
        <f t="shared" si="57"/>
        <v>#N/A</v>
      </c>
      <c r="C453" s="2396" t="e">
        <f t="shared" si="58"/>
        <v>#N/A</v>
      </c>
      <c r="D453" s="386" t="e">
        <v>#N/A</v>
      </c>
      <c r="E453" s="3504" t="e">
        <v>#N/A</v>
      </c>
      <c r="F453" s="151" t="e">
        <v>#N/A</v>
      </c>
      <c r="G453" s="3065" t="e">
        <v>#N/A</v>
      </c>
      <c r="H453" s="632" t="e">
        <v>#N/A</v>
      </c>
      <c r="I453" s="3504" t="e">
        <v>#N/A</v>
      </c>
      <c r="J453" s="638" t="e">
        <v>#N/A</v>
      </c>
      <c r="K453" s="151" t="e">
        <v>#N/A</v>
      </c>
      <c r="L453" s="3062" t="e">
        <f t="shared" si="59"/>
        <v>#N/A</v>
      </c>
      <c r="M453" s="632" t="e">
        <v>#N/A</v>
      </c>
      <c r="N453" s="151" t="e">
        <v>#N/A</v>
      </c>
      <c r="O453" s="3504" t="e">
        <v>#N/A</v>
      </c>
      <c r="P453" s="151" t="e">
        <v>#N/A</v>
      </c>
      <c r="Q453" s="2396" t="e">
        <f t="shared" si="60"/>
        <v>#N/A</v>
      </c>
      <c r="R453" s="456" t="e">
        <v>#N/A</v>
      </c>
      <c r="S453" s="2942" t="e">
        <v>#N/A</v>
      </c>
      <c r="T453" s="456" t="e">
        <v>#N/A</v>
      </c>
      <c r="U453" s="2942" t="e">
        <v>#N/A</v>
      </c>
      <c r="V453" s="2369" t="e">
        <f t="shared" si="55"/>
        <v>#N/A</v>
      </c>
      <c r="W453" s="2942" t="e">
        <v>#N/A</v>
      </c>
      <c r="X453" s="456" t="e">
        <v>#N/A</v>
      </c>
      <c r="Y453" s="2942" t="e">
        <v>#N/A</v>
      </c>
      <c r="Z453" s="456" t="e">
        <v>#N/A</v>
      </c>
      <c r="AA453" s="2942" t="e">
        <v>#N/A</v>
      </c>
      <c r="AB453" s="2369" t="e">
        <f t="shared" si="56"/>
        <v>#N/A</v>
      </c>
      <c r="AC453" s="2944" t="e">
        <v>#N/A</v>
      </c>
    </row>
    <row r="454" spans="1:29">
      <c r="A454" s="53">
        <f t="shared" si="54"/>
        <v>2030.01</v>
      </c>
      <c r="B454" s="2395" t="e">
        <f t="shared" si="57"/>
        <v>#N/A</v>
      </c>
      <c r="C454" s="2396" t="e">
        <f t="shared" si="58"/>
        <v>#N/A</v>
      </c>
      <c r="D454" s="386" t="e">
        <v>#N/A</v>
      </c>
      <c r="E454" s="3504" t="e">
        <v>#N/A</v>
      </c>
      <c r="F454" s="151" t="e">
        <v>#N/A</v>
      </c>
      <c r="G454" s="3065" t="e">
        <v>#N/A</v>
      </c>
      <c r="H454" s="632" t="e">
        <v>#N/A</v>
      </c>
      <c r="I454" s="3504" t="e">
        <v>#N/A</v>
      </c>
      <c r="J454" s="638" t="e">
        <v>#N/A</v>
      </c>
      <c r="K454" s="151" t="e">
        <v>#N/A</v>
      </c>
      <c r="L454" s="3062" t="e">
        <f t="shared" si="59"/>
        <v>#N/A</v>
      </c>
      <c r="M454" s="632" t="e">
        <v>#N/A</v>
      </c>
      <c r="N454" s="151" t="e">
        <v>#N/A</v>
      </c>
      <c r="O454" s="3504" t="e">
        <v>#N/A</v>
      </c>
      <c r="P454" s="151" t="e">
        <v>#N/A</v>
      </c>
      <c r="Q454" s="2396" t="e">
        <f t="shared" si="60"/>
        <v>#N/A</v>
      </c>
      <c r="R454" s="456" t="e">
        <v>#N/A</v>
      </c>
      <c r="S454" s="2942" t="e">
        <v>#N/A</v>
      </c>
      <c r="T454" s="456" t="e">
        <v>#N/A</v>
      </c>
      <c r="U454" s="2942" t="e">
        <v>#N/A</v>
      </c>
      <c r="V454" s="2369" t="e">
        <f t="shared" si="55"/>
        <v>#N/A</v>
      </c>
      <c r="W454" s="2942" t="e">
        <v>#N/A</v>
      </c>
      <c r="X454" s="456" t="e">
        <v>#N/A</v>
      </c>
      <c r="Y454" s="2942" t="e">
        <v>#N/A</v>
      </c>
      <c r="Z454" s="456" t="e">
        <v>#N/A</v>
      </c>
      <c r="AA454" s="2942" t="e">
        <v>#N/A</v>
      </c>
      <c r="AB454" s="2369" t="e">
        <f t="shared" si="56"/>
        <v>#N/A</v>
      </c>
      <c r="AC454" s="2944" t="e">
        <v>#N/A</v>
      </c>
    </row>
    <row r="455" spans="1:29">
      <c r="A455" s="53">
        <f t="shared" si="54"/>
        <v>2030.02</v>
      </c>
      <c r="B455" s="2395" t="e">
        <f t="shared" si="57"/>
        <v>#N/A</v>
      </c>
      <c r="C455" s="2396" t="e">
        <f t="shared" si="58"/>
        <v>#N/A</v>
      </c>
      <c r="D455" s="386" t="e">
        <v>#N/A</v>
      </c>
      <c r="E455" s="3504" t="e">
        <v>#N/A</v>
      </c>
      <c r="F455" s="151" t="e">
        <v>#N/A</v>
      </c>
      <c r="G455" s="3065" t="e">
        <v>#N/A</v>
      </c>
      <c r="H455" s="632" t="e">
        <v>#N/A</v>
      </c>
      <c r="I455" s="3504" t="e">
        <v>#N/A</v>
      </c>
      <c r="J455" s="638" t="e">
        <v>#N/A</v>
      </c>
      <c r="K455" s="151" t="e">
        <v>#N/A</v>
      </c>
      <c r="L455" s="3062" t="e">
        <f t="shared" si="59"/>
        <v>#N/A</v>
      </c>
      <c r="M455" s="632" t="e">
        <v>#N/A</v>
      </c>
      <c r="N455" s="151" t="e">
        <v>#N/A</v>
      </c>
      <c r="O455" s="3504" t="e">
        <v>#N/A</v>
      </c>
      <c r="P455" s="151" t="e">
        <v>#N/A</v>
      </c>
      <c r="Q455" s="2396" t="e">
        <f t="shared" si="60"/>
        <v>#N/A</v>
      </c>
      <c r="R455" s="456" t="e">
        <v>#N/A</v>
      </c>
      <c r="S455" s="2942" t="e">
        <v>#N/A</v>
      </c>
      <c r="T455" s="456" t="e">
        <v>#N/A</v>
      </c>
      <c r="U455" s="2942" t="e">
        <v>#N/A</v>
      </c>
      <c r="V455" s="2369" t="e">
        <f t="shared" si="55"/>
        <v>#N/A</v>
      </c>
      <c r="W455" s="2942" t="e">
        <v>#N/A</v>
      </c>
      <c r="X455" s="456" t="e">
        <v>#N/A</v>
      </c>
      <c r="Y455" s="2942" t="e">
        <v>#N/A</v>
      </c>
      <c r="Z455" s="456" t="e">
        <v>#N/A</v>
      </c>
      <c r="AA455" s="2942" t="e">
        <v>#N/A</v>
      </c>
      <c r="AB455" s="2369" t="e">
        <f t="shared" si="56"/>
        <v>#N/A</v>
      </c>
      <c r="AC455" s="2944" t="e">
        <v>#N/A</v>
      </c>
    </row>
    <row r="456" spans="1:29">
      <c r="A456" s="53">
        <f t="shared" si="54"/>
        <v>2030.03</v>
      </c>
      <c r="B456" s="2395" t="e">
        <f t="shared" si="57"/>
        <v>#N/A</v>
      </c>
      <c r="C456" s="2396" t="e">
        <f t="shared" si="58"/>
        <v>#N/A</v>
      </c>
      <c r="D456" s="386" t="e">
        <v>#N/A</v>
      </c>
      <c r="E456" s="3504" t="e">
        <v>#N/A</v>
      </c>
      <c r="F456" s="151" t="e">
        <v>#N/A</v>
      </c>
      <c r="G456" s="3065" t="e">
        <v>#N/A</v>
      </c>
      <c r="H456" s="632" t="e">
        <v>#N/A</v>
      </c>
      <c r="I456" s="3504" t="e">
        <v>#N/A</v>
      </c>
      <c r="J456" s="638" t="e">
        <v>#N/A</v>
      </c>
      <c r="K456" s="151" t="e">
        <v>#N/A</v>
      </c>
      <c r="L456" s="3062" t="e">
        <f t="shared" si="59"/>
        <v>#N/A</v>
      </c>
      <c r="M456" s="632" t="e">
        <v>#N/A</v>
      </c>
      <c r="N456" s="151" t="e">
        <v>#N/A</v>
      </c>
      <c r="O456" s="3504" t="e">
        <v>#N/A</v>
      </c>
      <c r="P456" s="151" t="e">
        <v>#N/A</v>
      </c>
      <c r="Q456" s="2396" t="e">
        <f t="shared" si="60"/>
        <v>#N/A</v>
      </c>
      <c r="R456" s="456" t="e">
        <v>#N/A</v>
      </c>
      <c r="S456" s="2942" t="e">
        <v>#N/A</v>
      </c>
      <c r="T456" s="456" t="e">
        <v>#N/A</v>
      </c>
      <c r="U456" s="2942" t="e">
        <v>#N/A</v>
      </c>
      <c r="V456" s="2369" t="e">
        <f t="shared" si="55"/>
        <v>#N/A</v>
      </c>
      <c r="W456" s="2942" t="e">
        <v>#N/A</v>
      </c>
      <c r="X456" s="456" t="e">
        <v>#N/A</v>
      </c>
      <c r="Y456" s="2942" t="e">
        <v>#N/A</v>
      </c>
      <c r="Z456" s="456" t="e">
        <v>#N/A</v>
      </c>
      <c r="AA456" s="2942" t="e">
        <v>#N/A</v>
      </c>
      <c r="AB456" s="2369" t="e">
        <f t="shared" si="56"/>
        <v>#N/A</v>
      </c>
      <c r="AC456" s="2944" t="e">
        <v>#N/A</v>
      </c>
    </row>
    <row r="457" spans="1:29">
      <c r="A457" s="53">
        <f t="shared" si="54"/>
        <v>2030.04</v>
      </c>
      <c r="B457" s="2395" t="e">
        <f t="shared" si="57"/>
        <v>#N/A</v>
      </c>
      <c r="C457" s="2396" t="e">
        <f t="shared" si="58"/>
        <v>#N/A</v>
      </c>
      <c r="D457" s="386" t="e">
        <v>#N/A</v>
      </c>
      <c r="E457" s="3504" t="e">
        <v>#N/A</v>
      </c>
      <c r="F457" s="151" t="e">
        <v>#N/A</v>
      </c>
      <c r="G457" s="3065" t="e">
        <v>#N/A</v>
      </c>
      <c r="H457" s="632" t="e">
        <v>#N/A</v>
      </c>
      <c r="I457" s="3504" t="e">
        <v>#N/A</v>
      </c>
      <c r="J457" s="638" t="e">
        <v>#N/A</v>
      </c>
      <c r="K457" s="151" t="e">
        <v>#N/A</v>
      </c>
      <c r="L457" s="3062" t="e">
        <f t="shared" si="59"/>
        <v>#N/A</v>
      </c>
      <c r="M457" s="632" t="e">
        <v>#N/A</v>
      </c>
      <c r="N457" s="151" t="e">
        <v>#N/A</v>
      </c>
      <c r="O457" s="3504" t="e">
        <v>#N/A</v>
      </c>
      <c r="P457" s="151" t="e">
        <v>#N/A</v>
      </c>
      <c r="Q457" s="2396" t="e">
        <f t="shared" si="60"/>
        <v>#N/A</v>
      </c>
      <c r="R457" s="456" t="e">
        <v>#N/A</v>
      </c>
      <c r="S457" s="2942" t="e">
        <v>#N/A</v>
      </c>
      <c r="T457" s="456" t="e">
        <v>#N/A</v>
      </c>
      <c r="U457" s="2942" t="e">
        <v>#N/A</v>
      </c>
      <c r="V457" s="2369" t="e">
        <f t="shared" si="55"/>
        <v>#N/A</v>
      </c>
      <c r="W457" s="2942" t="e">
        <v>#N/A</v>
      </c>
      <c r="X457" s="456" t="e">
        <v>#N/A</v>
      </c>
      <c r="Y457" s="2942" t="e">
        <v>#N/A</v>
      </c>
      <c r="Z457" s="456" t="e">
        <v>#N/A</v>
      </c>
      <c r="AA457" s="2942" t="e">
        <v>#N/A</v>
      </c>
      <c r="AB457" s="2369" t="e">
        <f t="shared" si="56"/>
        <v>#N/A</v>
      </c>
      <c r="AC457" s="2944" t="e">
        <v>#N/A</v>
      </c>
    </row>
    <row r="458" spans="1:29">
      <c r="A458" s="53">
        <f t="shared" si="54"/>
        <v>2030.05</v>
      </c>
      <c r="B458" s="2395" t="e">
        <f t="shared" si="57"/>
        <v>#N/A</v>
      </c>
      <c r="C458" s="2396" t="e">
        <f t="shared" si="58"/>
        <v>#N/A</v>
      </c>
      <c r="D458" s="386" t="e">
        <v>#N/A</v>
      </c>
      <c r="E458" s="3504" t="e">
        <v>#N/A</v>
      </c>
      <c r="F458" s="151" t="e">
        <v>#N/A</v>
      </c>
      <c r="G458" s="3065" t="e">
        <v>#N/A</v>
      </c>
      <c r="H458" s="632" t="e">
        <v>#N/A</v>
      </c>
      <c r="I458" s="3504" t="e">
        <v>#N/A</v>
      </c>
      <c r="J458" s="638" t="e">
        <v>#N/A</v>
      </c>
      <c r="K458" s="151" t="e">
        <v>#N/A</v>
      </c>
      <c r="L458" s="3062" t="e">
        <f t="shared" si="59"/>
        <v>#N/A</v>
      </c>
      <c r="M458" s="632" t="e">
        <v>#N/A</v>
      </c>
      <c r="N458" s="151" t="e">
        <v>#N/A</v>
      </c>
      <c r="O458" s="3504" t="e">
        <v>#N/A</v>
      </c>
      <c r="P458" s="151" t="e">
        <v>#N/A</v>
      </c>
      <c r="Q458" s="2396" t="e">
        <f t="shared" si="60"/>
        <v>#N/A</v>
      </c>
      <c r="R458" s="456" t="e">
        <v>#N/A</v>
      </c>
      <c r="S458" s="2942" t="e">
        <v>#N/A</v>
      </c>
      <c r="T458" s="456" t="e">
        <v>#N/A</v>
      </c>
      <c r="U458" s="2942" t="e">
        <v>#N/A</v>
      </c>
      <c r="V458" s="2369" t="e">
        <f t="shared" si="55"/>
        <v>#N/A</v>
      </c>
      <c r="W458" s="2942" t="e">
        <v>#N/A</v>
      </c>
      <c r="X458" s="456" t="e">
        <v>#N/A</v>
      </c>
      <c r="Y458" s="2942" t="e">
        <v>#N/A</v>
      </c>
      <c r="Z458" s="456" t="e">
        <v>#N/A</v>
      </c>
      <c r="AA458" s="2942" t="e">
        <v>#N/A</v>
      </c>
      <c r="AB458" s="2369" t="e">
        <f t="shared" si="56"/>
        <v>#N/A</v>
      </c>
      <c r="AC458" s="2944" t="e">
        <v>#N/A</v>
      </c>
    </row>
    <row r="459" spans="1:29">
      <c r="A459" s="53">
        <f t="shared" si="54"/>
        <v>2030.06</v>
      </c>
      <c r="B459" s="2395" t="e">
        <f t="shared" si="57"/>
        <v>#N/A</v>
      </c>
      <c r="C459" s="2396" t="e">
        <f t="shared" si="58"/>
        <v>#N/A</v>
      </c>
      <c r="D459" s="386" t="e">
        <v>#N/A</v>
      </c>
      <c r="E459" s="3504" t="e">
        <v>#N/A</v>
      </c>
      <c r="F459" s="151" t="e">
        <v>#N/A</v>
      </c>
      <c r="G459" s="3065" t="e">
        <v>#N/A</v>
      </c>
      <c r="H459" s="632" t="e">
        <v>#N/A</v>
      </c>
      <c r="I459" s="3504" t="e">
        <v>#N/A</v>
      </c>
      <c r="J459" s="638" t="e">
        <v>#N/A</v>
      </c>
      <c r="K459" s="151" t="e">
        <v>#N/A</v>
      </c>
      <c r="L459" s="3062" t="e">
        <f t="shared" si="59"/>
        <v>#N/A</v>
      </c>
      <c r="M459" s="632" t="e">
        <v>#N/A</v>
      </c>
      <c r="N459" s="151" t="e">
        <v>#N/A</v>
      </c>
      <c r="O459" s="3504" t="e">
        <v>#N/A</v>
      </c>
      <c r="P459" s="151" t="e">
        <v>#N/A</v>
      </c>
      <c r="Q459" s="2396" t="e">
        <f t="shared" si="60"/>
        <v>#N/A</v>
      </c>
      <c r="R459" s="456" t="e">
        <v>#N/A</v>
      </c>
      <c r="S459" s="2942" t="e">
        <v>#N/A</v>
      </c>
      <c r="T459" s="456" t="e">
        <v>#N/A</v>
      </c>
      <c r="U459" s="2942" t="e">
        <v>#N/A</v>
      </c>
      <c r="V459" s="2369" t="e">
        <f t="shared" ref="V459:V465" si="61">SUM(R459:U459)</f>
        <v>#N/A</v>
      </c>
      <c r="W459" s="2942" t="e">
        <v>#N/A</v>
      </c>
      <c r="X459" s="456" t="e">
        <v>#N/A</v>
      </c>
      <c r="Y459" s="2942" t="e">
        <v>#N/A</v>
      </c>
      <c r="Z459" s="456" t="e">
        <v>#N/A</v>
      </c>
      <c r="AA459" s="2942" t="e">
        <v>#N/A</v>
      </c>
      <c r="AB459" s="2369" t="e">
        <f t="shared" ref="AB459:AB465" si="62">SUM(X459:AA459)</f>
        <v>#N/A</v>
      </c>
      <c r="AC459" s="2944" t="e">
        <v>#N/A</v>
      </c>
    </row>
    <row r="460" spans="1:29">
      <c r="A460" s="53">
        <f t="shared" si="54"/>
        <v>2030.07</v>
      </c>
      <c r="B460" s="2395" t="e">
        <f t="shared" si="57"/>
        <v>#N/A</v>
      </c>
      <c r="C460" s="2396" t="e">
        <f t="shared" si="58"/>
        <v>#N/A</v>
      </c>
      <c r="D460" s="386" t="e">
        <v>#N/A</v>
      </c>
      <c r="E460" s="3504" t="e">
        <v>#N/A</v>
      </c>
      <c r="F460" s="151" t="e">
        <v>#N/A</v>
      </c>
      <c r="G460" s="3065" t="e">
        <v>#N/A</v>
      </c>
      <c r="H460" s="632" t="e">
        <v>#N/A</v>
      </c>
      <c r="I460" s="3504" t="e">
        <v>#N/A</v>
      </c>
      <c r="J460" s="638" t="e">
        <v>#N/A</v>
      </c>
      <c r="K460" s="151" t="e">
        <v>#N/A</v>
      </c>
      <c r="L460" s="3062" t="e">
        <f t="shared" si="59"/>
        <v>#N/A</v>
      </c>
      <c r="M460" s="632" t="e">
        <v>#N/A</v>
      </c>
      <c r="N460" s="151" t="e">
        <v>#N/A</v>
      </c>
      <c r="O460" s="3504" t="e">
        <v>#N/A</v>
      </c>
      <c r="P460" s="151" t="e">
        <v>#N/A</v>
      </c>
      <c r="Q460" s="2396" t="e">
        <f t="shared" si="60"/>
        <v>#N/A</v>
      </c>
      <c r="R460" s="456" t="e">
        <v>#N/A</v>
      </c>
      <c r="S460" s="2942" t="e">
        <v>#N/A</v>
      </c>
      <c r="T460" s="456" t="e">
        <v>#N/A</v>
      </c>
      <c r="U460" s="2942" t="e">
        <v>#N/A</v>
      </c>
      <c r="V460" s="2369" t="e">
        <f t="shared" si="61"/>
        <v>#N/A</v>
      </c>
      <c r="W460" s="2942" t="e">
        <v>#N/A</v>
      </c>
      <c r="X460" s="456" t="e">
        <v>#N/A</v>
      </c>
      <c r="Y460" s="2942" t="e">
        <v>#N/A</v>
      </c>
      <c r="Z460" s="456" t="e">
        <v>#N/A</v>
      </c>
      <c r="AA460" s="2942" t="e">
        <v>#N/A</v>
      </c>
      <c r="AB460" s="2369" t="e">
        <f t="shared" si="62"/>
        <v>#N/A</v>
      </c>
      <c r="AC460" s="2944" t="e">
        <v>#N/A</v>
      </c>
    </row>
    <row r="461" spans="1:29">
      <c r="A461" s="53">
        <f t="shared" si="54"/>
        <v>2030.08</v>
      </c>
      <c r="B461" s="2395" t="e">
        <f t="shared" si="57"/>
        <v>#N/A</v>
      </c>
      <c r="C461" s="2396" t="e">
        <f t="shared" si="58"/>
        <v>#N/A</v>
      </c>
      <c r="D461" s="386" t="e">
        <v>#N/A</v>
      </c>
      <c r="E461" s="3504" t="e">
        <v>#N/A</v>
      </c>
      <c r="F461" s="151" t="e">
        <v>#N/A</v>
      </c>
      <c r="G461" s="3065" t="e">
        <v>#N/A</v>
      </c>
      <c r="H461" s="632" t="e">
        <v>#N/A</v>
      </c>
      <c r="I461" s="3504" t="e">
        <v>#N/A</v>
      </c>
      <c r="J461" s="638" t="e">
        <v>#N/A</v>
      </c>
      <c r="K461" s="151" t="e">
        <v>#N/A</v>
      </c>
      <c r="L461" s="3062" t="e">
        <f t="shared" si="59"/>
        <v>#N/A</v>
      </c>
      <c r="M461" s="632" t="e">
        <v>#N/A</v>
      </c>
      <c r="N461" s="151" t="e">
        <v>#N/A</v>
      </c>
      <c r="O461" s="3504" t="e">
        <v>#N/A</v>
      </c>
      <c r="P461" s="151" t="e">
        <v>#N/A</v>
      </c>
      <c r="Q461" s="2396" t="e">
        <f t="shared" si="60"/>
        <v>#N/A</v>
      </c>
      <c r="R461" s="456" t="e">
        <v>#N/A</v>
      </c>
      <c r="S461" s="2942" t="e">
        <v>#N/A</v>
      </c>
      <c r="T461" s="456" t="e">
        <v>#N/A</v>
      </c>
      <c r="U461" s="2942" t="e">
        <v>#N/A</v>
      </c>
      <c r="V461" s="2369" t="e">
        <f t="shared" si="61"/>
        <v>#N/A</v>
      </c>
      <c r="W461" s="2942" t="e">
        <v>#N/A</v>
      </c>
      <c r="X461" s="456" t="e">
        <v>#N/A</v>
      </c>
      <c r="Y461" s="2942" t="e">
        <v>#N/A</v>
      </c>
      <c r="Z461" s="456" t="e">
        <v>#N/A</v>
      </c>
      <c r="AA461" s="2942" t="e">
        <v>#N/A</v>
      </c>
      <c r="AB461" s="2369" t="e">
        <f t="shared" si="62"/>
        <v>#N/A</v>
      </c>
      <c r="AC461" s="2944" t="e">
        <v>#N/A</v>
      </c>
    </row>
    <row r="462" spans="1:29">
      <c r="A462" s="53">
        <f t="shared" si="54"/>
        <v>2030.09</v>
      </c>
      <c r="B462" s="2395" t="e">
        <f t="shared" si="57"/>
        <v>#N/A</v>
      </c>
      <c r="C462" s="2396" t="e">
        <f t="shared" si="58"/>
        <v>#N/A</v>
      </c>
      <c r="D462" s="386" t="e">
        <v>#N/A</v>
      </c>
      <c r="E462" s="3504" t="e">
        <v>#N/A</v>
      </c>
      <c r="F462" s="151" t="e">
        <v>#N/A</v>
      </c>
      <c r="G462" s="3065" t="e">
        <v>#N/A</v>
      </c>
      <c r="H462" s="632" t="e">
        <v>#N/A</v>
      </c>
      <c r="I462" s="3504" t="e">
        <v>#N/A</v>
      </c>
      <c r="J462" s="638" t="e">
        <v>#N/A</v>
      </c>
      <c r="K462" s="151" t="e">
        <v>#N/A</v>
      </c>
      <c r="L462" s="3062" t="e">
        <f t="shared" si="59"/>
        <v>#N/A</v>
      </c>
      <c r="M462" s="632" t="e">
        <v>#N/A</v>
      </c>
      <c r="N462" s="151" t="e">
        <v>#N/A</v>
      </c>
      <c r="O462" s="3504" t="e">
        <v>#N/A</v>
      </c>
      <c r="P462" s="151" t="e">
        <v>#N/A</v>
      </c>
      <c r="Q462" s="2396" t="e">
        <f t="shared" si="60"/>
        <v>#N/A</v>
      </c>
      <c r="R462" s="456" t="e">
        <v>#N/A</v>
      </c>
      <c r="S462" s="2942" t="e">
        <v>#N/A</v>
      </c>
      <c r="T462" s="456" t="e">
        <v>#N/A</v>
      </c>
      <c r="U462" s="2942" t="e">
        <v>#N/A</v>
      </c>
      <c r="V462" s="2369" t="e">
        <f t="shared" si="61"/>
        <v>#N/A</v>
      </c>
      <c r="W462" s="2942" t="e">
        <v>#N/A</v>
      </c>
      <c r="X462" s="456" t="e">
        <v>#N/A</v>
      </c>
      <c r="Y462" s="2942" t="e">
        <v>#N/A</v>
      </c>
      <c r="Z462" s="456" t="e">
        <v>#N/A</v>
      </c>
      <c r="AA462" s="2942" t="e">
        <v>#N/A</v>
      </c>
      <c r="AB462" s="2369" t="e">
        <f t="shared" si="62"/>
        <v>#N/A</v>
      </c>
      <c r="AC462" s="2944" t="e">
        <v>#N/A</v>
      </c>
    </row>
    <row r="463" spans="1:29">
      <c r="A463" s="53">
        <f t="shared" si="54"/>
        <v>2030.1</v>
      </c>
      <c r="B463" s="2395" t="e">
        <f t="shared" si="57"/>
        <v>#N/A</v>
      </c>
      <c r="C463" s="2396" t="e">
        <f t="shared" si="58"/>
        <v>#N/A</v>
      </c>
      <c r="D463" s="386" t="e">
        <v>#N/A</v>
      </c>
      <c r="E463" s="3504" t="e">
        <v>#N/A</v>
      </c>
      <c r="F463" s="151" t="e">
        <v>#N/A</v>
      </c>
      <c r="G463" s="3065" t="e">
        <v>#N/A</v>
      </c>
      <c r="H463" s="632" t="e">
        <v>#N/A</v>
      </c>
      <c r="I463" s="3504" t="e">
        <v>#N/A</v>
      </c>
      <c r="J463" s="638" t="e">
        <v>#N/A</v>
      </c>
      <c r="K463" s="151" t="e">
        <v>#N/A</v>
      </c>
      <c r="L463" s="3062" t="e">
        <f t="shared" si="59"/>
        <v>#N/A</v>
      </c>
      <c r="M463" s="632" t="e">
        <v>#N/A</v>
      </c>
      <c r="N463" s="151" t="e">
        <v>#N/A</v>
      </c>
      <c r="O463" s="3504" t="e">
        <v>#N/A</v>
      </c>
      <c r="P463" s="151" t="e">
        <v>#N/A</v>
      </c>
      <c r="Q463" s="2396" t="e">
        <f t="shared" si="60"/>
        <v>#N/A</v>
      </c>
      <c r="R463" s="456" t="e">
        <v>#N/A</v>
      </c>
      <c r="S463" s="2942" t="e">
        <v>#N/A</v>
      </c>
      <c r="T463" s="456" t="e">
        <v>#N/A</v>
      </c>
      <c r="U463" s="2942" t="e">
        <v>#N/A</v>
      </c>
      <c r="V463" s="2369" t="e">
        <f t="shared" si="61"/>
        <v>#N/A</v>
      </c>
      <c r="W463" s="2942" t="e">
        <v>#N/A</v>
      </c>
      <c r="X463" s="456" t="e">
        <v>#N/A</v>
      </c>
      <c r="Y463" s="2942" t="e">
        <v>#N/A</v>
      </c>
      <c r="Z463" s="456" t="e">
        <v>#N/A</v>
      </c>
      <c r="AA463" s="2942" t="e">
        <v>#N/A</v>
      </c>
      <c r="AB463" s="2369" t="e">
        <f t="shared" si="62"/>
        <v>#N/A</v>
      </c>
      <c r="AC463" s="2944" t="e">
        <v>#N/A</v>
      </c>
    </row>
    <row r="464" spans="1:29">
      <c r="A464" s="53">
        <f t="shared" si="54"/>
        <v>2030.11</v>
      </c>
      <c r="B464" s="2395" t="e">
        <f t="shared" si="57"/>
        <v>#N/A</v>
      </c>
      <c r="C464" s="2396" t="e">
        <f t="shared" si="58"/>
        <v>#N/A</v>
      </c>
      <c r="D464" s="386" t="e">
        <v>#N/A</v>
      </c>
      <c r="E464" s="3504" t="e">
        <v>#N/A</v>
      </c>
      <c r="F464" s="151" t="e">
        <v>#N/A</v>
      </c>
      <c r="G464" s="3065" t="e">
        <v>#N/A</v>
      </c>
      <c r="H464" s="632" t="e">
        <v>#N/A</v>
      </c>
      <c r="I464" s="3504" t="e">
        <v>#N/A</v>
      </c>
      <c r="J464" s="638" t="e">
        <v>#N/A</v>
      </c>
      <c r="K464" s="151" t="e">
        <v>#N/A</v>
      </c>
      <c r="L464" s="3062" t="e">
        <f t="shared" si="59"/>
        <v>#N/A</v>
      </c>
      <c r="M464" s="632" t="e">
        <v>#N/A</v>
      </c>
      <c r="N464" s="151" t="e">
        <v>#N/A</v>
      </c>
      <c r="O464" s="3504" t="e">
        <v>#N/A</v>
      </c>
      <c r="P464" s="151" t="e">
        <v>#N/A</v>
      </c>
      <c r="Q464" s="2396" t="e">
        <f t="shared" si="60"/>
        <v>#N/A</v>
      </c>
      <c r="R464" s="456" t="e">
        <v>#N/A</v>
      </c>
      <c r="S464" s="2942" t="e">
        <v>#N/A</v>
      </c>
      <c r="T464" s="456" t="e">
        <v>#N/A</v>
      </c>
      <c r="U464" s="2942" t="e">
        <v>#N/A</v>
      </c>
      <c r="V464" s="2369" t="e">
        <f t="shared" si="61"/>
        <v>#N/A</v>
      </c>
      <c r="W464" s="2942" t="e">
        <v>#N/A</v>
      </c>
      <c r="X464" s="456" t="e">
        <v>#N/A</v>
      </c>
      <c r="Y464" s="2942" t="e">
        <v>#N/A</v>
      </c>
      <c r="Z464" s="456" t="e">
        <v>#N/A</v>
      </c>
      <c r="AA464" s="2942" t="e">
        <v>#N/A</v>
      </c>
      <c r="AB464" s="2369" t="e">
        <f t="shared" si="62"/>
        <v>#N/A</v>
      </c>
      <c r="AC464" s="2944" t="e">
        <v>#N/A</v>
      </c>
    </row>
    <row r="465" spans="1:29">
      <c r="A465" s="53">
        <f t="shared" si="54"/>
        <v>2030.12</v>
      </c>
      <c r="B465" s="2395" t="e">
        <f t="shared" si="57"/>
        <v>#N/A</v>
      </c>
      <c r="C465" s="2396" t="e">
        <f t="shared" si="58"/>
        <v>#N/A</v>
      </c>
      <c r="D465" s="386" t="e">
        <v>#N/A</v>
      </c>
      <c r="E465" s="3504" t="e">
        <v>#N/A</v>
      </c>
      <c r="F465" s="151" t="e">
        <v>#N/A</v>
      </c>
      <c r="G465" s="3065" t="e">
        <v>#N/A</v>
      </c>
      <c r="H465" s="632" t="e">
        <v>#N/A</v>
      </c>
      <c r="I465" s="3504" t="e">
        <v>#N/A</v>
      </c>
      <c r="J465" s="638" t="e">
        <v>#N/A</v>
      </c>
      <c r="K465" s="151" t="e">
        <v>#N/A</v>
      </c>
      <c r="L465" s="3062" t="e">
        <f t="shared" si="59"/>
        <v>#N/A</v>
      </c>
      <c r="M465" s="632" t="e">
        <v>#N/A</v>
      </c>
      <c r="N465" s="151" t="e">
        <v>#N/A</v>
      </c>
      <c r="O465" s="3504" t="e">
        <v>#N/A</v>
      </c>
      <c r="P465" s="151" t="e">
        <v>#N/A</v>
      </c>
      <c r="Q465" s="2396" t="e">
        <f t="shared" si="60"/>
        <v>#N/A</v>
      </c>
      <c r="R465" s="456" t="e">
        <v>#N/A</v>
      </c>
      <c r="S465" s="2942" t="e">
        <v>#N/A</v>
      </c>
      <c r="T465" s="456" t="e">
        <v>#N/A</v>
      </c>
      <c r="U465" s="2942" t="e">
        <v>#N/A</v>
      </c>
      <c r="V465" s="2369" t="e">
        <f t="shared" si="61"/>
        <v>#N/A</v>
      </c>
      <c r="W465" s="2942" t="e">
        <v>#N/A</v>
      </c>
      <c r="X465" s="456" t="e">
        <v>#N/A</v>
      </c>
      <c r="Y465" s="2942" t="e">
        <v>#N/A</v>
      </c>
      <c r="Z465" s="456" t="e">
        <v>#N/A</v>
      </c>
      <c r="AA465" s="2942" t="e">
        <v>#N/A</v>
      </c>
      <c r="AB465" s="2369" t="e">
        <f t="shared" si="62"/>
        <v>#N/A</v>
      </c>
      <c r="AC465" s="2944" t="e">
        <v>#N/A</v>
      </c>
    </row>
  </sheetData>
  <phoneticPr fontId="71" type="noConversion"/>
  <hyperlinks>
    <hyperlink ref="A5" location="INDICE!A13" display="VOLVER AL INDICE" xr:uid="{00000000-0004-0000-2900-000000000000}"/>
  </hyperlinks>
  <pageMargins left="0.75" right="0.75" top="1" bottom="1" header="0" footer="0"/>
  <pageSetup paperSize="9" orientation="portrait" horizontalDpi="300" verticalDpi="300" r:id="rId1"/>
  <headerFooter alignWithMargins="0"/>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29">
    <pageSetUpPr autoPageBreaks="0"/>
  </sheetPr>
  <dimension ref="A1:K501"/>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9.5703125" style="21" bestFit="1" customWidth="1"/>
    <col min="2" max="4" width="14.42578125" style="21" customWidth="1"/>
    <col min="5" max="5" width="9" style="6" bestFit="1" customWidth="1"/>
    <col min="6" max="6" width="11.28515625" style="6" bestFit="1" customWidth="1"/>
    <col min="7" max="7" width="12.85546875" style="6" bestFit="1" customWidth="1"/>
    <col min="8" max="10" width="11.42578125" style="6"/>
    <col min="11" max="11" width="18" style="6" bestFit="1" customWidth="1"/>
    <col min="12" max="16384" width="11.42578125" style="6"/>
  </cols>
  <sheetData>
    <row r="1" spans="1:10" ht="4.5" customHeight="1">
      <c r="A1" s="2761"/>
      <c r="B1" s="38"/>
      <c r="C1" s="38"/>
      <c r="D1" s="48"/>
      <c r="E1" s="166"/>
      <c r="F1" s="166"/>
      <c r="G1" s="166"/>
      <c r="H1" s="166"/>
      <c r="I1" s="166"/>
      <c r="J1" s="166"/>
    </row>
    <row r="2" spans="1:10">
      <c r="A2" s="2762" t="s">
        <v>99</v>
      </c>
      <c r="B2" s="320" t="s">
        <v>2057</v>
      </c>
      <c r="C2" s="320"/>
      <c r="D2" s="316"/>
      <c r="E2" s="166"/>
      <c r="F2" s="166"/>
      <c r="G2" s="166"/>
      <c r="H2" s="166"/>
      <c r="I2" s="166"/>
      <c r="J2" s="166"/>
    </row>
    <row r="3" spans="1:10">
      <c r="A3" s="2762" t="s">
        <v>104</v>
      </c>
      <c r="B3" s="320" t="s">
        <v>135</v>
      </c>
      <c r="C3" s="38"/>
      <c r="D3" s="48"/>
      <c r="E3" s="166"/>
      <c r="F3" s="166"/>
      <c r="G3" s="166"/>
      <c r="H3" s="166"/>
      <c r="I3" s="166"/>
      <c r="J3" s="166"/>
    </row>
    <row r="4" spans="1:10" ht="4.5" hidden="1" customHeight="1">
      <c r="A4" s="2762"/>
      <c r="B4" s="38"/>
      <c r="C4" s="38"/>
      <c r="D4" s="48"/>
      <c r="E4" s="166"/>
      <c r="F4" s="166"/>
      <c r="G4" s="166"/>
      <c r="H4" s="166"/>
      <c r="I4" s="166"/>
      <c r="J4" s="166"/>
    </row>
    <row r="5" spans="1:10" ht="22.5">
      <c r="A5" s="2867" t="s">
        <v>140</v>
      </c>
      <c r="B5" s="148" t="s">
        <v>1659</v>
      </c>
      <c r="C5" s="2999" t="s">
        <v>1660</v>
      </c>
      <c r="D5" s="3001" t="s">
        <v>1661</v>
      </c>
      <c r="E5" s="166"/>
      <c r="F5" s="166"/>
      <c r="G5" s="166"/>
      <c r="H5" s="166"/>
      <c r="I5" s="166"/>
      <c r="J5" s="166"/>
    </row>
    <row r="6" spans="1:10" ht="4.5" hidden="1" customHeight="1">
      <c r="A6" s="2762"/>
      <c r="B6" s="38"/>
      <c r="C6" s="2994"/>
      <c r="D6" s="3066"/>
      <c r="E6" s="166"/>
      <c r="F6" s="166"/>
      <c r="G6" s="166"/>
      <c r="H6" s="166"/>
      <c r="I6" s="166"/>
      <c r="J6" s="166"/>
    </row>
    <row r="7" spans="1:10" ht="22.5">
      <c r="A7" s="2762" t="s">
        <v>125</v>
      </c>
      <c r="B7" s="2772" t="s">
        <v>1663</v>
      </c>
      <c r="C7" s="2772" t="s">
        <v>1663</v>
      </c>
      <c r="D7" s="3001" t="s">
        <v>1663</v>
      </c>
      <c r="E7" s="166"/>
      <c r="F7" s="166"/>
      <c r="G7" s="166"/>
      <c r="H7" s="166"/>
      <c r="I7" s="166"/>
      <c r="J7" s="166"/>
    </row>
    <row r="8" spans="1:10" ht="14.25" customHeight="1">
      <c r="A8" s="3002" t="s">
        <v>144</v>
      </c>
      <c r="B8" s="2281" t="s">
        <v>1664</v>
      </c>
      <c r="C8" s="3031" t="s">
        <v>1665</v>
      </c>
      <c r="D8" s="3047" t="s">
        <v>1666</v>
      </c>
      <c r="E8" s="166"/>
      <c r="F8" s="166"/>
      <c r="G8" s="166"/>
      <c r="H8" s="166"/>
      <c r="I8" s="166"/>
      <c r="J8" s="166"/>
    </row>
    <row r="9" spans="1:10" ht="13.5" thickBot="1">
      <c r="A9" s="2140"/>
      <c r="B9" s="319"/>
      <c r="C9" s="1361"/>
      <c r="D9" s="1395"/>
      <c r="E9" s="166"/>
      <c r="F9" s="166"/>
      <c r="G9" s="166"/>
      <c r="H9" s="166"/>
      <c r="I9" s="166"/>
      <c r="J9" s="166"/>
    </row>
    <row r="10" spans="1:10">
      <c r="A10" s="57">
        <v>1990.01</v>
      </c>
      <c r="B10" s="50">
        <v>795.55909899999995</v>
      </c>
      <c r="C10" s="158">
        <v>385.75274000000002</v>
      </c>
      <c r="D10" s="346">
        <v>409.80635899999993</v>
      </c>
      <c r="E10" s="166"/>
      <c r="F10" s="166"/>
      <c r="G10" s="1869"/>
      <c r="H10" s="1840"/>
      <c r="I10" s="1869"/>
      <c r="J10" s="1869"/>
    </row>
    <row r="11" spans="1:10">
      <c r="A11" s="53">
        <v>1990.02</v>
      </c>
      <c r="B11" s="141">
        <v>811.27302799999995</v>
      </c>
      <c r="C11" s="223">
        <v>226.15921499999999</v>
      </c>
      <c r="D11" s="3732">
        <f t="shared" ref="D11:D74" si="0">B11-C11</f>
        <v>585.11381299999994</v>
      </c>
      <c r="E11" s="166"/>
      <c r="F11" s="166"/>
      <c r="G11" s="1869"/>
      <c r="H11" s="1840"/>
      <c r="I11" s="1869"/>
      <c r="J11" s="1869"/>
    </row>
    <row r="12" spans="1:10">
      <c r="A12" s="53">
        <v>1990.03</v>
      </c>
      <c r="B12" s="141">
        <v>1163.5131899999999</v>
      </c>
      <c r="C12" s="223">
        <v>302.887158</v>
      </c>
      <c r="D12" s="3732">
        <f t="shared" si="0"/>
        <v>860.6260319999999</v>
      </c>
      <c r="E12" s="166"/>
      <c r="F12" s="166"/>
      <c r="G12" s="1869"/>
      <c r="H12" s="1840"/>
      <c r="I12" s="1869"/>
      <c r="J12" s="1869"/>
    </row>
    <row r="13" spans="1:10">
      <c r="A13" s="53">
        <v>1990.04</v>
      </c>
      <c r="B13" s="141">
        <v>1014.905409</v>
      </c>
      <c r="C13" s="223">
        <v>276.45730400000002</v>
      </c>
      <c r="D13" s="3732">
        <f t="shared" si="0"/>
        <v>738.44810499999994</v>
      </c>
      <c r="E13" s="166"/>
      <c r="F13" s="166"/>
      <c r="G13" s="1869"/>
      <c r="H13" s="1840"/>
      <c r="I13" s="1869"/>
      <c r="J13" s="1869"/>
    </row>
    <row r="14" spans="1:10">
      <c r="A14" s="53">
        <v>1990.05</v>
      </c>
      <c r="B14" s="141">
        <v>1105.7452390000001</v>
      </c>
      <c r="C14" s="223">
        <v>302.13349099999999</v>
      </c>
      <c r="D14" s="3732">
        <f t="shared" si="0"/>
        <v>803.61174800000003</v>
      </c>
      <c r="E14" s="166"/>
      <c r="F14" s="166"/>
      <c r="G14" s="1869"/>
      <c r="H14" s="1840"/>
      <c r="I14" s="1869"/>
      <c r="J14" s="1869"/>
    </row>
    <row r="15" spans="1:10">
      <c r="A15" s="53">
        <v>1990.06</v>
      </c>
      <c r="B15" s="141">
        <v>1076.1458379999999</v>
      </c>
      <c r="C15" s="223">
        <v>267.68429200000003</v>
      </c>
      <c r="D15" s="3732">
        <f t="shared" si="0"/>
        <v>808.46154599999988</v>
      </c>
      <c r="E15" s="166"/>
      <c r="F15" s="166"/>
      <c r="G15" s="1869"/>
      <c r="H15" s="1840"/>
      <c r="I15" s="1869"/>
      <c r="J15" s="1869"/>
    </row>
    <row r="16" spans="1:10">
      <c r="A16" s="53">
        <v>1990.07</v>
      </c>
      <c r="B16" s="141">
        <v>1279.352905</v>
      </c>
      <c r="C16" s="223">
        <v>313.410346</v>
      </c>
      <c r="D16" s="3732">
        <f t="shared" si="0"/>
        <v>965.94255899999996</v>
      </c>
      <c r="E16" s="166"/>
      <c r="F16" s="166"/>
      <c r="G16" s="1869"/>
      <c r="H16" s="1840"/>
      <c r="I16" s="1869"/>
      <c r="J16" s="1869"/>
    </row>
    <row r="17" spans="1:10">
      <c r="A17" s="53">
        <v>1990.08</v>
      </c>
      <c r="B17" s="141">
        <v>1127.166759</v>
      </c>
      <c r="C17" s="223">
        <v>312.275644</v>
      </c>
      <c r="D17" s="3732">
        <f t="shared" si="0"/>
        <v>814.8911149999999</v>
      </c>
      <c r="E17" s="166"/>
      <c r="F17" s="166"/>
      <c r="G17" s="1869"/>
      <c r="H17" s="1840"/>
      <c r="I17" s="1869"/>
      <c r="J17" s="1869"/>
    </row>
    <row r="18" spans="1:10">
      <c r="A18" s="53">
        <v>1990.09</v>
      </c>
      <c r="B18" s="141">
        <v>1024.587949</v>
      </c>
      <c r="C18" s="223">
        <v>326.24913900000001</v>
      </c>
      <c r="D18" s="3732">
        <f t="shared" si="0"/>
        <v>698.33880999999997</v>
      </c>
      <c r="E18" s="166"/>
      <c r="F18" s="166"/>
      <c r="G18" s="1869"/>
      <c r="H18" s="1840"/>
      <c r="I18" s="1869"/>
      <c r="J18" s="1869"/>
    </row>
    <row r="19" spans="1:10">
      <c r="A19" s="53">
        <v>1990.1</v>
      </c>
      <c r="B19" s="141">
        <v>972.65326800000003</v>
      </c>
      <c r="C19" s="223">
        <v>424.849874</v>
      </c>
      <c r="D19" s="3732">
        <f t="shared" si="0"/>
        <v>547.80339400000003</v>
      </c>
      <c r="E19" s="166"/>
      <c r="F19" s="166"/>
      <c r="G19" s="1869"/>
      <c r="H19" s="1840"/>
      <c r="I19" s="1869"/>
      <c r="J19" s="1869"/>
    </row>
    <row r="20" spans="1:10">
      <c r="A20" s="53">
        <v>1990.11</v>
      </c>
      <c r="B20" s="141">
        <v>950.53544999999997</v>
      </c>
      <c r="C20" s="223">
        <v>439.175049</v>
      </c>
      <c r="D20" s="3732">
        <f t="shared" si="0"/>
        <v>511.36040099999997</v>
      </c>
      <c r="E20" s="166"/>
      <c r="F20" s="166"/>
      <c r="G20" s="1869"/>
      <c r="H20" s="1840"/>
      <c r="I20" s="1869"/>
      <c r="J20" s="1869"/>
    </row>
    <row r="21" spans="1:10">
      <c r="A21" s="53">
        <v>1990.12</v>
      </c>
      <c r="B21" s="141">
        <v>1031.0939519999999</v>
      </c>
      <c r="C21" s="223">
        <v>499.63074999999998</v>
      </c>
      <c r="D21" s="3732">
        <f t="shared" si="0"/>
        <v>531.46320199999991</v>
      </c>
      <c r="E21" s="166"/>
      <c r="F21" s="166"/>
      <c r="G21" s="1869"/>
      <c r="H21" s="1840"/>
      <c r="I21" s="1869"/>
      <c r="J21" s="1869"/>
    </row>
    <row r="22" spans="1:10">
      <c r="A22" s="53">
        <v>1991.01</v>
      </c>
      <c r="B22" s="141">
        <v>673.58745899999997</v>
      </c>
      <c r="C22" s="223">
        <v>492.60817099999997</v>
      </c>
      <c r="D22" s="3732">
        <f t="shared" si="0"/>
        <v>180.979288</v>
      </c>
      <c r="E22" s="166"/>
      <c r="F22" s="166"/>
      <c r="G22" s="1869"/>
      <c r="H22" s="1840"/>
      <c r="I22" s="1869"/>
      <c r="J22" s="1869"/>
    </row>
    <row r="23" spans="1:10">
      <c r="A23" s="53">
        <v>1991.02</v>
      </c>
      <c r="B23" s="141">
        <v>807.14543100000003</v>
      </c>
      <c r="C23" s="223">
        <v>400.27126299999998</v>
      </c>
      <c r="D23" s="3732">
        <f t="shared" si="0"/>
        <v>406.87416800000005</v>
      </c>
      <c r="E23" s="166"/>
      <c r="F23" s="166"/>
      <c r="G23" s="1869"/>
      <c r="H23" s="1840"/>
      <c r="I23" s="1869"/>
      <c r="J23" s="1869"/>
    </row>
    <row r="24" spans="1:10">
      <c r="A24" s="53">
        <v>1991.03</v>
      </c>
      <c r="B24" s="141">
        <v>867.26754099999994</v>
      </c>
      <c r="C24" s="223">
        <v>407.69046500000002</v>
      </c>
      <c r="D24" s="3732">
        <f t="shared" si="0"/>
        <v>459.57707599999992</v>
      </c>
      <c r="E24" s="166"/>
      <c r="F24" s="166"/>
      <c r="G24" s="1869"/>
      <c r="H24" s="1840"/>
      <c r="I24" s="1869"/>
      <c r="J24" s="1869"/>
    </row>
    <row r="25" spans="1:10">
      <c r="A25" s="53">
        <v>1991.04</v>
      </c>
      <c r="B25" s="141">
        <v>1002.226905</v>
      </c>
      <c r="C25" s="223">
        <v>614.43746599999997</v>
      </c>
      <c r="D25" s="3732">
        <f t="shared" si="0"/>
        <v>387.78943900000002</v>
      </c>
      <c r="E25" s="166"/>
      <c r="F25" s="166"/>
      <c r="G25" s="1869"/>
      <c r="H25" s="1840"/>
      <c r="I25" s="1869"/>
      <c r="J25" s="1869"/>
    </row>
    <row r="26" spans="1:10">
      <c r="A26" s="53">
        <v>1991.05</v>
      </c>
      <c r="B26" s="141">
        <v>1228.238685</v>
      </c>
      <c r="C26" s="223">
        <v>522.07663300000002</v>
      </c>
      <c r="D26" s="3732">
        <f t="shared" si="0"/>
        <v>706.16205200000002</v>
      </c>
      <c r="E26" s="166"/>
      <c r="F26" s="166"/>
      <c r="G26" s="1869"/>
      <c r="H26" s="1840"/>
      <c r="I26" s="1869"/>
      <c r="J26" s="1869"/>
    </row>
    <row r="27" spans="1:10">
      <c r="A27" s="53">
        <v>1991.06</v>
      </c>
      <c r="B27" s="141">
        <v>1141.5805170000001</v>
      </c>
      <c r="C27" s="223">
        <v>606.45556599999998</v>
      </c>
      <c r="D27" s="3732">
        <f t="shared" si="0"/>
        <v>535.12495100000012</v>
      </c>
      <c r="E27" s="166"/>
      <c r="F27" s="166"/>
      <c r="G27" s="1869"/>
      <c r="H27" s="1840"/>
      <c r="I27" s="1869"/>
      <c r="J27" s="1869"/>
    </row>
    <row r="28" spans="1:10">
      <c r="A28" s="53">
        <v>1991.07</v>
      </c>
      <c r="B28" s="141">
        <v>1302.126745</v>
      </c>
      <c r="C28" s="223">
        <v>748.35573499999998</v>
      </c>
      <c r="D28" s="3732">
        <f t="shared" si="0"/>
        <v>553.77101000000005</v>
      </c>
      <c r="E28" s="166"/>
      <c r="F28" s="166"/>
      <c r="G28" s="1869"/>
      <c r="H28" s="1840"/>
      <c r="I28" s="1869"/>
      <c r="J28" s="1869"/>
    </row>
    <row r="29" spans="1:10">
      <c r="A29" s="53">
        <v>1991.08</v>
      </c>
      <c r="B29" s="141">
        <v>1074.343869</v>
      </c>
      <c r="C29" s="223">
        <v>759.651026</v>
      </c>
      <c r="D29" s="3732">
        <f t="shared" si="0"/>
        <v>314.69284300000004</v>
      </c>
      <c r="E29" s="166"/>
      <c r="F29" s="166"/>
      <c r="G29" s="1869"/>
      <c r="H29" s="1840"/>
      <c r="I29" s="1869"/>
      <c r="J29" s="1869"/>
    </row>
    <row r="30" spans="1:10">
      <c r="A30" s="53">
        <v>1991.09</v>
      </c>
      <c r="B30" s="141">
        <v>1078.6212929999999</v>
      </c>
      <c r="C30" s="223">
        <v>768.24892999999997</v>
      </c>
      <c r="D30" s="3732">
        <f t="shared" si="0"/>
        <v>310.37236299999995</v>
      </c>
      <c r="E30" s="166"/>
      <c r="F30" s="166"/>
      <c r="G30" s="1869"/>
      <c r="H30" s="1840"/>
      <c r="I30" s="1869"/>
      <c r="J30" s="1869"/>
    </row>
    <row r="31" spans="1:10">
      <c r="A31" s="53">
        <v>1991.1</v>
      </c>
      <c r="B31" s="141">
        <v>1009.163347</v>
      </c>
      <c r="C31" s="223">
        <v>936.87978499999997</v>
      </c>
      <c r="D31" s="3732">
        <f t="shared" si="0"/>
        <v>72.283562000000074</v>
      </c>
      <c r="E31" s="166"/>
      <c r="F31" s="166"/>
      <c r="G31" s="1869"/>
      <c r="H31" s="1840"/>
      <c r="I31" s="1869"/>
      <c r="J31" s="1869"/>
    </row>
    <row r="32" spans="1:10">
      <c r="A32" s="53">
        <v>1991.11</v>
      </c>
      <c r="B32" s="141">
        <v>920.62936000000002</v>
      </c>
      <c r="C32" s="223">
        <v>1054.902065</v>
      </c>
      <c r="D32" s="3732">
        <f t="shared" si="0"/>
        <v>-134.27270499999997</v>
      </c>
      <c r="E32" s="166"/>
      <c r="F32" s="166"/>
      <c r="G32" s="1869"/>
      <c r="H32" s="1840"/>
      <c r="I32" s="1869"/>
      <c r="J32" s="1869"/>
    </row>
    <row r="33" spans="1:10">
      <c r="A33" s="53">
        <v>1991.12</v>
      </c>
      <c r="B33" s="141">
        <v>872.85426400000006</v>
      </c>
      <c r="C33" s="223">
        <v>963.69382900000005</v>
      </c>
      <c r="D33" s="3732">
        <f t="shared" si="0"/>
        <v>-90.839564999999993</v>
      </c>
      <c r="E33" s="166"/>
      <c r="F33" s="166"/>
      <c r="G33" s="1869"/>
      <c r="H33" s="1840"/>
      <c r="I33" s="1869"/>
      <c r="J33" s="1869"/>
    </row>
    <row r="34" spans="1:10">
      <c r="A34" s="53">
        <v>1992.01</v>
      </c>
      <c r="B34" s="141">
        <v>725.79817400000002</v>
      </c>
      <c r="C34" s="223">
        <v>902.94620699999996</v>
      </c>
      <c r="D34" s="3732">
        <f t="shared" si="0"/>
        <v>-177.14803299999994</v>
      </c>
      <c r="E34" s="166"/>
      <c r="F34" s="166"/>
      <c r="G34" s="1869"/>
      <c r="H34" s="1840"/>
      <c r="I34" s="1869"/>
      <c r="J34" s="1869"/>
    </row>
    <row r="35" spans="1:10">
      <c r="A35" s="53">
        <v>1992.02</v>
      </c>
      <c r="B35" s="141">
        <v>851.896974</v>
      </c>
      <c r="C35" s="223">
        <v>914.187817</v>
      </c>
      <c r="D35" s="3732">
        <f t="shared" si="0"/>
        <v>-62.290842999999995</v>
      </c>
      <c r="E35" s="166"/>
      <c r="F35" s="166"/>
      <c r="G35" s="1869"/>
      <c r="H35" s="1840"/>
      <c r="I35" s="1869"/>
      <c r="J35" s="1869"/>
    </row>
    <row r="36" spans="1:10">
      <c r="A36" s="53">
        <v>1992.03</v>
      </c>
      <c r="B36" s="141">
        <v>984.64867400000003</v>
      </c>
      <c r="C36" s="223">
        <v>1070.3378210000001</v>
      </c>
      <c r="D36" s="3732">
        <f t="shared" si="0"/>
        <v>-85.689147000000048</v>
      </c>
      <c r="E36" s="166"/>
      <c r="F36" s="166"/>
      <c r="G36" s="1869"/>
      <c r="H36" s="1840"/>
      <c r="I36" s="1869"/>
      <c r="J36" s="1869"/>
    </row>
    <row r="37" spans="1:10">
      <c r="A37" s="53">
        <v>1992.04</v>
      </c>
      <c r="B37" s="141">
        <v>998.05146400000001</v>
      </c>
      <c r="C37" s="223">
        <v>1186.0421690000001</v>
      </c>
      <c r="D37" s="3732">
        <f t="shared" si="0"/>
        <v>-187.99070500000005</v>
      </c>
      <c r="E37" s="166"/>
      <c r="F37" s="166"/>
      <c r="G37" s="1869"/>
      <c r="H37" s="1840"/>
      <c r="I37" s="1869"/>
      <c r="J37" s="1869"/>
    </row>
    <row r="38" spans="1:10">
      <c r="A38" s="53">
        <v>1992.05</v>
      </c>
      <c r="B38" s="141">
        <v>1137.6799559999999</v>
      </c>
      <c r="C38" s="223">
        <v>1110.860199</v>
      </c>
      <c r="D38" s="3732">
        <f t="shared" si="0"/>
        <v>26.819756999999981</v>
      </c>
      <c r="E38" s="166"/>
      <c r="F38" s="166"/>
      <c r="G38" s="1869"/>
      <c r="H38" s="1840"/>
      <c r="I38" s="1869"/>
      <c r="J38" s="1869"/>
    </row>
    <row r="39" spans="1:10">
      <c r="A39" s="53">
        <v>1992.06</v>
      </c>
      <c r="B39" s="141">
        <v>1193.1007460000001</v>
      </c>
      <c r="C39" s="223">
        <v>1284.7340879999999</v>
      </c>
      <c r="D39" s="3732">
        <f t="shared" si="0"/>
        <v>-91.633341999999857</v>
      </c>
      <c r="E39" s="166"/>
      <c r="F39" s="166"/>
      <c r="G39" s="1869"/>
      <c r="H39" s="1840"/>
      <c r="I39" s="1869"/>
      <c r="J39" s="1869"/>
    </row>
    <row r="40" spans="1:10">
      <c r="A40" s="53">
        <v>1992.07</v>
      </c>
      <c r="B40" s="141">
        <v>1195.712358</v>
      </c>
      <c r="C40" s="223">
        <v>1459.9601299999999</v>
      </c>
      <c r="D40" s="3732">
        <f t="shared" si="0"/>
        <v>-264.24777199999994</v>
      </c>
      <c r="E40" s="166"/>
      <c r="F40" s="166"/>
      <c r="G40" s="1869"/>
      <c r="H40" s="1840"/>
      <c r="I40" s="1869"/>
      <c r="J40" s="1869"/>
    </row>
    <row r="41" spans="1:10">
      <c r="A41" s="53">
        <v>1992.08</v>
      </c>
      <c r="B41" s="141">
        <v>1076.604947</v>
      </c>
      <c r="C41" s="223">
        <v>1429.65203</v>
      </c>
      <c r="D41" s="3732">
        <f t="shared" si="0"/>
        <v>-353.04708299999993</v>
      </c>
      <c r="E41" s="166"/>
      <c r="F41" s="166"/>
      <c r="G41" s="1869"/>
      <c r="H41" s="1840"/>
      <c r="I41" s="1869"/>
      <c r="J41" s="1869"/>
    </row>
    <row r="42" spans="1:10">
      <c r="A42" s="53">
        <v>1992.09</v>
      </c>
      <c r="B42" s="141">
        <v>1061.597203</v>
      </c>
      <c r="C42" s="223">
        <v>1465.142073</v>
      </c>
      <c r="D42" s="3732">
        <f t="shared" si="0"/>
        <v>-403.54486999999995</v>
      </c>
      <c r="E42" s="166"/>
      <c r="F42" s="166"/>
      <c r="G42" s="1869"/>
      <c r="H42" s="1840"/>
      <c r="I42" s="1869"/>
      <c r="J42" s="1869"/>
    </row>
    <row r="43" spans="1:10">
      <c r="A43" s="53">
        <v>1992.1</v>
      </c>
      <c r="B43" s="141">
        <v>952.05034599999999</v>
      </c>
      <c r="C43" s="223">
        <v>1516.8168439999999</v>
      </c>
      <c r="D43" s="3732">
        <f t="shared" si="0"/>
        <v>-564.76649799999996</v>
      </c>
      <c r="E43" s="166"/>
      <c r="F43" s="166"/>
      <c r="G43" s="1869"/>
      <c r="H43" s="1840"/>
      <c r="I43" s="1869"/>
      <c r="J43" s="1869"/>
    </row>
    <row r="44" spans="1:10">
      <c r="A44" s="53">
        <v>1992.11</v>
      </c>
      <c r="B44" s="141">
        <v>1032.547239</v>
      </c>
      <c r="C44" s="223">
        <v>1273.6928290000001</v>
      </c>
      <c r="D44" s="3732">
        <f t="shared" si="0"/>
        <v>-241.14559000000008</v>
      </c>
      <c r="E44" s="166"/>
      <c r="F44" s="166"/>
      <c r="G44" s="1869"/>
      <c r="H44" s="1840"/>
      <c r="I44" s="1869"/>
      <c r="J44" s="1869"/>
    </row>
    <row r="45" spans="1:10">
      <c r="A45" s="53">
        <v>1992.12</v>
      </c>
      <c r="B45" s="141">
        <v>1025.2606639999999</v>
      </c>
      <c r="C45" s="223">
        <v>1257.381961</v>
      </c>
      <c r="D45" s="3732">
        <f t="shared" si="0"/>
        <v>-232.12129700000014</v>
      </c>
      <c r="E45" s="166"/>
      <c r="F45" s="166"/>
      <c r="G45" s="1869"/>
      <c r="H45" s="1840"/>
      <c r="I45" s="1869"/>
      <c r="J45" s="1869"/>
    </row>
    <row r="46" spans="1:10">
      <c r="A46" s="53">
        <v>1993.01</v>
      </c>
      <c r="B46" s="141">
        <v>902.00693999999999</v>
      </c>
      <c r="C46" s="223">
        <v>1038.6474479999999</v>
      </c>
      <c r="D46" s="3732">
        <f t="shared" si="0"/>
        <v>-136.64050799999995</v>
      </c>
      <c r="E46" s="166"/>
      <c r="F46" s="166"/>
      <c r="G46" s="1869"/>
      <c r="H46" s="1840"/>
      <c r="I46" s="1869"/>
      <c r="J46" s="1869"/>
    </row>
    <row r="47" spans="1:10">
      <c r="A47" s="53">
        <v>1993.02</v>
      </c>
      <c r="B47" s="141">
        <v>910.30477799999994</v>
      </c>
      <c r="C47" s="223">
        <v>897.60558400000002</v>
      </c>
      <c r="D47" s="3732">
        <f t="shared" si="0"/>
        <v>12.69919399999992</v>
      </c>
      <c r="E47" s="166"/>
      <c r="F47" s="166"/>
      <c r="G47" s="1869"/>
      <c r="H47" s="1840"/>
      <c r="I47" s="1869"/>
      <c r="J47" s="1869"/>
    </row>
    <row r="48" spans="1:10">
      <c r="A48" s="53">
        <v>1993.03</v>
      </c>
      <c r="B48" s="141">
        <v>1075.0328509999999</v>
      </c>
      <c r="C48" s="223">
        <v>1322.9286569999999</v>
      </c>
      <c r="D48" s="3732">
        <f t="shared" si="0"/>
        <v>-247.89580599999999</v>
      </c>
      <c r="E48" s="166"/>
      <c r="F48" s="166"/>
      <c r="G48" s="1869"/>
      <c r="H48" s="1840"/>
      <c r="I48" s="1869"/>
      <c r="J48" s="1869"/>
    </row>
    <row r="49" spans="1:10">
      <c r="A49" s="53">
        <v>1993.04</v>
      </c>
      <c r="B49" s="141">
        <v>1078.6320479999999</v>
      </c>
      <c r="C49" s="223">
        <v>1206.81051</v>
      </c>
      <c r="D49" s="3732">
        <f t="shared" si="0"/>
        <v>-128.17846200000008</v>
      </c>
      <c r="E49" s="166"/>
      <c r="F49" s="166"/>
      <c r="G49" s="1869"/>
      <c r="H49" s="1840"/>
      <c r="I49" s="1869"/>
      <c r="J49" s="1869"/>
    </row>
    <row r="50" spans="1:10">
      <c r="A50" s="53">
        <v>1993.05</v>
      </c>
      <c r="B50" s="141">
        <v>1220.789166</v>
      </c>
      <c r="C50" s="223">
        <v>1253.398408</v>
      </c>
      <c r="D50" s="3732">
        <f t="shared" si="0"/>
        <v>-32.609241999999995</v>
      </c>
      <c r="E50" s="166"/>
      <c r="F50" s="166"/>
      <c r="G50" s="1869"/>
      <c r="H50" s="1840"/>
      <c r="I50" s="1869"/>
      <c r="J50" s="1869"/>
    </row>
    <row r="51" spans="1:10">
      <c r="A51" s="53">
        <v>1993.06</v>
      </c>
      <c r="B51" s="141">
        <v>1277.882034</v>
      </c>
      <c r="C51" s="223">
        <v>1410.1862209999999</v>
      </c>
      <c r="D51" s="3732">
        <f t="shared" si="0"/>
        <v>-132.30418699999996</v>
      </c>
      <c r="E51" s="166"/>
      <c r="F51" s="166"/>
      <c r="G51" s="1869"/>
      <c r="H51" s="1840"/>
      <c r="I51" s="1869"/>
      <c r="J51" s="1869"/>
    </row>
    <row r="52" spans="1:10">
      <c r="A52" s="53">
        <v>1993.07</v>
      </c>
      <c r="B52" s="141">
        <v>1161.5192360000001</v>
      </c>
      <c r="C52" s="223">
        <v>1559.202869</v>
      </c>
      <c r="D52" s="3732">
        <f t="shared" si="0"/>
        <v>-397.68363299999987</v>
      </c>
      <c r="E52" s="166"/>
      <c r="F52" s="166"/>
      <c r="G52" s="1869"/>
      <c r="H52" s="1840"/>
      <c r="I52" s="1869"/>
      <c r="J52" s="1869"/>
    </row>
    <row r="53" spans="1:10">
      <c r="A53" s="53">
        <v>1993.08</v>
      </c>
      <c r="B53" s="141">
        <v>1082.7340489999999</v>
      </c>
      <c r="C53" s="223">
        <v>1538.3155400000001</v>
      </c>
      <c r="D53" s="3732">
        <f t="shared" si="0"/>
        <v>-455.58149100000014</v>
      </c>
      <c r="E53" s="166"/>
      <c r="F53" s="166"/>
      <c r="G53" s="1869"/>
      <c r="H53" s="1840"/>
      <c r="I53" s="1869"/>
      <c r="J53" s="1869"/>
    </row>
    <row r="54" spans="1:10">
      <c r="A54" s="53">
        <v>1993.09</v>
      </c>
      <c r="B54" s="141">
        <v>1190.6036300000001</v>
      </c>
      <c r="C54" s="223">
        <v>1562.6303849999999</v>
      </c>
      <c r="D54" s="3732">
        <f t="shared" si="0"/>
        <v>-372.02675499999987</v>
      </c>
      <c r="E54" s="166"/>
      <c r="F54" s="166"/>
      <c r="G54" s="1869"/>
      <c r="H54" s="1840"/>
      <c r="I54" s="1869"/>
      <c r="J54" s="1869"/>
    </row>
    <row r="55" spans="1:10">
      <c r="A55" s="53">
        <v>1993.1</v>
      </c>
      <c r="B55" s="141">
        <v>1091.679142</v>
      </c>
      <c r="C55" s="223">
        <v>1570.284496</v>
      </c>
      <c r="D55" s="3732">
        <f t="shared" si="0"/>
        <v>-478.60535400000003</v>
      </c>
      <c r="E55" s="166"/>
      <c r="F55" s="166"/>
      <c r="G55" s="1869"/>
      <c r="H55" s="1840"/>
      <c r="I55" s="1869"/>
      <c r="J55" s="1869"/>
    </row>
    <row r="56" spans="1:10">
      <c r="A56" s="53">
        <v>1993.11</v>
      </c>
      <c r="B56" s="141">
        <v>1015.526883</v>
      </c>
      <c r="C56" s="223">
        <v>1757.7925720000001</v>
      </c>
      <c r="D56" s="3732">
        <f t="shared" si="0"/>
        <v>-742.26568900000007</v>
      </c>
      <c r="E56" s="166"/>
      <c r="F56" s="166"/>
      <c r="G56" s="1869"/>
      <c r="H56" s="1840"/>
      <c r="I56" s="1869"/>
      <c r="J56" s="1869"/>
    </row>
    <row r="57" spans="1:10">
      <c r="A57" s="53">
        <v>1993.12</v>
      </c>
      <c r="B57" s="141">
        <v>1111.0471829999999</v>
      </c>
      <c r="C57" s="223">
        <v>1665.710237</v>
      </c>
      <c r="D57" s="3732">
        <f t="shared" si="0"/>
        <v>-554.6630540000001</v>
      </c>
      <c r="E57" s="166"/>
      <c r="F57" s="166"/>
      <c r="G57" s="1869"/>
      <c r="H57" s="1840"/>
      <c r="I57" s="1869"/>
      <c r="J57" s="1869"/>
    </row>
    <row r="58" spans="1:10">
      <c r="A58" s="53">
        <v>1994.01</v>
      </c>
      <c r="B58" s="141">
        <v>963.36758799999996</v>
      </c>
      <c r="C58" s="223">
        <v>1578.238036</v>
      </c>
      <c r="D58" s="3732">
        <f t="shared" si="0"/>
        <v>-614.87044800000001</v>
      </c>
      <c r="E58" s="166"/>
      <c r="F58" s="166"/>
      <c r="G58" s="1869"/>
      <c r="H58" s="1840"/>
      <c r="I58" s="1869"/>
      <c r="J58" s="1869"/>
    </row>
    <row r="59" spans="1:10">
      <c r="A59" s="53">
        <v>1994.02</v>
      </c>
      <c r="B59" s="141">
        <v>965.82732399999998</v>
      </c>
      <c r="C59" s="223">
        <v>1487.035885</v>
      </c>
      <c r="D59" s="3732">
        <f t="shared" si="0"/>
        <v>-521.20856100000003</v>
      </c>
      <c r="E59" s="166"/>
      <c r="F59" s="166"/>
      <c r="G59" s="1869"/>
      <c r="H59" s="1840"/>
      <c r="I59" s="1869"/>
      <c r="J59" s="1869"/>
    </row>
    <row r="60" spans="1:10">
      <c r="A60" s="53">
        <v>1994.03</v>
      </c>
      <c r="B60" s="141">
        <v>1126.6351400000001</v>
      </c>
      <c r="C60" s="223">
        <v>1849.848279</v>
      </c>
      <c r="D60" s="3732">
        <f t="shared" si="0"/>
        <v>-723.21313899999996</v>
      </c>
      <c r="E60" s="166"/>
      <c r="F60" s="166"/>
      <c r="G60" s="1869"/>
      <c r="H60" s="1840"/>
      <c r="I60" s="1869"/>
      <c r="J60" s="1869"/>
    </row>
    <row r="61" spans="1:10">
      <c r="A61" s="53">
        <v>1994.04</v>
      </c>
      <c r="B61" s="141">
        <v>1221.823159</v>
      </c>
      <c r="C61" s="223">
        <v>1751.819589</v>
      </c>
      <c r="D61" s="3732">
        <f t="shared" si="0"/>
        <v>-529.99642999999992</v>
      </c>
      <c r="E61" s="166"/>
      <c r="F61" s="166"/>
      <c r="G61" s="1869"/>
      <c r="H61" s="1840"/>
      <c r="I61" s="1869"/>
      <c r="J61" s="1869"/>
    </row>
    <row r="62" spans="1:10">
      <c r="A62" s="53">
        <v>1994.05</v>
      </c>
      <c r="B62" s="141">
        <v>1598.178729</v>
      </c>
      <c r="C62" s="223">
        <v>1740.9545860000001</v>
      </c>
      <c r="D62" s="3732">
        <f t="shared" si="0"/>
        <v>-142.77585700000009</v>
      </c>
      <c r="E62" s="166"/>
      <c r="F62" s="166"/>
      <c r="G62" s="1869"/>
      <c r="H62" s="1840"/>
      <c r="I62" s="1869"/>
      <c r="J62" s="1869"/>
    </row>
    <row r="63" spans="1:10">
      <c r="A63" s="53">
        <v>1994.06</v>
      </c>
      <c r="B63" s="141">
        <v>1458.4621669999999</v>
      </c>
      <c r="C63" s="223">
        <v>1835.7948980000001</v>
      </c>
      <c r="D63" s="3732">
        <f t="shared" si="0"/>
        <v>-377.33273100000019</v>
      </c>
      <c r="E63" s="166"/>
      <c r="F63" s="166"/>
      <c r="G63" s="1869"/>
      <c r="H63" s="1840"/>
      <c r="I63" s="1869"/>
      <c r="J63" s="1869"/>
    </row>
    <row r="64" spans="1:10">
      <c r="A64" s="53">
        <v>1994.07</v>
      </c>
      <c r="B64" s="141">
        <v>1430.051035</v>
      </c>
      <c r="C64" s="223">
        <v>1775.966983</v>
      </c>
      <c r="D64" s="3732">
        <f t="shared" si="0"/>
        <v>-345.91594800000007</v>
      </c>
      <c r="E64" s="166"/>
      <c r="F64" s="166"/>
      <c r="G64" s="1869"/>
      <c r="H64" s="1840"/>
      <c r="I64" s="1869"/>
      <c r="J64" s="1869"/>
    </row>
    <row r="65" spans="1:10">
      <c r="A65" s="53">
        <v>1994.08</v>
      </c>
      <c r="B65" s="141">
        <v>1469.6451039999999</v>
      </c>
      <c r="C65" s="223">
        <v>2102.829972</v>
      </c>
      <c r="D65" s="3732">
        <f t="shared" si="0"/>
        <v>-633.18486800000005</v>
      </c>
      <c r="E65" s="166"/>
      <c r="F65" s="166"/>
      <c r="G65" s="1869"/>
      <c r="H65" s="1840"/>
      <c r="I65" s="1869"/>
      <c r="J65" s="1869"/>
    </row>
    <row r="66" spans="1:10">
      <c r="A66" s="53">
        <v>1994.09</v>
      </c>
      <c r="B66" s="141">
        <v>1356.761737</v>
      </c>
      <c r="C66" s="223">
        <v>1766.0140799999999</v>
      </c>
      <c r="D66" s="3732">
        <f t="shared" si="0"/>
        <v>-409.25234299999988</v>
      </c>
      <c r="E66" s="166"/>
      <c r="F66" s="166"/>
      <c r="G66" s="1869"/>
      <c r="H66" s="1840"/>
      <c r="I66" s="1869"/>
      <c r="J66" s="1869"/>
    </row>
    <row r="67" spans="1:10">
      <c r="A67" s="53">
        <v>1994.1</v>
      </c>
      <c r="B67" s="141">
        <v>1355.1916610000001</v>
      </c>
      <c r="C67" s="223">
        <v>1840.0035459999999</v>
      </c>
      <c r="D67" s="3732">
        <f t="shared" si="0"/>
        <v>-484.81188499999985</v>
      </c>
      <c r="E67" s="166"/>
      <c r="F67" s="166"/>
      <c r="G67" s="1869"/>
      <c r="H67" s="1840"/>
      <c r="I67" s="1869"/>
      <c r="J67" s="1869"/>
    </row>
    <row r="68" spans="1:10">
      <c r="A68" s="53">
        <v>1994.11</v>
      </c>
      <c r="B68" s="141">
        <v>1420.8793230000001</v>
      </c>
      <c r="C68" s="223">
        <v>1891.8529819999999</v>
      </c>
      <c r="D68" s="3732">
        <f t="shared" si="0"/>
        <v>-470.97365899999977</v>
      </c>
      <c r="E68" s="166"/>
      <c r="F68" s="166"/>
      <c r="G68" s="1869"/>
      <c r="H68" s="1840"/>
      <c r="I68" s="1869"/>
      <c r="J68" s="1869"/>
    </row>
    <row r="69" spans="1:10">
      <c r="A69" s="53">
        <v>1994.12</v>
      </c>
      <c r="B69" s="141">
        <v>1472.390488</v>
      </c>
      <c r="C69" s="223">
        <v>1969.896542</v>
      </c>
      <c r="D69" s="3732">
        <f t="shared" si="0"/>
        <v>-497.50605399999995</v>
      </c>
      <c r="E69" s="166"/>
      <c r="F69" s="166"/>
      <c r="G69" s="1869"/>
      <c r="H69" s="1840"/>
      <c r="I69" s="1869"/>
      <c r="J69" s="1869"/>
    </row>
    <row r="70" spans="1:10">
      <c r="A70" s="53">
        <v>1995.01</v>
      </c>
      <c r="B70" s="141">
        <v>1341.892936</v>
      </c>
      <c r="C70" s="223">
        <v>1717.9107389999999</v>
      </c>
      <c r="D70" s="3732">
        <f t="shared" si="0"/>
        <v>-376.01780299999996</v>
      </c>
      <c r="E70" s="166"/>
      <c r="F70" s="166"/>
      <c r="G70" s="1869"/>
      <c r="H70" s="1840"/>
      <c r="I70" s="1869"/>
      <c r="J70" s="1869"/>
    </row>
    <row r="71" spans="1:10">
      <c r="A71" s="53">
        <v>1995.02</v>
      </c>
      <c r="B71" s="141">
        <v>1392.1767620000001</v>
      </c>
      <c r="C71" s="223">
        <v>1629.544245</v>
      </c>
      <c r="D71" s="3732">
        <f t="shared" si="0"/>
        <v>-237.36748299999999</v>
      </c>
      <c r="E71" s="166"/>
      <c r="F71" s="166"/>
      <c r="G71" s="1869"/>
      <c r="H71" s="1840"/>
      <c r="I71" s="1869"/>
      <c r="J71" s="1869"/>
    </row>
    <row r="72" spans="1:10">
      <c r="A72" s="53">
        <v>1995.03</v>
      </c>
      <c r="B72" s="141">
        <v>1801.805398</v>
      </c>
      <c r="C72" s="223">
        <v>1890.613932</v>
      </c>
      <c r="D72" s="3732">
        <f t="shared" si="0"/>
        <v>-88.808534000000009</v>
      </c>
      <c r="E72" s="166"/>
      <c r="F72" s="166"/>
      <c r="G72" s="1869"/>
      <c r="H72" s="1840"/>
      <c r="I72" s="1869"/>
      <c r="J72" s="1869"/>
    </row>
    <row r="73" spans="1:10">
      <c r="A73" s="53">
        <v>1995.04</v>
      </c>
      <c r="B73" s="141">
        <v>1897.065341</v>
      </c>
      <c r="C73" s="223">
        <v>1485.1774089999999</v>
      </c>
      <c r="D73" s="3732">
        <f t="shared" si="0"/>
        <v>411.88793200000009</v>
      </c>
      <c r="E73" s="166"/>
      <c r="F73" s="166"/>
      <c r="G73" s="1869"/>
      <c r="H73" s="1840"/>
      <c r="I73" s="1869"/>
      <c r="J73" s="1869"/>
    </row>
    <row r="74" spans="1:10">
      <c r="A74" s="53">
        <v>1995.05</v>
      </c>
      <c r="B74" s="141">
        <v>2270.4402559999999</v>
      </c>
      <c r="C74" s="223">
        <v>1721.8131519999999</v>
      </c>
      <c r="D74" s="3732">
        <f t="shared" si="0"/>
        <v>548.62710399999992</v>
      </c>
      <c r="E74" s="166"/>
      <c r="F74" s="166"/>
      <c r="G74" s="1869"/>
      <c r="H74" s="1840"/>
      <c r="I74" s="1869"/>
      <c r="J74" s="1869"/>
    </row>
    <row r="75" spans="1:10">
      <c r="A75" s="53">
        <v>1995.06</v>
      </c>
      <c r="B75" s="141">
        <v>2149.367295</v>
      </c>
      <c r="C75" s="223">
        <v>1573.1187789999999</v>
      </c>
      <c r="D75" s="3732">
        <f t="shared" ref="D75:D138" si="1">B75-C75</f>
        <v>576.24851600000011</v>
      </c>
      <c r="E75" s="166"/>
      <c r="F75" s="166"/>
      <c r="G75" s="1869"/>
      <c r="H75" s="1840"/>
      <c r="I75" s="1869"/>
      <c r="J75" s="1869"/>
    </row>
    <row r="76" spans="1:10">
      <c r="A76" s="53">
        <v>1995.07</v>
      </c>
      <c r="B76" s="141">
        <v>1842.4491969999999</v>
      </c>
      <c r="C76" s="223">
        <v>1518.781747</v>
      </c>
      <c r="D76" s="3732">
        <f t="shared" si="1"/>
        <v>323.66744999999992</v>
      </c>
      <c r="E76" s="166"/>
      <c r="F76" s="166"/>
      <c r="G76" s="1869"/>
      <c r="H76" s="1840"/>
      <c r="I76" s="1869"/>
      <c r="J76" s="1869"/>
    </row>
    <row r="77" spans="1:10">
      <c r="A77" s="53">
        <v>1995.08</v>
      </c>
      <c r="B77" s="141">
        <v>1766.7271410000001</v>
      </c>
      <c r="C77" s="223">
        <v>1743.8315889999999</v>
      </c>
      <c r="D77" s="3732">
        <f t="shared" si="1"/>
        <v>22.89555200000018</v>
      </c>
      <c r="E77" s="166"/>
      <c r="F77" s="166"/>
      <c r="G77" s="1869"/>
      <c r="H77" s="1840"/>
      <c r="I77" s="1869"/>
      <c r="J77" s="1869"/>
    </row>
    <row r="78" spans="1:10">
      <c r="A78" s="53">
        <v>1995.09</v>
      </c>
      <c r="B78" s="141">
        <v>1664.471229</v>
      </c>
      <c r="C78" s="223">
        <v>1654.5498729999999</v>
      </c>
      <c r="D78" s="3732">
        <f t="shared" si="1"/>
        <v>9.9213560000000598</v>
      </c>
      <c r="E78" s="166"/>
      <c r="F78" s="166"/>
      <c r="G78" s="1869"/>
      <c r="H78" s="1840"/>
      <c r="I78" s="1869"/>
      <c r="J78" s="1869"/>
    </row>
    <row r="79" spans="1:10">
      <c r="A79" s="53">
        <v>1995.1</v>
      </c>
      <c r="B79" s="141">
        <v>1577.411756</v>
      </c>
      <c r="C79" s="223">
        <v>1752.3752139999999</v>
      </c>
      <c r="D79" s="3732">
        <f t="shared" si="1"/>
        <v>-174.96345799999995</v>
      </c>
      <c r="E79" s="166"/>
      <c r="F79" s="166"/>
      <c r="G79" s="1869"/>
      <c r="H79" s="1840"/>
      <c r="I79" s="1869"/>
      <c r="J79" s="1869"/>
    </row>
    <row r="80" spans="1:10">
      <c r="A80" s="53">
        <v>1995.11</v>
      </c>
      <c r="B80" s="141">
        <v>1588.758572</v>
      </c>
      <c r="C80" s="223">
        <v>1833.0260929999999</v>
      </c>
      <c r="D80" s="3732">
        <f t="shared" si="1"/>
        <v>-244.26752099999999</v>
      </c>
      <c r="E80" s="166"/>
      <c r="F80" s="166"/>
      <c r="G80" s="1869"/>
      <c r="H80" s="1840"/>
      <c r="I80" s="1869"/>
      <c r="J80" s="1869"/>
    </row>
    <row r="81" spans="1:10">
      <c r="A81" s="53">
        <v>1995.12</v>
      </c>
      <c r="B81" s="141">
        <v>1670.5422550000001</v>
      </c>
      <c r="C81" s="223">
        <v>1600.9397200000001</v>
      </c>
      <c r="D81" s="3732">
        <f t="shared" si="1"/>
        <v>69.602534999999989</v>
      </c>
      <c r="E81" s="166"/>
      <c r="F81" s="166"/>
      <c r="G81" s="1869"/>
      <c r="H81" s="1840"/>
      <c r="I81" s="1869"/>
      <c r="J81" s="1869"/>
    </row>
    <row r="82" spans="1:10">
      <c r="A82" s="53">
        <v>1996.01</v>
      </c>
      <c r="B82" s="141">
        <v>1449.080019</v>
      </c>
      <c r="C82" s="223">
        <v>1681.9460859999999</v>
      </c>
      <c r="D82" s="3732">
        <f t="shared" si="1"/>
        <v>-232.86606699999993</v>
      </c>
      <c r="E82" s="166"/>
      <c r="F82" s="166"/>
      <c r="G82" s="1869"/>
      <c r="H82" s="1840"/>
      <c r="I82" s="1869"/>
      <c r="J82" s="1869"/>
    </row>
    <row r="83" spans="1:10">
      <c r="A83" s="53">
        <v>1996.02</v>
      </c>
      <c r="B83" s="141">
        <v>1419.8256160000001</v>
      </c>
      <c r="C83" s="223">
        <v>1522.092476</v>
      </c>
      <c r="D83" s="3732">
        <f t="shared" si="1"/>
        <v>-102.26685999999995</v>
      </c>
      <c r="E83" s="166"/>
      <c r="F83" s="166"/>
      <c r="G83" s="1869"/>
      <c r="H83" s="1840"/>
      <c r="I83" s="1869"/>
      <c r="J83" s="1869"/>
    </row>
    <row r="84" spans="1:10">
      <c r="A84" s="53">
        <v>1996.03</v>
      </c>
      <c r="B84" s="141">
        <v>1869.0672569999999</v>
      </c>
      <c r="C84" s="223">
        <v>1781.66975</v>
      </c>
      <c r="D84" s="3732">
        <f t="shared" si="1"/>
        <v>87.397506999999905</v>
      </c>
      <c r="E84" s="166"/>
      <c r="F84" s="166"/>
      <c r="G84" s="1869"/>
      <c r="H84" s="1840"/>
      <c r="I84" s="1869"/>
      <c r="J84" s="1869"/>
    </row>
    <row r="85" spans="1:10">
      <c r="A85" s="53">
        <v>1996.04</v>
      </c>
      <c r="B85" s="141">
        <v>2013.250436</v>
      </c>
      <c r="C85" s="223">
        <v>1812.9351819999999</v>
      </c>
      <c r="D85" s="3732">
        <f t="shared" si="1"/>
        <v>200.3152540000001</v>
      </c>
      <c r="E85" s="166"/>
      <c r="F85" s="166"/>
      <c r="G85" s="1869"/>
      <c r="H85" s="1840"/>
      <c r="I85" s="1869"/>
      <c r="J85" s="1869"/>
    </row>
    <row r="86" spans="1:10">
      <c r="A86" s="53">
        <v>1996.05</v>
      </c>
      <c r="B86" s="141">
        <v>2386.3763680000002</v>
      </c>
      <c r="C86" s="223">
        <v>1916.198684</v>
      </c>
      <c r="D86" s="3732">
        <f t="shared" si="1"/>
        <v>470.17768400000023</v>
      </c>
      <c r="E86" s="166"/>
      <c r="F86" s="166"/>
      <c r="G86" s="1869"/>
      <c r="H86" s="1840"/>
      <c r="I86" s="1869"/>
      <c r="J86" s="1869"/>
    </row>
    <row r="87" spans="1:10">
      <c r="A87" s="53">
        <v>1996.06</v>
      </c>
      <c r="B87" s="141">
        <v>2205.9842870000002</v>
      </c>
      <c r="C87" s="223">
        <v>1996.430468</v>
      </c>
      <c r="D87" s="3732">
        <f t="shared" si="1"/>
        <v>209.5538190000002</v>
      </c>
      <c r="E87" s="166"/>
      <c r="F87" s="166"/>
      <c r="G87" s="1869"/>
      <c r="H87" s="1840"/>
      <c r="I87" s="1869"/>
      <c r="J87" s="1869"/>
    </row>
    <row r="88" spans="1:10">
      <c r="A88" s="53">
        <v>1996.07</v>
      </c>
      <c r="B88" s="141">
        <v>2225.2148969999998</v>
      </c>
      <c r="C88" s="223">
        <v>2291.0168330000001</v>
      </c>
      <c r="D88" s="3732">
        <f t="shared" si="1"/>
        <v>-65.801936000000296</v>
      </c>
      <c r="E88" s="166"/>
      <c r="F88" s="166"/>
      <c r="G88" s="1869"/>
      <c r="H88" s="1840"/>
      <c r="I88" s="1869"/>
      <c r="J88" s="1869"/>
    </row>
    <row r="89" spans="1:10">
      <c r="A89" s="53">
        <v>1996.08</v>
      </c>
      <c r="B89" s="141">
        <v>2270.0734210000001</v>
      </c>
      <c r="C89" s="223">
        <v>2307.5313059999999</v>
      </c>
      <c r="D89" s="3732">
        <f t="shared" si="1"/>
        <v>-37.457884999999806</v>
      </c>
      <c r="E89" s="166"/>
      <c r="F89" s="166"/>
      <c r="G89" s="1869"/>
      <c r="H89" s="1840"/>
      <c r="I89" s="1869"/>
      <c r="J89" s="1869"/>
    </row>
    <row r="90" spans="1:10">
      <c r="A90" s="53">
        <v>1996.09</v>
      </c>
      <c r="B90" s="141">
        <v>1943.261033</v>
      </c>
      <c r="C90" s="223">
        <v>1980.8701510000001</v>
      </c>
      <c r="D90" s="3732">
        <f t="shared" si="1"/>
        <v>-37.60911800000008</v>
      </c>
      <c r="E90" s="166"/>
      <c r="F90" s="166"/>
      <c r="G90" s="1869"/>
      <c r="H90" s="1840"/>
      <c r="I90" s="1869"/>
      <c r="J90" s="1869"/>
    </row>
    <row r="91" spans="1:10">
      <c r="A91" s="53">
        <v>1996.1</v>
      </c>
      <c r="B91" s="141">
        <v>2073.7680789999999</v>
      </c>
      <c r="C91" s="223">
        <v>2294.085075</v>
      </c>
      <c r="D91" s="3732">
        <f t="shared" si="1"/>
        <v>-220.31699600000002</v>
      </c>
      <c r="E91" s="166"/>
      <c r="F91" s="166"/>
      <c r="G91" s="1869"/>
      <c r="H91" s="1840"/>
      <c r="I91" s="1869"/>
      <c r="J91" s="1869"/>
    </row>
    <row r="92" spans="1:10">
      <c r="A92" s="53">
        <v>1996.11</v>
      </c>
      <c r="B92" s="141">
        <v>1918.3570239999999</v>
      </c>
      <c r="C92" s="223">
        <v>2098.7689049999999</v>
      </c>
      <c r="D92" s="3732">
        <f t="shared" si="1"/>
        <v>-180.41188099999999</v>
      </c>
      <c r="E92" s="166"/>
      <c r="F92" s="166"/>
      <c r="G92" s="1869"/>
      <c r="H92" s="1840"/>
      <c r="I92" s="1869"/>
      <c r="J92" s="1869"/>
    </row>
    <row r="93" spans="1:10">
      <c r="A93" s="53">
        <v>1996.12</v>
      </c>
      <c r="B93" s="141">
        <v>2036.4585360000001</v>
      </c>
      <c r="C93" s="223">
        <v>2078.2639760000002</v>
      </c>
      <c r="D93" s="3732">
        <f t="shared" si="1"/>
        <v>-41.80544000000009</v>
      </c>
      <c r="E93" s="166"/>
      <c r="F93" s="166"/>
      <c r="G93" s="1869"/>
      <c r="H93" s="1840"/>
      <c r="I93" s="1869"/>
      <c r="J93" s="1869"/>
    </row>
    <row r="94" spans="1:10">
      <c r="A94" s="53">
        <v>1997.01</v>
      </c>
      <c r="B94" s="141">
        <v>1894.771291</v>
      </c>
      <c r="C94" s="223">
        <v>2333.3745220000001</v>
      </c>
      <c r="D94" s="3732">
        <f t="shared" si="1"/>
        <v>-438.60323100000005</v>
      </c>
      <c r="E94" s="166"/>
      <c r="F94" s="166"/>
      <c r="G94" s="1869"/>
      <c r="H94" s="1840"/>
      <c r="I94" s="1869"/>
      <c r="J94" s="1869"/>
    </row>
    <row r="95" spans="1:10">
      <c r="A95" s="53">
        <v>1997.02</v>
      </c>
      <c r="B95" s="141">
        <v>1884.3977620000001</v>
      </c>
      <c r="C95" s="223">
        <v>2026.635464</v>
      </c>
      <c r="D95" s="3732">
        <f t="shared" si="1"/>
        <v>-142.2377019999999</v>
      </c>
      <c r="E95" s="166"/>
      <c r="F95" s="166"/>
      <c r="G95" s="1869"/>
      <c r="H95" s="1840"/>
      <c r="I95" s="1869"/>
      <c r="J95" s="1869"/>
    </row>
    <row r="96" spans="1:10">
      <c r="A96" s="53">
        <v>1997.03</v>
      </c>
      <c r="B96" s="141">
        <v>1994.6755909999999</v>
      </c>
      <c r="C96" s="223">
        <v>2133.055331</v>
      </c>
      <c r="D96" s="3732">
        <f t="shared" si="1"/>
        <v>-138.37974000000008</v>
      </c>
      <c r="E96" s="166"/>
      <c r="F96" s="166"/>
      <c r="G96" s="1869"/>
      <c r="H96" s="1840"/>
      <c r="I96" s="1869"/>
      <c r="J96" s="1869"/>
    </row>
    <row r="97" spans="1:10">
      <c r="A97" s="53">
        <v>1997.04</v>
      </c>
      <c r="B97" s="141">
        <v>2420.2429069999998</v>
      </c>
      <c r="C97" s="223">
        <v>2529.0433419999999</v>
      </c>
      <c r="D97" s="3732">
        <f t="shared" si="1"/>
        <v>-108.80043500000011</v>
      </c>
      <c r="E97" s="166"/>
      <c r="F97" s="166"/>
      <c r="G97" s="1869"/>
      <c r="H97" s="1840"/>
      <c r="I97" s="1869"/>
      <c r="J97" s="1869"/>
    </row>
    <row r="98" spans="1:10">
      <c r="A98" s="53">
        <v>1997.05</v>
      </c>
      <c r="B98" s="141">
        <v>2562.9756619999998</v>
      </c>
      <c r="C98" s="223">
        <v>2543.8848349999998</v>
      </c>
      <c r="D98" s="3732">
        <f t="shared" si="1"/>
        <v>19.09082699999999</v>
      </c>
      <c r="E98" s="166"/>
      <c r="F98" s="166"/>
      <c r="G98" s="1869"/>
      <c r="H98" s="1840"/>
      <c r="I98" s="1869"/>
      <c r="J98" s="1869"/>
    </row>
    <row r="99" spans="1:10">
      <c r="A99" s="53">
        <v>1997.06</v>
      </c>
      <c r="B99" s="141">
        <v>2265.186338</v>
      </c>
      <c r="C99" s="223">
        <v>2446.7506370000001</v>
      </c>
      <c r="D99" s="3732">
        <f t="shared" si="1"/>
        <v>-181.56429900000012</v>
      </c>
      <c r="E99" s="166"/>
      <c r="F99" s="166"/>
      <c r="G99" s="1869"/>
      <c r="H99" s="1840"/>
      <c r="I99" s="1869"/>
      <c r="J99" s="1869"/>
    </row>
    <row r="100" spans="1:10">
      <c r="A100" s="53">
        <v>1997.07</v>
      </c>
      <c r="B100" s="141">
        <v>2357.7206780000001</v>
      </c>
      <c r="C100" s="223">
        <v>2733.5564140000001</v>
      </c>
      <c r="D100" s="3732">
        <f t="shared" si="1"/>
        <v>-375.835736</v>
      </c>
      <c r="E100" s="166"/>
      <c r="F100" s="166"/>
      <c r="G100" s="1869"/>
      <c r="H100" s="1840"/>
      <c r="I100" s="1869"/>
      <c r="J100" s="1869"/>
    </row>
    <row r="101" spans="1:10">
      <c r="A101" s="53">
        <v>1997.08</v>
      </c>
      <c r="B101" s="141">
        <v>2356.2175849999999</v>
      </c>
      <c r="C101" s="223">
        <v>2693.938373</v>
      </c>
      <c r="D101" s="3732">
        <f t="shared" si="1"/>
        <v>-337.72078800000008</v>
      </c>
      <c r="E101" s="166"/>
      <c r="F101" s="166"/>
      <c r="G101" s="1869"/>
      <c r="H101" s="1840"/>
      <c r="I101" s="1869"/>
      <c r="J101" s="1869"/>
    </row>
    <row r="102" spans="1:10">
      <c r="A102" s="53">
        <v>1997.09</v>
      </c>
      <c r="B102" s="141">
        <v>2276.578857</v>
      </c>
      <c r="C102" s="223">
        <v>2766.8456860000001</v>
      </c>
      <c r="D102" s="3732">
        <f t="shared" si="1"/>
        <v>-490.26682900000014</v>
      </c>
      <c r="E102" s="166"/>
      <c r="F102" s="166"/>
      <c r="G102" s="1869"/>
      <c r="H102" s="1840"/>
      <c r="I102" s="1869"/>
      <c r="J102" s="1869"/>
    </row>
    <row r="103" spans="1:10">
      <c r="A103" s="53">
        <v>1997.1</v>
      </c>
      <c r="B103" s="141">
        <v>2373.9502929999999</v>
      </c>
      <c r="C103" s="223">
        <v>2836.1655329999999</v>
      </c>
      <c r="D103" s="3732">
        <f t="shared" si="1"/>
        <v>-462.21523999999999</v>
      </c>
      <c r="E103" s="166"/>
      <c r="F103" s="166"/>
      <c r="G103" s="1869"/>
      <c r="H103" s="1840"/>
      <c r="I103" s="1869"/>
      <c r="J103" s="1869"/>
    </row>
    <row r="104" spans="1:10">
      <c r="A104" s="53">
        <v>1997.11</v>
      </c>
      <c r="B104" s="141">
        <v>2022.435923</v>
      </c>
      <c r="C104" s="223">
        <v>2799.4782409999998</v>
      </c>
      <c r="D104" s="3732">
        <f t="shared" si="1"/>
        <v>-777.0423179999998</v>
      </c>
      <c r="E104" s="166"/>
      <c r="F104" s="166"/>
      <c r="G104" s="1869"/>
      <c r="H104" s="1840"/>
      <c r="I104" s="1869"/>
      <c r="J104" s="1869"/>
    </row>
    <row r="105" spans="1:10">
      <c r="A105" s="53">
        <v>1997.12</v>
      </c>
      <c r="B105" s="141">
        <v>2021.701632</v>
      </c>
      <c r="C105" s="223">
        <v>2607.4555799999998</v>
      </c>
      <c r="D105" s="3732">
        <f t="shared" si="1"/>
        <v>-585.75394799999981</v>
      </c>
      <c r="E105" s="166"/>
      <c r="F105" s="166"/>
      <c r="G105" s="1869"/>
      <c r="H105" s="1840"/>
      <c r="I105" s="1869"/>
      <c r="J105" s="1869"/>
    </row>
    <row r="106" spans="1:10">
      <c r="A106" s="53">
        <v>1998.01</v>
      </c>
      <c r="B106" s="141">
        <v>1767.1655519999999</v>
      </c>
      <c r="C106" s="223">
        <v>2558.3209379999998</v>
      </c>
      <c r="D106" s="3732">
        <f t="shared" si="1"/>
        <v>-791.15538599999991</v>
      </c>
      <c r="E106" s="166"/>
      <c r="F106" s="166"/>
      <c r="G106" s="1869"/>
      <c r="H106" s="1840"/>
      <c r="I106" s="1869"/>
      <c r="J106" s="1869"/>
    </row>
    <row r="107" spans="1:10">
      <c r="A107" s="53">
        <v>1998.02</v>
      </c>
      <c r="B107" s="141">
        <v>1883.4331179999999</v>
      </c>
      <c r="C107" s="223">
        <v>2282.8121500000002</v>
      </c>
      <c r="D107" s="3732">
        <f t="shared" si="1"/>
        <v>-399.37903200000028</v>
      </c>
      <c r="E107" s="166"/>
      <c r="F107" s="166"/>
      <c r="G107" s="1869"/>
      <c r="H107" s="1840"/>
      <c r="I107" s="1869"/>
      <c r="J107" s="1869"/>
    </row>
    <row r="108" spans="1:10">
      <c r="A108" s="53">
        <v>1998.03</v>
      </c>
      <c r="B108" s="141">
        <v>2239.4990680000001</v>
      </c>
      <c r="C108" s="223">
        <v>2693.9489370000001</v>
      </c>
      <c r="D108" s="3732">
        <f t="shared" si="1"/>
        <v>-454.44986900000004</v>
      </c>
      <c r="E108" s="166"/>
      <c r="F108" s="166"/>
      <c r="G108" s="1869"/>
      <c r="H108" s="1840"/>
      <c r="I108" s="1869"/>
      <c r="J108" s="1869"/>
    </row>
    <row r="109" spans="1:10">
      <c r="A109" s="53">
        <v>1998.04</v>
      </c>
      <c r="B109" s="141">
        <v>2489.7957249999999</v>
      </c>
      <c r="C109" s="223">
        <v>2739.397399</v>
      </c>
      <c r="D109" s="3732">
        <f t="shared" si="1"/>
        <v>-249.601674</v>
      </c>
      <c r="E109" s="166"/>
      <c r="F109" s="166"/>
      <c r="G109" s="1869"/>
      <c r="H109" s="1840"/>
      <c r="I109" s="1869"/>
      <c r="J109" s="1869"/>
    </row>
    <row r="110" spans="1:10">
      <c r="A110" s="53">
        <v>1998.05</v>
      </c>
      <c r="B110" s="141">
        <v>2571.8065310000002</v>
      </c>
      <c r="C110" s="223">
        <v>2625.7977030000002</v>
      </c>
      <c r="D110" s="3732">
        <f t="shared" si="1"/>
        <v>-53.991172000000006</v>
      </c>
      <c r="E110" s="166"/>
      <c r="F110" s="166"/>
      <c r="G110" s="1869"/>
      <c r="H110" s="1840"/>
      <c r="I110" s="1869"/>
      <c r="J110" s="1869"/>
    </row>
    <row r="111" spans="1:10">
      <c r="A111" s="53">
        <v>1998.06</v>
      </c>
      <c r="B111" s="141">
        <v>2624.455168</v>
      </c>
      <c r="C111" s="223">
        <v>2823.1031170000001</v>
      </c>
      <c r="D111" s="3732">
        <f t="shared" si="1"/>
        <v>-198.64794900000015</v>
      </c>
      <c r="E111" s="166"/>
      <c r="F111" s="166"/>
      <c r="G111" s="1869"/>
      <c r="H111" s="1840"/>
      <c r="I111" s="1869"/>
      <c r="J111" s="1869"/>
    </row>
    <row r="112" spans="1:10">
      <c r="A112" s="53">
        <v>1998.07</v>
      </c>
      <c r="B112" s="141">
        <v>2362.1191979999999</v>
      </c>
      <c r="C112" s="223">
        <v>3027.2884629999999</v>
      </c>
      <c r="D112" s="3732">
        <f t="shared" si="1"/>
        <v>-665.169265</v>
      </c>
      <c r="E112" s="166"/>
      <c r="F112" s="166"/>
      <c r="G112" s="1869"/>
      <c r="H112" s="1840"/>
      <c r="I112" s="1869"/>
      <c r="J112" s="1869"/>
    </row>
    <row r="113" spans="1:10">
      <c r="A113" s="53">
        <v>1998.08</v>
      </c>
      <c r="B113" s="141">
        <v>2367.288775</v>
      </c>
      <c r="C113" s="223">
        <v>2740.494494</v>
      </c>
      <c r="D113" s="3732">
        <f t="shared" si="1"/>
        <v>-373.20571900000004</v>
      </c>
      <c r="E113" s="166"/>
      <c r="F113" s="166"/>
      <c r="G113" s="1869"/>
      <c r="H113" s="1840"/>
      <c r="I113" s="1869"/>
      <c r="J113" s="1869"/>
    </row>
    <row r="114" spans="1:10">
      <c r="A114" s="53">
        <v>1998.09</v>
      </c>
      <c r="B114" s="141">
        <v>2297.6922009999998</v>
      </c>
      <c r="C114" s="223">
        <v>2660.692638</v>
      </c>
      <c r="D114" s="3732">
        <f t="shared" si="1"/>
        <v>-363.00043700000015</v>
      </c>
      <c r="E114" s="166"/>
      <c r="F114" s="166"/>
      <c r="G114" s="1869"/>
      <c r="H114" s="1840"/>
      <c r="I114" s="1869"/>
      <c r="J114" s="1869"/>
    </row>
    <row r="115" spans="1:10">
      <c r="A115" s="53">
        <v>1998.1</v>
      </c>
      <c r="B115" s="141">
        <v>2015.4440979999999</v>
      </c>
      <c r="C115" s="223">
        <v>2591.1913330000002</v>
      </c>
      <c r="D115" s="3732">
        <f t="shared" si="1"/>
        <v>-575.74723500000027</v>
      </c>
      <c r="E115" s="166"/>
      <c r="F115" s="166"/>
      <c r="G115" s="1869"/>
      <c r="H115" s="1840"/>
      <c r="I115" s="1869"/>
      <c r="J115" s="1869"/>
    </row>
    <row r="116" spans="1:10">
      <c r="A116" s="53">
        <v>1998.11</v>
      </c>
      <c r="B116" s="141">
        <v>1884.364998</v>
      </c>
      <c r="C116" s="223">
        <v>2456.459198</v>
      </c>
      <c r="D116" s="3732">
        <f t="shared" si="1"/>
        <v>-572.0942</v>
      </c>
      <c r="E116" s="166"/>
      <c r="F116" s="166"/>
      <c r="G116" s="1869"/>
      <c r="H116" s="1840"/>
      <c r="I116" s="1869"/>
      <c r="J116" s="1869"/>
    </row>
    <row r="117" spans="1:10">
      <c r="A117" s="53">
        <v>1998.12</v>
      </c>
      <c r="B117" s="141">
        <v>1930.6339620000001</v>
      </c>
      <c r="C117" s="223">
        <v>2177.853901</v>
      </c>
      <c r="D117" s="3732">
        <f t="shared" si="1"/>
        <v>-247.21993899999984</v>
      </c>
      <c r="E117" s="166"/>
      <c r="F117" s="166"/>
      <c r="G117" s="1869"/>
      <c r="H117" s="1840"/>
      <c r="I117" s="1869"/>
      <c r="J117" s="1869"/>
    </row>
    <row r="118" spans="1:10">
      <c r="A118" s="53">
        <v>1999.01</v>
      </c>
      <c r="B118" s="141">
        <v>1543.548732</v>
      </c>
      <c r="C118" s="223">
        <v>1906.339612</v>
      </c>
      <c r="D118" s="3732">
        <f t="shared" si="1"/>
        <v>-362.79088000000002</v>
      </c>
      <c r="E118" s="166"/>
      <c r="F118" s="166"/>
      <c r="G118" s="1869"/>
      <c r="H118" s="1840"/>
      <c r="I118" s="1869"/>
      <c r="J118" s="1869"/>
    </row>
    <row r="119" spans="1:10">
      <c r="A119" s="53">
        <v>1999.02</v>
      </c>
      <c r="B119" s="141">
        <v>1523.961372</v>
      </c>
      <c r="C119" s="223">
        <v>1855.728419</v>
      </c>
      <c r="D119" s="3732">
        <f t="shared" si="1"/>
        <v>-331.76704700000005</v>
      </c>
      <c r="E119" s="166"/>
      <c r="F119" s="166"/>
      <c r="G119" s="1869"/>
      <c r="H119" s="1840"/>
      <c r="I119" s="1869"/>
      <c r="J119" s="1869"/>
    </row>
    <row r="120" spans="1:10">
      <c r="A120" s="53">
        <v>1999.03</v>
      </c>
      <c r="B120" s="141">
        <v>1997.620964</v>
      </c>
      <c r="C120" s="223">
        <v>2078.1561609999999</v>
      </c>
      <c r="D120" s="3732">
        <f t="shared" si="1"/>
        <v>-80.535196999999926</v>
      </c>
      <c r="E120" s="166"/>
      <c r="F120" s="166"/>
      <c r="G120" s="1869"/>
      <c r="H120" s="1840"/>
      <c r="I120" s="1869"/>
      <c r="J120" s="1869"/>
    </row>
    <row r="121" spans="1:10">
      <c r="A121" s="53">
        <v>1999.04</v>
      </c>
      <c r="B121" s="141">
        <v>2034.355489</v>
      </c>
      <c r="C121" s="223">
        <v>1873.381965</v>
      </c>
      <c r="D121" s="3732">
        <f t="shared" si="1"/>
        <v>160.973524</v>
      </c>
      <c r="E121" s="166"/>
      <c r="F121" s="166"/>
      <c r="G121" s="1869"/>
      <c r="H121" s="1840"/>
      <c r="I121" s="1869"/>
      <c r="J121" s="1869"/>
    </row>
    <row r="122" spans="1:10">
      <c r="A122" s="53">
        <v>1999.05</v>
      </c>
      <c r="B122" s="141">
        <v>2219.8818059999999</v>
      </c>
      <c r="C122" s="223">
        <v>1930.7002419999999</v>
      </c>
      <c r="D122" s="3732">
        <f t="shared" si="1"/>
        <v>289.18156399999998</v>
      </c>
      <c r="E122" s="166"/>
      <c r="F122" s="166"/>
      <c r="G122" s="1869"/>
      <c r="H122" s="1840"/>
      <c r="I122" s="1869"/>
      <c r="J122" s="1869"/>
    </row>
    <row r="123" spans="1:10">
      <c r="A123" s="53">
        <v>1999.06</v>
      </c>
      <c r="B123" s="141">
        <v>2129.491227</v>
      </c>
      <c r="C123" s="223">
        <v>2212.477304</v>
      </c>
      <c r="D123" s="3732">
        <f t="shared" si="1"/>
        <v>-82.986077000000023</v>
      </c>
      <c r="E123" s="166"/>
      <c r="F123" s="166"/>
      <c r="G123" s="1869"/>
      <c r="H123" s="1840"/>
      <c r="I123" s="1869"/>
      <c r="J123" s="1869"/>
    </row>
    <row r="124" spans="1:10">
      <c r="A124" s="53">
        <v>1999.07</v>
      </c>
      <c r="B124" s="141">
        <v>1940.966322</v>
      </c>
      <c r="C124" s="223">
        <v>2278.1509299999998</v>
      </c>
      <c r="D124" s="3732">
        <f t="shared" si="1"/>
        <v>-337.1846079999998</v>
      </c>
      <c r="E124" s="166"/>
      <c r="F124" s="166"/>
      <c r="G124" s="1869"/>
      <c r="H124" s="1840"/>
      <c r="I124" s="1869"/>
      <c r="J124" s="1869"/>
    </row>
    <row r="125" spans="1:10">
      <c r="A125" s="53">
        <v>1999.08</v>
      </c>
      <c r="B125" s="141">
        <v>2098.9594080000002</v>
      </c>
      <c r="C125" s="223">
        <v>2330.8248140000001</v>
      </c>
      <c r="D125" s="3732">
        <f t="shared" si="1"/>
        <v>-231.86540599999989</v>
      </c>
      <c r="E125" s="166"/>
      <c r="F125" s="166"/>
      <c r="G125" s="1869"/>
      <c r="H125" s="1840"/>
      <c r="I125" s="1869"/>
      <c r="J125" s="1869"/>
    </row>
    <row r="126" spans="1:10">
      <c r="A126" s="53">
        <v>1999.09</v>
      </c>
      <c r="B126" s="141">
        <v>1897.6707630000001</v>
      </c>
      <c r="C126" s="223">
        <v>2233.9694260000001</v>
      </c>
      <c r="D126" s="3732">
        <f t="shared" si="1"/>
        <v>-336.29866300000003</v>
      </c>
      <c r="E126" s="166"/>
      <c r="F126" s="166"/>
      <c r="G126" s="1869"/>
      <c r="H126" s="1840"/>
      <c r="I126" s="1869"/>
      <c r="J126" s="1869"/>
    </row>
    <row r="127" spans="1:10">
      <c r="A127" s="53">
        <v>1999.1</v>
      </c>
      <c r="B127" s="141">
        <v>1900.922454</v>
      </c>
      <c r="C127" s="223">
        <v>2213.0848700000001</v>
      </c>
      <c r="D127" s="3732">
        <f t="shared" si="1"/>
        <v>-312.16241600000012</v>
      </c>
      <c r="E127" s="166"/>
      <c r="F127" s="166"/>
      <c r="G127" s="1869"/>
      <c r="H127" s="1840"/>
      <c r="I127" s="1869"/>
      <c r="J127" s="1869"/>
    </row>
    <row r="128" spans="1:10">
      <c r="A128" s="53">
        <v>1999.11</v>
      </c>
      <c r="B128" s="141">
        <v>1965.448523</v>
      </c>
      <c r="C128" s="223">
        <v>2290.0604699999999</v>
      </c>
      <c r="D128" s="3732">
        <f t="shared" si="1"/>
        <v>-324.61194699999987</v>
      </c>
      <c r="E128" s="166"/>
      <c r="F128" s="166"/>
      <c r="G128" s="1869"/>
      <c r="H128" s="1840"/>
      <c r="I128" s="1869"/>
      <c r="J128" s="1869"/>
    </row>
    <row r="129" spans="1:11">
      <c r="A129" s="53">
        <v>1999.12</v>
      </c>
      <c r="B129" s="141">
        <v>2055.807683</v>
      </c>
      <c r="C129" s="223">
        <v>2305.2831630000001</v>
      </c>
      <c r="D129" s="3732">
        <f t="shared" si="1"/>
        <v>-249.47548000000006</v>
      </c>
      <c r="E129" s="166"/>
      <c r="F129" s="166"/>
      <c r="G129" s="1869"/>
      <c r="H129" s="1840"/>
      <c r="I129" s="1869"/>
      <c r="J129" s="1869"/>
      <c r="K129" s="166"/>
    </row>
    <row r="130" spans="1:11">
      <c r="A130" s="53">
        <v>2000.01</v>
      </c>
      <c r="B130" s="141">
        <v>1768.244543</v>
      </c>
      <c r="C130" s="223">
        <v>1852.1936410000001</v>
      </c>
      <c r="D130" s="3732">
        <f t="shared" si="1"/>
        <v>-83.949098000000049</v>
      </c>
      <c r="E130" s="166"/>
      <c r="F130" s="166"/>
      <c r="G130" s="1869"/>
      <c r="H130" s="1840"/>
      <c r="I130" s="1869"/>
      <c r="J130" s="1869"/>
      <c r="K130" s="166"/>
    </row>
    <row r="131" spans="1:11">
      <c r="A131" s="53">
        <v>2000.02</v>
      </c>
      <c r="B131" s="141">
        <v>1783.3226870000001</v>
      </c>
      <c r="C131" s="223">
        <v>1907.761751</v>
      </c>
      <c r="D131" s="3732">
        <f t="shared" si="1"/>
        <v>-124.43906399999992</v>
      </c>
      <c r="E131" s="166"/>
      <c r="F131" s="166"/>
      <c r="G131" s="1869"/>
      <c r="H131" s="1840"/>
      <c r="I131" s="1869"/>
      <c r="J131" s="1869"/>
      <c r="K131" s="166"/>
    </row>
    <row r="132" spans="1:11">
      <c r="A132" s="53">
        <v>2000.03</v>
      </c>
      <c r="B132" s="141">
        <v>2160.6473129999999</v>
      </c>
      <c r="C132" s="223">
        <v>2116.3158330000001</v>
      </c>
      <c r="D132" s="3732">
        <f t="shared" si="1"/>
        <v>44.331479999999829</v>
      </c>
      <c r="E132" s="166"/>
      <c r="F132" s="166"/>
      <c r="G132" s="1869"/>
      <c r="H132" s="1840"/>
      <c r="I132" s="1869"/>
      <c r="J132" s="1869"/>
      <c r="K132" s="166"/>
    </row>
    <row r="133" spans="1:11">
      <c r="A133" s="53">
        <v>2000.04</v>
      </c>
      <c r="B133" s="141">
        <v>2324.3684320000002</v>
      </c>
      <c r="C133" s="223">
        <v>1905.387148</v>
      </c>
      <c r="D133" s="3732">
        <f t="shared" si="1"/>
        <v>418.98128400000019</v>
      </c>
      <c r="E133" s="166"/>
      <c r="F133" s="166"/>
      <c r="G133" s="1869"/>
      <c r="H133" s="1840"/>
      <c r="I133" s="1869"/>
      <c r="J133" s="1869"/>
      <c r="K133" s="166"/>
    </row>
    <row r="134" spans="1:11">
      <c r="A134" s="53">
        <v>2000.05</v>
      </c>
      <c r="B134" s="141">
        <v>2600.3449220000002</v>
      </c>
      <c r="C134" s="223">
        <v>2215.1310600000002</v>
      </c>
      <c r="D134" s="3732">
        <f t="shared" si="1"/>
        <v>385.21386200000006</v>
      </c>
      <c r="E134" s="166"/>
      <c r="F134" s="166"/>
      <c r="G134" s="1869"/>
      <c r="H134" s="1840"/>
      <c r="I134" s="1869"/>
      <c r="J134" s="1869"/>
      <c r="K134" s="166"/>
    </row>
    <row r="135" spans="1:11">
      <c r="A135" s="53">
        <v>2000.06</v>
      </c>
      <c r="B135" s="141">
        <v>2390.7072239999998</v>
      </c>
      <c r="C135" s="223">
        <v>2178.2390019999998</v>
      </c>
      <c r="D135" s="3732">
        <f t="shared" si="1"/>
        <v>212.46822199999997</v>
      </c>
      <c r="E135" s="166"/>
      <c r="F135" s="166"/>
      <c r="G135" s="1869"/>
      <c r="H135" s="1840"/>
      <c r="I135" s="1869"/>
      <c r="J135" s="1869"/>
      <c r="K135" s="166"/>
    </row>
    <row r="136" spans="1:11">
      <c r="A136" s="53">
        <v>2000.07</v>
      </c>
      <c r="B136" s="141">
        <v>2364.1060240000002</v>
      </c>
      <c r="C136" s="223">
        <v>2201.5906180000002</v>
      </c>
      <c r="D136" s="3732">
        <f t="shared" si="1"/>
        <v>162.51540599999998</v>
      </c>
      <c r="E136" s="166"/>
      <c r="F136" s="166"/>
      <c r="G136" s="1869"/>
      <c r="H136" s="1840"/>
      <c r="I136" s="1869"/>
      <c r="J136" s="1869"/>
      <c r="K136" s="166"/>
    </row>
    <row r="137" spans="1:11">
      <c r="A137" s="53">
        <v>2000.08</v>
      </c>
      <c r="B137" s="141">
        <v>2216.324865</v>
      </c>
      <c r="C137" s="223">
        <v>2319.5623850000002</v>
      </c>
      <c r="D137" s="3732">
        <f t="shared" si="1"/>
        <v>-103.23752000000013</v>
      </c>
      <c r="E137" s="166"/>
      <c r="F137" s="166"/>
      <c r="G137" s="1869"/>
      <c r="H137" s="3068"/>
      <c r="I137" s="1840"/>
      <c r="J137" s="1869"/>
      <c r="K137" s="1869"/>
    </row>
    <row r="138" spans="1:11">
      <c r="A138" s="53">
        <v>2000.09</v>
      </c>
      <c r="B138" s="141">
        <v>2158.0323480000002</v>
      </c>
      <c r="C138" s="223">
        <v>2083.7551440000002</v>
      </c>
      <c r="D138" s="3732">
        <f t="shared" si="1"/>
        <v>74.277203999999983</v>
      </c>
      <c r="E138" s="166"/>
      <c r="F138" s="166"/>
      <c r="G138" s="1869"/>
      <c r="H138" s="3068"/>
      <c r="I138" s="1869"/>
      <c r="J138" s="1869"/>
      <c r="K138" s="166"/>
    </row>
    <row r="139" spans="1:11">
      <c r="A139" s="53">
        <v>2000.1</v>
      </c>
      <c r="B139" s="141">
        <v>2071.541729</v>
      </c>
      <c r="C139" s="223">
        <v>2251.365851</v>
      </c>
      <c r="D139" s="3732">
        <f t="shared" ref="D139:D202" si="2">B139-C139</f>
        <v>-179.82412199999999</v>
      </c>
      <c r="E139" s="166"/>
      <c r="F139" s="166"/>
      <c r="G139" s="1869"/>
      <c r="H139" s="3068"/>
      <c r="I139" s="1869"/>
      <c r="J139" s="1869"/>
      <c r="K139" s="166"/>
    </row>
    <row r="140" spans="1:11">
      <c r="A140" s="53">
        <v>2000.11</v>
      </c>
      <c r="B140" s="141">
        <v>2146.9404260000001</v>
      </c>
      <c r="C140" s="223">
        <v>2184.621858</v>
      </c>
      <c r="D140" s="3732">
        <f t="shared" si="2"/>
        <v>-37.681431999999859</v>
      </c>
      <c r="E140" s="166"/>
      <c r="F140" s="166"/>
      <c r="G140" s="1869"/>
      <c r="H140" s="3068"/>
      <c r="I140" s="1869"/>
      <c r="J140" s="1869"/>
      <c r="K140" s="166"/>
    </row>
    <row r="141" spans="1:11">
      <c r="A141" s="53">
        <v>2000.12</v>
      </c>
      <c r="B141" s="141">
        <v>2356.448472</v>
      </c>
      <c r="C141" s="223">
        <v>2064.560923</v>
      </c>
      <c r="D141" s="3732">
        <f t="shared" si="2"/>
        <v>291.88754900000004</v>
      </c>
      <c r="E141" s="166"/>
      <c r="F141" s="166"/>
      <c r="G141" s="1869"/>
      <c r="H141" s="3068"/>
      <c r="I141" s="1869"/>
      <c r="J141" s="1869"/>
      <c r="K141" s="166"/>
    </row>
    <row r="142" spans="1:11">
      <c r="A142" s="53">
        <v>2001.01</v>
      </c>
      <c r="B142" s="141">
        <v>2041.3024660000001</v>
      </c>
      <c r="C142" s="223">
        <v>1954.05538</v>
      </c>
      <c r="D142" s="3732">
        <f t="shared" si="2"/>
        <v>87.247086000000081</v>
      </c>
      <c r="E142" s="166"/>
      <c r="F142" s="166"/>
      <c r="G142" s="1869"/>
      <c r="H142" s="3068"/>
      <c r="I142" s="1869"/>
      <c r="J142" s="1869"/>
      <c r="K142" s="166"/>
    </row>
    <row r="143" spans="1:11">
      <c r="A143" s="53">
        <v>2001.02</v>
      </c>
      <c r="B143" s="141">
        <v>1843.3809879999999</v>
      </c>
      <c r="C143" s="223">
        <v>1753.8880000000001</v>
      </c>
      <c r="D143" s="3732">
        <f t="shared" si="2"/>
        <v>89.492987999999741</v>
      </c>
      <c r="E143" s="166"/>
      <c r="F143" s="166"/>
      <c r="G143" s="1869"/>
      <c r="H143" s="3068"/>
      <c r="I143" s="1869"/>
      <c r="J143" s="1869"/>
      <c r="K143" s="166"/>
    </row>
    <row r="144" spans="1:11">
      <c r="A144" s="53">
        <v>2001.03</v>
      </c>
      <c r="B144" s="141">
        <v>2023.5084400000001</v>
      </c>
      <c r="C144" s="223">
        <v>2034.960501</v>
      </c>
      <c r="D144" s="3732">
        <f t="shared" si="2"/>
        <v>-11.452060999999958</v>
      </c>
      <c r="E144" s="166"/>
      <c r="F144" s="166"/>
      <c r="G144" s="1869"/>
      <c r="H144" s="3068"/>
      <c r="I144" s="1869"/>
      <c r="J144" s="1869"/>
      <c r="K144" s="166"/>
    </row>
    <row r="145" spans="1:11">
      <c r="A145" s="53">
        <v>2001.04</v>
      </c>
      <c r="B145" s="141">
        <v>2392.0668110000001</v>
      </c>
      <c r="C145" s="223">
        <v>1917.986285</v>
      </c>
      <c r="D145" s="3732">
        <f t="shared" si="2"/>
        <v>474.08052600000019</v>
      </c>
      <c r="E145" s="166"/>
      <c r="F145" s="166"/>
      <c r="G145" s="1869"/>
      <c r="H145" s="3068"/>
      <c r="I145" s="1869"/>
      <c r="J145" s="1869"/>
      <c r="K145" s="166"/>
    </row>
    <row r="146" spans="1:11">
      <c r="A146" s="53">
        <v>2001.05</v>
      </c>
      <c r="B146" s="141">
        <v>2567.3646100000001</v>
      </c>
      <c r="C146" s="223">
        <v>2080.7795470000001</v>
      </c>
      <c r="D146" s="3732">
        <f t="shared" si="2"/>
        <v>486.58506299999999</v>
      </c>
      <c r="E146" s="166"/>
      <c r="F146" s="166"/>
      <c r="G146" s="1869"/>
      <c r="H146" s="3068"/>
      <c r="I146" s="1869"/>
      <c r="J146" s="1869"/>
      <c r="K146" s="166"/>
    </row>
    <row r="147" spans="1:11">
      <c r="A147" s="53">
        <v>2001.06</v>
      </c>
      <c r="B147" s="141">
        <v>2544.9339629999999</v>
      </c>
      <c r="C147" s="223">
        <v>1777.331684</v>
      </c>
      <c r="D147" s="3732">
        <f t="shared" si="2"/>
        <v>767.60227899999995</v>
      </c>
      <c r="E147" s="166"/>
      <c r="F147" s="166"/>
      <c r="G147" s="1869"/>
      <c r="H147" s="3068"/>
      <c r="I147" s="1869"/>
      <c r="J147" s="1869"/>
      <c r="K147" s="166"/>
    </row>
    <row r="148" spans="1:11">
      <c r="A148" s="53">
        <v>2001.07</v>
      </c>
      <c r="B148" s="141">
        <v>2353.0307520000001</v>
      </c>
      <c r="C148" s="223">
        <v>1769.34889</v>
      </c>
      <c r="D148" s="3732">
        <f t="shared" si="2"/>
        <v>583.68186200000014</v>
      </c>
      <c r="E148" s="166"/>
      <c r="F148" s="166"/>
      <c r="G148" s="1869"/>
      <c r="H148" s="3068"/>
      <c r="I148" s="1869"/>
      <c r="J148" s="1869"/>
      <c r="K148" s="166"/>
    </row>
    <row r="149" spans="1:11">
      <c r="A149" s="53">
        <v>2001.08</v>
      </c>
      <c r="B149" s="141">
        <v>2510.006543</v>
      </c>
      <c r="C149" s="223">
        <v>1822.2609299999999</v>
      </c>
      <c r="D149" s="3732">
        <f t="shared" si="2"/>
        <v>687.74561300000005</v>
      </c>
      <c r="E149" s="166"/>
      <c r="F149" s="166"/>
      <c r="G149" s="1869"/>
      <c r="H149" s="3068"/>
      <c r="I149" s="1869"/>
      <c r="J149" s="1869"/>
      <c r="K149" s="166"/>
    </row>
    <row r="150" spans="1:11">
      <c r="A150" s="53">
        <v>2001.09</v>
      </c>
      <c r="B150" s="141">
        <v>2192.2744640000001</v>
      </c>
      <c r="C150" s="223">
        <v>1431.4927150000001</v>
      </c>
      <c r="D150" s="3732">
        <f t="shared" si="2"/>
        <v>760.78174899999999</v>
      </c>
      <c r="E150" s="166"/>
      <c r="F150" s="166"/>
      <c r="G150" s="1869"/>
      <c r="H150" s="3068"/>
      <c r="I150" s="1869"/>
      <c r="J150" s="1869"/>
      <c r="K150" s="166"/>
    </row>
    <row r="151" spans="1:11">
      <c r="A151" s="53">
        <v>2001.1</v>
      </c>
      <c r="B151" s="141">
        <v>2050.4853579999999</v>
      </c>
      <c r="C151" s="223">
        <v>1511.8360869999999</v>
      </c>
      <c r="D151" s="3732">
        <f t="shared" si="2"/>
        <v>538.649271</v>
      </c>
      <c r="E151" s="166"/>
      <c r="F151" s="166"/>
      <c r="G151" s="1869"/>
      <c r="H151" s="3068"/>
      <c r="I151" s="1869"/>
      <c r="J151" s="1869"/>
      <c r="K151" s="166"/>
    </row>
    <row r="152" spans="1:11">
      <c r="A152" s="53">
        <v>2001.11</v>
      </c>
      <c r="B152" s="141">
        <v>2070.3030610000001</v>
      </c>
      <c r="C152" s="223">
        <v>1333.733876</v>
      </c>
      <c r="D152" s="3732">
        <f t="shared" si="2"/>
        <v>736.56918500000006</v>
      </c>
      <c r="E152" s="166"/>
      <c r="F152" s="166"/>
      <c r="G152" s="1869"/>
      <c r="H152" s="3068"/>
      <c r="I152" s="1869"/>
      <c r="J152" s="1869"/>
      <c r="K152" s="166"/>
    </row>
    <row r="153" spans="1:11">
      <c r="A153" s="53">
        <v>2001.12</v>
      </c>
      <c r="B153" s="141">
        <v>1954.0688829999999</v>
      </c>
      <c r="C153" s="223">
        <v>931.90529000000004</v>
      </c>
      <c r="D153" s="3732">
        <f t="shared" si="2"/>
        <v>1022.1635929999999</v>
      </c>
      <c r="E153" s="166"/>
      <c r="F153" s="166"/>
      <c r="G153" s="1869"/>
      <c r="H153" s="3068"/>
      <c r="I153" s="1869"/>
      <c r="J153" s="1869"/>
      <c r="K153" s="166"/>
    </row>
    <row r="154" spans="1:11">
      <c r="A154" s="167">
        <v>2002.01</v>
      </c>
      <c r="B154" s="141">
        <v>1817.8217689999999</v>
      </c>
      <c r="C154" s="223">
        <v>850.57991300000003</v>
      </c>
      <c r="D154" s="3732">
        <f t="shared" si="2"/>
        <v>967.24185599999987</v>
      </c>
      <c r="E154" s="166"/>
      <c r="F154" s="954"/>
      <c r="G154" s="1869"/>
      <c r="H154" s="3068"/>
      <c r="I154" s="166"/>
      <c r="J154" s="2492"/>
      <c r="K154" s="2492"/>
    </row>
    <row r="155" spans="1:11">
      <c r="A155" s="167">
        <v>2002.02</v>
      </c>
      <c r="B155" s="141">
        <v>1781.933597</v>
      </c>
      <c r="C155" s="223">
        <v>627.75957800000003</v>
      </c>
      <c r="D155" s="3732">
        <f t="shared" si="2"/>
        <v>1154.174019</v>
      </c>
      <c r="E155" s="166"/>
      <c r="F155" s="954"/>
      <c r="G155" s="1869"/>
      <c r="H155" s="3068"/>
      <c r="I155" s="166"/>
      <c r="J155" s="1869"/>
      <c r="K155" s="2492"/>
    </row>
    <row r="156" spans="1:11">
      <c r="A156" s="167">
        <v>2002.03</v>
      </c>
      <c r="B156" s="141">
        <v>2112.3979880000002</v>
      </c>
      <c r="C156" s="223">
        <v>592.89003000000002</v>
      </c>
      <c r="D156" s="3732">
        <f t="shared" si="2"/>
        <v>1519.5079580000001</v>
      </c>
      <c r="E156" s="166"/>
      <c r="F156" s="954"/>
      <c r="G156" s="1869"/>
      <c r="H156" s="3068"/>
      <c r="I156" s="166"/>
      <c r="J156" s="1869"/>
      <c r="K156" s="2492"/>
    </row>
    <row r="157" spans="1:11">
      <c r="A157" s="167">
        <v>2002.04</v>
      </c>
      <c r="B157" s="141">
        <v>2181.683896</v>
      </c>
      <c r="C157" s="223">
        <v>612.00009699999998</v>
      </c>
      <c r="D157" s="3732">
        <f t="shared" si="2"/>
        <v>1569.6837989999999</v>
      </c>
      <c r="E157" s="166"/>
      <c r="F157" s="954"/>
      <c r="G157" s="1869"/>
      <c r="H157" s="3068"/>
      <c r="I157" s="166"/>
      <c r="J157" s="1869"/>
      <c r="K157" s="2492"/>
    </row>
    <row r="158" spans="1:11">
      <c r="A158" s="167">
        <v>2002.05</v>
      </c>
      <c r="B158" s="141">
        <v>2369.474217</v>
      </c>
      <c r="C158" s="223">
        <v>861.77280099999996</v>
      </c>
      <c r="D158" s="3732">
        <f t="shared" si="2"/>
        <v>1507.7014159999999</v>
      </c>
      <c r="E158" s="166"/>
      <c r="F158" s="954"/>
      <c r="G158" s="1869"/>
      <c r="H158" s="3068"/>
      <c r="I158" s="166"/>
      <c r="J158" s="1869"/>
      <c r="K158" s="2492"/>
    </row>
    <row r="159" spans="1:11">
      <c r="A159" s="167">
        <v>2002.06</v>
      </c>
      <c r="B159" s="141">
        <v>2226.4524000000001</v>
      </c>
      <c r="C159" s="223">
        <v>682.74186699999996</v>
      </c>
      <c r="D159" s="3732">
        <f t="shared" si="2"/>
        <v>1543.7105330000002</v>
      </c>
      <c r="E159" s="166"/>
      <c r="F159" s="954"/>
      <c r="G159" s="1869"/>
      <c r="H159" s="3068"/>
      <c r="I159" s="166"/>
      <c r="J159" s="1869"/>
      <c r="K159" s="2492"/>
    </row>
    <row r="160" spans="1:11">
      <c r="A160" s="167">
        <v>2002.07</v>
      </c>
      <c r="B160" s="141">
        <v>2244.5326169999998</v>
      </c>
      <c r="C160" s="223">
        <v>811.04761900000005</v>
      </c>
      <c r="D160" s="3732">
        <f t="shared" si="2"/>
        <v>1433.4849979999999</v>
      </c>
      <c r="E160" s="166"/>
      <c r="F160" s="954"/>
      <c r="G160" s="1869"/>
      <c r="H160" s="3068"/>
      <c r="I160" s="166"/>
      <c r="J160" s="1869"/>
      <c r="K160" s="2492"/>
    </row>
    <row r="161" spans="1:11">
      <c r="A161" s="167">
        <v>2002.08</v>
      </c>
      <c r="B161" s="141">
        <v>2176.7728699999998</v>
      </c>
      <c r="C161" s="223">
        <v>762.01744199999996</v>
      </c>
      <c r="D161" s="3732">
        <f t="shared" si="2"/>
        <v>1414.7554279999999</v>
      </c>
      <c r="E161" s="166"/>
      <c r="F161" s="954"/>
      <c r="G161" s="1869"/>
      <c r="H161" s="3068"/>
      <c r="I161" s="166"/>
      <c r="J161" s="1869"/>
      <c r="K161" s="2492"/>
    </row>
    <row r="162" spans="1:11">
      <c r="A162" s="167">
        <v>2002.09</v>
      </c>
      <c r="B162" s="141">
        <v>2296.6524239999999</v>
      </c>
      <c r="C162" s="223">
        <v>719.03624000000002</v>
      </c>
      <c r="D162" s="3732">
        <f t="shared" si="2"/>
        <v>1577.616184</v>
      </c>
      <c r="E162" s="166"/>
      <c r="F162" s="954"/>
      <c r="G162" s="1869"/>
      <c r="H162" s="3068"/>
      <c r="I162" s="166"/>
      <c r="J162" s="1869"/>
      <c r="K162" s="2492"/>
    </row>
    <row r="163" spans="1:11">
      <c r="A163" s="167">
        <v>2002.1</v>
      </c>
      <c r="B163" s="141">
        <v>2258.078685</v>
      </c>
      <c r="C163" s="223">
        <v>875.88799399999994</v>
      </c>
      <c r="D163" s="3732">
        <f t="shared" si="2"/>
        <v>1382.190691</v>
      </c>
      <c r="E163" s="166"/>
      <c r="F163" s="954"/>
      <c r="G163" s="1869"/>
      <c r="H163" s="3068"/>
      <c r="I163" s="166"/>
      <c r="J163" s="1869"/>
      <c r="K163" s="166"/>
    </row>
    <row r="164" spans="1:11">
      <c r="A164" s="167">
        <v>2002.11</v>
      </c>
      <c r="B164" s="141">
        <v>2160.4590189999999</v>
      </c>
      <c r="C164" s="223">
        <v>808.92585099999997</v>
      </c>
      <c r="D164" s="3732">
        <f t="shared" si="2"/>
        <v>1351.5331679999999</v>
      </c>
      <c r="E164" s="166"/>
      <c r="F164" s="954"/>
      <c r="G164" s="1869"/>
      <c r="H164" s="3068"/>
      <c r="I164" s="166"/>
      <c r="J164" s="1869"/>
      <c r="K164" s="166"/>
    </row>
    <row r="165" spans="1:11">
      <c r="A165" s="167">
        <v>2002.12</v>
      </c>
      <c r="B165" s="141">
        <v>2024.3392289999999</v>
      </c>
      <c r="C165" s="223">
        <v>784.88592100000005</v>
      </c>
      <c r="D165" s="3732">
        <f t="shared" si="2"/>
        <v>1239.4533079999999</v>
      </c>
      <c r="E165" s="166"/>
      <c r="F165" s="954"/>
      <c r="G165" s="1869"/>
      <c r="H165" s="3068"/>
      <c r="I165" s="166"/>
      <c r="J165" s="2492"/>
      <c r="K165" s="166"/>
    </row>
    <row r="166" spans="1:11">
      <c r="A166" s="167">
        <v>2003.01</v>
      </c>
      <c r="B166" s="141">
        <v>2194.6001150000002</v>
      </c>
      <c r="C166" s="223">
        <v>798.96511299999997</v>
      </c>
      <c r="D166" s="3732">
        <f t="shared" si="2"/>
        <v>1395.6350020000002</v>
      </c>
      <c r="E166" s="166"/>
      <c r="F166" s="954"/>
      <c r="G166" s="1869"/>
      <c r="H166" s="3068"/>
      <c r="I166" s="166"/>
      <c r="J166" s="1869"/>
      <c r="K166" s="2492"/>
    </row>
    <row r="167" spans="1:11">
      <c r="A167" s="167">
        <v>2003.02</v>
      </c>
      <c r="B167" s="141">
        <v>2128.3480989999998</v>
      </c>
      <c r="C167" s="223">
        <v>776.89723600000002</v>
      </c>
      <c r="D167" s="3732">
        <f t="shared" si="2"/>
        <v>1351.4508629999998</v>
      </c>
      <c r="E167" s="166"/>
      <c r="F167" s="954"/>
      <c r="G167" s="1869"/>
      <c r="H167" s="3068"/>
      <c r="I167" s="166"/>
      <c r="J167" s="1869"/>
      <c r="K167" s="166"/>
    </row>
    <row r="168" spans="1:11">
      <c r="A168" s="167">
        <v>2003.03</v>
      </c>
      <c r="B168" s="141">
        <v>2252.1406539999998</v>
      </c>
      <c r="C168" s="223">
        <v>933.67129199999999</v>
      </c>
      <c r="D168" s="3732">
        <f t="shared" si="2"/>
        <v>1318.4693619999998</v>
      </c>
      <c r="E168" s="166"/>
      <c r="F168" s="954"/>
      <c r="G168" s="1869"/>
      <c r="H168" s="3068"/>
      <c r="I168" s="166"/>
      <c r="J168" s="1869"/>
      <c r="K168" s="166"/>
    </row>
    <row r="169" spans="1:11">
      <c r="A169" s="167">
        <v>2003.04</v>
      </c>
      <c r="B169" s="141">
        <v>2458.7715859999998</v>
      </c>
      <c r="C169" s="223">
        <v>1109.9003130000001</v>
      </c>
      <c r="D169" s="3732">
        <f t="shared" si="2"/>
        <v>1348.8712729999997</v>
      </c>
      <c r="E169" s="166"/>
      <c r="F169" s="954"/>
      <c r="G169" s="1869"/>
      <c r="H169" s="3068"/>
      <c r="I169" s="166"/>
      <c r="J169" s="1869"/>
      <c r="K169" s="166"/>
    </row>
    <row r="170" spans="1:11">
      <c r="A170" s="167">
        <v>2003.05</v>
      </c>
      <c r="B170" s="141">
        <v>3122.970139</v>
      </c>
      <c r="C170" s="223">
        <v>1085.0734950000001</v>
      </c>
      <c r="D170" s="3732">
        <f t="shared" si="2"/>
        <v>2037.8966439999999</v>
      </c>
      <c r="E170" s="166"/>
      <c r="F170" s="954"/>
      <c r="G170" s="1869"/>
      <c r="H170" s="3068"/>
      <c r="I170" s="166"/>
      <c r="J170" s="1869"/>
      <c r="K170" s="166"/>
    </row>
    <row r="171" spans="1:11">
      <c r="A171" s="167">
        <v>2003.06</v>
      </c>
      <c r="B171" s="141">
        <v>2874.3022470000001</v>
      </c>
      <c r="C171" s="223">
        <v>1149.080471</v>
      </c>
      <c r="D171" s="3732">
        <f t="shared" si="2"/>
        <v>1725.2217760000001</v>
      </c>
      <c r="E171" s="166"/>
      <c r="F171" s="954"/>
      <c r="G171" s="1869"/>
      <c r="H171" s="3068"/>
      <c r="I171" s="166"/>
      <c r="J171" s="1869"/>
      <c r="K171" s="166"/>
    </row>
    <row r="172" spans="1:11">
      <c r="A172" s="167">
        <v>2003.07</v>
      </c>
      <c r="B172" s="141">
        <v>2835.561342</v>
      </c>
      <c r="C172" s="223">
        <v>1259.782508</v>
      </c>
      <c r="D172" s="3732">
        <f t="shared" si="2"/>
        <v>1575.778834</v>
      </c>
      <c r="E172" s="166"/>
      <c r="F172" s="954"/>
      <c r="G172" s="1869"/>
      <c r="H172" s="3068"/>
      <c r="I172" s="166"/>
      <c r="J172" s="1869"/>
      <c r="K172" s="166"/>
    </row>
    <row r="173" spans="1:11">
      <c r="A173" s="167">
        <v>2003.08</v>
      </c>
      <c r="B173" s="141">
        <v>2346.896698</v>
      </c>
      <c r="C173" s="223">
        <v>1135.068814</v>
      </c>
      <c r="D173" s="3732">
        <f t="shared" si="2"/>
        <v>1211.827884</v>
      </c>
      <c r="E173" s="166"/>
      <c r="F173" s="954"/>
      <c r="G173" s="1869"/>
      <c r="H173" s="3068"/>
      <c r="I173" s="166"/>
      <c r="J173" s="1869"/>
      <c r="K173" s="166"/>
    </row>
    <row r="174" spans="1:11">
      <c r="A174" s="167">
        <v>2003.09</v>
      </c>
      <c r="B174" s="141">
        <v>2368.509313</v>
      </c>
      <c r="C174" s="223">
        <v>1318.2235499999999</v>
      </c>
      <c r="D174" s="3732">
        <f t="shared" si="2"/>
        <v>1050.2857630000001</v>
      </c>
      <c r="E174" s="166"/>
      <c r="F174" s="954"/>
      <c r="G174" s="1869"/>
      <c r="H174" s="3068"/>
      <c r="I174" s="166"/>
      <c r="J174" s="1869"/>
      <c r="K174" s="166"/>
    </row>
    <row r="175" spans="1:11">
      <c r="A175" s="167">
        <v>2003.1</v>
      </c>
      <c r="B175" s="141">
        <v>2441.1941980000001</v>
      </c>
      <c r="C175" s="223">
        <v>1439.5991059999999</v>
      </c>
      <c r="D175" s="3732">
        <f t="shared" si="2"/>
        <v>1001.5950920000002</v>
      </c>
      <c r="E175" s="166"/>
      <c r="F175" s="954"/>
      <c r="G175" s="1869"/>
      <c r="H175" s="3068"/>
      <c r="I175" s="166"/>
      <c r="J175" s="1869"/>
      <c r="K175" s="166"/>
    </row>
    <row r="176" spans="1:11">
      <c r="A176" s="167">
        <v>2003.11</v>
      </c>
      <c r="B176" s="141">
        <v>2453.730904</v>
      </c>
      <c r="C176" s="223">
        <v>1336.2258019999999</v>
      </c>
      <c r="D176" s="3732">
        <f t="shared" si="2"/>
        <v>1117.5051020000001</v>
      </c>
      <c r="E176" s="166"/>
      <c r="F176" s="954"/>
      <c r="G176" s="1869"/>
      <c r="H176" s="3068"/>
      <c r="I176" s="166"/>
      <c r="J176" s="1869"/>
      <c r="K176" s="166"/>
    </row>
    <row r="177" spans="1:11">
      <c r="A177" s="167">
        <v>2003.12</v>
      </c>
      <c r="B177" s="141">
        <v>2461.72732</v>
      </c>
      <c r="C177" s="223">
        <v>1508.2864360000001</v>
      </c>
      <c r="D177" s="3732">
        <f t="shared" si="2"/>
        <v>953.44088399999987</v>
      </c>
      <c r="E177" s="166"/>
      <c r="F177" s="954"/>
      <c r="G177" s="1869"/>
      <c r="H177" s="3068"/>
      <c r="I177" s="166"/>
      <c r="J177" s="2492"/>
      <c r="K177" s="166"/>
    </row>
    <row r="178" spans="1:11">
      <c r="A178" s="167">
        <v>2004.01</v>
      </c>
      <c r="B178" s="141">
        <v>2322.450679</v>
      </c>
      <c r="C178" s="223">
        <v>1608.575067</v>
      </c>
      <c r="D178" s="3732">
        <f t="shared" si="2"/>
        <v>713.87561200000005</v>
      </c>
      <c r="E178" s="166"/>
      <c r="F178" s="954"/>
      <c r="G178" s="1869"/>
      <c r="H178" s="3068"/>
      <c r="I178" s="1869"/>
      <c r="J178" s="1869"/>
      <c r="K178" s="2492"/>
    </row>
    <row r="179" spans="1:11">
      <c r="A179" s="167">
        <v>2004.02</v>
      </c>
      <c r="B179" s="141">
        <v>2395.0351390000001</v>
      </c>
      <c r="C179" s="223">
        <v>1363.7314309999999</v>
      </c>
      <c r="D179" s="3732">
        <f t="shared" si="2"/>
        <v>1031.3037080000001</v>
      </c>
      <c r="E179" s="166"/>
      <c r="F179" s="954"/>
      <c r="G179" s="1869"/>
      <c r="H179" s="3068"/>
      <c r="I179" s="1869"/>
      <c r="J179" s="1869"/>
      <c r="K179" s="166"/>
    </row>
    <row r="180" spans="1:11">
      <c r="A180" s="167">
        <v>2004.03</v>
      </c>
      <c r="B180" s="141">
        <v>2657.5737429999999</v>
      </c>
      <c r="C180" s="223">
        <v>1690.0581629999999</v>
      </c>
      <c r="D180" s="3732">
        <f t="shared" si="2"/>
        <v>967.51558</v>
      </c>
      <c r="E180" s="166"/>
      <c r="F180" s="954"/>
      <c r="G180" s="1869"/>
      <c r="H180" s="3068"/>
      <c r="I180" s="1869"/>
      <c r="J180" s="1869"/>
      <c r="K180" s="166"/>
    </row>
    <row r="181" spans="1:11">
      <c r="A181" s="167">
        <v>2004.04</v>
      </c>
      <c r="B181" s="141">
        <v>3039.7478639999999</v>
      </c>
      <c r="C181" s="223">
        <v>1650.8768689999999</v>
      </c>
      <c r="D181" s="3732">
        <f t="shared" si="2"/>
        <v>1388.870995</v>
      </c>
      <c r="E181" s="166"/>
      <c r="F181" s="954"/>
      <c r="G181" s="1869"/>
      <c r="H181" s="3068"/>
      <c r="I181" s="1869"/>
      <c r="J181" s="1869"/>
      <c r="K181" s="166"/>
    </row>
    <row r="182" spans="1:11">
      <c r="A182" s="167">
        <v>2004.05</v>
      </c>
      <c r="B182" s="141">
        <v>3394.3957730000002</v>
      </c>
      <c r="C182" s="223">
        <v>1792.15734</v>
      </c>
      <c r="D182" s="3732">
        <f t="shared" si="2"/>
        <v>1602.2384330000002</v>
      </c>
      <c r="E182" s="166"/>
      <c r="F182" s="954"/>
      <c r="G182" s="1869"/>
      <c r="H182" s="3068"/>
      <c r="I182" s="1869"/>
      <c r="J182" s="1869"/>
      <c r="K182" s="166"/>
    </row>
    <row r="183" spans="1:11">
      <c r="A183" s="167">
        <v>2004.06</v>
      </c>
      <c r="B183" s="141">
        <v>2950.6950350000002</v>
      </c>
      <c r="C183" s="223">
        <v>2039.3397990000001</v>
      </c>
      <c r="D183" s="3732">
        <f t="shared" si="2"/>
        <v>911.3552360000001</v>
      </c>
      <c r="E183" s="166"/>
      <c r="F183" s="954"/>
      <c r="G183" s="1869"/>
      <c r="H183" s="3068"/>
      <c r="I183" s="1869"/>
      <c r="J183" s="1869"/>
      <c r="K183" s="166"/>
    </row>
    <row r="184" spans="1:11">
      <c r="A184" s="167">
        <v>2004.07</v>
      </c>
      <c r="B184" s="141">
        <v>3034.2881120000002</v>
      </c>
      <c r="C184" s="223">
        <v>1969.8274690000001</v>
      </c>
      <c r="D184" s="3732">
        <f t="shared" si="2"/>
        <v>1064.4606430000001</v>
      </c>
      <c r="E184" s="166"/>
      <c r="F184" s="954"/>
      <c r="G184" s="1869"/>
      <c r="H184" s="3068"/>
      <c r="I184" s="1869"/>
      <c r="J184" s="1869"/>
      <c r="K184" s="166"/>
    </row>
    <row r="185" spans="1:11">
      <c r="A185" s="167">
        <v>2004.08</v>
      </c>
      <c r="B185" s="141">
        <v>2944.9535169999999</v>
      </c>
      <c r="C185" s="223">
        <v>2031.629332</v>
      </c>
      <c r="D185" s="3732">
        <f t="shared" si="2"/>
        <v>913.32418499999994</v>
      </c>
      <c r="E185" s="166"/>
      <c r="F185" s="954"/>
      <c r="G185" s="1869"/>
      <c r="H185" s="3068"/>
      <c r="I185" s="1869"/>
      <c r="J185" s="1869"/>
      <c r="K185" s="166"/>
    </row>
    <row r="186" spans="1:11">
      <c r="A186" s="167">
        <v>2004.09</v>
      </c>
      <c r="B186" s="141">
        <v>3001.937097</v>
      </c>
      <c r="C186" s="223">
        <v>2025.2212979999999</v>
      </c>
      <c r="D186" s="3732">
        <f t="shared" si="2"/>
        <v>976.71579900000006</v>
      </c>
      <c r="E186" s="166"/>
      <c r="F186" s="954"/>
      <c r="G186" s="1869"/>
      <c r="H186" s="3068"/>
      <c r="I186" s="1869"/>
      <c r="J186" s="1869"/>
      <c r="K186" s="166"/>
    </row>
    <row r="187" spans="1:11">
      <c r="A187" s="167">
        <v>2004.1</v>
      </c>
      <c r="B187" s="141">
        <v>2830.652208</v>
      </c>
      <c r="C187" s="223">
        <v>1972.50071</v>
      </c>
      <c r="D187" s="3732">
        <f t="shared" si="2"/>
        <v>858.15149799999995</v>
      </c>
      <c r="E187" s="166"/>
      <c r="F187" s="954"/>
      <c r="G187" s="1869"/>
      <c r="H187" s="3068"/>
      <c r="I187" s="1869"/>
      <c r="J187" s="1869"/>
      <c r="K187" s="166"/>
    </row>
    <row r="188" spans="1:11">
      <c r="A188" s="167">
        <v>2004.11</v>
      </c>
      <c r="B188" s="141">
        <v>3041.8617730000001</v>
      </c>
      <c r="C188" s="223">
        <v>2192.6179219999999</v>
      </c>
      <c r="D188" s="3732">
        <f t="shared" si="2"/>
        <v>849.24385100000018</v>
      </c>
      <c r="E188" s="166"/>
      <c r="F188" s="954"/>
      <c r="G188" s="1869"/>
      <c r="H188" s="3068"/>
      <c r="I188" s="1869"/>
      <c r="J188" s="1869"/>
      <c r="K188" s="166"/>
    </row>
    <row r="189" spans="1:11" ht="15">
      <c r="A189" s="167">
        <v>2004.12</v>
      </c>
      <c r="B189" s="141">
        <v>2962.1427619999999</v>
      </c>
      <c r="C189" s="223">
        <v>2108.7459950000002</v>
      </c>
      <c r="D189" s="3732">
        <f t="shared" si="2"/>
        <v>853.39676699999973</v>
      </c>
      <c r="E189" s="166"/>
      <c r="F189" s="954"/>
      <c r="G189" s="1869"/>
      <c r="H189" s="3068"/>
      <c r="I189" s="2546"/>
      <c r="J189" s="2492"/>
      <c r="K189" s="166"/>
    </row>
    <row r="190" spans="1:11">
      <c r="A190" s="167">
        <v>2005.01</v>
      </c>
      <c r="B190" s="141">
        <v>2781.1053847200001</v>
      </c>
      <c r="C190" s="223">
        <v>1901.0131532600001</v>
      </c>
      <c r="D190" s="3732">
        <f t="shared" si="2"/>
        <v>880.09223145999999</v>
      </c>
      <c r="E190" s="166"/>
      <c r="F190" s="954"/>
      <c r="G190" s="1869"/>
      <c r="H190" s="3068"/>
      <c r="I190" s="1869"/>
      <c r="J190" s="1869"/>
      <c r="K190" s="2492"/>
    </row>
    <row r="191" spans="1:11">
      <c r="A191" s="167">
        <v>2005.02</v>
      </c>
      <c r="B191" s="141">
        <v>2606.2557954200001</v>
      </c>
      <c r="C191" s="223">
        <v>1867.28695072</v>
      </c>
      <c r="D191" s="3732">
        <f t="shared" si="2"/>
        <v>738.96884470000009</v>
      </c>
      <c r="E191" s="166"/>
      <c r="F191" s="954"/>
      <c r="G191" s="1869"/>
      <c r="H191" s="3068"/>
      <c r="I191" s="1869"/>
      <c r="J191" s="1869"/>
      <c r="K191" s="166"/>
    </row>
    <row r="192" spans="1:11">
      <c r="A192" s="167">
        <v>2005.03</v>
      </c>
      <c r="B192" s="141">
        <v>3054.4342241700001</v>
      </c>
      <c r="C192" s="223">
        <v>2197.56781069</v>
      </c>
      <c r="D192" s="3732">
        <f t="shared" si="2"/>
        <v>856.86641348000012</v>
      </c>
      <c r="E192" s="166"/>
      <c r="F192" s="954"/>
      <c r="G192" s="1869"/>
      <c r="H192" s="3068"/>
      <c r="I192" s="1869"/>
      <c r="J192" s="1869"/>
      <c r="K192" s="166"/>
    </row>
    <row r="193" spans="1:11">
      <c r="A193" s="167">
        <v>2005.04</v>
      </c>
      <c r="B193" s="141">
        <v>3560.85679179</v>
      </c>
      <c r="C193" s="223">
        <v>2379.9143108899998</v>
      </c>
      <c r="D193" s="3732">
        <f t="shared" si="2"/>
        <v>1180.9424809000002</v>
      </c>
      <c r="E193" s="166"/>
      <c r="F193" s="954"/>
      <c r="G193" s="1869"/>
      <c r="H193" s="3068"/>
      <c r="I193" s="1869"/>
      <c r="J193" s="1869"/>
      <c r="K193" s="166"/>
    </row>
    <row r="194" spans="1:11">
      <c r="A194" s="167">
        <v>2005.05</v>
      </c>
      <c r="B194" s="141">
        <v>3695.2891755800001</v>
      </c>
      <c r="C194" s="223">
        <v>2475.9666818800001</v>
      </c>
      <c r="D194" s="3732">
        <f t="shared" si="2"/>
        <v>1219.3224937</v>
      </c>
      <c r="E194" s="166"/>
      <c r="F194" s="954"/>
      <c r="G194" s="1869"/>
      <c r="H194" s="3068"/>
      <c r="I194" s="1869"/>
      <c r="J194" s="1869"/>
      <c r="K194" s="166"/>
    </row>
    <row r="195" spans="1:11">
      <c r="A195" s="167">
        <v>2005.06</v>
      </c>
      <c r="B195" s="141">
        <v>3450.19364309</v>
      </c>
      <c r="C195" s="223">
        <v>2723.61559605</v>
      </c>
      <c r="D195" s="3732">
        <f t="shared" si="2"/>
        <v>726.57804704</v>
      </c>
      <c r="E195" s="166"/>
      <c r="F195" s="954"/>
      <c r="G195" s="1869"/>
      <c r="H195" s="3068"/>
      <c r="I195" s="1869"/>
      <c r="J195" s="1869"/>
      <c r="K195" s="166"/>
    </row>
    <row r="196" spans="1:11">
      <c r="A196" s="167">
        <v>2005.07</v>
      </c>
      <c r="B196" s="141">
        <v>3601.0016308300001</v>
      </c>
      <c r="C196" s="223">
        <v>2349.0349482500001</v>
      </c>
      <c r="D196" s="3732">
        <f t="shared" si="2"/>
        <v>1251.96668258</v>
      </c>
      <c r="E196" s="166"/>
      <c r="F196" s="954"/>
      <c r="G196" s="1869"/>
      <c r="H196" s="3068"/>
      <c r="I196" s="1869"/>
      <c r="J196" s="1869"/>
      <c r="K196" s="166"/>
    </row>
    <row r="197" spans="1:11">
      <c r="A197" s="167">
        <v>2005.08</v>
      </c>
      <c r="B197" s="141">
        <v>3837.3649699299999</v>
      </c>
      <c r="C197" s="223">
        <v>2625.6684132800001</v>
      </c>
      <c r="D197" s="3732">
        <f t="shared" si="2"/>
        <v>1211.6965566499998</v>
      </c>
      <c r="E197" s="166"/>
      <c r="F197" s="954"/>
      <c r="G197" s="1869"/>
      <c r="H197" s="3068"/>
      <c r="I197" s="1869"/>
      <c r="J197" s="1869"/>
      <c r="K197" s="166"/>
    </row>
    <row r="198" spans="1:11">
      <c r="A198" s="167">
        <v>2005.09</v>
      </c>
      <c r="B198" s="141">
        <v>3482.92912183</v>
      </c>
      <c r="C198" s="223">
        <v>2468.0839231300001</v>
      </c>
      <c r="D198" s="3732">
        <f t="shared" si="2"/>
        <v>1014.8451986999999</v>
      </c>
      <c r="E198" s="166"/>
      <c r="F198" s="954"/>
      <c r="G198" s="1869"/>
      <c r="H198" s="3068"/>
      <c r="I198" s="1869"/>
      <c r="J198" s="1869"/>
      <c r="K198" s="166"/>
    </row>
    <row r="199" spans="1:11">
      <c r="A199" s="167">
        <v>2005.1</v>
      </c>
      <c r="B199" s="141">
        <v>3398.85660048</v>
      </c>
      <c r="C199" s="223">
        <v>2502.6768854100001</v>
      </c>
      <c r="D199" s="3732">
        <f t="shared" si="2"/>
        <v>896.17971506999993</v>
      </c>
      <c r="E199" s="166"/>
      <c r="F199" s="954"/>
      <c r="G199" s="1869"/>
      <c r="H199" s="3068"/>
      <c r="I199" s="1869"/>
      <c r="J199" s="1869"/>
      <c r="K199" s="166"/>
    </row>
    <row r="200" spans="1:11">
      <c r="A200" s="167">
        <v>2005.11</v>
      </c>
      <c r="B200" s="141">
        <v>3273.9067319300002</v>
      </c>
      <c r="C200" s="223">
        <v>2701.1267154100001</v>
      </c>
      <c r="D200" s="3732">
        <f t="shared" si="2"/>
        <v>572.78001652000012</v>
      </c>
      <c r="E200" s="166"/>
      <c r="F200" s="954"/>
      <c r="G200" s="1869"/>
      <c r="H200" s="3068"/>
      <c r="I200" s="1869"/>
      <c r="J200" s="1869"/>
      <c r="K200" s="166"/>
    </row>
    <row r="201" spans="1:11" ht="15">
      <c r="A201" s="167">
        <v>2005.12</v>
      </c>
      <c r="B201" s="141">
        <v>3644.5675552299999</v>
      </c>
      <c r="C201" s="223">
        <v>2494.9341445599998</v>
      </c>
      <c r="D201" s="3732">
        <f t="shared" si="2"/>
        <v>1149.6334106700001</v>
      </c>
      <c r="E201" s="166"/>
      <c r="F201" s="954"/>
      <c r="G201" s="1869"/>
      <c r="H201" s="3068"/>
      <c r="I201" s="2546"/>
      <c r="J201" s="2492"/>
      <c r="K201" s="166"/>
    </row>
    <row r="202" spans="1:11">
      <c r="A202" s="167">
        <v>2006.01</v>
      </c>
      <c r="B202" s="141">
        <v>3187.53118885</v>
      </c>
      <c r="C202" s="223">
        <v>2323.6381569099999</v>
      </c>
      <c r="D202" s="3732">
        <f t="shared" si="2"/>
        <v>863.89303194000013</v>
      </c>
      <c r="E202" s="166"/>
      <c r="F202" s="954"/>
      <c r="G202" s="1869"/>
      <c r="H202" s="3068"/>
      <c r="I202" s="1869"/>
      <c r="J202" s="1869"/>
      <c r="K202" s="2492"/>
    </row>
    <row r="203" spans="1:11">
      <c r="A203" s="167">
        <v>2006.02</v>
      </c>
      <c r="B203" s="141">
        <v>3089.94789967</v>
      </c>
      <c r="C203" s="223">
        <v>2326.0386368899999</v>
      </c>
      <c r="D203" s="3732">
        <f t="shared" ref="D203:D266" si="3">B203-C203</f>
        <v>763.90926278000006</v>
      </c>
      <c r="E203" s="166"/>
      <c r="F203" s="954"/>
      <c r="G203" s="1869"/>
      <c r="H203" s="3068"/>
      <c r="I203" s="1869"/>
      <c r="J203" s="1869"/>
      <c r="K203" s="166"/>
    </row>
    <row r="204" spans="1:11">
      <c r="A204" s="167">
        <v>2006.03</v>
      </c>
      <c r="B204" s="141">
        <v>3647.9907191299999</v>
      </c>
      <c r="C204" s="223">
        <v>2722.1056993100001</v>
      </c>
      <c r="D204" s="3732">
        <f t="shared" si="3"/>
        <v>925.8850198199998</v>
      </c>
      <c r="E204" s="166"/>
      <c r="F204" s="954"/>
      <c r="G204" s="1869"/>
      <c r="H204" s="3068"/>
      <c r="I204" s="1869"/>
      <c r="J204" s="1869"/>
      <c r="K204" s="166"/>
    </row>
    <row r="205" spans="1:11">
      <c r="A205" s="167">
        <v>2006.04</v>
      </c>
      <c r="B205" s="141">
        <v>3925.3413882700002</v>
      </c>
      <c r="C205" s="223">
        <v>2545.46705789</v>
      </c>
      <c r="D205" s="3732">
        <f t="shared" si="3"/>
        <v>1379.8743303800002</v>
      </c>
      <c r="E205" s="166"/>
      <c r="F205" s="954"/>
      <c r="G205" s="1869"/>
      <c r="H205" s="3068"/>
      <c r="I205" s="1869"/>
      <c r="J205" s="1869"/>
      <c r="K205" s="166"/>
    </row>
    <row r="206" spans="1:11">
      <c r="A206" s="167">
        <v>2006.05</v>
      </c>
      <c r="B206" s="141">
        <v>4181.2852360099996</v>
      </c>
      <c r="C206" s="223">
        <v>2825.9275463899999</v>
      </c>
      <c r="D206" s="3732">
        <f t="shared" si="3"/>
        <v>1355.3576896199997</v>
      </c>
      <c r="E206" s="166"/>
      <c r="F206" s="954"/>
      <c r="G206" s="1869"/>
      <c r="H206" s="3068"/>
      <c r="I206" s="1869"/>
      <c r="J206" s="1869"/>
      <c r="K206" s="166"/>
    </row>
    <row r="207" spans="1:11">
      <c r="A207" s="167">
        <v>2006.06</v>
      </c>
      <c r="B207" s="141">
        <v>3847.7789388800002</v>
      </c>
      <c r="C207" s="223">
        <v>2859.1793253199999</v>
      </c>
      <c r="D207" s="3732">
        <f t="shared" si="3"/>
        <v>988.59961356000031</v>
      </c>
      <c r="E207" s="166"/>
      <c r="F207" s="954"/>
      <c r="G207" s="1869"/>
      <c r="H207" s="3068"/>
      <c r="I207" s="1869"/>
      <c r="J207" s="1869"/>
      <c r="K207" s="166"/>
    </row>
    <row r="208" spans="1:11">
      <c r="A208" s="167">
        <v>2006.07</v>
      </c>
      <c r="B208" s="141">
        <v>3816.863382</v>
      </c>
      <c r="C208" s="223">
        <v>2852.36632267</v>
      </c>
      <c r="D208" s="3732">
        <f t="shared" si="3"/>
        <v>964.49705932999996</v>
      </c>
      <c r="E208" s="166"/>
      <c r="F208" s="954"/>
      <c r="G208" s="1869"/>
      <c r="H208" s="3068"/>
      <c r="I208" s="1869"/>
      <c r="J208" s="1869"/>
      <c r="K208" s="166"/>
    </row>
    <row r="209" spans="1:11">
      <c r="A209" s="167">
        <v>2006.08</v>
      </c>
      <c r="B209" s="141">
        <v>4246.16490995</v>
      </c>
      <c r="C209" s="223">
        <v>3280.7935868499999</v>
      </c>
      <c r="D209" s="3732">
        <f t="shared" si="3"/>
        <v>965.37132310000015</v>
      </c>
      <c r="E209" s="166"/>
      <c r="F209" s="954"/>
      <c r="G209" s="1869"/>
      <c r="H209" s="3068"/>
      <c r="I209" s="1869"/>
      <c r="J209" s="1869"/>
      <c r="K209" s="166"/>
    </row>
    <row r="210" spans="1:11">
      <c r="A210" s="167">
        <v>2006.09</v>
      </c>
      <c r="B210" s="141">
        <v>4048.1082944099999</v>
      </c>
      <c r="C210" s="223">
        <v>3169.4272959999998</v>
      </c>
      <c r="D210" s="3732">
        <f t="shared" si="3"/>
        <v>878.68099841000003</v>
      </c>
      <c r="E210" s="166"/>
      <c r="F210" s="954"/>
      <c r="G210" s="1869"/>
      <c r="H210" s="3068"/>
      <c r="I210" s="1869"/>
      <c r="J210" s="1869"/>
      <c r="K210" s="166"/>
    </row>
    <row r="211" spans="1:11">
      <c r="A211" s="167">
        <v>2006.1</v>
      </c>
      <c r="B211" s="141">
        <v>4203.7349545500001</v>
      </c>
      <c r="C211" s="223">
        <v>3255.11398568</v>
      </c>
      <c r="D211" s="3732">
        <f t="shared" si="3"/>
        <v>948.62096887000007</v>
      </c>
      <c r="E211" s="166"/>
      <c r="F211" s="954"/>
      <c r="G211" s="1869"/>
      <c r="H211" s="3068"/>
      <c r="I211" s="1869"/>
      <c r="J211" s="1869"/>
      <c r="K211" s="166"/>
    </row>
    <row r="212" spans="1:11">
      <c r="A212" s="167">
        <v>2006.11</v>
      </c>
      <c r="B212" s="141">
        <v>4110.08171012</v>
      </c>
      <c r="C212" s="223">
        <v>3237.23025431</v>
      </c>
      <c r="D212" s="3732">
        <f t="shared" si="3"/>
        <v>872.85145581000006</v>
      </c>
      <c r="E212" s="166"/>
      <c r="F212" s="954"/>
      <c r="G212" s="1869"/>
      <c r="H212" s="3068"/>
      <c r="I212" s="1869"/>
      <c r="J212" s="1869"/>
      <c r="K212" s="166"/>
    </row>
    <row r="213" spans="1:11" ht="15">
      <c r="A213" s="167">
        <v>2006.12</v>
      </c>
      <c r="B213" s="141">
        <v>4241.3744559099996</v>
      </c>
      <c r="C213" s="223">
        <v>2756.3946033900002</v>
      </c>
      <c r="D213" s="3732">
        <f t="shared" si="3"/>
        <v>1484.9798525199994</v>
      </c>
      <c r="E213" s="166"/>
      <c r="F213" s="954"/>
      <c r="G213" s="1869"/>
      <c r="H213" s="3068"/>
      <c r="I213" s="2546"/>
      <c r="J213" s="2492"/>
      <c r="K213" s="166"/>
    </row>
    <row r="214" spans="1:11">
      <c r="A214" s="167">
        <v>2007.01</v>
      </c>
      <c r="B214" s="141">
        <v>3389.5499920699999</v>
      </c>
      <c r="C214" s="223">
        <v>2951.0422552800001</v>
      </c>
      <c r="D214" s="3732">
        <f t="shared" si="3"/>
        <v>438.50773678999985</v>
      </c>
      <c r="E214" s="166"/>
      <c r="F214" s="954"/>
      <c r="G214" s="1869"/>
      <c r="H214" s="3068"/>
      <c r="I214" s="1869"/>
      <c r="J214" s="1869"/>
      <c r="K214" s="2492"/>
    </row>
    <row r="215" spans="1:11">
      <c r="A215" s="167">
        <v>2007.02</v>
      </c>
      <c r="B215" s="141">
        <v>3587.3380862499998</v>
      </c>
      <c r="C215" s="223">
        <v>2790.7812133900002</v>
      </c>
      <c r="D215" s="3732">
        <f t="shared" si="3"/>
        <v>796.55687285999966</v>
      </c>
      <c r="E215" s="166"/>
      <c r="F215" s="954"/>
      <c r="G215" s="1869"/>
      <c r="H215" s="3068"/>
      <c r="I215" s="1869"/>
      <c r="J215" s="1869"/>
      <c r="K215" s="166"/>
    </row>
    <row r="216" spans="1:11">
      <c r="A216" s="167">
        <v>2007.03</v>
      </c>
      <c r="B216" s="141">
        <v>4172.5858543900003</v>
      </c>
      <c r="C216" s="223">
        <v>3422.1101955200002</v>
      </c>
      <c r="D216" s="3732">
        <f t="shared" si="3"/>
        <v>750.47565887000019</v>
      </c>
      <c r="E216" s="166"/>
      <c r="F216" s="954"/>
      <c r="G216" s="1869"/>
      <c r="H216" s="3068"/>
      <c r="I216" s="1869"/>
      <c r="J216" s="1869"/>
      <c r="K216" s="166"/>
    </row>
    <row r="217" spans="1:11">
      <c r="A217" s="167">
        <v>2007.04</v>
      </c>
      <c r="B217" s="141">
        <v>4298.5554980400002</v>
      </c>
      <c r="C217" s="223">
        <v>3060.8982461999999</v>
      </c>
      <c r="D217" s="3732">
        <f t="shared" si="3"/>
        <v>1237.6572518400003</v>
      </c>
      <c r="E217" s="166"/>
      <c r="F217" s="954"/>
      <c r="G217" s="1869"/>
      <c r="H217" s="3068"/>
      <c r="I217" s="1869"/>
      <c r="J217" s="1869"/>
      <c r="K217" s="166"/>
    </row>
    <row r="218" spans="1:11">
      <c r="A218" s="167">
        <v>2007.05</v>
      </c>
      <c r="B218" s="141">
        <v>4855.8447527799999</v>
      </c>
      <c r="C218" s="223">
        <v>3542.11578779</v>
      </c>
      <c r="D218" s="3732">
        <f t="shared" si="3"/>
        <v>1313.7289649899999</v>
      </c>
      <c r="E218" s="166"/>
      <c r="F218" s="954"/>
      <c r="G218" s="1869"/>
      <c r="H218" s="3068"/>
      <c r="I218" s="1869"/>
      <c r="J218" s="1869"/>
      <c r="K218" s="166"/>
    </row>
    <row r="219" spans="1:11">
      <c r="A219" s="167">
        <v>2007.06</v>
      </c>
      <c r="B219" s="141">
        <v>4521.0935983099998</v>
      </c>
      <c r="C219" s="223">
        <v>3578.9387432399999</v>
      </c>
      <c r="D219" s="3732">
        <f t="shared" si="3"/>
        <v>942.15485506999994</v>
      </c>
      <c r="E219" s="166"/>
      <c r="F219" s="954"/>
      <c r="G219" s="1869"/>
      <c r="H219" s="3068"/>
      <c r="I219" s="1869"/>
      <c r="J219" s="1869"/>
      <c r="K219" s="166"/>
    </row>
    <row r="220" spans="1:11">
      <c r="A220" s="167">
        <v>2007.07</v>
      </c>
      <c r="B220" s="141">
        <v>4614.2473972999996</v>
      </c>
      <c r="C220" s="223">
        <v>4125.8085923600001</v>
      </c>
      <c r="D220" s="3732">
        <f t="shared" si="3"/>
        <v>488.4388049399995</v>
      </c>
      <c r="E220" s="166"/>
      <c r="F220" s="954"/>
      <c r="G220" s="1869"/>
      <c r="H220" s="3068"/>
      <c r="I220" s="1869"/>
      <c r="J220" s="1869"/>
      <c r="K220" s="166"/>
    </row>
    <row r="221" spans="1:11">
      <c r="A221" s="167">
        <v>2007.08</v>
      </c>
      <c r="B221" s="141">
        <v>4921.6410428299996</v>
      </c>
      <c r="C221" s="223">
        <v>4606.3962531200004</v>
      </c>
      <c r="D221" s="3732">
        <f t="shared" si="3"/>
        <v>315.24478970999917</v>
      </c>
      <c r="E221" s="166"/>
      <c r="F221" s="954"/>
      <c r="G221" s="1869"/>
      <c r="H221" s="3068"/>
      <c r="I221" s="1869"/>
      <c r="J221" s="1869"/>
      <c r="K221" s="166"/>
    </row>
    <row r="222" spans="1:11">
      <c r="A222" s="167">
        <v>2007.09</v>
      </c>
      <c r="B222" s="141">
        <v>4827.8091365800001</v>
      </c>
      <c r="C222" s="223">
        <v>3963.0609714100001</v>
      </c>
      <c r="D222" s="3732">
        <f t="shared" si="3"/>
        <v>864.74816516999999</v>
      </c>
      <c r="E222" s="166"/>
      <c r="F222" s="954"/>
      <c r="G222" s="1869"/>
      <c r="H222" s="3068"/>
      <c r="I222" s="1869"/>
      <c r="J222" s="1869"/>
      <c r="K222" s="166"/>
    </row>
    <row r="223" spans="1:11">
      <c r="A223" s="167">
        <v>2007.1</v>
      </c>
      <c r="B223" s="141">
        <v>5580.7797169100004</v>
      </c>
      <c r="C223" s="223">
        <v>4400.4776843600002</v>
      </c>
      <c r="D223" s="3732">
        <f t="shared" si="3"/>
        <v>1180.3020325500001</v>
      </c>
      <c r="E223" s="166"/>
      <c r="F223" s="954"/>
      <c r="G223" s="1869"/>
      <c r="H223" s="3068"/>
      <c r="I223" s="1869"/>
      <c r="J223" s="1869"/>
      <c r="K223" s="166"/>
    </row>
    <row r="224" spans="1:11">
      <c r="A224" s="167">
        <v>2007.11</v>
      </c>
      <c r="B224" s="141">
        <v>5424.2140163900003</v>
      </c>
      <c r="C224" s="223">
        <v>4384.4998271799996</v>
      </c>
      <c r="D224" s="3732">
        <f t="shared" si="3"/>
        <v>1039.7141892100008</v>
      </c>
      <c r="E224" s="166"/>
      <c r="F224" s="954"/>
      <c r="G224" s="1869"/>
      <c r="H224" s="3068"/>
      <c r="I224" s="1869"/>
      <c r="J224" s="1869"/>
      <c r="K224" s="166"/>
    </row>
    <row r="225" spans="1:11" ht="15">
      <c r="A225" s="167">
        <v>2007.12</v>
      </c>
      <c r="B225" s="141">
        <v>5786.6494937899997</v>
      </c>
      <c r="C225" s="223">
        <v>3881.3336258700001</v>
      </c>
      <c r="D225" s="3732">
        <f t="shared" si="3"/>
        <v>1905.3158679199996</v>
      </c>
      <c r="E225" s="166"/>
      <c r="F225" s="954"/>
      <c r="G225" s="1869"/>
      <c r="H225" s="3068"/>
      <c r="I225" s="2546"/>
      <c r="J225" s="2492"/>
      <c r="K225" s="166"/>
    </row>
    <row r="226" spans="1:11">
      <c r="A226" s="167">
        <v>2008.01</v>
      </c>
      <c r="B226" s="141">
        <v>5818.3282660900004</v>
      </c>
      <c r="C226" s="223">
        <v>4478.5264542599998</v>
      </c>
      <c r="D226" s="3732">
        <f t="shared" si="3"/>
        <v>1339.8018118300006</v>
      </c>
      <c r="E226" s="166"/>
      <c r="F226" s="954"/>
      <c r="G226" s="1869"/>
      <c r="H226" s="3068"/>
      <c r="I226" s="1869"/>
      <c r="J226" s="1869"/>
      <c r="K226" s="2492"/>
    </row>
    <row r="227" spans="1:11">
      <c r="A227" s="167">
        <v>2008.02</v>
      </c>
      <c r="B227" s="141">
        <v>5225.6580459699999</v>
      </c>
      <c r="C227" s="223">
        <v>4209.7768154400001</v>
      </c>
      <c r="D227" s="3732">
        <f t="shared" si="3"/>
        <v>1015.8812305299998</v>
      </c>
      <c r="E227" s="166"/>
      <c r="F227" s="954"/>
      <c r="G227" s="1869"/>
      <c r="H227" s="3068"/>
      <c r="I227" s="1869"/>
      <c r="J227" s="1869"/>
      <c r="K227" s="166"/>
    </row>
    <row r="228" spans="1:11">
      <c r="A228" s="167">
        <v>2008.03</v>
      </c>
      <c r="B228" s="141">
        <v>4990.8444206599997</v>
      </c>
      <c r="C228" s="223">
        <v>4163.3968326499999</v>
      </c>
      <c r="D228" s="3732">
        <f t="shared" si="3"/>
        <v>827.44758800999989</v>
      </c>
      <c r="E228" s="166"/>
      <c r="F228" s="954"/>
      <c r="G228" s="1869"/>
      <c r="H228" s="3068"/>
      <c r="I228" s="1869"/>
      <c r="J228" s="1869"/>
      <c r="K228" s="166"/>
    </row>
    <row r="229" spans="1:11">
      <c r="A229" s="167">
        <v>2008.04</v>
      </c>
      <c r="B229" s="141">
        <v>5845.6563526099999</v>
      </c>
      <c r="C229" s="223">
        <v>4929.5734442599996</v>
      </c>
      <c r="D229" s="3732">
        <f t="shared" si="3"/>
        <v>916.08290835000025</v>
      </c>
      <c r="E229" s="166"/>
      <c r="F229" s="954"/>
      <c r="G229" s="1869"/>
      <c r="H229" s="3068"/>
      <c r="I229" s="1869"/>
      <c r="J229" s="1869"/>
      <c r="K229" s="166"/>
    </row>
    <row r="230" spans="1:11">
      <c r="A230" s="167">
        <v>2008.05</v>
      </c>
      <c r="B230" s="141">
        <v>6240.2889256999997</v>
      </c>
      <c r="C230" s="223">
        <v>5200.4647046999999</v>
      </c>
      <c r="D230" s="3732">
        <f t="shared" si="3"/>
        <v>1039.8242209999999</v>
      </c>
      <c r="E230" s="166"/>
      <c r="F230" s="954"/>
      <c r="G230" s="1869"/>
      <c r="H230" s="3068"/>
      <c r="I230" s="1869"/>
      <c r="J230" s="1869"/>
      <c r="K230" s="166"/>
    </row>
    <row r="231" spans="1:11">
      <c r="A231" s="167">
        <v>2008.06</v>
      </c>
      <c r="B231" s="141">
        <v>5407.0315266699999</v>
      </c>
      <c r="C231" s="223">
        <v>5195.9917396399997</v>
      </c>
      <c r="D231" s="3732">
        <f t="shared" si="3"/>
        <v>211.0397870300003</v>
      </c>
      <c r="E231" s="166"/>
      <c r="F231" s="954"/>
      <c r="G231" s="1869"/>
      <c r="H231" s="3068"/>
      <c r="I231" s="1869"/>
      <c r="J231" s="1869"/>
      <c r="K231" s="166"/>
    </row>
    <row r="232" spans="1:11">
      <c r="A232" s="167">
        <v>2008.07</v>
      </c>
      <c r="B232" s="141">
        <v>7010.5182369800004</v>
      </c>
      <c r="C232" s="223">
        <v>6046.8269938399999</v>
      </c>
      <c r="D232" s="3732">
        <f t="shared" si="3"/>
        <v>963.69124314000055</v>
      </c>
      <c r="E232" s="166"/>
      <c r="F232" s="954"/>
      <c r="G232" s="1869"/>
      <c r="H232" s="3068"/>
      <c r="I232" s="1869"/>
      <c r="J232" s="1869"/>
      <c r="K232" s="166"/>
    </row>
    <row r="233" spans="1:11">
      <c r="A233" s="167">
        <v>2008.08</v>
      </c>
      <c r="B233" s="141">
        <v>7366.7002799700003</v>
      </c>
      <c r="C233" s="223">
        <v>5158.7470822100004</v>
      </c>
      <c r="D233" s="3732">
        <f t="shared" si="3"/>
        <v>2207.95319776</v>
      </c>
      <c r="E233" s="166"/>
      <c r="F233" s="954"/>
      <c r="G233" s="1869"/>
      <c r="H233" s="3068"/>
      <c r="I233" s="1869"/>
      <c r="J233" s="1869"/>
      <c r="K233" s="166"/>
    </row>
    <row r="234" spans="1:11">
      <c r="A234" s="167">
        <v>2008.09</v>
      </c>
      <c r="B234" s="141">
        <v>6918.7255948599995</v>
      </c>
      <c r="C234" s="223">
        <v>5310.8947334200002</v>
      </c>
      <c r="D234" s="3732">
        <f t="shared" si="3"/>
        <v>1607.8308614399994</v>
      </c>
      <c r="E234" s="166"/>
      <c r="F234" s="954"/>
      <c r="G234" s="1869"/>
      <c r="H234" s="3068"/>
      <c r="I234" s="1869"/>
      <c r="J234" s="1869"/>
      <c r="K234" s="166"/>
    </row>
    <row r="235" spans="1:11">
      <c r="A235" s="167">
        <v>2008.1</v>
      </c>
      <c r="B235" s="141">
        <v>6061.1924079199998</v>
      </c>
      <c r="C235" s="223">
        <v>5128.95839239</v>
      </c>
      <c r="D235" s="3732">
        <f t="shared" si="3"/>
        <v>932.23401552999985</v>
      </c>
      <c r="E235" s="166"/>
      <c r="F235" s="954"/>
      <c r="G235" s="1869"/>
      <c r="H235" s="3068"/>
      <c r="I235" s="1869"/>
      <c r="J235" s="1869"/>
      <c r="K235" s="166"/>
    </row>
    <row r="236" spans="1:11">
      <c r="A236" s="167">
        <v>2008.11</v>
      </c>
      <c r="B236" s="141">
        <v>4902.9249548999996</v>
      </c>
      <c r="C236" s="223">
        <v>4182.2934512600004</v>
      </c>
      <c r="D236" s="3732">
        <f t="shared" si="3"/>
        <v>720.63150363999921</v>
      </c>
      <c r="E236" s="166"/>
      <c r="F236" s="954"/>
      <c r="G236" s="1869"/>
      <c r="H236" s="3068"/>
      <c r="I236" s="1869"/>
      <c r="J236" s="1869"/>
      <c r="K236" s="166"/>
    </row>
    <row r="237" spans="1:11" ht="15">
      <c r="A237" s="167">
        <v>2008.12</v>
      </c>
      <c r="B237" s="141">
        <v>4230.9704197999999</v>
      </c>
      <c r="C237" s="223">
        <v>3457.00171288</v>
      </c>
      <c r="D237" s="3732">
        <f t="shared" si="3"/>
        <v>773.96870691999993</v>
      </c>
      <c r="E237" s="166"/>
      <c r="F237" s="954"/>
      <c r="G237" s="1869"/>
      <c r="H237" s="3068"/>
      <c r="I237" s="2546"/>
      <c r="J237" s="2492"/>
      <c r="K237" s="166"/>
    </row>
    <row r="238" spans="1:11">
      <c r="A238" s="167">
        <v>2009.01</v>
      </c>
      <c r="B238" s="141">
        <v>3714.7217961699998</v>
      </c>
      <c r="C238" s="223">
        <v>2760.0656236899999</v>
      </c>
      <c r="D238" s="3732">
        <f t="shared" si="3"/>
        <v>954.6561724799999</v>
      </c>
      <c r="E238" s="166"/>
      <c r="F238" s="954"/>
      <c r="G238" s="1869"/>
      <c r="H238" s="3068"/>
      <c r="I238" s="166"/>
      <c r="J238" s="1869"/>
      <c r="K238" s="2492"/>
    </row>
    <row r="239" spans="1:11">
      <c r="A239" s="167">
        <v>2009.02</v>
      </c>
      <c r="B239" s="141">
        <v>3944.7629906000002</v>
      </c>
      <c r="C239" s="223">
        <v>2663.2730100099998</v>
      </c>
      <c r="D239" s="3732">
        <f t="shared" si="3"/>
        <v>1281.4899805900004</v>
      </c>
      <c r="E239" s="166"/>
      <c r="F239" s="954"/>
      <c r="G239" s="1869"/>
      <c r="H239" s="3068"/>
      <c r="I239" s="166"/>
      <c r="J239" s="1869"/>
      <c r="K239" s="166"/>
    </row>
    <row r="240" spans="1:11">
      <c r="A240" s="167">
        <v>2009.03</v>
      </c>
      <c r="B240" s="141">
        <v>4263.7069145400001</v>
      </c>
      <c r="C240" s="223">
        <v>2888.3559309399998</v>
      </c>
      <c r="D240" s="3732">
        <f t="shared" si="3"/>
        <v>1375.3509836000003</v>
      </c>
      <c r="E240" s="166"/>
      <c r="F240" s="954"/>
      <c r="G240" s="1869"/>
      <c r="H240" s="3068"/>
      <c r="I240" s="166"/>
      <c r="J240" s="1869"/>
      <c r="K240" s="166"/>
    </row>
    <row r="241" spans="1:11">
      <c r="A241" s="167">
        <v>2009.04</v>
      </c>
      <c r="B241" s="141">
        <v>5052.2965551500001</v>
      </c>
      <c r="C241" s="223">
        <v>2776.6213251099998</v>
      </c>
      <c r="D241" s="3732">
        <f t="shared" si="3"/>
        <v>2275.6752300400003</v>
      </c>
      <c r="E241" s="166"/>
      <c r="F241" s="954"/>
      <c r="G241" s="1869"/>
      <c r="H241" s="3068"/>
      <c r="I241" s="166"/>
      <c r="J241" s="1869"/>
      <c r="K241" s="166"/>
    </row>
    <row r="242" spans="1:11">
      <c r="A242" s="167">
        <v>2009.05</v>
      </c>
      <c r="B242" s="141">
        <v>5203.3631154499999</v>
      </c>
      <c r="C242" s="223">
        <v>2660.0054315000002</v>
      </c>
      <c r="D242" s="3732">
        <f t="shared" si="3"/>
        <v>2543.3576839499997</v>
      </c>
      <c r="E242" s="166"/>
      <c r="F242" s="954"/>
      <c r="G242" s="1869"/>
      <c r="H242" s="3068"/>
      <c r="I242" s="166"/>
      <c r="J242" s="1869"/>
      <c r="K242" s="166"/>
    </row>
    <row r="243" spans="1:11">
      <c r="A243" s="167">
        <v>2009.06</v>
      </c>
      <c r="B243" s="141">
        <v>5211.3018933399999</v>
      </c>
      <c r="C243" s="223">
        <v>3618.9275719100001</v>
      </c>
      <c r="D243" s="3732">
        <f t="shared" si="3"/>
        <v>1592.3743214299998</v>
      </c>
      <c r="E243" s="166"/>
      <c r="F243" s="954"/>
      <c r="G243" s="1869"/>
      <c r="H243" s="3068"/>
      <c r="I243" s="166"/>
      <c r="J243" s="1869"/>
      <c r="K243" s="166"/>
    </row>
    <row r="244" spans="1:11">
      <c r="A244" s="167">
        <v>2009.07</v>
      </c>
      <c r="B244" s="141">
        <v>4924.7161743799998</v>
      </c>
      <c r="C244" s="223">
        <v>3588.9132607800002</v>
      </c>
      <c r="D244" s="3732">
        <f t="shared" si="3"/>
        <v>1335.8029135999996</v>
      </c>
      <c r="E244" s="166"/>
      <c r="F244" s="954"/>
      <c r="G244" s="1869"/>
      <c r="H244" s="3068"/>
      <c r="I244" s="166"/>
      <c r="J244" s="1869"/>
      <c r="K244" s="166"/>
    </row>
    <row r="245" spans="1:11">
      <c r="A245" s="167">
        <v>2009.08</v>
      </c>
      <c r="B245" s="141">
        <v>4351.9085320699996</v>
      </c>
      <c r="C245" s="223">
        <v>3255.1847197799998</v>
      </c>
      <c r="D245" s="3732">
        <f t="shared" si="3"/>
        <v>1096.7238122899998</v>
      </c>
      <c r="E245" s="166"/>
      <c r="F245" s="954"/>
      <c r="G245" s="1869"/>
      <c r="H245" s="3068"/>
      <c r="I245" s="166"/>
      <c r="J245" s="1869"/>
      <c r="K245" s="166"/>
    </row>
    <row r="246" spans="1:11">
      <c r="A246" s="167">
        <v>2009.09</v>
      </c>
      <c r="B246" s="141">
        <v>4530.7229645099997</v>
      </c>
      <c r="C246" s="223">
        <v>3665.9172551299998</v>
      </c>
      <c r="D246" s="3732">
        <f t="shared" si="3"/>
        <v>864.80570937999983</v>
      </c>
      <c r="E246" s="166"/>
      <c r="F246" s="954"/>
      <c r="G246" s="1869"/>
      <c r="H246" s="3068"/>
      <c r="I246" s="166"/>
      <c r="J246" s="1869"/>
      <c r="K246" s="166"/>
    </row>
    <row r="247" spans="1:11">
      <c r="A247" s="167">
        <v>2009.1</v>
      </c>
      <c r="B247" s="141">
        <v>4807.7267221299999</v>
      </c>
      <c r="C247" s="223">
        <v>3656.23696445</v>
      </c>
      <c r="D247" s="3732">
        <f t="shared" si="3"/>
        <v>1151.4897576799999</v>
      </c>
      <c r="E247" s="166"/>
      <c r="F247" s="954"/>
      <c r="G247" s="1869"/>
      <c r="H247" s="3068"/>
      <c r="I247" s="166"/>
      <c r="J247" s="1869"/>
      <c r="K247" s="166"/>
    </row>
    <row r="248" spans="1:11">
      <c r="A248" s="167">
        <v>2009.11</v>
      </c>
      <c r="B248" s="141">
        <v>4872.3840026899998</v>
      </c>
      <c r="C248" s="223">
        <v>3651.18536619</v>
      </c>
      <c r="D248" s="3732">
        <f t="shared" si="3"/>
        <v>1221.1986364999998</v>
      </c>
      <c r="E248" s="166"/>
      <c r="F248" s="954"/>
      <c r="G248" s="1869"/>
      <c r="H248" s="3068"/>
      <c r="I248" s="166"/>
      <c r="J248" s="1869"/>
      <c r="K248" s="166"/>
    </row>
    <row r="249" spans="1:11">
      <c r="A249" s="167">
        <v>2009.12</v>
      </c>
      <c r="B249" s="141">
        <v>4794.4849751000002</v>
      </c>
      <c r="C249" s="223">
        <v>3601.5828810600001</v>
      </c>
      <c r="D249" s="3732">
        <f t="shared" si="3"/>
        <v>1192.9020940400001</v>
      </c>
      <c r="E249" s="166"/>
      <c r="F249" s="954"/>
      <c r="G249" s="1869"/>
      <c r="H249" s="3068"/>
      <c r="I249" s="166"/>
      <c r="J249" s="2492"/>
      <c r="K249" s="166"/>
    </row>
    <row r="250" spans="1:11">
      <c r="A250" s="167">
        <v>2010.01</v>
      </c>
      <c r="B250" s="141">
        <v>4408.1579867</v>
      </c>
      <c r="C250" s="223">
        <v>3209.1928459699998</v>
      </c>
      <c r="D250" s="3732">
        <f t="shared" si="3"/>
        <v>1198.9651407300003</v>
      </c>
      <c r="E250" s="166"/>
      <c r="F250" s="954"/>
      <c r="G250" s="1869"/>
      <c r="H250" s="3068"/>
      <c r="I250" s="166"/>
      <c r="J250" s="1869"/>
      <c r="K250" s="2492"/>
    </row>
    <row r="251" spans="1:11">
      <c r="A251" s="167">
        <v>2010.02</v>
      </c>
      <c r="B251" s="141">
        <v>3958.9485652399999</v>
      </c>
      <c r="C251" s="223">
        <v>3455.0710790100002</v>
      </c>
      <c r="D251" s="3732">
        <f t="shared" si="3"/>
        <v>503.8774862299997</v>
      </c>
      <c r="E251" s="166"/>
      <c r="F251" s="954"/>
      <c r="G251" s="1869"/>
      <c r="H251" s="3068"/>
      <c r="I251" s="166"/>
      <c r="J251" s="1869"/>
      <c r="K251" s="166"/>
    </row>
    <row r="252" spans="1:11">
      <c r="A252" s="167">
        <v>2010.03</v>
      </c>
      <c r="B252" s="141">
        <v>4687.49526522</v>
      </c>
      <c r="C252" s="223">
        <v>4402.8540807500003</v>
      </c>
      <c r="D252" s="3732">
        <f t="shared" si="3"/>
        <v>284.64118446999964</v>
      </c>
      <c r="E252" s="166"/>
      <c r="F252" s="954"/>
      <c r="G252" s="1869"/>
      <c r="H252" s="3068"/>
      <c r="I252" s="166"/>
      <c r="J252" s="1869"/>
      <c r="K252" s="166"/>
    </row>
    <row r="253" spans="1:11">
      <c r="A253" s="167">
        <v>2010.04</v>
      </c>
      <c r="B253" s="141">
        <v>6208.0217815899996</v>
      </c>
      <c r="C253" s="223">
        <v>4101.0054452900004</v>
      </c>
      <c r="D253" s="3732">
        <f t="shared" si="3"/>
        <v>2107.0163362999992</v>
      </c>
      <c r="E253" s="166"/>
      <c r="F253" s="954"/>
      <c r="G253" s="1869"/>
      <c r="H253" s="3068"/>
      <c r="I253" s="166"/>
      <c r="J253" s="1869"/>
      <c r="K253" s="166"/>
    </row>
    <row r="254" spans="1:11">
      <c r="A254" s="167">
        <v>2010.05</v>
      </c>
      <c r="B254" s="141">
        <v>6502.8226676499999</v>
      </c>
      <c r="C254" s="223">
        <v>4575.3783136599995</v>
      </c>
      <c r="D254" s="3732">
        <f t="shared" si="3"/>
        <v>1927.4443539900003</v>
      </c>
      <c r="E254" s="166"/>
      <c r="F254" s="954"/>
      <c r="G254" s="1869"/>
      <c r="H254" s="3068"/>
      <c r="I254" s="166"/>
      <c r="J254" s="1869"/>
      <c r="K254" s="166"/>
    </row>
    <row r="255" spans="1:11">
      <c r="A255" s="167">
        <v>2010.06</v>
      </c>
      <c r="B255" s="141">
        <v>6369.2628424100003</v>
      </c>
      <c r="C255" s="223">
        <v>5151.0250174900002</v>
      </c>
      <c r="D255" s="3732">
        <f t="shared" si="3"/>
        <v>1218.2378249200001</v>
      </c>
      <c r="E255" s="166"/>
      <c r="F255" s="954"/>
      <c r="G255" s="1869"/>
      <c r="H255" s="3068"/>
      <c r="I255" s="166"/>
      <c r="J255" s="1869"/>
      <c r="K255" s="166"/>
    </row>
    <row r="256" spans="1:11">
      <c r="A256" s="167">
        <v>2010.07</v>
      </c>
      <c r="B256" s="141">
        <v>5983.8040996500004</v>
      </c>
      <c r="C256" s="223">
        <v>5290.5047000200002</v>
      </c>
      <c r="D256" s="3732">
        <f t="shared" si="3"/>
        <v>693.29939963000015</v>
      </c>
      <c r="E256" s="166"/>
      <c r="F256" s="954"/>
      <c r="G256" s="1869"/>
      <c r="H256" s="3068"/>
      <c r="I256" s="166"/>
      <c r="J256" s="1869"/>
      <c r="K256" s="166"/>
    </row>
    <row r="257" spans="1:11">
      <c r="A257" s="167">
        <v>2010.08</v>
      </c>
      <c r="B257" s="141">
        <v>6382.9892018099999</v>
      </c>
      <c r="C257" s="223">
        <v>5355.4778892300001</v>
      </c>
      <c r="D257" s="3732">
        <f t="shared" si="3"/>
        <v>1027.5113125799999</v>
      </c>
      <c r="E257" s="166"/>
      <c r="F257" s="954"/>
      <c r="G257" s="1869"/>
      <c r="H257" s="3068"/>
      <c r="I257" s="166"/>
      <c r="J257" s="1869"/>
      <c r="K257" s="166"/>
    </row>
    <row r="258" spans="1:11">
      <c r="A258" s="167">
        <v>2010.09</v>
      </c>
      <c r="B258" s="141">
        <v>6374.9838267100004</v>
      </c>
      <c r="C258" s="223">
        <v>5336.9439793700003</v>
      </c>
      <c r="D258" s="3732">
        <f t="shared" si="3"/>
        <v>1038.0398473400001</v>
      </c>
      <c r="E258" s="166"/>
      <c r="F258" s="954"/>
      <c r="G258" s="1869"/>
      <c r="H258" s="3068"/>
      <c r="I258" s="166"/>
      <c r="J258" s="1869"/>
      <c r="K258" s="166"/>
    </row>
    <row r="259" spans="1:11">
      <c r="A259" s="167">
        <v>2010.1</v>
      </c>
      <c r="B259" s="141">
        <v>5898.5978015800001</v>
      </c>
      <c r="C259" s="223">
        <v>4950.8651711800003</v>
      </c>
      <c r="D259" s="3732">
        <f t="shared" si="3"/>
        <v>947.73263039999983</v>
      </c>
      <c r="E259" s="166"/>
      <c r="F259" s="954"/>
      <c r="G259" s="1869"/>
      <c r="H259" s="3068"/>
      <c r="I259" s="166"/>
      <c r="J259" s="1869"/>
      <c r="K259" s="166"/>
    </row>
    <row r="260" spans="1:11">
      <c r="A260" s="167">
        <v>2010.11</v>
      </c>
      <c r="B260" s="141">
        <v>5915.3300753900003</v>
      </c>
      <c r="C260" s="223">
        <v>5575.5041551200002</v>
      </c>
      <c r="D260" s="3732">
        <f t="shared" si="3"/>
        <v>339.8259202700001</v>
      </c>
      <c r="E260" s="166"/>
      <c r="F260" s="954"/>
      <c r="G260" s="1869"/>
      <c r="H260" s="3068"/>
      <c r="I260" s="166"/>
      <c r="J260" s="1869"/>
      <c r="K260" s="166"/>
    </row>
    <row r="261" spans="1:11">
      <c r="A261" s="167">
        <v>2010.12</v>
      </c>
      <c r="B261" s="141">
        <v>5484.0329354699998</v>
      </c>
      <c r="C261" s="223">
        <v>5388.7553952600001</v>
      </c>
      <c r="D261" s="3732">
        <f t="shared" si="3"/>
        <v>95.277540209999643</v>
      </c>
      <c r="E261" s="166"/>
      <c r="F261" s="954"/>
      <c r="G261" s="1869"/>
      <c r="H261" s="3068"/>
      <c r="I261" s="166"/>
      <c r="J261" s="2492"/>
      <c r="K261" s="166"/>
    </row>
    <row r="262" spans="1:11">
      <c r="A262" s="167">
        <v>2011.01</v>
      </c>
      <c r="B262" s="141">
        <v>5185.1235454600001</v>
      </c>
      <c r="C262" s="223">
        <v>4889.2068505799998</v>
      </c>
      <c r="D262" s="3732">
        <f t="shared" si="3"/>
        <v>295.91669488000025</v>
      </c>
      <c r="E262" s="166"/>
      <c r="F262" s="954"/>
      <c r="G262" s="1869"/>
      <c r="H262" s="3068"/>
      <c r="I262" s="166"/>
      <c r="J262" s="1869"/>
      <c r="K262" s="2492"/>
    </row>
    <row r="263" spans="1:11">
      <c r="A263" s="167">
        <v>2011.02</v>
      </c>
      <c r="B263" s="141">
        <v>5398.0233152700002</v>
      </c>
      <c r="C263" s="223">
        <v>4764.2930864199998</v>
      </c>
      <c r="D263" s="3732">
        <f t="shared" si="3"/>
        <v>633.73022885000046</v>
      </c>
      <c r="E263" s="166"/>
      <c r="F263" s="954"/>
      <c r="G263" s="1869"/>
      <c r="H263" s="3068"/>
      <c r="I263" s="166"/>
      <c r="J263" s="1869"/>
      <c r="K263" s="166"/>
    </row>
    <row r="264" spans="1:11">
      <c r="A264" s="167">
        <v>2011.03</v>
      </c>
      <c r="B264" s="141">
        <v>6098.1081536700003</v>
      </c>
      <c r="C264" s="223">
        <v>5641.5931666200004</v>
      </c>
      <c r="D264" s="3732">
        <f t="shared" si="3"/>
        <v>456.51498704999995</v>
      </c>
      <c r="E264" s="166"/>
      <c r="F264" s="954"/>
      <c r="G264" s="1869"/>
      <c r="H264" s="3068"/>
      <c r="I264" s="166"/>
      <c r="J264" s="1869"/>
      <c r="K264" s="166"/>
    </row>
    <row r="265" spans="1:11">
      <c r="A265" s="167">
        <v>2011.04</v>
      </c>
      <c r="B265" s="141">
        <v>7042.8725553699996</v>
      </c>
      <c r="C265" s="223">
        <v>5532.9022012400001</v>
      </c>
      <c r="D265" s="3732">
        <f t="shared" si="3"/>
        <v>1509.9703541299996</v>
      </c>
      <c r="E265" s="166"/>
      <c r="F265" s="954"/>
      <c r="G265" s="1869"/>
      <c r="H265" s="3068"/>
      <c r="I265" s="166"/>
      <c r="J265" s="1869"/>
      <c r="K265" s="166"/>
    </row>
    <row r="266" spans="1:11">
      <c r="A266" s="167">
        <v>2011.05</v>
      </c>
      <c r="B266" s="141">
        <v>7932.8778106399996</v>
      </c>
      <c r="C266" s="223">
        <v>6489.8352000900004</v>
      </c>
      <c r="D266" s="3732">
        <f t="shared" si="3"/>
        <v>1443.0426105499992</v>
      </c>
      <c r="E266" s="166"/>
      <c r="F266" s="954"/>
      <c r="G266" s="1869"/>
      <c r="H266" s="3068"/>
      <c r="I266" s="166"/>
      <c r="J266" s="1869"/>
      <c r="K266" s="166"/>
    </row>
    <row r="267" spans="1:11">
      <c r="A267" s="167">
        <v>2011.06</v>
      </c>
      <c r="B267" s="141">
        <v>7816.9760044799996</v>
      </c>
      <c r="C267" s="223">
        <v>6704.5502509899998</v>
      </c>
      <c r="D267" s="3732">
        <f t="shared" ref="D267:D330" si="4">B267-C267</f>
        <v>1112.4257534899998</v>
      </c>
      <c r="E267" s="166"/>
      <c r="F267" s="954"/>
      <c r="G267" s="1869"/>
      <c r="H267" s="3068"/>
      <c r="I267" s="166"/>
      <c r="J267" s="1869"/>
      <c r="K267" s="166"/>
    </row>
    <row r="268" spans="1:11">
      <c r="A268" s="167">
        <v>2011.07</v>
      </c>
      <c r="B268" s="141">
        <v>7225.6045379300003</v>
      </c>
      <c r="C268" s="223">
        <v>6858.5447562199997</v>
      </c>
      <c r="D268" s="3732">
        <f t="shared" si="4"/>
        <v>367.05978171000061</v>
      </c>
      <c r="E268" s="166"/>
      <c r="F268" s="954"/>
      <c r="G268" s="1869"/>
      <c r="H268" s="3068"/>
      <c r="I268" s="166"/>
      <c r="J268" s="1869"/>
      <c r="K268" s="166"/>
    </row>
    <row r="269" spans="1:11">
      <c r="A269" s="167">
        <v>2011.08</v>
      </c>
      <c r="B269" s="141">
        <v>8328.4610195099995</v>
      </c>
      <c r="C269" s="223">
        <v>7671.0600575199996</v>
      </c>
      <c r="D269" s="3732">
        <f t="shared" si="4"/>
        <v>657.40096198999981</v>
      </c>
      <c r="E269" s="166"/>
      <c r="F269" s="954"/>
      <c r="G269" s="1869"/>
      <c r="H269" s="3068"/>
      <c r="I269" s="166"/>
      <c r="J269" s="1869"/>
      <c r="K269" s="166"/>
    </row>
    <row r="270" spans="1:11">
      <c r="A270" s="167">
        <v>2011.09</v>
      </c>
      <c r="B270" s="141">
        <v>7718.1976588799998</v>
      </c>
      <c r="C270" s="223">
        <v>6888.5133448200004</v>
      </c>
      <c r="D270" s="3732">
        <f t="shared" si="4"/>
        <v>829.68431405999945</v>
      </c>
      <c r="E270" s="166"/>
      <c r="F270" s="954"/>
      <c r="G270" s="1869"/>
      <c r="H270" s="3068"/>
      <c r="I270" s="166"/>
      <c r="J270" s="1869"/>
      <c r="K270" s="166"/>
    </row>
    <row r="271" spans="1:11">
      <c r="A271" s="167">
        <v>2011.1</v>
      </c>
      <c r="B271" s="141">
        <v>7435.4179912500003</v>
      </c>
      <c r="C271" s="223">
        <v>6303.0156403700003</v>
      </c>
      <c r="D271" s="3732">
        <f t="shared" si="4"/>
        <v>1132.4023508800001</v>
      </c>
      <c r="E271" s="166"/>
      <c r="F271" s="954"/>
      <c r="G271" s="1869"/>
      <c r="H271" s="3068"/>
      <c r="I271" s="166"/>
      <c r="J271" s="1869"/>
      <c r="K271" s="166"/>
    </row>
    <row r="272" spans="1:11">
      <c r="A272" s="167">
        <v>2011.11</v>
      </c>
      <c r="B272" s="141">
        <v>6493.16602762</v>
      </c>
      <c r="C272" s="223">
        <v>6229.7566778600003</v>
      </c>
      <c r="D272" s="3732">
        <f t="shared" si="4"/>
        <v>263.40934975999971</v>
      </c>
      <c r="E272" s="166"/>
      <c r="F272" s="954"/>
      <c r="G272" s="1869"/>
      <c r="H272" s="3068"/>
      <c r="I272" s="166"/>
      <c r="J272" s="1869"/>
      <c r="K272" s="166"/>
    </row>
    <row r="273" spans="1:11">
      <c r="A273" s="167">
        <v>2011.12</v>
      </c>
      <c r="B273" s="141">
        <v>6306.26266184</v>
      </c>
      <c r="C273" s="223">
        <v>5987.4044762100002</v>
      </c>
      <c r="D273" s="3732">
        <f t="shared" si="4"/>
        <v>318.85818562999975</v>
      </c>
      <c r="E273" s="166"/>
      <c r="F273" s="954"/>
      <c r="G273" s="1869"/>
      <c r="H273" s="3068"/>
      <c r="I273" s="166"/>
      <c r="J273" s="2492"/>
      <c r="K273" s="166"/>
    </row>
    <row r="274" spans="1:11">
      <c r="A274" s="167">
        <v>2012.01</v>
      </c>
      <c r="B274" s="141">
        <v>5399.2831043899996</v>
      </c>
      <c r="C274" s="223">
        <v>5363.7523266999997</v>
      </c>
      <c r="D274" s="3732">
        <f t="shared" si="4"/>
        <v>35.530777689999923</v>
      </c>
      <c r="E274" s="166"/>
      <c r="F274" s="954"/>
      <c r="G274" s="1869"/>
      <c r="H274" s="3068"/>
      <c r="I274" s="166"/>
      <c r="J274" s="1869"/>
      <c r="K274" s="2492"/>
    </row>
    <row r="275" spans="1:11">
      <c r="A275" s="167">
        <v>2012.02</v>
      </c>
      <c r="B275" s="141">
        <v>6004.5286067699999</v>
      </c>
      <c r="C275" s="223">
        <v>4724.9838398399997</v>
      </c>
      <c r="D275" s="3732">
        <f t="shared" si="4"/>
        <v>1279.5447669300002</v>
      </c>
      <c r="E275" s="166"/>
      <c r="F275" s="954"/>
      <c r="G275" s="1869"/>
      <c r="H275" s="3068"/>
      <c r="I275" s="166"/>
      <c r="J275" s="1869"/>
      <c r="K275" s="166"/>
    </row>
    <row r="276" spans="1:11">
      <c r="A276" s="167">
        <v>2012.03</v>
      </c>
      <c r="B276" s="141">
        <v>6199.9717717699996</v>
      </c>
      <c r="C276" s="223">
        <v>5146.50963753</v>
      </c>
      <c r="D276" s="3732">
        <f t="shared" si="4"/>
        <v>1053.4621342399996</v>
      </c>
      <c r="E276" s="166"/>
      <c r="F276" s="954"/>
      <c r="G276" s="1869"/>
      <c r="H276" s="3068"/>
      <c r="I276" s="166"/>
      <c r="J276" s="1869"/>
      <c r="K276" s="166"/>
    </row>
    <row r="277" spans="1:11">
      <c r="A277" s="167">
        <v>2012.04</v>
      </c>
      <c r="B277" s="141">
        <v>6714.9558123400002</v>
      </c>
      <c r="C277" s="223">
        <v>4769.8129770100004</v>
      </c>
      <c r="D277" s="3732">
        <f t="shared" si="4"/>
        <v>1945.1428353299998</v>
      </c>
      <c r="E277" s="166"/>
      <c r="F277" s="954"/>
      <c r="G277" s="1869"/>
      <c r="H277" s="3068"/>
      <c r="I277" s="166"/>
      <c r="J277" s="1869"/>
      <c r="K277" s="166"/>
    </row>
    <row r="278" spans="1:11">
      <c r="A278" s="167">
        <v>2012.05</v>
      </c>
      <c r="B278" s="141">
        <v>7080.8280746800001</v>
      </c>
      <c r="C278" s="223">
        <v>5987.1012276399997</v>
      </c>
      <c r="D278" s="3732">
        <f t="shared" si="4"/>
        <v>1093.7268470400004</v>
      </c>
      <c r="E278" s="166"/>
      <c r="F278" s="954"/>
      <c r="G278" s="1869"/>
      <c r="H278" s="3068"/>
      <c r="I278" s="166"/>
      <c r="J278" s="1869"/>
      <c r="K278" s="166"/>
    </row>
    <row r="279" spans="1:11">
      <c r="A279" s="167">
        <v>2012.06</v>
      </c>
      <c r="B279" s="141">
        <v>6822.1708296899997</v>
      </c>
      <c r="C279" s="223">
        <v>6033.5045700999999</v>
      </c>
      <c r="D279" s="3732">
        <f t="shared" si="4"/>
        <v>788.66625958999975</v>
      </c>
      <c r="E279" s="166"/>
      <c r="F279" s="954"/>
      <c r="G279" s="1869"/>
      <c r="H279" s="3068"/>
      <c r="I279" s="166"/>
      <c r="J279" s="1869"/>
      <c r="K279" s="166"/>
    </row>
    <row r="280" spans="1:11">
      <c r="A280" s="167">
        <v>2012.07</v>
      </c>
      <c r="B280" s="141">
        <v>7655.1147734300002</v>
      </c>
      <c r="C280" s="223">
        <v>6344.8774976599998</v>
      </c>
      <c r="D280" s="3732">
        <f t="shared" si="4"/>
        <v>1310.2372757700005</v>
      </c>
      <c r="E280" s="166"/>
      <c r="F280" s="954"/>
      <c r="G280" s="1869"/>
      <c r="H280" s="3068"/>
      <c r="I280" s="166"/>
      <c r="J280" s="1869"/>
      <c r="K280" s="166"/>
    </row>
    <row r="281" spans="1:11">
      <c r="A281" s="167">
        <v>2012.08</v>
      </c>
      <c r="B281" s="141">
        <v>7451.1028999500004</v>
      </c>
      <c r="C281" s="223">
        <v>6276.4327448599997</v>
      </c>
      <c r="D281" s="3732">
        <f t="shared" si="4"/>
        <v>1174.6701550900007</v>
      </c>
      <c r="E281" s="166"/>
      <c r="F281" s="954"/>
      <c r="G281" s="1869"/>
      <c r="H281" s="3068"/>
      <c r="I281" s="166"/>
      <c r="J281" s="1869"/>
      <c r="K281" s="166"/>
    </row>
    <row r="282" spans="1:11">
      <c r="A282" s="167">
        <v>2012.09</v>
      </c>
      <c r="B282" s="141">
        <v>6803.1276980299999</v>
      </c>
      <c r="C282" s="223">
        <v>5854.6274798699997</v>
      </c>
      <c r="D282" s="3732">
        <f t="shared" si="4"/>
        <v>948.50021816000026</v>
      </c>
      <c r="E282" s="166"/>
      <c r="F282" s="954"/>
      <c r="G282" s="1869"/>
      <c r="H282" s="3068"/>
      <c r="I282" s="166"/>
      <c r="J282" s="1869"/>
      <c r="K282" s="166"/>
    </row>
    <row r="283" spans="1:11">
      <c r="A283" s="167">
        <v>2012.1</v>
      </c>
      <c r="B283" s="141">
        <v>6889.2092488199996</v>
      </c>
      <c r="C283" s="223">
        <v>6256.6123713699999</v>
      </c>
      <c r="D283" s="3732">
        <f t="shared" si="4"/>
        <v>632.59687744999974</v>
      </c>
      <c r="E283" s="166"/>
      <c r="F283" s="954"/>
      <c r="G283" s="1869"/>
      <c r="H283" s="3068"/>
      <c r="I283" s="166"/>
      <c r="J283" s="1869"/>
      <c r="K283" s="166"/>
    </row>
    <row r="284" spans="1:11">
      <c r="A284" s="167">
        <v>2012.11</v>
      </c>
      <c r="B284" s="141">
        <v>6649.4266366900001</v>
      </c>
      <c r="C284" s="223">
        <v>5779.47081789</v>
      </c>
      <c r="D284" s="3732">
        <f t="shared" si="4"/>
        <v>869.95581880000009</v>
      </c>
      <c r="E284" s="166"/>
      <c r="F284" s="954"/>
      <c r="G284" s="1869"/>
      <c r="H284" s="3068"/>
      <c r="I284" s="166"/>
      <c r="J284" s="1869"/>
      <c r="K284" s="166"/>
    </row>
    <row r="285" spans="1:11">
      <c r="A285" s="167">
        <v>2012.12</v>
      </c>
      <c r="B285" s="141">
        <v>6312.6684316499995</v>
      </c>
      <c r="C285" s="223">
        <v>5436.5290390600003</v>
      </c>
      <c r="D285" s="3732">
        <f t="shared" si="4"/>
        <v>876.13939258999926</v>
      </c>
      <c r="E285" s="166"/>
      <c r="F285" s="954"/>
      <c r="G285" s="1869"/>
      <c r="H285" s="3068"/>
      <c r="I285" s="166"/>
      <c r="J285" s="2492"/>
      <c r="K285" s="166"/>
    </row>
    <row r="286" spans="1:11">
      <c r="A286" s="167">
        <v>2013.01</v>
      </c>
      <c r="B286" s="141">
        <v>5383.0330307499999</v>
      </c>
      <c r="C286" s="223">
        <v>5358.22554072</v>
      </c>
      <c r="D286" s="3732">
        <f t="shared" si="4"/>
        <v>24.807490029999826</v>
      </c>
      <c r="E286" s="166"/>
      <c r="F286" s="954"/>
      <c r="G286" s="1869"/>
      <c r="H286" s="3068"/>
      <c r="I286" s="166"/>
      <c r="J286" s="1869"/>
      <c r="K286" s="2492"/>
    </row>
    <row r="287" spans="1:11">
      <c r="A287" s="167">
        <v>2013.02</v>
      </c>
      <c r="B287" s="141">
        <v>4905.8730660499996</v>
      </c>
      <c r="C287" s="223">
        <v>5174.7487146000003</v>
      </c>
      <c r="D287" s="3732">
        <f t="shared" si="4"/>
        <v>-268.87564855000073</v>
      </c>
      <c r="E287" s="166"/>
      <c r="F287" s="954"/>
      <c r="G287" s="1869"/>
      <c r="H287" s="3068"/>
      <c r="I287" s="166"/>
      <c r="J287" s="1869"/>
      <c r="K287" s="166"/>
    </row>
    <row r="288" spans="1:11">
      <c r="A288" s="167">
        <v>2013.03</v>
      </c>
      <c r="B288" s="141">
        <v>6159.9507563500001</v>
      </c>
      <c r="C288" s="223">
        <v>5619.1796781599996</v>
      </c>
      <c r="D288" s="3732">
        <f t="shared" si="4"/>
        <v>540.77107819000048</v>
      </c>
      <c r="E288" s="166"/>
      <c r="F288" s="954"/>
      <c r="G288" s="1869"/>
      <c r="H288" s="3068"/>
      <c r="I288" s="166"/>
      <c r="J288" s="1869"/>
      <c r="K288" s="166"/>
    </row>
    <row r="289" spans="1:11">
      <c r="A289" s="167">
        <v>2013.04</v>
      </c>
      <c r="B289" s="141">
        <v>6895.3905926199996</v>
      </c>
      <c r="C289" s="223">
        <v>6193.4581991499999</v>
      </c>
      <c r="D289" s="3732">
        <f t="shared" si="4"/>
        <v>701.93239346999962</v>
      </c>
      <c r="E289" s="166"/>
      <c r="F289" s="954"/>
      <c r="G289" s="1869"/>
      <c r="H289" s="3068"/>
      <c r="I289" s="166"/>
      <c r="J289" s="1869"/>
      <c r="K289" s="166"/>
    </row>
    <row r="290" spans="1:11">
      <c r="A290" s="167">
        <v>2013.05</v>
      </c>
      <c r="B290" s="141">
        <v>8393.2451792800002</v>
      </c>
      <c r="C290" s="223">
        <v>7028.0891482400002</v>
      </c>
      <c r="D290" s="3732">
        <f t="shared" si="4"/>
        <v>1365.15603104</v>
      </c>
      <c r="E290" s="166"/>
      <c r="F290" s="954"/>
      <c r="G290" s="1869"/>
      <c r="H290" s="3068"/>
      <c r="I290" s="166"/>
      <c r="J290" s="1869"/>
      <c r="K290" s="166"/>
    </row>
    <row r="291" spans="1:11">
      <c r="A291" s="167">
        <v>2013.06</v>
      </c>
      <c r="B291" s="141">
        <v>7483.3932045700003</v>
      </c>
      <c r="C291" s="223">
        <v>6642.8057821100001</v>
      </c>
      <c r="D291" s="3732">
        <f t="shared" si="4"/>
        <v>840.5874224600002</v>
      </c>
      <c r="E291" s="166"/>
      <c r="F291" s="954"/>
      <c r="G291" s="1869"/>
      <c r="H291" s="3068"/>
      <c r="I291" s="166"/>
      <c r="J291" s="1869"/>
      <c r="K291" s="166"/>
    </row>
    <row r="292" spans="1:11">
      <c r="A292" s="167">
        <v>2013.07</v>
      </c>
      <c r="B292" s="141">
        <v>6930.6567039000001</v>
      </c>
      <c r="C292" s="223">
        <v>6988.1553112499996</v>
      </c>
      <c r="D292" s="3732">
        <f t="shared" si="4"/>
        <v>-57.498607349999475</v>
      </c>
      <c r="E292" s="166"/>
      <c r="F292" s="954"/>
      <c r="G292" s="1869"/>
      <c r="H292" s="3068"/>
      <c r="I292" s="166"/>
      <c r="J292" s="1869"/>
      <c r="K292" s="166"/>
    </row>
    <row r="293" spans="1:11">
      <c r="A293" s="167">
        <v>2013.08</v>
      </c>
      <c r="B293" s="141">
        <v>7199.5368850000004</v>
      </c>
      <c r="C293" s="223">
        <v>7073.8980311799996</v>
      </c>
      <c r="D293" s="3732">
        <f t="shared" si="4"/>
        <v>125.6388538200008</v>
      </c>
      <c r="E293" s="166"/>
      <c r="F293" s="954"/>
      <c r="G293" s="1869"/>
      <c r="H293" s="3068"/>
      <c r="I293" s="166"/>
      <c r="J293" s="1869"/>
      <c r="K293" s="166"/>
    </row>
    <row r="294" spans="1:11">
      <c r="A294" s="167">
        <v>2013.09</v>
      </c>
      <c r="B294" s="141">
        <v>6544.8073704799999</v>
      </c>
      <c r="C294" s="223">
        <v>6028.9320450699997</v>
      </c>
      <c r="D294" s="3732">
        <f t="shared" si="4"/>
        <v>515.87532541000019</v>
      </c>
      <c r="E294" s="166"/>
      <c r="F294" s="954"/>
      <c r="G294" s="1869"/>
      <c r="H294" s="3068"/>
      <c r="I294" s="166"/>
      <c r="J294" s="1869"/>
      <c r="K294" s="166"/>
    </row>
    <row r="295" spans="1:11">
      <c r="A295" s="167">
        <v>2013.1</v>
      </c>
      <c r="B295" s="141">
        <v>6026.9761890299997</v>
      </c>
      <c r="C295" s="223">
        <v>6830.9588225300004</v>
      </c>
      <c r="D295" s="3732">
        <f t="shared" si="4"/>
        <v>-803.9826335000007</v>
      </c>
      <c r="E295" s="166"/>
      <c r="F295" s="954"/>
      <c r="G295" s="1869"/>
      <c r="H295" s="3068"/>
      <c r="I295" s="166"/>
      <c r="J295" s="1869"/>
      <c r="K295" s="166"/>
    </row>
    <row r="296" spans="1:11">
      <c r="A296" s="167">
        <v>2013.11</v>
      </c>
      <c r="B296" s="141">
        <v>5089.5634059800004</v>
      </c>
      <c r="C296" s="223">
        <v>6091.6460739699996</v>
      </c>
      <c r="D296" s="3732">
        <f t="shared" si="4"/>
        <v>-1002.0826679899992</v>
      </c>
      <c r="E296" s="166"/>
      <c r="F296" s="954"/>
      <c r="G296" s="1869"/>
      <c r="H296" s="3068"/>
      <c r="I296" s="166"/>
      <c r="J296" s="1869"/>
      <c r="K296" s="166"/>
    </row>
    <row r="297" spans="1:11">
      <c r="A297" s="167">
        <v>2013.12</v>
      </c>
      <c r="B297" s="141">
        <v>4950.5549770600001</v>
      </c>
      <c r="C297" s="223">
        <v>5411.7027478299997</v>
      </c>
      <c r="D297" s="3732">
        <f t="shared" si="4"/>
        <v>-461.14777076999962</v>
      </c>
      <c r="E297" s="166"/>
      <c r="F297" s="954"/>
      <c r="G297" s="1869"/>
      <c r="H297" s="3068"/>
      <c r="I297" s="166"/>
      <c r="J297" s="2492"/>
      <c r="K297" s="166"/>
    </row>
    <row r="298" spans="1:11">
      <c r="A298" s="167">
        <v>2014.01</v>
      </c>
      <c r="B298" s="141">
        <v>4275.30071219</v>
      </c>
      <c r="C298" s="223">
        <v>5648.6277370099997</v>
      </c>
      <c r="D298" s="3732">
        <f t="shared" si="4"/>
        <v>-1373.3270248199997</v>
      </c>
      <c r="E298" s="166"/>
      <c r="F298" s="954"/>
      <c r="G298" s="1869"/>
      <c r="H298" s="3068"/>
      <c r="I298" s="166"/>
      <c r="J298" s="1869"/>
      <c r="K298" s="2492"/>
    </row>
    <row r="299" spans="1:11">
      <c r="A299" s="167">
        <v>2014.02</v>
      </c>
      <c r="B299" s="141">
        <v>4647.7316751899998</v>
      </c>
      <c r="C299" s="223">
        <v>5537.4546773599996</v>
      </c>
      <c r="D299" s="3732">
        <f t="shared" si="4"/>
        <v>-889.72300216999975</v>
      </c>
      <c r="E299" s="166"/>
      <c r="F299" s="954"/>
      <c r="G299" s="1869"/>
      <c r="H299" s="3068"/>
      <c r="I299" s="166"/>
      <c r="J299" s="1869"/>
      <c r="K299" s="166"/>
    </row>
    <row r="300" spans="1:11">
      <c r="A300" s="167">
        <v>2014.03</v>
      </c>
      <c r="B300" s="141">
        <v>4912.9567704600004</v>
      </c>
      <c r="C300" s="223">
        <v>5389.8916067099999</v>
      </c>
      <c r="D300" s="3732">
        <f t="shared" si="4"/>
        <v>-476.93483624999953</v>
      </c>
      <c r="E300" s="166"/>
      <c r="F300" s="954"/>
      <c r="G300" s="1869"/>
      <c r="H300" s="3068"/>
      <c r="I300" s="166"/>
      <c r="J300" s="1869"/>
      <c r="K300" s="166"/>
    </row>
    <row r="301" spans="1:11">
      <c r="A301" s="167">
        <v>2014.04</v>
      </c>
      <c r="B301" s="141">
        <v>6478.5222881</v>
      </c>
      <c r="C301" s="223">
        <v>5656.1398130400003</v>
      </c>
      <c r="D301" s="3732">
        <f t="shared" si="4"/>
        <v>822.38247505999971</v>
      </c>
      <c r="E301" s="166"/>
      <c r="F301" s="954"/>
      <c r="G301" s="1869"/>
      <c r="H301" s="3068"/>
      <c r="I301" s="166"/>
      <c r="J301" s="1869"/>
      <c r="K301" s="166"/>
    </row>
    <row r="302" spans="1:11">
      <c r="A302" s="167">
        <v>2014.05</v>
      </c>
      <c r="B302" s="141">
        <v>7178.51780478</v>
      </c>
      <c r="C302" s="223">
        <v>5776.9192509499999</v>
      </c>
      <c r="D302" s="3732">
        <f t="shared" si="4"/>
        <v>1401.5985538300001</v>
      </c>
      <c r="E302" s="166"/>
      <c r="F302" s="954"/>
      <c r="G302" s="1869"/>
      <c r="H302" s="3068"/>
      <c r="I302" s="166"/>
      <c r="J302" s="1869"/>
      <c r="K302" s="166"/>
    </row>
    <row r="303" spans="1:11">
      <c r="A303" s="167">
        <v>2014.06</v>
      </c>
      <c r="B303" s="141">
        <v>7203.7064785299999</v>
      </c>
      <c r="C303" s="223">
        <v>5847.7833066599997</v>
      </c>
      <c r="D303" s="3732">
        <f t="shared" si="4"/>
        <v>1355.9231718700003</v>
      </c>
      <c r="E303" s="166"/>
      <c r="F303" s="954"/>
      <c r="G303" s="1869"/>
      <c r="H303" s="3068"/>
      <c r="I303" s="166"/>
      <c r="J303" s="1869"/>
      <c r="K303" s="166"/>
    </row>
    <row r="304" spans="1:11">
      <c r="A304" s="167">
        <v>2014.07</v>
      </c>
      <c r="B304" s="141">
        <v>6416.9136761700001</v>
      </c>
      <c r="C304" s="223">
        <v>6145.0856844700002</v>
      </c>
      <c r="D304" s="3732">
        <f t="shared" si="4"/>
        <v>271.82799169999998</v>
      </c>
      <c r="E304" s="166"/>
      <c r="F304" s="954"/>
      <c r="G304" s="1869"/>
      <c r="H304" s="3068"/>
      <c r="I304" s="166"/>
      <c r="J304" s="1869"/>
      <c r="K304" s="166"/>
    </row>
    <row r="305" spans="1:11">
      <c r="A305" s="167">
        <v>2014.08</v>
      </c>
      <c r="B305" s="141">
        <v>6419.9555482799997</v>
      </c>
      <c r="C305" s="223">
        <v>5644.3880748299998</v>
      </c>
      <c r="D305" s="3732">
        <f t="shared" si="4"/>
        <v>775.56747344999985</v>
      </c>
      <c r="E305" s="166"/>
      <c r="F305" s="954"/>
      <c r="G305" s="1869"/>
      <c r="H305" s="3068"/>
      <c r="I305" s="166"/>
      <c r="J305" s="1869"/>
      <c r="K305" s="166"/>
    </row>
    <row r="306" spans="1:11">
      <c r="A306" s="167">
        <v>2014.09</v>
      </c>
      <c r="B306" s="141">
        <v>5685.2322747400003</v>
      </c>
      <c r="C306" s="223">
        <v>5644.0880198499999</v>
      </c>
      <c r="D306" s="3732">
        <f t="shared" si="4"/>
        <v>41.144254890000411</v>
      </c>
      <c r="E306" s="166"/>
      <c r="F306" s="954"/>
      <c r="G306" s="1869"/>
      <c r="H306" s="3068"/>
      <c r="I306" s="166"/>
      <c r="J306" s="1869"/>
      <c r="K306" s="166"/>
    </row>
    <row r="307" spans="1:11">
      <c r="A307" s="167">
        <v>2014.1</v>
      </c>
      <c r="B307" s="141">
        <v>5794.0374187699999</v>
      </c>
      <c r="C307" s="223">
        <v>5494.2799463000001</v>
      </c>
      <c r="D307" s="3732">
        <f t="shared" si="4"/>
        <v>299.75747246999981</v>
      </c>
      <c r="E307" s="166"/>
      <c r="F307" s="954"/>
      <c r="G307" s="1869"/>
      <c r="H307" s="3068"/>
      <c r="I307" s="166"/>
      <c r="J307" s="1869"/>
      <c r="K307" s="166"/>
    </row>
    <row r="308" spans="1:11">
      <c r="A308" s="167">
        <v>2014.11</v>
      </c>
      <c r="B308" s="141">
        <v>4889.1889031199998</v>
      </c>
      <c r="C308" s="223">
        <v>4650.9882349299996</v>
      </c>
      <c r="D308" s="3732">
        <f t="shared" si="4"/>
        <v>238.20066819000021</v>
      </c>
      <c r="E308" s="166"/>
      <c r="F308" s="954"/>
      <c r="G308" s="1869"/>
      <c r="H308" s="3068"/>
      <c r="I308" s="166"/>
      <c r="J308" s="1869"/>
      <c r="K308" s="166"/>
    </row>
    <row r="309" spans="1:11">
      <c r="A309" s="167">
        <v>2014.12</v>
      </c>
      <c r="B309" s="141">
        <v>4502.2830679199997</v>
      </c>
      <c r="C309" s="223">
        <v>4300.4224845700001</v>
      </c>
      <c r="D309" s="3732">
        <f t="shared" si="4"/>
        <v>201.86058334999962</v>
      </c>
      <c r="E309" s="166"/>
      <c r="F309" s="954"/>
      <c r="G309" s="1869"/>
      <c r="H309" s="3068"/>
      <c r="I309" s="166"/>
      <c r="J309" s="2492"/>
      <c r="K309" s="166"/>
    </row>
    <row r="310" spans="1:11">
      <c r="A310" s="167">
        <v>2015.01</v>
      </c>
      <c r="B310" s="141">
        <v>3795.98349349</v>
      </c>
      <c r="C310" s="223">
        <v>4362.7050951399997</v>
      </c>
      <c r="D310" s="3732">
        <f t="shared" si="4"/>
        <v>-566.72160164999968</v>
      </c>
      <c r="E310" s="166"/>
      <c r="F310" s="954"/>
      <c r="G310" s="1869"/>
      <c r="H310" s="3068"/>
      <c r="I310" s="166"/>
      <c r="J310" s="1869"/>
      <c r="K310" s="2492"/>
    </row>
    <row r="311" spans="1:11">
      <c r="A311" s="167">
        <v>2015.02</v>
      </c>
      <c r="B311" s="141">
        <v>3871.7165137100001</v>
      </c>
      <c r="C311" s="223">
        <v>4084.5012266600002</v>
      </c>
      <c r="D311" s="3732">
        <f t="shared" si="4"/>
        <v>-212.78471295000008</v>
      </c>
      <c r="E311" s="166"/>
      <c r="F311" s="954"/>
      <c r="G311" s="1869"/>
      <c r="H311" s="3068"/>
      <c r="I311" s="166"/>
      <c r="J311" s="1869"/>
      <c r="K311" s="166"/>
    </row>
    <row r="312" spans="1:11">
      <c r="A312" s="167">
        <v>2015.03</v>
      </c>
      <c r="B312" s="141">
        <v>4381.4602613500001</v>
      </c>
      <c r="C312" s="223">
        <v>5058.82116417</v>
      </c>
      <c r="D312" s="3732">
        <f t="shared" si="4"/>
        <v>-677.36090281999986</v>
      </c>
      <c r="E312" s="166"/>
      <c r="F312" s="954"/>
      <c r="G312" s="1869"/>
      <c r="H312" s="3068"/>
      <c r="I312" s="166"/>
      <c r="J312" s="1869"/>
      <c r="K312" s="166"/>
    </row>
    <row r="313" spans="1:11">
      <c r="A313" s="167">
        <v>2015.04</v>
      </c>
      <c r="B313" s="141">
        <v>5155.2715151900002</v>
      </c>
      <c r="C313" s="223">
        <v>4932.9498221900003</v>
      </c>
      <c r="D313" s="3732">
        <f t="shared" si="4"/>
        <v>222.32169299999987</v>
      </c>
      <c r="E313" s="166"/>
      <c r="F313" s="954"/>
      <c r="G313" s="1869"/>
      <c r="H313" s="3068"/>
      <c r="I313" s="166"/>
      <c r="J313" s="1869"/>
      <c r="K313" s="166"/>
    </row>
    <row r="314" spans="1:11">
      <c r="A314" s="167">
        <v>2015.05</v>
      </c>
      <c r="B314" s="141">
        <v>5205.5041300800003</v>
      </c>
      <c r="C314" s="223">
        <v>5002.9036846600002</v>
      </c>
      <c r="D314" s="3732">
        <f t="shared" si="4"/>
        <v>202.60044542000014</v>
      </c>
      <c r="E314" s="166"/>
      <c r="F314" s="954"/>
      <c r="G314" s="1869"/>
      <c r="H314" s="3068"/>
      <c r="I314" s="166"/>
      <c r="J314" s="1869"/>
      <c r="K314" s="166"/>
    </row>
    <row r="315" spans="1:11">
      <c r="A315" s="167">
        <v>2015.06</v>
      </c>
      <c r="B315" s="141">
        <v>6046.4737291399997</v>
      </c>
      <c r="C315" s="223">
        <v>5707.0664134899998</v>
      </c>
      <c r="D315" s="3732">
        <f t="shared" si="4"/>
        <v>339.40731564999987</v>
      </c>
      <c r="E315" s="166"/>
      <c r="F315" s="954"/>
      <c r="G315" s="1869"/>
      <c r="H315" s="3068"/>
      <c r="I315" s="166"/>
      <c r="J315" s="1869"/>
      <c r="K315" s="166"/>
    </row>
    <row r="316" spans="1:11">
      <c r="A316" s="167">
        <v>2015.07</v>
      </c>
      <c r="B316" s="141">
        <v>5568.8934780199997</v>
      </c>
      <c r="C316" s="223">
        <v>5800.5772562599996</v>
      </c>
      <c r="D316" s="3732">
        <f t="shared" si="4"/>
        <v>-231.68377823999981</v>
      </c>
      <c r="E316" s="166"/>
      <c r="F316" s="954"/>
      <c r="G316" s="1869"/>
      <c r="H316" s="3068"/>
      <c r="I316" s="166"/>
      <c r="J316" s="1869"/>
      <c r="K316" s="166"/>
    </row>
    <row r="317" spans="1:11">
      <c r="A317" s="167">
        <v>2015.08</v>
      </c>
      <c r="B317" s="141">
        <v>5135.7242069599997</v>
      </c>
      <c r="C317" s="223">
        <v>5604.9474584299996</v>
      </c>
      <c r="D317" s="3732">
        <f t="shared" si="4"/>
        <v>-469.22325146999992</v>
      </c>
      <c r="E317" s="166"/>
      <c r="F317" s="954"/>
      <c r="G317" s="1869"/>
      <c r="H317" s="3068"/>
      <c r="I317" s="166"/>
      <c r="J317" s="1869"/>
      <c r="K317" s="166"/>
    </row>
    <row r="318" spans="1:11">
      <c r="A318" s="167">
        <v>2015.09</v>
      </c>
      <c r="B318" s="141">
        <v>5162.0023887799998</v>
      </c>
      <c r="C318" s="223">
        <v>5487.0890577999999</v>
      </c>
      <c r="D318" s="3732">
        <f t="shared" si="4"/>
        <v>-325.08666902000004</v>
      </c>
      <c r="E318" s="166"/>
      <c r="F318" s="954"/>
      <c r="G318" s="1869"/>
      <c r="H318" s="3068"/>
      <c r="I318" s="166"/>
      <c r="J318" s="1869"/>
      <c r="K318" s="166"/>
    </row>
    <row r="319" spans="1:11">
      <c r="A319" s="167">
        <v>2015.1</v>
      </c>
      <c r="B319" s="141">
        <v>5032.9572304000003</v>
      </c>
      <c r="C319" s="223">
        <v>5058.0012810300004</v>
      </c>
      <c r="D319" s="3732">
        <f t="shared" si="4"/>
        <v>-25.044050630000129</v>
      </c>
      <c r="E319" s="166"/>
      <c r="F319" s="954"/>
      <c r="G319" s="1869"/>
      <c r="H319" s="3068"/>
      <c r="I319" s="166"/>
      <c r="J319" s="1869"/>
      <c r="K319" s="166"/>
    </row>
    <row r="320" spans="1:11">
      <c r="A320" s="167">
        <v>2015.11</v>
      </c>
      <c r="B320" s="141">
        <v>3998.62885319</v>
      </c>
      <c r="C320" s="223">
        <v>4699.56622909</v>
      </c>
      <c r="D320" s="3732">
        <f t="shared" si="4"/>
        <v>-700.93737590000001</v>
      </c>
      <c r="E320" s="166"/>
      <c r="F320" s="954"/>
      <c r="G320" s="1869"/>
      <c r="H320" s="3068"/>
      <c r="I320" s="166"/>
      <c r="J320" s="1869"/>
      <c r="K320" s="166"/>
    </row>
    <row r="321" spans="1:11">
      <c r="A321" s="167">
        <v>2015.12</v>
      </c>
      <c r="B321" s="141">
        <v>3429.3367033700001</v>
      </c>
      <c r="C321" s="223">
        <v>4403.90684521</v>
      </c>
      <c r="D321" s="3732">
        <f t="shared" si="4"/>
        <v>-974.57014183999991</v>
      </c>
      <c r="E321" s="166"/>
      <c r="F321" s="954"/>
      <c r="G321" s="1869"/>
      <c r="H321" s="3068"/>
      <c r="I321" s="166"/>
      <c r="J321" s="2492"/>
      <c r="K321" s="166"/>
    </row>
    <row r="322" spans="1:11">
      <c r="A322" s="167">
        <f>A310+1</f>
        <v>2016.01</v>
      </c>
      <c r="B322" s="141">
        <v>3880.89381</v>
      </c>
      <c r="C322" s="223">
        <v>4123.27232551</v>
      </c>
      <c r="D322" s="3732">
        <f t="shared" si="4"/>
        <v>-242.37851550999994</v>
      </c>
      <c r="E322" s="166"/>
      <c r="F322" s="954"/>
      <c r="G322" s="1869"/>
      <c r="H322" s="3068"/>
      <c r="I322" s="166"/>
      <c r="J322" s="1869"/>
      <c r="K322" s="2492"/>
    </row>
    <row r="323" spans="1:11">
      <c r="A323" s="167">
        <f t="shared" ref="A323:A350" si="5">A311+1</f>
        <v>2016.02</v>
      </c>
      <c r="B323" s="141">
        <v>4140.9005733599997</v>
      </c>
      <c r="C323" s="223">
        <v>4096.1900212500004</v>
      </c>
      <c r="D323" s="3732">
        <f t="shared" si="4"/>
        <v>44.710552109999298</v>
      </c>
      <c r="E323" s="166"/>
      <c r="F323" s="954"/>
      <c r="G323" s="1869"/>
      <c r="H323" s="3068"/>
      <c r="I323" s="166"/>
      <c r="J323" s="1869"/>
      <c r="K323" s="166"/>
    </row>
    <row r="324" spans="1:11">
      <c r="A324" s="167">
        <f t="shared" si="5"/>
        <v>2016.03</v>
      </c>
      <c r="B324" s="141">
        <v>4420.8489055999999</v>
      </c>
      <c r="C324" s="223">
        <v>4556.33606667</v>
      </c>
      <c r="D324" s="3732">
        <f t="shared" si="4"/>
        <v>-135.48716107000018</v>
      </c>
      <c r="E324" s="166"/>
      <c r="F324" s="954"/>
      <c r="G324" s="1869"/>
      <c r="H324" s="3068"/>
      <c r="I324" s="166"/>
      <c r="J324" s="1869"/>
      <c r="K324" s="166"/>
    </row>
    <row r="325" spans="1:11">
      <c r="A325" s="167">
        <f t="shared" si="5"/>
        <v>2016.04</v>
      </c>
      <c r="B325" s="141">
        <v>4739.5571006</v>
      </c>
      <c r="C325" s="223">
        <v>4422.6567008900001</v>
      </c>
      <c r="D325" s="3732">
        <f t="shared" si="4"/>
        <v>316.90039970999987</v>
      </c>
      <c r="E325" s="166"/>
      <c r="F325" s="954"/>
      <c r="G325" s="1869"/>
      <c r="H325" s="3068"/>
      <c r="I325" s="166"/>
      <c r="J325" s="1869"/>
      <c r="K325" s="166"/>
    </row>
    <row r="326" spans="1:11">
      <c r="A326" s="167">
        <f t="shared" si="5"/>
        <v>2016.05</v>
      </c>
      <c r="B326" s="141">
        <v>5383.4311518699997</v>
      </c>
      <c r="C326" s="223">
        <v>4873.58161759</v>
      </c>
      <c r="D326" s="3732">
        <f t="shared" si="4"/>
        <v>509.84953427999972</v>
      </c>
      <c r="E326" s="166"/>
      <c r="F326" s="954"/>
      <c r="G326" s="1869"/>
      <c r="H326" s="3068"/>
      <c r="I326" s="166"/>
      <c r="J326" s="1869"/>
      <c r="K326" s="166"/>
    </row>
    <row r="327" spans="1:11">
      <c r="A327" s="167">
        <f t="shared" si="5"/>
        <v>2016.06</v>
      </c>
      <c r="B327" s="141">
        <v>5304.9355165300003</v>
      </c>
      <c r="C327" s="223">
        <v>5046.3732850300003</v>
      </c>
      <c r="D327" s="3732">
        <f t="shared" si="4"/>
        <v>258.56223150000005</v>
      </c>
      <c r="E327" s="166"/>
      <c r="F327" s="954"/>
      <c r="G327" s="1869"/>
      <c r="H327" s="3068"/>
      <c r="I327" s="166"/>
      <c r="J327" s="1869"/>
      <c r="K327" s="166"/>
    </row>
    <row r="328" spans="1:11">
      <c r="A328" s="167">
        <f t="shared" si="5"/>
        <v>2016.07</v>
      </c>
      <c r="B328" s="141">
        <v>5001.6074998100003</v>
      </c>
      <c r="C328" s="223">
        <v>4717.6372224300003</v>
      </c>
      <c r="D328" s="3732">
        <f t="shared" si="4"/>
        <v>283.97027737999997</v>
      </c>
      <c r="E328" s="166"/>
      <c r="F328" s="954"/>
      <c r="G328" s="1869"/>
      <c r="H328" s="3068"/>
      <c r="I328" s="166"/>
      <c r="J328" s="1869"/>
      <c r="K328" s="166"/>
    </row>
    <row r="329" spans="1:11">
      <c r="A329" s="167">
        <f t="shared" si="5"/>
        <v>2016.08</v>
      </c>
      <c r="B329" s="141">
        <v>5763.7694112099998</v>
      </c>
      <c r="C329" s="223">
        <v>5173.6932191699998</v>
      </c>
      <c r="D329" s="3732">
        <f t="shared" si="4"/>
        <v>590.07619204000002</v>
      </c>
      <c r="E329" s="166"/>
      <c r="F329" s="954"/>
      <c r="G329" s="1869"/>
      <c r="H329" s="3068"/>
      <c r="I329" s="1840"/>
      <c r="J329" s="166"/>
      <c r="K329" s="1869"/>
    </row>
    <row r="330" spans="1:11">
      <c r="A330" s="167">
        <f t="shared" si="5"/>
        <v>2016.09</v>
      </c>
      <c r="B330" s="141">
        <v>5049.55097105</v>
      </c>
      <c r="C330" s="223">
        <v>4741.4272834699996</v>
      </c>
      <c r="D330" s="3732">
        <f t="shared" si="4"/>
        <v>308.12368758000048</v>
      </c>
      <c r="E330" s="166"/>
      <c r="F330" s="954"/>
      <c r="G330" s="1869"/>
      <c r="H330" s="3068"/>
      <c r="I330" s="166"/>
      <c r="J330" s="1869"/>
      <c r="K330" s="166"/>
    </row>
    <row r="331" spans="1:11">
      <c r="A331" s="167">
        <f t="shared" si="5"/>
        <v>2016.1</v>
      </c>
      <c r="B331" s="141">
        <v>4736.7338409800004</v>
      </c>
      <c r="C331" s="223">
        <v>4782.9541800899997</v>
      </c>
      <c r="D331" s="3732">
        <f t="shared" ref="D331:D394" si="6">B331-C331</f>
        <v>-46.220339109999259</v>
      </c>
      <c r="E331" s="166"/>
      <c r="F331" s="954"/>
      <c r="G331" s="1869"/>
      <c r="H331" s="3068"/>
      <c r="I331" s="166"/>
      <c r="J331" s="1869"/>
      <c r="K331" s="166"/>
    </row>
    <row r="332" spans="1:11">
      <c r="A332" s="167">
        <f>A320+1</f>
        <v>2016.11</v>
      </c>
      <c r="B332" s="141">
        <v>4837.4206106900001</v>
      </c>
      <c r="C332" s="223">
        <v>4723.1506052200002</v>
      </c>
      <c r="D332" s="3732">
        <f t="shared" si="6"/>
        <v>114.27000546999989</v>
      </c>
      <c r="E332" s="166"/>
      <c r="F332" s="954"/>
      <c r="G332" s="1869"/>
      <c r="H332" s="3068"/>
      <c r="I332" s="166"/>
      <c r="J332" s="1869"/>
      <c r="K332" s="166"/>
    </row>
    <row r="333" spans="1:11">
      <c r="A333" s="167">
        <f t="shared" si="5"/>
        <v>2016.12</v>
      </c>
      <c r="B333" s="141">
        <v>4649.4481008800003</v>
      </c>
      <c r="C333" s="223">
        <v>4594.79292979</v>
      </c>
      <c r="D333" s="3732">
        <f t="shared" si="6"/>
        <v>54.655171090000294</v>
      </c>
      <c r="E333" s="166"/>
      <c r="F333" s="954"/>
      <c r="G333" s="1869"/>
      <c r="H333" s="3068"/>
      <c r="I333" s="166"/>
      <c r="J333" s="2492"/>
      <c r="K333" s="166"/>
    </row>
    <row r="334" spans="1:11">
      <c r="A334" s="167">
        <f t="shared" si="5"/>
        <v>2017.01</v>
      </c>
      <c r="B334" s="141">
        <v>4290.7550579400004</v>
      </c>
      <c r="C334" s="223">
        <v>4344.1163460999996</v>
      </c>
      <c r="D334" s="3732">
        <f t="shared" si="6"/>
        <v>-53.361288159999276</v>
      </c>
      <c r="E334" s="166"/>
      <c r="F334" s="954"/>
      <c r="G334" s="1869"/>
      <c r="H334" s="3068"/>
      <c r="I334" s="166"/>
      <c r="J334" s="1869"/>
      <c r="K334" s="2492"/>
    </row>
    <row r="335" spans="1:11">
      <c r="A335" s="167">
        <f t="shared" si="5"/>
        <v>2017.02</v>
      </c>
      <c r="B335" s="141">
        <v>3899.3477349200002</v>
      </c>
      <c r="C335" s="223">
        <v>4117.1686595700003</v>
      </c>
      <c r="D335" s="3732">
        <f t="shared" si="6"/>
        <v>-217.82092465000005</v>
      </c>
      <c r="E335" s="166"/>
      <c r="F335" s="954"/>
      <c r="G335" s="1869"/>
      <c r="H335" s="3068"/>
      <c r="I335" s="166"/>
      <c r="J335" s="1869"/>
      <c r="K335" s="166"/>
    </row>
    <row r="336" spans="1:11">
      <c r="A336" s="167">
        <f t="shared" si="5"/>
        <v>2017.03</v>
      </c>
      <c r="B336" s="141">
        <v>4564.6711114</v>
      </c>
      <c r="C336" s="223">
        <v>5474.9833046599997</v>
      </c>
      <c r="D336" s="3732">
        <f t="shared" si="6"/>
        <v>-910.31219325999973</v>
      </c>
      <c r="E336" s="166"/>
      <c r="F336" s="954"/>
      <c r="G336" s="1869"/>
      <c r="H336" s="3068"/>
      <c r="I336" s="166"/>
      <c r="J336" s="1869"/>
      <c r="K336" s="166"/>
    </row>
    <row r="337" spans="1:11">
      <c r="A337" s="167">
        <f t="shared" si="5"/>
        <v>2017.04</v>
      </c>
      <c r="B337" s="141">
        <v>4866.6298122799999</v>
      </c>
      <c r="C337" s="223">
        <v>4973.1024557700002</v>
      </c>
      <c r="D337" s="3732">
        <f t="shared" si="6"/>
        <v>-106.47264349000034</v>
      </c>
      <c r="E337" s="166"/>
      <c r="F337" s="954"/>
      <c r="G337" s="1869"/>
      <c r="H337" s="3068"/>
      <c r="I337" s="166"/>
      <c r="J337" s="1869"/>
      <c r="K337" s="166"/>
    </row>
    <row r="338" spans="1:11">
      <c r="A338" s="167">
        <f t="shared" si="5"/>
        <v>2017.05</v>
      </c>
      <c r="B338" s="141">
        <v>5493.1816346799997</v>
      </c>
      <c r="C338" s="223">
        <v>6064.3205924499998</v>
      </c>
      <c r="D338" s="3732">
        <f t="shared" si="6"/>
        <v>-571.13895777000016</v>
      </c>
      <c r="E338" s="166"/>
      <c r="F338" s="954"/>
      <c r="G338" s="1869"/>
      <c r="H338" s="3068"/>
      <c r="I338" s="166"/>
      <c r="J338" s="1869"/>
      <c r="K338" s="166"/>
    </row>
    <row r="339" spans="1:11">
      <c r="A339" s="167">
        <f t="shared" si="5"/>
        <v>2017.06</v>
      </c>
      <c r="B339" s="141">
        <v>5158.4868016500004</v>
      </c>
      <c r="C339" s="223">
        <v>5898.1482146899998</v>
      </c>
      <c r="D339" s="3732">
        <f t="shared" si="6"/>
        <v>-739.66141303999939</v>
      </c>
      <c r="E339" s="166"/>
      <c r="F339" s="954"/>
      <c r="G339" s="1869"/>
      <c r="H339" s="3068"/>
      <c r="I339" s="166"/>
      <c r="J339" s="1869"/>
      <c r="K339" s="166"/>
    </row>
    <row r="340" spans="1:11">
      <c r="A340" s="167">
        <f t="shared" si="5"/>
        <v>2017.07</v>
      </c>
      <c r="B340" s="141">
        <v>5304.0836505500001</v>
      </c>
      <c r="C340" s="223">
        <v>6042.7361441200001</v>
      </c>
      <c r="D340" s="3732">
        <f t="shared" si="6"/>
        <v>-738.65249356999993</v>
      </c>
      <c r="E340" s="166"/>
      <c r="F340" s="954"/>
      <c r="G340" s="1869"/>
      <c r="H340" s="3068"/>
      <c r="I340" s="166"/>
      <c r="J340" s="1869"/>
      <c r="K340" s="166"/>
    </row>
    <row r="341" spans="1:11">
      <c r="A341" s="167">
        <f>A329+1</f>
        <v>2017.08</v>
      </c>
      <c r="B341" s="141">
        <v>5272.3771957400004</v>
      </c>
      <c r="C341" s="223">
        <v>6316.7319613099999</v>
      </c>
      <c r="D341" s="3732">
        <f t="shared" si="6"/>
        <v>-1044.3547655699995</v>
      </c>
      <c r="E341" s="166"/>
      <c r="F341" s="954"/>
      <c r="G341" s="1869"/>
      <c r="H341" s="3068"/>
      <c r="I341" s="166"/>
      <c r="J341" s="1869"/>
      <c r="K341" s="166"/>
    </row>
    <row r="342" spans="1:11">
      <c r="A342" s="167">
        <f t="shared" si="5"/>
        <v>2017.09</v>
      </c>
      <c r="B342" s="141">
        <v>5268.2368573699996</v>
      </c>
      <c r="C342" s="223">
        <v>5968.3476645600003</v>
      </c>
      <c r="D342" s="3732">
        <f t="shared" si="6"/>
        <v>-700.11080719000074</v>
      </c>
      <c r="E342" s="166"/>
      <c r="F342" s="954"/>
      <c r="G342" s="1869"/>
      <c r="H342" s="3068"/>
      <c r="I342" s="166"/>
      <c r="J342" s="1869"/>
      <c r="K342" s="166"/>
    </row>
    <row r="343" spans="1:11">
      <c r="A343" s="167">
        <f t="shared" si="5"/>
        <v>2017.1</v>
      </c>
      <c r="B343" s="141">
        <v>5280.53326543</v>
      </c>
      <c r="C343" s="223">
        <v>6209.1340681499996</v>
      </c>
      <c r="D343" s="3732">
        <f t="shared" si="6"/>
        <v>-928.60080271999959</v>
      </c>
      <c r="E343" s="166"/>
      <c r="F343" s="954"/>
      <c r="G343" s="1869"/>
      <c r="H343" s="3068"/>
      <c r="I343" s="166"/>
      <c r="J343" s="1869"/>
      <c r="K343" s="166"/>
    </row>
    <row r="344" spans="1:11">
      <c r="A344" s="167">
        <f t="shared" si="5"/>
        <v>2017.11</v>
      </c>
      <c r="B344" s="141">
        <v>4668.0095273300003</v>
      </c>
      <c r="C344" s="223">
        <v>6163.3646786299996</v>
      </c>
      <c r="D344" s="3732">
        <f t="shared" si="6"/>
        <v>-1495.3551512999993</v>
      </c>
      <c r="E344" s="166"/>
      <c r="F344" s="954"/>
      <c r="G344" s="1869"/>
      <c r="H344" s="3068"/>
      <c r="I344" s="166"/>
      <c r="J344" s="1869"/>
      <c r="K344" s="166"/>
    </row>
    <row r="345" spans="1:11">
      <c r="A345" s="167">
        <f t="shared" si="5"/>
        <v>2017.12</v>
      </c>
      <c r="B345" s="141">
        <v>4578.4209987000004</v>
      </c>
      <c r="C345" s="223">
        <v>5365.9305903699997</v>
      </c>
      <c r="D345" s="3732">
        <f t="shared" si="6"/>
        <v>-787.50959166999928</v>
      </c>
      <c r="E345" s="166"/>
      <c r="F345" s="954"/>
      <c r="G345" s="1869"/>
      <c r="H345" s="3068"/>
      <c r="I345" s="166"/>
      <c r="J345" s="2492"/>
      <c r="K345" s="166"/>
    </row>
    <row r="346" spans="1:11">
      <c r="A346" s="167">
        <f t="shared" si="5"/>
        <v>2018.01</v>
      </c>
      <c r="B346" s="141">
        <v>4810.2403818000003</v>
      </c>
      <c r="C346" s="223">
        <v>5743.2639206399999</v>
      </c>
      <c r="D346" s="3732">
        <f t="shared" si="6"/>
        <v>-933.02353883999967</v>
      </c>
      <c r="E346" s="166"/>
      <c r="F346" s="954"/>
      <c r="G346" s="1869"/>
      <c r="H346" s="3068"/>
      <c r="I346" s="166"/>
      <c r="J346" s="1869"/>
      <c r="K346" s="2492"/>
    </row>
    <row r="347" spans="1:11">
      <c r="A347" s="167">
        <f t="shared" si="5"/>
        <v>2018.02</v>
      </c>
      <c r="B347" s="141">
        <v>4304.2139994999998</v>
      </c>
      <c r="C347" s="223">
        <v>5195.9802166700001</v>
      </c>
      <c r="D347" s="3732">
        <f t="shared" si="6"/>
        <v>-891.76621717000035</v>
      </c>
      <c r="E347" s="166"/>
      <c r="F347" s="954"/>
      <c r="G347" s="1869"/>
      <c r="H347" s="3068"/>
      <c r="I347" s="166"/>
      <c r="J347" s="1869"/>
      <c r="K347" s="166"/>
    </row>
    <row r="348" spans="1:11">
      <c r="A348" s="167">
        <f t="shared" si="5"/>
        <v>2018.03</v>
      </c>
      <c r="B348" s="141">
        <v>5416.6648324199996</v>
      </c>
      <c r="C348" s="223">
        <v>5978.9496413999996</v>
      </c>
      <c r="D348" s="3732">
        <f t="shared" si="6"/>
        <v>-562.28480897999998</v>
      </c>
      <c r="E348" s="166"/>
      <c r="F348" s="954"/>
      <c r="G348" s="1869"/>
      <c r="H348" s="3068"/>
      <c r="I348" s="166"/>
      <c r="J348" s="1869"/>
      <c r="K348" s="166"/>
    </row>
    <row r="349" spans="1:11">
      <c r="A349" s="167">
        <f t="shared" si="5"/>
        <v>2018.04</v>
      </c>
      <c r="B349" s="141">
        <v>5216.3309415699996</v>
      </c>
      <c r="C349" s="223">
        <v>6105.5850650299999</v>
      </c>
      <c r="D349" s="3732">
        <f t="shared" si="6"/>
        <v>-889.2541234600003</v>
      </c>
      <c r="E349" s="166"/>
      <c r="F349" s="954"/>
      <c r="G349" s="1869"/>
      <c r="H349" s="3068"/>
      <c r="I349" s="166"/>
      <c r="J349" s="1869"/>
      <c r="K349" s="166"/>
    </row>
    <row r="350" spans="1:11">
      <c r="A350" s="167">
        <f t="shared" si="5"/>
        <v>2018.05</v>
      </c>
      <c r="B350" s="141">
        <v>5163.0552134199997</v>
      </c>
      <c r="C350" s="223">
        <v>6448.0005496499998</v>
      </c>
      <c r="D350" s="3732">
        <f t="shared" si="6"/>
        <v>-1284.9453362300001</v>
      </c>
      <c r="E350" s="166"/>
      <c r="F350" s="954"/>
      <c r="G350" s="1869"/>
      <c r="H350" s="3068"/>
      <c r="I350" s="166"/>
      <c r="J350" s="1869"/>
      <c r="K350" s="166"/>
    </row>
    <row r="351" spans="1:11">
      <c r="A351" s="167">
        <f>A339+1</f>
        <v>2018.06</v>
      </c>
      <c r="B351" s="141">
        <v>5133.4260802299996</v>
      </c>
      <c r="C351" s="223">
        <v>5461.0193589299997</v>
      </c>
      <c r="D351" s="3732">
        <f t="shared" si="6"/>
        <v>-327.59327870000016</v>
      </c>
      <c r="E351" s="166"/>
      <c r="F351" s="954"/>
      <c r="G351" s="1869"/>
      <c r="H351" s="3068"/>
      <c r="I351" s="166"/>
      <c r="J351" s="1869"/>
      <c r="K351" s="166"/>
    </row>
    <row r="352" spans="1:11">
      <c r="A352" s="167">
        <f>A340+1</f>
        <v>2018.07</v>
      </c>
      <c r="B352" s="141">
        <v>5414.8310505099998</v>
      </c>
      <c r="C352" s="223">
        <v>6182.40102398</v>
      </c>
      <c r="D352" s="3732">
        <f t="shared" si="6"/>
        <v>-767.56997347000015</v>
      </c>
      <c r="E352" s="166"/>
      <c r="F352" s="954"/>
      <c r="G352" s="1869"/>
      <c r="H352" s="3068"/>
      <c r="I352" s="166"/>
      <c r="J352" s="1869"/>
      <c r="K352" s="166"/>
    </row>
    <row r="353" spans="1:11">
      <c r="A353" s="167">
        <f t="shared" ref="A353:A359" si="7">A341+1</f>
        <v>2018.08</v>
      </c>
      <c r="B353" s="141">
        <v>5201.8101749899997</v>
      </c>
      <c r="C353" s="223">
        <v>6314.3010030300002</v>
      </c>
      <c r="D353" s="3732">
        <f t="shared" si="6"/>
        <v>-1112.4908280400005</v>
      </c>
      <c r="E353" s="166"/>
      <c r="F353" s="954"/>
      <c r="G353" s="1869"/>
      <c r="H353" s="3068"/>
      <c r="I353" s="166"/>
      <c r="J353" s="1869"/>
      <c r="K353" s="166"/>
    </row>
    <row r="354" spans="1:11">
      <c r="A354" s="167">
        <f t="shared" si="7"/>
        <v>2018.09</v>
      </c>
      <c r="B354" s="141">
        <v>5036.8083967499997</v>
      </c>
      <c r="C354" s="223">
        <v>4699.9546294800002</v>
      </c>
      <c r="D354" s="3732">
        <f t="shared" si="6"/>
        <v>336.85376726999948</v>
      </c>
      <c r="E354" s="166"/>
      <c r="F354" s="954"/>
      <c r="G354" s="1869"/>
      <c r="H354" s="3068"/>
      <c r="I354" s="166"/>
      <c r="J354" s="1869"/>
      <c r="K354" s="166"/>
    </row>
    <row r="355" spans="1:11">
      <c r="A355" s="167">
        <f t="shared" si="7"/>
        <v>2018.1</v>
      </c>
      <c r="B355" s="141">
        <v>5398.1255937300002</v>
      </c>
      <c r="C355" s="223">
        <v>5073.4736818000001</v>
      </c>
      <c r="D355" s="3732">
        <f t="shared" si="6"/>
        <v>324.6519119300001</v>
      </c>
      <c r="E355" s="166"/>
      <c r="F355" s="954"/>
      <c r="G355" s="1869"/>
      <c r="H355" s="3068"/>
      <c r="I355" s="166"/>
      <c r="J355" s="1869"/>
      <c r="K355" s="166"/>
    </row>
    <row r="356" spans="1:11">
      <c r="A356" s="167">
        <f t="shared" si="7"/>
        <v>2018.11</v>
      </c>
      <c r="B356" s="141">
        <v>5349.6076493399996</v>
      </c>
      <c r="C356" s="223">
        <v>4363.0121795599998</v>
      </c>
      <c r="D356" s="3732">
        <f t="shared" si="6"/>
        <v>986.5954697799998</v>
      </c>
      <c r="E356" s="166"/>
      <c r="F356" s="954"/>
      <c r="G356" s="1869"/>
      <c r="H356" s="3068"/>
      <c r="I356" s="166"/>
      <c r="J356" s="1869"/>
      <c r="K356" s="166"/>
    </row>
    <row r="357" spans="1:11">
      <c r="A357" s="167">
        <f t="shared" si="7"/>
        <v>2018.12</v>
      </c>
      <c r="B357" s="141">
        <v>5336.4142868700001</v>
      </c>
      <c r="C357" s="223">
        <v>3916.8731460399999</v>
      </c>
      <c r="D357" s="3732">
        <f t="shared" si="6"/>
        <v>1419.5411408300001</v>
      </c>
      <c r="E357" s="166"/>
      <c r="F357" s="954"/>
      <c r="G357" s="1869"/>
      <c r="H357" s="3068"/>
      <c r="I357" s="166"/>
      <c r="J357" s="2492"/>
      <c r="K357" s="166"/>
    </row>
    <row r="358" spans="1:11">
      <c r="A358" s="167">
        <f t="shared" si="7"/>
        <v>2019.01</v>
      </c>
      <c r="B358" s="141">
        <v>4584.79247889</v>
      </c>
      <c r="C358" s="223">
        <v>4211.8068060599999</v>
      </c>
      <c r="D358" s="3732">
        <f t="shared" si="6"/>
        <v>372.98567283000011</v>
      </c>
      <c r="E358" s="166"/>
      <c r="F358" s="954"/>
      <c r="G358" s="1869"/>
      <c r="H358" s="3068"/>
      <c r="I358" s="166"/>
      <c r="J358" s="1869"/>
      <c r="K358" s="2492"/>
    </row>
    <row r="359" spans="1:11">
      <c r="A359" s="167">
        <f t="shared" si="7"/>
        <v>2019.02</v>
      </c>
      <c r="B359" s="141">
        <v>4447.6533387299996</v>
      </c>
      <c r="C359" s="223">
        <v>3997.93744612</v>
      </c>
      <c r="D359" s="3732">
        <f t="shared" si="6"/>
        <v>449.71589260999963</v>
      </c>
      <c r="E359" s="166"/>
      <c r="F359" s="954"/>
      <c r="G359" s="1869"/>
      <c r="H359" s="3068"/>
      <c r="I359" s="166"/>
      <c r="J359" s="1869"/>
      <c r="K359" s="166"/>
    </row>
    <row r="360" spans="1:11">
      <c r="A360" s="167">
        <f>A348+1</f>
        <v>2019.03</v>
      </c>
      <c r="B360" s="141">
        <v>5136.9720131000004</v>
      </c>
      <c r="C360" s="223">
        <v>3956.3127303699998</v>
      </c>
      <c r="D360" s="3732">
        <f t="shared" si="6"/>
        <v>1180.6592827300005</v>
      </c>
      <c r="E360" s="166"/>
      <c r="F360" s="954"/>
      <c r="G360" s="1869"/>
      <c r="H360" s="3068"/>
      <c r="I360" s="166"/>
      <c r="J360" s="1869"/>
      <c r="K360" s="166"/>
    </row>
    <row r="361" spans="1:11">
      <c r="A361" s="167">
        <f t="shared" ref="A361:A369" si="8">A349+1</f>
        <v>2019.04</v>
      </c>
      <c r="B361" s="141">
        <v>5337.1754478900002</v>
      </c>
      <c r="C361" s="223">
        <v>4172.2816332599996</v>
      </c>
      <c r="D361" s="3732">
        <f t="shared" si="6"/>
        <v>1164.8938146300006</v>
      </c>
      <c r="E361" s="166"/>
      <c r="F361" s="954"/>
      <c r="G361" s="1869"/>
      <c r="H361" s="3068"/>
      <c r="I361" s="166"/>
      <c r="J361" s="1869"/>
      <c r="K361" s="166"/>
    </row>
    <row r="362" spans="1:11">
      <c r="A362" s="167">
        <f t="shared" si="8"/>
        <v>2019.05</v>
      </c>
      <c r="B362" s="141">
        <v>6043.6899084899997</v>
      </c>
      <c r="C362" s="223">
        <v>4644.7887214299999</v>
      </c>
      <c r="D362" s="3732">
        <f t="shared" si="6"/>
        <v>1398.9011870599998</v>
      </c>
      <c r="E362" s="166"/>
      <c r="F362" s="954"/>
      <c r="G362" s="1869"/>
      <c r="H362" s="3068"/>
      <c r="I362" s="166"/>
      <c r="J362" s="1869"/>
      <c r="K362" s="166"/>
    </row>
    <row r="363" spans="1:11">
      <c r="A363" s="167">
        <f t="shared" si="8"/>
        <v>2019.06</v>
      </c>
      <c r="B363" s="141">
        <v>5239.1449330599999</v>
      </c>
      <c r="C363" s="223">
        <v>4171.3918055100003</v>
      </c>
      <c r="D363" s="3732">
        <f t="shared" si="6"/>
        <v>1067.7531275499996</v>
      </c>
      <c r="E363" s="166"/>
      <c r="F363" s="954"/>
      <c r="G363" s="1869"/>
      <c r="H363" s="3068"/>
      <c r="I363" s="166"/>
      <c r="J363" s="1869"/>
      <c r="K363" s="166"/>
    </row>
    <row r="364" spans="1:11">
      <c r="A364" s="167">
        <f t="shared" si="8"/>
        <v>2019.07</v>
      </c>
      <c r="B364" s="141">
        <v>5855.7164680300002</v>
      </c>
      <c r="C364" s="223">
        <v>4905.2978407800001</v>
      </c>
      <c r="D364" s="3732">
        <f t="shared" si="6"/>
        <v>950.4186272500001</v>
      </c>
      <c r="E364" s="166"/>
      <c r="F364" s="954"/>
      <c r="G364" s="1869"/>
      <c r="H364" s="3068"/>
      <c r="I364" s="166"/>
      <c r="J364" s="1869"/>
      <c r="K364" s="166"/>
    </row>
    <row r="365" spans="1:11">
      <c r="A365" s="167">
        <f t="shared" si="8"/>
        <v>2019.08</v>
      </c>
      <c r="B365" s="141">
        <v>5568.03563596</v>
      </c>
      <c r="C365" s="223">
        <v>4400.0941811599996</v>
      </c>
      <c r="D365" s="3732">
        <f t="shared" si="6"/>
        <v>1167.9414548000004</v>
      </c>
      <c r="E365" s="166"/>
      <c r="F365" s="954"/>
      <c r="G365" s="1869"/>
      <c r="H365" s="3068"/>
      <c r="I365" s="166"/>
      <c r="J365" s="1869"/>
      <c r="K365" s="166"/>
    </row>
    <row r="366" spans="1:11">
      <c r="A366" s="167">
        <f t="shared" si="8"/>
        <v>2019.09</v>
      </c>
      <c r="B366" s="141">
        <v>5746.0370153599997</v>
      </c>
      <c r="C366" s="223">
        <v>4001.9418050499999</v>
      </c>
      <c r="D366" s="3732">
        <f t="shared" si="6"/>
        <v>1744.0952103099999</v>
      </c>
      <c r="E366" s="166"/>
      <c r="F366" s="954"/>
      <c r="G366" s="1869"/>
      <c r="H366" s="3068"/>
      <c r="I366" s="166"/>
      <c r="J366" s="1869"/>
      <c r="K366" s="166"/>
    </row>
    <row r="367" spans="1:11">
      <c r="A367" s="167">
        <f t="shared" si="8"/>
        <v>2019.1</v>
      </c>
      <c r="B367" s="141">
        <v>5889.0927936600001</v>
      </c>
      <c r="C367" s="223">
        <v>4121.4302404199998</v>
      </c>
      <c r="D367" s="3732">
        <f t="shared" si="6"/>
        <v>1767.6625532400003</v>
      </c>
      <c r="E367" s="166"/>
      <c r="F367" s="954"/>
      <c r="G367" s="1869"/>
      <c r="H367" s="3068"/>
      <c r="I367" s="166"/>
      <c r="J367" s="1869"/>
      <c r="K367" s="166"/>
    </row>
    <row r="368" spans="1:11">
      <c r="A368" s="167">
        <f t="shared" si="8"/>
        <v>2019.11</v>
      </c>
      <c r="B368" s="141">
        <v>5892.6712104999997</v>
      </c>
      <c r="C368" s="223">
        <v>3408.6821824399999</v>
      </c>
      <c r="D368" s="3732">
        <f t="shared" si="6"/>
        <v>2483.9890280599998</v>
      </c>
      <c r="E368" s="166"/>
      <c r="F368" s="954"/>
      <c r="G368" s="1869"/>
      <c r="H368" s="3068"/>
      <c r="I368" s="166"/>
      <c r="J368" s="1869"/>
      <c r="K368" s="166"/>
    </row>
    <row r="369" spans="1:11">
      <c r="A369" s="167">
        <f t="shared" si="8"/>
        <v>2019.12</v>
      </c>
      <c r="B369" s="141">
        <v>5374.3453798800001</v>
      </c>
      <c r="C369" s="223">
        <v>3133.0645833499998</v>
      </c>
      <c r="D369" s="3732">
        <f t="shared" si="6"/>
        <v>2241.2807965300003</v>
      </c>
      <c r="E369" s="166"/>
      <c r="F369" s="954"/>
      <c r="G369" s="1869"/>
      <c r="H369" s="3068"/>
      <c r="I369" s="166"/>
      <c r="J369" s="2492"/>
      <c r="K369" s="166"/>
    </row>
    <row r="370" spans="1:11">
      <c r="A370" s="167">
        <f>A358+1</f>
        <v>2020.01</v>
      </c>
      <c r="B370" s="141">
        <v>4579.4688182899999</v>
      </c>
      <c r="C370" s="223">
        <v>3535.4338468199999</v>
      </c>
      <c r="D370" s="3732">
        <f t="shared" si="6"/>
        <v>1044.0349714700001</v>
      </c>
      <c r="E370" s="166"/>
      <c r="F370" s="954"/>
      <c r="G370" s="1869"/>
      <c r="H370" s="3068"/>
      <c r="I370" s="166"/>
      <c r="J370" s="1869"/>
      <c r="K370" s="2492"/>
    </row>
    <row r="371" spans="1:11">
      <c r="A371" s="167">
        <f t="shared" ref="A371:A378" si="9">A359+1</f>
        <v>2020.02</v>
      </c>
      <c r="B371" s="141">
        <v>4377.9862334299996</v>
      </c>
      <c r="C371" s="223">
        <v>3191.2242275399999</v>
      </c>
      <c r="D371" s="3732">
        <f t="shared" si="6"/>
        <v>1186.7620058899997</v>
      </c>
      <c r="E371" s="166"/>
      <c r="F371" s="954"/>
      <c r="G371" s="1869"/>
      <c r="H371" s="3068"/>
      <c r="I371" s="166"/>
      <c r="J371" s="1869"/>
      <c r="K371" s="166"/>
    </row>
    <row r="372" spans="1:11">
      <c r="A372" s="167">
        <f t="shared" si="9"/>
        <v>2020.03</v>
      </c>
      <c r="B372" s="141">
        <v>4382.6693789199999</v>
      </c>
      <c r="C372" s="223">
        <v>3154.1879469999999</v>
      </c>
      <c r="D372" s="3732">
        <f t="shared" si="6"/>
        <v>1228.48143192</v>
      </c>
      <c r="E372" s="166"/>
      <c r="F372" s="954"/>
      <c r="G372" s="1869"/>
      <c r="H372" s="3068"/>
      <c r="I372" s="166"/>
      <c r="J372" s="1869"/>
      <c r="K372" s="166"/>
    </row>
    <row r="373" spans="1:11">
      <c r="A373" s="167">
        <f t="shared" si="9"/>
        <v>2020.04</v>
      </c>
      <c r="B373" s="776">
        <v>4349.2863250800001</v>
      </c>
      <c r="C373" s="2547">
        <v>2894.4193346400002</v>
      </c>
      <c r="D373" s="3732">
        <f t="shared" si="6"/>
        <v>1454.8669904399999</v>
      </c>
      <c r="E373" s="166"/>
      <c r="F373" s="954"/>
      <c r="G373" s="1869"/>
      <c r="H373" s="3068"/>
      <c r="I373" s="166"/>
      <c r="J373" s="1869"/>
      <c r="K373" s="166"/>
    </row>
    <row r="374" spans="1:11">
      <c r="A374" s="167">
        <f t="shared" si="9"/>
        <v>2020.05</v>
      </c>
      <c r="B374" s="141">
        <v>5077.7489284800004</v>
      </c>
      <c r="C374" s="223">
        <v>3165.9282486000002</v>
      </c>
      <c r="D374" s="3732">
        <f t="shared" si="6"/>
        <v>1911.8206798800002</v>
      </c>
      <c r="E374" s="166"/>
      <c r="F374" s="954"/>
      <c r="G374" s="1869"/>
      <c r="H374" s="3068"/>
      <c r="I374" s="166"/>
      <c r="J374" s="1869"/>
      <c r="K374" s="166"/>
    </row>
    <row r="375" spans="1:11">
      <c r="A375" s="167">
        <f t="shared" si="9"/>
        <v>2020.06</v>
      </c>
      <c r="B375" s="141">
        <v>4785.9467069399998</v>
      </c>
      <c r="C375" s="223">
        <v>3299.3069988699999</v>
      </c>
      <c r="D375" s="3732">
        <f t="shared" si="6"/>
        <v>1486.6397080699999</v>
      </c>
      <c r="E375" s="166"/>
      <c r="F375" s="954"/>
      <c r="G375" s="1869"/>
      <c r="H375" s="3068"/>
      <c r="I375" s="166"/>
      <c r="J375" s="1869"/>
      <c r="K375" s="166"/>
    </row>
    <row r="376" spans="1:11">
      <c r="A376" s="167">
        <f t="shared" si="9"/>
        <v>2020.07</v>
      </c>
      <c r="B376" s="141">
        <v>4931.0545881300004</v>
      </c>
      <c r="C376" s="223">
        <v>3450.7895402300001</v>
      </c>
      <c r="D376" s="3732">
        <f t="shared" si="6"/>
        <v>1480.2650479000004</v>
      </c>
      <c r="E376" s="166"/>
      <c r="F376" s="954"/>
      <c r="G376" s="1869"/>
      <c r="H376" s="3068"/>
      <c r="I376" s="166"/>
      <c r="J376" s="1869"/>
      <c r="K376" s="166"/>
    </row>
    <row r="377" spans="1:11">
      <c r="A377" s="167">
        <f t="shared" si="9"/>
        <v>2020.08</v>
      </c>
      <c r="B377" s="141">
        <v>4954.6154336</v>
      </c>
      <c r="C377" s="223">
        <v>3508.2139864300002</v>
      </c>
      <c r="D377" s="3732">
        <f t="shared" si="6"/>
        <v>1446.4014471699998</v>
      </c>
      <c r="E377" s="166"/>
      <c r="F377" s="954"/>
      <c r="G377" s="1869"/>
      <c r="H377" s="3068"/>
      <c r="I377" s="166"/>
      <c r="J377" s="1869"/>
      <c r="K377" s="166"/>
    </row>
    <row r="378" spans="1:11">
      <c r="A378" s="167">
        <f t="shared" si="9"/>
        <v>2020.09</v>
      </c>
      <c r="B378" s="141">
        <v>4726.5008352799996</v>
      </c>
      <c r="C378" s="223">
        <v>4128.9941075799998</v>
      </c>
      <c r="D378" s="3732">
        <f t="shared" si="6"/>
        <v>597.50672769999983</v>
      </c>
      <c r="E378" s="166"/>
      <c r="F378" s="954"/>
      <c r="G378" s="1869"/>
      <c r="H378" s="3068"/>
      <c r="I378" s="166"/>
      <c r="J378" s="1869"/>
      <c r="K378" s="166"/>
    </row>
    <row r="379" spans="1:11">
      <c r="A379" s="167">
        <f>A367+1</f>
        <v>2020.1</v>
      </c>
      <c r="B379" s="141">
        <v>4674.0444419699998</v>
      </c>
      <c r="C379" s="223">
        <v>4004.4409451299998</v>
      </c>
      <c r="D379" s="3732">
        <f t="shared" si="6"/>
        <v>669.60349683999993</v>
      </c>
      <c r="E379" s="166"/>
      <c r="F379" s="954"/>
      <c r="G379" s="1869"/>
      <c r="H379" s="3068"/>
      <c r="I379" s="166"/>
      <c r="J379" s="1869"/>
      <c r="K379" s="166"/>
    </row>
    <row r="380" spans="1:11">
      <c r="A380" s="167">
        <f>A368+1</f>
        <v>2020.11</v>
      </c>
      <c r="B380" s="141">
        <v>4500.4326559399997</v>
      </c>
      <c r="C380" s="223">
        <v>4114.7565082700003</v>
      </c>
      <c r="D380" s="3732">
        <f t="shared" si="6"/>
        <v>385.67614766999941</v>
      </c>
      <c r="E380" s="166"/>
      <c r="F380" s="954"/>
      <c r="G380" s="1869"/>
      <c r="H380" s="3068"/>
      <c r="I380" s="166"/>
      <c r="J380" s="1869"/>
      <c r="K380" s="166"/>
    </row>
    <row r="381" spans="1:11">
      <c r="A381" s="167">
        <f>A369+1</f>
        <v>2020.12</v>
      </c>
      <c r="B381" s="141">
        <v>3544.0680995799999</v>
      </c>
      <c r="C381" s="223">
        <v>3907.9411869999999</v>
      </c>
      <c r="D381" s="3732">
        <f t="shared" si="6"/>
        <v>-363.87308742000005</v>
      </c>
      <c r="E381" s="166"/>
      <c r="F381" s="954"/>
      <c r="G381" s="1869"/>
      <c r="H381" s="3068"/>
      <c r="I381" s="166"/>
      <c r="J381" s="2492"/>
      <c r="K381" s="166"/>
    </row>
    <row r="382" spans="1:11">
      <c r="A382" s="167">
        <f t="shared" ref="A382:A440" si="10">A370+1</f>
        <v>2021.01</v>
      </c>
      <c r="B382" s="141">
        <v>4911.9998968899999</v>
      </c>
      <c r="C382" s="223">
        <v>3843.54738808</v>
      </c>
      <c r="D382" s="3732">
        <f t="shared" si="6"/>
        <v>1068.4525088099999</v>
      </c>
      <c r="E382" s="166"/>
      <c r="F382" s="954"/>
      <c r="G382" s="1869"/>
      <c r="H382" s="3068"/>
      <c r="I382" s="166"/>
      <c r="J382" s="1869"/>
      <c r="K382" s="2492"/>
    </row>
    <row r="383" spans="1:11">
      <c r="A383" s="167">
        <f t="shared" si="10"/>
        <v>2021.02</v>
      </c>
      <c r="B383" s="141">
        <v>4774.9989948700004</v>
      </c>
      <c r="C383" s="223">
        <v>3712.6765941600001</v>
      </c>
      <c r="D383" s="3732">
        <f t="shared" si="6"/>
        <v>1062.3224007100002</v>
      </c>
      <c r="E383" s="166"/>
      <c r="F383" s="954"/>
      <c r="G383" s="1869"/>
      <c r="H383" s="3068"/>
      <c r="I383" s="166"/>
      <c r="J383" s="1869"/>
      <c r="K383" s="166"/>
    </row>
    <row r="384" spans="1:11">
      <c r="A384" s="167">
        <f t="shared" si="10"/>
        <v>2021.03</v>
      </c>
      <c r="B384" s="141">
        <v>5719.9987967699999</v>
      </c>
      <c r="C384" s="223">
        <v>5320.1715676800004</v>
      </c>
      <c r="D384" s="3732">
        <f t="shared" si="6"/>
        <v>399.82722908999949</v>
      </c>
      <c r="E384" s="166"/>
      <c r="F384" s="954"/>
      <c r="G384" s="1869"/>
      <c r="H384" s="3068"/>
      <c r="I384" s="166"/>
      <c r="J384" s="1869"/>
      <c r="K384" s="166"/>
    </row>
    <row r="385" spans="1:11">
      <c r="A385" s="167">
        <f t="shared" si="10"/>
        <v>2021.04</v>
      </c>
      <c r="B385" s="141">
        <v>6142.9986999499997</v>
      </c>
      <c r="C385" s="223">
        <v>4672.8071307</v>
      </c>
      <c r="D385" s="3732">
        <f t="shared" si="6"/>
        <v>1470.1915692499997</v>
      </c>
      <c r="E385" s="166"/>
      <c r="F385" s="954"/>
      <c r="G385" s="1869"/>
      <c r="H385" s="3068"/>
      <c r="I385" s="166"/>
      <c r="J385" s="1869"/>
      <c r="K385" s="166"/>
    </row>
    <row r="386" spans="1:11">
      <c r="A386" s="167">
        <f t="shared" si="10"/>
        <v>2021.05</v>
      </c>
      <c r="B386" s="141">
        <v>6812.6912112399996</v>
      </c>
      <c r="C386" s="223">
        <v>5141.0016533099997</v>
      </c>
      <c r="D386" s="3732">
        <f t="shared" si="6"/>
        <v>1671.6895579299999</v>
      </c>
      <c r="E386" s="166"/>
      <c r="F386" s="954"/>
      <c r="G386" s="1869"/>
      <c r="H386" s="3068"/>
      <c r="I386" s="166"/>
      <c r="J386" s="1869"/>
      <c r="K386" s="166"/>
    </row>
    <row r="387" spans="1:11">
      <c r="A387" s="167">
        <f t="shared" si="10"/>
        <v>2021.06</v>
      </c>
      <c r="B387" s="141">
        <v>7009.8537381899996</v>
      </c>
      <c r="C387" s="223">
        <v>5908.7814722499998</v>
      </c>
      <c r="D387" s="3732">
        <f t="shared" si="6"/>
        <v>1101.0722659399999</v>
      </c>
      <c r="E387" s="166"/>
      <c r="F387" s="954"/>
      <c r="G387" s="1869"/>
      <c r="H387" s="3068"/>
      <c r="I387" s="166"/>
      <c r="J387" s="1869"/>
      <c r="K387" s="166"/>
    </row>
    <row r="388" spans="1:11">
      <c r="A388" s="167">
        <f t="shared" si="10"/>
        <v>2021.07</v>
      </c>
      <c r="B388" s="141">
        <v>7251.9069331800001</v>
      </c>
      <c r="C388" s="223">
        <v>5715.4383776900004</v>
      </c>
      <c r="D388" s="3732">
        <f t="shared" si="6"/>
        <v>1536.4685554899997</v>
      </c>
      <c r="E388" s="166"/>
      <c r="F388" s="954"/>
      <c r="G388" s="1869"/>
      <c r="H388" s="3068"/>
      <c r="I388" s="166"/>
      <c r="J388" s="1869"/>
      <c r="K388" s="166"/>
    </row>
    <row r="389" spans="1:11">
      <c r="A389" s="167">
        <f t="shared" si="10"/>
        <v>2021.08</v>
      </c>
      <c r="B389" s="141">
        <v>8098.8562319800003</v>
      </c>
      <c r="C389" s="223">
        <v>5753.6439883700004</v>
      </c>
      <c r="D389" s="3732">
        <f t="shared" si="6"/>
        <v>2345.2122436099999</v>
      </c>
      <c r="E389" s="166"/>
      <c r="F389" s="954"/>
      <c r="G389" s="1869"/>
      <c r="H389" s="3068"/>
      <c r="I389" s="166"/>
      <c r="J389" s="1869"/>
      <c r="K389" s="166"/>
    </row>
    <row r="390" spans="1:11">
      <c r="A390" s="167">
        <f t="shared" si="10"/>
        <v>2021.09</v>
      </c>
      <c r="B390" s="141">
        <v>7570.1892904400001</v>
      </c>
      <c r="C390" s="223">
        <v>5885.68205141</v>
      </c>
      <c r="D390" s="3732">
        <f t="shared" si="6"/>
        <v>1684.5072390300002</v>
      </c>
      <c r="E390" s="166"/>
      <c r="F390" s="954"/>
      <c r="G390" s="1869"/>
      <c r="H390" s="3068"/>
      <c r="I390" s="166"/>
      <c r="J390" s="1869"/>
      <c r="K390" s="166"/>
    </row>
    <row r="391" spans="1:11">
      <c r="A391" s="167">
        <f t="shared" si="10"/>
        <v>2021.1</v>
      </c>
      <c r="B391" s="141">
        <v>6862.5700972699997</v>
      </c>
      <c r="C391" s="223">
        <v>5247.2321362599996</v>
      </c>
      <c r="D391" s="3732">
        <f t="shared" si="6"/>
        <v>1615.3379610100001</v>
      </c>
      <c r="E391" s="166"/>
      <c r="F391" s="954"/>
      <c r="G391" s="1869"/>
      <c r="H391" s="3068"/>
      <c r="I391" s="166"/>
      <c r="J391" s="1869"/>
      <c r="K391" s="166"/>
    </row>
    <row r="392" spans="1:11">
      <c r="A392" s="167">
        <f t="shared" si="10"/>
        <v>2021.11</v>
      </c>
      <c r="B392" s="141">
        <v>6191.1881813099999</v>
      </c>
      <c r="C392" s="223">
        <v>5767.0360416000003</v>
      </c>
      <c r="D392" s="3732">
        <f t="shared" si="6"/>
        <v>424.15213970999957</v>
      </c>
      <c r="E392" s="166"/>
      <c r="F392" s="954"/>
      <c r="G392" s="1869"/>
      <c r="H392" s="3068"/>
      <c r="I392" s="166"/>
      <c r="J392" s="1869"/>
      <c r="K392" s="166"/>
    </row>
    <row r="393" spans="1:11">
      <c r="A393" s="167">
        <f t="shared" si="10"/>
        <v>2021.12</v>
      </c>
      <c r="B393" s="141">
        <v>6587.0629144900004</v>
      </c>
      <c r="C393" s="223">
        <v>6215.7350031899996</v>
      </c>
      <c r="D393" s="3732">
        <f t="shared" si="6"/>
        <v>371.32791130000078</v>
      </c>
      <c r="E393" s="166"/>
      <c r="F393" s="954"/>
      <c r="G393" s="1869"/>
      <c r="H393" s="3068"/>
      <c r="I393" s="166"/>
      <c r="J393" s="2492"/>
      <c r="K393" s="166"/>
    </row>
    <row r="394" spans="1:11">
      <c r="A394" s="167">
        <f t="shared" si="10"/>
        <v>2022.01</v>
      </c>
      <c r="B394" s="141">
        <v>5591.2926839800002</v>
      </c>
      <c r="C394" s="223">
        <v>5251.2936056999997</v>
      </c>
      <c r="D394" s="3732">
        <f t="shared" si="6"/>
        <v>339.9990782800005</v>
      </c>
      <c r="E394" s="166"/>
      <c r="F394" s="954"/>
      <c r="G394" s="1869"/>
      <c r="H394" s="3068"/>
      <c r="I394" s="166"/>
      <c r="J394" s="1869"/>
      <c r="K394" s="2492"/>
    </row>
    <row r="395" spans="1:11">
      <c r="A395" s="167">
        <f t="shared" si="10"/>
        <v>2022.02</v>
      </c>
      <c r="B395" s="141">
        <v>6517.7203051200004</v>
      </c>
      <c r="C395" s="223">
        <v>5638.66689554</v>
      </c>
      <c r="D395" s="3732">
        <f t="shared" ref="D395:D437" si="11">B395-C395</f>
        <v>879.05340958000033</v>
      </c>
      <c r="E395" s="166"/>
      <c r="F395" s="954"/>
      <c r="G395" s="1869"/>
      <c r="H395" s="3068"/>
      <c r="I395" s="166"/>
      <c r="J395" s="1869"/>
      <c r="K395" s="166"/>
    </row>
    <row r="396" spans="1:11">
      <c r="A396" s="167">
        <f t="shared" si="10"/>
        <v>2022.03</v>
      </c>
      <c r="B396" s="141">
        <v>7408.0281616299999</v>
      </c>
      <c r="C396" s="223">
        <v>7083.8854558700004</v>
      </c>
      <c r="D396" s="3732">
        <f t="shared" si="11"/>
        <v>324.14270575999944</v>
      </c>
      <c r="E396" s="166"/>
      <c r="F396" s="954"/>
      <c r="G396" s="1869"/>
      <c r="H396" s="3068"/>
      <c r="I396" s="166"/>
      <c r="J396" s="1869"/>
      <c r="K396" s="166"/>
    </row>
    <row r="397" spans="1:11">
      <c r="A397" s="167">
        <f t="shared" si="10"/>
        <v>2022.04</v>
      </c>
      <c r="B397" s="141">
        <v>8366.2108642300009</v>
      </c>
      <c r="C397" s="223">
        <v>6889.2949335499998</v>
      </c>
      <c r="D397" s="3732">
        <f t="shared" si="11"/>
        <v>1476.9159306800011</v>
      </c>
      <c r="E397" s="166"/>
      <c r="F397" s="954"/>
      <c r="G397" s="1869"/>
      <c r="H397" s="3068"/>
      <c r="I397" s="166"/>
      <c r="J397" s="1869"/>
      <c r="K397" s="166"/>
    </row>
    <row r="398" spans="1:11">
      <c r="A398" s="167">
        <f t="shared" si="10"/>
        <v>2022.05</v>
      </c>
      <c r="B398" s="141">
        <v>8361.0681435700008</v>
      </c>
      <c r="C398" s="223">
        <v>7891.5254840899997</v>
      </c>
      <c r="D398" s="3732">
        <f t="shared" si="11"/>
        <v>469.54265948000102</v>
      </c>
      <c r="E398" s="166"/>
      <c r="F398" s="954"/>
      <c r="G398" s="1869"/>
      <c r="H398" s="3068"/>
      <c r="I398" s="166"/>
      <c r="J398" s="1869"/>
      <c r="K398" s="166"/>
    </row>
    <row r="399" spans="1:11">
      <c r="A399" s="167">
        <f t="shared" si="10"/>
        <v>2022.06</v>
      </c>
      <c r="B399" s="141">
        <v>8456.5889104599992</v>
      </c>
      <c r="C399" s="223">
        <v>8666.6631010300007</v>
      </c>
      <c r="D399" s="3732">
        <f t="shared" si="11"/>
        <v>-210.07419057000152</v>
      </c>
      <c r="E399" s="166"/>
      <c r="F399" s="954"/>
      <c r="G399" s="1869"/>
      <c r="H399" s="3068"/>
      <c r="I399" s="166"/>
      <c r="J399" s="1869"/>
      <c r="K399" s="166"/>
    </row>
    <row r="400" spans="1:11">
      <c r="A400" s="167">
        <f t="shared" si="10"/>
        <v>2022.07</v>
      </c>
      <c r="B400" s="141">
        <v>7656.2669054300004</v>
      </c>
      <c r="C400" s="223">
        <v>8301.6198350600007</v>
      </c>
      <c r="D400" s="3732">
        <f t="shared" si="11"/>
        <v>-645.35292963000029</v>
      </c>
      <c r="E400" s="166"/>
      <c r="F400" s="954"/>
      <c r="G400" s="1869"/>
      <c r="H400" s="3068"/>
      <c r="I400" s="166"/>
      <c r="J400" s="1869"/>
      <c r="K400" s="166"/>
    </row>
    <row r="401" spans="1:11">
      <c r="A401" s="167">
        <f t="shared" si="10"/>
        <v>2022.08</v>
      </c>
      <c r="B401" s="141">
        <v>7583.2389106299997</v>
      </c>
      <c r="C401" s="223">
        <v>7917.87095572</v>
      </c>
      <c r="D401" s="3732">
        <f t="shared" si="11"/>
        <v>-334.63204509000025</v>
      </c>
      <c r="E401" s="166"/>
      <c r="F401" s="954"/>
      <c r="G401" s="1869"/>
      <c r="H401" s="3068"/>
      <c r="I401" s="166"/>
      <c r="J401" s="1869"/>
      <c r="K401" s="166"/>
    </row>
    <row r="402" spans="1:11">
      <c r="A402" s="167">
        <f t="shared" si="10"/>
        <v>2022.09</v>
      </c>
      <c r="B402" s="141">
        <v>7493.9539650400002</v>
      </c>
      <c r="C402" s="223">
        <v>7143.9614217799999</v>
      </c>
      <c r="D402" s="3732">
        <f t="shared" si="11"/>
        <v>349.99254326000028</v>
      </c>
      <c r="E402" s="166"/>
      <c r="F402" s="954"/>
      <c r="G402" s="1869"/>
      <c r="H402" s="3068"/>
      <c r="I402" s="166"/>
      <c r="J402" s="1869"/>
      <c r="K402" s="166"/>
    </row>
    <row r="403" spans="1:11">
      <c r="A403" s="167">
        <f t="shared" si="10"/>
        <v>2022.1</v>
      </c>
      <c r="B403" s="141">
        <v>8021.3809030800003</v>
      </c>
      <c r="C403" s="223">
        <v>6088.90578233</v>
      </c>
      <c r="D403" s="3732">
        <f t="shared" si="11"/>
        <v>1932.4751207500003</v>
      </c>
      <c r="E403" s="166"/>
      <c r="F403" s="954"/>
      <c r="G403" s="1869"/>
      <c r="H403" s="3068"/>
      <c r="I403" s="166"/>
      <c r="J403" s="1869"/>
      <c r="K403" s="166"/>
    </row>
    <row r="404" spans="1:11">
      <c r="A404" s="167">
        <f t="shared" si="10"/>
        <v>2022.11</v>
      </c>
      <c r="B404" s="141">
        <v>7136.9902817100001</v>
      </c>
      <c r="C404" s="223">
        <v>5778.0304107499996</v>
      </c>
      <c r="D404" s="3732">
        <f t="shared" si="11"/>
        <v>1358.9598709600004</v>
      </c>
      <c r="E404" s="166"/>
      <c r="F404" s="954"/>
      <c r="G404" s="1869"/>
      <c r="H404" s="3068"/>
      <c r="I404" s="166"/>
      <c r="J404" s="1869"/>
      <c r="K404" s="166"/>
    </row>
    <row r="405" spans="1:11">
      <c r="A405" s="167">
        <f t="shared" si="10"/>
        <v>2022.12</v>
      </c>
      <c r="B405" s="141">
        <v>6110.1365702200001</v>
      </c>
      <c r="C405" s="223">
        <v>5088.6584772799997</v>
      </c>
      <c r="D405" s="3732">
        <f t="shared" si="11"/>
        <v>1021.4780929400004</v>
      </c>
      <c r="E405" s="166"/>
      <c r="F405" s="954"/>
      <c r="G405" s="1869"/>
      <c r="H405" s="3068"/>
      <c r="I405" s="166"/>
      <c r="J405" s="2492"/>
      <c r="K405" s="166"/>
    </row>
    <row r="406" spans="1:11">
      <c r="A406" s="167">
        <f t="shared" si="10"/>
        <v>2023.01</v>
      </c>
      <c r="B406" s="141">
        <v>4953.9983615299998</v>
      </c>
      <c r="C406" s="223">
        <v>5366.6071071300003</v>
      </c>
      <c r="D406" s="3732">
        <f t="shared" si="11"/>
        <v>-412.60874560000047</v>
      </c>
      <c r="E406" s="166"/>
      <c r="F406" s="954"/>
      <c r="G406" s="1869"/>
      <c r="H406" s="3068"/>
      <c r="I406" s="166"/>
      <c r="J406" s="1869"/>
      <c r="K406" s="2492"/>
    </row>
    <row r="407" spans="1:11">
      <c r="A407" s="167">
        <f t="shared" si="10"/>
        <v>2023.02</v>
      </c>
      <c r="B407" s="141">
        <v>5247.7583786900004</v>
      </c>
      <c r="C407" s="223">
        <v>5031.0028778300002</v>
      </c>
      <c r="D407" s="3732">
        <f t="shared" si="11"/>
        <v>216.75550086000021</v>
      </c>
      <c r="E407" s="166"/>
      <c r="F407" s="954"/>
      <c r="G407" s="1869"/>
      <c r="H407" s="3068"/>
      <c r="I407" s="166"/>
      <c r="J407" s="1869"/>
      <c r="K407" s="166"/>
    </row>
    <row r="408" spans="1:11">
      <c r="A408" s="167">
        <f t="shared" si="10"/>
        <v>2023.03</v>
      </c>
      <c r="B408" s="141">
        <v>5760.7363858099998</v>
      </c>
      <c r="C408" s="223">
        <v>6843.81462087</v>
      </c>
      <c r="D408" s="3732">
        <f t="shared" si="11"/>
        <v>-1083.0782350600002</v>
      </c>
      <c r="E408" s="166"/>
      <c r="F408" s="954"/>
      <c r="G408" s="1869"/>
      <c r="H408" s="3068"/>
      <c r="I408" s="166"/>
      <c r="J408" s="1869"/>
      <c r="K408" s="166"/>
    </row>
    <row r="409" spans="1:11">
      <c r="A409" s="167">
        <f t="shared" si="10"/>
        <v>2023.04</v>
      </c>
      <c r="B409" s="141">
        <v>5868.3157394199998</v>
      </c>
      <c r="C409" s="223">
        <v>6110.2148262800001</v>
      </c>
      <c r="D409" s="3732">
        <f t="shared" si="11"/>
        <v>-241.89908686000035</v>
      </c>
      <c r="E409" s="166"/>
      <c r="F409" s="954"/>
      <c r="G409" s="1869"/>
      <c r="H409" s="3068"/>
      <c r="I409" s="166"/>
      <c r="J409" s="1869"/>
      <c r="K409" s="166"/>
    </row>
    <row r="410" spans="1:11">
      <c r="A410" s="167">
        <f t="shared" si="10"/>
        <v>2023.05</v>
      </c>
      <c r="B410" s="141">
        <v>6280.4858593899999</v>
      </c>
      <c r="C410" s="223">
        <v>7406.2144810600003</v>
      </c>
      <c r="D410" s="3732">
        <f t="shared" si="11"/>
        <v>-1125.7286216700004</v>
      </c>
      <c r="E410" s="166"/>
      <c r="F410" s="954"/>
      <c r="G410" s="1869"/>
      <c r="H410" s="3068"/>
      <c r="I410" s="166"/>
      <c r="J410" s="1869"/>
      <c r="K410" s="166"/>
    </row>
    <row r="411" spans="1:11">
      <c r="A411" s="167">
        <f t="shared" si="10"/>
        <v>2023.06</v>
      </c>
      <c r="B411" s="141">
        <v>5433.52126245</v>
      </c>
      <c r="C411" s="223">
        <v>7252.0259065999999</v>
      </c>
      <c r="D411" s="3732">
        <f t="shared" si="11"/>
        <v>-1818.5046441499999</v>
      </c>
      <c r="E411" s="166"/>
      <c r="F411" s="954"/>
      <c r="G411" s="1869"/>
      <c r="H411" s="3068"/>
      <c r="I411" s="166"/>
      <c r="J411" s="1869"/>
      <c r="K411" s="166"/>
    </row>
    <row r="412" spans="1:11">
      <c r="A412" s="167">
        <f t="shared" si="10"/>
        <v>2023.07</v>
      </c>
      <c r="B412" s="141">
        <v>6074.9657846800001</v>
      </c>
      <c r="C412" s="223">
        <v>6758.3635765299996</v>
      </c>
      <c r="D412" s="3732">
        <f t="shared" si="11"/>
        <v>-683.39779184999952</v>
      </c>
      <c r="E412" s="166"/>
      <c r="F412" s="954"/>
      <c r="G412" s="1869"/>
      <c r="H412" s="3068"/>
      <c r="I412" s="166"/>
      <c r="J412" s="1869"/>
      <c r="K412" s="166"/>
    </row>
    <row r="413" spans="1:11">
      <c r="A413" s="167">
        <f t="shared" si="10"/>
        <v>2023.08</v>
      </c>
      <c r="B413" s="141">
        <v>5934.7545490700004</v>
      </c>
      <c r="C413" s="223">
        <v>6898.7353382700003</v>
      </c>
      <c r="D413" s="3732">
        <f t="shared" si="11"/>
        <v>-963.98078919999989</v>
      </c>
      <c r="E413" s="166"/>
      <c r="F413" s="954"/>
      <c r="G413" s="1869"/>
      <c r="H413" s="3068"/>
      <c r="I413" s="166"/>
      <c r="J413" s="1869"/>
      <c r="K413" s="166"/>
    </row>
    <row r="414" spans="1:11">
      <c r="A414" s="167">
        <f t="shared" si="10"/>
        <v>2023.09</v>
      </c>
      <c r="B414" s="141">
        <v>5788.3855604099999</v>
      </c>
      <c r="C414" s="223">
        <v>6520.3770243400004</v>
      </c>
      <c r="D414" s="3732">
        <f t="shared" si="11"/>
        <v>-731.99146393000046</v>
      </c>
      <c r="E414" s="166"/>
      <c r="F414" s="954"/>
      <c r="G414" s="1869"/>
      <c r="H414" s="3068"/>
      <c r="I414" s="166"/>
      <c r="J414" s="1869"/>
      <c r="K414" s="166"/>
    </row>
    <row r="415" spans="1:11">
      <c r="A415" s="167">
        <f t="shared" si="10"/>
        <v>2023.1</v>
      </c>
      <c r="B415" s="141">
        <v>5405.5850343000002</v>
      </c>
      <c r="C415" s="223">
        <v>5849.30135642</v>
      </c>
      <c r="D415" s="3732">
        <f t="shared" si="11"/>
        <v>-443.71632211999986</v>
      </c>
      <c r="E415" s="166"/>
      <c r="F415" s="954"/>
      <c r="G415" s="1869"/>
      <c r="H415" s="3068"/>
      <c r="I415" s="166"/>
      <c r="J415" s="1869"/>
      <c r="K415" s="166"/>
    </row>
    <row r="416" spans="1:11">
      <c r="A416" s="167">
        <f t="shared" si="10"/>
        <v>2023.11</v>
      </c>
      <c r="B416" s="141">
        <v>4934.2272668899996</v>
      </c>
      <c r="C416" s="223">
        <v>5517.4370422399998</v>
      </c>
      <c r="D416" s="3732">
        <f t="shared" si="11"/>
        <v>-583.2097753500002</v>
      </c>
      <c r="E416" s="166"/>
      <c r="F416" s="954"/>
      <c r="G416" s="1869"/>
      <c r="H416" s="3068"/>
      <c r="I416" s="166"/>
      <c r="J416" s="1869"/>
      <c r="K416" s="166"/>
    </row>
    <row r="417" spans="1:11">
      <c r="A417" s="167">
        <f t="shared" si="10"/>
        <v>2023.12</v>
      </c>
      <c r="B417" s="141">
        <v>5305.0109687599997</v>
      </c>
      <c r="C417" s="223">
        <v>4271.86806454</v>
      </c>
      <c r="D417" s="3732">
        <f t="shared" si="11"/>
        <v>1033.1429042199998</v>
      </c>
      <c r="E417" s="166"/>
      <c r="F417" s="954"/>
      <c r="G417" s="1869"/>
      <c r="H417" s="3068"/>
      <c r="I417" s="166"/>
      <c r="J417" s="2492"/>
      <c r="K417" s="166"/>
    </row>
    <row r="418" spans="1:11">
      <c r="A418" s="167">
        <f t="shared" si="10"/>
        <v>2024.01</v>
      </c>
      <c r="B418" s="141">
        <v>5412.3239498399998</v>
      </c>
      <c r="C418" s="223">
        <v>4603.95464722</v>
      </c>
      <c r="D418" s="3732">
        <f t="shared" si="11"/>
        <v>808.36930261999987</v>
      </c>
      <c r="E418" s="166"/>
      <c r="F418" s="954"/>
      <c r="G418" s="1869"/>
      <c r="H418" s="3068"/>
      <c r="I418" s="166"/>
      <c r="J418" s="1869"/>
      <c r="K418" s="2492"/>
    </row>
    <row r="419" spans="1:11">
      <c r="A419" s="167">
        <f t="shared" si="10"/>
        <v>2024.02</v>
      </c>
      <c r="B419" s="141">
        <v>5550.1521592199997</v>
      </c>
      <c r="C419" s="223">
        <v>4118.0574319899997</v>
      </c>
      <c r="D419" s="3732">
        <f t="shared" si="11"/>
        <v>1432.09472723</v>
      </c>
      <c r="E419" s="166"/>
      <c r="F419" s="954"/>
      <c r="G419" s="1869"/>
      <c r="H419" s="3068"/>
      <c r="I419" s="166"/>
      <c r="J419" s="1869"/>
      <c r="K419" s="166"/>
    </row>
    <row r="420" spans="1:11">
      <c r="A420" s="167">
        <f t="shared" si="10"/>
        <v>2024.03</v>
      </c>
      <c r="B420" s="141">
        <v>6491.9457949600001</v>
      </c>
      <c r="C420" s="223">
        <v>4331.5707728300004</v>
      </c>
      <c r="D420" s="3732">
        <f t="shared" si="11"/>
        <v>2160.3750221299997</v>
      </c>
      <c r="E420" s="166"/>
      <c r="F420" s="954"/>
      <c r="G420" s="1869"/>
      <c r="H420" s="3068"/>
      <c r="I420" s="166"/>
      <c r="J420" s="1869"/>
      <c r="K420" s="166"/>
    </row>
    <row r="421" spans="1:11">
      <c r="A421" s="167">
        <f t="shared" si="10"/>
        <v>2024.04</v>
      </c>
      <c r="B421" s="141">
        <v>6511.2910541399997</v>
      </c>
      <c r="C421" s="223">
        <v>4704.5213790799999</v>
      </c>
      <c r="D421" s="3732">
        <f t="shared" si="11"/>
        <v>1806.7696750599998</v>
      </c>
      <c r="E421" s="166"/>
      <c r="F421" s="954"/>
      <c r="G421" s="1869"/>
      <c r="H421" s="3068"/>
      <c r="I421" s="166"/>
      <c r="J421" s="1869"/>
      <c r="K421" s="166"/>
    </row>
    <row r="422" spans="1:11">
      <c r="A422" s="167">
        <f t="shared" si="10"/>
        <v>2024.05</v>
      </c>
      <c r="B422" s="141">
        <v>7666.5339098799996</v>
      </c>
      <c r="C422" s="223">
        <v>5012.1174138300003</v>
      </c>
      <c r="D422" s="3732">
        <f t="shared" si="11"/>
        <v>2654.4164960499993</v>
      </c>
      <c r="E422" s="166"/>
      <c r="F422" s="954"/>
      <c r="G422" s="1869"/>
      <c r="H422" s="1840"/>
      <c r="I422" s="166"/>
      <c r="J422" s="1869"/>
      <c r="K422" s="166"/>
    </row>
    <row r="423" spans="1:11">
      <c r="A423" s="167">
        <f t="shared" si="10"/>
        <v>2024.06</v>
      </c>
      <c r="B423" s="141">
        <v>6567.2309402700002</v>
      </c>
      <c r="C423" s="223">
        <v>4687.4485046700001</v>
      </c>
      <c r="D423" s="3732">
        <f t="shared" si="11"/>
        <v>1879.7824356000001</v>
      </c>
      <c r="E423" s="166"/>
      <c r="F423" s="954"/>
      <c r="G423" s="1869"/>
      <c r="H423" s="1840"/>
      <c r="I423" s="166"/>
      <c r="J423" s="1869"/>
      <c r="K423" s="166"/>
    </row>
    <row r="424" spans="1:11">
      <c r="A424" s="167">
        <f t="shared" si="10"/>
        <v>2024.07</v>
      </c>
      <c r="B424" s="141">
        <v>7185.79165543</v>
      </c>
      <c r="C424" s="223">
        <v>5727.0544681600004</v>
      </c>
      <c r="D424" s="3732">
        <f t="shared" si="11"/>
        <v>1458.7371872699996</v>
      </c>
      <c r="E424" s="166"/>
      <c r="F424" s="954"/>
      <c r="G424" s="1869"/>
      <c r="H424" s="1840"/>
      <c r="I424" s="166"/>
      <c r="J424" s="1869"/>
      <c r="K424" s="166"/>
    </row>
    <row r="425" spans="1:11">
      <c r="A425" s="167">
        <f t="shared" si="10"/>
        <v>2024.08</v>
      </c>
      <c r="B425" s="141">
        <v>6757.7853202300003</v>
      </c>
      <c r="C425" s="223">
        <v>4882.9409448699998</v>
      </c>
      <c r="D425" s="3732">
        <f t="shared" si="11"/>
        <v>1874.8443753600004</v>
      </c>
      <c r="E425" s="166"/>
      <c r="F425" s="954"/>
      <c r="G425" s="1869"/>
      <c r="H425" s="1840"/>
      <c r="I425" s="166"/>
      <c r="J425" s="1869"/>
      <c r="K425" s="166"/>
    </row>
    <row r="426" spans="1:11">
      <c r="A426" s="167">
        <f t="shared" si="10"/>
        <v>2024.09</v>
      </c>
      <c r="B426" s="141">
        <v>6952.8804794300004</v>
      </c>
      <c r="C426" s="223">
        <v>5970.9587054900003</v>
      </c>
      <c r="D426" s="3732">
        <f t="shared" si="11"/>
        <v>981.92177394000009</v>
      </c>
      <c r="E426" s="166"/>
      <c r="F426" s="954"/>
      <c r="G426" s="1869"/>
      <c r="H426" s="1840"/>
      <c r="I426" s="166"/>
      <c r="J426" s="1869"/>
      <c r="K426" s="166"/>
    </row>
    <row r="427" spans="1:11">
      <c r="A427" s="167">
        <f t="shared" si="10"/>
        <v>2024.1</v>
      </c>
      <c r="B427" s="141">
        <v>7032.2499901399997</v>
      </c>
      <c r="C427" s="223">
        <v>6120.4637945300001</v>
      </c>
      <c r="D427" s="3732">
        <f t="shared" si="11"/>
        <v>911.7861956099996</v>
      </c>
      <c r="E427" s="166"/>
      <c r="F427" s="954"/>
      <c r="G427" s="1869"/>
      <c r="H427" s="1840"/>
      <c r="I427" s="166"/>
      <c r="J427" s="1869"/>
      <c r="K427" s="166"/>
    </row>
    <row r="428" spans="1:11">
      <c r="A428" s="167">
        <f t="shared" si="10"/>
        <v>2024.11</v>
      </c>
      <c r="B428" s="141">
        <v>6526.00222519</v>
      </c>
      <c r="C428" s="223">
        <v>5249.0720928399996</v>
      </c>
      <c r="D428" s="3732">
        <f t="shared" si="11"/>
        <v>1276.9301323500003</v>
      </c>
      <c r="E428" s="166"/>
      <c r="F428" s="954"/>
      <c r="G428" s="1869"/>
      <c r="H428" s="1840"/>
      <c r="I428" s="166"/>
      <c r="J428" s="1869"/>
      <c r="K428" s="166"/>
    </row>
    <row r="429" spans="1:11">
      <c r="A429" s="167">
        <f t="shared" si="10"/>
        <v>2024.12</v>
      </c>
      <c r="B429" s="141">
        <v>7049.0192435199997</v>
      </c>
      <c r="C429" s="223">
        <v>5367.4114138900004</v>
      </c>
      <c r="D429" s="3732">
        <f t="shared" si="11"/>
        <v>1681.6078296299993</v>
      </c>
      <c r="E429" s="166"/>
      <c r="F429" s="141"/>
      <c r="G429" s="141"/>
      <c r="H429" s="954"/>
      <c r="I429" s="166"/>
      <c r="J429" s="2492"/>
      <c r="K429" s="166"/>
    </row>
    <row r="430" spans="1:11">
      <c r="A430" s="167">
        <f t="shared" si="10"/>
        <v>2025.01</v>
      </c>
      <c r="B430" s="141">
        <v>5914.8480421800004</v>
      </c>
      <c r="C430" s="223">
        <v>5752.75016151</v>
      </c>
      <c r="D430" s="3732">
        <f t="shared" si="11"/>
        <v>162.09788067000045</v>
      </c>
      <c r="E430" s="166"/>
      <c r="F430" s="166"/>
      <c r="G430" s="166"/>
      <c r="H430" s="1840"/>
      <c r="I430" s="166"/>
      <c r="J430" s="1869"/>
      <c r="K430" s="2492"/>
    </row>
    <row r="431" spans="1:11">
      <c r="A431" s="167">
        <f t="shared" si="10"/>
        <v>2025.02</v>
      </c>
      <c r="B431" s="141">
        <v>6139.7040570999998</v>
      </c>
      <c r="C431" s="223">
        <v>5864.2875606400003</v>
      </c>
      <c r="D431" s="3732">
        <f t="shared" si="11"/>
        <v>275.41649645999951</v>
      </c>
      <c r="E431" s="166"/>
      <c r="F431" s="166"/>
      <c r="G431" s="166"/>
      <c r="H431" s="1840"/>
      <c r="I431" s="166"/>
      <c r="J431" s="1869"/>
      <c r="K431" s="166"/>
    </row>
    <row r="432" spans="1:11">
      <c r="A432" s="167">
        <f t="shared" si="10"/>
        <v>2025.03</v>
      </c>
      <c r="B432" s="141">
        <v>6642.3469731900004</v>
      </c>
      <c r="C432" s="223">
        <v>6018.8479755899998</v>
      </c>
      <c r="D432" s="3732">
        <f t="shared" si="11"/>
        <v>623.49899760000062</v>
      </c>
      <c r="E432" s="166"/>
      <c r="F432" s="166"/>
      <c r="G432" s="166"/>
      <c r="H432" s="1840"/>
      <c r="I432" s="166"/>
      <c r="J432" s="1869"/>
      <c r="K432" s="166"/>
    </row>
    <row r="433" spans="1:11">
      <c r="A433" s="167">
        <f t="shared" si="10"/>
        <v>2025.04</v>
      </c>
      <c r="B433" s="141">
        <v>6674.3306841699996</v>
      </c>
      <c r="C433" s="223">
        <v>6459.9591891399996</v>
      </c>
      <c r="D433" s="3732">
        <f t="shared" si="11"/>
        <v>214.37149503000001</v>
      </c>
      <c r="E433" s="166"/>
      <c r="F433" s="166"/>
      <c r="G433" s="166"/>
      <c r="H433" s="1840"/>
      <c r="I433" s="166"/>
      <c r="J433" s="1869"/>
      <c r="K433" s="166"/>
    </row>
    <row r="434" spans="1:11">
      <c r="A434" s="167">
        <f t="shared" si="10"/>
        <v>2025.05</v>
      </c>
      <c r="B434" s="141">
        <v>7095.18297927</v>
      </c>
      <c r="C434" s="223">
        <v>6487.9700089199996</v>
      </c>
      <c r="D434" s="3732">
        <f t="shared" si="11"/>
        <v>607.21297035000043</v>
      </c>
      <c r="E434" s="166"/>
      <c r="F434" s="166"/>
      <c r="G434" s="166"/>
      <c r="H434" s="1840"/>
      <c r="I434" s="166"/>
      <c r="J434" s="1869"/>
      <c r="K434" s="166"/>
    </row>
    <row r="435" spans="1:11">
      <c r="A435" s="167">
        <f t="shared" si="10"/>
        <v>2025.06</v>
      </c>
      <c r="B435" s="141">
        <v>7275.2606452399996</v>
      </c>
      <c r="C435" s="223">
        <v>6395.9101198099997</v>
      </c>
      <c r="D435" s="3732">
        <f t="shared" si="11"/>
        <v>879.35052542999983</v>
      </c>
      <c r="E435" s="166"/>
      <c r="F435" s="166"/>
      <c r="G435" s="166"/>
      <c r="H435" s="1840"/>
      <c r="I435" s="166"/>
      <c r="J435" s="1869"/>
      <c r="K435" s="166"/>
    </row>
    <row r="436" spans="1:11">
      <c r="A436" s="167">
        <f t="shared" si="10"/>
        <v>2025.07</v>
      </c>
      <c r="B436" s="141">
        <v>7760.5556678700004</v>
      </c>
      <c r="C436" s="223">
        <v>6853.67165011</v>
      </c>
      <c r="D436" s="3732">
        <f t="shared" si="11"/>
        <v>906.88401776000046</v>
      </c>
      <c r="E436" s="166"/>
      <c r="F436" s="954"/>
      <c r="G436" s="166"/>
      <c r="H436" s="1840"/>
      <c r="I436" s="166"/>
      <c r="J436" s="1869"/>
      <c r="K436" s="166"/>
    </row>
    <row r="437" spans="1:11">
      <c r="A437" s="167">
        <f t="shared" si="10"/>
        <v>2025.08</v>
      </c>
      <c r="B437" s="141">
        <v>7903.0122425199997</v>
      </c>
      <c r="C437" s="223">
        <v>6462.7207014899996</v>
      </c>
      <c r="D437" s="3732">
        <f t="shared" si="11"/>
        <v>1440.2915410300002</v>
      </c>
      <c r="E437" s="166"/>
      <c r="F437" s="954"/>
      <c r="G437" s="166"/>
      <c r="H437" s="1840"/>
      <c r="I437" s="166"/>
      <c r="J437" s="1869"/>
      <c r="K437" s="166"/>
    </row>
    <row r="438" spans="1:11">
      <c r="A438" s="167">
        <f t="shared" si="10"/>
        <v>2025.09</v>
      </c>
      <c r="B438" s="141">
        <v>8128.1821716200002</v>
      </c>
      <c r="C438" s="223">
        <v>7191.1334618600004</v>
      </c>
      <c r="D438" s="3732">
        <f t="shared" ref="D438:D457" si="12">B438-C438</f>
        <v>937.04870975999984</v>
      </c>
      <c r="E438" s="166"/>
      <c r="F438" s="954"/>
      <c r="G438" s="166"/>
      <c r="H438" s="1840"/>
      <c r="I438" s="166"/>
      <c r="J438" s="1869"/>
      <c r="K438" s="166"/>
    </row>
    <row r="439" spans="1:11">
      <c r="A439" s="167">
        <f t="shared" si="10"/>
        <v>2025.1</v>
      </c>
      <c r="B439" s="141">
        <v>7962.6346462000001</v>
      </c>
      <c r="C439" s="223">
        <v>7149.9709975200003</v>
      </c>
      <c r="D439" s="3732">
        <f t="shared" si="12"/>
        <v>812.66364867999982</v>
      </c>
      <c r="E439" s="166"/>
      <c r="F439" s="954"/>
      <c r="G439" s="166"/>
      <c r="H439" s="166"/>
      <c r="I439" s="166"/>
      <c r="J439" s="1869"/>
      <c r="K439" s="166"/>
    </row>
    <row r="440" spans="1:11">
      <c r="A440" s="167">
        <f t="shared" si="10"/>
        <v>2025.11</v>
      </c>
      <c r="B440" s="141">
        <v>8132.7313484799997</v>
      </c>
      <c r="C440" s="223">
        <v>5597.9924812899999</v>
      </c>
      <c r="D440" s="3732">
        <f t="shared" si="12"/>
        <v>2534.7388671899998</v>
      </c>
      <c r="E440" s="954"/>
      <c r="F440" s="954"/>
      <c r="G440" s="166"/>
      <c r="H440" s="166"/>
      <c r="I440" s="166"/>
      <c r="J440" s="1869"/>
      <c r="K440" s="166"/>
    </row>
    <row r="441" spans="1:11">
      <c r="A441" s="167">
        <f t="shared" ref="A441:A472" si="13">A429+1</f>
        <v>2025.12</v>
      </c>
      <c r="B441" s="141">
        <v>7482.40736019</v>
      </c>
      <c r="C441" s="223">
        <v>5555.9049234599997</v>
      </c>
      <c r="D441" s="3732">
        <f t="shared" si="12"/>
        <v>1926.5024367300002</v>
      </c>
      <c r="E441" s="954"/>
      <c r="F441" s="141"/>
      <c r="G441" s="141"/>
      <c r="H441" s="954"/>
      <c r="I441" s="166"/>
      <c r="J441" s="2492"/>
      <c r="K441" s="166"/>
    </row>
    <row r="442" spans="1:11">
      <c r="A442" s="167">
        <f t="shared" si="13"/>
        <v>2026.01</v>
      </c>
      <c r="B442" s="141">
        <v>7245.2960474600004</v>
      </c>
      <c r="C442" s="223">
        <v>5056.6701572499996</v>
      </c>
      <c r="D442" s="3732">
        <f t="shared" si="12"/>
        <v>2188.6258902100008</v>
      </c>
      <c r="E442" s="166"/>
      <c r="F442" s="829"/>
      <c r="G442" s="829"/>
      <c r="H442" s="829"/>
      <c r="I442" s="166"/>
      <c r="J442" s="1869"/>
      <c r="K442" s="2492"/>
    </row>
    <row r="443" spans="1:11">
      <c r="A443" s="167">
        <f t="shared" si="13"/>
        <v>2026.02</v>
      </c>
      <c r="B443" s="141">
        <v>5962.2893112700003</v>
      </c>
      <c r="C443" s="223">
        <v>5174.2618801500003</v>
      </c>
      <c r="D443" s="3732">
        <f t="shared" si="12"/>
        <v>788.02743112000007</v>
      </c>
      <c r="E443" s="166"/>
      <c r="F443" s="954"/>
      <c r="G443" s="166"/>
      <c r="H443" s="166"/>
      <c r="I443" s="166"/>
      <c r="J443" s="1869"/>
      <c r="K443" s="166"/>
    </row>
    <row r="444" spans="1:11">
      <c r="A444" s="167">
        <f t="shared" si="13"/>
        <v>2026.03</v>
      </c>
      <c r="B444" s="141" t="e">
        <v>#N/A</v>
      </c>
      <c r="C444" s="223" t="e">
        <v>#N/A</v>
      </c>
      <c r="D444" s="3732" t="e">
        <f t="shared" si="12"/>
        <v>#N/A</v>
      </c>
      <c r="E444" s="166"/>
      <c r="F444" s="954"/>
      <c r="G444" s="166"/>
      <c r="H444" s="166"/>
      <c r="I444" s="166"/>
      <c r="J444" s="1869"/>
      <c r="K444" s="166"/>
    </row>
    <row r="445" spans="1:11">
      <c r="A445" s="167">
        <f t="shared" si="13"/>
        <v>2026.04</v>
      </c>
      <c r="B445" s="141" t="e">
        <v>#N/A</v>
      </c>
      <c r="C445" s="223" t="e">
        <v>#N/A</v>
      </c>
      <c r="D445" s="3732" t="e">
        <f t="shared" si="12"/>
        <v>#N/A</v>
      </c>
      <c r="E445" s="166"/>
      <c r="F445" s="954"/>
      <c r="G445" s="166"/>
      <c r="H445" s="166"/>
      <c r="I445" s="166"/>
      <c r="J445" s="1869"/>
      <c r="K445" s="166"/>
    </row>
    <row r="446" spans="1:11">
      <c r="A446" s="167">
        <f t="shared" si="13"/>
        <v>2026.05</v>
      </c>
      <c r="B446" s="141" t="e">
        <v>#N/A</v>
      </c>
      <c r="C446" s="223" t="e">
        <v>#N/A</v>
      </c>
      <c r="D446" s="3732" t="e">
        <f t="shared" si="12"/>
        <v>#N/A</v>
      </c>
      <c r="E446" s="166"/>
      <c r="F446" s="954"/>
      <c r="G446" s="166"/>
      <c r="H446" s="166"/>
      <c r="I446" s="166"/>
      <c r="J446" s="1869"/>
      <c r="K446" s="166"/>
    </row>
    <row r="447" spans="1:11">
      <c r="A447" s="167">
        <f t="shared" si="13"/>
        <v>2026.06</v>
      </c>
      <c r="B447" s="141" t="e">
        <v>#N/A</v>
      </c>
      <c r="C447" s="223" t="e">
        <v>#N/A</v>
      </c>
      <c r="D447" s="3732" t="e">
        <f t="shared" si="12"/>
        <v>#N/A</v>
      </c>
      <c r="E447" s="166"/>
      <c r="F447" s="166"/>
      <c r="G447" s="166"/>
      <c r="H447" s="166"/>
      <c r="I447" s="166"/>
      <c r="J447" s="1869"/>
      <c r="K447" s="166"/>
    </row>
    <row r="448" spans="1:11">
      <c r="A448" s="167">
        <f t="shared" si="13"/>
        <v>2026.07</v>
      </c>
      <c r="B448" s="141" t="e">
        <v>#N/A</v>
      </c>
      <c r="C448" s="223" t="e">
        <v>#N/A</v>
      </c>
      <c r="D448" s="3732" t="e">
        <f t="shared" si="12"/>
        <v>#N/A</v>
      </c>
      <c r="E448" s="166"/>
      <c r="F448" s="166"/>
      <c r="G448" s="166"/>
      <c r="H448" s="166"/>
      <c r="I448" s="166"/>
      <c r="J448" s="1869"/>
      <c r="K448" s="166"/>
    </row>
    <row r="449" spans="1:11">
      <c r="A449" s="167">
        <f t="shared" si="13"/>
        <v>2026.08</v>
      </c>
      <c r="B449" s="141" t="e">
        <v>#N/A</v>
      </c>
      <c r="C449" s="223" t="e">
        <v>#N/A</v>
      </c>
      <c r="D449" s="3732" t="e">
        <f t="shared" si="12"/>
        <v>#N/A</v>
      </c>
      <c r="E449" s="166"/>
      <c r="F449" s="166"/>
      <c r="G449" s="166"/>
      <c r="H449" s="166"/>
      <c r="I449" s="166"/>
      <c r="J449" s="1869"/>
      <c r="K449" s="166"/>
    </row>
    <row r="450" spans="1:11">
      <c r="A450" s="167">
        <f t="shared" si="13"/>
        <v>2026.09</v>
      </c>
      <c r="B450" s="141" t="e">
        <v>#N/A</v>
      </c>
      <c r="C450" s="223" t="e">
        <v>#N/A</v>
      </c>
      <c r="D450" s="3732" t="e">
        <f t="shared" si="12"/>
        <v>#N/A</v>
      </c>
      <c r="E450" s="166"/>
      <c r="F450" s="166"/>
      <c r="G450" s="166"/>
      <c r="H450" s="166"/>
      <c r="I450" s="166"/>
      <c r="J450" s="1869"/>
      <c r="K450" s="166"/>
    </row>
    <row r="451" spans="1:11">
      <c r="A451" s="167">
        <f t="shared" si="13"/>
        <v>2026.1</v>
      </c>
      <c r="B451" s="141" t="e">
        <v>#N/A</v>
      </c>
      <c r="C451" s="223" t="e">
        <v>#N/A</v>
      </c>
      <c r="D451" s="3732" t="e">
        <f t="shared" si="12"/>
        <v>#N/A</v>
      </c>
      <c r="E451" s="166"/>
      <c r="F451" s="166"/>
      <c r="G451" s="166"/>
      <c r="H451" s="166"/>
      <c r="I451" s="166"/>
      <c r="J451" s="1869"/>
      <c r="K451" s="166"/>
    </row>
    <row r="452" spans="1:11">
      <c r="A452" s="167">
        <f t="shared" si="13"/>
        <v>2026.11</v>
      </c>
      <c r="B452" s="141" t="e">
        <v>#N/A</v>
      </c>
      <c r="C452" s="223" t="e">
        <v>#N/A</v>
      </c>
      <c r="D452" s="3732" t="e">
        <f t="shared" si="12"/>
        <v>#N/A</v>
      </c>
      <c r="E452" s="166"/>
      <c r="F452" s="166"/>
      <c r="G452" s="166"/>
      <c r="H452" s="166"/>
      <c r="I452" s="166"/>
      <c r="J452" s="1869"/>
      <c r="K452" s="166"/>
    </row>
    <row r="453" spans="1:11">
      <c r="A453" s="167">
        <f t="shared" si="13"/>
        <v>2026.12</v>
      </c>
      <c r="B453" s="141" t="e">
        <v>#N/A</v>
      </c>
      <c r="C453" s="223" t="e">
        <v>#N/A</v>
      </c>
      <c r="D453" s="3732" t="e">
        <f t="shared" si="12"/>
        <v>#N/A</v>
      </c>
      <c r="E453" s="166"/>
      <c r="F453" s="166"/>
      <c r="G453" s="166"/>
      <c r="H453" s="166"/>
      <c r="I453" s="166"/>
      <c r="J453" s="2492"/>
      <c r="K453" s="166"/>
    </row>
    <row r="454" spans="1:11">
      <c r="A454" s="167">
        <f t="shared" si="13"/>
        <v>2027.01</v>
      </c>
      <c r="B454" s="141" t="e">
        <v>#N/A</v>
      </c>
      <c r="C454" s="223" t="e">
        <v>#N/A</v>
      </c>
      <c r="D454" s="3732" t="e">
        <f t="shared" si="12"/>
        <v>#N/A</v>
      </c>
      <c r="E454" s="166"/>
      <c r="F454" s="166"/>
      <c r="G454" s="166"/>
      <c r="H454" s="166"/>
      <c r="I454" s="166"/>
      <c r="J454" s="1869"/>
      <c r="K454" s="2492"/>
    </row>
    <row r="455" spans="1:11">
      <c r="A455" s="167">
        <f t="shared" si="13"/>
        <v>2027.02</v>
      </c>
      <c r="B455" s="141" t="e">
        <v>#N/A</v>
      </c>
      <c r="C455" s="223" t="e">
        <v>#N/A</v>
      </c>
      <c r="D455" s="3732" t="e">
        <f t="shared" si="12"/>
        <v>#N/A</v>
      </c>
      <c r="E455" s="166"/>
      <c r="F455" s="166"/>
      <c r="G455" s="166"/>
      <c r="H455" s="166"/>
      <c r="I455" s="166"/>
      <c r="J455" s="1869"/>
      <c r="K455" s="166"/>
    </row>
    <row r="456" spans="1:11">
      <c r="A456" s="167">
        <f t="shared" si="13"/>
        <v>2027.03</v>
      </c>
      <c r="B456" s="141" t="e">
        <v>#N/A</v>
      </c>
      <c r="C456" s="223" t="e">
        <v>#N/A</v>
      </c>
      <c r="D456" s="3732" t="e">
        <f t="shared" si="12"/>
        <v>#N/A</v>
      </c>
      <c r="E456" s="166"/>
      <c r="F456" s="166"/>
      <c r="G456" s="166"/>
      <c r="H456" s="166"/>
      <c r="I456" s="166"/>
      <c r="J456" s="1869"/>
      <c r="K456" s="166"/>
    </row>
    <row r="457" spans="1:11">
      <c r="A457" s="167">
        <f t="shared" si="13"/>
        <v>2027.04</v>
      </c>
      <c r="B457" s="141" t="e">
        <v>#N/A</v>
      </c>
      <c r="C457" s="223" t="e">
        <v>#N/A</v>
      </c>
      <c r="D457" s="3732" t="e">
        <f t="shared" si="12"/>
        <v>#N/A</v>
      </c>
      <c r="E457" s="166"/>
      <c r="F457" s="166"/>
      <c r="G457" s="166"/>
      <c r="H457" s="166"/>
      <c r="I457" s="166"/>
      <c r="J457" s="1869"/>
      <c r="K457" s="166"/>
    </row>
    <row r="458" spans="1:11">
      <c r="A458" s="167">
        <f t="shared" si="13"/>
        <v>2027.05</v>
      </c>
      <c r="B458" s="141" t="e">
        <v>#N/A</v>
      </c>
      <c r="C458" s="223" t="e">
        <v>#N/A</v>
      </c>
      <c r="D458" s="3732" t="e">
        <f t="shared" ref="D458:D501" si="14">B458-C458</f>
        <v>#N/A</v>
      </c>
      <c r="E458" s="166"/>
      <c r="F458" s="166"/>
      <c r="G458" s="166"/>
      <c r="H458" s="166"/>
      <c r="I458" s="166"/>
      <c r="J458" s="1869"/>
      <c r="K458" s="166"/>
    </row>
    <row r="459" spans="1:11">
      <c r="A459" s="167">
        <f t="shared" si="13"/>
        <v>2027.06</v>
      </c>
      <c r="B459" s="141" t="e">
        <v>#N/A</v>
      </c>
      <c r="C459" s="223" t="e">
        <v>#N/A</v>
      </c>
      <c r="D459" s="3732" t="e">
        <f t="shared" si="14"/>
        <v>#N/A</v>
      </c>
      <c r="E459" s="166"/>
      <c r="F459" s="166"/>
      <c r="G459" s="166"/>
      <c r="H459" s="166"/>
      <c r="I459" s="166"/>
      <c r="J459" s="1869"/>
      <c r="K459" s="166"/>
    </row>
    <row r="460" spans="1:11">
      <c r="A460" s="167">
        <f t="shared" si="13"/>
        <v>2027.07</v>
      </c>
      <c r="B460" s="141" t="e">
        <v>#N/A</v>
      </c>
      <c r="C460" s="223" t="e">
        <v>#N/A</v>
      </c>
      <c r="D460" s="3732" t="e">
        <f t="shared" si="14"/>
        <v>#N/A</v>
      </c>
      <c r="E460" s="166"/>
      <c r="F460" s="166"/>
      <c r="G460" s="166"/>
      <c r="H460" s="166"/>
      <c r="I460" s="166"/>
      <c r="J460" s="1869"/>
      <c r="K460" s="166"/>
    </row>
    <row r="461" spans="1:11">
      <c r="A461" s="167">
        <f t="shared" si="13"/>
        <v>2027.08</v>
      </c>
      <c r="B461" s="141" t="e">
        <v>#N/A</v>
      </c>
      <c r="C461" s="223" t="e">
        <v>#N/A</v>
      </c>
      <c r="D461" s="3732" t="e">
        <f t="shared" si="14"/>
        <v>#N/A</v>
      </c>
      <c r="E461" s="166"/>
      <c r="F461" s="166"/>
      <c r="G461" s="166"/>
      <c r="H461" s="166"/>
      <c r="I461" s="166"/>
      <c r="J461" s="1869"/>
      <c r="K461" s="166"/>
    </row>
    <row r="462" spans="1:11">
      <c r="A462" s="167">
        <f t="shared" si="13"/>
        <v>2027.09</v>
      </c>
      <c r="B462" s="141" t="e">
        <v>#N/A</v>
      </c>
      <c r="C462" s="223" t="e">
        <v>#N/A</v>
      </c>
      <c r="D462" s="3732" t="e">
        <f t="shared" si="14"/>
        <v>#N/A</v>
      </c>
      <c r="E462" s="166"/>
      <c r="F462" s="166"/>
      <c r="G462" s="166"/>
      <c r="H462" s="166"/>
      <c r="I462" s="166"/>
      <c r="J462" s="1869"/>
      <c r="K462" s="166"/>
    </row>
    <row r="463" spans="1:11">
      <c r="A463" s="167">
        <f t="shared" si="13"/>
        <v>2027.1</v>
      </c>
      <c r="B463" s="141" t="e">
        <v>#N/A</v>
      </c>
      <c r="C463" s="223" t="e">
        <v>#N/A</v>
      </c>
      <c r="D463" s="3732" t="e">
        <f t="shared" si="14"/>
        <v>#N/A</v>
      </c>
      <c r="E463" s="166"/>
      <c r="F463" s="166"/>
      <c r="G463" s="166"/>
      <c r="H463" s="166"/>
      <c r="I463" s="166"/>
      <c r="J463" s="1869"/>
      <c r="K463" s="166"/>
    </row>
    <row r="464" spans="1:11">
      <c r="A464" s="167">
        <f t="shared" si="13"/>
        <v>2027.11</v>
      </c>
      <c r="B464" s="141" t="e">
        <v>#N/A</v>
      </c>
      <c r="C464" s="223" t="e">
        <v>#N/A</v>
      </c>
      <c r="D464" s="3732" t="e">
        <f t="shared" si="14"/>
        <v>#N/A</v>
      </c>
      <c r="E464" s="166"/>
      <c r="F464" s="166"/>
      <c r="G464" s="166"/>
      <c r="H464" s="166"/>
      <c r="I464" s="166"/>
      <c r="J464" s="1869"/>
      <c r="K464" s="166"/>
    </row>
    <row r="465" spans="1:11">
      <c r="A465" s="167">
        <f t="shared" si="13"/>
        <v>2027.12</v>
      </c>
      <c r="B465" s="141" t="e">
        <v>#N/A</v>
      </c>
      <c r="C465" s="223" t="e">
        <v>#N/A</v>
      </c>
      <c r="D465" s="3732" t="e">
        <f t="shared" si="14"/>
        <v>#N/A</v>
      </c>
      <c r="E465" s="166"/>
      <c r="F465" s="166"/>
      <c r="G465" s="166"/>
      <c r="H465" s="166"/>
      <c r="I465" s="166"/>
      <c r="J465" s="2492"/>
      <c r="K465" s="166"/>
    </row>
    <row r="466" spans="1:11">
      <c r="A466" s="167">
        <f t="shared" si="13"/>
        <v>2028.01</v>
      </c>
      <c r="B466" s="141" t="e">
        <v>#N/A</v>
      </c>
      <c r="C466" s="223" t="e">
        <v>#N/A</v>
      </c>
      <c r="D466" s="3732" t="e">
        <f t="shared" si="14"/>
        <v>#N/A</v>
      </c>
      <c r="E466" s="166"/>
      <c r="F466" s="166"/>
      <c r="G466" s="166"/>
      <c r="H466" s="166"/>
      <c r="I466" s="166"/>
      <c r="J466" s="1869"/>
      <c r="K466" s="2492"/>
    </row>
    <row r="467" spans="1:11">
      <c r="A467" s="167">
        <f t="shared" si="13"/>
        <v>2028.02</v>
      </c>
      <c r="B467" s="141" t="e">
        <v>#N/A</v>
      </c>
      <c r="C467" s="223" t="e">
        <v>#N/A</v>
      </c>
      <c r="D467" s="3732" t="e">
        <f t="shared" si="14"/>
        <v>#N/A</v>
      </c>
      <c r="E467" s="166"/>
      <c r="F467" s="166"/>
      <c r="G467" s="166"/>
      <c r="H467" s="166"/>
      <c r="I467" s="166"/>
      <c r="J467" s="1869"/>
      <c r="K467" s="166"/>
    </row>
    <row r="468" spans="1:11">
      <c r="A468" s="167">
        <f t="shared" si="13"/>
        <v>2028.03</v>
      </c>
      <c r="B468" s="141" t="e">
        <v>#N/A</v>
      </c>
      <c r="C468" s="223" t="e">
        <v>#N/A</v>
      </c>
      <c r="D468" s="3732" t="e">
        <f t="shared" si="14"/>
        <v>#N/A</v>
      </c>
      <c r="E468" s="166"/>
      <c r="F468" s="166"/>
      <c r="G468" s="166"/>
      <c r="H468" s="166"/>
      <c r="I468" s="166"/>
      <c r="J468" s="1869"/>
      <c r="K468" s="166"/>
    </row>
    <row r="469" spans="1:11">
      <c r="A469" s="167">
        <f t="shared" si="13"/>
        <v>2028.04</v>
      </c>
      <c r="B469" s="141" t="e">
        <v>#N/A</v>
      </c>
      <c r="C469" s="223" t="e">
        <v>#N/A</v>
      </c>
      <c r="D469" s="3732" t="e">
        <f t="shared" si="14"/>
        <v>#N/A</v>
      </c>
      <c r="E469" s="166"/>
      <c r="F469" s="166"/>
      <c r="G469" s="166"/>
      <c r="H469" s="166"/>
      <c r="I469" s="166"/>
      <c r="J469" s="1869"/>
      <c r="K469" s="166"/>
    </row>
    <row r="470" spans="1:11">
      <c r="A470" s="167">
        <f t="shared" si="13"/>
        <v>2028.05</v>
      </c>
      <c r="B470" s="141" t="e">
        <v>#N/A</v>
      </c>
      <c r="C470" s="223" t="e">
        <v>#N/A</v>
      </c>
      <c r="D470" s="3732" t="e">
        <f t="shared" si="14"/>
        <v>#N/A</v>
      </c>
      <c r="E470" s="166"/>
      <c r="F470" s="166"/>
      <c r="G470" s="166"/>
      <c r="H470" s="166"/>
      <c r="I470" s="166"/>
      <c r="J470" s="1869"/>
      <c r="K470" s="166"/>
    </row>
    <row r="471" spans="1:11">
      <c r="A471" s="167">
        <f t="shared" si="13"/>
        <v>2028.06</v>
      </c>
      <c r="B471" s="141" t="e">
        <v>#N/A</v>
      </c>
      <c r="C471" s="223" t="e">
        <v>#N/A</v>
      </c>
      <c r="D471" s="3732" t="e">
        <f t="shared" si="14"/>
        <v>#N/A</v>
      </c>
      <c r="E471" s="166"/>
      <c r="F471" s="166"/>
      <c r="G471" s="166"/>
      <c r="H471" s="166"/>
      <c r="I471" s="166"/>
      <c r="J471" s="1869"/>
      <c r="K471" s="166"/>
    </row>
    <row r="472" spans="1:11">
      <c r="A472" s="167">
        <f t="shared" si="13"/>
        <v>2028.07</v>
      </c>
      <c r="B472" s="141" t="e">
        <v>#N/A</v>
      </c>
      <c r="C472" s="223" t="e">
        <v>#N/A</v>
      </c>
      <c r="D472" s="3732" t="e">
        <f t="shared" si="14"/>
        <v>#N/A</v>
      </c>
      <c r="E472" s="166"/>
      <c r="F472" s="166"/>
      <c r="G472" s="166"/>
      <c r="H472" s="166"/>
      <c r="I472" s="166"/>
      <c r="J472" s="1869"/>
      <c r="K472" s="166"/>
    </row>
    <row r="473" spans="1:11">
      <c r="A473" s="167">
        <f t="shared" ref="A473:A501" si="15">A461+1</f>
        <v>2028.08</v>
      </c>
      <c r="B473" s="141" t="e">
        <v>#N/A</v>
      </c>
      <c r="C473" s="223" t="e">
        <v>#N/A</v>
      </c>
      <c r="D473" s="3732" t="e">
        <f t="shared" si="14"/>
        <v>#N/A</v>
      </c>
      <c r="E473" s="166"/>
      <c r="F473" s="166"/>
      <c r="G473" s="166"/>
      <c r="H473" s="166"/>
      <c r="I473" s="166"/>
      <c r="J473" s="1869"/>
      <c r="K473" s="166"/>
    </row>
    <row r="474" spans="1:11">
      <c r="A474" s="167">
        <f t="shared" si="15"/>
        <v>2028.09</v>
      </c>
      <c r="B474" s="141" t="e">
        <v>#N/A</v>
      </c>
      <c r="C474" s="223" t="e">
        <v>#N/A</v>
      </c>
      <c r="D474" s="3732" t="e">
        <f t="shared" si="14"/>
        <v>#N/A</v>
      </c>
      <c r="E474" s="166"/>
      <c r="F474" s="166"/>
      <c r="G474" s="166"/>
      <c r="H474" s="166"/>
      <c r="I474" s="166"/>
      <c r="J474" s="1869"/>
      <c r="K474" s="166"/>
    </row>
    <row r="475" spans="1:11">
      <c r="A475" s="167">
        <f t="shared" si="15"/>
        <v>2028.1</v>
      </c>
      <c r="B475" s="141" t="e">
        <v>#N/A</v>
      </c>
      <c r="C475" s="223" t="e">
        <v>#N/A</v>
      </c>
      <c r="D475" s="3732" t="e">
        <f t="shared" si="14"/>
        <v>#N/A</v>
      </c>
      <c r="E475" s="166"/>
      <c r="F475" s="166"/>
      <c r="G475" s="166"/>
      <c r="H475" s="166"/>
      <c r="I475" s="166"/>
      <c r="J475" s="1869"/>
      <c r="K475" s="166"/>
    </row>
    <row r="476" spans="1:11">
      <c r="A476" s="167">
        <f t="shared" si="15"/>
        <v>2028.11</v>
      </c>
      <c r="B476" s="141" t="e">
        <v>#N/A</v>
      </c>
      <c r="C476" s="223" t="e">
        <v>#N/A</v>
      </c>
      <c r="D476" s="3732" t="e">
        <f t="shared" si="14"/>
        <v>#N/A</v>
      </c>
      <c r="E476" s="166"/>
      <c r="F476" s="166"/>
      <c r="G476" s="166"/>
      <c r="H476" s="166"/>
      <c r="I476" s="166"/>
      <c r="J476" s="1869"/>
      <c r="K476" s="166"/>
    </row>
    <row r="477" spans="1:11">
      <c r="A477" s="167">
        <f t="shared" si="15"/>
        <v>2028.12</v>
      </c>
      <c r="B477" s="141" t="e">
        <v>#N/A</v>
      </c>
      <c r="C477" s="223" t="e">
        <v>#N/A</v>
      </c>
      <c r="D477" s="3732" t="e">
        <f t="shared" si="14"/>
        <v>#N/A</v>
      </c>
      <c r="E477" s="166"/>
      <c r="F477" s="166"/>
      <c r="G477" s="166"/>
      <c r="H477" s="166"/>
      <c r="I477" s="166"/>
      <c r="J477" s="2492"/>
      <c r="K477" s="166"/>
    </row>
    <row r="478" spans="1:11">
      <c r="A478" s="167">
        <f t="shared" si="15"/>
        <v>2029.01</v>
      </c>
      <c r="B478" s="141" t="e">
        <v>#N/A</v>
      </c>
      <c r="C478" s="223" t="e">
        <v>#N/A</v>
      </c>
      <c r="D478" s="3732" t="e">
        <f t="shared" si="14"/>
        <v>#N/A</v>
      </c>
      <c r="E478" s="166"/>
      <c r="F478" s="166"/>
      <c r="G478" s="166"/>
      <c r="H478" s="166"/>
      <c r="I478" s="166"/>
      <c r="J478" s="1869"/>
      <c r="K478" s="2492"/>
    </row>
    <row r="479" spans="1:11">
      <c r="A479" s="167">
        <f t="shared" si="15"/>
        <v>2029.02</v>
      </c>
      <c r="B479" s="141" t="e">
        <v>#N/A</v>
      </c>
      <c r="C479" s="223" t="e">
        <v>#N/A</v>
      </c>
      <c r="D479" s="3732" t="e">
        <f t="shared" si="14"/>
        <v>#N/A</v>
      </c>
      <c r="E479" s="166"/>
      <c r="F479" s="166"/>
      <c r="G479" s="166"/>
      <c r="H479" s="166"/>
      <c r="I479" s="166"/>
      <c r="J479" s="1869"/>
      <c r="K479" s="166"/>
    </row>
    <row r="480" spans="1:11">
      <c r="A480" s="167">
        <f t="shared" si="15"/>
        <v>2029.03</v>
      </c>
      <c r="B480" s="141" t="e">
        <v>#N/A</v>
      </c>
      <c r="C480" s="223" t="e">
        <v>#N/A</v>
      </c>
      <c r="D480" s="3732" t="e">
        <f t="shared" si="14"/>
        <v>#N/A</v>
      </c>
      <c r="E480" s="166"/>
      <c r="F480" s="166"/>
      <c r="G480" s="166"/>
      <c r="H480" s="166"/>
      <c r="I480" s="166"/>
      <c r="J480" s="1869"/>
      <c r="K480" s="166"/>
    </row>
    <row r="481" spans="1:11">
      <c r="A481" s="167">
        <f t="shared" si="15"/>
        <v>2029.04</v>
      </c>
      <c r="B481" s="141" t="e">
        <v>#N/A</v>
      </c>
      <c r="C481" s="223" t="e">
        <v>#N/A</v>
      </c>
      <c r="D481" s="3732" t="e">
        <f t="shared" si="14"/>
        <v>#N/A</v>
      </c>
      <c r="E481" s="166"/>
      <c r="F481" s="166"/>
      <c r="G481" s="166"/>
      <c r="H481" s="166"/>
      <c r="I481" s="166"/>
      <c r="J481" s="1869"/>
      <c r="K481" s="166"/>
    </row>
    <row r="482" spans="1:11">
      <c r="A482" s="167">
        <f t="shared" si="15"/>
        <v>2029.05</v>
      </c>
      <c r="B482" s="141" t="e">
        <v>#N/A</v>
      </c>
      <c r="C482" s="223" t="e">
        <v>#N/A</v>
      </c>
      <c r="D482" s="3732" t="e">
        <f t="shared" si="14"/>
        <v>#N/A</v>
      </c>
      <c r="E482" s="166"/>
      <c r="F482" s="166"/>
      <c r="G482" s="166"/>
      <c r="H482" s="166"/>
      <c r="I482" s="166"/>
      <c r="J482" s="1869"/>
      <c r="K482" s="166"/>
    </row>
    <row r="483" spans="1:11">
      <c r="A483" s="167">
        <f t="shared" si="15"/>
        <v>2029.06</v>
      </c>
      <c r="B483" s="141" t="e">
        <v>#N/A</v>
      </c>
      <c r="C483" s="223" t="e">
        <v>#N/A</v>
      </c>
      <c r="D483" s="3732" t="e">
        <f t="shared" si="14"/>
        <v>#N/A</v>
      </c>
      <c r="E483" s="166"/>
      <c r="F483" s="166"/>
      <c r="G483" s="166"/>
      <c r="H483" s="166"/>
      <c r="I483" s="166"/>
      <c r="J483" s="1869"/>
      <c r="K483" s="166"/>
    </row>
    <row r="484" spans="1:11">
      <c r="A484" s="167">
        <f t="shared" si="15"/>
        <v>2029.07</v>
      </c>
      <c r="B484" s="141" t="e">
        <v>#N/A</v>
      </c>
      <c r="C484" s="223" t="e">
        <v>#N/A</v>
      </c>
      <c r="D484" s="3732" t="e">
        <f t="shared" si="14"/>
        <v>#N/A</v>
      </c>
      <c r="E484" s="166"/>
      <c r="F484" s="166"/>
      <c r="G484" s="166"/>
      <c r="H484" s="166"/>
      <c r="I484" s="166"/>
      <c r="J484" s="1869"/>
      <c r="K484" s="166"/>
    </row>
    <row r="485" spans="1:11">
      <c r="A485" s="167">
        <f t="shared" si="15"/>
        <v>2029.08</v>
      </c>
      <c r="B485" s="141" t="e">
        <v>#N/A</v>
      </c>
      <c r="C485" s="223" t="e">
        <v>#N/A</v>
      </c>
      <c r="D485" s="3732" t="e">
        <f t="shared" si="14"/>
        <v>#N/A</v>
      </c>
      <c r="E485" s="166"/>
      <c r="F485" s="166"/>
      <c r="G485" s="166"/>
      <c r="H485" s="166"/>
      <c r="I485" s="166"/>
      <c r="J485" s="1869"/>
      <c r="K485" s="166"/>
    </row>
    <row r="486" spans="1:11">
      <c r="A486" s="167">
        <f t="shared" si="15"/>
        <v>2029.09</v>
      </c>
      <c r="B486" s="141" t="e">
        <v>#N/A</v>
      </c>
      <c r="C486" s="223" t="e">
        <v>#N/A</v>
      </c>
      <c r="D486" s="3732" t="e">
        <f t="shared" si="14"/>
        <v>#N/A</v>
      </c>
      <c r="E486" s="166"/>
      <c r="F486" s="166"/>
      <c r="G486" s="166"/>
      <c r="H486" s="166"/>
      <c r="I486" s="166"/>
      <c r="J486" s="1869"/>
      <c r="K486" s="166"/>
    </row>
    <row r="487" spans="1:11">
      <c r="A487" s="167">
        <f t="shared" si="15"/>
        <v>2029.1</v>
      </c>
      <c r="B487" s="141" t="e">
        <v>#N/A</v>
      </c>
      <c r="C487" s="223" t="e">
        <v>#N/A</v>
      </c>
      <c r="D487" s="3732" t="e">
        <f t="shared" si="14"/>
        <v>#N/A</v>
      </c>
      <c r="E487" s="166"/>
      <c r="F487" s="166"/>
      <c r="G487" s="166"/>
      <c r="H487" s="166"/>
      <c r="I487" s="166"/>
      <c r="J487" s="1869"/>
      <c r="K487" s="166"/>
    </row>
    <row r="488" spans="1:11">
      <c r="A488" s="167">
        <f t="shared" si="15"/>
        <v>2029.11</v>
      </c>
      <c r="B488" s="141" t="e">
        <v>#N/A</v>
      </c>
      <c r="C488" s="223" t="e">
        <v>#N/A</v>
      </c>
      <c r="D488" s="3732" t="e">
        <f t="shared" si="14"/>
        <v>#N/A</v>
      </c>
      <c r="E488" s="166"/>
      <c r="F488" s="166"/>
      <c r="G488" s="166"/>
      <c r="H488" s="166"/>
      <c r="I488" s="166"/>
      <c r="J488" s="1869"/>
      <c r="K488" s="166"/>
    </row>
    <row r="489" spans="1:11">
      <c r="A489" s="167">
        <f t="shared" si="15"/>
        <v>2029.12</v>
      </c>
      <c r="B489" s="141" t="e">
        <v>#N/A</v>
      </c>
      <c r="C489" s="223" t="e">
        <v>#N/A</v>
      </c>
      <c r="D489" s="3732" t="e">
        <f t="shared" si="14"/>
        <v>#N/A</v>
      </c>
      <c r="E489" s="166"/>
      <c r="F489" s="166"/>
      <c r="G489" s="166"/>
      <c r="H489" s="166"/>
      <c r="I489" s="166"/>
      <c r="J489" s="2492"/>
      <c r="K489" s="166"/>
    </row>
    <row r="490" spans="1:11">
      <c r="A490" s="167">
        <f t="shared" si="15"/>
        <v>2030.01</v>
      </c>
      <c r="B490" s="141" t="e">
        <v>#N/A</v>
      </c>
      <c r="C490" s="223" t="e">
        <v>#N/A</v>
      </c>
      <c r="D490" s="3732" t="e">
        <f t="shared" si="14"/>
        <v>#N/A</v>
      </c>
      <c r="E490" s="166"/>
      <c r="F490" s="166"/>
      <c r="G490" s="166"/>
      <c r="H490" s="166"/>
      <c r="I490" s="166"/>
      <c r="J490" s="166"/>
      <c r="K490" s="2492"/>
    </row>
    <row r="491" spans="1:11">
      <c r="A491" s="167">
        <f t="shared" si="15"/>
        <v>2030.02</v>
      </c>
      <c r="B491" s="141" t="e">
        <v>#N/A</v>
      </c>
      <c r="C491" s="223" t="e">
        <v>#N/A</v>
      </c>
      <c r="D491" s="3732" t="e">
        <f t="shared" si="14"/>
        <v>#N/A</v>
      </c>
      <c r="E491" s="166"/>
      <c r="F491" s="166"/>
      <c r="G491" s="166"/>
      <c r="H491" s="166"/>
      <c r="I491" s="166"/>
      <c r="J491" s="166"/>
      <c r="K491" s="166"/>
    </row>
    <row r="492" spans="1:11">
      <c r="A492" s="167">
        <f t="shared" si="15"/>
        <v>2030.03</v>
      </c>
      <c r="B492" s="141" t="e">
        <v>#N/A</v>
      </c>
      <c r="C492" s="223" t="e">
        <v>#N/A</v>
      </c>
      <c r="D492" s="3732" t="e">
        <f t="shared" si="14"/>
        <v>#N/A</v>
      </c>
      <c r="E492" s="166"/>
      <c r="F492" s="166"/>
      <c r="G492" s="166"/>
      <c r="H492" s="166"/>
      <c r="I492" s="166"/>
      <c r="J492" s="166"/>
      <c r="K492" s="166"/>
    </row>
    <row r="493" spans="1:11">
      <c r="A493" s="167">
        <f t="shared" si="15"/>
        <v>2030.04</v>
      </c>
      <c r="B493" s="141" t="e">
        <v>#N/A</v>
      </c>
      <c r="C493" s="223" t="e">
        <v>#N/A</v>
      </c>
      <c r="D493" s="3732" t="e">
        <f t="shared" si="14"/>
        <v>#N/A</v>
      </c>
      <c r="E493" s="166"/>
      <c r="F493" s="166"/>
      <c r="G493" s="166"/>
      <c r="H493" s="166"/>
      <c r="I493" s="166"/>
      <c r="J493" s="166"/>
      <c r="K493" s="166"/>
    </row>
    <row r="494" spans="1:11">
      <c r="A494" s="167">
        <f t="shared" si="15"/>
        <v>2030.05</v>
      </c>
      <c r="B494" s="141" t="e">
        <v>#N/A</v>
      </c>
      <c r="C494" s="223" t="e">
        <v>#N/A</v>
      </c>
      <c r="D494" s="3732" t="e">
        <f t="shared" si="14"/>
        <v>#N/A</v>
      </c>
      <c r="E494" s="166"/>
      <c r="F494" s="166"/>
      <c r="G494" s="166"/>
      <c r="H494" s="166"/>
      <c r="I494" s="166"/>
      <c r="J494" s="166"/>
      <c r="K494" s="166"/>
    </row>
    <row r="495" spans="1:11">
      <c r="A495" s="167">
        <f t="shared" si="15"/>
        <v>2030.06</v>
      </c>
      <c r="B495" s="141" t="e">
        <v>#N/A</v>
      </c>
      <c r="C495" s="223" t="e">
        <v>#N/A</v>
      </c>
      <c r="D495" s="3732" t="e">
        <f t="shared" si="14"/>
        <v>#N/A</v>
      </c>
      <c r="E495" s="166"/>
      <c r="F495" s="166"/>
      <c r="G495" s="166"/>
      <c r="H495" s="166"/>
      <c r="I495" s="166"/>
      <c r="J495" s="166"/>
      <c r="K495" s="166"/>
    </row>
    <row r="496" spans="1:11">
      <c r="A496" s="167">
        <f t="shared" si="15"/>
        <v>2030.07</v>
      </c>
      <c r="B496" s="141" t="e">
        <v>#N/A</v>
      </c>
      <c r="C496" s="223" t="e">
        <v>#N/A</v>
      </c>
      <c r="D496" s="3732" t="e">
        <f t="shared" si="14"/>
        <v>#N/A</v>
      </c>
      <c r="E496" s="166"/>
      <c r="F496" s="166"/>
      <c r="G496" s="166"/>
      <c r="H496" s="166"/>
      <c r="I496" s="166"/>
      <c r="J496" s="166"/>
      <c r="K496" s="166"/>
    </row>
    <row r="497" spans="1:4">
      <c r="A497" s="167">
        <f t="shared" si="15"/>
        <v>2030.08</v>
      </c>
      <c r="B497" s="141" t="e">
        <v>#N/A</v>
      </c>
      <c r="C497" s="223" t="e">
        <v>#N/A</v>
      </c>
      <c r="D497" s="3732" t="e">
        <f t="shared" si="14"/>
        <v>#N/A</v>
      </c>
    </row>
    <row r="498" spans="1:4">
      <c r="A498" s="167">
        <f t="shared" si="15"/>
        <v>2030.09</v>
      </c>
      <c r="B498" s="141" t="e">
        <v>#N/A</v>
      </c>
      <c r="C498" s="223" t="e">
        <v>#N/A</v>
      </c>
      <c r="D498" s="3732" t="e">
        <f t="shared" si="14"/>
        <v>#N/A</v>
      </c>
    </row>
    <row r="499" spans="1:4">
      <c r="A499" s="167">
        <f t="shared" si="15"/>
        <v>2030.1</v>
      </c>
      <c r="B499" s="141" t="e">
        <v>#N/A</v>
      </c>
      <c r="C499" s="223" t="e">
        <v>#N/A</v>
      </c>
      <c r="D499" s="3732" t="e">
        <f t="shared" si="14"/>
        <v>#N/A</v>
      </c>
    </row>
    <row r="500" spans="1:4">
      <c r="A500" s="167">
        <f t="shared" si="15"/>
        <v>2030.11</v>
      </c>
      <c r="B500" s="141" t="e">
        <v>#N/A</v>
      </c>
      <c r="C500" s="223" t="e">
        <v>#N/A</v>
      </c>
      <c r="D500" s="3732" t="e">
        <f t="shared" si="14"/>
        <v>#N/A</v>
      </c>
    </row>
    <row r="501" spans="1:4">
      <c r="A501" s="167">
        <f t="shared" si="15"/>
        <v>2030.12</v>
      </c>
      <c r="B501" s="141" t="e">
        <v>#N/A</v>
      </c>
      <c r="C501" s="223" t="e">
        <v>#N/A</v>
      </c>
      <c r="D501" s="3732" t="e">
        <f t="shared" si="14"/>
        <v>#N/A</v>
      </c>
    </row>
  </sheetData>
  <phoneticPr fontId="71" type="noConversion"/>
  <hyperlinks>
    <hyperlink ref="A5" location="INDICE!A13" display="VOLVER AL INDICE" xr:uid="{00000000-0004-0000-2A00-000000000000}"/>
  </hyperlinks>
  <pageMargins left="0.75" right="0.75" top="1" bottom="1" header="0" footer="0"/>
  <pageSetup paperSize="9"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63"/>
  <dimension ref="A1:I189"/>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5"/>
  <cols>
    <col min="1" max="1" width="9.85546875" style="393" customWidth="1"/>
    <col min="2" max="8" width="11.5703125" style="393" customWidth="1"/>
    <col min="9" max="16384" width="11.42578125" style="393"/>
  </cols>
  <sheetData>
    <row r="1" spans="1:9" ht="2.25" customHeight="1">
      <c r="A1" s="2761"/>
      <c r="B1" s="543"/>
      <c r="C1" s="544"/>
      <c r="D1" s="544"/>
      <c r="E1" s="543"/>
      <c r="F1" s="544"/>
      <c r="G1" s="544"/>
      <c r="I1" s="545"/>
    </row>
    <row r="2" spans="1:9" ht="24" customHeight="1">
      <c r="A2" s="2762" t="s">
        <v>99</v>
      </c>
      <c r="B2" s="402" t="s">
        <v>273</v>
      </c>
      <c r="C2" s="3069"/>
      <c r="D2" s="3069"/>
      <c r="E2" s="3069" t="s">
        <v>270</v>
      </c>
      <c r="F2" s="3069"/>
      <c r="G2" s="3069"/>
      <c r="H2" s="3070" t="s">
        <v>2095</v>
      </c>
      <c r="I2" s="403"/>
    </row>
    <row r="3" spans="1:9">
      <c r="A3" s="2762" t="s">
        <v>104</v>
      </c>
      <c r="B3" s="3071" t="s">
        <v>687</v>
      </c>
      <c r="C3" s="394"/>
      <c r="D3" s="395"/>
      <c r="E3" s="3071"/>
      <c r="F3" s="394"/>
      <c r="G3" s="395"/>
      <c r="H3" s="3071"/>
      <c r="I3" s="3072"/>
    </row>
    <row r="4" spans="1:9" ht="1.5" hidden="1" customHeight="1">
      <c r="A4" s="2762"/>
      <c r="B4" s="404"/>
      <c r="C4" s="404"/>
      <c r="D4" s="404"/>
      <c r="E4" s="404"/>
      <c r="F4" s="404"/>
      <c r="G4" s="404"/>
      <c r="H4" s="404"/>
      <c r="I4" s="405"/>
    </row>
    <row r="5" spans="1:9" ht="67.5">
      <c r="A5" s="2867" t="s">
        <v>140</v>
      </c>
      <c r="B5" s="399" t="s">
        <v>1667</v>
      </c>
      <c r="C5" s="400" t="s">
        <v>1668</v>
      </c>
      <c r="D5" s="401" t="s">
        <v>1669</v>
      </c>
      <c r="E5" s="3073" t="s">
        <v>1670</v>
      </c>
      <c r="F5" s="400" t="s">
        <v>1671</v>
      </c>
      <c r="G5" s="401" t="s">
        <v>1672</v>
      </c>
      <c r="H5" s="3073" t="s">
        <v>1673</v>
      </c>
      <c r="I5" s="2082" t="s">
        <v>1674</v>
      </c>
    </row>
    <row r="6" spans="1:9" ht="2.25" hidden="1" customHeight="1">
      <c r="A6" s="2762"/>
      <c r="B6" s="3074"/>
      <c r="C6" s="406"/>
      <c r="D6" s="406"/>
      <c r="E6" s="406"/>
      <c r="F6" s="406"/>
      <c r="G6" s="406"/>
      <c r="H6" s="406"/>
      <c r="I6" s="2083"/>
    </row>
    <row r="7" spans="1:9" ht="22.5">
      <c r="A7" s="2762" t="s">
        <v>125</v>
      </c>
      <c r="B7" s="3075" t="s">
        <v>1675</v>
      </c>
      <c r="C7" s="407" t="s">
        <v>1675</v>
      </c>
      <c r="D7" s="408" t="s">
        <v>1675</v>
      </c>
      <c r="E7" s="3075" t="s">
        <v>1675</v>
      </c>
      <c r="F7" s="407" t="s">
        <v>1675</v>
      </c>
      <c r="G7" s="408" t="s">
        <v>1675</v>
      </c>
      <c r="H7" s="3075" t="s">
        <v>1675</v>
      </c>
      <c r="I7" s="2084" t="s">
        <v>1675</v>
      </c>
    </row>
    <row r="8" spans="1:9">
      <c r="A8" s="3002" t="s">
        <v>144</v>
      </c>
      <c r="B8" s="2290" t="s">
        <v>2058</v>
      </c>
      <c r="C8" s="2291" t="s">
        <v>2059</v>
      </c>
      <c r="D8" s="2292" t="s">
        <v>2060</v>
      </c>
      <c r="E8" s="2290" t="s">
        <v>2061</v>
      </c>
      <c r="F8" s="2291" t="s">
        <v>2062</v>
      </c>
      <c r="G8" s="2292" t="s">
        <v>2063</v>
      </c>
      <c r="H8" s="3076" t="s">
        <v>2064</v>
      </c>
      <c r="I8" s="2293" t="s">
        <v>2065</v>
      </c>
    </row>
    <row r="9" spans="1:9" ht="15.75" thickBot="1">
      <c r="A9" s="2140"/>
      <c r="B9" s="3077"/>
      <c r="C9" s="396"/>
      <c r="D9" s="397"/>
      <c r="E9" s="3078"/>
      <c r="F9" s="396"/>
      <c r="G9" s="397"/>
      <c r="H9" s="3078"/>
      <c r="I9" s="2085"/>
    </row>
    <row r="10" spans="1:9" ht="12.75" customHeight="1">
      <c r="A10" s="398" t="s">
        <v>74</v>
      </c>
      <c r="B10" s="2294">
        <v>17.497890999999999</v>
      </c>
      <c r="C10" s="483">
        <v>69.843274999999991</v>
      </c>
      <c r="D10" s="2295">
        <v>25.053079</v>
      </c>
      <c r="E10" s="566">
        <v>16.405251</v>
      </c>
      <c r="F10" s="483">
        <v>94.940759999999997</v>
      </c>
      <c r="G10" s="2295">
        <v>17.279460999999998</v>
      </c>
      <c r="H10" s="566">
        <v>73.56510999999999</v>
      </c>
      <c r="I10" s="2297">
        <f>B10/F10*100</f>
        <v>18.430325394488101</v>
      </c>
    </row>
    <row r="11" spans="1:9" ht="12.75" customHeight="1">
      <c r="A11" s="398" t="s">
        <v>368</v>
      </c>
      <c r="B11" s="615">
        <v>22.766632999999999</v>
      </c>
      <c r="C11" s="3535">
        <v>72.703974000000002</v>
      </c>
      <c r="D11" s="2296">
        <v>31.314152</v>
      </c>
      <c r="E11" s="1267">
        <v>20.557683999999998</v>
      </c>
      <c r="F11" s="3535">
        <v>97.572072999999989</v>
      </c>
      <c r="G11" s="2296">
        <v>21.069229</v>
      </c>
      <c r="H11" s="1267">
        <v>74.513097999999999</v>
      </c>
      <c r="I11" s="3079">
        <f>B11/F11*100</f>
        <v>23.333144720621036</v>
      </c>
    </row>
    <row r="12" spans="1:9" ht="12.75" customHeight="1">
      <c r="A12" s="398" t="s">
        <v>369</v>
      </c>
      <c r="B12" s="615">
        <v>21.944872999999998</v>
      </c>
      <c r="C12" s="3535">
        <v>74.478963999999991</v>
      </c>
      <c r="D12" s="2296">
        <v>29.464524999999998</v>
      </c>
      <c r="E12" s="1267">
        <v>24.356791999999999</v>
      </c>
      <c r="F12" s="3535">
        <v>96.965701999999993</v>
      </c>
      <c r="G12" s="2296">
        <v>25.118976</v>
      </c>
      <c r="H12" s="1267">
        <v>76.809595999999999</v>
      </c>
      <c r="I12" s="3079">
        <f t="shared" ref="I12:I75" si="0">B12/F12*100</f>
        <v>22.631582660021373</v>
      </c>
    </row>
    <row r="13" spans="1:9" ht="12.75" customHeight="1">
      <c r="A13" s="398" t="s">
        <v>370</v>
      </c>
      <c r="B13" s="615">
        <v>17.062532000000001</v>
      </c>
      <c r="C13" s="3535">
        <v>73.36052699999999</v>
      </c>
      <c r="D13" s="2296">
        <v>23.258464</v>
      </c>
      <c r="E13" s="1267">
        <v>23.048743999999999</v>
      </c>
      <c r="F13" s="3535">
        <v>95.824547999999993</v>
      </c>
      <c r="G13" s="2296">
        <v>24.053068</v>
      </c>
      <c r="H13" s="1267">
        <v>76.557132999999993</v>
      </c>
      <c r="I13" s="3079">
        <f t="shared" si="0"/>
        <v>17.806013548845545</v>
      </c>
    </row>
    <row r="14" spans="1:9" ht="12.75" customHeight="1">
      <c r="A14" s="398" t="s">
        <v>371</v>
      </c>
      <c r="B14" s="615">
        <v>16.736376</v>
      </c>
      <c r="C14" s="3535">
        <v>70.648290000000003</v>
      </c>
      <c r="D14" s="2296">
        <v>23.689712</v>
      </c>
      <c r="E14" s="1267">
        <v>21.382617</v>
      </c>
      <c r="F14" s="3535">
        <v>95.836187999999993</v>
      </c>
      <c r="G14" s="2296">
        <v>22.311630999999998</v>
      </c>
      <c r="H14" s="1267">
        <v>73.717759000000001</v>
      </c>
      <c r="I14" s="3079">
        <f t="shared" si="0"/>
        <v>17.463524321313784</v>
      </c>
    </row>
    <row r="15" spans="1:9" ht="12.75" customHeight="1">
      <c r="A15" s="398" t="s">
        <v>372</v>
      </c>
      <c r="B15" s="615">
        <v>20.144451</v>
      </c>
      <c r="C15" s="3535">
        <v>74.218268999999992</v>
      </c>
      <c r="D15" s="2296">
        <v>27.142173</v>
      </c>
      <c r="E15" s="1267">
        <v>24.580774999999999</v>
      </c>
      <c r="F15" s="3535">
        <v>91.91807399999999</v>
      </c>
      <c r="G15" s="2296">
        <v>26.742048</v>
      </c>
      <c r="H15" s="1267">
        <v>80.743933999999996</v>
      </c>
      <c r="I15" s="3079">
        <f t="shared" si="0"/>
        <v>21.915658285007151</v>
      </c>
    </row>
    <row r="16" spans="1:9" ht="12.75" customHeight="1">
      <c r="A16" s="398" t="s">
        <v>373</v>
      </c>
      <c r="B16" s="615">
        <v>18.735963999999999</v>
      </c>
      <c r="C16" s="3535">
        <v>79.580315999999996</v>
      </c>
      <c r="D16" s="2296">
        <v>23.543465999999999</v>
      </c>
      <c r="E16" s="1267">
        <v>29.095948999999997</v>
      </c>
      <c r="F16" s="3535">
        <v>89.221168999999989</v>
      </c>
      <c r="G16" s="2296">
        <v>32.611038000000001</v>
      </c>
      <c r="H16" s="1267">
        <v>89.194432999999989</v>
      </c>
      <c r="I16" s="3079">
        <f t="shared" si="0"/>
        <v>20.999460341076681</v>
      </c>
    </row>
    <row r="17" spans="1:9" ht="12.75" customHeight="1">
      <c r="A17" s="398" t="s">
        <v>374</v>
      </c>
      <c r="B17" s="615">
        <v>18.083829999999999</v>
      </c>
      <c r="C17" s="3535">
        <v>80.017229</v>
      </c>
      <c r="D17" s="2296">
        <v>22.599919999999997</v>
      </c>
      <c r="E17" s="1267">
        <v>28.620681999999999</v>
      </c>
      <c r="F17" s="3535">
        <v>100.52935100000001</v>
      </c>
      <c r="G17" s="2296">
        <v>28.469975999999999</v>
      </c>
      <c r="H17" s="1267">
        <v>79.595888000000002</v>
      </c>
      <c r="I17" s="3079">
        <f t="shared" si="0"/>
        <v>17.988607128280375</v>
      </c>
    </row>
    <row r="18" spans="1:9" ht="12.75" customHeight="1">
      <c r="A18" s="398" t="s">
        <v>375</v>
      </c>
      <c r="B18" s="615">
        <v>19.886005000000001</v>
      </c>
      <c r="C18" s="3535">
        <v>80.68737999999999</v>
      </c>
      <c r="D18" s="2296">
        <v>24.645744000000001</v>
      </c>
      <c r="E18" s="1267">
        <v>20.757263999999999</v>
      </c>
      <c r="F18" s="3535">
        <v>100.53785499999999</v>
      </c>
      <c r="G18" s="2296">
        <v>20.646217</v>
      </c>
      <c r="H18" s="1267">
        <v>80.255719999999997</v>
      </c>
      <c r="I18" s="3079">
        <f t="shared" si="0"/>
        <v>19.77961932846091</v>
      </c>
    </row>
    <row r="19" spans="1:9" ht="12.75" customHeight="1">
      <c r="A19" s="398" t="s">
        <v>376</v>
      </c>
      <c r="B19" s="615">
        <v>26.578254999999999</v>
      </c>
      <c r="C19" s="3535">
        <v>85.181072</v>
      </c>
      <c r="D19" s="2296">
        <v>31.202065999999999</v>
      </c>
      <c r="E19" s="1267">
        <v>25.062417</v>
      </c>
      <c r="F19" s="3535">
        <v>98.469493999999997</v>
      </c>
      <c r="G19" s="2296">
        <v>25.451960999999997</v>
      </c>
      <c r="H19" s="1267">
        <v>86.505037000000002</v>
      </c>
      <c r="I19" s="3079">
        <f t="shared" si="0"/>
        <v>26.991359374711521</v>
      </c>
    </row>
    <row r="20" spans="1:9" ht="12.75" customHeight="1">
      <c r="A20" s="398" t="s">
        <v>377</v>
      </c>
      <c r="B20" s="615">
        <v>30.973917</v>
      </c>
      <c r="C20" s="3535">
        <v>91.683137000000002</v>
      </c>
      <c r="D20" s="2296">
        <v>33.783656999999998</v>
      </c>
      <c r="E20" s="1267">
        <v>25.963607999999997</v>
      </c>
      <c r="F20" s="3535">
        <v>95.678249999999991</v>
      </c>
      <c r="G20" s="2296">
        <v>27.136374</v>
      </c>
      <c r="H20" s="1267">
        <v>95.824429999999992</v>
      </c>
      <c r="I20" s="3079">
        <f t="shared" si="0"/>
        <v>32.372996997750278</v>
      </c>
    </row>
    <row r="21" spans="1:9" ht="12.75" customHeight="1">
      <c r="A21" s="398" t="s">
        <v>378</v>
      </c>
      <c r="B21" s="615">
        <v>28.240696999999997</v>
      </c>
      <c r="C21" s="3535">
        <v>93.721963000000002</v>
      </c>
      <c r="D21" s="2296">
        <v>30.132421999999998</v>
      </c>
      <c r="E21" s="1267">
        <v>23.052941000000001</v>
      </c>
      <c r="F21" s="3535">
        <v>109.150908</v>
      </c>
      <c r="G21" s="2296">
        <v>21.120246999999999</v>
      </c>
      <c r="H21" s="1267">
        <v>85.864575000000002</v>
      </c>
      <c r="I21" s="3079">
        <f t="shared" si="0"/>
        <v>25.873075650456336</v>
      </c>
    </row>
    <row r="22" spans="1:9" ht="12.75" customHeight="1">
      <c r="A22" s="398" t="s">
        <v>379</v>
      </c>
      <c r="B22" s="615">
        <v>24.496727999999997</v>
      </c>
      <c r="C22" s="3535">
        <v>91.705500000000001</v>
      </c>
      <c r="D22" s="2296">
        <v>26.712387</v>
      </c>
      <c r="E22" s="1267">
        <v>20.814142</v>
      </c>
      <c r="F22" s="3535">
        <v>109.453369</v>
      </c>
      <c r="G22" s="2296">
        <v>19.016446999999999</v>
      </c>
      <c r="H22" s="1267">
        <v>83.784995999999992</v>
      </c>
      <c r="I22" s="3079">
        <f t="shared" si="0"/>
        <v>22.380972119734384</v>
      </c>
    </row>
    <row r="23" spans="1:9" ht="12.75" customHeight="1">
      <c r="A23" s="398" t="s">
        <v>380</v>
      </c>
      <c r="B23" s="615">
        <v>29.468736999999997</v>
      </c>
      <c r="C23" s="3535">
        <v>90.413122000000001</v>
      </c>
      <c r="D23" s="2296">
        <v>32.593429</v>
      </c>
      <c r="E23" s="1267">
        <v>18.411044</v>
      </c>
      <c r="F23" s="3535">
        <v>107.64888000000001</v>
      </c>
      <c r="G23" s="2296">
        <v>17.102865999999999</v>
      </c>
      <c r="H23" s="1267">
        <v>83.988911000000002</v>
      </c>
      <c r="I23" s="3079">
        <f t="shared" si="0"/>
        <v>27.374866324665891</v>
      </c>
    </row>
    <row r="24" spans="1:9" ht="12.75" customHeight="1">
      <c r="A24" s="398" t="s">
        <v>381</v>
      </c>
      <c r="B24" s="615">
        <v>32.569032999999997</v>
      </c>
      <c r="C24" s="3535">
        <v>90.004848999999993</v>
      </c>
      <c r="D24" s="2296">
        <v>36.185865</v>
      </c>
      <c r="E24" s="1267">
        <v>18.287696</v>
      </c>
      <c r="F24" s="3535">
        <v>109.102391</v>
      </c>
      <c r="G24" s="2296">
        <v>16.761956999999999</v>
      </c>
      <c r="H24" s="1267">
        <v>82.495762999999997</v>
      </c>
      <c r="I24" s="3079">
        <f t="shared" si="0"/>
        <v>29.851804989315035</v>
      </c>
    </row>
    <row r="25" spans="1:9" ht="12.75" customHeight="1">
      <c r="A25" s="398" t="s">
        <v>382</v>
      </c>
      <c r="B25" s="615">
        <v>24.286237</v>
      </c>
      <c r="C25" s="3535">
        <v>88.301324999999991</v>
      </c>
      <c r="D25" s="2296">
        <v>27.503819</v>
      </c>
      <c r="E25" s="1267">
        <v>17.392741000000001</v>
      </c>
      <c r="F25" s="3535">
        <v>115.529343</v>
      </c>
      <c r="G25" s="2296">
        <v>15.054824999999999</v>
      </c>
      <c r="H25" s="1267">
        <v>76.431945999999996</v>
      </c>
      <c r="I25" s="3079">
        <f t="shared" si="0"/>
        <v>21.021704416686589</v>
      </c>
    </row>
    <row r="26" spans="1:9" ht="12.75" customHeight="1">
      <c r="A26" s="398" t="s">
        <v>383</v>
      </c>
      <c r="B26" s="615">
        <v>32.049590999999999</v>
      </c>
      <c r="C26" s="3535">
        <v>89.524197999999998</v>
      </c>
      <c r="D26" s="2296">
        <v>35.79992</v>
      </c>
      <c r="E26" s="1267">
        <v>16.302743</v>
      </c>
      <c r="F26" s="3535">
        <v>110.277625</v>
      </c>
      <c r="G26" s="2296">
        <v>14.783363999999999</v>
      </c>
      <c r="H26" s="1267">
        <v>81.180745000000002</v>
      </c>
      <c r="I26" s="3079">
        <f t="shared" si="0"/>
        <v>29.062641673684936</v>
      </c>
    </row>
    <row r="27" spans="1:9" ht="12.75" customHeight="1">
      <c r="A27" s="398" t="s">
        <v>384</v>
      </c>
      <c r="B27" s="615">
        <v>36.983122000000002</v>
      </c>
      <c r="C27" s="3535">
        <v>84.368331999999995</v>
      </c>
      <c r="D27" s="2296">
        <v>43.835312999999999</v>
      </c>
      <c r="E27" s="1267">
        <v>15.081567999999999</v>
      </c>
      <c r="F27" s="3535">
        <v>111.779347</v>
      </c>
      <c r="G27" s="2296">
        <v>13.492267</v>
      </c>
      <c r="H27" s="1267">
        <v>75.477567999999991</v>
      </c>
      <c r="I27" s="3079">
        <f t="shared" si="0"/>
        <v>33.085827563476464</v>
      </c>
    </row>
    <row r="28" spans="1:9" ht="12.75" customHeight="1">
      <c r="A28" s="398" t="s">
        <v>385</v>
      </c>
      <c r="B28" s="615">
        <v>39.693822999999995</v>
      </c>
      <c r="C28" s="3535">
        <v>87.010655</v>
      </c>
      <c r="D28" s="2296">
        <v>45.619496999999996</v>
      </c>
      <c r="E28" s="1267">
        <v>16.964548000000001</v>
      </c>
      <c r="F28" s="3535">
        <v>112.30412</v>
      </c>
      <c r="G28" s="2296">
        <v>15.1059</v>
      </c>
      <c r="H28" s="1267">
        <v>77.477705</v>
      </c>
      <c r="I28" s="3079">
        <f t="shared" si="0"/>
        <v>35.344939259574801</v>
      </c>
    </row>
    <row r="29" spans="1:9" ht="12.75" customHeight="1">
      <c r="A29" s="398" t="s">
        <v>386</v>
      </c>
      <c r="B29" s="615">
        <v>34.177526999999998</v>
      </c>
      <c r="C29" s="3535">
        <v>91.504056999999989</v>
      </c>
      <c r="D29" s="2296">
        <v>37.350831999999997</v>
      </c>
      <c r="E29" s="1267">
        <v>24.301867999999999</v>
      </c>
      <c r="F29" s="3535">
        <v>116.946344</v>
      </c>
      <c r="G29" s="2296">
        <v>20.780356999999999</v>
      </c>
      <c r="H29" s="1267">
        <v>78.244478000000001</v>
      </c>
      <c r="I29" s="3079">
        <f t="shared" si="0"/>
        <v>29.224964057020884</v>
      </c>
    </row>
    <row r="30" spans="1:9" ht="12.75" customHeight="1">
      <c r="A30" s="398" t="s">
        <v>58</v>
      </c>
      <c r="B30" s="615">
        <v>27.163563999999997</v>
      </c>
      <c r="C30" s="3535">
        <v>84.371397999999999</v>
      </c>
      <c r="D30" s="2296">
        <v>32.195228999999998</v>
      </c>
      <c r="E30" s="1267">
        <v>23.177609</v>
      </c>
      <c r="F30" s="3535">
        <v>114.504113</v>
      </c>
      <c r="G30" s="2296">
        <v>20.241726</v>
      </c>
      <c r="H30" s="1267">
        <v>73.684162999999998</v>
      </c>
      <c r="I30" s="3079">
        <f t="shared" si="0"/>
        <v>23.722784525652802</v>
      </c>
    </row>
    <row r="31" spans="1:9" ht="12.75" customHeight="1">
      <c r="A31" s="398" t="s">
        <v>387</v>
      </c>
      <c r="B31" s="615">
        <v>39.010551999999997</v>
      </c>
      <c r="C31" s="3535">
        <v>84.656739000000002</v>
      </c>
      <c r="D31" s="2296">
        <v>46.080857999999999</v>
      </c>
      <c r="E31" s="1267">
        <v>31.061667</v>
      </c>
      <c r="F31" s="3535">
        <v>111.98827199999999</v>
      </c>
      <c r="G31" s="2296">
        <v>27.736535999999997</v>
      </c>
      <c r="H31" s="1267">
        <v>75.594290000000001</v>
      </c>
      <c r="I31" s="3079">
        <f t="shared" si="0"/>
        <v>34.834497669541683</v>
      </c>
    </row>
    <row r="32" spans="1:9" ht="12.75" customHeight="1">
      <c r="A32" s="398" t="s">
        <v>388</v>
      </c>
      <c r="B32" s="615">
        <v>39.971291999999998</v>
      </c>
      <c r="C32" s="3535">
        <v>86.120572999999993</v>
      </c>
      <c r="D32" s="2296">
        <v>46.413174999999995</v>
      </c>
      <c r="E32" s="1267">
        <v>40.565419999999996</v>
      </c>
      <c r="F32" s="3535">
        <v>105.23448</v>
      </c>
      <c r="G32" s="2296">
        <v>38.547650999999995</v>
      </c>
      <c r="H32" s="1267">
        <v>81.836839999999995</v>
      </c>
      <c r="I32" s="3079">
        <f t="shared" si="0"/>
        <v>37.983075509091698</v>
      </c>
    </row>
    <row r="33" spans="1:9" ht="12.75" customHeight="1">
      <c r="A33" s="398" t="s">
        <v>389</v>
      </c>
      <c r="B33" s="615">
        <v>32.423282999999998</v>
      </c>
      <c r="C33" s="3535">
        <v>87.492300999999998</v>
      </c>
      <c r="D33" s="2296">
        <v>37.058440999999995</v>
      </c>
      <c r="E33" s="1267">
        <v>52.669879999999999</v>
      </c>
      <c r="F33" s="3535">
        <v>105.294399</v>
      </c>
      <c r="G33" s="2296">
        <v>50.021539999999995</v>
      </c>
      <c r="H33" s="1267">
        <v>83.093024999999997</v>
      </c>
      <c r="I33" s="3079">
        <f t="shared" si="0"/>
        <v>30.792979786132786</v>
      </c>
    </row>
    <row r="34" spans="1:9" ht="12.75" customHeight="1">
      <c r="A34" s="398" t="s">
        <v>390</v>
      </c>
      <c r="B34" s="615">
        <v>29.643262</v>
      </c>
      <c r="C34" s="3535">
        <v>86.076106999999993</v>
      </c>
      <c r="D34" s="2296">
        <v>34.438431999999999</v>
      </c>
      <c r="E34" s="1267">
        <v>51.457974999999998</v>
      </c>
      <c r="F34" s="3535">
        <v>104.359442</v>
      </c>
      <c r="G34" s="2296">
        <v>49.308403999999996</v>
      </c>
      <c r="H34" s="1267">
        <v>82.480420999999993</v>
      </c>
      <c r="I34" s="3079">
        <f t="shared" si="0"/>
        <v>28.404964066404265</v>
      </c>
    </row>
    <row r="35" spans="1:9" ht="12.75" customHeight="1">
      <c r="A35" s="398" t="s">
        <v>391</v>
      </c>
      <c r="B35" s="615">
        <v>38.510618000000001</v>
      </c>
      <c r="C35" s="3535">
        <v>86.923045000000002</v>
      </c>
      <c r="D35" s="2296">
        <v>44.304266999999996</v>
      </c>
      <c r="E35" s="1267">
        <v>63.828764999999997</v>
      </c>
      <c r="F35" s="3535">
        <v>102.74252799999999</v>
      </c>
      <c r="G35" s="2296">
        <v>62.124969999999998</v>
      </c>
      <c r="H35" s="1267">
        <v>84.602789999999999</v>
      </c>
      <c r="I35" s="3079">
        <f t="shared" si="0"/>
        <v>37.482645939955852</v>
      </c>
    </row>
    <row r="36" spans="1:9" ht="12.75" customHeight="1">
      <c r="A36" s="398" t="s">
        <v>392</v>
      </c>
      <c r="B36" s="615">
        <v>38.569413999999995</v>
      </c>
      <c r="C36" s="3535">
        <v>89.153182000000001</v>
      </c>
      <c r="D36" s="2296">
        <v>43.261959999999995</v>
      </c>
      <c r="E36" s="1267">
        <v>77.60658699999999</v>
      </c>
      <c r="F36" s="3535">
        <v>104.086217</v>
      </c>
      <c r="G36" s="2296">
        <v>74.559907999999993</v>
      </c>
      <c r="H36" s="1267">
        <v>85.653206999999995</v>
      </c>
      <c r="I36" s="3079">
        <f t="shared" si="0"/>
        <v>37.055255836610904</v>
      </c>
    </row>
    <row r="37" spans="1:9" ht="12.75" customHeight="1">
      <c r="A37" s="398" t="s">
        <v>393</v>
      </c>
      <c r="B37" s="615">
        <v>34.82047</v>
      </c>
      <c r="C37" s="3535">
        <v>86.565218000000002</v>
      </c>
      <c r="D37" s="2296">
        <v>40.224550999999998</v>
      </c>
      <c r="E37" s="1267">
        <v>72.137952999999996</v>
      </c>
      <c r="F37" s="3535">
        <v>105.11922</v>
      </c>
      <c r="G37" s="2296">
        <v>68.624893999999998</v>
      </c>
      <c r="H37" s="1267">
        <v>82.349561999999992</v>
      </c>
      <c r="I37" s="3079">
        <f t="shared" si="0"/>
        <v>33.124741602915243</v>
      </c>
    </row>
    <row r="38" spans="1:9" ht="12.75" customHeight="1">
      <c r="A38" s="398" t="s">
        <v>394</v>
      </c>
      <c r="B38" s="615">
        <v>33.403132999999997</v>
      </c>
      <c r="C38" s="3535">
        <v>85.217035999999993</v>
      </c>
      <c r="D38" s="2296">
        <v>39.197716999999997</v>
      </c>
      <c r="E38" s="1267">
        <v>58.082259999999998</v>
      </c>
      <c r="F38" s="3535">
        <v>104.643156</v>
      </c>
      <c r="G38" s="2296">
        <v>55.505072999999996</v>
      </c>
      <c r="H38" s="1267">
        <v>81.435842999999991</v>
      </c>
      <c r="I38" s="3079">
        <f t="shared" si="0"/>
        <v>31.920991564895075</v>
      </c>
    </row>
    <row r="39" spans="1:9" ht="12.75" customHeight="1">
      <c r="A39" s="398" t="s">
        <v>395</v>
      </c>
      <c r="B39" s="615">
        <v>41.385131999999999</v>
      </c>
      <c r="C39" s="3535">
        <v>85.82027699999999</v>
      </c>
      <c r="D39" s="2296">
        <v>48.223022999999998</v>
      </c>
      <c r="E39" s="1267">
        <v>68.974767</v>
      </c>
      <c r="F39" s="3535">
        <v>103.980138</v>
      </c>
      <c r="G39" s="2296">
        <v>66.334559999999996</v>
      </c>
      <c r="H39" s="1267">
        <v>82.535259999999994</v>
      </c>
      <c r="I39" s="3079">
        <f t="shared" si="0"/>
        <v>39.800997378941737</v>
      </c>
    </row>
    <row r="40" spans="1:9" ht="12.75" customHeight="1">
      <c r="A40" s="398" t="s">
        <v>396</v>
      </c>
      <c r="B40" s="615">
        <v>39.737197999999999</v>
      </c>
      <c r="C40" s="3535">
        <v>88.647369999999995</v>
      </c>
      <c r="D40" s="2296">
        <v>44.826143999999999</v>
      </c>
      <c r="E40" s="1267">
        <v>83.049059999999997</v>
      </c>
      <c r="F40" s="3535">
        <v>100.49619800000001</v>
      </c>
      <c r="G40" s="2296">
        <v>82.639005999999995</v>
      </c>
      <c r="H40" s="1267">
        <v>88.20967499999999</v>
      </c>
      <c r="I40" s="3079">
        <f t="shared" si="0"/>
        <v>39.540996366847622</v>
      </c>
    </row>
    <row r="41" spans="1:9" ht="12.75" customHeight="1">
      <c r="A41" s="398" t="s">
        <v>397</v>
      </c>
      <c r="B41" s="615">
        <v>37.231350999999997</v>
      </c>
      <c r="C41" s="3535">
        <v>85.074176999999992</v>
      </c>
      <c r="D41" s="2296">
        <v>43.763397999999995</v>
      </c>
      <c r="E41" s="1267">
        <v>88.994870999999989</v>
      </c>
      <c r="F41" s="3535">
        <v>103.82983899999999</v>
      </c>
      <c r="G41" s="2296">
        <v>85.712231000000003</v>
      </c>
      <c r="H41" s="1267">
        <v>81.936154999999999</v>
      </c>
      <c r="I41" s="3079">
        <f t="shared" si="0"/>
        <v>35.858045585527684</v>
      </c>
    </row>
    <row r="42" spans="1:9" ht="12.75" customHeight="1">
      <c r="A42" s="398" t="s">
        <v>28</v>
      </c>
      <c r="B42" s="615">
        <v>35.352308999999998</v>
      </c>
      <c r="C42" s="3535">
        <v>83.179311999999996</v>
      </c>
      <c r="D42" s="2296">
        <v>42.501323999999997</v>
      </c>
      <c r="E42" s="1267">
        <v>87.592970999999991</v>
      </c>
      <c r="F42" s="3535">
        <v>104.73758599999999</v>
      </c>
      <c r="G42" s="2296">
        <v>83.630884999999992</v>
      </c>
      <c r="H42" s="1267">
        <v>79.416868999999991</v>
      </c>
      <c r="I42" s="3079">
        <f t="shared" si="0"/>
        <v>33.753221121594308</v>
      </c>
    </row>
    <row r="43" spans="1:9" ht="12.75" customHeight="1">
      <c r="A43" s="398" t="s">
        <v>35</v>
      </c>
      <c r="B43" s="615">
        <v>49.496725999999995</v>
      </c>
      <c r="C43" s="3535">
        <v>87.637288999999996</v>
      </c>
      <c r="D43" s="2296">
        <v>56.47907</v>
      </c>
      <c r="E43" s="1267">
        <v>94.961055999999999</v>
      </c>
      <c r="F43" s="3535">
        <v>102.348157</v>
      </c>
      <c r="G43" s="2296">
        <v>92.782379999999989</v>
      </c>
      <c r="H43" s="1267">
        <v>85.626640999999992</v>
      </c>
      <c r="I43" s="3079">
        <f t="shared" si="0"/>
        <v>48.361130723633835</v>
      </c>
    </row>
    <row r="44" spans="1:9" ht="12.75" customHeight="1">
      <c r="A44" s="398" t="s">
        <v>398</v>
      </c>
      <c r="B44" s="615">
        <v>49.242140999999997</v>
      </c>
      <c r="C44" s="3535">
        <v>90.023411999999993</v>
      </c>
      <c r="D44" s="2296">
        <v>54.699261</v>
      </c>
      <c r="E44" s="1267">
        <v>100.596841</v>
      </c>
      <c r="F44" s="3535">
        <v>103.16973299999999</v>
      </c>
      <c r="G44" s="2296">
        <v>97.506157000000002</v>
      </c>
      <c r="H44" s="1267">
        <v>87.257578999999993</v>
      </c>
      <c r="I44" s="3079">
        <f t="shared" si="0"/>
        <v>47.729251174857652</v>
      </c>
    </row>
    <row r="45" spans="1:9" ht="12.75" customHeight="1">
      <c r="A45" s="398" t="s">
        <v>399</v>
      </c>
      <c r="B45" s="615">
        <v>49.149631999999997</v>
      </c>
      <c r="C45" s="3535">
        <v>89.925180999999995</v>
      </c>
      <c r="D45" s="2296">
        <v>54.656138999999996</v>
      </c>
      <c r="E45" s="1267">
        <v>101.61161199999999</v>
      </c>
      <c r="F45" s="3535">
        <v>106.86162899999999</v>
      </c>
      <c r="G45" s="2296">
        <v>95.087088999999992</v>
      </c>
      <c r="H45" s="1267">
        <v>84.151048000000003</v>
      </c>
      <c r="I45" s="3079">
        <f t="shared" si="0"/>
        <v>45.993713983154791</v>
      </c>
    </row>
    <row r="46" spans="1:9" ht="12.75" customHeight="1">
      <c r="A46" s="398" t="s">
        <v>400</v>
      </c>
      <c r="B46" s="615">
        <v>52.474664999999995</v>
      </c>
      <c r="C46" s="3535">
        <v>93.309434999999993</v>
      </c>
      <c r="D46" s="2296">
        <v>56.237254999999998</v>
      </c>
      <c r="E46" s="1267">
        <v>93.348241999999999</v>
      </c>
      <c r="F46" s="3535">
        <v>106.60727799999999</v>
      </c>
      <c r="G46" s="2296">
        <v>87.56272899999999</v>
      </c>
      <c r="H46" s="1267">
        <v>87.526326999999995</v>
      </c>
      <c r="I46" s="3079">
        <f t="shared" si="0"/>
        <v>49.22240393381022</v>
      </c>
    </row>
    <row r="47" spans="1:9" ht="12.75" customHeight="1">
      <c r="A47" s="398" t="s">
        <v>401</v>
      </c>
      <c r="B47" s="615">
        <v>73.078684999999993</v>
      </c>
      <c r="C47" s="3535">
        <v>95.222476</v>
      </c>
      <c r="D47" s="2296">
        <v>76.745205999999996</v>
      </c>
      <c r="E47" s="1267">
        <v>85.186891000000003</v>
      </c>
      <c r="F47" s="3535">
        <v>106.07539800000001</v>
      </c>
      <c r="G47" s="2296">
        <v>80.307867999999999</v>
      </c>
      <c r="H47" s="1267">
        <v>89.768670999999998</v>
      </c>
      <c r="I47" s="3079">
        <f t="shared" si="0"/>
        <v>68.893151831492531</v>
      </c>
    </row>
    <row r="48" spans="1:9" ht="12.75" customHeight="1">
      <c r="A48" s="398" t="s">
        <v>402</v>
      </c>
      <c r="B48" s="615">
        <v>61.009811999999997</v>
      </c>
      <c r="C48" s="3535">
        <v>95.371313000000001</v>
      </c>
      <c r="D48" s="2296">
        <v>63.970820999999994</v>
      </c>
      <c r="E48" s="1267">
        <v>87.629343999999989</v>
      </c>
      <c r="F48" s="3535">
        <v>106.431521</v>
      </c>
      <c r="G48" s="2296">
        <v>82.334013999999996</v>
      </c>
      <c r="H48" s="1267">
        <v>89.608145999999991</v>
      </c>
      <c r="I48" s="3079">
        <f t="shared" si="0"/>
        <v>57.323066913607292</v>
      </c>
    </row>
    <row r="49" spans="1:9" ht="12.75" customHeight="1">
      <c r="A49" s="398" t="s">
        <v>403</v>
      </c>
      <c r="B49" s="615">
        <v>55.954995999999994</v>
      </c>
      <c r="C49" s="3535">
        <v>92.272617999999994</v>
      </c>
      <c r="D49" s="2296">
        <v>60.640954000000001</v>
      </c>
      <c r="E49" s="1267">
        <v>92.426394000000002</v>
      </c>
      <c r="F49" s="3535">
        <v>108.831808</v>
      </c>
      <c r="G49" s="2296">
        <v>84.925900999999996</v>
      </c>
      <c r="H49" s="1267">
        <v>84.784604999999999</v>
      </c>
      <c r="I49" s="3079">
        <f t="shared" si="0"/>
        <v>51.414193174113208</v>
      </c>
    </row>
    <row r="50" spans="1:9" ht="12.75" customHeight="1">
      <c r="A50" s="398" t="s">
        <v>404</v>
      </c>
      <c r="B50" s="615">
        <v>54.812694999999998</v>
      </c>
      <c r="C50" s="3535">
        <v>94.31291499999999</v>
      </c>
      <c r="D50" s="2296">
        <v>58.117909999999995</v>
      </c>
      <c r="E50" s="1267">
        <v>88.850893999999997</v>
      </c>
      <c r="F50" s="3535">
        <v>112.28900400000001</v>
      </c>
      <c r="G50" s="2296">
        <v>79.126976999999997</v>
      </c>
      <c r="H50" s="1267">
        <v>83.99122899999999</v>
      </c>
      <c r="I50" s="3079">
        <f t="shared" si="0"/>
        <v>48.813947089601037</v>
      </c>
    </row>
    <row r="51" spans="1:9" ht="12.75" customHeight="1">
      <c r="A51" s="398" t="s">
        <v>405</v>
      </c>
      <c r="B51" s="615">
        <v>76.41904199999999</v>
      </c>
      <c r="C51" s="3535">
        <v>102.33609799999999</v>
      </c>
      <c r="D51" s="2296">
        <v>74.674571</v>
      </c>
      <c r="E51" s="1267">
        <v>102.035955</v>
      </c>
      <c r="F51" s="3535">
        <v>106.81935799999999</v>
      </c>
      <c r="G51" s="2296">
        <v>95.521970999999994</v>
      </c>
      <c r="H51" s="1267">
        <v>95.802951999999991</v>
      </c>
      <c r="I51" s="3079">
        <f t="shared" si="0"/>
        <v>71.540443072125555</v>
      </c>
    </row>
    <row r="52" spans="1:9" ht="12.75" customHeight="1">
      <c r="A52" s="398" t="s">
        <v>406</v>
      </c>
      <c r="B52" s="615">
        <v>74.486336999999992</v>
      </c>
      <c r="C52" s="3535">
        <v>101.591296</v>
      </c>
      <c r="D52" s="2296">
        <v>73.319604999999996</v>
      </c>
      <c r="E52" s="1267">
        <v>117.25258700000001</v>
      </c>
      <c r="F52" s="3535">
        <v>104.350375</v>
      </c>
      <c r="G52" s="2296">
        <v>112.364318</v>
      </c>
      <c r="H52" s="1267">
        <v>97.355947</v>
      </c>
      <c r="I52" s="3079">
        <f t="shared" si="0"/>
        <v>71.380995995462399</v>
      </c>
    </row>
    <row r="53" spans="1:9" ht="12.75" customHeight="1">
      <c r="A53" s="398" t="s">
        <v>407</v>
      </c>
      <c r="B53" s="615">
        <v>69.743521999999999</v>
      </c>
      <c r="C53" s="3535">
        <v>98.231893999999997</v>
      </c>
      <c r="D53" s="2296">
        <v>70.998857000000001</v>
      </c>
      <c r="E53" s="1267">
        <v>115.322554</v>
      </c>
      <c r="F53" s="3535">
        <v>108.54783</v>
      </c>
      <c r="G53" s="2296">
        <v>106.24123400000001</v>
      </c>
      <c r="H53" s="1267">
        <v>90.496414000000001</v>
      </c>
      <c r="I53" s="3079">
        <f t="shared" si="0"/>
        <v>64.25141985795571</v>
      </c>
    </row>
    <row r="54" spans="1:9" ht="12.75" customHeight="1">
      <c r="A54" s="398" t="s">
        <v>408</v>
      </c>
      <c r="B54" s="615">
        <v>66.796495999999991</v>
      </c>
      <c r="C54" s="3535">
        <v>97.347543999999999</v>
      </c>
      <c r="D54" s="2296">
        <v>68.616518999999997</v>
      </c>
      <c r="E54" s="1267">
        <v>115.71368099999999</v>
      </c>
      <c r="F54" s="3535">
        <v>109.419335</v>
      </c>
      <c r="G54" s="2296">
        <v>105.752499</v>
      </c>
      <c r="H54" s="1267">
        <v>88.967405999999997</v>
      </c>
      <c r="I54" s="3079">
        <f t="shared" si="0"/>
        <v>61.046337011644226</v>
      </c>
    </row>
    <row r="55" spans="1:9" ht="12.75" customHeight="1">
      <c r="A55" s="398" t="s">
        <v>409</v>
      </c>
      <c r="B55" s="615">
        <v>83.855400000000003</v>
      </c>
      <c r="C55" s="3535">
        <v>97.54464999999999</v>
      </c>
      <c r="D55" s="2296">
        <v>85.966168999999994</v>
      </c>
      <c r="E55" s="1267">
        <v>134.00908100000001</v>
      </c>
      <c r="F55" s="3535">
        <v>106.27366499999999</v>
      </c>
      <c r="G55" s="2296">
        <v>126.098107</v>
      </c>
      <c r="H55" s="1267">
        <v>91.78628599999999</v>
      </c>
      <c r="I55" s="3079">
        <f t="shared" si="0"/>
        <v>78.905154913025726</v>
      </c>
    </row>
    <row r="56" spans="1:9" ht="12.75" customHeight="1">
      <c r="A56" s="398" t="s">
        <v>410</v>
      </c>
      <c r="B56" s="615">
        <v>80.871944999999997</v>
      </c>
      <c r="C56" s="3535">
        <v>95.376139999999992</v>
      </c>
      <c r="D56" s="2296">
        <v>84.792638999999994</v>
      </c>
      <c r="E56" s="1267">
        <v>146.03230500000001</v>
      </c>
      <c r="F56" s="3535">
        <v>104.760679</v>
      </c>
      <c r="G56" s="2296">
        <v>139.39610400000001</v>
      </c>
      <c r="H56" s="1267">
        <v>91.041925999999989</v>
      </c>
      <c r="I56" s="3079">
        <f t="shared" si="0"/>
        <v>77.196850738243114</v>
      </c>
    </row>
    <row r="57" spans="1:9" ht="12.75" customHeight="1">
      <c r="A57" s="398" t="s">
        <v>411</v>
      </c>
      <c r="B57" s="615">
        <v>74.249620999999991</v>
      </c>
      <c r="C57" s="3535">
        <v>93.309348999999997</v>
      </c>
      <c r="D57" s="2296">
        <v>79.573613999999992</v>
      </c>
      <c r="E57" s="1267">
        <v>146.90124299999999</v>
      </c>
      <c r="F57" s="3535">
        <v>105.558818</v>
      </c>
      <c r="G57" s="2296">
        <v>139.16529800000001</v>
      </c>
      <c r="H57" s="1267">
        <v>88.39559899999999</v>
      </c>
      <c r="I57" s="3079">
        <f t="shared" si="0"/>
        <v>70.339572199453755</v>
      </c>
    </row>
    <row r="58" spans="1:9" ht="12.75" customHeight="1">
      <c r="A58" s="398" t="s">
        <v>412</v>
      </c>
      <c r="B58" s="615">
        <v>68.141406000000003</v>
      </c>
      <c r="C58" s="3535">
        <v>87.500231999999997</v>
      </c>
      <c r="D58" s="2296">
        <v>77.875686000000002</v>
      </c>
      <c r="E58" s="1267">
        <v>134.28358299999999</v>
      </c>
      <c r="F58" s="3535">
        <v>103.936662</v>
      </c>
      <c r="G58" s="2296">
        <v>129.19751299999999</v>
      </c>
      <c r="H58" s="1267">
        <v>84.186109000000002</v>
      </c>
      <c r="I58" s="3079">
        <f t="shared" si="0"/>
        <v>65.56051030386179</v>
      </c>
    </row>
    <row r="59" spans="1:9" ht="12.75" customHeight="1">
      <c r="A59" s="398" t="s">
        <v>413</v>
      </c>
      <c r="B59" s="615">
        <v>88.918516999999994</v>
      </c>
      <c r="C59" s="3535">
        <v>87.325071999999992</v>
      </c>
      <c r="D59" s="2296">
        <v>101.82472799999999</v>
      </c>
      <c r="E59" s="1267">
        <v>145.92462599999999</v>
      </c>
      <c r="F59" s="3535">
        <v>100.510887</v>
      </c>
      <c r="G59" s="2296">
        <v>145.182906</v>
      </c>
      <c r="H59" s="1267">
        <v>86.881206999999989</v>
      </c>
      <c r="I59" s="3079">
        <f t="shared" si="0"/>
        <v>88.466552881977847</v>
      </c>
    </row>
    <row r="60" spans="1:9" ht="12.75" customHeight="1">
      <c r="A60" s="398" t="s">
        <v>414</v>
      </c>
      <c r="B60" s="615">
        <v>81.29516799999999</v>
      </c>
      <c r="C60" s="3535">
        <v>83.741383999999996</v>
      </c>
      <c r="D60" s="2296">
        <v>97.078845000000001</v>
      </c>
      <c r="E60" s="1267">
        <v>150.20485500000001</v>
      </c>
      <c r="F60" s="3535">
        <v>98.316839000000002</v>
      </c>
      <c r="G60" s="2296">
        <v>152.77632699999998</v>
      </c>
      <c r="H60" s="1267">
        <v>85.175015999999999</v>
      </c>
      <c r="I60" s="3079">
        <f t="shared" si="0"/>
        <v>82.686922023601667</v>
      </c>
    </row>
    <row r="61" spans="1:9" ht="12.75" customHeight="1">
      <c r="A61" s="398" t="s">
        <v>415</v>
      </c>
      <c r="B61" s="615">
        <v>67.451272000000003</v>
      </c>
      <c r="C61" s="3535">
        <v>81.591385000000002</v>
      </c>
      <c r="D61" s="2296">
        <v>82.669601</v>
      </c>
      <c r="E61" s="1267">
        <v>128.76656399999999</v>
      </c>
      <c r="F61" s="3535">
        <v>97.94568799999999</v>
      </c>
      <c r="G61" s="2296">
        <v>131.46731299999999</v>
      </c>
      <c r="H61" s="1267">
        <v>83.302680999999993</v>
      </c>
      <c r="I61" s="3079">
        <f t="shared" si="0"/>
        <v>68.865994386603319</v>
      </c>
    </row>
    <row r="62" spans="1:9" ht="12.75" customHeight="1">
      <c r="A62" s="398" t="s">
        <v>416</v>
      </c>
      <c r="B62" s="615">
        <v>58.597524999999997</v>
      </c>
      <c r="C62" s="3535">
        <v>74.623187999999999</v>
      </c>
      <c r="D62" s="2296">
        <v>78.524553999999995</v>
      </c>
      <c r="E62" s="1267">
        <v>104.079322</v>
      </c>
      <c r="F62" s="3535">
        <v>97.691524999999999</v>
      </c>
      <c r="G62" s="2296">
        <v>106.538742</v>
      </c>
      <c r="H62" s="1267">
        <v>76.386551999999995</v>
      </c>
      <c r="I62" s="3079">
        <f t="shared" si="0"/>
        <v>59.982199069980737</v>
      </c>
    </row>
    <row r="63" spans="1:9" ht="12.75" customHeight="1">
      <c r="A63" s="398" t="s">
        <v>417</v>
      </c>
      <c r="B63" s="615">
        <v>73.852125000000001</v>
      </c>
      <c r="C63" s="3535">
        <v>74.968707999999992</v>
      </c>
      <c r="D63" s="2296">
        <v>98.510600999999994</v>
      </c>
      <c r="E63" s="1267">
        <v>107.22181499999999</v>
      </c>
      <c r="F63" s="3535">
        <v>95.918092999999999</v>
      </c>
      <c r="G63" s="2296">
        <v>111.78476499999999</v>
      </c>
      <c r="H63" s="1267">
        <v>78.159088999999994</v>
      </c>
      <c r="I63" s="3079">
        <f t="shared" si="0"/>
        <v>76.994988839071269</v>
      </c>
    </row>
    <row r="64" spans="1:9" ht="12.75" customHeight="1">
      <c r="A64" s="398" t="s">
        <v>418</v>
      </c>
      <c r="B64" s="615">
        <v>68.690910000000002</v>
      </c>
      <c r="C64" s="3535">
        <v>76.394635999999991</v>
      </c>
      <c r="D64" s="2296">
        <v>89.915880999999999</v>
      </c>
      <c r="E64" s="1267">
        <v>121.948931</v>
      </c>
      <c r="F64" s="3535">
        <v>96.312689999999989</v>
      </c>
      <c r="G64" s="2296">
        <v>126.617718</v>
      </c>
      <c r="H64" s="1267">
        <v>79.319386999999992</v>
      </c>
      <c r="I64" s="3079">
        <f t="shared" si="0"/>
        <v>71.320726271896277</v>
      </c>
    </row>
    <row r="65" spans="1:9" ht="12.75" customHeight="1">
      <c r="A65" s="398" t="s">
        <v>419</v>
      </c>
      <c r="B65" s="615">
        <v>68.512543999999991</v>
      </c>
      <c r="C65" s="3535">
        <v>80.736273999999995</v>
      </c>
      <c r="D65" s="2296">
        <v>84.859679</v>
      </c>
      <c r="E65" s="1267">
        <v>121.333805</v>
      </c>
      <c r="F65" s="3535">
        <v>97.33099</v>
      </c>
      <c r="G65" s="2296">
        <v>124.66102000000001</v>
      </c>
      <c r="H65" s="1267">
        <v>82.950223999999992</v>
      </c>
      <c r="I65" s="3079">
        <f t="shared" si="0"/>
        <v>70.39129469452638</v>
      </c>
    </row>
    <row r="66" spans="1:9" ht="12.75" customHeight="1">
      <c r="A66" s="398" t="s">
        <v>420</v>
      </c>
      <c r="B66" s="615">
        <v>66.083508999999992</v>
      </c>
      <c r="C66" s="3535">
        <v>84.028172999999995</v>
      </c>
      <c r="D66" s="2296">
        <v>78.644468000000003</v>
      </c>
      <c r="E66" s="1267">
        <v>104.721721</v>
      </c>
      <c r="F66" s="3535">
        <v>100.15629</v>
      </c>
      <c r="G66" s="2296">
        <v>104.558306</v>
      </c>
      <c r="H66" s="1267">
        <v>83.897049999999993</v>
      </c>
      <c r="I66" s="3079">
        <f t="shared" si="0"/>
        <v>65.9803882512022</v>
      </c>
    </row>
    <row r="67" spans="1:9" ht="12.75" customHeight="1">
      <c r="A67" s="398" t="s">
        <v>421</v>
      </c>
      <c r="B67" s="615">
        <v>84.630690999999999</v>
      </c>
      <c r="C67" s="3535">
        <v>83.326675999999992</v>
      </c>
      <c r="D67" s="2296">
        <v>101.564942</v>
      </c>
      <c r="E67" s="1267">
        <v>112.250893</v>
      </c>
      <c r="F67" s="3535">
        <v>98.631354999999999</v>
      </c>
      <c r="G67" s="2296">
        <v>113.808528</v>
      </c>
      <c r="H67" s="1267">
        <v>84.482947999999993</v>
      </c>
      <c r="I67" s="3079">
        <f t="shared" si="0"/>
        <v>85.805057631013995</v>
      </c>
    </row>
    <row r="68" spans="1:9" ht="12.75" customHeight="1">
      <c r="A68" s="398" t="s">
        <v>422</v>
      </c>
      <c r="B68" s="615">
        <v>77.955983000000003</v>
      </c>
      <c r="C68" s="3535">
        <v>85.908846999999994</v>
      </c>
      <c r="D68" s="2296">
        <v>90.742671999999999</v>
      </c>
      <c r="E68" s="1267">
        <v>117.706845</v>
      </c>
      <c r="F68" s="3535">
        <v>96.671522999999993</v>
      </c>
      <c r="G68" s="2296">
        <v>121.759584</v>
      </c>
      <c r="H68" s="1267">
        <v>88.866755999999995</v>
      </c>
      <c r="I68" s="3079">
        <f t="shared" si="0"/>
        <v>80.640069154594798</v>
      </c>
    </row>
    <row r="69" spans="1:9" ht="12.75" customHeight="1">
      <c r="A69" s="398" t="s">
        <v>423</v>
      </c>
      <c r="B69" s="615">
        <v>76.064104999999998</v>
      </c>
      <c r="C69" s="3535">
        <v>86.935626999999997</v>
      </c>
      <c r="D69" s="2296">
        <v>87.494744999999995</v>
      </c>
      <c r="E69" s="1267">
        <v>115.847042</v>
      </c>
      <c r="F69" s="3535">
        <v>98.163783999999993</v>
      </c>
      <c r="G69" s="2296">
        <v>118.01403500000001</v>
      </c>
      <c r="H69" s="1267">
        <v>88.561813999999998</v>
      </c>
      <c r="I69" s="3079">
        <f t="shared" si="0"/>
        <v>77.486932451585204</v>
      </c>
    </row>
    <row r="70" spans="1:9" ht="12.75" customHeight="1">
      <c r="A70" s="398" t="s">
        <v>424</v>
      </c>
      <c r="B70" s="615">
        <v>68.350732999999991</v>
      </c>
      <c r="C70" s="3535">
        <v>86.374431999999999</v>
      </c>
      <c r="D70" s="2296">
        <v>79.133062999999993</v>
      </c>
      <c r="E70" s="1267">
        <v>102.344966</v>
      </c>
      <c r="F70" s="3535">
        <v>98.522312999999997</v>
      </c>
      <c r="G70" s="2296">
        <v>103.879987</v>
      </c>
      <c r="H70" s="1267">
        <v>87.669918999999993</v>
      </c>
      <c r="I70" s="3079">
        <f t="shared" si="0"/>
        <v>69.375891530277002</v>
      </c>
    </row>
    <row r="71" spans="1:9" ht="12.75" customHeight="1">
      <c r="A71" s="398" t="s">
        <v>425</v>
      </c>
      <c r="B71" s="615">
        <v>86.816557000000003</v>
      </c>
      <c r="C71" s="3535">
        <v>79.976546999999997</v>
      </c>
      <c r="D71" s="2296">
        <v>108.552519</v>
      </c>
      <c r="E71" s="1267">
        <v>102.93651300000001</v>
      </c>
      <c r="F71" s="3535">
        <v>96.849054999999993</v>
      </c>
      <c r="G71" s="2296">
        <v>106.285512</v>
      </c>
      <c r="H71" s="1267">
        <v>82.578552000000002</v>
      </c>
      <c r="I71" s="3079">
        <f t="shared" si="0"/>
        <v>89.641098717999895</v>
      </c>
    </row>
    <row r="72" spans="1:9" ht="12.75" customHeight="1">
      <c r="A72" s="398" t="s">
        <v>426</v>
      </c>
      <c r="B72" s="615">
        <v>81.621541999999991</v>
      </c>
      <c r="C72" s="3535">
        <v>81.021878999999998</v>
      </c>
      <c r="D72" s="2296">
        <v>100.74012500000001</v>
      </c>
      <c r="E72" s="1267">
        <v>89.517300999999989</v>
      </c>
      <c r="F72" s="3535">
        <v>93.705531999999991</v>
      </c>
      <c r="G72" s="2296">
        <v>95.530434</v>
      </c>
      <c r="H72" s="1267">
        <v>86.464350999999994</v>
      </c>
      <c r="I72" s="3079">
        <f t="shared" si="0"/>
        <v>87.104293906575336</v>
      </c>
    </row>
    <row r="73" spans="1:9" ht="12.75" customHeight="1">
      <c r="A73" s="398" t="s">
        <v>427</v>
      </c>
      <c r="B73" s="615">
        <v>70.278852999999998</v>
      </c>
      <c r="C73" s="3535">
        <v>76.405148999999994</v>
      </c>
      <c r="D73" s="2296">
        <v>91.981828999999991</v>
      </c>
      <c r="E73" s="1267">
        <v>67.318831000000003</v>
      </c>
      <c r="F73" s="3535">
        <v>91.994571999999991</v>
      </c>
      <c r="G73" s="2296">
        <v>73.176958999999997</v>
      </c>
      <c r="H73" s="1267">
        <v>83.053974999999994</v>
      </c>
      <c r="I73" s="3079">
        <f t="shared" si="0"/>
        <v>76.39456488802405</v>
      </c>
    </row>
    <row r="74" spans="1:9" ht="12.75" customHeight="1">
      <c r="A74" s="398" t="s">
        <v>51</v>
      </c>
      <c r="B74" s="615">
        <v>66.082801000000003</v>
      </c>
      <c r="C74" s="3535">
        <v>75.106133</v>
      </c>
      <c r="D74" s="2296">
        <v>87.98589299999999</v>
      </c>
      <c r="E74" s="1267">
        <v>36.911625000000001</v>
      </c>
      <c r="F74" s="3535">
        <v>94.448090999999991</v>
      </c>
      <c r="G74" s="2296">
        <v>39.081387999999997</v>
      </c>
      <c r="H74" s="1267">
        <v>79.521070999999992</v>
      </c>
      <c r="I74" s="3079">
        <f t="shared" si="0"/>
        <v>69.967323108732828</v>
      </c>
    </row>
    <row r="75" spans="1:9" ht="12.75" customHeight="1">
      <c r="A75" s="398" t="s">
        <v>428</v>
      </c>
      <c r="B75" s="615">
        <v>78.408869999999993</v>
      </c>
      <c r="C75" s="3535">
        <v>75.539796999999993</v>
      </c>
      <c r="D75" s="2296">
        <v>103.798095</v>
      </c>
      <c r="E75" s="1267">
        <v>38.431502999999999</v>
      </c>
      <c r="F75" s="3535">
        <v>88.314267000000001</v>
      </c>
      <c r="G75" s="2296">
        <v>43.516754999999996</v>
      </c>
      <c r="H75" s="1267">
        <v>85.535212999999999</v>
      </c>
      <c r="I75" s="3079">
        <f t="shared" si="0"/>
        <v>88.7839220813552</v>
      </c>
    </row>
    <row r="76" spans="1:9" ht="12.75" customHeight="1">
      <c r="A76" s="398" t="s">
        <v>429</v>
      </c>
      <c r="B76" s="615">
        <v>77.718760000000003</v>
      </c>
      <c r="C76" s="3535">
        <v>79.813520999999994</v>
      </c>
      <c r="D76" s="2296">
        <v>97.375431999999989</v>
      </c>
      <c r="E76" s="1267">
        <v>40.847806999999996</v>
      </c>
      <c r="F76" s="3535">
        <v>89.337215999999998</v>
      </c>
      <c r="G76" s="2296">
        <v>45.723169999999996</v>
      </c>
      <c r="H76" s="1267">
        <v>89.339610999999991</v>
      </c>
      <c r="I76" s="3079">
        <f t="shared" ref="I76:I139" si="1">B76/F76*100</f>
        <v>86.994830911229656</v>
      </c>
    </row>
    <row r="77" spans="1:9" ht="12.75" customHeight="1">
      <c r="A77" s="398" t="s">
        <v>430</v>
      </c>
      <c r="B77" s="615">
        <v>74.536401999999995</v>
      </c>
      <c r="C77" s="3535">
        <v>81.044646</v>
      </c>
      <c r="D77" s="2296">
        <v>91.969556999999995</v>
      </c>
      <c r="E77" s="1267">
        <v>44.012809999999995</v>
      </c>
      <c r="F77" s="3535">
        <v>89.363586999999995</v>
      </c>
      <c r="G77" s="2296">
        <v>49.251390999999998</v>
      </c>
      <c r="H77" s="1267">
        <v>90.690905000000001</v>
      </c>
      <c r="I77" s="3079">
        <f t="shared" si="1"/>
        <v>83.408023896802618</v>
      </c>
    </row>
    <row r="78" spans="1:9" ht="12.75" customHeight="1">
      <c r="A78" s="398" t="s">
        <v>431</v>
      </c>
      <c r="B78" s="615">
        <v>76.065935999999994</v>
      </c>
      <c r="C78" s="3535">
        <v>86.957742999999994</v>
      </c>
      <c r="D78" s="2296">
        <v>87.474598</v>
      </c>
      <c r="E78" s="1267">
        <v>44.722693999999997</v>
      </c>
      <c r="F78" s="3535">
        <v>92.217405999999997</v>
      </c>
      <c r="G78" s="2296">
        <v>48.497019999999999</v>
      </c>
      <c r="H78" s="1267">
        <v>94.296453</v>
      </c>
      <c r="I78" s="3079">
        <f t="shared" si="1"/>
        <v>82.485443149420178</v>
      </c>
    </row>
    <row r="79" spans="1:9" ht="12.75" customHeight="1">
      <c r="A79" s="398" t="s">
        <v>432</v>
      </c>
      <c r="B79" s="615">
        <v>97.826342999999994</v>
      </c>
      <c r="C79" s="3535">
        <v>83.951870999999997</v>
      </c>
      <c r="D79" s="2296">
        <v>116.526698</v>
      </c>
      <c r="E79" s="1267">
        <v>59.594784999999995</v>
      </c>
      <c r="F79" s="3535">
        <v>91.951196999999993</v>
      </c>
      <c r="G79" s="2296">
        <v>64.811319999999995</v>
      </c>
      <c r="H79" s="1267">
        <v>91.300466</v>
      </c>
      <c r="I79" s="3079">
        <f t="shared" si="1"/>
        <v>106.38941763857626</v>
      </c>
    </row>
    <row r="80" spans="1:9" ht="12.75" customHeight="1">
      <c r="A80" s="398" t="s">
        <v>433</v>
      </c>
      <c r="B80" s="615">
        <v>87.355685999999992</v>
      </c>
      <c r="C80" s="3535">
        <v>85.389077</v>
      </c>
      <c r="D80" s="2296">
        <v>102.30311500000001</v>
      </c>
      <c r="E80" s="1267">
        <v>66.171143999999998</v>
      </c>
      <c r="F80" s="3535">
        <v>91.865963999999991</v>
      </c>
      <c r="G80" s="2296">
        <v>72.030097999999995</v>
      </c>
      <c r="H80" s="1267">
        <v>92.949633999999989</v>
      </c>
      <c r="I80" s="3079">
        <f t="shared" si="1"/>
        <v>95.090371010530077</v>
      </c>
    </row>
    <row r="81" spans="1:9" ht="12.75" customHeight="1">
      <c r="A81" s="398" t="s">
        <v>434</v>
      </c>
      <c r="B81" s="615">
        <v>85.107693999999995</v>
      </c>
      <c r="C81" s="3535">
        <v>90.445297999999994</v>
      </c>
      <c r="D81" s="2296">
        <v>94.098528000000002</v>
      </c>
      <c r="E81" s="1267">
        <v>76.347651999999997</v>
      </c>
      <c r="F81" s="3535">
        <v>93.982407999999992</v>
      </c>
      <c r="G81" s="2296">
        <v>81.236109999999996</v>
      </c>
      <c r="H81" s="1267">
        <v>96.236412000000001</v>
      </c>
      <c r="I81" s="3079">
        <f t="shared" si="1"/>
        <v>90.55704765513137</v>
      </c>
    </row>
    <row r="82" spans="1:9" ht="12.75" customHeight="1">
      <c r="A82" s="398" t="s">
        <v>38</v>
      </c>
      <c r="B82" s="615">
        <v>85.32064299999999</v>
      </c>
      <c r="C82" s="3535">
        <v>98.366294999999994</v>
      </c>
      <c r="D82" s="2296">
        <v>86.737679999999997</v>
      </c>
      <c r="E82" s="1267">
        <v>83.088549</v>
      </c>
      <c r="F82" s="3535">
        <v>95.567118999999991</v>
      </c>
      <c r="G82" s="2296">
        <v>86.942611999999997</v>
      </c>
      <c r="H82" s="1267">
        <v>102.929016</v>
      </c>
      <c r="I82" s="3079">
        <f t="shared" si="1"/>
        <v>89.278241190884913</v>
      </c>
    </row>
    <row r="83" spans="1:9" ht="12.75" customHeight="1">
      <c r="A83" s="398" t="s">
        <v>435</v>
      </c>
      <c r="B83" s="615">
        <v>108.57138999999999</v>
      </c>
      <c r="C83" s="3535">
        <v>102.46966999999999</v>
      </c>
      <c r="D83" s="2296">
        <v>105.95465899999999</v>
      </c>
      <c r="E83" s="1267">
        <v>97.702032000000003</v>
      </c>
      <c r="F83" s="3535">
        <v>99.076138</v>
      </c>
      <c r="G83" s="2296">
        <v>98.613080999999994</v>
      </c>
      <c r="H83" s="1267">
        <v>103.42517599999999</v>
      </c>
      <c r="I83" s="3079">
        <f t="shared" si="1"/>
        <v>109.58379302188787</v>
      </c>
    </row>
    <row r="84" spans="1:9" ht="12.75" customHeight="1">
      <c r="A84" s="398" t="s">
        <v>436</v>
      </c>
      <c r="B84" s="615">
        <v>103.901526</v>
      </c>
      <c r="C84" s="3535">
        <v>99.162854999999993</v>
      </c>
      <c r="D84" s="2296">
        <v>104.778676</v>
      </c>
      <c r="E84" s="1267">
        <v>107.40213900000001</v>
      </c>
      <c r="F84" s="3535">
        <v>101.664419</v>
      </c>
      <c r="G84" s="2296">
        <v>105.643784</v>
      </c>
      <c r="H84" s="1267">
        <v>97.539389999999997</v>
      </c>
      <c r="I84" s="3079">
        <f t="shared" si="1"/>
        <v>102.20048176343781</v>
      </c>
    </row>
    <row r="85" spans="1:9" ht="12.75" customHeight="1">
      <c r="A85" s="398" t="s">
        <v>437</v>
      </c>
      <c r="B85" s="615">
        <v>102.206441</v>
      </c>
      <c r="C85" s="3535">
        <v>99.324275</v>
      </c>
      <c r="D85" s="2296">
        <v>102.901774</v>
      </c>
      <c r="E85" s="1267">
        <v>111.80727999999999</v>
      </c>
      <c r="F85" s="3535">
        <v>102.51884099999999</v>
      </c>
      <c r="G85" s="2296">
        <v>109.060226</v>
      </c>
      <c r="H85" s="1267">
        <v>96.883923999999993</v>
      </c>
      <c r="I85" s="3079">
        <f t="shared" si="1"/>
        <v>99.695275525013002</v>
      </c>
    </row>
    <row r="86" spans="1:9" ht="12.75" customHeight="1">
      <c r="A86" s="398" t="s">
        <v>438</v>
      </c>
      <c r="B86" s="615">
        <v>97.661503999999994</v>
      </c>
      <c r="C86" s="3535">
        <v>98.67183</v>
      </c>
      <c r="D86" s="2296">
        <v>98.976074999999994</v>
      </c>
      <c r="E86" s="1267">
        <v>106.318434</v>
      </c>
      <c r="F86" s="3535">
        <v>105.486538</v>
      </c>
      <c r="G86" s="2296">
        <v>100.788628</v>
      </c>
      <c r="H86" s="1267">
        <v>93.539737000000002</v>
      </c>
      <c r="I86" s="3079">
        <f t="shared" si="1"/>
        <v>92.581959605120417</v>
      </c>
    </row>
    <row r="87" spans="1:9" ht="12.75" customHeight="1">
      <c r="A87" s="398" t="s">
        <v>439</v>
      </c>
      <c r="B87" s="615">
        <v>123.85957999999999</v>
      </c>
      <c r="C87" s="3535">
        <v>101.84740600000001</v>
      </c>
      <c r="D87" s="2296">
        <v>121.61289600000001</v>
      </c>
      <c r="E87" s="1267">
        <v>135.07510000000002</v>
      </c>
      <c r="F87" s="3535">
        <v>108.489405</v>
      </c>
      <c r="G87" s="2296">
        <v>124.50533799999999</v>
      </c>
      <c r="H87" s="1267">
        <v>93.877743999999993</v>
      </c>
      <c r="I87" s="3079">
        <f t="shared" si="1"/>
        <v>114.16744335541335</v>
      </c>
    </row>
    <row r="88" spans="1:9" ht="12.75" customHeight="1">
      <c r="A88" s="398" t="s">
        <v>440</v>
      </c>
      <c r="B88" s="615">
        <v>126.346366</v>
      </c>
      <c r="C88" s="3535">
        <v>107.57832000000001</v>
      </c>
      <c r="D88" s="2296">
        <v>117.445936</v>
      </c>
      <c r="E88" s="1267">
        <v>132.63878800000001</v>
      </c>
      <c r="F88" s="3535">
        <v>107.93256</v>
      </c>
      <c r="G88" s="2296">
        <v>122.89043100000001</v>
      </c>
      <c r="H88" s="1267">
        <v>99.671796000000001</v>
      </c>
      <c r="I88" s="3079">
        <f t="shared" si="1"/>
        <v>117.06047368838468</v>
      </c>
    </row>
    <row r="89" spans="1:9" ht="12.75" customHeight="1">
      <c r="A89" s="398" t="s">
        <v>441</v>
      </c>
      <c r="B89" s="615">
        <v>119.359213</v>
      </c>
      <c r="C89" s="3535">
        <v>109.861886</v>
      </c>
      <c r="D89" s="2296">
        <v>108.64478800000001</v>
      </c>
      <c r="E89" s="1267">
        <v>137.20011099999999</v>
      </c>
      <c r="F89" s="3535">
        <v>108.854174</v>
      </c>
      <c r="G89" s="2296">
        <v>126.040285</v>
      </c>
      <c r="H89" s="1267">
        <v>100.92574500000001</v>
      </c>
      <c r="I89" s="3079">
        <f t="shared" si="1"/>
        <v>109.65056149339757</v>
      </c>
    </row>
    <row r="90" spans="1:9" ht="12.75" customHeight="1">
      <c r="A90" s="398" t="s">
        <v>442</v>
      </c>
      <c r="B90" s="615">
        <v>114.825847</v>
      </c>
      <c r="C90" s="3535">
        <v>110.95615599999999</v>
      </c>
      <c r="D90" s="2296">
        <v>103.48758599999999</v>
      </c>
      <c r="E90" s="1267">
        <v>131.373403</v>
      </c>
      <c r="F90" s="3535">
        <v>111.249756</v>
      </c>
      <c r="G90" s="2296">
        <v>118.088711</v>
      </c>
      <c r="H90" s="1267">
        <v>99.736088999999993</v>
      </c>
      <c r="I90" s="3079">
        <f t="shared" si="1"/>
        <v>103.21447087039004</v>
      </c>
    </row>
    <row r="91" spans="1:9" ht="12.75" customHeight="1">
      <c r="A91" s="398" t="s">
        <v>443</v>
      </c>
      <c r="B91" s="615">
        <v>138.298214</v>
      </c>
      <c r="C91" s="3535">
        <v>112.893766</v>
      </c>
      <c r="D91" s="2296">
        <v>122.502968</v>
      </c>
      <c r="E91" s="1267">
        <v>146.67802599999999</v>
      </c>
      <c r="F91" s="3535">
        <v>112.740689</v>
      </c>
      <c r="G91" s="2296">
        <v>130.10212000000001</v>
      </c>
      <c r="H91" s="1267">
        <v>100.135778</v>
      </c>
      <c r="I91" s="3079">
        <f t="shared" si="1"/>
        <v>122.66929998981999</v>
      </c>
    </row>
    <row r="92" spans="1:9" ht="12.75" customHeight="1">
      <c r="A92" s="398" t="s">
        <v>444</v>
      </c>
      <c r="B92" s="615">
        <v>140.11140499999999</v>
      </c>
      <c r="C92" s="3535">
        <v>117.133351</v>
      </c>
      <c r="D92" s="2296">
        <v>119.61700399999999</v>
      </c>
      <c r="E92" s="1267">
        <v>165.782501</v>
      </c>
      <c r="F92" s="3535">
        <v>115.25192300000001</v>
      </c>
      <c r="G92" s="2296">
        <v>143.84358800000001</v>
      </c>
      <c r="H92" s="1267">
        <v>101.63244899999999</v>
      </c>
      <c r="I92" s="3079">
        <f t="shared" si="1"/>
        <v>121.56968955737075</v>
      </c>
    </row>
    <row r="93" spans="1:9" ht="12.75" customHeight="1">
      <c r="A93" s="398" t="s">
        <v>445</v>
      </c>
      <c r="B93" s="615">
        <v>145.24858699999999</v>
      </c>
      <c r="C93" s="3535">
        <v>119.664248</v>
      </c>
      <c r="D93" s="2296">
        <v>121.38010199999999</v>
      </c>
      <c r="E93" s="1267">
        <v>164.82286299999998</v>
      </c>
      <c r="F93" s="3535">
        <v>115.31078599999999</v>
      </c>
      <c r="G93" s="2296">
        <v>142.937941</v>
      </c>
      <c r="H93" s="1267">
        <v>103.77541600000001</v>
      </c>
      <c r="I93" s="3079">
        <f t="shared" si="1"/>
        <v>125.96270655895103</v>
      </c>
    </row>
    <row r="94" spans="1:9" ht="12.75" customHeight="1">
      <c r="A94" s="398" t="s">
        <v>446</v>
      </c>
      <c r="B94" s="615">
        <v>128.98611499999998</v>
      </c>
      <c r="C94" s="3535">
        <v>123.91269699999999</v>
      </c>
      <c r="D94" s="2296">
        <v>104.09434899999999</v>
      </c>
      <c r="E94" s="1267">
        <v>163.31153999999998</v>
      </c>
      <c r="F94" s="3535">
        <v>116.200686</v>
      </c>
      <c r="G94" s="2296">
        <v>140.542665</v>
      </c>
      <c r="H94" s="1267">
        <v>106.636804</v>
      </c>
      <c r="I94" s="3079">
        <f t="shared" si="1"/>
        <v>111.00288598984689</v>
      </c>
    </row>
    <row r="95" spans="1:9" ht="12.75" customHeight="1">
      <c r="A95" s="398" t="s">
        <v>447</v>
      </c>
      <c r="B95" s="615">
        <v>158.20915300000001</v>
      </c>
      <c r="C95" s="3535">
        <v>123.34566599999999</v>
      </c>
      <c r="D95" s="2296">
        <v>128.26486499999999</v>
      </c>
      <c r="E95" s="1267">
        <v>181.453778</v>
      </c>
      <c r="F95" s="3535">
        <v>119.88085699999999</v>
      </c>
      <c r="G95" s="2296">
        <v>151.361762</v>
      </c>
      <c r="H95" s="1267">
        <v>102.89021099999999</v>
      </c>
      <c r="I95" s="3079">
        <f t="shared" si="1"/>
        <v>131.97199032369284</v>
      </c>
    </row>
    <row r="96" spans="1:9" ht="12.75" customHeight="1">
      <c r="A96" s="398" t="s">
        <v>448</v>
      </c>
      <c r="B96" s="615">
        <v>166.170849</v>
      </c>
      <c r="C96" s="3535">
        <v>128.578</v>
      </c>
      <c r="D96" s="2296">
        <v>129.23738800000001</v>
      </c>
      <c r="E96" s="1267">
        <v>226.24382499999999</v>
      </c>
      <c r="F96" s="3535">
        <v>125.630691</v>
      </c>
      <c r="G96" s="2296">
        <v>180.08642900000001</v>
      </c>
      <c r="H96" s="1267">
        <v>102.346011</v>
      </c>
      <c r="I96" s="3079">
        <f t="shared" si="1"/>
        <v>132.26931068937606</v>
      </c>
    </row>
    <row r="97" spans="1:9" ht="12.75" customHeight="1">
      <c r="A97" s="398" t="s">
        <v>449</v>
      </c>
      <c r="B97" s="615">
        <v>194.25928499999998</v>
      </c>
      <c r="C97" s="3535">
        <v>145.74049400000001</v>
      </c>
      <c r="D97" s="2296">
        <v>133.29122100000001</v>
      </c>
      <c r="E97" s="1267">
        <v>225.72782100000001</v>
      </c>
      <c r="F97" s="3535">
        <v>123.744124</v>
      </c>
      <c r="G97" s="2296">
        <v>182.41498100000001</v>
      </c>
      <c r="H97" s="1267">
        <v>117.775689</v>
      </c>
      <c r="I97" s="3079">
        <f t="shared" si="1"/>
        <v>156.98465407537248</v>
      </c>
    </row>
    <row r="98" spans="1:9" ht="12.75" customHeight="1">
      <c r="A98" s="398" t="s">
        <v>450</v>
      </c>
      <c r="B98" s="615">
        <v>185.50386700000001</v>
      </c>
      <c r="C98" s="3535">
        <v>166.238134</v>
      </c>
      <c r="D98" s="2296">
        <v>111.58923799999999</v>
      </c>
      <c r="E98" s="1267">
        <v>229.03165899999999</v>
      </c>
      <c r="F98" s="3535">
        <v>126.83327800000001</v>
      </c>
      <c r="G98" s="2296">
        <v>180.57694499999999</v>
      </c>
      <c r="H98" s="1267">
        <v>131.06823</v>
      </c>
      <c r="I98" s="3079">
        <f t="shared" si="1"/>
        <v>146.25804041743683</v>
      </c>
    </row>
    <row r="99" spans="1:9" ht="12.75" customHeight="1">
      <c r="A99" s="398" t="s">
        <v>451</v>
      </c>
      <c r="B99" s="615">
        <v>202.37287800000001</v>
      </c>
      <c r="C99" s="3535">
        <v>166.415896</v>
      </c>
      <c r="D99" s="2296">
        <v>121.60669899999999</v>
      </c>
      <c r="E99" s="1267">
        <v>273.126981</v>
      </c>
      <c r="F99" s="3535">
        <v>141.87285500000002</v>
      </c>
      <c r="G99" s="2296">
        <v>192.515321</v>
      </c>
      <c r="H99" s="1267">
        <v>117.29932099999999</v>
      </c>
      <c r="I99" s="3079">
        <f t="shared" si="1"/>
        <v>142.6438327472863</v>
      </c>
    </row>
    <row r="100" spans="1:9" ht="12.75" customHeight="1">
      <c r="A100" s="398" t="s">
        <v>452</v>
      </c>
      <c r="B100" s="615">
        <v>246.368673</v>
      </c>
      <c r="C100" s="3535">
        <v>174.38721900000002</v>
      </c>
      <c r="D100" s="2296">
        <v>141.27679499999999</v>
      </c>
      <c r="E100" s="1267">
        <v>294.34193299999998</v>
      </c>
      <c r="F100" s="3535">
        <v>146.498198</v>
      </c>
      <c r="G100" s="2296">
        <v>200.91846699999999</v>
      </c>
      <c r="H100" s="1267">
        <v>119.037108</v>
      </c>
      <c r="I100" s="3079">
        <f t="shared" si="1"/>
        <v>168.17181123279073</v>
      </c>
    </row>
    <row r="101" spans="1:9" ht="12.75" customHeight="1">
      <c r="A101" s="398" t="s">
        <v>453</v>
      </c>
      <c r="B101" s="615">
        <v>175.78904199999999</v>
      </c>
      <c r="C101" s="3535">
        <v>152.35330000000002</v>
      </c>
      <c r="D101" s="2296">
        <v>115.382497</v>
      </c>
      <c r="E101" s="1267">
        <v>227.54454899999999</v>
      </c>
      <c r="F101" s="3535">
        <v>131.89752200000001</v>
      </c>
      <c r="G101" s="2296">
        <v>172.516167</v>
      </c>
      <c r="H101" s="1267">
        <v>115.508842</v>
      </c>
      <c r="I101" s="3079">
        <f t="shared" si="1"/>
        <v>133.27698605285397</v>
      </c>
    </row>
    <row r="102" spans="1:9" ht="12.75" customHeight="1">
      <c r="A102" s="398" t="s">
        <v>454</v>
      </c>
      <c r="B102" s="615">
        <v>137.937107</v>
      </c>
      <c r="C102" s="3535">
        <v>139.13414499999999</v>
      </c>
      <c r="D102" s="2296">
        <v>99.139651999999998</v>
      </c>
      <c r="E102" s="1267">
        <v>148.12368699999999</v>
      </c>
      <c r="F102" s="3535">
        <v>120.679051</v>
      </c>
      <c r="G102" s="2296">
        <v>122.741839</v>
      </c>
      <c r="H102" s="1267">
        <v>115.29270700000001</v>
      </c>
      <c r="I102" s="3079">
        <f t="shared" si="1"/>
        <v>114.30078862651978</v>
      </c>
    </row>
    <row r="103" spans="1:9" ht="12.75" customHeight="1">
      <c r="A103" s="398" t="s">
        <v>455</v>
      </c>
      <c r="B103" s="615">
        <v>178.93429800000001</v>
      </c>
      <c r="C103" s="3535">
        <v>145.40756400000001</v>
      </c>
      <c r="D103" s="2296">
        <v>123.05707699999999</v>
      </c>
      <c r="E103" s="1267">
        <v>161.380099</v>
      </c>
      <c r="F103" s="3535">
        <v>122.934074</v>
      </c>
      <c r="G103" s="2296">
        <v>131.27369300000001</v>
      </c>
      <c r="H103" s="1267">
        <v>118.280929</v>
      </c>
      <c r="I103" s="3079">
        <f t="shared" si="1"/>
        <v>145.55305309413239</v>
      </c>
    </row>
    <row r="104" spans="1:9" ht="12.75" customHeight="1">
      <c r="A104" s="398" t="s">
        <v>456</v>
      </c>
      <c r="B104" s="615">
        <v>159.734544</v>
      </c>
      <c r="C104" s="3535">
        <v>150.10470599999999</v>
      </c>
      <c r="D104" s="2296">
        <v>106.415414</v>
      </c>
      <c r="E104" s="1267">
        <v>187.300218</v>
      </c>
      <c r="F104" s="3535">
        <v>121.728893</v>
      </c>
      <c r="G104" s="2296">
        <v>153.86668900000001</v>
      </c>
      <c r="H104" s="1267">
        <v>123.31066300000001</v>
      </c>
      <c r="I104" s="3079">
        <f t="shared" si="1"/>
        <v>131.22155312790039</v>
      </c>
    </row>
    <row r="105" spans="1:9" ht="12.75" customHeight="1">
      <c r="A105" s="398" t="s">
        <v>457</v>
      </c>
      <c r="B105" s="615">
        <v>167.45380799999998</v>
      </c>
      <c r="C105" s="3535">
        <v>154.006348</v>
      </c>
      <c r="D105" s="2296">
        <v>108.731757</v>
      </c>
      <c r="E105" s="1267">
        <v>194.41066499999999</v>
      </c>
      <c r="F105" s="3535">
        <v>119.328468</v>
      </c>
      <c r="G105" s="2296">
        <v>162.92060799999999</v>
      </c>
      <c r="H105" s="1267">
        <v>129.06086099999999</v>
      </c>
      <c r="I105" s="3079">
        <f t="shared" si="1"/>
        <v>140.33014150487543</v>
      </c>
    </row>
    <row r="106" spans="1:9" ht="12.75" customHeight="1">
      <c r="A106" s="398" t="s">
        <v>458</v>
      </c>
      <c r="B106" s="615">
        <v>151.026173</v>
      </c>
      <c r="C106" s="3535">
        <v>158.45370399999999</v>
      </c>
      <c r="D106" s="2296">
        <v>95.312490999999994</v>
      </c>
      <c r="E106" s="1267">
        <v>197.22841199999999</v>
      </c>
      <c r="F106" s="3535">
        <v>122.710314</v>
      </c>
      <c r="G106" s="2296">
        <v>160.726842</v>
      </c>
      <c r="H106" s="1267">
        <v>129.12826899999999</v>
      </c>
      <c r="I106" s="3079">
        <f t="shared" si="1"/>
        <v>123.07537001331445</v>
      </c>
    </row>
    <row r="107" spans="1:9" ht="12.75" customHeight="1">
      <c r="A107" s="398" t="s">
        <v>459</v>
      </c>
      <c r="B107" s="615">
        <v>220.734084</v>
      </c>
      <c r="C107" s="3535">
        <v>151.29083600000001</v>
      </c>
      <c r="D107" s="2296">
        <v>145.900498</v>
      </c>
      <c r="E107" s="1267">
        <v>246.41987799999998</v>
      </c>
      <c r="F107" s="3535">
        <v>129.73098999999999</v>
      </c>
      <c r="G107" s="2296">
        <v>189.946811</v>
      </c>
      <c r="H107" s="1267">
        <v>116.618887</v>
      </c>
      <c r="I107" s="3079">
        <f t="shared" si="1"/>
        <v>170.14753683757445</v>
      </c>
    </row>
    <row r="108" spans="1:9" ht="12.75" customHeight="1">
      <c r="A108" s="398" t="s">
        <v>460</v>
      </c>
      <c r="B108" s="615">
        <v>216.820008</v>
      </c>
      <c r="C108" s="3535">
        <v>155.830941</v>
      </c>
      <c r="D108" s="2296">
        <v>139.13797</v>
      </c>
      <c r="E108" s="1267">
        <v>284.83361400000001</v>
      </c>
      <c r="F108" s="3535">
        <v>127.56622899999999</v>
      </c>
      <c r="G108" s="2296">
        <v>223.28293099999999</v>
      </c>
      <c r="H108" s="1267">
        <v>122.156893</v>
      </c>
      <c r="I108" s="3079">
        <f t="shared" si="1"/>
        <v>169.96662024084762</v>
      </c>
    </row>
    <row r="109" spans="1:9" ht="12.75" customHeight="1">
      <c r="A109" s="398" t="s">
        <v>461</v>
      </c>
      <c r="B109" s="615">
        <v>200.11677499999999</v>
      </c>
      <c r="C109" s="3535">
        <v>170.98254900000001</v>
      </c>
      <c r="D109" s="2296">
        <v>117.039298</v>
      </c>
      <c r="E109" s="1267">
        <v>283.62531000000001</v>
      </c>
      <c r="F109" s="3535">
        <v>126.39264299999999</v>
      </c>
      <c r="G109" s="2296">
        <v>224.400173</v>
      </c>
      <c r="H109" s="1267">
        <v>135.27887799999999</v>
      </c>
      <c r="I109" s="3079">
        <f t="shared" si="1"/>
        <v>158.32944881135208</v>
      </c>
    </row>
    <row r="110" spans="1:9" ht="12.75" customHeight="1">
      <c r="A110" s="398" t="s">
        <v>462</v>
      </c>
      <c r="B110" s="615">
        <v>192.982225</v>
      </c>
      <c r="C110" s="3535">
        <v>184.95815199999998</v>
      </c>
      <c r="D110" s="2296">
        <v>104.338318</v>
      </c>
      <c r="E110" s="1267">
        <v>272.57565299999999</v>
      </c>
      <c r="F110" s="3535">
        <v>131.97011599999999</v>
      </c>
      <c r="G110" s="2296">
        <v>206.54346799999999</v>
      </c>
      <c r="H110" s="1267">
        <v>140.15154200000001</v>
      </c>
      <c r="I110" s="3079">
        <f t="shared" si="1"/>
        <v>146.23176128753269</v>
      </c>
    </row>
    <row r="111" spans="1:9" ht="12.75" customHeight="1">
      <c r="A111" s="398" t="s">
        <v>463</v>
      </c>
      <c r="B111" s="615">
        <v>263.68465900000001</v>
      </c>
      <c r="C111" s="3535">
        <v>190.05904799999999</v>
      </c>
      <c r="D111" s="2296">
        <v>138.738282</v>
      </c>
      <c r="E111" s="1267">
        <v>333.741196</v>
      </c>
      <c r="F111" s="3535">
        <v>141.36484000000002</v>
      </c>
      <c r="G111" s="2296">
        <v>236.08500900000001</v>
      </c>
      <c r="H111" s="1267">
        <v>134.44576999999998</v>
      </c>
      <c r="I111" s="3079">
        <f t="shared" si="1"/>
        <v>186.52775258685256</v>
      </c>
    </row>
    <row r="112" spans="1:9" ht="12.75" customHeight="1">
      <c r="A112" s="398" t="s">
        <v>464</v>
      </c>
      <c r="B112" s="615">
        <v>269.232328</v>
      </c>
      <c r="C112" s="3535">
        <v>190.733239</v>
      </c>
      <c r="D112" s="2296">
        <v>141.15648099999999</v>
      </c>
      <c r="E112" s="1267">
        <v>381.69480299999998</v>
      </c>
      <c r="F112" s="3535">
        <v>138.95346999999998</v>
      </c>
      <c r="G112" s="2296">
        <v>274.69252999999998</v>
      </c>
      <c r="H112" s="1267">
        <v>137.264106</v>
      </c>
      <c r="I112" s="3079">
        <f t="shared" si="1"/>
        <v>193.75718217040568</v>
      </c>
    </row>
    <row r="113" spans="1:9" ht="12.75" customHeight="1">
      <c r="A113" s="398" t="s">
        <v>465</v>
      </c>
      <c r="B113" s="615">
        <v>234.093042</v>
      </c>
      <c r="C113" s="3535">
        <v>188.19283799999999</v>
      </c>
      <c r="D113" s="2296">
        <v>124.389984</v>
      </c>
      <c r="E113" s="1267">
        <v>330.05024900000001</v>
      </c>
      <c r="F113" s="3535">
        <v>131.230707</v>
      </c>
      <c r="G113" s="2296">
        <v>251.503826</v>
      </c>
      <c r="H113" s="1267">
        <v>143.40609899999998</v>
      </c>
      <c r="I113" s="3079">
        <f t="shared" si="1"/>
        <v>178.38282468446963</v>
      </c>
    </row>
    <row r="114" spans="1:9" ht="12.75" customHeight="1">
      <c r="A114" s="398" t="s">
        <v>466</v>
      </c>
      <c r="B114" s="615">
        <v>203.65477899999999</v>
      </c>
      <c r="C114" s="3535">
        <v>189.91087899999999</v>
      </c>
      <c r="D114" s="2296">
        <v>107.237026</v>
      </c>
      <c r="E114" s="1267">
        <v>271.50910799999997</v>
      </c>
      <c r="F114" s="3535">
        <v>130.434642</v>
      </c>
      <c r="G114" s="2296">
        <v>208.157208</v>
      </c>
      <c r="H114" s="1267">
        <v>145.59849800000001</v>
      </c>
      <c r="I114" s="3079">
        <f t="shared" si="1"/>
        <v>156.13549888073445</v>
      </c>
    </row>
    <row r="115" spans="1:9" ht="12.75" customHeight="1">
      <c r="A115" s="398" t="s">
        <v>467</v>
      </c>
      <c r="B115" s="615">
        <v>238.52514500000001</v>
      </c>
      <c r="C115" s="3535">
        <v>193.72343100000001</v>
      </c>
      <c r="D115" s="2296">
        <v>123.126637</v>
      </c>
      <c r="E115" s="1267">
        <v>299.22402799999998</v>
      </c>
      <c r="F115" s="3535">
        <v>144.45784499999999</v>
      </c>
      <c r="G115" s="2296">
        <v>207.13587899999999</v>
      </c>
      <c r="H115" s="1267">
        <v>134.10378</v>
      </c>
      <c r="I115" s="3079">
        <f t="shared" si="1"/>
        <v>165.11747423616904</v>
      </c>
    </row>
    <row r="116" spans="1:9" ht="12.75" customHeight="1">
      <c r="A116" s="398" t="s">
        <v>468</v>
      </c>
      <c r="B116" s="615">
        <v>253.46499399999999</v>
      </c>
      <c r="C116" s="3535">
        <v>195.36873399999999</v>
      </c>
      <c r="D116" s="2296">
        <v>129.73672400000001</v>
      </c>
      <c r="E116" s="1267">
        <v>329.26185900000002</v>
      </c>
      <c r="F116" s="3535">
        <v>132.32468</v>
      </c>
      <c r="G116" s="2296">
        <v>248.82875799999999</v>
      </c>
      <c r="H116" s="1267">
        <v>147.64345800000001</v>
      </c>
      <c r="I116" s="3079">
        <f t="shared" si="1"/>
        <v>191.54778534132862</v>
      </c>
    </row>
    <row r="117" spans="1:9" ht="12.75" customHeight="1">
      <c r="A117" s="398" t="s">
        <v>469</v>
      </c>
      <c r="B117" s="615">
        <v>229.655914</v>
      </c>
      <c r="C117" s="3535">
        <v>193.362493</v>
      </c>
      <c r="D117" s="2296">
        <v>118.769628</v>
      </c>
      <c r="E117" s="1267">
        <v>311.38147800000002</v>
      </c>
      <c r="F117" s="3535">
        <v>127.828868</v>
      </c>
      <c r="G117" s="2296">
        <v>243.592456</v>
      </c>
      <c r="H117" s="1267">
        <v>151.26668699999999</v>
      </c>
      <c r="I117" s="3079">
        <f t="shared" si="1"/>
        <v>179.65888112222038</v>
      </c>
    </row>
    <row r="118" spans="1:9" ht="12.75" customHeight="1">
      <c r="A118" s="398" t="s">
        <v>470</v>
      </c>
      <c r="B118" s="615">
        <v>190.293655</v>
      </c>
      <c r="C118" s="3535">
        <v>194.322622</v>
      </c>
      <c r="D118" s="2296">
        <v>97.926660999999996</v>
      </c>
      <c r="E118" s="1267">
        <v>287.84943499999997</v>
      </c>
      <c r="F118" s="3535">
        <v>137.76397399999999</v>
      </c>
      <c r="G118" s="2296">
        <v>208.94390999999999</v>
      </c>
      <c r="H118" s="1267">
        <v>141.054744</v>
      </c>
      <c r="I118" s="3079">
        <f t="shared" si="1"/>
        <v>138.13020158666447</v>
      </c>
    </row>
    <row r="119" spans="1:9" ht="12.75" customHeight="1">
      <c r="A119" s="398" t="s">
        <v>471</v>
      </c>
      <c r="B119" s="615">
        <v>263.44521500000002</v>
      </c>
      <c r="C119" s="3535">
        <v>194.386876</v>
      </c>
      <c r="D119" s="2296">
        <v>135.52623499999999</v>
      </c>
      <c r="E119" s="1267">
        <v>354.004974</v>
      </c>
      <c r="F119" s="3535">
        <v>147.94547800000001</v>
      </c>
      <c r="G119" s="2296">
        <v>239.280699</v>
      </c>
      <c r="H119" s="1267">
        <v>131.39088699999999</v>
      </c>
      <c r="I119" s="3079">
        <f t="shared" si="1"/>
        <v>178.06912286971016</v>
      </c>
    </row>
    <row r="120" spans="1:9" ht="12.75" customHeight="1">
      <c r="A120" s="398" t="s">
        <v>472</v>
      </c>
      <c r="B120" s="615">
        <v>239.185102</v>
      </c>
      <c r="C120" s="3535">
        <v>188.395241</v>
      </c>
      <c r="D120" s="2296">
        <v>126.95920599999999</v>
      </c>
      <c r="E120" s="1267">
        <v>358.043814</v>
      </c>
      <c r="F120" s="3535">
        <v>139.48645299999998</v>
      </c>
      <c r="G120" s="2296">
        <v>256.68715900000001</v>
      </c>
      <c r="H120" s="1267">
        <v>135.063468</v>
      </c>
      <c r="I120" s="3079">
        <f t="shared" si="1"/>
        <v>171.47550665726658</v>
      </c>
    </row>
    <row r="121" spans="1:9" ht="12.75" customHeight="1">
      <c r="A121" s="398" t="s">
        <v>473</v>
      </c>
      <c r="B121" s="615">
        <v>185.87712099999999</v>
      </c>
      <c r="C121" s="3535">
        <v>184.32217</v>
      </c>
      <c r="D121" s="2296">
        <v>100.843605</v>
      </c>
      <c r="E121" s="1267">
        <v>326.73785299999997</v>
      </c>
      <c r="F121" s="3535">
        <v>137.99876499999999</v>
      </c>
      <c r="G121" s="2296">
        <v>236.76867999999999</v>
      </c>
      <c r="H121" s="1267">
        <v>133.56798599999999</v>
      </c>
      <c r="I121" s="3079">
        <f t="shared" si="1"/>
        <v>134.69477136262776</v>
      </c>
    </row>
    <row r="122" spans="1:9" ht="12.75" customHeight="1">
      <c r="A122" s="398" t="s">
        <v>65</v>
      </c>
      <c r="B122" s="615">
        <v>160.06589199999999</v>
      </c>
      <c r="C122" s="3535">
        <v>189.14250000000001</v>
      </c>
      <c r="D122" s="2296">
        <v>84.627141999999992</v>
      </c>
      <c r="E122" s="1267">
        <v>295.40238299999999</v>
      </c>
      <c r="F122" s="3535">
        <v>140.73940199999998</v>
      </c>
      <c r="G122" s="2296">
        <v>209.89316299999999</v>
      </c>
      <c r="H122" s="1267">
        <v>134.39200199999999</v>
      </c>
      <c r="I122" s="3079">
        <f t="shared" si="1"/>
        <v>113.73211035812132</v>
      </c>
    </row>
    <row r="123" spans="1:9" ht="12.75" customHeight="1">
      <c r="A123" s="398" t="s">
        <v>474</v>
      </c>
      <c r="B123" s="615">
        <v>241.333957</v>
      </c>
      <c r="C123" s="3535">
        <v>195.20411200000001</v>
      </c>
      <c r="D123" s="2296">
        <v>123.631595</v>
      </c>
      <c r="E123" s="1267">
        <v>307.96392500000002</v>
      </c>
      <c r="F123" s="3535">
        <v>143.57737900000001</v>
      </c>
      <c r="G123" s="2296">
        <v>214.493347</v>
      </c>
      <c r="H123" s="1267">
        <v>135.95742799999999</v>
      </c>
      <c r="I123" s="3079">
        <f t="shared" si="1"/>
        <v>168.08633691523229</v>
      </c>
    </row>
    <row r="124" spans="1:9" ht="12.75" customHeight="1">
      <c r="A124" s="398" t="s">
        <v>475</v>
      </c>
      <c r="B124" s="615">
        <v>214.27862300000001</v>
      </c>
      <c r="C124" s="3535">
        <v>184.73238800000001</v>
      </c>
      <c r="D124" s="2296">
        <v>115.994074</v>
      </c>
      <c r="E124" s="1267">
        <v>310.68555500000002</v>
      </c>
      <c r="F124" s="3535">
        <v>140.12380200000001</v>
      </c>
      <c r="G124" s="2296">
        <v>221.722184</v>
      </c>
      <c r="H124" s="1267">
        <v>131.83512300000001</v>
      </c>
      <c r="I124" s="3079">
        <f t="shared" si="1"/>
        <v>152.92093130616024</v>
      </c>
    </row>
    <row r="125" spans="1:9" ht="12.75" customHeight="1">
      <c r="A125" s="398" t="s">
        <v>476</v>
      </c>
      <c r="B125" s="615">
        <v>175.67823199999998</v>
      </c>
      <c r="C125" s="3535">
        <v>173.55538999999999</v>
      </c>
      <c r="D125" s="2296">
        <v>101.22314900000001</v>
      </c>
      <c r="E125" s="1267">
        <v>257.43835300000001</v>
      </c>
      <c r="F125" s="3535">
        <v>136.37870100000001</v>
      </c>
      <c r="G125" s="2296">
        <v>188.76727199999999</v>
      </c>
      <c r="H125" s="1267">
        <v>127.259894</v>
      </c>
      <c r="I125" s="3079">
        <f t="shared" si="1"/>
        <v>128.8164725956731</v>
      </c>
    </row>
    <row r="126" spans="1:9" ht="12.75" customHeight="1">
      <c r="A126" s="398" t="s">
        <v>477</v>
      </c>
      <c r="B126" s="615">
        <v>139.39441299999999</v>
      </c>
      <c r="C126" s="3535">
        <v>166.581695</v>
      </c>
      <c r="D126" s="2296">
        <v>83.679310000000001</v>
      </c>
      <c r="E126" s="1267">
        <v>240.69250499999998</v>
      </c>
      <c r="F126" s="3535">
        <v>128.92812799999999</v>
      </c>
      <c r="G126" s="2296">
        <v>186.68734899999998</v>
      </c>
      <c r="H126" s="1267">
        <v>129.205083</v>
      </c>
      <c r="I126" s="3079">
        <f t="shared" si="1"/>
        <v>108.11792210308056</v>
      </c>
    </row>
    <row r="127" spans="1:9" ht="12.75" customHeight="1">
      <c r="A127" s="398" t="s">
        <v>478</v>
      </c>
      <c r="B127" s="615">
        <v>189.81230599999998</v>
      </c>
      <c r="C127" s="3535">
        <v>157.11533600000001</v>
      </c>
      <c r="D127" s="2296">
        <v>120.81080799999999</v>
      </c>
      <c r="E127" s="1267">
        <v>278.774316</v>
      </c>
      <c r="F127" s="3535">
        <v>129.07645199999999</v>
      </c>
      <c r="G127" s="2296">
        <v>215.976122</v>
      </c>
      <c r="H127" s="1267">
        <v>121.722694</v>
      </c>
      <c r="I127" s="3079">
        <f t="shared" si="1"/>
        <v>147.05417065538802</v>
      </c>
    </row>
    <row r="128" spans="1:9" ht="12.75" customHeight="1">
      <c r="A128" s="398" t="s">
        <v>479</v>
      </c>
      <c r="B128" s="615">
        <v>183.55786999999998</v>
      </c>
      <c r="C128" s="3535">
        <v>155.55627099999998</v>
      </c>
      <c r="D128" s="2296">
        <v>118.000945</v>
      </c>
      <c r="E128" s="1267">
        <v>301.04525699999999</v>
      </c>
      <c r="F128" s="3535">
        <v>123.500888</v>
      </c>
      <c r="G128" s="2296">
        <v>243.75958900000001</v>
      </c>
      <c r="H128" s="1267">
        <v>125.955589</v>
      </c>
      <c r="I128" s="3079">
        <f t="shared" si="1"/>
        <v>148.62878556792239</v>
      </c>
    </row>
    <row r="129" spans="1:9" ht="12.75" customHeight="1">
      <c r="A129" s="398" t="s">
        <v>480</v>
      </c>
      <c r="B129" s="615">
        <v>144.15801400000001</v>
      </c>
      <c r="C129" s="3535">
        <v>150.39274699999999</v>
      </c>
      <c r="D129" s="2296">
        <v>95.854365999999999</v>
      </c>
      <c r="E129" s="1267">
        <v>252.3733</v>
      </c>
      <c r="F129" s="3535">
        <v>116.552076</v>
      </c>
      <c r="G129" s="2296">
        <v>216.53265199999998</v>
      </c>
      <c r="H129" s="1267">
        <v>129.034808</v>
      </c>
      <c r="I129" s="3079">
        <f t="shared" si="1"/>
        <v>123.6854966015363</v>
      </c>
    </row>
    <row r="130" spans="1:9" ht="12.75" customHeight="1">
      <c r="A130" s="398" t="s">
        <v>481</v>
      </c>
      <c r="B130" s="615">
        <v>143.94654199999999</v>
      </c>
      <c r="C130" s="3535">
        <v>143.74258499999999</v>
      </c>
      <c r="D130" s="2296">
        <v>100.141891</v>
      </c>
      <c r="E130" s="1267">
        <v>227.67900599999999</v>
      </c>
      <c r="F130" s="3535">
        <v>111.730631</v>
      </c>
      <c r="G130" s="2296">
        <v>203.774923</v>
      </c>
      <c r="H130" s="1267">
        <v>128.65100999999999</v>
      </c>
      <c r="I130" s="3079">
        <f t="shared" si="1"/>
        <v>128.83355326257845</v>
      </c>
    </row>
    <row r="131" spans="1:9" ht="12.75" customHeight="1">
      <c r="A131" s="398" t="s">
        <v>482</v>
      </c>
      <c r="B131" s="615">
        <v>178.482677</v>
      </c>
      <c r="C131" s="3535">
        <v>147.05749499999999</v>
      </c>
      <c r="D131" s="2296">
        <v>121.369316</v>
      </c>
      <c r="E131" s="1267">
        <v>255.60136900000001</v>
      </c>
      <c r="F131" s="3535">
        <v>110.483604</v>
      </c>
      <c r="G131" s="2296">
        <v>231.34778299999999</v>
      </c>
      <c r="H131" s="1267">
        <v>133.10345599999999</v>
      </c>
      <c r="I131" s="3079">
        <f t="shared" si="1"/>
        <v>161.54675493750185</v>
      </c>
    </row>
    <row r="132" spans="1:9" ht="12.75" customHeight="1">
      <c r="A132" s="398" t="s">
        <v>483</v>
      </c>
      <c r="B132" s="615">
        <v>182.95985300000001</v>
      </c>
      <c r="C132" s="3535">
        <v>155.551815</v>
      </c>
      <c r="D132" s="2296">
        <v>117.619877</v>
      </c>
      <c r="E132" s="1267">
        <v>260.77209699999997</v>
      </c>
      <c r="F132" s="3535">
        <v>111.520894</v>
      </c>
      <c r="G132" s="2296">
        <v>233.83250100000001</v>
      </c>
      <c r="H132" s="1267">
        <v>139.48221599999999</v>
      </c>
      <c r="I132" s="3079">
        <f t="shared" si="1"/>
        <v>164.0588112573775</v>
      </c>
    </row>
    <row r="133" spans="1:9" ht="12.75" customHeight="1">
      <c r="A133" s="398" t="s">
        <v>484</v>
      </c>
      <c r="B133" s="615">
        <v>164.550117</v>
      </c>
      <c r="C133" s="3535">
        <v>152.777635</v>
      </c>
      <c r="D133" s="2296">
        <v>107.70563199999999</v>
      </c>
      <c r="E133" s="1267">
        <v>251.293757</v>
      </c>
      <c r="F133" s="3535">
        <v>113.08951999999999</v>
      </c>
      <c r="G133" s="2296">
        <v>222.207821</v>
      </c>
      <c r="H133" s="1267">
        <v>135.094424</v>
      </c>
      <c r="I133" s="3079">
        <f t="shared" si="1"/>
        <v>145.50430225541677</v>
      </c>
    </row>
    <row r="134" spans="1:9" ht="12.75" customHeight="1">
      <c r="A134" s="398" t="s">
        <v>485</v>
      </c>
      <c r="B134" s="615">
        <v>147.55752100000001</v>
      </c>
      <c r="C134" s="3535">
        <v>151.92221899999998</v>
      </c>
      <c r="D134" s="2296">
        <v>97.127017999999993</v>
      </c>
      <c r="E134" s="1267">
        <v>248.35987699999998</v>
      </c>
      <c r="F134" s="3535">
        <v>116.36561499999999</v>
      </c>
      <c r="G134" s="2296">
        <v>213.43064000000001</v>
      </c>
      <c r="H134" s="1267">
        <v>130.555937</v>
      </c>
      <c r="I134" s="3079">
        <f t="shared" si="1"/>
        <v>126.80508842753937</v>
      </c>
    </row>
    <row r="135" spans="1:9" ht="12.75" customHeight="1">
      <c r="A135" s="398" t="s">
        <v>486</v>
      </c>
      <c r="B135" s="615">
        <v>179.52820199999999</v>
      </c>
      <c r="C135" s="3535">
        <v>151.97879499999999</v>
      </c>
      <c r="D135" s="2296">
        <v>118.127138</v>
      </c>
      <c r="E135" s="1267">
        <v>301.81080800000001</v>
      </c>
      <c r="F135" s="3535">
        <v>119.704117</v>
      </c>
      <c r="G135" s="2296">
        <v>252.130683</v>
      </c>
      <c r="H135" s="1267">
        <v>126.962046</v>
      </c>
      <c r="I135" s="3079">
        <f t="shared" si="1"/>
        <v>149.9766311295709</v>
      </c>
    </row>
    <row r="136" spans="1:9" ht="12.75" customHeight="1">
      <c r="A136" s="398" t="s">
        <v>487</v>
      </c>
      <c r="B136" s="615">
        <v>183.30425400000001</v>
      </c>
      <c r="C136" s="3535">
        <v>149.23845799999998</v>
      </c>
      <c r="D136" s="2296">
        <v>122.826419</v>
      </c>
      <c r="E136" s="1267">
        <v>326.62216100000001</v>
      </c>
      <c r="F136" s="3535">
        <v>116.565352</v>
      </c>
      <c r="G136" s="2296">
        <v>280.20518500000003</v>
      </c>
      <c r="H136" s="1267">
        <v>128.02986100000001</v>
      </c>
      <c r="I136" s="3079">
        <f t="shared" si="1"/>
        <v>157.25449359943596</v>
      </c>
    </row>
    <row r="137" spans="1:9" ht="12.75" customHeight="1">
      <c r="A137" s="398" t="s">
        <v>488</v>
      </c>
      <c r="B137" s="615">
        <v>168.05964499999999</v>
      </c>
      <c r="C137" s="3535">
        <v>155.27035899999998</v>
      </c>
      <c r="D137" s="2296">
        <v>108.236785</v>
      </c>
      <c r="E137" s="1267">
        <v>316.11863599999998</v>
      </c>
      <c r="F137" s="3535">
        <v>114.462757</v>
      </c>
      <c r="G137" s="2296">
        <v>276.17597499999999</v>
      </c>
      <c r="H137" s="1267">
        <v>135.65142299999999</v>
      </c>
      <c r="I137" s="3079">
        <f t="shared" si="1"/>
        <v>146.82473968366844</v>
      </c>
    </row>
    <row r="138" spans="1:9" ht="12.75" customHeight="1">
      <c r="A138" s="398" t="s">
        <v>489</v>
      </c>
      <c r="B138" s="615">
        <v>168.10771799999998</v>
      </c>
      <c r="C138" s="3535">
        <v>159.929115</v>
      </c>
      <c r="D138" s="2296">
        <v>105.113893</v>
      </c>
      <c r="E138" s="1267">
        <v>301.50112100000001</v>
      </c>
      <c r="F138" s="3535">
        <v>120.09186199999999</v>
      </c>
      <c r="G138" s="2296">
        <v>251.05874499999999</v>
      </c>
      <c r="H138" s="1267">
        <v>133.17231699999999</v>
      </c>
      <c r="I138" s="3079">
        <f t="shared" si="1"/>
        <v>139.98260598207727</v>
      </c>
    </row>
    <row r="139" spans="1:9" ht="12.75" customHeight="1">
      <c r="A139" s="398" t="s">
        <v>490</v>
      </c>
      <c r="B139" s="615">
        <v>179.46473499999999</v>
      </c>
      <c r="C139" s="3535">
        <v>169.35917899999998</v>
      </c>
      <c r="D139" s="2296">
        <v>105.966937</v>
      </c>
      <c r="E139" s="1267">
        <v>321.04039399999999</v>
      </c>
      <c r="F139" s="3535">
        <v>123.322419</v>
      </c>
      <c r="G139" s="2296">
        <v>260.32605999999998</v>
      </c>
      <c r="H139" s="1267">
        <v>137.33040700000001</v>
      </c>
      <c r="I139" s="3079">
        <f t="shared" si="1"/>
        <v>145.52482545772963</v>
      </c>
    </row>
    <row r="140" spans="1:9" ht="12.75" customHeight="1">
      <c r="A140" s="398" t="s">
        <v>491</v>
      </c>
      <c r="B140" s="615">
        <v>181.09174200000001</v>
      </c>
      <c r="C140" s="3535">
        <v>160.69407200000001</v>
      </c>
      <c r="D140" s="2296">
        <v>112.69347999999999</v>
      </c>
      <c r="E140" s="1267">
        <v>306.463641</v>
      </c>
      <c r="F140" s="3535">
        <v>123.825655</v>
      </c>
      <c r="G140" s="2296">
        <v>247.49607900000001</v>
      </c>
      <c r="H140" s="1267">
        <v>129.77445800000001</v>
      </c>
      <c r="I140" s="3079">
        <f t="shared" ref="I140:I169" si="2">B140/F140*100</f>
        <v>146.24735237620993</v>
      </c>
    </row>
    <row r="141" spans="1:9" ht="12.75" customHeight="1">
      <c r="A141" s="398" t="s">
        <v>492</v>
      </c>
      <c r="B141" s="615">
        <v>186.07440299999999</v>
      </c>
      <c r="C141" s="3535">
        <v>153.494381</v>
      </c>
      <c r="D141" s="2296">
        <v>121.22554700000001</v>
      </c>
      <c r="E141" s="1267">
        <v>237.97178199999999</v>
      </c>
      <c r="F141" s="3535">
        <v>121.144414</v>
      </c>
      <c r="G141" s="2296">
        <v>196.43644599999999</v>
      </c>
      <c r="H141" s="1267">
        <v>126.703638</v>
      </c>
      <c r="I141" s="3079">
        <f t="shared" si="2"/>
        <v>153.5971794787005</v>
      </c>
    </row>
    <row r="142" spans="1:9" ht="12.75" customHeight="1">
      <c r="A142" s="398" t="s">
        <v>493</v>
      </c>
      <c r="B142" s="615">
        <v>163.92326399999999</v>
      </c>
      <c r="C142" s="3535">
        <v>153.83475799999999</v>
      </c>
      <c r="D142" s="2296">
        <v>106.558015</v>
      </c>
      <c r="E142" s="1267">
        <v>216.81273300000001</v>
      </c>
      <c r="F142" s="3535">
        <v>119.182467</v>
      </c>
      <c r="G142" s="2296">
        <v>181.91663499999999</v>
      </c>
      <c r="H142" s="1267">
        <v>129.07499100000001</v>
      </c>
      <c r="I142" s="3079">
        <f t="shared" si="2"/>
        <v>137.53974735226785</v>
      </c>
    </row>
    <row r="143" spans="1:9" ht="12.75" customHeight="1">
      <c r="A143" s="398" t="s">
        <v>494</v>
      </c>
      <c r="B143" s="615">
        <v>192.273696</v>
      </c>
      <c r="C143" s="3535">
        <v>151.721464</v>
      </c>
      <c r="D143" s="2296">
        <v>126.728078</v>
      </c>
      <c r="E143" s="1267">
        <v>231.46891199999999</v>
      </c>
      <c r="F143" s="3535">
        <v>117.255427</v>
      </c>
      <c r="G143" s="2296">
        <v>197.40571299999999</v>
      </c>
      <c r="H143" s="1267">
        <v>129.39398</v>
      </c>
      <c r="I143" s="3079">
        <f t="shared" si="2"/>
        <v>163.97850480728709</v>
      </c>
    </row>
    <row r="144" spans="1:9" ht="12.75" customHeight="1">
      <c r="A144" s="398" t="s">
        <v>495</v>
      </c>
      <c r="B144" s="615">
        <v>198.63398100000001</v>
      </c>
      <c r="C144" s="3535">
        <v>149.35465199999999</v>
      </c>
      <c r="D144" s="2296">
        <v>132.99484000000001</v>
      </c>
      <c r="E144" s="1267">
        <v>237.15156100000002</v>
      </c>
      <c r="F144" s="3535">
        <v>114.054642</v>
      </c>
      <c r="G144" s="2296">
        <v>207.928022</v>
      </c>
      <c r="H144" s="1267">
        <v>130.950086</v>
      </c>
      <c r="I144" s="3079">
        <f t="shared" si="2"/>
        <v>174.15685807860413</v>
      </c>
    </row>
    <row r="145" spans="1:9" ht="12.75" customHeight="1">
      <c r="A145" s="398" t="s">
        <v>496</v>
      </c>
      <c r="B145" s="615">
        <v>197.535504</v>
      </c>
      <c r="C145" s="3535">
        <v>149.31657100000001</v>
      </c>
      <c r="D145" s="2296">
        <v>132.29308900000001</v>
      </c>
      <c r="E145" s="1267">
        <v>190.029732</v>
      </c>
      <c r="F145" s="3535">
        <v>111.85278700000001</v>
      </c>
      <c r="G145" s="2296">
        <v>169.89270999999999</v>
      </c>
      <c r="H145" s="1267">
        <v>133.493831</v>
      </c>
      <c r="I145" s="3079">
        <f t="shared" si="2"/>
        <v>176.603113161588</v>
      </c>
    </row>
    <row r="146" spans="1:9" ht="12.75" customHeight="1">
      <c r="A146" s="398" t="s">
        <v>497</v>
      </c>
      <c r="B146" s="615">
        <v>154.329329</v>
      </c>
      <c r="C146" s="3535">
        <v>150.838076</v>
      </c>
      <c r="D146" s="2296">
        <v>102.31457</v>
      </c>
      <c r="E146" s="1267">
        <v>176.08771899999999</v>
      </c>
      <c r="F146" s="3535">
        <v>114.72090299999999</v>
      </c>
      <c r="G146" s="2296">
        <v>153.49227099999999</v>
      </c>
      <c r="H146" s="1267">
        <v>131.482643</v>
      </c>
      <c r="I146" s="3079">
        <f t="shared" si="2"/>
        <v>134.52590152642017</v>
      </c>
    </row>
    <row r="147" spans="1:9" ht="12.75" customHeight="1">
      <c r="A147" s="398" t="s">
        <v>498</v>
      </c>
      <c r="B147" s="615">
        <v>164.42724900000002</v>
      </c>
      <c r="C147" s="3535">
        <v>140.470834</v>
      </c>
      <c r="D147" s="2296">
        <v>117.05437000000001</v>
      </c>
      <c r="E147" s="1267">
        <v>166.79950500000001</v>
      </c>
      <c r="F147" s="3535">
        <v>111.784153</v>
      </c>
      <c r="G147" s="2296">
        <v>149.215699</v>
      </c>
      <c r="H147" s="1267">
        <v>125.662564</v>
      </c>
      <c r="I147" s="3079">
        <f t="shared" si="2"/>
        <v>147.09352317586556</v>
      </c>
    </row>
    <row r="148" spans="1:9" ht="12.75" customHeight="1">
      <c r="A148" s="398" t="s">
        <v>499</v>
      </c>
      <c r="B148" s="615">
        <v>169.045389</v>
      </c>
      <c r="C148" s="3535">
        <v>144.21149600000001</v>
      </c>
      <c r="D148" s="2296">
        <v>117.220467</v>
      </c>
      <c r="E148" s="1267">
        <v>197.60050999999999</v>
      </c>
      <c r="F148" s="3535">
        <v>109.927216</v>
      </c>
      <c r="G148" s="2296">
        <v>179.75576599999999</v>
      </c>
      <c r="H148" s="1267">
        <v>131.188163</v>
      </c>
      <c r="I148" s="3079">
        <f t="shared" si="2"/>
        <v>153.77937798406538</v>
      </c>
    </row>
    <row r="149" spans="1:9" ht="12.75" customHeight="1">
      <c r="A149" s="398" t="s">
        <v>500</v>
      </c>
      <c r="B149" s="615">
        <v>147.10154600000001</v>
      </c>
      <c r="C149" s="3535">
        <v>151.77972399999999</v>
      </c>
      <c r="D149" s="2296">
        <v>96.917784999999995</v>
      </c>
      <c r="E149" s="1267">
        <v>214.337052</v>
      </c>
      <c r="F149" s="3535">
        <v>110.442745</v>
      </c>
      <c r="G149" s="2296">
        <v>194.07074</v>
      </c>
      <c r="H149" s="1267">
        <v>137.42842400000001</v>
      </c>
      <c r="I149" s="3079">
        <f t="shared" si="2"/>
        <v>133.19258408508409</v>
      </c>
    </row>
    <row r="150" spans="1:9" ht="12.75" customHeight="1">
      <c r="A150" s="398" t="s">
        <v>501</v>
      </c>
      <c r="B150" s="615">
        <v>178.240587</v>
      </c>
      <c r="C150" s="3535">
        <v>170.27346799999998</v>
      </c>
      <c r="D150" s="2296">
        <v>104.679014</v>
      </c>
      <c r="E150" s="1267">
        <v>229.47175999999999</v>
      </c>
      <c r="F150" s="3535">
        <v>115.846199</v>
      </c>
      <c r="G150" s="2296">
        <v>198.08311599999999</v>
      </c>
      <c r="H150" s="1267">
        <v>146.98235199999999</v>
      </c>
      <c r="I150" s="3079">
        <f t="shared" si="2"/>
        <v>153.85967648364536</v>
      </c>
    </row>
    <row r="151" spans="1:9" ht="12.75" customHeight="1">
      <c r="A151" s="398" t="s">
        <v>502</v>
      </c>
      <c r="B151" s="615">
        <v>230.97752700000001</v>
      </c>
      <c r="C151" s="3535">
        <v>183.97788500000001</v>
      </c>
      <c r="D151" s="2296">
        <v>125.54635399999999</v>
      </c>
      <c r="E151" s="1267">
        <v>280.19413099999997</v>
      </c>
      <c r="F151" s="3535">
        <v>128.03014899999999</v>
      </c>
      <c r="G151" s="2296">
        <v>218.85011700000001</v>
      </c>
      <c r="H151" s="1267">
        <v>143.69887599999998</v>
      </c>
      <c r="I151" s="3079">
        <f t="shared" si="2"/>
        <v>180.40869967276225</v>
      </c>
    </row>
    <row r="152" spans="1:9" ht="12.75" customHeight="1">
      <c r="A152" s="398" t="s">
        <v>503</v>
      </c>
      <c r="B152" s="615">
        <v>265.16808200000003</v>
      </c>
      <c r="C152" s="3535">
        <v>188.93883399999999</v>
      </c>
      <c r="D152" s="2296">
        <v>140.34599299999999</v>
      </c>
      <c r="E152" s="1267">
        <v>309.28129799999999</v>
      </c>
      <c r="F152" s="3535">
        <v>133.652308</v>
      </c>
      <c r="G152" s="2296">
        <v>231.407376</v>
      </c>
      <c r="H152" s="1267">
        <v>141.36593500000001</v>
      </c>
      <c r="I152" s="3079">
        <f t="shared" si="2"/>
        <v>198.40142378985331</v>
      </c>
    </row>
    <row r="153" spans="1:9" ht="12.75" customHeight="1">
      <c r="A153" s="398" t="s">
        <v>504</v>
      </c>
      <c r="B153" s="615">
        <v>227.15048100000001</v>
      </c>
      <c r="C153" s="3535">
        <v>191.34169600000001</v>
      </c>
      <c r="D153" s="2296">
        <v>118.8</v>
      </c>
      <c r="E153" s="1267">
        <v>307.05791299999999</v>
      </c>
      <c r="F153" s="3535">
        <v>132.64962399999999</v>
      </c>
      <c r="G153" s="2296">
        <v>231.48042599999999</v>
      </c>
      <c r="H153" s="1267">
        <v>144.24593999999999</v>
      </c>
      <c r="I153" s="3079">
        <f t="shared" si="2"/>
        <v>171.24095353636287</v>
      </c>
    </row>
    <row r="154" spans="1:9" ht="12.75" customHeight="1">
      <c r="A154" s="398" t="s">
        <v>505</v>
      </c>
      <c r="B154" s="615">
        <v>225.78888799999999</v>
      </c>
      <c r="C154" s="3535">
        <v>209.36363800000001</v>
      </c>
      <c r="D154" s="2296">
        <v>107.845321</v>
      </c>
      <c r="E154" s="1267">
        <v>320.31402300000002</v>
      </c>
      <c r="F154" s="3535">
        <v>137.48791299999999</v>
      </c>
      <c r="G154" s="2296">
        <v>232.976133</v>
      </c>
      <c r="H154" s="1267">
        <v>152.27785</v>
      </c>
      <c r="I154" s="3079">
        <f t="shared" si="2"/>
        <v>164.22453659617338</v>
      </c>
    </row>
    <row r="155" spans="1:9" ht="12.75" customHeight="1">
      <c r="A155" s="398" t="s">
        <v>506</v>
      </c>
      <c r="B155" s="615">
        <v>291.34731499999998</v>
      </c>
      <c r="C155" s="3535">
        <v>224.64211699999998</v>
      </c>
      <c r="D155" s="2296">
        <v>129.693985</v>
      </c>
      <c r="E155" s="1267">
        <v>417.86036200000001</v>
      </c>
      <c r="F155" s="3535">
        <v>161.26671099999999</v>
      </c>
      <c r="G155" s="2296">
        <v>259.111356</v>
      </c>
      <c r="H155" s="1267">
        <v>139.29850500000001</v>
      </c>
      <c r="I155" s="3079">
        <f t="shared" si="2"/>
        <v>180.66178270356119</v>
      </c>
    </row>
    <row r="156" spans="1:9" ht="12.75" customHeight="1">
      <c r="A156" s="398" t="s">
        <v>507</v>
      </c>
      <c r="B156" s="615">
        <v>262.99901499999999</v>
      </c>
      <c r="C156" s="3535">
        <v>211.37519399999999</v>
      </c>
      <c r="D156" s="2296">
        <v>124.422838</v>
      </c>
      <c r="E156" s="1267">
        <v>416.36282999999997</v>
      </c>
      <c r="F156" s="3535">
        <v>159.07888600000001</v>
      </c>
      <c r="G156" s="2296">
        <v>261.73355900000001</v>
      </c>
      <c r="H156" s="1267">
        <v>132.874449</v>
      </c>
      <c r="I156" s="3079">
        <f t="shared" si="2"/>
        <v>165.32616088347513</v>
      </c>
    </row>
    <row r="157" spans="1:9" ht="12.75" customHeight="1">
      <c r="A157" s="398" t="s">
        <v>508</v>
      </c>
      <c r="B157" s="615">
        <v>246.051267</v>
      </c>
      <c r="C157" s="3535">
        <v>208.81756899999999</v>
      </c>
      <c r="D157" s="2296">
        <v>117.830731</v>
      </c>
      <c r="E157" s="1267">
        <v>302.16764699999999</v>
      </c>
      <c r="F157" s="3535">
        <v>137.49935600000001</v>
      </c>
      <c r="G157" s="2296">
        <v>219.75931700000001</v>
      </c>
      <c r="H157" s="1267">
        <v>151.86803399999999</v>
      </c>
      <c r="I157" s="3079">
        <f t="shared" si="2"/>
        <v>178.94721412367923</v>
      </c>
    </row>
    <row r="158" spans="1:9" ht="12.75" customHeight="1">
      <c r="A158" s="398" t="s">
        <v>509</v>
      </c>
      <c r="B158" s="615">
        <v>184.66700700000001</v>
      </c>
      <c r="C158" s="3535">
        <v>203.27388500000001</v>
      </c>
      <c r="D158" s="2296">
        <v>90.846400000000003</v>
      </c>
      <c r="E158" s="1267">
        <v>307.26145600000001</v>
      </c>
      <c r="F158" s="3535">
        <v>142.608631</v>
      </c>
      <c r="G158" s="2296">
        <v>215.45782600000001</v>
      </c>
      <c r="H158" s="1267">
        <v>142.53967900000001</v>
      </c>
      <c r="I158" s="3079">
        <f t="shared" si="2"/>
        <v>129.49216727282095</v>
      </c>
    </row>
    <row r="159" spans="1:9" ht="12.75" customHeight="1">
      <c r="A159" s="398" t="s">
        <v>510</v>
      </c>
      <c r="B159" s="615">
        <v>203.40650500000001</v>
      </c>
      <c r="C159" s="3535">
        <v>197.410302</v>
      </c>
      <c r="D159" s="2296">
        <v>103.037431</v>
      </c>
      <c r="E159" s="1267">
        <v>370.11708299999998</v>
      </c>
      <c r="F159" s="3535">
        <v>148.92480599999999</v>
      </c>
      <c r="G159" s="2296">
        <v>248.52614699999998</v>
      </c>
      <c r="H159" s="1267">
        <v>132.55703099999999</v>
      </c>
      <c r="I159" s="3079">
        <f t="shared" si="2"/>
        <v>136.58336073306688</v>
      </c>
    </row>
    <row r="160" spans="1:9" ht="12.75" customHeight="1">
      <c r="A160" s="398" t="s">
        <v>511</v>
      </c>
      <c r="B160" s="615">
        <v>205.90285700000001</v>
      </c>
      <c r="C160" s="3535">
        <v>187.983127</v>
      </c>
      <c r="D160" s="2296">
        <v>109.53262700000001</v>
      </c>
      <c r="E160" s="1267">
        <v>359.585172</v>
      </c>
      <c r="F160" s="3535">
        <v>137.365475</v>
      </c>
      <c r="G160" s="2296">
        <v>261.77259700000002</v>
      </c>
      <c r="H160" s="1267">
        <v>136.84888899999999</v>
      </c>
      <c r="I160" s="3079">
        <f t="shared" si="2"/>
        <v>149.89418338195969</v>
      </c>
    </row>
    <row r="161" spans="1:9" ht="12.75" customHeight="1">
      <c r="A161" s="398" t="s">
        <v>512</v>
      </c>
      <c r="B161" s="615">
        <v>180.99194499999999</v>
      </c>
      <c r="C161" s="3535">
        <v>186.37149399999998</v>
      </c>
      <c r="D161" s="2296">
        <v>97.113534999999999</v>
      </c>
      <c r="E161" s="1267">
        <v>278.69744500000002</v>
      </c>
      <c r="F161" s="3535">
        <v>132.79794200000001</v>
      </c>
      <c r="G161" s="2296">
        <v>209.86578600000001</v>
      </c>
      <c r="H161" s="1267">
        <v>140.34215499999999</v>
      </c>
      <c r="I161" s="3079">
        <f t="shared" si="2"/>
        <v>136.291227314351</v>
      </c>
    </row>
    <row r="162" spans="1:9" ht="12.75" customHeight="1">
      <c r="A162" s="398" t="s">
        <v>513</v>
      </c>
      <c r="B162" s="615">
        <v>201.92684299999999</v>
      </c>
      <c r="C162" s="3535">
        <v>186.66241300000002</v>
      </c>
      <c r="D162" s="2296">
        <v>108.17756</v>
      </c>
      <c r="E162" s="1267">
        <v>232.629436</v>
      </c>
      <c r="F162" s="3535">
        <v>134.88242700000001</v>
      </c>
      <c r="G162" s="2296">
        <v>172.46830499999999</v>
      </c>
      <c r="H162" s="1267">
        <v>138.38897900000001</v>
      </c>
      <c r="I162" s="3079">
        <f t="shared" si="2"/>
        <v>149.70581972105231</v>
      </c>
    </row>
    <row r="163" spans="1:9" ht="12.75" customHeight="1">
      <c r="A163" s="398" t="s">
        <v>514</v>
      </c>
      <c r="B163" s="615">
        <v>239.995554</v>
      </c>
      <c r="C163" s="3535">
        <v>183.49620499999997</v>
      </c>
      <c r="D163" s="2296">
        <v>130.79047199999999</v>
      </c>
      <c r="E163" s="1267">
        <v>256.696934</v>
      </c>
      <c r="F163" s="3535">
        <v>141.47638699999999</v>
      </c>
      <c r="G163" s="2296">
        <v>181.44153899999998</v>
      </c>
      <c r="H163" s="1267">
        <v>129.700941</v>
      </c>
      <c r="I163" s="3079">
        <f>B163/F163*100</f>
        <v>169.6364736823538</v>
      </c>
    </row>
    <row r="164" spans="1:9" ht="12.75" customHeight="1">
      <c r="A164" s="398" t="s">
        <v>515</v>
      </c>
      <c r="B164" s="615">
        <v>241.74708899999999</v>
      </c>
      <c r="C164" s="3535">
        <v>178.130878</v>
      </c>
      <c r="D164" s="2296">
        <v>135.71318500000001</v>
      </c>
      <c r="E164" s="1267">
        <v>295.49113399999999</v>
      </c>
      <c r="F164" s="3535">
        <v>135.66286099999999</v>
      </c>
      <c r="G164" s="2296">
        <v>217.81284299999999</v>
      </c>
      <c r="H164" s="1267">
        <v>131.30408499999999</v>
      </c>
      <c r="I164" s="3079">
        <f t="shared" si="2"/>
        <v>178.19695620306874</v>
      </c>
    </row>
    <row r="165" spans="1:9" ht="12.75" customHeight="1">
      <c r="A165" s="398" t="s">
        <v>516</v>
      </c>
      <c r="B165" s="615">
        <v>238.40155199999998</v>
      </c>
      <c r="C165" s="3535">
        <v>181.69631699999999</v>
      </c>
      <c r="D165" s="2296">
        <v>131.208797</v>
      </c>
      <c r="E165" s="1267">
        <v>298.27110700000003</v>
      </c>
      <c r="F165" s="3535">
        <v>127.851135</v>
      </c>
      <c r="G165" s="2296">
        <v>233.295626</v>
      </c>
      <c r="H165" s="1267">
        <v>142.11552899999998</v>
      </c>
      <c r="I165" s="3079">
        <f t="shared" si="2"/>
        <v>186.4680763295531</v>
      </c>
    </row>
    <row r="166" spans="1:9" ht="12.75" customHeight="1">
      <c r="A166" s="398" t="s">
        <v>517</v>
      </c>
      <c r="B166" s="615">
        <v>216.30082200000001</v>
      </c>
      <c r="C166" s="3535">
        <v>185.46873299999999</v>
      </c>
      <c r="D166" s="2296">
        <v>116.623874</v>
      </c>
      <c r="E166" s="1267">
        <v>314.29119400000002</v>
      </c>
      <c r="F166" s="3535">
        <v>125.188975</v>
      </c>
      <c r="G166" s="2296">
        <v>251.05341300000001</v>
      </c>
      <c r="H166" s="1267">
        <v>148.15101300000001</v>
      </c>
      <c r="I166" s="3079">
        <f t="shared" si="2"/>
        <v>172.7794496280523</v>
      </c>
    </row>
    <row r="167" spans="1:9" ht="12.75" customHeight="1">
      <c r="A167" s="398" t="s">
        <v>518</v>
      </c>
      <c r="B167" s="615">
        <v>243.46293800000001</v>
      </c>
      <c r="C167" s="3535">
        <v>181.68732599999998</v>
      </c>
      <c r="D167" s="2296">
        <v>134.001057</v>
      </c>
      <c r="E167" s="1267">
        <v>344.728836</v>
      </c>
      <c r="F167" s="3535">
        <v>131.49980500000001</v>
      </c>
      <c r="G167" s="2296">
        <v>262.15159399999999</v>
      </c>
      <c r="H167" s="1267">
        <v>138.16547199999999</v>
      </c>
      <c r="I167" s="3079">
        <f t="shared" si="2"/>
        <v>185.14319317811916</v>
      </c>
    </row>
    <row r="168" spans="1:9" ht="12.75" customHeight="1">
      <c r="A168" s="398" t="s">
        <v>519</v>
      </c>
      <c r="B168" s="615">
        <v>275.24217199999998</v>
      </c>
      <c r="C168" s="3535">
        <v>179.48002600000001</v>
      </c>
      <c r="D168" s="2296">
        <v>153.355322</v>
      </c>
      <c r="E168" s="1267">
        <v>365.46703000000002</v>
      </c>
      <c r="F168" s="3535">
        <v>130.020354</v>
      </c>
      <c r="G168" s="2296">
        <v>281.084475</v>
      </c>
      <c r="H168" s="1267">
        <v>138.03994499999999</v>
      </c>
      <c r="I168" s="3079">
        <f t="shared" si="2"/>
        <v>211.69160330081857</v>
      </c>
    </row>
    <row r="169" spans="1:9" ht="12.75" customHeight="1">
      <c r="A169" s="398" t="s">
        <v>520</v>
      </c>
      <c r="B169" s="615">
        <v>272.37069600000001</v>
      </c>
      <c r="C169" s="3535">
        <v>178.87347799999998</v>
      </c>
      <c r="D169" s="2296">
        <v>152.27002899999999</v>
      </c>
      <c r="E169" s="1267">
        <v>326.19539199999997</v>
      </c>
      <c r="F169" s="3535">
        <v>127.149952</v>
      </c>
      <c r="G169" s="2296">
        <v>256.543858</v>
      </c>
      <c r="H169" s="1267">
        <v>140.67915500000001</v>
      </c>
      <c r="I169" s="3079">
        <f t="shared" si="2"/>
        <v>214.21218939980409</v>
      </c>
    </row>
    <row r="170" spans="1:9" ht="12.75" customHeight="1">
      <c r="A170" s="398" t="s">
        <v>521</v>
      </c>
      <c r="B170" s="615" t="e">
        <v>#N/A</v>
      </c>
      <c r="C170" s="3535" t="e">
        <v>#N/A</v>
      </c>
      <c r="D170" s="2296" t="e">
        <v>#N/A</v>
      </c>
      <c r="E170" s="1267" t="e">
        <v>#N/A</v>
      </c>
      <c r="F170" s="3535" t="e">
        <v>#N/A</v>
      </c>
      <c r="G170" s="2296" t="e">
        <v>#N/A</v>
      </c>
      <c r="H170" s="1267" t="e">
        <v>#N/A</v>
      </c>
      <c r="I170" s="3079" t="e">
        <f t="shared" ref="I170:I189" si="3">B170/F170*100</f>
        <v>#N/A</v>
      </c>
    </row>
    <row r="171" spans="1:9" ht="12.75" customHeight="1">
      <c r="A171" s="398" t="s">
        <v>522</v>
      </c>
      <c r="B171" s="615" t="e">
        <v>#N/A</v>
      </c>
      <c r="C171" s="3535" t="e">
        <v>#N/A</v>
      </c>
      <c r="D171" s="2296" t="e">
        <v>#N/A</v>
      </c>
      <c r="E171" s="1267" t="e">
        <v>#N/A</v>
      </c>
      <c r="F171" s="3535" t="e">
        <v>#N/A</v>
      </c>
      <c r="G171" s="2296" t="e">
        <v>#N/A</v>
      </c>
      <c r="H171" s="1267" t="e">
        <v>#N/A</v>
      </c>
      <c r="I171" s="3079" t="e">
        <f t="shared" si="3"/>
        <v>#N/A</v>
      </c>
    </row>
    <row r="172" spans="1:9" ht="12.75" customHeight="1">
      <c r="A172" s="398" t="s">
        <v>523</v>
      </c>
      <c r="B172" s="615" t="e">
        <v>#N/A</v>
      </c>
      <c r="C172" s="3535" t="e">
        <v>#N/A</v>
      </c>
      <c r="D172" s="2296" t="e">
        <v>#N/A</v>
      </c>
      <c r="E172" s="1267" t="e">
        <v>#N/A</v>
      </c>
      <c r="F172" s="3535" t="e">
        <v>#N/A</v>
      </c>
      <c r="G172" s="2296" t="e">
        <v>#N/A</v>
      </c>
      <c r="H172" s="1267" t="e">
        <v>#N/A</v>
      </c>
      <c r="I172" s="3079" t="e">
        <f t="shared" si="3"/>
        <v>#N/A</v>
      </c>
    </row>
    <row r="173" spans="1:9" ht="12.75" customHeight="1">
      <c r="A173" s="398" t="s">
        <v>524</v>
      </c>
      <c r="B173" s="615" t="e">
        <v>#N/A</v>
      </c>
      <c r="C173" s="3535" t="e">
        <v>#N/A</v>
      </c>
      <c r="D173" s="2296" t="e">
        <v>#N/A</v>
      </c>
      <c r="E173" s="1267" t="e">
        <v>#N/A</v>
      </c>
      <c r="F173" s="3535" t="e">
        <v>#N/A</v>
      </c>
      <c r="G173" s="2296" t="e">
        <v>#N/A</v>
      </c>
      <c r="H173" s="1267" t="e">
        <v>#N/A</v>
      </c>
      <c r="I173" s="3079" t="e">
        <f t="shared" si="3"/>
        <v>#N/A</v>
      </c>
    </row>
    <row r="174" spans="1:9" ht="12.75" customHeight="1">
      <c r="A174" s="398" t="s">
        <v>525</v>
      </c>
      <c r="B174" s="615" t="e">
        <v>#N/A</v>
      </c>
      <c r="C174" s="3535" t="e">
        <v>#N/A</v>
      </c>
      <c r="D174" s="2296" t="e">
        <v>#N/A</v>
      </c>
      <c r="E174" s="1267" t="e">
        <v>#N/A</v>
      </c>
      <c r="F174" s="3535" t="e">
        <v>#N/A</v>
      </c>
      <c r="G174" s="2296" t="e">
        <v>#N/A</v>
      </c>
      <c r="H174" s="1267" t="e">
        <v>#N/A</v>
      </c>
      <c r="I174" s="3079" t="e">
        <f t="shared" si="3"/>
        <v>#N/A</v>
      </c>
    </row>
    <row r="175" spans="1:9" ht="12.75" customHeight="1">
      <c r="A175" s="398" t="s">
        <v>526</v>
      </c>
      <c r="B175" s="615" t="e">
        <v>#N/A</v>
      </c>
      <c r="C175" s="3535" t="e">
        <v>#N/A</v>
      </c>
      <c r="D175" s="2296" t="e">
        <v>#N/A</v>
      </c>
      <c r="E175" s="1267" t="e">
        <v>#N/A</v>
      </c>
      <c r="F175" s="3535" t="e">
        <v>#N/A</v>
      </c>
      <c r="G175" s="2296" t="e">
        <v>#N/A</v>
      </c>
      <c r="H175" s="1267" t="e">
        <v>#N/A</v>
      </c>
      <c r="I175" s="3079" t="e">
        <f t="shared" si="3"/>
        <v>#N/A</v>
      </c>
    </row>
    <row r="176" spans="1:9" ht="12.75" customHeight="1">
      <c r="A176" s="398" t="s">
        <v>527</v>
      </c>
      <c r="B176" s="615" t="e">
        <v>#N/A</v>
      </c>
      <c r="C176" s="3535" t="e">
        <v>#N/A</v>
      </c>
      <c r="D176" s="2296" t="e">
        <v>#N/A</v>
      </c>
      <c r="E176" s="1267" t="e">
        <v>#N/A</v>
      </c>
      <c r="F176" s="3535" t="e">
        <v>#N/A</v>
      </c>
      <c r="G176" s="2296" t="e">
        <v>#N/A</v>
      </c>
      <c r="H176" s="1267" t="e">
        <v>#N/A</v>
      </c>
      <c r="I176" s="3079" t="e">
        <f t="shared" si="3"/>
        <v>#N/A</v>
      </c>
    </row>
    <row r="177" spans="1:9" ht="12.75" customHeight="1">
      <c r="A177" s="398" t="s">
        <v>528</v>
      </c>
      <c r="B177" s="615" t="e">
        <v>#N/A</v>
      </c>
      <c r="C177" s="3535" t="e">
        <v>#N/A</v>
      </c>
      <c r="D177" s="2296" t="e">
        <v>#N/A</v>
      </c>
      <c r="E177" s="1267" t="e">
        <v>#N/A</v>
      </c>
      <c r="F177" s="3535" t="e">
        <v>#N/A</v>
      </c>
      <c r="G177" s="2296" t="e">
        <v>#N/A</v>
      </c>
      <c r="H177" s="1267" t="e">
        <v>#N/A</v>
      </c>
      <c r="I177" s="3079" t="e">
        <f t="shared" si="3"/>
        <v>#N/A</v>
      </c>
    </row>
    <row r="178" spans="1:9" ht="12.75" customHeight="1">
      <c r="A178" s="398" t="s">
        <v>529</v>
      </c>
      <c r="B178" s="615" t="e">
        <v>#N/A</v>
      </c>
      <c r="C178" s="3535" t="e">
        <v>#N/A</v>
      </c>
      <c r="D178" s="2296" t="e">
        <v>#N/A</v>
      </c>
      <c r="E178" s="1267" t="e">
        <v>#N/A</v>
      </c>
      <c r="F178" s="3535" t="e">
        <v>#N/A</v>
      </c>
      <c r="G178" s="2296" t="e">
        <v>#N/A</v>
      </c>
      <c r="H178" s="1267" t="e">
        <v>#N/A</v>
      </c>
      <c r="I178" s="3079" t="e">
        <f t="shared" si="3"/>
        <v>#N/A</v>
      </c>
    </row>
    <row r="179" spans="1:9" ht="12.75" customHeight="1">
      <c r="A179" s="398" t="s">
        <v>530</v>
      </c>
      <c r="B179" s="615" t="e">
        <v>#N/A</v>
      </c>
      <c r="C179" s="3535" t="e">
        <v>#N/A</v>
      </c>
      <c r="D179" s="2296" t="e">
        <v>#N/A</v>
      </c>
      <c r="E179" s="1267" t="e">
        <v>#N/A</v>
      </c>
      <c r="F179" s="3535" t="e">
        <v>#N/A</v>
      </c>
      <c r="G179" s="2296" t="e">
        <v>#N/A</v>
      </c>
      <c r="H179" s="1267" t="e">
        <v>#N/A</v>
      </c>
      <c r="I179" s="3079" t="e">
        <f t="shared" si="3"/>
        <v>#N/A</v>
      </c>
    </row>
    <row r="180" spans="1:9" ht="12.75" customHeight="1">
      <c r="A180" s="398" t="s">
        <v>531</v>
      </c>
      <c r="B180" s="615" t="e">
        <v>#N/A</v>
      </c>
      <c r="C180" s="3535" t="e">
        <v>#N/A</v>
      </c>
      <c r="D180" s="2296" t="e">
        <v>#N/A</v>
      </c>
      <c r="E180" s="1267" t="e">
        <v>#N/A</v>
      </c>
      <c r="F180" s="3535" t="e">
        <v>#N/A</v>
      </c>
      <c r="G180" s="2296" t="e">
        <v>#N/A</v>
      </c>
      <c r="H180" s="1267" t="e">
        <v>#N/A</v>
      </c>
      <c r="I180" s="3079" t="e">
        <f t="shared" si="3"/>
        <v>#N/A</v>
      </c>
    </row>
    <row r="181" spans="1:9" ht="12.75" customHeight="1">
      <c r="A181" s="398" t="s">
        <v>532</v>
      </c>
      <c r="B181" s="615" t="e">
        <v>#N/A</v>
      </c>
      <c r="C181" s="3535" t="e">
        <v>#N/A</v>
      </c>
      <c r="D181" s="2296" t="e">
        <v>#N/A</v>
      </c>
      <c r="E181" s="1267" t="e">
        <v>#N/A</v>
      </c>
      <c r="F181" s="3535" t="e">
        <v>#N/A</v>
      </c>
      <c r="G181" s="2296" t="e">
        <v>#N/A</v>
      </c>
      <c r="H181" s="1267" t="e">
        <v>#N/A</v>
      </c>
      <c r="I181" s="3079" t="e">
        <f t="shared" si="3"/>
        <v>#N/A</v>
      </c>
    </row>
    <row r="182" spans="1:9" ht="12.75" customHeight="1">
      <c r="A182" s="398" t="s">
        <v>533</v>
      </c>
      <c r="B182" s="615" t="e">
        <v>#N/A</v>
      </c>
      <c r="C182" s="3535" t="e">
        <v>#N/A</v>
      </c>
      <c r="D182" s="2296" t="e">
        <v>#N/A</v>
      </c>
      <c r="E182" s="1267" t="e">
        <v>#N/A</v>
      </c>
      <c r="F182" s="3535" t="e">
        <v>#N/A</v>
      </c>
      <c r="G182" s="2296" t="e">
        <v>#N/A</v>
      </c>
      <c r="H182" s="1267" t="e">
        <v>#N/A</v>
      </c>
      <c r="I182" s="3079" t="e">
        <f t="shared" si="3"/>
        <v>#N/A</v>
      </c>
    </row>
    <row r="183" spans="1:9" ht="12.75" customHeight="1">
      <c r="A183" s="398" t="s">
        <v>534</v>
      </c>
      <c r="B183" s="615" t="e">
        <v>#N/A</v>
      </c>
      <c r="C183" s="3535" t="e">
        <v>#N/A</v>
      </c>
      <c r="D183" s="2296" t="e">
        <v>#N/A</v>
      </c>
      <c r="E183" s="1267" t="e">
        <v>#N/A</v>
      </c>
      <c r="F183" s="3535" t="e">
        <v>#N/A</v>
      </c>
      <c r="G183" s="2296" t="e">
        <v>#N/A</v>
      </c>
      <c r="H183" s="1267" t="e">
        <v>#N/A</v>
      </c>
      <c r="I183" s="3079" t="e">
        <f t="shared" si="3"/>
        <v>#N/A</v>
      </c>
    </row>
    <row r="184" spans="1:9" ht="12.75" customHeight="1">
      <c r="A184" s="398" t="s">
        <v>535</v>
      </c>
      <c r="B184" s="615" t="e">
        <v>#N/A</v>
      </c>
      <c r="C184" s="3535" t="e">
        <v>#N/A</v>
      </c>
      <c r="D184" s="2296" t="e">
        <v>#N/A</v>
      </c>
      <c r="E184" s="1267" t="e">
        <v>#N/A</v>
      </c>
      <c r="F184" s="3535" t="e">
        <v>#N/A</v>
      </c>
      <c r="G184" s="2296" t="e">
        <v>#N/A</v>
      </c>
      <c r="H184" s="1267" t="e">
        <v>#N/A</v>
      </c>
      <c r="I184" s="3079" t="e">
        <f t="shared" si="3"/>
        <v>#N/A</v>
      </c>
    </row>
    <row r="185" spans="1:9" ht="12.75" customHeight="1">
      <c r="A185" s="398" t="s">
        <v>536</v>
      </c>
      <c r="B185" s="615" t="e">
        <v>#N/A</v>
      </c>
      <c r="C185" s="3535" t="e">
        <v>#N/A</v>
      </c>
      <c r="D185" s="2296" t="e">
        <v>#N/A</v>
      </c>
      <c r="E185" s="1267" t="e">
        <v>#N/A</v>
      </c>
      <c r="F185" s="3535" t="e">
        <v>#N/A</v>
      </c>
      <c r="G185" s="2296" t="e">
        <v>#N/A</v>
      </c>
      <c r="H185" s="1267" t="e">
        <v>#N/A</v>
      </c>
      <c r="I185" s="3079" t="e">
        <f t="shared" si="3"/>
        <v>#N/A</v>
      </c>
    </row>
    <row r="186" spans="1:9" ht="12.75" customHeight="1">
      <c r="A186" s="398" t="s">
        <v>537</v>
      </c>
      <c r="B186" s="615" t="e">
        <v>#N/A</v>
      </c>
      <c r="C186" s="3535" t="e">
        <v>#N/A</v>
      </c>
      <c r="D186" s="2296" t="e">
        <v>#N/A</v>
      </c>
      <c r="E186" s="1267" t="e">
        <v>#N/A</v>
      </c>
      <c r="F186" s="3535" t="e">
        <v>#N/A</v>
      </c>
      <c r="G186" s="2296" t="e">
        <v>#N/A</v>
      </c>
      <c r="H186" s="1267" t="e">
        <v>#N/A</v>
      </c>
      <c r="I186" s="3079" t="e">
        <f t="shared" si="3"/>
        <v>#N/A</v>
      </c>
    </row>
    <row r="187" spans="1:9" ht="12.75" customHeight="1">
      <c r="A187" s="398" t="s">
        <v>538</v>
      </c>
      <c r="B187" s="615" t="e">
        <v>#N/A</v>
      </c>
      <c r="C187" s="3535" t="e">
        <v>#N/A</v>
      </c>
      <c r="D187" s="2296" t="e">
        <v>#N/A</v>
      </c>
      <c r="E187" s="1267" t="e">
        <v>#N/A</v>
      </c>
      <c r="F187" s="3535" t="e">
        <v>#N/A</v>
      </c>
      <c r="G187" s="2296" t="e">
        <v>#N/A</v>
      </c>
      <c r="H187" s="1267" t="e">
        <v>#N/A</v>
      </c>
      <c r="I187" s="3079" t="e">
        <f t="shared" si="3"/>
        <v>#N/A</v>
      </c>
    </row>
    <row r="188" spans="1:9" ht="12.75" customHeight="1">
      <c r="A188" s="398" t="s">
        <v>539</v>
      </c>
      <c r="B188" s="615" t="e">
        <v>#N/A</v>
      </c>
      <c r="C188" s="3535" t="e">
        <v>#N/A</v>
      </c>
      <c r="D188" s="2296" t="e">
        <v>#N/A</v>
      </c>
      <c r="E188" s="1267" t="e">
        <v>#N/A</v>
      </c>
      <c r="F188" s="3535" t="e">
        <v>#N/A</v>
      </c>
      <c r="G188" s="2296" t="e">
        <v>#N/A</v>
      </c>
      <c r="H188" s="1267" t="e">
        <v>#N/A</v>
      </c>
      <c r="I188" s="3079" t="e">
        <f t="shared" si="3"/>
        <v>#N/A</v>
      </c>
    </row>
    <row r="189" spans="1:9" ht="12.75" customHeight="1">
      <c r="A189" s="398" t="s">
        <v>540</v>
      </c>
      <c r="B189" s="615" t="e">
        <v>#N/A</v>
      </c>
      <c r="C189" s="3535" t="e">
        <v>#N/A</v>
      </c>
      <c r="D189" s="2296" t="e">
        <v>#N/A</v>
      </c>
      <c r="E189" s="1267" t="e">
        <v>#N/A</v>
      </c>
      <c r="F189" s="3535" t="e">
        <v>#N/A</v>
      </c>
      <c r="G189" s="2296" t="e">
        <v>#N/A</v>
      </c>
      <c r="H189" s="1267" t="e">
        <v>#N/A</v>
      </c>
      <c r="I189" s="3079" t="e">
        <f t="shared" si="3"/>
        <v>#N/A</v>
      </c>
    </row>
  </sheetData>
  <hyperlinks>
    <hyperlink ref="A5" location="INDICE!A13" display="VOLVER AL INDICE" xr:uid="{00000000-0004-0000-2B00-000000000000}"/>
  </hyperlinks>
  <pageMargins left="0.7" right="0.7" top="0.75" bottom="0.75" header="0.3" footer="0.3"/>
  <pageSetup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3ACFA-BAD8-4C9D-B2D6-4576E8D1F240}">
  <dimension ref="A1:D157"/>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9.140625" defaultRowHeight="15"/>
  <cols>
    <col min="1" max="1" width="9.140625" style="3731"/>
    <col min="2" max="4" width="15.5703125" style="3731" customWidth="1"/>
    <col min="5" max="16384" width="9.140625" style="300"/>
  </cols>
  <sheetData>
    <row r="1" spans="1:4" ht="4.5" customHeight="1">
      <c r="A1" s="3718"/>
      <c r="B1" s="3719"/>
      <c r="C1" s="3720"/>
      <c r="D1" s="3721"/>
    </row>
    <row r="2" spans="1:4" ht="22.5">
      <c r="A2" s="2853" t="s">
        <v>99</v>
      </c>
      <c r="B2" s="321" t="s">
        <v>2096</v>
      </c>
      <c r="C2" s="320"/>
      <c r="D2" s="316"/>
    </row>
    <row r="3" spans="1:4" ht="33.75">
      <c r="A3" s="2853" t="s">
        <v>104</v>
      </c>
      <c r="B3" s="321" t="s">
        <v>2104</v>
      </c>
      <c r="C3" s="38"/>
      <c r="D3" s="48"/>
    </row>
    <row r="4" spans="1:4" ht="4.5" customHeight="1">
      <c r="A4" s="2853"/>
      <c r="B4" s="3722"/>
      <c r="C4" s="38"/>
      <c r="D4" s="48"/>
    </row>
    <row r="5" spans="1:4" ht="22.5">
      <c r="A5" s="3084" t="s">
        <v>140</v>
      </c>
      <c r="B5" s="148" t="s">
        <v>2102</v>
      </c>
      <c r="C5" s="2999" t="s">
        <v>2103</v>
      </c>
      <c r="D5" s="3001" t="s">
        <v>2097</v>
      </c>
    </row>
    <row r="6" spans="1:4" ht="4.5" customHeight="1">
      <c r="A6" s="2853" t="s">
        <v>125</v>
      </c>
      <c r="B6" s="3722"/>
      <c r="C6" s="2994"/>
      <c r="D6" s="3066"/>
    </row>
    <row r="7" spans="1:4" ht="22.5">
      <c r="A7" s="2762" t="s">
        <v>125</v>
      </c>
      <c r="B7" s="3723" t="s">
        <v>1663</v>
      </c>
      <c r="C7" s="3724" t="s">
        <v>1663</v>
      </c>
      <c r="D7" s="3001" t="s">
        <v>1663</v>
      </c>
    </row>
    <row r="8" spans="1:4" ht="12.75">
      <c r="A8" s="3725" t="s">
        <v>144</v>
      </c>
      <c r="B8" s="3726" t="s">
        <v>1686</v>
      </c>
      <c r="C8" s="3031" t="s">
        <v>1687</v>
      </c>
      <c r="D8" s="3047" t="s">
        <v>1688</v>
      </c>
    </row>
    <row r="9" spans="1:4" ht="13.5" thickBot="1">
      <c r="A9" s="3727"/>
      <c r="B9" s="3728"/>
      <c r="C9" s="1361"/>
      <c r="D9" s="1395"/>
    </row>
    <row r="10" spans="1:4" ht="12.75">
      <c r="A10" s="3729" t="s">
        <v>28</v>
      </c>
      <c r="B10" s="3733">
        <v>938.6</v>
      </c>
      <c r="C10" s="3737">
        <v>2241.8000000000002</v>
      </c>
      <c r="D10" s="3730">
        <f>+B10-C10</f>
        <v>-1303.2000000000003</v>
      </c>
    </row>
    <row r="11" spans="1:4" ht="12.75">
      <c r="A11" s="3729" t="s">
        <v>35</v>
      </c>
      <c r="B11" s="3734">
        <v>731.2</v>
      </c>
      <c r="C11" s="3736">
        <v>1494.8999999999999</v>
      </c>
      <c r="D11" s="3735">
        <f t="shared" ref="D11:D74" si="0">+B11-C11</f>
        <v>-763.69999999999982</v>
      </c>
    </row>
    <row r="12" spans="1:4" ht="12.75">
      <c r="A12" s="3729" t="s">
        <v>398</v>
      </c>
      <c r="B12" s="3734">
        <v>812</v>
      </c>
      <c r="C12" s="3736">
        <v>1621.6</v>
      </c>
      <c r="D12" s="3735">
        <f t="shared" si="0"/>
        <v>-809.59999999999991</v>
      </c>
    </row>
    <row r="13" spans="1:4" ht="12.75">
      <c r="A13" s="3729" t="s">
        <v>399</v>
      </c>
      <c r="B13" s="3734">
        <v>882.29999999999984</v>
      </c>
      <c r="C13" s="3736">
        <v>1784.8000000000004</v>
      </c>
      <c r="D13" s="3735">
        <f t="shared" si="0"/>
        <v>-902.50000000000057</v>
      </c>
    </row>
    <row r="14" spans="1:4" ht="12.75">
      <c r="A14" s="3729" t="s">
        <v>400</v>
      </c>
      <c r="B14" s="3734">
        <v>1117.8000000000002</v>
      </c>
      <c r="C14" s="3736">
        <v>2322.1999999999998</v>
      </c>
      <c r="D14" s="3735">
        <f t="shared" si="0"/>
        <v>-1204.3999999999996</v>
      </c>
    </row>
    <row r="15" spans="1:4" ht="12.75">
      <c r="A15" s="3729" t="s">
        <v>401</v>
      </c>
      <c r="B15" s="3734">
        <v>844.69999999999982</v>
      </c>
      <c r="C15" s="3736">
        <v>1565.7999999999997</v>
      </c>
      <c r="D15" s="3735">
        <f t="shared" si="0"/>
        <v>-721.09999999999991</v>
      </c>
    </row>
    <row r="16" spans="1:4" ht="12.75">
      <c r="A16" s="3729" t="s">
        <v>402</v>
      </c>
      <c r="B16" s="3734">
        <v>890.30000000000007</v>
      </c>
      <c r="C16" s="3736">
        <v>1627.6</v>
      </c>
      <c r="D16" s="3735">
        <f t="shared" si="0"/>
        <v>-737.29999999999984</v>
      </c>
    </row>
    <row r="17" spans="1:4" ht="12.75">
      <c r="A17" s="3729" t="s">
        <v>403</v>
      </c>
      <c r="B17" s="3734">
        <v>972.80000000000007</v>
      </c>
      <c r="C17" s="3736">
        <v>1747.1000000000001</v>
      </c>
      <c r="D17" s="3735">
        <f t="shared" si="0"/>
        <v>-774.30000000000007</v>
      </c>
    </row>
    <row r="18" spans="1:4" ht="12.75">
      <c r="A18" s="3729" t="s">
        <v>404</v>
      </c>
      <c r="B18" s="3734">
        <v>1241.4531178666059</v>
      </c>
      <c r="C18" s="3736">
        <v>2398.8638688343385</v>
      </c>
      <c r="D18" s="3735">
        <f t="shared" si="0"/>
        <v>-1157.4107509677326</v>
      </c>
    </row>
    <row r="19" spans="1:4" ht="12.75">
      <c r="A19" s="3729" t="s">
        <v>405</v>
      </c>
      <c r="B19" s="3734">
        <v>951.31434236939924</v>
      </c>
      <c r="C19" s="3736">
        <v>1679.2323180764838</v>
      </c>
      <c r="D19" s="3735">
        <f t="shared" si="0"/>
        <v>-727.91797570708457</v>
      </c>
    </row>
    <row r="20" spans="1:4" ht="12.75">
      <c r="A20" s="3729" t="s">
        <v>406</v>
      </c>
      <c r="B20" s="3734">
        <v>1059.3777088175755</v>
      </c>
      <c r="C20" s="3736">
        <v>1905.3221835158367</v>
      </c>
      <c r="D20" s="3735">
        <f t="shared" si="0"/>
        <v>-845.94447469826127</v>
      </c>
    </row>
    <row r="21" spans="1:4" ht="12.75">
      <c r="A21" s="3729" t="s">
        <v>407</v>
      </c>
      <c r="B21" s="3734">
        <v>1153.208132624917</v>
      </c>
      <c r="C21" s="3736">
        <v>1968.8811051546315</v>
      </c>
      <c r="D21" s="3735">
        <f t="shared" si="0"/>
        <v>-815.67297252971457</v>
      </c>
    </row>
    <row r="22" spans="1:4" ht="12.75">
      <c r="A22" s="3729" t="s">
        <v>408</v>
      </c>
      <c r="B22" s="3734">
        <v>1313.1311309207908</v>
      </c>
      <c r="C22" s="3736">
        <v>2708.7123109039289</v>
      </c>
      <c r="D22" s="3735">
        <f t="shared" si="0"/>
        <v>-1395.5811799831381</v>
      </c>
    </row>
    <row r="23" spans="1:4" ht="12.75">
      <c r="A23" s="3729" t="s">
        <v>409</v>
      </c>
      <c r="B23" s="3734">
        <v>986.75120862019287</v>
      </c>
      <c r="C23" s="3736">
        <v>1903.5801345435198</v>
      </c>
      <c r="D23" s="3735">
        <f t="shared" si="0"/>
        <v>-916.82892592332689</v>
      </c>
    </row>
    <row r="24" spans="1:4" ht="12.75">
      <c r="A24" s="3729" t="s">
        <v>410</v>
      </c>
      <c r="B24" s="3734">
        <v>1070.4617231129982</v>
      </c>
      <c r="C24" s="3736">
        <v>2209.9497344910592</v>
      </c>
      <c r="D24" s="3735">
        <f t="shared" si="0"/>
        <v>-1139.4880113780609</v>
      </c>
    </row>
    <row r="25" spans="1:4" ht="12.75">
      <c r="A25" s="3729" t="s">
        <v>411</v>
      </c>
      <c r="B25" s="3734">
        <v>1228.4295751347831</v>
      </c>
      <c r="C25" s="3736">
        <v>2161.6556201674757</v>
      </c>
      <c r="D25" s="3735">
        <f t="shared" si="0"/>
        <v>-933.22604503269258</v>
      </c>
    </row>
    <row r="26" spans="1:4" ht="12.75">
      <c r="A26" s="3729" t="s">
        <v>412</v>
      </c>
      <c r="B26" s="3734">
        <v>1390.0159037466462</v>
      </c>
      <c r="C26" s="3736">
        <v>2845.8260375964228</v>
      </c>
      <c r="D26" s="3735">
        <f t="shared" si="0"/>
        <v>-1455.8101338497765</v>
      </c>
    </row>
    <row r="27" spans="1:4" ht="12.75">
      <c r="A27" s="3729" t="s">
        <v>413</v>
      </c>
      <c r="B27" s="3734">
        <v>1131.7446940431803</v>
      </c>
      <c r="C27" s="3736">
        <v>2074.4707591008823</v>
      </c>
      <c r="D27" s="3735">
        <f t="shared" si="0"/>
        <v>-942.72606505770204</v>
      </c>
    </row>
    <row r="28" spans="1:4" ht="12.75">
      <c r="A28" s="3729" t="s">
        <v>414</v>
      </c>
      <c r="B28" s="3734">
        <v>1132.3831500550109</v>
      </c>
      <c r="C28" s="3736">
        <v>2220.497031804332</v>
      </c>
      <c r="D28" s="3735">
        <f t="shared" si="0"/>
        <v>-1088.1138817493211</v>
      </c>
    </row>
    <row r="29" spans="1:4" ht="12.75">
      <c r="A29" s="3729" t="s">
        <v>415</v>
      </c>
      <c r="B29" s="3734">
        <v>1199.9366034766249</v>
      </c>
      <c r="C29" s="3736">
        <v>2157.6847180799341</v>
      </c>
      <c r="D29" s="3735">
        <f t="shared" si="0"/>
        <v>-957.7481146033092</v>
      </c>
    </row>
    <row r="30" spans="1:4" ht="12.75">
      <c r="A30" s="3729" t="s">
        <v>416</v>
      </c>
      <c r="B30" s="3734">
        <v>1395.8855634336792</v>
      </c>
      <c r="C30" s="3736">
        <v>2761.1940412079771</v>
      </c>
      <c r="D30" s="3735">
        <f t="shared" si="0"/>
        <v>-1365.3084777742979</v>
      </c>
    </row>
    <row r="31" spans="1:4" ht="12.75">
      <c r="A31" s="3729" t="s">
        <v>417</v>
      </c>
      <c r="B31" s="3734">
        <v>1087.9388530556162</v>
      </c>
      <c r="C31" s="3736">
        <v>1899.3911531415381</v>
      </c>
      <c r="D31" s="3735">
        <f t="shared" si="0"/>
        <v>-811.45230008592193</v>
      </c>
    </row>
    <row r="32" spans="1:4" ht="12.75">
      <c r="A32" s="3729" t="s">
        <v>418</v>
      </c>
      <c r="B32" s="3734">
        <v>1106.1614413778382</v>
      </c>
      <c r="C32" s="3736">
        <v>2098.3252036776639</v>
      </c>
      <c r="D32" s="3735">
        <f t="shared" si="0"/>
        <v>-992.16376229982575</v>
      </c>
    </row>
    <row r="33" spans="1:4" ht="12.75">
      <c r="A33" s="3729" t="s">
        <v>419</v>
      </c>
      <c r="B33" s="3734">
        <v>1128.7171719268415</v>
      </c>
      <c r="C33" s="3736">
        <v>2070.998364365983</v>
      </c>
      <c r="D33" s="3735">
        <f t="shared" si="0"/>
        <v>-942.28119243914148</v>
      </c>
    </row>
    <row r="34" spans="1:4" ht="12.75">
      <c r="A34" s="3729" t="s">
        <v>420</v>
      </c>
      <c r="B34" s="3734">
        <v>1427.2652292167845</v>
      </c>
      <c r="C34" s="3736">
        <v>2878.0472386877973</v>
      </c>
      <c r="D34" s="3735">
        <f t="shared" si="0"/>
        <v>-1450.7820094710128</v>
      </c>
    </row>
    <row r="35" spans="1:4" ht="12.75">
      <c r="A35" s="3729" t="s">
        <v>421</v>
      </c>
      <c r="B35" s="3734">
        <v>1111.2811117511305</v>
      </c>
      <c r="C35" s="3736">
        <v>2048.2831905473231</v>
      </c>
      <c r="D35" s="3735">
        <f t="shared" si="0"/>
        <v>-937.00207879619256</v>
      </c>
    </row>
    <row r="36" spans="1:4" ht="12.75">
      <c r="A36" s="3729" t="s">
        <v>422</v>
      </c>
      <c r="B36" s="3734">
        <v>1143.3902482799349</v>
      </c>
      <c r="C36" s="3736">
        <v>2180.0602079642654</v>
      </c>
      <c r="D36" s="3735">
        <f t="shared" si="0"/>
        <v>-1036.6699596843305</v>
      </c>
    </row>
    <row r="37" spans="1:4" ht="12.75">
      <c r="A37" s="3729" t="s">
        <v>423</v>
      </c>
      <c r="B37" s="3734">
        <v>1253.5793544493208</v>
      </c>
      <c r="C37" s="3736">
        <v>2112.8660282257488</v>
      </c>
      <c r="D37" s="3735">
        <f t="shared" si="0"/>
        <v>-859.28667377642796</v>
      </c>
    </row>
    <row r="38" spans="1:4" ht="12.75">
      <c r="A38" s="3729" t="s">
        <v>424</v>
      </c>
      <c r="B38" s="3734">
        <v>1449.8112679402341</v>
      </c>
      <c r="C38" s="3736">
        <v>2935.6349397301278</v>
      </c>
      <c r="D38" s="3735">
        <f t="shared" si="0"/>
        <v>-1485.8236717898938</v>
      </c>
    </row>
    <row r="39" spans="1:4" ht="12.75">
      <c r="A39" s="3729" t="s">
        <v>425</v>
      </c>
      <c r="B39" s="3734">
        <v>1073.9414199399682</v>
      </c>
      <c r="C39" s="3736">
        <v>2085.8176443980133</v>
      </c>
      <c r="D39" s="3735">
        <f t="shared" si="0"/>
        <v>-1011.876224458045</v>
      </c>
    </row>
    <row r="40" spans="1:4" ht="12.75">
      <c r="A40" s="3729" t="s">
        <v>426</v>
      </c>
      <c r="B40" s="3734">
        <v>1006.1789947379403</v>
      </c>
      <c r="C40" s="3736">
        <v>1894.0400128173924</v>
      </c>
      <c r="D40" s="3735">
        <f t="shared" si="0"/>
        <v>-887.86101807945204</v>
      </c>
    </row>
    <row r="41" spans="1:4" ht="12.75">
      <c r="A41" s="3729" t="s">
        <v>427</v>
      </c>
      <c r="B41" s="3734">
        <v>1097.1267429992859</v>
      </c>
      <c r="C41" s="3736">
        <v>1574.648348432808</v>
      </c>
      <c r="D41" s="3735">
        <f t="shared" si="0"/>
        <v>-477.52160543352215</v>
      </c>
    </row>
    <row r="42" spans="1:4" ht="12.75">
      <c r="A42" s="3729" t="s">
        <v>51</v>
      </c>
      <c r="B42" s="3734">
        <v>925.04375996832175</v>
      </c>
      <c r="C42" s="3736">
        <v>1475.1976358407301</v>
      </c>
      <c r="D42" s="3735">
        <f t="shared" si="0"/>
        <v>-550.15387587240832</v>
      </c>
    </row>
    <row r="43" spans="1:4" ht="12.75">
      <c r="A43" s="3729" t="s">
        <v>428</v>
      </c>
      <c r="B43" s="3734">
        <v>751.64012123145562</v>
      </c>
      <c r="C43" s="3736">
        <v>1124.5506457202653</v>
      </c>
      <c r="D43" s="3735">
        <f t="shared" si="0"/>
        <v>-372.91052448880964</v>
      </c>
    </row>
    <row r="44" spans="1:4" ht="12.75">
      <c r="A44" s="3729" t="s">
        <v>429</v>
      </c>
      <c r="B44" s="3734">
        <v>839.43471213298653</v>
      </c>
      <c r="C44" s="3736">
        <v>1152.1590454345535</v>
      </c>
      <c r="D44" s="3735">
        <f t="shared" si="0"/>
        <v>-312.72433330156696</v>
      </c>
    </row>
    <row r="45" spans="1:4" ht="12.75">
      <c r="A45" s="3729" t="s">
        <v>430</v>
      </c>
      <c r="B45" s="3734">
        <v>979.29525219705374</v>
      </c>
      <c r="C45" s="3736">
        <v>1203.7143642256137</v>
      </c>
      <c r="D45" s="3735">
        <f t="shared" si="0"/>
        <v>-224.41911202855999</v>
      </c>
    </row>
    <row r="46" spans="1:4" ht="12.75">
      <c r="A46" s="3729" t="s">
        <v>431</v>
      </c>
      <c r="B46" s="3734">
        <v>1025.678604841858</v>
      </c>
      <c r="C46" s="3736">
        <v>1425.8952450993731</v>
      </c>
      <c r="D46" s="3735">
        <f t="shared" si="0"/>
        <v>-400.21664025751511</v>
      </c>
    </row>
    <row r="47" spans="1:4" ht="12.75">
      <c r="A47" s="3729" t="s">
        <v>432</v>
      </c>
      <c r="B47" s="3734">
        <v>1000.6983664411754</v>
      </c>
      <c r="C47" s="3736">
        <v>1290.3852881614496</v>
      </c>
      <c r="D47" s="3735">
        <f t="shared" si="0"/>
        <v>-289.6869217202742</v>
      </c>
    </row>
    <row r="48" spans="1:4" ht="12.75">
      <c r="A48" s="3729" t="s">
        <v>433</v>
      </c>
      <c r="B48" s="3734">
        <v>1086.5242336712543</v>
      </c>
      <c r="C48" s="3736">
        <v>1470.4965256156536</v>
      </c>
      <c r="D48" s="3735">
        <f t="shared" si="0"/>
        <v>-383.97229194439933</v>
      </c>
    </row>
    <row r="49" spans="1:4" ht="12.75">
      <c r="A49" s="3729" t="s">
        <v>434</v>
      </c>
      <c r="B49" s="3734">
        <v>1387.0111252714328</v>
      </c>
      <c r="C49" s="3736">
        <v>1506.2380613463711</v>
      </c>
      <c r="D49" s="3735">
        <f t="shared" si="0"/>
        <v>-119.22693607493829</v>
      </c>
    </row>
    <row r="50" spans="1:4" ht="12.75">
      <c r="A50" s="3729" t="s">
        <v>38</v>
      </c>
      <c r="B50" s="3734">
        <v>1344.703669093014</v>
      </c>
      <c r="C50" s="3736">
        <v>1689.8220659535857</v>
      </c>
      <c r="D50" s="3735">
        <f t="shared" si="0"/>
        <v>-345.11839686057169</v>
      </c>
    </row>
    <row r="51" spans="1:4" ht="12.75">
      <c r="A51" s="3729" t="s">
        <v>435</v>
      </c>
      <c r="B51" s="3734">
        <v>1151.1808241978483</v>
      </c>
      <c r="C51" s="3736">
        <v>1445.1976412815566</v>
      </c>
      <c r="D51" s="3735">
        <f t="shared" si="0"/>
        <v>-294.01681708370825</v>
      </c>
    </row>
    <row r="52" spans="1:4" ht="12.75">
      <c r="A52" s="3729" t="s">
        <v>436</v>
      </c>
      <c r="B52" s="3734">
        <v>1247.8229355751193</v>
      </c>
      <c r="C52" s="3736">
        <v>1649.166223425977</v>
      </c>
      <c r="D52" s="3735">
        <f t="shared" si="0"/>
        <v>-401.34328785085768</v>
      </c>
    </row>
    <row r="53" spans="1:4" ht="12.75">
      <c r="A53" s="3729" t="s">
        <v>437</v>
      </c>
      <c r="B53" s="3734">
        <v>1544.439821054769</v>
      </c>
      <c r="C53" s="3736">
        <v>1834.9406089793499</v>
      </c>
      <c r="D53" s="3735">
        <f t="shared" si="0"/>
        <v>-290.50078792458089</v>
      </c>
    </row>
    <row r="54" spans="1:4" ht="12.75">
      <c r="A54" s="3729" t="s">
        <v>438</v>
      </c>
      <c r="B54" s="3734">
        <v>1628.1431233685796</v>
      </c>
      <c r="C54" s="3736">
        <v>1933.0027345433768</v>
      </c>
      <c r="D54" s="3735">
        <f t="shared" si="0"/>
        <v>-304.85961117479724</v>
      </c>
    </row>
    <row r="55" spans="1:4" ht="12.75">
      <c r="A55" s="3729" t="s">
        <v>439</v>
      </c>
      <c r="B55" s="3734">
        <v>1470.6771808685132</v>
      </c>
      <c r="C55" s="3736">
        <v>1888.0945668871625</v>
      </c>
      <c r="D55" s="3735">
        <f t="shared" si="0"/>
        <v>-417.41738601864927</v>
      </c>
    </row>
    <row r="56" spans="1:4" ht="12.75">
      <c r="A56" s="3729" t="s">
        <v>440</v>
      </c>
      <c r="B56" s="3734">
        <v>1577.1136743034651</v>
      </c>
      <c r="C56" s="3736">
        <v>1827.0050126272959</v>
      </c>
      <c r="D56" s="3735">
        <f t="shared" si="0"/>
        <v>-249.89133832383072</v>
      </c>
    </row>
    <row r="57" spans="1:4" ht="12.75">
      <c r="A57" s="3729" t="s">
        <v>441</v>
      </c>
      <c r="B57" s="3734">
        <v>1958.50082068495</v>
      </c>
      <c r="C57" s="3736">
        <v>1977.854754126583</v>
      </c>
      <c r="D57" s="3735">
        <f t="shared" si="0"/>
        <v>-19.353933441632989</v>
      </c>
    </row>
    <row r="58" spans="1:4" ht="12.75">
      <c r="A58" s="3729" t="s">
        <v>442</v>
      </c>
      <c r="B58" s="3734">
        <v>1945.1375402847775</v>
      </c>
      <c r="C58" s="3736">
        <v>2160.3615980124587</v>
      </c>
      <c r="D58" s="3735">
        <f t="shared" si="0"/>
        <v>-215.22405772768116</v>
      </c>
    </row>
    <row r="59" spans="1:4" ht="12.75">
      <c r="A59" s="3729" t="s">
        <v>443</v>
      </c>
      <c r="B59" s="3734">
        <v>1712.9188135727065</v>
      </c>
      <c r="C59" s="3736">
        <v>2033.2107810125656</v>
      </c>
      <c r="D59" s="3735">
        <f t="shared" si="0"/>
        <v>-320.29196743985904</v>
      </c>
    </row>
    <row r="60" spans="1:4" ht="12.75">
      <c r="A60" s="3729" t="s">
        <v>444</v>
      </c>
      <c r="B60" s="3734">
        <v>1898.8543692299554</v>
      </c>
      <c r="C60" s="3736">
        <v>2167.4783793659381</v>
      </c>
      <c r="D60" s="3735">
        <f t="shared" si="0"/>
        <v>-268.62401013598264</v>
      </c>
    </row>
    <row r="61" spans="1:4" ht="12.75">
      <c r="A61" s="3729" t="s">
        <v>445</v>
      </c>
      <c r="B61" s="3734">
        <v>2354.1043698329413</v>
      </c>
      <c r="C61" s="3736">
        <v>2312.9217613701298</v>
      </c>
      <c r="D61" s="3735">
        <f t="shared" si="0"/>
        <v>41.182608462811459</v>
      </c>
    </row>
    <row r="62" spans="1:4" ht="12.75">
      <c r="A62" s="3729" t="s">
        <v>446</v>
      </c>
      <c r="B62" s="3734">
        <v>2600.1297188319081</v>
      </c>
      <c r="C62" s="3736">
        <v>2696.8604956600088</v>
      </c>
      <c r="D62" s="3735">
        <f t="shared" si="0"/>
        <v>-96.730776828100716</v>
      </c>
    </row>
    <row r="63" spans="1:4" ht="12.75">
      <c r="A63" s="3729" t="s">
        <v>447</v>
      </c>
      <c r="B63" s="3734">
        <v>2154.1851770687995</v>
      </c>
      <c r="C63" s="3736">
        <v>2516.1348512178215</v>
      </c>
      <c r="D63" s="3735">
        <f t="shared" si="0"/>
        <v>-361.94967414902203</v>
      </c>
    </row>
    <row r="64" spans="1:4" ht="12.75">
      <c r="A64" s="3729" t="s">
        <v>448</v>
      </c>
      <c r="B64" s="3734">
        <v>2321.4118617502927</v>
      </c>
      <c r="C64" s="3736">
        <v>2803.8841196997073</v>
      </c>
      <c r="D64" s="3735">
        <f t="shared" si="0"/>
        <v>-482.4722579494146</v>
      </c>
    </row>
    <row r="65" spans="1:4" ht="12.75">
      <c r="A65" s="3729" t="s">
        <v>449</v>
      </c>
      <c r="B65" s="3734">
        <v>2970.0097385247068</v>
      </c>
      <c r="C65" s="3736">
        <v>3010.3390533094462</v>
      </c>
      <c r="D65" s="3735">
        <f t="shared" si="0"/>
        <v>-40.329314784739381</v>
      </c>
    </row>
    <row r="66" spans="1:4" ht="12.75">
      <c r="A66" s="3729" t="s">
        <v>450</v>
      </c>
      <c r="B66" s="3734">
        <v>2943.9975767403098</v>
      </c>
      <c r="C66" s="3736">
        <v>3500.7698369612099</v>
      </c>
      <c r="D66" s="3735">
        <f t="shared" si="0"/>
        <v>-556.77226022090008</v>
      </c>
    </row>
    <row r="67" spans="1:4" ht="12.75">
      <c r="A67" s="3729" t="s">
        <v>451</v>
      </c>
      <c r="B67" s="3734">
        <v>2579.4281344215733</v>
      </c>
      <c r="C67" s="3736">
        <v>3286.2655755988144</v>
      </c>
      <c r="D67" s="3735">
        <f t="shared" si="0"/>
        <v>-706.83744117724109</v>
      </c>
    </row>
    <row r="68" spans="1:4" ht="12.75">
      <c r="A68" s="3729" t="s">
        <v>452</v>
      </c>
      <c r="B68" s="3734">
        <v>2838.1610186085863</v>
      </c>
      <c r="C68" s="3736">
        <v>3537.7184512675562</v>
      </c>
      <c r="D68" s="3735">
        <f t="shared" si="0"/>
        <v>-699.5574326589699</v>
      </c>
    </row>
    <row r="69" spans="1:4" ht="12.75">
      <c r="A69" s="3729" t="s">
        <v>453</v>
      </c>
      <c r="B69" s="3734">
        <v>3062.5623420058582</v>
      </c>
      <c r="C69" s="3736">
        <v>3321.7302346519941</v>
      </c>
      <c r="D69" s="3735">
        <f t="shared" si="0"/>
        <v>-259.1678926461359</v>
      </c>
    </row>
    <row r="70" spans="1:4" ht="12.75">
      <c r="A70" s="3729" t="s">
        <v>454</v>
      </c>
      <c r="B70" s="3734">
        <v>2755.1961460775024</v>
      </c>
      <c r="C70" s="3736">
        <v>3386.0044897178823</v>
      </c>
      <c r="D70" s="3735">
        <f t="shared" si="0"/>
        <v>-630.80834364037992</v>
      </c>
    </row>
    <row r="71" spans="1:4" ht="12.75">
      <c r="A71" s="3729" t="s">
        <v>455</v>
      </c>
      <c r="B71" s="3734">
        <v>2346.016204515654</v>
      </c>
      <c r="C71" s="3736">
        <v>2696.0505242339932</v>
      </c>
      <c r="D71" s="3735">
        <f t="shared" si="0"/>
        <v>-350.03431971833925</v>
      </c>
    </row>
    <row r="72" spans="1:4" ht="12.75">
      <c r="A72" s="3729" t="s">
        <v>456</v>
      </c>
      <c r="B72" s="3734">
        <v>2313.6868569272779</v>
      </c>
      <c r="C72" s="3736">
        <v>3036.4884947941086</v>
      </c>
      <c r="D72" s="3735">
        <f t="shared" si="0"/>
        <v>-722.80163786683079</v>
      </c>
    </row>
    <row r="73" spans="1:4" ht="12.75">
      <c r="A73" s="3729" t="s">
        <v>457</v>
      </c>
      <c r="B73" s="3734">
        <v>3129.7221161143393</v>
      </c>
      <c r="C73" s="3736">
        <v>3418.1093044930572</v>
      </c>
      <c r="D73" s="3735">
        <f t="shared" si="0"/>
        <v>-288.38718837871784</v>
      </c>
    </row>
    <row r="74" spans="1:4" ht="12.75">
      <c r="A74" s="3729" t="s">
        <v>458</v>
      </c>
      <c r="B74" s="3734">
        <v>3164.9857716126107</v>
      </c>
      <c r="C74" s="3736">
        <v>3735.5936919544683</v>
      </c>
      <c r="D74" s="3735">
        <f t="shared" si="0"/>
        <v>-570.60792034185761</v>
      </c>
    </row>
    <row r="75" spans="1:4" ht="12.75">
      <c r="A75" s="3729" t="s">
        <v>459</v>
      </c>
      <c r="B75" s="3734">
        <v>2987.7524546342515</v>
      </c>
      <c r="C75" s="3736">
        <v>3551.93509050901</v>
      </c>
      <c r="D75" s="3735">
        <f t="shared" ref="D75:D138" si="1">+B75-C75</f>
        <v>-564.18263587475849</v>
      </c>
    </row>
    <row r="76" spans="1:4" ht="12.75">
      <c r="A76" s="3729" t="s">
        <v>460</v>
      </c>
      <c r="B76" s="3734">
        <v>2968.0768058946828</v>
      </c>
      <c r="C76" s="3736">
        <v>3501.9881442869764</v>
      </c>
      <c r="D76" s="3735">
        <f t="shared" si="1"/>
        <v>-533.9113383922936</v>
      </c>
    </row>
    <row r="77" spans="1:4" ht="12.75">
      <c r="A77" s="3729" t="s">
        <v>461</v>
      </c>
      <c r="B77" s="3734">
        <v>3696.3283284672225</v>
      </c>
      <c r="C77" s="3736">
        <v>3831.2150837700065</v>
      </c>
      <c r="D77" s="3735">
        <f t="shared" si="1"/>
        <v>-134.88675530278397</v>
      </c>
    </row>
    <row r="78" spans="1:4" ht="12.75">
      <c r="A78" s="3729" t="s">
        <v>462</v>
      </c>
      <c r="B78" s="3734">
        <v>3523.5022276790896</v>
      </c>
      <c r="C78" s="3736">
        <v>4375.2221225312851</v>
      </c>
      <c r="D78" s="3735">
        <f t="shared" si="1"/>
        <v>-851.71989485219547</v>
      </c>
    </row>
    <row r="79" spans="1:4" ht="12.75">
      <c r="A79" s="3729" t="s">
        <v>463</v>
      </c>
      <c r="B79" s="3734">
        <v>3347.595341351459</v>
      </c>
      <c r="C79" s="3736">
        <v>4129.4107409478165</v>
      </c>
      <c r="D79" s="3735">
        <f t="shared" si="1"/>
        <v>-781.81539959635757</v>
      </c>
    </row>
    <row r="80" spans="1:4" ht="12.75">
      <c r="A80" s="3729" t="s">
        <v>464</v>
      </c>
      <c r="B80" s="3734">
        <v>3450.4113952033422</v>
      </c>
      <c r="C80" s="3736">
        <v>4333.1915433949898</v>
      </c>
      <c r="D80" s="3735">
        <f t="shared" si="1"/>
        <v>-882.78014819164764</v>
      </c>
    </row>
    <row r="81" spans="1:4" ht="12.75">
      <c r="A81" s="3729" t="s">
        <v>465</v>
      </c>
      <c r="B81" s="3734">
        <v>4175.4723111495914</v>
      </c>
      <c r="C81" s="3736">
        <v>4811.6449055858548</v>
      </c>
      <c r="D81" s="3735">
        <f t="shared" si="1"/>
        <v>-636.17259443626335</v>
      </c>
    </row>
    <row r="82" spans="1:4" ht="12.75">
      <c r="A82" s="3729" t="s">
        <v>466</v>
      </c>
      <c r="B82" s="3734">
        <v>3842.869119572199</v>
      </c>
      <c r="C82" s="3736">
        <v>5066.1276391782703</v>
      </c>
      <c r="D82" s="3735">
        <f t="shared" si="1"/>
        <v>-1223.2585196060713</v>
      </c>
    </row>
    <row r="83" spans="1:4" ht="12.75">
      <c r="A83" s="3729" t="s">
        <v>467</v>
      </c>
      <c r="B83" s="3734">
        <v>3354.2621306983897</v>
      </c>
      <c r="C83" s="3736">
        <v>4383.0355504186173</v>
      </c>
      <c r="D83" s="3735">
        <f t="shared" si="1"/>
        <v>-1028.7734197202276</v>
      </c>
    </row>
    <row r="84" spans="1:4" ht="12.75">
      <c r="A84" s="3729" t="s">
        <v>468</v>
      </c>
      <c r="B84" s="3734">
        <v>3413.5738365974407</v>
      </c>
      <c r="C84" s="3736">
        <v>4429.8761440806547</v>
      </c>
      <c r="D84" s="3735">
        <f t="shared" si="1"/>
        <v>-1016.302307483214</v>
      </c>
    </row>
    <row r="85" spans="1:4" ht="12.75">
      <c r="A85" s="3729" t="s">
        <v>469</v>
      </c>
      <c r="B85" s="3734">
        <v>3636.3956426896812</v>
      </c>
      <c r="C85" s="3736">
        <v>4465.2861198520177</v>
      </c>
      <c r="D85" s="3735">
        <f t="shared" si="1"/>
        <v>-828.89047716233654</v>
      </c>
    </row>
    <row r="86" spans="1:4" ht="12.75">
      <c r="A86" s="3729" t="s">
        <v>470</v>
      </c>
      <c r="B86" s="3734">
        <v>3401.6055687837907</v>
      </c>
      <c r="C86" s="3736">
        <v>5131.8819164396527</v>
      </c>
      <c r="D86" s="3735">
        <f t="shared" si="1"/>
        <v>-1730.2763476558621</v>
      </c>
    </row>
    <row r="87" spans="1:4" ht="12.75">
      <c r="A87" s="3729" t="s">
        <v>471</v>
      </c>
      <c r="B87" s="3734">
        <v>3222.5037507994148</v>
      </c>
      <c r="C87" s="3736">
        <v>4499.4490797272792</v>
      </c>
      <c r="D87" s="3735">
        <f t="shared" si="1"/>
        <v>-1276.9453289278645</v>
      </c>
    </row>
    <row r="88" spans="1:4" ht="12.75">
      <c r="A88" s="3729" t="s">
        <v>472</v>
      </c>
      <c r="B88" s="3734">
        <v>3185.852310140524</v>
      </c>
      <c r="C88" s="3736">
        <v>4539.7678255123828</v>
      </c>
      <c r="D88" s="3735">
        <f t="shared" si="1"/>
        <v>-1353.9155153718589</v>
      </c>
    </row>
    <row r="89" spans="1:4" ht="12.75">
      <c r="A89" s="3729" t="s">
        <v>473</v>
      </c>
      <c r="B89" s="3734">
        <v>3869.9301386516281</v>
      </c>
      <c r="C89" s="3736">
        <v>4837.7090620348099</v>
      </c>
      <c r="D89" s="3735">
        <f t="shared" si="1"/>
        <v>-967.77892338318179</v>
      </c>
    </row>
    <row r="90" spans="1:4" ht="12.75">
      <c r="A90" s="3729" t="s">
        <v>65</v>
      </c>
      <c r="B90" s="3734">
        <v>3413.5694658006646</v>
      </c>
      <c r="C90" s="3736">
        <v>4964.3595437780523</v>
      </c>
      <c r="D90" s="3735">
        <f t="shared" si="1"/>
        <v>-1550.7900779773877</v>
      </c>
    </row>
    <row r="91" spans="1:4" ht="12.75">
      <c r="A91" s="3729" t="s">
        <v>474</v>
      </c>
      <c r="B91" s="3734">
        <v>3098.8565087947718</v>
      </c>
      <c r="C91" s="3736">
        <v>4294.1482838820712</v>
      </c>
      <c r="D91" s="3735">
        <f t="shared" si="1"/>
        <v>-1195.2917750872994</v>
      </c>
    </row>
    <row r="92" spans="1:4" ht="12.75">
      <c r="A92" s="3729" t="s">
        <v>475</v>
      </c>
      <c r="B92" s="3734">
        <v>3199.7536249582108</v>
      </c>
      <c r="C92" s="3736">
        <v>4320.3029853175412</v>
      </c>
      <c r="D92" s="3735">
        <f t="shared" si="1"/>
        <v>-1120.5493603593304</v>
      </c>
    </row>
    <row r="93" spans="1:4" ht="12.75">
      <c r="A93" s="3729" t="s">
        <v>476</v>
      </c>
      <c r="B93" s="3734">
        <v>3684.1922281727389</v>
      </c>
      <c r="C93" s="3736">
        <v>4458.8531681499626</v>
      </c>
      <c r="D93" s="3735">
        <f t="shared" si="1"/>
        <v>-774.66093997722373</v>
      </c>
    </row>
    <row r="94" spans="1:4" ht="12.75">
      <c r="A94" s="3729" t="s">
        <v>477</v>
      </c>
      <c r="B94" s="3734">
        <v>3473.9632843532909</v>
      </c>
      <c r="C94" s="3736">
        <v>5009.753947839019</v>
      </c>
      <c r="D94" s="3735">
        <f t="shared" si="1"/>
        <v>-1535.7906634857281</v>
      </c>
    </row>
    <row r="95" spans="1:4" ht="12.75">
      <c r="A95" s="3729" t="s">
        <v>478</v>
      </c>
      <c r="B95" s="3734">
        <v>3047.3740030526506</v>
      </c>
      <c r="C95" s="3736">
        <v>4294.1190173690902</v>
      </c>
      <c r="D95" s="3735">
        <f t="shared" si="1"/>
        <v>-1246.7450143164397</v>
      </c>
    </row>
    <row r="96" spans="1:4" ht="12.75">
      <c r="A96" s="3729" t="s">
        <v>479</v>
      </c>
      <c r="B96" s="3734">
        <v>3228.3318177659476</v>
      </c>
      <c r="C96" s="3736">
        <v>4771.8966647756361</v>
      </c>
      <c r="D96" s="3735">
        <f t="shared" si="1"/>
        <v>-1543.5648470096885</v>
      </c>
    </row>
    <row r="97" spans="1:4" ht="12.75">
      <c r="A97" s="3729" t="s">
        <v>480</v>
      </c>
      <c r="B97" s="3734">
        <v>3463.8432448045428</v>
      </c>
      <c r="C97" s="3736">
        <v>4952.7874132369634</v>
      </c>
      <c r="D97" s="3735">
        <f t="shared" si="1"/>
        <v>-1488.9441684324206</v>
      </c>
    </row>
    <row r="98" spans="1:4" ht="12.75">
      <c r="A98" s="3729" t="s">
        <v>481</v>
      </c>
      <c r="B98" s="3734">
        <v>3610.1115045684051</v>
      </c>
      <c r="C98" s="3736">
        <v>6108.576424465642</v>
      </c>
      <c r="D98" s="3735">
        <f t="shared" si="1"/>
        <v>-2498.464919897237</v>
      </c>
    </row>
    <row r="99" spans="1:4" ht="12.75">
      <c r="A99" s="3729" t="s">
        <v>482</v>
      </c>
      <c r="B99" s="3734">
        <v>2954.6334632957205</v>
      </c>
      <c r="C99" s="3736">
        <v>4881.3168002090433</v>
      </c>
      <c r="D99" s="3735">
        <f t="shared" si="1"/>
        <v>-1926.6833369133228</v>
      </c>
    </row>
    <row r="100" spans="1:4" ht="12.75">
      <c r="A100" s="3729" t="s">
        <v>483</v>
      </c>
      <c r="B100" s="3734">
        <v>3221.7996159255781</v>
      </c>
      <c r="C100" s="3736">
        <v>5446.8630404046826</v>
      </c>
      <c r="D100" s="3735">
        <f t="shared" si="1"/>
        <v>-2225.0634244791045</v>
      </c>
    </row>
    <row r="101" spans="1:4" ht="12.75">
      <c r="A101" s="3729" t="s">
        <v>484</v>
      </c>
      <c r="B101" s="3734">
        <v>3638.162300435501</v>
      </c>
      <c r="C101" s="3736">
        <v>5439.6058046816443</v>
      </c>
      <c r="D101" s="3735">
        <f t="shared" si="1"/>
        <v>-1801.4435042461432</v>
      </c>
    </row>
    <row r="102" spans="1:4" ht="12.75">
      <c r="A102" s="3729" t="s">
        <v>485</v>
      </c>
      <c r="B102" s="3734">
        <v>4037.4781476365042</v>
      </c>
      <c r="C102" s="3736">
        <v>7098.319650390883</v>
      </c>
      <c r="D102" s="3735">
        <f t="shared" si="1"/>
        <v>-3060.8415027543788</v>
      </c>
    </row>
    <row r="103" spans="1:4" ht="12.75">
      <c r="A103" s="3729" t="s">
        <v>486</v>
      </c>
      <c r="B103" s="3734">
        <v>3625.340606870293</v>
      </c>
      <c r="C103" s="3736">
        <v>5694.0254655039253</v>
      </c>
      <c r="D103" s="3735">
        <f t="shared" si="1"/>
        <v>-2068.6848586336323</v>
      </c>
    </row>
    <row r="104" spans="1:4" ht="12.75">
      <c r="A104" s="3729" t="s">
        <v>487</v>
      </c>
      <c r="B104" s="3734">
        <v>3659.9911029525824</v>
      </c>
      <c r="C104" s="3736">
        <v>6209.2280319361116</v>
      </c>
      <c r="D104" s="3735">
        <f t="shared" si="1"/>
        <v>-2549.2369289835292</v>
      </c>
    </row>
    <row r="105" spans="1:4" ht="12.75">
      <c r="A105" s="3729" t="s">
        <v>488</v>
      </c>
      <c r="B105" s="3734">
        <v>4183.3921045229054</v>
      </c>
      <c r="C105" s="3736">
        <v>6200.0674063757233</v>
      </c>
      <c r="D105" s="3735">
        <f t="shared" si="1"/>
        <v>-2016.6753018528179</v>
      </c>
    </row>
    <row r="106" spans="1:4" ht="12.75">
      <c r="A106" s="3729" t="s">
        <v>489</v>
      </c>
      <c r="B106" s="3734">
        <v>4473.6653944150567</v>
      </c>
      <c r="C106" s="3736">
        <v>7870.3678476396726</v>
      </c>
      <c r="D106" s="3735">
        <f t="shared" si="1"/>
        <v>-3396.702453224616</v>
      </c>
    </row>
    <row r="107" spans="1:4" ht="12.75">
      <c r="A107" s="3729" t="s">
        <v>490</v>
      </c>
      <c r="B107" s="3734">
        <v>3517.7767016905204</v>
      </c>
      <c r="C107" s="3736">
        <v>6054.5794836795831</v>
      </c>
      <c r="D107" s="3735">
        <f t="shared" si="1"/>
        <v>-2536.8027819890626</v>
      </c>
    </row>
    <row r="108" spans="1:4" ht="12.75">
      <c r="A108" s="3729" t="s">
        <v>491</v>
      </c>
      <c r="B108" s="3734">
        <v>3357.7255472994643</v>
      </c>
      <c r="C108" s="3736">
        <v>5310.7111874662869</v>
      </c>
      <c r="D108" s="3735">
        <f t="shared" si="1"/>
        <v>-1952.9856401668226</v>
      </c>
    </row>
    <row r="109" spans="1:4" ht="12.75">
      <c r="A109" s="3729" t="s">
        <v>492</v>
      </c>
      <c r="B109" s="3734">
        <v>3992.9955344272857</v>
      </c>
      <c r="C109" s="3736">
        <v>5041.7724450913884</v>
      </c>
      <c r="D109" s="3735">
        <f t="shared" si="1"/>
        <v>-1048.7769106641026</v>
      </c>
    </row>
    <row r="110" spans="1:4" ht="12.75">
      <c r="A110" s="3729" t="s">
        <v>493</v>
      </c>
      <c r="B110" s="3734">
        <v>3941.5912142825009</v>
      </c>
      <c r="C110" s="3736">
        <v>5651.6050965888253</v>
      </c>
      <c r="D110" s="3735">
        <f t="shared" si="1"/>
        <v>-1710.0138823063244</v>
      </c>
    </row>
    <row r="111" spans="1:4" ht="12.75">
      <c r="A111" s="3729" t="s">
        <v>494</v>
      </c>
      <c r="B111" s="3734">
        <v>3374.5190747321831</v>
      </c>
      <c r="C111" s="3736">
        <v>4665.6821901720132</v>
      </c>
      <c r="D111" s="3735">
        <f t="shared" si="1"/>
        <v>-1291.1631154398301</v>
      </c>
    </row>
    <row r="112" spans="1:4" ht="12.75">
      <c r="A112" s="3729" t="s">
        <v>495</v>
      </c>
      <c r="B112" s="3734">
        <v>3469.7676647637836</v>
      </c>
      <c r="C112" s="3736">
        <v>4755.0040569411885</v>
      </c>
      <c r="D112" s="3735">
        <f t="shared" si="1"/>
        <v>-1285.2363921774049</v>
      </c>
    </row>
    <row r="113" spans="1:4" ht="12.75">
      <c r="A113" s="3729" t="s">
        <v>496</v>
      </c>
      <c r="B113" s="3734">
        <v>4016.542850833996</v>
      </c>
      <c r="C113" s="3736">
        <v>4573.3028783283653</v>
      </c>
      <c r="D113" s="3735">
        <f t="shared" si="1"/>
        <v>-556.7600274943693</v>
      </c>
    </row>
    <row r="114" spans="1:4" ht="12.75">
      <c r="A114" s="3729" t="s">
        <v>497</v>
      </c>
      <c r="B114" s="3734">
        <v>3685.0470996110621</v>
      </c>
      <c r="C114" s="3736">
        <v>4670.8846571187532</v>
      </c>
      <c r="D114" s="3735">
        <f t="shared" si="1"/>
        <v>-985.83755750769114</v>
      </c>
    </row>
    <row r="115" spans="1:4" ht="12.75">
      <c r="A115" s="3729" t="s">
        <v>498</v>
      </c>
      <c r="B115" s="3734">
        <v>1880.073341561219</v>
      </c>
      <c r="C115" s="3736">
        <v>2175.2662469219158</v>
      </c>
      <c r="D115" s="3735">
        <f t="shared" si="1"/>
        <v>-295.19290536069684</v>
      </c>
    </row>
    <row r="116" spans="1:4" ht="12.75">
      <c r="A116" s="3729" t="s">
        <v>499</v>
      </c>
      <c r="B116" s="3734">
        <v>1803.4454700655533</v>
      </c>
      <c r="C116" s="3736">
        <v>2405.1634821778348</v>
      </c>
      <c r="D116" s="3735">
        <f t="shared" si="1"/>
        <v>-601.71801211228149</v>
      </c>
    </row>
    <row r="117" spans="1:4" ht="12.75">
      <c r="A117" s="3729" t="s">
        <v>500</v>
      </c>
      <c r="B117" s="3734">
        <v>2123.171695555865</v>
      </c>
      <c r="C117" s="3736">
        <v>2776.7059870395669</v>
      </c>
      <c r="D117" s="3735">
        <f t="shared" si="1"/>
        <v>-653.53429148370196</v>
      </c>
    </row>
    <row r="118" spans="1:4" ht="12.75">
      <c r="A118" s="3729" t="s">
        <v>501</v>
      </c>
      <c r="B118" s="3734">
        <v>1981.8274919566888</v>
      </c>
      <c r="C118" s="3736">
        <v>2640.3537950673631</v>
      </c>
      <c r="D118" s="3735">
        <f t="shared" si="1"/>
        <v>-658.52630311067423</v>
      </c>
    </row>
    <row r="119" spans="1:4" ht="12.75">
      <c r="A119" s="3729" t="s">
        <v>502</v>
      </c>
      <c r="B119" s="3734">
        <v>2244.765240891179</v>
      </c>
      <c r="C119" s="3736">
        <v>2885.4283049786695</v>
      </c>
      <c r="D119" s="3735">
        <f t="shared" si="1"/>
        <v>-640.66306408749051</v>
      </c>
    </row>
    <row r="120" spans="1:4" ht="12.75">
      <c r="A120" s="3729" t="s">
        <v>503</v>
      </c>
      <c r="B120" s="3734">
        <v>2416.2839898136917</v>
      </c>
      <c r="C120" s="3736">
        <v>3444.4901374504771</v>
      </c>
      <c r="D120" s="3735">
        <f t="shared" si="1"/>
        <v>-1028.2061476367853</v>
      </c>
    </row>
    <row r="121" spans="1:4" ht="12.75">
      <c r="A121" s="3729" t="s">
        <v>504</v>
      </c>
      <c r="B121" s="3734">
        <v>2945.8589549910848</v>
      </c>
      <c r="C121" s="3736">
        <v>4318.5549383142343</v>
      </c>
      <c r="D121" s="3735">
        <f t="shared" si="1"/>
        <v>-1372.6959833231494</v>
      </c>
    </row>
    <row r="122" spans="1:4" ht="12.75">
      <c r="A122" s="3729" t="s">
        <v>505</v>
      </c>
      <c r="B122" s="3734">
        <v>3141.2336962613367</v>
      </c>
      <c r="C122" s="3736">
        <v>5038.8474637994086</v>
      </c>
      <c r="D122" s="3735">
        <f t="shared" si="1"/>
        <v>-1897.6137675380719</v>
      </c>
    </row>
    <row r="123" spans="1:4" ht="12.75">
      <c r="A123" s="3729" t="s">
        <v>506</v>
      </c>
      <c r="B123" s="3734">
        <v>3374.6111603437685</v>
      </c>
      <c r="C123" s="3736">
        <v>5155.6942603394446</v>
      </c>
      <c r="D123" s="3735">
        <f t="shared" si="1"/>
        <v>-1781.0830999956761</v>
      </c>
    </row>
    <row r="124" spans="1:4" ht="12.75">
      <c r="A124" s="3729" t="s">
        <v>507</v>
      </c>
      <c r="B124" s="3734">
        <v>3733.2698500894144</v>
      </c>
      <c r="C124" s="3736">
        <v>5721.0366310207164</v>
      </c>
      <c r="D124" s="3735">
        <f t="shared" si="1"/>
        <v>-1987.766780931302</v>
      </c>
    </row>
    <row r="125" spans="1:4" ht="12.75">
      <c r="A125" s="3729" t="s">
        <v>508</v>
      </c>
      <c r="B125" s="3734">
        <v>4166.7489155659232</v>
      </c>
      <c r="C125" s="3736">
        <v>5275.1433614793623</v>
      </c>
      <c r="D125" s="3735">
        <f t="shared" si="1"/>
        <v>-1108.3944459134391</v>
      </c>
    </row>
    <row r="126" spans="1:4" ht="12.75">
      <c r="A126" s="3729" t="s">
        <v>509</v>
      </c>
      <c r="B126" s="3734">
        <v>4233.781505415237</v>
      </c>
      <c r="C126" s="3736">
        <v>6464.8888460721109</v>
      </c>
      <c r="D126" s="3735">
        <f t="shared" si="1"/>
        <v>-2231.1073406568739</v>
      </c>
    </row>
    <row r="127" spans="1:4" ht="12.75">
      <c r="A127" s="3729" t="s">
        <v>510</v>
      </c>
      <c r="B127" s="3734">
        <v>3910.9716606379375</v>
      </c>
      <c r="C127" s="3736">
        <v>5373.6839141167566</v>
      </c>
      <c r="D127" s="3735">
        <f t="shared" si="1"/>
        <v>-1462.7122534788191</v>
      </c>
    </row>
    <row r="128" spans="1:4" ht="12.75">
      <c r="A128" s="3729" t="s">
        <v>511</v>
      </c>
      <c r="B128" s="3734">
        <v>3961.6473058392198</v>
      </c>
      <c r="C128" s="3736">
        <v>5519.1510576407054</v>
      </c>
      <c r="D128" s="3735">
        <f t="shared" si="1"/>
        <v>-1557.5037518014856</v>
      </c>
    </row>
    <row r="129" spans="1:4" ht="12.75">
      <c r="A129" s="3729" t="s">
        <v>512</v>
      </c>
      <c r="B129" s="3734">
        <v>4425.9455933505169</v>
      </c>
      <c r="C129" s="3736">
        <v>5214.5299089534592</v>
      </c>
      <c r="D129" s="3735">
        <f t="shared" si="1"/>
        <v>-788.5843156029423</v>
      </c>
    </row>
    <row r="130" spans="1:4" ht="12.75">
      <c r="A130" s="3729" t="s">
        <v>513</v>
      </c>
      <c r="B130" s="3734">
        <v>4179.4987629198886</v>
      </c>
      <c r="C130" s="3736">
        <v>5530.3441739008958</v>
      </c>
      <c r="D130" s="3735">
        <f t="shared" si="1"/>
        <v>-1350.8454109810073</v>
      </c>
    </row>
    <row r="131" spans="1:4" ht="12.75">
      <c r="A131" s="3729" t="s">
        <v>514</v>
      </c>
      <c r="B131" s="3734">
        <v>3874.2033744469827</v>
      </c>
      <c r="C131" s="3736">
        <v>5009.7036281179408</v>
      </c>
      <c r="D131" s="3735">
        <f t="shared" si="1"/>
        <v>-1135.500253670958</v>
      </c>
    </row>
    <row r="132" spans="1:4" ht="12.75">
      <c r="A132" s="3729" t="s">
        <v>515</v>
      </c>
      <c r="B132" s="3734">
        <v>4430.1450858748158</v>
      </c>
      <c r="C132" s="3736">
        <v>6033.8559679882756</v>
      </c>
      <c r="D132" s="3735">
        <f t="shared" si="1"/>
        <v>-1603.7108821134598</v>
      </c>
    </row>
    <row r="133" spans="1:4" ht="12.75">
      <c r="A133" s="3729" t="s">
        <v>516</v>
      </c>
      <c r="B133" s="3734">
        <v>4683.0015849892843</v>
      </c>
      <c r="C133" s="3736">
        <v>6342.8676261438068</v>
      </c>
      <c r="D133" s="3735">
        <f t="shared" si="1"/>
        <v>-1659.8660411545225</v>
      </c>
    </row>
    <row r="134" spans="1:4" ht="12.75">
      <c r="A134" s="3729" t="s">
        <v>517</v>
      </c>
      <c r="B134" s="3734">
        <v>4643.8757139821373</v>
      </c>
      <c r="C134" s="3736">
        <v>9133.8291757027473</v>
      </c>
      <c r="D134" s="3735">
        <f t="shared" si="1"/>
        <v>-4489.95346172061</v>
      </c>
    </row>
    <row r="135" spans="1:4" ht="12.75">
      <c r="A135" s="3729" t="s">
        <v>518</v>
      </c>
      <c r="B135" s="3734">
        <v>4212.0400608471882</v>
      </c>
      <c r="C135" s="3736">
        <v>6663.0801147063676</v>
      </c>
      <c r="D135" s="3735">
        <f t="shared" si="1"/>
        <v>-2451.0400538591794</v>
      </c>
    </row>
    <row r="136" spans="1:4" ht="12.75">
      <c r="A136" s="3729" t="s">
        <v>519</v>
      </c>
      <c r="B136" s="3734">
        <v>4416.9255892321407</v>
      </c>
      <c r="C136" s="3736">
        <v>6896.8080598338884</v>
      </c>
      <c r="D136" s="3735">
        <f t="shared" si="1"/>
        <v>-2479.8824706017476</v>
      </c>
    </row>
    <row r="137" spans="1:4" ht="12.75">
      <c r="A137" s="3729" t="s">
        <v>520</v>
      </c>
      <c r="B137" s="3734">
        <v>4766.0014993385576</v>
      </c>
      <c r="C137" s="3736">
        <v>6578.6995014172935</v>
      </c>
      <c r="D137" s="3735">
        <f t="shared" si="1"/>
        <v>-1812.698002078736</v>
      </c>
    </row>
    <row r="138" spans="1:4" ht="12.75">
      <c r="A138" s="3729" t="s">
        <v>521</v>
      </c>
      <c r="B138" s="3734" t="e">
        <v>#N/A</v>
      </c>
      <c r="C138" s="3736" t="e">
        <v>#N/A</v>
      </c>
      <c r="D138" s="3735" t="e">
        <f t="shared" si="1"/>
        <v>#N/A</v>
      </c>
    </row>
    <row r="139" spans="1:4" ht="12.75">
      <c r="A139" s="3729" t="s">
        <v>522</v>
      </c>
      <c r="B139" s="3734" t="e">
        <v>#N/A</v>
      </c>
      <c r="C139" s="3736" t="e">
        <v>#N/A</v>
      </c>
      <c r="D139" s="3735" t="e">
        <f t="shared" ref="D139:D157" si="2">+B139-C139</f>
        <v>#N/A</v>
      </c>
    </row>
    <row r="140" spans="1:4" ht="12.75">
      <c r="A140" s="3729" t="s">
        <v>523</v>
      </c>
      <c r="B140" s="3734" t="e">
        <v>#N/A</v>
      </c>
      <c r="C140" s="3736" t="e">
        <v>#N/A</v>
      </c>
      <c r="D140" s="3735" t="e">
        <f t="shared" si="2"/>
        <v>#N/A</v>
      </c>
    </row>
    <row r="141" spans="1:4" ht="12.75">
      <c r="A141" s="3729" t="s">
        <v>524</v>
      </c>
      <c r="B141" s="3734" t="e">
        <v>#N/A</v>
      </c>
      <c r="C141" s="3736" t="e">
        <v>#N/A</v>
      </c>
      <c r="D141" s="3735" t="e">
        <f t="shared" si="2"/>
        <v>#N/A</v>
      </c>
    </row>
    <row r="142" spans="1:4" ht="12.75">
      <c r="A142" s="3729" t="s">
        <v>525</v>
      </c>
      <c r="B142" s="3734" t="e">
        <v>#N/A</v>
      </c>
      <c r="C142" s="3736" t="e">
        <v>#N/A</v>
      </c>
      <c r="D142" s="3735" t="e">
        <f t="shared" si="2"/>
        <v>#N/A</v>
      </c>
    </row>
    <row r="143" spans="1:4" ht="12.75">
      <c r="A143" s="3729" t="s">
        <v>526</v>
      </c>
      <c r="B143" s="3734" t="e">
        <v>#N/A</v>
      </c>
      <c r="C143" s="3736" t="e">
        <v>#N/A</v>
      </c>
      <c r="D143" s="3735" t="e">
        <f t="shared" si="2"/>
        <v>#N/A</v>
      </c>
    </row>
    <row r="144" spans="1:4" ht="12.75">
      <c r="A144" s="3729" t="s">
        <v>527</v>
      </c>
      <c r="B144" s="3734" t="e">
        <v>#N/A</v>
      </c>
      <c r="C144" s="3736" t="e">
        <v>#N/A</v>
      </c>
      <c r="D144" s="3735" t="e">
        <f t="shared" si="2"/>
        <v>#N/A</v>
      </c>
    </row>
    <row r="145" spans="1:4" ht="12.75">
      <c r="A145" s="3729" t="s">
        <v>528</v>
      </c>
      <c r="B145" s="3734" t="e">
        <v>#N/A</v>
      </c>
      <c r="C145" s="3736" t="e">
        <v>#N/A</v>
      </c>
      <c r="D145" s="3735" t="e">
        <f t="shared" si="2"/>
        <v>#N/A</v>
      </c>
    </row>
    <row r="146" spans="1:4" ht="12.75">
      <c r="A146" s="3729" t="s">
        <v>529</v>
      </c>
      <c r="B146" s="3734" t="e">
        <v>#N/A</v>
      </c>
      <c r="C146" s="3736" t="e">
        <v>#N/A</v>
      </c>
      <c r="D146" s="3735" t="e">
        <f t="shared" si="2"/>
        <v>#N/A</v>
      </c>
    </row>
    <row r="147" spans="1:4" ht="12.75">
      <c r="A147" s="3729" t="s">
        <v>530</v>
      </c>
      <c r="B147" s="3734" t="e">
        <v>#N/A</v>
      </c>
      <c r="C147" s="3736" t="e">
        <v>#N/A</v>
      </c>
      <c r="D147" s="3735" t="e">
        <f t="shared" si="2"/>
        <v>#N/A</v>
      </c>
    </row>
    <row r="148" spans="1:4" ht="12.75">
      <c r="A148" s="3729" t="s">
        <v>531</v>
      </c>
      <c r="B148" s="3734" t="e">
        <v>#N/A</v>
      </c>
      <c r="C148" s="3736" t="e">
        <v>#N/A</v>
      </c>
      <c r="D148" s="3735" t="e">
        <f t="shared" si="2"/>
        <v>#N/A</v>
      </c>
    </row>
    <row r="149" spans="1:4" ht="12.75">
      <c r="A149" s="3729" t="s">
        <v>532</v>
      </c>
      <c r="B149" s="3734" t="e">
        <v>#N/A</v>
      </c>
      <c r="C149" s="3736" t="e">
        <v>#N/A</v>
      </c>
      <c r="D149" s="3735" t="e">
        <f t="shared" si="2"/>
        <v>#N/A</v>
      </c>
    </row>
    <row r="150" spans="1:4" ht="12.75">
      <c r="A150" s="3729" t="s">
        <v>533</v>
      </c>
      <c r="B150" s="3734" t="e">
        <v>#N/A</v>
      </c>
      <c r="C150" s="3736" t="e">
        <v>#N/A</v>
      </c>
      <c r="D150" s="3735" t="e">
        <f t="shared" si="2"/>
        <v>#N/A</v>
      </c>
    </row>
    <row r="151" spans="1:4" ht="12.75">
      <c r="A151" s="3729" t="s">
        <v>534</v>
      </c>
      <c r="B151" s="3734" t="e">
        <v>#N/A</v>
      </c>
      <c r="C151" s="3736" t="e">
        <v>#N/A</v>
      </c>
      <c r="D151" s="3735" t="e">
        <f t="shared" si="2"/>
        <v>#N/A</v>
      </c>
    </row>
    <row r="152" spans="1:4" ht="12.75">
      <c r="A152" s="3729" t="s">
        <v>535</v>
      </c>
      <c r="B152" s="3734" t="e">
        <v>#N/A</v>
      </c>
      <c r="C152" s="3736" t="e">
        <v>#N/A</v>
      </c>
      <c r="D152" s="3735" t="e">
        <f t="shared" si="2"/>
        <v>#N/A</v>
      </c>
    </row>
    <row r="153" spans="1:4" ht="12.75">
      <c r="A153" s="3729" t="s">
        <v>536</v>
      </c>
      <c r="B153" s="3734" t="e">
        <v>#N/A</v>
      </c>
      <c r="C153" s="3736" t="e">
        <v>#N/A</v>
      </c>
      <c r="D153" s="3735" t="e">
        <f t="shared" si="2"/>
        <v>#N/A</v>
      </c>
    </row>
    <row r="154" spans="1:4" ht="12.75">
      <c r="A154" s="3729" t="s">
        <v>537</v>
      </c>
      <c r="B154" s="3734" t="e">
        <v>#N/A</v>
      </c>
      <c r="C154" s="3736" t="e">
        <v>#N/A</v>
      </c>
      <c r="D154" s="3735" t="e">
        <f t="shared" si="2"/>
        <v>#N/A</v>
      </c>
    </row>
    <row r="155" spans="1:4" ht="12.75">
      <c r="A155" s="3729" t="s">
        <v>538</v>
      </c>
      <c r="B155" s="3734" t="e">
        <v>#N/A</v>
      </c>
      <c r="C155" s="3736" t="e">
        <v>#N/A</v>
      </c>
      <c r="D155" s="3735" t="e">
        <f t="shared" si="2"/>
        <v>#N/A</v>
      </c>
    </row>
    <row r="156" spans="1:4" ht="12.75">
      <c r="A156" s="3729" t="s">
        <v>539</v>
      </c>
      <c r="B156" s="3734" t="e">
        <v>#N/A</v>
      </c>
      <c r="C156" s="3736" t="e">
        <v>#N/A</v>
      </c>
      <c r="D156" s="3735" t="e">
        <f t="shared" si="2"/>
        <v>#N/A</v>
      </c>
    </row>
    <row r="157" spans="1:4" ht="12.75">
      <c r="A157" s="3729" t="s">
        <v>540</v>
      </c>
      <c r="B157" s="3734" t="e">
        <v>#N/A</v>
      </c>
      <c r="C157" s="3736" t="e">
        <v>#N/A</v>
      </c>
      <c r="D157" s="3735" t="e">
        <f t="shared" si="2"/>
        <v>#N/A</v>
      </c>
    </row>
  </sheetData>
  <hyperlinks>
    <hyperlink ref="A5" location="INDICE!A1" display="VOLVER AL ÍNDICE" xr:uid="{C09FF0CA-EFF4-4E1D-B9EB-84720AEE119E}"/>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8BFB8-04A3-4AEA-93A3-D1B7914C3661}">
  <dimension ref="A1:AE289"/>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5"/>
  <cols>
    <col min="1" max="1" width="10.5703125" style="2482" customWidth="1"/>
    <col min="2" max="15" width="12.42578125" style="2482" customWidth="1"/>
    <col min="16" max="16" width="11.42578125" style="2480"/>
    <col min="17" max="17" width="6.28515625" style="2480" bestFit="1" customWidth="1"/>
    <col min="18" max="16384" width="11.42578125" style="2480"/>
  </cols>
  <sheetData>
    <row r="1" spans="1:23" s="200" customFormat="1" ht="1.5" customHeight="1">
      <c r="A1" s="2734"/>
      <c r="B1" s="1450"/>
      <c r="C1" s="2559"/>
      <c r="D1" s="2559"/>
      <c r="E1" s="2559"/>
      <c r="F1" s="2559"/>
      <c r="G1" s="2559"/>
      <c r="H1" s="2559"/>
      <c r="I1" s="2560"/>
      <c r="J1" s="2472"/>
      <c r="K1" s="2569"/>
      <c r="L1" s="2472"/>
      <c r="M1" s="2472"/>
      <c r="N1" s="2472"/>
      <c r="O1" s="3080"/>
      <c r="P1" s="3746"/>
      <c r="Q1" s="3747"/>
      <c r="R1" s="3461"/>
      <c r="S1" s="3461"/>
      <c r="T1" s="3461"/>
      <c r="U1" s="3461"/>
      <c r="W1" s="3462"/>
    </row>
    <row r="2" spans="1:23" s="179" customFormat="1" ht="30" customHeight="1">
      <c r="A2" s="3081" t="s">
        <v>99</v>
      </c>
      <c r="B2" s="1450" t="s">
        <v>2093</v>
      </c>
      <c r="C2" s="2561"/>
      <c r="D2" s="2562"/>
      <c r="E2" s="2563"/>
      <c r="F2" s="2562"/>
      <c r="G2" s="2563"/>
      <c r="H2" s="3082"/>
      <c r="I2" s="2563"/>
      <c r="J2" s="2570"/>
      <c r="K2" s="1277"/>
      <c r="L2" s="2032"/>
      <c r="M2" s="1450"/>
      <c r="N2" s="2561"/>
      <c r="O2" s="2562"/>
      <c r="P2" s="3748" t="s">
        <v>2091</v>
      </c>
      <c r="Q2" s="3749"/>
      <c r="R2" s="3750"/>
      <c r="S2" s="3751"/>
      <c r="T2" s="3750"/>
      <c r="U2" s="3751"/>
      <c r="V2" s="1277"/>
      <c r="W2" s="3752"/>
    </row>
    <row r="3" spans="1:23" s="181" customFormat="1" ht="12.75">
      <c r="A3" s="2853" t="s">
        <v>193</v>
      </c>
      <c r="B3" s="2564" t="s">
        <v>1684</v>
      </c>
      <c r="C3" s="2565"/>
      <c r="D3" s="2566"/>
      <c r="E3" s="2567"/>
      <c r="F3" s="2566"/>
      <c r="G3" s="2566"/>
      <c r="H3" s="3083"/>
      <c r="I3" s="2568"/>
      <c r="J3" s="3083"/>
      <c r="K3" s="2568"/>
      <c r="L3" s="2571"/>
      <c r="M3" s="2566"/>
      <c r="N3" s="2580"/>
      <c r="O3" s="2581"/>
      <c r="P3" s="2564"/>
      <c r="Q3" s="2580"/>
      <c r="R3" s="3753"/>
      <c r="S3" s="2571"/>
      <c r="T3" s="3753"/>
      <c r="U3" s="2571"/>
      <c r="V3" s="3753"/>
      <c r="W3" s="3465"/>
    </row>
    <row r="4" spans="1:23" s="181" customFormat="1" ht="7.5" hidden="1" customHeight="1">
      <c r="A4" s="2853"/>
      <c r="B4" s="2564"/>
      <c r="C4" s="2565"/>
      <c r="D4" s="2566"/>
      <c r="E4" s="2567"/>
      <c r="F4" s="2566"/>
      <c r="G4" s="2566"/>
      <c r="H4" s="3083"/>
      <c r="I4" s="2568"/>
      <c r="J4" s="3083"/>
      <c r="K4" s="2568"/>
      <c r="L4" s="2571"/>
      <c r="M4" s="2566"/>
      <c r="N4" s="2568"/>
      <c r="O4" s="2581"/>
      <c r="P4" s="2564"/>
      <c r="Q4" s="2568"/>
      <c r="R4" s="3753"/>
      <c r="S4" s="2565"/>
      <c r="T4" s="3753"/>
      <c r="U4" s="2565"/>
      <c r="V4" s="3753"/>
      <c r="W4" s="3466"/>
    </row>
    <row r="5" spans="1:23" s="200" customFormat="1" ht="22.5">
      <c r="A5" s="3084" t="s">
        <v>140</v>
      </c>
      <c r="B5" s="2584" t="s">
        <v>1676</v>
      </c>
      <c r="C5" s="2561"/>
      <c r="D5" s="2562" t="s">
        <v>1677</v>
      </c>
      <c r="E5" s="2563"/>
      <c r="F5" s="2562" t="s">
        <v>1678</v>
      </c>
      <c r="G5" s="2563"/>
      <c r="H5" s="3082" t="s">
        <v>1679</v>
      </c>
      <c r="I5" s="2563"/>
      <c r="J5" s="2570" t="s">
        <v>1680</v>
      </c>
      <c r="K5" s="1277"/>
      <c r="L5" s="2070" t="s">
        <v>1681</v>
      </c>
      <c r="M5" s="2574" t="s">
        <v>1682</v>
      </c>
      <c r="N5" s="1277"/>
      <c r="O5" s="2067" t="s">
        <v>1683</v>
      </c>
      <c r="P5" s="3463" t="s">
        <v>1676</v>
      </c>
      <c r="Q5" s="1277"/>
      <c r="R5" s="3451" t="s">
        <v>1677</v>
      </c>
      <c r="S5" s="2561"/>
      <c r="T5" s="3451" t="s">
        <v>1678</v>
      </c>
      <c r="U5" s="2561"/>
      <c r="V5" s="3451" t="s">
        <v>1682</v>
      </c>
      <c r="W5" s="3464"/>
    </row>
    <row r="6" spans="1:23" s="200" customFormat="1" ht="11.25" hidden="1" customHeight="1">
      <c r="A6" s="2853"/>
      <c r="B6" s="2473"/>
      <c r="C6" s="2474"/>
      <c r="D6" s="2475"/>
      <c r="E6" s="2474"/>
      <c r="F6" s="2475"/>
      <c r="G6" s="2476"/>
      <c r="H6" s="2477"/>
      <c r="I6" s="2478"/>
      <c r="J6" s="2477"/>
      <c r="K6" s="2478"/>
      <c r="L6" s="2474"/>
      <c r="M6" s="2475"/>
      <c r="N6" s="2478"/>
      <c r="O6" s="2582"/>
      <c r="P6" s="2473"/>
      <c r="Q6" s="2478"/>
      <c r="R6" s="2477"/>
      <c r="S6" s="2476"/>
      <c r="T6" s="2477"/>
      <c r="U6" s="2476"/>
      <c r="V6" s="2477"/>
      <c r="W6" s="3467"/>
    </row>
    <row r="7" spans="1:23" s="200" customFormat="1" ht="56.25">
      <c r="A7" s="2853" t="s">
        <v>125</v>
      </c>
      <c r="B7" s="1451" t="s">
        <v>2089</v>
      </c>
      <c r="C7" s="2035" t="s">
        <v>127</v>
      </c>
      <c r="D7" s="725" t="s">
        <v>2089</v>
      </c>
      <c r="E7" s="2035" t="s">
        <v>127</v>
      </c>
      <c r="F7" s="725" t="s">
        <v>2089</v>
      </c>
      <c r="G7" s="2035" t="s">
        <v>127</v>
      </c>
      <c r="H7" s="725" t="s">
        <v>2090</v>
      </c>
      <c r="I7" s="2035" t="s">
        <v>127</v>
      </c>
      <c r="J7" s="725" t="s">
        <v>2089</v>
      </c>
      <c r="K7" s="275" t="s">
        <v>127</v>
      </c>
      <c r="L7" s="2035" t="s">
        <v>2089</v>
      </c>
      <c r="M7" s="725" t="s">
        <v>2090</v>
      </c>
      <c r="N7" s="275" t="s">
        <v>127</v>
      </c>
      <c r="O7" s="2115" t="s">
        <v>2090</v>
      </c>
      <c r="P7" s="1451" t="s">
        <v>241</v>
      </c>
      <c r="Q7" s="275" t="s">
        <v>241</v>
      </c>
      <c r="R7" s="725" t="s">
        <v>241</v>
      </c>
      <c r="S7" s="1289" t="s">
        <v>241</v>
      </c>
      <c r="T7" s="725" t="s">
        <v>241</v>
      </c>
      <c r="U7" s="1289" t="s">
        <v>241</v>
      </c>
      <c r="V7" s="725" t="s">
        <v>241</v>
      </c>
      <c r="W7" s="735" t="s">
        <v>241</v>
      </c>
    </row>
    <row r="8" spans="1:23" s="200" customFormat="1" ht="11.25">
      <c r="A8" s="3002" t="s">
        <v>144</v>
      </c>
      <c r="B8" s="3738" t="s">
        <v>1697</v>
      </c>
      <c r="C8" s="3739" t="s">
        <v>1698</v>
      </c>
      <c r="D8" s="3740" t="s">
        <v>1699</v>
      </c>
      <c r="E8" s="3739" t="s">
        <v>1700</v>
      </c>
      <c r="F8" s="3740" t="s">
        <v>1701</v>
      </c>
      <c r="G8" s="3741" t="s">
        <v>1702</v>
      </c>
      <c r="H8" s="3740" t="s">
        <v>1702</v>
      </c>
      <c r="I8" s="3741" t="s">
        <v>1703</v>
      </c>
      <c r="J8" s="3740" t="s">
        <v>1704</v>
      </c>
      <c r="K8" s="3741" t="s">
        <v>1705</v>
      </c>
      <c r="L8" s="3742" t="s">
        <v>1706</v>
      </c>
      <c r="M8" s="3743" t="s">
        <v>2084</v>
      </c>
      <c r="N8" s="3741" t="s">
        <v>2085</v>
      </c>
      <c r="O8" s="3744" t="s">
        <v>2086</v>
      </c>
      <c r="P8" s="3738" t="s">
        <v>2087</v>
      </c>
      <c r="Q8" s="3741" t="s">
        <v>2088</v>
      </c>
      <c r="R8" s="3740" t="s">
        <v>2078</v>
      </c>
      <c r="S8" s="3739" t="s">
        <v>2079</v>
      </c>
      <c r="T8" s="3740" t="s">
        <v>2080</v>
      </c>
      <c r="U8" s="3739" t="s">
        <v>2081</v>
      </c>
      <c r="V8" s="3740" t="s">
        <v>2082</v>
      </c>
      <c r="W8" s="3745" t="s">
        <v>2083</v>
      </c>
    </row>
    <row r="9" spans="1:23" s="179" customFormat="1" ht="13.5" thickBot="1">
      <c r="A9" s="2140" t="s">
        <v>1689</v>
      </c>
      <c r="B9" s="2634" t="s">
        <v>724</v>
      </c>
      <c r="C9" s="2635"/>
      <c r="D9" s="2636"/>
      <c r="E9" s="2635"/>
      <c r="F9" s="2636"/>
      <c r="G9" s="2637"/>
      <c r="H9" s="2636"/>
      <c r="I9" s="2637"/>
      <c r="J9" s="2636" t="s">
        <v>703</v>
      </c>
      <c r="K9" s="2638"/>
      <c r="L9" s="2639"/>
      <c r="M9" s="2640"/>
      <c r="N9" s="2637"/>
      <c r="O9" s="2641"/>
      <c r="P9" s="3468"/>
      <c r="Q9" s="2637"/>
      <c r="R9" s="2636"/>
      <c r="S9" s="2635"/>
      <c r="T9" s="2636"/>
      <c r="U9" s="2635"/>
      <c r="V9" s="2636"/>
      <c r="W9" s="3469"/>
    </row>
    <row r="10" spans="1:23" s="2484" customFormat="1" ht="12.75" customHeight="1">
      <c r="A10" s="2479">
        <v>1980</v>
      </c>
      <c r="B10" s="2485"/>
      <c r="C10" s="2486"/>
      <c r="D10" s="2575"/>
      <c r="E10" s="2576"/>
      <c r="F10" s="2575"/>
      <c r="G10" s="2577"/>
      <c r="H10" s="2557"/>
      <c r="I10" s="2491"/>
      <c r="J10" s="2578">
        <v>8021.4179940000004</v>
      </c>
      <c r="K10" s="2491"/>
      <c r="L10" s="2633"/>
      <c r="M10" s="2579">
        <v>10540.602665999999</v>
      </c>
      <c r="N10" s="3671"/>
      <c r="O10" s="2585"/>
      <c r="P10" s="2485"/>
      <c r="Q10" s="3452"/>
      <c r="R10" s="2557"/>
      <c r="S10" s="2633"/>
      <c r="T10" s="2557"/>
      <c r="U10" s="2633"/>
      <c r="V10" s="2557"/>
      <c r="W10" s="3470"/>
    </row>
    <row r="11" spans="1:23" s="2484" customFormat="1" ht="12.75" customHeight="1">
      <c r="A11" s="2479">
        <v>1981</v>
      </c>
      <c r="B11" s="2485"/>
      <c r="C11" s="2486"/>
      <c r="D11" s="2487"/>
      <c r="E11" s="2488"/>
      <c r="F11" s="2487"/>
      <c r="G11" s="2489"/>
      <c r="H11" s="2557"/>
      <c r="I11" s="2491"/>
      <c r="J11" s="2490">
        <v>9143.0444659999994</v>
      </c>
      <c r="K11" s="2491"/>
      <c r="L11" s="2633"/>
      <c r="M11" s="2572">
        <v>9430.2261930000004</v>
      </c>
      <c r="N11" s="3671"/>
      <c r="O11" s="2585"/>
      <c r="P11" s="2485"/>
      <c r="Q11" s="3452"/>
      <c r="R11" s="2557"/>
      <c r="S11" s="2633"/>
      <c r="T11" s="2557"/>
      <c r="U11" s="2633"/>
      <c r="V11" s="2557"/>
      <c r="W11" s="3470"/>
    </row>
    <row r="12" spans="1:23" s="2484" customFormat="1" ht="12.75" customHeight="1">
      <c r="A12" s="2479">
        <v>1982</v>
      </c>
      <c r="B12" s="2485"/>
      <c r="C12" s="2486"/>
      <c r="D12" s="2487"/>
      <c r="E12" s="2488"/>
      <c r="F12" s="2487"/>
      <c r="G12" s="2489"/>
      <c r="H12" s="2557"/>
      <c r="I12" s="2491"/>
      <c r="J12" s="2490">
        <v>7624.9364370000003</v>
      </c>
      <c r="K12" s="2491"/>
      <c r="L12" s="2633"/>
      <c r="M12" s="2572">
        <v>5336.9141449999997</v>
      </c>
      <c r="N12" s="3671"/>
      <c r="O12" s="2585"/>
      <c r="P12" s="2485"/>
      <c r="Q12" s="3452"/>
      <c r="R12" s="2557"/>
      <c r="S12" s="2633"/>
      <c r="T12" s="2557"/>
      <c r="U12" s="2633"/>
      <c r="V12" s="2557"/>
      <c r="W12" s="3470"/>
    </row>
    <row r="13" spans="1:23" s="2484" customFormat="1" ht="12.75" customHeight="1">
      <c r="A13" s="2479">
        <v>1983</v>
      </c>
      <c r="B13" s="2485"/>
      <c r="C13" s="2486"/>
      <c r="D13" s="2487"/>
      <c r="E13" s="2488"/>
      <c r="F13" s="2487"/>
      <c r="G13" s="2489"/>
      <c r="H13" s="2557"/>
      <c r="I13" s="2491"/>
      <c r="J13" s="2490">
        <v>7836.0628880000004</v>
      </c>
      <c r="K13" s="2491"/>
      <c r="L13" s="2633"/>
      <c r="M13" s="2572">
        <v>4504.1556140000002</v>
      </c>
      <c r="N13" s="3671"/>
      <c r="O13" s="2585"/>
      <c r="P13" s="2485"/>
      <c r="Q13" s="3452"/>
      <c r="R13" s="2557"/>
      <c r="S13" s="2633"/>
      <c r="T13" s="2557"/>
      <c r="U13" s="2633"/>
      <c r="V13" s="2557"/>
      <c r="W13" s="3470"/>
    </row>
    <row r="14" spans="1:23" s="2484" customFormat="1" ht="12.75" customHeight="1">
      <c r="A14" s="2479">
        <v>1984</v>
      </c>
      <c r="B14" s="2485"/>
      <c r="C14" s="2486"/>
      <c r="D14" s="2487"/>
      <c r="E14" s="2488"/>
      <c r="F14" s="2487"/>
      <c r="G14" s="2489"/>
      <c r="H14" s="2557"/>
      <c r="I14" s="2491"/>
      <c r="J14" s="2490">
        <v>8107.4049759999998</v>
      </c>
      <c r="K14" s="2491"/>
      <c r="L14" s="2633"/>
      <c r="M14" s="2572">
        <v>4584.6722740000005</v>
      </c>
      <c r="N14" s="3671"/>
      <c r="O14" s="2585"/>
      <c r="P14" s="2485"/>
      <c r="Q14" s="3452"/>
      <c r="R14" s="2557"/>
      <c r="S14" s="2633"/>
      <c r="T14" s="2557"/>
      <c r="U14" s="2633"/>
      <c r="V14" s="2557"/>
      <c r="W14" s="3470"/>
    </row>
    <row r="15" spans="1:23" s="2484" customFormat="1" ht="12.75" customHeight="1">
      <c r="A15" s="2479">
        <v>1985</v>
      </c>
      <c r="B15" s="2485"/>
      <c r="C15" s="2486"/>
      <c r="D15" s="2487"/>
      <c r="E15" s="2488"/>
      <c r="F15" s="2487"/>
      <c r="G15" s="2489"/>
      <c r="H15" s="2557"/>
      <c r="I15" s="2491"/>
      <c r="J15" s="2490">
        <v>8396.017049</v>
      </c>
      <c r="K15" s="2491"/>
      <c r="L15" s="2633"/>
      <c r="M15" s="2572">
        <v>3814.1481610000001</v>
      </c>
      <c r="N15" s="3671"/>
      <c r="O15" s="2585"/>
      <c r="P15" s="2485"/>
      <c r="Q15" s="3452"/>
      <c r="R15" s="2557"/>
      <c r="S15" s="2633"/>
      <c r="T15" s="2557"/>
      <c r="U15" s="2633"/>
      <c r="V15" s="2557"/>
      <c r="W15" s="3470"/>
    </row>
    <row r="16" spans="1:23" s="2484" customFormat="1" ht="12.75" customHeight="1">
      <c r="A16" s="2479">
        <v>1986</v>
      </c>
      <c r="B16" s="2485"/>
      <c r="C16" s="2486"/>
      <c r="D16" s="2487"/>
      <c r="E16" s="2488"/>
      <c r="F16" s="2487"/>
      <c r="G16" s="2489"/>
      <c r="H16" s="2557"/>
      <c r="I16" s="2491"/>
      <c r="J16" s="2490">
        <v>6852.2127180000007</v>
      </c>
      <c r="K16" s="2491"/>
      <c r="L16" s="2633"/>
      <c r="M16" s="2572">
        <v>4724.052756</v>
      </c>
      <c r="N16" s="3671"/>
      <c r="O16" s="2585"/>
      <c r="P16" s="2485"/>
      <c r="Q16" s="3452"/>
      <c r="R16" s="2557"/>
      <c r="S16" s="2633"/>
      <c r="T16" s="2557"/>
      <c r="U16" s="2633"/>
      <c r="V16" s="2557"/>
      <c r="W16" s="3470"/>
    </row>
    <row r="17" spans="1:31" s="2484" customFormat="1" ht="12.75" customHeight="1">
      <c r="A17" s="2479">
        <v>1987</v>
      </c>
      <c r="B17" s="2485"/>
      <c r="C17" s="2486"/>
      <c r="D17" s="2487"/>
      <c r="E17" s="2488"/>
      <c r="F17" s="2487"/>
      <c r="G17" s="2489"/>
      <c r="H17" s="2557"/>
      <c r="I17" s="2491"/>
      <c r="J17" s="2490">
        <v>6370.6329999999998</v>
      </c>
      <c r="K17" s="2491"/>
      <c r="L17" s="2633"/>
      <c r="M17" s="2572">
        <v>5817.8182649999999</v>
      </c>
      <c r="N17" s="3671"/>
      <c r="O17" s="2585"/>
      <c r="P17" s="2485"/>
      <c r="Q17" s="3452"/>
      <c r="R17" s="2557"/>
      <c r="S17" s="2633"/>
      <c r="T17" s="2557"/>
      <c r="U17" s="2633"/>
      <c r="V17" s="2557"/>
      <c r="W17" s="3470"/>
    </row>
    <row r="18" spans="1:31" s="2484" customFormat="1" ht="12.75" customHeight="1">
      <c r="A18" s="2479">
        <v>1988</v>
      </c>
      <c r="B18" s="2485"/>
      <c r="C18" s="2486"/>
      <c r="D18" s="2487"/>
      <c r="E18" s="2488"/>
      <c r="F18" s="2487"/>
      <c r="G18" s="2489"/>
      <c r="H18" s="2557"/>
      <c r="I18" s="2491"/>
      <c r="J18" s="2490">
        <v>9134.8115330000001</v>
      </c>
      <c r="K18" s="2491"/>
      <c r="L18" s="2633"/>
      <c r="M18" s="2572">
        <v>5321.5646849999994</v>
      </c>
      <c r="N18" s="3671"/>
      <c r="O18" s="2585"/>
      <c r="P18" s="2485"/>
      <c r="Q18" s="3452"/>
      <c r="R18" s="2557"/>
      <c r="S18" s="2633"/>
      <c r="T18" s="2557"/>
      <c r="U18" s="2633"/>
      <c r="V18" s="2557"/>
      <c r="W18" s="3470"/>
    </row>
    <row r="19" spans="1:31" s="2484" customFormat="1" ht="12.75" customHeight="1">
      <c r="A19" s="2479">
        <v>1989</v>
      </c>
      <c r="B19" s="2485"/>
      <c r="C19" s="2486"/>
      <c r="D19" s="2487"/>
      <c r="E19" s="2488"/>
      <c r="F19" s="2487"/>
      <c r="G19" s="2489"/>
      <c r="H19" s="2557"/>
      <c r="I19" s="2491"/>
      <c r="J19" s="2490">
        <v>9579.2705800000003</v>
      </c>
      <c r="K19" s="2491"/>
      <c r="L19" s="2633"/>
      <c r="M19" s="2572">
        <v>4203.1944400000002</v>
      </c>
      <c r="N19" s="3671"/>
      <c r="O19" s="2585"/>
      <c r="P19" s="2485"/>
      <c r="Q19" s="3452"/>
      <c r="R19" s="2557"/>
      <c r="S19" s="2633"/>
      <c r="T19" s="2557"/>
      <c r="U19" s="2633"/>
      <c r="V19" s="2557"/>
      <c r="W19" s="3470"/>
    </row>
    <row r="20" spans="1:31" s="2484" customFormat="1" ht="12.75" customHeight="1">
      <c r="A20" s="2479">
        <v>1990</v>
      </c>
      <c r="B20" s="2485"/>
      <c r="C20" s="2486"/>
      <c r="D20" s="2487"/>
      <c r="E20" s="2488"/>
      <c r="F20" s="2487"/>
      <c r="G20" s="2489"/>
      <c r="H20" s="2557"/>
      <c r="I20" s="2491"/>
      <c r="J20" s="2507">
        <f>+_xlfn.AGGREGATE(9,6,'6.2'!B10:B21)</f>
        <v>12352.532085999999</v>
      </c>
      <c r="K20" s="2491"/>
      <c r="L20" s="2633"/>
      <c r="M20" s="2573">
        <f>+_xlfn.AGGREGATE(9,6,'6.2'!C10:C21)</f>
        <v>4076.6650019999997</v>
      </c>
      <c r="N20" s="3671"/>
      <c r="O20" s="2585"/>
      <c r="P20" s="2485"/>
      <c r="Q20" s="3452"/>
      <c r="R20" s="2557"/>
      <c r="S20" s="2633"/>
      <c r="T20" s="2557"/>
      <c r="U20" s="2633"/>
      <c r="V20" s="2557"/>
      <c r="W20" s="3470"/>
    </row>
    <row r="21" spans="1:31" s="2484" customFormat="1" ht="12.75" customHeight="1">
      <c r="A21" s="2479">
        <v>1991</v>
      </c>
      <c r="B21" s="2485"/>
      <c r="C21" s="2486"/>
      <c r="D21" s="2487"/>
      <c r="E21" s="2488"/>
      <c r="F21" s="2487"/>
      <c r="G21" s="2489"/>
      <c r="H21" s="2557"/>
      <c r="I21" s="2491"/>
      <c r="J21" s="2507">
        <f>+_xlfn.AGGREGATE(9,6,'6.2'!B22:B33)</f>
        <v>11977.785416000001</v>
      </c>
      <c r="K21" s="2491"/>
      <c r="L21" s="2633"/>
      <c r="M21" s="2573">
        <f>+_xlfn.AGGREGATE(9,6,'6.2'!C22:C33)</f>
        <v>8275.2709340000001</v>
      </c>
      <c r="N21" s="3671"/>
      <c r="O21" s="2585"/>
      <c r="P21" s="2485"/>
      <c r="Q21" s="3452"/>
      <c r="R21" s="2557"/>
      <c r="S21" s="2633"/>
      <c r="T21" s="2557"/>
      <c r="U21" s="2633"/>
      <c r="V21" s="2557"/>
      <c r="W21" s="3470"/>
    </row>
    <row r="22" spans="1:31" s="2484" customFormat="1" ht="12.75" customHeight="1" thickBot="1">
      <c r="A22" s="2479">
        <v>1992</v>
      </c>
      <c r="B22" s="2485"/>
      <c r="C22" s="2486"/>
      <c r="D22" s="2487"/>
      <c r="E22" s="2488"/>
      <c r="F22" s="2487"/>
      <c r="G22" s="2489"/>
      <c r="H22" s="2557"/>
      <c r="I22" s="2491"/>
      <c r="J22" s="2507">
        <f>+_xlfn.AGGREGATE(9,6,'6.2'!B34:B45)</f>
        <v>12234.948744999998</v>
      </c>
      <c r="K22" s="2491"/>
      <c r="L22" s="2633"/>
      <c r="M22" s="2573">
        <f>+_xlfn.AGGREGATE(9,6,'6.2'!C34:C45)</f>
        <v>14871.754167999999</v>
      </c>
      <c r="N22" s="3671"/>
      <c r="O22" s="2585"/>
      <c r="P22" s="2485"/>
      <c r="Q22" s="3452"/>
      <c r="R22" s="2557"/>
      <c r="S22" s="2633"/>
      <c r="T22" s="2557"/>
      <c r="U22" s="2633"/>
      <c r="V22" s="2557"/>
      <c r="W22" s="3470"/>
    </row>
    <row r="23" spans="1:31" s="2484" customFormat="1" ht="12.75" customHeight="1">
      <c r="A23" s="2479">
        <v>1993</v>
      </c>
      <c r="B23" s="2493">
        <v>2501.8690000000001</v>
      </c>
      <c r="C23" s="2486"/>
      <c r="D23" s="2487"/>
      <c r="E23" s="2488"/>
      <c r="F23" s="2487"/>
      <c r="G23" s="2489"/>
      <c r="H23" s="2557"/>
      <c r="I23" s="2491"/>
      <c r="J23" s="2507">
        <f>+_xlfn.AGGREGATE(9,6,'6.2'!B46:B57)</f>
        <v>13117.75794</v>
      </c>
      <c r="K23" s="2491"/>
      <c r="L23" s="2633"/>
      <c r="M23" s="2573">
        <f>+_xlfn.AGGREGATE(9,6,'6.2'!C46:C57)</f>
        <v>16783.512927</v>
      </c>
      <c r="N23" s="3671"/>
      <c r="O23" s="2585"/>
      <c r="P23" s="3448">
        <f t="shared" ref="P23:R60" si="0">+B23/$J23</f>
        <v>0.19072382730672649</v>
      </c>
      <c r="Q23" s="3452"/>
      <c r="R23" s="2557"/>
      <c r="S23" s="2633"/>
      <c r="T23" s="2557"/>
      <c r="U23" s="2633"/>
      <c r="V23" s="2557"/>
      <c r="W23" s="3470"/>
    </row>
    <row r="24" spans="1:31" ht="12.75" customHeight="1">
      <c r="A24" s="2479">
        <v>1994</v>
      </c>
      <c r="B24" s="2494">
        <v>2838.1</v>
      </c>
      <c r="C24" s="2495"/>
      <c r="D24" s="2487"/>
      <c r="E24" s="2488"/>
      <c r="F24" s="2487"/>
      <c r="G24" s="2489"/>
      <c r="H24" s="2557"/>
      <c r="I24" s="2491"/>
      <c r="J24" s="2507">
        <f>+_xlfn.AGGREGATE(9,6,'6.2'!B58:B69)</f>
        <v>15839.213455000001</v>
      </c>
      <c r="K24" s="2554"/>
      <c r="L24" s="2633"/>
      <c r="M24" s="2573">
        <f>+_xlfn.AGGREGATE(9,6,'6.2'!C58:C69)</f>
        <v>21590.255377999998</v>
      </c>
      <c r="N24" s="3671"/>
      <c r="O24" s="2585"/>
      <c r="P24" s="3471">
        <f t="shared" si="0"/>
        <v>0.17918187718494888</v>
      </c>
      <c r="Q24" s="3452"/>
      <c r="R24" s="2557"/>
      <c r="S24" s="2633"/>
      <c r="T24" s="2557"/>
      <c r="U24" s="2633"/>
      <c r="V24" s="2557"/>
      <c r="W24" s="3470"/>
    </row>
    <row r="25" spans="1:31" ht="12.75" customHeight="1">
      <c r="A25" s="2479">
        <v>1995</v>
      </c>
      <c r="B25" s="2494">
        <v>3455.9</v>
      </c>
      <c r="C25" s="2496"/>
      <c r="D25" s="2487"/>
      <c r="E25" s="2488"/>
      <c r="F25" s="2487"/>
      <c r="G25" s="2489"/>
      <c r="H25" s="2557"/>
      <c r="I25" s="2491"/>
      <c r="J25" s="2507">
        <f>+_xlfn.AGGREGATE(9,6,'6.2'!B70:B81)</f>
        <v>20963.108138</v>
      </c>
      <c r="K25" s="2555"/>
      <c r="L25" s="2633"/>
      <c r="M25" s="2573">
        <f>+_xlfn.AGGREGATE(9,6,'6.2'!C70:C81)</f>
        <v>20121.682492</v>
      </c>
      <c r="N25" s="3671"/>
      <c r="O25" s="2585"/>
      <c r="P25" s="3471">
        <f t="shared" si="0"/>
        <v>0.16485627881370615</v>
      </c>
      <c r="Q25" s="3452"/>
      <c r="R25" s="2557"/>
      <c r="S25" s="2633"/>
      <c r="T25" s="2557"/>
      <c r="U25" s="2633"/>
      <c r="V25" s="2557"/>
      <c r="W25" s="3470"/>
    </row>
    <row r="26" spans="1:31" ht="12.75" customHeight="1" thickBot="1">
      <c r="A26" s="2479">
        <v>1996</v>
      </c>
      <c r="B26" s="2494">
        <v>4218</v>
      </c>
      <c r="C26" s="2496"/>
      <c r="D26" s="2487"/>
      <c r="E26" s="2488"/>
      <c r="F26" s="2487"/>
      <c r="G26" s="2489"/>
      <c r="H26" s="2557"/>
      <c r="I26" s="2491"/>
      <c r="J26" s="2507">
        <f>+_xlfn.AGGREGATE(9,6,'6.2'!B82:B93)</f>
        <v>23810.716973000002</v>
      </c>
      <c r="K26" s="2555"/>
      <c r="L26" s="2633"/>
      <c r="M26" s="2573">
        <f>+_xlfn.AGGREGATE(9,6,'6.2'!C82:C93)</f>
        <v>23761.808892000001</v>
      </c>
      <c r="N26" s="3671"/>
      <c r="O26" s="2585"/>
      <c r="P26" s="3471">
        <f t="shared" si="0"/>
        <v>0.17714712264998034</v>
      </c>
      <c r="Q26" s="3452"/>
      <c r="R26" s="2557"/>
      <c r="S26" s="2488"/>
      <c r="T26" s="2557"/>
      <c r="U26" s="2488"/>
      <c r="V26" s="2557"/>
      <c r="W26" s="3470"/>
      <c r="X26" s="177"/>
      <c r="Y26" s="177"/>
      <c r="Z26" s="177"/>
      <c r="AA26" s="177"/>
      <c r="AB26" s="177"/>
      <c r="AC26" s="177"/>
      <c r="AD26" s="177"/>
      <c r="AE26" s="177"/>
    </row>
    <row r="27" spans="1:31" ht="12.75" customHeight="1">
      <c r="A27" s="2479">
        <v>1997</v>
      </c>
      <c r="B27" s="2494">
        <v>4253.3</v>
      </c>
      <c r="C27" s="2497">
        <v>13050578</v>
      </c>
      <c r="D27" s="2487"/>
      <c r="E27" s="2488"/>
      <c r="F27" s="2487"/>
      <c r="G27" s="2489"/>
      <c r="H27" s="2557"/>
      <c r="I27" s="2491"/>
      <c r="J27" s="2507">
        <f>+_xlfn.AGGREGATE(9,6,'6.2'!B94:B105)</f>
        <v>26430.854519</v>
      </c>
      <c r="K27" s="2556">
        <v>70165157</v>
      </c>
      <c r="L27" s="2633"/>
      <c r="M27" s="2573">
        <f>+_xlfn.AGGREGATE(9,6,'6.2'!C94:C105)</f>
        <v>30450.183958000001</v>
      </c>
      <c r="N27" s="3671"/>
      <c r="O27" s="2585"/>
      <c r="P27" s="3471">
        <f t="shared" si="0"/>
        <v>0.16092177409332287</v>
      </c>
      <c r="Q27" s="3453">
        <f>+C27/$K27</f>
        <v>0.18599798757665431</v>
      </c>
      <c r="R27" s="2557"/>
      <c r="S27" s="2488"/>
      <c r="T27" s="2557"/>
      <c r="U27" s="2488"/>
      <c r="V27" s="2557"/>
      <c r="W27" s="3470"/>
      <c r="X27" s="177"/>
      <c r="Y27" s="177"/>
      <c r="Z27" s="177"/>
      <c r="AA27" s="177"/>
      <c r="AB27" s="177"/>
      <c r="AC27" s="177"/>
      <c r="AD27" s="177"/>
      <c r="AE27" s="177"/>
    </row>
    <row r="28" spans="1:31" ht="12.75" customHeight="1">
      <c r="A28" s="2479">
        <v>1998</v>
      </c>
      <c r="B28" s="2494">
        <v>4606.2</v>
      </c>
      <c r="C28" s="2498">
        <v>17442174</v>
      </c>
      <c r="D28" s="2487"/>
      <c r="E28" s="2488"/>
      <c r="F28" s="2487"/>
      <c r="G28" s="2489"/>
      <c r="H28" s="2557"/>
      <c r="I28" s="2491"/>
      <c r="J28" s="2507">
        <f>+_xlfn.AGGREGATE(9,6,'6.2'!B106:B117)</f>
        <v>26433.698394000003</v>
      </c>
      <c r="K28" s="2506">
        <v>82505183</v>
      </c>
      <c r="L28" s="2633"/>
      <c r="M28" s="2573">
        <f>+_xlfn.AGGREGATE(9,6,'6.2'!C106:C117)</f>
        <v>31377.360270999998</v>
      </c>
      <c r="N28" s="3671"/>
      <c r="O28" s="2585"/>
      <c r="P28" s="3471">
        <f t="shared" si="0"/>
        <v>0.1742548443787014</v>
      </c>
      <c r="Q28" s="3454">
        <f t="shared" ref="Q28:Q60" si="1">+C28/$K28</f>
        <v>0.21140700942388069</v>
      </c>
      <c r="R28" s="2557"/>
      <c r="S28" s="2488"/>
      <c r="T28" s="2557"/>
      <c r="U28" s="2488"/>
      <c r="V28" s="2557"/>
      <c r="W28" s="3470"/>
      <c r="X28" s="177"/>
      <c r="Y28" s="177"/>
      <c r="Z28" s="177"/>
      <c r="AA28" s="177"/>
      <c r="AB28" s="177"/>
      <c r="AC28" s="177"/>
      <c r="AD28" s="177"/>
      <c r="AE28" s="177"/>
    </row>
    <row r="29" spans="1:31" ht="12.75" customHeight="1">
      <c r="A29" s="2479">
        <v>1999</v>
      </c>
      <c r="B29" s="2494">
        <v>4187.8999999999996</v>
      </c>
      <c r="C29" s="2498">
        <v>18753840</v>
      </c>
      <c r="D29" s="2487"/>
      <c r="E29" s="2488"/>
      <c r="F29" s="2487"/>
      <c r="G29" s="2489"/>
      <c r="H29" s="2557"/>
      <c r="I29" s="2491"/>
      <c r="J29" s="2507">
        <f>+_xlfn.AGGREGATE(9,6,'6.2'!B118:B129)</f>
        <v>23308.634742999999</v>
      </c>
      <c r="K29" s="2506">
        <v>78074028</v>
      </c>
      <c r="L29" s="2633"/>
      <c r="M29" s="2573">
        <f>+_xlfn.AGGREGATE(9,6,'6.2'!C118:C129)</f>
        <v>25508.157375999999</v>
      </c>
      <c r="N29" s="3671"/>
      <c r="O29" s="2585"/>
      <c r="P29" s="3471">
        <f t="shared" si="0"/>
        <v>0.17967161295269346</v>
      </c>
      <c r="Q29" s="3454">
        <f t="shared" si="1"/>
        <v>0.2402058723036552</v>
      </c>
      <c r="R29" s="2557"/>
      <c r="S29" s="2488"/>
      <c r="T29" s="2557"/>
      <c r="U29" s="2488"/>
      <c r="V29" s="2557"/>
      <c r="W29" s="3470"/>
      <c r="X29" s="177"/>
      <c r="Y29" s="177"/>
      <c r="Z29" s="177"/>
      <c r="AA29" s="177"/>
      <c r="AB29" s="177"/>
      <c r="AC29" s="177"/>
      <c r="AD29" s="177"/>
      <c r="AE29" s="177"/>
    </row>
    <row r="30" spans="1:31" ht="12.75" customHeight="1">
      <c r="A30" s="2479">
        <v>2000</v>
      </c>
      <c r="B30" s="2494">
        <v>4304.4931939999997</v>
      </c>
      <c r="C30" s="2498">
        <v>18730568.384550001</v>
      </c>
      <c r="D30" s="2487"/>
      <c r="E30" s="2488"/>
      <c r="F30" s="2487"/>
      <c r="G30" s="2489"/>
      <c r="H30" s="2557"/>
      <c r="I30" s="2491"/>
      <c r="J30" s="2507">
        <f>+_xlfn.AGGREGATE(9,6,'6.2'!B130:B141)</f>
        <v>26341.028985000004</v>
      </c>
      <c r="K30" s="2506">
        <v>82610069</v>
      </c>
      <c r="L30" s="2633"/>
      <c r="M30" s="2573">
        <f>+_xlfn.AGGREGATE(9,6,'6.2'!C130:C141)</f>
        <v>25280.485213999997</v>
      </c>
      <c r="N30" s="3671"/>
      <c r="O30" s="2585"/>
      <c r="P30" s="3471">
        <f t="shared" si="0"/>
        <v>0.16341401076059744</v>
      </c>
      <c r="Q30" s="3454">
        <f t="shared" si="1"/>
        <v>0.22673468998736707</v>
      </c>
      <c r="R30" s="2557"/>
      <c r="S30" s="2488"/>
      <c r="T30" s="2557"/>
      <c r="U30" s="2488"/>
      <c r="V30" s="2557"/>
      <c r="W30" s="3470"/>
      <c r="X30" s="177"/>
      <c r="Y30" s="177"/>
      <c r="Z30" s="177"/>
      <c r="AA30" s="177"/>
      <c r="AB30" s="177"/>
      <c r="AC30" s="177"/>
      <c r="AD30" s="177"/>
      <c r="AE30" s="177"/>
    </row>
    <row r="31" spans="1:31" ht="12.75" customHeight="1">
      <c r="A31" s="2479">
        <v>2001</v>
      </c>
      <c r="B31" s="2494">
        <v>4332.1929550000004</v>
      </c>
      <c r="C31" s="2498">
        <v>20128876.156709999</v>
      </c>
      <c r="D31" s="2487"/>
      <c r="E31" s="2488"/>
      <c r="F31" s="2487"/>
      <c r="G31" s="2489"/>
      <c r="H31" s="2557"/>
      <c r="I31" s="2491"/>
      <c r="J31" s="2507">
        <f>+_xlfn.AGGREGATE(9,6,'6.2'!B142:B153)</f>
        <v>26542.726339000001</v>
      </c>
      <c r="K31" s="2506">
        <v>90013747</v>
      </c>
      <c r="L31" s="2633"/>
      <c r="M31" s="2573">
        <f>+_xlfn.AGGREGATE(9,6,'6.2'!C142:C153)</f>
        <v>20319.579184999995</v>
      </c>
      <c r="N31" s="3671"/>
      <c r="O31" s="2585"/>
      <c r="P31" s="3471">
        <f t="shared" si="0"/>
        <v>0.16321582416477629</v>
      </c>
      <c r="Q31" s="3454">
        <f t="shared" si="1"/>
        <v>0.22362002280285032</v>
      </c>
      <c r="R31" s="2557"/>
      <c r="S31" s="2488"/>
      <c r="T31" s="2557"/>
      <c r="U31" s="2488"/>
      <c r="V31" s="2557"/>
      <c r="W31" s="3470"/>
      <c r="X31" s="177"/>
      <c r="Y31" s="177"/>
      <c r="Z31" s="177"/>
      <c r="AA31" s="177"/>
      <c r="AB31" s="177"/>
      <c r="AC31" s="177"/>
      <c r="AD31" s="177"/>
      <c r="AE31" s="177"/>
    </row>
    <row r="32" spans="1:31" ht="12.75" customHeight="1">
      <c r="A32" s="2479">
        <v>2002</v>
      </c>
      <c r="B32" s="2548">
        <f>+SUM('6.5'!J10:J21)</f>
        <v>4871.2958877900001</v>
      </c>
      <c r="C32" s="2549">
        <f>+SUM('6.5'!K10:K21)</f>
        <v>20690872.157011997</v>
      </c>
      <c r="D32" s="2487"/>
      <c r="E32" s="2488"/>
      <c r="F32" s="2487"/>
      <c r="G32" s="2489"/>
      <c r="H32" s="2557"/>
      <c r="I32" s="2491"/>
      <c r="J32" s="2507">
        <f>+_xlfn.AGGREGATE(9,6,'6.2'!B154:B165)</f>
        <v>25650.598711000002</v>
      </c>
      <c r="K32" s="2506">
        <v>89532210</v>
      </c>
      <c r="L32" s="2633"/>
      <c r="M32" s="2573">
        <f>+_xlfn.AGGREGATE(9,6,'6.2'!C154:C165)</f>
        <v>8989.5453530000013</v>
      </c>
      <c r="N32" s="3672">
        <v>13304725.669999998</v>
      </c>
      <c r="O32" s="2585"/>
      <c r="P32" s="3471">
        <f t="shared" si="0"/>
        <v>0.18990963691233428</v>
      </c>
      <c r="Q32" s="3454">
        <f t="shared" si="1"/>
        <v>0.23109975903657462</v>
      </c>
      <c r="R32" s="2557"/>
      <c r="S32" s="2488"/>
      <c r="T32" s="2557"/>
      <c r="U32" s="2488"/>
      <c r="V32" s="2557"/>
      <c r="W32" s="3470"/>
      <c r="X32" s="177"/>
      <c r="Y32" s="177"/>
      <c r="Z32" s="177"/>
      <c r="AA32" s="177"/>
      <c r="AB32" s="177"/>
      <c r="AC32" s="177"/>
      <c r="AD32" s="177"/>
      <c r="AE32" s="177"/>
    </row>
    <row r="33" spans="1:31" ht="12.75" customHeight="1">
      <c r="A33" s="2479">
        <v>2003</v>
      </c>
      <c r="B33" s="2548">
        <f>+SUM('6.5'!J22:J33)</f>
        <v>6274.2549632400005</v>
      </c>
      <c r="C33" s="2549">
        <f>+SUM('6.5'!K22:K33)</f>
        <v>23667237.704503998</v>
      </c>
      <c r="D33" s="2487"/>
      <c r="E33" s="2488"/>
      <c r="F33" s="2487"/>
      <c r="G33" s="2489"/>
      <c r="H33" s="2557"/>
      <c r="I33" s="2491"/>
      <c r="J33" s="2507">
        <f>+_xlfn.AGGREGATE(9,6,'6.2'!B166:B177)</f>
        <v>29938.752614999998</v>
      </c>
      <c r="K33" s="2506">
        <v>94870426</v>
      </c>
      <c r="L33" s="2633"/>
      <c r="M33" s="2573">
        <f>+_xlfn.AGGREGATE(9,6,'6.2'!C166:C177)</f>
        <v>13850.774136000002</v>
      </c>
      <c r="N33" s="3673">
        <v>17021429.913999997</v>
      </c>
      <c r="O33" s="2585"/>
      <c r="P33" s="3471">
        <f t="shared" si="0"/>
        <v>0.20956968528129177</v>
      </c>
      <c r="Q33" s="3454">
        <f t="shared" si="1"/>
        <v>0.24946907800860932</v>
      </c>
      <c r="R33" s="2557"/>
      <c r="S33" s="2488"/>
      <c r="T33" s="2557"/>
      <c r="U33" s="2488"/>
      <c r="V33" s="2557"/>
      <c r="W33" s="3470"/>
      <c r="X33" s="177"/>
      <c r="Y33" s="177"/>
      <c r="Z33" s="177"/>
      <c r="AA33" s="177"/>
      <c r="AB33" s="177"/>
      <c r="AC33" s="177"/>
      <c r="AD33" s="177"/>
      <c r="AE33" s="177"/>
    </row>
    <row r="34" spans="1:31" ht="12.75" customHeight="1">
      <c r="A34" s="2479">
        <v>2004</v>
      </c>
      <c r="B34" s="2548">
        <f>+SUM('6.5'!J34:J45)</f>
        <v>7170.1572857299989</v>
      </c>
      <c r="C34" s="2549">
        <f>+SUM('6.5'!K34:K45)</f>
        <v>23272410.412134998</v>
      </c>
      <c r="D34" s="2487"/>
      <c r="E34" s="2488"/>
      <c r="F34" s="2487"/>
      <c r="G34" s="2489"/>
      <c r="H34" s="2557"/>
      <c r="I34" s="2491"/>
      <c r="J34" s="2507">
        <f>+_xlfn.AGGREGATE(9,6,'6.2'!B178:B189)</f>
        <v>34575.733702000005</v>
      </c>
      <c r="K34" s="2506">
        <v>92344518</v>
      </c>
      <c r="L34" s="2633"/>
      <c r="M34" s="2573">
        <f>+_xlfn.AGGREGATE(9,6,'6.2'!C178:C189)</f>
        <v>22445.281395000002</v>
      </c>
      <c r="N34" s="3673">
        <v>22220780.895000003</v>
      </c>
      <c r="O34" s="2585"/>
      <c r="P34" s="3471">
        <f t="shared" si="0"/>
        <v>0.20737541963759534</v>
      </c>
      <c r="Q34" s="3454">
        <f t="shared" si="1"/>
        <v>0.25201723844760332</v>
      </c>
      <c r="R34" s="2557"/>
      <c r="S34" s="2488"/>
      <c r="T34" s="2557"/>
      <c r="U34" s="2488"/>
      <c r="V34" s="2557"/>
      <c r="W34" s="3470"/>
      <c r="X34" s="177"/>
      <c r="Y34" s="177"/>
      <c r="Z34" s="177"/>
      <c r="AA34" s="177"/>
      <c r="AB34" s="177"/>
      <c r="AC34" s="177"/>
      <c r="AD34" s="177"/>
      <c r="AE34" s="177"/>
    </row>
    <row r="35" spans="1:31" ht="12.75" customHeight="1">
      <c r="A35" s="2479">
        <v>2005</v>
      </c>
      <c r="B35" s="2548">
        <f>+SUM('6.5'!J46:J57)</f>
        <v>7720.4310436599999</v>
      </c>
      <c r="C35" s="2549">
        <f>+SUM('6.5'!K46:K57)</f>
        <v>26962405.437079005</v>
      </c>
      <c r="D35" s="2487"/>
      <c r="E35" s="2488"/>
      <c r="F35" s="2487"/>
      <c r="G35" s="2489"/>
      <c r="H35" s="2557"/>
      <c r="I35" s="2491"/>
      <c r="J35" s="2507">
        <f>+_xlfn.AGGREGATE(9,6,'6.2'!B190:B201)</f>
        <v>40386.761624999999</v>
      </c>
      <c r="K35" s="2506">
        <v>102722083</v>
      </c>
      <c r="L35" s="2633"/>
      <c r="M35" s="2573">
        <f>+_xlfn.AGGREGATE(9,6,'6.2'!C190:C201)</f>
        <v>28686.88953353</v>
      </c>
      <c r="N35" s="3673">
        <v>24589963</v>
      </c>
      <c r="O35" s="2585"/>
      <c r="P35" s="3471">
        <f t="shared" si="0"/>
        <v>0.19116241889720961</v>
      </c>
      <c r="Q35" s="3454">
        <f t="shared" si="1"/>
        <v>0.26247915394277005</v>
      </c>
      <c r="R35" s="2557"/>
      <c r="S35" s="2488"/>
      <c r="T35" s="2557"/>
      <c r="U35" s="2488"/>
      <c r="V35" s="2557"/>
      <c r="W35" s="3470"/>
      <c r="X35" s="177"/>
      <c r="Y35" s="177"/>
      <c r="Z35" s="177"/>
      <c r="AA35" s="177"/>
      <c r="AB35" s="177"/>
      <c r="AC35" s="177"/>
      <c r="AD35" s="177"/>
      <c r="AE35" s="177"/>
    </row>
    <row r="36" spans="1:31" ht="12.75" customHeight="1">
      <c r="A36" s="2479">
        <v>2006</v>
      </c>
      <c r="B36" s="2548">
        <f>+SUM('6.5'!J58:J69)</f>
        <v>8930.9271081400002</v>
      </c>
      <c r="C36" s="2549">
        <f>+SUM('6.5'!K58:K69)</f>
        <v>29688614.750120003</v>
      </c>
      <c r="D36" s="2487"/>
      <c r="E36" s="2488"/>
      <c r="F36" s="2487"/>
      <c r="G36" s="2489"/>
      <c r="H36" s="2557"/>
      <c r="I36" s="2491"/>
      <c r="J36" s="2507">
        <f>+_xlfn.AGGREGATE(9,6,'6.2'!B202:B213)</f>
        <v>46546.203077749997</v>
      </c>
      <c r="K36" s="2506">
        <v>99199610</v>
      </c>
      <c r="L36" s="3085">
        <v>7911.015092920381</v>
      </c>
      <c r="M36" s="2573">
        <f>+_xlfn.AGGREGATE(9,6,'6.2'!C202:C213)</f>
        <v>34153.682471609995</v>
      </c>
      <c r="N36" s="3673">
        <v>25907188.850000005</v>
      </c>
      <c r="O36" s="2586">
        <v>8673.9725197610915</v>
      </c>
      <c r="P36" s="3471">
        <f t="shared" si="0"/>
        <v>0.19187230144684261</v>
      </c>
      <c r="Q36" s="3454">
        <f t="shared" si="1"/>
        <v>0.29928156723720994</v>
      </c>
      <c r="R36" s="2557"/>
      <c r="S36" s="2488"/>
      <c r="T36" s="2557"/>
      <c r="U36" s="2488"/>
      <c r="V36" s="2557"/>
      <c r="W36" s="3470"/>
      <c r="X36" s="177"/>
      <c r="Y36" s="177"/>
      <c r="Z36" s="177"/>
      <c r="AA36" s="177"/>
      <c r="AB36" s="177"/>
      <c r="AC36" s="177"/>
      <c r="AD36" s="177"/>
      <c r="AE36" s="177"/>
    </row>
    <row r="37" spans="1:31" ht="12.75" customHeight="1">
      <c r="A37" s="2479">
        <v>2007</v>
      </c>
      <c r="B37" s="2548">
        <f>+SUM('6.5'!J70:J81)</f>
        <v>12567.21615314</v>
      </c>
      <c r="C37" s="2549">
        <f>+SUM('6.5'!K70:K81)</f>
        <v>33765493.092035003</v>
      </c>
      <c r="D37" s="2487"/>
      <c r="E37" s="2488"/>
      <c r="F37" s="2487"/>
      <c r="G37" s="2489"/>
      <c r="H37" s="2557"/>
      <c r="I37" s="2491"/>
      <c r="J37" s="2507">
        <f>+_xlfn.AGGREGATE(9,6,'6.2'!B214:B225)</f>
        <v>55980.308585639999</v>
      </c>
      <c r="K37" s="2506">
        <v>105637416</v>
      </c>
      <c r="L37" s="2613">
        <v>10045.736496175707</v>
      </c>
      <c r="M37" s="2573">
        <f>+_xlfn.AGGREGATE(9,6,'6.2'!C214:C225)</f>
        <v>44707.463395719999</v>
      </c>
      <c r="N37" s="3673">
        <v>30078739.526000001</v>
      </c>
      <c r="O37" s="2587">
        <v>11027.218519886985</v>
      </c>
      <c r="P37" s="3471">
        <f t="shared" si="0"/>
        <v>0.2244935133559397</v>
      </c>
      <c r="Q37" s="3454">
        <f t="shared" si="1"/>
        <v>0.31963573486154756</v>
      </c>
      <c r="R37" s="2557"/>
      <c r="S37" s="2488"/>
      <c r="T37" s="2557"/>
      <c r="U37" s="2488"/>
      <c r="V37" s="2557"/>
      <c r="W37" s="3470"/>
      <c r="X37" s="177"/>
      <c r="Y37" s="177"/>
      <c r="Z37" s="177"/>
      <c r="AA37" s="177"/>
      <c r="AB37" s="177"/>
      <c r="AC37" s="177"/>
      <c r="AD37" s="177"/>
      <c r="AE37" s="177"/>
    </row>
    <row r="38" spans="1:31" ht="12.75" customHeight="1">
      <c r="A38" s="2479">
        <v>2008</v>
      </c>
      <c r="B38" s="2548">
        <f>+SUM('6.5'!J82:J93)</f>
        <v>15243.84594268</v>
      </c>
      <c r="C38" s="2549">
        <f>+SUM('6.5'!K82:K93)</f>
        <v>29962249.941016998</v>
      </c>
      <c r="D38" s="2487"/>
      <c r="E38" s="2488"/>
      <c r="F38" s="2487"/>
      <c r="G38" s="2489"/>
      <c r="H38" s="2557"/>
      <c r="I38" s="2491"/>
      <c r="J38" s="2507">
        <f>+_xlfn.AGGREGATE(9,6,'6.2'!B226:B237)</f>
        <v>70018.839432129986</v>
      </c>
      <c r="K38" s="2506">
        <v>100074049</v>
      </c>
      <c r="L38" s="2613">
        <v>11424.149071776326</v>
      </c>
      <c r="M38" s="2573">
        <f>+_xlfn.AGGREGATE(9,6,'6.2'!C226:C237)</f>
        <v>57462.452356949994</v>
      </c>
      <c r="N38" s="3673">
        <v>32220023.402000003</v>
      </c>
      <c r="O38" s="2587">
        <v>13646.484098479574</v>
      </c>
      <c r="P38" s="3471">
        <f t="shared" si="0"/>
        <v>0.21771063425659923</v>
      </c>
      <c r="Q38" s="3454">
        <f t="shared" si="1"/>
        <v>0.29940079611465503</v>
      </c>
      <c r="R38" s="2557"/>
      <c r="S38" s="2488"/>
      <c r="T38" s="2557"/>
      <c r="U38" s="2488"/>
      <c r="V38" s="2557"/>
      <c r="W38" s="3470"/>
      <c r="X38" s="177"/>
      <c r="Y38" s="177"/>
      <c r="Z38" s="177"/>
      <c r="AA38" s="177"/>
      <c r="AB38" s="177"/>
      <c r="AC38" s="177"/>
      <c r="AD38" s="177"/>
      <c r="AE38" s="177"/>
    </row>
    <row r="39" spans="1:31" ht="12.75" customHeight="1">
      <c r="A39" s="2479">
        <v>2009</v>
      </c>
      <c r="B39" s="2548">
        <f>+SUM('6.5'!J94:J105)</f>
        <v>12971.332934330003</v>
      </c>
      <c r="C39" s="2549">
        <f>+SUM('6.5'!K94:K105)</f>
        <v>25808945.571571995</v>
      </c>
      <c r="D39" s="2487"/>
      <c r="E39" s="2488"/>
      <c r="F39" s="2487"/>
      <c r="G39" s="2489"/>
      <c r="H39" s="2557"/>
      <c r="I39" s="2491"/>
      <c r="J39" s="2507">
        <f>+_xlfn.AGGREGATE(9,6,'6.2'!B238:B249)</f>
        <v>55672.096636129994</v>
      </c>
      <c r="K39" s="2506">
        <v>82229800</v>
      </c>
      <c r="L39" s="2613">
        <v>10544.621323634772</v>
      </c>
      <c r="M39" s="2573">
        <f>+_xlfn.AGGREGATE(9,6,'6.2'!C238:C249)</f>
        <v>38786.269340550003</v>
      </c>
      <c r="N39" s="3673">
        <v>22105655.543000001</v>
      </c>
      <c r="O39" s="2587">
        <v>12536.652813239041</v>
      </c>
      <c r="P39" s="3471">
        <f t="shared" si="0"/>
        <v>0.23299522953320725</v>
      </c>
      <c r="Q39" s="3454">
        <f t="shared" si="1"/>
        <v>0.31386365492281382</v>
      </c>
      <c r="R39" s="2557"/>
      <c r="S39" s="2488"/>
      <c r="T39" s="2557"/>
      <c r="U39" s="2488"/>
      <c r="V39" s="2557"/>
      <c r="W39" s="3470"/>
      <c r="X39" s="177"/>
      <c r="Y39" s="177"/>
      <c r="Z39" s="177"/>
      <c r="AA39" s="177"/>
      <c r="AB39" s="177"/>
      <c r="AC39" s="177"/>
      <c r="AD39" s="177"/>
      <c r="AE39" s="177"/>
    </row>
    <row r="40" spans="1:31" ht="12.75" customHeight="1">
      <c r="A40" s="2479">
        <v>2010</v>
      </c>
      <c r="B40" s="2548">
        <f>+SUM('6.5'!J106:J117)</f>
        <v>15448.05668519</v>
      </c>
      <c r="C40" s="2549">
        <f>+SUM('6.5'!K106:K117)</f>
        <v>31950609.068704002</v>
      </c>
      <c r="D40" s="2487"/>
      <c r="E40" s="2488"/>
      <c r="F40" s="2487"/>
      <c r="G40" s="2489"/>
      <c r="H40" s="2557"/>
      <c r="I40" s="2491"/>
      <c r="J40" s="2507">
        <f>+_xlfn.AGGREGATE(9,6,'6.2'!B250:B261)</f>
        <v>68174.447049419992</v>
      </c>
      <c r="K40" s="2506">
        <v>99698352</v>
      </c>
      <c r="L40" s="2613">
        <v>12817.143360608767</v>
      </c>
      <c r="M40" s="2573">
        <f>+_xlfn.AGGREGATE(9,6,'6.2'!C250:C261)</f>
        <v>56792.578072349992</v>
      </c>
      <c r="N40" s="3673">
        <v>30633215.765999999</v>
      </c>
      <c r="O40" s="2587">
        <v>14620.73201052046</v>
      </c>
      <c r="P40" s="3471">
        <f t="shared" si="0"/>
        <v>0.22659599532932959</v>
      </c>
      <c r="Q40" s="3454">
        <f t="shared" si="1"/>
        <v>0.32047279044997656</v>
      </c>
      <c r="R40" s="2557"/>
      <c r="S40" s="2488"/>
      <c r="T40" s="2557"/>
      <c r="U40" s="2488"/>
      <c r="V40" s="2557"/>
      <c r="W40" s="3470"/>
      <c r="X40" s="177"/>
      <c r="Y40" s="177"/>
      <c r="Z40" s="177"/>
      <c r="AA40" s="177"/>
      <c r="AB40" s="177"/>
      <c r="AC40" s="177"/>
      <c r="AD40" s="177"/>
      <c r="AE40" s="177"/>
    </row>
    <row r="41" spans="1:31" ht="12.75" customHeight="1">
      <c r="A41" s="2479">
        <v>2011</v>
      </c>
      <c r="B41" s="2548">
        <f>+SUM('6.5'!J118:J129)</f>
        <v>18852.657175780001</v>
      </c>
      <c r="C41" s="2549">
        <f>+SUM('6.5'!K118:K129)</f>
        <v>30838193.290078998</v>
      </c>
      <c r="D41" s="2487"/>
      <c r="E41" s="2488"/>
      <c r="F41" s="2487"/>
      <c r="G41" s="2489"/>
      <c r="H41" s="2557"/>
      <c r="I41" s="2491"/>
      <c r="J41" s="2507">
        <f>+_xlfn.AGGREGATE(9,6,'6.2'!B262:B273)</f>
        <v>82981.091281919988</v>
      </c>
      <c r="K41" s="2506">
        <v>99360518</v>
      </c>
      <c r="L41" s="2613">
        <v>14496.981275383481</v>
      </c>
      <c r="M41" s="2573">
        <f>+_xlfn.AGGREGATE(9,6,'6.2'!C262:C273)</f>
        <v>73960.675708939991</v>
      </c>
      <c r="N41" s="3673">
        <v>38005141.710000001</v>
      </c>
      <c r="O41" s="2587">
        <v>17649.469312459947</v>
      </c>
      <c r="P41" s="3471">
        <f t="shared" si="0"/>
        <v>0.22719220589338815</v>
      </c>
      <c r="Q41" s="3454">
        <f t="shared" si="1"/>
        <v>0.31036667190159978</v>
      </c>
      <c r="R41" s="2557"/>
      <c r="S41" s="2488"/>
      <c r="T41" s="2557"/>
      <c r="U41" s="2488"/>
      <c r="V41" s="2557"/>
      <c r="W41" s="3470"/>
      <c r="X41" s="177"/>
      <c r="Y41" s="177"/>
      <c r="Z41" s="177"/>
      <c r="AA41" s="177"/>
      <c r="AB41" s="177"/>
      <c r="AC41" s="177"/>
      <c r="AD41" s="177"/>
      <c r="AE41" s="177"/>
    </row>
    <row r="42" spans="1:31" ht="12.75" customHeight="1">
      <c r="A42" s="2479">
        <v>2012</v>
      </c>
      <c r="B42" s="2548">
        <f>+SUM('6.5'!J130:J141)</f>
        <v>17931.537294899998</v>
      </c>
      <c r="C42" s="2549">
        <f>+SUM('6.5'!K130:K141)</f>
        <v>28561926.237010002</v>
      </c>
      <c r="D42" s="2487"/>
      <c r="E42" s="2488"/>
      <c r="F42" s="2487"/>
      <c r="G42" s="2489"/>
      <c r="H42" s="2557"/>
      <c r="I42" s="2491"/>
      <c r="J42" s="2507">
        <f>+_xlfn.AGGREGATE(9,6,'6.2'!B274:B285)</f>
        <v>79982.387888210011</v>
      </c>
      <c r="K42" s="2506">
        <v>98717168</v>
      </c>
      <c r="L42" s="2613">
        <v>14247.100729557711</v>
      </c>
      <c r="M42" s="2573">
        <f>+_xlfn.AGGREGATE(9,6,'6.2'!C274:C285)</f>
        <v>67974.214529529985</v>
      </c>
      <c r="N42" s="3673">
        <v>32586370.722000003</v>
      </c>
      <c r="O42" s="2587">
        <v>18344.32545352956</v>
      </c>
      <c r="P42" s="3471">
        <f t="shared" si="0"/>
        <v>0.22419357271456555</v>
      </c>
      <c r="Q42" s="3454">
        <f t="shared" si="1"/>
        <v>0.28933089163386455</v>
      </c>
      <c r="R42" s="2557"/>
      <c r="S42" s="2488"/>
      <c r="T42" s="2557"/>
      <c r="U42" s="2488"/>
      <c r="V42" s="2557"/>
      <c r="W42" s="3470"/>
      <c r="X42" s="177"/>
      <c r="Y42" s="177"/>
      <c r="Z42" s="177"/>
      <c r="AA42" s="177"/>
      <c r="AB42" s="177"/>
      <c r="AC42" s="177"/>
      <c r="AD42" s="177"/>
      <c r="AE42" s="177"/>
    </row>
    <row r="43" spans="1:31" ht="12.75" customHeight="1">
      <c r="A43" s="2479">
        <v>2013</v>
      </c>
      <c r="B43" s="2548">
        <f>+SUM('6.5'!J142:J153)</f>
        <v>16794.654401610002</v>
      </c>
      <c r="C43" s="2549">
        <f>+SUM('6.5'!K142:K153)</f>
        <v>26601620.964240998</v>
      </c>
      <c r="D43" s="2487"/>
      <c r="E43" s="2488"/>
      <c r="F43" s="2487"/>
      <c r="G43" s="2489"/>
      <c r="H43" s="2557"/>
      <c r="I43" s="2491"/>
      <c r="J43" s="2507">
        <f>+_xlfn.AGGREGATE(9,6,'6.2'!B286:B297)</f>
        <v>75962.981361070008</v>
      </c>
      <c r="K43" s="2506">
        <v>89235430</v>
      </c>
      <c r="L43" s="2613">
        <v>13679.891768375357</v>
      </c>
      <c r="M43" s="2573">
        <f>+_xlfn.AGGREGATE(9,6,'6.2'!C286:C297)</f>
        <v>74441.800094809994</v>
      </c>
      <c r="N43" s="3673">
        <v>37467336.781000003</v>
      </c>
      <c r="O43" s="2587">
        <v>19008.807883714126</v>
      </c>
      <c r="P43" s="3471">
        <f t="shared" si="0"/>
        <v>0.2210899848938398</v>
      </c>
      <c r="Q43" s="3454">
        <f t="shared" si="1"/>
        <v>0.29810604335341911</v>
      </c>
      <c r="R43" s="2557"/>
      <c r="S43" s="2488"/>
      <c r="T43" s="2557"/>
      <c r="U43" s="2488"/>
      <c r="V43" s="2557"/>
      <c r="W43" s="3470"/>
      <c r="X43" s="177"/>
      <c r="Y43" s="177"/>
      <c r="Z43" s="177"/>
      <c r="AA43" s="177"/>
      <c r="AB43" s="177"/>
      <c r="AC43" s="177"/>
      <c r="AD43" s="177"/>
      <c r="AE43" s="177"/>
    </row>
    <row r="44" spans="1:31" ht="12.75" customHeight="1">
      <c r="A44" s="2479">
        <v>2014</v>
      </c>
      <c r="B44" s="2548">
        <f>+SUM('6.5'!J154:J165)</f>
        <v>16081.776342159998</v>
      </c>
      <c r="C44" s="2549">
        <f>+SUM('6.5'!K154:K165)</f>
        <v>26266293.476578999</v>
      </c>
      <c r="D44" s="2487"/>
      <c r="E44" s="2488"/>
      <c r="F44" s="2487"/>
      <c r="G44" s="2489"/>
      <c r="H44" s="2557"/>
      <c r="I44" s="2491"/>
      <c r="J44" s="2507">
        <f>+_xlfn.AGGREGATE(9,6,'6.2'!B298:B309)</f>
        <v>68404.346618249998</v>
      </c>
      <c r="K44" s="2506">
        <v>83145392</v>
      </c>
      <c r="L44" s="2613">
        <v>13396.371827726387</v>
      </c>
      <c r="M44" s="2573">
        <f>+_xlfn.AGGREGATE(9,6,'6.2'!C298:C309)</f>
        <v>65736.068836680002</v>
      </c>
      <c r="N44" s="3673">
        <v>36779675</v>
      </c>
      <c r="O44" s="2587">
        <v>18037.663981127625</v>
      </c>
      <c r="P44" s="3471">
        <f t="shared" si="0"/>
        <v>0.23509874938078051</v>
      </c>
      <c r="Q44" s="3454">
        <f t="shared" si="1"/>
        <v>0.31590798774006623</v>
      </c>
      <c r="R44" s="2557"/>
      <c r="S44" s="2488"/>
      <c r="T44" s="2557"/>
      <c r="U44" s="2488"/>
      <c r="V44" s="2557"/>
      <c r="W44" s="3470"/>
      <c r="X44" s="177"/>
      <c r="Y44" s="177"/>
      <c r="Z44" s="177"/>
      <c r="AA44" s="177"/>
      <c r="AB44" s="177"/>
      <c r="AC44" s="177"/>
      <c r="AD44" s="177"/>
      <c r="AE44" s="177"/>
    </row>
    <row r="45" spans="1:31" ht="12.75" customHeight="1">
      <c r="A45" s="2479">
        <v>2015</v>
      </c>
      <c r="B45" s="2548">
        <f>+SUM('6.5'!J166:J177)</f>
        <v>13207.015730990001</v>
      </c>
      <c r="C45" s="2549">
        <f>+SUM('6.5'!K166:K177)</f>
        <v>29734503.398331001</v>
      </c>
      <c r="D45" s="2487"/>
      <c r="E45" s="2488"/>
      <c r="F45" s="2487"/>
      <c r="G45" s="2489"/>
      <c r="H45" s="2557"/>
      <c r="I45" s="2491"/>
      <c r="J45" s="2507">
        <f>+_xlfn.AGGREGATE(9,6,'6.2'!B310:B321)</f>
        <v>56783.952503679997</v>
      </c>
      <c r="K45" s="2506">
        <v>91557794</v>
      </c>
      <c r="L45" s="2613">
        <v>13213.51234997643</v>
      </c>
      <c r="M45" s="2573">
        <f>+_xlfn.AGGREGATE(9,6,'6.2'!C310:C321)</f>
        <v>60203.035534130002</v>
      </c>
      <c r="N45" s="3673">
        <v>35236856.174999997</v>
      </c>
      <c r="O45" s="2587">
        <v>19028.55704322071</v>
      </c>
      <c r="P45" s="3471">
        <f t="shared" si="0"/>
        <v>0.23258359358014211</v>
      </c>
      <c r="Q45" s="3454">
        <f t="shared" si="1"/>
        <v>0.32476212127097559</v>
      </c>
      <c r="R45" s="2557"/>
      <c r="S45" s="2488"/>
      <c r="T45" s="2557"/>
      <c r="U45" s="2488"/>
      <c r="V45" s="2557"/>
      <c r="W45" s="3470"/>
      <c r="X45" s="177"/>
      <c r="Y45" s="177"/>
      <c r="Z45" s="177"/>
      <c r="AA45" s="177"/>
      <c r="AB45" s="177"/>
      <c r="AC45" s="177"/>
      <c r="AD45" s="177"/>
      <c r="AE45" s="177"/>
    </row>
    <row r="46" spans="1:31" ht="12.75" customHeight="1">
      <c r="A46" s="2479">
        <v>2016</v>
      </c>
      <c r="B46" s="2548">
        <f>+SUM('6.5'!J178:J189)</f>
        <v>13829.380620319998</v>
      </c>
      <c r="C46" s="2549">
        <f>+SUM('6.5'!K178:K189)</f>
        <v>32170095.963002995</v>
      </c>
      <c r="D46" s="2487"/>
      <c r="E46" s="2488"/>
      <c r="F46" s="2487"/>
      <c r="G46" s="2489"/>
      <c r="H46" s="2557"/>
      <c r="I46" s="2491"/>
      <c r="J46" s="2507">
        <f>+_xlfn.AGGREGATE(9,6,'6.2'!B322:B333)</f>
        <v>57909.097492579996</v>
      </c>
      <c r="K46" s="2506">
        <v>108258508.168</v>
      </c>
      <c r="L46" s="2613">
        <v>13424.706884225205</v>
      </c>
      <c r="M46" s="2573">
        <f>+_xlfn.AGGREGATE(9,6,'6.2'!C322:C333)</f>
        <v>55852.065457109995</v>
      </c>
      <c r="N46" s="3673">
        <v>35353205.325000003</v>
      </c>
      <c r="O46" s="2587">
        <v>21876.362069761009</v>
      </c>
      <c r="P46" s="3471">
        <f t="shared" si="0"/>
        <v>0.23881188309128776</v>
      </c>
      <c r="Q46" s="3454">
        <f t="shared" si="1"/>
        <v>0.29715997853101872</v>
      </c>
      <c r="R46" s="2557"/>
      <c r="S46" s="2488"/>
      <c r="T46" s="2557"/>
      <c r="U46" s="2488"/>
      <c r="V46" s="2557"/>
      <c r="W46" s="3470"/>
      <c r="X46" s="177"/>
      <c r="Y46" s="177"/>
      <c r="Z46" s="177"/>
      <c r="AA46" s="177"/>
      <c r="AB46" s="177"/>
      <c r="AC46" s="177"/>
      <c r="AD46" s="177"/>
      <c r="AE46" s="177"/>
    </row>
    <row r="47" spans="1:31" ht="12.75" customHeight="1" thickBot="1">
      <c r="A47" s="2479">
        <v>2017</v>
      </c>
      <c r="B47" s="2548">
        <f>+SUM('6.5'!J190:J201)</f>
        <v>13761.033693799998</v>
      </c>
      <c r="C47" s="2549">
        <f>+SUM('6.5'!K190:K201)</f>
        <v>32477667.616142999</v>
      </c>
      <c r="D47" s="2487"/>
      <c r="E47" s="2488"/>
      <c r="F47" s="2487"/>
      <c r="G47" s="2489"/>
      <c r="H47" s="2557"/>
      <c r="I47" s="2491"/>
      <c r="J47" s="2507">
        <f>+_xlfn.AGGREGATE(9,6,'6.2'!B334:B345)</f>
        <v>58644.733647990004</v>
      </c>
      <c r="K47" s="2506">
        <v>104547078</v>
      </c>
      <c r="L47" s="2613">
        <v>15506.201961982286</v>
      </c>
      <c r="M47" s="2573">
        <f>+_xlfn.AGGREGATE(9,6,'6.2'!C334:C345)</f>
        <v>66938.084680379994</v>
      </c>
      <c r="N47" s="3673">
        <v>40028053.967999995</v>
      </c>
      <c r="O47" s="2587">
        <v>25201.640554206642</v>
      </c>
      <c r="P47" s="3471">
        <f t="shared" si="0"/>
        <v>0.23465080046913378</v>
      </c>
      <c r="Q47" s="3454">
        <f t="shared" si="1"/>
        <v>0.31065112710412623</v>
      </c>
      <c r="R47" s="2557"/>
      <c r="S47" s="2488"/>
      <c r="T47" s="2557"/>
      <c r="U47" s="2488"/>
      <c r="V47" s="2557"/>
      <c r="W47" s="3470"/>
      <c r="X47" s="177"/>
      <c r="Y47" s="177"/>
      <c r="Z47" s="177"/>
      <c r="AA47" s="177"/>
      <c r="AB47" s="177"/>
      <c r="AC47" s="177"/>
      <c r="AD47" s="177"/>
      <c r="AE47" s="177"/>
    </row>
    <row r="48" spans="1:31" ht="12.75" customHeight="1">
      <c r="A48" s="2479">
        <v>2018</v>
      </c>
      <c r="B48" s="2548">
        <f>+SUM('6.5'!J202:J213)</f>
        <v>13659.627238970001</v>
      </c>
      <c r="C48" s="2549">
        <f>+SUM('6.5'!K202:K213)</f>
        <v>28231705.197307006</v>
      </c>
      <c r="D48" s="2499">
        <v>22226.3</v>
      </c>
      <c r="E48" s="2488"/>
      <c r="F48" s="2499">
        <v>19926.3</v>
      </c>
      <c r="G48" s="2488"/>
      <c r="H48" s="2558">
        <v>5513.9489687400001</v>
      </c>
      <c r="I48" s="2502">
        <v>10138605.81711</v>
      </c>
      <c r="J48" s="2507">
        <f>+_xlfn.AGGREGATE(9,6,'6.2'!B346:B357)</f>
        <v>61781.528601130005</v>
      </c>
      <c r="K48" s="2506">
        <v>97229072</v>
      </c>
      <c r="L48" s="2613">
        <v>15342.163177832326</v>
      </c>
      <c r="M48" s="2573">
        <f>+_xlfn.AGGREGATE(9,6,'6.2'!C346:C357)</f>
        <v>65482.81441621</v>
      </c>
      <c r="N48" s="3673">
        <v>43783035.940000005</v>
      </c>
      <c r="O48" s="2587">
        <v>24277.43096387693</v>
      </c>
      <c r="P48" s="3471">
        <f t="shared" si="0"/>
        <v>0.22109565024132732</v>
      </c>
      <c r="Q48" s="3454">
        <f t="shared" si="1"/>
        <v>0.2903627959887039</v>
      </c>
      <c r="R48" s="3450">
        <f t="shared" si="0"/>
        <v>0.35975639488456218</v>
      </c>
      <c r="S48" s="2488"/>
      <c r="T48" s="3450">
        <f>+F48/$J48</f>
        <v>0.32252843934385172</v>
      </c>
      <c r="U48" s="2488"/>
      <c r="V48" s="3450">
        <f>+H48/$M48</f>
        <v>8.4204520192019183E-2</v>
      </c>
      <c r="W48" s="3472">
        <f>+I48/$N48</f>
        <v>0.23156470535766138</v>
      </c>
      <c r="X48" s="177"/>
      <c r="Y48" s="177"/>
      <c r="Z48" s="177"/>
      <c r="AA48" s="177"/>
      <c r="AB48" s="177"/>
      <c r="AC48" s="177"/>
      <c r="AD48" s="177"/>
      <c r="AE48" s="177"/>
    </row>
    <row r="49" spans="1:31" ht="12.75" customHeight="1">
      <c r="A49" s="2479">
        <v>2019</v>
      </c>
      <c r="B49" s="2548">
        <f>+SUM('6.5'!J214:J225)</f>
        <v>14276.570893089996</v>
      </c>
      <c r="C49" s="2549">
        <f>+SUM('6.5'!K214:K225)</f>
        <v>34746482.634736001</v>
      </c>
      <c r="D49" s="2490">
        <v>24527.200000000001</v>
      </c>
      <c r="E49" s="2488"/>
      <c r="F49" s="2500">
        <v>22330.5</v>
      </c>
      <c r="G49" s="2488"/>
      <c r="H49" s="2490">
        <v>3730.16371411</v>
      </c>
      <c r="I49" s="2545">
        <v>7543986.8940200005</v>
      </c>
      <c r="J49" s="2507">
        <f>+_xlfn.AGGREGATE(9,6,'6.2'!B358:B369)</f>
        <v>65115.32662354999</v>
      </c>
      <c r="K49" s="2506">
        <v>127508496</v>
      </c>
      <c r="L49" s="2613">
        <v>14802.420804612464</v>
      </c>
      <c r="M49" s="2573">
        <f>+_xlfn.AGGREGATE(9,6,'6.2'!C358:C369)</f>
        <v>49125.029975950005</v>
      </c>
      <c r="N49" s="3673">
        <v>32030348.709999997</v>
      </c>
      <c r="O49" s="2587">
        <v>19645.594222030391</v>
      </c>
      <c r="P49" s="3471">
        <f t="shared" si="0"/>
        <v>0.21925054566073002</v>
      </c>
      <c r="Q49" s="3454">
        <f t="shared" si="1"/>
        <v>0.27250327409348474</v>
      </c>
      <c r="R49" s="3457">
        <f t="shared" si="0"/>
        <v>0.37667322382944707</v>
      </c>
      <c r="S49" s="2488"/>
      <c r="T49" s="3457">
        <f t="shared" ref="T49:T60" si="2">+F49/$J49</f>
        <v>0.34293769467054813</v>
      </c>
      <c r="U49" s="2488"/>
      <c r="V49" s="3457">
        <f t="shared" ref="V49:V60" si="3">+H49/$M49</f>
        <v>7.5932039449872396E-2</v>
      </c>
      <c r="W49" s="3473">
        <f t="shared" ref="W49:W60" si="4">+I49/$N49</f>
        <v>0.23552621803535778</v>
      </c>
      <c r="X49" s="177"/>
      <c r="Y49" s="177"/>
      <c r="Z49" s="177"/>
      <c r="AA49" s="177"/>
      <c r="AB49" s="177"/>
      <c r="AC49" s="177"/>
      <c r="AD49" s="177"/>
      <c r="AE49" s="177"/>
    </row>
    <row r="50" spans="1:31" ht="12.75" customHeight="1">
      <c r="A50" s="2479">
        <v>2020</v>
      </c>
      <c r="B50" s="2548">
        <f>+SUM('6.5'!J226:J237)</f>
        <v>11378.190218289999</v>
      </c>
      <c r="C50" s="2549">
        <f>+SUM('6.5'!K226:K237)</f>
        <v>27336662.241565999</v>
      </c>
      <c r="D50" s="2490">
        <v>21901.5</v>
      </c>
      <c r="E50" s="2488"/>
      <c r="F50" s="2500">
        <v>20176.8</v>
      </c>
      <c r="G50" s="2488"/>
      <c r="H50" s="2490">
        <v>3886.7429783499997</v>
      </c>
      <c r="I50" s="2545">
        <v>8098323.5680499999</v>
      </c>
      <c r="J50" s="2507">
        <f>+_xlfn.AGGREGATE(9,6,'6.2'!B370:B381)</f>
        <v>54883.822445639991</v>
      </c>
      <c r="K50" s="2506">
        <v>116664853</v>
      </c>
      <c r="L50" s="2613">
        <v>9491.7376067937003</v>
      </c>
      <c r="M50" s="2573">
        <f>+_xlfn.AGGREGATE(9,6,'6.2'!C370:C381)</f>
        <v>42355.636878110003</v>
      </c>
      <c r="N50" s="3673">
        <v>31760564.333000001</v>
      </c>
      <c r="O50" s="2587">
        <v>12028.02037325807</v>
      </c>
      <c r="P50" s="3471">
        <f t="shared" si="0"/>
        <v>0.20731409933336176</v>
      </c>
      <c r="Q50" s="3454">
        <f t="shared" si="1"/>
        <v>0.23431789042382797</v>
      </c>
      <c r="R50" s="3457">
        <f t="shared" si="0"/>
        <v>0.39905201613266772</v>
      </c>
      <c r="S50" s="2488"/>
      <c r="T50" s="3457">
        <f t="shared" si="2"/>
        <v>0.3676274556128854</v>
      </c>
      <c r="U50" s="2488"/>
      <c r="V50" s="3457">
        <f t="shared" si="3"/>
        <v>9.1764479649666747E-2</v>
      </c>
      <c r="W50" s="3473">
        <f t="shared" si="4"/>
        <v>0.25498046832989185</v>
      </c>
      <c r="X50" s="177"/>
      <c r="Y50" s="177"/>
      <c r="Z50" s="177"/>
      <c r="AA50" s="177"/>
      <c r="AB50" s="177"/>
      <c r="AC50" s="177"/>
      <c r="AD50" s="177"/>
      <c r="AE50" s="177"/>
    </row>
    <row r="51" spans="1:31" ht="12.75" customHeight="1">
      <c r="A51" s="2479">
        <v>2021</v>
      </c>
      <c r="B51" s="2548">
        <f>+SUM('6.5'!J238:J249)</f>
        <v>17920.34061838</v>
      </c>
      <c r="C51" s="2549">
        <f>+SUM('6.5'!K238:K249)</f>
        <v>31828253.535477001</v>
      </c>
      <c r="D51" s="2490">
        <v>33733.199999999997</v>
      </c>
      <c r="E51" s="2488"/>
      <c r="F51" s="2500">
        <v>31635.7</v>
      </c>
      <c r="G51" s="2488"/>
      <c r="H51" s="2490">
        <v>5977.7809249700003</v>
      </c>
      <c r="I51" s="2545">
        <v>8843023.0777900014</v>
      </c>
      <c r="J51" s="2507">
        <f>+_xlfn.AGGREGATE(9,6,'6.2'!B382:B393)</f>
        <v>77934.314986580008</v>
      </c>
      <c r="K51" s="2506">
        <v>128532890.169</v>
      </c>
      <c r="L51" s="2613">
        <v>9588.7356776526449</v>
      </c>
      <c r="M51" s="2573">
        <f>+_xlfn.AGGREGATE(9,6,'6.2'!C382:C393)</f>
        <v>63183.753404699994</v>
      </c>
      <c r="N51" s="3673">
        <v>40814055.053000003</v>
      </c>
      <c r="O51" s="2587">
        <v>13288.827175810744</v>
      </c>
      <c r="P51" s="3471">
        <f t="shared" si="0"/>
        <v>0.22994159403936268</v>
      </c>
      <c r="Q51" s="3454">
        <f t="shared" si="1"/>
        <v>0.24762730763797489</v>
      </c>
      <c r="R51" s="3457">
        <f t="shared" si="0"/>
        <v>0.43284142557496946</v>
      </c>
      <c r="S51" s="2488"/>
      <c r="T51" s="3457">
        <f t="shared" si="2"/>
        <v>0.40592773549684175</v>
      </c>
      <c r="U51" s="2488"/>
      <c r="V51" s="3457">
        <f t="shared" si="3"/>
        <v>9.4609462129949001E-2</v>
      </c>
      <c r="W51" s="3473">
        <f t="shared" si="4"/>
        <v>0.21666612313593189</v>
      </c>
      <c r="X51" s="177"/>
      <c r="Y51" s="177"/>
      <c r="Z51" s="177"/>
      <c r="AA51" s="177"/>
      <c r="AB51" s="177"/>
      <c r="AC51" s="177"/>
      <c r="AD51" s="177"/>
      <c r="AE51" s="177"/>
    </row>
    <row r="52" spans="1:31" ht="12.75" customHeight="1" thickBot="1">
      <c r="A52" s="2479">
        <v>2022</v>
      </c>
      <c r="B52" s="2548">
        <f>+SUM('6.5'!J250:J261)</f>
        <v>19196.644087799999</v>
      </c>
      <c r="C52" s="2549">
        <f>+SUM('6.5'!K250:K261)</f>
        <v>28893068.451839998</v>
      </c>
      <c r="D52" s="2490">
        <v>36329</v>
      </c>
      <c r="E52" s="2488"/>
      <c r="F52" s="2500">
        <v>33283.300000000003</v>
      </c>
      <c r="G52" s="2488"/>
      <c r="H52" s="2490">
        <v>6561.7063746800004</v>
      </c>
      <c r="I52" s="2545">
        <v>6905769.6372799994</v>
      </c>
      <c r="J52" s="2507">
        <f>+_xlfn.AGGREGATE(9,6,'6.2'!B394:B405)</f>
        <v>88702.876605099998</v>
      </c>
      <c r="K52" s="2506">
        <v>125515437.7269</v>
      </c>
      <c r="L52" s="2613">
        <v>14415.863622260444</v>
      </c>
      <c r="M52" s="2573">
        <f>+_xlfn.AGGREGATE(9,6,'6.2'!C394:C405)</f>
        <v>81740.376358699999</v>
      </c>
      <c r="N52" s="3673">
        <v>38895251.039999999</v>
      </c>
      <c r="O52" s="2587">
        <v>21190.721716638931</v>
      </c>
      <c r="P52" s="3471">
        <f t="shared" si="0"/>
        <v>0.21641512454283002</v>
      </c>
      <c r="Q52" s="3454">
        <f t="shared" si="1"/>
        <v>0.23019533672588025</v>
      </c>
      <c r="R52" s="3457">
        <f t="shared" si="0"/>
        <v>0.40955830735608018</v>
      </c>
      <c r="S52" s="2488"/>
      <c r="T52" s="3457">
        <f t="shared" si="2"/>
        <v>0.37522232957759982</v>
      </c>
      <c r="U52" s="2488"/>
      <c r="V52" s="3457">
        <f t="shared" si="3"/>
        <v>8.0274971403182294E-2</v>
      </c>
      <c r="W52" s="3473">
        <f t="shared" si="4"/>
        <v>0.17754788702039959</v>
      </c>
      <c r="X52" s="177"/>
      <c r="Y52" s="177"/>
      <c r="Z52" s="177"/>
      <c r="AA52" s="177"/>
      <c r="AB52" s="177"/>
      <c r="AC52" s="177"/>
      <c r="AD52" s="177"/>
      <c r="AE52" s="177"/>
    </row>
    <row r="53" spans="1:31" ht="12.75" customHeight="1">
      <c r="A53" s="2479">
        <v>2023</v>
      </c>
      <c r="B53" s="2548">
        <f>+SUM('6.5'!J262:J273)</f>
        <v>11632.871228239999</v>
      </c>
      <c r="C53" s="2549">
        <f>+SUM('6.5'!K262:K273)</f>
        <v>17467878.23192</v>
      </c>
      <c r="D53" s="2490">
        <v>21546.247494130002</v>
      </c>
      <c r="E53" s="2501">
        <v>44341929.766580001</v>
      </c>
      <c r="F53" s="2500">
        <v>19080.38489139</v>
      </c>
      <c r="G53" s="2501">
        <v>43193727.63329</v>
      </c>
      <c r="H53" s="2490">
        <v>8493.4332748399993</v>
      </c>
      <c r="I53" s="2545">
        <v>12899807.89463</v>
      </c>
      <c r="J53" s="2507">
        <f>+_xlfn.AGGREGATE(9,6,'6.2'!B406:B417)</f>
        <v>66987.745151399999</v>
      </c>
      <c r="K53" s="2506">
        <v>86445605.409999996</v>
      </c>
      <c r="L53" s="2613">
        <v>16532.346065242913</v>
      </c>
      <c r="M53" s="2573">
        <f>+_xlfn.AGGREGATE(9,6,'6.2'!C406:C417)</f>
        <v>73825.96222211</v>
      </c>
      <c r="N53" s="3673">
        <v>39457658.368000001</v>
      </c>
      <c r="O53" s="2587">
        <v>22572.253726783034</v>
      </c>
      <c r="P53" s="3471">
        <f t="shared" si="0"/>
        <v>0.17365670693868518</v>
      </c>
      <c r="Q53" s="3454">
        <f t="shared" si="1"/>
        <v>0.20206785699599394</v>
      </c>
      <c r="R53" s="3457">
        <f t="shared" si="0"/>
        <v>0.32164461492819335</v>
      </c>
      <c r="S53" s="3458">
        <f>+E53/$K53</f>
        <v>0.51294602607353068</v>
      </c>
      <c r="T53" s="3457">
        <f t="shared" si="2"/>
        <v>0.28483396251457843</v>
      </c>
      <c r="U53" s="3458">
        <f>+G53/$K53</f>
        <v>0.49966366049989358</v>
      </c>
      <c r="V53" s="3457">
        <f t="shared" si="3"/>
        <v>0.11504669928022038</v>
      </c>
      <c r="W53" s="3473">
        <f t="shared" si="4"/>
        <v>0.32692786212300151</v>
      </c>
      <c r="X53" s="177"/>
      <c r="Y53" s="177"/>
      <c r="Z53" s="177"/>
      <c r="AA53" s="177"/>
      <c r="AB53" s="177"/>
      <c r="AC53" s="177"/>
      <c r="AD53" s="177"/>
      <c r="AE53" s="177"/>
    </row>
    <row r="54" spans="1:31" ht="12.75" customHeight="1">
      <c r="A54" s="2479">
        <v>2024</v>
      </c>
      <c r="B54" s="2548">
        <f>+SUM('6.5'!J274:J285)</f>
        <v>15329.54209562</v>
      </c>
      <c r="C54" s="2549">
        <f>+SUM('6.5'!K274:K285)</f>
        <v>29480994.782958001</v>
      </c>
      <c r="D54" s="2490">
        <v>28509.177513459999</v>
      </c>
      <c r="E54" s="2545">
        <v>71245011.602880001</v>
      </c>
      <c r="F54" s="2490">
        <v>26141.116939389998</v>
      </c>
      <c r="G54" s="2545">
        <v>70131570.254880011</v>
      </c>
      <c r="H54" s="2490">
        <v>5614.4930055200002</v>
      </c>
      <c r="I54" s="2545">
        <v>9529796.3974799998</v>
      </c>
      <c r="J54" s="2507">
        <f>+_xlfn.AGGREGATE(9,6,'6.2'!B418:B429)</f>
        <v>79703.206722250005</v>
      </c>
      <c r="K54" s="2505">
        <v>126610635.7286</v>
      </c>
      <c r="L54" s="2612">
        <v>17166.84880823097</v>
      </c>
      <c r="M54" s="2573">
        <f>+_xlfn.AGGREGATE(9,6,'6.2'!C418:C429)</f>
        <v>60775.571569399995</v>
      </c>
      <c r="N54" s="2614">
        <v>31455636.675269999</v>
      </c>
      <c r="O54" s="2631">
        <v>22916.771396150922</v>
      </c>
      <c r="P54" s="3471">
        <f t="shared" si="0"/>
        <v>0.19233281477670577</v>
      </c>
      <c r="Q54" s="3454">
        <f t="shared" si="1"/>
        <v>0.23284769571928274</v>
      </c>
      <c r="R54" s="3457">
        <f t="shared" si="0"/>
        <v>0.35769172516243763</v>
      </c>
      <c r="S54" s="2346">
        <f t="shared" ref="S54:U60" si="5">+E54/$K54</f>
        <v>0.56270953220390874</v>
      </c>
      <c r="T54" s="3457">
        <f t="shared" si="2"/>
        <v>0.32798074273832728</v>
      </c>
      <c r="U54" s="2346">
        <f t="shared" si="5"/>
        <v>0.55391531565493934</v>
      </c>
      <c r="V54" s="3457">
        <f t="shared" si="3"/>
        <v>9.2380752011666012E-2</v>
      </c>
      <c r="W54" s="3473">
        <f t="shared" si="4"/>
        <v>0.30295989541906804</v>
      </c>
      <c r="X54" s="177"/>
      <c r="Y54" s="177"/>
      <c r="Z54" s="177"/>
      <c r="AA54" s="177"/>
      <c r="AB54" s="177"/>
      <c r="AC54" s="177"/>
      <c r="AD54" s="177"/>
      <c r="AE54" s="177"/>
    </row>
    <row r="55" spans="1:31" ht="12.75" customHeight="1">
      <c r="A55" s="2479">
        <v>2025</v>
      </c>
      <c r="B55" s="2548">
        <f>+SUM('6.5'!J286:J297)</f>
        <v>16189.634344490001</v>
      </c>
      <c r="C55" s="2549">
        <f>+SUM('6.5'!K286:K297)</f>
        <v>32609021.325231999</v>
      </c>
      <c r="D55" s="2503">
        <v>30466.137138049999</v>
      </c>
      <c r="E55" s="2504">
        <v>79934971.294689998</v>
      </c>
      <c r="F55" s="2503">
        <v>27621.534418669999</v>
      </c>
      <c r="G55" s="2504">
        <v>78815924.485429987</v>
      </c>
      <c r="H55" s="2503">
        <v>6238.8566225000004</v>
      </c>
      <c r="I55" s="2505">
        <v>8696680.3044500016</v>
      </c>
      <c r="J55" s="2507">
        <f>+_xlfn.AGGREGATE(9,6,'6.2'!B430:B441)</f>
        <v>87111.196818030003</v>
      </c>
      <c r="K55" s="2506">
        <v>144759832.13018882</v>
      </c>
      <c r="L55" s="2613" t="e">
        <v>#N/A</v>
      </c>
      <c r="M55" s="2573">
        <f>+_xlfn.AGGREGATE(9,6,'6.2'!C430:C441)</f>
        <v>75791.119231339995</v>
      </c>
      <c r="N55" s="2614">
        <v>32808957.82564</v>
      </c>
      <c r="O55" s="2632" t="e">
        <v>#N/A</v>
      </c>
      <c r="P55" s="3474">
        <f t="shared" si="0"/>
        <v>0.18585021140633809</v>
      </c>
      <c r="Q55" s="3455">
        <f t="shared" si="1"/>
        <v>0.2252629119927777</v>
      </c>
      <c r="R55" s="3449">
        <f t="shared" si="0"/>
        <v>0.34973847508595146</v>
      </c>
      <c r="S55" s="3459">
        <f t="shared" si="5"/>
        <v>0.5521902734924492</v>
      </c>
      <c r="T55" s="3449">
        <f t="shared" si="2"/>
        <v>0.31708362905826798</v>
      </c>
      <c r="U55" s="3459">
        <f t="shared" si="5"/>
        <v>0.54445990524876675</v>
      </c>
      <c r="V55" s="3449">
        <f t="shared" si="3"/>
        <v>8.2316459840854325E-2</v>
      </c>
      <c r="W55" s="3475">
        <f t="shared" si="4"/>
        <v>0.26507030033284384</v>
      </c>
      <c r="X55" s="177"/>
      <c r="Y55" s="177"/>
      <c r="Z55" s="177"/>
      <c r="AA55" s="177"/>
      <c r="AB55" s="177"/>
      <c r="AC55" s="177"/>
      <c r="AD55" s="177"/>
      <c r="AE55" s="177"/>
    </row>
    <row r="56" spans="1:31" ht="12.75" customHeight="1">
      <c r="A56" s="2479">
        <v>2026</v>
      </c>
      <c r="B56" s="2615" t="e">
        <v>#N/A</v>
      </c>
      <c r="C56" s="2498" t="e">
        <v>#N/A</v>
      </c>
      <c r="D56" s="2500" t="e">
        <v>#N/A</v>
      </c>
      <c r="E56" s="2498" t="e">
        <v>#N/A</v>
      </c>
      <c r="F56" s="2490" t="e">
        <v>#N/A</v>
      </c>
      <c r="G56" s="2506" t="e">
        <v>#N/A</v>
      </c>
      <c r="H56" s="2490" t="e">
        <v>#N/A</v>
      </c>
      <c r="I56" s="2506" t="e">
        <v>#N/A</v>
      </c>
      <c r="J56" s="2500" t="e">
        <v>#N/A</v>
      </c>
      <c r="K56" s="2506" t="e">
        <v>#N/A</v>
      </c>
      <c r="L56" s="2613" t="e">
        <v>#N/A</v>
      </c>
      <c r="M56" s="2500" t="e">
        <v>#N/A</v>
      </c>
      <c r="N56" s="2506" t="e">
        <v>#N/A</v>
      </c>
      <c r="O56" s="2632" t="e">
        <v>#N/A</v>
      </c>
      <c r="P56" s="3474" t="e">
        <f t="shared" si="0"/>
        <v>#N/A</v>
      </c>
      <c r="Q56" s="3456" t="e">
        <f t="shared" si="1"/>
        <v>#N/A</v>
      </c>
      <c r="R56" s="3449" t="e">
        <f t="shared" si="0"/>
        <v>#N/A</v>
      </c>
      <c r="S56" s="3460" t="e">
        <f t="shared" si="5"/>
        <v>#N/A</v>
      </c>
      <c r="T56" s="3449" t="e">
        <f t="shared" si="2"/>
        <v>#N/A</v>
      </c>
      <c r="U56" s="3460" t="e">
        <f t="shared" si="5"/>
        <v>#N/A</v>
      </c>
      <c r="V56" s="3449" t="e">
        <f t="shared" si="3"/>
        <v>#N/A</v>
      </c>
      <c r="W56" s="3475" t="e">
        <f t="shared" si="4"/>
        <v>#N/A</v>
      </c>
    </row>
    <row r="57" spans="1:31" ht="12.75" customHeight="1">
      <c r="A57" s="2479">
        <v>2027</v>
      </c>
      <c r="B57" s="2615" t="e">
        <v>#N/A</v>
      </c>
      <c r="C57" s="2498" t="e">
        <v>#N/A</v>
      </c>
      <c r="D57" s="2500" t="e">
        <v>#N/A</v>
      </c>
      <c r="E57" s="2498" t="e">
        <v>#N/A</v>
      </c>
      <c r="F57" s="2490" t="e">
        <v>#N/A</v>
      </c>
      <c r="G57" s="2506" t="e">
        <v>#N/A</v>
      </c>
      <c r="H57" s="2490" t="e">
        <v>#N/A</v>
      </c>
      <c r="I57" s="2506" t="e">
        <v>#N/A</v>
      </c>
      <c r="J57" s="2500" t="e">
        <v>#N/A</v>
      </c>
      <c r="K57" s="2506" t="e">
        <v>#N/A</v>
      </c>
      <c r="L57" s="2613" t="e">
        <v>#N/A</v>
      </c>
      <c r="M57" s="2500" t="e">
        <v>#N/A</v>
      </c>
      <c r="N57" s="2506" t="e">
        <v>#N/A</v>
      </c>
      <c r="O57" s="2632" t="e">
        <v>#N/A</v>
      </c>
      <c r="P57" s="3474" t="e">
        <f t="shared" si="0"/>
        <v>#N/A</v>
      </c>
      <c r="Q57" s="3456" t="e">
        <f t="shared" si="1"/>
        <v>#N/A</v>
      </c>
      <c r="R57" s="3449" t="e">
        <f t="shared" si="0"/>
        <v>#N/A</v>
      </c>
      <c r="S57" s="3460" t="e">
        <f t="shared" si="5"/>
        <v>#N/A</v>
      </c>
      <c r="T57" s="3449" t="e">
        <f t="shared" si="2"/>
        <v>#N/A</v>
      </c>
      <c r="U57" s="3460" t="e">
        <f t="shared" si="5"/>
        <v>#N/A</v>
      </c>
      <c r="V57" s="3449" t="e">
        <f t="shared" si="3"/>
        <v>#N/A</v>
      </c>
      <c r="W57" s="3475" t="e">
        <f t="shared" si="4"/>
        <v>#N/A</v>
      </c>
    </row>
    <row r="58" spans="1:31" ht="12.75" customHeight="1">
      <c r="A58" s="2479">
        <v>2028</v>
      </c>
      <c r="B58" s="2615" t="e">
        <v>#N/A</v>
      </c>
      <c r="C58" s="2498" t="e">
        <v>#N/A</v>
      </c>
      <c r="D58" s="2500" t="e">
        <v>#N/A</v>
      </c>
      <c r="E58" s="2498" t="e">
        <v>#N/A</v>
      </c>
      <c r="F58" s="2490" t="e">
        <v>#N/A</v>
      </c>
      <c r="G58" s="2506" t="e">
        <v>#N/A</v>
      </c>
      <c r="H58" s="2490" t="e">
        <v>#N/A</v>
      </c>
      <c r="I58" s="2506" t="e">
        <v>#N/A</v>
      </c>
      <c r="J58" s="2500" t="e">
        <v>#N/A</v>
      </c>
      <c r="K58" s="2506" t="e">
        <v>#N/A</v>
      </c>
      <c r="L58" s="2613" t="e">
        <v>#N/A</v>
      </c>
      <c r="M58" s="2500" t="e">
        <v>#N/A</v>
      </c>
      <c r="N58" s="2506" t="e">
        <v>#N/A</v>
      </c>
      <c r="O58" s="2632" t="e">
        <v>#N/A</v>
      </c>
      <c r="P58" s="3474" t="e">
        <f t="shared" si="0"/>
        <v>#N/A</v>
      </c>
      <c r="Q58" s="3456" t="e">
        <f t="shared" si="1"/>
        <v>#N/A</v>
      </c>
      <c r="R58" s="3449" t="e">
        <f t="shared" si="0"/>
        <v>#N/A</v>
      </c>
      <c r="S58" s="3460" t="e">
        <f t="shared" si="5"/>
        <v>#N/A</v>
      </c>
      <c r="T58" s="3449" t="e">
        <f t="shared" si="2"/>
        <v>#N/A</v>
      </c>
      <c r="U58" s="3460" t="e">
        <f t="shared" si="5"/>
        <v>#N/A</v>
      </c>
      <c r="V58" s="3449" t="e">
        <f t="shared" si="3"/>
        <v>#N/A</v>
      </c>
      <c r="W58" s="3475" t="e">
        <f t="shared" si="4"/>
        <v>#N/A</v>
      </c>
    </row>
    <row r="59" spans="1:31" ht="12.75" customHeight="1">
      <c r="A59" s="2479">
        <v>2029</v>
      </c>
      <c r="B59" s="2615" t="e">
        <v>#N/A</v>
      </c>
      <c r="C59" s="2498" t="e">
        <v>#N/A</v>
      </c>
      <c r="D59" s="2500" t="e">
        <v>#N/A</v>
      </c>
      <c r="E59" s="2498" t="e">
        <v>#N/A</v>
      </c>
      <c r="F59" s="2490" t="e">
        <v>#N/A</v>
      </c>
      <c r="G59" s="2506" t="e">
        <v>#N/A</v>
      </c>
      <c r="H59" s="2490" t="e">
        <v>#N/A</v>
      </c>
      <c r="I59" s="2506" t="e">
        <v>#N/A</v>
      </c>
      <c r="J59" s="2500" t="e">
        <v>#N/A</v>
      </c>
      <c r="K59" s="2506" t="e">
        <v>#N/A</v>
      </c>
      <c r="L59" s="2613" t="e">
        <v>#N/A</v>
      </c>
      <c r="M59" s="2500" t="e">
        <v>#N/A</v>
      </c>
      <c r="N59" s="2506" t="e">
        <v>#N/A</v>
      </c>
      <c r="O59" s="2632" t="e">
        <v>#N/A</v>
      </c>
      <c r="P59" s="3474" t="e">
        <f t="shared" si="0"/>
        <v>#N/A</v>
      </c>
      <c r="Q59" s="3456" t="e">
        <f t="shared" si="1"/>
        <v>#N/A</v>
      </c>
      <c r="R59" s="3449" t="e">
        <f t="shared" si="0"/>
        <v>#N/A</v>
      </c>
      <c r="S59" s="3460" t="e">
        <f t="shared" si="5"/>
        <v>#N/A</v>
      </c>
      <c r="T59" s="3449" t="e">
        <f t="shared" si="2"/>
        <v>#N/A</v>
      </c>
      <c r="U59" s="3460" t="e">
        <f t="shared" si="5"/>
        <v>#N/A</v>
      </c>
      <c r="V59" s="3449" t="e">
        <f t="shared" si="3"/>
        <v>#N/A</v>
      </c>
      <c r="W59" s="3475" t="e">
        <f t="shared" si="4"/>
        <v>#N/A</v>
      </c>
    </row>
    <row r="60" spans="1:31" ht="12.75" customHeight="1">
      <c r="A60" s="2479">
        <v>2030</v>
      </c>
      <c r="B60" s="2615" t="e">
        <v>#N/A</v>
      </c>
      <c r="C60" s="2498" t="e">
        <v>#N/A</v>
      </c>
      <c r="D60" s="2500" t="e">
        <v>#N/A</v>
      </c>
      <c r="E60" s="2498" t="e">
        <v>#N/A</v>
      </c>
      <c r="F60" s="2490" t="e">
        <v>#N/A</v>
      </c>
      <c r="G60" s="2506" t="e">
        <v>#N/A</v>
      </c>
      <c r="H60" s="2490" t="e">
        <v>#N/A</v>
      </c>
      <c r="I60" s="2506" t="e">
        <v>#N/A</v>
      </c>
      <c r="J60" s="2500" t="e">
        <v>#N/A</v>
      </c>
      <c r="K60" s="2506" t="e">
        <v>#N/A</v>
      </c>
      <c r="L60" s="2613" t="e">
        <v>#N/A</v>
      </c>
      <c r="M60" s="2500" t="e">
        <v>#N/A</v>
      </c>
      <c r="N60" s="2506" t="e">
        <v>#N/A</v>
      </c>
      <c r="O60" s="2632" t="e">
        <v>#N/A</v>
      </c>
      <c r="P60" s="3474" t="e">
        <f t="shared" si="0"/>
        <v>#N/A</v>
      </c>
      <c r="Q60" s="3456" t="e">
        <f t="shared" si="1"/>
        <v>#N/A</v>
      </c>
      <c r="R60" s="3449" t="e">
        <f t="shared" si="0"/>
        <v>#N/A</v>
      </c>
      <c r="S60" s="3460" t="e">
        <f t="shared" si="5"/>
        <v>#N/A</v>
      </c>
      <c r="T60" s="3449" t="e">
        <f t="shared" si="2"/>
        <v>#N/A</v>
      </c>
      <c r="U60" s="3460" t="e">
        <f t="shared" si="5"/>
        <v>#N/A</v>
      </c>
      <c r="V60" s="3449" t="e">
        <f t="shared" si="3"/>
        <v>#N/A</v>
      </c>
      <c r="W60" s="3475" t="e">
        <f t="shared" si="4"/>
        <v>#N/A</v>
      </c>
    </row>
    <row r="61" spans="1:31">
      <c r="A61" s="2479"/>
      <c r="B61" s="2481"/>
      <c r="C61" s="2481"/>
      <c r="D61" s="2481"/>
      <c r="E61" s="2481"/>
      <c r="F61" s="2481"/>
      <c r="G61" s="2481"/>
      <c r="H61" s="2481"/>
      <c r="I61" s="2481"/>
      <c r="J61" s="2481"/>
      <c r="K61" s="2481"/>
      <c r="L61" s="2481"/>
      <c r="M61" s="2481"/>
      <c r="N61" s="2481"/>
      <c r="O61" s="2481"/>
      <c r="P61" s="2481"/>
    </row>
    <row r="62" spans="1:31">
      <c r="B62" s="2481"/>
      <c r="C62" s="2481"/>
      <c r="D62" s="2481"/>
      <c r="E62" s="2481"/>
      <c r="F62" s="2481"/>
      <c r="G62" s="2481"/>
      <c r="H62" s="2481"/>
      <c r="I62" s="2481"/>
      <c r="J62" s="2481"/>
      <c r="K62" s="2481"/>
      <c r="L62" s="2481"/>
      <c r="M62" s="2481"/>
      <c r="N62" s="2481"/>
      <c r="O62" s="2583"/>
    </row>
    <row r="63" spans="1:31">
      <c r="K63" s="2481"/>
      <c r="L63" s="2481"/>
      <c r="M63" s="2481"/>
    </row>
    <row r="64" spans="1:31">
      <c r="K64" s="2481"/>
      <c r="L64" s="2481"/>
      <c r="M64" s="2481"/>
    </row>
    <row r="65" spans="2:13">
      <c r="B65" s="2483"/>
      <c r="H65" s="2483"/>
      <c r="K65" s="2481"/>
      <c r="L65" s="2481"/>
      <c r="M65" s="2481"/>
    </row>
    <row r="66" spans="2:13">
      <c r="K66" s="2481"/>
      <c r="L66" s="2481"/>
      <c r="M66" s="2481"/>
    </row>
    <row r="67" spans="2:13">
      <c r="K67" s="2481"/>
      <c r="L67" s="2481"/>
      <c r="M67" s="2481"/>
    </row>
    <row r="68" spans="2:13">
      <c r="K68" s="2481"/>
      <c r="L68" s="2481"/>
      <c r="M68" s="2481"/>
    </row>
    <row r="69" spans="2:13">
      <c r="K69" s="2481"/>
      <c r="L69" s="2481"/>
      <c r="M69" s="2481"/>
    </row>
    <row r="70" spans="2:13">
      <c r="K70" s="2481"/>
      <c r="L70" s="2481"/>
      <c r="M70" s="2481"/>
    </row>
    <row r="71" spans="2:13">
      <c r="K71" s="2481"/>
      <c r="L71" s="2481"/>
      <c r="M71" s="2481"/>
    </row>
    <row r="72" spans="2:13">
      <c r="K72" s="2481"/>
      <c r="L72" s="2481"/>
      <c r="M72" s="2481"/>
    </row>
    <row r="73" spans="2:13">
      <c r="K73" s="2481"/>
      <c r="L73" s="2481"/>
      <c r="M73" s="2481"/>
    </row>
    <row r="74" spans="2:13">
      <c r="K74" s="2481"/>
      <c r="L74" s="2481"/>
      <c r="M74" s="2481"/>
    </row>
    <row r="75" spans="2:13">
      <c r="K75" s="2481"/>
      <c r="L75" s="2481"/>
      <c r="M75" s="2481"/>
    </row>
    <row r="76" spans="2:13">
      <c r="K76" s="2481"/>
      <c r="L76" s="2481"/>
      <c r="M76" s="2481"/>
    </row>
    <row r="77" spans="2:13">
      <c r="K77" s="2481"/>
      <c r="L77" s="2481"/>
      <c r="M77" s="2481"/>
    </row>
    <row r="78" spans="2:13">
      <c r="K78" s="2481"/>
      <c r="L78" s="2481"/>
      <c r="M78" s="2481"/>
    </row>
    <row r="79" spans="2:13">
      <c r="K79" s="2481"/>
      <c r="L79" s="2481"/>
      <c r="M79" s="2481"/>
    </row>
    <row r="80" spans="2:13">
      <c r="K80" s="2481"/>
      <c r="L80" s="2481"/>
      <c r="M80" s="2481"/>
    </row>
    <row r="81" spans="11:13">
      <c r="K81" s="2481"/>
      <c r="L81" s="2481"/>
      <c r="M81" s="2481"/>
    </row>
    <row r="82" spans="11:13">
      <c r="K82" s="2481"/>
      <c r="L82" s="2481"/>
      <c r="M82" s="2481"/>
    </row>
    <row r="83" spans="11:13">
      <c r="K83" s="2481"/>
      <c r="L83" s="2481"/>
      <c r="M83" s="2481"/>
    </row>
    <row r="84" spans="11:13">
      <c r="K84" s="2481"/>
      <c r="L84" s="2481"/>
      <c r="M84" s="2481"/>
    </row>
    <row r="85" spans="11:13">
      <c r="K85" s="2481"/>
      <c r="L85" s="2481"/>
      <c r="M85" s="2481"/>
    </row>
    <row r="86" spans="11:13">
      <c r="K86" s="2481"/>
      <c r="L86" s="2481"/>
      <c r="M86" s="2481"/>
    </row>
    <row r="87" spans="11:13">
      <c r="K87" s="2481"/>
      <c r="L87" s="2481"/>
      <c r="M87" s="2481"/>
    </row>
    <row r="88" spans="11:13">
      <c r="K88" s="2481"/>
      <c r="L88" s="2481"/>
      <c r="M88" s="2481"/>
    </row>
    <row r="89" spans="11:13">
      <c r="K89" s="2481"/>
      <c r="L89" s="2481"/>
      <c r="M89" s="2481"/>
    </row>
    <row r="90" spans="11:13">
      <c r="K90" s="2481"/>
      <c r="L90" s="2481"/>
      <c r="M90" s="2481"/>
    </row>
    <row r="91" spans="11:13">
      <c r="K91" s="2481"/>
      <c r="L91" s="2481"/>
      <c r="M91" s="2481"/>
    </row>
    <row r="92" spans="11:13">
      <c r="K92" s="2481"/>
      <c r="L92" s="2481"/>
      <c r="M92" s="2481"/>
    </row>
    <row r="93" spans="11:13">
      <c r="K93" s="2481"/>
      <c r="L93" s="2481"/>
      <c r="M93" s="2481"/>
    </row>
    <row r="94" spans="11:13">
      <c r="K94" s="2481"/>
      <c r="L94" s="2481"/>
      <c r="M94" s="2481"/>
    </row>
    <row r="95" spans="11:13">
      <c r="K95" s="2481"/>
      <c r="L95" s="2481"/>
      <c r="M95" s="2481"/>
    </row>
    <row r="96" spans="11:13">
      <c r="K96" s="2481"/>
      <c r="L96" s="2481"/>
      <c r="M96" s="2481"/>
    </row>
    <row r="97" spans="11:13">
      <c r="K97" s="2481"/>
      <c r="L97" s="2481"/>
      <c r="M97" s="2481"/>
    </row>
    <row r="98" spans="11:13">
      <c r="K98" s="2481"/>
      <c r="L98" s="2481"/>
      <c r="M98" s="2481"/>
    </row>
    <row r="99" spans="11:13">
      <c r="K99" s="2481"/>
      <c r="L99" s="2481"/>
      <c r="M99" s="2481"/>
    </row>
    <row r="100" spans="11:13">
      <c r="K100" s="2481"/>
      <c r="L100" s="2481"/>
      <c r="M100" s="2481"/>
    </row>
    <row r="101" spans="11:13">
      <c r="K101" s="2481"/>
      <c r="L101" s="2481"/>
      <c r="M101" s="2481"/>
    </row>
    <row r="102" spans="11:13">
      <c r="K102" s="2481"/>
      <c r="L102" s="2481"/>
      <c r="M102" s="2481"/>
    </row>
    <row r="103" spans="11:13">
      <c r="K103" s="2481"/>
      <c r="L103" s="2481"/>
      <c r="M103" s="2481"/>
    </row>
    <row r="104" spans="11:13">
      <c r="K104" s="2481"/>
      <c r="L104" s="2481"/>
      <c r="M104" s="2481"/>
    </row>
    <row r="105" spans="11:13">
      <c r="K105" s="2481"/>
      <c r="L105" s="2481"/>
      <c r="M105" s="2481"/>
    </row>
    <row r="106" spans="11:13">
      <c r="K106" s="2481"/>
      <c r="L106" s="2481"/>
      <c r="M106" s="2481"/>
    </row>
    <row r="107" spans="11:13">
      <c r="K107" s="2481"/>
      <c r="L107" s="2481"/>
      <c r="M107" s="2481"/>
    </row>
    <row r="108" spans="11:13">
      <c r="K108" s="2481"/>
      <c r="L108" s="2481"/>
      <c r="M108" s="2481"/>
    </row>
    <row r="109" spans="11:13">
      <c r="K109" s="2481"/>
      <c r="L109" s="2481"/>
      <c r="M109" s="2481"/>
    </row>
    <row r="110" spans="11:13">
      <c r="K110" s="2481"/>
      <c r="L110" s="2481"/>
      <c r="M110" s="2481"/>
    </row>
    <row r="111" spans="11:13">
      <c r="K111" s="2481"/>
      <c r="L111" s="2481"/>
      <c r="M111" s="2481"/>
    </row>
    <row r="112" spans="11:13">
      <c r="K112" s="2481"/>
      <c r="L112" s="2481"/>
      <c r="M112" s="2481"/>
    </row>
    <row r="113" spans="11:13">
      <c r="K113" s="2481"/>
      <c r="L113" s="2481"/>
      <c r="M113" s="2481"/>
    </row>
    <row r="114" spans="11:13">
      <c r="K114" s="2481"/>
      <c r="L114" s="2481"/>
      <c r="M114" s="2481"/>
    </row>
    <row r="115" spans="11:13">
      <c r="K115" s="2481"/>
      <c r="L115" s="2481"/>
      <c r="M115" s="2481"/>
    </row>
    <row r="116" spans="11:13">
      <c r="K116" s="2481"/>
      <c r="L116" s="2481"/>
      <c r="M116" s="2481"/>
    </row>
    <row r="117" spans="11:13">
      <c r="K117" s="2481"/>
      <c r="L117" s="2481"/>
      <c r="M117" s="2481"/>
    </row>
    <row r="118" spans="11:13">
      <c r="K118" s="2481"/>
      <c r="L118" s="2481"/>
      <c r="M118" s="2481"/>
    </row>
    <row r="119" spans="11:13">
      <c r="K119" s="2481"/>
      <c r="L119" s="2481"/>
      <c r="M119" s="2481"/>
    </row>
    <row r="120" spans="11:13">
      <c r="K120" s="2481"/>
      <c r="L120" s="2481"/>
      <c r="M120" s="2481"/>
    </row>
    <row r="121" spans="11:13">
      <c r="K121" s="2481"/>
      <c r="L121" s="2481"/>
      <c r="M121" s="2481"/>
    </row>
    <row r="122" spans="11:13">
      <c r="K122" s="2481"/>
      <c r="L122" s="2481"/>
      <c r="M122" s="2481"/>
    </row>
    <row r="123" spans="11:13">
      <c r="K123" s="2481"/>
      <c r="L123" s="2481"/>
      <c r="M123" s="2481"/>
    </row>
    <row r="124" spans="11:13">
      <c r="K124" s="2481"/>
      <c r="L124" s="2481"/>
      <c r="M124" s="2481"/>
    </row>
    <row r="125" spans="11:13">
      <c r="K125" s="2481"/>
      <c r="L125" s="2481"/>
      <c r="M125" s="2481"/>
    </row>
    <row r="126" spans="11:13">
      <c r="K126" s="2481"/>
      <c r="L126" s="2481"/>
      <c r="M126" s="2481"/>
    </row>
    <row r="127" spans="11:13">
      <c r="K127" s="2481"/>
      <c r="L127" s="2481"/>
      <c r="M127" s="2481"/>
    </row>
    <row r="128" spans="11:13">
      <c r="K128" s="2481"/>
      <c r="L128" s="2481"/>
      <c r="M128" s="2481"/>
    </row>
    <row r="129" spans="11:13">
      <c r="K129" s="2481"/>
      <c r="L129" s="2481"/>
      <c r="M129" s="2481"/>
    </row>
    <row r="130" spans="11:13">
      <c r="K130" s="2481"/>
      <c r="L130" s="2481"/>
      <c r="M130" s="2481"/>
    </row>
    <row r="131" spans="11:13">
      <c r="K131" s="2481"/>
      <c r="L131" s="2481"/>
      <c r="M131" s="2481"/>
    </row>
    <row r="132" spans="11:13">
      <c r="K132" s="2481"/>
      <c r="L132" s="2481"/>
      <c r="M132" s="2481"/>
    </row>
    <row r="133" spans="11:13">
      <c r="K133" s="2481"/>
      <c r="L133" s="2481"/>
      <c r="M133" s="2481"/>
    </row>
    <row r="134" spans="11:13">
      <c r="K134" s="2481"/>
      <c r="L134" s="2481"/>
      <c r="M134" s="2481"/>
    </row>
    <row r="135" spans="11:13">
      <c r="K135" s="2481"/>
      <c r="L135" s="2481"/>
      <c r="M135" s="2481"/>
    </row>
    <row r="136" spans="11:13">
      <c r="K136" s="2481"/>
      <c r="L136" s="2481"/>
      <c r="M136" s="2481"/>
    </row>
    <row r="137" spans="11:13">
      <c r="K137" s="2481"/>
      <c r="L137" s="2481"/>
      <c r="M137" s="2481"/>
    </row>
    <row r="138" spans="11:13">
      <c r="K138" s="2481"/>
      <c r="L138" s="2481"/>
      <c r="M138" s="2481"/>
    </row>
    <row r="139" spans="11:13">
      <c r="K139" s="2481"/>
      <c r="L139" s="2481"/>
      <c r="M139" s="2481"/>
    </row>
    <row r="140" spans="11:13">
      <c r="K140" s="2481"/>
      <c r="L140" s="2481"/>
      <c r="M140" s="2481"/>
    </row>
    <row r="141" spans="11:13">
      <c r="K141" s="2481"/>
      <c r="L141" s="2481"/>
      <c r="M141" s="2481"/>
    </row>
    <row r="142" spans="11:13">
      <c r="K142" s="2481"/>
      <c r="L142" s="2481"/>
      <c r="M142" s="2481"/>
    </row>
    <row r="143" spans="11:13">
      <c r="K143" s="2481"/>
      <c r="L143" s="2481"/>
      <c r="M143" s="2481"/>
    </row>
    <row r="144" spans="11:13">
      <c r="K144" s="2481"/>
      <c r="L144" s="2481"/>
      <c r="M144" s="2481"/>
    </row>
    <row r="145" spans="11:13">
      <c r="K145" s="2481"/>
      <c r="L145" s="2481"/>
      <c r="M145" s="2481"/>
    </row>
    <row r="146" spans="11:13">
      <c r="K146" s="2481"/>
      <c r="L146" s="2481"/>
      <c r="M146" s="2481"/>
    </row>
    <row r="147" spans="11:13">
      <c r="K147" s="2481"/>
      <c r="L147" s="2481"/>
      <c r="M147" s="2481"/>
    </row>
    <row r="148" spans="11:13">
      <c r="K148" s="2481"/>
      <c r="L148" s="2481"/>
      <c r="M148" s="2481"/>
    </row>
    <row r="149" spans="11:13">
      <c r="K149" s="2481"/>
      <c r="L149" s="2481"/>
      <c r="M149" s="2481"/>
    </row>
    <row r="150" spans="11:13">
      <c r="K150" s="2481"/>
      <c r="L150" s="2481"/>
      <c r="M150" s="2481"/>
    </row>
    <row r="151" spans="11:13">
      <c r="K151" s="2481"/>
      <c r="L151" s="2481"/>
      <c r="M151" s="2481"/>
    </row>
    <row r="152" spans="11:13">
      <c r="K152" s="2481"/>
      <c r="L152" s="2481"/>
      <c r="M152" s="2481"/>
    </row>
    <row r="153" spans="11:13">
      <c r="K153" s="2481"/>
      <c r="L153" s="2481"/>
      <c r="M153" s="2481"/>
    </row>
    <row r="154" spans="11:13">
      <c r="K154" s="2481"/>
      <c r="L154" s="2481"/>
      <c r="M154" s="2481"/>
    </row>
    <row r="155" spans="11:13">
      <c r="K155" s="2481"/>
      <c r="L155" s="2481"/>
      <c r="M155" s="2481"/>
    </row>
    <row r="156" spans="11:13">
      <c r="K156" s="2481"/>
      <c r="L156" s="2481"/>
      <c r="M156" s="2481"/>
    </row>
    <row r="157" spans="11:13">
      <c r="K157" s="2481"/>
      <c r="L157" s="2481"/>
      <c r="M157" s="2481"/>
    </row>
    <row r="158" spans="11:13">
      <c r="K158" s="2481"/>
      <c r="L158" s="2481"/>
      <c r="M158" s="2481"/>
    </row>
    <row r="159" spans="11:13">
      <c r="K159" s="2481"/>
      <c r="L159" s="2481"/>
      <c r="M159" s="2481"/>
    </row>
    <row r="160" spans="11:13">
      <c r="K160" s="2481"/>
      <c r="L160" s="2481"/>
      <c r="M160" s="2481"/>
    </row>
    <row r="161" spans="11:13">
      <c r="K161" s="2481"/>
      <c r="L161" s="2481"/>
      <c r="M161" s="2481"/>
    </row>
    <row r="162" spans="11:13">
      <c r="K162" s="2481"/>
      <c r="L162" s="2481"/>
      <c r="M162" s="2481"/>
    </row>
    <row r="163" spans="11:13">
      <c r="K163" s="2481"/>
      <c r="L163" s="2481"/>
      <c r="M163" s="2481"/>
    </row>
    <row r="164" spans="11:13">
      <c r="K164" s="2481"/>
      <c r="L164" s="2481"/>
      <c r="M164" s="2481"/>
    </row>
    <row r="165" spans="11:13">
      <c r="K165" s="2481"/>
      <c r="L165" s="2481"/>
      <c r="M165" s="2481"/>
    </row>
    <row r="166" spans="11:13">
      <c r="K166" s="2481"/>
      <c r="L166" s="2481"/>
      <c r="M166" s="2481"/>
    </row>
    <row r="167" spans="11:13">
      <c r="K167" s="2481"/>
      <c r="L167" s="2481"/>
      <c r="M167" s="2481"/>
    </row>
    <row r="168" spans="11:13">
      <c r="K168" s="2481"/>
      <c r="L168" s="2481"/>
      <c r="M168" s="2481"/>
    </row>
    <row r="169" spans="11:13">
      <c r="K169" s="2481"/>
      <c r="L169" s="2481"/>
      <c r="M169" s="2481"/>
    </row>
    <row r="170" spans="11:13">
      <c r="K170" s="2481"/>
      <c r="L170" s="2481"/>
      <c r="M170" s="2481"/>
    </row>
    <row r="171" spans="11:13">
      <c r="K171" s="2481"/>
      <c r="L171" s="2481"/>
      <c r="M171" s="2481"/>
    </row>
    <row r="172" spans="11:13">
      <c r="K172" s="2481"/>
      <c r="L172" s="2481"/>
      <c r="M172" s="2481"/>
    </row>
    <row r="173" spans="11:13">
      <c r="K173" s="2481"/>
      <c r="L173" s="2481"/>
      <c r="M173" s="2481"/>
    </row>
    <row r="174" spans="11:13">
      <c r="K174" s="2481"/>
      <c r="L174" s="2481"/>
      <c r="M174" s="2481"/>
    </row>
    <row r="175" spans="11:13">
      <c r="K175" s="2481"/>
      <c r="L175" s="2481"/>
      <c r="M175" s="2481"/>
    </row>
    <row r="176" spans="11:13">
      <c r="K176" s="2481"/>
      <c r="L176" s="2481"/>
      <c r="M176" s="2481"/>
    </row>
    <row r="177" spans="11:13">
      <c r="K177" s="2481"/>
      <c r="L177" s="2481"/>
      <c r="M177" s="2481"/>
    </row>
    <row r="178" spans="11:13">
      <c r="K178" s="2481"/>
      <c r="L178" s="2481"/>
      <c r="M178" s="2481"/>
    </row>
    <row r="179" spans="11:13">
      <c r="K179" s="2481"/>
      <c r="L179" s="2481"/>
      <c r="M179" s="2481"/>
    </row>
    <row r="180" spans="11:13">
      <c r="K180" s="2481"/>
      <c r="L180" s="2481"/>
      <c r="M180" s="2481"/>
    </row>
    <row r="181" spans="11:13">
      <c r="K181" s="2481"/>
      <c r="L181" s="2481"/>
      <c r="M181" s="2481"/>
    </row>
    <row r="182" spans="11:13">
      <c r="K182" s="2481"/>
      <c r="L182" s="2481"/>
      <c r="M182" s="2481"/>
    </row>
    <row r="183" spans="11:13">
      <c r="K183" s="2481"/>
      <c r="L183" s="2481"/>
      <c r="M183" s="2481"/>
    </row>
    <row r="184" spans="11:13">
      <c r="K184" s="2481"/>
      <c r="L184" s="2481"/>
      <c r="M184" s="2481"/>
    </row>
    <row r="185" spans="11:13">
      <c r="K185" s="2481"/>
      <c r="L185" s="2481"/>
      <c r="M185" s="2481"/>
    </row>
    <row r="186" spans="11:13">
      <c r="K186" s="2481"/>
      <c r="L186" s="2481"/>
      <c r="M186" s="2481"/>
    </row>
    <row r="187" spans="11:13">
      <c r="K187" s="2481"/>
      <c r="L187" s="2481"/>
      <c r="M187" s="2481"/>
    </row>
    <row r="188" spans="11:13">
      <c r="K188" s="2481"/>
      <c r="L188" s="2481"/>
      <c r="M188" s="2481"/>
    </row>
    <row r="189" spans="11:13">
      <c r="K189" s="2481"/>
      <c r="L189" s="2481"/>
      <c r="M189" s="2481"/>
    </row>
    <row r="190" spans="11:13">
      <c r="K190" s="2481"/>
      <c r="L190" s="2481"/>
      <c r="M190" s="2481"/>
    </row>
    <row r="191" spans="11:13">
      <c r="K191" s="2481"/>
      <c r="L191" s="2481"/>
      <c r="M191" s="2481"/>
    </row>
    <row r="192" spans="11:13">
      <c r="K192" s="2481"/>
      <c r="L192" s="2481"/>
      <c r="M192" s="2481"/>
    </row>
    <row r="193" spans="11:13">
      <c r="K193" s="2481"/>
      <c r="L193" s="2481"/>
      <c r="M193" s="2481"/>
    </row>
    <row r="194" spans="11:13">
      <c r="K194" s="2481"/>
      <c r="L194" s="2481"/>
      <c r="M194" s="2481"/>
    </row>
    <row r="195" spans="11:13">
      <c r="K195" s="2481"/>
      <c r="L195" s="2481"/>
      <c r="M195" s="2481"/>
    </row>
    <row r="196" spans="11:13">
      <c r="K196" s="2481"/>
      <c r="L196" s="2481"/>
      <c r="M196" s="2481"/>
    </row>
    <row r="197" spans="11:13">
      <c r="K197" s="2481"/>
      <c r="L197" s="2481"/>
      <c r="M197" s="2481"/>
    </row>
    <row r="198" spans="11:13">
      <c r="K198" s="2481"/>
      <c r="L198" s="2481"/>
      <c r="M198" s="2481"/>
    </row>
    <row r="199" spans="11:13">
      <c r="K199" s="2481"/>
      <c r="L199" s="2481"/>
      <c r="M199" s="2481"/>
    </row>
    <row r="200" spans="11:13">
      <c r="K200" s="2481"/>
      <c r="L200" s="2481"/>
      <c r="M200" s="2481"/>
    </row>
    <row r="201" spans="11:13">
      <c r="K201" s="2481"/>
      <c r="L201" s="2481"/>
      <c r="M201" s="2481"/>
    </row>
    <row r="202" spans="11:13">
      <c r="K202" s="2481"/>
      <c r="L202" s="2481"/>
      <c r="M202" s="2481"/>
    </row>
    <row r="203" spans="11:13">
      <c r="K203" s="2481"/>
      <c r="L203" s="2481"/>
      <c r="M203" s="2481"/>
    </row>
    <row r="204" spans="11:13">
      <c r="K204" s="2481"/>
      <c r="L204" s="2481"/>
      <c r="M204" s="2481"/>
    </row>
    <row r="205" spans="11:13">
      <c r="K205" s="2481"/>
      <c r="L205" s="2481"/>
      <c r="M205" s="2481"/>
    </row>
    <row r="206" spans="11:13">
      <c r="K206" s="2481"/>
      <c r="L206" s="2481"/>
      <c r="M206" s="2481"/>
    </row>
    <row r="207" spans="11:13">
      <c r="K207" s="2481"/>
      <c r="L207" s="2481"/>
      <c r="M207" s="2481"/>
    </row>
    <row r="208" spans="11:13">
      <c r="K208" s="2481"/>
      <c r="L208" s="2481"/>
      <c r="M208" s="2481"/>
    </row>
    <row r="209" spans="11:13">
      <c r="K209" s="2481"/>
      <c r="L209" s="2481"/>
      <c r="M209" s="2481"/>
    </row>
    <row r="210" spans="11:13">
      <c r="K210" s="2481"/>
      <c r="L210" s="2481"/>
      <c r="M210" s="2481"/>
    </row>
    <row r="211" spans="11:13">
      <c r="K211" s="2481"/>
      <c r="L211" s="2481"/>
      <c r="M211" s="2481"/>
    </row>
    <row r="212" spans="11:13">
      <c r="K212" s="2481"/>
      <c r="L212" s="2481"/>
      <c r="M212" s="2481"/>
    </row>
    <row r="213" spans="11:13">
      <c r="K213" s="2481"/>
      <c r="L213" s="2481"/>
      <c r="M213" s="2481"/>
    </row>
    <row r="214" spans="11:13">
      <c r="K214" s="2481"/>
      <c r="L214" s="2481"/>
      <c r="M214" s="2481"/>
    </row>
    <row r="215" spans="11:13">
      <c r="K215" s="2481"/>
      <c r="L215" s="2481"/>
      <c r="M215" s="2481"/>
    </row>
    <row r="216" spans="11:13">
      <c r="K216" s="2481"/>
      <c r="L216" s="2481"/>
      <c r="M216" s="2481"/>
    </row>
    <row r="217" spans="11:13">
      <c r="K217" s="2481"/>
      <c r="L217" s="2481"/>
      <c r="M217" s="2481"/>
    </row>
    <row r="218" spans="11:13">
      <c r="K218" s="2481"/>
      <c r="L218" s="2481"/>
      <c r="M218" s="2481"/>
    </row>
    <row r="219" spans="11:13">
      <c r="K219" s="2481"/>
      <c r="L219" s="2481"/>
      <c r="M219" s="2481"/>
    </row>
    <row r="220" spans="11:13">
      <c r="K220" s="2481"/>
      <c r="L220" s="2481"/>
      <c r="M220" s="2481"/>
    </row>
    <row r="221" spans="11:13">
      <c r="K221" s="2481"/>
      <c r="L221" s="2481"/>
      <c r="M221" s="2481"/>
    </row>
    <row r="222" spans="11:13">
      <c r="K222" s="2481"/>
      <c r="L222" s="2481"/>
      <c r="M222" s="2481"/>
    </row>
    <row r="223" spans="11:13">
      <c r="K223" s="2481"/>
      <c r="L223" s="2481"/>
      <c r="M223" s="2481"/>
    </row>
    <row r="224" spans="11:13">
      <c r="K224" s="2481"/>
      <c r="L224" s="2481"/>
      <c r="M224" s="2481"/>
    </row>
    <row r="225" spans="11:13">
      <c r="K225" s="2481"/>
      <c r="L225" s="2481"/>
      <c r="M225" s="2481"/>
    </row>
    <row r="226" spans="11:13">
      <c r="K226" s="2481"/>
      <c r="L226" s="2481"/>
      <c r="M226" s="2481"/>
    </row>
    <row r="227" spans="11:13">
      <c r="K227" s="2481"/>
      <c r="L227" s="2481"/>
      <c r="M227" s="2481"/>
    </row>
    <row r="228" spans="11:13">
      <c r="K228" s="2481"/>
      <c r="L228" s="2481"/>
      <c r="M228" s="2481"/>
    </row>
    <row r="229" spans="11:13">
      <c r="K229" s="2481"/>
      <c r="L229" s="2481"/>
      <c r="M229" s="2481"/>
    </row>
    <row r="230" spans="11:13">
      <c r="K230" s="2481"/>
      <c r="L230" s="2481"/>
      <c r="M230" s="2481"/>
    </row>
    <row r="231" spans="11:13">
      <c r="K231" s="2481"/>
      <c r="L231" s="2481"/>
      <c r="M231" s="2481"/>
    </row>
    <row r="232" spans="11:13">
      <c r="K232" s="2481"/>
      <c r="L232" s="2481"/>
      <c r="M232" s="2481"/>
    </row>
    <row r="233" spans="11:13">
      <c r="K233" s="2481"/>
      <c r="L233" s="2481"/>
      <c r="M233" s="2481"/>
    </row>
    <row r="234" spans="11:13">
      <c r="K234" s="2481"/>
      <c r="L234" s="2481"/>
      <c r="M234" s="2481"/>
    </row>
    <row r="235" spans="11:13">
      <c r="K235" s="2481"/>
      <c r="L235" s="2481"/>
      <c r="M235" s="2481"/>
    </row>
    <row r="236" spans="11:13">
      <c r="K236" s="2481"/>
      <c r="L236" s="2481"/>
      <c r="M236" s="2481"/>
    </row>
    <row r="237" spans="11:13">
      <c r="K237" s="2481"/>
      <c r="L237" s="2481"/>
      <c r="M237" s="2481"/>
    </row>
    <row r="238" spans="11:13">
      <c r="K238" s="2481"/>
      <c r="L238" s="2481"/>
      <c r="M238" s="2481"/>
    </row>
    <row r="239" spans="11:13">
      <c r="K239" s="2481"/>
      <c r="L239" s="2481"/>
      <c r="M239" s="2481"/>
    </row>
    <row r="240" spans="11:13">
      <c r="K240" s="2481"/>
      <c r="L240" s="2481"/>
      <c r="M240" s="2481"/>
    </row>
    <row r="241" spans="11:13">
      <c r="K241" s="2481"/>
      <c r="L241" s="2481"/>
      <c r="M241" s="2481"/>
    </row>
    <row r="242" spans="11:13">
      <c r="K242" s="2481"/>
      <c r="L242" s="2481"/>
      <c r="M242" s="2481"/>
    </row>
    <row r="243" spans="11:13">
      <c r="K243" s="2481"/>
      <c r="L243" s="2481"/>
      <c r="M243" s="2481"/>
    </row>
    <row r="244" spans="11:13">
      <c r="K244" s="2481"/>
      <c r="L244" s="2481"/>
      <c r="M244" s="2481"/>
    </row>
    <row r="245" spans="11:13">
      <c r="K245" s="2481"/>
      <c r="L245" s="2481"/>
      <c r="M245" s="2481"/>
    </row>
    <row r="246" spans="11:13">
      <c r="K246" s="2481"/>
      <c r="L246" s="2481"/>
      <c r="M246" s="2481"/>
    </row>
    <row r="247" spans="11:13">
      <c r="K247" s="2481"/>
      <c r="L247" s="2481"/>
      <c r="M247" s="2481"/>
    </row>
    <row r="248" spans="11:13">
      <c r="K248" s="2481"/>
      <c r="L248" s="2481"/>
      <c r="M248" s="2481"/>
    </row>
    <row r="249" spans="11:13">
      <c r="K249" s="2481"/>
      <c r="L249" s="2481"/>
      <c r="M249" s="2481"/>
    </row>
    <row r="250" spans="11:13">
      <c r="K250" s="2481"/>
      <c r="L250" s="2481"/>
      <c r="M250" s="2481"/>
    </row>
    <row r="251" spans="11:13">
      <c r="K251" s="2481"/>
      <c r="L251" s="2481"/>
      <c r="M251" s="2481"/>
    </row>
    <row r="252" spans="11:13">
      <c r="K252" s="2481"/>
      <c r="L252" s="2481"/>
      <c r="M252" s="2481"/>
    </row>
    <row r="253" spans="11:13">
      <c r="K253" s="2481"/>
      <c r="L253" s="2481"/>
      <c r="M253" s="2481"/>
    </row>
    <row r="254" spans="11:13">
      <c r="K254" s="2481"/>
      <c r="L254" s="2481"/>
      <c r="M254" s="2481"/>
    </row>
    <row r="255" spans="11:13">
      <c r="K255" s="2481"/>
      <c r="L255" s="2481"/>
      <c r="M255" s="2481"/>
    </row>
    <row r="256" spans="11:13">
      <c r="K256" s="2481"/>
      <c r="L256" s="2481"/>
      <c r="M256" s="2481"/>
    </row>
    <row r="257" spans="11:13">
      <c r="K257" s="2481"/>
      <c r="L257" s="2481"/>
      <c r="M257" s="2481"/>
    </row>
    <row r="258" spans="11:13">
      <c r="K258" s="2481"/>
      <c r="L258" s="2481"/>
      <c r="M258" s="2481"/>
    </row>
    <row r="259" spans="11:13">
      <c r="K259" s="2481"/>
      <c r="L259" s="2481"/>
      <c r="M259" s="2481"/>
    </row>
    <row r="260" spans="11:13">
      <c r="K260" s="2481"/>
      <c r="L260" s="2481"/>
      <c r="M260" s="2481"/>
    </row>
    <row r="261" spans="11:13">
      <c r="K261" s="2481"/>
      <c r="L261" s="2481"/>
      <c r="M261" s="2481"/>
    </row>
    <row r="262" spans="11:13">
      <c r="K262" s="2481"/>
      <c r="L262" s="2481"/>
      <c r="M262" s="2481"/>
    </row>
    <row r="263" spans="11:13">
      <c r="K263" s="2481"/>
      <c r="L263" s="2481"/>
      <c r="M263" s="2481"/>
    </row>
    <row r="264" spans="11:13">
      <c r="K264" s="2481"/>
      <c r="L264" s="2481"/>
      <c r="M264" s="2481"/>
    </row>
    <row r="265" spans="11:13">
      <c r="K265" s="2481"/>
      <c r="L265" s="2481"/>
      <c r="M265" s="2481"/>
    </row>
    <row r="266" spans="11:13">
      <c r="K266" s="2481"/>
      <c r="L266" s="2481"/>
      <c r="M266" s="2481"/>
    </row>
    <row r="267" spans="11:13">
      <c r="K267" s="2481"/>
      <c r="L267" s="2481"/>
      <c r="M267" s="2481"/>
    </row>
    <row r="268" spans="11:13">
      <c r="K268" s="2481"/>
      <c r="L268" s="2481"/>
      <c r="M268" s="2481"/>
    </row>
    <row r="269" spans="11:13">
      <c r="K269" s="2481"/>
      <c r="L269" s="2481"/>
      <c r="M269" s="2481"/>
    </row>
    <row r="270" spans="11:13">
      <c r="K270" s="2481"/>
      <c r="L270" s="2481"/>
      <c r="M270" s="2481"/>
    </row>
    <row r="271" spans="11:13">
      <c r="K271" s="2481"/>
      <c r="L271" s="2481"/>
      <c r="M271" s="2481"/>
    </row>
    <row r="272" spans="11:13">
      <c r="K272" s="2481"/>
      <c r="L272" s="2481"/>
      <c r="M272" s="2481"/>
    </row>
    <row r="273" spans="11:13">
      <c r="K273" s="2481"/>
      <c r="L273" s="2481"/>
      <c r="M273" s="2481"/>
    </row>
    <row r="274" spans="11:13">
      <c r="K274" s="2481"/>
      <c r="L274" s="2481"/>
      <c r="M274" s="2481"/>
    </row>
    <row r="275" spans="11:13">
      <c r="K275" s="2481"/>
      <c r="L275" s="2481"/>
      <c r="M275" s="2481"/>
    </row>
    <row r="276" spans="11:13">
      <c r="K276" s="2481"/>
      <c r="L276" s="2481"/>
      <c r="M276" s="2481"/>
    </row>
    <row r="277" spans="11:13">
      <c r="K277" s="2481"/>
      <c r="L277" s="2481"/>
      <c r="M277" s="2481"/>
    </row>
    <row r="278" spans="11:13">
      <c r="K278" s="2481"/>
      <c r="L278" s="2481"/>
      <c r="M278" s="2481"/>
    </row>
    <row r="279" spans="11:13">
      <c r="K279" s="2481"/>
      <c r="L279" s="2481"/>
      <c r="M279" s="2481"/>
    </row>
    <row r="280" spans="11:13">
      <c r="K280" s="2481"/>
      <c r="L280" s="2481"/>
      <c r="M280" s="2481"/>
    </row>
    <row r="281" spans="11:13">
      <c r="K281" s="2481"/>
      <c r="L281" s="2481"/>
      <c r="M281" s="2481"/>
    </row>
    <row r="282" spans="11:13">
      <c r="K282" s="2481"/>
      <c r="L282" s="2481"/>
      <c r="M282" s="2481"/>
    </row>
    <row r="283" spans="11:13">
      <c r="K283" s="2481"/>
      <c r="L283" s="2481"/>
      <c r="M283" s="2481"/>
    </row>
    <row r="284" spans="11:13">
      <c r="K284" s="2481"/>
      <c r="L284" s="2481"/>
      <c r="M284" s="2481"/>
    </row>
    <row r="285" spans="11:13">
      <c r="K285" s="2481"/>
      <c r="L285" s="2481"/>
      <c r="M285" s="2481"/>
    </row>
    <row r="286" spans="11:13">
      <c r="K286" s="2481"/>
      <c r="L286" s="2481"/>
      <c r="M286" s="2481"/>
    </row>
    <row r="287" spans="11:13">
      <c r="K287" s="2481"/>
      <c r="L287" s="2481"/>
      <c r="M287" s="2481"/>
    </row>
    <row r="288" spans="11:13">
      <c r="K288" s="2481"/>
      <c r="L288" s="2481"/>
      <c r="M288" s="2481"/>
    </row>
    <row r="289" spans="11:13">
      <c r="K289" s="2481"/>
      <c r="L289" s="2481"/>
      <c r="M289" s="2481"/>
    </row>
  </sheetData>
  <hyperlinks>
    <hyperlink ref="A5" location="INDICE!A13" display="VOLVER AL INDICE" xr:uid="{B290BAB6-4974-4621-A8B7-7CE0BCC8B739}"/>
  </hyperlinks>
  <pageMargins left="0.7" right="0.7" top="0.75" bottom="0.75" header="0.3" footer="0.3"/>
  <pageSetup paperSize="9"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44CC8-A412-4B59-9EE6-CBC9C1D3150F}">
  <dimension ref="A1:W358"/>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5"/>
  <cols>
    <col min="1" max="1" width="10.5703125" style="2531" customWidth="1"/>
    <col min="2" max="9" width="10.42578125" style="2531" customWidth="1"/>
    <col min="10" max="11" width="13.5703125" style="2531" customWidth="1"/>
    <col min="12" max="16384" width="11.42578125" style="2530"/>
  </cols>
  <sheetData>
    <row r="1" spans="1:23" ht="3" customHeight="1">
      <c r="A1" s="2761"/>
      <c r="B1" s="42"/>
      <c r="C1" s="42"/>
      <c r="D1" s="42"/>
      <c r="E1" s="42"/>
      <c r="F1" s="42"/>
      <c r="G1" s="42"/>
      <c r="H1" s="42"/>
      <c r="I1" s="42"/>
      <c r="J1" s="42"/>
      <c r="K1" s="134"/>
    </row>
    <row r="2" spans="1:23">
      <c r="A2" s="2853" t="s">
        <v>99</v>
      </c>
      <c r="B2" s="2544" t="s">
        <v>1690</v>
      </c>
      <c r="C2" s="2544"/>
      <c r="D2" s="2544"/>
      <c r="E2" s="2544"/>
      <c r="F2" s="2544"/>
      <c r="G2" s="2544"/>
      <c r="H2" s="2544"/>
      <c r="I2" s="2544"/>
      <c r="J2" s="2544"/>
      <c r="K2" s="2543"/>
    </row>
    <row r="3" spans="1:23">
      <c r="A3" s="2853" t="s">
        <v>104</v>
      </c>
      <c r="B3" s="2472" t="s">
        <v>135</v>
      </c>
      <c r="C3" s="2472"/>
      <c r="D3" s="2472"/>
      <c r="E3" s="2472"/>
      <c r="F3" s="2472"/>
      <c r="G3" s="2472"/>
      <c r="H3" s="2472"/>
      <c r="I3" s="2472"/>
      <c r="J3" s="2472"/>
      <c r="K3" s="135"/>
    </row>
    <row r="4" spans="1:23" ht="3" customHeight="1">
      <c r="A4" s="2853"/>
      <c r="B4" s="1276"/>
      <c r="C4" s="1276"/>
      <c r="D4" s="1276"/>
      <c r="E4" s="1276"/>
      <c r="F4" s="1276"/>
      <c r="G4" s="1276"/>
      <c r="H4" s="2597"/>
      <c r="I4" s="1276"/>
      <c r="J4" s="1276"/>
      <c r="K4" s="2542"/>
    </row>
    <row r="5" spans="1:23" ht="22.5">
      <c r="A5" s="3084" t="s">
        <v>140</v>
      </c>
      <c r="B5" s="2604" t="s">
        <v>1691</v>
      </c>
      <c r="C5" s="2604"/>
      <c r="D5" s="2605" t="s">
        <v>1692</v>
      </c>
      <c r="E5" s="2604"/>
      <c r="F5" s="2604" t="s">
        <v>1693</v>
      </c>
      <c r="G5" s="2604"/>
      <c r="H5" s="2605" t="s">
        <v>1694</v>
      </c>
      <c r="I5" s="2606"/>
      <c r="J5" s="3086" t="s">
        <v>1695</v>
      </c>
      <c r="K5" s="2541" t="s">
        <v>1695</v>
      </c>
    </row>
    <row r="6" spans="1:23">
      <c r="A6" s="2853"/>
      <c r="B6" s="2607" t="s">
        <v>1696</v>
      </c>
      <c r="C6" s="2607" t="s">
        <v>1685</v>
      </c>
      <c r="D6" s="2607" t="s">
        <v>1696</v>
      </c>
      <c r="E6" s="2607" t="s">
        <v>1685</v>
      </c>
      <c r="F6" s="2607" t="s">
        <v>1696</v>
      </c>
      <c r="G6" s="2607" t="s">
        <v>1685</v>
      </c>
      <c r="H6" s="2607" t="s">
        <v>1696</v>
      </c>
      <c r="I6" s="2608" t="s">
        <v>1685</v>
      </c>
      <c r="J6" s="3087" t="s">
        <v>1696</v>
      </c>
      <c r="K6" s="2540" t="s">
        <v>1685</v>
      </c>
    </row>
    <row r="7" spans="1:23" ht="33.75">
      <c r="A7" s="2853" t="s">
        <v>125</v>
      </c>
      <c r="B7" s="2609" t="s">
        <v>1663</v>
      </c>
      <c r="C7" s="2609" t="s">
        <v>127</v>
      </c>
      <c r="D7" s="709" t="s">
        <v>1663</v>
      </c>
      <c r="E7" s="2609" t="s">
        <v>127</v>
      </c>
      <c r="F7" s="2609" t="s">
        <v>1663</v>
      </c>
      <c r="G7" s="2609" t="s">
        <v>127</v>
      </c>
      <c r="H7" s="709" t="s">
        <v>1663</v>
      </c>
      <c r="I7" s="272" t="s">
        <v>127</v>
      </c>
      <c r="J7" s="2772" t="s">
        <v>1663</v>
      </c>
      <c r="K7" s="2115" t="s">
        <v>127</v>
      </c>
    </row>
    <row r="8" spans="1:23">
      <c r="A8" s="3002" t="s">
        <v>144</v>
      </c>
      <c r="B8" s="2592" t="s">
        <v>1715</v>
      </c>
      <c r="C8" s="2592" t="s">
        <v>1716</v>
      </c>
      <c r="D8" s="2539" t="s">
        <v>1717</v>
      </c>
      <c r="E8" s="2592" t="s">
        <v>1718</v>
      </c>
      <c r="F8" s="2592" t="s">
        <v>1719</v>
      </c>
      <c r="G8" s="2592" t="s">
        <v>2073</v>
      </c>
      <c r="H8" s="2539" t="s">
        <v>2074</v>
      </c>
      <c r="I8" s="2588" t="s">
        <v>2075</v>
      </c>
      <c r="J8" s="3088" t="s">
        <v>2076</v>
      </c>
      <c r="K8" s="2538" t="s">
        <v>2077</v>
      </c>
    </row>
    <row r="9" spans="1:23" ht="4.5" customHeight="1" thickBot="1">
      <c r="A9" s="2140"/>
      <c r="B9" s="733"/>
      <c r="C9" s="733"/>
      <c r="D9" s="2537"/>
      <c r="E9" s="733"/>
      <c r="F9" s="733"/>
      <c r="G9" s="733"/>
      <c r="H9" s="2537"/>
      <c r="I9" s="199"/>
      <c r="J9" s="2552"/>
      <c r="K9" s="2536"/>
    </row>
    <row r="10" spans="1:23" ht="12.75" customHeight="1">
      <c r="A10" s="2534">
        <f t="shared" ref="A10:A41" si="0">A22-1</f>
        <v>2002.01</v>
      </c>
      <c r="B10" s="2593">
        <v>41.1783827</v>
      </c>
      <c r="C10" s="2593">
        <v>360027.69532</v>
      </c>
      <c r="D10" s="2535">
        <v>216.99102159</v>
      </c>
      <c r="E10" s="2593">
        <v>974329.17268200009</v>
      </c>
      <c r="F10" s="2593">
        <v>32.677538869999999</v>
      </c>
      <c r="G10" s="2593">
        <v>37254.310962999996</v>
      </c>
      <c r="H10" s="2535">
        <v>5.4721770000000003</v>
      </c>
      <c r="I10" s="2553">
        <v>44951.092799999999</v>
      </c>
      <c r="J10" s="2598">
        <f>+SUM(B10,D10,F10,H10)</f>
        <v>296.31912015999995</v>
      </c>
      <c r="K10" s="2599">
        <f>+SUM(C10,E10,G10,I10)</f>
        <v>1416562.271765</v>
      </c>
      <c r="L10" s="2550"/>
      <c r="S10" s="2551"/>
      <c r="T10" s="2551"/>
      <c r="U10" s="2551"/>
      <c r="V10" s="2551"/>
      <c r="W10" s="2551"/>
    </row>
    <row r="11" spans="1:23" ht="12.75" customHeight="1">
      <c r="A11" s="2534">
        <f t="shared" si="0"/>
        <v>2002.02</v>
      </c>
      <c r="B11" s="2594">
        <v>27.237787050000001</v>
      </c>
      <c r="C11" s="2594">
        <v>227660.68526600001</v>
      </c>
      <c r="D11" s="3674">
        <v>196.43125606000001</v>
      </c>
      <c r="E11" s="2594">
        <v>800292.16447900003</v>
      </c>
      <c r="F11" s="2594">
        <v>39.275985740000003</v>
      </c>
      <c r="G11" s="2594">
        <v>40846.523854999999</v>
      </c>
      <c r="H11" s="3674">
        <v>7.1086650000000002</v>
      </c>
      <c r="I11" s="2589">
        <v>52199.865600000005</v>
      </c>
      <c r="J11" s="2600">
        <f t="shared" ref="J11:J74" si="1">+SUM(B11,D11,F11,H11)</f>
        <v>270.05369385</v>
      </c>
      <c r="K11" s="2601">
        <f t="shared" ref="K11:K74" si="2">+SUM(C11,E11,G11,I11)</f>
        <v>1120999.2392</v>
      </c>
      <c r="L11" s="2550"/>
      <c r="S11" s="2551"/>
      <c r="T11" s="2551"/>
      <c r="U11" s="2551"/>
      <c r="V11" s="2551"/>
      <c r="W11" s="2551"/>
    </row>
    <row r="12" spans="1:23" ht="12.75" customHeight="1">
      <c r="A12" s="2534">
        <f t="shared" si="0"/>
        <v>2002.03</v>
      </c>
      <c r="B12" s="2594">
        <v>51.127095220000001</v>
      </c>
      <c r="C12" s="2594">
        <v>470059.55811599997</v>
      </c>
      <c r="D12" s="3674">
        <v>208.54054545</v>
      </c>
      <c r="E12" s="2594">
        <v>835832.19481500005</v>
      </c>
      <c r="F12" s="2594">
        <v>46.607206560000002</v>
      </c>
      <c r="G12" s="2594">
        <v>46015.315242999997</v>
      </c>
      <c r="H12" s="3674">
        <v>4.2289950000000003</v>
      </c>
      <c r="I12" s="2589">
        <v>21301.686000000002</v>
      </c>
      <c r="J12" s="2600">
        <f t="shared" si="1"/>
        <v>310.50384222999998</v>
      </c>
      <c r="K12" s="2601">
        <f t="shared" si="2"/>
        <v>1373208.7541739999</v>
      </c>
      <c r="L12" s="2550"/>
      <c r="S12" s="2551"/>
      <c r="T12" s="2551"/>
      <c r="U12" s="2551"/>
      <c r="V12" s="2551"/>
      <c r="W12" s="2551"/>
    </row>
    <row r="13" spans="1:23" ht="12.75" customHeight="1">
      <c r="A13" s="2534">
        <f t="shared" si="0"/>
        <v>2002.04</v>
      </c>
      <c r="B13" s="2594">
        <v>71.846564629999989</v>
      </c>
      <c r="C13" s="2594">
        <v>560339.75080700009</v>
      </c>
      <c r="D13" s="3674">
        <v>267.88960043999998</v>
      </c>
      <c r="E13" s="2594">
        <v>1288043.871816</v>
      </c>
      <c r="F13" s="2594">
        <v>42.206921999999999</v>
      </c>
      <c r="G13" s="2594">
        <v>55682.193181999995</v>
      </c>
      <c r="H13" s="3674">
        <v>2.220577</v>
      </c>
      <c r="I13" s="2589">
        <v>11141.25216</v>
      </c>
      <c r="J13" s="2600">
        <f t="shared" si="1"/>
        <v>384.16366406999998</v>
      </c>
      <c r="K13" s="2601">
        <f t="shared" si="2"/>
        <v>1915207.0679649999</v>
      </c>
      <c r="L13" s="2550"/>
      <c r="S13" s="2551"/>
      <c r="T13" s="2551"/>
      <c r="U13" s="2551"/>
      <c r="V13" s="2551"/>
      <c r="W13" s="2551"/>
    </row>
    <row r="14" spans="1:23" ht="12.75" customHeight="1">
      <c r="A14" s="2534">
        <f t="shared" si="0"/>
        <v>2002.05</v>
      </c>
      <c r="B14" s="2594">
        <v>100.33574609999999</v>
      </c>
      <c r="C14" s="2594">
        <v>706409.6478739999</v>
      </c>
      <c r="D14" s="3674">
        <v>297.55975050000001</v>
      </c>
      <c r="E14" s="2594">
        <v>1365100.0334019999</v>
      </c>
      <c r="F14" s="2594">
        <v>50.497607719999998</v>
      </c>
      <c r="G14" s="2594">
        <v>57602.408495999996</v>
      </c>
      <c r="H14" s="3674">
        <v>6.2741939999999996</v>
      </c>
      <c r="I14" s="2589">
        <v>34983.774420000002</v>
      </c>
      <c r="J14" s="2600">
        <f t="shared" si="1"/>
        <v>454.66729832000004</v>
      </c>
      <c r="K14" s="2601">
        <f t="shared" si="2"/>
        <v>2164095.8641919997</v>
      </c>
      <c r="L14" s="2550"/>
      <c r="S14" s="2551"/>
      <c r="T14" s="2551"/>
      <c r="U14" s="2551"/>
      <c r="V14" s="2551"/>
      <c r="W14" s="2551"/>
    </row>
    <row r="15" spans="1:23" ht="12.75" customHeight="1">
      <c r="A15" s="2534">
        <f t="shared" si="0"/>
        <v>2002.06</v>
      </c>
      <c r="B15" s="2594">
        <v>74.299391889999995</v>
      </c>
      <c r="C15" s="2594">
        <v>508240.416998</v>
      </c>
      <c r="D15" s="3674">
        <v>302.59416211000001</v>
      </c>
      <c r="E15" s="2594">
        <v>1402331.8852509998</v>
      </c>
      <c r="F15" s="2594">
        <v>48.871009000000001</v>
      </c>
      <c r="G15" s="2594">
        <v>48886.132590000001</v>
      </c>
      <c r="H15" s="3674">
        <v>14.010775000000001</v>
      </c>
      <c r="I15" s="2589">
        <v>79097.930240000002</v>
      </c>
      <c r="J15" s="2600">
        <f t="shared" si="1"/>
        <v>439.77533800000003</v>
      </c>
      <c r="K15" s="2601">
        <f t="shared" si="2"/>
        <v>2038556.3650789999</v>
      </c>
      <c r="L15" s="2550"/>
      <c r="S15" s="2551"/>
      <c r="T15" s="2551"/>
      <c r="U15" s="2551"/>
      <c r="V15" s="2551"/>
      <c r="W15" s="2551"/>
    </row>
    <row r="16" spans="1:23" ht="12.75" customHeight="1">
      <c r="A16" s="2534">
        <f t="shared" si="0"/>
        <v>2002.07</v>
      </c>
      <c r="B16" s="2594">
        <v>66.271730320000003</v>
      </c>
      <c r="C16" s="2594">
        <v>395009.63639200001</v>
      </c>
      <c r="D16" s="3674">
        <v>358.83737623000002</v>
      </c>
      <c r="E16" s="2594">
        <v>1501744.4674470001</v>
      </c>
      <c r="F16" s="2594">
        <v>55.617589000000002</v>
      </c>
      <c r="G16" s="2594">
        <v>54722.845950000003</v>
      </c>
      <c r="H16" s="3674">
        <v>3.6318410000000001</v>
      </c>
      <c r="I16" s="2589">
        <v>16888.46312</v>
      </c>
      <c r="J16" s="2600">
        <f t="shared" si="1"/>
        <v>484.35853655000005</v>
      </c>
      <c r="K16" s="2601">
        <f t="shared" si="2"/>
        <v>1968365.4129090002</v>
      </c>
      <c r="L16" s="2550"/>
      <c r="S16" s="2551"/>
      <c r="T16" s="2551"/>
      <c r="U16" s="2551"/>
      <c r="V16" s="2551"/>
      <c r="W16" s="2551"/>
    </row>
    <row r="17" spans="1:23" ht="12.75" customHeight="1">
      <c r="A17" s="2534">
        <f t="shared" si="0"/>
        <v>2002.08</v>
      </c>
      <c r="B17" s="2594">
        <v>61.010246630000005</v>
      </c>
      <c r="C17" s="2594">
        <v>345475.91752399999</v>
      </c>
      <c r="D17" s="3674">
        <v>312.49587736000001</v>
      </c>
      <c r="E17" s="2594">
        <v>1310214.7918410001</v>
      </c>
      <c r="F17" s="2594">
        <v>56.792271</v>
      </c>
      <c r="G17" s="2594">
        <v>53016.70433</v>
      </c>
      <c r="H17" s="3674">
        <v>8.172072</v>
      </c>
      <c r="I17" s="2589">
        <v>49459.486840000005</v>
      </c>
      <c r="J17" s="2600">
        <f t="shared" si="1"/>
        <v>438.47046699000003</v>
      </c>
      <c r="K17" s="2601">
        <f t="shared" si="2"/>
        <v>1758166.900535</v>
      </c>
      <c r="L17" s="2550"/>
      <c r="S17" s="2551"/>
      <c r="T17" s="2551"/>
      <c r="U17" s="2551"/>
      <c r="V17" s="2551"/>
      <c r="W17" s="2551"/>
    </row>
    <row r="18" spans="1:23" ht="12.75" customHeight="1">
      <c r="A18" s="2534">
        <f t="shared" si="0"/>
        <v>2002.09</v>
      </c>
      <c r="B18" s="2594">
        <v>56.411486909999994</v>
      </c>
      <c r="C18" s="2594">
        <v>325241.27902200003</v>
      </c>
      <c r="D18" s="3674">
        <v>382.84968360000005</v>
      </c>
      <c r="E18" s="2594">
        <v>1556566.3988610001</v>
      </c>
      <c r="F18" s="2594">
        <v>61.299156250000003</v>
      </c>
      <c r="G18" s="2594">
        <v>54564.993729999995</v>
      </c>
      <c r="H18" s="3674">
        <v>4.988772</v>
      </c>
      <c r="I18" s="2589">
        <v>23739.784739999999</v>
      </c>
      <c r="J18" s="2600">
        <f t="shared" si="1"/>
        <v>505.54909876000005</v>
      </c>
      <c r="K18" s="2601">
        <f t="shared" si="2"/>
        <v>1960112.4563530001</v>
      </c>
      <c r="L18" s="2550"/>
      <c r="S18" s="2551"/>
      <c r="T18" s="2551"/>
      <c r="U18" s="2551"/>
      <c r="V18" s="2551"/>
      <c r="W18" s="2551"/>
    </row>
    <row r="19" spans="1:23" ht="12.75" customHeight="1">
      <c r="A19" s="2534">
        <f t="shared" si="0"/>
        <v>2002.1</v>
      </c>
      <c r="B19" s="2594">
        <v>28.53070598</v>
      </c>
      <c r="C19" s="2594">
        <v>179964.06234200002</v>
      </c>
      <c r="D19" s="3674">
        <v>344.44612776999998</v>
      </c>
      <c r="E19" s="2594">
        <v>1491652.1352349999</v>
      </c>
      <c r="F19" s="2594">
        <v>64.543266000000003</v>
      </c>
      <c r="G19" s="2594">
        <v>72612.705499999996</v>
      </c>
      <c r="H19" s="3674">
        <v>11.351691000000001</v>
      </c>
      <c r="I19" s="2589">
        <v>57213.499659999994</v>
      </c>
      <c r="J19" s="2600">
        <f t="shared" si="1"/>
        <v>448.87179075</v>
      </c>
      <c r="K19" s="2601">
        <f t="shared" si="2"/>
        <v>1801442.4027369998</v>
      </c>
      <c r="L19" s="2550"/>
      <c r="S19" s="2551"/>
      <c r="T19" s="2551"/>
      <c r="U19" s="2551"/>
      <c r="V19" s="2551"/>
      <c r="W19" s="2551"/>
    </row>
    <row r="20" spans="1:23" ht="12.75" customHeight="1">
      <c r="A20" s="2534">
        <f t="shared" si="0"/>
        <v>2002.11</v>
      </c>
      <c r="B20" s="2594">
        <v>28.985803019999999</v>
      </c>
      <c r="C20" s="2594">
        <v>218645.797926</v>
      </c>
      <c r="D20" s="3674">
        <v>345.05194875000001</v>
      </c>
      <c r="E20" s="2594">
        <v>1431250.2828800001</v>
      </c>
      <c r="F20" s="2594">
        <v>55.216369999999998</v>
      </c>
      <c r="G20" s="2594">
        <v>45739.100270000003</v>
      </c>
      <c r="H20" s="3674">
        <v>8.4243089999999992</v>
      </c>
      <c r="I20" s="2589">
        <v>36873.299200000001</v>
      </c>
      <c r="J20" s="2600">
        <f t="shared" si="1"/>
        <v>437.67843076999998</v>
      </c>
      <c r="K20" s="2601">
        <f t="shared" si="2"/>
        <v>1732508.4802760002</v>
      </c>
      <c r="L20" s="2550"/>
      <c r="S20" s="2551"/>
      <c r="T20" s="2551"/>
      <c r="U20" s="2551"/>
      <c r="V20" s="2551"/>
      <c r="W20" s="2551"/>
    </row>
    <row r="21" spans="1:23" ht="12.75" customHeight="1">
      <c r="A21" s="2534">
        <f t="shared" si="0"/>
        <v>2002.12</v>
      </c>
      <c r="B21" s="2594">
        <v>25.468939149999997</v>
      </c>
      <c r="C21" s="2594">
        <v>187887.22996599998</v>
      </c>
      <c r="D21" s="3674">
        <v>307.64148919000002</v>
      </c>
      <c r="E21" s="2594">
        <v>1135989.5234310001</v>
      </c>
      <c r="F21" s="2594">
        <v>58.491764000000003</v>
      </c>
      <c r="G21" s="2594">
        <v>78229.292310000004</v>
      </c>
      <c r="H21" s="3674">
        <v>9.2824150000000003</v>
      </c>
      <c r="I21" s="2589">
        <v>39540.896119999998</v>
      </c>
      <c r="J21" s="2600">
        <f t="shared" si="1"/>
        <v>400.88460734</v>
      </c>
      <c r="K21" s="2601">
        <f t="shared" si="2"/>
        <v>1441646.9418269999</v>
      </c>
      <c r="L21" s="2550"/>
      <c r="S21" s="2551"/>
      <c r="T21" s="2551"/>
      <c r="U21" s="2551"/>
      <c r="V21" s="2551"/>
      <c r="W21" s="2551"/>
    </row>
    <row r="22" spans="1:23" ht="12.75" customHeight="1">
      <c r="A22" s="2534">
        <f t="shared" si="0"/>
        <v>2003.01</v>
      </c>
      <c r="B22" s="2594">
        <v>31.880125579999998</v>
      </c>
      <c r="C22" s="2594">
        <v>233674.86126199999</v>
      </c>
      <c r="D22" s="3674">
        <v>345.55213627999996</v>
      </c>
      <c r="E22" s="2594">
        <v>1377220.069322</v>
      </c>
      <c r="F22" s="2594">
        <v>43.601634650000001</v>
      </c>
      <c r="G22" s="2594">
        <v>52679.021174999994</v>
      </c>
      <c r="H22" s="3674">
        <v>7.4661270000000002</v>
      </c>
      <c r="I22" s="2589">
        <v>39729.963000000003</v>
      </c>
      <c r="J22" s="2600">
        <f t="shared" si="1"/>
        <v>428.50002350999989</v>
      </c>
      <c r="K22" s="2601">
        <f t="shared" si="2"/>
        <v>1703303.9147589998</v>
      </c>
      <c r="L22" s="2550"/>
      <c r="S22" s="2551"/>
      <c r="T22" s="2551"/>
      <c r="U22" s="2551"/>
      <c r="V22" s="2551"/>
      <c r="W22" s="2551"/>
    </row>
    <row r="23" spans="1:23" ht="12.75" customHeight="1">
      <c r="A23" s="2534">
        <f t="shared" si="0"/>
        <v>2003.02</v>
      </c>
      <c r="B23" s="2594">
        <v>34.615552639999997</v>
      </c>
      <c r="C23" s="2594">
        <v>257801.35386100001</v>
      </c>
      <c r="D23" s="3674">
        <v>301.68715725999999</v>
      </c>
      <c r="E23" s="2594">
        <v>1154395.8135910002</v>
      </c>
      <c r="F23" s="2594">
        <v>52.025393999999999</v>
      </c>
      <c r="G23" s="2594">
        <v>63804.253073</v>
      </c>
      <c r="H23" s="3674">
        <v>1.793887</v>
      </c>
      <c r="I23" s="2589">
        <v>6632.0349999999999</v>
      </c>
      <c r="J23" s="2600">
        <f t="shared" si="1"/>
        <v>390.12199089999996</v>
      </c>
      <c r="K23" s="2601">
        <f t="shared" si="2"/>
        <v>1482633.4555249999</v>
      </c>
      <c r="L23" s="2550"/>
      <c r="S23" s="2551"/>
      <c r="T23" s="2551"/>
      <c r="U23" s="2551"/>
      <c r="V23" s="2551"/>
      <c r="W23" s="2551"/>
    </row>
    <row r="24" spans="1:23" ht="12.75" customHeight="1">
      <c r="A24" s="2534">
        <f t="shared" si="0"/>
        <v>2003.03</v>
      </c>
      <c r="B24" s="2594">
        <v>44.107729210000002</v>
      </c>
      <c r="C24" s="2594">
        <v>328908.028995</v>
      </c>
      <c r="D24" s="3674">
        <v>284.15129423000002</v>
      </c>
      <c r="E24" s="2594">
        <v>1061129.5295760001</v>
      </c>
      <c r="F24" s="2594">
        <v>57.783019000000003</v>
      </c>
      <c r="G24" s="2594">
        <v>48800.074099999998</v>
      </c>
      <c r="H24" s="3674">
        <v>16.235091000000001</v>
      </c>
      <c r="I24" s="2589">
        <v>73446.736000000004</v>
      </c>
      <c r="J24" s="2600">
        <f t="shared" si="1"/>
        <v>402.27713344000006</v>
      </c>
      <c r="K24" s="2601">
        <f t="shared" si="2"/>
        <v>1512284.3686710002</v>
      </c>
      <c r="L24" s="2550"/>
      <c r="S24" s="2551"/>
      <c r="T24" s="2551"/>
      <c r="U24" s="2551"/>
      <c r="V24" s="2551"/>
      <c r="W24" s="2551"/>
    </row>
    <row r="25" spans="1:23" ht="12.75" customHeight="1">
      <c r="A25" s="2534">
        <f t="shared" si="0"/>
        <v>2003.04</v>
      </c>
      <c r="B25" s="2594">
        <v>133.77465409999999</v>
      </c>
      <c r="C25" s="2594">
        <v>800846.62504999992</v>
      </c>
      <c r="D25" s="3674">
        <v>300.93687869000001</v>
      </c>
      <c r="E25" s="2594">
        <v>1188195.3288510002</v>
      </c>
      <c r="F25" s="2594">
        <v>54.263348260000001</v>
      </c>
      <c r="G25" s="2594">
        <v>55735.913318000006</v>
      </c>
      <c r="H25" s="3674">
        <v>5.0376370000000001</v>
      </c>
      <c r="I25" s="2589">
        <v>21253.3475</v>
      </c>
      <c r="J25" s="2600">
        <f t="shared" si="1"/>
        <v>494.01251804999998</v>
      </c>
      <c r="K25" s="2601">
        <f t="shared" si="2"/>
        <v>2066031.214719</v>
      </c>
      <c r="L25" s="2550"/>
      <c r="S25" s="2551"/>
      <c r="T25" s="2551"/>
      <c r="U25" s="2551"/>
      <c r="V25" s="2551"/>
      <c r="W25" s="2551"/>
    </row>
    <row r="26" spans="1:23" ht="12.75" customHeight="1">
      <c r="A26" s="2534">
        <f t="shared" si="0"/>
        <v>2003.05</v>
      </c>
      <c r="B26" s="2594">
        <v>166.10738112000001</v>
      </c>
      <c r="C26" s="2594">
        <v>932521.260977</v>
      </c>
      <c r="D26" s="3674">
        <v>432.78403706</v>
      </c>
      <c r="E26" s="2594">
        <v>1756600.5337999999</v>
      </c>
      <c r="F26" s="2594">
        <v>55.998136000000002</v>
      </c>
      <c r="G26" s="2594">
        <v>56321.606428999999</v>
      </c>
      <c r="H26" s="3674">
        <v>3.515946</v>
      </c>
      <c r="I26" s="2589">
        <v>16440.363000000001</v>
      </c>
      <c r="J26" s="2600">
        <f t="shared" si="1"/>
        <v>658.4055001800001</v>
      </c>
      <c r="K26" s="2601">
        <f t="shared" si="2"/>
        <v>2761883.7642059997</v>
      </c>
      <c r="L26" s="2550"/>
      <c r="S26" s="2551"/>
      <c r="T26" s="2551"/>
      <c r="U26" s="2551"/>
      <c r="V26" s="2551"/>
      <c r="W26" s="2551"/>
    </row>
    <row r="27" spans="1:23" ht="12.75" customHeight="1">
      <c r="A27" s="2534">
        <f t="shared" si="0"/>
        <v>2003.06</v>
      </c>
      <c r="B27" s="2594">
        <v>160.34587447999999</v>
      </c>
      <c r="C27" s="2594">
        <v>856247.97804099997</v>
      </c>
      <c r="D27" s="3674">
        <v>402.12068135999999</v>
      </c>
      <c r="E27" s="2594">
        <v>1543911.1247750001</v>
      </c>
      <c r="F27" s="2594">
        <v>52.453691999999997</v>
      </c>
      <c r="G27" s="2594">
        <v>44505.655546999995</v>
      </c>
      <c r="H27" s="3674">
        <v>12.368124</v>
      </c>
      <c r="I27" s="2589">
        <v>64530.188999999998</v>
      </c>
      <c r="J27" s="2600">
        <f t="shared" si="1"/>
        <v>627.28837183999997</v>
      </c>
      <c r="K27" s="2601">
        <f t="shared" si="2"/>
        <v>2509194.9473629999</v>
      </c>
      <c r="L27" s="2550"/>
      <c r="S27" s="2551"/>
      <c r="T27" s="2551"/>
      <c r="U27" s="2551"/>
      <c r="V27" s="2551"/>
      <c r="W27" s="2551"/>
    </row>
    <row r="28" spans="1:23" ht="12.75" customHeight="1">
      <c r="A28" s="2534">
        <f t="shared" si="0"/>
        <v>2003.07</v>
      </c>
      <c r="B28" s="2594">
        <v>149.46326587000001</v>
      </c>
      <c r="C28" s="2594">
        <v>771659.88482000004</v>
      </c>
      <c r="D28" s="3674">
        <v>438.16453257999996</v>
      </c>
      <c r="E28" s="2594">
        <v>1613904.560729</v>
      </c>
      <c r="F28" s="2594">
        <v>57.001029689999996</v>
      </c>
      <c r="G28" s="2594">
        <v>46273.009652999994</v>
      </c>
      <c r="H28" s="3674">
        <v>7.3278790000000003</v>
      </c>
      <c r="I28" s="2589">
        <v>30198.376230000002</v>
      </c>
      <c r="J28" s="2600">
        <f t="shared" si="1"/>
        <v>651.95670714000005</v>
      </c>
      <c r="K28" s="2601">
        <f t="shared" si="2"/>
        <v>2462035.8314320003</v>
      </c>
      <c r="L28" s="2550"/>
      <c r="S28" s="2551"/>
      <c r="T28" s="2551"/>
      <c r="U28" s="2551"/>
      <c r="V28" s="2551"/>
      <c r="W28" s="2551"/>
    </row>
    <row r="29" spans="1:23" ht="12.75" customHeight="1">
      <c r="A29" s="2534">
        <f t="shared" si="0"/>
        <v>2003.08</v>
      </c>
      <c r="B29" s="2594">
        <v>45.231709840000001</v>
      </c>
      <c r="C29" s="2594">
        <v>258400.81946200001</v>
      </c>
      <c r="D29" s="3674">
        <v>391.3154945</v>
      </c>
      <c r="E29" s="2594">
        <v>1692640.448664</v>
      </c>
      <c r="F29" s="2594">
        <v>55.377358619999995</v>
      </c>
      <c r="G29" s="2594">
        <v>52842.974200000004</v>
      </c>
      <c r="H29" s="3674">
        <v>13.892158999999999</v>
      </c>
      <c r="I29" s="2589">
        <v>60674.595999999998</v>
      </c>
      <c r="J29" s="2600">
        <f t="shared" si="1"/>
        <v>505.81672196</v>
      </c>
      <c r="K29" s="2601">
        <f t="shared" si="2"/>
        <v>2064558.8383259999</v>
      </c>
      <c r="L29" s="2550"/>
      <c r="S29" s="2551"/>
      <c r="T29" s="2551"/>
      <c r="U29" s="2551"/>
      <c r="V29" s="2551"/>
      <c r="W29" s="2551"/>
    </row>
    <row r="30" spans="1:23" ht="12.75" customHeight="1">
      <c r="A30" s="2534">
        <f t="shared" si="0"/>
        <v>2003.09</v>
      </c>
      <c r="B30" s="2594">
        <v>24.689965100000002</v>
      </c>
      <c r="C30" s="2594">
        <v>163189.01616699999</v>
      </c>
      <c r="D30" s="3674">
        <v>404.89604032</v>
      </c>
      <c r="E30" s="2594">
        <v>1535495.6964070001</v>
      </c>
      <c r="F30" s="2594">
        <v>59.048638539999999</v>
      </c>
      <c r="G30" s="2594">
        <v>55804.046672999997</v>
      </c>
      <c r="H30" s="3674">
        <v>5.1820839999999997</v>
      </c>
      <c r="I30" s="2589">
        <v>20545.108100000001</v>
      </c>
      <c r="J30" s="2600">
        <f t="shared" si="1"/>
        <v>493.81672795999998</v>
      </c>
      <c r="K30" s="2601">
        <f t="shared" si="2"/>
        <v>1775033.8673470002</v>
      </c>
      <c r="L30" s="2550"/>
      <c r="S30" s="2551"/>
      <c r="T30" s="2551"/>
      <c r="U30" s="2551"/>
      <c r="V30" s="2551"/>
      <c r="W30" s="2551"/>
    </row>
    <row r="31" spans="1:23" ht="12.75" customHeight="1">
      <c r="A31" s="2534">
        <f t="shared" si="0"/>
        <v>2003.1</v>
      </c>
      <c r="B31" s="2594">
        <v>25.130062600000002</v>
      </c>
      <c r="C31" s="2594">
        <v>166505.20991800001</v>
      </c>
      <c r="D31" s="3674">
        <v>430.34113463</v>
      </c>
      <c r="E31" s="2594">
        <v>1565721.7168970001</v>
      </c>
      <c r="F31" s="2594">
        <v>62.159185640000004</v>
      </c>
      <c r="G31" s="2594">
        <v>49751.559156999996</v>
      </c>
      <c r="H31" s="3674">
        <v>14.411065000000001</v>
      </c>
      <c r="I31" s="2589">
        <v>62869.500189999999</v>
      </c>
      <c r="J31" s="2600">
        <f t="shared" si="1"/>
        <v>532.04144787000007</v>
      </c>
      <c r="K31" s="2601">
        <f t="shared" si="2"/>
        <v>1844847.9861620001</v>
      </c>
      <c r="L31" s="2550"/>
      <c r="S31" s="2551"/>
      <c r="T31" s="2551"/>
      <c r="U31" s="2551"/>
      <c r="V31" s="2551"/>
      <c r="W31" s="2551"/>
    </row>
    <row r="32" spans="1:23" ht="12.75" customHeight="1">
      <c r="A32" s="2534">
        <f t="shared" si="0"/>
        <v>2003.11</v>
      </c>
      <c r="B32" s="2594">
        <v>37.85388468</v>
      </c>
      <c r="C32" s="2594">
        <v>202604.846468</v>
      </c>
      <c r="D32" s="3674">
        <v>462.58342535000003</v>
      </c>
      <c r="E32" s="2594">
        <v>1481254.68668</v>
      </c>
      <c r="F32" s="2594">
        <v>61.348636999999997</v>
      </c>
      <c r="G32" s="2594">
        <v>49926.532203000002</v>
      </c>
      <c r="H32" s="3674">
        <v>5.0032560000000004</v>
      </c>
      <c r="I32" s="2589">
        <v>20572.507100000003</v>
      </c>
      <c r="J32" s="2600">
        <f t="shared" si="1"/>
        <v>566.78920302999995</v>
      </c>
      <c r="K32" s="2601">
        <f t="shared" si="2"/>
        <v>1754358.5724510001</v>
      </c>
      <c r="L32" s="2550"/>
      <c r="S32" s="2551"/>
      <c r="T32" s="2551"/>
      <c r="U32" s="2551"/>
      <c r="V32" s="2551"/>
      <c r="W32" s="2551"/>
    </row>
    <row r="33" spans="1:23" ht="12.75" customHeight="1">
      <c r="A33" s="2534">
        <f t="shared" si="0"/>
        <v>2003.12</v>
      </c>
      <c r="B33" s="2594">
        <v>27.456728699999999</v>
      </c>
      <c r="C33" s="2594">
        <v>186430.83780099999</v>
      </c>
      <c r="D33" s="3674">
        <v>431.74173691999999</v>
      </c>
      <c r="E33" s="2594">
        <v>1476231.359594</v>
      </c>
      <c r="F33" s="2594">
        <v>58.997519740000001</v>
      </c>
      <c r="G33" s="2594">
        <v>48951.497148000002</v>
      </c>
      <c r="H33" s="3674">
        <v>5.0326320000000004</v>
      </c>
      <c r="I33" s="2589">
        <v>19457.249</v>
      </c>
      <c r="J33" s="2600">
        <f t="shared" si="1"/>
        <v>523.22861736000004</v>
      </c>
      <c r="K33" s="2601">
        <f t="shared" si="2"/>
        <v>1731070.9435430001</v>
      </c>
      <c r="L33" s="2550"/>
      <c r="S33" s="2551"/>
      <c r="T33" s="2551"/>
      <c r="U33" s="2551"/>
      <c r="V33" s="2551"/>
      <c r="W33" s="2551"/>
    </row>
    <row r="34" spans="1:23" ht="12.75" customHeight="1">
      <c r="A34" s="2534">
        <f t="shared" si="0"/>
        <v>2004.01</v>
      </c>
      <c r="B34" s="2594">
        <v>37.567526460000003</v>
      </c>
      <c r="C34" s="2594">
        <v>233827.61129</v>
      </c>
      <c r="D34" s="3674">
        <v>440.56542063000001</v>
      </c>
      <c r="E34" s="2594">
        <v>1419234.2668699999</v>
      </c>
      <c r="F34" s="2594">
        <v>53.834835200000001</v>
      </c>
      <c r="G34" s="2594">
        <v>43234.299709999999</v>
      </c>
      <c r="H34" s="3674">
        <v>2.4902669999999998</v>
      </c>
      <c r="I34" s="2589">
        <v>9787.8788100000002</v>
      </c>
      <c r="J34" s="2600">
        <f t="shared" si="1"/>
        <v>534.45804929000008</v>
      </c>
      <c r="K34" s="2601">
        <f t="shared" si="2"/>
        <v>1706084.0566799997</v>
      </c>
      <c r="S34" s="2551"/>
      <c r="T34" s="2551"/>
      <c r="U34" s="2551"/>
      <c r="V34" s="2551"/>
      <c r="W34" s="2551"/>
    </row>
    <row r="35" spans="1:23" ht="12.75" customHeight="1">
      <c r="A35" s="2534">
        <f t="shared" si="0"/>
        <v>2004.02</v>
      </c>
      <c r="B35" s="2594">
        <v>35.289083299999994</v>
      </c>
      <c r="C35" s="2594">
        <v>232224.419096</v>
      </c>
      <c r="D35" s="3674">
        <v>462.23405525999999</v>
      </c>
      <c r="E35" s="2594">
        <v>1304537.1823069998</v>
      </c>
      <c r="F35" s="2594">
        <v>50.268781390000001</v>
      </c>
      <c r="G35" s="2594">
        <v>39364.736570000001</v>
      </c>
      <c r="H35" s="3674">
        <v>13.706640999999999</v>
      </c>
      <c r="I35" s="2589">
        <v>50850.620920000001</v>
      </c>
      <c r="J35" s="2600">
        <f t="shared" si="1"/>
        <v>561.49856094999996</v>
      </c>
      <c r="K35" s="2601">
        <f t="shared" si="2"/>
        <v>1626976.9588929997</v>
      </c>
      <c r="S35" s="2551"/>
      <c r="T35" s="2551"/>
      <c r="U35" s="2551"/>
      <c r="V35" s="2551"/>
      <c r="W35" s="2551"/>
    </row>
    <row r="36" spans="1:23" ht="12.75" customHeight="1">
      <c r="A36" s="2534">
        <f t="shared" si="0"/>
        <v>2004.03</v>
      </c>
      <c r="B36" s="2594">
        <v>50.31275145</v>
      </c>
      <c r="C36" s="2594">
        <v>348186.25679299998</v>
      </c>
      <c r="D36" s="3674">
        <v>388.28020741</v>
      </c>
      <c r="E36" s="2594">
        <v>1080028.267765</v>
      </c>
      <c r="F36" s="2594">
        <v>68.728925619999998</v>
      </c>
      <c r="G36" s="2594">
        <v>50103.500004000001</v>
      </c>
      <c r="H36" s="3674">
        <v>7.6261020000000004</v>
      </c>
      <c r="I36" s="2589">
        <v>29916.242719999998</v>
      </c>
      <c r="J36" s="2600">
        <f t="shared" si="1"/>
        <v>514.94798647999994</v>
      </c>
      <c r="K36" s="2601">
        <f t="shared" si="2"/>
        <v>1508234.267282</v>
      </c>
      <c r="S36" s="2551"/>
      <c r="T36" s="2551"/>
      <c r="U36" s="2551"/>
      <c r="V36" s="2551"/>
      <c r="W36" s="2551"/>
    </row>
    <row r="37" spans="1:23" ht="12.75" customHeight="1">
      <c r="A37" s="2534">
        <f t="shared" si="0"/>
        <v>2004.04</v>
      </c>
      <c r="B37" s="2594">
        <v>162.09411371000002</v>
      </c>
      <c r="C37" s="2594">
        <v>755541.92710099998</v>
      </c>
      <c r="D37" s="3674">
        <v>443.75298476999996</v>
      </c>
      <c r="E37" s="2594">
        <v>1303354.8468780001</v>
      </c>
      <c r="F37" s="2594">
        <v>48.711142619999997</v>
      </c>
      <c r="G37" s="2594">
        <v>35153.253357000001</v>
      </c>
      <c r="H37" s="3674">
        <v>13.987664000000001</v>
      </c>
      <c r="I37" s="2589">
        <v>52328.655200000001</v>
      </c>
      <c r="J37" s="2600">
        <f t="shared" si="1"/>
        <v>668.54590510000003</v>
      </c>
      <c r="K37" s="2601">
        <f t="shared" si="2"/>
        <v>2146378.6825359999</v>
      </c>
      <c r="S37" s="2551"/>
      <c r="T37" s="2551"/>
      <c r="U37" s="2551"/>
      <c r="V37" s="2551"/>
      <c r="W37" s="2551"/>
    </row>
    <row r="38" spans="1:23" ht="12.75" customHeight="1">
      <c r="A38" s="2534">
        <f t="shared" si="0"/>
        <v>2004.05</v>
      </c>
      <c r="B38" s="2594">
        <v>170.50420683999999</v>
      </c>
      <c r="C38" s="2594">
        <v>782330.62437500001</v>
      </c>
      <c r="D38" s="3674">
        <v>617.46369267</v>
      </c>
      <c r="E38" s="2594">
        <v>1785178.459271</v>
      </c>
      <c r="F38" s="2594">
        <v>76.182053189999991</v>
      </c>
      <c r="G38" s="2594">
        <v>46383.477887000001</v>
      </c>
      <c r="H38" s="3674">
        <v>6.824497</v>
      </c>
      <c r="I38" s="2589">
        <v>21547.940910000001</v>
      </c>
      <c r="J38" s="2600">
        <f t="shared" si="1"/>
        <v>870.97444970000004</v>
      </c>
      <c r="K38" s="2601">
        <f t="shared" si="2"/>
        <v>2635440.5024429997</v>
      </c>
      <c r="S38" s="2551"/>
      <c r="T38" s="2551"/>
      <c r="U38" s="2551"/>
      <c r="V38" s="2551"/>
      <c r="W38" s="2551"/>
    </row>
    <row r="39" spans="1:23" ht="12.75" customHeight="1">
      <c r="A39" s="2534">
        <f t="shared" si="0"/>
        <v>2004.06</v>
      </c>
      <c r="B39" s="2594">
        <v>90.658114089999998</v>
      </c>
      <c r="C39" s="2594">
        <v>460392.47678899998</v>
      </c>
      <c r="D39" s="3674">
        <v>423.25867187</v>
      </c>
      <c r="E39" s="2594">
        <v>1436147.9509700001</v>
      </c>
      <c r="F39" s="2594">
        <v>60.902519959999999</v>
      </c>
      <c r="G39" s="2594">
        <v>39418.515756000001</v>
      </c>
      <c r="H39" s="3674">
        <v>5.6949920000000001</v>
      </c>
      <c r="I39" s="2589">
        <v>19387.465239999998</v>
      </c>
      <c r="J39" s="2600">
        <f t="shared" si="1"/>
        <v>580.51429791999988</v>
      </c>
      <c r="K39" s="2601">
        <f t="shared" si="2"/>
        <v>1955346.4087550002</v>
      </c>
      <c r="S39" s="2551"/>
      <c r="T39" s="2551"/>
      <c r="U39" s="2551"/>
      <c r="V39" s="2551"/>
      <c r="W39" s="2551"/>
    </row>
    <row r="40" spans="1:23" ht="12.75" customHeight="1">
      <c r="A40" s="2534">
        <f t="shared" si="0"/>
        <v>2004.07</v>
      </c>
      <c r="B40" s="2594">
        <v>102.69285590999999</v>
      </c>
      <c r="C40" s="2594">
        <v>515850.56908499997</v>
      </c>
      <c r="D40" s="3674">
        <v>492.46173423000005</v>
      </c>
      <c r="E40" s="2594">
        <v>1487458.5587809999</v>
      </c>
      <c r="F40" s="2594">
        <v>65.42236158</v>
      </c>
      <c r="G40" s="2594">
        <v>43334.827584999999</v>
      </c>
      <c r="H40" s="3674">
        <v>7.0141169999999997</v>
      </c>
      <c r="I40" s="2589">
        <v>21829.83671</v>
      </c>
      <c r="J40" s="2600">
        <f t="shared" si="1"/>
        <v>667.59106872000007</v>
      </c>
      <c r="K40" s="2601">
        <f t="shared" si="2"/>
        <v>2068473.792161</v>
      </c>
      <c r="S40" s="2551"/>
      <c r="T40" s="2551"/>
      <c r="U40" s="2551"/>
      <c r="V40" s="2551"/>
      <c r="W40" s="2551"/>
    </row>
    <row r="41" spans="1:23" ht="12.75" customHeight="1">
      <c r="A41" s="2534">
        <f t="shared" si="0"/>
        <v>2004.08</v>
      </c>
      <c r="B41" s="2594">
        <v>94.975220769999993</v>
      </c>
      <c r="C41" s="2594">
        <v>502405.87954699999</v>
      </c>
      <c r="D41" s="3674">
        <v>423.60322851999996</v>
      </c>
      <c r="E41" s="2594">
        <v>1613202.0624879999</v>
      </c>
      <c r="F41" s="2594">
        <v>75.541451269999996</v>
      </c>
      <c r="G41" s="2594">
        <v>51665.453378999999</v>
      </c>
      <c r="H41" s="3674">
        <v>12.800516999999999</v>
      </c>
      <c r="I41" s="2589">
        <v>33615.799759999994</v>
      </c>
      <c r="J41" s="2600">
        <f t="shared" si="1"/>
        <v>606.92041756000003</v>
      </c>
      <c r="K41" s="2601">
        <f t="shared" si="2"/>
        <v>2200889.1951739998</v>
      </c>
      <c r="S41" s="2551"/>
      <c r="T41" s="2551"/>
      <c r="U41" s="2551"/>
      <c r="V41" s="2551"/>
      <c r="W41" s="2551"/>
    </row>
    <row r="42" spans="1:23" ht="12.75" customHeight="1">
      <c r="A42" s="2534">
        <f t="shared" ref="A42:A73" si="3">A54-1</f>
        <v>2004.09</v>
      </c>
      <c r="B42" s="2594">
        <v>76.390280099999998</v>
      </c>
      <c r="C42" s="2594">
        <v>431530.41575400002</v>
      </c>
      <c r="D42" s="3674">
        <v>368.00093788999999</v>
      </c>
      <c r="E42" s="2594">
        <v>1350036.376372</v>
      </c>
      <c r="F42" s="2594">
        <v>71.594510499999998</v>
      </c>
      <c r="G42" s="2594">
        <v>54774.246270000003</v>
      </c>
      <c r="H42" s="3674">
        <v>22.171672000000001</v>
      </c>
      <c r="I42" s="2589">
        <v>74739.729930000001</v>
      </c>
      <c r="J42" s="2600">
        <f t="shared" si="1"/>
        <v>538.15740048999987</v>
      </c>
      <c r="K42" s="2601">
        <f t="shared" si="2"/>
        <v>1911080.7683259998</v>
      </c>
      <c r="S42" s="2551"/>
      <c r="T42" s="2551"/>
      <c r="U42" s="2551"/>
      <c r="V42" s="2551"/>
      <c r="W42" s="2551"/>
    </row>
    <row r="43" spans="1:23" ht="12.75" customHeight="1">
      <c r="A43" s="2534">
        <f t="shared" si="3"/>
        <v>2004.1</v>
      </c>
      <c r="B43" s="2594">
        <v>36.157632079999999</v>
      </c>
      <c r="C43" s="2594">
        <v>264891.21150500001</v>
      </c>
      <c r="D43" s="3674">
        <v>380.26478433</v>
      </c>
      <c r="E43" s="2594">
        <v>1333701.56547</v>
      </c>
      <c r="F43" s="2594">
        <v>90.229806780000004</v>
      </c>
      <c r="G43" s="2594">
        <v>65701.108766999998</v>
      </c>
      <c r="H43" s="3674">
        <v>14.530049</v>
      </c>
      <c r="I43" s="2589">
        <v>39836.855250000001</v>
      </c>
      <c r="J43" s="2600">
        <f t="shared" si="1"/>
        <v>521.18227218999994</v>
      </c>
      <c r="K43" s="2601">
        <f t="shared" si="2"/>
        <v>1704130.7409920001</v>
      </c>
      <c r="S43" s="2551"/>
      <c r="T43" s="2551"/>
      <c r="U43" s="2551"/>
      <c r="V43" s="2551"/>
      <c r="W43" s="2551"/>
    </row>
    <row r="44" spans="1:23" ht="12.75" customHeight="1">
      <c r="A44" s="2534">
        <f t="shared" si="3"/>
        <v>2004.11</v>
      </c>
      <c r="B44" s="2594">
        <v>32.732405059999998</v>
      </c>
      <c r="C44" s="2594">
        <v>273120.635916</v>
      </c>
      <c r="D44" s="3674">
        <v>413.09397617000002</v>
      </c>
      <c r="E44" s="2594">
        <v>1412812.5172809998</v>
      </c>
      <c r="F44" s="2594">
        <v>101.31022789000001</v>
      </c>
      <c r="G44" s="2594">
        <v>67045.439494999999</v>
      </c>
      <c r="H44" s="3674">
        <v>19.946444</v>
      </c>
      <c r="I44" s="2589">
        <v>57044.228270000007</v>
      </c>
      <c r="J44" s="2600">
        <f t="shared" si="1"/>
        <v>567.08305312000005</v>
      </c>
      <c r="K44" s="2601">
        <f t="shared" si="2"/>
        <v>1810022.8209619999</v>
      </c>
      <c r="S44" s="2551"/>
      <c r="T44" s="2551"/>
      <c r="U44" s="2551"/>
      <c r="V44" s="2551"/>
      <c r="W44" s="2551"/>
    </row>
    <row r="45" spans="1:23" ht="12.75" customHeight="1">
      <c r="A45" s="2534">
        <f t="shared" si="3"/>
        <v>2004.12</v>
      </c>
      <c r="B45" s="2594">
        <v>41.670409090000007</v>
      </c>
      <c r="C45" s="2594">
        <v>370570.41509299999</v>
      </c>
      <c r="D45" s="3674">
        <v>375.04581975999997</v>
      </c>
      <c r="E45" s="2594">
        <v>1523410.7996919998</v>
      </c>
      <c r="F45" s="2594">
        <v>114.62555936</v>
      </c>
      <c r="G45" s="2594">
        <v>78855.652225999991</v>
      </c>
      <c r="H45" s="3674">
        <v>6.9420359999999999</v>
      </c>
      <c r="I45" s="2589">
        <v>26515.350920000001</v>
      </c>
      <c r="J45" s="2600">
        <f t="shared" si="1"/>
        <v>538.28382421000003</v>
      </c>
      <c r="K45" s="2601">
        <f t="shared" si="2"/>
        <v>1999352.2179310001</v>
      </c>
      <c r="S45" s="2551"/>
      <c r="T45" s="2551"/>
      <c r="U45" s="2551"/>
      <c r="V45" s="2551"/>
      <c r="W45" s="2551"/>
    </row>
    <row r="46" spans="1:23" ht="12.75" customHeight="1">
      <c r="A46" s="2534">
        <f t="shared" si="3"/>
        <v>2005.01</v>
      </c>
      <c r="B46" s="2594">
        <v>45.476291830000001</v>
      </c>
      <c r="C46" s="2594">
        <v>396612.27550400002</v>
      </c>
      <c r="D46" s="3674">
        <v>388.21121886000003</v>
      </c>
      <c r="E46" s="2594">
        <v>1468028.299876</v>
      </c>
      <c r="F46" s="2594">
        <v>71.669039189999992</v>
      </c>
      <c r="G46" s="2594">
        <v>42931.623416000002</v>
      </c>
      <c r="H46" s="3674">
        <v>18.495591190000003</v>
      </c>
      <c r="I46" s="2589">
        <v>58920.794190000001</v>
      </c>
      <c r="J46" s="2600">
        <f t="shared" si="1"/>
        <v>523.85214107000002</v>
      </c>
      <c r="K46" s="2601">
        <f t="shared" si="2"/>
        <v>1966492.9929860001</v>
      </c>
      <c r="S46" s="2551"/>
      <c r="T46" s="2551"/>
      <c r="U46" s="2551"/>
      <c r="V46" s="2551"/>
      <c r="W46" s="2551"/>
    </row>
    <row r="47" spans="1:23" ht="12.75" customHeight="1">
      <c r="A47" s="2534">
        <f t="shared" si="3"/>
        <v>2005.02</v>
      </c>
      <c r="B47" s="2594">
        <v>42.461351929999999</v>
      </c>
      <c r="C47" s="2594">
        <v>351198.08105500002</v>
      </c>
      <c r="D47" s="3674">
        <v>356.34015848000001</v>
      </c>
      <c r="E47" s="2594">
        <v>1387984.9829879999</v>
      </c>
      <c r="F47" s="2594">
        <v>73.13478447</v>
      </c>
      <c r="G47" s="2594">
        <v>52330.519454000001</v>
      </c>
      <c r="H47" s="3674">
        <v>15.565718140000001</v>
      </c>
      <c r="I47" s="2589">
        <v>39334.735399999998</v>
      </c>
      <c r="J47" s="2600">
        <f t="shared" si="1"/>
        <v>487.50201301999999</v>
      </c>
      <c r="K47" s="2601">
        <f t="shared" si="2"/>
        <v>1830848.3188969998</v>
      </c>
      <c r="S47" s="2551"/>
      <c r="T47" s="2551"/>
      <c r="U47" s="2551"/>
      <c r="V47" s="2551"/>
      <c r="W47" s="2551"/>
    </row>
    <row r="48" spans="1:23" ht="12.75" customHeight="1">
      <c r="A48" s="2534">
        <f t="shared" si="3"/>
        <v>2005.03</v>
      </c>
      <c r="B48" s="2594">
        <v>66.579074399999996</v>
      </c>
      <c r="C48" s="2594">
        <v>560692.386574</v>
      </c>
      <c r="D48" s="3674">
        <v>410.96393419999998</v>
      </c>
      <c r="E48" s="2594">
        <v>1385017.183274</v>
      </c>
      <c r="F48" s="2594">
        <v>80.117107250000004</v>
      </c>
      <c r="G48" s="2594">
        <v>48093.718377999998</v>
      </c>
      <c r="H48" s="3674">
        <v>16.936582319999999</v>
      </c>
      <c r="I48" s="2589">
        <v>43874.556579999997</v>
      </c>
      <c r="J48" s="2600">
        <f t="shared" si="1"/>
        <v>574.59669816999997</v>
      </c>
      <c r="K48" s="2601">
        <f t="shared" si="2"/>
        <v>2037677.8448060001</v>
      </c>
      <c r="S48" s="2551"/>
      <c r="T48" s="2551"/>
      <c r="U48" s="2551"/>
      <c r="V48" s="2551"/>
      <c r="W48" s="2551"/>
    </row>
    <row r="49" spans="1:23" ht="12.75" customHeight="1">
      <c r="A49" s="2534">
        <f t="shared" si="3"/>
        <v>2005.04</v>
      </c>
      <c r="B49" s="2594">
        <v>144.15875763</v>
      </c>
      <c r="C49" s="2594">
        <v>866449.232663</v>
      </c>
      <c r="D49" s="3674">
        <v>449.59304480999998</v>
      </c>
      <c r="E49" s="2594">
        <v>1600249.381638</v>
      </c>
      <c r="F49" s="2594">
        <v>83.201583439999993</v>
      </c>
      <c r="G49" s="2594">
        <v>49223.379912000004</v>
      </c>
      <c r="H49" s="3674">
        <v>17.723056410000002</v>
      </c>
      <c r="I49" s="2589">
        <v>43171.355790000001</v>
      </c>
      <c r="J49" s="2600">
        <f t="shared" si="1"/>
        <v>694.67644229000007</v>
      </c>
      <c r="K49" s="2601">
        <f t="shared" si="2"/>
        <v>2559093.3500029999</v>
      </c>
      <c r="S49" s="2551"/>
      <c r="T49" s="2551"/>
      <c r="U49" s="2551"/>
      <c r="V49" s="2551"/>
      <c r="W49" s="2551"/>
    </row>
    <row r="50" spans="1:23" ht="12.75" customHeight="1">
      <c r="A50" s="2534">
        <f t="shared" si="3"/>
        <v>2005.05</v>
      </c>
      <c r="B50" s="2594">
        <v>175.52259631000001</v>
      </c>
      <c r="C50" s="2594">
        <v>951880.33811899996</v>
      </c>
      <c r="D50" s="3674">
        <v>473.56035204</v>
      </c>
      <c r="E50" s="2594">
        <v>1776244.6839709999</v>
      </c>
      <c r="F50" s="2594">
        <v>82.314297980000006</v>
      </c>
      <c r="G50" s="2594">
        <v>57323.695939999998</v>
      </c>
      <c r="H50" s="3674">
        <v>7.6337327699999999</v>
      </c>
      <c r="I50" s="2589">
        <v>20585.321530000001</v>
      </c>
      <c r="J50" s="2600">
        <f t="shared" si="1"/>
        <v>739.03097910000008</v>
      </c>
      <c r="K50" s="2601">
        <f t="shared" si="2"/>
        <v>2806034.0395599999</v>
      </c>
      <c r="S50" s="2551"/>
      <c r="T50" s="2551"/>
      <c r="U50" s="2551"/>
      <c r="V50" s="2551"/>
      <c r="W50" s="2551"/>
    </row>
    <row r="51" spans="1:23" ht="12.75" customHeight="1">
      <c r="A51" s="2534">
        <f t="shared" si="3"/>
        <v>2005.06</v>
      </c>
      <c r="B51" s="2594">
        <v>110.23138856</v>
      </c>
      <c r="C51" s="2594">
        <v>593361.49026300001</v>
      </c>
      <c r="D51" s="3674">
        <v>481.55546399999997</v>
      </c>
      <c r="E51" s="2594">
        <v>1694350.2793169999</v>
      </c>
      <c r="F51" s="2594">
        <v>71.750065129999996</v>
      </c>
      <c r="G51" s="2594">
        <v>43475.601094999998</v>
      </c>
      <c r="H51" s="3674">
        <v>8.2970787799999997</v>
      </c>
      <c r="I51" s="2589">
        <v>20188.509760000001</v>
      </c>
      <c r="J51" s="2600">
        <f t="shared" si="1"/>
        <v>671.83399646999987</v>
      </c>
      <c r="K51" s="2601">
        <f t="shared" si="2"/>
        <v>2351375.8804349997</v>
      </c>
      <c r="S51" s="2551"/>
      <c r="T51" s="2551"/>
      <c r="U51" s="2551"/>
      <c r="V51" s="2551"/>
      <c r="W51" s="2551"/>
    </row>
    <row r="52" spans="1:23" ht="12.75" customHeight="1">
      <c r="A52" s="2534">
        <f t="shared" si="3"/>
        <v>2005.07</v>
      </c>
      <c r="B52" s="2594">
        <v>140.90311812000002</v>
      </c>
      <c r="C52" s="2594">
        <v>744353.2341</v>
      </c>
      <c r="D52" s="3674">
        <v>498.11301500000002</v>
      </c>
      <c r="E52" s="2594">
        <v>1738159.044188</v>
      </c>
      <c r="F52" s="2594">
        <v>75.38904715999999</v>
      </c>
      <c r="G52" s="2594">
        <v>48646.233347000001</v>
      </c>
      <c r="H52" s="3674">
        <v>13.08266345</v>
      </c>
      <c r="I52" s="2589">
        <v>29247.412700000001</v>
      </c>
      <c r="J52" s="2600">
        <f t="shared" si="1"/>
        <v>727.48784373000012</v>
      </c>
      <c r="K52" s="2601">
        <f t="shared" si="2"/>
        <v>2560405.9243350006</v>
      </c>
      <c r="S52" s="2551"/>
      <c r="T52" s="2551"/>
      <c r="U52" s="2551"/>
      <c r="V52" s="2551"/>
      <c r="W52" s="2551"/>
    </row>
    <row r="53" spans="1:23" ht="12.75" customHeight="1">
      <c r="A53" s="2534">
        <f t="shared" si="3"/>
        <v>2005.08</v>
      </c>
      <c r="B53" s="2594">
        <v>105.02427548</v>
      </c>
      <c r="C53" s="2594">
        <v>557859.27782600001</v>
      </c>
      <c r="D53" s="3674">
        <v>553.23251870000001</v>
      </c>
      <c r="E53" s="2594">
        <v>1859900.4412820002</v>
      </c>
      <c r="F53" s="2594">
        <v>84.06034523999999</v>
      </c>
      <c r="G53" s="2594">
        <v>66951.034799000001</v>
      </c>
      <c r="H53" s="3674">
        <v>25.844000300000001</v>
      </c>
      <c r="I53" s="2589">
        <v>68189.811000000002</v>
      </c>
      <c r="J53" s="2600">
        <f t="shared" si="1"/>
        <v>768.16113971999994</v>
      </c>
      <c r="K53" s="2601">
        <f t="shared" si="2"/>
        <v>2552900.5649070004</v>
      </c>
      <c r="S53" s="2551"/>
      <c r="T53" s="2551"/>
      <c r="U53" s="2551"/>
      <c r="V53" s="2551"/>
      <c r="W53" s="2551"/>
    </row>
    <row r="54" spans="1:23" ht="12.75" customHeight="1">
      <c r="A54" s="2534">
        <f t="shared" si="3"/>
        <v>2005.09</v>
      </c>
      <c r="B54" s="2594">
        <v>77.471748230000003</v>
      </c>
      <c r="C54" s="2594">
        <v>433301.27139800001</v>
      </c>
      <c r="D54" s="3674">
        <v>484.52856674999998</v>
      </c>
      <c r="E54" s="2594">
        <v>1713305.9510050002</v>
      </c>
      <c r="F54" s="2594">
        <v>78.737601370000007</v>
      </c>
      <c r="G54" s="2594">
        <v>54089.065019000001</v>
      </c>
      <c r="H54" s="3674">
        <v>17.357763100000003</v>
      </c>
      <c r="I54" s="2589">
        <v>36423.139950000004</v>
      </c>
      <c r="J54" s="2600">
        <f t="shared" si="1"/>
        <v>658.09567945000003</v>
      </c>
      <c r="K54" s="2601">
        <f t="shared" si="2"/>
        <v>2237119.4273720002</v>
      </c>
      <c r="S54" s="2551"/>
      <c r="T54" s="2551"/>
      <c r="U54" s="2551"/>
      <c r="V54" s="2551"/>
      <c r="W54" s="2551"/>
    </row>
    <row r="55" spans="1:23" ht="12.75" customHeight="1">
      <c r="A55" s="2534">
        <f t="shared" si="3"/>
        <v>2005.1</v>
      </c>
      <c r="B55" s="2594">
        <v>45.949747030000005</v>
      </c>
      <c r="C55" s="2594">
        <v>304754.524699</v>
      </c>
      <c r="D55" s="3674">
        <v>483.09553863999997</v>
      </c>
      <c r="E55" s="2594">
        <v>1731350.4827780002</v>
      </c>
      <c r="F55" s="2594">
        <v>87.162454330000003</v>
      </c>
      <c r="G55" s="2594">
        <v>58633.985659000005</v>
      </c>
      <c r="H55" s="3674">
        <v>30.72700232</v>
      </c>
      <c r="I55" s="2589">
        <v>64836.069520000005</v>
      </c>
      <c r="J55" s="2600">
        <f t="shared" si="1"/>
        <v>646.93474232000005</v>
      </c>
      <c r="K55" s="2601">
        <f t="shared" si="2"/>
        <v>2159575.0626560003</v>
      </c>
      <c r="S55" s="2551"/>
      <c r="T55" s="2551"/>
      <c r="U55" s="2551"/>
      <c r="V55" s="2551"/>
      <c r="W55" s="2551"/>
    </row>
    <row r="56" spans="1:23" ht="12.75" customHeight="1">
      <c r="A56" s="2534">
        <f t="shared" si="3"/>
        <v>2005.11</v>
      </c>
      <c r="B56" s="2594">
        <v>34.680628540000001</v>
      </c>
      <c r="C56" s="2594">
        <v>260735.58823199998</v>
      </c>
      <c r="D56" s="3674">
        <v>444.65145618000003</v>
      </c>
      <c r="E56" s="2594">
        <v>1538463.8492090001</v>
      </c>
      <c r="F56" s="2594">
        <v>90.876306470000003</v>
      </c>
      <c r="G56" s="2594">
        <v>56322.450423000002</v>
      </c>
      <c r="H56" s="3674">
        <v>16.681709619999999</v>
      </c>
      <c r="I56" s="2589">
        <v>37656.236600000004</v>
      </c>
      <c r="J56" s="2600">
        <f t="shared" si="1"/>
        <v>586.89010081000004</v>
      </c>
      <c r="K56" s="2601">
        <f t="shared" si="2"/>
        <v>1893178.1244639999</v>
      </c>
      <c r="S56" s="2551"/>
      <c r="T56" s="2551"/>
      <c r="U56" s="2551"/>
      <c r="V56" s="2551"/>
      <c r="W56" s="2551"/>
    </row>
    <row r="57" spans="1:23" ht="12.75" customHeight="1">
      <c r="A57" s="2534">
        <f t="shared" si="3"/>
        <v>2005.12</v>
      </c>
      <c r="B57" s="2594">
        <v>40.238137309999999</v>
      </c>
      <c r="C57" s="2594">
        <v>280115.70101800002</v>
      </c>
      <c r="D57" s="3674">
        <v>488.39821776999997</v>
      </c>
      <c r="E57" s="2594">
        <v>1603975.210096</v>
      </c>
      <c r="F57" s="2594">
        <v>85.878251890000001</v>
      </c>
      <c r="G57" s="2594">
        <v>43472.327623999998</v>
      </c>
      <c r="H57" s="3674">
        <v>26.854660539999998</v>
      </c>
      <c r="I57" s="2589">
        <v>80140.667920000007</v>
      </c>
      <c r="J57" s="2600">
        <f t="shared" si="1"/>
        <v>641.36926750999987</v>
      </c>
      <c r="K57" s="2601">
        <f t="shared" si="2"/>
        <v>2007703.9066579998</v>
      </c>
      <c r="S57" s="2551"/>
      <c r="T57" s="2551"/>
      <c r="U57" s="2551"/>
      <c r="V57" s="2551"/>
      <c r="W57" s="2551"/>
    </row>
    <row r="58" spans="1:23" ht="12.75" customHeight="1">
      <c r="A58" s="2534">
        <f t="shared" si="3"/>
        <v>2006.01</v>
      </c>
      <c r="B58" s="2594">
        <v>74.351152339999999</v>
      </c>
      <c r="C58" s="2594">
        <v>444839.97188599996</v>
      </c>
      <c r="D58" s="3674">
        <v>492.81771622000002</v>
      </c>
      <c r="E58" s="2594">
        <v>1797730.0755309998</v>
      </c>
      <c r="F58" s="2594">
        <v>54.257948939999999</v>
      </c>
      <c r="G58" s="2594">
        <v>38421.632512000004</v>
      </c>
      <c r="H58" s="3674">
        <v>24.901433969999999</v>
      </c>
      <c r="I58" s="2589">
        <v>64103.966119999997</v>
      </c>
      <c r="J58" s="2600">
        <f t="shared" si="1"/>
        <v>646.32825146999994</v>
      </c>
      <c r="K58" s="2601">
        <f t="shared" si="2"/>
        <v>2345095.6460489999</v>
      </c>
      <c r="S58" s="2551"/>
      <c r="T58" s="2551"/>
      <c r="U58" s="2551"/>
      <c r="V58" s="2551"/>
      <c r="W58" s="2551"/>
    </row>
    <row r="59" spans="1:23" ht="12.75" customHeight="1">
      <c r="A59" s="2534">
        <f t="shared" si="3"/>
        <v>2006.02</v>
      </c>
      <c r="B59" s="2594">
        <v>39.031919469999998</v>
      </c>
      <c r="C59" s="2594">
        <v>238835.03522699999</v>
      </c>
      <c r="D59" s="3674">
        <v>448.23722985000001</v>
      </c>
      <c r="E59" s="2594">
        <v>1621115.0715950001</v>
      </c>
      <c r="F59" s="2594">
        <v>64.954660899999993</v>
      </c>
      <c r="G59" s="2594">
        <v>40351.047137999994</v>
      </c>
      <c r="H59" s="3674">
        <v>32.395963770000002</v>
      </c>
      <c r="I59" s="2589">
        <v>89620.034339999998</v>
      </c>
      <c r="J59" s="2600">
        <f t="shared" si="1"/>
        <v>584.61977399</v>
      </c>
      <c r="K59" s="2601">
        <f t="shared" si="2"/>
        <v>1989921.1883</v>
      </c>
      <c r="S59" s="2551"/>
      <c r="T59" s="2551"/>
      <c r="U59" s="2551"/>
      <c r="V59" s="2551"/>
      <c r="W59" s="2551"/>
    </row>
    <row r="60" spans="1:23" ht="12.75" customHeight="1">
      <c r="A60" s="2534">
        <f t="shared" si="3"/>
        <v>2006.03</v>
      </c>
      <c r="B60" s="2594">
        <v>55.590684809999999</v>
      </c>
      <c r="C60" s="2594">
        <v>344638.50808600005</v>
      </c>
      <c r="D60" s="3674">
        <v>471.93286366000001</v>
      </c>
      <c r="E60" s="2594">
        <v>1586921.1299660001</v>
      </c>
      <c r="F60" s="2594">
        <v>81.313200609999996</v>
      </c>
      <c r="G60" s="2594">
        <v>53019.255112999999</v>
      </c>
      <c r="H60" s="3674">
        <v>17.634069739999997</v>
      </c>
      <c r="I60" s="2589">
        <v>45593.508740000005</v>
      </c>
      <c r="J60" s="2600">
        <f t="shared" si="1"/>
        <v>626.47081881999998</v>
      </c>
      <c r="K60" s="2601">
        <f t="shared" si="2"/>
        <v>2030172.4019050002</v>
      </c>
      <c r="S60" s="2551"/>
      <c r="T60" s="2551"/>
      <c r="U60" s="2551"/>
      <c r="V60" s="2551"/>
      <c r="W60" s="2551"/>
    </row>
    <row r="61" spans="1:23" ht="12.75" customHeight="1">
      <c r="A61" s="2534">
        <f t="shared" si="3"/>
        <v>2006.04</v>
      </c>
      <c r="B61" s="2594">
        <v>138.84111516999999</v>
      </c>
      <c r="C61" s="2594">
        <v>718510.94893299998</v>
      </c>
      <c r="D61" s="3674">
        <v>490.25168964</v>
      </c>
      <c r="E61" s="2594">
        <v>1936621.3879560002</v>
      </c>
      <c r="F61" s="2594">
        <v>77.375847329999999</v>
      </c>
      <c r="G61" s="2594">
        <v>36791.499193000003</v>
      </c>
      <c r="H61" s="3674">
        <v>19.468450369999999</v>
      </c>
      <c r="I61" s="2589">
        <v>34672.694499999998</v>
      </c>
      <c r="J61" s="2600">
        <f t="shared" si="1"/>
        <v>725.93710250999993</v>
      </c>
      <c r="K61" s="2601">
        <f t="shared" si="2"/>
        <v>2726596.5305820005</v>
      </c>
      <c r="S61" s="2551"/>
      <c r="T61" s="2551"/>
      <c r="U61" s="2551"/>
      <c r="V61" s="2551"/>
      <c r="W61" s="2551"/>
    </row>
    <row r="62" spans="1:23" ht="12.75" customHeight="1">
      <c r="A62" s="2534">
        <f t="shared" si="3"/>
        <v>2006.05</v>
      </c>
      <c r="B62" s="2594">
        <v>107.18231814000001</v>
      </c>
      <c r="C62" s="2594">
        <v>595782.263103</v>
      </c>
      <c r="D62" s="3674">
        <v>606.94632440999999</v>
      </c>
      <c r="E62" s="2594">
        <v>2300327.2059840001</v>
      </c>
      <c r="F62" s="2594">
        <v>94.398926419999995</v>
      </c>
      <c r="G62" s="2594">
        <v>53656.288075999997</v>
      </c>
      <c r="H62" s="3674">
        <v>26.906935239999999</v>
      </c>
      <c r="I62" s="2589">
        <v>48737.259130000006</v>
      </c>
      <c r="J62" s="2600">
        <f t="shared" si="1"/>
        <v>835.43450421</v>
      </c>
      <c r="K62" s="2601">
        <f t="shared" si="2"/>
        <v>2998503.016293</v>
      </c>
      <c r="S62" s="2551"/>
      <c r="T62" s="2551"/>
      <c r="U62" s="2551"/>
      <c r="V62" s="2551"/>
      <c r="W62" s="2551"/>
    </row>
    <row r="63" spans="1:23" ht="12.75" customHeight="1">
      <c r="A63" s="2534">
        <f t="shared" si="3"/>
        <v>2006.06</v>
      </c>
      <c r="B63" s="2594">
        <v>85.813352249999994</v>
      </c>
      <c r="C63" s="2594">
        <v>452224.24685599998</v>
      </c>
      <c r="D63" s="3674">
        <v>499.79302245999997</v>
      </c>
      <c r="E63" s="2594">
        <v>1903863.633771</v>
      </c>
      <c r="F63" s="2594">
        <v>92.136327590000008</v>
      </c>
      <c r="G63" s="2594">
        <v>49163.906258000003</v>
      </c>
      <c r="H63" s="3674">
        <v>20.086824019999998</v>
      </c>
      <c r="I63" s="2589">
        <v>38135.058290000001</v>
      </c>
      <c r="J63" s="2600">
        <f t="shared" si="1"/>
        <v>697.82952632000001</v>
      </c>
      <c r="K63" s="2601">
        <f t="shared" si="2"/>
        <v>2443386.8451749999</v>
      </c>
      <c r="S63" s="2551"/>
      <c r="T63" s="2551"/>
      <c r="U63" s="2551"/>
      <c r="V63" s="2551"/>
      <c r="W63" s="2551"/>
    </row>
    <row r="64" spans="1:23" ht="12.75" customHeight="1">
      <c r="A64" s="2534">
        <f t="shared" si="3"/>
        <v>2006.07</v>
      </c>
      <c r="B64" s="2594">
        <v>53.921207039999999</v>
      </c>
      <c r="C64" s="2594">
        <v>314098.18356599996</v>
      </c>
      <c r="D64" s="3674">
        <v>578.43456976000004</v>
      </c>
      <c r="E64" s="2594">
        <v>2113882.4325310001</v>
      </c>
      <c r="F64" s="2594">
        <v>83.710147689999999</v>
      </c>
      <c r="G64" s="2594">
        <v>46560.967579000004</v>
      </c>
      <c r="H64" s="3674">
        <v>32.166457890000004</v>
      </c>
      <c r="I64" s="2589">
        <v>48780.038999999997</v>
      </c>
      <c r="J64" s="2600">
        <f t="shared" si="1"/>
        <v>748.23238237999999</v>
      </c>
      <c r="K64" s="2601">
        <f t="shared" si="2"/>
        <v>2523321.622676</v>
      </c>
      <c r="S64" s="2551"/>
      <c r="T64" s="2551"/>
      <c r="U64" s="2551"/>
      <c r="V64" s="2551"/>
      <c r="W64" s="2551"/>
    </row>
    <row r="65" spans="1:23" ht="12.75" customHeight="1">
      <c r="A65" s="2534">
        <f t="shared" si="3"/>
        <v>2006.08</v>
      </c>
      <c r="B65" s="2594">
        <v>73.144855650000011</v>
      </c>
      <c r="C65" s="2594">
        <v>425383.13870000001</v>
      </c>
      <c r="D65" s="3674">
        <v>569.94909882000002</v>
      </c>
      <c r="E65" s="2594">
        <v>1985979.8412320002</v>
      </c>
      <c r="F65" s="2594">
        <v>99.096981819999996</v>
      </c>
      <c r="G65" s="2594">
        <v>55630.231690000001</v>
      </c>
      <c r="H65" s="3674">
        <v>20.652760820000001</v>
      </c>
      <c r="I65" s="2589">
        <v>42503.285510000002</v>
      </c>
      <c r="J65" s="2600">
        <f t="shared" si="1"/>
        <v>762.84369710999999</v>
      </c>
      <c r="K65" s="2601">
        <f t="shared" si="2"/>
        <v>2509496.4971319996</v>
      </c>
      <c r="S65" s="2551"/>
      <c r="T65" s="2551"/>
      <c r="U65" s="2551"/>
      <c r="V65" s="2551"/>
      <c r="W65" s="2551"/>
    </row>
    <row r="66" spans="1:23" ht="12.75" customHeight="1">
      <c r="A66" s="2534">
        <f t="shared" si="3"/>
        <v>2006.09</v>
      </c>
      <c r="B66" s="2594">
        <v>61.161863259999997</v>
      </c>
      <c r="C66" s="2594">
        <v>328333.62987800001</v>
      </c>
      <c r="D66" s="3674">
        <v>564.19389647000003</v>
      </c>
      <c r="E66" s="2594">
        <v>1883075.5883780001</v>
      </c>
      <c r="F66" s="2594">
        <v>113.47509261</v>
      </c>
      <c r="G66" s="2594">
        <v>55451.862302000001</v>
      </c>
      <c r="H66" s="3674">
        <v>11.168191460000001</v>
      </c>
      <c r="I66" s="2589">
        <v>22447.404119999999</v>
      </c>
      <c r="J66" s="2600">
        <f t="shared" si="1"/>
        <v>749.99904380000009</v>
      </c>
      <c r="K66" s="2601">
        <f t="shared" si="2"/>
        <v>2289308.4846780002</v>
      </c>
      <c r="S66" s="2551"/>
      <c r="T66" s="2551"/>
      <c r="U66" s="2551"/>
      <c r="V66" s="2551"/>
      <c r="W66" s="2551"/>
    </row>
    <row r="67" spans="1:23" ht="12.75" customHeight="1">
      <c r="A67" s="2534">
        <f t="shared" si="3"/>
        <v>2006.1</v>
      </c>
      <c r="B67" s="2594">
        <v>74.003728129999999</v>
      </c>
      <c r="C67" s="2594">
        <v>421476.21515800001</v>
      </c>
      <c r="D67" s="3674">
        <v>659.45846377999999</v>
      </c>
      <c r="E67" s="2594">
        <v>2112898.2967599998</v>
      </c>
      <c r="F67" s="2594">
        <v>88.964554859999993</v>
      </c>
      <c r="G67" s="2594">
        <v>37868.422038000004</v>
      </c>
      <c r="H67" s="3674">
        <v>13.615970050000001</v>
      </c>
      <c r="I67" s="2589">
        <v>30678.187389999999</v>
      </c>
      <c r="J67" s="2600">
        <f t="shared" si="1"/>
        <v>836.04271682000001</v>
      </c>
      <c r="K67" s="2601">
        <f t="shared" si="2"/>
        <v>2602921.1213460001</v>
      </c>
      <c r="S67" s="2551"/>
      <c r="T67" s="2551"/>
      <c r="U67" s="2551"/>
      <c r="V67" s="2551"/>
      <c r="W67" s="2551"/>
    </row>
    <row r="68" spans="1:23" ht="12.75" customHeight="1">
      <c r="A68" s="2534">
        <f t="shared" si="3"/>
        <v>2006.11</v>
      </c>
      <c r="B68" s="2594">
        <v>71.268054969999994</v>
      </c>
      <c r="C68" s="2594">
        <v>370085.33500800002</v>
      </c>
      <c r="D68" s="3674">
        <v>595.59770899</v>
      </c>
      <c r="E68" s="2594">
        <v>2034752.294617</v>
      </c>
      <c r="F68" s="2594">
        <v>127.09024932999999</v>
      </c>
      <c r="G68" s="2594">
        <v>54765.923882000003</v>
      </c>
      <c r="H68" s="3674">
        <v>26.25088457</v>
      </c>
      <c r="I68" s="2589">
        <v>71235.897870000001</v>
      </c>
      <c r="J68" s="2600">
        <f t="shared" si="1"/>
        <v>820.20689786000003</v>
      </c>
      <c r="K68" s="2601">
        <f t="shared" si="2"/>
        <v>2530839.4513770002</v>
      </c>
      <c r="S68" s="2551"/>
      <c r="T68" s="2551"/>
      <c r="U68" s="2551"/>
      <c r="V68" s="2551"/>
      <c r="W68" s="2551"/>
    </row>
    <row r="69" spans="1:23" ht="12.75" customHeight="1">
      <c r="A69" s="2534">
        <f t="shared" si="3"/>
        <v>2006.12</v>
      </c>
      <c r="B69" s="2594">
        <v>70.561641140000006</v>
      </c>
      <c r="C69" s="2594">
        <v>369724.83727600001</v>
      </c>
      <c r="D69" s="3674">
        <v>681.91288233</v>
      </c>
      <c r="E69" s="2594">
        <v>2230068.3505100003</v>
      </c>
      <c r="F69" s="2594">
        <v>119.83745175</v>
      </c>
      <c r="G69" s="2594">
        <v>45224.872041000002</v>
      </c>
      <c r="H69" s="3674">
        <v>24.670417629999999</v>
      </c>
      <c r="I69" s="2589">
        <v>54033.88478</v>
      </c>
      <c r="J69" s="2600">
        <f t="shared" si="1"/>
        <v>896.98239285</v>
      </c>
      <c r="K69" s="2601">
        <f t="shared" si="2"/>
        <v>2699051.9446070003</v>
      </c>
      <c r="S69" s="2551"/>
      <c r="T69" s="2551"/>
      <c r="U69" s="2551"/>
      <c r="V69" s="2551"/>
      <c r="W69" s="2551"/>
    </row>
    <row r="70" spans="1:23" ht="12.75" customHeight="1">
      <c r="A70" s="2534">
        <f t="shared" si="3"/>
        <v>2007.01</v>
      </c>
      <c r="B70" s="2594">
        <v>46.264293670000001</v>
      </c>
      <c r="C70" s="2594">
        <v>250629.06616800002</v>
      </c>
      <c r="D70" s="3674">
        <v>488.13569544000001</v>
      </c>
      <c r="E70" s="2594">
        <v>1735471.2203210001</v>
      </c>
      <c r="F70" s="2594">
        <v>77.506106939999995</v>
      </c>
      <c r="G70" s="2594">
        <v>44656.713956</v>
      </c>
      <c r="H70" s="3674">
        <v>26.440258190000002</v>
      </c>
      <c r="I70" s="2589">
        <v>64068.748297999999</v>
      </c>
      <c r="J70" s="2600">
        <f t="shared" si="1"/>
        <v>638.34635423999998</v>
      </c>
      <c r="K70" s="2601">
        <f t="shared" si="2"/>
        <v>2094825.7487430002</v>
      </c>
      <c r="S70" s="2551"/>
      <c r="T70" s="2551"/>
      <c r="U70" s="2551"/>
      <c r="V70" s="2551"/>
      <c r="W70" s="2551"/>
    </row>
    <row r="71" spans="1:23" ht="12.75" customHeight="1">
      <c r="A71" s="2534">
        <f t="shared" si="3"/>
        <v>2007.02</v>
      </c>
      <c r="B71" s="2594">
        <v>39.238999</v>
      </c>
      <c r="C71" s="2594">
        <v>206904.92331700001</v>
      </c>
      <c r="D71" s="3674">
        <v>624.37529026999994</v>
      </c>
      <c r="E71" s="2594">
        <v>1894031.6069679998</v>
      </c>
      <c r="F71" s="2594">
        <v>108.08011543000001</v>
      </c>
      <c r="G71" s="2594">
        <v>50263.377591999997</v>
      </c>
      <c r="H71" s="3674">
        <v>23.4968632</v>
      </c>
      <c r="I71" s="2589">
        <v>57781.937539999999</v>
      </c>
      <c r="J71" s="2600">
        <f t="shared" si="1"/>
        <v>795.19126789999996</v>
      </c>
      <c r="K71" s="2601">
        <f t="shared" si="2"/>
        <v>2208981.8454169999</v>
      </c>
      <c r="S71" s="2551"/>
      <c r="T71" s="2551"/>
      <c r="U71" s="2551"/>
      <c r="V71" s="2551"/>
      <c r="W71" s="2551"/>
    </row>
    <row r="72" spans="1:23" ht="12.75" customHeight="1">
      <c r="A72" s="2534">
        <f t="shared" si="3"/>
        <v>2007.03</v>
      </c>
      <c r="B72" s="2594">
        <v>86.97693726</v>
      </c>
      <c r="C72" s="2594">
        <v>449734.16425899998</v>
      </c>
      <c r="D72" s="3674">
        <v>570.94955070000003</v>
      </c>
      <c r="E72" s="2594">
        <v>1613605.0521270002</v>
      </c>
      <c r="F72" s="2594">
        <v>118.7714098</v>
      </c>
      <c r="G72" s="2594">
        <v>52311.053819000001</v>
      </c>
      <c r="H72" s="3674">
        <v>31.88915488</v>
      </c>
      <c r="I72" s="2589">
        <v>73013.445775999993</v>
      </c>
      <c r="J72" s="2600">
        <f t="shared" si="1"/>
        <v>808.58705264000002</v>
      </c>
      <c r="K72" s="2601">
        <f t="shared" si="2"/>
        <v>2188663.7159810001</v>
      </c>
      <c r="S72" s="2551"/>
      <c r="T72" s="2551"/>
      <c r="U72" s="2551"/>
      <c r="V72" s="2551"/>
      <c r="W72" s="2551"/>
    </row>
    <row r="73" spans="1:23" ht="12.75" customHeight="1">
      <c r="A73" s="2534">
        <f t="shared" si="3"/>
        <v>2007.04</v>
      </c>
      <c r="B73" s="2594">
        <v>149.38461547</v>
      </c>
      <c r="C73" s="2594">
        <v>785484.9618990001</v>
      </c>
      <c r="D73" s="3674">
        <v>612.90478827999993</v>
      </c>
      <c r="E73" s="2594">
        <v>2078376.5868210001</v>
      </c>
      <c r="F73" s="2594">
        <v>106.62149123</v>
      </c>
      <c r="G73" s="2594">
        <v>63512.50245</v>
      </c>
      <c r="H73" s="3674">
        <v>38.721003689999996</v>
      </c>
      <c r="I73" s="2589">
        <v>81879.732652999999</v>
      </c>
      <c r="J73" s="2600">
        <f t="shared" si="1"/>
        <v>907.63189866999994</v>
      </c>
      <c r="K73" s="2601">
        <f t="shared" si="2"/>
        <v>3009253.7838230003</v>
      </c>
      <c r="S73" s="2551"/>
      <c r="T73" s="2551"/>
      <c r="U73" s="2551"/>
      <c r="V73" s="2551"/>
      <c r="W73" s="2551"/>
    </row>
    <row r="74" spans="1:23" ht="12.75" customHeight="1">
      <c r="A74" s="2534">
        <f t="shared" ref="A74:A105" si="4">A86-1</f>
        <v>2007.05</v>
      </c>
      <c r="B74" s="2594">
        <v>154.63799275</v>
      </c>
      <c r="C74" s="2594">
        <v>779071.62413200003</v>
      </c>
      <c r="D74" s="3674">
        <v>787.1257980800001</v>
      </c>
      <c r="E74" s="2594">
        <v>2527562.963792</v>
      </c>
      <c r="F74" s="2594">
        <v>110.42875023000001</v>
      </c>
      <c r="G74" s="2594">
        <v>44359.948972000006</v>
      </c>
      <c r="H74" s="3674">
        <v>35.199709689999999</v>
      </c>
      <c r="I74" s="2589">
        <v>65380.953139999998</v>
      </c>
      <c r="J74" s="2600">
        <f t="shared" si="1"/>
        <v>1087.3922507500001</v>
      </c>
      <c r="K74" s="2601">
        <f t="shared" si="2"/>
        <v>3416375.4900359996</v>
      </c>
      <c r="S74" s="2551"/>
      <c r="T74" s="2551"/>
      <c r="U74" s="2551"/>
      <c r="V74" s="2551"/>
      <c r="W74" s="2551"/>
    </row>
    <row r="75" spans="1:23" ht="12.75" customHeight="1">
      <c r="A75" s="2534">
        <f t="shared" si="4"/>
        <v>2007.06</v>
      </c>
      <c r="B75" s="2594">
        <v>119.23600368000001</v>
      </c>
      <c r="C75" s="2594">
        <v>567562.22511999996</v>
      </c>
      <c r="D75" s="3674">
        <v>718.72533348000002</v>
      </c>
      <c r="E75" s="2594">
        <v>2108219.365851</v>
      </c>
      <c r="F75" s="2594">
        <v>138.84949975000001</v>
      </c>
      <c r="G75" s="2594">
        <v>50535.052760999999</v>
      </c>
      <c r="H75" s="3674">
        <v>29.872792019999999</v>
      </c>
      <c r="I75" s="2589">
        <v>54408.808943000004</v>
      </c>
      <c r="J75" s="2600">
        <f t="shared" ref="J75:J138" si="5">+SUM(B75,D75,F75,H75)</f>
        <v>1006.6836289300001</v>
      </c>
      <c r="K75" s="2601">
        <f t="shared" ref="K75:K138" si="6">+SUM(C75,E75,G75,I75)</f>
        <v>2780725.4526750003</v>
      </c>
      <c r="S75" s="2551"/>
      <c r="T75" s="2551"/>
      <c r="U75" s="2551"/>
      <c r="V75" s="2551"/>
      <c r="W75" s="2551"/>
    </row>
    <row r="76" spans="1:23" ht="12.75" customHeight="1">
      <c r="A76" s="2534">
        <f t="shared" si="4"/>
        <v>2007.07</v>
      </c>
      <c r="B76" s="2594">
        <v>124.10421084999999</v>
      </c>
      <c r="C76" s="2594">
        <v>583116.84143499995</v>
      </c>
      <c r="D76" s="3674">
        <v>798.76033633000009</v>
      </c>
      <c r="E76" s="2594">
        <v>2363890.5945250001</v>
      </c>
      <c r="F76" s="2594">
        <v>131.67952586000001</v>
      </c>
      <c r="G76" s="2594">
        <v>45679.033464</v>
      </c>
      <c r="H76" s="3674">
        <v>24.76262749</v>
      </c>
      <c r="I76" s="2589">
        <v>42034.589917000005</v>
      </c>
      <c r="J76" s="2600">
        <f t="shared" si="5"/>
        <v>1079.3067005299999</v>
      </c>
      <c r="K76" s="2601">
        <f t="shared" si="6"/>
        <v>3034721.0593409999</v>
      </c>
      <c r="S76" s="2551"/>
      <c r="T76" s="2551"/>
      <c r="U76" s="2551"/>
      <c r="V76" s="2551"/>
      <c r="W76" s="2551"/>
    </row>
    <row r="77" spans="1:23" ht="12.75" customHeight="1">
      <c r="A77" s="2534">
        <f t="shared" si="4"/>
        <v>2007.08</v>
      </c>
      <c r="B77" s="2594">
        <v>148.81378366999999</v>
      </c>
      <c r="C77" s="2594">
        <v>653644.03205299994</v>
      </c>
      <c r="D77" s="3674">
        <v>777.40045236000003</v>
      </c>
      <c r="E77" s="2594">
        <v>2123645.0847709998</v>
      </c>
      <c r="F77" s="2594">
        <v>138.51141616999999</v>
      </c>
      <c r="G77" s="2594">
        <v>53046.260805999998</v>
      </c>
      <c r="H77" s="3674">
        <v>37.648980469999998</v>
      </c>
      <c r="I77" s="2589">
        <v>65195.967773999997</v>
      </c>
      <c r="J77" s="2600">
        <f t="shared" si="5"/>
        <v>1102.37463267</v>
      </c>
      <c r="K77" s="2601">
        <f t="shared" si="6"/>
        <v>2895531.3454039996</v>
      </c>
      <c r="S77" s="2551"/>
      <c r="T77" s="2551"/>
      <c r="U77" s="2551"/>
      <c r="V77" s="2551"/>
      <c r="W77" s="2551"/>
    </row>
    <row r="78" spans="1:23" ht="12.75" customHeight="1">
      <c r="A78" s="2534">
        <f t="shared" si="4"/>
        <v>2007.09</v>
      </c>
      <c r="B78" s="2594">
        <v>153.82256630000001</v>
      </c>
      <c r="C78" s="2594">
        <v>611914.90047800005</v>
      </c>
      <c r="D78" s="3674">
        <v>800.79670923000003</v>
      </c>
      <c r="E78" s="2594">
        <v>2145745.49853</v>
      </c>
      <c r="F78" s="2594">
        <v>152.45987111000002</v>
      </c>
      <c r="G78" s="2594">
        <v>52025.949575999999</v>
      </c>
      <c r="H78" s="3674">
        <v>19.453013869999999</v>
      </c>
      <c r="I78" s="2589">
        <v>28914.321765999997</v>
      </c>
      <c r="J78" s="2600">
        <f t="shared" si="5"/>
        <v>1126.53216051</v>
      </c>
      <c r="K78" s="2601">
        <f t="shared" si="6"/>
        <v>2838600.6703500003</v>
      </c>
      <c r="S78" s="2551"/>
      <c r="T78" s="2551"/>
      <c r="U78" s="2551"/>
      <c r="V78" s="2551"/>
      <c r="W78" s="2551"/>
    </row>
    <row r="79" spans="1:23" ht="12.75" customHeight="1">
      <c r="A79" s="2534">
        <f t="shared" si="4"/>
        <v>2007.1</v>
      </c>
      <c r="B79" s="2594">
        <v>152.74394687999998</v>
      </c>
      <c r="C79" s="2594">
        <v>552500.90154600004</v>
      </c>
      <c r="D79" s="3674">
        <v>1040.14146317</v>
      </c>
      <c r="E79" s="2594">
        <v>2784507.0070580002</v>
      </c>
      <c r="F79" s="2594">
        <v>156.47792227000002</v>
      </c>
      <c r="G79" s="2594">
        <v>53377.115140000002</v>
      </c>
      <c r="H79" s="3674">
        <v>43.588567570000002</v>
      </c>
      <c r="I79" s="2589">
        <v>70038.463243000006</v>
      </c>
      <c r="J79" s="2600">
        <f t="shared" si="5"/>
        <v>1392.95189989</v>
      </c>
      <c r="K79" s="2601">
        <f t="shared" si="6"/>
        <v>3460423.4869870003</v>
      </c>
      <c r="S79" s="2551"/>
      <c r="T79" s="2551"/>
      <c r="U79" s="2551"/>
      <c r="V79" s="2551"/>
      <c r="W79" s="2551"/>
    </row>
    <row r="80" spans="1:23" ht="12.75" customHeight="1">
      <c r="A80" s="2534">
        <f t="shared" si="4"/>
        <v>2007.11</v>
      </c>
      <c r="B80" s="2594">
        <v>150.38456840999999</v>
      </c>
      <c r="C80" s="2594">
        <v>473712.07689500001</v>
      </c>
      <c r="D80" s="3674">
        <v>918.03975611999999</v>
      </c>
      <c r="E80" s="2594">
        <v>2392402.1250479999</v>
      </c>
      <c r="F80" s="2594">
        <v>170.82083905000002</v>
      </c>
      <c r="G80" s="2594">
        <v>55371.317954999999</v>
      </c>
      <c r="H80" s="3674">
        <v>49.69230142</v>
      </c>
      <c r="I80" s="2589">
        <v>80318.826481000011</v>
      </c>
      <c r="J80" s="2600">
        <f t="shared" si="5"/>
        <v>1288.9374649999997</v>
      </c>
      <c r="K80" s="2601">
        <f t="shared" si="6"/>
        <v>3001804.3463789998</v>
      </c>
      <c r="S80" s="2551"/>
      <c r="T80" s="2551"/>
      <c r="U80" s="2551"/>
      <c r="V80" s="2551"/>
      <c r="W80" s="2551"/>
    </row>
    <row r="81" spans="1:23" ht="12.75" customHeight="1">
      <c r="A81" s="2534">
        <f t="shared" si="4"/>
        <v>2007.12</v>
      </c>
      <c r="B81" s="2594">
        <v>135.49064135</v>
      </c>
      <c r="C81" s="2594">
        <v>431554.65046400001</v>
      </c>
      <c r="D81" s="3674">
        <v>1006.89431755</v>
      </c>
      <c r="E81" s="2594">
        <v>2313212.9453779999</v>
      </c>
      <c r="F81" s="2594">
        <v>162.69085572999998</v>
      </c>
      <c r="G81" s="2594">
        <v>49302.579270000002</v>
      </c>
      <c r="H81" s="3674">
        <v>28.205026780000001</v>
      </c>
      <c r="I81" s="2589">
        <v>41515.971787000002</v>
      </c>
      <c r="J81" s="2600">
        <f t="shared" si="5"/>
        <v>1333.28084141</v>
      </c>
      <c r="K81" s="2601">
        <f t="shared" si="6"/>
        <v>2835586.1468990003</v>
      </c>
      <c r="S81" s="2551"/>
      <c r="T81" s="2551"/>
      <c r="U81" s="2551"/>
      <c r="V81" s="2551"/>
      <c r="W81" s="2551"/>
    </row>
    <row r="82" spans="1:23" ht="12.75" customHeight="1">
      <c r="A82" s="2534">
        <f t="shared" si="4"/>
        <v>2008.01</v>
      </c>
      <c r="B82" s="2594">
        <v>221.29421843</v>
      </c>
      <c r="C82" s="2594">
        <v>695213.41209</v>
      </c>
      <c r="D82" s="3674">
        <v>1017.4672802699999</v>
      </c>
      <c r="E82" s="2594">
        <v>2156597.0540710003</v>
      </c>
      <c r="F82" s="2594">
        <v>115.77859983</v>
      </c>
      <c r="G82" s="2594">
        <v>43646.871700000003</v>
      </c>
      <c r="H82" s="3674">
        <v>16.502774679999998</v>
      </c>
      <c r="I82" s="2589">
        <v>26155.25678</v>
      </c>
      <c r="J82" s="2600">
        <f t="shared" si="5"/>
        <v>1371.0428732099999</v>
      </c>
      <c r="K82" s="2601">
        <f t="shared" si="6"/>
        <v>2921612.5946410005</v>
      </c>
      <c r="S82" s="2551"/>
      <c r="T82" s="2551"/>
      <c r="U82" s="2551"/>
      <c r="V82" s="2551"/>
      <c r="W82" s="2551"/>
    </row>
    <row r="83" spans="1:23" ht="12.75" customHeight="1">
      <c r="A83" s="2534">
        <f t="shared" si="4"/>
        <v>2008.02</v>
      </c>
      <c r="B83" s="2594">
        <v>133.25701887</v>
      </c>
      <c r="C83" s="2594">
        <v>437097.50276300003</v>
      </c>
      <c r="D83" s="3674">
        <v>839.37313864999999</v>
      </c>
      <c r="E83" s="2594">
        <v>1859940.748438</v>
      </c>
      <c r="F83" s="2594">
        <v>117.86687568000001</v>
      </c>
      <c r="G83" s="2594">
        <v>41698.425127999995</v>
      </c>
      <c r="H83" s="3674">
        <v>23.812623300000002</v>
      </c>
      <c r="I83" s="2589">
        <v>31952.570739999999</v>
      </c>
      <c r="J83" s="2600">
        <f t="shared" si="5"/>
        <v>1114.3096565000001</v>
      </c>
      <c r="K83" s="2601">
        <f t="shared" si="6"/>
        <v>2370689.2470689998</v>
      </c>
      <c r="S83" s="2551"/>
      <c r="T83" s="2551"/>
      <c r="U83" s="2551"/>
      <c r="V83" s="2551"/>
      <c r="W83" s="2551"/>
    </row>
    <row r="84" spans="1:23" ht="12.75" customHeight="1">
      <c r="A84" s="2534">
        <f t="shared" si="4"/>
        <v>2008.03</v>
      </c>
      <c r="B84" s="2594">
        <v>68.665273069999998</v>
      </c>
      <c r="C84" s="2594">
        <v>277513.54401499999</v>
      </c>
      <c r="D84" s="3674">
        <v>592.09892062999995</v>
      </c>
      <c r="E84" s="2594">
        <v>1177645.270086</v>
      </c>
      <c r="F84" s="2594">
        <v>136.86309181999999</v>
      </c>
      <c r="G84" s="2594">
        <v>47729.011611000002</v>
      </c>
      <c r="H84" s="3674">
        <v>12.40026434</v>
      </c>
      <c r="I84" s="2589">
        <v>15792.01692</v>
      </c>
      <c r="J84" s="2600">
        <f t="shared" si="5"/>
        <v>810.02754986000002</v>
      </c>
      <c r="K84" s="2601">
        <f t="shared" si="6"/>
        <v>1518679.8426319999</v>
      </c>
      <c r="S84" s="2551"/>
      <c r="T84" s="2551"/>
      <c r="U84" s="2551"/>
      <c r="V84" s="2551"/>
      <c r="W84" s="2551"/>
    </row>
    <row r="85" spans="1:23" ht="12.75" customHeight="1">
      <c r="A85" s="2534">
        <f t="shared" si="4"/>
        <v>2008.04</v>
      </c>
      <c r="B85" s="2594">
        <v>194.57994740999999</v>
      </c>
      <c r="C85" s="2594">
        <v>658499.75656400004</v>
      </c>
      <c r="D85" s="3674">
        <v>821.70002098999998</v>
      </c>
      <c r="E85" s="2594">
        <v>1622613.7115209999</v>
      </c>
      <c r="F85" s="2594">
        <v>138.38399927</v>
      </c>
      <c r="G85" s="2594">
        <v>47185.230364000003</v>
      </c>
      <c r="H85" s="3674">
        <v>41.973580799999993</v>
      </c>
      <c r="I85" s="2589">
        <v>57858.36292</v>
      </c>
      <c r="J85" s="2600">
        <f t="shared" si="5"/>
        <v>1196.63754847</v>
      </c>
      <c r="K85" s="2601">
        <f t="shared" si="6"/>
        <v>2386157.061369</v>
      </c>
      <c r="S85" s="2551"/>
      <c r="T85" s="2551"/>
      <c r="U85" s="2551"/>
      <c r="V85" s="2551"/>
      <c r="W85" s="2551"/>
    </row>
    <row r="86" spans="1:23" ht="12.75" customHeight="1">
      <c r="A86" s="2534">
        <f t="shared" si="4"/>
        <v>2008.05</v>
      </c>
      <c r="B86" s="2594">
        <v>211.34476656999999</v>
      </c>
      <c r="C86" s="2594">
        <v>699534.27073500003</v>
      </c>
      <c r="D86" s="3674">
        <v>1177.07493742</v>
      </c>
      <c r="E86" s="2594">
        <v>2327633.2805359997</v>
      </c>
      <c r="F86" s="2594">
        <v>149.56069797999999</v>
      </c>
      <c r="G86" s="2594">
        <v>45778.438023000002</v>
      </c>
      <c r="H86" s="3674">
        <v>35.082493490000004</v>
      </c>
      <c r="I86" s="2589">
        <v>40258.583330000001</v>
      </c>
      <c r="J86" s="2600">
        <f t="shared" si="5"/>
        <v>1573.0628954599999</v>
      </c>
      <c r="K86" s="2601">
        <f t="shared" si="6"/>
        <v>3113204.5726239998</v>
      </c>
      <c r="S86" s="2551"/>
      <c r="T86" s="2551"/>
      <c r="U86" s="2551"/>
      <c r="V86" s="2551"/>
      <c r="W86" s="2551"/>
    </row>
    <row r="87" spans="1:23" ht="12.75" customHeight="1">
      <c r="A87" s="2534">
        <f t="shared" si="4"/>
        <v>2008.06</v>
      </c>
      <c r="B87" s="2594">
        <v>197.02913884</v>
      </c>
      <c r="C87" s="2594">
        <v>572690.79171599995</v>
      </c>
      <c r="D87" s="3674">
        <v>816.74396323999997</v>
      </c>
      <c r="E87" s="2594">
        <v>1578006.6393640002</v>
      </c>
      <c r="F87" s="2594">
        <v>141.08488603000001</v>
      </c>
      <c r="G87" s="2594">
        <v>43916.411475000001</v>
      </c>
      <c r="H87" s="3674">
        <v>27.12628737</v>
      </c>
      <c r="I87" s="2589">
        <v>31439.712</v>
      </c>
      <c r="J87" s="2600">
        <f t="shared" si="5"/>
        <v>1181.98427548</v>
      </c>
      <c r="K87" s="2601">
        <f t="shared" si="6"/>
        <v>2226053.5545549998</v>
      </c>
      <c r="S87" s="2551"/>
      <c r="T87" s="2551"/>
      <c r="U87" s="2551"/>
      <c r="V87" s="2551"/>
      <c r="W87" s="2551"/>
    </row>
    <row r="88" spans="1:23" ht="12.75" customHeight="1">
      <c r="A88" s="2534">
        <f t="shared" si="4"/>
        <v>2008.07</v>
      </c>
      <c r="B88" s="2594">
        <v>311.95537022000002</v>
      </c>
      <c r="C88" s="2594">
        <v>932566.79830999998</v>
      </c>
      <c r="D88" s="3674">
        <v>923.51851073</v>
      </c>
      <c r="E88" s="2594">
        <v>1878284.495964</v>
      </c>
      <c r="F88" s="2594">
        <v>181.77838037999999</v>
      </c>
      <c r="G88" s="2594">
        <v>58796.956918999997</v>
      </c>
      <c r="H88" s="3674">
        <v>41.829405059999999</v>
      </c>
      <c r="I88" s="2589">
        <v>41409.306790000002</v>
      </c>
      <c r="J88" s="2600">
        <f t="shared" si="5"/>
        <v>1459.08166639</v>
      </c>
      <c r="K88" s="2601">
        <f t="shared" si="6"/>
        <v>2911057.5579829998</v>
      </c>
      <c r="S88" s="2551"/>
      <c r="T88" s="2551"/>
      <c r="U88" s="2551"/>
      <c r="V88" s="2551"/>
      <c r="W88" s="2551"/>
    </row>
    <row r="89" spans="1:23" ht="12.75" customHeight="1">
      <c r="A89" s="2534">
        <f t="shared" si="4"/>
        <v>2008.08</v>
      </c>
      <c r="B89" s="2594">
        <v>264.83031706999998</v>
      </c>
      <c r="C89" s="2594">
        <v>726256.767031</v>
      </c>
      <c r="D89" s="3674">
        <v>1223.8863848199999</v>
      </c>
      <c r="E89" s="2594">
        <v>2336154.1206700001</v>
      </c>
      <c r="F89" s="2594">
        <v>206.69234471999999</v>
      </c>
      <c r="G89" s="2594">
        <v>63488.732972000005</v>
      </c>
      <c r="H89" s="3674">
        <v>31.799198879999999</v>
      </c>
      <c r="I89" s="2589">
        <v>37104.990899999997</v>
      </c>
      <c r="J89" s="2600">
        <f t="shared" si="5"/>
        <v>1727.2082454899999</v>
      </c>
      <c r="K89" s="2601">
        <f t="shared" si="6"/>
        <v>3163004.611573</v>
      </c>
      <c r="S89" s="2551"/>
      <c r="T89" s="2551"/>
      <c r="U89" s="2551"/>
      <c r="V89" s="2551"/>
      <c r="W89" s="2551"/>
    </row>
    <row r="90" spans="1:23" ht="12.75" customHeight="1">
      <c r="A90" s="2534">
        <f t="shared" si="4"/>
        <v>2008.09</v>
      </c>
      <c r="B90" s="2594">
        <v>199.86200087</v>
      </c>
      <c r="C90" s="2594">
        <v>540454.07428400009</v>
      </c>
      <c r="D90" s="3674">
        <v>1158.08989122</v>
      </c>
      <c r="E90" s="2594">
        <v>2217067.8975380003</v>
      </c>
      <c r="F90" s="2594">
        <v>258.65697592999999</v>
      </c>
      <c r="G90" s="2594">
        <v>111929.23972499999</v>
      </c>
      <c r="H90" s="3674">
        <v>36.510104700000007</v>
      </c>
      <c r="I90" s="2589">
        <v>47967.51</v>
      </c>
      <c r="J90" s="2600">
        <f t="shared" si="5"/>
        <v>1653.1189727200001</v>
      </c>
      <c r="K90" s="2601">
        <f t="shared" si="6"/>
        <v>2917418.7215470001</v>
      </c>
      <c r="S90" s="2551"/>
      <c r="T90" s="2551"/>
      <c r="U90" s="2551"/>
      <c r="V90" s="2551"/>
      <c r="W90" s="2551"/>
    </row>
    <row r="91" spans="1:23" ht="12.75" customHeight="1">
      <c r="A91" s="2534">
        <f t="shared" si="4"/>
        <v>2008.1</v>
      </c>
      <c r="B91" s="2594">
        <v>157.50331152000001</v>
      </c>
      <c r="C91" s="2594">
        <v>449319.76676899998</v>
      </c>
      <c r="D91" s="3674">
        <v>964.50254753999991</v>
      </c>
      <c r="E91" s="2594">
        <v>2019950.0503120001</v>
      </c>
      <c r="F91" s="2594">
        <v>215.93881400999999</v>
      </c>
      <c r="G91" s="2594">
        <v>78562.961309999999</v>
      </c>
      <c r="H91" s="3674">
        <v>32.542007009999999</v>
      </c>
      <c r="I91" s="2589">
        <v>82315.73</v>
      </c>
      <c r="J91" s="2600">
        <f t="shared" si="5"/>
        <v>1370.4866800799998</v>
      </c>
      <c r="K91" s="2601">
        <f t="shared" si="6"/>
        <v>2630148.5083910003</v>
      </c>
      <c r="S91" s="2551"/>
      <c r="T91" s="2551"/>
      <c r="U91" s="2551"/>
      <c r="V91" s="2551"/>
      <c r="W91" s="2551"/>
    </row>
    <row r="92" spans="1:23" ht="12.75" customHeight="1">
      <c r="A92" s="2534">
        <f t="shared" si="4"/>
        <v>2008.11</v>
      </c>
      <c r="B92" s="2594">
        <v>63.24573453</v>
      </c>
      <c r="C92" s="2594">
        <v>218620.662331</v>
      </c>
      <c r="D92" s="3674">
        <v>692.93381442999998</v>
      </c>
      <c r="E92" s="2594">
        <v>1481614.8841229999</v>
      </c>
      <c r="F92" s="2594">
        <v>137.89329093999999</v>
      </c>
      <c r="G92" s="2594">
        <v>56375.026310000001</v>
      </c>
      <c r="H92" s="3674">
        <v>17.875728199999998</v>
      </c>
      <c r="I92" s="2589">
        <v>66147.88</v>
      </c>
      <c r="J92" s="2600">
        <f t="shared" si="5"/>
        <v>911.94856809999999</v>
      </c>
      <c r="K92" s="2601">
        <f t="shared" si="6"/>
        <v>1822758.4527639998</v>
      </c>
      <c r="S92" s="2551"/>
      <c r="T92" s="2551"/>
      <c r="U92" s="2551"/>
      <c r="V92" s="2551"/>
      <c r="W92" s="2551"/>
    </row>
    <row r="93" spans="1:23" ht="12.75" customHeight="1">
      <c r="A93" s="2534">
        <f t="shared" si="4"/>
        <v>2008.12</v>
      </c>
      <c r="B93" s="2594">
        <v>61.71870681</v>
      </c>
      <c r="C93" s="2594">
        <v>255093.08234299999</v>
      </c>
      <c r="D93" s="3674">
        <v>673.87465398999996</v>
      </c>
      <c r="E93" s="2594">
        <v>1639789.847176</v>
      </c>
      <c r="F93" s="2594">
        <v>129.65169707999999</v>
      </c>
      <c r="G93" s="2594">
        <v>45133.932200000003</v>
      </c>
      <c r="H93" s="3674">
        <v>9.6919530399999996</v>
      </c>
      <c r="I93" s="2589">
        <v>41448.354149999999</v>
      </c>
      <c r="J93" s="2600">
        <f t="shared" si="5"/>
        <v>874.93701091999992</v>
      </c>
      <c r="K93" s="2601">
        <f t="shared" si="6"/>
        <v>1981465.2158689999</v>
      </c>
      <c r="S93" s="2551"/>
      <c r="T93" s="2551"/>
      <c r="U93" s="2551"/>
      <c r="V93" s="2551"/>
      <c r="W93" s="2551"/>
    </row>
    <row r="94" spans="1:23" ht="12.75" customHeight="1">
      <c r="A94" s="2534">
        <f t="shared" si="4"/>
        <v>2009.01</v>
      </c>
      <c r="B94" s="2594">
        <v>71.440255989999997</v>
      </c>
      <c r="C94" s="2594">
        <v>241896.48849000002</v>
      </c>
      <c r="D94" s="3674">
        <v>721.43945722000001</v>
      </c>
      <c r="E94" s="2594">
        <v>1771594.1907309999</v>
      </c>
      <c r="F94" s="2594">
        <v>87.722060819999996</v>
      </c>
      <c r="G94" s="2594">
        <v>47512.485834999999</v>
      </c>
      <c r="H94" s="3674">
        <v>3.6094258999999997</v>
      </c>
      <c r="I94" s="2589">
        <v>10087.543820000001</v>
      </c>
      <c r="J94" s="2600">
        <f t="shared" si="5"/>
        <v>884.21119993000002</v>
      </c>
      <c r="K94" s="2601">
        <f t="shared" si="6"/>
        <v>2071090.708876</v>
      </c>
      <c r="S94" s="2551"/>
      <c r="T94" s="2551"/>
      <c r="U94" s="2551"/>
      <c r="V94" s="2551"/>
      <c r="W94" s="2551"/>
    </row>
    <row r="95" spans="1:23" ht="12.75" customHeight="1">
      <c r="A95" s="2534">
        <f t="shared" si="4"/>
        <v>2009.02</v>
      </c>
      <c r="B95" s="2594">
        <v>47.601835990000005</v>
      </c>
      <c r="C95" s="2594">
        <v>166469.64105899999</v>
      </c>
      <c r="D95" s="3674">
        <v>732.89729705999991</v>
      </c>
      <c r="E95" s="2594">
        <v>1633329.4039</v>
      </c>
      <c r="F95" s="2594">
        <v>88.589552790000013</v>
      </c>
      <c r="G95" s="2594">
        <v>67260.260709999988</v>
      </c>
      <c r="H95" s="3674">
        <v>8.7502328599999988</v>
      </c>
      <c r="I95" s="2589">
        <v>22713.562999999998</v>
      </c>
      <c r="J95" s="2600">
        <f t="shared" si="5"/>
        <v>877.83891869999991</v>
      </c>
      <c r="K95" s="2601">
        <f t="shared" si="6"/>
        <v>1889772.8686690002</v>
      </c>
      <c r="S95" s="2551"/>
      <c r="T95" s="2551"/>
      <c r="U95" s="2551"/>
      <c r="V95" s="2551"/>
      <c r="W95" s="2551"/>
    </row>
    <row r="96" spans="1:23" ht="12.75" customHeight="1">
      <c r="A96" s="2534">
        <f t="shared" si="4"/>
        <v>2009.03</v>
      </c>
      <c r="B96" s="2594">
        <v>52.428956079999999</v>
      </c>
      <c r="C96" s="2594">
        <v>218006.29880300001</v>
      </c>
      <c r="D96" s="3674">
        <v>690.16246763999993</v>
      </c>
      <c r="E96" s="2594">
        <v>1600301.4076129999</v>
      </c>
      <c r="F96" s="2594">
        <v>133.40298046999999</v>
      </c>
      <c r="G96" s="2594">
        <v>94444.453504999998</v>
      </c>
      <c r="H96" s="3674">
        <v>15.149905650000001</v>
      </c>
      <c r="I96" s="2589">
        <v>40541.909</v>
      </c>
      <c r="J96" s="2600">
        <f t="shared" si="5"/>
        <v>891.14430984000001</v>
      </c>
      <c r="K96" s="2601">
        <f t="shared" si="6"/>
        <v>1953294.068921</v>
      </c>
      <c r="S96" s="2551"/>
      <c r="T96" s="2551"/>
      <c r="U96" s="2551"/>
      <c r="V96" s="2551"/>
      <c r="W96" s="2551"/>
    </row>
    <row r="97" spans="1:23" ht="12.75" customHeight="1">
      <c r="A97" s="2534">
        <f t="shared" si="4"/>
        <v>2009.04</v>
      </c>
      <c r="B97" s="2594">
        <v>151.49822219000001</v>
      </c>
      <c r="C97" s="2594">
        <v>550048.15296500002</v>
      </c>
      <c r="D97" s="3674">
        <v>948.94352249999997</v>
      </c>
      <c r="E97" s="2594">
        <v>2264923.5055530001</v>
      </c>
      <c r="F97" s="2594">
        <v>128.55484909999998</v>
      </c>
      <c r="G97" s="2594">
        <v>100025.37593600001</v>
      </c>
      <c r="H97" s="3674">
        <v>15.487513310000001</v>
      </c>
      <c r="I97" s="2589">
        <v>37874.016000000003</v>
      </c>
      <c r="J97" s="2600">
        <f t="shared" si="5"/>
        <v>1244.4841070999998</v>
      </c>
      <c r="K97" s="2601">
        <f t="shared" si="6"/>
        <v>2952871.050454</v>
      </c>
      <c r="S97" s="2551"/>
      <c r="T97" s="2551"/>
      <c r="U97" s="2551"/>
      <c r="V97" s="2551"/>
      <c r="W97" s="2551"/>
    </row>
    <row r="98" spans="1:23" ht="12.75" customHeight="1">
      <c r="A98" s="2534">
        <f t="shared" si="4"/>
        <v>2009.05</v>
      </c>
      <c r="B98" s="2594">
        <v>126.79738936</v>
      </c>
      <c r="C98" s="2594">
        <v>422204.68488900003</v>
      </c>
      <c r="D98" s="3674">
        <v>993.53079302000003</v>
      </c>
      <c r="E98" s="2594">
        <v>2094868.7025659999</v>
      </c>
      <c r="F98" s="2594">
        <v>144.34289788999999</v>
      </c>
      <c r="G98" s="2594">
        <v>106107.79530699999</v>
      </c>
      <c r="H98" s="3674">
        <v>9.4077143400000001</v>
      </c>
      <c r="I98" s="2589">
        <v>20198.333420000003</v>
      </c>
      <c r="J98" s="2600">
        <f t="shared" si="5"/>
        <v>1274.0787946099999</v>
      </c>
      <c r="K98" s="2601">
        <f t="shared" si="6"/>
        <v>2643379.5161820003</v>
      </c>
      <c r="S98" s="2551"/>
      <c r="T98" s="2551"/>
      <c r="U98" s="2551"/>
      <c r="V98" s="2551"/>
      <c r="W98" s="2551"/>
    </row>
    <row r="99" spans="1:23" ht="12.75" customHeight="1">
      <c r="A99" s="2534">
        <f t="shared" si="4"/>
        <v>2009.06</v>
      </c>
      <c r="B99" s="2594">
        <v>71.709984209999988</v>
      </c>
      <c r="C99" s="2594">
        <v>265908.06551099999</v>
      </c>
      <c r="D99" s="3674">
        <v>1164.3473894400001</v>
      </c>
      <c r="E99" s="2594">
        <v>2385280.4578749998</v>
      </c>
      <c r="F99" s="2594">
        <v>156.98364364</v>
      </c>
      <c r="G99" s="2594">
        <v>107688.62667100001</v>
      </c>
      <c r="H99" s="3674">
        <v>11.50726403</v>
      </c>
      <c r="I99" s="2589">
        <v>22948.581899999997</v>
      </c>
      <c r="J99" s="2600">
        <f t="shared" si="5"/>
        <v>1404.5482813200001</v>
      </c>
      <c r="K99" s="2601">
        <f t="shared" si="6"/>
        <v>2781825.7319569997</v>
      </c>
      <c r="S99" s="2551"/>
      <c r="T99" s="2551"/>
      <c r="U99" s="2551"/>
      <c r="V99" s="2551"/>
      <c r="W99" s="2551"/>
    </row>
    <row r="100" spans="1:23" ht="12.75" customHeight="1">
      <c r="A100" s="2534">
        <f t="shared" si="4"/>
        <v>2009.07</v>
      </c>
      <c r="B100" s="2594">
        <v>72.821574989999988</v>
      </c>
      <c r="C100" s="2594">
        <v>224428.16466299997</v>
      </c>
      <c r="D100" s="3674">
        <v>946.60401899999999</v>
      </c>
      <c r="E100" s="2594">
        <v>1896167.941749</v>
      </c>
      <c r="F100" s="2594">
        <v>193.14928662</v>
      </c>
      <c r="G100" s="2594">
        <v>152232.629942</v>
      </c>
      <c r="H100" s="3674">
        <v>11.63050282</v>
      </c>
      <c r="I100" s="2589">
        <v>22743.345149999997</v>
      </c>
      <c r="J100" s="2600">
        <f t="shared" si="5"/>
        <v>1224.20538343</v>
      </c>
      <c r="K100" s="2601">
        <f t="shared" si="6"/>
        <v>2295572.0815039999</v>
      </c>
      <c r="S100" s="2551"/>
      <c r="T100" s="2551"/>
      <c r="U100" s="2551"/>
      <c r="V100" s="2551"/>
      <c r="W100" s="2551"/>
    </row>
    <row r="101" spans="1:23" ht="12.75" customHeight="1">
      <c r="A101" s="2534">
        <f t="shared" si="4"/>
        <v>2009.08</v>
      </c>
      <c r="B101" s="2594">
        <v>99.081457319999998</v>
      </c>
      <c r="C101" s="2594">
        <v>260904.12540200001</v>
      </c>
      <c r="D101" s="3674">
        <v>751.13947132999999</v>
      </c>
      <c r="E101" s="2594">
        <v>1507093.7056180001</v>
      </c>
      <c r="F101" s="2594">
        <v>172.68056777999999</v>
      </c>
      <c r="G101" s="2594">
        <v>141683.59153799998</v>
      </c>
      <c r="H101" s="3674">
        <v>6.3636251599999998</v>
      </c>
      <c r="I101" s="2589">
        <v>11090.592000000001</v>
      </c>
      <c r="J101" s="2600">
        <f t="shared" si="5"/>
        <v>1029.26512159</v>
      </c>
      <c r="K101" s="2601">
        <f t="shared" si="6"/>
        <v>1920772.014558</v>
      </c>
      <c r="S101" s="2551"/>
      <c r="T101" s="2551"/>
      <c r="U101" s="2551"/>
      <c r="V101" s="2551"/>
      <c r="W101" s="2551"/>
    </row>
    <row r="102" spans="1:23" ht="12.75" customHeight="1">
      <c r="A102" s="2534">
        <f t="shared" si="4"/>
        <v>2009.09</v>
      </c>
      <c r="B102" s="2594">
        <v>27.92983645</v>
      </c>
      <c r="C102" s="2594">
        <v>77263.543287000008</v>
      </c>
      <c r="D102" s="3674">
        <v>757.15394760000004</v>
      </c>
      <c r="E102" s="2594">
        <v>1477088.5789079999</v>
      </c>
      <c r="F102" s="2594">
        <v>202.06714019999998</v>
      </c>
      <c r="G102" s="2594">
        <v>164971.28985</v>
      </c>
      <c r="H102" s="3674">
        <v>6.99284967</v>
      </c>
      <c r="I102" s="2589">
        <v>11844.292390000001</v>
      </c>
      <c r="J102" s="2600">
        <f t="shared" si="5"/>
        <v>994.14377392000017</v>
      </c>
      <c r="K102" s="2601">
        <f t="shared" si="6"/>
        <v>1731167.704435</v>
      </c>
      <c r="S102" s="2551"/>
      <c r="T102" s="2551"/>
      <c r="U102" s="2551"/>
      <c r="V102" s="2551"/>
      <c r="W102" s="2551"/>
    </row>
    <row r="103" spans="1:23" ht="12.75" customHeight="1">
      <c r="A103" s="2534">
        <f t="shared" si="4"/>
        <v>2009.1</v>
      </c>
      <c r="B103" s="2594">
        <v>22.89744395</v>
      </c>
      <c r="C103" s="2594">
        <v>78738.930384000007</v>
      </c>
      <c r="D103" s="3674">
        <v>784.6050285</v>
      </c>
      <c r="E103" s="2594">
        <v>1641235.306605</v>
      </c>
      <c r="F103" s="2594">
        <v>214.9346741</v>
      </c>
      <c r="G103" s="2594">
        <v>134426.435895</v>
      </c>
      <c r="H103" s="3674">
        <v>9.2525851800000005</v>
      </c>
      <c r="I103" s="2589">
        <v>15810.162920000001</v>
      </c>
      <c r="J103" s="2600">
        <f t="shared" si="5"/>
        <v>1031.6897317300002</v>
      </c>
      <c r="K103" s="2601">
        <f t="shared" si="6"/>
        <v>1870210.835804</v>
      </c>
      <c r="S103" s="2551"/>
      <c r="T103" s="2551"/>
      <c r="U103" s="2551"/>
      <c r="V103" s="2551"/>
      <c r="W103" s="2551"/>
    </row>
    <row r="104" spans="1:23" ht="12.75" customHeight="1">
      <c r="A104" s="2534">
        <f t="shared" si="4"/>
        <v>2009.11</v>
      </c>
      <c r="B104" s="2594">
        <v>30.678598260000001</v>
      </c>
      <c r="C104" s="2594">
        <v>130459.506534</v>
      </c>
      <c r="D104" s="3674">
        <v>793.08336922000001</v>
      </c>
      <c r="E104" s="2594">
        <v>1562722.5684189999</v>
      </c>
      <c r="F104" s="2594">
        <v>246.27212888</v>
      </c>
      <c r="G104" s="2594">
        <v>150262.62724599999</v>
      </c>
      <c r="H104" s="3674">
        <v>14.752394320000001</v>
      </c>
      <c r="I104" s="2589">
        <v>26079.25648</v>
      </c>
      <c r="J104" s="2600">
        <f t="shared" si="5"/>
        <v>1084.78649068</v>
      </c>
      <c r="K104" s="2601">
        <f t="shared" si="6"/>
        <v>1869523.9586789999</v>
      </c>
      <c r="S104" s="2551"/>
      <c r="T104" s="2551"/>
      <c r="U104" s="2551"/>
      <c r="V104" s="2551"/>
      <c r="W104" s="2551"/>
    </row>
    <row r="105" spans="1:23" ht="12.75" customHeight="1">
      <c r="A105" s="2534">
        <f t="shared" si="4"/>
        <v>2009.12</v>
      </c>
      <c r="B105" s="2594">
        <v>38.146672619999997</v>
      </c>
      <c r="C105" s="2594">
        <v>182524.94077399999</v>
      </c>
      <c r="D105" s="3674">
        <v>729.71757910999997</v>
      </c>
      <c r="E105" s="2594">
        <v>1466592.5503429999</v>
      </c>
      <c r="F105" s="2594">
        <v>245.29147716999998</v>
      </c>
      <c r="G105" s="2594">
        <v>150714.98801599999</v>
      </c>
      <c r="H105" s="3674">
        <v>17.781092579999999</v>
      </c>
      <c r="I105" s="2589">
        <v>29632.552399999997</v>
      </c>
      <c r="J105" s="2600">
        <f t="shared" si="5"/>
        <v>1030.9368214799999</v>
      </c>
      <c r="K105" s="2601">
        <f t="shared" si="6"/>
        <v>1829465.0315329998</v>
      </c>
      <c r="S105" s="2551"/>
      <c r="T105" s="2551"/>
      <c r="U105" s="2551"/>
      <c r="V105" s="2551"/>
      <c r="W105" s="2551"/>
    </row>
    <row r="106" spans="1:23" ht="12.75" customHeight="1">
      <c r="A106" s="2534">
        <f t="shared" ref="A106:A137" si="7">A118-1</f>
        <v>2010.01</v>
      </c>
      <c r="B106" s="2594">
        <v>76.432003800000004</v>
      </c>
      <c r="C106" s="2594">
        <v>383679.36877900001</v>
      </c>
      <c r="D106" s="3674">
        <v>581.22189498</v>
      </c>
      <c r="E106" s="2594">
        <v>1152521.0736410001</v>
      </c>
      <c r="F106" s="2594">
        <v>227.13696605000001</v>
      </c>
      <c r="G106" s="2594">
        <v>176015.376345</v>
      </c>
      <c r="H106" s="3674">
        <v>9.8006871199999992</v>
      </c>
      <c r="I106" s="2589">
        <v>18680.923999999999</v>
      </c>
      <c r="J106" s="2600">
        <f t="shared" si="5"/>
        <v>894.59155194999994</v>
      </c>
      <c r="K106" s="2601">
        <f t="shared" si="6"/>
        <v>1730896.7427650001</v>
      </c>
      <c r="S106" s="2551"/>
      <c r="T106" s="2551"/>
      <c r="U106" s="2551"/>
      <c r="V106" s="2551"/>
      <c r="W106" s="2551"/>
    </row>
    <row r="107" spans="1:23" ht="12.75" customHeight="1">
      <c r="A107" s="2534">
        <f t="shared" si="7"/>
        <v>2010.02</v>
      </c>
      <c r="B107" s="2594">
        <v>39.855863960000001</v>
      </c>
      <c r="C107" s="2594">
        <v>171579.15444700001</v>
      </c>
      <c r="D107" s="3674">
        <v>587.87086629999999</v>
      </c>
      <c r="E107" s="2594">
        <v>1137969.1304300001</v>
      </c>
      <c r="F107" s="2594">
        <v>224.99474831000001</v>
      </c>
      <c r="G107" s="2594">
        <v>146838.10068999999</v>
      </c>
      <c r="H107" s="3674">
        <v>12.270895789999999</v>
      </c>
      <c r="I107" s="2589">
        <v>24672.873800000001</v>
      </c>
      <c r="J107" s="2600">
        <f t="shared" si="5"/>
        <v>864.99237435999999</v>
      </c>
      <c r="K107" s="2601">
        <f t="shared" si="6"/>
        <v>1481059.2593670001</v>
      </c>
      <c r="S107" s="2551"/>
      <c r="T107" s="2551"/>
      <c r="U107" s="2551"/>
      <c r="V107" s="2551"/>
      <c r="W107" s="2551"/>
    </row>
    <row r="108" spans="1:23" ht="12.75" customHeight="1">
      <c r="A108" s="2534">
        <f t="shared" si="7"/>
        <v>2010.03</v>
      </c>
      <c r="B108" s="2594">
        <v>74.309647220000002</v>
      </c>
      <c r="C108" s="2594">
        <v>339636.24355400004</v>
      </c>
      <c r="D108" s="3674">
        <v>427.69308233999999</v>
      </c>
      <c r="E108" s="2594">
        <v>1004918.063605</v>
      </c>
      <c r="F108" s="2594">
        <v>189.45269178999999</v>
      </c>
      <c r="G108" s="2594">
        <v>114775.363375</v>
      </c>
      <c r="H108" s="3674">
        <v>14.286900119999999</v>
      </c>
      <c r="I108" s="2589">
        <v>23849.642190000002</v>
      </c>
      <c r="J108" s="2600">
        <f t="shared" si="5"/>
        <v>705.74232146999998</v>
      </c>
      <c r="K108" s="2601">
        <f t="shared" si="6"/>
        <v>1483179.3127240001</v>
      </c>
      <c r="S108" s="2551"/>
      <c r="T108" s="2551"/>
      <c r="U108" s="2551"/>
      <c r="V108" s="2551"/>
      <c r="W108" s="2551"/>
    </row>
    <row r="109" spans="1:23" ht="12.75" customHeight="1">
      <c r="A109" s="2534">
        <f t="shared" si="7"/>
        <v>2010.04</v>
      </c>
      <c r="B109" s="2594">
        <v>254.73932991999999</v>
      </c>
      <c r="C109" s="2594">
        <v>964514.14753999992</v>
      </c>
      <c r="D109" s="3674">
        <v>937.41907404999995</v>
      </c>
      <c r="E109" s="2594">
        <v>2236752.5700209998</v>
      </c>
      <c r="F109" s="2594">
        <v>203.53028696000001</v>
      </c>
      <c r="G109" s="2594">
        <v>134735.31693500001</v>
      </c>
      <c r="H109" s="3674">
        <v>9.4886927700000001</v>
      </c>
      <c r="I109" s="2589">
        <v>15233.896779999999</v>
      </c>
      <c r="J109" s="2600">
        <f t="shared" si="5"/>
        <v>1405.1773836999998</v>
      </c>
      <c r="K109" s="2601">
        <f t="shared" si="6"/>
        <v>3351235.9312759996</v>
      </c>
      <c r="S109" s="2551"/>
      <c r="T109" s="2551"/>
      <c r="U109" s="2551"/>
      <c r="V109" s="2551"/>
      <c r="W109" s="2551"/>
    </row>
    <row r="110" spans="1:23" ht="12.75" customHeight="1">
      <c r="A110" s="2534">
        <f t="shared" si="7"/>
        <v>2010.05</v>
      </c>
      <c r="B110" s="2594">
        <v>287.58434231000001</v>
      </c>
      <c r="C110" s="2594">
        <v>1058451.600818</v>
      </c>
      <c r="D110" s="3674">
        <v>1048.0606101000001</v>
      </c>
      <c r="E110" s="2594">
        <v>2611990.2641449999</v>
      </c>
      <c r="F110" s="2594">
        <v>222.65665021999999</v>
      </c>
      <c r="G110" s="2594">
        <v>124612.85009599999</v>
      </c>
      <c r="H110" s="3674">
        <v>13.190437169999999</v>
      </c>
      <c r="I110" s="2589">
        <v>21924.690190000001</v>
      </c>
      <c r="J110" s="2600">
        <f t="shared" si="5"/>
        <v>1571.4920398000002</v>
      </c>
      <c r="K110" s="2601">
        <f t="shared" si="6"/>
        <v>3816979.4052489996</v>
      </c>
      <c r="S110" s="2551"/>
      <c r="T110" s="2551"/>
      <c r="U110" s="2551"/>
      <c r="V110" s="2551"/>
      <c r="W110" s="2551"/>
    </row>
    <row r="111" spans="1:23" ht="12.75" customHeight="1">
      <c r="A111" s="2534">
        <f t="shared" si="7"/>
        <v>2010.06</v>
      </c>
      <c r="B111" s="2594">
        <v>271.15183123000003</v>
      </c>
      <c r="C111" s="2594">
        <v>1010582.4592690001</v>
      </c>
      <c r="D111" s="3674">
        <v>996.43640241999992</v>
      </c>
      <c r="E111" s="2594">
        <v>2462338.7536490001</v>
      </c>
      <c r="F111" s="2594">
        <v>266.05280033000003</v>
      </c>
      <c r="G111" s="2594">
        <v>177143.75706499998</v>
      </c>
      <c r="H111" s="3674">
        <v>5.38888722</v>
      </c>
      <c r="I111" s="2589">
        <v>8715.3780000000006</v>
      </c>
      <c r="J111" s="2600">
        <f t="shared" si="5"/>
        <v>1539.0299212</v>
      </c>
      <c r="K111" s="2601">
        <f t="shared" si="6"/>
        <v>3658780.3479830003</v>
      </c>
      <c r="S111" s="2551"/>
      <c r="T111" s="2551"/>
      <c r="U111" s="2551"/>
      <c r="V111" s="2551"/>
      <c r="W111" s="2551"/>
    </row>
    <row r="112" spans="1:23" ht="12.75" customHeight="1">
      <c r="A112" s="2534">
        <f t="shared" si="7"/>
        <v>2010.07</v>
      </c>
      <c r="B112" s="2594">
        <v>217.27750603000001</v>
      </c>
      <c r="C112" s="2594">
        <v>836003.87358000001</v>
      </c>
      <c r="D112" s="3674">
        <v>1033.3049422300001</v>
      </c>
      <c r="E112" s="2594">
        <v>2462254.840969</v>
      </c>
      <c r="F112" s="2594">
        <v>223.77374103</v>
      </c>
      <c r="G112" s="2594">
        <v>135409.21051</v>
      </c>
      <c r="H112" s="3674">
        <v>11.00446022</v>
      </c>
      <c r="I112" s="2589">
        <v>17923.6921</v>
      </c>
      <c r="J112" s="2600">
        <f t="shared" si="5"/>
        <v>1485.3606495100003</v>
      </c>
      <c r="K112" s="2601">
        <f t="shared" si="6"/>
        <v>3451591.6171590001</v>
      </c>
      <c r="S112" s="2551"/>
      <c r="T112" s="2551"/>
      <c r="U112" s="2551"/>
      <c r="V112" s="2551"/>
      <c r="W112" s="2551"/>
    </row>
    <row r="113" spans="1:23" ht="12.75" customHeight="1">
      <c r="A113" s="2534">
        <f t="shared" si="7"/>
        <v>2010.08</v>
      </c>
      <c r="B113" s="2594">
        <v>243.66385031999999</v>
      </c>
      <c r="C113" s="2594">
        <v>805647.76957500004</v>
      </c>
      <c r="D113" s="3674">
        <v>923.79825899000002</v>
      </c>
      <c r="E113" s="2594">
        <v>2080499.9404419998</v>
      </c>
      <c r="F113" s="2594">
        <v>287.01346595999996</v>
      </c>
      <c r="G113" s="2594">
        <v>180037.81382499999</v>
      </c>
      <c r="H113" s="3674">
        <v>13.22299265</v>
      </c>
      <c r="I113" s="2589">
        <v>20094.845000000001</v>
      </c>
      <c r="J113" s="2600">
        <f t="shared" si="5"/>
        <v>1467.6985679199997</v>
      </c>
      <c r="K113" s="2601">
        <f t="shared" si="6"/>
        <v>3086280.3688420001</v>
      </c>
      <c r="S113" s="2551"/>
      <c r="T113" s="2551"/>
      <c r="U113" s="2551"/>
      <c r="V113" s="2551"/>
      <c r="W113" s="2551"/>
    </row>
    <row r="114" spans="1:23" ht="12.75" customHeight="1">
      <c r="A114" s="2534">
        <f t="shared" si="7"/>
        <v>2010.09</v>
      </c>
      <c r="B114" s="2594">
        <v>142.56660416</v>
      </c>
      <c r="C114" s="2594">
        <v>484567.52758600004</v>
      </c>
      <c r="D114" s="3674">
        <v>1057.3830300499999</v>
      </c>
      <c r="E114" s="2594">
        <v>2258916.4038109998</v>
      </c>
      <c r="F114" s="2594">
        <v>272.01712430000003</v>
      </c>
      <c r="G114" s="2594">
        <v>128834.12682999999</v>
      </c>
      <c r="H114" s="3674">
        <v>6.429818</v>
      </c>
      <c r="I114" s="2589">
        <v>9675.9188000000013</v>
      </c>
      <c r="J114" s="2600">
        <f t="shared" si="5"/>
        <v>1478.3965765099999</v>
      </c>
      <c r="K114" s="2601">
        <f t="shared" si="6"/>
        <v>2881993.9770269999</v>
      </c>
      <c r="S114" s="2551"/>
      <c r="T114" s="2551"/>
      <c r="U114" s="2551"/>
      <c r="V114" s="2551"/>
      <c r="W114" s="2551"/>
    </row>
    <row r="115" spans="1:23" ht="12.75" customHeight="1">
      <c r="A115" s="2534">
        <f t="shared" si="7"/>
        <v>2010.1</v>
      </c>
      <c r="B115" s="2594">
        <v>83.700997489999992</v>
      </c>
      <c r="C115" s="2594">
        <v>328596.68400000001</v>
      </c>
      <c r="D115" s="3674">
        <v>1072.00755772</v>
      </c>
      <c r="E115" s="2594">
        <v>2236218.8469660003</v>
      </c>
      <c r="F115" s="2594">
        <v>304.66657041000002</v>
      </c>
      <c r="G115" s="2594">
        <v>170315.95741999999</v>
      </c>
      <c r="H115" s="3674">
        <v>9.1331708699999989</v>
      </c>
      <c r="I115" s="2589">
        <v>12579.860349999999</v>
      </c>
      <c r="J115" s="2600">
        <f t="shared" si="5"/>
        <v>1469.50829649</v>
      </c>
      <c r="K115" s="2601">
        <f t="shared" si="6"/>
        <v>2747711.3487360002</v>
      </c>
      <c r="S115" s="2551"/>
      <c r="T115" s="2551"/>
      <c r="U115" s="2551"/>
      <c r="V115" s="2551"/>
      <c r="W115" s="2551"/>
    </row>
    <row r="116" spans="1:23" ht="12.75" customHeight="1">
      <c r="A116" s="2534">
        <f t="shared" si="7"/>
        <v>2010.11</v>
      </c>
      <c r="B116" s="2594">
        <v>55.613668099999998</v>
      </c>
      <c r="C116" s="2594">
        <v>197301.11306900001</v>
      </c>
      <c r="D116" s="3674">
        <v>1024.8555593900001</v>
      </c>
      <c r="E116" s="2594">
        <v>1956048.2051549999</v>
      </c>
      <c r="F116" s="2594">
        <v>269.23110733999999</v>
      </c>
      <c r="G116" s="2594">
        <v>140626.86327</v>
      </c>
      <c r="H116" s="3674">
        <v>9.3248683100000012</v>
      </c>
      <c r="I116" s="2589">
        <v>11824.473599999999</v>
      </c>
      <c r="J116" s="2600">
        <f t="shared" si="5"/>
        <v>1359.02520314</v>
      </c>
      <c r="K116" s="2601">
        <f t="shared" si="6"/>
        <v>2305800.655094</v>
      </c>
      <c r="S116" s="2551"/>
      <c r="T116" s="2551"/>
      <c r="U116" s="2551"/>
      <c r="V116" s="2551"/>
      <c r="W116" s="2551"/>
    </row>
    <row r="117" spans="1:23" ht="12.75" customHeight="1">
      <c r="A117" s="2534">
        <f t="shared" si="7"/>
        <v>2010.12</v>
      </c>
      <c r="B117" s="2594">
        <v>63.753898899999996</v>
      </c>
      <c r="C117" s="2594">
        <v>244829.06074799999</v>
      </c>
      <c r="D117" s="3674">
        <v>822.61219450999999</v>
      </c>
      <c r="E117" s="2594">
        <v>1535202.6928670001</v>
      </c>
      <c r="F117" s="2594">
        <v>309.23535451999999</v>
      </c>
      <c r="G117" s="2594">
        <v>160933.49926699998</v>
      </c>
      <c r="H117" s="3674">
        <v>11.440351210000001</v>
      </c>
      <c r="I117" s="2589">
        <v>14134.8496</v>
      </c>
      <c r="J117" s="2600">
        <f t="shared" si="5"/>
        <v>1207.04179914</v>
      </c>
      <c r="K117" s="2601">
        <f t="shared" si="6"/>
        <v>1955100.1024820001</v>
      </c>
      <c r="S117" s="2551"/>
      <c r="T117" s="2551"/>
      <c r="U117" s="2551"/>
      <c r="V117" s="2551"/>
      <c r="W117" s="2551"/>
    </row>
    <row r="118" spans="1:23" ht="12.75" customHeight="1">
      <c r="A118" s="2534">
        <f t="shared" si="7"/>
        <v>2011.01</v>
      </c>
      <c r="B118" s="2594">
        <v>68.2117188</v>
      </c>
      <c r="C118" s="2594">
        <v>235937.37974500001</v>
      </c>
      <c r="D118" s="3674">
        <v>837.03707780999991</v>
      </c>
      <c r="E118" s="2594">
        <v>1503422.5211400001</v>
      </c>
      <c r="F118" s="2594">
        <v>306.14365937999997</v>
      </c>
      <c r="G118" s="2594">
        <v>140761.95733</v>
      </c>
      <c r="H118" s="3674">
        <v>12.35235222</v>
      </c>
      <c r="I118" s="2589">
        <v>14985.26376</v>
      </c>
      <c r="J118" s="2600">
        <f t="shared" si="5"/>
        <v>1223.74480821</v>
      </c>
      <c r="K118" s="2601">
        <f t="shared" si="6"/>
        <v>1895107.121975</v>
      </c>
      <c r="S118" s="2551"/>
      <c r="T118" s="2551"/>
      <c r="U118" s="2551"/>
      <c r="V118" s="2551"/>
      <c r="W118" s="2551"/>
    </row>
    <row r="119" spans="1:23" ht="12.75" customHeight="1">
      <c r="A119" s="2534">
        <f t="shared" si="7"/>
        <v>2011.02</v>
      </c>
      <c r="B119" s="2594">
        <v>87.368535930000007</v>
      </c>
      <c r="C119" s="2594">
        <v>287978.98707599996</v>
      </c>
      <c r="D119" s="3674">
        <v>850.48786158000007</v>
      </c>
      <c r="E119" s="2594">
        <v>1609036.061677</v>
      </c>
      <c r="F119" s="2594">
        <v>268.03403136000003</v>
      </c>
      <c r="G119" s="2594">
        <v>125439.121168</v>
      </c>
      <c r="H119" s="3674">
        <v>9.9610746400000014</v>
      </c>
      <c r="I119" s="2589">
        <v>11400.961039999998</v>
      </c>
      <c r="J119" s="2600">
        <f t="shared" si="5"/>
        <v>1215.8515035100002</v>
      </c>
      <c r="K119" s="2601">
        <f t="shared" si="6"/>
        <v>2033855.1309609998</v>
      </c>
      <c r="S119" s="2551"/>
      <c r="T119" s="2551"/>
      <c r="U119" s="2551"/>
      <c r="V119" s="2551"/>
      <c r="W119" s="2551"/>
    </row>
    <row r="120" spans="1:23" ht="12.75" customHeight="1">
      <c r="A120" s="2534">
        <f t="shared" si="7"/>
        <v>2011.03</v>
      </c>
      <c r="B120" s="2594">
        <v>123.28596898000001</v>
      </c>
      <c r="C120" s="2594">
        <v>396641.601953</v>
      </c>
      <c r="D120" s="3674">
        <v>947.30951544000004</v>
      </c>
      <c r="E120" s="2594">
        <v>1708552.1909</v>
      </c>
      <c r="F120" s="2594">
        <v>286.44521588999999</v>
      </c>
      <c r="G120" s="2594">
        <v>152690.48658500001</v>
      </c>
      <c r="H120" s="3674">
        <v>16.717084320000001</v>
      </c>
      <c r="I120" s="2589">
        <v>19038.839</v>
      </c>
      <c r="J120" s="2600">
        <f t="shared" si="5"/>
        <v>1373.7577846299998</v>
      </c>
      <c r="K120" s="2601">
        <f t="shared" si="6"/>
        <v>2276923.1184380003</v>
      </c>
      <c r="S120" s="2551"/>
      <c r="T120" s="2551"/>
      <c r="U120" s="2551"/>
      <c r="V120" s="2551"/>
      <c r="W120" s="2551"/>
    </row>
    <row r="121" spans="1:23" ht="12.75" customHeight="1">
      <c r="A121" s="2534">
        <f t="shared" si="7"/>
        <v>2011.04</v>
      </c>
      <c r="B121" s="2594">
        <v>210.52792971</v>
      </c>
      <c r="C121" s="2594">
        <v>580141.93598499999</v>
      </c>
      <c r="D121" s="3674">
        <v>1098.2262056300001</v>
      </c>
      <c r="E121" s="2594">
        <v>2158168.6671719998</v>
      </c>
      <c r="F121" s="2594">
        <v>310.96819574</v>
      </c>
      <c r="G121" s="2594">
        <v>147082.487826</v>
      </c>
      <c r="H121" s="3674">
        <v>19.175987769999999</v>
      </c>
      <c r="I121" s="2589">
        <v>18782.753820000002</v>
      </c>
      <c r="J121" s="2600">
        <f t="shared" si="5"/>
        <v>1638.8983188500001</v>
      </c>
      <c r="K121" s="2601">
        <f t="shared" si="6"/>
        <v>2904175.8448029999</v>
      </c>
      <c r="S121" s="2551"/>
      <c r="T121" s="2551"/>
      <c r="U121" s="2551"/>
      <c r="V121" s="2551"/>
      <c r="W121" s="2551"/>
    </row>
    <row r="122" spans="1:23" ht="12.75" customHeight="1">
      <c r="A122" s="2534">
        <f t="shared" si="7"/>
        <v>2011.05</v>
      </c>
      <c r="B122" s="2594">
        <v>299.46461062999998</v>
      </c>
      <c r="C122" s="2594">
        <v>802032.8869119999</v>
      </c>
      <c r="D122" s="3674">
        <v>1378.80306025</v>
      </c>
      <c r="E122" s="2594">
        <v>2433074.2647080002</v>
      </c>
      <c r="F122" s="2594">
        <v>351.55942113999998</v>
      </c>
      <c r="G122" s="2594">
        <v>169051.17758199997</v>
      </c>
      <c r="H122" s="3674">
        <v>5.8037994299999998</v>
      </c>
      <c r="I122" s="2589">
        <v>6155.8017399999999</v>
      </c>
      <c r="J122" s="2600">
        <f t="shared" si="5"/>
        <v>2035.63089145</v>
      </c>
      <c r="K122" s="2601">
        <f t="shared" si="6"/>
        <v>3410314.1309420001</v>
      </c>
      <c r="S122" s="2551"/>
      <c r="T122" s="2551"/>
      <c r="U122" s="2551"/>
      <c r="V122" s="2551"/>
      <c r="W122" s="2551"/>
    </row>
    <row r="123" spans="1:23" ht="12.75" customHeight="1">
      <c r="A123" s="2534">
        <f t="shared" si="7"/>
        <v>2011.06</v>
      </c>
      <c r="B123" s="2594">
        <v>282.42167310000002</v>
      </c>
      <c r="C123" s="2594">
        <v>714079.48297300003</v>
      </c>
      <c r="D123" s="3674">
        <v>1265.31719595</v>
      </c>
      <c r="E123" s="2594">
        <v>2061266.4986329998</v>
      </c>
      <c r="F123" s="2594">
        <v>350.96544992000003</v>
      </c>
      <c r="G123" s="2594">
        <v>185788.20109700001</v>
      </c>
      <c r="H123" s="3674">
        <v>9.7167544299999999</v>
      </c>
      <c r="I123" s="2589">
        <v>10628.06</v>
      </c>
      <c r="J123" s="2600">
        <f t="shared" si="5"/>
        <v>1908.4210734000003</v>
      </c>
      <c r="K123" s="2601">
        <f t="shared" si="6"/>
        <v>2971762.2427030001</v>
      </c>
      <c r="S123" s="2551"/>
      <c r="T123" s="2551"/>
      <c r="U123" s="2551"/>
      <c r="V123" s="2551"/>
      <c r="W123" s="2551"/>
    </row>
    <row r="124" spans="1:23" ht="12.75" customHeight="1">
      <c r="A124" s="2534">
        <f t="shared" si="7"/>
        <v>2011.07</v>
      </c>
      <c r="B124" s="2594">
        <v>232.08525256999999</v>
      </c>
      <c r="C124" s="2594">
        <v>572166.21575800003</v>
      </c>
      <c r="D124" s="3674">
        <v>917.65177805999997</v>
      </c>
      <c r="E124" s="2594">
        <v>1685572.9252869999</v>
      </c>
      <c r="F124" s="2594">
        <v>392.87512325</v>
      </c>
      <c r="G124" s="2594">
        <v>189209.59978799999</v>
      </c>
      <c r="H124" s="3674">
        <v>10.50741616</v>
      </c>
      <c r="I124" s="2589">
        <v>12064.76858</v>
      </c>
      <c r="J124" s="2600">
        <f t="shared" si="5"/>
        <v>1553.1195700399999</v>
      </c>
      <c r="K124" s="2601">
        <f t="shared" si="6"/>
        <v>2459013.5094129997</v>
      </c>
      <c r="S124" s="2551"/>
      <c r="T124" s="2551"/>
      <c r="U124" s="2551"/>
      <c r="V124" s="2551"/>
      <c r="W124" s="2551"/>
    </row>
    <row r="125" spans="1:23" ht="12.75" customHeight="1">
      <c r="A125" s="2534">
        <f t="shared" si="7"/>
        <v>2011.08</v>
      </c>
      <c r="B125" s="2594">
        <v>275.56395986000001</v>
      </c>
      <c r="C125" s="2594">
        <v>675490.64154400001</v>
      </c>
      <c r="D125" s="3674">
        <v>1236.70790715</v>
      </c>
      <c r="E125" s="2594">
        <v>2250062.8247270002</v>
      </c>
      <c r="F125" s="2594">
        <v>370.69912886000003</v>
      </c>
      <c r="G125" s="2594">
        <v>180952.58843500001</v>
      </c>
      <c r="H125" s="3674">
        <v>8.2697885800000002</v>
      </c>
      <c r="I125" s="2589">
        <v>9029.3252499999999</v>
      </c>
      <c r="J125" s="2600">
        <f t="shared" si="5"/>
        <v>1891.2407844500001</v>
      </c>
      <c r="K125" s="2601">
        <f t="shared" si="6"/>
        <v>3115535.379956</v>
      </c>
      <c r="S125" s="2551"/>
      <c r="T125" s="2551"/>
      <c r="U125" s="2551"/>
      <c r="V125" s="2551"/>
      <c r="W125" s="2551"/>
    </row>
    <row r="126" spans="1:23" ht="12.75" customHeight="1">
      <c r="A126" s="2534">
        <f t="shared" si="7"/>
        <v>2011.09</v>
      </c>
      <c r="B126" s="2594">
        <v>264.46752988999998</v>
      </c>
      <c r="C126" s="2594">
        <v>585710.8208300001</v>
      </c>
      <c r="D126" s="3674">
        <v>1099.17601322</v>
      </c>
      <c r="E126" s="2594">
        <v>2018873.4301519999</v>
      </c>
      <c r="F126" s="2594">
        <v>366.13886572000001</v>
      </c>
      <c r="G126" s="2594">
        <v>190642.632239</v>
      </c>
      <c r="H126" s="3674">
        <v>7.5315275000000002</v>
      </c>
      <c r="I126" s="2589">
        <v>8590.3840500000006</v>
      </c>
      <c r="J126" s="2600">
        <f t="shared" si="5"/>
        <v>1737.3139363299999</v>
      </c>
      <c r="K126" s="2601">
        <f t="shared" si="6"/>
        <v>2803817.267271</v>
      </c>
      <c r="S126" s="2551"/>
      <c r="T126" s="2551"/>
      <c r="U126" s="2551"/>
      <c r="V126" s="2551"/>
      <c r="W126" s="2551"/>
    </row>
    <row r="127" spans="1:23" ht="12.75" customHeight="1">
      <c r="A127" s="2534">
        <f t="shared" si="7"/>
        <v>2011.1</v>
      </c>
      <c r="B127" s="2594">
        <v>191.76446933000003</v>
      </c>
      <c r="C127" s="2594">
        <v>444358.800124</v>
      </c>
      <c r="D127" s="3674">
        <v>1070.5445432500001</v>
      </c>
      <c r="E127" s="2594">
        <v>2007707.5409219998</v>
      </c>
      <c r="F127" s="2594">
        <v>395.04330520999997</v>
      </c>
      <c r="G127" s="2594">
        <v>210451.47593000002</v>
      </c>
      <c r="H127" s="3674">
        <v>12.80906349</v>
      </c>
      <c r="I127" s="2589">
        <v>15430.441000000001</v>
      </c>
      <c r="J127" s="2600">
        <f t="shared" si="5"/>
        <v>1670.1613812800001</v>
      </c>
      <c r="K127" s="2601">
        <f t="shared" si="6"/>
        <v>2677948.2579760002</v>
      </c>
      <c r="S127" s="2551"/>
      <c r="T127" s="2551"/>
      <c r="U127" s="2551"/>
      <c r="V127" s="2551"/>
      <c r="W127" s="2551"/>
    </row>
    <row r="128" spans="1:23" ht="12.75" customHeight="1">
      <c r="A128" s="2534">
        <f t="shared" si="7"/>
        <v>2011.11</v>
      </c>
      <c r="B128" s="2594">
        <v>128.20718345</v>
      </c>
      <c r="C128" s="2594">
        <v>329471.21248699998</v>
      </c>
      <c r="D128" s="3674">
        <v>861.56322767999995</v>
      </c>
      <c r="E128" s="2594">
        <v>1656499.0354240001</v>
      </c>
      <c r="F128" s="2594">
        <v>328.72057885999999</v>
      </c>
      <c r="G128" s="2594">
        <v>147812.51838699999</v>
      </c>
      <c r="H128" s="3674">
        <v>7.1521957399999998</v>
      </c>
      <c r="I128" s="2589">
        <v>8600.4259999999995</v>
      </c>
      <c r="J128" s="2600">
        <f t="shared" si="5"/>
        <v>1325.6431857299999</v>
      </c>
      <c r="K128" s="2601">
        <f t="shared" si="6"/>
        <v>2142383.1922980002</v>
      </c>
      <c r="S128" s="2551"/>
      <c r="T128" s="2551"/>
      <c r="U128" s="2551"/>
      <c r="V128" s="2551"/>
      <c r="W128" s="2551"/>
    </row>
    <row r="129" spans="1:23" ht="12.75" customHeight="1">
      <c r="A129" s="2534">
        <f t="shared" si="7"/>
        <v>2011.12</v>
      </c>
      <c r="B129" s="2594">
        <v>78.585130269999993</v>
      </c>
      <c r="C129" s="2594">
        <v>254273.34596900002</v>
      </c>
      <c r="D129" s="3674">
        <v>790.36157194000009</v>
      </c>
      <c r="E129" s="2594">
        <v>1667456.5703090001</v>
      </c>
      <c r="F129" s="2594">
        <v>390.70400405999999</v>
      </c>
      <c r="G129" s="2594">
        <v>202659.549065</v>
      </c>
      <c r="H129" s="3674">
        <v>19.223231629999997</v>
      </c>
      <c r="I129" s="2589">
        <v>22968.628000000001</v>
      </c>
      <c r="J129" s="2600">
        <f t="shared" si="5"/>
        <v>1278.8739379000003</v>
      </c>
      <c r="K129" s="2601">
        <f t="shared" si="6"/>
        <v>2147358.0933429999</v>
      </c>
      <c r="S129" s="2551"/>
      <c r="T129" s="2551"/>
      <c r="U129" s="2551"/>
      <c r="V129" s="2551"/>
      <c r="W129" s="2551"/>
    </row>
    <row r="130" spans="1:23" ht="12.75" customHeight="1">
      <c r="A130" s="2534">
        <f t="shared" si="7"/>
        <v>2012.01</v>
      </c>
      <c r="B130" s="2594">
        <v>72.8087321</v>
      </c>
      <c r="C130" s="2594">
        <v>263998.47359800001</v>
      </c>
      <c r="D130" s="3674">
        <v>679.30071736000002</v>
      </c>
      <c r="E130" s="2594">
        <v>1319672.8036849999</v>
      </c>
      <c r="F130" s="2594">
        <v>333.79468364999997</v>
      </c>
      <c r="G130" s="2594">
        <v>158006.58681799998</v>
      </c>
      <c r="H130" s="3674">
        <v>6.71383565</v>
      </c>
      <c r="I130" s="2589">
        <v>7669.8140000000003</v>
      </c>
      <c r="J130" s="2600">
        <f t="shared" si="5"/>
        <v>1092.6179687599999</v>
      </c>
      <c r="K130" s="2601">
        <f t="shared" si="6"/>
        <v>1749347.6781009999</v>
      </c>
      <c r="S130" s="2551"/>
      <c r="T130" s="2551"/>
      <c r="U130" s="2551"/>
      <c r="V130" s="2551"/>
      <c r="W130" s="2551"/>
    </row>
    <row r="131" spans="1:23" ht="12.75" customHeight="1">
      <c r="A131" s="2534">
        <f t="shared" si="7"/>
        <v>2012.02</v>
      </c>
      <c r="B131" s="2594">
        <v>135.63711316999999</v>
      </c>
      <c r="C131" s="2594">
        <v>511066.99653800001</v>
      </c>
      <c r="D131" s="3674">
        <v>934.90769227999999</v>
      </c>
      <c r="E131" s="2594">
        <v>1775244.1609159999</v>
      </c>
      <c r="F131" s="2594">
        <v>297.84421130999999</v>
      </c>
      <c r="G131" s="2594">
        <v>170486.84844600002</v>
      </c>
      <c r="H131" s="3674">
        <v>15.286928640000001</v>
      </c>
      <c r="I131" s="2589">
        <v>15326.628000000001</v>
      </c>
      <c r="J131" s="2600">
        <f t="shared" si="5"/>
        <v>1383.6759454</v>
      </c>
      <c r="K131" s="2601">
        <f t="shared" si="6"/>
        <v>2472124.6338999998</v>
      </c>
      <c r="S131" s="2551"/>
      <c r="T131" s="2551"/>
      <c r="U131" s="2551"/>
      <c r="V131" s="2551"/>
      <c r="W131" s="2551"/>
    </row>
    <row r="132" spans="1:23" ht="12.75" customHeight="1">
      <c r="A132" s="2534">
        <f t="shared" si="7"/>
        <v>2012.03</v>
      </c>
      <c r="B132" s="2594">
        <v>139.52567021999999</v>
      </c>
      <c r="C132" s="2594">
        <v>472123.41625499999</v>
      </c>
      <c r="D132" s="3674">
        <v>780.22974779999993</v>
      </c>
      <c r="E132" s="2594">
        <v>1396833.7530789999</v>
      </c>
      <c r="F132" s="2594">
        <v>367.45353727999998</v>
      </c>
      <c r="G132" s="2594">
        <v>210792.028165</v>
      </c>
      <c r="H132" s="3674">
        <v>6.40565155</v>
      </c>
      <c r="I132" s="2589">
        <v>6684.7600199999997</v>
      </c>
      <c r="J132" s="2600">
        <f t="shared" si="5"/>
        <v>1293.61460685</v>
      </c>
      <c r="K132" s="2601">
        <f t="shared" si="6"/>
        <v>2086433.9575189999</v>
      </c>
      <c r="S132" s="2551"/>
      <c r="T132" s="2551"/>
      <c r="U132" s="2551"/>
      <c r="V132" s="2551"/>
      <c r="W132" s="2551"/>
    </row>
    <row r="133" spans="1:23" ht="12.75" customHeight="1">
      <c r="A133" s="2534">
        <f t="shared" si="7"/>
        <v>2012.04</v>
      </c>
      <c r="B133" s="2594">
        <v>208.38477761000001</v>
      </c>
      <c r="C133" s="2594">
        <v>656974.85488699994</v>
      </c>
      <c r="D133" s="3674">
        <v>927.49544522999997</v>
      </c>
      <c r="E133" s="2594">
        <v>1714428.8070980001</v>
      </c>
      <c r="F133" s="2594">
        <v>385.47576508999998</v>
      </c>
      <c r="G133" s="2594">
        <v>217563.70678199999</v>
      </c>
      <c r="H133" s="3674">
        <v>13.969743230000001</v>
      </c>
      <c r="I133" s="2589">
        <v>14204.825000000001</v>
      </c>
      <c r="J133" s="2600">
        <f t="shared" si="5"/>
        <v>1535.32573116</v>
      </c>
      <c r="K133" s="2601">
        <f t="shared" si="6"/>
        <v>2603172.1937670005</v>
      </c>
      <c r="S133" s="2551"/>
      <c r="T133" s="2551"/>
      <c r="U133" s="2551"/>
      <c r="V133" s="2551"/>
      <c r="W133" s="2551"/>
    </row>
    <row r="134" spans="1:23" ht="12.75" customHeight="1">
      <c r="A134" s="2534">
        <f t="shared" si="7"/>
        <v>2012.05</v>
      </c>
      <c r="B134" s="2594">
        <v>265.58501258000001</v>
      </c>
      <c r="C134" s="2594">
        <v>764204.99110800005</v>
      </c>
      <c r="D134" s="3674">
        <v>1284.0532820199999</v>
      </c>
      <c r="E134" s="2594">
        <v>2371913.3925000001</v>
      </c>
      <c r="F134" s="2594">
        <v>265.19547062999999</v>
      </c>
      <c r="G134" s="2594">
        <v>159399.747206</v>
      </c>
      <c r="H134" s="3674">
        <v>13.67763748</v>
      </c>
      <c r="I134" s="2589">
        <v>15104.833919999999</v>
      </c>
      <c r="J134" s="2600">
        <f t="shared" si="5"/>
        <v>1828.5114027099999</v>
      </c>
      <c r="K134" s="2601">
        <f t="shared" si="6"/>
        <v>3310622.9647340006</v>
      </c>
      <c r="S134" s="2551"/>
      <c r="T134" s="2551"/>
      <c r="U134" s="2551"/>
      <c r="V134" s="2551"/>
      <c r="W134" s="2551"/>
    </row>
    <row r="135" spans="1:23" ht="12.75" customHeight="1">
      <c r="A135" s="2534">
        <f t="shared" si="7"/>
        <v>2012.06</v>
      </c>
      <c r="B135" s="2594">
        <v>236.10266295</v>
      </c>
      <c r="C135" s="2594">
        <v>723761.81318099995</v>
      </c>
      <c r="D135" s="3674">
        <v>1126.2666000899999</v>
      </c>
      <c r="E135" s="2594">
        <v>1999282.027862</v>
      </c>
      <c r="F135" s="2594">
        <v>397.52469924000002</v>
      </c>
      <c r="G135" s="2594">
        <v>208912.579711</v>
      </c>
      <c r="H135" s="3674">
        <v>6.1193027000000004</v>
      </c>
      <c r="I135" s="2589">
        <v>8483.0689999999995</v>
      </c>
      <c r="J135" s="2600">
        <f t="shared" si="5"/>
        <v>1766.0132649799998</v>
      </c>
      <c r="K135" s="2601">
        <f t="shared" si="6"/>
        <v>2940439.4897540002</v>
      </c>
      <c r="S135" s="2551"/>
      <c r="T135" s="2551"/>
      <c r="U135" s="2551"/>
      <c r="V135" s="2551"/>
      <c r="W135" s="2551"/>
    </row>
    <row r="136" spans="1:23" ht="12.75" customHeight="1">
      <c r="A136" s="2534">
        <f t="shared" si="7"/>
        <v>2012.07</v>
      </c>
      <c r="B136" s="2594">
        <v>280.02386681999997</v>
      </c>
      <c r="C136" s="2594">
        <v>827926.45379200007</v>
      </c>
      <c r="D136" s="3674">
        <v>1183.76907772</v>
      </c>
      <c r="E136" s="2594">
        <v>2094741.7947769999</v>
      </c>
      <c r="F136" s="2594">
        <v>329.80824636</v>
      </c>
      <c r="G136" s="2594">
        <v>210658.77171500001</v>
      </c>
      <c r="H136" s="3674">
        <v>17.868884300000001</v>
      </c>
      <c r="I136" s="2589">
        <v>22998.451000000001</v>
      </c>
      <c r="J136" s="2600">
        <f t="shared" si="5"/>
        <v>1811.4700751999999</v>
      </c>
      <c r="K136" s="2601">
        <f t="shared" si="6"/>
        <v>3156325.4712839997</v>
      </c>
      <c r="S136" s="2551"/>
      <c r="T136" s="2551"/>
      <c r="U136" s="2551"/>
      <c r="V136" s="2551"/>
      <c r="W136" s="2551"/>
    </row>
    <row r="137" spans="1:23" ht="12.75" customHeight="1">
      <c r="A137" s="2534">
        <f t="shared" si="7"/>
        <v>2012.08</v>
      </c>
      <c r="B137" s="2594">
        <v>202.93801089999999</v>
      </c>
      <c r="C137" s="2594">
        <v>553581.15229799994</v>
      </c>
      <c r="D137" s="3674">
        <v>1273.2002696</v>
      </c>
      <c r="E137" s="2594">
        <v>2012138.4974859999</v>
      </c>
      <c r="F137" s="2594">
        <v>354.76685400000002</v>
      </c>
      <c r="G137" s="2594">
        <v>194282.73985499999</v>
      </c>
      <c r="H137" s="3674">
        <v>13.267606970000001</v>
      </c>
      <c r="I137" s="2589">
        <v>14398.5129</v>
      </c>
      <c r="J137" s="2600">
        <f t="shared" si="5"/>
        <v>1844.1727414699999</v>
      </c>
      <c r="K137" s="2601">
        <f t="shared" si="6"/>
        <v>2774400.9025389994</v>
      </c>
      <c r="S137" s="2551"/>
      <c r="T137" s="2551"/>
      <c r="U137" s="2551"/>
      <c r="V137" s="2551"/>
      <c r="W137" s="2551"/>
    </row>
    <row r="138" spans="1:23" ht="12.75" customHeight="1">
      <c r="A138" s="2534">
        <f t="shared" ref="A138:A169" si="8">A150-1</f>
        <v>2012.09</v>
      </c>
      <c r="B138" s="2594">
        <v>165.75257037</v>
      </c>
      <c r="C138" s="2594">
        <v>442033.69845999999</v>
      </c>
      <c r="D138" s="3674">
        <v>1085.9281028299999</v>
      </c>
      <c r="E138" s="2594">
        <v>1544750.088739</v>
      </c>
      <c r="F138" s="2594">
        <v>262.82404859000002</v>
      </c>
      <c r="G138" s="2594">
        <v>118328.310146</v>
      </c>
      <c r="H138" s="3674">
        <v>14.99419097</v>
      </c>
      <c r="I138" s="2589">
        <v>16108.8765</v>
      </c>
      <c r="J138" s="2600">
        <f t="shared" si="5"/>
        <v>1529.4989127600002</v>
      </c>
      <c r="K138" s="2601">
        <f t="shared" si="6"/>
        <v>2121220.9738449999</v>
      </c>
      <c r="S138" s="2551"/>
      <c r="T138" s="2551"/>
      <c r="U138" s="2551"/>
      <c r="V138" s="2551"/>
      <c r="W138" s="2551"/>
    </row>
    <row r="139" spans="1:23" ht="12.75" customHeight="1">
      <c r="A139" s="2534">
        <f t="shared" si="8"/>
        <v>2012.1</v>
      </c>
      <c r="B139" s="2594">
        <v>146.57164675999999</v>
      </c>
      <c r="C139" s="2594">
        <v>385779.28653500002</v>
      </c>
      <c r="D139" s="3674">
        <v>956.31627191999996</v>
      </c>
      <c r="E139" s="2594">
        <v>1383980.241749</v>
      </c>
      <c r="F139" s="2594">
        <v>247.49910671000001</v>
      </c>
      <c r="G139" s="2594">
        <v>122750.520779</v>
      </c>
      <c r="H139" s="3674">
        <v>12.18281331</v>
      </c>
      <c r="I139" s="2589">
        <v>13524.05992</v>
      </c>
      <c r="J139" s="2600">
        <f t="shared" ref="J139:J202" si="9">+SUM(B139,D139,F139,H139)</f>
        <v>1362.5698387</v>
      </c>
      <c r="K139" s="2601">
        <f t="shared" ref="K139:K202" si="10">+SUM(C139,E139,G139,I139)</f>
        <v>1906034.1089829998</v>
      </c>
      <c r="S139" s="2551"/>
      <c r="T139" s="2551"/>
      <c r="U139" s="2551"/>
      <c r="V139" s="2551"/>
      <c r="W139" s="2551"/>
    </row>
    <row r="140" spans="1:23" ht="12.75" customHeight="1">
      <c r="A140" s="2534">
        <f t="shared" si="8"/>
        <v>2012.11</v>
      </c>
      <c r="B140" s="2594">
        <v>115.38271474</v>
      </c>
      <c r="C140" s="2594">
        <v>383226.74257999996</v>
      </c>
      <c r="D140" s="3674">
        <v>945.81309737000004</v>
      </c>
      <c r="E140" s="2594">
        <v>1393032.051095</v>
      </c>
      <c r="F140" s="2594">
        <v>245.47888326</v>
      </c>
      <c r="G140" s="2594">
        <v>84398.625971000001</v>
      </c>
      <c r="H140" s="3674">
        <v>11.5414572</v>
      </c>
      <c r="I140" s="2589">
        <v>13155.297</v>
      </c>
      <c r="J140" s="2600">
        <f t="shared" si="9"/>
        <v>1318.2161525700001</v>
      </c>
      <c r="K140" s="2601">
        <f t="shared" si="10"/>
        <v>1873812.7166459998</v>
      </c>
      <c r="S140" s="2551"/>
      <c r="T140" s="2551"/>
      <c r="U140" s="2551"/>
      <c r="V140" s="2551"/>
      <c r="W140" s="2551"/>
    </row>
    <row r="141" spans="1:23" ht="12.75" customHeight="1">
      <c r="A141" s="2534">
        <f t="shared" si="8"/>
        <v>2012.12</v>
      </c>
      <c r="B141" s="2594">
        <v>104.41975754000001</v>
      </c>
      <c r="C141" s="2594">
        <v>343879.07302800001</v>
      </c>
      <c r="D141" s="3674">
        <v>747.0109956</v>
      </c>
      <c r="E141" s="2594">
        <v>1061919.9547059999</v>
      </c>
      <c r="F141" s="2594">
        <v>305.39952729999999</v>
      </c>
      <c r="G141" s="2594">
        <v>152107.12020400001</v>
      </c>
      <c r="H141" s="3674">
        <v>9.0203739000000009</v>
      </c>
      <c r="I141" s="2589">
        <v>10084.998</v>
      </c>
      <c r="J141" s="2600">
        <f t="shared" si="9"/>
        <v>1165.8506543400001</v>
      </c>
      <c r="K141" s="2601">
        <f t="shared" si="10"/>
        <v>1567991.1459379999</v>
      </c>
      <c r="S141" s="2551"/>
      <c r="T141" s="2551"/>
      <c r="U141" s="2551"/>
      <c r="V141" s="2551"/>
      <c r="W141" s="2551"/>
    </row>
    <row r="142" spans="1:23" ht="12.75" customHeight="1">
      <c r="A142" s="2534">
        <f t="shared" si="8"/>
        <v>2013.01</v>
      </c>
      <c r="B142" s="2594">
        <v>125.13649794</v>
      </c>
      <c r="C142" s="2594">
        <v>417096.71712599997</v>
      </c>
      <c r="D142" s="3674">
        <v>685.06390892999991</v>
      </c>
      <c r="E142" s="2594">
        <v>968101.28512699995</v>
      </c>
      <c r="F142" s="2594">
        <v>250.12133281999999</v>
      </c>
      <c r="G142" s="2594">
        <v>114177.858184</v>
      </c>
      <c r="H142" s="3674">
        <v>10.4440203</v>
      </c>
      <c r="I142" s="2589">
        <v>11805.724</v>
      </c>
      <c r="J142" s="2600">
        <f t="shared" si="9"/>
        <v>1070.7657599899999</v>
      </c>
      <c r="K142" s="2601">
        <f t="shared" si="10"/>
        <v>1511181.5844369999</v>
      </c>
      <c r="S142" s="2551"/>
      <c r="T142" s="2551"/>
      <c r="U142" s="2551"/>
      <c r="V142" s="2551"/>
      <c r="W142" s="2551"/>
    </row>
    <row r="143" spans="1:23" ht="12.75" customHeight="1">
      <c r="A143" s="2534">
        <f t="shared" si="8"/>
        <v>2013.02</v>
      </c>
      <c r="B143" s="2594">
        <v>100.1316178</v>
      </c>
      <c r="C143" s="2594">
        <v>296011.17895500001</v>
      </c>
      <c r="D143" s="3674">
        <v>710.56360119999999</v>
      </c>
      <c r="E143" s="2594">
        <v>1030622.23436</v>
      </c>
      <c r="F143" s="2594">
        <v>174.54783674999999</v>
      </c>
      <c r="G143" s="2594">
        <v>92671.616813000001</v>
      </c>
      <c r="H143" s="3674">
        <v>8.1311629100000005</v>
      </c>
      <c r="I143" s="2589">
        <v>8274.1790000000001</v>
      </c>
      <c r="J143" s="2600">
        <f t="shared" si="9"/>
        <v>993.37421866</v>
      </c>
      <c r="K143" s="2601">
        <f t="shared" si="10"/>
        <v>1427579.2091280001</v>
      </c>
      <c r="S143" s="2551"/>
      <c r="T143" s="2551"/>
      <c r="U143" s="2551"/>
      <c r="V143" s="2551"/>
      <c r="W143" s="2551"/>
    </row>
    <row r="144" spans="1:23" ht="12.75" customHeight="1">
      <c r="A144" s="2534">
        <f t="shared" si="8"/>
        <v>2013.03</v>
      </c>
      <c r="B144" s="2594">
        <v>188.99847912000001</v>
      </c>
      <c r="C144" s="2594">
        <v>578611.67414999998</v>
      </c>
      <c r="D144" s="3674">
        <v>535.81543299999998</v>
      </c>
      <c r="E144" s="2594">
        <v>829349.73454900004</v>
      </c>
      <c r="F144" s="2594">
        <v>204.8680545</v>
      </c>
      <c r="G144" s="2594">
        <v>115592.94576800001</v>
      </c>
      <c r="H144" s="3674">
        <v>8.5709532199999998</v>
      </c>
      <c r="I144" s="2589">
        <v>8982.1376</v>
      </c>
      <c r="J144" s="2600">
        <f t="shared" si="9"/>
        <v>938.25291983999989</v>
      </c>
      <c r="K144" s="2601">
        <f t="shared" si="10"/>
        <v>1532536.4920670001</v>
      </c>
      <c r="S144" s="2551"/>
      <c r="T144" s="2551"/>
      <c r="U144" s="2551"/>
      <c r="V144" s="2551"/>
      <c r="W144" s="2551"/>
    </row>
    <row r="145" spans="1:23" ht="12.75" customHeight="1">
      <c r="A145" s="2534">
        <f t="shared" si="8"/>
        <v>2013.04</v>
      </c>
      <c r="B145" s="2594">
        <v>313.37212725000001</v>
      </c>
      <c r="C145" s="2594">
        <v>865820.36727100005</v>
      </c>
      <c r="D145" s="3674">
        <v>1087.8012070899999</v>
      </c>
      <c r="E145" s="2594">
        <v>1908382.9981630002</v>
      </c>
      <c r="F145" s="2594">
        <v>227.41742177</v>
      </c>
      <c r="G145" s="2594">
        <v>122050.905849</v>
      </c>
      <c r="H145" s="3674">
        <v>7.3596549000000007</v>
      </c>
      <c r="I145" s="2589">
        <v>8981.2352699999992</v>
      </c>
      <c r="J145" s="2600">
        <f t="shared" si="9"/>
        <v>1635.9504110099997</v>
      </c>
      <c r="K145" s="2601">
        <f t="shared" si="10"/>
        <v>2905235.5065530003</v>
      </c>
      <c r="S145" s="2551"/>
      <c r="T145" s="2551"/>
      <c r="U145" s="2551"/>
      <c r="V145" s="2551"/>
      <c r="W145" s="2551"/>
    </row>
    <row r="146" spans="1:23" ht="12.75" customHeight="1">
      <c r="A146" s="2534">
        <f t="shared" si="8"/>
        <v>2013.05</v>
      </c>
      <c r="B146" s="2594">
        <v>362.91179911</v>
      </c>
      <c r="C146" s="2594">
        <v>973506.88843200007</v>
      </c>
      <c r="D146" s="3674">
        <v>1355.78099778</v>
      </c>
      <c r="E146" s="2594">
        <v>2316115.0649060002</v>
      </c>
      <c r="F146" s="2594">
        <v>214.81177884000002</v>
      </c>
      <c r="G146" s="2594">
        <v>70343.240635000009</v>
      </c>
      <c r="H146" s="3674">
        <v>5.5939232499999996</v>
      </c>
      <c r="I146" s="2589">
        <v>6353.89</v>
      </c>
      <c r="J146" s="2600">
        <f t="shared" si="9"/>
        <v>1939.0984989799999</v>
      </c>
      <c r="K146" s="2601">
        <f t="shared" si="10"/>
        <v>3366319.0839730003</v>
      </c>
      <c r="S146" s="2551"/>
      <c r="T146" s="2551"/>
      <c r="U146" s="2551"/>
      <c r="V146" s="2551"/>
      <c r="W146" s="2551"/>
    </row>
    <row r="147" spans="1:23" ht="12.75" customHeight="1">
      <c r="A147" s="2534">
        <f t="shared" si="8"/>
        <v>2013.06</v>
      </c>
      <c r="B147" s="2594">
        <v>294.47715355999998</v>
      </c>
      <c r="C147" s="2594">
        <v>873197.54060499999</v>
      </c>
      <c r="D147" s="3674">
        <v>1168.25053615</v>
      </c>
      <c r="E147" s="2594">
        <v>1981761.7164070001</v>
      </c>
      <c r="F147" s="2594">
        <v>263.95239054000001</v>
      </c>
      <c r="G147" s="2594">
        <v>106138.94728399999</v>
      </c>
      <c r="H147" s="3674">
        <v>7.8950466500000003</v>
      </c>
      <c r="I147" s="2589">
        <v>9094.5630000000001</v>
      </c>
      <c r="J147" s="2600">
        <f t="shared" si="9"/>
        <v>1734.5751269000002</v>
      </c>
      <c r="K147" s="2601">
        <f t="shared" si="10"/>
        <v>2970192.7672960004</v>
      </c>
      <c r="S147" s="2551"/>
      <c r="T147" s="2551"/>
      <c r="U147" s="2551"/>
      <c r="V147" s="2551"/>
      <c r="W147" s="2551"/>
    </row>
    <row r="148" spans="1:23" ht="12.75" customHeight="1">
      <c r="A148" s="2534">
        <f t="shared" si="8"/>
        <v>2013.07</v>
      </c>
      <c r="B148" s="2594">
        <v>273.80990737999997</v>
      </c>
      <c r="C148" s="2594">
        <v>818819.76158699999</v>
      </c>
      <c r="D148" s="3674">
        <v>1232.6887452200001</v>
      </c>
      <c r="E148" s="2594">
        <v>2097450.1760780001</v>
      </c>
      <c r="F148" s="2594">
        <v>212.88041394999999</v>
      </c>
      <c r="G148" s="2594">
        <v>110180.42089200001</v>
      </c>
      <c r="H148" s="3674">
        <v>7.1621439000000002</v>
      </c>
      <c r="I148" s="2589">
        <v>7929.4927600000001</v>
      </c>
      <c r="J148" s="2600">
        <f t="shared" si="9"/>
        <v>1726.5412104500001</v>
      </c>
      <c r="K148" s="2601">
        <f t="shared" si="10"/>
        <v>3034379.8513170001</v>
      </c>
      <c r="S148" s="2551"/>
      <c r="T148" s="2551"/>
      <c r="U148" s="2551"/>
      <c r="V148" s="2551"/>
      <c r="W148" s="2551"/>
    </row>
    <row r="149" spans="1:23" ht="12.75" customHeight="1">
      <c r="A149" s="2534">
        <f t="shared" si="8"/>
        <v>2013.08</v>
      </c>
      <c r="B149" s="2594">
        <v>266.2561829</v>
      </c>
      <c r="C149" s="2594">
        <v>638762.94202299998</v>
      </c>
      <c r="D149" s="3674">
        <v>1348.55170561</v>
      </c>
      <c r="E149" s="2594">
        <v>2343057.6830489999</v>
      </c>
      <c r="F149" s="2594">
        <v>294.73460814999999</v>
      </c>
      <c r="G149" s="2594">
        <v>210379.28034</v>
      </c>
      <c r="H149" s="3674">
        <v>3.52898537</v>
      </c>
      <c r="I149" s="2589">
        <v>3597.65</v>
      </c>
      <c r="J149" s="2600">
        <f t="shared" si="9"/>
        <v>1913.07148203</v>
      </c>
      <c r="K149" s="2601">
        <f t="shared" si="10"/>
        <v>3195797.5554119996</v>
      </c>
      <c r="S149" s="2551"/>
      <c r="T149" s="2551"/>
      <c r="U149" s="2551"/>
      <c r="V149" s="2551"/>
      <c r="W149" s="2551"/>
    </row>
    <row r="150" spans="1:23" ht="12.75" customHeight="1">
      <c r="A150" s="2534">
        <f t="shared" si="8"/>
        <v>2013.09</v>
      </c>
      <c r="B150" s="2594">
        <v>172.37110303</v>
      </c>
      <c r="C150" s="2594">
        <v>402726.68508999998</v>
      </c>
      <c r="D150" s="3674">
        <v>1037.9836328900001</v>
      </c>
      <c r="E150" s="2594">
        <v>1692368.72</v>
      </c>
      <c r="F150" s="2594">
        <v>263.56087309000003</v>
      </c>
      <c r="G150" s="2594">
        <v>161609.65627000001</v>
      </c>
      <c r="H150" s="3674">
        <v>1.3873853700000001</v>
      </c>
      <c r="I150" s="2589">
        <v>1363.0901299999998</v>
      </c>
      <c r="J150" s="2600">
        <f t="shared" si="9"/>
        <v>1475.3029943800002</v>
      </c>
      <c r="K150" s="2601">
        <f t="shared" si="10"/>
        <v>2258068.1514900001</v>
      </c>
      <c r="S150" s="2551"/>
      <c r="T150" s="2551"/>
      <c r="U150" s="2551"/>
      <c r="V150" s="2551"/>
      <c r="W150" s="2551"/>
    </row>
    <row r="151" spans="1:23" ht="12.75" customHeight="1">
      <c r="A151" s="2534">
        <f t="shared" si="8"/>
        <v>2013.1</v>
      </c>
      <c r="B151" s="2594">
        <v>89.243593269999991</v>
      </c>
      <c r="C151" s="2594">
        <v>179080.645433</v>
      </c>
      <c r="D151" s="3674">
        <v>789.63532762</v>
      </c>
      <c r="E151" s="2594">
        <v>1218305.9922499999</v>
      </c>
      <c r="F151" s="2594">
        <v>334.41884396</v>
      </c>
      <c r="G151" s="2594">
        <v>203893.98847799998</v>
      </c>
      <c r="H151" s="3674">
        <v>6.2672102599999997</v>
      </c>
      <c r="I151" s="2589">
        <v>6652.1484500000006</v>
      </c>
      <c r="J151" s="2600">
        <f t="shared" si="9"/>
        <v>1219.56497511</v>
      </c>
      <c r="K151" s="2601">
        <f t="shared" si="10"/>
        <v>1607932.774611</v>
      </c>
      <c r="S151" s="2551"/>
      <c r="T151" s="2551"/>
      <c r="U151" s="2551"/>
      <c r="V151" s="2551"/>
      <c r="W151" s="2551"/>
    </row>
    <row r="152" spans="1:23" ht="12.75" customHeight="1">
      <c r="A152" s="2534">
        <f t="shared" si="8"/>
        <v>2013.11</v>
      </c>
      <c r="B152" s="2594">
        <v>26.040814640000001</v>
      </c>
      <c r="C152" s="2594">
        <v>63073.619847000002</v>
      </c>
      <c r="D152" s="3674">
        <v>711.54492774000005</v>
      </c>
      <c r="E152" s="2594">
        <v>1065492.6715240001</v>
      </c>
      <c r="F152" s="2594">
        <v>315.18690430999999</v>
      </c>
      <c r="G152" s="2594">
        <v>200554.864623</v>
      </c>
      <c r="H152" s="3674">
        <v>7.3729480800000005</v>
      </c>
      <c r="I152" s="2589">
        <v>8139.5558000000001</v>
      </c>
      <c r="J152" s="2600">
        <f t="shared" si="9"/>
        <v>1060.1455947700001</v>
      </c>
      <c r="K152" s="2601">
        <f t="shared" si="10"/>
        <v>1337260.7117940001</v>
      </c>
      <c r="S152" s="2551"/>
      <c r="T152" s="2551"/>
      <c r="U152" s="2551"/>
      <c r="V152" s="2551"/>
      <c r="W152" s="2551"/>
    </row>
    <row r="153" spans="1:23" ht="12.75" customHeight="1">
      <c r="A153" s="2534">
        <f t="shared" si="8"/>
        <v>2013.12</v>
      </c>
      <c r="B153" s="2594">
        <v>34.997174340000001</v>
      </c>
      <c r="C153" s="2594">
        <v>90163.794934000005</v>
      </c>
      <c r="D153" s="3674">
        <v>853.35223222000002</v>
      </c>
      <c r="E153" s="2594">
        <v>1273726.4361989999</v>
      </c>
      <c r="F153" s="2594">
        <v>192.04162997</v>
      </c>
      <c r="G153" s="2594">
        <v>82816.748909999995</v>
      </c>
      <c r="H153" s="3674">
        <v>7.6201729599999997</v>
      </c>
      <c r="I153" s="2589">
        <v>8430.2961199999991</v>
      </c>
      <c r="J153" s="2600">
        <f t="shared" si="9"/>
        <v>1088.0112094900001</v>
      </c>
      <c r="K153" s="2601">
        <f t="shared" si="10"/>
        <v>1455137.2761630001</v>
      </c>
      <c r="S153" s="2551"/>
      <c r="T153" s="2551"/>
      <c r="U153" s="2551"/>
      <c r="V153" s="2551"/>
      <c r="W153" s="2551"/>
    </row>
    <row r="154" spans="1:23" ht="12.75" customHeight="1">
      <c r="A154" s="2534">
        <f t="shared" si="8"/>
        <v>2014.01</v>
      </c>
      <c r="B154" s="2594">
        <v>24.216373749999999</v>
      </c>
      <c r="C154" s="2594">
        <v>66567.37556</v>
      </c>
      <c r="D154" s="3674">
        <v>658.33774634999997</v>
      </c>
      <c r="E154" s="2594">
        <v>1004955.5337949999</v>
      </c>
      <c r="F154" s="2594">
        <v>122.5361685</v>
      </c>
      <c r="G154" s="2594">
        <v>54884.69414</v>
      </c>
      <c r="H154" s="3674">
        <v>9.7194422700000001</v>
      </c>
      <c r="I154" s="2589">
        <v>10660.127</v>
      </c>
      <c r="J154" s="2600">
        <f t="shared" si="9"/>
        <v>814.80973086999995</v>
      </c>
      <c r="K154" s="2601">
        <f t="shared" si="10"/>
        <v>1137067.730495</v>
      </c>
      <c r="S154" s="2551"/>
      <c r="T154" s="2551"/>
      <c r="U154" s="2551"/>
      <c r="V154" s="2551"/>
      <c r="W154" s="2551"/>
    </row>
    <row r="155" spans="1:23" ht="12.75" customHeight="1">
      <c r="A155" s="2534">
        <f t="shared" si="8"/>
        <v>2014.02</v>
      </c>
      <c r="B155" s="2594">
        <v>37.361725499999999</v>
      </c>
      <c r="C155" s="2594">
        <v>90631.064171000005</v>
      </c>
      <c r="D155" s="3674">
        <v>679.76704315999996</v>
      </c>
      <c r="E155" s="2594">
        <v>1020494.488595</v>
      </c>
      <c r="F155" s="2594">
        <v>153.96577335000001</v>
      </c>
      <c r="G155" s="2594">
        <v>97755.985805999997</v>
      </c>
      <c r="H155" s="3674">
        <v>4.11515086</v>
      </c>
      <c r="I155" s="2589">
        <v>4277.4279100000003</v>
      </c>
      <c r="J155" s="2600">
        <f t="shared" si="9"/>
        <v>875.20969286999991</v>
      </c>
      <c r="K155" s="2601">
        <f t="shared" si="10"/>
        <v>1213158.966482</v>
      </c>
      <c r="S155" s="2551"/>
      <c r="T155" s="2551"/>
      <c r="U155" s="2551"/>
      <c r="V155" s="2551"/>
      <c r="W155" s="2551"/>
    </row>
    <row r="156" spans="1:23" ht="12.75" customHeight="1">
      <c r="A156" s="2534">
        <f t="shared" si="8"/>
        <v>2014.03</v>
      </c>
      <c r="B156" s="2594">
        <v>51.051300420000004</v>
      </c>
      <c r="C156" s="2594">
        <v>132757.38493899998</v>
      </c>
      <c r="D156" s="3674">
        <v>605.72049705999996</v>
      </c>
      <c r="E156" s="2594">
        <v>868335.74684300006</v>
      </c>
      <c r="F156" s="2594">
        <v>214.17993297000001</v>
      </c>
      <c r="G156" s="2594">
        <v>128503.73977</v>
      </c>
      <c r="H156" s="3674">
        <v>6.1594092400000005</v>
      </c>
      <c r="I156" s="2589">
        <v>6507.451</v>
      </c>
      <c r="J156" s="2600">
        <f t="shared" si="9"/>
        <v>877.11113968999985</v>
      </c>
      <c r="K156" s="2601">
        <f t="shared" si="10"/>
        <v>1136104.3225519999</v>
      </c>
      <c r="S156" s="2551"/>
      <c r="T156" s="2551"/>
      <c r="U156" s="2551"/>
      <c r="V156" s="2551"/>
      <c r="W156" s="2551"/>
    </row>
    <row r="157" spans="1:23" ht="12.75" customHeight="1">
      <c r="A157" s="2534">
        <f t="shared" si="8"/>
        <v>2014.04</v>
      </c>
      <c r="B157" s="2594">
        <v>191.40759747999999</v>
      </c>
      <c r="C157" s="2594">
        <v>489468.32226499997</v>
      </c>
      <c r="D157" s="3674">
        <v>1540.88338058</v>
      </c>
      <c r="E157" s="2594">
        <v>2602448.02917</v>
      </c>
      <c r="F157" s="2594">
        <v>178.73440628999998</v>
      </c>
      <c r="G157" s="2594">
        <v>92908.430720000004</v>
      </c>
      <c r="H157" s="3674">
        <v>8.01061011</v>
      </c>
      <c r="I157" s="2589">
        <v>8260.73</v>
      </c>
      <c r="J157" s="2600">
        <f t="shared" si="9"/>
        <v>1919.03599446</v>
      </c>
      <c r="K157" s="2601">
        <f t="shared" si="10"/>
        <v>3193085.5121550001</v>
      </c>
      <c r="S157" s="2551"/>
      <c r="T157" s="2551"/>
      <c r="U157" s="2551"/>
      <c r="V157" s="2551"/>
      <c r="W157" s="2551"/>
    </row>
    <row r="158" spans="1:23" ht="12.75" customHeight="1">
      <c r="A158" s="2534">
        <f t="shared" si="8"/>
        <v>2014.05</v>
      </c>
      <c r="B158" s="2594">
        <v>212.7354158</v>
      </c>
      <c r="C158" s="2594">
        <v>502798.668611</v>
      </c>
      <c r="D158" s="3674">
        <v>1471.9769044000002</v>
      </c>
      <c r="E158" s="2594">
        <v>2383451.7924270001</v>
      </c>
      <c r="F158" s="2594">
        <v>243.77528980000002</v>
      </c>
      <c r="G158" s="2594">
        <v>145070.97828600003</v>
      </c>
      <c r="H158" s="3674">
        <v>4.2917552599999995</v>
      </c>
      <c r="I158" s="2589">
        <v>4381.9560000000001</v>
      </c>
      <c r="J158" s="2600">
        <f t="shared" si="9"/>
        <v>1932.7793652600003</v>
      </c>
      <c r="K158" s="2601">
        <f t="shared" si="10"/>
        <v>3035703.3953239997</v>
      </c>
      <c r="S158" s="2551"/>
      <c r="T158" s="2551"/>
      <c r="U158" s="2551"/>
      <c r="V158" s="2551"/>
      <c r="W158" s="2551"/>
    </row>
    <row r="159" spans="1:23" ht="12.75" customHeight="1">
      <c r="A159" s="2534">
        <f t="shared" si="8"/>
        <v>2014.06</v>
      </c>
      <c r="B159" s="2594">
        <v>222.79636959000001</v>
      </c>
      <c r="C159" s="2594">
        <v>546983.22716400004</v>
      </c>
      <c r="D159" s="3674">
        <v>1481.17958645</v>
      </c>
      <c r="E159" s="2594">
        <v>2465261.5808649999</v>
      </c>
      <c r="F159" s="2594">
        <v>219.42565298</v>
      </c>
      <c r="G159" s="2594">
        <v>159063.491901</v>
      </c>
      <c r="H159" s="3674">
        <v>7.37698871</v>
      </c>
      <c r="I159" s="2589">
        <v>7682.5566799999997</v>
      </c>
      <c r="J159" s="2600">
        <f t="shared" si="9"/>
        <v>1930.77859773</v>
      </c>
      <c r="K159" s="2601">
        <f t="shared" si="10"/>
        <v>3178990.8566099997</v>
      </c>
      <c r="S159" s="2551"/>
      <c r="T159" s="2551"/>
      <c r="U159" s="2551"/>
      <c r="V159" s="2551"/>
      <c r="W159" s="2551"/>
    </row>
    <row r="160" spans="1:23" ht="12.75" customHeight="1">
      <c r="A160" s="2534">
        <f t="shared" si="8"/>
        <v>2014.07</v>
      </c>
      <c r="B160" s="2594">
        <v>209.92813334000002</v>
      </c>
      <c r="C160" s="2594">
        <v>601802.40023699997</v>
      </c>
      <c r="D160" s="3674">
        <v>1157.61950243</v>
      </c>
      <c r="E160" s="2594">
        <v>2039963.582498</v>
      </c>
      <c r="F160" s="2594">
        <v>266.50152764000001</v>
      </c>
      <c r="G160" s="2594">
        <v>204411.206878</v>
      </c>
      <c r="H160" s="3674">
        <v>3.1504753999999999</v>
      </c>
      <c r="I160" s="2589">
        <v>3176.0810799999999</v>
      </c>
      <c r="J160" s="2600">
        <f t="shared" si="9"/>
        <v>1637.1996388099999</v>
      </c>
      <c r="K160" s="2601">
        <f t="shared" si="10"/>
        <v>2849353.2706929999</v>
      </c>
      <c r="S160" s="2551"/>
      <c r="T160" s="2551"/>
      <c r="U160" s="2551"/>
      <c r="V160" s="2551"/>
      <c r="W160" s="2551"/>
    </row>
    <row r="161" spans="1:23" ht="12.75" customHeight="1">
      <c r="A161" s="2534">
        <f t="shared" si="8"/>
        <v>2014.08</v>
      </c>
      <c r="B161" s="2594">
        <v>175.25846662999999</v>
      </c>
      <c r="C161" s="2594">
        <v>509394.299711</v>
      </c>
      <c r="D161" s="3674">
        <v>1156.6055899</v>
      </c>
      <c r="E161" s="2594">
        <v>2093571.01563</v>
      </c>
      <c r="F161" s="2594">
        <v>284.62940479000002</v>
      </c>
      <c r="G161" s="2594">
        <v>218074.55415000001</v>
      </c>
      <c r="H161" s="3674">
        <v>6.9872551700000001</v>
      </c>
      <c r="I161" s="2589">
        <v>7385.4830000000002</v>
      </c>
      <c r="J161" s="2600">
        <f t="shared" si="9"/>
        <v>1623.4807164900001</v>
      </c>
      <c r="K161" s="2601">
        <f t="shared" si="10"/>
        <v>2828425.3524910002</v>
      </c>
      <c r="S161" s="2551"/>
      <c r="T161" s="2551"/>
      <c r="U161" s="2551"/>
      <c r="V161" s="2551"/>
      <c r="W161" s="2551"/>
    </row>
    <row r="162" spans="1:23" ht="12.75" customHeight="1">
      <c r="A162" s="2534">
        <f t="shared" si="8"/>
        <v>2014.09</v>
      </c>
      <c r="B162" s="2594">
        <v>83.427154999999999</v>
      </c>
      <c r="C162" s="2594">
        <v>273889.692331</v>
      </c>
      <c r="D162" s="3674">
        <v>830.36820049000005</v>
      </c>
      <c r="E162" s="2594">
        <v>1497665.3641860001</v>
      </c>
      <c r="F162" s="2594">
        <v>268.88728227999997</v>
      </c>
      <c r="G162" s="2594">
        <v>220323.85767500001</v>
      </c>
      <c r="H162" s="3674">
        <v>3.0675000699999999</v>
      </c>
      <c r="I162" s="2589">
        <v>3250.2049999999999</v>
      </c>
      <c r="J162" s="2600">
        <f t="shared" si="9"/>
        <v>1185.75013784</v>
      </c>
      <c r="K162" s="2601">
        <f t="shared" si="10"/>
        <v>1995129.1191920002</v>
      </c>
      <c r="S162" s="2551"/>
      <c r="T162" s="2551"/>
      <c r="U162" s="2551"/>
      <c r="V162" s="2551"/>
      <c r="W162" s="2551"/>
    </row>
    <row r="163" spans="1:23" ht="12.75" customHeight="1">
      <c r="A163" s="2534">
        <f t="shared" si="8"/>
        <v>2014.1</v>
      </c>
      <c r="B163" s="2594">
        <v>69.183587620000011</v>
      </c>
      <c r="C163" s="2594">
        <v>274062.23267200001</v>
      </c>
      <c r="D163" s="3674">
        <v>867.35451148000004</v>
      </c>
      <c r="E163" s="2594">
        <v>1638003.1942190002</v>
      </c>
      <c r="F163" s="2594">
        <v>296.08264944000001</v>
      </c>
      <c r="G163" s="2594">
        <v>223765.45009900001</v>
      </c>
      <c r="H163" s="3674">
        <v>2.70199101</v>
      </c>
      <c r="I163" s="2589">
        <v>2806.0819999999999</v>
      </c>
      <c r="J163" s="2600">
        <f t="shared" si="9"/>
        <v>1235.3227395500001</v>
      </c>
      <c r="K163" s="2601">
        <f t="shared" si="10"/>
        <v>2138636.9589900002</v>
      </c>
      <c r="S163" s="2551"/>
      <c r="T163" s="2551"/>
      <c r="U163" s="2551"/>
      <c r="V163" s="2551"/>
      <c r="W163" s="2551"/>
    </row>
    <row r="164" spans="1:23" ht="12.75" customHeight="1">
      <c r="A164" s="2534">
        <f t="shared" si="8"/>
        <v>2014.11</v>
      </c>
      <c r="B164" s="2594">
        <v>36.607271840000003</v>
      </c>
      <c r="C164" s="2594">
        <v>154389.218811</v>
      </c>
      <c r="D164" s="3674">
        <v>841.5919466900001</v>
      </c>
      <c r="E164" s="2594">
        <v>1673336.3538949999</v>
      </c>
      <c r="F164" s="2594">
        <v>206.77153255000002</v>
      </c>
      <c r="G164" s="2594">
        <v>130518.080789</v>
      </c>
      <c r="H164" s="3674">
        <v>3.3318355499999996</v>
      </c>
      <c r="I164" s="2589">
        <v>3593.58284</v>
      </c>
      <c r="J164" s="2600">
        <f t="shared" si="9"/>
        <v>1088.3025866300002</v>
      </c>
      <c r="K164" s="2601">
        <f t="shared" si="10"/>
        <v>1961837.236335</v>
      </c>
      <c r="S164" s="2551"/>
      <c r="T164" s="2551"/>
      <c r="U164" s="2551"/>
      <c r="V164" s="2551"/>
      <c r="W164" s="2551"/>
    </row>
    <row r="165" spans="1:23" ht="12.75" customHeight="1">
      <c r="A165" s="2534">
        <f t="shared" si="8"/>
        <v>2014.12</v>
      </c>
      <c r="B165" s="2594">
        <v>41.153975590000002</v>
      </c>
      <c r="C165" s="2594">
        <v>161707.50752799999</v>
      </c>
      <c r="D165" s="3674">
        <v>716.71514258000002</v>
      </c>
      <c r="E165" s="2594">
        <v>1295048.1902420002</v>
      </c>
      <c r="F165" s="2594">
        <v>197.03617561999999</v>
      </c>
      <c r="G165" s="2594">
        <v>129185.98613999999</v>
      </c>
      <c r="H165" s="3674">
        <v>7.0907081700000001</v>
      </c>
      <c r="I165" s="2589">
        <v>12859.07135</v>
      </c>
      <c r="J165" s="2600">
        <f t="shared" si="9"/>
        <v>961.99600195999994</v>
      </c>
      <c r="K165" s="2601">
        <f t="shared" si="10"/>
        <v>1598800.7552600002</v>
      </c>
      <c r="S165" s="2551"/>
      <c r="T165" s="2551"/>
      <c r="U165" s="2551"/>
      <c r="V165" s="2551"/>
      <c r="W165" s="2551"/>
    </row>
    <row r="166" spans="1:23" ht="12.75" customHeight="1">
      <c r="A166" s="2534">
        <f t="shared" si="8"/>
        <v>2015.01</v>
      </c>
      <c r="B166" s="2594">
        <v>62.319225530000004</v>
      </c>
      <c r="C166" s="2594">
        <v>261047.45711199997</v>
      </c>
      <c r="D166" s="3674">
        <v>664.69040342999995</v>
      </c>
      <c r="E166" s="2594">
        <v>1232157.006629</v>
      </c>
      <c r="F166" s="2594">
        <v>75.778029319999987</v>
      </c>
      <c r="G166" s="2594">
        <v>55810.048109999996</v>
      </c>
      <c r="H166" s="3674">
        <v>1.9777014099999999</v>
      </c>
      <c r="I166" s="2589">
        <v>3290.8159999999998</v>
      </c>
      <c r="J166" s="2600">
        <f t="shared" si="9"/>
        <v>804.76535968999997</v>
      </c>
      <c r="K166" s="2601">
        <f t="shared" si="10"/>
        <v>1552305.327851</v>
      </c>
      <c r="S166" s="2551"/>
      <c r="T166" s="2551"/>
      <c r="U166" s="2551"/>
      <c r="V166" s="2551"/>
      <c r="W166" s="2551"/>
    </row>
    <row r="167" spans="1:23" ht="12.75" customHeight="1">
      <c r="A167" s="2534">
        <f t="shared" si="8"/>
        <v>2015.02</v>
      </c>
      <c r="B167" s="2594">
        <v>59.308043619999999</v>
      </c>
      <c r="C167" s="2594">
        <v>217381.97852500001</v>
      </c>
      <c r="D167" s="3674">
        <v>716.32715345000008</v>
      </c>
      <c r="E167" s="2594">
        <v>1486133.7943570002</v>
      </c>
      <c r="F167" s="2594">
        <v>100.60659792</v>
      </c>
      <c r="G167" s="2594">
        <v>70914.843001000001</v>
      </c>
      <c r="H167" s="3674">
        <v>5.4162719000000008</v>
      </c>
      <c r="I167" s="2589">
        <v>11558.558000000001</v>
      </c>
      <c r="J167" s="2600">
        <f t="shared" si="9"/>
        <v>881.6580668900001</v>
      </c>
      <c r="K167" s="2601">
        <f t="shared" si="10"/>
        <v>1785989.1738830002</v>
      </c>
      <c r="S167" s="2551"/>
      <c r="T167" s="2551"/>
      <c r="U167" s="2551"/>
      <c r="V167" s="2551"/>
      <c r="W167" s="2551"/>
    </row>
    <row r="168" spans="1:23" ht="12.75" customHeight="1">
      <c r="A168" s="2534">
        <f t="shared" si="8"/>
        <v>2015.03</v>
      </c>
      <c r="B168" s="2594">
        <v>81.570703870000003</v>
      </c>
      <c r="C168" s="2594">
        <v>362948.10192699998</v>
      </c>
      <c r="D168" s="3674">
        <v>685.86651400999995</v>
      </c>
      <c r="E168" s="2594">
        <v>1383939.481686</v>
      </c>
      <c r="F168" s="2594">
        <v>133.78878075</v>
      </c>
      <c r="G168" s="2594">
        <v>51994.070251000005</v>
      </c>
      <c r="H168" s="3674">
        <v>6.1003219900000003</v>
      </c>
      <c r="I168" s="2589">
        <v>11328.647000000001</v>
      </c>
      <c r="J168" s="2600">
        <f t="shared" si="9"/>
        <v>907.32632061999993</v>
      </c>
      <c r="K168" s="2601">
        <f t="shared" si="10"/>
        <v>1810210.3008640001</v>
      </c>
      <c r="S168" s="2551"/>
      <c r="T168" s="2551"/>
      <c r="U168" s="2551"/>
      <c r="V168" s="2551"/>
      <c r="W168" s="2551"/>
    </row>
    <row r="169" spans="1:23" ht="12.75" customHeight="1">
      <c r="A169" s="2534">
        <f t="shared" si="8"/>
        <v>2015.04</v>
      </c>
      <c r="B169" s="2594">
        <v>184.50991543999999</v>
      </c>
      <c r="C169" s="2594">
        <v>689011.24693899998</v>
      </c>
      <c r="D169" s="3674">
        <v>976.82848095000008</v>
      </c>
      <c r="E169" s="2594">
        <v>2188612.3268949999</v>
      </c>
      <c r="F169" s="2594">
        <v>96.623235349999987</v>
      </c>
      <c r="G169" s="2594">
        <v>46645.860222000003</v>
      </c>
      <c r="H169" s="3674">
        <v>6.5906247100000002</v>
      </c>
      <c r="I169" s="2589">
        <v>12419.947330000001</v>
      </c>
      <c r="J169" s="2600">
        <f t="shared" si="9"/>
        <v>1264.55225645</v>
      </c>
      <c r="K169" s="2601">
        <f t="shared" si="10"/>
        <v>2936689.3813860002</v>
      </c>
      <c r="S169" s="2551"/>
      <c r="T169" s="2551"/>
      <c r="U169" s="2551"/>
      <c r="V169" s="2551"/>
      <c r="W169" s="2551"/>
    </row>
    <row r="170" spans="1:23" ht="12.75" customHeight="1">
      <c r="A170" s="2534">
        <f t="shared" ref="A170:A201" si="11">A182-1</f>
        <v>2015.05</v>
      </c>
      <c r="B170" s="2594">
        <v>240.43145368</v>
      </c>
      <c r="C170" s="2594">
        <v>785189.18590599997</v>
      </c>
      <c r="D170" s="3674">
        <v>746.22623184999998</v>
      </c>
      <c r="E170" s="2594">
        <v>1659980.0497750002</v>
      </c>
      <c r="F170" s="2594">
        <v>98.806646069999999</v>
      </c>
      <c r="G170" s="2594">
        <v>57279.984288</v>
      </c>
      <c r="H170" s="3674">
        <v>6.7314295700000004</v>
      </c>
      <c r="I170" s="2589">
        <v>11822.33</v>
      </c>
      <c r="J170" s="2600">
        <f t="shared" si="9"/>
        <v>1092.19576117</v>
      </c>
      <c r="K170" s="2601">
        <f t="shared" si="10"/>
        <v>2514271.5499690003</v>
      </c>
      <c r="S170" s="2551"/>
      <c r="T170" s="2551"/>
      <c r="U170" s="2551"/>
      <c r="V170" s="2551"/>
      <c r="W170" s="2551"/>
    </row>
    <row r="171" spans="1:23" ht="12.75" customHeight="1">
      <c r="A171" s="2534">
        <f t="shared" si="11"/>
        <v>2015.06</v>
      </c>
      <c r="B171" s="2594">
        <v>245.18231906</v>
      </c>
      <c r="C171" s="2594">
        <v>839044.99878900009</v>
      </c>
      <c r="D171" s="3674">
        <v>1110.72845495</v>
      </c>
      <c r="E171" s="2594">
        <v>2568938.6459220001</v>
      </c>
      <c r="F171" s="2594">
        <v>129.71083435</v>
      </c>
      <c r="G171" s="2594">
        <v>99445.308524000007</v>
      </c>
      <c r="H171" s="3674">
        <v>2.93210558</v>
      </c>
      <c r="I171" s="2589">
        <v>5333.9422000000004</v>
      </c>
      <c r="J171" s="2600">
        <f t="shared" si="9"/>
        <v>1488.5537139400001</v>
      </c>
      <c r="K171" s="2601">
        <f t="shared" si="10"/>
        <v>3512762.8954349998</v>
      </c>
      <c r="S171" s="2551"/>
      <c r="T171" s="2551"/>
      <c r="U171" s="2551"/>
      <c r="V171" s="2551"/>
      <c r="W171" s="2551"/>
    </row>
    <row r="172" spans="1:23" ht="12.75" customHeight="1">
      <c r="A172" s="2534">
        <f t="shared" si="11"/>
        <v>2015.07</v>
      </c>
      <c r="B172" s="2594">
        <v>168.376125</v>
      </c>
      <c r="C172" s="2594">
        <v>611839.163054</v>
      </c>
      <c r="D172" s="3674">
        <v>1213.4397300200001</v>
      </c>
      <c r="E172" s="2594">
        <v>2809273.3888340001</v>
      </c>
      <c r="F172" s="2594">
        <v>119.76912340999999</v>
      </c>
      <c r="G172" s="2594">
        <v>91965.413941999999</v>
      </c>
      <c r="H172" s="3674">
        <v>4.5026400300000002</v>
      </c>
      <c r="I172" s="2589">
        <v>8706.6145199999992</v>
      </c>
      <c r="J172" s="2600">
        <f t="shared" si="9"/>
        <v>1506.0876184600002</v>
      </c>
      <c r="K172" s="2601">
        <f t="shared" si="10"/>
        <v>3521784.5803499999</v>
      </c>
      <c r="S172" s="2551"/>
      <c r="T172" s="2551"/>
      <c r="U172" s="2551"/>
      <c r="V172" s="2551"/>
      <c r="W172" s="2551"/>
    </row>
    <row r="173" spans="1:23" ht="12.75" customHeight="1">
      <c r="A173" s="2534">
        <f t="shared" si="11"/>
        <v>2015.08</v>
      </c>
      <c r="B173" s="2594">
        <v>151.7692356</v>
      </c>
      <c r="C173" s="2594">
        <v>529089.41544200003</v>
      </c>
      <c r="D173" s="3674">
        <v>928.72658374000002</v>
      </c>
      <c r="E173" s="2594">
        <v>2164599.806138</v>
      </c>
      <c r="F173" s="2594">
        <v>141.50789805000002</v>
      </c>
      <c r="G173" s="2594">
        <v>109669.89825900001</v>
      </c>
      <c r="H173" s="3674">
        <v>5.0645844100000001</v>
      </c>
      <c r="I173" s="2589">
        <v>12171.495199999999</v>
      </c>
      <c r="J173" s="2600">
        <f t="shared" si="9"/>
        <v>1227.0683018</v>
      </c>
      <c r="K173" s="2601">
        <f t="shared" si="10"/>
        <v>2815530.6150389998</v>
      </c>
      <c r="S173" s="2551"/>
      <c r="T173" s="2551"/>
      <c r="U173" s="2551"/>
      <c r="V173" s="2551"/>
      <c r="W173" s="2551"/>
    </row>
    <row r="174" spans="1:23" ht="12.75" customHeight="1">
      <c r="A174" s="2534">
        <f t="shared" si="11"/>
        <v>2015.09</v>
      </c>
      <c r="B174" s="2594">
        <v>156.50824813</v>
      </c>
      <c r="C174" s="2594">
        <v>544205.621805</v>
      </c>
      <c r="D174" s="3674">
        <v>967.27115645000003</v>
      </c>
      <c r="E174" s="2594">
        <v>2282757.7419559998</v>
      </c>
      <c r="F174" s="2594">
        <v>133.71260863000001</v>
      </c>
      <c r="G174" s="2594">
        <v>112569.45701299999</v>
      </c>
      <c r="H174" s="3674">
        <v>6.6857955499999999</v>
      </c>
      <c r="I174" s="2589">
        <v>12217.47818</v>
      </c>
      <c r="J174" s="2600">
        <f t="shared" si="9"/>
        <v>1264.1778087600001</v>
      </c>
      <c r="K174" s="2601">
        <f t="shared" si="10"/>
        <v>2951750.2989539998</v>
      </c>
      <c r="S174" s="2551"/>
      <c r="T174" s="2551"/>
      <c r="U174" s="2551"/>
      <c r="V174" s="2551"/>
      <c r="W174" s="2551"/>
    </row>
    <row r="175" spans="1:23" ht="12.75" customHeight="1">
      <c r="A175" s="2534">
        <f t="shared" si="11"/>
        <v>2015.1</v>
      </c>
      <c r="B175" s="2594">
        <v>118.83079442</v>
      </c>
      <c r="C175" s="2594">
        <v>422128.48292400001</v>
      </c>
      <c r="D175" s="3674">
        <v>871.86313633999998</v>
      </c>
      <c r="E175" s="2594">
        <v>2110891.2641619998</v>
      </c>
      <c r="F175" s="2594">
        <v>120.03281887</v>
      </c>
      <c r="G175" s="2594">
        <v>91383.859239999991</v>
      </c>
      <c r="H175" s="3674">
        <v>3.2485290899999999</v>
      </c>
      <c r="I175" s="2589">
        <v>7909.1479200000003</v>
      </c>
      <c r="J175" s="2600">
        <f t="shared" si="9"/>
        <v>1113.9752787199998</v>
      </c>
      <c r="K175" s="2601">
        <f t="shared" si="10"/>
        <v>2632312.7542459997</v>
      </c>
      <c r="S175" s="2551"/>
      <c r="T175" s="2551"/>
      <c r="U175" s="2551"/>
      <c r="V175" s="2551"/>
      <c r="W175" s="2551"/>
    </row>
    <row r="176" spans="1:23" ht="12.75" customHeight="1">
      <c r="A176" s="2534">
        <f t="shared" si="11"/>
        <v>2015.11</v>
      </c>
      <c r="B176" s="2594">
        <v>49.579974289999996</v>
      </c>
      <c r="C176" s="2594">
        <v>182038.257552</v>
      </c>
      <c r="D176" s="3674">
        <v>757.40286605999995</v>
      </c>
      <c r="E176" s="2594">
        <v>1747535.3898080001</v>
      </c>
      <c r="F176" s="2594">
        <v>150.14962224999999</v>
      </c>
      <c r="G176" s="2594">
        <v>141799.14745600001</v>
      </c>
      <c r="H176" s="3674">
        <v>6.2819881300000002</v>
      </c>
      <c r="I176" s="2589">
        <v>18396.280999999999</v>
      </c>
      <c r="J176" s="2600">
        <f t="shared" si="9"/>
        <v>963.41445072999988</v>
      </c>
      <c r="K176" s="2601">
        <f t="shared" si="10"/>
        <v>2089769.0758160001</v>
      </c>
      <c r="S176" s="2551"/>
      <c r="T176" s="2551"/>
      <c r="U176" s="2551"/>
      <c r="V176" s="2551"/>
      <c r="W176" s="2551"/>
    </row>
    <row r="177" spans="1:23" ht="12.75" customHeight="1">
      <c r="A177" s="2534">
        <f t="shared" si="11"/>
        <v>2015.12</v>
      </c>
      <c r="B177" s="2594">
        <v>25.0459134</v>
      </c>
      <c r="C177" s="2594">
        <v>101130.41721799999</v>
      </c>
      <c r="D177" s="3674">
        <v>579.28941723000003</v>
      </c>
      <c r="E177" s="2594">
        <v>1425166.6703900001</v>
      </c>
      <c r="F177" s="2594">
        <v>83.665122799999992</v>
      </c>
      <c r="G177" s="2594">
        <v>70924.02393000001</v>
      </c>
      <c r="H177" s="3674">
        <v>5.2403403300000004</v>
      </c>
      <c r="I177" s="2589">
        <v>13906.333000000001</v>
      </c>
      <c r="J177" s="2600">
        <f t="shared" si="9"/>
        <v>693.24079375999997</v>
      </c>
      <c r="K177" s="2601">
        <f t="shared" si="10"/>
        <v>1611127.444538</v>
      </c>
      <c r="S177" s="2551"/>
      <c r="T177" s="2551"/>
      <c r="U177" s="2551"/>
      <c r="V177" s="2551"/>
      <c r="W177" s="2551"/>
    </row>
    <row r="178" spans="1:23" ht="12.75" customHeight="1">
      <c r="A178" s="2534">
        <f t="shared" si="11"/>
        <v>2016.01</v>
      </c>
      <c r="B178" s="2594">
        <v>57.068494139999999</v>
      </c>
      <c r="C178" s="2594">
        <v>299790.86609299999</v>
      </c>
      <c r="D178" s="3674">
        <v>850.37960036000004</v>
      </c>
      <c r="E178" s="2594">
        <v>2233081.7573119998</v>
      </c>
      <c r="F178" s="2594">
        <v>70.776357869999998</v>
      </c>
      <c r="G178" s="2594">
        <v>66151.818574000004</v>
      </c>
      <c r="H178" s="3674">
        <v>3.2335408999999999</v>
      </c>
      <c r="I178" s="2589">
        <v>9255.9338100000004</v>
      </c>
      <c r="J178" s="2600">
        <f t="shared" si="9"/>
        <v>981.45799326999997</v>
      </c>
      <c r="K178" s="2601">
        <f t="shared" si="10"/>
        <v>2608280.3757889997</v>
      </c>
      <c r="S178" s="2551"/>
      <c r="T178" s="2551"/>
      <c r="U178" s="2551"/>
      <c r="V178" s="2551"/>
      <c r="W178" s="2551"/>
    </row>
    <row r="179" spans="1:23" ht="12.75" customHeight="1">
      <c r="A179" s="2534">
        <f t="shared" si="11"/>
        <v>2016.02</v>
      </c>
      <c r="B179" s="2594">
        <v>88.363078349999995</v>
      </c>
      <c r="C179" s="2594">
        <v>476546.238342</v>
      </c>
      <c r="D179" s="3674">
        <v>807.98698304999994</v>
      </c>
      <c r="E179" s="2594">
        <v>2092374.190714</v>
      </c>
      <c r="F179" s="2594">
        <v>82.165663480000006</v>
      </c>
      <c r="G179" s="2594">
        <v>54423.522295000002</v>
      </c>
      <c r="H179" s="3674">
        <v>2.6191332000000003</v>
      </c>
      <c r="I179" s="2589">
        <v>8054.4340000000002</v>
      </c>
      <c r="J179" s="2600">
        <f t="shared" si="9"/>
        <v>981.13485807999996</v>
      </c>
      <c r="K179" s="2601">
        <f t="shared" si="10"/>
        <v>2631398.3853509999</v>
      </c>
      <c r="S179" s="2551"/>
      <c r="T179" s="2551"/>
      <c r="U179" s="2551"/>
      <c r="V179" s="2551"/>
      <c r="W179" s="2551"/>
    </row>
    <row r="180" spans="1:23" ht="12.75" customHeight="1">
      <c r="A180" s="2534">
        <f t="shared" si="11"/>
        <v>2016.03</v>
      </c>
      <c r="B180" s="2594">
        <v>104.70613869</v>
      </c>
      <c r="C180" s="2594">
        <v>552539.63092799997</v>
      </c>
      <c r="D180" s="3674">
        <v>750.14203665000002</v>
      </c>
      <c r="E180" s="2594">
        <v>1849419.470713</v>
      </c>
      <c r="F180" s="2594">
        <v>123.12226222</v>
      </c>
      <c r="G180" s="2594">
        <v>102428.945704</v>
      </c>
      <c r="H180" s="3674">
        <v>1.92375659</v>
      </c>
      <c r="I180" s="2589">
        <v>4724.0469999999996</v>
      </c>
      <c r="J180" s="2600">
        <f t="shared" si="9"/>
        <v>979.89419415000009</v>
      </c>
      <c r="K180" s="2601">
        <f t="shared" si="10"/>
        <v>2509112.0943450001</v>
      </c>
      <c r="S180" s="2551"/>
      <c r="T180" s="2551"/>
      <c r="U180" s="2551"/>
      <c r="V180" s="2551"/>
      <c r="W180" s="2551"/>
    </row>
    <row r="181" spans="1:23" ht="12.75" customHeight="1">
      <c r="A181" s="2534">
        <f t="shared" si="11"/>
        <v>2016.04</v>
      </c>
      <c r="B181" s="2594">
        <v>118.37119890999999</v>
      </c>
      <c r="C181" s="2594">
        <v>549613.38108900003</v>
      </c>
      <c r="D181" s="3674">
        <v>854.89615486000002</v>
      </c>
      <c r="E181" s="2594">
        <v>2115733.4991989997</v>
      </c>
      <c r="F181" s="2594">
        <v>117.75028895999999</v>
      </c>
      <c r="G181" s="2594">
        <v>91415.059672000003</v>
      </c>
      <c r="H181" s="3674">
        <v>0.68827430000000001</v>
      </c>
      <c r="I181" s="2589">
        <v>1238.3900000000001</v>
      </c>
      <c r="J181" s="2600">
        <f t="shared" si="9"/>
        <v>1091.7059170300001</v>
      </c>
      <c r="K181" s="2601">
        <f t="shared" si="10"/>
        <v>2758000.3299599998</v>
      </c>
      <c r="S181" s="2551"/>
      <c r="T181" s="2551"/>
      <c r="U181" s="2551"/>
      <c r="V181" s="2551"/>
      <c r="W181" s="2551"/>
    </row>
    <row r="182" spans="1:23" ht="12.75" customHeight="1">
      <c r="A182" s="2534">
        <f t="shared" si="11"/>
        <v>2016.05</v>
      </c>
      <c r="B182" s="2594">
        <v>171.38721275</v>
      </c>
      <c r="C182" s="2594">
        <v>645127.04689100001</v>
      </c>
      <c r="D182" s="3674">
        <v>992.13867841000001</v>
      </c>
      <c r="E182" s="2594">
        <v>2548970.8128709998</v>
      </c>
      <c r="F182" s="2594">
        <v>174.03932549999999</v>
      </c>
      <c r="G182" s="2594">
        <v>156991.80215</v>
      </c>
      <c r="H182" s="3674">
        <v>5.8130057300000004</v>
      </c>
      <c r="I182" s="2589">
        <v>12308.761</v>
      </c>
      <c r="J182" s="2600">
        <f t="shared" si="9"/>
        <v>1343.3782223899998</v>
      </c>
      <c r="K182" s="2601">
        <f t="shared" si="10"/>
        <v>3363398.4229119997</v>
      </c>
      <c r="S182" s="2551"/>
      <c r="T182" s="2551"/>
      <c r="U182" s="2551"/>
      <c r="V182" s="2551"/>
      <c r="W182" s="2551"/>
    </row>
    <row r="183" spans="1:23" ht="12.75" customHeight="1">
      <c r="A183" s="2534">
        <f t="shared" si="11"/>
        <v>2016.06</v>
      </c>
      <c r="B183" s="2594">
        <v>157.97980747999998</v>
      </c>
      <c r="C183" s="2594">
        <v>571481.59414299997</v>
      </c>
      <c r="D183" s="3674">
        <v>932.16724800999998</v>
      </c>
      <c r="E183" s="2594">
        <v>2195140.2328810003</v>
      </c>
      <c r="F183" s="2594">
        <v>200.02986255000002</v>
      </c>
      <c r="G183" s="2594">
        <v>177987.78420199998</v>
      </c>
      <c r="H183" s="3674">
        <v>2.5983414900000001</v>
      </c>
      <c r="I183" s="2589">
        <v>5153.6585999999998</v>
      </c>
      <c r="J183" s="2600">
        <f t="shared" si="9"/>
        <v>1292.7752595299999</v>
      </c>
      <c r="K183" s="2601">
        <f t="shared" si="10"/>
        <v>2949763.2698260006</v>
      </c>
      <c r="S183" s="2551"/>
      <c r="T183" s="2551"/>
      <c r="U183" s="2551"/>
      <c r="V183" s="2551"/>
      <c r="W183" s="2551"/>
    </row>
    <row r="184" spans="1:23" ht="12.75" customHeight="1">
      <c r="A184" s="2534">
        <f t="shared" si="11"/>
        <v>2016.07</v>
      </c>
      <c r="B184" s="2594">
        <v>129.46421552999999</v>
      </c>
      <c r="C184" s="2594">
        <v>501901.43539</v>
      </c>
      <c r="D184" s="3674">
        <v>815.2874417999999</v>
      </c>
      <c r="E184" s="2594">
        <v>1798737.3065269999</v>
      </c>
      <c r="F184" s="2594">
        <v>187.22356503</v>
      </c>
      <c r="G184" s="2594">
        <v>164556.080074</v>
      </c>
      <c r="H184" s="3674">
        <v>4.6419866799999996</v>
      </c>
      <c r="I184" s="2589">
        <v>10568.184999999999</v>
      </c>
      <c r="J184" s="2600">
        <f t="shared" si="9"/>
        <v>1136.6172090399998</v>
      </c>
      <c r="K184" s="2601">
        <f t="shared" si="10"/>
        <v>2475763.0069910004</v>
      </c>
      <c r="S184" s="2551"/>
      <c r="T184" s="2551"/>
      <c r="U184" s="2551"/>
      <c r="V184" s="2551"/>
      <c r="W184" s="2551"/>
    </row>
    <row r="185" spans="1:23" ht="12.75" customHeight="1">
      <c r="A185" s="2534">
        <f t="shared" si="11"/>
        <v>2016.08</v>
      </c>
      <c r="B185" s="2594">
        <v>165.23842540999999</v>
      </c>
      <c r="C185" s="2594">
        <v>694858.54030300002</v>
      </c>
      <c r="D185" s="3674">
        <v>1000.59443833</v>
      </c>
      <c r="E185" s="2594">
        <v>2248602.0682700002</v>
      </c>
      <c r="F185" s="2594">
        <v>216.69914853999998</v>
      </c>
      <c r="G185" s="2594">
        <v>181612.30185299998</v>
      </c>
      <c r="H185" s="3674">
        <v>2.2726598099999999</v>
      </c>
      <c r="I185" s="2589">
        <v>4658.6004000000003</v>
      </c>
      <c r="J185" s="2600">
        <f t="shared" si="9"/>
        <v>1384.8046720899999</v>
      </c>
      <c r="K185" s="2601">
        <f t="shared" si="10"/>
        <v>3129731.510826</v>
      </c>
      <c r="S185" s="2551"/>
      <c r="T185" s="2551"/>
      <c r="U185" s="2551"/>
      <c r="V185" s="2551"/>
      <c r="W185" s="2551"/>
    </row>
    <row r="186" spans="1:23" ht="12.75" customHeight="1">
      <c r="A186" s="2534">
        <f t="shared" si="11"/>
        <v>2016.09</v>
      </c>
      <c r="B186" s="2594">
        <v>105.74663925</v>
      </c>
      <c r="C186" s="2594">
        <v>383340.84643899999</v>
      </c>
      <c r="D186" s="3674">
        <v>721.52211936000003</v>
      </c>
      <c r="E186" s="2594">
        <v>1572005.770853</v>
      </c>
      <c r="F186" s="2594">
        <v>230.33063537999999</v>
      </c>
      <c r="G186" s="2594">
        <v>182292.26408599998</v>
      </c>
      <c r="H186" s="3674">
        <v>5.01666408</v>
      </c>
      <c r="I186" s="2589">
        <v>11383.433000000001</v>
      </c>
      <c r="J186" s="2600">
        <f t="shared" si="9"/>
        <v>1062.61605807</v>
      </c>
      <c r="K186" s="2601">
        <f t="shared" si="10"/>
        <v>2149022.3143780003</v>
      </c>
      <c r="S186" s="2551"/>
      <c r="T186" s="2551"/>
      <c r="U186" s="2551"/>
      <c r="V186" s="2551"/>
      <c r="W186" s="2551"/>
    </row>
    <row r="187" spans="1:23" ht="12.75" customHeight="1">
      <c r="A187" s="2534">
        <f t="shared" si="11"/>
        <v>2016.1</v>
      </c>
      <c r="B187" s="2594">
        <v>72.156648189999999</v>
      </c>
      <c r="C187" s="2594">
        <v>323618.45520899998</v>
      </c>
      <c r="D187" s="3674">
        <v>932.70571001999997</v>
      </c>
      <c r="E187" s="2594">
        <v>2218493.7272109999</v>
      </c>
      <c r="F187" s="2594">
        <v>260.64134858</v>
      </c>
      <c r="G187" s="2594">
        <v>233978.673396</v>
      </c>
      <c r="H187" s="3674">
        <v>3.7634000099999998</v>
      </c>
      <c r="I187" s="2589">
        <v>7462.1458200000006</v>
      </c>
      <c r="J187" s="2600">
        <f t="shared" si="9"/>
        <v>1269.2671067999997</v>
      </c>
      <c r="K187" s="2601">
        <f t="shared" si="10"/>
        <v>2783553.0016360004</v>
      </c>
      <c r="S187" s="2551"/>
      <c r="T187" s="2551"/>
      <c r="U187" s="2551"/>
      <c r="V187" s="2551"/>
      <c r="W187" s="2551"/>
    </row>
    <row r="188" spans="1:23" ht="12.75" customHeight="1">
      <c r="A188" s="2534">
        <f t="shared" si="11"/>
        <v>2016.11</v>
      </c>
      <c r="B188" s="2594">
        <v>60.421831279999999</v>
      </c>
      <c r="C188" s="2594">
        <v>292533.04823299998</v>
      </c>
      <c r="D188" s="3674">
        <v>877.90082129999996</v>
      </c>
      <c r="E188" s="2594">
        <v>1968148.6338800001</v>
      </c>
      <c r="F188" s="2594">
        <v>220.63225753999998</v>
      </c>
      <c r="G188" s="2594">
        <v>170377.25177599999</v>
      </c>
      <c r="H188" s="3674">
        <v>4.1912613500000004</v>
      </c>
      <c r="I188" s="2589">
        <v>9125.5081999999984</v>
      </c>
      <c r="J188" s="2600">
        <f t="shared" si="9"/>
        <v>1163.1461714700001</v>
      </c>
      <c r="K188" s="2601">
        <f t="shared" si="10"/>
        <v>2440184.4420890003</v>
      </c>
      <c r="S188" s="2551"/>
      <c r="T188" s="2551"/>
      <c r="U188" s="2551"/>
      <c r="V188" s="2551"/>
      <c r="W188" s="2551"/>
    </row>
    <row r="189" spans="1:23" ht="12.75" customHeight="1">
      <c r="A189" s="2534">
        <f t="shared" si="11"/>
        <v>2016.12</v>
      </c>
      <c r="B189" s="2594">
        <v>79.299503770000001</v>
      </c>
      <c r="C189" s="2594">
        <v>400180.38225199998</v>
      </c>
      <c r="D189" s="3674">
        <v>860.22066930999995</v>
      </c>
      <c r="E189" s="2594">
        <v>1841934.8608900001</v>
      </c>
      <c r="F189" s="2594">
        <v>197.93770159000002</v>
      </c>
      <c r="G189" s="2594">
        <v>120240.012908</v>
      </c>
      <c r="H189" s="3674">
        <v>5.1250837300000001</v>
      </c>
      <c r="I189" s="2589">
        <v>9533.55285</v>
      </c>
      <c r="J189" s="2600">
        <f t="shared" si="9"/>
        <v>1142.5829583999998</v>
      </c>
      <c r="K189" s="2601">
        <f t="shared" si="10"/>
        <v>2371888.8089000001</v>
      </c>
      <c r="S189" s="2551"/>
      <c r="T189" s="2551"/>
      <c r="U189" s="2551"/>
      <c r="V189" s="2551"/>
      <c r="W189" s="2551"/>
    </row>
    <row r="190" spans="1:23" ht="12.75" customHeight="1">
      <c r="A190" s="2534">
        <f t="shared" si="11"/>
        <v>2017.01</v>
      </c>
      <c r="B190" s="2594">
        <v>95.949648709999991</v>
      </c>
      <c r="C190" s="2594">
        <v>497762.64095700003</v>
      </c>
      <c r="D190" s="3674">
        <v>782.81195026</v>
      </c>
      <c r="E190" s="2594">
        <v>1923731.1335469999</v>
      </c>
      <c r="F190" s="2594">
        <v>128.01074384</v>
      </c>
      <c r="G190" s="2594">
        <v>78025.997635000007</v>
      </c>
      <c r="H190" s="3674">
        <v>1.9558173400000001</v>
      </c>
      <c r="I190" s="2589">
        <v>3565.8679999999999</v>
      </c>
      <c r="J190" s="2600">
        <f t="shared" si="9"/>
        <v>1008.72816015</v>
      </c>
      <c r="K190" s="2601">
        <f t="shared" si="10"/>
        <v>2503085.6401389996</v>
      </c>
      <c r="S190" s="2551"/>
      <c r="T190" s="2551"/>
      <c r="U190" s="2551"/>
      <c r="V190" s="2551"/>
      <c r="W190" s="2551"/>
    </row>
    <row r="191" spans="1:23" ht="12.75" customHeight="1">
      <c r="A191" s="2534">
        <f t="shared" si="11"/>
        <v>2017.02</v>
      </c>
      <c r="B191" s="2594">
        <v>74.832213780000004</v>
      </c>
      <c r="C191" s="2594">
        <v>372941.36088300002</v>
      </c>
      <c r="D191" s="3674">
        <v>670.62867113999994</v>
      </c>
      <c r="E191" s="2594">
        <v>1588125.8095079998</v>
      </c>
      <c r="F191" s="2594">
        <v>129.52332666000001</v>
      </c>
      <c r="G191" s="2594">
        <v>98880.45651199999</v>
      </c>
      <c r="H191" s="3674">
        <v>3.6059158500000001</v>
      </c>
      <c r="I191" s="2589">
        <v>6693.9556199999997</v>
      </c>
      <c r="J191" s="2600">
        <f t="shared" si="9"/>
        <v>878.59012742999994</v>
      </c>
      <c r="K191" s="2601">
        <f t="shared" si="10"/>
        <v>2066641.5825229997</v>
      </c>
      <c r="S191" s="2551"/>
      <c r="T191" s="2551"/>
      <c r="U191" s="2551"/>
      <c r="V191" s="2551"/>
      <c r="W191" s="2551"/>
    </row>
    <row r="192" spans="1:23" ht="12.75" customHeight="1">
      <c r="A192" s="2534">
        <f t="shared" si="11"/>
        <v>2017.03</v>
      </c>
      <c r="B192" s="2594">
        <v>91.077750510000001</v>
      </c>
      <c r="C192" s="2594">
        <v>453268.071428</v>
      </c>
      <c r="D192" s="3674">
        <v>953.93920114000002</v>
      </c>
      <c r="E192" s="2594">
        <v>2097682.4464289998</v>
      </c>
      <c r="F192" s="2594">
        <v>94.88707131999999</v>
      </c>
      <c r="G192" s="2594">
        <v>62053.993248000006</v>
      </c>
      <c r="H192" s="3674">
        <v>4.1787055500000001</v>
      </c>
      <c r="I192" s="2589">
        <v>7675.1982400000006</v>
      </c>
      <c r="J192" s="2600">
        <f t="shared" si="9"/>
        <v>1144.0827285199998</v>
      </c>
      <c r="K192" s="2601">
        <f t="shared" si="10"/>
        <v>2620679.7093449994</v>
      </c>
      <c r="S192" s="2551"/>
      <c r="T192" s="2551"/>
      <c r="U192" s="2551"/>
      <c r="V192" s="2551"/>
      <c r="W192" s="2551"/>
    </row>
    <row r="193" spans="1:23" ht="12.75" customHeight="1">
      <c r="A193" s="2534">
        <f t="shared" si="11"/>
        <v>2017.04</v>
      </c>
      <c r="B193" s="2594">
        <v>143.14210937000001</v>
      </c>
      <c r="C193" s="2594">
        <v>622580.80466400005</v>
      </c>
      <c r="D193" s="3674">
        <v>878.63522885999998</v>
      </c>
      <c r="E193" s="2594">
        <v>2205874.110719</v>
      </c>
      <c r="F193" s="2594">
        <v>205.95342191999998</v>
      </c>
      <c r="G193" s="2594">
        <v>165817.66099500001</v>
      </c>
      <c r="H193" s="3674">
        <v>5.8468756800000001</v>
      </c>
      <c r="I193" s="2589">
        <v>10571.638999999999</v>
      </c>
      <c r="J193" s="2600">
        <f t="shared" si="9"/>
        <v>1233.57763583</v>
      </c>
      <c r="K193" s="2601">
        <f t="shared" si="10"/>
        <v>3004844.2153779999</v>
      </c>
      <c r="S193" s="2551"/>
      <c r="T193" s="2551"/>
      <c r="U193" s="2551"/>
      <c r="V193" s="2551"/>
      <c r="W193" s="2551"/>
    </row>
    <row r="194" spans="1:23" ht="12.75" customHeight="1">
      <c r="A194" s="2534">
        <f t="shared" si="11"/>
        <v>2017.05</v>
      </c>
      <c r="B194" s="2594">
        <v>179.05589071</v>
      </c>
      <c r="C194" s="2594">
        <v>667751.88360900001</v>
      </c>
      <c r="D194" s="3674">
        <v>936.17983998</v>
      </c>
      <c r="E194" s="2594">
        <v>2336752.8622280001</v>
      </c>
      <c r="F194" s="2594">
        <v>251.68940605</v>
      </c>
      <c r="G194" s="2594">
        <v>204317.70630300001</v>
      </c>
      <c r="H194" s="3674">
        <v>4.2039195300000003</v>
      </c>
      <c r="I194" s="2589">
        <v>7716.442</v>
      </c>
      <c r="J194" s="2600">
        <f t="shared" si="9"/>
        <v>1371.1290562700001</v>
      </c>
      <c r="K194" s="2601">
        <f t="shared" si="10"/>
        <v>3216538.89414</v>
      </c>
      <c r="S194" s="2551"/>
      <c r="T194" s="2551"/>
      <c r="U194" s="2551"/>
      <c r="V194" s="2551"/>
      <c r="W194" s="2551"/>
    </row>
    <row r="195" spans="1:23" ht="12.75" customHeight="1">
      <c r="A195" s="2534">
        <f t="shared" si="11"/>
        <v>2017.06</v>
      </c>
      <c r="B195" s="2594">
        <v>160.84312588</v>
      </c>
      <c r="C195" s="2594">
        <v>619459.98237300001</v>
      </c>
      <c r="D195" s="3674">
        <v>809.34482052999999</v>
      </c>
      <c r="E195" s="2594">
        <v>2116031.9771509999</v>
      </c>
      <c r="F195" s="2594">
        <v>234.46997296999999</v>
      </c>
      <c r="G195" s="2594">
        <v>189212.80733500002</v>
      </c>
      <c r="H195" s="3674">
        <v>1.9048989700000001</v>
      </c>
      <c r="I195" s="2589">
        <v>3662.3490000000002</v>
      </c>
      <c r="J195" s="2600">
        <f t="shared" si="9"/>
        <v>1206.56281835</v>
      </c>
      <c r="K195" s="2601">
        <f t="shared" si="10"/>
        <v>2928367.115859</v>
      </c>
      <c r="S195" s="2551"/>
      <c r="T195" s="2551"/>
      <c r="U195" s="2551"/>
      <c r="V195" s="2551"/>
      <c r="W195" s="2551"/>
    </row>
    <row r="196" spans="1:23" ht="12.75" customHeight="1">
      <c r="A196" s="2534">
        <f t="shared" si="11"/>
        <v>2017.07</v>
      </c>
      <c r="B196" s="2594">
        <v>128.52009025000001</v>
      </c>
      <c r="C196" s="2594">
        <v>603384.17831300001</v>
      </c>
      <c r="D196" s="3674">
        <v>918.15681265000001</v>
      </c>
      <c r="E196" s="2594">
        <v>2358495.330546</v>
      </c>
      <c r="F196" s="2594">
        <v>242.13074184999999</v>
      </c>
      <c r="G196" s="2594">
        <v>242318.98918500001</v>
      </c>
      <c r="H196" s="3674">
        <v>5.0183786100000001</v>
      </c>
      <c r="I196" s="2589">
        <v>9391.5450000000001</v>
      </c>
      <c r="J196" s="2600">
        <f t="shared" si="9"/>
        <v>1293.8260233599999</v>
      </c>
      <c r="K196" s="2601">
        <f t="shared" si="10"/>
        <v>3213590.0430439999</v>
      </c>
      <c r="S196" s="2551"/>
      <c r="T196" s="2551"/>
      <c r="U196" s="2551"/>
      <c r="V196" s="2551"/>
      <c r="W196" s="2551"/>
    </row>
    <row r="197" spans="1:23" ht="12.75" customHeight="1">
      <c r="A197" s="2534">
        <f t="shared" si="11"/>
        <v>2017.08</v>
      </c>
      <c r="B197" s="2595">
        <v>145.03912591999998</v>
      </c>
      <c r="C197" s="2595">
        <v>641557.25320500007</v>
      </c>
      <c r="D197" s="3675">
        <v>886.70017597000003</v>
      </c>
      <c r="E197" s="2595">
        <v>2180676.0615710001</v>
      </c>
      <c r="F197" s="2595">
        <v>178.21775443999999</v>
      </c>
      <c r="G197" s="2595">
        <v>115406.547168</v>
      </c>
      <c r="H197" s="3675">
        <v>3.3277448299999999</v>
      </c>
      <c r="I197" s="2590">
        <v>6125.982</v>
      </c>
      <c r="J197" s="2602">
        <f t="shared" si="9"/>
        <v>1213.2848011599999</v>
      </c>
      <c r="K197" s="2603">
        <f t="shared" si="10"/>
        <v>2943765.8439440001</v>
      </c>
      <c r="S197" s="2551"/>
      <c r="T197" s="2551"/>
      <c r="U197" s="2551"/>
      <c r="V197" s="2551"/>
      <c r="W197" s="2551"/>
    </row>
    <row r="198" spans="1:23" ht="12.75" customHeight="1">
      <c r="A198" s="2534">
        <f t="shared" si="11"/>
        <v>2017.09</v>
      </c>
      <c r="B198" s="2595">
        <v>136.76065900999998</v>
      </c>
      <c r="C198" s="2595">
        <v>539685.50063399994</v>
      </c>
      <c r="D198" s="3675">
        <v>803.32994975999998</v>
      </c>
      <c r="E198" s="2595">
        <v>1905740.8704930001</v>
      </c>
      <c r="F198" s="2595">
        <v>177.44077446</v>
      </c>
      <c r="G198" s="2595">
        <v>87449.437088999999</v>
      </c>
      <c r="H198" s="3675">
        <v>8.8627471</v>
      </c>
      <c r="I198" s="2590">
        <v>24054.018</v>
      </c>
      <c r="J198" s="2602">
        <f t="shared" si="9"/>
        <v>1126.3941303300001</v>
      </c>
      <c r="K198" s="2603">
        <f t="shared" si="10"/>
        <v>2556929.8262160001</v>
      </c>
      <c r="S198" s="2551"/>
      <c r="T198" s="2551"/>
      <c r="U198" s="2551"/>
      <c r="V198" s="2551"/>
      <c r="W198" s="2551"/>
    </row>
    <row r="199" spans="1:23" ht="12.75" customHeight="1">
      <c r="A199" s="2534">
        <f t="shared" si="11"/>
        <v>2017.1</v>
      </c>
      <c r="B199" s="2595">
        <v>105.54940265</v>
      </c>
      <c r="C199" s="2595">
        <v>489808.40749800002</v>
      </c>
      <c r="D199" s="3675">
        <v>1005.30544434</v>
      </c>
      <c r="E199" s="2595">
        <v>2392344.6081690001</v>
      </c>
      <c r="F199" s="2595">
        <v>232.45485353999999</v>
      </c>
      <c r="G199" s="2595">
        <v>188730.843433</v>
      </c>
      <c r="H199" s="3675">
        <v>5.7825407100000001</v>
      </c>
      <c r="I199" s="2590">
        <v>10094.075999999999</v>
      </c>
      <c r="J199" s="2602">
        <f t="shared" si="9"/>
        <v>1349.0922412399998</v>
      </c>
      <c r="K199" s="2603">
        <f t="shared" si="10"/>
        <v>3080977.9351000004</v>
      </c>
      <c r="S199" s="2551"/>
      <c r="T199" s="2551"/>
      <c r="U199" s="2551"/>
      <c r="V199" s="2551"/>
      <c r="W199" s="2551"/>
    </row>
    <row r="200" spans="1:23" ht="12.75" customHeight="1">
      <c r="A200" s="2534">
        <f t="shared" si="11"/>
        <v>2017.11</v>
      </c>
      <c r="B200" s="2595">
        <v>74.90821265000001</v>
      </c>
      <c r="C200" s="2595">
        <v>400577.23476800002</v>
      </c>
      <c r="D200" s="3675">
        <v>700.12403551</v>
      </c>
      <c r="E200" s="2595">
        <v>1703615.4709590001</v>
      </c>
      <c r="F200" s="2595">
        <v>225.01843163999999</v>
      </c>
      <c r="G200" s="2595">
        <v>197106.378482</v>
      </c>
      <c r="H200" s="3675">
        <v>12.388686910000001</v>
      </c>
      <c r="I200" s="2590">
        <v>28370.254000000001</v>
      </c>
      <c r="J200" s="2602">
        <f t="shared" si="9"/>
        <v>1012.4393667100001</v>
      </c>
      <c r="K200" s="2603">
        <f t="shared" si="10"/>
        <v>2329669.3382090004</v>
      </c>
      <c r="S200" s="2551"/>
      <c r="T200" s="2551"/>
      <c r="U200" s="2551"/>
      <c r="V200" s="2551"/>
      <c r="W200" s="2551"/>
    </row>
    <row r="201" spans="1:23" ht="12.75" customHeight="1">
      <c r="A201" s="2534">
        <f t="shared" si="11"/>
        <v>2017.12</v>
      </c>
      <c r="B201" s="2595">
        <v>97.411563860000001</v>
      </c>
      <c r="C201" s="2595">
        <v>514248.93083799997</v>
      </c>
      <c r="D201" s="3675">
        <v>577.54179048000003</v>
      </c>
      <c r="E201" s="2595">
        <v>1322562.960491</v>
      </c>
      <c r="F201" s="2595">
        <v>245.06154606999999</v>
      </c>
      <c r="G201" s="2595">
        <v>170621.01463699999</v>
      </c>
      <c r="H201" s="3675">
        <v>3.31170404</v>
      </c>
      <c r="I201" s="2590">
        <v>5144.56628</v>
      </c>
      <c r="J201" s="2602">
        <f t="shared" si="9"/>
        <v>923.32660444999999</v>
      </c>
      <c r="K201" s="2603">
        <f t="shared" si="10"/>
        <v>2012577.4722459998</v>
      </c>
      <c r="S201" s="2551"/>
      <c r="T201" s="2551"/>
      <c r="U201" s="2551"/>
      <c r="V201" s="2551"/>
      <c r="W201" s="2551"/>
    </row>
    <row r="202" spans="1:23" ht="12.75" customHeight="1">
      <c r="A202" s="2532">
        <v>2018.01</v>
      </c>
      <c r="B202" s="2595">
        <v>111.15629378</v>
      </c>
      <c r="C202" s="2595">
        <v>620935.36057299993</v>
      </c>
      <c r="D202" s="3675">
        <v>667.39474034</v>
      </c>
      <c r="E202" s="2595">
        <v>1520535.6348910001</v>
      </c>
      <c r="F202" s="2595">
        <v>181.11843121999999</v>
      </c>
      <c r="G202" s="2595">
        <v>182618.34030700001</v>
      </c>
      <c r="H202" s="3675">
        <v>8.2544439799999996</v>
      </c>
      <c r="I202" s="2590">
        <v>13598.84</v>
      </c>
      <c r="J202" s="2602">
        <f t="shared" si="9"/>
        <v>967.92390932000001</v>
      </c>
      <c r="K202" s="2603">
        <f t="shared" si="10"/>
        <v>2337688.1757709999</v>
      </c>
      <c r="S202" s="2551"/>
      <c r="T202" s="2551"/>
      <c r="U202" s="2551"/>
      <c r="V202" s="2551"/>
      <c r="W202" s="2551"/>
    </row>
    <row r="203" spans="1:23" ht="12.75" customHeight="1">
      <c r="A203" s="2532">
        <v>2018.02</v>
      </c>
      <c r="B203" s="2595">
        <v>87.320803489999989</v>
      </c>
      <c r="C203" s="2595">
        <v>466393.42835100001</v>
      </c>
      <c r="D203" s="3675">
        <v>688.11784582000007</v>
      </c>
      <c r="E203" s="2595">
        <v>1476154.494093</v>
      </c>
      <c r="F203" s="2595">
        <v>149.85677833000003</v>
      </c>
      <c r="G203" s="2595">
        <v>77979.881762999998</v>
      </c>
      <c r="H203" s="3675">
        <v>15.80680843</v>
      </c>
      <c r="I203" s="2590">
        <v>39467.014000000003</v>
      </c>
      <c r="J203" s="2602">
        <f t="shared" ref="J203:J266" si="12">+SUM(B203,D203,F203,H203)</f>
        <v>941.10223607000012</v>
      </c>
      <c r="K203" s="2603">
        <f t="shared" ref="K203:K266" si="13">+SUM(C203,E203,G203,I203)</f>
        <v>2059994.8182069999</v>
      </c>
      <c r="S203" s="2551"/>
      <c r="T203" s="2551"/>
      <c r="U203" s="2551"/>
      <c r="V203" s="2551"/>
      <c r="W203" s="2551"/>
    </row>
    <row r="204" spans="1:23" ht="12.75" customHeight="1">
      <c r="A204" s="2533">
        <v>2018.03</v>
      </c>
      <c r="B204" s="2595">
        <v>112.06788425000001</v>
      </c>
      <c r="C204" s="2595">
        <v>567487.66861399997</v>
      </c>
      <c r="D204" s="3675">
        <v>905.96993472000008</v>
      </c>
      <c r="E204" s="2595">
        <v>1766934.9035829999</v>
      </c>
      <c r="F204" s="2595">
        <v>149.48695949</v>
      </c>
      <c r="G204" s="2595">
        <v>83547.481763999996</v>
      </c>
      <c r="H204" s="3675">
        <v>3.3362475800000002</v>
      </c>
      <c r="I204" s="2590">
        <v>5656.5649999999996</v>
      </c>
      <c r="J204" s="2602">
        <f t="shared" si="12"/>
        <v>1170.8610260400001</v>
      </c>
      <c r="K204" s="2603">
        <f t="shared" si="13"/>
        <v>2423626.6189609999</v>
      </c>
      <c r="S204" s="2551"/>
      <c r="T204" s="2551"/>
      <c r="U204" s="2551"/>
      <c r="V204" s="2551"/>
      <c r="W204" s="2551"/>
    </row>
    <row r="205" spans="1:23" ht="12.75" customHeight="1">
      <c r="A205" s="2533">
        <v>2018.04</v>
      </c>
      <c r="B205" s="2595">
        <v>94.097817629999994</v>
      </c>
      <c r="C205" s="2595">
        <v>416566.71857999999</v>
      </c>
      <c r="D205" s="3675">
        <v>892.34205070000007</v>
      </c>
      <c r="E205" s="2595">
        <v>1741580.9979030001</v>
      </c>
      <c r="F205" s="2595">
        <v>173.87437122</v>
      </c>
      <c r="G205" s="2595">
        <v>146617.848975</v>
      </c>
      <c r="H205" s="3675">
        <v>9.5371492199999999</v>
      </c>
      <c r="I205" s="2590">
        <v>13941.168</v>
      </c>
      <c r="J205" s="2602">
        <f t="shared" si="12"/>
        <v>1169.8513887700001</v>
      </c>
      <c r="K205" s="2603">
        <f t="shared" si="13"/>
        <v>2318706.7334580002</v>
      </c>
      <c r="S205" s="2551"/>
      <c r="T205" s="2551"/>
      <c r="U205" s="2551"/>
      <c r="V205" s="2551"/>
      <c r="W205" s="2551"/>
    </row>
    <row r="206" spans="1:23" ht="12.75" customHeight="1">
      <c r="A206" s="2533">
        <v>2018.05</v>
      </c>
      <c r="B206" s="2595">
        <v>106.14795054999999</v>
      </c>
      <c r="C206" s="2595">
        <v>400822.08673600003</v>
      </c>
      <c r="D206" s="3675">
        <v>1003.90763693</v>
      </c>
      <c r="E206" s="2595">
        <v>2023751.3848069999</v>
      </c>
      <c r="F206" s="2595">
        <v>172.60741184</v>
      </c>
      <c r="G206" s="2595">
        <v>178913.99073300001</v>
      </c>
      <c r="H206" s="3675">
        <v>6.6956958600000007</v>
      </c>
      <c r="I206" s="2590">
        <v>9488.0969999999998</v>
      </c>
      <c r="J206" s="2602">
        <f t="shared" si="12"/>
        <v>1289.3586951799998</v>
      </c>
      <c r="K206" s="2603">
        <f t="shared" si="13"/>
        <v>2612975.5592760001</v>
      </c>
      <c r="S206" s="2551"/>
      <c r="T206" s="2551"/>
      <c r="U206" s="2551"/>
      <c r="V206" s="2551"/>
      <c r="W206" s="2551"/>
    </row>
    <row r="207" spans="1:23" ht="12.75" customHeight="1">
      <c r="A207" s="2533">
        <v>2018.06</v>
      </c>
      <c r="B207" s="2595">
        <v>102.92083517</v>
      </c>
      <c r="C207" s="2595">
        <v>365890.77840499999</v>
      </c>
      <c r="D207" s="3675">
        <v>850.00556704999997</v>
      </c>
      <c r="E207" s="2595">
        <v>1708203.8952269999</v>
      </c>
      <c r="F207" s="2595">
        <v>285.555274</v>
      </c>
      <c r="G207" s="2595">
        <v>217489.26832199999</v>
      </c>
      <c r="H207" s="3675">
        <v>4.4066715099999998</v>
      </c>
      <c r="I207" s="2590">
        <v>6298.3059999999996</v>
      </c>
      <c r="J207" s="2602">
        <f t="shared" si="12"/>
        <v>1242.8883477300001</v>
      </c>
      <c r="K207" s="2603">
        <f t="shared" si="13"/>
        <v>2297882.2479539998</v>
      </c>
      <c r="S207" s="2551"/>
      <c r="T207" s="2551"/>
      <c r="U207" s="2551"/>
      <c r="V207" s="2551"/>
      <c r="W207" s="2551"/>
    </row>
    <row r="208" spans="1:23" ht="12.75" customHeight="1">
      <c r="A208" s="2533">
        <v>2018.07</v>
      </c>
      <c r="B208" s="2595">
        <v>84.101464069999992</v>
      </c>
      <c r="C208" s="2595">
        <v>369859.777596</v>
      </c>
      <c r="D208" s="3675">
        <v>936.95417509000004</v>
      </c>
      <c r="E208" s="2595">
        <v>1976331.9324020001</v>
      </c>
      <c r="F208" s="2595">
        <v>288.78919951</v>
      </c>
      <c r="G208" s="2595">
        <v>226632.94550999999</v>
      </c>
      <c r="H208" s="3675">
        <v>7.1011648799999998</v>
      </c>
      <c r="I208" s="2590">
        <v>10062.033599999999</v>
      </c>
      <c r="J208" s="2602">
        <f t="shared" si="12"/>
        <v>1316.9460035500001</v>
      </c>
      <c r="K208" s="2603">
        <f t="shared" si="13"/>
        <v>2582886.6891080001</v>
      </c>
      <c r="S208" s="2551"/>
      <c r="T208" s="2551"/>
      <c r="U208" s="2551"/>
      <c r="V208" s="2551"/>
      <c r="W208" s="2551"/>
    </row>
    <row r="209" spans="1:23" ht="12.75" customHeight="1">
      <c r="A209" s="2533">
        <v>2018.08</v>
      </c>
      <c r="B209" s="2595">
        <v>81.403132290000002</v>
      </c>
      <c r="C209" s="2595">
        <v>359848.07319700002</v>
      </c>
      <c r="D209" s="3675">
        <v>924.11978611000006</v>
      </c>
      <c r="E209" s="2595">
        <v>1914897.304089</v>
      </c>
      <c r="F209" s="2595">
        <v>188.49364821</v>
      </c>
      <c r="G209" s="2595">
        <v>115163.68778200001</v>
      </c>
      <c r="H209" s="3675">
        <v>4.9679432000000006</v>
      </c>
      <c r="I209" s="2590">
        <v>7307.06</v>
      </c>
      <c r="J209" s="2602">
        <f t="shared" si="12"/>
        <v>1198.9845098100002</v>
      </c>
      <c r="K209" s="2603">
        <f t="shared" si="13"/>
        <v>2397216.1250680001</v>
      </c>
      <c r="S209" s="2551"/>
      <c r="T209" s="2551"/>
      <c r="U209" s="2551"/>
      <c r="V209" s="2551"/>
      <c r="W209" s="2551"/>
    </row>
    <row r="210" spans="1:23" ht="12.75" customHeight="1">
      <c r="A210" s="2533">
        <v>2018.09</v>
      </c>
      <c r="B210" s="2595">
        <v>75.888529849999998</v>
      </c>
      <c r="C210" s="2595">
        <v>306469.04378399998</v>
      </c>
      <c r="D210" s="3675">
        <v>891.74320564999994</v>
      </c>
      <c r="E210" s="2595">
        <v>2006539.939275</v>
      </c>
      <c r="F210" s="2595">
        <v>153.26597597</v>
      </c>
      <c r="G210" s="2595">
        <v>95199.960896000004</v>
      </c>
      <c r="H210" s="3675">
        <v>6.5343133</v>
      </c>
      <c r="I210" s="2590">
        <v>8954.2340000000004</v>
      </c>
      <c r="J210" s="2602">
        <f t="shared" si="12"/>
        <v>1127.4320247699998</v>
      </c>
      <c r="K210" s="2603">
        <f t="shared" si="13"/>
        <v>2417163.1779550002</v>
      </c>
      <c r="S210" s="2551"/>
      <c r="T210" s="2551"/>
      <c r="U210" s="2551"/>
      <c r="V210" s="2551"/>
      <c r="W210" s="2551"/>
    </row>
    <row r="211" spans="1:23" ht="12.75" customHeight="1">
      <c r="A211" s="2532">
        <v>2018.1</v>
      </c>
      <c r="B211" s="2595">
        <v>98.357190860000003</v>
      </c>
      <c r="C211" s="2595">
        <v>372167.83657099999</v>
      </c>
      <c r="D211" s="3675">
        <v>927.90314813999998</v>
      </c>
      <c r="E211" s="2595">
        <v>1993515.5584809999</v>
      </c>
      <c r="F211" s="2595">
        <v>116.96347440000001</v>
      </c>
      <c r="G211" s="2595">
        <v>89159.811344000002</v>
      </c>
      <c r="H211" s="3675">
        <v>3.2317588700000002</v>
      </c>
      <c r="I211" s="2590">
        <v>4630.692</v>
      </c>
      <c r="J211" s="2602">
        <f t="shared" si="12"/>
        <v>1146.4555722699999</v>
      </c>
      <c r="K211" s="2603">
        <f t="shared" si="13"/>
        <v>2459473.8983959998</v>
      </c>
      <c r="S211" s="2551"/>
      <c r="T211" s="2551"/>
      <c r="U211" s="2551"/>
      <c r="V211" s="2551"/>
      <c r="W211" s="2551"/>
    </row>
    <row r="212" spans="1:23" ht="12.75" customHeight="1">
      <c r="A212" s="2533">
        <v>2018.11</v>
      </c>
      <c r="B212" s="2595">
        <v>125.97800181999999</v>
      </c>
      <c r="C212" s="2595">
        <v>433890.82934399997</v>
      </c>
      <c r="D212" s="3675">
        <v>650.34237995000001</v>
      </c>
      <c r="E212" s="2595">
        <v>1352193.9671060001</v>
      </c>
      <c r="F212" s="2595">
        <v>224.37628861000002</v>
      </c>
      <c r="G212" s="2595">
        <v>162724.20093599998</v>
      </c>
      <c r="H212" s="3675">
        <v>5.2602995799999999</v>
      </c>
      <c r="I212" s="2590">
        <v>9214.9959999999992</v>
      </c>
      <c r="J212" s="2602">
        <f t="shared" si="12"/>
        <v>1005.9569699600002</v>
      </c>
      <c r="K212" s="2603">
        <f t="shared" si="13"/>
        <v>1958023.9933860002</v>
      </c>
      <c r="S212" s="2551"/>
      <c r="T212" s="2551"/>
      <c r="U212" s="2551"/>
      <c r="V212" s="2551"/>
      <c r="W212" s="2551"/>
    </row>
    <row r="213" spans="1:23" ht="12.75" customHeight="1">
      <c r="A213" s="2533">
        <v>2018.12</v>
      </c>
      <c r="B213" s="2595">
        <v>172.59726236</v>
      </c>
      <c r="C213" s="2595">
        <v>685378.55010800005</v>
      </c>
      <c r="D213" s="3675">
        <v>723.12937079999995</v>
      </c>
      <c r="E213" s="2595">
        <v>1540874.22927</v>
      </c>
      <c r="F213" s="2595">
        <v>180.42309660000001</v>
      </c>
      <c r="G213" s="2595">
        <v>128053.419389</v>
      </c>
      <c r="H213" s="3675">
        <v>5.71682574</v>
      </c>
      <c r="I213" s="2590">
        <v>11760.960999999999</v>
      </c>
      <c r="J213" s="2602">
        <f t="shared" si="12"/>
        <v>1081.8665555</v>
      </c>
      <c r="K213" s="2603">
        <f t="shared" si="13"/>
        <v>2366067.1597670005</v>
      </c>
      <c r="S213" s="2551"/>
      <c r="T213" s="2551"/>
      <c r="U213" s="2551"/>
      <c r="V213" s="2551"/>
      <c r="W213" s="2551"/>
    </row>
    <row r="214" spans="1:23" ht="12.75" customHeight="1">
      <c r="A214" s="2532">
        <f t="shared" ref="A214:A245" si="14">A202+1</f>
        <v>2019.01</v>
      </c>
      <c r="B214" s="2595">
        <v>143.59432493</v>
      </c>
      <c r="C214" s="2595">
        <v>644465.29893499997</v>
      </c>
      <c r="D214" s="3675">
        <v>776.67083055000001</v>
      </c>
      <c r="E214" s="2595">
        <v>1764857.5242860001</v>
      </c>
      <c r="F214" s="2595">
        <v>74.046989440000004</v>
      </c>
      <c r="G214" s="2595">
        <v>38355.264177000005</v>
      </c>
      <c r="H214" s="3675">
        <v>6.3917933700000003</v>
      </c>
      <c r="I214" s="2590">
        <v>12246.132427999999</v>
      </c>
      <c r="J214" s="2602">
        <f t="shared" si="12"/>
        <v>1000.70393829</v>
      </c>
      <c r="K214" s="2603">
        <f t="shared" si="13"/>
        <v>2459924.2198260003</v>
      </c>
      <c r="S214" s="2551"/>
      <c r="T214" s="2551"/>
      <c r="U214" s="2551"/>
      <c r="V214" s="2551"/>
      <c r="W214" s="2551"/>
    </row>
    <row r="215" spans="1:23" ht="12.75" customHeight="1">
      <c r="A215" s="2532">
        <f t="shared" si="14"/>
        <v>2019.02</v>
      </c>
      <c r="B215" s="2595">
        <v>98.185691890000001</v>
      </c>
      <c r="C215" s="2595">
        <v>451183.06835199997</v>
      </c>
      <c r="D215" s="3675">
        <v>759.30163513000002</v>
      </c>
      <c r="E215" s="2595">
        <v>1665649.6282820001</v>
      </c>
      <c r="F215" s="2595">
        <v>98.294304269999998</v>
      </c>
      <c r="G215" s="2595">
        <v>57387.262527999999</v>
      </c>
      <c r="H215" s="3675">
        <v>5.72118064</v>
      </c>
      <c r="I215" s="2590">
        <v>10505.796773</v>
      </c>
      <c r="J215" s="2602">
        <f t="shared" si="12"/>
        <v>961.50281193000001</v>
      </c>
      <c r="K215" s="2603">
        <f t="shared" si="13"/>
        <v>2184725.7559350003</v>
      </c>
      <c r="S215" s="2551"/>
      <c r="T215" s="2551"/>
      <c r="U215" s="2551"/>
      <c r="V215" s="2551"/>
      <c r="W215" s="2551"/>
    </row>
    <row r="216" spans="1:23" ht="12.75" customHeight="1">
      <c r="A216" s="2532">
        <f t="shared" si="14"/>
        <v>2019.03</v>
      </c>
      <c r="B216" s="2595">
        <v>127.71602829999999</v>
      </c>
      <c r="C216" s="2595">
        <v>634657.681705</v>
      </c>
      <c r="D216" s="3675">
        <v>738.12790552000001</v>
      </c>
      <c r="E216" s="2595">
        <v>1743291.9879670001</v>
      </c>
      <c r="F216" s="2595">
        <v>159.35516911000002</v>
      </c>
      <c r="G216" s="2595">
        <v>118100.20124600001</v>
      </c>
      <c r="H216" s="3675">
        <v>8.5302269200000005</v>
      </c>
      <c r="I216" s="2590">
        <v>13447.435719000001</v>
      </c>
      <c r="J216" s="2602">
        <f t="shared" si="12"/>
        <v>1033.7293298499999</v>
      </c>
      <c r="K216" s="2603">
        <f t="shared" si="13"/>
        <v>2509497.3066370003</v>
      </c>
      <c r="S216" s="2551"/>
      <c r="T216" s="2551"/>
      <c r="U216" s="2551"/>
      <c r="V216" s="2551"/>
      <c r="W216" s="2551"/>
    </row>
    <row r="217" spans="1:23" ht="12.75" customHeight="1">
      <c r="A217" s="2532">
        <f t="shared" si="14"/>
        <v>2019.04</v>
      </c>
      <c r="B217" s="2595">
        <v>149.29701366</v>
      </c>
      <c r="C217" s="2595">
        <v>711180.86864200002</v>
      </c>
      <c r="D217" s="3675">
        <v>812.85530476999998</v>
      </c>
      <c r="E217" s="2595">
        <v>2049507.3962900001</v>
      </c>
      <c r="F217" s="2595">
        <v>198.03653503999999</v>
      </c>
      <c r="G217" s="2595">
        <v>167146.05779699999</v>
      </c>
      <c r="H217" s="3675">
        <v>4.9653660199999994</v>
      </c>
      <c r="I217" s="2590">
        <v>7414.0644950000005</v>
      </c>
      <c r="J217" s="2602">
        <f t="shared" si="12"/>
        <v>1165.1542194899998</v>
      </c>
      <c r="K217" s="2603">
        <f t="shared" si="13"/>
        <v>2935248.3872239999</v>
      </c>
      <c r="S217" s="2551"/>
      <c r="T217" s="2551"/>
      <c r="U217" s="2551"/>
      <c r="V217" s="2551"/>
      <c r="W217" s="2551"/>
    </row>
    <row r="218" spans="1:23" ht="12.75" customHeight="1">
      <c r="A218" s="2532">
        <f t="shared" si="14"/>
        <v>2019.05</v>
      </c>
      <c r="B218" s="2595">
        <v>219.30759419999998</v>
      </c>
      <c r="C218" s="2595">
        <v>958137.37735099997</v>
      </c>
      <c r="D218" s="3675">
        <v>1033.7892305599999</v>
      </c>
      <c r="E218" s="2595">
        <v>2632289.2431469997</v>
      </c>
      <c r="F218" s="2595">
        <v>241.44535009000001</v>
      </c>
      <c r="G218" s="2595">
        <v>230234.15487100001</v>
      </c>
      <c r="H218" s="3675">
        <v>6.8154732000000005</v>
      </c>
      <c r="I218" s="2590">
        <v>10176.237344000001</v>
      </c>
      <c r="J218" s="2602">
        <f t="shared" si="12"/>
        <v>1501.3576480499999</v>
      </c>
      <c r="K218" s="2603">
        <f t="shared" si="13"/>
        <v>3830837.0127129997</v>
      </c>
      <c r="S218" s="2551"/>
      <c r="T218" s="2551"/>
      <c r="U218" s="2551"/>
      <c r="V218" s="2551"/>
      <c r="W218" s="2551"/>
    </row>
    <row r="219" spans="1:23" ht="12.75" customHeight="1">
      <c r="A219" s="2532">
        <f t="shared" si="14"/>
        <v>2019.06</v>
      </c>
      <c r="B219" s="2595">
        <v>113.89292752999999</v>
      </c>
      <c r="C219" s="2595">
        <v>551621.12382799992</v>
      </c>
      <c r="D219" s="3675">
        <v>972.72217982000006</v>
      </c>
      <c r="E219" s="2595">
        <v>2386469.0799199999</v>
      </c>
      <c r="F219" s="2595">
        <v>148.25113044</v>
      </c>
      <c r="G219" s="2595">
        <v>115854.601538</v>
      </c>
      <c r="H219" s="3675">
        <v>6.0234276500000004</v>
      </c>
      <c r="I219" s="2590">
        <v>11126.840335000001</v>
      </c>
      <c r="J219" s="2602">
        <f t="shared" si="12"/>
        <v>1240.88966544</v>
      </c>
      <c r="K219" s="2603">
        <f t="shared" si="13"/>
        <v>3065071.6456209999</v>
      </c>
      <c r="S219" s="2551"/>
      <c r="T219" s="2551"/>
      <c r="U219" s="2551"/>
      <c r="V219" s="2551"/>
      <c r="W219" s="2551"/>
    </row>
    <row r="220" spans="1:23" ht="12.75" customHeight="1">
      <c r="A220" s="2532">
        <f t="shared" si="14"/>
        <v>2019.07</v>
      </c>
      <c r="B220" s="2595">
        <v>190.72676245</v>
      </c>
      <c r="C220" s="2595">
        <v>866927.06314999994</v>
      </c>
      <c r="D220" s="3675">
        <v>949.80004453999993</v>
      </c>
      <c r="E220" s="2595">
        <v>2345724.4459629999</v>
      </c>
      <c r="F220" s="2595">
        <v>184.76485996</v>
      </c>
      <c r="G220" s="2595">
        <v>131430.89334900002</v>
      </c>
      <c r="H220" s="3675">
        <v>5.5918848899999993</v>
      </c>
      <c r="I220" s="2590">
        <v>9063.5188120000003</v>
      </c>
      <c r="J220" s="2602">
        <f t="shared" si="12"/>
        <v>1330.8835518399999</v>
      </c>
      <c r="K220" s="2603">
        <f t="shared" si="13"/>
        <v>3353145.9212739998</v>
      </c>
      <c r="S220" s="2551"/>
      <c r="T220" s="2551"/>
      <c r="U220" s="2551"/>
      <c r="V220" s="2551"/>
      <c r="W220" s="2551"/>
    </row>
    <row r="221" spans="1:23" ht="12.75" customHeight="1">
      <c r="A221" s="2532">
        <f t="shared" si="14"/>
        <v>2019.08</v>
      </c>
      <c r="B221" s="2595">
        <v>155.22279349000002</v>
      </c>
      <c r="C221" s="2595">
        <v>674049.53739700001</v>
      </c>
      <c r="D221" s="3675">
        <v>944.57079335000003</v>
      </c>
      <c r="E221" s="2595">
        <v>2261438.9189970004</v>
      </c>
      <c r="F221" s="2595">
        <v>153.15806443</v>
      </c>
      <c r="G221" s="2595">
        <v>125991.648617</v>
      </c>
      <c r="H221" s="3675">
        <v>3.5236175800000002</v>
      </c>
      <c r="I221" s="2590">
        <v>5302.0101679999998</v>
      </c>
      <c r="J221" s="2602">
        <f t="shared" si="12"/>
        <v>1256.47526885</v>
      </c>
      <c r="K221" s="2603">
        <f t="shared" si="13"/>
        <v>3066782.1151790004</v>
      </c>
      <c r="S221" s="2551"/>
      <c r="T221" s="2551"/>
      <c r="U221" s="2551"/>
      <c r="V221" s="2551"/>
      <c r="W221" s="2551"/>
    </row>
    <row r="222" spans="1:23" ht="12.75" customHeight="1">
      <c r="A222" s="2532">
        <f t="shared" si="14"/>
        <v>2019.09</v>
      </c>
      <c r="B222" s="2595">
        <v>185.81266468000001</v>
      </c>
      <c r="C222" s="2595">
        <v>756341.33587800001</v>
      </c>
      <c r="D222" s="3675">
        <v>946.01031538999996</v>
      </c>
      <c r="E222" s="2595">
        <v>2182719.7369829998</v>
      </c>
      <c r="F222" s="2595">
        <v>202.04169506</v>
      </c>
      <c r="G222" s="2595">
        <v>194144.003463</v>
      </c>
      <c r="H222" s="3675">
        <v>4.8359533200000007</v>
      </c>
      <c r="I222" s="2590">
        <v>7761.9789259999998</v>
      </c>
      <c r="J222" s="2602">
        <f t="shared" si="12"/>
        <v>1338.7006284500001</v>
      </c>
      <c r="K222" s="2603">
        <f t="shared" si="13"/>
        <v>3140967.0552500002</v>
      </c>
      <c r="S222" s="2551"/>
      <c r="T222" s="2551"/>
      <c r="U222" s="2551"/>
      <c r="V222" s="2551"/>
      <c r="W222" s="2551"/>
    </row>
    <row r="223" spans="1:23" ht="12.75" customHeight="1">
      <c r="A223" s="2532">
        <f t="shared" si="14"/>
        <v>2019.1</v>
      </c>
      <c r="B223" s="2595">
        <v>178.40984538000001</v>
      </c>
      <c r="C223" s="2595">
        <v>723348.32029800001</v>
      </c>
      <c r="D223" s="3675">
        <v>963.45199170000001</v>
      </c>
      <c r="E223" s="2595">
        <v>2376617.799842</v>
      </c>
      <c r="F223" s="2595">
        <v>89.792596410000002</v>
      </c>
      <c r="G223" s="2595">
        <v>51283.761299999998</v>
      </c>
      <c r="H223" s="3675">
        <v>5.07264698</v>
      </c>
      <c r="I223" s="2590">
        <v>7754.8189859999993</v>
      </c>
      <c r="J223" s="2602">
        <f t="shared" si="12"/>
        <v>1236.7270804699999</v>
      </c>
      <c r="K223" s="2603">
        <f t="shared" si="13"/>
        <v>3159004.7004260002</v>
      </c>
      <c r="S223" s="2551"/>
      <c r="T223" s="2551"/>
      <c r="U223" s="2551"/>
      <c r="V223" s="2551"/>
      <c r="W223" s="2551"/>
    </row>
    <row r="224" spans="1:23" ht="12.75" customHeight="1">
      <c r="A224" s="2532">
        <f t="shared" si="14"/>
        <v>2019.11</v>
      </c>
      <c r="B224" s="2595">
        <v>179.28756088999998</v>
      </c>
      <c r="C224" s="2595">
        <v>734147.43354600004</v>
      </c>
      <c r="D224" s="3675">
        <v>795.21276166999996</v>
      </c>
      <c r="E224" s="2595">
        <v>1832871.3937950002</v>
      </c>
      <c r="F224" s="2595">
        <v>158.87288862</v>
      </c>
      <c r="G224" s="2595">
        <v>114009.55097</v>
      </c>
      <c r="H224" s="3675">
        <v>5.2432599599999996</v>
      </c>
      <c r="I224" s="2590">
        <v>8804.7774090000003</v>
      </c>
      <c r="J224" s="2602">
        <f t="shared" si="12"/>
        <v>1138.6164711399999</v>
      </c>
      <c r="K224" s="2603">
        <f t="shared" si="13"/>
        <v>2689833.1557200002</v>
      </c>
      <c r="S224" s="2551"/>
      <c r="T224" s="2551"/>
      <c r="U224" s="2551"/>
      <c r="V224" s="2551"/>
      <c r="W224" s="2551"/>
    </row>
    <row r="225" spans="1:23" ht="12.75" customHeight="1">
      <c r="A225" s="2532">
        <f t="shared" si="14"/>
        <v>2019.12</v>
      </c>
      <c r="B225" s="2595">
        <v>145.17179413999997</v>
      </c>
      <c r="C225" s="2595">
        <v>688182.17808800004</v>
      </c>
      <c r="D225" s="3675">
        <v>701.00457563999998</v>
      </c>
      <c r="E225" s="2595">
        <v>1480739.6819920002</v>
      </c>
      <c r="F225" s="2595">
        <v>217.90536678000001</v>
      </c>
      <c r="G225" s="2595">
        <v>169305.65858399999</v>
      </c>
      <c r="H225" s="3675">
        <v>7.7485427300000005</v>
      </c>
      <c r="I225" s="2590">
        <v>13217.840267000001</v>
      </c>
      <c r="J225" s="2602">
        <f t="shared" si="12"/>
        <v>1071.8302792900001</v>
      </c>
      <c r="K225" s="2603">
        <f t="shared" si="13"/>
        <v>2351445.3589309999</v>
      </c>
      <c r="S225" s="2551"/>
      <c r="T225" s="2551"/>
      <c r="U225" s="2551"/>
      <c r="V225" s="2551"/>
      <c r="W225" s="2551"/>
    </row>
    <row r="226" spans="1:23" ht="12.75" customHeight="1">
      <c r="A226" s="2532">
        <f t="shared" si="14"/>
        <v>2020.01</v>
      </c>
      <c r="B226" s="2595">
        <v>211.34743766999998</v>
      </c>
      <c r="C226" s="2595">
        <v>1087313.9259639999</v>
      </c>
      <c r="D226" s="3675">
        <v>542.08097744000008</v>
      </c>
      <c r="E226" s="2595">
        <v>1044185.626954</v>
      </c>
      <c r="F226" s="2595">
        <v>79.261598859999992</v>
      </c>
      <c r="G226" s="2595">
        <v>64772.447460000003</v>
      </c>
      <c r="H226" s="3675">
        <v>8.036428410000001</v>
      </c>
      <c r="I226" s="2590">
        <v>13728.394624</v>
      </c>
      <c r="J226" s="2602">
        <f t="shared" si="12"/>
        <v>840.72644238000009</v>
      </c>
      <c r="K226" s="2603">
        <f t="shared" si="13"/>
        <v>2210000.395002</v>
      </c>
      <c r="S226" s="2551"/>
      <c r="T226" s="2551"/>
      <c r="U226" s="2551"/>
      <c r="V226" s="2551"/>
      <c r="W226" s="2551"/>
    </row>
    <row r="227" spans="1:23" ht="12.75" customHeight="1">
      <c r="A227" s="2532">
        <f t="shared" si="14"/>
        <v>2020.02</v>
      </c>
      <c r="B227" s="2595">
        <v>127.22951922</v>
      </c>
      <c r="C227" s="2595">
        <v>640065.08714800002</v>
      </c>
      <c r="D227" s="3675">
        <v>500.72426225999999</v>
      </c>
      <c r="E227" s="2595">
        <v>1059549.0899159999</v>
      </c>
      <c r="F227" s="2595">
        <v>100.78143057999999</v>
      </c>
      <c r="G227" s="2595">
        <v>70702.576738999996</v>
      </c>
      <c r="H227" s="3675">
        <v>7.1398869999999999</v>
      </c>
      <c r="I227" s="2590">
        <v>11821.673265000001</v>
      </c>
      <c r="J227" s="2602">
        <f t="shared" si="12"/>
        <v>735.87509906000003</v>
      </c>
      <c r="K227" s="2603">
        <f t="shared" si="13"/>
        <v>1782138.427068</v>
      </c>
      <c r="S227" s="2551"/>
      <c r="T227" s="2551"/>
      <c r="U227" s="2551"/>
      <c r="V227" s="2551"/>
      <c r="W227" s="2551"/>
    </row>
    <row r="228" spans="1:23" ht="12.75" customHeight="1">
      <c r="A228" s="2532">
        <f t="shared" si="14"/>
        <v>2020.03</v>
      </c>
      <c r="B228" s="2595">
        <v>148.22284480000002</v>
      </c>
      <c r="C228" s="2595">
        <v>775592.49802900001</v>
      </c>
      <c r="D228" s="3675">
        <v>561.95597816999998</v>
      </c>
      <c r="E228" s="2595">
        <v>1278382.02804</v>
      </c>
      <c r="F228" s="2595">
        <v>180.92791797000001</v>
      </c>
      <c r="G228" s="2595">
        <v>198722.82430500002</v>
      </c>
      <c r="H228" s="3675">
        <v>2.89349364</v>
      </c>
      <c r="I228" s="2590">
        <v>6677.7037089999994</v>
      </c>
      <c r="J228" s="2602">
        <f t="shared" si="12"/>
        <v>894.00023457999998</v>
      </c>
      <c r="K228" s="2603">
        <f t="shared" si="13"/>
        <v>2259375.0540829999</v>
      </c>
      <c r="S228" s="2551"/>
      <c r="T228" s="2551"/>
      <c r="U228" s="2551"/>
      <c r="V228" s="2551"/>
      <c r="W228" s="2551"/>
    </row>
    <row r="229" spans="1:23" ht="12.75" customHeight="1">
      <c r="A229" s="2532">
        <f t="shared" si="14"/>
        <v>2020.04</v>
      </c>
      <c r="B229" s="2595">
        <v>179.29956440999999</v>
      </c>
      <c r="C229" s="2595">
        <v>845580.65758100001</v>
      </c>
      <c r="D229" s="3675">
        <v>698.55460844000004</v>
      </c>
      <c r="E229" s="2595">
        <v>1530665.030642</v>
      </c>
      <c r="F229" s="2595">
        <v>66.84228967</v>
      </c>
      <c r="G229" s="2595">
        <v>64033.365358999996</v>
      </c>
      <c r="H229" s="3675">
        <v>1.8353798300000002</v>
      </c>
      <c r="I229" s="2590">
        <v>3986.7423020000001</v>
      </c>
      <c r="J229" s="2602">
        <f t="shared" si="12"/>
        <v>946.53184235000003</v>
      </c>
      <c r="K229" s="2603">
        <f t="shared" si="13"/>
        <v>2444265.7958840001</v>
      </c>
      <c r="S229" s="2551"/>
      <c r="T229" s="2551"/>
      <c r="U229" s="2551"/>
      <c r="V229" s="2551"/>
      <c r="W229" s="2551"/>
    </row>
    <row r="230" spans="1:23" ht="12.75" customHeight="1">
      <c r="A230" s="2532">
        <f t="shared" si="14"/>
        <v>2020.05</v>
      </c>
      <c r="B230" s="2595">
        <v>255.12677837000001</v>
      </c>
      <c r="C230" s="2595">
        <v>1048904.82338</v>
      </c>
      <c r="D230" s="3675">
        <v>848.49886380999999</v>
      </c>
      <c r="E230" s="2595">
        <v>2015243.2890299999</v>
      </c>
      <c r="F230" s="2595">
        <v>47.719043429999999</v>
      </c>
      <c r="G230" s="2595">
        <v>30055.193254999998</v>
      </c>
      <c r="H230" s="3675">
        <v>2.8016567000000001</v>
      </c>
      <c r="I230" s="2590">
        <v>9190.2739330000004</v>
      </c>
      <c r="J230" s="2602">
        <f t="shared" si="12"/>
        <v>1154.1463423099999</v>
      </c>
      <c r="K230" s="2603">
        <f t="shared" si="13"/>
        <v>3103393.5795979993</v>
      </c>
      <c r="S230" s="2551"/>
      <c r="T230" s="2551"/>
      <c r="U230" s="2551"/>
      <c r="V230" s="2551"/>
      <c r="W230" s="2551"/>
    </row>
    <row r="231" spans="1:23" ht="12.75" customHeight="1">
      <c r="A231" s="2532">
        <f t="shared" si="14"/>
        <v>2020.06</v>
      </c>
      <c r="B231" s="2595">
        <v>208.42347163999997</v>
      </c>
      <c r="C231" s="2595">
        <v>958162.54554900003</v>
      </c>
      <c r="D231" s="3675">
        <v>855.92993355999999</v>
      </c>
      <c r="E231" s="2595">
        <v>2060998.7483640001</v>
      </c>
      <c r="F231" s="2595">
        <v>63.913773999999997</v>
      </c>
      <c r="G231" s="2595">
        <v>49893.730838000003</v>
      </c>
      <c r="H231" s="3675">
        <v>2.3674425299999999</v>
      </c>
      <c r="I231" s="2590">
        <v>5838.5080549999993</v>
      </c>
      <c r="J231" s="2602">
        <f t="shared" si="12"/>
        <v>1130.6346217300002</v>
      </c>
      <c r="K231" s="2603">
        <f t="shared" si="13"/>
        <v>3074893.5328060002</v>
      </c>
      <c r="S231" s="2551"/>
      <c r="T231" s="2551"/>
      <c r="U231" s="2551"/>
      <c r="V231" s="2551"/>
      <c r="W231" s="2551"/>
    </row>
    <row r="232" spans="1:23" ht="12.75" customHeight="1">
      <c r="A232" s="2532">
        <f t="shared" si="14"/>
        <v>2020.07</v>
      </c>
      <c r="B232" s="2595">
        <v>181.31507644999999</v>
      </c>
      <c r="C232" s="2595">
        <v>848387.26301600004</v>
      </c>
      <c r="D232" s="3675">
        <v>710.57233303999999</v>
      </c>
      <c r="E232" s="2595">
        <v>1495131.9629019999</v>
      </c>
      <c r="F232" s="2595">
        <v>131.56461382999998</v>
      </c>
      <c r="G232" s="2595">
        <v>124928.82645000001</v>
      </c>
      <c r="H232" s="3675">
        <v>6.2233952500000003</v>
      </c>
      <c r="I232" s="2590">
        <v>14963.914561000001</v>
      </c>
      <c r="J232" s="2602">
        <f t="shared" si="12"/>
        <v>1029.6754185699999</v>
      </c>
      <c r="K232" s="2603">
        <f t="shared" si="13"/>
        <v>2483411.9669290003</v>
      </c>
      <c r="S232" s="2551"/>
      <c r="T232" s="2551"/>
      <c r="U232" s="2551"/>
      <c r="V232" s="2551"/>
      <c r="W232" s="2551"/>
    </row>
    <row r="233" spans="1:23" ht="12.75" customHeight="1">
      <c r="A233" s="2532">
        <f t="shared" si="14"/>
        <v>2020.08</v>
      </c>
      <c r="B233" s="2595">
        <v>181.08853102</v>
      </c>
      <c r="C233" s="2595">
        <v>853667.90847399994</v>
      </c>
      <c r="D233" s="3675">
        <v>749.69363473999999</v>
      </c>
      <c r="E233" s="2595">
        <v>1651762.7565599999</v>
      </c>
      <c r="F233" s="2595">
        <v>101.64837940000001</v>
      </c>
      <c r="G233" s="2595">
        <v>79480.829759</v>
      </c>
      <c r="H233" s="3675">
        <v>4.6179736199999999</v>
      </c>
      <c r="I233" s="2590">
        <v>9982.1089869999996</v>
      </c>
      <c r="J233" s="2602">
        <f t="shared" si="12"/>
        <v>1037.04851878</v>
      </c>
      <c r="K233" s="2603">
        <f t="shared" si="13"/>
        <v>2594893.6037799995</v>
      </c>
      <c r="S233" s="2551"/>
      <c r="T233" s="2551"/>
      <c r="U233" s="2551"/>
      <c r="V233" s="2551"/>
      <c r="W233" s="2551"/>
    </row>
    <row r="234" spans="1:23" ht="12.75" customHeight="1">
      <c r="A234" s="2532">
        <f t="shared" si="14"/>
        <v>2020.09</v>
      </c>
      <c r="B234" s="2595">
        <v>97.352084689999998</v>
      </c>
      <c r="C234" s="2595">
        <v>495986.54821400001</v>
      </c>
      <c r="D234" s="3675">
        <v>731.46683025000004</v>
      </c>
      <c r="E234" s="2595">
        <v>1586200.3332839999</v>
      </c>
      <c r="F234" s="2595">
        <v>169.68801746</v>
      </c>
      <c r="G234" s="2595">
        <v>154438.153773</v>
      </c>
      <c r="H234" s="3675">
        <v>4.9921587199999999</v>
      </c>
      <c r="I234" s="2590">
        <v>12376.984665</v>
      </c>
      <c r="J234" s="2602">
        <f t="shared" si="12"/>
        <v>1003.49909112</v>
      </c>
      <c r="K234" s="2603">
        <f t="shared" si="13"/>
        <v>2249002.019936</v>
      </c>
      <c r="S234" s="2551"/>
      <c r="T234" s="2551"/>
      <c r="U234" s="2551"/>
      <c r="V234" s="2551"/>
      <c r="W234" s="2551"/>
    </row>
    <row r="235" spans="1:23" ht="12.75" customHeight="1">
      <c r="A235" s="2532">
        <f t="shared" si="14"/>
        <v>2020.1</v>
      </c>
      <c r="B235" s="2595">
        <v>83.172137309999997</v>
      </c>
      <c r="C235" s="2595">
        <v>398185.10593600001</v>
      </c>
      <c r="D235" s="3675">
        <v>844.82125799000005</v>
      </c>
      <c r="E235" s="2595">
        <v>1636396.7239000001</v>
      </c>
      <c r="F235" s="2595">
        <v>74.744523799999996</v>
      </c>
      <c r="G235" s="2595">
        <v>48359.743759999998</v>
      </c>
      <c r="H235" s="3675">
        <v>5.1131905899999994</v>
      </c>
      <c r="I235" s="2590">
        <v>11863.803684</v>
      </c>
      <c r="J235" s="2602">
        <f t="shared" si="12"/>
        <v>1007.8511096900002</v>
      </c>
      <c r="K235" s="2603">
        <f t="shared" si="13"/>
        <v>2094805.3772800001</v>
      </c>
      <c r="S235" s="2551"/>
      <c r="T235" s="2551"/>
      <c r="U235" s="2551"/>
      <c r="V235" s="2551"/>
      <c r="W235" s="2551"/>
    </row>
    <row r="236" spans="1:23" ht="12.75" customHeight="1">
      <c r="A236" s="2532">
        <f t="shared" si="14"/>
        <v>2020.11</v>
      </c>
      <c r="B236" s="2595">
        <v>57.883704649999999</v>
      </c>
      <c r="C236" s="2595">
        <v>266799.62055200001</v>
      </c>
      <c r="D236" s="3675">
        <v>975.41653960000008</v>
      </c>
      <c r="E236" s="2595">
        <v>1800643.1451760002</v>
      </c>
      <c r="F236" s="2595">
        <v>77.942245189999994</v>
      </c>
      <c r="G236" s="2595">
        <v>57862.606249999997</v>
      </c>
      <c r="H236" s="3675">
        <v>5.0251907500000002</v>
      </c>
      <c r="I236" s="2590">
        <v>12289.888824</v>
      </c>
      <c r="J236" s="2602">
        <f t="shared" si="12"/>
        <v>1116.2676801900002</v>
      </c>
      <c r="K236" s="2603">
        <f t="shared" si="13"/>
        <v>2137595.2608020003</v>
      </c>
      <c r="S236" s="2551"/>
      <c r="T236" s="2551"/>
      <c r="U236" s="2551"/>
      <c r="V236" s="2551"/>
      <c r="W236" s="2551"/>
    </row>
    <row r="237" spans="1:23" ht="12.75" customHeight="1">
      <c r="A237" s="2532">
        <f t="shared" si="14"/>
        <v>2020.12</v>
      </c>
      <c r="B237" s="2595">
        <v>70.222735889999996</v>
      </c>
      <c r="C237" s="2595">
        <v>320489.15085699997</v>
      </c>
      <c r="D237" s="3675">
        <v>338.38462773999998</v>
      </c>
      <c r="E237" s="2595">
        <v>528548.69698000001</v>
      </c>
      <c r="F237" s="2595">
        <v>64.125996040000004</v>
      </c>
      <c r="G237" s="2595">
        <v>34654.638996000001</v>
      </c>
      <c r="H237" s="3675">
        <v>9.2004578600000002</v>
      </c>
      <c r="I237" s="2590">
        <v>19194.741565</v>
      </c>
      <c r="J237" s="2602">
        <f t="shared" si="12"/>
        <v>481.93381753000006</v>
      </c>
      <c r="K237" s="2603">
        <f t="shared" si="13"/>
        <v>902887.22839800001</v>
      </c>
      <c r="S237" s="2551"/>
      <c r="T237" s="2551"/>
      <c r="U237" s="2551"/>
      <c r="V237" s="2551"/>
      <c r="W237" s="2551"/>
    </row>
    <row r="238" spans="1:23" ht="12.75" customHeight="1">
      <c r="A238" s="2532">
        <f t="shared" si="14"/>
        <v>2021.01</v>
      </c>
      <c r="B238" s="2595">
        <v>101.31767470999999</v>
      </c>
      <c r="C238" s="2595">
        <v>454876.26660999999</v>
      </c>
      <c r="D238" s="3675">
        <v>1089.0620494300001</v>
      </c>
      <c r="E238" s="2595">
        <v>1818085.911026</v>
      </c>
      <c r="F238" s="2595">
        <v>116.60746111</v>
      </c>
      <c r="G238" s="2595">
        <v>103276.63696600001</v>
      </c>
      <c r="H238" s="3675">
        <v>5.07664165</v>
      </c>
      <c r="I238" s="2590">
        <v>8696.5712390000008</v>
      </c>
      <c r="J238" s="2602">
        <f t="shared" si="12"/>
        <v>1312.0638269000001</v>
      </c>
      <c r="K238" s="2603">
        <f t="shared" si="13"/>
        <v>2384935.3858409999</v>
      </c>
      <c r="S238" s="2551"/>
      <c r="T238" s="2551"/>
      <c r="U238" s="2551"/>
      <c r="V238" s="2551"/>
      <c r="W238" s="2551"/>
    </row>
    <row r="239" spans="1:23" ht="12.75" customHeight="1">
      <c r="A239" s="2532">
        <f t="shared" si="14"/>
        <v>2021.02</v>
      </c>
      <c r="B239" s="2595">
        <v>90.526940139999994</v>
      </c>
      <c r="C239" s="2595">
        <v>379177.485552</v>
      </c>
      <c r="D239" s="3675">
        <v>1038.17502674</v>
      </c>
      <c r="E239" s="2595">
        <v>1683960.9644009999</v>
      </c>
      <c r="F239" s="2595">
        <v>144.40233257</v>
      </c>
      <c r="G239" s="2595">
        <v>115330.14595200001</v>
      </c>
      <c r="H239" s="3675">
        <v>6.0553217199999994</v>
      </c>
      <c r="I239" s="2590">
        <v>9811.9274030000015</v>
      </c>
      <c r="J239" s="2602">
        <f t="shared" si="12"/>
        <v>1279.15962117</v>
      </c>
      <c r="K239" s="2603">
        <f t="shared" si="13"/>
        <v>2188280.5233080001</v>
      </c>
      <c r="S239" s="2551"/>
      <c r="T239" s="2551"/>
      <c r="U239" s="2551"/>
      <c r="V239" s="2551"/>
      <c r="W239" s="2551"/>
    </row>
    <row r="240" spans="1:23" ht="12.75" customHeight="1">
      <c r="A240" s="2532">
        <f t="shared" si="14"/>
        <v>2021.03</v>
      </c>
      <c r="B240" s="2595">
        <v>127.90715178000001</v>
      </c>
      <c r="C240" s="2595">
        <v>548832.01546500006</v>
      </c>
      <c r="D240" s="3675">
        <v>1132.7647883099999</v>
      </c>
      <c r="E240" s="2595">
        <v>1865533.7536289999</v>
      </c>
      <c r="F240" s="2595">
        <v>179.57574331000001</v>
      </c>
      <c r="G240" s="2595">
        <v>148586.787774</v>
      </c>
      <c r="H240" s="3675">
        <v>6.8615165400000002</v>
      </c>
      <c r="I240" s="2590">
        <v>10054.615072000001</v>
      </c>
      <c r="J240" s="2602">
        <f t="shared" si="12"/>
        <v>1447.1091999399998</v>
      </c>
      <c r="K240" s="2603">
        <f t="shared" si="13"/>
        <v>2573007.1719399998</v>
      </c>
      <c r="S240" s="2551"/>
      <c r="T240" s="2551"/>
      <c r="U240" s="2551"/>
      <c r="V240" s="2551"/>
      <c r="W240" s="2551"/>
    </row>
    <row r="241" spans="1:23" ht="12.75" customHeight="1">
      <c r="A241" s="2532">
        <f t="shared" si="14"/>
        <v>2021.04</v>
      </c>
      <c r="B241" s="2595">
        <v>201.92423652000002</v>
      </c>
      <c r="C241" s="2595">
        <v>785648.92162899999</v>
      </c>
      <c r="D241" s="3675">
        <v>1334.6386648599998</v>
      </c>
      <c r="E241" s="2595">
        <v>2288300.765904</v>
      </c>
      <c r="F241" s="2595">
        <v>92.317272129999992</v>
      </c>
      <c r="G241" s="2595">
        <v>58902.862715999996</v>
      </c>
      <c r="H241" s="3675">
        <v>4.3776543399999994</v>
      </c>
      <c r="I241" s="2590">
        <v>6322.3892109999997</v>
      </c>
      <c r="J241" s="2602">
        <f t="shared" si="12"/>
        <v>1633.2578278499998</v>
      </c>
      <c r="K241" s="2603">
        <f t="shared" si="13"/>
        <v>3139174.93946</v>
      </c>
      <c r="S241" s="2551"/>
      <c r="T241" s="2551"/>
      <c r="U241" s="2551"/>
      <c r="V241" s="2551"/>
      <c r="W241" s="2551"/>
    </row>
    <row r="242" spans="1:23" ht="12.75" customHeight="1">
      <c r="A242" s="2532">
        <f t="shared" si="14"/>
        <v>2021.05</v>
      </c>
      <c r="B242" s="2595">
        <v>236.25827075000001</v>
      </c>
      <c r="C242" s="2595">
        <v>773510.84898500005</v>
      </c>
      <c r="D242" s="3675">
        <v>1219.0366340599999</v>
      </c>
      <c r="E242" s="2595">
        <v>1991528.7614740001</v>
      </c>
      <c r="F242" s="2595">
        <v>219.52910256000001</v>
      </c>
      <c r="G242" s="2595">
        <v>163868.41925499999</v>
      </c>
      <c r="H242" s="3675">
        <v>7.0209415799999997</v>
      </c>
      <c r="I242" s="2590">
        <v>10148.84167</v>
      </c>
      <c r="J242" s="2602">
        <f t="shared" si="12"/>
        <v>1681.8449489499999</v>
      </c>
      <c r="K242" s="2603">
        <f t="shared" si="13"/>
        <v>2939056.8713839999</v>
      </c>
      <c r="S242" s="2551"/>
      <c r="T242" s="2551"/>
      <c r="U242" s="2551"/>
      <c r="V242" s="2551"/>
      <c r="W242" s="2551"/>
    </row>
    <row r="243" spans="1:23" ht="12.75" customHeight="1">
      <c r="A243" s="2532">
        <f t="shared" si="14"/>
        <v>2021.06</v>
      </c>
      <c r="B243" s="2595">
        <v>220.58991895</v>
      </c>
      <c r="C243" s="2595">
        <v>774819.97034200002</v>
      </c>
      <c r="D243" s="3675">
        <v>1152.72083421</v>
      </c>
      <c r="E243" s="2595">
        <v>1980540.1978579999</v>
      </c>
      <c r="F243" s="2595">
        <v>260.65459324</v>
      </c>
      <c r="G243" s="2595">
        <v>179225.78928600001</v>
      </c>
      <c r="H243" s="3675">
        <v>3.5081277499999999</v>
      </c>
      <c r="I243" s="2590">
        <v>5109.2213510000001</v>
      </c>
      <c r="J243" s="2602">
        <f t="shared" si="12"/>
        <v>1637.4734741500001</v>
      </c>
      <c r="K243" s="2603">
        <f t="shared" si="13"/>
        <v>2939695.1788370004</v>
      </c>
      <c r="S243" s="2551"/>
      <c r="T243" s="2551"/>
      <c r="U243" s="2551"/>
      <c r="V243" s="2551"/>
      <c r="W243" s="2551"/>
    </row>
    <row r="244" spans="1:23" ht="12.75" customHeight="1">
      <c r="A244" s="2532">
        <f t="shared" si="14"/>
        <v>2021.07</v>
      </c>
      <c r="B244" s="2595">
        <v>265.79921528</v>
      </c>
      <c r="C244" s="2595">
        <v>902725.031235</v>
      </c>
      <c r="D244" s="3675">
        <v>1037.2709872200001</v>
      </c>
      <c r="E244" s="2595">
        <v>1731674.843745</v>
      </c>
      <c r="F244" s="2595">
        <v>325.91625389000001</v>
      </c>
      <c r="G244" s="2595">
        <v>217643.658865</v>
      </c>
      <c r="H244" s="3675">
        <v>14.047445099999999</v>
      </c>
      <c r="I244" s="2590">
        <v>21024.454919</v>
      </c>
      <c r="J244" s="2602">
        <f t="shared" si="12"/>
        <v>1643.0339014900001</v>
      </c>
      <c r="K244" s="2603">
        <f t="shared" si="13"/>
        <v>2873067.9887640001</v>
      </c>
      <c r="S244" s="2551"/>
      <c r="T244" s="2551"/>
      <c r="U244" s="2551"/>
      <c r="V244" s="2551"/>
      <c r="W244" s="2551"/>
    </row>
    <row r="245" spans="1:23" ht="12.75" customHeight="1">
      <c r="A245" s="2532">
        <f t="shared" si="14"/>
        <v>2021.08</v>
      </c>
      <c r="B245" s="2595">
        <v>341.85166179999999</v>
      </c>
      <c r="C245" s="2595">
        <v>1030399.570253</v>
      </c>
      <c r="D245" s="3675">
        <v>980.90953365999997</v>
      </c>
      <c r="E245" s="2595">
        <v>1697841.230062</v>
      </c>
      <c r="F245" s="2595">
        <v>243.35407850999999</v>
      </c>
      <c r="G245" s="2595">
        <v>150236.39165799998</v>
      </c>
      <c r="H245" s="3675">
        <v>10.00849212</v>
      </c>
      <c r="I245" s="2590">
        <v>14107.733898</v>
      </c>
      <c r="J245" s="2602">
        <f t="shared" si="12"/>
        <v>1576.1237660899999</v>
      </c>
      <c r="K245" s="2603">
        <f t="shared" si="13"/>
        <v>2892584.9258710002</v>
      </c>
      <c r="S245" s="2551"/>
      <c r="T245" s="2551"/>
      <c r="U245" s="2551"/>
      <c r="V245" s="2551"/>
      <c r="W245" s="2551"/>
    </row>
    <row r="246" spans="1:23" ht="12.75" customHeight="1">
      <c r="A246" s="2532">
        <f t="shared" ref="A246:A277" si="15">A234+1</f>
        <v>2021.09</v>
      </c>
      <c r="B246" s="2595">
        <v>266.19816974000003</v>
      </c>
      <c r="C246" s="2595">
        <v>842769.09696300002</v>
      </c>
      <c r="D246" s="3675">
        <v>1189.1478928699999</v>
      </c>
      <c r="E246" s="2595">
        <v>1976837.9791550001</v>
      </c>
      <c r="F246" s="2595">
        <v>228.76807054</v>
      </c>
      <c r="G246" s="2595">
        <v>142719.99241899999</v>
      </c>
      <c r="H246" s="3675">
        <v>11.096508609999999</v>
      </c>
      <c r="I246" s="2590">
        <v>16721.653361000001</v>
      </c>
      <c r="J246" s="2602">
        <f t="shared" si="12"/>
        <v>1695.21064176</v>
      </c>
      <c r="K246" s="2603">
        <f t="shared" si="13"/>
        <v>2979048.7218979998</v>
      </c>
      <c r="S246" s="2551"/>
      <c r="T246" s="2551"/>
      <c r="U246" s="2551"/>
      <c r="V246" s="2551"/>
      <c r="W246" s="2551"/>
    </row>
    <row r="247" spans="1:23" ht="12.75" customHeight="1">
      <c r="A247" s="2532">
        <f t="shared" si="15"/>
        <v>2021.1</v>
      </c>
      <c r="B247" s="2595">
        <v>198.18818235000001</v>
      </c>
      <c r="C247" s="2595">
        <v>685177.93365499994</v>
      </c>
      <c r="D247" s="3675">
        <v>1015.7115638400001</v>
      </c>
      <c r="E247" s="2595">
        <v>1707720.759785</v>
      </c>
      <c r="F247" s="2595">
        <v>276.48136998000001</v>
      </c>
      <c r="G247" s="2595">
        <v>173077.75309400001</v>
      </c>
      <c r="H247" s="3675">
        <v>8.4375926500000009</v>
      </c>
      <c r="I247" s="2590">
        <v>11281.076091999999</v>
      </c>
      <c r="J247" s="2602">
        <f t="shared" si="12"/>
        <v>1498.81870882</v>
      </c>
      <c r="K247" s="2603">
        <f t="shared" si="13"/>
        <v>2577257.522626</v>
      </c>
      <c r="S247" s="2551"/>
      <c r="T247" s="2551"/>
      <c r="U247" s="2551"/>
      <c r="V247" s="2551"/>
      <c r="W247" s="2551"/>
    </row>
    <row r="248" spans="1:23" ht="12.75" customHeight="1">
      <c r="A248" s="2532">
        <f t="shared" si="15"/>
        <v>2021.11</v>
      </c>
      <c r="B248" s="2595">
        <v>123.96125634000001</v>
      </c>
      <c r="C248" s="2595">
        <v>457553.28443300002</v>
      </c>
      <c r="D248" s="3675">
        <v>1068.7544252999999</v>
      </c>
      <c r="E248" s="2595">
        <v>1665494.5776120001</v>
      </c>
      <c r="F248" s="2595">
        <v>145.10305226</v>
      </c>
      <c r="G248" s="2595">
        <v>73938.767462999996</v>
      </c>
      <c r="H248" s="3675">
        <v>9.5429938699999983</v>
      </c>
      <c r="I248" s="2590">
        <v>11905.904556</v>
      </c>
      <c r="J248" s="2602">
        <f t="shared" si="12"/>
        <v>1347.3617277699998</v>
      </c>
      <c r="K248" s="2603">
        <f t="shared" si="13"/>
        <v>2208892.5340640005</v>
      </c>
      <c r="S248" s="2551"/>
      <c r="T248" s="2551"/>
      <c r="U248" s="2551"/>
      <c r="V248" s="2551"/>
      <c r="W248" s="2551"/>
    </row>
    <row r="249" spans="1:23" ht="12.75" customHeight="1">
      <c r="A249" s="2532">
        <f t="shared" si="15"/>
        <v>2021.12</v>
      </c>
      <c r="B249" s="2595">
        <v>179.74774608000001</v>
      </c>
      <c r="C249" s="2595">
        <v>645168.52076999994</v>
      </c>
      <c r="D249" s="3675">
        <v>871.31717259000004</v>
      </c>
      <c r="E249" s="2595">
        <v>1420290.1970899999</v>
      </c>
      <c r="F249" s="2595">
        <v>104.9113459</v>
      </c>
      <c r="G249" s="2595">
        <v>50650.328923000001</v>
      </c>
      <c r="H249" s="3675">
        <v>12.90670892</v>
      </c>
      <c r="I249" s="2590">
        <v>17142.724701000003</v>
      </c>
      <c r="J249" s="2602">
        <f t="shared" si="12"/>
        <v>1168.88297349</v>
      </c>
      <c r="K249" s="2603">
        <f t="shared" si="13"/>
        <v>2133251.7714839997</v>
      </c>
      <c r="S249" s="2551"/>
      <c r="T249" s="2551"/>
      <c r="U249" s="2551"/>
      <c r="V249" s="2551"/>
      <c r="W249" s="2551"/>
    </row>
    <row r="250" spans="1:23" ht="12.75" customHeight="1">
      <c r="A250" s="2532">
        <f t="shared" si="15"/>
        <v>2022.01</v>
      </c>
      <c r="B250" s="2595">
        <v>254.2296475</v>
      </c>
      <c r="C250" s="2595">
        <v>878465.92384199996</v>
      </c>
      <c r="D250" s="3675">
        <v>659.39296101000002</v>
      </c>
      <c r="E250" s="2595">
        <v>940298.93805999996</v>
      </c>
      <c r="F250" s="2595">
        <v>239.61414961000003</v>
      </c>
      <c r="G250" s="2595">
        <v>156402.71707699998</v>
      </c>
      <c r="H250" s="3675">
        <v>10.2076621</v>
      </c>
      <c r="I250" s="2590">
        <v>13185.882320000001</v>
      </c>
      <c r="J250" s="2602">
        <f t="shared" si="12"/>
        <v>1163.4444202200002</v>
      </c>
      <c r="K250" s="2603">
        <f t="shared" si="13"/>
        <v>1988353.4612990001</v>
      </c>
      <c r="S250" s="2551"/>
      <c r="T250" s="2551"/>
      <c r="U250" s="2551"/>
      <c r="V250" s="2551"/>
      <c r="W250" s="2551"/>
    </row>
    <row r="251" spans="1:23" ht="12.75" customHeight="1">
      <c r="A251" s="2532">
        <f t="shared" si="15"/>
        <v>2022.02</v>
      </c>
      <c r="B251" s="2595">
        <v>236.02176274999999</v>
      </c>
      <c r="C251" s="2595">
        <v>797021.20036800008</v>
      </c>
      <c r="D251" s="3675">
        <v>867.77374298000007</v>
      </c>
      <c r="E251" s="2595">
        <v>1367024.056472</v>
      </c>
      <c r="F251" s="2595">
        <v>257.25267499</v>
      </c>
      <c r="G251" s="2595">
        <v>142954.907145</v>
      </c>
      <c r="H251" s="3675">
        <v>8.9331971899999996</v>
      </c>
      <c r="I251" s="2590">
        <v>9627.2121549999993</v>
      </c>
      <c r="J251" s="2602">
        <f t="shared" si="12"/>
        <v>1369.9813779100002</v>
      </c>
      <c r="K251" s="2603">
        <f t="shared" si="13"/>
        <v>2316627.3761399998</v>
      </c>
      <c r="S251" s="2551"/>
      <c r="T251" s="2551"/>
      <c r="U251" s="2551"/>
      <c r="V251" s="2551"/>
      <c r="W251" s="2551"/>
    </row>
    <row r="252" spans="1:23" ht="12.75" customHeight="1">
      <c r="A252" s="2532">
        <f t="shared" si="15"/>
        <v>2022.03</v>
      </c>
      <c r="B252" s="2595">
        <v>236.71929426</v>
      </c>
      <c r="C252" s="2595">
        <v>826942.90860800003</v>
      </c>
      <c r="D252" s="3675">
        <v>1058.94476074</v>
      </c>
      <c r="E252" s="2595">
        <v>1421790.8885950001</v>
      </c>
      <c r="F252" s="2595">
        <v>276.25757923999998</v>
      </c>
      <c r="G252" s="2595">
        <v>151263.75651199999</v>
      </c>
      <c r="H252" s="3675">
        <v>6.4224160899999996</v>
      </c>
      <c r="I252" s="2590">
        <v>6252.6007159999999</v>
      </c>
      <c r="J252" s="2602">
        <f t="shared" si="12"/>
        <v>1578.3440503300001</v>
      </c>
      <c r="K252" s="2603">
        <f t="shared" si="13"/>
        <v>2406250.1544309999</v>
      </c>
      <c r="S252" s="2551"/>
      <c r="T252" s="2551"/>
      <c r="U252" s="2551"/>
      <c r="V252" s="2551"/>
      <c r="W252" s="2551"/>
    </row>
    <row r="253" spans="1:23" ht="12.75" customHeight="1">
      <c r="A253" s="2532">
        <f t="shared" si="15"/>
        <v>2022.04</v>
      </c>
      <c r="B253" s="2595">
        <v>264.15385772999997</v>
      </c>
      <c r="C253" s="2595">
        <v>887484.68487699993</v>
      </c>
      <c r="D253" s="3675">
        <v>1434.35115161</v>
      </c>
      <c r="E253" s="2595">
        <v>2020202.9458689999</v>
      </c>
      <c r="F253" s="2595">
        <v>269.45294816000001</v>
      </c>
      <c r="G253" s="2595">
        <v>143622.02652399999</v>
      </c>
      <c r="H253" s="3675">
        <v>20.339959090000001</v>
      </c>
      <c r="I253" s="2590">
        <v>24155.344565000003</v>
      </c>
      <c r="J253" s="2602">
        <f t="shared" si="12"/>
        <v>1988.2979165900001</v>
      </c>
      <c r="K253" s="2603">
        <f t="shared" si="13"/>
        <v>3075465.0018349998</v>
      </c>
      <c r="S253" s="2551"/>
      <c r="T253" s="2551"/>
      <c r="U253" s="2551"/>
      <c r="V253" s="2551"/>
      <c r="W253" s="2551"/>
    </row>
    <row r="254" spans="1:23" ht="12.75" customHeight="1">
      <c r="A254" s="2532">
        <f t="shared" si="15"/>
        <v>2022.05</v>
      </c>
      <c r="B254" s="2595">
        <v>251.93970634999999</v>
      </c>
      <c r="C254" s="2595">
        <v>811995.58639900002</v>
      </c>
      <c r="D254" s="3675">
        <v>1535.380443</v>
      </c>
      <c r="E254" s="2595">
        <v>1982884.0330459999</v>
      </c>
      <c r="F254" s="2595">
        <v>257.58286974999999</v>
      </c>
      <c r="G254" s="2595">
        <v>147209.571735</v>
      </c>
      <c r="H254" s="3675">
        <v>8.503275369999999</v>
      </c>
      <c r="I254" s="2590">
        <v>7217.2094289999995</v>
      </c>
      <c r="J254" s="2602">
        <f t="shared" si="12"/>
        <v>2053.4062944700004</v>
      </c>
      <c r="K254" s="2603">
        <f t="shared" si="13"/>
        <v>2949306.4006090001</v>
      </c>
      <c r="S254" s="2551"/>
      <c r="T254" s="2551"/>
      <c r="U254" s="2551"/>
      <c r="V254" s="2551"/>
      <c r="W254" s="2551"/>
    </row>
    <row r="255" spans="1:23" ht="12.75" customHeight="1">
      <c r="A255" s="2532">
        <f t="shared" si="15"/>
        <v>2022.06</v>
      </c>
      <c r="B255" s="2595">
        <v>212.95687315000001</v>
      </c>
      <c r="C255" s="2595">
        <v>654405.93406100001</v>
      </c>
      <c r="D255" s="3675">
        <v>1542.6660248000001</v>
      </c>
      <c r="E255" s="2595">
        <v>2098171.497432</v>
      </c>
      <c r="F255" s="2595">
        <v>330.88315892999998</v>
      </c>
      <c r="G255" s="2595">
        <v>182803.57988999999</v>
      </c>
      <c r="H255" s="3675">
        <v>15.58818898</v>
      </c>
      <c r="I255" s="2590">
        <v>12750.329769</v>
      </c>
      <c r="J255" s="2602">
        <f t="shared" si="12"/>
        <v>2102.0942458599998</v>
      </c>
      <c r="K255" s="2603">
        <f t="shared" si="13"/>
        <v>2948131.3411520002</v>
      </c>
      <c r="S255" s="2551"/>
      <c r="T255" s="2551"/>
      <c r="U255" s="2551"/>
      <c r="V255" s="2551"/>
      <c r="W255" s="2551"/>
    </row>
    <row r="256" spans="1:23" ht="12.75" customHeight="1">
      <c r="A256" s="2532">
        <f t="shared" si="15"/>
        <v>2022.07</v>
      </c>
      <c r="B256" s="2595">
        <v>257.03924884000003</v>
      </c>
      <c r="C256" s="2595">
        <v>785815.33669200004</v>
      </c>
      <c r="D256" s="3675">
        <v>1102.4853432999998</v>
      </c>
      <c r="E256" s="2595">
        <v>1586565.8791159999</v>
      </c>
      <c r="F256" s="2595">
        <v>170.54694615</v>
      </c>
      <c r="G256" s="2595">
        <v>77039.914223</v>
      </c>
      <c r="H256" s="3675">
        <v>15.409813010000001</v>
      </c>
      <c r="I256" s="2590">
        <v>12875.594915</v>
      </c>
      <c r="J256" s="2602">
        <f t="shared" si="12"/>
        <v>1545.4813512999999</v>
      </c>
      <c r="K256" s="2603">
        <f t="shared" si="13"/>
        <v>2462296.7249459997</v>
      </c>
      <c r="S256" s="2551"/>
      <c r="T256" s="2551"/>
      <c r="U256" s="2551"/>
      <c r="V256" s="2551"/>
      <c r="W256" s="2551"/>
    </row>
    <row r="257" spans="1:23" ht="12.75" customHeight="1">
      <c r="A257" s="2532">
        <f t="shared" si="15"/>
        <v>2022.08</v>
      </c>
      <c r="B257" s="2595">
        <v>198.43867921</v>
      </c>
      <c r="C257" s="2595">
        <v>599286.90872499999</v>
      </c>
      <c r="D257" s="3675">
        <v>1007.88340052</v>
      </c>
      <c r="E257" s="2595">
        <v>1319681.947715</v>
      </c>
      <c r="F257" s="2595">
        <v>167.34025197999998</v>
      </c>
      <c r="G257" s="2595">
        <v>64449.412685000003</v>
      </c>
      <c r="H257" s="3675">
        <v>10.38222496</v>
      </c>
      <c r="I257" s="2590">
        <v>10415.155187</v>
      </c>
      <c r="J257" s="2602">
        <f t="shared" si="12"/>
        <v>1384.04455667</v>
      </c>
      <c r="K257" s="2603">
        <f t="shared" si="13"/>
        <v>1993833.4243120002</v>
      </c>
      <c r="S257" s="2551"/>
      <c r="T257" s="2551"/>
      <c r="U257" s="2551"/>
      <c r="V257" s="2551"/>
      <c r="W257" s="2551"/>
    </row>
    <row r="258" spans="1:23" ht="12.75" customHeight="1">
      <c r="A258" s="2532">
        <f t="shared" si="15"/>
        <v>2022.09</v>
      </c>
      <c r="B258" s="2595">
        <v>235.70359593000001</v>
      </c>
      <c r="C258" s="2595">
        <v>567733.84188100009</v>
      </c>
      <c r="D258" s="3675">
        <v>1026.2287373200002</v>
      </c>
      <c r="E258" s="2595">
        <v>1360707.3268619999</v>
      </c>
      <c r="F258" s="2595">
        <v>162.87149765999999</v>
      </c>
      <c r="G258" s="2595">
        <v>64007.146466999999</v>
      </c>
      <c r="H258" s="3675">
        <v>10.43053583</v>
      </c>
      <c r="I258" s="2590">
        <v>12568.427528999999</v>
      </c>
      <c r="J258" s="2602">
        <f t="shared" si="12"/>
        <v>1435.2343667400003</v>
      </c>
      <c r="K258" s="2603">
        <f t="shared" si="13"/>
        <v>2005016.7427389999</v>
      </c>
      <c r="S258" s="2551"/>
      <c r="T258" s="2551"/>
      <c r="U258" s="2551"/>
      <c r="V258" s="2551"/>
      <c r="W258" s="2551"/>
    </row>
    <row r="259" spans="1:23" ht="12.75" customHeight="1">
      <c r="A259" s="2532">
        <f t="shared" si="15"/>
        <v>2022.1</v>
      </c>
      <c r="B259" s="2595">
        <v>318.04858873000001</v>
      </c>
      <c r="C259" s="2595">
        <v>673627.70585399994</v>
      </c>
      <c r="D259" s="3675">
        <v>1035.72121999</v>
      </c>
      <c r="E259" s="2595">
        <v>1637148.96371</v>
      </c>
      <c r="F259" s="2595">
        <v>246.25542005</v>
      </c>
      <c r="G259" s="2595">
        <v>125750.138827</v>
      </c>
      <c r="H259" s="3675">
        <v>9.1097594600000011</v>
      </c>
      <c r="I259" s="2590">
        <v>10998.13601</v>
      </c>
      <c r="J259" s="2602">
        <f t="shared" si="12"/>
        <v>1609.1349882300001</v>
      </c>
      <c r="K259" s="2603">
        <f t="shared" si="13"/>
        <v>2447524.9444009997</v>
      </c>
      <c r="S259" s="2551"/>
      <c r="T259" s="2551"/>
      <c r="U259" s="2551"/>
      <c r="V259" s="2551"/>
      <c r="W259" s="2551"/>
    </row>
    <row r="260" spans="1:23" ht="12.75" customHeight="1">
      <c r="A260" s="2532">
        <f t="shared" si="15"/>
        <v>2022.11</v>
      </c>
      <c r="B260" s="2595">
        <v>175.28180224000002</v>
      </c>
      <c r="C260" s="2595">
        <v>413038.248639</v>
      </c>
      <c r="D260" s="3675">
        <v>1149.1081842200001</v>
      </c>
      <c r="E260" s="2595">
        <v>1718236.6625329999</v>
      </c>
      <c r="F260" s="2595">
        <v>281.86990469</v>
      </c>
      <c r="G260" s="2595">
        <v>151736.223062</v>
      </c>
      <c r="H260" s="3675">
        <v>6.2975911600000005</v>
      </c>
      <c r="I260" s="2590">
        <v>6759.2419579999996</v>
      </c>
      <c r="J260" s="2602">
        <f t="shared" si="12"/>
        <v>1612.5574823099998</v>
      </c>
      <c r="K260" s="2603">
        <f t="shared" si="13"/>
        <v>2289770.3761920002</v>
      </c>
      <c r="S260" s="2551"/>
      <c r="T260" s="2551"/>
      <c r="U260" s="2551"/>
      <c r="V260" s="2551"/>
      <c r="W260" s="2551"/>
    </row>
    <row r="261" spans="1:23" ht="12.75" customHeight="1">
      <c r="A261" s="2532">
        <f t="shared" si="15"/>
        <v>2022.12</v>
      </c>
      <c r="B261" s="2595">
        <v>127.88772854999999</v>
      </c>
      <c r="C261" s="2595">
        <v>396959.675865</v>
      </c>
      <c r="D261" s="3675">
        <v>1022.63790637</v>
      </c>
      <c r="E261" s="2595">
        <v>1520975.785505</v>
      </c>
      <c r="F261" s="2595">
        <v>192.02827331999998</v>
      </c>
      <c r="G261" s="2595">
        <v>76912.552012</v>
      </c>
      <c r="H261" s="3675">
        <v>12.06912893</v>
      </c>
      <c r="I261" s="2590">
        <v>15644.490402000001</v>
      </c>
      <c r="J261" s="2602">
        <f t="shared" si="12"/>
        <v>1354.6230371699999</v>
      </c>
      <c r="K261" s="2603">
        <f t="shared" si="13"/>
        <v>2010492.5037840002</v>
      </c>
      <c r="S261" s="2551"/>
      <c r="T261" s="2551"/>
      <c r="U261" s="2551"/>
      <c r="V261" s="2551"/>
      <c r="W261" s="2551"/>
    </row>
    <row r="262" spans="1:23" ht="12.75" customHeight="1">
      <c r="A262" s="2532">
        <f t="shared" si="15"/>
        <v>2023.01</v>
      </c>
      <c r="B262" s="2595">
        <v>78.72960848000001</v>
      </c>
      <c r="C262" s="2595">
        <v>238939.41216499999</v>
      </c>
      <c r="D262" s="3675">
        <v>756.99307614999998</v>
      </c>
      <c r="E262" s="2595">
        <v>967705.43470300001</v>
      </c>
      <c r="F262" s="2595">
        <v>107.54664481</v>
      </c>
      <c r="G262" s="2595">
        <v>55864.285263999998</v>
      </c>
      <c r="H262" s="3675">
        <v>7.9491766200000002</v>
      </c>
      <c r="I262" s="2590">
        <v>10160.540125</v>
      </c>
      <c r="J262" s="2602">
        <f t="shared" si="12"/>
        <v>951.21850605999998</v>
      </c>
      <c r="K262" s="2603">
        <f t="shared" si="13"/>
        <v>1272669.6722570001</v>
      </c>
      <c r="S262" s="2551"/>
      <c r="T262" s="2551"/>
      <c r="U262" s="2551"/>
      <c r="V262" s="2551"/>
      <c r="W262" s="2551"/>
    </row>
    <row r="263" spans="1:23" ht="12.75" customHeight="1">
      <c r="A263" s="2532">
        <f t="shared" si="15"/>
        <v>2023.02</v>
      </c>
      <c r="B263" s="2595">
        <v>82.464473069999997</v>
      </c>
      <c r="C263" s="2595">
        <v>232937.33851899998</v>
      </c>
      <c r="D263" s="3675">
        <v>709.44749717999991</v>
      </c>
      <c r="E263" s="2595">
        <v>905603.96470599994</v>
      </c>
      <c r="F263" s="2595">
        <v>104.38965983</v>
      </c>
      <c r="G263" s="2595">
        <v>41216.349871999999</v>
      </c>
      <c r="H263" s="3675">
        <v>7.7859994100000005</v>
      </c>
      <c r="I263" s="2590">
        <v>9969.5398479999985</v>
      </c>
      <c r="J263" s="2602">
        <f t="shared" si="12"/>
        <v>904.08762949000004</v>
      </c>
      <c r="K263" s="2603">
        <f t="shared" si="13"/>
        <v>1189727.192945</v>
      </c>
      <c r="S263" s="2551"/>
      <c r="T263" s="2551"/>
      <c r="U263" s="2551"/>
      <c r="V263" s="2551"/>
      <c r="W263" s="2551"/>
    </row>
    <row r="264" spans="1:23" ht="12.75" customHeight="1">
      <c r="A264" s="2532">
        <f t="shared" si="15"/>
        <v>2023.03</v>
      </c>
      <c r="B264" s="2595">
        <v>106.27584367</v>
      </c>
      <c r="C264" s="2595">
        <v>310518.66980699997</v>
      </c>
      <c r="D264" s="3675">
        <v>671.20820429999992</v>
      </c>
      <c r="E264" s="2595">
        <v>923441.92522500001</v>
      </c>
      <c r="F264" s="2595">
        <v>124.33460092</v>
      </c>
      <c r="G264" s="2595">
        <v>44155.982779999998</v>
      </c>
      <c r="H264" s="3675">
        <v>12.108934250000001</v>
      </c>
      <c r="I264" s="2590">
        <v>16446.770376</v>
      </c>
      <c r="J264" s="2602">
        <f t="shared" si="12"/>
        <v>913.9275831399998</v>
      </c>
      <c r="K264" s="2603">
        <f t="shared" si="13"/>
        <v>1294563.348188</v>
      </c>
      <c r="S264" s="2551"/>
      <c r="T264" s="2551"/>
      <c r="U264" s="2551"/>
      <c r="V264" s="2551"/>
      <c r="W264" s="2551"/>
    </row>
    <row r="265" spans="1:23" ht="12.75" customHeight="1">
      <c r="A265" s="2532">
        <f t="shared" si="15"/>
        <v>2023.04</v>
      </c>
      <c r="B265" s="2595">
        <v>79.796059249999999</v>
      </c>
      <c r="C265" s="2595">
        <v>234464.77823500001</v>
      </c>
      <c r="D265" s="3675">
        <v>902.19200839999996</v>
      </c>
      <c r="E265" s="2595">
        <v>1316732.0407739999</v>
      </c>
      <c r="F265" s="2595">
        <v>198.20598565</v>
      </c>
      <c r="G265" s="2595">
        <v>86109.251606000005</v>
      </c>
      <c r="H265" s="3675">
        <v>14.75855099</v>
      </c>
      <c r="I265" s="2590">
        <v>18357.913942000003</v>
      </c>
      <c r="J265" s="2602">
        <f t="shared" si="12"/>
        <v>1194.95260429</v>
      </c>
      <c r="K265" s="2603">
        <f t="shared" si="13"/>
        <v>1655663.984557</v>
      </c>
      <c r="S265" s="2551"/>
      <c r="T265" s="2551"/>
      <c r="U265" s="2551"/>
      <c r="V265" s="2551"/>
      <c r="W265" s="2551"/>
    </row>
    <row r="266" spans="1:23" ht="12.75" customHeight="1">
      <c r="A266" s="2532">
        <f t="shared" si="15"/>
        <v>2023.05</v>
      </c>
      <c r="B266" s="2595">
        <v>131.76647831</v>
      </c>
      <c r="C266" s="2595">
        <v>337115.95396100002</v>
      </c>
      <c r="D266" s="3675">
        <v>1106.2053125699999</v>
      </c>
      <c r="E266" s="2595">
        <v>1705355.7173979999</v>
      </c>
      <c r="F266" s="2595">
        <v>125.84065174</v>
      </c>
      <c r="G266" s="2595">
        <v>48071.841666</v>
      </c>
      <c r="H266" s="3675">
        <v>9.7644863100000006</v>
      </c>
      <c r="I266" s="2590">
        <v>12906.136961999999</v>
      </c>
      <c r="J266" s="2602">
        <f t="shared" si="12"/>
        <v>1373.5769289299997</v>
      </c>
      <c r="K266" s="2603">
        <f t="shared" si="13"/>
        <v>2103449.649987</v>
      </c>
      <c r="S266" s="2551"/>
      <c r="T266" s="2551"/>
      <c r="U266" s="2551"/>
      <c r="V266" s="2551"/>
      <c r="W266" s="2551"/>
    </row>
    <row r="267" spans="1:23" ht="12.75" customHeight="1">
      <c r="A267" s="2532">
        <f t="shared" si="15"/>
        <v>2023.06</v>
      </c>
      <c r="B267" s="2595">
        <v>106.57721551</v>
      </c>
      <c r="C267" s="2595">
        <v>325584.083667</v>
      </c>
      <c r="D267" s="3675">
        <v>861.7647559400001</v>
      </c>
      <c r="E267" s="2595">
        <v>1388756.6838120001</v>
      </c>
      <c r="F267" s="2595">
        <v>108.56841476999999</v>
      </c>
      <c r="G267" s="2595">
        <v>33816.439953000001</v>
      </c>
      <c r="H267" s="3675">
        <v>6.63774189</v>
      </c>
      <c r="I267" s="2590">
        <v>8934.5946190000013</v>
      </c>
      <c r="J267" s="2602">
        <f t="shared" ref="J267:J330" si="16">+SUM(B267,D267,F267,H267)</f>
        <v>1083.5481281099999</v>
      </c>
      <c r="K267" s="2603">
        <f t="shared" ref="K267:K330" si="17">+SUM(C267,E267,G267,I267)</f>
        <v>1757091.8020510003</v>
      </c>
      <c r="S267" s="2551"/>
      <c r="T267" s="2551"/>
      <c r="U267" s="2551"/>
      <c r="V267" s="2551"/>
      <c r="W267" s="2551"/>
    </row>
    <row r="268" spans="1:23" ht="12.75" customHeight="1">
      <c r="A268" s="2532">
        <f t="shared" si="15"/>
        <v>2023.07</v>
      </c>
      <c r="B268" s="2595">
        <v>105.85030394</v>
      </c>
      <c r="C268" s="2595">
        <v>375272.80405999999</v>
      </c>
      <c r="D268" s="3675">
        <v>732.01799277999999</v>
      </c>
      <c r="E268" s="2595">
        <v>1106153.359802</v>
      </c>
      <c r="F268" s="2595">
        <v>126.44292900000001</v>
      </c>
      <c r="G268" s="2595">
        <v>46157.885512999994</v>
      </c>
      <c r="H268" s="3675">
        <v>10.609009179999999</v>
      </c>
      <c r="I268" s="2590">
        <v>13609.780425000001</v>
      </c>
      <c r="J268" s="2602">
        <f t="shared" si="16"/>
        <v>974.92023490000008</v>
      </c>
      <c r="K268" s="2603">
        <f t="shared" si="17"/>
        <v>1541193.8297999999</v>
      </c>
      <c r="S268" s="2551"/>
      <c r="T268" s="2551"/>
      <c r="U268" s="2551"/>
      <c r="V268" s="2551"/>
      <c r="W268" s="2551"/>
    </row>
    <row r="269" spans="1:23" ht="12.75" customHeight="1">
      <c r="A269" s="2532">
        <f t="shared" si="15"/>
        <v>2023.08</v>
      </c>
      <c r="B269" s="2595">
        <v>118.45651341</v>
      </c>
      <c r="C269" s="2595">
        <v>460773.28045099997</v>
      </c>
      <c r="D269" s="3675">
        <v>753.72998924000001</v>
      </c>
      <c r="E269" s="2595">
        <v>1166937.102155</v>
      </c>
      <c r="F269" s="2595">
        <v>140.17291838</v>
      </c>
      <c r="G269" s="2595">
        <v>61484.046292999999</v>
      </c>
      <c r="H269" s="3675">
        <v>10.97583726</v>
      </c>
      <c r="I269" s="2590">
        <v>13197.581227000001</v>
      </c>
      <c r="J269" s="2602">
        <f t="shared" si="16"/>
        <v>1023.3352582900001</v>
      </c>
      <c r="K269" s="2603">
        <f t="shared" si="17"/>
        <v>1702392.010126</v>
      </c>
      <c r="S269" s="2551"/>
      <c r="T269" s="2551"/>
      <c r="U269" s="2551"/>
      <c r="V269" s="2551"/>
      <c r="W269" s="2551"/>
    </row>
    <row r="270" spans="1:23" ht="12.75" customHeight="1">
      <c r="A270" s="2532">
        <f t="shared" si="15"/>
        <v>2023.09</v>
      </c>
      <c r="B270" s="2595">
        <v>117.67186993000001</v>
      </c>
      <c r="C270" s="2595">
        <v>389801.43680600001</v>
      </c>
      <c r="D270" s="3675">
        <v>583.34604447000004</v>
      </c>
      <c r="E270" s="2595">
        <v>925832.26906900003</v>
      </c>
      <c r="F270" s="2595">
        <v>138.03613472000001</v>
      </c>
      <c r="G270" s="2595">
        <v>67656.280098000003</v>
      </c>
      <c r="H270" s="3675">
        <v>9.1615389</v>
      </c>
      <c r="I270" s="2590">
        <v>11362.977239</v>
      </c>
      <c r="J270" s="2602">
        <f t="shared" si="16"/>
        <v>848.21558802000015</v>
      </c>
      <c r="K270" s="2603">
        <f t="shared" si="17"/>
        <v>1394652.963212</v>
      </c>
      <c r="S270" s="2551"/>
      <c r="T270" s="2551"/>
      <c r="U270" s="2551"/>
      <c r="V270" s="2551"/>
      <c r="W270" s="2551"/>
    </row>
    <row r="271" spans="1:23" ht="12.75" customHeight="1">
      <c r="A271" s="2532">
        <f t="shared" si="15"/>
        <v>2023.1</v>
      </c>
      <c r="B271" s="2595">
        <v>113.46960532999999</v>
      </c>
      <c r="C271" s="2595">
        <v>285149.50306000002</v>
      </c>
      <c r="D271" s="3675">
        <v>560.24980614999993</v>
      </c>
      <c r="E271" s="2595">
        <v>809707.55295799999</v>
      </c>
      <c r="F271" s="2595">
        <v>128.15329743000001</v>
      </c>
      <c r="G271" s="2595">
        <v>61744.482040000003</v>
      </c>
      <c r="H271" s="3675">
        <v>7.9113392500000002</v>
      </c>
      <c r="I271" s="2590">
        <v>10998.102987</v>
      </c>
      <c r="J271" s="2602">
        <f t="shared" si="16"/>
        <v>809.78404816</v>
      </c>
      <c r="K271" s="2603">
        <f t="shared" si="17"/>
        <v>1167599.6410449999</v>
      </c>
      <c r="S271" s="2551"/>
      <c r="T271" s="2551"/>
      <c r="U271" s="2551"/>
      <c r="V271" s="2551"/>
      <c r="W271" s="2551"/>
    </row>
    <row r="272" spans="1:23" ht="12.75" customHeight="1">
      <c r="A272" s="2532">
        <f t="shared" si="15"/>
        <v>2023.11</v>
      </c>
      <c r="B272" s="2595">
        <v>55.584058909999996</v>
      </c>
      <c r="C272" s="2595">
        <v>169423.54074599998</v>
      </c>
      <c r="D272" s="3675">
        <v>573.02011828999991</v>
      </c>
      <c r="E272" s="2595">
        <v>796968.98655400006</v>
      </c>
      <c r="F272" s="2595">
        <v>95.989270910000002</v>
      </c>
      <c r="G272" s="2595">
        <v>59142.308531000002</v>
      </c>
      <c r="H272" s="3675">
        <v>10.597635009999999</v>
      </c>
      <c r="I272" s="2590">
        <v>15319.557429</v>
      </c>
      <c r="J272" s="2602">
        <f t="shared" si="16"/>
        <v>735.1910831199998</v>
      </c>
      <c r="K272" s="2603">
        <f t="shared" si="17"/>
        <v>1040854.3932600002</v>
      </c>
      <c r="S272" s="2551"/>
      <c r="T272" s="2551"/>
      <c r="U272" s="2551"/>
      <c r="V272" s="2551"/>
      <c r="W272" s="2551"/>
    </row>
    <row r="273" spans="1:23" ht="12.75" customHeight="1">
      <c r="A273" s="2532">
        <f t="shared" si="15"/>
        <v>2023.12</v>
      </c>
      <c r="B273" s="2595">
        <v>100.98562101</v>
      </c>
      <c r="C273" s="2595">
        <v>316393.74513</v>
      </c>
      <c r="D273" s="3675">
        <v>656.53825384000004</v>
      </c>
      <c r="E273" s="2595">
        <v>999804.31665199995</v>
      </c>
      <c r="F273" s="2595">
        <v>56.374027810000001</v>
      </c>
      <c r="G273" s="2595">
        <v>22817.949780000003</v>
      </c>
      <c r="H273" s="3675">
        <v>6.2157330700000006</v>
      </c>
      <c r="I273" s="2590">
        <v>9003.7329300000001</v>
      </c>
      <c r="J273" s="2602">
        <f t="shared" si="16"/>
        <v>820.11363573000017</v>
      </c>
      <c r="K273" s="2603">
        <f t="shared" si="17"/>
        <v>1348019.7444919997</v>
      </c>
      <c r="S273" s="2551"/>
      <c r="T273" s="2551"/>
      <c r="U273" s="2551"/>
      <c r="V273" s="2551"/>
      <c r="W273" s="2551"/>
    </row>
    <row r="274" spans="1:23" ht="12.75" customHeight="1">
      <c r="A274" s="2532">
        <f t="shared" si="15"/>
        <v>2024.01</v>
      </c>
      <c r="B274" s="2595">
        <v>167.0893696</v>
      </c>
      <c r="C274" s="2595">
        <v>557173.26448200003</v>
      </c>
      <c r="D274" s="3675">
        <v>738.71671113000002</v>
      </c>
      <c r="E274" s="2595">
        <v>1156809.5950730001</v>
      </c>
      <c r="F274" s="2595">
        <v>53.866572170000005</v>
      </c>
      <c r="G274" s="2595">
        <v>29934.960074999999</v>
      </c>
      <c r="H274" s="3675">
        <v>11.144208130000001</v>
      </c>
      <c r="I274" s="2590">
        <v>16049.861887000001</v>
      </c>
      <c r="J274" s="2602">
        <f t="shared" si="16"/>
        <v>970.81686103000015</v>
      </c>
      <c r="K274" s="2603">
        <f t="shared" si="17"/>
        <v>1759967.6815170001</v>
      </c>
      <c r="S274" s="2551"/>
      <c r="T274" s="2551"/>
      <c r="U274" s="2551"/>
      <c r="V274" s="2551"/>
      <c r="W274" s="2551"/>
    </row>
    <row r="275" spans="1:23" ht="12.75" customHeight="1">
      <c r="A275" s="2532">
        <f t="shared" si="15"/>
        <v>2024.02</v>
      </c>
      <c r="B275" s="2595">
        <v>131.75299362000001</v>
      </c>
      <c r="C275" s="2595">
        <v>452288.22188899998</v>
      </c>
      <c r="D275" s="3675">
        <v>783.26343341999996</v>
      </c>
      <c r="E275" s="2595">
        <v>1290554.3393529998</v>
      </c>
      <c r="F275" s="2595">
        <v>57.673259739999999</v>
      </c>
      <c r="G275" s="2595">
        <v>31534.915772</v>
      </c>
      <c r="H275" s="3675">
        <v>11.937178880000001</v>
      </c>
      <c r="I275" s="2590">
        <v>15991.885398</v>
      </c>
      <c r="J275" s="2602">
        <f t="shared" si="16"/>
        <v>984.62686566000002</v>
      </c>
      <c r="K275" s="2603">
        <f t="shared" si="17"/>
        <v>1790369.3624119998</v>
      </c>
      <c r="S275" s="2551"/>
      <c r="T275" s="2551"/>
      <c r="U275" s="2551"/>
      <c r="V275" s="2551"/>
      <c r="W275" s="2551"/>
    </row>
    <row r="276" spans="1:23" ht="12.75" customHeight="1">
      <c r="A276" s="2532">
        <f t="shared" si="15"/>
        <v>2024.03</v>
      </c>
      <c r="B276" s="2595">
        <v>174.90952336000001</v>
      </c>
      <c r="C276" s="2595">
        <v>659692.34778900002</v>
      </c>
      <c r="D276" s="3675">
        <v>853.00251179999998</v>
      </c>
      <c r="E276" s="2595">
        <v>1560389.7036229998</v>
      </c>
      <c r="F276" s="2595">
        <v>75.602462360000004</v>
      </c>
      <c r="G276" s="2595">
        <v>31800.385102</v>
      </c>
      <c r="H276" s="3675">
        <v>11.20524114</v>
      </c>
      <c r="I276" s="2590">
        <v>13554.962034</v>
      </c>
      <c r="J276" s="2602">
        <f t="shared" si="16"/>
        <v>1114.7197386600001</v>
      </c>
      <c r="K276" s="2603">
        <f t="shared" si="17"/>
        <v>2265437.398548</v>
      </c>
      <c r="S276" s="2551"/>
      <c r="T276" s="2551"/>
      <c r="U276" s="2551"/>
      <c r="V276" s="2551"/>
      <c r="W276" s="2551"/>
    </row>
    <row r="277" spans="1:23" ht="12.75" customHeight="1">
      <c r="A277" s="2532">
        <f t="shared" si="15"/>
        <v>2024.04</v>
      </c>
      <c r="B277" s="2595">
        <v>157.16406676</v>
      </c>
      <c r="C277" s="2595">
        <v>631728.61356199998</v>
      </c>
      <c r="D277" s="3675">
        <v>952.99052185000005</v>
      </c>
      <c r="E277" s="2595">
        <v>1841648.0559449999</v>
      </c>
      <c r="F277" s="2595">
        <v>118.80312223999999</v>
      </c>
      <c r="G277" s="2595">
        <v>94861.840544999999</v>
      </c>
      <c r="H277" s="3675">
        <v>14.641136019999999</v>
      </c>
      <c r="I277" s="2590">
        <v>15575.224861999999</v>
      </c>
      <c r="J277" s="2602">
        <f t="shared" si="16"/>
        <v>1243.59884687</v>
      </c>
      <c r="K277" s="2603">
        <f t="shared" si="17"/>
        <v>2583813.7349139997</v>
      </c>
      <c r="S277" s="2551"/>
      <c r="T277" s="2551"/>
      <c r="U277" s="2551"/>
      <c r="V277" s="2551"/>
      <c r="W277" s="2551"/>
    </row>
    <row r="278" spans="1:23" ht="12.75" customHeight="1">
      <c r="A278" s="2532">
        <f t="shared" ref="A278:A309" si="18">A266+1</f>
        <v>2024.05</v>
      </c>
      <c r="B278" s="2595">
        <v>282.70342127999999</v>
      </c>
      <c r="C278" s="2595">
        <v>883004.39107200003</v>
      </c>
      <c r="D278" s="3675">
        <v>1136.72952685</v>
      </c>
      <c r="E278" s="2595">
        <v>2131696.3231389998</v>
      </c>
      <c r="F278" s="2595">
        <v>151.53957797999999</v>
      </c>
      <c r="G278" s="2595">
        <v>122056.33051499999</v>
      </c>
      <c r="H278" s="3675">
        <v>13.981504769999999</v>
      </c>
      <c r="I278" s="2590">
        <v>16506.142360999998</v>
      </c>
      <c r="J278" s="2602">
        <f t="shared" si="16"/>
        <v>1584.9540308799997</v>
      </c>
      <c r="K278" s="2603">
        <f t="shared" si="17"/>
        <v>3153263.1870869999</v>
      </c>
      <c r="S278" s="2551"/>
      <c r="T278" s="2551"/>
      <c r="U278" s="2551"/>
      <c r="V278" s="2551"/>
      <c r="W278" s="2551"/>
    </row>
    <row r="279" spans="1:23" ht="12.75" customHeight="1">
      <c r="A279" s="2532">
        <f t="shared" si="18"/>
        <v>2024.06</v>
      </c>
      <c r="B279" s="2595">
        <v>249.23706383000001</v>
      </c>
      <c r="C279" s="2595">
        <v>757522.408543</v>
      </c>
      <c r="D279" s="3675">
        <v>1082.17251831</v>
      </c>
      <c r="E279" s="2595">
        <v>2062533.1387149999</v>
      </c>
      <c r="F279" s="2595">
        <v>120.79839631</v>
      </c>
      <c r="G279" s="2595">
        <v>80496.922862000007</v>
      </c>
      <c r="H279" s="3675">
        <v>7.0813425900000002</v>
      </c>
      <c r="I279" s="2590">
        <v>8910.0131970000002</v>
      </c>
      <c r="J279" s="2602">
        <f t="shared" si="16"/>
        <v>1459.2893210400002</v>
      </c>
      <c r="K279" s="2603">
        <f t="shared" si="17"/>
        <v>2909462.4833169999</v>
      </c>
      <c r="S279" s="2551"/>
      <c r="T279" s="2551"/>
      <c r="U279" s="2551"/>
      <c r="V279" s="2551"/>
      <c r="W279" s="2551"/>
    </row>
    <row r="280" spans="1:23" ht="12.75" customHeight="1">
      <c r="A280" s="2532">
        <f t="shared" si="18"/>
        <v>2024.07</v>
      </c>
      <c r="B280" s="2595">
        <v>172.43633047999998</v>
      </c>
      <c r="C280" s="2595">
        <v>672373.87217799993</v>
      </c>
      <c r="D280" s="3675">
        <v>1009.61861436</v>
      </c>
      <c r="E280" s="2595">
        <v>1877861.0540539999</v>
      </c>
      <c r="F280" s="2595">
        <v>160.09897203999998</v>
      </c>
      <c r="G280" s="2595">
        <v>114703.84710500001</v>
      </c>
      <c r="H280" s="3675">
        <v>11.18594293</v>
      </c>
      <c r="I280" s="2590">
        <v>13732.973331000001</v>
      </c>
      <c r="J280" s="2602">
        <f t="shared" si="16"/>
        <v>1353.33985981</v>
      </c>
      <c r="K280" s="2603">
        <f t="shared" si="17"/>
        <v>2678671.7466680002</v>
      </c>
      <c r="S280" s="2551"/>
      <c r="T280" s="2551"/>
      <c r="U280" s="2551"/>
      <c r="V280" s="2551"/>
      <c r="W280" s="2551"/>
    </row>
    <row r="281" spans="1:23" ht="12.75" customHeight="1">
      <c r="A281" s="2532">
        <f t="shared" si="18"/>
        <v>2024.08</v>
      </c>
      <c r="B281" s="2595">
        <v>146.51013783000002</v>
      </c>
      <c r="C281" s="2595">
        <v>552296.52837800002</v>
      </c>
      <c r="D281" s="3675">
        <v>911.48962326000003</v>
      </c>
      <c r="E281" s="2595">
        <v>1665790.88796</v>
      </c>
      <c r="F281" s="2595">
        <v>152.33647799000002</v>
      </c>
      <c r="G281" s="2595">
        <v>79496.114505999998</v>
      </c>
      <c r="H281" s="3675">
        <v>13.49110168</v>
      </c>
      <c r="I281" s="2590">
        <v>17896.523535</v>
      </c>
      <c r="J281" s="2602">
        <f t="shared" si="16"/>
        <v>1223.82734076</v>
      </c>
      <c r="K281" s="2603">
        <f t="shared" si="17"/>
        <v>2315480.0543790003</v>
      </c>
      <c r="S281" s="2551"/>
      <c r="T281" s="2551"/>
      <c r="U281" s="2551"/>
      <c r="V281" s="2551"/>
      <c r="W281" s="2551"/>
    </row>
    <row r="282" spans="1:23" ht="12.75" customHeight="1">
      <c r="A282" s="2532">
        <f t="shared" si="18"/>
        <v>2024.09</v>
      </c>
      <c r="B282" s="2595">
        <v>133.13614412000001</v>
      </c>
      <c r="C282" s="2595">
        <v>512960.22852499998</v>
      </c>
      <c r="D282" s="3675">
        <v>1060.5351599600001</v>
      </c>
      <c r="E282" s="2595">
        <v>1982019.8107990001</v>
      </c>
      <c r="F282" s="2595">
        <v>146.5777621</v>
      </c>
      <c r="G282" s="2595">
        <v>95576.863599000004</v>
      </c>
      <c r="H282" s="3675">
        <v>10.84764376</v>
      </c>
      <c r="I282" s="2590">
        <v>17407.74612</v>
      </c>
      <c r="J282" s="2602">
        <f t="shared" si="16"/>
        <v>1351.09670994</v>
      </c>
      <c r="K282" s="2603">
        <f t="shared" si="17"/>
        <v>2607964.6490429998</v>
      </c>
      <c r="S282" s="2551"/>
      <c r="T282" s="2551"/>
      <c r="U282" s="2551"/>
      <c r="V282" s="2551"/>
      <c r="W282" s="2551"/>
    </row>
    <row r="283" spans="1:23" ht="12.75" customHeight="1">
      <c r="A283" s="2532">
        <f t="shared" si="18"/>
        <v>2024.1</v>
      </c>
      <c r="B283" s="2595">
        <v>109.67446504</v>
      </c>
      <c r="C283" s="2595">
        <v>441839.54671100003</v>
      </c>
      <c r="D283" s="3675">
        <v>1071.05079901</v>
      </c>
      <c r="E283" s="2595">
        <v>1885196.1648949999</v>
      </c>
      <c r="F283" s="2595">
        <v>141.30641127999999</v>
      </c>
      <c r="G283" s="2595">
        <v>50621.545823</v>
      </c>
      <c r="H283" s="3675">
        <v>11.36680922</v>
      </c>
      <c r="I283" s="2590">
        <v>17604.002414999999</v>
      </c>
      <c r="J283" s="2602">
        <f t="shared" si="16"/>
        <v>1333.3984845500001</v>
      </c>
      <c r="K283" s="2603">
        <f t="shared" si="17"/>
        <v>2395261.259844</v>
      </c>
      <c r="S283" s="2551"/>
      <c r="T283" s="2551"/>
      <c r="U283" s="2551"/>
      <c r="V283" s="2551"/>
      <c r="W283" s="2551"/>
    </row>
    <row r="284" spans="1:23" ht="12.75" customHeight="1">
      <c r="A284" s="2532">
        <f t="shared" si="18"/>
        <v>2024.11</v>
      </c>
      <c r="B284" s="2595">
        <v>101.21046951000001</v>
      </c>
      <c r="C284" s="2595">
        <v>418584.14393699996</v>
      </c>
      <c r="D284" s="3675">
        <v>1128.29315552</v>
      </c>
      <c r="E284" s="2595">
        <v>2062866.9699590001</v>
      </c>
      <c r="F284" s="2595">
        <v>165.91168038999999</v>
      </c>
      <c r="G284" s="2595">
        <v>79766.699477000002</v>
      </c>
      <c r="H284" s="3675">
        <v>9.3095232699999997</v>
      </c>
      <c r="I284" s="2590">
        <v>14973.340312</v>
      </c>
      <c r="J284" s="2602">
        <f t="shared" si="16"/>
        <v>1404.7248286899999</v>
      </c>
      <c r="K284" s="2603">
        <f t="shared" si="17"/>
        <v>2576191.1536850003</v>
      </c>
      <c r="S284" s="2551"/>
      <c r="T284" s="2551"/>
      <c r="U284" s="2551"/>
      <c r="V284" s="2551"/>
      <c r="W284" s="2551"/>
    </row>
    <row r="285" spans="1:23" ht="12.75" customHeight="1">
      <c r="A285" s="2532">
        <f t="shared" si="18"/>
        <v>2024.12</v>
      </c>
      <c r="B285" s="2595">
        <v>119.10324758</v>
      </c>
      <c r="C285" s="2595">
        <v>520911.97833800002</v>
      </c>
      <c r="D285" s="3675">
        <v>996.31460619000006</v>
      </c>
      <c r="E285" s="2595">
        <v>1833553.297548</v>
      </c>
      <c r="F285" s="2595">
        <v>179.66377143</v>
      </c>
      <c r="G285" s="2595">
        <v>75602.94498</v>
      </c>
      <c r="H285" s="3675">
        <v>10.067582529999999</v>
      </c>
      <c r="I285" s="2590">
        <v>15043.850677999999</v>
      </c>
      <c r="J285" s="2602">
        <f t="shared" si="16"/>
        <v>1305.1492077299999</v>
      </c>
      <c r="K285" s="2603">
        <f t="shared" si="17"/>
        <v>2445112.0715440004</v>
      </c>
      <c r="S285" s="2551"/>
      <c r="T285" s="2551"/>
      <c r="U285" s="2551"/>
      <c r="V285" s="2551"/>
      <c r="W285" s="2551"/>
    </row>
    <row r="286" spans="1:23" ht="12.75" customHeight="1">
      <c r="A286" s="2532">
        <f t="shared" si="18"/>
        <v>2025.01</v>
      </c>
      <c r="B286" s="2595">
        <v>153.13098418000001</v>
      </c>
      <c r="C286" s="2595">
        <v>665949.84479</v>
      </c>
      <c r="D286" s="3675">
        <v>856.99879220000003</v>
      </c>
      <c r="E286" s="2595">
        <v>1632403.112952</v>
      </c>
      <c r="F286" s="2595">
        <v>76.472536250000005</v>
      </c>
      <c r="G286" s="2595">
        <v>45724.880926999998</v>
      </c>
      <c r="H286" s="3675">
        <v>11.122478390000001</v>
      </c>
      <c r="I286" s="2590">
        <v>16397.850322000002</v>
      </c>
      <c r="J286" s="2602">
        <f t="shared" si="16"/>
        <v>1097.7247910200001</v>
      </c>
      <c r="K286" s="2603">
        <f t="shared" si="17"/>
        <v>2360475.6889910004</v>
      </c>
      <c r="S286" s="2551"/>
      <c r="T286" s="2551"/>
      <c r="U286" s="2551"/>
      <c r="V286" s="2551"/>
      <c r="W286" s="2551"/>
    </row>
    <row r="287" spans="1:23" ht="12.75" customHeight="1">
      <c r="A287" s="2532">
        <f t="shared" si="18"/>
        <v>2025.02</v>
      </c>
      <c r="B287" s="2595">
        <v>145.61513106999999</v>
      </c>
      <c r="C287" s="2595">
        <v>595884.42920899997</v>
      </c>
      <c r="D287" s="3675">
        <v>920.5870079</v>
      </c>
      <c r="E287" s="2595">
        <v>1611996.500187</v>
      </c>
      <c r="F287" s="2595">
        <v>126.93828362000001</v>
      </c>
      <c r="G287" s="2595">
        <v>48173.114207999999</v>
      </c>
      <c r="H287" s="3675">
        <v>8.1348181400000001</v>
      </c>
      <c r="I287" s="2590">
        <v>11854.579124</v>
      </c>
      <c r="J287" s="2602">
        <f t="shared" si="16"/>
        <v>1201.2752407300002</v>
      </c>
      <c r="K287" s="2603">
        <f t="shared" si="17"/>
        <v>2267908.6227279995</v>
      </c>
      <c r="S287" s="2551"/>
      <c r="T287" s="2551"/>
      <c r="U287" s="2551"/>
      <c r="V287" s="2551"/>
      <c r="W287" s="2551"/>
    </row>
    <row r="288" spans="1:23" ht="12.75" customHeight="1">
      <c r="A288" s="2532">
        <f t="shared" si="18"/>
        <v>2025.03</v>
      </c>
      <c r="B288" s="2595">
        <v>140.09470851</v>
      </c>
      <c r="C288" s="2595">
        <v>572076.36062499997</v>
      </c>
      <c r="D288" s="3675">
        <v>889.69759321000004</v>
      </c>
      <c r="E288" s="2595">
        <v>1767729.3755719999</v>
      </c>
      <c r="F288" s="2595">
        <v>132.83633323000001</v>
      </c>
      <c r="G288" s="2595">
        <v>78183.167239999995</v>
      </c>
      <c r="H288" s="3675">
        <v>2.33437553</v>
      </c>
      <c r="I288" s="2590">
        <v>3120.9982889999997</v>
      </c>
      <c r="J288" s="2602">
        <f t="shared" si="16"/>
        <v>1164.9630104800001</v>
      </c>
      <c r="K288" s="2603">
        <f t="shared" si="17"/>
        <v>2421109.9017259995</v>
      </c>
      <c r="S288" s="2551"/>
      <c r="T288" s="2551"/>
      <c r="U288" s="2551"/>
      <c r="V288" s="2551"/>
      <c r="W288" s="2551"/>
    </row>
    <row r="289" spans="1:23" ht="12.75" customHeight="1">
      <c r="A289" s="2532">
        <f t="shared" si="18"/>
        <v>2025.04</v>
      </c>
      <c r="B289" s="2595">
        <v>147.61254218000002</v>
      </c>
      <c r="C289" s="2595">
        <v>576219.74676900008</v>
      </c>
      <c r="D289" s="3675">
        <v>937.41207249000001</v>
      </c>
      <c r="E289" s="2595">
        <v>1767855.8365739998</v>
      </c>
      <c r="F289" s="2595">
        <v>82.795957650000005</v>
      </c>
      <c r="G289" s="2595">
        <v>46084.350241</v>
      </c>
      <c r="H289" s="3675">
        <v>10.853016</v>
      </c>
      <c r="I289" s="2590">
        <v>15072.200744999998</v>
      </c>
      <c r="J289" s="2602">
        <f t="shared" si="16"/>
        <v>1178.6735883200001</v>
      </c>
      <c r="K289" s="2603">
        <f t="shared" si="17"/>
        <v>2405232.134329</v>
      </c>
      <c r="S289" s="2551"/>
      <c r="T289" s="2551"/>
      <c r="U289" s="2551"/>
      <c r="V289" s="2551"/>
      <c r="W289" s="2551"/>
    </row>
    <row r="290" spans="1:23" ht="12.75" customHeight="1">
      <c r="A290" s="2532">
        <f t="shared" si="18"/>
        <v>2025.05</v>
      </c>
      <c r="B290" s="2595">
        <v>235.47345530999999</v>
      </c>
      <c r="C290" s="2595">
        <v>791806.31291500002</v>
      </c>
      <c r="D290" s="3675">
        <v>894.04460991999997</v>
      </c>
      <c r="E290" s="2595">
        <v>1659862.8104619998</v>
      </c>
      <c r="F290" s="2595">
        <v>131.06510337</v>
      </c>
      <c r="G290" s="2595">
        <v>86138.041322999998</v>
      </c>
      <c r="H290" s="3675">
        <v>14.81364593</v>
      </c>
      <c r="I290" s="2590">
        <v>21233.499640000002</v>
      </c>
      <c r="J290" s="2602">
        <f t="shared" si="16"/>
        <v>1275.39681453</v>
      </c>
      <c r="K290" s="2603">
        <f t="shared" si="17"/>
        <v>2559040.6643400001</v>
      </c>
      <c r="S290" s="2551"/>
      <c r="T290" s="2551"/>
      <c r="U290" s="2551"/>
      <c r="V290" s="2551"/>
      <c r="W290" s="2551"/>
    </row>
    <row r="291" spans="1:23" ht="12.75" customHeight="1">
      <c r="A291" s="2532">
        <f t="shared" si="18"/>
        <v>2025.06</v>
      </c>
      <c r="B291" s="2595">
        <v>211.57641923</v>
      </c>
      <c r="C291" s="2595">
        <v>756214.54405400006</v>
      </c>
      <c r="D291" s="3675">
        <v>991.19672312</v>
      </c>
      <c r="E291" s="2595">
        <v>1895495.5594019999</v>
      </c>
      <c r="F291" s="2595">
        <v>73.445480189999998</v>
      </c>
      <c r="G291" s="2595">
        <v>41751.063320000001</v>
      </c>
      <c r="H291" s="3675">
        <v>13.38554645</v>
      </c>
      <c r="I291" s="2590">
        <v>17509.461804999999</v>
      </c>
      <c r="J291" s="2602">
        <f t="shared" si="16"/>
        <v>1289.6041689899998</v>
      </c>
      <c r="K291" s="2603">
        <f t="shared" si="17"/>
        <v>2710970.628581</v>
      </c>
      <c r="S291" s="2551"/>
      <c r="T291" s="2551"/>
      <c r="U291" s="2551"/>
      <c r="V291" s="2551"/>
      <c r="W291" s="2551"/>
    </row>
    <row r="292" spans="1:23" ht="12.75" customHeight="1">
      <c r="A292" s="2532">
        <f t="shared" si="18"/>
        <v>2025.07</v>
      </c>
      <c r="B292" s="2595">
        <v>255.17140591999998</v>
      </c>
      <c r="C292" s="2595">
        <v>907540.63262000005</v>
      </c>
      <c r="D292" s="3675">
        <v>1095.1019502700001</v>
      </c>
      <c r="E292" s="2595">
        <v>1966173.9393190001</v>
      </c>
      <c r="F292" s="2595">
        <v>130.29198120999999</v>
      </c>
      <c r="G292" s="2595">
        <v>78137.860232999999</v>
      </c>
      <c r="H292" s="3675">
        <v>13.46241049</v>
      </c>
      <c r="I292" s="2590">
        <v>19055.950038999999</v>
      </c>
      <c r="J292" s="2602">
        <f t="shared" si="16"/>
        <v>1494.0277478899998</v>
      </c>
      <c r="K292" s="2603">
        <f t="shared" si="17"/>
        <v>2970908.3822109997</v>
      </c>
      <c r="L292" s="2551"/>
      <c r="S292" s="2551"/>
      <c r="T292" s="2551"/>
      <c r="U292" s="2551"/>
      <c r="V292" s="2551"/>
      <c r="W292" s="2551"/>
    </row>
    <row r="293" spans="1:23" ht="12.75" customHeight="1">
      <c r="A293" s="2532">
        <f t="shared" si="18"/>
        <v>2025.08</v>
      </c>
      <c r="B293" s="2595">
        <v>275.44708739999999</v>
      </c>
      <c r="C293" s="2595">
        <v>895494.76251400006</v>
      </c>
      <c r="D293" s="3675">
        <v>992.87055759000009</v>
      </c>
      <c r="E293" s="2595">
        <v>1887318.497341</v>
      </c>
      <c r="F293" s="2595">
        <v>186.78534633999999</v>
      </c>
      <c r="G293" s="2595">
        <v>95155.839238</v>
      </c>
      <c r="H293" s="3675">
        <v>15.28490626</v>
      </c>
      <c r="I293" s="2590">
        <v>22198.639761999999</v>
      </c>
      <c r="J293" s="2602">
        <f t="shared" si="16"/>
        <v>1470.3878975900002</v>
      </c>
      <c r="K293" s="2603">
        <f t="shared" si="17"/>
        <v>2900167.7388550006</v>
      </c>
      <c r="L293" s="2551"/>
      <c r="S293" s="2551"/>
      <c r="T293" s="2551"/>
      <c r="U293" s="2551"/>
      <c r="V293" s="2551"/>
      <c r="W293" s="2551"/>
    </row>
    <row r="294" spans="1:23" ht="12.75" customHeight="1">
      <c r="A294" s="2532">
        <f t="shared" si="18"/>
        <v>2025.09</v>
      </c>
      <c r="B294" s="2595">
        <v>275.45638380000003</v>
      </c>
      <c r="C294" s="2595">
        <v>832186.66150199994</v>
      </c>
      <c r="D294" s="3675">
        <v>1172.54460675</v>
      </c>
      <c r="E294" s="2595">
        <v>2153678.1118709999</v>
      </c>
      <c r="F294" s="2595">
        <v>147.53700855000002</v>
      </c>
      <c r="G294" s="2595">
        <v>70623.148582000009</v>
      </c>
      <c r="H294" s="3675">
        <v>17.89124151</v>
      </c>
      <c r="I294" s="2590">
        <v>26425.292215999998</v>
      </c>
      <c r="J294" s="2602">
        <f>+SUM(B294,D294,F294,H294)</f>
        <v>1613.4292406100003</v>
      </c>
      <c r="K294" s="2603">
        <f t="shared" si="17"/>
        <v>3082913.2141709998</v>
      </c>
      <c r="S294" s="2551"/>
      <c r="T294" s="2551"/>
      <c r="U294" s="2551"/>
      <c r="V294" s="2551"/>
      <c r="W294" s="2551"/>
    </row>
    <row r="295" spans="1:23" ht="12.75" customHeight="1">
      <c r="A295" s="2532">
        <f t="shared" si="18"/>
        <v>2025.1</v>
      </c>
      <c r="B295" s="2595">
        <v>239.66045427</v>
      </c>
      <c r="C295" s="2595">
        <v>732266.92057299998</v>
      </c>
      <c r="D295" s="3675">
        <v>1035.5186368500001</v>
      </c>
      <c r="E295" s="2595">
        <v>1972923.5910729999</v>
      </c>
      <c r="F295" s="2595">
        <v>157.19853319000001</v>
      </c>
      <c r="G295" s="2595">
        <v>81129.026605999999</v>
      </c>
      <c r="H295" s="3675">
        <v>10.747424109999999</v>
      </c>
      <c r="I295" s="2590">
        <v>17639.59159</v>
      </c>
      <c r="J295" s="2602">
        <f t="shared" si="16"/>
        <v>1443.1250484200002</v>
      </c>
      <c r="K295" s="2603">
        <f t="shared" si="17"/>
        <v>2803959.1298419996</v>
      </c>
    </row>
    <row r="296" spans="1:23" ht="12.75" customHeight="1">
      <c r="A296" s="2532">
        <f t="shared" si="18"/>
        <v>2025.11</v>
      </c>
      <c r="B296" s="2595">
        <v>304.35649044999997</v>
      </c>
      <c r="C296" s="2595">
        <v>938368.04524600005</v>
      </c>
      <c r="D296" s="3675">
        <v>1139.4172157099999</v>
      </c>
      <c r="E296" s="2595">
        <v>2332740.332465</v>
      </c>
      <c r="F296" s="2595">
        <v>137.5254458</v>
      </c>
      <c r="G296" s="2595">
        <v>83700.76720100001</v>
      </c>
      <c r="H296" s="3675">
        <v>8.7777546400000013</v>
      </c>
      <c r="I296" s="2590">
        <v>13828.382122999999</v>
      </c>
      <c r="J296" s="2602">
        <f t="shared" si="16"/>
        <v>1590.0769065999998</v>
      </c>
      <c r="K296" s="2603">
        <f t="shared" si="17"/>
        <v>3368637.5270349998</v>
      </c>
    </row>
    <row r="297" spans="1:23" ht="12.75" customHeight="1">
      <c r="A297" s="2532">
        <f t="shared" si="18"/>
        <v>2025.12</v>
      </c>
      <c r="B297" s="2595">
        <v>250.07406237999999</v>
      </c>
      <c r="C297" s="2595">
        <v>950736.99840299995</v>
      </c>
      <c r="D297" s="3675">
        <v>993.95125813000004</v>
      </c>
      <c r="E297" s="2595">
        <v>1741824.5416949999</v>
      </c>
      <c r="F297" s="2595">
        <v>117.23127629000001</v>
      </c>
      <c r="G297" s="2595">
        <v>48354.946101000001</v>
      </c>
      <c r="H297" s="3675">
        <v>9.6932925099999991</v>
      </c>
      <c r="I297" s="2590">
        <v>16781.206223999998</v>
      </c>
      <c r="J297" s="2602">
        <f t="shared" si="16"/>
        <v>1370.9498893100001</v>
      </c>
      <c r="K297" s="2603">
        <f t="shared" si="17"/>
        <v>2757697.692423</v>
      </c>
    </row>
    <row r="298" spans="1:23" ht="12.75" customHeight="1">
      <c r="A298" s="2532">
        <f t="shared" si="18"/>
        <v>2026.01</v>
      </c>
      <c r="B298" s="2610">
        <v>219.11316690000001</v>
      </c>
      <c r="C298" s="2610">
        <v>977235.90857900004</v>
      </c>
      <c r="D298" s="3676">
        <v>1033.2533188300001</v>
      </c>
      <c r="E298" s="2610">
        <v>1855492.8617679998</v>
      </c>
      <c r="F298" s="2610">
        <v>62.620200020000006</v>
      </c>
      <c r="G298" s="2610">
        <v>35492.149560000005</v>
      </c>
      <c r="H298" s="3676">
        <v>9.7966936199999992</v>
      </c>
      <c r="I298" s="2611">
        <v>16282.015416999999</v>
      </c>
      <c r="J298" s="2602">
        <f t="shared" si="16"/>
        <v>1324.7833793700001</v>
      </c>
      <c r="K298" s="2603">
        <f t="shared" si="17"/>
        <v>2884502.9353239997</v>
      </c>
    </row>
    <row r="299" spans="1:23" ht="12.75" customHeight="1">
      <c r="A299" s="2532">
        <f t="shared" si="18"/>
        <v>2026.02</v>
      </c>
      <c r="B299" s="2596">
        <v>175.71301937000001</v>
      </c>
      <c r="C299" s="2596">
        <v>742941.67229100002</v>
      </c>
      <c r="D299" s="3677">
        <v>809.16163155999993</v>
      </c>
      <c r="E299" s="2596">
        <v>1410343.547083</v>
      </c>
      <c r="F299" s="2596">
        <v>100.82656526999999</v>
      </c>
      <c r="G299" s="2596">
        <v>47435.521373999996</v>
      </c>
      <c r="H299" s="3677">
        <v>5.9484464900000003</v>
      </c>
      <c r="I299" s="2591">
        <v>8213.3855280000007</v>
      </c>
      <c r="J299" s="2602">
        <f t="shared" si="16"/>
        <v>1091.6496626899998</v>
      </c>
      <c r="K299" s="2603">
        <f t="shared" si="17"/>
        <v>2208934.1262759999</v>
      </c>
    </row>
    <row r="300" spans="1:23" ht="12.75" customHeight="1">
      <c r="A300" s="2532">
        <f t="shared" si="18"/>
        <v>2026.03</v>
      </c>
      <c r="B300" s="2596" t="e">
        <v>#N/A</v>
      </c>
      <c r="C300" s="2596" t="e">
        <v>#N/A</v>
      </c>
      <c r="D300" s="3677" t="e">
        <v>#N/A</v>
      </c>
      <c r="E300" s="2596" t="e">
        <v>#N/A</v>
      </c>
      <c r="F300" s="2596" t="e">
        <v>#N/A</v>
      </c>
      <c r="G300" s="2596" t="e">
        <v>#N/A</v>
      </c>
      <c r="H300" s="3677" t="e">
        <v>#N/A</v>
      </c>
      <c r="I300" s="2591" t="e">
        <v>#N/A</v>
      </c>
      <c r="J300" s="2602" t="e">
        <f t="shared" si="16"/>
        <v>#N/A</v>
      </c>
      <c r="K300" s="2603" t="e">
        <f t="shared" si="17"/>
        <v>#N/A</v>
      </c>
    </row>
    <row r="301" spans="1:23" ht="12.75" customHeight="1">
      <c r="A301" s="2532">
        <f t="shared" si="18"/>
        <v>2026.04</v>
      </c>
      <c r="B301" s="2596" t="e">
        <v>#N/A</v>
      </c>
      <c r="C301" s="2596" t="e">
        <v>#N/A</v>
      </c>
      <c r="D301" s="3677" t="e">
        <v>#N/A</v>
      </c>
      <c r="E301" s="2596" t="e">
        <v>#N/A</v>
      </c>
      <c r="F301" s="2596" t="e">
        <v>#N/A</v>
      </c>
      <c r="G301" s="2596" t="e">
        <v>#N/A</v>
      </c>
      <c r="H301" s="3677" t="e">
        <v>#N/A</v>
      </c>
      <c r="I301" s="2591" t="e">
        <v>#N/A</v>
      </c>
      <c r="J301" s="2602" t="e">
        <f t="shared" si="16"/>
        <v>#N/A</v>
      </c>
      <c r="K301" s="2603" t="e">
        <f t="shared" si="17"/>
        <v>#N/A</v>
      </c>
    </row>
    <row r="302" spans="1:23" ht="12.75" customHeight="1">
      <c r="A302" s="2532">
        <f t="shared" si="18"/>
        <v>2026.05</v>
      </c>
      <c r="B302" s="2596" t="e">
        <v>#N/A</v>
      </c>
      <c r="C302" s="2596" t="e">
        <v>#N/A</v>
      </c>
      <c r="D302" s="3677" t="e">
        <v>#N/A</v>
      </c>
      <c r="E302" s="2596" t="e">
        <v>#N/A</v>
      </c>
      <c r="F302" s="2596" t="e">
        <v>#N/A</v>
      </c>
      <c r="G302" s="2596" t="e">
        <v>#N/A</v>
      </c>
      <c r="H302" s="3677" t="e">
        <v>#N/A</v>
      </c>
      <c r="I302" s="2591" t="e">
        <v>#N/A</v>
      </c>
      <c r="J302" s="2602" t="e">
        <f t="shared" si="16"/>
        <v>#N/A</v>
      </c>
      <c r="K302" s="2603" t="e">
        <f t="shared" si="17"/>
        <v>#N/A</v>
      </c>
    </row>
    <row r="303" spans="1:23" ht="12.75" customHeight="1">
      <c r="A303" s="2532">
        <f t="shared" si="18"/>
        <v>2026.06</v>
      </c>
      <c r="B303" s="2596" t="e">
        <v>#N/A</v>
      </c>
      <c r="C303" s="2596" t="e">
        <v>#N/A</v>
      </c>
      <c r="D303" s="3677" t="e">
        <v>#N/A</v>
      </c>
      <c r="E303" s="2596" t="e">
        <v>#N/A</v>
      </c>
      <c r="F303" s="2596" t="e">
        <v>#N/A</v>
      </c>
      <c r="G303" s="2596" t="e">
        <v>#N/A</v>
      </c>
      <c r="H303" s="3677" t="e">
        <v>#N/A</v>
      </c>
      <c r="I303" s="2591" t="e">
        <v>#N/A</v>
      </c>
      <c r="J303" s="2602" t="e">
        <f t="shared" si="16"/>
        <v>#N/A</v>
      </c>
      <c r="K303" s="2603" t="e">
        <f t="shared" si="17"/>
        <v>#N/A</v>
      </c>
    </row>
    <row r="304" spans="1:23" ht="12.75" customHeight="1">
      <c r="A304" s="2532">
        <f t="shared" si="18"/>
        <v>2026.07</v>
      </c>
      <c r="B304" s="2596" t="e">
        <v>#N/A</v>
      </c>
      <c r="C304" s="2596" t="e">
        <v>#N/A</v>
      </c>
      <c r="D304" s="3677" t="e">
        <v>#N/A</v>
      </c>
      <c r="E304" s="2596" t="e">
        <v>#N/A</v>
      </c>
      <c r="F304" s="2596" t="e">
        <v>#N/A</v>
      </c>
      <c r="G304" s="2596" t="e">
        <v>#N/A</v>
      </c>
      <c r="H304" s="3677" t="e">
        <v>#N/A</v>
      </c>
      <c r="I304" s="2591" t="e">
        <v>#N/A</v>
      </c>
      <c r="J304" s="2602" t="e">
        <f t="shared" si="16"/>
        <v>#N/A</v>
      </c>
      <c r="K304" s="2603" t="e">
        <f t="shared" si="17"/>
        <v>#N/A</v>
      </c>
    </row>
    <row r="305" spans="1:11" ht="12.75" customHeight="1">
      <c r="A305" s="2532">
        <f t="shared" si="18"/>
        <v>2026.08</v>
      </c>
      <c r="B305" s="2596" t="e">
        <v>#N/A</v>
      </c>
      <c r="C305" s="2596" t="e">
        <v>#N/A</v>
      </c>
      <c r="D305" s="3677" t="e">
        <v>#N/A</v>
      </c>
      <c r="E305" s="2596" t="e">
        <v>#N/A</v>
      </c>
      <c r="F305" s="2596" t="e">
        <v>#N/A</v>
      </c>
      <c r="G305" s="2596" t="e">
        <v>#N/A</v>
      </c>
      <c r="H305" s="3677" t="e">
        <v>#N/A</v>
      </c>
      <c r="I305" s="2591" t="e">
        <v>#N/A</v>
      </c>
      <c r="J305" s="2602" t="e">
        <f t="shared" si="16"/>
        <v>#N/A</v>
      </c>
      <c r="K305" s="2603" t="e">
        <f t="shared" si="17"/>
        <v>#N/A</v>
      </c>
    </row>
    <row r="306" spans="1:11" ht="12.75" customHeight="1">
      <c r="A306" s="2532">
        <f t="shared" si="18"/>
        <v>2026.09</v>
      </c>
      <c r="B306" s="2596" t="e">
        <v>#N/A</v>
      </c>
      <c r="C306" s="2596" t="e">
        <v>#N/A</v>
      </c>
      <c r="D306" s="3677" t="e">
        <v>#N/A</v>
      </c>
      <c r="E306" s="2596" t="e">
        <v>#N/A</v>
      </c>
      <c r="F306" s="2596" t="e">
        <v>#N/A</v>
      </c>
      <c r="G306" s="2596" t="e">
        <v>#N/A</v>
      </c>
      <c r="H306" s="3677" t="e">
        <v>#N/A</v>
      </c>
      <c r="I306" s="2591" t="e">
        <v>#N/A</v>
      </c>
      <c r="J306" s="2602" t="e">
        <f t="shared" si="16"/>
        <v>#N/A</v>
      </c>
      <c r="K306" s="2603" t="e">
        <f t="shared" si="17"/>
        <v>#N/A</v>
      </c>
    </row>
    <row r="307" spans="1:11" ht="12.75" customHeight="1">
      <c r="A307" s="2532">
        <f t="shared" si="18"/>
        <v>2026.1</v>
      </c>
      <c r="B307" s="2596" t="e">
        <v>#N/A</v>
      </c>
      <c r="C307" s="2596" t="e">
        <v>#N/A</v>
      </c>
      <c r="D307" s="3677" t="e">
        <v>#N/A</v>
      </c>
      <c r="E307" s="2596" t="e">
        <v>#N/A</v>
      </c>
      <c r="F307" s="2596" t="e">
        <v>#N/A</v>
      </c>
      <c r="G307" s="2596" t="e">
        <v>#N/A</v>
      </c>
      <c r="H307" s="3677" t="e">
        <v>#N/A</v>
      </c>
      <c r="I307" s="2591" t="e">
        <v>#N/A</v>
      </c>
      <c r="J307" s="2602" t="e">
        <f t="shared" si="16"/>
        <v>#N/A</v>
      </c>
      <c r="K307" s="2603" t="e">
        <f t="shared" si="17"/>
        <v>#N/A</v>
      </c>
    </row>
    <row r="308" spans="1:11" ht="12.75" customHeight="1">
      <c r="A308" s="2532">
        <f t="shared" si="18"/>
        <v>2026.11</v>
      </c>
      <c r="B308" s="2596" t="e">
        <v>#N/A</v>
      </c>
      <c r="C308" s="2596" t="e">
        <v>#N/A</v>
      </c>
      <c r="D308" s="3677" t="e">
        <v>#N/A</v>
      </c>
      <c r="E308" s="2596" t="e">
        <v>#N/A</v>
      </c>
      <c r="F308" s="2596" t="e">
        <v>#N/A</v>
      </c>
      <c r="G308" s="2596" t="e">
        <v>#N/A</v>
      </c>
      <c r="H308" s="3677" t="e">
        <v>#N/A</v>
      </c>
      <c r="I308" s="2591" t="e">
        <v>#N/A</v>
      </c>
      <c r="J308" s="2602" t="e">
        <f t="shared" si="16"/>
        <v>#N/A</v>
      </c>
      <c r="K308" s="2603" t="e">
        <f t="shared" si="17"/>
        <v>#N/A</v>
      </c>
    </row>
    <row r="309" spans="1:11" ht="12.75" customHeight="1">
      <c r="A309" s="2532">
        <f t="shared" si="18"/>
        <v>2026.12</v>
      </c>
      <c r="B309" s="2596" t="e">
        <v>#N/A</v>
      </c>
      <c r="C309" s="2596" t="e">
        <v>#N/A</v>
      </c>
      <c r="D309" s="3677" t="e">
        <v>#N/A</v>
      </c>
      <c r="E309" s="2596" t="e">
        <v>#N/A</v>
      </c>
      <c r="F309" s="2596" t="e">
        <v>#N/A</v>
      </c>
      <c r="G309" s="2596" t="e">
        <v>#N/A</v>
      </c>
      <c r="H309" s="3677" t="e">
        <v>#N/A</v>
      </c>
      <c r="I309" s="2591" t="e">
        <v>#N/A</v>
      </c>
      <c r="J309" s="2602" t="e">
        <f t="shared" si="16"/>
        <v>#N/A</v>
      </c>
      <c r="K309" s="2603" t="e">
        <f t="shared" si="17"/>
        <v>#N/A</v>
      </c>
    </row>
    <row r="310" spans="1:11" ht="12.75" customHeight="1">
      <c r="A310" s="2532">
        <f t="shared" ref="A310:A341" si="19">A298+1</f>
        <v>2027.01</v>
      </c>
      <c r="B310" s="2596" t="e">
        <v>#N/A</v>
      </c>
      <c r="C310" s="2596" t="e">
        <v>#N/A</v>
      </c>
      <c r="D310" s="3677" t="e">
        <v>#N/A</v>
      </c>
      <c r="E310" s="2596" t="e">
        <v>#N/A</v>
      </c>
      <c r="F310" s="2596" t="e">
        <v>#N/A</v>
      </c>
      <c r="G310" s="2596" t="e">
        <v>#N/A</v>
      </c>
      <c r="H310" s="3677" t="e">
        <v>#N/A</v>
      </c>
      <c r="I310" s="2591" t="e">
        <v>#N/A</v>
      </c>
      <c r="J310" s="2602" t="e">
        <f t="shared" si="16"/>
        <v>#N/A</v>
      </c>
      <c r="K310" s="2603" t="e">
        <f t="shared" si="17"/>
        <v>#N/A</v>
      </c>
    </row>
    <row r="311" spans="1:11" ht="12.75" customHeight="1">
      <c r="A311" s="2532">
        <f t="shared" si="19"/>
        <v>2027.02</v>
      </c>
      <c r="B311" s="2596" t="e">
        <v>#N/A</v>
      </c>
      <c r="C311" s="2596" t="e">
        <v>#N/A</v>
      </c>
      <c r="D311" s="3677" t="e">
        <v>#N/A</v>
      </c>
      <c r="E311" s="2596" t="e">
        <v>#N/A</v>
      </c>
      <c r="F311" s="2596" t="e">
        <v>#N/A</v>
      </c>
      <c r="G311" s="2596" t="e">
        <v>#N/A</v>
      </c>
      <c r="H311" s="3677" t="e">
        <v>#N/A</v>
      </c>
      <c r="I311" s="2591" t="e">
        <v>#N/A</v>
      </c>
      <c r="J311" s="2602" t="e">
        <f t="shared" si="16"/>
        <v>#N/A</v>
      </c>
      <c r="K311" s="2603" t="e">
        <f t="shared" si="17"/>
        <v>#N/A</v>
      </c>
    </row>
    <row r="312" spans="1:11" ht="12.75" customHeight="1">
      <c r="A312" s="2532">
        <f t="shared" si="19"/>
        <v>2027.03</v>
      </c>
      <c r="B312" s="2596" t="e">
        <v>#N/A</v>
      </c>
      <c r="C312" s="2596" t="e">
        <v>#N/A</v>
      </c>
      <c r="D312" s="3677" t="e">
        <v>#N/A</v>
      </c>
      <c r="E312" s="2596" t="e">
        <v>#N/A</v>
      </c>
      <c r="F312" s="2596" t="e">
        <v>#N/A</v>
      </c>
      <c r="G312" s="2596" t="e">
        <v>#N/A</v>
      </c>
      <c r="H312" s="3677" t="e">
        <v>#N/A</v>
      </c>
      <c r="I312" s="2591" t="e">
        <v>#N/A</v>
      </c>
      <c r="J312" s="2602" t="e">
        <f t="shared" si="16"/>
        <v>#N/A</v>
      </c>
      <c r="K312" s="2603" t="e">
        <f t="shared" si="17"/>
        <v>#N/A</v>
      </c>
    </row>
    <row r="313" spans="1:11" ht="12.75" customHeight="1">
      <c r="A313" s="2532">
        <f t="shared" si="19"/>
        <v>2027.04</v>
      </c>
      <c r="B313" s="2596" t="e">
        <v>#N/A</v>
      </c>
      <c r="C313" s="2596" t="e">
        <v>#N/A</v>
      </c>
      <c r="D313" s="3677" t="e">
        <v>#N/A</v>
      </c>
      <c r="E313" s="2596" t="e">
        <v>#N/A</v>
      </c>
      <c r="F313" s="2596" t="e">
        <v>#N/A</v>
      </c>
      <c r="G313" s="2596" t="e">
        <v>#N/A</v>
      </c>
      <c r="H313" s="3677" t="e">
        <v>#N/A</v>
      </c>
      <c r="I313" s="2591" t="e">
        <v>#N/A</v>
      </c>
      <c r="J313" s="2602" t="e">
        <f t="shared" si="16"/>
        <v>#N/A</v>
      </c>
      <c r="K313" s="2603" t="e">
        <f t="shared" si="17"/>
        <v>#N/A</v>
      </c>
    </row>
    <row r="314" spans="1:11" ht="12.75" customHeight="1">
      <c r="A314" s="2532">
        <f t="shared" si="19"/>
        <v>2027.05</v>
      </c>
      <c r="B314" s="2596" t="e">
        <v>#N/A</v>
      </c>
      <c r="C314" s="2596" t="e">
        <v>#N/A</v>
      </c>
      <c r="D314" s="3677" t="e">
        <v>#N/A</v>
      </c>
      <c r="E314" s="2596" t="e">
        <v>#N/A</v>
      </c>
      <c r="F314" s="2596" t="e">
        <v>#N/A</v>
      </c>
      <c r="G314" s="2596" t="e">
        <v>#N/A</v>
      </c>
      <c r="H314" s="3677" t="e">
        <v>#N/A</v>
      </c>
      <c r="I314" s="2591" t="e">
        <v>#N/A</v>
      </c>
      <c r="J314" s="2602" t="e">
        <f t="shared" si="16"/>
        <v>#N/A</v>
      </c>
      <c r="K314" s="2603" t="e">
        <f t="shared" si="17"/>
        <v>#N/A</v>
      </c>
    </row>
    <row r="315" spans="1:11" ht="12.75" customHeight="1">
      <c r="A315" s="2532">
        <f t="shared" si="19"/>
        <v>2027.06</v>
      </c>
      <c r="B315" s="2596" t="e">
        <v>#N/A</v>
      </c>
      <c r="C315" s="2596" t="e">
        <v>#N/A</v>
      </c>
      <c r="D315" s="3677" t="e">
        <v>#N/A</v>
      </c>
      <c r="E315" s="2596" t="e">
        <v>#N/A</v>
      </c>
      <c r="F315" s="2596" t="e">
        <v>#N/A</v>
      </c>
      <c r="G315" s="2596" t="e">
        <v>#N/A</v>
      </c>
      <c r="H315" s="3677" t="e">
        <v>#N/A</v>
      </c>
      <c r="I315" s="2591" t="e">
        <v>#N/A</v>
      </c>
      <c r="J315" s="2602" t="e">
        <f t="shared" si="16"/>
        <v>#N/A</v>
      </c>
      <c r="K315" s="2603" t="e">
        <f t="shared" si="17"/>
        <v>#N/A</v>
      </c>
    </row>
    <row r="316" spans="1:11" ht="12.75" customHeight="1">
      <c r="A316" s="2532">
        <f t="shared" si="19"/>
        <v>2027.07</v>
      </c>
      <c r="B316" s="2596" t="e">
        <v>#N/A</v>
      </c>
      <c r="C316" s="2596" t="e">
        <v>#N/A</v>
      </c>
      <c r="D316" s="3677" t="e">
        <v>#N/A</v>
      </c>
      <c r="E316" s="2596" t="e">
        <v>#N/A</v>
      </c>
      <c r="F316" s="2596" t="e">
        <v>#N/A</v>
      </c>
      <c r="G316" s="2596" t="e">
        <v>#N/A</v>
      </c>
      <c r="H316" s="3677" t="e">
        <v>#N/A</v>
      </c>
      <c r="I316" s="2591" t="e">
        <v>#N/A</v>
      </c>
      <c r="J316" s="2602" t="e">
        <f t="shared" si="16"/>
        <v>#N/A</v>
      </c>
      <c r="K316" s="2603" t="e">
        <f t="shared" si="17"/>
        <v>#N/A</v>
      </c>
    </row>
    <row r="317" spans="1:11" ht="12.75" customHeight="1">
      <c r="A317" s="2532">
        <f t="shared" si="19"/>
        <v>2027.08</v>
      </c>
      <c r="B317" s="2596" t="e">
        <v>#N/A</v>
      </c>
      <c r="C317" s="2596" t="e">
        <v>#N/A</v>
      </c>
      <c r="D317" s="3677" t="e">
        <v>#N/A</v>
      </c>
      <c r="E317" s="2596" t="e">
        <v>#N/A</v>
      </c>
      <c r="F317" s="2596" t="e">
        <v>#N/A</v>
      </c>
      <c r="G317" s="2596" t="e">
        <v>#N/A</v>
      </c>
      <c r="H317" s="3677" t="e">
        <v>#N/A</v>
      </c>
      <c r="I317" s="2591" t="e">
        <v>#N/A</v>
      </c>
      <c r="J317" s="2602" t="e">
        <f t="shared" si="16"/>
        <v>#N/A</v>
      </c>
      <c r="K317" s="2603" t="e">
        <f t="shared" si="17"/>
        <v>#N/A</v>
      </c>
    </row>
    <row r="318" spans="1:11" ht="12.75" customHeight="1">
      <c r="A318" s="2532">
        <f t="shared" si="19"/>
        <v>2027.09</v>
      </c>
      <c r="B318" s="2596" t="e">
        <v>#N/A</v>
      </c>
      <c r="C318" s="2596" t="e">
        <v>#N/A</v>
      </c>
      <c r="D318" s="3677" t="e">
        <v>#N/A</v>
      </c>
      <c r="E318" s="2596" t="e">
        <v>#N/A</v>
      </c>
      <c r="F318" s="2596" t="e">
        <v>#N/A</v>
      </c>
      <c r="G318" s="2596" t="e">
        <v>#N/A</v>
      </c>
      <c r="H318" s="3677" t="e">
        <v>#N/A</v>
      </c>
      <c r="I318" s="2591" t="e">
        <v>#N/A</v>
      </c>
      <c r="J318" s="2602" t="e">
        <f t="shared" si="16"/>
        <v>#N/A</v>
      </c>
      <c r="K318" s="2603" t="e">
        <f t="shared" si="17"/>
        <v>#N/A</v>
      </c>
    </row>
    <row r="319" spans="1:11" ht="12.75" customHeight="1">
      <c r="A319" s="2532">
        <f t="shared" si="19"/>
        <v>2027.1</v>
      </c>
      <c r="B319" s="2596" t="e">
        <v>#N/A</v>
      </c>
      <c r="C319" s="2596" t="e">
        <v>#N/A</v>
      </c>
      <c r="D319" s="3677" t="e">
        <v>#N/A</v>
      </c>
      <c r="E319" s="2596" t="e">
        <v>#N/A</v>
      </c>
      <c r="F319" s="2596" t="e">
        <v>#N/A</v>
      </c>
      <c r="G319" s="2596" t="e">
        <v>#N/A</v>
      </c>
      <c r="H319" s="3677" t="e">
        <v>#N/A</v>
      </c>
      <c r="I319" s="2591" t="e">
        <v>#N/A</v>
      </c>
      <c r="J319" s="2602" t="e">
        <f t="shared" si="16"/>
        <v>#N/A</v>
      </c>
      <c r="K319" s="2603" t="e">
        <f t="shared" si="17"/>
        <v>#N/A</v>
      </c>
    </row>
    <row r="320" spans="1:11" ht="12.75" customHeight="1">
      <c r="A320" s="2532">
        <f t="shared" si="19"/>
        <v>2027.11</v>
      </c>
      <c r="B320" s="2596" t="e">
        <v>#N/A</v>
      </c>
      <c r="C320" s="2596" t="e">
        <v>#N/A</v>
      </c>
      <c r="D320" s="3677" t="e">
        <v>#N/A</v>
      </c>
      <c r="E320" s="2596" t="e">
        <v>#N/A</v>
      </c>
      <c r="F320" s="2596" t="e">
        <v>#N/A</v>
      </c>
      <c r="G320" s="2596" t="e">
        <v>#N/A</v>
      </c>
      <c r="H320" s="3677" t="e">
        <v>#N/A</v>
      </c>
      <c r="I320" s="2591" t="e">
        <v>#N/A</v>
      </c>
      <c r="J320" s="2602" t="e">
        <f t="shared" si="16"/>
        <v>#N/A</v>
      </c>
      <c r="K320" s="2603" t="e">
        <f t="shared" si="17"/>
        <v>#N/A</v>
      </c>
    </row>
    <row r="321" spans="1:11" ht="12.75" customHeight="1">
      <c r="A321" s="2532">
        <f t="shared" si="19"/>
        <v>2027.12</v>
      </c>
      <c r="B321" s="2596" t="e">
        <v>#N/A</v>
      </c>
      <c r="C321" s="2596" t="e">
        <v>#N/A</v>
      </c>
      <c r="D321" s="3677" t="e">
        <v>#N/A</v>
      </c>
      <c r="E321" s="2596" t="e">
        <v>#N/A</v>
      </c>
      <c r="F321" s="2596" t="e">
        <v>#N/A</v>
      </c>
      <c r="G321" s="2596" t="e">
        <v>#N/A</v>
      </c>
      <c r="H321" s="3677" t="e">
        <v>#N/A</v>
      </c>
      <c r="I321" s="2591" t="e">
        <v>#N/A</v>
      </c>
      <c r="J321" s="2602" t="e">
        <f t="shared" si="16"/>
        <v>#N/A</v>
      </c>
      <c r="K321" s="2603" t="e">
        <f t="shared" si="17"/>
        <v>#N/A</v>
      </c>
    </row>
    <row r="322" spans="1:11" ht="12.75" customHeight="1">
      <c r="A322" s="2532">
        <f t="shared" si="19"/>
        <v>2028.01</v>
      </c>
      <c r="B322" s="2596" t="e">
        <v>#N/A</v>
      </c>
      <c r="C322" s="2596" t="e">
        <v>#N/A</v>
      </c>
      <c r="D322" s="3677" t="e">
        <v>#N/A</v>
      </c>
      <c r="E322" s="2596" t="e">
        <v>#N/A</v>
      </c>
      <c r="F322" s="2596" t="e">
        <v>#N/A</v>
      </c>
      <c r="G322" s="2596" t="e">
        <v>#N/A</v>
      </c>
      <c r="H322" s="3677" t="e">
        <v>#N/A</v>
      </c>
      <c r="I322" s="2591" t="e">
        <v>#N/A</v>
      </c>
      <c r="J322" s="2602" t="e">
        <f t="shared" si="16"/>
        <v>#N/A</v>
      </c>
      <c r="K322" s="2603" t="e">
        <f t="shared" si="17"/>
        <v>#N/A</v>
      </c>
    </row>
    <row r="323" spans="1:11" ht="12.75" customHeight="1">
      <c r="A323" s="2532">
        <f t="shared" si="19"/>
        <v>2028.02</v>
      </c>
      <c r="B323" s="2596" t="e">
        <v>#N/A</v>
      </c>
      <c r="C323" s="2596" t="e">
        <v>#N/A</v>
      </c>
      <c r="D323" s="3677" t="e">
        <v>#N/A</v>
      </c>
      <c r="E323" s="2596" t="e">
        <v>#N/A</v>
      </c>
      <c r="F323" s="2596" t="e">
        <v>#N/A</v>
      </c>
      <c r="G323" s="2596" t="e">
        <v>#N/A</v>
      </c>
      <c r="H323" s="3677" t="e">
        <v>#N/A</v>
      </c>
      <c r="I323" s="2591" t="e">
        <v>#N/A</v>
      </c>
      <c r="J323" s="2602" t="e">
        <f t="shared" si="16"/>
        <v>#N/A</v>
      </c>
      <c r="K323" s="2603" t="e">
        <f t="shared" si="17"/>
        <v>#N/A</v>
      </c>
    </row>
    <row r="324" spans="1:11" ht="12.75" customHeight="1">
      <c r="A324" s="2532">
        <f t="shared" si="19"/>
        <v>2028.03</v>
      </c>
      <c r="B324" s="2596" t="e">
        <v>#N/A</v>
      </c>
      <c r="C324" s="2596" t="e">
        <v>#N/A</v>
      </c>
      <c r="D324" s="3677" t="e">
        <v>#N/A</v>
      </c>
      <c r="E324" s="2596" t="e">
        <v>#N/A</v>
      </c>
      <c r="F324" s="2596" t="e">
        <v>#N/A</v>
      </c>
      <c r="G324" s="2596" t="e">
        <v>#N/A</v>
      </c>
      <c r="H324" s="3677" t="e">
        <v>#N/A</v>
      </c>
      <c r="I324" s="2591" t="e">
        <v>#N/A</v>
      </c>
      <c r="J324" s="2602" t="e">
        <f t="shared" si="16"/>
        <v>#N/A</v>
      </c>
      <c r="K324" s="2603" t="e">
        <f t="shared" si="17"/>
        <v>#N/A</v>
      </c>
    </row>
    <row r="325" spans="1:11" ht="12.75" customHeight="1">
      <c r="A325" s="2532">
        <f t="shared" si="19"/>
        <v>2028.04</v>
      </c>
      <c r="B325" s="2596" t="e">
        <v>#N/A</v>
      </c>
      <c r="C325" s="2596" t="e">
        <v>#N/A</v>
      </c>
      <c r="D325" s="3677" t="e">
        <v>#N/A</v>
      </c>
      <c r="E325" s="2596" t="e">
        <v>#N/A</v>
      </c>
      <c r="F325" s="2596" t="e">
        <v>#N/A</v>
      </c>
      <c r="G325" s="2596" t="e">
        <v>#N/A</v>
      </c>
      <c r="H325" s="3677" t="e">
        <v>#N/A</v>
      </c>
      <c r="I325" s="2591" t="e">
        <v>#N/A</v>
      </c>
      <c r="J325" s="2602" t="e">
        <f t="shared" si="16"/>
        <v>#N/A</v>
      </c>
      <c r="K325" s="2603" t="e">
        <f t="shared" si="17"/>
        <v>#N/A</v>
      </c>
    </row>
    <row r="326" spans="1:11" ht="12.75" customHeight="1">
      <c r="A326" s="2532">
        <f t="shared" si="19"/>
        <v>2028.05</v>
      </c>
      <c r="B326" s="2596" t="e">
        <v>#N/A</v>
      </c>
      <c r="C326" s="2596" t="e">
        <v>#N/A</v>
      </c>
      <c r="D326" s="3677" t="e">
        <v>#N/A</v>
      </c>
      <c r="E326" s="2596" t="e">
        <v>#N/A</v>
      </c>
      <c r="F326" s="2596" t="e">
        <v>#N/A</v>
      </c>
      <c r="G326" s="2596" t="e">
        <v>#N/A</v>
      </c>
      <c r="H326" s="3677" t="e">
        <v>#N/A</v>
      </c>
      <c r="I326" s="2591" t="e">
        <v>#N/A</v>
      </c>
      <c r="J326" s="2602" t="e">
        <f t="shared" si="16"/>
        <v>#N/A</v>
      </c>
      <c r="K326" s="2603" t="e">
        <f t="shared" si="17"/>
        <v>#N/A</v>
      </c>
    </row>
    <row r="327" spans="1:11" ht="12.75" customHeight="1">
      <c r="A327" s="2532">
        <f t="shared" si="19"/>
        <v>2028.06</v>
      </c>
      <c r="B327" s="2596" t="e">
        <v>#N/A</v>
      </c>
      <c r="C327" s="2596" t="e">
        <v>#N/A</v>
      </c>
      <c r="D327" s="3677" t="e">
        <v>#N/A</v>
      </c>
      <c r="E327" s="2596" t="e">
        <v>#N/A</v>
      </c>
      <c r="F327" s="2596" t="e">
        <v>#N/A</v>
      </c>
      <c r="G327" s="2596" t="e">
        <v>#N/A</v>
      </c>
      <c r="H327" s="3677" t="e">
        <v>#N/A</v>
      </c>
      <c r="I327" s="2591" t="e">
        <v>#N/A</v>
      </c>
      <c r="J327" s="2602" t="e">
        <f t="shared" si="16"/>
        <v>#N/A</v>
      </c>
      <c r="K327" s="2603" t="e">
        <f t="shared" si="17"/>
        <v>#N/A</v>
      </c>
    </row>
    <row r="328" spans="1:11" ht="12.75" customHeight="1">
      <c r="A328" s="2532">
        <f t="shared" si="19"/>
        <v>2028.07</v>
      </c>
      <c r="B328" s="2596" t="e">
        <v>#N/A</v>
      </c>
      <c r="C328" s="2596" t="e">
        <v>#N/A</v>
      </c>
      <c r="D328" s="3677" t="e">
        <v>#N/A</v>
      </c>
      <c r="E328" s="2596" t="e">
        <v>#N/A</v>
      </c>
      <c r="F328" s="2596" t="e">
        <v>#N/A</v>
      </c>
      <c r="G328" s="2596" t="e">
        <v>#N/A</v>
      </c>
      <c r="H328" s="3677" t="e">
        <v>#N/A</v>
      </c>
      <c r="I328" s="2591" t="e">
        <v>#N/A</v>
      </c>
      <c r="J328" s="2602" t="e">
        <f t="shared" si="16"/>
        <v>#N/A</v>
      </c>
      <c r="K328" s="2603" t="e">
        <f t="shared" si="17"/>
        <v>#N/A</v>
      </c>
    </row>
    <row r="329" spans="1:11" ht="12.75" customHeight="1">
      <c r="A329" s="2532">
        <f t="shared" si="19"/>
        <v>2028.08</v>
      </c>
      <c r="B329" s="2596" t="e">
        <v>#N/A</v>
      </c>
      <c r="C329" s="2596" t="e">
        <v>#N/A</v>
      </c>
      <c r="D329" s="3677" t="e">
        <v>#N/A</v>
      </c>
      <c r="E329" s="2596" t="e">
        <v>#N/A</v>
      </c>
      <c r="F329" s="2596" t="e">
        <v>#N/A</v>
      </c>
      <c r="G329" s="2596" t="e">
        <v>#N/A</v>
      </c>
      <c r="H329" s="3677" t="e">
        <v>#N/A</v>
      </c>
      <c r="I329" s="2591" t="e">
        <v>#N/A</v>
      </c>
      <c r="J329" s="2602" t="e">
        <f t="shared" si="16"/>
        <v>#N/A</v>
      </c>
      <c r="K329" s="2603" t="e">
        <f t="shared" si="17"/>
        <v>#N/A</v>
      </c>
    </row>
    <row r="330" spans="1:11" ht="12.75" customHeight="1">
      <c r="A330" s="2532">
        <f t="shared" si="19"/>
        <v>2028.09</v>
      </c>
      <c r="B330" s="2596" t="e">
        <v>#N/A</v>
      </c>
      <c r="C330" s="2596" t="e">
        <v>#N/A</v>
      </c>
      <c r="D330" s="3677" t="e">
        <v>#N/A</v>
      </c>
      <c r="E330" s="2596" t="e">
        <v>#N/A</v>
      </c>
      <c r="F330" s="2596" t="e">
        <v>#N/A</v>
      </c>
      <c r="G330" s="2596" t="e">
        <v>#N/A</v>
      </c>
      <c r="H330" s="3677" t="e">
        <v>#N/A</v>
      </c>
      <c r="I330" s="2591" t="e">
        <v>#N/A</v>
      </c>
      <c r="J330" s="2602" t="e">
        <f t="shared" si="16"/>
        <v>#N/A</v>
      </c>
      <c r="K330" s="2603" t="e">
        <f t="shared" si="17"/>
        <v>#N/A</v>
      </c>
    </row>
    <row r="331" spans="1:11" ht="12.75" customHeight="1">
      <c r="A331" s="2532">
        <f t="shared" si="19"/>
        <v>2028.1</v>
      </c>
      <c r="B331" s="2596" t="e">
        <v>#N/A</v>
      </c>
      <c r="C331" s="2596" t="e">
        <v>#N/A</v>
      </c>
      <c r="D331" s="3677" t="e">
        <v>#N/A</v>
      </c>
      <c r="E331" s="2596" t="e">
        <v>#N/A</v>
      </c>
      <c r="F331" s="2596" t="e">
        <v>#N/A</v>
      </c>
      <c r="G331" s="2596" t="e">
        <v>#N/A</v>
      </c>
      <c r="H331" s="3677" t="e">
        <v>#N/A</v>
      </c>
      <c r="I331" s="2591" t="e">
        <v>#N/A</v>
      </c>
      <c r="J331" s="2602" t="e">
        <f t="shared" ref="J331:J357" si="20">+SUM(B331,D331,F331,H331)</f>
        <v>#N/A</v>
      </c>
      <c r="K331" s="2603" t="e">
        <f t="shared" ref="K331:K357" si="21">+SUM(C331,E331,G331,I331)</f>
        <v>#N/A</v>
      </c>
    </row>
    <row r="332" spans="1:11" ht="12.75" customHeight="1">
      <c r="A332" s="2532">
        <f t="shared" si="19"/>
        <v>2028.11</v>
      </c>
      <c r="B332" s="2596" t="e">
        <v>#N/A</v>
      </c>
      <c r="C332" s="2596" t="e">
        <v>#N/A</v>
      </c>
      <c r="D332" s="3677" t="e">
        <v>#N/A</v>
      </c>
      <c r="E332" s="2596" t="e">
        <v>#N/A</v>
      </c>
      <c r="F332" s="2596" t="e">
        <v>#N/A</v>
      </c>
      <c r="G332" s="2596" t="e">
        <v>#N/A</v>
      </c>
      <c r="H332" s="3677" t="e">
        <v>#N/A</v>
      </c>
      <c r="I332" s="2591" t="e">
        <v>#N/A</v>
      </c>
      <c r="J332" s="2602" t="e">
        <f t="shared" si="20"/>
        <v>#N/A</v>
      </c>
      <c r="K332" s="2603" t="e">
        <f t="shared" si="21"/>
        <v>#N/A</v>
      </c>
    </row>
    <row r="333" spans="1:11" ht="12.75" customHeight="1">
      <c r="A333" s="2532">
        <f t="shared" si="19"/>
        <v>2028.12</v>
      </c>
      <c r="B333" s="2596" t="e">
        <v>#N/A</v>
      </c>
      <c r="C333" s="2596" t="e">
        <v>#N/A</v>
      </c>
      <c r="D333" s="3677" t="e">
        <v>#N/A</v>
      </c>
      <c r="E333" s="2596" t="e">
        <v>#N/A</v>
      </c>
      <c r="F333" s="2596" t="e">
        <v>#N/A</v>
      </c>
      <c r="G333" s="2596" t="e">
        <v>#N/A</v>
      </c>
      <c r="H333" s="3677" t="e">
        <v>#N/A</v>
      </c>
      <c r="I333" s="2591" t="e">
        <v>#N/A</v>
      </c>
      <c r="J333" s="2602" t="e">
        <f t="shared" si="20"/>
        <v>#N/A</v>
      </c>
      <c r="K333" s="2603" t="e">
        <f t="shared" si="21"/>
        <v>#N/A</v>
      </c>
    </row>
    <row r="334" spans="1:11" ht="12.75" customHeight="1">
      <c r="A334" s="2532">
        <f t="shared" si="19"/>
        <v>2029.01</v>
      </c>
      <c r="B334" s="2596" t="e">
        <v>#N/A</v>
      </c>
      <c r="C334" s="2596" t="e">
        <v>#N/A</v>
      </c>
      <c r="D334" s="3677" t="e">
        <v>#N/A</v>
      </c>
      <c r="E334" s="2596" t="e">
        <v>#N/A</v>
      </c>
      <c r="F334" s="2596" t="e">
        <v>#N/A</v>
      </c>
      <c r="G334" s="2596" t="e">
        <v>#N/A</v>
      </c>
      <c r="H334" s="3677" t="e">
        <v>#N/A</v>
      </c>
      <c r="I334" s="2591" t="e">
        <v>#N/A</v>
      </c>
      <c r="J334" s="2602" t="e">
        <f t="shared" si="20"/>
        <v>#N/A</v>
      </c>
      <c r="K334" s="2603" t="e">
        <f t="shared" si="21"/>
        <v>#N/A</v>
      </c>
    </row>
    <row r="335" spans="1:11" ht="12.75" customHeight="1">
      <c r="A335" s="2532">
        <f t="shared" si="19"/>
        <v>2029.02</v>
      </c>
      <c r="B335" s="2596" t="e">
        <v>#N/A</v>
      </c>
      <c r="C335" s="2596" t="e">
        <v>#N/A</v>
      </c>
      <c r="D335" s="3677" t="e">
        <v>#N/A</v>
      </c>
      <c r="E335" s="2596" t="e">
        <v>#N/A</v>
      </c>
      <c r="F335" s="2596" t="e">
        <v>#N/A</v>
      </c>
      <c r="G335" s="2596" t="e">
        <v>#N/A</v>
      </c>
      <c r="H335" s="3677" t="e">
        <v>#N/A</v>
      </c>
      <c r="I335" s="2591" t="e">
        <v>#N/A</v>
      </c>
      <c r="J335" s="2602" t="e">
        <f t="shared" si="20"/>
        <v>#N/A</v>
      </c>
      <c r="K335" s="2603" t="e">
        <f t="shared" si="21"/>
        <v>#N/A</v>
      </c>
    </row>
    <row r="336" spans="1:11" ht="12.75" customHeight="1">
      <c r="A336" s="2532">
        <f t="shared" si="19"/>
        <v>2029.03</v>
      </c>
      <c r="B336" s="2596" t="e">
        <v>#N/A</v>
      </c>
      <c r="C336" s="2596" t="e">
        <v>#N/A</v>
      </c>
      <c r="D336" s="3677" t="e">
        <v>#N/A</v>
      </c>
      <c r="E336" s="2596" t="e">
        <v>#N/A</v>
      </c>
      <c r="F336" s="2596" t="e">
        <v>#N/A</v>
      </c>
      <c r="G336" s="2596" t="e">
        <v>#N/A</v>
      </c>
      <c r="H336" s="3677" t="e">
        <v>#N/A</v>
      </c>
      <c r="I336" s="2591" t="e">
        <v>#N/A</v>
      </c>
      <c r="J336" s="2602" t="e">
        <f t="shared" si="20"/>
        <v>#N/A</v>
      </c>
      <c r="K336" s="2603" t="e">
        <f t="shared" si="21"/>
        <v>#N/A</v>
      </c>
    </row>
    <row r="337" spans="1:11" ht="12.75" customHeight="1">
      <c r="A337" s="2532">
        <f t="shared" si="19"/>
        <v>2029.04</v>
      </c>
      <c r="B337" s="2596" t="e">
        <v>#N/A</v>
      </c>
      <c r="C337" s="2596" t="e">
        <v>#N/A</v>
      </c>
      <c r="D337" s="3677" t="e">
        <v>#N/A</v>
      </c>
      <c r="E337" s="2596" t="e">
        <v>#N/A</v>
      </c>
      <c r="F337" s="2596" t="e">
        <v>#N/A</v>
      </c>
      <c r="G337" s="2596" t="e">
        <v>#N/A</v>
      </c>
      <c r="H337" s="3677" t="e">
        <v>#N/A</v>
      </c>
      <c r="I337" s="2591" t="e">
        <v>#N/A</v>
      </c>
      <c r="J337" s="2602" t="e">
        <f t="shared" si="20"/>
        <v>#N/A</v>
      </c>
      <c r="K337" s="2603" t="e">
        <f t="shared" si="21"/>
        <v>#N/A</v>
      </c>
    </row>
    <row r="338" spans="1:11" ht="12.75" customHeight="1">
      <c r="A338" s="2532">
        <f t="shared" si="19"/>
        <v>2029.05</v>
      </c>
      <c r="B338" s="2596" t="e">
        <v>#N/A</v>
      </c>
      <c r="C338" s="2596" t="e">
        <v>#N/A</v>
      </c>
      <c r="D338" s="3677" t="e">
        <v>#N/A</v>
      </c>
      <c r="E338" s="2596" t="e">
        <v>#N/A</v>
      </c>
      <c r="F338" s="2596" t="e">
        <v>#N/A</v>
      </c>
      <c r="G338" s="2596" t="e">
        <v>#N/A</v>
      </c>
      <c r="H338" s="3677" t="e">
        <v>#N/A</v>
      </c>
      <c r="I338" s="2591" t="e">
        <v>#N/A</v>
      </c>
      <c r="J338" s="2602" t="e">
        <f t="shared" si="20"/>
        <v>#N/A</v>
      </c>
      <c r="K338" s="2603" t="e">
        <f t="shared" si="21"/>
        <v>#N/A</v>
      </c>
    </row>
    <row r="339" spans="1:11" ht="12.75" customHeight="1">
      <c r="A339" s="2532">
        <f t="shared" si="19"/>
        <v>2029.06</v>
      </c>
      <c r="B339" s="2596" t="e">
        <v>#N/A</v>
      </c>
      <c r="C339" s="2596" t="e">
        <v>#N/A</v>
      </c>
      <c r="D339" s="3677" t="e">
        <v>#N/A</v>
      </c>
      <c r="E339" s="2596" t="e">
        <v>#N/A</v>
      </c>
      <c r="F339" s="2596" t="e">
        <v>#N/A</v>
      </c>
      <c r="G339" s="2596" t="e">
        <v>#N/A</v>
      </c>
      <c r="H339" s="3677" t="e">
        <v>#N/A</v>
      </c>
      <c r="I339" s="2591" t="e">
        <v>#N/A</v>
      </c>
      <c r="J339" s="2602" t="e">
        <f t="shared" si="20"/>
        <v>#N/A</v>
      </c>
      <c r="K339" s="2603" t="e">
        <f t="shared" si="21"/>
        <v>#N/A</v>
      </c>
    </row>
    <row r="340" spans="1:11" ht="12.75" customHeight="1">
      <c r="A340" s="2532">
        <f t="shared" si="19"/>
        <v>2029.07</v>
      </c>
      <c r="B340" s="2596" t="e">
        <v>#N/A</v>
      </c>
      <c r="C340" s="2596" t="e">
        <v>#N/A</v>
      </c>
      <c r="D340" s="3677" t="e">
        <v>#N/A</v>
      </c>
      <c r="E340" s="2596" t="e">
        <v>#N/A</v>
      </c>
      <c r="F340" s="2596" t="e">
        <v>#N/A</v>
      </c>
      <c r="G340" s="2596" t="e">
        <v>#N/A</v>
      </c>
      <c r="H340" s="3677" t="e">
        <v>#N/A</v>
      </c>
      <c r="I340" s="2591" t="e">
        <v>#N/A</v>
      </c>
      <c r="J340" s="2602" t="e">
        <f t="shared" si="20"/>
        <v>#N/A</v>
      </c>
      <c r="K340" s="2603" t="e">
        <f t="shared" si="21"/>
        <v>#N/A</v>
      </c>
    </row>
    <row r="341" spans="1:11" ht="12.75" customHeight="1">
      <c r="A341" s="2532">
        <f t="shared" si="19"/>
        <v>2029.08</v>
      </c>
      <c r="B341" s="2596" t="e">
        <v>#N/A</v>
      </c>
      <c r="C341" s="2596" t="e">
        <v>#N/A</v>
      </c>
      <c r="D341" s="3677" t="e">
        <v>#N/A</v>
      </c>
      <c r="E341" s="2596" t="e">
        <v>#N/A</v>
      </c>
      <c r="F341" s="2596" t="e">
        <v>#N/A</v>
      </c>
      <c r="G341" s="2596" t="e">
        <v>#N/A</v>
      </c>
      <c r="H341" s="3677" t="e">
        <v>#N/A</v>
      </c>
      <c r="I341" s="2591" t="e">
        <v>#N/A</v>
      </c>
      <c r="J341" s="2602" t="e">
        <f t="shared" si="20"/>
        <v>#N/A</v>
      </c>
      <c r="K341" s="2603" t="e">
        <f t="shared" si="21"/>
        <v>#N/A</v>
      </c>
    </row>
    <row r="342" spans="1:11" ht="12.75" customHeight="1">
      <c r="A342" s="2532">
        <f t="shared" ref="A342:A357" si="22">A330+1</f>
        <v>2029.09</v>
      </c>
      <c r="B342" s="2596" t="e">
        <v>#N/A</v>
      </c>
      <c r="C342" s="2596" t="e">
        <v>#N/A</v>
      </c>
      <c r="D342" s="3677" t="e">
        <v>#N/A</v>
      </c>
      <c r="E342" s="2596" t="e">
        <v>#N/A</v>
      </c>
      <c r="F342" s="2596" t="e">
        <v>#N/A</v>
      </c>
      <c r="G342" s="2596" t="e">
        <v>#N/A</v>
      </c>
      <c r="H342" s="3677" t="e">
        <v>#N/A</v>
      </c>
      <c r="I342" s="2591" t="e">
        <v>#N/A</v>
      </c>
      <c r="J342" s="2602" t="e">
        <f t="shared" si="20"/>
        <v>#N/A</v>
      </c>
      <c r="K342" s="2603" t="e">
        <f t="shared" si="21"/>
        <v>#N/A</v>
      </c>
    </row>
    <row r="343" spans="1:11" ht="12.75" customHeight="1">
      <c r="A343" s="2532">
        <f t="shared" si="22"/>
        <v>2029.1</v>
      </c>
      <c r="B343" s="2596" t="e">
        <v>#N/A</v>
      </c>
      <c r="C343" s="2596" t="e">
        <v>#N/A</v>
      </c>
      <c r="D343" s="3677" t="e">
        <v>#N/A</v>
      </c>
      <c r="E343" s="2596" t="e">
        <v>#N/A</v>
      </c>
      <c r="F343" s="2596" t="e">
        <v>#N/A</v>
      </c>
      <c r="G343" s="2596" t="e">
        <v>#N/A</v>
      </c>
      <c r="H343" s="3677" t="e">
        <v>#N/A</v>
      </c>
      <c r="I343" s="2591" t="e">
        <v>#N/A</v>
      </c>
      <c r="J343" s="2602" t="e">
        <f t="shared" si="20"/>
        <v>#N/A</v>
      </c>
      <c r="K343" s="2603" t="e">
        <f t="shared" si="21"/>
        <v>#N/A</v>
      </c>
    </row>
    <row r="344" spans="1:11" ht="12.75" customHeight="1">
      <c r="A344" s="2532">
        <f t="shared" si="22"/>
        <v>2029.11</v>
      </c>
      <c r="B344" s="2596" t="e">
        <v>#N/A</v>
      </c>
      <c r="C344" s="2596" t="e">
        <v>#N/A</v>
      </c>
      <c r="D344" s="3677" t="e">
        <v>#N/A</v>
      </c>
      <c r="E344" s="2596" t="e">
        <v>#N/A</v>
      </c>
      <c r="F344" s="2596" t="e">
        <v>#N/A</v>
      </c>
      <c r="G344" s="2596" t="e">
        <v>#N/A</v>
      </c>
      <c r="H344" s="3677" t="e">
        <v>#N/A</v>
      </c>
      <c r="I344" s="2591" t="e">
        <v>#N/A</v>
      </c>
      <c r="J344" s="2602" t="e">
        <f t="shared" si="20"/>
        <v>#N/A</v>
      </c>
      <c r="K344" s="2603" t="e">
        <f t="shared" si="21"/>
        <v>#N/A</v>
      </c>
    </row>
    <row r="345" spans="1:11" ht="12.75" customHeight="1">
      <c r="A345" s="2532">
        <f t="shared" si="22"/>
        <v>2029.12</v>
      </c>
      <c r="B345" s="2596" t="e">
        <v>#N/A</v>
      </c>
      <c r="C345" s="2596" t="e">
        <v>#N/A</v>
      </c>
      <c r="D345" s="3677" t="e">
        <v>#N/A</v>
      </c>
      <c r="E345" s="2596" t="e">
        <v>#N/A</v>
      </c>
      <c r="F345" s="2596" t="e">
        <v>#N/A</v>
      </c>
      <c r="G345" s="2596" t="e">
        <v>#N/A</v>
      </c>
      <c r="H345" s="3677" t="e">
        <v>#N/A</v>
      </c>
      <c r="I345" s="2591" t="e">
        <v>#N/A</v>
      </c>
      <c r="J345" s="2602" t="e">
        <f t="shared" si="20"/>
        <v>#N/A</v>
      </c>
      <c r="K345" s="2603" t="e">
        <f t="shared" si="21"/>
        <v>#N/A</v>
      </c>
    </row>
    <row r="346" spans="1:11" ht="12.75" customHeight="1">
      <c r="A346" s="2532">
        <f t="shared" si="22"/>
        <v>2030.01</v>
      </c>
      <c r="B346" s="2596" t="e">
        <v>#N/A</v>
      </c>
      <c r="C346" s="2596" t="e">
        <v>#N/A</v>
      </c>
      <c r="D346" s="3677" t="e">
        <v>#N/A</v>
      </c>
      <c r="E346" s="2596" t="e">
        <v>#N/A</v>
      </c>
      <c r="F346" s="2596" t="e">
        <v>#N/A</v>
      </c>
      <c r="G346" s="2596" t="e">
        <v>#N/A</v>
      </c>
      <c r="H346" s="3677" t="e">
        <v>#N/A</v>
      </c>
      <c r="I346" s="2591" t="e">
        <v>#N/A</v>
      </c>
      <c r="J346" s="2602" t="e">
        <f t="shared" si="20"/>
        <v>#N/A</v>
      </c>
      <c r="K346" s="2603" t="e">
        <f t="shared" si="21"/>
        <v>#N/A</v>
      </c>
    </row>
    <row r="347" spans="1:11" ht="12.75" customHeight="1">
      <c r="A347" s="2532">
        <f t="shared" si="22"/>
        <v>2030.02</v>
      </c>
      <c r="B347" s="2596" t="e">
        <v>#N/A</v>
      </c>
      <c r="C347" s="2596" t="e">
        <v>#N/A</v>
      </c>
      <c r="D347" s="3677" t="e">
        <v>#N/A</v>
      </c>
      <c r="E347" s="2596" t="e">
        <v>#N/A</v>
      </c>
      <c r="F347" s="2596" t="e">
        <v>#N/A</v>
      </c>
      <c r="G347" s="2596" t="e">
        <v>#N/A</v>
      </c>
      <c r="H347" s="3677" t="e">
        <v>#N/A</v>
      </c>
      <c r="I347" s="2591" t="e">
        <v>#N/A</v>
      </c>
      <c r="J347" s="2602" t="e">
        <f t="shared" si="20"/>
        <v>#N/A</v>
      </c>
      <c r="K347" s="2603" t="e">
        <f t="shared" si="21"/>
        <v>#N/A</v>
      </c>
    </row>
    <row r="348" spans="1:11" ht="12.75" customHeight="1">
      <c r="A348" s="2532">
        <f t="shared" si="22"/>
        <v>2030.03</v>
      </c>
      <c r="B348" s="2596" t="e">
        <v>#N/A</v>
      </c>
      <c r="C348" s="2596" t="e">
        <v>#N/A</v>
      </c>
      <c r="D348" s="3677" t="e">
        <v>#N/A</v>
      </c>
      <c r="E348" s="2596" t="e">
        <v>#N/A</v>
      </c>
      <c r="F348" s="2596" t="e">
        <v>#N/A</v>
      </c>
      <c r="G348" s="2596" t="e">
        <v>#N/A</v>
      </c>
      <c r="H348" s="3677" t="e">
        <v>#N/A</v>
      </c>
      <c r="I348" s="2591" t="e">
        <v>#N/A</v>
      </c>
      <c r="J348" s="2602" t="e">
        <f t="shared" si="20"/>
        <v>#N/A</v>
      </c>
      <c r="K348" s="2603" t="e">
        <f t="shared" si="21"/>
        <v>#N/A</v>
      </c>
    </row>
    <row r="349" spans="1:11" ht="12.75" customHeight="1">
      <c r="A349" s="2532">
        <f t="shared" si="22"/>
        <v>2030.04</v>
      </c>
      <c r="B349" s="2596" t="e">
        <v>#N/A</v>
      </c>
      <c r="C349" s="2596" t="e">
        <v>#N/A</v>
      </c>
      <c r="D349" s="3677" t="e">
        <v>#N/A</v>
      </c>
      <c r="E349" s="2596" t="e">
        <v>#N/A</v>
      </c>
      <c r="F349" s="2596" t="e">
        <v>#N/A</v>
      </c>
      <c r="G349" s="2596" t="e">
        <v>#N/A</v>
      </c>
      <c r="H349" s="3677" t="e">
        <v>#N/A</v>
      </c>
      <c r="I349" s="2591" t="e">
        <v>#N/A</v>
      </c>
      <c r="J349" s="2602" t="e">
        <f t="shared" si="20"/>
        <v>#N/A</v>
      </c>
      <c r="K349" s="2603" t="e">
        <f t="shared" si="21"/>
        <v>#N/A</v>
      </c>
    </row>
    <row r="350" spans="1:11" ht="12.75" customHeight="1">
      <c r="A350" s="2532">
        <f t="shared" si="22"/>
        <v>2030.05</v>
      </c>
      <c r="B350" s="2596" t="e">
        <v>#N/A</v>
      </c>
      <c r="C350" s="2596" t="e">
        <v>#N/A</v>
      </c>
      <c r="D350" s="3677" t="e">
        <v>#N/A</v>
      </c>
      <c r="E350" s="2596" t="e">
        <v>#N/A</v>
      </c>
      <c r="F350" s="2596" t="e">
        <v>#N/A</v>
      </c>
      <c r="G350" s="2596" t="e">
        <v>#N/A</v>
      </c>
      <c r="H350" s="3677" t="e">
        <v>#N/A</v>
      </c>
      <c r="I350" s="2591" t="e">
        <v>#N/A</v>
      </c>
      <c r="J350" s="2602" t="e">
        <f t="shared" si="20"/>
        <v>#N/A</v>
      </c>
      <c r="K350" s="2603" t="e">
        <f t="shared" si="21"/>
        <v>#N/A</v>
      </c>
    </row>
    <row r="351" spans="1:11" ht="12.75" customHeight="1">
      <c r="A351" s="2532">
        <f t="shared" si="22"/>
        <v>2030.06</v>
      </c>
      <c r="B351" s="2596" t="e">
        <v>#N/A</v>
      </c>
      <c r="C351" s="2596" t="e">
        <v>#N/A</v>
      </c>
      <c r="D351" s="3677" t="e">
        <v>#N/A</v>
      </c>
      <c r="E351" s="2596" t="e">
        <v>#N/A</v>
      </c>
      <c r="F351" s="2596" t="e">
        <v>#N/A</v>
      </c>
      <c r="G351" s="2596" t="e">
        <v>#N/A</v>
      </c>
      <c r="H351" s="3677" t="e">
        <v>#N/A</v>
      </c>
      <c r="I351" s="2591" t="e">
        <v>#N/A</v>
      </c>
      <c r="J351" s="2602" t="e">
        <f t="shared" si="20"/>
        <v>#N/A</v>
      </c>
      <c r="K351" s="2603" t="e">
        <f t="shared" si="21"/>
        <v>#N/A</v>
      </c>
    </row>
    <row r="352" spans="1:11" ht="12.75" customHeight="1">
      <c r="A352" s="2532">
        <f t="shared" si="22"/>
        <v>2030.07</v>
      </c>
      <c r="B352" s="2596" t="e">
        <v>#N/A</v>
      </c>
      <c r="C352" s="2596" t="e">
        <v>#N/A</v>
      </c>
      <c r="D352" s="3677" t="e">
        <v>#N/A</v>
      </c>
      <c r="E352" s="2596" t="e">
        <v>#N/A</v>
      </c>
      <c r="F352" s="2596" t="e">
        <v>#N/A</v>
      </c>
      <c r="G352" s="2596" t="e">
        <v>#N/A</v>
      </c>
      <c r="H352" s="3677" t="e">
        <v>#N/A</v>
      </c>
      <c r="I352" s="2591" t="e">
        <v>#N/A</v>
      </c>
      <c r="J352" s="2602" t="e">
        <f t="shared" si="20"/>
        <v>#N/A</v>
      </c>
      <c r="K352" s="2603" t="e">
        <f t="shared" si="21"/>
        <v>#N/A</v>
      </c>
    </row>
    <row r="353" spans="1:11" ht="12.75" customHeight="1">
      <c r="A353" s="2532">
        <f t="shared" si="22"/>
        <v>2030.08</v>
      </c>
      <c r="B353" s="2596" t="e">
        <v>#N/A</v>
      </c>
      <c r="C353" s="2596" t="e">
        <v>#N/A</v>
      </c>
      <c r="D353" s="3677" t="e">
        <v>#N/A</v>
      </c>
      <c r="E353" s="2596" t="e">
        <v>#N/A</v>
      </c>
      <c r="F353" s="2596" t="e">
        <v>#N/A</v>
      </c>
      <c r="G353" s="2596" t="e">
        <v>#N/A</v>
      </c>
      <c r="H353" s="3677" t="e">
        <v>#N/A</v>
      </c>
      <c r="I353" s="2591" t="e">
        <v>#N/A</v>
      </c>
      <c r="J353" s="2602" t="e">
        <f t="shared" si="20"/>
        <v>#N/A</v>
      </c>
      <c r="K353" s="2603" t="e">
        <f t="shared" si="21"/>
        <v>#N/A</v>
      </c>
    </row>
    <row r="354" spans="1:11" ht="12.75" customHeight="1">
      <c r="A354" s="2532">
        <f t="shared" si="22"/>
        <v>2030.09</v>
      </c>
      <c r="B354" s="2596" t="e">
        <v>#N/A</v>
      </c>
      <c r="C354" s="2596" t="e">
        <v>#N/A</v>
      </c>
      <c r="D354" s="3677" t="e">
        <v>#N/A</v>
      </c>
      <c r="E354" s="2596" t="e">
        <v>#N/A</v>
      </c>
      <c r="F354" s="2596" t="e">
        <v>#N/A</v>
      </c>
      <c r="G354" s="2596" t="e">
        <v>#N/A</v>
      </c>
      <c r="H354" s="3677" t="e">
        <v>#N/A</v>
      </c>
      <c r="I354" s="2591" t="e">
        <v>#N/A</v>
      </c>
      <c r="J354" s="2602" t="e">
        <f t="shared" si="20"/>
        <v>#N/A</v>
      </c>
      <c r="K354" s="2603" t="e">
        <f t="shared" si="21"/>
        <v>#N/A</v>
      </c>
    </row>
    <row r="355" spans="1:11" ht="12.75" customHeight="1">
      <c r="A355" s="2532">
        <f t="shared" si="22"/>
        <v>2030.1</v>
      </c>
      <c r="B355" s="2596" t="e">
        <v>#N/A</v>
      </c>
      <c r="C355" s="2596" t="e">
        <v>#N/A</v>
      </c>
      <c r="D355" s="3677" t="e">
        <v>#N/A</v>
      </c>
      <c r="E355" s="2596" t="e">
        <v>#N/A</v>
      </c>
      <c r="F355" s="2596" t="e">
        <v>#N/A</v>
      </c>
      <c r="G355" s="2596" t="e">
        <v>#N/A</v>
      </c>
      <c r="H355" s="3677" t="e">
        <v>#N/A</v>
      </c>
      <c r="I355" s="2591" t="e">
        <v>#N/A</v>
      </c>
      <c r="J355" s="2602" t="e">
        <f t="shared" si="20"/>
        <v>#N/A</v>
      </c>
      <c r="K355" s="2603" t="e">
        <f t="shared" si="21"/>
        <v>#N/A</v>
      </c>
    </row>
    <row r="356" spans="1:11" ht="12.75" customHeight="1">
      <c r="A356" s="2532">
        <f t="shared" si="22"/>
        <v>2030.11</v>
      </c>
      <c r="B356" s="2596" t="e">
        <v>#N/A</v>
      </c>
      <c r="C356" s="2596" t="e">
        <v>#N/A</v>
      </c>
      <c r="D356" s="3677" t="e">
        <v>#N/A</v>
      </c>
      <c r="E356" s="2596" t="e">
        <v>#N/A</v>
      </c>
      <c r="F356" s="2596" t="e">
        <v>#N/A</v>
      </c>
      <c r="G356" s="2596" t="e">
        <v>#N/A</v>
      </c>
      <c r="H356" s="3677" t="e">
        <v>#N/A</v>
      </c>
      <c r="I356" s="2591" t="e">
        <v>#N/A</v>
      </c>
      <c r="J356" s="2602" t="e">
        <f t="shared" si="20"/>
        <v>#N/A</v>
      </c>
      <c r="K356" s="2603" t="e">
        <f t="shared" si="21"/>
        <v>#N/A</v>
      </c>
    </row>
    <row r="357" spans="1:11" ht="12.75" customHeight="1">
      <c r="A357" s="2532">
        <f t="shared" si="22"/>
        <v>2030.12</v>
      </c>
      <c r="B357" s="2596" t="e">
        <v>#N/A</v>
      </c>
      <c r="C357" s="2596" t="e">
        <v>#N/A</v>
      </c>
      <c r="D357" s="3677" t="e">
        <v>#N/A</v>
      </c>
      <c r="E357" s="2596" t="e">
        <v>#N/A</v>
      </c>
      <c r="F357" s="2596" t="e">
        <v>#N/A</v>
      </c>
      <c r="G357" s="2596" t="e">
        <v>#N/A</v>
      </c>
      <c r="H357" s="3677" t="e">
        <v>#N/A</v>
      </c>
      <c r="I357" s="2591" t="e">
        <v>#N/A</v>
      </c>
      <c r="J357" s="2602" t="e">
        <f t="shared" si="20"/>
        <v>#N/A</v>
      </c>
      <c r="K357" s="2603" t="e">
        <f t="shared" si="21"/>
        <v>#N/A</v>
      </c>
    </row>
    <row r="358" spans="1:11">
      <c r="A358" s="2532"/>
    </row>
  </sheetData>
  <hyperlinks>
    <hyperlink ref="A5" location="INDICE!A13" display="VOLVER AL INDICE" xr:uid="{B82C457A-4C96-4CB7-92B4-11D937548EC4}"/>
  </hyperlink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pageSetUpPr autoPageBreaks="0" fitToPage="1"/>
  </sheetPr>
  <dimension ref="A1:B465"/>
  <sheetViews>
    <sheetView zoomScaleNormal="100"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10.5703125" style="1201" customWidth="1"/>
    <col min="2" max="2" width="25" style="879" customWidth="1"/>
    <col min="3" max="16384" width="11.42578125" style="259"/>
  </cols>
  <sheetData>
    <row r="1" spans="1:2" s="10" customFormat="1" ht="3" customHeight="1">
      <c r="A1" s="2761"/>
      <c r="B1" s="97"/>
    </row>
    <row r="2" spans="1:2" s="10" customFormat="1" ht="41.25" customHeight="1">
      <c r="A2" s="2762" t="s">
        <v>99</v>
      </c>
      <c r="B2" s="2138" t="s">
        <v>204</v>
      </c>
    </row>
    <row r="3" spans="1:2" s="10" customFormat="1" ht="22.5">
      <c r="A3" s="2762" t="s">
        <v>104</v>
      </c>
      <c r="B3" s="2138" t="s">
        <v>106</v>
      </c>
    </row>
    <row r="4" spans="1:2" s="10" customFormat="1">
      <c r="A4" s="2762"/>
      <c r="B4" s="97"/>
    </row>
    <row r="5" spans="1:2" s="10" customFormat="1" ht="22.5">
      <c r="A5" s="2763" t="s">
        <v>140</v>
      </c>
      <c r="B5" s="1240"/>
    </row>
    <row r="6" spans="1:2" s="10" customFormat="1">
      <c r="A6" s="2762"/>
      <c r="B6" s="97"/>
    </row>
    <row r="7" spans="1:2" s="10" customFormat="1" ht="22.5">
      <c r="A7" s="2762" t="s">
        <v>125</v>
      </c>
      <c r="B7" s="1240" t="s">
        <v>130</v>
      </c>
    </row>
    <row r="8" spans="1:2" s="10" customFormat="1">
      <c r="A8" s="2751" t="s">
        <v>144</v>
      </c>
      <c r="B8" s="2141" t="s">
        <v>205</v>
      </c>
    </row>
    <row r="9" spans="1:2" s="11" customFormat="1" ht="13.5" thickBot="1">
      <c r="A9" s="2140"/>
      <c r="B9" s="2139"/>
    </row>
    <row r="10" spans="1:2" s="11" customFormat="1">
      <c r="A10" s="57">
        <v>1993.01</v>
      </c>
      <c r="B10" s="175">
        <v>67.628264738050959</v>
      </c>
    </row>
    <row r="11" spans="1:2" s="11" customFormat="1">
      <c r="A11" s="53">
        <v>1993.02</v>
      </c>
      <c r="B11" s="1268">
        <v>68.48296292057401</v>
      </c>
    </row>
    <row r="12" spans="1:2" s="11" customFormat="1">
      <c r="A12" s="53">
        <v>1993.03</v>
      </c>
      <c r="B12" s="1268">
        <v>69.22048611724999</v>
      </c>
    </row>
    <row r="13" spans="1:2" s="11" customFormat="1">
      <c r="A13" s="53">
        <v>1993.04</v>
      </c>
      <c r="B13" s="1268">
        <v>69.809012489724282</v>
      </c>
    </row>
    <row r="14" spans="1:2" s="11" customFormat="1">
      <c r="A14" s="53">
        <v>1993.05</v>
      </c>
      <c r="B14" s="1268">
        <v>68.438813915908881</v>
      </c>
    </row>
    <row r="15" spans="1:2" s="11" customFormat="1">
      <c r="A15" s="53">
        <v>1993.06</v>
      </c>
      <c r="B15" s="1268">
        <v>70.712700790186688</v>
      </c>
    </row>
    <row r="16" spans="1:2" s="11" customFormat="1">
      <c r="A16" s="53">
        <v>1993.07</v>
      </c>
      <c r="B16" s="1268">
        <v>72.252823413388526</v>
      </c>
    </row>
    <row r="17" spans="1:2" s="11" customFormat="1">
      <c r="A17" s="53">
        <v>1993.08</v>
      </c>
      <c r="B17" s="1268">
        <v>73.570633128880303</v>
      </c>
    </row>
    <row r="18" spans="1:2" s="11" customFormat="1">
      <c r="A18" s="53">
        <v>1993.09</v>
      </c>
      <c r="B18" s="1268">
        <v>73.725823749306628</v>
      </c>
    </row>
    <row r="19" spans="1:2" s="11" customFormat="1">
      <c r="A19" s="53">
        <v>1993.1</v>
      </c>
      <c r="B19" s="1268">
        <v>75.028968567206689</v>
      </c>
    </row>
    <row r="20" spans="1:2" s="11" customFormat="1">
      <c r="A20" s="53">
        <v>1993.11</v>
      </c>
      <c r="B20" s="1268">
        <v>75.180973953511966</v>
      </c>
    </row>
    <row r="21" spans="1:2" s="11" customFormat="1">
      <c r="A21" s="53">
        <v>1993.12</v>
      </c>
      <c r="B21" s="1268">
        <v>77.264639965900585</v>
      </c>
    </row>
    <row r="22" spans="1:2" s="6" customFormat="1">
      <c r="A22" s="53">
        <v>1994.01</v>
      </c>
      <c r="B22" s="1268">
        <v>79.313601017368654</v>
      </c>
    </row>
    <row r="23" spans="1:2" s="6" customFormat="1">
      <c r="A23" s="53">
        <v>1994.02</v>
      </c>
      <c r="B23" s="1268">
        <v>81.724498124853355</v>
      </c>
    </row>
    <row r="24" spans="1:2" s="6" customFormat="1">
      <c r="A24" s="53">
        <v>1994.03</v>
      </c>
      <c r="B24" s="1268">
        <v>79.775651650506262</v>
      </c>
    </row>
    <row r="25" spans="1:2" s="6" customFormat="1">
      <c r="A25" s="53">
        <v>1994.04</v>
      </c>
      <c r="B25" s="1268">
        <v>79.768151057347367</v>
      </c>
    </row>
    <row r="26" spans="1:2" s="6" customFormat="1">
      <c r="A26" s="53">
        <v>1994.05</v>
      </c>
      <c r="B26" s="1268">
        <v>80.337708381553981</v>
      </c>
    </row>
    <row r="27" spans="1:2" s="6" customFormat="1">
      <c r="A27" s="53">
        <v>1994.06</v>
      </c>
      <c r="B27" s="1268">
        <v>79.525290984437106</v>
      </c>
    </row>
    <row r="28" spans="1:2" s="6" customFormat="1">
      <c r="A28" s="53">
        <v>1994.07</v>
      </c>
      <c r="B28" s="1268">
        <v>79.275690215666543</v>
      </c>
    </row>
    <row r="29" spans="1:2" s="6" customFormat="1">
      <c r="A29" s="53">
        <v>1994.08</v>
      </c>
      <c r="B29" s="1268">
        <v>79.465115219756612</v>
      </c>
    </row>
    <row r="30" spans="1:2" s="6" customFormat="1">
      <c r="A30" s="53">
        <v>1994.09</v>
      </c>
      <c r="B30" s="1268">
        <v>80.056441677860121</v>
      </c>
    </row>
    <row r="31" spans="1:2" s="6" customFormat="1">
      <c r="A31" s="53">
        <v>1994.1</v>
      </c>
      <c r="B31" s="1268">
        <v>78.985868164214395</v>
      </c>
    </row>
    <row r="32" spans="1:2" s="6" customFormat="1">
      <c r="A32" s="53">
        <v>1994.11</v>
      </c>
      <c r="B32" s="1268">
        <v>78.107416771565354</v>
      </c>
    </row>
    <row r="33" spans="1:2" s="6" customFormat="1">
      <c r="A33" s="53">
        <v>1994.12</v>
      </c>
      <c r="B33" s="1268">
        <v>77.765455054152014</v>
      </c>
    </row>
    <row r="34" spans="1:2" s="6" customFormat="1">
      <c r="A34" s="53">
        <v>1995.01</v>
      </c>
      <c r="B34" s="1268">
        <v>76.143042119520601</v>
      </c>
    </row>
    <row r="35" spans="1:2" s="6" customFormat="1">
      <c r="A35" s="53">
        <v>1995.02</v>
      </c>
      <c r="B35" s="1268">
        <v>74.059050752503339</v>
      </c>
    </row>
    <row r="36" spans="1:2" s="6" customFormat="1">
      <c r="A36" s="53">
        <v>1995.03</v>
      </c>
      <c r="B36" s="1268">
        <v>74.219839088954359</v>
      </c>
    </row>
    <row r="37" spans="1:2" s="6" customFormat="1">
      <c r="A37" s="53">
        <v>1995.04</v>
      </c>
      <c r="B37" s="1268">
        <v>73.030084526208228</v>
      </c>
    </row>
    <row r="38" spans="1:2" s="6" customFormat="1">
      <c r="A38" s="53">
        <v>1995.05</v>
      </c>
      <c r="B38" s="1268">
        <v>73.207388972013376</v>
      </c>
    </row>
    <row r="39" spans="1:2" s="6" customFormat="1">
      <c r="A39" s="53">
        <v>1995.06</v>
      </c>
      <c r="B39" s="1268">
        <v>73.699668109001109</v>
      </c>
    </row>
    <row r="40" spans="1:2" s="6" customFormat="1">
      <c r="A40" s="53">
        <v>1995.07</v>
      </c>
      <c r="B40" s="1268">
        <v>75.521903685677628</v>
      </c>
    </row>
    <row r="41" spans="1:2" s="6" customFormat="1">
      <c r="A41" s="53">
        <v>1995.08</v>
      </c>
      <c r="B41" s="1268">
        <v>73.940349369147057</v>
      </c>
    </row>
    <row r="42" spans="1:2" s="6" customFormat="1">
      <c r="A42" s="53">
        <v>1995.09</v>
      </c>
      <c r="B42" s="1268">
        <v>74.060514369825327</v>
      </c>
    </row>
    <row r="43" spans="1:2" s="6" customFormat="1">
      <c r="A43" s="53">
        <v>1995.1</v>
      </c>
      <c r="B43" s="1268">
        <v>73.086038957396141</v>
      </c>
    </row>
    <row r="44" spans="1:2" s="6" customFormat="1">
      <c r="A44" s="53">
        <v>1995.11</v>
      </c>
      <c r="B44" s="1268">
        <v>74.874937209198492</v>
      </c>
    </row>
    <row r="45" spans="1:2" s="6" customFormat="1">
      <c r="A45" s="53">
        <v>1995.12</v>
      </c>
      <c r="B45" s="1268">
        <v>75.448842825057028</v>
      </c>
    </row>
    <row r="46" spans="1:2" s="6" customFormat="1">
      <c r="A46" s="53">
        <v>1996.01</v>
      </c>
      <c r="B46" s="1268">
        <v>76.6940414246572</v>
      </c>
    </row>
    <row r="47" spans="1:2" s="6" customFormat="1">
      <c r="A47" s="53">
        <v>1996.02</v>
      </c>
      <c r="B47" s="1268">
        <v>77.69223558917831</v>
      </c>
    </row>
    <row r="48" spans="1:2" s="6" customFormat="1">
      <c r="A48" s="53">
        <v>1996.03</v>
      </c>
      <c r="B48" s="1268">
        <v>78.813728824186867</v>
      </c>
    </row>
    <row r="49" spans="1:2" s="6" customFormat="1">
      <c r="A49" s="53">
        <v>1996.04</v>
      </c>
      <c r="B49" s="1268">
        <v>79.724739459686148</v>
      </c>
    </row>
    <row r="50" spans="1:2" s="6" customFormat="1">
      <c r="A50" s="53">
        <v>1996.05</v>
      </c>
      <c r="B50" s="1268">
        <v>80.308911066014986</v>
      </c>
    </row>
    <row r="51" spans="1:2" s="6" customFormat="1">
      <c r="A51" s="53">
        <v>1996.06</v>
      </c>
      <c r="B51" s="1268">
        <v>81.123973657263889</v>
      </c>
    </row>
    <row r="52" spans="1:2" s="6" customFormat="1">
      <c r="A52" s="53">
        <v>1996.07</v>
      </c>
      <c r="B52" s="1268">
        <v>80.717800351243056</v>
      </c>
    </row>
    <row r="53" spans="1:2" s="6" customFormat="1">
      <c r="A53" s="53">
        <v>1996.08</v>
      </c>
      <c r="B53" s="1268">
        <v>80.996601239207095</v>
      </c>
    </row>
    <row r="54" spans="1:2" s="6" customFormat="1">
      <c r="A54" s="53">
        <v>1996.09</v>
      </c>
      <c r="B54" s="1268">
        <v>81.429343252927836</v>
      </c>
    </row>
    <row r="55" spans="1:2" s="6" customFormat="1">
      <c r="A55" s="53">
        <v>1996.1</v>
      </c>
      <c r="B55" s="1268">
        <v>82.472716117844868</v>
      </c>
    </row>
    <row r="56" spans="1:2" s="6" customFormat="1">
      <c r="A56" s="53">
        <v>1996.11</v>
      </c>
      <c r="B56" s="1268">
        <v>84.814975856169355</v>
      </c>
    </row>
    <row r="57" spans="1:2" s="6" customFormat="1">
      <c r="A57" s="53">
        <v>1996.12</v>
      </c>
      <c r="B57" s="1268">
        <v>85.087868875850717</v>
      </c>
    </row>
    <row r="58" spans="1:2" s="6" customFormat="1">
      <c r="A58" s="53">
        <v>1997.01</v>
      </c>
      <c r="B58" s="1268">
        <v>85.696730605389163</v>
      </c>
    </row>
    <row r="59" spans="1:2" s="6" customFormat="1">
      <c r="A59" s="53">
        <v>1997.02</v>
      </c>
      <c r="B59" s="1268">
        <v>88.54852115057173</v>
      </c>
    </row>
    <row r="60" spans="1:2" s="6" customFormat="1">
      <c r="A60" s="53">
        <v>1997.03</v>
      </c>
      <c r="B60" s="1268">
        <v>88.989771619306921</v>
      </c>
    </row>
    <row r="61" spans="1:2" s="6" customFormat="1">
      <c r="A61" s="53">
        <v>1997.04</v>
      </c>
      <c r="B61" s="1268">
        <v>90.517460696955297</v>
      </c>
    </row>
    <row r="62" spans="1:2" s="6" customFormat="1">
      <c r="A62" s="53">
        <v>1997.05</v>
      </c>
      <c r="B62" s="1268">
        <v>90.970683290097554</v>
      </c>
    </row>
    <row r="63" spans="1:2" s="6" customFormat="1">
      <c r="A63" s="53">
        <v>1997.06</v>
      </c>
      <c r="B63" s="1268">
        <v>90.045148185629259</v>
      </c>
    </row>
    <row r="64" spans="1:2" s="6" customFormat="1">
      <c r="A64" s="53">
        <v>1997.07</v>
      </c>
      <c r="B64" s="1268">
        <v>92.378045116820559</v>
      </c>
    </row>
    <row r="65" spans="1:2" s="6" customFormat="1">
      <c r="A65" s="53">
        <v>1997.08</v>
      </c>
      <c r="B65" s="1268">
        <v>93.588408972846167</v>
      </c>
    </row>
    <row r="66" spans="1:2" s="6" customFormat="1">
      <c r="A66" s="53">
        <v>1997.09</v>
      </c>
      <c r="B66" s="1268">
        <v>93.912265829984335</v>
      </c>
    </row>
    <row r="67" spans="1:2" s="6" customFormat="1">
      <c r="A67" s="53">
        <v>1997.1</v>
      </c>
      <c r="B67" s="1268">
        <v>93.055783104465874</v>
      </c>
    </row>
    <row r="68" spans="1:2" s="6" customFormat="1">
      <c r="A68" s="53">
        <v>1997.11</v>
      </c>
      <c r="B68" s="1268">
        <v>92.099939555740818</v>
      </c>
    </row>
    <row r="69" spans="1:2" s="6" customFormat="1">
      <c r="A69" s="53">
        <v>1997.12</v>
      </c>
      <c r="B69" s="1268">
        <v>91.747336680228187</v>
      </c>
    </row>
    <row r="70" spans="1:2" s="6" customFormat="1">
      <c r="A70" s="53">
        <v>1998.01</v>
      </c>
      <c r="B70" s="1268">
        <v>92.095257039253966</v>
      </c>
    </row>
    <row r="71" spans="1:2" s="6" customFormat="1">
      <c r="A71" s="53">
        <v>1998.02</v>
      </c>
      <c r="B71" s="1268">
        <v>93.713708983434401</v>
      </c>
    </row>
    <row r="72" spans="1:2" s="6" customFormat="1">
      <c r="A72" s="53">
        <v>1998.03</v>
      </c>
      <c r="B72" s="1268">
        <v>90.108345518543658</v>
      </c>
    </row>
    <row r="73" spans="1:2" s="6" customFormat="1">
      <c r="A73" s="53">
        <v>1998.04</v>
      </c>
      <c r="B73" s="1268">
        <v>89.377500076612804</v>
      </c>
    </row>
    <row r="74" spans="1:2" s="6" customFormat="1">
      <c r="A74" s="53">
        <v>1998.05</v>
      </c>
      <c r="B74" s="1268">
        <v>87.703705182976364</v>
      </c>
    </row>
    <row r="75" spans="1:2" s="6" customFormat="1">
      <c r="A75" s="53">
        <v>1998.06</v>
      </c>
      <c r="B75" s="1268">
        <v>88.010409699610804</v>
      </c>
    </row>
    <row r="76" spans="1:2" s="6" customFormat="1">
      <c r="A76" s="53">
        <v>1998.07</v>
      </c>
      <c r="B76" s="1268">
        <v>86.753504717717448</v>
      </c>
    </row>
    <row r="77" spans="1:2" s="6" customFormat="1">
      <c r="A77" s="53">
        <v>1998.08</v>
      </c>
      <c r="B77" s="1268">
        <v>84.007469367042177</v>
      </c>
    </row>
    <row r="78" spans="1:2" s="6" customFormat="1">
      <c r="A78" s="53">
        <v>1998.09</v>
      </c>
      <c r="B78" s="1268">
        <v>82.702778674971498</v>
      </c>
    </row>
    <row r="79" spans="1:2" s="6" customFormat="1">
      <c r="A79" s="53">
        <v>1998.1</v>
      </c>
      <c r="B79" s="1268">
        <v>83.558193247796325</v>
      </c>
    </row>
    <row r="80" spans="1:2" s="6" customFormat="1">
      <c r="A80" s="53">
        <v>1998.11</v>
      </c>
      <c r="B80" s="1268">
        <v>85.219898255877268</v>
      </c>
    </row>
    <row r="81" spans="1:2" s="6" customFormat="1">
      <c r="A81" s="53">
        <v>1998.12</v>
      </c>
      <c r="B81" s="1268">
        <v>82.201954106489055</v>
      </c>
    </row>
    <row r="82" spans="1:2" s="6" customFormat="1">
      <c r="A82" s="53">
        <v>1999.01</v>
      </c>
      <c r="B82" s="1268">
        <v>80.294760820178766</v>
      </c>
    </row>
    <row r="83" spans="1:2" s="6" customFormat="1">
      <c r="A83" s="53">
        <v>1999.02</v>
      </c>
      <c r="B83" s="1268">
        <v>79.687919532989184</v>
      </c>
    </row>
    <row r="84" spans="1:2" s="6" customFormat="1">
      <c r="A84" s="53">
        <v>1999.03</v>
      </c>
      <c r="B84" s="1268">
        <v>79.604802729191363</v>
      </c>
    </row>
    <row r="85" spans="1:2" s="6" customFormat="1">
      <c r="A85" s="53">
        <v>1999.04</v>
      </c>
      <c r="B85" s="1268">
        <v>81.601087572665463</v>
      </c>
    </row>
    <row r="86" spans="1:2" s="6" customFormat="1">
      <c r="A86" s="53">
        <v>1999.05</v>
      </c>
      <c r="B86" s="1268">
        <v>82.395677873650939</v>
      </c>
    </row>
    <row r="87" spans="1:2" s="6" customFormat="1">
      <c r="A87" s="53">
        <v>1999.06</v>
      </c>
      <c r="B87" s="1268">
        <v>81.960349772432991</v>
      </c>
    </row>
    <row r="88" spans="1:2" s="6" customFormat="1">
      <c r="A88" s="53">
        <v>1999.07</v>
      </c>
      <c r="B88" s="1268">
        <v>79.401634292295441</v>
      </c>
    </row>
    <row r="89" spans="1:2" s="6" customFormat="1">
      <c r="A89" s="53">
        <v>1999.08</v>
      </c>
      <c r="B89" s="1268">
        <v>82.11776655013891</v>
      </c>
    </row>
    <row r="90" spans="1:2" s="6" customFormat="1">
      <c r="A90" s="53">
        <v>1999.09</v>
      </c>
      <c r="B90" s="1268">
        <v>82.679661308638671</v>
      </c>
    </row>
    <row r="91" spans="1:2" s="6" customFormat="1">
      <c r="A91" s="53">
        <v>1999.1</v>
      </c>
      <c r="B91" s="1268">
        <v>84.252682146222782</v>
      </c>
    </row>
    <row r="92" spans="1:2" s="6" customFormat="1">
      <c r="A92" s="53">
        <v>1999.11</v>
      </c>
      <c r="B92" s="1268">
        <v>84.285760478253607</v>
      </c>
    </row>
    <row r="93" spans="1:2" s="6" customFormat="1">
      <c r="A93" s="53">
        <v>1999.12</v>
      </c>
      <c r="B93" s="1268">
        <v>83.362646479396318</v>
      </c>
    </row>
    <row r="94" spans="1:2" s="6" customFormat="1">
      <c r="A94" s="53">
        <v>2000.01</v>
      </c>
      <c r="B94" s="1268">
        <v>83.027570998792854</v>
      </c>
    </row>
    <row r="95" spans="1:2" s="6" customFormat="1">
      <c r="A95" s="53">
        <v>2000.02</v>
      </c>
      <c r="B95" s="1268">
        <v>81.487128378915969</v>
      </c>
    </row>
    <row r="96" spans="1:2" s="6" customFormat="1">
      <c r="A96" s="53">
        <v>2000.03</v>
      </c>
      <c r="B96" s="1268">
        <v>83.429823426515995</v>
      </c>
    </row>
    <row r="97" spans="1:2" s="6" customFormat="1">
      <c r="A97" s="53">
        <v>2000.04</v>
      </c>
      <c r="B97" s="1268">
        <v>80.724054324318004</v>
      </c>
    </row>
    <row r="98" spans="1:2" s="6" customFormat="1">
      <c r="A98" s="53">
        <v>2000.05</v>
      </c>
      <c r="B98" s="1268">
        <v>80.219361206019272</v>
      </c>
    </row>
    <row r="99" spans="1:2" s="6" customFormat="1">
      <c r="A99" s="53">
        <v>2000.06</v>
      </c>
      <c r="B99" s="1268">
        <v>80.200683590002313</v>
      </c>
    </row>
    <row r="100" spans="1:2" s="6" customFormat="1">
      <c r="A100" s="53">
        <v>2000.07</v>
      </c>
      <c r="B100" s="1268">
        <v>80.693090172599625</v>
      </c>
    </row>
    <row r="101" spans="1:2" s="6" customFormat="1">
      <c r="A101" s="53">
        <v>2000.08</v>
      </c>
      <c r="B101" s="1268">
        <v>81.735468150858594</v>
      </c>
    </row>
    <row r="102" spans="1:2" s="6" customFormat="1">
      <c r="A102" s="53">
        <v>2000.09</v>
      </c>
      <c r="B102" s="1268">
        <v>82.729055058205532</v>
      </c>
    </row>
    <row r="103" spans="1:2" s="6" customFormat="1">
      <c r="A103" s="53">
        <v>2000.1</v>
      </c>
      <c r="B103" s="1268">
        <v>81.066773563808212</v>
      </c>
    </row>
    <row r="104" spans="1:2" s="6" customFormat="1">
      <c r="A104" s="53">
        <v>2000.11</v>
      </c>
      <c r="B104" s="1268">
        <v>78.707134121067739</v>
      </c>
    </row>
    <row r="105" spans="1:2" s="6" customFormat="1">
      <c r="A105" s="53">
        <v>2000.12</v>
      </c>
      <c r="B105" s="1268">
        <v>79.905746755938623</v>
      </c>
    </row>
    <row r="106" spans="1:2" s="6" customFormat="1">
      <c r="A106" s="53">
        <v>2001.01</v>
      </c>
      <c r="B106" s="1268">
        <v>81.244983209941779</v>
      </c>
    </row>
    <row r="107" spans="1:2" s="6" customFormat="1">
      <c r="A107" s="53">
        <v>2001.02</v>
      </c>
      <c r="B107" s="1268">
        <v>78.459207750301601</v>
      </c>
    </row>
    <row r="108" spans="1:2" s="6" customFormat="1">
      <c r="A108" s="53">
        <v>2001.03</v>
      </c>
      <c r="B108" s="1268">
        <v>75.637416929027623</v>
      </c>
    </row>
    <row r="109" spans="1:2" s="6" customFormat="1">
      <c r="A109" s="53">
        <v>2001.04</v>
      </c>
      <c r="B109" s="1268">
        <v>75.808554376889745</v>
      </c>
    </row>
    <row r="110" spans="1:2" s="6" customFormat="1">
      <c r="A110" s="53">
        <v>2001.05</v>
      </c>
      <c r="B110" s="1268">
        <v>74.875626789281696</v>
      </c>
    </row>
    <row r="111" spans="1:2" s="6" customFormat="1">
      <c r="A111" s="53">
        <v>2001.06</v>
      </c>
      <c r="B111" s="1268">
        <v>74.047677527298504</v>
      </c>
    </row>
    <row r="112" spans="1:2" s="6" customFormat="1">
      <c r="A112" s="53">
        <v>2001.07</v>
      </c>
      <c r="B112" s="1268">
        <v>72.250518632869742</v>
      </c>
    </row>
    <row r="113" spans="1:2" s="6" customFormat="1">
      <c r="A113" s="53">
        <v>2001.08</v>
      </c>
      <c r="B113" s="1268">
        <v>70.190643695531747</v>
      </c>
    </row>
    <row r="114" spans="1:2" s="6" customFormat="1">
      <c r="A114" s="53">
        <v>2001.09</v>
      </c>
      <c r="B114" s="1268">
        <v>67.740696240421954</v>
      </c>
    </row>
    <row r="115" spans="1:2" s="6" customFormat="1">
      <c r="A115" s="53">
        <v>2001.1</v>
      </c>
      <c r="B115" s="1268">
        <v>65.047203165546264</v>
      </c>
    </row>
    <row r="116" spans="1:2" s="6" customFormat="1">
      <c r="A116" s="53">
        <v>2001.11</v>
      </c>
      <c r="B116" s="1268">
        <v>64.470248311915057</v>
      </c>
    </row>
    <row r="117" spans="1:2" s="6" customFormat="1">
      <c r="A117" s="53">
        <v>2001.12</v>
      </c>
      <c r="B117" s="1268">
        <v>64.860289272430506</v>
      </c>
    </row>
    <row r="118" spans="1:2" s="6" customFormat="1">
      <c r="A118" s="53">
        <v>2002.01</v>
      </c>
      <c r="B118" s="1268">
        <v>65.35955231794297</v>
      </c>
    </row>
    <row r="119" spans="1:2" s="6" customFormat="1">
      <c r="A119" s="53">
        <v>2002.02</v>
      </c>
      <c r="B119" s="1268">
        <v>69.176831864833844</v>
      </c>
    </row>
    <row r="120" spans="1:2" s="6" customFormat="1">
      <c r="A120" s="53">
        <v>2002.03</v>
      </c>
      <c r="B120" s="1268">
        <v>70.16150085585889</v>
      </c>
    </row>
    <row r="121" spans="1:2" s="6" customFormat="1">
      <c r="A121" s="53">
        <v>2002.04</v>
      </c>
      <c r="B121" s="1268">
        <v>66.956983905084954</v>
      </c>
    </row>
    <row r="122" spans="1:2" s="6" customFormat="1">
      <c r="A122" s="53">
        <v>2002.05</v>
      </c>
      <c r="B122" s="1268">
        <v>66.604965353316331</v>
      </c>
    </row>
    <row r="123" spans="1:2" s="6" customFormat="1">
      <c r="A123" s="53">
        <v>2002.06</v>
      </c>
      <c r="B123" s="1268">
        <v>66.201660264920264</v>
      </c>
    </row>
    <row r="124" spans="1:2" s="6" customFormat="1">
      <c r="A124" s="53">
        <v>2002.07</v>
      </c>
      <c r="B124" s="1268">
        <v>67.07759184602341</v>
      </c>
    </row>
    <row r="125" spans="1:2" s="6" customFormat="1">
      <c r="A125" s="53">
        <v>2002.08</v>
      </c>
      <c r="B125" s="1268">
        <v>68.285000410714076</v>
      </c>
    </row>
    <row r="126" spans="1:2" s="6" customFormat="1">
      <c r="A126" s="53">
        <v>2002.09</v>
      </c>
      <c r="B126" s="1268">
        <v>69.0981088701581</v>
      </c>
    </row>
    <row r="127" spans="1:2" s="6" customFormat="1">
      <c r="A127" s="53">
        <v>2002.1</v>
      </c>
      <c r="B127" s="1268">
        <v>69.975988873579382</v>
      </c>
    </row>
    <row r="128" spans="1:2" s="6" customFormat="1">
      <c r="A128" s="53">
        <v>2002.11</v>
      </c>
      <c r="B128" s="1268">
        <v>71.916159534820281</v>
      </c>
    </row>
    <row r="129" spans="1:2" s="6" customFormat="1">
      <c r="A129" s="53">
        <v>2002.12</v>
      </c>
      <c r="B129" s="1268">
        <v>72.419366721068315</v>
      </c>
    </row>
    <row r="130" spans="1:2" s="6" customFormat="1">
      <c r="A130" s="53">
        <v>2003.01</v>
      </c>
      <c r="B130" s="1268">
        <v>73.094869182200725</v>
      </c>
    </row>
    <row r="131" spans="1:2" s="6" customFormat="1">
      <c r="A131" s="53">
        <v>2003.02</v>
      </c>
      <c r="B131" s="1268">
        <v>74.114088943073668</v>
      </c>
    </row>
    <row r="132" spans="1:2" s="6" customFormat="1">
      <c r="A132" s="53">
        <v>2003.03</v>
      </c>
      <c r="B132" s="1268">
        <v>74.383717318363949</v>
      </c>
    </row>
    <row r="133" spans="1:2" s="6" customFormat="1">
      <c r="A133" s="53">
        <v>2003.04</v>
      </c>
      <c r="B133" s="1268">
        <v>76.655642906048044</v>
      </c>
    </row>
    <row r="134" spans="1:2" s="6" customFormat="1">
      <c r="A134" s="53">
        <v>2003.05</v>
      </c>
      <c r="B134" s="1268">
        <v>78.692845680904568</v>
      </c>
    </row>
    <row r="135" spans="1:2" s="6" customFormat="1">
      <c r="A135" s="53">
        <v>2003.06</v>
      </c>
      <c r="B135" s="1268">
        <v>81.755133118235634</v>
      </c>
    </row>
    <row r="136" spans="1:2" s="6" customFormat="1">
      <c r="A136" s="53">
        <v>2003.07</v>
      </c>
      <c r="B136" s="1268">
        <v>84.258638068741945</v>
      </c>
    </row>
    <row r="137" spans="1:2" s="6" customFormat="1">
      <c r="A137" s="53">
        <v>2003.08</v>
      </c>
      <c r="B137" s="1268">
        <v>84.553927168577218</v>
      </c>
    </row>
    <row r="138" spans="1:2" s="6" customFormat="1">
      <c r="A138" s="53">
        <v>2003.09</v>
      </c>
      <c r="B138" s="1268">
        <v>88.50820811858469</v>
      </c>
    </row>
    <row r="139" spans="1:2" s="6" customFormat="1">
      <c r="A139" s="53">
        <v>2003.1</v>
      </c>
      <c r="B139" s="1268">
        <v>93.772413643834682</v>
      </c>
    </row>
    <row r="140" spans="1:2" s="6" customFormat="1">
      <c r="A140" s="53">
        <v>2003.11</v>
      </c>
      <c r="B140" s="1268">
        <v>94.149134799239206</v>
      </c>
    </row>
    <row r="141" spans="1:2" s="6" customFormat="1">
      <c r="A141" s="53">
        <v>2003.12</v>
      </c>
      <c r="B141" s="1268">
        <v>94.578422811105312</v>
      </c>
    </row>
    <row r="142" spans="1:2" s="6" customFormat="1">
      <c r="A142" s="53">
        <v>2004.01</v>
      </c>
      <c r="B142" s="1268">
        <v>97.693058698937747</v>
      </c>
    </row>
    <row r="143" spans="1:2" s="6" customFormat="1">
      <c r="A143" s="53">
        <v>2004.02</v>
      </c>
      <c r="B143" s="1268">
        <v>97.654365676982195</v>
      </c>
    </row>
    <row r="144" spans="1:2" s="6" customFormat="1">
      <c r="A144" s="53">
        <v>2004.03</v>
      </c>
      <c r="B144" s="1268">
        <v>102.2198206682889</v>
      </c>
    </row>
    <row r="145" spans="1:2" s="6" customFormat="1">
      <c r="A145" s="53">
        <v>2004.04</v>
      </c>
      <c r="B145" s="1268">
        <v>98.015078892201757</v>
      </c>
    </row>
    <row r="146" spans="1:2" s="6" customFormat="1">
      <c r="A146" s="53">
        <v>2004.05</v>
      </c>
      <c r="B146" s="1268">
        <v>99.145567965527476</v>
      </c>
    </row>
    <row r="147" spans="1:2" s="6" customFormat="1">
      <c r="A147" s="53">
        <v>2004.06</v>
      </c>
      <c r="B147" s="1268">
        <v>99.323053733073991</v>
      </c>
    </row>
    <row r="148" spans="1:2" s="6" customFormat="1">
      <c r="A148" s="53">
        <v>2004.07</v>
      </c>
      <c r="B148" s="1268">
        <v>99.524345082929742</v>
      </c>
    </row>
    <row r="149" spans="1:2" s="6" customFormat="1">
      <c r="A149" s="53">
        <v>2004.08</v>
      </c>
      <c r="B149" s="1268">
        <v>99.199982208579172</v>
      </c>
    </row>
    <row r="150" spans="1:2" s="6" customFormat="1">
      <c r="A150" s="53">
        <v>2004.09</v>
      </c>
      <c r="B150" s="1268">
        <v>101.41790768228014</v>
      </c>
    </row>
    <row r="151" spans="1:2" s="6" customFormat="1">
      <c r="A151" s="53">
        <v>2004.1</v>
      </c>
      <c r="B151" s="1268">
        <v>101.47565815668194</v>
      </c>
    </row>
    <row r="152" spans="1:2" s="6" customFormat="1">
      <c r="A152" s="53">
        <v>2004.11</v>
      </c>
      <c r="B152" s="1268">
        <v>101.36044062737831</v>
      </c>
    </row>
    <row r="153" spans="1:2" s="6" customFormat="1">
      <c r="A153" s="53">
        <v>2004.12</v>
      </c>
      <c r="B153" s="1268">
        <v>102.97072060713842</v>
      </c>
    </row>
    <row r="154" spans="1:2" s="6" customFormat="1">
      <c r="A154" s="53">
        <v>2005.01</v>
      </c>
      <c r="B154" s="1268">
        <v>102.6238324895471</v>
      </c>
    </row>
    <row r="155" spans="1:2" s="6" customFormat="1">
      <c r="A155" s="53">
        <v>2005.02</v>
      </c>
      <c r="B155" s="1268">
        <v>102.61703016103316</v>
      </c>
    </row>
    <row r="156" spans="1:2" s="6" customFormat="1">
      <c r="A156" s="53">
        <v>2005.03</v>
      </c>
      <c r="B156" s="1268">
        <v>104.91222949654014</v>
      </c>
    </row>
    <row r="157" spans="1:2" s="6" customFormat="1">
      <c r="A157" s="53">
        <v>2005.04</v>
      </c>
      <c r="B157" s="1268">
        <v>106.08909644436993</v>
      </c>
    </row>
    <row r="158" spans="1:2" s="6" customFormat="1">
      <c r="A158" s="53">
        <v>2005.05</v>
      </c>
      <c r="B158" s="1268">
        <v>107.43538873235281</v>
      </c>
    </row>
    <row r="159" spans="1:2" s="6" customFormat="1">
      <c r="A159" s="53">
        <v>2005.06</v>
      </c>
      <c r="B159" s="1268">
        <v>104.6759936572688</v>
      </c>
    </row>
    <row r="160" spans="1:2" s="6" customFormat="1">
      <c r="A160" s="53">
        <v>2005.07</v>
      </c>
      <c r="B160" s="1268">
        <v>108.46266680108769</v>
      </c>
    </row>
    <row r="161" spans="1:2" s="6" customFormat="1">
      <c r="A161" s="53">
        <v>2005.08</v>
      </c>
      <c r="B161" s="1268">
        <v>110.10339386998474</v>
      </c>
    </row>
    <row r="162" spans="1:2" s="6" customFormat="1">
      <c r="A162" s="53">
        <v>2005.09</v>
      </c>
      <c r="B162" s="1268">
        <v>109.76469877592902</v>
      </c>
    </row>
    <row r="163" spans="1:2" s="6" customFormat="1">
      <c r="A163" s="53">
        <v>2005.1</v>
      </c>
      <c r="B163" s="1268">
        <v>109.44876862168007</v>
      </c>
    </row>
    <row r="164" spans="1:2" s="6" customFormat="1">
      <c r="A164" s="53">
        <v>2005.11</v>
      </c>
      <c r="B164" s="1268">
        <v>109.14366478699769</v>
      </c>
    </row>
    <row r="165" spans="1:2" s="6" customFormat="1">
      <c r="A165" s="53">
        <v>2005.12</v>
      </c>
      <c r="B165" s="1268">
        <v>110.17697007221501</v>
      </c>
    </row>
    <row r="166" spans="1:2" s="6" customFormat="1">
      <c r="A166" s="53">
        <v>2006.01</v>
      </c>
      <c r="B166" s="1268">
        <v>112.11941325519685</v>
      </c>
    </row>
    <row r="167" spans="1:2" s="6" customFormat="1">
      <c r="A167" s="53">
        <v>2006.02</v>
      </c>
      <c r="B167" s="1268">
        <v>112.30060445530796</v>
      </c>
    </row>
    <row r="168" spans="1:2" s="6" customFormat="1">
      <c r="A168" s="53">
        <v>2006.03</v>
      </c>
      <c r="B168" s="1268">
        <v>112.76151872328155</v>
      </c>
    </row>
    <row r="169" spans="1:2" s="6" customFormat="1">
      <c r="A169" s="53">
        <v>2006.04</v>
      </c>
      <c r="B169" s="1268">
        <v>114.13514338570057</v>
      </c>
    </row>
    <row r="170" spans="1:2" s="6" customFormat="1">
      <c r="A170" s="53">
        <v>2006.05</v>
      </c>
      <c r="B170" s="1268">
        <v>112.90676668620509</v>
      </c>
    </row>
    <row r="171" spans="1:2" s="6" customFormat="1">
      <c r="A171" s="53">
        <v>2006.06</v>
      </c>
      <c r="B171" s="1268">
        <v>114.24671956906474</v>
      </c>
    </row>
    <row r="172" spans="1:2" s="6" customFormat="1">
      <c r="A172" s="53">
        <v>2006.07</v>
      </c>
      <c r="B172" s="1268">
        <v>114.71204247078813</v>
      </c>
    </row>
    <row r="173" spans="1:2" s="6" customFormat="1">
      <c r="A173" s="53">
        <v>2006.08</v>
      </c>
      <c r="B173" s="1268">
        <v>115.35389600223195</v>
      </c>
    </row>
    <row r="174" spans="1:2" s="6" customFormat="1">
      <c r="A174" s="53">
        <v>2006.09</v>
      </c>
      <c r="B174" s="1268">
        <v>116.11634007125463</v>
      </c>
    </row>
    <row r="175" spans="1:2" s="6" customFormat="1">
      <c r="A175" s="53">
        <v>2006.1</v>
      </c>
      <c r="B175" s="1268">
        <v>117.89724749320085</v>
      </c>
    </row>
    <row r="176" spans="1:2" s="6" customFormat="1">
      <c r="A176" s="53">
        <v>2006.11</v>
      </c>
      <c r="B176" s="1268">
        <v>119.8465849330062</v>
      </c>
    </row>
    <row r="177" spans="1:2" s="6" customFormat="1">
      <c r="A177" s="53">
        <v>2006.12</v>
      </c>
      <c r="B177" s="1268">
        <v>119.40708651972136</v>
      </c>
    </row>
    <row r="178" spans="1:2" s="6" customFormat="1">
      <c r="A178" s="53">
        <v>2007.01</v>
      </c>
      <c r="B178" s="1268">
        <v>118.85731282790788</v>
      </c>
    </row>
    <row r="179" spans="1:2" s="6" customFormat="1">
      <c r="A179" s="53">
        <v>2007.02</v>
      </c>
      <c r="B179" s="1268">
        <v>123.07288545852121</v>
      </c>
    </row>
    <row r="180" spans="1:2" s="6" customFormat="1">
      <c r="A180" s="53">
        <v>2007.03</v>
      </c>
      <c r="B180" s="1268">
        <v>122.47229347359466</v>
      </c>
    </row>
    <row r="181" spans="1:2" s="6" customFormat="1">
      <c r="A181" s="53">
        <v>2007.04</v>
      </c>
      <c r="B181" s="1268">
        <v>121.45951902806158</v>
      </c>
    </row>
    <row r="182" spans="1:2" s="6" customFormat="1">
      <c r="A182" s="53">
        <v>2007.05</v>
      </c>
      <c r="B182" s="1268">
        <v>123.84534031257323</v>
      </c>
    </row>
    <row r="183" spans="1:2" s="6" customFormat="1">
      <c r="A183" s="53">
        <v>2007.06</v>
      </c>
      <c r="B183" s="1268">
        <v>122.80107657258385</v>
      </c>
    </row>
    <row r="184" spans="1:2" s="6" customFormat="1">
      <c r="A184" s="53">
        <v>2007.07</v>
      </c>
      <c r="B184" s="1268">
        <v>121.63032443889476</v>
      </c>
    </row>
    <row r="185" spans="1:2" s="6" customFormat="1">
      <c r="A185" s="53">
        <v>2007.08</v>
      </c>
      <c r="B185" s="1268">
        <v>123.14242524106939</v>
      </c>
    </row>
    <row r="186" spans="1:2" s="6" customFormat="1">
      <c r="A186" s="53">
        <v>2007.09</v>
      </c>
      <c r="B186" s="1268">
        <v>124.21478620193457</v>
      </c>
    </row>
    <row r="187" spans="1:2" s="6" customFormat="1">
      <c r="A187" s="53">
        <v>2007.1</v>
      </c>
      <c r="B187" s="1268">
        <v>127.89550343656201</v>
      </c>
    </row>
    <row r="188" spans="1:2" s="6" customFormat="1">
      <c r="A188" s="53">
        <v>2007.11</v>
      </c>
      <c r="B188" s="1268">
        <v>130.7325761120664</v>
      </c>
    </row>
    <row r="189" spans="1:2" s="6" customFormat="1">
      <c r="A189" s="53">
        <v>2007.12</v>
      </c>
      <c r="B189" s="1268">
        <v>132.11699137606476</v>
      </c>
    </row>
    <row r="190" spans="1:2" s="6" customFormat="1">
      <c r="A190" s="53">
        <f t="shared" ref="A190:A253" si="0">A178+1</f>
        <v>2008.01</v>
      </c>
      <c r="B190" s="1268">
        <v>131.94091244793802</v>
      </c>
    </row>
    <row r="191" spans="1:2" s="6" customFormat="1">
      <c r="A191" s="53">
        <f t="shared" si="0"/>
        <v>2008.02</v>
      </c>
      <c r="B191" s="1268">
        <v>128.98212754297299</v>
      </c>
    </row>
    <row r="192" spans="1:2" s="6" customFormat="1">
      <c r="A192" s="53">
        <f t="shared" si="0"/>
        <v>2008.03</v>
      </c>
      <c r="B192" s="1268">
        <v>131.18028513482389</v>
      </c>
    </row>
    <row r="193" spans="1:2" s="6" customFormat="1">
      <c r="A193" s="53">
        <f t="shared" si="0"/>
        <v>2008.04</v>
      </c>
      <c r="B193" s="1268">
        <v>132.85314888766248</v>
      </c>
    </row>
    <row r="194" spans="1:2" s="6" customFormat="1">
      <c r="A194" s="53">
        <f t="shared" si="0"/>
        <v>2008.05</v>
      </c>
      <c r="B194" s="1268">
        <v>128.41179626081095</v>
      </c>
    </row>
    <row r="195" spans="1:2" s="6" customFormat="1">
      <c r="A195" s="53">
        <f t="shared" si="0"/>
        <v>2008.06</v>
      </c>
      <c r="B195" s="1268">
        <v>125.86610530601141</v>
      </c>
    </row>
    <row r="196" spans="1:2" s="6" customFormat="1">
      <c r="A196" s="53">
        <f t="shared" si="0"/>
        <v>2008.07</v>
      </c>
      <c r="B196" s="1268">
        <v>129.02866375477399</v>
      </c>
    </row>
    <row r="197" spans="1:2" s="6" customFormat="1">
      <c r="A197" s="53">
        <f t="shared" si="0"/>
        <v>2008.08</v>
      </c>
      <c r="B197" s="1268">
        <v>125.81542349652395</v>
      </c>
    </row>
    <row r="198" spans="1:2" s="6" customFormat="1">
      <c r="A198" s="53">
        <f t="shared" si="0"/>
        <v>2008.09</v>
      </c>
      <c r="B198" s="1268">
        <v>125.24932944457386</v>
      </c>
    </row>
    <row r="199" spans="1:2" s="6" customFormat="1">
      <c r="A199" s="53">
        <f t="shared" si="0"/>
        <v>2008.1</v>
      </c>
      <c r="B199" s="1268">
        <v>113.3644826412382</v>
      </c>
    </row>
    <row r="200" spans="1:2" s="6" customFormat="1">
      <c r="A200" s="53">
        <f t="shared" si="0"/>
        <v>2008.11</v>
      </c>
      <c r="B200" s="1268">
        <v>110.19232541846549</v>
      </c>
    </row>
    <row r="201" spans="1:2" s="6" customFormat="1">
      <c r="A201" s="53">
        <f t="shared" si="0"/>
        <v>2008.12</v>
      </c>
      <c r="B201" s="1268">
        <v>105.61803015754985</v>
      </c>
    </row>
    <row r="202" spans="1:2" s="6" customFormat="1">
      <c r="A202" s="53">
        <f t="shared" si="0"/>
        <v>2009.01</v>
      </c>
      <c r="B202" s="1268">
        <v>108.58240232958396</v>
      </c>
    </row>
    <row r="203" spans="1:2" s="6" customFormat="1">
      <c r="A203" s="53">
        <f t="shared" si="0"/>
        <v>2009.02</v>
      </c>
      <c r="B203" s="1268">
        <v>107.09012650911413</v>
      </c>
    </row>
    <row r="204" spans="1:2" s="6" customFormat="1">
      <c r="A204" s="53">
        <f t="shared" si="0"/>
        <v>2009.03</v>
      </c>
      <c r="B204" s="1268">
        <v>106.35937493346833</v>
      </c>
    </row>
    <row r="205" spans="1:2" s="6" customFormat="1">
      <c r="A205" s="53">
        <f t="shared" si="0"/>
        <v>2009.04</v>
      </c>
      <c r="B205" s="1268">
        <v>108.20426141249847</v>
      </c>
    </row>
    <row r="206" spans="1:2" s="6" customFormat="1">
      <c r="A206" s="53">
        <f t="shared" si="0"/>
        <v>2009.05</v>
      </c>
      <c r="B206" s="1268">
        <v>111.0200221723622</v>
      </c>
    </row>
    <row r="207" spans="1:2" s="6" customFormat="1">
      <c r="A207" s="53">
        <f t="shared" si="0"/>
        <v>2009.06</v>
      </c>
      <c r="B207" s="1268">
        <v>113.08764063049183</v>
      </c>
    </row>
    <row r="208" spans="1:2" s="6" customFormat="1">
      <c r="A208" s="53">
        <f t="shared" si="0"/>
        <v>2009.07</v>
      </c>
      <c r="B208" s="1268">
        <v>114.11336096606897</v>
      </c>
    </row>
    <row r="209" spans="1:2" s="6" customFormat="1">
      <c r="A209" s="53">
        <f t="shared" si="0"/>
        <v>2009.08</v>
      </c>
      <c r="B209" s="1268">
        <v>115.25379940316438</v>
      </c>
    </row>
    <row r="210" spans="1:2" s="6" customFormat="1">
      <c r="A210" s="53">
        <f t="shared" si="0"/>
        <v>2009.09</v>
      </c>
      <c r="B210" s="1268">
        <v>117.15557483751867</v>
      </c>
    </row>
    <row r="211" spans="1:2" s="6" customFormat="1">
      <c r="A211" s="53">
        <f t="shared" si="0"/>
        <v>2009.1</v>
      </c>
      <c r="B211" s="1268">
        <v>118.64869654746316</v>
      </c>
    </row>
    <row r="212" spans="1:2" s="6" customFormat="1">
      <c r="A212" s="53">
        <f t="shared" si="0"/>
        <v>2009.11</v>
      </c>
      <c r="B212" s="1268">
        <v>118.01580202902518</v>
      </c>
    </row>
    <row r="213" spans="1:2" s="6" customFormat="1">
      <c r="A213" s="53">
        <f t="shared" si="0"/>
        <v>2009.12</v>
      </c>
      <c r="B213" s="1268">
        <v>120.33482473246163</v>
      </c>
    </row>
    <row r="214" spans="1:2" s="6" customFormat="1">
      <c r="A214" s="53">
        <f t="shared" si="0"/>
        <v>2010.01</v>
      </c>
      <c r="B214" s="1268">
        <v>120.7449436013431</v>
      </c>
    </row>
    <row r="215" spans="1:2" s="6" customFormat="1">
      <c r="A215" s="53">
        <f t="shared" si="0"/>
        <v>2010.02</v>
      </c>
      <c r="B215" s="1268">
        <v>122.86052646438108</v>
      </c>
    </row>
    <row r="216" spans="1:2" s="6" customFormat="1">
      <c r="A216" s="53">
        <f t="shared" si="0"/>
        <v>2010.03</v>
      </c>
      <c r="B216" s="1268">
        <v>124.67842766701463</v>
      </c>
    </row>
    <row r="217" spans="1:2" s="6" customFormat="1">
      <c r="A217" s="53">
        <f t="shared" si="0"/>
        <v>2010.04</v>
      </c>
      <c r="B217" s="1268">
        <v>125.6469757607401</v>
      </c>
    </row>
    <row r="218" spans="1:2" s="6" customFormat="1">
      <c r="A218" s="53">
        <f t="shared" si="0"/>
        <v>2010.05</v>
      </c>
      <c r="B218" s="1268">
        <v>124.53679418586503</v>
      </c>
    </row>
    <row r="219" spans="1:2" s="6" customFormat="1">
      <c r="A219" s="53">
        <f t="shared" si="0"/>
        <v>2010.06</v>
      </c>
      <c r="B219" s="1268">
        <v>126.10055016678848</v>
      </c>
    </row>
    <row r="220" spans="1:2" s="6" customFormat="1">
      <c r="A220" s="53">
        <f t="shared" si="0"/>
        <v>2010.07</v>
      </c>
      <c r="B220" s="1268">
        <v>127.59349630775218</v>
      </c>
    </row>
    <row r="221" spans="1:2" s="6" customFormat="1">
      <c r="A221" s="53">
        <f t="shared" si="0"/>
        <v>2010.08</v>
      </c>
      <c r="B221" s="1268">
        <v>130.48055241376383</v>
      </c>
    </row>
    <row r="222" spans="1:2" s="6" customFormat="1">
      <c r="A222" s="53">
        <f t="shared" si="0"/>
        <v>2010.09</v>
      </c>
      <c r="B222" s="1268">
        <v>133.95015657816734</v>
      </c>
    </row>
    <row r="223" spans="1:2" s="6" customFormat="1">
      <c r="A223" s="53">
        <f t="shared" si="0"/>
        <v>2010.1</v>
      </c>
      <c r="B223" s="1268">
        <v>137.01238727401264</v>
      </c>
    </row>
    <row r="224" spans="1:2" s="6" customFormat="1">
      <c r="A224" s="53">
        <f t="shared" si="0"/>
        <v>2010.11</v>
      </c>
      <c r="B224" s="1268">
        <v>143.62529229220414</v>
      </c>
    </row>
    <row r="225" spans="1:2" s="6" customFormat="1">
      <c r="A225" s="53">
        <f t="shared" si="0"/>
        <v>2010.12</v>
      </c>
      <c r="B225" s="1268">
        <v>145.5906066606681</v>
      </c>
    </row>
    <row r="226" spans="1:2" s="6" customFormat="1">
      <c r="A226" s="53">
        <f t="shared" si="0"/>
        <v>2011.01</v>
      </c>
      <c r="B226" s="1268">
        <v>146.17441989689345</v>
      </c>
    </row>
    <row r="227" spans="1:2" s="6" customFormat="1">
      <c r="A227" s="53">
        <f t="shared" si="0"/>
        <v>2011.02</v>
      </c>
      <c r="B227" s="1268">
        <v>147.72897871335738</v>
      </c>
    </row>
    <row r="228" spans="1:2" s="6" customFormat="1">
      <c r="A228" s="53">
        <f t="shared" si="0"/>
        <v>2011.03</v>
      </c>
      <c r="B228" s="1268">
        <v>147.32257783193094</v>
      </c>
    </row>
    <row r="229" spans="1:2" s="6" customFormat="1">
      <c r="A229" s="53">
        <f t="shared" si="0"/>
        <v>2011.04</v>
      </c>
      <c r="B229" s="1268">
        <v>146.39655267484449</v>
      </c>
    </row>
    <row r="230" spans="1:2" s="6" customFormat="1">
      <c r="A230" s="53">
        <f t="shared" si="0"/>
        <v>2011.05</v>
      </c>
      <c r="B230" s="1268">
        <v>148.52812473313429</v>
      </c>
    </row>
    <row r="231" spans="1:2" s="6" customFormat="1">
      <c r="A231" s="53">
        <f t="shared" si="0"/>
        <v>2011.06</v>
      </c>
      <c r="B231" s="1268">
        <v>145.78586651561386</v>
      </c>
    </row>
    <row r="232" spans="1:2" s="6" customFormat="1">
      <c r="A232" s="53">
        <f t="shared" si="0"/>
        <v>2011.07</v>
      </c>
      <c r="B232" s="1268">
        <v>146.28657645000894</v>
      </c>
    </row>
    <row r="233" spans="1:2" s="6" customFormat="1">
      <c r="A233" s="53">
        <f t="shared" si="0"/>
        <v>2011.08</v>
      </c>
      <c r="B233" s="1268">
        <v>144.66426224677002</v>
      </c>
    </row>
    <row r="234" spans="1:2" s="6" customFormat="1">
      <c r="A234" s="53">
        <f t="shared" si="0"/>
        <v>2011.09</v>
      </c>
      <c r="B234" s="1268">
        <v>142.70293460427982</v>
      </c>
    </row>
    <row r="235" spans="1:2" s="6" customFormat="1">
      <c r="A235" s="53">
        <f t="shared" si="0"/>
        <v>2011.1</v>
      </c>
      <c r="B235" s="1268">
        <v>141.60327597801478</v>
      </c>
    </row>
    <row r="236" spans="1:2" s="6" customFormat="1">
      <c r="A236" s="53">
        <f t="shared" si="0"/>
        <v>2011.11</v>
      </c>
      <c r="B236" s="1268">
        <v>139.35132286573744</v>
      </c>
    </row>
    <row r="237" spans="1:2" s="6" customFormat="1">
      <c r="A237" s="53">
        <f t="shared" si="0"/>
        <v>2011.12</v>
      </c>
      <c r="B237" s="1268">
        <v>137.06838038585016</v>
      </c>
    </row>
    <row r="238" spans="1:2" s="6" customFormat="1">
      <c r="A238" s="53">
        <f t="shared" si="0"/>
        <v>2012.01</v>
      </c>
      <c r="B238" s="1268">
        <v>137.06394012670202</v>
      </c>
    </row>
    <row r="239" spans="1:2" s="6" customFormat="1">
      <c r="A239" s="53">
        <f t="shared" si="0"/>
        <v>2012.02</v>
      </c>
      <c r="B239" s="1268">
        <v>134.43161087062884</v>
      </c>
    </row>
    <row r="240" spans="1:2" s="6" customFormat="1">
      <c r="A240" s="53">
        <f t="shared" si="0"/>
        <v>2012.03</v>
      </c>
      <c r="B240" s="1268">
        <v>138.49609084224511</v>
      </c>
    </row>
    <row r="241" spans="1:2" s="6" customFormat="1">
      <c r="A241" s="53">
        <f t="shared" si="0"/>
        <v>2012.04</v>
      </c>
      <c r="B241" s="1268">
        <v>132.08017168708216</v>
      </c>
    </row>
    <row r="242" spans="1:2" s="6" customFormat="1">
      <c r="A242" s="53">
        <f t="shared" si="0"/>
        <v>2012.05</v>
      </c>
      <c r="B242" s="1268">
        <v>133.72106343743957</v>
      </c>
    </row>
    <row r="243" spans="1:2" s="6" customFormat="1">
      <c r="A243" s="53">
        <f t="shared" si="0"/>
        <v>2012.06</v>
      </c>
      <c r="B243" s="1268">
        <v>134.51666749985108</v>
      </c>
    </row>
    <row r="244" spans="1:2" s="6" customFormat="1">
      <c r="A244" s="53">
        <f t="shared" si="0"/>
        <v>2012.07</v>
      </c>
      <c r="B244" s="1268">
        <v>134.42842928349941</v>
      </c>
    </row>
    <row r="245" spans="1:2" s="6" customFormat="1">
      <c r="A245" s="53">
        <f t="shared" si="0"/>
        <v>2012.08</v>
      </c>
      <c r="B245" s="1268">
        <v>132.03512924418888</v>
      </c>
    </row>
    <row r="246" spans="1:2" s="6" customFormat="1">
      <c r="A246" s="53">
        <f t="shared" si="0"/>
        <v>2012.09</v>
      </c>
      <c r="B246" s="1268">
        <v>133.02484751073894</v>
      </c>
    </row>
    <row r="247" spans="1:2" s="6" customFormat="1">
      <c r="A247" s="53">
        <f t="shared" si="0"/>
        <v>2012.1</v>
      </c>
      <c r="B247" s="1268">
        <v>132.11474830736603</v>
      </c>
    </row>
    <row r="248" spans="1:2" s="6" customFormat="1">
      <c r="A248" s="53">
        <f t="shared" si="0"/>
        <v>2012.11</v>
      </c>
      <c r="B248" s="1268">
        <v>132.59954249269262</v>
      </c>
    </row>
    <row r="249" spans="1:2" s="6" customFormat="1">
      <c r="A249" s="53">
        <f t="shared" si="0"/>
        <v>2012.12</v>
      </c>
      <c r="B249" s="1268">
        <v>135.31617302673067</v>
      </c>
    </row>
    <row r="250" spans="1:2" s="6" customFormat="1">
      <c r="A250" s="53">
        <f t="shared" si="0"/>
        <v>2013.01</v>
      </c>
      <c r="B250" s="1268">
        <v>137.28551047235013</v>
      </c>
    </row>
    <row r="251" spans="1:2" s="6" customFormat="1">
      <c r="A251" s="53">
        <f t="shared" si="0"/>
        <v>2013.02</v>
      </c>
      <c r="B251" s="1268">
        <v>140.31444439092536</v>
      </c>
    </row>
    <row r="252" spans="1:2" s="6" customFormat="1">
      <c r="A252" s="53">
        <f t="shared" si="0"/>
        <v>2013.03</v>
      </c>
      <c r="B252" s="1268">
        <v>141.26307685606051</v>
      </c>
    </row>
    <row r="253" spans="1:2" s="6" customFormat="1">
      <c r="A253" s="53">
        <f t="shared" si="0"/>
        <v>2013.04</v>
      </c>
      <c r="B253" s="1268">
        <v>141.74660391351679</v>
      </c>
    </row>
    <row r="254" spans="1:2" s="6" customFormat="1">
      <c r="A254" s="53">
        <f t="shared" ref="A254:A317" si="1">A242+1</f>
        <v>2013.05</v>
      </c>
      <c r="B254" s="1268">
        <v>142.68777326014833</v>
      </c>
    </row>
    <row r="255" spans="1:2" s="6" customFormat="1">
      <c r="A255" s="53">
        <f t="shared" si="1"/>
        <v>2013.06</v>
      </c>
      <c r="B255" s="1268">
        <v>139.29506601199637</v>
      </c>
    </row>
    <row r="256" spans="1:2" s="6" customFormat="1">
      <c r="A256" s="53">
        <f t="shared" si="1"/>
        <v>2013.07</v>
      </c>
      <c r="B256" s="1268">
        <v>141.48287521303681</v>
      </c>
    </row>
    <row r="257" spans="1:2" s="6" customFormat="1">
      <c r="A257" s="53">
        <f t="shared" si="1"/>
        <v>2013.08</v>
      </c>
      <c r="B257" s="1268">
        <v>144.78238654023556</v>
      </c>
    </row>
    <row r="258" spans="1:2" s="6" customFormat="1">
      <c r="A258" s="53">
        <f t="shared" si="1"/>
        <v>2013.09</v>
      </c>
      <c r="B258" s="1268">
        <v>145.27043828481351</v>
      </c>
    </row>
    <row r="259" spans="1:2" s="6" customFormat="1">
      <c r="A259" s="53">
        <f t="shared" si="1"/>
        <v>2013.1</v>
      </c>
      <c r="B259" s="1268">
        <v>147.6265949913828</v>
      </c>
    </row>
    <row r="260" spans="1:2" s="6" customFormat="1">
      <c r="A260" s="53">
        <f t="shared" si="1"/>
        <v>2013.11</v>
      </c>
      <c r="B260" s="1268">
        <v>146.86435055353226</v>
      </c>
    </row>
    <row r="261" spans="1:2" s="6" customFormat="1">
      <c r="A261" s="53">
        <f t="shared" si="1"/>
        <v>2013.12</v>
      </c>
      <c r="B261" s="1268">
        <v>144.94231374135597</v>
      </c>
    </row>
    <row r="262" spans="1:2" s="6" customFormat="1">
      <c r="A262" s="53">
        <f t="shared" si="1"/>
        <v>2014.01</v>
      </c>
      <c r="B262" s="1268">
        <v>142.14683436261217</v>
      </c>
    </row>
    <row r="263" spans="1:2" s="6" customFormat="1">
      <c r="A263" s="53">
        <f t="shared" si="1"/>
        <v>2014.02</v>
      </c>
      <c r="B263" s="1268">
        <v>139.21257863768548</v>
      </c>
    </row>
    <row r="264" spans="1:2" s="6" customFormat="1">
      <c r="A264" s="53">
        <f t="shared" si="1"/>
        <v>2014.03</v>
      </c>
      <c r="B264" s="1268">
        <v>137.96163131666808</v>
      </c>
    </row>
    <row r="265" spans="1:2" s="6" customFormat="1">
      <c r="A265" s="53">
        <f t="shared" si="1"/>
        <v>2014.04</v>
      </c>
      <c r="B265" s="1268">
        <v>139.75591620740627</v>
      </c>
    </row>
    <row r="266" spans="1:2" s="6" customFormat="1">
      <c r="A266" s="53">
        <f t="shared" si="1"/>
        <v>2014.05</v>
      </c>
      <c r="B266" s="1268">
        <v>139.18778178950558</v>
      </c>
    </row>
    <row r="267" spans="1:2" s="6" customFormat="1">
      <c r="A267" s="53">
        <f t="shared" si="1"/>
        <v>2014.06</v>
      </c>
      <c r="B267" s="1268">
        <v>140.66316017226953</v>
      </c>
    </row>
    <row r="268" spans="1:2" s="6" customFormat="1">
      <c r="A268" s="53">
        <f t="shared" si="1"/>
        <v>2014.07</v>
      </c>
      <c r="B268" s="1268">
        <v>140.55719950654404</v>
      </c>
    </row>
    <row r="269" spans="1:2" s="6" customFormat="1">
      <c r="A269" s="53">
        <f t="shared" si="1"/>
        <v>2014.08</v>
      </c>
      <c r="B269" s="1268">
        <v>141.70100409592322</v>
      </c>
    </row>
    <row r="270" spans="1:2" s="6" customFormat="1">
      <c r="A270" s="53">
        <f t="shared" si="1"/>
        <v>2014.09</v>
      </c>
      <c r="B270" s="1268">
        <v>143.05489816575928</v>
      </c>
    </row>
    <row r="271" spans="1:2" s="6" customFormat="1">
      <c r="A271" s="53">
        <f t="shared" si="1"/>
        <v>2014.1</v>
      </c>
      <c r="B271" s="1268">
        <v>140.00649070890199</v>
      </c>
    </row>
    <row r="272" spans="1:2" s="6" customFormat="1">
      <c r="A272" s="53">
        <f t="shared" si="1"/>
        <v>2014.11</v>
      </c>
      <c r="B272" s="1268">
        <v>140.68385708622168</v>
      </c>
    </row>
    <row r="273" spans="1:2" s="6" customFormat="1">
      <c r="A273" s="53">
        <f t="shared" si="1"/>
        <v>2014.12</v>
      </c>
      <c r="B273" s="1268">
        <v>140.04742759044794</v>
      </c>
    </row>
    <row r="274" spans="1:2" s="6" customFormat="1">
      <c r="A274" s="53">
        <f t="shared" si="1"/>
        <v>2015.01</v>
      </c>
      <c r="B274" s="1268">
        <v>138.3944210477344</v>
      </c>
    </row>
    <row r="275" spans="1:2" s="6" customFormat="1">
      <c r="A275" s="53">
        <f t="shared" si="1"/>
        <v>2015.02</v>
      </c>
      <c r="B275" s="1268">
        <v>144.46285964193271</v>
      </c>
    </row>
    <row r="276" spans="1:2" s="6" customFormat="1">
      <c r="A276" s="53">
        <f t="shared" si="1"/>
        <v>2015.03</v>
      </c>
      <c r="B276" s="1268">
        <v>145.60012437626625</v>
      </c>
    </row>
    <row r="277" spans="1:2" s="6" customFormat="1">
      <c r="A277" s="53">
        <f t="shared" si="1"/>
        <v>2015.04</v>
      </c>
      <c r="B277" s="1268">
        <v>143.52254320160105</v>
      </c>
    </row>
    <row r="278" spans="1:2" s="6" customFormat="1">
      <c r="A278" s="53">
        <f t="shared" si="1"/>
        <v>2015.05</v>
      </c>
      <c r="B278" s="1268">
        <v>139.1912749923564</v>
      </c>
    </row>
    <row r="279" spans="1:2" s="6" customFormat="1">
      <c r="A279" s="53">
        <f t="shared" si="1"/>
        <v>2015.06</v>
      </c>
      <c r="B279" s="1268">
        <v>142.72595257336448</v>
      </c>
    </row>
    <row r="280" spans="1:2" s="6" customFormat="1">
      <c r="A280" s="53">
        <f t="shared" si="1"/>
        <v>2015.07</v>
      </c>
      <c r="B280" s="1268">
        <v>143.0841366844156</v>
      </c>
    </row>
    <row r="281" spans="1:2" s="6" customFormat="1">
      <c r="A281" s="53">
        <f t="shared" si="1"/>
        <v>2015.08</v>
      </c>
      <c r="B281" s="1268">
        <v>141.44385276363059</v>
      </c>
    </row>
    <row r="282" spans="1:2" s="6" customFormat="1">
      <c r="A282" s="53">
        <f t="shared" si="1"/>
        <v>2015.09</v>
      </c>
      <c r="B282" s="1268">
        <v>138.75733586241628</v>
      </c>
    </row>
    <row r="283" spans="1:2" s="6" customFormat="1">
      <c r="A283" s="53">
        <f t="shared" si="1"/>
        <v>2015.1</v>
      </c>
      <c r="B283" s="1268">
        <v>143.50289221905783</v>
      </c>
    </row>
    <row r="284" spans="1:2" s="6" customFormat="1">
      <c r="A284" s="53">
        <f t="shared" si="1"/>
        <v>2015.11</v>
      </c>
      <c r="B284" s="1268">
        <v>143.13421775463243</v>
      </c>
    </row>
    <row r="285" spans="1:2" s="6" customFormat="1">
      <c r="A285" s="53">
        <f t="shared" si="1"/>
        <v>2015.12</v>
      </c>
      <c r="B285" s="1268">
        <v>137.11418373760776</v>
      </c>
    </row>
    <row r="286" spans="1:2" s="6" customFormat="1">
      <c r="A286" s="53">
        <f t="shared" si="1"/>
        <v>2016.01</v>
      </c>
      <c r="B286" s="1268">
        <v>136.67682493605446</v>
      </c>
    </row>
    <row r="287" spans="1:2" s="6" customFormat="1">
      <c r="A287" s="53">
        <f t="shared" si="1"/>
        <v>2016.02</v>
      </c>
      <c r="B287" s="1268">
        <v>133.16868039292436</v>
      </c>
    </row>
    <row r="288" spans="1:2" s="6" customFormat="1">
      <c r="A288" s="53">
        <f t="shared" si="1"/>
        <v>2016.03</v>
      </c>
      <c r="B288" s="1268">
        <v>132.10416485123406</v>
      </c>
    </row>
    <row r="289" spans="1:2" s="6" customFormat="1">
      <c r="A289" s="53">
        <f t="shared" si="1"/>
        <v>2016.04</v>
      </c>
      <c r="B289" s="1268">
        <v>130.41208389486209</v>
      </c>
    </row>
    <row r="290" spans="1:2" s="6" customFormat="1">
      <c r="A290" s="53">
        <f t="shared" si="1"/>
        <v>2016.05</v>
      </c>
      <c r="B290" s="1268">
        <v>131.13125075468699</v>
      </c>
    </row>
    <row r="291" spans="1:2" s="6" customFormat="1">
      <c r="A291" s="53">
        <f t="shared" si="1"/>
        <v>2016.06</v>
      </c>
      <c r="B291" s="1268">
        <v>132.75059444261697</v>
      </c>
    </row>
    <row r="292" spans="1:2" s="6" customFormat="1">
      <c r="A292" s="53">
        <f t="shared" si="1"/>
        <v>2016.07</v>
      </c>
      <c r="B292" s="1268">
        <v>131.74844504000382</v>
      </c>
    </row>
    <row r="293" spans="1:2" s="6" customFormat="1">
      <c r="A293" s="53">
        <f t="shared" si="1"/>
        <v>2016.08</v>
      </c>
      <c r="B293" s="1268">
        <v>131.3574724011427</v>
      </c>
    </row>
    <row r="294" spans="1:2" s="6" customFormat="1">
      <c r="A294" s="53">
        <f t="shared" si="1"/>
        <v>2016.09</v>
      </c>
      <c r="B294" s="1268">
        <v>132.08241641109248</v>
      </c>
    </row>
    <row r="295" spans="1:2" s="6" customFormat="1">
      <c r="A295" s="53">
        <f t="shared" si="1"/>
        <v>2016.1</v>
      </c>
      <c r="B295" s="1268">
        <v>130.80418606409651</v>
      </c>
    </row>
    <row r="296" spans="1:2" s="6" customFormat="1">
      <c r="A296" s="53">
        <f t="shared" si="1"/>
        <v>2016.11</v>
      </c>
      <c r="B296" s="1268">
        <v>133.53841681250583</v>
      </c>
    </row>
    <row r="297" spans="1:2" s="6" customFormat="1">
      <c r="A297" s="53">
        <f t="shared" si="1"/>
        <v>2016.12</v>
      </c>
      <c r="B297" s="1268">
        <v>136.46926778761417</v>
      </c>
    </row>
    <row r="298" spans="1:2" s="6" customFormat="1">
      <c r="A298" s="53">
        <f t="shared" si="1"/>
        <v>2017.01</v>
      </c>
      <c r="B298" s="1268">
        <v>136.28086153390436</v>
      </c>
    </row>
    <row r="299" spans="1:2" s="6" customFormat="1">
      <c r="A299" s="53">
        <f t="shared" si="1"/>
        <v>2017.02</v>
      </c>
      <c r="B299" s="1268">
        <v>135.94685288421854</v>
      </c>
    </row>
    <row r="300" spans="1:2" s="6" customFormat="1">
      <c r="A300" s="53">
        <f t="shared" si="1"/>
        <v>2017.03</v>
      </c>
      <c r="B300" s="1268">
        <v>137.71792215982302</v>
      </c>
    </row>
    <row r="301" spans="1:2" s="6" customFormat="1">
      <c r="A301" s="53">
        <f t="shared" si="1"/>
        <v>2017.04</v>
      </c>
      <c r="B301" s="1268">
        <v>138.98415632476915</v>
      </c>
    </row>
    <row r="302" spans="1:2" s="6" customFormat="1">
      <c r="A302" s="53">
        <f t="shared" si="1"/>
        <v>2017.05</v>
      </c>
      <c r="B302" s="1268">
        <v>139.87992122596009</v>
      </c>
    </row>
    <row r="303" spans="1:2" s="6" customFormat="1">
      <c r="A303" s="53">
        <f t="shared" si="1"/>
        <v>2017.06</v>
      </c>
      <c r="B303" s="1268">
        <v>139.84241862216857</v>
      </c>
    </row>
    <row r="304" spans="1:2" s="6" customFormat="1">
      <c r="A304" s="53">
        <f t="shared" si="1"/>
        <v>2017.07</v>
      </c>
      <c r="B304" s="1268">
        <v>140.63989130612444</v>
      </c>
    </row>
    <row r="305" spans="1:2" s="6" customFormat="1">
      <c r="A305" s="53">
        <f t="shared" si="1"/>
        <v>2017.08</v>
      </c>
      <c r="B305" s="1268">
        <v>141.81689864896421</v>
      </c>
    </row>
    <row r="306" spans="1:2" s="6" customFormat="1">
      <c r="A306" s="53">
        <f t="shared" si="1"/>
        <v>2017.09</v>
      </c>
      <c r="B306" s="1268">
        <v>143.98587715971343</v>
      </c>
    </row>
    <row r="307" spans="1:2" s="6" customFormat="1">
      <c r="A307" s="53">
        <f t="shared" si="1"/>
        <v>2017.1</v>
      </c>
      <c r="B307" s="1268">
        <v>147.06178311003725</v>
      </c>
    </row>
    <row r="308" spans="1:2" s="6" customFormat="1">
      <c r="A308" s="53">
        <f t="shared" si="1"/>
        <v>2017.11</v>
      </c>
      <c r="B308" s="1268">
        <v>148.09241406594478</v>
      </c>
    </row>
    <row r="309" spans="1:2" s="6" customFormat="1">
      <c r="A309" s="53">
        <f t="shared" si="1"/>
        <v>2017.12</v>
      </c>
      <c r="B309" s="1268">
        <v>146.10434989650619</v>
      </c>
    </row>
    <row r="310" spans="1:2" s="6" customFormat="1">
      <c r="A310" s="53">
        <f t="shared" si="1"/>
        <v>2018.01</v>
      </c>
      <c r="B310" s="1268">
        <v>147.95639412470595</v>
      </c>
    </row>
    <row r="311" spans="1:2" s="6" customFormat="1">
      <c r="A311" s="53">
        <f t="shared" si="1"/>
        <v>2018.02</v>
      </c>
      <c r="B311" s="1268">
        <v>150.40146299842948</v>
      </c>
    </row>
    <row r="312" spans="1:2" s="6" customFormat="1">
      <c r="A312" s="53">
        <f t="shared" si="1"/>
        <v>2018.03</v>
      </c>
      <c r="B312" s="1268">
        <v>148.77306459151089</v>
      </c>
    </row>
    <row r="313" spans="1:2" s="6" customFormat="1">
      <c r="A313" s="53">
        <f t="shared" si="1"/>
        <v>2018.04</v>
      </c>
      <c r="B313" s="1268">
        <v>148.66131704936276</v>
      </c>
    </row>
    <row r="314" spans="1:2" s="6" customFormat="1">
      <c r="A314" s="53">
        <f t="shared" si="1"/>
        <v>2018.05</v>
      </c>
      <c r="B314" s="1268">
        <v>142.43446522025872</v>
      </c>
    </row>
    <row r="315" spans="1:2" s="6" customFormat="1">
      <c r="A315" s="53">
        <f t="shared" si="1"/>
        <v>2018.06</v>
      </c>
      <c r="B315" s="1268">
        <v>138.59174545930821</v>
      </c>
    </row>
    <row r="316" spans="1:2" s="6" customFormat="1">
      <c r="A316" s="53">
        <f t="shared" si="1"/>
        <v>2018.07</v>
      </c>
      <c r="B316" s="1268">
        <v>134.91930724372574</v>
      </c>
    </row>
    <row r="317" spans="1:2" s="6" customFormat="1">
      <c r="A317" s="53">
        <f t="shared" si="1"/>
        <v>2018.08</v>
      </c>
      <c r="B317" s="1268">
        <v>136.38492890177869</v>
      </c>
    </row>
    <row r="318" spans="1:2" s="6" customFormat="1">
      <c r="A318" s="53">
        <f t="shared" ref="A318:A381" si="2">A306+1</f>
        <v>2018.09</v>
      </c>
      <c r="B318" s="1268">
        <v>132.10658847139356</v>
      </c>
    </row>
    <row r="319" spans="1:2" s="6" customFormat="1">
      <c r="A319" s="53">
        <f t="shared" si="2"/>
        <v>2018.1</v>
      </c>
      <c r="B319" s="1268">
        <v>126.35957655491531</v>
      </c>
    </row>
    <row r="320" spans="1:2" s="6" customFormat="1">
      <c r="A320" s="53">
        <f t="shared" si="2"/>
        <v>2018.11</v>
      </c>
      <c r="B320" s="1268">
        <v>124.36923861003861</v>
      </c>
    </row>
    <row r="321" spans="1:2" s="6" customFormat="1">
      <c r="A321" s="53">
        <f t="shared" si="2"/>
        <v>2018.12</v>
      </c>
      <c r="B321" s="1268">
        <v>124.03229931296046</v>
      </c>
    </row>
    <row r="322" spans="1:2" s="6" customFormat="1">
      <c r="A322" s="53">
        <f t="shared" si="2"/>
        <v>2019.01</v>
      </c>
      <c r="B322" s="1268">
        <v>121.49690124168963</v>
      </c>
    </row>
    <row r="323" spans="1:2" s="6" customFormat="1">
      <c r="A323" s="53">
        <f t="shared" si="2"/>
        <v>2019.02</v>
      </c>
      <c r="B323" s="1268">
        <v>124.7748818388352</v>
      </c>
    </row>
    <row r="324" spans="1:2" s="6" customFormat="1">
      <c r="A324" s="53">
        <f t="shared" si="2"/>
        <v>2019.03</v>
      </c>
      <c r="B324" s="1268">
        <v>120.39420235769715</v>
      </c>
    </row>
    <row r="325" spans="1:2" s="6" customFormat="1">
      <c r="A325" s="53">
        <f t="shared" si="2"/>
        <v>2019.04</v>
      </c>
      <c r="B325" s="1268">
        <v>119.22556017223228</v>
      </c>
    </row>
    <row r="326" spans="1:2" s="6" customFormat="1">
      <c r="A326" s="53">
        <f t="shared" si="2"/>
        <v>2019.05</v>
      </c>
      <c r="B326" s="1268">
        <v>120.04573145275472</v>
      </c>
    </row>
    <row r="327" spans="1:2" s="6" customFormat="1">
      <c r="A327" s="53">
        <f t="shared" si="2"/>
        <v>2019.06</v>
      </c>
      <c r="B327" s="1268">
        <v>125.00325456243895</v>
      </c>
    </row>
    <row r="328" spans="1:2" s="6" customFormat="1">
      <c r="A328" s="53">
        <f t="shared" si="2"/>
        <v>2019.07</v>
      </c>
      <c r="B328" s="1268">
        <v>125.04260104903128</v>
      </c>
    </row>
    <row r="329" spans="1:2" s="6" customFormat="1">
      <c r="A329" s="53">
        <f t="shared" si="2"/>
        <v>2019.08</v>
      </c>
      <c r="B329" s="1268">
        <v>118.03308452504676</v>
      </c>
    </row>
    <row r="330" spans="1:2" s="6" customFormat="1">
      <c r="A330" s="53">
        <f t="shared" si="2"/>
        <v>2019.09</v>
      </c>
      <c r="B330" s="1268">
        <v>115.32711563227836</v>
      </c>
    </row>
    <row r="331" spans="1:2" s="6" customFormat="1">
      <c r="A331" s="53">
        <f t="shared" si="2"/>
        <v>2019.1</v>
      </c>
      <c r="B331" s="1268">
        <v>115.89456129501478</v>
      </c>
    </row>
    <row r="332" spans="1:2" s="6" customFormat="1">
      <c r="A332" s="53">
        <f t="shared" si="2"/>
        <v>2019.11</v>
      </c>
      <c r="B332" s="1268">
        <v>113.11614212490115</v>
      </c>
    </row>
    <row r="333" spans="1:2" s="6" customFormat="1">
      <c r="A333" s="53">
        <f t="shared" si="2"/>
        <v>2019.12</v>
      </c>
      <c r="B333" s="1268">
        <v>113.72827613167847</v>
      </c>
    </row>
    <row r="334" spans="1:2" s="6" customFormat="1">
      <c r="A334" s="53">
        <f t="shared" si="2"/>
        <v>2020.01</v>
      </c>
      <c r="B334" s="1268">
        <v>116.20876426436357</v>
      </c>
    </row>
    <row r="335" spans="1:2" s="6" customFormat="1">
      <c r="A335" s="53">
        <f t="shared" si="2"/>
        <v>2020.02</v>
      </c>
      <c r="B335" s="1268">
        <v>111.92406955258271</v>
      </c>
    </row>
    <row r="336" spans="1:2" s="6" customFormat="1">
      <c r="A336" s="53">
        <f t="shared" si="2"/>
        <v>2020.03</v>
      </c>
      <c r="B336" s="1268">
        <v>100.42532196681124</v>
      </c>
    </row>
    <row r="337" spans="1:2" s="6" customFormat="1">
      <c r="A337" s="53">
        <f t="shared" si="2"/>
        <v>2020.04</v>
      </c>
      <c r="B337" s="1268">
        <v>91.648410198657743</v>
      </c>
    </row>
    <row r="338" spans="1:2" s="6" customFormat="1">
      <c r="A338" s="53">
        <f t="shared" si="2"/>
        <v>2020.05</v>
      </c>
      <c r="B338" s="1268">
        <v>105.38455416041397</v>
      </c>
    </row>
    <row r="339" spans="1:2" s="6" customFormat="1">
      <c r="A339" s="53">
        <f t="shared" si="2"/>
        <v>2020.06</v>
      </c>
      <c r="B339" s="1268">
        <v>114.0528859916393</v>
      </c>
    </row>
    <row r="340" spans="1:2" s="6" customFormat="1">
      <c r="A340" s="53">
        <f t="shared" si="2"/>
        <v>2020.07</v>
      </c>
      <c r="B340" s="1268">
        <v>118.11844382722866</v>
      </c>
    </row>
    <row r="341" spans="1:2" s="6" customFormat="1">
      <c r="A341" s="53">
        <f t="shared" si="2"/>
        <v>2020.08</v>
      </c>
      <c r="B341" s="1268">
        <v>120.18521987751106</v>
      </c>
    </row>
    <row r="342" spans="1:2" s="6" customFormat="1">
      <c r="A342" s="53">
        <f t="shared" si="2"/>
        <v>2020.09</v>
      </c>
      <c r="B342" s="1268">
        <v>122.13504306944645</v>
      </c>
    </row>
    <row r="343" spans="1:2" s="6" customFormat="1">
      <c r="A343" s="53">
        <f t="shared" si="2"/>
        <v>2020.1</v>
      </c>
      <c r="B343" s="1268">
        <v>125.64554253002056</v>
      </c>
    </row>
    <row r="344" spans="1:2" s="6" customFormat="1">
      <c r="A344" s="53">
        <f t="shared" si="2"/>
        <v>2020.11</v>
      </c>
      <c r="B344" s="1268">
        <v>130.94374563347708</v>
      </c>
    </row>
    <row r="345" spans="1:2" s="6" customFormat="1">
      <c r="A345" s="53">
        <f t="shared" si="2"/>
        <v>2020.12</v>
      </c>
      <c r="B345" s="1268">
        <v>128.41008587883189</v>
      </c>
    </row>
    <row r="346" spans="1:2" s="6" customFormat="1">
      <c r="A346" s="53">
        <f t="shared" si="2"/>
        <v>2021.01</v>
      </c>
      <c r="B346" s="1268">
        <v>128.89929676233166</v>
      </c>
    </row>
    <row r="347" spans="1:2" s="6" customFormat="1">
      <c r="A347" s="53">
        <f t="shared" si="2"/>
        <v>2021.02</v>
      </c>
      <c r="B347" s="1268">
        <v>128.33429154611875</v>
      </c>
    </row>
    <row r="348" spans="1:2" s="6" customFormat="1">
      <c r="A348" s="53">
        <f t="shared" si="2"/>
        <v>2021.03</v>
      </c>
      <c r="B348" s="1268">
        <v>129.09706265798388</v>
      </c>
    </row>
    <row r="349" spans="1:2" s="6" customFormat="1">
      <c r="A349" s="53">
        <f t="shared" si="2"/>
        <v>2021.04</v>
      </c>
      <c r="B349" s="1268">
        <v>129.47261453033721</v>
      </c>
    </row>
    <row r="350" spans="1:2" s="6" customFormat="1">
      <c r="A350" s="53">
        <f t="shared" si="2"/>
        <v>2021.05</v>
      </c>
      <c r="B350" s="1268">
        <v>128.79840175674198</v>
      </c>
    </row>
    <row r="351" spans="1:2" s="6" customFormat="1">
      <c r="A351" s="53">
        <f t="shared" si="2"/>
        <v>2021.06</v>
      </c>
      <c r="B351" s="1268">
        <v>127.43261583689664</v>
      </c>
    </row>
    <row r="352" spans="1:2" s="6" customFormat="1">
      <c r="A352" s="53">
        <f t="shared" si="2"/>
        <v>2021.07</v>
      </c>
      <c r="B352" s="1268">
        <v>128.60283802951093</v>
      </c>
    </row>
    <row r="353" spans="1:2" s="6" customFormat="1">
      <c r="A353" s="53">
        <f t="shared" si="2"/>
        <v>2021.08</v>
      </c>
      <c r="B353" s="1268">
        <v>128.83114217012505</v>
      </c>
    </row>
    <row r="354" spans="1:2" s="6" customFormat="1">
      <c r="A354" s="53">
        <f t="shared" si="2"/>
        <v>2021.09</v>
      </c>
      <c r="B354" s="1268">
        <v>130.79808185499169</v>
      </c>
    </row>
    <row r="355" spans="1:2" s="6" customFormat="1">
      <c r="A355" s="53">
        <f t="shared" si="2"/>
        <v>2021.1</v>
      </c>
      <c r="B355" s="1268">
        <v>131.39239338942855</v>
      </c>
    </row>
    <row r="356" spans="1:2" s="6" customFormat="1">
      <c r="A356" s="53">
        <f t="shared" si="2"/>
        <v>2021.11</v>
      </c>
      <c r="B356" s="1268">
        <v>132.85987988937464</v>
      </c>
    </row>
    <row r="357" spans="1:2" s="6" customFormat="1">
      <c r="A357" s="53">
        <f t="shared" si="2"/>
        <v>2021.12</v>
      </c>
      <c r="B357" s="1268">
        <v>133.72697585856645</v>
      </c>
    </row>
    <row r="358" spans="1:2" s="6" customFormat="1">
      <c r="A358" s="53">
        <f t="shared" si="2"/>
        <v>2022.01</v>
      </c>
      <c r="B358" s="1268">
        <v>132.5278080824659</v>
      </c>
    </row>
    <row r="359" spans="1:2" s="6" customFormat="1">
      <c r="A359" s="53">
        <f t="shared" si="2"/>
        <v>2022.02</v>
      </c>
      <c r="B359" s="1268">
        <v>136.69974519026158</v>
      </c>
    </row>
    <row r="360" spans="1:2" s="6" customFormat="1">
      <c r="A360" s="53">
        <f t="shared" si="2"/>
        <v>2022.03</v>
      </c>
      <c r="B360" s="1268">
        <v>137.42780572362233</v>
      </c>
    </row>
    <row r="361" spans="1:2" s="6" customFormat="1">
      <c r="A361" s="53">
        <f t="shared" si="2"/>
        <v>2022.04</v>
      </c>
      <c r="B361" s="1268">
        <v>136.4929903152628</v>
      </c>
    </row>
    <row r="362" spans="1:2" s="6" customFormat="1">
      <c r="A362" s="53">
        <f t="shared" si="2"/>
        <v>2022.05</v>
      </c>
      <c r="B362" s="1268">
        <v>136.11614534115361</v>
      </c>
    </row>
    <row r="363" spans="1:2" s="6" customFormat="1">
      <c r="A363" s="53">
        <f t="shared" si="2"/>
        <v>2022.06</v>
      </c>
      <c r="B363" s="1268">
        <v>135.11220932591098</v>
      </c>
    </row>
    <row r="364" spans="1:2" s="6" customFormat="1">
      <c r="A364" s="53">
        <f t="shared" si="2"/>
        <v>2022.07</v>
      </c>
      <c r="B364" s="1268">
        <v>133.91835218902429</v>
      </c>
    </row>
    <row r="365" spans="1:2" s="6" customFormat="1">
      <c r="A365" s="53">
        <f t="shared" si="2"/>
        <v>2022.08</v>
      </c>
      <c r="B365" s="1268">
        <v>131.34197444940523</v>
      </c>
    </row>
    <row r="366" spans="1:2" s="6" customFormat="1">
      <c r="A366" s="53">
        <f t="shared" si="2"/>
        <v>2022.09</v>
      </c>
      <c r="B366" s="1268">
        <v>131.31043955362949</v>
      </c>
    </row>
    <row r="367" spans="1:2" s="6" customFormat="1">
      <c r="A367" s="53">
        <f t="shared" si="2"/>
        <v>2022.1</v>
      </c>
      <c r="B367" s="1268">
        <v>130.75454912665154</v>
      </c>
    </row>
    <row r="368" spans="1:2" s="6" customFormat="1">
      <c r="A368" s="53">
        <f t="shared" si="2"/>
        <v>2022.11</v>
      </c>
      <c r="B368" s="1268">
        <v>130.18609610577641</v>
      </c>
    </row>
    <row r="369" spans="1:2" s="6" customFormat="1">
      <c r="A369" s="53">
        <f t="shared" si="2"/>
        <v>2022.12</v>
      </c>
      <c r="B369" s="1268">
        <v>134.3248113838861</v>
      </c>
    </row>
    <row r="370" spans="1:2" s="6" customFormat="1">
      <c r="A370" s="53">
        <f t="shared" si="2"/>
        <v>2023.01</v>
      </c>
      <c r="B370" s="1268">
        <v>136.68472260038499</v>
      </c>
    </row>
    <row r="371" spans="1:2" s="6" customFormat="1">
      <c r="A371" s="53">
        <f t="shared" si="2"/>
        <v>2023.02</v>
      </c>
      <c r="B371" s="1268">
        <v>138.06093627513744</v>
      </c>
    </row>
    <row r="372" spans="1:2" s="6" customFormat="1">
      <c r="A372" s="53">
        <f t="shared" si="2"/>
        <v>2023.03</v>
      </c>
      <c r="B372" s="1268">
        <v>138.9381241590238</v>
      </c>
    </row>
    <row r="373" spans="1:2" s="6" customFormat="1">
      <c r="A373" s="53">
        <f t="shared" si="2"/>
        <v>2023.04</v>
      </c>
      <c r="B373" s="1268">
        <v>139.02838878013912</v>
      </c>
    </row>
    <row r="374" spans="1:2" s="6" customFormat="1">
      <c r="A374" s="53">
        <f t="shared" si="2"/>
        <v>2023.05</v>
      </c>
      <c r="B374" s="1268">
        <v>138.33857209176</v>
      </c>
    </row>
    <row r="375" spans="1:2" s="6" customFormat="1">
      <c r="A375" s="53">
        <f t="shared" si="2"/>
        <v>2023.06</v>
      </c>
      <c r="B375" s="1268">
        <v>141.94241840846627</v>
      </c>
    </row>
    <row r="376" spans="1:2" s="6" customFormat="1">
      <c r="A376" s="53">
        <f t="shared" si="2"/>
        <v>2023.07</v>
      </c>
      <c r="B376" s="1268">
        <v>137.74650986231376</v>
      </c>
    </row>
    <row r="377" spans="1:2" s="6" customFormat="1">
      <c r="A377" s="53">
        <f t="shared" si="2"/>
        <v>2023.08</v>
      </c>
      <c r="B377" s="1268">
        <v>141.07684350762176</v>
      </c>
    </row>
    <row r="378" spans="1:2" s="6" customFormat="1">
      <c r="A378" s="53">
        <f t="shared" si="2"/>
        <v>2023.09</v>
      </c>
      <c r="B378" s="1268">
        <v>137.63360874831855</v>
      </c>
    </row>
    <row r="379" spans="1:2" s="6" customFormat="1">
      <c r="A379" s="53">
        <f t="shared" si="2"/>
        <v>2023.1</v>
      </c>
      <c r="B379" s="1268">
        <v>136.0638744387565</v>
      </c>
    </row>
    <row r="380" spans="1:2" s="6" customFormat="1">
      <c r="A380" s="53">
        <f t="shared" si="2"/>
        <v>2023.11</v>
      </c>
      <c r="B380" s="1268">
        <v>132.71486824793823</v>
      </c>
    </row>
    <row r="381" spans="1:2" s="6" customFormat="1">
      <c r="A381" s="53">
        <f t="shared" si="2"/>
        <v>2023.12</v>
      </c>
      <c r="B381" s="1268">
        <v>125.90221123551154</v>
      </c>
    </row>
    <row r="382" spans="1:2" s="6" customFormat="1">
      <c r="A382" s="53">
        <f t="shared" ref="A382:A404" si="3">A370+1</f>
        <v>2024.01</v>
      </c>
      <c r="B382" s="1268">
        <v>123.91235114298527</v>
      </c>
    </row>
    <row r="383" spans="1:2" s="6" customFormat="1">
      <c r="A383" s="53">
        <f t="shared" si="3"/>
        <v>2024.02</v>
      </c>
      <c r="B383" s="1268">
        <v>115.21882728156748</v>
      </c>
    </row>
    <row r="384" spans="1:2" s="6" customFormat="1">
      <c r="A384" s="53">
        <f t="shared" si="3"/>
        <v>2024.03</v>
      </c>
      <c r="B384" s="1268">
        <v>112.05148516093148</v>
      </c>
    </row>
    <row r="385" spans="1:2" s="6" customFormat="1">
      <c r="A385" s="53">
        <f t="shared" si="3"/>
        <v>2024.04</v>
      </c>
      <c r="B385" s="1268">
        <v>116.1796644424423</v>
      </c>
    </row>
    <row r="386" spans="1:2" s="6" customFormat="1">
      <c r="A386" s="53">
        <f t="shared" si="3"/>
        <v>2024.05</v>
      </c>
      <c r="B386" s="1268">
        <v>122.79898714333632</v>
      </c>
    </row>
    <row r="387" spans="1:2" s="6" customFormat="1">
      <c r="A387" s="53">
        <f t="shared" si="3"/>
        <v>2024.06</v>
      </c>
      <c r="B387" s="1268">
        <v>117.84926062946984</v>
      </c>
    </row>
    <row r="388" spans="1:2" s="6" customFormat="1">
      <c r="A388" s="53">
        <f t="shared" si="3"/>
        <v>2024.07</v>
      </c>
      <c r="B388" s="1268">
        <v>120.46903277576763</v>
      </c>
    </row>
    <row r="389" spans="1:2" s="6" customFormat="1">
      <c r="A389" s="53">
        <f t="shared" si="3"/>
        <v>2024.08</v>
      </c>
      <c r="B389" s="1268">
        <v>121.06511995528916</v>
      </c>
    </row>
    <row r="390" spans="1:2" s="6" customFormat="1">
      <c r="A390" s="53">
        <f t="shared" si="3"/>
        <v>2024.09</v>
      </c>
      <c r="B390" s="1268">
        <v>122.83802919247613</v>
      </c>
    </row>
    <row r="391" spans="1:2" s="6" customFormat="1">
      <c r="A391" s="53">
        <f t="shared" si="3"/>
        <v>2024.1</v>
      </c>
      <c r="B391" s="1268">
        <v>124.17627828117092</v>
      </c>
    </row>
    <row r="392" spans="1:2" s="6" customFormat="1">
      <c r="A392" s="53">
        <f t="shared" si="3"/>
        <v>2024.11</v>
      </c>
      <c r="B392" s="1268">
        <v>125.55816745653443</v>
      </c>
    </row>
    <row r="393" spans="1:2" s="6" customFormat="1">
      <c r="A393" s="53">
        <f t="shared" si="3"/>
        <v>2024.12</v>
      </c>
      <c r="B393" s="1268">
        <v>126.65742190777209</v>
      </c>
    </row>
    <row r="394" spans="1:2" s="6" customFormat="1">
      <c r="A394" s="53">
        <f t="shared" si="3"/>
        <v>2025.01</v>
      </c>
      <c r="B394" s="1268">
        <v>129.13913294938419</v>
      </c>
    </row>
    <row r="395" spans="1:2" s="6" customFormat="1">
      <c r="A395" s="53">
        <f t="shared" si="3"/>
        <v>2025.02</v>
      </c>
      <c r="B395" s="1268">
        <v>131.16709487644451</v>
      </c>
    </row>
    <row r="396" spans="1:2" s="6" customFormat="1">
      <c r="A396" s="53">
        <f t="shared" si="3"/>
        <v>2025.03</v>
      </c>
      <c r="B396" s="1268">
        <v>129.04206348482879</v>
      </c>
    </row>
    <row r="397" spans="1:2" s="6" customFormat="1">
      <c r="A397" s="53">
        <f t="shared" si="3"/>
        <v>2025.04</v>
      </c>
      <c r="B397" s="1268">
        <v>131.2103309690155</v>
      </c>
    </row>
    <row r="398" spans="1:2" s="6" customFormat="1">
      <c r="A398" s="53">
        <f t="shared" si="3"/>
        <v>2025.05</v>
      </c>
      <c r="B398" s="1268">
        <v>130.16576058008059</v>
      </c>
    </row>
    <row r="399" spans="1:2" s="6" customFormat="1">
      <c r="A399" s="53">
        <f t="shared" si="3"/>
        <v>2025.06</v>
      </c>
      <c r="B399" s="1268">
        <v>127.07244257666645</v>
      </c>
    </row>
    <row r="400" spans="1:2" s="6" customFormat="1">
      <c r="A400" s="53">
        <f t="shared" si="3"/>
        <v>2025.07</v>
      </c>
      <c r="B400" s="1268">
        <v>128.14295056791948</v>
      </c>
    </row>
    <row r="401" spans="1:2" s="6" customFormat="1">
      <c r="A401" s="53">
        <f t="shared" si="3"/>
        <v>2025.08</v>
      </c>
      <c r="B401" s="1268">
        <v>121.93288123012231</v>
      </c>
    </row>
    <row r="402" spans="1:2" s="6" customFormat="1">
      <c r="A402" s="53">
        <f t="shared" si="3"/>
        <v>2025.09</v>
      </c>
      <c r="B402" s="1268">
        <v>120.51500460785194</v>
      </c>
    </row>
    <row r="403" spans="1:2" s="6" customFormat="1">
      <c r="A403" s="53">
        <f t="shared" si="3"/>
        <v>2025.1</v>
      </c>
      <c r="B403" s="1268">
        <v>128.32690347756554</v>
      </c>
    </row>
    <row r="404" spans="1:2" s="6" customFormat="1">
      <c r="A404" s="53">
        <f t="shared" si="3"/>
        <v>2025.11</v>
      </c>
      <c r="B404" s="1268">
        <v>124.51464160141627</v>
      </c>
    </row>
    <row r="405" spans="1:2" s="6" customFormat="1">
      <c r="A405" s="53">
        <f t="shared" ref="A405:A445" si="4">A393+1</f>
        <v>2025.12</v>
      </c>
      <c r="B405" s="1268">
        <v>126.33182714612207</v>
      </c>
    </row>
    <row r="406" spans="1:2" s="6" customFormat="1">
      <c r="A406" s="53">
        <f t="shared" si="4"/>
        <v>2026.01</v>
      </c>
      <c r="B406" s="1268">
        <v>123.26520451861869</v>
      </c>
    </row>
    <row r="407" spans="1:2" s="6" customFormat="1">
      <c r="A407" s="53">
        <f t="shared" si="4"/>
        <v>2026.02</v>
      </c>
      <c r="B407" s="1268">
        <v>124.70630860548641</v>
      </c>
    </row>
    <row r="408" spans="1:2" s="6" customFormat="1">
      <c r="A408" s="53">
        <f t="shared" si="4"/>
        <v>2026.03</v>
      </c>
      <c r="B408" s="1268" t="e">
        <v>#N/A</v>
      </c>
    </row>
    <row r="409" spans="1:2" s="6" customFormat="1">
      <c r="A409" s="53">
        <f t="shared" si="4"/>
        <v>2026.04</v>
      </c>
      <c r="B409" s="1268" t="e">
        <v>#N/A</v>
      </c>
    </row>
    <row r="410" spans="1:2" s="6" customFormat="1">
      <c r="A410" s="53">
        <f t="shared" si="4"/>
        <v>2026.05</v>
      </c>
      <c r="B410" s="1268" t="e">
        <v>#N/A</v>
      </c>
    </row>
    <row r="411" spans="1:2" s="6" customFormat="1">
      <c r="A411" s="53">
        <f t="shared" si="4"/>
        <v>2026.06</v>
      </c>
      <c r="B411" s="1268" t="e">
        <v>#N/A</v>
      </c>
    </row>
    <row r="412" spans="1:2" s="6" customFormat="1">
      <c r="A412" s="53">
        <f t="shared" si="4"/>
        <v>2026.07</v>
      </c>
      <c r="B412" s="1268" t="e">
        <v>#N/A</v>
      </c>
    </row>
    <row r="413" spans="1:2" s="6" customFormat="1">
      <c r="A413" s="53">
        <f t="shared" si="4"/>
        <v>2026.08</v>
      </c>
      <c r="B413" s="1268" t="e">
        <v>#N/A</v>
      </c>
    </row>
    <row r="414" spans="1:2" s="6" customFormat="1">
      <c r="A414" s="53">
        <f t="shared" si="4"/>
        <v>2026.09</v>
      </c>
      <c r="B414" s="1268" t="e">
        <v>#N/A</v>
      </c>
    </row>
    <row r="415" spans="1:2" s="6" customFormat="1">
      <c r="A415" s="53">
        <f t="shared" si="4"/>
        <v>2026.1</v>
      </c>
      <c r="B415" s="1268" t="e">
        <v>#N/A</v>
      </c>
    </row>
    <row r="416" spans="1:2" s="6" customFormat="1">
      <c r="A416" s="53">
        <f t="shared" si="4"/>
        <v>2026.11</v>
      </c>
      <c r="B416" s="1268" t="e">
        <v>#N/A</v>
      </c>
    </row>
    <row r="417" spans="1:2" s="6" customFormat="1">
      <c r="A417" s="53">
        <f t="shared" si="4"/>
        <v>2026.12</v>
      </c>
      <c r="B417" s="1268" t="e">
        <v>#N/A</v>
      </c>
    </row>
    <row r="418" spans="1:2" s="6" customFormat="1">
      <c r="A418" s="53">
        <f t="shared" si="4"/>
        <v>2027.01</v>
      </c>
      <c r="B418" s="1268" t="e">
        <v>#N/A</v>
      </c>
    </row>
    <row r="419" spans="1:2" s="6" customFormat="1">
      <c r="A419" s="53">
        <f t="shared" si="4"/>
        <v>2027.02</v>
      </c>
      <c r="B419" s="1268" t="e">
        <v>#N/A</v>
      </c>
    </row>
    <row r="420" spans="1:2" s="6" customFormat="1">
      <c r="A420" s="53">
        <f t="shared" si="4"/>
        <v>2027.03</v>
      </c>
      <c r="B420" s="1268" t="e">
        <v>#N/A</v>
      </c>
    </row>
    <row r="421" spans="1:2" s="6" customFormat="1">
      <c r="A421" s="53">
        <f t="shared" si="4"/>
        <v>2027.04</v>
      </c>
      <c r="B421" s="1268" t="e">
        <v>#N/A</v>
      </c>
    </row>
    <row r="422" spans="1:2" s="6" customFormat="1">
      <c r="A422" s="53">
        <f t="shared" si="4"/>
        <v>2027.05</v>
      </c>
      <c r="B422" s="1268" t="e">
        <v>#N/A</v>
      </c>
    </row>
    <row r="423" spans="1:2" s="6" customFormat="1">
      <c r="A423" s="53">
        <f t="shared" si="4"/>
        <v>2027.06</v>
      </c>
      <c r="B423" s="1268" t="e">
        <v>#N/A</v>
      </c>
    </row>
    <row r="424" spans="1:2" s="6" customFormat="1">
      <c r="A424" s="53">
        <f t="shared" si="4"/>
        <v>2027.07</v>
      </c>
      <c r="B424" s="1268" t="e">
        <v>#N/A</v>
      </c>
    </row>
    <row r="425" spans="1:2" s="6" customFormat="1">
      <c r="A425" s="53">
        <f t="shared" si="4"/>
        <v>2027.08</v>
      </c>
      <c r="B425" s="1268" t="e">
        <v>#N/A</v>
      </c>
    </row>
    <row r="426" spans="1:2" s="6" customFormat="1">
      <c r="A426" s="53">
        <f t="shared" si="4"/>
        <v>2027.09</v>
      </c>
      <c r="B426" s="1268" t="e">
        <v>#N/A</v>
      </c>
    </row>
    <row r="427" spans="1:2" s="6" customFormat="1">
      <c r="A427" s="53">
        <f t="shared" si="4"/>
        <v>2027.1</v>
      </c>
      <c r="B427" s="1268" t="e">
        <v>#N/A</v>
      </c>
    </row>
    <row r="428" spans="1:2" s="6" customFormat="1">
      <c r="A428" s="53">
        <f t="shared" si="4"/>
        <v>2027.11</v>
      </c>
      <c r="B428" s="1268" t="e">
        <v>#N/A</v>
      </c>
    </row>
    <row r="429" spans="1:2" s="6" customFormat="1">
      <c r="A429" s="53">
        <f t="shared" si="4"/>
        <v>2027.12</v>
      </c>
      <c r="B429" s="1268" t="e">
        <v>#N/A</v>
      </c>
    </row>
    <row r="430" spans="1:2" s="6" customFormat="1">
      <c r="A430" s="53">
        <f t="shared" si="4"/>
        <v>2028.01</v>
      </c>
      <c r="B430" s="1268" t="e">
        <v>#N/A</v>
      </c>
    </row>
    <row r="431" spans="1:2" s="6" customFormat="1">
      <c r="A431" s="53">
        <f t="shared" si="4"/>
        <v>2028.02</v>
      </c>
      <c r="B431" s="1268" t="e">
        <v>#N/A</v>
      </c>
    </row>
    <row r="432" spans="1:2" s="6" customFormat="1">
      <c r="A432" s="53">
        <f t="shared" si="4"/>
        <v>2028.03</v>
      </c>
      <c r="B432" s="1268" t="e">
        <v>#N/A</v>
      </c>
    </row>
    <row r="433" spans="1:2" s="6" customFormat="1">
      <c r="A433" s="53">
        <f t="shared" si="4"/>
        <v>2028.04</v>
      </c>
      <c r="B433" s="1268" t="e">
        <v>#N/A</v>
      </c>
    </row>
    <row r="434" spans="1:2" s="6" customFormat="1">
      <c r="A434" s="53">
        <f t="shared" si="4"/>
        <v>2028.05</v>
      </c>
      <c r="B434" s="1268" t="e">
        <v>#N/A</v>
      </c>
    </row>
    <row r="435" spans="1:2" s="6" customFormat="1">
      <c r="A435" s="53">
        <f t="shared" si="4"/>
        <v>2028.06</v>
      </c>
      <c r="B435" s="1268" t="e">
        <v>#N/A</v>
      </c>
    </row>
    <row r="436" spans="1:2" s="6" customFormat="1">
      <c r="A436" s="53">
        <f t="shared" si="4"/>
        <v>2028.07</v>
      </c>
      <c r="B436" s="1268" t="e">
        <v>#N/A</v>
      </c>
    </row>
    <row r="437" spans="1:2" s="6" customFormat="1">
      <c r="A437" s="53">
        <f t="shared" si="4"/>
        <v>2028.08</v>
      </c>
      <c r="B437" s="1268" t="e">
        <v>#N/A</v>
      </c>
    </row>
    <row r="438" spans="1:2" s="6" customFormat="1">
      <c r="A438" s="53">
        <f t="shared" si="4"/>
        <v>2028.09</v>
      </c>
      <c r="B438" s="1268" t="e">
        <v>#N/A</v>
      </c>
    </row>
    <row r="439" spans="1:2" s="6" customFormat="1">
      <c r="A439" s="53">
        <f t="shared" si="4"/>
        <v>2028.1</v>
      </c>
      <c r="B439" s="1268" t="e">
        <v>#N/A</v>
      </c>
    </row>
    <row r="440" spans="1:2" s="6" customFormat="1">
      <c r="A440" s="53">
        <f t="shared" si="4"/>
        <v>2028.11</v>
      </c>
      <c r="B440" s="1268" t="e">
        <v>#N/A</v>
      </c>
    </row>
    <row r="441" spans="1:2" s="6" customFormat="1">
      <c r="A441" s="53">
        <f t="shared" si="4"/>
        <v>2028.12</v>
      </c>
      <c r="B441" s="1268" t="e">
        <v>#N/A</v>
      </c>
    </row>
    <row r="442" spans="1:2" s="6" customFormat="1">
      <c r="A442" s="53">
        <f t="shared" si="4"/>
        <v>2029.01</v>
      </c>
      <c r="B442" s="1268" t="e">
        <v>#N/A</v>
      </c>
    </row>
    <row r="443" spans="1:2" s="6" customFormat="1">
      <c r="A443" s="53">
        <f t="shared" si="4"/>
        <v>2029.02</v>
      </c>
      <c r="B443" s="1268" t="e">
        <v>#N/A</v>
      </c>
    </row>
    <row r="444" spans="1:2" s="6" customFormat="1">
      <c r="A444" s="53">
        <f t="shared" si="4"/>
        <v>2029.03</v>
      </c>
      <c r="B444" s="1268" t="e">
        <v>#N/A</v>
      </c>
    </row>
    <row r="445" spans="1:2" s="6" customFormat="1">
      <c r="A445" s="53">
        <f t="shared" si="4"/>
        <v>2029.04</v>
      </c>
      <c r="B445" s="1268" t="e">
        <v>#N/A</v>
      </c>
    </row>
    <row r="446" spans="1:2" s="6" customFormat="1">
      <c r="A446" s="53">
        <f t="shared" ref="A446" si="5">A434+1</f>
        <v>2029.05</v>
      </c>
      <c r="B446" s="1268" t="e">
        <v>#N/A</v>
      </c>
    </row>
    <row r="447" spans="1:2" s="6" customFormat="1">
      <c r="A447" s="53">
        <f>A435+1</f>
        <v>2029.06</v>
      </c>
      <c r="B447" s="1268" t="e">
        <v>#N/A</v>
      </c>
    </row>
    <row r="448" spans="1:2" s="6" customFormat="1">
      <c r="A448" s="53">
        <f t="shared" ref="A448:A465" si="6">A436+1</f>
        <v>2029.07</v>
      </c>
      <c r="B448" s="1268" t="e">
        <v>#N/A</v>
      </c>
    </row>
    <row r="449" spans="1:2" s="6" customFormat="1">
      <c r="A449" s="53">
        <f t="shared" si="6"/>
        <v>2029.08</v>
      </c>
      <c r="B449" s="1268" t="e">
        <v>#N/A</v>
      </c>
    </row>
    <row r="450" spans="1:2" s="6" customFormat="1">
      <c r="A450" s="53">
        <f t="shared" si="6"/>
        <v>2029.09</v>
      </c>
      <c r="B450" s="1268" t="e">
        <v>#N/A</v>
      </c>
    </row>
    <row r="451" spans="1:2" s="6" customFormat="1">
      <c r="A451" s="53">
        <f t="shared" si="6"/>
        <v>2029.1</v>
      </c>
      <c r="B451" s="1268" t="e">
        <v>#N/A</v>
      </c>
    </row>
    <row r="452" spans="1:2" s="6" customFormat="1">
      <c r="A452" s="53">
        <f t="shared" si="6"/>
        <v>2029.11</v>
      </c>
      <c r="B452" s="1268" t="e">
        <v>#N/A</v>
      </c>
    </row>
    <row r="453" spans="1:2" s="6" customFormat="1">
      <c r="A453" s="53">
        <f t="shared" si="6"/>
        <v>2029.12</v>
      </c>
      <c r="B453" s="1268" t="e">
        <v>#N/A</v>
      </c>
    </row>
    <row r="454" spans="1:2" s="6" customFormat="1">
      <c r="A454" s="53">
        <f t="shared" si="6"/>
        <v>2030.01</v>
      </c>
      <c r="B454" s="1268" t="e">
        <v>#N/A</v>
      </c>
    </row>
    <row r="455" spans="1:2" s="6" customFormat="1">
      <c r="A455" s="53">
        <f t="shared" si="6"/>
        <v>2030.02</v>
      </c>
      <c r="B455" s="1268" t="e">
        <v>#N/A</v>
      </c>
    </row>
    <row r="456" spans="1:2" s="6" customFormat="1">
      <c r="A456" s="53">
        <f t="shared" si="6"/>
        <v>2030.03</v>
      </c>
      <c r="B456" s="1268" t="e">
        <v>#N/A</v>
      </c>
    </row>
    <row r="457" spans="1:2" s="6" customFormat="1">
      <c r="A457" s="53">
        <f t="shared" si="6"/>
        <v>2030.04</v>
      </c>
      <c r="B457" s="1268" t="e">
        <v>#N/A</v>
      </c>
    </row>
    <row r="458" spans="1:2" s="6" customFormat="1">
      <c r="A458" s="53">
        <f t="shared" si="6"/>
        <v>2030.05</v>
      </c>
      <c r="B458" s="1268" t="e">
        <v>#N/A</v>
      </c>
    </row>
    <row r="459" spans="1:2" s="6" customFormat="1">
      <c r="A459" s="53">
        <f t="shared" si="6"/>
        <v>2030.06</v>
      </c>
      <c r="B459" s="1268" t="e">
        <v>#N/A</v>
      </c>
    </row>
    <row r="460" spans="1:2" s="6" customFormat="1">
      <c r="A460" s="53">
        <f t="shared" si="6"/>
        <v>2030.07</v>
      </c>
      <c r="B460" s="1268" t="e">
        <v>#N/A</v>
      </c>
    </row>
    <row r="461" spans="1:2" s="6" customFormat="1">
      <c r="A461" s="53">
        <f t="shared" si="6"/>
        <v>2030.08</v>
      </c>
      <c r="B461" s="1268" t="e">
        <v>#N/A</v>
      </c>
    </row>
    <row r="462" spans="1:2" s="6" customFormat="1">
      <c r="A462" s="53">
        <f t="shared" si="6"/>
        <v>2030.09</v>
      </c>
      <c r="B462" s="1268" t="e">
        <v>#N/A</v>
      </c>
    </row>
    <row r="463" spans="1:2" s="6" customFormat="1">
      <c r="A463" s="53">
        <f t="shared" si="6"/>
        <v>2030.1</v>
      </c>
      <c r="B463" s="1268" t="e">
        <v>#N/A</v>
      </c>
    </row>
    <row r="464" spans="1:2" s="6" customFormat="1">
      <c r="A464" s="53">
        <f t="shared" si="6"/>
        <v>2030.11</v>
      </c>
      <c r="B464" s="1268" t="e">
        <v>#N/A</v>
      </c>
    </row>
    <row r="465" spans="1:2" s="6" customFormat="1">
      <c r="A465" s="53">
        <f t="shared" si="6"/>
        <v>2030.12</v>
      </c>
      <c r="B465" s="1268" t="e">
        <v>#N/A</v>
      </c>
    </row>
  </sheetData>
  <phoneticPr fontId="0" type="noConversion"/>
  <hyperlinks>
    <hyperlink ref="A5" location="INDICE!A13" display="VOLVER AL INDICE" xr:uid="{4384C16F-4A86-48A0-B930-278CAF2E44B6}"/>
  </hyperlinks>
  <printOptions gridLines="1"/>
  <pageMargins left="0.39370078740157483" right="0.39370078740157483" top="0.59055118110236227" bottom="0.59055118110236227" header="0" footer="0"/>
  <pageSetup paperSize="9" scale="50"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30"/>
  <dimension ref="A1:I489"/>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2.5703125" defaultRowHeight="12.75"/>
  <cols>
    <col min="1" max="1" width="11" style="84" customWidth="1"/>
    <col min="2" max="2" width="27.5703125" style="84" customWidth="1"/>
    <col min="3" max="6" width="18.5703125" style="84" customWidth="1"/>
    <col min="7" max="7" width="4.5703125" style="18" customWidth="1"/>
    <col min="8" max="16384" width="12.5703125" style="18"/>
  </cols>
  <sheetData>
    <row r="1" spans="1:8" s="16" customFormat="1" ht="3.75" customHeight="1">
      <c r="A1" s="2761"/>
      <c r="B1" s="1453"/>
      <c r="C1" s="1454"/>
      <c r="D1" s="1455"/>
      <c r="E1" s="1455"/>
      <c r="F1" s="1456"/>
      <c r="G1" s="1457"/>
      <c r="H1" s="1458"/>
    </row>
    <row r="2" spans="1:8" s="16" customFormat="1" ht="22.5">
      <c r="A2" s="2762" t="s">
        <v>99</v>
      </c>
      <c r="B2" s="3089" t="s">
        <v>1707</v>
      </c>
      <c r="C2" s="3090" t="s">
        <v>1708</v>
      </c>
      <c r="D2" s="3091"/>
      <c r="E2" s="3091"/>
      <c r="F2" s="1870"/>
      <c r="G2" s="1457"/>
      <c r="H2" s="1458"/>
    </row>
    <row r="3" spans="1:8" s="16" customFormat="1" ht="22.5">
      <c r="A3" s="2762" t="s">
        <v>104</v>
      </c>
      <c r="B3" s="189" t="s">
        <v>114</v>
      </c>
      <c r="C3" s="3092" t="s">
        <v>114</v>
      </c>
      <c r="D3" s="1459"/>
      <c r="E3" s="1459"/>
      <c r="F3" s="297"/>
      <c r="G3" s="1457"/>
      <c r="H3" s="1458"/>
    </row>
    <row r="4" spans="1:8" s="16" customFormat="1" ht="2.25" hidden="1" customHeight="1">
      <c r="A4" s="2762"/>
      <c r="B4" s="86"/>
      <c r="C4" s="220" t="s">
        <v>5</v>
      </c>
      <c r="D4" s="221"/>
      <c r="E4" s="221"/>
      <c r="F4" s="222"/>
      <c r="G4" s="1457"/>
      <c r="H4" s="1458"/>
    </row>
    <row r="5" spans="1:8" s="16" customFormat="1" ht="45">
      <c r="A5" s="2867" t="s">
        <v>140</v>
      </c>
      <c r="B5" s="3093" t="s">
        <v>1709</v>
      </c>
      <c r="C5" s="246" t="s">
        <v>1710</v>
      </c>
      <c r="D5" s="673" t="s">
        <v>1711</v>
      </c>
      <c r="E5" s="673" t="s">
        <v>1712</v>
      </c>
      <c r="F5" s="676" t="s">
        <v>1713</v>
      </c>
      <c r="G5" s="1457"/>
      <c r="H5" s="745"/>
    </row>
    <row r="6" spans="1:8" s="16" customFormat="1">
      <c r="A6" s="2762"/>
      <c r="B6" s="1460"/>
      <c r="C6" s="1461"/>
      <c r="D6" s="3678"/>
      <c r="E6" s="3678"/>
      <c r="F6" s="1462"/>
      <c r="G6" s="1457"/>
      <c r="H6" s="1458"/>
    </row>
    <row r="7" spans="1:8" s="16" customFormat="1" ht="22.5">
      <c r="A7" s="2762" t="s">
        <v>125</v>
      </c>
      <c r="B7" s="3094" t="s">
        <v>1714</v>
      </c>
      <c r="C7" s="3095" t="s">
        <v>1714</v>
      </c>
      <c r="D7" s="673" t="s">
        <v>1714</v>
      </c>
      <c r="E7" s="673" t="s">
        <v>1714</v>
      </c>
      <c r="F7" s="246" t="s">
        <v>1714</v>
      </c>
      <c r="G7" s="1457"/>
      <c r="H7" s="1458"/>
    </row>
    <row r="8" spans="1:8" s="16" customFormat="1" ht="12.75" customHeight="1">
      <c r="A8" s="3002" t="s">
        <v>144</v>
      </c>
      <c r="B8" s="2287" t="s">
        <v>2068</v>
      </c>
      <c r="C8" s="2282" t="s">
        <v>2069</v>
      </c>
      <c r="D8" s="2289" t="s">
        <v>2070</v>
      </c>
      <c r="E8" s="2283" t="s">
        <v>2071</v>
      </c>
      <c r="F8" s="2281" t="s">
        <v>2072</v>
      </c>
      <c r="G8" s="1457"/>
      <c r="H8" s="1458"/>
    </row>
    <row r="9" spans="1:8" s="17" customFormat="1" ht="13.5" thickBot="1">
      <c r="A9" s="2140"/>
      <c r="B9" s="1463"/>
      <c r="C9" s="1464"/>
      <c r="D9" s="1465"/>
      <c r="E9" s="1465"/>
      <c r="F9" s="1466"/>
      <c r="G9" s="1467"/>
      <c r="H9" s="1111"/>
    </row>
    <row r="10" spans="1:8" s="17" customFormat="1">
      <c r="A10" s="1556">
        <v>1991.01</v>
      </c>
      <c r="B10" s="1668">
        <v>106.46006076671858</v>
      </c>
      <c r="C10" s="234">
        <v>131.70241759721873</v>
      </c>
      <c r="D10" s="674">
        <v>85.812322164889167</v>
      </c>
      <c r="E10" s="674">
        <v>64.711754823775109</v>
      </c>
      <c r="F10" s="1669">
        <v>115.02370293782712</v>
      </c>
      <c r="G10" s="1467"/>
      <c r="H10" s="1111"/>
    </row>
    <row r="11" spans="1:8" s="17" customFormat="1">
      <c r="A11" s="1468">
        <v>1991.02</v>
      </c>
      <c r="B11" s="231">
        <v>123.99909591302099</v>
      </c>
      <c r="C11" s="235">
        <v>149.16617757771519</v>
      </c>
      <c r="D11" s="3679">
        <v>97.809627809888156</v>
      </c>
      <c r="E11" s="3679">
        <v>77.217418633665886</v>
      </c>
      <c r="F11" s="232">
        <v>134.37046335441045</v>
      </c>
      <c r="G11" s="1467"/>
      <c r="H11" s="1111"/>
    </row>
    <row r="12" spans="1:8" s="17" customFormat="1">
      <c r="A12" s="1468">
        <v>1991.03</v>
      </c>
      <c r="B12" s="231">
        <v>109.54679279807536</v>
      </c>
      <c r="C12" s="235">
        <v>146.90738013515733</v>
      </c>
      <c r="D12" s="3679">
        <v>89.060285491232733</v>
      </c>
      <c r="E12" s="3679">
        <v>70.970658506033502</v>
      </c>
      <c r="F12" s="232">
        <v>112.86793776045258</v>
      </c>
      <c r="G12" s="1467"/>
      <c r="H12" s="1111"/>
    </row>
    <row r="13" spans="1:8" s="17" customFormat="1">
      <c r="A13" s="1468">
        <v>1991.04</v>
      </c>
      <c r="B13" s="231">
        <v>105.86759283734837</v>
      </c>
      <c r="C13" s="235">
        <v>145.82767775024541</v>
      </c>
      <c r="D13" s="3679">
        <v>87.390468066136549</v>
      </c>
      <c r="E13" s="3679">
        <v>68.183410538647351</v>
      </c>
      <c r="F13" s="232">
        <v>104.90597522513363</v>
      </c>
      <c r="G13" s="1467"/>
      <c r="H13" s="1111"/>
    </row>
    <row r="14" spans="1:8" s="17" customFormat="1">
      <c r="A14" s="1468">
        <v>1991.05</v>
      </c>
      <c r="B14" s="231">
        <v>103.00385801005974</v>
      </c>
      <c r="C14" s="235">
        <v>132.04603147782129</v>
      </c>
      <c r="D14" s="3679">
        <v>85.867482858190044</v>
      </c>
      <c r="E14" s="3679">
        <v>66.271300627943674</v>
      </c>
      <c r="F14" s="232">
        <v>102.35034669468001</v>
      </c>
      <c r="G14" s="1467"/>
      <c r="H14" s="1111"/>
    </row>
    <row r="15" spans="1:8" s="17" customFormat="1">
      <c r="A15" s="1468">
        <v>1991.06</v>
      </c>
      <c r="B15" s="231">
        <v>98.547289504139798</v>
      </c>
      <c r="C15" s="235">
        <v>129.96860334078903</v>
      </c>
      <c r="D15" s="3679">
        <v>84.104990994689558</v>
      </c>
      <c r="E15" s="3679">
        <v>65.67578915029685</v>
      </c>
      <c r="F15" s="232">
        <v>96.528663794820659</v>
      </c>
      <c r="G15" s="1467"/>
      <c r="H15" s="1111"/>
    </row>
    <row r="16" spans="1:8" s="17" customFormat="1">
      <c r="A16" s="1468">
        <v>1991.07</v>
      </c>
      <c r="B16" s="231">
        <v>96.576347336667624</v>
      </c>
      <c r="C16" s="235">
        <v>135.56320093688447</v>
      </c>
      <c r="D16" s="3679">
        <v>82.101429577802705</v>
      </c>
      <c r="E16" s="3679">
        <v>63.24706348940947</v>
      </c>
      <c r="F16" s="232">
        <v>94.500713641083664</v>
      </c>
      <c r="G16" s="1467"/>
      <c r="H16" s="1111"/>
    </row>
    <row r="17" spans="1:7" s="17" customFormat="1">
      <c r="A17" s="1468">
        <v>1991.08</v>
      </c>
      <c r="B17" s="231">
        <v>97.127338735040283</v>
      </c>
      <c r="C17" s="235">
        <v>136.85971384928757</v>
      </c>
      <c r="D17" s="3679">
        <v>81.366958205013148</v>
      </c>
      <c r="E17" s="3679">
        <v>62.400023759622314</v>
      </c>
      <c r="F17" s="232">
        <v>95.567187772242193</v>
      </c>
      <c r="G17" s="1467"/>
    </row>
    <row r="18" spans="1:7" s="17" customFormat="1">
      <c r="A18" s="1468">
        <v>1991.09</v>
      </c>
      <c r="B18" s="231">
        <v>97.08546491166166</v>
      </c>
      <c r="C18" s="235">
        <v>131.56769127595112</v>
      </c>
      <c r="D18" s="3679">
        <v>80.063440623180597</v>
      </c>
      <c r="E18" s="3679">
        <v>62.025043896817714</v>
      </c>
      <c r="F18" s="232">
        <v>96.377855634490658</v>
      </c>
      <c r="G18" s="1467"/>
    </row>
    <row r="19" spans="1:7" s="17" customFormat="1">
      <c r="A19" s="1468">
        <v>1991.1</v>
      </c>
      <c r="B19" s="231">
        <v>94.011280232219605</v>
      </c>
      <c r="C19" s="235">
        <v>117.84945228922673</v>
      </c>
      <c r="D19" s="3679">
        <v>79.111508423415117</v>
      </c>
      <c r="E19" s="3679">
        <v>60.529176541711834</v>
      </c>
      <c r="F19" s="232">
        <v>95.66140955361891</v>
      </c>
      <c r="G19" s="1467"/>
    </row>
    <row r="20" spans="1:7" s="17" customFormat="1">
      <c r="A20" s="1468">
        <v>1991.11</v>
      </c>
      <c r="B20" s="231">
        <v>95.409382573201469</v>
      </c>
      <c r="C20" s="235">
        <v>114.64480534700662</v>
      </c>
      <c r="D20" s="3679">
        <v>79.034439502640495</v>
      </c>
      <c r="E20" s="3679">
        <v>59.011125730724906</v>
      </c>
      <c r="F20" s="232">
        <v>99.467113994392037</v>
      </c>
      <c r="G20" s="1467"/>
    </row>
    <row r="21" spans="1:7" s="17" customFormat="1">
      <c r="A21" s="1468">
        <v>1991.12</v>
      </c>
      <c r="B21" s="231">
        <v>95.510582151427414</v>
      </c>
      <c r="C21" s="235">
        <v>108.20456465628332</v>
      </c>
      <c r="D21" s="3679">
        <v>78.581613442919291</v>
      </c>
      <c r="E21" s="3679">
        <v>57.962044235337629</v>
      </c>
      <c r="F21" s="232">
        <v>102.24399499513392</v>
      </c>
      <c r="G21" s="1467"/>
    </row>
    <row r="22" spans="1:7" s="17" customFormat="1">
      <c r="A22" s="1468">
        <v>1992.01</v>
      </c>
      <c r="B22" s="231">
        <v>92.947352335501179</v>
      </c>
      <c r="C22" s="235">
        <v>104.92038849202896</v>
      </c>
      <c r="D22" s="3679">
        <v>76.371858161645321</v>
      </c>
      <c r="E22" s="3679">
        <v>56.384382575211724</v>
      </c>
      <c r="F22" s="232">
        <v>98.965003544644546</v>
      </c>
      <c r="G22" s="1467"/>
    </row>
    <row r="23" spans="1:7" s="17" customFormat="1">
      <c r="A23" s="1468">
        <v>1992.02</v>
      </c>
      <c r="B23" s="231">
        <v>90.459676921773635</v>
      </c>
      <c r="C23" s="235">
        <v>103.99011707390737</v>
      </c>
      <c r="D23" s="3679">
        <v>75.032110070294124</v>
      </c>
      <c r="E23" s="3679">
        <v>57.847636076586745</v>
      </c>
      <c r="F23" s="232">
        <v>95.037582637883958</v>
      </c>
      <c r="G23" s="1467"/>
    </row>
    <row r="24" spans="1:7" s="17" customFormat="1">
      <c r="A24" s="1468">
        <v>1992.03</v>
      </c>
      <c r="B24" s="231">
        <v>87.315298253456859</v>
      </c>
      <c r="C24" s="235">
        <v>99.682417658420576</v>
      </c>
      <c r="D24" s="3679">
        <v>73.934810074340504</v>
      </c>
      <c r="E24" s="3679">
        <v>57.396702112120941</v>
      </c>
      <c r="F24" s="232">
        <v>91.158140394788006</v>
      </c>
      <c r="G24" s="1467"/>
    </row>
    <row r="25" spans="1:7" s="17" customFormat="1">
      <c r="A25" s="1468">
        <v>1992.04</v>
      </c>
      <c r="B25" s="231">
        <v>86.750138346119883</v>
      </c>
      <c r="C25" s="235">
        <v>98.799205866422597</v>
      </c>
      <c r="D25" s="3679">
        <v>73.02668626274189</v>
      </c>
      <c r="E25" s="3679">
        <v>55.589838737702109</v>
      </c>
      <c r="F25" s="232">
        <v>90.927263240056348</v>
      </c>
      <c r="G25" s="1467"/>
    </row>
    <row r="26" spans="1:7" s="17" customFormat="1">
      <c r="A26" s="1468">
        <v>1992.05</v>
      </c>
      <c r="B26" s="231">
        <v>87.942939835192306</v>
      </c>
      <c r="C26" s="235">
        <v>102.2301537249146</v>
      </c>
      <c r="D26" s="3679">
        <v>72.642468695000645</v>
      </c>
      <c r="E26" s="3679">
        <v>56.119039784331861</v>
      </c>
      <c r="F26" s="232">
        <v>92.278941128561044</v>
      </c>
      <c r="G26" s="1467"/>
    </row>
    <row r="27" spans="1:7" s="17" customFormat="1">
      <c r="A27" s="1468">
        <v>1992.06</v>
      </c>
      <c r="B27" s="231">
        <v>88.921813277804318</v>
      </c>
      <c r="C27" s="235">
        <v>101.39740943094468</v>
      </c>
      <c r="D27" s="3679">
        <v>72.335287234913736</v>
      </c>
      <c r="E27" s="3679">
        <v>55.937140876690293</v>
      </c>
      <c r="F27" s="232">
        <v>94.496135283885366</v>
      </c>
      <c r="G27" s="1467"/>
    </row>
    <row r="28" spans="1:7" s="17" customFormat="1">
      <c r="A28" s="1468">
        <v>1992.07</v>
      </c>
      <c r="B28" s="231">
        <v>89.690158919503773</v>
      </c>
      <c r="C28" s="235">
        <v>100.05759158039763</v>
      </c>
      <c r="D28" s="3679">
        <v>71.258201293664996</v>
      </c>
      <c r="E28" s="3679">
        <v>54.973948637694981</v>
      </c>
      <c r="F28" s="232">
        <v>97.879698756588738</v>
      </c>
      <c r="G28" s="1467"/>
    </row>
    <row r="29" spans="1:7" s="17" customFormat="1">
      <c r="A29" s="1468">
        <v>1992.08</v>
      </c>
      <c r="B29" s="231">
        <v>89.474952891827286</v>
      </c>
      <c r="C29" s="235">
        <v>98.406951679638766</v>
      </c>
      <c r="D29" s="3679">
        <v>70.40729461999797</v>
      </c>
      <c r="E29" s="3679">
        <v>54.338948063600263</v>
      </c>
      <c r="F29" s="232">
        <v>98.978662882689491</v>
      </c>
      <c r="G29" s="1467"/>
    </row>
    <row r="30" spans="1:7" s="17" customFormat="1">
      <c r="A30" s="1468">
        <v>1992.09</v>
      </c>
      <c r="B30" s="231">
        <v>88.401159610443798</v>
      </c>
      <c r="C30" s="235">
        <v>98.308648421402609</v>
      </c>
      <c r="D30" s="3679">
        <v>69.884690504253726</v>
      </c>
      <c r="E30" s="3679">
        <v>54.408229068290588</v>
      </c>
      <c r="F30" s="232">
        <v>96.975236270810257</v>
      </c>
      <c r="G30" s="1467"/>
    </row>
    <row r="31" spans="1:7" s="17" customFormat="1">
      <c r="A31" s="1468">
        <v>1992.1</v>
      </c>
      <c r="B31" s="231">
        <v>85.448844082148653</v>
      </c>
      <c r="C31" s="235">
        <v>97.260665740129383</v>
      </c>
      <c r="D31" s="3679">
        <v>69.255276948739976</v>
      </c>
      <c r="E31" s="3679">
        <v>53.692441993676084</v>
      </c>
      <c r="F31" s="232">
        <v>92.132759139784568</v>
      </c>
      <c r="G31" s="1467"/>
    </row>
    <row r="32" spans="1:7" s="17" customFormat="1">
      <c r="A32" s="1468">
        <v>1992.11</v>
      </c>
      <c r="B32" s="231">
        <v>81.934165654480921</v>
      </c>
      <c r="C32" s="235">
        <v>94.605213067644527</v>
      </c>
      <c r="D32" s="3679">
        <v>69.034786989737555</v>
      </c>
      <c r="E32" s="3679">
        <v>51.905943585801197</v>
      </c>
      <c r="F32" s="232">
        <v>86.214033369124252</v>
      </c>
      <c r="G32" s="1467"/>
    </row>
    <row r="33" spans="1:7" s="17" customFormat="1">
      <c r="A33" s="1468">
        <v>1992.12</v>
      </c>
      <c r="B33" s="231">
        <v>81.947764974333197</v>
      </c>
      <c r="C33" s="235">
        <v>95.795075488077828</v>
      </c>
      <c r="D33" s="3679">
        <v>68.791022520266409</v>
      </c>
      <c r="E33" s="3679">
        <v>49.855574704666296</v>
      </c>
      <c r="F33" s="232">
        <v>85.786710189229055</v>
      </c>
      <c r="G33" s="1467"/>
    </row>
    <row r="34" spans="1:7" s="17" customFormat="1">
      <c r="A34" s="1468">
        <v>1993.01</v>
      </c>
      <c r="B34" s="231">
        <v>81.450239084730768</v>
      </c>
      <c r="C34" s="235">
        <v>99.110613046003294</v>
      </c>
      <c r="D34" s="3679">
        <v>69.113118125741025</v>
      </c>
      <c r="E34" s="3679">
        <v>50.695551628462958</v>
      </c>
      <c r="F34" s="232">
        <v>84.125018741870619</v>
      </c>
      <c r="G34" s="1467"/>
    </row>
    <row r="35" spans="1:7" s="17" customFormat="1">
      <c r="A35" s="1468">
        <v>1993.02</v>
      </c>
      <c r="B35" s="231">
        <v>80.002767294916879</v>
      </c>
      <c r="C35" s="235">
        <v>96.721634686208503</v>
      </c>
      <c r="D35" s="3679">
        <v>68.852520819016149</v>
      </c>
      <c r="E35" s="3679">
        <v>53.768946840168049</v>
      </c>
      <c r="F35" s="232">
        <v>82.134824943406002</v>
      </c>
      <c r="G35" s="1467"/>
    </row>
    <row r="36" spans="1:7" s="17" customFormat="1">
      <c r="A36" s="1468">
        <v>1993.03</v>
      </c>
      <c r="B36" s="231">
        <v>79.96015203446342</v>
      </c>
      <c r="C36" s="235">
        <v>97.110316407925609</v>
      </c>
      <c r="D36" s="3679">
        <v>68.577490861795511</v>
      </c>
      <c r="E36" s="3679">
        <v>54.62073958057686</v>
      </c>
      <c r="F36" s="232">
        <v>81.175146410816041</v>
      </c>
      <c r="G36" s="1467"/>
    </row>
    <row r="37" spans="1:7" s="17" customFormat="1">
      <c r="A37" s="1468">
        <v>1993.04</v>
      </c>
      <c r="B37" s="231">
        <v>80.827985563558414</v>
      </c>
      <c r="C37" s="235">
        <v>96.068793189290759</v>
      </c>
      <c r="D37" s="3679">
        <v>68.057087174442671</v>
      </c>
      <c r="E37" s="3679">
        <v>54.307093126058419</v>
      </c>
      <c r="F37" s="232">
        <v>83.19151327427447</v>
      </c>
      <c r="G37" s="1467"/>
    </row>
    <row r="38" spans="1:7" s="17" customFormat="1">
      <c r="A38" s="1468">
        <v>1993.05</v>
      </c>
      <c r="B38" s="231">
        <v>79.824848029352879</v>
      </c>
      <c r="C38" s="235">
        <v>93.894670091193447</v>
      </c>
      <c r="D38" s="3679">
        <v>67.285948530183731</v>
      </c>
      <c r="E38" s="3679">
        <v>54.685649730029134</v>
      </c>
      <c r="F38" s="232">
        <v>82.114064773205357</v>
      </c>
      <c r="G38" s="1467"/>
    </row>
    <row r="39" spans="1:7" s="17" customFormat="1">
      <c r="A39" s="1468">
        <v>1993.06</v>
      </c>
      <c r="B39" s="231">
        <v>78.649465071737779</v>
      </c>
      <c r="C39" s="235">
        <v>93.385088850558077</v>
      </c>
      <c r="D39" s="3679">
        <v>66.898102044327956</v>
      </c>
      <c r="E39" s="3679">
        <v>54.605879936880058</v>
      </c>
      <c r="F39" s="232">
        <v>79.526306339023279</v>
      </c>
      <c r="G39" s="1467"/>
    </row>
    <row r="40" spans="1:7" s="17" customFormat="1">
      <c r="A40" s="1468">
        <v>1993.07</v>
      </c>
      <c r="B40" s="231">
        <v>77.296835769639173</v>
      </c>
      <c r="C40" s="235">
        <v>93.20598703541188</v>
      </c>
      <c r="D40" s="3679">
        <v>66.683555275208505</v>
      </c>
      <c r="E40" s="3679">
        <v>54.325109795336814</v>
      </c>
      <c r="F40" s="232">
        <v>76.02544052608522</v>
      </c>
      <c r="G40" s="1467"/>
    </row>
    <row r="41" spans="1:7" s="17" customFormat="1">
      <c r="A41" s="1468">
        <v>1993.08</v>
      </c>
      <c r="B41" s="231">
        <v>77.722885224756439</v>
      </c>
      <c r="C41" s="235">
        <v>94.075024015068294</v>
      </c>
      <c r="D41" s="3679">
        <v>66.857606757528487</v>
      </c>
      <c r="E41" s="3679">
        <v>55.015230651067867</v>
      </c>
      <c r="F41" s="232">
        <v>75.835750354664299</v>
      </c>
      <c r="G41" s="1467"/>
    </row>
    <row r="42" spans="1:7" s="17" customFormat="1">
      <c r="A42" s="1468">
        <v>1993.09</v>
      </c>
      <c r="B42" s="231">
        <v>78.555340518400953</v>
      </c>
      <c r="C42" s="235">
        <v>94.239681586419437</v>
      </c>
      <c r="D42" s="3679">
        <v>66.515014981249749</v>
      </c>
      <c r="E42" s="3679">
        <v>55.908660227543038</v>
      </c>
      <c r="F42" s="232">
        <v>78.571289501255279</v>
      </c>
      <c r="G42" s="1467"/>
    </row>
    <row r="43" spans="1:7" s="17" customFormat="1">
      <c r="A43" s="1468">
        <v>1993.1</v>
      </c>
      <c r="B43" s="231">
        <v>77.483503182727432</v>
      </c>
      <c r="C43" s="235">
        <v>92.257555522994579</v>
      </c>
      <c r="D43" s="3679">
        <v>66.348210382533566</v>
      </c>
      <c r="E43" s="3679">
        <v>55.534027140541028</v>
      </c>
      <c r="F43" s="232">
        <v>77.186478480366389</v>
      </c>
      <c r="G43" s="1467"/>
    </row>
    <row r="44" spans="1:7" s="17" customFormat="1">
      <c r="A44" s="1468">
        <v>1993.11</v>
      </c>
      <c r="B44" s="231">
        <v>76.507025832389957</v>
      </c>
      <c r="C44" s="235">
        <v>91.802655893976308</v>
      </c>
      <c r="D44" s="3679">
        <v>66.355815170668322</v>
      </c>
      <c r="E44" s="3679">
        <v>54.598571494911901</v>
      </c>
      <c r="F44" s="232">
        <v>74.689431690054192</v>
      </c>
      <c r="G44" s="1467"/>
    </row>
    <row r="45" spans="1:7" s="17" customFormat="1">
      <c r="A45" s="1468">
        <v>1993.12</v>
      </c>
      <c r="B45" s="231">
        <v>76.689984377104651</v>
      </c>
      <c r="C45" s="235">
        <v>92.527714489858923</v>
      </c>
      <c r="D45" s="3679">
        <v>66.364511514300233</v>
      </c>
      <c r="E45" s="3679">
        <v>54.507321171968719</v>
      </c>
      <c r="F45" s="232">
        <v>74.587222108735745</v>
      </c>
      <c r="G45" s="1467"/>
    </row>
    <row r="46" spans="1:7" s="17" customFormat="1">
      <c r="A46" s="1468">
        <v>1994.01</v>
      </c>
      <c r="B46" s="231">
        <v>75.541517478414036</v>
      </c>
      <c r="C46" s="235">
        <v>93.396423608020385</v>
      </c>
      <c r="D46" s="3679">
        <v>66.479668925363455</v>
      </c>
      <c r="E46" s="3679">
        <v>37.561848146271309</v>
      </c>
      <c r="F46" s="232">
        <v>73.695534734327552</v>
      </c>
      <c r="G46" s="1467"/>
    </row>
    <row r="47" spans="1:7" s="17" customFormat="1">
      <c r="A47" s="1468">
        <v>1994.02</v>
      </c>
      <c r="B47" s="231">
        <v>76.070039199987761</v>
      </c>
      <c r="C47" s="235">
        <v>92.966804453846095</v>
      </c>
      <c r="D47" s="3679">
        <v>66.70940319305555</v>
      </c>
      <c r="E47" s="3679">
        <v>40.907174028782514</v>
      </c>
      <c r="F47" s="232">
        <v>74.61438495348952</v>
      </c>
      <c r="G47" s="1467"/>
    </row>
    <row r="48" spans="1:7" s="17" customFormat="1">
      <c r="A48" s="1468">
        <v>1994.03</v>
      </c>
      <c r="B48" s="231">
        <v>77.123683344709761</v>
      </c>
      <c r="C48" s="235">
        <v>95.082677642735078</v>
      </c>
      <c r="D48" s="3679">
        <v>66.84358107464935</v>
      </c>
      <c r="E48" s="3679">
        <v>41.546590112110984</v>
      </c>
      <c r="F48" s="232">
        <v>76.254325877904776</v>
      </c>
      <c r="G48" s="1467"/>
    </row>
    <row r="49" spans="1:7" s="17" customFormat="1">
      <c r="A49" s="1468">
        <v>1994.04</v>
      </c>
      <c r="B49" s="231">
        <v>76.848915719202694</v>
      </c>
      <c r="C49" s="235">
        <v>93.690869109685607</v>
      </c>
      <c r="D49" s="3679">
        <v>66.771879517837732</v>
      </c>
      <c r="E49" s="3679">
        <v>41.851175279313615</v>
      </c>
      <c r="F49" s="232">
        <v>76.220350268285344</v>
      </c>
      <c r="G49" s="1467"/>
    </row>
    <row r="50" spans="1:7" s="17" customFormat="1">
      <c r="A50" s="1468">
        <v>1994.05</v>
      </c>
      <c r="B50" s="231">
        <v>77.623683910245546</v>
      </c>
      <c r="C50" s="235">
        <v>94.030249681681937</v>
      </c>
      <c r="D50" s="3679">
        <v>66.586371539496341</v>
      </c>
      <c r="E50" s="3679">
        <v>42.604172026147005</v>
      </c>
      <c r="F50" s="232">
        <v>77.842270376749426</v>
      </c>
      <c r="G50" s="1467"/>
    </row>
    <row r="51" spans="1:7" s="17" customFormat="1">
      <c r="A51" s="1468">
        <v>1994.06</v>
      </c>
      <c r="B51" s="231">
        <v>78.272918788431809</v>
      </c>
      <c r="C51" s="235">
        <v>95.597560116655444</v>
      </c>
      <c r="D51" s="3679">
        <v>66.554505483446135</v>
      </c>
      <c r="E51" s="3679">
        <v>43.192985859676071</v>
      </c>
      <c r="F51" s="232">
        <v>78.812795908709546</v>
      </c>
      <c r="G51" s="1467"/>
    </row>
    <row r="52" spans="1:7" s="17" customFormat="1">
      <c r="A52" s="1468">
        <v>1994.07</v>
      </c>
      <c r="B52" s="231">
        <v>78.25058225653693</v>
      </c>
      <c r="C52" s="235">
        <v>91.157996978097245</v>
      </c>
      <c r="D52" s="3679">
        <v>66.123908095225502</v>
      </c>
      <c r="E52" s="3679">
        <v>44.072339085263508</v>
      </c>
      <c r="F52" s="232">
        <v>80.989665920334204</v>
      </c>
      <c r="G52" s="1467"/>
    </row>
    <row r="53" spans="1:7" s="17" customFormat="1">
      <c r="A53" s="1468">
        <v>1994.08</v>
      </c>
      <c r="B53" s="231">
        <v>79.408928503117295</v>
      </c>
      <c r="C53" s="235">
        <v>95.579905480720413</v>
      </c>
      <c r="D53" s="3679">
        <v>66.254575153721532</v>
      </c>
      <c r="E53" s="3679">
        <v>44.913026928900443</v>
      </c>
      <c r="F53" s="232">
        <v>81.057960593770716</v>
      </c>
      <c r="G53" s="1467"/>
    </row>
    <row r="54" spans="1:7" s="17" customFormat="1">
      <c r="A54" s="1468">
        <v>1994.09</v>
      </c>
      <c r="B54" s="231">
        <v>80.404300349115175</v>
      </c>
      <c r="C54" s="235">
        <v>100.18902732420564</v>
      </c>
      <c r="D54" s="3679">
        <v>65.980871495951718</v>
      </c>
      <c r="E54" s="3679">
        <v>46.089171860102859</v>
      </c>
      <c r="F54" s="232">
        <v>81.440565744741534</v>
      </c>
      <c r="G54" s="1467"/>
    </row>
    <row r="55" spans="1:7" s="17" customFormat="1">
      <c r="A55" s="1468">
        <v>1994.1</v>
      </c>
      <c r="B55" s="231">
        <v>82.04726522136059</v>
      </c>
      <c r="C55" s="235">
        <v>104.78688165352588</v>
      </c>
      <c r="D55" s="3679">
        <v>65.814140280012708</v>
      </c>
      <c r="E55" s="3679">
        <v>46.849644596809341</v>
      </c>
      <c r="F55" s="232">
        <v>82.750813701987539</v>
      </c>
      <c r="G55" s="1467"/>
    </row>
    <row r="56" spans="1:7" s="17" customFormat="1">
      <c r="A56" s="1468">
        <v>1994.11</v>
      </c>
      <c r="B56" s="231">
        <v>82.081901728230363</v>
      </c>
      <c r="C56" s="235">
        <v>108.03250922213354</v>
      </c>
      <c r="D56" s="3679">
        <v>65.753499613795967</v>
      </c>
      <c r="E56" s="3679">
        <v>47.543711839019622</v>
      </c>
      <c r="F56" s="232">
        <v>81.490439633680083</v>
      </c>
      <c r="G56" s="1467"/>
    </row>
    <row r="57" spans="1:7" s="17" customFormat="1">
      <c r="A57" s="1468">
        <v>1994.12</v>
      </c>
      <c r="B57" s="231">
        <v>81.197585220616119</v>
      </c>
      <c r="C57" s="235">
        <v>108.53593496799104</v>
      </c>
      <c r="D57" s="3679">
        <v>65.610847422571041</v>
      </c>
      <c r="E57" s="3679">
        <v>48.546339397944259</v>
      </c>
      <c r="F57" s="232">
        <v>79.5418626888913</v>
      </c>
      <c r="G57" s="1467"/>
    </row>
    <row r="58" spans="1:7" s="17" customFormat="1">
      <c r="A58" s="1468">
        <v>1995.01</v>
      </c>
      <c r="B58" s="231">
        <v>81.089680833584325</v>
      </c>
      <c r="C58" s="235">
        <v>109.20776972382978</v>
      </c>
      <c r="D58" s="3679">
        <v>64.932890819800519</v>
      </c>
      <c r="E58" s="3679">
        <v>48.652132858631362</v>
      </c>
      <c r="F58" s="232">
        <v>80.328181082961336</v>
      </c>
      <c r="G58" s="1467"/>
    </row>
    <row r="59" spans="1:7" s="17" customFormat="1">
      <c r="A59" s="1468">
        <v>1995.02</v>
      </c>
      <c r="B59" s="231">
        <v>82.156595052967404</v>
      </c>
      <c r="C59" s="235">
        <v>111.44616215740548</v>
      </c>
      <c r="D59" s="3679">
        <v>65.390029200936738</v>
      </c>
      <c r="E59" s="3679">
        <v>50.003032319641754</v>
      </c>
      <c r="F59" s="232">
        <v>82.095309124103139</v>
      </c>
      <c r="G59" s="1467"/>
    </row>
    <row r="60" spans="1:7" s="17" customFormat="1">
      <c r="A60" s="1468">
        <v>1995.03</v>
      </c>
      <c r="B60" s="231">
        <v>83.566716541395635</v>
      </c>
      <c r="C60" s="235">
        <v>107.48551459845481</v>
      </c>
      <c r="D60" s="3679">
        <v>65.902805355776636</v>
      </c>
      <c r="E60" s="3679">
        <v>50.396661119233499</v>
      </c>
      <c r="F60" s="232">
        <v>86.284975079245456</v>
      </c>
      <c r="G60" s="1467"/>
    </row>
    <row r="61" spans="1:7" s="17" customFormat="1">
      <c r="A61" s="1468">
        <v>1995.04</v>
      </c>
      <c r="B61" s="231">
        <v>84.738499015876656</v>
      </c>
      <c r="C61" s="235">
        <v>107.35957504491122</v>
      </c>
      <c r="D61" s="3679">
        <v>65.819424848253746</v>
      </c>
      <c r="E61" s="3679">
        <v>50.170910465022963</v>
      </c>
      <c r="F61" s="232">
        <v>87.493055536366029</v>
      </c>
      <c r="G61" s="1467"/>
    </row>
    <row r="62" spans="1:7" s="17" customFormat="1">
      <c r="A62" s="1468">
        <v>1995.05</v>
      </c>
      <c r="B62" s="231">
        <v>85.349917106956937</v>
      </c>
      <c r="C62" s="235">
        <v>111.50030895019734</v>
      </c>
      <c r="D62" s="3679">
        <v>65.935545317917359</v>
      </c>
      <c r="E62" s="3679">
        <v>51.449693489403579</v>
      </c>
      <c r="F62" s="232">
        <v>86.404125469071218</v>
      </c>
      <c r="G62" s="1467"/>
    </row>
    <row r="63" spans="1:7" s="17" customFormat="1">
      <c r="A63" s="1468">
        <v>1995.06</v>
      </c>
      <c r="B63" s="231">
        <v>86.099001527230129</v>
      </c>
      <c r="C63" s="235">
        <v>112.10704991831409</v>
      </c>
      <c r="D63" s="3679">
        <v>66.20185557447931</v>
      </c>
      <c r="E63" s="3679">
        <v>52.285530979924111</v>
      </c>
      <c r="F63" s="232">
        <v>87.820818819117719</v>
      </c>
      <c r="G63" s="1467"/>
    </row>
    <row r="64" spans="1:7" s="17" customFormat="1">
      <c r="A64" s="1468">
        <v>1995.07</v>
      </c>
      <c r="B64" s="231">
        <v>86.131133011387206</v>
      </c>
      <c r="C64" s="235">
        <v>112.51598899136059</v>
      </c>
      <c r="D64" s="3679">
        <v>65.934382510754389</v>
      </c>
      <c r="E64" s="3679">
        <v>52.251906560121711</v>
      </c>
      <c r="F64" s="232">
        <v>88.438564263384592</v>
      </c>
      <c r="G64" s="1467"/>
    </row>
    <row r="65" spans="1:7" s="17" customFormat="1">
      <c r="A65" s="1468">
        <v>1995.08</v>
      </c>
      <c r="B65" s="231">
        <v>84.923690619091431</v>
      </c>
      <c r="C65" s="235">
        <v>112.32265830239231</v>
      </c>
      <c r="D65" s="3679">
        <v>66.267863518184299</v>
      </c>
      <c r="E65" s="3679">
        <v>52.778387224644483</v>
      </c>
      <c r="F65" s="232">
        <v>86.201619473287266</v>
      </c>
      <c r="G65" s="1467"/>
    </row>
    <row r="66" spans="1:7" s="17" customFormat="1">
      <c r="A66" s="1468">
        <v>1995.09</v>
      </c>
      <c r="B66" s="231">
        <v>84.30432278040962</v>
      </c>
      <c r="C66" s="235">
        <v>111.97116839094524</v>
      </c>
      <c r="D66" s="3679">
        <v>66.28893516103804</v>
      </c>
      <c r="E66" s="3679">
        <v>53.004507395437074</v>
      </c>
      <c r="F66" s="232">
        <v>85.195116884872746</v>
      </c>
      <c r="G66" s="1467"/>
    </row>
    <row r="67" spans="1:7" s="17" customFormat="1">
      <c r="A67" s="1468">
        <v>1995.1</v>
      </c>
      <c r="B67" s="231">
        <v>84.938983748296167</v>
      </c>
      <c r="C67" s="235">
        <v>112.19729380447129</v>
      </c>
      <c r="D67" s="3679">
        <v>66.279916165237083</v>
      </c>
      <c r="E67" s="3679">
        <v>53.258652845378883</v>
      </c>
      <c r="F67" s="232">
        <v>87.141120376468479</v>
      </c>
      <c r="G67" s="1467"/>
    </row>
    <row r="68" spans="1:7" s="17" customFormat="1">
      <c r="A68" s="1468">
        <v>1995.11</v>
      </c>
      <c r="B68" s="231">
        <v>85.086937431204177</v>
      </c>
      <c r="C68" s="235">
        <v>113.66978867226229</v>
      </c>
      <c r="D68" s="3679">
        <v>66.388442648629791</v>
      </c>
      <c r="E68" s="3679">
        <v>53.753755394290522</v>
      </c>
      <c r="F68" s="232">
        <v>87.619996182112075</v>
      </c>
      <c r="G68" s="1467"/>
    </row>
    <row r="69" spans="1:7" s="17" customFormat="1">
      <c r="A69" s="1468">
        <v>1995.12</v>
      </c>
      <c r="B69" s="231">
        <v>84.895695217984837</v>
      </c>
      <c r="C69" s="235">
        <v>114.77099894724243</v>
      </c>
      <c r="D69" s="3679">
        <v>66.2780502907992</v>
      </c>
      <c r="E69" s="3679">
        <v>54.010293585621334</v>
      </c>
      <c r="F69" s="232">
        <v>86.666468315369571</v>
      </c>
      <c r="G69" s="1467"/>
    </row>
    <row r="70" spans="1:7">
      <c r="A70" s="1468">
        <v>1996.01</v>
      </c>
      <c r="B70" s="231">
        <v>83.80559759883721</v>
      </c>
      <c r="C70" s="235">
        <v>115.17604346290143</v>
      </c>
      <c r="D70" s="3679">
        <v>66.467409550916102</v>
      </c>
      <c r="E70" s="3679">
        <v>54.084994405101803</v>
      </c>
      <c r="F70" s="232">
        <v>85.736433571688053</v>
      </c>
      <c r="G70" s="1469"/>
    </row>
    <row r="71" spans="1:7">
      <c r="A71" s="1468">
        <v>1996.02</v>
      </c>
      <c r="B71" s="231">
        <v>84.789621404476236</v>
      </c>
      <c r="C71" s="235">
        <v>115.94620910368349</v>
      </c>
      <c r="D71" s="3679">
        <v>66.900022130042984</v>
      </c>
      <c r="E71" s="3679">
        <v>54.762560918420611</v>
      </c>
      <c r="F71" s="232">
        <v>86.140529849510585</v>
      </c>
      <c r="G71" s="1469"/>
    </row>
    <row r="72" spans="1:7">
      <c r="A72" s="1468">
        <v>1996.03</v>
      </c>
      <c r="B72" s="231">
        <v>85.326546715038802</v>
      </c>
      <c r="C72" s="235">
        <v>116.40987954116771</v>
      </c>
      <c r="D72" s="3679">
        <v>67.610325130917772</v>
      </c>
      <c r="E72" s="3679">
        <v>55.401914540572996</v>
      </c>
      <c r="F72" s="232">
        <v>86.525683951787272</v>
      </c>
      <c r="G72" s="1469"/>
    </row>
    <row r="73" spans="1:7">
      <c r="A73" s="1468">
        <v>1996.04</v>
      </c>
      <c r="B73" s="231">
        <v>85.011069216637651</v>
      </c>
      <c r="C73" s="235">
        <v>117.41048149401163</v>
      </c>
      <c r="D73" s="3679">
        <v>67.869780818150076</v>
      </c>
      <c r="E73" s="3679">
        <v>55.614068956644374</v>
      </c>
      <c r="F73" s="232">
        <v>85.46276236974667</v>
      </c>
      <c r="G73" s="1469"/>
    </row>
    <row r="74" spans="1:7">
      <c r="A74" s="1468">
        <v>1996.05</v>
      </c>
      <c r="B74" s="231">
        <v>85.270188957475014</v>
      </c>
      <c r="C74" s="235">
        <v>118.24287922652829</v>
      </c>
      <c r="D74" s="3679">
        <v>68.060778742449656</v>
      </c>
      <c r="E74" s="3679">
        <v>56.637041697039635</v>
      </c>
      <c r="F74" s="232">
        <v>84.543448567839476</v>
      </c>
      <c r="G74" s="1469"/>
    </row>
    <row r="75" spans="1:7">
      <c r="A75" s="1468">
        <v>1996.06</v>
      </c>
      <c r="B75" s="231">
        <v>85.481685069532062</v>
      </c>
      <c r="C75" s="235">
        <v>118.93237161824867</v>
      </c>
      <c r="D75" s="3679">
        <v>68.102469459863002</v>
      </c>
      <c r="E75" s="3679">
        <v>57.026049617143002</v>
      </c>
      <c r="F75" s="232">
        <v>84.819310593921685</v>
      </c>
      <c r="G75" s="1469"/>
    </row>
    <row r="76" spans="1:7">
      <c r="A76" s="1468">
        <v>1996.07</v>
      </c>
      <c r="B76" s="231">
        <v>85.915435874792038</v>
      </c>
      <c r="C76" s="235">
        <v>118.88592473682873</v>
      </c>
      <c r="D76" s="3679">
        <v>67.864863128184055</v>
      </c>
      <c r="E76" s="3679">
        <v>56.784337009072367</v>
      </c>
      <c r="F76" s="232">
        <v>85.686232513643375</v>
      </c>
      <c r="G76" s="1469"/>
    </row>
    <row r="77" spans="1:7">
      <c r="A77" s="1468">
        <v>1996.08</v>
      </c>
      <c r="B77" s="231">
        <v>86.015885367075256</v>
      </c>
      <c r="C77" s="235">
        <v>118.77968996271575</v>
      </c>
      <c r="D77" s="3679">
        <v>68.047267629378865</v>
      </c>
      <c r="E77" s="3679">
        <v>57.0416773395837</v>
      </c>
      <c r="F77" s="232">
        <v>86.632261101992412</v>
      </c>
      <c r="G77" s="1469"/>
    </row>
    <row r="78" spans="1:7">
      <c r="A78" s="1468">
        <v>1996.09</v>
      </c>
      <c r="B78" s="231">
        <v>85.174086071855243</v>
      </c>
      <c r="C78" s="235">
        <v>118.02045009391459</v>
      </c>
      <c r="D78" s="3679">
        <v>68.139844558665061</v>
      </c>
      <c r="E78" s="3679">
        <v>57.22911172755645</v>
      </c>
      <c r="F78" s="232">
        <v>85.583745036491663</v>
      </c>
      <c r="G78" s="1469"/>
    </row>
    <row r="79" spans="1:7">
      <c r="A79" s="1468">
        <v>1996.1</v>
      </c>
      <c r="B79" s="231">
        <v>84.878784934578761</v>
      </c>
      <c r="C79" s="235">
        <v>117.18089481507867</v>
      </c>
      <c r="D79" s="3679">
        <v>68.012915244535805</v>
      </c>
      <c r="E79" s="3679">
        <v>57.04687326396617</v>
      </c>
      <c r="F79" s="232">
        <v>84.301921426322934</v>
      </c>
      <c r="G79" s="1469"/>
    </row>
    <row r="80" spans="1:7">
      <c r="A80" s="1468">
        <v>1996.11</v>
      </c>
      <c r="B80" s="231">
        <v>84.710942922900912</v>
      </c>
      <c r="C80" s="235">
        <v>117.13573758070169</v>
      </c>
      <c r="D80" s="3679">
        <v>68.247810009745052</v>
      </c>
      <c r="E80" s="3679">
        <v>57.275298410170244</v>
      </c>
      <c r="F80" s="232">
        <v>85.315582382995402</v>
      </c>
      <c r="G80" s="1469"/>
    </row>
    <row r="81" spans="1:9" ht="13.5" thickBot="1">
      <c r="A81" s="1468">
        <v>1996.12</v>
      </c>
      <c r="B81" s="231">
        <v>84.629028660022698</v>
      </c>
      <c r="C81" s="235">
        <v>117.17213484178987</v>
      </c>
      <c r="D81" s="3679">
        <v>68.442924967301238</v>
      </c>
      <c r="E81" s="3679">
        <v>57.662408921587186</v>
      </c>
      <c r="F81" s="232">
        <v>83.77982996956483</v>
      </c>
      <c r="G81" s="1469"/>
      <c r="H81" s="1470"/>
      <c r="I81" s="1470"/>
    </row>
    <row r="82" spans="1:9">
      <c r="A82" s="1468">
        <v>1997.01</v>
      </c>
      <c r="B82" s="173">
        <v>85.383664898648618</v>
      </c>
      <c r="C82" s="672">
        <v>120.29376659855224</v>
      </c>
      <c r="D82" s="675">
        <v>70.202916882579785</v>
      </c>
      <c r="E82" s="675">
        <v>58.82225251443792</v>
      </c>
      <c r="F82" s="233">
        <v>85.778839506847206</v>
      </c>
      <c r="G82" s="1469"/>
      <c r="H82" s="1471"/>
      <c r="I82" s="1472"/>
    </row>
    <row r="83" spans="1:9">
      <c r="A83" s="1468">
        <v>1997.02</v>
      </c>
      <c r="B83" s="324">
        <v>84.041747508165287</v>
      </c>
      <c r="C83" s="325">
        <v>120.04762927622339</v>
      </c>
      <c r="D83" s="3680">
        <v>70.064503321015209</v>
      </c>
      <c r="E83" s="3680">
        <v>59.841290110803129</v>
      </c>
      <c r="F83" s="326">
        <v>81.596624991657919</v>
      </c>
      <c r="G83" s="1469"/>
      <c r="H83" s="1471"/>
      <c r="I83" s="1472"/>
    </row>
    <row r="84" spans="1:9">
      <c r="A84" s="1468">
        <v>1997.03</v>
      </c>
      <c r="B84" s="324">
        <v>83.801701561108331</v>
      </c>
      <c r="C84" s="325">
        <v>119.82477122809016</v>
      </c>
      <c r="D84" s="3680">
        <v>70.176494997567787</v>
      </c>
      <c r="E84" s="3680">
        <v>59.818303694161081</v>
      </c>
      <c r="F84" s="326">
        <v>80.64524752515976</v>
      </c>
      <c r="G84" s="1469"/>
      <c r="H84" s="1471"/>
      <c r="I84" s="1472"/>
    </row>
    <row r="85" spans="1:9">
      <c r="A85" s="1468">
        <v>1997.04</v>
      </c>
      <c r="B85" s="324">
        <v>84.058682654334604</v>
      </c>
      <c r="C85" s="325">
        <v>120.70659777256759</v>
      </c>
      <c r="D85" s="3680">
        <v>70.509440527144122</v>
      </c>
      <c r="E85" s="3680">
        <v>59.656265105097717</v>
      </c>
      <c r="F85" s="326">
        <v>80.4016065971784</v>
      </c>
      <c r="G85" s="1469"/>
      <c r="H85" s="1471"/>
      <c r="I85" s="1472"/>
    </row>
    <row r="86" spans="1:9">
      <c r="A86" s="1468">
        <v>1997.05</v>
      </c>
      <c r="B86" s="324">
        <v>84.526287555861543</v>
      </c>
      <c r="C86" s="325">
        <v>120.88318608720378</v>
      </c>
      <c r="D86" s="3680">
        <v>70.698458464598531</v>
      </c>
      <c r="E86" s="3680">
        <v>60.117392616101263</v>
      </c>
      <c r="F86" s="326">
        <v>80.972139185467753</v>
      </c>
      <c r="G86" s="1469"/>
      <c r="H86" s="1471"/>
      <c r="I86" s="1472"/>
    </row>
    <row r="87" spans="1:9">
      <c r="A87" s="1468">
        <v>1997.06</v>
      </c>
      <c r="B87" s="324">
        <v>84.291032721652357</v>
      </c>
      <c r="C87" s="325">
        <v>120.62946786704167</v>
      </c>
      <c r="D87" s="3680">
        <v>70.729082446828883</v>
      </c>
      <c r="E87" s="3680">
        <v>60.018689382393696</v>
      </c>
      <c r="F87" s="326">
        <v>79.992173116519467</v>
      </c>
      <c r="G87" s="1469"/>
      <c r="H87" s="1471"/>
      <c r="I87" s="1472"/>
    </row>
    <row r="88" spans="1:9">
      <c r="A88" s="1468">
        <v>1997.07</v>
      </c>
      <c r="B88" s="324">
        <v>83.385035962160288</v>
      </c>
      <c r="C88" s="325">
        <v>120.1544481010795</v>
      </c>
      <c r="D88" s="3680">
        <v>70.677993632056243</v>
      </c>
      <c r="E88" s="3680">
        <v>60.000134325374212</v>
      </c>
      <c r="F88" s="326">
        <v>77.281208049860695</v>
      </c>
      <c r="G88" s="1469"/>
      <c r="H88" s="1471"/>
      <c r="I88" s="1472"/>
    </row>
    <row r="89" spans="1:9">
      <c r="A89" s="1468">
        <v>1997.08</v>
      </c>
      <c r="B89" s="324">
        <v>82.443648453186569</v>
      </c>
      <c r="C89" s="325">
        <v>119.21532770307623</v>
      </c>
      <c r="D89" s="3680">
        <v>70.690260271573024</v>
      </c>
      <c r="E89" s="3680">
        <v>60.5472343193968</v>
      </c>
      <c r="F89" s="326">
        <v>75.228747049220416</v>
      </c>
      <c r="G89" s="1469"/>
      <c r="H89" s="1471"/>
      <c r="I89" s="1472"/>
    </row>
    <row r="90" spans="1:9">
      <c r="A90" s="1468">
        <v>1997.09</v>
      </c>
      <c r="B90" s="324">
        <v>83.021115889422163</v>
      </c>
      <c r="C90" s="325">
        <v>118.56603238460347</v>
      </c>
      <c r="D90" s="3680">
        <v>70.846678469563386</v>
      </c>
      <c r="E90" s="3680">
        <v>60.533721122610011</v>
      </c>
      <c r="F90" s="326">
        <v>77.479689129323987</v>
      </c>
      <c r="G90" s="1469"/>
      <c r="H90" s="1471"/>
      <c r="I90" s="1472"/>
    </row>
    <row r="91" spans="1:9">
      <c r="A91" s="1468">
        <v>1997.1</v>
      </c>
      <c r="B91" s="324">
        <v>83.473335888790047</v>
      </c>
      <c r="C91" s="325">
        <v>118.21836651830064</v>
      </c>
      <c r="D91" s="3680">
        <v>71.102199417043281</v>
      </c>
      <c r="E91" s="3680">
        <v>59.452592025538294</v>
      </c>
      <c r="F91" s="326">
        <v>78.732057231062129</v>
      </c>
      <c r="G91" s="1469"/>
      <c r="H91" s="1471"/>
      <c r="I91" s="1472"/>
    </row>
    <row r="92" spans="1:9">
      <c r="A92" s="1468">
        <v>1997.11</v>
      </c>
      <c r="B92" s="324">
        <v>83.670298782161836</v>
      </c>
      <c r="C92" s="325">
        <v>117.82534711497108</v>
      </c>
      <c r="D92" s="3680">
        <v>71.361152033236337</v>
      </c>
      <c r="E92" s="3680">
        <v>58.567747663973002</v>
      </c>
      <c r="F92" s="326">
        <v>80.143789611503323</v>
      </c>
      <c r="G92" s="1469"/>
      <c r="H92" s="1471"/>
      <c r="I92" s="1472"/>
    </row>
    <row r="93" spans="1:9">
      <c r="A93" s="1468">
        <v>1997.12</v>
      </c>
      <c r="B93" s="324">
        <v>82.90654626087003</v>
      </c>
      <c r="C93" s="325">
        <v>117.64676247140558</v>
      </c>
      <c r="D93" s="3680">
        <v>71.437656426943718</v>
      </c>
      <c r="E93" s="3680">
        <v>58.478841980074854</v>
      </c>
      <c r="F93" s="326">
        <v>78.216715304862078</v>
      </c>
      <c r="G93" s="1469"/>
      <c r="H93" s="1471"/>
      <c r="I93" s="1472"/>
    </row>
    <row r="94" spans="1:9">
      <c r="A94" s="1468">
        <v>1998.01</v>
      </c>
      <c r="B94" s="324">
        <v>81.944550012536055</v>
      </c>
      <c r="C94" s="325">
        <v>117.24344895143263</v>
      </c>
      <c r="D94" s="3680">
        <v>71.215118310206435</v>
      </c>
      <c r="E94" s="3680">
        <v>58.905879470424921</v>
      </c>
      <c r="F94" s="326">
        <v>76.052219390795969</v>
      </c>
      <c r="G94" s="1469"/>
      <c r="H94" s="1471"/>
      <c r="I94" s="1472"/>
    </row>
    <row r="95" spans="1:9">
      <c r="A95" s="1468">
        <v>1998.02</v>
      </c>
      <c r="B95" s="324">
        <v>81.859609443593328</v>
      </c>
      <c r="C95" s="325">
        <v>116.520603424144</v>
      </c>
      <c r="D95" s="3680">
        <v>70.914017128514587</v>
      </c>
      <c r="E95" s="3680">
        <v>59.716017803922924</v>
      </c>
      <c r="F95" s="326">
        <v>75.920809704482835</v>
      </c>
      <c r="G95" s="1469"/>
      <c r="H95" s="1471"/>
      <c r="I95" s="1472"/>
    </row>
    <row r="96" spans="1:9">
      <c r="A96" s="1468">
        <v>1998.03</v>
      </c>
      <c r="B96" s="324">
        <v>81.307778877529628</v>
      </c>
      <c r="C96" s="325">
        <v>114.83009096741245</v>
      </c>
      <c r="D96" s="3680">
        <v>70.840998379588839</v>
      </c>
      <c r="E96" s="3680">
        <v>59.739584908499424</v>
      </c>
      <c r="F96" s="326">
        <v>75.417340971433987</v>
      </c>
      <c r="G96" s="1469"/>
      <c r="H96" s="1471"/>
      <c r="I96" s="1472"/>
    </row>
    <row r="97" spans="1:9">
      <c r="A97" s="1468">
        <v>1998.04</v>
      </c>
      <c r="B97" s="324">
        <v>81.74843965078523</v>
      </c>
      <c r="C97" s="325">
        <v>115.84935552112766</v>
      </c>
      <c r="D97" s="3680">
        <v>70.925142166416933</v>
      </c>
      <c r="E97" s="3680">
        <v>59.28909783143984</v>
      </c>
      <c r="F97" s="326">
        <v>76.062758202692208</v>
      </c>
      <c r="G97" s="1469"/>
      <c r="H97" s="1471"/>
      <c r="I97" s="1472"/>
    </row>
    <row r="98" spans="1:9">
      <c r="A98" s="1468">
        <v>1998.05</v>
      </c>
      <c r="B98" s="324">
        <v>82.240477848221289</v>
      </c>
      <c r="C98" s="325">
        <v>115.64653767675698</v>
      </c>
      <c r="D98" s="3680">
        <v>71.080376818836086</v>
      </c>
      <c r="E98" s="3680">
        <v>59.124194514851908</v>
      </c>
      <c r="F98" s="326">
        <v>77.95632926556307</v>
      </c>
      <c r="G98" s="1469"/>
      <c r="H98" s="1471"/>
      <c r="I98" s="1472"/>
    </row>
    <row r="99" spans="1:9">
      <c r="A99" s="1468">
        <v>1998.06</v>
      </c>
      <c r="B99" s="324">
        <v>81.768164900713785</v>
      </c>
      <c r="C99" s="325">
        <v>114.93427455116885</v>
      </c>
      <c r="D99" s="3680">
        <v>71.165064000493558</v>
      </c>
      <c r="E99" s="3680">
        <v>58.723060877840481</v>
      </c>
      <c r="F99" s="326">
        <v>77.320211065649488</v>
      </c>
      <c r="G99" s="1469"/>
      <c r="H99" s="1471"/>
      <c r="I99" s="1472"/>
    </row>
    <row r="100" spans="1:9">
      <c r="A100" s="1468">
        <v>1998.07</v>
      </c>
      <c r="B100" s="324">
        <v>81.336624687533813</v>
      </c>
      <c r="C100" s="325">
        <v>114.12515224876313</v>
      </c>
      <c r="D100" s="3680">
        <v>71.11726920668751</v>
      </c>
      <c r="E100" s="3680">
        <v>58.572589138421378</v>
      </c>
      <c r="F100" s="326">
        <v>76.845863529707884</v>
      </c>
      <c r="G100" s="1469"/>
      <c r="H100" s="1471"/>
      <c r="I100" s="1472"/>
    </row>
    <row r="101" spans="1:9">
      <c r="A101" s="1468">
        <v>1998.08</v>
      </c>
      <c r="B101" s="324">
        <v>80.937239675896265</v>
      </c>
      <c r="C101" s="325">
        <v>112.60325958769856</v>
      </c>
      <c r="D101" s="3680">
        <v>71.13189448881019</v>
      </c>
      <c r="E101" s="3680">
        <v>59.083265660882233</v>
      </c>
      <c r="F101" s="326">
        <v>77.197162635336696</v>
      </c>
      <c r="G101" s="1469"/>
      <c r="H101" s="1471"/>
      <c r="I101" s="1472"/>
    </row>
    <row r="102" spans="1:9">
      <c r="A102" s="1468">
        <v>1998.09</v>
      </c>
      <c r="B102" s="324">
        <v>81.946240525559929</v>
      </c>
      <c r="C102" s="325">
        <v>111.47293191571094</v>
      </c>
      <c r="D102" s="3680">
        <v>71.200985915569291</v>
      </c>
      <c r="E102" s="3680">
        <v>59.06588608732411</v>
      </c>
      <c r="F102" s="326">
        <v>81.166878605131203</v>
      </c>
      <c r="G102" s="1469"/>
      <c r="H102" s="1471"/>
      <c r="I102" s="1472"/>
    </row>
    <row r="103" spans="1:9">
      <c r="A103" s="1468">
        <v>1998.1</v>
      </c>
      <c r="B103" s="324">
        <v>83.085030239969413</v>
      </c>
      <c r="C103" s="325">
        <v>110.68355489172531</v>
      </c>
      <c r="D103" s="3680">
        <v>71.457727204467517</v>
      </c>
      <c r="E103" s="3680">
        <v>58.145938568075785</v>
      </c>
      <c r="F103" s="326">
        <v>84.355814672209448</v>
      </c>
      <c r="G103" s="1469"/>
      <c r="H103" s="1471"/>
      <c r="I103" s="1472"/>
    </row>
    <row r="104" spans="1:9">
      <c r="A104" s="1468">
        <v>1998.11</v>
      </c>
      <c r="B104" s="324">
        <v>82.690516250986192</v>
      </c>
      <c r="C104" s="325">
        <v>110.48245354419336</v>
      </c>
      <c r="D104" s="3680">
        <v>71.80249681121208</v>
      </c>
      <c r="E104" s="3680">
        <v>57.414687790491421</v>
      </c>
      <c r="F104" s="326">
        <v>82.314897126986793</v>
      </c>
      <c r="G104" s="1469"/>
      <c r="H104" s="1471"/>
      <c r="I104" s="1472"/>
    </row>
    <row r="105" spans="1:9">
      <c r="A105" s="1468">
        <v>1998.12</v>
      </c>
      <c r="B105" s="324">
        <v>82.815504534872503</v>
      </c>
      <c r="C105" s="325">
        <v>109.67261688453031</v>
      </c>
      <c r="D105" s="3680">
        <v>72.000283313378574</v>
      </c>
      <c r="E105" s="3680">
        <v>57.41637428971729</v>
      </c>
      <c r="F105" s="326">
        <v>83.040256643756663</v>
      </c>
      <c r="G105" s="1469"/>
      <c r="H105" s="1471"/>
      <c r="I105" s="1472"/>
    </row>
    <row r="106" spans="1:9">
      <c r="A106" s="1468">
        <v>1999.01</v>
      </c>
      <c r="B106" s="324">
        <v>78.255504667938453</v>
      </c>
      <c r="C106" s="325">
        <v>93.786745053717752</v>
      </c>
      <c r="D106" s="3680">
        <v>71.961661998792451</v>
      </c>
      <c r="E106" s="3680">
        <v>57.919854448719228</v>
      </c>
      <c r="F106" s="326">
        <v>81.901615668619371</v>
      </c>
      <c r="G106" s="1469"/>
      <c r="H106" s="1471"/>
      <c r="I106" s="1472"/>
    </row>
    <row r="107" spans="1:9">
      <c r="A107" s="1468">
        <v>1999.02</v>
      </c>
      <c r="B107" s="324">
        <v>70.306765810476023</v>
      </c>
      <c r="C107" s="325">
        <v>68.845910237023134</v>
      </c>
      <c r="D107" s="3680">
        <v>71.921288024927293</v>
      </c>
      <c r="E107" s="3680">
        <v>58.831869427251569</v>
      </c>
      <c r="F107" s="326">
        <v>79.005765014970819</v>
      </c>
      <c r="G107" s="1469"/>
      <c r="H107" s="1471"/>
      <c r="I107" s="1472"/>
    </row>
    <row r="108" spans="1:9">
      <c r="A108" s="1468">
        <v>1999.03</v>
      </c>
      <c r="B108" s="324">
        <v>70.867332107097056</v>
      </c>
      <c r="C108" s="325">
        <v>71.748420307908319</v>
      </c>
      <c r="D108" s="3680">
        <v>72.280404471234974</v>
      </c>
      <c r="E108" s="3680">
        <v>59.00168183998818</v>
      </c>
      <c r="F108" s="326">
        <v>77.441812321231311</v>
      </c>
      <c r="G108" s="1469"/>
      <c r="H108" s="1471"/>
      <c r="I108" s="1472"/>
    </row>
    <row r="109" spans="1:9">
      <c r="A109" s="1468">
        <v>1999.04</v>
      </c>
      <c r="B109" s="324">
        <v>73.692768847693529</v>
      </c>
      <c r="C109" s="325">
        <v>80.728500941961812</v>
      </c>
      <c r="D109" s="3680">
        <v>72.852461077227446</v>
      </c>
      <c r="E109" s="3680">
        <v>58.499663568233096</v>
      </c>
      <c r="F109" s="326">
        <v>76.845373437150627</v>
      </c>
      <c r="G109" s="1469"/>
      <c r="H109" s="1471"/>
      <c r="I109" s="1472"/>
    </row>
    <row r="110" spans="1:9">
      <c r="A110" s="1468">
        <v>1999.05</v>
      </c>
      <c r="B110" s="324">
        <v>74.453732271194013</v>
      </c>
      <c r="C110" s="325">
        <v>82.507807407949286</v>
      </c>
      <c r="D110" s="3680">
        <v>73.330943235041374</v>
      </c>
      <c r="E110" s="3680">
        <v>58.383570661740897</v>
      </c>
      <c r="F110" s="326">
        <v>77.130106897302852</v>
      </c>
      <c r="G110" s="1469"/>
      <c r="H110" s="1471"/>
      <c r="I110" s="1472"/>
    </row>
    <row r="111" spans="1:9">
      <c r="A111" s="1468">
        <v>1999.06</v>
      </c>
      <c r="B111" s="324">
        <v>73.186163061022597</v>
      </c>
      <c r="C111" s="325">
        <v>79.428829634548634</v>
      </c>
      <c r="D111" s="3680">
        <v>73.529951225289636</v>
      </c>
      <c r="E111" s="3680">
        <v>58.204355052541089</v>
      </c>
      <c r="F111" s="326">
        <v>75.800883063891447</v>
      </c>
      <c r="G111" s="1469"/>
      <c r="H111" s="1471"/>
      <c r="I111" s="1472"/>
    </row>
    <row r="112" spans="1:9">
      <c r="A112" s="1468">
        <v>1999.07</v>
      </c>
      <c r="B112" s="324">
        <v>72.336083413315478</v>
      </c>
      <c r="C112" s="325">
        <v>77.864393782549101</v>
      </c>
      <c r="D112" s="3680">
        <v>73.621394238572393</v>
      </c>
      <c r="E112" s="3680">
        <v>58.393498414686249</v>
      </c>
      <c r="F112" s="326">
        <v>74.816911521228619</v>
      </c>
      <c r="G112" s="1469"/>
      <c r="H112" s="1471"/>
      <c r="I112" s="1472"/>
    </row>
    <row r="113" spans="1:9">
      <c r="A113" s="1468">
        <v>1999.08</v>
      </c>
      <c r="B113" s="324">
        <v>72.317771986708038</v>
      </c>
      <c r="C113" s="325">
        <v>74.874481993553346</v>
      </c>
      <c r="D113" s="3680">
        <v>73.940307666676347</v>
      </c>
      <c r="E113" s="3680">
        <v>59.298679068535655</v>
      </c>
      <c r="F113" s="326">
        <v>76.80198473099766</v>
      </c>
      <c r="G113" s="1469"/>
      <c r="H113" s="1471"/>
      <c r="I113" s="1472"/>
    </row>
    <row r="114" spans="1:9">
      <c r="A114" s="1468">
        <v>1999.09</v>
      </c>
      <c r="B114" s="324">
        <v>72.552168427137843</v>
      </c>
      <c r="C114" s="325">
        <v>75.409821247472777</v>
      </c>
      <c r="D114" s="3680">
        <v>74.398275893029464</v>
      </c>
      <c r="E114" s="3680">
        <v>59.622795201165701</v>
      </c>
      <c r="F114" s="326">
        <v>76.316704470931882</v>
      </c>
      <c r="G114" s="1469"/>
      <c r="H114" s="1471"/>
      <c r="I114" s="1472"/>
    </row>
    <row r="115" spans="1:9">
      <c r="A115" s="1468">
        <v>1999.1</v>
      </c>
      <c r="B115" s="324">
        <v>72.473479421911776</v>
      </c>
      <c r="C115" s="325">
        <v>73.308299743371649</v>
      </c>
      <c r="D115" s="3680">
        <v>74.695385381411157</v>
      </c>
      <c r="E115" s="3680">
        <v>58.832005474154272</v>
      </c>
      <c r="F115" s="326">
        <v>77.852913272697933</v>
      </c>
      <c r="G115" s="1469"/>
      <c r="H115" s="1471"/>
      <c r="I115" s="1472"/>
    </row>
    <row r="116" spans="1:9">
      <c r="A116" s="1468">
        <v>1999.11</v>
      </c>
      <c r="B116" s="324">
        <v>72.304599970501855</v>
      </c>
      <c r="C116" s="325">
        <v>75.064497652949953</v>
      </c>
      <c r="D116" s="3680">
        <v>74.957139228159662</v>
      </c>
      <c r="E116" s="3680">
        <v>57.978784406871554</v>
      </c>
      <c r="F116" s="326">
        <v>75.359073982394705</v>
      </c>
      <c r="G116" s="1469"/>
      <c r="H116" s="1471"/>
      <c r="I116" s="1472"/>
    </row>
    <row r="117" spans="1:9">
      <c r="A117" s="1468">
        <v>1999.12</v>
      </c>
      <c r="B117" s="324">
        <v>72.803663601673037</v>
      </c>
      <c r="C117" s="325">
        <v>77.434752116114339</v>
      </c>
      <c r="D117" s="3680">
        <v>75.252822662909679</v>
      </c>
      <c r="E117" s="3680">
        <v>57.89532657610151</v>
      </c>
      <c r="F117" s="326">
        <v>74.24924965936242</v>
      </c>
      <c r="G117" s="1469"/>
      <c r="H117" s="1471"/>
      <c r="I117" s="1472"/>
    </row>
    <row r="118" spans="1:9">
      <c r="A118" s="1468">
        <v>2000.01</v>
      </c>
      <c r="B118" s="324">
        <v>73.553449315509297</v>
      </c>
      <c r="C118" s="325">
        <v>80.368879311050733</v>
      </c>
      <c r="D118" s="3680">
        <v>75.149939911900944</v>
      </c>
      <c r="E118" s="3680">
        <v>58.526821076724843</v>
      </c>
      <c r="F118" s="326">
        <v>74.112651235746071</v>
      </c>
      <c r="G118" s="1469"/>
      <c r="H118" s="1471"/>
      <c r="I118" s="1472"/>
    </row>
    <row r="119" spans="1:9">
      <c r="A119" s="1468">
        <v>2000.02</v>
      </c>
      <c r="B119" s="324">
        <v>73.332872682085707</v>
      </c>
      <c r="C119" s="325">
        <v>82.317959443007666</v>
      </c>
      <c r="D119" s="3680">
        <v>75.110194430956625</v>
      </c>
      <c r="E119" s="3680">
        <v>59.802097713108964</v>
      </c>
      <c r="F119" s="326">
        <v>71.767420738309255</v>
      </c>
      <c r="G119" s="1469"/>
      <c r="H119" s="1471"/>
      <c r="I119" s="1472"/>
    </row>
    <row r="120" spans="1:9">
      <c r="A120" s="1468">
        <v>2000.03</v>
      </c>
      <c r="B120" s="324">
        <v>73.68412009993807</v>
      </c>
      <c r="C120" s="325">
        <v>83.278814523444723</v>
      </c>
      <c r="D120" s="3680">
        <v>75.693658861679609</v>
      </c>
      <c r="E120" s="3680">
        <v>59.843853062645763</v>
      </c>
      <c r="F120" s="326">
        <v>70.953361270499599</v>
      </c>
      <c r="G120" s="1469"/>
      <c r="H120" s="1471"/>
      <c r="I120" s="1472"/>
    </row>
    <row r="121" spans="1:9">
      <c r="A121" s="1468">
        <v>2000.04</v>
      </c>
      <c r="B121" s="324">
        <v>73.634999745415797</v>
      </c>
      <c r="C121" s="325">
        <v>83.268610877322871</v>
      </c>
      <c r="D121" s="3680">
        <v>76.124472481874122</v>
      </c>
      <c r="E121" s="3680">
        <v>58.982012192575702</v>
      </c>
      <c r="F121" s="326">
        <v>69.937394816767664</v>
      </c>
      <c r="G121" s="1469"/>
      <c r="H121" s="1471"/>
      <c r="I121" s="1472"/>
    </row>
    <row r="122" spans="1:9">
      <c r="A122" s="1468">
        <v>2000.05</v>
      </c>
      <c r="B122" s="324">
        <v>72.685902128935041</v>
      </c>
      <c r="C122" s="325">
        <v>83.275159863703266</v>
      </c>
      <c r="D122" s="3680">
        <v>76.366755323125801</v>
      </c>
      <c r="E122" s="3680">
        <v>58.93189314212551</v>
      </c>
      <c r="F122" s="326">
        <v>67.184796116857683</v>
      </c>
      <c r="G122" s="1469"/>
      <c r="H122" s="1471"/>
      <c r="I122" s="1472"/>
    </row>
    <row r="123" spans="1:9">
      <c r="A123" s="1468">
        <v>2000.06</v>
      </c>
      <c r="B123" s="324">
        <v>73.771005793448609</v>
      </c>
      <c r="C123" s="325">
        <v>82.884418427109992</v>
      </c>
      <c r="D123" s="3680">
        <v>76.880075489151849</v>
      </c>
      <c r="E123" s="3680">
        <v>59.016117782773328</v>
      </c>
      <c r="F123" s="326">
        <v>70.793167914778664</v>
      </c>
      <c r="G123" s="1469"/>
      <c r="H123" s="1471"/>
      <c r="I123" s="1472"/>
    </row>
    <row r="124" spans="1:9">
      <c r="A124" s="1468">
        <v>2000.07</v>
      </c>
      <c r="B124" s="324">
        <v>73.57939998992282</v>
      </c>
      <c r="C124" s="325">
        <v>83.160267446538754</v>
      </c>
      <c r="D124" s="3680">
        <v>77.108508046950007</v>
      </c>
      <c r="E124" s="3680">
        <v>59.280653802970349</v>
      </c>
      <c r="F124" s="326">
        <v>70.219202334834321</v>
      </c>
      <c r="G124" s="1469"/>
      <c r="H124" s="1471"/>
      <c r="I124" s="1472"/>
    </row>
    <row r="125" spans="1:9">
      <c r="A125" s="1468">
        <v>2000.08</v>
      </c>
      <c r="B125" s="324">
        <v>73.246042185623679</v>
      </c>
      <c r="C125" s="325">
        <v>85.127942690641859</v>
      </c>
      <c r="D125" s="3680">
        <v>77.14073330339086</v>
      </c>
      <c r="E125" s="3680">
        <v>60.009717118058774</v>
      </c>
      <c r="F125" s="326">
        <v>67.555770336724976</v>
      </c>
      <c r="G125" s="1469"/>
      <c r="H125" s="1471"/>
      <c r="I125" s="1472"/>
    </row>
    <row r="126" spans="1:9">
      <c r="A126" s="1468">
        <v>2000.09</v>
      </c>
      <c r="B126" s="324">
        <v>72.406137537454839</v>
      </c>
      <c r="C126" s="325">
        <v>84.103391520958041</v>
      </c>
      <c r="D126" s="3680">
        <v>77.490460944011119</v>
      </c>
      <c r="E126" s="3680">
        <v>60.13441420391873</v>
      </c>
      <c r="F126" s="326">
        <v>65.412687482934103</v>
      </c>
      <c r="G126" s="1469"/>
      <c r="H126" s="1471"/>
      <c r="I126" s="1472"/>
    </row>
    <row r="127" spans="1:9">
      <c r="A127" s="1468">
        <v>2000.1</v>
      </c>
      <c r="B127" s="324">
        <v>71.716390237914368</v>
      </c>
      <c r="C127" s="325">
        <v>82.865505534073719</v>
      </c>
      <c r="D127" s="3680">
        <v>77.738507993506417</v>
      </c>
      <c r="E127" s="3680">
        <v>59.178310869885635</v>
      </c>
      <c r="F127" s="326">
        <v>64.160886063400412</v>
      </c>
      <c r="G127" s="1469"/>
      <c r="H127" s="1471"/>
      <c r="I127" s="1472"/>
    </row>
    <row r="128" spans="1:9">
      <c r="A128" s="1468">
        <v>2000.11</v>
      </c>
      <c r="B128" s="324">
        <v>70.965974105634658</v>
      </c>
      <c r="C128" s="325">
        <v>79.783824266349484</v>
      </c>
      <c r="D128" s="3680">
        <v>78.001964323545806</v>
      </c>
      <c r="E128" s="3680">
        <v>58.720102979835922</v>
      </c>
      <c r="F128" s="326">
        <v>64.447202414732701</v>
      </c>
      <c r="G128" s="1469"/>
      <c r="H128" s="1471"/>
      <c r="I128" s="1472"/>
    </row>
    <row r="129" spans="1:9">
      <c r="A129" s="1468">
        <v>2000.12</v>
      </c>
      <c r="B129" s="324">
        <v>72.068764552723408</v>
      </c>
      <c r="C129" s="325">
        <v>79.547914696559488</v>
      </c>
      <c r="D129" s="3680">
        <v>78.394543723928649</v>
      </c>
      <c r="E129" s="3680">
        <v>59.139368034965663</v>
      </c>
      <c r="F129" s="326">
        <v>68.036332054294093</v>
      </c>
      <c r="G129" s="1469"/>
      <c r="H129" s="1471"/>
      <c r="I129" s="1472"/>
    </row>
    <row r="130" spans="1:9">
      <c r="A130" s="1468">
        <v>2001.01</v>
      </c>
      <c r="B130" s="324">
        <v>73.36917942798442</v>
      </c>
      <c r="C130" s="325">
        <v>80.477882566658366</v>
      </c>
      <c r="D130" s="3680">
        <v>78.726614618971936</v>
      </c>
      <c r="E130" s="3680">
        <v>60.001076795623504</v>
      </c>
      <c r="F130" s="326">
        <v>71.775634859866642</v>
      </c>
      <c r="G130" s="1469"/>
      <c r="H130" s="1471"/>
      <c r="I130" s="1472"/>
    </row>
    <row r="131" spans="1:9">
      <c r="A131" s="1468">
        <v>2001.02</v>
      </c>
      <c r="B131" s="324">
        <v>72.75062649440116</v>
      </c>
      <c r="C131" s="325">
        <v>79.435857372838953</v>
      </c>
      <c r="D131" s="3680">
        <v>79.097566175845785</v>
      </c>
      <c r="E131" s="3680">
        <v>61.134165465053975</v>
      </c>
      <c r="F131" s="326">
        <v>69.993861159435497</v>
      </c>
      <c r="G131" s="1469"/>
      <c r="H131" s="1471"/>
      <c r="I131" s="1472"/>
    </row>
    <row r="132" spans="1:9">
      <c r="A132" s="1468">
        <v>2001.03</v>
      </c>
      <c r="B132" s="324">
        <v>72.289193608521742</v>
      </c>
      <c r="C132" s="325">
        <v>78.745391008201793</v>
      </c>
      <c r="D132" s="3680">
        <v>79.213931413033862</v>
      </c>
      <c r="E132" s="3680">
        <v>60.915662134129605</v>
      </c>
      <c r="F132" s="326">
        <v>69.274842099027936</v>
      </c>
      <c r="G132" s="1469"/>
      <c r="H132" s="1471"/>
      <c r="I132" s="1472"/>
    </row>
    <row r="133" spans="1:9">
      <c r="A133" s="1468">
        <v>2001.04</v>
      </c>
      <c r="B133" s="324">
        <v>70.040532562531681</v>
      </c>
      <c r="C133" s="325">
        <v>73.02705862197908</v>
      </c>
      <c r="D133" s="3680">
        <v>78.960896876142044</v>
      </c>
      <c r="E133" s="3680">
        <v>60.073606507804442</v>
      </c>
      <c r="F133" s="326">
        <v>68.196896953195974</v>
      </c>
      <c r="G133" s="1469"/>
      <c r="H133" s="1471"/>
      <c r="I133" s="1472"/>
    </row>
    <row r="134" spans="1:9">
      <c r="A134" s="1468">
        <v>2001.05</v>
      </c>
      <c r="B134" s="324">
        <v>69.381512136680229</v>
      </c>
      <c r="C134" s="325">
        <v>72.000576419211285</v>
      </c>
      <c r="D134" s="3680">
        <v>78.955633379955785</v>
      </c>
      <c r="E134" s="3680">
        <v>59.910030737027817</v>
      </c>
      <c r="F134" s="326">
        <v>66.946495981727239</v>
      </c>
      <c r="G134" s="1469"/>
      <c r="H134" s="1471"/>
      <c r="I134" s="1472"/>
    </row>
    <row r="135" spans="1:9">
      <c r="A135" s="1468">
        <v>2001.06</v>
      </c>
      <c r="B135" s="324">
        <v>68.096584491861194</v>
      </c>
      <c r="C135" s="325">
        <v>68.777477760550013</v>
      </c>
      <c r="D135" s="3680">
        <v>79.516319622282793</v>
      </c>
      <c r="E135" s="3680">
        <v>59.961263477921563</v>
      </c>
      <c r="F135" s="326">
        <v>65.652841546169469</v>
      </c>
      <c r="G135" s="1469"/>
      <c r="H135" s="1471"/>
      <c r="I135" s="1472"/>
    </row>
    <row r="136" spans="1:9">
      <c r="A136" s="1468">
        <v>2001.07</v>
      </c>
      <c r="B136" s="324">
        <v>67.91457903624179</v>
      </c>
      <c r="C136" s="325">
        <v>67.900351253285436</v>
      </c>
      <c r="D136" s="3680">
        <v>79.945072619873045</v>
      </c>
      <c r="E136" s="3680">
        <v>60.58535508696621</v>
      </c>
      <c r="F136" s="326">
        <v>66.537503138060998</v>
      </c>
      <c r="G136" s="1469"/>
      <c r="H136" s="1471"/>
      <c r="I136" s="1472"/>
    </row>
    <row r="137" spans="1:9">
      <c r="A137" s="1468">
        <v>2001.08</v>
      </c>
      <c r="B137" s="324">
        <v>68.522012601538776</v>
      </c>
      <c r="C137" s="325">
        <v>66.892833576095455</v>
      </c>
      <c r="D137" s="3680">
        <v>80.151363355972933</v>
      </c>
      <c r="E137" s="3680">
        <v>61.472919795910109</v>
      </c>
      <c r="F137" s="326">
        <v>69.854734497143511</v>
      </c>
      <c r="G137" s="1469"/>
      <c r="H137" s="1471"/>
      <c r="I137" s="1472"/>
    </row>
    <row r="138" spans="1:9">
      <c r="A138" s="1468">
        <v>2001.09</v>
      </c>
      <c r="B138" s="324">
        <v>67.500462210274335</v>
      </c>
      <c r="C138" s="325">
        <v>62.988602432211223</v>
      </c>
      <c r="D138" s="3680">
        <v>80.486371579871658</v>
      </c>
      <c r="E138" s="3680">
        <v>61.120189878748164</v>
      </c>
      <c r="F138" s="326">
        <v>70.819056130647567</v>
      </c>
      <c r="G138" s="1469"/>
      <c r="H138" s="1471"/>
      <c r="I138" s="1472"/>
    </row>
    <row r="139" spans="1:9">
      <c r="A139" s="1468">
        <v>2001.1</v>
      </c>
      <c r="B139" s="324">
        <v>66.458501693396343</v>
      </c>
      <c r="C139" s="325">
        <v>60.559818752803899</v>
      </c>
      <c r="D139" s="3680">
        <v>80.736583917949773</v>
      </c>
      <c r="E139" s="3680">
        <v>60.092854838701882</v>
      </c>
      <c r="F139" s="326">
        <v>70.71126546978833</v>
      </c>
      <c r="G139" s="1469"/>
      <c r="H139" s="1471"/>
      <c r="I139" s="1472"/>
    </row>
    <row r="140" spans="1:9">
      <c r="A140" s="1468">
        <v>2001.11</v>
      </c>
      <c r="B140" s="324">
        <v>68.100159068095152</v>
      </c>
      <c r="C140" s="325">
        <v>65.748382888979307</v>
      </c>
      <c r="D140" s="3680">
        <v>80.910934276956098</v>
      </c>
      <c r="E140" s="3680">
        <v>59.679999461393585</v>
      </c>
      <c r="F140" s="326">
        <v>69.567038659967764</v>
      </c>
      <c r="G140" s="1469"/>
      <c r="H140" s="1471"/>
      <c r="I140" s="1472"/>
    </row>
    <row r="141" spans="1:9">
      <c r="A141" s="1468">
        <v>2001.12</v>
      </c>
      <c r="B141" s="324">
        <v>69.213202545059218</v>
      </c>
      <c r="C141" s="325">
        <v>68.023479556057339</v>
      </c>
      <c r="D141" s="3680">
        <v>81.02755522357873</v>
      </c>
      <c r="E141" s="3680">
        <v>59.90066234063741</v>
      </c>
      <c r="F141" s="326">
        <v>70.400087392601236</v>
      </c>
      <c r="G141" s="1469"/>
      <c r="H141" s="1471"/>
      <c r="I141" s="1472"/>
    </row>
    <row r="142" spans="1:9">
      <c r="A142" s="1468">
        <v>2002.01</v>
      </c>
      <c r="B142" s="324">
        <v>109.99825080751177</v>
      </c>
      <c r="C142" s="325">
        <v>114.60919142318531</v>
      </c>
      <c r="D142" s="3680">
        <v>128.12264415801363</v>
      </c>
      <c r="E142" s="3680">
        <v>76.059219560285499</v>
      </c>
      <c r="F142" s="326">
        <v>109.97237533885303</v>
      </c>
      <c r="G142" s="1469"/>
      <c r="H142" s="1471"/>
      <c r="I142" s="1472"/>
    </row>
    <row r="143" spans="1:9">
      <c r="A143" s="1468">
        <v>2002.02</v>
      </c>
      <c r="B143" s="324">
        <v>134.31282006704325</v>
      </c>
      <c r="C143" s="325">
        <v>140.02134152233404</v>
      </c>
      <c r="D143" s="3680">
        <v>156.87494169998826</v>
      </c>
      <c r="E143" s="3680">
        <v>103.6595573048439</v>
      </c>
      <c r="F143" s="326">
        <v>132.04232882618717</v>
      </c>
      <c r="G143" s="1469"/>
      <c r="H143" s="1471"/>
      <c r="I143" s="1472"/>
    </row>
    <row r="144" spans="1:9">
      <c r="A144" s="1468">
        <v>2002.03</v>
      </c>
      <c r="B144" s="324">
        <v>163.99912280245917</v>
      </c>
      <c r="C144" s="325">
        <v>171.19190642528386</v>
      </c>
      <c r="D144" s="3680">
        <v>188.82894958865705</v>
      </c>
      <c r="E144" s="3680">
        <v>137.85199490068936</v>
      </c>
      <c r="F144" s="326">
        <v>160.86697461217148</v>
      </c>
      <c r="G144" s="1469"/>
      <c r="H144" s="1471"/>
      <c r="I144" s="1472"/>
    </row>
    <row r="145" spans="1:9">
      <c r="A145" s="1468">
        <v>2002.04</v>
      </c>
      <c r="B145" s="324">
        <v>182.80221880362623</v>
      </c>
      <c r="C145" s="325">
        <v>192.98037225105307</v>
      </c>
      <c r="D145" s="3680">
        <v>208.76774049999116</v>
      </c>
      <c r="E145" s="3680">
        <v>153.26208953082281</v>
      </c>
      <c r="F145" s="326">
        <v>179.99180072008664</v>
      </c>
      <c r="G145" s="1469"/>
      <c r="H145" s="1471"/>
      <c r="I145" s="1472"/>
    </row>
    <row r="146" spans="1:9">
      <c r="A146" s="1468">
        <v>2002.05</v>
      </c>
      <c r="B146" s="324">
        <v>191.1949860746565</v>
      </c>
      <c r="C146" s="325">
        <v>191.49231800387409</v>
      </c>
      <c r="D146" s="3680">
        <v>220.86503605156148</v>
      </c>
      <c r="E146" s="3680">
        <v>161.44459135112265</v>
      </c>
      <c r="F146" s="326">
        <v>197.45156631050631</v>
      </c>
      <c r="G146" s="1469"/>
      <c r="H146" s="1471"/>
      <c r="I146" s="1472"/>
    </row>
    <row r="147" spans="1:9">
      <c r="A147" s="1468">
        <v>2002.06</v>
      </c>
      <c r="B147" s="324">
        <v>198.8486857431987</v>
      </c>
      <c r="C147" s="325">
        <v>185.88256635298796</v>
      </c>
      <c r="D147" s="3680">
        <v>233.61925590597446</v>
      </c>
      <c r="E147" s="3680">
        <v>170.95370430237037</v>
      </c>
      <c r="F147" s="326">
        <v>217.48836022307981</v>
      </c>
      <c r="G147" s="1469"/>
      <c r="H147" s="1471"/>
      <c r="I147" s="1472"/>
    </row>
    <row r="148" spans="1:9">
      <c r="A148" s="1468">
        <v>2002.07</v>
      </c>
      <c r="B148" s="324">
        <v>187.74231526084813</v>
      </c>
      <c r="C148" s="325">
        <v>166.47337737870859</v>
      </c>
      <c r="D148" s="3680">
        <v>224.13785633894946</v>
      </c>
      <c r="E148" s="3680">
        <v>165.81128483319807</v>
      </c>
      <c r="F148" s="326">
        <v>216.0037569422968</v>
      </c>
      <c r="G148" s="1469"/>
      <c r="H148" s="1471"/>
      <c r="I148" s="1472"/>
    </row>
    <row r="149" spans="1:9">
      <c r="A149" s="1468">
        <v>2002.08</v>
      </c>
      <c r="B149" s="324">
        <v>179.13383659078556</v>
      </c>
      <c r="C149" s="325">
        <v>153.66965883512262</v>
      </c>
      <c r="D149" s="3680">
        <v>219.25390408636846</v>
      </c>
      <c r="E149" s="3680">
        <v>163.89758186312625</v>
      </c>
      <c r="F149" s="326">
        <v>207.84930716863727</v>
      </c>
      <c r="G149" s="1469"/>
      <c r="H149" s="1471"/>
      <c r="I149" s="1472"/>
    </row>
    <row r="150" spans="1:9">
      <c r="A150" s="1468">
        <v>2002.09</v>
      </c>
      <c r="B150" s="324">
        <v>174.03119380604309</v>
      </c>
      <c r="C150" s="325">
        <v>144.8992403658859</v>
      </c>
      <c r="D150" s="3680">
        <v>217.3845317460146</v>
      </c>
      <c r="E150" s="3680">
        <v>160.79889377523131</v>
      </c>
      <c r="F150" s="326">
        <v>206.29959128325538</v>
      </c>
      <c r="G150" s="1469"/>
      <c r="H150" s="1471"/>
      <c r="I150" s="1472"/>
    </row>
    <row r="151" spans="1:9">
      <c r="A151" s="1468">
        <v>2002.1</v>
      </c>
      <c r="B151" s="324">
        <v>167.43030292563625</v>
      </c>
      <c r="C151" s="325">
        <v>125.92335992003316</v>
      </c>
      <c r="D151" s="3680">
        <v>216.97389361927483</v>
      </c>
      <c r="E151" s="3680">
        <v>156.93314701737654</v>
      </c>
      <c r="F151" s="326">
        <v>206.65158147541126</v>
      </c>
      <c r="G151" s="1469"/>
      <c r="H151" s="1471"/>
      <c r="I151" s="1472"/>
    </row>
    <row r="152" spans="1:9">
      <c r="A152" s="1468">
        <v>2002.11</v>
      </c>
      <c r="B152" s="324">
        <v>165.94214736088355</v>
      </c>
      <c r="C152" s="325">
        <v>130.80348792040644</v>
      </c>
      <c r="D152" s="3680">
        <v>208.77447905200799</v>
      </c>
      <c r="E152" s="3680">
        <v>149.15123975867715</v>
      </c>
      <c r="F152" s="326">
        <v>202.25537997207266</v>
      </c>
      <c r="G152" s="1469"/>
      <c r="H152" s="1471"/>
      <c r="I152" s="1472"/>
    </row>
    <row r="153" spans="1:9">
      <c r="A153" s="1468">
        <v>2002.12</v>
      </c>
      <c r="B153" s="324">
        <v>165.31993223363332</v>
      </c>
      <c r="C153" s="325">
        <v>130.98548938730295</v>
      </c>
      <c r="D153" s="3680">
        <v>205.87832933727185</v>
      </c>
      <c r="E153" s="3680">
        <v>147.6435096262536</v>
      </c>
      <c r="F153" s="326">
        <v>203.24614789541533</v>
      </c>
      <c r="G153" s="1469"/>
      <c r="H153" s="1471"/>
      <c r="I153" s="1472"/>
    </row>
    <row r="154" spans="1:9">
      <c r="A154" s="1468">
        <v>2003.01</v>
      </c>
      <c r="B154" s="324">
        <v>158.16523249195933</v>
      </c>
      <c r="C154" s="325">
        <v>130.54762648960539</v>
      </c>
      <c r="D154" s="3680">
        <v>191.35683112797977</v>
      </c>
      <c r="E154" s="3680">
        <v>139.41266372232795</v>
      </c>
      <c r="F154" s="326">
        <v>196.53585095184258</v>
      </c>
      <c r="G154" s="1469"/>
      <c r="H154" s="1471"/>
      <c r="I154" s="1472"/>
    </row>
    <row r="155" spans="1:9">
      <c r="A155" s="1468">
        <v>2003.02</v>
      </c>
      <c r="B155" s="324">
        <v>151.88978490388718</v>
      </c>
      <c r="C155" s="325">
        <v>122.72565207071914</v>
      </c>
      <c r="D155" s="3680">
        <v>185.24391774171394</v>
      </c>
      <c r="E155" s="3680">
        <v>137.05414636760199</v>
      </c>
      <c r="F155" s="326">
        <v>192.61924436523958</v>
      </c>
      <c r="G155" s="1469"/>
      <c r="H155" s="1471"/>
      <c r="I155" s="1472"/>
    </row>
    <row r="156" spans="1:9">
      <c r="A156" s="1468">
        <v>2003.03</v>
      </c>
      <c r="B156" s="324">
        <v>149.25481352249011</v>
      </c>
      <c r="C156" s="325">
        <v>124.71605946696781</v>
      </c>
      <c r="D156" s="3680">
        <v>179.23912699881487</v>
      </c>
      <c r="E156" s="3680">
        <v>132.40770849642757</v>
      </c>
      <c r="F156" s="326">
        <v>186.72859783602772</v>
      </c>
      <c r="G156" s="1469"/>
      <c r="H156" s="1471"/>
      <c r="I156" s="1472"/>
    </row>
    <row r="157" spans="1:9">
      <c r="A157" s="1468">
        <v>2003.04</v>
      </c>
      <c r="B157" s="324">
        <v>145.64274460781061</v>
      </c>
      <c r="C157" s="325">
        <v>131.22995336995081</v>
      </c>
      <c r="D157" s="3680">
        <v>168.01422716370359</v>
      </c>
      <c r="E157" s="3680">
        <v>122.75937125393793</v>
      </c>
      <c r="F157" s="326">
        <v>177.100149373541</v>
      </c>
      <c r="G157" s="1469"/>
      <c r="H157" s="1471"/>
      <c r="I157" s="1472"/>
    </row>
    <row r="158" spans="1:9">
      <c r="A158" s="1468">
        <v>2003.05</v>
      </c>
      <c r="B158" s="324">
        <v>148.78971603779311</v>
      </c>
      <c r="C158" s="325">
        <v>137.42642018970912</v>
      </c>
      <c r="D158" s="3680">
        <v>164.73650321262582</v>
      </c>
      <c r="E158" s="3680">
        <v>120.14461806990533</v>
      </c>
      <c r="F158" s="326">
        <v>185.57952261746865</v>
      </c>
      <c r="G158" s="1469"/>
      <c r="H158" s="1471"/>
      <c r="I158" s="1472"/>
    </row>
    <row r="159" spans="1:9">
      <c r="A159" s="1468">
        <v>2003.06</v>
      </c>
      <c r="B159" s="324">
        <v>149.13524844798928</v>
      </c>
      <c r="C159" s="325">
        <v>139.54650362588771</v>
      </c>
      <c r="D159" s="3680">
        <v>163.39670351459478</v>
      </c>
      <c r="E159" s="3680">
        <v>118.93436466325893</v>
      </c>
      <c r="F159" s="326">
        <v>185.76545212472834</v>
      </c>
      <c r="G159" s="1469"/>
      <c r="H159" s="1471"/>
      <c r="I159" s="1472"/>
    </row>
    <row r="160" spans="1:9">
      <c r="A160" s="1468">
        <v>2003.07</v>
      </c>
      <c r="B160" s="324">
        <v>147.42016511485244</v>
      </c>
      <c r="C160" s="325">
        <v>138.97422690745745</v>
      </c>
      <c r="D160" s="3680">
        <v>162.70674124803355</v>
      </c>
      <c r="E160" s="3680">
        <v>118.7414015881194</v>
      </c>
      <c r="F160" s="326">
        <v>179.87256660919147</v>
      </c>
      <c r="G160" s="1469"/>
      <c r="H160" s="1471"/>
      <c r="I160" s="1472"/>
    </row>
    <row r="161" spans="1:9">
      <c r="A161" s="1468">
        <v>2003.08</v>
      </c>
      <c r="B161" s="324">
        <v>151.22340743908643</v>
      </c>
      <c r="C161" s="325">
        <v>139.51289453117363</v>
      </c>
      <c r="D161" s="3680">
        <v>170.41690622373739</v>
      </c>
      <c r="E161" s="3680">
        <v>125.88659302953846</v>
      </c>
      <c r="F161" s="326">
        <v>183.86952024403826</v>
      </c>
      <c r="G161" s="1469"/>
      <c r="H161" s="1471"/>
      <c r="I161" s="1472"/>
    </row>
    <row r="162" spans="1:9">
      <c r="A162" s="1468">
        <v>2003.09</v>
      </c>
      <c r="B162" s="324">
        <v>153.28210600829786</v>
      </c>
      <c r="C162" s="325">
        <v>143.65265945434288</v>
      </c>
      <c r="D162" s="3680">
        <v>170.41446607369889</v>
      </c>
      <c r="E162" s="3680">
        <v>124.85064214675748</v>
      </c>
      <c r="F162" s="326">
        <v>185.7236604451985</v>
      </c>
      <c r="G162" s="1469"/>
      <c r="H162" s="1471"/>
      <c r="I162" s="1472"/>
    </row>
    <row r="163" spans="1:9">
      <c r="A163" s="1468">
        <v>2003.1</v>
      </c>
      <c r="B163" s="324">
        <v>152.74212225476478</v>
      </c>
      <c r="C163" s="325">
        <v>143.71506157992366</v>
      </c>
      <c r="D163" s="3680">
        <v>166.35432695042806</v>
      </c>
      <c r="E163" s="3680">
        <v>119.96215727693195</v>
      </c>
      <c r="F163" s="326">
        <v>188.53673091734896</v>
      </c>
      <c r="G163" s="1469"/>
      <c r="H163" s="1471"/>
      <c r="I163" s="1472"/>
    </row>
    <row r="164" spans="1:9">
      <c r="A164" s="1468">
        <v>2003.11</v>
      </c>
      <c r="B164" s="324">
        <v>153.65815586564085</v>
      </c>
      <c r="C164" s="325">
        <v>142.6286559016508</v>
      </c>
      <c r="D164" s="3680">
        <v>167.50847019458644</v>
      </c>
      <c r="E164" s="3680">
        <v>120.56058939126508</v>
      </c>
      <c r="F164" s="326">
        <v>190.41210379784647</v>
      </c>
      <c r="G164" s="1469"/>
      <c r="H164" s="1471"/>
      <c r="I164" s="1472"/>
    </row>
    <row r="165" spans="1:9">
      <c r="A165" s="1468">
        <v>2003.12</v>
      </c>
      <c r="B165" s="324">
        <v>159.82720880313198</v>
      </c>
      <c r="C165" s="325">
        <v>145.82890065567594</v>
      </c>
      <c r="D165" s="3680">
        <v>171.52328251007197</v>
      </c>
      <c r="E165" s="3680">
        <v>124.66978359701247</v>
      </c>
      <c r="F165" s="326">
        <v>204.6248387917303</v>
      </c>
      <c r="G165" s="1469"/>
      <c r="H165" s="1471"/>
      <c r="I165" s="1472"/>
    </row>
    <row r="166" spans="1:9">
      <c r="A166" s="1468">
        <v>2004.01</v>
      </c>
      <c r="B166" s="324">
        <v>159.60284738331177</v>
      </c>
      <c r="C166" s="325">
        <v>146.87118408381426</v>
      </c>
      <c r="D166" s="3680">
        <v>168.08873997153015</v>
      </c>
      <c r="E166" s="3680">
        <v>123.64049255347928</v>
      </c>
      <c r="F166" s="326">
        <v>204.82989604275369</v>
      </c>
      <c r="G166" s="1469"/>
      <c r="H166" s="1471"/>
      <c r="I166" s="1472"/>
    </row>
    <row r="167" spans="1:9">
      <c r="A167" s="1468">
        <v>2004.02</v>
      </c>
      <c r="B167" s="324">
        <v>160.33460457452372</v>
      </c>
      <c r="C167" s="325">
        <v>145.23081644242782</v>
      </c>
      <c r="D167" s="3680">
        <v>170.14421703686506</v>
      </c>
      <c r="E167" s="3680">
        <v>127.03669548740025</v>
      </c>
      <c r="F167" s="326">
        <v>206.98396872478577</v>
      </c>
      <c r="G167" s="1469"/>
      <c r="H167" s="1471"/>
      <c r="I167" s="1472"/>
    </row>
    <row r="168" spans="1:9">
      <c r="A168" s="1468">
        <v>2004.03</v>
      </c>
      <c r="B168" s="324">
        <v>157.1970280661956</v>
      </c>
      <c r="C168" s="325">
        <v>145.07570583527965</v>
      </c>
      <c r="D168" s="3680">
        <v>167.89441703022061</v>
      </c>
      <c r="E168" s="3680">
        <v>124.99003720222312</v>
      </c>
      <c r="F168" s="326">
        <v>198.76675787840361</v>
      </c>
      <c r="G168" s="1469"/>
      <c r="H168" s="1471"/>
      <c r="I168" s="1472"/>
    </row>
    <row r="169" spans="1:9">
      <c r="A169" s="1468">
        <v>2004.04</v>
      </c>
      <c r="B169" s="324">
        <v>152.18546314069556</v>
      </c>
      <c r="C169" s="325">
        <v>141.37893857434028</v>
      </c>
      <c r="D169" s="3680">
        <v>163.25731930267145</v>
      </c>
      <c r="E169" s="3680">
        <v>120.83342968454215</v>
      </c>
      <c r="F169" s="326">
        <v>190.10721329037798</v>
      </c>
      <c r="G169" s="1469"/>
      <c r="H169" s="1471"/>
      <c r="I169" s="1472"/>
    </row>
    <row r="170" spans="1:9">
      <c r="A170" s="1468">
        <v>2004.05</v>
      </c>
      <c r="B170" s="324">
        <v>152.54144042990887</v>
      </c>
      <c r="C170" s="325">
        <v>136.42206605267324</v>
      </c>
      <c r="D170" s="3680">
        <v>167.54901263682652</v>
      </c>
      <c r="E170" s="3680">
        <v>124.15112899637843</v>
      </c>
      <c r="F170" s="326">
        <v>195.13274620851439</v>
      </c>
      <c r="G170" s="1469"/>
      <c r="H170" s="1471"/>
      <c r="I170" s="1472"/>
    </row>
    <row r="171" spans="1:9">
      <c r="A171" s="1468">
        <v>2004.06</v>
      </c>
      <c r="B171" s="324">
        <v>154.34829192963426</v>
      </c>
      <c r="C171" s="325">
        <v>136.7504401837304</v>
      </c>
      <c r="D171" s="3680">
        <v>169.45801754935837</v>
      </c>
      <c r="E171" s="3680">
        <v>125.38276006790144</v>
      </c>
      <c r="F171" s="326">
        <v>199.23396136823069</v>
      </c>
      <c r="G171" s="1469"/>
      <c r="H171" s="1471"/>
      <c r="I171" s="1472"/>
    </row>
    <row r="172" spans="1:9">
      <c r="A172" s="1468">
        <v>2004.07</v>
      </c>
      <c r="B172" s="324">
        <v>155.77464092854288</v>
      </c>
      <c r="C172" s="325">
        <v>140.89840979572705</v>
      </c>
      <c r="D172" s="3680">
        <v>168.71036175464923</v>
      </c>
      <c r="E172" s="3680">
        <v>125.64124625310566</v>
      </c>
      <c r="F172" s="326">
        <v>199.54812551799407</v>
      </c>
      <c r="G172" s="1469"/>
      <c r="H172" s="1471"/>
      <c r="I172" s="1472"/>
    </row>
    <row r="173" spans="1:9">
      <c r="A173" s="1468">
        <v>2004.08</v>
      </c>
      <c r="B173" s="324">
        <v>159.40491163016344</v>
      </c>
      <c r="C173" s="325">
        <v>146.11155354728083</v>
      </c>
      <c r="D173" s="3680">
        <v>171.48824966143144</v>
      </c>
      <c r="E173" s="3680">
        <v>129.78680322382669</v>
      </c>
      <c r="F173" s="326">
        <v>201.79029940213664</v>
      </c>
      <c r="G173" s="1469"/>
      <c r="H173" s="1471"/>
      <c r="I173" s="1472"/>
    </row>
    <row r="174" spans="1:9">
      <c r="A174" s="1468">
        <v>2004.09</v>
      </c>
      <c r="B174" s="324">
        <v>160.29208546981218</v>
      </c>
      <c r="C174" s="325">
        <v>150.70846115680612</v>
      </c>
      <c r="D174" s="3680">
        <v>169.86658136720783</v>
      </c>
      <c r="E174" s="3680">
        <v>127.84096997661679</v>
      </c>
      <c r="F174" s="326">
        <v>200.00508787644316</v>
      </c>
      <c r="G174" s="1469"/>
      <c r="H174" s="1471"/>
      <c r="I174" s="1472"/>
    </row>
    <row r="175" spans="1:9">
      <c r="A175" s="1468">
        <v>2004.1</v>
      </c>
      <c r="B175" s="324">
        <v>160.4164962196453</v>
      </c>
      <c r="C175" s="325">
        <v>151.48822377362183</v>
      </c>
      <c r="D175" s="3680">
        <v>168.21480430522621</v>
      </c>
      <c r="E175" s="3680">
        <v>123.42820907097475</v>
      </c>
      <c r="F175" s="326">
        <v>202.63367160217226</v>
      </c>
      <c r="G175" s="1469"/>
      <c r="H175" s="1471"/>
      <c r="I175" s="1472"/>
    </row>
    <row r="176" spans="1:9">
      <c r="A176" s="1468">
        <v>2004.11</v>
      </c>
      <c r="B176" s="324">
        <v>162.892518168203</v>
      </c>
      <c r="C176" s="325">
        <v>154.52043816161535</v>
      </c>
      <c r="D176" s="3680">
        <v>167.84990724025178</v>
      </c>
      <c r="E176" s="3680">
        <v>121.04043933952924</v>
      </c>
      <c r="F176" s="326">
        <v>209.48868663469702</v>
      </c>
      <c r="G176" s="1469"/>
      <c r="H176" s="1471"/>
      <c r="I176" s="1472"/>
    </row>
    <row r="177" spans="1:9">
      <c r="A177" s="1468">
        <v>2004.12</v>
      </c>
      <c r="B177" s="324">
        <v>166.92882346533935</v>
      </c>
      <c r="C177" s="325">
        <v>159.9889939012632</v>
      </c>
      <c r="D177" s="3680">
        <v>168.54375857002009</v>
      </c>
      <c r="E177" s="3680">
        <v>121.40896708367509</v>
      </c>
      <c r="F177" s="326">
        <v>216.49175277315516</v>
      </c>
      <c r="G177" s="1469"/>
      <c r="H177" s="1471"/>
      <c r="I177" s="1472"/>
    </row>
    <row r="178" spans="1:9">
      <c r="A178" s="1468">
        <v>2005.01</v>
      </c>
      <c r="B178" s="324">
        <v>164.0140652872291</v>
      </c>
      <c r="C178" s="325">
        <v>159.69368909147599</v>
      </c>
      <c r="D178" s="3680">
        <v>165.16257042362605</v>
      </c>
      <c r="E178" s="3680">
        <v>120.47673229799197</v>
      </c>
      <c r="F178" s="326">
        <v>207.6965926490906</v>
      </c>
      <c r="G178" s="1469"/>
      <c r="H178" s="1471"/>
      <c r="I178" s="1472"/>
    </row>
    <row r="179" spans="1:9">
      <c r="A179" s="1468">
        <v>2005.02</v>
      </c>
      <c r="B179" s="324">
        <v>162.79024909068377</v>
      </c>
      <c r="C179" s="325">
        <v>162.52779617444278</v>
      </c>
      <c r="D179" s="3680">
        <v>161.974498879073</v>
      </c>
      <c r="E179" s="3680">
        <v>120.78555738080043</v>
      </c>
      <c r="F179" s="326">
        <v>201.2768366942816</v>
      </c>
      <c r="G179" s="1469"/>
      <c r="H179" s="1471"/>
      <c r="I179" s="1472"/>
    </row>
    <row r="180" spans="1:9">
      <c r="A180" s="1468">
        <v>2005.03</v>
      </c>
      <c r="B180" s="324">
        <v>159.96582727947964</v>
      </c>
      <c r="C180" s="325">
        <v>155.44588455690095</v>
      </c>
      <c r="D180" s="3680">
        <v>160.86377238686143</v>
      </c>
      <c r="E180" s="3680">
        <v>119.96600030128604</v>
      </c>
      <c r="F180" s="326">
        <v>203.07816139945024</v>
      </c>
      <c r="G180" s="1469"/>
      <c r="H180" s="1471"/>
      <c r="I180" s="1472"/>
    </row>
    <row r="181" spans="1:9">
      <c r="A181" s="1468">
        <v>2005.04</v>
      </c>
      <c r="B181" s="324">
        <v>159.69039741335973</v>
      </c>
      <c r="C181" s="325">
        <v>161.33768529007773</v>
      </c>
      <c r="D181" s="3680">
        <v>158.58478976096032</v>
      </c>
      <c r="E181" s="3680">
        <v>116.09190270997127</v>
      </c>
      <c r="F181" s="326">
        <v>196.5906418919154</v>
      </c>
      <c r="G181" s="1469"/>
      <c r="H181" s="1471"/>
      <c r="I181" s="1472"/>
    </row>
    <row r="182" spans="1:9">
      <c r="A182" s="1468">
        <v>2005.05</v>
      </c>
      <c r="B182" s="324">
        <v>161.1519701799993</v>
      </c>
      <c r="C182" s="325">
        <v>169.41675807282598</v>
      </c>
      <c r="D182" s="3680">
        <v>157.33927443823148</v>
      </c>
      <c r="E182" s="3680">
        <v>115.1706863363637</v>
      </c>
      <c r="F182" s="326">
        <v>191.6551189481909</v>
      </c>
      <c r="G182" s="1469"/>
      <c r="H182" s="1471"/>
      <c r="I182" s="1472"/>
    </row>
    <row r="183" spans="1:9">
      <c r="A183" s="1468">
        <v>2005.06</v>
      </c>
      <c r="B183" s="324">
        <v>159.05684742993202</v>
      </c>
      <c r="C183" s="325">
        <v>170.70450047182081</v>
      </c>
      <c r="D183" s="3680">
        <v>155.7470229458979</v>
      </c>
      <c r="E183" s="3680">
        <v>114.08885260497802</v>
      </c>
      <c r="F183" s="326">
        <v>182.19801214550043</v>
      </c>
      <c r="G183" s="1469"/>
      <c r="H183" s="1471"/>
      <c r="I183" s="1472"/>
    </row>
    <row r="184" spans="1:9">
      <c r="A184" s="1468">
        <v>2005.07</v>
      </c>
      <c r="B184" s="324">
        <v>157.88172079127759</v>
      </c>
      <c r="C184" s="325">
        <v>171.56823693951517</v>
      </c>
      <c r="D184" s="3680">
        <v>153.98873406504677</v>
      </c>
      <c r="E184" s="3680">
        <v>114.37777606931046</v>
      </c>
      <c r="F184" s="326">
        <v>177.76423514506959</v>
      </c>
      <c r="G184" s="1469"/>
      <c r="H184" s="1471"/>
      <c r="I184" s="1472"/>
    </row>
    <row r="185" spans="1:9">
      <c r="A185" s="1468">
        <v>2005.08</v>
      </c>
      <c r="B185" s="324">
        <v>160.02707863940361</v>
      </c>
      <c r="C185" s="325">
        <v>172.01575821002859</v>
      </c>
      <c r="D185" s="3680">
        <v>154.92400686256229</v>
      </c>
      <c r="E185" s="3680">
        <v>117.64257143226548</v>
      </c>
      <c r="F185" s="326">
        <v>181.67727387952178</v>
      </c>
      <c r="G185" s="1469"/>
      <c r="H185" s="1471"/>
      <c r="I185" s="1472"/>
    </row>
    <row r="186" spans="1:9">
      <c r="A186" s="1468">
        <v>2005.09</v>
      </c>
      <c r="B186" s="324">
        <v>162.33141247195337</v>
      </c>
      <c r="C186" s="325">
        <v>177.84412352782155</v>
      </c>
      <c r="D186" s="3680">
        <v>156.42969759791265</v>
      </c>
      <c r="E186" s="3680">
        <v>116.70917454672431</v>
      </c>
      <c r="F186" s="326">
        <v>181.73459344126329</v>
      </c>
      <c r="G186" s="1469"/>
      <c r="H186" s="1471"/>
      <c r="I186" s="1472"/>
    </row>
    <row r="187" spans="1:9">
      <c r="A187" s="1468">
        <v>2005.1</v>
      </c>
      <c r="B187" s="324">
        <v>164.50710584045893</v>
      </c>
      <c r="C187" s="325">
        <v>183.68997851936928</v>
      </c>
      <c r="D187" s="3680">
        <v>158.99328815686869</v>
      </c>
      <c r="E187" s="3680">
        <v>115.31471971458612</v>
      </c>
      <c r="F187" s="326">
        <v>180.63947397033323</v>
      </c>
      <c r="G187" s="1469"/>
      <c r="H187" s="1471"/>
      <c r="I187" s="1472"/>
    </row>
    <row r="188" spans="1:9">
      <c r="A188" s="1468">
        <v>2005.11</v>
      </c>
      <c r="B188" s="324">
        <v>163.57997427865706</v>
      </c>
      <c r="C188" s="325">
        <v>186.72462345436551</v>
      </c>
      <c r="D188" s="3680">
        <v>157.1075917386739</v>
      </c>
      <c r="E188" s="3680">
        <v>113.15073404940449</v>
      </c>
      <c r="F188" s="326">
        <v>175.06409494870795</v>
      </c>
      <c r="G188" s="1469"/>
      <c r="H188" s="1471"/>
      <c r="I188" s="1472"/>
    </row>
    <row r="189" spans="1:9">
      <c r="A189" s="1468">
        <v>2005.12</v>
      </c>
      <c r="B189" s="324">
        <v>163.52141651885375</v>
      </c>
      <c r="C189" s="325">
        <v>182.71064230259591</v>
      </c>
      <c r="D189" s="3680">
        <v>157.48588283790588</v>
      </c>
      <c r="E189" s="3680">
        <v>114.10938846091386</v>
      </c>
      <c r="F189" s="326">
        <v>177.12562408314093</v>
      </c>
      <c r="G189" s="1469"/>
      <c r="H189" s="1471"/>
      <c r="I189" s="1472"/>
    </row>
    <row r="190" spans="1:9">
      <c r="A190" s="1468">
        <v>2006.01</v>
      </c>
      <c r="B190" s="324">
        <v>164.93609877719078</v>
      </c>
      <c r="C190" s="325">
        <v>184.1281373187646</v>
      </c>
      <c r="D190" s="3680">
        <v>157.80433803474389</v>
      </c>
      <c r="E190" s="3680">
        <v>115.91905481685725</v>
      </c>
      <c r="F190" s="326">
        <v>180.71273623224056</v>
      </c>
      <c r="G190" s="1469"/>
      <c r="H190" s="1471"/>
      <c r="I190" s="1472"/>
    </row>
    <row r="191" spans="1:9">
      <c r="A191" s="1468">
        <v>2006.02</v>
      </c>
      <c r="B191" s="324">
        <v>167.81845574641565</v>
      </c>
      <c r="C191" s="325">
        <v>194.57535099753855</v>
      </c>
      <c r="D191" s="3680">
        <v>158.20418079400474</v>
      </c>
      <c r="E191" s="3680">
        <v>118.5749608786048</v>
      </c>
      <c r="F191" s="326">
        <v>177.73971817925278</v>
      </c>
      <c r="G191" s="1469"/>
      <c r="H191" s="1471"/>
      <c r="I191" s="1472"/>
    </row>
    <row r="192" spans="1:9">
      <c r="A192" s="1468">
        <v>2006.03</v>
      </c>
      <c r="B192" s="324">
        <v>167.68493051474312</v>
      </c>
      <c r="C192" s="325">
        <v>195.24131027197419</v>
      </c>
      <c r="D192" s="3680">
        <v>157.45679288097577</v>
      </c>
      <c r="E192" s="3680">
        <v>117.79876046206137</v>
      </c>
      <c r="F192" s="326">
        <v>178.88968876565991</v>
      </c>
      <c r="G192" s="1469"/>
      <c r="H192" s="1471"/>
      <c r="I192" s="1472"/>
    </row>
    <row r="193" spans="1:9">
      <c r="A193" s="1468">
        <v>2006.04</v>
      </c>
      <c r="B193" s="324">
        <v>167.25943636187142</v>
      </c>
      <c r="C193" s="325">
        <v>194.67454097027928</v>
      </c>
      <c r="D193" s="3680">
        <v>155.8339488797553</v>
      </c>
      <c r="E193" s="3680">
        <v>114.9958554923253</v>
      </c>
      <c r="F193" s="326">
        <v>181.1796724801892</v>
      </c>
      <c r="G193" s="1469"/>
      <c r="H193" s="1471"/>
      <c r="I193" s="1472"/>
    </row>
    <row r="194" spans="1:9">
      <c r="A194" s="1468">
        <v>2006.05</v>
      </c>
      <c r="B194" s="324">
        <v>166.47005492714615</v>
      </c>
      <c r="C194" s="325">
        <v>189.33858054811179</v>
      </c>
      <c r="D194" s="3680">
        <v>154.68195044624116</v>
      </c>
      <c r="E194" s="3680">
        <v>114.11395150543642</v>
      </c>
      <c r="F194" s="326">
        <v>187.13035255669377</v>
      </c>
      <c r="G194" s="1469"/>
      <c r="H194" s="1471"/>
      <c r="I194" s="1472"/>
    </row>
    <row r="195" spans="1:9">
      <c r="A195" s="1468">
        <v>2006.06</v>
      </c>
      <c r="B195" s="324">
        <v>164.3294921174089</v>
      </c>
      <c r="C195" s="325">
        <v>183.13953502218664</v>
      </c>
      <c r="D195" s="3680">
        <v>155.69260136240129</v>
      </c>
      <c r="E195" s="3680">
        <v>114.95738435792211</v>
      </c>
      <c r="F195" s="326">
        <v>186.83834298668256</v>
      </c>
      <c r="G195" s="1469"/>
      <c r="H195" s="1471"/>
      <c r="I195" s="1472"/>
    </row>
    <row r="196" spans="1:9">
      <c r="A196" s="1468">
        <v>2006.07</v>
      </c>
      <c r="B196" s="324">
        <v>165.70861372345593</v>
      </c>
      <c r="C196" s="325">
        <v>187.37178644746311</v>
      </c>
      <c r="D196" s="3680">
        <v>155.48839952100639</v>
      </c>
      <c r="E196" s="3680">
        <v>115.46199216760171</v>
      </c>
      <c r="F196" s="326">
        <v>186.34656814185215</v>
      </c>
      <c r="G196" s="1469"/>
      <c r="H196" s="1471"/>
      <c r="I196" s="1472"/>
    </row>
    <row r="197" spans="1:9">
      <c r="A197" s="1468">
        <v>2006.08</v>
      </c>
      <c r="B197" s="324">
        <v>166.25181793880674</v>
      </c>
      <c r="C197" s="325">
        <v>188.83944398106408</v>
      </c>
      <c r="D197" s="3680">
        <v>155.21871774800462</v>
      </c>
      <c r="E197" s="3680">
        <v>116.46705508749318</v>
      </c>
      <c r="F197" s="326">
        <v>186.45083682481965</v>
      </c>
      <c r="G197" s="1469"/>
      <c r="H197" s="1471"/>
      <c r="I197" s="1472"/>
    </row>
    <row r="198" spans="1:9">
      <c r="A198" s="1468">
        <v>2006.09</v>
      </c>
      <c r="B198" s="324">
        <v>165.8999911096943</v>
      </c>
      <c r="C198" s="325">
        <v>188.29020365872691</v>
      </c>
      <c r="D198" s="3680">
        <v>155.03830829783965</v>
      </c>
      <c r="E198" s="3680">
        <v>116.21405380382991</v>
      </c>
      <c r="F198" s="326">
        <v>185.38322714336599</v>
      </c>
      <c r="G198" s="1469"/>
      <c r="H198" s="1471"/>
      <c r="I198" s="1472"/>
    </row>
    <row r="199" spans="1:9">
      <c r="A199" s="1468">
        <v>2006.1</v>
      </c>
      <c r="B199" s="324">
        <v>164.77111834461601</v>
      </c>
      <c r="C199" s="325">
        <v>188.6583884662991</v>
      </c>
      <c r="D199" s="3680">
        <v>152.90277914877842</v>
      </c>
      <c r="E199" s="3680">
        <v>113.29448599863443</v>
      </c>
      <c r="F199" s="326">
        <v>182.17208338178324</v>
      </c>
      <c r="G199" s="1469"/>
      <c r="H199" s="1471"/>
      <c r="I199" s="1472"/>
    </row>
    <row r="200" spans="1:9">
      <c r="A200" s="1468">
        <v>2006.11</v>
      </c>
      <c r="B200" s="324">
        <v>163.15132189672823</v>
      </c>
      <c r="C200" s="325">
        <v>185.63684141082624</v>
      </c>
      <c r="D200" s="3680">
        <v>150.28477241041472</v>
      </c>
      <c r="E200" s="3680">
        <v>111.16452940333463</v>
      </c>
      <c r="F200" s="326">
        <v>183.24636793901121</v>
      </c>
      <c r="G200" s="1469"/>
      <c r="H200" s="1471"/>
      <c r="I200" s="1472"/>
    </row>
    <row r="201" spans="1:9">
      <c r="A201" s="1468">
        <v>2006.12</v>
      </c>
      <c r="B201" s="324">
        <v>162.74750861526252</v>
      </c>
      <c r="C201" s="325">
        <v>184.60787028946208</v>
      </c>
      <c r="D201" s="3680">
        <v>148.72736711122519</v>
      </c>
      <c r="E201" s="3680">
        <v>111.39326361664955</v>
      </c>
      <c r="F201" s="326">
        <v>185.64712492936425</v>
      </c>
      <c r="G201" s="1469"/>
      <c r="H201" s="1471"/>
      <c r="I201" s="1472"/>
    </row>
    <row r="202" spans="1:9">
      <c r="A202" s="1468">
        <v>2007.01</v>
      </c>
      <c r="B202" s="324">
        <v>162.30224209682203</v>
      </c>
      <c r="C202" s="325">
        <v>185.98386064547216</v>
      </c>
      <c r="D202" s="3680">
        <v>148.95351827705468</v>
      </c>
      <c r="E202" s="3680">
        <v>113.50162375989929</v>
      </c>
      <c r="F202" s="326">
        <v>182.15612760376399</v>
      </c>
      <c r="G202" s="1469"/>
      <c r="H202" s="1471"/>
      <c r="I202" s="1472"/>
    </row>
    <row r="203" spans="1:9">
      <c r="A203" s="1468">
        <v>2007.02</v>
      </c>
      <c r="B203" s="324">
        <v>163.75370382945792</v>
      </c>
      <c r="C203" s="325">
        <v>189.78776068887191</v>
      </c>
      <c r="D203" s="3680">
        <v>148.89620332935172</v>
      </c>
      <c r="E203" s="3680">
        <v>116.1307242674886</v>
      </c>
      <c r="F203" s="326">
        <v>182.68095570026455</v>
      </c>
      <c r="G203" s="1469"/>
      <c r="H203" s="1471"/>
      <c r="I203" s="1472"/>
    </row>
    <row r="204" spans="1:9">
      <c r="A204" s="1468">
        <v>2007.03</v>
      </c>
      <c r="B204" s="324">
        <v>163.72111782407012</v>
      </c>
      <c r="C204" s="325">
        <v>189.68538452551829</v>
      </c>
      <c r="D204" s="3680">
        <v>148.17579563130019</v>
      </c>
      <c r="E204" s="3680">
        <v>115.58746823411721</v>
      </c>
      <c r="F204" s="326">
        <v>184.21853587622155</v>
      </c>
      <c r="G204" s="1469"/>
      <c r="H204" s="1471"/>
      <c r="I204" s="1472"/>
    </row>
    <row r="205" spans="1:9">
      <c r="A205" s="1468">
        <v>2007.04</v>
      </c>
      <c r="B205" s="324">
        <v>163.76234069474771</v>
      </c>
      <c r="C205" s="325">
        <v>191.79171081111289</v>
      </c>
      <c r="D205" s="3680">
        <v>145.92016238916779</v>
      </c>
      <c r="E205" s="3680">
        <v>112.17317604338999</v>
      </c>
      <c r="F205" s="326">
        <v>185.44617194105922</v>
      </c>
      <c r="G205" s="1469"/>
      <c r="H205" s="1471"/>
      <c r="I205" s="1472"/>
    </row>
    <row r="206" spans="1:9">
      <c r="A206" s="1468">
        <v>2007.05</v>
      </c>
      <c r="B206" s="324">
        <v>162.06739952384706</v>
      </c>
      <c r="C206" s="325">
        <v>191.85252970236516</v>
      </c>
      <c r="D206" s="3680">
        <v>142.82710072542341</v>
      </c>
      <c r="E206" s="3680">
        <v>110.5984809573919</v>
      </c>
      <c r="F206" s="326">
        <v>181.71213760699138</v>
      </c>
      <c r="G206" s="1469"/>
      <c r="H206" s="1471"/>
      <c r="I206" s="1472"/>
    </row>
    <row r="207" spans="1:9">
      <c r="A207" s="1468">
        <v>2007.06</v>
      </c>
      <c r="B207" s="324">
        <v>159.99890310797778</v>
      </c>
      <c r="C207" s="325">
        <v>193.14579021851398</v>
      </c>
      <c r="D207" s="3680">
        <v>139.88442611767729</v>
      </c>
      <c r="E207" s="3680">
        <v>109.6211110597222</v>
      </c>
      <c r="F207" s="326">
        <v>176.46973327821325</v>
      </c>
      <c r="G207" s="1469"/>
      <c r="H207" s="1471"/>
      <c r="I207" s="1472"/>
    </row>
    <row r="208" spans="1:9">
      <c r="A208" s="1468">
        <v>2007.07</v>
      </c>
      <c r="B208" s="324">
        <v>160.71034383857707</v>
      </c>
      <c r="C208" s="325">
        <v>195.5742391205585</v>
      </c>
      <c r="D208" s="3680">
        <v>138.064527807621</v>
      </c>
      <c r="E208" s="3680">
        <v>110.75368207310484</v>
      </c>
      <c r="F208" s="326">
        <v>177.48928383346535</v>
      </c>
      <c r="G208" s="1469"/>
      <c r="H208" s="1471"/>
      <c r="I208" s="1472"/>
    </row>
    <row r="209" spans="1:9">
      <c r="A209" s="1468">
        <v>2007.08</v>
      </c>
      <c r="B209" s="324">
        <v>156.56263102809149</v>
      </c>
      <c r="C209" s="325">
        <v>186.06324487286219</v>
      </c>
      <c r="D209" s="3680">
        <v>136.03282988101842</v>
      </c>
      <c r="E209" s="3680">
        <v>111.64437286435238</v>
      </c>
      <c r="F209" s="326">
        <v>173.55624778884101</v>
      </c>
      <c r="G209" s="1469"/>
      <c r="H209" s="1471"/>
      <c r="I209" s="1472"/>
    </row>
    <row r="210" spans="1:9">
      <c r="A210" s="1468">
        <v>2007.09</v>
      </c>
      <c r="B210" s="324">
        <v>155.41269399862941</v>
      </c>
      <c r="C210" s="325">
        <v>186.66904521851694</v>
      </c>
      <c r="D210" s="3680">
        <v>132.64438347455115</v>
      </c>
      <c r="E210" s="3680">
        <v>108.9529240844212</v>
      </c>
      <c r="F210" s="326">
        <v>172.69925634497773</v>
      </c>
      <c r="G210" s="1469"/>
      <c r="H210" s="1471"/>
      <c r="I210" s="1472"/>
    </row>
    <row r="211" spans="1:9">
      <c r="A211" s="1468">
        <v>2007.1</v>
      </c>
      <c r="B211" s="324">
        <v>158.29431563213424</v>
      </c>
      <c r="C211" s="325">
        <v>195.37607130049429</v>
      </c>
      <c r="D211" s="3680">
        <v>131.37857855659465</v>
      </c>
      <c r="E211" s="3680">
        <v>105.60575016323754</v>
      </c>
      <c r="F211" s="326">
        <v>175.06701834892826</v>
      </c>
      <c r="G211" s="1469"/>
      <c r="H211" s="1471"/>
      <c r="I211" s="1472"/>
    </row>
    <row r="212" spans="1:9">
      <c r="A212" s="1468">
        <v>2007.11</v>
      </c>
      <c r="B212" s="324">
        <v>159.23307245755689</v>
      </c>
      <c r="C212" s="325">
        <v>197.12252166504791</v>
      </c>
      <c r="D212" s="3680">
        <v>130.4299587535312</v>
      </c>
      <c r="E212" s="3680">
        <v>104.8951843264537</v>
      </c>
      <c r="F212" s="326">
        <v>179.20782054054936</v>
      </c>
      <c r="G212" s="1469"/>
      <c r="H212" s="1471"/>
      <c r="I212" s="1472"/>
    </row>
    <row r="213" spans="1:9">
      <c r="A213" s="1468">
        <v>2007.12</v>
      </c>
      <c r="B213" s="324">
        <v>159.11018011419915</v>
      </c>
      <c r="C213" s="325">
        <v>195.86753252984232</v>
      </c>
      <c r="D213" s="3680">
        <v>130.96329038387003</v>
      </c>
      <c r="E213" s="3680">
        <v>106.57622428532721</v>
      </c>
      <c r="F213" s="326">
        <v>178.3335615818381</v>
      </c>
      <c r="G213" s="1469"/>
      <c r="H213" s="1471"/>
      <c r="I213" s="1472"/>
    </row>
    <row r="214" spans="1:9">
      <c r="A214" s="1468">
        <f t="shared" ref="A214:A277" si="0">A202+1</f>
        <v>2008.01</v>
      </c>
      <c r="B214" s="324">
        <v>159.27340420776079</v>
      </c>
      <c r="C214" s="325">
        <v>195.73110477295242</v>
      </c>
      <c r="D214" s="3680">
        <v>129.57436662249066</v>
      </c>
      <c r="E214" s="3680">
        <v>108.81722071373026</v>
      </c>
      <c r="F214" s="326">
        <v>177.78992936131451</v>
      </c>
      <c r="G214" s="1469"/>
      <c r="H214" s="1471"/>
      <c r="I214" s="1472"/>
    </row>
    <row r="215" spans="1:9">
      <c r="A215" s="1468">
        <f t="shared" si="0"/>
        <v>2008.02</v>
      </c>
      <c r="B215" s="324">
        <v>159.44734015322987</v>
      </c>
      <c r="C215" s="325">
        <v>197.69937679035718</v>
      </c>
      <c r="D215" s="3680">
        <v>127.80469667500873</v>
      </c>
      <c r="E215" s="3680">
        <v>111.60618213611569</v>
      </c>
      <c r="F215" s="326">
        <v>175.20248179273491</v>
      </c>
      <c r="G215" s="1469"/>
      <c r="H215" s="1471"/>
      <c r="I215" s="1472"/>
    </row>
    <row r="216" spans="1:9">
      <c r="A216" s="1468">
        <f t="shared" si="0"/>
        <v>2008.03</v>
      </c>
      <c r="B216" s="324">
        <v>159.14295097367929</v>
      </c>
      <c r="C216" s="325">
        <v>195.48737541458618</v>
      </c>
      <c r="D216" s="3680">
        <v>124.15195126165308</v>
      </c>
      <c r="E216" s="3680">
        <v>110.37596980991437</v>
      </c>
      <c r="F216" s="326">
        <v>180.08617334421351</v>
      </c>
      <c r="G216" s="1469"/>
      <c r="H216" s="1471"/>
      <c r="I216" s="1472"/>
    </row>
    <row r="217" spans="1:9">
      <c r="A217" s="1468">
        <f t="shared" si="0"/>
        <v>2008.04</v>
      </c>
      <c r="B217" s="324">
        <v>156.14403497190122</v>
      </c>
      <c r="C217" s="325">
        <v>192.7670702257212</v>
      </c>
      <c r="D217" s="3680">
        <v>120.68776897840156</v>
      </c>
      <c r="E217" s="3680">
        <v>106.78172633071077</v>
      </c>
      <c r="F217" s="326">
        <v>177.9325766114992</v>
      </c>
      <c r="G217" s="1469"/>
      <c r="H217" s="1471"/>
      <c r="I217" s="1472"/>
    </row>
    <row r="218" spans="1:9">
      <c r="A218" s="1468">
        <f t="shared" si="0"/>
        <v>2008.05</v>
      </c>
      <c r="B218" s="324">
        <v>153.65651487304592</v>
      </c>
      <c r="C218" s="325">
        <v>193.20702991484734</v>
      </c>
      <c r="D218" s="3680">
        <v>118.73048959538693</v>
      </c>
      <c r="E218" s="3680">
        <v>105.17700154096912</v>
      </c>
      <c r="F218" s="326">
        <v>173.19522756714409</v>
      </c>
      <c r="G218" s="1469"/>
      <c r="H218" s="1471"/>
      <c r="I218" s="1472"/>
    </row>
    <row r="219" spans="1:9">
      <c r="A219" s="1468">
        <f t="shared" si="0"/>
        <v>2008.06</v>
      </c>
      <c r="B219" s="324">
        <v>148.50959524331478</v>
      </c>
      <c r="C219" s="325">
        <v>190.24779071701889</v>
      </c>
      <c r="D219" s="3680">
        <v>114.1787217854143</v>
      </c>
      <c r="E219" s="3680">
        <v>101.69454463529134</v>
      </c>
      <c r="F219" s="326">
        <v>166.15879491300549</v>
      </c>
      <c r="G219" s="1469"/>
      <c r="H219" s="1471"/>
      <c r="I219" s="1472"/>
    </row>
    <row r="220" spans="1:9">
      <c r="A220" s="1468">
        <f t="shared" si="0"/>
        <v>2008.07</v>
      </c>
      <c r="B220" s="324">
        <v>146.98973284371405</v>
      </c>
      <c r="C220" s="325">
        <v>189.73152082710854</v>
      </c>
      <c r="D220" s="3680">
        <v>112.15165128829317</v>
      </c>
      <c r="E220" s="3680">
        <v>101.10404144778111</v>
      </c>
      <c r="F220" s="326">
        <v>163.85669864570988</v>
      </c>
      <c r="G220" s="1469"/>
      <c r="H220" s="1471"/>
      <c r="I220" s="1472"/>
    </row>
    <row r="221" spans="1:9">
      <c r="A221" s="1468">
        <f t="shared" si="0"/>
        <v>2008.08</v>
      </c>
      <c r="B221" s="324">
        <v>143.61354033181362</v>
      </c>
      <c r="C221" s="325">
        <v>186.73405815346081</v>
      </c>
      <c r="D221" s="3680">
        <v>111.6539667965568</v>
      </c>
      <c r="E221" s="3680">
        <v>101.45345734577974</v>
      </c>
      <c r="F221" s="326">
        <v>154.08163858585741</v>
      </c>
      <c r="G221" s="1469"/>
      <c r="H221" s="1471"/>
      <c r="I221" s="1472"/>
    </row>
    <row r="222" spans="1:9">
      <c r="A222" s="1468">
        <f t="shared" si="0"/>
        <v>2008.09</v>
      </c>
      <c r="B222" s="324">
        <v>137.35322368009153</v>
      </c>
      <c r="C222" s="325">
        <v>169.30417935036601</v>
      </c>
      <c r="D222" s="3680">
        <v>112.41086086339719</v>
      </c>
      <c r="E222" s="3680">
        <v>101.18379953939414</v>
      </c>
      <c r="F222" s="326">
        <v>149.19487342761462</v>
      </c>
      <c r="G222" s="1469"/>
      <c r="H222" s="1471"/>
      <c r="I222" s="1472"/>
    </row>
    <row r="223" spans="1:9">
      <c r="A223" s="1468">
        <f t="shared" si="0"/>
        <v>2008.1</v>
      </c>
      <c r="B223" s="324">
        <v>128.22641161402152</v>
      </c>
      <c r="C223" s="325">
        <v>144.61101970943184</v>
      </c>
      <c r="D223" s="3680">
        <v>116.4860038129145</v>
      </c>
      <c r="E223" s="3680">
        <v>102.73692077947523</v>
      </c>
      <c r="F223" s="326">
        <v>143.40647125916914</v>
      </c>
      <c r="G223" s="1469"/>
      <c r="H223" s="1471"/>
      <c r="I223" s="1472"/>
    </row>
    <row r="224" spans="1:9">
      <c r="A224" s="1468">
        <f t="shared" si="0"/>
        <v>2008.11</v>
      </c>
      <c r="B224" s="324">
        <v>127.53745205892371</v>
      </c>
      <c r="C224" s="325">
        <v>144.16949360346374</v>
      </c>
      <c r="D224" s="3680">
        <v>117.61363914228559</v>
      </c>
      <c r="E224" s="3680">
        <v>103.59228485967151</v>
      </c>
      <c r="F224" s="326">
        <v>140.59918964619459</v>
      </c>
      <c r="G224" s="1469"/>
      <c r="H224" s="1471"/>
      <c r="I224" s="1472"/>
    </row>
    <row r="225" spans="1:9">
      <c r="A225" s="1468">
        <f t="shared" si="0"/>
        <v>2008.12</v>
      </c>
      <c r="B225" s="324">
        <v>129.13233580137489</v>
      </c>
      <c r="C225" s="325">
        <v>139.03859695897751</v>
      </c>
      <c r="D225" s="3680">
        <v>118.87673698416236</v>
      </c>
      <c r="E225" s="3680">
        <v>105.33438188290896</v>
      </c>
      <c r="F225" s="326">
        <v>152.2895360450363</v>
      </c>
      <c r="G225" s="1469"/>
      <c r="H225" s="1471"/>
      <c r="I225" s="1472"/>
    </row>
    <row r="226" spans="1:9">
      <c r="A226" s="1468">
        <f t="shared" si="0"/>
        <v>2009.01</v>
      </c>
      <c r="B226" s="324">
        <v>131.18385305458</v>
      </c>
      <c r="C226" s="325">
        <v>145.73944227160368</v>
      </c>
      <c r="D226" s="3680">
        <v>118.77107090153407</v>
      </c>
      <c r="E226" s="3680">
        <v>106.94328960990744</v>
      </c>
      <c r="F226" s="326">
        <v>149.3659869301782</v>
      </c>
      <c r="G226" s="1469"/>
      <c r="H226" s="1471"/>
      <c r="I226" s="1472"/>
    </row>
    <row r="227" spans="1:9">
      <c r="A227" s="1468">
        <f t="shared" si="0"/>
        <v>2009.02</v>
      </c>
      <c r="B227" s="324">
        <v>131.35500936623203</v>
      </c>
      <c r="C227" s="325">
        <v>147.2599015455792</v>
      </c>
      <c r="D227" s="3680">
        <v>120.17479867947158</v>
      </c>
      <c r="E227" s="3680">
        <v>109.71324002750222</v>
      </c>
      <c r="F227" s="326">
        <v>144.79990509078849</v>
      </c>
      <c r="G227" s="1469"/>
      <c r="H227" s="1471"/>
      <c r="I227" s="1472"/>
    </row>
    <row r="228" spans="1:9">
      <c r="A228" s="1468">
        <f t="shared" si="0"/>
        <v>2009.03</v>
      </c>
      <c r="B228" s="324">
        <v>135.84940317462878</v>
      </c>
      <c r="C228" s="325">
        <v>152.39837816433385</v>
      </c>
      <c r="D228" s="3680">
        <v>123.74580087678598</v>
      </c>
      <c r="E228" s="3680">
        <v>112.54359903635618</v>
      </c>
      <c r="F228" s="326">
        <v>152.58115453771913</v>
      </c>
      <c r="G228" s="1469"/>
      <c r="H228" s="1471"/>
      <c r="I228" s="1472"/>
    </row>
    <row r="229" spans="1:9">
      <c r="A229" s="1468">
        <f t="shared" si="0"/>
        <v>2009.04</v>
      </c>
      <c r="B229" s="324">
        <v>137.74600810151964</v>
      </c>
      <c r="C229" s="325">
        <v>158.59446402959347</v>
      </c>
      <c r="D229" s="3680">
        <v>122.39988289874567</v>
      </c>
      <c r="E229" s="3680">
        <v>110.04194922013457</v>
      </c>
      <c r="F229" s="326">
        <v>153.22274655328724</v>
      </c>
      <c r="G229" s="1469"/>
      <c r="H229" s="1471"/>
      <c r="I229" s="1472"/>
    </row>
    <row r="230" spans="1:9">
      <c r="A230" s="1468">
        <f t="shared" si="0"/>
        <v>2009.05</v>
      </c>
      <c r="B230" s="324">
        <v>142.54750068237936</v>
      </c>
      <c r="C230" s="325">
        <v>169.6017113191711</v>
      </c>
      <c r="D230" s="3680">
        <v>122.14230831340105</v>
      </c>
      <c r="E230" s="3680">
        <v>109.84583990648201</v>
      </c>
      <c r="F230" s="326">
        <v>158.40579622451082</v>
      </c>
      <c r="G230" s="1469"/>
      <c r="H230" s="1471"/>
      <c r="I230" s="1472"/>
    </row>
    <row r="231" spans="1:9">
      <c r="A231" s="1468">
        <f t="shared" si="0"/>
        <v>2009.06</v>
      </c>
      <c r="B231" s="324">
        <v>147.68972909574026</v>
      </c>
      <c r="C231" s="325">
        <v>180.78912355193123</v>
      </c>
      <c r="D231" s="3680">
        <v>123.31698280517922</v>
      </c>
      <c r="E231" s="3680">
        <v>110.39856761385391</v>
      </c>
      <c r="F231" s="326">
        <v>163.4030091050104</v>
      </c>
      <c r="G231" s="1469"/>
      <c r="H231" s="1471"/>
      <c r="I231" s="1472"/>
    </row>
    <row r="232" spans="1:9">
      <c r="A232" s="1468">
        <f t="shared" si="0"/>
        <v>2009.07</v>
      </c>
      <c r="B232" s="324">
        <v>149.16630711430295</v>
      </c>
      <c r="C232" s="325">
        <v>183.33614139147062</v>
      </c>
      <c r="D232" s="3680">
        <v>124.09898620815906</v>
      </c>
      <c r="E232" s="3680">
        <v>111.75307068634186</v>
      </c>
      <c r="F232" s="326">
        <v>163.85083692915791</v>
      </c>
      <c r="G232" s="1469"/>
      <c r="H232" s="1471"/>
      <c r="I232" s="1472"/>
    </row>
    <row r="233" spans="1:9">
      <c r="A233" s="1468">
        <f t="shared" si="0"/>
        <v>2009.08</v>
      </c>
      <c r="B233" s="324">
        <v>151.69345595563365</v>
      </c>
      <c r="C233" s="325">
        <v>191.70562207440241</v>
      </c>
      <c r="D233" s="3680">
        <v>123.50590925462446</v>
      </c>
      <c r="E233" s="3680">
        <v>112.79995385625509</v>
      </c>
      <c r="F233" s="326">
        <v>164.92189844324989</v>
      </c>
      <c r="G233" s="1469"/>
      <c r="H233" s="1471"/>
      <c r="I233" s="1472"/>
    </row>
    <row r="234" spans="1:9">
      <c r="A234" s="1468">
        <f t="shared" si="0"/>
        <v>2009.09</v>
      </c>
      <c r="B234" s="324">
        <v>151.14923280633045</v>
      </c>
      <c r="C234" s="325">
        <v>191.90748222917088</v>
      </c>
      <c r="D234" s="3680">
        <v>121.87904624202298</v>
      </c>
      <c r="E234" s="3680">
        <v>110.35773113364006</v>
      </c>
      <c r="F234" s="326">
        <v>165.98548868099516</v>
      </c>
      <c r="G234" s="1469"/>
      <c r="H234" s="1471"/>
      <c r="I234" s="1472"/>
    </row>
    <row r="235" spans="1:9">
      <c r="A235" s="1468">
        <f t="shared" si="0"/>
        <v>2009.1</v>
      </c>
      <c r="B235" s="324">
        <v>151.55156036894016</v>
      </c>
      <c r="C235" s="325">
        <v>197.33966369948627</v>
      </c>
      <c r="D235" s="3680">
        <v>119.74930743489961</v>
      </c>
      <c r="E235" s="3680">
        <v>105.93890785106498</v>
      </c>
      <c r="F235" s="326">
        <v>165.5566899125275</v>
      </c>
      <c r="G235" s="1469"/>
      <c r="H235" s="1471"/>
      <c r="I235" s="1472"/>
    </row>
    <row r="236" spans="1:9">
      <c r="A236" s="1468">
        <f t="shared" si="0"/>
        <v>2009.11</v>
      </c>
      <c r="B236" s="324">
        <v>150.45908549061974</v>
      </c>
      <c r="C236" s="325">
        <v>195.43040652746672</v>
      </c>
      <c r="D236" s="3680">
        <v>117.99275784644988</v>
      </c>
      <c r="E236" s="3680">
        <v>103.11406009728998</v>
      </c>
      <c r="F236" s="326">
        <v>164.02776985203661</v>
      </c>
      <c r="G236" s="1469"/>
      <c r="H236" s="1471"/>
      <c r="I236" s="1472"/>
    </row>
    <row r="237" spans="1:9">
      <c r="A237" s="1468">
        <f t="shared" si="0"/>
        <v>2009.12</v>
      </c>
      <c r="B237" s="324">
        <v>146.27906686611016</v>
      </c>
      <c r="C237" s="325">
        <v>189.23644744274304</v>
      </c>
      <c r="D237" s="3680">
        <v>115.49121952221218</v>
      </c>
      <c r="E237" s="3680">
        <v>101.58752782255122</v>
      </c>
      <c r="F237" s="326">
        <v>156.9707169094772</v>
      </c>
      <c r="G237" s="1469"/>
      <c r="H237" s="1471"/>
      <c r="I237" s="1472"/>
    </row>
    <row r="238" spans="1:9">
      <c r="A238" s="1468">
        <f t="shared" si="0"/>
        <v>2010.01</v>
      </c>
      <c r="B238" s="324">
        <v>141.43127423592108</v>
      </c>
      <c r="C238" s="325">
        <v>182.05599177354347</v>
      </c>
      <c r="D238" s="3680">
        <v>112.52647742453705</v>
      </c>
      <c r="E238" s="3680">
        <v>100.42935121068642</v>
      </c>
      <c r="F238" s="326">
        <v>149.23513368138893</v>
      </c>
      <c r="G238" s="1469"/>
      <c r="H238" s="1471"/>
      <c r="I238" s="1472"/>
    </row>
    <row r="239" spans="1:9">
      <c r="A239" s="1468">
        <f t="shared" si="0"/>
        <v>2010.02</v>
      </c>
      <c r="B239" s="324">
        <v>135.74724111796132</v>
      </c>
      <c r="C239" s="325">
        <v>174.00045109514741</v>
      </c>
      <c r="D239" s="3680">
        <v>110.20034098884442</v>
      </c>
      <c r="E239" s="3680">
        <v>100.45056330437501</v>
      </c>
      <c r="F239" s="326">
        <v>139.67785256481116</v>
      </c>
      <c r="G239" s="1469"/>
      <c r="H239" s="1471"/>
      <c r="I239" s="1472"/>
    </row>
    <row r="240" spans="1:9">
      <c r="A240" s="1468">
        <f t="shared" si="0"/>
        <v>2010.03</v>
      </c>
      <c r="B240" s="324">
        <v>133.74127768683039</v>
      </c>
      <c r="C240" s="325">
        <v>174.90222129236932</v>
      </c>
      <c r="D240" s="3680">
        <v>106.81280765450823</v>
      </c>
      <c r="E240" s="3680">
        <v>97.587513378313844</v>
      </c>
      <c r="F240" s="326">
        <v>135.58187737609526</v>
      </c>
      <c r="G240" s="1469"/>
      <c r="H240" s="1471"/>
      <c r="I240" s="1472"/>
    </row>
    <row r="241" spans="1:9">
      <c r="A241" s="1468">
        <f t="shared" si="0"/>
        <v>2010.04</v>
      </c>
      <c r="B241" s="324">
        <v>132.61786781597655</v>
      </c>
      <c r="C241" s="325">
        <v>175.50463790109717</v>
      </c>
      <c r="D241" s="3680">
        <v>105.12101302158935</v>
      </c>
      <c r="E241" s="3680">
        <v>94.912551345256986</v>
      </c>
      <c r="F241" s="326">
        <v>132.96711502631467</v>
      </c>
      <c r="G241" s="1469"/>
      <c r="H241" s="1471"/>
      <c r="I241" s="1472"/>
    </row>
    <row r="242" spans="1:9">
      <c r="A242" s="1468">
        <f t="shared" si="0"/>
        <v>2010.05</v>
      </c>
      <c r="B242" s="324">
        <v>128.20502962332748</v>
      </c>
      <c r="C242" s="325">
        <v>170.02810162105527</v>
      </c>
      <c r="D242" s="3680">
        <v>104.28944667711711</v>
      </c>
      <c r="E242" s="3680">
        <v>94.514808989483058</v>
      </c>
      <c r="F242" s="326">
        <v>124.0965382404917</v>
      </c>
      <c r="G242" s="1469"/>
      <c r="H242" s="1471"/>
      <c r="I242" s="1472"/>
    </row>
    <row r="243" spans="1:9">
      <c r="A243" s="1468">
        <f t="shared" si="0"/>
        <v>2010.06</v>
      </c>
      <c r="B243" s="324">
        <v>126.60627747499066</v>
      </c>
      <c r="C243" s="325">
        <v>169.8691091812529</v>
      </c>
      <c r="D243" s="3680">
        <v>103.49742702795336</v>
      </c>
      <c r="E243" s="3680">
        <v>94.162901405963268</v>
      </c>
      <c r="F243" s="326">
        <v>119.46573378288167</v>
      </c>
      <c r="G243" s="1469"/>
      <c r="H243" s="1471"/>
      <c r="I243" s="1472"/>
    </row>
    <row r="244" spans="1:9">
      <c r="A244" s="1468">
        <f t="shared" si="0"/>
        <v>2010.07</v>
      </c>
      <c r="B244" s="324">
        <v>127.96275138767211</v>
      </c>
      <c r="C244" s="325">
        <v>171.39139665090727</v>
      </c>
      <c r="D244" s="3680">
        <v>102.49563627686554</v>
      </c>
      <c r="E244" s="3680">
        <v>94.770915486194411</v>
      </c>
      <c r="F244" s="326">
        <v>123.59868158838931</v>
      </c>
      <c r="G244" s="1469"/>
      <c r="H244" s="1471"/>
      <c r="I244" s="1472"/>
    </row>
    <row r="245" spans="1:9">
      <c r="A245" s="1468">
        <f t="shared" si="0"/>
        <v>2010.08</v>
      </c>
      <c r="B245" s="324">
        <v>127.72426650910573</v>
      </c>
      <c r="C245" s="325">
        <v>170.40187643286896</v>
      </c>
      <c r="D245" s="3680">
        <v>101.46318647136327</v>
      </c>
      <c r="E245" s="3680">
        <v>95.27072851232839</v>
      </c>
      <c r="F245" s="326">
        <v>122.95690425165606</v>
      </c>
      <c r="G245" s="1469"/>
      <c r="H245" s="1471"/>
      <c r="I245" s="1472"/>
    </row>
    <row r="246" spans="1:9">
      <c r="A246" s="1468">
        <f t="shared" si="0"/>
        <v>2010.09</v>
      </c>
      <c r="B246" s="324">
        <v>128.70569698247132</v>
      </c>
      <c r="C246" s="325">
        <v>173.36207829520703</v>
      </c>
      <c r="D246" s="3680">
        <v>100.64688383995968</v>
      </c>
      <c r="E246" s="3680">
        <v>94.503769984057442</v>
      </c>
      <c r="F246" s="326">
        <v>123.75785249862089</v>
      </c>
      <c r="G246" s="1469"/>
      <c r="H246" s="1471"/>
      <c r="I246" s="1472"/>
    </row>
    <row r="247" spans="1:9">
      <c r="A247" s="1468">
        <f t="shared" si="0"/>
        <v>2010.1</v>
      </c>
      <c r="B247" s="324">
        <v>129.49340864146743</v>
      </c>
      <c r="C247" s="325">
        <v>173.96118234203408</v>
      </c>
      <c r="D247" s="3680">
        <v>98.620322577076905</v>
      </c>
      <c r="E247" s="3680">
        <v>91.86601774191044</v>
      </c>
      <c r="F247" s="326">
        <v>128.95563354851507</v>
      </c>
      <c r="G247" s="1469"/>
      <c r="H247" s="1471"/>
      <c r="I247" s="1472"/>
    </row>
    <row r="248" spans="1:9">
      <c r="A248" s="1468">
        <f t="shared" si="0"/>
        <v>2010.11</v>
      </c>
      <c r="B248" s="324">
        <v>126.01228875825738</v>
      </c>
      <c r="C248" s="325">
        <v>168.59779498440494</v>
      </c>
      <c r="D248" s="3680">
        <v>96.7412813562552</v>
      </c>
      <c r="E248" s="3680">
        <v>89.888770003173448</v>
      </c>
      <c r="F248" s="326">
        <v>124.11094473697293</v>
      </c>
      <c r="G248" s="1469"/>
      <c r="H248" s="1471"/>
      <c r="I248" s="1472"/>
    </row>
    <row r="249" spans="1:9">
      <c r="A249" s="1468">
        <f t="shared" si="0"/>
        <v>2010.12</v>
      </c>
      <c r="B249" s="324">
        <v>124.50316957888232</v>
      </c>
      <c r="C249" s="325">
        <v>168.86200774446397</v>
      </c>
      <c r="D249" s="3680">
        <v>95.537476054198976</v>
      </c>
      <c r="E249" s="3680">
        <v>89.321796018062145</v>
      </c>
      <c r="F249" s="326">
        <v>118.78199741860401</v>
      </c>
      <c r="G249" s="1469"/>
      <c r="H249" s="1471"/>
      <c r="I249" s="1472"/>
    </row>
    <row r="250" spans="1:9">
      <c r="A250" s="1468">
        <f t="shared" si="0"/>
        <v>2011.01</v>
      </c>
      <c r="B250" s="324">
        <v>124.61287436342791</v>
      </c>
      <c r="C250" s="325">
        <v>169.92294211102302</v>
      </c>
      <c r="D250" s="3680">
        <v>94.711588612044679</v>
      </c>
      <c r="E250" s="3680">
        <v>90.164938260277253</v>
      </c>
      <c r="F250" s="326">
        <v>118.52064039355724</v>
      </c>
      <c r="G250" s="1469"/>
      <c r="H250" s="1471"/>
      <c r="I250" s="1472"/>
    </row>
    <row r="251" spans="1:9">
      <c r="A251" s="1468">
        <f t="shared" si="0"/>
        <v>2011.02</v>
      </c>
      <c r="B251" s="324">
        <v>126.45368647994815</v>
      </c>
      <c r="C251" s="325">
        <v>172.09025987644981</v>
      </c>
      <c r="D251" s="3680">
        <v>94.931292252836911</v>
      </c>
      <c r="E251" s="3680">
        <v>92.426649967126764</v>
      </c>
      <c r="F251" s="326">
        <v>120.77670138402097</v>
      </c>
      <c r="G251" s="1469"/>
      <c r="H251" s="1471"/>
      <c r="I251" s="1472"/>
    </row>
    <row r="252" spans="1:9">
      <c r="A252" s="1468">
        <f t="shared" si="0"/>
        <v>2011.03</v>
      </c>
      <c r="B252" s="324">
        <v>126.52727769508664</v>
      </c>
      <c r="C252" s="325">
        <v>171.82247196182439</v>
      </c>
      <c r="D252" s="3680">
        <v>93.891300540165219</v>
      </c>
      <c r="E252" s="3680">
        <v>91.593706437623922</v>
      </c>
      <c r="F252" s="326">
        <v>123.31290023786691</v>
      </c>
      <c r="G252" s="1469"/>
      <c r="H252" s="1471"/>
      <c r="I252" s="1472"/>
    </row>
    <row r="253" spans="1:9">
      <c r="A253" s="1468">
        <f t="shared" si="0"/>
        <v>2011.04</v>
      </c>
      <c r="B253" s="324">
        <v>128.22840412310197</v>
      </c>
      <c r="C253" s="325">
        <v>177.81069274758923</v>
      </c>
      <c r="D253" s="3680">
        <v>92.62216848745787</v>
      </c>
      <c r="E253" s="3680">
        <v>89.532109229726302</v>
      </c>
      <c r="F253" s="326">
        <v>125.93203394235132</v>
      </c>
      <c r="G253" s="1469"/>
      <c r="H253" s="1471"/>
      <c r="I253" s="1472"/>
    </row>
    <row r="254" spans="1:9">
      <c r="A254" s="1468">
        <f t="shared" si="0"/>
        <v>2011.05</v>
      </c>
      <c r="B254" s="324">
        <v>125.84597679313256</v>
      </c>
      <c r="C254" s="325">
        <v>173.00696496188439</v>
      </c>
      <c r="D254" s="3680">
        <v>91.409908969043059</v>
      </c>
      <c r="E254" s="3680">
        <v>88.877945510351665</v>
      </c>
      <c r="F254" s="326">
        <v>123.06664257763974</v>
      </c>
      <c r="G254" s="1469"/>
      <c r="H254" s="1471"/>
      <c r="I254" s="1472"/>
    </row>
    <row r="255" spans="1:9">
      <c r="A255" s="1468">
        <f t="shared" si="0"/>
        <v>2011.06</v>
      </c>
      <c r="B255" s="324">
        <v>125.29492273661208</v>
      </c>
      <c r="C255" s="325">
        <v>173.67100212022825</v>
      </c>
      <c r="D255" s="3680">
        <v>90.351845567220252</v>
      </c>
      <c r="E255" s="3680">
        <v>88.655821017293675</v>
      </c>
      <c r="F255" s="326">
        <v>121.96908756015452</v>
      </c>
      <c r="G255" s="1469"/>
      <c r="H255" s="1471"/>
      <c r="I255" s="1472"/>
    </row>
    <row r="256" spans="1:9">
      <c r="A256" s="1468">
        <f t="shared" si="0"/>
        <v>2011.07</v>
      </c>
      <c r="B256" s="324">
        <v>125.57308500163271</v>
      </c>
      <c r="C256" s="325">
        <v>175.50435618875591</v>
      </c>
      <c r="D256" s="3680">
        <v>89.724173730810861</v>
      </c>
      <c r="E256" s="3680">
        <v>89.509946928287604</v>
      </c>
      <c r="F256" s="326">
        <v>119.86938351988222</v>
      </c>
      <c r="G256" s="1469"/>
      <c r="H256" s="1471"/>
      <c r="I256" s="1472"/>
    </row>
    <row r="257" spans="1:9">
      <c r="A257" s="1468">
        <f t="shared" si="0"/>
        <v>2011.08</v>
      </c>
      <c r="B257" s="324">
        <v>123.52060133047085</v>
      </c>
      <c r="C257" s="325">
        <v>170.19955616686892</v>
      </c>
      <c r="D257" s="3680">
        <v>89.014167592326118</v>
      </c>
      <c r="E257" s="3680">
        <v>90.873882534628791</v>
      </c>
      <c r="F257" s="326">
        <v>118.627587003806</v>
      </c>
      <c r="G257" s="1469"/>
      <c r="H257" s="1471"/>
      <c r="I257" s="1472"/>
    </row>
    <row r="258" spans="1:9">
      <c r="A258" s="1468">
        <f t="shared" si="0"/>
        <v>2011.09</v>
      </c>
      <c r="B258" s="324">
        <v>116.65557747668164</v>
      </c>
      <c r="C258" s="325">
        <v>155.17638983604476</v>
      </c>
      <c r="D258" s="3680">
        <v>88.094960391851501</v>
      </c>
      <c r="E258" s="3680">
        <v>89.275135980114726</v>
      </c>
      <c r="F258" s="326">
        <v>112.98695158722811</v>
      </c>
      <c r="G258" s="1469"/>
      <c r="H258" s="1471"/>
      <c r="I258" s="1472"/>
    </row>
    <row r="259" spans="1:9">
      <c r="A259" s="1468">
        <f t="shared" si="0"/>
        <v>2011.1</v>
      </c>
      <c r="B259" s="324">
        <v>114.09466059821933</v>
      </c>
      <c r="C259" s="325">
        <v>151.44211878150438</v>
      </c>
      <c r="D259" s="3680">
        <v>87.273613416213237</v>
      </c>
      <c r="E259" s="3680">
        <v>86.828391754572294</v>
      </c>
      <c r="F259" s="326">
        <v>111.98301559095258</v>
      </c>
      <c r="G259" s="1469"/>
      <c r="H259" s="1471"/>
      <c r="I259" s="1472"/>
    </row>
    <row r="260" spans="1:9">
      <c r="A260" s="1468">
        <f t="shared" si="0"/>
        <v>2011.11</v>
      </c>
      <c r="B260" s="324">
        <v>113.08228879978407</v>
      </c>
      <c r="C260" s="325">
        <v>150.09846993131853</v>
      </c>
      <c r="D260" s="3680">
        <v>87.12431641146334</v>
      </c>
      <c r="E260" s="3680">
        <v>85.823827254283344</v>
      </c>
      <c r="F260" s="326">
        <v>110.60273456844591</v>
      </c>
      <c r="G260" s="1469"/>
      <c r="H260" s="1471"/>
      <c r="I260" s="1472"/>
    </row>
    <row r="261" spans="1:9">
      <c r="A261" s="1468">
        <f t="shared" si="0"/>
        <v>2011.12</v>
      </c>
      <c r="B261" s="324">
        <v>110.41459248656392</v>
      </c>
      <c r="C261" s="325">
        <v>145.50758110965802</v>
      </c>
      <c r="D261" s="3680">
        <v>86.34352139371579</v>
      </c>
      <c r="E261" s="3680">
        <v>85.30675963533487</v>
      </c>
      <c r="F261" s="326">
        <v>106.52523407664607</v>
      </c>
      <c r="G261" s="1469"/>
      <c r="H261" s="1471"/>
      <c r="I261" s="1472"/>
    </row>
    <row r="262" spans="1:9">
      <c r="A262" s="1468">
        <f t="shared" si="0"/>
        <v>2012.01</v>
      </c>
      <c r="B262" s="324">
        <v>111.10280371543463</v>
      </c>
      <c r="C262" s="325">
        <v>148.95206281067937</v>
      </c>
      <c r="D262" s="3680">
        <v>85.842240306059708</v>
      </c>
      <c r="E262" s="3680">
        <v>86.505688209121772</v>
      </c>
      <c r="F262" s="326">
        <v>103.33130491811046</v>
      </c>
      <c r="G262" s="1469"/>
      <c r="H262" s="1471"/>
      <c r="I262" s="1472"/>
    </row>
    <row r="263" spans="1:9">
      <c r="A263" s="1468">
        <f t="shared" si="0"/>
        <v>2012.02</v>
      </c>
      <c r="B263" s="324">
        <v>113.81070716472175</v>
      </c>
      <c r="C263" s="325">
        <v>155.07514272702858</v>
      </c>
      <c r="D263" s="3680">
        <v>85.462047256268932</v>
      </c>
      <c r="E263" s="3680">
        <v>87.65910027473511</v>
      </c>
      <c r="F263" s="326">
        <v>105.14632984296648</v>
      </c>
      <c r="G263" s="1469"/>
      <c r="H263" s="1471"/>
      <c r="I263" s="1472"/>
    </row>
    <row r="264" spans="1:9">
      <c r="A264" s="1468">
        <f t="shared" si="0"/>
        <v>2012.03</v>
      </c>
      <c r="B264" s="324">
        <v>109.80158632124116</v>
      </c>
      <c r="C264" s="325">
        <v>145.67247731735267</v>
      </c>
      <c r="D264" s="3680">
        <v>83.762127211356216</v>
      </c>
      <c r="E264" s="3680">
        <v>85.560158964328977</v>
      </c>
      <c r="F264" s="326">
        <v>103.57996138391002</v>
      </c>
      <c r="G264" s="1469"/>
      <c r="H264" s="1471"/>
      <c r="I264" s="1472"/>
    </row>
    <row r="265" spans="1:9">
      <c r="A265" s="1468">
        <f t="shared" si="0"/>
        <v>2012.04</v>
      </c>
      <c r="B265" s="324">
        <v>106.90182383076207</v>
      </c>
      <c r="C265" s="325">
        <v>139.20375506025763</v>
      </c>
      <c r="D265" s="3680">
        <v>82.522886350443557</v>
      </c>
      <c r="E265" s="3680">
        <v>83.496005175033304</v>
      </c>
      <c r="F265" s="326">
        <v>102.50490637437787</v>
      </c>
      <c r="G265" s="1469"/>
      <c r="H265" s="1471"/>
      <c r="I265" s="1472"/>
    </row>
    <row r="266" spans="1:9">
      <c r="A266" s="1468">
        <f t="shared" si="0"/>
        <v>2012.05</v>
      </c>
      <c r="B266" s="324">
        <v>102.62518330711818</v>
      </c>
      <c r="C266" s="325">
        <v>129.63076431833778</v>
      </c>
      <c r="D266" s="3680">
        <v>81.876842776680817</v>
      </c>
      <c r="E266" s="3680">
        <v>82.713103550587689</v>
      </c>
      <c r="F266" s="326">
        <v>98.950632361793154</v>
      </c>
      <c r="G266" s="1469"/>
      <c r="H266" s="1471"/>
      <c r="I266" s="1472"/>
    </row>
    <row r="267" spans="1:9">
      <c r="A267" s="1468">
        <f t="shared" si="0"/>
        <v>2012.06</v>
      </c>
      <c r="B267" s="324">
        <v>100.26682728549852</v>
      </c>
      <c r="C267" s="325">
        <v>125.5261397816589</v>
      </c>
      <c r="D267" s="3680">
        <v>81.464541815258301</v>
      </c>
      <c r="E267" s="3680">
        <v>82.045258634109558</v>
      </c>
      <c r="F267" s="326">
        <v>96.399016799782785</v>
      </c>
      <c r="G267" s="1469"/>
      <c r="H267" s="1471"/>
      <c r="I267" s="1472"/>
    </row>
    <row r="268" spans="1:9">
      <c r="A268" s="1468">
        <f t="shared" si="0"/>
        <v>2012.07</v>
      </c>
      <c r="B268" s="324">
        <v>100.09535171119383</v>
      </c>
      <c r="C268" s="325">
        <v>126.25812231459405</v>
      </c>
      <c r="D268" s="3680">
        <v>81.063726297672233</v>
      </c>
      <c r="E268" s="3680">
        <v>82.334725865380705</v>
      </c>
      <c r="F268" s="326">
        <v>93.834862550801589</v>
      </c>
      <c r="G268" s="1469"/>
      <c r="H268" s="1471"/>
      <c r="I268" s="1472"/>
    </row>
    <row r="269" spans="1:9">
      <c r="A269" s="1468">
        <f t="shared" si="0"/>
        <v>2012.08</v>
      </c>
      <c r="B269" s="324">
        <v>100.46264517601809</v>
      </c>
      <c r="C269" s="325">
        <v>126.2087827265763</v>
      </c>
      <c r="D269" s="3680">
        <v>80.811793672301363</v>
      </c>
      <c r="E269" s="3680">
        <v>83.348465198426254</v>
      </c>
      <c r="F269" s="326">
        <v>94.020068928352714</v>
      </c>
      <c r="G269" s="1469"/>
      <c r="H269" s="1471"/>
      <c r="I269" s="1472"/>
    </row>
    <row r="270" spans="1:9">
      <c r="A270" s="1468">
        <f t="shared" si="0"/>
        <v>2012.09</v>
      </c>
      <c r="B270" s="324">
        <v>101.52839203898388</v>
      </c>
      <c r="C270" s="325">
        <v>126.2104792103347</v>
      </c>
      <c r="D270" s="3680">
        <v>80.875810951358744</v>
      </c>
      <c r="E270" s="3680">
        <v>82.944937970781382</v>
      </c>
      <c r="F270" s="326">
        <v>97.738221345999392</v>
      </c>
      <c r="G270" s="1469"/>
      <c r="H270" s="1471"/>
      <c r="I270" s="1472"/>
    </row>
    <row r="271" spans="1:9">
      <c r="A271" s="1468">
        <f t="shared" si="0"/>
        <v>2012.1</v>
      </c>
      <c r="B271" s="324">
        <v>101.80860950436643</v>
      </c>
      <c r="C271" s="325">
        <v>126.4078210736137</v>
      </c>
      <c r="D271" s="3680">
        <v>80.973281108809644</v>
      </c>
      <c r="E271" s="3680">
        <v>81.576616743502228</v>
      </c>
      <c r="F271" s="326">
        <v>98.732322934396308</v>
      </c>
      <c r="G271" s="1469"/>
      <c r="H271" s="1471"/>
      <c r="I271" s="1472"/>
    </row>
    <row r="272" spans="1:9">
      <c r="A272" s="1468">
        <f t="shared" si="0"/>
        <v>2012.11</v>
      </c>
      <c r="B272" s="324">
        <v>100.65027122348569</v>
      </c>
      <c r="C272" s="325">
        <v>124.5924805622321</v>
      </c>
      <c r="D272" s="3680">
        <v>80.738052057658095</v>
      </c>
      <c r="E272" s="3680">
        <v>80.991696944761529</v>
      </c>
      <c r="F272" s="326">
        <v>97.298404645420632</v>
      </c>
      <c r="G272" s="1469"/>
      <c r="H272" s="1471"/>
      <c r="I272" s="1472"/>
    </row>
    <row r="273" spans="1:9">
      <c r="A273" s="1468">
        <f t="shared" si="0"/>
        <v>2012.12</v>
      </c>
      <c r="B273" s="324">
        <v>101.37999425046318</v>
      </c>
      <c r="C273" s="325">
        <v>124.64621861295394</v>
      </c>
      <c r="D273" s="3680">
        <v>80.681823247576119</v>
      </c>
      <c r="E273" s="3680">
        <v>81.568761239500233</v>
      </c>
      <c r="F273" s="326">
        <v>99.590196382820253</v>
      </c>
      <c r="G273" s="1469"/>
      <c r="H273" s="1471"/>
      <c r="I273" s="1472"/>
    </row>
    <row r="274" spans="1:9">
      <c r="A274" s="1468">
        <f t="shared" si="0"/>
        <v>2013.01</v>
      </c>
      <c r="B274" s="324">
        <v>102.51903725984633</v>
      </c>
      <c r="C274" s="325">
        <v>128.07390902832532</v>
      </c>
      <c r="D274" s="3680">
        <v>80.407460180813189</v>
      </c>
      <c r="E274" s="3680">
        <v>82.634796853503659</v>
      </c>
      <c r="F274" s="326">
        <v>100.17337814687281</v>
      </c>
      <c r="G274" s="1469"/>
      <c r="H274" s="1471"/>
      <c r="I274" s="1472"/>
    </row>
    <row r="275" spans="1:9">
      <c r="A275" s="1468">
        <f t="shared" si="0"/>
        <v>2013.02</v>
      </c>
      <c r="B275" s="324">
        <v>103.48037641404355</v>
      </c>
      <c r="C275" s="325">
        <v>131.96178387576671</v>
      </c>
      <c r="D275" s="3680">
        <v>80.199911550611588</v>
      </c>
      <c r="E275" s="3680">
        <v>83.753296727148651</v>
      </c>
      <c r="F275" s="326">
        <v>99.656360721541432</v>
      </c>
      <c r="G275" s="1469"/>
      <c r="H275" s="1471"/>
      <c r="I275" s="1472"/>
    </row>
    <row r="276" spans="1:9">
      <c r="A276" s="1468">
        <f t="shared" si="0"/>
        <v>2013.03</v>
      </c>
      <c r="B276" s="324">
        <v>102.67538236426583</v>
      </c>
      <c r="C276" s="325">
        <v>131.43105024051025</v>
      </c>
      <c r="D276" s="3680">
        <v>80.042379610793034</v>
      </c>
      <c r="E276" s="3680">
        <v>83.720698860289033</v>
      </c>
      <c r="F276" s="326">
        <v>97.091605436011051</v>
      </c>
      <c r="G276" s="1469"/>
      <c r="H276" s="1471"/>
      <c r="I276" s="1472"/>
    </row>
    <row r="277" spans="1:9">
      <c r="A277" s="1468">
        <f t="shared" si="0"/>
        <v>2013.04</v>
      </c>
      <c r="B277" s="324">
        <v>102.19310801075126</v>
      </c>
      <c r="C277" s="325">
        <v>130.43592365932469</v>
      </c>
      <c r="D277" s="3680">
        <v>79.347433703422865</v>
      </c>
      <c r="E277" s="3680">
        <v>82.551713535346238</v>
      </c>
      <c r="F277" s="326">
        <v>97.569765251032734</v>
      </c>
      <c r="G277" s="1469"/>
      <c r="H277" s="1471"/>
      <c r="I277" s="1472"/>
    </row>
    <row r="278" spans="1:9">
      <c r="A278" s="1468">
        <f t="shared" ref="A278:A342" si="1">A266+1</f>
        <v>2013.05</v>
      </c>
      <c r="B278" s="324">
        <v>101.31354578316255</v>
      </c>
      <c r="C278" s="325">
        <v>128.40463467470613</v>
      </c>
      <c r="D278" s="3680">
        <v>79.174285300130606</v>
      </c>
      <c r="E278" s="3680">
        <v>83.158112853698455</v>
      </c>
      <c r="F278" s="326">
        <v>97.009468086877661</v>
      </c>
      <c r="G278" s="1469"/>
      <c r="H278" s="1471"/>
      <c r="I278" s="1472"/>
    </row>
    <row r="279" spans="1:9">
      <c r="A279" s="1468">
        <f t="shared" si="1"/>
        <v>2013.06</v>
      </c>
      <c r="B279" s="324">
        <v>99.06137456208522</v>
      </c>
      <c r="C279" s="325">
        <v>121.06958488400743</v>
      </c>
      <c r="D279" s="3680">
        <v>79.186553793740785</v>
      </c>
      <c r="E279" s="3680">
        <v>83.453481726763485</v>
      </c>
      <c r="F279" s="326">
        <v>98.772541673182104</v>
      </c>
      <c r="G279" s="1469"/>
      <c r="H279" s="1471"/>
      <c r="I279" s="1472"/>
    </row>
    <row r="280" spans="1:9">
      <c r="A280" s="1468">
        <f t="shared" si="1"/>
        <v>2013.07</v>
      </c>
      <c r="B280" s="324">
        <v>97.283228891515719</v>
      </c>
      <c r="C280" s="325">
        <v>116.2261728485925</v>
      </c>
      <c r="D280" s="3680">
        <v>79.210144081590684</v>
      </c>
      <c r="E280" s="3680">
        <v>84.3067192204674</v>
      </c>
      <c r="F280" s="326">
        <v>97.457730830455631</v>
      </c>
      <c r="G280" s="1469"/>
      <c r="H280" s="1471"/>
      <c r="I280" s="1472"/>
    </row>
    <row r="281" spans="1:9">
      <c r="A281" s="1468">
        <f t="shared" si="1"/>
        <v>2013.08</v>
      </c>
      <c r="B281" s="324">
        <v>96.860668677054704</v>
      </c>
      <c r="C281" s="325">
        <v>112.56365818475153</v>
      </c>
      <c r="D281" s="3680">
        <v>79.697056192377275</v>
      </c>
      <c r="E281" s="3680">
        <v>86.223833005476507</v>
      </c>
      <c r="F281" s="326">
        <v>99.419368537308983</v>
      </c>
      <c r="G281" s="1469"/>
      <c r="H281" s="1471"/>
      <c r="I281" s="1472"/>
    </row>
    <row r="282" spans="1:9">
      <c r="A282" s="1468">
        <f t="shared" si="1"/>
        <v>2013.09</v>
      </c>
      <c r="B282" s="324">
        <v>98.923597907498035</v>
      </c>
      <c r="C282" s="325">
        <v>117.13208316382443</v>
      </c>
      <c r="D282" s="3680">
        <v>80.422691385863146</v>
      </c>
      <c r="E282" s="3680">
        <v>86.499327382150156</v>
      </c>
      <c r="F282" s="326">
        <v>100.78821323636573</v>
      </c>
      <c r="G282" s="1469"/>
      <c r="H282" s="1471"/>
      <c r="I282" s="1472"/>
    </row>
    <row r="283" spans="1:9">
      <c r="A283" s="1468">
        <f t="shared" si="1"/>
        <v>2013.1</v>
      </c>
      <c r="B283" s="324">
        <v>100.52661867948017</v>
      </c>
      <c r="C283" s="325">
        <v>121.5261889841674</v>
      </c>
      <c r="D283" s="3680">
        <v>80.127272282516898</v>
      </c>
      <c r="E283" s="3680">
        <v>84.712696443753757</v>
      </c>
      <c r="F283" s="326">
        <v>102.58838802524203</v>
      </c>
      <c r="G283" s="1469"/>
      <c r="H283" s="1471"/>
      <c r="I283" s="1472"/>
    </row>
    <row r="284" spans="1:9">
      <c r="A284" s="1468">
        <f t="shared" si="1"/>
        <v>2013.11</v>
      </c>
      <c r="B284" s="324">
        <v>98.566864919009149</v>
      </c>
      <c r="C284" s="325">
        <v>116.58276278783107</v>
      </c>
      <c r="D284" s="3680">
        <v>80.343958777904291</v>
      </c>
      <c r="E284" s="3680">
        <v>84.098951357377715</v>
      </c>
      <c r="F284" s="326">
        <v>101.51828315450547</v>
      </c>
      <c r="G284" s="1469"/>
      <c r="H284" s="1471"/>
      <c r="I284" s="1472"/>
    </row>
    <row r="285" spans="1:9">
      <c r="A285" s="1468">
        <f t="shared" si="1"/>
        <v>2013.12</v>
      </c>
      <c r="B285" s="324">
        <v>101.02939709105701</v>
      </c>
      <c r="C285" s="325">
        <v>118.00405955422684</v>
      </c>
      <c r="D285" s="3680">
        <v>82.643556291602096</v>
      </c>
      <c r="E285" s="3680">
        <v>86.878295417931682</v>
      </c>
      <c r="F285" s="326">
        <v>106.04161053044301</v>
      </c>
      <c r="G285" s="1469"/>
      <c r="H285" s="1471"/>
      <c r="I285" s="1472"/>
    </row>
    <row r="286" spans="1:9">
      <c r="A286" s="1468">
        <f t="shared" si="1"/>
        <v>2014.01</v>
      </c>
      <c r="B286" s="324">
        <v>108.18112142933694</v>
      </c>
      <c r="C286" s="325">
        <v>125.98233445888818</v>
      </c>
      <c r="D286" s="3680">
        <v>89.059411603403461</v>
      </c>
      <c r="E286" s="3680">
        <v>94.996934716821812</v>
      </c>
      <c r="F286" s="326">
        <v>112.76349967194682</v>
      </c>
      <c r="G286" s="1469"/>
      <c r="H286" s="1471"/>
      <c r="I286" s="1472"/>
    </row>
    <row r="287" spans="1:9">
      <c r="A287" s="1468">
        <f t="shared" si="1"/>
        <v>2014.02</v>
      </c>
      <c r="B287" s="324">
        <v>114.79852774296717</v>
      </c>
      <c r="C287" s="325">
        <v>134.03912349474865</v>
      </c>
      <c r="D287" s="3680">
        <v>94.360735406002888</v>
      </c>
      <c r="E287" s="3680">
        <v>101.92196575640753</v>
      </c>
      <c r="F287" s="326">
        <v>119.13128153664631</v>
      </c>
      <c r="G287" s="1469"/>
      <c r="H287" s="1471"/>
      <c r="I287" s="1472"/>
    </row>
    <row r="288" spans="1:9">
      <c r="A288" s="1468">
        <f t="shared" si="1"/>
        <v>2014.03</v>
      </c>
      <c r="B288" s="324">
        <v>112.15815746112361</v>
      </c>
      <c r="C288" s="325">
        <v>133.32235610632412</v>
      </c>
      <c r="D288" s="3680">
        <v>91.033967324977723</v>
      </c>
      <c r="E288" s="3680">
        <v>96.662138696504741</v>
      </c>
      <c r="F288" s="326">
        <v>116.96574534061476</v>
      </c>
      <c r="G288" s="1469"/>
      <c r="H288" s="1471"/>
      <c r="I288" s="1472"/>
    </row>
    <row r="289" spans="1:9">
      <c r="A289" s="1468">
        <f t="shared" si="1"/>
        <v>2014.04</v>
      </c>
      <c r="B289" s="324">
        <v>111.61090168901075</v>
      </c>
      <c r="C289" s="325">
        <v>136.80196656045192</v>
      </c>
      <c r="D289" s="3680">
        <v>89.197315734514092</v>
      </c>
      <c r="E289" s="3680">
        <v>92.496105302145708</v>
      </c>
      <c r="F289" s="326">
        <v>114.8649929126032</v>
      </c>
      <c r="G289" s="1469"/>
      <c r="H289" s="1471"/>
      <c r="I289" s="1472"/>
    </row>
    <row r="290" spans="1:9">
      <c r="A290" s="1468">
        <f t="shared" si="1"/>
        <v>2014.05</v>
      </c>
      <c r="B290" s="324">
        <v>109.79693886319291</v>
      </c>
      <c r="C290" s="325">
        <v>135.40923927953665</v>
      </c>
      <c r="D290" s="3680">
        <v>87.540671877619388</v>
      </c>
      <c r="E290" s="3680">
        <v>90.591390966363306</v>
      </c>
      <c r="F290" s="326">
        <v>111.88861353509103</v>
      </c>
      <c r="G290" s="1469"/>
      <c r="H290" s="1471"/>
      <c r="I290" s="1472"/>
    </row>
    <row r="291" spans="1:9">
      <c r="A291" s="1468">
        <f t="shared" si="1"/>
        <v>2014.06</v>
      </c>
      <c r="B291" s="324">
        <v>108.45302496158084</v>
      </c>
      <c r="C291" s="325">
        <v>133.77337066118827</v>
      </c>
      <c r="D291" s="3680">
        <v>86.607314533169088</v>
      </c>
      <c r="E291" s="3680">
        <v>90.146384063039619</v>
      </c>
      <c r="F291" s="326">
        <v>109.53658260740062</v>
      </c>
      <c r="G291" s="1469"/>
      <c r="H291" s="1471"/>
      <c r="I291" s="1472"/>
    </row>
    <row r="292" spans="1:9">
      <c r="A292" s="1468">
        <f t="shared" si="1"/>
        <v>2014.07</v>
      </c>
      <c r="B292" s="324">
        <v>107.08538215082295</v>
      </c>
      <c r="C292" s="325">
        <v>132.4400282794935</v>
      </c>
      <c r="D292" s="3680">
        <v>85.303305467366698</v>
      </c>
      <c r="E292" s="3680">
        <v>90.117797001104179</v>
      </c>
      <c r="F292" s="326">
        <v>106.92285120077055</v>
      </c>
      <c r="G292" s="1469"/>
      <c r="H292" s="1471"/>
      <c r="I292" s="1472"/>
    </row>
    <row r="293" spans="1:9">
      <c r="A293" s="1468">
        <f t="shared" si="1"/>
        <v>2014.08</v>
      </c>
      <c r="B293" s="324">
        <v>105.69477818846093</v>
      </c>
      <c r="C293" s="325">
        <v>129.65152024276097</v>
      </c>
      <c r="D293" s="3680">
        <v>85.080276542264599</v>
      </c>
      <c r="E293" s="3680">
        <v>91.843177983945878</v>
      </c>
      <c r="F293" s="326">
        <v>104.60556654051997</v>
      </c>
      <c r="G293" s="1469"/>
      <c r="H293" s="1471"/>
      <c r="I293" s="1472"/>
    </row>
    <row r="294" spans="1:9">
      <c r="A294" s="1468">
        <f t="shared" si="1"/>
        <v>2014.09</v>
      </c>
      <c r="B294" s="324">
        <v>102.48409365650217</v>
      </c>
      <c r="C294" s="325">
        <v>124.7940015675988</v>
      </c>
      <c r="D294" s="3680">
        <v>83.989218247922523</v>
      </c>
      <c r="E294" s="3680">
        <v>90.17284369505181</v>
      </c>
      <c r="F294" s="326">
        <v>100.18630212220005</v>
      </c>
      <c r="G294" s="1469"/>
      <c r="H294" s="1471"/>
      <c r="I294" s="1472"/>
    </row>
    <row r="295" spans="1:9">
      <c r="A295" s="1468">
        <f t="shared" si="1"/>
        <v>2014.1</v>
      </c>
      <c r="B295" s="324">
        <v>98.9684525661701</v>
      </c>
      <c r="C295" s="325">
        <v>117.93642813556473</v>
      </c>
      <c r="D295" s="3680">
        <v>82.858326666102087</v>
      </c>
      <c r="E295" s="3680">
        <v>87.259722099174937</v>
      </c>
      <c r="F295" s="326">
        <v>97.273598556255791</v>
      </c>
      <c r="G295" s="1469"/>
      <c r="H295" s="1471"/>
      <c r="I295" s="1472"/>
    </row>
    <row r="296" spans="1:9">
      <c r="A296" s="1468">
        <f t="shared" si="1"/>
        <v>2014.11</v>
      </c>
      <c r="B296" s="324">
        <v>95.998362429085844</v>
      </c>
      <c r="C296" s="325">
        <v>112.58096975157129</v>
      </c>
      <c r="D296" s="3680">
        <v>81.83701166848482</v>
      </c>
      <c r="E296" s="3680">
        <v>85.253988709756598</v>
      </c>
      <c r="F296" s="326">
        <v>94.546165992431895</v>
      </c>
      <c r="G296" s="1469"/>
      <c r="H296" s="1471"/>
      <c r="I296" s="1472"/>
    </row>
    <row r="297" spans="1:9">
      <c r="A297" s="1468">
        <f t="shared" si="1"/>
        <v>2014.12</v>
      </c>
      <c r="B297" s="324">
        <v>93.041117301272266</v>
      </c>
      <c r="C297" s="325">
        <v>107.86533866486276</v>
      </c>
      <c r="D297" s="3680">
        <v>80.732682332601271</v>
      </c>
      <c r="E297" s="3680">
        <v>83.663023834279457</v>
      </c>
      <c r="F297" s="326">
        <v>92.15581955710185</v>
      </c>
      <c r="G297" s="1469"/>
      <c r="H297" s="1471"/>
      <c r="I297" s="1472"/>
    </row>
    <row r="298" spans="1:9">
      <c r="A298" s="1468">
        <f t="shared" si="1"/>
        <v>2015.01</v>
      </c>
      <c r="B298" s="324">
        <v>91.270743831734677</v>
      </c>
      <c r="C298" s="325">
        <v>108.28031818992902</v>
      </c>
      <c r="D298" s="3680">
        <v>79.54395465135029</v>
      </c>
      <c r="E298" s="3680">
        <v>83.310794045136035</v>
      </c>
      <c r="F298" s="326">
        <v>85.495150788161212</v>
      </c>
      <c r="G298" s="1469"/>
      <c r="H298" s="1471"/>
      <c r="I298" s="1472"/>
    </row>
    <row r="299" spans="1:9">
      <c r="A299" s="1468">
        <f t="shared" si="1"/>
        <v>2015.02</v>
      </c>
      <c r="B299" s="324">
        <v>88.681228940057579</v>
      </c>
      <c r="C299" s="325">
        <v>101.87306398153289</v>
      </c>
      <c r="D299" s="3680">
        <v>78.841323466386939</v>
      </c>
      <c r="E299" s="3680">
        <v>83.843393833818794</v>
      </c>
      <c r="F299" s="326">
        <v>82.479918546431762</v>
      </c>
      <c r="G299" s="1469"/>
      <c r="H299" s="1471"/>
      <c r="I299" s="1472"/>
    </row>
    <row r="300" spans="1:9">
      <c r="A300" s="1468">
        <f t="shared" si="1"/>
        <v>2015.03</v>
      </c>
      <c r="B300" s="324">
        <v>84.550356111864147</v>
      </c>
      <c r="C300" s="325">
        <v>91.711636550278158</v>
      </c>
      <c r="D300" s="3680">
        <v>78.487222635964031</v>
      </c>
      <c r="E300" s="3680">
        <v>83.646909451758916</v>
      </c>
      <c r="F300" s="326">
        <v>78.764605600430031</v>
      </c>
      <c r="G300" s="1469"/>
      <c r="H300" s="1471"/>
      <c r="I300" s="1472"/>
    </row>
    <row r="301" spans="1:9">
      <c r="A301" s="1468">
        <f t="shared" si="1"/>
        <v>2015.04</v>
      </c>
      <c r="B301" s="324">
        <v>84.904258459642634</v>
      </c>
      <c r="C301" s="325">
        <v>94.615031173862789</v>
      </c>
      <c r="D301" s="3680">
        <v>77.783165652575065</v>
      </c>
      <c r="E301" s="3680">
        <v>82.180086793347172</v>
      </c>
      <c r="F301" s="326">
        <v>78.279637236497521</v>
      </c>
      <c r="G301" s="1469"/>
      <c r="H301" s="1471"/>
      <c r="I301" s="1472"/>
    </row>
    <row r="302" spans="1:9">
      <c r="A302" s="1468">
        <f t="shared" si="1"/>
        <v>2015.05</v>
      </c>
      <c r="B302" s="324">
        <v>84.842819778875864</v>
      </c>
      <c r="C302" s="325">
        <v>94.107760414583609</v>
      </c>
      <c r="D302" s="3680">
        <v>77.087749188631747</v>
      </c>
      <c r="E302" s="3680">
        <v>81.345354079260758</v>
      </c>
      <c r="F302" s="326">
        <v>80.277829428259139</v>
      </c>
      <c r="G302" s="1469"/>
      <c r="H302" s="1471"/>
      <c r="I302" s="1472"/>
    </row>
    <row r="303" spans="1:9">
      <c r="A303" s="1468">
        <f t="shared" si="1"/>
        <v>2015.06</v>
      </c>
      <c r="B303" s="324">
        <v>84.018603756055441</v>
      </c>
      <c r="C303" s="325">
        <v>92.42957357108034</v>
      </c>
      <c r="D303" s="3680">
        <v>76.838016732107818</v>
      </c>
      <c r="E303" s="3680">
        <v>81.262456015662337</v>
      </c>
      <c r="F303" s="326">
        <v>80.372492327088693</v>
      </c>
      <c r="G303" s="1469"/>
      <c r="H303" s="1471"/>
      <c r="I303" s="1472"/>
    </row>
    <row r="304" spans="1:9">
      <c r="A304" s="1468">
        <f t="shared" si="1"/>
        <v>2015.07</v>
      </c>
      <c r="B304" s="324">
        <v>82.339262462486602</v>
      </c>
      <c r="C304" s="325">
        <v>89.467631352467947</v>
      </c>
      <c r="D304" s="3680">
        <v>76.513542950496472</v>
      </c>
      <c r="E304" s="3680">
        <v>81.788765639043518</v>
      </c>
      <c r="F304" s="326">
        <v>78.01091339736638</v>
      </c>
      <c r="G304" s="1469"/>
      <c r="H304" s="1471"/>
      <c r="I304" s="1472"/>
    </row>
    <row r="305" spans="1:9">
      <c r="A305" s="1468">
        <f t="shared" si="1"/>
        <v>2015.08</v>
      </c>
      <c r="B305" s="324">
        <v>79.255379154784663</v>
      </c>
      <c r="C305" s="325">
        <v>81.711356838588713</v>
      </c>
      <c r="D305" s="3680">
        <v>75.890919617984608</v>
      </c>
      <c r="E305" s="3680">
        <v>80.910904249235941</v>
      </c>
      <c r="F305" s="326">
        <v>78.020766611591384</v>
      </c>
      <c r="G305" s="1469"/>
      <c r="H305" s="1471"/>
      <c r="I305" s="1472"/>
    </row>
    <row r="306" spans="1:9">
      <c r="A306" s="1468">
        <f t="shared" si="1"/>
        <v>2015.09</v>
      </c>
      <c r="B306" s="324">
        <v>76.197346524263452</v>
      </c>
      <c r="C306" s="325">
        <v>73.343261218993732</v>
      </c>
      <c r="D306" s="3680">
        <v>75.364423294408496</v>
      </c>
      <c r="E306" s="3680">
        <v>79.303670322283779</v>
      </c>
      <c r="F306" s="326">
        <v>78.352434951257919</v>
      </c>
      <c r="G306" s="1469"/>
      <c r="H306" s="1471"/>
      <c r="I306" s="1472"/>
    </row>
    <row r="307" spans="1:9">
      <c r="A307" s="1468">
        <f t="shared" si="1"/>
        <v>2015.1</v>
      </c>
      <c r="B307" s="324">
        <v>76.093021184457314</v>
      </c>
      <c r="C307" s="325">
        <v>74.062662433972491</v>
      </c>
      <c r="D307" s="3680">
        <v>75.005262226194631</v>
      </c>
      <c r="E307" s="3680">
        <v>77.266041191878514</v>
      </c>
      <c r="F307" s="326">
        <v>77.992369842908005</v>
      </c>
      <c r="G307" s="1469"/>
      <c r="H307" s="1471"/>
      <c r="I307" s="1472"/>
    </row>
    <row r="308" spans="1:9">
      <c r="A308" s="1468">
        <f t="shared" si="1"/>
        <v>2015.11</v>
      </c>
      <c r="B308" s="324">
        <v>75.434395339022856</v>
      </c>
      <c r="C308" s="325">
        <v>76.18886724439669</v>
      </c>
      <c r="D308" s="3680">
        <v>74.729604400345679</v>
      </c>
      <c r="E308" s="3680">
        <v>75.71337715036276</v>
      </c>
      <c r="F308" s="326">
        <v>74.208174179707683</v>
      </c>
      <c r="G308" s="1469"/>
      <c r="H308" s="1471"/>
      <c r="I308" s="1472"/>
    </row>
    <row r="309" spans="1:9">
      <c r="A309" s="1468">
        <f t="shared" si="1"/>
        <v>2015.12</v>
      </c>
      <c r="B309" s="324">
        <v>85.104770495311755</v>
      </c>
      <c r="C309" s="325">
        <v>84.969816704403755</v>
      </c>
      <c r="D309" s="3680">
        <v>84.805387031151952</v>
      </c>
      <c r="E309" s="3680">
        <v>85.154944300834757</v>
      </c>
      <c r="F309" s="326">
        <v>85.432253557894001</v>
      </c>
      <c r="G309" s="1469"/>
      <c r="H309" s="1471"/>
      <c r="I309" s="1472"/>
    </row>
    <row r="310" spans="1:9">
      <c r="A310" s="1468">
        <f t="shared" si="1"/>
        <v>2016.01</v>
      </c>
      <c r="B310" s="324">
        <v>96.002539919328413</v>
      </c>
      <c r="C310" s="325">
        <v>94.59853588136022</v>
      </c>
      <c r="D310" s="3680">
        <v>97.163413763268878</v>
      </c>
      <c r="E310" s="3680">
        <v>97.065037978047997</v>
      </c>
      <c r="F310" s="326">
        <v>96.914633080354164</v>
      </c>
      <c r="G310" s="1469"/>
      <c r="H310" s="1471"/>
      <c r="I310" s="1472"/>
    </row>
    <row r="311" spans="1:9">
      <c r="A311" s="1468">
        <f t="shared" si="1"/>
        <v>2016.02</v>
      </c>
      <c r="B311" s="324">
        <v>102.49556776040242</v>
      </c>
      <c r="C311" s="325">
        <v>102.20252675449318</v>
      </c>
      <c r="D311" s="3680">
        <v>101.90884484668968</v>
      </c>
      <c r="E311" s="3680">
        <v>104.53763639436778</v>
      </c>
      <c r="F311" s="326">
        <v>103.23892621560172</v>
      </c>
      <c r="G311" s="1469"/>
      <c r="H311" s="1471"/>
      <c r="I311" s="1472"/>
    </row>
    <row r="312" spans="1:9">
      <c r="A312" s="1468">
        <f t="shared" si="1"/>
        <v>2016.03</v>
      </c>
      <c r="B312" s="324">
        <v>102.97663945504212</v>
      </c>
      <c r="C312" s="325">
        <v>107.87341917012928</v>
      </c>
      <c r="D312" s="3680">
        <v>99.248797912338844</v>
      </c>
      <c r="E312" s="3680">
        <v>102.94771129203534</v>
      </c>
      <c r="F312" s="326">
        <v>101.5796323883668</v>
      </c>
      <c r="G312" s="1469"/>
      <c r="H312" s="1471"/>
      <c r="I312" s="1472"/>
    </row>
    <row r="313" spans="1:9">
      <c r="A313" s="1468">
        <f t="shared" si="1"/>
        <v>2016.04</v>
      </c>
      <c r="B313" s="324">
        <v>97.29289100750141</v>
      </c>
      <c r="C313" s="325">
        <v>104.20461148255718</v>
      </c>
      <c r="D313" s="3680">
        <v>92.442469586672217</v>
      </c>
      <c r="E313" s="3680">
        <v>94.637315479359287</v>
      </c>
      <c r="F313" s="326">
        <v>96.667668933080549</v>
      </c>
      <c r="G313" s="1469"/>
      <c r="H313" s="1471"/>
      <c r="I313" s="1472"/>
    </row>
    <row r="314" spans="1:9">
      <c r="A314" s="1468">
        <f t="shared" si="1"/>
        <v>2016.05</v>
      </c>
      <c r="B314" s="324">
        <v>91.331779937084207</v>
      </c>
      <c r="C314" s="325">
        <v>98.985394432314763</v>
      </c>
      <c r="D314" s="3680">
        <v>86.976071409679236</v>
      </c>
      <c r="E314" s="3680">
        <v>88.000382412994512</v>
      </c>
      <c r="F314" s="326">
        <v>90.621261194966607</v>
      </c>
      <c r="G314" s="1469"/>
      <c r="H314" s="1471"/>
      <c r="I314" s="1472"/>
    </row>
    <row r="315" spans="1:9">
      <c r="A315" s="1468">
        <f t="shared" si="1"/>
        <v>2016.06</v>
      </c>
      <c r="B315" s="324">
        <v>89.172883485214257</v>
      </c>
      <c r="C315" s="325">
        <v>99.278207308120884</v>
      </c>
      <c r="D315" s="3680">
        <v>84.356997757489864</v>
      </c>
      <c r="E315" s="3680">
        <v>84.65172921794526</v>
      </c>
      <c r="F315" s="326">
        <v>87.434422803245283</v>
      </c>
      <c r="G315" s="1469"/>
      <c r="H315" s="1471"/>
      <c r="I315" s="1472"/>
    </row>
    <row r="316" spans="1:9">
      <c r="A316" s="1468">
        <f t="shared" si="1"/>
        <v>2016.07</v>
      </c>
      <c r="B316" s="324">
        <v>92.670538775934716</v>
      </c>
      <c r="C316" s="325">
        <v>107.17285145377556</v>
      </c>
      <c r="D316" s="3680">
        <v>86.699925545810913</v>
      </c>
      <c r="E316" s="3680">
        <v>86.835756467531766</v>
      </c>
      <c r="F316" s="326">
        <v>88.266837894575005</v>
      </c>
      <c r="G316" s="1469"/>
      <c r="H316" s="1471"/>
      <c r="I316" s="1472"/>
    </row>
    <row r="317" spans="1:9">
      <c r="A317" s="1468">
        <f t="shared" si="1"/>
        <v>2016.08</v>
      </c>
      <c r="B317" s="324">
        <v>92.640700017851557</v>
      </c>
      <c r="C317" s="325">
        <v>108.29881036774074</v>
      </c>
      <c r="D317" s="3680">
        <v>85.493750355660751</v>
      </c>
      <c r="E317" s="3680">
        <v>87.163825322155319</v>
      </c>
      <c r="F317" s="326">
        <v>87.870785512489988</v>
      </c>
      <c r="G317" s="1469"/>
      <c r="H317" s="1471"/>
      <c r="I317" s="1472"/>
    </row>
    <row r="318" spans="1:9">
      <c r="A318" s="1468">
        <f t="shared" si="1"/>
        <v>2016.09</v>
      </c>
      <c r="B318" s="324">
        <v>93.134271173438222</v>
      </c>
      <c r="C318" s="325">
        <v>108.27883942610863</v>
      </c>
      <c r="D318" s="3680">
        <v>86.625104175446808</v>
      </c>
      <c r="E318" s="3680">
        <v>87.161199232440865</v>
      </c>
      <c r="F318" s="326">
        <v>89.076720339584156</v>
      </c>
      <c r="G318" s="1469"/>
      <c r="H318" s="1471"/>
      <c r="I318" s="1472"/>
    </row>
    <row r="319" spans="1:9">
      <c r="A319" s="1468">
        <f t="shared" si="1"/>
        <v>2016.1</v>
      </c>
      <c r="B319" s="324">
        <v>91.902310110777634</v>
      </c>
      <c r="C319" s="325">
        <v>109.26935043918104</v>
      </c>
      <c r="D319" s="3680">
        <v>85.765340724125437</v>
      </c>
      <c r="E319" s="3680">
        <v>83.687277930750795</v>
      </c>
      <c r="F319" s="326">
        <v>86.873579221264023</v>
      </c>
      <c r="G319" s="1469"/>
      <c r="H319" s="1471"/>
      <c r="I319" s="1472"/>
    </row>
    <row r="320" spans="1:9">
      <c r="A320" s="1468">
        <f t="shared" si="1"/>
        <v>2016.11</v>
      </c>
      <c r="B320" s="324">
        <v>88.923098819699831</v>
      </c>
      <c r="C320" s="325">
        <v>103.67967591677888</v>
      </c>
      <c r="D320" s="3680">
        <v>85.210559633532498</v>
      </c>
      <c r="E320" s="3680">
        <v>80.759226278615358</v>
      </c>
      <c r="F320" s="326">
        <v>84.160639500926308</v>
      </c>
      <c r="G320" s="1469"/>
      <c r="H320" s="1471"/>
      <c r="I320" s="1472"/>
    </row>
    <row r="321" spans="1:9">
      <c r="A321" s="1468">
        <f t="shared" si="1"/>
        <v>2016.12</v>
      </c>
      <c r="B321" s="324">
        <v>89.828524466438637</v>
      </c>
      <c r="C321" s="325">
        <v>105.36801637386442</v>
      </c>
      <c r="D321" s="3680">
        <v>86.889210340190473</v>
      </c>
      <c r="E321" s="3680">
        <v>81.625778235611406</v>
      </c>
      <c r="F321" s="326">
        <v>83.993641944664148</v>
      </c>
      <c r="G321" s="1469"/>
      <c r="H321" s="1471"/>
      <c r="I321" s="1472"/>
    </row>
    <row r="322" spans="1:9">
      <c r="A322" s="1468">
        <f t="shared" si="1"/>
        <v>2017.01</v>
      </c>
      <c r="B322" s="324">
        <v>90.56364965537459</v>
      </c>
      <c r="C322" s="325">
        <v>109.86613702027005</v>
      </c>
      <c r="D322" s="3680">
        <v>86.247265437440234</v>
      </c>
      <c r="E322" s="3680">
        <v>82.073568147505767</v>
      </c>
      <c r="F322" s="326">
        <v>83.445563503528717</v>
      </c>
      <c r="G322" s="1469"/>
      <c r="H322" s="1471"/>
      <c r="I322" s="1472"/>
    </row>
    <row r="323" spans="1:9">
      <c r="A323" s="1468">
        <f t="shared" si="1"/>
        <v>2017.02</v>
      </c>
      <c r="B323" s="324">
        <v>88.710016605773347</v>
      </c>
      <c r="C323" s="325">
        <v>109.2330990087048</v>
      </c>
      <c r="D323" s="3680">
        <v>83.230136235033228</v>
      </c>
      <c r="E323" s="3680">
        <v>80.56796887770922</v>
      </c>
      <c r="F323" s="326">
        <v>80.231499130553857</v>
      </c>
      <c r="G323" s="1469"/>
      <c r="H323" s="1471"/>
      <c r="I323" s="1472"/>
    </row>
    <row r="324" spans="1:9">
      <c r="A324" s="1468">
        <f t="shared" si="1"/>
        <v>2017.03</v>
      </c>
      <c r="B324" s="324">
        <v>86.534922290649007</v>
      </c>
      <c r="C324" s="325">
        <v>105.92350452663142</v>
      </c>
      <c r="D324" s="3680">
        <v>81.164875829870823</v>
      </c>
      <c r="E324" s="3680">
        <v>78.016164507184016</v>
      </c>
      <c r="F324" s="326">
        <v>78.991260746226018</v>
      </c>
      <c r="G324" s="1469"/>
      <c r="H324" s="1471"/>
      <c r="I324" s="1472"/>
    </row>
    <row r="325" spans="1:9">
      <c r="A325" s="1468">
        <f t="shared" si="1"/>
        <v>2017.04</v>
      </c>
      <c r="B325" s="324">
        <v>83.656329641198909</v>
      </c>
      <c r="C325" s="325">
        <v>101.84719603847635</v>
      </c>
      <c r="D325" s="3680">
        <v>78.301759762157474</v>
      </c>
      <c r="E325" s="3680">
        <v>74.44202628376118</v>
      </c>
      <c r="F325" s="326">
        <v>76.830773029659312</v>
      </c>
      <c r="G325" s="1469"/>
      <c r="H325" s="1471"/>
      <c r="I325" s="1472"/>
    </row>
    <row r="326" spans="1:9">
      <c r="A326" s="1468">
        <f t="shared" si="1"/>
        <v>2017.05</v>
      </c>
      <c r="B326" s="324">
        <v>84.160477995533896</v>
      </c>
      <c r="C326" s="325">
        <v>100.48858851061675</v>
      </c>
      <c r="D326" s="3680">
        <v>78.62063134747379</v>
      </c>
      <c r="E326" s="3680">
        <v>74.984491372539182</v>
      </c>
      <c r="F326" s="326">
        <v>79.908789611429768</v>
      </c>
      <c r="G326" s="1469"/>
      <c r="H326" s="1471"/>
      <c r="I326" s="1472"/>
    </row>
    <row r="327" spans="1:9">
      <c r="A327" s="1468">
        <f t="shared" si="1"/>
        <v>2017.06</v>
      </c>
      <c r="B327" s="324">
        <v>85.029147475839778</v>
      </c>
      <c r="C327" s="325">
        <v>98.91643206127101</v>
      </c>
      <c r="D327" s="3680">
        <v>79.482694652909487</v>
      </c>
      <c r="E327" s="3680">
        <v>77.083213367139464</v>
      </c>
      <c r="F327" s="326">
        <v>82.042880194163843</v>
      </c>
      <c r="G327" s="1469"/>
      <c r="H327" s="1471"/>
      <c r="I327" s="1472"/>
    </row>
    <row r="328" spans="1:9">
      <c r="A328" s="1468">
        <f t="shared" si="1"/>
        <v>2017.07</v>
      </c>
      <c r="B328" s="324">
        <v>91.027828545597757</v>
      </c>
      <c r="C328" s="325">
        <v>107.00191696236962</v>
      </c>
      <c r="D328" s="3680">
        <v>83.625133042518286</v>
      </c>
      <c r="E328" s="3680">
        <v>82.45079298607115</v>
      </c>
      <c r="F328" s="326">
        <v>88.421787890240012</v>
      </c>
      <c r="G328" s="1469"/>
      <c r="H328" s="1471"/>
      <c r="I328" s="1472"/>
    </row>
    <row r="329" spans="1:9">
      <c r="A329" s="1468">
        <f t="shared" si="1"/>
        <v>2017.08</v>
      </c>
      <c r="B329" s="324">
        <v>92.510286393508778</v>
      </c>
      <c r="C329" s="325">
        <v>108.95353202285456</v>
      </c>
      <c r="D329" s="3680">
        <v>83.719422059711761</v>
      </c>
      <c r="E329" s="3680">
        <v>84.915136943307431</v>
      </c>
      <c r="F329" s="326">
        <v>90.398336736661051</v>
      </c>
      <c r="G329" s="1469"/>
      <c r="H329" s="1471"/>
      <c r="I329" s="1472"/>
    </row>
    <row r="330" spans="1:9">
      <c r="A330" s="1468">
        <f t="shared" si="1"/>
        <v>2017.09</v>
      </c>
      <c r="B330" s="324">
        <v>90.6957098231169</v>
      </c>
      <c r="C330" s="325">
        <v>106.71957527875537</v>
      </c>
      <c r="D330" s="3680">
        <v>81.741257805355175</v>
      </c>
      <c r="E330" s="3680">
        <v>83.340981584957106</v>
      </c>
      <c r="F330" s="326">
        <v>88.921308223877773</v>
      </c>
      <c r="G330" s="1469"/>
      <c r="H330" s="1471"/>
      <c r="I330" s="1472"/>
    </row>
    <row r="331" spans="1:9">
      <c r="A331" s="1468">
        <f t="shared" si="1"/>
        <v>2017.1</v>
      </c>
      <c r="B331" s="324">
        <v>89.153054324526082</v>
      </c>
      <c r="C331" s="325">
        <v>104.64349889969095</v>
      </c>
      <c r="D331" s="3680">
        <v>81.679587823188939</v>
      </c>
      <c r="E331" s="3680">
        <v>80.668425129736178</v>
      </c>
      <c r="F331" s="326">
        <v>87.561846550522333</v>
      </c>
      <c r="G331" s="1469"/>
      <c r="H331" s="1471"/>
      <c r="I331" s="1472"/>
    </row>
    <row r="332" spans="1:9">
      <c r="A332" s="1468">
        <f t="shared" si="1"/>
        <v>2017.11</v>
      </c>
      <c r="B332" s="324">
        <v>87.489784740012638</v>
      </c>
      <c r="C332" s="325">
        <v>101.38405022905368</v>
      </c>
      <c r="D332" s="3680">
        <v>80.818160632814752</v>
      </c>
      <c r="E332" s="3680">
        <v>78.931229656584861</v>
      </c>
      <c r="F332" s="326">
        <v>86.394146197071308</v>
      </c>
      <c r="G332" s="1469"/>
      <c r="H332" s="1471"/>
      <c r="I332" s="1472"/>
    </row>
    <row r="333" spans="1:9">
      <c r="A333" s="1468">
        <f t="shared" si="1"/>
        <v>2017.12</v>
      </c>
      <c r="B333" s="324">
        <v>86.945146287189203</v>
      </c>
      <c r="C333" s="325">
        <v>99.822178981834838</v>
      </c>
      <c r="D333" s="3680">
        <v>80.312112952555879</v>
      </c>
      <c r="E333" s="3680">
        <v>78.994621331921309</v>
      </c>
      <c r="F333" s="326">
        <v>86.463565568756465</v>
      </c>
      <c r="G333" s="1469"/>
      <c r="H333" s="1471"/>
      <c r="I333" s="1472"/>
    </row>
    <row r="334" spans="1:9">
      <c r="A334" s="1468">
        <f t="shared" si="1"/>
        <v>2018.01</v>
      </c>
      <c r="B334" s="324">
        <v>93.389420353876957</v>
      </c>
      <c r="C334" s="325">
        <v>107.83497059039254</v>
      </c>
      <c r="D334" s="3680">
        <v>84.386634017628879</v>
      </c>
      <c r="E334" s="3680">
        <v>85.769124446172967</v>
      </c>
      <c r="F334" s="326">
        <v>92.965087756449734</v>
      </c>
      <c r="G334" s="1469"/>
      <c r="H334" s="1471"/>
      <c r="I334" s="1472"/>
    </row>
    <row r="335" spans="1:9">
      <c r="A335" s="1468">
        <f t="shared" si="1"/>
        <v>2018.02</v>
      </c>
      <c r="B335" s="324">
        <v>96.024266529319888</v>
      </c>
      <c r="C335" s="325">
        <v>109.14072159028417</v>
      </c>
      <c r="D335" s="3680">
        <v>86.477025307945993</v>
      </c>
      <c r="E335" s="3680">
        <v>90.986161971653146</v>
      </c>
      <c r="F335" s="326">
        <v>95.72123893543538</v>
      </c>
      <c r="G335" s="1469"/>
      <c r="H335" s="1471"/>
      <c r="I335" s="1472"/>
    </row>
    <row r="336" spans="1:9">
      <c r="A336" s="1468">
        <f t="shared" si="1"/>
        <v>2018.03</v>
      </c>
      <c r="B336" s="324">
        <v>95.460027836120545</v>
      </c>
      <c r="C336" s="325">
        <v>107.82325988559506</v>
      </c>
      <c r="D336" s="3680">
        <v>86.269277443782329</v>
      </c>
      <c r="E336" s="3680">
        <v>90.566519868654424</v>
      </c>
      <c r="F336" s="326">
        <v>95.922175775526242</v>
      </c>
      <c r="G336" s="1469"/>
      <c r="H336" s="1471"/>
      <c r="I336" s="1472"/>
    </row>
    <row r="337" spans="1:9">
      <c r="A337" s="1468">
        <f t="shared" si="1"/>
        <v>2018.04</v>
      </c>
      <c r="B337" s="324">
        <v>92.054265022135169</v>
      </c>
      <c r="C337" s="325">
        <v>101.52410915072983</v>
      </c>
      <c r="D337" s="3680">
        <v>84.341560444739358</v>
      </c>
      <c r="E337" s="3680">
        <v>87.256617556611317</v>
      </c>
      <c r="F337" s="326">
        <v>93.87867782094871</v>
      </c>
      <c r="G337" s="1469"/>
      <c r="H337" s="1471"/>
      <c r="I337" s="1472"/>
    </row>
    <row r="338" spans="1:9">
      <c r="A338" s="1468">
        <f t="shared" si="1"/>
        <v>2018.05</v>
      </c>
      <c r="B338" s="324">
        <v>101.35893716411283</v>
      </c>
      <c r="C338" s="325">
        <v>108.81814360729516</v>
      </c>
      <c r="D338" s="3680">
        <v>96.196183298188359</v>
      </c>
      <c r="E338" s="3680">
        <v>98.212377162701102</v>
      </c>
      <c r="F338" s="326">
        <v>103.47578329870154</v>
      </c>
      <c r="G338" s="1469"/>
      <c r="H338" s="1471"/>
      <c r="I338" s="1472"/>
    </row>
    <row r="339" spans="1:9">
      <c r="A339" s="1468">
        <f t="shared" si="1"/>
        <v>2018.06</v>
      </c>
      <c r="B339" s="324">
        <v>109.3539761468417</v>
      </c>
      <c r="C339" s="325">
        <v>115.55126486056697</v>
      </c>
      <c r="D339" s="3680">
        <v>105.38430692789392</v>
      </c>
      <c r="E339" s="3680">
        <v>106.49640920790128</v>
      </c>
      <c r="F339" s="326">
        <v>112.11841878124773</v>
      </c>
      <c r="G339" s="1469"/>
      <c r="H339" s="1471"/>
      <c r="I339" s="1472"/>
    </row>
    <row r="340" spans="1:9">
      <c r="A340" s="1468">
        <f t="shared" si="1"/>
        <v>2018.07</v>
      </c>
      <c r="B340" s="324">
        <v>109.43980669703791</v>
      </c>
      <c r="C340" s="325">
        <v>115.50178227628062</v>
      </c>
      <c r="D340" s="3680">
        <v>106.01338675404286</v>
      </c>
      <c r="E340" s="3680">
        <v>104.40158217979908</v>
      </c>
      <c r="F340" s="326">
        <v>112.78103934498249</v>
      </c>
      <c r="G340" s="1469"/>
      <c r="H340" s="1471"/>
      <c r="I340" s="1472"/>
    </row>
    <row r="341" spans="1:9">
      <c r="A341" s="1468">
        <f t="shared" si="1"/>
        <v>2018.08</v>
      </c>
      <c r="B341" s="324">
        <v>113.29712223858077</v>
      </c>
      <c r="C341" s="325">
        <v>117.67978277604873</v>
      </c>
      <c r="D341" s="3680">
        <v>111.12121540521547</v>
      </c>
      <c r="E341" s="3680">
        <v>109.27894309136063</v>
      </c>
      <c r="F341" s="326">
        <v>116.48278725009325</v>
      </c>
      <c r="G341" s="1469"/>
      <c r="H341" s="1471"/>
      <c r="I341" s="1472"/>
    </row>
    <row r="342" spans="1:9">
      <c r="A342" s="1468">
        <f t="shared" si="1"/>
        <v>2018.09</v>
      </c>
      <c r="B342" s="324">
        <v>136.69702637575421</v>
      </c>
      <c r="C342" s="325">
        <v>138.32737655001637</v>
      </c>
      <c r="D342" s="3680">
        <v>136.09826666759983</v>
      </c>
      <c r="E342" s="3680">
        <v>132.75114583657248</v>
      </c>
      <c r="F342" s="326">
        <v>144.20872472684286</v>
      </c>
      <c r="G342" s="1469"/>
      <c r="H342" s="1471"/>
      <c r="I342" s="1472"/>
    </row>
    <row r="343" spans="1:9">
      <c r="A343" s="1468">
        <f t="shared" ref="A343:A406" si="2">A331+1</f>
        <v>2018.1</v>
      </c>
      <c r="B343" s="324">
        <v>126.65710120166183</v>
      </c>
      <c r="C343" s="325">
        <v>137.40613140969043</v>
      </c>
      <c r="D343" s="3680">
        <v>123.9048399982793</v>
      </c>
      <c r="E343" s="3680">
        <v>117.26935533630034</v>
      </c>
      <c r="F343" s="326">
        <v>129.55996370778828</v>
      </c>
      <c r="G343" s="1469"/>
      <c r="H343" s="1471"/>
      <c r="I343" s="1472"/>
    </row>
    <row r="344" spans="1:9">
      <c r="A344" s="1468">
        <f t="shared" si="2"/>
        <v>2018.11</v>
      </c>
      <c r="B344" s="324">
        <v>118.7069652017686</v>
      </c>
      <c r="C344" s="325">
        <v>129.17010574269821</v>
      </c>
      <c r="D344" s="3680">
        <v>116.81580084468111</v>
      </c>
      <c r="E344" s="3680">
        <v>108.92977200462126</v>
      </c>
      <c r="F344" s="326">
        <v>120.54575854347659</v>
      </c>
      <c r="G344" s="1469"/>
      <c r="H344" s="1471"/>
      <c r="I344" s="1472"/>
    </row>
    <row r="345" spans="1:9">
      <c r="A345" s="1468">
        <f t="shared" si="2"/>
        <v>2018.12</v>
      </c>
      <c r="B345" s="324">
        <v>119.1229231836201</v>
      </c>
      <c r="C345" s="325">
        <v>126.98714300137952</v>
      </c>
      <c r="D345" s="3680">
        <v>118.11770109631551</v>
      </c>
      <c r="E345" s="3680">
        <v>110.97568516998237</v>
      </c>
      <c r="F345" s="326">
        <v>121.70198530082942</v>
      </c>
      <c r="G345" s="1469"/>
      <c r="H345" s="1471"/>
      <c r="I345" s="1472"/>
    </row>
    <row r="346" spans="1:9">
      <c r="A346" s="1468">
        <f t="shared" si="2"/>
        <v>2019.01</v>
      </c>
      <c r="B346" s="324">
        <v>116.39464663640562</v>
      </c>
      <c r="C346" s="325">
        <v>126.89046691629957</v>
      </c>
      <c r="D346" s="3680">
        <v>113.52825977517577</v>
      </c>
      <c r="E346" s="3680">
        <v>109.23413054903114</v>
      </c>
      <c r="F346" s="326">
        <v>116.70478508055967</v>
      </c>
      <c r="G346" s="1469"/>
      <c r="H346" s="1471"/>
      <c r="I346" s="1472"/>
    </row>
    <row r="347" spans="1:9">
      <c r="A347" s="1468">
        <f t="shared" si="2"/>
        <v>2019.02</v>
      </c>
      <c r="B347" s="392">
        <v>116.38915808609008</v>
      </c>
      <c r="C347" s="326">
        <v>127.35816302568371</v>
      </c>
      <c r="D347" s="3680">
        <v>112.89326060236614</v>
      </c>
      <c r="E347" s="3680">
        <v>111.46921101421331</v>
      </c>
      <c r="F347" s="326">
        <v>114.84976067795016</v>
      </c>
      <c r="G347" s="1469"/>
      <c r="H347" s="1471"/>
      <c r="I347" s="1472"/>
    </row>
    <row r="348" spans="1:9">
      <c r="A348" s="1468">
        <f t="shared" si="2"/>
        <v>2019.03</v>
      </c>
      <c r="B348" s="324">
        <v>119.63151847037416</v>
      </c>
      <c r="C348" s="325">
        <v>128.04522760118988</v>
      </c>
      <c r="D348" s="3680">
        <v>117.07197460339823</v>
      </c>
      <c r="E348" s="3680">
        <v>115.98482365619275</v>
      </c>
      <c r="F348" s="677">
        <v>118.94435499119359</v>
      </c>
      <c r="G348" s="1469"/>
      <c r="H348" s="1470"/>
      <c r="I348" s="1470"/>
    </row>
    <row r="349" spans="1:9">
      <c r="A349" s="1468">
        <f t="shared" si="2"/>
        <v>2019.04</v>
      </c>
      <c r="B349" s="392">
        <v>120.03298453392091</v>
      </c>
      <c r="C349" s="325">
        <v>127.83956021764146</v>
      </c>
      <c r="D349" s="3680">
        <v>118.16743516961205</v>
      </c>
      <c r="E349" s="3680">
        <v>115.29004579833958</v>
      </c>
      <c r="F349" s="326">
        <v>120.01691975812381</v>
      </c>
      <c r="G349" s="1469"/>
      <c r="H349" s="1470"/>
      <c r="I349" s="1470"/>
    </row>
    <row r="350" spans="1:9">
      <c r="A350" s="1468">
        <f t="shared" si="2"/>
        <v>2019.05</v>
      </c>
      <c r="B350" s="324">
        <v>119.31932286644854</v>
      </c>
      <c r="C350" s="325">
        <v>125.77803692899819</v>
      </c>
      <c r="D350" s="3680">
        <v>118.95378269178852</v>
      </c>
      <c r="E350" s="3680">
        <v>113.83109157047302</v>
      </c>
      <c r="F350" s="677">
        <v>120.56389180548591</v>
      </c>
      <c r="G350" s="1469"/>
      <c r="H350" s="1470"/>
      <c r="I350" s="1470"/>
    </row>
    <row r="351" spans="1:9">
      <c r="A351" s="1468">
        <f t="shared" si="2"/>
        <v>2019.06</v>
      </c>
      <c r="B351" s="324">
        <v>114.64232584474691</v>
      </c>
      <c r="C351" s="325">
        <v>123.35091945163587</v>
      </c>
      <c r="D351" s="3680">
        <v>112.82705903484533</v>
      </c>
      <c r="E351" s="3680">
        <v>107.88469235672612</v>
      </c>
      <c r="F351" s="677">
        <v>115.56892971875455</v>
      </c>
      <c r="G351" s="1469"/>
      <c r="H351" s="1470"/>
      <c r="I351" s="1470"/>
    </row>
    <row r="352" spans="1:9">
      <c r="A352" s="1468">
        <f t="shared" si="2"/>
        <v>2019.07</v>
      </c>
      <c r="B352" s="449">
        <v>109.71903112697477</v>
      </c>
      <c r="C352" s="450">
        <v>119.75108288775291</v>
      </c>
      <c r="D352" s="3681">
        <v>107.00358208685961</v>
      </c>
      <c r="E352" s="3681">
        <v>103.92225937246151</v>
      </c>
      <c r="F352" s="678">
        <v>108.54256513058839</v>
      </c>
      <c r="G352" s="1469"/>
      <c r="H352" s="1470"/>
      <c r="I352" s="1470"/>
    </row>
    <row r="353" spans="1:7">
      <c r="A353" s="1468">
        <f t="shared" si="2"/>
        <v>2019.08</v>
      </c>
      <c r="B353" s="449">
        <v>127.62360830682593</v>
      </c>
      <c r="C353" s="450">
        <v>134.21877447009885</v>
      </c>
      <c r="D353" s="3681">
        <v>127.74358628092634</v>
      </c>
      <c r="E353" s="3681">
        <v>122.97111809690394</v>
      </c>
      <c r="F353" s="678">
        <v>128.12049433871385</v>
      </c>
      <c r="G353" s="1469"/>
    </row>
    <row r="354" spans="1:7">
      <c r="A354" s="1468">
        <f t="shared" si="2"/>
        <v>2019.09</v>
      </c>
      <c r="B354" s="324">
        <v>130.59029667685098</v>
      </c>
      <c r="C354" s="325">
        <v>135.40708897236254</v>
      </c>
      <c r="D354" s="3680">
        <v>132.14064420547277</v>
      </c>
      <c r="E354" s="3680">
        <v>125.62919724511626</v>
      </c>
      <c r="F354" s="326">
        <v>131.29536661186248</v>
      </c>
      <c r="G354" s="1469"/>
    </row>
    <row r="355" spans="1:7">
      <c r="A355" s="1468">
        <f t="shared" si="2"/>
        <v>2019.1</v>
      </c>
      <c r="B355" s="324">
        <v>129.67246078520427</v>
      </c>
      <c r="C355" s="325">
        <v>135.31724085905978</v>
      </c>
      <c r="D355" s="3680">
        <v>131.04170154868211</v>
      </c>
      <c r="E355" s="3680">
        <v>122.92046591203942</v>
      </c>
      <c r="F355" s="326">
        <v>130.71766127739681</v>
      </c>
      <c r="G355" s="1469"/>
    </row>
    <row r="356" spans="1:7">
      <c r="A356" s="1468">
        <f t="shared" si="2"/>
        <v>2019.11</v>
      </c>
      <c r="B356" s="324">
        <v>126.85231141695542</v>
      </c>
      <c r="C356" s="325">
        <v>131.28870351471909</v>
      </c>
      <c r="D356" s="3680">
        <v>129.24005332408217</v>
      </c>
      <c r="E356" s="3680">
        <v>121.7048126997437</v>
      </c>
      <c r="F356" s="326">
        <v>128.32957620515432</v>
      </c>
      <c r="G356" s="1469"/>
    </row>
    <row r="357" spans="1:7">
      <c r="A357" s="1468">
        <f t="shared" si="2"/>
        <v>2019.12</v>
      </c>
      <c r="B357" s="324">
        <v>123.5046947261924</v>
      </c>
      <c r="C357" s="325">
        <v>128.9562173998346</v>
      </c>
      <c r="D357" s="3680">
        <v>124.95151115419193</v>
      </c>
      <c r="E357" s="3680">
        <v>117.94172274910156</v>
      </c>
      <c r="F357" s="326">
        <v>124.35789635476203</v>
      </c>
      <c r="G357" s="1469"/>
    </row>
    <row r="358" spans="1:7">
      <c r="A358" s="1468">
        <f t="shared" si="2"/>
        <v>2020.01</v>
      </c>
      <c r="B358" s="324">
        <v>120.73738521796548</v>
      </c>
      <c r="C358" s="325">
        <v>125.33783145933423</v>
      </c>
      <c r="D358" s="3680">
        <v>121.84992638933036</v>
      </c>
      <c r="E358" s="3680">
        <v>117.93771638297306</v>
      </c>
      <c r="F358" s="326">
        <v>120.50934609381794</v>
      </c>
      <c r="G358" s="1469"/>
    </row>
    <row r="359" spans="1:7">
      <c r="A359" s="1468">
        <f t="shared" si="2"/>
        <v>2020.02</v>
      </c>
      <c r="B359" s="324">
        <v>118.8213033076364</v>
      </c>
      <c r="C359" s="325">
        <v>119.8049287055629</v>
      </c>
      <c r="D359" s="3680">
        <v>122.15806809680568</v>
      </c>
      <c r="E359" s="3680">
        <v>119.47007080247178</v>
      </c>
      <c r="F359" s="326">
        <v>118.13938354777584</v>
      </c>
      <c r="G359" s="1469"/>
    </row>
    <row r="360" spans="1:7">
      <c r="A360" s="1468">
        <f t="shared" si="2"/>
        <v>2020.03</v>
      </c>
      <c r="B360" s="324">
        <v>114.38661077355228</v>
      </c>
      <c r="C360" s="325">
        <v>107.83665273358214</v>
      </c>
      <c r="D360" s="3680">
        <v>122.36871255839047</v>
      </c>
      <c r="E360" s="3680">
        <v>119.10086688411879</v>
      </c>
      <c r="F360" s="326">
        <v>120.41829718974803</v>
      </c>
      <c r="G360" s="1469"/>
    </row>
    <row r="361" spans="1:7">
      <c r="A361" s="1468">
        <f t="shared" si="2"/>
        <v>2020.04</v>
      </c>
      <c r="B361" s="324">
        <v>111.47960969571407</v>
      </c>
      <c r="C361" s="325">
        <v>99.399823258629937</v>
      </c>
      <c r="D361" s="3680">
        <v>123.32933850757912</v>
      </c>
      <c r="E361" s="3680">
        <v>117.46178074462838</v>
      </c>
      <c r="F361" s="326">
        <v>120.54514132963841</v>
      </c>
      <c r="G361" s="1469"/>
    </row>
    <row r="362" spans="1:7">
      <c r="A362" s="1468">
        <f t="shared" si="2"/>
        <v>2020.05</v>
      </c>
      <c r="B362" s="324">
        <v>111.66231068250586</v>
      </c>
      <c r="C362" s="325">
        <v>95.424198136370777</v>
      </c>
      <c r="D362" s="3680">
        <v>124.70542300438015</v>
      </c>
      <c r="E362" s="3680">
        <v>118.08756370376587</v>
      </c>
      <c r="F362" s="326">
        <v>123.14790890358306</v>
      </c>
      <c r="G362" s="1469"/>
    </row>
    <row r="363" spans="1:7">
      <c r="A363" s="1468">
        <f t="shared" si="2"/>
        <v>2020.06</v>
      </c>
      <c r="B363" s="324">
        <v>116.54294489365846</v>
      </c>
      <c r="C363" s="325">
        <v>104.30197941417676</v>
      </c>
      <c r="D363" s="3680">
        <v>125.96248580287804</v>
      </c>
      <c r="E363" s="3680">
        <v>119.68594112941815</v>
      </c>
      <c r="F363" s="326">
        <v>128.15965205948567</v>
      </c>
      <c r="G363" s="1469"/>
    </row>
    <row r="364" spans="1:7">
      <c r="A364" s="1468">
        <f t="shared" si="2"/>
        <v>2020.07</v>
      </c>
      <c r="B364" s="324">
        <v>117.89236021007071</v>
      </c>
      <c r="C364" s="325">
        <v>103.15319797359379</v>
      </c>
      <c r="D364" s="3680">
        <v>127.27356653798012</v>
      </c>
      <c r="E364" s="3680">
        <v>123.39547327001023</v>
      </c>
      <c r="F364" s="326">
        <v>131.28991570268272</v>
      </c>
      <c r="G364" s="1469"/>
    </row>
    <row r="365" spans="1:7">
      <c r="A365" s="1468">
        <f t="shared" si="2"/>
        <v>2020.08</v>
      </c>
      <c r="B365" s="324">
        <v>118.88282048880882</v>
      </c>
      <c r="C365" s="325">
        <v>100.65514567676783</v>
      </c>
      <c r="D365" s="3680">
        <v>128.19210942480316</v>
      </c>
      <c r="E365" s="3680">
        <v>127.46351617916129</v>
      </c>
      <c r="F365" s="326">
        <v>135.2887629653367</v>
      </c>
      <c r="G365" s="1469"/>
    </row>
    <row r="366" spans="1:7">
      <c r="A366" s="1468">
        <f t="shared" si="2"/>
        <v>2020.09</v>
      </c>
      <c r="B366" s="449">
        <v>119.58226565879529</v>
      </c>
      <c r="C366" s="450">
        <v>101.98920398002033</v>
      </c>
      <c r="D366" s="3681">
        <v>128.43793099097994</v>
      </c>
      <c r="E366" s="3681">
        <v>128.37758999502174</v>
      </c>
      <c r="F366" s="833">
        <v>134.48632204779409</v>
      </c>
      <c r="G366" s="1469"/>
    </row>
    <row r="367" spans="1:7">
      <c r="A367" s="1468">
        <f t="shared" si="2"/>
        <v>2020.1</v>
      </c>
      <c r="B367" s="449">
        <v>118.10470536055077</v>
      </c>
      <c r="C367" s="450">
        <v>98.379920430738551</v>
      </c>
      <c r="D367" s="3681">
        <v>128.48415583953533</v>
      </c>
      <c r="E367" s="3681">
        <v>126.95106307421493</v>
      </c>
      <c r="F367" s="833">
        <v>134.21636222369571</v>
      </c>
      <c r="G367" s="1469"/>
    </row>
    <row r="368" spans="1:7">
      <c r="A368" s="1468">
        <f t="shared" si="2"/>
        <v>2020.11</v>
      </c>
      <c r="B368" s="449">
        <v>119.55233920126351</v>
      </c>
      <c r="C368" s="450">
        <v>102.00004842354929</v>
      </c>
      <c r="D368" s="3681">
        <v>128.18368947559335</v>
      </c>
      <c r="E368" s="3681">
        <v>126.82771698732751</v>
      </c>
      <c r="F368" s="833">
        <v>134.28757866159881</v>
      </c>
      <c r="G368" s="1469"/>
    </row>
    <row r="369" spans="1:7">
      <c r="A369" s="1468">
        <f t="shared" si="2"/>
        <v>2020.12</v>
      </c>
      <c r="B369" s="324">
        <v>123.17120076619334</v>
      </c>
      <c r="C369" s="325">
        <v>108.91559459070824</v>
      </c>
      <c r="D369" s="3680">
        <v>128.39443469274016</v>
      </c>
      <c r="E369" s="3680">
        <v>128.16993056774066</v>
      </c>
      <c r="F369" s="326">
        <v>137.92947700346249</v>
      </c>
      <c r="G369" s="1469"/>
    </row>
    <row r="370" spans="1:7">
      <c r="A370" s="1468">
        <f t="shared" si="2"/>
        <v>2021.01</v>
      </c>
      <c r="B370" s="324">
        <v>122.78180941490409</v>
      </c>
      <c r="C370" s="325">
        <v>105.64826506084528</v>
      </c>
      <c r="D370" s="3680">
        <v>128.64413891109248</v>
      </c>
      <c r="E370" s="3680">
        <v>131.1942776420388</v>
      </c>
      <c r="F370" s="677">
        <v>138.1342835803068</v>
      </c>
      <c r="G370" s="1470"/>
    </row>
    <row r="371" spans="1:7">
      <c r="A371" s="1468">
        <f t="shared" si="2"/>
        <v>2021.02</v>
      </c>
      <c r="B371" s="324">
        <v>122.33172997018561</v>
      </c>
      <c r="C371" s="325">
        <v>104.32844099235315</v>
      </c>
      <c r="D371" s="3680">
        <v>128.43021889136375</v>
      </c>
      <c r="E371" s="3680">
        <v>133.4968500855903</v>
      </c>
      <c r="F371" s="677">
        <v>136.75957814507089</v>
      </c>
      <c r="G371" s="1470"/>
    </row>
    <row r="372" spans="1:7">
      <c r="A372" s="1468">
        <f t="shared" si="2"/>
        <v>2021.03</v>
      </c>
      <c r="B372" s="324">
        <v>119.0126640924651</v>
      </c>
      <c r="C372" s="325">
        <v>99.896980308713452</v>
      </c>
      <c r="D372" s="3680">
        <v>127.09184310611128</v>
      </c>
      <c r="E372" s="3680">
        <v>130.77889423895598</v>
      </c>
      <c r="F372" s="677">
        <v>133.4237473197766</v>
      </c>
      <c r="G372" s="1470"/>
    </row>
    <row r="373" spans="1:7">
      <c r="A373" s="1468">
        <f t="shared" si="2"/>
        <v>2021.04</v>
      </c>
      <c r="B373" s="324">
        <v>116.75389642591124</v>
      </c>
      <c r="C373" s="325">
        <v>98.883210189286061</v>
      </c>
      <c r="D373" s="3680">
        <v>124.60442289276489</v>
      </c>
      <c r="E373" s="3680">
        <v>125.33654646783829</v>
      </c>
      <c r="F373" s="677">
        <v>131.62474125016627</v>
      </c>
      <c r="G373" s="1470"/>
    </row>
    <row r="374" spans="1:7">
      <c r="A374" s="1468">
        <f t="shared" si="2"/>
        <v>2021.05</v>
      </c>
      <c r="B374" s="324">
        <v>117.23913798165506</v>
      </c>
      <c r="C374" s="325">
        <v>102.47216807250551</v>
      </c>
      <c r="D374" s="3680">
        <v>122.75982365267777</v>
      </c>
      <c r="E374" s="3680">
        <v>124.1727014141851</v>
      </c>
      <c r="F374" s="677">
        <v>131.38141299598803</v>
      </c>
      <c r="G374" s="1470"/>
    </row>
    <row r="375" spans="1:7">
      <c r="A375" s="1468">
        <f t="shared" si="2"/>
        <v>2021.06</v>
      </c>
      <c r="B375" s="324">
        <v>116.95309170412685</v>
      </c>
      <c r="C375" s="325">
        <v>106.3739565798007</v>
      </c>
      <c r="D375" s="3680">
        <v>121.27971962858992</v>
      </c>
      <c r="E375" s="3680">
        <v>122.26193825884857</v>
      </c>
      <c r="F375" s="677">
        <v>128.03617106543683</v>
      </c>
      <c r="G375" s="1470"/>
    </row>
    <row r="376" spans="1:7">
      <c r="A376" s="1468">
        <f t="shared" si="2"/>
        <v>2021.07</v>
      </c>
      <c r="B376" s="324">
        <v>113.7401326387949</v>
      </c>
      <c r="C376" s="325">
        <v>102.50206218890837</v>
      </c>
      <c r="D376" s="3680">
        <v>119.61062134983098</v>
      </c>
      <c r="E376" s="3680">
        <v>120.45936988718206</v>
      </c>
      <c r="F376" s="677">
        <v>123.32127598296894</v>
      </c>
      <c r="G376" s="1470"/>
    </row>
    <row r="377" spans="1:7">
      <c r="A377" s="1468">
        <f t="shared" si="2"/>
        <v>2021.08</v>
      </c>
      <c r="B377" s="324">
        <v>111.9082067404717</v>
      </c>
      <c r="C377" s="325">
        <v>99.9147179401985</v>
      </c>
      <c r="D377" s="3680">
        <v>118.07037088924186</v>
      </c>
      <c r="E377" s="3680">
        <v>120.4291127116179</v>
      </c>
      <c r="F377" s="677">
        <v>120.90998196574273</v>
      </c>
      <c r="G377" s="1470"/>
    </row>
    <row r="378" spans="1:7">
      <c r="A378" s="1468">
        <f t="shared" si="2"/>
        <v>2021.09</v>
      </c>
      <c r="B378" s="324">
        <v>110.08951851083006</v>
      </c>
      <c r="C378" s="325">
        <v>98.528757864714436</v>
      </c>
      <c r="D378" s="3680">
        <v>116.28873510047632</v>
      </c>
      <c r="E378" s="3680">
        <v>117.3881103018839</v>
      </c>
      <c r="F378" s="677">
        <v>119.19251538390685</v>
      </c>
      <c r="G378" s="1470"/>
    </row>
    <row r="379" spans="1:7">
      <c r="A379" s="1468">
        <f t="shared" si="2"/>
        <v>2021.1</v>
      </c>
      <c r="B379" s="324">
        <v>105.65866340150419</v>
      </c>
      <c r="C379" s="325">
        <v>92.820994573370285</v>
      </c>
      <c r="D379" s="3680">
        <v>114.20356165128159</v>
      </c>
      <c r="E379" s="3680">
        <v>112.89512035922553</v>
      </c>
      <c r="F379" s="677">
        <v>115.2348920000737</v>
      </c>
      <c r="G379" s="1470"/>
    </row>
    <row r="380" spans="1:7">
      <c r="A380" s="1468">
        <f t="shared" si="2"/>
        <v>2021.11</v>
      </c>
      <c r="B380" s="449">
        <v>103.81216176372483</v>
      </c>
      <c r="C380" s="325">
        <v>91.755375693960431</v>
      </c>
      <c r="D380" s="3680">
        <v>113.10627191540466</v>
      </c>
      <c r="E380" s="3680">
        <v>110.57941882179001</v>
      </c>
      <c r="F380" s="677">
        <v>112.01160987514955</v>
      </c>
      <c r="G380" s="1470"/>
    </row>
    <row r="381" spans="1:7">
      <c r="A381" s="1468">
        <f t="shared" si="2"/>
        <v>2021.12</v>
      </c>
      <c r="B381" s="449">
        <v>101.81422677055605</v>
      </c>
      <c r="C381" s="450">
        <v>89.355941965689141</v>
      </c>
      <c r="D381" s="3680">
        <v>112.14095320277896</v>
      </c>
      <c r="E381" s="3681">
        <v>109.40677270340564</v>
      </c>
      <c r="F381" s="678">
        <v>109.67930425112729</v>
      </c>
      <c r="G381" s="1470"/>
    </row>
    <row r="382" spans="1:7">
      <c r="A382" s="1468">
        <f t="shared" si="2"/>
        <v>2022.01</v>
      </c>
      <c r="B382" s="449">
        <v>101.55722250460268</v>
      </c>
      <c r="C382" s="450">
        <v>90.435429353983125</v>
      </c>
      <c r="D382" s="3681">
        <v>110.88011096732154</v>
      </c>
      <c r="E382" s="3681">
        <v>108.53451912987676</v>
      </c>
      <c r="F382" s="678">
        <v>108.30174581730385</v>
      </c>
      <c r="G382" s="1470"/>
    </row>
    <row r="383" spans="1:7">
      <c r="A383" s="1468">
        <f t="shared" si="2"/>
        <v>2022.02</v>
      </c>
      <c r="B383" s="449">
        <v>102.63683384973554</v>
      </c>
      <c r="C383" s="450">
        <v>95.10578116372848</v>
      </c>
      <c r="D383" s="3681">
        <v>109.53832130542152</v>
      </c>
      <c r="E383" s="3681">
        <v>108.65336433000924</v>
      </c>
      <c r="F383" s="678">
        <v>107.21243181537271</v>
      </c>
      <c r="G383" s="1470"/>
    </row>
    <row r="384" spans="1:7">
      <c r="A384" s="1468">
        <f t="shared" si="2"/>
        <v>2022.03</v>
      </c>
      <c r="B384" s="449">
        <v>101.52140882716017</v>
      </c>
      <c r="C384" s="450">
        <v>97.863033357891467</v>
      </c>
      <c r="D384" s="3681">
        <v>107.43145788846024</v>
      </c>
      <c r="E384" s="3681">
        <v>106.05732920354271</v>
      </c>
      <c r="F384" s="678">
        <v>102.84510091921473</v>
      </c>
      <c r="G384" s="1470"/>
    </row>
    <row r="385" spans="1:6">
      <c r="A385" s="1468">
        <f t="shared" si="2"/>
        <v>2022.04</v>
      </c>
      <c r="B385" s="449">
        <v>100.20443399747745</v>
      </c>
      <c r="C385" s="325">
        <v>101.19688643384156</v>
      </c>
      <c r="D385" s="3680">
        <v>105.24388704101185</v>
      </c>
      <c r="E385" s="3680">
        <v>100.90600680020451</v>
      </c>
      <c r="F385" s="677">
        <v>99.794827685819271</v>
      </c>
    </row>
    <row r="386" spans="1:6">
      <c r="A386" s="1468">
        <f t="shared" si="2"/>
        <v>2022.05</v>
      </c>
      <c r="B386" s="324">
        <v>96.656956047429063</v>
      </c>
      <c r="C386" s="325">
        <v>96.527469866219974</v>
      </c>
      <c r="D386" s="3680">
        <v>104.48369672896673</v>
      </c>
      <c r="E386" s="3680">
        <v>95.603424291391747</v>
      </c>
      <c r="F386" s="677">
        <v>96.825671545328277</v>
      </c>
    </row>
    <row r="387" spans="1:6">
      <c r="A387" s="1468">
        <f t="shared" si="2"/>
        <v>2022.06</v>
      </c>
      <c r="B387" s="324">
        <v>95.790172612592727</v>
      </c>
      <c r="C387" s="325">
        <v>94.425879959661103</v>
      </c>
      <c r="D387" s="3680">
        <v>104.61260739604015</v>
      </c>
      <c r="E387" s="3680">
        <v>95.194003254573616</v>
      </c>
      <c r="F387" s="677">
        <v>96.70689407368728</v>
      </c>
    </row>
    <row r="388" spans="1:6">
      <c r="A388" s="1468">
        <f t="shared" si="2"/>
        <v>2022.07</v>
      </c>
      <c r="B388" s="324">
        <v>91.862877576819372</v>
      </c>
      <c r="C388" s="325">
        <v>87.206727789781681</v>
      </c>
      <c r="D388" s="3680">
        <v>103.55895924096539</v>
      </c>
      <c r="E388" s="3680">
        <v>94.693192173727383</v>
      </c>
      <c r="F388" s="677">
        <v>92.084341253277842</v>
      </c>
    </row>
    <row r="389" spans="1:6">
      <c r="A389" s="1468">
        <f t="shared" si="2"/>
        <v>2022.08</v>
      </c>
      <c r="B389" s="324">
        <v>91.699799521643754</v>
      </c>
      <c r="C389" s="325">
        <v>88.883976754669831</v>
      </c>
      <c r="D389" s="3680">
        <v>101.81810494483555</v>
      </c>
      <c r="E389" s="3680">
        <v>93.722304664445559</v>
      </c>
      <c r="F389" s="677">
        <v>90.273637251643649</v>
      </c>
    </row>
    <row r="390" spans="1:6">
      <c r="A390" s="1468">
        <f t="shared" si="2"/>
        <v>2022.09</v>
      </c>
      <c r="B390" s="324">
        <v>89.265874536188718</v>
      </c>
      <c r="C390" s="325">
        <v>86.327050691659736</v>
      </c>
      <c r="D390" s="3680">
        <v>101.33904927331248</v>
      </c>
      <c r="E390" s="3680">
        <v>89.414432886234351</v>
      </c>
      <c r="F390" s="677">
        <v>88.446116563109868</v>
      </c>
    </row>
    <row r="391" spans="1:6">
      <c r="A391" s="1468">
        <f t="shared" si="2"/>
        <v>2022.1</v>
      </c>
      <c r="B391" s="324">
        <v>88.359308325989971</v>
      </c>
      <c r="C391" s="325">
        <v>86.431182454945457</v>
      </c>
      <c r="D391" s="3680">
        <v>101.85228844294062</v>
      </c>
      <c r="E391" s="3680">
        <v>85.291960261765439</v>
      </c>
      <c r="F391" s="677">
        <v>89.055771309513773</v>
      </c>
    </row>
    <row r="392" spans="1:6">
      <c r="A392" s="1468">
        <f t="shared" si="2"/>
        <v>2022.11</v>
      </c>
      <c r="B392" s="324">
        <v>90.101950512253012</v>
      </c>
      <c r="C392" s="325">
        <v>87.099384538432858</v>
      </c>
      <c r="D392" s="3680">
        <v>103.15926204087886</v>
      </c>
      <c r="E392" s="3680">
        <v>85.302699805601108</v>
      </c>
      <c r="F392" s="677">
        <v>94.042365245965883</v>
      </c>
    </row>
    <row r="393" spans="1:6">
      <c r="A393" s="1468">
        <f t="shared" si="2"/>
        <v>2022.12</v>
      </c>
      <c r="B393" s="324">
        <v>93.212045672231937</v>
      </c>
      <c r="C393" s="325">
        <v>89.388431666828879</v>
      </c>
      <c r="D393" s="3680">
        <v>104.79972666146162</v>
      </c>
      <c r="E393" s="3680">
        <v>88.897769431902603</v>
      </c>
      <c r="F393" s="677">
        <v>98.585370416083919</v>
      </c>
    </row>
    <row r="394" spans="1:6">
      <c r="A394" s="1468">
        <f t="shared" si="2"/>
        <v>2023.01</v>
      </c>
      <c r="B394" s="324">
        <v>95.141311737010184</v>
      </c>
      <c r="C394" s="325">
        <v>90.820229800067494</v>
      </c>
      <c r="D394" s="3680">
        <v>105.13905788550491</v>
      </c>
      <c r="E394" s="3680">
        <v>92.274678927657206</v>
      </c>
      <c r="F394" s="677">
        <v>100.12093739840643</v>
      </c>
    </row>
    <row r="395" spans="1:6">
      <c r="A395" s="1468">
        <f t="shared" si="2"/>
        <v>2023.02</v>
      </c>
      <c r="B395" s="324">
        <v>94.771436293382493</v>
      </c>
      <c r="C395" s="325">
        <v>90.7663362598296</v>
      </c>
      <c r="D395" s="3680">
        <v>104.67206404860676</v>
      </c>
      <c r="E395" s="3680">
        <v>92.001797632662488</v>
      </c>
      <c r="F395" s="677">
        <v>98.793202593251252</v>
      </c>
    </row>
    <row r="396" spans="1:6">
      <c r="A396" s="1468">
        <f t="shared" si="2"/>
        <v>2023.03</v>
      </c>
      <c r="B396" s="324">
        <v>93.590952151411926</v>
      </c>
      <c r="C396" s="325">
        <v>89.62221182541974</v>
      </c>
      <c r="D396" s="3680">
        <v>103.44895216750916</v>
      </c>
      <c r="E396" s="3680">
        <v>89.950770897373417</v>
      </c>
      <c r="F396" s="677">
        <v>98.449501006977513</v>
      </c>
    </row>
    <row r="397" spans="1:6">
      <c r="A397" s="1468">
        <f t="shared" si="2"/>
        <v>2023.04</v>
      </c>
      <c r="B397" s="324">
        <v>93.813056513538953</v>
      </c>
      <c r="C397" s="325">
        <v>92.257824877200434</v>
      </c>
      <c r="D397" s="3680">
        <v>102.04327901378636</v>
      </c>
      <c r="E397" s="3680">
        <v>87.30676166704734</v>
      </c>
      <c r="F397" s="677">
        <v>99.844702086353422</v>
      </c>
    </row>
    <row r="398" spans="1:6">
      <c r="A398" s="1468">
        <f t="shared" si="2"/>
        <v>2023.05</v>
      </c>
      <c r="B398" s="324">
        <v>93.053096587399736</v>
      </c>
      <c r="C398" s="325">
        <v>92.757416775813979</v>
      </c>
      <c r="D398" s="3680">
        <v>101.42731376972253</v>
      </c>
      <c r="E398" s="3680">
        <v>85.198573707501467</v>
      </c>
      <c r="F398" s="677">
        <v>98.467818439658487</v>
      </c>
    </row>
    <row r="399" spans="1:6">
      <c r="A399" s="1468">
        <f t="shared" si="2"/>
        <v>2023.06</v>
      </c>
      <c r="B399" s="324">
        <v>93.969476756683534</v>
      </c>
      <c r="C399" s="325">
        <v>95.536927848930446</v>
      </c>
      <c r="D399" s="3680">
        <v>102.21245410473006</v>
      </c>
      <c r="E399" s="3680">
        <v>84.12158879624856</v>
      </c>
      <c r="F399" s="677">
        <v>98.93595781870583</v>
      </c>
    </row>
    <row r="400" spans="1:6">
      <c r="A400" s="1468">
        <f t="shared" si="2"/>
        <v>2023.07</v>
      </c>
      <c r="B400" s="324">
        <v>95.853909540258016</v>
      </c>
      <c r="C400" s="325">
        <v>97.588316920437506</v>
      </c>
      <c r="D400" s="3680">
        <v>103.35472670112193</v>
      </c>
      <c r="E400" s="3680">
        <v>85.637922882082094</v>
      </c>
      <c r="F400" s="677">
        <v>101.89263045302489</v>
      </c>
    </row>
    <row r="401" spans="1:6">
      <c r="A401" s="1468">
        <f t="shared" si="2"/>
        <v>2023.08</v>
      </c>
      <c r="B401" s="324">
        <v>104.8306900023108</v>
      </c>
      <c r="C401" s="325">
        <v>105.37607168876211</v>
      </c>
      <c r="D401" s="3680">
        <v>114.30064616504619</v>
      </c>
      <c r="E401" s="3680">
        <v>95.20045654568986</v>
      </c>
      <c r="F401" s="677">
        <v>111.02126482196817</v>
      </c>
    </row>
    <row r="402" spans="1:6">
      <c r="A402" s="1468">
        <f t="shared" si="2"/>
        <v>2023.09</v>
      </c>
      <c r="B402" s="324">
        <v>100.67206085573744</v>
      </c>
      <c r="C402" s="325">
        <v>101.66325587727339</v>
      </c>
      <c r="D402" s="3680">
        <v>111.29226007042648</v>
      </c>
      <c r="E402" s="3680">
        <v>90.976990664516563</v>
      </c>
      <c r="F402" s="677">
        <v>105.85287652921703</v>
      </c>
    </row>
    <row r="403" spans="1:6">
      <c r="A403" s="1468">
        <f t="shared" si="2"/>
        <v>2023.1</v>
      </c>
      <c r="B403" s="324">
        <v>89.633017698889049</v>
      </c>
      <c r="C403" s="325">
        <v>90.056542858573536</v>
      </c>
      <c r="D403" s="3680">
        <v>100.99545549267712</v>
      </c>
      <c r="E403" s="3680">
        <v>80.344870215027214</v>
      </c>
      <c r="F403" s="677">
        <v>94.991422912851718</v>
      </c>
    </row>
    <row r="404" spans="1:6">
      <c r="A404" s="1468">
        <f t="shared" si="2"/>
        <v>2023.11</v>
      </c>
      <c r="B404" s="324">
        <v>83.198473001203595</v>
      </c>
      <c r="C404" s="325">
        <v>85.144702251838225</v>
      </c>
      <c r="D404" s="3680">
        <v>92.31463145520199</v>
      </c>
      <c r="E404" s="3680">
        <v>73.009713947196175</v>
      </c>
      <c r="F404" s="677">
        <v>88.527117936350209</v>
      </c>
    </row>
    <row r="405" spans="1:6">
      <c r="A405" s="1468">
        <f t="shared" si="2"/>
        <v>2023.12</v>
      </c>
      <c r="B405" s="324">
        <v>124.87379724280149</v>
      </c>
      <c r="C405" s="325">
        <v>127.35574792801974</v>
      </c>
      <c r="D405" s="3680">
        <v>137.397419742534</v>
      </c>
      <c r="E405" s="3680">
        <v>110.10545659223369</v>
      </c>
      <c r="F405" s="677">
        <v>132.91401284081769</v>
      </c>
    </row>
    <row r="406" spans="1:6">
      <c r="A406" s="1468">
        <f t="shared" si="2"/>
        <v>2024.01</v>
      </c>
      <c r="B406" s="324">
        <v>132.78255949184322</v>
      </c>
      <c r="C406" s="325">
        <v>135.58360545735317</v>
      </c>
      <c r="D406" s="3680">
        <v>146.59697567351031</v>
      </c>
      <c r="E406" s="3680">
        <v>117.44991250923704</v>
      </c>
      <c r="F406" s="677">
        <v>140.81197187308618</v>
      </c>
    </row>
    <row r="407" spans="1:6">
      <c r="A407" s="1468">
        <f t="shared" ref="A407:A470" si="3">A395+1</f>
        <v>2024.02</v>
      </c>
      <c r="B407" s="324">
        <v>115.75059770212611</v>
      </c>
      <c r="C407" s="325">
        <v>117.73366866151071</v>
      </c>
      <c r="D407" s="3680">
        <v>128.432734883656</v>
      </c>
      <c r="E407" s="3680">
        <v>104.09027422837356</v>
      </c>
      <c r="F407" s="677">
        <v>121.76771280440934</v>
      </c>
    </row>
    <row r="408" spans="1:6">
      <c r="A408" s="1468">
        <f t="shared" si="3"/>
        <v>2024.03</v>
      </c>
      <c r="B408" s="324">
        <v>105.87026388214343</v>
      </c>
      <c r="C408" s="325">
        <v>107.36500975842877</v>
      </c>
      <c r="D408" s="3680">
        <v>117.29954367161987</v>
      </c>
      <c r="E408" s="3680">
        <v>94.793184174469047</v>
      </c>
      <c r="F408" s="677">
        <v>112.32168665878443</v>
      </c>
    </row>
    <row r="409" spans="1:6">
      <c r="A409" s="1468">
        <f t="shared" si="3"/>
        <v>2024.04</v>
      </c>
      <c r="B409" s="324">
        <v>97.022464512905728</v>
      </c>
      <c r="C409" s="325">
        <v>97.225160675086769</v>
      </c>
      <c r="D409" s="3680">
        <v>109.26425467234004</v>
      </c>
      <c r="E409" s="3680">
        <v>86.21131542495435</v>
      </c>
      <c r="F409" s="677">
        <v>103.62478234481897</v>
      </c>
    </row>
    <row r="410" spans="1:6">
      <c r="A410" s="1468">
        <f t="shared" si="3"/>
        <v>2024.05</v>
      </c>
      <c r="B410" s="324">
        <v>93.430395156915083</v>
      </c>
      <c r="C410" s="325">
        <v>93.288621121919164</v>
      </c>
      <c r="D410" s="3680">
        <v>104.93635967633834</v>
      </c>
      <c r="E410" s="3680">
        <v>82.677846012151392</v>
      </c>
      <c r="F410" s="677">
        <v>100.55383741579394</v>
      </c>
    </row>
    <row r="411" spans="1:6">
      <c r="A411" s="1468">
        <f t="shared" si="3"/>
        <v>2024.06</v>
      </c>
      <c r="B411" s="324">
        <v>89.900618283745914</v>
      </c>
      <c r="C411" s="325">
        <v>87.181685213009814</v>
      </c>
      <c r="D411" s="3680">
        <v>102.6061849713375</v>
      </c>
      <c r="E411" s="3680">
        <v>80.949533052252747</v>
      </c>
      <c r="F411" s="677">
        <v>98.077802491967233</v>
      </c>
    </row>
    <row r="412" spans="1:6">
      <c r="A412" s="1468">
        <f t="shared" si="3"/>
        <v>2024.07</v>
      </c>
      <c r="B412" s="324">
        <v>87.88019777703829</v>
      </c>
      <c r="C412" s="325">
        <v>83.337751798954159</v>
      </c>
      <c r="D412" s="3680">
        <v>100.60036316163679</v>
      </c>
      <c r="E412" s="3680">
        <v>80.440652012162161</v>
      </c>
      <c r="F412" s="677">
        <v>96.945130052485524</v>
      </c>
    </row>
    <row r="413" spans="1:6">
      <c r="A413" s="1468">
        <f t="shared" si="3"/>
        <v>2024.08</v>
      </c>
      <c r="B413" s="324">
        <v>87.156189275022442</v>
      </c>
      <c r="C413" s="325">
        <v>81.661283511460113</v>
      </c>
      <c r="D413" s="3680">
        <v>98.792227720590873</v>
      </c>
      <c r="E413" s="3680">
        <v>81.658606106157464</v>
      </c>
      <c r="F413" s="677">
        <v>96.589101429583692</v>
      </c>
    </row>
    <row r="414" spans="1:6">
      <c r="A414" s="1468">
        <f t="shared" si="3"/>
        <v>2024.09</v>
      </c>
      <c r="B414" s="324">
        <v>86.046234051988378</v>
      </c>
      <c r="C414" s="325">
        <v>80.685675693645692</v>
      </c>
      <c r="D414" s="3680">
        <v>97.307671879060379</v>
      </c>
      <c r="E414" s="3680">
        <v>80.407480489698131</v>
      </c>
      <c r="F414" s="677">
        <v>95.724745750524264</v>
      </c>
    </row>
    <row r="415" spans="1:6">
      <c r="A415" s="1468">
        <f t="shared" si="3"/>
        <v>2024.1</v>
      </c>
      <c r="B415" s="324">
        <v>84.045631482203333</v>
      </c>
      <c r="C415" s="325">
        <v>79.080764821150964</v>
      </c>
      <c r="D415" s="3680">
        <v>96.523253243384673</v>
      </c>
      <c r="E415" s="3680">
        <v>77.499215977398421</v>
      </c>
      <c r="F415" s="677">
        <v>93.015968166486445</v>
      </c>
    </row>
    <row r="416" spans="1:6">
      <c r="A416" s="1468">
        <f t="shared" si="3"/>
        <v>2024.11</v>
      </c>
      <c r="B416" s="324">
        <v>81.745935833885639</v>
      </c>
      <c r="C416" s="325">
        <v>76.363767544643181</v>
      </c>
      <c r="D416" s="3680">
        <v>96.277961213618553</v>
      </c>
      <c r="E416" s="3680">
        <v>74.612060365740135</v>
      </c>
      <c r="F416" s="677">
        <v>90.306566992429552</v>
      </c>
    </row>
    <row r="417" spans="1:6">
      <c r="A417" s="1468">
        <f t="shared" si="3"/>
        <v>2024.12</v>
      </c>
      <c r="B417" s="324">
        <v>79.790968399068305</v>
      </c>
      <c r="C417" s="325">
        <v>72.770650506490199</v>
      </c>
      <c r="D417" s="3680">
        <v>96.105117226325987</v>
      </c>
      <c r="E417" s="3680">
        <v>73.441320112803325</v>
      </c>
      <c r="F417" s="677">
        <v>88.570718915392618</v>
      </c>
    </row>
    <row r="418" spans="1:6">
      <c r="A418" s="1468">
        <f t="shared" si="3"/>
        <v>2025.01</v>
      </c>
      <c r="B418" s="324">
        <v>79.706341410031783</v>
      </c>
      <c r="C418" s="325">
        <v>73.601973599375071</v>
      </c>
      <c r="D418" s="3680">
        <v>96.127715134050689</v>
      </c>
      <c r="E418" s="3680">
        <v>73.726223993105535</v>
      </c>
      <c r="F418" s="677">
        <v>87.219051118872358</v>
      </c>
    </row>
    <row r="419" spans="1:6">
      <c r="A419" s="1468">
        <f t="shared" si="3"/>
        <v>2025.02</v>
      </c>
      <c r="B419" s="324">
        <v>81.048180704751005</v>
      </c>
      <c r="C419" s="325">
        <v>76.973426549968593</v>
      </c>
      <c r="D419" s="3680">
        <v>95.648427561609878</v>
      </c>
      <c r="E419" s="3680">
        <v>74.482901731416874</v>
      </c>
      <c r="F419" s="677">
        <v>87.134462974645359</v>
      </c>
    </row>
    <row r="420" spans="1:6">
      <c r="A420" s="1468">
        <f t="shared" si="3"/>
        <v>2025.03</v>
      </c>
      <c r="B420" s="324">
        <v>80.49884365314891</v>
      </c>
      <c r="C420" s="325">
        <v>76.089332313100513</v>
      </c>
      <c r="D420" s="3680">
        <v>93.807376505653721</v>
      </c>
      <c r="E420" s="3680">
        <v>73.105144807503677</v>
      </c>
      <c r="F420" s="677">
        <v>88.84581307800029</v>
      </c>
    </row>
    <row r="421" spans="1:6">
      <c r="A421" s="1468">
        <f t="shared" si="3"/>
        <v>2025.04</v>
      </c>
      <c r="B421" s="324">
        <v>82.32631682449194</v>
      </c>
      <c r="C421" s="325">
        <v>77.305808725489001</v>
      </c>
      <c r="D421" s="3680">
        <v>95.3374882391673</v>
      </c>
      <c r="E421" s="3680">
        <v>72.82214246405195</v>
      </c>
      <c r="F421" s="677">
        <v>94.490611849473723</v>
      </c>
    </row>
    <row r="422" spans="1:6">
      <c r="A422" s="1468">
        <f t="shared" si="3"/>
        <v>2025.05</v>
      </c>
      <c r="B422" s="324">
        <v>83.896629345380944</v>
      </c>
      <c r="C422" s="325">
        <v>79.591401159062755</v>
      </c>
      <c r="D422" s="3680">
        <v>95.987419252167996</v>
      </c>
      <c r="E422" s="3680">
        <v>73.971437414189069</v>
      </c>
      <c r="F422" s="677">
        <v>95.67555953425321</v>
      </c>
    </row>
    <row r="423" spans="1:6">
      <c r="A423" s="1468">
        <f t="shared" si="3"/>
        <v>2025.06</v>
      </c>
      <c r="B423" s="324">
        <v>86.121041707982002</v>
      </c>
      <c r="C423" s="325">
        <v>82.454213308468439</v>
      </c>
      <c r="D423" s="3680">
        <v>97.14695971126477</v>
      </c>
      <c r="E423" s="3680">
        <v>75.49727615580214</v>
      </c>
      <c r="F423" s="677">
        <v>98.825204699142105</v>
      </c>
    </row>
    <row r="424" spans="1:6">
      <c r="A424" s="1468">
        <f t="shared" si="3"/>
        <v>2025.07</v>
      </c>
      <c r="B424" s="324">
        <v>91.769903868609589</v>
      </c>
      <c r="C424" s="325">
        <v>87.542590435733388</v>
      </c>
      <c r="D424" s="3680">
        <v>102.85686476170365</v>
      </c>
      <c r="E424" s="3680">
        <v>81.109076773392559</v>
      </c>
      <c r="F424" s="677">
        <v>105.9924008800208</v>
      </c>
    </row>
    <row r="425" spans="1:6">
      <c r="A425" s="1468">
        <f t="shared" si="3"/>
        <v>2025.08</v>
      </c>
      <c r="B425" s="324">
        <v>95.047781162008903</v>
      </c>
      <c r="C425" s="325">
        <v>91.360380457444393</v>
      </c>
      <c r="D425" s="3680">
        <v>106.00725141225857</v>
      </c>
      <c r="E425" s="3680">
        <v>84.74284792749414</v>
      </c>
      <c r="F425" s="677">
        <v>108.67893605145584</v>
      </c>
    </row>
    <row r="426" spans="1:6">
      <c r="A426" s="1468">
        <f t="shared" si="3"/>
        <v>2025.09</v>
      </c>
      <c r="B426" s="324">
        <v>99.104992254978427</v>
      </c>
      <c r="C426" s="325">
        <v>96.248976839194526</v>
      </c>
      <c r="D426" s="3680">
        <v>110.06481632336764</v>
      </c>
      <c r="E426" s="3680">
        <v>87.384874190641725</v>
      </c>
      <c r="F426" s="677">
        <v>113.45505955079892</v>
      </c>
    </row>
    <row r="427" spans="1:6">
      <c r="A427" s="1468">
        <f t="shared" si="3"/>
        <v>2025.1</v>
      </c>
      <c r="B427" s="324">
        <v>98.900624388017576</v>
      </c>
      <c r="C427" s="325">
        <v>96.527027460658005</v>
      </c>
      <c r="D427" s="3680">
        <v>110.74978978737136</v>
      </c>
      <c r="E427" s="3680">
        <v>85.845578645426102</v>
      </c>
      <c r="F427" s="677">
        <v>113.07441589518683</v>
      </c>
    </row>
    <row r="428" spans="1:6">
      <c r="A428" s="1468">
        <f t="shared" si="3"/>
        <v>2025.11</v>
      </c>
      <c r="B428" s="324">
        <v>96.008835517261545</v>
      </c>
      <c r="C428" s="325">
        <v>94.618994193933119</v>
      </c>
      <c r="D428" s="3680">
        <v>107.58517960320373</v>
      </c>
      <c r="E428" s="3680">
        <v>82.537569566581041</v>
      </c>
      <c r="F428" s="677">
        <v>108.99827495974377</v>
      </c>
    </row>
    <row r="429" spans="1:6">
      <c r="A429" s="1468">
        <f t="shared" si="3"/>
        <v>2025.12</v>
      </c>
      <c r="B429" s="324">
        <v>94.68163341884933</v>
      </c>
      <c r="C429" s="325">
        <v>91.333914563499661</v>
      </c>
      <c r="D429" s="3680">
        <v>106.28514553665592</v>
      </c>
      <c r="E429" s="3680">
        <v>82.383285907982568</v>
      </c>
      <c r="F429" s="677">
        <v>108.87773986497906</v>
      </c>
    </row>
    <row r="430" spans="1:6">
      <c r="A430" s="972">
        <f t="shared" si="3"/>
        <v>2026.01</v>
      </c>
      <c r="B430" s="324">
        <v>93.57305253095943</v>
      </c>
      <c r="C430" s="325">
        <v>91.263947101941113</v>
      </c>
      <c r="D430" s="3680">
        <v>103.92810034941455</v>
      </c>
      <c r="E430" s="3680">
        <v>81.677713427808001</v>
      </c>
      <c r="F430" s="677">
        <v>106.1236930451648</v>
      </c>
    </row>
    <row r="431" spans="1:6">
      <c r="A431" s="972">
        <f t="shared" si="3"/>
        <v>2026.02</v>
      </c>
      <c r="B431" s="324">
        <v>90.461217278889492</v>
      </c>
      <c r="C431" s="325">
        <v>89.556900376621314</v>
      </c>
      <c r="D431" s="3680">
        <v>98.801328285533941</v>
      </c>
      <c r="E431" s="3680">
        <v>79.006046371032468</v>
      </c>
      <c r="F431" s="677">
        <v>101.47725070897091</v>
      </c>
    </row>
    <row r="432" spans="1:6">
      <c r="A432" s="972">
        <f t="shared" si="3"/>
        <v>2026.03</v>
      </c>
      <c r="B432" s="324" t="e">
        <v>#N/A</v>
      </c>
      <c r="C432" s="325" t="e">
        <v>#N/A</v>
      </c>
      <c r="D432" s="3680" t="e">
        <v>#N/A</v>
      </c>
      <c r="E432" s="3680" t="e">
        <v>#N/A</v>
      </c>
      <c r="F432" s="677" t="e">
        <v>#N/A</v>
      </c>
    </row>
    <row r="433" spans="1:6">
      <c r="A433" s="972">
        <f t="shared" si="3"/>
        <v>2026.04</v>
      </c>
      <c r="B433" s="324" t="e">
        <v>#N/A</v>
      </c>
      <c r="C433" s="325" t="e">
        <v>#N/A</v>
      </c>
      <c r="D433" s="3680" t="e">
        <v>#N/A</v>
      </c>
      <c r="E433" s="3680" t="e">
        <v>#N/A</v>
      </c>
      <c r="F433" s="677" t="e">
        <v>#N/A</v>
      </c>
    </row>
    <row r="434" spans="1:6">
      <c r="A434" s="972">
        <f t="shared" si="3"/>
        <v>2026.05</v>
      </c>
      <c r="B434" s="324" t="e">
        <v>#N/A</v>
      </c>
      <c r="C434" s="325" t="e">
        <v>#N/A</v>
      </c>
      <c r="D434" s="3680" t="e">
        <v>#N/A</v>
      </c>
      <c r="E434" s="3680" t="e">
        <v>#N/A</v>
      </c>
      <c r="F434" s="677" t="e">
        <v>#N/A</v>
      </c>
    </row>
    <row r="435" spans="1:6">
      <c r="A435" s="972">
        <f t="shared" si="3"/>
        <v>2026.06</v>
      </c>
      <c r="B435" s="324" t="e">
        <v>#N/A</v>
      </c>
      <c r="C435" s="325" t="e">
        <v>#N/A</v>
      </c>
      <c r="D435" s="3680" t="e">
        <v>#N/A</v>
      </c>
      <c r="E435" s="3680" t="e">
        <v>#N/A</v>
      </c>
      <c r="F435" s="677" t="e">
        <v>#N/A</v>
      </c>
    </row>
    <row r="436" spans="1:6">
      <c r="A436" s="972">
        <f t="shared" si="3"/>
        <v>2026.07</v>
      </c>
      <c r="B436" s="324" t="e">
        <v>#N/A</v>
      </c>
      <c r="C436" s="325" t="e">
        <v>#N/A</v>
      </c>
      <c r="D436" s="3680" t="e">
        <v>#N/A</v>
      </c>
      <c r="E436" s="3680" t="e">
        <v>#N/A</v>
      </c>
      <c r="F436" s="677" t="e">
        <v>#N/A</v>
      </c>
    </row>
    <row r="437" spans="1:6">
      <c r="A437" s="972">
        <f t="shared" si="3"/>
        <v>2026.08</v>
      </c>
      <c r="B437" s="324" t="e">
        <v>#N/A</v>
      </c>
      <c r="C437" s="325" t="e">
        <v>#N/A</v>
      </c>
      <c r="D437" s="3680" t="e">
        <v>#N/A</v>
      </c>
      <c r="E437" s="3680" t="e">
        <v>#N/A</v>
      </c>
      <c r="F437" s="677" t="e">
        <v>#N/A</v>
      </c>
    </row>
    <row r="438" spans="1:6">
      <c r="A438" s="972">
        <f t="shared" si="3"/>
        <v>2026.09</v>
      </c>
      <c r="B438" s="324" t="e">
        <v>#N/A</v>
      </c>
      <c r="C438" s="325" t="e">
        <v>#N/A</v>
      </c>
      <c r="D438" s="3680" t="e">
        <v>#N/A</v>
      </c>
      <c r="E438" s="3680" t="e">
        <v>#N/A</v>
      </c>
      <c r="F438" s="677" t="e">
        <v>#N/A</v>
      </c>
    </row>
    <row r="439" spans="1:6">
      <c r="A439" s="972">
        <f t="shared" si="3"/>
        <v>2026.1</v>
      </c>
      <c r="B439" s="324" t="e">
        <v>#N/A</v>
      </c>
      <c r="C439" s="325" t="e">
        <v>#N/A</v>
      </c>
      <c r="D439" s="3680" t="e">
        <v>#N/A</v>
      </c>
      <c r="E439" s="3680" t="e">
        <v>#N/A</v>
      </c>
      <c r="F439" s="677" t="e">
        <v>#N/A</v>
      </c>
    </row>
    <row r="440" spans="1:6">
      <c r="A440" s="972">
        <f t="shared" si="3"/>
        <v>2026.11</v>
      </c>
      <c r="B440" s="324" t="e">
        <v>#N/A</v>
      </c>
      <c r="C440" s="325" t="e">
        <v>#N/A</v>
      </c>
      <c r="D440" s="3680" t="e">
        <v>#N/A</v>
      </c>
      <c r="E440" s="3680" t="e">
        <v>#N/A</v>
      </c>
      <c r="F440" s="677" t="e">
        <v>#N/A</v>
      </c>
    </row>
    <row r="441" spans="1:6">
      <c r="A441" s="972">
        <f t="shared" si="3"/>
        <v>2026.12</v>
      </c>
      <c r="B441" s="324" t="e">
        <v>#N/A</v>
      </c>
      <c r="C441" s="325" t="e">
        <v>#N/A</v>
      </c>
      <c r="D441" s="3680" t="e">
        <v>#N/A</v>
      </c>
      <c r="E441" s="3680" t="e">
        <v>#N/A</v>
      </c>
      <c r="F441" s="677" t="e">
        <v>#N/A</v>
      </c>
    </row>
    <row r="442" spans="1:6">
      <c r="A442" s="972">
        <f t="shared" si="3"/>
        <v>2027.01</v>
      </c>
      <c r="B442" s="324" t="e">
        <v>#N/A</v>
      </c>
      <c r="C442" s="325" t="e">
        <v>#N/A</v>
      </c>
      <c r="D442" s="3680" t="e">
        <v>#N/A</v>
      </c>
      <c r="E442" s="3680" t="e">
        <v>#N/A</v>
      </c>
      <c r="F442" s="677" t="e">
        <v>#N/A</v>
      </c>
    </row>
    <row r="443" spans="1:6">
      <c r="A443" s="972">
        <f t="shared" si="3"/>
        <v>2027.02</v>
      </c>
      <c r="B443" s="324" t="e">
        <v>#N/A</v>
      </c>
      <c r="C443" s="325" t="e">
        <v>#N/A</v>
      </c>
      <c r="D443" s="3680" t="e">
        <v>#N/A</v>
      </c>
      <c r="E443" s="3680" t="e">
        <v>#N/A</v>
      </c>
      <c r="F443" s="677" t="e">
        <v>#N/A</v>
      </c>
    </row>
    <row r="444" spans="1:6">
      <c r="A444" s="972">
        <f t="shared" si="3"/>
        <v>2027.03</v>
      </c>
      <c r="B444" s="324" t="e">
        <v>#N/A</v>
      </c>
      <c r="C444" s="325" t="e">
        <v>#N/A</v>
      </c>
      <c r="D444" s="3680" t="e">
        <v>#N/A</v>
      </c>
      <c r="E444" s="3680" t="e">
        <v>#N/A</v>
      </c>
      <c r="F444" s="677" t="e">
        <v>#N/A</v>
      </c>
    </row>
    <row r="445" spans="1:6">
      <c r="A445" s="972">
        <f t="shared" si="3"/>
        <v>2027.04</v>
      </c>
      <c r="B445" s="324" t="e">
        <v>#N/A</v>
      </c>
      <c r="C445" s="325" t="e">
        <v>#N/A</v>
      </c>
      <c r="D445" s="3680" t="e">
        <v>#N/A</v>
      </c>
      <c r="E445" s="3680" t="e">
        <v>#N/A</v>
      </c>
      <c r="F445" s="677" t="e">
        <v>#N/A</v>
      </c>
    </row>
    <row r="446" spans="1:6">
      <c r="A446" s="972">
        <f t="shared" si="3"/>
        <v>2027.05</v>
      </c>
      <c r="B446" s="324" t="e">
        <v>#N/A</v>
      </c>
      <c r="C446" s="325" t="e">
        <v>#N/A</v>
      </c>
      <c r="D446" s="3680" t="e">
        <v>#N/A</v>
      </c>
      <c r="E446" s="3680" t="e">
        <v>#N/A</v>
      </c>
      <c r="F446" s="677" t="e">
        <v>#N/A</v>
      </c>
    </row>
    <row r="447" spans="1:6">
      <c r="A447" s="972">
        <f t="shared" si="3"/>
        <v>2027.06</v>
      </c>
      <c r="B447" s="324" t="e">
        <v>#N/A</v>
      </c>
      <c r="C447" s="325" t="e">
        <v>#N/A</v>
      </c>
      <c r="D447" s="3680" t="e">
        <v>#N/A</v>
      </c>
      <c r="E447" s="3680" t="e">
        <v>#N/A</v>
      </c>
      <c r="F447" s="677" t="e">
        <v>#N/A</v>
      </c>
    </row>
    <row r="448" spans="1:6">
      <c r="A448" s="972">
        <f t="shared" si="3"/>
        <v>2027.07</v>
      </c>
      <c r="B448" s="324" t="e">
        <v>#N/A</v>
      </c>
      <c r="C448" s="325" t="e">
        <v>#N/A</v>
      </c>
      <c r="D448" s="3680" t="e">
        <v>#N/A</v>
      </c>
      <c r="E448" s="3680" t="e">
        <v>#N/A</v>
      </c>
      <c r="F448" s="677" t="e">
        <v>#N/A</v>
      </c>
    </row>
    <row r="449" spans="1:6">
      <c r="A449" s="972">
        <f t="shared" si="3"/>
        <v>2027.08</v>
      </c>
      <c r="B449" s="324" t="e">
        <v>#N/A</v>
      </c>
      <c r="C449" s="325" t="e">
        <v>#N/A</v>
      </c>
      <c r="D449" s="3680" t="e">
        <v>#N/A</v>
      </c>
      <c r="E449" s="3680" t="e">
        <v>#N/A</v>
      </c>
      <c r="F449" s="677" t="e">
        <v>#N/A</v>
      </c>
    </row>
    <row r="450" spans="1:6">
      <c r="A450" s="972">
        <f t="shared" si="3"/>
        <v>2027.09</v>
      </c>
      <c r="B450" s="324" t="e">
        <v>#N/A</v>
      </c>
      <c r="C450" s="325" t="e">
        <v>#N/A</v>
      </c>
      <c r="D450" s="3680" t="e">
        <v>#N/A</v>
      </c>
      <c r="E450" s="3680" t="e">
        <v>#N/A</v>
      </c>
      <c r="F450" s="677" t="e">
        <v>#N/A</v>
      </c>
    </row>
    <row r="451" spans="1:6">
      <c r="A451" s="972">
        <f t="shared" si="3"/>
        <v>2027.1</v>
      </c>
      <c r="B451" s="324" t="e">
        <v>#N/A</v>
      </c>
      <c r="C451" s="325" t="e">
        <v>#N/A</v>
      </c>
      <c r="D451" s="3680" t="e">
        <v>#N/A</v>
      </c>
      <c r="E451" s="3680" t="e">
        <v>#N/A</v>
      </c>
      <c r="F451" s="677" t="e">
        <v>#N/A</v>
      </c>
    </row>
    <row r="452" spans="1:6">
      <c r="A452" s="972">
        <f t="shared" si="3"/>
        <v>2027.11</v>
      </c>
      <c r="B452" s="324" t="e">
        <v>#N/A</v>
      </c>
      <c r="C452" s="325" t="e">
        <v>#N/A</v>
      </c>
      <c r="D452" s="3680" t="e">
        <v>#N/A</v>
      </c>
      <c r="E452" s="3680" t="e">
        <v>#N/A</v>
      </c>
      <c r="F452" s="677" t="e">
        <v>#N/A</v>
      </c>
    </row>
    <row r="453" spans="1:6">
      <c r="A453" s="972">
        <f t="shared" si="3"/>
        <v>2027.12</v>
      </c>
      <c r="B453" s="324" t="e">
        <v>#N/A</v>
      </c>
      <c r="C453" s="325" t="e">
        <v>#N/A</v>
      </c>
      <c r="D453" s="3680" t="e">
        <v>#N/A</v>
      </c>
      <c r="E453" s="3680" t="e">
        <v>#N/A</v>
      </c>
      <c r="F453" s="677" t="e">
        <v>#N/A</v>
      </c>
    </row>
    <row r="454" spans="1:6">
      <c r="A454" s="972">
        <f t="shared" si="3"/>
        <v>2028.01</v>
      </c>
      <c r="B454" s="324" t="e">
        <v>#N/A</v>
      </c>
      <c r="C454" s="325" t="e">
        <v>#N/A</v>
      </c>
      <c r="D454" s="3680" t="e">
        <v>#N/A</v>
      </c>
      <c r="E454" s="3680" t="e">
        <v>#N/A</v>
      </c>
      <c r="F454" s="677" t="e">
        <v>#N/A</v>
      </c>
    </row>
    <row r="455" spans="1:6">
      <c r="A455" s="972">
        <f t="shared" si="3"/>
        <v>2028.02</v>
      </c>
      <c r="B455" s="324" t="e">
        <v>#N/A</v>
      </c>
      <c r="C455" s="325" t="e">
        <v>#N/A</v>
      </c>
      <c r="D455" s="3680" t="e">
        <v>#N/A</v>
      </c>
      <c r="E455" s="3680" t="e">
        <v>#N/A</v>
      </c>
      <c r="F455" s="677" t="e">
        <v>#N/A</v>
      </c>
    </row>
    <row r="456" spans="1:6">
      <c r="A456" s="972">
        <f t="shared" si="3"/>
        <v>2028.03</v>
      </c>
      <c r="B456" s="324" t="e">
        <v>#N/A</v>
      </c>
      <c r="C456" s="325" t="e">
        <v>#N/A</v>
      </c>
      <c r="D456" s="3680" t="e">
        <v>#N/A</v>
      </c>
      <c r="E456" s="3680" t="e">
        <v>#N/A</v>
      </c>
      <c r="F456" s="677" t="e">
        <v>#N/A</v>
      </c>
    </row>
    <row r="457" spans="1:6">
      <c r="A457" s="972">
        <f t="shared" si="3"/>
        <v>2028.04</v>
      </c>
      <c r="B457" s="324" t="e">
        <v>#N/A</v>
      </c>
      <c r="C457" s="325" t="e">
        <v>#N/A</v>
      </c>
      <c r="D457" s="3680" t="e">
        <v>#N/A</v>
      </c>
      <c r="E457" s="3680" t="e">
        <v>#N/A</v>
      </c>
      <c r="F457" s="677" t="e">
        <v>#N/A</v>
      </c>
    </row>
    <row r="458" spans="1:6">
      <c r="A458" s="972">
        <f t="shared" si="3"/>
        <v>2028.05</v>
      </c>
      <c r="B458" s="324" t="e">
        <v>#N/A</v>
      </c>
      <c r="C458" s="325" t="e">
        <v>#N/A</v>
      </c>
      <c r="D458" s="3680" t="e">
        <v>#N/A</v>
      </c>
      <c r="E458" s="3680" t="e">
        <v>#N/A</v>
      </c>
      <c r="F458" s="677" t="e">
        <v>#N/A</v>
      </c>
    </row>
    <row r="459" spans="1:6">
      <c r="A459" s="972">
        <f t="shared" si="3"/>
        <v>2028.06</v>
      </c>
      <c r="B459" s="324" t="e">
        <v>#N/A</v>
      </c>
      <c r="C459" s="325" t="e">
        <v>#N/A</v>
      </c>
      <c r="D459" s="3680" t="e">
        <v>#N/A</v>
      </c>
      <c r="E459" s="3680" t="e">
        <v>#N/A</v>
      </c>
      <c r="F459" s="677" t="e">
        <v>#N/A</v>
      </c>
    </row>
    <row r="460" spans="1:6">
      <c r="A460" s="972">
        <f t="shared" si="3"/>
        <v>2028.07</v>
      </c>
      <c r="B460" s="324" t="e">
        <v>#N/A</v>
      </c>
      <c r="C460" s="325" t="e">
        <v>#N/A</v>
      </c>
      <c r="D460" s="3680" t="e">
        <v>#N/A</v>
      </c>
      <c r="E460" s="3680" t="e">
        <v>#N/A</v>
      </c>
      <c r="F460" s="677" t="e">
        <v>#N/A</v>
      </c>
    </row>
    <row r="461" spans="1:6">
      <c r="A461" s="972">
        <f t="shared" si="3"/>
        <v>2028.08</v>
      </c>
      <c r="B461" s="324" t="e">
        <v>#N/A</v>
      </c>
      <c r="C461" s="325" t="e">
        <v>#N/A</v>
      </c>
      <c r="D461" s="3680" t="e">
        <v>#N/A</v>
      </c>
      <c r="E461" s="3680" t="e">
        <v>#N/A</v>
      </c>
      <c r="F461" s="677" t="e">
        <v>#N/A</v>
      </c>
    </row>
    <row r="462" spans="1:6">
      <c r="A462" s="972">
        <f t="shared" si="3"/>
        <v>2028.09</v>
      </c>
      <c r="B462" s="324" t="e">
        <v>#N/A</v>
      </c>
      <c r="C462" s="325" t="e">
        <v>#N/A</v>
      </c>
      <c r="D462" s="3680" t="e">
        <v>#N/A</v>
      </c>
      <c r="E462" s="3680" t="e">
        <v>#N/A</v>
      </c>
      <c r="F462" s="677" t="e">
        <v>#N/A</v>
      </c>
    </row>
    <row r="463" spans="1:6">
      <c r="A463" s="972">
        <f t="shared" si="3"/>
        <v>2028.1</v>
      </c>
      <c r="B463" s="324" t="e">
        <v>#N/A</v>
      </c>
      <c r="C463" s="325" t="e">
        <v>#N/A</v>
      </c>
      <c r="D463" s="3680" t="e">
        <v>#N/A</v>
      </c>
      <c r="E463" s="3680" t="e">
        <v>#N/A</v>
      </c>
      <c r="F463" s="677" t="e">
        <v>#N/A</v>
      </c>
    </row>
    <row r="464" spans="1:6">
      <c r="A464" s="972">
        <f t="shared" si="3"/>
        <v>2028.11</v>
      </c>
      <c r="B464" s="324" t="e">
        <v>#N/A</v>
      </c>
      <c r="C464" s="325" t="e">
        <v>#N/A</v>
      </c>
      <c r="D464" s="3680" t="e">
        <v>#N/A</v>
      </c>
      <c r="E464" s="3680" t="e">
        <v>#N/A</v>
      </c>
      <c r="F464" s="677" t="e">
        <v>#N/A</v>
      </c>
    </row>
    <row r="465" spans="1:6">
      <c r="A465" s="972">
        <f t="shared" si="3"/>
        <v>2028.12</v>
      </c>
      <c r="B465" s="324" t="e">
        <v>#N/A</v>
      </c>
      <c r="C465" s="325" t="e">
        <v>#N/A</v>
      </c>
      <c r="D465" s="3680" t="e">
        <v>#N/A</v>
      </c>
      <c r="E465" s="3680" t="e">
        <v>#N/A</v>
      </c>
      <c r="F465" s="677" t="e">
        <v>#N/A</v>
      </c>
    </row>
    <row r="466" spans="1:6">
      <c r="A466" s="972">
        <f t="shared" si="3"/>
        <v>2029.01</v>
      </c>
      <c r="B466" s="324" t="e">
        <v>#N/A</v>
      </c>
      <c r="C466" s="325" t="e">
        <v>#N/A</v>
      </c>
      <c r="D466" s="3680" t="e">
        <v>#N/A</v>
      </c>
      <c r="E466" s="3680" t="e">
        <v>#N/A</v>
      </c>
      <c r="F466" s="677" t="e">
        <v>#N/A</v>
      </c>
    </row>
    <row r="467" spans="1:6">
      <c r="A467" s="972">
        <f t="shared" si="3"/>
        <v>2029.02</v>
      </c>
      <c r="B467" s="324" t="e">
        <v>#N/A</v>
      </c>
      <c r="C467" s="325" t="e">
        <v>#N/A</v>
      </c>
      <c r="D467" s="3680" t="e">
        <v>#N/A</v>
      </c>
      <c r="E467" s="3680" t="e">
        <v>#N/A</v>
      </c>
      <c r="F467" s="677" t="e">
        <v>#N/A</v>
      </c>
    </row>
    <row r="468" spans="1:6">
      <c r="A468" s="972">
        <f t="shared" si="3"/>
        <v>2029.03</v>
      </c>
      <c r="B468" s="324" t="e">
        <v>#N/A</v>
      </c>
      <c r="C468" s="325" t="e">
        <v>#N/A</v>
      </c>
      <c r="D468" s="3680" t="e">
        <v>#N/A</v>
      </c>
      <c r="E468" s="3680" t="e">
        <v>#N/A</v>
      </c>
      <c r="F468" s="677" t="e">
        <v>#N/A</v>
      </c>
    </row>
    <row r="469" spans="1:6">
      <c r="A469" s="972">
        <f t="shared" si="3"/>
        <v>2029.04</v>
      </c>
      <c r="B469" s="324" t="e">
        <v>#N/A</v>
      </c>
      <c r="C469" s="325" t="e">
        <v>#N/A</v>
      </c>
      <c r="D469" s="3680" t="e">
        <v>#N/A</v>
      </c>
      <c r="E469" s="3680" t="e">
        <v>#N/A</v>
      </c>
      <c r="F469" s="677" t="e">
        <v>#N/A</v>
      </c>
    </row>
    <row r="470" spans="1:6">
      <c r="A470" s="972">
        <f t="shared" si="3"/>
        <v>2029.05</v>
      </c>
      <c r="B470" s="324" t="e">
        <v>#N/A</v>
      </c>
      <c r="C470" s="325" t="e">
        <v>#N/A</v>
      </c>
      <c r="D470" s="3680" t="e">
        <v>#N/A</v>
      </c>
      <c r="E470" s="3680" t="e">
        <v>#N/A</v>
      </c>
      <c r="F470" s="677" t="e">
        <v>#N/A</v>
      </c>
    </row>
    <row r="471" spans="1:6">
      <c r="A471" s="972">
        <f t="shared" ref="A471:A489" si="4">A459+1</f>
        <v>2029.06</v>
      </c>
      <c r="B471" s="324" t="e">
        <v>#N/A</v>
      </c>
      <c r="C471" s="325" t="e">
        <v>#N/A</v>
      </c>
      <c r="D471" s="3680" t="e">
        <v>#N/A</v>
      </c>
      <c r="E471" s="3680" t="e">
        <v>#N/A</v>
      </c>
      <c r="F471" s="677" t="e">
        <v>#N/A</v>
      </c>
    </row>
    <row r="472" spans="1:6">
      <c r="A472" s="972">
        <f t="shared" si="4"/>
        <v>2029.07</v>
      </c>
      <c r="B472" s="324" t="e">
        <v>#N/A</v>
      </c>
      <c r="C472" s="325" t="e">
        <v>#N/A</v>
      </c>
      <c r="D472" s="3680" t="e">
        <v>#N/A</v>
      </c>
      <c r="E472" s="3680" t="e">
        <v>#N/A</v>
      </c>
      <c r="F472" s="677" t="e">
        <v>#N/A</v>
      </c>
    </row>
    <row r="473" spans="1:6">
      <c r="A473" s="972">
        <f t="shared" si="4"/>
        <v>2029.08</v>
      </c>
      <c r="B473" s="324" t="e">
        <v>#N/A</v>
      </c>
      <c r="C473" s="325" t="e">
        <v>#N/A</v>
      </c>
      <c r="D473" s="3680" t="e">
        <v>#N/A</v>
      </c>
      <c r="E473" s="3680" t="e">
        <v>#N/A</v>
      </c>
      <c r="F473" s="677" t="e">
        <v>#N/A</v>
      </c>
    </row>
    <row r="474" spans="1:6">
      <c r="A474" s="972">
        <f t="shared" si="4"/>
        <v>2029.09</v>
      </c>
      <c r="B474" s="324" t="e">
        <v>#N/A</v>
      </c>
      <c r="C474" s="325" t="e">
        <v>#N/A</v>
      </c>
      <c r="D474" s="3680" t="e">
        <v>#N/A</v>
      </c>
      <c r="E474" s="3680" t="e">
        <v>#N/A</v>
      </c>
      <c r="F474" s="677" t="e">
        <v>#N/A</v>
      </c>
    </row>
    <row r="475" spans="1:6">
      <c r="A475" s="972">
        <f t="shared" si="4"/>
        <v>2029.1</v>
      </c>
      <c r="B475" s="324" t="e">
        <v>#N/A</v>
      </c>
      <c r="C475" s="325" t="e">
        <v>#N/A</v>
      </c>
      <c r="D475" s="3680" t="e">
        <v>#N/A</v>
      </c>
      <c r="E475" s="3680" t="e">
        <v>#N/A</v>
      </c>
      <c r="F475" s="677" t="e">
        <v>#N/A</v>
      </c>
    </row>
    <row r="476" spans="1:6">
      <c r="A476" s="972">
        <f t="shared" si="4"/>
        <v>2029.11</v>
      </c>
      <c r="B476" s="324" t="e">
        <v>#N/A</v>
      </c>
      <c r="C476" s="325" t="e">
        <v>#N/A</v>
      </c>
      <c r="D476" s="3680" t="e">
        <v>#N/A</v>
      </c>
      <c r="E476" s="3680" t="e">
        <v>#N/A</v>
      </c>
      <c r="F476" s="677" t="e">
        <v>#N/A</v>
      </c>
    </row>
    <row r="477" spans="1:6">
      <c r="A477" s="972">
        <f t="shared" si="4"/>
        <v>2029.12</v>
      </c>
      <c r="B477" s="324" t="e">
        <v>#N/A</v>
      </c>
      <c r="C477" s="325" t="e">
        <v>#N/A</v>
      </c>
      <c r="D477" s="3680" t="e">
        <v>#N/A</v>
      </c>
      <c r="E477" s="3680" t="e">
        <v>#N/A</v>
      </c>
      <c r="F477" s="677" t="e">
        <v>#N/A</v>
      </c>
    </row>
    <row r="478" spans="1:6">
      <c r="A478" s="972">
        <f t="shared" si="4"/>
        <v>2030.01</v>
      </c>
      <c r="B478" s="324" t="e">
        <v>#N/A</v>
      </c>
      <c r="C478" s="325" t="e">
        <v>#N/A</v>
      </c>
      <c r="D478" s="3680" t="e">
        <v>#N/A</v>
      </c>
      <c r="E478" s="3680" t="e">
        <v>#N/A</v>
      </c>
      <c r="F478" s="677" t="e">
        <v>#N/A</v>
      </c>
    </row>
    <row r="479" spans="1:6">
      <c r="A479" s="972">
        <f t="shared" si="4"/>
        <v>2030.02</v>
      </c>
      <c r="B479" s="324" t="e">
        <v>#N/A</v>
      </c>
      <c r="C479" s="325" t="e">
        <v>#N/A</v>
      </c>
      <c r="D479" s="3680" t="e">
        <v>#N/A</v>
      </c>
      <c r="E479" s="3680" t="e">
        <v>#N/A</v>
      </c>
      <c r="F479" s="677" t="e">
        <v>#N/A</v>
      </c>
    </row>
    <row r="480" spans="1:6">
      <c r="A480" s="972">
        <f t="shared" si="4"/>
        <v>2030.03</v>
      </c>
      <c r="B480" s="324" t="e">
        <v>#N/A</v>
      </c>
      <c r="C480" s="325" t="e">
        <v>#N/A</v>
      </c>
      <c r="D480" s="3680" t="e">
        <v>#N/A</v>
      </c>
      <c r="E480" s="3680" t="e">
        <v>#N/A</v>
      </c>
      <c r="F480" s="677" t="e">
        <v>#N/A</v>
      </c>
    </row>
    <row r="481" spans="1:6">
      <c r="A481" s="972">
        <f t="shared" si="4"/>
        <v>2030.04</v>
      </c>
      <c r="B481" s="324" t="e">
        <v>#N/A</v>
      </c>
      <c r="C481" s="325" t="e">
        <v>#N/A</v>
      </c>
      <c r="D481" s="3680" t="e">
        <v>#N/A</v>
      </c>
      <c r="E481" s="3680" t="e">
        <v>#N/A</v>
      </c>
      <c r="F481" s="677" t="e">
        <v>#N/A</v>
      </c>
    </row>
    <row r="482" spans="1:6">
      <c r="A482" s="972">
        <f t="shared" si="4"/>
        <v>2030.05</v>
      </c>
      <c r="B482" s="324" t="e">
        <v>#N/A</v>
      </c>
      <c r="C482" s="325" t="e">
        <v>#N/A</v>
      </c>
      <c r="D482" s="3680" t="e">
        <v>#N/A</v>
      </c>
      <c r="E482" s="3680" t="e">
        <v>#N/A</v>
      </c>
      <c r="F482" s="677" t="e">
        <v>#N/A</v>
      </c>
    </row>
    <row r="483" spans="1:6">
      <c r="A483" s="972">
        <f t="shared" si="4"/>
        <v>2030.06</v>
      </c>
      <c r="B483" s="324" t="e">
        <v>#N/A</v>
      </c>
      <c r="C483" s="325" t="e">
        <v>#N/A</v>
      </c>
      <c r="D483" s="3680" t="e">
        <v>#N/A</v>
      </c>
      <c r="E483" s="3680" t="e">
        <v>#N/A</v>
      </c>
      <c r="F483" s="677" t="e">
        <v>#N/A</v>
      </c>
    </row>
    <row r="484" spans="1:6">
      <c r="A484" s="972">
        <f t="shared" si="4"/>
        <v>2030.07</v>
      </c>
      <c r="B484" s="324" t="e">
        <v>#N/A</v>
      </c>
      <c r="C484" s="325" t="e">
        <v>#N/A</v>
      </c>
      <c r="D484" s="3680" t="e">
        <v>#N/A</v>
      </c>
      <c r="E484" s="3680" t="e">
        <v>#N/A</v>
      </c>
      <c r="F484" s="677" t="e">
        <v>#N/A</v>
      </c>
    </row>
    <row r="485" spans="1:6">
      <c r="A485" s="972">
        <f t="shared" si="4"/>
        <v>2030.08</v>
      </c>
      <c r="B485" s="324" t="e">
        <v>#N/A</v>
      </c>
      <c r="C485" s="325" t="e">
        <v>#N/A</v>
      </c>
      <c r="D485" s="3680" t="e">
        <v>#N/A</v>
      </c>
      <c r="E485" s="3680" t="e">
        <v>#N/A</v>
      </c>
      <c r="F485" s="677" t="e">
        <v>#N/A</v>
      </c>
    </row>
    <row r="486" spans="1:6">
      <c r="A486" s="972">
        <f t="shared" si="4"/>
        <v>2030.09</v>
      </c>
      <c r="B486" s="324" t="e">
        <v>#N/A</v>
      </c>
      <c r="C486" s="325" t="e">
        <v>#N/A</v>
      </c>
      <c r="D486" s="3680" t="e">
        <v>#N/A</v>
      </c>
      <c r="E486" s="3680" t="e">
        <v>#N/A</v>
      </c>
      <c r="F486" s="677" t="e">
        <v>#N/A</v>
      </c>
    </row>
    <row r="487" spans="1:6">
      <c r="A487" s="972">
        <f t="shared" si="4"/>
        <v>2030.1</v>
      </c>
      <c r="B487" s="324" t="e">
        <v>#N/A</v>
      </c>
      <c r="C487" s="325" t="e">
        <v>#N/A</v>
      </c>
      <c r="D487" s="3680" t="e">
        <v>#N/A</v>
      </c>
      <c r="E487" s="3680" t="e">
        <v>#N/A</v>
      </c>
      <c r="F487" s="677" t="e">
        <v>#N/A</v>
      </c>
    </row>
    <row r="488" spans="1:6">
      <c r="A488" s="972">
        <f t="shared" si="4"/>
        <v>2030.11</v>
      </c>
      <c r="B488" s="324" t="e">
        <v>#N/A</v>
      </c>
      <c r="C488" s="325" t="e">
        <v>#N/A</v>
      </c>
      <c r="D488" s="3680" t="e">
        <v>#N/A</v>
      </c>
      <c r="E488" s="3680" t="e">
        <v>#N/A</v>
      </c>
      <c r="F488" s="677" t="e">
        <v>#N/A</v>
      </c>
    </row>
    <row r="489" spans="1:6">
      <c r="A489" s="972">
        <f t="shared" si="4"/>
        <v>2030.12</v>
      </c>
      <c r="B489" s="324" t="e">
        <v>#N/A</v>
      </c>
      <c r="C489" s="325" t="e">
        <v>#N/A</v>
      </c>
      <c r="D489" s="3680" t="e">
        <v>#N/A</v>
      </c>
      <c r="E489" s="3680" t="e">
        <v>#N/A</v>
      </c>
      <c r="F489" s="677" t="e">
        <v>#N/A</v>
      </c>
    </row>
  </sheetData>
  <phoneticPr fontId="77" type="noConversion"/>
  <hyperlinks>
    <hyperlink ref="A1:A3" location="Indice!A1" display="ÍNDICE" xr:uid="{00000000-0004-0000-2D00-000000000000}"/>
    <hyperlink ref="A5" location="INDICE!A13" display="VOLVER AL INDICE" xr:uid="{00000000-0004-0000-2D00-000001000000}"/>
  </hyperlinks>
  <printOptions gridLines="1" gridLinesSet="0"/>
  <pageMargins left="0.75" right="0.75" top="1" bottom="1" header="0.511811024" footer="0.511811024"/>
  <pageSetup paperSize="256" orientation="landscape" horizontalDpi="180" verticalDpi="180" copies="3" r:id="rId1"/>
  <headerFooter alignWithMargins="0">
    <oddHeader>&amp;A</oddHeader>
    <oddFooter>Página &amp;P</oddFooter>
  </headerFooter>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A534B-4126-4237-A651-B75976ECABA2}">
  <dimension ref="A1:I501"/>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9.5703125" style="21" bestFit="1" customWidth="1"/>
    <col min="2" max="2" width="17.5703125" style="21" customWidth="1"/>
    <col min="3" max="3" width="9" style="6" bestFit="1" customWidth="1"/>
    <col min="4" max="4" width="11.28515625" style="6" bestFit="1" customWidth="1"/>
    <col min="5" max="5" width="12.85546875" style="6" bestFit="1" customWidth="1"/>
    <col min="6" max="8" width="11.42578125" style="6"/>
    <col min="9" max="9" width="18" style="6" bestFit="1" customWidth="1"/>
    <col min="10" max="16384" width="11.42578125" style="6"/>
  </cols>
  <sheetData>
    <row r="1" spans="1:8" ht="4.5" customHeight="1">
      <c r="A1" s="2761"/>
      <c r="B1" s="3066"/>
      <c r="C1" s="166"/>
      <c r="D1" s="166"/>
      <c r="E1" s="166"/>
      <c r="F1" s="166"/>
      <c r="G1" s="166"/>
      <c r="H1" s="166"/>
    </row>
    <row r="2" spans="1:8" ht="33.75">
      <c r="A2" s="2762" t="s">
        <v>99</v>
      </c>
      <c r="B2" s="3067" t="s">
        <v>2067</v>
      </c>
      <c r="C2" s="166"/>
      <c r="D2" s="166"/>
      <c r="E2" s="166"/>
      <c r="F2" s="166"/>
      <c r="G2" s="166"/>
      <c r="H2" s="166"/>
    </row>
    <row r="3" spans="1:8" ht="33.75">
      <c r="A3" s="2762" t="s">
        <v>193</v>
      </c>
      <c r="B3" s="2913" t="s">
        <v>1658</v>
      </c>
      <c r="C3" s="166"/>
      <c r="D3" s="166"/>
      <c r="E3" s="166"/>
      <c r="F3" s="166"/>
      <c r="G3" s="166"/>
      <c r="H3" s="166"/>
    </row>
    <row r="4" spans="1:8" ht="4.5" hidden="1" customHeight="1">
      <c r="A4" s="2762"/>
      <c r="B4" s="3066"/>
      <c r="C4" s="166"/>
      <c r="D4" s="166"/>
      <c r="E4" s="166"/>
      <c r="F4" s="166"/>
      <c r="G4" s="166"/>
      <c r="H4" s="166"/>
    </row>
    <row r="5" spans="1:8" ht="22.5">
      <c r="A5" s="2867" t="s">
        <v>140</v>
      </c>
      <c r="B5" s="2920" t="s">
        <v>1662</v>
      </c>
      <c r="C5" s="166"/>
      <c r="D5" s="166"/>
      <c r="E5" s="166"/>
      <c r="F5" s="166"/>
      <c r="G5" s="166"/>
      <c r="H5" s="166"/>
    </row>
    <row r="6" spans="1:8" ht="4.5" hidden="1" customHeight="1">
      <c r="A6" s="2762"/>
      <c r="B6" s="3066"/>
      <c r="C6" s="166"/>
      <c r="D6" s="166"/>
      <c r="E6" s="166"/>
      <c r="F6" s="166"/>
      <c r="G6" s="166"/>
      <c r="H6" s="166"/>
    </row>
    <row r="7" spans="1:8" ht="22.5">
      <c r="A7" s="2762" t="s">
        <v>125</v>
      </c>
      <c r="B7" s="2998" t="s">
        <v>1663</v>
      </c>
      <c r="C7" s="166"/>
      <c r="D7" s="166"/>
      <c r="E7" s="166"/>
      <c r="F7" s="166"/>
      <c r="G7" s="166"/>
      <c r="H7" s="166"/>
    </row>
    <row r="8" spans="1:8" ht="14.25" customHeight="1">
      <c r="A8" s="3002" t="s">
        <v>144</v>
      </c>
      <c r="B8" s="3047" t="s">
        <v>2066</v>
      </c>
      <c r="C8" s="166"/>
      <c r="D8" s="166"/>
      <c r="E8" s="166"/>
      <c r="F8" s="166"/>
      <c r="G8" s="166"/>
      <c r="H8" s="166"/>
    </row>
    <row r="9" spans="1:8" ht="13.5" thickBot="1">
      <c r="A9" s="2140"/>
      <c r="B9" s="1449"/>
      <c r="C9" s="166"/>
      <c r="D9" s="166"/>
      <c r="E9" s="166"/>
      <c r="F9" s="166"/>
      <c r="G9" s="166"/>
      <c r="H9" s="166"/>
    </row>
    <row r="10" spans="1:8">
      <c r="A10" s="57">
        <v>1990.01</v>
      </c>
      <c r="B10" s="185">
        <v>3295.9</v>
      </c>
      <c r="C10" s="166"/>
      <c r="D10" s="166"/>
      <c r="E10" s="1869"/>
      <c r="F10" s="1840"/>
      <c r="G10" s="1869"/>
      <c r="H10" s="1869"/>
    </row>
    <row r="11" spans="1:8">
      <c r="A11" s="53">
        <v>1990.02</v>
      </c>
      <c r="B11" s="883">
        <v>3055.5</v>
      </c>
      <c r="C11" s="166"/>
      <c r="D11" s="166"/>
      <c r="E11" s="1869"/>
      <c r="F11" s="1840"/>
      <c r="G11" s="1869"/>
      <c r="H11" s="1869"/>
    </row>
    <row r="12" spans="1:8">
      <c r="A12" s="53">
        <v>1990.03</v>
      </c>
      <c r="B12" s="883">
        <v>3339.6</v>
      </c>
      <c r="C12" s="166"/>
      <c r="D12" s="166"/>
      <c r="E12" s="1869"/>
      <c r="F12" s="1840"/>
      <c r="G12" s="1869"/>
      <c r="H12" s="1869"/>
    </row>
    <row r="13" spans="1:8">
      <c r="A13" s="53">
        <v>1990.04</v>
      </c>
      <c r="B13" s="883">
        <v>3789.6</v>
      </c>
      <c r="C13" s="166"/>
      <c r="D13" s="166"/>
      <c r="E13" s="1869"/>
      <c r="F13" s="1840"/>
      <c r="G13" s="1869"/>
      <c r="H13" s="1869"/>
    </row>
    <row r="14" spans="1:8">
      <c r="A14" s="53">
        <v>1990.05</v>
      </c>
      <c r="B14" s="883">
        <v>4116</v>
      </c>
      <c r="C14" s="166"/>
      <c r="D14" s="166"/>
      <c r="E14" s="1869"/>
      <c r="F14" s="1840"/>
      <c r="G14" s="1869"/>
      <c r="H14" s="1869"/>
    </row>
    <row r="15" spans="1:8">
      <c r="A15" s="53">
        <v>1990.06</v>
      </c>
      <c r="B15" s="883">
        <v>4689.8</v>
      </c>
      <c r="C15" s="166"/>
      <c r="D15" s="166"/>
      <c r="E15" s="1869"/>
      <c r="F15" s="1840"/>
      <c r="G15" s="1869"/>
      <c r="H15" s="1869"/>
    </row>
    <row r="16" spans="1:8">
      <c r="A16" s="53">
        <v>1990.07</v>
      </c>
      <c r="B16" s="883">
        <v>4388.8</v>
      </c>
      <c r="C16" s="166"/>
      <c r="D16" s="166"/>
      <c r="E16" s="1869"/>
      <c r="F16" s="1840"/>
      <c r="G16" s="1869"/>
      <c r="H16" s="1869"/>
    </row>
    <row r="17" spans="1:8">
      <c r="A17" s="53">
        <v>1990.08</v>
      </c>
      <c r="B17" s="883">
        <v>4184.2</v>
      </c>
      <c r="C17" s="166"/>
      <c r="D17" s="166"/>
      <c r="E17" s="1869"/>
      <c r="F17" s="1840"/>
      <c r="G17" s="1869"/>
      <c r="H17" s="1869"/>
    </row>
    <row r="18" spans="1:8">
      <c r="A18" s="53">
        <v>1990.09</v>
      </c>
      <c r="B18" s="883">
        <v>4910</v>
      </c>
      <c r="C18" s="166"/>
      <c r="D18" s="166"/>
      <c r="E18" s="1869"/>
      <c r="F18" s="1840"/>
      <c r="G18" s="1869"/>
      <c r="H18" s="1869"/>
    </row>
    <row r="19" spans="1:8">
      <c r="A19" s="53">
        <v>1990.1</v>
      </c>
      <c r="B19" s="883">
        <v>4843.8999999999996</v>
      </c>
      <c r="C19" s="166"/>
      <c r="D19" s="166"/>
      <c r="E19" s="1869"/>
      <c r="F19" s="1840"/>
      <c r="G19" s="1869"/>
      <c r="H19" s="1869"/>
    </row>
    <row r="20" spans="1:8">
      <c r="A20" s="53">
        <v>1990.11</v>
      </c>
      <c r="B20" s="883">
        <v>4759.5</v>
      </c>
      <c r="C20" s="166"/>
      <c r="D20" s="166"/>
      <c r="E20" s="1869"/>
      <c r="F20" s="1840"/>
      <c r="G20" s="1869"/>
      <c r="H20" s="1869"/>
    </row>
    <row r="21" spans="1:8">
      <c r="A21" s="53">
        <v>1990.12</v>
      </c>
      <c r="B21" s="883">
        <v>6170</v>
      </c>
      <c r="C21" s="166"/>
      <c r="D21" s="166"/>
      <c r="E21" s="1869"/>
      <c r="F21" s="1840"/>
      <c r="G21" s="1869"/>
      <c r="H21" s="1869"/>
    </row>
    <row r="22" spans="1:8">
      <c r="A22" s="53">
        <v>1991.01</v>
      </c>
      <c r="B22" s="883">
        <v>6040</v>
      </c>
      <c r="C22" s="166"/>
      <c r="D22" s="166"/>
      <c r="E22" s="1869"/>
      <c r="F22" s="1840"/>
      <c r="G22" s="1869"/>
      <c r="H22" s="1869"/>
    </row>
    <row r="23" spans="1:8">
      <c r="A23" s="53">
        <v>1991.02</v>
      </c>
      <c r="B23" s="883">
        <v>6874.8</v>
      </c>
      <c r="C23" s="166"/>
      <c r="D23" s="166"/>
      <c r="E23" s="1869"/>
      <c r="F23" s="1840"/>
      <c r="G23" s="1869"/>
      <c r="H23" s="1869"/>
    </row>
    <row r="24" spans="1:8">
      <c r="A24" s="53">
        <v>1991.03</v>
      </c>
      <c r="B24" s="883">
        <v>5482</v>
      </c>
      <c r="C24" s="166"/>
      <c r="D24" s="166"/>
      <c r="E24" s="1869"/>
      <c r="F24" s="1840"/>
      <c r="G24" s="1869"/>
      <c r="H24" s="1869"/>
    </row>
    <row r="25" spans="1:8">
      <c r="A25" s="53">
        <v>1991.04</v>
      </c>
      <c r="B25" s="883">
        <v>5393.3</v>
      </c>
      <c r="C25" s="166"/>
      <c r="D25" s="166"/>
      <c r="E25" s="1869"/>
      <c r="F25" s="1840"/>
      <c r="G25" s="1869"/>
      <c r="H25" s="1869"/>
    </row>
    <row r="26" spans="1:8">
      <c r="A26" s="53">
        <v>1991.05</v>
      </c>
      <c r="B26" s="883">
        <v>5891.8</v>
      </c>
      <c r="C26" s="166"/>
      <c r="D26" s="166"/>
      <c r="E26" s="1869"/>
      <c r="F26" s="1840"/>
      <c r="G26" s="1869"/>
      <c r="H26" s="1869"/>
    </row>
    <row r="27" spans="1:8">
      <c r="A27" s="53">
        <v>1991.06</v>
      </c>
      <c r="B27" s="883">
        <v>6401.2</v>
      </c>
      <c r="C27" s="166"/>
      <c r="D27" s="166"/>
      <c r="E27" s="1869"/>
      <c r="F27" s="1840"/>
      <c r="G27" s="1869"/>
      <c r="H27" s="1869"/>
    </row>
    <row r="28" spans="1:8">
      <c r="A28" s="53">
        <v>1991.07</v>
      </c>
      <c r="B28" s="883">
        <v>6534.5</v>
      </c>
      <c r="C28" s="166"/>
      <c r="D28" s="166"/>
      <c r="E28" s="1869"/>
      <c r="F28" s="1840"/>
      <c r="G28" s="1869"/>
      <c r="H28" s="1869"/>
    </row>
    <row r="29" spans="1:8">
      <c r="A29" s="53">
        <v>1991.08</v>
      </c>
      <c r="B29" s="883">
        <v>6127.1</v>
      </c>
      <c r="C29" s="166"/>
      <c r="D29" s="166"/>
      <c r="E29" s="1869"/>
      <c r="F29" s="1840"/>
      <c r="G29" s="1869"/>
      <c r="H29" s="1869"/>
    </row>
    <row r="30" spans="1:8">
      <c r="A30" s="53">
        <v>1991.09</v>
      </c>
      <c r="B30" s="883">
        <v>7270.2</v>
      </c>
      <c r="C30" s="166"/>
      <c r="D30" s="166"/>
      <c r="E30" s="1869"/>
      <c r="F30" s="1840"/>
      <c r="G30" s="1869"/>
      <c r="H30" s="1869"/>
    </row>
    <row r="31" spans="1:8">
      <c r="A31" s="53">
        <v>1991.1</v>
      </c>
      <c r="B31" s="883">
        <v>6703.9</v>
      </c>
      <c r="C31" s="166"/>
      <c r="D31" s="166"/>
      <c r="E31" s="1869"/>
      <c r="F31" s="1840"/>
      <c r="G31" s="1869"/>
      <c r="H31" s="1869"/>
    </row>
    <row r="32" spans="1:8">
      <c r="A32" s="53">
        <v>1991.11</v>
      </c>
      <c r="B32" s="883">
        <v>7433.2</v>
      </c>
      <c r="C32" s="166"/>
      <c r="D32" s="166"/>
      <c r="E32" s="1869"/>
      <c r="F32" s="1840"/>
      <c r="G32" s="1869"/>
      <c r="H32" s="1869"/>
    </row>
    <row r="33" spans="1:8">
      <c r="A33" s="53">
        <v>1991.12</v>
      </c>
      <c r="B33" s="883">
        <v>9093.2999999999993</v>
      </c>
      <c r="C33" s="166"/>
      <c r="D33" s="166"/>
      <c r="E33" s="1869"/>
      <c r="F33" s="1840"/>
      <c r="G33" s="1869"/>
      <c r="H33" s="1869"/>
    </row>
    <row r="34" spans="1:8">
      <c r="A34" s="53">
        <v>1992.01</v>
      </c>
      <c r="B34" s="883">
        <v>9090.2999999999993</v>
      </c>
      <c r="C34" s="166"/>
      <c r="D34" s="166"/>
      <c r="E34" s="1869"/>
      <c r="F34" s="1840"/>
      <c r="G34" s="1869"/>
      <c r="H34" s="1869"/>
    </row>
    <row r="35" spans="1:8">
      <c r="A35" s="53">
        <v>1992.02</v>
      </c>
      <c r="B35" s="883">
        <v>8834.7000000000007</v>
      </c>
      <c r="C35" s="166"/>
      <c r="D35" s="166"/>
      <c r="E35" s="1869"/>
      <c r="F35" s="1840"/>
      <c r="G35" s="1869"/>
      <c r="H35" s="1869"/>
    </row>
    <row r="36" spans="1:8">
      <c r="A36" s="53">
        <v>1992.03</v>
      </c>
      <c r="B36" s="883">
        <v>9486.2000000000007</v>
      </c>
      <c r="C36" s="166"/>
      <c r="D36" s="166"/>
      <c r="E36" s="1869"/>
      <c r="F36" s="1840"/>
      <c r="G36" s="1869"/>
      <c r="H36" s="1869"/>
    </row>
    <row r="37" spans="1:8">
      <c r="A37" s="53">
        <v>1992.04</v>
      </c>
      <c r="B37" s="883">
        <v>9901</v>
      </c>
      <c r="C37" s="166"/>
      <c r="D37" s="166"/>
      <c r="E37" s="1869"/>
      <c r="F37" s="1840"/>
      <c r="G37" s="1869"/>
      <c r="H37" s="1869"/>
    </row>
    <row r="38" spans="1:8">
      <c r="A38" s="53">
        <v>1992.05</v>
      </c>
      <c r="B38" s="883">
        <v>10447.299999999999</v>
      </c>
      <c r="C38" s="166"/>
      <c r="D38" s="166"/>
      <c r="E38" s="1869"/>
      <c r="F38" s="1840"/>
      <c r="G38" s="1869"/>
      <c r="H38" s="1869"/>
    </row>
    <row r="39" spans="1:8">
      <c r="A39" s="53">
        <v>1992.06</v>
      </c>
      <c r="B39" s="883">
        <v>10290</v>
      </c>
      <c r="C39" s="166"/>
      <c r="D39" s="166"/>
      <c r="E39" s="1869"/>
      <c r="F39" s="1840"/>
      <c r="G39" s="1869"/>
      <c r="H39" s="1869"/>
    </row>
    <row r="40" spans="1:8">
      <c r="A40" s="53">
        <v>1992.07</v>
      </c>
      <c r="B40" s="883">
        <v>10823.9</v>
      </c>
      <c r="C40" s="166"/>
      <c r="D40" s="166"/>
      <c r="E40" s="1869"/>
      <c r="F40" s="1840"/>
      <c r="G40" s="1869"/>
      <c r="H40" s="1869"/>
    </row>
    <row r="41" spans="1:8">
      <c r="A41" s="53">
        <v>1992.08</v>
      </c>
      <c r="B41" s="883">
        <v>10749.4</v>
      </c>
      <c r="C41" s="166"/>
      <c r="D41" s="166"/>
      <c r="E41" s="1869"/>
      <c r="F41" s="1840"/>
      <c r="G41" s="1869"/>
      <c r="H41" s="1869"/>
    </row>
    <row r="42" spans="1:8">
      <c r="A42" s="53">
        <v>1992.09</v>
      </c>
      <c r="B42" s="883">
        <v>11361</v>
      </c>
      <c r="C42" s="166"/>
      <c r="D42" s="166"/>
      <c r="E42" s="1869"/>
      <c r="F42" s="1840"/>
      <c r="G42" s="1869"/>
      <c r="H42" s="1869"/>
    </row>
    <row r="43" spans="1:8">
      <c r="A43" s="53">
        <v>1992.1</v>
      </c>
      <c r="B43" s="883">
        <v>11660.8</v>
      </c>
      <c r="C43" s="166"/>
      <c r="D43" s="166"/>
      <c r="E43" s="1869"/>
      <c r="F43" s="1840"/>
      <c r="G43" s="1869"/>
      <c r="H43" s="1869"/>
    </row>
    <row r="44" spans="1:8">
      <c r="A44" s="53">
        <v>1992.11</v>
      </c>
      <c r="B44" s="883">
        <v>11150.7</v>
      </c>
      <c r="C44" s="166"/>
      <c r="D44" s="166"/>
      <c r="E44" s="1869"/>
      <c r="F44" s="1840"/>
      <c r="G44" s="1869"/>
      <c r="H44" s="1869"/>
    </row>
    <row r="45" spans="1:8">
      <c r="A45" s="53">
        <v>1992.12</v>
      </c>
      <c r="B45" s="883">
        <v>12495.8</v>
      </c>
      <c r="C45" s="166"/>
      <c r="D45" s="166"/>
      <c r="E45" s="1869"/>
      <c r="F45" s="1840"/>
      <c r="G45" s="1869"/>
      <c r="H45" s="1869"/>
    </row>
    <row r="46" spans="1:8">
      <c r="A46" s="53">
        <v>1993.01</v>
      </c>
      <c r="B46" s="883">
        <v>12767.4</v>
      </c>
      <c r="C46" s="166"/>
      <c r="D46" s="166"/>
      <c r="E46" s="1869"/>
      <c r="F46" s="1840"/>
      <c r="G46" s="1869"/>
      <c r="H46" s="1869"/>
    </row>
    <row r="47" spans="1:8">
      <c r="A47" s="53">
        <v>1993.02</v>
      </c>
      <c r="B47" s="883">
        <v>12898.7</v>
      </c>
      <c r="C47" s="166"/>
      <c r="D47" s="166"/>
      <c r="E47" s="1869"/>
      <c r="F47" s="1840"/>
      <c r="G47" s="1869"/>
      <c r="H47" s="1869"/>
    </row>
    <row r="48" spans="1:8">
      <c r="A48" s="53">
        <v>1993.03</v>
      </c>
      <c r="B48" s="883">
        <v>13015</v>
      </c>
      <c r="C48" s="166"/>
      <c r="D48" s="166"/>
      <c r="E48" s="1869"/>
      <c r="F48" s="1840"/>
      <c r="G48" s="1869"/>
      <c r="H48" s="1869"/>
    </row>
    <row r="49" spans="1:8">
      <c r="A49" s="53">
        <v>1993.04</v>
      </c>
      <c r="B49" s="883">
        <v>12691.9</v>
      </c>
      <c r="C49" s="166"/>
      <c r="D49" s="166"/>
      <c r="E49" s="1869"/>
      <c r="F49" s="1840"/>
      <c r="G49" s="1869"/>
      <c r="H49" s="1869"/>
    </row>
    <row r="50" spans="1:8">
      <c r="A50" s="53">
        <v>1993.05</v>
      </c>
      <c r="B50" s="883">
        <v>12847.1</v>
      </c>
      <c r="C50" s="166"/>
      <c r="D50" s="166"/>
      <c r="E50" s="1869"/>
      <c r="F50" s="1840"/>
      <c r="G50" s="1869"/>
      <c r="H50" s="1869"/>
    </row>
    <row r="51" spans="1:8">
      <c r="A51" s="53">
        <v>1993.06</v>
      </c>
      <c r="B51" s="883">
        <v>12829</v>
      </c>
      <c r="C51" s="166"/>
      <c r="D51" s="166"/>
      <c r="E51" s="1869"/>
      <c r="F51" s="1840"/>
      <c r="G51" s="1869"/>
      <c r="H51" s="1869"/>
    </row>
    <row r="52" spans="1:8">
      <c r="A52" s="53">
        <v>1993.07</v>
      </c>
      <c r="B52" s="883">
        <v>14388.4</v>
      </c>
      <c r="C52" s="166"/>
      <c r="D52" s="166"/>
      <c r="E52" s="1869"/>
      <c r="F52" s="1840"/>
      <c r="G52" s="1869"/>
      <c r="H52" s="1869"/>
    </row>
    <row r="53" spans="1:8">
      <c r="A53" s="53">
        <v>1993.08</v>
      </c>
      <c r="B53" s="883">
        <v>16060.8</v>
      </c>
      <c r="C53" s="166"/>
      <c r="D53" s="166"/>
      <c r="E53" s="1869"/>
      <c r="F53" s="1840"/>
      <c r="G53" s="1869"/>
      <c r="H53" s="1869"/>
    </row>
    <row r="54" spans="1:8">
      <c r="A54" s="53">
        <v>1993.09</v>
      </c>
      <c r="B54" s="883">
        <v>15014.9</v>
      </c>
      <c r="C54" s="166"/>
      <c r="D54" s="166"/>
      <c r="E54" s="1869"/>
      <c r="F54" s="1840"/>
      <c r="G54" s="1869"/>
      <c r="H54" s="1869"/>
    </row>
    <row r="55" spans="1:8">
      <c r="A55" s="53">
        <v>1993.1</v>
      </c>
      <c r="B55" s="883">
        <v>15148.5</v>
      </c>
      <c r="C55" s="166"/>
      <c r="D55" s="166"/>
      <c r="E55" s="1869"/>
      <c r="F55" s="1840"/>
      <c r="G55" s="1869"/>
      <c r="H55" s="1869"/>
    </row>
    <row r="56" spans="1:8">
      <c r="A56" s="53">
        <v>1993.11</v>
      </c>
      <c r="B56" s="883">
        <v>15193.7</v>
      </c>
      <c r="C56" s="166"/>
      <c r="D56" s="166"/>
      <c r="E56" s="1869"/>
      <c r="F56" s="1840"/>
      <c r="G56" s="1869"/>
      <c r="H56" s="1869"/>
    </row>
    <row r="57" spans="1:8">
      <c r="A57" s="53">
        <v>1993.12</v>
      </c>
      <c r="B57" s="883">
        <v>17222.8</v>
      </c>
      <c r="C57" s="166"/>
      <c r="D57" s="166"/>
      <c r="E57" s="1869"/>
      <c r="F57" s="1840"/>
      <c r="G57" s="1869"/>
      <c r="H57" s="1869"/>
    </row>
    <row r="58" spans="1:8">
      <c r="A58" s="53">
        <v>1994.01</v>
      </c>
      <c r="B58" s="883">
        <v>17355.722000000002</v>
      </c>
      <c r="C58" s="166"/>
      <c r="D58" s="166"/>
      <c r="E58" s="1869"/>
      <c r="F58" s="1840"/>
      <c r="G58" s="1869"/>
      <c r="H58" s="1869"/>
    </row>
    <row r="59" spans="1:8">
      <c r="A59" s="53">
        <v>1994.02</v>
      </c>
      <c r="B59" s="883">
        <v>17107.716</v>
      </c>
      <c r="C59" s="166"/>
      <c r="D59" s="166"/>
      <c r="E59" s="1869"/>
      <c r="F59" s="1840"/>
      <c r="G59" s="1869"/>
      <c r="H59" s="1869"/>
    </row>
    <row r="60" spans="1:8">
      <c r="A60" s="53">
        <v>1994.03</v>
      </c>
      <c r="B60" s="883">
        <v>16649.876</v>
      </c>
      <c r="C60" s="166"/>
      <c r="D60" s="166"/>
      <c r="E60" s="1869"/>
      <c r="F60" s="1840"/>
      <c r="G60" s="1869"/>
      <c r="H60" s="1869"/>
    </row>
    <row r="61" spans="1:8">
      <c r="A61" s="53">
        <v>1994.04</v>
      </c>
      <c r="B61" s="883">
        <v>16788.578999999998</v>
      </c>
      <c r="C61" s="166"/>
      <c r="D61" s="166"/>
      <c r="E61" s="1869"/>
      <c r="F61" s="1840"/>
      <c r="G61" s="1869"/>
      <c r="H61" s="1869"/>
    </row>
    <row r="62" spans="1:8">
      <c r="A62" s="53">
        <v>1994.05</v>
      </c>
      <c r="B62" s="883">
        <v>16999.263999999999</v>
      </c>
      <c r="C62" s="166"/>
      <c r="D62" s="166"/>
      <c r="E62" s="1869"/>
      <c r="F62" s="1840"/>
      <c r="G62" s="1869"/>
      <c r="H62" s="1869"/>
    </row>
    <row r="63" spans="1:8">
      <c r="A63" s="53">
        <v>1994.06</v>
      </c>
      <c r="B63" s="883">
        <v>17101.654999999999</v>
      </c>
      <c r="C63" s="166"/>
      <c r="D63" s="166"/>
      <c r="E63" s="1869"/>
      <c r="F63" s="1840"/>
      <c r="G63" s="1869"/>
      <c r="H63" s="1869"/>
    </row>
    <row r="64" spans="1:8">
      <c r="A64" s="53">
        <v>1994.07</v>
      </c>
      <c r="B64" s="883">
        <v>17872.058000000001</v>
      </c>
      <c r="C64" s="166"/>
      <c r="D64" s="166"/>
      <c r="E64" s="1869"/>
      <c r="F64" s="1840"/>
      <c r="G64" s="1869"/>
      <c r="H64" s="1869"/>
    </row>
    <row r="65" spans="1:8">
      <c r="A65" s="53">
        <v>1994.08</v>
      </c>
      <c r="B65" s="883">
        <v>17119.756999999998</v>
      </c>
      <c r="C65" s="166"/>
      <c r="D65" s="166"/>
      <c r="E65" s="1869"/>
      <c r="F65" s="1840"/>
      <c r="G65" s="1869"/>
      <c r="H65" s="1869"/>
    </row>
    <row r="66" spans="1:8">
      <c r="A66" s="53">
        <v>1994.09</v>
      </c>
      <c r="B66" s="883">
        <v>17079.563999999998</v>
      </c>
      <c r="C66" s="166"/>
      <c r="D66" s="166"/>
      <c r="E66" s="1869"/>
      <c r="F66" s="1840"/>
      <c r="G66" s="1869"/>
      <c r="H66" s="1869"/>
    </row>
    <row r="67" spans="1:8">
      <c r="A67" s="53">
        <v>1994.1</v>
      </c>
      <c r="B67" s="883">
        <v>16743.076999999997</v>
      </c>
      <c r="C67" s="166"/>
      <c r="D67" s="166"/>
      <c r="E67" s="1869"/>
      <c r="F67" s="1840"/>
      <c r="G67" s="1869"/>
      <c r="H67" s="1869"/>
    </row>
    <row r="68" spans="1:8">
      <c r="A68" s="53">
        <v>1994.11</v>
      </c>
      <c r="B68" s="883">
        <v>16731.624</v>
      </c>
      <c r="C68" s="166"/>
      <c r="D68" s="166"/>
      <c r="E68" s="1869"/>
      <c r="F68" s="1840"/>
      <c r="G68" s="1869"/>
      <c r="H68" s="1869"/>
    </row>
    <row r="69" spans="1:8">
      <c r="A69" s="53">
        <v>1994.12</v>
      </c>
      <c r="B69" s="883">
        <v>17822.927</v>
      </c>
      <c r="C69" s="166"/>
      <c r="D69" s="166"/>
      <c r="E69" s="1869"/>
      <c r="F69" s="1840"/>
      <c r="G69" s="1869"/>
      <c r="H69" s="1869"/>
    </row>
    <row r="70" spans="1:8">
      <c r="A70" s="53">
        <v>1995.01</v>
      </c>
      <c r="B70" s="883">
        <v>15367.806</v>
      </c>
      <c r="C70" s="166"/>
      <c r="D70" s="166"/>
      <c r="E70" s="1869"/>
      <c r="F70" s="1840"/>
      <c r="G70" s="1869"/>
      <c r="H70" s="1869"/>
    </row>
    <row r="71" spans="1:8">
      <c r="A71" s="53">
        <v>1995.02</v>
      </c>
      <c r="B71" s="883">
        <v>14521.665000000001</v>
      </c>
      <c r="C71" s="166"/>
      <c r="D71" s="166"/>
      <c r="E71" s="1869"/>
      <c r="F71" s="1840"/>
      <c r="G71" s="1869"/>
      <c r="H71" s="1869"/>
    </row>
    <row r="72" spans="1:8">
      <c r="A72" s="53">
        <v>1995.03</v>
      </c>
      <c r="B72" s="883">
        <v>11707.546</v>
      </c>
      <c r="C72" s="166"/>
      <c r="D72" s="166"/>
      <c r="E72" s="1869"/>
      <c r="F72" s="1840"/>
      <c r="G72" s="1869"/>
      <c r="H72" s="1869"/>
    </row>
    <row r="73" spans="1:8">
      <c r="A73" s="53">
        <v>1995.04</v>
      </c>
      <c r="B73" s="883">
        <v>11559.723</v>
      </c>
      <c r="C73" s="166"/>
      <c r="D73" s="166"/>
      <c r="E73" s="1869"/>
      <c r="F73" s="1840"/>
      <c r="G73" s="1869"/>
      <c r="H73" s="1869"/>
    </row>
    <row r="74" spans="1:8">
      <c r="A74" s="53">
        <v>1995.05</v>
      </c>
      <c r="B74" s="883">
        <v>11629.723</v>
      </c>
      <c r="C74" s="166"/>
      <c r="D74" s="166"/>
      <c r="E74" s="1869"/>
      <c r="F74" s="1840"/>
      <c r="G74" s="1869"/>
      <c r="H74" s="1869"/>
    </row>
    <row r="75" spans="1:8">
      <c r="A75" s="53">
        <v>1995.06</v>
      </c>
      <c r="B75" s="883">
        <v>13709.099</v>
      </c>
      <c r="C75" s="166"/>
      <c r="D75" s="166"/>
      <c r="E75" s="1869"/>
      <c r="F75" s="1840"/>
      <c r="G75" s="1869"/>
      <c r="H75" s="1869"/>
    </row>
    <row r="76" spans="1:8">
      <c r="A76" s="53">
        <v>1995.07</v>
      </c>
      <c r="B76" s="883">
        <v>14428.75</v>
      </c>
      <c r="C76" s="166"/>
      <c r="D76" s="166"/>
      <c r="E76" s="1869"/>
      <c r="F76" s="1840"/>
      <c r="G76" s="1869"/>
      <c r="H76" s="1869"/>
    </row>
    <row r="77" spans="1:8">
      <c r="A77" s="53">
        <v>1995.08</v>
      </c>
      <c r="B77" s="883">
        <v>12761.29</v>
      </c>
      <c r="C77" s="166"/>
      <c r="D77" s="166"/>
      <c r="E77" s="1869"/>
      <c r="F77" s="1840"/>
      <c r="G77" s="1869"/>
      <c r="H77" s="1869"/>
    </row>
    <row r="78" spans="1:8">
      <c r="A78" s="53">
        <v>1995.09</v>
      </c>
      <c r="B78" s="883">
        <v>14213.633</v>
      </c>
      <c r="C78" s="166"/>
      <c r="D78" s="166"/>
      <c r="E78" s="1869"/>
      <c r="F78" s="1840"/>
      <c r="G78" s="1869"/>
      <c r="H78" s="1869"/>
    </row>
    <row r="79" spans="1:8">
      <c r="A79" s="53">
        <v>1995.1</v>
      </c>
      <c r="B79" s="883">
        <v>13469.981</v>
      </c>
      <c r="C79" s="166"/>
      <c r="D79" s="166"/>
      <c r="E79" s="1869"/>
      <c r="F79" s="1840"/>
      <c r="G79" s="1869"/>
      <c r="H79" s="1869"/>
    </row>
    <row r="80" spans="1:8">
      <c r="A80" s="53">
        <v>1995.11</v>
      </c>
      <c r="B80" s="883">
        <v>13671.195000000002</v>
      </c>
      <c r="C80" s="166"/>
      <c r="D80" s="166"/>
      <c r="E80" s="1869"/>
      <c r="F80" s="1840"/>
      <c r="G80" s="1869"/>
      <c r="H80" s="1869"/>
    </row>
    <row r="81" spans="1:8">
      <c r="A81" s="53">
        <v>1995.12</v>
      </c>
      <c r="B81" s="883">
        <v>17345.898999999998</v>
      </c>
      <c r="C81" s="166"/>
      <c r="D81" s="166"/>
      <c r="E81" s="1869"/>
      <c r="F81" s="1840"/>
      <c r="G81" s="1869"/>
      <c r="H81" s="1869"/>
    </row>
    <row r="82" spans="1:8">
      <c r="A82" s="53">
        <v>1996.01</v>
      </c>
      <c r="B82" s="883">
        <v>16517</v>
      </c>
      <c r="C82" s="166"/>
      <c r="D82" s="166"/>
      <c r="E82" s="1869"/>
      <c r="F82" s="1840"/>
      <c r="G82" s="1869"/>
      <c r="H82" s="1869"/>
    </row>
    <row r="83" spans="1:8">
      <c r="A83" s="53">
        <v>1996.02</v>
      </c>
      <c r="B83" s="883">
        <v>18372</v>
      </c>
      <c r="C83" s="166"/>
      <c r="D83" s="166"/>
      <c r="E83" s="1869"/>
      <c r="F83" s="1840"/>
      <c r="G83" s="1869"/>
      <c r="H83" s="1869"/>
    </row>
    <row r="84" spans="1:8">
      <c r="A84" s="53">
        <v>1996.03</v>
      </c>
      <c r="B84" s="883">
        <v>18646</v>
      </c>
      <c r="C84" s="166"/>
      <c r="D84" s="166"/>
      <c r="E84" s="1869"/>
      <c r="F84" s="1840"/>
      <c r="G84" s="1869"/>
      <c r="H84" s="1869"/>
    </row>
    <row r="85" spans="1:8">
      <c r="A85" s="53">
        <v>1996.04</v>
      </c>
      <c r="B85" s="883">
        <v>17763</v>
      </c>
      <c r="C85" s="166"/>
      <c r="D85" s="166"/>
      <c r="E85" s="1869"/>
      <c r="F85" s="1840"/>
      <c r="G85" s="1869"/>
      <c r="H85" s="1869"/>
    </row>
    <row r="86" spans="1:8">
      <c r="A86" s="53">
        <v>1996.05</v>
      </c>
      <c r="B86" s="883">
        <v>18073</v>
      </c>
      <c r="C86" s="166"/>
      <c r="D86" s="166"/>
      <c r="E86" s="1869"/>
      <c r="F86" s="1840"/>
      <c r="G86" s="1869"/>
      <c r="H86" s="1869"/>
    </row>
    <row r="87" spans="1:8">
      <c r="A87" s="53">
        <v>1996.06</v>
      </c>
      <c r="B87" s="883">
        <v>19974</v>
      </c>
      <c r="C87" s="166"/>
      <c r="D87" s="166"/>
      <c r="E87" s="1869"/>
      <c r="F87" s="1840"/>
      <c r="G87" s="1869"/>
      <c r="H87" s="1869"/>
    </row>
    <row r="88" spans="1:8">
      <c r="A88" s="53">
        <v>1996.07</v>
      </c>
      <c r="B88" s="883">
        <v>19719</v>
      </c>
      <c r="C88" s="166"/>
      <c r="D88" s="166"/>
      <c r="E88" s="1869"/>
      <c r="F88" s="1840"/>
      <c r="G88" s="1869"/>
      <c r="H88" s="1869"/>
    </row>
    <row r="89" spans="1:8">
      <c r="A89" s="53">
        <v>1996.08</v>
      </c>
      <c r="B89" s="883">
        <v>19530</v>
      </c>
      <c r="C89" s="166"/>
      <c r="D89" s="166"/>
      <c r="E89" s="1869"/>
      <c r="F89" s="1840"/>
      <c r="G89" s="1869"/>
      <c r="H89" s="1869"/>
    </row>
    <row r="90" spans="1:8">
      <c r="A90" s="53">
        <v>1996.09</v>
      </c>
      <c r="B90" s="883">
        <v>19984</v>
      </c>
      <c r="C90" s="166"/>
      <c r="D90" s="166"/>
      <c r="E90" s="1869"/>
      <c r="F90" s="1840"/>
      <c r="G90" s="1869"/>
      <c r="H90" s="1869"/>
    </row>
    <row r="91" spans="1:8">
      <c r="A91" s="53">
        <v>1996.1</v>
      </c>
      <c r="B91" s="883">
        <v>19288</v>
      </c>
      <c r="C91" s="166"/>
      <c r="D91" s="166"/>
      <c r="E91" s="1869"/>
      <c r="F91" s="1840"/>
      <c r="G91" s="1869"/>
      <c r="H91" s="1869"/>
    </row>
    <row r="92" spans="1:8">
      <c r="A92" s="53">
        <v>1996.11</v>
      </c>
      <c r="B92" s="883">
        <v>20033</v>
      </c>
      <c r="C92" s="166"/>
      <c r="D92" s="166"/>
      <c r="E92" s="1869"/>
      <c r="F92" s="1840"/>
      <c r="G92" s="1869"/>
      <c r="H92" s="1869"/>
    </row>
    <row r="93" spans="1:8">
      <c r="A93" s="53">
        <v>1996.12</v>
      </c>
      <c r="B93" s="883">
        <v>23330</v>
      </c>
      <c r="C93" s="166"/>
      <c r="D93" s="166"/>
      <c r="E93" s="1869"/>
      <c r="F93" s="1840"/>
      <c r="G93" s="1869"/>
      <c r="H93" s="1869"/>
    </row>
    <row r="94" spans="1:8">
      <c r="A94" s="53">
        <v>1997.01</v>
      </c>
      <c r="B94" s="883">
        <v>23426</v>
      </c>
      <c r="C94" s="166"/>
      <c r="D94" s="166"/>
      <c r="E94" s="1869"/>
      <c r="F94" s="1840"/>
      <c r="G94" s="1869"/>
      <c r="H94" s="1869"/>
    </row>
    <row r="95" spans="1:8">
      <c r="A95" s="53">
        <v>1997.02</v>
      </c>
      <c r="B95" s="883">
        <v>25155</v>
      </c>
      <c r="C95" s="166"/>
      <c r="D95" s="166"/>
      <c r="E95" s="1869"/>
      <c r="F95" s="1840"/>
      <c r="G95" s="1869"/>
      <c r="H95" s="1869"/>
    </row>
    <row r="96" spans="1:8">
      <c r="A96" s="53">
        <v>1997.03</v>
      </c>
      <c r="B96" s="883">
        <v>24406</v>
      </c>
      <c r="C96" s="166"/>
      <c r="D96" s="166"/>
      <c r="E96" s="1869"/>
      <c r="F96" s="1840"/>
      <c r="G96" s="1869"/>
      <c r="H96" s="1869"/>
    </row>
    <row r="97" spans="1:8">
      <c r="A97" s="53">
        <v>1997.04</v>
      </c>
      <c r="B97" s="883">
        <v>24028</v>
      </c>
      <c r="C97" s="166"/>
      <c r="D97" s="166"/>
      <c r="E97" s="1869"/>
      <c r="F97" s="1840"/>
      <c r="G97" s="1869"/>
      <c r="H97" s="1869"/>
    </row>
    <row r="98" spans="1:8">
      <c r="A98" s="53">
        <v>1997.05</v>
      </c>
      <c r="B98" s="883">
        <v>26007</v>
      </c>
      <c r="C98" s="166"/>
      <c r="D98" s="166"/>
      <c r="E98" s="1869"/>
      <c r="F98" s="1840"/>
      <c r="G98" s="1869"/>
      <c r="H98" s="1869"/>
    </row>
    <row r="99" spans="1:8">
      <c r="A99" s="53">
        <v>1997.06</v>
      </c>
      <c r="B99" s="883">
        <v>25862</v>
      </c>
      <c r="C99" s="166"/>
      <c r="D99" s="166"/>
      <c r="E99" s="1869"/>
      <c r="F99" s="1840"/>
      <c r="G99" s="1869"/>
      <c r="H99" s="1869"/>
    </row>
    <row r="100" spans="1:8">
      <c r="A100" s="53">
        <v>1997.07</v>
      </c>
      <c r="B100" s="883">
        <v>26863</v>
      </c>
      <c r="C100" s="166"/>
      <c r="D100" s="166"/>
      <c r="E100" s="1869"/>
      <c r="F100" s="1840"/>
      <c r="G100" s="1869"/>
      <c r="H100" s="1869"/>
    </row>
    <row r="101" spans="1:8">
      <c r="A101" s="53">
        <v>1997.08</v>
      </c>
      <c r="B101" s="883">
        <v>27879</v>
      </c>
      <c r="C101" s="166"/>
      <c r="D101" s="166"/>
      <c r="E101" s="1869"/>
      <c r="F101" s="1840"/>
      <c r="G101" s="1869"/>
      <c r="H101" s="1869"/>
    </row>
    <row r="102" spans="1:8">
      <c r="A102" s="53">
        <v>1997.09</v>
      </c>
      <c r="B102" s="883">
        <v>26521</v>
      </c>
      <c r="C102" s="166"/>
      <c r="D102" s="166"/>
      <c r="E102" s="1869"/>
      <c r="F102" s="1840"/>
      <c r="G102" s="1869"/>
      <c r="H102" s="1869"/>
    </row>
    <row r="103" spans="1:8">
      <c r="A103" s="53">
        <v>1997.1</v>
      </c>
      <c r="B103" s="883">
        <v>27591</v>
      </c>
      <c r="C103" s="166"/>
      <c r="D103" s="166"/>
      <c r="E103" s="1869"/>
      <c r="F103" s="1840"/>
      <c r="G103" s="1869"/>
      <c r="H103" s="1869"/>
    </row>
    <row r="104" spans="1:8">
      <c r="A104" s="53">
        <v>1997.11</v>
      </c>
      <c r="B104" s="883">
        <v>27331</v>
      </c>
      <c r="C104" s="166"/>
      <c r="D104" s="166"/>
      <c r="E104" s="1869"/>
      <c r="F104" s="1840"/>
      <c r="G104" s="1869"/>
      <c r="H104" s="1869"/>
    </row>
    <row r="105" spans="1:8">
      <c r="A105" s="53">
        <v>1997.12</v>
      </c>
      <c r="B105" s="883">
        <v>29769</v>
      </c>
      <c r="C105" s="166"/>
      <c r="D105" s="166"/>
      <c r="E105" s="1869"/>
      <c r="F105" s="1840"/>
      <c r="G105" s="1869"/>
      <c r="H105" s="1869"/>
    </row>
    <row r="106" spans="1:8">
      <c r="A106" s="53">
        <v>1998.01</v>
      </c>
      <c r="B106" s="883">
        <v>27914</v>
      </c>
      <c r="C106" s="166"/>
      <c r="D106" s="166"/>
      <c r="E106" s="1869"/>
      <c r="F106" s="1840"/>
      <c r="G106" s="1869"/>
      <c r="H106" s="1869"/>
    </row>
    <row r="107" spans="1:8">
      <c r="A107" s="53">
        <v>1998.02</v>
      </c>
      <c r="B107" s="883">
        <v>31325</v>
      </c>
      <c r="C107" s="166"/>
      <c r="D107" s="166"/>
      <c r="E107" s="1869"/>
      <c r="F107" s="1840"/>
      <c r="G107" s="1869"/>
      <c r="H107" s="1869"/>
    </row>
    <row r="108" spans="1:8">
      <c r="A108" s="53">
        <v>1998.03</v>
      </c>
      <c r="B108" s="883">
        <v>29993</v>
      </c>
      <c r="C108" s="166"/>
      <c r="D108" s="166"/>
      <c r="E108" s="1869"/>
      <c r="F108" s="1840"/>
      <c r="G108" s="1869"/>
      <c r="H108" s="1869"/>
    </row>
    <row r="109" spans="1:8">
      <c r="A109" s="53">
        <v>1998.04</v>
      </c>
      <c r="B109" s="883">
        <v>29941</v>
      </c>
      <c r="C109" s="166"/>
      <c r="D109" s="166"/>
      <c r="E109" s="1869"/>
      <c r="F109" s="1840"/>
      <c r="G109" s="1869"/>
      <c r="H109" s="1869"/>
    </row>
    <row r="110" spans="1:8">
      <c r="A110" s="53">
        <v>1998.05</v>
      </c>
      <c r="B110" s="883">
        <v>30462</v>
      </c>
      <c r="C110" s="166"/>
      <c r="D110" s="166"/>
      <c r="E110" s="1869"/>
      <c r="F110" s="1840"/>
      <c r="G110" s="1869"/>
      <c r="H110" s="1869"/>
    </row>
    <row r="111" spans="1:8">
      <c r="A111" s="53">
        <v>1998.06</v>
      </c>
      <c r="B111" s="883">
        <v>30919</v>
      </c>
      <c r="C111" s="166"/>
      <c r="D111" s="166"/>
      <c r="E111" s="1869"/>
      <c r="F111" s="1840"/>
      <c r="G111" s="1869"/>
      <c r="H111" s="1869"/>
    </row>
    <row r="112" spans="1:8">
      <c r="A112" s="53">
        <v>1998.07</v>
      </c>
      <c r="B112" s="883">
        <v>33513</v>
      </c>
      <c r="C112" s="166"/>
      <c r="D112" s="166"/>
      <c r="E112" s="1869"/>
      <c r="F112" s="1840"/>
      <c r="G112" s="1869"/>
      <c r="H112" s="1869"/>
    </row>
    <row r="113" spans="1:8">
      <c r="A113" s="53">
        <v>1998.08</v>
      </c>
      <c r="B113" s="883">
        <v>31766</v>
      </c>
      <c r="C113" s="166"/>
      <c r="D113" s="166"/>
      <c r="E113" s="1869"/>
      <c r="F113" s="1840"/>
      <c r="G113" s="1869"/>
      <c r="H113" s="1869"/>
    </row>
    <row r="114" spans="1:8">
      <c r="A114" s="53">
        <v>1998.09</v>
      </c>
      <c r="B114" s="883">
        <v>30716</v>
      </c>
      <c r="C114" s="166"/>
      <c r="D114" s="166"/>
      <c r="E114" s="1869"/>
      <c r="F114" s="1840"/>
      <c r="G114" s="1869"/>
      <c r="H114" s="1869"/>
    </row>
    <row r="115" spans="1:8">
      <c r="A115" s="53">
        <v>1998.1</v>
      </c>
      <c r="B115" s="883">
        <v>30283</v>
      </c>
      <c r="C115" s="166"/>
      <c r="D115" s="166"/>
      <c r="E115" s="1869"/>
      <c r="F115" s="1840"/>
      <c r="G115" s="1869"/>
      <c r="H115" s="1869"/>
    </row>
    <row r="116" spans="1:8">
      <c r="A116" s="53">
        <v>1998.11</v>
      </c>
      <c r="B116" s="883">
        <v>30468</v>
      </c>
      <c r="C116" s="166"/>
      <c r="D116" s="166"/>
      <c r="E116" s="1869"/>
      <c r="F116" s="1840"/>
      <c r="G116" s="1869"/>
      <c r="H116" s="1869"/>
    </row>
    <row r="117" spans="1:8">
      <c r="A117" s="53">
        <v>1998.12</v>
      </c>
      <c r="B117" s="883">
        <v>31736</v>
      </c>
      <c r="C117" s="166"/>
      <c r="D117" s="166"/>
      <c r="E117" s="1869"/>
      <c r="F117" s="1840"/>
      <c r="G117" s="1869"/>
      <c r="H117" s="1869"/>
    </row>
    <row r="118" spans="1:8">
      <c r="A118" s="53">
        <v>1999.01</v>
      </c>
      <c r="B118" s="883">
        <v>30931</v>
      </c>
      <c r="C118" s="166"/>
      <c r="D118" s="166"/>
      <c r="E118" s="1869"/>
      <c r="F118" s="1840"/>
      <c r="G118" s="1869"/>
      <c r="H118" s="1869"/>
    </row>
    <row r="119" spans="1:8">
      <c r="A119" s="53">
        <v>1999.02</v>
      </c>
      <c r="B119" s="883">
        <v>33342</v>
      </c>
      <c r="C119" s="166"/>
      <c r="D119" s="166"/>
      <c r="E119" s="1869"/>
      <c r="F119" s="1840"/>
      <c r="G119" s="1869"/>
      <c r="H119" s="1869"/>
    </row>
    <row r="120" spans="1:8">
      <c r="A120" s="53">
        <v>1999.03</v>
      </c>
      <c r="B120" s="883">
        <v>31725</v>
      </c>
      <c r="C120" s="166"/>
      <c r="D120" s="166"/>
      <c r="E120" s="1869"/>
      <c r="F120" s="1840"/>
      <c r="G120" s="1869"/>
      <c r="H120" s="1869"/>
    </row>
    <row r="121" spans="1:8">
      <c r="A121" s="53">
        <v>1999.04</v>
      </c>
      <c r="B121" s="883">
        <v>30522.400000000001</v>
      </c>
      <c r="C121" s="166"/>
      <c r="D121" s="166"/>
      <c r="E121" s="1869"/>
      <c r="F121" s="1840"/>
      <c r="G121" s="1869"/>
      <c r="H121" s="1869"/>
    </row>
    <row r="122" spans="1:8">
      <c r="A122" s="53">
        <v>1999.05</v>
      </c>
      <c r="B122" s="883">
        <v>31403.1</v>
      </c>
      <c r="C122" s="166"/>
      <c r="D122" s="166"/>
      <c r="E122" s="1869"/>
      <c r="F122" s="1840"/>
      <c r="G122" s="1869"/>
      <c r="H122" s="1869"/>
    </row>
    <row r="123" spans="1:8">
      <c r="A123" s="53">
        <v>1999.06</v>
      </c>
      <c r="B123" s="883">
        <v>32191.5</v>
      </c>
      <c r="C123" s="166"/>
      <c r="D123" s="166"/>
      <c r="E123" s="1869"/>
      <c r="F123" s="1840"/>
      <c r="G123" s="1869"/>
      <c r="H123" s="1869"/>
    </row>
    <row r="124" spans="1:8">
      <c r="A124" s="53">
        <v>1999.07</v>
      </c>
      <c r="B124" s="883">
        <v>31932.6</v>
      </c>
      <c r="C124" s="166"/>
      <c r="D124" s="166"/>
      <c r="E124" s="1869"/>
      <c r="F124" s="1840"/>
      <c r="G124" s="1869"/>
      <c r="H124" s="1869"/>
    </row>
    <row r="125" spans="1:8">
      <c r="A125" s="53">
        <v>1999.08</v>
      </c>
      <c r="B125" s="883">
        <v>30855.599999999999</v>
      </c>
      <c r="C125" s="166"/>
      <c r="D125" s="166"/>
      <c r="E125" s="1869"/>
      <c r="F125" s="1840"/>
      <c r="G125" s="1869"/>
      <c r="H125" s="1869"/>
    </row>
    <row r="126" spans="1:8">
      <c r="A126" s="53">
        <v>1999.09</v>
      </c>
      <c r="B126" s="883">
        <v>32084.3</v>
      </c>
      <c r="C126" s="166"/>
      <c r="D126" s="166"/>
      <c r="E126" s="1869"/>
      <c r="F126" s="1840"/>
      <c r="G126" s="1869"/>
      <c r="H126" s="1869"/>
    </row>
    <row r="127" spans="1:8">
      <c r="A127" s="53">
        <v>1999.1</v>
      </c>
      <c r="B127" s="883">
        <v>32041.3</v>
      </c>
      <c r="C127" s="166"/>
      <c r="D127" s="166"/>
      <c r="E127" s="1869"/>
      <c r="F127" s="1840"/>
      <c r="G127" s="1869"/>
      <c r="H127" s="1869"/>
    </row>
    <row r="128" spans="1:8">
      <c r="A128" s="53">
        <v>1999.11</v>
      </c>
      <c r="B128" s="883">
        <v>32427.1</v>
      </c>
      <c r="C128" s="166"/>
      <c r="D128" s="166"/>
      <c r="E128" s="1869"/>
      <c r="F128" s="1840"/>
      <c r="G128" s="1869"/>
      <c r="H128" s="1869"/>
    </row>
    <row r="129" spans="1:9">
      <c r="A129" s="53">
        <v>1999.12</v>
      </c>
      <c r="B129" s="883">
        <v>33100.400000000001</v>
      </c>
      <c r="C129" s="166"/>
      <c r="D129" s="166"/>
      <c r="E129" s="1869"/>
      <c r="F129" s="1840"/>
      <c r="G129" s="1869"/>
      <c r="H129" s="1869"/>
      <c r="I129" s="166"/>
    </row>
    <row r="130" spans="1:9">
      <c r="A130" s="53">
        <v>2000.01</v>
      </c>
      <c r="B130" s="883">
        <v>31099.7</v>
      </c>
      <c r="C130" s="166"/>
      <c r="D130" s="166"/>
      <c r="E130" s="1869"/>
      <c r="F130" s="1840"/>
      <c r="G130" s="1869"/>
      <c r="H130" s="1869"/>
      <c r="I130" s="166"/>
    </row>
    <row r="131" spans="1:9">
      <c r="A131" s="53">
        <v>2000.02</v>
      </c>
      <c r="B131" s="883">
        <v>32255.4</v>
      </c>
      <c r="C131" s="166"/>
      <c r="D131" s="166"/>
      <c r="E131" s="1869"/>
      <c r="F131" s="1840"/>
      <c r="G131" s="1869"/>
      <c r="H131" s="1869"/>
      <c r="I131" s="166"/>
    </row>
    <row r="132" spans="1:9">
      <c r="A132" s="53">
        <v>2000.03</v>
      </c>
      <c r="B132" s="883">
        <v>32975.800000000003</v>
      </c>
      <c r="C132" s="166"/>
      <c r="D132" s="166"/>
      <c r="E132" s="1869"/>
      <c r="F132" s="1840"/>
      <c r="G132" s="1869"/>
      <c r="H132" s="1869"/>
      <c r="I132" s="166"/>
    </row>
    <row r="133" spans="1:9">
      <c r="A133" s="53">
        <v>2000.04</v>
      </c>
      <c r="B133" s="883">
        <v>31182.3</v>
      </c>
      <c r="C133" s="166"/>
      <c r="D133" s="166"/>
      <c r="E133" s="1869"/>
      <c r="F133" s="1840"/>
      <c r="G133" s="1869"/>
      <c r="H133" s="1869"/>
      <c r="I133" s="166"/>
    </row>
    <row r="134" spans="1:9">
      <c r="A134" s="53">
        <v>2000.05</v>
      </c>
      <c r="B134" s="883">
        <v>30601.4</v>
      </c>
      <c r="C134" s="166"/>
      <c r="D134" s="166"/>
      <c r="E134" s="1869"/>
      <c r="F134" s="1840"/>
      <c r="G134" s="1869"/>
      <c r="H134" s="1869"/>
      <c r="I134" s="166"/>
    </row>
    <row r="135" spans="1:9">
      <c r="A135" s="53">
        <v>2000.06</v>
      </c>
      <c r="B135" s="883">
        <v>34355.1</v>
      </c>
      <c r="C135" s="166"/>
      <c r="D135" s="166"/>
      <c r="E135" s="1869"/>
      <c r="F135" s="1840"/>
      <c r="G135" s="1869"/>
      <c r="H135" s="1869"/>
      <c r="I135" s="166"/>
    </row>
    <row r="136" spans="1:9">
      <c r="A136" s="53">
        <v>2000.07</v>
      </c>
      <c r="B136" s="883">
        <v>33844.800000000003</v>
      </c>
      <c r="C136" s="166"/>
      <c r="D136" s="166"/>
      <c r="E136" s="1869"/>
      <c r="F136" s="1840"/>
      <c r="G136" s="1869"/>
      <c r="H136" s="1869"/>
      <c r="I136" s="166"/>
    </row>
    <row r="137" spans="1:9">
      <c r="A137" s="53">
        <v>2000.08</v>
      </c>
      <c r="B137" s="883">
        <v>31830.7</v>
      </c>
      <c r="C137" s="166"/>
      <c r="D137" s="166"/>
      <c r="E137" s="1869"/>
      <c r="F137" s="3068"/>
      <c r="G137" s="1840"/>
      <c r="H137" s="1869"/>
      <c r="I137" s="1869"/>
    </row>
    <row r="138" spans="1:9">
      <c r="A138" s="53">
        <v>2000.09</v>
      </c>
      <c r="B138" s="883">
        <v>33219.4</v>
      </c>
      <c r="C138" s="166"/>
      <c r="D138" s="166"/>
      <c r="E138" s="1869"/>
      <c r="F138" s="3068"/>
      <c r="G138" s="1869"/>
      <c r="H138" s="1869"/>
      <c r="I138" s="166"/>
    </row>
    <row r="139" spans="1:9">
      <c r="A139" s="53">
        <v>2000.1</v>
      </c>
      <c r="B139" s="883">
        <v>31751.3</v>
      </c>
      <c r="C139" s="166"/>
      <c r="D139" s="166"/>
      <c r="E139" s="1869"/>
      <c r="F139" s="3068"/>
      <c r="G139" s="1869"/>
      <c r="H139" s="1869"/>
      <c r="I139" s="166"/>
    </row>
    <row r="140" spans="1:9">
      <c r="A140" s="53">
        <v>2000.11</v>
      </c>
      <c r="B140" s="883">
        <v>29571.1</v>
      </c>
      <c r="C140" s="166"/>
      <c r="D140" s="166"/>
      <c r="E140" s="1869"/>
      <c r="F140" s="3068"/>
      <c r="G140" s="1869"/>
      <c r="H140" s="1869"/>
      <c r="I140" s="166"/>
    </row>
    <row r="141" spans="1:9">
      <c r="A141" s="53">
        <v>2000.12</v>
      </c>
      <c r="B141" s="883">
        <v>34233.800000000003</v>
      </c>
      <c r="C141" s="166"/>
      <c r="D141" s="166"/>
      <c r="E141" s="1869"/>
      <c r="F141" s="3068"/>
      <c r="G141" s="1869"/>
      <c r="H141" s="1869"/>
      <c r="I141" s="166"/>
    </row>
    <row r="142" spans="1:9">
      <c r="A142" s="53">
        <v>2001.01</v>
      </c>
      <c r="B142" s="883">
        <v>36152.5</v>
      </c>
      <c r="C142" s="166"/>
      <c r="D142" s="166"/>
      <c r="E142" s="1869"/>
      <c r="F142" s="3068"/>
      <c r="G142" s="1869"/>
      <c r="H142" s="1869"/>
      <c r="I142" s="166"/>
    </row>
    <row r="143" spans="1:9">
      <c r="A143" s="53">
        <v>2001.02</v>
      </c>
      <c r="B143" s="883">
        <v>33218.5</v>
      </c>
      <c r="C143" s="166"/>
      <c r="D143" s="166"/>
      <c r="E143" s="1869"/>
      <c r="F143" s="3068"/>
      <c r="G143" s="1869"/>
      <c r="H143" s="1869"/>
      <c r="I143" s="166"/>
    </row>
    <row r="144" spans="1:9">
      <c r="A144" s="53">
        <v>2001.03</v>
      </c>
      <c r="B144" s="883">
        <v>29811.5</v>
      </c>
      <c r="C144" s="166"/>
      <c r="D144" s="166"/>
      <c r="E144" s="1869"/>
      <c r="F144" s="3068"/>
      <c r="G144" s="1869"/>
      <c r="H144" s="1869"/>
      <c r="I144" s="166"/>
    </row>
    <row r="145" spans="1:9">
      <c r="A145" s="53">
        <v>2001.04</v>
      </c>
      <c r="B145" s="883">
        <v>26464.400000000001</v>
      </c>
      <c r="C145" s="166"/>
      <c r="D145" s="166"/>
      <c r="E145" s="1869"/>
      <c r="F145" s="3068"/>
      <c r="G145" s="1869"/>
      <c r="H145" s="1869"/>
      <c r="I145" s="166"/>
    </row>
    <row r="146" spans="1:9">
      <c r="A146" s="53">
        <v>2001.05</v>
      </c>
      <c r="B146" s="883">
        <v>25570.2</v>
      </c>
      <c r="C146" s="166"/>
      <c r="D146" s="166"/>
      <c r="E146" s="1869"/>
      <c r="F146" s="3068"/>
      <c r="G146" s="1869"/>
      <c r="H146" s="1869"/>
      <c r="I146" s="166"/>
    </row>
    <row r="147" spans="1:9">
      <c r="A147" s="53">
        <v>2001.06</v>
      </c>
      <c r="B147" s="883">
        <v>27266.400000000001</v>
      </c>
      <c r="C147" s="166"/>
      <c r="D147" s="166"/>
      <c r="E147" s="1869"/>
      <c r="F147" s="3068"/>
      <c r="G147" s="1869"/>
      <c r="H147" s="1869"/>
      <c r="I147" s="166"/>
    </row>
    <row r="148" spans="1:9">
      <c r="A148" s="53">
        <v>2001.07</v>
      </c>
      <c r="B148" s="883">
        <v>20256.8</v>
      </c>
      <c r="C148" s="166"/>
      <c r="D148" s="166"/>
      <c r="E148" s="1869"/>
      <c r="F148" s="3068"/>
      <c r="G148" s="1869"/>
      <c r="H148" s="1869"/>
      <c r="I148" s="166"/>
    </row>
    <row r="149" spans="1:9">
      <c r="A149" s="53">
        <v>2001.08</v>
      </c>
      <c r="B149" s="883">
        <v>17467</v>
      </c>
      <c r="C149" s="166"/>
      <c r="D149" s="166"/>
      <c r="E149" s="1869"/>
      <c r="F149" s="3068"/>
      <c r="G149" s="1869"/>
      <c r="H149" s="1869"/>
      <c r="I149" s="166"/>
    </row>
    <row r="150" spans="1:9">
      <c r="A150" s="53">
        <v>2001.09</v>
      </c>
      <c r="B150" s="883">
        <v>24799</v>
      </c>
      <c r="C150" s="166"/>
      <c r="D150" s="166"/>
      <c r="E150" s="1869"/>
      <c r="F150" s="3068"/>
      <c r="G150" s="1869"/>
      <c r="H150" s="1869"/>
      <c r="I150" s="166"/>
    </row>
    <row r="151" spans="1:9">
      <c r="A151" s="53">
        <v>2001.1</v>
      </c>
      <c r="B151" s="883">
        <v>21190</v>
      </c>
      <c r="C151" s="166"/>
      <c r="D151" s="166"/>
      <c r="E151" s="1869"/>
      <c r="F151" s="3068"/>
      <c r="G151" s="1869"/>
      <c r="H151" s="1869"/>
      <c r="I151" s="166"/>
    </row>
    <row r="152" spans="1:9">
      <c r="A152" s="53">
        <v>2001.11</v>
      </c>
      <c r="B152" s="883">
        <v>15195</v>
      </c>
      <c r="C152" s="166"/>
      <c r="D152" s="166"/>
      <c r="E152" s="1869"/>
      <c r="F152" s="3068"/>
      <c r="G152" s="1869"/>
      <c r="H152" s="1869"/>
      <c r="I152" s="166"/>
    </row>
    <row r="153" spans="1:9">
      <c r="A153" s="53">
        <v>2001.12</v>
      </c>
      <c r="B153" s="883">
        <v>15232</v>
      </c>
      <c r="C153" s="166"/>
      <c r="D153" s="166"/>
      <c r="E153" s="1869"/>
      <c r="F153" s="3068"/>
      <c r="G153" s="1869"/>
      <c r="H153" s="1869"/>
      <c r="I153" s="166"/>
    </row>
    <row r="154" spans="1:9">
      <c r="A154" s="167">
        <v>2002.01</v>
      </c>
      <c r="B154" s="883">
        <v>14069.285714285716</v>
      </c>
      <c r="C154" s="166"/>
      <c r="D154" s="954"/>
      <c r="E154" s="1869"/>
      <c r="F154" s="3068"/>
      <c r="G154" s="166"/>
      <c r="H154" s="2492"/>
      <c r="I154" s="2492"/>
    </row>
    <row r="155" spans="1:9">
      <c r="A155" s="167">
        <v>2002.02</v>
      </c>
      <c r="B155" s="883">
        <v>13882.79069767442</v>
      </c>
      <c r="C155" s="166"/>
      <c r="D155" s="954"/>
      <c r="E155" s="1869"/>
      <c r="F155" s="3068"/>
      <c r="G155" s="166"/>
      <c r="H155" s="1869"/>
      <c r="I155" s="2492"/>
    </row>
    <row r="156" spans="1:9">
      <c r="A156" s="167">
        <v>2002.03</v>
      </c>
      <c r="B156" s="883">
        <v>12779.655172413793</v>
      </c>
      <c r="C156" s="166"/>
      <c r="D156" s="954"/>
      <c r="E156" s="1869"/>
      <c r="F156" s="3068"/>
      <c r="G156" s="166"/>
      <c r="H156" s="1869"/>
      <c r="I156" s="2492"/>
    </row>
    <row r="157" spans="1:9">
      <c r="A157" s="167">
        <v>2002.04</v>
      </c>
      <c r="B157" s="883">
        <v>12170.847457627118</v>
      </c>
      <c r="C157" s="166"/>
      <c r="D157" s="954"/>
      <c r="E157" s="1869"/>
      <c r="F157" s="3068"/>
      <c r="G157" s="166"/>
      <c r="H157" s="1869"/>
      <c r="I157" s="2492"/>
    </row>
    <row r="158" spans="1:9">
      <c r="A158" s="167">
        <v>2002.05</v>
      </c>
      <c r="B158" s="883">
        <v>10185.277777777777</v>
      </c>
      <c r="C158" s="166"/>
      <c r="D158" s="954"/>
      <c r="E158" s="1869"/>
      <c r="F158" s="3068"/>
      <c r="G158" s="166"/>
      <c r="H158" s="1869"/>
      <c r="I158" s="2492"/>
    </row>
    <row r="159" spans="1:9">
      <c r="A159" s="167">
        <v>2002.06</v>
      </c>
      <c r="B159" s="883">
        <v>9629.21052631579</v>
      </c>
      <c r="C159" s="166"/>
      <c r="D159" s="954"/>
      <c r="E159" s="1869"/>
      <c r="F159" s="3068"/>
      <c r="G159" s="166"/>
      <c r="H159" s="1869"/>
      <c r="I159" s="2492"/>
    </row>
    <row r="160" spans="1:9">
      <c r="A160" s="167">
        <v>2002.07</v>
      </c>
      <c r="B160" s="883">
        <v>8986.4130434782601</v>
      </c>
      <c r="C160" s="166"/>
      <c r="D160" s="954"/>
      <c r="E160" s="1869"/>
      <c r="F160" s="3068"/>
      <c r="G160" s="166"/>
      <c r="H160" s="1869"/>
      <c r="I160" s="2492"/>
    </row>
    <row r="161" spans="1:9">
      <c r="A161" s="167">
        <v>2002.08</v>
      </c>
      <c r="B161" s="883">
        <v>9101.9337016574591</v>
      </c>
      <c r="C161" s="166"/>
      <c r="D161" s="954"/>
      <c r="E161" s="1869"/>
      <c r="F161" s="3068"/>
      <c r="G161" s="166"/>
      <c r="H161" s="1869"/>
      <c r="I161" s="2492"/>
    </row>
    <row r="162" spans="1:9">
      <c r="A162" s="167">
        <v>2002.09</v>
      </c>
      <c r="B162" s="883">
        <v>9404.2666666666664</v>
      </c>
      <c r="C162" s="166"/>
      <c r="D162" s="954"/>
      <c r="E162" s="1869"/>
      <c r="F162" s="3068"/>
      <c r="G162" s="166"/>
      <c r="H162" s="1869"/>
      <c r="I162" s="2492"/>
    </row>
    <row r="163" spans="1:9">
      <c r="A163" s="167">
        <v>2002.1</v>
      </c>
      <c r="B163" s="883">
        <v>9882.5352112676064</v>
      </c>
      <c r="C163" s="166"/>
      <c r="D163" s="954"/>
      <c r="E163" s="1869"/>
      <c r="F163" s="3068"/>
      <c r="G163" s="166"/>
      <c r="H163" s="1869"/>
      <c r="I163" s="166"/>
    </row>
    <row r="164" spans="1:9">
      <c r="A164" s="167">
        <v>2002.11</v>
      </c>
      <c r="B164" s="883">
        <v>10022.128851540616</v>
      </c>
      <c r="C164" s="166"/>
      <c r="D164" s="954"/>
      <c r="E164" s="1869"/>
      <c r="F164" s="3068"/>
      <c r="G164" s="166"/>
      <c r="H164" s="1869"/>
      <c r="I164" s="166"/>
    </row>
    <row r="165" spans="1:9">
      <c r="A165" s="167">
        <v>2002.12</v>
      </c>
      <c r="B165" s="883">
        <v>10476.063038953316</v>
      </c>
      <c r="C165" s="166"/>
      <c r="D165" s="954"/>
      <c r="E165" s="1869"/>
      <c r="F165" s="3068"/>
      <c r="G165" s="166"/>
      <c r="H165" s="2492"/>
      <c r="I165" s="166"/>
    </row>
    <row r="166" spans="1:9">
      <c r="A166" s="167">
        <v>2003.01</v>
      </c>
      <c r="B166" s="883">
        <v>9325.6172839506162</v>
      </c>
      <c r="C166" s="166"/>
      <c r="D166" s="954"/>
      <c r="E166" s="1869"/>
      <c r="F166" s="3068"/>
      <c r="G166" s="166"/>
      <c r="H166" s="1869"/>
      <c r="I166" s="2492"/>
    </row>
    <row r="167" spans="1:9">
      <c r="A167" s="167">
        <v>2003.02</v>
      </c>
      <c r="B167" s="883">
        <v>10288.52500235723</v>
      </c>
      <c r="C167" s="166"/>
      <c r="D167" s="954"/>
      <c r="E167" s="1869"/>
      <c r="F167" s="3068"/>
      <c r="G167" s="166"/>
      <c r="H167" s="1869"/>
      <c r="I167" s="166"/>
    </row>
    <row r="168" spans="1:9">
      <c r="A168" s="167">
        <v>2003.03</v>
      </c>
      <c r="B168" s="883">
        <v>10516.544757924068</v>
      </c>
      <c r="C168" s="166"/>
      <c r="D168" s="954"/>
      <c r="E168" s="1869"/>
      <c r="F168" s="3068"/>
      <c r="G168" s="166"/>
      <c r="H168" s="1869"/>
      <c r="I168" s="166"/>
    </row>
    <row r="169" spans="1:9">
      <c r="A169" s="167">
        <v>2003.04</v>
      </c>
      <c r="B169" s="883">
        <v>10971.380530353454</v>
      </c>
      <c r="C169" s="166"/>
      <c r="D169" s="954"/>
      <c r="E169" s="1869"/>
      <c r="F169" s="3068"/>
      <c r="G169" s="166"/>
      <c r="H169" s="1869"/>
      <c r="I169" s="166"/>
    </row>
    <row r="170" spans="1:9">
      <c r="A170" s="167">
        <v>2003.05</v>
      </c>
      <c r="B170" s="883">
        <v>11373.807458803123</v>
      </c>
      <c r="C170" s="166"/>
      <c r="D170" s="954"/>
      <c r="E170" s="1869"/>
      <c r="F170" s="3068"/>
      <c r="G170" s="166"/>
      <c r="H170" s="1869"/>
      <c r="I170" s="166"/>
    </row>
    <row r="171" spans="1:9">
      <c r="A171" s="167">
        <v>2003.06</v>
      </c>
      <c r="B171" s="883">
        <v>12183.249821045096</v>
      </c>
      <c r="C171" s="166"/>
      <c r="D171" s="954"/>
      <c r="E171" s="1869"/>
      <c r="F171" s="3068"/>
      <c r="G171" s="166"/>
      <c r="H171" s="1869"/>
      <c r="I171" s="166"/>
    </row>
    <row r="172" spans="1:9">
      <c r="A172" s="167">
        <v>2003.07</v>
      </c>
      <c r="B172" s="883">
        <v>13484.390735146022</v>
      </c>
      <c r="C172" s="166"/>
      <c r="D172" s="954"/>
      <c r="E172" s="1869"/>
      <c r="F172" s="3068"/>
      <c r="G172" s="166"/>
      <c r="H172" s="1869"/>
      <c r="I172" s="166"/>
    </row>
    <row r="173" spans="1:9">
      <c r="A173" s="167">
        <v>2003.08</v>
      </c>
      <c r="B173" s="883">
        <v>13584.118438761776</v>
      </c>
      <c r="C173" s="166"/>
      <c r="D173" s="954"/>
      <c r="E173" s="1869"/>
      <c r="F173" s="3068"/>
      <c r="G173" s="166"/>
      <c r="H173" s="1869"/>
      <c r="I173" s="166"/>
    </row>
    <row r="174" spans="1:9">
      <c r="A174" s="167">
        <v>2003.09</v>
      </c>
      <c r="B174" s="883">
        <v>13405.610049905352</v>
      </c>
      <c r="C174" s="166"/>
      <c r="D174" s="954"/>
      <c r="E174" s="1869"/>
      <c r="F174" s="3068"/>
      <c r="G174" s="166"/>
      <c r="H174" s="1869"/>
      <c r="I174" s="166"/>
    </row>
    <row r="175" spans="1:9">
      <c r="A175" s="167">
        <v>2003.1</v>
      </c>
      <c r="B175" s="883">
        <v>12901.648505169042</v>
      </c>
      <c r="C175" s="166"/>
      <c r="D175" s="954"/>
      <c r="E175" s="1869"/>
      <c r="F175" s="3068"/>
      <c r="G175" s="166"/>
      <c r="H175" s="1869"/>
      <c r="I175" s="166"/>
    </row>
    <row r="176" spans="1:9">
      <c r="A176" s="167">
        <v>2003.11</v>
      </c>
      <c r="B176" s="883">
        <v>13482.70070540813</v>
      </c>
      <c r="C176" s="166"/>
      <c r="D176" s="954"/>
      <c r="E176" s="1869"/>
      <c r="F176" s="3068"/>
      <c r="G176" s="166"/>
      <c r="H176" s="1869"/>
      <c r="I176" s="166"/>
    </row>
    <row r="177" spans="1:9">
      <c r="A177" s="167">
        <v>2003.12</v>
      </c>
      <c r="B177" s="883">
        <v>14119.27074459022</v>
      </c>
      <c r="C177" s="166"/>
      <c r="D177" s="954"/>
      <c r="E177" s="1869"/>
      <c r="F177" s="3068"/>
      <c r="G177" s="166"/>
      <c r="H177" s="2492"/>
      <c r="I177" s="166"/>
    </row>
    <row r="178" spans="1:9">
      <c r="A178" s="167">
        <v>2004.01</v>
      </c>
      <c r="B178" s="883">
        <v>14919.804268044039</v>
      </c>
      <c r="C178" s="166"/>
      <c r="D178" s="954"/>
      <c r="E178" s="1869"/>
      <c r="F178" s="3068"/>
      <c r="G178" s="1869"/>
      <c r="H178" s="1869"/>
      <c r="I178" s="2492"/>
    </row>
    <row r="179" spans="1:9">
      <c r="A179" s="167">
        <v>2004.02</v>
      </c>
      <c r="B179" s="883">
        <v>15002.564716342373</v>
      </c>
      <c r="C179" s="166"/>
      <c r="D179" s="954"/>
      <c r="E179" s="1869"/>
      <c r="F179" s="3068"/>
      <c r="G179" s="1869"/>
      <c r="H179" s="1869"/>
      <c r="I179" s="166"/>
    </row>
    <row r="180" spans="1:9">
      <c r="A180" s="167">
        <v>2004.03</v>
      </c>
      <c r="B180" s="883">
        <v>15003.152364273205</v>
      </c>
      <c r="C180" s="166"/>
      <c r="D180" s="954"/>
      <c r="E180" s="1869"/>
      <c r="F180" s="3068"/>
      <c r="G180" s="1869"/>
      <c r="H180" s="1869"/>
      <c r="I180" s="166"/>
    </row>
    <row r="181" spans="1:9">
      <c r="A181" s="167">
        <v>2004.04</v>
      </c>
      <c r="B181" s="883">
        <v>15763.039505131448</v>
      </c>
      <c r="C181" s="166"/>
      <c r="D181" s="954"/>
      <c r="E181" s="1869"/>
      <c r="F181" s="3068"/>
      <c r="G181" s="1869"/>
      <c r="H181" s="1869"/>
      <c r="I181" s="166"/>
    </row>
    <row r="182" spans="1:9">
      <c r="A182" s="167">
        <v>2004.05</v>
      </c>
      <c r="B182" s="883">
        <v>16704.675797854397</v>
      </c>
      <c r="C182" s="166"/>
      <c r="D182" s="954"/>
      <c r="E182" s="1869"/>
      <c r="F182" s="3068"/>
      <c r="G182" s="1869"/>
      <c r="H182" s="1869"/>
      <c r="I182" s="166"/>
    </row>
    <row r="183" spans="1:9">
      <c r="A183" s="167">
        <v>2004.06</v>
      </c>
      <c r="B183" s="883">
        <v>17442.834464822507</v>
      </c>
      <c r="C183" s="166"/>
      <c r="D183" s="954"/>
      <c r="E183" s="1869"/>
      <c r="F183" s="3068"/>
      <c r="G183" s="1869"/>
      <c r="H183" s="1869"/>
      <c r="I183" s="166"/>
    </row>
    <row r="184" spans="1:9">
      <c r="A184" s="167">
        <v>2004.07</v>
      </c>
      <c r="B184" s="883">
        <v>18068.212365591397</v>
      </c>
      <c r="C184" s="166"/>
      <c r="D184" s="954"/>
      <c r="E184" s="1869"/>
      <c r="F184" s="3068"/>
      <c r="G184" s="1869"/>
      <c r="H184" s="1869"/>
      <c r="I184" s="166"/>
    </row>
    <row r="185" spans="1:9">
      <c r="A185" s="167">
        <v>2004.08</v>
      </c>
      <c r="B185" s="883">
        <v>18075.85908075859</v>
      </c>
      <c r="C185" s="166"/>
      <c r="D185" s="954"/>
      <c r="E185" s="1869"/>
      <c r="F185" s="3068"/>
      <c r="G185" s="1869"/>
      <c r="H185" s="1869"/>
      <c r="I185" s="166"/>
    </row>
    <row r="186" spans="1:9">
      <c r="A186" s="167">
        <v>2004.09</v>
      </c>
      <c r="B186" s="883">
        <v>18223.637887678124</v>
      </c>
      <c r="C186" s="166"/>
      <c r="D186" s="954"/>
      <c r="E186" s="1869"/>
      <c r="F186" s="3068"/>
      <c r="G186" s="1869"/>
      <c r="H186" s="1869"/>
      <c r="I186" s="166"/>
    </row>
    <row r="187" spans="1:9">
      <c r="A187" s="167">
        <v>2004.1</v>
      </c>
      <c r="B187" s="883">
        <v>18586.730239742126</v>
      </c>
      <c r="C187" s="166"/>
      <c r="D187" s="954"/>
      <c r="E187" s="1869"/>
      <c r="F187" s="3068"/>
      <c r="G187" s="1869"/>
      <c r="H187" s="1869"/>
      <c r="I187" s="166"/>
    </row>
    <row r="188" spans="1:9">
      <c r="A188" s="167">
        <v>2004.11</v>
      </c>
      <c r="B188" s="883">
        <v>18943.747882073872</v>
      </c>
      <c r="C188" s="166"/>
      <c r="D188" s="954"/>
      <c r="E188" s="1869"/>
      <c r="F188" s="3068"/>
      <c r="G188" s="1869"/>
      <c r="H188" s="1869"/>
      <c r="I188" s="166"/>
    </row>
    <row r="189" spans="1:9" ht="15">
      <c r="A189" s="167">
        <v>2004.12</v>
      </c>
      <c r="B189" s="883">
        <v>19645.571322886542</v>
      </c>
      <c r="C189" s="166"/>
      <c r="D189" s="954"/>
      <c r="E189" s="1869"/>
      <c r="F189" s="3068"/>
      <c r="G189" s="2546"/>
      <c r="H189" s="2492"/>
      <c r="I189" s="166"/>
    </row>
    <row r="190" spans="1:9">
      <c r="A190" s="167">
        <v>2005.01</v>
      </c>
      <c r="B190" s="883">
        <v>20137.421802892011</v>
      </c>
      <c r="C190" s="166"/>
      <c r="D190" s="954"/>
      <c r="E190" s="1869"/>
      <c r="F190" s="3068"/>
      <c r="G190" s="1869"/>
      <c r="H190" s="1869"/>
      <c r="I190" s="2492"/>
    </row>
    <row r="191" spans="1:9">
      <c r="A191" s="167">
        <v>2005.02</v>
      </c>
      <c r="B191" s="883">
        <v>20792.443823098169</v>
      </c>
      <c r="C191" s="166"/>
      <c r="D191" s="954"/>
      <c r="E191" s="1869"/>
      <c r="F191" s="3068"/>
      <c r="G191" s="1869"/>
      <c r="H191" s="1869"/>
      <c r="I191" s="166"/>
    </row>
    <row r="192" spans="1:9">
      <c r="A192" s="167">
        <v>2005.03</v>
      </c>
      <c r="B192" s="883">
        <v>20338.658365545787</v>
      </c>
      <c r="C192" s="166"/>
      <c r="D192" s="954"/>
      <c r="E192" s="1869"/>
      <c r="F192" s="3068"/>
      <c r="G192" s="1869"/>
      <c r="H192" s="1869"/>
      <c r="I192" s="166"/>
    </row>
    <row r="193" spans="1:9">
      <c r="A193" s="167">
        <v>2005.04</v>
      </c>
      <c r="B193" s="883">
        <v>20904.472591219579</v>
      </c>
      <c r="C193" s="166"/>
      <c r="D193" s="954"/>
      <c r="E193" s="1869"/>
      <c r="F193" s="3068"/>
      <c r="G193" s="1869"/>
      <c r="H193" s="1869"/>
      <c r="I193" s="166"/>
    </row>
    <row r="194" spans="1:9">
      <c r="A194" s="167">
        <v>2005.05</v>
      </c>
      <c r="B194" s="883">
        <v>22103.057796862555</v>
      </c>
      <c r="C194" s="166"/>
      <c r="D194" s="954"/>
      <c r="E194" s="1869"/>
      <c r="F194" s="3068"/>
      <c r="G194" s="1869"/>
      <c r="H194" s="1869"/>
      <c r="I194" s="166"/>
    </row>
    <row r="195" spans="1:9">
      <c r="A195" s="167">
        <v>2005.06</v>
      </c>
      <c r="B195" s="883">
        <v>23052.096305520961</v>
      </c>
      <c r="C195" s="166"/>
      <c r="D195" s="954"/>
      <c r="E195" s="1869"/>
      <c r="F195" s="3068"/>
      <c r="G195" s="1869"/>
      <c r="H195" s="1869"/>
      <c r="I195" s="166"/>
    </row>
    <row r="196" spans="1:9">
      <c r="A196" s="167">
        <v>2005.07</v>
      </c>
      <c r="B196" s="883">
        <v>25105.491127567417</v>
      </c>
      <c r="C196" s="166"/>
      <c r="D196" s="954"/>
      <c r="E196" s="1869"/>
      <c r="F196" s="3068"/>
      <c r="G196" s="1869"/>
      <c r="H196" s="1869"/>
      <c r="I196" s="166"/>
    </row>
    <row r="197" spans="1:9">
      <c r="A197" s="167">
        <v>2005.08</v>
      </c>
      <c r="B197" s="883">
        <v>25251.914689013291</v>
      </c>
      <c r="C197" s="166"/>
      <c r="D197" s="954"/>
      <c r="E197" s="1869"/>
      <c r="F197" s="3068"/>
      <c r="G197" s="1869"/>
      <c r="H197" s="1869"/>
      <c r="I197" s="166"/>
    </row>
    <row r="198" spans="1:9">
      <c r="A198" s="167">
        <v>2005.09</v>
      </c>
      <c r="B198" s="883">
        <v>25614.077253218882</v>
      </c>
      <c r="C198" s="166"/>
      <c r="D198" s="954"/>
      <c r="E198" s="1869"/>
      <c r="F198" s="3068"/>
      <c r="G198" s="1869"/>
      <c r="H198" s="1869"/>
      <c r="I198" s="166"/>
    </row>
    <row r="199" spans="1:9">
      <c r="A199" s="167">
        <v>2005.1</v>
      </c>
      <c r="B199" s="883">
        <v>26547.828687244575</v>
      </c>
      <c r="C199" s="166"/>
      <c r="D199" s="954"/>
      <c r="E199" s="1869"/>
      <c r="F199" s="3068"/>
      <c r="G199" s="1869"/>
      <c r="H199" s="1869"/>
      <c r="I199" s="166"/>
    </row>
    <row r="200" spans="1:9">
      <c r="A200" s="167">
        <v>2005.11</v>
      </c>
      <c r="B200" s="883">
        <v>26524.63426937952</v>
      </c>
      <c r="C200" s="166"/>
      <c r="D200" s="954"/>
      <c r="E200" s="1869"/>
      <c r="F200" s="3068"/>
      <c r="G200" s="1869"/>
      <c r="H200" s="1869"/>
      <c r="I200" s="166"/>
    </row>
    <row r="201" spans="1:9" ht="15">
      <c r="A201" s="167">
        <v>2005.12</v>
      </c>
      <c r="B201" s="883">
        <v>28076.859640442028</v>
      </c>
      <c r="C201" s="166"/>
      <c r="D201" s="954"/>
      <c r="E201" s="1869"/>
      <c r="F201" s="3068"/>
      <c r="G201" s="2546"/>
      <c r="H201" s="2492"/>
      <c r="I201" s="166"/>
    </row>
    <row r="202" spans="1:9">
      <c r="A202" s="167">
        <v>2006.01</v>
      </c>
      <c r="B202" s="883">
        <v>19689.264614681593</v>
      </c>
      <c r="C202" s="166"/>
      <c r="D202" s="954"/>
      <c r="E202" s="1869"/>
      <c r="F202" s="3068"/>
      <c r="G202" s="1869"/>
      <c r="H202" s="1869"/>
      <c r="I202" s="2492"/>
    </row>
    <row r="203" spans="1:9">
      <c r="A203" s="167">
        <v>2006.02</v>
      </c>
      <c r="B203" s="883">
        <v>20531.762561832857</v>
      </c>
      <c r="C203" s="166"/>
      <c r="D203" s="954"/>
      <c r="E203" s="1869"/>
      <c r="F203" s="3068"/>
      <c r="G203" s="1869"/>
      <c r="H203" s="1869"/>
      <c r="I203" s="166"/>
    </row>
    <row r="204" spans="1:9">
      <c r="A204" s="167">
        <v>2006.03</v>
      </c>
      <c r="B204" s="883">
        <v>21548.948325110359</v>
      </c>
      <c r="C204" s="166"/>
      <c r="D204" s="954"/>
      <c r="E204" s="1869"/>
      <c r="F204" s="3068"/>
      <c r="G204" s="1869"/>
      <c r="H204" s="1869"/>
      <c r="I204" s="166"/>
    </row>
    <row r="205" spans="1:9">
      <c r="A205" s="167">
        <v>2006.04</v>
      </c>
      <c r="B205" s="883">
        <v>22399.960575596295</v>
      </c>
      <c r="C205" s="166"/>
      <c r="D205" s="954"/>
      <c r="E205" s="1869"/>
      <c r="F205" s="3068"/>
      <c r="G205" s="1869"/>
      <c r="H205" s="1869"/>
      <c r="I205" s="166"/>
    </row>
    <row r="206" spans="1:9">
      <c r="A206" s="167">
        <v>2006.05</v>
      </c>
      <c r="B206" s="883">
        <v>24161.591291952831</v>
      </c>
      <c r="C206" s="166"/>
      <c r="D206" s="954"/>
      <c r="E206" s="1869"/>
      <c r="F206" s="3068"/>
      <c r="G206" s="1869"/>
      <c r="H206" s="1869"/>
      <c r="I206" s="166"/>
    </row>
    <row r="207" spans="1:9">
      <c r="A207" s="167">
        <v>2006.06</v>
      </c>
      <c r="B207" s="883">
        <v>25490.145228215766</v>
      </c>
      <c r="C207" s="166"/>
      <c r="D207" s="954"/>
      <c r="E207" s="1869"/>
      <c r="F207" s="3068"/>
      <c r="G207" s="1869"/>
      <c r="H207" s="1869"/>
      <c r="I207" s="166"/>
    </row>
    <row r="208" spans="1:9">
      <c r="A208" s="167">
        <v>2006.07</v>
      </c>
      <c r="B208" s="883">
        <v>26223.494211005593</v>
      </c>
      <c r="C208" s="166"/>
      <c r="D208" s="954"/>
      <c r="E208" s="1869"/>
      <c r="F208" s="3068"/>
      <c r="G208" s="1869"/>
      <c r="H208" s="1869"/>
      <c r="I208" s="166"/>
    </row>
    <row r="209" spans="1:9">
      <c r="A209" s="167">
        <v>2006.08</v>
      </c>
      <c r="B209" s="883">
        <v>27396.680873046622</v>
      </c>
      <c r="C209" s="166"/>
      <c r="D209" s="954"/>
      <c r="E209" s="1869"/>
      <c r="F209" s="3068"/>
      <c r="G209" s="1869"/>
      <c r="H209" s="1869"/>
      <c r="I209" s="166"/>
    </row>
    <row r="210" spans="1:9">
      <c r="A210" s="167">
        <v>2006.09</v>
      </c>
      <c r="B210" s="883">
        <v>28047.869084817834</v>
      </c>
      <c r="C210" s="166"/>
      <c r="D210" s="954"/>
      <c r="E210" s="1869"/>
      <c r="F210" s="3068"/>
      <c r="G210" s="1869"/>
      <c r="H210" s="1869"/>
      <c r="I210" s="166"/>
    </row>
    <row r="211" spans="1:9">
      <c r="A211" s="167">
        <v>2006.1</v>
      </c>
      <c r="B211" s="883">
        <v>29081.563378915718</v>
      </c>
      <c r="C211" s="166"/>
      <c r="D211" s="954"/>
      <c r="E211" s="1869"/>
      <c r="F211" s="3068"/>
      <c r="G211" s="1869"/>
      <c r="H211" s="1869"/>
      <c r="I211" s="166"/>
    </row>
    <row r="212" spans="1:9">
      <c r="A212" s="167">
        <v>2006.11</v>
      </c>
      <c r="B212" s="883">
        <v>30328.413644805001</v>
      </c>
      <c r="C212" s="166"/>
      <c r="D212" s="954"/>
      <c r="E212" s="1869"/>
      <c r="F212" s="3068"/>
      <c r="G212" s="1869"/>
      <c r="H212" s="1869"/>
      <c r="I212" s="166"/>
    </row>
    <row r="213" spans="1:9" ht="15">
      <c r="A213" s="167">
        <v>2006.12</v>
      </c>
      <c r="B213" s="883">
        <v>32036.813813324643</v>
      </c>
      <c r="C213" s="166"/>
      <c r="D213" s="954"/>
      <c r="E213" s="1869"/>
      <c r="F213" s="3068"/>
      <c r="G213" s="2546"/>
      <c r="H213" s="2492"/>
      <c r="I213" s="166"/>
    </row>
    <row r="214" spans="1:9">
      <c r="A214" s="167">
        <v>2007.01</v>
      </c>
      <c r="B214" s="883">
        <v>33739.175224543666</v>
      </c>
      <c r="C214" s="166"/>
      <c r="D214" s="954"/>
      <c r="E214" s="1869"/>
      <c r="F214" s="3068"/>
      <c r="G214" s="1869"/>
      <c r="H214" s="1869"/>
      <c r="I214" s="2492"/>
    </row>
    <row r="215" spans="1:9">
      <c r="A215" s="167">
        <v>2007.02</v>
      </c>
      <c r="B215" s="883">
        <v>34935.504675910997</v>
      </c>
      <c r="C215" s="166"/>
      <c r="D215" s="954"/>
      <c r="E215" s="1869"/>
      <c r="F215" s="3068"/>
      <c r="G215" s="1869"/>
      <c r="H215" s="1869"/>
      <c r="I215" s="166"/>
    </row>
    <row r="216" spans="1:9">
      <c r="A216" s="167">
        <v>2007.03</v>
      </c>
      <c r="B216" s="883">
        <v>36849</v>
      </c>
      <c r="C216" s="166"/>
      <c r="D216" s="954"/>
      <c r="E216" s="1869"/>
      <c r="F216" s="3068"/>
      <c r="G216" s="1869"/>
      <c r="H216" s="1869"/>
      <c r="I216" s="166"/>
    </row>
    <row r="217" spans="1:9">
      <c r="A217" s="167">
        <v>2007.04</v>
      </c>
      <c r="B217" s="883">
        <v>38606</v>
      </c>
      <c r="C217" s="166"/>
      <c r="D217" s="954"/>
      <c r="E217" s="1869"/>
      <c r="F217" s="3068"/>
      <c r="G217" s="1869"/>
      <c r="H217" s="1869"/>
      <c r="I217" s="166"/>
    </row>
    <row r="218" spans="1:9">
      <c r="A218" s="167">
        <v>2007.05</v>
      </c>
      <c r="B218" s="883">
        <v>40581</v>
      </c>
      <c r="C218" s="166"/>
      <c r="D218" s="954"/>
      <c r="E218" s="1869"/>
      <c r="F218" s="3068"/>
      <c r="G218" s="1869"/>
      <c r="H218" s="1869"/>
      <c r="I218" s="166"/>
    </row>
    <row r="219" spans="1:9">
      <c r="A219" s="167">
        <v>2007.06</v>
      </c>
      <c r="B219" s="883">
        <v>43157</v>
      </c>
      <c r="C219" s="166"/>
      <c r="D219" s="954"/>
      <c r="E219" s="1869"/>
      <c r="F219" s="3068"/>
      <c r="G219" s="1869"/>
      <c r="H219" s="1869"/>
      <c r="I219" s="166"/>
    </row>
    <row r="220" spans="1:9">
      <c r="A220" s="167">
        <v>2007.07</v>
      </c>
      <c r="B220" s="883">
        <v>44202</v>
      </c>
      <c r="C220" s="166"/>
      <c r="D220" s="954"/>
      <c r="E220" s="1869"/>
      <c r="F220" s="3068"/>
      <c r="G220" s="1869"/>
      <c r="H220" s="1869"/>
      <c r="I220" s="166"/>
    </row>
    <row r="221" spans="1:9">
      <c r="A221" s="167">
        <v>2007.08</v>
      </c>
      <c r="B221" s="883">
        <v>43160</v>
      </c>
      <c r="C221" s="166"/>
      <c r="D221" s="954"/>
      <c r="E221" s="1869"/>
      <c r="F221" s="3068"/>
      <c r="G221" s="1869"/>
      <c r="H221" s="1869"/>
      <c r="I221" s="166"/>
    </row>
    <row r="222" spans="1:9">
      <c r="A222" s="167">
        <v>2007.09</v>
      </c>
      <c r="B222" s="883">
        <v>42891</v>
      </c>
      <c r="C222" s="166"/>
      <c r="D222" s="954"/>
      <c r="E222" s="1869"/>
      <c r="F222" s="3068"/>
      <c r="G222" s="1869"/>
      <c r="H222" s="1869"/>
      <c r="I222" s="166"/>
    </row>
    <row r="223" spans="1:9">
      <c r="A223" s="167">
        <v>2007.1</v>
      </c>
      <c r="B223" s="883">
        <v>43000</v>
      </c>
      <c r="C223" s="166"/>
      <c r="D223" s="954"/>
      <c r="E223" s="1869"/>
      <c r="F223" s="3068"/>
      <c r="G223" s="1869"/>
      <c r="H223" s="1869"/>
      <c r="I223" s="166"/>
    </row>
    <row r="224" spans="1:9">
      <c r="A224" s="167">
        <v>2007.11</v>
      </c>
      <c r="B224" s="883">
        <v>44860</v>
      </c>
      <c r="C224" s="166"/>
      <c r="D224" s="954"/>
      <c r="E224" s="1869"/>
      <c r="F224" s="3068"/>
      <c r="G224" s="1869"/>
      <c r="H224" s="1869"/>
      <c r="I224" s="166"/>
    </row>
    <row r="225" spans="1:9" ht="15">
      <c r="A225" s="167">
        <v>2007.12</v>
      </c>
      <c r="B225" s="883">
        <v>46176</v>
      </c>
      <c r="C225" s="166"/>
      <c r="D225" s="954"/>
      <c r="E225" s="1869"/>
      <c r="F225" s="3068"/>
      <c r="G225" s="2546"/>
      <c r="H225" s="2492"/>
      <c r="I225" s="166"/>
    </row>
    <row r="226" spans="1:9">
      <c r="A226" s="167">
        <v>2008.01</v>
      </c>
      <c r="B226" s="883">
        <v>47660</v>
      </c>
      <c r="C226" s="166"/>
      <c r="D226" s="954"/>
      <c r="E226" s="1869"/>
      <c r="F226" s="3068"/>
      <c r="G226" s="1869"/>
      <c r="H226" s="1869"/>
      <c r="I226" s="2492"/>
    </row>
    <row r="227" spans="1:9">
      <c r="A227" s="167">
        <v>2008.02</v>
      </c>
      <c r="B227" s="883">
        <v>49261</v>
      </c>
      <c r="C227" s="166"/>
      <c r="D227" s="954"/>
      <c r="E227" s="1869"/>
      <c r="F227" s="3068"/>
      <c r="G227" s="1869"/>
      <c r="H227" s="1869"/>
      <c r="I227" s="166"/>
    </row>
    <row r="228" spans="1:9">
      <c r="A228" s="167">
        <v>2008.03</v>
      </c>
      <c r="B228" s="883">
        <v>50464</v>
      </c>
      <c r="C228" s="166"/>
      <c r="D228" s="954"/>
      <c r="E228" s="1869"/>
      <c r="F228" s="3068"/>
      <c r="G228" s="1869"/>
      <c r="H228" s="1869"/>
      <c r="I228" s="166"/>
    </row>
    <row r="229" spans="1:9">
      <c r="A229" s="167">
        <v>2008.04</v>
      </c>
      <c r="B229" s="883">
        <v>50247</v>
      </c>
      <c r="C229" s="166"/>
      <c r="D229" s="954"/>
      <c r="E229" s="1869"/>
      <c r="F229" s="3068"/>
      <c r="G229" s="1869"/>
      <c r="H229" s="1869"/>
      <c r="I229" s="166"/>
    </row>
    <row r="230" spans="1:9">
      <c r="A230" s="167">
        <v>2008.05</v>
      </c>
      <c r="B230" s="883">
        <v>48588</v>
      </c>
      <c r="C230" s="166"/>
      <c r="D230" s="954"/>
      <c r="E230" s="1869"/>
      <c r="F230" s="3068"/>
      <c r="G230" s="1869"/>
      <c r="H230" s="1869"/>
      <c r="I230" s="166"/>
    </row>
    <row r="231" spans="1:9">
      <c r="A231" s="167">
        <v>2008.06</v>
      </c>
      <c r="B231" s="883">
        <v>47516</v>
      </c>
      <c r="C231" s="166"/>
      <c r="D231" s="954"/>
      <c r="E231" s="1869"/>
      <c r="F231" s="3068"/>
      <c r="G231" s="1869"/>
      <c r="H231" s="1869"/>
      <c r="I231" s="166"/>
    </row>
    <row r="232" spans="1:9">
      <c r="A232" s="167">
        <v>2008.07</v>
      </c>
      <c r="B232" s="883">
        <v>47545</v>
      </c>
      <c r="C232" s="166"/>
      <c r="D232" s="954"/>
      <c r="E232" s="1869"/>
      <c r="F232" s="3068"/>
      <c r="G232" s="1869"/>
      <c r="H232" s="1869"/>
      <c r="I232" s="166"/>
    </row>
    <row r="233" spans="1:9">
      <c r="A233" s="167">
        <v>2008.08</v>
      </c>
      <c r="B233" s="883">
        <v>47090</v>
      </c>
      <c r="C233" s="166"/>
      <c r="D233" s="954"/>
      <c r="E233" s="1869"/>
      <c r="F233" s="3068"/>
      <c r="G233" s="1869"/>
      <c r="H233" s="1869"/>
      <c r="I233" s="166"/>
    </row>
    <row r="234" spans="1:9">
      <c r="A234" s="167">
        <v>2008.09</v>
      </c>
      <c r="B234" s="883">
        <v>47121</v>
      </c>
      <c r="C234" s="166"/>
      <c r="D234" s="954"/>
      <c r="E234" s="1869"/>
      <c r="F234" s="3068"/>
      <c r="G234" s="1869"/>
      <c r="H234" s="1869"/>
      <c r="I234" s="166"/>
    </row>
    <row r="235" spans="1:9">
      <c r="A235" s="167">
        <v>2008.1</v>
      </c>
      <c r="B235" s="883">
        <v>44941</v>
      </c>
      <c r="C235" s="166"/>
      <c r="D235" s="954"/>
      <c r="E235" s="1869"/>
      <c r="F235" s="3068"/>
      <c r="G235" s="1869"/>
      <c r="H235" s="1869"/>
      <c r="I235" s="166"/>
    </row>
    <row r="236" spans="1:9">
      <c r="A236" s="167">
        <v>2008.11</v>
      </c>
      <c r="B236" s="883">
        <v>46072</v>
      </c>
      <c r="C236" s="166"/>
      <c r="D236" s="954"/>
      <c r="E236" s="1869"/>
      <c r="F236" s="3068"/>
      <c r="G236" s="1869"/>
      <c r="H236" s="1869"/>
      <c r="I236" s="166"/>
    </row>
    <row r="237" spans="1:9" ht="15">
      <c r="A237" s="167">
        <v>2008.12</v>
      </c>
      <c r="B237" s="883">
        <v>46386</v>
      </c>
      <c r="C237" s="166"/>
      <c r="D237" s="954"/>
      <c r="E237" s="1869"/>
      <c r="F237" s="3068"/>
      <c r="G237" s="2546"/>
      <c r="H237" s="2492"/>
      <c r="I237" s="166"/>
    </row>
    <row r="238" spans="1:9">
      <c r="A238" s="167">
        <v>2009.01</v>
      </c>
      <c r="B238" s="883">
        <v>47009</v>
      </c>
      <c r="C238" s="166"/>
      <c r="D238" s="954"/>
      <c r="E238" s="1869"/>
      <c r="F238" s="3068"/>
      <c r="G238" s="166"/>
      <c r="H238" s="1869"/>
      <c r="I238" s="2492"/>
    </row>
    <row r="239" spans="1:9">
      <c r="A239" s="167">
        <v>2009.02</v>
      </c>
      <c r="B239" s="883">
        <v>47025</v>
      </c>
      <c r="C239" s="166"/>
      <c r="D239" s="954"/>
      <c r="E239" s="1869"/>
      <c r="F239" s="3068"/>
      <c r="G239" s="166"/>
      <c r="H239" s="1869"/>
      <c r="I239" s="166"/>
    </row>
    <row r="240" spans="1:9">
      <c r="A240" s="167">
        <v>2009.03</v>
      </c>
      <c r="B240" s="883">
        <v>46509</v>
      </c>
      <c r="C240" s="166"/>
      <c r="D240" s="954"/>
      <c r="E240" s="1869"/>
      <c r="F240" s="3068"/>
      <c r="G240" s="166"/>
      <c r="H240" s="1869"/>
      <c r="I240" s="166"/>
    </row>
    <row r="241" spans="1:9">
      <c r="A241" s="167">
        <v>2009.04</v>
      </c>
      <c r="B241" s="883">
        <v>46368</v>
      </c>
      <c r="C241" s="166"/>
      <c r="D241" s="954"/>
      <c r="E241" s="1869"/>
      <c r="F241" s="3068"/>
      <c r="G241" s="166"/>
      <c r="H241" s="1869"/>
      <c r="I241" s="166"/>
    </row>
    <row r="242" spans="1:9">
      <c r="A242" s="167">
        <v>2009.05</v>
      </c>
      <c r="B242" s="883">
        <v>46545</v>
      </c>
      <c r="C242" s="166"/>
      <c r="D242" s="954"/>
      <c r="E242" s="1869"/>
      <c r="F242" s="3068"/>
      <c r="G242" s="166"/>
      <c r="H242" s="1869"/>
      <c r="I242" s="166"/>
    </row>
    <row r="243" spans="1:9">
      <c r="A243" s="167">
        <v>2009.06</v>
      </c>
      <c r="B243" s="883">
        <v>46026</v>
      </c>
      <c r="C243" s="166"/>
      <c r="D243" s="954"/>
      <c r="E243" s="1869"/>
      <c r="F243" s="3068"/>
      <c r="G243" s="166"/>
      <c r="H243" s="1869"/>
      <c r="I243" s="166"/>
    </row>
    <row r="244" spans="1:9">
      <c r="A244" s="167">
        <v>2009.07</v>
      </c>
      <c r="B244" s="883">
        <v>46047</v>
      </c>
      <c r="C244" s="166"/>
      <c r="D244" s="954"/>
      <c r="E244" s="1869"/>
      <c r="F244" s="3068"/>
      <c r="G244" s="166"/>
      <c r="H244" s="1869"/>
      <c r="I244" s="166"/>
    </row>
    <row r="245" spans="1:9">
      <c r="A245" s="167">
        <v>2009.08</v>
      </c>
      <c r="B245" s="883">
        <v>45021.214602034677</v>
      </c>
      <c r="C245" s="166"/>
      <c r="D245" s="954"/>
      <c r="E245" s="1869"/>
      <c r="F245" s="3068"/>
      <c r="G245" s="166"/>
      <c r="H245" s="1869"/>
      <c r="I245" s="166"/>
    </row>
    <row r="246" spans="1:9">
      <c r="A246" s="167">
        <v>2009.09</v>
      </c>
      <c r="B246" s="883">
        <v>45348</v>
      </c>
      <c r="C246" s="166"/>
      <c r="D246" s="954"/>
      <c r="E246" s="1869"/>
      <c r="F246" s="3068"/>
      <c r="G246" s="166"/>
      <c r="H246" s="1869"/>
      <c r="I246" s="166"/>
    </row>
    <row r="247" spans="1:9">
      <c r="A247" s="167">
        <v>2009.1</v>
      </c>
      <c r="B247" s="883">
        <v>46277</v>
      </c>
      <c r="C247" s="166"/>
      <c r="D247" s="954"/>
      <c r="E247" s="1869"/>
      <c r="F247" s="3068"/>
      <c r="G247" s="166"/>
      <c r="H247" s="1869"/>
      <c r="I247" s="166"/>
    </row>
    <row r="248" spans="1:9">
      <c r="A248" s="167">
        <v>2009.11</v>
      </c>
      <c r="B248" s="883">
        <v>47072</v>
      </c>
      <c r="C248" s="166"/>
      <c r="D248" s="954"/>
      <c r="E248" s="1869"/>
      <c r="F248" s="3068"/>
      <c r="G248" s="166"/>
      <c r="H248" s="1869"/>
      <c r="I248" s="166"/>
    </row>
    <row r="249" spans="1:9">
      <c r="A249" s="167">
        <v>2009.12</v>
      </c>
      <c r="B249" s="883">
        <v>47967</v>
      </c>
      <c r="C249" s="166"/>
      <c r="D249" s="954"/>
      <c r="E249" s="1869"/>
      <c r="F249" s="3068"/>
      <c r="G249" s="166"/>
      <c r="H249" s="2492"/>
      <c r="I249" s="166"/>
    </row>
    <row r="250" spans="1:9">
      <c r="A250" s="167">
        <v>2010.01</v>
      </c>
      <c r="B250" s="883">
        <v>48129</v>
      </c>
      <c r="C250" s="166"/>
      <c r="D250" s="954"/>
      <c r="E250" s="1869"/>
      <c r="F250" s="3068"/>
      <c r="G250" s="166"/>
      <c r="H250" s="1869"/>
      <c r="I250" s="2492"/>
    </row>
    <row r="251" spans="1:9">
      <c r="A251" s="167">
        <v>2010.02</v>
      </c>
      <c r="B251" s="883">
        <v>47758</v>
      </c>
      <c r="C251" s="166"/>
      <c r="D251" s="954"/>
      <c r="E251" s="1869"/>
      <c r="F251" s="3068"/>
      <c r="G251" s="166"/>
      <c r="H251" s="1869"/>
      <c r="I251" s="166"/>
    </row>
    <row r="252" spans="1:9">
      <c r="A252" s="167">
        <v>2010.03</v>
      </c>
      <c r="B252" s="883">
        <v>47460</v>
      </c>
      <c r="C252" s="166"/>
      <c r="D252" s="954"/>
      <c r="E252" s="1869"/>
      <c r="F252" s="3068"/>
      <c r="G252" s="166"/>
      <c r="H252" s="1869"/>
      <c r="I252" s="166"/>
    </row>
    <row r="253" spans="1:9">
      <c r="A253" s="167">
        <v>2010.04</v>
      </c>
      <c r="B253" s="883">
        <v>48067</v>
      </c>
      <c r="C253" s="166"/>
      <c r="D253" s="954"/>
      <c r="E253" s="1869"/>
      <c r="F253" s="3068"/>
      <c r="G253" s="166"/>
      <c r="H253" s="1869"/>
      <c r="I253" s="166"/>
    </row>
    <row r="254" spans="1:9">
      <c r="A254" s="167">
        <v>2010.05</v>
      </c>
      <c r="B254" s="883">
        <v>49000</v>
      </c>
      <c r="C254" s="166"/>
      <c r="D254" s="954"/>
      <c r="E254" s="1869"/>
      <c r="F254" s="3068"/>
      <c r="G254" s="166"/>
      <c r="H254" s="1869"/>
      <c r="I254" s="166"/>
    </row>
    <row r="255" spans="1:9">
      <c r="A255" s="167">
        <v>2010.06</v>
      </c>
      <c r="B255" s="883">
        <v>49240</v>
      </c>
      <c r="C255" s="166"/>
      <c r="D255" s="954"/>
      <c r="E255" s="1869"/>
      <c r="F255" s="3068"/>
      <c r="G255" s="166"/>
      <c r="H255" s="1869"/>
      <c r="I255" s="166"/>
    </row>
    <row r="256" spans="1:9">
      <c r="A256" s="167">
        <v>2010.07</v>
      </c>
      <c r="B256" s="883">
        <v>51073</v>
      </c>
      <c r="C256" s="166"/>
      <c r="D256" s="954"/>
      <c r="E256" s="1869"/>
      <c r="F256" s="3068"/>
      <c r="G256" s="166"/>
      <c r="H256" s="1869"/>
      <c r="I256" s="166"/>
    </row>
    <row r="257" spans="1:9">
      <c r="A257" s="167">
        <v>2010.08</v>
      </c>
      <c r="B257" s="883">
        <v>50348</v>
      </c>
      <c r="C257" s="166"/>
      <c r="D257" s="954"/>
      <c r="E257" s="1869"/>
      <c r="F257" s="3068"/>
      <c r="G257" s="166"/>
      <c r="H257" s="1869"/>
      <c r="I257" s="166"/>
    </row>
    <row r="258" spans="1:9">
      <c r="A258" s="167">
        <v>2010.09</v>
      </c>
      <c r="B258" s="883">
        <v>51125</v>
      </c>
      <c r="C258" s="166"/>
      <c r="D258" s="954"/>
      <c r="E258" s="1869"/>
      <c r="F258" s="3068"/>
      <c r="G258" s="166"/>
      <c r="H258" s="1869"/>
      <c r="I258" s="166"/>
    </row>
    <row r="259" spans="1:9">
      <c r="A259" s="167">
        <v>2010.1</v>
      </c>
      <c r="B259" s="883">
        <v>51918</v>
      </c>
      <c r="C259" s="166"/>
      <c r="D259" s="954"/>
      <c r="E259" s="1869"/>
      <c r="F259" s="3068"/>
      <c r="G259" s="166"/>
      <c r="H259" s="1869"/>
      <c r="I259" s="166"/>
    </row>
    <row r="260" spans="1:9">
      <c r="A260" s="167">
        <v>2010.11</v>
      </c>
      <c r="B260" s="883">
        <v>51896</v>
      </c>
      <c r="C260" s="166"/>
      <c r="D260" s="954"/>
      <c r="E260" s="1869"/>
      <c r="F260" s="3068"/>
      <c r="G260" s="166"/>
      <c r="H260" s="1869"/>
      <c r="I260" s="166"/>
    </row>
    <row r="261" spans="1:9">
      <c r="A261" s="167">
        <v>2010.12</v>
      </c>
      <c r="B261" s="883">
        <v>52145</v>
      </c>
      <c r="C261" s="166"/>
      <c r="D261" s="954"/>
      <c r="E261" s="1869"/>
      <c r="F261" s="3068"/>
      <c r="G261" s="166"/>
      <c r="H261" s="2492"/>
      <c r="I261" s="166"/>
    </row>
    <row r="262" spans="1:9">
      <c r="A262" s="167">
        <v>2011.01</v>
      </c>
      <c r="B262" s="883">
        <v>52618</v>
      </c>
      <c r="C262" s="166"/>
      <c r="D262" s="954"/>
      <c r="E262" s="1869"/>
      <c r="F262" s="3068"/>
      <c r="G262" s="166"/>
      <c r="H262" s="1869"/>
      <c r="I262" s="2492"/>
    </row>
    <row r="263" spans="1:9">
      <c r="A263" s="167">
        <v>2011.02</v>
      </c>
      <c r="B263" s="883">
        <v>52318</v>
      </c>
      <c r="C263" s="166"/>
      <c r="D263" s="954"/>
      <c r="E263" s="1869"/>
      <c r="F263" s="3068"/>
      <c r="G263" s="166"/>
      <c r="H263" s="1869"/>
      <c r="I263" s="166"/>
    </row>
    <row r="264" spans="1:9">
      <c r="A264" s="167">
        <v>2011.03</v>
      </c>
      <c r="B264" s="883">
        <v>51298</v>
      </c>
      <c r="C264" s="166"/>
      <c r="D264" s="954"/>
      <c r="E264" s="1869"/>
      <c r="F264" s="3068"/>
      <c r="G264" s="166"/>
      <c r="H264" s="1869"/>
      <c r="I264" s="166"/>
    </row>
    <row r="265" spans="1:9">
      <c r="A265" s="167">
        <v>2011.04</v>
      </c>
      <c r="B265" s="883">
        <v>52011</v>
      </c>
      <c r="C265" s="166"/>
      <c r="D265" s="954"/>
      <c r="E265" s="1869"/>
      <c r="F265" s="3068"/>
      <c r="G265" s="166"/>
      <c r="H265" s="1869"/>
      <c r="I265" s="166"/>
    </row>
    <row r="266" spans="1:9">
      <c r="A266" s="167">
        <v>2011.05</v>
      </c>
      <c r="B266" s="883">
        <v>52060</v>
      </c>
      <c r="C266" s="166"/>
      <c r="D266" s="954"/>
      <c r="E266" s="1869"/>
      <c r="F266" s="3068"/>
      <c r="G266" s="166"/>
      <c r="H266" s="1869"/>
      <c r="I266" s="166"/>
    </row>
    <row r="267" spans="1:9">
      <c r="A267" s="167">
        <v>2011.06</v>
      </c>
      <c r="B267" s="883">
        <v>51695</v>
      </c>
      <c r="C267" s="166"/>
      <c r="D267" s="954"/>
      <c r="E267" s="1869"/>
      <c r="F267" s="3068"/>
      <c r="G267" s="166"/>
      <c r="H267" s="1869"/>
      <c r="I267" s="166"/>
    </row>
    <row r="268" spans="1:9">
      <c r="A268" s="167">
        <v>2011.07</v>
      </c>
      <c r="B268" s="883">
        <v>51923</v>
      </c>
      <c r="C268" s="166"/>
      <c r="D268" s="954"/>
      <c r="E268" s="1869"/>
      <c r="F268" s="3068"/>
      <c r="G268" s="166"/>
      <c r="H268" s="1869"/>
      <c r="I268" s="166"/>
    </row>
    <row r="269" spans="1:9">
      <c r="A269" s="167">
        <v>2011.08</v>
      </c>
      <c r="B269" s="883">
        <v>49990</v>
      </c>
      <c r="C269" s="166"/>
      <c r="D269" s="954"/>
      <c r="E269" s="1869"/>
      <c r="F269" s="3068"/>
      <c r="G269" s="166"/>
      <c r="H269" s="1869"/>
      <c r="I269" s="166"/>
    </row>
    <row r="270" spans="1:9">
      <c r="A270" s="167">
        <v>2011.09</v>
      </c>
      <c r="B270" s="883">
        <v>48590</v>
      </c>
      <c r="C270" s="166"/>
      <c r="D270" s="954"/>
      <c r="E270" s="1869"/>
      <c r="F270" s="3068"/>
      <c r="G270" s="166"/>
      <c r="H270" s="1869"/>
      <c r="I270" s="166"/>
    </row>
    <row r="271" spans="1:9">
      <c r="A271" s="167">
        <v>2011.1</v>
      </c>
      <c r="B271" s="883">
        <v>47523</v>
      </c>
      <c r="C271" s="166"/>
      <c r="D271" s="954"/>
      <c r="E271" s="1869"/>
      <c r="F271" s="3068"/>
      <c r="G271" s="166"/>
      <c r="H271" s="1869"/>
      <c r="I271" s="166"/>
    </row>
    <row r="272" spans="1:9">
      <c r="A272" s="167">
        <v>2011.11</v>
      </c>
      <c r="B272" s="883">
        <v>46062</v>
      </c>
      <c r="C272" s="166"/>
      <c r="D272" s="954"/>
      <c r="E272" s="1869"/>
      <c r="F272" s="3068"/>
      <c r="G272" s="166"/>
      <c r="H272" s="1869"/>
      <c r="I272" s="166"/>
    </row>
    <row r="273" spans="1:9">
      <c r="A273" s="167">
        <v>2011.12</v>
      </c>
      <c r="B273" s="883">
        <v>46376</v>
      </c>
      <c r="C273" s="166"/>
      <c r="D273" s="954"/>
      <c r="E273" s="1869"/>
      <c r="F273" s="3068"/>
      <c r="G273" s="166"/>
      <c r="H273" s="2492"/>
      <c r="I273" s="166"/>
    </row>
    <row r="274" spans="1:9">
      <c r="A274" s="167">
        <v>2012.01</v>
      </c>
      <c r="B274" s="883">
        <v>46594</v>
      </c>
      <c r="C274" s="166"/>
      <c r="D274" s="954"/>
      <c r="E274" s="1869"/>
      <c r="F274" s="3068"/>
      <c r="G274" s="166"/>
      <c r="H274" s="1869"/>
      <c r="I274" s="2492"/>
    </row>
    <row r="275" spans="1:9">
      <c r="A275" s="167">
        <v>2012.02</v>
      </c>
      <c r="B275" s="883">
        <v>46668</v>
      </c>
      <c r="C275" s="166"/>
      <c r="D275" s="954"/>
      <c r="E275" s="1869"/>
      <c r="F275" s="3068"/>
      <c r="G275" s="166"/>
      <c r="H275" s="1869"/>
      <c r="I275" s="166"/>
    </row>
    <row r="276" spans="1:9">
      <c r="A276" s="167">
        <v>2012.03</v>
      </c>
      <c r="B276" s="883">
        <v>47291</v>
      </c>
      <c r="C276" s="166"/>
      <c r="D276" s="954"/>
      <c r="E276" s="1869"/>
      <c r="F276" s="3068"/>
      <c r="G276" s="166"/>
      <c r="H276" s="1869"/>
      <c r="I276" s="166"/>
    </row>
    <row r="277" spans="1:9">
      <c r="A277" s="167">
        <v>2012.04</v>
      </c>
      <c r="B277" s="883">
        <v>47844</v>
      </c>
      <c r="C277" s="166"/>
      <c r="D277" s="954"/>
      <c r="E277" s="1869"/>
      <c r="F277" s="3068"/>
      <c r="G277" s="166"/>
      <c r="H277" s="1869"/>
      <c r="I277" s="166"/>
    </row>
    <row r="278" spans="1:9">
      <c r="A278" s="167">
        <v>2012.05</v>
      </c>
      <c r="B278" s="883">
        <v>46978</v>
      </c>
      <c r="C278" s="166"/>
      <c r="D278" s="954"/>
      <c r="E278" s="1869"/>
      <c r="F278" s="3068"/>
      <c r="G278" s="166"/>
      <c r="H278" s="1869"/>
      <c r="I278" s="166"/>
    </row>
    <row r="279" spans="1:9">
      <c r="A279" s="167">
        <v>2012.06</v>
      </c>
      <c r="B279" s="883">
        <v>46348</v>
      </c>
      <c r="C279" s="166"/>
      <c r="D279" s="954"/>
      <c r="E279" s="1869"/>
      <c r="F279" s="3068"/>
      <c r="G279" s="166"/>
      <c r="H279" s="1869"/>
      <c r="I279" s="166"/>
    </row>
    <row r="280" spans="1:9">
      <c r="A280" s="167">
        <v>2012.07</v>
      </c>
      <c r="B280" s="883">
        <v>46818</v>
      </c>
      <c r="C280" s="166"/>
      <c r="D280" s="954"/>
      <c r="E280" s="1869"/>
      <c r="F280" s="3068"/>
      <c r="G280" s="166"/>
      <c r="H280" s="1869"/>
      <c r="I280" s="166"/>
    </row>
    <row r="281" spans="1:9">
      <c r="A281" s="167">
        <v>2012.08</v>
      </c>
      <c r="B281" s="883">
        <v>45152</v>
      </c>
      <c r="C281" s="166"/>
      <c r="D281" s="954"/>
      <c r="E281" s="1869"/>
      <c r="F281" s="3068"/>
      <c r="G281" s="166"/>
      <c r="H281" s="1869"/>
      <c r="I281" s="166"/>
    </row>
    <row r="282" spans="1:9">
      <c r="A282" s="167">
        <v>2012.09</v>
      </c>
      <c r="B282" s="883">
        <v>45010</v>
      </c>
      <c r="C282" s="166"/>
      <c r="D282" s="954"/>
      <c r="E282" s="1869"/>
      <c r="F282" s="3068"/>
      <c r="G282" s="166"/>
      <c r="H282" s="1869"/>
      <c r="I282" s="166"/>
    </row>
    <row r="283" spans="1:9">
      <c r="A283" s="167">
        <v>2012.1</v>
      </c>
      <c r="B283" s="883">
        <v>45274</v>
      </c>
      <c r="C283" s="166"/>
      <c r="D283" s="954"/>
      <c r="E283" s="1869"/>
      <c r="F283" s="3068"/>
      <c r="G283" s="166"/>
      <c r="H283" s="1869"/>
      <c r="I283" s="166"/>
    </row>
    <row r="284" spans="1:9">
      <c r="A284" s="167">
        <v>2012.11</v>
      </c>
      <c r="B284" s="883">
        <v>45238</v>
      </c>
      <c r="C284" s="166"/>
      <c r="D284" s="954"/>
      <c r="E284" s="1869"/>
      <c r="F284" s="3068"/>
      <c r="G284" s="166"/>
      <c r="H284" s="1869"/>
      <c r="I284" s="166"/>
    </row>
    <row r="285" spans="1:9">
      <c r="A285" s="167">
        <v>2012.12</v>
      </c>
      <c r="B285" s="883">
        <v>43290</v>
      </c>
      <c r="C285" s="166"/>
      <c r="D285" s="954"/>
      <c r="E285" s="1869"/>
      <c r="F285" s="3068"/>
      <c r="G285" s="166"/>
      <c r="H285" s="2492"/>
      <c r="I285" s="166"/>
    </row>
    <row r="286" spans="1:9">
      <c r="A286" s="167">
        <v>2013.01</v>
      </c>
      <c r="B286" s="883">
        <v>42531</v>
      </c>
      <c r="C286" s="166"/>
      <c r="D286" s="954"/>
      <c r="E286" s="1869"/>
      <c r="F286" s="3068"/>
      <c r="G286" s="166"/>
      <c r="H286" s="1869"/>
      <c r="I286" s="2492"/>
    </row>
    <row r="287" spans="1:9">
      <c r="A287" s="167">
        <v>2013.02</v>
      </c>
      <c r="B287" s="883">
        <v>41609</v>
      </c>
      <c r="C287" s="166"/>
      <c r="D287" s="954"/>
      <c r="E287" s="1869"/>
      <c r="F287" s="3068"/>
      <c r="G287" s="166"/>
      <c r="H287" s="1869"/>
      <c r="I287" s="166"/>
    </row>
    <row r="288" spans="1:9">
      <c r="A288" s="167">
        <v>2013.03</v>
      </c>
      <c r="B288" s="883">
        <v>40446</v>
      </c>
      <c r="C288" s="166"/>
      <c r="D288" s="954"/>
      <c r="E288" s="1869"/>
      <c r="F288" s="3068"/>
      <c r="G288" s="166"/>
      <c r="H288" s="1869"/>
      <c r="I288" s="166"/>
    </row>
    <row r="289" spans="1:9">
      <c r="A289" s="167">
        <v>2013.04</v>
      </c>
      <c r="B289" s="883">
        <v>39532</v>
      </c>
      <c r="C289" s="166"/>
      <c r="D289" s="954"/>
      <c r="E289" s="1869"/>
      <c r="F289" s="3068"/>
      <c r="G289" s="166"/>
      <c r="H289" s="1869"/>
      <c r="I289" s="166"/>
    </row>
    <row r="290" spans="1:9">
      <c r="A290" s="167">
        <v>2013.05</v>
      </c>
      <c r="B290" s="883">
        <v>38551</v>
      </c>
      <c r="C290" s="166"/>
      <c r="D290" s="954"/>
      <c r="E290" s="1869"/>
      <c r="F290" s="3068"/>
      <c r="G290" s="166"/>
      <c r="H290" s="1869"/>
      <c r="I290" s="166"/>
    </row>
    <row r="291" spans="1:9">
      <c r="A291" s="167">
        <v>2013.06</v>
      </c>
      <c r="B291" s="883">
        <v>37005</v>
      </c>
      <c r="C291" s="166"/>
      <c r="D291" s="954"/>
      <c r="E291" s="1869"/>
      <c r="F291" s="3068"/>
      <c r="G291" s="166"/>
      <c r="H291" s="1869"/>
      <c r="I291" s="166"/>
    </row>
    <row r="292" spans="1:9">
      <c r="A292" s="167">
        <v>2013.07</v>
      </c>
      <c r="B292" s="883">
        <v>37049</v>
      </c>
      <c r="C292" s="166"/>
      <c r="D292" s="954"/>
      <c r="E292" s="1869"/>
      <c r="F292" s="3068"/>
      <c r="G292" s="166"/>
      <c r="H292" s="1869"/>
      <c r="I292" s="166"/>
    </row>
    <row r="293" spans="1:9">
      <c r="A293" s="167">
        <v>2013.08</v>
      </c>
      <c r="B293" s="883">
        <v>36678</v>
      </c>
      <c r="C293" s="166"/>
      <c r="D293" s="954"/>
      <c r="E293" s="1869"/>
      <c r="F293" s="3068"/>
      <c r="G293" s="166"/>
      <c r="H293" s="1869"/>
      <c r="I293" s="166"/>
    </row>
    <row r="294" spans="1:9">
      <c r="A294" s="167">
        <v>2013.09</v>
      </c>
      <c r="B294" s="883">
        <v>34741</v>
      </c>
      <c r="C294" s="166"/>
      <c r="D294" s="954"/>
      <c r="E294" s="1869"/>
      <c r="F294" s="3068"/>
      <c r="G294" s="166"/>
      <c r="H294" s="1869"/>
      <c r="I294" s="166"/>
    </row>
    <row r="295" spans="1:9">
      <c r="A295" s="167">
        <v>2013.1</v>
      </c>
      <c r="B295" s="883">
        <v>33232</v>
      </c>
      <c r="C295" s="166"/>
      <c r="D295" s="954"/>
      <c r="E295" s="1869"/>
      <c r="F295" s="3068"/>
      <c r="G295" s="166"/>
      <c r="H295" s="1869"/>
      <c r="I295" s="166"/>
    </row>
    <row r="296" spans="1:9">
      <c r="A296" s="167">
        <v>2013.11</v>
      </c>
      <c r="B296" s="883">
        <v>30799</v>
      </c>
      <c r="C296" s="166"/>
      <c r="D296" s="954"/>
      <c r="E296" s="1869"/>
      <c r="F296" s="3068"/>
      <c r="G296" s="166"/>
      <c r="H296" s="1869"/>
      <c r="I296" s="166"/>
    </row>
    <row r="297" spans="1:9">
      <c r="A297" s="167">
        <v>2013.12</v>
      </c>
      <c r="B297" s="883">
        <v>30599</v>
      </c>
      <c r="C297" s="166"/>
      <c r="D297" s="954"/>
      <c r="E297" s="1869"/>
      <c r="F297" s="3068"/>
      <c r="G297" s="166"/>
      <c r="H297" s="2492"/>
      <c r="I297" s="166"/>
    </row>
    <row r="298" spans="1:9">
      <c r="A298" s="167">
        <v>2014.01</v>
      </c>
      <c r="B298" s="883">
        <v>27748</v>
      </c>
      <c r="C298" s="166"/>
      <c r="D298" s="954"/>
      <c r="E298" s="1869"/>
      <c r="F298" s="3068"/>
      <c r="G298" s="166"/>
      <c r="H298" s="1869"/>
      <c r="I298" s="2492"/>
    </row>
    <row r="299" spans="1:9">
      <c r="A299" s="167">
        <v>2014.02</v>
      </c>
      <c r="B299" s="883">
        <v>27546</v>
      </c>
      <c r="C299" s="166"/>
      <c r="D299" s="954"/>
      <c r="E299" s="1869"/>
      <c r="F299" s="3068"/>
      <c r="G299" s="166"/>
      <c r="H299" s="1869"/>
      <c r="I299" s="166"/>
    </row>
    <row r="300" spans="1:9">
      <c r="A300" s="167">
        <v>2014.03</v>
      </c>
      <c r="B300" s="883">
        <v>27007</v>
      </c>
      <c r="C300" s="166"/>
      <c r="D300" s="954"/>
      <c r="E300" s="1869"/>
      <c r="F300" s="3068"/>
      <c r="G300" s="166"/>
      <c r="H300" s="1869"/>
      <c r="I300" s="166"/>
    </row>
    <row r="301" spans="1:9">
      <c r="A301" s="167">
        <v>2014.04</v>
      </c>
      <c r="B301" s="883">
        <v>28220</v>
      </c>
      <c r="C301" s="166"/>
      <c r="D301" s="954"/>
      <c r="E301" s="1869"/>
      <c r="F301" s="3068"/>
      <c r="G301" s="166"/>
      <c r="H301" s="1869"/>
      <c r="I301" s="166"/>
    </row>
    <row r="302" spans="1:9">
      <c r="A302" s="167">
        <v>2014.05</v>
      </c>
      <c r="B302" s="883">
        <v>28542</v>
      </c>
      <c r="C302" s="166"/>
      <c r="D302" s="954"/>
      <c r="E302" s="1869"/>
      <c r="F302" s="3068"/>
      <c r="G302" s="166"/>
      <c r="H302" s="1869"/>
      <c r="I302" s="166"/>
    </row>
    <row r="303" spans="1:9">
      <c r="A303" s="167">
        <v>2014.06</v>
      </c>
      <c r="B303" s="883">
        <v>29278</v>
      </c>
      <c r="C303" s="166"/>
      <c r="D303" s="954"/>
      <c r="E303" s="1869"/>
      <c r="F303" s="3068"/>
      <c r="G303" s="166"/>
      <c r="H303" s="1869"/>
      <c r="I303" s="166"/>
    </row>
    <row r="304" spans="1:9">
      <c r="A304" s="167">
        <v>2014.07</v>
      </c>
      <c r="B304" s="883">
        <v>29003</v>
      </c>
      <c r="C304" s="166"/>
      <c r="D304" s="954"/>
      <c r="E304" s="1869"/>
      <c r="F304" s="3068"/>
      <c r="G304" s="166"/>
      <c r="H304" s="1869"/>
      <c r="I304" s="166"/>
    </row>
    <row r="305" spans="1:9">
      <c r="A305" s="167">
        <v>2014.08</v>
      </c>
      <c r="B305" s="883">
        <v>28620</v>
      </c>
      <c r="C305" s="166"/>
      <c r="D305" s="954"/>
      <c r="E305" s="1869"/>
      <c r="F305" s="3068"/>
      <c r="G305" s="166"/>
      <c r="H305" s="1869"/>
      <c r="I305" s="166"/>
    </row>
    <row r="306" spans="1:9">
      <c r="A306" s="167">
        <v>2014.09</v>
      </c>
      <c r="B306" s="883">
        <v>27866</v>
      </c>
      <c r="C306" s="166"/>
      <c r="D306" s="954"/>
      <c r="E306" s="1869"/>
      <c r="F306" s="3068"/>
      <c r="G306" s="166"/>
      <c r="H306" s="1869"/>
      <c r="I306" s="166"/>
    </row>
    <row r="307" spans="1:9">
      <c r="A307" s="167">
        <v>2014.1</v>
      </c>
      <c r="B307" s="883">
        <v>28111</v>
      </c>
      <c r="C307" s="166"/>
      <c r="D307" s="954"/>
      <c r="E307" s="1869"/>
      <c r="F307" s="3068"/>
      <c r="G307" s="166"/>
      <c r="H307" s="1869"/>
      <c r="I307" s="166"/>
    </row>
    <row r="308" spans="1:9">
      <c r="A308" s="167">
        <v>2014.11</v>
      </c>
      <c r="B308" s="883">
        <v>28911</v>
      </c>
      <c r="C308" s="166"/>
      <c r="D308" s="954"/>
      <c r="E308" s="1869"/>
      <c r="F308" s="3068"/>
      <c r="G308" s="166"/>
      <c r="H308" s="1869"/>
      <c r="I308" s="166"/>
    </row>
    <row r="309" spans="1:9">
      <c r="A309" s="167">
        <v>2014.12</v>
      </c>
      <c r="B309" s="883">
        <v>31443</v>
      </c>
      <c r="C309" s="166"/>
      <c r="D309" s="954"/>
      <c r="E309" s="1869"/>
      <c r="F309" s="3068"/>
      <c r="G309" s="166"/>
      <c r="H309" s="2492"/>
      <c r="I309" s="166"/>
    </row>
    <row r="310" spans="1:9">
      <c r="A310" s="167">
        <v>2015.01</v>
      </c>
      <c r="B310" s="883">
        <v>31452</v>
      </c>
      <c r="C310" s="166"/>
      <c r="D310" s="954"/>
      <c r="E310" s="1869"/>
      <c r="F310" s="3068"/>
      <c r="G310" s="166"/>
      <c r="H310" s="1869"/>
      <c r="I310" s="2492"/>
    </row>
    <row r="311" spans="1:9">
      <c r="A311" s="167">
        <v>2015.02</v>
      </c>
      <c r="B311" s="883">
        <v>31470</v>
      </c>
      <c r="C311" s="166"/>
      <c r="D311" s="954"/>
      <c r="E311" s="1869"/>
      <c r="F311" s="3068"/>
      <c r="G311" s="166"/>
      <c r="H311" s="1869"/>
      <c r="I311" s="166"/>
    </row>
    <row r="312" spans="1:9">
      <c r="A312" s="167">
        <v>2015.03</v>
      </c>
      <c r="B312" s="883">
        <v>31490</v>
      </c>
      <c r="C312" s="166"/>
      <c r="D312" s="954"/>
      <c r="E312" s="1869"/>
      <c r="F312" s="3068"/>
      <c r="G312" s="166"/>
      <c r="H312" s="1869"/>
      <c r="I312" s="166"/>
    </row>
    <row r="313" spans="1:9">
      <c r="A313" s="167">
        <v>2015.04</v>
      </c>
      <c r="B313" s="883">
        <v>33909</v>
      </c>
      <c r="C313" s="166"/>
      <c r="D313" s="954"/>
      <c r="E313" s="1869"/>
      <c r="F313" s="3068"/>
      <c r="G313" s="166"/>
      <c r="H313" s="1869"/>
      <c r="I313" s="166"/>
    </row>
    <row r="314" spans="1:9">
      <c r="A314" s="167">
        <v>2015.05</v>
      </c>
      <c r="B314" s="883">
        <v>33283</v>
      </c>
      <c r="C314" s="166"/>
      <c r="D314" s="954"/>
      <c r="E314" s="1869"/>
      <c r="F314" s="3068"/>
      <c r="G314" s="166"/>
      <c r="H314" s="1869"/>
      <c r="I314" s="166"/>
    </row>
    <row r="315" spans="1:9">
      <c r="A315" s="167">
        <v>2015.06</v>
      </c>
      <c r="B315" s="883">
        <v>33851</v>
      </c>
      <c r="C315" s="166"/>
      <c r="D315" s="954"/>
      <c r="E315" s="1869"/>
      <c r="F315" s="3068"/>
      <c r="G315" s="166"/>
      <c r="H315" s="1869"/>
      <c r="I315" s="166"/>
    </row>
    <row r="316" spans="1:9">
      <c r="A316" s="167">
        <v>2015.07</v>
      </c>
      <c r="B316" s="883">
        <v>33943</v>
      </c>
      <c r="C316" s="166"/>
      <c r="D316" s="954"/>
      <c r="E316" s="1869"/>
      <c r="F316" s="3068"/>
      <c r="G316" s="166"/>
      <c r="H316" s="1869"/>
      <c r="I316" s="166"/>
    </row>
    <row r="317" spans="1:9">
      <c r="A317" s="167">
        <v>2015.08</v>
      </c>
      <c r="B317" s="883">
        <v>33606</v>
      </c>
      <c r="C317" s="166"/>
      <c r="D317" s="954"/>
      <c r="E317" s="1869"/>
      <c r="F317" s="3068"/>
      <c r="G317" s="166"/>
      <c r="H317" s="1869"/>
      <c r="I317" s="166"/>
    </row>
    <row r="318" spans="1:9">
      <c r="A318" s="167">
        <v>2015.09</v>
      </c>
      <c r="B318" s="883">
        <v>33257</v>
      </c>
      <c r="C318" s="166"/>
      <c r="D318" s="954"/>
      <c r="E318" s="1869"/>
      <c r="F318" s="3068"/>
      <c r="G318" s="166"/>
      <c r="H318" s="1869"/>
      <c r="I318" s="166"/>
    </row>
    <row r="319" spans="1:9">
      <c r="A319" s="167">
        <v>2015.1</v>
      </c>
      <c r="B319" s="883">
        <v>26970</v>
      </c>
      <c r="C319" s="166"/>
      <c r="D319" s="954"/>
      <c r="E319" s="1869"/>
      <c r="F319" s="3068"/>
      <c r="G319" s="166"/>
      <c r="H319" s="1869"/>
      <c r="I319" s="166"/>
    </row>
    <row r="320" spans="1:9">
      <c r="A320" s="167">
        <v>2015.11</v>
      </c>
      <c r="B320" s="883">
        <v>25615</v>
      </c>
      <c r="C320" s="166"/>
      <c r="D320" s="954"/>
      <c r="E320" s="1869"/>
      <c r="F320" s="3068"/>
      <c r="G320" s="166"/>
      <c r="H320" s="1869"/>
      <c r="I320" s="166"/>
    </row>
    <row r="321" spans="1:9">
      <c r="A321" s="167">
        <v>2015.12</v>
      </c>
      <c r="B321" s="883">
        <v>25563</v>
      </c>
      <c r="C321" s="166"/>
      <c r="D321" s="954"/>
      <c r="E321" s="1869"/>
      <c r="F321" s="3068"/>
      <c r="G321" s="166"/>
      <c r="H321" s="2492"/>
      <c r="I321" s="166"/>
    </row>
    <row r="322" spans="1:9">
      <c r="A322" s="167">
        <f>A310+1</f>
        <v>2016.01</v>
      </c>
      <c r="B322" s="883">
        <v>30074</v>
      </c>
      <c r="C322" s="166"/>
      <c r="D322" s="954"/>
      <c r="E322" s="1869"/>
      <c r="F322" s="3068"/>
      <c r="G322" s="166"/>
      <c r="H322" s="1869"/>
      <c r="I322" s="2492"/>
    </row>
    <row r="323" spans="1:9">
      <c r="A323" s="167">
        <f t="shared" ref="A323:A350" si="0">A311+1</f>
        <v>2016.02</v>
      </c>
      <c r="B323" s="883">
        <v>28399</v>
      </c>
      <c r="C323" s="166"/>
      <c r="D323" s="954"/>
      <c r="E323" s="1869"/>
      <c r="F323" s="3068"/>
      <c r="G323" s="166"/>
      <c r="H323" s="1869"/>
      <c r="I323" s="166"/>
    </row>
    <row r="324" spans="1:9">
      <c r="A324" s="167">
        <f t="shared" si="0"/>
        <v>2016.03</v>
      </c>
      <c r="B324" s="883">
        <v>29572</v>
      </c>
      <c r="C324" s="166"/>
      <c r="D324" s="954"/>
      <c r="E324" s="1869"/>
      <c r="F324" s="3068"/>
      <c r="G324" s="166"/>
      <c r="H324" s="1869"/>
      <c r="I324" s="166"/>
    </row>
    <row r="325" spans="1:9">
      <c r="A325" s="167">
        <f t="shared" si="0"/>
        <v>2016.04</v>
      </c>
      <c r="B325" s="883">
        <v>34380</v>
      </c>
      <c r="C325" s="166"/>
      <c r="D325" s="954"/>
      <c r="E325" s="1869"/>
      <c r="F325" s="3068"/>
      <c r="G325" s="166"/>
      <c r="H325" s="1869"/>
      <c r="I325" s="166"/>
    </row>
    <row r="326" spans="1:9">
      <c r="A326" s="167">
        <f t="shared" si="0"/>
        <v>2016.05</v>
      </c>
      <c r="B326" s="883">
        <v>30171</v>
      </c>
      <c r="C326" s="166"/>
      <c r="D326" s="954"/>
      <c r="E326" s="1869"/>
      <c r="F326" s="3068"/>
      <c r="G326" s="166"/>
      <c r="H326" s="1869"/>
      <c r="I326" s="166"/>
    </row>
    <row r="327" spans="1:9">
      <c r="A327" s="167">
        <f t="shared" si="0"/>
        <v>2016.06</v>
      </c>
      <c r="B327" s="883">
        <v>30507</v>
      </c>
      <c r="C327" s="166"/>
      <c r="D327" s="954"/>
      <c r="E327" s="1869"/>
      <c r="F327" s="3068"/>
      <c r="G327" s="166"/>
      <c r="H327" s="1869"/>
      <c r="I327" s="166"/>
    </row>
    <row r="328" spans="1:9">
      <c r="A328" s="167">
        <f t="shared" si="0"/>
        <v>2016.07</v>
      </c>
      <c r="B328" s="883">
        <v>32511</v>
      </c>
      <c r="C328" s="166"/>
      <c r="D328" s="954"/>
      <c r="E328" s="1869"/>
      <c r="F328" s="3068"/>
      <c r="G328" s="166"/>
      <c r="H328" s="1869"/>
      <c r="I328" s="166"/>
    </row>
    <row r="329" spans="1:9">
      <c r="A329" s="167">
        <f t="shared" si="0"/>
        <v>2016.08</v>
      </c>
      <c r="B329" s="883">
        <v>31150</v>
      </c>
      <c r="C329" s="166"/>
      <c r="D329" s="954"/>
      <c r="E329" s="1869"/>
      <c r="F329" s="3068"/>
      <c r="G329" s="1840"/>
      <c r="H329" s="166"/>
      <c r="I329" s="1869"/>
    </row>
    <row r="330" spans="1:9">
      <c r="A330" s="167">
        <f t="shared" si="0"/>
        <v>2016.09</v>
      </c>
      <c r="B330" s="883">
        <v>29902</v>
      </c>
      <c r="C330" s="166"/>
      <c r="D330" s="954"/>
      <c r="E330" s="1869"/>
      <c r="F330" s="3068"/>
      <c r="G330" s="166"/>
      <c r="H330" s="1869"/>
      <c r="I330" s="166"/>
    </row>
    <row r="331" spans="1:9">
      <c r="A331" s="167">
        <f t="shared" si="0"/>
        <v>2016.1</v>
      </c>
      <c r="B331" s="883">
        <v>37210</v>
      </c>
      <c r="C331" s="166"/>
      <c r="D331" s="954"/>
      <c r="E331" s="1869"/>
      <c r="F331" s="3068"/>
      <c r="G331" s="166"/>
      <c r="H331" s="1869"/>
      <c r="I331" s="166"/>
    </row>
    <row r="332" spans="1:9">
      <c r="A332" s="167">
        <f>A320+1</f>
        <v>2016.11</v>
      </c>
      <c r="B332" s="883">
        <v>37378</v>
      </c>
      <c r="C332" s="166"/>
      <c r="D332" s="954"/>
      <c r="E332" s="1869"/>
      <c r="F332" s="3068"/>
      <c r="G332" s="166"/>
      <c r="H332" s="1869"/>
      <c r="I332" s="166"/>
    </row>
    <row r="333" spans="1:9">
      <c r="A333" s="167">
        <f t="shared" si="0"/>
        <v>2016.12</v>
      </c>
      <c r="B333" s="883">
        <v>38772</v>
      </c>
      <c r="C333" s="166"/>
      <c r="D333" s="954"/>
      <c r="E333" s="1869"/>
      <c r="F333" s="3068"/>
      <c r="G333" s="166"/>
      <c r="H333" s="2492"/>
      <c r="I333" s="166"/>
    </row>
    <row r="334" spans="1:9">
      <c r="A334" s="167">
        <f t="shared" si="0"/>
        <v>2017.01</v>
      </c>
      <c r="B334" s="883">
        <v>46887</v>
      </c>
      <c r="C334" s="166"/>
      <c r="D334" s="954"/>
      <c r="E334" s="1869"/>
      <c r="F334" s="3068"/>
      <c r="G334" s="166"/>
      <c r="H334" s="1869"/>
      <c r="I334" s="2492"/>
    </row>
    <row r="335" spans="1:9">
      <c r="A335" s="167">
        <f t="shared" si="0"/>
        <v>2017.02</v>
      </c>
      <c r="B335" s="883">
        <v>50608</v>
      </c>
      <c r="C335" s="166"/>
      <c r="D335" s="954"/>
      <c r="E335" s="1869"/>
      <c r="F335" s="3068"/>
      <c r="G335" s="166"/>
      <c r="H335" s="1869"/>
      <c r="I335" s="166"/>
    </row>
    <row r="336" spans="1:9">
      <c r="A336" s="167">
        <f t="shared" si="0"/>
        <v>2017.03</v>
      </c>
      <c r="B336" s="883">
        <v>50522</v>
      </c>
      <c r="C336" s="166"/>
      <c r="D336" s="954"/>
      <c r="E336" s="1869"/>
      <c r="F336" s="3068"/>
      <c r="G336" s="166"/>
      <c r="H336" s="1869"/>
      <c r="I336" s="166"/>
    </row>
    <row r="337" spans="1:9">
      <c r="A337" s="167">
        <f t="shared" si="0"/>
        <v>2017.04</v>
      </c>
      <c r="B337" s="883">
        <v>48217</v>
      </c>
      <c r="C337" s="166"/>
      <c r="D337" s="954"/>
      <c r="E337" s="1869"/>
      <c r="F337" s="3068"/>
      <c r="G337" s="166"/>
      <c r="H337" s="1869"/>
      <c r="I337" s="166"/>
    </row>
    <row r="338" spans="1:9">
      <c r="A338" s="167">
        <f t="shared" si="0"/>
        <v>2017.05</v>
      </c>
      <c r="B338" s="883">
        <v>46146</v>
      </c>
      <c r="C338" s="166"/>
      <c r="D338" s="954"/>
      <c r="E338" s="1869"/>
      <c r="F338" s="3068"/>
      <c r="G338" s="166"/>
      <c r="H338" s="1869"/>
      <c r="I338" s="166"/>
    </row>
    <row r="339" spans="1:9">
      <c r="A339" s="167">
        <f t="shared" si="0"/>
        <v>2017.06</v>
      </c>
      <c r="B339" s="883">
        <v>47995</v>
      </c>
      <c r="C339" s="166"/>
      <c r="D339" s="954"/>
      <c r="E339" s="1869"/>
      <c r="F339" s="3068"/>
      <c r="G339" s="166"/>
      <c r="H339" s="1869"/>
      <c r="I339" s="166"/>
    </row>
    <row r="340" spans="1:9">
      <c r="A340" s="167">
        <f t="shared" si="0"/>
        <v>2017.07</v>
      </c>
      <c r="B340" s="883">
        <v>47014</v>
      </c>
      <c r="C340" s="166"/>
      <c r="D340" s="954"/>
      <c r="E340" s="1869"/>
      <c r="F340" s="3068"/>
      <c r="G340" s="166"/>
      <c r="H340" s="1869"/>
      <c r="I340" s="166"/>
    </row>
    <row r="341" spans="1:9">
      <c r="A341" s="167">
        <f>A329+1</f>
        <v>2017.08</v>
      </c>
      <c r="B341" s="883">
        <v>48877</v>
      </c>
      <c r="C341" s="166"/>
      <c r="D341" s="954"/>
      <c r="E341" s="1869"/>
      <c r="F341" s="3068"/>
      <c r="G341" s="166"/>
      <c r="H341" s="1869"/>
      <c r="I341" s="166"/>
    </row>
    <row r="342" spans="1:9">
      <c r="A342" s="167">
        <f t="shared" si="0"/>
        <v>2017.09</v>
      </c>
      <c r="B342" s="883">
        <v>50237</v>
      </c>
      <c r="C342" s="166"/>
      <c r="D342" s="954"/>
      <c r="E342" s="1869"/>
      <c r="F342" s="3068"/>
      <c r="G342" s="166"/>
      <c r="H342" s="1869"/>
      <c r="I342" s="166"/>
    </row>
    <row r="343" spans="1:9">
      <c r="A343" s="167">
        <f t="shared" si="0"/>
        <v>2017.1</v>
      </c>
      <c r="B343" s="883">
        <v>51810</v>
      </c>
      <c r="C343" s="166"/>
      <c r="D343" s="954"/>
      <c r="E343" s="1869"/>
      <c r="F343" s="3068"/>
      <c r="G343" s="166"/>
      <c r="H343" s="1869"/>
      <c r="I343" s="166"/>
    </row>
    <row r="344" spans="1:9">
      <c r="A344" s="167">
        <f t="shared" si="0"/>
        <v>2017.11</v>
      </c>
      <c r="B344" s="883">
        <v>54563</v>
      </c>
      <c r="C344" s="166"/>
      <c r="D344" s="954"/>
      <c r="E344" s="1869"/>
      <c r="F344" s="3068"/>
      <c r="G344" s="166"/>
      <c r="H344" s="1869"/>
      <c r="I344" s="166"/>
    </row>
    <row r="345" spans="1:9">
      <c r="A345" s="167">
        <f t="shared" si="0"/>
        <v>2017.12</v>
      </c>
      <c r="B345" s="883">
        <v>55055</v>
      </c>
      <c r="C345" s="166"/>
      <c r="D345" s="954"/>
      <c r="E345" s="1869"/>
      <c r="F345" s="3068"/>
      <c r="G345" s="166"/>
      <c r="H345" s="2492"/>
      <c r="I345" s="166"/>
    </row>
    <row r="346" spans="1:9">
      <c r="A346" s="167">
        <f t="shared" si="0"/>
        <v>2018.01</v>
      </c>
      <c r="B346" s="883">
        <v>62023.8</v>
      </c>
      <c r="C346" s="166"/>
      <c r="D346" s="954"/>
      <c r="E346" s="1869"/>
      <c r="F346" s="3068"/>
      <c r="G346" s="166"/>
      <c r="H346" s="1869"/>
      <c r="I346" s="2492"/>
    </row>
    <row r="347" spans="1:9">
      <c r="A347" s="167">
        <f t="shared" si="0"/>
        <v>2018.02</v>
      </c>
      <c r="B347" s="883">
        <v>61508.5</v>
      </c>
      <c r="C347" s="166"/>
      <c r="D347" s="954"/>
      <c r="E347" s="1869"/>
      <c r="F347" s="3068"/>
      <c r="G347" s="166"/>
      <c r="H347" s="1869"/>
      <c r="I347" s="166"/>
    </row>
    <row r="348" spans="1:9">
      <c r="A348" s="167">
        <f t="shared" si="0"/>
        <v>2018.03</v>
      </c>
      <c r="B348" s="883">
        <v>61725.9</v>
      </c>
      <c r="C348" s="166"/>
      <c r="D348" s="954"/>
      <c r="E348" s="1869"/>
      <c r="F348" s="3068"/>
      <c r="G348" s="166"/>
      <c r="H348" s="1869"/>
      <c r="I348" s="166"/>
    </row>
    <row r="349" spans="1:9">
      <c r="A349" s="167">
        <f t="shared" si="0"/>
        <v>2018.04</v>
      </c>
      <c r="B349" s="883">
        <v>56623</v>
      </c>
      <c r="C349" s="166"/>
      <c r="D349" s="954"/>
      <c r="E349" s="1869"/>
      <c r="F349" s="3068"/>
      <c r="G349" s="166"/>
      <c r="H349" s="1869"/>
      <c r="I349" s="166"/>
    </row>
    <row r="350" spans="1:9">
      <c r="A350" s="167">
        <f t="shared" si="0"/>
        <v>2018.05</v>
      </c>
      <c r="B350" s="883">
        <v>50098.1</v>
      </c>
      <c r="C350" s="166"/>
      <c r="D350" s="954"/>
      <c r="E350" s="1869"/>
      <c r="F350" s="3068"/>
      <c r="G350" s="166"/>
      <c r="H350" s="1869"/>
      <c r="I350" s="166"/>
    </row>
    <row r="351" spans="1:9">
      <c r="A351" s="167">
        <f>A339+1</f>
        <v>2018.06</v>
      </c>
      <c r="B351" s="883">
        <v>61881</v>
      </c>
      <c r="C351" s="166"/>
      <c r="D351" s="954"/>
      <c r="E351" s="1869"/>
      <c r="F351" s="3068"/>
      <c r="G351" s="166"/>
      <c r="H351" s="1869"/>
      <c r="I351" s="166"/>
    </row>
    <row r="352" spans="1:9">
      <c r="A352" s="167">
        <f>A340+1</f>
        <v>2018.07</v>
      </c>
      <c r="B352" s="883">
        <v>57996.2</v>
      </c>
      <c r="C352" s="166"/>
      <c r="D352" s="954"/>
      <c r="E352" s="1869"/>
      <c r="F352" s="3068"/>
      <c r="G352" s="166"/>
      <c r="H352" s="1869"/>
      <c r="I352" s="166"/>
    </row>
    <row r="353" spans="1:9">
      <c r="A353" s="167">
        <f t="shared" ref="A353:A359" si="1">A341+1</f>
        <v>2018.08</v>
      </c>
      <c r="B353" s="883">
        <v>52657.7</v>
      </c>
      <c r="C353" s="166"/>
      <c r="D353" s="954"/>
      <c r="E353" s="1869"/>
      <c r="F353" s="3068"/>
      <c r="G353" s="166"/>
      <c r="H353" s="1869"/>
      <c r="I353" s="166"/>
    </row>
    <row r="354" spans="1:9">
      <c r="A354" s="167">
        <f t="shared" si="1"/>
        <v>2018.09</v>
      </c>
      <c r="B354" s="883">
        <v>49003</v>
      </c>
      <c r="C354" s="166"/>
      <c r="D354" s="954"/>
      <c r="E354" s="1869"/>
      <c r="F354" s="3068"/>
      <c r="G354" s="166"/>
      <c r="H354" s="1869"/>
      <c r="I354" s="166"/>
    </row>
    <row r="355" spans="1:9">
      <c r="A355" s="167">
        <f t="shared" si="1"/>
        <v>2018.1</v>
      </c>
      <c r="B355" s="883">
        <v>53955.1</v>
      </c>
      <c r="C355" s="166"/>
      <c r="D355" s="954"/>
      <c r="E355" s="1869"/>
      <c r="F355" s="3068"/>
      <c r="G355" s="166"/>
      <c r="H355" s="1869"/>
      <c r="I355" s="166"/>
    </row>
    <row r="356" spans="1:9">
      <c r="A356" s="167">
        <f t="shared" si="1"/>
        <v>2018.11</v>
      </c>
      <c r="B356" s="883">
        <v>51193</v>
      </c>
      <c r="C356" s="166"/>
      <c r="D356" s="954"/>
      <c r="E356" s="1869"/>
      <c r="F356" s="3068"/>
      <c r="G356" s="166"/>
      <c r="H356" s="1869"/>
      <c r="I356" s="166"/>
    </row>
    <row r="357" spans="1:9">
      <c r="A357" s="167">
        <f t="shared" si="1"/>
        <v>2018.12</v>
      </c>
      <c r="B357" s="883">
        <v>65806</v>
      </c>
      <c r="C357" s="166"/>
      <c r="D357" s="954"/>
      <c r="E357" s="1869"/>
      <c r="F357" s="3068"/>
      <c r="G357" s="166"/>
      <c r="H357" s="2492"/>
      <c r="I357" s="166"/>
    </row>
    <row r="358" spans="1:9">
      <c r="A358" s="167">
        <f t="shared" si="1"/>
        <v>2019.01</v>
      </c>
      <c r="B358" s="883">
        <v>66811</v>
      </c>
      <c r="C358" s="166"/>
      <c r="D358" s="954"/>
      <c r="E358" s="1869"/>
      <c r="F358" s="3068"/>
      <c r="G358" s="166"/>
      <c r="H358" s="1869"/>
      <c r="I358" s="2492"/>
    </row>
    <row r="359" spans="1:9">
      <c r="A359" s="167">
        <f t="shared" si="1"/>
        <v>2019.02</v>
      </c>
      <c r="B359" s="883">
        <v>68015</v>
      </c>
      <c r="C359" s="166"/>
      <c r="D359" s="954"/>
      <c r="E359" s="1869"/>
      <c r="F359" s="3068"/>
      <c r="G359" s="166"/>
      <c r="H359" s="1869"/>
      <c r="I359" s="166"/>
    </row>
    <row r="360" spans="1:9">
      <c r="A360" s="167">
        <f>A348+1</f>
        <v>2019.03</v>
      </c>
      <c r="B360" s="883">
        <v>66187</v>
      </c>
      <c r="C360" s="166"/>
      <c r="D360" s="954"/>
      <c r="E360" s="1869"/>
      <c r="F360" s="3068"/>
      <c r="G360" s="166"/>
      <c r="H360" s="1869"/>
      <c r="I360" s="166"/>
    </row>
    <row r="361" spans="1:9">
      <c r="A361" s="167">
        <f t="shared" ref="A361:A369" si="2">A349+1</f>
        <v>2019.04</v>
      </c>
      <c r="B361" s="883">
        <v>71663</v>
      </c>
      <c r="C361" s="166"/>
      <c r="D361" s="954"/>
      <c r="E361" s="1869"/>
      <c r="F361" s="3068"/>
      <c r="G361" s="166"/>
      <c r="H361" s="1869"/>
      <c r="I361" s="166"/>
    </row>
    <row r="362" spans="1:9">
      <c r="A362" s="167">
        <f t="shared" si="2"/>
        <v>2019.05</v>
      </c>
      <c r="B362" s="883">
        <v>64779.4</v>
      </c>
      <c r="C362" s="166"/>
      <c r="D362" s="954"/>
      <c r="E362" s="1869"/>
      <c r="F362" s="3068"/>
      <c r="G362" s="166"/>
      <c r="H362" s="1869"/>
      <c r="I362" s="166"/>
    </row>
    <row r="363" spans="1:9">
      <c r="A363" s="167">
        <f t="shared" si="2"/>
        <v>2019.06</v>
      </c>
      <c r="B363" s="883">
        <v>64278</v>
      </c>
      <c r="C363" s="166"/>
      <c r="D363" s="954"/>
      <c r="E363" s="1869"/>
      <c r="F363" s="3068"/>
      <c r="G363" s="166"/>
      <c r="H363" s="1869"/>
      <c r="I363" s="166"/>
    </row>
    <row r="364" spans="1:9">
      <c r="A364" s="167">
        <f t="shared" si="2"/>
        <v>2019.07</v>
      </c>
      <c r="B364" s="883">
        <v>67899.399999999994</v>
      </c>
      <c r="C364" s="166"/>
      <c r="D364" s="954"/>
      <c r="E364" s="1869"/>
      <c r="F364" s="3068"/>
      <c r="G364" s="166"/>
      <c r="H364" s="1869"/>
      <c r="I364" s="166"/>
    </row>
    <row r="365" spans="1:9">
      <c r="A365" s="167">
        <f t="shared" si="2"/>
        <v>2019.08</v>
      </c>
      <c r="B365" s="883">
        <v>54100</v>
      </c>
      <c r="C365" s="166"/>
      <c r="D365" s="954"/>
      <c r="E365" s="1869"/>
      <c r="F365" s="3068"/>
      <c r="G365" s="166"/>
      <c r="H365" s="1869"/>
      <c r="I365" s="166"/>
    </row>
    <row r="366" spans="1:9">
      <c r="A366" s="167">
        <f t="shared" si="2"/>
        <v>2019.09</v>
      </c>
      <c r="B366" s="883">
        <v>48703.3</v>
      </c>
      <c r="C366" s="166"/>
      <c r="D366" s="954"/>
      <c r="E366" s="1869"/>
      <c r="F366" s="3068"/>
      <c r="G366" s="166"/>
      <c r="H366" s="1869"/>
      <c r="I366" s="166"/>
    </row>
    <row r="367" spans="1:9">
      <c r="A367" s="167">
        <f t="shared" si="2"/>
        <v>2019.1</v>
      </c>
      <c r="B367" s="883">
        <v>43260</v>
      </c>
      <c r="C367" s="166"/>
      <c r="D367" s="954"/>
      <c r="E367" s="1869"/>
      <c r="F367" s="3068"/>
      <c r="G367" s="166"/>
      <c r="H367" s="1869"/>
      <c r="I367" s="166"/>
    </row>
    <row r="368" spans="1:9">
      <c r="A368" s="167">
        <f t="shared" si="2"/>
        <v>2019.11</v>
      </c>
      <c r="B368" s="883">
        <v>43772</v>
      </c>
      <c r="C368" s="166"/>
      <c r="D368" s="954"/>
      <c r="E368" s="1869"/>
      <c r="F368" s="3068"/>
      <c r="G368" s="166"/>
      <c r="H368" s="1869"/>
      <c r="I368" s="166"/>
    </row>
    <row r="369" spans="1:9">
      <c r="A369" s="167">
        <f t="shared" si="2"/>
        <v>2019.12</v>
      </c>
      <c r="B369" s="883">
        <v>44781</v>
      </c>
      <c r="C369" s="166"/>
      <c r="D369" s="954"/>
      <c r="E369" s="1869"/>
      <c r="F369" s="3068"/>
      <c r="G369" s="166"/>
      <c r="H369" s="2492"/>
      <c r="I369" s="166"/>
    </row>
    <row r="370" spans="1:9">
      <c r="A370" s="167">
        <f>A358+1</f>
        <v>2020.01</v>
      </c>
      <c r="B370" s="883">
        <v>44917.1</v>
      </c>
      <c r="C370" s="166"/>
      <c r="D370" s="954"/>
      <c r="E370" s="1869"/>
      <c r="F370" s="3068"/>
      <c r="G370" s="166"/>
      <c r="H370" s="1869"/>
      <c r="I370" s="2492"/>
    </row>
    <row r="371" spans="1:9">
      <c r="A371" s="167">
        <f t="shared" ref="A371:A378" si="3">A359+1</f>
        <v>2020.02</v>
      </c>
      <c r="B371" s="883">
        <v>44790.7</v>
      </c>
      <c r="C371" s="166"/>
      <c r="D371" s="954"/>
      <c r="E371" s="1869"/>
      <c r="F371" s="3068"/>
      <c r="G371" s="166"/>
      <c r="H371" s="1869"/>
      <c r="I371" s="166"/>
    </row>
    <row r="372" spans="1:9">
      <c r="A372" s="167">
        <f t="shared" si="3"/>
        <v>2020.03</v>
      </c>
      <c r="B372" s="883">
        <v>43561.2</v>
      </c>
      <c r="C372" s="166"/>
      <c r="D372" s="954"/>
      <c r="E372" s="1869"/>
      <c r="F372" s="3068"/>
      <c r="G372" s="166"/>
      <c r="H372" s="1869"/>
      <c r="I372" s="166"/>
    </row>
    <row r="373" spans="1:9">
      <c r="A373" s="167">
        <f t="shared" si="3"/>
        <v>2020.04</v>
      </c>
      <c r="B373" s="883">
        <v>43568.4</v>
      </c>
      <c r="C373" s="166"/>
      <c r="D373" s="954"/>
      <c r="E373" s="1869"/>
      <c r="F373" s="3068"/>
      <c r="G373" s="166"/>
      <c r="H373" s="1869"/>
      <c r="I373" s="166"/>
    </row>
    <row r="374" spans="1:9">
      <c r="A374" s="167">
        <f t="shared" si="3"/>
        <v>2020.05</v>
      </c>
      <c r="B374" s="883">
        <v>42588.5</v>
      </c>
      <c r="C374" s="166"/>
      <c r="D374" s="954"/>
      <c r="E374" s="1869"/>
      <c r="F374" s="3068"/>
      <c r="G374" s="166"/>
      <c r="H374" s="1869"/>
      <c r="I374" s="166"/>
    </row>
    <row r="375" spans="1:9">
      <c r="A375" s="167">
        <f t="shared" si="3"/>
        <v>2020.06</v>
      </c>
      <c r="B375" s="883">
        <v>43241.5</v>
      </c>
      <c r="C375" s="166"/>
      <c r="D375" s="954"/>
      <c r="E375" s="1869"/>
      <c r="F375" s="3068"/>
      <c r="G375" s="166"/>
      <c r="H375" s="1869"/>
      <c r="I375" s="166"/>
    </row>
    <row r="376" spans="1:9">
      <c r="A376" s="167">
        <f t="shared" si="3"/>
        <v>2020.07</v>
      </c>
      <c r="B376" s="883">
        <v>43386.3</v>
      </c>
      <c r="C376" s="166"/>
      <c r="D376" s="954"/>
      <c r="E376" s="1869"/>
      <c r="F376" s="3068"/>
      <c r="G376" s="166"/>
      <c r="H376" s="1869"/>
      <c r="I376" s="166"/>
    </row>
    <row r="377" spans="1:9">
      <c r="A377" s="167">
        <f t="shared" si="3"/>
        <v>2020.08</v>
      </c>
      <c r="B377" s="883">
        <v>42842.1</v>
      </c>
      <c r="C377" s="166"/>
      <c r="D377" s="954"/>
      <c r="E377" s="1869"/>
      <c r="F377" s="3068"/>
      <c r="G377" s="166"/>
      <c r="H377" s="1869"/>
      <c r="I377" s="166"/>
    </row>
    <row r="378" spans="1:9">
      <c r="A378" s="167">
        <f t="shared" si="3"/>
        <v>2020.09</v>
      </c>
      <c r="B378" s="883">
        <v>41378.800000000003</v>
      </c>
      <c r="C378" s="166"/>
      <c r="D378" s="954"/>
      <c r="E378" s="1869"/>
      <c r="F378" s="3068"/>
      <c r="G378" s="166"/>
      <c r="H378" s="1869"/>
      <c r="I378" s="166"/>
    </row>
    <row r="379" spans="1:9">
      <c r="A379" s="167">
        <f>A367+1</f>
        <v>2020.1</v>
      </c>
      <c r="B379" s="883">
        <v>39856.300000000003</v>
      </c>
      <c r="C379" s="166"/>
      <c r="D379" s="954"/>
      <c r="E379" s="1869"/>
      <c r="F379" s="3068"/>
      <c r="G379" s="166"/>
      <c r="H379" s="1869"/>
      <c r="I379" s="166"/>
    </row>
    <row r="380" spans="1:9">
      <c r="A380" s="167">
        <f>A368+1</f>
        <v>2020.11</v>
      </c>
      <c r="B380" s="883">
        <v>38652</v>
      </c>
      <c r="C380" s="166"/>
      <c r="D380" s="954"/>
      <c r="E380" s="1869"/>
      <c r="F380" s="3068"/>
      <c r="G380" s="166"/>
      <c r="H380" s="1869"/>
      <c r="I380" s="166"/>
    </row>
    <row r="381" spans="1:9">
      <c r="A381" s="167">
        <f>A369+1</f>
        <v>2020.12</v>
      </c>
      <c r="B381" s="883">
        <v>39387</v>
      </c>
      <c r="C381" s="166"/>
      <c r="D381" s="954"/>
      <c r="E381" s="1869"/>
      <c r="F381" s="3068"/>
      <c r="G381" s="166"/>
      <c r="H381" s="2492"/>
      <c r="I381" s="166"/>
    </row>
    <row r="382" spans="1:9">
      <c r="A382" s="167">
        <f t="shared" ref="A382:A445" si="4">A370+1</f>
        <v>2021.01</v>
      </c>
      <c r="B382" s="883">
        <v>39515.199999999997</v>
      </c>
      <c r="C382" s="166"/>
      <c r="D382" s="954"/>
      <c r="E382" s="1869"/>
      <c r="F382" s="3068"/>
      <c r="G382" s="166"/>
      <c r="H382" s="1869"/>
      <c r="I382" s="2492"/>
    </row>
    <row r="383" spans="1:9">
      <c r="A383" s="167">
        <f t="shared" si="4"/>
        <v>2021.02</v>
      </c>
      <c r="B383" s="883">
        <v>39518.1</v>
      </c>
      <c r="C383" s="166"/>
      <c r="D383" s="954"/>
      <c r="E383" s="1869"/>
      <c r="F383" s="3068"/>
      <c r="G383" s="166"/>
      <c r="H383" s="1869"/>
      <c r="I383" s="166"/>
    </row>
    <row r="384" spans="1:9">
      <c r="A384" s="167">
        <f t="shared" si="4"/>
        <v>2021.03</v>
      </c>
      <c r="B384" s="883">
        <v>39593.300000000003</v>
      </c>
      <c r="C384" s="166"/>
      <c r="D384" s="954"/>
      <c r="E384" s="1869"/>
      <c r="F384" s="3068"/>
      <c r="G384" s="166"/>
      <c r="H384" s="1869"/>
      <c r="I384" s="166"/>
    </row>
    <row r="385" spans="1:9">
      <c r="A385" s="167">
        <f t="shared" si="4"/>
        <v>2021.04</v>
      </c>
      <c r="B385" s="883">
        <v>40262.800000000003</v>
      </c>
      <c r="C385" s="166"/>
      <c r="D385" s="954"/>
      <c r="E385" s="1869"/>
      <c r="F385" s="3068"/>
      <c r="G385" s="166"/>
      <c r="H385" s="1869"/>
      <c r="I385" s="166"/>
    </row>
    <row r="386" spans="1:9">
      <c r="A386" s="167">
        <f t="shared" si="4"/>
        <v>2021.05</v>
      </c>
      <c r="B386" s="883">
        <v>41871.800000000003</v>
      </c>
      <c r="C386" s="166"/>
      <c r="D386" s="954"/>
      <c r="E386" s="1869"/>
      <c r="F386" s="3068"/>
      <c r="G386" s="166"/>
      <c r="H386" s="1869"/>
      <c r="I386" s="166"/>
    </row>
    <row r="387" spans="1:9">
      <c r="A387" s="167">
        <f t="shared" si="4"/>
        <v>2021.06</v>
      </c>
      <c r="B387" s="883">
        <v>42436.9</v>
      </c>
      <c r="C387" s="166"/>
      <c r="D387" s="954"/>
      <c r="E387" s="1869"/>
      <c r="F387" s="3068"/>
      <c r="G387" s="166"/>
      <c r="H387" s="1869"/>
      <c r="I387" s="166"/>
    </row>
    <row r="388" spans="1:9">
      <c r="A388" s="167">
        <f t="shared" si="4"/>
        <v>2021.07</v>
      </c>
      <c r="B388" s="883">
        <v>42581.7</v>
      </c>
      <c r="C388" s="166"/>
      <c r="D388" s="954"/>
      <c r="E388" s="1869"/>
      <c r="F388" s="3068"/>
      <c r="G388" s="166"/>
      <c r="H388" s="1869"/>
      <c r="I388" s="166"/>
    </row>
    <row r="389" spans="1:9">
      <c r="A389" s="167">
        <f t="shared" si="4"/>
        <v>2021.08</v>
      </c>
      <c r="B389" s="883">
        <v>46180.3</v>
      </c>
      <c r="C389" s="166"/>
      <c r="D389" s="954"/>
      <c r="E389" s="1869"/>
      <c r="F389" s="3068"/>
      <c r="G389" s="166"/>
      <c r="H389" s="1869"/>
      <c r="I389" s="166"/>
    </row>
    <row r="390" spans="1:9">
      <c r="A390" s="167">
        <f t="shared" si="4"/>
        <v>2021.09</v>
      </c>
      <c r="B390" s="883">
        <v>42911.199999999997</v>
      </c>
      <c r="C390" s="166"/>
      <c r="D390" s="954"/>
      <c r="E390" s="1869"/>
      <c r="F390" s="3068"/>
      <c r="G390" s="166"/>
      <c r="H390" s="1869"/>
      <c r="I390" s="166"/>
    </row>
    <row r="391" spans="1:9">
      <c r="A391" s="167">
        <f t="shared" si="4"/>
        <v>2021.1</v>
      </c>
      <c r="B391" s="883">
        <v>42817.1</v>
      </c>
      <c r="C391" s="166"/>
      <c r="D391" s="954"/>
      <c r="E391" s="1869"/>
      <c r="F391" s="3068"/>
      <c r="G391" s="166"/>
      <c r="H391" s="1869"/>
      <c r="I391" s="166"/>
    </row>
    <row r="392" spans="1:9">
      <c r="A392" s="167">
        <f t="shared" si="4"/>
        <v>2021.11</v>
      </c>
      <c r="B392" s="883">
        <v>41529.5</v>
      </c>
      <c r="C392" s="166"/>
      <c r="D392" s="954"/>
      <c r="E392" s="1869"/>
      <c r="F392" s="3068"/>
      <c r="G392" s="166"/>
      <c r="H392" s="1869"/>
      <c r="I392" s="166"/>
    </row>
    <row r="393" spans="1:9">
      <c r="A393" s="167">
        <f t="shared" si="4"/>
        <v>2021.12</v>
      </c>
      <c r="B393" s="883">
        <v>39662.400000000001</v>
      </c>
      <c r="C393" s="166"/>
      <c r="D393" s="954"/>
      <c r="E393" s="1869"/>
      <c r="F393" s="3068"/>
      <c r="G393" s="166"/>
      <c r="H393" s="2492"/>
      <c r="I393" s="166"/>
    </row>
    <row r="394" spans="1:9">
      <c r="A394" s="167">
        <f t="shared" si="4"/>
        <v>2022.01</v>
      </c>
      <c r="B394" s="883">
        <v>37589</v>
      </c>
      <c r="C394" s="166"/>
      <c r="D394" s="954"/>
      <c r="E394" s="1869"/>
      <c r="F394" s="3068"/>
      <c r="G394" s="166"/>
      <c r="H394" s="1869"/>
      <c r="I394" s="2492"/>
    </row>
    <row r="395" spans="1:9">
      <c r="A395" s="167">
        <f t="shared" si="4"/>
        <v>2022.02</v>
      </c>
      <c r="B395" s="883">
        <v>37017.5</v>
      </c>
      <c r="C395" s="166"/>
      <c r="D395" s="954"/>
      <c r="E395" s="1869"/>
      <c r="F395" s="3068"/>
      <c r="G395" s="166"/>
      <c r="H395" s="1869"/>
      <c r="I395" s="166"/>
    </row>
    <row r="396" spans="1:9">
      <c r="A396" s="167">
        <f t="shared" si="4"/>
        <v>2022.03</v>
      </c>
      <c r="B396" s="883">
        <v>43137.4</v>
      </c>
      <c r="C396" s="166"/>
      <c r="D396" s="954"/>
      <c r="E396" s="1869"/>
      <c r="F396" s="3068"/>
      <c r="G396" s="166"/>
      <c r="H396" s="1869"/>
      <c r="I396" s="166"/>
    </row>
    <row r="397" spans="1:9">
      <c r="A397" s="167">
        <f t="shared" si="4"/>
        <v>2022.04</v>
      </c>
      <c r="B397" s="883">
        <v>42006.6</v>
      </c>
      <c r="C397" s="166"/>
      <c r="D397" s="954"/>
      <c r="E397" s="1869"/>
      <c r="F397" s="3068"/>
      <c r="G397" s="166"/>
      <c r="H397" s="1869"/>
      <c r="I397" s="166"/>
    </row>
    <row r="398" spans="1:9">
      <c r="A398" s="167">
        <f t="shared" si="4"/>
        <v>2022.05</v>
      </c>
      <c r="B398" s="883">
        <v>41561.1</v>
      </c>
      <c r="C398" s="166"/>
      <c r="D398" s="954"/>
      <c r="E398" s="1869"/>
      <c r="F398" s="3068"/>
      <c r="G398" s="166"/>
      <c r="H398" s="1869"/>
      <c r="I398" s="166"/>
    </row>
    <row r="399" spans="1:9">
      <c r="A399" s="167">
        <f t="shared" si="4"/>
        <v>2022.06</v>
      </c>
      <c r="B399" s="883">
        <v>42786.8</v>
      </c>
      <c r="C399" s="166"/>
      <c r="D399" s="954"/>
      <c r="E399" s="1869"/>
      <c r="F399" s="3068"/>
      <c r="G399" s="166"/>
      <c r="H399" s="1869"/>
      <c r="I399" s="166"/>
    </row>
    <row r="400" spans="1:9">
      <c r="A400" s="167">
        <f t="shared" si="4"/>
        <v>2022.07</v>
      </c>
      <c r="B400" s="883">
        <v>38231.699999999997</v>
      </c>
      <c r="C400" s="166"/>
      <c r="D400" s="954"/>
      <c r="E400" s="1869"/>
      <c r="F400" s="3068"/>
      <c r="G400" s="166"/>
      <c r="H400" s="1869"/>
      <c r="I400" s="166"/>
    </row>
    <row r="401" spans="1:9">
      <c r="A401" s="167">
        <f t="shared" si="4"/>
        <v>2022.08</v>
      </c>
      <c r="B401" s="883">
        <v>36734.400000000001</v>
      </c>
      <c r="C401" s="166"/>
      <c r="D401" s="954"/>
      <c r="E401" s="1869"/>
      <c r="F401" s="3068"/>
      <c r="G401" s="166"/>
      <c r="H401" s="1869"/>
      <c r="I401" s="166"/>
    </row>
    <row r="402" spans="1:9">
      <c r="A402" s="167">
        <f t="shared" si="4"/>
        <v>2022.09</v>
      </c>
      <c r="B402" s="883">
        <v>37625</v>
      </c>
      <c r="C402" s="166"/>
      <c r="D402" s="954"/>
      <c r="E402" s="1869"/>
      <c r="F402" s="3068"/>
      <c r="G402" s="166"/>
      <c r="H402" s="1869"/>
      <c r="I402" s="166"/>
    </row>
    <row r="403" spans="1:9">
      <c r="A403" s="167">
        <f t="shared" si="4"/>
        <v>2022.1</v>
      </c>
      <c r="B403" s="883">
        <v>38675.9</v>
      </c>
      <c r="C403" s="166"/>
      <c r="D403" s="954"/>
      <c r="E403" s="1869"/>
      <c r="F403" s="3068"/>
      <c r="G403" s="166"/>
      <c r="H403" s="1869"/>
      <c r="I403" s="166"/>
    </row>
    <row r="404" spans="1:9">
      <c r="A404" s="167">
        <f t="shared" si="4"/>
        <v>2022.11</v>
      </c>
      <c r="B404" s="883">
        <v>38008.9</v>
      </c>
      <c r="C404" s="166"/>
      <c r="D404" s="954"/>
      <c r="E404" s="1869"/>
      <c r="F404" s="3068"/>
      <c r="G404" s="166"/>
      <c r="H404" s="1869"/>
      <c r="I404" s="166"/>
    </row>
    <row r="405" spans="1:9">
      <c r="A405" s="167">
        <f t="shared" si="4"/>
        <v>2022.12</v>
      </c>
      <c r="B405" s="883">
        <v>44598.400000000001</v>
      </c>
      <c r="C405" s="166"/>
      <c r="D405" s="954"/>
      <c r="E405" s="1869"/>
      <c r="F405" s="3068"/>
      <c r="G405" s="166"/>
      <c r="H405" s="2492"/>
      <c r="I405" s="166"/>
    </row>
    <row r="406" spans="1:9">
      <c r="A406" s="167">
        <f t="shared" si="4"/>
        <v>2023.01</v>
      </c>
      <c r="B406" s="883">
        <v>41417</v>
      </c>
      <c r="C406" s="166"/>
      <c r="D406" s="954"/>
      <c r="E406" s="1869"/>
      <c r="F406" s="3068"/>
      <c r="G406" s="166"/>
      <c r="H406" s="1869"/>
      <c r="I406" s="2492"/>
    </row>
    <row r="407" spans="1:9">
      <c r="A407" s="167">
        <f t="shared" si="4"/>
        <v>2023.02</v>
      </c>
      <c r="B407" s="883">
        <v>38709</v>
      </c>
      <c r="C407" s="166"/>
      <c r="D407" s="954"/>
      <c r="E407" s="1869"/>
      <c r="F407" s="3068"/>
      <c r="G407" s="166"/>
      <c r="H407" s="1869"/>
      <c r="I407" s="166"/>
    </row>
    <row r="408" spans="1:9">
      <c r="A408" s="167">
        <f t="shared" si="4"/>
        <v>2023.03</v>
      </c>
      <c r="B408" s="883">
        <v>39060</v>
      </c>
      <c r="C408" s="166"/>
      <c r="D408" s="954"/>
      <c r="E408" s="1869"/>
      <c r="F408" s="3068"/>
      <c r="G408" s="166"/>
      <c r="H408" s="1869"/>
      <c r="I408" s="166"/>
    </row>
    <row r="409" spans="1:9">
      <c r="A409" s="167">
        <f t="shared" si="4"/>
        <v>2023.04</v>
      </c>
      <c r="B409" s="883">
        <v>35001</v>
      </c>
      <c r="C409" s="166"/>
      <c r="D409" s="954"/>
      <c r="E409" s="1869"/>
      <c r="F409" s="3068"/>
      <c r="G409" s="166"/>
      <c r="H409" s="1869"/>
      <c r="I409" s="166"/>
    </row>
    <row r="410" spans="1:9">
      <c r="A410" s="167">
        <f t="shared" si="4"/>
        <v>2023.05</v>
      </c>
      <c r="B410" s="883">
        <v>33001</v>
      </c>
      <c r="C410" s="166"/>
      <c r="D410" s="954"/>
      <c r="E410" s="1869"/>
      <c r="F410" s="3068"/>
      <c r="G410" s="166"/>
      <c r="H410" s="1869"/>
      <c r="I410" s="166"/>
    </row>
    <row r="411" spans="1:9">
      <c r="A411" s="167">
        <f t="shared" si="4"/>
        <v>2023.06</v>
      </c>
      <c r="B411" s="883">
        <v>27926</v>
      </c>
      <c r="C411" s="166"/>
      <c r="D411" s="954"/>
      <c r="E411" s="1869"/>
      <c r="F411" s="3068"/>
      <c r="G411" s="166"/>
      <c r="H411" s="1869"/>
      <c r="I411" s="166"/>
    </row>
    <row r="412" spans="1:9">
      <c r="A412" s="167">
        <f t="shared" si="4"/>
        <v>2023.07</v>
      </c>
      <c r="B412" s="883">
        <v>24092</v>
      </c>
      <c r="C412" s="166"/>
      <c r="D412" s="954"/>
      <c r="E412" s="1869"/>
      <c r="F412" s="3068"/>
      <c r="G412" s="166"/>
      <c r="H412" s="1869"/>
      <c r="I412" s="166"/>
    </row>
    <row r="413" spans="1:9">
      <c r="A413" s="167">
        <f t="shared" si="4"/>
        <v>2023.08</v>
      </c>
      <c r="B413" s="883">
        <v>27818</v>
      </c>
      <c r="C413" s="166"/>
      <c r="D413" s="954"/>
      <c r="E413" s="1869"/>
      <c r="F413" s="3068"/>
      <c r="G413" s="166"/>
      <c r="H413" s="1869"/>
      <c r="I413" s="166"/>
    </row>
    <row r="414" spans="1:9">
      <c r="A414" s="167">
        <f t="shared" si="4"/>
        <v>2023.09</v>
      </c>
      <c r="B414" s="883">
        <v>26925</v>
      </c>
      <c r="C414" s="166"/>
      <c r="D414" s="954"/>
      <c r="E414" s="1869"/>
      <c r="F414" s="3068"/>
      <c r="G414" s="166"/>
      <c r="H414" s="1869"/>
      <c r="I414" s="166"/>
    </row>
    <row r="415" spans="1:9">
      <c r="A415" s="167">
        <f t="shared" si="4"/>
        <v>2023.1</v>
      </c>
      <c r="B415" s="883">
        <v>22559</v>
      </c>
      <c r="C415" s="166"/>
      <c r="D415" s="954"/>
      <c r="E415" s="1869"/>
      <c r="F415" s="3068"/>
      <c r="G415" s="166"/>
      <c r="H415" s="1869"/>
      <c r="I415" s="166"/>
    </row>
    <row r="416" spans="1:9">
      <c r="A416" s="167">
        <f t="shared" si="4"/>
        <v>2023.11</v>
      </c>
      <c r="B416" s="883">
        <v>21513</v>
      </c>
      <c r="C416" s="166"/>
      <c r="D416" s="954"/>
      <c r="E416" s="1869"/>
      <c r="F416" s="3068"/>
      <c r="G416" s="166"/>
      <c r="H416" s="1869"/>
      <c r="I416" s="166"/>
    </row>
    <row r="417" spans="1:9">
      <c r="A417" s="167">
        <f t="shared" si="4"/>
        <v>2023.12</v>
      </c>
      <c r="B417" s="883">
        <v>23073</v>
      </c>
      <c r="C417" s="166"/>
      <c r="D417" s="954"/>
      <c r="E417" s="1869"/>
      <c r="F417" s="3068"/>
      <c r="G417" s="166"/>
      <c r="H417" s="2492"/>
      <c r="I417" s="166"/>
    </row>
    <row r="418" spans="1:9">
      <c r="A418" s="167">
        <f t="shared" si="4"/>
        <v>2024.01</v>
      </c>
      <c r="B418" s="883">
        <v>27642</v>
      </c>
      <c r="C418" s="166"/>
      <c r="D418" s="954"/>
      <c r="E418" s="1869"/>
      <c r="F418" s="3068"/>
      <c r="G418" s="166"/>
      <c r="H418" s="1869"/>
      <c r="I418" s="2492"/>
    </row>
    <row r="419" spans="1:9">
      <c r="A419" s="167">
        <f t="shared" si="4"/>
        <v>2024.02</v>
      </c>
      <c r="B419" s="883">
        <v>26690</v>
      </c>
      <c r="C419" s="166"/>
      <c r="D419" s="954"/>
      <c r="E419" s="1869"/>
      <c r="F419" s="3068"/>
      <c r="G419" s="166"/>
      <c r="H419" s="1869"/>
      <c r="I419" s="166"/>
    </row>
    <row r="420" spans="1:9">
      <c r="A420" s="167">
        <f t="shared" si="4"/>
        <v>2024.03</v>
      </c>
      <c r="B420" s="883">
        <v>27127</v>
      </c>
      <c r="C420" s="166"/>
      <c r="D420" s="954"/>
      <c r="E420" s="1869"/>
      <c r="F420" s="3068"/>
      <c r="G420" s="166"/>
      <c r="H420" s="1869"/>
      <c r="I420" s="166"/>
    </row>
    <row r="421" spans="1:9">
      <c r="A421" s="167">
        <f t="shared" si="4"/>
        <v>2024.04</v>
      </c>
      <c r="B421" s="883">
        <v>27578</v>
      </c>
      <c r="C421" s="166"/>
      <c r="D421" s="954"/>
      <c r="E421" s="1869"/>
      <c r="F421" s="3068"/>
      <c r="G421" s="166"/>
      <c r="H421" s="1869"/>
      <c r="I421" s="166"/>
    </row>
    <row r="422" spans="1:9">
      <c r="A422" s="167">
        <f t="shared" si="4"/>
        <v>2024.05</v>
      </c>
      <c r="B422" s="883">
        <v>28664</v>
      </c>
      <c r="C422" s="166"/>
      <c r="D422" s="954"/>
      <c r="E422" s="1869"/>
      <c r="F422" s="1840"/>
      <c r="G422" s="166"/>
      <c r="H422" s="1869"/>
      <c r="I422" s="166"/>
    </row>
    <row r="423" spans="1:9">
      <c r="A423" s="167">
        <f t="shared" si="4"/>
        <v>2024.06</v>
      </c>
      <c r="B423" s="883">
        <v>29022</v>
      </c>
      <c r="C423" s="166"/>
      <c r="D423" s="954"/>
      <c r="E423" s="1869"/>
      <c r="F423" s="1840"/>
      <c r="G423" s="166"/>
      <c r="H423" s="1869"/>
      <c r="I423" s="166"/>
    </row>
    <row r="424" spans="1:9">
      <c r="A424" s="167">
        <f t="shared" si="4"/>
        <v>2024.07</v>
      </c>
      <c r="B424" s="883">
        <v>26402</v>
      </c>
      <c r="C424" s="166"/>
      <c r="D424" s="954"/>
      <c r="E424" s="1869"/>
      <c r="F424" s="1840"/>
      <c r="G424" s="166"/>
      <c r="H424" s="1869"/>
      <c r="I424" s="166"/>
    </row>
    <row r="425" spans="1:9">
      <c r="A425" s="167">
        <f t="shared" si="4"/>
        <v>2024.08</v>
      </c>
      <c r="B425" s="883">
        <v>26719</v>
      </c>
      <c r="C425" s="166"/>
      <c r="D425" s="954"/>
      <c r="E425" s="1869"/>
      <c r="F425" s="1840"/>
      <c r="G425" s="166"/>
      <c r="H425" s="1869"/>
      <c r="I425" s="166"/>
    </row>
    <row r="426" spans="1:9">
      <c r="A426" s="167">
        <f t="shared" si="4"/>
        <v>2024.09</v>
      </c>
      <c r="B426" s="883">
        <v>27172</v>
      </c>
      <c r="C426" s="166"/>
      <c r="D426" s="954"/>
      <c r="E426" s="1869"/>
      <c r="F426" s="1840"/>
      <c r="G426" s="166"/>
      <c r="H426" s="1869"/>
      <c r="I426" s="166"/>
    </row>
    <row r="427" spans="1:9">
      <c r="A427" s="167">
        <f t="shared" si="4"/>
        <v>2024.1</v>
      </c>
      <c r="B427" s="883">
        <v>28618</v>
      </c>
      <c r="C427" s="166"/>
      <c r="D427" s="954"/>
      <c r="E427" s="1869"/>
      <c r="F427" s="1840"/>
      <c r="G427" s="166"/>
      <c r="H427" s="1869"/>
      <c r="I427" s="166"/>
    </row>
    <row r="428" spans="1:9">
      <c r="A428" s="167">
        <f t="shared" si="4"/>
        <v>2024.11</v>
      </c>
      <c r="B428" s="883">
        <v>30214</v>
      </c>
      <c r="C428" s="166"/>
      <c r="D428" s="954"/>
      <c r="E428" s="1869"/>
      <c r="F428" s="1840"/>
      <c r="G428" s="166"/>
      <c r="H428" s="1869"/>
      <c r="I428" s="166"/>
    </row>
    <row r="429" spans="1:9">
      <c r="A429" s="167">
        <f t="shared" si="4"/>
        <v>2024.12</v>
      </c>
      <c r="B429" s="883">
        <v>29612</v>
      </c>
      <c r="C429" s="166"/>
      <c r="D429" s="141"/>
      <c r="E429" s="141"/>
      <c r="F429" s="954"/>
      <c r="G429" s="166"/>
      <c r="H429" s="2492"/>
      <c r="I429" s="166"/>
    </row>
    <row r="430" spans="1:9">
      <c r="A430" s="167">
        <f t="shared" si="4"/>
        <v>2025.01</v>
      </c>
      <c r="B430" s="883">
        <v>28310</v>
      </c>
      <c r="C430" s="166"/>
      <c r="D430" s="166"/>
      <c r="E430" s="166"/>
      <c r="F430" s="1840"/>
      <c r="G430" s="166"/>
      <c r="H430" s="1869"/>
      <c r="I430" s="2492"/>
    </row>
    <row r="431" spans="1:9">
      <c r="A431" s="167">
        <f t="shared" si="4"/>
        <v>2025.02</v>
      </c>
      <c r="B431" s="883">
        <v>28117</v>
      </c>
      <c r="C431" s="166"/>
      <c r="D431" s="166"/>
      <c r="E431" s="166"/>
      <c r="F431" s="1840"/>
      <c r="G431" s="166"/>
      <c r="H431" s="1869"/>
      <c r="I431" s="166"/>
    </row>
    <row r="432" spans="1:9">
      <c r="A432" s="167">
        <f t="shared" si="4"/>
        <v>2025.03</v>
      </c>
      <c r="B432" s="883">
        <v>24986</v>
      </c>
      <c r="C432" s="166"/>
      <c r="D432" s="166"/>
      <c r="E432" s="166"/>
      <c r="F432" s="1840"/>
      <c r="G432" s="166"/>
      <c r="H432" s="1869"/>
      <c r="I432" s="166"/>
    </row>
    <row r="433" spans="1:9">
      <c r="A433" s="167">
        <f t="shared" si="4"/>
        <v>2025.04</v>
      </c>
      <c r="B433" s="883">
        <v>39291</v>
      </c>
      <c r="C433" s="166"/>
      <c r="D433" s="166"/>
      <c r="E433" s="166"/>
      <c r="F433" s="1840"/>
      <c r="G433" s="166"/>
      <c r="H433" s="1869"/>
      <c r="I433" s="166"/>
    </row>
    <row r="434" spans="1:9">
      <c r="A434" s="167">
        <f t="shared" si="4"/>
        <v>2025.05</v>
      </c>
      <c r="B434" s="883">
        <v>36919</v>
      </c>
      <c r="C434" s="166"/>
      <c r="D434" s="166"/>
      <c r="E434" s="166"/>
      <c r="F434" s="1840"/>
      <c r="G434" s="166"/>
      <c r="H434" s="1869"/>
      <c r="I434" s="166"/>
    </row>
    <row r="435" spans="1:9">
      <c r="A435" s="167">
        <f t="shared" si="4"/>
        <v>2025.06</v>
      </c>
      <c r="B435" s="883">
        <v>39973</v>
      </c>
      <c r="C435" s="166"/>
      <c r="D435" s="166"/>
      <c r="E435" s="166"/>
      <c r="F435" s="1840"/>
      <c r="G435" s="166"/>
      <c r="H435" s="1869"/>
      <c r="I435" s="166"/>
    </row>
    <row r="436" spans="1:9">
      <c r="A436" s="167">
        <f t="shared" si="4"/>
        <v>2025.07</v>
      </c>
      <c r="B436" s="883">
        <v>38866</v>
      </c>
      <c r="C436" s="166"/>
      <c r="D436" s="954"/>
      <c r="E436" s="166"/>
      <c r="F436" s="1840"/>
      <c r="G436" s="166"/>
      <c r="H436" s="1869"/>
      <c r="I436" s="166"/>
    </row>
    <row r="437" spans="1:9">
      <c r="A437" s="167">
        <f t="shared" si="4"/>
        <v>2025.08</v>
      </c>
      <c r="B437" s="883">
        <v>39986</v>
      </c>
      <c r="C437" s="166"/>
      <c r="D437" s="954"/>
      <c r="E437" s="166"/>
      <c r="F437" s="1840"/>
      <c r="G437" s="166"/>
      <c r="H437" s="1869"/>
      <c r="I437" s="166"/>
    </row>
    <row r="438" spans="1:9">
      <c r="A438" s="167">
        <f t="shared" si="4"/>
        <v>2025.09</v>
      </c>
      <c r="B438" s="883">
        <v>40374</v>
      </c>
      <c r="C438" s="166"/>
      <c r="D438" s="954"/>
      <c r="E438" s="166"/>
      <c r="F438" s="1840"/>
      <c r="G438" s="166"/>
      <c r="H438" s="1869"/>
      <c r="I438" s="166"/>
    </row>
    <row r="439" spans="1:9">
      <c r="A439" s="167">
        <f t="shared" si="4"/>
        <v>2025.1</v>
      </c>
      <c r="B439" s="883">
        <v>39382</v>
      </c>
      <c r="C439" s="166"/>
      <c r="D439" s="954"/>
      <c r="E439" s="166"/>
      <c r="F439" s="166"/>
      <c r="G439" s="166"/>
      <c r="H439" s="1869"/>
      <c r="I439" s="166"/>
    </row>
    <row r="440" spans="1:9">
      <c r="A440" s="167">
        <f t="shared" si="4"/>
        <v>2025.11</v>
      </c>
      <c r="B440" s="883">
        <v>40335</v>
      </c>
      <c r="C440" s="954"/>
      <c r="D440" s="954"/>
      <c r="E440" s="166"/>
      <c r="F440" s="166"/>
      <c r="G440" s="166"/>
      <c r="H440" s="1869"/>
      <c r="I440" s="166"/>
    </row>
    <row r="441" spans="1:9">
      <c r="A441" s="167">
        <f t="shared" si="4"/>
        <v>2025.12</v>
      </c>
      <c r="B441" s="883">
        <v>41894</v>
      </c>
      <c r="C441" s="954"/>
      <c r="D441" s="141"/>
      <c r="E441" s="141"/>
      <c r="F441" s="954"/>
      <c r="G441" s="166"/>
      <c r="H441" s="2492"/>
      <c r="I441" s="166"/>
    </row>
    <row r="442" spans="1:9">
      <c r="A442" s="167">
        <f t="shared" si="4"/>
        <v>2026.01</v>
      </c>
      <c r="B442" s="883">
        <v>44503</v>
      </c>
      <c r="C442" s="166"/>
      <c r="D442" s="829"/>
      <c r="E442" s="829"/>
      <c r="F442" s="829"/>
      <c r="G442" s="166"/>
      <c r="H442" s="1869"/>
      <c r="I442" s="2492"/>
    </row>
    <row r="443" spans="1:9">
      <c r="A443" s="167">
        <f t="shared" si="4"/>
        <v>2026.02</v>
      </c>
      <c r="B443" s="883">
        <v>45566</v>
      </c>
      <c r="C443" s="166"/>
      <c r="D443" s="954"/>
      <c r="E443" s="166"/>
      <c r="F443" s="166"/>
      <c r="G443" s="166"/>
      <c r="H443" s="1869"/>
      <c r="I443" s="166"/>
    </row>
    <row r="444" spans="1:9">
      <c r="A444" s="167">
        <f t="shared" si="4"/>
        <v>2026.03</v>
      </c>
      <c r="B444" s="883" t="e">
        <v>#N/A</v>
      </c>
      <c r="C444" s="166"/>
      <c r="D444" s="954"/>
      <c r="E444" s="166"/>
      <c r="F444" s="166"/>
      <c r="G444" s="166"/>
      <c r="H444" s="1869"/>
      <c r="I444" s="166"/>
    </row>
    <row r="445" spans="1:9">
      <c r="A445" s="167">
        <f t="shared" si="4"/>
        <v>2026.04</v>
      </c>
      <c r="B445" s="883" t="e">
        <v>#N/A</v>
      </c>
      <c r="C445" s="166"/>
      <c r="D445" s="954"/>
      <c r="E445" s="166"/>
      <c r="F445" s="166"/>
      <c r="G445" s="166"/>
      <c r="H445" s="1869"/>
      <c r="I445" s="166"/>
    </row>
    <row r="446" spans="1:9">
      <c r="A446" s="167">
        <f t="shared" ref="A446:A501" si="5">A434+1</f>
        <v>2026.05</v>
      </c>
      <c r="B446" s="883" t="e">
        <v>#N/A</v>
      </c>
      <c r="C446" s="166"/>
      <c r="D446" s="954"/>
      <c r="E446" s="166"/>
      <c r="F446" s="166"/>
      <c r="G446" s="166"/>
      <c r="H446" s="1869"/>
      <c r="I446" s="166"/>
    </row>
    <row r="447" spans="1:9">
      <c r="A447" s="167">
        <f t="shared" si="5"/>
        <v>2026.06</v>
      </c>
      <c r="B447" s="883" t="e">
        <v>#N/A</v>
      </c>
      <c r="C447" s="166"/>
      <c r="D447" s="166"/>
      <c r="E447" s="166"/>
      <c r="F447" s="166"/>
      <c r="G447" s="166"/>
      <c r="H447" s="1869"/>
      <c r="I447" s="166"/>
    </row>
    <row r="448" spans="1:9">
      <c r="A448" s="167">
        <f t="shared" si="5"/>
        <v>2026.07</v>
      </c>
      <c r="B448" s="883" t="e">
        <v>#N/A</v>
      </c>
      <c r="C448" s="166"/>
      <c r="D448" s="166"/>
      <c r="E448" s="166"/>
      <c r="F448" s="166"/>
      <c r="G448" s="166"/>
      <c r="H448" s="1869"/>
      <c r="I448" s="166"/>
    </row>
    <row r="449" spans="1:9">
      <c r="A449" s="167">
        <f t="shared" si="5"/>
        <v>2026.08</v>
      </c>
      <c r="B449" s="883" t="e">
        <v>#N/A</v>
      </c>
      <c r="C449" s="166"/>
      <c r="D449" s="166"/>
      <c r="E449" s="166"/>
      <c r="F449" s="166"/>
      <c r="G449" s="166"/>
      <c r="H449" s="1869"/>
      <c r="I449" s="166"/>
    </row>
    <row r="450" spans="1:9">
      <c r="A450" s="167">
        <f t="shared" si="5"/>
        <v>2026.09</v>
      </c>
      <c r="B450" s="883" t="e">
        <v>#N/A</v>
      </c>
      <c r="C450" s="166"/>
      <c r="D450" s="166"/>
      <c r="E450" s="166"/>
      <c r="F450" s="166"/>
      <c r="G450" s="166"/>
      <c r="H450" s="1869"/>
      <c r="I450" s="166"/>
    </row>
    <row r="451" spans="1:9">
      <c r="A451" s="167">
        <f t="shared" si="5"/>
        <v>2026.1</v>
      </c>
      <c r="B451" s="883" t="e">
        <v>#N/A</v>
      </c>
      <c r="C451" s="166"/>
      <c r="D451" s="166"/>
      <c r="E451" s="166"/>
      <c r="F451" s="166"/>
      <c r="G451" s="166"/>
      <c r="H451" s="1869"/>
      <c r="I451" s="166"/>
    </row>
    <row r="452" spans="1:9">
      <c r="A452" s="167">
        <f t="shared" si="5"/>
        <v>2026.11</v>
      </c>
      <c r="B452" s="883" t="e">
        <v>#N/A</v>
      </c>
      <c r="C452" s="166"/>
      <c r="D452" s="166"/>
      <c r="E452" s="166"/>
      <c r="F452" s="166"/>
      <c r="G452" s="166"/>
      <c r="H452" s="1869"/>
      <c r="I452" s="166"/>
    </row>
    <row r="453" spans="1:9">
      <c r="A453" s="167">
        <f t="shared" si="5"/>
        <v>2026.12</v>
      </c>
      <c r="B453" s="883" t="e">
        <v>#N/A</v>
      </c>
      <c r="C453" s="166"/>
      <c r="D453" s="166"/>
      <c r="E453" s="166"/>
      <c r="F453" s="166"/>
      <c r="G453" s="166"/>
      <c r="H453" s="2492"/>
      <c r="I453" s="166"/>
    </row>
    <row r="454" spans="1:9">
      <c r="A454" s="167">
        <f t="shared" si="5"/>
        <v>2027.01</v>
      </c>
      <c r="B454" s="883" t="e">
        <v>#N/A</v>
      </c>
      <c r="C454" s="166"/>
      <c r="D454" s="166"/>
      <c r="E454" s="166"/>
      <c r="F454" s="166"/>
      <c r="G454" s="166"/>
      <c r="H454" s="1869"/>
      <c r="I454" s="2492"/>
    </row>
    <row r="455" spans="1:9">
      <c r="A455" s="167">
        <f t="shared" si="5"/>
        <v>2027.02</v>
      </c>
      <c r="B455" s="883" t="e">
        <v>#N/A</v>
      </c>
      <c r="C455" s="166"/>
      <c r="D455" s="166"/>
      <c r="E455" s="166"/>
      <c r="F455" s="166"/>
      <c r="G455" s="166"/>
      <c r="H455" s="1869"/>
      <c r="I455" s="166"/>
    </row>
    <row r="456" spans="1:9">
      <c r="A456" s="167">
        <f t="shared" si="5"/>
        <v>2027.03</v>
      </c>
      <c r="B456" s="883" t="e">
        <v>#N/A</v>
      </c>
      <c r="C456" s="166"/>
      <c r="D456" s="166"/>
      <c r="E456" s="166"/>
      <c r="F456" s="166"/>
      <c r="G456" s="166"/>
      <c r="H456" s="1869"/>
      <c r="I456" s="166"/>
    </row>
    <row r="457" spans="1:9">
      <c r="A457" s="167">
        <f t="shared" si="5"/>
        <v>2027.04</v>
      </c>
      <c r="B457" s="883" t="e">
        <v>#N/A</v>
      </c>
      <c r="C457" s="166"/>
      <c r="D457" s="166"/>
      <c r="E457" s="166"/>
      <c r="F457" s="166"/>
      <c r="G457" s="166"/>
      <c r="H457" s="1869"/>
      <c r="I457" s="166"/>
    </row>
    <row r="458" spans="1:9">
      <c r="A458" s="167">
        <f t="shared" si="5"/>
        <v>2027.05</v>
      </c>
      <c r="B458" s="883" t="e">
        <v>#N/A</v>
      </c>
      <c r="C458" s="166"/>
      <c r="D458" s="166"/>
      <c r="E458" s="166"/>
      <c r="F458" s="166"/>
      <c r="G458" s="166"/>
      <c r="H458" s="1869"/>
      <c r="I458" s="166"/>
    </row>
    <row r="459" spans="1:9">
      <c r="A459" s="167">
        <f t="shared" si="5"/>
        <v>2027.06</v>
      </c>
      <c r="B459" s="883" t="e">
        <v>#N/A</v>
      </c>
      <c r="C459" s="166"/>
      <c r="D459" s="166"/>
      <c r="E459" s="166"/>
      <c r="F459" s="166"/>
      <c r="G459" s="166"/>
      <c r="H459" s="1869"/>
      <c r="I459" s="166"/>
    </row>
    <row r="460" spans="1:9">
      <c r="A460" s="167">
        <f t="shared" si="5"/>
        <v>2027.07</v>
      </c>
      <c r="B460" s="883" t="e">
        <v>#N/A</v>
      </c>
      <c r="C460" s="166"/>
      <c r="D460" s="166"/>
      <c r="E460" s="166"/>
      <c r="F460" s="166"/>
      <c r="G460" s="166"/>
      <c r="H460" s="1869"/>
      <c r="I460" s="166"/>
    </row>
    <row r="461" spans="1:9">
      <c r="A461" s="167">
        <f t="shared" si="5"/>
        <v>2027.08</v>
      </c>
      <c r="B461" s="883" t="e">
        <v>#N/A</v>
      </c>
      <c r="C461" s="166"/>
      <c r="D461" s="166"/>
      <c r="E461" s="166"/>
      <c r="F461" s="166"/>
      <c r="G461" s="166"/>
      <c r="H461" s="1869"/>
      <c r="I461" s="166"/>
    </row>
    <row r="462" spans="1:9">
      <c r="A462" s="167">
        <f t="shared" si="5"/>
        <v>2027.09</v>
      </c>
      <c r="B462" s="883" t="e">
        <v>#N/A</v>
      </c>
      <c r="C462" s="166"/>
      <c r="D462" s="166"/>
      <c r="E462" s="166"/>
      <c r="F462" s="166"/>
      <c r="G462" s="166"/>
      <c r="H462" s="1869"/>
      <c r="I462" s="166"/>
    </row>
    <row r="463" spans="1:9">
      <c r="A463" s="167">
        <f t="shared" si="5"/>
        <v>2027.1</v>
      </c>
      <c r="B463" s="883" t="e">
        <v>#N/A</v>
      </c>
      <c r="C463" s="166"/>
      <c r="D463" s="166"/>
      <c r="E463" s="166"/>
      <c r="F463" s="166"/>
      <c r="G463" s="166"/>
      <c r="H463" s="1869"/>
      <c r="I463" s="166"/>
    </row>
    <row r="464" spans="1:9">
      <c r="A464" s="167">
        <f t="shared" si="5"/>
        <v>2027.11</v>
      </c>
      <c r="B464" s="883" t="e">
        <v>#N/A</v>
      </c>
      <c r="C464" s="166"/>
      <c r="D464" s="166"/>
      <c r="E464" s="166"/>
      <c r="F464" s="166"/>
      <c r="G464" s="166"/>
      <c r="H464" s="1869"/>
      <c r="I464" s="166"/>
    </row>
    <row r="465" spans="1:9">
      <c r="A465" s="167">
        <f t="shared" si="5"/>
        <v>2027.12</v>
      </c>
      <c r="B465" s="883" t="e">
        <v>#N/A</v>
      </c>
      <c r="C465" s="166"/>
      <c r="D465" s="166"/>
      <c r="E465" s="166"/>
      <c r="F465" s="166"/>
      <c r="G465" s="166"/>
      <c r="H465" s="2492"/>
      <c r="I465" s="166"/>
    </row>
    <row r="466" spans="1:9">
      <c r="A466" s="167">
        <f t="shared" si="5"/>
        <v>2028.01</v>
      </c>
      <c r="B466" s="883" t="e">
        <v>#N/A</v>
      </c>
      <c r="C466" s="166"/>
      <c r="D466" s="166"/>
      <c r="E466" s="166"/>
      <c r="F466" s="166"/>
      <c r="G466" s="166"/>
      <c r="H466" s="1869"/>
      <c r="I466" s="2492"/>
    </row>
    <row r="467" spans="1:9">
      <c r="A467" s="167">
        <f t="shared" si="5"/>
        <v>2028.02</v>
      </c>
      <c r="B467" s="883" t="e">
        <v>#N/A</v>
      </c>
      <c r="C467" s="166"/>
      <c r="D467" s="166"/>
      <c r="E467" s="166"/>
      <c r="F467" s="166"/>
      <c r="G467" s="166"/>
      <c r="H467" s="1869"/>
      <c r="I467" s="166"/>
    </row>
    <row r="468" spans="1:9">
      <c r="A468" s="167">
        <f t="shared" si="5"/>
        <v>2028.03</v>
      </c>
      <c r="B468" s="883" t="e">
        <v>#N/A</v>
      </c>
      <c r="C468" s="166"/>
      <c r="D468" s="166"/>
      <c r="E468" s="166"/>
      <c r="F468" s="166"/>
      <c r="G468" s="166"/>
      <c r="H468" s="1869"/>
      <c r="I468" s="166"/>
    </row>
    <row r="469" spans="1:9">
      <c r="A469" s="167">
        <f t="shared" si="5"/>
        <v>2028.04</v>
      </c>
      <c r="B469" s="883" t="e">
        <v>#N/A</v>
      </c>
      <c r="C469" s="166"/>
      <c r="D469" s="166"/>
      <c r="E469" s="166"/>
      <c r="F469" s="166"/>
      <c r="G469" s="166"/>
      <c r="H469" s="1869"/>
      <c r="I469" s="166"/>
    </row>
    <row r="470" spans="1:9">
      <c r="A470" s="167">
        <f t="shared" si="5"/>
        <v>2028.05</v>
      </c>
      <c r="B470" s="883" t="e">
        <v>#N/A</v>
      </c>
      <c r="C470" s="166"/>
      <c r="D470" s="166"/>
      <c r="E470" s="166"/>
      <c r="F470" s="166"/>
      <c r="G470" s="166"/>
      <c r="H470" s="1869"/>
      <c r="I470" s="166"/>
    </row>
    <row r="471" spans="1:9">
      <c r="A471" s="167">
        <f t="shared" si="5"/>
        <v>2028.06</v>
      </c>
      <c r="B471" s="883" t="e">
        <v>#N/A</v>
      </c>
      <c r="C471" s="166"/>
      <c r="D471" s="166"/>
      <c r="E471" s="166"/>
      <c r="F471" s="166"/>
      <c r="G471" s="166"/>
      <c r="H471" s="1869"/>
      <c r="I471" s="166"/>
    </row>
    <row r="472" spans="1:9">
      <c r="A472" s="167">
        <f t="shared" si="5"/>
        <v>2028.07</v>
      </c>
      <c r="B472" s="883" t="e">
        <v>#N/A</v>
      </c>
      <c r="C472" s="166"/>
      <c r="D472" s="166"/>
      <c r="E472" s="166"/>
      <c r="F472" s="166"/>
      <c r="G472" s="166"/>
      <c r="H472" s="1869"/>
      <c r="I472" s="166"/>
    </row>
    <row r="473" spans="1:9">
      <c r="A473" s="167">
        <f t="shared" si="5"/>
        <v>2028.08</v>
      </c>
      <c r="B473" s="883" t="e">
        <v>#N/A</v>
      </c>
      <c r="C473" s="166"/>
      <c r="D473" s="166"/>
      <c r="E473" s="166"/>
      <c r="F473" s="166"/>
      <c r="G473" s="166"/>
      <c r="H473" s="1869"/>
      <c r="I473" s="166"/>
    </row>
    <row r="474" spans="1:9">
      <c r="A474" s="167">
        <f t="shared" si="5"/>
        <v>2028.09</v>
      </c>
      <c r="B474" s="883" t="e">
        <v>#N/A</v>
      </c>
      <c r="C474" s="166"/>
      <c r="D474" s="166"/>
      <c r="E474" s="166"/>
      <c r="F474" s="166"/>
      <c r="G474" s="166"/>
      <c r="H474" s="1869"/>
      <c r="I474" s="166"/>
    </row>
    <row r="475" spans="1:9">
      <c r="A475" s="167">
        <f t="shared" si="5"/>
        <v>2028.1</v>
      </c>
      <c r="B475" s="883" t="e">
        <v>#N/A</v>
      </c>
      <c r="C475" s="166"/>
      <c r="D475" s="166"/>
      <c r="E475" s="166"/>
      <c r="F475" s="166"/>
      <c r="G475" s="166"/>
      <c r="H475" s="1869"/>
      <c r="I475" s="166"/>
    </row>
    <row r="476" spans="1:9">
      <c r="A476" s="167">
        <f t="shared" si="5"/>
        <v>2028.11</v>
      </c>
      <c r="B476" s="883" t="e">
        <v>#N/A</v>
      </c>
      <c r="C476" s="166"/>
      <c r="D476" s="166"/>
      <c r="E476" s="166"/>
      <c r="F476" s="166"/>
      <c r="G476" s="166"/>
      <c r="H476" s="1869"/>
      <c r="I476" s="166"/>
    </row>
    <row r="477" spans="1:9">
      <c r="A477" s="167">
        <f t="shared" si="5"/>
        <v>2028.12</v>
      </c>
      <c r="B477" s="883" t="e">
        <v>#N/A</v>
      </c>
      <c r="C477" s="166"/>
      <c r="D477" s="166"/>
      <c r="E477" s="166"/>
      <c r="F477" s="166"/>
      <c r="G477" s="166"/>
      <c r="H477" s="2492"/>
      <c r="I477" s="166"/>
    </row>
    <row r="478" spans="1:9">
      <c r="A478" s="167">
        <f t="shared" si="5"/>
        <v>2029.01</v>
      </c>
      <c r="B478" s="883" t="e">
        <v>#N/A</v>
      </c>
      <c r="C478" s="166"/>
      <c r="D478" s="166"/>
      <c r="E478" s="166"/>
      <c r="F478" s="166"/>
      <c r="G478" s="166"/>
      <c r="H478" s="1869"/>
      <c r="I478" s="2492"/>
    </row>
    <row r="479" spans="1:9">
      <c r="A479" s="167">
        <f t="shared" si="5"/>
        <v>2029.02</v>
      </c>
      <c r="B479" s="883" t="e">
        <v>#N/A</v>
      </c>
      <c r="C479" s="166"/>
      <c r="D479" s="166"/>
      <c r="E479" s="166"/>
      <c r="F479" s="166"/>
      <c r="G479" s="166"/>
      <c r="H479" s="1869"/>
      <c r="I479" s="166"/>
    </row>
    <row r="480" spans="1:9">
      <c r="A480" s="167">
        <f t="shared" si="5"/>
        <v>2029.03</v>
      </c>
      <c r="B480" s="883" t="e">
        <v>#N/A</v>
      </c>
      <c r="C480" s="166"/>
      <c r="D480" s="166"/>
      <c r="E480" s="166"/>
      <c r="F480" s="166"/>
      <c r="G480" s="166"/>
      <c r="H480" s="1869"/>
      <c r="I480" s="166"/>
    </row>
    <row r="481" spans="1:9">
      <c r="A481" s="167">
        <f t="shared" si="5"/>
        <v>2029.04</v>
      </c>
      <c r="B481" s="883" t="e">
        <v>#N/A</v>
      </c>
      <c r="C481" s="166"/>
      <c r="D481" s="166"/>
      <c r="E481" s="166"/>
      <c r="F481" s="166"/>
      <c r="G481" s="166"/>
      <c r="H481" s="1869"/>
      <c r="I481" s="166"/>
    </row>
    <row r="482" spans="1:9">
      <c r="A482" s="167">
        <f t="shared" si="5"/>
        <v>2029.05</v>
      </c>
      <c r="B482" s="883" t="e">
        <v>#N/A</v>
      </c>
      <c r="C482" s="166"/>
      <c r="D482" s="166"/>
      <c r="E482" s="166"/>
      <c r="F482" s="166"/>
      <c r="G482" s="166"/>
      <c r="H482" s="1869"/>
      <c r="I482" s="166"/>
    </row>
    <row r="483" spans="1:9">
      <c r="A483" s="167">
        <f t="shared" si="5"/>
        <v>2029.06</v>
      </c>
      <c r="B483" s="883" t="e">
        <v>#N/A</v>
      </c>
      <c r="C483" s="166"/>
      <c r="D483" s="166"/>
      <c r="E483" s="166"/>
      <c r="F483" s="166"/>
      <c r="G483" s="166"/>
      <c r="H483" s="1869"/>
      <c r="I483" s="166"/>
    </row>
    <row r="484" spans="1:9">
      <c r="A484" s="167">
        <f t="shared" si="5"/>
        <v>2029.07</v>
      </c>
      <c r="B484" s="883" t="e">
        <v>#N/A</v>
      </c>
      <c r="C484" s="166"/>
      <c r="D484" s="166"/>
      <c r="E484" s="166"/>
      <c r="F484" s="166"/>
      <c r="G484" s="166"/>
      <c r="H484" s="1869"/>
      <c r="I484" s="166"/>
    </row>
    <row r="485" spans="1:9">
      <c r="A485" s="167">
        <f t="shared" si="5"/>
        <v>2029.08</v>
      </c>
      <c r="B485" s="883" t="e">
        <v>#N/A</v>
      </c>
      <c r="C485" s="166"/>
      <c r="D485" s="166"/>
      <c r="E485" s="166"/>
      <c r="F485" s="166"/>
      <c r="G485" s="166"/>
      <c r="H485" s="1869"/>
      <c r="I485" s="166"/>
    </row>
    <row r="486" spans="1:9">
      <c r="A486" s="167">
        <f t="shared" si="5"/>
        <v>2029.09</v>
      </c>
      <c r="B486" s="883" t="e">
        <v>#N/A</v>
      </c>
      <c r="C486" s="166"/>
      <c r="D486" s="166"/>
      <c r="E486" s="166"/>
      <c r="F486" s="166"/>
      <c r="G486" s="166"/>
      <c r="H486" s="1869"/>
      <c r="I486" s="166"/>
    </row>
    <row r="487" spans="1:9">
      <c r="A487" s="167">
        <f t="shared" si="5"/>
        <v>2029.1</v>
      </c>
      <c r="B487" s="883" t="e">
        <v>#N/A</v>
      </c>
      <c r="C487" s="166"/>
      <c r="D487" s="166"/>
      <c r="E487" s="166"/>
      <c r="F487" s="166"/>
      <c r="G487" s="166"/>
      <c r="H487" s="1869"/>
      <c r="I487" s="166"/>
    </row>
    <row r="488" spans="1:9">
      <c r="A488" s="167">
        <f t="shared" si="5"/>
        <v>2029.11</v>
      </c>
      <c r="B488" s="883" t="e">
        <v>#N/A</v>
      </c>
      <c r="C488" s="166"/>
      <c r="D488" s="166"/>
      <c r="E488" s="166"/>
      <c r="F488" s="166"/>
      <c r="G488" s="166"/>
      <c r="H488" s="1869"/>
      <c r="I488" s="166"/>
    </row>
    <row r="489" spans="1:9">
      <c r="A489" s="167">
        <f t="shared" si="5"/>
        <v>2029.12</v>
      </c>
      <c r="B489" s="883" t="e">
        <v>#N/A</v>
      </c>
      <c r="C489" s="166"/>
      <c r="D489" s="166"/>
      <c r="E489" s="166"/>
      <c r="F489" s="166"/>
      <c r="G489" s="166"/>
      <c r="H489" s="2492"/>
      <c r="I489" s="166"/>
    </row>
    <row r="490" spans="1:9">
      <c r="A490" s="167">
        <f t="shared" si="5"/>
        <v>2030.01</v>
      </c>
      <c r="B490" s="883" t="e">
        <v>#N/A</v>
      </c>
      <c r="C490" s="166"/>
      <c r="D490" s="166"/>
      <c r="E490" s="166"/>
      <c r="F490" s="166"/>
      <c r="G490" s="166"/>
      <c r="H490" s="166"/>
      <c r="I490" s="2492"/>
    </row>
    <row r="491" spans="1:9">
      <c r="A491" s="167">
        <f t="shared" si="5"/>
        <v>2030.02</v>
      </c>
      <c r="B491" s="883" t="e">
        <v>#N/A</v>
      </c>
      <c r="C491" s="166"/>
      <c r="D491" s="166"/>
      <c r="E491" s="166"/>
      <c r="F491" s="166"/>
      <c r="G491" s="166"/>
      <c r="H491" s="166"/>
      <c r="I491" s="166"/>
    </row>
    <row r="492" spans="1:9">
      <c r="A492" s="167">
        <f t="shared" si="5"/>
        <v>2030.03</v>
      </c>
      <c r="B492" s="883" t="e">
        <v>#N/A</v>
      </c>
      <c r="C492" s="166"/>
      <c r="D492" s="166"/>
      <c r="E492" s="166"/>
      <c r="F492" s="166"/>
      <c r="G492" s="166"/>
      <c r="H492" s="166"/>
      <c r="I492" s="166"/>
    </row>
    <row r="493" spans="1:9">
      <c r="A493" s="167">
        <f t="shared" si="5"/>
        <v>2030.04</v>
      </c>
      <c r="B493" s="883" t="e">
        <v>#N/A</v>
      </c>
      <c r="C493" s="166"/>
      <c r="D493" s="166"/>
      <c r="E493" s="166"/>
      <c r="F493" s="166"/>
      <c r="G493" s="166"/>
      <c r="H493" s="166"/>
      <c r="I493" s="166"/>
    </row>
    <row r="494" spans="1:9">
      <c r="A494" s="167">
        <f t="shared" si="5"/>
        <v>2030.05</v>
      </c>
      <c r="B494" s="883" t="e">
        <v>#N/A</v>
      </c>
      <c r="C494" s="166"/>
      <c r="D494" s="166"/>
      <c r="E494" s="166"/>
      <c r="F494" s="166"/>
      <c r="G494" s="166"/>
      <c r="H494" s="166"/>
      <c r="I494" s="166"/>
    </row>
    <row r="495" spans="1:9">
      <c r="A495" s="167">
        <f t="shared" si="5"/>
        <v>2030.06</v>
      </c>
      <c r="B495" s="883" t="e">
        <v>#N/A</v>
      </c>
      <c r="C495" s="166"/>
      <c r="D495" s="166"/>
      <c r="E495" s="166"/>
      <c r="F495" s="166"/>
      <c r="G495" s="166"/>
      <c r="H495" s="166"/>
      <c r="I495" s="166"/>
    </row>
    <row r="496" spans="1:9">
      <c r="A496" s="167">
        <f t="shared" si="5"/>
        <v>2030.07</v>
      </c>
      <c r="B496" s="883" t="e">
        <v>#N/A</v>
      </c>
      <c r="C496" s="166"/>
      <c r="D496" s="166"/>
      <c r="E496" s="166"/>
      <c r="F496" s="166"/>
      <c r="G496" s="166"/>
      <c r="H496" s="166"/>
      <c r="I496" s="166"/>
    </row>
    <row r="497" spans="1:2">
      <c r="A497" s="167">
        <f t="shared" si="5"/>
        <v>2030.08</v>
      </c>
      <c r="B497" s="883" t="e">
        <v>#N/A</v>
      </c>
    </row>
    <row r="498" spans="1:2">
      <c r="A498" s="167">
        <f t="shared" si="5"/>
        <v>2030.09</v>
      </c>
      <c r="B498" s="883" t="e">
        <v>#N/A</v>
      </c>
    </row>
    <row r="499" spans="1:2">
      <c r="A499" s="167">
        <f t="shared" si="5"/>
        <v>2030.1</v>
      </c>
      <c r="B499" s="883" t="e">
        <v>#N/A</v>
      </c>
    </row>
    <row r="500" spans="1:2">
      <c r="A500" s="167">
        <f t="shared" si="5"/>
        <v>2030.11</v>
      </c>
      <c r="B500" s="883" t="e">
        <v>#N/A</v>
      </c>
    </row>
    <row r="501" spans="1:2">
      <c r="A501" s="167">
        <f t="shared" si="5"/>
        <v>2030.12</v>
      </c>
      <c r="B501" s="883" t="e">
        <v>#N/A</v>
      </c>
    </row>
  </sheetData>
  <hyperlinks>
    <hyperlink ref="A5" location="INDICE!A13" display="VOLVER AL INDICE" xr:uid="{0BDB85CC-373E-4F83-BFD4-D1606F5DAEE9}"/>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31">
    <pageSetUpPr autoPageBreaks="0"/>
  </sheetPr>
  <dimension ref="A1:P477"/>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10.42578125" style="21" bestFit="1" customWidth="1"/>
    <col min="2" max="8" width="14.140625" style="21" customWidth="1"/>
    <col min="9" max="9" width="12" style="6" bestFit="1" customWidth="1"/>
    <col min="10" max="10" width="18" style="6" bestFit="1" customWidth="1"/>
    <col min="11" max="16384" width="11.42578125" style="6"/>
  </cols>
  <sheetData>
    <row r="1" spans="1:10" ht="3.75" customHeight="1">
      <c r="A1" s="2761"/>
      <c r="B1" s="12"/>
      <c r="C1" s="12"/>
      <c r="D1" s="12"/>
      <c r="E1" s="12"/>
      <c r="F1" s="12"/>
      <c r="G1" s="12"/>
      <c r="H1" s="9"/>
      <c r="I1" s="166"/>
      <c r="J1" s="166"/>
    </row>
    <row r="2" spans="1:10">
      <c r="A2" s="2762" t="s">
        <v>99</v>
      </c>
      <c r="B2" s="320" t="s">
        <v>1720</v>
      </c>
      <c r="C2" s="69"/>
      <c r="D2" s="320"/>
      <c r="E2" s="69"/>
      <c r="F2" s="69"/>
      <c r="G2" s="69"/>
      <c r="H2" s="70"/>
      <c r="I2" s="166"/>
      <c r="J2" s="166"/>
    </row>
    <row r="3" spans="1:10">
      <c r="A3" s="2762" t="s">
        <v>104</v>
      </c>
      <c r="B3" s="320" t="s">
        <v>116</v>
      </c>
      <c r="C3" s="69"/>
      <c r="D3" s="320"/>
      <c r="E3" s="69"/>
      <c r="F3" s="69"/>
      <c r="G3" s="69"/>
      <c r="H3" s="70"/>
      <c r="I3" s="166"/>
      <c r="J3" s="166"/>
    </row>
    <row r="4" spans="1:10" ht="1.5" customHeight="1">
      <c r="A4" s="2762"/>
      <c r="B4" s="321"/>
      <c r="C4" s="320"/>
      <c r="D4" s="320"/>
      <c r="E4" s="320"/>
      <c r="F4" s="320"/>
      <c r="G4" s="320"/>
      <c r="H4" s="316"/>
      <c r="I4" s="166"/>
      <c r="J4" s="166"/>
    </row>
    <row r="5" spans="1:10" s="21" customFormat="1" ht="22.35" customHeight="1">
      <c r="A5" s="2867" t="s">
        <v>140</v>
      </c>
      <c r="B5" s="148" t="s">
        <v>1721</v>
      </c>
      <c r="C5" s="1375" t="s">
        <v>1722</v>
      </c>
      <c r="D5" s="69" t="s">
        <v>1723</v>
      </c>
      <c r="E5" s="1375" t="s">
        <v>1724</v>
      </c>
      <c r="F5" s="69" t="s">
        <v>1725</v>
      </c>
      <c r="G5" s="1375" t="s">
        <v>1726</v>
      </c>
      <c r="H5" s="70" t="s">
        <v>1727</v>
      </c>
      <c r="I5" s="52"/>
      <c r="J5" s="52"/>
    </row>
    <row r="6" spans="1:10" s="21" customFormat="1" ht="11.25">
      <c r="A6" s="2762"/>
      <c r="B6" s="93"/>
      <c r="C6" s="681"/>
      <c r="D6" s="94"/>
      <c r="E6" s="681"/>
      <c r="F6" s="94"/>
      <c r="G6" s="681"/>
      <c r="H6" s="1473"/>
      <c r="I6" s="52"/>
      <c r="J6" s="52"/>
    </row>
    <row r="7" spans="1:10" s="21" customFormat="1" ht="22.5">
      <c r="A7" s="2762" t="s">
        <v>125</v>
      </c>
      <c r="B7" s="148" t="s">
        <v>594</v>
      </c>
      <c r="C7" s="1375" t="s">
        <v>594</v>
      </c>
      <c r="D7" s="69" t="s">
        <v>594</v>
      </c>
      <c r="E7" s="1375" t="s">
        <v>594</v>
      </c>
      <c r="F7" s="69" t="s">
        <v>594</v>
      </c>
      <c r="G7" s="1375" t="s">
        <v>594</v>
      </c>
      <c r="H7" s="70" t="str">
        <f>F7</f>
        <v>Pesos corrientes</v>
      </c>
      <c r="I7" s="52"/>
      <c r="J7" s="52"/>
    </row>
    <row r="8" spans="1:10" s="21" customFormat="1" ht="12" customHeight="1">
      <c r="A8" s="3002" t="s">
        <v>144</v>
      </c>
      <c r="B8" s="2281" t="s">
        <v>1728</v>
      </c>
      <c r="C8" s="2283" t="s">
        <v>1729</v>
      </c>
      <c r="D8" s="2281" t="s">
        <v>1730</v>
      </c>
      <c r="E8" s="2283" t="s">
        <v>1731</v>
      </c>
      <c r="F8" s="2281" t="s">
        <v>1732</v>
      </c>
      <c r="G8" s="2283" t="s">
        <v>1733</v>
      </c>
      <c r="H8" s="2285" t="s">
        <v>1734</v>
      </c>
      <c r="I8" s="52"/>
      <c r="J8" s="52"/>
    </row>
    <row r="9" spans="1:10" ht="2.25" customHeight="1" thickBot="1">
      <c r="A9" s="2140"/>
      <c r="B9" s="1425"/>
      <c r="C9" s="1362"/>
      <c r="D9" s="1322"/>
      <c r="E9" s="1362"/>
      <c r="F9" s="1322"/>
      <c r="G9" s="1362"/>
      <c r="H9" s="305"/>
      <c r="I9" s="166"/>
      <c r="J9" s="166"/>
    </row>
    <row r="10" spans="1:10">
      <c r="A10" s="970">
        <v>1992.01</v>
      </c>
      <c r="B10" s="159">
        <v>5800312</v>
      </c>
      <c r="C10" s="560">
        <v>27293814</v>
      </c>
      <c r="D10" s="561">
        <v>7063668</v>
      </c>
      <c r="E10" s="560">
        <v>10612125</v>
      </c>
      <c r="F10" s="561">
        <v>2202467</v>
      </c>
      <c r="G10" s="560">
        <v>405086</v>
      </c>
      <c r="H10" s="346">
        <f>_xlfn.AGGREGATE(9,6,B10:G10)</f>
        <v>53377472</v>
      </c>
      <c r="I10" s="166"/>
      <c r="J10" s="7"/>
    </row>
    <row r="11" spans="1:10">
      <c r="A11" s="972">
        <v>1992.02</v>
      </c>
      <c r="B11" s="215">
        <v>15086512</v>
      </c>
      <c r="C11" s="3538">
        <v>24660172</v>
      </c>
      <c r="D11" s="141">
        <v>4708936</v>
      </c>
      <c r="E11" s="3538">
        <v>8062176</v>
      </c>
      <c r="F11" s="141">
        <v>1806530</v>
      </c>
      <c r="G11" s="3538">
        <v>177949</v>
      </c>
      <c r="H11" s="2365">
        <f t="shared" ref="H11:H74" si="0">_xlfn.AGGREGATE(9,6,B11:G11)</f>
        <v>54502275</v>
      </c>
      <c r="I11" s="166"/>
      <c r="J11" s="166"/>
    </row>
    <row r="12" spans="1:10">
      <c r="A12" s="972">
        <v>1992.03</v>
      </c>
      <c r="B12" s="215">
        <v>11097571</v>
      </c>
      <c r="C12" s="3538">
        <v>26885910</v>
      </c>
      <c r="D12" s="141">
        <v>5438320</v>
      </c>
      <c r="E12" s="3538">
        <v>8750411</v>
      </c>
      <c r="F12" s="141">
        <v>1822667</v>
      </c>
      <c r="G12" s="3538">
        <v>232876</v>
      </c>
      <c r="H12" s="2365">
        <f t="shared" si="0"/>
        <v>54227755</v>
      </c>
      <c r="I12" s="166"/>
      <c r="J12" s="166"/>
    </row>
    <row r="13" spans="1:10">
      <c r="A13" s="972">
        <v>1992.04</v>
      </c>
      <c r="B13" s="215">
        <v>4362917</v>
      </c>
      <c r="C13" s="3538">
        <v>27856542</v>
      </c>
      <c r="D13" s="141">
        <v>4543488</v>
      </c>
      <c r="E13" s="3538">
        <v>10873481</v>
      </c>
      <c r="F13" s="141">
        <v>9039579</v>
      </c>
      <c r="G13" s="3538">
        <v>255425</v>
      </c>
      <c r="H13" s="2365">
        <f t="shared" si="0"/>
        <v>56931432</v>
      </c>
      <c r="I13" s="166"/>
      <c r="J13" s="166"/>
    </row>
    <row r="14" spans="1:10">
      <c r="A14" s="972">
        <v>1992.05</v>
      </c>
      <c r="B14" s="215">
        <v>22603227</v>
      </c>
      <c r="C14" s="3538">
        <v>31365100</v>
      </c>
      <c r="D14" s="141">
        <v>4485236</v>
      </c>
      <c r="E14" s="3538">
        <v>9898321</v>
      </c>
      <c r="F14" s="141">
        <v>2250304</v>
      </c>
      <c r="G14" s="3538">
        <v>195892</v>
      </c>
      <c r="H14" s="2365">
        <f t="shared" si="0"/>
        <v>70798080</v>
      </c>
      <c r="I14" s="166"/>
      <c r="J14" s="166"/>
    </row>
    <row r="15" spans="1:10">
      <c r="A15" s="972">
        <v>1992.06</v>
      </c>
      <c r="B15" s="215">
        <v>30391854</v>
      </c>
      <c r="C15" s="3538">
        <v>30968249</v>
      </c>
      <c r="D15" s="141">
        <v>4802926</v>
      </c>
      <c r="E15" s="3538">
        <v>11957626</v>
      </c>
      <c r="F15" s="141">
        <v>11142206</v>
      </c>
      <c r="G15" s="3538">
        <v>224244</v>
      </c>
      <c r="H15" s="2365">
        <f t="shared" si="0"/>
        <v>89487105</v>
      </c>
      <c r="I15" s="166"/>
      <c r="J15" s="166"/>
    </row>
    <row r="16" spans="1:10">
      <c r="A16" s="972">
        <v>1992.07</v>
      </c>
      <c r="B16" s="215">
        <v>8776210</v>
      </c>
      <c r="C16" s="3538">
        <v>31960848</v>
      </c>
      <c r="D16" s="141">
        <v>9419252</v>
      </c>
      <c r="E16" s="3538">
        <v>11288212</v>
      </c>
      <c r="F16" s="141">
        <v>2458234</v>
      </c>
      <c r="G16" s="3538">
        <v>295363</v>
      </c>
      <c r="H16" s="2365">
        <f t="shared" si="0"/>
        <v>64198119</v>
      </c>
      <c r="I16" s="166"/>
      <c r="J16" s="166"/>
    </row>
    <row r="17" spans="1:8">
      <c r="A17" s="972">
        <v>1992.08</v>
      </c>
      <c r="B17" s="215">
        <v>11775155</v>
      </c>
      <c r="C17" s="3538">
        <v>27428295</v>
      </c>
      <c r="D17" s="141">
        <v>5259848</v>
      </c>
      <c r="E17" s="3538">
        <v>12484148</v>
      </c>
      <c r="F17" s="141">
        <v>1794328</v>
      </c>
      <c r="G17" s="3538">
        <v>237914</v>
      </c>
      <c r="H17" s="2365">
        <f t="shared" si="0"/>
        <v>58979688</v>
      </c>
    </row>
    <row r="18" spans="1:8">
      <c r="A18" s="972">
        <v>1992.09</v>
      </c>
      <c r="B18" s="215">
        <v>12552228</v>
      </c>
      <c r="C18" s="3538">
        <v>31136506</v>
      </c>
      <c r="D18" s="141">
        <v>5409138</v>
      </c>
      <c r="E18" s="3538">
        <v>13115142</v>
      </c>
      <c r="F18" s="141">
        <v>8067676</v>
      </c>
      <c r="G18" s="3538">
        <v>219062</v>
      </c>
      <c r="H18" s="2365">
        <f t="shared" si="0"/>
        <v>70499752</v>
      </c>
    </row>
    <row r="19" spans="1:8">
      <c r="A19" s="972">
        <v>1992.1</v>
      </c>
      <c r="B19" s="215">
        <v>1589067</v>
      </c>
      <c r="C19" s="3538">
        <v>32302620</v>
      </c>
      <c r="D19" s="141">
        <v>5256699</v>
      </c>
      <c r="E19" s="3538">
        <v>13276370</v>
      </c>
      <c r="F19" s="141">
        <v>1412311</v>
      </c>
      <c r="G19" s="3538">
        <v>238538</v>
      </c>
      <c r="H19" s="2365">
        <f t="shared" si="0"/>
        <v>54075605</v>
      </c>
    </row>
    <row r="20" spans="1:8">
      <c r="A20" s="972">
        <v>1992.11</v>
      </c>
      <c r="B20" s="215">
        <v>4110818</v>
      </c>
      <c r="C20" s="3538">
        <v>34594148</v>
      </c>
      <c r="D20" s="141">
        <v>5318404</v>
      </c>
      <c r="E20" s="3538">
        <v>13692393</v>
      </c>
      <c r="F20" s="141">
        <v>9294234</v>
      </c>
      <c r="G20" s="3538">
        <v>322825</v>
      </c>
      <c r="H20" s="2365">
        <f t="shared" si="0"/>
        <v>67332822</v>
      </c>
    </row>
    <row r="21" spans="1:8">
      <c r="A21" s="972">
        <v>1992.12</v>
      </c>
      <c r="B21" s="215">
        <v>16372702</v>
      </c>
      <c r="C21" s="3538">
        <v>32853704</v>
      </c>
      <c r="D21" s="141">
        <v>5355167</v>
      </c>
      <c r="E21" s="3538">
        <v>13994519</v>
      </c>
      <c r="F21" s="141">
        <v>2152009</v>
      </c>
      <c r="G21" s="3538">
        <v>230476</v>
      </c>
      <c r="H21" s="2365">
        <f t="shared" si="0"/>
        <v>70958577</v>
      </c>
    </row>
    <row r="22" spans="1:8">
      <c r="A22" s="972">
        <v>1993.01</v>
      </c>
      <c r="B22" s="215">
        <v>16744838</v>
      </c>
      <c r="C22" s="3538">
        <v>32061046</v>
      </c>
      <c r="D22" s="141">
        <v>9806986</v>
      </c>
      <c r="E22" s="3538">
        <v>14555197</v>
      </c>
      <c r="F22" s="141">
        <v>2311145</v>
      </c>
      <c r="G22" s="3538">
        <v>708582</v>
      </c>
      <c r="H22" s="2365">
        <f t="shared" si="0"/>
        <v>76187794</v>
      </c>
    </row>
    <row r="23" spans="1:8">
      <c r="A23" s="972">
        <v>1993.02</v>
      </c>
      <c r="B23" s="215">
        <v>17454004</v>
      </c>
      <c r="C23" s="3538">
        <v>29205065</v>
      </c>
      <c r="D23" s="141">
        <v>5806663</v>
      </c>
      <c r="E23" s="3538">
        <v>12744236</v>
      </c>
      <c r="F23" s="141">
        <v>2817482</v>
      </c>
      <c r="G23" s="3538">
        <v>162059</v>
      </c>
      <c r="H23" s="2365">
        <f t="shared" si="0"/>
        <v>68189509</v>
      </c>
    </row>
    <row r="24" spans="1:8">
      <c r="A24" s="972">
        <v>1993.03</v>
      </c>
      <c r="B24" s="215">
        <v>19362653</v>
      </c>
      <c r="C24" s="3538">
        <v>27162685</v>
      </c>
      <c r="D24" s="141">
        <v>5429554</v>
      </c>
      <c r="E24" s="3538">
        <v>13732865</v>
      </c>
      <c r="F24" s="141">
        <v>2211834</v>
      </c>
      <c r="G24" s="3538">
        <v>146889</v>
      </c>
      <c r="H24" s="2365">
        <f t="shared" si="0"/>
        <v>68046480</v>
      </c>
    </row>
    <row r="25" spans="1:8">
      <c r="A25" s="972">
        <v>1993.04</v>
      </c>
      <c r="B25" s="215">
        <v>2777319</v>
      </c>
      <c r="C25" s="3538">
        <v>31642017</v>
      </c>
      <c r="D25" s="141">
        <v>5425658</v>
      </c>
      <c r="E25" s="3538">
        <v>13919182</v>
      </c>
      <c r="F25" s="141">
        <v>12141693</v>
      </c>
      <c r="G25" s="3538">
        <v>156047</v>
      </c>
      <c r="H25" s="2365">
        <f t="shared" si="0"/>
        <v>66061916</v>
      </c>
    </row>
    <row r="26" spans="1:8">
      <c r="A26" s="972">
        <v>1993.05</v>
      </c>
      <c r="B26" s="215">
        <v>10478470</v>
      </c>
      <c r="C26" s="3538">
        <v>33086288</v>
      </c>
      <c r="D26" s="141">
        <v>5451575</v>
      </c>
      <c r="E26" s="3538">
        <v>14064436</v>
      </c>
      <c r="F26" s="141">
        <v>3382319</v>
      </c>
      <c r="G26" s="3538">
        <v>158044</v>
      </c>
      <c r="H26" s="2365">
        <f t="shared" si="0"/>
        <v>66621132</v>
      </c>
    </row>
    <row r="27" spans="1:8">
      <c r="A27" s="972">
        <v>1993.06</v>
      </c>
      <c r="B27" s="215">
        <v>2251201</v>
      </c>
      <c r="C27" s="3538">
        <v>34390832</v>
      </c>
      <c r="D27" s="141">
        <v>5522229</v>
      </c>
      <c r="E27" s="3538">
        <v>14937369</v>
      </c>
      <c r="F27" s="141">
        <v>2334352</v>
      </c>
      <c r="G27" s="3538">
        <v>186577</v>
      </c>
      <c r="H27" s="2365">
        <f t="shared" si="0"/>
        <v>59622560</v>
      </c>
    </row>
    <row r="28" spans="1:8">
      <c r="A28" s="972">
        <v>1993.07</v>
      </c>
      <c r="B28" s="215">
        <v>2657318</v>
      </c>
      <c r="C28" s="3538">
        <v>34837539</v>
      </c>
      <c r="D28" s="141">
        <v>9637191</v>
      </c>
      <c r="E28" s="3538">
        <v>15295422</v>
      </c>
      <c r="F28" s="141">
        <v>9628626</v>
      </c>
      <c r="G28" s="3538">
        <v>219205</v>
      </c>
      <c r="H28" s="2365">
        <f t="shared" si="0"/>
        <v>72275301</v>
      </c>
    </row>
    <row r="29" spans="1:8">
      <c r="A29" s="972">
        <v>1993.08</v>
      </c>
      <c r="B29" s="215">
        <v>1585539</v>
      </c>
      <c r="C29" s="3538">
        <v>33178987</v>
      </c>
      <c r="D29" s="141">
        <v>5690193</v>
      </c>
      <c r="E29" s="3538">
        <v>15852017</v>
      </c>
      <c r="F29" s="141">
        <v>3273716</v>
      </c>
      <c r="G29" s="3538">
        <v>203841</v>
      </c>
      <c r="H29" s="2365">
        <f t="shared" si="0"/>
        <v>59784293</v>
      </c>
    </row>
    <row r="30" spans="1:8">
      <c r="A30" s="972">
        <v>1993.09</v>
      </c>
      <c r="B30" s="215">
        <v>9412387</v>
      </c>
      <c r="C30" s="3538">
        <v>32459886</v>
      </c>
      <c r="D30" s="141">
        <v>5673596</v>
      </c>
      <c r="E30" s="3538">
        <v>16129501</v>
      </c>
      <c r="F30" s="141">
        <v>10315121</v>
      </c>
      <c r="G30" s="3538">
        <v>221917</v>
      </c>
      <c r="H30" s="2365">
        <f t="shared" si="0"/>
        <v>74212408</v>
      </c>
    </row>
    <row r="31" spans="1:8">
      <c r="A31" s="972">
        <v>1993.1</v>
      </c>
      <c r="B31" s="215">
        <v>23379693</v>
      </c>
      <c r="C31" s="3538">
        <v>34663512</v>
      </c>
      <c r="D31" s="141">
        <v>5995664</v>
      </c>
      <c r="E31" s="3538">
        <v>15463793</v>
      </c>
      <c r="F31" s="141">
        <v>2266822</v>
      </c>
      <c r="G31" s="3538">
        <v>185104</v>
      </c>
      <c r="H31" s="2365">
        <f t="shared" si="0"/>
        <v>81954588</v>
      </c>
    </row>
    <row r="32" spans="1:8">
      <c r="A32" s="972">
        <v>1993.11</v>
      </c>
      <c r="B32" s="215">
        <v>15172396</v>
      </c>
      <c r="C32" s="3538">
        <v>48115404</v>
      </c>
      <c r="D32" s="141">
        <v>6047637</v>
      </c>
      <c r="E32" s="3538">
        <v>16755622</v>
      </c>
      <c r="F32" s="141">
        <v>10546678</v>
      </c>
      <c r="G32" s="3538">
        <v>230236</v>
      </c>
      <c r="H32" s="2365">
        <f t="shared" si="0"/>
        <v>96867973</v>
      </c>
    </row>
    <row r="33" spans="1:8">
      <c r="A33" s="972">
        <v>1993.12</v>
      </c>
      <c r="B33" s="215">
        <v>29602991</v>
      </c>
      <c r="C33" s="3538">
        <v>38264210</v>
      </c>
      <c r="D33" s="141">
        <v>5973757</v>
      </c>
      <c r="E33" s="3538">
        <v>16301558</v>
      </c>
      <c r="F33" s="141">
        <v>1669464</v>
      </c>
      <c r="G33" s="3538">
        <v>194628</v>
      </c>
      <c r="H33" s="2365">
        <f t="shared" si="0"/>
        <v>92006608</v>
      </c>
    </row>
    <row r="34" spans="1:8">
      <c r="A34" s="972">
        <v>1994.01</v>
      </c>
      <c r="B34" s="215">
        <v>5823841</v>
      </c>
      <c r="C34" s="3538">
        <v>38704943</v>
      </c>
      <c r="D34" s="141">
        <v>10291998</v>
      </c>
      <c r="E34" s="3538">
        <v>16291631</v>
      </c>
      <c r="F34" s="141">
        <v>2592703</v>
      </c>
      <c r="G34" s="3538">
        <v>721415</v>
      </c>
      <c r="H34" s="2365">
        <f t="shared" si="0"/>
        <v>74426531</v>
      </c>
    </row>
    <row r="35" spans="1:8">
      <c r="A35" s="972">
        <v>1994.02</v>
      </c>
      <c r="B35" s="215">
        <v>27343248</v>
      </c>
      <c r="C35" s="3538">
        <v>38714257</v>
      </c>
      <c r="D35" s="141">
        <v>5009667</v>
      </c>
      <c r="E35" s="3538">
        <v>12671022</v>
      </c>
      <c r="F35" s="141">
        <v>2407366</v>
      </c>
      <c r="G35" s="3538">
        <v>196486</v>
      </c>
      <c r="H35" s="2365">
        <f t="shared" si="0"/>
        <v>86342046</v>
      </c>
    </row>
    <row r="36" spans="1:8">
      <c r="A36" s="972">
        <v>1994.03</v>
      </c>
      <c r="B36" s="215">
        <v>16441286</v>
      </c>
      <c r="C36" s="3538">
        <v>37526839</v>
      </c>
      <c r="D36" s="141">
        <v>4721711</v>
      </c>
      <c r="E36" s="3538">
        <v>13416492</v>
      </c>
      <c r="F36" s="141">
        <v>2083336</v>
      </c>
      <c r="G36" s="3538">
        <v>211523</v>
      </c>
      <c r="H36" s="2365">
        <f t="shared" si="0"/>
        <v>74401187</v>
      </c>
    </row>
    <row r="37" spans="1:8">
      <c r="A37" s="972">
        <v>1994.04</v>
      </c>
      <c r="B37" s="215">
        <v>5232339</v>
      </c>
      <c r="C37" s="3538">
        <v>42732055</v>
      </c>
      <c r="D37" s="141">
        <v>4640847</v>
      </c>
      <c r="E37" s="3538">
        <v>13471365</v>
      </c>
      <c r="F37" s="141">
        <v>12393772</v>
      </c>
      <c r="G37" s="3538">
        <v>199321</v>
      </c>
      <c r="H37" s="2365">
        <f t="shared" si="0"/>
        <v>78669699</v>
      </c>
    </row>
    <row r="38" spans="1:8">
      <c r="A38" s="972">
        <v>1994.05</v>
      </c>
      <c r="B38" s="215">
        <v>23039736</v>
      </c>
      <c r="C38" s="3538">
        <v>41925763</v>
      </c>
      <c r="D38" s="141">
        <v>4760142</v>
      </c>
      <c r="E38" s="3538">
        <v>13863863</v>
      </c>
      <c r="F38" s="141">
        <v>5281000</v>
      </c>
      <c r="G38" s="3538">
        <v>207822</v>
      </c>
      <c r="H38" s="2365">
        <f t="shared" si="0"/>
        <v>89078326</v>
      </c>
    </row>
    <row r="39" spans="1:8">
      <c r="A39" s="972">
        <v>1994.06</v>
      </c>
      <c r="B39" s="215">
        <v>14157589</v>
      </c>
      <c r="C39" s="3538">
        <v>44108183</v>
      </c>
      <c r="D39" s="141">
        <v>4637417</v>
      </c>
      <c r="E39" s="3538">
        <v>13788355</v>
      </c>
      <c r="F39" s="141">
        <v>9879760</v>
      </c>
      <c r="G39" s="3538">
        <v>197653</v>
      </c>
      <c r="H39" s="2365">
        <f t="shared" si="0"/>
        <v>86768957</v>
      </c>
    </row>
    <row r="40" spans="1:8">
      <c r="A40" s="972">
        <v>1994.07</v>
      </c>
      <c r="B40" s="215">
        <v>3423858</v>
      </c>
      <c r="C40" s="3538">
        <v>43430746</v>
      </c>
      <c r="D40" s="141">
        <v>7044053</v>
      </c>
      <c r="E40" s="3538">
        <v>13713163</v>
      </c>
      <c r="F40" s="141">
        <v>4268421</v>
      </c>
      <c r="G40" s="3538">
        <v>157634</v>
      </c>
      <c r="H40" s="2365">
        <f t="shared" si="0"/>
        <v>72037875</v>
      </c>
    </row>
    <row r="41" spans="1:8">
      <c r="A41" s="972">
        <v>1994.08</v>
      </c>
      <c r="B41" s="215">
        <v>2291245</v>
      </c>
      <c r="C41" s="3538">
        <v>40856898</v>
      </c>
      <c r="D41" s="141">
        <v>4503503</v>
      </c>
      <c r="E41" s="3538">
        <v>14594575</v>
      </c>
      <c r="F41" s="141">
        <v>1932319</v>
      </c>
      <c r="G41" s="3538">
        <v>225696</v>
      </c>
      <c r="H41" s="2365">
        <f t="shared" si="0"/>
        <v>64404236</v>
      </c>
    </row>
    <row r="42" spans="1:8">
      <c r="A42" s="972">
        <v>1994.09</v>
      </c>
      <c r="B42" s="215">
        <v>10034632</v>
      </c>
      <c r="C42" s="3538">
        <v>41012431</v>
      </c>
      <c r="D42" s="141">
        <v>4620500</v>
      </c>
      <c r="E42" s="3538">
        <v>14976286</v>
      </c>
      <c r="F42" s="141">
        <v>9210556</v>
      </c>
      <c r="G42" s="3538">
        <v>140125</v>
      </c>
      <c r="H42" s="2365">
        <f t="shared" si="0"/>
        <v>79994530</v>
      </c>
    </row>
    <row r="43" spans="1:8">
      <c r="A43" s="972">
        <v>1994.1</v>
      </c>
      <c r="B43" s="215">
        <v>19514482</v>
      </c>
      <c r="C43" s="3538">
        <v>39907295</v>
      </c>
      <c r="D43" s="141">
        <v>4731084</v>
      </c>
      <c r="E43" s="3538">
        <v>14272150</v>
      </c>
      <c r="F43" s="141">
        <v>3902842</v>
      </c>
      <c r="G43" s="3538">
        <v>212419</v>
      </c>
      <c r="H43" s="2365">
        <f t="shared" si="0"/>
        <v>82540272</v>
      </c>
    </row>
    <row r="44" spans="1:8">
      <c r="A44" s="972">
        <v>1994.11</v>
      </c>
      <c r="B44" s="215">
        <v>4247235</v>
      </c>
      <c r="C44" s="3538">
        <v>40604353</v>
      </c>
      <c r="D44" s="141">
        <v>4637332</v>
      </c>
      <c r="E44" s="3538">
        <v>13823193</v>
      </c>
      <c r="F44" s="141">
        <v>7890869</v>
      </c>
      <c r="G44" s="3538">
        <v>135753</v>
      </c>
      <c r="H44" s="2365">
        <f t="shared" si="0"/>
        <v>71338735</v>
      </c>
    </row>
    <row r="45" spans="1:8">
      <c r="A45" s="972">
        <v>1994.12</v>
      </c>
      <c r="B45" s="215">
        <v>40242087</v>
      </c>
      <c r="C45" s="3538">
        <v>51235121</v>
      </c>
      <c r="D45" s="141">
        <v>4814238</v>
      </c>
      <c r="E45" s="3538">
        <v>14778109</v>
      </c>
      <c r="F45" s="141">
        <v>5613363</v>
      </c>
      <c r="G45" s="3538">
        <v>369087</v>
      </c>
      <c r="H45" s="2365">
        <f t="shared" si="0"/>
        <v>117052005</v>
      </c>
    </row>
    <row r="46" spans="1:8">
      <c r="A46" s="972">
        <v>1995.01</v>
      </c>
      <c r="B46" s="215">
        <v>4313909</v>
      </c>
      <c r="C46" s="3538">
        <v>44177026</v>
      </c>
      <c r="D46" s="141">
        <v>7808885</v>
      </c>
      <c r="E46" s="3538">
        <v>14098080</v>
      </c>
      <c r="F46" s="141">
        <v>2709051</v>
      </c>
      <c r="G46" s="3538">
        <v>789214</v>
      </c>
      <c r="H46" s="2365">
        <f t="shared" si="0"/>
        <v>73896165</v>
      </c>
    </row>
    <row r="47" spans="1:8">
      <c r="A47" s="972">
        <v>1995.02</v>
      </c>
      <c r="B47" s="215">
        <v>25094098</v>
      </c>
      <c r="C47" s="3538">
        <v>37365289</v>
      </c>
      <c r="D47" s="141">
        <v>4927430</v>
      </c>
      <c r="E47" s="3538">
        <v>11654581</v>
      </c>
      <c r="F47" s="141">
        <v>2104638</v>
      </c>
      <c r="G47" s="3538">
        <v>170533</v>
      </c>
      <c r="H47" s="2365">
        <f t="shared" si="0"/>
        <v>81316569</v>
      </c>
    </row>
    <row r="48" spans="1:8">
      <c r="A48" s="972">
        <v>1995.03</v>
      </c>
      <c r="B48" s="215">
        <v>13855149</v>
      </c>
      <c r="C48" s="3538">
        <v>33194650</v>
      </c>
      <c r="D48" s="141">
        <v>4511668</v>
      </c>
      <c r="E48" s="3538">
        <v>10204279</v>
      </c>
      <c r="F48" s="141">
        <v>2035131</v>
      </c>
      <c r="G48" s="3538">
        <v>179671</v>
      </c>
      <c r="H48" s="2365">
        <f t="shared" si="0"/>
        <v>63980548</v>
      </c>
    </row>
    <row r="49" spans="1:8">
      <c r="A49" s="972">
        <v>1995.04</v>
      </c>
      <c r="B49" s="215">
        <v>4411245</v>
      </c>
      <c r="C49" s="3538">
        <v>34489587</v>
      </c>
      <c r="D49" s="141">
        <v>4212129</v>
      </c>
      <c r="E49" s="3538">
        <v>9732824</v>
      </c>
      <c r="F49" s="141">
        <v>12085006</v>
      </c>
      <c r="G49" s="3538">
        <v>156706</v>
      </c>
      <c r="H49" s="2365">
        <f t="shared" si="0"/>
        <v>65087497</v>
      </c>
    </row>
    <row r="50" spans="1:8">
      <c r="A50" s="972">
        <v>1995.05</v>
      </c>
      <c r="B50" s="215">
        <v>22950992</v>
      </c>
      <c r="C50" s="3538">
        <v>32867470</v>
      </c>
      <c r="D50" s="141">
        <v>4324133</v>
      </c>
      <c r="E50" s="3538">
        <v>10162588</v>
      </c>
      <c r="F50" s="141">
        <v>8590242</v>
      </c>
      <c r="G50" s="3538">
        <v>181069</v>
      </c>
      <c r="H50" s="2365">
        <f t="shared" si="0"/>
        <v>79076494</v>
      </c>
    </row>
    <row r="51" spans="1:8">
      <c r="A51" s="972">
        <v>1995.06</v>
      </c>
      <c r="B51" s="215">
        <v>13860700</v>
      </c>
      <c r="C51" s="3538">
        <v>32503300</v>
      </c>
      <c r="D51" s="141">
        <v>4773900</v>
      </c>
      <c r="E51" s="3538">
        <v>10744700</v>
      </c>
      <c r="F51" s="141">
        <v>9262400</v>
      </c>
      <c r="G51" s="3538">
        <v>182400</v>
      </c>
      <c r="H51" s="2365">
        <f t="shared" si="0"/>
        <v>71327400</v>
      </c>
    </row>
    <row r="52" spans="1:8">
      <c r="A52" s="972">
        <v>1995.07</v>
      </c>
      <c r="B52" s="215">
        <v>26139461</v>
      </c>
      <c r="C52" s="3538">
        <v>37290108</v>
      </c>
      <c r="D52" s="141">
        <v>6295055</v>
      </c>
      <c r="E52" s="3538">
        <v>9548470</v>
      </c>
      <c r="F52" s="141">
        <v>6926831</v>
      </c>
      <c r="G52" s="3538">
        <v>168222</v>
      </c>
      <c r="H52" s="2365">
        <f t="shared" si="0"/>
        <v>86368147</v>
      </c>
    </row>
    <row r="53" spans="1:8">
      <c r="A53" s="972">
        <v>1995.08</v>
      </c>
      <c r="B53" s="215">
        <v>14525702</v>
      </c>
      <c r="C53" s="3538">
        <v>36264847</v>
      </c>
      <c r="D53" s="141">
        <v>4398645</v>
      </c>
      <c r="E53" s="3538">
        <v>10643494</v>
      </c>
      <c r="F53" s="141">
        <v>2208236</v>
      </c>
      <c r="G53" s="3538">
        <v>195375</v>
      </c>
      <c r="H53" s="2365">
        <f t="shared" si="0"/>
        <v>68236299</v>
      </c>
    </row>
    <row r="54" spans="1:8">
      <c r="A54" s="972">
        <v>1995.09</v>
      </c>
      <c r="B54" s="215">
        <v>4518910</v>
      </c>
      <c r="C54" s="3538">
        <v>34055851</v>
      </c>
      <c r="D54" s="141">
        <v>4139090</v>
      </c>
      <c r="E54" s="3538">
        <v>9779873</v>
      </c>
      <c r="F54" s="141">
        <v>8763451</v>
      </c>
      <c r="G54" s="3538">
        <v>175899</v>
      </c>
      <c r="H54" s="2365">
        <f t="shared" si="0"/>
        <v>61433074</v>
      </c>
    </row>
    <row r="55" spans="1:8">
      <c r="A55" s="972">
        <v>1995.1</v>
      </c>
      <c r="B55" s="215">
        <v>24298301</v>
      </c>
      <c r="C55" s="3538">
        <v>33552532</v>
      </c>
      <c r="D55" s="141">
        <v>4893860</v>
      </c>
      <c r="E55" s="3538">
        <v>9507614</v>
      </c>
      <c r="F55" s="141">
        <v>4510843</v>
      </c>
      <c r="G55" s="3538">
        <v>172192</v>
      </c>
      <c r="H55" s="2365">
        <f t="shared" si="0"/>
        <v>76935342</v>
      </c>
    </row>
    <row r="56" spans="1:8">
      <c r="A56" s="972">
        <v>1995.11</v>
      </c>
      <c r="B56" s="215">
        <v>13244005</v>
      </c>
      <c r="C56" s="3538">
        <v>37385540</v>
      </c>
      <c r="D56" s="141">
        <v>5263781</v>
      </c>
      <c r="E56" s="3538">
        <v>9780312</v>
      </c>
      <c r="F56" s="141">
        <v>8141799</v>
      </c>
      <c r="G56" s="3538">
        <v>192715</v>
      </c>
      <c r="H56" s="2365">
        <f t="shared" si="0"/>
        <v>74008152</v>
      </c>
    </row>
    <row r="57" spans="1:8">
      <c r="A57" s="972">
        <v>1995.12</v>
      </c>
      <c r="B57" s="215">
        <v>4022565</v>
      </c>
      <c r="C57" s="3538">
        <v>34678661</v>
      </c>
      <c r="D57" s="141">
        <v>4188671</v>
      </c>
      <c r="E57" s="3538">
        <v>9261264</v>
      </c>
      <c r="F57" s="141">
        <v>4364486</v>
      </c>
      <c r="G57" s="3538">
        <v>136154</v>
      </c>
      <c r="H57" s="2365">
        <f t="shared" si="0"/>
        <v>56651801</v>
      </c>
    </row>
    <row r="58" spans="1:8">
      <c r="A58" s="972">
        <v>1996.01</v>
      </c>
      <c r="B58" s="215">
        <v>5732178</v>
      </c>
      <c r="C58" s="3538">
        <v>36910702</v>
      </c>
      <c r="D58" s="141">
        <v>6529269</v>
      </c>
      <c r="E58" s="3538">
        <v>10042346</v>
      </c>
      <c r="F58" s="141">
        <v>2666511</v>
      </c>
      <c r="G58" s="3538">
        <v>665980</v>
      </c>
      <c r="H58" s="2365">
        <f t="shared" si="0"/>
        <v>62546986</v>
      </c>
    </row>
    <row r="59" spans="1:8">
      <c r="A59" s="972">
        <v>1996.02</v>
      </c>
      <c r="B59" s="215">
        <v>24245402</v>
      </c>
      <c r="C59" s="3538">
        <v>32848257</v>
      </c>
      <c r="D59" s="141">
        <v>4462247</v>
      </c>
      <c r="E59" s="3538">
        <v>9517473</v>
      </c>
      <c r="F59" s="141">
        <v>2096164</v>
      </c>
      <c r="G59" s="3538">
        <v>141245</v>
      </c>
      <c r="H59" s="2365">
        <f t="shared" si="0"/>
        <v>73310788</v>
      </c>
    </row>
    <row r="60" spans="1:8">
      <c r="A60" s="972">
        <v>1996.03</v>
      </c>
      <c r="B60" s="215">
        <v>15000225</v>
      </c>
      <c r="C60" s="3538">
        <v>32270675</v>
      </c>
      <c r="D60" s="141">
        <v>4283152</v>
      </c>
      <c r="E60" s="3538">
        <v>8976987</v>
      </c>
      <c r="F60" s="141">
        <v>2228414</v>
      </c>
      <c r="G60" s="3538">
        <v>174399</v>
      </c>
      <c r="H60" s="2365">
        <f t="shared" si="0"/>
        <v>62933852</v>
      </c>
    </row>
    <row r="61" spans="1:8">
      <c r="A61" s="972">
        <v>1996.04</v>
      </c>
      <c r="B61" s="215">
        <v>8221411</v>
      </c>
      <c r="C61" s="3538">
        <v>36840442</v>
      </c>
      <c r="D61" s="141">
        <v>4906559</v>
      </c>
      <c r="E61" s="3538">
        <v>9453156</v>
      </c>
      <c r="F61" s="141">
        <v>13449814</v>
      </c>
      <c r="G61" s="3538">
        <v>146493</v>
      </c>
      <c r="H61" s="2365">
        <f t="shared" si="0"/>
        <v>73017875</v>
      </c>
    </row>
    <row r="62" spans="1:8">
      <c r="A62" s="972">
        <v>1996.05</v>
      </c>
      <c r="B62" s="215">
        <v>24628707</v>
      </c>
      <c r="C62" s="3538">
        <v>35965568</v>
      </c>
      <c r="D62" s="141">
        <v>4322198</v>
      </c>
      <c r="E62" s="3538">
        <v>10022999</v>
      </c>
      <c r="F62" s="141">
        <v>7200700</v>
      </c>
      <c r="G62" s="3538">
        <v>181537</v>
      </c>
      <c r="H62" s="2365">
        <f t="shared" si="0"/>
        <v>82321709</v>
      </c>
    </row>
    <row r="63" spans="1:8">
      <c r="A63" s="972">
        <v>1996.06</v>
      </c>
      <c r="B63" s="215">
        <v>14217435</v>
      </c>
      <c r="C63" s="3538">
        <v>35946527</v>
      </c>
      <c r="D63" s="141">
        <v>4304909</v>
      </c>
      <c r="E63" s="3538">
        <v>9837055</v>
      </c>
      <c r="F63" s="141">
        <v>8681854</v>
      </c>
      <c r="G63" s="3538">
        <v>231916</v>
      </c>
      <c r="H63" s="2365">
        <f t="shared" si="0"/>
        <v>73219696</v>
      </c>
    </row>
    <row r="64" spans="1:8">
      <c r="A64" s="972">
        <v>1996.07</v>
      </c>
      <c r="B64" s="215">
        <v>18620258</v>
      </c>
      <c r="C64" s="3538">
        <v>35984642</v>
      </c>
      <c r="D64" s="141">
        <v>6339320</v>
      </c>
      <c r="E64" s="3538">
        <v>9586423</v>
      </c>
      <c r="F64" s="141">
        <v>5457664</v>
      </c>
      <c r="G64" s="3538">
        <v>231312</v>
      </c>
      <c r="H64" s="2365">
        <f t="shared" si="0"/>
        <v>76219619</v>
      </c>
    </row>
    <row r="65" spans="1:8">
      <c r="A65" s="972">
        <v>1996.08</v>
      </c>
      <c r="B65" s="215">
        <v>20430860</v>
      </c>
      <c r="C65" s="3538">
        <v>36858402</v>
      </c>
      <c r="D65" s="141">
        <v>4331792</v>
      </c>
      <c r="E65" s="3538">
        <v>11171741</v>
      </c>
      <c r="F65" s="141">
        <v>2221795</v>
      </c>
      <c r="G65" s="3538">
        <v>254975</v>
      </c>
      <c r="H65" s="2365">
        <f t="shared" si="0"/>
        <v>75269565</v>
      </c>
    </row>
    <row r="66" spans="1:8">
      <c r="A66" s="972">
        <v>1996.09</v>
      </c>
      <c r="B66" s="215">
        <v>4422056</v>
      </c>
      <c r="C66" s="3538">
        <v>36140088</v>
      </c>
      <c r="D66" s="141">
        <v>4478633</v>
      </c>
      <c r="E66" s="3538">
        <v>10415940</v>
      </c>
      <c r="F66" s="141">
        <v>8719750</v>
      </c>
      <c r="G66" s="3538">
        <v>264981</v>
      </c>
      <c r="H66" s="2365">
        <f t="shared" si="0"/>
        <v>64441448</v>
      </c>
    </row>
    <row r="67" spans="1:8">
      <c r="A67" s="972">
        <v>1996.1</v>
      </c>
      <c r="B67" s="215">
        <v>5444336</v>
      </c>
      <c r="C67" s="3538">
        <v>35782085</v>
      </c>
      <c r="D67" s="141">
        <v>4510669</v>
      </c>
      <c r="E67" s="3538">
        <v>10734457</v>
      </c>
      <c r="F67" s="141">
        <v>4394946</v>
      </c>
      <c r="G67" s="3538">
        <v>286539</v>
      </c>
      <c r="H67" s="2365">
        <f t="shared" si="0"/>
        <v>61153032</v>
      </c>
    </row>
    <row r="68" spans="1:8">
      <c r="A68" s="972">
        <v>1996.11</v>
      </c>
      <c r="B68" s="215">
        <v>27099993</v>
      </c>
      <c r="C68" s="3538">
        <v>37345246</v>
      </c>
      <c r="D68" s="141">
        <v>4297144</v>
      </c>
      <c r="E68" s="3538">
        <v>10868303</v>
      </c>
      <c r="F68" s="141">
        <v>7753044</v>
      </c>
      <c r="G68" s="3538">
        <v>284265</v>
      </c>
      <c r="H68" s="2365">
        <f t="shared" si="0"/>
        <v>87647995</v>
      </c>
    </row>
    <row r="69" spans="1:8">
      <c r="A69" s="972">
        <v>1996.12</v>
      </c>
      <c r="B69" s="215">
        <v>8620861</v>
      </c>
      <c r="C69" s="3538">
        <v>36839559</v>
      </c>
      <c r="D69" s="141">
        <v>4458343</v>
      </c>
      <c r="E69" s="3538">
        <v>9972240</v>
      </c>
      <c r="F69" s="141">
        <v>4052632</v>
      </c>
      <c r="G69" s="3538">
        <v>222964</v>
      </c>
      <c r="H69" s="2365">
        <f t="shared" si="0"/>
        <v>64166599</v>
      </c>
    </row>
    <row r="70" spans="1:8">
      <c r="A70" s="972">
        <v>1997.01</v>
      </c>
      <c r="B70" s="215">
        <v>1983542.87</v>
      </c>
      <c r="C70" s="3538">
        <v>38154916.869999997</v>
      </c>
      <c r="D70" s="141">
        <v>7040117.71</v>
      </c>
      <c r="E70" s="3538">
        <v>10865703.77</v>
      </c>
      <c r="F70" s="141">
        <v>2541852.54</v>
      </c>
      <c r="G70" s="3538">
        <v>602885.46</v>
      </c>
      <c r="H70" s="2365">
        <f t="shared" si="0"/>
        <v>61189019.219999999</v>
      </c>
    </row>
    <row r="71" spans="1:8">
      <c r="A71" s="972">
        <v>1997.02</v>
      </c>
      <c r="B71" s="215">
        <v>19262998.539999999</v>
      </c>
      <c r="C71" s="3538">
        <v>34362947.710000001</v>
      </c>
      <c r="D71" s="141">
        <v>5211821.0599999996</v>
      </c>
      <c r="E71" s="3538">
        <v>10348337.02</v>
      </c>
      <c r="F71" s="141">
        <v>2011939.72</v>
      </c>
      <c r="G71" s="3538">
        <v>221646.72</v>
      </c>
      <c r="H71" s="2365">
        <f t="shared" si="0"/>
        <v>71419690.769999996</v>
      </c>
    </row>
    <row r="72" spans="1:8">
      <c r="A72" s="972">
        <v>1997.03</v>
      </c>
      <c r="B72" s="215">
        <v>31767312.460000001</v>
      </c>
      <c r="C72" s="3538">
        <v>40661292.039999999</v>
      </c>
      <c r="D72" s="141">
        <v>6050177.2999999998</v>
      </c>
      <c r="E72" s="3538">
        <v>10555956.619999999</v>
      </c>
      <c r="F72" s="141">
        <v>4183230.58</v>
      </c>
      <c r="G72" s="3538">
        <v>209092.59</v>
      </c>
      <c r="H72" s="2365">
        <f t="shared" si="0"/>
        <v>93427061.590000004</v>
      </c>
    </row>
    <row r="73" spans="1:8">
      <c r="A73" s="972">
        <v>1997.04</v>
      </c>
      <c r="B73" s="215">
        <v>11185572.41</v>
      </c>
      <c r="C73" s="3538">
        <v>42701913.049999997</v>
      </c>
      <c r="D73" s="141">
        <v>5981098.9299999997</v>
      </c>
      <c r="E73" s="3538">
        <v>12159125.67</v>
      </c>
      <c r="F73" s="141">
        <v>14554480.48</v>
      </c>
      <c r="G73" s="3538">
        <v>266637.59000000003</v>
      </c>
      <c r="H73" s="2365">
        <f t="shared" si="0"/>
        <v>86848828.129999995</v>
      </c>
    </row>
    <row r="74" spans="1:8">
      <c r="A74" s="972">
        <v>1997.05</v>
      </c>
      <c r="B74" s="215">
        <v>20204381.739999998</v>
      </c>
      <c r="C74" s="3538">
        <v>41141430.700000003</v>
      </c>
      <c r="D74" s="141">
        <v>5222559.08</v>
      </c>
      <c r="E74" s="3538">
        <v>11124111.779999999</v>
      </c>
      <c r="F74" s="141">
        <v>6403061.1699999999</v>
      </c>
      <c r="G74" s="3538">
        <v>254491.37</v>
      </c>
      <c r="H74" s="2365">
        <f t="shared" si="0"/>
        <v>84350035.840000004</v>
      </c>
    </row>
    <row r="75" spans="1:8">
      <c r="A75" s="972">
        <v>1997.06</v>
      </c>
      <c r="B75" s="215">
        <v>20204381.739999998</v>
      </c>
      <c r="C75" s="3538">
        <v>41141430.700000003</v>
      </c>
      <c r="D75" s="141">
        <v>5222559.08</v>
      </c>
      <c r="E75" s="3538">
        <v>11124111.779999999</v>
      </c>
      <c r="F75" s="141">
        <v>6403061.1699999999</v>
      </c>
      <c r="G75" s="3538">
        <v>254491.37</v>
      </c>
      <c r="H75" s="2365">
        <f t="shared" ref="H75:H138" si="1">_xlfn.AGGREGATE(9,6,B75:G75)</f>
        <v>84350035.840000004</v>
      </c>
    </row>
    <row r="76" spans="1:8">
      <c r="A76" s="972">
        <v>1997.07</v>
      </c>
      <c r="B76" s="215">
        <v>24018574.129999999</v>
      </c>
      <c r="C76" s="3538">
        <v>40288593.829999998</v>
      </c>
      <c r="D76" s="141">
        <v>7305986.7300000004</v>
      </c>
      <c r="E76" s="3538">
        <v>11724032.17</v>
      </c>
      <c r="F76" s="141">
        <v>5130231.8</v>
      </c>
      <c r="G76" s="3538">
        <v>212439.79</v>
      </c>
      <c r="H76" s="2365">
        <f t="shared" si="1"/>
        <v>88679858.450000003</v>
      </c>
    </row>
    <row r="77" spans="1:8">
      <c r="A77" s="972">
        <v>1997.08</v>
      </c>
      <c r="B77" s="215">
        <v>15942811.42</v>
      </c>
      <c r="C77" s="3538">
        <v>42406771.590000004</v>
      </c>
      <c r="D77" s="141">
        <v>5209310.3</v>
      </c>
      <c r="E77" s="3538">
        <v>12730657.279999999</v>
      </c>
      <c r="F77" s="141">
        <v>4073454.55</v>
      </c>
      <c r="G77" s="3538">
        <v>217093.42</v>
      </c>
      <c r="H77" s="2365">
        <f t="shared" si="1"/>
        <v>80580098.560000002</v>
      </c>
    </row>
    <row r="78" spans="1:8">
      <c r="A78" s="972">
        <v>1997.09</v>
      </c>
      <c r="B78" s="215">
        <v>6295810.2199999997</v>
      </c>
      <c r="C78" s="3538">
        <v>40842079.439999998</v>
      </c>
      <c r="D78" s="141">
        <v>5164908.17</v>
      </c>
      <c r="E78" s="3538">
        <v>12117487.4</v>
      </c>
      <c r="F78" s="141">
        <v>9825239.2699999996</v>
      </c>
      <c r="G78" s="3538">
        <v>298607.63</v>
      </c>
      <c r="H78" s="2365">
        <f t="shared" si="1"/>
        <v>74544132.129999995</v>
      </c>
    </row>
    <row r="79" spans="1:8">
      <c r="A79" s="972">
        <v>1997.1</v>
      </c>
      <c r="B79" s="215">
        <v>18708299.73</v>
      </c>
      <c r="C79" s="3538">
        <v>40274987.030000001</v>
      </c>
      <c r="D79" s="141">
        <v>5175482.49</v>
      </c>
      <c r="E79" s="3538">
        <v>12917849.609999999</v>
      </c>
      <c r="F79" s="141">
        <v>3930969.85</v>
      </c>
      <c r="G79" s="3538">
        <v>263145.78999999998</v>
      </c>
      <c r="H79" s="2365">
        <f t="shared" si="1"/>
        <v>81270734.500000015</v>
      </c>
    </row>
    <row r="80" spans="1:8">
      <c r="A80" s="972">
        <v>1997.11</v>
      </c>
      <c r="B80" s="215">
        <v>15056321.32</v>
      </c>
      <c r="C80" s="3538">
        <v>40088875.289999999</v>
      </c>
      <c r="D80" s="141">
        <v>6169055.54</v>
      </c>
      <c r="E80" s="3538">
        <v>11696514.529999999</v>
      </c>
      <c r="F80" s="141">
        <v>9435986.7799999993</v>
      </c>
      <c r="G80" s="3538">
        <v>259791.76</v>
      </c>
      <c r="H80" s="2365">
        <f t="shared" si="1"/>
        <v>82706545.219999999</v>
      </c>
    </row>
    <row r="81" spans="1:8">
      <c r="A81" s="972">
        <v>1997.12</v>
      </c>
      <c r="B81" s="215">
        <v>6003911.8600000003</v>
      </c>
      <c r="C81" s="3538">
        <v>39138256.869999997</v>
      </c>
      <c r="D81" s="141">
        <v>4847074.28</v>
      </c>
      <c r="E81" s="3538">
        <v>12116147.82</v>
      </c>
      <c r="F81" s="141">
        <v>3398452.13</v>
      </c>
      <c r="G81" s="3538">
        <v>223539.34</v>
      </c>
      <c r="H81" s="2365">
        <f t="shared" si="1"/>
        <v>65727382.300000004</v>
      </c>
    </row>
    <row r="82" spans="1:8">
      <c r="A82" s="972">
        <v>1998.01</v>
      </c>
      <c r="B82" s="215">
        <v>4360269.99</v>
      </c>
      <c r="C82" s="3538">
        <v>42620051.789999999</v>
      </c>
      <c r="D82" s="141">
        <v>7320467.0999999996</v>
      </c>
      <c r="E82" s="3538">
        <v>11990779.16</v>
      </c>
      <c r="F82" s="141">
        <v>4818756.17</v>
      </c>
      <c r="G82" s="3538">
        <v>561553.79</v>
      </c>
      <c r="H82" s="2365">
        <f t="shared" si="1"/>
        <v>71671878.000000015</v>
      </c>
    </row>
    <row r="83" spans="1:8">
      <c r="A83" s="972">
        <v>1998.02</v>
      </c>
      <c r="B83" s="215">
        <v>19587668.010000002</v>
      </c>
      <c r="C83" s="3538">
        <v>39944228.009999998</v>
      </c>
      <c r="D83" s="141">
        <v>5301233.7699999996</v>
      </c>
      <c r="E83" s="3538">
        <v>11471217.210000001</v>
      </c>
      <c r="F83" s="141">
        <v>2919867.73</v>
      </c>
      <c r="G83" s="3538">
        <v>213905.98</v>
      </c>
      <c r="H83" s="2365">
        <f t="shared" si="1"/>
        <v>79438120.710000008</v>
      </c>
    </row>
    <row r="84" spans="1:8">
      <c r="A84" s="972">
        <v>1998.03</v>
      </c>
      <c r="B84" s="215">
        <v>19179330.780000001</v>
      </c>
      <c r="C84" s="3538">
        <v>37915542.840000004</v>
      </c>
      <c r="D84" s="141">
        <v>5150680.13</v>
      </c>
      <c r="E84" s="3538">
        <v>11166327.92</v>
      </c>
      <c r="F84" s="141">
        <v>2613691.75</v>
      </c>
      <c r="G84" s="3538">
        <v>188634.2</v>
      </c>
      <c r="H84" s="2365">
        <f t="shared" si="1"/>
        <v>76214207.620000005</v>
      </c>
    </row>
    <row r="85" spans="1:8">
      <c r="A85" s="972">
        <v>1998.04</v>
      </c>
      <c r="B85" s="215">
        <v>7466149.29</v>
      </c>
      <c r="C85" s="3538">
        <v>42269255.939999998</v>
      </c>
      <c r="D85" s="141">
        <v>4976008.54</v>
      </c>
      <c r="E85" s="3538">
        <v>12645528.289999999</v>
      </c>
      <c r="F85" s="141">
        <v>13054617.529999999</v>
      </c>
      <c r="G85" s="3538">
        <v>256885.29</v>
      </c>
      <c r="H85" s="2365">
        <f t="shared" si="1"/>
        <v>80668444.88000001</v>
      </c>
    </row>
    <row r="86" spans="1:8">
      <c r="A86" s="972">
        <v>1998.05</v>
      </c>
      <c r="B86" s="215">
        <v>19457704.82</v>
      </c>
      <c r="C86" s="3538">
        <v>44402740.799999997</v>
      </c>
      <c r="D86" s="141">
        <v>5018369.63</v>
      </c>
      <c r="E86" s="3538">
        <v>11533337.92</v>
      </c>
      <c r="F86" s="141">
        <v>6277018.2199999997</v>
      </c>
      <c r="G86" s="3538">
        <v>247195.38</v>
      </c>
      <c r="H86" s="2365">
        <f t="shared" si="1"/>
        <v>86936366.769999996</v>
      </c>
    </row>
    <row r="87" spans="1:8">
      <c r="A87" s="972">
        <v>1998.06</v>
      </c>
      <c r="B87" s="215">
        <v>18092612.02</v>
      </c>
      <c r="C87" s="3538">
        <v>41529123.950000003</v>
      </c>
      <c r="D87" s="141">
        <v>4918191.66</v>
      </c>
      <c r="E87" s="3538">
        <v>12119399.65</v>
      </c>
      <c r="F87" s="141">
        <v>11320742.810000001</v>
      </c>
      <c r="G87" s="3538">
        <v>265033.03000000003</v>
      </c>
      <c r="H87" s="2365">
        <f t="shared" si="1"/>
        <v>88245103.120000005</v>
      </c>
    </row>
    <row r="88" spans="1:8">
      <c r="A88" s="972">
        <v>1998.07</v>
      </c>
      <c r="B88" s="215">
        <v>24867488.629999999</v>
      </c>
      <c r="C88" s="3538">
        <v>42730672.689999998</v>
      </c>
      <c r="D88" s="141">
        <v>7131055.6399999997</v>
      </c>
      <c r="E88" s="3538">
        <v>12739441.32</v>
      </c>
      <c r="F88" s="141">
        <v>5400460.5899999999</v>
      </c>
      <c r="G88" s="3538">
        <v>226798.13</v>
      </c>
      <c r="H88" s="2365">
        <f t="shared" si="1"/>
        <v>93095917</v>
      </c>
    </row>
    <row r="89" spans="1:8">
      <c r="A89" s="972">
        <v>1998.08</v>
      </c>
      <c r="B89" s="215">
        <v>19308158.879999999</v>
      </c>
      <c r="C89" s="3538">
        <v>41754662.619999997</v>
      </c>
      <c r="D89" s="141">
        <v>4873050.29</v>
      </c>
      <c r="E89" s="3538">
        <v>13856524.58</v>
      </c>
      <c r="F89" s="141">
        <v>4469479.92</v>
      </c>
      <c r="G89" s="3538">
        <v>256720.36</v>
      </c>
      <c r="H89" s="2365">
        <f t="shared" si="1"/>
        <v>84518596.650000006</v>
      </c>
    </row>
    <row r="90" spans="1:8">
      <c r="A90" s="972">
        <v>1998.09</v>
      </c>
      <c r="B90" s="215">
        <v>8964689.5700000003</v>
      </c>
      <c r="C90" s="3538">
        <v>41085946.229999997</v>
      </c>
      <c r="D90" s="141">
        <v>4711776.72</v>
      </c>
      <c r="E90" s="3538">
        <v>12853472.08</v>
      </c>
      <c r="F90" s="141">
        <v>8499431.1999999993</v>
      </c>
      <c r="G90" s="3538">
        <v>319227.76</v>
      </c>
      <c r="H90" s="2365">
        <f t="shared" si="1"/>
        <v>76434543.560000002</v>
      </c>
    </row>
    <row r="91" spans="1:8">
      <c r="A91" s="972">
        <v>1998.1</v>
      </c>
      <c r="B91" s="215">
        <v>18889628.039999999</v>
      </c>
      <c r="C91" s="3538">
        <v>39885475.710000001</v>
      </c>
      <c r="D91" s="141">
        <v>4723804.72</v>
      </c>
      <c r="E91" s="3538">
        <v>12578439.93</v>
      </c>
      <c r="F91" s="141">
        <v>3932462.35</v>
      </c>
      <c r="G91" s="3538">
        <v>282975.56</v>
      </c>
      <c r="H91" s="2365">
        <f t="shared" si="1"/>
        <v>80292786.310000002</v>
      </c>
    </row>
    <row r="92" spans="1:8">
      <c r="A92" s="972">
        <v>1998.11</v>
      </c>
      <c r="B92" s="215">
        <v>17847498.32</v>
      </c>
      <c r="C92" s="3538">
        <v>40556705.609999999</v>
      </c>
      <c r="D92" s="141">
        <v>4804099.57</v>
      </c>
      <c r="E92" s="3538">
        <v>11908026.52</v>
      </c>
      <c r="F92" s="141">
        <v>9332963.6600000001</v>
      </c>
      <c r="G92" s="3538">
        <v>316859.86</v>
      </c>
      <c r="H92" s="2365">
        <f t="shared" si="1"/>
        <v>84766153.539999992</v>
      </c>
    </row>
    <row r="93" spans="1:8">
      <c r="A93" s="972">
        <v>1998.12</v>
      </c>
      <c r="B93" s="215">
        <v>8398824</v>
      </c>
      <c r="C93" s="3538">
        <v>39612028</v>
      </c>
      <c r="D93" s="141">
        <v>4283001</v>
      </c>
      <c r="E93" s="3538">
        <v>12272026</v>
      </c>
      <c r="F93" s="141">
        <v>3798871</v>
      </c>
      <c r="G93" s="3538">
        <v>286466</v>
      </c>
      <c r="H93" s="2365">
        <f t="shared" si="1"/>
        <v>68651216</v>
      </c>
    </row>
    <row r="94" spans="1:8">
      <c r="A94" s="972">
        <v>1999.01</v>
      </c>
      <c r="B94" s="215">
        <v>4665708</v>
      </c>
      <c r="C94" s="3538">
        <v>41941015</v>
      </c>
      <c r="D94" s="141">
        <v>6646022</v>
      </c>
      <c r="E94" s="3538">
        <v>11586789</v>
      </c>
      <c r="F94" s="141">
        <v>4874185</v>
      </c>
      <c r="G94" s="3538">
        <v>395396</v>
      </c>
      <c r="H94" s="2365">
        <f t="shared" si="1"/>
        <v>70109115</v>
      </c>
    </row>
    <row r="95" spans="1:8">
      <c r="A95" s="972">
        <v>1999.02</v>
      </c>
      <c r="B95" s="215">
        <v>21214444</v>
      </c>
      <c r="C95" s="3538">
        <v>37971944</v>
      </c>
      <c r="D95" s="141">
        <v>4563402</v>
      </c>
      <c r="E95" s="3538">
        <v>10458305</v>
      </c>
      <c r="F95" s="141">
        <v>2667580</v>
      </c>
      <c r="G95" s="3538">
        <v>271378</v>
      </c>
      <c r="H95" s="2365">
        <f t="shared" si="1"/>
        <v>77147053</v>
      </c>
    </row>
    <row r="96" spans="1:8">
      <c r="A96" s="972">
        <v>1999.03</v>
      </c>
      <c r="B96" s="215">
        <v>19286926</v>
      </c>
      <c r="C96" s="3538">
        <v>33726204</v>
      </c>
      <c r="D96" s="141">
        <v>4345798</v>
      </c>
      <c r="E96" s="3538">
        <v>9978794</v>
      </c>
      <c r="F96" s="141">
        <v>2630398</v>
      </c>
      <c r="G96" s="3538">
        <v>274387</v>
      </c>
      <c r="H96" s="2365">
        <f t="shared" si="1"/>
        <v>70242507</v>
      </c>
    </row>
    <row r="97" spans="1:8">
      <c r="A97" s="972">
        <v>1999.04</v>
      </c>
      <c r="B97" s="215">
        <v>9380040</v>
      </c>
      <c r="C97" s="3538">
        <v>37709596</v>
      </c>
      <c r="D97" s="141">
        <v>4258491</v>
      </c>
      <c r="E97" s="3538">
        <v>9807777</v>
      </c>
      <c r="F97" s="141">
        <v>13669652</v>
      </c>
      <c r="G97" s="3538">
        <v>275139</v>
      </c>
      <c r="H97" s="2365">
        <f t="shared" si="1"/>
        <v>75100695</v>
      </c>
    </row>
    <row r="98" spans="1:8">
      <c r="A98" s="972">
        <v>1999.05</v>
      </c>
      <c r="B98" s="215">
        <v>20588265</v>
      </c>
      <c r="C98" s="3538">
        <v>36968408</v>
      </c>
      <c r="D98" s="141">
        <v>4203436</v>
      </c>
      <c r="E98" s="3538">
        <v>10207588</v>
      </c>
      <c r="F98" s="141">
        <v>5948597</v>
      </c>
      <c r="G98" s="3538">
        <v>274111</v>
      </c>
      <c r="H98" s="2365">
        <f t="shared" si="1"/>
        <v>78190405</v>
      </c>
    </row>
    <row r="99" spans="1:8">
      <c r="A99" s="972">
        <v>1999.06</v>
      </c>
      <c r="B99" s="215">
        <v>18583640.800000001</v>
      </c>
      <c r="C99" s="3538">
        <v>35690174.840000004</v>
      </c>
      <c r="D99" s="141">
        <v>4196785.16</v>
      </c>
      <c r="E99" s="3538">
        <v>11120020.99</v>
      </c>
      <c r="F99" s="141">
        <v>12748377.890000001</v>
      </c>
      <c r="G99" s="3538">
        <v>314634.27</v>
      </c>
      <c r="H99" s="2365">
        <f t="shared" si="1"/>
        <v>82653633.949999988</v>
      </c>
    </row>
    <row r="100" spans="1:8">
      <c r="A100" s="972">
        <v>1999.07</v>
      </c>
      <c r="B100" s="215">
        <v>22093100.960000001</v>
      </c>
      <c r="C100" s="3538">
        <v>36393034.880000003</v>
      </c>
      <c r="D100" s="141">
        <v>6158302.75</v>
      </c>
      <c r="E100" s="3538">
        <v>10945264.039999999</v>
      </c>
      <c r="F100" s="141">
        <v>4809792.18</v>
      </c>
      <c r="G100" s="3538">
        <v>258968.04</v>
      </c>
      <c r="H100" s="2365">
        <f t="shared" si="1"/>
        <v>80658462.850000009</v>
      </c>
    </row>
    <row r="101" spans="1:8">
      <c r="A101" s="972">
        <v>1999.08</v>
      </c>
      <c r="B101" s="215">
        <v>18808221</v>
      </c>
      <c r="C101" s="3538">
        <v>36036920</v>
      </c>
      <c r="D101" s="141">
        <v>4097577</v>
      </c>
      <c r="E101" s="3538">
        <v>11501169</v>
      </c>
      <c r="F101" s="141">
        <v>5276660</v>
      </c>
      <c r="G101" s="3538">
        <v>313470</v>
      </c>
      <c r="H101" s="2365">
        <f t="shared" si="1"/>
        <v>76034017</v>
      </c>
    </row>
    <row r="102" spans="1:8">
      <c r="A102" s="972">
        <v>1999.09</v>
      </c>
      <c r="B102" s="215">
        <v>8141354</v>
      </c>
      <c r="C102" s="3538">
        <v>35142602</v>
      </c>
      <c r="D102" s="141">
        <v>4165250</v>
      </c>
      <c r="E102" s="3538">
        <v>12394948</v>
      </c>
      <c r="F102" s="141">
        <v>9183545</v>
      </c>
      <c r="G102" s="3538">
        <v>312295</v>
      </c>
      <c r="H102" s="2365">
        <f t="shared" si="1"/>
        <v>69339994</v>
      </c>
    </row>
    <row r="103" spans="1:8">
      <c r="A103" s="972">
        <v>1999.1</v>
      </c>
      <c r="B103" s="215">
        <v>17146404</v>
      </c>
      <c r="C103" s="3538">
        <v>35211218</v>
      </c>
      <c r="D103" s="141">
        <v>4260396</v>
      </c>
      <c r="E103" s="3538">
        <v>11803359</v>
      </c>
      <c r="F103" s="141">
        <v>3759925</v>
      </c>
      <c r="G103" s="3538">
        <v>317816</v>
      </c>
      <c r="H103" s="2365">
        <f t="shared" si="1"/>
        <v>72499118</v>
      </c>
    </row>
    <row r="104" spans="1:8">
      <c r="A104" s="972">
        <v>1999.11</v>
      </c>
      <c r="B104" s="215">
        <v>17226856</v>
      </c>
      <c r="C104" s="3538">
        <v>36490417</v>
      </c>
      <c r="D104" s="141">
        <v>4281769</v>
      </c>
      <c r="E104" s="3538">
        <v>12821302</v>
      </c>
      <c r="F104" s="141">
        <v>10620098</v>
      </c>
      <c r="G104" s="3538">
        <v>348270</v>
      </c>
      <c r="H104" s="2365">
        <f t="shared" si="1"/>
        <v>81788712</v>
      </c>
    </row>
    <row r="105" spans="1:8">
      <c r="A105" s="972">
        <v>1999.12</v>
      </c>
      <c r="B105" s="215">
        <v>27050839</v>
      </c>
      <c r="C105" s="3538">
        <v>42867139</v>
      </c>
      <c r="D105" s="141">
        <v>4285544</v>
      </c>
      <c r="E105" s="3538">
        <v>13371064</v>
      </c>
      <c r="F105" s="141">
        <v>7107154</v>
      </c>
      <c r="G105" s="3538">
        <v>286437</v>
      </c>
      <c r="H105" s="2365">
        <f t="shared" si="1"/>
        <v>94968177</v>
      </c>
    </row>
    <row r="106" spans="1:8">
      <c r="A106" s="972">
        <v>2000.01</v>
      </c>
      <c r="B106" s="215">
        <v>13444481</v>
      </c>
      <c r="C106" s="3538">
        <v>46651122</v>
      </c>
      <c r="D106" s="141">
        <v>6301058</v>
      </c>
      <c r="E106" s="3538">
        <v>12160119</v>
      </c>
      <c r="F106" s="141">
        <v>6810551</v>
      </c>
      <c r="G106" s="3538">
        <v>211935</v>
      </c>
      <c r="H106" s="2365">
        <f t="shared" si="1"/>
        <v>85579266</v>
      </c>
    </row>
    <row r="107" spans="1:8">
      <c r="A107" s="972">
        <v>2000.02</v>
      </c>
      <c r="B107" s="215">
        <v>24906636</v>
      </c>
      <c r="C107" s="3538">
        <v>38976750</v>
      </c>
      <c r="D107" s="141">
        <v>4474452</v>
      </c>
      <c r="E107" s="3538">
        <v>10911337</v>
      </c>
      <c r="F107" s="141">
        <v>3203120</v>
      </c>
      <c r="G107" s="3538">
        <v>296939</v>
      </c>
      <c r="H107" s="2365">
        <f t="shared" si="1"/>
        <v>82769234</v>
      </c>
    </row>
    <row r="108" spans="1:8">
      <c r="A108" s="972">
        <v>2000.03</v>
      </c>
      <c r="B108" s="215">
        <v>17980172</v>
      </c>
      <c r="C108" s="3538">
        <v>33703853</v>
      </c>
      <c r="D108" s="141">
        <v>4283879</v>
      </c>
      <c r="E108" s="3538">
        <v>11087444</v>
      </c>
      <c r="F108" s="141">
        <v>2331684</v>
      </c>
      <c r="G108" s="3538">
        <v>302329</v>
      </c>
      <c r="H108" s="2365">
        <f t="shared" si="1"/>
        <v>69689361</v>
      </c>
    </row>
    <row r="109" spans="1:8">
      <c r="A109" s="972">
        <v>2000.04</v>
      </c>
      <c r="B109" s="215">
        <v>14901148</v>
      </c>
      <c r="C109" s="3538">
        <v>41749775</v>
      </c>
      <c r="D109" s="141">
        <v>4300046</v>
      </c>
      <c r="E109" s="3538">
        <v>10322601</v>
      </c>
      <c r="F109" s="141">
        <v>12807749</v>
      </c>
      <c r="G109" s="3538">
        <v>281716</v>
      </c>
      <c r="H109" s="2365">
        <f t="shared" si="1"/>
        <v>84363035</v>
      </c>
    </row>
    <row r="110" spans="1:8">
      <c r="A110" s="972">
        <v>2000.05</v>
      </c>
      <c r="B110" s="215">
        <v>23695131</v>
      </c>
      <c r="C110" s="3538">
        <v>35866246</v>
      </c>
      <c r="D110" s="141">
        <v>4228804</v>
      </c>
      <c r="E110" s="3538">
        <v>9882517</v>
      </c>
      <c r="F110" s="141">
        <v>5382566</v>
      </c>
      <c r="G110" s="3538">
        <v>276965</v>
      </c>
      <c r="H110" s="2365">
        <f t="shared" si="1"/>
        <v>79332229</v>
      </c>
    </row>
    <row r="111" spans="1:8">
      <c r="A111" s="972">
        <v>2000.06</v>
      </c>
      <c r="B111" s="215">
        <v>16127676</v>
      </c>
      <c r="C111" s="3538">
        <v>37421690</v>
      </c>
      <c r="D111" s="141">
        <v>4311969</v>
      </c>
      <c r="E111" s="3538">
        <v>11232520</v>
      </c>
      <c r="F111" s="141">
        <v>12101785</v>
      </c>
      <c r="G111" s="3538">
        <v>307617</v>
      </c>
      <c r="H111" s="2365">
        <f t="shared" si="1"/>
        <v>81503257</v>
      </c>
    </row>
    <row r="112" spans="1:8">
      <c r="A112" s="972">
        <v>2000.07</v>
      </c>
      <c r="B112" s="215">
        <v>26674024</v>
      </c>
      <c r="C112" s="3538">
        <v>37394608</v>
      </c>
      <c r="D112" s="141">
        <v>7392153</v>
      </c>
      <c r="E112" s="3538">
        <v>11044175</v>
      </c>
      <c r="F112" s="141">
        <v>5081935</v>
      </c>
      <c r="G112" s="3538">
        <v>247307</v>
      </c>
      <c r="H112" s="2365">
        <f t="shared" si="1"/>
        <v>87834202</v>
      </c>
    </row>
    <row r="113" spans="1:8">
      <c r="A113" s="972">
        <v>2000.08</v>
      </c>
      <c r="B113" s="215">
        <v>16797618</v>
      </c>
      <c r="C113" s="3538">
        <v>35470993</v>
      </c>
      <c r="D113" s="141">
        <v>4155790</v>
      </c>
      <c r="E113" s="3538">
        <v>12079793</v>
      </c>
      <c r="F113" s="141">
        <v>5243611</v>
      </c>
      <c r="G113" s="3538">
        <v>315280</v>
      </c>
      <c r="H113" s="2365">
        <f t="shared" si="1"/>
        <v>74063085</v>
      </c>
    </row>
    <row r="114" spans="1:8">
      <c r="A114" s="972">
        <v>2000.09</v>
      </c>
      <c r="B114" s="215">
        <v>12060416</v>
      </c>
      <c r="C114" s="3538">
        <v>35650318</v>
      </c>
      <c r="D114" s="141">
        <v>4095356</v>
      </c>
      <c r="E114" s="3538">
        <v>11884246</v>
      </c>
      <c r="F114" s="141">
        <v>8819571</v>
      </c>
      <c r="G114" s="3538">
        <v>304814</v>
      </c>
      <c r="H114" s="2365">
        <f t="shared" si="1"/>
        <v>72814721</v>
      </c>
    </row>
    <row r="115" spans="1:8">
      <c r="A115" s="972">
        <v>2000.1</v>
      </c>
      <c r="B115" s="215">
        <v>21756230</v>
      </c>
      <c r="C115" s="3538">
        <v>36527558</v>
      </c>
      <c r="D115" s="141">
        <v>4125880</v>
      </c>
      <c r="E115" s="3538">
        <v>11150487</v>
      </c>
      <c r="F115" s="141">
        <v>4093427</v>
      </c>
      <c r="G115" s="3538">
        <v>307381</v>
      </c>
      <c r="H115" s="2365">
        <f t="shared" si="1"/>
        <v>77960963</v>
      </c>
    </row>
    <row r="116" spans="1:8">
      <c r="A116" s="972">
        <v>2000.11</v>
      </c>
      <c r="B116" s="215">
        <v>15032164</v>
      </c>
      <c r="C116" s="3538">
        <v>36071616</v>
      </c>
      <c r="D116" s="141">
        <v>4083778</v>
      </c>
      <c r="E116" s="3538">
        <v>11656307</v>
      </c>
      <c r="F116" s="141">
        <v>10648697</v>
      </c>
      <c r="G116" s="3538">
        <v>337954</v>
      </c>
      <c r="H116" s="2365">
        <f t="shared" si="1"/>
        <v>77830516</v>
      </c>
    </row>
    <row r="117" spans="1:8">
      <c r="A117" s="972">
        <v>2000.12</v>
      </c>
      <c r="B117" s="215">
        <v>11170140</v>
      </c>
      <c r="C117" s="3538">
        <v>35408746</v>
      </c>
      <c r="D117" s="141">
        <v>3991078</v>
      </c>
      <c r="E117" s="3538">
        <v>11543140</v>
      </c>
      <c r="F117" s="141">
        <v>3798764</v>
      </c>
      <c r="G117" s="3538">
        <v>249410</v>
      </c>
      <c r="H117" s="2365">
        <f t="shared" si="1"/>
        <v>66161278</v>
      </c>
    </row>
    <row r="118" spans="1:8">
      <c r="A118" s="972">
        <v>2001.01</v>
      </c>
      <c r="B118" s="215">
        <v>7248477</v>
      </c>
      <c r="C118" s="3538">
        <v>39487938</v>
      </c>
      <c r="D118" s="141">
        <v>6369797</v>
      </c>
      <c r="E118" s="3538">
        <v>11616669</v>
      </c>
      <c r="F118" s="141">
        <v>5720066</v>
      </c>
      <c r="G118" s="3538">
        <v>225686</v>
      </c>
      <c r="H118" s="2365">
        <f t="shared" si="1"/>
        <v>70668633</v>
      </c>
    </row>
    <row r="119" spans="1:8">
      <c r="A119" s="972">
        <v>2001.02</v>
      </c>
      <c r="B119" s="215">
        <v>20453476</v>
      </c>
      <c r="C119" s="3538">
        <v>33820950</v>
      </c>
      <c r="D119" s="141">
        <v>4329292</v>
      </c>
      <c r="E119" s="3538">
        <v>10577763</v>
      </c>
      <c r="F119" s="141">
        <v>2260686</v>
      </c>
      <c r="G119" s="3538">
        <v>275505</v>
      </c>
      <c r="H119" s="2365">
        <f t="shared" si="1"/>
        <v>71717672</v>
      </c>
    </row>
    <row r="120" spans="1:8">
      <c r="A120" s="972">
        <v>2001.03</v>
      </c>
      <c r="B120" s="215">
        <v>15456329</v>
      </c>
      <c r="C120" s="3538">
        <v>31700888</v>
      </c>
      <c r="D120" s="141">
        <v>4380953</v>
      </c>
      <c r="E120" s="3538">
        <v>10575488</v>
      </c>
      <c r="F120" s="141">
        <v>2105723</v>
      </c>
      <c r="G120" s="3538">
        <v>275257</v>
      </c>
      <c r="H120" s="2365">
        <f t="shared" si="1"/>
        <v>64494638</v>
      </c>
    </row>
    <row r="121" spans="1:8">
      <c r="A121" s="972">
        <v>2001.04</v>
      </c>
      <c r="B121" s="215">
        <v>10893516</v>
      </c>
      <c r="C121" s="3538">
        <v>33361185</v>
      </c>
      <c r="D121" s="141">
        <v>3792680</v>
      </c>
      <c r="E121" s="3538">
        <v>9384046</v>
      </c>
      <c r="F121" s="141">
        <v>11857631</v>
      </c>
      <c r="G121" s="3538">
        <v>257853</v>
      </c>
      <c r="H121" s="2365">
        <f t="shared" si="1"/>
        <v>69546911</v>
      </c>
    </row>
    <row r="122" spans="1:8">
      <c r="A122" s="972">
        <v>2001.05</v>
      </c>
      <c r="B122" s="215">
        <v>22165980</v>
      </c>
      <c r="C122" s="3538">
        <v>35784331</v>
      </c>
      <c r="D122" s="141">
        <v>3774047</v>
      </c>
      <c r="E122" s="3538">
        <v>10608877</v>
      </c>
      <c r="F122" s="141">
        <v>5227680</v>
      </c>
      <c r="G122" s="3538">
        <v>292404</v>
      </c>
      <c r="H122" s="2365">
        <f t="shared" si="1"/>
        <v>77853319</v>
      </c>
    </row>
    <row r="123" spans="1:8">
      <c r="A123" s="972">
        <v>2001.06</v>
      </c>
      <c r="B123" s="215">
        <v>14951345</v>
      </c>
      <c r="C123" s="3538">
        <v>35866167</v>
      </c>
      <c r="D123" s="141">
        <v>3748093</v>
      </c>
      <c r="E123" s="3538">
        <v>10734398</v>
      </c>
      <c r="F123" s="141">
        <v>11478158</v>
      </c>
      <c r="G123" s="3538">
        <v>293523</v>
      </c>
      <c r="H123" s="2365">
        <f t="shared" si="1"/>
        <v>77071684</v>
      </c>
    </row>
    <row r="124" spans="1:8">
      <c r="A124" s="972">
        <v>2001.07</v>
      </c>
      <c r="B124" s="215">
        <v>24317167</v>
      </c>
      <c r="C124" s="3538">
        <v>34323675</v>
      </c>
      <c r="D124" s="141">
        <v>5294656</v>
      </c>
      <c r="E124" s="3538">
        <v>9464103</v>
      </c>
      <c r="F124" s="141">
        <v>4589726</v>
      </c>
      <c r="G124" s="3538">
        <v>243217</v>
      </c>
      <c r="H124" s="2365">
        <f t="shared" si="1"/>
        <v>78232544</v>
      </c>
    </row>
    <row r="125" spans="1:8">
      <c r="A125" s="972">
        <v>2001.08</v>
      </c>
      <c r="B125" s="215">
        <v>15551115</v>
      </c>
      <c r="C125" s="3538">
        <v>32704550</v>
      </c>
      <c r="D125" s="141">
        <v>3586712</v>
      </c>
      <c r="E125" s="3538">
        <v>10848236</v>
      </c>
      <c r="F125" s="141">
        <v>4783413</v>
      </c>
      <c r="G125" s="3538">
        <v>292987</v>
      </c>
      <c r="H125" s="2365">
        <f t="shared" si="1"/>
        <v>67767013</v>
      </c>
    </row>
    <row r="126" spans="1:8">
      <c r="A126" s="972">
        <v>2001.09</v>
      </c>
      <c r="B126" s="215">
        <v>10696758</v>
      </c>
      <c r="C126" s="3538">
        <v>31621393</v>
      </c>
      <c r="D126" s="141">
        <v>3543838</v>
      </c>
      <c r="E126" s="3538">
        <v>9495867</v>
      </c>
      <c r="F126" s="141">
        <v>8060722</v>
      </c>
      <c r="G126" s="3538">
        <v>266459</v>
      </c>
      <c r="H126" s="2365">
        <f t="shared" si="1"/>
        <v>63685037</v>
      </c>
    </row>
    <row r="127" spans="1:8">
      <c r="A127" s="972">
        <v>2001.1</v>
      </c>
      <c r="B127" s="215">
        <v>17319589</v>
      </c>
      <c r="C127" s="3538">
        <v>31498251</v>
      </c>
      <c r="D127" s="141">
        <v>3543542</v>
      </c>
      <c r="E127" s="3538">
        <v>10503456</v>
      </c>
      <c r="F127" s="141">
        <v>3834569</v>
      </c>
      <c r="G127" s="3538">
        <v>314892</v>
      </c>
      <c r="H127" s="2365">
        <f t="shared" si="1"/>
        <v>67014299</v>
      </c>
    </row>
    <row r="128" spans="1:8">
      <c r="A128" s="972">
        <v>2001.11</v>
      </c>
      <c r="B128" s="215">
        <v>11641989</v>
      </c>
      <c r="C128" s="3538">
        <v>30785711</v>
      </c>
      <c r="D128" s="141">
        <v>3440012</v>
      </c>
      <c r="E128" s="3538">
        <v>9941648</v>
      </c>
      <c r="F128" s="141">
        <v>9454672</v>
      </c>
      <c r="G128" s="3538">
        <v>300017</v>
      </c>
      <c r="H128" s="2365">
        <f t="shared" si="1"/>
        <v>65564049</v>
      </c>
    </row>
    <row r="129" spans="1:8">
      <c r="A129" s="972">
        <v>2001.12</v>
      </c>
      <c r="B129" s="215">
        <v>7556722</v>
      </c>
      <c r="C129" s="3538">
        <v>21703764</v>
      </c>
      <c r="D129" s="141">
        <v>2757606</v>
      </c>
      <c r="E129" s="3538">
        <v>7272328</v>
      </c>
      <c r="F129" s="141">
        <v>2373767</v>
      </c>
      <c r="G129" s="3538">
        <v>205254</v>
      </c>
      <c r="H129" s="2365">
        <f t="shared" si="1"/>
        <v>41869441</v>
      </c>
    </row>
    <row r="130" spans="1:8">
      <c r="A130" s="972">
        <v>2002.01</v>
      </c>
      <c r="B130" s="215">
        <v>10018829</v>
      </c>
      <c r="C130" s="3538">
        <v>27961004</v>
      </c>
      <c r="D130" s="141">
        <v>4686049</v>
      </c>
      <c r="E130" s="3538">
        <v>6211722</v>
      </c>
      <c r="F130" s="141">
        <v>4636557</v>
      </c>
      <c r="G130" s="3538">
        <v>151149</v>
      </c>
      <c r="H130" s="2365">
        <f t="shared" si="1"/>
        <v>53665310</v>
      </c>
    </row>
    <row r="131" spans="1:8">
      <c r="A131" s="972">
        <v>2002.02</v>
      </c>
      <c r="B131" s="215">
        <v>21413546</v>
      </c>
      <c r="C131" s="3538">
        <v>24237128</v>
      </c>
      <c r="D131" s="141">
        <v>3122868</v>
      </c>
      <c r="E131" s="3538">
        <v>5304961</v>
      </c>
      <c r="F131" s="141">
        <v>1772263</v>
      </c>
      <c r="G131" s="3538">
        <v>198338</v>
      </c>
      <c r="H131" s="2365">
        <f t="shared" si="1"/>
        <v>56049104</v>
      </c>
    </row>
    <row r="132" spans="1:8">
      <c r="A132" s="972">
        <v>2002.03</v>
      </c>
      <c r="B132" s="215">
        <v>19185128</v>
      </c>
      <c r="C132" s="3538">
        <v>26753561</v>
      </c>
      <c r="D132" s="141">
        <v>2905367</v>
      </c>
      <c r="E132" s="3538">
        <v>5538631</v>
      </c>
      <c r="F132" s="141">
        <v>1851869</v>
      </c>
      <c r="G132" s="3538">
        <v>183930</v>
      </c>
      <c r="H132" s="2365">
        <f t="shared" si="1"/>
        <v>56418486</v>
      </c>
    </row>
    <row r="133" spans="1:8">
      <c r="A133" s="972">
        <v>2002.04</v>
      </c>
      <c r="B133" s="215">
        <v>13225317</v>
      </c>
      <c r="C133" s="3538">
        <v>31096569</v>
      </c>
      <c r="D133" s="141">
        <v>3077461</v>
      </c>
      <c r="E133" s="3538">
        <v>7422650</v>
      </c>
      <c r="F133" s="141">
        <v>9121162</v>
      </c>
      <c r="G133" s="3538">
        <v>208673</v>
      </c>
      <c r="H133" s="2365">
        <f t="shared" si="1"/>
        <v>64151832</v>
      </c>
    </row>
    <row r="134" spans="1:8">
      <c r="A134" s="972">
        <v>2002.05</v>
      </c>
      <c r="B134" s="215">
        <v>22268433</v>
      </c>
      <c r="C134" s="3538">
        <v>36138824</v>
      </c>
      <c r="D134" s="141">
        <v>3113521</v>
      </c>
      <c r="E134" s="3538">
        <v>11467183</v>
      </c>
      <c r="F134" s="141">
        <v>5295545</v>
      </c>
      <c r="G134" s="3538">
        <v>216988</v>
      </c>
      <c r="H134" s="2365">
        <f t="shared" si="1"/>
        <v>78500494</v>
      </c>
    </row>
    <row r="135" spans="1:8">
      <c r="A135" s="972">
        <v>2002.06</v>
      </c>
      <c r="B135" s="215">
        <v>15619475</v>
      </c>
      <c r="C135" s="3538">
        <v>40643915</v>
      </c>
      <c r="D135" s="141">
        <v>3029309</v>
      </c>
      <c r="E135" s="3538">
        <v>8377650</v>
      </c>
      <c r="F135" s="141">
        <v>9902871</v>
      </c>
      <c r="G135" s="3538">
        <v>242386</v>
      </c>
      <c r="H135" s="2365">
        <f t="shared" si="1"/>
        <v>77815606</v>
      </c>
    </row>
    <row r="136" spans="1:8">
      <c r="A136" s="972">
        <v>2002.07</v>
      </c>
      <c r="B136" s="215">
        <v>25336889</v>
      </c>
      <c r="C136" s="3538">
        <v>43108473</v>
      </c>
      <c r="D136" s="141">
        <v>4477723</v>
      </c>
      <c r="E136" s="3538">
        <v>9979953</v>
      </c>
      <c r="F136" s="141">
        <v>4637639</v>
      </c>
      <c r="G136" s="3538">
        <v>226104</v>
      </c>
      <c r="H136" s="2365">
        <f t="shared" si="1"/>
        <v>87766781</v>
      </c>
    </row>
    <row r="137" spans="1:8">
      <c r="A137" s="972">
        <v>2002.08</v>
      </c>
      <c r="B137" s="215">
        <v>16239662</v>
      </c>
      <c r="C137" s="3538">
        <v>46520716</v>
      </c>
      <c r="D137" s="141">
        <v>3040623</v>
      </c>
      <c r="E137" s="3538">
        <v>9961753</v>
      </c>
      <c r="F137" s="141">
        <v>4588806</v>
      </c>
      <c r="G137" s="3538">
        <v>253162</v>
      </c>
      <c r="H137" s="2365">
        <f t="shared" si="1"/>
        <v>80604722</v>
      </c>
    </row>
    <row r="138" spans="1:8">
      <c r="A138" s="972">
        <v>2002.09</v>
      </c>
      <c r="B138" s="215">
        <v>11248894</v>
      </c>
      <c r="C138" s="3538">
        <v>46443879</v>
      </c>
      <c r="D138" s="141">
        <v>3114659</v>
      </c>
      <c r="E138" s="3538">
        <v>8766596</v>
      </c>
      <c r="F138" s="141">
        <v>8144087</v>
      </c>
      <c r="G138" s="3538">
        <v>256392</v>
      </c>
      <c r="H138" s="2365">
        <f t="shared" si="1"/>
        <v>77974507</v>
      </c>
    </row>
    <row r="139" spans="1:8">
      <c r="A139" s="972">
        <v>2002.1</v>
      </c>
      <c r="B139" s="215">
        <v>19169490</v>
      </c>
      <c r="C139" s="3538">
        <v>52953807</v>
      </c>
      <c r="D139" s="141">
        <v>3359305</v>
      </c>
      <c r="E139" s="3538">
        <v>12123487</v>
      </c>
      <c r="F139" s="141">
        <v>3871552</v>
      </c>
      <c r="G139" s="3538">
        <v>302786</v>
      </c>
      <c r="H139" s="2365">
        <f t="shared" ref="H139:H202" si="2">_xlfn.AGGREGATE(9,6,B139:G139)</f>
        <v>91780427</v>
      </c>
    </row>
    <row r="140" spans="1:8">
      <c r="A140" s="972">
        <v>2002.11</v>
      </c>
      <c r="B140" s="215">
        <v>13489309</v>
      </c>
      <c r="C140" s="3538">
        <v>52678067</v>
      </c>
      <c r="D140" s="141">
        <v>3132454</v>
      </c>
      <c r="E140" s="3538">
        <v>13920626</v>
      </c>
      <c r="F140" s="141">
        <v>9327702</v>
      </c>
      <c r="G140" s="3538">
        <v>645584</v>
      </c>
      <c r="H140" s="2365">
        <f t="shared" si="2"/>
        <v>93193742</v>
      </c>
    </row>
    <row r="141" spans="1:8">
      <c r="A141" s="972">
        <v>2002.12</v>
      </c>
      <c r="B141" s="215">
        <v>11068613</v>
      </c>
      <c r="C141" s="3538">
        <v>53425275</v>
      </c>
      <c r="D141" s="141">
        <v>3412167</v>
      </c>
      <c r="E141" s="3538">
        <v>10809410</v>
      </c>
      <c r="F141" s="141">
        <v>4139389</v>
      </c>
      <c r="G141" s="3538">
        <v>273862</v>
      </c>
      <c r="H141" s="2365">
        <f t="shared" si="2"/>
        <v>83128716</v>
      </c>
    </row>
    <row r="142" spans="1:8">
      <c r="A142" s="972">
        <v>2003.01</v>
      </c>
      <c r="B142" s="215">
        <v>4382997</v>
      </c>
      <c r="C142" s="3538">
        <v>75370933</v>
      </c>
      <c r="D142" s="141">
        <v>4989113</v>
      </c>
      <c r="E142" s="3538">
        <v>11060112</v>
      </c>
      <c r="F142" s="141">
        <v>4314294</v>
      </c>
      <c r="G142" s="3538">
        <v>234617</v>
      </c>
      <c r="H142" s="2365">
        <f t="shared" si="2"/>
        <v>100352066</v>
      </c>
    </row>
    <row r="143" spans="1:8">
      <c r="A143" s="972">
        <v>2003.02</v>
      </c>
      <c r="B143" s="215">
        <v>19724332</v>
      </c>
      <c r="C143" s="3538">
        <v>48305115</v>
      </c>
      <c r="D143" s="141">
        <v>3678309</v>
      </c>
      <c r="E143" s="3538">
        <v>9383824</v>
      </c>
      <c r="F143" s="141">
        <v>2278198</v>
      </c>
      <c r="G143" s="3538">
        <v>278773</v>
      </c>
      <c r="H143" s="2365">
        <f t="shared" si="2"/>
        <v>83648551</v>
      </c>
    </row>
    <row r="144" spans="1:8">
      <c r="A144" s="972">
        <v>2003.03</v>
      </c>
      <c r="B144" s="215">
        <v>14861590</v>
      </c>
      <c r="C144" s="3538">
        <v>47491014</v>
      </c>
      <c r="D144" s="141">
        <v>3453554</v>
      </c>
      <c r="E144" s="3538">
        <v>9041371</v>
      </c>
      <c r="F144" s="141">
        <v>2271932</v>
      </c>
      <c r="G144" s="3538">
        <v>300666</v>
      </c>
      <c r="H144" s="2365">
        <f t="shared" si="2"/>
        <v>77420127</v>
      </c>
    </row>
    <row r="145" spans="1:8">
      <c r="A145" s="972">
        <v>2003.04</v>
      </c>
      <c r="B145" s="215">
        <v>9366311</v>
      </c>
      <c r="C145" s="3538">
        <v>52040553</v>
      </c>
      <c r="D145" s="141">
        <v>3469927</v>
      </c>
      <c r="E145" s="3538">
        <v>10834349</v>
      </c>
      <c r="F145" s="141">
        <v>12572681</v>
      </c>
      <c r="G145" s="3538">
        <v>281781</v>
      </c>
      <c r="H145" s="2365">
        <f t="shared" si="2"/>
        <v>88565602</v>
      </c>
    </row>
    <row r="146" spans="1:8">
      <c r="A146" s="972">
        <v>2003.05</v>
      </c>
      <c r="B146" s="215">
        <v>25853714</v>
      </c>
      <c r="C146" s="3538">
        <v>53866303</v>
      </c>
      <c r="D146" s="141">
        <v>3612164</v>
      </c>
      <c r="E146" s="3538">
        <v>9829661</v>
      </c>
      <c r="F146" s="141">
        <v>5578118</v>
      </c>
      <c r="G146" s="3538">
        <v>302251</v>
      </c>
      <c r="H146" s="2365">
        <f t="shared" si="2"/>
        <v>99042211</v>
      </c>
    </row>
    <row r="147" spans="1:8">
      <c r="A147" s="972">
        <v>2003.06</v>
      </c>
      <c r="B147" s="215">
        <v>7479536</v>
      </c>
      <c r="C147" s="3538">
        <v>55247389</v>
      </c>
      <c r="D147" s="141">
        <v>3707883</v>
      </c>
      <c r="E147" s="3538">
        <v>11112777</v>
      </c>
      <c r="F147" s="141">
        <v>11300707</v>
      </c>
      <c r="G147" s="3538">
        <v>333853</v>
      </c>
      <c r="H147" s="2365">
        <f t="shared" si="2"/>
        <v>89182145</v>
      </c>
    </row>
    <row r="148" spans="1:8">
      <c r="A148" s="972">
        <v>2003.07</v>
      </c>
      <c r="B148" s="215">
        <v>7152406</v>
      </c>
      <c r="C148" s="3538">
        <v>55983074</v>
      </c>
      <c r="D148" s="141">
        <v>5415589</v>
      </c>
      <c r="E148" s="3538">
        <v>12857993</v>
      </c>
      <c r="F148" s="141">
        <v>4881647</v>
      </c>
      <c r="G148" s="3538">
        <v>283225</v>
      </c>
      <c r="H148" s="2365">
        <f t="shared" si="2"/>
        <v>86573934</v>
      </c>
    </row>
    <row r="149" spans="1:8">
      <c r="A149" s="972">
        <v>2003.08</v>
      </c>
      <c r="B149" s="215">
        <v>2847459</v>
      </c>
      <c r="C149" s="3538">
        <v>55256521</v>
      </c>
      <c r="D149" s="141">
        <v>3930867</v>
      </c>
      <c r="E149" s="3538">
        <v>11785766</v>
      </c>
      <c r="F149" s="141">
        <v>10174903</v>
      </c>
      <c r="G149" s="3538">
        <v>323790</v>
      </c>
      <c r="H149" s="2365">
        <f t="shared" si="2"/>
        <v>84319306</v>
      </c>
    </row>
    <row r="150" spans="1:8">
      <c r="A150" s="972">
        <v>2003.09</v>
      </c>
      <c r="B150" s="215">
        <v>29777706</v>
      </c>
      <c r="C150" s="3538">
        <v>63032220</v>
      </c>
      <c r="D150" s="141">
        <v>4080639</v>
      </c>
      <c r="E150" s="3538">
        <v>12752728</v>
      </c>
      <c r="F150" s="141">
        <v>5870354</v>
      </c>
      <c r="G150" s="3538">
        <v>332151</v>
      </c>
      <c r="H150" s="2365">
        <f t="shared" si="2"/>
        <v>115845798</v>
      </c>
    </row>
    <row r="151" spans="1:8">
      <c r="A151" s="972">
        <v>2003.1</v>
      </c>
      <c r="B151" s="215">
        <v>24673817</v>
      </c>
      <c r="C151" s="3538">
        <v>62990461</v>
      </c>
      <c r="D151" s="141">
        <v>3934067</v>
      </c>
      <c r="E151" s="3538">
        <v>12293550</v>
      </c>
      <c r="F151" s="141">
        <v>12426509</v>
      </c>
      <c r="G151" s="3538">
        <v>351130</v>
      </c>
      <c r="H151" s="2365">
        <f t="shared" si="2"/>
        <v>116669534</v>
      </c>
    </row>
    <row r="152" spans="1:8">
      <c r="A152" s="972">
        <v>2003.11</v>
      </c>
      <c r="B152" s="215">
        <v>36578612</v>
      </c>
      <c r="C152" s="3538">
        <v>68212240</v>
      </c>
      <c r="D152" s="141">
        <v>4100299</v>
      </c>
      <c r="E152" s="3538">
        <v>11960800</v>
      </c>
      <c r="F152" s="141">
        <v>8113059</v>
      </c>
      <c r="G152" s="3538">
        <v>353960</v>
      </c>
      <c r="H152" s="2365">
        <f t="shared" si="2"/>
        <v>129318970</v>
      </c>
    </row>
    <row r="153" spans="1:8">
      <c r="A153" s="972">
        <v>2003.12</v>
      </c>
      <c r="B153" s="215">
        <v>18550201</v>
      </c>
      <c r="C153" s="3538">
        <v>63708358</v>
      </c>
      <c r="D153" s="141">
        <v>4267741</v>
      </c>
      <c r="E153" s="3538">
        <v>14656642</v>
      </c>
      <c r="F153" s="141">
        <v>5675819</v>
      </c>
      <c r="G153" s="3538">
        <v>306888</v>
      </c>
      <c r="H153" s="2365">
        <f t="shared" si="2"/>
        <v>107165649</v>
      </c>
    </row>
    <row r="154" spans="1:8">
      <c r="A154" s="972">
        <v>2004.01</v>
      </c>
      <c r="B154" s="215">
        <v>11286033</v>
      </c>
      <c r="C154" s="3538">
        <v>69358249</v>
      </c>
      <c r="D154" s="141">
        <v>6148338</v>
      </c>
      <c r="E154" s="3538">
        <v>12204805</v>
      </c>
      <c r="F154" s="141">
        <v>2963901</v>
      </c>
      <c r="G154" s="3538">
        <v>260200</v>
      </c>
      <c r="H154" s="2365">
        <f t="shared" si="2"/>
        <v>102221526</v>
      </c>
    </row>
    <row r="155" spans="1:8">
      <c r="A155" s="972">
        <v>2004.02</v>
      </c>
      <c r="B155" s="215">
        <v>24456890</v>
      </c>
      <c r="C155" s="3538">
        <v>62726369</v>
      </c>
      <c r="D155" s="141">
        <v>4982134</v>
      </c>
      <c r="E155" s="3538">
        <v>12950475</v>
      </c>
      <c r="F155" s="141">
        <v>3149843</v>
      </c>
      <c r="G155" s="3538">
        <v>308286</v>
      </c>
      <c r="H155" s="2365">
        <f t="shared" si="2"/>
        <v>108573997</v>
      </c>
    </row>
    <row r="156" spans="1:8">
      <c r="A156" s="972">
        <v>2004.03</v>
      </c>
      <c r="B156" s="215">
        <v>34300383</v>
      </c>
      <c r="C156" s="3538">
        <v>75477754</v>
      </c>
      <c r="D156" s="141">
        <v>4956242</v>
      </c>
      <c r="E156" s="3538">
        <v>13304793</v>
      </c>
      <c r="F156" s="141">
        <v>6667780</v>
      </c>
      <c r="G156" s="3538">
        <v>341344</v>
      </c>
      <c r="H156" s="2365">
        <f t="shared" si="2"/>
        <v>135048296</v>
      </c>
    </row>
    <row r="157" spans="1:8">
      <c r="A157" s="972">
        <v>2004.04</v>
      </c>
      <c r="B157" s="215">
        <v>14581391</v>
      </c>
      <c r="C157" s="3538">
        <v>69316513</v>
      </c>
      <c r="D157" s="141">
        <v>4862854</v>
      </c>
      <c r="E157" s="3538">
        <v>13356709</v>
      </c>
      <c r="F157" s="141">
        <v>17841335</v>
      </c>
      <c r="G157" s="3538">
        <v>341026</v>
      </c>
      <c r="H157" s="2365">
        <f t="shared" si="2"/>
        <v>120299828</v>
      </c>
    </row>
    <row r="158" spans="1:8">
      <c r="A158" s="972">
        <v>2004.05</v>
      </c>
      <c r="B158" s="215">
        <v>25620673</v>
      </c>
      <c r="C158" s="3538">
        <v>74529893</v>
      </c>
      <c r="D158" s="141">
        <v>4858985</v>
      </c>
      <c r="E158" s="3538">
        <v>13404787</v>
      </c>
      <c r="F158" s="141">
        <v>5411711</v>
      </c>
      <c r="G158" s="3538">
        <v>360060</v>
      </c>
      <c r="H158" s="2365">
        <f t="shared" si="2"/>
        <v>124186109</v>
      </c>
    </row>
    <row r="159" spans="1:8">
      <c r="A159" s="972">
        <v>2004.06</v>
      </c>
      <c r="B159" s="215">
        <v>16814810</v>
      </c>
      <c r="C159" s="3538">
        <v>74229244</v>
      </c>
      <c r="D159" s="141">
        <v>4982653</v>
      </c>
      <c r="E159" s="3538">
        <v>13717074</v>
      </c>
      <c r="F159" s="141">
        <v>13960531</v>
      </c>
      <c r="G159" s="3538">
        <v>369350</v>
      </c>
      <c r="H159" s="2365">
        <f t="shared" si="2"/>
        <v>124073662</v>
      </c>
    </row>
    <row r="160" spans="1:8">
      <c r="A160" s="972">
        <v>2004.07</v>
      </c>
      <c r="B160" s="215">
        <v>11421255</v>
      </c>
      <c r="C160" s="3538">
        <v>75831887</v>
      </c>
      <c r="D160" s="141">
        <v>7109242</v>
      </c>
      <c r="E160" s="3538">
        <v>15837332</v>
      </c>
      <c r="F160" s="141">
        <v>4284170</v>
      </c>
      <c r="G160" s="3538">
        <v>351617</v>
      </c>
      <c r="H160" s="2365">
        <f t="shared" si="2"/>
        <v>114835503</v>
      </c>
    </row>
    <row r="161" spans="1:8">
      <c r="A161" s="972">
        <v>2004.08</v>
      </c>
      <c r="B161" s="215">
        <v>41898365</v>
      </c>
      <c r="C161" s="3538">
        <v>74760534</v>
      </c>
      <c r="D161" s="141">
        <v>5079596</v>
      </c>
      <c r="E161" s="3538">
        <v>15901131</v>
      </c>
      <c r="F161" s="141">
        <v>3777721</v>
      </c>
      <c r="G161" s="3538">
        <v>393253</v>
      </c>
      <c r="H161" s="2365">
        <f t="shared" si="2"/>
        <v>141810600</v>
      </c>
    </row>
    <row r="162" spans="1:8">
      <c r="A162" s="972">
        <v>2004.09</v>
      </c>
      <c r="B162" s="215">
        <v>11574543</v>
      </c>
      <c r="C162" s="3538">
        <v>75398222</v>
      </c>
      <c r="D162" s="141">
        <v>5058265</v>
      </c>
      <c r="E162" s="3538">
        <v>16858369</v>
      </c>
      <c r="F162" s="141">
        <v>15676975</v>
      </c>
      <c r="G162" s="3538">
        <v>382833</v>
      </c>
      <c r="H162" s="2365">
        <f t="shared" si="2"/>
        <v>124949207</v>
      </c>
    </row>
    <row r="163" spans="1:8">
      <c r="A163" s="972">
        <v>2004.1</v>
      </c>
      <c r="B163" s="215">
        <v>38514093</v>
      </c>
      <c r="C163" s="3538">
        <v>73130268</v>
      </c>
      <c r="D163" s="141">
        <v>6018772</v>
      </c>
      <c r="E163" s="3538">
        <v>15854486</v>
      </c>
      <c r="F163" s="141">
        <v>4823658</v>
      </c>
      <c r="G163" s="3538">
        <v>377380</v>
      </c>
      <c r="H163" s="2365">
        <f t="shared" si="2"/>
        <v>138718657</v>
      </c>
    </row>
    <row r="164" spans="1:8">
      <c r="A164" s="972">
        <v>2004.11</v>
      </c>
      <c r="B164" s="215">
        <v>11141580</v>
      </c>
      <c r="C164" s="3538">
        <v>75516596</v>
      </c>
      <c r="D164" s="141">
        <v>5995015</v>
      </c>
      <c r="E164" s="3538">
        <v>17558055</v>
      </c>
      <c r="F164" s="141">
        <v>14143889</v>
      </c>
      <c r="G164" s="3538">
        <v>403353</v>
      </c>
      <c r="H164" s="2365">
        <f t="shared" si="2"/>
        <v>124758488</v>
      </c>
    </row>
    <row r="165" spans="1:8">
      <c r="A165" s="972">
        <v>2004.12</v>
      </c>
      <c r="B165" s="215">
        <v>8637522</v>
      </c>
      <c r="C165" s="3538">
        <v>79451252</v>
      </c>
      <c r="D165" s="141">
        <v>6011610</v>
      </c>
      <c r="E165" s="3538">
        <v>20641328</v>
      </c>
      <c r="F165" s="141">
        <v>12167354</v>
      </c>
      <c r="G165" s="3538">
        <v>424738</v>
      </c>
      <c r="H165" s="2365">
        <f t="shared" si="2"/>
        <v>127333804</v>
      </c>
    </row>
    <row r="166" spans="1:8">
      <c r="A166" s="972">
        <v>2005.01</v>
      </c>
      <c r="B166" s="215">
        <v>9543203</v>
      </c>
      <c r="C166" s="3538">
        <v>89559899</v>
      </c>
      <c r="D166" s="141">
        <v>9174184</v>
      </c>
      <c r="E166" s="3538">
        <v>21401753</v>
      </c>
      <c r="F166" s="141">
        <v>7293555</v>
      </c>
      <c r="G166" s="3538">
        <v>319308</v>
      </c>
      <c r="H166" s="2365">
        <f t="shared" si="2"/>
        <v>137291902</v>
      </c>
    </row>
    <row r="167" spans="1:8">
      <c r="A167" s="972">
        <v>2005.02</v>
      </c>
      <c r="B167" s="215">
        <v>32416538</v>
      </c>
      <c r="C167" s="3538">
        <v>74004305</v>
      </c>
      <c r="D167" s="141">
        <v>5894856</v>
      </c>
      <c r="E167" s="3538">
        <v>15480765</v>
      </c>
      <c r="F167" s="141">
        <v>22153872</v>
      </c>
      <c r="G167" s="3538">
        <v>446684</v>
      </c>
      <c r="H167" s="2365">
        <f t="shared" si="2"/>
        <v>150397020</v>
      </c>
    </row>
    <row r="168" spans="1:8">
      <c r="A168" s="972">
        <v>2005.03</v>
      </c>
      <c r="B168" s="215">
        <v>16590933</v>
      </c>
      <c r="C168" s="3538">
        <v>74325957</v>
      </c>
      <c r="D168" s="141">
        <v>5480899</v>
      </c>
      <c r="E168" s="3538">
        <v>15838399</v>
      </c>
      <c r="F168" s="141">
        <v>7436445</v>
      </c>
      <c r="G168" s="3538">
        <v>371104</v>
      </c>
      <c r="H168" s="2365">
        <f t="shared" si="2"/>
        <v>120043737</v>
      </c>
    </row>
    <row r="169" spans="1:8">
      <c r="A169" s="972">
        <v>2005.04</v>
      </c>
      <c r="B169" s="215">
        <v>9974223</v>
      </c>
      <c r="C169" s="3538">
        <v>83664240</v>
      </c>
      <c r="D169" s="141">
        <v>5874247</v>
      </c>
      <c r="E169" s="3538">
        <v>19131819</v>
      </c>
      <c r="F169" s="141">
        <v>23386954</v>
      </c>
      <c r="G169" s="3538">
        <v>414964</v>
      </c>
      <c r="H169" s="2365">
        <f t="shared" si="2"/>
        <v>142446447</v>
      </c>
    </row>
    <row r="170" spans="1:8">
      <c r="A170" s="972">
        <v>2005.05</v>
      </c>
      <c r="B170" s="215">
        <v>31169204</v>
      </c>
      <c r="C170" s="3538">
        <v>86322842</v>
      </c>
      <c r="D170" s="141">
        <v>5761931</v>
      </c>
      <c r="E170" s="3538">
        <v>16525856</v>
      </c>
      <c r="F170" s="141">
        <v>8173043</v>
      </c>
      <c r="G170" s="3538">
        <v>383692</v>
      </c>
      <c r="H170" s="2365">
        <f t="shared" si="2"/>
        <v>148336568</v>
      </c>
    </row>
    <row r="171" spans="1:8">
      <c r="A171" s="972">
        <v>2005.06</v>
      </c>
      <c r="B171" s="215">
        <v>19104832</v>
      </c>
      <c r="C171" s="3538">
        <v>91245630</v>
      </c>
      <c r="D171" s="141">
        <v>5790883</v>
      </c>
      <c r="E171" s="3538">
        <v>19290820</v>
      </c>
      <c r="F171" s="141">
        <v>20294118</v>
      </c>
      <c r="G171" s="3538">
        <v>401925</v>
      </c>
      <c r="H171" s="2365">
        <f t="shared" si="2"/>
        <v>156128208</v>
      </c>
    </row>
    <row r="172" spans="1:8">
      <c r="A172" s="972">
        <v>2005.07</v>
      </c>
      <c r="B172" s="215">
        <v>32090228</v>
      </c>
      <c r="C172" s="3538">
        <v>86933772</v>
      </c>
      <c r="D172" s="141">
        <v>8230553</v>
      </c>
      <c r="E172" s="3538">
        <v>17957044</v>
      </c>
      <c r="F172" s="141">
        <v>7083304</v>
      </c>
      <c r="G172" s="3538">
        <v>380459</v>
      </c>
      <c r="H172" s="2365">
        <f t="shared" si="2"/>
        <v>152675360</v>
      </c>
    </row>
    <row r="173" spans="1:8">
      <c r="A173" s="972">
        <v>2005.08</v>
      </c>
      <c r="B173" s="215">
        <v>18280325</v>
      </c>
      <c r="C173" s="3538">
        <v>88148121</v>
      </c>
      <c r="D173" s="141">
        <v>6480676</v>
      </c>
      <c r="E173" s="3538">
        <v>18935556</v>
      </c>
      <c r="F173" s="141">
        <v>6636822</v>
      </c>
      <c r="G173" s="3538">
        <v>427354</v>
      </c>
      <c r="H173" s="2365">
        <f t="shared" si="2"/>
        <v>138908854</v>
      </c>
    </row>
    <row r="174" spans="1:8">
      <c r="A174" s="972">
        <v>2005.09</v>
      </c>
      <c r="B174" s="215">
        <v>9335888</v>
      </c>
      <c r="C174" s="3538">
        <v>92361079</v>
      </c>
      <c r="D174" s="141">
        <v>6351214</v>
      </c>
      <c r="E174" s="3538">
        <v>19514652</v>
      </c>
      <c r="F174" s="141">
        <v>18597340</v>
      </c>
      <c r="G174" s="3538">
        <v>408214</v>
      </c>
      <c r="H174" s="2365">
        <f t="shared" si="2"/>
        <v>146568387</v>
      </c>
    </row>
    <row r="175" spans="1:8">
      <c r="A175" s="972">
        <v>2005.1</v>
      </c>
      <c r="B175" s="215">
        <v>29007396</v>
      </c>
      <c r="C175" s="3538">
        <v>91416542</v>
      </c>
      <c r="D175" s="141">
        <v>6626223</v>
      </c>
      <c r="E175" s="3538">
        <v>19441519</v>
      </c>
      <c r="F175" s="141">
        <v>5693372</v>
      </c>
      <c r="G175" s="3538">
        <v>437876</v>
      </c>
      <c r="H175" s="2365">
        <f t="shared" si="2"/>
        <v>152622928</v>
      </c>
    </row>
    <row r="176" spans="1:8">
      <c r="A176" s="972">
        <v>2005.11</v>
      </c>
      <c r="B176" s="215">
        <v>15625823</v>
      </c>
      <c r="C176" s="3538">
        <v>96489354</v>
      </c>
      <c r="D176" s="141">
        <v>6691643</v>
      </c>
      <c r="E176" s="3538">
        <v>19613044</v>
      </c>
      <c r="F176" s="141">
        <v>18971551</v>
      </c>
      <c r="G176" s="3538">
        <v>461810</v>
      </c>
      <c r="H176" s="2365">
        <f t="shared" si="2"/>
        <v>157853225</v>
      </c>
    </row>
    <row r="177" spans="1:8">
      <c r="A177" s="972">
        <v>2005.12</v>
      </c>
      <c r="B177" s="215">
        <v>8252271</v>
      </c>
      <c r="C177" s="3538">
        <v>95855207</v>
      </c>
      <c r="D177" s="141">
        <v>6912705</v>
      </c>
      <c r="E177" s="3538">
        <v>20546592</v>
      </c>
      <c r="F177" s="141">
        <v>6178504</v>
      </c>
      <c r="G177" s="3538">
        <v>447415</v>
      </c>
      <c r="H177" s="2365">
        <f t="shared" si="2"/>
        <v>138192694</v>
      </c>
    </row>
    <row r="178" spans="1:8">
      <c r="A178" s="972">
        <v>2006.01</v>
      </c>
      <c r="B178" s="215">
        <v>5591294</v>
      </c>
      <c r="C178" s="3538">
        <v>103282137</v>
      </c>
      <c r="D178" s="141">
        <v>9610206</v>
      </c>
      <c r="E178" s="3538">
        <v>20921471</v>
      </c>
      <c r="F178" s="141">
        <v>7641730</v>
      </c>
      <c r="G178" s="3538">
        <v>357412</v>
      </c>
      <c r="H178" s="2365">
        <f t="shared" si="2"/>
        <v>147404250</v>
      </c>
    </row>
    <row r="179" spans="1:8">
      <c r="A179" s="972">
        <v>2006.02</v>
      </c>
      <c r="B179" s="215">
        <v>35010088</v>
      </c>
      <c r="C179" s="3538">
        <v>91460656</v>
      </c>
      <c r="D179" s="141">
        <v>6319668</v>
      </c>
      <c r="E179" s="3538">
        <v>23250609</v>
      </c>
      <c r="F179" s="141">
        <v>31104518</v>
      </c>
      <c r="G179" s="3538">
        <v>399361</v>
      </c>
      <c r="H179" s="2365">
        <f t="shared" si="2"/>
        <v>187544900</v>
      </c>
    </row>
    <row r="180" spans="1:8">
      <c r="A180" s="972">
        <v>2006.03</v>
      </c>
      <c r="B180" s="215">
        <v>19623955</v>
      </c>
      <c r="C180" s="3538">
        <v>90508588</v>
      </c>
      <c r="D180" s="141">
        <v>5846170</v>
      </c>
      <c r="E180" s="3538">
        <v>19532920</v>
      </c>
      <c r="F180" s="141">
        <v>10628329</v>
      </c>
      <c r="G180" s="3538">
        <v>411602</v>
      </c>
      <c r="H180" s="2365">
        <f t="shared" si="2"/>
        <v>146551564</v>
      </c>
    </row>
    <row r="181" spans="1:8">
      <c r="A181" s="972">
        <v>2006.04</v>
      </c>
      <c r="B181" s="215">
        <v>10193282</v>
      </c>
      <c r="C181" s="3538">
        <v>97508446</v>
      </c>
      <c r="D181" s="141">
        <v>5632441</v>
      </c>
      <c r="E181" s="3538">
        <v>18731773</v>
      </c>
      <c r="F181" s="141">
        <v>27610877</v>
      </c>
      <c r="G181" s="3538">
        <v>427218</v>
      </c>
      <c r="H181" s="2365">
        <f t="shared" si="2"/>
        <v>160104037</v>
      </c>
    </row>
    <row r="182" spans="1:8">
      <c r="A182" s="972">
        <v>2006.05</v>
      </c>
      <c r="B182" s="215">
        <v>31352277</v>
      </c>
      <c r="C182" s="3538">
        <v>104859642</v>
      </c>
      <c r="D182" s="141">
        <v>5854810</v>
      </c>
      <c r="E182" s="3538">
        <v>20938606</v>
      </c>
      <c r="F182" s="141">
        <v>10494942</v>
      </c>
      <c r="G182" s="3538">
        <v>429988</v>
      </c>
      <c r="H182" s="2365">
        <f t="shared" si="2"/>
        <v>173930265</v>
      </c>
    </row>
    <row r="183" spans="1:8">
      <c r="A183" s="972">
        <v>2006.06</v>
      </c>
      <c r="B183" s="215">
        <v>20153447</v>
      </c>
      <c r="C183" s="3538">
        <v>108237524</v>
      </c>
      <c r="D183" s="141">
        <v>5704010</v>
      </c>
      <c r="E183" s="3538">
        <v>23706780</v>
      </c>
      <c r="F183" s="141">
        <v>24469256</v>
      </c>
      <c r="G183" s="3538">
        <v>482117</v>
      </c>
      <c r="H183" s="2365">
        <f t="shared" si="2"/>
        <v>182753134</v>
      </c>
    </row>
    <row r="184" spans="1:8">
      <c r="A184" s="972">
        <v>2006.07</v>
      </c>
      <c r="B184" s="215">
        <v>36783702</v>
      </c>
      <c r="C184" s="3538">
        <v>104705492</v>
      </c>
      <c r="D184" s="141">
        <v>7808103</v>
      </c>
      <c r="E184" s="3538">
        <v>26570440</v>
      </c>
      <c r="F184" s="141">
        <v>8737087</v>
      </c>
      <c r="G184" s="3538">
        <v>427477</v>
      </c>
      <c r="H184" s="2365">
        <f t="shared" si="2"/>
        <v>185032301</v>
      </c>
    </row>
    <row r="185" spans="1:8">
      <c r="A185" s="972">
        <v>2006.08</v>
      </c>
      <c r="B185" s="215">
        <v>20115586</v>
      </c>
      <c r="C185" s="3538">
        <v>108539430</v>
      </c>
      <c r="D185" s="141">
        <v>5703582</v>
      </c>
      <c r="E185" s="3538">
        <v>25085972</v>
      </c>
      <c r="F185" s="141">
        <v>7995942</v>
      </c>
      <c r="G185" s="3538">
        <v>505776</v>
      </c>
      <c r="H185" s="2365">
        <f t="shared" si="2"/>
        <v>167946288</v>
      </c>
    </row>
    <row r="186" spans="1:8">
      <c r="A186" s="972">
        <v>2006.09</v>
      </c>
      <c r="B186" s="215">
        <v>11589793</v>
      </c>
      <c r="C186" s="3538">
        <v>113375345</v>
      </c>
      <c r="D186" s="141">
        <v>5684615</v>
      </c>
      <c r="E186" s="3538">
        <v>24090776</v>
      </c>
      <c r="F186" s="141">
        <v>23050611</v>
      </c>
      <c r="G186" s="3538">
        <v>535878</v>
      </c>
      <c r="H186" s="2365">
        <f t="shared" si="2"/>
        <v>178327018</v>
      </c>
    </row>
    <row r="187" spans="1:8">
      <c r="A187" s="972">
        <v>2006.1</v>
      </c>
      <c r="B187" s="215">
        <v>29475367</v>
      </c>
      <c r="C187" s="3538">
        <v>113786578</v>
      </c>
      <c r="D187" s="141">
        <v>5970549</v>
      </c>
      <c r="E187" s="3538">
        <v>23478071</v>
      </c>
      <c r="F187" s="141">
        <v>7697321</v>
      </c>
      <c r="G187" s="3538">
        <v>481042</v>
      </c>
      <c r="H187" s="2365">
        <f t="shared" si="2"/>
        <v>180888928</v>
      </c>
    </row>
    <row r="188" spans="1:8">
      <c r="A188" s="972">
        <v>2006.11</v>
      </c>
      <c r="B188" s="215">
        <v>16445940</v>
      </c>
      <c r="C188" s="3538">
        <v>118207003</v>
      </c>
      <c r="D188" s="141">
        <v>5965378</v>
      </c>
      <c r="E188" s="3538">
        <v>24456797</v>
      </c>
      <c r="F188" s="141">
        <v>20984363</v>
      </c>
      <c r="G188" s="3538">
        <v>529340</v>
      </c>
      <c r="H188" s="2365">
        <f t="shared" si="2"/>
        <v>186588821</v>
      </c>
    </row>
    <row r="189" spans="1:8">
      <c r="A189" s="972">
        <v>2006.12</v>
      </c>
      <c r="B189" s="215">
        <v>9105705</v>
      </c>
      <c r="C189" s="3538">
        <v>115836481</v>
      </c>
      <c r="D189" s="141">
        <v>6415657</v>
      </c>
      <c r="E189" s="3538">
        <v>23934285</v>
      </c>
      <c r="F189" s="141">
        <v>6882844</v>
      </c>
      <c r="G189" s="3538">
        <v>488941</v>
      </c>
      <c r="H189" s="2365">
        <f t="shared" si="2"/>
        <v>162663913</v>
      </c>
    </row>
    <row r="190" spans="1:8">
      <c r="A190" s="972">
        <v>2007.01</v>
      </c>
      <c r="B190" s="215">
        <v>10335415</v>
      </c>
      <c r="C190" s="3538">
        <v>123602705</v>
      </c>
      <c r="D190" s="141">
        <v>8458627</v>
      </c>
      <c r="E190" s="3538">
        <v>27216332</v>
      </c>
      <c r="F190" s="141">
        <v>8928320</v>
      </c>
      <c r="G190" s="3538">
        <v>436162</v>
      </c>
      <c r="H190" s="2365">
        <f t="shared" si="2"/>
        <v>178977561</v>
      </c>
    </row>
    <row r="191" spans="1:8">
      <c r="A191" s="972">
        <v>2007.02</v>
      </c>
      <c r="B191" s="215">
        <v>35023534</v>
      </c>
      <c r="C191" s="3538">
        <v>117256154</v>
      </c>
      <c r="D191" s="141">
        <v>6339062</v>
      </c>
      <c r="E191" s="3538">
        <v>25039186</v>
      </c>
      <c r="F191" s="141">
        <v>35310588</v>
      </c>
      <c r="G191" s="3538">
        <v>443375</v>
      </c>
      <c r="H191" s="2365">
        <f t="shared" si="2"/>
        <v>219411899</v>
      </c>
    </row>
    <row r="192" spans="1:8">
      <c r="A192" s="972">
        <v>2007.03</v>
      </c>
      <c r="B192" s="215">
        <v>17331246</v>
      </c>
      <c r="C192" s="3538">
        <v>113159346</v>
      </c>
      <c r="D192" s="141">
        <v>5633093</v>
      </c>
      <c r="E192" s="3538">
        <v>26670043</v>
      </c>
      <c r="F192" s="141">
        <v>13947321</v>
      </c>
      <c r="G192" s="3538">
        <v>398902</v>
      </c>
      <c r="H192" s="2365">
        <f t="shared" si="2"/>
        <v>177139951</v>
      </c>
    </row>
    <row r="193" spans="1:8">
      <c r="A193" s="972">
        <v>2007.04</v>
      </c>
      <c r="B193" s="215">
        <v>8315870</v>
      </c>
      <c r="C193" s="3538">
        <v>120419718</v>
      </c>
      <c r="D193" s="141">
        <v>4456126</v>
      </c>
      <c r="E193" s="3538">
        <v>26456727</v>
      </c>
      <c r="F193" s="141">
        <v>32401708</v>
      </c>
      <c r="G193" s="3538">
        <v>400268</v>
      </c>
      <c r="H193" s="2365">
        <f t="shared" si="2"/>
        <v>192450417</v>
      </c>
    </row>
    <row r="194" spans="1:8">
      <c r="A194" s="972">
        <v>2007.05</v>
      </c>
      <c r="B194" s="215">
        <v>28815345</v>
      </c>
      <c r="C194" s="3538">
        <v>128389031</v>
      </c>
      <c r="D194" s="141">
        <v>4314816</v>
      </c>
      <c r="E194" s="3538">
        <v>28438279</v>
      </c>
      <c r="F194" s="141">
        <v>12469890</v>
      </c>
      <c r="G194" s="3538">
        <v>448316</v>
      </c>
      <c r="H194" s="2365">
        <f t="shared" si="2"/>
        <v>202875677</v>
      </c>
    </row>
    <row r="195" spans="1:8">
      <c r="A195" s="972">
        <v>2007.06</v>
      </c>
      <c r="B195" s="215">
        <v>23870002</v>
      </c>
      <c r="C195" s="3538">
        <v>139831894</v>
      </c>
      <c r="D195" s="141">
        <v>3991211</v>
      </c>
      <c r="E195" s="3538">
        <v>31069875</v>
      </c>
      <c r="F195" s="141">
        <v>29072307</v>
      </c>
      <c r="G195" s="3538">
        <v>467656</v>
      </c>
      <c r="H195" s="2365">
        <f t="shared" si="2"/>
        <v>228302945</v>
      </c>
    </row>
    <row r="196" spans="1:8">
      <c r="A196" s="972">
        <v>2007.07</v>
      </c>
      <c r="B196" s="215">
        <v>36556968</v>
      </c>
      <c r="C196" s="3538">
        <v>141581266</v>
      </c>
      <c r="D196" s="141">
        <v>5388541</v>
      </c>
      <c r="E196" s="3538">
        <v>28763004</v>
      </c>
      <c r="F196" s="141">
        <v>11717596</v>
      </c>
      <c r="G196" s="3538">
        <v>423441</v>
      </c>
      <c r="H196" s="2365">
        <f t="shared" si="2"/>
        <v>224430816</v>
      </c>
    </row>
    <row r="197" spans="1:8">
      <c r="A197" s="972">
        <v>2007.08</v>
      </c>
      <c r="B197" s="215">
        <v>19074231</v>
      </c>
      <c r="C197" s="3538">
        <v>150946901</v>
      </c>
      <c r="D197" s="141">
        <v>3983932</v>
      </c>
      <c r="E197" s="3538">
        <v>34586145</v>
      </c>
      <c r="F197" s="141">
        <v>10634184</v>
      </c>
      <c r="G197" s="3538">
        <v>486839</v>
      </c>
      <c r="H197" s="2365">
        <f t="shared" si="2"/>
        <v>219712232</v>
      </c>
    </row>
    <row r="198" spans="1:8">
      <c r="A198" s="972">
        <v>2007.09</v>
      </c>
      <c r="B198" s="215">
        <v>9955748</v>
      </c>
      <c r="C198" s="3538">
        <v>149359581</v>
      </c>
      <c r="D198" s="141">
        <v>4076253</v>
      </c>
      <c r="E198" s="3538">
        <v>33445862</v>
      </c>
      <c r="F198" s="141">
        <v>27897056</v>
      </c>
      <c r="G198" s="3538">
        <v>486966</v>
      </c>
      <c r="H198" s="2365">
        <f t="shared" si="2"/>
        <v>225221466</v>
      </c>
    </row>
    <row r="199" spans="1:8">
      <c r="A199" s="972">
        <v>2007.1</v>
      </c>
      <c r="B199" s="215">
        <v>30169253</v>
      </c>
      <c r="C199" s="3538">
        <v>152444384</v>
      </c>
      <c r="D199" s="141">
        <v>4187362</v>
      </c>
      <c r="E199" s="3538">
        <v>35165101</v>
      </c>
      <c r="F199" s="141">
        <v>10735348</v>
      </c>
      <c r="G199" s="3538">
        <v>508147</v>
      </c>
      <c r="H199" s="2365">
        <f t="shared" si="2"/>
        <v>233209595</v>
      </c>
    </row>
    <row r="200" spans="1:8">
      <c r="A200" s="972">
        <v>2007.11</v>
      </c>
      <c r="B200" s="215">
        <v>16401152</v>
      </c>
      <c r="C200" s="3538">
        <v>166821082</v>
      </c>
      <c r="D200" s="141">
        <v>4929435</v>
      </c>
      <c r="E200" s="3538">
        <v>32484264</v>
      </c>
      <c r="F200" s="141">
        <v>26029174</v>
      </c>
      <c r="G200" s="3538">
        <v>531013</v>
      </c>
      <c r="H200" s="2365">
        <f t="shared" si="2"/>
        <v>247196120</v>
      </c>
    </row>
    <row r="201" spans="1:8">
      <c r="A201" s="972">
        <v>2007.12</v>
      </c>
      <c r="B201" s="215">
        <v>8345298</v>
      </c>
      <c r="C201" s="3538">
        <v>164681986</v>
      </c>
      <c r="D201" s="141">
        <v>4478013</v>
      </c>
      <c r="E201" s="3538">
        <v>34372020</v>
      </c>
      <c r="F201" s="141">
        <v>8607822</v>
      </c>
      <c r="G201" s="3538">
        <v>575581</v>
      </c>
      <c r="H201" s="2365">
        <f t="shared" si="2"/>
        <v>221060720</v>
      </c>
    </row>
    <row r="202" spans="1:8">
      <c r="A202" s="972">
        <f t="shared" ref="A202:A261" si="3">A190+1</f>
        <v>2008.01</v>
      </c>
      <c r="B202" s="215">
        <v>11651366</v>
      </c>
      <c r="C202" s="3538">
        <v>170731455</v>
      </c>
      <c r="D202" s="141">
        <v>6127287</v>
      </c>
      <c r="E202" s="3538">
        <v>38722169</v>
      </c>
      <c r="F202" s="141">
        <v>10944602</v>
      </c>
      <c r="G202" s="3538">
        <v>454845</v>
      </c>
      <c r="H202" s="2365">
        <f t="shared" si="2"/>
        <v>238631724</v>
      </c>
    </row>
    <row r="203" spans="1:8">
      <c r="A203" s="972">
        <f t="shared" si="3"/>
        <v>2008.02</v>
      </c>
      <c r="B203" s="215">
        <v>37645068</v>
      </c>
      <c r="C203" s="3538">
        <v>165783276</v>
      </c>
      <c r="D203" s="141">
        <v>1194525</v>
      </c>
      <c r="E203" s="3538">
        <v>31653922</v>
      </c>
      <c r="F203" s="141">
        <v>47670367</v>
      </c>
      <c r="G203" s="3538">
        <v>529956</v>
      </c>
      <c r="H203" s="2365">
        <f t="shared" ref="H203:H266" si="4">_xlfn.AGGREGATE(9,6,B203:G203)</f>
        <v>284477114</v>
      </c>
    </row>
    <row r="204" spans="1:8">
      <c r="A204" s="972">
        <f t="shared" si="3"/>
        <v>2008.03</v>
      </c>
      <c r="B204" s="215">
        <v>17456465</v>
      </c>
      <c r="C204" s="3538">
        <v>157552437</v>
      </c>
      <c r="D204" s="141">
        <v>835157</v>
      </c>
      <c r="E204" s="3538">
        <v>31361284</v>
      </c>
      <c r="F204" s="141">
        <v>17264114</v>
      </c>
      <c r="G204" s="3538">
        <v>556727</v>
      </c>
      <c r="H204" s="2365">
        <f t="shared" si="4"/>
        <v>225026184</v>
      </c>
    </row>
    <row r="205" spans="1:8">
      <c r="A205" s="972">
        <f t="shared" si="3"/>
        <v>2008.04</v>
      </c>
      <c r="B205" s="215">
        <v>9981309</v>
      </c>
      <c r="C205" s="3538">
        <v>166346650</v>
      </c>
      <c r="D205" s="141">
        <v>996986</v>
      </c>
      <c r="E205" s="3538">
        <v>34463297</v>
      </c>
      <c r="F205" s="141">
        <v>44263145</v>
      </c>
      <c r="G205" s="3538">
        <v>533246</v>
      </c>
      <c r="H205" s="2365">
        <f t="shared" si="4"/>
        <v>256584633</v>
      </c>
    </row>
    <row r="206" spans="1:8">
      <c r="A206" s="972">
        <f t="shared" si="3"/>
        <v>2008.05</v>
      </c>
      <c r="B206" s="215">
        <v>29554208</v>
      </c>
      <c r="C206" s="3538">
        <v>188510758</v>
      </c>
      <c r="D206" s="141">
        <v>736889</v>
      </c>
      <c r="E206" s="3538">
        <v>40848336</v>
      </c>
      <c r="F206" s="141">
        <v>16705970</v>
      </c>
      <c r="G206" s="3538">
        <v>567474</v>
      </c>
      <c r="H206" s="2365">
        <f t="shared" si="4"/>
        <v>276923635</v>
      </c>
    </row>
    <row r="207" spans="1:8">
      <c r="A207" s="972">
        <f t="shared" si="3"/>
        <v>2008.06</v>
      </c>
      <c r="B207" s="215">
        <v>20801134</v>
      </c>
      <c r="C207" s="3538">
        <v>194716524</v>
      </c>
      <c r="D207" s="141">
        <v>621306</v>
      </c>
      <c r="E207" s="3538">
        <v>35750949</v>
      </c>
      <c r="F207" s="141">
        <v>35850969</v>
      </c>
      <c r="G207" s="3538">
        <v>606204</v>
      </c>
      <c r="H207" s="2365">
        <f t="shared" si="4"/>
        <v>288347086</v>
      </c>
    </row>
    <row r="208" spans="1:8">
      <c r="A208" s="972">
        <f t="shared" si="3"/>
        <v>2008.07</v>
      </c>
      <c r="B208" s="215">
        <v>37816825</v>
      </c>
      <c r="C208" s="3538">
        <v>209640131</v>
      </c>
      <c r="D208" s="141">
        <v>686772</v>
      </c>
      <c r="E208" s="3538">
        <v>37651176</v>
      </c>
      <c r="F208" s="141">
        <v>15648446</v>
      </c>
      <c r="G208" s="3538">
        <v>704746</v>
      </c>
      <c r="H208" s="2365">
        <f t="shared" si="4"/>
        <v>302148096</v>
      </c>
    </row>
    <row r="209" spans="1:8">
      <c r="A209" s="972">
        <f t="shared" si="3"/>
        <v>2008.08</v>
      </c>
      <c r="B209" s="215">
        <v>18987446</v>
      </c>
      <c r="C209" s="3538">
        <v>221090957.38999999</v>
      </c>
      <c r="D209" s="141">
        <v>786022.34</v>
      </c>
      <c r="E209" s="3538">
        <v>36907712.280000001</v>
      </c>
      <c r="F209" s="141">
        <v>12025986</v>
      </c>
      <c r="G209" s="3538">
        <v>506433.99</v>
      </c>
      <c r="H209" s="2365">
        <f t="shared" si="4"/>
        <v>290304558</v>
      </c>
    </row>
    <row r="210" spans="1:8">
      <c r="A210" s="972">
        <f t="shared" si="3"/>
        <v>2008.09</v>
      </c>
      <c r="B210" s="215">
        <v>21249389</v>
      </c>
      <c r="C210" s="3538">
        <v>193105269</v>
      </c>
      <c r="D210" s="141">
        <v>691162</v>
      </c>
      <c r="E210" s="3538">
        <v>39261158</v>
      </c>
      <c r="F210" s="141">
        <v>35225655</v>
      </c>
      <c r="G210" s="3538">
        <v>629639</v>
      </c>
      <c r="H210" s="2365">
        <f t="shared" si="4"/>
        <v>290162272</v>
      </c>
    </row>
    <row r="211" spans="1:8">
      <c r="A211" s="972">
        <f t="shared" si="3"/>
        <v>2008.1</v>
      </c>
      <c r="B211" s="215">
        <v>31745607</v>
      </c>
      <c r="C211" s="3538">
        <v>199419804</v>
      </c>
      <c r="D211" s="141">
        <v>735651</v>
      </c>
      <c r="E211" s="3538">
        <v>38245792</v>
      </c>
      <c r="F211" s="141">
        <v>12530932</v>
      </c>
      <c r="G211" s="3538">
        <v>656341</v>
      </c>
      <c r="H211" s="2365">
        <f t="shared" si="4"/>
        <v>283334127</v>
      </c>
    </row>
    <row r="212" spans="1:8">
      <c r="A212" s="972">
        <f t="shared" si="3"/>
        <v>2008.11</v>
      </c>
      <c r="B212" s="215">
        <v>19540363</v>
      </c>
      <c r="C212" s="3538">
        <v>196534647</v>
      </c>
      <c r="D212" s="141">
        <v>603122</v>
      </c>
      <c r="E212" s="3538">
        <v>34653839</v>
      </c>
      <c r="F212" s="141">
        <v>29572532</v>
      </c>
      <c r="G212" s="3538">
        <v>696405</v>
      </c>
      <c r="H212" s="2365">
        <f t="shared" si="4"/>
        <v>281600908</v>
      </c>
    </row>
    <row r="213" spans="1:8">
      <c r="A213" s="972">
        <f t="shared" si="3"/>
        <v>2008.12</v>
      </c>
      <c r="B213" s="215">
        <v>10478910</v>
      </c>
      <c r="C213" s="3538">
        <v>200547900</v>
      </c>
      <c r="D213" s="141">
        <v>586490</v>
      </c>
      <c r="E213" s="3538">
        <v>34452360</v>
      </c>
      <c r="F213" s="141">
        <v>12127090</v>
      </c>
      <c r="G213" s="3538">
        <v>773840</v>
      </c>
      <c r="H213" s="2365">
        <f t="shared" si="4"/>
        <v>258966590</v>
      </c>
    </row>
    <row r="214" spans="1:8">
      <c r="A214" s="972">
        <f t="shared" si="3"/>
        <v>2009.01</v>
      </c>
      <c r="B214" s="215">
        <v>13427880</v>
      </c>
      <c r="C214" s="3538">
        <v>233179150</v>
      </c>
      <c r="D214" s="141">
        <v>561120</v>
      </c>
      <c r="E214" s="3538">
        <v>35459700</v>
      </c>
      <c r="F214" s="141">
        <v>12685920</v>
      </c>
      <c r="G214" s="3538">
        <v>632140</v>
      </c>
      <c r="H214" s="2365">
        <f t="shared" si="4"/>
        <v>295945910</v>
      </c>
    </row>
    <row r="215" spans="1:8">
      <c r="A215" s="972">
        <f t="shared" si="3"/>
        <v>2009.02</v>
      </c>
      <c r="B215" s="215">
        <v>36098750</v>
      </c>
      <c r="C215" s="3538">
        <v>192319860</v>
      </c>
      <c r="D215" s="141">
        <v>582950</v>
      </c>
      <c r="E215" s="3538">
        <v>32977950</v>
      </c>
      <c r="F215" s="141">
        <v>52143900</v>
      </c>
      <c r="G215" s="3538">
        <v>805320</v>
      </c>
      <c r="H215" s="2365">
        <f t="shared" si="4"/>
        <v>314928730</v>
      </c>
    </row>
    <row r="216" spans="1:8">
      <c r="A216" s="972">
        <f t="shared" si="3"/>
        <v>2009.03</v>
      </c>
      <c r="B216" s="215">
        <v>17749880</v>
      </c>
      <c r="C216" s="3538">
        <v>184272140</v>
      </c>
      <c r="D216" s="141">
        <v>651090</v>
      </c>
      <c r="E216" s="3538">
        <v>30439310</v>
      </c>
      <c r="F216" s="141">
        <v>19628630</v>
      </c>
      <c r="G216" s="3538">
        <v>717610</v>
      </c>
      <c r="H216" s="2365">
        <f t="shared" si="4"/>
        <v>253458660</v>
      </c>
    </row>
    <row r="217" spans="1:8">
      <c r="A217" s="972">
        <f t="shared" si="3"/>
        <v>2009.04</v>
      </c>
      <c r="B217" s="215">
        <v>8633930</v>
      </c>
      <c r="C217" s="3538">
        <v>210365370</v>
      </c>
      <c r="D217" s="141">
        <v>544760</v>
      </c>
      <c r="E217" s="3538">
        <v>32149850</v>
      </c>
      <c r="F217" s="141">
        <v>46567590</v>
      </c>
      <c r="G217" s="3538">
        <v>717710</v>
      </c>
      <c r="H217" s="2365">
        <f t="shared" si="4"/>
        <v>298979210</v>
      </c>
    </row>
    <row r="218" spans="1:8">
      <c r="A218" s="972">
        <f t="shared" si="3"/>
        <v>2009.05</v>
      </c>
      <c r="B218" s="215">
        <v>28162700</v>
      </c>
      <c r="C218" s="3538">
        <v>204624940</v>
      </c>
      <c r="D218" s="141">
        <v>979470</v>
      </c>
      <c r="E218" s="3538">
        <v>32601390</v>
      </c>
      <c r="F218" s="141">
        <v>16566020</v>
      </c>
      <c r="G218" s="3538">
        <v>756510</v>
      </c>
      <c r="H218" s="2365">
        <f t="shared" si="4"/>
        <v>283691030</v>
      </c>
    </row>
    <row r="219" spans="1:8">
      <c r="A219" s="972">
        <f t="shared" si="3"/>
        <v>2009.06</v>
      </c>
      <c r="B219" s="215">
        <v>16361230</v>
      </c>
      <c r="C219" s="3538">
        <v>227110700</v>
      </c>
      <c r="D219" s="141">
        <v>385650</v>
      </c>
      <c r="E219" s="3538">
        <v>35995040</v>
      </c>
      <c r="F219" s="141">
        <v>43152330</v>
      </c>
      <c r="G219" s="3538">
        <v>857660</v>
      </c>
      <c r="H219" s="2365">
        <f t="shared" si="4"/>
        <v>323862610</v>
      </c>
    </row>
    <row r="220" spans="1:8">
      <c r="A220" s="972">
        <f t="shared" si="3"/>
        <v>2009.07</v>
      </c>
      <c r="B220" s="215">
        <v>41717140</v>
      </c>
      <c r="C220" s="3538">
        <v>222337930</v>
      </c>
      <c r="D220" s="141">
        <v>557350</v>
      </c>
      <c r="E220" s="3538">
        <v>36339660</v>
      </c>
      <c r="F220" s="141">
        <v>18112050</v>
      </c>
      <c r="G220" s="3538">
        <v>769800</v>
      </c>
      <c r="H220" s="2365">
        <f t="shared" si="4"/>
        <v>319833930</v>
      </c>
    </row>
    <row r="221" spans="1:8">
      <c r="A221" s="972">
        <f t="shared" si="3"/>
        <v>2009.08</v>
      </c>
      <c r="B221" s="215">
        <v>28574700</v>
      </c>
      <c r="C221" s="3538">
        <v>235781920</v>
      </c>
      <c r="D221" s="141">
        <v>635160</v>
      </c>
      <c r="E221" s="3538">
        <v>39197820</v>
      </c>
      <c r="F221" s="141">
        <v>13762440</v>
      </c>
      <c r="G221" s="3538">
        <v>859460</v>
      </c>
      <c r="H221" s="2365">
        <f t="shared" si="4"/>
        <v>318811500</v>
      </c>
    </row>
    <row r="222" spans="1:8">
      <c r="A222" s="972">
        <f t="shared" si="3"/>
        <v>2009.09</v>
      </c>
      <c r="B222" s="215">
        <v>12561300</v>
      </c>
      <c r="C222" s="3538">
        <v>252607310</v>
      </c>
      <c r="D222" s="141">
        <v>502160</v>
      </c>
      <c r="E222" s="3538">
        <v>40011820</v>
      </c>
      <c r="F222" s="141">
        <v>41167120</v>
      </c>
      <c r="G222" s="3538">
        <v>834750</v>
      </c>
      <c r="H222" s="2365">
        <f t="shared" si="4"/>
        <v>347684460</v>
      </c>
    </row>
    <row r="223" spans="1:8">
      <c r="A223" s="972">
        <f t="shared" si="3"/>
        <v>2009.1</v>
      </c>
      <c r="B223" s="215">
        <v>28885780</v>
      </c>
      <c r="C223" s="3538">
        <v>234578350</v>
      </c>
      <c r="D223" s="141">
        <v>251170</v>
      </c>
      <c r="E223" s="3538">
        <v>39789210</v>
      </c>
      <c r="F223" s="141">
        <v>14722470</v>
      </c>
      <c r="G223" s="3538">
        <v>901260</v>
      </c>
      <c r="H223" s="2365">
        <f t="shared" si="4"/>
        <v>319128240</v>
      </c>
    </row>
    <row r="224" spans="1:8">
      <c r="A224" s="972">
        <f t="shared" si="3"/>
        <v>2009.11</v>
      </c>
      <c r="B224" s="215">
        <v>16527570</v>
      </c>
      <c r="C224" s="3538">
        <v>229983960</v>
      </c>
      <c r="D224" s="141">
        <v>352620</v>
      </c>
      <c r="E224" s="3538">
        <v>40978290</v>
      </c>
      <c r="F224" s="141">
        <v>37723840</v>
      </c>
      <c r="G224" s="3538">
        <v>888940</v>
      </c>
      <c r="H224" s="2365">
        <f t="shared" si="4"/>
        <v>326455220</v>
      </c>
    </row>
    <row r="225" spans="1:8">
      <c r="A225" s="972">
        <f t="shared" si="3"/>
        <v>2009.12</v>
      </c>
      <c r="B225" s="215">
        <v>10931290</v>
      </c>
      <c r="C225" s="3538">
        <v>218545500</v>
      </c>
      <c r="D225" s="141">
        <v>447630</v>
      </c>
      <c r="E225" s="3538">
        <v>42855890</v>
      </c>
      <c r="F225" s="141">
        <v>17090150</v>
      </c>
      <c r="G225" s="3538">
        <v>903110</v>
      </c>
      <c r="H225" s="2365">
        <f t="shared" si="4"/>
        <v>290773570</v>
      </c>
    </row>
    <row r="226" spans="1:8">
      <c r="A226" s="972">
        <f t="shared" si="3"/>
        <v>2010.01</v>
      </c>
      <c r="B226" s="215">
        <v>9246350</v>
      </c>
      <c r="C226" s="3538">
        <v>240727110</v>
      </c>
      <c r="D226" s="141">
        <v>379000</v>
      </c>
      <c r="E226" s="3538">
        <v>43013050</v>
      </c>
      <c r="F226" s="141">
        <v>13497620</v>
      </c>
      <c r="G226" s="3538">
        <v>853990</v>
      </c>
      <c r="H226" s="2365">
        <f t="shared" si="4"/>
        <v>307717120</v>
      </c>
    </row>
    <row r="227" spans="1:8">
      <c r="A227" s="972">
        <f t="shared" si="3"/>
        <v>2010.02</v>
      </c>
      <c r="B227" s="215">
        <v>77945000</v>
      </c>
      <c r="C227" s="3538">
        <v>222210730</v>
      </c>
      <c r="D227" s="141">
        <v>858640</v>
      </c>
      <c r="E227" s="3538">
        <v>38841960</v>
      </c>
      <c r="F227" s="141">
        <v>67840340</v>
      </c>
      <c r="G227" s="3538">
        <v>871370</v>
      </c>
      <c r="H227" s="2365">
        <f t="shared" si="4"/>
        <v>408568040</v>
      </c>
    </row>
    <row r="228" spans="1:8">
      <c r="A228" s="972">
        <f t="shared" si="3"/>
        <v>2010.03</v>
      </c>
      <c r="B228" s="215">
        <v>38581800</v>
      </c>
      <c r="C228" s="3538">
        <v>280874920</v>
      </c>
      <c r="D228" s="141">
        <v>313030</v>
      </c>
      <c r="E228" s="3538">
        <v>40898040</v>
      </c>
      <c r="F228" s="141">
        <v>29115430</v>
      </c>
      <c r="G228" s="3538">
        <v>856170</v>
      </c>
      <c r="H228" s="2365">
        <f t="shared" si="4"/>
        <v>390639390</v>
      </c>
    </row>
    <row r="229" spans="1:8">
      <c r="A229" s="972">
        <f t="shared" si="3"/>
        <v>2010.04</v>
      </c>
      <c r="B229" s="215">
        <v>39842799</v>
      </c>
      <c r="C229" s="3538">
        <v>310544881</v>
      </c>
      <c r="D229" s="141">
        <v>796020</v>
      </c>
      <c r="E229" s="3538">
        <v>45186955</v>
      </c>
      <c r="F229" s="141">
        <v>72333328</v>
      </c>
      <c r="G229" s="3538">
        <v>921799</v>
      </c>
      <c r="H229" s="2365">
        <f t="shared" si="4"/>
        <v>469625782</v>
      </c>
    </row>
    <row r="230" spans="1:8">
      <c r="A230" s="972">
        <f t="shared" si="3"/>
        <v>2010.05</v>
      </c>
      <c r="B230" s="215">
        <v>77378525</v>
      </c>
      <c r="C230" s="3538">
        <v>315309248</v>
      </c>
      <c r="D230" s="141">
        <v>1216851</v>
      </c>
      <c r="E230" s="3538">
        <v>49784114</v>
      </c>
      <c r="F230" s="141">
        <v>29099625</v>
      </c>
      <c r="G230" s="3538">
        <v>869432</v>
      </c>
      <c r="H230" s="2365">
        <f t="shared" si="4"/>
        <v>473657795</v>
      </c>
    </row>
    <row r="231" spans="1:8">
      <c r="A231" s="972">
        <f t="shared" si="3"/>
        <v>2010.06</v>
      </c>
      <c r="B231" s="215">
        <v>42265410</v>
      </c>
      <c r="C231" s="3538">
        <v>327202160</v>
      </c>
      <c r="D231" s="141">
        <v>400620</v>
      </c>
      <c r="E231" s="3538">
        <v>51707740</v>
      </c>
      <c r="F231" s="141">
        <v>62145820</v>
      </c>
      <c r="G231" s="3538">
        <v>969470</v>
      </c>
      <c r="H231" s="2365">
        <f t="shared" si="4"/>
        <v>484691220</v>
      </c>
    </row>
    <row r="232" spans="1:8">
      <c r="A232" s="972">
        <f t="shared" si="3"/>
        <v>2010.07</v>
      </c>
      <c r="B232" s="215">
        <v>82095220</v>
      </c>
      <c r="C232" s="3538">
        <v>334026620</v>
      </c>
      <c r="D232" s="141">
        <v>704140</v>
      </c>
      <c r="E232" s="3538">
        <v>53320730</v>
      </c>
      <c r="F232" s="141">
        <v>25354680</v>
      </c>
      <c r="G232" s="3538">
        <v>1061030</v>
      </c>
      <c r="H232" s="2365">
        <f t="shared" si="4"/>
        <v>496562420</v>
      </c>
    </row>
    <row r="233" spans="1:8">
      <c r="A233" s="972">
        <f t="shared" si="3"/>
        <v>2010.08</v>
      </c>
      <c r="B233" s="215">
        <v>47002102</v>
      </c>
      <c r="C233" s="3538">
        <v>351833100</v>
      </c>
      <c r="D233" s="141">
        <v>254133</v>
      </c>
      <c r="E233" s="3538">
        <v>55146693</v>
      </c>
      <c r="F233" s="141">
        <v>24498789</v>
      </c>
      <c r="G233" s="3538">
        <v>1043960</v>
      </c>
      <c r="H233" s="2365">
        <f t="shared" si="4"/>
        <v>479778777</v>
      </c>
    </row>
    <row r="234" spans="1:8">
      <c r="A234" s="972">
        <f t="shared" si="3"/>
        <v>2010.09</v>
      </c>
      <c r="B234" s="215">
        <v>20844858</v>
      </c>
      <c r="C234" s="3538">
        <v>327967946</v>
      </c>
      <c r="D234" s="141">
        <v>281030</v>
      </c>
      <c r="E234" s="3538">
        <v>60746126</v>
      </c>
      <c r="F234" s="141">
        <v>59075005</v>
      </c>
      <c r="G234" s="3538">
        <v>1119536</v>
      </c>
      <c r="H234" s="2365">
        <f t="shared" si="4"/>
        <v>470034501</v>
      </c>
    </row>
    <row r="235" spans="1:8">
      <c r="A235" s="972">
        <f t="shared" si="3"/>
        <v>2010.1</v>
      </c>
      <c r="B235" s="215">
        <v>63482858</v>
      </c>
      <c r="C235" s="3538">
        <v>331989161</v>
      </c>
      <c r="D235" s="141">
        <v>252548</v>
      </c>
      <c r="E235" s="3538">
        <v>54558216</v>
      </c>
      <c r="F235" s="141">
        <v>21204001</v>
      </c>
      <c r="G235" s="3538">
        <v>1057064</v>
      </c>
      <c r="H235" s="2365">
        <f t="shared" si="4"/>
        <v>472543848</v>
      </c>
    </row>
    <row r="236" spans="1:8">
      <c r="A236" s="972">
        <f t="shared" si="3"/>
        <v>2010.11</v>
      </c>
      <c r="B236" s="215">
        <v>40743289</v>
      </c>
      <c r="C236" s="3538">
        <v>350054599</v>
      </c>
      <c r="D236" s="141">
        <v>256954</v>
      </c>
      <c r="E236" s="3538">
        <v>56636419</v>
      </c>
      <c r="F236" s="141">
        <v>57503836</v>
      </c>
      <c r="G236" s="3538">
        <v>1169635</v>
      </c>
      <c r="H236" s="2365">
        <f t="shared" si="4"/>
        <v>506364732</v>
      </c>
    </row>
    <row r="237" spans="1:8">
      <c r="A237" s="972">
        <f t="shared" si="3"/>
        <v>2010.12</v>
      </c>
      <c r="B237" s="215">
        <v>18045959</v>
      </c>
      <c r="C237" s="3538">
        <v>366745240</v>
      </c>
      <c r="D237" s="141">
        <v>526743</v>
      </c>
      <c r="E237" s="3538">
        <v>61611740</v>
      </c>
      <c r="F237" s="141">
        <v>36401081</v>
      </c>
      <c r="G237" s="3538">
        <v>1160243</v>
      </c>
      <c r="H237" s="2365">
        <f t="shared" si="4"/>
        <v>484491006</v>
      </c>
    </row>
    <row r="238" spans="1:8">
      <c r="A238" s="972">
        <f t="shared" si="3"/>
        <v>2011.01</v>
      </c>
      <c r="B238" s="215">
        <v>20863878</v>
      </c>
      <c r="C238" s="3538">
        <v>394506883</v>
      </c>
      <c r="D238" s="141">
        <v>378489</v>
      </c>
      <c r="E238" s="3538">
        <v>63888987</v>
      </c>
      <c r="F238" s="141">
        <v>27269539</v>
      </c>
      <c r="G238" s="3538">
        <v>1157302</v>
      </c>
      <c r="H238" s="2365">
        <f t="shared" si="4"/>
        <v>508065078</v>
      </c>
    </row>
    <row r="239" spans="1:8">
      <c r="A239" s="972">
        <f t="shared" si="3"/>
        <v>2011.02</v>
      </c>
      <c r="B239" s="215">
        <v>80701120</v>
      </c>
      <c r="C239" s="3538">
        <v>335814899</v>
      </c>
      <c r="D239" s="141">
        <v>450654</v>
      </c>
      <c r="E239" s="3538">
        <v>57814961</v>
      </c>
      <c r="F239" s="141">
        <v>94312795</v>
      </c>
      <c r="G239" s="3538">
        <v>1190377</v>
      </c>
      <c r="H239" s="2365">
        <f t="shared" si="4"/>
        <v>570284806</v>
      </c>
    </row>
    <row r="240" spans="1:8">
      <c r="A240" s="972">
        <f t="shared" si="3"/>
        <v>2011.03</v>
      </c>
      <c r="B240" s="215">
        <v>41784654</v>
      </c>
      <c r="C240" s="3538">
        <v>350492069</v>
      </c>
      <c r="D240" s="141">
        <v>259975</v>
      </c>
      <c r="E240" s="3538">
        <v>56387690</v>
      </c>
      <c r="F240" s="141">
        <v>38713305</v>
      </c>
      <c r="G240" s="3538">
        <v>1122717</v>
      </c>
      <c r="H240" s="2365">
        <f t="shared" si="4"/>
        <v>488760410</v>
      </c>
    </row>
    <row r="241" spans="1:8">
      <c r="A241" s="972">
        <f t="shared" si="3"/>
        <v>2011.04</v>
      </c>
      <c r="B241" s="215">
        <v>16773327</v>
      </c>
      <c r="C241" s="3538">
        <v>377113084</v>
      </c>
      <c r="D241" s="141">
        <v>303468</v>
      </c>
      <c r="E241" s="3538">
        <v>62936740</v>
      </c>
      <c r="F241" s="141">
        <v>85055274</v>
      </c>
      <c r="G241" s="3538">
        <v>1241024</v>
      </c>
      <c r="H241" s="2365">
        <f t="shared" si="4"/>
        <v>543422917</v>
      </c>
    </row>
    <row r="242" spans="1:8">
      <c r="A242" s="972">
        <f t="shared" si="3"/>
        <v>2011.05</v>
      </c>
      <c r="B242" s="215">
        <v>68021620</v>
      </c>
      <c r="C242" s="3538">
        <v>424145700</v>
      </c>
      <c r="D242" s="141">
        <v>256410</v>
      </c>
      <c r="E242" s="3538">
        <v>68600307</v>
      </c>
      <c r="F242" s="141">
        <v>40505466</v>
      </c>
      <c r="G242" s="3538">
        <v>1220557</v>
      </c>
      <c r="H242" s="2365">
        <f t="shared" si="4"/>
        <v>602750060</v>
      </c>
    </row>
    <row r="243" spans="1:8">
      <c r="A243" s="972">
        <f t="shared" si="3"/>
        <v>2011.06</v>
      </c>
      <c r="B243" s="215">
        <v>50262190</v>
      </c>
      <c r="C243" s="3538">
        <v>462334457</v>
      </c>
      <c r="D243" s="141">
        <v>294056</v>
      </c>
      <c r="E243" s="3538">
        <v>76961414</v>
      </c>
      <c r="F243" s="141">
        <v>81386926</v>
      </c>
      <c r="G243" s="3538">
        <v>1409506</v>
      </c>
      <c r="H243" s="2365">
        <f t="shared" si="4"/>
        <v>672648549</v>
      </c>
    </row>
    <row r="244" spans="1:8">
      <c r="A244" s="972">
        <f t="shared" si="3"/>
        <v>2011.07</v>
      </c>
      <c r="B244" s="215">
        <v>87975396</v>
      </c>
      <c r="C244" s="3538">
        <v>450537516</v>
      </c>
      <c r="D244" s="141">
        <v>247354</v>
      </c>
      <c r="E244" s="3538">
        <v>74903424</v>
      </c>
      <c r="F244" s="141">
        <v>36369254</v>
      </c>
      <c r="G244" s="3538">
        <v>1348446</v>
      </c>
      <c r="H244" s="2365">
        <f t="shared" si="4"/>
        <v>651381390</v>
      </c>
    </row>
    <row r="245" spans="1:8">
      <c r="A245" s="972">
        <f t="shared" si="3"/>
        <v>2011.08</v>
      </c>
      <c r="B245" s="215">
        <v>47429984</v>
      </c>
      <c r="C245" s="3538">
        <v>455867208</v>
      </c>
      <c r="D245" s="141">
        <v>236050</v>
      </c>
      <c r="E245" s="3538">
        <v>78465906</v>
      </c>
      <c r="F245" s="141">
        <v>31328058</v>
      </c>
      <c r="G245" s="3538">
        <v>1366780</v>
      </c>
      <c r="H245" s="2365">
        <f t="shared" si="4"/>
        <v>614693986</v>
      </c>
    </row>
    <row r="246" spans="1:8">
      <c r="A246" s="972">
        <f t="shared" si="3"/>
        <v>2011.09</v>
      </c>
      <c r="B246" s="215">
        <v>25506090</v>
      </c>
      <c r="C246" s="3538">
        <v>466914900</v>
      </c>
      <c r="D246" s="141">
        <v>397710</v>
      </c>
      <c r="E246" s="3538">
        <v>96085690</v>
      </c>
      <c r="F246" s="141">
        <v>78498720</v>
      </c>
      <c r="G246" s="3538">
        <v>1383620</v>
      </c>
      <c r="H246" s="2365">
        <f t="shared" si="4"/>
        <v>668786730</v>
      </c>
    </row>
    <row r="247" spans="1:8">
      <c r="A247" s="972">
        <f t="shared" si="3"/>
        <v>2011.1</v>
      </c>
      <c r="B247" s="215">
        <v>69342213</v>
      </c>
      <c r="C247" s="3538">
        <v>463871114</v>
      </c>
      <c r="D247" s="141">
        <v>262410</v>
      </c>
      <c r="E247" s="3538">
        <v>76250037</v>
      </c>
      <c r="F247" s="141">
        <v>30794046</v>
      </c>
      <c r="G247" s="3538">
        <v>1489249</v>
      </c>
      <c r="H247" s="2365">
        <f t="shared" si="4"/>
        <v>642009069</v>
      </c>
    </row>
    <row r="248" spans="1:8">
      <c r="A248" s="972">
        <f t="shared" si="3"/>
        <v>2011.11</v>
      </c>
      <c r="B248" s="215">
        <v>39559759</v>
      </c>
      <c r="C248" s="3538">
        <v>474416848</v>
      </c>
      <c r="D248" s="141">
        <v>315997</v>
      </c>
      <c r="E248" s="3538">
        <v>77574715</v>
      </c>
      <c r="F248" s="141">
        <v>68080347</v>
      </c>
      <c r="G248" s="3538">
        <v>1518230</v>
      </c>
      <c r="H248" s="2365">
        <f t="shared" si="4"/>
        <v>661465896</v>
      </c>
    </row>
    <row r="249" spans="1:8">
      <c r="A249" s="972">
        <f t="shared" si="3"/>
        <v>2011.12</v>
      </c>
      <c r="B249" s="215">
        <v>18253808</v>
      </c>
      <c r="C249" s="3538">
        <v>472845824</v>
      </c>
      <c r="D249" s="141">
        <v>329654</v>
      </c>
      <c r="E249" s="3538">
        <v>83642819</v>
      </c>
      <c r="F249" s="141">
        <v>31820854</v>
      </c>
      <c r="G249" s="3538">
        <v>1442894</v>
      </c>
      <c r="H249" s="2365">
        <f t="shared" si="4"/>
        <v>608335853</v>
      </c>
    </row>
    <row r="250" spans="1:8">
      <c r="A250" s="972">
        <f t="shared" si="3"/>
        <v>2012.01</v>
      </c>
      <c r="B250" s="215">
        <v>22718211</v>
      </c>
      <c r="C250" s="3538">
        <v>508731980</v>
      </c>
      <c r="D250" s="141">
        <v>266717</v>
      </c>
      <c r="E250" s="3538">
        <v>76806688</v>
      </c>
      <c r="F250" s="141">
        <v>32776717</v>
      </c>
      <c r="G250" s="3538">
        <v>1503570</v>
      </c>
      <c r="H250" s="2365">
        <f t="shared" si="4"/>
        <v>642803883</v>
      </c>
    </row>
    <row r="251" spans="1:8">
      <c r="A251" s="972">
        <f t="shared" si="3"/>
        <v>2012.02</v>
      </c>
      <c r="B251" s="215">
        <v>89943398</v>
      </c>
      <c r="C251" s="3538">
        <v>447258655</v>
      </c>
      <c r="D251" s="141">
        <v>185338</v>
      </c>
      <c r="E251" s="3538">
        <v>67934645</v>
      </c>
      <c r="F251" s="141">
        <v>110048518</v>
      </c>
      <c r="G251" s="3538">
        <v>1613724</v>
      </c>
      <c r="H251" s="2365">
        <f t="shared" si="4"/>
        <v>716984278</v>
      </c>
    </row>
    <row r="252" spans="1:8">
      <c r="A252" s="972">
        <f t="shared" si="3"/>
        <v>2012.03</v>
      </c>
      <c r="B252" s="215">
        <v>47439366</v>
      </c>
      <c r="C252" s="3538">
        <v>501166731</v>
      </c>
      <c r="D252" s="141">
        <v>297286</v>
      </c>
      <c r="E252" s="3538">
        <v>71899073</v>
      </c>
      <c r="F252" s="141">
        <v>50454420</v>
      </c>
      <c r="G252" s="3538">
        <v>1353492</v>
      </c>
      <c r="H252" s="2365">
        <f t="shared" si="4"/>
        <v>672610368</v>
      </c>
    </row>
    <row r="253" spans="1:8">
      <c r="A253" s="972">
        <f t="shared" si="3"/>
        <v>2012.04</v>
      </c>
      <c r="B253" s="215">
        <v>19402704</v>
      </c>
      <c r="C253" s="3538">
        <v>459685238</v>
      </c>
      <c r="D253" s="141">
        <v>290479</v>
      </c>
      <c r="E253" s="3538">
        <v>71116137</v>
      </c>
      <c r="F253" s="141">
        <v>101930235</v>
      </c>
      <c r="G253" s="3538">
        <v>1699615</v>
      </c>
      <c r="H253" s="2365">
        <f t="shared" si="4"/>
        <v>654124408</v>
      </c>
    </row>
    <row r="254" spans="1:8">
      <c r="A254" s="972">
        <f t="shared" si="3"/>
        <v>2012.05</v>
      </c>
      <c r="B254" s="215">
        <v>76362756</v>
      </c>
      <c r="C254" s="3538">
        <v>548215874</v>
      </c>
      <c r="D254" s="141">
        <v>192630</v>
      </c>
      <c r="E254" s="3538">
        <v>79714284</v>
      </c>
      <c r="F254" s="141">
        <v>47906134</v>
      </c>
      <c r="G254" s="3538">
        <v>1491476</v>
      </c>
      <c r="H254" s="2365">
        <f t="shared" si="4"/>
        <v>753883154</v>
      </c>
    </row>
    <row r="255" spans="1:8">
      <c r="A255" s="972">
        <f t="shared" si="3"/>
        <v>2012.06</v>
      </c>
      <c r="B255" s="215">
        <v>40206058</v>
      </c>
      <c r="C255" s="3538">
        <v>540929077</v>
      </c>
      <c r="D255" s="141">
        <v>653977</v>
      </c>
      <c r="E255" s="3538">
        <v>82816785</v>
      </c>
      <c r="F255" s="141">
        <v>100710084</v>
      </c>
      <c r="G255" s="3538">
        <v>1700636</v>
      </c>
      <c r="H255" s="2365">
        <f t="shared" si="4"/>
        <v>767016617</v>
      </c>
    </row>
    <row r="256" spans="1:8">
      <c r="A256" s="972">
        <f t="shared" si="3"/>
        <v>2012.07</v>
      </c>
      <c r="B256" s="215">
        <v>90058608</v>
      </c>
      <c r="C256" s="3538">
        <v>526652018</v>
      </c>
      <c r="D256" s="141">
        <v>162375</v>
      </c>
      <c r="E256" s="3538">
        <v>80643007</v>
      </c>
      <c r="F256" s="141">
        <v>45786885</v>
      </c>
      <c r="G256" s="3538">
        <v>1623650</v>
      </c>
      <c r="H256" s="2365">
        <f t="shared" si="4"/>
        <v>744926543</v>
      </c>
    </row>
    <row r="257" spans="1:8">
      <c r="A257" s="972">
        <f t="shared" si="3"/>
        <v>2012.08</v>
      </c>
      <c r="B257" s="215">
        <v>45178416</v>
      </c>
      <c r="C257" s="3538">
        <v>555742754</v>
      </c>
      <c r="D257" s="141">
        <v>217577</v>
      </c>
      <c r="E257" s="3538">
        <v>90462064</v>
      </c>
      <c r="F257" s="141">
        <v>36755636</v>
      </c>
      <c r="G257" s="3538">
        <v>2161723</v>
      </c>
      <c r="H257" s="2365">
        <f t="shared" si="4"/>
        <v>730518170</v>
      </c>
    </row>
    <row r="258" spans="1:8">
      <c r="A258" s="972">
        <f t="shared" si="3"/>
        <v>2012.09</v>
      </c>
      <c r="B258" s="215">
        <v>21492183</v>
      </c>
      <c r="C258" s="3538">
        <v>547907645</v>
      </c>
      <c r="D258" s="141">
        <v>188033</v>
      </c>
      <c r="E258" s="3538">
        <v>86791822</v>
      </c>
      <c r="F258" s="141">
        <v>90381628</v>
      </c>
      <c r="G258" s="3538">
        <v>1932700</v>
      </c>
      <c r="H258" s="2365">
        <f t="shared" si="4"/>
        <v>748694011</v>
      </c>
    </row>
    <row r="259" spans="1:8">
      <c r="A259" s="972">
        <f t="shared" si="3"/>
        <v>2012.1</v>
      </c>
      <c r="B259" s="215">
        <v>85148854</v>
      </c>
      <c r="C259" s="3538">
        <v>580430060</v>
      </c>
      <c r="D259" s="141">
        <v>149169</v>
      </c>
      <c r="E259" s="3538">
        <v>90955045</v>
      </c>
      <c r="F259" s="141">
        <v>37701464</v>
      </c>
      <c r="G259" s="3538">
        <v>2023812</v>
      </c>
      <c r="H259" s="2365">
        <f t="shared" si="4"/>
        <v>796408404</v>
      </c>
    </row>
    <row r="260" spans="1:8">
      <c r="A260" s="972">
        <f t="shared" si="3"/>
        <v>2012.11</v>
      </c>
      <c r="B260" s="215">
        <v>47205963</v>
      </c>
      <c r="C260" s="3538">
        <v>609715748</v>
      </c>
      <c r="D260" s="141">
        <v>144473</v>
      </c>
      <c r="E260" s="3538">
        <v>104117468</v>
      </c>
      <c r="F260" s="141">
        <v>86027553</v>
      </c>
      <c r="G260" s="3538">
        <v>2214599</v>
      </c>
      <c r="H260" s="2365">
        <f t="shared" si="4"/>
        <v>849425804</v>
      </c>
    </row>
    <row r="261" spans="1:8">
      <c r="A261" s="972">
        <f t="shared" si="3"/>
        <v>2012.12</v>
      </c>
      <c r="B261" s="215">
        <v>93718410</v>
      </c>
      <c r="C261" s="3538">
        <v>580067239</v>
      </c>
      <c r="D261" s="141">
        <v>111487</v>
      </c>
      <c r="E261" s="3538">
        <v>87130986</v>
      </c>
      <c r="F261" s="141">
        <v>55202466</v>
      </c>
      <c r="G261" s="3538">
        <v>1936546</v>
      </c>
      <c r="H261" s="2365">
        <f t="shared" si="4"/>
        <v>818167134</v>
      </c>
    </row>
    <row r="262" spans="1:8">
      <c r="A262" s="972">
        <f t="shared" ref="A262:A273" si="5">A250+1</f>
        <v>2013.01</v>
      </c>
      <c r="B262" s="215">
        <v>33420229</v>
      </c>
      <c r="C262" s="3538">
        <v>717589023</v>
      </c>
      <c r="D262" s="141">
        <v>120630</v>
      </c>
      <c r="E262" s="3538">
        <v>97928902</v>
      </c>
      <c r="F262" s="141">
        <v>39342845</v>
      </c>
      <c r="G262" s="3538">
        <v>1974244</v>
      </c>
      <c r="H262" s="2365">
        <f t="shared" si="4"/>
        <v>890375873</v>
      </c>
    </row>
    <row r="263" spans="1:8">
      <c r="A263" s="972">
        <f t="shared" si="5"/>
        <v>2013.02</v>
      </c>
      <c r="B263" s="215">
        <v>151617727</v>
      </c>
      <c r="C263" s="3538">
        <v>635240365</v>
      </c>
      <c r="D263" s="141">
        <v>280913</v>
      </c>
      <c r="E263" s="3538">
        <v>87686765</v>
      </c>
      <c r="F263" s="141">
        <v>131934621</v>
      </c>
      <c r="G263" s="3538">
        <v>2217683</v>
      </c>
      <c r="H263" s="2365">
        <f t="shared" si="4"/>
        <v>1008978074</v>
      </c>
    </row>
    <row r="264" spans="1:8">
      <c r="A264" s="972">
        <f t="shared" si="5"/>
        <v>2013.03</v>
      </c>
      <c r="B264" s="215">
        <v>101880082</v>
      </c>
      <c r="C264" s="3538">
        <v>646823153</v>
      </c>
      <c r="D264" s="141">
        <v>809487</v>
      </c>
      <c r="E264" s="3538">
        <v>95360845</v>
      </c>
      <c r="F264" s="141">
        <v>71877373</v>
      </c>
      <c r="G264" s="3538">
        <v>2181853</v>
      </c>
      <c r="H264" s="2365">
        <f t="shared" si="4"/>
        <v>918932793</v>
      </c>
    </row>
    <row r="265" spans="1:8">
      <c r="A265" s="972">
        <f t="shared" si="5"/>
        <v>2013.04</v>
      </c>
      <c r="B265" s="215">
        <v>106668306</v>
      </c>
      <c r="C265" s="3538">
        <v>657565107</v>
      </c>
      <c r="D265" s="141">
        <v>224176</v>
      </c>
      <c r="E265" s="3538">
        <v>93967865</v>
      </c>
      <c r="F265" s="141">
        <v>136008132</v>
      </c>
      <c r="G265" s="3538">
        <v>2070422</v>
      </c>
      <c r="H265" s="2365">
        <f t="shared" si="4"/>
        <v>996504008</v>
      </c>
    </row>
    <row r="266" spans="1:8">
      <c r="A266" s="972">
        <f t="shared" si="5"/>
        <v>2013.05</v>
      </c>
      <c r="B266" s="215">
        <v>96308147</v>
      </c>
      <c r="C266" s="3538">
        <v>734254212</v>
      </c>
      <c r="D266" s="141">
        <v>295732</v>
      </c>
      <c r="E266" s="3538">
        <v>108573621</v>
      </c>
      <c r="F266" s="141">
        <v>62012409</v>
      </c>
      <c r="G266" s="3538">
        <v>2306015</v>
      </c>
      <c r="H266" s="2365">
        <f t="shared" si="4"/>
        <v>1003750136</v>
      </c>
    </row>
    <row r="267" spans="1:8">
      <c r="A267" s="972">
        <f t="shared" si="5"/>
        <v>2013.06</v>
      </c>
      <c r="B267" s="215">
        <v>103995047</v>
      </c>
      <c r="C267" s="3538">
        <v>781978947</v>
      </c>
      <c r="D267" s="141">
        <v>257305</v>
      </c>
      <c r="E267" s="3538">
        <v>107538269</v>
      </c>
      <c r="F267" s="141">
        <v>119793176</v>
      </c>
      <c r="G267" s="3538">
        <v>2209184</v>
      </c>
      <c r="H267" s="2365">
        <f t="shared" ref="H267:H330" si="6">_xlfn.AGGREGATE(9,6,B267:G267)</f>
        <v>1115771928</v>
      </c>
    </row>
    <row r="268" spans="1:8">
      <c r="A268" s="972">
        <f t="shared" si="5"/>
        <v>2013.07</v>
      </c>
      <c r="B268" s="215">
        <v>83457476</v>
      </c>
      <c r="C268" s="3538">
        <v>756245563</v>
      </c>
      <c r="D268" s="141">
        <v>243836</v>
      </c>
      <c r="E268" s="3538">
        <v>110058255</v>
      </c>
      <c r="F268" s="141">
        <v>56933484</v>
      </c>
      <c r="G268" s="3538">
        <v>2298543</v>
      </c>
      <c r="H268" s="2365">
        <f t="shared" si="6"/>
        <v>1009237157</v>
      </c>
    </row>
    <row r="269" spans="1:8">
      <c r="A269" s="972">
        <f t="shared" si="5"/>
        <v>2013.08</v>
      </c>
      <c r="B269" s="215">
        <v>100186562</v>
      </c>
      <c r="C269" s="3538">
        <v>816719259</v>
      </c>
      <c r="D269" s="141">
        <v>342930</v>
      </c>
      <c r="E269" s="3538">
        <v>116086394</v>
      </c>
      <c r="F269" s="141">
        <v>44942883</v>
      </c>
      <c r="G269" s="3538">
        <v>2853607</v>
      </c>
      <c r="H269" s="2365">
        <f t="shared" si="6"/>
        <v>1081131635</v>
      </c>
    </row>
    <row r="270" spans="1:8">
      <c r="A270" s="972">
        <f t="shared" si="5"/>
        <v>2013.09</v>
      </c>
      <c r="B270" s="215">
        <v>85950186</v>
      </c>
      <c r="C270" s="3538">
        <v>815740097</v>
      </c>
      <c r="D270" s="141">
        <v>321819</v>
      </c>
      <c r="E270" s="3538">
        <v>116921800</v>
      </c>
      <c r="F270" s="141">
        <v>116325390</v>
      </c>
      <c r="G270" s="3538">
        <v>2582735</v>
      </c>
      <c r="H270" s="2365">
        <f t="shared" si="6"/>
        <v>1137842027</v>
      </c>
    </row>
    <row r="271" spans="1:8">
      <c r="A271" s="972">
        <f t="shared" si="5"/>
        <v>2013.1</v>
      </c>
      <c r="B271" s="215">
        <v>94418354</v>
      </c>
      <c r="C271" s="3538">
        <v>797172759</v>
      </c>
      <c r="D271" s="141">
        <v>269508</v>
      </c>
      <c r="E271" s="3538">
        <v>121232566</v>
      </c>
      <c r="F271" s="141">
        <v>49147223</v>
      </c>
      <c r="G271" s="3538">
        <v>2800954</v>
      </c>
      <c r="H271" s="2365">
        <f t="shared" si="6"/>
        <v>1065041364</v>
      </c>
    </row>
    <row r="272" spans="1:8">
      <c r="A272" s="972">
        <f t="shared" si="5"/>
        <v>2013.11</v>
      </c>
      <c r="B272" s="215">
        <v>81168594</v>
      </c>
      <c r="C272" s="3538">
        <v>881813160</v>
      </c>
      <c r="D272" s="141">
        <v>226557</v>
      </c>
      <c r="E272" s="3538">
        <v>117465573</v>
      </c>
      <c r="F272" s="141">
        <v>110084727</v>
      </c>
      <c r="G272" s="3538">
        <v>2924503</v>
      </c>
      <c r="H272" s="2365">
        <f t="shared" si="6"/>
        <v>1193683114</v>
      </c>
    </row>
    <row r="273" spans="1:8">
      <c r="A273" s="972">
        <f t="shared" si="5"/>
        <v>2013.12</v>
      </c>
      <c r="B273" s="215">
        <v>94268386</v>
      </c>
      <c r="C273" s="3538">
        <v>876688961</v>
      </c>
      <c r="D273" s="141">
        <v>308092</v>
      </c>
      <c r="E273" s="3538">
        <v>116733707</v>
      </c>
      <c r="F273" s="141">
        <v>77246279</v>
      </c>
      <c r="G273" s="3538">
        <v>2609736</v>
      </c>
      <c r="H273" s="2365">
        <f t="shared" si="6"/>
        <v>1167855161</v>
      </c>
    </row>
    <row r="274" spans="1:8">
      <c r="A274" s="972">
        <f t="shared" ref="A274:A338" si="7">A262+1</f>
        <v>2014.01</v>
      </c>
      <c r="B274" s="215">
        <v>39145610</v>
      </c>
      <c r="C274" s="3538">
        <v>935929326</v>
      </c>
      <c r="D274" s="141">
        <v>299712</v>
      </c>
      <c r="E274" s="3538">
        <v>134122612</v>
      </c>
      <c r="F274" s="141">
        <v>59127890</v>
      </c>
      <c r="G274" s="3538">
        <v>2523167</v>
      </c>
      <c r="H274" s="2365">
        <f t="shared" si="6"/>
        <v>1171148317</v>
      </c>
    </row>
    <row r="275" spans="1:8">
      <c r="A275" s="972">
        <f t="shared" si="7"/>
        <v>2014.02</v>
      </c>
      <c r="B275" s="215">
        <f>210321401</f>
        <v>210321401</v>
      </c>
      <c r="C275" s="3538">
        <v>949408461</v>
      </c>
      <c r="D275" s="141">
        <v>220822</v>
      </c>
      <c r="E275" s="3538">
        <v>116086421</v>
      </c>
      <c r="F275" s="141">
        <v>177613385</v>
      </c>
      <c r="G275" s="3538">
        <v>2843258</v>
      </c>
      <c r="H275" s="2365">
        <f t="shared" si="6"/>
        <v>1456493748</v>
      </c>
    </row>
    <row r="276" spans="1:8">
      <c r="A276" s="972">
        <f t="shared" si="7"/>
        <v>2014.03</v>
      </c>
      <c r="B276" s="215">
        <v>99975074</v>
      </c>
      <c r="C276" s="3538">
        <v>824842740</v>
      </c>
      <c r="D276" s="141">
        <v>255684</v>
      </c>
      <c r="E276" s="3538">
        <v>106167897</v>
      </c>
      <c r="F276" s="141">
        <v>74516239</v>
      </c>
      <c r="G276" s="3538">
        <v>2782094</v>
      </c>
      <c r="H276" s="2365">
        <f t="shared" si="6"/>
        <v>1108539728</v>
      </c>
    </row>
    <row r="277" spans="1:8">
      <c r="A277" s="972">
        <f t="shared" si="7"/>
        <v>2014.04</v>
      </c>
      <c r="B277" s="215">
        <v>125963578</v>
      </c>
      <c r="C277" s="3538">
        <v>898493291</v>
      </c>
      <c r="D277" s="141">
        <v>244542</v>
      </c>
      <c r="E277" s="3538">
        <v>123840401</v>
      </c>
      <c r="F277" s="141">
        <v>161119889</v>
      </c>
      <c r="G277" s="3538">
        <v>2867697</v>
      </c>
      <c r="H277" s="2365">
        <f t="shared" si="6"/>
        <v>1312529398</v>
      </c>
    </row>
    <row r="278" spans="1:8">
      <c r="A278" s="972">
        <f t="shared" si="7"/>
        <v>2014.05</v>
      </c>
      <c r="B278" s="215">
        <v>101264546</v>
      </c>
      <c r="C278" s="3538">
        <v>984970542</v>
      </c>
      <c r="D278" s="141">
        <v>187935</v>
      </c>
      <c r="E278" s="3538">
        <v>123316535</v>
      </c>
      <c r="F278" s="141">
        <v>65973667</v>
      </c>
      <c r="G278" s="3538">
        <v>2842000</v>
      </c>
      <c r="H278" s="2365">
        <f t="shared" si="6"/>
        <v>1278555225</v>
      </c>
    </row>
    <row r="279" spans="1:8">
      <c r="A279" s="972">
        <f t="shared" si="7"/>
        <v>2014.06</v>
      </c>
      <c r="B279" s="215">
        <v>154497915</v>
      </c>
      <c r="C279" s="3538">
        <v>1053530378</v>
      </c>
      <c r="D279" s="141">
        <v>205056</v>
      </c>
      <c r="E279" s="3538">
        <v>139220045</v>
      </c>
      <c r="F279" s="141">
        <v>164080441</v>
      </c>
      <c r="G279" s="3538">
        <v>3272683</v>
      </c>
      <c r="H279" s="2365">
        <f t="shared" si="6"/>
        <v>1514806518</v>
      </c>
    </row>
    <row r="280" spans="1:8">
      <c r="A280" s="972">
        <f t="shared" si="7"/>
        <v>2014.07</v>
      </c>
      <c r="B280" s="215">
        <v>113895437</v>
      </c>
      <c r="C280" s="3538">
        <v>1077953330</v>
      </c>
      <c r="D280" s="141">
        <v>208314</v>
      </c>
      <c r="E280" s="3538">
        <v>139871604</v>
      </c>
      <c r="F280" s="141">
        <v>70673699</v>
      </c>
      <c r="G280" s="3538">
        <v>3139309</v>
      </c>
      <c r="H280" s="2365">
        <f t="shared" si="6"/>
        <v>1405741693</v>
      </c>
    </row>
    <row r="281" spans="1:8">
      <c r="A281" s="972">
        <f t="shared" si="7"/>
        <v>2014.08</v>
      </c>
      <c r="B281" s="215">
        <v>128043700</v>
      </c>
      <c r="C281" s="3538">
        <v>1134553827</v>
      </c>
      <c r="D281" s="141">
        <v>157121</v>
      </c>
      <c r="E281" s="3538">
        <v>143546760</v>
      </c>
      <c r="F281" s="141">
        <v>54954780</v>
      </c>
      <c r="G281" s="3538">
        <v>3639797</v>
      </c>
      <c r="H281" s="2365">
        <f t="shared" si="6"/>
        <v>1464895985</v>
      </c>
    </row>
    <row r="282" spans="1:8">
      <c r="A282" s="1238">
        <f t="shared" si="7"/>
        <v>2014.09</v>
      </c>
      <c r="B282" s="215">
        <v>110417283</v>
      </c>
      <c r="C282" s="3538">
        <v>1214551944</v>
      </c>
      <c r="D282" s="141">
        <v>206753</v>
      </c>
      <c r="E282" s="3538">
        <v>142836694</v>
      </c>
      <c r="F282" s="141">
        <v>163607385</v>
      </c>
      <c r="G282" s="3538">
        <v>3507234</v>
      </c>
      <c r="H282" s="2365">
        <f t="shared" si="6"/>
        <v>1635127293</v>
      </c>
    </row>
    <row r="283" spans="1:8">
      <c r="A283" s="972">
        <f t="shared" si="7"/>
        <v>2014.1</v>
      </c>
      <c r="B283" s="215">
        <v>128714975</v>
      </c>
      <c r="C283" s="3538">
        <v>1157203317</v>
      </c>
      <c r="D283" s="141">
        <v>207131</v>
      </c>
      <c r="E283" s="3538">
        <v>151123305</v>
      </c>
      <c r="F283" s="141">
        <v>65326950</v>
      </c>
      <c r="G283" s="3538">
        <v>3884141</v>
      </c>
      <c r="H283" s="2365">
        <f t="shared" si="6"/>
        <v>1506459819</v>
      </c>
    </row>
    <row r="284" spans="1:8">
      <c r="A284" s="972">
        <f t="shared" si="7"/>
        <v>2014.11</v>
      </c>
      <c r="B284" s="215">
        <v>102615690</v>
      </c>
      <c r="C284" s="3538">
        <v>1207035725</v>
      </c>
      <c r="D284" s="141">
        <v>185219</v>
      </c>
      <c r="E284" s="3538">
        <v>142318663</v>
      </c>
      <c r="F284" s="141">
        <v>146752446</v>
      </c>
      <c r="G284" s="3538">
        <v>3629658</v>
      </c>
      <c r="H284" s="2365">
        <f t="shared" si="6"/>
        <v>1602537401</v>
      </c>
    </row>
    <row r="285" spans="1:8">
      <c r="A285" s="972">
        <f t="shared" si="7"/>
        <v>2014.12</v>
      </c>
      <c r="B285" s="215">
        <v>139796848</v>
      </c>
      <c r="C285" s="3538">
        <v>1173024680</v>
      </c>
      <c r="D285" s="141">
        <v>194235</v>
      </c>
      <c r="E285" s="3538">
        <v>150110836</v>
      </c>
      <c r="F285" s="141">
        <v>104759830</v>
      </c>
      <c r="G285" s="3538">
        <v>3572020</v>
      </c>
      <c r="H285" s="2365">
        <f t="shared" si="6"/>
        <v>1571458449</v>
      </c>
    </row>
    <row r="286" spans="1:8">
      <c r="A286" s="972">
        <f t="shared" si="7"/>
        <v>2015.01</v>
      </c>
      <c r="B286" s="215">
        <v>47887893</v>
      </c>
      <c r="C286" s="3538">
        <v>1241072984</v>
      </c>
      <c r="D286" s="141">
        <v>186361</v>
      </c>
      <c r="E286" s="3538">
        <v>148430114</v>
      </c>
      <c r="F286" s="141">
        <v>64146269</v>
      </c>
      <c r="G286" s="3538">
        <v>3619563</v>
      </c>
      <c r="H286" s="2365">
        <f t="shared" si="6"/>
        <v>1505343184</v>
      </c>
    </row>
    <row r="287" spans="1:8">
      <c r="A287" s="972">
        <f t="shared" si="7"/>
        <v>2015.02</v>
      </c>
      <c r="B287" s="215">
        <v>259478087</v>
      </c>
      <c r="C287" s="3538">
        <v>1122447229</v>
      </c>
      <c r="D287" s="141">
        <v>170944</v>
      </c>
      <c r="E287" s="3538">
        <v>167014245</v>
      </c>
      <c r="F287" s="141">
        <v>237955240</v>
      </c>
      <c r="G287" s="3538">
        <v>4050266</v>
      </c>
      <c r="H287" s="2365">
        <f t="shared" si="6"/>
        <v>1791116011</v>
      </c>
    </row>
    <row r="288" spans="1:8">
      <c r="A288" s="972">
        <f t="shared" si="7"/>
        <v>2015.03</v>
      </c>
      <c r="B288" s="215">
        <v>133530640</v>
      </c>
      <c r="C288" s="3538">
        <v>1139110660</v>
      </c>
      <c r="D288" s="141">
        <v>274241</v>
      </c>
      <c r="E288" s="3538">
        <v>157529281</v>
      </c>
      <c r="F288" s="141">
        <v>109422709</v>
      </c>
      <c r="G288" s="3538">
        <v>3459132</v>
      </c>
      <c r="H288" s="2365">
        <f t="shared" si="6"/>
        <v>1543326663</v>
      </c>
    </row>
    <row r="289" spans="1:8">
      <c r="A289" s="972">
        <f t="shared" si="7"/>
        <v>2015.04</v>
      </c>
      <c r="B289" s="215">
        <v>179701804</v>
      </c>
      <c r="C289" s="3538">
        <v>1273857446</v>
      </c>
      <c r="D289" s="141">
        <v>365267</v>
      </c>
      <c r="E289" s="3538">
        <v>178966985</v>
      </c>
      <c r="F289" s="141">
        <v>234658123</v>
      </c>
      <c r="G289" s="3538">
        <v>3908184</v>
      </c>
      <c r="H289" s="2365">
        <f t="shared" si="6"/>
        <v>1871457809</v>
      </c>
    </row>
    <row r="290" spans="1:8">
      <c r="A290" s="972">
        <f t="shared" si="7"/>
        <v>2015.05</v>
      </c>
      <c r="B290" s="215">
        <v>137537819</v>
      </c>
      <c r="C290" s="3538">
        <v>1366284652</v>
      </c>
      <c r="D290" s="141">
        <v>223908</v>
      </c>
      <c r="E290" s="3538">
        <v>181766559</v>
      </c>
      <c r="F290" s="141">
        <v>93728809</v>
      </c>
      <c r="G290" s="3538">
        <v>4290128</v>
      </c>
      <c r="H290" s="2365">
        <f t="shared" si="6"/>
        <v>1783831875</v>
      </c>
    </row>
    <row r="291" spans="1:8">
      <c r="A291" s="972">
        <f t="shared" si="7"/>
        <v>2015.06</v>
      </c>
      <c r="B291" s="223">
        <v>193676306</v>
      </c>
      <c r="C291" s="3538">
        <v>1362709548</v>
      </c>
      <c r="D291" s="141">
        <v>334705</v>
      </c>
      <c r="E291" s="3538">
        <v>187666310</v>
      </c>
      <c r="F291" s="141">
        <v>258323789</v>
      </c>
      <c r="G291" s="3538">
        <v>4102489</v>
      </c>
      <c r="H291" s="2365">
        <f t="shared" si="6"/>
        <v>2006813147</v>
      </c>
    </row>
    <row r="292" spans="1:8">
      <c r="A292" s="972">
        <f t="shared" si="7"/>
        <v>2015.07</v>
      </c>
      <c r="B292" s="223">
        <v>143743754</v>
      </c>
      <c r="C292" s="3538">
        <v>1426363795</v>
      </c>
      <c r="D292" s="141">
        <v>246678</v>
      </c>
      <c r="E292" s="3538">
        <v>208815469</v>
      </c>
      <c r="F292" s="141">
        <v>105322688</v>
      </c>
      <c r="G292" s="3538">
        <v>4110088</v>
      </c>
      <c r="H292" s="2365">
        <f t="shared" si="6"/>
        <v>1888602472</v>
      </c>
    </row>
    <row r="293" spans="1:8">
      <c r="A293" s="972">
        <f t="shared" si="7"/>
        <v>2015.08</v>
      </c>
      <c r="B293" s="223">
        <v>173620220</v>
      </c>
      <c r="C293" s="3538">
        <v>1426889980</v>
      </c>
      <c r="D293" s="141">
        <v>275820</v>
      </c>
      <c r="E293" s="3538">
        <v>212922159.99999997</v>
      </c>
      <c r="F293" s="141">
        <v>86128230.000000015</v>
      </c>
      <c r="G293" s="3538">
        <v>5038230</v>
      </c>
      <c r="H293" s="2365">
        <f t="shared" si="6"/>
        <v>1904874640</v>
      </c>
    </row>
    <row r="294" spans="1:8">
      <c r="A294" s="972">
        <f t="shared" si="7"/>
        <v>2015.09</v>
      </c>
      <c r="B294" s="223">
        <v>137971131</v>
      </c>
      <c r="C294" s="3538">
        <v>1375294020</v>
      </c>
      <c r="D294" s="141">
        <v>413895</v>
      </c>
      <c r="E294" s="3538">
        <v>209907655</v>
      </c>
      <c r="F294" s="141">
        <v>231448973</v>
      </c>
      <c r="G294" s="3538">
        <v>4252637</v>
      </c>
      <c r="H294" s="2365">
        <f t="shared" si="6"/>
        <v>1959288311</v>
      </c>
    </row>
    <row r="295" spans="1:8">
      <c r="A295" s="972">
        <f t="shared" si="7"/>
        <v>2015.1</v>
      </c>
      <c r="B295" s="223">
        <v>171789636</v>
      </c>
      <c r="C295" s="3538">
        <v>1434301769</v>
      </c>
      <c r="D295" s="141">
        <v>198547</v>
      </c>
      <c r="E295" s="3538">
        <v>215849870</v>
      </c>
      <c r="F295" s="141">
        <v>95999813</v>
      </c>
      <c r="G295" s="3538">
        <v>4974316</v>
      </c>
      <c r="H295" s="2365">
        <f t="shared" si="6"/>
        <v>1923113951</v>
      </c>
    </row>
    <row r="296" spans="1:8">
      <c r="A296" s="972">
        <f t="shared" si="7"/>
        <v>2015.11</v>
      </c>
      <c r="B296" s="215">
        <v>132592321</v>
      </c>
      <c r="C296" s="3538">
        <v>1550925305</v>
      </c>
      <c r="D296" s="141">
        <v>226485</v>
      </c>
      <c r="E296" s="3538">
        <v>216746483</v>
      </c>
      <c r="F296" s="141">
        <v>227891165</v>
      </c>
      <c r="G296" s="3538">
        <v>4655262</v>
      </c>
      <c r="H296" s="2365">
        <f t="shared" si="6"/>
        <v>2133037021</v>
      </c>
    </row>
    <row r="297" spans="1:8">
      <c r="A297" s="972">
        <f t="shared" si="7"/>
        <v>2015.12</v>
      </c>
      <c r="B297" s="215">
        <v>182017823</v>
      </c>
      <c r="C297" s="3538">
        <v>1554777288</v>
      </c>
      <c r="D297" s="141">
        <v>220333</v>
      </c>
      <c r="E297" s="3538">
        <v>232911232</v>
      </c>
      <c r="F297" s="141">
        <v>160461255</v>
      </c>
      <c r="G297" s="3538">
        <v>5558780</v>
      </c>
      <c r="H297" s="2365">
        <f t="shared" si="6"/>
        <v>2135946711</v>
      </c>
    </row>
    <row r="298" spans="1:8">
      <c r="A298" s="972">
        <f t="shared" si="7"/>
        <v>2016.01</v>
      </c>
      <c r="B298" s="223">
        <v>75221161</v>
      </c>
      <c r="C298" s="3538">
        <v>1608868173</v>
      </c>
      <c r="D298" s="141">
        <v>190129</v>
      </c>
      <c r="E298" s="3538">
        <v>224330927</v>
      </c>
      <c r="F298" s="141">
        <v>89257393</v>
      </c>
      <c r="G298" s="3538">
        <v>5041329</v>
      </c>
      <c r="H298" s="2365">
        <f t="shared" si="6"/>
        <v>2002909112</v>
      </c>
    </row>
    <row r="299" spans="1:8">
      <c r="A299" s="972">
        <f t="shared" si="7"/>
        <v>2016.02</v>
      </c>
      <c r="B299" s="223">
        <v>406848860</v>
      </c>
      <c r="C299" s="3538">
        <v>1624295285</v>
      </c>
      <c r="D299" s="141">
        <v>197941</v>
      </c>
      <c r="E299" s="3538">
        <v>214297289</v>
      </c>
      <c r="F299" s="141">
        <v>343607097</v>
      </c>
      <c r="G299" s="3538">
        <v>4502793</v>
      </c>
      <c r="H299" s="2365">
        <f t="shared" si="6"/>
        <v>2593749265</v>
      </c>
    </row>
    <row r="300" spans="1:8">
      <c r="A300" s="972">
        <f t="shared" si="7"/>
        <v>2016.03</v>
      </c>
      <c r="B300" s="223">
        <v>198673800</v>
      </c>
      <c r="C300" s="3538">
        <v>1748944995</v>
      </c>
      <c r="D300" s="141">
        <v>383302</v>
      </c>
      <c r="E300" s="3538">
        <v>242219968</v>
      </c>
      <c r="F300" s="141">
        <v>160159545</v>
      </c>
      <c r="G300" s="3538">
        <v>5412827</v>
      </c>
      <c r="H300" s="2365">
        <f t="shared" si="6"/>
        <v>2355794437</v>
      </c>
    </row>
    <row r="301" spans="1:8">
      <c r="A301" s="972">
        <f t="shared" si="7"/>
        <v>2016.04</v>
      </c>
      <c r="B301" s="215">
        <v>257898157</v>
      </c>
      <c r="C301" s="3538">
        <v>1897691732</v>
      </c>
      <c r="D301" s="141">
        <v>205013</v>
      </c>
      <c r="E301" s="3538">
        <v>261695994</v>
      </c>
      <c r="F301" s="141">
        <v>328466130</v>
      </c>
      <c r="G301" s="3538">
        <v>5764656</v>
      </c>
      <c r="H301" s="2365">
        <f t="shared" si="6"/>
        <v>2751721682</v>
      </c>
    </row>
    <row r="302" spans="1:8">
      <c r="A302" s="972">
        <f t="shared" si="7"/>
        <v>2016.05</v>
      </c>
      <c r="B302" s="215">
        <v>167522678</v>
      </c>
      <c r="C302" s="3538">
        <v>1889105765</v>
      </c>
      <c r="D302" s="141">
        <v>210979</v>
      </c>
      <c r="E302" s="3538">
        <v>245671195</v>
      </c>
      <c r="F302" s="141">
        <v>139579607</v>
      </c>
      <c r="G302" s="3538">
        <v>5247945</v>
      </c>
      <c r="H302" s="2365">
        <f t="shared" si="6"/>
        <v>2447338169</v>
      </c>
    </row>
    <row r="303" spans="1:8">
      <c r="A303" s="972">
        <f t="shared" si="7"/>
        <v>2016.06</v>
      </c>
      <c r="B303" s="215">
        <v>241645556</v>
      </c>
      <c r="C303" s="3538">
        <v>2016972638</v>
      </c>
      <c r="D303" s="141">
        <v>122302</v>
      </c>
      <c r="E303" s="3538">
        <v>264462951</v>
      </c>
      <c r="F303" s="141">
        <v>320780968</v>
      </c>
      <c r="G303" s="3538">
        <v>5690836</v>
      </c>
      <c r="H303" s="2365">
        <f t="shared" si="6"/>
        <v>2849675251</v>
      </c>
    </row>
    <row r="304" spans="1:8">
      <c r="A304" s="972">
        <f t="shared" si="7"/>
        <v>2016.07</v>
      </c>
      <c r="B304" s="215">
        <v>181465195</v>
      </c>
      <c r="C304" s="3538">
        <v>2123494058</v>
      </c>
      <c r="D304" s="141">
        <v>157453</v>
      </c>
      <c r="E304" s="3538">
        <v>272986810</v>
      </c>
      <c r="F304" s="141">
        <v>132201383</v>
      </c>
      <c r="G304" s="3538">
        <v>5535613</v>
      </c>
      <c r="H304" s="2365">
        <f t="shared" si="6"/>
        <v>2715840512</v>
      </c>
    </row>
    <row r="305" spans="1:8">
      <c r="A305" s="972">
        <f t="shared" si="7"/>
        <v>2016.08</v>
      </c>
      <c r="B305" s="223">
        <v>292516710</v>
      </c>
      <c r="C305" s="3538">
        <v>2028089488</v>
      </c>
      <c r="D305" s="141">
        <v>222296</v>
      </c>
      <c r="E305" s="3538">
        <v>289736645</v>
      </c>
      <c r="F305" s="141">
        <v>137455836</v>
      </c>
      <c r="G305" s="3538">
        <v>7154949</v>
      </c>
      <c r="H305" s="2365">
        <f t="shared" si="6"/>
        <v>2755175924</v>
      </c>
    </row>
    <row r="306" spans="1:8">
      <c r="A306" s="972">
        <f t="shared" si="7"/>
        <v>2016.09</v>
      </c>
      <c r="B306" s="223">
        <v>182569885</v>
      </c>
      <c r="C306" s="3538">
        <v>2180436782</v>
      </c>
      <c r="D306" s="141">
        <v>153950</v>
      </c>
      <c r="E306" s="3538">
        <v>326130859</v>
      </c>
      <c r="F306" s="141">
        <v>338155449</v>
      </c>
      <c r="G306" s="3538">
        <v>6713719</v>
      </c>
      <c r="H306" s="2365">
        <f t="shared" si="6"/>
        <v>3034160644</v>
      </c>
    </row>
    <row r="307" spans="1:8">
      <c r="A307" s="972">
        <f t="shared" si="7"/>
        <v>2016.1</v>
      </c>
      <c r="B307" s="215">
        <v>257757976</v>
      </c>
      <c r="C307" s="3538">
        <v>2069836244</v>
      </c>
      <c r="D307" s="141">
        <v>143035</v>
      </c>
      <c r="E307" s="3538">
        <v>294421192</v>
      </c>
      <c r="F307" s="141">
        <v>129934356</v>
      </c>
      <c r="G307" s="3538">
        <v>6359439</v>
      </c>
      <c r="H307" s="2365">
        <f t="shared" si="6"/>
        <v>2758452242</v>
      </c>
    </row>
    <row r="308" spans="1:8">
      <c r="A308" s="972">
        <f t="shared" si="7"/>
        <v>2016.11</v>
      </c>
      <c r="B308" s="215">
        <v>182162007</v>
      </c>
      <c r="C308" s="3538">
        <v>2209888992</v>
      </c>
      <c r="D308" s="141">
        <v>148612</v>
      </c>
      <c r="E308" s="3538">
        <v>325431955</v>
      </c>
      <c r="F308" s="141">
        <v>313280636</v>
      </c>
      <c r="G308" s="3538">
        <v>7263231</v>
      </c>
      <c r="H308" s="2365">
        <f t="shared" si="6"/>
        <v>3038175433</v>
      </c>
    </row>
    <row r="309" spans="1:8">
      <c r="A309" s="972">
        <f t="shared" si="7"/>
        <v>2016.12</v>
      </c>
      <c r="B309" s="215">
        <v>266387360</v>
      </c>
      <c r="C309" s="3538">
        <v>2381368435</v>
      </c>
      <c r="D309" s="141">
        <v>146470</v>
      </c>
      <c r="E309" s="3538">
        <v>352449716</v>
      </c>
      <c r="F309" s="141">
        <v>237863087</v>
      </c>
      <c r="G309" s="3538">
        <v>7659404</v>
      </c>
      <c r="H309" s="2365">
        <f t="shared" si="6"/>
        <v>3245874472</v>
      </c>
    </row>
    <row r="310" spans="1:8">
      <c r="A310" s="972">
        <f t="shared" si="7"/>
        <v>2017.01</v>
      </c>
      <c r="B310" s="215">
        <v>141537107</v>
      </c>
      <c r="C310" s="3538">
        <v>2530754197</v>
      </c>
      <c r="D310" s="141">
        <v>123544</v>
      </c>
      <c r="E310" s="3538">
        <v>333178168</v>
      </c>
      <c r="F310" s="141">
        <v>160251115</v>
      </c>
      <c r="G310" s="3538">
        <v>14840528</v>
      </c>
      <c r="H310" s="2365">
        <f t="shared" si="6"/>
        <v>3180684659</v>
      </c>
    </row>
    <row r="311" spans="1:8">
      <c r="A311" s="972">
        <f t="shared" si="7"/>
        <v>2017.02</v>
      </c>
      <c r="B311" s="215">
        <v>584956917</v>
      </c>
      <c r="C311" s="3538">
        <v>2225366116</v>
      </c>
      <c r="D311" s="141">
        <v>121057</v>
      </c>
      <c r="E311" s="3538">
        <v>330888733</v>
      </c>
      <c r="F311" s="141">
        <v>520296116</v>
      </c>
      <c r="G311" s="3538">
        <v>7873242</v>
      </c>
      <c r="H311" s="2365">
        <f t="shared" si="6"/>
        <v>3669502181</v>
      </c>
    </row>
    <row r="312" spans="1:8">
      <c r="A312" s="972">
        <f t="shared" si="7"/>
        <v>2017.03</v>
      </c>
      <c r="B312" s="215">
        <v>206584819</v>
      </c>
      <c r="C312" s="3538">
        <v>2057199234</v>
      </c>
      <c r="D312" s="141">
        <v>129038</v>
      </c>
      <c r="E312" s="3538">
        <v>343156200</v>
      </c>
      <c r="F312" s="141">
        <v>208900194</v>
      </c>
      <c r="G312" s="3538">
        <v>8943830</v>
      </c>
      <c r="H312" s="2365">
        <f t="shared" si="6"/>
        <v>2824913315</v>
      </c>
    </row>
    <row r="313" spans="1:8">
      <c r="A313" s="972">
        <f t="shared" si="7"/>
        <v>2017.04</v>
      </c>
      <c r="B313" s="215">
        <v>305347514</v>
      </c>
      <c r="C313" s="3538">
        <v>2250503718</v>
      </c>
      <c r="D313" s="141">
        <v>118619</v>
      </c>
      <c r="E313" s="3538">
        <v>346564528</v>
      </c>
      <c r="F313" s="141">
        <v>387512752</v>
      </c>
      <c r="G313" s="3538">
        <v>20747695</v>
      </c>
      <c r="H313" s="2365">
        <f t="shared" si="6"/>
        <v>3310794826</v>
      </c>
    </row>
    <row r="314" spans="1:8">
      <c r="A314" s="972">
        <f t="shared" si="7"/>
        <v>2017.05</v>
      </c>
      <c r="B314" s="215">
        <v>231633318</v>
      </c>
      <c r="C314" s="3538">
        <v>2460630680</v>
      </c>
      <c r="D314" s="141">
        <v>152352</v>
      </c>
      <c r="E314" s="3538">
        <v>368990026</v>
      </c>
      <c r="F314" s="141">
        <v>195300019</v>
      </c>
      <c r="G314" s="3538">
        <v>12155190</v>
      </c>
      <c r="H314" s="2365">
        <f t="shared" si="6"/>
        <v>3268861585</v>
      </c>
    </row>
    <row r="315" spans="1:8">
      <c r="A315" s="1238">
        <f t="shared" si="7"/>
        <v>2017.06</v>
      </c>
      <c r="B315" s="215">
        <v>341513820</v>
      </c>
      <c r="C315" s="3538">
        <v>2649660020</v>
      </c>
      <c r="D315" s="141">
        <v>120987</v>
      </c>
      <c r="E315" s="3538">
        <v>398090423</v>
      </c>
      <c r="F315" s="141">
        <v>422730342</v>
      </c>
      <c r="G315" s="3538">
        <v>7910054</v>
      </c>
      <c r="H315" s="2365">
        <f t="shared" si="6"/>
        <v>3820025646</v>
      </c>
    </row>
    <row r="316" spans="1:8">
      <c r="A316" s="972">
        <f t="shared" si="7"/>
        <v>2017.07</v>
      </c>
      <c r="B316" s="215">
        <v>230997424</v>
      </c>
      <c r="C316" s="3538">
        <v>2717143448</v>
      </c>
      <c r="D316" s="141">
        <v>160338</v>
      </c>
      <c r="E316" s="3538">
        <v>399425050</v>
      </c>
      <c r="F316" s="141">
        <v>213864064</v>
      </c>
      <c r="G316" s="3538">
        <v>7976510</v>
      </c>
      <c r="H316" s="2365">
        <f t="shared" si="6"/>
        <v>3569566834</v>
      </c>
    </row>
    <row r="317" spans="1:8">
      <c r="A317" s="972">
        <f t="shared" si="7"/>
        <v>2017.08</v>
      </c>
      <c r="B317" s="215">
        <v>339074369</v>
      </c>
      <c r="C317" s="3538">
        <v>2758889928</v>
      </c>
      <c r="D317" s="141">
        <v>221339</v>
      </c>
      <c r="E317" s="3538">
        <v>432999163</v>
      </c>
      <c r="F317" s="141">
        <v>181519396</v>
      </c>
      <c r="G317" s="3538">
        <v>8809985</v>
      </c>
      <c r="H317" s="2365">
        <f t="shared" si="6"/>
        <v>3721514180</v>
      </c>
    </row>
    <row r="318" spans="1:8">
      <c r="A318" s="972">
        <f t="shared" si="7"/>
        <v>2017.09</v>
      </c>
      <c r="B318" s="215">
        <v>259169932</v>
      </c>
      <c r="C318" s="3538">
        <v>2814566764</v>
      </c>
      <c r="D318" s="141">
        <v>419555</v>
      </c>
      <c r="E318" s="3538">
        <v>460875399</v>
      </c>
      <c r="F318" s="141">
        <v>377699542</v>
      </c>
      <c r="G318" s="3538">
        <v>9440100</v>
      </c>
      <c r="H318" s="2365">
        <f t="shared" si="6"/>
        <v>3922171292</v>
      </c>
    </row>
    <row r="319" spans="1:8">
      <c r="A319" s="972">
        <f t="shared" si="7"/>
        <v>2017.1</v>
      </c>
      <c r="B319" s="215">
        <v>338566287</v>
      </c>
      <c r="C319" s="3538">
        <v>2691928865</v>
      </c>
      <c r="D319" s="141">
        <v>385177</v>
      </c>
      <c r="E319" s="3538">
        <v>438285347</v>
      </c>
      <c r="F319" s="141">
        <v>182400172</v>
      </c>
      <c r="G319" s="3538">
        <v>8174345</v>
      </c>
      <c r="H319" s="2365">
        <f t="shared" si="6"/>
        <v>3659740193</v>
      </c>
    </row>
    <row r="320" spans="1:8">
      <c r="A320" s="972">
        <f t="shared" si="7"/>
        <v>2017.11</v>
      </c>
      <c r="B320" s="215">
        <v>266205724</v>
      </c>
      <c r="C320" s="3538">
        <v>2775041794</v>
      </c>
      <c r="D320" s="141">
        <v>130991</v>
      </c>
      <c r="E320" s="3538">
        <v>460762811</v>
      </c>
      <c r="F320" s="141">
        <v>382807968</v>
      </c>
      <c r="G320" s="3538">
        <v>9072166</v>
      </c>
      <c r="H320" s="2365">
        <f t="shared" si="6"/>
        <v>3894021454</v>
      </c>
    </row>
    <row r="321" spans="1:8">
      <c r="A321" s="972">
        <f t="shared" si="7"/>
        <v>2017.12</v>
      </c>
      <c r="B321" s="223">
        <v>354089367.00000012</v>
      </c>
      <c r="C321" s="3538">
        <v>2809468153</v>
      </c>
      <c r="D321" s="141">
        <v>118864</v>
      </c>
      <c r="E321" s="3538">
        <v>470213862</v>
      </c>
      <c r="F321" s="141">
        <v>293138625</v>
      </c>
      <c r="G321" s="3538">
        <v>9968189</v>
      </c>
      <c r="H321" s="2365">
        <f t="shared" si="6"/>
        <v>3936997060</v>
      </c>
    </row>
    <row r="322" spans="1:8">
      <c r="A322" s="972">
        <f t="shared" si="7"/>
        <v>2018.01</v>
      </c>
      <c r="B322" s="215">
        <v>132836384.06999999</v>
      </c>
      <c r="C322" s="3538">
        <v>2980280972.5599999</v>
      </c>
      <c r="D322" s="141">
        <v>204333.45</v>
      </c>
      <c r="E322" s="3538">
        <v>484901630.26999998</v>
      </c>
      <c r="F322" s="141">
        <v>227931959.53</v>
      </c>
      <c r="G322" s="3538">
        <v>8647351.5700000003</v>
      </c>
      <c r="H322" s="2365">
        <f t="shared" si="6"/>
        <v>3834802631.4500003</v>
      </c>
    </row>
    <row r="323" spans="1:8">
      <c r="A323" s="972">
        <f t="shared" si="7"/>
        <v>2018.02</v>
      </c>
      <c r="B323" s="679">
        <v>444379580.19999999</v>
      </c>
      <c r="C323" s="3660">
        <v>2725723988.1700001</v>
      </c>
      <c r="D323" s="682">
        <v>106860.94</v>
      </c>
      <c r="E323" s="3660">
        <v>449894177.44999999</v>
      </c>
      <c r="F323" s="682">
        <v>621974948.19000006</v>
      </c>
      <c r="G323" s="3660">
        <v>8743210</v>
      </c>
      <c r="H323" s="2365">
        <f t="shared" si="6"/>
        <v>4250822764.9499998</v>
      </c>
    </row>
    <row r="324" spans="1:8">
      <c r="A324" s="972">
        <f t="shared" si="7"/>
        <v>2018.03</v>
      </c>
      <c r="B324" s="679">
        <v>119149146.97</v>
      </c>
      <c r="C324" s="3660">
        <v>2787202218.0599999</v>
      </c>
      <c r="D324" s="682">
        <v>136199.1</v>
      </c>
      <c r="E324" s="3660">
        <v>477146233.63999999</v>
      </c>
      <c r="F324" s="682">
        <v>249635081.50999999</v>
      </c>
      <c r="G324" s="3660">
        <v>8312069.4500000002</v>
      </c>
      <c r="H324" s="2365">
        <f t="shared" si="6"/>
        <v>3641580948.7299995</v>
      </c>
    </row>
    <row r="325" spans="1:8">
      <c r="A325" s="972">
        <f t="shared" si="7"/>
        <v>2018.04</v>
      </c>
      <c r="B325" s="679">
        <v>117322110.86</v>
      </c>
      <c r="C325" s="3660">
        <v>2990322365.98</v>
      </c>
      <c r="D325" s="682">
        <v>315726.52</v>
      </c>
      <c r="E325" s="3660">
        <v>461808027.75</v>
      </c>
      <c r="F325" s="682">
        <v>474335106.44999999</v>
      </c>
      <c r="G325" s="3660">
        <v>8744090.7599999998</v>
      </c>
      <c r="H325" s="2365">
        <f t="shared" si="6"/>
        <v>4052847428.3200002</v>
      </c>
    </row>
    <row r="326" spans="1:8">
      <c r="A326" s="972">
        <f t="shared" si="7"/>
        <v>2018.05</v>
      </c>
      <c r="B326" s="679">
        <v>640365146.02999997</v>
      </c>
      <c r="C326" s="3660">
        <v>3153485979.1900001</v>
      </c>
      <c r="D326" s="682">
        <v>134064.6</v>
      </c>
      <c r="E326" s="3660">
        <v>510492647.64999998</v>
      </c>
      <c r="F326" s="682">
        <v>242574071.81</v>
      </c>
      <c r="G326" s="3660">
        <v>8842871.4299999997</v>
      </c>
      <c r="H326" s="2365">
        <f t="shared" si="6"/>
        <v>4555894780.710001</v>
      </c>
    </row>
    <row r="327" spans="1:8">
      <c r="A327" s="972">
        <f t="shared" si="7"/>
        <v>2018.06</v>
      </c>
      <c r="B327" s="679">
        <v>499071538.80000001</v>
      </c>
      <c r="C327" s="3660">
        <v>3476759122.1599998</v>
      </c>
      <c r="D327" s="682">
        <v>114833.94</v>
      </c>
      <c r="E327" s="3660">
        <v>528517782.95999998</v>
      </c>
      <c r="F327" s="682">
        <v>469147118.39999998</v>
      </c>
      <c r="G327" s="3660">
        <v>9538199.0099999998</v>
      </c>
      <c r="H327" s="2365">
        <f t="shared" si="6"/>
        <v>4983148595.2699995</v>
      </c>
    </row>
    <row r="328" spans="1:8">
      <c r="A328" s="972">
        <f t="shared" si="7"/>
        <v>2018.07</v>
      </c>
      <c r="B328" s="679">
        <v>217774170.66</v>
      </c>
      <c r="C328" s="3660">
        <v>3469461155.1799998</v>
      </c>
      <c r="D328" s="682">
        <v>115506.04</v>
      </c>
      <c r="E328" s="3660">
        <v>487893272.55000001</v>
      </c>
      <c r="F328" s="682">
        <v>269798278.85000002</v>
      </c>
      <c r="G328" s="3660">
        <v>9683448.7300000004</v>
      </c>
      <c r="H328" s="2365">
        <f t="shared" si="6"/>
        <v>4454725832.0099993</v>
      </c>
    </row>
    <row r="329" spans="1:8">
      <c r="A329" s="972">
        <f t="shared" si="7"/>
        <v>2018.08</v>
      </c>
      <c r="B329" s="679">
        <v>680096633.07000005</v>
      </c>
      <c r="C329" s="3660">
        <v>3635753440.6500001</v>
      </c>
      <c r="D329" s="682">
        <v>98070.51</v>
      </c>
      <c r="E329" s="3660">
        <v>515518241.41000003</v>
      </c>
      <c r="F329" s="682">
        <v>209429178.63999999</v>
      </c>
      <c r="G329" s="3660">
        <v>9716727.0099999998</v>
      </c>
      <c r="H329" s="2365">
        <f t="shared" si="6"/>
        <v>5050612291.2900009</v>
      </c>
    </row>
    <row r="330" spans="1:8">
      <c r="A330" s="972">
        <f t="shared" si="7"/>
        <v>2018.09</v>
      </c>
      <c r="B330" s="679">
        <v>593768030.65999997</v>
      </c>
      <c r="C330" s="3660">
        <v>3926127027.1599998</v>
      </c>
      <c r="D330" s="682">
        <v>106448.57</v>
      </c>
      <c r="E330" s="3660">
        <v>490298427.74000001</v>
      </c>
      <c r="F330" s="682">
        <v>416356204.77999997</v>
      </c>
      <c r="G330" s="3660">
        <v>9726137.3000000007</v>
      </c>
      <c r="H330" s="2365">
        <f t="shared" si="6"/>
        <v>5436382276.2099991</v>
      </c>
    </row>
    <row r="331" spans="1:8">
      <c r="A331" s="972">
        <f t="shared" si="7"/>
        <v>2018.1</v>
      </c>
      <c r="B331" s="680">
        <v>222885613</v>
      </c>
      <c r="C331" s="3660">
        <v>4048372283.8400002</v>
      </c>
      <c r="D331" s="682">
        <v>405113.39</v>
      </c>
      <c r="E331" s="3660">
        <v>505678908.87</v>
      </c>
      <c r="F331" s="682">
        <v>202809736.13999999</v>
      </c>
      <c r="G331" s="3660">
        <v>13800548.399999619</v>
      </c>
      <c r="H331" s="2365">
        <f t="shared" ref="H331:H394" si="8">_xlfn.AGGREGATE(9,6,B331:G331)</f>
        <v>4993952203.6400003</v>
      </c>
    </row>
    <row r="332" spans="1:8">
      <c r="A332" s="972">
        <f t="shared" si="7"/>
        <v>2018.11</v>
      </c>
      <c r="B332" s="680">
        <v>603488287.04999995</v>
      </c>
      <c r="C332" s="3660">
        <v>4213651708.1100001</v>
      </c>
      <c r="D332" s="682">
        <v>206981.8</v>
      </c>
      <c r="E332" s="3660">
        <v>517427212.58999997</v>
      </c>
      <c r="F332" s="682">
        <v>417331267.67000002</v>
      </c>
      <c r="G332" s="3660">
        <v>10936879.390000001</v>
      </c>
      <c r="H332" s="2365">
        <f t="shared" si="8"/>
        <v>5763042336.6100006</v>
      </c>
    </row>
    <row r="333" spans="1:8">
      <c r="A333" s="972">
        <f t="shared" si="7"/>
        <v>2018.12</v>
      </c>
      <c r="B333" s="680">
        <v>661290896.80999994</v>
      </c>
      <c r="C333" s="3660">
        <v>4176915143.8699999</v>
      </c>
      <c r="D333" s="682">
        <v>67205.740000000005</v>
      </c>
      <c r="E333" s="3660">
        <v>526325085.19999999</v>
      </c>
      <c r="F333" s="682">
        <v>343717818.86000001</v>
      </c>
      <c r="G333" s="3660">
        <v>14328782.279999999</v>
      </c>
      <c r="H333" s="2365">
        <f t="shared" si="8"/>
        <v>5722644932.7599993</v>
      </c>
    </row>
    <row r="334" spans="1:8">
      <c r="A334" s="972">
        <f t="shared" si="7"/>
        <v>2019.01</v>
      </c>
      <c r="B334" s="680">
        <v>181575410.78</v>
      </c>
      <c r="C334" s="3660">
        <v>4233183377.0799999</v>
      </c>
      <c r="D334" s="682">
        <v>109584.32000000001</v>
      </c>
      <c r="E334" s="3660">
        <v>493044828.77999997</v>
      </c>
      <c r="F334" s="682">
        <v>245001663.83000001</v>
      </c>
      <c r="G334" s="3660">
        <v>10809654.380000001</v>
      </c>
      <c r="H334" s="2365">
        <f t="shared" si="8"/>
        <v>5163724519.1699991</v>
      </c>
    </row>
    <row r="335" spans="1:8">
      <c r="A335" s="972">
        <f t="shared" si="7"/>
        <v>2019.02</v>
      </c>
      <c r="B335" s="680">
        <v>949182514.80999994</v>
      </c>
      <c r="C335" s="3660">
        <v>4274503667.3200002</v>
      </c>
      <c r="D335" s="682">
        <v>72671.27</v>
      </c>
      <c r="E335" s="3660">
        <v>460230851.75</v>
      </c>
      <c r="F335" s="682">
        <v>814069295.76999998</v>
      </c>
      <c r="G335" s="3660">
        <v>12019316.789999999</v>
      </c>
      <c r="H335" s="2365">
        <f t="shared" si="8"/>
        <v>6510078317.71</v>
      </c>
    </row>
    <row r="336" spans="1:8">
      <c r="A336" s="972">
        <f t="shared" si="7"/>
        <v>2019.03</v>
      </c>
      <c r="B336" s="680">
        <v>450675897.56999999</v>
      </c>
      <c r="C336" s="3660">
        <v>4060371007.9200001</v>
      </c>
      <c r="D336" s="682">
        <v>75051.960000000006</v>
      </c>
      <c r="E336" s="3660">
        <v>426995820.49000001</v>
      </c>
      <c r="F336" s="682">
        <v>320136368.74000001</v>
      </c>
      <c r="G336" s="3660">
        <v>10744545.98</v>
      </c>
      <c r="H336" s="2365">
        <f t="shared" si="8"/>
        <v>5268998692.6599989</v>
      </c>
    </row>
    <row r="337" spans="1:8">
      <c r="A337" s="972">
        <f t="shared" si="7"/>
        <v>2019.04</v>
      </c>
      <c r="B337" s="215">
        <v>536169975.56</v>
      </c>
      <c r="C337" s="3538">
        <v>4424954328.0699997</v>
      </c>
      <c r="D337" s="141">
        <v>64286.1</v>
      </c>
      <c r="E337" s="3538">
        <v>475527763.25</v>
      </c>
      <c r="F337" s="141">
        <v>627855218.58000004</v>
      </c>
      <c r="G337" s="3538">
        <v>11152879.74</v>
      </c>
      <c r="H337" s="2365">
        <f t="shared" si="8"/>
        <v>6075724451.3000002</v>
      </c>
    </row>
    <row r="338" spans="1:8">
      <c r="A338" s="972">
        <f t="shared" si="7"/>
        <v>2019.05</v>
      </c>
      <c r="B338" s="223">
        <v>455195854.94</v>
      </c>
      <c r="C338" s="3538">
        <v>4708137639.4099998</v>
      </c>
      <c r="D338" s="141">
        <v>119907.93</v>
      </c>
      <c r="E338" s="3538">
        <v>486270070.85000002</v>
      </c>
      <c r="F338" s="141">
        <v>329753185.82999998</v>
      </c>
      <c r="G338" s="3538">
        <v>12400465.939999999</v>
      </c>
      <c r="H338" s="2365">
        <f t="shared" si="8"/>
        <v>5991877124.8999996</v>
      </c>
    </row>
    <row r="339" spans="1:8">
      <c r="A339" s="972">
        <f t="shared" ref="A339:A402" si="9">A327+1</f>
        <v>2019.06</v>
      </c>
      <c r="B339" s="223">
        <v>481758777</v>
      </c>
      <c r="C339" s="3538">
        <v>4707904644.5699997</v>
      </c>
      <c r="D339" s="141">
        <v>69859.17</v>
      </c>
      <c r="E339" s="3538">
        <v>604375382.65999997</v>
      </c>
      <c r="F339" s="141">
        <v>606141255.58000004</v>
      </c>
      <c r="G339" s="3538">
        <v>12911838.810000001</v>
      </c>
      <c r="H339" s="2365">
        <f t="shared" si="8"/>
        <v>6413161757.79</v>
      </c>
    </row>
    <row r="340" spans="1:8">
      <c r="A340" s="972">
        <f t="shared" si="9"/>
        <v>2019.07</v>
      </c>
      <c r="B340" s="223">
        <v>561521616.44000006</v>
      </c>
      <c r="C340" s="3538">
        <v>4657143837.5500002</v>
      </c>
      <c r="D340" s="141">
        <v>92978.23</v>
      </c>
      <c r="E340" s="3538">
        <v>500982119.31</v>
      </c>
      <c r="F340" s="141">
        <v>350898844.00999999</v>
      </c>
      <c r="G340" s="3538">
        <v>13037781.390000001</v>
      </c>
      <c r="H340" s="2365">
        <f t="shared" si="8"/>
        <v>6083677176.9300003</v>
      </c>
    </row>
    <row r="341" spans="1:8">
      <c r="A341" s="972">
        <f t="shared" si="9"/>
        <v>2019.08</v>
      </c>
      <c r="B341" s="223">
        <v>778511135.01999998</v>
      </c>
      <c r="C341" s="3538">
        <v>5138260513.21</v>
      </c>
      <c r="D341" s="141">
        <v>68074.84</v>
      </c>
      <c r="E341" s="3538">
        <v>587022150.38999999</v>
      </c>
      <c r="F341" s="141">
        <v>313992914.58999997</v>
      </c>
      <c r="G341" s="3538">
        <v>14328969.33</v>
      </c>
      <c r="H341" s="2365">
        <f t="shared" si="8"/>
        <v>6832183757.3800001</v>
      </c>
    </row>
    <row r="342" spans="1:8">
      <c r="A342" s="972">
        <f t="shared" si="9"/>
        <v>2019.09</v>
      </c>
      <c r="B342" s="223">
        <v>556076364.45000005</v>
      </c>
      <c r="C342" s="3538">
        <v>5623382211.6199999</v>
      </c>
      <c r="D342" s="141">
        <v>76693.490000000005</v>
      </c>
      <c r="E342" s="3538">
        <v>558120910.75999999</v>
      </c>
      <c r="F342" s="141">
        <v>671517821.13</v>
      </c>
      <c r="G342" s="3538">
        <v>14986152.27</v>
      </c>
      <c r="H342" s="2365">
        <f t="shared" si="8"/>
        <v>7424160153.7200003</v>
      </c>
    </row>
    <row r="343" spans="1:8">
      <c r="A343" s="972">
        <f t="shared" si="9"/>
        <v>2019.1</v>
      </c>
      <c r="B343" s="680">
        <v>705415359.90999997</v>
      </c>
      <c r="C343" s="3660">
        <v>5564225923.7700005</v>
      </c>
      <c r="D343" s="141">
        <v>119364.19</v>
      </c>
      <c r="E343" s="3538">
        <v>568025538.45000005</v>
      </c>
      <c r="F343" s="141">
        <v>312201085.24000001</v>
      </c>
      <c r="G343" s="3538">
        <v>15420107.32</v>
      </c>
      <c r="H343" s="2365">
        <f t="shared" si="8"/>
        <v>7165407378.8799992</v>
      </c>
    </row>
    <row r="344" spans="1:8">
      <c r="A344" s="972">
        <f t="shared" si="9"/>
        <v>2019.11</v>
      </c>
      <c r="B344" s="215">
        <v>537163991.35000002</v>
      </c>
      <c r="C344" s="3538">
        <v>6273247365.5699997</v>
      </c>
      <c r="D344" s="141">
        <v>102196.45</v>
      </c>
      <c r="E344" s="3538">
        <v>619512737.80999994</v>
      </c>
      <c r="F344" s="141">
        <v>587170385.28999996</v>
      </c>
      <c r="G344" s="3538">
        <v>18703002.199999999</v>
      </c>
      <c r="H344" s="2365">
        <f t="shared" si="8"/>
        <v>8035899678.6700001</v>
      </c>
    </row>
    <row r="345" spans="1:8">
      <c r="A345" s="972">
        <f t="shared" si="9"/>
        <v>2019.12</v>
      </c>
      <c r="B345" s="215">
        <v>698107609.96000004</v>
      </c>
      <c r="C345" s="3538">
        <v>6251114476.1000004</v>
      </c>
      <c r="D345" s="141">
        <v>111352.86</v>
      </c>
      <c r="E345" s="3538">
        <v>636980288.34000003</v>
      </c>
      <c r="F345" s="141">
        <v>616057061.89999998</v>
      </c>
      <c r="G345" s="3538">
        <v>15358025.74</v>
      </c>
      <c r="H345" s="2365">
        <f t="shared" si="8"/>
        <v>8217728814.8999996</v>
      </c>
    </row>
    <row r="346" spans="1:8">
      <c r="A346" s="972">
        <f t="shared" si="9"/>
        <v>2020.01</v>
      </c>
      <c r="B346" s="215">
        <v>210591660.44999999</v>
      </c>
      <c r="C346" s="3538">
        <v>6457025387.0600004</v>
      </c>
      <c r="D346" s="141">
        <v>86819.81</v>
      </c>
      <c r="E346" s="3538">
        <v>612578160.32000005</v>
      </c>
      <c r="F346" s="141">
        <v>376319435.31</v>
      </c>
      <c r="G346" s="3538">
        <v>15868420.630000001</v>
      </c>
      <c r="H346" s="2365">
        <f t="shared" si="8"/>
        <v>7672469883.5800009</v>
      </c>
    </row>
    <row r="347" spans="1:8">
      <c r="A347" s="972">
        <f t="shared" si="9"/>
        <v>2020.02</v>
      </c>
      <c r="B347" s="215">
        <v>1641676011.51</v>
      </c>
      <c r="C347" s="3538">
        <v>6129152444.6800003</v>
      </c>
      <c r="D347" s="141">
        <v>170599.27</v>
      </c>
      <c r="E347" s="3538">
        <v>599862057.74000001</v>
      </c>
      <c r="F347" s="141">
        <v>1253384570.9100001</v>
      </c>
      <c r="G347" s="3538">
        <v>17431920.920000002</v>
      </c>
      <c r="H347" s="2365">
        <f t="shared" si="8"/>
        <v>9641677605.0300007</v>
      </c>
    </row>
    <row r="348" spans="1:8">
      <c r="A348" s="972">
        <f t="shared" si="9"/>
        <v>2020.03</v>
      </c>
      <c r="B348" s="215">
        <v>694345285.87</v>
      </c>
      <c r="C348" s="3538">
        <v>5555525392.6199999</v>
      </c>
      <c r="D348" s="141">
        <v>198601.34</v>
      </c>
      <c r="E348" s="3538">
        <v>500435532.63</v>
      </c>
      <c r="F348" s="141">
        <v>402876339.77999997</v>
      </c>
      <c r="G348" s="3538">
        <v>12842398.25</v>
      </c>
      <c r="H348" s="2365">
        <f t="shared" si="8"/>
        <v>7166223550.4899998</v>
      </c>
    </row>
    <row r="349" spans="1:8">
      <c r="A349" s="972">
        <f t="shared" si="9"/>
        <v>2020.04</v>
      </c>
      <c r="B349" s="215">
        <v>670511853.77999997</v>
      </c>
      <c r="C349" s="3538">
        <v>5144586606.7600002</v>
      </c>
      <c r="D349" s="141">
        <v>154840</v>
      </c>
      <c r="E349" s="3538">
        <v>333974844.27999997</v>
      </c>
      <c r="F349" s="141">
        <v>663977509.21000004</v>
      </c>
      <c r="G349" s="3538">
        <v>3478563.98</v>
      </c>
      <c r="H349" s="2365">
        <f t="shared" si="8"/>
        <v>6816684218.0099993</v>
      </c>
    </row>
    <row r="350" spans="1:8">
      <c r="A350" s="972">
        <f t="shared" si="9"/>
        <v>2020.05</v>
      </c>
      <c r="B350" s="215">
        <v>817122248.29999995</v>
      </c>
      <c r="C350" s="3538">
        <v>6375791693.8500004</v>
      </c>
      <c r="D350" s="3538">
        <v>305320.39</v>
      </c>
      <c r="E350" s="3538">
        <v>387764369.04000002</v>
      </c>
      <c r="F350" s="141">
        <v>494536738.13999999</v>
      </c>
      <c r="G350" s="3538">
        <v>10312714.220000001</v>
      </c>
      <c r="H350" s="2365">
        <f t="shared" si="8"/>
        <v>8085833083.9400015</v>
      </c>
    </row>
    <row r="351" spans="1:8">
      <c r="A351" s="972">
        <f t="shared" si="9"/>
        <v>2020.06</v>
      </c>
      <c r="B351" s="215">
        <v>1085559253.3699999</v>
      </c>
      <c r="C351" s="3538">
        <v>6707421117.8699999</v>
      </c>
      <c r="D351" s="3538">
        <v>525306.74</v>
      </c>
      <c r="E351" s="3538">
        <v>597292097.39999998</v>
      </c>
      <c r="F351" s="141">
        <v>1114962680.76</v>
      </c>
      <c r="G351" s="3538">
        <v>7145877.4400000004</v>
      </c>
      <c r="H351" s="2365">
        <f t="shared" si="8"/>
        <v>9512906333.5799999</v>
      </c>
    </row>
    <row r="352" spans="1:8">
      <c r="A352" s="972">
        <f t="shared" si="9"/>
        <v>2020.07</v>
      </c>
      <c r="B352" s="215">
        <v>857854114.14999998</v>
      </c>
      <c r="C352" s="3538">
        <v>7670138926.1999998</v>
      </c>
      <c r="D352" s="141">
        <v>32154.47</v>
      </c>
      <c r="E352" s="3538">
        <v>701307059.70000005</v>
      </c>
      <c r="F352" s="141">
        <v>537088422.63</v>
      </c>
      <c r="G352" s="3538">
        <v>8918285.3100000005</v>
      </c>
      <c r="H352" s="2365">
        <f t="shared" si="8"/>
        <v>9775338962.4599991</v>
      </c>
    </row>
    <row r="353" spans="1:9">
      <c r="A353" s="972">
        <f t="shared" si="9"/>
        <v>2020.08</v>
      </c>
      <c r="B353" s="215">
        <v>921435089.5</v>
      </c>
      <c r="C353" s="3538">
        <v>7863037288.5699997</v>
      </c>
      <c r="D353" s="141">
        <v>51289.66</v>
      </c>
      <c r="E353" s="3538">
        <v>715255009.75</v>
      </c>
      <c r="F353" s="141">
        <v>506090021.75</v>
      </c>
      <c r="G353" s="3538">
        <v>5246490.25</v>
      </c>
      <c r="H353" s="2365">
        <f t="shared" si="8"/>
        <v>10011115189.48</v>
      </c>
      <c r="I353" s="166"/>
    </row>
    <row r="354" spans="1:9">
      <c r="A354" s="972">
        <f t="shared" si="9"/>
        <v>2020.09</v>
      </c>
      <c r="B354" s="830">
        <v>819354365.39999998</v>
      </c>
      <c r="C354" s="3538">
        <v>7650547842.9300003</v>
      </c>
      <c r="D354" s="141">
        <v>145332.57</v>
      </c>
      <c r="E354" s="3538">
        <v>784289786.84000003</v>
      </c>
      <c r="F354" s="141">
        <v>979750345</v>
      </c>
      <c r="G354" s="3538">
        <v>5196622.57</v>
      </c>
      <c r="H354" s="2365">
        <f t="shared" si="8"/>
        <v>10239284295.309999</v>
      </c>
      <c r="I354" s="166"/>
    </row>
    <row r="355" spans="1:9">
      <c r="A355" s="972">
        <f t="shared" si="9"/>
        <v>2020.1</v>
      </c>
      <c r="B355" s="215">
        <v>888648932.50999999</v>
      </c>
      <c r="C355" s="3538">
        <v>8068730406.6700001</v>
      </c>
      <c r="D355" s="141">
        <v>34365.620000000003</v>
      </c>
      <c r="E355" s="3538">
        <v>720820723.72000003</v>
      </c>
      <c r="F355" s="141">
        <v>471672411.18000001</v>
      </c>
      <c r="G355" s="3538">
        <v>8570156.1799999997</v>
      </c>
      <c r="H355" s="2365">
        <f t="shared" si="8"/>
        <v>10158476995.880001</v>
      </c>
      <c r="I355" s="166"/>
    </row>
    <row r="356" spans="1:9">
      <c r="A356" s="972">
        <f t="shared" si="9"/>
        <v>2020.11</v>
      </c>
      <c r="B356" s="215">
        <v>760272628.82000005</v>
      </c>
      <c r="C356" s="3538">
        <v>8757251122.3199997</v>
      </c>
      <c r="D356" s="141">
        <v>46590.54</v>
      </c>
      <c r="E356" s="3538">
        <v>846038236.95000005</v>
      </c>
      <c r="F356" s="141">
        <v>940431583.30999994</v>
      </c>
      <c r="G356" s="3538">
        <v>8954580.2200000007</v>
      </c>
      <c r="H356" s="2365">
        <f t="shared" si="8"/>
        <v>11312994742.16</v>
      </c>
      <c r="I356" s="166"/>
    </row>
    <row r="357" spans="1:9">
      <c r="A357" s="972">
        <f t="shared" si="9"/>
        <v>2020.12</v>
      </c>
      <c r="B357" s="215">
        <v>935953918.74000001</v>
      </c>
      <c r="C357" s="3538">
        <v>7885531756.25</v>
      </c>
      <c r="D357" s="141">
        <v>32494</v>
      </c>
      <c r="E357" s="3538">
        <v>844300829.28999996</v>
      </c>
      <c r="F357" s="141">
        <v>960058883.73000002</v>
      </c>
      <c r="G357" s="3538">
        <v>10285648.300000001</v>
      </c>
      <c r="H357" s="2365">
        <f t="shared" si="8"/>
        <v>10636163530.309998</v>
      </c>
      <c r="I357" s="166"/>
    </row>
    <row r="358" spans="1:9">
      <c r="A358" s="972">
        <f t="shared" si="9"/>
        <v>2021.01</v>
      </c>
      <c r="B358" s="215">
        <v>328378146.30000001</v>
      </c>
      <c r="C358" s="3538">
        <v>9153626259.3099995</v>
      </c>
      <c r="D358" s="141">
        <v>39875</v>
      </c>
      <c r="E358" s="3538">
        <v>908168901.70000005</v>
      </c>
      <c r="F358" s="141">
        <v>504864919.35000002</v>
      </c>
      <c r="G358" s="3538">
        <v>8791586.9199999999</v>
      </c>
      <c r="H358" s="2365">
        <f t="shared" si="8"/>
        <v>10903869688.58</v>
      </c>
      <c r="I358" s="166"/>
    </row>
    <row r="359" spans="1:9">
      <c r="A359" s="972">
        <f t="shared" si="9"/>
        <v>2021.02</v>
      </c>
      <c r="B359" s="215">
        <v>2561626396.4299998</v>
      </c>
      <c r="C359" s="3538">
        <v>8449710999.8100004</v>
      </c>
      <c r="D359" s="141">
        <v>66893.19</v>
      </c>
      <c r="E359" s="3538">
        <v>873881654.76999998</v>
      </c>
      <c r="F359" s="141">
        <v>1415191002.9400001</v>
      </c>
      <c r="G359" s="3538">
        <v>8875399.2899999991</v>
      </c>
      <c r="H359" s="2365">
        <f t="shared" si="8"/>
        <v>13309352346.430002</v>
      </c>
      <c r="I359" s="166"/>
    </row>
    <row r="360" spans="1:9">
      <c r="A360" s="972">
        <f t="shared" si="9"/>
        <v>2021.03</v>
      </c>
      <c r="B360" s="215">
        <v>1144114227.3599999</v>
      </c>
      <c r="C360" s="3538">
        <v>8786628513.0499992</v>
      </c>
      <c r="D360" s="141">
        <v>38076.269999999997</v>
      </c>
      <c r="E360" s="3538">
        <v>1054661638.36</v>
      </c>
      <c r="F360" s="141">
        <v>680832702.08000004</v>
      </c>
      <c r="G360" s="3538">
        <v>6990252.2000000002</v>
      </c>
      <c r="H360" s="2365">
        <f t="shared" si="8"/>
        <v>11673265409.320002</v>
      </c>
      <c r="I360" s="166"/>
    </row>
    <row r="361" spans="1:9">
      <c r="A361" s="972">
        <f t="shared" si="9"/>
        <v>2021.04</v>
      </c>
      <c r="B361" s="215">
        <v>1232045233.51</v>
      </c>
      <c r="C361" s="3538">
        <v>9785383086.7099991</v>
      </c>
      <c r="D361" s="141">
        <v>1969101.97</v>
      </c>
      <c r="E361" s="3538">
        <v>1023942497.37</v>
      </c>
      <c r="F361" s="141">
        <v>1036992871.89</v>
      </c>
      <c r="G361" s="3538">
        <v>11570632.43</v>
      </c>
      <c r="H361" s="2365">
        <f t="shared" si="8"/>
        <v>13091903423.879999</v>
      </c>
      <c r="I361" s="166"/>
    </row>
    <row r="362" spans="1:9">
      <c r="A362" s="972">
        <f t="shared" si="9"/>
        <v>2021.05</v>
      </c>
      <c r="B362" s="215">
        <v>1139734705.5799999</v>
      </c>
      <c r="C362" s="3538">
        <v>10629375699.620001</v>
      </c>
      <c r="D362" s="141">
        <v>641043.65</v>
      </c>
      <c r="E362" s="3538">
        <v>1077348032.3900001</v>
      </c>
      <c r="F362" s="141">
        <v>694339022.57000005</v>
      </c>
      <c r="G362" s="3538">
        <v>9738503.0899999999</v>
      </c>
      <c r="H362" s="2365">
        <f t="shared" si="8"/>
        <v>13551177006.9</v>
      </c>
      <c r="I362" s="166"/>
    </row>
    <row r="363" spans="1:9" s="226" customFormat="1">
      <c r="A363" s="972">
        <f t="shared" si="9"/>
        <v>2021.06</v>
      </c>
      <c r="B363" s="215">
        <v>1383577762.28</v>
      </c>
      <c r="C363" s="3538">
        <v>11079653022.01</v>
      </c>
      <c r="D363" s="141">
        <v>823521.93</v>
      </c>
      <c r="E363" s="3538">
        <v>1090900732.71</v>
      </c>
      <c r="F363" s="141">
        <v>1301244775.26</v>
      </c>
      <c r="G363" s="3538">
        <v>10397096.720000001</v>
      </c>
      <c r="H363" s="2365">
        <f t="shared" si="8"/>
        <v>14866596910.91</v>
      </c>
      <c r="I363" s="166"/>
    </row>
    <row r="364" spans="1:9">
      <c r="A364" s="972">
        <f t="shared" si="9"/>
        <v>2021.07</v>
      </c>
      <c r="B364" s="215">
        <v>1052266133.14</v>
      </c>
      <c r="C364" s="3538">
        <v>11422300324.16</v>
      </c>
      <c r="D364" s="141">
        <v>367370.6</v>
      </c>
      <c r="E364" s="3538">
        <v>1202862180.8099999</v>
      </c>
      <c r="F364" s="141">
        <v>634487986.77999997</v>
      </c>
      <c r="G364" s="3538">
        <v>11664640.560000001</v>
      </c>
      <c r="H364" s="2365">
        <f t="shared" si="8"/>
        <v>14323948636.049999</v>
      </c>
      <c r="I364" s="166"/>
    </row>
    <row r="365" spans="1:9">
      <c r="A365" s="972">
        <f t="shared" si="9"/>
        <v>2021.08</v>
      </c>
      <c r="B365" s="215">
        <v>1328289966.9400001</v>
      </c>
      <c r="C365" s="3538">
        <v>11980551480.43</v>
      </c>
      <c r="D365" s="141">
        <v>108909.89</v>
      </c>
      <c r="E365" s="3538">
        <v>1276729445.99</v>
      </c>
      <c r="F365" s="141">
        <v>1207044016.23</v>
      </c>
      <c r="G365" s="3538">
        <v>12472429.1</v>
      </c>
      <c r="H365" s="2365">
        <f t="shared" si="8"/>
        <v>15805196248.58</v>
      </c>
      <c r="I365" s="166"/>
    </row>
    <row r="366" spans="1:9">
      <c r="A366" s="972">
        <f t="shared" si="9"/>
        <v>2021.09</v>
      </c>
      <c r="B366" s="215">
        <v>1013547463.5700001</v>
      </c>
      <c r="C366" s="3538">
        <v>12623151384.1</v>
      </c>
      <c r="D366" s="141">
        <v>37043.99</v>
      </c>
      <c r="E366" s="3538">
        <v>1376767742.1700001</v>
      </c>
      <c r="F366" s="141">
        <v>1534321861.8699999</v>
      </c>
      <c r="G366" s="3538">
        <v>11655066.619999999</v>
      </c>
      <c r="H366" s="2365">
        <f t="shared" si="8"/>
        <v>16559480562.320002</v>
      </c>
      <c r="I366" s="166"/>
    </row>
    <row r="367" spans="1:9" s="226" customFormat="1">
      <c r="A367" s="972">
        <f t="shared" si="9"/>
        <v>2021.1</v>
      </c>
      <c r="B367" s="215">
        <v>1141985557.9100001</v>
      </c>
      <c r="C367" s="3538">
        <v>12638007801.77</v>
      </c>
      <c r="D367" s="141">
        <v>34451.67</v>
      </c>
      <c r="E367" s="3538">
        <v>1323647424.99</v>
      </c>
      <c r="F367" s="141">
        <v>688812210.74000001</v>
      </c>
      <c r="G367" s="3538">
        <v>14078695.699999999</v>
      </c>
      <c r="H367" s="2365">
        <f t="shared" si="8"/>
        <v>15806566142.780001</v>
      </c>
      <c r="I367" s="166"/>
    </row>
    <row r="368" spans="1:9" s="226" customFormat="1">
      <c r="A368" s="972">
        <f t="shared" si="9"/>
        <v>2021.11</v>
      </c>
      <c r="B368" s="215">
        <v>622523026.76999998</v>
      </c>
      <c r="C368" s="3538">
        <v>14052915449.860001</v>
      </c>
      <c r="D368" s="141">
        <v>50704.82</v>
      </c>
      <c r="E368" s="3538">
        <v>1491614318</v>
      </c>
      <c r="F368" s="141">
        <v>1365230566.3599999</v>
      </c>
      <c r="G368" s="3538">
        <v>15316569.68</v>
      </c>
      <c r="H368" s="2365">
        <f t="shared" si="8"/>
        <v>17547650635.490002</v>
      </c>
      <c r="I368" s="166"/>
    </row>
    <row r="369" spans="1:8">
      <c r="A369" s="972">
        <f t="shared" si="9"/>
        <v>2021.12</v>
      </c>
      <c r="B369" s="215">
        <v>764782440.27999997</v>
      </c>
      <c r="C369" s="3538">
        <v>14335802554.700001</v>
      </c>
      <c r="D369" s="141">
        <v>250915.59</v>
      </c>
      <c r="E369" s="3538">
        <v>1428776648.5</v>
      </c>
      <c r="F369" s="141">
        <v>1352147019.74</v>
      </c>
      <c r="G369" s="3538">
        <v>19879507.190000001</v>
      </c>
      <c r="H369" s="2365">
        <f t="shared" si="8"/>
        <v>17901639086</v>
      </c>
    </row>
    <row r="370" spans="1:8">
      <c r="A370" s="972">
        <f t="shared" si="9"/>
        <v>2022.01</v>
      </c>
      <c r="B370" s="215">
        <v>396995713.38</v>
      </c>
      <c r="C370" s="3538">
        <v>15300399886.360001</v>
      </c>
      <c r="D370" s="141">
        <v>35334.51</v>
      </c>
      <c r="E370" s="3538">
        <v>1391394435.3399999</v>
      </c>
      <c r="F370" s="141">
        <v>717436480.70000005</v>
      </c>
      <c r="G370" s="3538">
        <v>41148579.140000001</v>
      </c>
      <c r="H370" s="2365">
        <f t="shared" si="8"/>
        <v>17847410429.43</v>
      </c>
    </row>
    <row r="371" spans="1:8">
      <c r="A371" s="972">
        <f t="shared" si="9"/>
        <v>2022.02</v>
      </c>
      <c r="B371" s="215">
        <v>3839903617.0100002</v>
      </c>
      <c r="C371" s="3538">
        <v>13908779014.17</v>
      </c>
      <c r="D371" s="141">
        <v>49403.040000000001</v>
      </c>
      <c r="E371" s="3538">
        <v>1406305280.6199999</v>
      </c>
      <c r="F371" s="141">
        <v>3475847676.27</v>
      </c>
      <c r="G371" s="3538">
        <v>28759923.530000001</v>
      </c>
      <c r="H371" s="2365">
        <f t="shared" si="8"/>
        <v>22659644914.639999</v>
      </c>
    </row>
    <row r="372" spans="1:8">
      <c r="A372" s="972">
        <f t="shared" si="9"/>
        <v>2022.03</v>
      </c>
      <c r="B372" s="215">
        <v>1250703591.6600001</v>
      </c>
      <c r="C372" s="3538">
        <v>14207078537.74</v>
      </c>
      <c r="D372" s="141">
        <v>129181.03</v>
      </c>
      <c r="E372" s="3538">
        <v>1473461562.0799999</v>
      </c>
      <c r="F372" s="141">
        <v>1140373969.26</v>
      </c>
      <c r="G372" s="3538">
        <v>35705095.640000001</v>
      </c>
      <c r="H372" s="2365">
        <f t="shared" si="8"/>
        <v>18107451937.41</v>
      </c>
    </row>
    <row r="373" spans="1:8">
      <c r="A373" s="972">
        <f t="shared" si="9"/>
        <v>2022.04</v>
      </c>
      <c r="B373" s="215">
        <v>1424931408.48</v>
      </c>
      <c r="C373" s="3538">
        <v>17128774559.42</v>
      </c>
      <c r="D373" s="141">
        <v>50878.14</v>
      </c>
      <c r="E373" s="3538">
        <v>1668322966.3900001</v>
      </c>
      <c r="F373" s="141">
        <v>1725789984.3599999</v>
      </c>
      <c r="G373" s="3538">
        <v>36459467.07</v>
      </c>
      <c r="H373" s="2365">
        <f t="shared" si="8"/>
        <v>21984329263.860001</v>
      </c>
    </row>
    <row r="374" spans="1:8">
      <c r="A374" s="972">
        <f t="shared" si="9"/>
        <v>2022.05</v>
      </c>
      <c r="B374" s="215">
        <v>1395807506.73</v>
      </c>
      <c r="C374" s="3538">
        <v>18578413394.009998</v>
      </c>
      <c r="D374" s="141">
        <v>309820.58</v>
      </c>
      <c r="E374" s="3538">
        <v>1878881021.6199999</v>
      </c>
      <c r="F374" s="3538">
        <v>1268457323.46</v>
      </c>
      <c r="G374" s="3538">
        <v>34142763</v>
      </c>
      <c r="H374" s="3012">
        <f t="shared" si="8"/>
        <v>23156011829.399998</v>
      </c>
    </row>
    <row r="375" spans="1:8">
      <c r="A375" s="972">
        <f t="shared" si="9"/>
        <v>2022.06</v>
      </c>
      <c r="B375" s="215">
        <v>1578618162.7399998</v>
      </c>
      <c r="C375" s="3538">
        <v>20112234608.300003</v>
      </c>
      <c r="D375" s="141">
        <f>(D363/(SUM(B363:G363)-D363))*SUM(B375:C375,E375:G375)</f>
        <v>1417671.5520132338</v>
      </c>
      <c r="E375" s="3538">
        <v>2024074733.9499998</v>
      </c>
      <c r="F375" s="3538">
        <v>1841810000</v>
      </c>
      <c r="G375" s="3538">
        <v>34304171.620000005</v>
      </c>
      <c r="H375" s="3012">
        <f t="shared" si="8"/>
        <v>25592459348.162014</v>
      </c>
    </row>
    <row r="376" spans="1:8">
      <c r="A376" s="972">
        <f t="shared" si="9"/>
        <v>2022.07</v>
      </c>
      <c r="B376" s="215">
        <v>1114293551.8</v>
      </c>
      <c r="C376" s="3538">
        <v>22244706078.849998</v>
      </c>
      <c r="D376" s="141">
        <v>119568.52</v>
      </c>
      <c r="E376" s="3538">
        <v>2035348075.8800001</v>
      </c>
      <c r="F376" s="141">
        <v>870729752.23000002</v>
      </c>
      <c r="G376" s="3538">
        <v>44772323.32</v>
      </c>
      <c r="H376" s="3012">
        <f t="shared" si="8"/>
        <v>26309969350.599998</v>
      </c>
    </row>
    <row r="377" spans="1:8">
      <c r="A377" s="972">
        <f t="shared" si="9"/>
        <v>2022.08</v>
      </c>
      <c r="B377" s="215">
        <v>1501566906.21</v>
      </c>
      <c r="C377" s="3538">
        <v>21885972661.330002</v>
      </c>
      <c r="D377" s="141">
        <v>48741.27</v>
      </c>
      <c r="E377" s="3538">
        <v>2027945666.3</v>
      </c>
      <c r="F377" s="141">
        <v>932242195.42999995</v>
      </c>
      <c r="G377" s="3538">
        <v>42704739.170000002</v>
      </c>
      <c r="H377" s="3012">
        <f t="shared" si="8"/>
        <v>26390480909.709999</v>
      </c>
    </row>
    <row r="378" spans="1:8">
      <c r="A378" s="972">
        <f t="shared" si="9"/>
        <v>2022.09</v>
      </c>
      <c r="B378" s="215">
        <v>1110035393.6900001</v>
      </c>
      <c r="C378" s="3538">
        <v>24326567910.560001</v>
      </c>
      <c r="D378" s="141">
        <v>352659.48</v>
      </c>
      <c r="E378" s="3538">
        <v>2268982091.29</v>
      </c>
      <c r="F378" s="141">
        <v>1650413552.3900001</v>
      </c>
      <c r="G378" s="3538">
        <v>52365968.100000001</v>
      </c>
      <c r="H378" s="3012">
        <f t="shared" si="8"/>
        <v>29408717575.509998</v>
      </c>
    </row>
    <row r="379" spans="1:8">
      <c r="A379" s="972">
        <f t="shared" si="9"/>
        <v>2022.1</v>
      </c>
      <c r="B379" s="215">
        <v>1332783479.98</v>
      </c>
      <c r="C379" s="3538">
        <v>24717510456.32</v>
      </c>
      <c r="D379" s="141">
        <v>62259.41</v>
      </c>
      <c r="E379" s="3538">
        <v>2238701767.3499999</v>
      </c>
      <c r="F379" s="141">
        <v>851033578.99000001</v>
      </c>
      <c r="G379" s="3538">
        <v>43108490.5</v>
      </c>
      <c r="H379" s="3012">
        <f t="shared" si="8"/>
        <v>29183200032.549999</v>
      </c>
    </row>
    <row r="380" spans="1:8">
      <c r="A380" s="972">
        <f t="shared" si="9"/>
        <v>2022.11</v>
      </c>
      <c r="B380" s="215">
        <v>684311491.98000002</v>
      </c>
      <c r="C380" s="3538">
        <v>25611893675.080002</v>
      </c>
      <c r="D380" s="141">
        <v>120659.78</v>
      </c>
      <c r="E380" s="3538">
        <v>2325923058.8600001</v>
      </c>
      <c r="F380" s="141">
        <v>1646446864.8800001</v>
      </c>
      <c r="G380" s="3538">
        <v>57462848.75</v>
      </c>
      <c r="H380" s="3012">
        <f t="shared" si="8"/>
        <v>30326158599.330002</v>
      </c>
    </row>
    <row r="381" spans="1:8">
      <c r="A381" s="972">
        <f t="shared" si="9"/>
        <v>2022.12</v>
      </c>
      <c r="B381" s="215">
        <v>939670729.62</v>
      </c>
      <c r="C381" s="3538">
        <v>26479630600.77</v>
      </c>
      <c r="D381" s="141">
        <v>196219.29</v>
      </c>
      <c r="E381" s="3538">
        <v>2518047389.9499998</v>
      </c>
      <c r="F381" s="141">
        <v>1649339708.3299999</v>
      </c>
      <c r="G381" s="3538">
        <v>49871510.829999998</v>
      </c>
      <c r="H381" s="3012">
        <f t="shared" si="8"/>
        <v>31636756158.790001</v>
      </c>
    </row>
    <row r="382" spans="1:8">
      <c r="A382" s="972">
        <f t="shared" si="9"/>
        <v>2023.01</v>
      </c>
      <c r="B382" s="215">
        <v>938861327.75</v>
      </c>
      <c r="C382" s="3538">
        <v>30000972037.75</v>
      </c>
      <c r="D382" s="141">
        <v>51573.14</v>
      </c>
      <c r="E382" s="3538">
        <v>2477788568.5100002</v>
      </c>
      <c r="F382" s="141">
        <v>1688682039.03</v>
      </c>
      <c r="G382" s="3538">
        <v>65872099.340000004</v>
      </c>
      <c r="H382" s="3012">
        <f t="shared" si="8"/>
        <v>35172227645.519997</v>
      </c>
    </row>
    <row r="383" spans="1:8">
      <c r="A383" s="972">
        <f t="shared" si="9"/>
        <v>2023.02</v>
      </c>
      <c r="B383" s="215">
        <v>5695385736.8400002</v>
      </c>
      <c r="C383" s="3538">
        <v>26081260271.639999</v>
      </c>
      <c r="D383" s="141">
        <v>34743.5</v>
      </c>
      <c r="E383" s="3538">
        <v>2532060319.5599999</v>
      </c>
      <c r="F383" s="141">
        <v>5710227400.1099997</v>
      </c>
      <c r="G383" s="3538">
        <v>68040596.829999998</v>
      </c>
      <c r="H383" s="3012">
        <f t="shared" si="8"/>
        <v>40087009068.480003</v>
      </c>
    </row>
    <row r="384" spans="1:8">
      <c r="A384" s="972">
        <f t="shared" si="9"/>
        <v>2023.03</v>
      </c>
      <c r="B384" s="215">
        <v>1497030244</v>
      </c>
      <c r="C384" s="3538">
        <v>28777671142.91</v>
      </c>
      <c r="D384" s="141">
        <v>291725.23</v>
      </c>
      <c r="E384" s="3538">
        <v>2468531628.4699998</v>
      </c>
      <c r="F384" s="141">
        <v>1618772695.1500001</v>
      </c>
      <c r="G384" s="3538">
        <v>82137537.459999993</v>
      </c>
      <c r="H384" s="3012">
        <f t="shared" si="8"/>
        <v>34444434973.220001</v>
      </c>
    </row>
    <row r="385" spans="1:13">
      <c r="A385" s="972">
        <f t="shared" si="9"/>
        <v>2023.04</v>
      </c>
      <c r="B385" s="215">
        <v>1868217828.77</v>
      </c>
      <c r="C385" s="3538">
        <v>33070532002.25</v>
      </c>
      <c r="D385" s="141">
        <v>31108.01</v>
      </c>
      <c r="E385" s="3538">
        <v>2967725261.1700001</v>
      </c>
      <c r="F385" s="141">
        <v>2497939389.5100002</v>
      </c>
      <c r="G385" s="3538">
        <v>72877217.620000005</v>
      </c>
      <c r="H385" s="2365">
        <f t="shared" si="8"/>
        <v>40477322807.330002</v>
      </c>
      <c r="I385" s="166"/>
      <c r="J385" s="166"/>
      <c r="K385" s="166"/>
      <c r="L385" s="166"/>
      <c r="M385" s="166"/>
    </row>
    <row r="386" spans="1:13">
      <c r="A386" s="972">
        <f t="shared" si="9"/>
        <v>2023.05</v>
      </c>
      <c r="B386" s="215">
        <v>1284502417.9100001</v>
      </c>
      <c r="C386" s="3538">
        <v>38426931672.410004</v>
      </c>
      <c r="D386" s="141">
        <v>1122222.8600000001</v>
      </c>
      <c r="E386" s="3538">
        <v>3008647775.02</v>
      </c>
      <c r="F386" s="141">
        <v>1437869722.0999999</v>
      </c>
      <c r="G386" s="3538">
        <v>75006414.989999995</v>
      </c>
      <c r="H386" s="2365">
        <f t="shared" si="8"/>
        <v>44234080225.290001</v>
      </c>
      <c r="I386" s="166"/>
      <c r="J386" s="166"/>
      <c r="K386" s="166"/>
      <c r="L386" s="166"/>
      <c r="M386" s="166"/>
    </row>
    <row r="387" spans="1:13">
      <c r="A387" s="972">
        <f t="shared" si="9"/>
        <v>2023.06</v>
      </c>
      <c r="B387" s="215">
        <v>1858135121.79</v>
      </c>
      <c r="C387" s="3538">
        <v>42261316040.68</v>
      </c>
      <c r="D387" s="141">
        <v>227290.93</v>
      </c>
      <c r="E387" s="3538">
        <v>3465937645.6599998</v>
      </c>
      <c r="F387" s="141">
        <v>2702806976.3800001</v>
      </c>
      <c r="G387" s="3538">
        <v>91830546.439999998</v>
      </c>
      <c r="H387" s="2365">
        <f t="shared" si="8"/>
        <v>50380253621.879997</v>
      </c>
      <c r="I387" s="166"/>
      <c r="J387" s="166"/>
      <c r="K387" s="166"/>
      <c r="L387" s="166"/>
      <c r="M387" s="166"/>
    </row>
    <row r="388" spans="1:13">
      <c r="A388" s="972">
        <f t="shared" si="9"/>
        <v>2023.07</v>
      </c>
      <c r="B388" s="215">
        <v>1239166315.97</v>
      </c>
      <c r="C388" s="3538">
        <v>46670100591.400002</v>
      </c>
      <c r="D388" s="141">
        <v>27944.41</v>
      </c>
      <c r="E388" s="3538">
        <v>3801166175.6500001</v>
      </c>
      <c r="F388" s="141">
        <v>1504648516.02</v>
      </c>
      <c r="G388" s="3538">
        <v>86459999.340000004</v>
      </c>
      <c r="H388" s="2365">
        <f t="shared" si="8"/>
        <v>53301569542.790001</v>
      </c>
      <c r="I388" s="166"/>
      <c r="J388" s="166"/>
      <c r="K388" s="166"/>
      <c r="L388" s="166"/>
      <c r="M388" s="166"/>
    </row>
    <row r="389" spans="1:13">
      <c r="A389" s="972">
        <f t="shared" si="9"/>
        <v>2023.08</v>
      </c>
      <c r="B389" s="215">
        <v>2159434273.5799999</v>
      </c>
      <c r="C389" s="3538">
        <v>53205799348.089996</v>
      </c>
      <c r="D389" s="141">
        <v>25566.799999999999</v>
      </c>
      <c r="E389" s="3538">
        <v>4253957641.6999998</v>
      </c>
      <c r="F389" s="141">
        <v>1486595440.45</v>
      </c>
      <c r="G389" s="3538">
        <v>120156546.31999999</v>
      </c>
      <c r="H389" s="2365">
        <f t="shared" si="8"/>
        <v>61225968816.939995</v>
      </c>
      <c r="I389" s="166"/>
      <c r="J389" s="166"/>
      <c r="K389" s="166"/>
      <c r="L389" s="166"/>
      <c r="M389" s="166"/>
    </row>
    <row r="390" spans="1:13">
      <c r="A390" s="972">
        <f t="shared" si="9"/>
        <v>2023.09</v>
      </c>
      <c r="B390" s="215">
        <v>1225186436.79</v>
      </c>
      <c r="C390" s="3538">
        <v>58806826719.379997</v>
      </c>
      <c r="D390" s="141">
        <v>34830.949999999997</v>
      </c>
      <c r="E390" s="3538">
        <v>4267335740.9000001</v>
      </c>
      <c r="F390" s="141">
        <v>2744217168.9499998</v>
      </c>
      <c r="G390" s="3538">
        <v>103502581.59999999</v>
      </c>
      <c r="H390" s="2365">
        <f t="shared" si="8"/>
        <v>67147103478.569992</v>
      </c>
      <c r="I390" s="166"/>
      <c r="J390" s="166"/>
      <c r="K390" s="166"/>
      <c r="L390" s="166"/>
      <c r="M390" s="166"/>
    </row>
    <row r="391" spans="1:13">
      <c r="A391" s="972">
        <f t="shared" si="9"/>
        <v>2023.1</v>
      </c>
      <c r="B391" s="215">
        <v>1992947018.8900001</v>
      </c>
      <c r="C391" s="3538">
        <v>65632212731.190002</v>
      </c>
      <c r="D391" s="141">
        <v>216969.66</v>
      </c>
      <c r="E391" s="3538">
        <v>4360449824.6000004</v>
      </c>
      <c r="F391" s="141">
        <v>1384843239.9400001</v>
      </c>
      <c r="G391" s="3538">
        <v>99490684.079999998</v>
      </c>
      <c r="H391" s="2365">
        <f t="shared" si="8"/>
        <v>73470160468.360016</v>
      </c>
      <c r="I391" s="166"/>
      <c r="J391" s="166"/>
      <c r="K391" s="166"/>
      <c r="L391" s="166"/>
      <c r="M391" s="166"/>
    </row>
    <row r="392" spans="1:13">
      <c r="A392" s="972">
        <f t="shared" si="9"/>
        <v>2023.11</v>
      </c>
      <c r="B392" s="215">
        <v>985209957.23000002</v>
      </c>
      <c r="C392" s="3538">
        <v>68278044206.489998</v>
      </c>
      <c r="D392" s="141">
        <v>989153.81</v>
      </c>
      <c r="E392" s="3538">
        <v>4820027231.9899998</v>
      </c>
      <c r="F392" s="141">
        <v>2652217832.9899998</v>
      </c>
      <c r="G392" s="3538">
        <v>162065691.69</v>
      </c>
      <c r="H392" s="2365">
        <f t="shared" si="8"/>
        <v>76898554074.200012</v>
      </c>
      <c r="I392" s="166"/>
      <c r="J392" s="166"/>
      <c r="K392" s="166"/>
      <c r="L392" s="166"/>
      <c r="M392" s="166"/>
    </row>
    <row r="393" spans="1:13">
      <c r="A393" s="972">
        <f t="shared" si="9"/>
        <v>2023.12</v>
      </c>
      <c r="B393" s="3682">
        <v>1401016815.8499999</v>
      </c>
      <c r="C393" s="3682">
        <v>75890657017.190002</v>
      </c>
      <c r="D393" s="3682">
        <v>80156.42</v>
      </c>
      <c r="E393" s="3682">
        <v>5809561124.8199997</v>
      </c>
      <c r="F393" s="3682">
        <v>2898259280.3600001</v>
      </c>
      <c r="G393" s="3682">
        <v>148162659.13</v>
      </c>
      <c r="H393" s="2365">
        <f t="shared" si="8"/>
        <v>86147737053.770004</v>
      </c>
      <c r="I393" s="166"/>
      <c r="J393" s="166"/>
      <c r="K393" s="166"/>
      <c r="L393" s="166"/>
      <c r="M393" s="166"/>
    </row>
    <row r="394" spans="1:13">
      <c r="A394" s="972">
        <f t="shared" si="9"/>
        <v>2024.01</v>
      </c>
      <c r="B394" s="3682">
        <v>1609310134.6099999</v>
      </c>
      <c r="C394" s="3682">
        <v>99512914137.589996</v>
      </c>
      <c r="D394" s="3682">
        <v>48684.09</v>
      </c>
      <c r="E394" s="3682">
        <v>5506957926.8699999</v>
      </c>
      <c r="F394" s="3682">
        <v>3411549521.8699999</v>
      </c>
      <c r="G394" s="3682">
        <v>140530110.62</v>
      </c>
      <c r="H394" s="2365">
        <f t="shared" si="8"/>
        <v>110181310515.64998</v>
      </c>
      <c r="I394" s="166"/>
      <c r="J394" s="166"/>
      <c r="K394" s="166"/>
      <c r="L394" s="166"/>
      <c r="M394" s="166"/>
    </row>
    <row r="395" spans="1:13">
      <c r="A395" s="972">
        <f t="shared" si="9"/>
        <v>2024.02</v>
      </c>
      <c r="B395" s="3682">
        <v>14958557637.33</v>
      </c>
      <c r="C395" s="3682">
        <v>111233530360.8</v>
      </c>
      <c r="D395" s="3682">
        <v>210732.92</v>
      </c>
      <c r="E395" s="3682">
        <v>6887887894.6300001</v>
      </c>
      <c r="F395" s="3682">
        <v>18900546797.169998</v>
      </c>
      <c r="G395" s="3682">
        <v>193644324.69999999</v>
      </c>
      <c r="H395" s="2365">
        <f t="shared" ref="H395:H396" si="10">_xlfn.AGGREGATE(9,6,B395:G395)</f>
        <v>152174377747.55002</v>
      </c>
      <c r="I395" s="166"/>
      <c r="J395" s="166"/>
      <c r="K395" s="166"/>
      <c r="L395" s="166"/>
      <c r="M395" s="166"/>
    </row>
    <row r="396" spans="1:13">
      <c r="A396" s="972">
        <f t="shared" si="9"/>
        <v>2024.03</v>
      </c>
      <c r="B396" s="3682">
        <v>2426318039.8000002</v>
      </c>
      <c r="C396" s="3682">
        <v>119436259600.31</v>
      </c>
      <c r="D396" s="3682">
        <v>314167.56</v>
      </c>
      <c r="E396" s="3682">
        <v>7334383585.2200003</v>
      </c>
      <c r="F396" s="3682">
        <v>3208575960.1700001</v>
      </c>
      <c r="G396" s="3682">
        <v>169831794.97999999</v>
      </c>
      <c r="H396" s="2365">
        <f t="shared" si="10"/>
        <v>132575683148.03999</v>
      </c>
      <c r="I396" s="166"/>
      <c r="J396" s="166"/>
      <c r="K396" s="166"/>
      <c r="L396" s="166"/>
      <c r="M396" s="166"/>
    </row>
    <row r="397" spans="1:13">
      <c r="A397" s="972">
        <f t="shared" si="9"/>
        <v>2024.04</v>
      </c>
      <c r="B397" s="3682">
        <v>4997672761.79</v>
      </c>
      <c r="C397" s="3682">
        <v>125156705551.82001</v>
      </c>
      <c r="D397" s="3682">
        <v>26287.040000000001</v>
      </c>
      <c r="E397" s="3682">
        <v>6967566839.3800001</v>
      </c>
      <c r="F397" s="3682">
        <v>7148065719.0900002</v>
      </c>
      <c r="G397" s="3682">
        <v>178885849.30000001</v>
      </c>
      <c r="H397" s="2365">
        <f t="shared" ref="H397:H402" si="11">_xlfn.AGGREGATE(9,6,B397:G397)</f>
        <v>144448923008.41998</v>
      </c>
      <c r="I397" s="166"/>
      <c r="J397" s="166"/>
      <c r="K397" s="166"/>
      <c r="L397" s="166"/>
      <c r="M397" s="166"/>
    </row>
    <row r="398" spans="1:13">
      <c r="A398" s="972">
        <f t="shared" si="9"/>
        <v>2024.05</v>
      </c>
      <c r="B398" s="215">
        <v>3238700983.8299999</v>
      </c>
      <c r="C398" s="3682">
        <v>135405198959.27</v>
      </c>
      <c r="D398" s="141">
        <v>19291.48</v>
      </c>
      <c r="E398" s="3538">
        <v>9582336831.0699997</v>
      </c>
      <c r="F398" s="141">
        <v>3635040303.0100002</v>
      </c>
      <c r="G398" s="3538">
        <v>229886870.09</v>
      </c>
      <c r="H398" s="2365">
        <f t="shared" si="11"/>
        <v>152091183238.75003</v>
      </c>
      <c r="I398" s="166"/>
      <c r="J398" s="166"/>
      <c r="K398" s="166"/>
      <c r="L398" s="166"/>
      <c r="M398" s="166"/>
    </row>
    <row r="399" spans="1:13">
      <c r="A399" s="972">
        <f t="shared" si="9"/>
        <v>2024.06</v>
      </c>
      <c r="B399" s="215">
        <v>4903307753.4099998</v>
      </c>
      <c r="C399" s="3538">
        <v>145013278079.89999</v>
      </c>
      <c r="D399" s="141">
        <v>278631.44</v>
      </c>
      <c r="E399" s="3538">
        <v>10873657826.34</v>
      </c>
      <c r="F399" s="141">
        <v>7426133993.7399998</v>
      </c>
      <c r="G399" s="3538">
        <v>271984583.26999998</v>
      </c>
      <c r="H399" s="2365">
        <f t="shared" si="11"/>
        <v>168488640868.09998</v>
      </c>
      <c r="I399" s="166"/>
      <c r="J399" s="166"/>
      <c r="K399" s="166"/>
      <c r="L399" s="166"/>
      <c r="M399" s="166"/>
    </row>
    <row r="400" spans="1:13">
      <c r="A400" s="972">
        <f t="shared" si="9"/>
        <v>2024.07</v>
      </c>
      <c r="B400" s="215">
        <v>5990636739.5299997</v>
      </c>
      <c r="C400" s="3538">
        <v>140317404428.29001</v>
      </c>
      <c r="D400" s="141">
        <v>99886.35</v>
      </c>
      <c r="E400" s="3538">
        <v>11262749904.870001</v>
      </c>
      <c r="F400" s="141">
        <v>4916526010.3999996</v>
      </c>
      <c r="G400" s="3538">
        <v>279321155.22000003</v>
      </c>
      <c r="H400" s="2365">
        <f t="shared" si="11"/>
        <v>162766738124.66</v>
      </c>
      <c r="I400" s="166"/>
      <c r="J400" s="1599"/>
      <c r="K400" s="954"/>
      <c r="L400" s="954"/>
      <c r="M400" s="954"/>
    </row>
    <row r="401" spans="1:16">
      <c r="A401" s="972">
        <f t="shared" si="9"/>
        <v>2024.08</v>
      </c>
      <c r="B401" s="215">
        <v>9126641237.2000008</v>
      </c>
      <c r="C401" s="3538">
        <v>153495396459.13</v>
      </c>
      <c r="D401" s="141">
        <v>219794.5</v>
      </c>
      <c r="E401" s="3538">
        <v>14235401973.780001</v>
      </c>
      <c r="F401" s="141">
        <v>4374997377.2600002</v>
      </c>
      <c r="G401" s="3538">
        <v>325906162.79000002</v>
      </c>
      <c r="H401" s="2365">
        <f t="shared" si="11"/>
        <v>181558563004.66003</v>
      </c>
      <c r="I401" s="166"/>
      <c r="J401" s="1599"/>
      <c r="K401" s="954"/>
      <c r="L401" s="954"/>
      <c r="M401" s="954"/>
      <c r="N401" s="166"/>
      <c r="O401" s="166"/>
      <c r="P401" s="166"/>
    </row>
    <row r="402" spans="1:16">
      <c r="A402" s="972">
        <f t="shared" si="9"/>
        <v>2024.09</v>
      </c>
      <c r="B402" s="215">
        <v>7268452901.0699997</v>
      </c>
      <c r="C402" s="3538">
        <v>154247819298.48999</v>
      </c>
      <c r="D402" s="141">
        <v>48706.39</v>
      </c>
      <c r="E402" s="3538">
        <v>13236057207.23</v>
      </c>
      <c r="F402" s="141">
        <v>12418220036.360001</v>
      </c>
      <c r="G402" s="3538">
        <v>472005661.52999997</v>
      </c>
      <c r="H402" s="2365">
        <f t="shared" si="11"/>
        <v>187642603811.07004</v>
      </c>
      <c r="I402" s="166"/>
      <c r="J402" s="1599"/>
      <c r="K402" s="166"/>
      <c r="L402" s="166"/>
      <c r="M402" s="166"/>
      <c r="N402" s="166"/>
      <c r="O402" s="166"/>
      <c r="P402" s="166"/>
    </row>
    <row r="403" spans="1:16">
      <c r="A403" s="972">
        <f t="shared" ref="A403:A466" si="12">A391+1</f>
        <v>2024.1</v>
      </c>
      <c r="B403" s="215">
        <v>9995643794.9699993</v>
      </c>
      <c r="C403" s="3538">
        <v>153021764050.29999</v>
      </c>
      <c r="D403" s="141">
        <v>87631.13</v>
      </c>
      <c r="E403" s="3538">
        <v>14719906737.459999</v>
      </c>
      <c r="F403" s="141">
        <v>5517781625.0900002</v>
      </c>
      <c r="G403" s="3538">
        <v>394565655.62</v>
      </c>
      <c r="H403" s="2365">
        <f t="shared" ref="H403:H410" si="13">_xlfn.AGGREGATE(9,6,B403:G403)</f>
        <v>183649749494.56998</v>
      </c>
      <c r="I403" s="166"/>
      <c r="J403" s="166"/>
      <c r="K403" s="166"/>
      <c r="L403" s="166"/>
      <c r="M403" s="166"/>
      <c r="N403" s="166"/>
      <c r="O403" s="166"/>
      <c r="P403" s="166"/>
    </row>
    <row r="404" spans="1:16">
      <c r="A404" s="972">
        <f t="shared" si="12"/>
        <v>2024.11</v>
      </c>
      <c r="B404" s="215">
        <v>4317023383.1800003</v>
      </c>
      <c r="C404" s="3538">
        <v>167113826170.70999</v>
      </c>
      <c r="D404" s="141">
        <v>153733.23000000001</v>
      </c>
      <c r="E404" s="3538">
        <v>14982347123.91</v>
      </c>
      <c r="F404" s="141">
        <v>12835053201.52</v>
      </c>
      <c r="G404" s="3538">
        <v>422302477.49000001</v>
      </c>
      <c r="H404" s="2365">
        <f t="shared" si="13"/>
        <v>199670706090.03998</v>
      </c>
      <c r="I404" s="166"/>
      <c r="J404" s="7"/>
      <c r="K404" s="7"/>
      <c r="L404" s="7"/>
      <c r="M404" s="166"/>
      <c r="N404" s="166"/>
      <c r="O404" s="166"/>
      <c r="P404" s="166"/>
    </row>
    <row r="405" spans="1:16">
      <c r="A405" s="972">
        <f t="shared" si="12"/>
        <v>2024.12</v>
      </c>
      <c r="B405" s="215">
        <v>7018229313.4899998</v>
      </c>
      <c r="C405" s="3538">
        <v>163536729679.19</v>
      </c>
      <c r="D405" s="141">
        <v>95965.440000000002</v>
      </c>
      <c r="E405" s="3538">
        <v>15187415682.27</v>
      </c>
      <c r="F405" s="141">
        <v>11660701040.58</v>
      </c>
      <c r="G405" s="3538">
        <v>469875061.23000002</v>
      </c>
      <c r="H405" s="2365">
        <f t="shared" si="13"/>
        <v>197873046742.19998</v>
      </c>
      <c r="I405" s="166"/>
      <c r="J405" s="166"/>
      <c r="K405" s="166"/>
      <c r="L405" s="166"/>
      <c r="M405" s="166"/>
      <c r="N405" s="166"/>
      <c r="O405" s="166"/>
      <c r="P405" s="166"/>
    </row>
    <row r="406" spans="1:16">
      <c r="A406" s="972">
        <f t="shared" si="12"/>
        <v>2025.01</v>
      </c>
      <c r="B406" s="215">
        <v>3751677302.9899998</v>
      </c>
      <c r="C406" s="3538">
        <v>177790282219.42001</v>
      </c>
      <c r="D406" s="141">
        <v>13958.27</v>
      </c>
      <c r="E406" s="3538">
        <v>17567158165.220001</v>
      </c>
      <c r="F406" s="141">
        <v>9085321488.5400009</v>
      </c>
      <c r="G406" s="3538">
        <v>600503219.45000005</v>
      </c>
      <c r="H406" s="2365">
        <f t="shared" si="13"/>
        <v>208794956353.89001</v>
      </c>
      <c r="I406" s="166"/>
      <c r="J406" s="166"/>
      <c r="K406" s="166"/>
      <c r="L406" s="166"/>
      <c r="M406" s="166"/>
      <c r="N406" s="166"/>
      <c r="O406" s="166"/>
      <c r="P406" s="166"/>
    </row>
    <row r="407" spans="1:16">
      <c r="A407" s="972">
        <f t="shared" si="12"/>
        <v>2025.02</v>
      </c>
      <c r="B407" s="215">
        <v>53330190699.300003</v>
      </c>
      <c r="C407" s="3538">
        <v>182533409209.57001</v>
      </c>
      <c r="D407" s="141">
        <v>17216.599999999999</v>
      </c>
      <c r="E407" s="3538">
        <v>16745597065.620001</v>
      </c>
      <c r="F407" s="141">
        <v>54541943170.080002</v>
      </c>
      <c r="G407" s="3538">
        <v>594978982.45000005</v>
      </c>
      <c r="H407" s="2365">
        <f t="shared" si="13"/>
        <v>307746136343.62</v>
      </c>
      <c r="I407" s="166"/>
      <c r="J407" s="166"/>
      <c r="K407" s="166"/>
      <c r="L407" s="166"/>
      <c r="M407" s="166"/>
      <c r="N407" s="166"/>
      <c r="O407" s="166"/>
      <c r="P407" s="166"/>
    </row>
    <row r="408" spans="1:16">
      <c r="A408" s="972">
        <f t="shared" si="12"/>
        <v>2025.03</v>
      </c>
      <c r="B408" s="215">
        <v>8063272999.6700001</v>
      </c>
      <c r="C408" s="3538">
        <v>160066711432.32999</v>
      </c>
      <c r="D408" s="141">
        <v>65625.2</v>
      </c>
      <c r="E408" s="3538">
        <v>16427794706</v>
      </c>
      <c r="F408" s="141">
        <v>10126318689.610001</v>
      </c>
      <c r="G408" s="3538">
        <v>587608230.39999998</v>
      </c>
      <c r="H408" s="2365">
        <f t="shared" si="13"/>
        <v>195271771683.20999</v>
      </c>
      <c r="I408" s="166"/>
      <c r="J408" s="166"/>
      <c r="K408" s="166"/>
      <c r="L408" s="166"/>
      <c r="M408" s="166"/>
      <c r="N408" s="166"/>
      <c r="O408" s="166"/>
      <c r="P408" s="166"/>
    </row>
    <row r="409" spans="1:16">
      <c r="A409" s="972">
        <f t="shared" si="12"/>
        <v>2025.04</v>
      </c>
      <c r="B409" s="215">
        <v>9894493804.8199997</v>
      </c>
      <c r="C409" s="3538">
        <v>178719433404.66</v>
      </c>
      <c r="D409" s="141">
        <v>31906.240000000002</v>
      </c>
      <c r="E409" s="3538">
        <v>19463351941.869999</v>
      </c>
      <c r="F409" s="141">
        <v>12949398299.879999</v>
      </c>
      <c r="G409" s="3538">
        <v>666309377.10000002</v>
      </c>
      <c r="H409" s="2365">
        <f t="shared" si="13"/>
        <v>221693018734.57001</v>
      </c>
      <c r="I409" s="166"/>
      <c r="J409" s="166"/>
      <c r="K409" s="166"/>
      <c r="L409" s="166"/>
      <c r="M409" s="166"/>
      <c r="N409" s="166"/>
      <c r="O409" s="166"/>
      <c r="P409" s="166"/>
    </row>
    <row r="410" spans="1:16">
      <c r="A410" s="972">
        <f t="shared" si="12"/>
        <v>2025.05</v>
      </c>
      <c r="B410" s="215">
        <v>8149005429.1499996</v>
      </c>
      <c r="C410" s="3538">
        <v>198740568528.09</v>
      </c>
      <c r="D410" s="141">
        <v>5746670.54</v>
      </c>
      <c r="E410" s="3538">
        <v>17876737645.34</v>
      </c>
      <c r="F410" s="141">
        <v>7775772209.3800001</v>
      </c>
      <c r="G410" s="3538">
        <v>647154101.16999996</v>
      </c>
      <c r="H410" s="2365">
        <f t="shared" si="13"/>
        <v>233194984583.67001</v>
      </c>
      <c r="I410" s="166"/>
      <c r="J410" s="166"/>
      <c r="K410" s="166"/>
      <c r="L410" s="166"/>
      <c r="M410" s="166"/>
      <c r="N410" s="166"/>
      <c r="O410" s="166"/>
      <c r="P410" s="166"/>
    </row>
    <row r="411" spans="1:16">
      <c r="A411" s="972">
        <f t="shared" si="12"/>
        <v>2025.06</v>
      </c>
      <c r="B411" s="215">
        <v>11162421571.549999</v>
      </c>
      <c r="C411" s="3538">
        <v>213367671440.70999</v>
      </c>
      <c r="D411" s="141">
        <v>42395.82</v>
      </c>
      <c r="E411" s="3538">
        <v>19858355305.200001</v>
      </c>
      <c r="F411" s="141">
        <v>13349980204.700001</v>
      </c>
      <c r="G411" s="3538">
        <v>1083396185.3499999</v>
      </c>
      <c r="H411" s="2365">
        <f t="shared" ref="H411:H417" si="14">_xlfn.AGGREGATE(9,6,B411:G411)</f>
        <v>258821867103.33002</v>
      </c>
      <c r="I411" s="166"/>
      <c r="J411" s="166"/>
      <c r="K411" s="166"/>
      <c r="L411" s="166"/>
      <c r="M411" s="166"/>
      <c r="N411" s="166"/>
      <c r="O411" s="166"/>
      <c r="P411" s="166"/>
    </row>
    <row r="412" spans="1:16">
      <c r="A412" s="972">
        <f t="shared" si="12"/>
        <v>2025.07</v>
      </c>
      <c r="B412" s="215">
        <v>8077286348.21</v>
      </c>
      <c r="C412" s="3538">
        <v>217132251828.75</v>
      </c>
      <c r="D412" s="141">
        <v>14505.9</v>
      </c>
      <c r="E412" s="3538">
        <v>21952712022.02</v>
      </c>
      <c r="F412" s="141">
        <v>10490405455.82</v>
      </c>
      <c r="G412" s="3538">
        <v>839924114.97000003</v>
      </c>
      <c r="H412" s="2365">
        <f t="shared" si="14"/>
        <v>258492594275.66998</v>
      </c>
      <c r="I412" s="166"/>
      <c r="J412" s="166"/>
      <c r="K412" s="166"/>
      <c r="L412" s="166"/>
      <c r="M412" s="166"/>
      <c r="N412" s="166"/>
      <c r="O412" s="166"/>
      <c r="P412" s="166"/>
    </row>
    <row r="413" spans="1:16">
      <c r="A413" s="972">
        <f t="shared" si="12"/>
        <v>2025.08</v>
      </c>
      <c r="B413" s="215">
        <v>12956838887.559999</v>
      </c>
      <c r="C413" s="3538">
        <v>224813956255.42999</v>
      </c>
      <c r="D413" s="141">
        <v>26285.73</v>
      </c>
      <c r="E413" s="3538">
        <v>23730082390.459999</v>
      </c>
      <c r="F413" s="141">
        <v>8852043077.7199993</v>
      </c>
      <c r="G413" s="3538">
        <v>744360223.25</v>
      </c>
      <c r="H413" s="2365">
        <f t="shared" si="14"/>
        <v>271097307120.14999</v>
      </c>
      <c r="I413" s="166"/>
      <c r="J413" s="166"/>
      <c r="K413" s="166"/>
      <c r="L413" s="166"/>
      <c r="M413" s="166"/>
      <c r="N413" s="166"/>
      <c r="O413" s="166"/>
      <c r="P413" s="166"/>
    </row>
    <row r="414" spans="1:16">
      <c r="A414" s="972">
        <f t="shared" si="12"/>
        <v>2025.09</v>
      </c>
      <c r="B414" s="215">
        <v>8231685693.0299997</v>
      </c>
      <c r="C414" s="3538">
        <v>224948183738.06</v>
      </c>
      <c r="D414" s="141">
        <v>14924.89</v>
      </c>
      <c r="E414" s="3538">
        <v>25336889637.84</v>
      </c>
      <c r="F414" s="141">
        <v>13798553156.57</v>
      </c>
      <c r="G414" s="3538">
        <v>749721355.23000002</v>
      </c>
      <c r="H414" s="2365">
        <f t="shared" si="14"/>
        <v>273065048505.62003</v>
      </c>
      <c r="I414" s="829"/>
      <c r="J414" s="166"/>
      <c r="K414" s="166"/>
      <c r="L414" s="166"/>
      <c r="M414" s="166"/>
      <c r="N414" s="166"/>
      <c r="O414" s="166"/>
      <c r="P414" s="166"/>
    </row>
    <row r="415" spans="1:16">
      <c r="A415" s="972">
        <f t="shared" si="12"/>
        <v>2025.1</v>
      </c>
      <c r="B415" s="215">
        <v>12906292754.860001</v>
      </c>
      <c r="C415" s="3538">
        <v>235755096294.72</v>
      </c>
      <c r="D415" s="141">
        <v>1253894.98</v>
      </c>
      <c r="E415" s="3538">
        <v>24353045729.009998</v>
      </c>
      <c r="F415" s="141">
        <v>8570347234.1499996</v>
      </c>
      <c r="G415" s="3538">
        <v>797763615.85000002</v>
      </c>
      <c r="H415" s="2365">
        <f t="shared" si="14"/>
        <v>282383799523.57001</v>
      </c>
      <c r="I415" s="166"/>
      <c r="J415" s="166"/>
      <c r="K415" s="166"/>
      <c r="L415" s="166"/>
      <c r="M415" s="166"/>
      <c r="N415" s="166"/>
      <c r="O415" s="166"/>
      <c r="P415" s="166"/>
    </row>
    <row r="416" spans="1:16">
      <c r="A416" s="972">
        <f t="shared" si="12"/>
        <v>2025.11</v>
      </c>
      <c r="B416" s="215">
        <v>6133520509.96</v>
      </c>
      <c r="C416" s="3538">
        <v>217822027605.84</v>
      </c>
      <c r="D416" s="141">
        <v>2420371.84</v>
      </c>
      <c r="E416" s="3538">
        <v>23935688950.32</v>
      </c>
      <c r="F416" s="141">
        <v>12275179303.67</v>
      </c>
      <c r="G416" s="3538">
        <v>401358789.29000002</v>
      </c>
      <c r="H416" s="2365">
        <f t="shared" si="14"/>
        <v>260570195530.92001</v>
      </c>
      <c r="I416" s="166"/>
      <c r="J416" s="166"/>
      <c r="K416" s="166"/>
      <c r="L416" s="166"/>
      <c r="M416" s="166"/>
      <c r="N416" s="166"/>
      <c r="O416" s="166"/>
      <c r="P416" s="166"/>
    </row>
    <row r="417" spans="1:8">
      <c r="A417" s="972">
        <f t="shared" si="12"/>
        <v>2025.12</v>
      </c>
      <c r="B417" s="215">
        <v>9258834123.6499996</v>
      </c>
      <c r="C417" s="3538">
        <v>237368432044.04999</v>
      </c>
      <c r="D417" s="141">
        <v>4093618.13</v>
      </c>
      <c r="E417" s="3538">
        <v>22328673309</v>
      </c>
      <c r="F417" s="141">
        <v>14793136553.58</v>
      </c>
      <c r="G417" s="3538">
        <v>1171245349.5699999</v>
      </c>
      <c r="H417" s="2365">
        <f t="shared" si="14"/>
        <v>284924414997.97998</v>
      </c>
    </row>
    <row r="418" spans="1:8">
      <c r="A418" s="972">
        <f t="shared" si="12"/>
        <v>2026.01</v>
      </c>
      <c r="B418" s="215" t="e">
        <v>#N/A</v>
      </c>
      <c r="C418" s="3538" t="e">
        <v>#N/A</v>
      </c>
      <c r="D418" s="141" t="e">
        <v>#N/A</v>
      </c>
      <c r="E418" s="3538" t="e">
        <v>#N/A</v>
      </c>
      <c r="F418" s="141" t="e">
        <v>#N/A</v>
      </c>
      <c r="G418" s="3538" t="e">
        <v>#N/A</v>
      </c>
      <c r="H418" s="2365" t="e">
        <v>#N/A</v>
      </c>
    </row>
    <row r="419" spans="1:8">
      <c r="A419" s="972">
        <f t="shared" si="12"/>
        <v>2026.02</v>
      </c>
      <c r="B419" s="215" t="e">
        <v>#N/A</v>
      </c>
      <c r="C419" s="3538" t="e">
        <v>#N/A</v>
      </c>
      <c r="D419" s="141" t="e">
        <v>#N/A</v>
      </c>
      <c r="E419" s="3538" t="e">
        <v>#N/A</v>
      </c>
      <c r="F419" s="141" t="e">
        <v>#N/A</v>
      </c>
      <c r="G419" s="3538" t="e">
        <v>#N/A</v>
      </c>
      <c r="H419" s="2365" t="e">
        <v>#N/A</v>
      </c>
    </row>
    <row r="420" spans="1:8">
      <c r="A420" s="972">
        <f t="shared" si="12"/>
        <v>2026.03</v>
      </c>
      <c r="B420" s="215" t="e">
        <v>#N/A</v>
      </c>
      <c r="C420" s="3538" t="e">
        <v>#N/A</v>
      </c>
      <c r="D420" s="141" t="e">
        <v>#N/A</v>
      </c>
      <c r="E420" s="3538" t="e">
        <v>#N/A</v>
      </c>
      <c r="F420" s="141" t="e">
        <v>#N/A</v>
      </c>
      <c r="G420" s="3538" t="e">
        <v>#N/A</v>
      </c>
      <c r="H420" s="2365" t="e">
        <v>#N/A</v>
      </c>
    </row>
    <row r="421" spans="1:8">
      <c r="A421" s="972">
        <f t="shared" si="12"/>
        <v>2026.04</v>
      </c>
      <c r="B421" s="215" t="e">
        <v>#N/A</v>
      </c>
      <c r="C421" s="3538" t="e">
        <v>#N/A</v>
      </c>
      <c r="D421" s="141" t="e">
        <v>#N/A</v>
      </c>
      <c r="E421" s="3538" t="e">
        <v>#N/A</v>
      </c>
      <c r="F421" s="141" t="e">
        <v>#N/A</v>
      </c>
      <c r="G421" s="3538" t="e">
        <v>#N/A</v>
      </c>
      <c r="H421" s="2365" t="e">
        <v>#N/A</v>
      </c>
    </row>
    <row r="422" spans="1:8">
      <c r="A422" s="972">
        <f t="shared" si="12"/>
        <v>2026.05</v>
      </c>
      <c r="B422" s="215" t="e">
        <v>#N/A</v>
      </c>
      <c r="C422" s="3538" t="e">
        <v>#N/A</v>
      </c>
      <c r="D422" s="141" t="e">
        <v>#N/A</v>
      </c>
      <c r="E422" s="3538" t="e">
        <v>#N/A</v>
      </c>
      <c r="F422" s="141" t="e">
        <v>#N/A</v>
      </c>
      <c r="G422" s="3538" t="e">
        <v>#N/A</v>
      </c>
      <c r="H422" s="2365" t="e">
        <v>#N/A</v>
      </c>
    </row>
    <row r="423" spans="1:8">
      <c r="A423" s="972">
        <f t="shared" si="12"/>
        <v>2026.06</v>
      </c>
      <c r="B423" s="215" t="e">
        <v>#N/A</v>
      </c>
      <c r="C423" s="3538" t="e">
        <v>#N/A</v>
      </c>
      <c r="D423" s="141" t="e">
        <v>#N/A</v>
      </c>
      <c r="E423" s="3538" t="e">
        <v>#N/A</v>
      </c>
      <c r="F423" s="141" t="e">
        <v>#N/A</v>
      </c>
      <c r="G423" s="3538" t="e">
        <v>#N/A</v>
      </c>
      <c r="H423" s="2365" t="e">
        <v>#N/A</v>
      </c>
    </row>
    <row r="424" spans="1:8">
      <c r="A424" s="972">
        <f t="shared" si="12"/>
        <v>2026.07</v>
      </c>
      <c r="B424" s="215" t="e">
        <v>#N/A</v>
      </c>
      <c r="C424" s="3538" t="e">
        <v>#N/A</v>
      </c>
      <c r="D424" s="141" t="e">
        <v>#N/A</v>
      </c>
      <c r="E424" s="3538" t="e">
        <v>#N/A</v>
      </c>
      <c r="F424" s="141" t="e">
        <v>#N/A</v>
      </c>
      <c r="G424" s="3538" t="e">
        <v>#N/A</v>
      </c>
      <c r="H424" s="2365" t="e">
        <v>#N/A</v>
      </c>
    </row>
    <row r="425" spans="1:8">
      <c r="A425" s="972">
        <f t="shared" si="12"/>
        <v>2026.08</v>
      </c>
      <c r="B425" s="215" t="e">
        <v>#N/A</v>
      </c>
      <c r="C425" s="3538" t="e">
        <v>#N/A</v>
      </c>
      <c r="D425" s="141" t="e">
        <v>#N/A</v>
      </c>
      <c r="E425" s="3538" t="e">
        <v>#N/A</v>
      </c>
      <c r="F425" s="141" t="e">
        <v>#N/A</v>
      </c>
      <c r="G425" s="3538" t="e">
        <v>#N/A</v>
      </c>
      <c r="H425" s="2365" t="e">
        <v>#N/A</v>
      </c>
    </row>
    <row r="426" spans="1:8">
      <c r="A426" s="972">
        <f t="shared" si="12"/>
        <v>2026.09</v>
      </c>
      <c r="B426" s="215" t="e">
        <v>#N/A</v>
      </c>
      <c r="C426" s="3538" t="e">
        <v>#N/A</v>
      </c>
      <c r="D426" s="141" t="e">
        <v>#N/A</v>
      </c>
      <c r="E426" s="3538" t="e">
        <v>#N/A</v>
      </c>
      <c r="F426" s="141" t="e">
        <v>#N/A</v>
      </c>
      <c r="G426" s="3538" t="e">
        <v>#N/A</v>
      </c>
      <c r="H426" s="2365" t="e">
        <v>#N/A</v>
      </c>
    </row>
    <row r="427" spans="1:8">
      <c r="A427" s="972">
        <f t="shared" si="12"/>
        <v>2026.1</v>
      </c>
      <c r="B427" s="215" t="e">
        <v>#N/A</v>
      </c>
      <c r="C427" s="3538" t="e">
        <v>#N/A</v>
      </c>
      <c r="D427" s="141" t="e">
        <v>#N/A</v>
      </c>
      <c r="E427" s="3538" t="e">
        <v>#N/A</v>
      </c>
      <c r="F427" s="141" t="e">
        <v>#N/A</v>
      </c>
      <c r="G427" s="3538" t="e">
        <v>#N/A</v>
      </c>
      <c r="H427" s="2365" t="e">
        <v>#N/A</v>
      </c>
    </row>
    <row r="428" spans="1:8">
      <c r="A428" s="972">
        <f t="shared" si="12"/>
        <v>2026.11</v>
      </c>
      <c r="B428" s="215" t="e">
        <v>#N/A</v>
      </c>
      <c r="C428" s="3538" t="e">
        <v>#N/A</v>
      </c>
      <c r="D428" s="141" t="e">
        <v>#N/A</v>
      </c>
      <c r="E428" s="3538" t="e">
        <v>#N/A</v>
      </c>
      <c r="F428" s="141" t="e">
        <v>#N/A</v>
      </c>
      <c r="G428" s="3538" t="e">
        <v>#N/A</v>
      </c>
      <c r="H428" s="2365" t="e">
        <v>#N/A</v>
      </c>
    </row>
    <row r="429" spans="1:8">
      <c r="A429" s="972">
        <f t="shared" si="12"/>
        <v>2026.12</v>
      </c>
      <c r="B429" s="215" t="e">
        <v>#N/A</v>
      </c>
      <c r="C429" s="3538" t="e">
        <v>#N/A</v>
      </c>
      <c r="D429" s="141" t="e">
        <v>#N/A</v>
      </c>
      <c r="E429" s="3538" t="e">
        <v>#N/A</v>
      </c>
      <c r="F429" s="141" t="e">
        <v>#N/A</v>
      </c>
      <c r="G429" s="3538" t="e">
        <v>#N/A</v>
      </c>
      <c r="H429" s="2365" t="e">
        <v>#N/A</v>
      </c>
    </row>
    <row r="430" spans="1:8">
      <c r="A430" s="972">
        <f t="shared" si="12"/>
        <v>2027.01</v>
      </c>
      <c r="B430" s="215" t="e">
        <v>#N/A</v>
      </c>
      <c r="C430" s="3538" t="e">
        <v>#N/A</v>
      </c>
      <c r="D430" s="141" t="e">
        <v>#N/A</v>
      </c>
      <c r="E430" s="3538" t="e">
        <v>#N/A</v>
      </c>
      <c r="F430" s="141" t="e">
        <v>#N/A</v>
      </c>
      <c r="G430" s="3538" t="e">
        <v>#N/A</v>
      </c>
      <c r="H430" s="2365" t="e">
        <v>#N/A</v>
      </c>
    </row>
    <row r="431" spans="1:8">
      <c r="A431" s="972">
        <f t="shared" si="12"/>
        <v>2027.02</v>
      </c>
      <c r="B431" s="215" t="e">
        <v>#N/A</v>
      </c>
      <c r="C431" s="3538" t="e">
        <v>#N/A</v>
      </c>
      <c r="D431" s="141" t="e">
        <v>#N/A</v>
      </c>
      <c r="E431" s="3538" t="e">
        <v>#N/A</v>
      </c>
      <c r="F431" s="141" t="e">
        <v>#N/A</v>
      </c>
      <c r="G431" s="3538" t="e">
        <v>#N/A</v>
      </c>
      <c r="H431" s="2365" t="e">
        <v>#N/A</v>
      </c>
    </row>
    <row r="432" spans="1:8">
      <c r="A432" s="972">
        <f t="shared" si="12"/>
        <v>2027.03</v>
      </c>
      <c r="B432" s="215" t="e">
        <v>#N/A</v>
      </c>
      <c r="C432" s="3538" t="e">
        <v>#N/A</v>
      </c>
      <c r="D432" s="141" t="e">
        <v>#N/A</v>
      </c>
      <c r="E432" s="3538" t="e">
        <v>#N/A</v>
      </c>
      <c r="F432" s="141" t="e">
        <v>#N/A</v>
      </c>
      <c r="G432" s="3538" t="e">
        <v>#N/A</v>
      </c>
      <c r="H432" s="2365" t="e">
        <v>#N/A</v>
      </c>
    </row>
    <row r="433" spans="1:8">
      <c r="A433" s="972">
        <f t="shared" si="12"/>
        <v>2027.04</v>
      </c>
      <c r="B433" s="215" t="e">
        <v>#N/A</v>
      </c>
      <c r="C433" s="3538" t="e">
        <v>#N/A</v>
      </c>
      <c r="D433" s="141" t="e">
        <v>#N/A</v>
      </c>
      <c r="E433" s="3538" t="e">
        <v>#N/A</v>
      </c>
      <c r="F433" s="141" t="e">
        <v>#N/A</v>
      </c>
      <c r="G433" s="3538" t="e">
        <v>#N/A</v>
      </c>
      <c r="H433" s="2365" t="e">
        <v>#N/A</v>
      </c>
    </row>
    <row r="434" spans="1:8">
      <c r="A434" s="972">
        <f t="shared" si="12"/>
        <v>2027.05</v>
      </c>
      <c r="B434" s="215" t="e">
        <v>#N/A</v>
      </c>
      <c r="C434" s="3538" t="e">
        <v>#N/A</v>
      </c>
      <c r="D434" s="141" t="e">
        <v>#N/A</v>
      </c>
      <c r="E434" s="3538" t="e">
        <v>#N/A</v>
      </c>
      <c r="F434" s="141" t="e">
        <v>#N/A</v>
      </c>
      <c r="G434" s="3538" t="e">
        <v>#N/A</v>
      </c>
      <c r="H434" s="2365" t="e">
        <v>#N/A</v>
      </c>
    </row>
    <row r="435" spans="1:8">
      <c r="A435" s="972">
        <f t="shared" si="12"/>
        <v>2027.06</v>
      </c>
      <c r="B435" s="215" t="e">
        <v>#N/A</v>
      </c>
      <c r="C435" s="3538" t="e">
        <v>#N/A</v>
      </c>
      <c r="D435" s="141" t="e">
        <v>#N/A</v>
      </c>
      <c r="E435" s="3538" t="e">
        <v>#N/A</v>
      </c>
      <c r="F435" s="141" t="e">
        <v>#N/A</v>
      </c>
      <c r="G435" s="3538" t="e">
        <v>#N/A</v>
      </c>
      <c r="H435" s="2365" t="e">
        <v>#N/A</v>
      </c>
    </row>
    <row r="436" spans="1:8">
      <c r="A436" s="972">
        <f t="shared" si="12"/>
        <v>2027.07</v>
      </c>
      <c r="B436" s="215" t="e">
        <v>#N/A</v>
      </c>
      <c r="C436" s="3538" t="e">
        <v>#N/A</v>
      </c>
      <c r="D436" s="141" t="e">
        <v>#N/A</v>
      </c>
      <c r="E436" s="3538" t="e">
        <v>#N/A</v>
      </c>
      <c r="F436" s="141" t="e">
        <v>#N/A</v>
      </c>
      <c r="G436" s="3538" t="e">
        <v>#N/A</v>
      </c>
      <c r="H436" s="2365" t="e">
        <v>#N/A</v>
      </c>
    </row>
    <row r="437" spans="1:8">
      <c r="A437" s="972">
        <f t="shared" si="12"/>
        <v>2027.08</v>
      </c>
      <c r="B437" s="215" t="e">
        <v>#N/A</v>
      </c>
      <c r="C437" s="3538" t="e">
        <v>#N/A</v>
      </c>
      <c r="D437" s="141" t="e">
        <v>#N/A</v>
      </c>
      <c r="E437" s="3538" t="e">
        <v>#N/A</v>
      </c>
      <c r="F437" s="141" t="e">
        <v>#N/A</v>
      </c>
      <c r="G437" s="3538" t="e">
        <v>#N/A</v>
      </c>
      <c r="H437" s="2365" t="e">
        <v>#N/A</v>
      </c>
    </row>
    <row r="438" spans="1:8">
      <c r="A438" s="972">
        <f t="shared" si="12"/>
        <v>2027.09</v>
      </c>
      <c r="B438" s="215" t="e">
        <v>#N/A</v>
      </c>
      <c r="C438" s="3538" t="e">
        <v>#N/A</v>
      </c>
      <c r="D438" s="141" t="e">
        <v>#N/A</v>
      </c>
      <c r="E438" s="3538" t="e">
        <v>#N/A</v>
      </c>
      <c r="F438" s="141" t="e">
        <v>#N/A</v>
      </c>
      <c r="G438" s="3538" t="e">
        <v>#N/A</v>
      </c>
      <c r="H438" s="2365" t="e">
        <v>#N/A</v>
      </c>
    </row>
    <row r="439" spans="1:8">
      <c r="A439" s="972">
        <f t="shared" si="12"/>
        <v>2027.1</v>
      </c>
      <c r="B439" s="215" t="e">
        <v>#N/A</v>
      </c>
      <c r="C439" s="3538" t="e">
        <v>#N/A</v>
      </c>
      <c r="D439" s="141" t="e">
        <v>#N/A</v>
      </c>
      <c r="E439" s="3538" t="e">
        <v>#N/A</v>
      </c>
      <c r="F439" s="141" t="e">
        <v>#N/A</v>
      </c>
      <c r="G439" s="3538" t="e">
        <v>#N/A</v>
      </c>
      <c r="H439" s="2365" t="e">
        <v>#N/A</v>
      </c>
    </row>
    <row r="440" spans="1:8">
      <c r="A440" s="972">
        <f t="shared" si="12"/>
        <v>2027.11</v>
      </c>
      <c r="B440" s="215" t="e">
        <v>#N/A</v>
      </c>
      <c r="C440" s="3538" t="e">
        <v>#N/A</v>
      </c>
      <c r="D440" s="141" t="e">
        <v>#N/A</v>
      </c>
      <c r="E440" s="3538" t="e">
        <v>#N/A</v>
      </c>
      <c r="F440" s="141" t="e">
        <v>#N/A</v>
      </c>
      <c r="G440" s="3538" t="e">
        <v>#N/A</v>
      </c>
      <c r="H440" s="2365" t="e">
        <v>#N/A</v>
      </c>
    </row>
    <row r="441" spans="1:8">
      <c r="A441" s="972">
        <f t="shared" si="12"/>
        <v>2027.12</v>
      </c>
      <c r="B441" s="215" t="e">
        <v>#N/A</v>
      </c>
      <c r="C441" s="3538" t="e">
        <v>#N/A</v>
      </c>
      <c r="D441" s="141" t="e">
        <v>#N/A</v>
      </c>
      <c r="E441" s="3538" t="e">
        <v>#N/A</v>
      </c>
      <c r="F441" s="141" t="e">
        <v>#N/A</v>
      </c>
      <c r="G441" s="3538" t="e">
        <v>#N/A</v>
      </c>
      <c r="H441" s="2365" t="e">
        <v>#N/A</v>
      </c>
    </row>
    <row r="442" spans="1:8">
      <c r="A442" s="972">
        <f t="shared" si="12"/>
        <v>2028.01</v>
      </c>
      <c r="B442" s="215" t="e">
        <v>#N/A</v>
      </c>
      <c r="C442" s="3538" t="e">
        <v>#N/A</v>
      </c>
      <c r="D442" s="141" t="e">
        <v>#N/A</v>
      </c>
      <c r="E442" s="3538" t="e">
        <v>#N/A</v>
      </c>
      <c r="F442" s="141" t="e">
        <v>#N/A</v>
      </c>
      <c r="G442" s="3538" t="e">
        <v>#N/A</v>
      </c>
      <c r="H442" s="2365" t="e">
        <v>#N/A</v>
      </c>
    </row>
    <row r="443" spans="1:8">
      <c r="A443" s="972">
        <f t="shared" si="12"/>
        <v>2028.02</v>
      </c>
      <c r="B443" s="215" t="e">
        <v>#N/A</v>
      </c>
      <c r="C443" s="3538" t="e">
        <v>#N/A</v>
      </c>
      <c r="D443" s="141" t="e">
        <v>#N/A</v>
      </c>
      <c r="E443" s="3538" t="e">
        <v>#N/A</v>
      </c>
      <c r="F443" s="141" t="e">
        <v>#N/A</v>
      </c>
      <c r="G443" s="3538" t="e">
        <v>#N/A</v>
      </c>
      <c r="H443" s="2365" t="e">
        <v>#N/A</v>
      </c>
    </row>
    <row r="444" spans="1:8">
      <c r="A444" s="972">
        <f t="shared" si="12"/>
        <v>2028.03</v>
      </c>
      <c r="B444" s="215" t="e">
        <v>#N/A</v>
      </c>
      <c r="C444" s="3538" t="e">
        <v>#N/A</v>
      </c>
      <c r="D444" s="141" t="e">
        <v>#N/A</v>
      </c>
      <c r="E444" s="3538" t="e">
        <v>#N/A</v>
      </c>
      <c r="F444" s="141" t="e">
        <v>#N/A</v>
      </c>
      <c r="G444" s="3538" t="e">
        <v>#N/A</v>
      </c>
      <c r="H444" s="2365" t="e">
        <v>#N/A</v>
      </c>
    </row>
    <row r="445" spans="1:8">
      <c r="A445" s="972">
        <f t="shared" si="12"/>
        <v>2028.04</v>
      </c>
      <c r="B445" s="215" t="e">
        <v>#N/A</v>
      </c>
      <c r="C445" s="3538" t="e">
        <v>#N/A</v>
      </c>
      <c r="D445" s="141" t="e">
        <v>#N/A</v>
      </c>
      <c r="E445" s="3538" t="e">
        <v>#N/A</v>
      </c>
      <c r="F445" s="141" t="e">
        <v>#N/A</v>
      </c>
      <c r="G445" s="3538" t="e">
        <v>#N/A</v>
      </c>
      <c r="H445" s="2365" t="e">
        <v>#N/A</v>
      </c>
    </row>
    <row r="446" spans="1:8">
      <c r="A446" s="972">
        <f t="shared" si="12"/>
        <v>2028.05</v>
      </c>
      <c r="B446" s="215" t="e">
        <v>#N/A</v>
      </c>
      <c r="C446" s="3538" t="e">
        <v>#N/A</v>
      </c>
      <c r="D446" s="141" t="e">
        <v>#N/A</v>
      </c>
      <c r="E446" s="3538" t="e">
        <v>#N/A</v>
      </c>
      <c r="F446" s="141" t="e">
        <v>#N/A</v>
      </c>
      <c r="G446" s="3538" t="e">
        <v>#N/A</v>
      </c>
      <c r="H446" s="2365" t="e">
        <v>#N/A</v>
      </c>
    </row>
    <row r="447" spans="1:8">
      <c r="A447" s="972">
        <f t="shared" si="12"/>
        <v>2028.06</v>
      </c>
      <c r="B447" s="215" t="e">
        <v>#N/A</v>
      </c>
      <c r="C447" s="3538" t="e">
        <v>#N/A</v>
      </c>
      <c r="D447" s="141" t="e">
        <v>#N/A</v>
      </c>
      <c r="E447" s="3538" t="e">
        <v>#N/A</v>
      </c>
      <c r="F447" s="141" t="e">
        <v>#N/A</v>
      </c>
      <c r="G447" s="3538" t="e">
        <v>#N/A</v>
      </c>
      <c r="H447" s="2365" t="e">
        <v>#N/A</v>
      </c>
    </row>
    <row r="448" spans="1:8">
      <c r="A448" s="972">
        <f t="shared" si="12"/>
        <v>2028.07</v>
      </c>
      <c r="B448" s="215" t="e">
        <v>#N/A</v>
      </c>
      <c r="C448" s="3538" t="e">
        <v>#N/A</v>
      </c>
      <c r="D448" s="141" t="e">
        <v>#N/A</v>
      </c>
      <c r="E448" s="3538" t="e">
        <v>#N/A</v>
      </c>
      <c r="F448" s="141" t="e">
        <v>#N/A</v>
      </c>
      <c r="G448" s="3538" t="e">
        <v>#N/A</v>
      </c>
      <c r="H448" s="2365" t="e">
        <v>#N/A</v>
      </c>
    </row>
    <row r="449" spans="1:8">
      <c r="A449" s="972">
        <f t="shared" si="12"/>
        <v>2028.08</v>
      </c>
      <c r="B449" s="215" t="e">
        <v>#N/A</v>
      </c>
      <c r="C449" s="3538" t="e">
        <v>#N/A</v>
      </c>
      <c r="D449" s="141" t="e">
        <v>#N/A</v>
      </c>
      <c r="E449" s="3538" t="e">
        <v>#N/A</v>
      </c>
      <c r="F449" s="141" t="e">
        <v>#N/A</v>
      </c>
      <c r="G449" s="3538" t="e">
        <v>#N/A</v>
      </c>
      <c r="H449" s="2365" t="e">
        <v>#N/A</v>
      </c>
    </row>
    <row r="450" spans="1:8">
      <c r="A450" s="972">
        <f t="shared" si="12"/>
        <v>2028.09</v>
      </c>
      <c r="B450" s="215" t="e">
        <v>#N/A</v>
      </c>
      <c r="C450" s="3538" t="e">
        <v>#N/A</v>
      </c>
      <c r="D450" s="141" t="e">
        <v>#N/A</v>
      </c>
      <c r="E450" s="3538" t="e">
        <v>#N/A</v>
      </c>
      <c r="F450" s="141" t="e">
        <v>#N/A</v>
      </c>
      <c r="G450" s="3538" t="e">
        <v>#N/A</v>
      </c>
      <c r="H450" s="2365" t="e">
        <v>#N/A</v>
      </c>
    </row>
    <row r="451" spans="1:8">
      <c r="A451" s="972">
        <f t="shared" si="12"/>
        <v>2028.1</v>
      </c>
      <c r="B451" s="215" t="e">
        <v>#N/A</v>
      </c>
      <c r="C451" s="3538" t="e">
        <v>#N/A</v>
      </c>
      <c r="D451" s="141" t="e">
        <v>#N/A</v>
      </c>
      <c r="E451" s="3538" t="e">
        <v>#N/A</v>
      </c>
      <c r="F451" s="141" t="e">
        <v>#N/A</v>
      </c>
      <c r="G451" s="3538" t="e">
        <v>#N/A</v>
      </c>
      <c r="H451" s="2365" t="e">
        <v>#N/A</v>
      </c>
    </row>
    <row r="452" spans="1:8">
      <c r="A452" s="972">
        <f t="shared" si="12"/>
        <v>2028.11</v>
      </c>
      <c r="B452" s="215" t="e">
        <v>#N/A</v>
      </c>
      <c r="C452" s="3538" t="e">
        <v>#N/A</v>
      </c>
      <c r="D452" s="141" t="e">
        <v>#N/A</v>
      </c>
      <c r="E452" s="3538" t="e">
        <v>#N/A</v>
      </c>
      <c r="F452" s="141" t="e">
        <v>#N/A</v>
      </c>
      <c r="G452" s="3538" t="e">
        <v>#N/A</v>
      </c>
      <c r="H452" s="2365" t="e">
        <v>#N/A</v>
      </c>
    </row>
    <row r="453" spans="1:8">
      <c r="A453" s="972">
        <f t="shared" si="12"/>
        <v>2028.12</v>
      </c>
      <c r="B453" s="215" t="e">
        <v>#N/A</v>
      </c>
      <c r="C453" s="3538" t="e">
        <v>#N/A</v>
      </c>
      <c r="D453" s="141" t="e">
        <v>#N/A</v>
      </c>
      <c r="E453" s="3538" t="e">
        <v>#N/A</v>
      </c>
      <c r="F453" s="141" t="e">
        <v>#N/A</v>
      </c>
      <c r="G453" s="3538" t="e">
        <v>#N/A</v>
      </c>
      <c r="H453" s="2365" t="e">
        <v>#N/A</v>
      </c>
    </row>
    <row r="454" spans="1:8">
      <c r="A454" s="972">
        <f t="shared" si="12"/>
        <v>2029.01</v>
      </c>
      <c r="B454" s="215" t="e">
        <v>#N/A</v>
      </c>
      <c r="C454" s="3538" t="e">
        <v>#N/A</v>
      </c>
      <c r="D454" s="141" t="e">
        <v>#N/A</v>
      </c>
      <c r="E454" s="3538" t="e">
        <v>#N/A</v>
      </c>
      <c r="F454" s="141" t="e">
        <v>#N/A</v>
      </c>
      <c r="G454" s="3538" t="e">
        <v>#N/A</v>
      </c>
      <c r="H454" s="2365" t="e">
        <v>#N/A</v>
      </c>
    </row>
    <row r="455" spans="1:8">
      <c r="A455" s="972">
        <f t="shared" si="12"/>
        <v>2029.02</v>
      </c>
      <c r="B455" s="215" t="e">
        <v>#N/A</v>
      </c>
      <c r="C455" s="3538" t="e">
        <v>#N/A</v>
      </c>
      <c r="D455" s="141" t="e">
        <v>#N/A</v>
      </c>
      <c r="E455" s="3538" t="e">
        <v>#N/A</v>
      </c>
      <c r="F455" s="141" t="e">
        <v>#N/A</v>
      </c>
      <c r="G455" s="3538" t="e">
        <v>#N/A</v>
      </c>
      <c r="H455" s="2365" t="e">
        <v>#N/A</v>
      </c>
    </row>
    <row r="456" spans="1:8">
      <c r="A456" s="972">
        <f t="shared" si="12"/>
        <v>2029.03</v>
      </c>
      <c r="B456" s="215" t="e">
        <v>#N/A</v>
      </c>
      <c r="C456" s="3538" t="e">
        <v>#N/A</v>
      </c>
      <c r="D456" s="141" t="e">
        <v>#N/A</v>
      </c>
      <c r="E456" s="3538" t="e">
        <v>#N/A</v>
      </c>
      <c r="F456" s="141" t="e">
        <v>#N/A</v>
      </c>
      <c r="G456" s="3538" t="e">
        <v>#N/A</v>
      </c>
      <c r="H456" s="2365" t="e">
        <v>#N/A</v>
      </c>
    </row>
    <row r="457" spans="1:8">
      <c r="A457" s="972">
        <f t="shared" si="12"/>
        <v>2029.04</v>
      </c>
      <c r="B457" s="215" t="e">
        <v>#N/A</v>
      </c>
      <c r="C457" s="3538" t="e">
        <v>#N/A</v>
      </c>
      <c r="D457" s="141" t="e">
        <v>#N/A</v>
      </c>
      <c r="E457" s="3538" t="e">
        <v>#N/A</v>
      </c>
      <c r="F457" s="141" t="e">
        <v>#N/A</v>
      </c>
      <c r="G457" s="3538" t="e">
        <v>#N/A</v>
      </c>
      <c r="H457" s="2365" t="e">
        <v>#N/A</v>
      </c>
    </row>
    <row r="458" spans="1:8">
      <c r="A458" s="972">
        <f t="shared" si="12"/>
        <v>2029.05</v>
      </c>
      <c r="B458" s="215" t="e">
        <v>#N/A</v>
      </c>
      <c r="C458" s="3538" t="e">
        <v>#N/A</v>
      </c>
      <c r="D458" s="141" t="e">
        <v>#N/A</v>
      </c>
      <c r="E458" s="3538" t="e">
        <v>#N/A</v>
      </c>
      <c r="F458" s="141" t="e">
        <v>#N/A</v>
      </c>
      <c r="G458" s="3538" t="e">
        <v>#N/A</v>
      </c>
      <c r="H458" s="2365" t="e">
        <v>#N/A</v>
      </c>
    </row>
    <row r="459" spans="1:8">
      <c r="A459" s="972">
        <f t="shared" si="12"/>
        <v>2029.06</v>
      </c>
      <c r="B459" s="215" t="e">
        <v>#N/A</v>
      </c>
      <c r="C459" s="3538" t="e">
        <v>#N/A</v>
      </c>
      <c r="D459" s="141" t="e">
        <v>#N/A</v>
      </c>
      <c r="E459" s="3538" t="e">
        <v>#N/A</v>
      </c>
      <c r="F459" s="141" t="e">
        <v>#N/A</v>
      </c>
      <c r="G459" s="3538" t="e">
        <v>#N/A</v>
      </c>
      <c r="H459" s="2365" t="e">
        <v>#N/A</v>
      </c>
    </row>
    <row r="460" spans="1:8">
      <c r="A460" s="972">
        <f t="shared" si="12"/>
        <v>2029.07</v>
      </c>
      <c r="B460" s="215" t="e">
        <v>#N/A</v>
      </c>
      <c r="C460" s="3538" t="e">
        <v>#N/A</v>
      </c>
      <c r="D460" s="141" t="e">
        <v>#N/A</v>
      </c>
      <c r="E460" s="3538" t="e">
        <v>#N/A</v>
      </c>
      <c r="F460" s="141" t="e">
        <v>#N/A</v>
      </c>
      <c r="G460" s="3538" t="e">
        <v>#N/A</v>
      </c>
      <c r="H460" s="2365" t="e">
        <v>#N/A</v>
      </c>
    </row>
    <row r="461" spans="1:8">
      <c r="A461" s="972">
        <f t="shared" si="12"/>
        <v>2029.08</v>
      </c>
      <c r="B461" s="215" t="e">
        <v>#N/A</v>
      </c>
      <c r="C461" s="3538" t="e">
        <v>#N/A</v>
      </c>
      <c r="D461" s="141" t="e">
        <v>#N/A</v>
      </c>
      <c r="E461" s="3538" t="e">
        <v>#N/A</v>
      </c>
      <c r="F461" s="141" t="e">
        <v>#N/A</v>
      </c>
      <c r="G461" s="3538" t="e">
        <v>#N/A</v>
      </c>
      <c r="H461" s="2365" t="e">
        <v>#N/A</v>
      </c>
    </row>
    <row r="462" spans="1:8">
      <c r="A462" s="972">
        <f t="shared" si="12"/>
        <v>2029.09</v>
      </c>
      <c r="B462" s="215" t="e">
        <v>#N/A</v>
      </c>
      <c r="C462" s="3538" t="e">
        <v>#N/A</v>
      </c>
      <c r="D462" s="141" t="e">
        <v>#N/A</v>
      </c>
      <c r="E462" s="3538" t="e">
        <v>#N/A</v>
      </c>
      <c r="F462" s="141" t="e">
        <v>#N/A</v>
      </c>
      <c r="G462" s="3538" t="e">
        <v>#N/A</v>
      </c>
      <c r="H462" s="2365" t="e">
        <v>#N/A</v>
      </c>
    </row>
    <row r="463" spans="1:8">
      <c r="A463" s="972">
        <f t="shared" si="12"/>
        <v>2029.1</v>
      </c>
      <c r="B463" s="215" t="e">
        <v>#N/A</v>
      </c>
      <c r="C463" s="3538" t="e">
        <v>#N/A</v>
      </c>
      <c r="D463" s="141" t="e">
        <v>#N/A</v>
      </c>
      <c r="E463" s="3538" t="e">
        <v>#N/A</v>
      </c>
      <c r="F463" s="141" t="e">
        <v>#N/A</v>
      </c>
      <c r="G463" s="3538" t="e">
        <v>#N/A</v>
      </c>
      <c r="H463" s="2365" t="e">
        <v>#N/A</v>
      </c>
    </row>
    <row r="464" spans="1:8">
      <c r="A464" s="972">
        <f t="shared" si="12"/>
        <v>2029.11</v>
      </c>
      <c r="B464" s="215" t="e">
        <v>#N/A</v>
      </c>
      <c r="C464" s="3538" t="e">
        <v>#N/A</v>
      </c>
      <c r="D464" s="141" t="e">
        <v>#N/A</v>
      </c>
      <c r="E464" s="3538" t="e">
        <v>#N/A</v>
      </c>
      <c r="F464" s="141" t="e">
        <v>#N/A</v>
      </c>
      <c r="G464" s="3538" t="e">
        <v>#N/A</v>
      </c>
      <c r="H464" s="2365" t="e">
        <v>#N/A</v>
      </c>
    </row>
    <row r="465" spans="1:8">
      <c r="A465" s="972">
        <f t="shared" si="12"/>
        <v>2029.12</v>
      </c>
      <c r="B465" s="215" t="e">
        <v>#N/A</v>
      </c>
      <c r="C465" s="3538" t="e">
        <v>#N/A</v>
      </c>
      <c r="D465" s="141" t="e">
        <v>#N/A</v>
      </c>
      <c r="E465" s="3538" t="e">
        <v>#N/A</v>
      </c>
      <c r="F465" s="141" t="e">
        <v>#N/A</v>
      </c>
      <c r="G465" s="3538" t="e">
        <v>#N/A</v>
      </c>
      <c r="H465" s="2365" t="e">
        <v>#N/A</v>
      </c>
    </row>
    <row r="466" spans="1:8">
      <c r="A466" s="972">
        <f t="shared" si="12"/>
        <v>2030.01</v>
      </c>
      <c r="B466" s="215" t="e">
        <v>#N/A</v>
      </c>
      <c r="C466" s="3538" t="e">
        <v>#N/A</v>
      </c>
      <c r="D466" s="141" t="e">
        <v>#N/A</v>
      </c>
      <c r="E466" s="3538" t="e">
        <v>#N/A</v>
      </c>
      <c r="F466" s="141" t="e">
        <v>#N/A</v>
      </c>
      <c r="G466" s="3538" t="e">
        <v>#N/A</v>
      </c>
      <c r="H466" s="2365" t="e">
        <v>#N/A</v>
      </c>
    </row>
    <row r="467" spans="1:8">
      <c r="A467" s="972">
        <f t="shared" ref="A467:A477" si="15">A455+1</f>
        <v>2030.02</v>
      </c>
      <c r="B467" s="215" t="e">
        <v>#N/A</v>
      </c>
      <c r="C467" s="3538" t="e">
        <v>#N/A</v>
      </c>
      <c r="D467" s="141" t="e">
        <v>#N/A</v>
      </c>
      <c r="E467" s="3538" t="e">
        <v>#N/A</v>
      </c>
      <c r="F467" s="141" t="e">
        <v>#N/A</v>
      </c>
      <c r="G467" s="3538" t="e">
        <v>#N/A</v>
      </c>
      <c r="H467" s="2365" t="e">
        <v>#N/A</v>
      </c>
    </row>
    <row r="468" spans="1:8">
      <c r="A468" s="972">
        <f t="shared" si="15"/>
        <v>2030.03</v>
      </c>
      <c r="B468" s="215" t="e">
        <v>#N/A</v>
      </c>
      <c r="C468" s="3538" t="e">
        <v>#N/A</v>
      </c>
      <c r="D468" s="141" t="e">
        <v>#N/A</v>
      </c>
      <c r="E468" s="3538" t="e">
        <v>#N/A</v>
      </c>
      <c r="F468" s="141" t="e">
        <v>#N/A</v>
      </c>
      <c r="G468" s="3538" t="e">
        <v>#N/A</v>
      </c>
      <c r="H468" s="2365" t="e">
        <v>#N/A</v>
      </c>
    </row>
    <row r="469" spans="1:8">
      <c r="A469" s="972">
        <f t="shared" si="15"/>
        <v>2030.04</v>
      </c>
      <c r="B469" s="215" t="e">
        <v>#N/A</v>
      </c>
      <c r="C469" s="3538" t="e">
        <v>#N/A</v>
      </c>
      <c r="D469" s="141" t="e">
        <v>#N/A</v>
      </c>
      <c r="E469" s="3538" t="e">
        <v>#N/A</v>
      </c>
      <c r="F469" s="141" t="e">
        <v>#N/A</v>
      </c>
      <c r="G469" s="3538" t="e">
        <v>#N/A</v>
      </c>
      <c r="H469" s="2365" t="e">
        <v>#N/A</v>
      </c>
    </row>
    <row r="470" spans="1:8">
      <c r="A470" s="972">
        <f t="shared" si="15"/>
        <v>2030.05</v>
      </c>
      <c r="B470" s="215" t="e">
        <v>#N/A</v>
      </c>
      <c r="C470" s="3538" t="e">
        <v>#N/A</v>
      </c>
      <c r="D470" s="141" t="e">
        <v>#N/A</v>
      </c>
      <c r="E470" s="3538" t="e">
        <v>#N/A</v>
      </c>
      <c r="F470" s="141" t="e">
        <v>#N/A</v>
      </c>
      <c r="G470" s="3538" t="e">
        <v>#N/A</v>
      </c>
      <c r="H470" s="2365" t="e">
        <v>#N/A</v>
      </c>
    </row>
    <row r="471" spans="1:8">
      <c r="A471" s="972">
        <f t="shared" si="15"/>
        <v>2030.06</v>
      </c>
      <c r="B471" s="215" t="e">
        <v>#N/A</v>
      </c>
      <c r="C471" s="3538" t="e">
        <v>#N/A</v>
      </c>
      <c r="D471" s="141" t="e">
        <v>#N/A</v>
      </c>
      <c r="E471" s="3538" t="e">
        <v>#N/A</v>
      </c>
      <c r="F471" s="141" t="e">
        <v>#N/A</v>
      </c>
      <c r="G471" s="3538" t="e">
        <v>#N/A</v>
      </c>
      <c r="H471" s="2365" t="e">
        <v>#N/A</v>
      </c>
    </row>
    <row r="472" spans="1:8">
      <c r="A472" s="972">
        <f t="shared" si="15"/>
        <v>2030.07</v>
      </c>
      <c r="B472" s="215" t="e">
        <v>#N/A</v>
      </c>
      <c r="C472" s="3538" t="e">
        <v>#N/A</v>
      </c>
      <c r="D472" s="141" t="e">
        <v>#N/A</v>
      </c>
      <c r="E472" s="3538" t="e">
        <v>#N/A</v>
      </c>
      <c r="F472" s="141" t="e">
        <v>#N/A</v>
      </c>
      <c r="G472" s="3538" t="e">
        <v>#N/A</v>
      </c>
      <c r="H472" s="2365" t="e">
        <v>#N/A</v>
      </c>
    </row>
    <row r="473" spans="1:8">
      <c r="A473" s="972">
        <f t="shared" si="15"/>
        <v>2030.08</v>
      </c>
      <c r="B473" s="215" t="e">
        <v>#N/A</v>
      </c>
      <c r="C473" s="3538" t="e">
        <v>#N/A</v>
      </c>
      <c r="D473" s="141" t="e">
        <v>#N/A</v>
      </c>
      <c r="E473" s="3538" t="e">
        <v>#N/A</v>
      </c>
      <c r="F473" s="141" t="e">
        <v>#N/A</v>
      </c>
      <c r="G473" s="3538" t="e">
        <v>#N/A</v>
      </c>
      <c r="H473" s="2365" t="e">
        <v>#N/A</v>
      </c>
    </row>
    <row r="474" spans="1:8">
      <c r="A474" s="972">
        <f t="shared" si="15"/>
        <v>2030.09</v>
      </c>
      <c r="B474" s="215" t="e">
        <v>#N/A</v>
      </c>
      <c r="C474" s="3538" t="e">
        <v>#N/A</v>
      </c>
      <c r="D474" s="141" t="e">
        <v>#N/A</v>
      </c>
      <c r="E474" s="3538" t="e">
        <v>#N/A</v>
      </c>
      <c r="F474" s="141" t="e">
        <v>#N/A</v>
      </c>
      <c r="G474" s="3538" t="e">
        <v>#N/A</v>
      </c>
      <c r="H474" s="2365" t="e">
        <v>#N/A</v>
      </c>
    </row>
    <row r="475" spans="1:8">
      <c r="A475" s="972">
        <f t="shared" si="15"/>
        <v>2030.1</v>
      </c>
      <c r="B475" s="215" t="e">
        <v>#N/A</v>
      </c>
      <c r="C475" s="3538" t="e">
        <v>#N/A</v>
      </c>
      <c r="D475" s="141" t="e">
        <v>#N/A</v>
      </c>
      <c r="E475" s="3538" t="e">
        <v>#N/A</v>
      </c>
      <c r="F475" s="141" t="e">
        <v>#N/A</v>
      </c>
      <c r="G475" s="3538" t="e">
        <v>#N/A</v>
      </c>
      <c r="H475" s="2365" t="e">
        <v>#N/A</v>
      </c>
    </row>
    <row r="476" spans="1:8">
      <c r="A476" s="972">
        <f t="shared" si="15"/>
        <v>2030.11</v>
      </c>
      <c r="B476" s="215" t="e">
        <v>#N/A</v>
      </c>
      <c r="C476" s="3538" t="e">
        <v>#N/A</v>
      </c>
      <c r="D476" s="141" t="e">
        <v>#N/A</v>
      </c>
      <c r="E476" s="3538" t="e">
        <v>#N/A</v>
      </c>
      <c r="F476" s="141" t="e">
        <v>#N/A</v>
      </c>
      <c r="G476" s="3538" t="e">
        <v>#N/A</v>
      </c>
      <c r="H476" s="2365" t="e">
        <v>#N/A</v>
      </c>
    </row>
    <row r="477" spans="1:8">
      <c r="A477" s="972">
        <f t="shared" si="15"/>
        <v>2030.12</v>
      </c>
      <c r="B477" s="215" t="e">
        <v>#N/A</v>
      </c>
      <c r="C477" s="3538" t="e">
        <v>#N/A</v>
      </c>
      <c r="D477" s="141" t="e">
        <v>#N/A</v>
      </c>
      <c r="E477" s="3538" t="e">
        <v>#N/A</v>
      </c>
      <c r="F477" s="141" t="e">
        <v>#N/A</v>
      </c>
      <c r="G477" s="3538" t="e">
        <v>#N/A</v>
      </c>
      <c r="H477" s="2365" t="e">
        <v>#N/A</v>
      </c>
    </row>
  </sheetData>
  <phoneticPr fontId="0" type="noConversion"/>
  <hyperlinks>
    <hyperlink ref="A5" location="INDICE!A13" display="VOLVER AL INDICE" xr:uid="{00000000-0004-0000-2E00-000000000000}"/>
  </hyperlinks>
  <pageMargins left="0.75" right="0.75" top="1" bottom="1" header="0" footer="0"/>
  <pageSetup paperSize="9" orientation="portrait" horizontalDpi="300" verticalDpi="300" r:id="rId1"/>
  <headerFooter alignWithMargins="0"/>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32">
    <pageSetUpPr autoPageBreaks="0"/>
  </sheetPr>
  <dimension ref="A1:D477"/>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10.42578125" style="21" bestFit="1" customWidth="1"/>
    <col min="2" max="2" width="26.5703125" style="21" customWidth="1"/>
    <col min="3" max="3" width="11.42578125" style="6"/>
    <col min="4" max="4" width="17.140625" style="6" customWidth="1"/>
    <col min="5" max="16384" width="11.42578125" style="6"/>
  </cols>
  <sheetData>
    <row r="1" spans="1:3" ht="3.75" customHeight="1">
      <c r="A1" s="2761"/>
      <c r="B1" s="2913"/>
      <c r="C1" s="12"/>
    </row>
    <row r="2" spans="1:3" ht="45">
      <c r="A2" s="2762" t="s">
        <v>99</v>
      </c>
      <c r="B2" s="2913" t="s">
        <v>1735</v>
      </c>
      <c r="C2" s="1306" t="s">
        <v>5</v>
      </c>
    </row>
    <row r="3" spans="1:3" ht="33.75">
      <c r="A3" s="2762" t="s">
        <v>104</v>
      </c>
      <c r="B3" s="2913" t="s">
        <v>1736</v>
      </c>
      <c r="C3" s="1306" t="s">
        <v>5</v>
      </c>
    </row>
    <row r="4" spans="1:3" ht="3" hidden="1" customHeight="1">
      <c r="A4" s="2762"/>
      <c r="B4" s="2916"/>
      <c r="C4" s="1306" t="s">
        <v>5</v>
      </c>
    </row>
    <row r="5" spans="1:3" s="21" customFormat="1" ht="22.5">
      <c r="A5" s="2867" t="s">
        <v>140</v>
      </c>
      <c r="B5" s="2920"/>
      <c r="C5" s="1430" t="s">
        <v>5</v>
      </c>
    </row>
    <row r="6" spans="1:3" s="21" customFormat="1" ht="3" hidden="1" customHeight="1">
      <c r="A6" s="2762"/>
      <c r="B6" s="2916"/>
      <c r="C6" s="114"/>
    </row>
    <row r="7" spans="1:3" s="21" customFormat="1" ht="22.5">
      <c r="A7" s="2762" t="s">
        <v>125</v>
      </c>
      <c r="B7" s="2920" t="s">
        <v>238</v>
      </c>
      <c r="C7" s="1430" t="s">
        <v>5</v>
      </c>
    </row>
    <row r="8" spans="1:3" s="21" customFormat="1" ht="13.5" customHeight="1">
      <c r="A8" s="3002" t="s">
        <v>144</v>
      </c>
      <c r="B8" s="3096" t="s">
        <v>1737</v>
      </c>
      <c r="C8" s="1474" t="s">
        <v>5</v>
      </c>
    </row>
    <row r="9" spans="1:3" ht="13.5" thickBot="1">
      <c r="A9" s="2140"/>
      <c r="B9" s="1395"/>
      <c r="C9" s="1475" t="s">
        <v>5</v>
      </c>
    </row>
    <row r="10" spans="1:3">
      <c r="A10" s="970">
        <v>1992.01</v>
      </c>
      <c r="B10" s="1670">
        <v>74720.219678755646</v>
      </c>
      <c r="C10" s="1475"/>
    </row>
    <row r="11" spans="1:3">
      <c r="A11" s="972">
        <v>1992.02</v>
      </c>
      <c r="B11" s="1476">
        <v>70353.343649184419</v>
      </c>
      <c r="C11" s="1475"/>
    </row>
    <row r="12" spans="1:3">
      <c r="A12" s="972">
        <v>1992.03</v>
      </c>
      <c r="B12" s="1476">
        <v>70471.315911203012</v>
      </c>
      <c r="C12" s="1475"/>
    </row>
    <row r="13" spans="1:3">
      <c r="A13" s="972">
        <v>1992.04</v>
      </c>
      <c r="B13" s="1476">
        <v>71524.213484273758</v>
      </c>
      <c r="C13" s="1475"/>
    </row>
    <row r="14" spans="1:3">
      <c r="A14" s="972">
        <v>1992.05</v>
      </c>
      <c r="B14" s="1476">
        <v>103261.58375298294</v>
      </c>
      <c r="C14" s="1475"/>
    </row>
    <row r="15" spans="1:3">
      <c r="A15" s="972">
        <v>1992.06</v>
      </c>
      <c r="B15" s="1476">
        <v>94834.976756224962</v>
      </c>
      <c r="C15" s="1475"/>
    </row>
    <row r="16" spans="1:3">
      <c r="A16" s="972">
        <v>1992.07</v>
      </c>
      <c r="B16" s="1476">
        <v>81495.237898387684</v>
      </c>
      <c r="C16" s="1475"/>
    </row>
    <row r="17" spans="1:3">
      <c r="A17" s="972">
        <v>1992.08</v>
      </c>
      <c r="B17" s="1476">
        <v>87623.098721539936</v>
      </c>
      <c r="C17" s="1475"/>
    </row>
    <row r="18" spans="1:3">
      <c r="A18" s="972">
        <v>1992.09</v>
      </c>
      <c r="B18" s="1476">
        <v>81708.939076311843</v>
      </c>
      <c r="C18" s="1475"/>
    </row>
    <row r="19" spans="1:3">
      <c r="A19" s="972">
        <v>1992.1</v>
      </c>
      <c r="B19" s="1476">
        <v>83723.102197507833</v>
      </c>
      <c r="C19" s="1475"/>
    </row>
    <row r="20" spans="1:3">
      <c r="A20" s="972">
        <v>1992.11</v>
      </c>
      <c r="B20" s="1476">
        <v>82262.879762628058</v>
      </c>
      <c r="C20" s="1475"/>
    </row>
    <row r="21" spans="1:3">
      <c r="A21" s="972">
        <v>1992.12</v>
      </c>
      <c r="B21" s="1476">
        <v>85574.859110999896</v>
      </c>
      <c r="C21" s="1475"/>
    </row>
    <row r="22" spans="1:3">
      <c r="A22" s="972">
        <v>1993.01</v>
      </c>
      <c r="B22" s="1476">
        <v>80649.9305733363</v>
      </c>
      <c r="C22" s="1475"/>
    </row>
    <row r="23" spans="1:3">
      <c r="A23" s="972">
        <v>1993.02</v>
      </c>
      <c r="B23" s="1476">
        <v>75936.504272912571</v>
      </c>
      <c r="C23" s="1475"/>
    </row>
    <row r="24" spans="1:3">
      <c r="A24" s="972">
        <v>1993.03</v>
      </c>
      <c r="B24" s="1476">
        <v>76063.838678275453</v>
      </c>
      <c r="C24" s="1475"/>
    </row>
    <row r="25" spans="1:3">
      <c r="A25" s="972">
        <v>1993.04</v>
      </c>
      <c r="B25" s="1476">
        <v>77200.292994577918</v>
      </c>
      <c r="C25" s="1475"/>
    </row>
    <row r="26" spans="1:3">
      <c r="A26" s="972">
        <v>1993.05</v>
      </c>
      <c r="B26" s="1476">
        <v>111456.30455016776</v>
      </c>
      <c r="C26" s="1475"/>
    </row>
    <row r="27" spans="1:3">
      <c r="A27" s="972">
        <v>1993.06</v>
      </c>
      <c r="B27" s="1476">
        <v>102360.97169141618</v>
      </c>
      <c r="C27" s="1475"/>
    </row>
    <row r="28" spans="1:3">
      <c r="A28" s="972">
        <v>1993.07</v>
      </c>
      <c r="B28" s="1476">
        <v>87962.606464755896</v>
      </c>
      <c r="C28" s="1475"/>
    </row>
    <row r="29" spans="1:3">
      <c r="A29" s="972">
        <v>1993.08</v>
      </c>
      <c r="B29" s="1476">
        <v>94576.76729130403</v>
      </c>
      <c r="C29" s="1475"/>
    </row>
    <row r="30" spans="1:3">
      <c r="A30" s="972">
        <v>1993.09</v>
      </c>
      <c r="B30" s="1476">
        <v>88193.266722944667</v>
      </c>
      <c r="C30" s="1475"/>
    </row>
    <row r="31" spans="1:3">
      <c r="A31" s="972">
        <v>1993.1</v>
      </c>
      <c r="B31" s="1476">
        <v>90367.271518249312</v>
      </c>
      <c r="C31" s="1475"/>
    </row>
    <row r="32" spans="1:3">
      <c r="A32" s="972">
        <v>1993.11</v>
      </c>
      <c r="B32" s="1476">
        <v>88791.167506497251</v>
      </c>
      <c r="C32" s="1475"/>
    </row>
    <row r="33" spans="1:3">
      <c r="A33" s="972">
        <v>1993.12</v>
      </c>
      <c r="B33" s="1476">
        <v>92365.981735562716</v>
      </c>
      <c r="C33" s="1475"/>
    </row>
    <row r="34" spans="1:3">
      <c r="A34" s="972">
        <v>1994.01</v>
      </c>
      <c r="B34" s="1476">
        <v>83364.861742826048</v>
      </c>
      <c r="C34" s="1477"/>
    </row>
    <row r="35" spans="1:3">
      <c r="A35" s="972">
        <v>1994.02</v>
      </c>
      <c r="B35" s="1476">
        <v>78492.766639005422</v>
      </c>
      <c r="C35" s="1477"/>
    </row>
    <row r="36" spans="1:3">
      <c r="A36" s="972">
        <v>1994.03</v>
      </c>
      <c r="B36" s="1476">
        <v>78624.387522281075</v>
      </c>
      <c r="C36" s="1477"/>
    </row>
    <row r="37" spans="1:3">
      <c r="A37" s="972">
        <v>1994.04</v>
      </c>
      <c r="B37" s="1476">
        <v>79799.098477170774</v>
      </c>
      <c r="C37" s="1477"/>
    </row>
    <row r="38" spans="1:3">
      <c r="A38" s="972">
        <v>1994.05</v>
      </c>
      <c r="B38" s="1476">
        <v>115208.27548316485</v>
      </c>
      <c r="C38" s="1477"/>
    </row>
    <row r="39" spans="1:3">
      <c r="A39" s="972">
        <v>1994.06</v>
      </c>
      <c r="B39" s="1476">
        <v>105806.76501831287</v>
      </c>
      <c r="C39" s="1477"/>
    </row>
    <row r="40" spans="1:3">
      <c r="A40" s="972">
        <v>1994.07</v>
      </c>
      <c r="B40" s="1476">
        <v>90923.705381308202</v>
      </c>
      <c r="C40" s="1477"/>
    </row>
    <row r="41" spans="1:3">
      <c r="A41" s="972">
        <v>1994.08</v>
      </c>
      <c r="B41" s="1476">
        <v>97760.519733536508</v>
      </c>
      <c r="C41" s="1477"/>
    </row>
    <row r="42" spans="1:3">
      <c r="A42" s="972">
        <v>1994.09</v>
      </c>
      <c r="B42" s="1476">
        <v>91162.13039168049</v>
      </c>
      <c r="C42" s="1477"/>
    </row>
    <row r="43" spans="1:3">
      <c r="A43" s="972">
        <v>1994.1</v>
      </c>
      <c r="B43" s="1476">
        <v>93409.319048885984</v>
      </c>
      <c r="C43" s="1477"/>
    </row>
    <row r="44" spans="1:3">
      <c r="A44" s="972">
        <v>1994.11</v>
      </c>
      <c r="B44" s="1476">
        <v>91780.158402398549</v>
      </c>
      <c r="C44" s="1477"/>
    </row>
    <row r="45" spans="1:3">
      <c r="A45" s="972">
        <v>1994.12</v>
      </c>
      <c r="B45" s="1476">
        <v>95475.312159429261</v>
      </c>
      <c r="C45" s="1477"/>
    </row>
    <row r="46" spans="1:3">
      <c r="A46" s="972">
        <v>1995.01</v>
      </c>
      <c r="B46" s="1476">
        <v>83378.590229960508</v>
      </c>
      <c r="C46" s="1477"/>
    </row>
    <row r="47" spans="1:3">
      <c r="A47" s="972">
        <v>1995.02</v>
      </c>
      <c r="B47" s="1476">
        <v>78505.692791756403</v>
      </c>
      <c r="C47" s="1477"/>
    </row>
    <row r="48" spans="1:3">
      <c r="A48" s="972">
        <v>1995.03</v>
      </c>
      <c r="B48" s="1476">
        <v>78637.335350298643</v>
      </c>
      <c r="C48" s="1477"/>
    </row>
    <row r="49" spans="1:3">
      <c r="A49" s="972">
        <v>1995.04</v>
      </c>
      <c r="B49" s="1476">
        <v>79812.239756048744</v>
      </c>
      <c r="C49" s="1477"/>
    </row>
    <row r="50" spans="1:3">
      <c r="A50" s="972">
        <v>1995.05</v>
      </c>
      <c r="B50" s="1476">
        <v>115227.24792904539</v>
      </c>
      <c r="C50" s="1477"/>
    </row>
    <row r="51" spans="1:3">
      <c r="A51" s="972">
        <v>1995.06</v>
      </c>
      <c r="B51" s="1476">
        <v>105824.18922776906</v>
      </c>
      <c r="C51" s="1477"/>
    </row>
    <row r="52" spans="1:3">
      <c r="A52" s="972">
        <v>1995.07</v>
      </c>
      <c r="B52" s="1476">
        <v>90938.678655340569</v>
      </c>
      <c r="C52" s="1477"/>
    </row>
    <row r="53" spans="1:3">
      <c r="A53" s="972">
        <v>1995.08</v>
      </c>
      <c r="B53" s="1476">
        <v>97776.618891015605</v>
      </c>
      <c r="C53" s="1477"/>
    </row>
    <row r="54" spans="1:3">
      <c r="A54" s="972">
        <v>1995.09</v>
      </c>
      <c r="B54" s="1476">
        <v>91177.142929434034</v>
      </c>
      <c r="C54" s="1477"/>
    </row>
    <row r="55" spans="1:3">
      <c r="A55" s="972">
        <v>1995.1</v>
      </c>
      <c r="B55" s="1476">
        <v>93424.701652635253</v>
      </c>
      <c r="C55" s="1477"/>
    </row>
    <row r="56" spans="1:3">
      <c r="A56" s="972">
        <v>1995.11</v>
      </c>
      <c r="B56" s="1476">
        <v>91795.272716720967</v>
      </c>
      <c r="C56" s="1477"/>
    </row>
    <row r="57" spans="1:3">
      <c r="A57" s="972">
        <v>1995.12</v>
      </c>
      <c r="B57" s="1476">
        <v>95491.034989974869</v>
      </c>
      <c r="C57" s="1477"/>
    </row>
    <row r="58" spans="1:3">
      <c r="A58" s="972">
        <v>1996.01</v>
      </c>
      <c r="B58" s="1476">
        <v>90689.335914503143</v>
      </c>
      <c r="C58" s="1346"/>
    </row>
    <row r="59" spans="1:3">
      <c r="A59" s="972">
        <v>1996.02</v>
      </c>
      <c r="B59" s="1476">
        <v>85389.176347983885</v>
      </c>
      <c r="C59" s="1346"/>
    </row>
    <row r="60" spans="1:3">
      <c r="A60" s="972">
        <v>1996.03</v>
      </c>
      <c r="B60" s="1476">
        <v>85532.361501143168</v>
      </c>
      <c r="C60" s="1346"/>
    </row>
    <row r="61" spans="1:3">
      <c r="A61" s="972">
        <v>1996.04</v>
      </c>
      <c r="B61" s="1476">
        <v>86810.283087807431</v>
      </c>
      <c r="C61" s="1346"/>
    </row>
    <row r="62" spans="1:3">
      <c r="A62" s="972">
        <v>1996.05</v>
      </c>
      <c r="B62" s="1476">
        <v>125330.52627922661</v>
      </c>
      <c r="C62" s="1346"/>
    </row>
    <row r="63" spans="1:3">
      <c r="A63" s="972">
        <v>1996.06</v>
      </c>
      <c r="B63" s="1476">
        <v>115102.99488499326</v>
      </c>
      <c r="C63" s="1346"/>
    </row>
    <row r="64" spans="1:3">
      <c r="A64" s="972">
        <v>1996.07</v>
      </c>
      <c r="B64" s="1476">
        <v>98912.302947906821</v>
      </c>
      <c r="C64" s="1346"/>
    </row>
    <row r="65" spans="1:3">
      <c r="A65" s="972">
        <v>1996.08</v>
      </c>
      <c r="B65" s="1476">
        <v>106349.80287787803</v>
      </c>
      <c r="C65" s="1346"/>
    </row>
    <row r="66" spans="1:3">
      <c r="A66" s="972">
        <v>1996.09</v>
      </c>
      <c r="B66" s="1476">
        <v>99171.676086709296</v>
      </c>
      <c r="C66" s="1346"/>
    </row>
    <row r="67" spans="1:3">
      <c r="A67" s="972">
        <v>1996.1</v>
      </c>
      <c r="B67" s="1476">
        <v>101616.30374800459</v>
      </c>
      <c r="C67" s="1346"/>
    </row>
    <row r="68" spans="1:3">
      <c r="A68" s="972">
        <v>1996.11</v>
      </c>
      <c r="B68" s="1476">
        <v>99844.004315855607</v>
      </c>
      <c r="C68" s="1346"/>
    </row>
    <row r="69" spans="1:3">
      <c r="A69" s="972">
        <v>1996.12</v>
      </c>
      <c r="B69" s="1476">
        <v>103863.81594057691</v>
      </c>
      <c r="C69" s="1346"/>
    </row>
    <row r="70" spans="1:3">
      <c r="A70" s="972">
        <v>1997.01</v>
      </c>
      <c r="B70" s="1476">
        <v>102957.39364094843</v>
      </c>
      <c r="C70" s="1346"/>
    </row>
    <row r="71" spans="1:3">
      <c r="A71" s="972">
        <v>1997.02</v>
      </c>
      <c r="B71" s="1476">
        <v>96940.251610441017</v>
      </c>
      <c r="C71" s="1346"/>
    </row>
    <row r="72" spans="1:3">
      <c r="A72" s="972">
        <v>1997.03</v>
      </c>
      <c r="B72" s="1476">
        <v>97102.806226468398</v>
      </c>
      <c r="C72" s="1346"/>
    </row>
    <row r="73" spans="1:3">
      <c r="A73" s="972">
        <v>1997.04</v>
      </c>
      <c r="B73" s="1476">
        <v>98553.599470389556</v>
      </c>
      <c r="C73" s="1346"/>
    </row>
    <row r="74" spans="1:3">
      <c r="A74" s="972">
        <v>1997.05</v>
      </c>
      <c r="B74" s="1476">
        <v>142284.69311455166</v>
      </c>
      <c r="C74" s="1346"/>
    </row>
    <row r="75" spans="1:3">
      <c r="A75" s="972">
        <v>1997.06</v>
      </c>
      <c r="B75" s="1476">
        <v>130673.62589134523</v>
      </c>
      <c r="C75" s="1346"/>
    </row>
    <row r="76" spans="1:3">
      <c r="A76" s="972">
        <v>1997.07</v>
      </c>
      <c r="B76" s="1476">
        <v>112292.72778158903</v>
      </c>
      <c r="C76" s="1346"/>
    </row>
    <row r="77" spans="1:3">
      <c r="A77" s="972">
        <v>1997.08</v>
      </c>
      <c r="B77" s="1476">
        <v>120736.34025567831</v>
      </c>
      <c r="C77" s="1346"/>
    </row>
    <row r="78" spans="1:3">
      <c r="A78" s="972">
        <v>1997.09</v>
      </c>
      <c r="B78" s="1476">
        <v>112587.1877870824</v>
      </c>
      <c r="C78" s="1346"/>
    </row>
    <row r="79" spans="1:3">
      <c r="A79" s="972">
        <v>1997.1</v>
      </c>
      <c r="B79" s="1476">
        <v>115362.51401360601</v>
      </c>
      <c r="C79" s="1346"/>
    </row>
    <row r="80" spans="1:3">
      <c r="A80" s="972">
        <v>1997.11</v>
      </c>
      <c r="B80" s="1476">
        <v>113350.46564600724</v>
      </c>
      <c r="C80" s="1346"/>
    </row>
    <row r="81" spans="1:3">
      <c r="A81" s="972">
        <v>1997.12</v>
      </c>
      <c r="B81" s="1476">
        <v>117914.05985072239</v>
      </c>
      <c r="C81" s="1346"/>
    </row>
    <row r="82" spans="1:3">
      <c r="A82" s="972">
        <v>1998.01</v>
      </c>
      <c r="B82" s="1476">
        <v>107301.66967515073</v>
      </c>
      <c r="C82" s="1346"/>
    </row>
    <row r="83" spans="1:3">
      <c r="A83" s="972">
        <v>1998.02</v>
      </c>
      <c r="B83" s="1476">
        <v>101030.63499067147</v>
      </c>
      <c r="C83" s="1346"/>
    </row>
    <row r="84" spans="1:3">
      <c r="A84" s="972">
        <v>1998.03</v>
      </c>
      <c r="B84" s="1476">
        <v>101200.048581054</v>
      </c>
      <c r="C84" s="1346"/>
    </row>
    <row r="85" spans="1:3">
      <c r="A85" s="972">
        <v>1998.04</v>
      </c>
      <c r="B85" s="1476">
        <v>102712.05788821516</v>
      </c>
      <c r="C85" s="1346"/>
    </row>
    <row r="86" spans="1:3">
      <c r="A86" s="972">
        <v>1998.05</v>
      </c>
      <c r="B86" s="1476">
        <v>148288.38027554378</v>
      </c>
      <c r="C86" s="1346"/>
    </row>
    <row r="87" spans="1:3">
      <c r="A87" s="972">
        <v>1998.06</v>
      </c>
      <c r="B87" s="1476">
        <v>136187.38533286541</v>
      </c>
      <c r="C87" s="1346"/>
    </row>
    <row r="88" spans="1:3">
      <c r="A88" s="972">
        <v>1998.07</v>
      </c>
      <c r="B88" s="1476">
        <v>117030.90722519469</v>
      </c>
      <c r="C88" s="1346"/>
    </row>
    <row r="89" spans="1:3">
      <c r="A89" s="972">
        <v>1998.08</v>
      </c>
      <c r="B89" s="1476">
        <v>125830.79700988879</v>
      </c>
      <c r="C89" s="1346"/>
    </row>
    <row r="90" spans="1:3">
      <c r="A90" s="972">
        <v>1998.09</v>
      </c>
      <c r="B90" s="1476">
        <v>117337.7919386149</v>
      </c>
      <c r="C90" s="1346"/>
    </row>
    <row r="91" spans="1:3">
      <c r="A91" s="972">
        <v>1998.1</v>
      </c>
      <c r="B91" s="1476">
        <v>120230.22275361542</v>
      </c>
      <c r="C91" s="1346"/>
    </row>
    <row r="92" spans="1:3">
      <c r="A92" s="972">
        <v>1998.11</v>
      </c>
      <c r="B92" s="1476">
        <v>118133.27622383613</v>
      </c>
      <c r="C92" s="1346"/>
    </row>
    <row r="93" spans="1:3">
      <c r="A93" s="972">
        <v>1998.12</v>
      </c>
      <c r="B93" s="1476">
        <v>122889.43079000048</v>
      </c>
      <c r="C93" s="1346"/>
    </row>
    <row r="94" spans="1:3">
      <c r="A94" s="972">
        <v>1999.01</v>
      </c>
      <c r="B94" s="1476">
        <v>103920.02064050338</v>
      </c>
      <c r="C94" s="1346"/>
    </row>
    <row r="95" spans="1:3">
      <c r="A95" s="972">
        <v>1999.02</v>
      </c>
      <c r="B95" s="1476">
        <v>97846.619771520302</v>
      </c>
      <c r="C95" s="1346"/>
    </row>
    <row r="96" spans="1:3">
      <c r="A96" s="972">
        <v>1999.03</v>
      </c>
      <c r="B96" s="1476">
        <v>98010.694234318813</v>
      </c>
      <c r="C96" s="1346"/>
    </row>
    <row r="97" spans="1:3">
      <c r="A97" s="972">
        <v>1999.04</v>
      </c>
      <c r="B97" s="1476">
        <v>99475.052047990466</v>
      </c>
      <c r="C97" s="1346"/>
    </row>
    <row r="98" spans="1:3">
      <c r="A98" s="972">
        <v>1999.05</v>
      </c>
      <c r="B98" s="1476">
        <v>143615.02095572752</v>
      </c>
      <c r="C98" s="1346"/>
    </row>
    <row r="99" spans="1:3">
      <c r="A99" s="972">
        <v>1999.06</v>
      </c>
      <c r="B99" s="1476">
        <v>131895.39303175508</v>
      </c>
      <c r="C99" s="1346"/>
    </row>
    <row r="100" spans="1:3">
      <c r="A100" s="972">
        <v>1999.07</v>
      </c>
      <c r="B100" s="1476">
        <v>113342.63792202249</v>
      </c>
      <c r="C100" s="1346"/>
    </row>
    <row r="101" spans="1:3">
      <c r="A101" s="972">
        <v>1999.08</v>
      </c>
      <c r="B101" s="1476">
        <v>121865.19615273886</v>
      </c>
      <c r="C101" s="1346"/>
    </row>
    <row r="102" spans="1:3">
      <c r="A102" s="972">
        <v>1999.09</v>
      </c>
      <c r="B102" s="1476">
        <v>113639.85105812216</v>
      </c>
      <c r="C102" s="1346"/>
    </row>
    <row r="103" spans="1:3">
      <c r="A103" s="972">
        <v>1999.1</v>
      </c>
      <c r="B103" s="1476">
        <v>116441.12592090925</v>
      </c>
      <c r="C103" s="1346"/>
    </row>
    <row r="104" spans="1:3">
      <c r="A104" s="972">
        <v>1999.11</v>
      </c>
      <c r="B104" s="1476">
        <v>114410.26538242536</v>
      </c>
      <c r="C104" s="1346"/>
    </row>
    <row r="105" spans="1:3">
      <c r="A105" s="972">
        <v>1999.12</v>
      </c>
      <c r="B105" s="1476">
        <v>119016.52810118422</v>
      </c>
      <c r="C105" s="1346"/>
    </row>
    <row r="106" spans="1:3">
      <c r="A106" s="972">
        <v>2000.01</v>
      </c>
      <c r="B106" s="1476">
        <v>114004.69745864099</v>
      </c>
      <c r="C106" s="1346"/>
    </row>
    <row r="107" spans="1:3">
      <c r="A107" s="972">
        <v>2000.02</v>
      </c>
      <c r="B107" s="1476">
        <v>113858.59082876529</v>
      </c>
      <c r="C107" s="1346"/>
    </row>
    <row r="108" spans="1:3">
      <c r="A108" s="972">
        <v>2000.03</v>
      </c>
      <c r="B108" s="1476">
        <v>113935.53642646484</v>
      </c>
      <c r="C108" s="1346"/>
    </row>
    <row r="109" spans="1:3">
      <c r="A109" s="972">
        <v>2000.04</v>
      </c>
      <c r="B109" s="1476">
        <v>113849.64383246483</v>
      </c>
      <c r="C109" s="1346"/>
    </row>
    <row r="110" spans="1:3">
      <c r="A110" s="972">
        <v>2000.05</v>
      </c>
      <c r="B110" s="1476">
        <v>113848.72078346484</v>
      </c>
      <c r="C110" s="1346"/>
    </row>
    <row r="111" spans="1:3">
      <c r="A111" s="972">
        <v>2000.06</v>
      </c>
      <c r="B111" s="1476">
        <v>113865.46856846486</v>
      </c>
      <c r="C111" s="1346"/>
    </row>
    <row r="112" spans="1:3">
      <c r="A112" s="972">
        <v>2000.07</v>
      </c>
      <c r="B112" s="1476">
        <v>113785.63497088566</v>
      </c>
      <c r="C112" s="1346"/>
    </row>
    <row r="113" spans="1:3">
      <c r="A113" s="972">
        <v>2000.08</v>
      </c>
      <c r="B113" s="1476">
        <v>113915.69655717014</v>
      </c>
      <c r="C113" s="1346"/>
    </row>
    <row r="114" spans="1:3">
      <c r="A114" s="972">
        <v>2000.09</v>
      </c>
      <c r="B114" s="1476">
        <v>113859.86464846485</v>
      </c>
      <c r="C114" s="1346"/>
    </row>
    <row r="115" spans="1:3">
      <c r="A115" s="972">
        <v>2000.1</v>
      </c>
      <c r="B115" s="1476">
        <v>113860.0619776985</v>
      </c>
      <c r="C115" s="1346"/>
    </row>
    <row r="116" spans="1:3">
      <c r="A116" s="972">
        <v>2000.11</v>
      </c>
      <c r="B116" s="1476">
        <v>113572.18394846485</v>
      </c>
      <c r="C116" s="1346"/>
    </row>
    <row r="117" spans="1:3">
      <c r="A117" s="972">
        <v>2000.12</v>
      </c>
      <c r="B117" s="1476">
        <v>113892.02602846487</v>
      </c>
      <c r="C117" s="1346"/>
    </row>
    <row r="118" spans="1:3">
      <c r="A118" s="972">
        <v>2001.01</v>
      </c>
      <c r="B118" s="883">
        <v>113882.78904236421</v>
      </c>
      <c r="C118" s="1346"/>
    </row>
    <row r="119" spans="1:3">
      <c r="A119" s="972">
        <v>2001.02</v>
      </c>
      <c r="B119" s="883">
        <v>103554.99932797925</v>
      </c>
      <c r="C119" s="1346"/>
    </row>
    <row r="120" spans="1:3">
      <c r="A120" s="972">
        <v>2001.03</v>
      </c>
      <c r="B120" s="883">
        <v>118000.5645694605</v>
      </c>
      <c r="C120" s="1346"/>
    </row>
    <row r="121" spans="1:3">
      <c r="A121" s="972">
        <v>2001.04</v>
      </c>
      <c r="B121" s="883">
        <v>110859.73153092472</v>
      </c>
      <c r="C121" s="1346"/>
    </row>
    <row r="122" spans="1:3">
      <c r="A122" s="972">
        <v>2001.05</v>
      </c>
      <c r="B122" s="883">
        <v>129985.83752652435</v>
      </c>
      <c r="C122" s="1346"/>
    </row>
    <row r="123" spans="1:3">
      <c r="A123" s="972">
        <v>2001.06</v>
      </c>
      <c r="B123" s="883">
        <v>113335.29742951998</v>
      </c>
      <c r="C123" s="1346"/>
    </row>
    <row r="124" spans="1:3">
      <c r="A124" s="972">
        <v>2001.07</v>
      </c>
      <c r="B124" s="883">
        <v>94006.363509765783</v>
      </c>
      <c r="C124" s="1346"/>
    </row>
    <row r="125" spans="1:3">
      <c r="A125" s="972">
        <v>2001.08</v>
      </c>
      <c r="B125" s="883">
        <v>118390.06913956979</v>
      </c>
      <c r="C125" s="1346"/>
    </row>
    <row r="126" spans="1:3">
      <c r="A126" s="972">
        <v>2001.09</v>
      </c>
      <c r="B126" s="883">
        <v>91852.616120608887</v>
      </c>
      <c r="C126" s="1346"/>
    </row>
    <row r="127" spans="1:3">
      <c r="A127" s="972">
        <v>2001.1</v>
      </c>
      <c r="B127" s="883">
        <v>86763.829712707535</v>
      </c>
      <c r="C127" s="1346"/>
    </row>
    <row r="128" spans="1:3">
      <c r="A128" s="972">
        <v>2001.11</v>
      </c>
      <c r="B128" s="883">
        <v>76039.358260300025</v>
      </c>
      <c r="C128" s="1346"/>
    </row>
    <row r="129" spans="1:3">
      <c r="A129" s="972">
        <v>2001.12</v>
      </c>
      <c r="B129" s="883">
        <v>53301.135828822102</v>
      </c>
      <c r="C129" s="1346"/>
    </row>
    <row r="130" spans="1:3">
      <c r="A130" s="972">
        <v>2002.01</v>
      </c>
      <c r="B130" s="883">
        <v>114004.69745864099</v>
      </c>
      <c r="C130" s="1346"/>
    </row>
    <row r="131" spans="1:3">
      <c r="A131" s="972">
        <v>2002.02</v>
      </c>
      <c r="B131" s="883">
        <v>113858.59082876529</v>
      </c>
      <c r="C131" s="1346"/>
    </row>
    <row r="132" spans="1:3">
      <c r="A132" s="972">
        <v>2002.03</v>
      </c>
      <c r="B132" s="883">
        <v>113935.53642646484</v>
      </c>
      <c r="C132" s="1346"/>
    </row>
    <row r="133" spans="1:3">
      <c r="A133" s="972">
        <v>2002.04</v>
      </c>
      <c r="B133" s="883">
        <v>113849.64383246483</v>
      </c>
      <c r="C133" s="1346"/>
    </row>
    <row r="134" spans="1:3">
      <c r="A134" s="972">
        <v>2002.05</v>
      </c>
      <c r="B134" s="883">
        <v>113848.72078346484</v>
      </c>
      <c r="C134" s="1346"/>
    </row>
    <row r="135" spans="1:3">
      <c r="A135" s="972">
        <v>2002.06</v>
      </c>
      <c r="B135" s="883">
        <v>113865.46856846486</v>
      </c>
      <c r="C135" s="1346"/>
    </row>
    <row r="136" spans="1:3">
      <c r="A136" s="972">
        <v>2002.07</v>
      </c>
      <c r="B136" s="883">
        <v>113785.63497088566</v>
      </c>
      <c r="C136" s="1346"/>
    </row>
    <row r="137" spans="1:3">
      <c r="A137" s="972">
        <v>2002.08</v>
      </c>
      <c r="B137" s="883">
        <v>113915.69655717014</v>
      </c>
      <c r="C137" s="1346"/>
    </row>
    <row r="138" spans="1:3">
      <c r="A138" s="972">
        <v>2002.09</v>
      </c>
      <c r="B138" s="883">
        <v>113859.86464846485</v>
      </c>
      <c r="C138" s="1346"/>
    </row>
    <row r="139" spans="1:3">
      <c r="A139" s="972">
        <v>2002.1</v>
      </c>
      <c r="B139" s="883">
        <v>113860.0619776985</v>
      </c>
      <c r="C139" s="1346"/>
    </row>
    <row r="140" spans="1:3">
      <c r="A140" s="972">
        <v>2002.11</v>
      </c>
      <c r="B140" s="883">
        <v>113572.18394846485</v>
      </c>
      <c r="C140" s="1346"/>
    </row>
    <row r="141" spans="1:3">
      <c r="A141" s="972">
        <v>2002.12</v>
      </c>
      <c r="B141" s="883">
        <v>113892.02602846487</v>
      </c>
      <c r="C141" s="1346"/>
    </row>
    <row r="142" spans="1:3">
      <c r="A142" s="972">
        <v>2003.01</v>
      </c>
      <c r="B142" s="883">
        <v>122659.7840192093</v>
      </c>
      <c r="C142" s="1346"/>
    </row>
    <row r="143" spans="1:3">
      <c r="A143" s="972">
        <v>2003.02</v>
      </c>
      <c r="B143" s="883">
        <v>94389.416098168658</v>
      </c>
      <c r="C143" s="1346"/>
    </row>
    <row r="144" spans="1:3">
      <c r="A144" s="972">
        <v>2003.03</v>
      </c>
      <c r="B144" s="883">
        <v>97299.951338496539</v>
      </c>
      <c r="C144" s="1346"/>
    </row>
    <row r="145" spans="1:3">
      <c r="A145" s="972">
        <v>2003.04</v>
      </c>
      <c r="B145" s="883">
        <v>112749.14079337637</v>
      </c>
      <c r="C145" s="1346"/>
    </row>
    <row r="146" spans="1:3">
      <c r="A146" s="972">
        <v>2003.05</v>
      </c>
      <c r="B146" s="883">
        <v>184810.9190461323</v>
      </c>
      <c r="C146" s="1346"/>
    </row>
    <row r="147" spans="1:3">
      <c r="A147" s="972">
        <v>2003.06</v>
      </c>
      <c r="B147" s="883">
        <v>147893.063572118</v>
      </c>
      <c r="C147" s="1346"/>
    </row>
    <row r="148" spans="1:3">
      <c r="A148" s="972">
        <v>2003.07</v>
      </c>
      <c r="B148" s="883">
        <v>134252.39016294101</v>
      </c>
      <c r="C148" s="1346"/>
    </row>
    <row r="149" spans="1:3">
      <c r="A149" s="972">
        <v>2003.08</v>
      </c>
      <c r="B149" s="883">
        <v>158989.43377400088</v>
      </c>
      <c r="C149" s="1346"/>
    </row>
    <row r="150" spans="1:3">
      <c r="A150" s="972">
        <v>2003.09</v>
      </c>
      <c r="B150" s="883">
        <v>141252.80998308089</v>
      </c>
      <c r="C150" s="1346"/>
    </row>
    <row r="151" spans="1:3">
      <c r="A151" s="972">
        <v>2003.1</v>
      </c>
      <c r="B151" s="883">
        <v>146433.13265858626</v>
      </c>
      <c r="C151" s="1346"/>
    </row>
    <row r="152" spans="1:3">
      <c r="A152" s="972">
        <v>2003.11</v>
      </c>
      <c r="B152" s="883">
        <v>155849.51147899791</v>
      </c>
      <c r="C152" s="1346"/>
    </row>
    <row r="153" spans="1:3">
      <c r="A153" s="972">
        <v>2003.12</v>
      </c>
      <c r="B153" s="883">
        <v>183563.2477261383</v>
      </c>
      <c r="C153" s="1346"/>
    </row>
    <row r="154" spans="1:3">
      <c r="A154" s="972">
        <v>2004.01</v>
      </c>
      <c r="B154" s="883">
        <v>161823.64065823634</v>
      </c>
      <c r="C154" s="1346"/>
    </row>
    <row r="155" spans="1:3">
      <c r="A155" s="972">
        <v>2004.02</v>
      </c>
      <c r="B155" s="883">
        <v>147655.81179882714</v>
      </c>
      <c r="C155" s="1346"/>
    </row>
    <row r="156" spans="1:3">
      <c r="A156" s="972">
        <v>2004.03</v>
      </c>
      <c r="B156" s="883">
        <v>157691.66429141138</v>
      </c>
      <c r="C156" s="1346"/>
    </row>
    <row r="157" spans="1:3">
      <c r="A157" s="972">
        <v>2004.04</v>
      </c>
      <c r="B157" s="883">
        <v>155487.4203188621</v>
      </c>
      <c r="C157" s="1346"/>
    </row>
    <row r="158" spans="1:3">
      <c r="A158" s="972">
        <v>2004.05</v>
      </c>
      <c r="B158" s="883">
        <v>351221.88902006007</v>
      </c>
      <c r="C158" s="1346"/>
    </row>
    <row r="159" spans="1:3">
      <c r="A159" s="972">
        <v>2004.06</v>
      </c>
      <c r="B159" s="883">
        <v>263764.25786617707</v>
      </c>
      <c r="C159" s="1346"/>
    </row>
    <row r="160" spans="1:3">
      <c r="A160" s="972">
        <v>2004.07</v>
      </c>
      <c r="B160" s="883">
        <v>206685.3</v>
      </c>
      <c r="C160" s="1346"/>
    </row>
    <row r="161" spans="1:3">
      <c r="A161" s="972">
        <v>2004.08</v>
      </c>
      <c r="B161" s="883">
        <v>212495.5</v>
      </c>
      <c r="C161" s="1346"/>
    </row>
    <row r="162" spans="1:3">
      <c r="A162" s="972">
        <v>2004.09</v>
      </c>
      <c r="B162" s="883">
        <v>198872.8</v>
      </c>
      <c r="C162" s="1346"/>
    </row>
    <row r="163" spans="1:3">
      <c r="A163" s="972">
        <v>2004.1</v>
      </c>
      <c r="B163" s="883">
        <v>203398.9</v>
      </c>
      <c r="C163" s="1346"/>
    </row>
    <row r="164" spans="1:3">
      <c r="A164" s="972">
        <v>2004.11</v>
      </c>
      <c r="B164" s="883">
        <v>201934.9</v>
      </c>
      <c r="C164" s="1346"/>
    </row>
    <row r="165" spans="1:3">
      <c r="A165" s="972">
        <v>2004.12</v>
      </c>
      <c r="B165" s="883">
        <v>184246</v>
      </c>
      <c r="C165" s="1346"/>
    </row>
    <row r="166" spans="1:3">
      <c r="A166" s="972">
        <v>2005.01</v>
      </c>
      <c r="B166" s="883">
        <v>207044.4</v>
      </c>
      <c r="C166" s="1346"/>
    </row>
    <row r="167" spans="1:3">
      <c r="A167" s="972">
        <v>2005.02</v>
      </c>
      <c r="B167" s="883">
        <v>199668.2</v>
      </c>
      <c r="C167" s="1346"/>
    </row>
    <row r="168" spans="1:3">
      <c r="A168" s="972">
        <v>2005.03</v>
      </c>
      <c r="B168" s="883">
        <v>203409.1</v>
      </c>
      <c r="C168" s="1346"/>
    </row>
    <row r="169" spans="1:3">
      <c r="A169" s="972">
        <v>2005.04</v>
      </c>
      <c r="B169" s="883">
        <v>223507.5</v>
      </c>
      <c r="C169" s="1346"/>
    </row>
    <row r="170" spans="1:3">
      <c r="A170" s="972">
        <v>2005.05</v>
      </c>
      <c r="B170" s="883">
        <v>330750.59999999998</v>
      </c>
      <c r="C170" s="1346"/>
    </row>
    <row r="171" spans="1:3">
      <c r="A171" s="972">
        <v>2005.06</v>
      </c>
      <c r="B171" s="883">
        <v>301734.90000000002</v>
      </c>
      <c r="C171" s="1346"/>
    </row>
    <row r="172" spans="1:3">
      <c r="A172" s="972">
        <v>2005.07</v>
      </c>
      <c r="B172" s="883">
        <v>238282.5</v>
      </c>
      <c r="C172" s="1346"/>
    </row>
    <row r="173" spans="1:3">
      <c r="A173" s="972">
        <v>2005.08</v>
      </c>
      <c r="B173" s="883">
        <v>255399.9</v>
      </c>
      <c r="C173" s="1346"/>
    </row>
    <row r="174" spans="1:3">
      <c r="A174" s="972">
        <v>2005.09</v>
      </c>
      <c r="B174" s="883">
        <v>255916.3</v>
      </c>
      <c r="C174" s="1346"/>
    </row>
    <row r="175" spans="1:3">
      <c r="A175" s="972">
        <v>2005.1</v>
      </c>
      <c r="B175" s="883">
        <v>249881.5</v>
      </c>
      <c r="C175" s="1346"/>
    </row>
    <row r="176" spans="1:3">
      <c r="A176" s="972">
        <v>2005.11</v>
      </c>
      <c r="B176" s="883">
        <v>255664.9</v>
      </c>
      <c r="C176" s="1346"/>
    </row>
    <row r="177" spans="1:3">
      <c r="A177" s="972">
        <v>2005.12</v>
      </c>
      <c r="B177" s="883">
        <v>288713.59999999998</v>
      </c>
      <c r="C177" s="1346"/>
    </row>
    <row r="178" spans="1:3">
      <c r="A178" s="972">
        <v>2006.01</v>
      </c>
      <c r="B178" s="883">
        <v>259662.5</v>
      </c>
      <c r="C178" s="1346"/>
    </row>
    <row r="179" spans="1:3">
      <c r="A179" s="972">
        <v>2006.02</v>
      </c>
      <c r="B179" s="883">
        <v>254188.9</v>
      </c>
      <c r="C179" s="1346"/>
    </row>
    <row r="180" spans="1:3">
      <c r="A180" s="972">
        <v>2006.03</v>
      </c>
      <c r="B180" s="883">
        <v>245617.1</v>
      </c>
      <c r="C180" s="1346"/>
    </row>
    <row r="181" spans="1:3">
      <c r="A181" s="972">
        <v>2006.04</v>
      </c>
      <c r="B181" s="883">
        <v>221864.2</v>
      </c>
      <c r="C181" s="1346"/>
    </row>
    <row r="182" spans="1:3">
      <c r="A182" s="972">
        <v>2006.05</v>
      </c>
      <c r="B182" s="883">
        <v>384467.5</v>
      </c>
      <c r="C182" s="1346"/>
    </row>
    <row r="183" spans="1:3">
      <c r="A183" s="972">
        <v>2006.06</v>
      </c>
      <c r="B183" s="883">
        <v>390039.9</v>
      </c>
      <c r="C183" s="1346"/>
    </row>
    <row r="184" spans="1:3">
      <c r="A184" s="972">
        <v>2006.07</v>
      </c>
      <c r="B184" s="883">
        <v>300226</v>
      </c>
      <c r="C184" s="1346"/>
    </row>
    <row r="185" spans="1:3">
      <c r="A185" s="972">
        <v>2006.08</v>
      </c>
      <c r="B185" s="883">
        <v>328050.94599999994</v>
      </c>
      <c r="C185" s="1346"/>
    </row>
    <row r="186" spans="1:3">
      <c r="A186" s="972">
        <v>2006.09</v>
      </c>
      <c r="B186" s="883">
        <v>308775.59760000004</v>
      </c>
      <c r="C186" s="1346"/>
    </row>
    <row r="187" spans="1:3">
      <c r="A187" s="972">
        <v>2006.1</v>
      </c>
      <c r="B187" s="883">
        <v>327828.79760000005</v>
      </c>
      <c r="C187" s="1346"/>
    </row>
    <row r="188" spans="1:3">
      <c r="A188" s="972">
        <v>2006.11</v>
      </c>
      <c r="B188" s="883">
        <v>335191.41880000004</v>
      </c>
      <c r="C188" s="1346"/>
    </row>
    <row r="189" spans="1:3">
      <c r="A189" s="972">
        <v>2006.12</v>
      </c>
      <c r="B189" s="883">
        <v>346989.0612</v>
      </c>
      <c r="C189" s="1346"/>
    </row>
    <row r="190" spans="1:3">
      <c r="A190" s="972">
        <v>2007.01</v>
      </c>
      <c r="B190" s="883">
        <v>347489.8</v>
      </c>
      <c r="C190" s="1346"/>
    </row>
    <row r="191" spans="1:3">
      <c r="A191" s="972">
        <v>2007.02</v>
      </c>
      <c r="B191" s="883">
        <v>314805.90000000002</v>
      </c>
      <c r="C191" s="1346"/>
    </row>
    <row r="192" spans="1:3">
      <c r="A192" s="972">
        <v>2007.03</v>
      </c>
      <c r="B192" s="883">
        <v>311504.09999999998</v>
      </c>
      <c r="C192" s="1346"/>
    </row>
    <row r="193" spans="1:3">
      <c r="A193" s="972">
        <v>2007.04</v>
      </c>
      <c r="B193" s="883">
        <v>293278.2</v>
      </c>
      <c r="C193" s="1346"/>
    </row>
    <row r="194" spans="1:3">
      <c r="A194" s="972">
        <v>2007.05</v>
      </c>
      <c r="B194" s="883">
        <v>505586</v>
      </c>
      <c r="C194" s="1346"/>
    </row>
    <row r="195" spans="1:3">
      <c r="A195" s="972">
        <v>2007.06</v>
      </c>
      <c r="B195" s="883">
        <v>492630.33015000005</v>
      </c>
      <c r="C195" s="1346"/>
    </row>
    <row r="196" spans="1:3">
      <c r="A196" s="972">
        <v>2007.07</v>
      </c>
      <c r="B196" s="883">
        <v>411636.76846999989</v>
      </c>
      <c r="C196" s="1346"/>
    </row>
    <row r="197" spans="1:3">
      <c r="A197" s="972">
        <v>2007.08</v>
      </c>
      <c r="B197" s="883">
        <v>451807.96075999999</v>
      </c>
      <c r="C197" s="1346"/>
    </row>
    <row r="198" spans="1:3">
      <c r="A198" s="972">
        <v>2007.09</v>
      </c>
      <c r="B198" s="883">
        <v>405385.17617999989</v>
      </c>
      <c r="C198" s="1346"/>
    </row>
    <row r="199" spans="1:3">
      <c r="A199" s="972">
        <v>2007.1</v>
      </c>
      <c r="B199" s="883">
        <v>420647.96076000005</v>
      </c>
      <c r="C199" s="1346"/>
    </row>
    <row r="200" spans="1:3">
      <c r="A200" s="972">
        <v>2007.11</v>
      </c>
      <c r="B200" s="883">
        <v>428495.33808999998</v>
      </c>
      <c r="C200" s="1346"/>
    </row>
    <row r="201" spans="1:3">
      <c r="A201" s="972">
        <v>2007.12</v>
      </c>
      <c r="B201" s="883">
        <v>473005.14579999994</v>
      </c>
      <c r="C201" s="1346"/>
    </row>
    <row r="202" spans="1:3">
      <c r="A202" s="972">
        <f t="shared" ref="A202:A265" si="0">A190+1</f>
        <v>2008.01</v>
      </c>
      <c r="B202" s="883">
        <v>461696.3</v>
      </c>
      <c r="C202" s="1346"/>
    </row>
    <row r="203" spans="1:3">
      <c r="A203" s="972">
        <f t="shared" si="0"/>
        <v>2008.02</v>
      </c>
      <c r="B203" s="883">
        <v>432737.20655999996</v>
      </c>
      <c r="C203" s="1346"/>
    </row>
    <row r="204" spans="1:3">
      <c r="A204" s="972">
        <f t="shared" si="0"/>
        <v>2008.03</v>
      </c>
      <c r="B204" s="883">
        <v>371188.07440000004</v>
      </c>
      <c r="C204" s="1346"/>
    </row>
    <row r="205" spans="1:3">
      <c r="A205" s="972">
        <f t="shared" si="0"/>
        <v>2008.04</v>
      </c>
      <c r="B205" s="883">
        <v>438694.00655999995</v>
      </c>
      <c r="C205" s="1346"/>
    </row>
    <row r="206" spans="1:3">
      <c r="A206" s="972">
        <f t="shared" si="0"/>
        <v>2008.05</v>
      </c>
      <c r="B206" s="883">
        <v>610695.40655999992</v>
      </c>
      <c r="C206" s="1346"/>
    </row>
    <row r="207" spans="1:3">
      <c r="A207" s="972">
        <f t="shared" si="0"/>
        <v>2008.06</v>
      </c>
      <c r="B207" s="883">
        <v>612978.58720000007</v>
      </c>
      <c r="C207" s="1346"/>
    </row>
    <row r="208" spans="1:3">
      <c r="A208" s="972">
        <f t="shared" si="0"/>
        <v>2008.07</v>
      </c>
      <c r="B208" s="883">
        <v>541041.22592</v>
      </c>
      <c r="C208" s="1346"/>
    </row>
    <row r="209" spans="1:3">
      <c r="A209" s="972">
        <f t="shared" si="0"/>
        <v>2008.08</v>
      </c>
      <c r="B209" s="883">
        <v>546588.18720000004</v>
      </c>
      <c r="C209" s="1346"/>
    </row>
    <row r="210" spans="1:3">
      <c r="A210" s="972">
        <f t="shared" si="0"/>
        <v>2008.09</v>
      </c>
      <c r="B210" s="883">
        <v>514731.52592000051</v>
      </c>
      <c r="C210" s="1346"/>
    </row>
    <row r="211" spans="1:3">
      <c r="A211" s="972">
        <f t="shared" si="0"/>
        <v>2008.1</v>
      </c>
      <c r="B211" s="883">
        <v>548637.7452800005</v>
      </c>
      <c r="C211" s="1346"/>
    </row>
    <row r="212" spans="1:3">
      <c r="A212" s="972">
        <f t="shared" si="0"/>
        <v>2008.11</v>
      </c>
      <c r="B212" s="883">
        <v>490560.06784000027</v>
      </c>
      <c r="C212" s="1346"/>
    </row>
    <row r="213" spans="1:3">
      <c r="A213" s="972">
        <f t="shared" si="0"/>
        <v>2008.12</v>
      </c>
      <c r="B213" s="883">
        <v>545773.90656000015</v>
      </c>
      <c r="C213" s="1346"/>
    </row>
    <row r="214" spans="1:3">
      <c r="A214" s="972">
        <f t="shared" si="0"/>
        <v>2009.01</v>
      </c>
      <c r="B214" s="883">
        <v>469472.27195999993</v>
      </c>
      <c r="C214" s="1346"/>
    </row>
    <row r="215" spans="1:3">
      <c r="A215" s="972">
        <f t="shared" si="0"/>
        <v>2009.02</v>
      </c>
      <c r="B215" s="883">
        <v>486428.0352000001</v>
      </c>
      <c r="C215" s="1346"/>
    </row>
    <row r="216" spans="1:3">
      <c r="A216" s="972">
        <f t="shared" si="0"/>
        <v>2009.03</v>
      </c>
      <c r="B216" s="883">
        <v>453937.77196000016</v>
      </c>
      <c r="C216" s="1346"/>
    </row>
    <row r="217" spans="1:3">
      <c r="A217" s="972">
        <f t="shared" si="0"/>
        <v>2009.04</v>
      </c>
      <c r="B217" s="883">
        <v>459580.69843999995</v>
      </c>
      <c r="C217" s="1346"/>
    </row>
    <row r="218" spans="1:3">
      <c r="A218" s="972">
        <f t="shared" si="0"/>
        <v>2009.05</v>
      </c>
      <c r="B218" s="883">
        <v>667753.59843999986</v>
      </c>
      <c r="C218" s="1346"/>
    </row>
    <row r="219" spans="1:3">
      <c r="A219" s="972">
        <f t="shared" si="0"/>
        <v>2009.06</v>
      </c>
      <c r="B219" s="883">
        <v>644947.27195999981</v>
      </c>
      <c r="C219" s="1346"/>
    </row>
    <row r="220" spans="1:3">
      <c r="A220" s="972">
        <f t="shared" si="0"/>
        <v>2009.07</v>
      </c>
      <c r="B220" s="883">
        <v>553348.30871999986</v>
      </c>
      <c r="C220" s="1346"/>
    </row>
    <row r="221" spans="1:3">
      <c r="A221" s="972">
        <f t="shared" si="0"/>
        <v>2009.08</v>
      </c>
      <c r="B221" s="883">
        <v>568196.53519999969</v>
      </c>
      <c r="C221" s="1346"/>
    </row>
    <row r="222" spans="1:3">
      <c r="A222" s="972">
        <f t="shared" si="0"/>
        <v>2009.09</v>
      </c>
      <c r="B222" s="883">
        <v>555253.00871999969</v>
      </c>
      <c r="C222" s="1346"/>
    </row>
    <row r="223" spans="1:3">
      <c r="A223" s="972">
        <f t="shared" si="0"/>
        <v>2009.1</v>
      </c>
      <c r="B223" s="883">
        <v>607478.67196000007</v>
      </c>
      <c r="C223" s="1346"/>
    </row>
    <row r="224" spans="1:3">
      <c r="A224" s="972">
        <f t="shared" si="0"/>
        <v>2009.11</v>
      </c>
      <c r="B224" s="883">
        <v>563933.63520000014</v>
      </c>
      <c r="C224" s="1346"/>
    </row>
    <row r="225" spans="1:3">
      <c r="A225" s="972">
        <f t="shared" si="0"/>
        <v>2009.12</v>
      </c>
      <c r="B225" s="883">
        <v>632160.17195999972</v>
      </c>
      <c r="C225" s="1346"/>
    </row>
    <row r="226" spans="1:3">
      <c r="A226" s="972">
        <f t="shared" si="0"/>
        <v>2010.01</v>
      </c>
      <c r="B226" s="883">
        <v>569481.27040000004</v>
      </c>
      <c r="C226" s="1346"/>
    </row>
    <row r="227" spans="1:3">
      <c r="A227" s="972">
        <f t="shared" si="0"/>
        <v>2010.02</v>
      </c>
      <c r="B227" s="883">
        <v>591194.37039999978</v>
      </c>
      <c r="C227" s="1346"/>
    </row>
    <row r="228" spans="1:3">
      <c r="A228" s="972">
        <f t="shared" si="0"/>
        <v>2010.03</v>
      </c>
      <c r="B228" s="883">
        <v>593962.4974400003</v>
      </c>
      <c r="C228" s="1346"/>
    </row>
    <row r="229" spans="1:3">
      <c r="A229" s="972">
        <f t="shared" si="0"/>
        <v>2010.04</v>
      </c>
      <c r="B229" s="883">
        <v>612672.37040000001</v>
      </c>
      <c r="C229" s="1346"/>
    </row>
    <row r="230" spans="1:3">
      <c r="A230" s="972">
        <f t="shared" si="0"/>
        <v>2010.05</v>
      </c>
      <c r="B230" s="883">
        <v>983156.97039999987</v>
      </c>
      <c r="C230" s="1346"/>
    </row>
    <row r="231" spans="1:3">
      <c r="A231" s="972">
        <f t="shared" si="0"/>
        <v>2010.06</v>
      </c>
      <c r="B231" s="883">
        <v>908405.23391999968</v>
      </c>
      <c r="C231" s="1346"/>
    </row>
    <row r="232" spans="1:3">
      <c r="A232" s="972">
        <f t="shared" si="0"/>
        <v>2010.07</v>
      </c>
      <c r="B232" s="883">
        <v>752282.1339199997</v>
      </c>
      <c r="C232" s="1346"/>
    </row>
    <row r="233" spans="1:3">
      <c r="A233" s="972">
        <f t="shared" si="0"/>
        <v>2010.08</v>
      </c>
      <c r="B233" s="883">
        <v>774330</v>
      </c>
      <c r="C233" s="1346"/>
    </row>
    <row r="234" spans="1:3">
      <c r="A234" s="972">
        <f t="shared" si="0"/>
        <v>2010.09</v>
      </c>
      <c r="B234" s="883">
        <v>756957.19743999955</v>
      </c>
      <c r="C234" s="1346"/>
    </row>
    <row r="235" spans="1:3">
      <c r="A235" s="972">
        <f t="shared" si="0"/>
        <v>2010.1</v>
      </c>
      <c r="B235" s="883">
        <v>746998.96221000003</v>
      </c>
      <c r="C235" s="1346"/>
    </row>
    <row r="236" spans="1:3">
      <c r="A236" s="972">
        <f t="shared" si="0"/>
        <v>2010.11</v>
      </c>
      <c r="B236" s="883">
        <v>788357.94799000002</v>
      </c>
      <c r="C236" s="1346"/>
    </row>
    <row r="237" spans="1:3">
      <c r="A237" s="972">
        <f t="shared" si="0"/>
        <v>2010.12</v>
      </c>
      <c r="B237" s="883">
        <v>888369.4974399996</v>
      </c>
      <c r="C237" s="1346"/>
    </row>
    <row r="238" spans="1:3">
      <c r="A238" s="972">
        <f t="shared" si="0"/>
        <v>2011.01</v>
      </c>
      <c r="B238" s="883">
        <v>811740.2</v>
      </c>
      <c r="C238" s="1346"/>
    </row>
    <row r="239" spans="1:3">
      <c r="A239" s="972">
        <f t="shared" si="0"/>
        <v>2011.02</v>
      </c>
      <c r="B239" s="883">
        <v>788772.8</v>
      </c>
      <c r="C239" s="1346"/>
    </row>
    <row r="240" spans="1:3">
      <c r="A240" s="972">
        <f t="shared" si="0"/>
        <v>2011.03</v>
      </c>
      <c r="B240" s="883">
        <v>827722.3</v>
      </c>
      <c r="C240" s="1346"/>
    </row>
    <row r="241" spans="1:3">
      <c r="A241" s="972">
        <f t="shared" si="0"/>
        <v>2011.04</v>
      </c>
      <c r="B241" s="883">
        <v>836537.1</v>
      </c>
      <c r="C241" s="1346"/>
    </row>
    <row r="242" spans="1:3">
      <c r="A242" s="972">
        <f t="shared" si="0"/>
        <v>2011.05</v>
      </c>
      <c r="B242" s="883">
        <v>1274884.6000000001</v>
      </c>
      <c r="C242" s="1346"/>
    </row>
    <row r="243" spans="1:3">
      <c r="A243" s="972">
        <f t="shared" si="0"/>
        <v>2011.06</v>
      </c>
      <c r="B243" s="883">
        <v>1143529.5</v>
      </c>
      <c r="C243" s="1346"/>
    </row>
    <row r="244" spans="1:3">
      <c r="A244" s="972">
        <f t="shared" si="0"/>
        <v>2011.07</v>
      </c>
      <c r="B244" s="883">
        <v>999246.6</v>
      </c>
      <c r="C244" s="1346"/>
    </row>
    <row r="245" spans="1:3">
      <c r="A245" s="972">
        <f t="shared" si="0"/>
        <v>2011.08</v>
      </c>
      <c r="B245" s="883">
        <v>1021369.1</v>
      </c>
      <c r="C245" s="1346"/>
    </row>
    <row r="246" spans="1:3">
      <c r="A246" s="972">
        <f t="shared" si="0"/>
        <v>2011.09</v>
      </c>
      <c r="B246" s="883">
        <v>1025307.7</v>
      </c>
      <c r="C246" s="1346"/>
    </row>
    <row r="247" spans="1:3">
      <c r="A247" s="972">
        <f t="shared" si="0"/>
        <v>2011.1</v>
      </c>
      <c r="B247" s="883">
        <v>1008851.8</v>
      </c>
      <c r="C247" s="1346"/>
    </row>
    <row r="248" spans="1:3">
      <c r="A248" s="972">
        <f t="shared" si="0"/>
        <v>2011.11</v>
      </c>
      <c r="B248" s="883">
        <v>1092864.1000000001</v>
      </c>
      <c r="C248" s="1346"/>
    </row>
    <row r="249" spans="1:3">
      <c r="A249" s="972">
        <f t="shared" si="0"/>
        <v>2011.12</v>
      </c>
      <c r="B249" s="883">
        <v>1074542.7</v>
      </c>
      <c r="C249" s="1346"/>
    </row>
    <row r="250" spans="1:3">
      <c r="A250" s="972">
        <f t="shared" si="0"/>
        <v>2012.01</v>
      </c>
      <c r="B250" s="883">
        <v>1077484.9651600001</v>
      </c>
      <c r="C250" s="1346"/>
    </row>
    <row r="251" spans="1:3">
      <c r="A251" s="972">
        <f t="shared" si="0"/>
        <v>2012.02</v>
      </c>
      <c r="B251" s="883">
        <v>1032580.1121600001</v>
      </c>
      <c r="C251" s="1346"/>
    </row>
    <row r="252" spans="1:3">
      <c r="A252" s="972">
        <f t="shared" si="0"/>
        <v>2012.03</v>
      </c>
      <c r="B252" s="883">
        <v>1007273.9333600001</v>
      </c>
      <c r="C252" s="1346"/>
    </row>
    <row r="253" spans="1:3">
      <c r="A253" s="972">
        <f t="shared" si="0"/>
        <v>2012.04</v>
      </c>
      <c r="B253" s="883">
        <v>970962.54396000016</v>
      </c>
      <c r="C253" s="1346"/>
    </row>
    <row r="254" spans="1:3">
      <c r="A254" s="972">
        <f t="shared" si="0"/>
        <v>2012.05</v>
      </c>
      <c r="B254" s="883">
        <v>1493780.3954799999</v>
      </c>
      <c r="C254" s="1346"/>
    </row>
    <row r="255" spans="1:3">
      <c r="A255" s="972">
        <f t="shared" si="0"/>
        <v>2012.06</v>
      </c>
      <c r="B255" s="883">
        <v>1432963.0575999999</v>
      </c>
      <c r="C255" s="1346"/>
    </row>
    <row r="256" spans="1:3">
      <c r="A256" s="972">
        <f t="shared" si="0"/>
        <v>2012.07</v>
      </c>
      <c r="B256" s="883">
        <v>1212682.2954799999</v>
      </c>
      <c r="C256" s="1346"/>
    </row>
    <row r="257" spans="1:3">
      <c r="A257" s="972">
        <f t="shared" si="0"/>
        <v>2012.08</v>
      </c>
      <c r="B257" s="883">
        <v>1344183.5333599998</v>
      </c>
      <c r="C257" s="1346"/>
    </row>
    <row r="258" spans="1:3">
      <c r="A258" s="972">
        <f t="shared" si="0"/>
        <v>2012.09</v>
      </c>
      <c r="B258" s="883">
        <v>1250232.7575999999</v>
      </c>
      <c r="C258" s="1346"/>
    </row>
    <row r="259" spans="1:3">
      <c r="A259" s="972">
        <f t="shared" si="0"/>
        <v>2012.1</v>
      </c>
      <c r="B259" s="883">
        <v>1409000.23336</v>
      </c>
      <c r="C259" s="1346"/>
    </row>
    <row r="260" spans="1:3">
      <c r="A260" s="972">
        <f t="shared" si="0"/>
        <v>2012.11</v>
      </c>
      <c r="B260" s="883">
        <v>1410129.4576000001</v>
      </c>
      <c r="C260" s="166"/>
    </row>
    <row r="261" spans="1:3">
      <c r="A261" s="972">
        <f t="shared" si="0"/>
        <v>2012.12</v>
      </c>
      <c r="B261" s="883">
        <v>1458296.7197200006</v>
      </c>
      <c r="C261" s="166"/>
    </row>
    <row r="262" spans="1:3">
      <c r="A262" s="972">
        <f t="shared" si="0"/>
        <v>2013.01</v>
      </c>
      <c r="B262" s="883">
        <v>1358156.0668500005</v>
      </c>
      <c r="C262" s="166"/>
    </row>
    <row r="263" spans="1:3">
      <c r="A263" s="972">
        <f t="shared" si="0"/>
        <v>2013.02</v>
      </c>
      <c r="B263" s="883">
        <v>1435479.1</v>
      </c>
      <c r="C263" s="166"/>
    </row>
    <row r="264" spans="1:3">
      <c r="A264" s="972">
        <f t="shared" si="0"/>
        <v>2013.03</v>
      </c>
      <c r="B264" s="883">
        <v>1333270.3970000001</v>
      </c>
      <c r="C264" s="166"/>
    </row>
    <row r="265" spans="1:3">
      <c r="A265" s="972">
        <f t="shared" si="0"/>
        <v>2013.04</v>
      </c>
      <c r="B265" s="883">
        <v>1373982.4970000002</v>
      </c>
      <c r="C265" s="166"/>
    </row>
    <row r="266" spans="1:3">
      <c r="A266" s="972">
        <f t="shared" ref="A266:A329" si="1">A254+1</f>
        <v>2013.05</v>
      </c>
      <c r="B266" s="883">
        <v>1985578.3367000001</v>
      </c>
      <c r="C266" s="166"/>
    </row>
    <row r="267" spans="1:3">
      <c r="A267" s="972">
        <f t="shared" si="1"/>
        <v>2013.06</v>
      </c>
      <c r="B267" s="883">
        <v>1897516.2</v>
      </c>
      <c r="C267" s="166"/>
    </row>
    <row r="268" spans="1:3">
      <c r="A268" s="972">
        <f t="shared" si="1"/>
        <v>2013.07</v>
      </c>
      <c r="B268" s="883">
        <v>1696179.0367000008</v>
      </c>
      <c r="C268" s="166"/>
    </row>
    <row r="269" spans="1:3">
      <c r="A269" s="972">
        <f t="shared" si="1"/>
        <v>2013.08</v>
      </c>
      <c r="B269" s="883">
        <v>1735649.76685</v>
      </c>
      <c r="C269" s="166"/>
    </row>
    <row r="270" spans="1:3">
      <c r="A270" s="972">
        <f t="shared" si="1"/>
        <v>2013.09</v>
      </c>
      <c r="B270" s="883">
        <v>1617002.8</v>
      </c>
      <c r="C270" s="166"/>
    </row>
    <row r="271" spans="1:3">
      <c r="A271" s="972">
        <f t="shared" si="1"/>
        <v>2013.1</v>
      </c>
      <c r="B271" s="883">
        <v>1749049.7366999984</v>
      </c>
      <c r="C271" s="166"/>
    </row>
    <row r="272" spans="1:3">
      <c r="A272" s="972">
        <f t="shared" si="1"/>
        <v>2013.11</v>
      </c>
      <c r="B272" s="883">
        <v>1732827.32715</v>
      </c>
      <c r="C272" s="166"/>
    </row>
    <row r="273" spans="1:2">
      <c r="A273" s="972">
        <f t="shared" si="1"/>
        <v>2013.12</v>
      </c>
      <c r="B273" s="883">
        <v>1795421.5668499987</v>
      </c>
    </row>
    <row r="274" spans="1:2">
      <c r="A274" s="972">
        <f t="shared" si="1"/>
        <v>2014.01</v>
      </c>
      <c r="B274" s="883">
        <v>2005961.9120399999</v>
      </c>
    </row>
    <row r="275" spans="1:2">
      <c r="A275" s="972">
        <f t="shared" si="1"/>
        <v>2014.02</v>
      </c>
      <c r="B275" s="883">
        <v>1947098.7563999996</v>
      </c>
    </row>
    <row r="276" spans="1:2">
      <c r="A276" s="972">
        <f t="shared" si="1"/>
        <v>2014.03</v>
      </c>
      <c r="B276" s="883">
        <v>1788614.5007600004</v>
      </c>
    </row>
    <row r="277" spans="1:2">
      <c r="A277" s="972">
        <f t="shared" si="1"/>
        <v>2014.04</v>
      </c>
      <c r="B277" s="883">
        <v>1894451.8785800003</v>
      </c>
    </row>
    <row r="278" spans="1:2">
      <c r="A278" s="972">
        <f t="shared" si="1"/>
        <v>2014.05</v>
      </c>
      <c r="B278" s="883">
        <v>2646369.3564000004</v>
      </c>
    </row>
    <row r="279" spans="1:2">
      <c r="A279" s="972">
        <f t="shared" si="1"/>
        <v>2014.06</v>
      </c>
      <c r="B279" s="883">
        <v>2494326.8564000009</v>
      </c>
    </row>
    <row r="280" spans="1:2">
      <c r="A280" s="972">
        <f t="shared" si="1"/>
        <v>2014.07</v>
      </c>
      <c r="B280" s="883">
        <v>2240090.7120400011</v>
      </c>
    </row>
    <row r="281" spans="1:2">
      <c r="A281" s="972">
        <f t="shared" si="1"/>
        <v>2014.08</v>
      </c>
      <c r="B281" s="883">
        <v>2296988.6563999993</v>
      </c>
    </row>
    <row r="282" spans="1:2">
      <c r="A282" s="972">
        <f t="shared" si="1"/>
        <v>2014.09</v>
      </c>
      <c r="B282" s="883">
        <v>2318378.5120399985</v>
      </c>
    </row>
    <row r="283" spans="1:2">
      <c r="A283" s="972">
        <f t="shared" si="1"/>
        <v>2014.1</v>
      </c>
      <c r="B283" s="883">
        <v>2457094.4120399985</v>
      </c>
    </row>
    <row r="284" spans="1:2">
      <c r="A284" s="972">
        <f t="shared" si="1"/>
        <v>2014.11</v>
      </c>
      <c r="B284" s="883">
        <v>2413032.9007599996</v>
      </c>
    </row>
    <row r="285" spans="1:2">
      <c r="A285" s="972">
        <f t="shared" si="1"/>
        <v>2014.12</v>
      </c>
      <c r="B285" s="883">
        <v>2594125.1</v>
      </c>
    </row>
    <row r="286" spans="1:2">
      <c r="A286" s="972">
        <f t="shared" si="1"/>
        <v>2015.01</v>
      </c>
      <c r="B286" s="883">
        <v>2594383.6</v>
      </c>
    </row>
    <row r="287" spans="1:2">
      <c r="A287" s="972">
        <f t="shared" si="1"/>
        <v>2015.02</v>
      </c>
      <c r="B287" s="883">
        <v>2593487.7000000002</v>
      </c>
    </row>
    <row r="288" spans="1:2">
      <c r="A288" s="972">
        <f t="shared" si="1"/>
        <v>2015.03</v>
      </c>
      <c r="B288" s="883">
        <v>2324248.7999999998</v>
      </c>
    </row>
    <row r="289" spans="1:2">
      <c r="A289" s="972">
        <f t="shared" si="1"/>
        <v>2015.04</v>
      </c>
      <c r="B289" s="883">
        <v>2620793.5</v>
      </c>
    </row>
    <row r="290" spans="1:2">
      <c r="A290" s="972">
        <f t="shared" si="1"/>
        <v>2015.05</v>
      </c>
      <c r="B290" s="883">
        <v>3569954</v>
      </c>
    </row>
    <row r="291" spans="1:2">
      <c r="A291" s="972">
        <f t="shared" si="1"/>
        <v>2015.06</v>
      </c>
      <c r="B291" s="883">
        <v>3529503.6</v>
      </c>
    </row>
    <row r="292" spans="1:2">
      <c r="A292" s="972">
        <f t="shared" si="1"/>
        <v>2015.07</v>
      </c>
      <c r="B292" s="883">
        <v>3095414.3</v>
      </c>
    </row>
    <row r="293" spans="1:2">
      <c r="A293" s="972">
        <f t="shared" si="1"/>
        <v>2015.08</v>
      </c>
      <c r="B293" s="883">
        <v>3194866.9</v>
      </c>
    </row>
    <row r="294" spans="1:2">
      <c r="A294" s="972">
        <f t="shared" si="1"/>
        <v>2015.09</v>
      </c>
      <c r="B294" s="883">
        <v>3153547.8</v>
      </c>
    </row>
    <row r="295" spans="1:2">
      <c r="A295" s="972">
        <f t="shared" si="1"/>
        <v>2015.1</v>
      </c>
      <c r="B295" s="883">
        <v>3293349.9</v>
      </c>
    </row>
    <row r="296" spans="1:2">
      <c r="A296" s="972">
        <f t="shared" si="1"/>
        <v>2015.11</v>
      </c>
      <c r="B296" s="883">
        <v>3145379.2</v>
      </c>
    </row>
    <row r="297" spans="1:2">
      <c r="A297" s="972">
        <f t="shared" si="1"/>
        <v>2015.12</v>
      </c>
      <c r="B297" s="883">
        <v>4341541.2</v>
      </c>
    </row>
    <row r="298" spans="1:2">
      <c r="A298" s="972">
        <f t="shared" si="1"/>
        <v>2016.01</v>
      </c>
      <c r="B298" s="883">
        <v>4427593.7</v>
      </c>
    </row>
    <row r="299" spans="1:2">
      <c r="A299" s="972">
        <f t="shared" si="1"/>
        <v>2016.02</v>
      </c>
      <c r="B299" s="883">
        <v>3840889.9</v>
      </c>
    </row>
    <row r="300" spans="1:2">
      <c r="A300" s="972">
        <f t="shared" si="1"/>
        <v>2016.03</v>
      </c>
      <c r="B300" s="883">
        <v>3641285.4999999995</v>
      </c>
    </row>
    <row r="301" spans="1:2">
      <c r="A301" s="972">
        <f t="shared" si="1"/>
        <v>2016.04</v>
      </c>
      <c r="B301" s="883">
        <v>3724859</v>
      </c>
    </row>
    <row r="302" spans="1:2">
      <c r="A302" s="972">
        <f t="shared" si="1"/>
        <v>2016.05</v>
      </c>
      <c r="B302" s="883">
        <v>4882320.2</v>
      </c>
    </row>
    <row r="303" spans="1:2">
      <c r="A303" s="972">
        <f t="shared" si="1"/>
        <v>2016.06</v>
      </c>
      <c r="B303" s="883">
        <v>5131944.5999999996</v>
      </c>
    </row>
    <row r="304" spans="1:2">
      <c r="A304" s="972">
        <f t="shared" si="1"/>
        <v>2016.07</v>
      </c>
      <c r="B304" s="883">
        <v>4495104.4000000004</v>
      </c>
    </row>
    <row r="305" spans="1:2">
      <c r="A305" s="972">
        <f t="shared" si="1"/>
        <v>2016.08</v>
      </c>
      <c r="B305" s="883">
        <v>4625653</v>
      </c>
    </row>
    <row r="306" spans="1:2">
      <c r="A306" s="972">
        <f t="shared" si="1"/>
        <v>2016.09</v>
      </c>
      <c r="B306" s="883">
        <v>4665886.3</v>
      </c>
    </row>
    <row r="307" spans="1:2">
      <c r="A307" s="972">
        <f t="shared" si="1"/>
        <v>2016.1</v>
      </c>
      <c r="B307" s="883">
        <v>4526237.8</v>
      </c>
    </row>
    <row r="308" spans="1:2">
      <c r="A308" s="972">
        <f t="shared" si="1"/>
        <v>2016.11</v>
      </c>
      <c r="B308" s="883">
        <v>4713930.7</v>
      </c>
    </row>
    <row r="309" spans="1:2">
      <c r="A309" s="972">
        <f t="shared" si="1"/>
        <v>2016.12</v>
      </c>
      <c r="B309" s="883">
        <v>5185468.4000000004</v>
      </c>
    </row>
    <row r="310" spans="1:2">
      <c r="A310" s="972">
        <f t="shared" si="1"/>
        <v>2017.01</v>
      </c>
      <c r="B310" s="883">
        <v>5358739.4000000004</v>
      </c>
    </row>
    <row r="311" spans="1:2">
      <c r="A311" s="972">
        <f t="shared" si="1"/>
        <v>2017.02</v>
      </c>
      <c r="B311" s="883">
        <v>4688140.1407261509</v>
      </c>
    </row>
    <row r="312" spans="1:2">
      <c r="A312" s="972">
        <f t="shared" si="1"/>
        <v>2017.03</v>
      </c>
      <c r="B312" s="883">
        <v>4631502.9000000004</v>
      </c>
    </row>
    <row r="313" spans="1:2">
      <c r="A313" s="972">
        <f t="shared" si="1"/>
        <v>2017.04</v>
      </c>
      <c r="B313" s="883">
        <v>4840230.0999999996</v>
      </c>
    </row>
    <row r="314" spans="1:2">
      <c r="A314" s="972">
        <f t="shared" si="1"/>
        <v>2017.05</v>
      </c>
      <c r="B314" s="883">
        <v>5852039.164180507</v>
      </c>
    </row>
    <row r="315" spans="1:2">
      <c r="A315" s="972">
        <f t="shared" si="1"/>
        <v>2017.06</v>
      </c>
      <c r="B315" s="883">
        <v>6661482.164180507</v>
      </c>
    </row>
    <row r="316" spans="1:2">
      <c r="A316" s="972">
        <f t="shared" si="1"/>
        <v>2017.07</v>
      </c>
      <c r="B316" s="883">
        <v>6193379.0641805064</v>
      </c>
    </row>
    <row r="317" spans="1:2">
      <c r="A317" s="972">
        <f t="shared" si="1"/>
        <v>2017.08</v>
      </c>
      <c r="B317" s="883">
        <v>6213946.5672652926</v>
      </c>
    </row>
    <row r="318" spans="1:2">
      <c r="A318" s="972">
        <f t="shared" si="1"/>
        <v>2017.09</v>
      </c>
      <c r="B318" s="883">
        <v>6401639.0901505072</v>
      </c>
    </row>
    <row r="319" spans="1:2">
      <c r="A319" s="972">
        <f t="shared" si="1"/>
        <v>2017.1</v>
      </c>
      <c r="B319" s="883">
        <v>6290765.2899605073</v>
      </c>
    </row>
    <row r="320" spans="1:2">
      <c r="A320" s="972">
        <f t="shared" si="1"/>
        <v>2017.11</v>
      </c>
      <c r="B320" s="883">
        <v>6350882.9287561486</v>
      </c>
    </row>
    <row r="321" spans="1:2">
      <c r="A321" s="972">
        <f t="shared" si="1"/>
        <v>2017.12</v>
      </c>
      <c r="B321" s="883">
        <v>6652392.6744561475</v>
      </c>
    </row>
    <row r="322" spans="1:2">
      <c r="A322" s="972">
        <f t="shared" si="1"/>
        <v>2018.01</v>
      </c>
      <c r="B322" s="883">
        <v>6962829.084973569</v>
      </c>
    </row>
    <row r="323" spans="1:2">
      <c r="A323" s="972">
        <f t="shared" si="1"/>
        <v>2018.02</v>
      </c>
      <c r="B323" s="883">
        <v>6359112.1692267442</v>
      </c>
    </row>
    <row r="324" spans="1:2">
      <c r="A324" s="972">
        <f t="shared" si="1"/>
        <v>2018.03</v>
      </c>
      <c r="B324" s="883">
        <v>7226745.5979582937</v>
      </c>
    </row>
    <row r="325" spans="1:2">
      <c r="A325" s="972">
        <f t="shared" si="1"/>
        <v>2018.04</v>
      </c>
      <c r="B325" s="883">
        <v>6583933.2419323437</v>
      </c>
    </row>
    <row r="326" spans="1:2">
      <c r="A326" s="972">
        <f t="shared" si="1"/>
        <v>2018.05</v>
      </c>
      <c r="B326" s="883">
        <v>8790288.96034953</v>
      </c>
    </row>
    <row r="327" spans="1:2">
      <c r="A327" s="972">
        <f t="shared" si="1"/>
        <v>2018.06</v>
      </c>
      <c r="B327" s="883">
        <v>9851338.4508313295</v>
      </c>
    </row>
    <row r="328" spans="1:2">
      <c r="A328" s="972">
        <f t="shared" si="1"/>
        <v>2018.07</v>
      </c>
      <c r="B328" s="883">
        <v>8019420.5999999996</v>
      </c>
    </row>
    <row r="329" spans="1:2">
      <c r="A329" s="972">
        <f t="shared" si="1"/>
        <v>2018.08</v>
      </c>
      <c r="B329" s="883">
        <v>8723221.4258405026</v>
      </c>
    </row>
    <row r="330" spans="1:2">
      <c r="A330" s="972">
        <f t="shared" ref="A330:A393" si="2">A318+1</f>
        <v>2018.09</v>
      </c>
      <c r="B330" s="883">
        <v>8299709.2940060543</v>
      </c>
    </row>
    <row r="331" spans="1:2">
      <c r="A331" s="972">
        <f t="shared" si="2"/>
        <v>2018.1</v>
      </c>
      <c r="B331" s="883">
        <v>8994680.5796141624</v>
      </c>
    </row>
    <row r="332" spans="1:2">
      <c r="A332" s="972">
        <f t="shared" si="2"/>
        <v>2018.11</v>
      </c>
      <c r="B332" s="883">
        <v>8341299.4363304544</v>
      </c>
    </row>
    <row r="333" spans="1:2">
      <c r="A333" s="972">
        <f t="shared" si="2"/>
        <v>2018.12</v>
      </c>
      <c r="B333" s="883">
        <v>8787259.9594178647</v>
      </c>
    </row>
    <row r="334" spans="1:2">
      <c r="A334" s="972">
        <f t="shared" si="2"/>
        <v>2019.01</v>
      </c>
      <c r="B334" s="883">
        <v>9910947.4347412102</v>
      </c>
    </row>
    <row r="335" spans="1:2">
      <c r="A335" s="972">
        <f t="shared" si="2"/>
        <v>2019.02</v>
      </c>
      <c r="B335" s="883">
        <v>9025182.2465656418</v>
      </c>
    </row>
    <row r="336" spans="1:2">
      <c r="A336" s="972">
        <f t="shared" si="2"/>
        <v>2019.03</v>
      </c>
      <c r="B336" s="883">
        <v>8803952.9414528571</v>
      </c>
    </row>
    <row r="337" spans="1:2">
      <c r="A337" s="972">
        <f t="shared" si="2"/>
        <v>2019.04</v>
      </c>
      <c r="B337" s="883">
        <v>9249820.1643200796</v>
      </c>
    </row>
    <row r="338" spans="1:2">
      <c r="A338" s="972">
        <f t="shared" si="2"/>
        <v>2019.05</v>
      </c>
      <c r="B338" s="883">
        <v>13553222.542503988</v>
      </c>
    </row>
    <row r="339" spans="1:2">
      <c r="A339" s="972">
        <f t="shared" si="2"/>
        <v>2019.06</v>
      </c>
      <c r="B339" s="883">
        <v>13454808.461600076</v>
      </c>
    </row>
    <row r="340" spans="1:2">
      <c r="A340" s="972">
        <f t="shared" si="2"/>
        <v>2019.07</v>
      </c>
      <c r="B340" s="883">
        <v>11971165.984838426</v>
      </c>
    </row>
    <row r="341" spans="1:2">
      <c r="A341" s="972">
        <f t="shared" si="2"/>
        <v>2019.08</v>
      </c>
      <c r="B341" s="883">
        <v>12622452.974498427</v>
      </c>
    </row>
    <row r="342" spans="1:2">
      <c r="A342" s="972">
        <f t="shared" si="2"/>
        <v>2019.09</v>
      </c>
      <c r="B342" s="883">
        <v>11624692.375328425</v>
      </c>
    </row>
    <row r="343" spans="1:2">
      <c r="A343" s="972">
        <f t="shared" si="2"/>
        <v>2019.1</v>
      </c>
      <c r="B343" s="883">
        <v>12231326.9034412</v>
      </c>
    </row>
    <row r="344" spans="1:2">
      <c r="A344" s="972">
        <f t="shared" si="2"/>
        <v>2019.11</v>
      </c>
      <c r="B344" s="883">
        <v>12387496.365782859</v>
      </c>
    </row>
    <row r="345" spans="1:2">
      <c r="A345" s="972">
        <f t="shared" si="2"/>
        <v>2019.12</v>
      </c>
      <c r="B345" s="883">
        <v>12671348.446881209</v>
      </c>
    </row>
    <row r="346" spans="1:2">
      <c r="A346" s="972">
        <f t="shared" si="2"/>
        <v>2020.01</v>
      </c>
      <c r="B346" s="883">
        <v>13497199.228019999</v>
      </c>
    </row>
    <row r="347" spans="1:2">
      <c r="A347" s="972">
        <f t="shared" si="2"/>
        <v>2020.02</v>
      </c>
      <c r="B347" s="883">
        <v>12829726.256490001</v>
      </c>
    </row>
    <row r="348" spans="1:2">
      <c r="A348" s="972">
        <f t="shared" si="2"/>
        <v>2020.03</v>
      </c>
      <c r="B348" s="883">
        <v>11296177.207850004</v>
      </c>
    </row>
    <row r="349" spans="1:2">
      <c r="A349" s="972">
        <f t="shared" si="2"/>
        <v>2020.04</v>
      </c>
      <c r="B349" s="883">
        <v>10794744.361199999</v>
      </c>
    </row>
    <row r="350" spans="1:2">
      <c r="A350" s="972">
        <f t="shared" si="2"/>
        <v>2020.05</v>
      </c>
      <c r="B350" s="883">
        <v>14231255.025969995</v>
      </c>
    </row>
    <row r="351" spans="1:2">
      <c r="A351" s="972">
        <f t="shared" si="2"/>
        <v>2020.06</v>
      </c>
      <c r="B351" s="883">
        <v>16780086.096209992</v>
      </c>
    </row>
    <row r="352" spans="1:2">
      <c r="A352" s="972">
        <f t="shared" si="2"/>
        <v>2020.07</v>
      </c>
      <c r="B352" s="883">
        <v>14413090.630149996</v>
      </c>
    </row>
    <row r="353" spans="1:2">
      <c r="A353" s="972">
        <f t="shared" si="2"/>
        <v>2020.08</v>
      </c>
      <c r="B353" s="883">
        <v>18122175.690419998</v>
      </c>
    </row>
    <row r="354" spans="1:2">
      <c r="A354" s="972">
        <f t="shared" si="2"/>
        <v>2020.09</v>
      </c>
      <c r="B354" s="883">
        <v>16664474.659719994</v>
      </c>
    </row>
    <row r="355" spans="1:2">
      <c r="A355" s="972">
        <f t="shared" si="2"/>
        <v>2020.1</v>
      </c>
      <c r="B355" s="883">
        <v>19323880.159759991</v>
      </c>
    </row>
    <row r="356" spans="1:2">
      <c r="A356" s="972">
        <f t="shared" si="2"/>
        <v>2020.11</v>
      </c>
      <c r="B356" s="883">
        <v>19342188.999570001</v>
      </c>
    </row>
    <row r="357" spans="1:2">
      <c r="A357" s="972">
        <f t="shared" si="2"/>
        <v>2020.12</v>
      </c>
      <c r="B357" s="883">
        <v>20711483.211920001</v>
      </c>
    </row>
    <row r="358" spans="1:2">
      <c r="A358" s="972">
        <f t="shared" si="2"/>
        <v>2021.01</v>
      </c>
      <c r="B358" s="883">
        <v>20239716.062554151</v>
      </c>
    </row>
    <row r="359" spans="1:2">
      <c r="A359" s="972">
        <f t="shared" si="2"/>
        <v>2021.02</v>
      </c>
      <c r="B359" s="883">
        <v>19932208.687030826</v>
      </c>
    </row>
    <row r="360" spans="1:2">
      <c r="A360" s="972">
        <f t="shared" si="2"/>
        <v>2021.03</v>
      </c>
      <c r="B360" s="883">
        <v>20462855.561635487</v>
      </c>
    </row>
    <row r="361" spans="1:2">
      <c r="A361" s="972">
        <f t="shared" si="2"/>
        <v>2021.04</v>
      </c>
      <c r="B361" s="883">
        <v>22910626.765061233</v>
      </c>
    </row>
    <row r="362" spans="1:2">
      <c r="A362" s="972">
        <f t="shared" si="2"/>
        <v>2021.05</v>
      </c>
      <c r="B362" s="883">
        <v>23561783.606001832</v>
      </c>
    </row>
    <row r="363" spans="1:2">
      <c r="A363" s="972">
        <f t="shared" si="2"/>
        <v>2021.06</v>
      </c>
      <c r="B363" s="883">
        <v>27744068.828014068</v>
      </c>
    </row>
    <row r="364" spans="1:2">
      <c r="A364" s="972">
        <f t="shared" si="2"/>
        <v>2021.07</v>
      </c>
      <c r="B364" s="883">
        <v>23807003.857964344</v>
      </c>
    </row>
    <row r="365" spans="1:2">
      <c r="A365" s="972">
        <f t="shared" si="2"/>
        <v>2021.08</v>
      </c>
      <c r="B365" s="883">
        <v>29514513.702886708</v>
      </c>
    </row>
    <row r="366" spans="1:2">
      <c r="A366" s="972">
        <f t="shared" si="2"/>
        <v>2021.09</v>
      </c>
      <c r="B366" s="883">
        <v>27440569.18554838</v>
      </c>
    </row>
    <row r="367" spans="1:2">
      <c r="A367" s="972">
        <f t="shared" si="2"/>
        <v>2021.1</v>
      </c>
      <c r="B367" s="883">
        <v>28457817.809350256</v>
      </c>
    </row>
    <row r="368" spans="1:2">
      <c r="A368" s="972">
        <f t="shared" si="2"/>
        <v>2021.11</v>
      </c>
      <c r="B368" s="883">
        <v>28802803.889758144</v>
      </c>
    </row>
    <row r="369" spans="1:3">
      <c r="A369" s="972">
        <f t="shared" si="2"/>
        <v>2021.12</v>
      </c>
      <c r="B369" s="883">
        <v>33625539.933210202</v>
      </c>
      <c r="C369" s="166"/>
    </row>
    <row r="370" spans="1:3">
      <c r="A370" s="972">
        <f t="shared" si="2"/>
        <v>2022.01</v>
      </c>
      <c r="B370" s="883">
        <v>31217729.588561889</v>
      </c>
      <c r="C370" s="166"/>
    </row>
    <row r="371" spans="1:3">
      <c r="A371" s="972">
        <f t="shared" si="2"/>
        <v>2022.02</v>
      </c>
      <c r="B371" s="883">
        <v>31474572.301535528</v>
      </c>
      <c r="C371" s="166"/>
    </row>
    <row r="372" spans="1:3">
      <c r="A372" s="972">
        <f t="shared" si="2"/>
        <v>2022.03</v>
      </c>
      <c r="B372" s="883">
        <v>32151381.803923063</v>
      </c>
      <c r="C372" s="166"/>
    </row>
    <row r="373" spans="1:3">
      <c r="A373" s="972">
        <f t="shared" si="2"/>
        <v>2022.04</v>
      </c>
      <c r="B373" s="883">
        <v>37442105.532266974</v>
      </c>
      <c r="C373" s="166"/>
    </row>
    <row r="374" spans="1:3">
      <c r="A374" s="972">
        <f t="shared" si="2"/>
        <v>2022.05</v>
      </c>
      <c r="B374" s="883">
        <v>44190211.823564678</v>
      </c>
      <c r="C374" s="166"/>
    </row>
    <row r="375" spans="1:3">
      <c r="A375" s="972">
        <f t="shared" si="2"/>
        <v>2022.06</v>
      </c>
      <c r="B375" s="883">
        <v>52571547.541900009</v>
      </c>
      <c r="C375" s="166"/>
    </row>
    <row r="376" spans="1:3">
      <c r="A376" s="972">
        <f t="shared" si="2"/>
        <v>2022.07</v>
      </c>
      <c r="B376" s="883">
        <v>47541642.390599057</v>
      </c>
      <c r="C376" s="166"/>
    </row>
    <row r="377" spans="1:3">
      <c r="A377" s="972">
        <f t="shared" si="2"/>
        <v>2022.08</v>
      </c>
      <c r="B377" s="883">
        <v>51136392.400154084</v>
      </c>
      <c r="C377" s="166"/>
    </row>
    <row r="378" spans="1:3">
      <c r="A378" s="972">
        <f t="shared" si="2"/>
        <v>2022.09</v>
      </c>
      <c r="B378" s="883">
        <v>51789826.247062504</v>
      </c>
      <c r="C378" s="166"/>
    </row>
    <row r="379" spans="1:3">
      <c r="A379" s="972">
        <f t="shared" si="2"/>
        <v>2022.1</v>
      </c>
      <c r="B379" s="883">
        <v>58933857.137441233</v>
      </c>
      <c r="C379" s="166"/>
    </row>
    <row r="380" spans="1:3">
      <c r="A380" s="972">
        <f t="shared" si="2"/>
        <v>2022.11</v>
      </c>
      <c r="B380" s="883">
        <v>59644753.211845145</v>
      </c>
      <c r="C380" s="166"/>
    </row>
    <row r="381" spans="1:3">
      <c r="A381" s="972">
        <f t="shared" si="2"/>
        <v>2022.12</v>
      </c>
      <c r="B381" s="883">
        <v>66161269.808220014</v>
      </c>
      <c r="C381" s="166"/>
    </row>
    <row r="382" spans="1:3">
      <c r="A382" s="972">
        <f t="shared" si="2"/>
        <v>2023.01</v>
      </c>
      <c r="B382" s="883">
        <v>62820178.768470392</v>
      </c>
      <c r="C382" s="1340"/>
    </row>
    <row r="383" spans="1:3">
      <c r="A383" s="972">
        <f t="shared" si="2"/>
        <v>2023.02</v>
      </c>
      <c r="B383" s="883">
        <v>62322533.811819993</v>
      </c>
      <c r="C383" s="1340"/>
    </row>
    <row r="384" spans="1:3">
      <c r="A384" s="972">
        <f t="shared" si="2"/>
        <v>2023.03</v>
      </c>
      <c r="B384" s="883">
        <v>67327625.931510746</v>
      </c>
      <c r="C384" s="1340"/>
    </row>
    <row r="385" spans="1:4">
      <c r="A385" s="972">
        <f t="shared" si="2"/>
        <v>2023.04</v>
      </c>
      <c r="B385" s="883">
        <v>75018341.537748963</v>
      </c>
      <c r="C385" s="1340"/>
      <c r="D385" s="166"/>
    </row>
    <row r="386" spans="1:4">
      <c r="A386" s="972">
        <f t="shared" si="2"/>
        <v>2023.05</v>
      </c>
      <c r="B386" s="883">
        <v>93494136.950799957</v>
      </c>
      <c r="C386" s="1340"/>
      <c r="D386" s="166"/>
    </row>
    <row r="387" spans="1:4">
      <c r="A387" s="972">
        <f t="shared" si="2"/>
        <v>2023.06</v>
      </c>
      <c r="B387" s="883">
        <v>112315607.61296964</v>
      </c>
      <c r="C387" s="1340"/>
      <c r="D387" s="166"/>
    </row>
    <row r="388" spans="1:4">
      <c r="A388" s="972">
        <f t="shared" si="2"/>
        <v>2023.07</v>
      </c>
      <c r="B388" s="883">
        <v>98881322.371633157</v>
      </c>
      <c r="C388" s="1340"/>
      <c r="D388" s="166"/>
    </row>
    <row r="389" spans="1:4">
      <c r="A389" s="972">
        <f t="shared" si="2"/>
        <v>2023.08</v>
      </c>
      <c r="B389" s="883">
        <v>119605086.03583835</v>
      </c>
      <c r="C389" s="1340"/>
      <c r="D389" s="166"/>
    </row>
    <row r="390" spans="1:4">
      <c r="A390" s="972">
        <f t="shared" si="2"/>
        <v>2023.09</v>
      </c>
      <c r="B390" s="883">
        <v>123116323.25839679</v>
      </c>
      <c r="C390" s="1340"/>
      <c r="D390" s="166"/>
    </row>
    <row r="391" spans="1:4">
      <c r="A391" s="972">
        <f t="shared" si="2"/>
        <v>2023.1</v>
      </c>
      <c r="B391" s="883">
        <v>130107616.74159853</v>
      </c>
      <c r="C391" s="1340"/>
      <c r="D391" s="166"/>
    </row>
    <row r="392" spans="1:4">
      <c r="A392" s="972">
        <f t="shared" si="2"/>
        <v>2023.11</v>
      </c>
      <c r="B392" s="883">
        <v>135996257.98842871</v>
      </c>
      <c r="C392" s="1340"/>
      <c r="D392" s="166"/>
    </row>
    <row r="393" spans="1:4">
      <c r="A393" s="972">
        <f t="shared" si="2"/>
        <v>2023.12</v>
      </c>
      <c r="B393" s="883">
        <v>163411677.28899014</v>
      </c>
      <c r="C393" s="1340"/>
      <c r="D393" s="166"/>
    </row>
    <row r="394" spans="1:4">
      <c r="A394" s="972">
        <f t="shared" ref="A394:A457" si="3">A382+1</f>
        <v>2024.01</v>
      </c>
      <c r="B394" s="883">
        <v>199863968.19593</v>
      </c>
      <c r="C394" s="1340"/>
      <c r="D394" s="166"/>
    </row>
    <row r="395" spans="1:4">
      <c r="A395" s="972">
        <f t="shared" si="3"/>
        <v>2024.02</v>
      </c>
      <c r="B395" s="883">
        <v>193052996.16180259</v>
      </c>
      <c r="C395" s="1340"/>
      <c r="D395" s="166"/>
    </row>
    <row r="396" spans="1:4">
      <c r="A396" s="972">
        <f t="shared" si="3"/>
        <v>2024.03</v>
      </c>
      <c r="B396" s="883">
        <v>192449679.20925412</v>
      </c>
      <c r="C396" s="1340"/>
      <c r="D396" s="166"/>
    </row>
    <row r="397" spans="1:4">
      <c r="A397" s="972">
        <f t="shared" si="3"/>
        <v>2024.04</v>
      </c>
      <c r="B397" s="883">
        <v>232972568.94190502</v>
      </c>
      <c r="C397" s="1340"/>
      <c r="D397" s="166"/>
    </row>
    <row r="398" spans="1:4">
      <c r="A398" s="972">
        <f t="shared" si="3"/>
        <v>2024.05</v>
      </c>
      <c r="B398" s="883">
        <v>437442322.86684072</v>
      </c>
      <c r="C398" s="1340"/>
      <c r="D398" s="166"/>
    </row>
    <row r="399" spans="1:4">
      <c r="A399" s="972">
        <f t="shared" si="3"/>
        <v>2024.06</v>
      </c>
      <c r="B399" s="883">
        <v>318146100.70615971</v>
      </c>
      <c r="C399" s="166"/>
      <c r="D399" s="166"/>
    </row>
    <row r="400" spans="1:4">
      <c r="A400" s="972">
        <f t="shared" si="3"/>
        <v>2024.07</v>
      </c>
      <c r="B400" s="883">
        <v>291049398.5868631</v>
      </c>
      <c r="C400" s="166"/>
      <c r="D400" s="166"/>
    </row>
    <row r="401" spans="1:3">
      <c r="A401" s="972">
        <f t="shared" si="3"/>
        <v>2024.08</v>
      </c>
      <c r="B401" s="883">
        <v>326313921.00832683</v>
      </c>
      <c r="C401" s="166"/>
    </row>
    <row r="402" spans="1:3">
      <c r="A402" s="972">
        <f t="shared" si="3"/>
        <v>2024.09</v>
      </c>
      <c r="B402" s="883">
        <v>378361663.21082109</v>
      </c>
      <c r="C402" s="166"/>
    </row>
    <row r="403" spans="1:3">
      <c r="A403" s="972">
        <f t="shared" si="3"/>
        <v>2024.1</v>
      </c>
      <c r="B403" s="883">
        <v>359145199.19426018</v>
      </c>
      <c r="C403" s="166"/>
    </row>
    <row r="404" spans="1:3">
      <c r="A404" s="972">
        <f t="shared" si="3"/>
        <v>2024.11</v>
      </c>
      <c r="B404" s="883">
        <v>367438791.02604061</v>
      </c>
      <c r="C404" s="166"/>
    </row>
    <row r="405" spans="1:3">
      <c r="A405" s="972">
        <f t="shared" si="3"/>
        <v>2024.12</v>
      </c>
      <c r="B405" s="883">
        <v>366169008.782897</v>
      </c>
      <c r="C405" s="166"/>
    </row>
    <row r="406" spans="1:3">
      <c r="A406" s="972">
        <f t="shared" si="3"/>
        <v>2025.01</v>
      </c>
      <c r="B406" s="883">
        <v>408054491.54080999</v>
      </c>
      <c r="C406" s="7"/>
    </row>
    <row r="407" spans="1:3">
      <c r="A407" s="972">
        <f t="shared" si="3"/>
        <v>2025.02</v>
      </c>
      <c r="B407" s="883">
        <v>379345100</v>
      </c>
      <c r="C407" s="7"/>
    </row>
    <row r="408" spans="1:3">
      <c r="A408" s="972">
        <f t="shared" si="3"/>
        <v>2025.03</v>
      </c>
      <c r="B408" s="883">
        <v>342197895.98906296</v>
      </c>
      <c r="C408" s="7"/>
    </row>
    <row r="409" spans="1:3">
      <c r="A409" s="972">
        <f t="shared" si="3"/>
        <v>2025.04</v>
      </c>
      <c r="B409" s="883">
        <v>369835420.61780697</v>
      </c>
      <c r="C409" s="166"/>
    </row>
    <row r="410" spans="1:3">
      <c r="A410" s="972">
        <f t="shared" si="3"/>
        <v>2025.05</v>
      </c>
      <c r="B410" s="883">
        <v>474498154.79860902</v>
      </c>
      <c r="C410" s="166"/>
    </row>
    <row r="411" spans="1:3">
      <c r="A411" s="972">
        <f t="shared" si="3"/>
        <v>2025.06</v>
      </c>
      <c r="B411" s="883">
        <v>471038821.575773</v>
      </c>
      <c r="C411" s="166"/>
    </row>
    <row r="412" spans="1:3">
      <c r="A412" s="972">
        <f t="shared" si="3"/>
        <v>2025.07</v>
      </c>
      <c r="B412" s="883">
        <v>431291634.38932896</v>
      </c>
      <c r="C412" s="166"/>
    </row>
    <row r="413" spans="1:3">
      <c r="A413" s="972">
        <f t="shared" si="3"/>
        <v>2025.08</v>
      </c>
      <c r="B413" s="883">
        <v>439545877.97061211</v>
      </c>
      <c r="C413" s="166"/>
    </row>
    <row r="414" spans="1:3">
      <c r="A414" s="972">
        <f t="shared" si="3"/>
        <v>2025.09</v>
      </c>
      <c r="B414" s="883">
        <v>435138440.30063814</v>
      </c>
      <c r="C414" s="166"/>
    </row>
    <row r="415" spans="1:3">
      <c r="A415" s="972">
        <f t="shared" si="3"/>
        <v>2025.1</v>
      </c>
      <c r="B415" s="883">
        <v>422063045.075589</v>
      </c>
      <c r="C415" s="166"/>
    </row>
    <row r="416" spans="1:3">
      <c r="A416" s="972">
        <f t="shared" si="3"/>
        <v>2025.11</v>
      </c>
      <c r="B416" s="883">
        <v>452690654.78294015</v>
      </c>
      <c r="C416" s="166"/>
    </row>
    <row r="417" spans="1:2">
      <c r="A417" s="972">
        <f t="shared" si="3"/>
        <v>2025.12</v>
      </c>
      <c r="B417" s="883">
        <v>481366001.17979532</v>
      </c>
    </row>
    <row r="418" spans="1:2">
      <c r="A418" s="972">
        <f t="shared" si="3"/>
        <v>2026.01</v>
      </c>
      <c r="B418" s="883">
        <v>497238200.34954971</v>
      </c>
    </row>
    <row r="419" spans="1:2">
      <c r="A419" s="972">
        <f t="shared" si="3"/>
        <v>2026.02</v>
      </c>
      <c r="B419" s="883">
        <v>463176169.00531751</v>
      </c>
    </row>
    <row r="420" spans="1:2">
      <c r="A420" s="972">
        <f t="shared" si="3"/>
        <v>2026.03</v>
      </c>
      <c r="B420" s="883" t="e">
        <v>#N/A</v>
      </c>
    </row>
    <row r="421" spans="1:2">
      <c r="A421" s="972">
        <f t="shared" si="3"/>
        <v>2026.04</v>
      </c>
      <c r="B421" s="883" t="e">
        <v>#N/A</v>
      </c>
    </row>
    <row r="422" spans="1:2">
      <c r="A422" s="972">
        <f t="shared" si="3"/>
        <v>2026.05</v>
      </c>
      <c r="B422" s="883" t="e">
        <v>#N/A</v>
      </c>
    </row>
    <row r="423" spans="1:2">
      <c r="A423" s="972">
        <f t="shared" si="3"/>
        <v>2026.06</v>
      </c>
      <c r="B423" s="883" t="e">
        <v>#N/A</v>
      </c>
    </row>
    <row r="424" spans="1:2">
      <c r="A424" s="972">
        <f t="shared" si="3"/>
        <v>2026.07</v>
      </c>
      <c r="B424" s="883" t="e">
        <v>#N/A</v>
      </c>
    </row>
    <row r="425" spans="1:2">
      <c r="A425" s="972">
        <f t="shared" si="3"/>
        <v>2026.08</v>
      </c>
      <c r="B425" s="883" t="e">
        <v>#N/A</v>
      </c>
    </row>
    <row r="426" spans="1:2">
      <c r="A426" s="972">
        <f t="shared" si="3"/>
        <v>2026.09</v>
      </c>
      <c r="B426" s="883" t="e">
        <v>#N/A</v>
      </c>
    </row>
    <row r="427" spans="1:2">
      <c r="A427" s="972">
        <f t="shared" si="3"/>
        <v>2026.1</v>
      </c>
      <c r="B427" s="883" t="e">
        <v>#N/A</v>
      </c>
    </row>
    <row r="428" spans="1:2">
      <c r="A428" s="972">
        <f t="shared" si="3"/>
        <v>2026.11</v>
      </c>
      <c r="B428" s="883" t="e">
        <v>#N/A</v>
      </c>
    </row>
    <row r="429" spans="1:2">
      <c r="A429" s="972">
        <f t="shared" si="3"/>
        <v>2026.12</v>
      </c>
      <c r="B429" s="883" t="e">
        <v>#N/A</v>
      </c>
    </row>
    <row r="430" spans="1:2">
      <c r="A430" s="972">
        <f t="shared" si="3"/>
        <v>2027.01</v>
      </c>
      <c r="B430" s="883" t="e">
        <v>#N/A</v>
      </c>
    </row>
    <row r="431" spans="1:2">
      <c r="A431" s="972">
        <f t="shared" si="3"/>
        <v>2027.02</v>
      </c>
      <c r="B431" s="883" t="e">
        <v>#N/A</v>
      </c>
    </row>
    <row r="432" spans="1:2">
      <c r="A432" s="972">
        <f t="shared" si="3"/>
        <v>2027.03</v>
      </c>
      <c r="B432" s="883" t="e">
        <v>#N/A</v>
      </c>
    </row>
    <row r="433" spans="1:2">
      <c r="A433" s="972">
        <f t="shared" si="3"/>
        <v>2027.04</v>
      </c>
      <c r="B433" s="883" t="e">
        <v>#N/A</v>
      </c>
    </row>
    <row r="434" spans="1:2">
      <c r="A434" s="972">
        <f t="shared" si="3"/>
        <v>2027.05</v>
      </c>
      <c r="B434" s="883" t="e">
        <v>#N/A</v>
      </c>
    </row>
    <row r="435" spans="1:2">
      <c r="A435" s="972">
        <f t="shared" si="3"/>
        <v>2027.06</v>
      </c>
      <c r="B435" s="883" t="e">
        <v>#N/A</v>
      </c>
    </row>
    <row r="436" spans="1:2">
      <c r="A436" s="972">
        <f t="shared" si="3"/>
        <v>2027.07</v>
      </c>
      <c r="B436" s="883" t="e">
        <v>#N/A</v>
      </c>
    </row>
    <row r="437" spans="1:2">
      <c r="A437" s="972">
        <f t="shared" si="3"/>
        <v>2027.08</v>
      </c>
      <c r="B437" s="883" t="e">
        <v>#N/A</v>
      </c>
    </row>
    <row r="438" spans="1:2">
      <c r="A438" s="972">
        <f t="shared" si="3"/>
        <v>2027.09</v>
      </c>
      <c r="B438" s="883" t="e">
        <v>#N/A</v>
      </c>
    </row>
    <row r="439" spans="1:2">
      <c r="A439" s="972">
        <f t="shared" si="3"/>
        <v>2027.1</v>
      </c>
      <c r="B439" s="883" t="e">
        <v>#N/A</v>
      </c>
    </row>
    <row r="440" spans="1:2">
      <c r="A440" s="972">
        <f t="shared" si="3"/>
        <v>2027.11</v>
      </c>
      <c r="B440" s="883" t="e">
        <v>#N/A</v>
      </c>
    </row>
    <row r="441" spans="1:2">
      <c r="A441" s="972">
        <f t="shared" si="3"/>
        <v>2027.12</v>
      </c>
      <c r="B441" s="883" t="e">
        <v>#N/A</v>
      </c>
    </row>
    <row r="442" spans="1:2">
      <c r="A442" s="972">
        <f t="shared" si="3"/>
        <v>2028.01</v>
      </c>
      <c r="B442" s="883" t="e">
        <v>#N/A</v>
      </c>
    </row>
    <row r="443" spans="1:2">
      <c r="A443" s="972">
        <f t="shared" si="3"/>
        <v>2028.02</v>
      </c>
      <c r="B443" s="883" t="e">
        <v>#N/A</v>
      </c>
    </row>
    <row r="444" spans="1:2">
      <c r="A444" s="972">
        <f t="shared" si="3"/>
        <v>2028.03</v>
      </c>
      <c r="B444" s="883" t="e">
        <v>#N/A</v>
      </c>
    </row>
    <row r="445" spans="1:2">
      <c r="A445" s="972">
        <f t="shared" si="3"/>
        <v>2028.04</v>
      </c>
      <c r="B445" s="883" t="e">
        <v>#N/A</v>
      </c>
    </row>
    <row r="446" spans="1:2">
      <c r="A446" s="972">
        <f t="shared" si="3"/>
        <v>2028.05</v>
      </c>
      <c r="B446" s="883" t="e">
        <v>#N/A</v>
      </c>
    </row>
    <row r="447" spans="1:2">
      <c r="A447" s="972">
        <f t="shared" si="3"/>
        <v>2028.06</v>
      </c>
      <c r="B447" s="883" t="e">
        <v>#N/A</v>
      </c>
    </row>
    <row r="448" spans="1:2">
      <c r="A448" s="972">
        <f t="shared" si="3"/>
        <v>2028.07</v>
      </c>
      <c r="B448" s="883" t="e">
        <v>#N/A</v>
      </c>
    </row>
    <row r="449" spans="1:2">
      <c r="A449" s="972">
        <f t="shared" si="3"/>
        <v>2028.08</v>
      </c>
      <c r="B449" s="883" t="e">
        <v>#N/A</v>
      </c>
    </row>
    <row r="450" spans="1:2">
      <c r="A450" s="972">
        <f t="shared" si="3"/>
        <v>2028.09</v>
      </c>
      <c r="B450" s="883" t="e">
        <v>#N/A</v>
      </c>
    </row>
    <row r="451" spans="1:2">
      <c r="A451" s="972">
        <f t="shared" si="3"/>
        <v>2028.1</v>
      </c>
      <c r="B451" s="883" t="e">
        <v>#N/A</v>
      </c>
    </row>
    <row r="452" spans="1:2">
      <c r="A452" s="972">
        <f t="shared" si="3"/>
        <v>2028.11</v>
      </c>
      <c r="B452" s="883" t="e">
        <v>#N/A</v>
      </c>
    </row>
    <row r="453" spans="1:2">
      <c r="A453" s="972">
        <f t="shared" si="3"/>
        <v>2028.12</v>
      </c>
      <c r="B453" s="883" t="e">
        <v>#N/A</v>
      </c>
    </row>
    <row r="454" spans="1:2">
      <c r="A454" s="972">
        <f t="shared" si="3"/>
        <v>2029.01</v>
      </c>
      <c r="B454" s="883" t="e">
        <v>#N/A</v>
      </c>
    </row>
    <row r="455" spans="1:2">
      <c r="A455" s="972">
        <f t="shared" si="3"/>
        <v>2029.02</v>
      </c>
      <c r="B455" s="883" t="e">
        <v>#N/A</v>
      </c>
    </row>
    <row r="456" spans="1:2">
      <c r="A456" s="972">
        <f t="shared" si="3"/>
        <v>2029.03</v>
      </c>
      <c r="B456" s="883" t="e">
        <v>#N/A</v>
      </c>
    </row>
    <row r="457" spans="1:2">
      <c r="A457" s="972">
        <f t="shared" si="3"/>
        <v>2029.04</v>
      </c>
      <c r="B457" s="883" t="e">
        <v>#N/A</v>
      </c>
    </row>
    <row r="458" spans="1:2">
      <c r="A458" s="972">
        <f t="shared" ref="A458:A477" si="4">A446+1</f>
        <v>2029.05</v>
      </c>
      <c r="B458" s="883" t="e">
        <v>#N/A</v>
      </c>
    </row>
    <row r="459" spans="1:2">
      <c r="A459" s="972">
        <f t="shared" si="4"/>
        <v>2029.06</v>
      </c>
      <c r="B459" s="883" t="e">
        <v>#N/A</v>
      </c>
    </row>
    <row r="460" spans="1:2">
      <c r="A460" s="972">
        <f t="shared" si="4"/>
        <v>2029.07</v>
      </c>
      <c r="B460" s="883" t="e">
        <v>#N/A</v>
      </c>
    </row>
    <row r="461" spans="1:2">
      <c r="A461" s="972">
        <f t="shared" si="4"/>
        <v>2029.08</v>
      </c>
      <c r="B461" s="883" t="e">
        <v>#N/A</v>
      </c>
    </row>
    <row r="462" spans="1:2">
      <c r="A462" s="972">
        <f t="shared" si="4"/>
        <v>2029.09</v>
      </c>
      <c r="B462" s="883" t="e">
        <v>#N/A</v>
      </c>
    </row>
    <row r="463" spans="1:2">
      <c r="A463" s="972">
        <f t="shared" si="4"/>
        <v>2029.1</v>
      </c>
      <c r="B463" s="883" t="e">
        <v>#N/A</v>
      </c>
    </row>
    <row r="464" spans="1:2">
      <c r="A464" s="972">
        <f t="shared" si="4"/>
        <v>2029.11</v>
      </c>
      <c r="B464" s="883" t="e">
        <v>#N/A</v>
      </c>
    </row>
    <row r="465" spans="1:2">
      <c r="A465" s="972">
        <f t="shared" si="4"/>
        <v>2029.12</v>
      </c>
      <c r="B465" s="883" t="e">
        <v>#N/A</v>
      </c>
    </row>
    <row r="466" spans="1:2">
      <c r="A466" s="972">
        <f t="shared" si="4"/>
        <v>2030.01</v>
      </c>
      <c r="B466" s="883" t="e">
        <v>#N/A</v>
      </c>
    </row>
    <row r="467" spans="1:2">
      <c r="A467" s="972">
        <f t="shared" si="4"/>
        <v>2030.02</v>
      </c>
      <c r="B467" s="883" t="e">
        <v>#N/A</v>
      </c>
    </row>
    <row r="468" spans="1:2">
      <c r="A468" s="972">
        <f t="shared" si="4"/>
        <v>2030.03</v>
      </c>
      <c r="B468" s="883" t="e">
        <v>#N/A</v>
      </c>
    </row>
    <row r="469" spans="1:2">
      <c r="A469" s="972">
        <f t="shared" si="4"/>
        <v>2030.04</v>
      </c>
      <c r="B469" s="883" t="e">
        <v>#N/A</v>
      </c>
    </row>
    <row r="470" spans="1:2">
      <c r="A470" s="972">
        <f t="shared" si="4"/>
        <v>2030.05</v>
      </c>
      <c r="B470" s="883" t="e">
        <v>#N/A</v>
      </c>
    </row>
    <row r="471" spans="1:2">
      <c r="A471" s="972">
        <f t="shared" si="4"/>
        <v>2030.06</v>
      </c>
      <c r="B471" s="883" t="e">
        <v>#N/A</v>
      </c>
    </row>
    <row r="472" spans="1:2">
      <c r="A472" s="972">
        <f t="shared" si="4"/>
        <v>2030.07</v>
      </c>
      <c r="B472" s="883" t="e">
        <v>#N/A</v>
      </c>
    </row>
    <row r="473" spans="1:2">
      <c r="A473" s="972">
        <f t="shared" si="4"/>
        <v>2030.08</v>
      </c>
      <c r="B473" s="883" t="e">
        <v>#N/A</v>
      </c>
    </row>
    <row r="474" spans="1:2">
      <c r="A474" s="972">
        <f t="shared" si="4"/>
        <v>2030.09</v>
      </c>
      <c r="B474" s="883" t="e">
        <v>#N/A</v>
      </c>
    </row>
    <row r="475" spans="1:2">
      <c r="A475" s="972">
        <f t="shared" si="4"/>
        <v>2030.1</v>
      </c>
      <c r="B475" s="883" t="e">
        <v>#N/A</v>
      </c>
    </row>
    <row r="476" spans="1:2">
      <c r="A476" s="972">
        <f t="shared" si="4"/>
        <v>2030.11</v>
      </c>
      <c r="B476" s="883" t="e">
        <v>#N/A</v>
      </c>
    </row>
    <row r="477" spans="1:2">
      <c r="A477" s="972">
        <f t="shared" si="4"/>
        <v>2030.12</v>
      </c>
      <c r="B477" s="883" t="e">
        <v>#N/A</v>
      </c>
    </row>
  </sheetData>
  <phoneticPr fontId="0" type="noConversion"/>
  <hyperlinks>
    <hyperlink ref="A5" location="INDICE!A13" display="VOLVER AL INDICE" xr:uid="{00000000-0004-0000-2F00-000000000000}"/>
  </hyperlinks>
  <pageMargins left="0.75" right="0.75" top="1" bottom="1" header="0" footer="0"/>
  <pageSetup paperSize="9" orientation="portrait"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7">
    <pageSetUpPr autoPageBreaks="0"/>
  </sheetPr>
  <dimension ref="A1:I477"/>
  <sheetViews>
    <sheetView zoomScale="115" zoomScaleNormal="115" workbookViewId="0">
      <pane xSplit="1" ySplit="9" topLeftCell="B20" activePane="bottomRight" state="frozen"/>
      <selection pane="topRight" activeCell="B1" sqref="B1"/>
      <selection pane="bottomLeft" activeCell="A10" sqref="A10"/>
      <selection pane="bottomRight" activeCell="A5" sqref="A5"/>
    </sheetView>
  </sheetViews>
  <sheetFormatPr baseColWidth="10" defaultColWidth="11.42578125" defaultRowHeight="12.75"/>
  <cols>
    <col min="1" max="1" width="10.42578125" style="21" bestFit="1" customWidth="1"/>
    <col min="2" max="5" width="16.7109375" style="21" customWidth="1"/>
    <col min="6" max="9" width="16.7109375" style="52" customWidth="1"/>
    <col min="10" max="16384" width="11.42578125" style="6"/>
  </cols>
  <sheetData>
    <row r="1" spans="1:9" ht="3.75" customHeight="1">
      <c r="A1" s="2761"/>
      <c r="B1" s="3036"/>
      <c r="C1" s="1256"/>
      <c r="D1" s="1256"/>
      <c r="E1" s="1478"/>
      <c r="F1" s="876"/>
      <c r="G1" s="876"/>
      <c r="H1" s="876"/>
      <c r="I1" s="878"/>
    </row>
    <row r="2" spans="1:9">
      <c r="A2" s="2762" t="s">
        <v>99</v>
      </c>
      <c r="B2" s="3036" t="s">
        <v>2114</v>
      </c>
      <c r="C2" s="1256"/>
      <c r="D2" s="1256"/>
      <c r="E2" s="1478"/>
      <c r="F2" s="3772" t="s">
        <v>2107</v>
      </c>
      <c r="G2" s="876"/>
      <c r="H2" s="876"/>
      <c r="I2" s="878"/>
    </row>
    <row r="3" spans="1:9" ht="22.5">
      <c r="A3" s="2762" t="s">
        <v>104</v>
      </c>
      <c r="B3" s="3036" t="s">
        <v>110</v>
      </c>
      <c r="C3" s="1256"/>
      <c r="D3" s="1256"/>
      <c r="E3" s="1478"/>
      <c r="F3" s="3772" t="s">
        <v>2108</v>
      </c>
      <c r="G3" s="876"/>
      <c r="H3" s="876"/>
      <c r="I3" s="878"/>
    </row>
    <row r="4" spans="1:9" ht="3" hidden="1" customHeight="1">
      <c r="A4" s="2762"/>
      <c r="B4" s="3097"/>
      <c r="C4" s="224" t="s">
        <v>5</v>
      </c>
      <c r="D4" s="224"/>
      <c r="E4" s="225"/>
      <c r="F4" s="3773"/>
      <c r="G4" s="3774"/>
      <c r="H4" s="3774"/>
      <c r="I4" s="3775"/>
    </row>
    <row r="5" spans="1:9" s="21" customFormat="1" ht="22.5">
      <c r="A5" s="2867" t="s">
        <v>140</v>
      </c>
      <c r="B5" s="2824" t="s">
        <v>1738</v>
      </c>
      <c r="C5" s="2824"/>
      <c r="D5" s="2824" t="s">
        <v>1739</v>
      </c>
      <c r="E5" s="2998"/>
      <c r="F5" s="3776" t="s">
        <v>1738</v>
      </c>
      <c r="G5" s="3776"/>
      <c r="H5" s="3776" t="s">
        <v>1739</v>
      </c>
      <c r="I5" s="2998"/>
    </row>
    <row r="6" spans="1:9" s="21" customFormat="1" ht="11.25">
      <c r="A6" s="2762"/>
      <c r="B6" s="2754"/>
      <c r="C6" s="119"/>
      <c r="D6" s="2754"/>
      <c r="E6" s="65"/>
      <c r="F6" s="3777"/>
      <c r="G6" s="119"/>
      <c r="H6" s="3777"/>
      <c r="I6" s="65"/>
    </row>
    <row r="7" spans="1:9" s="21" customFormat="1" ht="22.5">
      <c r="A7" s="2762" t="s">
        <v>125</v>
      </c>
      <c r="B7" s="1345" t="s">
        <v>279</v>
      </c>
      <c r="C7" s="5" t="s">
        <v>279</v>
      </c>
      <c r="D7" s="1345" t="s">
        <v>279</v>
      </c>
      <c r="E7" s="5" t="s">
        <v>279</v>
      </c>
      <c r="F7" s="1359" t="s">
        <v>279</v>
      </c>
      <c r="G7" s="5" t="s">
        <v>279</v>
      </c>
      <c r="H7" s="1345" t="s">
        <v>279</v>
      </c>
      <c r="I7" s="2068" t="s">
        <v>279</v>
      </c>
    </row>
    <row r="8" spans="1:9" s="21" customFormat="1" ht="13.5" customHeight="1">
      <c r="A8" s="3002" t="s">
        <v>144</v>
      </c>
      <c r="B8" s="2298" t="s">
        <v>1740</v>
      </c>
      <c r="C8" s="2299" t="s">
        <v>1741</v>
      </c>
      <c r="D8" s="2298" t="s">
        <v>1742</v>
      </c>
      <c r="E8" s="2300" t="s">
        <v>1743</v>
      </c>
      <c r="F8" s="2298" t="s">
        <v>2109</v>
      </c>
      <c r="G8" s="2299" t="s">
        <v>2110</v>
      </c>
      <c r="H8" s="2298" t="s">
        <v>2111</v>
      </c>
      <c r="I8" s="2300" t="s">
        <v>2112</v>
      </c>
    </row>
    <row r="9" spans="1:9" ht="13.5" thickBot="1">
      <c r="A9" s="2140"/>
      <c r="B9" s="686" t="s">
        <v>2105</v>
      </c>
      <c r="C9" s="683" t="s">
        <v>2106</v>
      </c>
      <c r="D9" s="686" t="s">
        <v>2105</v>
      </c>
      <c r="E9" s="689" t="s">
        <v>2106</v>
      </c>
      <c r="F9" s="686" t="s">
        <v>2105</v>
      </c>
      <c r="G9" s="683" t="s">
        <v>2106</v>
      </c>
      <c r="H9" s="686" t="s">
        <v>2105</v>
      </c>
      <c r="I9" s="689" t="s">
        <v>2106</v>
      </c>
    </row>
    <row r="10" spans="1:9">
      <c r="A10" s="972">
        <v>1992.01</v>
      </c>
      <c r="B10" s="687">
        <v>139.17007952012293</v>
      </c>
      <c r="C10" s="684"/>
      <c r="D10" s="692"/>
      <c r="E10" s="690"/>
      <c r="F10" s="1011"/>
      <c r="G10" s="588"/>
      <c r="H10" s="1011"/>
      <c r="I10" s="1428"/>
    </row>
    <row r="11" spans="1:9">
      <c r="A11" s="972">
        <v>1992.02</v>
      </c>
      <c r="B11" s="688">
        <v>143.75702166187693</v>
      </c>
      <c r="C11" s="685"/>
      <c r="D11" s="693"/>
      <c r="E11" s="691"/>
      <c r="F11" s="1011"/>
      <c r="G11" s="588"/>
      <c r="H11" s="1011"/>
      <c r="I11" s="1428"/>
    </row>
    <row r="12" spans="1:9">
      <c r="A12" s="972">
        <v>1992.03</v>
      </c>
      <c r="B12" s="688">
        <v>171.88421062883032</v>
      </c>
      <c r="C12" s="685"/>
      <c r="D12" s="693"/>
      <c r="E12" s="691"/>
      <c r="F12" s="1011"/>
      <c r="G12" s="588"/>
      <c r="H12" s="1011"/>
      <c r="I12" s="1428"/>
    </row>
    <row r="13" spans="1:9">
      <c r="A13" s="972">
        <v>1992.04</v>
      </c>
      <c r="B13" s="688">
        <v>171.07534478944879</v>
      </c>
      <c r="C13" s="685"/>
      <c r="D13" s="693"/>
      <c r="E13" s="691"/>
      <c r="F13" s="1011"/>
      <c r="G13" s="588"/>
      <c r="H13" s="1011"/>
      <c r="I13" s="1428"/>
    </row>
    <row r="14" spans="1:9">
      <c r="A14" s="972">
        <v>1992.05</v>
      </c>
      <c r="B14" s="688">
        <v>185.37310758485609</v>
      </c>
      <c r="C14" s="685"/>
      <c r="D14" s="693"/>
      <c r="E14" s="691"/>
      <c r="F14" s="1011"/>
      <c r="G14" s="588"/>
      <c r="H14" s="1011"/>
      <c r="I14" s="1428"/>
    </row>
    <row r="15" spans="1:9">
      <c r="A15" s="972">
        <v>1992.06</v>
      </c>
      <c r="B15" s="688">
        <v>229.97842765071454</v>
      </c>
      <c r="C15" s="685"/>
      <c r="D15" s="693"/>
      <c r="E15" s="691"/>
      <c r="F15" s="1011"/>
      <c r="G15" s="588"/>
      <c r="H15" s="1011"/>
      <c r="I15" s="1428"/>
    </row>
    <row r="16" spans="1:9">
      <c r="A16" s="972">
        <v>1992.07</v>
      </c>
      <c r="B16" s="688">
        <v>192.74256780084758</v>
      </c>
      <c r="C16" s="685"/>
      <c r="D16" s="693"/>
      <c r="E16" s="691"/>
      <c r="F16" s="1011"/>
      <c r="G16" s="588"/>
      <c r="H16" s="1011"/>
      <c r="I16" s="1428"/>
    </row>
    <row r="17" spans="1:9">
      <c r="A17" s="972">
        <v>1992.08</v>
      </c>
      <c r="B17" s="688">
        <v>191.99104502305352</v>
      </c>
      <c r="C17" s="685"/>
      <c r="D17" s="693"/>
      <c r="E17" s="691"/>
      <c r="F17" s="1011"/>
      <c r="G17" s="588"/>
      <c r="H17" s="1011"/>
      <c r="I17" s="1428"/>
    </row>
    <row r="18" spans="1:9">
      <c r="A18" s="972">
        <v>1992.09</v>
      </c>
      <c r="B18" s="688">
        <v>200.73849115279333</v>
      </c>
      <c r="C18" s="685"/>
      <c r="D18" s="693"/>
      <c r="E18" s="691"/>
      <c r="F18" s="1011"/>
      <c r="G18" s="588"/>
      <c r="H18" s="1011"/>
      <c r="I18" s="1428"/>
    </row>
    <row r="19" spans="1:9">
      <c r="A19" s="972">
        <v>1992.1</v>
      </c>
      <c r="B19" s="688">
        <v>201.99228334221726</v>
      </c>
      <c r="C19" s="685"/>
      <c r="D19" s="693"/>
      <c r="E19" s="691"/>
      <c r="F19" s="1011"/>
      <c r="G19" s="588"/>
      <c r="H19" s="1011"/>
      <c r="I19" s="1428"/>
    </row>
    <row r="20" spans="1:9">
      <c r="A20" s="972">
        <v>1992.11</v>
      </c>
      <c r="B20" s="688">
        <v>215.03277744942824</v>
      </c>
      <c r="C20" s="685"/>
      <c r="D20" s="693"/>
      <c r="E20" s="691"/>
      <c r="F20" s="1011"/>
      <c r="G20" s="588"/>
      <c r="H20" s="1011"/>
      <c r="I20" s="1428"/>
    </row>
    <row r="21" spans="1:9">
      <c r="A21" s="972">
        <v>1992.12</v>
      </c>
      <c r="B21" s="688">
        <v>464.34936594698848</v>
      </c>
      <c r="C21" s="685"/>
      <c r="D21" s="693"/>
      <c r="E21" s="691"/>
      <c r="F21" s="1011"/>
      <c r="G21" s="588"/>
      <c r="H21" s="1011"/>
      <c r="I21" s="1428"/>
    </row>
    <row r="22" spans="1:9">
      <c r="A22" s="972">
        <v>1993.01</v>
      </c>
      <c r="B22" s="688">
        <v>167.47013329098451</v>
      </c>
      <c r="C22" s="685"/>
      <c r="D22" s="693"/>
      <c r="E22" s="691"/>
      <c r="F22" s="1011"/>
      <c r="G22" s="588"/>
      <c r="H22" s="1011"/>
      <c r="I22" s="1428"/>
    </row>
    <row r="23" spans="1:9">
      <c r="A23" s="972">
        <v>1993.02</v>
      </c>
      <c r="B23" s="688">
        <v>172.98982412199032</v>
      </c>
      <c r="C23" s="685"/>
      <c r="D23" s="693"/>
      <c r="E23" s="691"/>
      <c r="F23" s="1011"/>
      <c r="G23" s="588"/>
      <c r="H23" s="1011"/>
      <c r="I23" s="1428"/>
    </row>
    <row r="24" spans="1:9">
      <c r="A24" s="972">
        <v>1993.03</v>
      </c>
      <c r="B24" s="688">
        <v>206.83664020227639</v>
      </c>
      <c r="C24" s="685"/>
      <c r="D24" s="693"/>
      <c r="E24" s="691"/>
      <c r="F24" s="1011"/>
      <c r="G24" s="588"/>
      <c r="H24" s="1011"/>
      <c r="I24" s="1428"/>
    </row>
    <row r="25" spans="1:9">
      <c r="A25" s="972">
        <v>1993.04</v>
      </c>
      <c r="B25" s="688">
        <v>205.8632925516691</v>
      </c>
      <c r="C25" s="685"/>
      <c r="D25" s="693"/>
      <c r="E25" s="691"/>
      <c r="F25" s="1011"/>
      <c r="G25" s="588"/>
      <c r="H25" s="1011"/>
      <c r="I25" s="1428"/>
    </row>
    <row r="26" spans="1:9">
      <c r="A26" s="972">
        <v>1993.05</v>
      </c>
      <c r="B26" s="688">
        <v>223.06848672390862</v>
      </c>
      <c r="C26" s="685"/>
      <c r="D26" s="693"/>
      <c r="E26" s="691"/>
      <c r="F26" s="1011"/>
      <c r="G26" s="588"/>
      <c r="H26" s="1011"/>
      <c r="I26" s="1428"/>
    </row>
    <row r="27" spans="1:9">
      <c r="A27" s="972">
        <v>1993.06</v>
      </c>
      <c r="B27" s="688">
        <v>276.74424032464026</v>
      </c>
      <c r="C27" s="685"/>
      <c r="D27" s="693"/>
      <c r="E27" s="691"/>
      <c r="F27" s="1011"/>
      <c r="G27" s="588"/>
      <c r="H27" s="1011"/>
      <c r="I27" s="1428"/>
    </row>
    <row r="28" spans="1:9">
      <c r="A28" s="972">
        <v>1993.07</v>
      </c>
      <c r="B28" s="688">
        <v>231.93651704271187</v>
      </c>
      <c r="C28" s="685"/>
      <c r="D28" s="693"/>
      <c r="E28" s="691"/>
      <c r="F28" s="1011"/>
      <c r="G28" s="588"/>
      <c r="H28" s="1011"/>
      <c r="I28" s="1428"/>
    </row>
    <row r="29" spans="1:9">
      <c r="A29" s="972">
        <v>1993.08</v>
      </c>
      <c r="B29" s="688">
        <v>231.0321730903166</v>
      </c>
      <c r="C29" s="685"/>
      <c r="D29" s="693"/>
      <c r="E29" s="691"/>
      <c r="F29" s="1011"/>
      <c r="G29" s="588"/>
      <c r="H29" s="1011"/>
      <c r="I29" s="1428"/>
    </row>
    <row r="30" spans="1:9">
      <c r="A30" s="972">
        <v>1993.09</v>
      </c>
      <c r="B30" s="688">
        <v>241.55840095735911</v>
      </c>
      <c r="C30" s="685"/>
      <c r="D30" s="693"/>
      <c r="E30" s="691"/>
      <c r="F30" s="1011"/>
      <c r="G30" s="588"/>
      <c r="H30" s="1011"/>
      <c r="I30" s="1428"/>
    </row>
    <row r="31" spans="1:9">
      <c r="A31" s="972">
        <v>1993.1</v>
      </c>
      <c r="B31" s="688">
        <v>243.06715014975762</v>
      </c>
      <c r="C31" s="685"/>
      <c r="D31" s="693"/>
      <c r="E31" s="691"/>
      <c r="F31" s="1011"/>
      <c r="G31" s="588"/>
      <c r="H31" s="1011"/>
      <c r="I31" s="1428"/>
    </row>
    <row r="32" spans="1:9">
      <c r="A32" s="972">
        <v>1993.11</v>
      </c>
      <c r="B32" s="688">
        <v>258.7594116893448</v>
      </c>
      <c r="C32" s="685"/>
      <c r="D32" s="693"/>
      <c r="E32" s="691"/>
      <c r="F32" s="1011"/>
      <c r="G32" s="588"/>
      <c r="H32" s="1011"/>
      <c r="I32" s="1428"/>
    </row>
    <row r="33" spans="1:9">
      <c r="A33" s="972">
        <v>1993.12</v>
      </c>
      <c r="B33" s="688">
        <v>558.77420259346843</v>
      </c>
      <c r="C33" s="685"/>
      <c r="D33" s="693"/>
      <c r="E33" s="691"/>
      <c r="F33" s="1011"/>
      <c r="G33" s="588"/>
      <c r="H33" s="1011"/>
      <c r="I33" s="1428"/>
    </row>
    <row r="34" spans="1:9">
      <c r="A34" s="972">
        <v>1994.01</v>
      </c>
      <c r="B34" s="688">
        <v>180.76139345845672</v>
      </c>
      <c r="C34" s="685"/>
      <c r="D34" s="693"/>
      <c r="E34" s="691"/>
      <c r="F34" s="1011"/>
      <c r="G34" s="588"/>
      <c r="H34" s="1011"/>
      <c r="I34" s="1428"/>
    </row>
    <row r="35" spans="1:9">
      <c r="A35" s="972">
        <v>1994.02</v>
      </c>
      <c r="B35" s="688">
        <v>186.71915432283049</v>
      </c>
      <c r="C35" s="685"/>
      <c r="D35" s="693"/>
      <c r="E35" s="691"/>
      <c r="F35" s="1011"/>
      <c r="G35" s="588"/>
      <c r="H35" s="1011"/>
      <c r="I35" s="1428"/>
    </row>
    <row r="36" spans="1:9">
      <c r="A36" s="972">
        <v>1994.03</v>
      </c>
      <c r="B36" s="688">
        <v>223.25222155443083</v>
      </c>
      <c r="C36" s="685"/>
      <c r="D36" s="693"/>
      <c r="E36" s="691"/>
      <c r="F36" s="1011"/>
      <c r="G36" s="588"/>
      <c r="H36" s="1011"/>
      <c r="I36" s="1428"/>
    </row>
    <row r="37" spans="1:9">
      <c r="A37" s="972">
        <v>1994.04</v>
      </c>
      <c r="B37" s="688">
        <v>222.20162420799187</v>
      </c>
      <c r="C37" s="685"/>
      <c r="D37" s="693"/>
      <c r="E37" s="691"/>
      <c r="F37" s="1011"/>
      <c r="G37" s="588"/>
      <c r="H37" s="1011"/>
      <c r="I37" s="1428"/>
    </row>
    <row r="38" spans="1:9">
      <c r="A38" s="972">
        <v>1994.05</v>
      </c>
      <c r="B38" s="688">
        <v>240.77230790054949</v>
      </c>
      <c r="C38" s="685"/>
      <c r="D38" s="693"/>
      <c r="E38" s="691"/>
      <c r="F38" s="1011"/>
      <c r="G38" s="588"/>
      <c r="H38" s="1011"/>
      <c r="I38" s="1428"/>
    </row>
    <row r="39" spans="1:9">
      <c r="A39" s="972">
        <v>1994.06</v>
      </c>
      <c r="B39" s="688">
        <v>298.70803545468368</v>
      </c>
      <c r="C39" s="685"/>
      <c r="D39" s="693"/>
      <c r="E39" s="691"/>
      <c r="F39" s="1011"/>
      <c r="G39" s="588"/>
      <c r="H39" s="1011"/>
      <c r="I39" s="1428"/>
    </row>
    <row r="40" spans="1:9">
      <c r="A40" s="972">
        <v>1994.07</v>
      </c>
      <c r="B40" s="688">
        <v>250.34414907699056</v>
      </c>
      <c r="C40" s="685"/>
      <c r="D40" s="693"/>
      <c r="E40" s="691"/>
      <c r="F40" s="1011"/>
      <c r="G40" s="588"/>
      <c r="H40" s="1011"/>
      <c r="I40" s="1428"/>
    </row>
    <row r="41" spans="1:9">
      <c r="A41" s="972">
        <v>1994.08</v>
      </c>
      <c r="B41" s="688">
        <v>249.36803190440398</v>
      </c>
      <c r="C41" s="685"/>
      <c r="D41" s="693"/>
      <c r="E41" s="691"/>
      <c r="F41" s="1011"/>
      <c r="G41" s="588"/>
      <c r="H41" s="1011"/>
      <c r="I41" s="1428"/>
    </row>
    <row r="42" spans="1:9">
      <c r="A42" s="972">
        <v>1994.09</v>
      </c>
      <c r="B42" s="688">
        <v>260.72967340857463</v>
      </c>
      <c r="C42" s="685"/>
      <c r="D42" s="693"/>
      <c r="E42" s="691"/>
      <c r="F42" s="1011"/>
      <c r="G42" s="588"/>
      <c r="H42" s="1011"/>
      <c r="I42" s="1428"/>
    </row>
    <row r="43" spans="1:9">
      <c r="A43" s="972">
        <v>1994.1</v>
      </c>
      <c r="B43" s="688">
        <v>262.35816441791422</v>
      </c>
      <c r="C43" s="685"/>
      <c r="D43" s="693"/>
      <c r="E43" s="691"/>
      <c r="F43" s="1011"/>
      <c r="G43" s="588"/>
      <c r="H43" s="1011"/>
      <c r="I43" s="1428"/>
    </row>
    <row r="44" spans="1:9">
      <c r="A44" s="972">
        <v>1994.11</v>
      </c>
      <c r="B44" s="688">
        <v>279.29584164231653</v>
      </c>
      <c r="C44" s="685"/>
      <c r="D44" s="693"/>
      <c r="E44" s="691"/>
      <c r="F44" s="1011"/>
      <c r="G44" s="588"/>
      <c r="H44" s="1011"/>
      <c r="I44" s="1428"/>
    </row>
    <row r="45" spans="1:9">
      <c r="A45" s="972">
        <v>1994.12</v>
      </c>
      <c r="B45" s="688">
        <v>603.12129395594638</v>
      </c>
      <c r="C45" s="685"/>
      <c r="D45" s="693"/>
      <c r="E45" s="691"/>
      <c r="F45" s="1011"/>
      <c r="G45" s="588"/>
      <c r="H45" s="1011"/>
      <c r="I45" s="1428"/>
    </row>
    <row r="46" spans="1:9">
      <c r="A46" s="972">
        <v>1995.01</v>
      </c>
      <c r="B46" s="688">
        <v>196.52840698375147</v>
      </c>
      <c r="C46" s="685"/>
      <c r="D46" s="693"/>
      <c r="E46" s="691"/>
      <c r="F46" s="3778">
        <v>0</v>
      </c>
      <c r="G46" s="3779">
        <f>+F46</f>
        <v>0</v>
      </c>
      <c r="H46" s="3780">
        <v>0</v>
      </c>
      <c r="I46" s="3433">
        <f>+H46</f>
        <v>0</v>
      </c>
    </row>
    <row r="47" spans="1:9">
      <c r="A47" s="972">
        <v>1995.02</v>
      </c>
      <c r="B47" s="688">
        <v>203.00583686777483</v>
      </c>
      <c r="C47" s="685"/>
      <c r="D47" s="693"/>
      <c r="E47" s="691"/>
      <c r="F47" s="947">
        <v>0.24553069</v>
      </c>
      <c r="G47" s="1946">
        <f>SUM(F46:F47)</f>
        <v>0.24553069</v>
      </c>
      <c r="H47" s="947">
        <v>0.24553069</v>
      </c>
      <c r="I47" s="2365">
        <f>SUM(H46:H47)</f>
        <v>0.24553069</v>
      </c>
    </row>
    <row r="48" spans="1:9">
      <c r="A48" s="972">
        <v>1995.03</v>
      </c>
      <c r="B48" s="688">
        <v>242.72552129755209</v>
      </c>
      <c r="C48" s="685"/>
      <c r="D48" s="693"/>
      <c r="E48" s="691"/>
      <c r="F48" s="947">
        <v>8.7624042400000004</v>
      </c>
      <c r="G48" s="1946">
        <f>SUM(F46:F48)</f>
        <v>9.0079349300000011</v>
      </c>
      <c r="H48" s="947">
        <v>8.6608302500000001</v>
      </c>
      <c r="I48" s="2365">
        <f>SUM(H46:H48)</f>
        <v>8.9063609400000008</v>
      </c>
    </row>
    <row r="49" spans="1:9">
      <c r="A49" s="972">
        <v>1995.04</v>
      </c>
      <c r="B49" s="688">
        <v>241.58328501066234</v>
      </c>
      <c r="C49" s="685"/>
      <c r="D49" s="693"/>
      <c r="E49" s="691"/>
      <c r="F49" s="947">
        <v>0.49660102</v>
      </c>
      <c r="G49" s="1946">
        <f>SUM(F46:F49)</f>
        <v>9.5045359500000011</v>
      </c>
      <c r="H49" s="947">
        <v>0.46714177000000001</v>
      </c>
      <c r="I49" s="2365">
        <f>SUM(H46:H49)</f>
        <v>9.3735027100000003</v>
      </c>
    </row>
    <row r="50" spans="1:9">
      <c r="A50" s="972">
        <v>1995.05</v>
      </c>
      <c r="B50" s="688">
        <v>261.77380696266454</v>
      </c>
      <c r="C50" s="685"/>
      <c r="D50" s="693"/>
      <c r="E50" s="691"/>
      <c r="F50" s="947">
        <v>5.8002449900000004</v>
      </c>
      <c r="G50" s="1946">
        <f>SUM(F46:F50)</f>
        <v>15.304780940000001</v>
      </c>
      <c r="H50" s="947">
        <v>5.8002449900000004</v>
      </c>
      <c r="I50" s="2365">
        <f>SUM(H46:H50)</f>
        <v>15.1737477</v>
      </c>
    </row>
    <row r="51" spans="1:9">
      <c r="A51" s="972">
        <v>1995.06</v>
      </c>
      <c r="B51" s="688">
        <v>324.76301071803067</v>
      </c>
      <c r="C51" s="685"/>
      <c r="D51" s="693"/>
      <c r="E51" s="691"/>
      <c r="F51" s="947">
        <v>4.0005891399999998</v>
      </c>
      <c r="G51" s="1946">
        <f>SUM(F46:F51)</f>
        <v>19.305370079999999</v>
      </c>
      <c r="H51" s="947">
        <v>3.9407391399999998</v>
      </c>
      <c r="I51" s="2365">
        <f>SUM(H46:H51)</f>
        <v>19.114486839999998</v>
      </c>
    </row>
    <row r="52" spans="1:9">
      <c r="A52" s="972">
        <v>1995.07</v>
      </c>
      <c r="B52" s="688">
        <v>272.18055733295182</v>
      </c>
      <c r="C52" s="685"/>
      <c r="D52" s="693"/>
      <c r="E52" s="691"/>
      <c r="F52" s="947">
        <v>0.72540853999999999</v>
      </c>
      <c r="G52" s="1946">
        <f>SUM(F46:F52)</f>
        <v>20.03077862</v>
      </c>
      <c r="H52" s="947">
        <v>0.72540853999999999</v>
      </c>
      <c r="I52" s="2365">
        <f>SUM(H46:H52)</f>
        <v>19.839895379999998</v>
      </c>
    </row>
    <row r="53" spans="1:9">
      <c r="A53" s="972">
        <v>1995.08</v>
      </c>
      <c r="B53" s="688">
        <v>271.11929779468647</v>
      </c>
      <c r="C53" s="685"/>
      <c r="D53" s="693"/>
      <c r="E53" s="691"/>
      <c r="F53" s="947">
        <v>1.21372434</v>
      </c>
      <c r="G53" s="1946">
        <f>SUM(F46:F53)</f>
        <v>21.244502959999998</v>
      </c>
      <c r="H53" s="947">
        <v>1.14921439</v>
      </c>
      <c r="I53" s="2365">
        <f>SUM(H46:H53)</f>
        <v>20.989109769999999</v>
      </c>
    </row>
    <row r="54" spans="1:9">
      <c r="A54" s="972">
        <v>1995.09</v>
      </c>
      <c r="B54" s="688">
        <v>283.47196482614697</v>
      </c>
      <c r="C54" s="685"/>
      <c r="D54" s="693"/>
      <c r="E54" s="691"/>
      <c r="F54" s="947">
        <v>18.578422490000001</v>
      </c>
      <c r="G54" s="1946">
        <f>SUM(F46:F54)</f>
        <v>39.82292545</v>
      </c>
      <c r="H54" s="947">
        <v>2.5784224899999999</v>
      </c>
      <c r="I54" s="2365">
        <f>SUM(H46:H54)</f>
        <v>23.56753226</v>
      </c>
    </row>
    <row r="55" spans="1:9">
      <c r="A55" s="972">
        <v>1995.1</v>
      </c>
      <c r="B55" s="688">
        <v>285.24250187351947</v>
      </c>
      <c r="C55" s="685"/>
      <c r="D55" s="693"/>
      <c r="E55" s="691"/>
      <c r="F55" s="947">
        <v>2.70881813</v>
      </c>
      <c r="G55" s="1946">
        <f>SUM(F46:F55)</f>
        <v>42.531743579999997</v>
      </c>
      <c r="H55" s="947">
        <v>2.70856473</v>
      </c>
      <c r="I55" s="2365">
        <f>SUM(H46:H55)</f>
        <v>26.276096989999999</v>
      </c>
    </row>
    <row r="56" spans="1:9">
      <c r="A56" s="972">
        <v>1995.11</v>
      </c>
      <c r="B56" s="688">
        <v>303.65757745591577</v>
      </c>
      <c r="C56" s="685"/>
      <c r="D56" s="693"/>
      <c r="E56" s="691"/>
      <c r="F56" s="947">
        <v>1.23366672</v>
      </c>
      <c r="G56" s="1946">
        <f>SUM(F46:F56)</f>
        <v>43.765410299999999</v>
      </c>
      <c r="H56" s="947">
        <v>1.22158853</v>
      </c>
      <c r="I56" s="2365">
        <f>SUM(H46:H56)</f>
        <v>27.497685519999997</v>
      </c>
    </row>
    <row r="57" spans="1:9">
      <c r="A57" s="972">
        <v>1995.12</v>
      </c>
      <c r="B57" s="688">
        <v>655.72888575005447</v>
      </c>
      <c r="C57" s="685"/>
      <c r="D57" s="693"/>
      <c r="E57" s="691"/>
      <c r="F57" s="947">
        <v>4.2157577000000002</v>
      </c>
      <c r="G57" s="1946">
        <f>SUM(F46:F57)</f>
        <v>47.981167999999997</v>
      </c>
      <c r="H57" s="947">
        <v>3.9340587</v>
      </c>
      <c r="I57" s="2365">
        <f>SUM(H46:H57)</f>
        <v>31.431744219999999</v>
      </c>
    </row>
    <row r="58" spans="1:9">
      <c r="A58" s="972">
        <v>1996.01</v>
      </c>
      <c r="B58" s="688">
        <v>185.86911522385921</v>
      </c>
      <c r="C58" s="685"/>
      <c r="D58" s="693"/>
      <c r="E58" s="691"/>
      <c r="F58" s="947">
        <v>0.44852500000000001</v>
      </c>
      <c r="G58" s="1946">
        <f>+F58</f>
        <v>0.44852500000000001</v>
      </c>
      <c r="H58" s="947">
        <v>0.44852500000000001</v>
      </c>
      <c r="I58" s="2365">
        <f>+H58</f>
        <v>0.44852500000000001</v>
      </c>
    </row>
    <row r="59" spans="1:9">
      <c r="A59" s="972">
        <v>1996.02</v>
      </c>
      <c r="B59" s="688">
        <v>191.99522279245892</v>
      </c>
      <c r="C59" s="685"/>
      <c r="D59" s="693"/>
      <c r="E59" s="691"/>
      <c r="F59" s="947">
        <v>6.3515934700000001</v>
      </c>
      <c r="G59" s="1946">
        <f>SUM(F58:F59)</f>
        <v>6.8001184700000001</v>
      </c>
      <c r="H59" s="947">
        <v>6.3515934700000001</v>
      </c>
      <c r="I59" s="2365">
        <f>SUM(H58:H59)</f>
        <v>6.8001184700000001</v>
      </c>
    </row>
    <row r="60" spans="1:9">
      <c r="A60" s="972">
        <v>1996.03</v>
      </c>
      <c r="B60" s="688">
        <v>229.56059420741161</v>
      </c>
      <c r="C60" s="685"/>
      <c r="D60" s="693"/>
      <c r="E60" s="691"/>
      <c r="F60" s="947">
        <v>2.9331885799999999</v>
      </c>
      <c r="G60" s="1946">
        <f>SUM(F58:F60)</f>
        <v>9.7333070500000005</v>
      </c>
      <c r="H60" s="947">
        <v>2.6498292299999999</v>
      </c>
      <c r="I60" s="2365">
        <f>SUM(H58:H60)</f>
        <v>9.4499476999999992</v>
      </c>
    </row>
    <row r="61" spans="1:9">
      <c r="A61" s="972">
        <v>1996.04</v>
      </c>
      <c r="B61" s="688">
        <v>228.48031043938443</v>
      </c>
      <c r="C61" s="685"/>
      <c r="D61" s="693"/>
      <c r="E61" s="691"/>
      <c r="F61" s="947">
        <v>2.7304271600000001</v>
      </c>
      <c r="G61" s="1946">
        <f>SUM(F58:F61)</f>
        <v>12.46373421</v>
      </c>
      <c r="H61" s="947">
        <v>2.6297549999999998</v>
      </c>
      <c r="I61" s="2365">
        <f>SUM(H58:H61)</f>
        <v>12.079702699999999</v>
      </c>
    </row>
    <row r="62" spans="1:9">
      <c r="A62" s="972">
        <v>1996.05</v>
      </c>
      <c r="B62" s="688">
        <v>247.57574050327756</v>
      </c>
      <c r="C62" s="685"/>
      <c r="D62" s="693"/>
      <c r="E62" s="691"/>
      <c r="F62" s="947">
        <v>0.49548342000000001</v>
      </c>
      <c r="G62" s="1946">
        <f>SUM(F58:F62)</f>
        <v>12.959217629999999</v>
      </c>
      <c r="H62" s="947">
        <v>0.46723853999999998</v>
      </c>
      <c r="I62" s="2365">
        <f>SUM(H58:H62)</f>
        <v>12.546941239999999</v>
      </c>
    </row>
    <row r="63" spans="1:9">
      <c r="A63" s="972">
        <v>1996.06</v>
      </c>
      <c r="B63" s="688">
        <v>307.14854094648916</v>
      </c>
      <c r="C63" s="685"/>
      <c r="D63" s="693"/>
      <c r="E63" s="691"/>
      <c r="F63" s="947">
        <v>1.9175651600000001</v>
      </c>
      <c r="G63" s="1946">
        <f>SUM(F58:F63)</f>
        <v>14.87678279</v>
      </c>
      <c r="H63" s="947">
        <v>1.9120495099999999</v>
      </c>
      <c r="I63" s="2365">
        <f>SUM(H58:H63)</f>
        <v>14.458990749999998</v>
      </c>
    </row>
    <row r="64" spans="1:9">
      <c r="A64" s="972">
        <v>1996.07</v>
      </c>
      <c r="B64" s="688">
        <v>257.41805039306763</v>
      </c>
      <c r="C64" s="685"/>
      <c r="D64" s="693"/>
      <c r="E64" s="691"/>
      <c r="F64" s="947">
        <v>1.2300430600000001</v>
      </c>
      <c r="G64" s="1946">
        <f>SUM(F58:F64)</f>
        <v>16.10682585</v>
      </c>
      <c r="H64" s="947">
        <v>1.22420774</v>
      </c>
      <c r="I64" s="2365">
        <f>SUM(H58:H64)</f>
        <v>15.683198489999999</v>
      </c>
    </row>
    <row r="65" spans="1:9">
      <c r="A65" s="972">
        <v>1996.08</v>
      </c>
      <c r="B65" s="688">
        <v>256.4143513633565</v>
      </c>
      <c r="C65" s="685"/>
      <c r="D65" s="693"/>
      <c r="E65" s="691"/>
      <c r="F65" s="947">
        <v>0.39872453000000002</v>
      </c>
      <c r="G65" s="1946">
        <f>SUM(F58:F65)</f>
        <v>16.505550379999999</v>
      </c>
      <c r="H65" s="947">
        <v>0.39872453000000002</v>
      </c>
      <c r="I65" s="2365">
        <f>SUM(H58:H65)</f>
        <v>16.081923019999998</v>
      </c>
    </row>
    <row r="66" spans="1:9">
      <c r="A66" s="972">
        <v>1996.09</v>
      </c>
      <c r="B66" s="688">
        <v>268.09703544465737</v>
      </c>
      <c r="C66" s="685"/>
      <c r="D66" s="693"/>
      <c r="E66" s="691"/>
      <c r="F66" s="947">
        <v>0.44481974000000002</v>
      </c>
      <c r="G66" s="1946">
        <f>SUM(F58:F66)</f>
        <v>16.950370119999999</v>
      </c>
      <c r="H66" s="947">
        <v>0.17700677000000001</v>
      </c>
      <c r="I66" s="2365">
        <f>SUM(H58:H66)</f>
        <v>16.258929789999996</v>
      </c>
    </row>
    <row r="67" spans="1:9">
      <c r="A67" s="972">
        <v>1996.1</v>
      </c>
      <c r="B67" s="688">
        <v>269.77154224760221</v>
      </c>
      <c r="C67" s="685"/>
      <c r="D67" s="693"/>
      <c r="E67" s="691"/>
      <c r="F67" s="947">
        <v>0.77033905000000003</v>
      </c>
      <c r="G67" s="1946">
        <f>SUM(F58:F67)</f>
        <v>17.720709169999999</v>
      </c>
      <c r="H67" s="947">
        <v>0.75078747999999995</v>
      </c>
      <c r="I67" s="2365">
        <f>SUM(H58:H67)</f>
        <v>17.009717269999996</v>
      </c>
    </row>
    <row r="68" spans="1:9">
      <c r="A68" s="972">
        <v>1996.11</v>
      </c>
      <c r="B68" s="688">
        <v>287.18782245773735</v>
      </c>
      <c r="C68" s="685"/>
      <c r="D68" s="693"/>
      <c r="E68" s="691"/>
      <c r="F68" s="947">
        <v>0</v>
      </c>
      <c r="G68" s="1946">
        <f>SUM(F58:F68)</f>
        <v>17.720709169999999</v>
      </c>
      <c r="H68" s="947">
        <v>0</v>
      </c>
      <c r="I68" s="2365">
        <f>SUM(H58:H68)</f>
        <v>17.009717269999996</v>
      </c>
    </row>
    <row r="69" spans="1:9">
      <c r="A69" s="972">
        <v>1996.12</v>
      </c>
      <c r="B69" s="688">
        <v>620.16351575661236</v>
      </c>
      <c r="C69" s="685"/>
      <c r="D69" s="693"/>
      <c r="E69" s="691"/>
      <c r="F69" s="947">
        <v>1.32065823</v>
      </c>
      <c r="G69" s="1946">
        <f>SUM(F58:F69)</f>
        <v>19.041367399999999</v>
      </c>
      <c r="H69" s="947">
        <v>1.26634723</v>
      </c>
      <c r="I69" s="2365">
        <f>SUM(H58:H69)</f>
        <v>18.276064499999997</v>
      </c>
    </row>
    <row r="70" spans="1:9">
      <c r="A70" s="972">
        <v>1997.01</v>
      </c>
      <c r="B70" s="688">
        <v>192.88181739006887</v>
      </c>
      <c r="C70" s="685"/>
      <c r="D70" s="693"/>
      <c r="E70" s="691"/>
      <c r="F70" s="947">
        <v>34.35059433</v>
      </c>
      <c r="G70" s="1946">
        <f>+F70</f>
        <v>34.35059433</v>
      </c>
      <c r="H70" s="947">
        <v>0.77719899999999997</v>
      </c>
      <c r="I70" s="2365">
        <f>+H70</f>
        <v>0.77719899999999997</v>
      </c>
    </row>
    <row r="71" spans="1:9">
      <c r="A71" s="972">
        <v>1997.02</v>
      </c>
      <c r="B71" s="688">
        <v>199.23905839772871</v>
      </c>
      <c r="C71" s="685"/>
      <c r="D71" s="693"/>
      <c r="E71" s="691"/>
      <c r="F71" s="947">
        <v>108.58699659</v>
      </c>
      <c r="G71" s="1946">
        <f>SUM(F70:F71)</f>
        <v>142.93759091999999</v>
      </c>
      <c r="H71" s="947">
        <v>6.4107169099999997</v>
      </c>
      <c r="I71" s="2365">
        <f>SUM(H70:H71)</f>
        <v>7.1879159099999992</v>
      </c>
    </row>
    <row r="72" spans="1:9">
      <c r="A72" s="972">
        <v>1997.03</v>
      </c>
      <c r="B72" s="688">
        <v>238.22174307195434</v>
      </c>
      <c r="C72" s="685"/>
      <c r="D72" s="693"/>
      <c r="E72" s="691"/>
      <c r="F72" s="947">
        <v>155.40444006999999</v>
      </c>
      <c r="G72" s="1946">
        <f>SUM(F70:F72)</f>
        <v>298.34203099000001</v>
      </c>
      <c r="H72" s="947">
        <v>25.53287199</v>
      </c>
      <c r="I72" s="2365">
        <f>SUM(H70:H72)</f>
        <v>32.720787899999998</v>
      </c>
    </row>
    <row r="73" spans="1:9">
      <c r="A73" s="972">
        <v>1997.04</v>
      </c>
      <c r="B73" s="688">
        <v>237.10070100844035</v>
      </c>
      <c r="C73" s="685"/>
      <c r="D73" s="693"/>
      <c r="E73" s="691"/>
      <c r="F73" s="947">
        <v>225.2050237</v>
      </c>
      <c r="G73" s="1946">
        <f>SUM(F70:F73)</f>
        <v>523.54705468999998</v>
      </c>
      <c r="H73" s="947">
        <v>8.4781604399999999</v>
      </c>
      <c r="I73" s="2365">
        <f>SUM(H70:H73)</f>
        <v>41.198948340000001</v>
      </c>
    </row>
    <row r="74" spans="1:9">
      <c r="A74" s="972">
        <v>1997.05</v>
      </c>
      <c r="B74" s="688">
        <v>256.91658731172805</v>
      </c>
      <c r="C74" s="685"/>
      <c r="D74" s="693"/>
      <c r="E74" s="691"/>
      <c r="F74" s="947">
        <v>60.315810939999999</v>
      </c>
      <c r="G74" s="1946">
        <f>SUM(F70:F74)</f>
        <v>583.86286562999999</v>
      </c>
      <c r="H74" s="947">
        <v>13.604035359999999</v>
      </c>
      <c r="I74" s="2365">
        <f>SUM(H70:H74)</f>
        <v>54.802983699999999</v>
      </c>
    </row>
    <row r="75" spans="1:9">
      <c r="A75" s="972">
        <v>1997.06</v>
      </c>
      <c r="B75" s="688">
        <v>318.73702478819354</v>
      </c>
      <c r="C75" s="685"/>
      <c r="D75" s="693"/>
      <c r="E75" s="691"/>
      <c r="F75" s="947">
        <v>283.71044812999997</v>
      </c>
      <c r="G75" s="1946">
        <f>SUM(F70:F75)</f>
        <v>867.57331376000002</v>
      </c>
      <c r="H75" s="947">
        <v>21.484669539999999</v>
      </c>
      <c r="I75" s="2365">
        <f>SUM(H70:H75)</f>
        <v>76.287653239999997</v>
      </c>
    </row>
    <row r="76" spans="1:9">
      <c r="A76" s="972">
        <v>1997.07</v>
      </c>
      <c r="B76" s="688">
        <v>267.13024016401891</v>
      </c>
      <c r="C76" s="685"/>
      <c r="D76" s="693"/>
      <c r="E76" s="691"/>
      <c r="F76" s="947">
        <v>130.44619865000001</v>
      </c>
      <c r="G76" s="1946">
        <f>SUM(F70:F76)</f>
        <v>998.01951241000006</v>
      </c>
      <c r="H76" s="947">
        <v>6.2928386400000003</v>
      </c>
      <c r="I76" s="2365">
        <f>SUM(H70:H76)</f>
        <v>82.580491879999997</v>
      </c>
    </row>
    <row r="77" spans="1:9">
      <c r="A77" s="972">
        <v>1997.08</v>
      </c>
      <c r="B77" s="688">
        <v>266.08867232349758</v>
      </c>
      <c r="C77" s="685"/>
      <c r="D77" s="693"/>
      <c r="E77" s="691"/>
      <c r="F77" s="947">
        <v>133.49302931</v>
      </c>
      <c r="G77" s="1946">
        <f>SUM(F70:F77)</f>
        <v>1131.5125417200002</v>
      </c>
      <c r="H77" s="947">
        <v>15.689547810000001</v>
      </c>
      <c r="I77" s="2365">
        <f>SUM(H70:H77)</f>
        <v>98.270039690000004</v>
      </c>
    </row>
    <row r="78" spans="1:9">
      <c r="A78" s="972">
        <v>1997.09</v>
      </c>
      <c r="B78" s="688">
        <v>278.21213530378554</v>
      </c>
      <c r="C78" s="685"/>
      <c r="D78" s="693"/>
      <c r="E78" s="691"/>
      <c r="F78" s="947">
        <v>159.63123626999999</v>
      </c>
      <c r="G78" s="1946">
        <f>SUM(F70:F78)</f>
        <v>1291.1437779900002</v>
      </c>
      <c r="H78" s="947">
        <v>16.497698849999999</v>
      </c>
      <c r="I78" s="2365">
        <f>SUM(H70:H78)</f>
        <v>114.76773854000001</v>
      </c>
    </row>
    <row r="79" spans="1:9">
      <c r="A79" s="972">
        <v>1997.1</v>
      </c>
      <c r="B79" s="688">
        <v>279.94981999117988</v>
      </c>
      <c r="C79" s="685"/>
      <c r="D79" s="693"/>
      <c r="E79" s="691"/>
      <c r="F79" s="947">
        <v>58.181167219999999</v>
      </c>
      <c r="G79" s="1946">
        <f>SUM(F70:F79)</f>
        <v>1349.3249452100001</v>
      </c>
      <c r="H79" s="947">
        <v>9.6417389599999996</v>
      </c>
      <c r="I79" s="2365">
        <f>SUM(H70:H79)</f>
        <v>124.40947750000001</v>
      </c>
    </row>
    <row r="80" spans="1:9">
      <c r="A80" s="972">
        <v>1997.11</v>
      </c>
      <c r="B80" s="688">
        <v>298.02320337743885</v>
      </c>
      <c r="C80" s="685"/>
      <c r="D80" s="693"/>
      <c r="E80" s="691"/>
      <c r="F80" s="947">
        <v>213.28188012999999</v>
      </c>
      <c r="G80" s="1946">
        <f>SUM(F70:F80)</f>
        <v>1562.6068253400001</v>
      </c>
      <c r="H80" s="947">
        <v>14.316903959999999</v>
      </c>
      <c r="I80" s="2365">
        <f>SUM(H70:H80)</f>
        <v>138.72638146</v>
      </c>
    </row>
    <row r="81" spans="1:9">
      <c r="A81" s="972">
        <v>1997.12</v>
      </c>
      <c r="B81" s="688">
        <v>643.56181958515685</v>
      </c>
      <c r="C81" s="685"/>
      <c r="D81" s="693"/>
      <c r="E81" s="691"/>
      <c r="F81" s="947">
        <v>221.18360247000001</v>
      </c>
      <c r="G81" s="1946">
        <f>SUM(F70:F81)</f>
        <v>1783.7904278100002</v>
      </c>
      <c r="H81" s="947">
        <v>30.324213069999999</v>
      </c>
      <c r="I81" s="2365">
        <f>SUM(H70:H81)</f>
        <v>169.05059453000001</v>
      </c>
    </row>
    <row r="82" spans="1:9">
      <c r="A82" s="972">
        <v>1998.01</v>
      </c>
      <c r="B82" s="688">
        <v>219.6008039971737</v>
      </c>
      <c r="C82" s="685"/>
      <c r="D82" s="693"/>
      <c r="E82" s="691"/>
      <c r="F82" s="947">
        <v>46.142823399999997</v>
      </c>
      <c r="G82" s="1946">
        <f>+F82</f>
        <v>46.142823399999997</v>
      </c>
      <c r="H82" s="947">
        <v>1.4416108400000001</v>
      </c>
      <c r="I82" s="2365">
        <f>+H82</f>
        <v>1.4416108400000001</v>
      </c>
    </row>
    <row r="83" spans="1:9">
      <c r="A83" s="972">
        <v>1998.02</v>
      </c>
      <c r="B83" s="688">
        <v>226.83868289823485</v>
      </c>
      <c r="C83" s="685"/>
      <c r="D83" s="693"/>
      <c r="E83" s="691"/>
      <c r="F83" s="947">
        <v>256.07817527999998</v>
      </c>
      <c r="G83" s="1946">
        <f>SUM(F82:F83)</f>
        <v>302.22099867999998</v>
      </c>
      <c r="H83" s="947">
        <v>7.7665877500000002</v>
      </c>
      <c r="I83" s="2365">
        <f>SUM(H82:H83)</f>
        <v>9.2081985900000003</v>
      </c>
    </row>
    <row r="84" spans="1:9">
      <c r="A84" s="972">
        <v>1998.03</v>
      </c>
      <c r="B84" s="688">
        <v>271.22145060679452</v>
      </c>
      <c r="C84" s="685"/>
      <c r="D84" s="693"/>
      <c r="E84" s="691"/>
      <c r="F84" s="947">
        <v>173.25479584999999</v>
      </c>
      <c r="G84" s="1946">
        <f>SUM(F82:F84)</f>
        <v>475.47579452999997</v>
      </c>
      <c r="H84" s="947">
        <v>14.92315726</v>
      </c>
      <c r="I84" s="2365">
        <f>SUM(H82:H84)</f>
        <v>24.131355849999998</v>
      </c>
    </row>
    <row r="85" spans="1:9">
      <c r="A85" s="972">
        <v>1998.04</v>
      </c>
      <c r="B85" s="688">
        <v>269.94511600048753</v>
      </c>
      <c r="C85" s="685"/>
      <c r="D85" s="693"/>
      <c r="E85" s="691"/>
      <c r="F85" s="947">
        <v>159.6374266</v>
      </c>
      <c r="G85" s="1946">
        <f>SUM(F82:F85)</f>
        <v>635.11322112999994</v>
      </c>
      <c r="H85" s="947">
        <v>10.52697247</v>
      </c>
      <c r="I85" s="2365">
        <f>SUM(H82:H85)</f>
        <v>34.658328319999995</v>
      </c>
    </row>
    <row r="86" spans="1:9">
      <c r="A86" s="972">
        <v>1998.05</v>
      </c>
      <c r="B86" s="688">
        <v>292.50600132913547</v>
      </c>
      <c r="C86" s="685"/>
      <c r="D86" s="693"/>
      <c r="E86" s="691"/>
      <c r="F86" s="947">
        <v>162.82377378999999</v>
      </c>
      <c r="G86" s="1946">
        <f>SUM(F82:F86)</f>
        <v>797.93699491999996</v>
      </c>
      <c r="H86" s="947">
        <v>13.032056239999999</v>
      </c>
      <c r="I86" s="2365">
        <f>SUM(H82:H86)</f>
        <v>47.690384559999998</v>
      </c>
    </row>
    <row r="87" spans="1:9">
      <c r="A87" s="972">
        <v>1998.06</v>
      </c>
      <c r="B87" s="688">
        <v>362.89012543677063</v>
      </c>
      <c r="C87" s="685"/>
      <c r="D87" s="693"/>
      <c r="E87" s="691"/>
      <c r="F87" s="947">
        <v>226.76817068</v>
      </c>
      <c r="G87" s="1946">
        <f>SUM(F82:F87)</f>
        <v>1024.7051655999999</v>
      </c>
      <c r="H87" s="947">
        <v>10.856854419999999</v>
      </c>
      <c r="I87" s="2365">
        <f>SUM(H82:H87)</f>
        <v>58.547238979999996</v>
      </c>
    </row>
    <row r="88" spans="1:9">
      <c r="A88" s="972">
        <v>1998.07</v>
      </c>
      <c r="B88" s="688">
        <v>304.13450218245953</v>
      </c>
      <c r="C88" s="685"/>
      <c r="D88" s="693"/>
      <c r="E88" s="691"/>
      <c r="F88" s="947">
        <v>172.96473058999999</v>
      </c>
      <c r="G88" s="1946">
        <f>SUM(F82:F88)</f>
        <v>1197.6698961899999</v>
      </c>
      <c r="H88" s="947">
        <v>5.7681098899999999</v>
      </c>
      <c r="I88" s="2365">
        <f>SUM(H82:H88)</f>
        <v>64.315348869999994</v>
      </c>
    </row>
    <row r="89" spans="1:9">
      <c r="A89" s="972">
        <v>1998.08</v>
      </c>
      <c r="B89" s="688">
        <v>302.94865097942193</v>
      </c>
      <c r="C89" s="685"/>
      <c r="D89" s="693"/>
      <c r="E89" s="691"/>
      <c r="F89" s="947">
        <v>178.14457160000001</v>
      </c>
      <c r="G89" s="1946">
        <f>SUM(F82:F89)</f>
        <v>1375.81446779</v>
      </c>
      <c r="H89" s="947">
        <v>20.310661249999999</v>
      </c>
      <c r="I89" s="2365">
        <f>SUM(H82:H89)</f>
        <v>84.626010119999989</v>
      </c>
    </row>
    <row r="90" spans="1:9">
      <c r="A90" s="972">
        <v>1998.09</v>
      </c>
      <c r="B90" s="688">
        <v>316.75151873401774</v>
      </c>
      <c r="C90" s="685"/>
      <c r="D90" s="693"/>
      <c r="E90" s="691"/>
      <c r="F90" s="947">
        <v>192.68637269999999</v>
      </c>
      <c r="G90" s="1946">
        <f>SUM(F82:F90)</f>
        <v>1568.50084049</v>
      </c>
      <c r="H90" s="947">
        <v>19.08760681</v>
      </c>
      <c r="I90" s="2365">
        <f>SUM(H82:H90)</f>
        <v>103.71361692999999</v>
      </c>
    </row>
    <row r="91" spans="1:9">
      <c r="A91" s="972">
        <v>1998.1</v>
      </c>
      <c r="B91" s="688">
        <v>318.72991648870942</v>
      </c>
      <c r="C91" s="685"/>
      <c r="D91" s="693"/>
      <c r="E91" s="691"/>
      <c r="F91" s="947">
        <v>148.06131574</v>
      </c>
      <c r="G91" s="1946">
        <f>SUM(F82:F91)</f>
        <v>1716.56215623</v>
      </c>
      <c r="H91" s="947">
        <v>5.6656145100000002</v>
      </c>
      <c r="I91" s="2365">
        <f>SUM(H82:H91)</f>
        <v>109.37923143999998</v>
      </c>
    </row>
    <row r="92" spans="1:9">
      <c r="A92" s="972">
        <v>1998.11</v>
      </c>
      <c r="B92" s="688">
        <v>339.30691838695049</v>
      </c>
      <c r="C92" s="685"/>
      <c r="D92" s="693"/>
      <c r="E92" s="691"/>
      <c r="F92" s="947">
        <v>30.989888539999999</v>
      </c>
      <c r="G92" s="1946">
        <f>SUM(F82:F92)</f>
        <v>1747.5520447700001</v>
      </c>
      <c r="H92" s="947">
        <v>5.4366935500000002</v>
      </c>
      <c r="I92" s="2365">
        <f>SUM(H82:H92)</f>
        <v>114.81592498999998</v>
      </c>
    </row>
    <row r="93" spans="1:9">
      <c r="A93" s="972">
        <v>1998.12</v>
      </c>
      <c r="B93" s="688">
        <v>732.71133025969277</v>
      </c>
      <c r="C93" s="685"/>
      <c r="D93" s="693"/>
      <c r="E93" s="691"/>
      <c r="F93" s="947">
        <v>359.01322341000002</v>
      </c>
      <c r="G93" s="1946">
        <f>SUM(F82:F93)</f>
        <v>2106.5652681800002</v>
      </c>
      <c r="H93" s="947">
        <v>30.40512159</v>
      </c>
      <c r="I93" s="2365">
        <f>SUM(H82:H93)</f>
        <v>145.22104657999998</v>
      </c>
    </row>
    <row r="94" spans="1:9">
      <c r="A94" s="972">
        <v>1999.01</v>
      </c>
      <c r="B94" s="688">
        <v>205.70210249630486</v>
      </c>
      <c r="C94" s="685"/>
      <c r="D94" s="693"/>
      <c r="E94" s="691"/>
      <c r="F94" s="947">
        <v>21.886339639999999</v>
      </c>
      <c r="G94" s="1946">
        <f>+F94</f>
        <v>21.886339639999999</v>
      </c>
      <c r="H94" s="947">
        <v>2.9998534000000001</v>
      </c>
      <c r="I94" s="2365">
        <f>+H94</f>
        <v>2.9998534000000001</v>
      </c>
    </row>
    <row r="95" spans="1:9">
      <c r="A95" s="972">
        <v>1999.02</v>
      </c>
      <c r="B95" s="688">
        <v>212.4818905501823</v>
      </c>
      <c r="C95" s="685"/>
      <c r="D95" s="693"/>
      <c r="E95" s="691"/>
      <c r="F95" s="947">
        <v>268.32915723000002</v>
      </c>
      <c r="G95" s="1946">
        <f>SUM(F94:F95)</f>
        <v>290.21549687000004</v>
      </c>
      <c r="H95" s="947">
        <v>6.1413892600000004</v>
      </c>
      <c r="I95" s="2365">
        <f>SUM(H94:H95)</f>
        <v>9.1412426599999996</v>
      </c>
    </row>
    <row r="96" spans="1:9">
      <c r="A96" s="972">
        <v>1999.03</v>
      </c>
      <c r="B96" s="688">
        <v>254.05563921629977</v>
      </c>
      <c r="C96" s="685"/>
      <c r="D96" s="693"/>
      <c r="E96" s="691"/>
      <c r="F96" s="947">
        <v>180.65537035</v>
      </c>
      <c r="G96" s="1946">
        <f>SUM(F94:F96)</f>
        <v>470.87086722000004</v>
      </c>
      <c r="H96" s="947">
        <v>16.741020880000001</v>
      </c>
      <c r="I96" s="2365">
        <f>SUM(H94:H96)</f>
        <v>25.88226354</v>
      </c>
    </row>
    <row r="97" spans="1:9">
      <c r="A97" s="972">
        <v>1999.04</v>
      </c>
      <c r="B97" s="688">
        <v>252.86008479560871</v>
      </c>
      <c r="C97" s="685"/>
      <c r="D97" s="693"/>
      <c r="E97" s="691"/>
      <c r="F97" s="947">
        <v>32.296885070000002</v>
      </c>
      <c r="G97" s="1946">
        <f>SUM(F94:F97)</f>
        <v>503.16775229000007</v>
      </c>
      <c r="H97" s="947">
        <v>5.96876915</v>
      </c>
      <c r="I97" s="2365">
        <f>SUM(H94:H97)</f>
        <v>31.85103269</v>
      </c>
    </row>
    <row r="98" spans="1:9">
      <c r="A98" s="972">
        <v>1999.05</v>
      </c>
      <c r="B98" s="688">
        <v>273.99307457437408</v>
      </c>
      <c r="C98" s="685"/>
      <c r="D98" s="693"/>
      <c r="E98" s="691"/>
      <c r="F98" s="947">
        <v>287.22192066999997</v>
      </c>
      <c r="G98" s="1946">
        <f>SUM(F94:F98)</f>
        <v>790.3896729600001</v>
      </c>
      <c r="H98" s="947">
        <v>9.0605122700000003</v>
      </c>
      <c r="I98" s="2365">
        <f>SUM(H94:H98)</f>
        <v>40.911544960000001</v>
      </c>
    </row>
    <row r="99" spans="1:9">
      <c r="A99" s="972">
        <v>1999.06</v>
      </c>
      <c r="B99" s="688">
        <v>339.92253406527715</v>
      </c>
      <c r="C99" s="685"/>
      <c r="D99" s="693"/>
      <c r="E99" s="691"/>
      <c r="F99" s="947">
        <v>229.15440978000001</v>
      </c>
      <c r="G99" s="1946">
        <f>SUM(F94:F99)</f>
        <v>1019.5440827400001</v>
      </c>
      <c r="H99" s="947">
        <v>15.913095569999999</v>
      </c>
      <c r="I99" s="2365">
        <f>SUM(H94:H99)</f>
        <v>56.824640529999996</v>
      </c>
    </row>
    <row r="100" spans="1:9">
      <c r="A100" s="972">
        <v>1999.07</v>
      </c>
      <c r="B100" s="688">
        <v>284.8855987858957</v>
      </c>
      <c r="C100" s="685"/>
      <c r="D100" s="693"/>
      <c r="E100" s="691"/>
      <c r="F100" s="947">
        <v>139.14076062999999</v>
      </c>
      <c r="G100" s="1946">
        <f>SUM(F94:F100)</f>
        <v>1158.6848433700002</v>
      </c>
      <c r="H100" s="947">
        <v>0.13843284</v>
      </c>
      <c r="I100" s="2365">
        <f>SUM(H94:H100)</f>
        <v>56.963073369999996</v>
      </c>
    </row>
    <row r="101" spans="1:9">
      <c r="A101" s="972">
        <v>1999.08</v>
      </c>
      <c r="B101" s="688">
        <v>283.77480100522934</v>
      </c>
      <c r="C101" s="685"/>
      <c r="D101" s="693"/>
      <c r="E101" s="691"/>
      <c r="F101" s="947">
        <v>174.75556639000001</v>
      </c>
      <c r="G101" s="1946">
        <f>SUM(F94:F101)</f>
        <v>1333.4404097600002</v>
      </c>
      <c r="H101" s="947">
        <v>16.07820813</v>
      </c>
      <c r="I101" s="2365">
        <f>SUM(H94:H101)</f>
        <v>73.041281499999997</v>
      </c>
    </row>
    <row r="102" spans="1:9">
      <c r="A102" s="972">
        <v>1999.09</v>
      </c>
      <c r="B102" s="688">
        <v>296.70407478710194</v>
      </c>
      <c r="C102" s="685"/>
      <c r="D102" s="693"/>
      <c r="E102" s="691"/>
      <c r="F102" s="947">
        <v>158.66187962000001</v>
      </c>
      <c r="G102" s="1946">
        <f>SUM(F94:F102)</f>
        <v>1492.1022893800002</v>
      </c>
      <c r="H102" s="947">
        <v>9.9383969899999993</v>
      </c>
      <c r="I102" s="2365">
        <f>SUM(H94:H102)</f>
        <v>82.979678489999998</v>
      </c>
    </row>
    <row r="103" spans="1:9">
      <c r="A103" s="972">
        <v>1999.1</v>
      </c>
      <c r="B103" s="688">
        <v>298.55725824684595</v>
      </c>
      <c r="C103" s="685"/>
      <c r="D103" s="693"/>
      <c r="E103" s="691"/>
      <c r="F103" s="947">
        <v>149.79619919999999</v>
      </c>
      <c r="G103" s="1946">
        <f>SUM(F94:F103)</f>
        <v>1641.8984885800003</v>
      </c>
      <c r="H103" s="947">
        <v>9.3434088000000006</v>
      </c>
      <c r="I103" s="2365">
        <f>SUM(H94:H103)</f>
        <v>92.323087290000004</v>
      </c>
    </row>
    <row r="104" spans="1:9">
      <c r="A104" s="972">
        <v>1999.11</v>
      </c>
      <c r="B104" s="688">
        <v>317.83192608273026</v>
      </c>
      <c r="C104" s="685"/>
      <c r="D104" s="693"/>
      <c r="E104" s="691"/>
      <c r="F104" s="947">
        <v>112.58875793</v>
      </c>
      <c r="G104" s="1946">
        <f>SUM(F94:F104)</f>
        <v>1754.4872465100002</v>
      </c>
      <c r="H104" s="947">
        <v>8.5883378799999992</v>
      </c>
      <c r="I104" s="2365">
        <f>SUM(H94:H104)</f>
        <v>100.91142517</v>
      </c>
    </row>
    <row r="105" spans="1:9">
      <c r="A105" s="972">
        <v>1999.12</v>
      </c>
      <c r="B105" s="688">
        <v>686.33747424359603</v>
      </c>
      <c r="C105" s="685"/>
      <c r="D105" s="693"/>
      <c r="E105" s="691"/>
      <c r="F105" s="947">
        <v>128.84609778999999</v>
      </c>
      <c r="G105" s="1946">
        <f>SUM(F94:F105)</f>
        <v>1883.3333443000001</v>
      </c>
      <c r="H105" s="947">
        <v>19.56431684</v>
      </c>
      <c r="I105" s="2365">
        <f>SUM(H94:H105)</f>
        <v>120.47574201</v>
      </c>
    </row>
    <row r="106" spans="1:9">
      <c r="A106" s="972">
        <v>2000.01</v>
      </c>
      <c r="B106" s="688">
        <v>208.53754988204912</v>
      </c>
      <c r="C106" s="685"/>
      <c r="D106" s="693"/>
      <c r="E106" s="691"/>
      <c r="F106" s="947">
        <v>23.546500640000001</v>
      </c>
      <c r="G106" s="1946">
        <f>+F106</f>
        <v>23.546500640000001</v>
      </c>
      <c r="H106" s="947">
        <v>0</v>
      </c>
      <c r="I106" s="2365">
        <f>+H106</f>
        <v>0</v>
      </c>
    </row>
    <row r="107" spans="1:9">
      <c r="A107" s="972">
        <v>2000.02</v>
      </c>
      <c r="B107" s="688">
        <v>215.4107921694029</v>
      </c>
      <c r="C107" s="685"/>
      <c r="D107" s="693"/>
      <c r="E107" s="691"/>
      <c r="F107" s="947">
        <v>214.05258164</v>
      </c>
      <c r="G107" s="1946">
        <f>SUM(F106:F107)</f>
        <v>237.59908228</v>
      </c>
      <c r="H107" s="947">
        <v>5.5206791300000004</v>
      </c>
      <c r="I107" s="2365">
        <f>SUM(H106:H107)</f>
        <v>5.5206791300000004</v>
      </c>
    </row>
    <row r="108" spans="1:9">
      <c r="A108" s="972">
        <v>2000.03</v>
      </c>
      <c r="B108" s="688">
        <v>257.55760341261799</v>
      </c>
      <c r="C108" s="685"/>
      <c r="D108" s="693"/>
      <c r="E108" s="691"/>
      <c r="F108" s="947">
        <v>163.8056914</v>
      </c>
      <c r="G108" s="1946">
        <f>SUM(F106:F108)</f>
        <v>401.40477368000001</v>
      </c>
      <c r="H108" s="947">
        <v>17.96026148</v>
      </c>
      <c r="I108" s="2365">
        <f>SUM(H106:H108)</f>
        <v>23.480940610000001</v>
      </c>
    </row>
    <row r="109" spans="1:9">
      <c r="A109" s="972">
        <v>2000.04</v>
      </c>
      <c r="B109" s="688">
        <v>256.3455691814849</v>
      </c>
      <c r="C109" s="685"/>
      <c r="D109" s="693"/>
      <c r="E109" s="691"/>
      <c r="F109" s="947">
        <v>135.72808898</v>
      </c>
      <c r="G109" s="1946">
        <f>SUM(F106:F109)</f>
        <v>537.13286266</v>
      </c>
      <c r="H109" s="947">
        <v>5.7854639600000004</v>
      </c>
      <c r="I109" s="2365">
        <f>SUM(H106:H109)</f>
        <v>29.266404570000002</v>
      </c>
    </row>
    <row r="110" spans="1:9">
      <c r="A110" s="972">
        <v>2000.05</v>
      </c>
      <c r="B110" s="688">
        <v>277.76986118756821</v>
      </c>
      <c r="C110" s="685"/>
      <c r="D110" s="693"/>
      <c r="E110" s="691"/>
      <c r="F110" s="947">
        <v>129.06826387999999</v>
      </c>
      <c r="G110" s="1946">
        <f>SUM(F106:F110)</f>
        <v>666.20112654000002</v>
      </c>
      <c r="H110" s="947">
        <v>12.44462646</v>
      </c>
      <c r="I110" s="2365">
        <f>SUM(H106:H110)</f>
        <v>41.711031030000001</v>
      </c>
    </row>
    <row r="111" spans="1:9">
      <c r="A111" s="972">
        <v>2000.06</v>
      </c>
      <c r="B111" s="688">
        <v>344.60810824694238</v>
      </c>
      <c r="C111" s="685"/>
      <c r="D111" s="693"/>
      <c r="E111" s="691"/>
      <c r="F111" s="947">
        <v>219.03360778999999</v>
      </c>
      <c r="G111" s="1946">
        <f>SUM(F106:F111)</f>
        <v>885.23473433000004</v>
      </c>
      <c r="H111" s="947">
        <v>13.004628589999999</v>
      </c>
      <c r="I111" s="2365">
        <f>SUM(H106:H111)</f>
        <v>54.715659619999997</v>
      </c>
    </row>
    <row r="112" spans="1:9">
      <c r="A112" s="972">
        <v>2000.07</v>
      </c>
      <c r="B112" s="688">
        <v>288.812530579547</v>
      </c>
      <c r="C112" s="685"/>
      <c r="D112" s="693"/>
      <c r="E112" s="691"/>
      <c r="F112" s="947">
        <v>125.36209012</v>
      </c>
      <c r="G112" s="1946">
        <f>SUM(F106:F112)</f>
        <v>1010.59682445</v>
      </c>
      <c r="H112" s="947">
        <v>8.1425398399999995</v>
      </c>
      <c r="I112" s="2365">
        <f>SUM(H106:H112)</f>
        <v>62.858199459999994</v>
      </c>
    </row>
    <row r="113" spans="1:9">
      <c r="A113" s="972">
        <v>2000.08</v>
      </c>
      <c r="B113" s="688">
        <v>287.68642129440371</v>
      </c>
      <c r="C113" s="685"/>
      <c r="D113" s="693"/>
      <c r="E113" s="691"/>
      <c r="F113" s="947">
        <v>179.41832607000001</v>
      </c>
      <c r="G113" s="1946">
        <f>SUM(F106:F113)</f>
        <v>1190.0151505199999</v>
      </c>
      <c r="H113" s="947">
        <v>11.65193545</v>
      </c>
      <c r="I113" s="2365">
        <f>SUM(H106:H113)</f>
        <v>74.510134909999991</v>
      </c>
    </row>
    <row r="114" spans="1:9">
      <c r="A114" s="972">
        <v>2000.09</v>
      </c>
      <c r="B114" s="688">
        <v>300.79391530397208</v>
      </c>
      <c r="C114" s="685"/>
      <c r="D114" s="693"/>
      <c r="E114" s="691"/>
      <c r="F114" s="947">
        <v>164.5260926</v>
      </c>
      <c r="G114" s="1946">
        <f>SUM(F106:F114)</f>
        <v>1354.54124312</v>
      </c>
      <c r="H114" s="947">
        <v>10.86968661</v>
      </c>
      <c r="I114" s="2365">
        <f>SUM(H106:H114)</f>
        <v>85.379821519999993</v>
      </c>
    </row>
    <row r="115" spans="1:9">
      <c r="A115" s="972">
        <v>2000.1</v>
      </c>
      <c r="B115" s="688">
        <v>302.67264349141919</v>
      </c>
      <c r="C115" s="685"/>
      <c r="D115" s="693"/>
      <c r="E115" s="691"/>
      <c r="F115" s="947">
        <v>149.58547738999999</v>
      </c>
      <c r="G115" s="1946">
        <f>SUM(F106:F115)</f>
        <v>1504.12672051</v>
      </c>
      <c r="H115" s="947">
        <v>4.0279417000000004</v>
      </c>
      <c r="I115" s="2365">
        <f>SUM(H106:H115)</f>
        <v>89.407763219999993</v>
      </c>
    </row>
    <row r="116" spans="1:9">
      <c r="A116" s="972">
        <v>2000.11</v>
      </c>
      <c r="B116" s="688">
        <v>322.2129979968276</v>
      </c>
      <c r="C116" s="685"/>
      <c r="D116" s="693"/>
      <c r="E116" s="691"/>
      <c r="F116" s="947">
        <v>160.76973423000001</v>
      </c>
      <c r="G116" s="1946">
        <f>SUM(F106:F116)</f>
        <v>1664.8964547400001</v>
      </c>
      <c r="H116" s="947">
        <v>16.836528309999998</v>
      </c>
      <c r="I116" s="2365">
        <f>SUM(H106:H116)</f>
        <v>106.24429153</v>
      </c>
    </row>
    <row r="117" spans="1:9">
      <c r="A117" s="972">
        <v>2000.12</v>
      </c>
      <c r="B117" s="688">
        <v>695.79811549842861</v>
      </c>
      <c r="C117" s="685"/>
      <c r="D117" s="693"/>
      <c r="E117" s="691"/>
      <c r="F117" s="947">
        <v>261.75976588999998</v>
      </c>
      <c r="G117" s="1946">
        <f>SUM(F106:F117)</f>
        <v>1926.65622063</v>
      </c>
      <c r="H117" s="947">
        <v>23.871995999999999</v>
      </c>
      <c r="I117" s="2365">
        <f>SUM(H106:H117)</f>
        <v>130.11628752999999</v>
      </c>
    </row>
    <row r="118" spans="1:9">
      <c r="A118" s="972">
        <v>2001.01</v>
      </c>
      <c r="B118" s="688">
        <v>201.10873653393921</v>
      </c>
      <c r="C118" s="685"/>
      <c r="D118" s="693"/>
      <c r="E118" s="691"/>
      <c r="F118" s="947">
        <v>16.119932680000002</v>
      </c>
      <c r="G118" s="1946">
        <f>+F118</f>
        <v>16.119932680000002</v>
      </c>
      <c r="H118" s="947">
        <v>0.17393682999999999</v>
      </c>
      <c r="I118" s="2365">
        <f>+H118</f>
        <v>0.17393682999999999</v>
      </c>
    </row>
    <row r="119" spans="1:9">
      <c r="A119" s="972">
        <v>2001.02</v>
      </c>
      <c r="B119" s="688">
        <v>207.73713066767286</v>
      </c>
      <c r="C119" s="685"/>
      <c r="D119" s="693"/>
      <c r="E119" s="691"/>
      <c r="F119" s="947">
        <v>50.706345020000001</v>
      </c>
      <c r="G119" s="1946">
        <f>SUM(F118:F119)</f>
        <v>66.826277700000006</v>
      </c>
      <c r="H119" s="947">
        <v>10.421706049999999</v>
      </c>
      <c r="I119" s="2365">
        <f>SUM(H118:H119)</f>
        <v>10.59564288</v>
      </c>
    </row>
    <row r="120" spans="1:9">
      <c r="A120" s="972">
        <v>2001.03</v>
      </c>
      <c r="B120" s="688">
        <v>248.38252984327252</v>
      </c>
      <c r="C120" s="685"/>
      <c r="D120" s="693"/>
      <c r="E120" s="691"/>
      <c r="F120" s="947">
        <v>53.722028459999997</v>
      </c>
      <c r="G120" s="1946">
        <f>SUM(F118:F120)</f>
        <v>120.54830616000001</v>
      </c>
      <c r="H120" s="947">
        <v>12.62933439</v>
      </c>
      <c r="I120" s="2365">
        <f>SUM(H118:H120)</f>
        <v>23.22497727</v>
      </c>
    </row>
    <row r="121" spans="1:9">
      <c r="A121" s="972">
        <v>2001.04</v>
      </c>
      <c r="B121" s="688">
        <v>247.21367237373323</v>
      </c>
      <c r="C121" s="685"/>
      <c r="D121" s="693"/>
      <c r="E121" s="691"/>
      <c r="F121" s="947">
        <v>25.25255318</v>
      </c>
      <c r="G121" s="1946">
        <f>SUM(F118:F121)</f>
        <v>145.80085934000002</v>
      </c>
      <c r="H121" s="947">
        <v>2.3883586600000002</v>
      </c>
      <c r="I121" s="2365">
        <f>SUM(H118:H121)</f>
        <v>25.613335930000002</v>
      </c>
    </row>
    <row r="122" spans="1:9">
      <c r="A122" s="972">
        <v>2001.05</v>
      </c>
      <c r="B122" s="688">
        <v>267.8747585853751</v>
      </c>
      <c r="C122" s="685"/>
      <c r="D122" s="693"/>
      <c r="E122" s="691"/>
      <c r="F122" s="947">
        <v>41.644556280000003</v>
      </c>
      <c r="G122" s="1946">
        <f>SUM(F118:F122)</f>
        <v>187.44541562000001</v>
      </c>
      <c r="H122" s="947">
        <v>10.82163323</v>
      </c>
      <c r="I122" s="2365">
        <f>SUM(H118:H122)</f>
        <v>36.434969160000001</v>
      </c>
    </row>
    <row r="123" spans="1:9">
      <c r="A123" s="972">
        <v>2001.06</v>
      </c>
      <c r="B123" s="688">
        <v>332.33200106212234</v>
      </c>
      <c r="C123" s="685"/>
      <c r="D123" s="693"/>
      <c r="E123" s="691"/>
      <c r="F123" s="947">
        <v>79.075828880000003</v>
      </c>
      <c r="G123" s="1946">
        <f>SUM(F118:F123)</f>
        <v>266.52124450000002</v>
      </c>
      <c r="H123" s="947">
        <v>18.435614300000001</v>
      </c>
      <c r="I123" s="2365">
        <f>SUM(H118:H123)</f>
        <v>54.870583460000006</v>
      </c>
    </row>
    <row r="124" spans="1:9">
      <c r="A124" s="972">
        <v>2001.07</v>
      </c>
      <c r="B124" s="688">
        <v>278.52405071832163</v>
      </c>
      <c r="C124" s="685"/>
      <c r="D124" s="693"/>
      <c r="E124" s="691"/>
      <c r="F124" s="947">
        <v>30.270357820000001</v>
      </c>
      <c r="G124" s="1946">
        <f>SUM(F118:F124)</f>
        <v>296.79160232000004</v>
      </c>
      <c r="H124" s="947">
        <v>2.2607153800000002</v>
      </c>
      <c r="I124" s="2365">
        <f>SUM(H118:H124)</f>
        <v>57.131298840000007</v>
      </c>
    </row>
    <row r="125" spans="1:9">
      <c r="A125" s="972">
        <v>2001.08</v>
      </c>
      <c r="B125" s="688">
        <v>277.43805725737229</v>
      </c>
      <c r="C125" s="685"/>
      <c r="D125" s="693"/>
      <c r="E125" s="691"/>
      <c r="F125" s="947">
        <v>49.594441949999997</v>
      </c>
      <c r="G125" s="1946">
        <f>SUM(F118:F125)</f>
        <v>346.38604427000001</v>
      </c>
      <c r="H125" s="947">
        <v>11.564108360000001</v>
      </c>
      <c r="I125" s="2365">
        <f>SUM(H118:H125)</f>
        <v>68.695407200000005</v>
      </c>
    </row>
    <row r="126" spans="1:9">
      <c r="A126" s="972">
        <v>2001.09</v>
      </c>
      <c r="B126" s="688">
        <v>290.07861796637383</v>
      </c>
      <c r="C126" s="685"/>
      <c r="D126" s="693"/>
      <c r="E126" s="691"/>
      <c r="F126" s="947">
        <v>46.039891269999998</v>
      </c>
      <c r="G126" s="1946">
        <f>SUM(F118:F126)</f>
        <v>392.42593554000001</v>
      </c>
      <c r="H126" s="947">
        <v>9.3535048599999993</v>
      </c>
      <c r="I126" s="2365">
        <f>SUM(H118:H126)</f>
        <v>78.048912060000006</v>
      </c>
    </row>
    <row r="127" spans="1:9">
      <c r="A127" s="972">
        <v>2001.1</v>
      </c>
      <c r="B127" s="688">
        <v>291.89041949699453</v>
      </c>
      <c r="C127" s="685"/>
      <c r="D127" s="693"/>
      <c r="E127" s="691"/>
      <c r="F127" s="947">
        <v>30.294173919999999</v>
      </c>
      <c r="G127" s="1946">
        <f>SUM(F118:F127)</f>
        <v>422.72010946</v>
      </c>
      <c r="H127" s="947">
        <v>7.9443177499999997</v>
      </c>
      <c r="I127" s="2365">
        <f>SUM(H118:H127)</f>
        <v>85.993229810000003</v>
      </c>
    </row>
    <row r="128" spans="1:9">
      <c r="A128" s="972">
        <v>2001.11</v>
      </c>
      <c r="B128" s="688">
        <v>310.73468043815666</v>
      </c>
      <c r="C128" s="685"/>
      <c r="D128" s="693"/>
      <c r="E128" s="691"/>
      <c r="F128" s="947">
        <v>29.175736010000001</v>
      </c>
      <c r="G128" s="1946">
        <f>SUM(F118:F128)</f>
        <v>451.89584546999998</v>
      </c>
      <c r="H128" s="947">
        <v>3.4253078299999999</v>
      </c>
      <c r="I128" s="2365">
        <f>SUM(H118:H128)</f>
        <v>89.418537639999997</v>
      </c>
    </row>
    <row r="129" spans="1:9">
      <c r="A129" s="972">
        <v>2001.12</v>
      </c>
      <c r="B129" s="688">
        <v>671.01143160898971</v>
      </c>
      <c r="C129" s="685"/>
      <c r="D129" s="693"/>
      <c r="E129" s="691"/>
      <c r="F129" s="947">
        <v>91.332455929999995</v>
      </c>
      <c r="G129" s="1946">
        <f>SUM(F118:F129)</f>
        <v>543.22830139999996</v>
      </c>
      <c r="H129" s="947">
        <v>14.689479049999999</v>
      </c>
      <c r="I129" s="2365">
        <f>SUM(H118:H129)</f>
        <v>104.10801669</v>
      </c>
    </row>
    <row r="130" spans="1:9">
      <c r="A130" s="972">
        <v>2002.01</v>
      </c>
      <c r="B130" s="688">
        <v>199.2809205984064</v>
      </c>
      <c r="C130" s="685"/>
      <c r="D130" s="693"/>
      <c r="E130" s="691"/>
      <c r="F130" s="947">
        <v>11.984149329999999</v>
      </c>
      <c r="G130" s="1946">
        <f>+F130</f>
        <v>11.984149329999999</v>
      </c>
      <c r="H130" s="947">
        <v>1.1425100000000001E-2</v>
      </c>
      <c r="I130" s="2365">
        <f>+H130</f>
        <v>1.1425100000000001E-2</v>
      </c>
    </row>
    <row r="131" spans="1:9">
      <c r="A131" s="972">
        <v>2002.02</v>
      </c>
      <c r="B131" s="688">
        <v>205.84907128059521</v>
      </c>
      <c r="C131" s="685"/>
      <c r="D131" s="693"/>
      <c r="E131" s="691"/>
      <c r="F131" s="947">
        <v>26.051969</v>
      </c>
      <c r="G131" s="1946">
        <f>SUM(F130:F131)</f>
        <v>38.036118330000001</v>
      </c>
      <c r="H131" s="947">
        <v>3.0118352399999999</v>
      </c>
      <c r="I131" s="2365">
        <f>SUM(H130:H131)</f>
        <v>3.0232603399999998</v>
      </c>
    </row>
    <row r="132" spans="1:9">
      <c r="A132" s="972">
        <v>2002.03</v>
      </c>
      <c r="B132" s="688">
        <v>246.12505682653529</v>
      </c>
      <c r="C132" s="685"/>
      <c r="D132" s="693"/>
      <c r="E132" s="691"/>
      <c r="F132" s="947">
        <v>49.842346460000002</v>
      </c>
      <c r="G132" s="1946">
        <f>SUM(F130:F132)</f>
        <v>87.87846479000001</v>
      </c>
      <c r="H132" s="947">
        <v>15.98210738</v>
      </c>
      <c r="I132" s="2365">
        <f>SUM(H130:H132)</f>
        <v>19.005367719999999</v>
      </c>
    </row>
    <row r="133" spans="1:9">
      <c r="A133" s="972">
        <v>2002.04</v>
      </c>
      <c r="B133" s="688">
        <v>244.96682274584529</v>
      </c>
      <c r="C133" s="685"/>
      <c r="D133" s="693"/>
      <c r="E133" s="691"/>
      <c r="F133" s="947">
        <v>120.06540441</v>
      </c>
      <c r="G133" s="1946">
        <f>SUM(F130:F133)</f>
        <v>207.94386919999999</v>
      </c>
      <c r="H133" s="947">
        <v>0.22856707000000001</v>
      </c>
      <c r="I133" s="2365">
        <f>SUM(H130:H133)</f>
        <v>19.233934789999999</v>
      </c>
    </row>
    <row r="134" spans="1:9">
      <c r="A134" s="972">
        <v>2002.05</v>
      </c>
      <c r="B134" s="688">
        <v>265.44012664989617</v>
      </c>
      <c r="C134" s="685"/>
      <c r="D134" s="693"/>
      <c r="E134" s="691"/>
      <c r="F134" s="947">
        <v>142.33223544000001</v>
      </c>
      <c r="G134" s="1946">
        <f>SUM(F130:F134)</f>
        <v>350.27610463999997</v>
      </c>
      <c r="H134" s="947">
        <v>3.6403496199999998</v>
      </c>
      <c r="I134" s="2365">
        <f>SUM(H130:H134)</f>
        <v>22.874284409999998</v>
      </c>
    </row>
    <row r="135" spans="1:9">
      <c r="A135" s="972">
        <v>2002.06</v>
      </c>
      <c r="B135" s="688">
        <v>329.31153691969894</v>
      </c>
      <c r="C135" s="685"/>
      <c r="D135" s="693"/>
      <c r="E135" s="691"/>
      <c r="F135" s="947">
        <v>234.6238275</v>
      </c>
      <c r="G135" s="1946">
        <f>SUM(F130:F135)</f>
        <v>584.89993213999992</v>
      </c>
      <c r="H135" s="947">
        <v>19.393908679999999</v>
      </c>
      <c r="I135" s="2365">
        <f>SUM(H130:H135)</f>
        <v>42.268193089999997</v>
      </c>
    </row>
    <row r="136" spans="1:9">
      <c r="A136" s="972">
        <v>2002.07</v>
      </c>
      <c r="B136" s="688">
        <v>275.99263061640983</v>
      </c>
      <c r="C136" s="685"/>
      <c r="D136" s="693"/>
      <c r="E136" s="691"/>
      <c r="F136" s="947">
        <v>150.0194315</v>
      </c>
      <c r="G136" s="1946">
        <f>SUM(F130:F136)</f>
        <v>734.91936363999991</v>
      </c>
      <c r="H136" s="947">
        <v>4.5867465100000002</v>
      </c>
      <c r="I136" s="2365">
        <f>SUM(H130:H136)</f>
        <v>46.854939599999994</v>
      </c>
    </row>
    <row r="137" spans="1:9">
      <c r="A137" s="972">
        <v>2002.08</v>
      </c>
      <c r="B137" s="688">
        <v>274.9165074186227</v>
      </c>
      <c r="C137" s="685"/>
      <c r="D137" s="693"/>
      <c r="E137" s="691"/>
      <c r="F137" s="947">
        <v>141.70052261000001</v>
      </c>
      <c r="G137" s="1946">
        <f>SUM(F130:F137)</f>
        <v>876.61988624999992</v>
      </c>
      <c r="H137" s="947">
        <v>0.63381584999999996</v>
      </c>
      <c r="I137" s="2365">
        <f>SUM(H130:H137)</f>
        <v>47.488755449999992</v>
      </c>
    </row>
    <row r="138" spans="1:9">
      <c r="A138" s="972">
        <v>2002.09</v>
      </c>
      <c r="B138" s="688">
        <v>287.44218192876394</v>
      </c>
      <c r="C138" s="685"/>
      <c r="D138" s="693"/>
      <c r="E138" s="691"/>
      <c r="F138" s="947">
        <v>171.75499131000001</v>
      </c>
      <c r="G138" s="1946">
        <f>SUM(F130:F138)</f>
        <v>1048.37487756</v>
      </c>
      <c r="H138" s="947">
        <v>13.35869879</v>
      </c>
      <c r="I138" s="2365">
        <f>SUM(H130:H138)</f>
        <v>60.84745423999999</v>
      </c>
    </row>
    <row r="139" spans="1:9">
      <c r="A139" s="972">
        <v>2002.1</v>
      </c>
      <c r="B139" s="688">
        <v>289.23751654816652</v>
      </c>
      <c r="C139" s="685"/>
      <c r="D139" s="693"/>
      <c r="E139" s="691"/>
      <c r="F139" s="947">
        <v>118.65044797</v>
      </c>
      <c r="G139" s="1946">
        <f>SUM(F130:F139)</f>
        <v>1167.0253255299999</v>
      </c>
      <c r="H139" s="947">
        <v>1.482227E-2</v>
      </c>
      <c r="I139" s="2365">
        <f>SUM(H130:H139)</f>
        <v>60.862276509999994</v>
      </c>
    </row>
    <row r="140" spans="1:9">
      <c r="A140" s="972">
        <v>2002.11</v>
      </c>
      <c r="B140" s="688">
        <v>307.91050775219423</v>
      </c>
      <c r="C140" s="685"/>
      <c r="D140" s="693"/>
      <c r="E140" s="691"/>
      <c r="F140" s="947">
        <v>164.97009636000001</v>
      </c>
      <c r="G140" s="1946">
        <f>SUM(F130:F140)</f>
        <v>1331.99542189</v>
      </c>
      <c r="H140" s="947">
        <v>9.8961114200000004</v>
      </c>
      <c r="I140" s="2365">
        <f>SUM(H130:H140)</f>
        <v>70.758387929999998</v>
      </c>
    </row>
    <row r="141" spans="1:9">
      <c r="A141" s="972">
        <v>2002.12</v>
      </c>
      <c r="B141" s="688">
        <v>664.91281347455265</v>
      </c>
      <c r="C141" s="685"/>
      <c r="D141" s="693"/>
      <c r="E141" s="691"/>
      <c r="F141" s="947">
        <v>235.33386575</v>
      </c>
      <c r="G141" s="1946">
        <f>SUM(F130:F141)</f>
        <v>1567.3292876400001</v>
      </c>
      <c r="H141" s="947">
        <v>27.344910809999998</v>
      </c>
      <c r="I141" s="2365">
        <f>SUM(H130:H141)</f>
        <v>98.10329874</v>
      </c>
    </row>
    <row r="142" spans="1:9">
      <c r="A142" s="972">
        <v>2003.01</v>
      </c>
      <c r="B142" s="1615">
        <f>C142</f>
        <v>210.3</v>
      </c>
      <c r="C142" s="50">
        <v>210.3</v>
      </c>
      <c r="D142" s="694">
        <v>2.2000000000000002</v>
      </c>
      <c r="E142" s="126">
        <v>2.2000000000000002</v>
      </c>
      <c r="F142" s="947">
        <v>106.92783428</v>
      </c>
      <c r="G142" s="1946">
        <f>+F142</f>
        <v>106.92783428</v>
      </c>
      <c r="H142" s="947">
        <v>0</v>
      </c>
      <c r="I142" s="2365">
        <f>+H142</f>
        <v>0</v>
      </c>
    </row>
    <row r="143" spans="1:9">
      <c r="A143" s="972">
        <v>2003.02</v>
      </c>
      <c r="B143" s="1203">
        <f>(C143-C142)</f>
        <v>237.5</v>
      </c>
      <c r="C143" s="141">
        <v>447.8</v>
      </c>
      <c r="D143" s="1203">
        <f>E143-E142</f>
        <v>4.3999999999999995</v>
      </c>
      <c r="E143" s="318">
        <v>6.6</v>
      </c>
      <c r="F143" s="947">
        <v>192.71714424999999</v>
      </c>
      <c r="G143" s="1946">
        <f>SUM(F142:F143)</f>
        <v>299.64497853</v>
      </c>
      <c r="H143" s="947">
        <v>7.6778951800000002</v>
      </c>
      <c r="I143" s="2365">
        <f>SUM(H142:H143)</f>
        <v>7.6778951800000002</v>
      </c>
    </row>
    <row r="144" spans="1:9">
      <c r="A144" s="972">
        <v>2003.03</v>
      </c>
      <c r="B144" s="1203">
        <f t="shared" ref="B144:B153" si="0">(C144-C143)</f>
        <v>247.09999999999997</v>
      </c>
      <c r="C144" s="141">
        <v>694.9</v>
      </c>
      <c r="D144" s="1203">
        <f t="shared" ref="D144:D153" si="1">E144-E143</f>
        <v>6</v>
      </c>
      <c r="E144" s="318">
        <v>12.6</v>
      </c>
      <c r="F144" s="947">
        <v>187.41389910999999</v>
      </c>
      <c r="G144" s="1946">
        <f>SUM(F142:F144)</f>
        <v>487.05887763999999</v>
      </c>
      <c r="H144" s="947">
        <v>13.904107720000001</v>
      </c>
      <c r="I144" s="2365">
        <f>SUM(H142:H144)</f>
        <v>21.582002899999999</v>
      </c>
    </row>
    <row r="145" spans="1:9">
      <c r="A145" s="972">
        <v>2003.04</v>
      </c>
      <c r="B145" s="1203">
        <f t="shared" si="0"/>
        <v>245.89999999999998</v>
      </c>
      <c r="C145" s="141">
        <v>940.8</v>
      </c>
      <c r="D145" s="1203">
        <f t="shared" si="1"/>
        <v>7.9</v>
      </c>
      <c r="E145" s="318">
        <v>20.5</v>
      </c>
      <c r="F145" s="947">
        <v>158.86463415</v>
      </c>
      <c r="G145" s="1946">
        <f>SUM(F142:F145)</f>
        <v>645.92351179000002</v>
      </c>
      <c r="H145" s="947">
        <v>5.9290787900000002</v>
      </c>
      <c r="I145" s="2365">
        <f>SUM(H142:H145)</f>
        <v>27.511081689999997</v>
      </c>
    </row>
    <row r="146" spans="1:9">
      <c r="A146" s="972">
        <v>2003.05</v>
      </c>
      <c r="B146" s="1203">
        <f t="shared" si="0"/>
        <v>282.79999999999995</v>
      </c>
      <c r="C146" s="141">
        <v>1223.5999999999999</v>
      </c>
      <c r="D146" s="1203">
        <f t="shared" si="1"/>
        <v>11.899999999999999</v>
      </c>
      <c r="E146" s="318">
        <v>32.4</v>
      </c>
      <c r="F146" s="947">
        <v>188.54681719999999</v>
      </c>
      <c r="G146" s="1946">
        <f>SUM(F142:F146)</f>
        <v>834.47032898999998</v>
      </c>
      <c r="H146" s="947">
        <v>8.4991936999999993</v>
      </c>
      <c r="I146" s="2365">
        <f>SUM(H142:H146)</f>
        <v>36.010275389999997</v>
      </c>
    </row>
    <row r="147" spans="1:9">
      <c r="A147" s="972">
        <v>2003.06</v>
      </c>
      <c r="B147" s="1203">
        <f t="shared" si="0"/>
        <v>350.30000000000018</v>
      </c>
      <c r="C147" s="141">
        <v>1573.9</v>
      </c>
      <c r="D147" s="1203">
        <f t="shared" si="1"/>
        <v>15.5</v>
      </c>
      <c r="E147" s="318">
        <v>47.9</v>
      </c>
      <c r="F147" s="947">
        <v>243.50436099000001</v>
      </c>
      <c r="G147" s="1946">
        <f>SUM(F142:F147)</f>
        <v>1077.97468998</v>
      </c>
      <c r="H147" s="947">
        <v>11.81357865</v>
      </c>
      <c r="I147" s="2365">
        <f>SUM(H142:H147)</f>
        <v>47.823854040000001</v>
      </c>
    </row>
    <row r="148" spans="1:9">
      <c r="A148" s="972">
        <v>2003.07</v>
      </c>
      <c r="B148" s="1203">
        <f t="shared" si="0"/>
        <v>310.5</v>
      </c>
      <c r="C148" s="141">
        <v>1884.4</v>
      </c>
      <c r="D148" s="1203">
        <f t="shared" si="1"/>
        <v>20.300000000000004</v>
      </c>
      <c r="E148" s="318">
        <v>68.2</v>
      </c>
      <c r="F148" s="947">
        <v>152.84349888</v>
      </c>
      <c r="G148" s="1946">
        <f>SUM(F142:F148)</f>
        <v>1230.81818886</v>
      </c>
      <c r="H148" s="947">
        <v>1.3962250199999999</v>
      </c>
      <c r="I148" s="2365">
        <f>SUM(H142:H148)</f>
        <v>49.220079060000003</v>
      </c>
    </row>
    <row r="149" spans="1:9">
      <c r="A149" s="972">
        <v>2003.08</v>
      </c>
      <c r="B149" s="1203">
        <f t="shared" si="0"/>
        <v>264.69999999999982</v>
      </c>
      <c r="C149" s="141">
        <v>2149.1</v>
      </c>
      <c r="D149" s="1203">
        <f t="shared" si="1"/>
        <v>20.099999999999994</v>
      </c>
      <c r="E149" s="318">
        <v>88.3</v>
      </c>
      <c r="F149" s="947">
        <v>182.31244187999999</v>
      </c>
      <c r="G149" s="1946">
        <f>SUM(F142:F149)</f>
        <v>1413.13063074</v>
      </c>
      <c r="H149" s="947">
        <v>7.72443101</v>
      </c>
      <c r="I149" s="2365">
        <f>SUM(H142:H149)</f>
        <v>56.944510070000007</v>
      </c>
    </row>
    <row r="150" spans="1:9">
      <c r="A150" s="972">
        <v>2003.09</v>
      </c>
      <c r="B150" s="1203">
        <f t="shared" si="0"/>
        <v>324.70000000000027</v>
      </c>
      <c r="C150" s="141">
        <v>2473.8000000000002</v>
      </c>
      <c r="D150" s="1203">
        <f t="shared" si="1"/>
        <v>19.700000000000003</v>
      </c>
      <c r="E150" s="318">
        <v>108</v>
      </c>
      <c r="F150" s="947">
        <v>200.60824751999999</v>
      </c>
      <c r="G150" s="1946">
        <f>SUM(F142:F150)</f>
        <v>1613.7388782600001</v>
      </c>
      <c r="H150" s="947">
        <v>14.23405988</v>
      </c>
      <c r="I150" s="2365">
        <f>SUM(H142:H150)</f>
        <v>71.178569950000011</v>
      </c>
    </row>
    <row r="151" spans="1:9">
      <c r="A151" s="972">
        <v>2003.1</v>
      </c>
      <c r="B151" s="1203">
        <f t="shared" si="0"/>
        <v>320.79999999999973</v>
      </c>
      <c r="C151" s="141">
        <v>2794.6</v>
      </c>
      <c r="D151" s="1203">
        <f t="shared" si="1"/>
        <v>39</v>
      </c>
      <c r="E151" s="318">
        <v>147</v>
      </c>
      <c r="F151" s="947">
        <v>163.30820976999999</v>
      </c>
      <c r="G151" s="1946">
        <f>SUM(F142:F151)</f>
        <v>1777.0470880300002</v>
      </c>
      <c r="H151" s="947">
        <v>3.7858809999999998</v>
      </c>
      <c r="I151" s="2365">
        <f>SUM(H142:H151)</f>
        <v>74.964450950000014</v>
      </c>
    </row>
    <row r="152" spans="1:9">
      <c r="A152" s="972">
        <v>2003.11</v>
      </c>
      <c r="B152" s="1203">
        <f t="shared" si="0"/>
        <v>446.5</v>
      </c>
      <c r="C152" s="141">
        <v>3241.1</v>
      </c>
      <c r="D152" s="1203">
        <f t="shared" si="1"/>
        <v>29.800000000000011</v>
      </c>
      <c r="E152" s="318">
        <v>176.8</v>
      </c>
      <c r="F152" s="947">
        <v>114.01274662</v>
      </c>
      <c r="G152" s="1946">
        <f>SUM(F142:F152)</f>
        <v>1891.0598346500001</v>
      </c>
      <c r="H152" s="947">
        <v>5.6334665099999999</v>
      </c>
      <c r="I152" s="2365">
        <f>SUM(H142:H152)</f>
        <v>80.597917460000019</v>
      </c>
    </row>
    <row r="153" spans="1:9">
      <c r="A153" s="972">
        <v>2003.12</v>
      </c>
      <c r="B153" s="1203">
        <f t="shared" si="0"/>
        <v>465.93650797999999</v>
      </c>
      <c r="C153" s="141">
        <v>3707.0365079799999</v>
      </c>
      <c r="D153" s="1203">
        <f t="shared" si="1"/>
        <v>56.042606089999992</v>
      </c>
      <c r="E153" s="318">
        <v>232.84260609</v>
      </c>
      <c r="F153" s="947">
        <v>533.89793884999995</v>
      </c>
      <c r="G153" s="1946">
        <f>SUM(F142:F153)</f>
        <v>2424.9577735000003</v>
      </c>
      <c r="H153" s="947">
        <v>31.846663700000001</v>
      </c>
      <c r="I153" s="2365">
        <f>SUM(H142:H153)</f>
        <v>112.44458116000001</v>
      </c>
    </row>
    <row r="154" spans="1:9">
      <c r="A154" s="972">
        <v>2004.01</v>
      </c>
      <c r="B154" s="2397">
        <f>C154</f>
        <v>226.6</v>
      </c>
      <c r="C154" s="141">
        <v>226.6</v>
      </c>
      <c r="D154" s="2397">
        <v>2.2999999999999998</v>
      </c>
      <c r="E154" s="318">
        <v>2.2999999999999998</v>
      </c>
      <c r="F154" s="947">
        <v>138.4227631</v>
      </c>
      <c r="G154" s="1946">
        <f>+F154</f>
        <v>138.4227631</v>
      </c>
      <c r="H154" s="947">
        <v>0.10086269</v>
      </c>
      <c r="I154" s="2365">
        <f>+H154</f>
        <v>0.10086269</v>
      </c>
    </row>
    <row r="155" spans="1:9">
      <c r="A155" s="972">
        <v>2004.02</v>
      </c>
      <c r="B155" s="1203">
        <f>(C155-C154)</f>
        <v>283.39999999999998</v>
      </c>
      <c r="C155" s="141">
        <v>510</v>
      </c>
      <c r="D155" s="1203">
        <f>E155-E154</f>
        <v>7.8</v>
      </c>
      <c r="E155" s="318">
        <v>10.1</v>
      </c>
      <c r="F155" s="947">
        <v>169.92995861</v>
      </c>
      <c r="G155" s="1946">
        <f>SUM(F154:F155)</f>
        <v>308.35272170999997</v>
      </c>
      <c r="H155" s="947">
        <v>6.5888723599999999</v>
      </c>
      <c r="I155" s="2365">
        <f>SUM(H154:H155)</f>
        <v>6.6897350499999995</v>
      </c>
    </row>
    <row r="156" spans="1:9">
      <c r="A156" s="972">
        <v>2004.03</v>
      </c>
      <c r="B156" s="1203">
        <f t="shared" ref="B156:B165" si="2">(C156-C155)</f>
        <v>309.29999999999995</v>
      </c>
      <c r="C156" s="141">
        <v>819.3</v>
      </c>
      <c r="D156" s="1203">
        <f>E156-E155</f>
        <v>23.6</v>
      </c>
      <c r="E156" s="318">
        <v>33.700000000000003</v>
      </c>
      <c r="F156" s="947">
        <v>221.07375859999999</v>
      </c>
      <c r="G156" s="1946">
        <f>SUM(F154:F156)</f>
        <v>529.42648030999999</v>
      </c>
      <c r="H156" s="947">
        <v>28.060915959999999</v>
      </c>
      <c r="I156" s="2365">
        <f>SUM(H154:H156)</f>
        <v>34.750651009999999</v>
      </c>
    </row>
    <row r="157" spans="1:9">
      <c r="A157" s="972">
        <v>2004.04</v>
      </c>
      <c r="B157" s="1203">
        <f t="shared" si="2"/>
        <v>295.70000000000005</v>
      </c>
      <c r="C157" s="141">
        <v>1115</v>
      </c>
      <c r="D157" s="1203">
        <f t="shared" ref="D157:D165" si="3">E157-E156</f>
        <v>20.5</v>
      </c>
      <c r="E157" s="318">
        <v>54.2</v>
      </c>
      <c r="F157" s="947">
        <v>174.59560150999999</v>
      </c>
      <c r="G157" s="1946">
        <f>SUM(F154:F157)</f>
        <v>704.02208182000004</v>
      </c>
      <c r="H157" s="947">
        <v>8.2971959200000001</v>
      </c>
      <c r="I157" s="2365">
        <f>SUM(H154:H157)</f>
        <v>43.047846929999999</v>
      </c>
    </row>
    <row r="158" spans="1:9">
      <c r="A158" s="972">
        <v>2004.05</v>
      </c>
      <c r="B158" s="1203">
        <f t="shared" si="2"/>
        <v>323.09999999999991</v>
      </c>
      <c r="C158" s="141">
        <v>1438.1</v>
      </c>
      <c r="D158" s="1203">
        <f t="shared" si="3"/>
        <v>16.899999999999991</v>
      </c>
      <c r="E158" s="318">
        <v>71.099999999999994</v>
      </c>
      <c r="F158" s="947">
        <v>161.48642326000001</v>
      </c>
      <c r="G158" s="1946">
        <f>SUM(F154:F158)</f>
        <v>865.50850508000008</v>
      </c>
      <c r="H158" s="947">
        <v>11.15428578</v>
      </c>
      <c r="I158" s="2365">
        <f>SUM(H154:H158)</f>
        <v>54.202132710000001</v>
      </c>
    </row>
    <row r="159" spans="1:9">
      <c r="A159" s="972">
        <v>2004.06</v>
      </c>
      <c r="B159" s="1203">
        <f t="shared" si="2"/>
        <v>433.80000000000018</v>
      </c>
      <c r="C159" s="141">
        <v>1871.9</v>
      </c>
      <c r="D159" s="1203">
        <f t="shared" si="3"/>
        <v>26</v>
      </c>
      <c r="E159" s="318">
        <v>97.1</v>
      </c>
      <c r="F159" s="947">
        <v>288.25229466000002</v>
      </c>
      <c r="G159" s="1946">
        <f>SUM(F154:F159)</f>
        <v>1153.76079974</v>
      </c>
      <c r="H159" s="947">
        <v>27.78846523</v>
      </c>
      <c r="I159" s="2365">
        <f>SUM(H154:H159)</f>
        <v>81.990597940000001</v>
      </c>
    </row>
    <row r="160" spans="1:9">
      <c r="A160" s="972">
        <v>2004.07</v>
      </c>
      <c r="B160" s="1203">
        <f t="shared" si="2"/>
        <v>348</v>
      </c>
      <c r="C160" s="141">
        <v>2219.9</v>
      </c>
      <c r="D160" s="1203">
        <f t="shared" si="3"/>
        <v>26.700000000000003</v>
      </c>
      <c r="E160" s="318">
        <v>123.8</v>
      </c>
      <c r="F160" s="947">
        <v>186.47305094000001</v>
      </c>
      <c r="G160" s="1946">
        <f>SUM(F154:F160)</f>
        <v>1340.2338506800002</v>
      </c>
      <c r="H160" s="947">
        <v>7.3695787599999996</v>
      </c>
      <c r="I160" s="2365">
        <f>SUM(H154:H160)</f>
        <v>89.360176699999997</v>
      </c>
    </row>
    <row r="161" spans="1:9">
      <c r="A161" s="972">
        <v>2004.08</v>
      </c>
      <c r="B161" s="1203">
        <f t="shared" si="2"/>
        <v>348.5</v>
      </c>
      <c r="C161" s="141">
        <v>2568.4</v>
      </c>
      <c r="D161" s="1203">
        <f t="shared" si="3"/>
        <v>29.000000000000014</v>
      </c>
      <c r="E161" s="318">
        <v>152.80000000000001</v>
      </c>
      <c r="F161" s="947">
        <v>238.54601081000001</v>
      </c>
      <c r="G161" s="1946">
        <f>SUM(F154:F161)</f>
        <v>1578.7798614900003</v>
      </c>
      <c r="H161" s="947">
        <v>21.499895349999999</v>
      </c>
      <c r="I161" s="2365">
        <f>SUM(H154:H161)</f>
        <v>110.86007205</v>
      </c>
    </row>
    <row r="162" spans="1:9">
      <c r="A162" s="972">
        <v>2004.09</v>
      </c>
      <c r="B162" s="1203">
        <f t="shared" si="2"/>
        <v>327.59999999999991</v>
      </c>
      <c r="C162" s="141">
        <v>2896</v>
      </c>
      <c r="D162" s="1203">
        <f t="shared" si="3"/>
        <v>31.799999999999983</v>
      </c>
      <c r="E162" s="318">
        <v>184.6</v>
      </c>
      <c r="F162" s="947">
        <v>407.36936675999999</v>
      </c>
      <c r="G162" s="1946">
        <f>SUM(F154:F162)</f>
        <v>1986.1492282500003</v>
      </c>
      <c r="H162" s="947">
        <v>27.699409159999998</v>
      </c>
      <c r="I162" s="2365">
        <f>SUM(H154:H162)</f>
        <v>138.55948121</v>
      </c>
    </row>
    <row r="163" spans="1:9">
      <c r="A163" s="972">
        <v>2004.1</v>
      </c>
      <c r="B163" s="1203">
        <f t="shared" si="2"/>
        <v>373.30000000000018</v>
      </c>
      <c r="C163" s="141">
        <v>3269.3</v>
      </c>
      <c r="D163" s="1203">
        <f t="shared" si="3"/>
        <v>27.700000000000017</v>
      </c>
      <c r="E163" s="318">
        <v>212.3</v>
      </c>
      <c r="F163" s="947">
        <v>237.59166859999999</v>
      </c>
      <c r="G163" s="1946">
        <f>SUM(F154:F163)</f>
        <v>2223.7408968500004</v>
      </c>
      <c r="H163" s="947">
        <v>6.3698154699999998</v>
      </c>
      <c r="I163" s="2365">
        <f>SUM(H154:H163)</f>
        <v>144.92929667999999</v>
      </c>
    </row>
    <row r="164" spans="1:9">
      <c r="A164" s="972">
        <v>2004.11</v>
      </c>
      <c r="B164" s="1203">
        <f t="shared" si="2"/>
        <v>361.5</v>
      </c>
      <c r="C164" s="141">
        <v>3630.8</v>
      </c>
      <c r="D164" s="1203">
        <f t="shared" si="3"/>
        <v>36.699999999999989</v>
      </c>
      <c r="E164" s="318">
        <v>249</v>
      </c>
      <c r="F164" s="947">
        <v>242.50225889000001</v>
      </c>
      <c r="G164" s="1946">
        <f>SUM(F154:F164)</f>
        <v>2466.2431557400005</v>
      </c>
      <c r="H164" s="947">
        <v>25.295764989999999</v>
      </c>
      <c r="I164" s="2365">
        <f>SUM(H154:H164)</f>
        <v>170.22506167</v>
      </c>
    </row>
    <row r="165" spans="1:9">
      <c r="A165" s="972">
        <v>2004.12</v>
      </c>
      <c r="B165" s="1203">
        <f t="shared" si="2"/>
        <v>633.41581124000004</v>
      </c>
      <c r="C165" s="141">
        <v>4264.2158112400002</v>
      </c>
      <c r="D165" s="1203">
        <f t="shared" si="3"/>
        <v>125.41276249000003</v>
      </c>
      <c r="E165" s="318">
        <v>374.41276249000003</v>
      </c>
      <c r="F165" s="947">
        <v>531.47456015</v>
      </c>
      <c r="G165" s="1946">
        <f>SUM(F154:F165)</f>
        <v>2997.7177158900004</v>
      </c>
      <c r="H165" s="947">
        <v>55.951135149999999</v>
      </c>
      <c r="I165" s="2365">
        <f>SUM(H154:H165)</f>
        <v>226.17619682</v>
      </c>
    </row>
    <row r="166" spans="1:9">
      <c r="A166" s="972">
        <v>2005.01</v>
      </c>
      <c r="B166" s="2397">
        <f>C166</f>
        <v>316.89999999999998</v>
      </c>
      <c r="C166" s="141">
        <v>316.89999999999998</v>
      </c>
      <c r="D166" s="2397">
        <f>E166</f>
        <v>8.5</v>
      </c>
      <c r="E166" s="318">
        <v>8.5</v>
      </c>
      <c r="F166" s="947">
        <v>124.94228018</v>
      </c>
      <c r="G166" s="1946">
        <f>+F166</f>
        <v>124.94228018</v>
      </c>
      <c r="H166" s="947">
        <v>1.2286240799999999</v>
      </c>
      <c r="I166" s="2365">
        <f>+H166</f>
        <v>1.2286240799999999</v>
      </c>
    </row>
    <row r="167" spans="1:9">
      <c r="A167" s="972">
        <v>2005.02</v>
      </c>
      <c r="B167" s="1203">
        <f>(C167-C166)</f>
        <v>350.80000000000007</v>
      </c>
      <c r="C167" s="141">
        <v>667.7</v>
      </c>
      <c r="D167" s="1203">
        <f>E167-E166</f>
        <v>16.600000000000001</v>
      </c>
      <c r="E167" s="318">
        <v>25.1</v>
      </c>
      <c r="F167" s="947">
        <v>216.28493778999999</v>
      </c>
      <c r="G167" s="1946">
        <f>SUM(F166:F167)</f>
        <v>341.22721796999997</v>
      </c>
      <c r="H167" s="947">
        <v>8.8763723500000005</v>
      </c>
      <c r="I167" s="2365">
        <f>SUM(H166:H167)</f>
        <v>10.10499643</v>
      </c>
    </row>
    <row r="168" spans="1:9">
      <c r="A168" s="972">
        <v>2005.03</v>
      </c>
      <c r="B168" s="1203">
        <f t="shared" ref="B168:B177" si="4">(C168-C167)</f>
        <v>368.20000000000005</v>
      </c>
      <c r="C168" s="141">
        <v>1035.9000000000001</v>
      </c>
      <c r="D168" s="1203">
        <f t="shared" ref="D168:D177" si="5">E168-E167</f>
        <v>12.199999999999996</v>
      </c>
      <c r="E168" s="318">
        <v>37.299999999999997</v>
      </c>
      <c r="F168" s="947">
        <v>333.44595411</v>
      </c>
      <c r="G168" s="1946">
        <f>SUM(F166:F168)</f>
        <v>674.67317207999997</v>
      </c>
      <c r="H168" s="947">
        <v>54.693268760000002</v>
      </c>
      <c r="I168" s="2365">
        <f>SUM(H166:H168)</f>
        <v>64.798265189999995</v>
      </c>
    </row>
    <row r="169" spans="1:9">
      <c r="A169" s="972">
        <v>2005.04</v>
      </c>
      <c r="B169" s="1203">
        <f t="shared" si="4"/>
        <v>416.89999999999986</v>
      </c>
      <c r="C169" s="141">
        <v>1452.8</v>
      </c>
      <c r="D169" s="1203">
        <f t="shared" si="5"/>
        <v>56.900000000000006</v>
      </c>
      <c r="E169" s="318">
        <v>94.2</v>
      </c>
      <c r="F169" s="947">
        <v>214.25110652999999</v>
      </c>
      <c r="G169" s="1946">
        <f>SUM(F166:F169)</f>
        <v>888.92427860999999</v>
      </c>
      <c r="H169" s="947">
        <v>15.1552372</v>
      </c>
      <c r="I169" s="2365">
        <f>SUM(H166:H169)</f>
        <v>79.953502389999997</v>
      </c>
    </row>
    <row r="170" spans="1:9">
      <c r="A170" s="972">
        <v>2005.05</v>
      </c>
      <c r="B170" s="1203">
        <f t="shared" si="4"/>
        <v>447.40000000000009</v>
      </c>
      <c r="C170" s="141">
        <v>1900.2</v>
      </c>
      <c r="D170" s="1203">
        <f t="shared" si="5"/>
        <v>42.600000000000009</v>
      </c>
      <c r="E170" s="318">
        <v>136.80000000000001</v>
      </c>
      <c r="F170" s="947">
        <v>250.12144038</v>
      </c>
      <c r="G170" s="1946">
        <f>SUM(F166:F170)</f>
        <v>1139.0457189900001</v>
      </c>
      <c r="H170" s="947">
        <v>21.61820384</v>
      </c>
      <c r="I170" s="2365">
        <f>SUM(H166:H170)</f>
        <v>101.57170622999999</v>
      </c>
    </row>
    <row r="171" spans="1:9">
      <c r="A171" s="972">
        <v>2005.06</v>
      </c>
      <c r="B171" s="1203">
        <f t="shared" si="4"/>
        <v>512.20000000000005</v>
      </c>
      <c r="C171" s="141">
        <v>2412.4</v>
      </c>
      <c r="D171" s="1203">
        <f t="shared" si="5"/>
        <v>39.299999999999983</v>
      </c>
      <c r="E171" s="318">
        <v>176.1</v>
      </c>
      <c r="F171" s="947">
        <v>425.52029112000002</v>
      </c>
      <c r="G171" s="1946">
        <f>SUM(F166:F171)</f>
        <v>1564.5660101100002</v>
      </c>
      <c r="H171" s="947">
        <v>58.767558749999999</v>
      </c>
      <c r="I171" s="2365">
        <f>SUM(H166:H171)</f>
        <v>160.33926498</v>
      </c>
    </row>
    <row r="172" spans="1:9">
      <c r="A172" s="972">
        <v>2005.07</v>
      </c>
      <c r="B172" s="1203">
        <f t="shared" si="4"/>
        <v>458.19999999999982</v>
      </c>
      <c r="C172" s="141">
        <v>2870.6</v>
      </c>
      <c r="D172" s="1203">
        <f t="shared" si="5"/>
        <v>62.200000000000017</v>
      </c>
      <c r="E172" s="318">
        <v>238.3</v>
      </c>
      <c r="F172" s="947">
        <v>225.45973728000001</v>
      </c>
      <c r="G172" s="1946">
        <f>SUM(F166:F172)</f>
        <v>1790.0257473900001</v>
      </c>
      <c r="H172" s="947">
        <v>9.7376219800000001</v>
      </c>
      <c r="I172" s="2365">
        <f>SUM(H166:H172)</f>
        <v>170.07688696</v>
      </c>
    </row>
    <row r="173" spans="1:9">
      <c r="A173" s="972">
        <v>2005.08</v>
      </c>
      <c r="B173" s="1203">
        <f t="shared" si="4"/>
        <v>455.70000000000027</v>
      </c>
      <c r="C173" s="141">
        <v>3326.3</v>
      </c>
      <c r="D173" s="1203">
        <f t="shared" si="5"/>
        <v>55.5</v>
      </c>
      <c r="E173" s="318">
        <v>293.8</v>
      </c>
      <c r="F173" s="947">
        <v>241.60570250000001</v>
      </c>
      <c r="G173" s="1946">
        <f>SUM(F166:F173)</f>
        <v>2031.6314498900001</v>
      </c>
      <c r="H173" s="947">
        <v>29.328879570000002</v>
      </c>
      <c r="I173" s="2365">
        <f>SUM(H166:H173)</f>
        <v>199.40576652999999</v>
      </c>
    </row>
    <row r="174" spans="1:9">
      <c r="A174" s="972">
        <v>2005.09</v>
      </c>
      <c r="B174" s="1203">
        <f t="shared" si="4"/>
        <v>441</v>
      </c>
      <c r="C174" s="141">
        <v>3767.3</v>
      </c>
      <c r="D174" s="1203">
        <f t="shared" si="5"/>
        <v>22</v>
      </c>
      <c r="E174" s="318">
        <v>315.8</v>
      </c>
      <c r="F174" s="947">
        <v>490.36786003999998</v>
      </c>
      <c r="G174" s="1946">
        <f>SUM(F166:F174)</f>
        <v>2521.99930993</v>
      </c>
      <c r="H174" s="947">
        <v>71.095270260000007</v>
      </c>
      <c r="I174" s="2365">
        <f>SUM(H166:H174)</f>
        <v>270.50103679</v>
      </c>
    </row>
    <row r="175" spans="1:9">
      <c r="A175" s="972">
        <v>2005.1</v>
      </c>
      <c r="B175" s="1203">
        <f t="shared" si="4"/>
        <v>493.39999999999964</v>
      </c>
      <c r="C175" s="141">
        <v>4260.7</v>
      </c>
      <c r="D175" s="1203">
        <f t="shared" si="5"/>
        <v>96.300000000000011</v>
      </c>
      <c r="E175" s="318">
        <v>412.1</v>
      </c>
      <c r="F175" s="947">
        <v>328.29870713000003</v>
      </c>
      <c r="G175" s="1946">
        <f>SUM(F166:F175)</f>
        <v>2850.2980170599999</v>
      </c>
      <c r="H175" s="947">
        <v>29.209042749999998</v>
      </c>
      <c r="I175" s="2365">
        <f>SUM(H166:H175)</f>
        <v>299.71007953999998</v>
      </c>
    </row>
    <row r="176" spans="1:9">
      <c r="A176" s="972">
        <v>2005.11</v>
      </c>
      <c r="B176" s="1203">
        <f t="shared" si="4"/>
        <v>494.5</v>
      </c>
      <c r="C176" s="141">
        <v>4755.2</v>
      </c>
      <c r="D176" s="1203">
        <f t="shared" si="5"/>
        <v>47.799999999999955</v>
      </c>
      <c r="E176" s="318">
        <v>459.9</v>
      </c>
      <c r="F176" s="947">
        <v>198.02149506999999</v>
      </c>
      <c r="G176" s="1946">
        <f>SUM(F166:F176)</f>
        <v>3048.31951213</v>
      </c>
      <c r="H176" s="947">
        <v>31.090646079999999</v>
      </c>
      <c r="I176" s="2365">
        <f>SUM(H166:H176)</f>
        <v>330.80072561999998</v>
      </c>
    </row>
    <row r="177" spans="1:9">
      <c r="A177" s="972">
        <v>2005.12</v>
      </c>
      <c r="B177" s="1203">
        <f t="shared" si="4"/>
        <v>884.15865059000043</v>
      </c>
      <c r="C177" s="141">
        <v>5639.3586505900003</v>
      </c>
      <c r="D177" s="1203">
        <f t="shared" si="5"/>
        <v>295.74761725000008</v>
      </c>
      <c r="E177" s="318">
        <v>755.64761725000005</v>
      </c>
      <c r="F177" s="947">
        <v>644.29065867999998</v>
      </c>
      <c r="G177" s="1946">
        <f>SUM(F166:F177)</f>
        <v>3692.61017081</v>
      </c>
      <c r="H177" s="947">
        <v>86.615998379999994</v>
      </c>
      <c r="I177" s="2365">
        <f>SUM(H166:H177)</f>
        <v>417.41672399999999</v>
      </c>
    </row>
    <row r="178" spans="1:9">
      <c r="A178" s="972">
        <v>2006.01</v>
      </c>
      <c r="B178" s="2397">
        <f>C178</f>
        <v>415</v>
      </c>
      <c r="C178" s="141">
        <v>415</v>
      </c>
      <c r="D178" s="2397">
        <f>E178</f>
        <v>31.4</v>
      </c>
      <c r="E178" s="318">
        <v>31.4</v>
      </c>
      <c r="F178" s="947">
        <v>94.112803139999997</v>
      </c>
      <c r="G178" s="1946">
        <f>+F178</f>
        <v>94.112803139999997</v>
      </c>
      <c r="H178" s="947">
        <v>1.68502759</v>
      </c>
      <c r="I178" s="2365">
        <f>+H178</f>
        <v>1.68502759</v>
      </c>
    </row>
    <row r="179" spans="1:9">
      <c r="A179" s="972">
        <v>2006.02</v>
      </c>
      <c r="B179" s="1203">
        <f>(C179-C178)</f>
        <v>437.4</v>
      </c>
      <c r="C179" s="141">
        <v>852.4</v>
      </c>
      <c r="D179" s="1203">
        <f>E179-E178</f>
        <v>19.100000000000001</v>
      </c>
      <c r="E179" s="318">
        <v>50.5</v>
      </c>
      <c r="F179" s="947">
        <v>253.21574982000001</v>
      </c>
      <c r="G179" s="1946">
        <f>SUM(F178:F179)</f>
        <v>347.32855296000002</v>
      </c>
      <c r="H179" s="947">
        <v>32.101452440000003</v>
      </c>
      <c r="I179" s="2365">
        <f>SUM(H178:H179)</f>
        <v>33.78648003</v>
      </c>
    </row>
    <row r="180" spans="1:9">
      <c r="A180" s="972">
        <v>2006.03</v>
      </c>
      <c r="B180" s="1203">
        <f t="shared" ref="B180:B189" si="6">(C180-C179)</f>
        <v>580.30000000000007</v>
      </c>
      <c r="C180" s="141">
        <v>1432.7</v>
      </c>
      <c r="D180" s="1203">
        <f t="shared" ref="D180:D189" si="7">E180-E179</f>
        <v>74</v>
      </c>
      <c r="E180" s="318">
        <v>124.5</v>
      </c>
      <c r="F180" s="947">
        <v>351.23598248000002</v>
      </c>
      <c r="G180" s="1946">
        <f>SUM(F178:F180)</f>
        <v>698.5645354400001</v>
      </c>
      <c r="H180" s="947">
        <v>52.164292269999997</v>
      </c>
      <c r="I180" s="2365">
        <f>SUM(H178:H180)</f>
        <v>85.950772299999997</v>
      </c>
    </row>
    <row r="181" spans="1:9">
      <c r="A181" s="972">
        <v>2006.04</v>
      </c>
      <c r="B181" s="1203">
        <f t="shared" si="6"/>
        <v>517.09999999999991</v>
      </c>
      <c r="C181" s="141">
        <v>1949.8</v>
      </c>
      <c r="D181" s="1203">
        <f t="shared" si="7"/>
        <v>73</v>
      </c>
      <c r="E181" s="318">
        <v>197.5</v>
      </c>
      <c r="F181" s="947">
        <v>250.19108308</v>
      </c>
      <c r="G181" s="1946">
        <f>SUM(F178:F181)</f>
        <v>948.7556185200001</v>
      </c>
      <c r="H181" s="947">
        <v>12.569182919999999</v>
      </c>
      <c r="I181" s="2365">
        <f>SUM(H178:H181)</f>
        <v>98.51995522</v>
      </c>
    </row>
    <row r="182" spans="1:9">
      <c r="A182" s="972">
        <v>2006.05</v>
      </c>
      <c r="B182" s="1203">
        <f t="shared" si="6"/>
        <v>601.29999999999995</v>
      </c>
      <c r="C182" s="141">
        <v>2551.1</v>
      </c>
      <c r="D182" s="1203">
        <f t="shared" si="7"/>
        <v>86.899999999999977</v>
      </c>
      <c r="E182" s="318">
        <v>284.39999999999998</v>
      </c>
      <c r="F182" s="947">
        <v>307.39493878000002</v>
      </c>
      <c r="G182" s="1946">
        <f>SUM(F178:F182)</f>
        <v>1256.1505573000002</v>
      </c>
      <c r="H182" s="947">
        <v>67.610920770000007</v>
      </c>
      <c r="I182" s="2365">
        <f>SUM(H178:H182)</f>
        <v>166.13087598999999</v>
      </c>
    </row>
    <row r="183" spans="1:9">
      <c r="A183" s="972">
        <v>2006.06</v>
      </c>
      <c r="B183" s="1203">
        <f t="shared" si="6"/>
        <v>730.90000000000009</v>
      </c>
      <c r="C183" s="141">
        <v>3282</v>
      </c>
      <c r="D183" s="1203">
        <f t="shared" si="7"/>
        <v>108.60000000000002</v>
      </c>
      <c r="E183" s="318">
        <v>393</v>
      </c>
      <c r="F183" s="947">
        <v>480.40782890999998</v>
      </c>
      <c r="G183" s="1946">
        <f>SUM(F178:F183)</f>
        <v>1736.5583862100002</v>
      </c>
      <c r="H183" s="947">
        <v>56.438708869999999</v>
      </c>
      <c r="I183" s="2365">
        <f>SUM(H178:H183)</f>
        <v>222.56958485999999</v>
      </c>
    </row>
    <row r="184" spans="1:9">
      <c r="A184" s="972">
        <v>2006.07</v>
      </c>
      <c r="B184" s="1203">
        <f t="shared" si="6"/>
        <v>589.30000000000018</v>
      </c>
      <c r="C184" s="141">
        <v>3871.3</v>
      </c>
      <c r="D184" s="1203">
        <f t="shared" si="7"/>
        <v>95.899999999999977</v>
      </c>
      <c r="E184" s="318">
        <v>488.9</v>
      </c>
      <c r="F184" s="947">
        <v>312.04376278000001</v>
      </c>
      <c r="G184" s="1946">
        <f>SUM(F178:F184)</f>
        <v>2048.6021489900004</v>
      </c>
      <c r="H184" s="947">
        <v>48.264812210000002</v>
      </c>
      <c r="I184" s="2365">
        <f>SUM(H178:H184)</f>
        <v>270.83439707000002</v>
      </c>
    </row>
    <row r="185" spans="1:9">
      <c r="A185" s="972">
        <v>2006.08</v>
      </c>
      <c r="B185" s="1203">
        <f t="shared" si="6"/>
        <v>599.80000000000018</v>
      </c>
      <c r="C185" s="141">
        <v>4471.1000000000004</v>
      </c>
      <c r="D185" s="1203">
        <f t="shared" si="7"/>
        <v>110.70000000000005</v>
      </c>
      <c r="E185" s="318">
        <v>599.6</v>
      </c>
      <c r="F185" s="947">
        <v>452.25459439999997</v>
      </c>
      <c r="G185" s="1946">
        <f>SUM(F178:F185)</f>
        <v>2500.8567433900002</v>
      </c>
      <c r="H185" s="947">
        <v>110.3396741</v>
      </c>
      <c r="I185" s="2365">
        <f>SUM(H178:H185)</f>
        <v>381.17407117000005</v>
      </c>
    </row>
    <row r="186" spans="1:9">
      <c r="A186" s="972">
        <v>2006.09</v>
      </c>
      <c r="B186" s="1203">
        <f t="shared" si="6"/>
        <v>622.59999999999945</v>
      </c>
      <c r="C186" s="141">
        <v>5093.7</v>
      </c>
      <c r="D186" s="1203">
        <f t="shared" si="7"/>
        <v>116.29999999999995</v>
      </c>
      <c r="E186" s="318">
        <v>715.9</v>
      </c>
      <c r="F186" s="947">
        <v>455.98891535000001</v>
      </c>
      <c r="G186" s="1946">
        <f>SUM(F178:F186)</f>
        <v>2956.8456587400001</v>
      </c>
      <c r="H186" s="947">
        <v>76.086708009999995</v>
      </c>
      <c r="I186" s="2365">
        <f>SUM(H178:H186)</f>
        <v>457.26077918000004</v>
      </c>
    </row>
    <row r="187" spans="1:9">
      <c r="A187" s="972">
        <v>2006.1</v>
      </c>
      <c r="B187" s="1203">
        <f t="shared" si="6"/>
        <v>608.80000000000018</v>
      </c>
      <c r="C187" s="141">
        <v>5702.5</v>
      </c>
      <c r="D187" s="1203">
        <f t="shared" si="7"/>
        <v>99.800000000000068</v>
      </c>
      <c r="E187" s="318">
        <v>815.7</v>
      </c>
      <c r="F187" s="947">
        <v>358.22393490000002</v>
      </c>
      <c r="G187" s="1946">
        <f>SUM(F178:F187)</f>
        <v>3315.0695936400002</v>
      </c>
      <c r="H187" s="947">
        <v>46.8658845</v>
      </c>
      <c r="I187" s="2365">
        <f>SUM(H178:H187)</f>
        <v>504.12666368000004</v>
      </c>
    </row>
    <row r="188" spans="1:9">
      <c r="A188" s="972">
        <v>2006.11</v>
      </c>
      <c r="B188" s="1203">
        <f t="shared" si="6"/>
        <v>601.60000000000036</v>
      </c>
      <c r="C188" s="141">
        <v>6304.1</v>
      </c>
      <c r="D188" s="1203">
        <f t="shared" si="7"/>
        <v>100.79999999999995</v>
      </c>
      <c r="E188" s="318">
        <v>916.5</v>
      </c>
      <c r="F188" s="947">
        <v>371.74688680000003</v>
      </c>
      <c r="G188" s="1946">
        <f>SUM(F178:F188)</f>
        <v>3686.8164804400003</v>
      </c>
      <c r="H188" s="947">
        <v>70.045435159999997</v>
      </c>
      <c r="I188" s="2365">
        <f>SUM(H178:H188)</f>
        <v>574.17209883999999</v>
      </c>
    </row>
    <row r="189" spans="1:9">
      <c r="A189" s="972">
        <v>2006.12</v>
      </c>
      <c r="B189" s="1203">
        <f t="shared" si="6"/>
        <v>1116.7309847899996</v>
      </c>
      <c r="C189" s="141">
        <v>7420.83098479</v>
      </c>
      <c r="D189" s="1203">
        <f t="shared" si="7"/>
        <v>310.36418019000007</v>
      </c>
      <c r="E189" s="318">
        <v>1226.8641801900001</v>
      </c>
      <c r="F189" s="947">
        <v>856.22997558999998</v>
      </c>
      <c r="G189" s="1946">
        <f>SUM(F178:F189)</f>
        <v>4543.0464560300006</v>
      </c>
      <c r="H189" s="947">
        <v>221.03009929000001</v>
      </c>
      <c r="I189" s="2365">
        <f>SUM(H178:H189)</f>
        <v>795.20219812999994</v>
      </c>
    </row>
    <row r="190" spans="1:9">
      <c r="A190" s="972">
        <v>2007.01</v>
      </c>
      <c r="B190" s="2397">
        <f>C190</f>
        <v>537.4</v>
      </c>
      <c r="C190" s="141">
        <v>537.4</v>
      </c>
      <c r="D190" s="2397">
        <f>E190</f>
        <v>39.4</v>
      </c>
      <c r="E190" s="318">
        <v>39.4</v>
      </c>
      <c r="F190" s="947">
        <v>125.4260379</v>
      </c>
      <c r="G190" s="1946">
        <f>+F190</f>
        <v>125.4260379</v>
      </c>
      <c r="H190" s="947">
        <v>16.543087759999999</v>
      </c>
      <c r="I190" s="2365">
        <f>+H190</f>
        <v>16.543087759999999</v>
      </c>
    </row>
    <row r="191" spans="1:9">
      <c r="A191" s="972">
        <v>2007.02</v>
      </c>
      <c r="B191" s="1203">
        <f>(C191-C190)</f>
        <v>553.30000000000007</v>
      </c>
      <c r="C191" s="141">
        <v>1090.7</v>
      </c>
      <c r="D191" s="1203">
        <f>E191-E190</f>
        <v>54.500000000000007</v>
      </c>
      <c r="E191" s="318">
        <v>93.9</v>
      </c>
      <c r="F191" s="947">
        <v>407.07600171000001</v>
      </c>
      <c r="G191" s="1946">
        <f>SUM(F190:F191)</f>
        <v>532.50203961</v>
      </c>
      <c r="H191" s="947">
        <v>60.399360590000001</v>
      </c>
      <c r="I191" s="2365">
        <f>SUM(H190:H191)</f>
        <v>76.942448350000006</v>
      </c>
    </row>
    <row r="192" spans="1:9">
      <c r="A192" s="972">
        <v>2007.03</v>
      </c>
      <c r="B192" s="1203">
        <f t="shared" ref="B192:B201" si="8">(C192-C191)</f>
        <v>737.89999999999986</v>
      </c>
      <c r="C192" s="141">
        <v>1828.6</v>
      </c>
      <c r="D192" s="1203">
        <f t="shared" ref="D192:D201" si="9">E192-E191</f>
        <v>73.900000000000006</v>
      </c>
      <c r="E192" s="318">
        <v>167.8</v>
      </c>
      <c r="F192" s="947">
        <v>233.72408041</v>
      </c>
      <c r="G192" s="1946">
        <f>SUM(F190:F192)</f>
        <v>766.22612002000005</v>
      </c>
      <c r="H192" s="947">
        <v>50.440869480000003</v>
      </c>
      <c r="I192" s="2365">
        <f>SUM(H190:H192)</f>
        <v>127.38331783000001</v>
      </c>
    </row>
    <row r="193" spans="1:9">
      <c r="A193" s="972">
        <v>2007.04</v>
      </c>
      <c r="B193" s="1203">
        <f t="shared" si="8"/>
        <v>706.59999999999991</v>
      </c>
      <c r="C193" s="141">
        <v>2535.1999999999998</v>
      </c>
      <c r="D193" s="1203">
        <f t="shared" si="9"/>
        <v>71</v>
      </c>
      <c r="E193" s="318">
        <v>238.8</v>
      </c>
      <c r="F193" s="947">
        <v>358.65826937000003</v>
      </c>
      <c r="G193" s="1946">
        <f>SUM(F190:F193)</f>
        <v>1124.88438939</v>
      </c>
      <c r="H193" s="947">
        <v>28.733371739999999</v>
      </c>
      <c r="I193" s="2365">
        <f>SUM(H190:H193)</f>
        <v>156.11668957000001</v>
      </c>
    </row>
    <row r="194" spans="1:9">
      <c r="A194" s="972">
        <v>2007.05</v>
      </c>
      <c r="B194" s="1203">
        <f t="shared" si="8"/>
        <v>765.90000000000009</v>
      </c>
      <c r="C194" s="141">
        <v>3301.1</v>
      </c>
      <c r="D194" s="1203">
        <f t="shared" si="9"/>
        <v>67.099999999999966</v>
      </c>
      <c r="E194" s="318">
        <v>305.89999999999998</v>
      </c>
      <c r="F194" s="947">
        <v>313.75062853999998</v>
      </c>
      <c r="G194" s="1946">
        <f>SUM(F190:F194)</f>
        <v>1438.63501793</v>
      </c>
      <c r="H194" s="947">
        <v>46.437314749999999</v>
      </c>
      <c r="I194" s="2365">
        <f>SUM(H190:H194)</f>
        <v>202.55400431999999</v>
      </c>
    </row>
    <row r="195" spans="1:9">
      <c r="A195" s="972">
        <v>2007.06</v>
      </c>
      <c r="B195" s="1203">
        <f t="shared" si="8"/>
        <v>943.59999999999991</v>
      </c>
      <c r="C195" s="141">
        <v>4244.7</v>
      </c>
      <c r="D195" s="1203">
        <f t="shared" si="9"/>
        <v>94.800000000000011</v>
      </c>
      <c r="E195" s="318">
        <v>400.7</v>
      </c>
      <c r="F195" s="947">
        <v>597.44226170000002</v>
      </c>
      <c r="G195" s="1946">
        <f>SUM(F190:F195)</f>
        <v>2036.07727963</v>
      </c>
      <c r="H195" s="947">
        <v>101.03106036</v>
      </c>
      <c r="I195" s="2365">
        <f>SUM(H190:H195)</f>
        <v>303.58506467999996</v>
      </c>
    </row>
    <row r="196" spans="1:9">
      <c r="A196" s="972">
        <v>2007.07</v>
      </c>
      <c r="B196" s="1203">
        <f t="shared" si="8"/>
        <v>760.60000000000036</v>
      </c>
      <c r="C196" s="141">
        <v>5005.3</v>
      </c>
      <c r="D196" s="1203">
        <f t="shared" si="9"/>
        <v>86</v>
      </c>
      <c r="E196" s="318">
        <v>486.7</v>
      </c>
      <c r="F196" s="947">
        <v>354.02249768000001</v>
      </c>
      <c r="G196" s="1946">
        <f>SUM(F190:F196)</f>
        <v>2390.0997773099998</v>
      </c>
      <c r="H196" s="947">
        <v>29.97809985</v>
      </c>
      <c r="I196" s="2365">
        <f>SUM(H190:H196)</f>
        <v>333.56316452999994</v>
      </c>
    </row>
    <row r="197" spans="1:9">
      <c r="A197" s="972">
        <v>2007.08</v>
      </c>
      <c r="B197" s="1203">
        <f t="shared" si="8"/>
        <v>796.80000000000018</v>
      </c>
      <c r="C197" s="141">
        <v>5802.1</v>
      </c>
      <c r="D197" s="1203">
        <f t="shared" si="9"/>
        <v>93.500000000000057</v>
      </c>
      <c r="E197" s="318">
        <v>580.20000000000005</v>
      </c>
      <c r="F197" s="947">
        <v>395.86083751000001</v>
      </c>
      <c r="G197" s="1946">
        <f>SUM(F190:F197)</f>
        <v>2785.96061482</v>
      </c>
      <c r="H197" s="947">
        <v>58.534477500000001</v>
      </c>
      <c r="I197" s="2365">
        <f>SUM(H190:H197)</f>
        <v>392.09764202999992</v>
      </c>
    </row>
    <row r="198" spans="1:9">
      <c r="A198" s="972">
        <v>2007.09</v>
      </c>
      <c r="B198" s="1203">
        <f t="shared" si="8"/>
        <v>907.39999999999964</v>
      </c>
      <c r="C198" s="141">
        <v>6709.5</v>
      </c>
      <c r="D198" s="1203">
        <f t="shared" si="9"/>
        <v>110.39999999999998</v>
      </c>
      <c r="E198" s="318">
        <v>690.6</v>
      </c>
      <c r="F198" s="947">
        <v>452.39316636000001</v>
      </c>
      <c r="G198" s="1946">
        <f>SUM(F190:F198)</f>
        <v>3238.3537811800002</v>
      </c>
      <c r="H198" s="947">
        <v>64.225365940000003</v>
      </c>
      <c r="I198" s="2365">
        <f>SUM(H190:H198)</f>
        <v>456.32300796999994</v>
      </c>
    </row>
    <row r="199" spans="1:9">
      <c r="A199" s="972">
        <v>2007.1</v>
      </c>
      <c r="B199" s="1203">
        <f t="shared" si="8"/>
        <v>858.10000000000036</v>
      </c>
      <c r="C199" s="141">
        <v>7567.6</v>
      </c>
      <c r="D199" s="1203">
        <f t="shared" si="9"/>
        <v>74.899999999999977</v>
      </c>
      <c r="E199" s="318">
        <v>765.5</v>
      </c>
      <c r="F199" s="947">
        <v>336.81001651999998</v>
      </c>
      <c r="G199" s="1946">
        <f>SUM(F190:F199)</f>
        <v>3575.1637977</v>
      </c>
      <c r="H199" s="947">
        <v>60.003301219999997</v>
      </c>
      <c r="I199" s="2365">
        <f>SUM(H190:H199)</f>
        <v>516.32630918999996</v>
      </c>
    </row>
    <row r="200" spans="1:9">
      <c r="A200" s="972">
        <v>2007.11</v>
      </c>
      <c r="B200" s="1203">
        <f t="shared" si="8"/>
        <v>870.69999999999891</v>
      </c>
      <c r="C200" s="141">
        <v>8438.2999999999993</v>
      </c>
      <c r="D200" s="1203">
        <f t="shared" si="9"/>
        <v>124</v>
      </c>
      <c r="E200" s="318">
        <v>889.5</v>
      </c>
      <c r="F200" s="947">
        <v>33.253909890000003</v>
      </c>
      <c r="G200" s="1946">
        <f>SUM(F190:F200)</f>
        <v>3608.4177075900002</v>
      </c>
      <c r="H200" s="947">
        <v>36.690104060000003</v>
      </c>
      <c r="I200" s="2365">
        <f>SUM(H190:H200)</f>
        <v>553.01641324999991</v>
      </c>
    </row>
    <row r="201" spans="1:9">
      <c r="A201" s="972">
        <v>2007.12</v>
      </c>
      <c r="B201" s="1203">
        <f t="shared" si="8"/>
        <v>1151.9010730400023</v>
      </c>
      <c r="C201" s="141">
        <v>9590.2010730400016</v>
      </c>
      <c r="D201" s="1203">
        <f t="shared" si="9"/>
        <v>156.76506651999989</v>
      </c>
      <c r="E201" s="318">
        <v>1046.2650665199999</v>
      </c>
      <c r="F201" s="947">
        <v>831.58212176999996</v>
      </c>
      <c r="G201" s="1946">
        <f>SUM(F190:F201)</f>
        <v>4439.9998293600001</v>
      </c>
      <c r="H201" s="947">
        <v>190.78449749999999</v>
      </c>
      <c r="I201" s="2365">
        <f>SUM(H190:H201)</f>
        <v>743.80091074999996</v>
      </c>
    </row>
    <row r="202" spans="1:9">
      <c r="A202" s="972">
        <f t="shared" ref="A202:A233" si="10">A190+1</f>
        <v>2008.01</v>
      </c>
      <c r="B202" s="2397">
        <f>C202</f>
        <v>793.6</v>
      </c>
      <c r="C202" s="141">
        <v>793.6</v>
      </c>
      <c r="D202" s="2397">
        <f>E202</f>
        <v>18.100000000000001</v>
      </c>
      <c r="E202" s="318">
        <v>18.100000000000001</v>
      </c>
      <c r="F202" s="947">
        <v>260.42535054000001</v>
      </c>
      <c r="G202" s="1946">
        <f>+F202</f>
        <v>260.42535054000001</v>
      </c>
      <c r="H202" s="947">
        <v>36.349850539999998</v>
      </c>
      <c r="I202" s="2365">
        <f>+H202</f>
        <v>36.349850539999998</v>
      </c>
    </row>
    <row r="203" spans="1:9">
      <c r="A203" s="972">
        <f t="shared" si="10"/>
        <v>2008.02</v>
      </c>
      <c r="B203" s="1203">
        <f>(C203-C202)</f>
        <v>790.49999999999989</v>
      </c>
      <c r="C203" s="141">
        <v>1584.1</v>
      </c>
      <c r="D203" s="1203">
        <f>E203-E202</f>
        <v>44</v>
      </c>
      <c r="E203" s="318">
        <v>62.1</v>
      </c>
      <c r="F203" s="947">
        <v>387.59851703999999</v>
      </c>
      <c r="G203" s="1946">
        <f>SUM(F202:F203)</f>
        <v>648.02386758</v>
      </c>
      <c r="H203" s="947">
        <v>49.89404408</v>
      </c>
      <c r="I203" s="2365">
        <f>SUM(H202:H203)</f>
        <v>86.243894619999992</v>
      </c>
    </row>
    <row r="204" spans="1:9">
      <c r="A204" s="972">
        <f t="shared" si="10"/>
        <v>2008.03</v>
      </c>
      <c r="B204" s="1203">
        <f t="shared" ref="B204:B213" si="11">(C204-C203)</f>
        <v>938.90000000000009</v>
      </c>
      <c r="C204" s="141">
        <v>2523</v>
      </c>
      <c r="D204" s="1203">
        <f t="shared" ref="D204:D213" si="12">E204-E203</f>
        <v>62.199999999999996</v>
      </c>
      <c r="E204" s="318">
        <v>124.3</v>
      </c>
      <c r="F204" s="947">
        <v>457.87191853000002</v>
      </c>
      <c r="G204" s="1946">
        <f>SUM(F202:F204)</f>
        <v>1105.89578611</v>
      </c>
      <c r="H204" s="947">
        <v>82.747363030000002</v>
      </c>
      <c r="I204" s="2365">
        <f>SUM(H202:H204)</f>
        <v>168.99125764999999</v>
      </c>
    </row>
    <row r="205" spans="1:9">
      <c r="A205" s="972">
        <f t="shared" si="10"/>
        <v>2008.04</v>
      </c>
      <c r="B205" s="1203">
        <f t="shared" si="11"/>
        <v>1028.8000000000002</v>
      </c>
      <c r="C205" s="141">
        <v>3551.8</v>
      </c>
      <c r="D205" s="1203">
        <f t="shared" si="12"/>
        <v>69.2</v>
      </c>
      <c r="E205" s="318">
        <v>193.5</v>
      </c>
      <c r="F205" s="947">
        <v>398.50590046000002</v>
      </c>
      <c r="G205" s="1946">
        <f>SUM(F202:F205)</f>
        <v>1504.40168657</v>
      </c>
      <c r="H205" s="947">
        <v>51.037410639999997</v>
      </c>
      <c r="I205" s="2365">
        <f>SUM(H202:H205)</f>
        <v>220.02866828999998</v>
      </c>
    </row>
    <row r="206" spans="1:9">
      <c r="A206" s="972">
        <f t="shared" si="10"/>
        <v>2008.05</v>
      </c>
      <c r="B206" s="1203">
        <f t="shared" si="11"/>
        <v>1031.0999999999995</v>
      </c>
      <c r="C206" s="141">
        <v>4582.8999999999996</v>
      </c>
      <c r="D206" s="1203">
        <f t="shared" si="12"/>
        <v>74.800000000000011</v>
      </c>
      <c r="E206" s="318">
        <v>268.3</v>
      </c>
      <c r="F206" s="947">
        <v>449.32068283000001</v>
      </c>
      <c r="G206" s="1946">
        <f>SUM(F202:F206)</f>
        <v>1953.7223693999999</v>
      </c>
      <c r="H206" s="947">
        <v>57.350034479999998</v>
      </c>
      <c r="I206" s="2365">
        <f>SUM(H202:H206)</f>
        <v>277.37870276999996</v>
      </c>
    </row>
    <row r="207" spans="1:9">
      <c r="A207" s="972">
        <f t="shared" si="10"/>
        <v>2008.06</v>
      </c>
      <c r="B207" s="1203">
        <f t="shared" si="11"/>
        <v>1240.2000000000007</v>
      </c>
      <c r="C207" s="141">
        <v>5823.1</v>
      </c>
      <c r="D207" s="1203">
        <f t="shared" si="12"/>
        <v>63.5</v>
      </c>
      <c r="E207" s="318">
        <v>331.8</v>
      </c>
      <c r="F207" s="947">
        <v>720.23209721000001</v>
      </c>
      <c r="G207" s="1946">
        <f>SUM(F202:F207)</f>
        <v>2673.9544666100001</v>
      </c>
      <c r="H207" s="947">
        <v>105.20469169</v>
      </c>
      <c r="I207" s="2365">
        <f>SUM(H202:H207)</f>
        <v>382.58339445999997</v>
      </c>
    </row>
    <row r="208" spans="1:9">
      <c r="A208" s="972">
        <f t="shared" si="10"/>
        <v>2008.07</v>
      </c>
      <c r="B208" s="1203">
        <f t="shared" si="11"/>
        <v>1082.1999999999998</v>
      </c>
      <c r="C208" s="141">
        <v>6905.3</v>
      </c>
      <c r="D208" s="1203">
        <f t="shared" si="12"/>
        <v>98.099999999999966</v>
      </c>
      <c r="E208" s="318">
        <v>429.9</v>
      </c>
      <c r="F208" s="947">
        <v>407.51415635000001</v>
      </c>
      <c r="G208" s="1946">
        <f>SUM(F202:F208)</f>
        <v>3081.4686229600002</v>
      </c>
      <c r="H208" s="947">
        <v>44.205955240000002</v>
      </c>
      <c r="I208" s="2365">
        <f>SUM(H202:H208)</f>
        <v>426.78934969999995</v>
      </c>
    </row>
    <row r="209" spans="1:9">
      <c r="A209" s="972">
        <f t="shared" si="10"/>
        <v>2008.08</v>
      </c>
      <c r="B209" s="1203">
        <f t="shared" si="11"/>
        <v>1186.3999999999996</v>
      </c>
      <c r="C209" s="141">
        <v>8091.7</v>
      </c>
      <c r="D209" s="1203">
        <f t="shared" si="12"/>
        <v>106.39999999999998</v>
      </c>
      <c r="E209" s="318">
        <v>536.29999999999995</v>
      </c>
      <c r="F209" s="947">
        <v>405.32098045999999</v>
      </c>
      <c r="G209" s="1946">
        <f>SUM(F202:F209)</f>
        <v>3486.7896034200003</v>
      </c>
      <c r="H209" s="947">
        <v>32.366912110000001</v>
      </c>
      <c r="I209" s="2365">
        <f>SUM(H202:H209)</f>
        <v>459.15626180999993</v>
      </c>
    </row>
    <row r="210" spans="1:9">
      <c r="A210" s="972">
        <f t="shared" si="10"/>
        <v>2008.09</v>
      </c>
      <c r="B210" s="1203">
        <f t="shared" si="11"/>
        <v>1192.5999999999995</v>
      </c>
      <c r="C210" s="141">
        <v>9284.2999999999993</v>
      </c>
      <c r="D210" s="1203">
        <f t="shared" si="12"/>
        <v>94.700000000000045</v>
      </c>
      <c r="E210" s="318">
        <v>631</v>
      </c>
      <c r="F210" s="947">
        <v>559.85380544999998</v>
      </c>
      <c r="G210" s="1946">
        <f>SUM(F202:F210)</f>
        <v>4046.6434088700003</v>
      </c>
      <c r="H210" s="947">
        <v>57.014359689999999</v>
      </c>
      <c r="I210" s="2365">
        <f>SUM(H202:H210)</f>
        <v>516.17062149999992</v>
      </c>
    </row>
    <row r="211" spans="1:9">
      <c r="A211" s="972">
        <f t="shared" si="10"/>
        <v>2008.1</v>
      </c>
      <c r="B211" s="1203">
        <f t="shared" si="11"/>
        <v>1158.6000000000004</v>
      </c>
      <c r="C211" s="141">
        <v>10442.9</v>
      </c>
      <c r="D211" s="1203">
        <f t="shared" si="12"/>
        <v>130.79999999999995</v>
      </c>
      <c r="E211" s="318">
        <v>761.8</v>
      </c>
      <c r="F211" s="947">
        <v>419.82177123999998</v>
      </c>
      <c r="G211" s="1946">
        <f>SUM(F202:F211)</f>
        <v>4466.4651801099999</v>
      </c>
      <c r="H211" s="947">
        <v>37.482085140000002</v>
      </c>
      <c r="I211" s="2365">
        <f>SUM(H202:H211)</f>
        <v>553.65270663999991</v>
      </c>
    </row>
    <row r="212" spans="1:9">
      <c r="A212" s="972">
        <f t="shared" si="10"/>
        <v>2008.11</v>
      </c>
      <c r="B212" s="1203">
        <f t="shared" si="11"/>
        <v>1117.1000000000004</v>
      </c>
      <c r="C212" s="141">
        <v>11560</v>
      </c>
      <c r="D212" s="1203">
        <f t="shared" si="12"/>
        <v>116.5</v>
      </c>
      <c r="E212" s="318">
        <v>878.3</v>
      </c>
      <c r="F212" s="947">
        <v>597.44944681000004</v>
      </c>
      <c r="G212" s="1946">
        <f>SUM(F202:F212)</f>
        <v>5063.91462692</v>
      </c>
      <c r="H212" s="947">
        <v>55.356429650000003</v>
      </c>
      <c r="I212" s="2365">
        <f>SUM(H202:H212)</f>
        <v>609.0091362899999</v>
      </c>
    </row>
    <row r="213" spans="1:9">
      <c r="A213" s="972">
        <f t="shared" si="10"/>
        <v>2008.12</v>
      </c>
      <c r="B213" s="1203">
        <f t="shared" si="11"/>
        <v>2032.2576414599989</v>
      </c>
      <c r="C213" s="141">
        <v>13592.257641459999</v>
      </c>
      <c r="D213" s="1203">
        <f t="shared" si="12"/>
        <v>400.7072400699999</v>
      </c>
      <c r="E213" s="318">
        <v>1279.0072400699999</v>
      </c>
      <c r="F213" s="947">
        <v>790.97894487999997</v>
      </c>
      <c r="G213" s="1946">
        <f>SUM(F202:F213)</f>
        <v>5854.8935718000002</v>
      </c>
      <c r="H213" s="947">
        <v>215.21440303</v>
      </c>
      <c r="I213" s="2365">
        <f>SUM(H202:H213)</f>
        <v>824.22353931999987</v>
      </c>
    </row>
    <row r="214" spans="1:9">
      <c r="A214" s="972">
        <f t="shared" si="10"/>
        <v>2009.01</v>
      </c>
      <c r="B214" s="2397">
        <f>C214</f>
        <v>1113.9000000000001</v>
      </c>
      <c r="C214" s="141">
        <v>1113.9000000000001</v>
      </c>
      <c r="D214" s="2397">
        <f>E214</f>
        <v>16</v>
      </c>
      <c r="E214" s="318">
        <v>16</v>
      </c>
      <c r="F214" s="947">
        <v>129.98258691000001</v>
      </c>
      <c r="G214" s="1946">
        <f>+F214</f>
        <v>129.98258691000001</v>
      </c>
      <c r="H214" s="947">
        <v>11.39426651</v>
      </c>
      <c r="I214" s="2365">
        <f>+H214</f>
        <v>11.39426651</v>
      </c>
    </row>
    <row r="215" spans="1:9">
      <c r="A215" s="972">
        <f t="shared" si="10"/>
        <v>2009.02</v>
      </c>
      <c r="B215" s="1203">
        <f>(C215-C214)</f>
        <v>1087.2999999999997</v>
      </c>
      <c r="C215" s="141">
        <v>2201.1999999999998</v>
      </c>
      <c r="D215" s="1203">
        <f>E215-E214</f>
        <v>58.599999999999994</v>
      </c>
      <c r="E215" s="318">
        <v>74.599999999999994</v>
      </c>
      <c r="F215" s="947">
        <v>591.88926761000005</v>
      </c>
      <c r="G215" s="1946">
        <f>SUM(F214:F215)</f>
        <v>721.87185452000006</v>
      </c>
      <c r="H215" s="947">
        <v>60.693690609999997</v>
      </c>
      <c r="I215" s="2365">
        <f>SUM(H214:H215)</f>
        <v>72.087957119999999</v>
      </c>
    </row>
    <row r="216" spans="1:9">
      <c r="A216" s="972">
        <f t="shared" si="10"/>
        <v>2009.03</v>
      </c>
      <c r="B216" s="1203">
        <f t="shared" ref="B216:B225" si="13">(C216-C215)</f>
        <v>1272.3000000000002</v>
      </c>
      <c r="C216" s="141">
        <v>3473.5</v>
      </c>
      <c r="D216" s="1203">
        <f t="shared" ref="D216:D225" si="14">E216-E215</f>
        <v>89.4</v>
      </c>
      <c r="E216" s="318">
        <v>164</v>
      </c>
      <c r="F216" s="947">
        <v>581.47899831999996</v>
      </c>
      <c r="G216" s="1946">
        <f>SUM(F214:F216)</f>
        <v>1303.35085284</v>
      </c>
      <c r="H216" s="947">
        <v>63.92669085</v>
      </c>
      <c r="I216" s="2365">
        <f>SUM(H214:H216)</f>
        <v>136.01464797</v>
      </c>
    </row>
    <row r="217" spans="1:9">
      <c r="A217" s="972">
        <f t="shared" si="10"/>
        <v>2009.04</v>
      </c>
      <c r="B217" s="1203">
        <f t="shared" si="13"/>
        <v>1246.6000000000004</v>
      </c>
      <c r="C217" s="141">
        <v>4720.1000000000004</v>
      </c>
      <c r="D217" s="1203">
        <f t="shared" si="14"/>
        <v>80.5</v>
      </c>
      <c r="E217" s="318">
        <v>244.5</v>
      </c>
      <c r="F217" s="947">
        <v>491.92943806</v>
      </c>
      <c r="G217" s="1946">
        <f>SUM(F214:F217)</f>
        <v>1795.2802909</v>
      </c>
      <c r="H217" s="947">
        <v>78.597601479999994</v>
      </c>
      <c r="I217" s="2365">
        <f>SUM(H214:H217)</f>
        <v>214.61224944999998</v>
      </c>
    </row>
    <row r="218" spans="1:9">
      <c r="A218" s="972">
        <f t="shared" si="10"/>
        <v>2009.05</v>
      </c>
      <c r="B218" s="1203">
        <f t="shared" si="13"/>
        <v>1298.2999999999993</v>
      </c>
      <c r="C218" s="141">
        <v>6018.4</v>
      </c>
      <c r="D218" s="1203">
        <f t="shared" si="14"/>
        <v>101</v>
      </c>
      <c r="E218" s="318">
        <v>345.5</v>
      </c>
      <c r="F218" s="947">
        <v>508.92343305000003</v>
      </c>
      <c r="G218" s="1946">
        <f>SUM(F214:F218)</f>
        <v>2304.20372395</v>
      </c>
      <c r="H218" s="947">
        <v>103.05361231000001</v>
      </c>
      <c r="I218" s="2365">
        <f>SUM(H214:H218)</f>
        <v>317.66586175999998</v>
      </c>
    </row>
    <row r="219" spans="1:9">
      <c r="A219" s="972">
        <f t="shared" si="10"/>
        <v>2009.06</v>
      </c>
      <c r="B219" s="1203">
        <f t="shared" si="13"/>
        <v>1704.9000000000005</v>
      </c>
      <c r="C219" s="141">
        <v>7723.3</v>
      </c>
      <c r="D219" s="1203">
        <f t="shared" si="14"/>
        <v>81.399999999999977</v>
      </c>
      <c r="E219" s="318">
        <v>426.9</v>
      </c>
      <c r="F219" s="947">
        <v>903.92577886000004</v>
      </c>
      <c r="G219" s="1946">
        <f>SUM(F214:F219)</f>
        <v>3208.1295028100003</v>
      </c>
      <c r="H219" s="947">
        <v>67.542445839999999</v>
      </c>
      <c r="I219" s="2365">
        <f>SUM(H214:H219)</f>
        <v>385.20830760000001</v>
      </c>
    </row>
    <row r="220" spans="1:9">
      <c r="A220" s="972">
        <f t="shared" si="10"/>
        <v>2009.07</v>
      </c>
      <c r="B220" s="1203">
        <f t="shared" si="13"/>
        <v>1392.9999999999991</v>
      </c>
      <c r="C220" s="141">
        <v>9116.2999999999993</v>
      </c>
      <c r="D220" s="1203">
        <f t="shared" si="14"/>
        <v>135.10000000000002</v>
      </c>
      <c r="E220" s="318">
        <v>562</v>
      </c>
      <c r="F220" s="947">
        <v>286.39322611</v>
      </c>
      <c r="G220" s="1946">
        <f>SUM(F214:F220)</f>
        <v>3494.5227289200002</v>
      </c>
      <c r="H220" s="947">
        <v>16.058842980000001</v>
      </c>
      <c r="I220" s="2365">
        <f>SUM(H214:H220)</f>
        <v>401.26715058000002</v>
      </c>
    </row>
    <row r="221" spans="1:9">
      <c r="A221" s="972">
        <f t="shared" si="10"/>
        <v>2009.08</v>
      </c>
      <c r="B221" s="1203">
        <f t="shared" si="13"/>
        <v>1328.6000000000004</v>
      </c>
      <c r="C221" s="141">
        <v>10444.9</v>
      </c>
      <c r="D221" s="1203">
        <f t="shared" si="14"/>
        <v>85.299999999999955</v>
      </c>
      <c r="E221" s="318">
        <v>647.29999999999995</v>
      </c>
      <c r="F221" s="947">
        <v>746.63269740999999</v>
      </c>
      <c r="G221" s="1946">
        <f>SUM(F214:F221)</f>
        <v>4241.1554263300004</v>
      </c>
      <c r="H221" s="947">
        <v>22.143863759999999</v>
      </c>
      <c r="I221" s="2365">
        <f>SUM(H214:H221)</f>
        <v>423.41101434000001</v>
      </c>
    </row>
    <row r="222" spans="1:9">
      <c r="A222" s="972">
        <f t="shared" si="10"/>
        <v>2009.09</v>
      </c>
      <c r="B222" s="1203">
        <f t="shared" si="13"/>
        <v>1356.1000000000004</v>
      </c>
      <c r="C222" s="141">
        <v>11801</v>
      </c>
      <c r="D222" s="1203">
        <f t="shared" si="14"/>
        <v>107</v>
      </c>
      <c r="E222" s="318">
        <v>754.3</v>
      </c>
      <c r="F222" s="947">
        <v>591.21656479000001</v>
      </c>
      <c r="G222" s="1946">
        <f>SUM(F214:F222)</f>
        <v>4832.3719911200005</v>
      </c>
      <c r="H222" s="947">
        <v>53.895349459999998</v>
      </c>
      <c r="I222" s="2365">
        <f>SUM(H214:H222)</f>
        <v>477.30636379999999</v>
      </c>
    </row>
    <row r="223" spans="1:9">
      <c r="A223" s="972">
        <f t="shared" si="10"/>
        <v>2009.1</v>
      </c>
      <c r="B223" s="1203">
        <f t="shared" si="13"/>
        <v>1297.8999999999996</v>
      </c>
      <c r="C223" s="141">
        <v>13098.9</v>
      </c>
      <c r="D223" s="1203">
        <f t="shared" si="14"/>
        <v>92.400000000000091</v>
      </c>
      <c r="E223" s="318">
        <v>846.7</v>
      </c>
      <c r="F223" s="947">
        <v>777.07098398000005</v>
      </c>
      <c r="G223" s="1946">
        <f>SUM(F214:F223)</f>
        <v>5609.4429751000007</v>
      </c>
      <c r="H223" s="947">
        <v>12.098026219999999</v>
      </c>
      <c r="I223" s="2365">
        <f>SUM(H214:H223)</f>
        <v>489.40439001999999</v>
      </c>
    </row>
    <row r="224" spans="1:9">
      <c r="A224" s="972">
        <f t="shared" si="10"/>
        <v>2009.11</v>
      </c>
      <c r="B224" s="1203">
        <f t="shared" si="13"/>
        <v>1491.6000000000004</v>
      </c>
      <c r="C224" s="141">
        <v>14590.5</v>
      </c>
      <c r="D224" s="1203">
        <f t="shared" si="14"/>
        <v>87.699999999999932</v>
      </c>
      <c r="E224" s="318">
        <v>934.4</v>
      </c>
      <c r="F224" s="947">
        <v>595.95427896000001</v>
      </c>
      <c r="G224" s="1946">
        <f>SUM(F214:F224)</f>
        <v>6205.3972540600007</v>
      </c>
      <c r="H224" s="947">
        <v>40.367927860000002</v>
      </c>
      <c r="I224" s="2365">
        <f>SUM(H214:H224)</f>
        <v>529.77231787999995</v>
      </c>
    </row>
    <row r="225" spans="1:9">
      <c r="A225" s="972">
        <f t="shared" si="10"/>
        <v>2009.12</v>
      </c>
      <c r="B225" s="1203">
        <f t="shared" si="13"/>
        <v>2103.0670855700009</v>
      </c>
      <c r="C225" s="141">
        <v>16693.567085570001</v>
      </c>
      <c r="D225" s="1203">
        <f t="shared" si="14"/>
        <v>286.00035252999999</v>
      </c>
      <c r="E225" s="318">
        <v>1220.40035253</v>
      </c>
      <c r="F225" s="947">
        <v>1388.39442444</v>
      </c>
      <c r="G225" s="1946">
        <f>SUM(F214:F225)</f>
        <v>7593.7916785000007</v>
      </c>
      <c r="H225" s="947">
        <v>392.23721294000001</v>
      </c>
      <c r="I225" s="2365">
        <f>SUM(H214:H225)</f>
        <v>922.00953082000001</v>
      </c>
    </row>
    <row r="226" spans="1:9">
      <c r="A226" s="972">
        <f t="shared" si="10"/>
        <v>2010.01</v>
      </c>
      <c r="B226" s="2397">
        <f>C226</f>
        <v>1214.9000000000001</v>
      </c>
      <c r="C226" s="141">
        <v>1214.9000000000001</v>
      </c>
      <c r="D226" s="2397">
        <f>E226</f>
        <v>17</v>
      </c>
      <c r="E226" s="318">
        <v>17</v>
      </c>
      <c r="F226" s="947">
        <v>160.12452698999999</v>
      </c>
      <c r="G226" s="1946">
        <f>+F226</f>
        <v>160.12452698999999</v>
      </c>
      <c r="H226" s="947">
        <v>4.1526281599999999</v>
      </c>
      <c r="I226" s="2365">
        <f>+H226</f>
        <v>4.1526281599999999</v>
      </c>
    </row>
    <row r="227" spans="1:9">
      <c r="A227" s="972">
        <f t="shared" si="10"/>
        <v>2010.02</v>
      </c>
      <c r="B227" s="1203">
        <f>(C227-C226)</f>
        <v>1328.2999999999997</v>
      </c>
      <c r="C227" s="141">
        <v>2543.1999999999998</v>
      </c>
      <c r="D227" s="1203">
        <f>E227-E226</f>
        <v>87.2</v>
      </c>
      <c r="E227" s="318">
        <v>104.2</v>
      </c>
      <c r="F227" s="947">
        <v>608.16455045999999</v>
      </c>
      <c r="G227" s="1946">
        <f>SUM(F226:F227)</f>
        <v>768.28907744999992</v>
      </c>
      <c r="H227" s="947">
        <v>42.842757200000001</v>
      </c>
      <c r="I227" s="2365">
        <f>SUM(H226:H227)</f>
        <v>46.99538536</v>
      </c>
    </row>
    <row r="228" spans="1:9">
      <c r="A228" s="972">
        <f t="shared" si="10"/>
        <v>2010.03</v>
      </c>
      <c r="B228" s="1203">
        <f t="shared" ref="B228:B237" si="15">(C228-C227)</f>
        <v>1344.1000000000004</v>
      </c>
      <c r="C228" s="141">
        <v>3887.3</v>
      </c>
      <c r="D228" s="1203">
        <f t="shared" ref="D228:D237" si="16">E228-E227</f>
        <v>78.2</v>
      </c>
      <c r="E228" s="318">
        <v>182.4</v>
      </c>
      <c r="F228" s="947">
        <v>791.25438656999995</v>
      </c>
      <c r="G228" s="1946">
        <f>SUM(F226:F228)</f>
        <v>1559.5434640199999</v>
      </c>
      <c r="H228" s="947">
        <v>113.20651703999999</v>
      </c>
      <c r="I228" s="2365">
        <f>SUM(H226:H228)</f>
        <v>160.20190239999999</v>
      </c>
    </row>
    <row r="229" spans="1:9">
      <c r="A229" s="972">
        <f t="shared" si="10"/>
        <v>2010.04</v>
      </c>
      <c r="B229" s="1203">
        <f t="shared" si="15"/>
        <v>1668.8000000000002</v>
      </c>
      <c r="C229" s="141">
        <v>5556.1</v>
      </c>
      <c r="D229" s="1203">
        <f t="shared" si="16"/>
        <v>114.20000000000002</v>
      </c>
      <c r="E229" s="318">
        <v>296.60000000000002</v>
      </c>
      <c r="F229" s="947">
        <v>672.30408611999997</v>
      </c>
      <c r="G229" s="1946">
        <f>SUM(F226:F229)</f>
        <v>2231.8475501399998</v>
      </c>
      <c r="H229" s="947">
        <v>46.72825074</v>
      </c>
      <c r="I229" s="2365">
        <f>SUM(H226:H229)</f>
        <v>206.93015313999999</v>
      </c>
    </row>
    <row r="230" spans="1:9">
      <c r="A230" s="972">
        <f t="shared" si="10"/>
        <v>2010.05</v>
      </c>
      <c r="B230" s="1203">
        <f t="shared" si="15"/>
        <v>1618</v>
      </c>
      <c r="C230" s="141">
        <v>7174.1</v>
      </c>
      <c r="D230" s="1203">
        <f t="shared" si="16"/>
        <v>112.09999999999997</v>
      </c>
      <c r="E230" s="318">
        <v>408.7</v>
      </c>
      <c r="F230" s="947">
        <v>655.64894167</v>
      </c>
      <c r="G230" s="1946">
        <f>SUM(F226:F230)</f>
        <v>2887.49649181</v>
      </c>
      <c r="H230" s="947">
        <v>38.429544300000003</v>
      </c>
      <c r="I230" s="2365">
        <f>SUM(H226:H230)</f>
        <v>245.35969743999999</v>
      </c>
    </row>
    <row r="231" spans="1:9">
      <c r="A231" s="972">
        <f t="shared" si="10"/>
        <v>2010.06</v>
      </c>
      <c r="B231" s="1203">
        <f t="shared" si="15"/>
        <v>2087.3999999999996</v>
      </c>
      <c r="C231" s="141">
        <v>9261.5</v>
      </c>
      <c r="D231" s="1203">
        <f t="shared" si="16"/>
        <v>139.19999999999999</v>
      </c>
      <c r="E231" s="318">
        <v>547.9</v>
      </c>
      <c r="F231" s="947">
        <v>1253.16930282</v>
      </c>
      <c r="G231" s="1946">
        <f>SUM(F226:F231)</f>
        <v>4140.6657946300002</v>
      </c>
      <c r="H231" s="947">
        <v>201.11853753</v>
      </c>
      <c r="I231" s="2365">
        <f>SUM(H226:H231)</f>
        <v>446.47823497000002</v>
      </c>
    </row>
    <row r="232" spans="1:9">
      <c r="A232" s="972">
        <f t="shared" si="10"/>
        <v>2010.07</v>
      </c>
      <c r="B232" s="1203">
        <f t="shared" si="15"/>
        <v>2459.6000000000004</v>
      </c>
      <c r="C232" s="141">
        <v>11721.1</v>
      </c>
      <c r="D232" s="1203">
        <f t="shared" si="16"/>
        <v>149.39999999999998</v>
      </c>
      <c r="E232" s="318">
        <v>697.3</v>
      </c>
      <c r="F232" s="947">
        <v>741.59630623999999</v>
      </c>
      <c r="G232" s="1946">
        <f>SUM(F226:F232)</f>
        <v>4882.2621008699998</v>
      </c>
      <c r="H232" s="947">
        <v>115.63875413</v>
      </c>
      <c r="I232" s="2365">
        <f>SUM(H226:H232)</f>
        <v>562.11698909999996</v>
      </c>
    </row>
    <row r="233" spans="1:9">
      <c r="A233" s="972">
        <f t="shared" si="10"/>
        <v>2010.08</v>
      </c>
      <c r="B233" s="1203">
        <f t="shared" si="15"/>
        <v>1077.6000000000004</v>
      </c>
      <c r="C233" s="141">
        <v>12798.7</v>
      </c>
      <c r="D233" s="1203">
        <f t="shared" si="16"/>
        <v>169.20000000000005</v>
      </c>
      <c r="E233" s="318">
        <v>866.5</v>
      </c>
      <c r="F233" s="947">
        <v>658.70454956000003</v>
      </c>
      <c r="G233" s="1946">
        <f>SUM(F226:F233)</f>
        <v>5540.9666504300003</v>
      </c>
      <c r="H233" s="947">
        <v>44.514258959999999</v>
      </c>
      <c r="I233" s="2365">
        <f>SUM(H226:H233)</f>
        <v>606.63124805999996</v>
      </c>
    </row>
    <row r="234" spans="1:9">
      <c r="A234" s="972">
        <f t="shared" ref="A234:A265" si="17">A222+1</f>
        <v>2010.09</v>
      </c>
      <c r="B234" s="1203">
        <f t="shared" si="15"/>
        <v>1745.6999999999989</v>
      </c>
      <c r="C234" s="141">
        <v>14544.4</v>
      </c>
      <c r="D234" s="1203">
        <f t="shared" si="16"/>
        <v>136.70000000000005</v>
      </c>
      <c r="E234" s="318">
        <v>1003.2</v>
      </c>
      <c r="F234" s="947">
        <v>1038.89710046</v>
      </c>
      <c r="G234" s="1946">
        <f>SUM(F226:F234)</f>
        <v>6579.8637508900001</v>
      </c>
      <c r="H234" s="947">
        <v>221.14892334999999</v>
      </c>
      <c r="I234" s="2365">
        <f>SUM(H226:H234)</f>
        <v>827.78017140999998</v>
      </c>
    </row>
    <row r="235" spans="1:9">
      <c r="A235" s="972">
        <f t="shared" si="17"/>
        <v>2010.1</v>
      </c>
      <c r="B235" s="1203">
        <f t="shared" si="15"/>
        <v>1752.1000000000004</v>
      </c>
      <c r="C235" s="141">
        <v>16296.5</v>
      </c>
      <c r="D235" s="1203">
        <f t="shared" si="16"/>
        <v>100.70000000000005</v>
      </c>
      <c r="E235" s="318">
        <v>1103.9000000000001</v>
      </c>
      <c r="F235" s="947">
        <v>709.97380667000004</v>
      </c>
      <c r="G235" s="1946">
        <f>SUM(F226:F235)</f>
        <v>7289.8375575600003</v>
      </c>
      <c r="H235" s="947">
        <v>45.800620899999998</v>
      </c>
      <c r="I235" s="2365">
        <f>SUM(H226:H235)</f>
        <v>873.58079230999999</v>
      </c>
    </row>
    <row r="236" spans="1:9">
      <c r="A236" s="972">
        <f t="shared" si="17"/>
        <v>2010.11</v>
      </c>
      <c r="B236" s="1203">
        <f t="shared" si="15"/>
        <v>1950.2999999999993</v>
      </c>
      <c r="C236" s="141">
        <v>18246.8</v>
      </c>
      <c r="D236" s="1203">
        <f t="shared" si="16"/>
        <v>171.19999999999982</v>
      </c>
      <c r="E236" s="318">
        <v>1275.0999999999999</v>
      </c>
      <c r="F236" s="947">
        <v>1045.3543176600001</v>
      </c>
      <c r="G236" s="1946">
        <f>SUM(F226:F236)</f>
        <v>8335.1918752199999</v>
      </c>
      <c r="H236" s="947">
        <v>168.88398773</v>
      </c>
      <c r="I236" s="2365">
        <f>SUM(H226:H236)</f>
        <v>1042.4647800400001</v>
      </c>
    </row>
    <row r="237" spans="1:9">
      <c r="A237" s="972">
        <f t="shared" si="17"/>
        <v>2010.12</v>
      </c>
      <c r="B237" s="1203">
        <f t="shared" si="15"/>
        <v>2941.7310220400032</v>
      </c>
      <c r="C237" s="141">
        <v>21188.531022040002</v>
      </c>
      <c r="D237" s="1203">
        <f t="shared" si="16"/>
        <v>454.78106422000019</v>
      </c>
      <c r="E237" s="318">
        <v>1729.8810642200001</v>
      </c>
      <c r="F237" s="947">
        <v>813.95669481000004</v>
      </c>
      <c r="G237" s="1946">
        <f>SUM(F226:F237)</f>
        <v>9149.14857003</v>
      </c>
      <c r="H237" s="947">
        <v>341.86125134999997</v>
      </c>
      <c r="I237" s="2365">
        <f>SUM(H226:H237)</f>
        <v>1384.32603139</v>
      </c>
    </row>
    <row r="238" spans="1:9">
      <c r="A238" s="972">
        <f t="shared" si="17"/>
        <v>2011.01</v>
      </c>
      <c r="B238" s="2397">
        <f>C238</f>
        <v>1743.8</v>
      </c>
      <c r="C238" s="141">
        <v>1743.8</v>
      </c>
      <c r="D238" s="2397">
        <f>E238</f>
        <v>67</v>
      </c>
      <c r="E238" s="318">
        <v>67</v>
      </c>
      <c r="F238" s="947">
        <v>747.68001296</v>
      </c>
      <c r="G238" s="1946">
        <f>+F238</f>
        <v>747.68001296</v>
      </c>
      <c r="H238" s="947">
        <v>5.3853918399999996</v>
      </c>
      <c r="I238" s="2365">
        <f>+H238</f>
        <v>5.3853918399999996</v>
      </c>
    </row>
    <row r="239" spans="1:9">
      <c r="A239" s="972">
        <f t="shared" si="17"/>
        <v>2011.02</v>
      </c>
      <c r="B239" s="1203">
        <f>(C239-C238)</f>
        <v>1975.8</v>
      </c>
      <c r="C239" s="141">
        <v>3719.6</v>
      </c>
      <c r="D239" s="1203">
        <f>E239-E238</f>
        <v>78.699999999999989</v>
      </c>
      <c r="E239" s="318">
        <v>145.69999999999999</v>
      </c>
      <c r="F239" s="947">
        <v>1051.73700162</v>
      </c>
      <c r="G239" s="1946">
        <f>SUM(F238:F239)</f>
        <v>1799.4170145799999</v>
      </c>
      <c r="H239" s="947">
        <v>117.42649148</v>
      </c>
      <c r="I239" s="2365">
        <f>SUM(H238:H239)</f>
        <v>122.81188331999999</v>
      </c>
    </row>
    <row r="240" spans="1:9">
      <c r="A240" s="972">
        <f t="shared" si="17"/>
        <v>2011.03</v>
      </c>
      <c r="B240" s="1203">
        <f t="shared" ref="B240:B248" si="18">(C240-C239)</f>
        <v>2299.4</v>
      </c>
      <c r="C240" s="141">
        <v>6019</v>
      </c>
      <c r="D240" s="1203">
        <f t="shared" ref="D240:D249" si="19">E240-E239</f>
        <v>180.7</v>
      </c>
      <c r="E240" s="318">
        <v>326.39999999999998</v>
      </c>
      <c r="F240" s="947">
        <v>1215.55872909</v>
      </c>
      <c r="G240" s="1946">
        <f>SUM(F238:F240)</f>
        <v>3014.9757436700002</v>
      </c>
      <c r="H240" s="947">
        <v>145.41295119</v>
      </c>
      <c r="I240" s="2365">
        <f>SUM(H238:H240)</f>
        <v>268.22483450999999</v>
      </c>
    </row>
    <row r="241" spans="1:9">
      <c r="A241" s="972">
        <f t="shared" si="17"/>
        <v>2011.04</v>
      </c>
      <c r="B241" s="1203">
        <f t="shared" si="18"/>
        <v>2267.8999999999996</v>
      </c>
      <c r="C241" s="141">
        <v>8286.9</v>
      </c>
      <c r="D241" s="1203">
        <f t="shared" si="19"/>
        <v>195.80000000000007</v>
      </c>
      <c r="E241" s="318">
        <v>522.20000000000005</v>
      </c>
      <c r="F241" s="947">
        <v>1033.3906667799999</v>
      </c>
      <c r="G241" s="1946">
        <f>SUM(F238:F241)</f>
        <v>4048.3664104500003</v>
      </c>
      <c r="H241" s="947">
        <v>37.784131019999997</v>
      </c>
      <c r="I241" s="2365">
        <f>SUM(H238:H241)</f>
        <v>306.00896553000001</v>
      </c>
    </row>
    <row r="242" spans="1:9">
      <c r="A242" s="972">
        <f t="shared" si="17"/>
        <v>2011.05</v>
      </c>
      <c r="B242" s="1203">
        <f t="shared" si="18"/>
        <v>2419</v>
      </c>
      <c r="C242" s="141">
        <v>10705.9</v>
      </c>
      <c r="D242" s="1203">
        <f t="shared" si="19"/>
        <v>214.19999999999993</v>
      </c>
      <c r="E242" s="318">
        <v>736.4</v>
      </c>
      <c r="F242" s="947">
        <v>1160.4132928399999</v>
      </c>
      <c r="G242" s="1946">
        <f>SUM(F238:F242)</f>
        <v>5208.7797032899998</v>
      </c>
      <c r="H242" s="947">
        <v>92.535165000000006</v>
      </c>
      <c r="I242" s="2365">
        <f>SUM(H238:H242)</f>
        <v>398.54413053000002</v>
      </c>
    </row>
    <row r="243" spans="1:9">
      <c r="A243" s="972">
        <f t="shared" si="17"/>
        <v>2011.06</v>
      </c>
      <c r="B243" s="1203">
        <f t="shared" si="18"/>
        <v>3188</v>
      </c>
      <c r="C243" s="141">
        <v>13893.9</v>
      </c>
      <c r="D243" s="1203">
        <f t="shared" si="19"/>
        <v>215</v>
      </c>
      <c r="E243" s="318">
        <v>951.4</v>
      </c>
      <c r="F243" s="947">
        <v>1855.10087135</v>
      </c>
      <c r="G243" s="1946">
        <f>SUM(F238:F243)</f>
        <v>7063.8805746399994</v>
      </c>
      <c r="H243" s="947">
        <v>226.83160133999999</v>
      </c>
      <c r="I243" s="2365">
        <f>SUM(H238:H243)</f>
        <v>625.37573186999998</v>
      </c>
    </row>
    <row r="244" spans="1:9">
      <c r="A244" s="972">
        <f t="shared" si="17"/>
        <v>2011.07</v>
      </c>
      <c r="B244" s="1203">
        <f t="shared" si="18"/>
        <v>2443.2000000000007</v>
      </c>
      <c r="C244" s="141">
        <v>16337.1</v>
      </c>
      <c r="D244" s="1203">
        <f t="shared" si="19"/>
        <v>172.39999999999998</v>
      </c>
      <c r="E244" s="318">
        <v>1123.8</v>
      </c>
      <c r="F244" s="947">
        <v>1198.65763885</v>
      </c>
      <c r="G244" s="1946">
        <f>SUM(F238:F244)</f>
        <v>8262.5382134899992</v>
      </c>
      <c r="H244" s="947">
        <v>109.47660308</v>
      </c>
      <c r="I244" s="2365">
        <f>SUM(H238:H244)</f>
        <v>734.85233495</v>
      </c>
    </row>
    <row r="245" spans="1:9">
      <c r="A245" s="972">
        <f t="shared" si="17"/>
        <v>2011.08</v>
      </c>
      <c r="B245" s="1203">
        <f t="shared" si="18"/>
        <v>2476.4999999999982</v>
      </c>
      <c r="C245" s="141">
        <v>18813.599999999999</v>
      </c>
      <c r="D245" s="1203">
        <f t="shared" si="19"/>
        <v>210.60000000000014</v>
      </c>
      <c r="E245" s="318">
        <v>1334.4</v>
      </c>
      <c r="F245" s="947">
        <v>1188.0764385499999</v>
      </c>
      <c r="G245" s="1946">
        <f>SUM(F238:F245)</f>
        <v>9450.6146520399998</v>
      </c>
      <c r="H245" s="947">
        <v>113.45171507000001</v>
      </c>
      <c r="I245" s="2365">
        <f>SUM(H238:H245)</f>
        <v>848.30405001999998</v>
      </c>
    </row>
    <row r="246" spans="1:9">
      <c r="A246" s="972">
        <f t="shared" si="17"/>
        <v>2011.09</v>
      </c>
      <c r="B246" s="1203">
        <f t="shared" si="18"/>
        <v>1695.5</v>
      </c>
      <c r="C246" s="141">
        <v>20509.099999999999</v>
      </c>
      <c r="D246" s="1203">
        <f t="shared" si="19"/>
        <v>176.09999999999991</v>
      </c>
      <c r="E246" s="318">
        <v>1510.5</v>
      </c>
      <c r="F246" s="947">
        <v>1533.06869134</v>
      </c>
      <c r="G246" s="1946">
        <f>SUM(F238:F246)</f>
        <v>10983.68334338</v>
      </c>
      <c r="H246" s="947">
        <v>203.66720174</v>
      </c>
      <c r="I246" s="2365">
        <f>SUM(H238:H246)</f>
        <v>1051.9712517600001</v>
      </c>
    </row>
    <row r="247" spans="1:9">
      <c r="A247" s="972">
        <f t="shared" si="17"/>
        <v>2011.1</v>
      </c>
      <c r="B247" s="1203">
        <f t="shared" si="18"/>
        <v>3191.2000000000007</v>
      </c>
      <c r="C247" s="141">
        <v>23700.3</v>
      </c>
      <c r="D247" s="1203">
        <f t="shared" si="19"/>
        <v>208.59999999999991</v>
      </c>
      <c r="E247" s="318">
        <v>1719.1</v>
      </c>
      <c r="F247" s="947">
        <v>1352.7007038900001</v>
      </c>
      <c r="G247" s="1946">
        <f>SUM(F238:F247)</f>
        <v>12336.384047269999</v>
      </c>
      <c r="H247" s="947">
        <v>74.475282469999996</v>
      </c>
      <c r="I247" s="2365">
        <f>SUM(H238:H247)</f>
        <v>1126.44653423</v>
      </c>
    </row>
    <row r="248" spans="1:9">
      <c r="A248" s="972">
        <f t="shared" si="17"/>
        <v>2011.11</v>
      </c>
      <c r="B248" s="1203">
        <f t="shared" si="18"/>
        <v>2678.6000000000022</v>
      </c>
      <c r="C248" s="141">
        <v>26378.9</v>
      </c>
      <c r="D248" s="1203">
        <f t="shared" si="19"/>
        <v>173</v>
      </c>
      <c r="E248" s="318">
        <v>1892.1</v>
      </c>
      <c r="F248" s="947">
        <v>1564.61364278</v>
      </c>
      <c r="G248" s="1946">
        <f>SUM(F238:F248)</f>
        <v>13900.997690049999</v>
      </c>
      <c r="H248" s="947">
        <v>228.84188624000001</v>
      </c>
      <c r="I248" s="2365">
        <f>SUM(H238:H248)</f>
        <v>1355.2884204699999</v>
      </c>
    </row>
    <row r="249" spans="1:9">
      <c r="A249" s="972">
        <f t="shared" si="17"/>
        <v>2011.12</v>
      </c>
      <c r="B249" s="1203">
        <f>(C249-C248)</f>
        <v>3948.0544749699984</v>
      </c>
      <c r="C249" s="141">
        <v>30326.95447497</v>
      </c>
      <c r="D249" s="1203">
        <f t="shared" si="19"/>
        <v>425.96129078000013</v>
      </c>
      <c r="E249" s="318">
        <v>2318.06129078</v>
      </c>
      <c r="F249" s="947">
        <v>2032.38495539</v>
      </c>
      <c r="G249" s="1946">
        <f>SUM(F238:F249)</f>
        <v>15933.382645439999</v>
      </c>
      <c r="H249" s="947">
        <v>217.13566716</v>
      </c>
      <c r="I249" s="2365">
        <f>SUM(H238:H249)</f>
        <v>1572.4240876299998</v>
      </c>
    </row>
    <row r="250" spans="1:9">
      <c r="A250" s="972">
        <f t="shared" si="17"/>
        <v>2012.01</v>
      </c>
      <c r="B250" s="2397">
        <f>C250</f>
        <v>2271.94</v>
      </c>
      <c r="C250" s="141">
        <v>2271.94</v>
      </c>
      <c r="D250" s="2397">
        <f>E250</f>
        <v>89.8</v>
      </c>
      <c r="E250" s="318">
        <v>89.8</v>
      </c>
      <c r="F250" s="947">
        <v>262.13145374999999</v>
      </c>
      <c r="G250" s="1946">
        <f>+F250</f>
        <v>262.13145374999999</v>
      </c>
      <c r="H250" s="947">
        <v>6.2894307899999999</v>
      </c>
      <c r="I250" s="2365">
        <f>+H250</f>
        <v>6.2894307899999999</v>
      </c>
    </row>
    <row r="251" spans="1:9">
      <c r="A251" s="972">
        <f t="shared" si="17"/>
        <v>2012.02</v>
      </c>
      <c r="B251" s="1203">
        <f>(C251-C250)</f>
        <v>2307.7999999999997</v>
      </c>
      <c r="C251" s="141">
        <v>4579.74</v>
      </c>
      <c r="D251" s="1203">
        <f>E251-E250</f>
        <v>83.95</v>
      </c>
      <c r="E251" s="318">
        <v>173.75</v>
      </c>
      <c r="F251" s="947">
        <v>331.91992162999998</v>
      </c>
      <c r="G251" s="1946">
        <f>SUM(F250:F251)</f>
        <v>594.05137537999997</v>
      </c>
      <c r="H251" s="947">
        <v>39.110766300000002</v>
      </c>
      <c r="I251" s="2365">
        <f>SUM(H250:H251)</f>
        <v>45.400197089999999</v>
      </c>
    </row>
    <row r="252" spans="1:9">
      <c r="A252" s="972">
        <f t="shared" si="17"/>
        <v>2012.03</v>
      </c>
      <c r="B252" s="1203">
        <f t="shared" ref="B252:B261" si="20">(C252-C251)</f>
        <v>2603.38</v>
      </c>
      <c r="C252" s="141">
        <v>7183.12</v>
      </c>
      <c r="D252" s="1203">
        <f t="shared" ref="D252:D261" si="21">E252-E251</f>
        <v>128.12</v>
      </c>
      <c r="E252" s="318">
        <v>301.87</v>
      </c>
      <c r="F252" s="947">
        <v>3051.8121889399999</v>
      </c>
      <c r="G252" s="1946">
        <f>SUM(F250:F252)</f>
        <v>3645.86356432</v>
      </c>
      <c r="H252" s="947">
        <v>208.13299054999999</v>
      </c>
      <c r="I252" s="2365">
        <f>SUM(H250:H252)</f>
        <v>253.53318763999999</v>
      </c>
    </row>
    <row r="253" spans="1:9">
      <c r="A253" s="972">
        <f t="shared" si="17"/>
        <v>2012.04</v>
      </c>
      <c r="B253" s="1203">
        <f>(C253-C252)</f>
        <v>2825.0199999999995</v>
      </c>
      <c r="C253" s="141">
        <v>10008.14</v>
      </c>
      <c r="D253" s="1203">
        <f t="shared" si="21"/>
        <v>117.46999999999997</v>
      </c>
      <c r="E253" s="318">
        <v>419.34</v>
      </c>
      <c r="F253" s="947">
        <v>1427.25847348</v>
      </c>
      <c r="G253" s="1946">
        <f>SUM(F250:F253)</f>
        <v>5073.1220377999998</v>
      </c>
      <c r="H253" s="947">
        <v>34.76697669</v>
      </c>
      <c r="I253" s="2365">
        <f>SUM(H250:H253)</f>
        <v>288.30016432999997</v>
      </c>
    </row>
    <row r="254" spans="1:9">
      <c r="A254" s="972">
        <f t="shared" si="17"/>
        <v>2012.05</v>
      </c>
      <c r="B254" s="1203">
        <f>(C254-C253)</f>
        <v>2880.9300000000003</v>
      </c>
      <c r="C254" s="141">
        <v>12889.07</v>
      </c>
      <c r="D254" s="1203">
        <f t="shared" si="21"/>
        <v>171.49000000000007</v>
      </c>
      <c r="E254" s="318">
        <v>590.83000000000004</v>
      </c>
      <c r="F254" s="947">
        <v>1675.40811992</v>
      </c>
      <c r="G254" s="1946">
        <f>SUM(F250:F254)</f>
        <v>6748.5301577199998</v>
      </c>
      <c r="H254" s="947">
        <v>102.13149921</v>
      </c>
      <c r="I254" s="2365">
        <f>SUM(H250:H254)</f>
        <v>390.43166353999999</v>
      </c>
    </row>
    <row r="255" spans="1:9">
      <c r="A255" s="972">
        <f t="shared" si="17"/>
        <v>2012.06</v>
      </c>
      <c r="B255" s="1203">
        <f t="shared" si="20"/>
        <v>3643.0699999999997</v>
      </c>
      <c r="C255" s="141">
        <v>16532.14</v>
      </c>
      <c r="D255" s="1203">
        <f t="shared" si="21"/>
        <v>173.33999999999992</v>
      </c>
      <c r="E255" s="318">
        <v>764.17</v>
      </c>
      <c r="F255" s="947">
        <v>2356.30623414</v>
      </c>
      <c r="G255" s="1946">
        <f>SUM(F250:F255)</f>
        <v>9104.8363918600007</v>
      </c>
      <c r="H255" s="947">
        <v>174.79759726</v>
      </c>
      <c r="I255" s="2365">
        <f>SUM(H250:H255)</f>
        <v>565.22926080000002</v>
      </c>
    </row>
    <row r="256" spans="1:9">
      <c r="A256" s="972">
        <f t="shared" si="17"/>
        <v>2012.07</v>
      </c>
      <c r="B256" s="1203">
        <f t="shared" si="20"/>
        <v>2959.4300000000003</v>
      </c>
      <c r="C256" s="141">
        <v>19491.57</v>
      </c>
      <c r="D256" s="1203">
        <f t="shared" si="21"/>
        <v>136.72000000000003</v>
      </c>
      <c r="E256" s="318">
        <v>900.89</v>
      </c>
      <c r="F256" s="947">
        <v>1617.05588704</v>
      </c>
      <c r="G256" s="1946">
        <f>SUM(F250:F256)</f>
        <v>10721.892278900001</v>
      </c>
      <c r="H256" s="947">
        <v>137.44447228999999</v>
      </c>
      <c r="I256" s="2365">
        <f>SUM(H250:H256)</f>
        <v>702.67373309000004</v>
      </c>
    </row>
    <row r="257" spans="1:9">
      <c r="A257" s="972">
        <f t="shared" si="17"/>
        <v>2012.08</v>
      </c>
      <c r="B257" s="1203">
        <f t="shared" si="20"/>
        <v>2946.4399999999987</v>
      </c>
      <c r="C257" s="141">
        <v>22438.01</v>
      </c>
      <c r="D257" s="1203">
        <f t="shared" si="21"/>
        <v>148.84000000000003</v>
      </c>
      <c r="E257" s="318">
        <v>1049.73</v>
      </c>
      <c r="F257" s="947">
        <v>1653.86429505</v>
      </c>
      <c r="G257" s="1946">
        <f>SUM(F250:F257)</f>
        <v>12375.756573950001</v>
      </c>
      <c r="H257" s="947">
        <v>124.44645549000001</v>
      </c>
      <c r="I257" s="2365">
        <f>SUM(H250:H257)</f>
        <v>827.1201885800001</v>
      </c>
    </row>
    <row r="258" spans="1:9">
      <c r="A258" s="972">
        <f t="shared" si="17"/>
        <v>2012.09</v>
      </c>
      <c r="B258" s="1203">
        <f t="shared" si="20"/>
        <v>3054.16</v>
      </c>
      <c r="C258" s="141">
        <v>25492.17</v>
      </c>
      <c r="D258" s="1203">
        <f t="shared" si="21"/>
        <v>120.48000000000002</v>
      </c>
      <c r="E258" s="318">
        <v>1170.21</v>
      </c>
      <c r="F258" s="947">
        <v>1871.7465185599999</v>
      </c>
      <c r="G258" s="1946">
        <f>SUM(F250:F258)</f>
        <v>14247.50309251</v>
      </c>
      <c r="H258" s="947">
        <v>169.86586539999999</v>
      </c>
      <c r="I258" s="2365">
        <f>SUM(H250:H258)</f>
        <v>996.98605398000007</v>
      </c>
    </row>
    <row r="259" spans="1:9">
      <c r="A259" s="972">
        <f t="shared" si="17"/>
        <v>2012.1</v>
      </c>
      <c r="B259" s="1203">
        <f t="shared" si="20"/>
        <v>3037.6200000000026</v>
      </c>
      <c r="C259" s="141">
        <v>28529.79</v>
      </c>
      <c r="D259" s="1203">
        <f t="shared" si="21"/>
        <v>174.75</v>
      </c>
      <c r="E259" s="318">
        <v>1344.96</v>
      </c>
      <c r="F259" s="947">
        <v>1608.8297942300001</v>
      </c>
      <c r="G259" s="1946">
        <f>SUM(F250:F259)</f>
        <v>15856.33288674</v>
      </c>
      <c r="H259" s="947">
        <v>20.05303954</v>
      </c>
      <c r="I259" s="2365">
        <f>SUM(H250:H259)</f>
        <v>1017.0390935200001</v>
      </c>
    </row>
    <row r="260" spans="1:9">
      <c r="A260" s="972">
        <f t="shared" si="17"/>
        <v>2012.11</v>
      </c>
      <c r="B260" s="1203">
        <f t="shared" si="20"/>
        <v>3038.1800000000003</v>
      </c>
      <c r="C260" s="141">
        <v>31567.97</v>
      </c>
      <c r="D260" s="1203">
        <f t="shared" si="21"/>
        <v>93.139999999999873</v>
      </c>
      <c r="E260" s="318">
        <v>1438.1</v>
      </c>
      <c r="F260" s="947">
        <v>1763.6719758700001</v>
      </c>
      <c r="G260" s="1946">
        <f>SUM(F250:F260)</f>
        <v>17620.00486261</v>
      </c>
      <c r="H260" s="947">
        <v>148.33992610999999</v>
      </c>
      <c r="I260" s="2365">
        <f>SUM(H250:H260)</f>
        <v>1165.3790196300001</v>
      </c>
    </row>
    <row r="261" spans="1:9">
      <c r="A261" s="972">
        <f t="shared" si="17"/>
        <v>2012.12</v>
      </c>
      <c r="B261" s="1203">
        <f t="shared" si="20"/>
        <v>4652.4327891799985</v>
      </c>
      <c r="C261" s="141">
        <v>36220.40278918</v>
      </c>
      <c r="D261" s="1203">
        <f t="shared" si="21"/>
        <v>222.80603122000002</v>
      </c>
      <c r="E261" s="318">
        <v>1660.9060312199999</v>
      </c>
      <c r="F261" s="947">
        <v>3161.2621613800002</v>
      </c>
      <c r="G261" s="1946">
        <f>SUM(F250:F261)</f>
        <v>20781.26702399</v>
      </c>
      <c r="H261" s="947">
        <v>388.93782956000001</v>
      </c>
      <c r="I261" s="2365">
        <f>SUM(H250:H261)</f>
        <v>1554.3168491900001</v>
      </c>
    </row>
    <row r="262" spans="1:9">
      <c r="A262" s="972">
        <f t="shared" si="17"/>
        <v>2013.01</v>
      </c>
      <c r="B262" s="2397">
        <f>C262</f>
        <v>2867.3</v>
      </c>
      <c r="C262" s="141">
        <v>2867.3</v>
      </c>
      <c r="D262" s="2397">
        <f>E262</f>
        <v>90.04</v>
      </c>
      <c r="E262" s="318">
        <v>90.04</v>
      </c>
      <c r="F262" s="947">
        <v>326.57742314000001</v>
      </c>
      <c r="G262" s="1946">
        <f>+F262</f>
        <v>326.57742314000001</v>
      </c>
      <c r="H262" s="947">
        <v>3.3133155799999998</v>
      </c>
      <c r="I262" s="2365">
        <f>+H262</f>
        <v>3.3133155799999998</v>
      </c>
    </row>
    <row r="263" spans="1:9">
      <c r="A263" s="972">
        <f t="shared" si="17"/>
        <v>2013.02</v>
      </c>
      <c r="B263" s="1203">
        <f>(C263-C262)</f>
        <v>2838.42</v>
      </c>
      <c r="C263" s="141">
        <v>5705.72</v>
      </c>
      <c r="D263" s="1203">
        <f>E263-E262</f>
        <v>59.84999999999998</v>
      </c>
      <c r="E263" s="318">
        <v>149.88999999999999</v>
      </c>
      <c r="F263" s="947">
        <v>3071.9817226099999</v>
      </c>
      <c r="G263" s="1946">
        <f>SUM(F262:F263)</f>
        <v>3398.55914575</v>
      </c>
      <c r="H263" s="947">
        <v>50.071537589999998</v>
      </c>
      <c r="I263" s="2365">
        <f>SUM(H262:H263)</f>
        <v>53.38485317</v>
      </c>
    </row>
    <row r="264" spans="1:9">
      <c r="A264" s="972">
        <f t="shared" si="17"/>
        <v>2013.03</v>
      </c>
      <c r="B264" s="1203">
        <f t="shared" ref="B264:B273" si="22">(C264-C263)</f>
        <v>3387.12</v>
      </c>
      <c r="C264" s="141">
        <v>9092.84</v>
      </c>
      <c r="D264" s="1203">
        <f t="shared" ref="D264:D273" si="23">E264-E263</f>
        <v>141.42000000000002</v>
      </c>
      <c r="E264" s="318">
        <v>291.31</v>
      </c>
      <c r="F264" s="947">
        <v>2126.5361690899999</v>
      </c>
      <c r="G264" s="1946">
        <f>SUM(F262:F264)</f>
        <v>5525.0953148400004</v>
      </c>
      <c r="H264" s="947">
        <v>129.16248457</v>
      </c>
      <c r="I264" s="2365">
        <f>SUM(H262:H264)</f>
        <v>182.54733773999999</v>
      </c>
    </row>
    <row r="265" spans="1:9">
      <c r="A265" s="972">
        <f t="shared" si="17"/>
        <v>2013.04</v>
      </c>
      <c r="B265" s="1203">
        <f t="shared" si="22"/>
        <v>3499.74</v>
      </c>
      <c r="C265" s="141">
        <v>12592.58</v>
      </c>
      <c r="D265" s="1203">
        <f t="shared" si="23"/>
        <v>151.88</v>
      </c>
      <c r="E265" s="318">
        <v>443.19</v>
      </c>
      <c r="F265" s="947">
        <v>1925.0232402199999</v>
      </c>
      <c r="G265" s="1946">
        <f>SUM(F262:F265)</f>
        <v>7450.1185550600003</v>
      </c>
      <c r="H265" s="947">
        <v>54.856486220000001</v>
      </c>
      <c r="I265" s="2365">
        <f>SUM(H262:H265)</f>
        <v>237.40382395999998</v>
      </c>
    </row>
    <row r="266" spans="1:9">
      <c r="A266" s="972">
        <f t="shared" ref="A266:A329" si="24">A254+1</f>
        <v>2013.05</v>
      </c>
      <c r="B266" s="1203">
        <f t="shared" si="22"/>
        <v>3636.58</v>
      </c>
      <c r="C266" s="141">
        <v>16229.16</v>
      </c>
      <c r="D266" s="1203">
        <f t="shared" si="23"/>
        <v>245.98999999999995</v>
      </c>
      <c r="E266" s="318">
        <v>689.18</v>
      </c>
      <c r="F266" s="947">
        <v>2067.4547238499999</v>
      </c>
      <c r="G266" s="1946">
        <f>SUM(F262:F266)</f>
        <v>9517.5732789100002</v>
      </c>
      <c r="H266" s="947">
        <v>72.481287039999998</v>
      </c>
      <c r="I266" s="2365">
        <f>SUM(H262:H266)</f>
        <v>309.88511099999999</v>
      </c>
    </row>
    <row r="267" spans="1:9">
      <c r="A267" s="972">
        <f t="shared" si="24"/>
        <v>2013.06</v>
      </c>
      <c r="B267" s="1203">
        <f t="shared" si="22"/>
        <v>4594.93</v>
      </c>
      <c r="C267" s="141">
        <v>20824.09</v>
      </c>
      <c r="D267" s="1203">
        <f t="shared" si="23"/>
        <v>189.73000000000002</v>
      </c>
      <c r="E267" s="318">
        <v>878.91</v>
      </c>
      <c r="F267" s="947">
        <v>2987.82282932</v>
      </c>
      <c r="G267" s="1946">
        <f>SUM(F262:F267)</f>
        <v>12505.396108230001</v>
      </c>
      <c r="H267" s="947">
        <v>133.83452177000001</v>
      </c>
      <c r="I267" s="2365">
        <f>SUM(H262:H267)</f>
        <v>443.71963276999998</v>
      </c>
    </row>
    <row r="268" spans="1:9">
      <c r="A268" s="972">
        <f t="shared" si="24"/>
        <v>2013.07</v>
      </c>
      <c r="B268" s="1203">
        <f t="shared" si="22"/>
        <v>3910.7999999999993</v>
      </c>
      <c r="C268" s="141">
        <v>24734.89</v>
      </c>
      <c r="D268" s="1203">
        <f t="shared" si="23"/>
        <v>229.65999999999997</v>
      </c>
      <c r="E268" s="318">
        <v>1108.57</v>
      </c>
      <c r="F268" s="947">
        <v>2149.3581642600002</v>
      </c>
      <c r="G268" s="1946">
        <f>SUM(F262:F268)</f>
        <v>14654.754272490001</v>
      </c>
      <c r="H268" s="947">
        <v>76.779917280000006</v>
      </c>
      <c r="I268" s="2365">
        <f>SUM(H262:H268)</f>
        <v>520.49955004999993</v>
      </c>
    </row>
    <row r="269" spans="1:9">
      <c r="A269" s="972">
        <f t="shared" si="24"/>
        <v>2013.08</v>
      </c>
      <c r="B269" s="1203">
        <f t="shared" si="22"/>
        <v>4045.7799999999988</v>
      </c>
      <c r="C269" s="141">
        <v>28780.67</v>
      </c>
      <c r="D269" s="1203">
        <f t="shared" si="23"/>
        <v>305.75</v>
      </c>
      <c r="E269" s="318">
        <v>1414.32</v>
      </c>
      <c r="F269" s="947">
        <v>2338.6967694999998</v>
      </c>
      <c r="G269" s="1946">
        <f>SUM(F262:F269)</f>
        <v>16993.45104199</v>
      </c>
      <c r="H269" s="947">
        <v>249.97592674000001</v>
      </c>
      <c r="I269" s="2365">
        <f>SUM(H262:H269)</f>
        <v>770.4754767899999</v>
      </c>
    </row>
    <row r="270" spans="1:9">
      <c r="A270" s="972">
        <f t="shared" si="24"/>
        <v>2013.09</v>
      </c>
      <c r="B270" s="1203">
        <f t="shared" si="22"/>
        <v>4024.2200000000012</v>
      </c>
      <c r="C270" s="141">
        <v>32804.89</v>
      </c>
      <c r="D270" s="1203">
        <f t="shared" si="23"/>
        <v>230.06000000000017</v>
      </c>
      <c r="E270" s="318">
        <v>1644.38</v>
      </c>
      <c r="F270" s="947">
        <v>2715.2054064899999</v>
      </c>
      <c r="G270" s="1946">
        <f>SUM(F262:F270)</f>
        <v>19708.65644848</v>
      </c>
      <c r="H270" s="947">
        <v>248.42195738000001</v>
      </c>
      <c r="I270" s="2365">
        <f>SUM(H262:H270)</f>
        <v>1018.8974341699999</v>
      </c>
    </row>
    <row r="271" spans="1:9">
      <c r="A271" s="972">
        <f t="shared" si="24"/>
        <v>2013.1</v>
      </c>
      <c r="B271" s="1203">
        <f t="shared" si="22"/>
        <v>4162.0200000000041</v>
      </c>
      <c r="C271" s="141">
        <v>36966.910000000003</v>
      </c>
      <c r="D271" s="1203">
        <f t="shared" si="23"/>
        <v>246.03999999999996</v>
      </c>
      <c r="E271" s="318">
        <v>1890.42</v>
      </c>
      <c r="F271" s="947">
        <v>2406.6425640500001</v>
      </c>
      <c r="G271" s="1946">
        <f>SUM(F262:F271)</f>
        <v>22115.299012529998</v>
      </c>
      <c r="H271" s="947">
        <v>81.80657755</v>
      </c>
      <c r="I271" s="2365">
        <f>SUM(H262:H271)</f>
        <v>1100.7040117199999</v>
      </c>
    </row>
    <row r="272" spans="1:9">
      <c r="A272" s="972">
        <f t="shared" si="24"/>
        <v>2013.11</v>
      </c>
      <c r="B272" s="1203">
        <f t="shared" si="22"/>
        <v>4053.8099999999977</v>
      </c>
      <c r="C272" s="141">
        <v>41020.720000000001</v>
      </c>
      <c r="D272" s="1203">
        <f t="shared" si="23"/>
        <v>229.05000000000018</v>
      </c>
      <c r="E272" s="318">
        <v>2119.4700000000003</v>
      </c>
      <c r="F272" s="947">
        <v>2276.7673004799999</v>
      </c>
      <c r="G272" s="1946">
        <f>SUM(F262:F272)</f>
        <v>24392.06631301</v>
      </c>
      <c r="H272" s="947">
        <v>402.48859281</v>
      </c>
      <c r="I272" s="2365">
        <f>SUM(H262:H272)</f>
        <v>1503.1926045299999</v>
      </c>
    </row>
    <row r="273" spans="1:9">
      <c r="A273" s="972">
        <f t="shared" si="24"/>
        <v>2013.12</v>
      </c>
      <c r="B273" s="1203">
        <f t="shared" si="22"/>
        <v>6476.4723696900037</v>
      </c>
      <c r="C273" s="141">
        <v>47497.192369690005</v>
      </c>
      <c r="D273" s="1203">
        <f t="shared" si="23"/>
        <v>556.3636004</v>
      </c>
      <c r="E273" s="318">
        <v>2675.8336004000003</v>
      </c>
      <c r="F273" s="947">
        <v>4212.3876796599998</v>
      </c>
      <c r="G273" s="1946">
        <f>SUM(F262:F273)</f>
        <v>28604.453992670002</v>
      </c>
      <c r="H273" s="947">
        <v>540.84588916999996</v>
      </c>
      <c r="I273" s="2365">
        <f>SUM(H262:H273)</f>
        <v>2044.0384936999999</v>
      </c>
    </row>
    <row r="274" spans="1:9">
      <c r="A274" s="972">
        <f t="shared" si="24"/>
        <v>2014.01</v>
      </c>
      <c r="B274" s="2397">
        <f>C274</f>
        <v>3809.65</v>
      </c>
      <c r="C274" s="141">
        <v>3809.65</v>
      </c>
      <c r="D274" s="2397">
        <f>E274</f>
        <v>95.75</v>
      </c>
      <c r="E274" s="318">
        <v>95.75</v>
      </c>
      <c r="F274" s="947">
        <v>2371.2179516800002</v>
      </c>
      <c r="G274" s="1946">
        <f>+F274</f>
        <v>2371.2179516800002</v>
      </c>
      <c r="H274" s="947">
        <v>121.99583745</v>
      </c>
      <c r="I274" s="2365">
        <f>+H274</f>
        <v>121.99583745</v>
      </c>
    </row>
    <row r="275" spans="1:9">
      <c r="A275" s="972">
        <f t="shared" si="24"/>
        <v>2014.02</v>
      </c>
      <c r="B275" s="1203">
        <f t="shared" ref="B275:B285" si="25">(C275-C274)</f>
        <v>4138.6399999999994</v>
      </c>
      <c r="C275" s="141">
        <v>7948.29</v>
      </c>
      <c r="D275" s="1203">
        <f>E275-E274</f>
        <v>189.97000000000003</v>
      </c>
      <c r="E275" s="318">
        <v>285.72000000000003</v>
      </c>
      <c r="F275" s="947">
        <v>2177.5647939599999</v>
      </c>
      <c r="G275" s="1946">
        <f>SUM(F274:F275)</f>
        <v>4548.78274564</v>
      </c>
      <c r="H275" s="947">
        <v>127.69262869000001</v>
      </c>
      <c r="I275" s="2365">
        <f>SUM(H274:H275)</f>
        <v>249.68846614</v>
      </c>
    </row>
    <row r="276" spans="1:9">
      <c r="A276" s="972">
        <f t="shared" si="24"/>
        <v>2014.03</v>
      </c>
      <c r="B276" s="1203">
        <f t="shared" si="25"/>
        <v>4897.54</v>
      </c>
      <c r="C276" s="141">
        <v>12845.83</v>
      </c>
      <c r="D276" s="1203">
        <f t="shared" ref="D276:D285" si="26">E276-E275</f>
        <v>196.97500000000002</v>
      </c>
      <c r="E276" s="318">
        <v>482.69500000000005</v>
      </c>
      <c r="F276" s="947">
        <v>2856.7463180700001</v>
      </c>
      <c r="G276" s="1946">
        <f>SUM(F274:F276)</f>
        <v>7405.5290637100006</v>
      </c>
      <c r="H276" s="947">
        <v>146.69196772000001</v>
      </c>
      <c r="I276" s="2365">
        <f>SUM(H274:H276)</f>
        <v>396.38043386000004</v>
      </c>
    </row>
    <row r="277" spans="1:9">
      <c r="A277" s="972">
        <f t="shared" si="24"/>
        <v>2014.04</v>
      </c>
      <c r="B277" s="1203">
        <f t="shared" si="25"/>
        <v>4718.1999999999989</v>
      </c>
      <c r="C277" s="141">
        <v>17564.03</v>
      </c>
      <c r="D277" s="1203">
        <f t="shared" si="26"/>
        <v>288.18999999999994</v>
      </c>
      <c r="E277" s="318">
        <v>770.88499999999999</v>
      </c>
      <c r="F277" s="947">
        <v>2306.15422717</v>
      </c>
      <c r="G277" s="1946">
        <f>SUM(F274:F277)</f>
        <v>9711.6832908800006</v>
      </c>
      <c r="H277" s="947">
        <v>118.92367602</v>
      </c>
      <c r="I277" s="2365">
        <f>SUM(H274:H277)</f>
        <v>515.30410988000006</v>
      </c>
    </row>
    <row r="278" spans="1:9">
      <c r="A278" s="972">
        <f t="shared" si="24"/>
        <v>2014.05</v>
      </c>
      <c r="B278" s="1203">
        <f t="shared" si="25"/>
        <v>5185.260000000002</v>
      </c>
      <c r="C278" s="141">
        <v>22749.29</v>
      </c>
      <c r="D278" s="1203">
        <f t="shared" si="26"/>
        <v>338.09699999999998</v>
      </c>
      <c r="E278" s="318">
        <v>1108.982</v>
      </c>
      <c r="F278" s="947">
        <v>2925.53882402</v>
      </c>
      <c r="G278" s="1946">
        <f>SUM(F274:F278)</f>
        <v>12637.2221149</v>
      </c>
      <c r="H278" s="947">
        <v>232.98440310999999</v>
      </c>
      <c r="I278" s="2365">
        <f>SUM(H274:H278)</f>
        <v>748.28851299000007</v>
      </c>
    </row>
    <row r="279" spans="1:9">
      <c r="A279" s="972">
        <f t="shared" si="24"/>
        <v>2014.06</v>
      </c>
      <c r="B279" s="1203">
        <f t="shared" si="25"/>
        <v>6390.98</v>
      </c>
      <c r="C279" s="141">
        <v>29140.27</v>
      </c>
      <c r="D279" s="1203">
        <f t="shared" si="26"/>
        <v>365.45000000000005</v>
      </c>
      <c r="E279" s="318">
        <v>1474.432</v>
      </c>
      <c r="F279" s="947">
        <v>3966.6864240099999</v>
      </c>
      <c r="G279" s="1946">
        <f>SUM(F274:F279)</f>
        <v>16603.90853891</v>
      </c>
      <c r="H279" s="947">
        <v>126.38500616</v>
      </c>
      <c r="I279" s="2365">
        <f>SUM(H274:H279)</f>
        <v>874.67351915000006</v>
      </c>
    </row>
    <row r="280" spans="1:9">
      <c r="A280" s="972">
        <f t="shared" si="24"/>
        <v>2014.07</v>
      </c>
      <c r="B280" s="1203">
        <f t="shared" si="25"/>
        <v>5492.7199999999975</v>
      </c>
      <c r="C280" s="141">
        <v>34632.99</v>
      </c>
      <c r="D280" s="1203">
        <f t="shared" si="26"/>
        <v>439.23700000000008</v>
      </c>
      <c r="E280" s="318">
        <v>1913.6690000000001</v>
      </c>
      <c r="F280" s="947">
        <v>3032.7381488699998</v>
      </c>
      <c r="G280" s="1946">
        <f>SUM(F274:F280)</f>
        <v>19636.646687780001</v>
      </c>
      <c r="H280" s="947">
        <v>376.45730864000001</v>
      </c>
      <c r="I280" s="2365">
        <f>SUM(H274:H280)</f>
        <v>1251.13082779</v>
      </c>
    </row>
    <row r="281" spans="1:9">
      <c r="A281" s="972">
        <f t="shared" si="24"/>
        <v>2014.08</v>
      </c>
      <c r="B281" s="1203">
        <f t="shared" si="25"/>
        <v>5365.7700000000041</v>
      </c>
      <c r="C281" s="141">
        <v>39998.76</v>
      </c>
      <c r="D281" s="1203">
        <f t="shared" si="26"/>
        <v>351.8309999999999</v>
      </c>
      <c r="E281" s="318">
        <v>2265.5</v>
      </c>
      <c r="F281" s="947">
        <v>2858.9419923800001</v>
      </c>
      <c r="G281" s="1946">
        <f>SUM(F274:F281)</f>
        <v>22495.588680160003</v>
      </c>
      <c r="H281" s="947">
        <v>272.03489661999998</v>
      </c>
      <c r="I281" s="2365">
        <f>SUM(H274:H281)</f>
        <v>1523.1657244099999</v>
      </c>
    </row>
    <row r="282" spans="1:9">
      <c r="A282" s="972">
        <f t="shared" si="24"/>
        <v>2014.09</v>
      </c>
      <c r="B282" s="1203">
        <f t="shared" si="25"/>
        <v>5464.2599999999948</v>
      </c>
      <c r="C282" s="141">
        <v>45463.02</v>
      </c>
      <c r="D282" s="1203">
        <f t="shared" si="26"/>
        <v>417.20899999999983</v>
      </c>
      <c r="E282" s="318">
        <v>2682.7089999999998</v>
      </c>
      <c r="F282" s="947">
        <v>3655.14236437</v>
      </c>
      <c r="G282" s="1946">
        <f>SUM(F274:F282)</f>
        <v>26150.731044530003</v>
      </c>
      <c r="H282" s="947">
        <v>593.24152168000001</v>
      </c>
      <c r="I282" s="2365">
        <f>SUM(H274:H282)</f>
        <v>2116.4072460899997</v>
      </c>
    </row>
    <row r="283" spans="1:9">
      <c r="A283" s="972">
        <f t="shared" si="24"/>
        <v>2014.1</v>
      </c>
      <c r="B283" s="1203">
        <f t="shared" si="25"/>
        <v>5817.8800000000047</v>
      </c>
      <c r="C283" s="141">
        <v>51280.9</v>
      </c>
      <c r="D283" s="1203">
        <f t="shared" si="26"/>
        <v>482.79300000000012</v>
      </c>
      <c r="E283" s="318">
        <v>3165.502</v>
      </c>
      <c r="F283" s="947">
        <v>3099.2063917400001</v>
      </c>
      <c r="G283" s="1946">
        <f>SUM(F274:F283)</f>
        <v>29249.937436270004</v>
      </c>
      <c r="H283" s="947">
        <v>93.324171969999995</v>
      </c>
      <c r="I283" s="2365">
        <f>SUM(H274:H283)</f>
        <v>2209.7314180599997</v>
      </c>
    </row>
    <row r="284" spans="1:9">
      <c r="A284" s="972">
        <f t="shared" si="24"/>
        <v>2014.11</v>
      </c>
      <c r="B284" s="1203">
        <f t="shared" si="25"/>
        <v>5698.3899999999994</v>
      </c>
      <c r="C284" s="141">
        <v>56979.29</v>
      </c>
      <c r="D284" s="1203">
        <f t="shared" si="26"/>
        <v>356.82900000000018</v>
      </c>
      <c r="E284" s="318">
        <v>3522.3310000000001</v>
      </c>
      <c r="F284" s="947">
        <v>3153.47713131</v>
      </c>
      <c r="G284" s="1946">
        <f>SUM(F274:F284)</f>
        <v>32403.414567580003</v>
      </c>
      <c r="H284" s="947">
        <v>197.38975873999999</v>
      </c>
      <c r="I284" s="2365">
        <f>SUM(H274:H284)</f>
        <v>2407.1211767999998</v>
      </c>
    </row>
    <row r="285" spans="1:9">
      <c r="A285" s="972">
        <f t="shared" si="24"/>
        <v>2014.12</v>
      </c>
      <c r="B285" s="1203">
        <f t="shared" si="25"/>
        <v>8808.4075939999966</v>
      </c>
      <c r="C285" s="141">
        <v>65787.697593999997</v>
      </c>
      <c r="D285" s="1203">
        <f t="shared" si="26"/>
        <v>822.58662691999962</v>
      </c>
      <c r="E285" s="318">
        <v>4344.9176269199997</v>
      </c>
      <c r="F285" s="947">
        <v>5134.4733204699996</v>
      </c>
      <c r="G285" s="1946">
        <f>SUM(F274:F285)</f>
        <v>37537.887888050005</v>
      </c>
      <c r="H285" s="947">
        <v>745.79305756999997</v>
      </c>
      <c r="I285" s="2365">
        <f>SUM(H274:H285)</f>
        <v>3152.9142343699996</v>
      </c>
    </row>
    <row r="286" spans="1:9">
      <c r="A286" s="972">
        <f t="shared" si="24"/>
        <v>2015.01</v>
      </c>
      <c r="B286" s="2397">
        <f>C286</f>
        <v>5255.94</v>
      </c>
      <c r="C286" s="141">
        <v>5255.94</v>
      </c>
      <c r="D286" s="2397">
        <f>E286</f>
        <v>300.14999999999998</v>
      </c>
      <c r="E286" s="318">
        <v>300.14999999999998</v>
      </c>
      <c r="F286" s="947">
        <v>3027.1151289600002</v>
      </c>
      <c r="G286" s="1946">
        <f>+F286</f>
        <v>3027.1151289600002</v>
      </c>
      <c r="H286" s="947">
        <v>45.265486350000003</v>
      </c>
      <c r="I286" s="2365">
        <f>+H286</f>
        <v>45.265486350000003</v>
      </c>
    </row>
    <row r="287" spans="1:9">
      <c r="A287" s="972">
        <f t="shared" si="24"/>
        <v>2015.02</v>
      </c>
      <c r="B287" s="1203">
        <f>(C287-C286)</f>
        <v>5370.4900000000007</v>
      </c>
      <c r="C287" s="141">
        <v>10626.43</v>
      </c>
      <c r="D287" s="1203">
        <f>E287-E286</f>
        <v>287.99</v>
      </c>
      <c r="E287" s="318">
        <v>588.14</v>
      </c>
      <c r="F287" s="947">
        <v>1782.5606238299999</v>
      </c>
      <c r="G287" s="1946">
        <f>SUM(F286:F287)</f>
        <v>4809.6757527899999</v>
      </c>
      <c r="H287" s="947">
        <v>178.86191403000001</v>
      </c>
      <c r="I287" s="2365">
        <f>SUM(H286:H287)</f>
        <v>224.12740038000001</v>
      </c>
    </row>
    <row r="288" spans="1:9">
      <c r="A288" s="972">
        <f t="shared" si="24"/>
        <v>2015.03</v>
      </c>
      <c r="B288" s="1203">
        <f t="shared" ref="B288:B297" si="27">(C288-C287)</f>
        <v>6030.1699999999983</v>
      </c>
      <c r="C288" s="141">
        <v>16656.599999999999</v>
      </c>
      <c r="D288" s="1203">
        <f t="shared" ref="D288:D297" si="28">E288-E287</f>
        <v>637.94999999999993</v>
      </c>
      <c r="E288" s="318">
        <v>1226.0899999999999</v>
      </c>
      <c r="F288" s="947">
        <v>5391.9308074800001</v>
      </c>
      <c r="G288" s="1946">
        <f>SUM(F286:F288)</f>
        <v>10201.60656027</v>
      </c>
      <c r="H288" s="947">
        <v>356.13917570000001</v>
      </c>
      <c r="I288" s="2365">
        <f>SUM(H286:H288)</f>
        <v>580.26657608000005</v>
      </c>
    </row>
    <row r="289" spans="1:9">
      <c r="A289" s="972">
        <f t="shared" si="24"/>
        <v>2015.04</v>
      </c>
      <c r="B289" s="1203">
        <f t="shared" si="27"/>
        <v>7475.9700000000012</v>
      </c>
      <c r="C289" s="141">
        <v>24132.57</v>
      </c>
      <c r="D289" s="1203">
        <f t="shared" si="28"/>
        <v>551.98</v>
      </c>
      <c r="E289" s="318">
        <v>1778.07</v>
      </c>
      <c r="F289" s="947">
        <v>3923.7775688400002</v>
      </c>
      <c r="G289" s="1946">
        <f>SUM(F286:F289)</f>
        <v>14125.38412911</v>
      </c>
      <c r="H289" s="947">
        <v>229.15080168</v>
      </c>
      <c r="I289" s="2365">
        <f>SUM(H286:H289)</f>
        <v>809.41737776000002</v>
      </c>
    </row>
    <row r="290" spans="1:9">
      <c r="A290" s="972">
        <f t="shared" si="24"/>
        <v>2015.05</v>
      </c>
      <c r="B290" s="1203">
        <f>(C290-C289)</f>
        <v>7302.98</v>
      </c>
      <c r="C290" s="141">
        <v>31435.55</v>
      </c>
      <c r="D290" s="1203">
        <f t="shared" si="28"/>
        <v>638.04999999999995</v>
      </c>
      <c r="E290" s="318">
        <v>2416.12</v>
      </c>
      <c r="F290" s="947">
        <v>3724.2056558300001</v>
      </c>
      <c r="G290" s="1946">
        <f>SUM(F286:F290)</f>
        <v>17849.589784939999</v>
      </c>
      <c r="H290" s="947">
        <v>243.32176111000001</v>
      </c>
      <c r="I290" s="2365">
        <f>SUM(H286:H290)</f>
        <v>1052.73913887</v>
      </c>
    </row>
    <row r="291" spans="1:9">
      <c r="A291" s="972">
        <f t="shared" si="24"/>
        <v>2015.06</v>
      </c>
      <c r="B291" s="1203">
        <f t="shared" si="27"/>
        <v>8949.73</v>
      </c>
      <c r="C291" s="141">
        <v>40385.279999999999</v>
      </c>
      <c r="D291" s="1203">
        <f t="shared" si="28"/>
        <v>587.76000000000022</v>
      </c>
      <c r="E291" s="318">
        <v>3003.88</v>
      </c>
      <c r="F291" s="947">
        <v>5962.2213314500004</v>
      </c>
      <c r="G291" s="1946">
        <f>SUM(F286:F291)</f>
        <v>23811.811116389999</v>
      </c>
      <c r="H291" s="947">
        <v>669.51163309000003</v>
      </c>
      <c r="I291" s="2365">
        <f>SUM(H286:H291)</f>
        <v>1722.2507719600001</v>
      </c>
    </row>
    <row r="292" spans="1:9">
      <c r="A292" s="972">
        <f t="shared" si="24"/>
        <v>2015.07</v>
      </c>
      <c r="B292" s="1203">
        <f t="shared" si="27"/>
        <v>7733.7000000000044</v>
      </c>
      <c r="C292" s="141">
        <v>48118.98</v>
      </c>
      <c r="D292" s="1203">
        <f t="shared" si="28"/>
        <v>667.36999999999989</v>
      </c>
      <c r="E292" s="318">
        <v>3671.25</v>
      </c>
      <c r="F292" s="947">
        <v>4190.7487352300004</v>
      </c>
      <c r="G292" s="1946">
        <f>SUM(F286:F292)</f>
        <v>28002.559851620001</v>
      </c>
      <c r="H292" s="947">
        <v>344.40790668</v>
      </c>
      <c r="I292" s="2365">
        <f>SUM(H286:H292)</f>
        <v>2066.6586786400003</v>
      </c>
    </row>
    <row r="293" spans="1:9">
      <c r="A293" s="972">
        <f t="shared" si="24"/>
        <v>2015.08</v>
      </c>
      <c r="B293" s="1203">
        <f>(C293-C292)</f>
        <v>7446.0599999999977</v>
      </c>
      <c r="C293" s="141">
        <v>55565.04</v>
      </c>
      <c r="D293" s="1203">
        <f t="shared" si="28"/>
        <v>552.47000000000025</v>
      </c>
      <c r="E293" s="318">
        <v>4223.72</v>
      </c>
      <c r="F293" s="947">
        <v>4156.4691196699996</v>
      </c>
      <c r="G293" s="1946">
        <f>SUM(F286:F293)</f>
        <v>32159.028971290001</v>
      </c>
      <c r="H293" s="947">
        <v>332.48627227999998</v>
      </c>
      <c r="I293" s="2365">
        <f>SUM(H286:H293)</f>
        <v>2399.1449509200002</v>
      </c>
    </row>
    <row r="294" spans="1:9">
      <c r="A294" s="972">
        <f t="shared" si="24"/>
        <v>2015.09</v>
      </c>
      <c r="B294" s="1203">
        <f t="shared" si="27"/>
        <v>7791.5169999999998</v>
      </c>
      <c r="C294" s="141">
        <v>63356.557000000001</v>
      </c>
      <c r="D294" s="1203">
        <f t="shared" si="28"/>
        <v>685.18599999999969</v>
      </c>
      <c r="E294" s="318">
        <v>4908.9059999999999</v>
      </c>
      <c r="F294" s="947">
        <v>5064.5463089699997</v>
      </c>
      <c r="G294" s="1946">
        <f>SUM(F286:F294)</f>
        <v>37223.575280260004</v>
      </c>
      <c r="H294" s="947">
        <v>781.45952174000001</v>
      </c>
      <c r="I294" s="2365">
        <f>SUM(H286:H294)</f>
        <v>3180.6044726600003</v>
      </c>
    </row>
    <row r="295" spans="1:9">
      <c r="A295" s="972">
        <f t="shared" si="24"/>
        <v>2015.1</v>
      </c>
      <c r="B295" s="1203">
        <f t="shared" si="27"/>
        <v>7607.7509999999893</v>
      </c>
      <c r="C295" s="141">
        <v>70964.30799999999</v>
      </c>
      <c r="D295" s="1203">
        <f t="shared" si="28"/>
        <v>461.47199999999975</v>
      </c>
      <c r="E295" s="318">
        <v>5370.3779999999997</v>
      </c>
      <c r="F295" s="947">
        <v>4360.1803356600003</v>
      </c>
      <c r="G295" s="1946">
        <f>SUM(F286:F295)</f>
        <v>41583.755615920003</v>
      </c>
      <c r="H295" s="947">
        <v>317.11492473999999</v>
      </c>
      <c r="I295" s="2365">
        <f>SUM(H286:H295)</f>
        <v>3497.7193974000002</v>
      </c>
    </row>
    <row r="296" spans="1:9">
      <c r="A296" s="972">
        <f t="shared" si="24"/>
        <v>2015.11</v>
      </c>
      <c r="B296" s="1203">
        <f t="shared" si="27"/>
        <v>7545.9120000000112</v>
      </c>
      <c r="C296" s="141">
        <v>78510.22</v>
      </c>
      <c r="D296" s="1203">
        <f>E296-E295</f>
        <v>467.8720000000003</v>
      </c>
      <c r="E296" s="318">
        <v>5838.25</v>
      </c>
      <c r="F296" s="947">
        <v>2453.88451136</v>
      </c>
      <c r="G296" s="1946">
        <f>SUM(F286:F296)</f>
        <v>44037.640127279999</v>
      </c>
      <c r="H296" s="947">
        <v>364.96369950000002</v>
      </c>
      <c r="I296" s="2365">
        <f>SUM(H286:H296)</f>
        <v>3862.6830969000002</v>
      </c>
    </row>
    <row r="297" spans="1:9">
      <c r="A297" s="972">
        <f t="shared" si="24"/>
        <v>2015.12</v>
      </c>
      <c r="B297" s="1203">
        <f t="shared" si="27"/>
        <v>11917.869999999995</v>
      </c>
      <c r="C297" s="141">
        <v>90428.09</v>
      </c>
      <c r="D297" s="1203">
        <f t="shared" si="28"/>
        <v>1171.1400000000003</v>
      </c>
      <c r="E297" s="318">
        <v>7009.39</v>
      </c>
      <c r="F297" s="947">
        <v>8128.6289665000004</v>
      </c>
      <c r="G297" s="1946">
        <f>SUM(F286:F297)</f>
        <v>52166.26909378</v>
      </c>
      <c r="H297" s="947">
        <v>466.43706585000001</v>
      </c>
      <c r="I297" s="2365">
        <f>SUM(H286:H297)</f>
        <v>4329.1201627500004</v>
      </c>
    </row>
    <row r="298" spans="1:9">
      <c r="A298" s="972">
        <f t="shared" si="24"/>
        <v>2016.01</v>
      </c>
      <c r="B298" s="2397">
        <f>C298</f>
        <v>7549.71</v>
      </c>
      <c r="C298" s="141">
        <v>7549.71</v>
      </c>
      <c r="D298" s="2397">
        <f>E298</f>
        <v>212.96900000000002</v>
      </c>
      <c r="E298" s="318">
        <v>212.96900000000002</v>
      </c>
      <c r="F298" s="947">
        <v>3936.1970339600002</v>
      </c>
      <c r="G298" s="1946">
        <f>+F298</f>
        <v>3936.1970339600002</v>
      </c>
      <c r="H298" s="947">
        <v>65.471561429999994</v>
      </c>
      <c r="I298" s="2365">
        <f>+H298</f>
        <v>65.471561429999994</v>
      </c>
    </row>
    <row r="299" spans="1:9">
      <c r="A299" s="972">
        <f t="shared" si="24"/>
        <v>2016.02</v>
      </c>
      <c r="B299" s="1203">
        <f>(C299-C298)</f>
        <v>7064.9880000000003</v>
      </c>
      <c r="C299" s="141">
        <v>14614.698</v>
      </c>
      <c r="D299" s="1203">
        <f>E299-E298</f>
        <v>348.76400000000001</v>
      </c>
      <c r="E299" s="318">
        <v>561.73300000000006</v>
      </c>
      <c r="F299" s="947">
        <v>4098.8623698800002</v>
      </c>
      <c r="G299" s="1946">
        <f>SUM(F298:F299)</f>
        <v>8035.0594038400004</v>
      </c>
      <c r="H299" s="947">
        <v>154.51968689</v>
      </c>
      <c r="I299" s="2365">
        <f>SUM(H298:H299)</f>
        <v>219.99124832000001</v>
      </c>
    </row>
    <row r="300" spans="1:9">
      <c r="A300" s="972">
        <f t="shared" si="24"/>
        <v>2016.03</v>
      </c>
      <c r="B300" s="1203">
        <f t="shared" ref="B300:B307" si="29">(C300-C299)</f>
        <v>9040.732</v>
      </c>
      <c r="C300" s="141">
        <v>23655.43</v>
      </c>
      <c r="D300" s="1203">
        <f t="shared" ref="D300:D309" si="30">E300-E299</f>
        <v>658.54699999999991</v>
      </c>
      <c r="E300" s="318">
        <v>1220.28</v>
      </c>
      <c r="F300" s="947">
        <v>5493.9320152800001</v>
      </c>
      <c r="G300" s="1946">
        <f>SUM(F298:F300)</f>
        <v>13528.991419120001</v>
      </c>
      <c r="H300" s="947">
        <v>296.76479678999999</v>
      </c>
      <c r="I300" s="2365">
        <f>SUM(H298:H300)</f>
        <v>516.75604511000006</v>
      </c>
    </row>
    <row r="301" spans="1:9">
      <c r="A301" s="972">
        <f t="shared" si="24"/>
        <v>2016.04</v>
      </c>
      <c r="B301" s="1203">
        <f t="shared" si="29"/>
        <v>9210.9499999999971</v>
      </c>
      <c r="C301" s="141">
        <v>32866.379999999997</v>
      </c>
      <c r="D301" s="1203">
        <f t="shared" si="30"/>
        <v>565.51</v>
      </c>
      <c r="E301" s="318">
        <v>1785.79</v>
      </c>
      <c r="F301" s="947">
        <v>5194.4109681999998</v>
      </c>
      <c r="G301" s="1946">
        <f>SUM(F298:F301)</f>
        <v>18723.402387319999</v>
      </c>
      <c r="H301" s="947">
        <v>360.33008443</v>
      </c>
      <c r="I301" s="2365">
        <f>SUM(H298:H301)</f>
        <v>877.08612954</v>
      </c>
    </row>
    <row r="302" spans="1:9">
      <c r="A302" s="972">
        <f t="shared" si="24"/>
        <v>2016.05</v>
      </c>
      <c r="B302" s="1203">
        <f t="shared" si="29"/>
        <v>9412.5</v>
      </c>
      <c r="C302" s="141">
        <v>42278.879999999997</v>
      </c>
      <c r="D302" s="1203">
        <f t="shared" si="30"/>
        <v>705.65999999999985</v>
      </c>
      <c r="E302" s="318">
        <v>2491.4499999999998</v>
      </c>
      <c r="F302" s="947">
        <v>5729.8092733200001</v>
      </c>
      <c r="G302" s="1946">
        <f>SUM(F298:F302)</f>
        <v>24453.211660639998</v>
      </c>
      <c r="H302" s="947">
        <v>564.38556486000004</v>
      </c>
      <c r="I302" s="2365">
        <f>SUM(H298:H302)</f>
        <v>1441.4716944000002</v>
      </c>
    </row>
    <row r="303" spans="1:9">
      <c r="A303" s="972">
        <f t="shared" si="24"/>
        <v>2016.06</v>
      </c>
      <c r="B303" s="1203">
        <f t="shared" si="29"/>
        <v>12223.170000000006</v>
      </c>
      <c r="C303" s="141">
        <v>54502.05</v>
      </c>
      <c r="D303" s="1203">
        <f t="shared" si="30"/>
        <v>846</v>
      </c>
      <c r="E303" s="318">
        <v>3337.45</v>
      </c>
      <c r="F303" s="947">
        <v>8164.1231300999998</v>
      </c>
      <c r="G303" s="1946">
        <f>SUM(F298:F303)</f>
        <v>32617.334790739998</v>
      </c>
      <c r="H303" s="947">
        <v>553.52805781999996</v>
      </c>
      <c r="I303" s="2365">
        <f>SUM(H298:H303)</f>
        <v>1994.9997522200001</v>
      </c>
    </row>
    <row r="304" spans="1:9">
      <c r="A304" s="972">
        <f t="shared" si="24"/>
        <v>2016.07</v>
      </c>
      <c r="B304" s="1203">
        <f t="shared" si="29"/>
        <v>10491.830000000002</v>
      </c>
      <c r="C304" s="141">
        <v>64993.880000000005</v>
      </c>
      <c r="D304" s="1203">
        <f t="shared" si="30"/>
        <v>916.19599999999991</v>
      </c>
      <c r="E304" s="318">
        <v>4253.6459999999997</v>
      </c>
      <c r="F304" s="947">
        <v>5222.9583165499998</v>
      </c>
      <c r="G304" s="1946">
        <f>SUM(F298:F304)</f>
        <v>37840.293107289996</v>
      </c>
      <c r="H304" s="947">
        <v>185.66890448999999</v>
      </c>
      <c r="I304" s="2365">
        <f>SUM(H298:H304)</f>
        <v>2180.6686567100001</v>
      </c>
    </row>
    <row r="305" spans="1:9">
      <c r="A305" s="972">
        <f t="shared" si="24"/>
        <v>2016.08</v>
      </c>
      <c r="B305" s="1203">
        <f t="shared" si="29"/>
        <v>10777.135000000009</v>
      </c>
      <c r="C305" s="141">
        <v>75771.015000000014</v>
      </c>
      <c r="D305" s="1203">
        <f t="shared" si="30"/>
        <v>924.71300000000065</v>
      </c>
      <c r="E305" s="318">
        <v>5178.3590000000004</v>
      </c>
      <c r="F305" s="947">
        <v>5748.7816263300001</v>
      </c>
      <c r="G305" s="1946">
        <f>SUM(F298:F305)</f>
        <v>43589.074733619993</v>
      </c>
      <c r="H305" s="947">
        <v>487.76185598000001</v>
      </c>
      <c r="I305" s="2365">
        <f>SUM(H298:H305)</f>
        <v>2668.4305126899999</v>
      </c>
    </row>
    <row r="306" spans="1:9">
      <c r="A306" s="972">
        <f t="shared" si="24"/>
        <v>2016.09</v>
      </c>
      <c r="B306" s="1203">
        <f t="shared" si="29"/>
        <v>10368.755999999994</v>
      </c>
      <c r="C306" s="141">
        <v>86139.771000000008</v>
      </c>
      <c r="D306" s="1203">
        <f t="shared" si="30"/>
        <v>970.26000000000022</v>
      </c>
      <c r="E306" s="318">
        <v>6148.6190000000006</v>
      </c>
      <c r="F306" s="947">
        <v>6633.3153635600002</v>
      </c>
      <c r="G306" s="1946">
        <f>SUM(F298:F306)</f>
        <v>50222.390097179996</v>
      </c>
      <c r="H306" s="947">
        <v>567.45311755</v>
      </c>
      <c r="I306" s="2365">
        <f>SUM(H298:H306)</f>
        <v>3235.88363024</v>
      </c>
    </row>
    <row r="307" spans="1:9">
      <c r="A307" s="972">
        <f t="shared" si="24"/>
        <v>2016.1</v>
      </c>
      <c r="B307" s="1203">
        <f t="shared" si="29"/>
        <v>10451.448999999993</v>
      </c>
      <c r="C307" s="141">
        <v>96591.22</v>
      </c>
      <c r="D307" s="1203">
        <f t="shared" si="30"/>
        <v>882.18099999999959</v>
      </c>
      <c r="E307" s="318">
        <v>7030.8</v>
      </c>
      <c r="F307" s="947">
        <v>6217.4837924900003</v>
      </c>
      <c r="G307" s="1946">
        <f>SUM(F298:F307)</f>
        <v>56439.873889669994</v>
      </c>
      <c r="H307" s="947">
        <v>454.57051243000001</v>
      </c>
      <c r="I307" s="2365">
        <f>SUM(H298:H307)</f>
        <v>3690.4541426699998</v>
      </c>
    </row>
    <row r="308" spans="1:9">
      <c r="A308" s="972">
        <f t="shared" si="24"/>
        <v>2016.11</v>
      </c>
      <c r="B308" s="1203">
        <f t="shared" ref="B308:B330" si="31">(C308-C307)</f>
        <v>11535.613000000012</v>
      </c>
      <c r="C308" s="141">
        <v>108126.83300000001</v>
      </c>
      <c r="D308" s="1203">
        <f t="shared" si="30"/>
        <v>1266.6559999999999</v>
      </c>
      <c r="E308" s="318">
        <v>8297.4560000000001</v>
      </c>
      <c r="F308" s="947">
        <v>4453.7878654100004</v>
      </c>
      <c r="G308" s="1946">
        <f>SUM(F298:F308)</f>
        <v>60893.661755079993</v>
      </c>
      <c r="H308" s="947">
        <v>323.72052660999998</v>
      </c>
      <c r="I308" s="2365">
        <f>SUM(H298:H308)</f>
        <v>4014.1746692799998</v>
      </c>
    </row>
    <row r="309" spans="1:9">
      <c r="A309" s="972">
        <f t="shared" si="24"/>
        <v>2016.12</v>
      </c>
      <c r="B309" s="1203">
        <f t="shared" si="31"/>
        <v>15985.57699999999</v>
      </c>
      <c r="C309" s="141">
        <v>124112.41</v>
      </c>
      <c r="D309" s="1203">
        <f t="shared" si="30"/>
        <v>2298.7839999999997</v>
      </c>
      <c r="E309" s="318">
        <v>10596.24</v>
      </c>
      <c r="F309" s="947">
        <v>12356.48061205</v>
      </c>
      <c r="G309" s="1946">
        <f>SUM(F298:F309)</f>
        <v>73250.14236713</v>
      </c>
      <c r="H309" s="947">
        <v>705.59114036000005</v>
      </c>
      <c r="I309" s="2365">
        <f>SUM(H298:H309)</f>
        <v>4719.76580964</v>
      </c>
    </row>
    <row r="310" spans="1:9">
      <c r="A310" s="972">
        <f t="shared" si="24"/>
        <v>2017.01</v>
      </c>
      <c r="B310" s="2397">
        <f>C310</f>
        <v>10735.600175</v>
      </c>
      <c r="C310" s="141">
        <v>10735.600175</v>
      </c>
      <c r="D310" s="2397">
        <f>E310</f>
        <v>624.64</v>
      </c>
      <c r="E310" s="318">
        <v>624.64</v>
      </c>
      <c r="F310" s="947">
        <v>5998.7617037999999</v>
      </c>
      <c r="G310" s="1946">
        <f>+F310</f>
        <v>5998.7617037999999</v>
      </c>
      <c r="H310" s="947">
        <v>31.773487639999999</v>
      </c>
      <c r="I310" s="2365">
        <f>+H310</f>
        <v>31.773487639999999</v>
      </c>
    </row>
    <row r="311" spans="1:9">
      <c r="A311" s="972">
        <f t="shared" si="24"/>
        <v>2017.02</v>
      </c>
      <c r="B311" s="1203">
        <f>(C311-C310)</f>
        <v>10258.581229000003</v>
      </c>
      <c r="C311" s="141">
        <v>20994.181404000003</v>
      </c>
      <c r="D311" s="1203">
        <f>E311-E310</f>
        <v>798.30000000000007</v>
      </c>
      <c r="E311" s="318">
        <v>1422.94</v>
      </c>
      <c r="F311" s="947">
        <v>6191.30254221</v>
      </c>
      <c r="G311" s="1946">
        <f>SUM(F310:F311)</f>
        <v>12190.064246009999</v>
      </c>
      <c r="H311" s="947">
        <v>654.86316375000001</v>
      </c>
      <c r="I311" s="2365">
        <f>SUM(H310:H311)</f>
        <v>686.63665139</v>
      </c>
    </row>
    <row r="312" spans="1:9">
      <c r="A312" s="972">
        <f t="shared" si="24"/>
        <v>2017.03</v>
      </c>
      <c r="B312" s="1203">
        <f>(C312-C311)</f>
        <v>11467.029264999997</v>
      </c>
      <c r="C312" s="141">
        <v>32461.210669</v>
      </c>
      <c r="D312" s="1203">
        <f t="shared" ref="D312:D321" si="32">E312-E311</f>
        <v>1259.3682849999996</v>
      </c>
      <c r="E312" s="318">
        <v>2682.3082849999996</v>
      </c>
      <c r="F312" s="947">
        <v>8126.7204565800002</v>
      </c>
      <c r="G312" s="1946">
        <f>SUM(F310:F312)</f>
        <v>20316.784702589997</v>
      </c>
      <c r="H312" s="947">
        <v>443.46822072999998</v>
      </c>
      <c r="I312" s="2365">
        <f>SUM(H310:H312)</f>
        <v>1130.10487212</v>
      </c>
    </row>
    <row r="313" spans="1:9">
      <c r="A313" s="972">
        <f t="shared" si="24"/>
        <v>2017.04</v>
      </c>
      <c r="B313" s="1203">
        <f>(C313-C312)</f>
        <v>12253.179330999999</v>
      </c>
      <c r="C313" s="141">
        <v>44714.39</v>
      </c>
      <c r="D313" s="1203">
        <f t="shared" si="32"/>
        <v>1235.4117150000002</v>
      </c>
      <c r="E313" s="318">
        <v>3917.72</v>
      </c>
      <c r="F313" s="947">
        <v>7127.3423643200003</v>
      </c>
      <c r="G313" s="1946">
        <f>SUM(F310:F313)</f>
        <v>27444.127066909998</v>
      </c>
      <c r="H313" s="947">
        <v>437.01314954999998</v>
      </c>
      <c r="I313" s="2365">
        <f>SUM(H310:H313)</f>
        <v>1567.11802167</v>
      </c>
    </row>
    <row r="314" spans="1:9">
      <c r="A314" s="972">
        <f t="shared" si="24"/>
        <v>2017.05</v>
      </c>
      <c r="B314" s="1203">
        <f t="shared" si="31"/>
        <v>14093.910000000003</v>
      </c>
      <c r="C314" s="141">
        <v>58808.3</v>
      </c>
      <c r="D314" s="1203">
        <f t="shared" si="32"/>
        <v>1572.2100000000005</v>
      </c>
      <c r="E314" s="318">
        <v>5489.93</v>
      </c>
      <c r="F314" s="947">
        <v>6847.5487917099999</v>
      </c>
      <c r="G314" s="1946">
        <f>SUM(F310:F314)</f>
        <v>34291.675858620001</v>
      </c>
      <c r="H314" s="947">
        <v>684.17160383999999</v>
      </c>
      <c r="I314" s="2365">
        <f>SUM(H310:H314)</f>
        <v>2251.28962551</v>
      </c>
    </row>
    <row r="315" spans="1:9">
      <c r="A315" s="972">
        <f t="shared" si="24"/>
        <v>2017.06</v>
      </c>
      <c r="B315" s="1203">
        <f t="shared" si="31"/>
        <v>16703.146519999995</v>
      </c>
      <c r="C315" s="141">
        <v>75511.446519999998</v>
      </c>
      <c r="D315" s="1203">
        <f t="shared" si="32"/>
        <v>1740.856628999999</v>
      </c>
      <c r="E315" s="318">
        <v>7230.7866289999993</v>
      </c>
      <c r="F315" s="947">
        <v>8474.9745307600006</v>
      </c>
      <c r="G315" s="1946">
        <f>SUM(F310:F315)</f>
        <v>42766.650389380004</v>
      </c>
      <c r="H315" s="947">
        <v>944.18048796000005</v>
      </c>
      <c r="I315" s="2365">
        <f>SUM(H310:H315)</f>
        <v>3195.4701134699999</v>
      </c>
    </row>
    <row r="316" spans="1:9">
      <c r="A316" s="972">
        <f t="shared" si="24"/>
        <v>2017.07</v>
      </c>
      <c r="B316" s="1203">
        <f t="shared" si="31"/>
        <v>13719.269656000019</v>
      </c>
      <c r="C316" s="141">
        <v>89230.716176000016</v>
      </c>
      <c r="D316" s="1203">
        <f t="shared" si="32"/>
        <v>1768.4519549999995</v>
      </c>
      <c r="E316" s="318">
        <v>8999.2385839999988</v>
      </c>
      <c r="F316" s="947">
        <v>7440.7552157299997</v>
      </c>
      <c r="G316" s="1946">
        <f>SUM(F310:F316)</f>
        <v>50207.405605110005</v>
      </c>
      <c r="H316" s="947">
        <v>363.50547798999997</v>
      </c>
      <c r="I316" s="2365">
        <f>SUM(H310:H316)</f>
        <v>3558.97559146</v>
      </c>
    </row>
    <row r="317" spans="1:9">
      <c r="A317" s="972">
        <f t="shared" si="24"/>
        <v>2017.08</v>
      </c>
      <c r="B317" s="1203">
        <f t="shared" si="31"/>
        <v>14284.213566999999</v>
      </c>
      <c r="C317" s="141">
        <v>103514.92974300002</v>
      </c>
      <c r="D317" s="1203">
        <f t="shared" si="32"/>
        <v>1778.3077110000013</v>
      </c>
      <c r="E317" s="318">
        <v>10777.546295</v>
      </c>
      <c r="F317" s="947">
        <v>7162.5272388900003</v>
      </c>
      <c r="G317" s="1946">
        <f>SUM(F310:F317)</f>
        <v>57369.932844000003</v>
      </c>
      <c r="H317" s="947">
        <v>489.48829064</v>
      </c>
      <c r="I317" s="2365">
        <f>SUM(H310:H317)</f>
        <v>4048.4638820999999</v>
      </c>
    </row>
    <row r="318" spans="1:9">
      <c r="A318" s="972">
        <f t="shared" si="24"/>
        <v>2017.09</v>
      </c>
      <c r="B318" s="1203">
        <f t="shared" si="31"/>
        <v>14553.372788999957</v>
      </c>
      <c r="C318" s="141">
        <v>118068.30253199997</v>
      </c>
      <c r="D318" s="1203">
        <f t="shared" si="32"/>
        <v>1899.4708810000011</v>
      </c>
      <c r="E318" s="318">
        <v>12677.017176000001</v>
      </c>
      <c r="F318" s="947">
        <v>9167.2875063400006</v>
      </c>
      <c r="G318" s="1946">
        <f>SUM(F310:F318)</f>
        <v>66537.220350340009</v>
      </c>
      <c r="H318" s="947">
        <v>601.15805813999998</v>
      </c>
      <c r="I318" s="2365">
        <f>SUM(H310:H318)</f>
        <v>4649.6219402400002</v>
      </c>
    </row>
    <row r="319" spans="1:9">
      <c r="A319" s="972">
        <f t="shared" si="24"/>
        <v>2017.1</v>
      </c>
      <c r="B319" s="1203">
        <f t="shared" si="31"/>
        <v>14659.732977000007</v>
      </c>
      <c r="C319" s="141">
        <v>132728.03550899998</v>
      </c>
      <c r="D319" s="1203">
        <f t="shared" si="32"/>
        <v>1626.4897859999983</v>
      </c>
      <c r="E319" s="318">
        <v>14303.506961999999</v>
      </c>
      <c r="F319" s="947">
        <v>8234.2127383499992</v>
      </c>
      <c r="G319" s="1946">
        <f>SUM(F310:F319)</f>
        <v>74771.433088690013</v>
      </c>
      <c r="H319" s="947">
        <v>433.47918876</v>
      </c>
      <c r="I319" s="2365">
        <f>SUM(H310:H319)</f>
        <v>5083.1011290000006</v>
      </c>
    </row>
    <row r="320" spans="1:9">
      <c r="A320" s="972">
        <f t="shared" si="24"/>
        <v>2017.11</v>
      </c>
      <c r="B320" s="1203">
        <f t="shared" si="31"/>
        <v>13703.004491000029</v>
      </c>
      <c r="C320" s="141">
        <v>146431.04000000001</v>
      </c>
      <c r="D320" s="1203">
        <f t="shared" si="32"/>
        <v>1663.3330380000007</v>
      </c>
      <c r="E320" s="318">
        <v>15966.84</v>
      </c>
      <c r="F320" s="947">
        <v>8294.1903138199996</v>
      </c>
      <c r="G320" s="1946">
        <f>SUM(F310:F320)</f>
        <v>83065.623402510013</v>
      </c>
      <c r="H320" s="947">
        <v>291.51424237999998</v>
      </c>
      <c r="I320" s="2365">
        <f>SUM(H310:H320)</f>
        <v>5374.6153713800004</v>
      </c>
    </row>
    <row r="321" spans="1:9">
      <c r="A321" s="972">
        <f t="shared" si="24"/>
        <v>2017.12</v>
      </c>
      <c r="B321" s="1203">
        <f t="shared" si="31"/>
        <v>21710.104500999994</v>
      </c>
      <c r="C321" s="141">
        <v>168141.144501</v>
      </c>
      <c r="D321" s="1203">
        <f t="shared" si="32"/>
        <v>3474.2190139999984</v>
      </c>
      <c r="E321" s="318">
        <v>19441.059013999999</v>
      </c>
      <c r="F321" s="947">
        <v>11991.50723107</v>
      </c>
      <c r="G321" s="1946">
        <f>SUM(F310:F321)</f>
        <v>95057.130633580018</v>
      </c>
      <c r="H321" s="947">
        <v>975.03217229999996</v>
      </c>
      <c r="I321" s="2365">
        <f>SUM(H310:H321)</f>
        <v>6349.6475436800001</v>
      </c>
    </row>
    <row r="322" spans="1:9">
      <c r="A322" s="972">
        <f t="shared" si="24"/>
        <v>2018.01</v>
      </c>
      <c r="B322" s="2397">
        <f>C322</f>
        <v>13142.64</v>
      </c>
      <c r="C322" s="141">
        <v>13142.64</v>
      </c>
      <c r="D322" s="2397">
        <f>E322</f>
        <v>615.47</v>
      </c>
      <c r="E322" s="318">
        <v>615.47</v>
      </c>
      <c r="F322" s="947">
        <v>5727.4886715100001</v>
      </c>
      <c r="G322" s="1946">
        <f>+F322</f>
        <v>5727.4886715100001</v>
      </c>
      <c r="H322" s="947">
        <v>64.851406060000002</v>
      </c>
      <c r="I322" s="2365">
        <f>+H322</f>
        <v>64.851406060000002</v>
      </c>
    </row>
    <row r="323" spans="1:9">
      <c r="A323" s="972">
        <f t="shared" si="24"/>
        <v>2018.02</v>
      </c>
      <c r="B323" s="1203">
        <f t="shared" si="31"/>
        <v>13770.760000000002</v>
      </c>
      <c r="C323" s="141">
        <v>26913.4</v>
      </c>
      <c r="D323" s="1203">
        <f>E323-E322</f>
        <v>1507.22</v>
      </c>
      <c r="E323" s="318">
        <v>2122.69</v>
      </c>
      <c r="F323" s="947">
        <v>6675.8020001499999</v>
      </c>
      <c r="G323" s="1946">
        <f>SUM(F322:F323)</f>
        <v>12403.290671660001</v>
      </c>
      <c r="H323" s="947">
        <v>369.99398192000001</v>
      </c>
      <c r="I323" s="2365">
        <f>SUM(H322:H323)</f>
        <v>434.84538798</v>
      </c>
    </row>
    <row r="324" spans="1:9">
      <c r="A324" s="972">
        <f t="shared" si="24"/>
        <v>2018.03</v>
      </c>
      <c r="B324" s="1203">
        <f>(C324-C323)</f>
        <v>15256.470000000001</v>
      </c>
      <c r="C324" s="141">
        <v>42169.87</v>
      </c>
      <c r="D324" s="1203">
        <f t="shared" ref="D324:D333" si="33">E324-E323</f>
        <v>1933.52</v>
      </c>
      <c r="E324" s="318">
        <v>4056.21</v>
      </c>
      <c r="F324" s="947">
        <v>10202.867701880001</v>
      </c>
      <c r="G324" s="1946">
        <f>SUM(F322:F324)</f>
        <v>22606.158373540002</v>
      </c>
      <c r="H324" s="947">
        <v>497.78893421999999</v>
      </c>
      <c r="I324" s="2365">
        <f>SUM(H322:H324)</f>
        <v>932.63432220000004</v>
      </c>
    </row>
    <row r="325" spans="1:9">
      <c r="A325" s="972">
        <f t="shared" si="24"/>
        <v>2018.04</v>
      </c>
      <c r="B325" s="1203">
        <f t="shared" si="31"/>
        <v>14796.82</v>
      </c>
      <c r="C325" s="141">
        <v>56966.69</v>
      </c>
      <c r="D325" s="1203">
        <f t="shared" si="33"/>
        <v>1825.2200000000003</v>
      </c>
      <c r="E325" s="318">
        <v>5881.43</v>
      </c>
      <c r="F325" s="947">
        <v>10596.571595879999</v>
      </c>
      <c r="G325" s="1946">
        <f>SUM(F322:F325)</f>
        <v>33202.729969420005</v>
      </c>
      <c r="H325" s="947">
        <v>414.01686245000002</v>
      </c>
      <c r="I325" s="2365">
        <f>SUM(H322:H325)</f>
        <v>1346.65118465</v>
      </c>
    </row>
    <row r="326" spans="1:9">
      <c r="A326" s="972">
        <f t="shared" si="24"/>
        <v>2018.05</v>
      </c>
      <c r="B326" s="1203">
        <f t="shared" si="31"/>
        <v>17430.839999999997</v>
      </c>
      <c r="C326" s="141">
        <v>74397.53</v>
      </c>
      <c r="D326" s="1203">
        <f t="shared" si="33"/>
        <v>1920.4799999999996</v>
      </c>
      <c r="E326" s="318">
        <v>7801.91</v>
      </c>
      <c r="F326" s="947">
        <v>10907.16071038</v>
      </c>
      <c r="G326" s="1946">
        <f>SUM(F322:F326)</f>
        <v>44109.890679800003</v>
      </c>
      <c r="H326" s="947">
        <v>574.38484903000005</v>
      </c>
      <c r="I326" s="2365">
        <f>SUM(H322:H326)</f>
        <v>1921.0360336799999</v>
      </c>
    </row>
    <row r="327" spans="1:9">
      <c r="A327" s="972">
        <f t="shared" si="24"/>
        <v>2018.06</v>
      </c>
      <c r="B327" s="1203">
        <f t="shared" si="31"/>
        <v>19688.009999999995</v>
      </c>
      <c r="C327" s="141">
        <v>94085.54</v>
      </c>
      <c r="D327" s="1203">
        <f t="shared" si="33"/>
        <v>1788</v>
      </c>
      <c r="E327" s="318">
        <v>9589.91</v>
      </c>
      <c r="F327" s="947">
        <v>24221.779397639999</v>
      </c>
      <c r="G327" s="1946">
        <f>SUM(F322:F327)</f>
        <v>68331.670077440009</v>
      </c>
      <c r="H327" s="947">
        <v>533.23472721999997</v>
      </c>
      <c r="I327" s="2365">
        <f>SUM(H322:H327)</f>
        <v>2454.2707608999999</v>
      </c>
    </row>
    <row r="328" spans="1:9">
      <c r="A328" s="972">
        <f t="shared" si="24"/>
        <v>2018.07</v>
      </c>
      <c r="B328" s="1203">
        <f t="shared" si="31"/>
        <v>17413.330000000002</v>
      </c>
      <c r="C328" s="141">
        <v>111498.87</v>
      </c>
      <c r="D328" s="1203">
        <f t="shared" si="33"/>
        <v>2595.6900000000005</v>
      </c>
      <c r="E328" s="318">
        <v>12185.6</v>
      </c>
      <c r="F328" s="947">
        <v>9107.5355536900006</v>
      </c>
      <c r="G328" s="1946">
        <f>SUM(F322:F328)</f>
        <v>77439.205631130011</v>
      </c>
      <c r="H328" s="947">
        <v>557.24077401</v>
      </c>
      <c r="I328" s="2365">
        <f>SUM(H322:H328)</f>
        <v>3011.5115349099997</v>
      </c>
    </row>
    <row r="329" spans="1:9">
      <c r="A329" s="972">
        <f t="shared" si="24"/>
        <v>2018.08</v>
      </c>
      <c r="B329" s="1203">
        <f t="shared" si="31"/>
        <v>16981.270000000004</v>
      </c>
      <c r="C329" s="141">
        <v>128480.14</v>
      </c>
      <c r="D329" s="1203">
        <f>E329-E328</f>
        <v>1808.5699999999997</v>
      </c>
      <c r="E329" s="318">
        <v>13994.17</v>
      </c>
      <c r="F329" s="947">
        <v>8919.4910701200006</v>
      </c>
      <c r="G329" s="1946">
        <f>SUM(F322:F329)</f>
        <v>86358.69670125001</v>
      </c>
      <c r="H329" s="947">
        <v>365.31457373000001</v>
      </c>
      <c r="I329" s="2365">
        <f>SUM(H322:H329)</f>
        <v>3376.8261086399998</v>
      </c>
    </row>
    <row r="330" spans="1:9">
      <c r="A330" s="972">
        <f t="shared" ref="A330:A393" si="34">A318+1</f>
        <v>2018.09</v>
      </c>
      <c r="B330" s="1203">
        <f t="shared" si="31"/>
        <v>18329.150000000009</v>
      </c>
      <c r="C330" s="141">
        <v>146809.29</v>
      </c>
      <c r="D330" s="1203">
        <f t="shared" si="33"/>
        <v>2340.7999999999993</v>
      </c>
      <c r="E330" s="318">
        <v>16334.97</v>
      </c>
      <c r="F330" s="947">
        <v>13031.647154599999</v>
      </c>
      <c r="G330" s="1946">
        <f>SUM(F322:F330)</f>
        <v>99390.343855850006</v>
      </c>
      <c r="H330" s="947">
        <v>1154.97944295</v>
      </c>
      <c r="I330" s="2365">
        <f>SUM(H322:H330)</f>
        <v>4531.8055515899996</v>
      </c>
    </row>
    <row r="331" spans="1:9">
      <c r="A331" s="972">
        <f t="shared" si="34"/>
        <v>2018.1</v>
      </c>
      <c r="B331" s="1203">
        <f t="shared" ref="B331:B341" si="35">(C331-C330)</f>
        <v>17862.181815999997</v>
      </c>
      <c r="C331" s="141">
        <v>164671.471816</v>
      </c>
      <c r="D331" s="1203">
        <f t="shared" si="33"/>
        <v>2075.533214000001</v>
      </c>
      <c r="E331" s="318">
        <v>18410.503214</v>
      </c>
      <c r="F331" s="947">
        <v>9251.9214284499994</v>
      </c>
      <c r="G331" s="1946">
        <f>SUM(F322:F331)</f>
        <v>108642.26528430001</v>
      </c>
      <c r="H331" s="947">
        <v>313.65652239999997</v>
      </c>
      <c r="I331" s="2365">
        <f>SUM(H322:H331)</f>
        <v>4845.4620739899992</v>
      </c>
    </row>
    <row r="332" spans="1:9">
      <c r="A332" s="972">
        <f t="shared" si="34"/>
        <v>2018.11</v>
      </c>
      <c r="B332" s="1203">
        <f t="shared" si="35"/>
        <v>18617.098184000002</v>
      </c>
      <c r="C332" s="141">
        <v>183288.57</v>
      </c>
      <c r="D332" s="1203">
        <f t="shared" si="33"/>
        <v>1766.166785999998</v>
      </c>
      <c r="E332" s="318">
        <v>20176.669999999998</v>
      </c>
      <c r="F332" s="947">
        <v>6747.5345855400001</v>
      </c>
      <c r="G332" s="1946">
        <f>SUM(F322:F332)</f>
        <v>115389.79986984</v>
      </c>
      <c r="H332" s="947">
        <v>387.54028744999999</v>
      </c>
      <c r="I332" s="2365">
        <f>SUM(H322:H332)</f>
        <v>5233.0023614399988</v>
      </c>
    </row>
    <row r="333" spans="1:9">
      <c r="A333" s="972">
        <f t="shared" si="34"/>
        <v>2018.12</v>
      </c>
      <c r="B333" s="1203">
        <f>(C333-C332)</f>
        <v>30552.398900999979</v>
      </c>
      <c r="C333" s="141">
        <v>213840.96890099999</v>
      </c>
      <c r="D333" s="1203">
        <f t="shared" si="33"/>
        <v>5431.3951370000032</v>
      </c>
      <c r="E333" s="318">
        <v>25608.065137000001</v>
      </c>
      <c r="F333" s="947">
        <v>14609.950031570001</v>
      </c>
      <c r="G333" s="1946">
        <f>SUM(F322:F333)</f>
        <v>129999.74990141</v>
      </c>
      <c r="H333" s="947">
        <v>931.38821596000003</v>
      </c>
      <c r="I333" s="2365">
        <f>SUM(H322:H333)</f>
        <v>6164.3905773999986</v>
      </c>
    </row>
    <row r="334" spans="1:9">
      <c r="A334" s="972">
        <f t="shared" si="34"/>
        <v>2019.01</v>
      </c>
      <c r="B334" s="2397">
        <f>C334</f>
        <v>21720.41</v>
      </c>
      <c r="C334" s="141">
        <v>21720.41</v>
      </c>
      <c r="D334" s="2397">
        <f>E334</f>
        <v>2152.7600000000002</v>
      </c>
      <c r="E334" s="318">
        <v>2152.7600000000002</v>
      </c>
      <c r="F334" s="947">
        <v>8743.6146485699992</v>
      </c>
      <c r="G334" s="1946">
        <f>+F334</f>
        <v>8743.6146485699992</v>
      </c>
      <c r="H334" s="947">
        <v>133.24105384999999</v>
      </c>
      <c r="I334" s="2365">
        <f>+H334</f>
        <v>133.24105384999999</v>
      </c>
    </row>
    <row r="335" spans="1:9">
      <c r="A335" s="972">
        <f t="shared" si="34"/>
        <v>2019.02</v>
      </c>
      <c r="B335" s="1203">
        <f t="shared" si="35"/>
        <v>20661.070000000003</v>
      </c>
      <c r="C335" s="141">
        <v>42381.48</v>
      </c>
      <c r="D335" s="1203">
        <f>E335-E334</f>
        <v>2043.2699999999995</v>
      </c>
      <c r="E335" s="318">
        <v>4196.03</v>
      </c>
      <c r="F335" s="947">
        <v>9142.1992071000004</v>
      </c>
      <c r="G335" s="1946">
        <f>SUM(F334:F335)</f>
        <v>17885.81385567</v>
      </c>
      <c r="H335" s="947">
        <v>327.61819460999999</v>
      </c>
      <c r="I335" s="2365">
        <f>SUM(H334:H335)</f>
        <v>460.85924846</v>
      </c>
    </row>
    <row r="336" spans="1:9">
      <c r="A336" s="972">
        <f t="shared" si="34"/>
        <v>2019.03</v>
      </c>
      <c r="B336" s="1203">
        <f t="shared" si="35"/>
        <v>20941.339999999997</v>
      </c>
      <c r="C336" s="141">
        <v>63322.82</v>
      </c>
      <c r="D336" s="1203">
        <f t="shared" ref="D336:D345" si="36">E336-E335</f>
        <v>2270.5100000000002</v>
      </c>
      <c r="E336" s="318">
        <v>6466.54</v>
      </c>
      <c r="F336" s="947">
        <v>15179.514089800001</v>
      </c>
      <c r="G336" s="1946">
        <f>SUM(F334:F336)</f>
        <v>33065.327945470002</v>
      </c>
      <c r="H336" s="947">
        <v>769.40983592999999</v>
      </c>
      <c r="I336" s="2365">
        <f>SUM(H334:H336)</f>
        <v>1230.26908439</v>
      </c>
    </row>
    <row r="337" spans="1:9">
      <c r="A337" s="972">
        <f t="shared" si="34"/>
        <v>2019.04</v>
      </c>
      <c r="B337" s="1203">
        <f t="shared" si="35"/>
        <v>25295.030000000006</v>
      </c>
      <c r="C337" s="141">
        <v>88617.85</v>
      </c>
      <c r="D337" s="1203">
        <f>E337-E336</f>
        <v>2801.8399999999992</v>
      </c>
      <c r="E337" s="318">
        <v>9268.3799999999992</v>
      </c>
      <c r="F337" s="947">
        <v>10001.66412447</v>
      </c>
      <c r="G337" s="1946">
        <f>SUM(F334:F337)</f>
        <v>43066.992069940003</v>
      </c>
      <c r="H337" s="947">
        <v>316.65702413000002</v>
      </c>
      <c r="I337" s="2365">
        <f>SUM(H334:H337)</f>
        <v>1546.9261085200001</v>
      </c>
    </row>
    <row r="338" spans="1:9">
      <c r="A338" s="972">
        <f t="shared" si="34"/>
        <v>2019.05</v>
      </c>
      <c r="B338" s="1203">
        <f t="shared" si="35"/>
        <v>25935.78</v>
      </c>
      <c r="C338" s="141">
        <v>114553.63</v>
      </c>
      <c r="D338" s="1203">
        <f t="shared" si="36"/>
        <v>3456.83</v>
      </c>
      <c r="E338" s="318">
        <v>12725.21</v>
      </c>
      <c r="F338" s="947">
        <v>11500.411381530001</v>
      </c>
      <c r="G338" s="1946">
        <f>SUM(F334:F338)</f>
        <v>54567.403451470003</v>
      </c>
      <c r="H338" s="947">
        <v>257.51804079999999</v>
      </c>
      <c r="I338" s="2365">
        <f>SUM(H334:H338)</f>
        <v>1804.4441493200002</v>
      </c>
    </row>
    <row r="339" spans="1:9">
      <c r="A339" s="972">
        <f t="shared" si="34"/>
        <v>2019.06</v>
      </c>
      <c r="B339" s="1203">
        <f t="shared" si="35"/>
        <v>31075.484333</v>
      </c>
      <c r="C339" s="141">
        <v>145629.114333</v>
      </c>
      <c r="D339" s="1203">
        <f t="shared" si="36"/>
        <v>2860.3336780000009</v>
      </c>
      <c r="E339" s="318">
        <v>15585.543678</v>
      </c>
      <c r="F339" s="947">
        <v>19483.87228553</v>
      </c>
      <c r="G339" s="1946">
        <f>SUM(F334:F339)</f>
        <v>74051.275737000004</v>
      </c>
      <c r="H339" s="947">
        <v>715.43536812000002</v>
      </c>
      <c r="I339" s="2365">
        <f>SUM(H334:H339)</f>
        <v>2519.8795174400002</v>
      </c>
    </row>
    <row r="340" spans="1:9">
      <c r="A340" s="972">
        <f t="shared" si="34"/>
        <v>2019.07</v>
      </c>
      <c r="B340" s="1203">
        <f t="shared" si="35"/>
        <v>25434.295270800008</v>
      </c>
      <c r="C340" s="141">
        <v>171063.40960380001</v>
      </c>
      <c r="D340" s="1203">
        <f t="shared" si="36"/>
        <v>3095.4609020000007</v>
      </c>
      <c r="E340" s="318">
        <v>18681.004580000001</v>
      </c>
      <c r="F340" s="947">
        <v>11746.28026421</v>
      </c>
      <c r="G340" s="1946">
        <f>SUM(F334:F340)</f>
        <v>85797.556001210003</v>
      </c>
      <c r="H340" s="947">
        <v>505.41725451000002</v>
      </c>
      <c r="I340" s="2365">
        <f>SUM(H334:H340)</f>
        <v>3025.2967719500002</v>
      </c>
    </row>
    <row r="341" spans="1:9">
      <c r="A341" s="972">
        <f t="shared" si="34"/>
        <v>2019.08</v>
      </c>
      <c r="B341" s="1203">
        <f t="shared" si="35"/>
        <v>25196.789570199966</v>
      </c>
      <c r="C341" s="141">
        <v>196260.19917399998</v>
      </c>
      <c r="D341" s="1203">
        <f t="shared" si="36"/>
        <v>2570.6730239999961</v>
      </c>
      <c r="E341" s="318">
        <v>21251.677603999997</v>
      </c>
      <c r="F341" s="947">
        <v>12120.90345423</v>
      </c>
      <c r="G341" s="1946">
        <f>SUM(F334:F341)</f>
        <v>97918.459455439996</v>
      </c>
      <c r="H341" s="947">
        <v>765.86587158999998</v>
      </c>
      <c r="I341" s="2365">
        <f>SUM(H334:H341)</f>
        <v>3791.1626435400003</v>
      </c>
    </row>
    <row r="342" spans="1:9">
      <c r="A342" s="972">
        <f t="shared" si="34"/>
        <v>2019.09</v>
      </c>
      <c r="B342" s="1203">
        <f t="shared" ref="B342:B357" si="37">(C342-C341)</f>
        <v>26566.502377000026</v>
      </c>
      <c r="C342" s="141">
        <v>222826.70155100001</v>
      </c>
      <c r="D342" s="1203">
        <f t="shared" si="36"/>
        <v>2942.6155740000031</v>
      </c>
      <c r="E342" s="318">
        <v>24194.293178</v>
      </c>
      <c r="F342" s="947">
        <v>16400.352780339999</v>
      </c>
      <c r="G342" s="1946">
        <f>SUM(F334:F342)</f>
        <v>114318.81223578</v>
      </c>
      <c r="H342" s="947">
        <v>611.44045063999999</v>
      </c>
      <c r="I342" s="2365">
        <f>SUM(H334:H342)</f>
        <v>4402.60309418</v>
      </c>
    </row>
    <row r="343" spans="1:9">
      <c r="A343" s="972">
        <f t="shared" si="34"/>
        <v>2019.1</v>
      </c>
      <c r="B343" s="1203">
        <f t="shared" si="37"/>
        <v>26162.206175369996</v>
      </c>
      <c r="C343" s="141">
        <v>248988.90772637</v>
      </c>
      <c r="D343" s="1203">
        <f t="shared" si="36"/>
        <v>2016.9665998900018</v>
      </c>
      <c r="E343" s="318">
        <v>26211.259777890002</v>
      </c>
      <c r="F343" s="947">
        <v>14953.60731951</v>
      </c>
      <c r="G343" s="1946">
        <f>SUM(F334:F343)</f>
        <v>129272.41955529001</v>
      </c>
      <c r="H343" s="947">
        <v>448.90943432</v>
      </c>
      <c r="I343" s="2365">
        <f>SUM(H334:H343)</f>
        <v>4851.5125285000004</v>
      </c>
    </row>
    <row r="344" spans="1:9">
      <c r="A344" s="972">
        <f t="shared" si="34"/>
        <v>2019.11</v>
      </c>
      <c r="B344" s="1203">
        <f t="shared" si="37"/>
        <v>27026.124670219986</v>
      </c>
      <c r="C344" s="141">
        <v>276015.03239658999</v>
      </c>
      <c r="D344" s="1203">
        <f t="shared" si="36"/>
        <v>2049.7220939099971</v>
      </c>
      <c r="E344" s="318">
        <v>28260.981871799999</v>
      </c>
      <c r="F344" s="947">
        <v>18782.809743760001</v>
      </c>
      <c r="G344" s="1946">
        <f>SUM(F334:F344)</f>
        <v>148055.22929905</v>
      </c>
      <c r="H344" s="947">
        <v>4479.52042153</v>
      </c>
      <c r="I344" s="2365">
        <f>SUM(H334:H344)</f>
        <v>9331.0329500299995</v>
      </c>
    </row>
    <row r="345" spans="1:9">
      <c r="A345" s="972">
        <f t="shared" si="34"/>
        <v>2019.12</v>
      </c>
      <c r="B345" s="1203">
        <f t="shared" si="37"/>
        <v>42102.481071860006</v>
      </c>
      <c r="C345" s="141">
        <v>318117.51346844999</v>
      </c>
      <c r="D345" s="1203">
        <f t="shared" si="36"/>
        <v>5102.5390907599976</v>
      </c>
      <c r="E345" s="318">
        <v>33363.520962559996</v>
      </c>
      <c r="F345" s="947">
        <v>23223.81185645</v>
      </c>
      <c r="G345" s="1946">
        <f>SUM(F334:F345)</f>
        <v>171279.04115549999</v>
      </c>
      <c r="H345" s="947">
        <v>1038.1461942000001</v>
      </c>
      <c r="I345" s="2365">
        <f>SUM(H334:H345)</f>
        <v>10369.17914423</v>
      </c>
    </row>
    <row r="346" spans="1:9">
      <c r="A346" s="972">
        <f t="shared" si="34"/>
        <v>2020.01</v>
      </c>
      <c r="B346" s="2397">
        <f>C346</f>
        <v>24186.799999999999</v>
      </c>
      <c r="C346" s="141">
        <v>24186.799999999999</v>
      </c>
      <c r="D346" s="2397">
        <f>E346</f>
        <v>287</v>
      </c>
      <c r="E346" s="318">
        <v>287</v>
      </c>
      <c r="F346" s="947">
        <v>14198.315729350001</v>
      </c>
      <c r="G346" s="1946">
        <f>+F346</f>
        <v>14198.315729350001</v>
      </c>
      <c r="H346" s="947">
        <v>5.3456339699999997</v>
      </c>
      <c r="I346" s="2365">
        <f>+H346</f>
        <v>5.3456339699999997</v>
      </c>
    </row>
    <row r="347" spans="1:9">
      <c r="A347" s="972">
        <f t="shared" si="34"/>
        <v>2020.02</v>
      </c>
      <c r="B347" s="1203">
        <f t="shared" si="37"/>
        <v>27446.710000000003</v>
      </c>
      <c r="C347" s="141">
        <v>51633.51</v>
      </c>
      <c r="D347" s="1203">
        <f>E347-E346</f>
        <v>849.23</v>
      </c>
      <c r="E347" s="318">
        <v>1136.23</v>
      </c>
      <c r="F347" s="947">
        <v>15781.614519520001</v>
      </c>
      <c r="G347" s="1946">
        <f>SUM(F346:F347)</f>
        <v>29979.930248870001</v>
      </c>
      <c r="H347" s="947">
        <v>291.20759836000002</v>
      </c>
      <c r="I347" s="2365">
        <f>SUM(H346:H347)</f>
        <v>296.55323233000001</v>
      </c>
    </row>
    <row r="348" spans="1:9">
      <c r="A348" s="972">
        <f t="shared" si="34"/>
        <v>2020.03</v>
      </c>
      <c r="B348" s="1203">
        <f t="shared" si="37"/>
        <v>27312.29</v>
      </c>
      <c r="C348" s="141">
        <v>78945.8</v>
      </c>
      <c r="D348" s="1203">
        <f t="shared" ref="D348:D357" si="38">E348-E347</f>
        <v>977.2199999999998</v>
      </c>
      <c r="E348" s="318">
        <v>2113.4499999999998</v>
      </c>
      <c r="F348" s="947">
        <v>20452.08648002</v>
      </c>
      <c r="G348" s="1946">
        <f>SUM(F346:F348)</f>
        <v>50432.016728889997</v>
      </c>
      <c r="H348" s="947">
        <v>842.30903873</v>
      </c>
      <c r="I348" s="2365">
        <f>SUM(H346:H348)</f>
        <v>1138.86227106</v>
      </c>
    </row>
    <row r="349" spans="1:9">
      <c r="A349" s="972">
        <f t="shared" si="34"/>
        <v>2020.04</v>
      </c>
      <c r="B349" s="1203">
        <f t="shared" si="37"/>
        <v>26245.239999999991</v>
      </c>
      <c r="C349" s="141">
        <v>105191.03999999999</v>
      </c>
      <c r="D349" s="1203">
        <f t="shared" si="38"/>
        <v>520.55000000000018</v>
      </c>
      <c r="E349" s="318">
        <v>2634</v>
      </c>
      <c r="F349" s="947">
        <v>23825.341046040001</v>
      </c>
      <c r="G349" s="1946">
        <f>SUM(F346:F349)</f>
        <v>74257.357774930002</v>
      </c>
      <c r="H349" s="947">
        <v>168.10853842</v>
      </c>
      <c r="I349" s="2365">
        <f>SUM(H346:H349)</f>
        <v>1306.9708094800001</v>
      </c>
    </row>
    <row r="350" spans="1:9">
      <c r="A350" s="972">
        <f t="shared" si="34"/>
        <v>2020.05</v>
      </c>
      <c r="B350" s="1203">
        <f t="shared" si="37"/>
        <v>27786.069999999992</v>
      </c>
      <c r="C350" s="141">
        <v>132977.10999999999</v>
      </c>
      <c r="D350" s="1203">
        <f t="shared" si="38"/>
        <v>1017.5900000000001</v>
      </c>
      <c r="E350" s="318">
        <v>3651.59</v>
      </c>
      <c r="F350" s="947">
        <v>23820.592133639999</v>
      </c>
      <c r="G350" s="1946">
        <f>SUM(F346:F350)</f>
        <v>98077.949908570008</v>
      </c>
      <c r="H350" s="947">
        <v>892.56810958999995</v>
      </c>
      <c r="I350" s="2365">
        <f>SUM(H346:H350)</f>
        <v>2199.5389190699998</v>
      </c>
    </row>
    <row r="351" spans="1:9">
      <c r="A351" s="972">
        <f t="shared" si="34"/>
        <v>2020.06</v>
      </c>
      <c r="B351" s="1203">
        <f t="shared" si="37"/>
        <v>38235.830000000016</v>
      </c>
      <c r="C351" s="141">
        <v>171212.94</v>
      </c>
      <c r="D351" s="1203">
        <f t="shared" si="38"/>
        <v>1271.29</v>
      </c>
      <c r="E351" s="318">
        <v>4922.88</v>
      </c>
      <c r="F351" s="947">
        <v>32534.53043286</v>
      </c>
      <c r="G351" s="1946">
        <f>SUM(F346:F351)</f>
        <v>130612.48034143001</v>
      </c>
      <c r="H351" s="947">
        <v>596.54489698999998</v>
      </c>
      <c r="I351" s="2365">
        <f>SUM(H346:H351)</f>
        <v>2796.0838160599997</v>
      </c>
    </row>
    <row r="352" spans="1:9">
      <c r="A352" s="972">
        <f t="shared" si="34"/>
        <v>2020.07</v>
      </c>
      <c r="B352" s="1203">
        <f t="shared" si="37"/>
        <v>28934.510000000009</v>
      </c>
      <c r="C352" s="141">
        <v>200147.45</v>
      </c>
      <c r="D352" s="1203">
        <f t="shared" si="38"/>
        <v>1248.1300000000001</v>
      </c>
      <c r="E352" s="318">
        <v>6171.01</v>
      </c>
      <c r="F352" s="947">
        <v>22261.857702320001</v>
      </c>
      <c r="G352" s="1946">
        <f>SUM(F346:F352)</f>
        <v>152874.33804375</v>
      </c>
      <c r="H352" s="947">
        <v>629.08529161000001</v>
      </c>
      <c r="I352" s="2365">
        <f>SUM(H346:H352)</f>
        <v>3425.1691076699999</v>
      </c>
    </row>
    <row r="353" spans="1:9">
      <c r="A353" s="972">
        <f t="shared" si="34"/>
        <v>2020.08</v>
      </c>
      <c r="B353" s="1203">
        <f t="shared" si="37"/>
        <v>30667.22</v>
      </c>
      <c r="C353" s="141">
        <v>230814.67</v>
      </c>
      <c r="D353" s="1203">
        <f t="shared" si="38"/>
        <v>1500.1999999999998</v>
      </c>
      <c r="E353" s="318">
        <v>7671.21</v>
      </c>
      <c r="F353" s="947">
        <v>17492.31224033</v>
      </c>
      <c r="G353" s="1946">
        <f>SUM(F346:F353)</f>
        <v>170366.65028408001</v>
      </c>
      <c r="H353" s="947">
        <v>652.30687004000004</v>
      </c>
      <c r="I353" s="2365">
        <f>SUM(H346:H353)</f>
        <v>4077.4759777099998</v>
      </c>
    </row>
    <row r="354" spans="1:9">
      <c r="A354" s="972">
        <f t="shared" si="34"/>
        <v>2020.09</v>
      </c>
      <c r="B354" s="1203">
        <f t="shared" si="37"/>
        <v>33368.22</v>
      </c>
      <c r="C354" s="141">
        <v>264182.89</v>
      </c>
      <c r="D354" s="1203">
        <f t="shared" si="38"/>
        <v>1914.9100000000008</v>
      </c>
      <c r="E354" s="318">
        <v>9586.1200000000008</v>
      </c>
      <c r="F354" s="947">
        <v>22028.782445640001</v>
      </c>
      <c r="G354" s="1946">
        <f>SUM(F346:F354)</f>
        <v>192395.43272972002</v>
      </c>
      <c r="H354" s="947">
        <v>1059.80971206</v>
      </c>
      <c r="I354" s="2365">
        <f>SUM(H346:H354)</f>
        <v>5137.2856897700003</v>
      </c>
    </row>
    <row r="355" spans="1:9">
      <c r="A355" s="972">
        <f t="shared" si="34"/>
        <v>2020.1</v>
      </c>
      <c r="B355" s="1203">
        <f t="shared" si="37"/>
        <v>33512.640000000014</v>
      </c>
      <c r="C355" s="141">
        <v>297695.53000000003</v>
      </c>
      <c r="D355" s="1203">
        <f t="shared" si="38"/>
        <v>2015.1299999999992</v>
      </c>
      <c r="E355" s="318">
        <v>11601.25</v>
      </c>
      <c r="F355" s="947">
        <v>18255.91044539</v>
      </c>
      <c r="G355" s="1946">
        <f>SUM(F346:F355)</f>
        <v>210651.34317511003</v>
      </c>
      <c r="H355" s="947">
        <v>774.76965330999997</v>
      </c>
      <c r="I355" s="2365">
        <f>SUM(H346:H355)</f>
        <v>5912.0553430800001</v>
      </c>
    </row>
    <row r="356" spans="1:9">
      <c r="A356" s="972">
        <f t="shared" si="34"/>
        <v>2020.11</v>
      </c>
      <c r="B356" s="1203">
        <f t="shared" si="37"/>
        <v>35812.159999999974</v>
      </c>
      <c r="C356" s="141">
        <v>333507.69</v>
      </c>
      <c r="D356" s="1203">
        <f t="shared" si="38"/>
        <v>2270.42</v>
      </c>
      <c r="E356" s="318">
        <v>13871.67</v>
      </c>
      <c r="F356" s="947">
        <v>20151.569426980001</v>
      </c>
      <c r="G356" s="1946">
        <f>SUM(F346:F356)</f>
        <v>230802.91260209004</v>
      </c>
      <c r="H356" s="947">
        <v>1014.33410854</v>
      </c>
      <c r="I356" s="2365">
        <f>SUM(H346:H356)</f>
        <v>6926.3894516199998</v>
      </c>
    </row>
    <row r="357" spans="1:9">
      <c r="A357" s="972">
        <f t="shared" si="34"/>
        <v>2020.12</v>
      </c>
      <c r="B357" s="1203">
        <f t="shared" si="37"/>
        <v>64681.989999999991</v>
      </c>
      <c r="C357" s="141">
        <v>398189.68</v>
      </c>
      <c r="D357" s="1203">
        <f t="shared" si="38"/>
        <v>8009.4800000000014</v>
      </c>
      <c r="E357" s="318">
        <v>21881.15</v>
      </c>
      <c r="F357" s="947">
        <v>35800.090024140001</v>
      </c>
      <c r="G357" s="1946">
        <f>SUM(F346:F357)</f>
        <v>266603.00262623007</v>
      </c>
      <c r="H357" s="947">
        <v>2030.36508185</v>
      </c>
      <c r="I357" s="2365">
        <f>SUM(H346:H357)</f>
        <v>8956.7545334700008</v>
      </c>
    </row>
    <row r="358" spans="1:9">
      <c r="A358" s="972">
        <f t="shared" si="34"/>
        <v>2021.01</v>
      </c>
      <c r="B358" s="2397">
        <f>C358</f>
        <v>34764.480000000003</v>
      </c>
      <c r="C358" s="141">
        <v>34764.480000000003</v>
      </c>
      <c r="D358" s="2397">
        <f>E358</f>
        <v>890.69</v>
      </c>
      <c r="E358" s="318">
        <v>890.69</v>
      </c>
      <c r="F358" s="947">
        <v>18605.167555159998</v>
      </c>
      <c r="G358" s="1946">
        <f>+F358</f>
        <v>18605.167555159998</v>
      </c>
      <c r="H358" s="947">
        <v>96.700657910000004</v>
      </c>
      <c r="I358" s="2365">
        <f>+H358</f>
        <v>96.700657910000004</v>
      </c>
    </row>
    <row r="359" spans="1:9">
      <c r="A359" s="972">
        <f t="shared" si="34"/>
        <v>2021.02</v>
      </c>
      <c r="B359" s="1203">
        <f>(C359-C358)</f>
        <v>36600.94999999999</v>
      </c>
      <c r="C359" s="141">
        <v>71365.429999999993</v>
      </c>
      <c r="D359" s="1203">
        <f t="shared" ref="D359:D417" si="39">E359-E358</f>
        <v>1164.19</v>
      </c>
      <c r="E359" s="318">
        <v>2054.88</v>
      </c>
      <c r="F359" s="947">
        <v>25168.960307310001</v>
      </c>
      <c r="G359" s="1946">
        <f>SUM(F358:F359)</f>
        <v>43774.127862469999</v>
      </c>
      <c r="H359" s="947">
        <v>1206.36541691</v>
      </c>
      <c r="I359" s="2365">
        <f>SUM(H358:H359)</f>
        <v>1303.06607482</v>
      </c>
    </row>
    <row r="360" spans="1:9">
      <c r="A360" s="972">
        <f t="shared" si="34"/>
        <v>2021.03</v>
      </c>
      <c r="B360" s="1203">
        <f t="shared" ref="B360:B417" si="40">(C360-C359)</f>
        <v>43484.3</v>
      </c>
      <c r="C360" s="141">
        <v>114849.73</v>
      </c>
      <c r="D360" s="1203">
        <f t="shared" si="39"/>
        <v>2783.74</v>
      </c>
      <c r="E360" s="318">
        <v>4838.62</v>
      </c>
      <c r="F360" s="947">
        <v>27650.823884730002</v>
      </c>
      <c r="G360" s="1946">
        <f>SUM(F358:F360)</f>
        <v>71424.951747200001</v>
      </c>
      <c r="H360" s="947">
        <v>1002.8739733</v>
      </c>
      <c r="I360" s="2365">
        <f>SUM(H358:H360)</f>
        <v>2305.94004812</v>
      </c>
    </row>
    <row r="361" spans="1:9">
      <c r="A361" s="972">
        <f t="shared" si="34"/>
        <v>2021.04</v>
      </c>
      <c r="B361" s="1203">
        <f t="shared" si="40"/>
        <v>44757.270000000004</v>
      </c>
      <c r="C361" s="141">
        <v>159607</v>
      </c>
      <c r="D361" s="1203">
        <f t="shared" si="39"/>
        <v>2656.09</v>
      </c>
      <c r="E361" s="318">
        <v>7494.71</v>
      </c>
      <c r="F361" s="947">
        <v>24724.35002727</v>
      </c>
      <c r="G361" s="1946">
        <f>SUM(F358:F361)</f>
        <v>96149.301774470005</v>
      </c>
      <c r="H361" s="947">
        <v>490.83763882</v>
      </c>
      <c r="I361" s="2365">
        <f>SUM(H358:H361)</f>
        <v>2796.77768694</v>
      </c>
    </row>
    <row r="362" spans="1:9">
      <c r="A362" s="972">
        <f t="shared" si="34"/>
        <v>2021.05</v>
      </c>
      <c r="B362" s="1203">
        <f t="shared" si="40"/>
        <v>44201.279999999999</v>
      </c>
      <c r="C362" s="141">
        <v>203808.28</v>
      </c>
      <c r="D362" s="1203">
        <f t="shared" si="39"/>
        <v>2649.4800000000005</v>
      </c>
      <c r="E362" s="318">
        <v>10144.19</v>
      </c>
      <c r="F362" s="947">
        <v>27220.84306453</v>
      </c>
      <c r="G362" s="1946">
        <f>SUM(F358:F362)</f>
        <v>123370.144839</v>
      </c>
      <c r="H362" s="947">
        <v>2170.1215422300002</v>
      </c>
      <c r="I362" s="2365">
        <f>SUM(H358:H362)</f>
        <v>4966.8992291699997</v>
      </c>
    </row>
    <row r="363" spans="1:9">
      <c r="A363" s="972">
        <f t="shared" si="34"/>
        <v>2021.06</v>
      </c>
      <c r="B363" s="1203">
        <f t="shared" si="40"/>
        <v>65841.139999999985</v>
      </c>
      <c r="C363" s="141">
        <v>269649.42</v>
      </c>
      <c r="D363" s="1203">
        <f t="shared" si="39"/>
        <v>3578.9799999999996</v>
      </c>
      <c r="E363" s="318">
        <v>13723.17</v>
      </c>
      <c r="F363" s="947">
        <v>38756.084132659998</v>
      </c>
      <c r="G363" s="1946">
        <f>SUM(F358:F363)</f>
        <v>162126.22897165999</v>
      </c>
      <c r="H363" s="947">
        <v>3421.3853174699998</v>
      </c>
      <c r="I363" s="2365">
        <f>SUM(H358:H363)</f>
        <v>8388.2845466399995</v>
      </c>
    </row>
    <row r="364" spans="1:9">
      <c r="A364" s="972">
        <f t="shared" si="34"/>
        <v>2021.07</v>
      </c>
      <c r="B364" s="1203">
        <f t="shared" si="40"/>
        <v>51374.660000000033</v>
      </c>
      <c r="C364" s="141">
        <v>321024.08</v>
      </c>
      <c r="D364" s="1203">
        <f t="shared" si="39"/>
        <v>3584.6499999999996</v>
      </c>
      <c r="E364" s="318">
        <v>17307.82</v>
      </c>
      <c r="F364" s="947">
        <v>29282.484132379999</v>
      </c>
      <c r="G364" s="1946">
        <f>SUM(F358:F364)</f>
        <v>191408.71310403998</v>
      </c>
      <c r="H364" s="947">
        <v>1123.0349402100001</v>
      </c>
      <c r="I364" s="2365">
        <f>SUM(H358:H364)</f>
        <v>9511.3194868499995</v>
      </c>
    </row>
    <row r="365" spans="1:9">
      <c r="A365" s="972">
        <f t="shared" si="34"/>
        <v>2021.08</v>
      </c>
      <c r="B365" s="1203">
        <f t="shared" si="40"/>
        <v>55056.76999999996</v>
      </c>
      <c r="C365" s="141">
        <v>376080.85</v>
      </c>
      <c r="D365" s="1203">
        <f t="shared" si="39"/>
        <v>4267.68</v>
      </c>
      <c r="E365" s="318">
        <v>21575.5</v>
      </c>
      <c r="F365" s="947">
        <v>27302.795021559999</v>
      </c>
      <c r="G365" s="1946">
        <f>SUM(F358:F365)</f>
        <v>218711.5081256</v>
      </c>
      <c r="H365" s="947">
        <v>1608.61674057</v>
      </c>
      <c r="I365" s="2365">
        <f>SUM(H358:H365)</f>
        <v>11119.936227419999</v>
      </c>
    </row>
    <row r="366" spans="1:9">
      <c r="A366" s="972">
        <f t="shared" si="34"/>
        <v>2021.09</v>
      </c>
      <c r="B366" s="1203">
        <f t="shared" si="40"/>
        <v>60700.23000000004</v>
      </c>
      <c r="C366" s="141">
        <v>436781.08</v>
      </c>
      <c r="D366" s="1203">
        <f t="shared" si="39"/>
        <v>5871.1100000000006</v>
      </c>
      <c r="E366" s="318">
        <v>27446.61</v>
      </c>
      <c r="F366" s="947">
        <v>27949.623254710001</v>
      </c>
      <c r="G366" s="1946">
        <f>SUM(F358:F366)</f>
        <v>246661.13138030999</v>
      </c>
      <c r="H366" s="947">
        <v>2140.4543336900001</v>
      </c>
      <c r="I366" s="2365">
        <f>SUM(H358:H366)</f>
        <v>13260.39056111</v>
      </c>
    </row>
    <row r="367" spans="1:9">
      <c r="A367" s="972">
        <f t="shared" si="34"/>
        <v>2021.1</v>
      </c>
      <c r="B367" s="1203">
        <f t="shared" si="40"/>
        <v>58682.839999999967</v>
      </c>
      <c r="C367" s="141">
        <v>495463.92</v>
      </c>
      <c r="D367" s="1203">
        <f t="shared" si="39"/>
        <v>3971.0699999999997</v>
      </c>
      <c r="E367" s="318">
        <v>31417.68</v>
      </c>
      <c r="F367" s="947">
        <v>30470.157214769999</v>
      </c>
      <c r="G367" s="1946">
        <f>SUM(F358:F367)</f>
        <v>277131.28859507997</v>
      </c>
      <c r="H367" s="947">
        <v>1730.5023213100001</v>
      </c>
      <c r="I367" s="2365">
        <f>SUM(H358:H367)</f>
        <v>14990.892882419999</v>
      </c>
    </row>
    <row r="368" spans="1:9">
      <c r="A368" s="972">
        <f t="shared" si="34"/>
        <v>2021.11</v>
      </c>
      <c r="B368" s="1203">
        <f t="shared" si="40"/>
        <v>66496.590000000026</v>
      </c>
      <c r="C368" s="141">
        <v>561960.51</v>
      </c>
      <c r="D368" s="1203">
        <f t="shared" si="39"/>
        <v>5533.4099999999962</v>
      </c>
      <c r="E368" s="318">
        <v>36951.089999999997</v>
      </c>
      <c r="F368" s="947">
        <v>36385.595330080003</v>
      </c>
      <c r="G368" s="1946">
        <f>SUM(F358:F368)</f>
        <v>313516.88392515999</v>
      </c>
      <c r="H368" s="947">
        <v>4841.4781511499996</v>
      </c>
      <c r="I368" s="2365">
        <f>SUM(H358:H368)</f>
        <v>19832.371033569998</v>
      </c>
    </row>
    <row r="369" spans="1:9">
      <c r="A369" s="972">
        <f t="shared" si="34"/>
        <v>2021.12</v>
      </c>
      <c r="B369" s="1203">
        <f t="shared" si="40"/>
        <v>90958.699999999953</v>
      </c>
      <c r="C369" s="141">
        <v>652919.21</v>
      </c>
      <c r="D369" s="1203">
        <f t="shared" si="39"/>
        <v>8306.1200000000026</v>
      </c>
      <c r="E369" s="318">
        <v>45257.21</v>
      </c>
      <c r="F369" s="947">
        <v>65453.92315178</v>
      </c>
      <c r="G369" s="1946">
        <f>SUM(F358:F369)</f>
        <v>378970.80707693996</v>
      </c>
      <c r="H369" s="947">
        <v>4787.1780722599997</v>
      </c>
      <c r="I369" s="2365">
        <f>SUM(H358:H369)</f>
        <v>24619.549105829996</v>
      </c>
    </row>
    <row r="370" spans="1:9">
      <c r="A370" s="972">
        <f t="shared" si="34"/>
        <v>2022.01</v>
      </c>
      <c r="B370" s="2397">
        <f>C370</f>
        <v>56729.61</v>
      </c>
      <c r="C370" s="141">
        <v>56729.61</v>
      </c>
      <c r="D370" s="2397">
        <f>E370</f>
        <v>1659.06</v>
      </c>
      <c r="E370" s="318">
        <v>1659.06</v>
      </c>
      <c r="F370" s="947">
        <v>39957.439627</v>
      </c>
      <c r="G370" s="1946">
        <f>+F370</f>
        <v>39957.439627</v>
      </c>
      <c r="H370" s="947">
        <v>864.24486784999999</v>
      </c>
      <c r="I370" s="2365">
        <f>+H370</f>
        <v>864.24486784999999</v>
      </c>
    </row>
    <row r="371" spans="1:9">
      <c r="A371" s="972">
        <f t="shared" si="34"/>
        <v>2022.02</v>
      </c>
      <c r="B371" s="1203">
        <f>(C371-C370)</f>
        <v>63879.149999999994</v>
      </c>
      <c r="C371" s="141">
        <v>120608.76</v>
      </c>
      <c r="D371" s="1203">
        <f>E371-E370</f>
        <v>3882.9900000000002</v>
      </c>
      <c r="E371" s="318">
        <v>5542.05</v>
      </c>
      <c r="F371" s="947">
        <v>38514.448124529998</v>
      </c>
      <c r="G371" s="1946">
        <f>SUM(F370:F371)</f>
        <v>78471.887751529997</v>
      </c>
      <c r="H371" s="947">
        <v>1324.80728421</v>
      </c>
      <c r="I371" s="2365">
        <f>SUM(H370:H371)</f>
        <v>2189.05215206</v>
      </c>
    </row>
    <row r="372" spans="1:9">
      <c r="A372" s="972">
        <f t="shared" si="34"/>
        <v>2022.03</v>
      </c>
      <c r="B372" s="1203">
        <f>(C372-C371)</f>
        <v>76482.690000000017</v>
      </c>
      <c r="C372" s="141">
        <v>197091.45</v>
      </c>
      <c r="D372" s="1203">
        <f>E372-E371</f>
        <v>5738.56</v>
      </c>
      <c r="E372" s="318">
        <v>11280.61</v>
      </c>
      <c r="F372" s="947">
        <v>52358.219979720001</v>
      </c>
      <c r="G372" s="1946">
        <f>SUM(F370:F372)</f>
        <v>130830.10773125</v>
      </c>
      <c r="H372" s="947">
        <v>3660.2963379399998</v>
      </c>
      <c r="I372" s="2365">
        <f>SUM(H370:H372)</f>
        <v>5849.3484900000003</v>
      </c>
    </row>
    <row r="373" spans="1:9">
      <c r="A373" s="972">
        <f t="shared" si="34"/>
        <v>2022.04</v>
      </c>
      <c r="B373" s="1203">
        <f>(C373-C372)</f>
        <v>78900.700000000012</v>
      </c>
      <c r="C373" s="141">
        <v>275992.15000000002</v>
      </c>
      <c r="D373" s="1203">
        <f t="shared" si="39"/>
        <v>5091.2099999999991</v>
      </c>
      <c r="E373" s="318">
        <v>16371.82</v>
      </c>
      <c r="F373" s="947">
        <v>47074.585633709998</v>
      </c>
      <c r="G373" s="1946">
        <f>SUM(F370:F373)</f>
        <v>177904.69336496</v>
      </c>
      <c r="H373" s="947">
        <v>2030.3912208199999</v>
      </c>
      <c r="I373" s="2365">
        <f>SUM(H370:H373)</f>
        <v>7879.7397108200003</v>
      </c>
    </row>
    <row r="374" spans="1:9">
      <c r="A374" s="972">
        <f t="shared" si="34"/>
        <v>2022.05</v>
      </c>
      <c r="B374" s="1203">
        <f>(C374-C373)</f>
        <v>83225.299999999988</v>
      </c>
      <c r="C374" s="141">
        <v>359217.45</v>
      </c>
      <c r="D374" s="1203">
        <f t="shared" si="39"/>
        <v>6957.23</v>
      </c>
      <c r="E374" s="318">
        <v>23329.05</v>
      </c>
      <c r="F374" s="947">
        <v>51993.223142750001</v>
      </c>
      <c r="G374" s="1946">
        <f>SUM(F370:F374)</f>
        <v>229897.91650771</v>
      </c>
      <c r="H374" s="947">
        <v>1111.8300865900001</v>
      </c>
      <c r="I374" s="2365">
        <f>SUM(H370:H374)</f>
        <v>8991.5697974100003</v>
      </c>
    </row>
    <row r="375" spans="1:9">
      <c r="A375" s="972">
        <f t="shared" si="34"/>
        <v>2022.06</v>
      </c>
      <c r="B375" s="1203">
        <f t="shared" si="40"/>
        <v>114054.96999999997</v>
      </c>
      <c r="C375" s="141">
        <v>473272.42</v>
      </c>
      <c r="D375" s="1203">
        <f t="shared" si="39"/>
        <v>7917.369999999999</v>
      </c>
      <c r="E375" s="318">
        <v>31246.42</v>
      </c>
      <c r="F375" s="947">
        <v>66915.458495269995</v>
      </c>
      <c r="G375" s="1946">
        <f>SUM(F370:F375)</f>
        <v>296813.37500298</v>
      </c>
      <c r="H375" s="947">
        <v>2965.24580139</v>
      </c>
      <c r="I375" s="2365">
        <f>SUM(H370:H375)</f>
        <v>11956.8155988</v>
      </c>
    </row>
    <row r="376" spans="1:9">
      <c r="A376" s="972">
        <f t="shared" si="34"/>
        <v>2022.07</v>
      </c>
      <c r="B376" s="1203">
        <f t="shared" si="40"/>
        <v>89215.710000000021</v>
      </c>
      <c r="C376" s="141">
        <v>562488.13</v>
      </c>
      <c r="D376" s="1203">
        <f t="shared" si="39"/>
        <v>9489.4100000000035</v>
      </c>
      <c r="E376" s="318">
        <v>40735.83</v>
      </c>
      <c r="F376" s="947">
        <v>59811.77344443</v>
      </c>
      <c r="G376" s="1946">
        <f>SUM(F370:F376)</f>
        <v>356625.14844740997</v>
      </c>
      <c r="H376" s="947">
        <v>1960.07084035</v>
      </c>
      <c r="I376" s="2365">
        <f>SUM(H370:H376)</f>
        <v>13916.886439149999</v>
      </c>
    </row>
    <row r="377" spans="1:9">
      <c r="A377" s="972">
        <f t="shared" si="34"/>
        <v>2022.08</v>
      </c>
      <c r="B377" s="1203">
        <f t="shared" si="40"/>
        <v>95085.62</v>
      </c>
      <c r="C377" s="141">
        <v>657573.75</v>
      </c>
      <c r="D377" s="1203">
        <f t="shared" si="39"/>
        <v>5770.82</v>
      </c>
      <c r="E377" s="318">
        <v>46506.65</v>
      </c>
      <c r="F377" s="947">
        <v>57535.675019970004</v>
      </c>
      <c r="G377" s="1946">
        <f>SUM(F370:F377)</f>
        <v>414160.82346737996</v>
      </c>
      <c r="H377" s="947">
        <v>1785.73475179</v>
      </c>
      <c r="I377" s="2365">
        <f>SUM(H370:H377)</f>
        <v>15702.621190939999</v>
      </c>
    </row>
    <row r="378" spans="1:9">
      <c r="A378" s="972">
        <f t="shared" si="34"/>
        <v>2022.09</v>
      </c>
      <c r="B378" s="1203">
        <f t="shared" si="40"/>
        <v>108727.37</v>
      </c>
      <c r="C378" s="141">
        <v>766301.12</v>
      </c>
      <c r="D378" s="1203">
        <f t="shared" si="39"/>
        <v>9769.9099999999962</v>
      </c>
      <c r="E378" s="318">
        <v>56276.56</v>
      </c>
      <c r="F378" s="947">
        <v>61235.62437582</v>
      </c>
      <c r="G378" s="1946">
        <f>SUM(F370:F378)</f>
        <v>475396.44784319995</v>
      </c>
      <c r="H378" s="947">
        <v>3804.5060427100002</v>
      </c>
      <c r="I378" s="2365">
        <f>SUM(H370:H378)</f>
        <v>19507.127233650001</v>
      </c>
    </row>
    <row r="379" spans="1:9">
      <c r="A379" s="972">
        <f t="shared" si="34"/>
        <v>2022.1</v>
      </c>
      <c r="B379" s="1203">
        <f t="shared" si="40"/>
        <v>123295.39000000001</v>
      </c>
      <c r="C379" s="141">
        <v>889596.51</v>
      </c>
      <c r="D379" s="1203">
        <f t="shared" si="39"/>
        <v>8493.82</v>
      </c>
      <c r="E379" s="318">
        <v>64770.38</v>
      </c>
      <c r="F379" s="947">
        <v>64714.058067530001</v>
      </c>
      <c r="G379" s="1946">
        <f>SUM(F370:F379)</f>
        <v>540110.50591072999</v>
      </c>
      <c r="H379" s="947">
        <v>1463.5384575400001</v>
      </c>
      <c r="I379" s="2365">
        <f>SUM(H370:H379)</f>
        <v>20970.665691189999</v>
      </c>
    </row>
    <row r="380" spans="1:9">
      <c r="A380" s="972">
        <f t="shared" si="34"/>
        <v>2022.11</v>
      </c>
      <c r="B380" s="1203">
        <f>(C380-C379)</f>
        <v>139411.05000000005</v>
      </c>
      <c r="C380" s="141">
        <v>1029007.56</v>
      </c>
      <c r="D380" s="1203">
        <f t="shared" si="39"/>
        <v>12142.79</v>
      </c>
      <c r="E380" s="318">
        <v>76913.17</v>
      </c>
      <c r="F380" s="947">
        <v>68752.424992760003</v>
      </c>
      <c r="G380" s="1946">
        <f>SUM(F370:F380)</f>
        <v>608862.93090348993</v>
      </c>
      <c r="H380" s="947">
        <v>2011.7181800799999</v>
      </c>
      <c r="I380" s="2365">
        <f>SUM(H370:H380)</f>
        <v>22982.383871269998</v>
      </c>
    </row>
    <row r="381" spans="1:9">
      <c r="A381" s="972">
        <f t="shared" si="34"/>
        <v>2022.12</v>
      </c>
      <c r="B381" s="1203">
        <f>(C381-C380)</f>
        <v>149194.40999999992</v>
      </c>
      <c r="C381" s="141">
        <v>1178201.97</v>
      </c>
      <c r="D381" s="1203">
        <f t="shared" si="39"/>
        <v>13838.949999999997</v>
      </c>
      <c r="E381" s="318">
        <v>90752.12</v>
      </c>
      <c r="F381" s="947">
        <v>99133.397894840004</v>
      </c>
      <c r="G381" s="1946">
        <f>SUM(F370:F381)</f>
        <v>707996.32879832992</v>
      </c>
      <c r="H381" s="947">
        <v>5677.2557636700003</v>
      </c>
      <c r="I381" s="2365">
        <f>SUM(H370:H381)</f>
        <v>28659.639634939998</v>
      </c>
    </row>
    <row r="382" spans="1:9">
      <c r="A382" s="972">
        <f t="shared" si="34"/>
        <v>2023.01</v>
      </c>
      <c r="B382" s="2397">
        <f>C382</f>
        <v>138313.60000000001</v>
      </c>
      <c r="C382" s="141">
        <v>138313.60000000001</v>
      </c>
      <c r="D382" s="2397">
        <f>E382</f>
        <v>13511.67</v>
      </c>
      <c r="E382" s="318">
        <v>13511.67</v>
      </c>
      <c r="F382" s="947">
        <v>75792.215277320007</v>
      </c>
      <c r="G382" s="1946">
        <f>+F382</f>
        <v>75792.215277320007</v>
      </c>
      <c r="H382" s="947">
        <v>373.51339245000003</v>
      </c>
      <c r="I382" s="2365">
        <f>+H382</f>
        <v>373.51339245000003</v>
      </c>
    </row>
    <row r="383" spans="1:9">
      <c r="A383" s="972">
        <f t="shared" si="34"/>
        <v>2023.02</v>
      </c>
      <c r="B383" s="1203">
        <f t="shared" si="40"/>
        <v>130684.79000000001</v>
      </c>
      <c r="C383" s="141">
        <v>268998.39</v>
      </c>
      <c r="D383" s="1203">
        <f t="shared" si="39"/>
        <v>6843.9400000000005</v>
      </c>
      <c r="E383" s="318">
        <v>20355.61</v>
      </c>
      <c r="F383" s="947">
        <v>76722.699174499998</v>
      </c>
      <c r="G383" s="1946">
        <f>SUM(F382:F383)</f>
        <v>152514.91445182002</v>
      </c>
      <c r="H383" s="947">
        <v>3532.72221012</v>
      </c>
      <c r="I383" s="2365">
        <f>SUM(H382:H383)</f>
        <v>3906.2356025700001</v>
      </c>
    </row>
    <row r="384" spans="1:9">
      <c r="A384" s="972">
        <f t="shared" si="34"/>
        <v>2023.03</v>
      </c>
      <c r="B384" s="1203">
        <f t="shared" si="40"/>
        <v>168836.27999999997</v>
      </c>
      <c r="C384" s="141">
        <v>437834.67</v>
      </c>
      <c r="D384" s="1203">
        <f t="shared" si="39"/>
        <v>15333.479999999996</v>
      </c>
      <c r="E384" s="318">
        <v>35689.089999999997</v>
      </c>
      <c r="F384" s="947">
        <v>82346.862346969996</v>
      </c>
      <c r="G384" s="1946">
        <f>SUM(F382:F384)</f>
        <v>234861.77679879003</v>
      </c>
      <c r="H384" s="947">
        <v>15257.57603061</v>
      </c>
      <c r="I384" s="2365">
        <f>SUM(H382:H384)</f>
        <v>19163.811633180001</v>
      </c>
    </row>
    <row r="385" spans="1:9">
      <c r="A385" s="972">
        <f t="shared" si="34"/>
        <v>2023.04</v>
      </c>
      <c r="B385" s="1203">
        <f t="shared" si="40"/>
        <v>158783.01000000007</v>
      </c>
      <c r="C385" s="141">
        <v>596617.68000000005</v>
      </c>
      <c r="D385" s="1203">
        <f t="shared" si="39"/>
        <v>12403.270000000004</v>
      </c>
      <c r="E385" s="318">
        <v>48092.36</v>
      </c>
      <c r="F385" s="947">
        <v>87594.079824429995</v>
      </c>
      <c r="G385" s="1946">
        <f>SUM(F382:F385)</f>
        <v>322455.85662322002</v>
      </c>
      <c r="H385" s="947">
        <v>4908.8186418200003</v>
      </c>
      <c r="I385" s="2365">
        <f>SUM(H382:H385)</f>
        <v>24072.630275000003</v>
      </c>
    </row>
    <row r="386" spans="1:9">
      <c r="A386" s="972">
        <f t="shared" si="34"/>
        <v>2023.05</v>
      </c>
      <c r="B386" s="1203">
        <f t="shared" si="40"/>
        <v>176244.58999999997</v>
      </c>
      <c r="C386" s="141">
        <v>772862.27</v>
      </c>
      <c r="D386" s="1203">
        <f t="shared" si="39"/>
        <v>8760.1599999999962</v>
      </c>
      <c r="E386" s="318">
        <v>56852.52</v>
      </c>
      <c r="F386" s="947">
        <v>91088.771233969994</v>
      </c>
      <c r="G386" s="1946">
        <f>SUM(F382:F386)</f>
        <v>413544.62785719003</v>
      </c>
      <c r="H386" s="947">
        <v>4405.79796738</v>
      </c>
      <c r="I386" s="2365">
        <f>SUM(H382:H386)</f>
        <v>28478.428242380003</v>
      </c>
    </row>
    <row r="387" spans="1:9">
      <c r="A387" s="972">
        <f t="shared" si="34"/>
        <v>2023.06</v>
      </c>
      <c r="B387" s="1203">
        <f t="shared" si="40"/>
        <v>233662.83999999997</v>
      </c>
      <c r="C387" s="141">
        <v>1006525.11</v>
      </c>
      <c r="D387" s="1203">
        <f t="shared" si="39"/>
        <v>12180.80000000001</v>
      </c>
      <c r="E387" s="318">
        <v>69033.320000000007</v>
      </c>
      <c r="F387" s="947">
        <v>140967.84458889</v>
      </c>
      <c r="G387" s="1946">
        <f>SUM(F382:F387)</f>
        <v>554512.47244608006</v>
      </c>
      <c r="H387" s="947">
        <v>5683.9568765699996</v>
      </c>
      <c r="I387" s="2365">
        <f>SUM(H382:H387)</f>
        <v>34162.385118950006</v>
      </c>
    </row>
    <row r="388" spans="1:9">
      <c r="A388" s="972">
        <f t="shared" si="34"/>
        <v>2023.07</v>
      </c>
      <c r="B388" s="1203">
        <f t="shared" si="40"/>
        <v>211097.4800000001</v>
      </c>
      <c r="C388" s="141">
        <v>1217622.5900000001</v>
      </c>
      <c r="D388" s="1203">
        <f t="shared" si="39"/>
        <v>10112.369999999995</v>
      </c>
      <c r="E388" s="318">
        <v>79145.69</v>
      </c>
      <c r="F388" s="947">
        <v>99884.09102485</v>
      </c>
      <c r="G388" s="1946">
        <f>SUM(F382:F388)</f>
        <v>654396.56347093009</v>
      </c>
      <c r="H388" s="947">
        <v>301.47816036</v>
      </c>
      <c r="I388" s="2365">
        <f>SUM(H382:H388)</f>
        <v>34463.863279310004</v>
      </c>
    </row>
    <row r="389" spans="1:9">
      <c r="A389" s="972">
        <f t="shared" si="34"/>
        <v>2023.08</v>
      </c>
      <c r="B389" s="1203">
        <f t="shared" si="40"/>
        <v>244067.69999999995</v>
      </c>
      <c r="C389" s="141">
        <v>1461690.29</v>
      </c>
      <c r="D389" s="1203">
        <f t="shared" si="39"/>
        <v>14883.5</v>
      </c>
      <c r="E389" s="318">
        <v>94029.19</v>
      </c>
      <c r="F389" s="947">
        <v>113720.17113510999</v>
      </c>
      <c r="G389" s="1946">
        <f>SUM(F382:F389)</f>
        <v>768116.73460604006</v>
      </c>
      <c r="H389" s="947">
        <v>4526.4894911800002</v>
      </c>
      <c r="I389" s="2365">
        <f>SUM(H382:H389)</f>
        <v>38990.352770490004</v>
      </c>
    </row>
    <row r="390" spans="1:9">
      <c r="A390" s="972">
        <f t="shared" si="34"/>
        <v>2023.09</v>
      </c>
      <c r="B390" s="1203">
        <f t="shared" si="40"/>
        <v>253970</v>
      </c>
      <c r="C390" s="141">
        <v>1715660.29</v>
      </c>
      <c r="D390" s="1203">
        <f t="shared" si="39"/>
        <v>10529.759999999995</v>
      </c>
      <c r="E390" s="318">
        <v>104558.95</v>
      </c>
      <c r="F390" s="947">
        <v>136949.63002827001</v>
      </c>
      <c r="G390" s="1946">
        <f>SUM(F382:F390)</f>
        <v>905066.36463431013</v>
      </c>
      <c r="H390" s="947">
        <v>6929.2000141400003</v>
      </c>
      <c r="I390" s="2365">
        <f>SUM(H382:H390)</f>
        <v>45919.552784630003</v>
      </c>
    </row>
    <row r="391" spans="1:9">
      <c r="A391" s="972">
        <f t="shared" si="34"/>
        <v>2023.1</v>
      </c>
      <c r="B391" s="1203">
        <f t="shared" si="40"/>
        <v>280565.18999999994</v>
      </c>
      <c r="C391" s="141">
        <v>1996225.48</v>
      </c>
      <c r="D391" s="1203">
        <f t="shared" si="39"/>
        <v>14092.270000000004</v>
      </c>
      <c r="E391" s="318">
        <v>118651.22</v>
      </c>
      <c r="F391" s="947">
        <v>135872.53865286999</v>
      </c>
      <c r="G391" s="1946">
        <f>SUM(F382:F391)</f>
        <v>1040938.9032871801</v>
      </c>
      <c r="H391" s="947">
        <v>5697.7470206999997</v>
      </c>
      <c r="I391" s="2365">
        <f>SUM(H382:H391)</f>
        <v>51617.299805330003</v>
      </c>
    </row>
    <row r="392" spans="1:9">
      <c r="A392" s="972">
        <f t="shared" si="34"/>
        <v>2023.11</v>
      </c>
      <c r="B392" s="1203">
        <f t="shared" si="40"/>
        <v>295982.31999999983</v>
      </c>
      <c r="C392" s="141">
        <v>2292207.7999999998</v>
      </c>
      <c r="D392" s="1203">
        <f t="shared" si="39"/>
        <v>10152.899999999994</v>
      </c>
      <c r="E392" s="318">
        <v>128804.12</v>
      </c>
      <c r="F392" s="947">
        <v>134342.31680321001</v>
      </c>
      <c r="G392" s="1946">
        <f>SUM(F382:F392)</f>
        <v>1175281.2200903902</v>
      </c>
      <c r="H392" s="947">
        <v>7177.92699997</v>
      </c>
      <c r="I392" s="2365">
        <f>SUM(H382:H392)</f>
        <v>58795.226805300001</v>
      </c>
    </row>
    <row r="393" spans="1:9">
      <c r="A393" s="972">
        <f t="shared" si="34"/>
        <v>2023.12</v>
      </c>
      <c r="B393" s="1203">
        <f t="shared" si="40"/>
        <v>476502.41000000015</v>
      </c>
      <c r="C393" s="141">
        <v>2768710.21</v>
      </c>
      <c r="D393" s="1203">
        <f t="shared" si="39"/>
        <v>36367.739999999991</v>
      </c>
      <c r="E393" s="318">
        <v>165171.85999999999</v>
      </c>
      <c r="F393" s="947">
        <v>244299.21858436</v>
      </c>
      <c r="G393" s="1946">
        <f>SUM(F382:F393)</f>
        <v>1419580.4386747503</v>
      </c>
      <c r="H393" s="947">
        <v>5526.7958800699998</v>
      </c>
      <c r="I393" s="2365">
        <f>SUM(H382:H393)</f>
        <v>64322.022685370001</v>
      </c>
    </row>
    <row r="394" spans="1:9">
      <c r="A394" s="972">
        <f t="shared" ref="A394:A457" si="41">A382+1</f>
        <v>2024.01</v>
      </c>
      <c r="B394" s="2397">
        <f>C394</f>
        <v>315504.78000000003</v>
      </c>
      <c r="C394" s="141">
        <v>315504.78000000003</v>
      </c>
      <c r="D394" s="2397">
        <f>E394</f>
        <v>3689.07</v>
      </c>
      <c r="E394" s="318">
        <v>3689.07</v>
      </c>
      <c r="F394" s="947">
        <v>157916.10926061001</v>
      </c>
      <c r="G394" s="1946">
        <f>+F394</f>
        <v>157916.10926061001</v>
      </c>
      <c r="H394" s="947">
        <v>284.39497116000001</v>
      </c>
      <c r="I394" s="2365">
        <f>+H394</f>
        <v>284.39497116000001</v>
      </c>
    </row>
    <row r="395" spans="1:9">
      <c r="A395" s="972">
        <f t="shared" si="41"/>
        <v>2024.02</v>
      </c>
      <c r="B395" s="1203">
        <f t="shared" si="40"/>
        <v>391212.53999999992</v>
      </c>
      <c r="C395" s="141">
        <v>706717.32</v>
      </c>
      <c r="D395" s="1203">
        <f t="shared" si="39"/>
        <v>9698.56</v>
      </c>
      <c r="E395" s="318">
        <v>13387.63</v>
      </c>
      <c r="F395" s="947">
        <v>172595.44940946999</v>
      </c>
      <c r="G395" s="1946">
        <f>SUM(F394:F395)</f>
        <v>330511.55867008003</v>
      </c>
      <c r="H395" s="947">
        <v>1289.69728846</v>
      </c>
      <c r="I395" s="2365">
        <f>SUM(H394:H395)</f>
        <v>1574.09225962</v>
      </c>
    </row>
    <row r="396" spans="1:9">
      <c r="A396" s="972">
        <f t="shared" si="41"/>
        <v>2024.03</v>
      </c>
      <c r="B396" s="1203">
        <f t="shared" si="40"/>
        <v>461541.20000000007</v>
      </c>
      <c r="C396" s="141">
        <v>1168258.52</v>
      </c>
      <c r="D396" s="1203">
        <f t="shared" si="39"/>
        <v>40014.670000000006</v>
      </c>
      <c r="E396" s="318">
        <v>53402.3</v>
      </c>
      <c r="F396" s="947">
        <v>251222.83445083001</v>
      </c>
      <c r="G396" s="1946">
        <f>SUM(F394:F396)</f>
        <v>581734.39312091004</v>
      </c>
      <c r="H396" s="947">
        <v>1779.0283041499999</v>
      </c>
      <c r="I396" s="2365">
        <f>SUM(H394:H396)</f>
        <v>3353.12056377</v>
      </c>
    </row>
    <row r="397" spans="1:9">
      <c r="A397" s="972">
        <f t="shared" si="41"/>
        <v>2024.04</v>
      </c>
      <c r="B397" s="1203">
        <f t="shared" si="40"/>
        <v>504483.75</v>
      </c>
      <c r="C397" s="141">
        <v>1672742.27</v>
      </c>
      <c r="D397" s="1203">
        <f t="shared" si="39"/>
        <v>31378.12999999999</v>
      </c>
      <c r="E397" s="318">
        <v>84780.43</v>
      </c>
      <c r="F397" s="947">
        <v>236670.58874211999</v>
      </c>
      <c r="G397" s="1946">
        <f>SUM(F394:F397)</f>
        <v>818404.98186303</v>
      </c>
      <c r="H397" s="947">
        <v>455.45465530000001</v>
      </c>
      <c r="I397" s="2365">
        <f>SUM(H394:H397)</f>
        <v>3808.57521907</v>
      </c>
    </row>
    <row r="398" spans="1:9">
      <c r="A398" s="972">
        <f t="shared" si="41"/>
        <v>2024.05</v>
      </c>
      <c r="B398" s="1203">
        <f t="shared" si="40"/>
        <v>606112.58999999985</v>
      </c>
      <c r="C398" s="141">
        <v>2278854.86</v>
      </c>
      <c r="D398" s="1203">
        <f t="shared" si="39"/>
        <v>42577.100000000006</v>
      </c>
      <c r="E398" s="318">
        <v>127357.53</v>
      </c>
      <c r="F398" s="947">
        <v>253541.65448812</v>
      </c>
      <c r="G398" s="1946">
        <f>SUM(F394:F398)</f>
        <v>1071946.63635115</v>
      </c>
      <c r="H398" s="947">
        <v>650.24197532999995</v>
      </c>
      <c r="I398" s="2365">
        <f>SUM(H394:H398)</f>
        <v>4458.8171943999996</v>
      </c>
    </row>
    <row r="399" spans="1:9">
      <c r="A399" s="972">
        <f t="shared" si="41"/>
        <v>2024.06</v>
      </c>
      <c r="B399" s="1203">
        <f t="shared" si="40"/>
        <v>728296.34000000032</v>
      </c>
      <c r="C399" s="141">
        <v>3007151.2</v>
      </c>
      <c r="D399" s="1203">
        <f t="shared" si="39"/>
        <v>32108.040000000008</v>
      </c>
      <c r="E399" s="318">
        <v>159465.57</v>
      </c>
      <c r="F399" s="947">
        <v>401988.90173630998</v>
      </c>
      <c r="G399" s="1946">
        <f>SUM(F394:F399)</f>
        <v>1473935.53808746</v>
      </c>
      <c r="H399" s="947">
        <v>1092.6306919000001</v>
      </c>
      <c r="I399" s="2365">
        <f>SUM(H394:H399)</f>
        <v>5551.4478862999995</v>
      </c>
    </row>
    <row r="400" spans="1:9">
      <c r="A400" s="972">
        <f t="shared" si="41"/>
        <v>2024.07</v>
      </c>
      <c r="B400" s="1203">
        <f t="shared" si="40"/>
        <v>649886.89999999991</v>
      </c>
      <c r="C400" s="141">
        <v>3657038.1</v>
      </c>
      <c r="D400" s="1203">
        <f t="shared" si="39"/>
        <v>70110.429999999993</v>
      </c>
      <c r="E400" s="318">
        <v>229576</v>
      </c>
      <c r="F400" s="947">
        <v>306380.59080261999</v>
      </c>
      <c r="G400" s="1946">
        <f>SUM(F394:F400)</f>
        <v>1780316.1288900799</v>
      </c>
      <c r="H400" s="947">
        <v>1041.34902685</v>
      </c>
      <c r="I400" s="2365">
        <f>SUM(H394:H400)</f>
        <v>6592.7969131499995</v>
      </c>
    </row>
    <row r="401" spans="1:9">
      <c r="A401" s="972">
        <f t="shared" si="41"/>
        <v>2024.08</v>
      </c>
      <c r="B401" s="1203">
        <f t="shared" si="40"/>
        <v>687355.34000000032</v>
      </c>
      <c r="C401" s="141">
        <v>4344393.4400000004</v>
      </c>
      <c r="D401" s="1203">
        <f t="shared" si="39"/>
        <v>71266.349999999977</v>
      </c>
      <c r="E401" s="318">
        <v>300842.34999999998</v>
      </c>
      <c r="F401" s="947">
        <v>318228.09776118997</v>
      </c>
      <c r="G401" s="1946">
        <f>SUM(F394:F401)</f>
        <v>2098544.2266512699</v>
      </c>
      <c r="H401" s="947">
        <v>6054.5977904900001</v>
      </c>
      <c r="I401" s="2365">
        <f>SUM(H394:H401)</f>
        <v>12647.394703639999</v>
      </c>
    </row>
    <row r="402" spans="1:9">
      <c r="A402" s="972">
        <f t="shared" si="41"/>
        <v>2024.09</v>
      </c>
      <c r="B402" s="1203">
        <f t="shared" si="40"/>
        <v>693179.06999999937</v>
      </c>
      <c r="C402" s="141">
        <v>5037572.51</v>
      </c>
      <c r="D402" s="1203">
        <f t="shared" si="39"/>
        <v>71041.650000000023</v>
      </c>
      <c r="E402" s="318">
        <v>371884</v>
      </c>
      <c r="F402" s="947">
        <v>332725.61543995002</v>
      </c>
      <c r="G402" s="1946">
        <f>SUM(F394:F402)</f>
        <v>2431269.84209122</v>
      </c>
      <c r="H402" s="947">
        <v>5828.1356201299996</v>
      </c>
      <c r="I402" s="2365">
        <f>SUM(H394:H402)</f>
        <v>18475.530323769999</v>
      </c>
    </row>
    <row r="403" spans="1:9">
      <c r="A403" s="972">
        <f t="shared" si="41"/>
        <v>2024.1</v>
      </c>
      <c r="B403" s="1203">
        <f t="shared" si="40"/>
        <v>750862.35000000056</v>
      </c>
      <c r="C403" s="141">
        <v>5788434.8600000003</v>
      </c>
      <c r="D403" s="1203">
        <f t="shared" si="39"/>
        <v>73149.039999999979</v>
      </c>
      <c r="E403" s="318">
        <v>445033.04</v>
      </c>
      <c r="F403" s="947">
        <v>338092.01500448998</v>
      </c>
      <c r="G403" s="1946">
        <f>SUM(F394:F403)</f>
        <v>2769361.85709571</v>
      </c>
      <c r="H403" s="947">
        <v>2478.8677225500001</v>
      </c>
      <c r="I403" s="2365">
        <f>SUM(H394:H403)</f>
        <v>20954.398046319999</v>
      </c>
    </row>
    <row r="404" spans="1:9">
      <c r="A404" s="972">
        <f t="shared" si="41"/>
        <v>2024.11</v>
      </c>
      <c r="B404" s="1203">
        <f t="shared" si="40"/>
        <v>748234.47999999952</v>
      </c>
      <c r="C404" s="141">
        <v>6536669.3399999999</v>
      </c>
      <c r="D404" s="1203">
        <f t="shared" si="39"/>
        <v>80798.919999999984</v>
      </c>
      <c r="E404" s="318">
        <v>525831.96</v>
      </c>
      <c r="F404" s="947">
        <v>354938.92297814001</v>
      </c>
      <c r="G404" s="1946">
        <f>SUM(F394:F404)</f>
        <v>3124300.7800738499</v>
      </c>
      <c r="H404" s="947">
        <v>6328.58827604</v>
      </c>
      <c r="I404" s="2365">
        <f>SUM(H394:H404)</f>
        <v>27282.986322359997</v>
      </c>
    </row>
    <row r="405" spans="1:9">
      <c r="A405" s="972">
        <f t="shared" si="41"/>
        <v>2024.12</v>
      </c>
      <c r="B405" s="1203">
        <f t="shared" si="40"/>
        <v>1131359.9500000002</v>
      </c>
      <c r="C405" s="141">
        <v>7668029.29</v>
      </c>
      <c r="D405" s="1203">
        <f t="shared" si="39"/>
        <v>143712.47000000009</v>
      </c>
      <c r="E405" s="318">
        <v>669544.43000000005</v>
      </c>
      <c r="F405" s="947">
        <v>510778.31537112</v>
      </c>
      <c r="G405" s="1946">
        <f>SUM(F394:F405)</f>
        <v>3635079.0954449698</v>
      </c>
      <c r="H405" s="947">
        <v>6370.7968575599998</v>
      </c>
      <c r="I405" s="2365">
        <f>SUM(H394:H405)</f>
        <v>33653.783179919999</v>
      </c>
    </row>
    <row r="406" spans="1:9">
      <c r="A406" s="972">
        <f t="shared" si="41"/>
        <v>2025.01</v>
      </c>
      <c r="B406" s="2397">
        <f>C406</f>
        <v>758788.59</v>
      </c>
      <c r="C406" s="141">
        <v>758788.59</v>
      </c>
      <c r="D406" s="2397">
        <f>E406</f>
        <v>72885.399999999994</v>
      </c>
      <c r="E406" s="318">
        <v>72885.399999999994</v>
      </c>
      <c r="F406" s="947">
        <v>360538.70879607002</v>
      </c>
      <c r="G406" s="1946">
        <f>+F406</f>
        <v>360538.70879607002</v>
      </c>
      <c r="H406" s="947">
        <v>3503.9144921299999</v>
      </c>
      <c r="I406" s="2365">
        <f>+H406</f>
        <v>3503.9144921299999</v>
      </c>
    </row>
    <row r="407" spans="1:9">
      <c r="A407" s="972">
        <f t="shared" si="41"/>
        <v>2025.02</v>
      </c>
      <c r="B407" s="1203">
        <f t="shared" si="40"/>
        <v>821309.14</v>
      </c>
      <c r="C407" s="141">
        <v>1580097.73</v>
      </c>
      <c r="D407" s="1203">
        <f t="shared" si="39"/>
        <v>68097.279999999999</v>
      </c>
      <c r="E407" s="318">
        <v>140982.68</v>
      </c>
      <c r="F407" s="947">
        <v>374750.65369622997</v>
      </c>
      <c r="G407" s="1946">
        <f>SUM(F406:F407)</f>
        <v>735289.36249229999</v>
      </c>
      <c r="H407" s="947">
        <v>2381.1760761300002</v>
      </c>
      <c r="I407" s="2365">
        <f>SUM(H406:H407)</f>
        <v>5885.0905682600005</v>
      </c>
    </row>
    <row r="408" spans="1:9">
      <c r="A408" s="972">
        <f t="shared" si="41"/>
        <v>2025.03</v>
      </c>
      <c r="B408" s="1203">
        <f t="shared" si="40"/>
        <v>807490.87000000011</v>
      </c>
      <c r="C408" s="141">
        <v>2387588.6</v>
      </c>
      <c r="D408" s="1203">
        <f t="shared" si="39"/>
        <v>87392.260000000009</v>
      </c>
      <c r="E408" s="318">
        <v>228374.94</v>
      </c>
      <c r="F408" s="947">
        <v>430602.75533150998</v>
      </c>
      <c r="G408" s="1946">
        <f>SUM(F406:F408)</f>
        <v>1165892.1178238099</v>
      </c>
      <c r="H408" s="947">
        <v>1813.0369833899999</v>
      </c>
      <c r="I408" s="2365">
        <f>SUM(H406:H408)</f>
        <v>7698.1275516500009</v>
      </c>
    </row>
    <row r="409" spans="1:9">
      <c r="A409" s="972">
        <f t="shared" si="41"/>
        <v>2025.04</v>
      </c>
      <c r="B409" s="1203">
        <f t="shared" si="40"/>
        <v>872883.33999999985</v>
      </c>
      <c r="C409" s="141">
        <v>3260471.94</v>
      </c>
      <c r="D409" s="1203">
        <f t="shared" si="39"/>
        <v>80849.969999999972</v>
      </c>
      <c r="E409" s="318">
        <v>309224.90999999997</v>
      </c>
      <c r="F409" s="947">
        <v>388336.63848000002</v>
      </c>
      <c r="G409" s="1946">
        <f>SUM(F406:F409)</f>
        <v>1554228.7563038098</v>
      </c>
      <c r="H409" s="947">
        <v>1470.6826641600001</v>
      </c>
      <c r="I409" s="2365">
        <f>SUM(H406:H409)</f>
        <v>9168.810215810001</v>
      </c>
    </row>
    <row r="410" spans="1:9">
      <c r="A410" s="972">
        <f t="shared" si="41"/>
        <v>2025.05</v>
      </c>
      <c r="B410" s="1203">
        <f t="shared" si="40"/>
        <v>941449.19</v>
      </c>
      <c r="C410" s="141">
        <v>4201921.13</v>
      </c>
      <c r="D410" s="1203">
        <f t="shared" si="39"/>
        <v>105783.67000000004</v>
      </c>
      <c r="E410" s="318">
        <v>415008.58</v>
      </c>
      <c r="F410" s="947">
        <v>399443.38185160002</v>
      </c>
      <c r="G410" s="1946">
        <f>SUM(F406:F410)</f>
        <v>1953672.1381554098</v>
      </c>
      <c r="H410" s="947">
        <v>1127.93487708</v>
      </c>
      <c r="I410" s="2365">
        <f>SUM(H406:H410)</f>
        <v>10296.745092890002</v>
      </c>
    </row>
    <row r="411" spans="1:9">
      <c r="A411" s="972">
        <f t="shared" si="41"/>
        <v>2025.06</v>
      </c>
      <c r="B411" s="1203">
        <f t="shared" si="40"/>
        <v>1139415.83</v>
      </c>
      <c r="C411" s="141">
        <v>5341336.96</v>
      </c>
      <c r="D411" s="1203">
        <f t="shared" si="39"/>
        <v>94496.010000000009</v>
      </c>
      <c r="E411" s="318">
        <v>509504.59</v>
      </c>
      <c r="F411" s="947">
        <v>586583.92800874996</v>
      </c>
      <c r="G411" s="1946">
        <f>SUM(F406:F411)</f>
        <v>2540256.0661641597</v>
      </c>
      <c r="H411" s="947">
        <v>5103.1048777400001</v>
      </c>
      <c r="I411" s="2365">
        <f>SUM(H406:H411)</f>
        <v>15399.849970630003</v>
      </c>
    </row>
    <row r="412" spans="1:9">
      <c r="A412" s="972">
        <f t="shared" si="41"/>
        <v>2025.07</v>
      </c>
      <c r="B412" s="1203">
        <f t="shared" si="40"/>
        <v>952792.78000000026</v>
      </c>
      <c r="C412" s="141">
        <v>6294129.7400000002</v>
      </c>
      <c r="D412" s="1203">
        <f t="shared" si="39"/>
        <v>109539.31</v>
      </c>
      <c r="E412" s="318">
        <v>619043.9</v>
      </c>
      <c r="F412" s="947">
        <v>400851.02696446999</v>
      </c>
      <c r="G412" s="1946">
        <f>SUM(F406:F412)</f>
        <v>2941107.0931286295</v>
      </c>
      <c r="H412" s="947">
        <v>672.37901584999997</v>
      </c>
      <c r="I412" s="2365">
        <f>SUM(H406:H412)</f>
        <v>16072.228986480002</v>
      </c>
    </row>
    <row r="413" spans="1:9">
      <c r="A413" s="972">
        <f t="shared" si="41"/>
        <v>2025.08</v>
      </c>
      <c r="B413" s="1203">
        <f t="shared" si="40"/>
        <v>1033513.0800000001</v>
      </c>
      <c r="C413" s="141">
        <v>7327642.8200000003</v>
      </c>
      <c r="D413" s="1203">
        <f t="shared" si="39"/>
        <v>141023.72999999998</v>
      </c>
      <c r="E413" s="318">
        <v>760067.63</v>
      </c>
      <c r="F413" s="947">
        <v>440014.8007348</v>
      </c>
      <c r="G413" s="1946">
        <f>SUM(F406:F413)</f>
        <v>3381121.8938634293</v>
      </c>
      <c r="H413" s="947">
        <v>2175.6300191599998</v>
      </c>
      <c r="I413" s="2365">
        <f>SUM(H406:H413)</f>
        <v>18247.859005640003</v>
      </c>
    </row>
    <row r="414" spans="1:9">
      <c r="A414" s="972">
        <f t="shared" si="41"/>
        <v>2025.09</v>
      </c>
      <c r="B414" s="1203">
        <f t="shared" si="40"/>
        <v>1024410.5099999998</v>
      </c>
      <c r="C414" s="141">
        <v>8352053.3300000001</v>
      </c>
      <c r="D414" s="1203">
        <f t="shared" si="39"/>
        <v>121357.28000000003</v>
      </c>
      <c r="E414" s="318">
        <v>881424.91</v>
      </c>
      <c r="F414" s="947">
        <v>446965.73550817999</v>
      </c>
      <c r="G414" s="1946">
        <f>SUM(F406:F414)</f>
        <v>3828087.6293716095</v>
      </c>
      <c r="H414" s="947">
        <v>4400.84095282</v>
      </c>
      <c r="I414" s="2365">
        <f>SUM(H406:H414)</f>
        <v>22648.699958460002</v>
      </c>
    </row>
    <row r="415" spans="1:9">
      <c r="A415" s="972">
        <f t="shared" si="41"/>
        <v>2025.1</v>
      </c>
      <c r="B415" s="1203">
        <f t="shared" si="40"/>
        <v>1042034.0600000005</v>
      </c>
      <c r="C415" s="141">
        <v>9394087.3900000006</v>
      </c>
      <c r="D415" s="1203">
        <f t="shared" si="39"/>
        <v>85925.439999999944</v>
      </c>
      <c r="E415" s="318">
        <v>967350.35</v>
      </c>
      <c r="F415" s="947">
        <v>453803.06040541001</v>
      </c>
      <c r="G415" s="1946">
        <f>SUM(F406:F415)</f>
        <v>4281890.6897770194</v>
      </c>
      <c r="H415" s="947">
        <v>7464.5172151999996</v>
      </c>
      <c r="I415" s="2365">
        <f>SUM(H406:H415)</f>
        <v>30113.217173659999</v>
      </c>
    </row>
    <row r="416" spans="1:9">
      <c r="A416" s="972">
        <f t="shared" si="41"/>
        <v>2025.11</v>
      </c>
      <c r="B416" s="1203">
        <f t="shared" si="40"/>
        <v>1029549.6699999999</v>
      </c>
      <c r="C416" s="141">
        <v>10423637.060000001</v>
      </c>
      <c r="D416" s="1203">
        <f t="shared" si="39"/>
        <v>100202.34999999998</v>
      </c>
      <c r="E416" s="318">
        <v>1067552.7</v>
      </c>
      <c r="F416" s="947">
        <v>439426.02813321003</v>
      </c>
      <c r="G416" s="1946">
        <f>SUM(F406:F416)</f>
        <v>4721316.7179102292</v>
      </c>
      <c r="H416" s="947">
        <v>4346.2497519400004</v>
      </c>
      <c r="I416" s="2365">
        <f>SUM(H406:H416)</f>
        <v>34459.466925599998</v>
      </c>
    </row>
    <row r="417" spans="1:9">
      <c r="A417" s="972">
        <f t="shared" si="41"/>
        <v>2025.12</v>
      </c>
      <c r="B417" s="1203">
        <f t="shared" si="40"/>
        <v>1414198.8899999987</v>
      </c>
      <c r="C417" s="3477">
        <v>11837835.949999999</v>
      </c>
      <c r="D417" s="1203">
        <f t="shared" si="39"/>
        <v>113808.16000000015</v>
      </c>
      <c r="E417" s="3478">
        <v>1181360.8600000001</v>
      </c>
      <c r="F417" s="947">
        <v>659023.66501755</v>
      </c>
      <c r="G417" s="1946">
        <f>SUM(F406:F417)</f>
        <v>5380340.3829277791</v>
      </c>
      <c r="H417" s="947">
        <v>4190.09096641</v>
      </c>
      <c r="I417" s="2365">
        <f>SUM(H406:H417)</f>
        <v>38649.557892009994</v>
      </c>
    </row>
    <row r="418" spans="1:9">
      <c r="A418" s="972">
        <f t="shared" si="41"/>
        <v>2026.01</v>
      </c>
      <c r="B418" s="1203" t="e">
        <f t="shared" ref="B418:B477" si="42">(C418-C417)</f>
        <v>#N/A</v>
      </c>
      <c r="C418" s="141" t="e">
        <v>#N/A</v>
      </c>
      <c r="D418" s="1203" t="e">
        <f t="shared" ref="D418:D477" si="43">E418-E417</f>
        <v>#N/A</v>
      </c>
      <c r="E418" s="318" t="e">
        <v>#N/A</v>
      </c>
      <c r="F418" s="947">
        <v>443061.36233849003</v>
      </c>
      <c r="G418" s="1946">
        <f>+F418</f>
        <v>443061.36233849003</v>
      </c>
      <c r="H418" s="947">
        <v>19.91228001</v>
      </c>
      <c r="I418" s="2365">
        <f>+H418</f>
        <v>19.91228001</v>
      </c>
    </row>
    <row r="419" spans="1:9">
      <c r="A419" s="972">
        <f t="shared" si="41"/>
        <v>2026.02</v>
      </c>
      <c r="B419" s="1203" t="e">
        <f t="shared" si="42"/>
        <v>#N/A</v>
      </c>
      <c r="C419" s="141" t="e">
        <v>#N/A</v>
      </c>
      <c r="D419" s="1203" t="e">
        <f t="shared" si="43"/>
        <v>#N/A</v>
      </c>
      <c r="E419" s="318" t="e">
        <v>#N/A</v>
      </c>
      <c r="F419" s="947">
        <v>474538.34785726998</v>
      </c>
      <c r="G419" s="1946">
        <f>SUM(F418:F419)</f>
        <v>917599.71019576001</v>
      </c>
      <c r="H419" s="947">
        <v>2682.1425182100002</v>
      </c>
      <c r="I419" s="2365">
        <f>SUM(H418:H419)</f>
        <v>2702.0547982200001</v>
      </c>
    </row>
    <row r="420" spans="1:9">
      <c r="A420" s="972">
        <f t="shared" si="41"/>
        <v>2026.03</v>
      </c>
      <c r="B420" s="1203" t="e">
        <f t="shared" si="42"/>
        <v>#N/A</v>
      </c>
      <c r="C420" s="141" t="e">
        <v>#N/A</v>
      </c>
      <c r="D420" s="1203" t="e">
        <f t="shared" si="43"/>
        <v>#N/A</v>
      </c>
      <c r="E420" s="318" t="e">
        <v>#N/A</v>
      </c>
      <c r="F420" s="3781">
        <v>543636.79703279003</v>
      </c>
      <c r="G420" s="1946">
        <f>SUM(F418:F420)</f>
        <v>1461236.50722855</v>
      </c>
      <c r="H420" s="3781">
        <v>974.94953912000005</v>
      </c>
      <c r="I420" s="2365">
        <f>SUM(H418:H420)</f>
        <v>3677.0043373400003</v>
      </c>
    </row>
    <row r="421" spans="1:9">
      <c r="A421" s="972">
        <f t="shared" si="41"/>
        <v>2026.04</v>
      </c>
      <c r="B421" s="1203" t="e">
        <f t="shared" si="42"/>
        <v>#N/A</v>
      </c>
      <c r="C421" s="141" t="e">
        <v>#N/A</v>
      </c>
      <c r="D421" s="1203" t="e">
        <f t="shared" si="43"/>
        <v>#N/A</v>
      </c>
      <c r="E421" s="318" t="e">
        <v>#N/A</v>
      </c>
      <c r="F421" s="947" t="e">
        <v>#N/A</v>
      </c>
      <c r="G421" s="1946" t="e">
        <f>SUM(F418:F421)</f>
        <v>#N/A</v>
      </c>
      <c r="H421" s="947" t="e">
        <v>#N/A</v>
      </c>
      <c r="I421" s="2365" t="e">
        <f>SUM(H418:H421)</f>
        <v>#N/A</v>
      </c>
    </row>
    <row r="422" spans="1:9">
      <c r="A422" s="972">
        <f t="shared" si="41"/>
        <v>2026.05</v>
      </c>
      <c r="B422" s="1203" t="e">
        <f t="shared" si="42"/>
        <v>#N/A</v>
      </c>
      <c r="C422" s="141" t="e">
        <v>#N/A</v>
      </c>
      <c r="D422" s="1203" t="e">
        <f t="shared" si="43"/>
        <v>#N/A</v>
      </c>
      <c r="E422" s="318" t="e">
        <v>#N/A</v>
      </c>
      <c r="F422" s="947" t="e">
        <v>#N/A</v>
      </c>
      <c r="G422" s="1946" t="e">
        <f>SUM(F418:F422)</f>
        <v>#N/A</v>
      </c>
      <c r="H422" s="947" t="e">
        <v>#N/A</v>
      </c>
      <c r="I422" s="2365" t="e">
        <f>SUM(H418:H422)</f>
        <v>#N/A</v>
      </c>
    </row>
    <row r="423" spans="1:9">
      <c r="A423" s="972">
        <f t="shared" si="41"/>
        <v>2026.06</v>
      </c>
      <c r="B423" s="1203" t="e">
        <f t="shared" si="42"/>
        <v>#N/A</v>
      </c>
      <c r="C423" s="141" t="e">
        <v>#N/A</v>
      </c>
      <c r="D423" s="1203" t="e">
        <f t="shared" si="43"/>
        <v>#N/A</v>
      </c>
      <c r="E423" s="318" t="e">
        <v>#N/A</v>
      </c>
      <c r="F423" s="947" t="e">
        <v>#N/A</v>
      </c>
      <c r="G423" s="1946" t="e">
        <f>SUM(F418:F423)</f>
        <v>#N/A</v>
      </c>
      <c r="H423" s="947" t="e">
        <v>#N/A</v>
      </c>
      <c r="I423" s="2365" t="e">
        <f>SUM(H418:H423)</f>
        <v>#N/A</v>
      </c>
    </row>
    <row r="424" spans="1:9">
      <c r="A424" s="972">
        <f t="shared" si="41"/>
        <v>2026.07</v>
      </c>
      <c r="B424" s="1203" t="e">
        <f t="shared" si="42"/>
        <v>#N/A</v>
      </c>
      <c r="C424" s="141" t="e">
        <v>#N/A</v>
      </c>
      <c r="D424" s="1203" t="e">
        <f t="shared" si="43"/>
        <v>#N/A</v>
      </c>
      <c r="E424" s="318" t="e">
        <v>#N/A</v>
      </c>
      <c r="F424" s="947" t="e">
        <v>#N/A</v>
      </c>
      <c r="G424" s="1946" t="e">
        <f>SUM(F418:F424)</f>
        <v>#N/A</v>
      </c>
      <c r="H424" s="947" t="e">
        <v>#N/A</v>
      </c>
      <c r="I424" s="2365" t="e">
        <f>SUM(H418:H424)</f>
        <v>#N/A</v>
      </c>
    </row>
    <row r="425" spans="1:9">
      <c r="A425" s="972">
        <f t="shared" si="41"/>
        <v>2026.08</v>
      </c>
      <c r="B425" s="1203" t="e">
        <f t="shared" si="42"/>
        <v>#N/A</v>
      </c>
      <c r="C425" s="141" t="e">
        <v>#N/A</v>
      </c>
      <c r="D425" s="1203" t="e">
        <f t="shared" si="43"/>
        <v>#N/A</v>
      </c>
      <c r="E425" s="318" t="e">
        <v>#N/A</v>
      </c>
      <c r="F425" s="947" t="e">
        <v>#N/A</v>
      </c>
      <c r="G425" s="1946" t="e">
        <f>SUM(F418:F425)</f>
        <v>#N/A</v>
      </c>
      <c r="H425" s="947" t="e">
        <v>#N/A</v>
      </c>
      <c r="I425" s="2365" t="e">
        <f>SUM(H418:H425)</f>
        <v>#N/A</v>
      </c>
    </row>
    <row r="426" spans="1:9">
      <c r="A426" s="972">
        <f t="shared" si="41"/>
        <v>2026.09</v>
      </c>
      <c r="B426" s="1203" t="e">
        <f t="shared" si="42"/>
        <v>#N/A</v>
      </c>
      <c r="C426" s="141" t="e">
        <v>#N/A</v>
      </c>
      <c r="D426" s="1203" t="e">
        <f t="shared" si="43"/>
        <v>#N/A</v>
      </c>
      <c r="E426" s="318" t="e">
        <v>#N/A</v>
      </c>
      <c r="F426" s="947" t="e">
        <v>#N/A</v>
      </c>
      <c r="G426" s="1946" t="e">
        <f>SUM(F418:F426)</f>
        <v>#N/A</v>
      </c>
      <c r="H426" s="947" t="e">
        <v>#N/A</v>
      </c>
      <c r="I426" s="2365" t="e">
        <f>SUM(H418:H426)</f>
        <v>#N/A</v>
      </c>
    </row>
    <row r="427" spans="1:9">
      <c r="A427" s="972">
        <f t="shared" si="41"/>
        <v>2026.1</v>
      </c>
      <c r="B427" s="1203" t="e">
        <f t="shared" si="42"/>
        <v>#N/A</v>
      </c>
      <c r="C427" s="141" t="e">
        <v>#N/A</v>
      </c>
      <c r="D427" s="1203" t="e">
        <f t="shared" si="43"/>
        <v>#N/A</v>
      </c>
      <c r="E427" s="318" t="e">
        <v>#N/A</v>
      </c>
      <c r="F427" s="947" t="e">
        <v>#N/A</v>
      </c>
      <c r="G427" s="1946" t="e">
        <f>SUM(F418:F427)</f>
        <v>#N/A</v>
      </c>
      <c r="H427" s="947" t="e">
        <v>#N/A</v>
      </c>
      <c r="I427" s="2365" t="e">
        <f>SUM(H418:H427)</f>
        <v>#N/A</v>
      </c>
    </row>
    <row r="428" spans="1:9">
      <c r="A428" s="972">
        <f t="shared" si="41"/>
        <v>2026.11</v>
      </c>
      <c r="B428" s="1203" t="e">
        <f t="shared" si="42"/>
        <v>#N/A</v>
      </c>
      <c r="C428" s="141" t="e">
        <v>#N/A</v>
      </c>
      <c r="D428" s="1203" t="e">
        <f t="shared" si="43"/>
        <v>#N/A</v>
      </c>
      <c r="E428" s="318" t="e">
        <v>#N/A</v>
      </c>
      <c r="F428" s="947" t="e">
        <v>#N/A</v>
      </c>
      <c r="G428" s="1946" t="e">
        <f>SUM(F418:F428)</f>
        <v>#N/A</v>
      </c>
      <c r="H428" s="947" t="e">
        <v>#N/A</v>
      </c>
      <c r="I428" s="2365" t="e">
        <f>SUM(H418:H428)</f>
        <v>#N/A</v>
      </c>
    </row>
    <row r="429" spans="1:9">
      <c r="A429" s="972">
        <f t="shared" si="41"/>
        <v>2026.12</v>
      </c>
      <c r="B429" s="1203" t="e">
        <f t="shared" si="42"/>
        <v>#N/A</v>
      </c>
      <c r="C429" s="141" t="e">
        <v>#N/A</v>
      </c>
      <c r="D429" s="1203" t="e">
        <f t="shared" si="43"/>
        <v>#N/A</v>
      </c>
      <c r="E429" s="318" t="e">
        <v>#N/A</v>
      </c>
      <c r="F429" s="947" t="e">
        <v>#N/A</v>
      </c>
      <c r="G429" s="1946" t="e">
        <f>SUM(F418:F429)</f>
        <v>#N/A</v>
      </c>
      <c r="H429" s="947" t="e">
        <v>#N/A</v>
      </c>
      <c r="I429" s="2365" t="e">
        <f>SUM(H418:H429)</f>
        <v>#N/A</v>
      </c>
    </row>
    <row r="430" spans="1:9">
      <c r="A430" s="972">
        <f t="shared" si="41"/>
        <v>2027.01</v>
      </c>
      <c r="B430" s="1203" t="e">
        <f t="shared" si="42"/>
        <v>#N/A</v>
      </c>
      <c r="C430" s="141" t="e">
        <v>#N/A</v>
      </c>
      <c r="D430" s="1203" t="e">
        <f t="shared" si="43"/>
        <v>#N/A</v>
      </c>
      <c r="E430" s="318" t="e">
        <v>#N/A</v>
      </c>
      <c r="F430" s="947" t="e">
        <v>#N/A</v>
      </c>
      <c r="G430" s="1946" t="e">
        <f>+F430</f>
        <v>#N/A</v>
      </c>
      <c r="H430" s="947" t="e">
        <v>#N/A</v>
      </c>
      <c r="I430" s="2365" t="e">
        <f>+H430</f>
        <v>#N/A</v>
      </c>
    </row>
    <row r="431" spans="1:9">
      <c r="A431" s="972">
        <f t="shared" si="41"/>
        <v>2027.02</v>
      </c>
      <c r="B431" s="1203" t="e">
        <f t="shared" si="42"/>
        <v>#N/A</v>
      </c>
      <c r="C431" s="141" t="e">
        <v>#N/A</v>
      </c>
      <c r="D431" s="1203" t="e">
        <f t="shared" si="43"/>
        <v>#N/A</v>
      </c>
      <c r="E431" s="318" t="e">
        <v>#N/A</v>
      </c>
      <c r="F431" s="947" t="e">
        <v>#N/A</v>
      </c>
      <c r="G431" s="1946" t="e">
        <f>SUM(F430:F431)</f>
        <v>#N/A</v>
      </c>
      <c r="H431" s="947" t="e">
        <v>#N/A</v>
      </c>
      <c r="I431" s="2365" t="e">
        <f>SUM(H430:H431)</f>
        <v>#N/A</v>
      </c>
    </row>
    <row r="432" spans="1:9">
      <c r="A432" s="972">
        <f t="shared" si="41"/>
        <v>2027.03</v>
      </c>
      <c r="B432" s="1203" t="e">
        <f t="shared" si="42"/>
        <v>#N/A</v>
      </c>
      <c r="C432" s="141" t="e">
        <v>#N/A</v>
      </c>
      <c r="D432" s="1203" t="e">
        <f t="shared" si="43"/>
        <v>#N/A</v>
      </c>
      <c r="E432" s="318" t="e">
        <v>#N/A</v>
      </c>
      <c r="F432" s="947" t="e">
        <v>#N/A</v>
      </c>
      <c r="G432" s="1946" t="e">
        <f>SUM(F430:F432)</f>
        <v>#N/A</v>
      </c>
      <c r="H432" s="947" t="e">
        <v>#N/A</v>
      </c>
      <c r="I432" s="2365" t="e">
        <f>SUM(H430:H432)</f>
        <v>#N/A</v>
      </c>
    </row>
    <row r="433" spans="1:9">
      <c r="A433" s="972">
        <f t="shared" si="41"/>
        <v>2027.04</v>
      </c>
      <c r="B433" s="1203" t="e">
        <f t="shared" si="42"/>
        <v>#N/A</v>
      </c>
      <c r="C433" s="141" t="e">
        <v>#N/A</v>
      </c>
      <c r="D433" s="1203" t="e">
        <f t="shared" si="43"/>
        <v>#N/A</v>
      </c>
      <c r="E433" s="318" t="e">
        <v>#N/A</v>
      </c>
      <c r="F433" s="947" t="e">
        <v>#N/A</v>
      </c>
      <c r="G433" s="1946" t="e">
        <f>SUM(F430:F433)</f>
        <v>#N/A</v>
      </c>
      <c r="H433" s="947" t="e">
        <v>#N/A</v>
      </c>
      <c r="I433" s="2365" t="e">
        <f>SUM(H430:H433)</f>
        <v>#N/A</v>
      </c>
    </row>
    <row r="434" spans="1:9">
      <c r="A434" s="972">
        <f t="shared" si="41"/>
        <v>2027.05</v>
      </c>
      <c r="B434" s="1203" t="e">
        <f t="shared" si="42"/>
        <v>#N/A</v>
      </c>
      <c r="C434" s="141" t="e">
        <v>#N/A</v>
      </c>
      <c r="D434" s="1203" t="e">
        <f t="shared" si="43"/>
        <v>#N/A</v>
      </c>
      <c r="E434" s="318" t="e">
        <v>#N/A</v>
      </c>
      <c r="F434" s="947" t="e">
        <v>#N/A</v>
      </c>
      <c r="G434" s="1946" t="e">
        <f>SUM(F430:F434)</f>
        <v>#N/A</v>
      </c>
      <c r="H434" s="947" t="e">
        <v>#N/A</v>
      </c>
      <c r="I434" s="2365" t="e">
        <f>SUM(H430:H434)</f>
        <v>#N/A</v>
      </c>
    </row>
    <row r="435" spans="1:9">
      <c r="A435" s="972">
        <f t="shared" si="41"/>
        <v>2027.06</v>
      </c>
      <c r="B435" s="1203" t="e">
        <f t="shared" si="42"/>
        <v>#N/A</v>
      </c>
      <c r="C435" s="141" t="e">
        <v>#N/A</v>
      </c>
      <c r="D435" s="1203" t="e">
        <f t="shared" si="43"/>
        <v>#N/A</v>
      </c>
      <c r="E435" s="318" t="e">
        <v>#N/A</v>
      </c>
      <c r="F435" s="947" t="e">
        <v>#N/A</v>
      </c>
      <c r="G435" s="1946" t="e">
        <f>SUM(F430:F435)</f>
        <v>#N/A</v>
      </c>
      <c r="H435" s="947" t="e">
        <v>#N/A</v>
      </c>
      <c r="I435" s="2365" t="e">
        <f>SUM(H430:H435)</f>
        <v>#N/A</v>
      </c>
    </row>
    <row r="436" spans="1:9">
      <c r="A436" s="972">
        <f t="shared" si="41"/>
        <v>2027.07</v>
      </c>
      <c r="B436" s="1203" t="e">
        <f t="shared" si="42"/>
        <v>#N/A</v>
      </c>
      <c r="C436" s="141" t="e">
        <v>#N/A</v>
      </c>
      <c r="D436" s="1203" t="e">
        <f t="shared" si="43"/>
        <v>#N/A</v>
      </c>
      <c r="E436" s="318" t="e">
        <v>#N/A</v>
      </c>
      <c r="F436" s="947" t="e">
        <v>#N/A</v>
      </c>
      <c r="G436" s="1946" t="e">
        <f>SUM(F430:F436)</f>
        <v>#N/A</v>
      </c>
      <c r="H436" s="947" t="e">
        <v>#N/A</v>
      </c>
      <c r="I436" s="2365" t="e">
        <f>SUM(H430:H436)</f>
        <v>#N/A</v>
      </c>
    </row>
    <row r="437" spans="1:9">
      <c r="A437" s="972">
        <f t="shared" si="41"/>
        <v>2027.08</v>
      </c>
      <c r="B437" s="1203" t="e">
        <f t="shared" si="42"/>
        <v>#N/A</v>
      </c>
      <c r="C437" s="141" t="e">
        <v>#N/A</v>
      </c>
      <c r="D437" s="1203" t="e">
        <f t="shared" si="43"/>
        <v>#N/A</v>
      </c>
      <c r="E437" s="318" t="e">
        <v>#N/A</v>
      </c>
      <c r="F437" s="947" t="e">
        <v>#N/A</v>
      </c>
      <c r="G437" s="1946" t="e">
        <f>SUM(F430:F437)</f>
        <v>#N/A</v>
      </c>
      <c r="H437" s="947" t="e">
        <v>#N/A</v>
      </c>
      <c r="I437" s="2365" t="e">
        <f>SUM(H430:H437)</f>
        <v>#N/A</v>
      </c>
    </row>
    <row r="438" spans="1:9">
      <c r="A438" s="972">
        <f t="shared" si="41"/>
        <v>2027.09</v>
      </c>
      <c r="B438" s="1203" t="e">
        <f t="shared" si="42"/>
        <v>#N/A</v>
      </c>
      <c r="C438" s="141" t="e">
        <v>#N/A</v>
      </c>
      <c r="D438" s="1203" t="e">
        <f t="shared" si="43"/>
        <v>#N/A</v>
      </c>
      <c r="E438" s="318" t="e">
        <v>#N/A</v>
      </c>
      <c r="F438" s="947" t="e">
        <v>#N/A</v>
      </c>
      <c r="G438" s="1946" t="e">
        <f>SUM(F430:F438)</f>
        <v>#N/A</v>
      </c>
      <c r="H438" s="947" t="e">
        <v>#N/A</v>
      </c>
      <c r="I438" s="2365" t="e">
        <f>SUM(H430:H438)</f>
        <v>#N/A</v>
      </c>
    </row>
    <row r="439" spans="1:9">
      <c r="A439" s="972">
        <f t="shared" si="41"/>
        <v>2027.1</v>
      </c>
      <c r="B439" s="1203" t="e">
        <f t="shared" si="42"/>
        <v>#N/A</v>
      </c>
      <c r="C439" s="141" t="e">
        <v>#N/A</v>
      </c>
      <c r="D439" s="1203" t="e">
        <f t="shared" si="43"/>
        <v>#N/A</v>
      </c>
      <c r="E439" s="318" t="e">
        <v>#N/A</v>
      </c>
      <c r="F439" s="947" t="e">
        <v>#N/A</v>
      </c>
      <c r="G439" s="1946" t="e">
        <f>SUM(F430:F439)</f>
        <v>#N/A</v>
      </c>
      <c r="H439" s="947" t="e">
        <v>#N/A</v>
      </c>
      <c r="I439" s="2365" t="e">
        <f>SUM(H430:H439)</f>
        <v>#N/A</v>
      </c>
    </row>
    <row r="440" spans="1:9">
      <c r="A440" s="972">
        <f t="shared" si="41"/>
        <v>2027.11</v>
      </c>
      <c r="B440" s="1203" t="e">
        <f t="shared" si="42"/>
        <v>#N/A</v>
      </c>
      <c r="C440" s="141" t="e">
        <v>#N/A</v>
      </c>
      <c r="D440" s="1203" t="e">
        <f t="shared" si="43"/>
        <v>#N/A</v>
      </c>
      <c r="E440" s="318" t="e">
        <v>#N/A</v>
      </c>
      <c r="F440" s="947" t="e">
        <v>#N/A</v>
      </c>
      <c r="G440" s="1946" t="e">
        <f>SUM(F430:F440)</f>
        <v>#N/A</v>
      </c>
      <c r="H440" s="947" t="e">
        <v>#N/A</v>
      </c>
      <c r="I440" s="2365" t="e">
        <f>SUM(H430:H440)</f>
        <v>#N/A</v>
      </c>
    </row>
    <row r="441" spans="1:9">
      <c r="A441" s="972">
        <f t="shared" si="41"/>
        <v>2027.12</v>
      </c>
      <c r="B441" s="1203" t="e">
        <f t="shared" si="42"/>
        <v>#N/A</v>
      </c>
      <c r="C441" s="141" t="e">
        <v>#N/A</v>
      </c>
      <c r="D441" s="1203" t="e">
        <f t="shared" si="43"/>
        <v>#N/A</v>
      </c>
      <c r="E441" s="318" t="e">
        <v>#N/A</v>
      </c>
      <c r="F441" s="947" t="e">
        <v>#N/A</v>
      </c>
      <c r="G441" s="1946" t="e">
        <f>SUM(F430:F441)</f>
        <v>#N/A</v>
      </c>
      <c r="H441" s="947" t="e">
        <v>#N/A</v>
      </c>
      <c r="I441" s="2365" t="e">
        <f>SUM(H430:H441)</f>
        <v>#N/A</v>
      </c>
    </row>
    <row r="442" spans="1:9">
      <c r="A442" s="972">
        <f t="shared" si="41"/>
        <v>2028.01</v>
      </c>
      <c r="B442" s="1203" t="e">
        <f t="shared" si="42"/>
        <v>#N/A</v>
      </c>
      <c r="C442" s="141" t="e">
        <v>#N/A</v>
      </c>
      <c r="D442" s="1203" t="e">
        <f t="shared" si="43"/>
        <v>#N/A</v>
      </c>
      <c r="E442" s="318" t="e">
        <v>#N/A</v>
      </c>
      <c r="F442" s="947" t="e">
        <v>#N/A</v>
      </c>
      <c r="G442" s="1946" t="e">
        <f>+F442</f>
        <v>#N/A</v>
      </c>
      <c r="H442" s="947" t="e">
        <v>#N/A</v>
      </c>
      <c r="I442" s="2365" t="e">
        <f>+H442</f>
        <v>#N/A</v>
      </c>
    </row>
    <row r="443" spans="1:9">
      <c r="A443" s="972">
        <f t="shared" si="41"/>
        <v>2028.02</v>
      </c>
      <c r="B443" s="1203" t="e">
        <f t="shared" si="42"/>
        <v>#N/A</v>
      </c>
      <c r="C443" s="141" t="e">
        <v>#N/A</v>
      </c>
      <c r="D443" s="1203" t="e">
        <f t="shared" si="43"/>
        <v>#N/A</v>
      </c>
      <c r="E443" s="318" t="e">
        <v>#N/A</v>
      </c>
      <c r="F443" s="947" t="e">
        <v>#N/A</v>
      </c>
      <c r="G443" s="1946" t="e">
        <f>SUM(F442:F443)</f>
        <v>#N/A</v>
      </c>
      <c r="H443" s="947" t="e">
        <v>#N/A</v>
      </c>
      <c r="I443" s="2365" t="e">
        <f>SUM(H442:H443)</f>
        <v>#N/A</v>
      </c>
    </row>
    <row r="444" spans="1:9">
      <c r="A444" s="972">
        <f t="shared" si="41"/>
        <v>2028.03</v>
      </c>
      <c r="B444" s="1203" t="e">
        <f t="shared" si="42"/>
        <v>#N/A</v>
      </c>
      <c r="C444" s="141" t="e">
        <v>#N/A</v>
      </c>
      <c r="D444" s="1203" t="e">
        <f t="shared" si="43"/>
        <v>#N/A</v>
      </c>
      <c r="E444" s="318" t="e">
        <v>#N/A</v>
      </c>
      <c r="F444" s="947" t="e">
        <v>#N/A</v>
      </c>
      <c r="G444" s="1946" t="e">
        <f>SUM(F442:F444)</f>
        <v>#N/A</v>
      </c>
      <c r="H444" s="947" t="e">
        <v>#N/A</v>
      </c>
      <c r="I444" s="2365" t="e">
        <f>SUM(H442:H444)</f>
        <v>#N/A</v>
      </c>
    </row>
    <row r="445" spans="1:9">
      <c r="A445" s="972">
        <f t="shared" si="41"/>
        <v>2028.04</v>
      </c>
      <c r="B445" s="1203" t="e">
        <f t="shared" si="42"/>
        <v>#N/A</v>
      </c>
      <c r="C445" s="141" t="e">
        <v>#N/A</v>
      </c>
      <c r="D445" s="1203" t="e">
        <f t="shared" si="43"/>
        <v>#N/A</v>
      </c>
      <c r="E445" s="318" t="e">
        <v>#N/A</v>
      </c>
      <c r="F445" s="947" t="e">
        <v>#N/A</v>
      </c>
      <c r="G445" s="1946" t="e">
        <f>SUM(F442:F445)</f>
        <v>#N/A</v>
      </c>
      <c r="H445" s="947" t="e">
        <v>#N/A</v>
      </c>
      <c r="I445" s="2365" t="e">
        <f>SUM(H442:H445)</f>
        <v>#N/A</v>
      </c>
    </row>
    <row r="446" spans="1:9">
      <c r="A446" s="972">
        <f t="shared" si="41"/>
        <v>2028.05</v>
      </c>
      <c r="B446" s="1203" t="e">
        <f t="shared" si="42"/>
        <v>#N/A</v>
      </c>
      <c r="C446" s="141" t="e">
        <v>#N/A</v>
      </c>
      <c r="D446" s="1203" t="e">
        <f t="shared" si="43"/>
        <v>#N/A</v>
      </c>
      <c r="E446" s="318" t="e">
        <v>#N/A</v>
      </c>
      <c r="F446" s="947" t="e">
        <v>#N/A</v>
      </c>
      <c r="G446" s="1946" t="e">
        <f>SUM(F442:F446)</f>
        <v>#N/A</v>
      </c>
      <c r="H446" s="947" t="e">
        <v>#N/A</v>
      </c>
      <c r="I446" s="2365" t="e">
        <f>SUM(H442:H446)</f>
        <v>#N/A</v>
      </c>
    </row>
    <row r="447" spans="1:9">
      <c r="A447" s="972">
        <f t="shared" si="41"/>
        <v>2028.06</v>
      </c>
      <c r="B447" s="1203" t="e">
        <f t="shared" si="42"/>
        <v>#N/A</v>
      </c>
      <c r="C447" s="141" t="e">
        <v>#N/A</v>
      </c>
      <c r="D447" s="1203" t="e">
        <f t="shared" si="43"/>
        <v>#N/A</v>
      </c>
      <c r="E447" s="318" t="e">
        <v>#N/A</v>
      </c>
      <c r="F447" s="947" t="e">
        <v>#N/A</v>
      </c>
      <c r="G447" s="1946" t="e">
        <f>SUM(F442:F447)</f>
        <v>#N/A</v>
      </c>
      <c r="H447" s="947" t="e">
        <v>#N/A</v>
      </c>
      <c r="I447" s="2365" t="e">
        <f>SUM(H442:H447)</f>
        <v>#N/A</v>
      </c>
    </row>
    <row r="448" spans="1:9">
      <c r="A448" s="972">
        <f t="shared" si="41"/>
        <v>2028.07</v>
      </c>
      <c r="B448" s="1203" t="e">
        <f t="shared" si="42"/>
        <v>#N/A</v>
      </c>
      <c r="C448" s="141" t="e">
        <v>#N/A</v>
      </c>
      <c r="D448" s="1203" t="e">
        <f t="shared" si="43"/>
        <v>#N/A</v>
      </c>
      <c r="E448" s="318" t="e">
        <v>#N/A</v>
      </c>
      <c r="F448" s="947" t="e">
        <v>#N/A</v>
      </c>
      <c r="G448" s="1946" t="e">
        <f>SUM(F442:F448)</f>
        <v>#N/A</v>
      </c>
      <c r="H448" s="947" t="e">
        <v>#N/A</v>
      </c>
      <c r="I448" s="2365" t="e">
        <f>SUM(H442:H448)</f>
        <v>#N/A</v>
      </c>
    </row>
    <row r="449" spans="1:9">
      <c r="A449" s="972">
        <f t="shared" si="41"/>
        <v>2028.08</v>
      </c>
      <c r="B449" s="1203" t="e">
        <f t="shared" si="42"/>
        <v>#N/A</v>
      </c>
      <c r="C449" s="141" t="e">
        <v>#N/A</v>
      </c>
      <c r="D449" s="1203" t="e">
        <f t="shared" si="43"/>
        <v>#N/A</v>
      </c>
      <c r="E449" s="318" t="e">
        <v>#N/A</v>
      </c>
      <c r="F449" s="947" t="e">
        <v>#N/A</v>
      </c>
      <c r="G449" s="1946" t="e">
        <f>SUM(F442:F449)</f>
        <v>#N/A</v>
      </c>
      <c r="H449" s="947" t="e">
        <v>#N/A</v>
      </c>
      <c r="I449" s="2365" t="e">
        <f>SUM(H442:H449)</f>
        <v>#N/A</v>
      </c>
    </row>
    <row r="450" spans="1:9">
      <c r="A450" s="972">
        <f t="shared" si="41"/>
        <v>2028.09</v>
      </c>
      <c r="B450" s="1203" t="e">
        <f t="shared" si="42"/>
        <v>#N/A</v>
      </c>
      <c r="C450" s="141" t="e">
        <v>#N/A</v>
      </c>
      <c r="D450" s="1203" t="e">
        <f t="shared" si="43"/>
        <v>#N/A</v>
      </c>
      <c r="E450" s="318" t="e">
        <v>#N/A</v>
      </c>
      <c r="F450" s="947" t="e">
        <v>#N/A</v>
      </c>
      <c r="G450" s="1946" t="e">
        <f>SUM(F442:F450)</f>
        <v>#N/A</v>
      </c>
      <c r="H450" s="947" t="e">
        <v>#N/A</v>
      </c>
      <c r="I450" s="2365" t="e">
        <f>SUM(H442:H450)</f>
        <v>#N/A</v>
      </c>
    </row>
    <row r="451" spans="1:9">
      <c r="A451" s="972">
        <f t="shared" si="41"/>
        <v>2028.1</v>
      </c>
      <c r="B451" s="1203" t="e">
        <f t="shared" si="42"/>
        <v>#N/A</v>
      </c>
      <c r="C451" s="141" t="e">
        <v>#N/A</v>
      </c>
      <c r="D451" s="1203" t="e">
        <f t="shared" si="43"/>
        <v>#N/A</v>
      </c>
      <c r="E451" s="318" t="e">
        <v>#N/A</v>
      </c>
      <c r="F451" s="947" t="e">
        <v>#N/A</v>
      </c>
      <c r="G451" s="1946" t="e">
        <f>SUM(F442:F451)</f>
        <v>#N/A</v>
      </c>
      <c r="H451" s="947" t="e">
        <v>#N/A</v>
      </c>
      <c r="I451" s="2365" t="e">
        <f>SUM(H442:H451)</f>
        <v>#N/A</v>
      </c>
    </row>
    <row r="452" spans="1:9">
      <c r="A452" s="972">
        <f t="shared" si="41"/>
        <v>2028.11</v>
      </c>
      <c r="B452" s="1203" t="e">
        <f t="shared" si="42"/>
        <v>#N/A</v>
      </c>
      <c r="C452" s="141" t="e">
        <v>#N/A</v>
      </c>
      <c r="D452" s="1203" t="e">
        <f t="shared" si="43"/>
        <v>#N/A</v>
      </c>
      <c r="E452" s="318" t="e">
        <v>#N/A</v>
      </c>
      <c r="F452" s="947" t="e">
        <v>#N/A</v>
      </c>
      <c r="G452" s="1946" t="e">
        <f>SUM(F442:F452)</f>
        <v>#N/A</v>
      </c>
      <c r="H452" s="947" t="e">
        <v>#N/A</v>
      </c>
      <c r="I452" s="2365" t="e">
        <f>SUM(H442:H452)</f>
        <v>#N/A</v>
      </c>
    </row>
    <row r="453" spans="1:9">
      <c r="A453" s="972">
        <f t="shared" si="41"/>
        <v>2028.12</v>
      </c>
      <c r="B453" s="1203" t="e">
        <f t="shared" si="42"/>
        <v>#N/A</v>
      </c>
      <c r="C453" s="141" t="e">
        <v>#N/A</v>
      </c>
      <c r="D453" s="1203" t="e">
        <f t="shared" si="43"/>
        <v>#N/A</v>
      </c>
      <c r="E453" s="318" t="e">
        <v>#N/A</v>
      </c>
      <c r="F453" s="947" t="e">
        <v>#N/A</v>
      </c>
      <c r="G453" s="1946" t="e">
        <f>SUM(F442:F453)</f>
        <v>#N/A</v>
      </c>
      <c r="H453" s="947" t="e">
        <v>#N/A</v>
      </c>
      <c r="I453" s="2365" t="e">
        <f>SUM(H442:H453)</f>
        <v>#N/A</v>
      </c>
    </row>
    <row r="454" spans="1:9">
      <c r="A454" s="972">
        <f t="shared" si="41"/>
        <v>2029.01</v>
      </c>
      <c r="B454" s="1203" t="e">
        <f t="shared" si="42"/>
        <v>#N/A</v>
      </c>
      <c r="C454" s="141" t="e">
        <v>#N/A</v>
      </c>
      <c r="D454" s="1203" t="e">
        <f t="shared" si="43"/>
        <v>#N/A</v>
      </c>
      <c r="E454" s="318" t="e">
        <v>#N/A</v>
      </c>
      <c r="F454" s="947" t="e">
        <v>#N/A</v>
      </c>
      <c r="G454" s="1946" t="e">
        <f>+F454</f>
        <v>#N/A</v>
      </c>
      <c r="H454" s="947" t="e">
        <v>#N/A</v>
      </c>
      <c r="I454" s="2365" t="e">
        <f>+H454</f>
        <v>#N/A</v>
      </c>
    </row>
    <row r="455" spans="1:9">
      <c r="A455" s="972">
        <f t="shared" si="41"/>
        <v>2029.02</v>
      </c>
      <c r="B455" s="1203" t="e">
        <f t="shared" si="42"/>
        <v>#N/A</v>
      </c>
      <c r="C455" s="141" t="e">
        <v>#N/A</v>
      </c>
      <c r="D455" s="1203" t="e">
        <f t="shared" si="43"/>
        <v>#N/A</v>
      </c>
      <c r="E455" s="318" t="e">
        <v>#N/A</v>
      </c>
      <c r="F455" s="947" t="e">
        <v>#N/A</v>
      </c>
      <c r="G455" s="1946" t="e">
        <f>SUM(F454:F455)</f>
        <v>#N/A</v>
      </c>
      <c r="H455" s="947" t="e">
        <v>#N/A</v>
      </c>
      <c r="I455" s="2365" t="e">
        <f>SUM(H454:H455)</f>
        <v>#N/A</v>
      </c>
    </row>
    <row r="456" spans="1:9">
      <c r="A456" s="972">
        <f t="shared" si="41"/>
        <v>2029.03</v>
      </c>
      <c r="B456" s="1203" t="e">
        <f t="shared" si="42"/>
        <v>#N/A</v>
      </c>
      <c r="C456" s="141" t="e">
        <v>#N/A</v>
      </c>
      <c r="D456" s="1203" t="e">
        <f t="shared" si="43"/>
        <v>#N/A</v>
      </c>
      <c r="E456" s="318" t="e">
        <v>#N/A</v>
      </c>
      <c r="F456" s="947" t="e">
        <v>#N/A</v>
      </c>
      <c r="G456" s="1946" t="e">
        <f>SUM(F454:F456)</f>
        <v>#N/A</v>
      </c>
      <c r="H456" s="947" t="e">
        <v>#N/A</v>
      </c>
      <c r="I456" s="2365" t="e">
        <f>SUM(H454:H456)</f>
        <v>#N/A</v>
      </c>
    </row>
    <row r="457" spans="1:9">
      <c r="A457" s="972">
        <f t="shared" si="41"/>
        <v>2029.04</v>
      </c>
      <c r="B457" s="1203" t="e">
        <f t="shared" si="42"/>
        <v>#N/A</v>
      </c>
      <c r="C457" s="141" t="e">
        <v>#N/A</v>
      </c>
      <c r="D457" s="1203" t="e">
        <f t="shared" si="43"/>
        <v>#N/A</v>
      </c>
      <c r="E457" s="318" t="e">
        <v>#N/A</v>
      </c>
      <c r="F457" s="947" t="e">
        <v>#N/A</v>
      </c>
      <c r="G457" s="1946" t="e">
        <f>SUM(F454:F457)</f>
        <v>#N/A</v>
      </c>
      <c r="H457" s="947" t="e">
        <v>#N/A</v>
      </c>
      <c r="I457" s="2365" t="e">
        <f>SUM(H454:H457)</f>
        <v>#N/A</v>
      </c>
    </row>
    <row r="458" spans="1:9">
      <c r="A458" s="972">
        <f t="shared" ref="A458:A477" si="44">A446+1</f>
        <v>2029.05</v>
      </c>
      <c r="B458" s="1203" t="e">
        <f t="shared" si="42"/>
        <v>#N/A</v>
      </c>
      <c r="C458" s="141" t="e">
        <v>#N/A</v>
      </c>
      <c r="D458" s="1203" t="e">
        <f t="shared" si="43"/>
        <v>#N/A</v>
      </c>
      <c r="E458" s="318" t="e">
        <v>#N/A</v>
      </c>
      <c r="F458" s="947" t="e">
        <v>#N/A</v>
      </c>
      <c r="G458" s="1946" t="e">
        <f>SUM(F454:F458)</f>
        <v>#N/A</v>
      </c>
      <c r="H458" s="947" t="e">
        <v>#N/A</v>
      </c>
      <c r="I458" s="2365" t="e">
        <f>SUM(H454:H458)</f>
        <v>#N/A</v>
      </c>
    </row>
    <row r="459" spans="1:9">
      <c r="A459" s="972">
        <f t="shared" si="44"/>
        <v>2029.06</v>
      </c>
      <c r="B459" s="1203" t="e">
        <f t="shared" si="42"/>
        <v>#N/A</v>
      </c>
      <c r="C459" s="141" t="e">
        <v>#N/A</v>
      </c>
      <c r="D459" s="1203" t="e">
        <f t="shared" si="43"/>
        <v>#N/A</v>
      </c>
      <c r="E459" s="318" t="e">
        <v>#N/A</v>
      </c>
      <c r="F459" s="947" t="e">
        <v>#N/A</v>
      </c>
      <c r="G459" s="1946" t="e">
        <f>SUM(F454:F459)</f>
        <v>#N/A</v>
      </c>
      <c r="H459" s="947" t="e">
        <v>#N/A</v>
      </c>
      <c r="I459" s="2365" t="e">
        <f>SUM(H454:H459)</f>
        <v>#N/A</v>
      </c>
    </row>
    <row r="460" spans="1:9">
      <c r="A460" s="972">
        <f t="shared" si="44"/>
        <v>2029.07</v>
      </c>
      <c r="B460" s="1203" t="e">
        <f t="shared" si="42"/>
        <v>#N/A</v>
      </c>
      <c r="C460" s="141" t="e">
        <v>#N/A</v>
      </c>
      <c r="D460" s="1203" t="e">
        <f t="shared" si="43"/>
        <v>#N/A</v>
      </c>
      <c r="E460" s="318" t="e">
        <v>#N/A</v>
      </c>
      <c r="F460" s="947" t="e">
        <v>#N/A</v>
      </c>
      <c r="G460" s="1946" t="e">
        <f>SUM(F454:F460)</f>
        <v>#N/A</v>
      </c>
      <c r="H460" s="947" t="e">
        <v>#N/A</v>
      </c>
      <c r="I460" s="2365" t="e">
        <f>SUM(H454:H460)</f>
        <v>#N/A</v>
      </c>
    </row>
    <row r="461" spans="1:9">
      <c r="A461" s="972">
        <f t="shared" si="44"/>
        <v>2029.08</v>
      </c>
      <c r="B461" s="1203" t="e">
        <f t="shared" si="42"/>
        <v>#N/A</v>
      </c>
      <c r="C461" s="141" t="e">
        <v>#N/A</v>
      </c>
      <c r="D461" s="1203" t="e">
        <f t="shared" si="43"/>
        <v>#N/A</v>
      </c>
      <c r="E461" s="318" t="e">
        <v>#N/A</v>
      </c>
      <c r="F461" s="947" t="e">
        <v>#N/A</v>
      </c>
      <c r="G461" s="1946" t="e">
        <f>SUM(F454:F461)</f>
        <v>#N/A</v>
      </c>
      <c r="H461" s="947" t="e">
        <v>#N/A</v>
      </c>
      <c r="I461" s="2365" t="e">
        <f>SUM(H454:H461)</f>
        <v>#N/A</v>
      </c>
    </row>
    <row r="462" spans="1:9">
      <c r="A462" s="972">
        <f t="shared" si="44"/>
        <v>2029.09</v>
      </c>
      <c r="B462" s="1203" t="e">
        <f t="shared" si="42"/>
        <v>#N/A</v>
      </c>
      <c r="C462" s="141" t="e">
        <v>#N/A</v>
      </c>
      <c r="D462" s="1203" t="e">
        <f t="shared" si="43"/>
        <v>#N/A</v>
      </c>
      <c r="E462" s="318" t="e">
        <v>#N/A</v>
      </c>
      <c r="F462" s="947" t="e">
        <v>#N/A</v>
      </c>
      <c r="G462" s="1946" t="e">
        <f>SUM(F454:F462)</f>
        <v>#N/A</v>
      </c>
      <c r="H462" s="947" t="e">
        <v>#N/A</v>
      </c>
      <c r="I462" s="2365" t="e">
        <f>SUM(H454:H462)</f>
        <v>#N/A</v>
      </c>
    </row>
    <row r="463" spans="1:9">
      <c r="A463" s="972">
        <f t="shared" si="44"/>
        <v>2029.1</v>
      </c>
      <c r="B463" s="1203" t="e">
        <f t="shared" si="42"/>
        <v>#N/A</v>
      </c>
      <c r="C463" s="141" t="e">
        <v>#N/A</v>
      </c>
      <c r="D463" s="1203" t="e">
        <f t="shared" si="43"/>
        <v>#N/A</v>
      </c>
      <c r="E463" s="318" t="e">
        <v>#N/A</v>
      </c>
      <c r="F463" s="947" t="e">
        <v>#N/A</v>
      </c>
      <c r="G463" s="1946" t="e">
        <f>SUM(F454:F463)</f>
        <v>#N/A</v>
      </c>
      <c r="H463" s="947" t="e">
        <v>#N/A</v>
      </c>
      <c r="I463" s="2365" t="e">
        <f>SUM(H454:H463)</f>
        <v>#N/A</v>
      </c>
    </row>
    <row r="464" spans="1:9">
      <c r="A464" s="972">
        <f t="shared" si="44"/>
        <v>2029.11</v>
      </c>
      <c r="B464" s="1203" t="e">
        <f t="shared" si="42"/>
        <v>#N/A</v>
      </c>
      <c r="C464" s="141" t="e">
        <v>#N/A</v>
      </c>
      <c r="D464" s="1203" t="e">
        <f t="shared" si="43"/>
        <v>#N/A</v>
      </c>
      <c r="E464" s="318" t="e">
        <v>#N/A</v>
      </c>
      <c r="F464" s="947" t="e">
        <v>#N/A</v>
      </c>
      <c r="G464" s="1946" t="e">
        <f>SUM(F454:F464)</f>
        <v>#N/A</v>
      </c>
      <c r="H464" s="947" t="e">
        <v>#N/A</v>
      </c>
      <c r="I464" s="2365" t="e">
        <f>SUM(H454:H464)</f>
        <v>#N/A</v>
      </c>
    </row>
    <row r="465" spans="1:9">
      <c r="A465" s="972">
        <f t="shared" si="44"/>
        <v>2029.12</v>
      </c>
      <c r="B465" s="1203" t="e">
        <f t="shared" si="42"/>
        <v>#N/A</v>
      </c>
      <c r="C465" s="141" t="e">
        <v>#N/A</v>
      </c>
      <c r="D465" s="1203" t="e">
        <f t="shared" si="43"/>
        <v>#N/A</v>
      </c>
      <c r="E465" s="318" t="e">
        <v>#N/A</v>
      </c>
      <c r="F465" s="947" t="e">
        <v>#N/A</v>
      </c>
      <c r="G465" s="1946" t="e">
        <f>SUM(F454:F465)</f>
        <v>#N/A</v>
      </c>
      <c r="H465" s="947" t="e">
        <v>#N/A</v>
      </c>
      <c r="I465" s="2365" t="e">
        <f>SUM(H454:H465)</f>
        <v>#N/A</v>
      </c>
    </row>
    <row r="466" spans="1:9">
      <c r="A466" s="972">
        <f t="shared" si="44"/>
        <v>2030.01</v>
      </c>
      <c r="B466" s="1203" t="e">
        <f t="shared" si="42"/>
        <v>#N/A</v>
      </c>
      <c r="C466" s="141" t="e">
        <v>#N/A</v>
      </c>
      <c r="D466" s="1203" t="e">
        <f t="shared" si="43"/>
        <v>#N/A</v>
      </c>
      <c r="E466" s="318" t="e">
        <v>#N/A</v>
      </c>
      <c r="F466" s="947" t="e">
        <v>#N/A</v>
      </c>
      <c r="G466" s="1946" t="e">
        <f>+F466</f>
        <v>#N/A</v>
      </c>
      <c r="H466" s="947" t="e">
        <v>#N/A</v>
      </c>
      <c r="I466" s="2365" t="e">
        <f>+H466</f>
        <v>#N/A</v>
      </c>
    </row>
    <row r="467" spans="1:9">
      <c r="A467" s="972">
        <f t="shared" si="44"/>
        <v>2030.02</v>
      </c>
      <c r="B467" s="1203" t="e">
        <f t="shared" si="42"/>
        <v>#N/A</v>
      </c>
      <c r="C467" s="141" t="e">
        <v>#N/A</v>
      </c>
      <c r="D467" s="1203" t="e">
        <f t="shared" si="43"/>
        <v>#N/A</v>
      </c>
      <c r="E467" s="318" t="e">
        <v>#N/A</v>
      </c>
      <c r="F467" s="947" t="e">
        <v>#N/A</v>
      </c>
      <c r="G467" s="1946" t="e">
        <f>SUM(F466:F467)</f>
        <v>#N/A</v>
      </c>
      <c r="H467" s="947" t="e">
        <v>#N/A</v>
      </c>
      <c r="I467" s="2365" t="e">
        <f>SUM(H466:H467)</f>
        <v>#N/A</v>
      </c>
    </row>
    <row r="468" spans="1:9">
      <c r="A468" s="972">
        <f t="shared" si="44"/>
        <v>2030.03</v>
      </c>
      <c r="B468" s="1203" t="e">
        <f t="shared" si="42"/>
        <v>#N/A</v>
      </c>
      <c r="C468" s="141" t="e">
        <v>#N/A</v>
      </c>
      <c r="D468" s="1203" t="e">
        <f t="shared" si="43"/>
        <v>#N/A</v>
      </c>
      <c r="E468" s="318" t="e">
        <v>#N/A</v>
      </c>
      <c r="F468" s="947" t="e">
        <v>#N/A</v>
      </c>
      <c r="G468" s="1946" t="e">
        <f>SUM(F466:F468)</f>
        <v>#N/A</v>
      </c>
      <c r="H468" s="947" t="e">
        <v>#N/A</v>
      </c>
      <c r="I468" s="2365" t="e">
        <f>SUM(H466:H468)</f>
        <v>#N/A</v>
      </c>
    </row>
    <row r="469" spans="1:9">
      <c r="A469" s="972">
        <f t="shared" si="44"/>
        <v>2030.04</v>
      </c>
      <c r="B469" s="1203" t="e">
        <f t="shared" si="42"/>
        <v>#N/A</v>
      </c>
      <c r="C469" s="141" t="e">
        <v>#N/A</v>
      </c>
      <c r="D469" s="1203" t="e">
        <f t="shared" si="43"/>
        <v>#N/A</v>
      </c>
      <c r="E469" s="318" t="e">
        <v>#N/A</v>
      </c>
      <c r="F469" s="947" t="e">
        <v>#N/A</v>
      </c>
      <c r="G469" s="1946" t="e">
        <f>SUM(F466:F469)</f>
        <v>#N/A</v>
      </c>
      <c r="H469" s="947" t="e">
        <v>#N/A</v>
      </c>
      <c r="I469" s="2365" t="e">
        <f>SUM(H466:H469)</f>
        <v>#N/A</v>
      </c>
    </row>
    <row r="470" spans="1:9">
      <c r="A470" s="972">
        <f t="shared" si="44"/>
        <v>2030.05</v>
      </c>
      <c r="B470" s="1203" t="e">
        <f t="shared" si="42"/>
        <v>#N/A</v>
      </c>
      <c r="C470" s="141" t="e">
        <v>#N/A</v>
      </c>
      <c r="D470" s="1203" t="e">
        <f t="shared" si="43"/>
        <v>#N/A</v>
      </c>
      <c r="E470" s="318" t="e">
        <v>#N/A</v>
      </c>
      <c r="F470" s="947" t="e">
        <v>#N/A</v>
      </c>
      <c r="G470" s="1946" t="e">
        <f>SUM(F466:F470)</f>
        <v>#N/A</v>
      </c>
      <c r="H470" s="947" t="e">
        <v>#N/A</v>
      </c>
      <c r="I470" s="2365" t="e">
        <f>SUM(H466:H470)</f>
        <v>#N/A</v>
      </c>
    </row>
    <row r="471" spans="1:9">
      <c r="A471" s="972">
        <f t="shared" si="44"/>
        <v>2030.06</v>
      </c>
      <c r="B471" s="1203" t="e">
        <f t="shared" si="42"/>
        <v>#N/A</v>
      </c>
      <c r="C471" s="141" t="e">
        <v>#N/A</v>
      </c>
      <c r="D471" s="1203" t="e">
        <f t="shared" si="43"/>
        <v>#N/A</v>
      </c>
      <c r="E471" s="318" t="e">
        <v>#N/A</v>
      </c>
      <c r="F471" s="947" t="e">
        <v>#N/A</v>
      </c>
      <c r="G471" s="1946" t="e">
        <f>SUM(F466:F471)</f>
        <v>#N/A</v>
      </c>
      <c r="H471" s="947" t="e">
        <v>#N/A</v>
      </c>
      <c r="I471" s="2365" t="e">
        <f>SUM(H466:H471)</f>
        <v>#N/A</v>
      </c>
    </row>
    <row r="472" spans="1:9">
      <c r="A472" s="972">
        <f t="shared" si="44"/>
        <v>2030.07</v>
      </c>
      <c r="B472" s="1203" t="e">
        <f t="shared" si="42"/>
        <v>#N/A</v>
      </c>
      <c r="C472" s="141" t="e">
        <v>#N/A</v>
      </c>
      <c r="D472" s="1203" t="e">
        <f t="shared" si="43"/>
        <v>#N/A</v>
      </c>
      <c r="E472" s="318" t="e">
        <v>#N/A</v>
      </c>
      <c r="F472" s="947" t="e">
        <v>#N/A</v>
      </c>
      <c r="G472" s="1946" t="e">
        <f>SUM(F466:F472)</f>
        <v>#N/A</v>
      </c>
      <c r="H472" s="947" t="e">
        <v>#N/A</v>
      </c>
      <c r="I472" s="2365" t="e">
        <f>SUM(H466:H472)</f>
        <v>#N/A</v>
      </c>
    </row>
    <row r="473" spans="1:9">
      <c r="A473" s="972">
        <f t="shared" si="44"/>
        <v>2030.08</v>
      </c>
      <c r="B473" s="1203" t="e">
        <f t="shared" si="42"/>
        <v>#N/A</v>
      </c>
      <c r="C473" s="141" t="e">
        <v>#N/A</v>
      </c>
      <c r="D473" s="1203" t="e">
        <f t="shared" si="43"/>
        <v>#N/A</v>
      </c>
      <c r="E473" s="318" t="e">
        <v>#N/A</v>
      </c>
      <c r="F473" s="947" t="e">
        <v>#N/A</v>
      </c>
      <c r="G473" s="1946" t="e">
        <f>SUM(F466:F473)</f>
        <v>#N/A</v>
      </c>
      <c r="H473" s="947" t="e">
        <v>#N/A</v>
      </c>
      <c r="I473" s="2365" t="e">
        <f>SUM(H466:H473)</f>
        <v>#N/A</v>
      </c>
    </row>
    <row r="474" spans="1:9">
      <c r="A474" s="972">
        <f t="shared" si="44"/>
        <v>2030.09</v>
      </c>
      <c r="B474" s="1203" t="e">
        <f t="shared" si="42"/>
        <v>#N/A</v>
      </c>
      <c r="C474" s="141" t="e">
        <v>#N/A</v>
      </c>
      <c r="D474" s="1203" t="e">
        <f t="shared" si="43"/>
        <v>#N/A</v>
      </c>
      <c r="E474" s="318" t="e">
        <v>#N/A</v>
      </c>
      <c r="F474" s="947" t="e">
        <v>#N/A</v>
      </c>
      <c r="G474" s="1946" t="e">
        <f>SUM(F466:F474)</f>
        <v>#N/A</v>
      </c>
      <c r="H474" s="947" t="e">
        <v>#N/A</v>
      </c>
      <c r="I474" s="2365" t="e">
        <f>SUM(H466:H474)</f>
        <v>#N/A</v>
      </c>
    </row>
    <row r="475" spans="1:9">
      <c r="A475" s="972">
        <f t="shared" si="44"/>
        <v>2030.1</v>
      </c>
      <c r="B475" s="1203" t="e">
        <f t="shared" si="42"/>
        <v>#N/A</v>
      </c>
      <c r="C475" s="141" t="e">
        <v>#N/A</v>
      </c>
      <c r="D475" s="1203" t="e">
        <f t="shared" si="43"/>
        <v>#N/A</v>
      </c>
      <c r="E475" s="318" t="e">
        <v>#N/A</v>
      </c>
      <c r="F475" s="947" t="e">
        <v>#N/A</v>
      </c>
      <c r="G475" s="1946" t="e">
        <f>SUM(F466:F475)</f>
        <v>#N/A</v>
      </c>
      <c r="H475" s="947" t="e">
        <v>#N/A</v>
      </c>
      <c r="I475" s="2365" t="e">
        <f>SUM(H466:H475)</f>
        <v>#N/A</v>
      </c>
    </row>
    <row r="476" spans="1:9">
      <c r="A476" s="972">
        <f t="shared" si="44"/>
        <v>2030.11</v>
      </c>
      <c r="B476" s="1203" t="e">
        <f t="shared" si="42"/>
        <v>#N/A</v>
      </c>
      <c r="C476" s="141" t="e">
        <v>#N/A</v>
      </c>
      <c r="D476" s="1203" t="e">
        <f t="shared" si="43"/>
        <v>#N/A</v>
      </c>
      <c r="E476" s="318" t="e">
        <v>#N/A</v>
      </c>
      <c r="F476" s="947" t="e">
        <v>#N/A</v>
      </c>
      <c r="G476" s="1946" t="e">
        <f>SUM(F466:F476)</f>
        <v>#N/A</v>
      </c>
      <c r="H476" s="947" t="e">
        <v>#N/A</v>
      </c>
      <c r="I476" s="2365" t="e">
        <f>SUM(H466:H476)</f>
        <v>#N/A</v>
      </c>
    </row>
    <row r="477" spans="1:9">
      <c r="A477" s="972">
        <f t="shared" si="44"/>
        <v>2030.12</v>
      </c>
      <c r="B477" s="1203" t="e">
        <f t="shared" si="42"/>
        <v>#N/A</v>
      </c>
      <c r="C477" s="141" t="e">
        <v>#N/A</v>
      </c>
      <c r="D477" s="1203" t="e">
        <f t="shared" si="43"/>
        <v>#N/A</v>
      </c>
      <c r="E477" s="318" t="e">
        <v>#N/A</v>
      </c>
      <c r="F477" s="947" t="e">
        <v>#N/A</v>
      </c>
      <c r="G477" s="1946" t="e">
        <f>SUM(F466:F477)</f>
        <v>#N/A</v>
      </c>
      <c r="H477" s="947" t="e">
        <v>#N/A</v>
      </c>
      <c r="I477" s="2365" t="e">
        <f>SUM(H466:H477)</f>
        <v>#N/A</v>
      </c>
    </row>
  </sheetData>
  <phoneticPr fontId="0" type="noConversion"/>
  <hyperlinks>
    <hyperlink ref="A5" location="INDICE!A13" display="VOLVER AL INDICE" xr:uid="{00000000-0004-0000-3000-000000000000}"/>
  </hyperlinks>
  <pageMargins left="0.75" right="0.75" top="1" bottom="1" header="0" footer="0"/>
  <pageSetup paperSize="9" orientation="portrait" horizontalDpi="300" verticalDpi="300" r:id="rId1"/>
  <headerFooter alignWithMargins="0"/>
  <ignoredErrors>
    <ignoredError sqref="D370" formula="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6">
    <pageSetUpPr autoPageBreaks="0"/>
  </sheetPr>
  <dimension ref="A1:G453"/>
  <sheetViews>
    <sheetView workbookViewId="0">
      <pane xSplit="1" ySplit="9" topLeftCell="B383" activePane="bottomRight" state="frozen"/>
      <selection pane="topRight" activeCell="B1" sqref="B1"/>
      <selection pane="bottomLeft" activeCell="A10" sqref="A10"/>
      <selection pane="bottomRight" activeCell="A5" sqref="A5"/>
    </sheetView>
  </sheetViews>
  <sheetFormatPr baseColWidth="10" defaultColWidth="11.42578125" defaultRowHeight="12.75"/>
  <cols>
    <col min="1" max="1" width="10.42578125" style="21" bestFit="1" customWidth="1"/>
    <col min="2" max="2" width="27" style="21" customWidth="1"/>
    <col min="3" max="3" width="26.42578125" style="21" customWidth="1"/>
    <col min="4" max="16384" width="11.42578125" style="6"/>
  </cols>
  <sheetData>
    <row r="1" spans="1:4" ht="3.75" customHeight="1">
      <c r="A1" s="2761"/>
      <c r="B1" s="89"/>
      <c r="C1" s="1480"/>
      <c r="D1" s="12"/>
    </row>
    <row r="2" spans="1:4" ht="33.75">
      <c r="A2" s="2762" t="s">
        <v>99</v>
      </c>
      <c r="B2" s="321" t="s">
        <v>1744</v>
      </c>
      <c r="C2" s="2913" t="s">
        <v>1745</v>
      </c>
      <c r="D2" s="1306" t="s">
        <v>5</v>
      </c>
    </row>
    <row r="3" spans="1:4">
      <c r="A3" s="2762" t="s">
        <v>104</v>
      </c>
      <c r="B3" s="1481" t="s">
        <v>1746</v>
      </c>
      <c r="C3" s="1482"/>
      <c r="D3" s="1306" t="s">
        <v>5</v>
      </c>
    </row>
    <row r="4" spans="1:4" ht="3" hidden="1" customHeight="1">
      <c r="A4" s="2762"/>
      <c r="B4" s="321"/>
      <c r="C4" s="1431"/>
      <c r="D4" s="1306" t="s">
        <v>5</v>
      </c>
    </row>
    <row r="5" spans="1:4" s="21" customFormat="1" ht="22.5">
      <c r="A5" s="2867" t="s">
        <v>140</v>
      </c>
      <c r="B5" s="148"/>
      <c r="C5" s="2998"/>
      <c r="D5" s="1430" t="s">
        <v>5</v>
      </c>
    </row>
    <row r="6" spans="1:4" s="21" customFormat="1" ht="3" hidden="1" customHeight="1">
      <c r="A6" s="2762"/>
      <c r="B6" s="93"/>
      <c r="C6" s="1431"/>
      <c r="D6" s="114"/>
    </row>
    <row r="7" spans="1:4" s="21" customFormat="1" ht="22.5">
      <c r="A7" s="2762" t="s">
        <v>125</v>
      </c>
      <c r="B7" s="148" t="s">
        <v>238</v>
      </c>
      <c r="C7" s="2998" t="s">
        <v>238</v>
      </c>
      <c r="D7" s="1430" t="s">
        <v>5</v>
      </c>
    </row>
    <row r="8" spans="1:4" s="21" customFormat="1" ht="13.5" customHeight="1">
      <c r="A8" s="3002" t="s">
        <v>144</v>
      </c>
      <c r="B8" s="2287" t="s">
        <v>1747</v>
      </c>
      <c r="C8" s="3047" t="s">
        <v>1748</v>
      </c>
      <c r="D8" s="1474" t="s">
        <v>5</v>
      </c>
    </row>
    <row r="9" spans="1:4" ht="13.5" thickBot="1">
      <c r="A9" s="2140"/>
      <c r="B9" s="1243"/>
      <c r="C9" s="1395"/>
      <c r="D9" s="1475" t="s">
        <v>5</v>
      </c>
    </row>
    <row r="10" spans="1:4">
      <c r="A10" s="970">
        <v>1994.01</v>
      </c>
      <c r="B10" s="1671">
        <v>101502.326514179</v>
      </c>
      <c r="C10" s="1672"/>
      <c r="D10" s="954"/>
    </row>
    <row r="11" spans="1:4">
      <c r="A11" s="972">
        <v>1994.02</v>
      </c>
      <c r="B11" s="187">
        <v>89826.435423328207</v>
      </c>
      <c r="C11" s="1483"/>
      <c r="D11" s="954"/>
    </row>
    <row r="12" spans="1:4">
      <c r="A12" s="972">
        <v>1994.03</v>
      </c>
      <c r="B12" s="187">
        <v>95419.858465009893</v>
      </c>
      <c r="C12" s="1483"/>
      <c r="D12" s="954"/>
    </row>
    <row r="13" spans="1:4">
      <c r="A13" s="972">
        <v>1994.04</v>
      </c>
      <c r="B13" s="187">
        <v>84582.241096539699</v>
      </c>
      <c r="C13" s="1483"/>
      <c r="D13" s="954"/>
    </row>
    <row r="14" spans="1:4">
      <c r="A14" s="972">
        <v>1994.05</v>
      </c>
      <c r="B14" s="187">
        <v>97698.537419735207</v>
      </c>
      <c r="C14" s="1483"/>
      <c r="D14" s="954"/>
    </row>
    <row r="15" spans="1:4">
      <c r="A15" s="972">
        <v>1994.06</v>
      </c>
      <c r="B15" s="187">
        <v>92990.988217492195</v>
      </c>
      <c r="C15" s="1483"/>
      <c r="D15" s="954"/>
    </row>
    <row r="16" spans="1:4">
      <c r="A16" s="972">
        <v>1994.07</v>
      </c>
      <c r="B16" s="187">
        <v>90392.373347513494</v>
      </c>
      <c r="C16" s="1483"/>
      <c r="D16" s="954"/>
    </row>
    <row r="17" spans="1:4">
      <c r="A17" s="972">
        <v>1994.08</v>
      </c>
      <c r="B17" s="187">
        <v>93247.387389744297</v>
      </c>
      <c r="C17" s="1483"/>
      <c r="D17" s="954"/>
    </row>
    <row r="18" spans="1:4">
      <c r="A18" s="972">
        <v>1994.09</v>
      </c>
      <c r="B18" s="187">
        <v>85676.482979536799</v>
      </c>
      <c r="C18" s="1483"/>
      <c r="D18" s="954"/>
    </row>
    <row r="19" spans="1:4">
      <c r="A19" s="972">
        <v>1994.1</v>
      </c>
      <c r="B19" s="187">
        <v>87042.299022756692</v>
      </c>
      <c r="C19" s="1483"/>
      <c r="D19" s="954"/>
    </row>
    <row r="20" spans="1:4">
      <c r="A20" s="972">
        <v>1994.11</v>
      </c>
      <c r="B20" s="187">
        <v>83693.091995603099</v>
      </c>
      <c r="C20" s="1483"/>
      <c r="D20" s="954"/>
    </row>
    <row r="21" spans="1:4">
      <c r="A21" s="972">
        <v>1994.12</v>
      </c>
      <c r="B21" s="187">
        <v>77341.213677086504</v>
      </c>
      <c r="C21" s="1483"/>
      <c r="D21" s="954"/>
    </row>
    <row r="22" spans="1:4">
      <c r="A22" s="972">
        <v>1995.01</v>
      </c>
      <c r="B22" s="187">
        <v>98821.545516689599</v>
      </c>
      <c r="C22" s="1483"/>
      <c r="D22" s="954"/>
    </row>
    <row r="23" spans="1:4">
      <c r="A23" s="972">
        <v>1995.02</v>
      </c>
      <c r="B23" s="187">
        <v>87454.026736504704</v>
      </c>
      <c r="C23" s="1483"/>
      <c r="D23" s="954"/>
    </row>
    <row r="24" spans="1:4">
      <c r="A24" s="972">
        <v>1995.03</v>
      </c>
      <c r="B24" s="187">
        <v>92899.721714052299</v>
      </c>
      <c r="C24" s="1483"/>
      <c r="D24" s="954"/>
    </row>
    <row r="25" spans="1:4">
      <c r="A25" s="972">
        <v>1995.04</v>
      </c>
      <c r="B25" s="187">
        <v>82348.336983760906</v>
      </c>
      <c r="C25" s="1483"/>
      <c r="D25" s="954"/>
    </row>
    <row r="26" spans="1:4">
      <c r="A26" s="972">
        <v>1995.05</v>
      </c>
      <c r="B26" s="187">
        <v>95118.218410389993</v>
      </c>
      <c r="C26" s="1483"/>
      <c r="D26" s="954"/>
    </row>
    <row r="27" spans="1:4">
      <c r="A27" s="972">
        <v>1995.06</v>
      </c>
      <c r="B27" s="187">
        <v>90535.000431671811</v>
      </c>
      <c r="C27" s="1483"/>
      <c r="D27" s="954"/>
    </row>
    <row r="28" spans="1:4">
      <c r="A28" s="972">
        <v>1995.07</v>
      </c>
      <c r="B28" s="187">
        <v>88005.017657158009</v>
      </c>
      <c r="C28" s="1483"/>
      <c r="D28" s="954"/>
    </row>
    <row r="29" spans="1:4">
      <c r="A29" s="972">
        <v>1995.08</v>
      </c>
      <c r="B29" s="187">
        <v>90784.627837676104</v>
      </c>
      <c r="C29" s="1483"/>
      <c r="D29" s="954"/>
    </row>
    <row r="30" spans="1:4">
      <c r="A30" s="972">
        <v>1995.09</v>
      </c>
      <c r="B30" s="187">
        <v>83413.678811485006</v>
      </c>
      <c r="C30" s="1483"/>
      <c r="D30" s="954"/>
    </row>
    <row r="31" spans="1:4">
      <c r="A31" s="972">
        <v>1995.1</v>
      </c>
      <c r="B31" s="187">
        <v>84743.422246120608</v>
      </c>
      <c r="C31" s="1483"/>
      <c r="D31" s="954"/>
    </row>
    <row r="32" spans="1:4">
      <c r="A32" s="972">
        <v>1995.11</v>
      </c>
      <c r="B32" s="187">
        <v>81482.671226463499</v>
      </c>
      <c r="C32" s="1483"/>
      <c r="D32" s="954"/>
    </row>
    <row r="33" spans="1:5">
      <c r="A33" s="972">
        <v>1995.12</v>
      </c>
      <c r="B33" s="187">
        <v>75298.552557202493</v>
      </c>
      <c r="C33" s="1483"/>
      <c r="D33" s="954"/>
      <c r="E33" s="166"/>
    </row>
    <row r="34" spans="1:5">
      <c r="A34" s="972">
        <v>1996.01</v>
      </c>
      <c r="B34" s="223">
        <v>92442.506955294797</v>
      </c>
      <c r="C34" s="1484">
        <v>1681804.3830000001</v>
      </c>
      <c r="D34" s="829"/>
      <c r="E34" s="829"/>
    </row>
    <row r="35" spans="1:5">
      <c r="A35" s="972">
        <v>1996.02</v>
      </c>
      <c r="B35" s="223">
        <v>87390.448967887496</v>
      </c>
      <c r="C35" s="883">
        <v>1634886.1880000001</v>
      </c>
      <c r="D35" s="829"/>
      <c r="E35" s="829"/>
    </row>
    <row r="36" spans="1:5">
      <c r="A36" s="972">
        <v>1996.03</v>
      </c>
      <c r="B36" s="223">
        <v>100106.60416868031</v>
      </c>
      <c r="C36" s="883">
        <v>1705176.5359999998</v>
      </c>
      <c r="D36" s="829"/>
      <c r="E36" s="829"/>
    </row>
    <row r="37" spans="1:5">
      <c r="A37" s="972">
        <v>1996.04</v>
      </c>
      <c r="B37" s="223">
        <v>76400.409875402882</v>
      </c>
      <c r="C37" s="883">
        <v>1573778.32972</v>
      </c>
      <c r="D37" s="829"/>
      <c r="E37" s="829"/>
    </row>
    <row r="38" spans="1:5">
      <c r="A38" s="972">
        <v>1996.05</v>
      </c>
      <c r="B38" s="223">
        <v>99173.510537193477</v>
      </c>
      <c r="C38" s="883">
        <v>1685070.5119999996</v>
      </c>
      <c r="D38" s="829"/>
      <c r="E38" s="829"/>
    </row>
    <row r="39" spans="1:5">
      <c r="A39" s="972">
        <v>1996.06</v>
      </c>
      <c r="B39" s="223">
        <v>88592.521071340569</v>
      </c>
      <c r="C39" s="883">
        <v>1602537.1251700001</v>
      </c>
      <c r="D39" s="829"/>
      <c r="E39" s="829"/>
    </row>
    <row r="40" spans="1:5">
      <c r="A40" s="972">
        <v>1996.07</v>
      </c>
      <c r="B40" s="223">
        <v>80360.776777878928</v>
      </c>
      <c r="C40" s="883">
        <v>1700189.3160000001</v>
      </c>
      <c r="D40" s="829"/>
      <c r="E40" s="829"/>
    </row>
    <row r="41" spans="1:5">
      <c r="A41" s="972">
        <v>1996.08</v>
      </c>
      <c r="B41" s="223">
        <v>86336.211892516483</v>
      </c>
      <c r="C41" s="883">
        <v>1800893.997</v>
      </c>
      <c r="D41" s="829"/>
      <c r="E41" s="829"/>
    </row>
    <row r="42" spans="1:5">
      <c r="A42" s="972">
        <v>1996.09</v>
      </c>
      <c r="B42" s="223">
        <v>70195.117046728963</v>
      </c>
      <c r="C42" s="883">
        <v>1571447.1659999997</v>
      </c>
      <c r="D42" s="829"/>
      <c r="E42" s="829"/>
    </row>
    <row r="43" spans="1:5">
      <c r="A43" s="972">
        <v>1996.1</v>
      </c>
      <c r="B43" s="223">
        <v>83169.193089555483</v>
      </c>
      <c r="C43" s="883">
        <v>1781489.4750000001</v>
      </c>
      <c r="D43" s="829"/>
      <c r="E43" s="829"/>
    </row>
    <row r="44" spans="1:5">
      <c r="A44" s="972">
        <v>1996.11</v>
      </c>
      <c r="B44" s="223">
        <v>76911.572410581284</v>
      </c>
      <c r="C44" s="883">
        <v>1789509.2489999998</v>
      </c>
      <c r="D44" s="829"/>
      <c r="E44" s="829"/>
    </row>
    <row r="45" spans="1:5">
      <c r="A45" s="972">
        <v>1996.12</v>
      </c>
      <c r="B45" s="223">
        <v>65868.398626546696</v>
      </c>
      <c r="C45" s="883">
        <v>1624639.1150000002</v>
      </c>
      <c r="D45" s="829"/>
      <c r="E45" s="829"/>
    </row>
    <row r="46" spans="1:5">
      <c r="A46" s="972">
        <v>1997.01</v>
      </c>
      <c r="B46" s="223">
        <v>100054.61499338708</v>
      </c>
      <c r="C46" s="883">
        <v>1934474.0979999998</v>
      </c>
      <c r="D46" s="829"/>
      <c r="E46" s="829"/>
    </row>
    <row r="47" spans="1:5">
      <c r="A47" s="972">
        <v>1997.02</v>
      </c>
      <c r="B47" s="223">
        <v>83294.936162635582</v>
      </c>
      <c r="C47" s="883">
        <v>1702168.8709999998</v>
      </c>
      <c r="D47" s="829"/>
      <c r="E47" s="829"/>
    </row>
    <row r="48" spans="1:5">
      <c r="A48" s="972">
        <v>1997.03</v>
      </c>
      <c r="B48" s="223">
        <v>88229.606297174672</v>
      </c>
      <c r="C48" s="883">
        <v>1699710.2659999998</v>
      </c>
      <c r="D48" s="829"/>
      <c r="E48" s="829"/>
    </row>
    <row r="49" spans="1:5">
      <c r="A49" s="972">
        <v>1997.04</v>
      </c>
      <c r="B49" s="223">
        <v>83143.086816911615</v>
      </c>
      <c r="C49" s="883">
        <v>1808992.8230000001</v>
      </c>
      <c r="D49" s="829"/>
      <c r="E49" s="829"/>
    </row>
    <row r="50" spans="1:5">
      <c r="A50" s="972">
        <v>1997.05</v>
      </c>
      <c r="B50" s="223">
        <v>92596.317354727886</v>
      </c>
      <c r="C50" s="883">
        <v>1884623.2650000001</v>
      </c>
      <c r="D50" s="829"/>
      <c r="E50" s="829"/>
    </row>
    <row r="51" spans="1:5">
      <c r="A51" s="972">
        <v>1997.06</v>
      </c>
      <c r="B51" s="223">
        <v>83141.584989484749</v>
      </c>
      <c r="C51" s="883">
        <v>1774658</v>
      </c>
      <c r="D51" s="829"/>
      <c r="E51" s="829"/>
    </row>
    <row r="52" spans="1:5">
      <c r="A52" s="972">
        <v>1997.07</v>
      </c>
      <c r="B52" s="223">
        <v>77689.576499975825</v>
      </c>
      <c r="C52" s="883">
        <v>1829115.5153199998</v>
      </c>
      <c r="D52" s="829"/>
      <c r="E52" s="829"/>
    </row>
    <row r="53" spans="1:5">
      <c r="A53" s="972">
        <v>1997.08</v>
      </c>
      <c r="B53" s="223">
        <v>90006.659898069629</v>
      </c>
      <c r="C53" s="883">
        <v>1913992.1202200002</v>
      </c>
      <c r="D53" s="829"/>
      <c r="E53" s="829"/>
    </row>
    <row r="54" spans="1:5">
      <c r="A54" s="972">
        <v>1997.09</v>
      </c>
      <c r="B54" s="223">
        <v>87943.99994226612</v>
      </c>
      <c r="C54" s="883">
        <v>2036527.07593</v>
      </c>
      <c r="D54" s="829"/>
      <c r="E54" s="829"/>
    </row>
    <row r="55" spans="1:5">
      <c r="A55" s="972">
        <v>1997.1</v>
      </c>
      <c r="B55" s="223">
        <v>79438.776515631049</v>
      </c>
      <c r="C55" s="883">
        <v>1973309.7508799995</v>
      </c>
      <c r="D55" s="829"/>
      <c r="E55" s="829"/>
    </row>
    <row r="56" spans="1:5">
      <c r="A56" s="972">
        <v>1997.11</v>
      </c>
      <c r="B56" s="223">
        <v>82610.768334254259</v>
      </c>
      <c r="C56" s="883">
        <v>1873869.9154499993</v>
      </c>
      <c r="D56" s="829"/>
      <c r="E56" s="829"/>
    </row>
    <row r="57" spans="1:5">
      <c r="A57" s="972">
        <v>1997.12</v>
      </c>
      <c r="B57" s="223">
        <v>74712.241863817762</v>
      </c>
      <c r="C57" s="883">
        <v>1905676.5446000001</v>
      </c>
      <c r="D57" s="829"/>
      <c r="E57" s="829"/>
    </row>
    <row r="58" spans="1:5">
      <c r="A58" s="972">
        <v>1998.01</v>
      </c>
      <c r="B58" s="223">
        <v>91117</v>
      </c>
      <c r="C58" s="883">
        <v>2001649</v>
      </c>
      <c r="D58" s="829"/>
      <c r="E58" s="829"/>
    </row>
    <row r="59" spans="1:5">
      <c r="A59" s="972">
        <v>1998.02</v>
      </c>
      <c r="B59" s="223">
        <v>71040</v>
      </c>
      <c r="C59" s="883">
        <v>1792678</v>
      </c>
      <c r="D59" s="829"/>
      <c r="E59" s="829"/>
    </row>
    <row r="60" spans="1:5">
      <c r="A60" s="972">
        <v>1998.03</v>
      </c>
      <c r="B60" s="223">
        <v>74686</v>
      </c>
      <c r="C60" s="883">
        <v>1869131</v>
      </c>
      <c r="D60" s="829"/>
      <c r="E60" s="829"/>
    </row>
    <row r="61" spans="1:5">
      <c r="A61" s="972">
        <v>1998.04</v>
      </c>
      <c r="B61" s="223">
        <v>77125</v>
      </c>
      <c r="C61" s="883">
        <v>1913600</v>
      </c>
      <c r="D61" s="829"/>
      <c r="E61" s="829"/>
    </row>
    <row r="62" spans="1:5">
      <c r="A62" s="972">
        <v>1998.05</v>
      </c>
      <c r="B62" s="223">
        <v>77454</v>
      </c>
      <c r="C62" s="883">
        <v>1807181</v>
      </c>
      <c r="D62" s="829"/>
      <c r="E62" s="829"/>
    </row>
    <row r="63" spans="1:5">
      <c r="A63" s="972">
        <v>1998.06</v>
      </c>
      <c r="B63" s="223">
        <v>86020</v>
      </c>
      <c r="C63" s="883">
        <v>1922010</v>
      </c>
      <c r="D63" s="829"/>
      <c r="E63" s="829"/>
    </row>
    <row r="64" spans="1:5">
      <c r="A64" s="972">
        <v>1998.07</v>
      </c>
      <c r="B64" s="223">
        <v>82110</v>
      </c>
      <c r="C64" s="883">
        <v>2005247</v>
      </c>
      <c r="D64" s="829"/>
      <c r="E64" s="829"/>
    </row>
    <row r="65" spans="1:5">
      <c r="A65" s="972">
        <v>1998.08</v>
      </c>
      <c r="B65" s="223">
        <v>78710</v>
      </c>
      <c r="C65" s="883">
        <v>1908841</v>
      </c>
      <c r="D65" s="829"/>
      <c r="E65" s="829"/>
    </row>
    <row r="66" spans="1:5">
      <c r="A66" s="972">
        <v>1998.09</v>
      </c>
      <c r="B66" s="223">
        <v>79892</v>
      </c>
      <c r="C66" s="883">
        <v>1921579</v>
      </c>
      <c r="D66" s="829"/>
      <c r="E66" s="829"/>
    </row>
    <row r="67" spans="1:5">
      <c r="A67" s="972">
        <v>1998.1</v>
      </c>
      <c r="B67" s="223">
        <v>74688</v>
      </c>
      <c r="C67" s="883">
        <v>1846888</v>
      </c>
      <c r="D67" s="829"/>
      <c r="E67" s="829"/>
    </row>
    <row r="68" spans="1:5">
      <c r="A68" s="972">
        <v>1998.11</v>
      </c>
      <c r="B68" s="223">
        <v>67172</v>
      </c>
      <c r="C68" s="883">
        <v>1822638</v>
      </c>
      <c r="D68" s="829"/>
      <c r="E68" s="829"/>
    </row>
    <row r="69" spans="1:5">
      <c r="A69" s="972">
        <v>1998.12</v>
      </c>
      <c r="B69" s="223">
        <v>70827</v>
      </c>
      <c r="C69" s="883">
        <v>1778506</v>
      </c>
      <c r="D69" s="829"/>
      <c r="E69" s="829"/>
    </row>
    <row r="70" spans="1:5">
      <c r="A70" s="972">
        <v>1999.01</v>
      </c>
      <c r="B70" s="223">
        <v>84864</v>
      </c>
      <c r="C70" s="883">
        <v>1864139</v>
      </c>
      <c r="D70" s="829"/>
      <c r="E70" s="829"/>
    </row>
    <row r="71" spans="1:5">
      <c r="A71" s="972">
        <v>1999.02</v>
      </c>
      <c r="B71" s="223">
        <v>73241</v>
      </c>
      <c r="C71" s="883">
        <v>1650342</v>
      </c>
      <c r="D71" s="829"/>
      <c r="E71" s="829"/>
    </row>
    <row r="72" spans="1:5">
      <c r="A72" s="972">
        <v>1999.03</v>
      </c>
      <c r="B72" s="223">
        <v>70836</v>
      </c>
      <c r="C72" s="883">
        <v>1761852</v>
      </c>
      <c r="D72" s="829"/>
      <c r="E72" s="829"/>
    </row>
    <row r="73" spans="1:5">
      <c r="A73" s="972">
        <v>1999.04</v>
      </c>
      <c r="B73" s="223">
        <v>61831</v>
      </c>
      <c r="C73" s="883">
        <v>1780781</v>
      </c>
      <c r="D73" s="829"/>
      <c r="E73" s="829"/>
    </row>
    <row r="74" spans="1:5">
      <c r="A74" s="972">
        <v>1999.05</v>
      </c>
      <c r="B74" s="223">
        <v>70458</v>
      </c>
      <c r="C74" s="883">
        <v>1638032</v>
      </c>
      <c r="D74" s="829"/>
      <c r="E74" s="829"/>
    </row>
    <row r="75" spans="1:5">
      <c r="A75" s="972">
        <v>1999.06</v>
      </c>
      <c r="B75" s="223">
        <v>60314</v>
      </c>
      <c r="C75" s="883">
        <v>1660095</v>
      </c>
      <c r="D75" s="829"/>
      <c r="E75" s="829"/>
    </row>
    <row r="76" spans="1:5">
      <c r="A76" s="972">
        <v>1999.07</v>
      </c>
      <c r="B76" s="223">
        <v>72755</v>
      </c>
      <c r="C76" s="883">
        <v>1722734</v>
      </c>
      <c r="D76" s="829"/>
      <c r="E76" s="829"/>
    </row>
    <row r="77" spans="1:5">
      <c r="A77" s="972">
        <v>1999.08</v>
      </c>
      <c r="B77" s="223">
        <v>63340</v>
      </c>
      <c r="C77" s="883">
        <v>1715936</v>
      </c>
      <c r="D77" s="829"/>
      <c r="E77" s="829"/>
    </row>
    <row r="78" spans="1:5">
      <c r="A78" s="972">
        <v>1999.09</v>
      </c>
      <c r="B78" s="223">
        <v>59703</v>
      </c>
      <c r="C78" s="883">
        <v>1743672</v>
      </c>
      <c r="D78" s="829"/>
      <c r="E78" s="829"/>
    </row>
    <row r="79" spans="1:5">
      <c r="A79" s="972">
        <v>1999.1</v>
      </c>
      <c r="B79" s="223">
        <v>62265</v>
      </c>
      <c r="C79" s="883">
        <v>1739610</v>
      </c>
      <c r="D79" s="829"/>
      <c r="E79" s="829"/>
    </row>
    <row r="80" spans="1:5">
      <c r="A80" s="972">
        <v>1999.11</v>
      </c>
      <c r="B80" s="223">
        <v>62115</v>
      </c>
      <c r="C80" s="883">
        <v>1708376</v>
      </c>
      <c r="D80" s="829"/>
      <c r="E80" s="829"/>
    </row>
    <row r="81" spans="1:5">
      <c r="A81" s="972">
        <v>1999.12</v>
      </c>
      <c r="B81" s="223">
        <v>64503</v>
      </c>
      <c r="C81" s="883">
        <v>1753302</v>
      </c>
      <c r="D81" s="829"/>
      <c r="E81" s="829"/>
    </row>
    <row r="82" spans="1:5">
      <c r="A82" s="972">
        <v>2000.01</v>
      </c>
      <c r="B82" s="223">
        <v>69888</v>
      </c>
      <c r="C82" s="883">
        <v>1755562</v>
      </c>
      <c r="D82" s="829"/>
      <c r="E82" s="829"/>
    </row>
    <row r="83" spans="1:5">
      <c r="A83" s="972">
        <v>2000.02</v>
      </c>
      <c r="B83" s="223">
        <v>66743</v>
      </c>
      <c r="C83" s="883">
        <v>1550481</v>
      </c>
      <c r="D83" s="829"/>
      <c r="E83" s="829"/>
    </row>
    <row r="84" spans="1:5">
      <c r="A84" s="972">
        <v>2000.03</v>
      </c>
      <c r="B84" s="223">
        <v>71062</v>
      </c>
      <c r="C84" s="883">
        <v>1713715</v>
      </c>
      <c r="D84" s="829"/>
      <c r="E84" s="829"/>
    </row>
    <row r="85" spans="1:5">
      <c r="A85" s="972">
        <v>2000.04</v>
      </c>
      <c r="B85" s="223">
        <v>65530</v>
      </c>
      <c r="C85" s="883">
        <v>1680348</v>
      </c>
      <c r="D85" s="829"/>
      <c r="E85" s="829"/>
    </row>
    <row r="86" spans="1:5">
      <c r="A86" s="972">
        <v>2000.05</v>
      </c>
      <c r="B86" s="223">
        <v>60721</v>
      </c>
      <c r="C86" s="883">
        <v>1665493</v>
      </c>
      <c r="D86" s="829"/>
      <c r="E86" s="829"/>
    </row>
    <row r="87" spans="1:5">
      <c r="A87" s="972">
        <v>2000.06</v>
      </c>
      <c r="B87" s="223">
        <v>76385.926000000007</v>
      </c>
      <c r="C87" s="883">
        <v>1771128.797</v>
      </c>
      <c r="D87" s="829"/>
      <c r="E87" s="829"/>
    </row>
    <row r="88" spans="1:5">
      <c r="A88" s="972">
        <v>2000.07</v>
      </c>
      <c r="B88" s="223">
        <v>76501.849000000002</v>
      </c>
      <c r="C88" s="883">
        <v>1752142.19</v>
      </c>
      <c r="D88" s="829"/>
      <c r="E88" s="829"/>
    </row>
    <row r="89" spans="1:5">
      <c r="A89" s="972">
        <v>2000.08</v>
      </c>
      <c r="B89" s="223">
        <v>77832.728000000003</v>
      </c>
      <c r="C89" s="883">
        <v>1798108.9380000001</v>
      </c>
      <c r="D89" s="829"/>
      <c r="E89" s="829"/>
    </row>
    <row r="90" spans="1:5">
      <c r="A90" s="972">
        <v>2000.09</v>
      </c>
      <c r="B90" s="223">
        <v>71112.695000000007</v>
      </c>
      <c r="C90" s="883">
        <v>1727158.4879999999</v>
      </c>
      <c r="D90" s="829"/>
      <c r="E90" s="829"/>
    </row>
    <row r="91" spans="1:5">
      <c r="A91" s="972">
        <v>2000.1</v>
      </c>
      <c r="B91" s="223">
        <v>68664.298999999999</v>
      </c>
      <c r="C91" s="883">
        <v>1701493.4350000001</v>
      </c>
      <c r="D91" s="829"/>
      <c r="E91" s="829"/>
    </row>
    <row r="92" spans="1:5">
      <c r="A92" s="972">
        <v>2000.11</v>
      </c>
      <c r="B92" s="223">
        <v>58323.599000000002</v>
      </c>
      <c r="C92" s="883">
        <v>1641345.807</v>
      </c>
      <c r="D92" s="829"/>
      <c r="E92" s="829"/>
    </row>
    <row r="93" spans="1:5">
      <c r="A93" s="972">
        <v>2000.12</v>
      </c>
      <c r="B93" s="223">
        <v>62061.279000000002</v>
      </c>
      <c r="C93" s="883">
        <v>1718306.993</v>
      </c>
      <c r="D93" s="829"/>
      <c r="E93" s="829"/>
    </row>
    <row r="94" spans="1:5">
      <c r="A94" s="972">
        <v>2001.01</v>
      </c>
      <c r="B94" s="223">
        <v>70943.884000000005</v>
      </c>
      <c r="C94" s="883">
        <v>1753266.1629999999</v>
      </c>
      <c r="D94" s="829"/>
      <c r="E94" s="829"/>
    </row>
    <row r="95" spans="1:5">
      <c r="A95" s="972">
        <v>2001.02</v>
      </c>
      <c r="B95" s="223">
        <v>61198.245000000003</v>
      </c>
      <c r="C95" s="883">
        <v>1491999.4950000001</v>
      </c>
      <c r="D95" s="829"/>
      <c r="E95" s="829"/>
    </row>
    <row r="96" spans="1:5">
      <c r="A96" s="972">
        <v>2001.03</v>
      </c>
      <c r="B96" s="223">
        <v>69510.298999999999</v>
      </c>
      <c r="C96" s="883">
        <v>1597805.0690000001</v>
      </c>
      <c r="D96" s="829"/>
      <c r="E96" s="829"/>
    </row>
    <row r="97" spans="1:5">
      <c r="A97" s="972">
        <v>2001.04</v>
      </c>
      <c r="B97" s="223">
        <v>58606.982000000004</v>
      </c>
      <c r="C97" s="883">
        <v>1534756.0949999997</v>
      </c>
      <c r="D97" s="829"/>
      <c r="E97" s="829"/>
    </row>
    <row r="98" spans="1:5">
      <c r="A98" s="972">
        <v>2001.05</v>
      </c>
      <c r="B98" s="223">
        <v>62165.805999999997</v>
      </c>
      <c r="C98" s="883">
        <v>1569749.4079999998</v>
      </c>
      <c r="D98" s="829"/>
      <c r="E98" s="829"/>
    </row>
    <row r="99" spans="1:5">
      <c r="A99" s="972">
        <v>2001.06</v>
      </c>
      <c r="B99" s="223">
        <v>65290.398000000001</v>
      </c>
      <c r="C99" s="883">
        <v>1505731.4080000001</v>
      </c>
      <c r="D99" s="829"/>
      <c r="E99" s="829"/>
    </row>
    <row r="100" spans="1:5">
      <c r="A100" s="972">
        <v>2001.07</v>
      </c>
      <c r="B100" s="223">
        <v>56129.709000000003</v>
      </c>
      <c r="C100" s="883">
        <v>1449151.882</v>
      </c>
      <c r="D100" s="829"/>
      <c r="E100" s="829"/>
    </row>
    <row r="101" spans="1:5">
      <c r="A101" s="972">
        <v>2001.08</v>
      </c>
      <c r="B101" s="223">
        <v>54407.586000000003</v>
      </c>
      <c r="C101" s="883">
        <v>1460379.5359999998</v>
      </c>
      <c r="D101" s="829"/>
      <c r="E101" s="829"/>
    </row>
    <row r="102" spans="1:5">
      <c r="A102" s="972">
        <v>2001.09</v>
      </c>
      <c r="B102" s="223">
        <v>48067.95</v>
      </c>
      <c r="C102" s="883">
        <v>1291631.2220000001</v>
      </c>
      <c r="D102" s="829"/>
      <c r="E102" s="829"/>
    </row>
    <row r="103" spans="1:5">
      <c r="A103" s="972">
        <v>2001.1</v>
      </c>
      <c r="B103" s="223">
        <v>50836.838000000003</v>
      </c>
      <c r="C103" s="883">
        <v>1267669.3740000001</v>
      </c>
      <c r="D103" s="829"/>
      <c r="E103" s="829"/>
    </row>
    <row r="104" spans="1:5">
      <c r="A104" s="972">
        <v>2001.11</v>
      </c>
      <c r="B104" s="223">
        <v>47448.855000000003</v>
      </c>
      <c r="C104" s="883">
        <v>1230102.1129999999</v>
      </c>
      <c r="D104" s="829"/>
      <c r="E104" s="829"/>
    </row>
    <row r="105" spans="1:5">
      <c r="A105" s="972">
        <v>2001.12</v>
      </c>
      <c r="B105" s="223">
        <v>24154.411</v>
      </c>
      <c r="C105" s="883">
        <v>971871.87800000003</v>
      </c>
      <c r="D105" s="829"/>
      <c r="E105" s="829"/>
    </row>
    <row r="106" spans="1:5">
      <c r="A106" s="972">
        <v>2002.01</v>
      </c>
      <c r="B106" s="223">
        <v>45317.245999999999</v>
      </c>
      <c r="C106" s="883">
        <v>1081020.1540000001</v>
      </c>
      <c r="D106" s="829"/>
      <c r="E106" s="829"/>
    </row>
    <row r="107" spans="1:5">
      <c r="A107" s="972">
        <v>2002.02</v>
      </c>
      <c r="B107" s="223">
        <v>57593.883000000002</v>
      </c>
      <c r="C107" s="883">
        <v>1081019.0830000001</v>
      </c>
      <c r="D107" s="829"/>
      <c r="E107" s="829"/>
    </row>
    <row r="108" spans="1:5">
      <c r="A108" s="972">
        <v>2002.03</v>
      </c>
      <c r="B108" s="223">
        <v>48866.641000000003</v>
      </c>
      <c r="C108" s="883">
        <v>1074977.7590000001</v>
      </c>
      <c r="D108" s="829"/>
      <c r="E108" s="829"/>
    </row>
    <row r="109" spans="1:5">
      <c r="A109" s="972">
        <v>2002.04</v>
      </c>
      <c r="B109" s="223">
        <v>44121.593000000001</v>
      </c>
      <c r="C109" s="883">
        <v>1041022.9580000001</v>
      </c>
      <c r="D109" s="829"/>
      <c r="E109" s="829"/>
    </row>
    <row r="110" spans="1:5">
      <c r="A110" s="972">
        <v>2002.05</v>
      </c>
      <c r="B110" s="223">
        <v>83532.581000000006</v>
      </c>
      <c r="C110" s="883">
        <v>1687373.0449999999</v>
      </c>
      <c r="D110" s="829"/>
      <c r="E110" s="829"/>
    </row>
    <row r="111" spans="1:5">
      <c r="A111" s="972">
        <v>2002.06</v>
      </c>
      <c r="B111" s="223">
        <v>71281.23</v>
      </c>
      <c r="C111" s="883">
        <v>1587142.689</v>
      </c>
      <c r="D111" s="829"/>
      <c r="E111" s="829"/>
    </row>
    <row r="112" spans="1:5">
      <c r="A112" s="972">
        <v>2002.07</v>
      </c>
      <c r="B112" s="223">
        <v>79546.97</v>
      </c>
      <c r="C112" s="883">
        <v>1758151.892</v>
      </c>
      <c r="D112" s="829"/>
      <c r="E112" s="829"/>
    </row>
    <row r="113" spans="1:5">
      <c r="A113" s="972">
        <v>2002.08</v>
      </c>
      <c r="B113" s="223">
        <v>71058.316000000006</v>
      </c>
      <c r="C113" s="883">
        <v>1740259.774</v>
      </c>
      <c r="D113" s="829"/>
      <c r="E113" s="829"/>
    </row>
    <row r="114" spans="1:5">
      <c r="A114" s="972">
        <v>2002.09</v>
      </c>
      <c r="B114" s="223">
        <v>85165.362999999998</v>
      </c>
      <c r="C114" s="883">
        <v>1754739.33</v>
      </c>
      <c r="D114" s="829"/>
      <c r="E114" s="829"/>
    </row>
    <row r="115" spans="1:5">
      <c r="A115" s="972">
        <v>2002.1</v>
      </c>
      <c r="B115" s="223">
        <v>74005.45</v>
      </c>
      <c r="C115" s="883">
        <v>1776972.0589999999</v>
      </c>
      <c r="D115" s="829"/>
      <c r="E115" s="829"/>
    </row>
    <row r="116" spans="1:5">
      <c r="A116" s="972">
        <v>2002.11</v>
      </c>
      <c r="B116" s="223">
        <v>75149.376000000004</v>
      </c>
      <c r="C116" s="883">
        <v>1851190.1159999999</v>
      </c>
      <c r="D116" s="829"/>
      <c r="E116" s="829"/>
    </row>
    <row r="117" spans="1:5">
      <c r="A117" s="972">
        <v>2002.12</v>
      </c>
      <c r="B117" s="223">
        <v>72195.347999999998</v>
      </c>
      <c r="C117" s="883">
        <v>1718447.365</v>
      </c>
      <c r="D117" s="829"/>
      <c r="E117" s="829"/>
    </row>
    <row r="118" spans="1:5">
      <c r="A118" s="972">
        <v>2003.01</v>
      </c>
      <c r="B118" s="223">
        <v>84996.67</v>
      </c>
      <c r="C118" s="883">
        <v>1959983.0179999999</v>
      </c>
      <c r="D118" s="829"/>
      <c r="E118" s="829"/>
    </row>
    <row r="119" spans="1:5">
      <c r="A119" s="972">
        <v>2003.02</v>
      </c>
      <c r="B119" s="223">
        <v>72146.081000000006</v>
      </c>
      <c r="C119" s="883">
        <v>1703525.7990000001</v>
      </c>
      <c r="D119" s="829"/>
      <c r="E119" s="829"/>
    </row>
    <row r="120" spans="1:5">
      <c r="A120" s="972">
        <v>2003.03</v>
      </c>
      <c r="B120" s="223">
        <v>78260.941999999995</v>
      </c>
      <c r="C120" s="883">
        <v>1798045.9279999998</v>
      </c>
      <c r="D120" s="829"/>
      <c r="E120" s="829"/>
    </row>
    <row r="121" spans="1:5">
      <c r="A121" s="972">
        <v>2003.04</v>
      </c>
      <c r="B121" s="223">
        <v>66033.745999999999</v>
      </c>
      <c r="C121" s="883">
        <v>1998731.93</v>
      </c>
      <c r="D121" s="829"/>
      <c r="E121" s="829"/>
    </row>
    <row r="122" spans="1:5">
      <c r="A122" s="972">
        <v>2003.05</v>
      </c>
      <c r="B122" s="223">
        <v>74814.323999999993</v>
      </c>
      <c r="C122" s="883">
        <v>1891354.6459999997</v>
      </c>
      <c r="D122" s="829"/>
      <c r="E122" s="829"/>
    </row>
    <row r="123" spans="1:5">
      <c r="A123" s="972">
        <v>2003.06</v>
      </c>
      <c r="B123" s="223">
        <v>65043.860999999997</v>
      </c>
      <c r="C123" s="883">
        <v>1983170.9050000003</v>
      </c>
      <c r="D123" s="829"/>
      <c r="E123" s="829"/>
    </row>
    <row r="124" spans="1:5">
      <c r="A124" s="972">
        <v>2003.07</v>
      </c>
      <c r="B124" s="223">
        <v>82447.740000000005</v>
      </c>
      <c r="C124" s="883">
        <v>2180792.5499999998</v>
      </c>
      <c r="D124" s="829"/>
      <c r="E124" s="829"/>
    </row>
    <row r="125" spans="1:5">
      <c r="A125" s="972">
        <v>2003.08</v>
      </c>
      <c r="B125" s="223">
        <v>88420.088000000003</v>
      </c>
      <c r="C125" s="883">
        <v>2165557.9579999996</v>
      </c>
      <c r="D125" s="829"/>
      <c r="E125" s="829"/>
    </row>
    <row r="126" spans="1:5">
      <c r="A126" s="972">
        <v>2003.09</v>
      </c>
      <c r="B126" s="223">
        <v>69575.392999999996</v>
      </c>
      <c r="C126" s="883">
        <v>2400516.9730000002</v>
      </c>
      <c r="D126" s="829"/>
      <c r="E126" s="829"/>
    </row>
    <row r="127" spans="1:5">
      <c r="A127" s="972">
        <v>2003.1</v>
      </c>
      <c r="B127" s="223">
        <v>76432.356</v>
      </c>
      <c r="C127" s="883">
        <v>2413488.2050000001</v>
      </c>
      <c r="D127" s="829"/>
      <c r="E127" s="829"/>
    </row>
    <row r="128" spans="1:5">
      <c r="A128" s="972">
        <v>2003.11</v>
      </c>
      <c r="B128" s="223">
        <v>81328.652000000002</v>
      </c>
      <c r="C128" s="883">
        <v>2363176.2939999998</v>
      </c>
      <c r="D128" s="829"/>
      <c r="E128" s="829"/>
    </row>
    <row r="129" spans="1:5">
      <c r="A129" s="972">
        <v>2003.12</v>
      </c>
      <c r="B129" s="223">
        <v>80980.114000000001</v>
      </c>
      <c r="C129" s="883">
        <v>2429331.73</v>
      </c>
      <c r="D129" s="829"/>
      <c r="E129" s="829"/>
    </row>
    <row r="130" spans="1:5">
      <c r="A130" s="972">
        <v>2004.01</v>
      </c>
      <c r="B130" s="223">
        <v>116174.08</v>
      </c>
      <c r="C130" s="883">
        <v>2706482.35</v>
      </c>
      <c r="D130" s="829"/>
      <c r="E130" s="829"/>
    </row>
    <row r="131" spans="1:5">
      <c r="A131" s="972">
        <v>2004.02</v>
      </c>
      <c r="B131" s="223">
        <v>95753.668000000005</v>
      </c>
      <c r="C131" s="883">
        <v>2350249.7179999999</v>
      </c>
      <c r="D131" s="829"/>
      <c r="E131" s="829"/>
    </row>
    <row r="132" spans="1:5">
      <c r="A132" s="972">
        <v>2004.03</v>
      </c>
      <c r="B132" s="223">
        <v>83286.915999999997</v>
      </c>
      <c r="C132" s="883">
        <v>2488662.7400000002</v>
      </c>
      <c r="D132" s="829"/>
      <c r="E132" s="829"/>
    </row>
    <row r="133" spans="1:5">
      <c r="A133" s="972">
        <v>2004.04</v>
      </c>
      <c r="B133" s="223">
        <v>95793.668999999994</v>
      </c>
      <c r="C133" s="883">
        <v>2492794.3820000002</v>
      </c>
      <c r="D133" s="829"/>
      <c r="E133" s="829"/>
    </row>
    <row r="134" spans="1:5">
      <c r="A134" s="972">
        <v>2004.05</v>
      </c>
      <c r="B134" s="223">
        <v>103491.36199999999</v>
      </c>
      <c r="C134" s="883">
        <v>2667247.9010000001</v>
      </c>
      <c r="D134" s="829"/>
      <c r="E134" s="829"/>
    </row>
    <row r="135" spans="1:5">
      <c r="A135" s="972">
        <v>2004.06</v>
      </c>
      <c r="B135" s="223">
        <v>107494.236</v>
      </c>
      <c r="C135" s="883">
        <v>2994594.1289999997</v>
      </c>
      <c r="D135" s="829"/>
      <c r="E135" s="829"/>
    </row>
    <row r="136" spans="1:5">
      <c r="A136" s="972">
        <v>2004.07</v>
      </c>
      <c r="B136" s="223">
        <v>106827.31</v>
      </c>
      <c r="C136" s="883">
        <v>2906505.9110000003</v>
      </c>
      <c r="D136" s="829"/>
      <c r="E136" s="829"/>
    </row>
    <row r="137" spans="1:5">
      <c r="A137" s="972">
        <v>2004.08</v>
      </c>
      <c r="B137" s="223">
        <v>100006.193</v>
      </c>
      <c r="C137" s="883">
        <v>2998925.085</v>
      </c>
      <c r="D137" s="829"/>
      <c r="E137" s="829"/>
    </row>
    <row r="138" spans="1:5">
      <c r="A138" s="972">
        <v>2004.09</v>
      </c>
      <c r="B138" s="223">
        <v>105173.299</v>
      </c>
      <c r="C138" s="883">
        <v>2910187.7709999997</v>
      </c>
      <c r="D138" s="829"/>
      <c r="E138" s="829"/>
    </row>
    <row r="139" spans="1:5">
      <c r="A139" s="972">
        <v>2004.1</v>
      </c>
      <c r="B139" s="223">
        <v>88176.171000000002</v>
      </c>
      <c r="C139" s="883">
        <v>2768945.2609999999</v>
      </c>
      <c r="D139" s="829"/>
      <c r="E139" s="829"/>
    </row>
    <row r="140" spans="1:5">
      <c r="A140" s="972">
        <v>2004.11</v>
      </c>
      <c r="B140" s="223">
        <v>91634.456000000006</v>
      </c>
      <c r="C140" s="883">
        <v>2952060.9019999998</v>
      </c>
      <c r="D140" s="829"/>
      <c r="E140" s="829"/>
    </row>
    <row r="141" spans="1:5">
      <c r="A141" s="972">
        <v>2004.12</v>
      </c>
      <c r="B141" s="223">
        <v>88854.014999999999</v>
      </c>
      <c r="C141" s="883">
        <v>3010540.1269999999</v>
      </c>
      <c r="D141" s="829"/>
      <c r="E141" s="829"/>
    </row>
    <row r="142" spans="1:5">
      <c r="A142" s="972">
        <v>2005.01</v>
      </c>
      <c r="B142" s="223">
        <v>122565.317</v>
      </c>
      <c r="C142" s="883">
        <v>3187514.156</v>
      </c>
      <c r="D142" s="829"/>
      <c r="E142" s="829"/>
    </row>
    <row r="143" spans="1:5">
      <c r="A143" s="972">
        <v>2005.02</v>
      </c>
      <c r="B143" s="223">
        <v>89844.645999999993</v>
      </c>
      <c r="C143" s="883">
        <v>2742460.06</v>
      </c>
      <c r="D143" s="829"/>
      <c r="E143" s="829"/>
    </row>
    <row r="144" spans="1:5">
      <c r="A144" s="972">
        <v>2005.03</v>
      </c>
      <c r="B144" s="223">
        <v>89424.712</v>
      </c>
      <c r="C144" s="883">
        <v>2927573.0760000004</v>
      </c>
      <c r="D144" s="829"/>
      <c r="E144" s="829"/>
    </row>
    <row r="145" spans="1:5">
      <c r="A145" s="972">
        <v>2005.04</v>
      </c>
      <c r="B145" s="223">
        <v>108043.992</v>
      </c>
      <c r="C145" s="883">
        <v>3231142.7749999999</v>
      </c>
      <c r="D145" s="829"/>
      <c r="E145" s="829"/>
    </row>
    <row r="146" spans="1:5">
      <c r="A146" s="972">
        <v>2005.05</v>
      </c>
      <c r="B146" s="223">
        <v>121493.329</v>
      </c>
      <c r="C146" s="883">
        <v>3370670.5480000004</v>
      </c>
      <c r="D146" s="829"/>
      <c r="E146" s="829"/>
    </row>
    <row r="147" spans="1:5">
      <c r="A147" s="972">
        <v>2005.06</v>
      </c>
      <c r="B147" s="223">
        <v>106948.376</v>
      </c>
      <c r="C147" s="883">
        <v>3300920.102</v>
      </c>
      <c r="D147" s="829"/>
      <c r="E147" s="829"/>
    </row>
    <row r="148" spans="1:5">
      <c r="A148" s="972">
        <v>2005.07</v>
      </c>
      <c r="B148" s="223">
        <v>105927.893</v>
      </c>
      <c r="C148" s="883">
        <v>3210417.9</v>
      </c>
      <c r="D148" s="829"/>
      <c r="E148" s="829"/>
    </row>
    <row r="149" spans="1:5">
      <c r="A149" s="972">
        <v>2005.08</v>
      </c>
      <c r="B149" s="223">
        <v>118546.113</v>
      </c>
      <c r="C149" s="883">
        <v>3487163.7340000002</v>
      </c>
      <c r="D149" s="829"/>
      <c r="E149" s="829"/>
    </row>
    <row r="150" spans="1:5">
      <c r="A150" s="972">
        <v>2005.09</v>
      </c>
      <c r="B150" s="223">
        <v>138865.01300000001</v>
      </c>
      <c r="C150" s="883">
        <v>3602807.2989999996</v>
      </c>
      <c r="D150" s="829"/>
      <c r="E150" s="829"/>
    </row>
    <row r="151" spans="1:5">
      <c r="A151" s="972">
        <v>2005.1</v>
      </c>
      <c r="B151" s="223">
        <v>98074.982000000004</v>
      </c>
      <c r="C151" s="883">
        <v>3328225.5959999999</v>
      </c>
      <c r="D151" s="829"/>
      <c r="E151" s="829"/>
    </row>
    <row r="152" spans="1:5">
      <c r="A152" s="972">
        <v>2005.11</v>
      </c>
      <c r="B152" s="223">
        <v>108832.814</v>
      </c>
      <c r="C152" s="883">
        <v>3591547.5049999999</v>
      </c>
      <c r="D152" s="829"/>
      <c r="E152" s="829"/>
    </row>
    <row r="153" spans="1:5">
      <c r="A153" s="972">
        <v>2005.12</v>
      </c>
      <c r="B153" s="223">
        <v>127697.758</v>
      </c>
      <c r="C153" s="883">
        <v>3674502.7019999996</v>
      </c>
      <c r="D153" s="829"/>
      <c r="E153" s="829"/>
    </row>
    <row r="154" spans="1:5">
      <c r="A154" s="972">
        <v>2006.01</v>
      </c>
      <c r="B154" s="223">
        <v>141392.69899999999</v>
      </c>
      <c r="C154" s="883">
        <v>3873893.1359999999</v>
      </c>
      <c r="D154" s="829"/>
      <c r="E154" s="829"/>
    </row>
    <row r="155" spans="1:5">
      <c r="A155" s="972">
        <v>2006.02</v>
      </c>
      <c r="B155" s="223">
        <v>138860.902</v>
      </c>
      <c r="C155" s="883">
        <v>3524882.2759999996</v>
      </c>
      <c r="D155" s="829"/>
      <c r="E155" s="829"/>
    </row>
    <row r="156" spans="1:5">
      <c r="A156" s="972">
        <v>2006.03</v>
      </c>
      <c r="B156" s="223">
        <v>112870.27</v>
      </c>
      <c r="C156" s="883">
        <v>3802490.0210000002</v>
      </c>
      <c r="D156" s="829"/>
      <c r="E156" s="829"/>
    </row>
    <row r="157" spans="1:5">
      <c r="A157" s="972">
        <v>2006.04</v>
      </c>
      <c r="B157" s="223">
        <v>136261.83199999999</v>
      </c>
      <c r="C157" s="883">
        <v>3839123.8319999995</v>
      </c>
      <c r="D157" s="829"/>
      <c r="E157" s="829"/>
    </row>
    <row r="158" spans="1:5">
      <c r="A158" s="972">
        <v>2006.05</v>
      </c>
      <c r="B158" s="223">
        <v>131472.45800000001</v>
      </c>
      <c r="C158" s="883">
        <v>4019026.7479999997</v>
      </c>
      <c r="D158" s="829"/>
      <c r="E158" s="829"/>
    </row>
    <row r="159" spans="1:5">
      <c r="A159" s="972">
        <v>2006.06</v>
      </c>
      <c r="B159" s="223">
        <v>127661.95</v>
      </c>
      <c r="C159" s="883">
        <v>4044385.84</v>
      </c>
      <c r="D159" s="829"/>
      <c r="E159" s="829"/>
    </row>
    <row r="160" spans="1:5">
      <c r="A160" s="972">
        <v>2006.07</v>
      </c>
      <c r="B160" s="223">
        <v>143069.519</v>
      </c>
      <c r="C160" s="883">
        <v>4032546.7529999996</v>
      </c>
      <c r="D160" s="829"/>
      <c r="E160" s="829"/>
    </row>
    <row r="161" spans="1:5">
      <c r="A161" s="972">
        <v>2006.08</v>
      </c>
      <c r="B161" s="223">
        <v>145272.64300000001</v>
      </c>
      <c r="C161" s="883">
        <v>4475838.2539999997</v>
      </c>
      <c r="D161" s="829"/>
      <c r="E161" s="829"/>
    </row>
    <row r="162" spans="1:5">
      <c r="A162" s="972">
        <v>2006.09</v>
      </c>
      <c r="B162" s="223">
        <v>144895.30300000001</v>
      </c>
      <c r="C162" s="883">
        <v>4451242.05</v>
      </c>
      <c r="D162" s="829"/>
      <c r="E162" s="829"/>
    </row>
    <row r="163" spans="1:5">
      <c r="A163" s="972">
        <v>2006.1</v>
      </c>
      <c r="B163" s="223">
        <v>136087.209</v>
      </c>
      <c r="C163" s="883">
        <v>4597714.125</v>
      </c>
      <c r="D163" s="829"/>
      <c r="E163" s="829"/>
    </row>
    <row r="164" spans="1:5">
      <c r="A164" s="972">
        <v>2006.11</v>
      </c>
      <c r="B164" s="223">
        <v>160480.69399999999</v>
      </c>
      <c r="C164" s="883">
        <v>4692320.1689999998</v>
      </c>
      <c r="D164" s="829"/>
      <c r="E164" s="829"/>
    </row>
    <row r="165" spans="1:5">
      <c r="A165" s="972">
        <v>2006.12</v>
      </c>
      <c r="B165" s="223">
        <v>240419.15</v>
      </c>
      <c r="C165" s="883">
        <v>5014025.5530000003</v>
      </c>
      <c r="D165" s="829"/>
      <c r="E165" s="829"/>
    </row>
    <row r="166" spans="1:5">
      <c r="A166" s="972">
        <v>2007.01</v>
      </c>
      <c r="B166" s="223">
        <v>165747.712</v>
      </c>
      <c r="C166" s="883">
        <v>5072572.7060000002</v>
      </c>
      <c r="D166" s="829"/>
      <c r="E166" s="829"/>
    </row>
    <row r="167" spans="1:5">
      <c r="A167" s="972">
        <v>2007.02</v>
      </c>
      <c r="B167" s="223">
        <v>163902.527</v>
      </c>
      <c r="C167" s="883">
        <v>4619096.96</v>
      </c>
      <c r="D167" s="829"/>
      <c r="E167" s="829"/>
    </row>
    <row r="168" spans="1:5">
      <c r="A168" s="972">
        <v>2007.03</v>
      </c>
      <c r="B168" s="223">
        <v>161050.23499999999</v>
      </c>
      <c r="C168" s="883">
        <v>4905129.1119999997</v>
      </c>
      <c r="D168" s="829"/>
      <c r="E168" s="829"/>
    </row>
    <row r="169" spans="1:5">
      <c r="A169" s="972">
        <v>2007.04</v>
      </c>
      <c r="B169" s="223">
        <v>153167.14499999999</v>
      </c>
      <c r="C169" s="883">
        <v>4718833.8859999999</v>
      </c>
      <c r="D169" s="829"/>
      <c r="E169" s="829"/>
    </row>
    <row r="170" spans="1:5">
      <c r="A170" s="972">
        <v>2007.05</v>
      </c>
      <c r="B170" s="223">
        <v>186920.93100000001</v>
      </c>
      <c r="C170" s="883">
        <v>5272135.1140000001</v>
      </c>
      <c r="D170" s="829"/>
      <c r="E170" s="829"/>
    </row>
    <row r="171" spans="1:5">
      <c r="A171" s="972">
        <v>2007.06</v>
      </c>
      <c r="B171" s="223">
        <v>192051.79500000001</v>
      </c>
      <c r="C171" s="883">
        <v>5335845.8279999997</v>
      </c>
      <c r="D171" s="829"/>
      <c r="E171" s="829"/>
    </row>
    <row r="172" spans="1:5">
      <c r="A172" s="972">
        <v>2007.07</v>
      </c>
      <c r="B172" s="223">
        <v>209335.11499999999</v>
      </c>
      <c r="C172" s="883">
        <v>5905471.3010000009</v>
      </c>
      <c r="D172" s="829"/>
      <c r="E172" s="829"/>
    </row>
    <row r="173" spans="1:5">
      <c r="A173" s="972">
        <v>2007.08</v>
      </c>
      <c r="B173" s="223">
        <v>209864.361</v>
      </c>
      <c r="C173" s="883">
        <v>6264907.1239999998</v>
      </c>
      <c r="D173" s="829"/>
      <c r="E173" s="829"/>
    </row>
    <row r="174" spans="1:5">
      <c r="A174" s="972">
        <v>2007.09</v>
      </c>
      <c r="B174" s="223">
        <v>152642.117</v>
      </c>
      <c r="C174" s="883">
        <v>5403689.7929999996</v>
      </c>
      <c r="D174" s="829"/>
      <c r="E174" s="829"/>
    </row>
    <row r="175" spans="1:5">
      <c r="A175" s="972">
        <v>2007.1</v>
      </c>
      <c r="B175" s="223">
        <v>177383.80100000001</v>
      </c>
      <c r="C175" s="883">
        <v>6148738.4979999997</v>
      </c>
      <c r="D175" s="829"/>
      <c r="E175" s="829"/>
    </row>
    <row r="176" spans="1:5">
      <c r="A176" s="972">
        <v>2007.11</v>
      </c>
      <c r="B176" s="223">
        <v>212996.571</v>
      </c>
      <c r="C176" s="883">
        <v>6474203.0209999997</v>
      </c>
      <c r="D176" s="829"/>
      <c r="E176" s="829"/>
    </row>
    <row r="177" spans="1:5">
      <c r="A177" s="972">
        <v>2007.12</v>
      </c>
      <c r="B177" s="223">
        <v>305217.76899999997</v>
      </c>
      <c r="C177" s="883">
        <v>6538389.4130000006</v>
      </c>
      <c r="D177" s="829"/>
      <c r="E177" s="829"/>
    </row>
    <row r="178" spans="1:5">
      <c r="A178" s="972">
        <f t="shared" ref="A178:A209" si="0">A166+1</f>
        <v>2008.01</v>
      </c>
      <c r="B178" s="223">
        <v>268662.68</v>
      </c>
      <c r="C178" s="883">
        <v>7078351.102</v>
      </c>
      <c r="D178" s="829"/>
      <c r="E178" s="829"/>
    </row>
    <row r="179" spans="1:5">
      <c r="A179" s="972">
        <f t="shared" si="0"/>
        <v>2008.02</v>
      </c>
      <c r="B179" s="223">
        <v>235309.48</v>
      </c>
      <c r="C179" s="883">
        <v>6366205.6890000002</v>
      </c>
      <c r="D179" s="829"/>
      <c r="E179" s="829"/>
    </row>
    <row r="180" spans="1:5">
      <c r="A180" s="972">
        <f t="shared" si="0"/>
        <v>2008.03</v>
      </c>
      <c r="B180" s="223">
        <v>255120.334</v>
      </c>
      <c r="C180" s="883">
        <v>6230795.7139999997</v>
      </c>
      <c r="D180" s="829"/>
      <c r="E180" s="829"/>
    </row>
    <row r="181" spans="1:5">
      <c r="A181" s="972">
        <f t="shared" si="0"/>
        <v>2008.04</v>
      </c>
      <c r="B181" s="223">
        <v>227162.06599999999</v>
      </c>
      <c r="C181" s="883">
        <v>7056288.9740000004</v>
      </c>
      <c r="D181" s="829"/>
      <c r="E181" s="829"/>
    </row>
    <row r="182" spans="1:5">
      <c r="A182" s="972">
        <f t="shared" si="0"/>
        <v>2008.05</v>
      </c>
      <c r="B182" s="223">
        <v>259374.503</v>
      </c>
      <c r="C182" s="883">
        <v>7311320.6969999997</v>
      </c>
      <c r="D182" s="829"/>
      <c r="E182" s="829"/>
    </row>
    <row r="183" spans="1:5">
      <c r="A183" s="972">
        <f t="shared" si="0"/>
        <v>2008.06</v>
      </c>
      <c r="B183" s="223">
        <v>264937.09000000003</v>
      </c>
      <c r="C183" s="883">
        <v>7229561.1809999999</v>
      </c>
      <c r="D183" s="829"/>
      <c r="E183" s="829"/>
    </row>
    <row r="184" spans="1:5">
      <c r="A184" s="972">
        <f t="shared" si="0"/>
        <v>2008.07</v>
      </c>
      <c r="B184" s="223">
        <v>229211.98699999999</v>
      </c>
      <c r="C184" s="883">
        <v>7437815.2209999999</v>
      </c>
      <c r="D184" s="829"/>
      <c r="E184" s="829"/>
    </row>
    <row r="185" spans="1:5">
      <c r="A185" s="972">
        <f t="shared" si="0"/>
        <v>2008.08</v>
      </c>
      <c r="B185" s="223">
        <v>288439.815</v>
      </c>
      <c r="C185" s="883">
        <v>7587465.7089999998</v>
      </c>
      <c r="D185" s="829"/>
      <c r="E185" s="829"/>
    </row>
    <row r="186" spans="1:5">
      <c r="A186" s="972">
        <f t="shared" si="0"/>
        <v>2008.09</v>
      </c>
      <c r="B186" s="223">
        <v>271895.55626039952</v>
      </c>
      <c r="C186" s="883">
        <v>7695943.06996</v>
      </c>
      <c r="D186" s="829"/>
      <c r="E186" s="829"/>
    </row>
    <row r="187" spans="1:5">
      <c r="A187" s="972">
        <f t="shared" si="0"/>
        <v>2008.1</v>
      </c>
      <c r="B187" s="223">
        <v>296266.59208741988</v>
      </c>
      <c r="C187" s="883">
        <v>7659386.681309999</v>
      </c>
      <c r="D187" s="829"/>
      <c r="E187" s="829"/>
    </row>
    <row r="188" spans="1:5">
      <c r="A188" s="972">
        <f t="shared" si="0"/>
        <v>2008.11</v>
      </c>
      <c r="B188" s="223">
        <v>270966.64164470765</v>
      </c>
      <c r="C188" s="883">
        <v>7304315.2562800013</v>
      </c>
      <c r="D188" s="829"/>
      <c r="E188" s="829"/>
    </row>
    <row r="189" spans="1:5">
      <c r="A189" s="972">
        <f t="shared" si="0"/>
        <v>2008.12</v>
      </c>
      <c r="B189" s="223">
        <v>285622.49603268894</v>
      </c>
      <c r="C189" s="883">
        <v>7157560.7691400005</v>
      </c>
      <c r="D189" s="829"/>
      <c r="E189" s="829"/>
    </row>
    <row r="190" spans="1:5">
      <c r="A190" s="972">
        <f t="shared" si="0"/>
        <v>2009.01</v>
      </c>
      <c r="B190" s="223">
        <v>305077.89299999998</v>
      </c>
      <c r="C190" s="883">
        <v>7256199.3820000002</v>
      </c>
      <c r="D190" s="829"/>
      <c r="E190" s="829"/>
    </row>
    <row r="191" spans="1:5">
      <c r="A191" s="972">
        <f t="shared" si="0"/>
        <v>2009.02</v>
      </c>
      <c r="B191" s="223">
        <v>319765.40399999998</v>
      </c>
      <c r="C191" s="883">
        <v>6855113.4380000001</v>
      </c>
      <c r="D191" s="829"/>
      <c r="E191" s="829"/>
    </row>
    <row r="192" spans="1:5">
      <c r="A192" s="972">
        <f t="shared" si="0"/>
        <v>2009.03</v>
      </c>
      <c r="B192" s="223">
        <v>294141.06</v>
      </c>
      <c r="C192" s="883">
        <v>6818073.3849999998</v>
      </c>
      <c r="D192" s="829"/>
      <c r="E192" s="829"/>
    </row>
    <row r="193" spans="1:5">
      <c r="A193" s="972">
        <f t="shared" si="0"/>
        <v>2009.04</v>
      </c>
      <c r="B193" s="223">
        <v>306680.46600000001</v>
      </c>
      <c r="C193" s="883">
        <v>7038124.0970000001</v>
      </c>
      <c r="D193" s="829"/>
      <c r="E193" s="829"/>
    </row>
    <row r="194" spans="1:5">
      <c r="A194" s="972">
        <f t="shared" si="0"/>
        <v>2009.05</v>
      </c>
      <c r="B194" s="223">
        <v>352403.32799999998</v>
      </c>
      <c r="C194" s="883">
        <v>7101002.5980000002</v>
      </c>
      <c r="D194" s="829"/>
      <c r="E194" s="829"/>
    </row>
    <row r="195" spans="1:5">
      <c r="A195" s="972">
        <f t="shared" si="0"/>
        <v>2009.06</v>
      </c>
      <c r="B195" s="223">
        <v>366208.14261525025</v>
      </c>
      <c r="C195" s="883">
        <v>7750127.5775700007</v>
      </c>
      <c r="D195" s="829"/>
      <c r="E195" s="829"/>
    </row>
    <row r="196" spans="1:5">
      <c r="A196" s="972">
        <f t="shared" si="0"/>
        <v>2009.07</v>
      </c>
      <c r="B196" s="223">
        <v>353321.01469838823</v>
      </c>
      <c r="C196" s="883">
        <v>8145793.8440699996</v>
      </c>
      <c r="D196" s="829"/>
      <c r="E196" s="829"/>
    </row>
    <row r="197" spans="1:5">
      <c r="A197" s="972">
        <f t="shared" si="0"/>
        <v>2009.08</v>
      </c>
      <c r="B197" s="223">
        <v>305720.09827233508</v>
      </c>
      <c r="C197" s="883">
        <v>7790148.8728200011</v>
      </c>
      <c r="D197" s="829"/>
      <c r="E197" s="829"/>
    </row>
    <row r="198" spans="1:5">
      <c r="A198" s="972">
        <f t="shared" si="0"/>
        <v>2009.09</v>
      </c>
      <c r="B198" s="223">
        <v>328260.15532465768</v>
      </c>
      <c r="C198" s="883">
        <v>8203535.7506799996</v>
      </c>
      <c r="D198" s="829"/>
      <c r="E198" s="829"/>
    </row>
    <row r="199" spans="1:5">
      <c r="A199" s="972">
        <f t="shared" si="0"/>
        <v>2009.1</v>
      </c>
      <c r="B199" s="223">
        <v>348777.86854087346</v>
      </c>
      <c r="C199" s="883">
        <v>8033578.0747099994</v>
      </c>
      <c r="D199" s="829"/>
      <c r="E199" s="829"/>
    </row>
    <row r="200" spans="1:5">
      <c r="A200" s="972">
        <f t="shared" si="0"/>
        <v>2009.11</v>
      </c>
      <c r="B200" s="223">
        <v>269288.42029942095</v>
      </c>
      <c r="C200" s="883">
        <v>7787121.0458000023</v>
      </c>
      <c r="D200" s="829"/>
      <c r="E200" s="829"/>
    </row>
    <row r="201" spans="1:5">
      <c r="A201" s="972">
        <f t="shared" si="0"/>
        <v>2009.12</v>
      </c>
      <c r="B201" s="223">
        <v>320033</v>
      </c>
      <c r="C201" s="883">
        <v>8337915.409239999</v>
      </c>
      <c r="D201" s="829"/>
      <c r="E201" s="829"/>
    </row>
    <row r="202" spans="1:5">
      <c r="A202" s="972">
        <f t="shared" si="0"/>
        <v>2010.01</v>
      </c>
      <c r="B202" s="223">
        <v>353617.08670340932</v>
      </c>
      <c r="C202" s="883">
        <v>8672321.4771899991</v>
      </c>
      <c r="D202" s="829"/>
      <c r="E202" s="829"/>
    </row>
    <row r="203" spans="1:5">
      <c r="A203" s="972">
        <f t="shared" si="0"/>
        <v>2010.02</v>
      </c>
      <c r="B203" s="223">
        <v>356407.36543735384</v>
      </c>
      <c r="C203" s="883">
        <v>8439566.6124500018</v>
      </c>
      <c r="D203" s="829"/>
      <c r="E203" s="829"/>
    </row>
    <row r="204" spans="1:5">
      <c r="A204" s="972">
        <f t="shared" si="0"/>
        <v>2010.03</v>
      </c>
      <c r="B204" s="223">
        <v>304702.47214297287</v>
      </c>
      <c r="C204" s="883">
        <v>8799260.9700900018</v>
      </c>
      <c r="D204" s="829"/>
      <c r="E204" s="829"/>
    </row>
    <row r="205" spans="1:5">
      <c r="A205" s="972">
        <f t="shared" si="0"/>
        <v>2010.04</v>
      </c>
      <c r="B205" s="223">
        <v>378178.80230368045</v>
      </c>
      <c r="C205" s="883">
        <v>9102471.6975500006</v>
      </c>
      <c r="D205" s="829"/>
      <c r="E205" s="829"/>
    </row>
    <row r="206" spans="1:5">
      <c r="A206" s="972">
        <f t="shared" si="0"/>
        <v>2010.05</v>
      </c>
      <c r="B206" s="223">
        <v>348029.39651321527</v>
      </c>
      <c r="C206" s="883">
        <v>9273236.2382199969</v>
      </c>
      <c r="D206" s="829"/>
      <c r="E206" s="829"/>
    </row>
    <row r="207" spans="1:5">
      <c r="A207" s="972">
        <f t="shared" si="0"/>
        <v>2010.06</v>
      </c>
      <c r="B207" s="223">
        <v>398819.19938639342</v>
      </c>
      <c r="C207" s="883">
        <v>10153015.35231</v>
      </c>
      <c r="D207" s="829"/>
      <c r="E207" s="829"/>
    </row>
    <row r="208" spans="1:5">
      <c r="A208" s="972">
        <f t="shared" si="0"/>
        <v>2010.07</v>
      </c>
      <c r="B208" s="223">
        <v>456325.34790554637</v>
      </c>
      <c r="C208" s="883">
        <v>10480767.639310002</v>
      </c>
      <c r="D208" s="829"/>
      <c r="E208" s="829"/>
    </row>
    <row r="209" spans="1:5">
      <c r="A209" s="972">
        <f t="shared" si="0"/>
        <v>2010.08</v>
      </c>
      <c r="B209" s="223">
        <v>415599.31247855071</v>
      </c>
      <c r="C209" s="883">
        <v>10587782.008950001</v>
      </c>
      <c r="D209" s="829"/>
      <c r="E209" s="829"/>
    </row>
    <row r="210" spans="1:5">
      <c r="A210" s="972">
        <f t="shared" ref="A210:A241" si="1">A198+1</f>
        <v>2010.09</v>
      </c>
      <c r="B210" s="223">
        <v>516808.07456059934</v>
      </c>
      <c r="C210" s="883">
        <v>11023051.713760003</v>
      </c>
      <c r="D210" s="829"/>
      <c r="E210" s="829"/>
    </row>
    <row r="211" spans="1:5">
      <c r="A211" s="972">
        <f t="shared" si="1"/>
        <v>2010.1</v>
      </c>
      <c r="B211" s="223">
        <v>425214.16445190943</v>
      </c>
      <c r="C211" s="883">
        <v>10523142.935489997</v>
      </c>
      <c r="D211" s="829"/>
      <c r="E211" s="829"/>
    </row>
    <row r="212" spans="1:5">
      <c r="A212" s="972">
        <f t="shared" si="1"/>
        <v>2010.11</v>
      </c>
      <c r="B212" s="223">
        <v>367727.30071905721</v>
      </c>
      <c r="C212" s="883">
        <v>10984620.120829996</v>
      </c>
      <c r="D212" s="829"/>
      <c r="E212" s="829"/>
    </row>
    <row r="213" spans="1:5">
      <c r="A213" s="972">
        <f t="shared" si="1"/>
        <v>2010.12</v>
      </c>
      <c r="B213" s="223">
        <v>530947.03556530445</v>
      </c>
      <c r="C213" s="883">
        <v>12011750.396059997</v>
      </c>
      <c r="D213" s="829"/>
      <c r="E213" s="829"/>
    </row>
    <row r="214" spans="1:5">
      <c r="A214" s="972">
        <f t="shared" si="1"/>
        <v>2011.01</v>
      </c>
      <c r="B214" s="223">
        <v>526613.94122865156</v>
      </c>
      <c r="C214" s="883">
        <v>12337260.542970002</v>
      </c>
      <c r="D214" s="829"/>
      <c r="E214" s="829"/>
    </row>
    <row r="215" spans="1:5">
      <c r="A215" s="972">
        <f t="shared" si="1"/>
        <v>2011.02</v>
      </c>
      <c r="B215" s="223">
        <v>461355.37899474136</v>
      </c>
      <c r="C215" s="883">
        <v>11041598.515590001</v>
      </c>
      <c r="D215" s="829"/>
      <c r="E215" s="829"/>
    </row>
    <row r="216" spans="1:5">
      <c r="A216" s="972">
        <f t="shared" si="1"/>
        <v>2011.03</v>
      </c>
      <c r="B216" s="223">
        <v>478239.12480864464</v>
      </c>
      <c r="C216" s="883">
        <v>11938206.668679997</v>
      </c>
      <c r="D216" s="829"/>
      <c r="E216" s="829"/>
    </row>
    <row r="217" spans="1:5">
      <c r="A217" s="972">
        <f t="shared" si="1"/>
        <v>2011.04</v>
      </c>
      <c r="B217" s="223">
        <v>425018.03240006609</v>
      </c>
      <c r="C217" s="883">
        <v>11858092.23043</v>
      </c>
      <c r="D217" s="829"/>
      <c r="E217" s="829"/>
    </row>
    <row r="218" spans="1:5">
      <c r="A218" s="972">
        <f t="shared" si="1"/>
        <v>2011.05</v>
      </c>
      <c r="B218" s="223">
        <v>637905.35903075931</v>
      </c>
      <c r="C218" s="883">
        <v>13362289.419970002</v>
      </c>
      <c r="D218" s="829"/>
      <c r="E218" s="829"/>
    </row>
    <row r="219" spans="1:5">
      <c r="A219" s="972">
        <f t="shared" si="1"/>
        <v>2011.06</v>
      </c>
      <c r="B219" s="223">
        <v>511932.10050067253</v>
      </c>
      <c r="C219" s="883">
        <v>12550735.664889999</v>
      </c>
      <c r="D219" s="829"/>
      <c r="E219" s="829"/>
    </row>
    <row r="220" spans="1:5">
      <c r="A220" s="972">
        <f t="shared" si="1"/>
        <v>2011.07</v>
      </c>
      <c r="B220" s="223">
        <v>665070.2544692267</v>
      </c>
      <c r="C220" s="883">
        <v>13539158.240899999</v>
      </c>
      <c r="D220" s="829"/>
      <c r="E220" s="829"/>
    </row>
    <row r="221" spans="1:5">
      <c r="A221" s="972">
        <f t="shared" si="1"/>
        <v>2011.08</v>
      </c>
      <c r="B221" s="223">
        <v>476275.03685957484</v>
      </c>
      <c r="C221" s="883">
        <v>13869314.510959998</v>
      </c>
      <c r="D221" s="829"/>
      <c r="E221" s="829"/>
    </row>
    <row r="222" spans="1:5">
      <c r="A222" s="972">
        <f t="shared" si="1"/>
        <v>2011.09</v>
      </c>
      <c r="B222" s="223">
        <v>688221.04347957333</v>
      </c>
      <c r="C222" s="883">
        <v>14622532.241959997</v>
      </c>
      <c r="D222" s="829"/>
      <c r="E222" s="829"/>
    </row>
    <row r="223" spans="1:5">
      <c r="A223" s="972">
        <f t="shared" si="1"/>
        <v>2011.1</v>
      </c>
      <c r="B223" s="223">
        <v>579240.07668478834</v>
      </c>
      <c r="C223" s="883">
        <v>13638505.876140004</v>
      </c>
      <c r="D223" s="829"/>
      <c r="E223" s="829"/>
    </row>
    <row r="224" spans="1:5">
      <c r="A224" s="972">
        <f t="shared" si="1"/>
        <v>2011.11</v>
      </c>
      <c r="B224" s="223">
        <v>627084.93157096498</v>
      </c>
      <c r="C224" s="883">
        <v>15103992.758399999</v>
      </c>
      <c r="D224" s="829"/>
      <c r="E224" s="829"/>
    </row>
    <row r="225" spans="1:5">
      <c r="A225" s="972">
        <f t="shared" si="1"/>
        <v>2011.12</v>
      </c>
      <c r="B225" s="223">
        <v>563958.7032941496</v>
      </c>
      <c r="C225" s="883">
        <v>14204179.691590002</v>
      </c>
      <c r="D225" s="829"/>
      <c r="E225" s="829"/>
    </row>
    <row r="226" spans="1:5">
      <c r="A226" s="972">
        <f t="shared" si="1"/>
        <v>2012.01</v>
      </c>
      <c r="B226" s="223">
        <v>712290.52329397132</v>
      </c>
      <c r="C226" s="883">
        <v>15483217.502960002</v>
      </c>
      <c r="D226" s="829"/>
      <c r="E226" s="829"/>
    </row>
    <row r="227" spans="1:5">
      <c r="A227" s="972">
        <f t="shared" si="1"/>
        <v>2012.02</v>
      </c>
      <c r="B227" s="223">
        <v>652149.38854511536</v>
      </c>
      <c r="C227" s="883">
        <v>13881134.193549998</v>
      </c>
      <c r="D227" s="829"/>
      <c r="E227" s="829"/>
    </row>
    <row r="228" spans="1:5">
      <c r="A228" s="972">
        <f t="shared" si="1"/>
        <v>2012.03</v>
      </c>
      <c r="B228" s="223">
        <v>608351.6481087649</v>
      </c>
      <c r="C228" s="883">
        <v>13971798.31405</v>
      </c>
      <c r="D228" s="829"/>
      <c r="E228" s="829"/>
    </row>
    <row r="229" spans="1:5">
      <c r="A229" s="972">
        <f t="shared" si="1"/>
        <v>2012.04</v>
      </c>
      <c r="B229" s="223">
        <v>659931.94307542779</v>
      </c>
      <c r="C229" s="883">
        <v>14016190.505290002</v>
      </c>
      <c r="D229" s="829"/>
      <c r="E229" s="829"/>
    </row>
    <row r="230" spans="1:5">
      <c r="A230" s="972">
        <f t="shared" si="1"/>
        <v>2012.05</v>
      </c>
      <c r="B230" s="223">
        <v>742955.15124297573</v>
      </c>
      <c r="C230" s="883">
        <v>15799455.049350008</v>
      </c>
      <c r="D230" s="829"/>
      <c r="E230" s="829"/>
    </row>
    <row r="231" spans="1:5">
      <c r="A231" s="972">
        <f t="shared" si="1"/>
        <v>2012.06</v>
      </c>
      <c r="B231" s="223">
        <v>753664.12423823169</v>
      </c>
      <c r="C231" s="883">
        <v>15566930.27413</v>
      </c>
      <c r="D231" s="829"/>
      <c r="E231" s="829"/>
    </row>
    <row r="232" spans="1:5">
      <c r="A232" s="972">
        <f t="shared" si="1"/>
        <v>2012.07</v>
      </c>
      <c r="B232" s="223">
        <v>660441.80304936576</v>
      </c>
      <c r="C232" s="883">
        <v>16050791.315179996</v>
      </c>
      <c r="D232" s="829"/>
      <c r="E232" s="829"/>
    </row>
    <row r="233" spans="1:5">
      <c r="A233" s="972">
        <f t="shared" si="1"/>
        <v>2012.08</v>
      </c>
      <c r="B233" s="223">
        <v>726360.65429370117</v>
      </c>
      <c r="C233" s="883">
        <v>16913365.376869999</v>
      </c>
      <c r="D233" s="829"/>
      <c r="E233" s="829"/>
    </row>
    <row r="234" spans="1:5">
      <c r="A234" s="972">
        <f t="shared" si="1"/>
        <v>2012.09</v>
      </c>
      <c r="B234" s="223">
        <v>731974.50089665561</v>
      </c>
      <c r="C234" s="883">
        <v>16796656.162410002</v>
      </c>
      <c r="D234" s="829"/>
      <c r="E234" s="829"/>
    </row>
    <row r="235" spans="1:5">
      <c r="A235" s="972">
        <f t="shared" si="1"/>
        <v>2012.1</v>
      </c>
      <c r="B235" s="223">
        <v>654052.85250227503</v>
      </c>
      <c r="C235" s="883">
        <v>17558288.979480002</v>
      </c>
      <c r="D235" s="829"/>
      <c r="E235" s="829"/>
    </row>
    <row r="236" spans="1:5">
      <c r="A236" s="972">
        <f t="shared" si="1"/>
        <v>2012.11</v>
      </c>
      <c r="B236" s="223">
        <v>806816.43283936172</v>
      </c>
      <c r="C236" s="883">
        <v>18351709.746259995</v>
      </c>
      <c r="D236" s="829"/>
      <c r="E236" s="829"/>
    </row>
    <row r="237" spans="1:5">
      <c r="A237" s="972">
        <f t="shared" si="1"/>
        <v>2012.12</v>
      </c>
      <c r="B237" s="223">
        <v>777414.88557838683</v>
      </c>
      <c r="C237" s="883">
        <v>18677747.933599997</v>
      </c>
      <c r="D237" s="829"/>
      <c r="E237" s="829"/>
    </row>
    <row r="238" spans="1:5">
      <c r="A238" s="972">
        <f t="shared" si="1"/>
        <v>2013.01</v>
      </c>
      <c r="B238" s="223">
        <v>791114.02834099461</v>
      </c>
      <c r="C238" s="883">
        <v>19170968.226550005</v>
      </c>
      <c r="D238" s="829"/>
      <c r="E238" s="829"/>
    </row>
    <row r="239" spans="1:5">
      <c r="A239" s="972">
        <f t="shared" si="1"/>
        <v>2013.02</v>
      </c>
      <c r="B239" s="223">
        <v>790746.04570014158</v>
      </c>
      <c r="C239" s="883">
        <v>18591773.801009994</v>
      </c>
      <c r="D239" s="829"/>
      <c r="E239" s="829"/>
    </row>
    <row r="240" spans="1:5">
      <c r="A240" s="972">
        <f t="shared" si="1"/>
        <v>2013.03</v>
      </c>
      <c r="B240" s="223">
        <v>856454.48099339684</v>
      </c>
      <c r="C240" s="883">
        <v>18620205.241159998</v>
      </c>
      <c r="D240" s="829"/>
      <c r="E240" s="829"/>
    </row>
    <row r="241" spans="1:5">
      <c r="A241" s="972">
        <f t="shared" si="1"/>
        <v>2013.04</v>
      </c>
      <c r="B241" s="223">
        <v>675870.66886715079</v>
      </c>
      <c r="C241" s="883">
        <v>18881155.513529997</v>
      </c>
      <c r="D241" s="829"/>
      <c r="E241" s="829"/>
    </row>
    <row r="242" spans="1:5">
      <c r="A242" s="972">
        <f t="shared" ref="A242:A305" si="2">A230+1</f>
        <v>2013.05</v>
      </c>
      <c r="B242" s="223">
        <v>923648.56558830512</v>
      </c>
      <c r="C242" s="883">
        <v>20673850.166280009</v>
      </c>
      <c r="D242" s="829"/>
      <c r="E242" s="829"/>
    </row>
    <row r="243" spans="1:5">
      <c r="A243" s="972">
        <f t="shared" si="2"/>
        <v>2013.06</v>
      </c>
      <c r="B243" s="223">
        <v>879432.43312478799</v>
      </c>
      <c r="C243" s="883">
        <v>19989981.066889994</v>
      </c>
      <c r="D243" s="829"/>
      <c r="E243" s="829"/>
    </row>
    <row r="244" spans="1:5">
      <c r="A244" s="972">
        <f t="shared" si="2"/>
        <v>2013.07</v>
      </c>
      <c r="B244" s="223">
        <v>986853.26294556947</v>
      </c>
      <c r="C244" s="883">
        <v>21765773.478030004</v>
      </c>
      <c r="D244" s="829"/>
      <c r="E244" s="829"/>
    </row>
    <row r="245" spans="1:5">
      <c r="A245" s="972">
        <f t="shared" si="2"/>
        <v>2013.08</v>
      </c>
      <c r="B245" s="223">
        <v>984447.22981698101</v>
      </c>
      <c r="C245" s="883">
        <v>22521219.405159999</v>
      </c>
      <c r="D245" s="829"/>
      <c r="E245" s="829"/>
    </row>
    <row r="246" spans="1:5">
      <c r="A246" s="972">
        <f t="shared" si="2"/>
        <v>2013.09</v>
      </c>
      <c r="B246" s="223">
        <v>1003322.3977201461</v>
      </c>
      <c r="C246" s="883">
        <v>22307359.346119996</v>
      </c>
      <c r="D246" s="829"/>
      <c r="E246" s="829"/>
    </row>
    <row r="247" spans="1:5">
      <c r="A247" s="972">
        <f t="shared" si="2"/>
        <v>2013.1</v>
      </c>
      <c r="B247" s="223">
        <v>924108.85528680636</v>
      </c>
      <c r="C247" s="883">
        <v>23178258.397160016</v>
      </c>
      <c r="D247" s="829"/>
      <c r="E247" s="829"/>
    </row>
    <row r="248" spans="1:5">
      <c r="A248" s="972">
        <f t="shared" si="2"/>
        <v>2013.11</v>
      </c>
      <c r="B248" s="223">
        <v>1072668.6449811633</v>
      </c>
      <c r="C248" s="883">
        <v>23363035.748709988</v>
      </c>
      <c r="D248" s="829"/>
      <c r="E248" s="829"/>
    </row>
    <row r="249" spans="1:5">
      <c r="A249" s="972">
        <f t="shared" si="2"/>
        <v>2013.12</v>
      </c>
      <c r="B249" s="223">
        <v>883651.00703631947</v>
      </c>
      <c r="C249" s="883">
        <v>22679670.760849997</v>
      </c>
      <c r="D249" s="829"/>
      <c r="E249" s="829"/>
    </row>
    <row r="250" spans="1:5">
      <c r="A250" s="972">
        <f t="shared" si="2"/>
        <v>2014.01</v>
      </c>
      <c r="B250" s="223">
        <v>1183345.22317128</v>
      </c>
      <c r="C250" s="883">
        <v>27521455.082100023</v>
      </c>
      <c r="D250" s="829"/>
      <c r="E250" s="829"/>
    </row>
    <row r="251" spans="1:5">
      <c r="A251" s="972">
        <f t="shared" si="2"/>
        <v>2014.02</v>
      </c>
      <c r="B251" s="223">
        <v>1084650.1214769101</v>
      </c>
      <c r="C251" s="883">
        <v>25821979.758289997</v>
      </c>
      <c r="D251" s="829"/>
      <c r="E251" s="829"/>
    </row>
    <row r="252" spans="1:5">
      <c r="A252" s="972">
        <f t="shared" si="2"/>
        <v>2014.03</v>
      </c>
      <c r="B252" s="223">
        <v>1086284.2641266179</v>
      </c>
      <c r="C252" s="883">
        <v>25535161.399130002</v>
      </c>
      <c r="D252" s="829"/>
      <c r="E252" s="829"/>
    </row>
    <row r="253" spans="1:5">
      <c r="A253" s="972">
        <f t="shared" si="2"/>
        <v>2014.04</v>
      </c>
      <c r="B253" s="223">
        <v>1074961.3031645999</v>
      </c>
      <c r="C253" s="883">
        <v>27516350.326919992</v>
      </c>
      <c r="D253" s="829"/>
      <c r="E253" s="829"/>
    </row>
    <row r="254" spans="1:5">
      <c r="A254" s="972">
        <f t="shared" si="2"/>
        <v>2014.05</v>
      </c>
      <c r="B254" s="223">
        <v>1131228.7169237065</v>
      </c>
      <c r="C254" s="883">
        <v>25973889.012629997</v>
      </c>
      <c r="D254" s="829"/>
      <c r="E254" s="829"/>
    </row>
    <row r="255" spans="1:5">
      <c r="A255" s="972">
        <f t="shared" si="2"/>
        <v>2014.06</v>
      </c>
      <c r="B255" s="223">
        <v>1009582.5152862375</v>
      </c>
      <c r="C255" s="883">
        <v>25544295.391009983</v>
      </c>
      <c r="D255" s="829"/>
      <c r="E255" s="829"/>
    </row>
    <row r="256" spans="1:5">
      <c r="A256" s="972">
        <f t="shared" si="2"/>
        <v>2014.07</v>
      </c>
      <c r="B256" s="223">
        <v>1197475.0261068502</v>
      </c>
      <c r="C256" s="883">
        <v>28399698.135249998</v>
      </c>
      <c r="D256" s="829"/>
      <c r="E256" s="829"/>
    </row>
    <row r="257" spans="1:5">
      <c r="A257" s="972">
        <f t="shared" si="2"/>
        <v>2014.08</v>
      </c>
      <c r="B257" s="223">
        <v>1235753.1217445692</v>
      </c>
      <c r="C257" s="883">
        <v>28431303.250450011</v>
      </c>
      <c r="D257" s="829"/>
      <c r="E257" s="829"/>
    </row>
    <row r="258" spans="1:5">
      <c r="A258" s="972">
        <f t="shared" si="2"/>
        <v>2014.09</v>
      </c>
      <c r="B258" s="223">
        <v>1204225</v>
      </c>
      <c r="C258" s="883">
        <v>29956038</v>
      </c>
      <c r="D258" s="829"/>
      <c r="E258" s="829"/>
    </row>
    <row r="259" spans="1:5">
      <c r="A259" s="972">
        <f t="shared" si="2"/>
        <v>2014.1</v>
      </c>
      <c r="B259" s="223">
        <v>1209378</v>
      </c>
      <c r="C259" s="883">
        <v>30139781</v>
      </c>
      <c r="D259" s="829"/>
      <c r="E259" s="829"/>
    </row>
    <row r="260" spans="1:5">
      <c r="A260" s="972">
        <f t="shared" si="2"/>
        <v>2014.11</v>
      </c>
      <c r="B260" s="223">
        <v>1155366.3495061579</v>
      </c>
      <c r="C260" s="883">
        <v>30255623.018920004</v>
      </c>
      <c r="D260" s="829"/>
      <c r="E260" s="829"/>
    </row>
    <row r="261" spans="1:5">
      <c r="A261" s="972">
        <f t="shared" si="2"/>
        <v>2014.12</v>
      </c>
      <c r="B261" s="223">
        <v>1342615</v>
      </c>
      <c r="C261" s="883">
        <v>31130255</v>
      </c>
      <c r="D261" s="829"/>
      <c r="E261" s="829"/>
    </row>
    <row r="262" spans="1:5">
      <c r="A262" s="972">
        <f t="shared" si="2"/>
        <v>2015.01</v>
      </c>
      <c r="B262" s="223">
        <v>1596712</v>
      </c>
      <c r="C262" s="883">
        <v>35013637</v>
      </c>
      <c r="D262" s="829"/>
      <c r="E262" s="829"/>
    </row>
    <row r="263" spans="1:5">
      <c r="A263" s="972">
        <f t="shared" si="2"/>
        <v>2015.02</v>
      </c>
      <c r="B263" s="223">
        <v>1410713.9250275875</v>
      </c>
      <c r="C263" s="883">
        <v>31048172.527569979</v>
      </c>
      <c r="D263" s="829"/>
      <c r="E263" s="829"/>
    </row>
    <row r="264" spans="1:5">
      <c r="A264" s="972">
        <f t="shared" si="2"/>
        <v>2015.03</v>
      </c>
      <c r="B264" s="223">
        <v>1436140.8886259273</v>
      </c>
      <c r="C264" s="883">
        <v>33909006.200119987</v>
      </c>
      <c r="D264" s="829"/>
      <c r="E264" s="829"/>
    </row>
    <row r="265" spans="1:5">
      <c r="A265" s="972">
        <f t="shared" si="2"/>
        <v>2015.04</v>
      </c>
      <c r="B265" s="223">
        <v>1504868.4941285299</v>
      </c>
      <c r="C265" s="883">
        <v>33601669.528570011</v>
      </c>
      <c r="D265" s="829"/>
      <c r="E265" s="829"/>
    </row>
    <row r="266" spans="1:5">
      <c r="A266" s="972">
        <f t="shared" si="2"/>
        <v>2015.05</v>
      </c>
      <c r="B266" s="223">
        <v>1385917.3790078857</v>
      </c>
      <c r="C266" s="883">
        <v>33103205.727949992</v>
      </c>
      <c r="D266" s="829"/>
      <c r="E266" s="829"/>
    </row>
    <row r="267" spans="1:5">
      <c r="A267" s="972">
        <f t="shared" si="2"/>
        <v>2015.06</v>
      </c>
      <c r="B267" s="223">
        <v>1476159.3407018268</v>
      </c>
      <c r="C267" s="883">
        <v>34554052.08986</v>
      </c>
      <c r="D267" s="829"/>
      <c r="E267" s="829"/>
    </row>
    <row r="268" spans="1:5">
      <c r="A268" s="972">
        <f t="shared" si="2"/>
        <v>2015.07</v>
      </c>
      <c r="B268" s="223">
        <v>1483797.9346590568</v>
      </c>
      <c r="C268" s="883">
        <v>36418399.595909998</v>
      </c>
      <c r="D268" s="829"/>
      <c r="E268" s="829"/>
    </row>
    <row r="269" spans="1:5">
      <c r="A269" s="972">
        <f t="shared" si="2"/>
        <v>2015.08</v>
      </c>
      <c r="B269" s="223">
        <v>1862938.510850701</v>
      </c>
      <c r="C269" s="883">
        <v>39546152.747199997</v>
      </c>
      <c r="D269" s="829"/>
      <c r="E269" s="829"/>
    </row>
    <row r="270" spans="1:5">
      <c r="A270" s="972">
        <f t="shared" si="2"/>
        <v>2015.09</v>
      </c>
      <c r="B270" s="223">
        <v>1746233.2801121883</v>
      </c>
      <c r="C270" s="883">
        <v>38921755.438949987</v>
      </c>
      <c r="D270" s="829"/>
      <c r="E270" s="829"/>
    </row>
    <row r="271" spans="1:5">
      <c r="A271" s="972">
        <f t="shared" si="2"/>
        <v>2015.1</v>
      </c>
      <c r="B271" s="223">
        <v>1794266.8528832393</v>
      </c>
      <c r="C271" s="883">
        <v>39583541.375179999</v>
      </c>
      <c r="D271" s="829"/>
      <c r="E271" s="829"/>
    </row>
    <row r="272" spans="1:5">
      <c r="A272" s="972">
        <f t="shared" si="2"/>
        <v>2015.11</v>
      </c>
      <c r="B272" s="223">
        <v>1752459.2720913056</v>
      </c>
      <c r="C272" s="883">
        <v>39497824.544650011</v>
      </c>
      <c r="D272" s="829"/>
      <c r="E272" s="829"/>
    </row>
    <row r="273" spans="1:5">
      <c r="A273" s="972">
        <f t="shared" si="2"/>
        <v>2015.12</v>
      </c>
      <c r="B273" s="223">
        <v>1909608.4780226597</v>
      </c>
      <c r="C273" s="883">
        <v>43302224.641310006</v>
      </c>
      <c r="D273" s="829"/>
      <c r="E273" s="829"/>
    </row>
    <row r="274" spans="1:5">
      <c r="A274" s="972">
        <f t="shared" si="2"/>
        <v>2016.01</v>
      </c>
      <c r="B274" s="223">
        <v>1952491.5378782726</v>
      </c>
      <c r="C274" s="883">
        <v>45804223.762259997</v>
      </c>
      <c r="D274" s="829"/>
      <c r="E274" s="829"/>
    </row>
    <row r="275" spans="1:5">
      <c r="A275" s="972">
        <f t="shared" si="2"/>
        <v>2016.02</v>
      </c>
      <c r="B275" s="223">
        <v>1755558.6400742247</v>
      </c>
      <c r="C275" s="883">
        <v>41706760.194700003</v>
      </c>
      <c r="D275" s="829"/>
      <c r="E275" s="829"/>
    </row>
    <row r="276" spans="1:5">
      <c r="A276" s="972">
        <f t="shared" si="2"/>
        <v>2016.03</v>
      </c>
      <c r="B276" s="223">
        <v>1882216.5295963632</v>
      </c>
      <c r="C276" s="883">
        <v>45969824.433670007</v>
      </c>
      <c r="D276" s="829"/>
      <c r="E276" s="829"/>
    </row>
    <row r="277" spans="1:5">
      <c r="A277" s="972">
        <f t="shared" si="2"/>
        <v>2016.04</v>
      </c>
      <c r="B277" s="223">
        <v>2088757.4073039235</v>
      </c>
      <c r="C277" s="883">
        <v>48164144.067330003</v>
      </c>
      <c r="D277" s="829"/>
      <c r="E277" s="829"/>
    </row>
    <row r="278" spans="1:5">
      <c r="A278" s="972">
        <f t="shared" si="2"/>
        <v>2016.05</v>
      </c>
      <c r="B278" s="223">
        <v>1964449.3556033149</v>
      </c>
      <c r="C278" s="883">
        <v>45947683.453890026</v>
      </c>
      <c r="D278" s="829"/>
      <c r="E278" s="829"/>
    </row>
    <row r="279" spans="1:5">
      <c r="A279" s="972">
        <f t="shared" si="2"/>
        <v>2016.06</v>
      </c>
      <c r="B279" s="223">
        <v>2144603.9642165117</v>
      </c>
      <c r="C279" s="883">
        <v>48131748.99957002</v>
      </c>
      <c r="D279" s="829"/>
      <c r="E279" s="829"/>
    </row>
    <row r="280" spans="1:5">
      <c r="A280" s="972">
        <f t="shared" si="2"/>
        <v>2016.07</v>
      </c>
      <c r="B280" s="223">
        <v>2245806.3211617717</v>
      </c>
      <c r="C280" s="883">
        <v>48391607.947460033</v>
      </c>
      <c r="D280" s="829"/>
      <c r="E280" s="829"/>
    </row>
    <row r="281" spans="1:5">
      <c r="A281" s="972">
        <f t="shared" si="2"/>
        <v>2016.08</v>
      </c>
      <c r="B281" s="223">
        <v>2239866.7418558127</v>
      </c>
      <c r="C281" s="883">
        <v>51185588.771250017</v>
      </c>
      <c r="D281" s="829"/>
      <c r="E281" s="829"/>
    </row>
    <row r="282" spans="1:5">
      <c r="A282" s="972">
        <f t="shared" si="2"/>
        <v>2016.09</v>
      </c>
      <c r="B282" s="223">
        <v>2456597.0854229424</v>
      </c>
      <c r="C282" s="883">
        <v>54259674.233749993</v>
      </c>
      <c r="D282" s="829"/>
      <c r="E282" s="829"/>
    </row>
    <row r="283" spans="1:5">
      <c r="A283" s="972">
        <f t="shared" si="2"/>
        <v>2016.1</v>
      </c>
      <c r="B283" s="223">
        <v>2250939.0132525489</v>
      </c>
      <c r="C283" s="883">
        <v>49819415.454100005</v>
      </c>
      <c r="D283" s="829"/>
      <c r="E283" s="829"/>
    </row>
    <row r="284" spans="1:5">
      <c r="A284" s="972">
        <f t="shared" si="2"/>
        <v>2016.11</v>
      </c>
      <c r="B284" s="223">
        <v>2245783.9085090887</v>
      </c>
      <c r="C284" s="883">
        <v>53034705.938280001</v>
      </c>
      <c r="D284" s="829"/>
      <c r="E284" s="829"/>
    </row>
    <row r="285" spans="1:5">
      <c r="A285" s="972">
        <f t="shared" si="2"/>
        <v>2016.12</v>
      </c>
      <c r="B285" s="223">
        <v>2671712.5695256041</v>
      </c>
      <c r="C285" s="883">
        <v>56733559.089410007</v>
      </c>
      <c r="D285" s="829"/>
      <c r="E285" s="829"/>
    </row>
    <row r="286" spans="1:5">
      <c r="A286" s="972">
        <f t="shared" si="2"/>
        <v>2017.01</v>
      </c>
      <c r="B286" s="223">
        <v>2840657.346652267</v>
      </c>
      <c r="C286" s="883">
        <v>60306880.283729978</v>
      </c>
      <c r="D286" s="829"/>
      <c r="E286" s="829"/>
    </row>
    <row r="287" spans="1:5">
      <c r="A287" s="972">
        <f t="shared" si="2"/>
        <v>2017.02</v>
      </c>
      <c r="B287" s="223">
        <v>2541737.4531153012</v>
      </c>
      <c r="C287" s="883">
        <v>54796923.400220007</v>
      </c>
      <c r="D287" s="829"/>
      <c r="E287" s="829"/>
    </row>
    <row r="288" spans="1:5">
      <c r="A288" s="972">
        <f t="shared" si="2"/>
        <v>2017.03</v>
      </c>
      <c r="B288" s="223">
        <v>2168000.6516107651</v>
      </c>
      <c r="C288" s="883">
        <v>55805705.655850023</v>
      </c>
      <c r="D288" s="829"/>
      <c r="E288" s="829"/>
    </row>
    <row r="289" spans="1:6">
      <c r="A289" s="972">
        <f t="shared" si="2"/>
        <v>2017.04</v>
      </c>
      <c r="B289" s="223">
        <v>2931818.99564924</v>
      </c>
      <c r="C289" s="883">
        <v>61099746.823979989</v>
      </c>
      <c r="D289" s="829"/>
      <c r="E289" s="829"/>
      <c r="F289" s="166"/>
    </row>
    <row r="290" spans="1:6">
      <c r="A290" s="972">
        <f t="shared" si="2"/>
        <v>2017.05</v>
      </c>
      <c r="B290" s="223">
        <v>2689033.2095434647</v>
      </c>
      <c r="C290" s="883">
        <v>61134883.937700003</v>
      </c>
      <c r="D290" s="829"/>
      <c r="E290" s="829"/>
      <c r="F290" s="166"/>
    </row>
    <row r="291" spans="1:6">
      <c r="A291" s="972">
        <f t="shared" si="2"/>
        <v>2017.06</v>
      </c>
      <c r="B291" s="223">
        <v>2803745.3905092222</v>
      </c>
      <c r="C291" s="883">
        <v>63209041.701160014</v>
      </c>
      <c r="D291" s="829"/>
      <c r="E291" s="829"/>
      <c r="F291" s="166"/>
    </row>
    <row r="292" spans="1:6">
      <c r="A292" s="972">
        <f t="shared" si="2"/>
        <v>2017.07</v>
      </c>
      <c r="B292" s="223">
        <v>2887459.1677492401</v>
      </c>
      <c r="C292" s="883">
        <v>65569982.520900033</v>
      </c>
      <c r="D292" s="829"/>
      <c r="E292" s="829"/>
      <c r="F292" s="166"/>
    </row>
    <row r="293" spans="1:6">
      <c r="A293" s="972">
        <f t="shared" si="2"/>
        <v>2017.08</v>
      </c>
      <c r="B293" s="223">
        <v>2942408.6725843977</v>
      </c>
      <c r="C293" s="883">
        <v>71834068.013550013</v>
      </c>
      <c r="D293" s="829"/>
      <c r="E293" s="829"/>
      <c r="F293" s="166"/>
    </row>
    <row r="294" spans="1:6">
      <c r="A294" s="972">
        <f t="shared" si="2"/>
        <v>2017.09</v>
      </c>
      <c r="B294" s="223">
        <v>3058064.9818491065</v>
      </c>
      <c r="C294" s="883">
        <v>70421049.339450002</v>
      </c>
      <c r="D294" s="829"/>
      <c r="E294" s="829"/>
      <c r="F294" s="166"/>
    </row>
    <row r="295" spans="1:6">
      <c r="A295" s="972">
        <f t="shared" si="2"/>
        <v>2017.1</v>
      </c>
      <c r="B295" s="223">
        <v>2928124.3088689586</v>
      </c>
      <c r="C295" s="883">
        <v>71361998.186090037</v>
      </c>
      <c r="D295" s="829"/>
      <c r="E295" s="829"/>
      <c r="F295" s="166"/>
    </row>
    <row r="296" spans="1:6">
      <c r="A296" s="972">
        <f t="shared" si="2"/>
        <v>2017.11</v>
      </c>
      <c r="B296" s="223">
        <v>3268769.3051175876</v>
      </c>
      <c r="C296" s="883">
        <v>76363736.207150042</v>
      </c>
      <c r="D296" s="829"/>
      <c r="E296" s="829"/>
      <c r="F296" s="166"/>
    </row>
    <row r="297" spans="1:6">
      <c r="A297" s="972">
        <f t="shared" si="2"/>
        <v>2017.12</v>
      </c>
      <c r="B297" s="223">
        <v>3445467.4459292684</v>
      </c>
      <c r="C297" s="883">
        <v>73938270.801269978</v>
      </c>
      <c r="D297" s="829"/>
      <c r="E297" s="829"/>
      <c r="F297" s="166"/>
    </row>
    <row r="298" spans="1:6">
      <c r="A298" s="972">
        <f t="shared" si="2"/>
        <v>2018.01</v>
      </c>
      <c r="B298" s="223">
        <v>3995300.3578029368</v>
      </c>
      <c r="C298" s="883">
        <v>86722325.981790036</v>
      </c>
      <c r="D298" s="829"/>
      <c r="E298" s="829"/>
      <c r="F298" s="954"/>
    </row>
    <row r="299" spans="1:6">
      <c r="A299" s="972">
        <f t="shared" si="2"/>
        <v>2018.02</v>
      </c>
      <c r="B299" s="223">
        <v>3712631.5206083064</v>
      </c>
      <c r="C299" s="883">
        <v>79205215.508919999</v>
      </c>
      <c r="D299" s="829"/>
      <c r="E299" s="829"/>
      <c r="F299" s="954"/>
    </row>
    <row r="300" spans="1:6">
      <c r="A300" s="972">
        <f t="shared" si="2"/>
        <v>2018.03</v>
      </c>
      <c r="B300" s="223">
        <v>4004638.249864338</v>
      </c>
      <c r="C300" s="883">
        <v>82164981.008299991</v>
      </c>
      <c r="D300" s="829"/>
      <c r="E300" s="829"/>
      <c r="F300" s="954"/>
    </row>
    <row r="301" spans="1:6">
      <c r="A301" s="972">
        <f t="shared" si="2"/>
        <v>2018.04</v>
      </c>
      <c r="B301" s="223">
        <v>3536929.1979365246</v>
      </c>
      <c r="C301" s="883">
        <v>84381470.512839988</v>
      </c>
      <c r="D301" s="829"/>
      <c r="E301" s="829"/>
      <c r="F301" s="954"/>
    </row>
    <row r="302" spans="1:6">
      <c r="A302" s="972">
        <f t="shared" si="2"/>
        <v>2018.05</v>
      </c>
      <c r="B302" s="223">
        <v>3729041.42853997</v>
      </c>
      <c r="C302" s="883">
        <v>88674238.896830007</v>
      </c>
      <c r="D302" s="829"/>
      <c r="E302" s="829"/>
      <c r="F302" s="954"/>
    </row>
    <row r="303" spans="1:6">
      <c r="A303" s="972">
        <f t="shared" si="2"/>
        <v>2018.06</v>
      </c>
      <c r="B303" s="223">
        <v>4127723.928457994</v>
      </c>
      <c r="C303" s="883">
        <v>93127480.642420009</v>
      </c>
      <c r="D303" s="829"/>
      <c r="E303" s="829"/>
      <c r="F303" s="954"/>
    </row>
    <row r="304" spans="1:6">
      <c r="A304" s="972">
        <f t="shared" si="2"/>
        <v>2018.07</v>
      </c>
      <c r="B304" s="223">
        <v>3760233.8393195486</v>
      </c>
      <c r="C304" s="883">
        <v>94304076.495229989</v>
      </c>
      <c r="D304" s="829"/>
      <c r="E304" s="829"/>
      <c r="F304" s="954"/>
    </row>
    <row r="305" spans="1:6">
      <c r="A305" s="972">
        <f t="shared" si="2"/>
        <v>2018.08</v>
      </c>
      <c r="B305" s="223">
        <v>3783891.2771547055</v>
      </c>
      <c r="C305" s="883">
        <v>100066100.89686996</v>
      </c>
      <c r="D305" s="829"/>
      <c r="E305" s="829"/>
      <c r="F305" s="954"/>
    </row>
    <row r="306" spans="1:6">
      <c r="A306" s="972">
        <f t="shared" ref="A306:A369" si="3">A294+1</f>
        <v>2018.09</v>
      </c>
      <c r="B306" s="223">
        <v>3881393.0712391445</v>
      </c>
      <c r="C306" s="883">
        <v>105070008.35066997</v>
      </c>
      <c r="D306" s="829"/>
      <c r="E306" s="829"/>
      <c r="F306" s="954"/>
    </row>
    <row r="307" spans="1:6">
      <c r="A307" s="972">
        <f t="shared" si="3"/>
        <v>2018.1</v>
      </c>
      <c r="B307" s="223">
        <v>4242505.6821978567</v>
      </c>
      <c r="C307" s="883">
        <v>113262412.26611003</v>
      </c>
      <c r="D307" s="829"/>
      <c r="E307" s="829"/>
      <c r="F307" s="954"/>
    </row>
    <row r="308" spans="1:6">
      <c r="A308" s="972">
        <f t="shared" si="3"/>
        <v>2018.11</v>
      </c>
      <c r="B308" s="223">
        <v>4426409.093512292</v>
      </c>
      <c r="C308" s="883">
        <v>99292039.965099975</v>
      </c>
      <c r="D308" s="829"/>
      <c r="E308" s="829"/>
      <c r="F308" s="166"/>
    </row>
    <row r="309" spans="1:6">
      <c r="A309" s="972">
        <f t="shared" si="3"/>
        <v>2018.12</v>
      </c>
      <c r="B309" s="223">
        <v>4826470.0430500293</v>
      </c>
      <c r="C309" s="883">
        <v>101709939.24901995</v>
      </c>
      <c r="D309" s="829"/>
      <c r="E309" s="829"/>
      <c r="F309" s="166"/>
    </row>
    <row r="310" spans="1:6">
      <c r="A310" s="972">
        <f t="shared" si="3"/>
        <v>2019.01</v>
      </c>
      <c r="B310" s="223">
        <v>5697074.7607128695</v>
      </c>
      <c r="C310" s="883">
        <v>117242433.45116006</v>
      </c>
      <c r="D310" s="829"/>
      <c r="E310" s="829"/>
      <c r="F310" s="166"/>
    </row>
    <row r="311" spans="1:6">
      <c r="A311" s="972">
        <f t="shared" si="3"/>
        <v>2019.02</v>
      </c>
      <c r="B311" s="223">
        <v>5062660.3900669077</v>
      </c>
      <c r="C311" s="883">
        <v>105831778.59849997</v>
      </c>
      <c r="D311" s="829"/>
      <c r="E311" s="829"/>
      <c r="F311" s="166"/>
    </row>
    <row r="312" spans="1:6">
      <c r="A312" s="972">
        <f t="shared" si="3"/>
        <v>2019.03</v>
      </c>
      <c r="B312" s="223">
        <v>5485310.6206486225</v>
      </c>
      <c r="C312" s="883">
        <v>108896949.98287997</v>
      </c>
      <c r="D312" s="829"/>
      <c r="E312" s="829"/>
      <c r="F312" s="166"/>
    </row>
    <row r="313" spans="1:6">
      <c r="A313" s="972">
        <f t="shared" si="3"/>
        <v>2019.04</v>
      </c>
      <c r="B313" s="223">
        <v>5992958.5154703232</v>
      </c>
      <c r="C313" s="883">
        <v>120500063.04147001</v>
      </c>
      <c r="D313" s="829"/>
      <c r="E313" s="829"/>
      <c r="F313" s="166"/>
    </row>
    <row r="314" spans="1:6">
      <c r="A314" s="972">
        <f t="shared" si="3"/>
        <v>2019.05</v>
      </c>
      <c r="B314" s="223">
        <v>5996761.5631110901</v>
      </c>
      <c r="C314" s="883">
        <v>131473438.82780004</v>
      </c>
      <c r="D314" s="829"/>
      <c r="E314" s="829"/>
      <c r="F314" s="166"/>
    </row>
    <row r="315" spans="1:6">
      <c r="A315" s="972">
        <f t="shared" si="3"/>
        <v>2019.06</v>
      </c>
      <c r="B315" s="223">
        <v>4928337.6428525094</v>
      </c>
      <c r="C315" s="883">
        <v>129908147.49959004</v>
      </c>
      <c r="D315" s="829"/>
      <c r="E315" s="829"/>
      <c r="F315" s="166"/>
    </row>
    <row r="316" spans="1:6">
      <c r="A316" s="972">
        <f t="shared" si="3"/>
        <v>2019.07</v>
      </c>
      <c r="B316" s="223">
        <v>4726160.1696465025</v>
      </c>
      <c r="C316" s="883">
        <v>135164455.26111996</v>
      </c>
      <c r="D316" s="829"/>
      <c r="E316" s="829"/>
      <c r="F316" s="166"/>
    </row>
    <row r="317" spans="1:6">
      <c r="A317" s="972">
        <f t="shared" si="3"/>
        <v>2019.08</v>
      </c>
      <c r="B317" s="223">
        <v>4770336.7448024014</v>
      </c>
      <c r="C317" s="883">
        <v>146244871.50939006</v>
      </c>
      <c r="D317" s="829"/>
      <c r="E317" s="829"/>
      <c r="F317" s="166"/>
    </row>
    <row r="318" spans="1:6">
      <c r="A318" s="972">
        <f t="shared" si="3"/>
        <v>2019.09</v>
      </c>
      <c r="B318" s="223">
        <v>4455664.2280919841</v>
      </c>
      <c r="C318" s="883">
        <v>142020069.07955003</v>
      </c>
      <c r="D318" s="829"/>
      <c r="E318" s="829"/>
      <c r="F318" s="166"/>
    </row>
    <row r="319" spans="1:6">
      <c r="A319" s="972">
        <f t="shared" si="3"/>
        <v>2019.1</v>
      </c>
      <c r="B319" s="223">
        <v>4571147.46660899</v>
      </c>
      <c r="C319" s="883">
        <v>150650959.29567009</v>
      </c>
      <c r="D319" s="829"/>
      <c r="E319" s="829"/>
      <c r="F319" s="166"/>
    </row>
    <row r="320" spans="1:6">
      <c r="A320" s="972">
        <f t="shared" si="3"/>
        <v>2019.11</v>
      </c>
      <c r="B320" s="223">
        <v>5317637.2257117853</v>
      </c>
      <c r="C320" s="883">
        <v>148741877.97114998</v>
      </c>
      <c r="D320" s="829"/>
      <c r="E320" s="829"/>
      <c r="F320" s="166"/>
    </row>
    <row r="321" spans="1:5">
      <c r="A321" s="972">
        <f t="shared" si="3"/>
        <v>2019.12</v>
      </c>
      <c r="B321" s="223">
        <v>4055030.4010797921</v>
      </c>
      <c r="C321" s="883">
        <v>141621857.84172988</v>
      </c>
      <c r="D321" s="829"/>
      <c r="E321" s="829"/>
    </row>
    <row r="322" spans="1:5">
      <c r="A322" s="972">
        <f t="shared" si="3"/>
        <v>2020.01</v>
      </c>
      <c r="B322" s="223">
        <v>6132817.0810474502</v>
      </c>
      <c r="C322" s="883">
        <v>172578561.11151001</v>
      </c>
      <c r="D322" s="829"/>
      <c r="E322" s="829"/>
    </row>
    <row r="323" spans="1:5">
      <c r="A323" s="972">
        <f t="shared" si="3"/>
        <v>2020.02</v>
      </c>
      <c r="B323" s="223">
        <v>5000187.236482705</v>
      </c>
      <c r="C323" s="883">
        <v>146187328.63857007</v>
      </c>
      <c r="D323" s="829"/>
      <c r="E323" s="829"/>
    </row>
    <row r="324" spans="1:5">
      <c r="A324" s="972">
        <f t="shared" si="3"/>
        <v>2020.03</v>
      </c>
      <c r="B324" s="223">
        <v>4451048.5862721344</v>
      </c>
      <c r="C324" s="883">
        <v>143160775.87969005</v>
      </c>
      <c r="D324" s="829"/>
      <c r="E324" s="829"/>
    </row>
    <row r="325" spans="1:5">
      <c r="A325" s="972">
        <f t="shared" si="3"/>
        <v>2020.04</v>
      </c>
      <c r="B325" s="223">
        <v>4355459.4389209356</v>
      </c>
      <c r="C325" s="883">
        <v>128527223.7046001</v>
      </c>
      <c r="D325" s="829"/>
      <c r="E325" s="829"/>
    </row>
    <row r="326" spans="1:5">
      <c r="A326" s="972">
        <f t="shared" si="3"/>
        <v>2020.05</v>
      </c>
      <c r="B326" s="223">
        <v>4621673.5050042579</v>
      </c>
      <c r="C326" s="883">
        <v>134165877.03122</v>
      </c>
      <c r="D326" s="829"/>
      <c r="E326" s="829"/>
    </row>
    <row r="327" spans="1:5">
      <c r="A327" s="972">
        <f t="shared" si="3"/>
        <v>2020.06</v>
      </c>
      <c r="B327" s="223">
        <v>5507823.0351317767</v>
      </c>
      <c r="C327" s="883">
        <v>143809983.25011</v>
      </c>
      <c r="D327" s="829"/>
      <c r="E327" s="829"/>
    </row>
    <row r="328" spans="1:5">
      <c r="A328" s="972">
        <f t="shared" si="3"/>
        <v>2020.07</v>
      </c>
      <c r="B328" s="223">
        <v>4079872.8565926859</v>
      </c>
      <c r="C328" s="883">
        <v>147234895.77259997</v>
      </c>
      <c r="D328" s="829"/>
      <c r="E328" s="829"/>
    </row>
    <row r="329" spans="1:5">
      <c r="A329" s="972">
        <f t="shared" si="3"/>
        <v>2020.08</v>
      </c>
      <c r="B329" s="223">
        <v>5500774.3505221484</v>
      </c>
      <c r="C329" s="883">
        <v>163276708.91206998</v>
      </c>
      <c r="D329" s="829"/>
      <c r="E329" s="829"/>
    </row>
    <row r="330" spans="1:5">
      <c r="A330" s="972">
        <f t="shared" si="3"/>
        <v>2020.09</v>
      </c>
      <c r="B330" s="223">
        <v>5183255.8208788047</v>
      </c>
      <c r="C330" s="883">
        <v>175809169.13049003</v>
      </c>
      <c r="D330" s="829"/>
      <c r="E330" s="829"/>
    </row>
    <row r="331" spans="1:5">
      <c r="A331" s="972">
        <f t="shared" si="3"/>
        <v>2020.1</v>
      </c>
      <c r="B331" s="223">
        <v>5680773.7497521657</v>
      </c>
      <c r="C331" s="883">
        <v>191755738.45756003</v>
      </c>
      <c r="D331" s="829"/>
      <c r="E331" s="829"/>
    </row>
    <row r="332" spans="1:5">
      <c r="A332" s="972">
        <f t="shared" si="3"/>
        <v>2020.11</v>
      </c>
      <c r="B332" s="223">
        <v>6032109.9484681729</v>
      </c>
      <c r="C332" s="883">
        <v>194969680.72033998</v>
      </c>
      <c r="D332" s="829"/>
      <c r="E332" s="829"/>
    </row>
    <row r="333" spans="1:5">
      <c r="A333" s="972">
        <f t="shared" si="3"/>
        <v>2020.12</v>
      </c>
      <c r="B333" s="223">
        <v>5992847.5870268345</v>
      </c>
      <c r="C333" s="883">
        <v>210084850.81001997</v>
      </c>
      <c r="D333" s="829"/>
      <c r="E333" s="829"/>
    </row>
    <row r="334" spans="1:5">
      <c r="A334" s="972">
        <f t="shared" si="3"/>
        <v>2021.01</v>
      </c>
      <c r="B334" s="223">
        <v>8225192.8263453832</v>
      </c>
      <c r="C334" s="883">
        <v>240331605.17126992</v>
      </c>
      <c r="D334" s="829"/>
      <c r="E334" s="829"/>
    </row>
    <row r="335" spans="1:5">
      <c r="A335" s="972">
        <f t="shared" si="3"/>
        <v>2021.02</v>
      </c>
      <c r="B335" s="223">
        <v>6673030.3342328677</v>
      </c>
      <c r="C335" s="883">
        <v>215643376.50199008</v>
      </c>
      <c r="D335" s="829"/>
      <c r="E335" s="829"/>
    </row>
    <row r="336" spans="1:5">
      <c r="A336" s="972">
        <f t="shared" si="3"/>
        <v>2021.03</v>
      </c>
      <c r="B336" s="223">
        <v>7175667.0007483382</v>
      </c>
      <c r="C336" s="883">
        <v>250590150.44751015</v>
      </c>
      <c r="D336" s="829"/>
      <c r="E336" s="829"/>
    </row>
    <row r="337" spans="1:7">
      <c r="A337" s="972">
        <f t="shared" si="3"/>
        <v>2021.04</v>
      </c>
      <c r="B337" s="223">
        <v>8058468.3506312901</v>
      </c>
      <c r="C337" s="883">
        <v>252298331.02387002</v>
      </c>
      <c r="D337" s="829"/>
      <c r="E337" s="829"/>
      <c r="F337" s="166"/>
      <c r="G337" s="166"/>
    </row>
    <row r="338" spans="1:7">
      <c r="A338" s="972">
        <f t="shared" si="3"/>
        <v>2021.05</v>
      </c>
      <c r="B338" s="223">
        <v>7525060.9006018005</v>
      </c>
      <c r="C338" s="883">
        <v>242393841.17235002</v>
      </c>
      <c r="D338" s="829"/>
      <c r="E338" s="829"/>
      <c r="F338" s="166"/>
      <c r="G338" s="166"/>
    </row>
    <row r="339" spans="1:7">
      <c r="A339" s="972">
        <f t="shared" si="3"/>
        <v>2021.06</v>
      </c>
      <c r="B339" s="223">
        <v>7312631.9111868264</v>
      </c>
      <c r="C339" s="883">
        <v>264725497.82702011</v>
      </c>
      <c r="D339" s="829"/>
      <c r="E339" s="829"/>
      <c r="F339" s="166"/>
      <c r="G339" s="166"/>
    </row>
    <row r="340" spans="1:7">
      <c r="A340" s="972">
        <f t="shared" si="3"/>
        <v>2021.07</v>
      </c>
      <c r="B340" s="223">
        <v>7754570.2380068433</v>
      </c>
      <c r="C340" s="883">
        <v>273528160.72521007</v>
      </c>
      <c r="D340" s="829"/>
      <c r="E340" s="829"/>
      <c r="F340" s="166"/>
      <c r="G340" s="166"/>
    </row>
    <row r="341" spans="1:7">
      <c r="A341" s="972">
        <f t="shared" si="3"/>
        <v>2021.08</v>
      </c>
      <c r="B341" s="223">
        <v>8512087.4925274104</v>
      </c>
      <c r="C341" s="883">
        <v>283858709.76090997</v>
      </c>
      <c r="D341" s="829"/>
      <c r="E341" s="829"/>
      <c r="F341" s="166"/>
      <c r="G341" s="166"/>
    </row>
    <row r="342" spans="1:7">
      <c r="A342" s="972">
        <f t="shared" si="3"/>
        <v>2021.09</v>
      </c>
      <c r="B342" s="223">
        <v>9025720.7312490866</v>
      </c>
      <c r="C342" s="883">
        <v>310774648.87630022</v>
      </c>
      <c r="D342" s="829"/>
      <c r="E342" s="829"/>
      <c r="F342" s="166"/>
      <c r="G342" s="166"/>
    </row>
    <row r="343" spans="1:7">
      <c r="A343" s="972">
        <f t="shared" si="3"/>
        <v>2021.1</v>
      </c>
      <c r="B343" s="223">
        <v>8532998.4819051344</v>
      </c>
      <c r="C343" s="883">
        <v>295669262.75247014</v>
      </c>
      <c r="D343" s="829"/>
      <c r="E343" s="829"/>
      <c r="F343" s="166"/>
      <c r="G343" s="166"/>
    </row>
    <row r="344" spans="1:7">
      <c r="A344" s="972">
        <f t="shared" si="3"/>
        <v>2021.11</v>
      </c>
      <c r="B344" s="223">
        <v>8481577.3777925987</v>
      </c>
      <c r="C344" s="883">
        <v>319196210.68517011</v>
      </c>
      <c r="D344" s="829"/>
      <c r="E344" s="829"/>
      <c r="F344" s="166"/>
      <c r="G344" s="166"/>
    </row>
    <row r="345" spans="1:7">
      <c r="A345" s="972">
        <f t="shared" si="3"/>
        <v>2021.12</v>
      </c>
      <c r="B345" s="223">
        <v>9451286.774998121</v>
      </c>
      <c r="C345" s="883">
        <v>356998415.63072985</v>
      </c>
      <c r="D345" s="829"/>
      <c r="E345" s="829"/>
      <c r="F345" s="166"/>
      <c r="G345" s="166"/>
    </row>
    <row r="346" spans="1:7">
      <c r="A346" s="972">
        <f t="shared" si="3"/>
        <v>2022.01</v>
      </c>
      <c r="B346" s="223">
        <v>11694202.317274114</v>
      </c>
      <c r="C346" s="883">
        <v>360213571.52697998</v>
      </c>
      <c r="D346" s="829"/>
      <c r="E346" s="829"/>
      <c r="F346" s="166"/>
      <c r="G346" s="166"/>
    </row>
    <row r="347" spans="1:7">
      <c r="A347" s="972">
        <f t="shared" si="3"/>
        <v>2022.02</v>
      </c>
      <c r="B347" s="223">
        <v>10582252.037603714</v>
      </c>
      <c r="C347" s="883">
        <v>344725231.35604012</v>
      </c>
      <c r="D347" s="829"/>
      <c r="E347" s="829"/>
      <c r="F347" s="166"/>
      <c r="G347" s="166"/>
    </row>
    <row r="348" spans="1:7">
      <c r="A348" s="972">
        <f t="shared" si="3"/>
        <v>2022.03</v>
      </c>
      <c r="B348" s="223">
        <v>11957343.743706303</v>
      </c>
      <c r="C348" s="883">
        <v>393314164.98055005</v>
      </c>
      <c r="D348" s="829"/>
      <c r="E348" s="829"/>
      <c r="F348" s="1340"/>
      <c r="G348" s="1340"/>
    </row>
    <row r="349" spans="1:7">
      <c r="A349" s="972">
        <f t="shared" si="3"/>
        <v>2022.04</v>
      </c>
      <c r="B349" s="223">
        <v>13990354.818309119</v>
      </c>
      <c r="C349" s="883">
        <v>430495165.64349997</v>
      </c>
      <c r="D349" s="829"/>
      <c r="E349" s="829"/>
      <c r="F349" s="1340"/>
      <c r="G349" s="1340"/>
    </row>
    <row r="350" spans="1:7">
      <c r="A350" s="972">
        <f t="shared" si="3"/>
        <v>2022.05</v>
      </c>
      <c r="B350" s="223">
        <v>13300523.586166717</v>
      </c>
      <c r="C350" s="883">
        <v>422164371.60333991</v>
      </c>
      <c r="D350" s="829"/>
      <c r="E350" s="829"/>
      <c r="F350" s="1340"/>
      <c r="G350" s="1340"/>
    </row>
    <row r="351" spans="1:7">
      <c r="A351" s="972">
        <f t="shared" si="3"/>
        <v>2022.06</v>
      </c>
      <c r="B351" s="223">
        <v>15046629.519501658</v>
      </c>
      <c r="C351" s="883">
        <v>467773316.30771005</v>
      </c>
      <c r="D351" s="829"/>
      <c r="E351" s="829"/>
      <c r="F351" s="1340"/>
      <c r="G351" s="1340"/>
    </row>
    <row r="352" spans="1:7">
      <c r="A352" s="972">
        <f t="shared" si="3"/>
        <v>2022.07</v>
      </c>
      <c r="B352" s="223">
        <v>16444256.898102744</v>
      </c>
      <c r="C352" s="883">
        <v>498455634.3886199</v>
      </c>
      <c r="D352" s="829"/>
      <c r="E352" s="829"/>
      <c r="F352" s="1340"/>
      <c r="G352" s="1340"/>
    </row>
    <row r="353" spans="1:7">
      <c r="A353" s="972">
        <f t="shared" si="3"/>
        <v>2022.08</v>
      </c>
      <c r="B353" s="223">
        <v>15797290.006663993</v>
      </c>
      <c r="C353" s="883">
        <v>526606303.34205019</v>
      </c>
      <c r="D353" s="829"/>
      <c r="E353" s="829"/>
      <c r="F353" s="1340"/>
      <c r="G353" s="1340"/>
    </row>
    <row r="354" spans="1:7">
      <c r="A354" s="972">
        <f t="shared" si="3"/>
        <v>2022.09</v>
      </c>
      <c r="B354" s="223">
        <v>17256325.738441672</v>
      </c>
      <c r="C354" s="883">
        <v>577215806.78640985</v>
      </c>
      <c r="D354" s="829"/>
      <c r="E354" s="829"/>
      <c r="F354" s="1340"/>
      <c r="G354" s="1340"/>
    </row>
    <row r="355" spans="1:7">
      <c r="A355" s="972">
        <f t="shared" si="3"/>
        <v>2022.1</v>
      </c>
      <c r="B355" s="223">
        <v>19682221.186875854</v>
      </c>
      <c r="C355" s="883">
        <v>611050607.39254022</v>
      </c>
      <c r="D355" s="829"/>
      <c r="E355" s="829"/>
      <c r="F355" s="1340"/>
      <c r="G355" s="1340"/>
    </row>
    <row r="356" spans="1:7">
      <c r="A356" s="972">
        <f t="shared" si="3"/>
        <v>2022.11</v>
      </c>
      <c r="B356" s="223">
        <v>21966469.139622636</v>
      </c>
      <c r="C356" s="883">
        <v>620189719.52856004</v>
      </c>
      <c r="D356" s="829"/>
      <c r="E356" s="829"/>
      <c r="F356" s="1340"/>
      <c r="G356" s="1340"/>
    </row>
    <row r="357" spans="1:7">
      <c r="A357" s="972">
        <f t="shared" si="3"/>
        <v>2022.12</v>
      </c>
      <c r="B357" s="223">
        <v>25377605.605375387</v>
      </c>
      <c r="C357" s="883">
        <v>672835712.24432039</v>
      </c>
      <c r="D357" s="829"/>
      <c r="E357" s="829"/>
      <c r="F357" s="1340"/>
      <c r="G357" s="1340"/>
    </row>
    <row r="358" spans="1:7">
      <c r="A358" s="972">
        <f t="shared" si="3"/>
        <v>2023.01</v>
      </c>
      <c r="B358" s="223">
        <v>30608339.534620419</v>
      </c>
      <c r="C358" s="883">
        <v>749871100.35302997</v>
      </c>
      <c r="D358" s="829"/>
      <c r="E358" s="829"/>
      <c r="F358" s="1340"/>
      <c r="G358" s="1340"/>
    </row>
    <row r="359" spans="1:7">
      <c r="A359" s="972">
        <f t="shared" si="3"/>
        <v>2023.02</v>
      </c>
      <c r="B359" s="223">
        <v>29764458.707368139</v>
      </c>
      <c r="C359" s="883">
        <v>702567039.34895992</v>
      </c>
      <c r="D359" s="829"/>
      <c r="E359" s="829"/>
      <c r="F359" s="1340"/>
      <c r="G359" s="1340"/>
    </row>
    <row r="360" spans="1:7">
      <c r="A360" s="972">
        <f t="shared" si="3"/>
        <v>2023.03</v>
      </c>
      <c r="B360" s="223">
        <v>34236746.93272128</v>
      </c>
      <c r="C360" s="883">
        <v>859637475.62596965</v>
      </c>
      <c r="D360" s="829"/>
      <c r="E360" s="829"/>
      <c r="F360" s="1340"/>
      <c r="G360" s="1340"/>
    </row>
    <row r="361" spans="1:7">
      <c r="A361" s="972">
        <f t="shared" si="3"/>
        <v>2023.04</v>
      </c>
      <c r="B361" s="223">
        <v>34310969.142374411</v>
      </c>
      <c r="C361" s="883">
        <v>939091023.01429999</v>
      </c>
      <c r="D361" s="829"/>
      <c r="E361" s="829"/>
      <c r="F361" s="1340"/>
      <c r="G361" s="1340"/>
    </row>
    <row r="362" spans="1:7">
      <c r="A362" s="972">
        <f t="shared" si="3"/>
        <v>2023.05</v>
      </c>
      <c r="B362" s="223">
        <v>32295860.884981275</v>
      </c>
      <c r="C362" s="883">
        <v>1034321561.5014801</v>
      </c>
      <c r="D362" s="829"/>
      <c r="E362" s="829"/>
      <c r="F362" s="166"/>
      <c r="G362" s="166"/>
    </row>
    <row r="363" spans="1:7">
      <c r="A363" s="972">
        <f t="shared" si="3"/>
        <v>2023.06</v>
      </c>
      <c r="B363" s="223">
        <v>41554828.0656638</v>
      </c>
      <c r="C363" s="883">
        <v>1170173566.9061394</v>
      </c>
      <c r="D363" s="166"/>
      <c r="E363" s="829"/>
      <c r="F363" s="166"/>
      <c r="G363" s="166"/>
    </row>
    <row r="364" spans="1:7">
      <c r="A364" s="972">
        <f t="shared" si="3"/>
        <v>2023.07</v>
      </c>
      <c r="B364" s="223">
        <v>39172807.256702051</v>
      </c>
      <c r="C364" s="883">
        <v>1195300976.3478498</v>
      </c>
      <c r="D364" s="166"/>
      <c r="E364" s="829"/>
      <c r="F364" s="166"/>
      <c r="G364" s="166"/>
    </row>
    <row r="365" spans="1:7">
      <c r="A365" s="972">
        <f t="shared" si="3"/>
        <v>2023.08</v>
      </c>
      <c r="B365" s="223">
        <v>40404446.8526465</v>
      </c>
      <c r="C365" s="883">
        <v>1396544966.7014799</v>
      </c>
      <c r="D365" s="166"/>
      <c r="E365" s="829"/>
      <c r="F365" s="166"/>
      <c r="G365" s="166"/>
    </row>
    <row r="366" spans="1:7">
      <c r="A366" s="972">
        <f t="shared" si="3"/>
        <v>2023.09</v>
      </c>
      <c r="B366" s="223">
        <v>48622757.9932907</v>
      </c>
      <c r="C366" s="883">
        <v>1628390418.5153701</v>
      </c>
      <c r="D366" s="166"/>
      <c r="E366" s="829"/>
      <c r="F366" s="166"/>
      <c r="G366" s="166"/>
    </row>
    <row r="367" spans="1:7">
      <c r="A367" s="972">
        <f t="shared" si="3"/>
        <v>2023.1</v>
      </c>
      <c r="B367" s="223">
        <v>41205584.553429402</v>
      </c>
      <c r="C367" s="883">
        <v>1538544212.5231304</v>
      </c>
      <c r="D367" s="166"/>
      <c r="E367" s="829"/>
      <c r="F367" s="166"/>
      <c r="G367" s="166"/>
    </row>
    <row r="368" spans="1:7">
      <c r="A368" s="972">
        <f t="shared" si="3"/>
        <v>2023.11</v>
      </c>
      <c r="B368" s="223">
        <v>46251965.790678225</v>
      </c>
      <c r="C368" s="883">
        <v>1675739934.7130604</v>
      </c>
      <c r="D368" s="166"/>
      <c r="E368" s="829"/>
      <c r="F368" s="166"/>
      <c r="G368" s="166"/>
    </row>
    <row r="369" spans="1:5">
      <c r="A369" s="972">
        <f t="shared" si="3"/>
        <v>2023.12</v>
      </c>
      <c r="B369" s="223">
        <v>63724020.919121496</v>
      </c>
      <c r="C369" s="883">
        <v>2097128037.9071383</v>
      </c>
      <c r="D369" s="166"/>
      <c r="E369" s="829"/>
    </row>
    <row r="370" spans="1:5">
      <c r="A370" s="972">
        <f t="shared" ref="A370:A433" si="4">A358+1</f>
        <v>2024.01</v>
      </c>
      <c r="B370" s="223">
        <v>74679578.483714566</v>
      </c>
      <c r="C370" s="883">
        <v>2875797258.0764503</v>
      </c>
      <c r="D370" s="166"/>
      <c r="E370" s="166"/>
    </row>
    <row r="371" spans="1:5">
      <c r="A371" s="972">
        <f t="shared" si="4"/>
        <v>2024.02</v>
      </c>
      <c r="B371" s="223">
        <v>88518578.543651849</v>
      </c>
      <c r="C371" s="883">
        <v>2693177702.3151379</v>
      </c>
      <c r="D371" s="166"/>
      <c r="E371" s="166"/>
    </row>
    <row r="372" spans="1:5">
      <c r="A372" s="972">
        <f t="shared" si="4"/>
        <v>2024.03</v>
      </c>
      <c r="B372" s="223">
        <v>82536931.66475004</v>
      </c>
      <c r="C372" s="883">
        <v>2834322110.6570697</v>
      </c>
      <c r="D372" s="166"/>
      <c r="E372" s="166"/>
    </row>
    <row r="373" spans="1:5">
      <c r="A373" s="972">
        <f t="shared" si="4"/>
        <v>2024.04</v>
      </c>
      <c r="B373" s="223">
        <v>106800997.15505858</v>
      </c>
      <c r="C373" s="883">
        <v>3326468826.6649208</v>
      </c>
      <c r="D373" s="166"/>
      <c r="E373" s="166"/>
    </row>
    <row r="374" spans="1:5">
      <c r="A374" s="972">
        <f t="shared" si="4"/>
        <v>2024.05</v>
      </c>
      <c r="B374" s="223">
        <v>92130061.150262341</v>
      </c>
      <c r="C374" s="883">
        <v>3187295537.2332001</v>
      </c>
      <c r="D374" s="166"/>
      <c r="E374" s="166"/>
    </row>
    <row r="375" spans="1:5">
      <c r="A375" s="972">
        <f t="shared" si="4"/>
        <v>2024.06</v>
      </c>
      <c r="B375" s="223">
        <v>126893075.96314034</v>
      </c>
      <c r="C375" s="883">
        <v>3411161925.9518795</v>
      </c>
      <c r="D375" s="166"/>
      <c r="E375" s="166"/>
    </row>
    <row r="376" spans="1:5">
      <c r="A376" s="972">
        <f t="shared" si="4"/>
        <v>2024.07</v>
      </c>
      <c r="B376" s="223">
        <v>119863025.53140177</v>
      </c>
      <c r="C376" s="883">
        <v>3776331870.7703185</v>
      </c>
      <c r="D376" s="166"/>
      <c r="E376" s="166"/>
    </row>
    <row r="377" spans="1:5">
      <c r="A377" s="972">
        <f t="shared" si="4"/>
        <v>2024.08</v>
      </c>
      <c r="B377" s="223">
        <v>134373983.12512872</v>
      </c>
      <c r="C377" s="883">
        <v>3955618909.0964088</v>
      </c>
      <c r="D377" s="166"/>
      <c r="E377" s="166"/>
    </row>
    <row r="378" spans="1:5">
      <c r="A378" s="972">
        <f t="shared" si="4"/>
        <v>2024.09</v>
      </c>
      <c r="B378" s="223">
        <v>133402465.02125141</v>
      </c>
      <c r="C378" s="883">
        <v>4209790606.1973586</v>
      </c>
      <c r="D378" s="166"/>
      <c r="E378" s="166"/>
    </row>
    <row r="379" spans="1:5">
      <c r="A379" s="972">
        <f t="shared" si="4"/>
        <v>2024.1</v>
      </c>
      <c r="B379" s="223">
        <v>129085325.25392111</v>
      </c>
      <c r="C379" s="883">
        <v>4458271893.8083611</v>
      </c>
      <c r="D379" s="166"/>
      <c r="E379" s="166"/>
    </row>
    <row r="380" spans="1:5">
      <c r="A380" s="972">
        <f t="shared" si="4"/>
        <v>2024.11</v>
      </c>
      <c r="B380" s="223">
        <v>138911482.66976461</v>
      </c>
      <c r="C380" s="883">
        <v>4333832656.7598486</v>
      </c>
      <c r="D380" s="166"/>
      <c r="E380" s="166"/>
    </row>
    <row r="381" spans="1:5">
      <c r="A381" s="972">
        <f t="shared" si="4"/>
        <v>2024.12</v>
      </c>
      <c r="B381" s="223">
        <v>145963783.90570083</v>
      </c>
      <c r="C381" s="883">
        <v>4586623186.1312227</v>
      </c>
      <c r="D381" s="166"/>
      <c r="E381" s="166"/>
    </row>
    <row r="382" spans="1:5">
      <c r="A382" s="972">
        <f t="shared" si="4"/>
        <v>2025.01</v>
      </c>
      <c r="B382" s="223">
        <v>182347181.80314422</v>
      </c>
      <c r="C382" s="883">
        <v>5406719165.9588003</v>
      </c>
      <c r="D382" s="166"/>
      <c r="E382" s="166"/>
    </row>
    <row r="383" spans="1:5">
      <c r="A383" s="972">
        <f t="shared" si="4"/>
        <v>2025.02</v>
      </c>
      <c r="B383" s="223">
        <v>141139041.87011495</v>
      </c>
      <c r="C383" s="883">
        <v>4805088234.0298605</v>
      </c>
      <c r="D383" s="166"/>
      <c r="E383" s="166"/>
    </row>
    <row r="384" spans="1:5">
      <c r="A384" s="972">
        <f t="shared" si="4"/>
        <v>2025.03</v>
      </c>
      <c r="B384" s="223">
        <v>148808056.91976786</v>
      </c>
      <c r="C384" s="883">
        <v>4429980508.5285788</v>
      </c>
      <c r="D384" s="166"/>
      <c r="E384" s="166"/>
    </row>
    <row r="385" spans="1:5">
      <c r="A385" s="972">
        <f t="shared" si="4"/>
        <v>2025.04</v>
      </c>
      <c r="B385" s="223">
        <v>153397906.04215711</v>
      </c>
      <c r="C385" s="883">
        <v>4774092505.1223507</v>
      </c>
      <c r="D385" s="166"/>
      <c r="E385" s="166"/>
    </row>
    <row r="386" spans="1:5">
      <c r="A386" s="972">
        <f t="shared" si="4"/>
        <v>2025.05</v>
      </c>
      <c r="B386" s="223">
        <v>98819746.529162064</v>
      </c>
      <c r="C386" s="883">
        <v>4458329558.568861</v>
      </c>
      <c r="D386" s="166"/>
      <c r="E386" s="166"/>
    </row>
    <row r="387" spans="1:5">
      <c r="A387" s="972">
        <f t="shared" si="4"/>
        <v>2025.06</v>
      </c>
      <c r="B387" s="223">
        <v>158242583.15797663</v>
      </c>
      <c r="C387" s="883">
        <v>5159748397.4868498</v>
      </c>
      <c r="D387" s="166"/>
      <c r="E387" s="166"/>
    </row>
    <row r="388" spans="1:5">
      <c r="A388" s="972">
        <f t="shared" si="4"/>
        <v>2025.07</v>
      </c>
      <c r="B388" s="223">
        <v>118758437.33891575</v>
      </c>
      <c r="C388" s="883">
        <v>5192093786.1645288</v>
      </c>
      <c r="D388" s="166"/>
      <c r="E388" s="166"/>
    </row>
    <row r="389" spans="1:5">
      <c r="A389" s="972">
        <f t="shared" si="4"/>
        <v>2025.08</v>
      </c>
      <c r="B389" s="223">
        <v>126792327.83455341</v>
      </c>
      <c r="C389" s="883">
        <v>5392843484.8303576</v>
      </c>
      <c r="D389" s="166"/>
      <c r="E389" s="166"/>
    </row>
    <row r="390" spans="1:5">
      <c r="A390" s="972">
        <f t="shared" si="4"/>
        <v>2025.09</v>
      </c>
      <c r="B390" s="223">
        <v>93394543.110432968</v>
      </c>
      <c r="C390" s="883">
        <v>5550049179.3371191</v>
      </c>
      <c r="D390" s="166"/>
      <c r="E390" s="829"/>
    </row>
    <row r="391" spans="1:5">
      <c r="A391" s="972">
        <f t="shared" si="4"/>
        <v>2025.1</v>
      </c>
      <c r="B391" s="223">
        <v>116435090.6408439</v>
      </c>
      <c r="C391" s="883">
        <v>6059181968.6388006</v>
      </c>
      <c r="D391" s="166"/>
      <c r="E391" s="166"/>
    </row>
    <row r="392" spans="1:5">
      <c r="A392" s="972">
        <f t="shared" si="4"/>
        <v>2025.11</v>
      </c>
      <c r="B392" s="223">
        <v>97569431.133691519</v>
      </c>
      <c r="C392" s="883">
        <v>5320512696.0573578</v>
      </c>
      <c r="D392" s="166"/>
      <c r="E392" s="166"/>
    </row>
    <row r="393" spans="1:5">
      <c r="A393" s="972">
        <f t="shared" si="4"/>
        <v>2025.12</v>
      </c>
      <c r="B393" s="223">
        <v>98054432.119711265</v>
      </c>
      <c r="C393" s="883">
        <v>5528359858.3496513</v>
      </c>
      <c r="D393" s="166"/>
      <c r="E393" s="166"/>
    </row>
    <row r="394" spans="1:5">
      <c r="A394" s="972">
        <f t="shared" si="4"/>
        <v>2026.01</v>
      </c>
      <c r="B394" s="223">
        <v>138121371.03221563</v>
      </c>
      <c r="C394" s="883">
        <v>6258245208.1593332</v>
      </c>
      <c r="D394" s="166"/>
      <c r="E394" s="166"/>
    </row>
    <row r="395" spans="1:5">
      <c r="A395" s="972">
        <f t="shared" si="4"/>
        <v>2026.02</v>
      </c>
      <c r="B395" s="223">
        <v>115777215.29321583</v>
      </c>
      <c r="C395" s="883">
        <v>5405500663.1486282</v>
      </c>
      <c r="D395" s="166"/>
      <c r="E395" s="166"/>
    </row>
    <row r="396" spans="1:5">
      <c r="A396" s="972">
        <f t="shared" si="4"/>
        <v>2026.03</v>
      </c>
      <c r="B396" s="223" t="e">
        <v>#N/A</v>
      </c>
      <c r="C396" s="883" t="e">
        <v>#N/A</v>
      </c>
      <c r="D396" s="166"/>
      <c r="E396" s="166"/>
    </row>
    <row r="397" spans="1:5">
      <c r="A397" s="972">
        <f t="shared" si="4"/>
        <v>2026.04</v>
      </c>
      <c r="B397" s="223" t="e">
        <v>#N/A</v>
      </c>
      <c r="C397" s="883" t="e">
        <v>#N/A</v>
      </c>
      <c r="D397" s="166"/>
      <c r="E397" s="166"/>
    </row>
    <row r="398" spans="1:5">
      <c r="A398" s="972">
        <f t="shared" si="4"/>
        <v>2026.05</v>
      </c>
      <c r="B398" s="223" t="e">
        <v>#N/A</v>
      </c>
      <c r="C398" s="883" t="e">
        <v>#N/A</v>
      </c>
      <c r="D398" s="166"/>
      <c r="E398" s="166"/>
    </row>
    <row r="399" spans="1:5">
      <c r="A399" s="972">
        <f t="shared" si="4"/>
        <v>2026.06</v>
      </c>
      <c r="B399" s="223" t="e">
        <v>#N/A</v>
      </c>
      <c r="C399" s="883" t="e">
        <v>#N/A</v>
      </c>
      <c r="D399" s="166"/>
      <c r="E399" s="166"/>
    </row>
    <row r="400" spans="1:5">
      <c r="A400" s="972">
        <f t="shared" si="4"/>
        <v>2026.07</v>
      </c>
      <c r="B400" s="223" t="e">
        <v>#N/A</v>
      </c>
      <c r="C400" s="883" t="e">
        <v>#N/A</v>
      </c>
      <c r="D400" s="166"/>
      <c r="E400" s="166"/>
    </row>
    <row r="401" spans="1:3">
      <c r="A401" s="972">
        <f t="shared" si="4"/>
        <v>2026.08</v>
      </c>
      <c r="B401" s="223" t="e">
        <v>#N/A</v>
      </c>
      <c r="C401" s="883" t="e">
        <v>#N/A</v>
      </c>
    </row>
    <row r="402" spans="1:3">
      <c r="A402" s="972">
        <f t="shared" si="4"/>
        <v>2026.09</v>
      </c>
      <c r="B402" s="223" t="e">
        <v>#N/A</v>
      </c>
      <c r="C402" s="883" t="e">
        <v>#N/A</v>
      </c>
    </row>
    <row r="403" spans="1:3">
      <c r="A403" s="972">
        <f t="shared" si="4"/>
        <v>2026.1</v>
      </c>
      <c r="B403" s="223" t="e">
        <v>#N/A</v>
      </c>
      <c r="C403" s="883" t="e">
        <v>#N/A</v>
      </c>
    </row>
    <row r="404" spans="1:3">
      <c r="A404" s="972">
        <f t="shared" si="4"/>
        <v>2026.11</v>
      </c>
      <c r="B404" s="223" t="e">
        <v>#N/A</v>
      </c>
      <c r="C404" s="883" t="e">
        <v>#N/A</v>
      </c>
    </row>
    <row r="405" spans="1:3">
      <c r="A405" s="972">
        <f t="shared" si="4"/>
        <v>2026.12</v>
      </c>
      <c r="B405" s="223" t="e">
        <v>#N/A</v>
      </c>
      <c r="C405" s="883" t="e">
        <v>#N/A</v>
      </c>
    </row>
    <row r="406" spans="1:3">
      <c r="A406" s="972">
        <f t="shared" si="4"/>
        <v>2027.01</v>
      </c>
      <c r="B406" s="223" t="e">
        <v>#N/A</v>
      </c>
      <c r="C406" s="883" t="e">
        <v>#N/A</v>
      </c>
    </row>
    <row r="407" spans="1:3">
      <c r="A407" s="972">
        <f t="shared" si="4"/>
        <v>2027.02</v>
      </c>
      <c r="B407" s="223" t="e">
        <v>#N/A</v>
      </c>
      <c r="C407" s="883" t="e">
        <v>#N/A</v>
      </c>
    </row>
    <row r="408" spans="1:3">
      <c r="A408" s="972">
        <f t="shared" si="4"/>
        <v>2027.03</v>
      </c>
      <c r="B408" s="223" t="e">
        <v>#N/A</v>
      </c>
      <c r="C408" s="883" t="e">
        <v>#N/A</v>
      </c>
    </row>
    <row r="409" spans="1:3">
      <c r="A409" s="972">
        <f t="shared" si="4"/>
        <v>2027.04</v>
      </c>
      <c r="B409" s="223" t="e">
        <v>#N/A</v>
      </c>
      <c r="C409" s="883" t="e">
        <v>#N/A</v>
      </c>
    </row>
    <row r="410" spans="1:3">
      <c r="A410" s="972">
        <f t="shared" si="4"/>
        <v>2027.05</v>
      </c>
      <c r="B410" s="223" t="e">
        <v>#N/A</v>
      </c>
      <c r="C410" s="883" t="e">
        <v>#N/A</v>
      </c>
    </row>
    <row r="411" spans="1:3">
      <c r="A411" s="972">
        <f t="shared" si="4"/>
        <v>2027.06</v>
      </c>
      <c r="B411" s="223" t="e">
        <v>#N/A</v>
      </c>
      <c r="C411" s="883" t="e">
        <v>#N/A</v>
      </c>
    </row>
    <row r="412" spans="1:3">
      <c r="A412" s="972">
        <f t="shared" si="4"/>
        <v>2027.07</v>
      </c>
      <c r="B412" s="223" t="e">
        <v>#N/A</v>
      </c>
      <c r="C412" s="883" t="e">
        <v>#N/A</v>
      </c>
    </row>
    <row r="413" spans="1:3">
      <c r="A413" s="972">
        <f t="shared" si="4"/>
        <v>2027.08</v>
      </c>
      <c r="B413" s="223" t="e">
        <v>#N/A</v>
      </c>
      <c r="C413" s="883" t="e">
        <v>#N/A</v>
      </c>
    </row>
    <row r="414" spans="1:3">
      <c r="A414" s="972">
        <f t="shared" si="4"/>
        <v>2027.09</v>
      </c>
      <c r="B414" s="223" t="e">
        <v>#N/A</v>
      </c>
      <c r="C414" s="883" t="e">
        <v>#N/A</v>
      </c>
    </row>
    <row r="415" spans="1:3">
      <c r="A415" s="972">
        <f t="shared" si="4"/>
        <v>2027.1</v>
      </c>
      <c r="B415" s="223" t="e">
        <v>#N/A</v>
      </c>
      <c r="C415" s="883" t="e">
        <v>#N/A</v>
      </c>
    </row>
    <row r="416" spans="1:3">
      <c r="A416" s="972">
        <f t="shared" si="4"/>
        <v>2027.11</v>
      </c>
      <c r="B416" s="223" t="e">
        <v>#N/A</v>
      </c>
      <c r="C416" s="883" t="e">
        <v>#N/A</v>
      </c>
    </row>
    <row r="417" spans="1:3">
      <c r="A417" s="972">
        <f t="shared" si="4"/>
        <v>2027.12</v>
      </c>
      <c r="B417" s="223" t="e">
        <v>#N/A</v>
      </c>
      <c r="C417" s="883" t="e">
        <v>#N/A</v>
      </c>
    </row>
    <row r="418" spans="1:3">
      <c r="A418" s="972">
        <f t="shared" si="4"/>
        <v>2028.01</v>
      </c>
      <c r="B418" s="223" t="e">
        <v>#N/A</v>
      </c>
      <c r="C418" s="883" t="e">
        <v>#N/A</v>
      </c>
    </row>
    <row r="419" spans="1:3">
      <c r="A419" s="972">
        <f t="shared" si="4"/>
        <v>2028.02</v>
      </c>
      <c r="B419" s="223" t="e">
        <v>#N/A</v>
      </c>
      <c r="C419" s="883" t="e">
        <v>#N/A</v>
      </c>
    </row>
    <row r="420" spans="1:3">
      <c r="A420" s="972">
        <f t="shared" si="4"/>
        <v>2028.03</v>
      </c>
      <c r="B420" s="223" t="e">
        <v>#N/A</v>
      </c>
      <c r="C420" s="883" t="e">
        <v>#N/A</v>
      </c>
    </row>
    <row r="421" spans="1:3">
      <c r="A421" s="972">
        <f t="shared" si="4"/>
        <v>2028.04</v>
      </c>
      <c r="B421" s="223" t="e">
        <v>#N/A</v>
      </c>
      <c r="C421" s="883" t="e">
        <v>#N/A</v>
      </c>
    </row>
    <row r="422" spans="1:3">
      <c r="A422" s="972">
        <f t="shared" si="4"/>
        <v>2028.05</v>
      </c>
      <c r="B422" s="223" t="e">
        <v>#N/A</v>
      </c>
      <c r="C422" s="883" t="e">
        <v>#N/A</v>
      </c>
    </row>
    <row r="423" spans="1:3">
      <c r="A423" s="972">
        <f t="shared" si="4"/>
        <v>2028.06</v>
      </c>
      <c r="B423" s="223" t="e">
        <v>#N/A</v>
      </c>
      <c r="C423" s="883" t="e">
        <v>#N/A</v>
      </c>
    </row>
    <row r="424" spans="1:3">
      <c r="A424" s="972">
        <f t="shared" si="4"/>
        <v>2028.07</v>
      </c>
      <c r="B424" s="223" t="e">
        <v>#N/A</v>
      </c>
      <c r="C424" s="883" t="e">
        <v>#N/A</v>
      </c>
    </row>
    <row r="425" spans="1:3">
      <c r="A425" s="972">
        <f t="shared" si="4"/>
        <v>2028.08</v>
      </c>
      <c r="B425" s="223" t="e">
        <v>#N/A</v>
      </c>
      <c r="C425" s="883" t="e">
        <v>#N/A</v>
      </c>
    </row>
    <row r="426" spans="1:3">
      <c r="A426" s="972">
        <f t="shared" si="4"/>
        <v>2028.09</v>
      </c>
      <c r="B426" s="223" t="e">
        <v>#N/A</v>
      </c>
      <c r="C426" s="883" t="e">
        <v>#N/A</v>
      </c>
    </row>
    <row r="427" spans="1:3">
      <c r="A427" s="972">
        <f t="shared" si="4"/>
        <v>2028.1</v>
      </c>
      <c r="B427" s="223" t="e">
        <v>#N/A</v>
      </c>
      <c r="C427" s="883" t="e">
        <v>#N/A</v>
      </c>
    </row>
    <row r="428" spans="1:3">
      <c r="A428" s="972">
        <f t="shared" si="4"/>
        <v>2028.11</v>
      </c>
      <c r="B428" s="223" t="e">
        <v>#N/A</v>
      </c>
      <c r="C428" s="883" t="e">
        <v>#N/A</v>
      </c>
    </row>
    <row r="429" spans="1:3">
      <c r="A429" s="972">
        <f t="shared" si="4"/>
        <v>2028.12</v>
      </c>
      <c r="B429" s="223" t="e">
        <v>#N/A</v>
      </c>
      <c r="C429" s="883" t="e">
        <v>#N/A</v>
      </c>
    </row>
    <row r="430" spans="1:3">
      <c r="A430" s="972">
        <f t="shared" si="4"/>
        <v>2029.01</v>
      </c>
      <c r="B430" s="223" t="e">
        <v>#N/A</v>
      </c>
      <c r="C430" s="883" t="e">
        <v>#N/A</v>
      </c>
    </row>
    <row r="431" spans="1:3">
      <c r="A431" s="972">
        <f t="shared" si="4"/>
        <v>2029.02</v>
      </c>
      <c r="B431" s="223" t="e">
        <v>#N/A</v>
      </c>
      <c r="C431" s="883" t="e">
        <v>#N/A</v>
      </c>
    </row>
    <row r="432" spans="1:3">
      <c r="A432" s="972">
        <f t="shared" si="4"/>
        <v>2029.03</v>
      </c>
      <c r="B432" s="223" t="e">
        <v>#N/A</v>
      </c>
      <c r="C432" s="883" t="e">
        <v>#N/A</v>
      </c>
    </row>
    <row r="433" spans="1:3">
      <c r="A433" s="972">
        <f t="shared" si="4"/>
        <v>2029.04</v>
      </c>
      <c r="B433" s="223" t="e">
        <v>#N/A</v>
      </c>
      <c r="C433" s="883" t="e">
        <v>#N/A</v>
      </c>
    </row>
    <row r="434" spans="1:3">
      <c r="A434" s="972">
        <f t="shared" ref="A434:A453" si="5">A422+1</f>
        <v>2029.05</v>
      </c>
      <c r="B434" s="223" t="e">
        <v>#N/A</v>
      </c>
      <c r="C434" s="883" t="e">
        <v>#N/A</v>
      </c>
    </row>
    <row r="435" spans="1:3">
      <c r="A435" s="972">
        <f t="shared" si="5"/>
        <v>2029.06</v>
      </c>
      <c r="B435" s="223" t="e">
        <v>#N/A</v>
      </c>
      <c r="C435" s="883" t="e">
        <v>#N/A</v>
      </c>
    </row>
    <row r="436" spans="1:3">
      <c r="A436" s="972">
        <f t="shared" si="5"/>
        <v>2029.07</v>
      </c>
      <c r="B436" s="223" t="e">
        <v>#N/A</v>
      </c>
      <c r="C436" s="883" t="e">
        <v>#N/A</v>
      </c>
    </row>
    <row r="437" spans="1:3">
      <c r="A437" s="972">
        <f t="shared" si="5"/>
        <v>2029.08</v>
      </c>
      <c r="B437" s="223" t="e">
        <v>#N/A</v>
      </c>
      <c r="C437" s="883" t="e">
        <v>#N/A</v>
      </c>
    </row>
    <row r="438" spans="1:3">
      <c r="A438" s="972">
        <f t="shared" si="5"/>
        <v>2029.09</v>
      </c>
      <c r="B438" s="223" t="e">
        <v>#N/A</v>
      </c>
      <c r="C438" s="883" t="e">
        <v>#N/A</v>
      </c>
    </row>
    <row r="439" spans="1:3">
      <c r="A439" s="972">
        <f t="shared" si="5"/>
        <v>2029.1</v>
      </c>
      <c r="B439" s="223" t="e">
        <v>#N/A</v>
      </c>
      <c r="C439" s="883" t="e">
        <v>#N/A</v>
      </c>
    </row>
    <row r="440" spans="1:3">
      <c r="A440" s="972">
        <f t="shared" si="5"/>
        <v>2029.11</v>
      </c>
      <c r="B440" s="223" t="e">
        <v>#N/A</v>
      </c>
      <c r="C440" s="883" t="e">
        <v>#N/A</v>
      </c>
    </row>
    <row r="441" spans="1:3">
      <c r="A441" s="972">
        <f t="shared" si="5"/>
        <v>2029.12</v>
      </c>
      <c r="B441" s="223" t="e">
        <v>#N/A</v>
      </c>
      <c r="C441" s="883" t="e">
        <v>#N/A</v>
      </c>
    </row>
    <row r="442" spans="1:3">
      <c r="A442" s="972">
        <f t="shared" si="5"/>
        <v>2030.01</v>
      </c>
      <c r="B442" s="223" t="e">
        <v>#N/A</v>
      </c>
      <c r="C442" s="883" t="e">
        <v>#N/A</v>
      </c>
    </row>
    <row r="443" spans="1:3">
      <c r="A443" s="972">
        <f t="shared" si="5"/>
        <v>2030.02</v>
      </c>
      <c r="B443" s="223" t="e">
        <v>#N/A</v>
      </c>
      <c r="C443" s="883" t="e">
        <v>#N/A</v>
      </c>
    </row>
    <row r="444" spans="1:3">
      <c r="A444" s="972">
        <f t="shared" si="5"/>
        <v>2030.03</v>
      </c>
      <c r="B444" s="223" t="e">
        <v>#N/A</v>
      </c>
      <c r="C444" s="883" t="e">
        <v>#N/A</v>
      </c>
    </row>
    <row r="445" spans="1:3">
      <c r="A445" s="972">
        <f t="shared" si="5"/>
        <v>2030.04</v>
      </c>
      <c r="B445" s="223" t="e">
        <v>#N/A</v>
      </c>
      <c r="C445" s="883" t="e">
        <v>#N/A</v>
      </c>
    </row>
    <row r="446" spans="1:3">
      <c r="A446" s="972">
        <f t="shared" si="5"/>
        <v>2030.05</v>
      </c>
      <c r="B446" s="223" t="e">
        <v>#N/A</v>
      </c>
      <c r="C446" s="883" t="e">
        <v>#N/A</v>
      </c>
    </row>
    <row r="447" spans="1:3">
      <c r="A447" s="972">
        <f t="shared" si="5"/>
        <v>2030.06</v>
      </c>
      <c r="B447" s="223" t="e">
        <v>#N/A</v>
      </c>
      <c r="C447" s="883" t="e">
        <v>#N/A</v>
      </c>
    </row>
    <row r="448" spans="1:3">
      <c r="A448" s="972">
        <f t="shared" si="5"/>
        <v>2030.07</v>
      </c>
      <c r="B448" s="223" t="e">
        <v>#N/A</v>
      </c>
      <c r="C448" s="883" t="e">
        <v>#N/A</v>
      </c>
    </row>
    <row r="449" spans="1:3">
      <c r="A449" s="972">
        <f t="shared" si="5"/>
        <v>2030.08</v>
      </c>
      <c r="B449" s="223" t="e">
        <v>#N/A</v>
      </c>
      <c r="C449" s="883" t="e">
        <v>#N/A</v>
      </c>
    </row>
    <row r="450" spans="1:3">
      <c r="A450" s="972">
        <f t="shared" si="5"/>
        <v>2030.09</v>
      </c>
      <c r="B450" s="223" t="e">
        <v>#N/A</v>
      </c>
      <c r="C450" s="883" t="e">
        <v>#N/A</v>
      </c>
    </row>
    <row r="451" spans="1:3">
      <c r="A451" s="972">
        <f t="shared" si="5"/>
        <v>2030.1</v>
      </c>
      <c r="B451" s="223" t="e">
        <v>#N/A</v>
      </c>
      <c r="C451" s="883" t="e">
        <v>#N/A</v>
      </c>
    </row>
    <row r="452" spans="1:3">
      <c r="A452" s="972">
        <f t="shared" si="5"/>
        <v>2030.11</v>
      </c>
      <c r="B452" s="223" t="e">
        <v>#N/A</v>
      </c>
      <c r="C452" s="883" t="e">
        <v>#N/A</v>
      </c>
    </row>
    <row r="453" spans="1:3">
      <c r="A453" s="972">
        <f t="shared" si="5"/>
        <v>2030.12</v>
      </c>
      <c r="B453" s="223" t="e">
        <v>#N/A</v>
      </c>
      <c r="C453" s="883" t="e">
        <v>#N/A</v>
      </c>
    </row>
  </sheetData>
  <phoneticPr fontId="0" type="noConversion"/>
  <hyperlinks>
    <hyperlink ref="A5" location="INDICE!A13" display="VOLVER AL INDICE" xr:uid="{00000000-0004-0000-3100-000000000000}"/>
  </hyperlinks>
  <pageMargins left="0.75" right="0.75" top="1" bottom="1" header="0" footer="0"/>
  <pageSetup paperSize="9"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64">
    <pageSetUpPr autoPageBreaks="0"/>
  </sheetPr>
  <dimension ref="A1:L477"/>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9.5703125" defaultRowHeight="12.75"/>
  <cols>
    <col min="1" max="1" width="12.42578125" style="21" customWidth="1"/>
    <col min="2" max="12" width="12.5703125" style="21" customWidth="1"/>
    <col min="13" max="16384" width="19.5703125" style="6"/>
  </cols>
  <sheetData>
    <row r="1" spans="1:12" ht="3" customHeight="1">
      <c r="A1" s="2761"/>
      <c r="B1" s="82" t="s">
        <v>5</v>
      </c>
      <c r="C1" s="67"/>
      <c r="D1" s="67"/>
      <c r="E1" s="67"/>
      <c r="F1" s="67"/>
      <c r="G1" s="67"/>
      <c r="H1" s="67"/>
      <c r="I1" s="80"/>
      <c r="J1" s="52"/>
      <c r="K1" s="52"/>
      <c r="L1" s="1343"/>
    </row>
    <row r="2" spans="1:12">
      <c r="A2" s="2762" t="s">
        <v>99</v>
      </c>
      <c r="B2" s="3098" t="s">
        <v>1749</v>
      </c>
      <c r="C2" s="2736"/>
      <c r="D2" s="2736"/>
      <c r="E2" s="2736"/>
      <c r="F2" s="2736"/>
      <c r="G2" s="2736"/>
      <c r="H2" s="2742"/>
      <c r="I2" s="83"/>
      <c r="J2" s="1485"/>
      <c r="K2" s="1485"/>
      <c r="L2" s="1486"/>
    </row>
    <row r="3" spans="1:12">
      <c r="A3" s="2762" t="s">
        <v>104</v>
      </c>
      <c r="B3" s="2736" t="s">
        <v>1750</v>
      </c>
      <c r="C3" s="2736"/>
      <c r="D3" s="2736"/>
      <c r="E3" s="2736"/>
      <c r="F3" s="2736"/>
      <c r="G3" s="2736"/>
      <c r="H3" s="2742"/>
      <c r="I3" s="83"/>
      <c r="J3" s="1485"/>
      <c r="K3" s="1485"/>
      <c r="L3" s="1486"/>
    </row>
    <row r="4" spans="1:12" ht="33.75">
      <c r="A4" s="2762"/>
      <c r="B4" s="698" t="s">
        <v>1751</v>
      </c>
      <c r="C4" s="495" t="s">
        <v>1752</v>
      </c>
      <c r="D4" s="282" t="s">
        <v>1753</v>
      </c>
      <c r="E4" s="721" t="s">
        <v>1754</v>
      </c>
      <c r="F4" s="275" t="s">
        <v>1755</v>
      </c>
      <c r="G4" s="721" t="s">
        <v>1756</v>
      </c>
      <c r="H4" s="275" t="s">
        <v>1757</v>
      </c>
      <c r="I4" s="521" t="s">
        <v>1758</v>
      </c>
      <c r="J4" s="275" t="s">
        <v>1759</v>
      </c>
      <c r="K4" s="2035" t="s">
        <v>1760</v>
      </c>
      <c r="L4" s="2990" t="s">
        <v>1761</v>
      </c>
    </row>
    <row r="5" spans="1:12" ht="22.5">
      <c r="A5" s="2867" t="s">
        <v>140</v>
      </c>
      <c r="B5" s="571"/>
      <c r="C5" s="1487"/>
      <c r="D5" s="58"/>
      <c r="E5" s="627"/>
      <c r="F5" s="58"/>
      <c r="G5" s="627"/>
      <c r="H5" s="58"/>
      <c r="I5" s="627"/>
      <c r="J5" s="58"/>
      <c r="K5" s="2063"/>
      <c r="L5" s="3099"/>
    </row>
    <row r="6" spans="1:12">
      <c r="A6" s="2762" t="s">
        <v>1762</v>
      </c>
      <c r="B6" s="697"/>
      <c r="C6" s="1488">
        <v>0.32440000000000002</v>
      </c>
      <c r="D6" s="1489">
        <v>8.4900000000000003E-2</v>
      </c>
      <c r="E6" s="1490">
        <v>0.1022</v>
      </c>
      <c r="F6" s="1489">
        <v>7.5399999999999995E-2</v>
      </c>
      <c r="G6" s="1490">
        <v>5.9200000000000003E-2</v>
      </c>
      <c r="H6" s="1489">
        <v>0.1885</v>
      </c>
      <c r="I6" s="1490">
        <v>8.7599999999999997E-2</v>
      </c>
      <c r="J6" s="1489">
        <v>2.5600000000000001E-2</v>
      </c>
      <c r="K6" s="2086">
        <v>5.2200000000000003E-2</v>
      </c>
      <c r="L6" s="3100"/>
    </row>
    <row r="7" spans="1:12" ht="22.5">
      <c r="A7" s="2762" t="s">
        <v>125</v>
      </c>
      <c r="B7" s="698" t="s">
        <v>1763</v>
      </c>
      <c r="C7" s="1491" t="s">
        <v>1763</v>
      </c>
      <c r="D7" s="784" t="s">
        <v>1763</v>
      </c>
      <c r="E7" s="783" t="s">
        <v>1763</v>
      </c>
      <c r="F7" s="784" t="s">
        <v>1763</v>
      </c>
      <c r="G7" s="783" t="s">
        <v>1763</v>
      </c>
      <c r="H7" s="784" t="s">
        <v>1763</v>
      </c>
      <c r="I7" s="783" t="s">
        <v>1763</v>
      </c>
      <c r="J7" s="784" t="s">
        <v>1763</v>
      </c>
      <c r="K7" s="2087" t="s">
        <v>1763</v>
      </c>
      <c r="L7" s="2990" t="s">
        <v>1761</v>
      </c>
    </row>
    <row r="8" spans="1:12" ht="14.25" customHeight="1">
      <c r="A8" s="3002" t="s">
        <v>144</v>
      </c>
      <c r="B8" s="2282" t="s">
        <v>1764</v>
      </c>
      <c r="C8" s="2289" t="s">
        <v>1765</v>
      </c>
      <c r="D8" s="2281" t="s">
        <v>1766</v>
      </c>
      <c r="E8" s="2283" t="s">
        <v>1767</v>
      </c>
      <c r="F8" s="2281" t="s">
        <v>1768</v>
      </c>
      <c r="G8" s="2283" t="s">
        <v>1769</v>
      </c>
      <c r="H8" s="2281" t="s">
        <v>1770</v>
      </c>
      <c r="I8" s="2283" t="s">
        <v>1771</v>
      </c>
      <c r="J8" s="2281" t="s">
        <v>1772</v>
      </c>
      <c r="K8" s="2288" t="s">
        <v>1773</v>
      </c>
      <c r="L8" s="3047" t="s">
        <v>1774</v>
      </c>
    </row>
    <row r="9" spans="1:12" ht="13.5" thickBot="1">
      <c r="A9" s="2140" t="s">
        <v>766</v>
      </c>
      <c r="B9" s="1492" t="s">
        <v>1775</v>
      </c>
      <c r="C9" s="1493" t="s">
        <v>1776</v>
      </c>
      <c r="D9" s="460"/>
      <c r="E9" s="1244"/>
      <c r="F9" s="460"/>
      <c r="G9" s="1362"/>
      <c r="H9" s="460"/>
      <c r="I9" s="1362"/>
      <c r="J9" s="1322"/>
      <c r="K9" s="1494"/>
      <c r="L9" s="1395" t="str">
        <f>"Dif. "&amp;B9</f>
        <v>Dif. SFE-IPC</v>
      </c>
    </row>
    <row r="10" spans="1:12">
      <c r="A10" s="81">
        <v>1992.01</v>
      </c>
      <c r="B10" s="699">
        <v>9.9714277414267869</v>
      </c>
      <c r="C10" s="695"/>
      <c r="D10" s="639"/>
      <c r="E10" s="3683"/>
      <c r="F10" s="639"/>
      <c r="G10" s="3683"/>
      <c r="H10" s="639"/>
      <c r="I10" s="3683"/>
      <c r="J10" s="639"/>
      <c r="K10" s="1495"/>
      <c r="L10" s="264"/>
    </row>
    <row r="11" spans="1:12">
      <c r="A11" s="81">
        <v>1992.02</v>
      </c>
      <c r="B11" s="699">
        <v>10.1011547039456</v>
      </c>
      <c r="C11" s="1496"/>
      <c r="D11" s="1497"/>
      <c r="E11" s="3684"/>
      <c r="F11" s="1497"/>
      <c r="G11" s="3684"/>
      <c r="H11" s="1497"/>
      <c r="I11" s="3684"/>
      <c r="J11" s="1497"/>
      <c r="K11" s="1498"/>
      <c r="L11" s="1499"/>
    </row>
    <row r="12" spans="1:12">
      <c r="A12" s="81">
        <v>1992.03</v>
      </c>
      <c r="B12" s="699">
        <v>10.385911404266654</v>
      </c>
      <c r="C12" s="1496"/>
      <c r="D12" s="1497"/>
      <c r="E12" s="3684"/>
      <c r="F12" s="1497"/>
      <c r="G12" s="3684"/>
      <c r="H12" s="1497"/>
      <c r="I12" s="3684"/>
      <c r="J12" s="1497"/>
      <c r="K12" s="1498"/>
      <c r="L12" s="1499"/>
    </row>
    <row r="13" spans="1:12">
      <c r="A13" s="81">
        <v>1992.04</v>
      </c>
      <c r="B13" s="699">
        <v>10.61082683295481</v>
      </c>
      <c r="C13" s="1496"/>
      <c r="D13" s="1497"/>
      <c r="E13" s="3684"/>
      <c r="F13" s="1497"/>
      <c r="G13" s="3684"/>
      <c r="H13" s="1497"/>
      <c r="I13" s="3684"/>
      <c r="J13" s="1497"/>
      <c r="K13" s="1498"/>
      <c r="L13" s="1499"/>
    </row>
    <row r="14" spans="1:12">
      <c r="A14" s="81">
        <v>1992.05</v>
      </c>
      <c r="B14" s="699">
        <v>10.522842128143735</v>
      </c>
      <c r="C14" s="1496"/>
      <c r="D14" s="1497"/>
      <c r="E14" s="3684"/>
      <c r="F14" s="1497"/>
      <c r="G14" s="3684"/>
      <c r="H14" s="1497"/>
      <c r="I14" s="3684"/>
      <c r="J14" s="1497"/>
      <c r="K14" s="1498"/>
      <c r="L14" s="1499"/>
    </row>
    <row r="15" spans="1:12">
      <c r="A15" s="81">
        <v>1992.06</v>
      </c>
      <c r="B15" s="699">
        <v>10.520247126782898</v>
      </c>
      <c r="C15" s="1496"/>
      <c r="D15" s="1497"/>
      <c r="E15" s="3684"/>
      <c r="F15" s="1497"/>
      <c r="G15" s="3684"/>
      <c r="H15" s="1497"/>
      <c r="I15" s="3684"/>
      <c r="J15" s="1497"/>
      <c r="K15" s="1498"/>
      <c r="L15" s="1499"/>
    </row>
    <row r="16" spans="1:12">
      <c r="A16" s="81">
        <v>1992.07</v>
      </c>
      <c r="B16" s="699">
        <v>10.56891805333407</v>
      </c>
      <c r="C16" s="1496"/>
      <c r="D16" s="1497"/>
      <c r="E16" s="3684"/>
      <c r="F16" s="1497"/>
      <c r="G16" s="3684"/>
      <c r="H16" s="1497"/>
      <c r="I16" s="3684"/>
      <c r="J16" s="1497"/>
      <c r="K16" s="1498"/>
      <c r="L16" s="1499"/>
    </row>
    <row r="17" spans="1:12">
      <c r="A17" s="81">
        <v>1992.08</v>
      </c>
      <c r="B17" s="699">
        <v>10.737066917064899</v>
      </c>
      <c r="C17" s="1496"/>
      <c r="D17" s="1497"/>
      <c r="E17" s="3684"/>
      <c r="F17" s="1497"/>
      <c r="G17" s="3684"/>
      <c r="H17" s="1497"/>
      <c r="I17" s="3684"/>
      <c r="J17" s="1497"/>
      <c r="K17" s="1498"/>
      <c r="L17" s="1499"/>
    </row>
    <row r="18" spans="1:12">
      <c r="A18" s="81">
        <v>1992.09</v>
      </c>
      <c r="B18" s="699">
        <v>10.857684180997014</v>
      </c>
      <c r="C18" s="1496"/>
      <c r="D18" s="1497"/>
      <c r="E18" s="3684"/>
      <c r="F18" s="1497"/>
      <c r="G18" s="3684"/>
      <c r="H18" s="1497"/>
      <c r="I18" s="3684"/>
      <c r="J18" s="1497"/>
      <c r="K18" s="1498"/>
      <c r="L18" s="1499"/>
    </row>
    <row r="19" spans="1:12">
      <c r="A19" s="81">
        <v>1992.1</v>
      </c>
      <c r="B19" s="699">
        <v>10.984584424180683</v>
      </c>
      <c r="C19" s="1496"/>
      <c r="D19" s="1497"/>
      <c r="E19" s="3684"/>
      <c r="F19" s="1497"/>
      <c r="G19" s="3684"/>
      <c r="H19" s="1497"/>
      <c r="I19" s="3684"/>
      <c r="J19" s="1497"/>
      <c r="K19" s="1498"/>
      <c r="L19" s="1499"/>
    </row>
    <row r="20" spans="1:12">
      <c r="A20" s="81">
        <v>1992.11</v>
      </c>
      <c r="B20" s="699">
        <v>11.084130273152716</v>
      </c>
      <c r="C20" s="1496"/>
      <c r="D20" s="1497"/>
      <c r="E20" s="3684"/>
      <c r="F20" s="1497"/>
      <c r="G20" s="3684"/>
      <c r="H20" s="1497"/>
      <c r="I20" s="3684"/>
      <c r="J20" s="1497"/>
      <c r="K20" s="1498"/>
      <c r="L20" s="1499"/>
    </row>
    <row r="21" spans="1:12">
      <c r="A21" s="81">
        <v>1992.12</v>
      </c>
      <c r="B21" s="699">
        <v>11.066841596855951</v>
      </c>
      <c r="C21" s="1496"/>
      <c r="D21" s="1497"/>
      <c r="E21" s="3684"/>
      <c r="F21" s="1497"/>
      <c r="G21" s="3684"/>
      <c r="H21" s="1497"/>
      <c r="I21" s="3684"/>
      <c r="J21" s="1497"/>
      <c r="K21" s="1498"/>
      <c r="L21" s="1499"/>
    </row>
    <row r="22" spans="1:12">
      <c r="A22" s="81">
        <v>1993.01</v>
      </c>
      <c r="B22" s="699">
        <v>11.098906710789104</v>
      </c>
      <c r="C22" s="1496"/>
      <c r="D22" s="1497"/>
      <c r="E22" s="3684"/>
      <c r="F22" s="1497"/>
      <c r="G22" s="3684"/>
      <c r="H22" s="1497"/>
      <c r="I22" s="3684"/>
      <c r="J22" s="1497"/>
      <c r="K22" s="1498"/>
      <c r="L22" s="1499"/>
    </row>
    <row r="23" spans="1:12">
      <c r="A23" s="81">
        <v>1993.02</v>
      </c>
      <c r="B23" s="699">
        <v>11.256117595482541</v>
      </c>
      <c r="C23" s="1496"/>
      <c r="D23" s="1497"/>
      <c r="E23" s="3684"/>
      <c r="F23" s="1497"/>
      <c r="G23" s="3684"/>
      <c r="H23" s="1497"/>
      <c r="I23" s="3684"/>
      <c r="J23" s="1497"/>
      <c r="K23" s="1498"/>
      <c r="L23" s="1499"/>
    </row>
    <row r="24" spans="1:12">
      <c r="A24" s="81">
        <v>1993.03</v>
      </c>
      <c r="B24" s="699">
        <v>11.372121619754706</v>
      </c>
      <c r="C24" s="1496"/>
      <c r="D24" s="1497"/>
      <c r="E24" s="3684"/>
      <c r="F24" s="1497"/>
      <c r="G24" s="3684"/>
      <c r="H24" s="1497"/>
      <c r="I24" s="3684"/>
      <c r="J24" s="1497"/>
      <c r="K24" s="1498"/>
      <c r="L24" s="1499"/>
    </row>
    <row r="25" spans="1:12">
      <c r="A25" s="81">
        <v>1993.04</v>
      </c>
      <c r="B25" s="699">
        <v>11.53507917195342</v>
      </c>
      <c r="C25" s="1496"/>
      <c r="D25" s="1497"/>
      <c r="E25" s="3684"/>
      <c r="F25" s="1497"/>
      <c r="G25" s="3684"/>
      <c r="H25" s="1497"/>
      <c r="I25" s="3684"/>
      <c r="J25" s="1497"/>
      <c r="K25" s="1498"/>
      <c r="L25" s="1499"/>
    </row>
    <row r="26" spans="1:12">
      <c r="A26" s="81">
        <v>1993.05</v>
      </c>
      <c r="B26" s="699">
        <v>11.837458260597751</v>
      </c>
      <c r="C26" s="1496"/>
      <c r="D26" s="1497"/>
      <c r="E26" s="3684"/>
      <c r="F26" s="1497"/>
      <c r="G26" s="3684"/>
      <c r="H26" s="1497"/>
      <c r="I26" s="3684"/>
      <c r="J26" s="1497"/>
      <c r="K26" s="1498"/>
      <c r="L26" s="1499"/>
    </row>
    <row r="27" spans="1:12">
      <c r="A27" s="81">
        <v>1993.06</v>
      </c>
      <c r="B27" s="699">
        <v>11.871382742845226</v>
      </c>
      <c r="C27" s="1496"/>
      <c r="D27" s="1497"/>
      <c r="E27" s="3684"/>
      <c r="F27" s="1497"/>
      <c r="G27" s="3684"/>
      <c r="H27" s="1497"/>
      <c r="I27" s="3684"/>
      <c r="J27" s="1497"/>
      <c r="K27" s="1498"/>
      <c r="L27" s="1499"/>
    </row>
    <row r="28" spans="1:12">
      <c r="A28" s="81">
        <v>1993.07</v>
      </c>
      <c r="B28" s="699">
        <v>11.99541196847724</v>
      </c>
      <c r="C28" s="1496"/>
      <c r="D28" s="1497"/>
      <c r="E28" s="3684"/>
      <c r="F28" s="1497"/>
      <c r="G28" s="3684"/>
      <c r="H28" s="1497"/>
      <c r="I28" s="3684"/>
      <c r="J28" s="1497"/>
      <c r="K28" s="1498"/>
      <c r="L28" s="1499"/>
    </row>
    <row r="29" spans="1:12">
      <c r="A29" s="81">
        <v>1993.08</v>
      </c>
      <c r="B29" s="699">
        <v>11.987504245103889</v>
      </c>
      <c r="C29" s="1496"/>
      <c r="D29" s="1497"/>
      <c r="E29" s="3684"/>
      <c r="F29" s="1497"/>
      <c r="G29" s="3684"/>
      <c r="H29" s="1497"/>
      <c r="I29" s="3684"/>
      <c r="J29" s="1497"/>
      <c r="K29" s="1498"/>
      <c r="L29" s="1499"/>
    </row>
    <row r="30" spans="1:12">
      <c r="A30" s="81">
        <v>1993.09</v>
      </c>
      <c r="B30" s="699">
        <v>11.997071750666672</v>
      </c>
      <c r="C30" s="1496"/>
      <c r="D30" s="1497"/>
      <c r="E30" s="3684"/>
      <c r="F30" s="1497"/>
      <c r="G30" s="3684"/>
      <c r="H30" s="1497"/>
      <c r="I30" s="3684"/>
      <c r="J30" s="1497"/>
      <c r="K30" s="1498"/>
      <c r="L30" s="1499"/>
    </row>
    <row r="31" spans="1:12">
      <c r="A31" s="81">
        <v>1993.1</v>
      </c>
      <c r="B31" s="699">
        <v>12.159354918214202</v>
      </c>
      <c r="C31" s="1496"/>
      <c r="D31" s="1497"/>
      <c r="E31" s="3684"/>
      <c r="F31" s="1497"/>
      <c r="G31" s="3684"/>
      <c r="H31" s="1497"/>
      <c r="I31" s="3684"/>
      <c r="J31" s="1497"/>
      <c r="K31" s="1498"/>
      <c r="L31" s="1499"/>
    </row>
    <row r="32" spans="1:12">
      <c r="A32" s="81">
        <v>1993.11</v>
      </c>
      <c r="B32" s="699">
        <v>12.037735304470463</v>
      </c>
      <c r="C32" s="1496"/>
      <c r="D32" s="1497"/>
      <c r="E32" s="3684"/>
      <c r="F32" s="1497"/>
      <c r="G32" s="3684"/>
      <c r="H32" s="1497"/>
      <c r="I32" s="3684"/>
      <c r="J32" s="1497"/>
      <c r="K32" s="1498"/>
      <c r="L32" s="1499"/>
    </row>
    <row r="33" spans="1:12">
      <c r="A33" s="81">
        <v>1993.12</v>
      </c>
      <c r="B33" s="699">
        <v>11.925633608950507</v>
      </c>
      <c r="C33" s="1496"/>
      <c r="D33" s="1497"/>
      <c r="E33" s="3684"/>
      <c r="F33" s="1497"/>
      <c r="G33" s="3684"/>
      <c r="H33" s="1497"/>
      <c r="I33" s="3684"/>
      <c r="J33" s="1497"/>
      <c r="K33" s="1498"/>
      <c r="L33" s="1499"/>
    </row>
    <row r="34" spans="1:12">
      <c r="A34" s="81">
        <v>1994.01</v>
      </c>
      <c r="B34" s="699">
        <v>11.952600055742399</v>
      </c>
      <c r="C34" s="1496"/>
      <c r="D34" s="1497"/>
      <c r="E34" s="3684"/>
      <c r="F34" s="1497"/>
      <c r="G34" s="3684"/>
      <c r="H34" s="1497"/>
      <c r="I34" s="3684"/>
      <c r="J34" s="1497"/>
      <c r="K34" s="1498"/>
      <c r="L34" s="1499"/>
    </row>
    <row r="35" spans="1:12">
      <c r="A35" s="81">
        <v>1994.02</v>
      </c>
      <c r="B35" s="699">
        <v>11.8608765730113</v>
      </c>
      <c r="C35" s="1496"/>
      <c r="D35" s="1497"/>
      <c r="E35" s="3684"/>
      <c r="F35" s="1497"/>
      <c r="G35" s="3684"/>
      <c r="H35" s="1497"/>
      <c r="I35" s="3684"/>
      <c r="J35" s="1497"/>
      <c r="K35" s="1498"/>
      <c r="L35" s="1499"/>
    </row>
    <row r="36" spans="1:12">
      <c r="A36" s="81">
        <v>1994.03</v>
      </c>
      <c r="B36" s="699">
        <v>11.882266482681931</v>
      </c>
      <c r="C36" s="1496"/>
      <c r="D36" s="1497"/>
      <c r="E36" s="3684"/>
      <c r="F36" s="1497"/>
      <c r="G36" s="3684"/>
      <c r="H36" s="1497"/>
      <c r="I36" s="3684"/>
      <c r="J36" s="1497"/>
      <c r="K36" s="1498"/>
      <c r="L36" s="1499"/>
    </row>
    <row r="37" spans="1:12">
      <c r="A37" s="81">
        <v>1994.04</v>
      </c>
      <c r="B37" s="699">
        <v>11.953503366490779</v>
      </c>
      <c r="C37" s="1496"/>
      <c r="D37" s="1497"/>
      <c r="E37" s="3684"/>
      <c r="F37" s="1497"/>
      <c r="G37" s="3684"/>
      <c r="H37" s="1497"/>
      <c r="I37" s="3684"/>
      <c r="J37" s="1497"/>
      <c r="K37" s="1498"/>
      <c r="L37" s="1499"/>
    </row>
    <row r="38" spans="1:12">
      <c r="A38" s="81">
        <v>1994.05</v>
      </c>
      <c r="B38" s="699">
        <v>11.89657560128239</v>
      </c>
      <c r="C38" s="1496"/>
      <c r="D38" s="1497"/>
      <c r="E38" s="3684"/>
      <c r="F38" s="1497"/>
      <c r="G38" s="3684"/>
      <c r="H38" s="1497"/>
      <c r="I38" s="3684"/>
      <c r="J38" s="1497"/>
      <c r="K38" s="1498"/>
      <c r="L38" s="1499"/>
    </row>
    <row r="39" spans="1:12">
      <c r="A39" s="81">
        <v>1994.06</v>
      </c>
      <c r="B39" s="699">
        <v>11.856353206935266</v>
      </c>
      <c r="C39" s="1496"/>
      <c r="D39" s="1497"/>
      <c r="E39" s="3684"/>
      <c r="F39" s="1497"/>
      <c r="G39" s="3684"/>
      <c r="H39" s="1497"/>
      <c r="I39" s="3684"/>
      <c r="J39" s="1497"/>
      <c r="K39" s="1498"/>
      <c r="L39" s="1499"/>
    </row>
    <row r="40" spans="1:12">
      <c r="A40" s="81">
        <v>1994.07</v>
      </c>
      <c r="B40" s="699">
        <v>11.900464794956441</v>
      </c>
      <c r="C40" s="1496"/>
      <c r="D40" s="1497"/>
      <c r="E40" s="3684"/>
      <c r="F40" s="1497"/>
      <c r="G40" s="3684"/>
      <c r="H40" s="1497"/>
      <c r="I40" s="3684"/>
      <c r="J40" s="1497"/>
      <c r="K40" s="1498"/>
      <c r="L40" s="1499"/>
    </row>
    <row r="41" spans="1:12">
      <c r="A41" s="81">
        <v>1994.08</v>
      </c>
      <c r="B41" s="699">
        <v>11.973210772628649</v>
      </c>
      <c r="C41" s="1496"/>
      <c r="D41" s="1497"/>
      <c r="E41" s="3684"/>
      <c r="F41" s="1497"/>
      <c r="G41" s="3684"/>
      <c r="H41" s="1497"/>
      <c r="I41" s="3684"/>
      <c r="J41" s="1497"/>
      <c r="K41" s="1498"/>
      <c r="L41" s="1499"/>
    </row>
    <row r="42" spans="1:12">
      <c r="A42" s="81">
        <v>1994.09</v>
      </c>
      <c r="B42" s="699">
        <v>12.103580885925002</v>
      </c>
      <c r="C42" s="1496"/>
      <c r="D42" s="1497"/>
      <c r="E42" s="3684"/>
      <c r="F42" s="1497"/>
      <c r="G42" s="3684"/>
      <c r="H42" s="1497"/>
      <c r="I42" s="3684"/>
      <c r="J42" s="1497"/>
      <c r="K42" s="1498"/>
      <c r="L42" s="1499"/>
    </row>
    <row r="43" spans="1:12">
      <c r="A43" s="81">
        <v>1994.1</v>
      </c>
      <c r="B43" s="699">
        <v>12.145362991928693</v>
      </c>
      <c r="C43" s="1496"/>
      <c r="D43" s="1497"/>
      <c r="E43" s="3684"/>
      <c r="F43" s="1497"/>
      <c r="G43" s="3684"/>
      <c r="H43" s="1497"/>
      <c r="I43" s="3684"/>
      <c r="J43" s="1497"/>
      <c r="K43" s="1498"/>
      <c r="L43" s="1499"/>
    </row>
    <row r="44" spans="1:12">
      <c r="A44" s="81">
        <v>1994.11</v>
      </c>
      <c r="B44" s="699">
        <v>12.202337103133791</v>
      </c>
      <c r="C44" s="1496"/>
      <c r="D44" s="1497"/>
      <c r="E44" s="3684"/>
      <c r="F44" s="1497"/>
      <c r="G44" s="3684"/>
      <c r="H44" s="1497"/>
      <c r="I44" s="3684"/>
      <c r="J44" s="1497"/>
      <c r="K44" s="1498"/>
      <c r="L44" s="1499"/>
    </row>
    <row r="45" spans="1:12">
      <c r="A45" s="81">
        <v>1994.12</v>
      </c>
      <c r="B45" s="699">
        <v>12.257710206170039</v>
      </c>
      <c r="C45" s="1496"/>
      <c r="D45" s="1497"/>
      <c r="E45" s="3684"/>
      <c r="F45" s="1497"/>
      <c r="G45" s="3684"/>
      <c r="H45" s="1497"/>
      <c r="I45" s="3684"/>
      <c r="J45" s="1497"/>
      <c r="K45" s="1498"/>
      <c r="L45" s="1499"/>
    </row>
    <row r="46" spans="1:12">
      <c r="A46" s="81">
        <v>1995.01</v>
      </c>
      <c r="B46" s="699">
        <v>12.288721345726465</v>
      </c>
      <c r="C46" s="1496"/>
      <c r="D46" s="1497"/>
      <c r="E46" s="3684"/>
      <c r="F46" s="1497"/>
      <c r="G46" s="3684"/>
      <c r="H46" s="1497"/>
      <c r="I46" s="3684"/>
      <c r="J46" s="1497"/>
      <c r="K46" s="1498"/>
      <c r="L46" s="1499"/>
    </row>
    <row r="47" spans="1:12">
      <c r="A47" s="81">
        <v>1995.02</v>
      </c>
      <c r="B47" s="699">
        <v>12.296405245389741</v>
      </c>
      <c r="C47" s="1496"/>
      <c r="D47" s="1497"/>
      <c r="E47" s="3684"/>
      <c r="F47" s="1497"/>
      <c r="G47" s="3684"/>
      <c r="H47" s="1497"/>
      <c r="I47" s="3684"/>
      <c r="J47" s="1497"/>
      <c r="K47" s="1498"/>
      <c r="L47" s="1499"/>
    </row>
    <row r="48" spans="1:12">
      <c r="A48" s="81">
        <v>1995.03</v>
      </c>
      <c r="B48" s="699">
        <v>12.309002802649951</v>
      </c>
      <c r="C48" s="1496"/>
      <c r="D48" s="1497"/>
      <c r="E48" s="3684"/>
      <c r="F48" s="1497"/>
      <c r="G48" s="3684"/>
      <c r="H48" s="1497"/>
      <c r="I48" s="3684"/>
      <c r="J48" s="1497"/>
      <c r="K48" s="1498"/>
      <c r="L48" s="1499"/>
    </row>
    <row r="49" spans="1:12">
      <c r="A49" s="81">
        <v>1995.04</v>
      </c>
      <c r="B49" s="699">
        <v>12.370353487904975</v>
      </c>
      <c r="C49" s="1496"/>
      <c r="D49" s="1497"/>
      <c r="E49" s="3684"/>
      <c r="F49" s="1497"/>
      <c r="G49" s="3684"/>
      <c r="H49" s="1497"/>
      <c r="I49" s="3684"/>
      <c r="J49" s="1497"/>
      <c r="K49" s="1498"/>
      <c r="L49" s="1499"/>
    </row>
    <row r="50" spans="1:12">
      <c r="A50" s="81">
        <v>1995.05</v>
      </c>
      <c r="B50" s="699">
        <v>12.50244617070163</v>
      </c>
      <c r="C50" s="1496"/>
      <c r="D50" s="1497"/>
      <c r="E50" s="3684"/>
      <c r="F50" s="1497"/>
      <c r="G50" s="3684"/>
      <c r="H50" s="1497"/>
      <c r="I50" s="3684"/>
      <c r="J50" s="1497"/>
      <c r="K50" s="1498"/>
      <c r="L50" s="1499"/>
    </row>
    <row r="51" spans="1:12">
      <c r="A51" s="81">
        <v>1995.06</v>
      </c>
      <c r="B51" s="699">
        <v>12.638755891864669</v>
      </c>
      <c r="C51" s="1496"/>
      <c r="D51" s="1497"/>
      <c r="E51" s="3684"/>
      <c r="F51" s="1497"/>
      <c r="G51" s="3684"/>
      <c r="H51" s="1497"/>
      <c r="I51" s="3684"/>
      <c r="J51" s="1497"/>
      <c r="K51" s="1498"/>
      <c r="L51" s="1499"/>
    </row>
    <row r="52" spans="1:12">
      <c r="A52" s="81">
        <v>1995.07</v>
      </c>
      <c r="B52" s="699">
        <v>12.810406635992894</v>
      </c>
      <c r="C52" s="1496"/>
      <c r="D52" s="1497"/>
      <c r="E52" s="3684"/>
      <c r="F52" s="1497"/>
      <c r="G52" s="3684"/>
      <c r="H52" s="1497"/>
      <c r="I52" s="3684"/>
      <c r="J52" s="1497"/>
      <c r="K52" s="1498"/>
      <c r="L52" s="1499"/>
    </row>
    <row r="53" spans="1:12">
      <c r="A53" s="81">
        <v>1995.08</v>
      </c>
      <c r="B53" s="699">
        <v>12.938028100706038</v>
      </c>
      <c r="C53" s="1496"/>
      <c r="D53" s="1497"/>
      <c r="E53" s="3684"/>
      <c r="F53" s="1497"/>
      <c r="G53" s="3684"/>
      <c r="H53" s="1497"/>
      <c r="I53" s="3684"/>
      <c r="J53" s="1497"/>
      <c r="K53" s="1498"/>
      <c r="L53" s="1499"/>
    </row>
    <row r="54" spans="1:12">
      <c r="A54" s="81">
        <v>1995.09</v>
      </c>
      <c r="B54" s="699">
        <v>13.007596431136729</v>
      </c>
      <c r="C54" s="1496"/>
      <c r="D54" s="1497"/>
      <c r="E54" s="3684"/>
      <c r="F54" s="1497"/>
      <c r="G54" s="3684"/>
      <c r="H54" s="1497"/>
      <c r="I54" s="3684"/>
      <c r="J54" s="1497"/>
      <c r="K54" s="1498"/>
      <c r="L54" s="1499"/>
    </row>
    <row r="55" spans="1:12">
      <c r="A55" s="81">
        <v>1995.1</v>
      </c>
      <c r="B55" s="699">
        <v>12.869131331546573</v>
      </c>
      <c r="C55" s="1496"/>
      <c r="D55" s="1497"/>
      <c r="E55" s="3684"/>
      <c r="F55" s="1497"/>
      <c r="G55" s="3684"/>
      <c r="H55" s="1497"/>
      <c r="I55" s="3684"/>
      <c r="J55" s="1497"/>
      <c r="K55" s="1498"/>
      <c r="L55" s="1499"/>
    </row>
    <row r="56" spans="1:12">
      <c r="A56" s="81">
        <v>1995.11</v>
      </c>
      <c r="B56" s="699">
        <v>12.854394445496826</v>
      </c>
      <c r="C56" s="1496"/>
      <c r="D56" s="1497"/>
      <c r="E56" s="3684"/>
      <c r="F56" s="1497"/>
      <c r="G56" s="3684"/>
      <c r="H56" s="1497"/>
      <c r="I56" s="3684"/>
      <c r="J56" s="1497"/>
      <c r="K56" s="1498"/>
      <c r="L56" s="1499"/>
    </row>
    <row r="57" spans="1:12">
      <c r="A57" s="81">
        <v>1995.12</v>
      </c>
      <c r="B57" s="699">
        <v>12.830542866107619</v>
      </c>
      <c r="C57" s="1496"/>
      <c r="D57" s="1497"/>
      <c r="E57" s="3684"/>
      <c r="F57" s="1497"/>
      <c r="G57" s="3684"/>
      <c r="H57" s="1497"/>
      <c r="I57" s="3684"/>
      <c r="J57" s="1497"/>
      <c r="K57" s="1498"/>
      <c r="L57" s="1499"/>
    </row>
    <row r="58" spans="1:12">
      <c r="A58" s="81">
        <v>1996.01</v>
      </c>
      <c r="B58" s="699">
        <v>12.770381512986109</v>
      </c>
      <c r="C58" s="1496"/>
      <c r="D58" s="1497"/>
      <c r="E58" s="3684"/>
      <c r="F58" s="1497"/>
      <c r="G58" s="3684"/>
      <c r="H58" s="1497"/>
      <c r="I58" s="3684"/>
      <c r="J58" s="1497"/>
      <c r="K58" s="1498"/>
      <c r="L58" s="1499"/>
    </row>
    <row r="59" spans="1:12">
      <c r="A59" s="81">
        <v>1996.02</v>
      </c>
      <c r="B59" s="699">
        <v>12.78529429711082</v>
      </c>
      <c r="C59" s="1496"/>
      <c r="D59" s="1497"/>
      <c r="E59" s="3684"/>
      <c r="F59" s="1497"/>
      <c r="G59" s="3684"/>
      <c r="H59" s="1497"/>
      <c r="I59" s="3684"/>
      <c r="J59" s="1497"/>
      <c r="K59" s="1498"/>
      <c r="L59" s="1499"/>
    </row>
    <row r="60" spans="1:12">
      <c r="A60" s="81">
        <v>1996.03</v>
      </c>
      <c r="B60" s="699">
        <v>12.726513174771123</v>
      </c>
      <c r="C60" s="1496"/>
      <c r="D60" s="1497"/>
      <c r="E60" s="3684"/>
      <c r="F60" s="1497"/>
      <c r="G60" s="3684"/>
      <c r="H60" s="1497"/>
      <c r="I60" s="3684"/>
      <c r="J60" s="1497"/>
      <c r="K60" s="1498"/>
      <c r="L60" s="1499"/>
    </row>
    <row r="61" spans="1:12">
      <c r="A61" s="81">
        <v>1996.04</v>
      </c>
      <c r="B61" s="699">
        <v>12.696945459688575</v>
      </c>
      <c r="C61" s="1496"/>
      <c r="D61" s="1497"/>
      <c r="E61" s="3684"/>
      <c r="F61" s="1497"/>
      <c r="G61" s="3684"/>
      <c r="H61" s="1497"/>
      <c r="I61" s="3684"/>
      <c r="J61" s="1497"/>
      <c r="K61" s="1498"/>
      <c r="L61" s="1499"/>
    </row>
    <row r="62" spans="1:12">
      <c r="A62" s="81">
        <v>1996.05</v>
      </c>
      <c r="B62" s="699">
        <v>12.701955036229</v>
      </c>
      <c r="C62" s="1496"/>
      <c r="D62" s="1497"/>
      <c r="E62" s="3684"/>
      <c r="F62" s="1497"/>
      <c r="G62" s="3684"/>
      <c r="H62" s="1497"/>
      <c r="I62" s="3684"/>
      <c r="J62" s="1497"/>
      <c r="K62" s="1498"/>
      <c r="L62" s="1499"/>
    </row>
    <row r="63" spans="1:12">
      <c r="A63" s="81">
        <v>1996.06</v>
      </c>
      <c r="B63" s="699">
        <v>12.7205629089078</v>
      </c>
      <c r="C63" s="1496"/>
      <c r="D63" s="1497"/>
      <c r="E63" s="3684"/>
      <c r="F63" s="1497"/>
      <c r="G63" s="3684"/>
      <c r="H63" s="1497"/>
      <c r="I63" s="3684"/>
      <c r="J63" s="1497"/>
      <c r="K63" s="1498"/>
      <c r="L63" s="1499"/>
    </row>
    <row r="64" spans="1:12">
      <c r="A64" s="81">
        <v>1996.07</v>
      </c>
      <c r="B64" s="699">
        <v>12.707111934690101</v>
      </c>
      <c r="C64" s="1496"/>
      <c r="D64" s="1497"/>
      <c r="E64" s="3684"/>
      <c r="F64" s="1497"/>
      <c r="G64" s="3684"/>
      <c r="H64" s="1497"/>
      <c r="I64" s="3684"/>
      <c r="J64" s="1497"/>
      <c r="K64" s="1498"/>
      <c r="L64" s="1499"/>
    </row>
    <row r="65" spans="1:12">
      <c r="A65" s="81">
        <v>1996.08</v>
      </c>
      <c r="B65" s="699">
        <v>12.70234372238431</v>
      </c>
      <c r="C65" s="1496"/>
      <c r="D65" s="1497"/>
      <c r="E65" s="3684"/>
      <c r="F65" s="1497"/>
      <c r="G65" s="3684"/>
      <c r="H65" s="1497"/>
      <c r="I65" s="3684"/>
      <c r="J65" s="1497"/>
      <c r="K65" s="1498"/>
      <c r="L65" s="1499"/>
    </row>
    <row r="66" spans="1:12">
      <c r="A66" s="81">
        <v>1996.09</v>
      </c>
      <c r="B66" s="699">
        <v>12.738447495326998</v>
      </c>
      <c r="C66" s="1496"/>
      <c r="D66" s="1497"/>
      <c r="E66" s="3684"/>
      <c r="F66" s="1497"/>
      <c r="G66" s="3684"/>
      <c r="H66" s="1497"/>
      <c r="I66" s="3684"/>
      <c r="J66" s="1497"/>
      <c r="K66" s="1498"/>
      <c r="L66" s="1499"/>
    </row>
    <row r="67" spans="1:12">
      <c r="A67" s="81">
        <v>1996.1</v>
      </c>
      <c r="B67" s="699">
        <v>12.732039869152228</v>
      </c>
      <c r="C67" s="1496"/>
      <c r="D67" s="1497"/>
      <c r="E67" s="3684"/>
      <c r="F67" s="1497"/>
      <c r="G67" s="3684"/>
      <c r="H67" s="1497"/>
      <c r="I67" s="3684"/>
      <c r="J67" s="1497"/>
      <c r="K67" s="1498"/>
      <c r="L67" s="1499"/>
    </row>
    <row r="68" spans="1:12">
      <c r="A68" s="81">
        <v>1996.11</v>
      </c>
      <c r="B68" s="699">
        <v>12.69211040112094</v>
      </c>
      <c r="C68" s="1496"/>
      <c r="D68" s="1497"/>
      <c r="E68" s="3684"/>
      <c r="F68" s="1497"/>
      <c r="G68" s="3684"/>
      <c r="H68" s="1497"/>
      <c r="I68" s="3684"/>
      <c r="J68" s="1497"/>
      <c r="K68" s="1498"/>
      <c r="L68" s="1499"/>
    </row>
    <row r="69" spans="1:12">
      <c r="A69" s="81">
        <v>1996.12</v>
      </c>
      <c r="B69" s="699">
        <v>12.580711815359379</v>
      </c>
      <c r="C69" s="1496"/>
      <c r="D69" s="1497"/>
      <c r="E69" s="3684"/>
      <c r="F69" s="1497"/>
      <c r="G69" s="3684"/>
      <c r="H69" s="1497"/>
      <c r="I69" s="3684"/>
      <c r="J69" s="1497"/>
      <c r="K69" s="1498"/>
      <c r="L69" s="1499"/>
    </row>
    <row r="70" spans="1:12">
      <c r="A70" s="81">
        <v>1997.01</v>
      </c>
      <c r="B70" s="699">
        <v>12.406581351219151</v>
      </c>
      <c r="C70" s="1496"/>
      <c r="D70" s="1497"/>
      <c r="E70" s="3684"/>
      <c r="F70" s="1497"/>
      <c r="G70" s="3684"/>
      <c r="H70" s="1497"/>
      <c r="I70" s="3684"/>
      <c r="J70" s="1497"/>
      <c r="K70" s="1498"/>
      <c r="L70" s="1499"/>
    </row>
    <row r="71" spans="1:12">
      <c r="A71" s="81">
        <v>1997.02</v>
      </c>
      <c r="B71" s="699">
        <v>12.273733321295737</v>
      </c>
      <c r="C71" s="1496"/>
      <c r="D71" s="1497"/>
      <c r="E71" s="3684"/>
      <c r="F71" s="1497"/>
      <c r="G71" s="3684"/>
      <c r="H71" s="1497"/>
      <c r="I71" s="3684"/>
      <c r="J71" s="1497"/>
      <c r="K71" s="1498"/>
      <c r="L71" s="1499"/>
    </row>
    <row r="72" spans="1:12">
      <c r="A72" s="81">
        <v>1997.03</v>
      </c>
      <c r="B72" s="699">
        <v>12.137522059591822</v>
      </c>
      <c r="C72" s="1496"/>
      <c r="D72" s="1497"/>
      <c r="E72" s="3684"/>
      <c r="F72" s="1497"/>
      <c r="G72" s="3684"/>
      <c r="H72" s="1497"/>
      <c r="I72" s="3684"/>
      <c r="J72" s="1497"/>
      <c r="K72" s="1498"/>
      <c r="L72" s="1499"/>
    </row>
    <row r="73" spans="1:12">
      <c r="A73" s="81">
        <v>1997.04</v>
      </c>
      <c r="B73" s="699">
        <v>12.153440629380551</v>
      </c>
      <c r="C73" s="1496"/>
      <c r="D73" s="1497"/>
      <c r="E73" s="3684"/>
      <c r="F73" s="1497"/>
      <c r="G73" s="3684"/>
      <c r="H73" s="1497"/>
      <c r="I73" s="3684"/>
      <c r="J73" s="1497"/>
      <c r="K73" s="1498"/>
      <c r="L73" s="1499"/>
    </row>
    <row r="74" spans="1:12">
      <c r="A74" s="81">
        <v>1997.05</v>
      </c>
      <c r="B74" s="699">
        <v>12.119294789034143</v>
      </c>
      <c r="C74" s="1496"/>
      <c r="D74" s="1497"/>
      <c r="E74" s="3684"/>
      <c r="F74" s="1497"/>
      <c r="G74" s="3684"/>
      <c r="H74" s="1497"/>
      <c r="I74" s="3684"/>
      <c r="J74" s="1497"/>
      <c r="K74" s="1498"/>
      <c r="L74" s="1499"/>
    </row>
    <row r="75" spans="1:12">
      <c r="A75" s="81">
        <v>1997.06</v>
      </c>
      <c r="B75" s="699">
        <v>12.001508922643634</v>
      </c>
      <c r="C75" s="1496"/>
      <c r="D75" s="1497"/>
      <c r="E75" s="3684"/>
      <c r="F75" s="1497"/>
      <c r="G75" s="3684"/>
      <c r="H75" s="1497"/>
      <c r="I75" s="3684"/>
      <c r="J75" s="1497"/>
      <c r="K75" s="1498"/>
      <c r="L75" s="1499"/>
    </row>
    <row r="76" spans="1:12">
      <c r="A76" s="81">
        <v>1997.07</v>
      </c>
      <c r="B76" s="699">
        <v>12.060631057480418</v>
      </c>
      <c r="C76" s="1496"/>
      <c r="D76" s="1497"/>
      <c r="E76" s="3684"/>
      <c r="F76" s="1497"/>
      <c r="G76" s="3684"/>
      <c r="H76" s="1497"/>
      <c r="I76" s="3684"/>
      <c r="J76" s="1497"/>
      <c r="K76" s="1498"/>
      <c r="L76" s="1499"/>
    </row>
    <row r="77" spans="1:12">
      <c r="A77" s="81">
        <v>1997.08</v>
      </c>
      <c r="B77" s="699">
        <v>12.103780717487322</v>
      </c>
      <c r="C77" s="1496"/>
      <c r="D77" s="1497"/>
      <c r="E77" s="3684"/>
      <c r="F77" s="1497"/>
      <c r="G77" s="3684"/>
      <c r="H77" s="1497"/>
      <c r="I77" s="3684"/>
      <c r="J77" s="1497"/>
      <c r="K77" s="1498"/>
      <c r="L77" s="1499"/>
    </row>
    <row r="78" spans="1:12">
      <c r="A78" s="81">
        <v>1997.09</v>
      </c>
      <c r="B78" s="699">
        <v>12.089592256068086</v>
      </c>
      <c r="C78" s="1496"/>
      <c r="D78" s="1497"/>
      <c r="E78" s="3684"/>
      <c r="F78" s="1497"/>
      <c r="G78" s="3684"/>
      <c r="H78" s="1497"/>
      <c r="I78" s="3684"/>
      <c r="J78" s="1497"/>
      <c r="K78" s="1498"/>
      <c r="L78" s="1499"/>
    </row>
    <row r="79" spans="1:12">
      <c r="A79" s="81">
        <v>1997.1</v>
      </c>
      <c r="B79" s="699">
        <v>11.919727429893957</v>
      </c>
      <c r="C79" s="1496"/>
      <c r="D79" s="1497"/>
      <c r="E79" s="3684"/>
      <c r="F79" s="1497"/>
      <c r="G79" s="3684"/>
      <c r="H79" s="1497"/>
      <c r="I79" s="3684"/>
      <c r="J79" s="1497"/>
      <c r="K79" s="1498"/>
      <c r="L79" s="1499"/>
    </row>
    <row r="80" spans="1:12">
      <c r="A80" s="81">
        <v>1997.11</v>
      </c>
      <c r="B80" s="699">
        <v>11.870223788812076</v>
      </c>
      <c r="C80" s="1496"/>
      <c r="D80" s="1497"/>
      <c r="E80" s="3684"/>
      <c r="F80" s="1497"/>
      <c r="G80" s="3684"/>
      <c r="H80" s="1497"/>
      <c r="I80" s="3684"/>
      <c r="J80" s="1497"/>
      <c r="K80" s="1498"/>
      <c r="L80" s="1499"/>
    </row>
    <row r="81" spans="1:12">
      <c r="A81" s="81">
        <v>1997.12</v>
      </c>
      <c r="B81" s="699">
        <v>11.760614153080356</v>
      </c>
      <c r="C81" s="1496"/>
      <c r="D81" s="1497"/>
      <c r="E81" s="3684"/>
      <c r="F81" s="1497"/>
      <c r="G81" s="3684"/>
      <c r="H81" s="1497"/>
      <c r="I81" s="3684"/>
      <c r="J81" s="1497"/>
      <c r="K81" s="1498"/>
      <c r="L81" s="1499"/>
    </row>
    <row r="82" spans="1:12">
      <c r="A82" s="81">
        <v>1998.01</v>
      </c>
      <c r="B82" s="699">
        <v>11.779205830479173</v>
      </c>
      <c r="C82" s="1496"/>
      <c r="D82" s="1497"/>
      <c r="E82" s="3684"/>
      <c r="F82" s="1497"/>
      <c r="G82" s="3684"/>
      <c r="H82" s="1497"/>
      <c r="I82" s="3684"/>
      <c r="J82" s="1497"/>
      <c r="K82" s="1498"/>
      <c r="L82" s="1499"/>
    </row>
    <row r="83" spans="1:12">
      <c r="A83" s="81">
        <v>1998.02</v>
      </c>
      <c r="B83" s="699">
        <v>11.751331444031718</v>
      </c>
      <c r="C83" s="1496"/>
      <c r="D83" s="1497"/>
      <c r="E83" s="3684"/>
      <c r="F83" s="1497"/>
      <c r="G83" s="3684"/>
      <c r="H83" s="1497"/>
      <c r="I83" s="3684"/>
      <c r="J83" s="1497"/>
      <c r="K83" s="1498"/>
      <c r="L83" s="1499"/>
    </row>
    <row r="84" spans="1:12">
      <c r="A84" s="81">
        <v>1998.03</v>
      </c>
      <c r="B84" s="699">
        <v>11.699719085909846</v>
      </c>
      <c r="C84" s="1496"/>
      <c r="D84" s="1497"/>
      <c r="E84" s="3684"/>
      <c r="F84" s="1497"/>
      <c r="G84" s="3684"/>
      <c r="H84" s="1497"/>
      <c r="I84" s="3684"/>
      <c r="J84" s="1497"/>
      <c r="K84" s="1498"/>
      <c r="L84" s="1499"/>
    </row>
    <row r="85" spans="1:12">
      <c r="A85" s="81">
        <v>1998.04</v>
      </c>
      <c r="B85" s="699">
        <v>11.673914166619159</v>
      </c>
      <c r="C85" s="1496"/>
      <c r="D85" s="1497"/>
      <c r="E85" s="3684"/>
      <c r="F85" s="1497"/>
      <c r="G85" s="3684"/>
      <c r="H85" s="1497"/>
      <c r="I85" s="3684"/>
      <c r="J85" s="1497"/>
      <c r="K85" s="1498"/>
      <c r="L85" s="1499"/>
    </row>
    <row r="86" spans="1:12">
      <c r="A86" s="81">
        <v>1998.05</v>
      </c>
      <c r="B86" s="699">
        <v>11.678696191491497</v>
      </c>
      <c r="C86" s="1496"/>
      <c r="D86" s="1497"/>
      <c r="E86" s="3684"/>
      <c r="F86" s="1497"/>
      <c r="G86" s="3684"/>
      <c r="H86" s="1497"/>
      <c r="I86" s="3684"/>
      <c r="J86" s="1497"/>
      <c r="K86" s="1498"/>
      <c r="L86" s="1499"/>
    </row>
    <row r="87" spans="1:12">
      <c r="A87" s="81">
        <v>1998.06</v>
      </c>
      <c r="B87" s="699">
        <v>11.679340484677287</v>
      </c>
      <c r="C87" s="1496"/>
      <c r="D87" s="1497"/>
      <c r="E87" s="3684"/>
      <c r="F87" s="1497"/>
      <c r="G87" s="3684"/>
      <c r="H87" s="1497"/>
      <c r="I87" s="3684"/>
      <c r="J87" s="1497"/>
      <c r="K87" s="1498"/>
      <c r="L87" s="1499"/>
    </row>
    <row r="88" spans="1:12">
      <c r="A88" s="81">
        <v>1998.07</v>
      </c>
      <c r="B88" s="699">
        <v>11.633284424681397</v>
      </c>
      <c r="C88" s="1496"/>
      <c r="D88" s="1497"/>
      <c r="E88" s="3684"/>
      <c r="F88" s="1497"/>
      <c r="G88" s="3684"/>
      <c r="H88" s="1497"/>
      <c r="I88" s="3684"/>
      <c r="J88" s="1497"/>
      <c r="K88" s="1498"/>
      <c r="L88" s="1499"/>
    </row>
    <row r="89" spans="1:12">
      <c r="A89" s="81">
        <v>1998.08</v>
      </c>
      <c r="B89" s="699">
        <v>11.556879838632145</v>
      </c>
      <c r="C89" s="1496"/>
      <c r="D89" s="1497"/>
      <c r="E89" s="3684"/>
      <c r="F89" s="1497"/>
      <c r="G89" s="3684"/>
      <c r="H89" s="1497"/>
      <c r="I89" s="3684"/>
      <c r="J89" s="1497"/>
      <c r="K89" s="1498"/>
      <c r="L89" s="1499"/>
    </row>
    <row r="90" spans="1:12">
      <c r="A90" s="81">
        <v>1998.09</v>
      </c>
      <c r="B90" s="699">
        <v>11.525583552386609</v>
      </c>
      <c r="C90" s="1496"/>
      <c r="D90" s="1497"/>
      <c r="E90" s="3684"/>
      <c r="F90" s="1497"/>
      <c r="G90" s="3684"/>
      <c r="H90" s="1497"/>
      <c r="I90" s="3684"/>
      <c r="J90" s="1497"/>
      <c r="K90" s="1498"/>
      <c r="L90" s="1499"/>
    </row>
    <row r="91" spans="1:12">
      <c r="A91" s="81">
        <v>1998.1</v>
      </c>
      <c r="B91" s="699">
        <v>11.508302603015931</v>
      </c>
      <c r="C91" s="1496"/>
      <c r="D91" s="1497"/>
      <c r="E91" s="3684"/>
      <c r="F91" s="1497"/>
      <c r="G91" s="3684"/>
      <c r="H91" s="1497"/>
      <c r="I91" s="3684"/>
      <c r="J91" s="1497"/>
      <c r="K91" s="1498"/>
      <c r="L91" s="1499"/>
    </row>
    <row r="92" spans="1:12">
      <c r="A92" s="81">
        <v>1998.11</v>
      </c>
      <c r="B92" s="699">
        <v>11.536757829266573</v>
      </c>
      <c r="C92" s="1496"/>
      <c r="D92" s="1497"/>
      <c r="E92" s="3684"/>
      <c r="F92" s="1497"/>
      <c r="G92" s="3684"/>
      <c r="H92" s="1497"/>
      <c r="I92" s="3684"/>
      <c r="J92" s="1497"/>
      <c r="K92" s="1498"/>
      <c r="L92" s="1499"/>
    </row>
    <row r="93" spans="1:12">
      <c r="A93" s="81">
        <v>1998.12</v>
      </c>
      <c r="B93" s="699">
        <v>11.474267417737712</v>
      </c>
      <c r="C93" s="1496"/>
      <c r="D93" s="1497"/>
      <c r="E93" s="3684"/>
      <c r="F93" s="1497"/>
      <c r="G93" s="3684"/>
      <c r="H93" s="1497"/>
      <c r="I93" s="3684"/>
      <c r="J93" s="1497"/>
      <c r="K93" s="1498"/>
      <c r="L93" s="1499"/>
    </row>
    <row r="94" spans="1:12">
      <c r="A94" s="81">
        <v>1999.01</v>
      </c>
      <c r="B94" s="699">
        <v>11.348669190527209</v>
      </c>
      <c r="C94" s="1496"/>
      <c r="D94" s="1497"/>
      <c r="E94" s="3684"/>
      <c r="F94" s="1497"/>
      <c r="G94" s="3684"/>
      <c r="H94" s="1497"/>
      <c r="I94" s="3684"/>
      <c r="J94" s="1497"/>
      <c r="K94" s="1498"/>
      <c r="L94" s="1499"/>
    </row>
    <row r="95" spans="1:12">
      <c r="A95" s="81">
        <v>1999.02</v>
      </c>
      <c r="B95" s="699">
        <v>11.252080971343243</v>
      </c>
      <c r="C95" s="1496"/>
      <c r="D95" s="1497"/>
      <c r="E95" s="3684"/>
      <c r="F95" s="1497"/>
      <c r="G95" s="3684"/>
      <c r="H95" s="1497"/>
      <c r="I95" s="3684"/>
      <c r="J95" s="1497"/>
      <c r="K95" s="1498"/>
      <c r="L95" s="1499"/>
    </row>
    <row r="96" spans="1:12">
      <c r="A96" s="81">
        <v>1999.03</v>
      </c>
      <c r="B96" s="699">
        <v>11.204331315120381</v>
      </c>
      <c r="C96" s="1496"/>
      <c r="D96" s="1497"/>
      <c r="E96" s="3684"/>
      <c r="F96" s="1497"/>
      <c r="G96" s="3684"/>
      <c r="H96" s="1497"/>
      <c r="I96" s="3684"/>
      <c r="J96" s="1497"/>
      <c r="K96" s="1498"/>
      <c r="L96" s="1499"/>
    </row>
    <row r="97" spans="1:12">
      <c r="A97" s="81">
        <v>1999.04</v>
      </c>
      <c r="B97" s="699">
        <v>11.241457976968611</v>
      </c>
      <c r="C97" s="1496"/>
      <c r="D97" s="1497"/>
      <c r="E97" s="3684"/>
      <c r="F97" s="1497"/>
      <c r="G97" s="3684"/>
      <c r="H97" s="1497"/>
      <c r="I97" s="3684"/>
      <c r="J97" s="1497"/>
      <c r="K97" s="1498"/>
      <c r="L97" s="1499"/>
    </row>
    <row r="98" spans="1:12">
      <c r="A98" s="81">
        <v>1999.05</v>
      </c>
      <c r="B98" s="699">
        <v>11.190345368272263</v>
      </c>
      <c r="C98" s="1496"/>
      <c r="D98" s="1497"/>
      <c r="E98" s="3684"/>
      <c r="F98" s="1497"/>
      <c r="G98" s="3684"/>
      <c r="H98" s="1497"/>
      <c r="I98" s="3684"/>
      <c r="J98" s="1497"/>
      <c r="K98" s="1498"/>
      <c r="L98" s="1499"/>
    </row>
    <row r="99" spans="1:12">
      <c r="A99" s="81">
        <v>1999.06</v>
      </c>
      <c r="B99" s="699">
        <v>11.133367099889341</v>
      </c>
      <c r="C99" s="1496"/>
      <c r="D99" s="1497"/>
      <c r="E99" s="3684"/>
      <c r="F99" s="1497"/>
      <c r="G99" s="3684"/>
      <c r="H99" s="1497"/>
      <c r="I99" s="3684"/>
      <c r="J99" s="1497"/>
      <c r="K99" s="1498"/>
      <c r="L99" s="1499"/>
    </row>
    <row r="100" spans="1:12">
      <c r="A100" s="81">
        <v>1999.07</v>
      </c>
      <c r="B100" s="699">
        <v>11.134658050243694</v>
      </c>
      <c r="C100" s="1496"/>
      <c r="D100" s="1497"/>
      <c r="E100" s="3684"/>
      <c r="F100" s="1497"/>
      <c r="G100" s="3684"/>
      <c r="H100" s="1497"/>
      <c r="I100" s="3684"/>
      <c r="J100" s="1497"/>
      <c r="K100" s="1498"/>
      <c r="L100" s="1499"/>
    </row>
    <row r="101" spans="1:12">
      <c r="A101" s="81">
        <v>1999.08</v>
      </c>
      <c r="B101" s="699">
        <v>11.094555450580176</v>
      </c>
      <c r="C101" s="1496"/>
      <c r="D101" s="1497"/>
      <c r="E101" s="3684"/>
      <c r="F101" s="1497"/>
      <c r="G101" s="3684"/>
      <c r="H101" s="1497"/>
      <c r="I101" s="3684"/>
      <c r="J101" s="1497"/>
      <c r="K101" s="1498"/>
      <c r="L101" s="1499"/>
    </row>
    <row r="102" spans="1:12">
      <c r="A102" s="81">
        <v>1999.09</v>
      </c>
      <c r="B102" s="699">
        <v>11.036141439056282</v>
      </c>
      <c r="C102" s="1496"/>
      <c r="D102" s="1497"/>
      <c r="E102" s="3684"/>
      <c r="F102" s="1497"/>
      <c r="G102" s="3684"/>
      <c r="H102" s="1497"/>
      <c r="I102" s="3684"/>
      <c r="J102" s="1497"/>
      <c r="K102" s="1498"/>
      <c r="L102" s="1499"/>
    </row>
    <row r="103" spans="1:12">
      <c r="A103" s="81">
        <v>1999.1</v>
      </c>
      <c r="B103" s="699">
        <v>10.872974198387267</v>
      </c>
      <c r="C103" s="1496"/>
      <c r="D103" s="1497"/>
      <c r="E103" s="3684"/>
      <c r="F103" s="1497"/>
      <c r="G103" s="3684"/>
      <c r="H103" s="1497"/>
      <c r="I103" s="3684"/>
      <c r="J103" s="1497"/>
      <c r="K103" s="1498"/>
      <c r="L103" s="1499"/>
    </row>
    <row r="104" spans="1:12">
      <c r="A104" s="81">
        <v>1999.11</v>
      </c>
      <c r="B104" s="699">
        <v>10.850860386665181</v>
      </c>
      <c r="C104" s="1496"/>
      <c r="D104" s="1497"/>
      <c r="E104" s="3684"/>
      <c r="F104" s="1497"/>
      <c r="G104" s="3684"/>
      <c r="H104" s="1497"/>
      <c r="I104" s="3684"/>
      <c r="J104" s="1497"/>
      <c r="K104" s="1498"/>
      <c r="L104" s="1499"/>
    </row>
    <row r="105" spans="1:12">
      <c r="A105" s="81">
        <v>1999.12</v>
      </c>
      <c r="B105" s="699">
        <v>10.749077257250727</v>
      </c>
      <c r="C105" s="1496"/>
      <c r="D105" s="1497"/>
      <c r="E105" s="3684"/>
      <c r="F105" s="1497"/>
      <c r="G105" s="3684"/>
      <c r="H105" s="1497"/>
      <c r="I105" s="3684"/>
      <c r="J105" s="1497"/>
      <c r="K105" s="1498"/>
      <c r="L105" s="1499"/>
    </row>
    <row r="106" spans="1:12">
      <c r="A106" s="81">
        <v>2000.01</v>
      </c>
      <c r="B106" s="699">
        <v>10.688332600214917</v>
      </c>
      <c r="C106" s="1496"/>
      <c r="D106" s="1497"/>
      <c r="E106" s="3684"/>
      <c r="F106" s="1497"/>
      <c r="G106" s="3684"/>
      <c r="H106" s="1497"/>
      <c r="I106" s="3684"/>
      <c r="J106" s="1497"/>
      <c r="K106" s="1498"/>
      <c r="L106" s="1499"/>
    </row>
    <row r="107" spans="1:12">
      <c r="A107" s="81">
        <v>2000.02</v>
      </c>
      <c r="B107" s="699">
        <v>10.713920153757694</v>
      </c>
      <c r="C107" s="1496"/>
      <c r="D107" s="1497"/>
      <c r="E107" s="3684"/>
      <c r="F107" s="1497"/>
      <c r="G107" s="3684"/>
      <c r="H107" s="1497"/>
      <c r="I107" s="3684"/>
      <c r="J107" s="1497"/>
      <c r="K107" s="1498"/>
      <c r="L107" s="1499"/>
    </row>
    <row r="108" spans="1:12">
      <c r="A108" s="81">
        <v>2000.03</v>
      </c>
      <c r="B108" s="699">
        <v>10.838571871696409</v>
      </c>
      <c r="C108" s="1496"/>
      <c r="D108" s="1497"/>
      <c r="E108" s="3684"/>
      <c r="F108" s="1497"/>
      <c r="G108" s="3684"/>
      <c r="H108" s="1497"/>
      <c r="I108" s="3684"/>
      <c r="J108" s="1497"/>
      <c r="K108" s="1498"/>
      <c r="L108" s="1499"/>
    </row>
    <row r="109" spans="1:12">
      <c r="A109" s="81">
        <v>2000.04</v>
      </c>
      <c r="B109" s="699">
        <v>10.700488173195421</v>
      </c>
      <c r="C109" s="1496"/>
      <c r="D109" s="1497"/>
      <c r="E109" s="3684"/>
      <c r="F109" s="1497"/>
      <c r="G109" s="3684"/>
      <c r="H109" s="1497"/>
      <c r="I109" s="3684"/>
      <c r="J109" s="1497"/>
      <c r="K109" s="1498"/>
      <c r="L109" s="1499"/>
    </row>
    <row r="110" spans="1:12">
      <c r="A110" s="81">
        <v>2000.05</v>
      </c>
      <c r="B110" s="699">
        <v>10.564897487822407</v>
      </c>
      <c r="C110" s="1496"/>
      <c r="D110" s="1497"/>
      <c r="E110" s="3684"/>
      <c r="F110" s="1497"/>
      <c r="G110" s="3684"/>
      <c r="H110" s="1497"/>
      <c r="I110" s="3684"/>
      <c r="J110" s="1497"/>
      <c r="K110" s="1498"/>
      <c r="L110" s="1499"/>
    </row>
    <row r="111" spans="1:12">
      <c r="A111" s="81">
        <v>2000.06</v>
      </c>
      <c r="B111" s="699">
        <v>10.595294665851672</v>
      </c>
      <c r="C111" s="1496"/>
      <c r="D111" s="1497"/>
      <c r="E111" s="3684"/>
      <c r="F111" s="1497"/>
      <c r="G111" s="3684"/>
      <c r="H111" s="1497"/>
      <c r="I111" s="3684"/>
      <c r="J111" s="1497"/>
      <c r="K111" s="1498"/>
      <c r="L111" s="1499"/>
    </row>
    <row r="112" spans="1:12">
      <c r="A112" s="81">
        <v>2000.07</v>
      </c>
      <c r="B112" s="699">
        <v>10.52234604967092</v>
      </c>
      <c r="C112" s="1496"/>
      <c r="D112" s="1497"/>
      <c r="E112" s="3684"/>
      <c r="F112" s="1497"/>
      <c r="G112" s="3684"/>
      <c r="H112" s="1497"/>
      <c r="I112" s="3684"/>
      <c r="J112" s="1497"/>
      <c r="K112" s="1498"/>
      <c r="L112" s="1499"/>
    </row>
    <row r="113" spans="1:12">
      <c r="A113" s="81">
        <v>2000.08</v>
      </c>
      <c r="B113" s="699">
        <v>10.54944268865037</v>
      </c>
      <c r="C113" s="1496"/>
      <c r="D113" s="1497"/>
      <c r="E113" s="3684"/>
      <c r="F113" s="1497"/>
      <c r="G113" s="3684"/>
      <c r="H113" s="1497"/>
      <c r="I113" s="3684"/>
      <c r="J113" s="1497"/>
      <c r="K113" s="1498"/>
      <c r="L113" s="1499"/>
    </row>
    <row r="114" spans="1:12">
      <c r="A114" s="81">
        <v>2000.09</v>
      </c>
      <c r="B114" s="699">
        <v>10.53271376632549</v>
      </c>
      <c r="C114" s="1496"/>
      <c r="D114" s="1497"/>
      <c r="E114" s="3684"/>
      <c r="F114" s="1497"/>
      <c r="G114" s="3684"/>
      <c r="H114" s="1497"/>
      <c r="I114" s="3684"/>
      <c r="J114" s="1497"/>
      <c r="K114" s="1498"/>
      <c r="L114" s="1499"/>
    </row>
    <row r="115" spans="1:12">
      <c r="A115" s="81">
        <v>2000.1</v>
      </c>
      <c r="B115" s="699">
        <v>10.510130724820421</v>
      </c>
      <c r="C115" s="1496"/>
      <c r="D115" s="1497"/>
      <c r="E115" s="3684"/>
      <c r="F115" s="1497"/>
      <c r="G115" s="3684"/>
      <c r="H115" s="1497"/>
      <c r="I115" s="3684"/>
      <c r="J115" s="1497"/>
      <c r="K115" s="1498"/>
      <c r="L115" s="1499"/>
    </row>
    <row r="116" spans="1:12">
      <c r="A116" s="81">
        <v>2000.11</v>
      </c>
      <c r="B116" s="699">
        <v>10.431758882474554</v>
      </c>
      <c r="C116" s="1496"/>
      <c r="D116" s="1497"/>
      <c r="E116" s="3684"/>
      <c r="F116" s="1497"/>
      <c r="G116" s="3684"/>
      <c r="H116" s="1497"/>
      <c r="I116" s="3684"/>
      <c r="J116" s="1497"/>
      <c r="K116" s="1498"/>
      <c r="L116" s="1499"/>
    </row>
    <row r="117" spans="1:12">
      <c r="A117" s="81">
        <v>2000.12</v>
      </c>
      <c r="B117" s="699">
        <v>10.307124893640184</v>
      </c>
      <c r="C117" s="1496"/>
      <c r="D117" s="1497"/>
      <c r="E117" s="3684"/>
      <c r="F117" s="1497"/>
      <c r="G117" s="3684"/>
      <c r="H117" s="1497"/>
      <c r="I117" s="3684"/>
      <c r="J117" s="1497"/>
      <c r="K117" s="1498"/>
      <c r="L117" s="1499"/>
    </row>
    <row r="118" spans="1:12">
      <c r="A118" s="81">
        <v>2001.01</v>
      </c>
      <c r="B118" s="699">
        <v>10.257665199451367</v>
      </c>
      <c r="C118" s="1496"/>
      <c r="D118" s="1497"/>
      <c r="E118" s="3684"/>
      <c r="F118" s="1497"/>
      <c r="G118" s="3684"/>
      <c r="H118" s="1497"/>
      <c r="I118" s="3684"/>
      <c r="J118" s="1497"/>
      <c r="K118" s="1498"/>
      <c r="L118" s="1499"/>
    </row>
    <row r="119" spans="1:12">
      <c r="A119" s="81">
        <v>2001.02</v>
      </c>
      <c r="B119" s="699">
        <v>10.25811818550426</v>
      </c>
      <c r="C119" s="1496"/>
      <c r="D119" s="1497"/>
      <c r="E119" s="3684"/>
      <c r="F119" s="1497"/>
      <c r="G119" s="3684"/>
      <c r="H119" s="1497"/>
      <c r="I119" s="3684"/>
      <c r="J119" s="1497"/>
      <c r="K119" s="1498"/>
      <c r="L119" s="1499"/>
    </row>
    <row r="120" spans="1:12">
      <c r="A120" s="81">
        <v>2001.03</v>
      </c>
      <c r="B120" s="699">
        <v>10.33654206620948</v>
      </c>
      <c r="C120" s="1496"/>
      <c r="D120" s="1497"/>
      <c r="E120" s="3684"/>
      <c r="F120" s="1497"/>
      <c r="G120" s="3684"/>
      <c r="H120" s="1497"/>
      <c r="I120" s="3684"/>
      <c r="J120" s="1497"/>
      <c r="K120" s="1498"/>
      <c r="L120" s="1499"/>
    </row>
    <row r="121" spans="1:12">
      <c r="A121" s="81">
        <v>2001.04</v>
      </c>
      <c r="B121" s="699">
        <v>10.377743120499458</v>
      </c>
      <c r="C121" s="1496"/>
      <c r="D121" s="1497"/>
      <c r="E121" s="3684"/>
      <c r="F121" s="1497"/>
      <c r="G121" s="3684"/>
      <c r="H121" s="1497"/>
      <c r="I121" s="3684"/>
      <c r="J121" s="1497"/>
      <c r="K121" s="1498"/>
      <c r="L121" s="1499"/>
    </row>
    <row r="122" spans="1:12">
      <c r="A122" s="81">
        <v>2001.05</v>
      </c>
      <c r="B122" s="699">
        <v>10.343274999253543</v>
      </c>
      <c r="C122" s="1496"/>
      <c r="D122" s="1497"/>
      <c r="E122" s="3684"/>
      <c r="F122" s="1497"/>
      <c r="G122" s="3684"/>
      <c r="H122" s="1497"/>
      <c r="I122" s="3684"/>
      <c r="J122" s="1497"/>
      <c r="K122" s="1498"/>
      <c r="L122" s="1499"/>
    </row>
    <row r="123" spans="1:12">
      <c r="A123" s="81">
        <v>2001.06</v>
      </c>
      <c r="B123" s="699">
        <v>10.234360691938173</v>
      </c>
      <c r="C123" s="1496"/>
      <c r="D123" s="1497"/>
      <c r="E123" s="3684"/>
      <c r="F123" s="1497"/>
      <c r="G123" s="3684"/>
      <c r="H123" s="1497"/>
      <c r="I123" s="3684"/>
      <c r="J123" s="1497"/>
      <c r="K123" s="1498"/>
      <c r="L123" s="1499"/>
    </row>
    <row r="124" spans="1:12">
      <c r="A124" s="81">
        <v>2001.07</v>
      </c>
      <c r="B124" s="699">
        <v>10.210183497528773</v>
      </c>
      <c r="C124" s="1496"/>
      <c r="D124" s="1497"/>
      <c r="E124" s="3684"/>
      <c r="F124" s="1497"/>
      <c r="G124" s="3684"/>
      <c r="H124" s="1497"/>
      <c r="I124" s="3684"/>
      <c r="J124" s="1497"/>
      <c r="K124" s="1498"/>
      <c r="L124" s="1499"/>
    </row>
    <row r="125" spans="1:12">
      <c r="A125" s="81">
        <v>2001.08</v>
      </c>
      <c r="B125" s="699">
        <v>10.20172629796258</v>
      </c>
      <c r="C125" s="1496"/>
      <c r="D125" s="1497"/>
      <c r="E125" s="3684"/>
      <c r="F125" s="1497"/>
      <c r="G125" s="3684"/>
      <c r="H125" s="1497"/>
      <c r="I125" s="3684"/>
      <c r="J125" s="1497"/>
      <c r="K125" s="1498"/>
      <c r="L125" s="1499"/>
    </row>
    <row r="126" spans="1:12">
      <c r="A126" s="81">
        <v>2001.09</v>
      </c>
      <c r="B126" s="699">
        <v>10.242924504364204</v>
      </c>
      <c r="C126" s="1500"/>
      <c r="D126" s="1501"/>
      <c r="E126" s="3685"/>
      <c r="F126" s="1501"/>
      <c r="G126" s="3685"/>
      <c r="H126" s="1501"/>
      <c r="I126" s="3685"/>
      <c r="J126" s="1501"/>
      <c r="K126" s="1502"/>
      <c r="L126" s="265"/>
    </row>
    <row r="127" spans="1:12">
      <c r="A127" s="81">
        <v>2001.1</v>
      </c>
      <c r="B127" s="699">
        <v>10.198397224469424</v>
      </c>
      <c r="C127" s="1500"/>
      <c r="D127" s="1501"/>
      <c r="E127" s="3685"/>
      <c r="F127" s="1501"/>
      <c r="G127" s="3685"/>
      <c r="H127" s="1501"/>
      <c r="I127" s="3685"/>
      <c r="J127" s="1501"/>
      <c r="K127" s="1502"/>
      <c r="L127" s="265"/>
    </row>
    <row r="128" spans="1:12">
      <c r="A128" s="81">
        <v>2001.11</v>
      </c>
      <c r="B128" s="699">
        <v>10.248588781031389</v>
      </c>
      <c r="C128" s="1500"/>
      <c r="D128" s="1501"/>
      <c r="E128" s="3685"/>
      <c r="F128" s="1501"/>
      <c r="G128" s="3685"/>
      <c r="H128" s="1501"/>
      <c r="I128" s="3685"/>
      <c r="J128" s="1501"/>
      <c r="K128" s="1502"/>
      <c r="L128" s="265"/>
    </row>
    <row r="129" spans="1:12">
      <c r="A129" s="81">
        <v>2001.12</v>
      </c>
      <c r="B129" s="699">
        <v>10.22379364870889</v>
      </c>
      <c r="C129" s="1500"/>
      <c r="D129" s="1501"/>
      <c r="E129" s="3685"/>
      <c r="F129" s="1501"/>
      <c r="G129" s="3685"/>
      <c r="H129" s="1501"/>
      <c r="I129" s="3685"/>
      <c r="J129" s="1501"/>
      <c r="K129" s="1502"/>
      <c r="L129" s="265"/>
    </row>
    <row r="130" spans="1:12">
      <c r="A130" s="81">
        <v>2002.01</v>
      </c>
      <c r="B130" s="699">
        <v>10.806141486390064</v>
      </c>
      <c r="C130" s="1500"/>
      <c r="D130" s="1501"/>
      <c r="E130" s="3685"/>
      <c r="F130" s="1501"/>
      <c r="G130" s="3685"/>
      <c r="H130" s="1501"/>
      <c r="I130" s="3685"/>
      <c r="J130" s="1501"/>
      <c r="K130" s="1502"/>
      <c r="L130" s="265"/>
    </row>
    <row r="131" spans="1:12">
      <c r="A131" s="81">
        <v>2002.02</v>
      </c>
      <c r="B131" s="699">
        <v>11.384849288703805</v>
      </c>
      <c r="C131" s="1500"/>
      <c r="D131" s="1501"/>
      <c r="E131" s="3685"/>
      <c r="F131" s="1501"/>
      <c r="G131" s="3685"/>
      <c r="H131" s="1501"/>
      <c r="I131" s="3685"/>
      <c r="J131" s="1501"/>
      <c r="K131" s="1502"/>
      <c r="L131" s="265"/>
    </row>
    <row r="132" spans="1:12">
      <c r="A132" s="81">
        <v>2002.03</v>
      </c>
      <c r="B132" s="699">
        <v>12.52752998806621</v>
      </c>
      <c r="C132" s="1500"/>
      <c r="D132" s="1501"/>
      <c r="E132" s="3685"/>
      <c r="F132" s="1501"/>
      <c r="G132" s="3685"/>
      <c r="H132" s="1501"/>
      <c r="I132" s="3685"/>
      <c r="J132" s="1501"/>
      <c r="K132" s="1502"/>
      <c r="L132" s="265"/>
    </row>
    <row r="133" spans="1:12">
      <c r="A133" s="81">
        <v>2002.04</v>
      </c>
      <c r="B133" s="699">
        <v>14.60459469592492</v>
      </c>
      <c r="C133" s="1500"/>
      <c r="D133" s="1501"/>
      <c r="E133" s="3685"/>
      <c r="F133" s="1501"/>
      <c r="G133" s="3685"/>
      <c r="H133" s="1501"/>
      <c r="I133" s="3685"/>
      <c r="J133" s="1501"/>
      <c r="K133" s="1502"/>
      <c r="L133" s="265"/>
    </row>
    <row r="134" spans="1:12">
      <c r="A134" s="81">
        <v>2002.05</v>
      </c>
      <c r="B134" s="699">
        <v>15.711973924706044</v>
      </c>
      <c r="C134" s="1500"/>
      <c r="D134" s="1501"/>
      <c r="E134" s="3685"/>
      <c r="F134" s="1501"/>
      <c r="G134" s="3685"/>
      <c r="H134" s="1501"/>
      <c r="I134" s="3685"/>
      <c r="J134" s="1501"/>
      <c r="K134" s="1502"/>
      <c r="L134" s="265"/>
    </row>
    <row r="135" spans="1:12">
      <c r="A135" s="81">
        <v>2002.06</v>
      </c>
      <c r="B135" s="699">
        <v>16.780136502816131</v>
      </c>
      <c r="C135" s="1500"/>
      <c r="D135" s="1501"/>
      <c r="E135" s="3685"/>
      <c r="F135" s="1501"/>
      <c r="G135" s="3685"/>
      <c r="H135" s="1501"/>
      <c r="I135" s="3685"/>
      <c r="J135" s="1501"/>
      <c r="K135" s="1502"/>
      <c r="L135" s="265"/>
    </row>
    <row r="136" spans="1:12">
      <c r="A136" s="81">
        <v>2002.07</v>
      </c>
      <c r="B136" s="699">
        <v>17.643613394902555</v>
      </c>
      <c r="C136" s="1500"/>
      <c r="D136" s="1501"/>
      <c r="E136" s="3685"/>
      <c r="F136" s="1501"/>
      <c r="G136" s="3685"/>
      <c r="H136" s="1501"/>
      <c r="I136" s="3685"/>
      <c r="J136" s="1501"/>
      <c r="K136" s="1502"/>
      <c r="L136" s="265"/>
    </row>
    <row r="137" spans="1:12">
      <c r="A137" s="81">
        <v>2002.08</v>
      </c>
      <c r="B137" s="699">
        <v>18.319342434223842</v>
      </c>
      <c r="C137" s="1500"/>
      <c r="D137" s="1501"/>
      <c r="E137" s="3685"/>
      <c r="F137" s="1501"/>
      <c r="G137" s="3685"/>
      <c r="H137" s="1501"/>
      <c r="I137" s="3685"/>
      <c r="J137" s="1501"/>
      <c r="K137" s="1502"/>
      <c r="L137" s="265"/>
    </row>
    <row r="138" spans="1:12">
      <c r="A138" s="81">
        <v>2002.09</v>
      </c>
      <c r="B138" s="699">
        <v>18.577661167473249</v>
      </c>
      <c r="C138" s="1500"/>
      <c r="D138" s="1501"/>
      <c r="E138" s="3685"/>
      <c r="F138" s="1501"/>
      <c r="G138" s="3685"/>
      <c r="H138" s="1501"/>
      <c r="I138" s="3685"/>
      <c r="J138" s="1501"/>
      <c r="K138" s="1502"/>
      <c r="L138" s="265"/>
    </row>
    <row r="139" spans="1:12">
      <c r="A139" s="81">
        <v>2002.1</v>
      </c>
      <c r="B139" s="699">
        <v>18.81512152552564</v>
      </c>
      <c r="C139" s="1500"/>
      <c r="D139" s="1501"/>
      <c r="E139" s="3685"/>
      <c r="F139" s="1501"/>
      <c r="G139" s="3685"/>
      <c r="H139" s="1501"/>
      <c r="I139" s="3685"/>
      <c r="J139" s="1501"/>
      <c r="K139" s="1502"/>
      <c r="L139" s="265"/>
    </row>
    <row r="140" spans="1:12">
      <c r="A140" s="81">
        <v>2002.11</v>
      </c>
      <c r="B140" s="699">
        <v>18.78764085658257</v>
      </c>
      <c r="C140" s="1500"/>
      <c r="D140" s="1501"/>
      <c r="E140" s="3685"/>
      <c r="F140" s="1501"/>
      <c r="G140" s="3685"/>
      <c r="H140" s="1501"/>
      <c r="I140" s="3685"/>
      <c r="J140" s="1501"/>
      <c r="K140" s="1502"/>
      <c r="L140" s="265"/>
    </row>
    <row r="141" spans="1:12">
      <c r="A141" s="81">
        <v>2002.12</v>
      </c>
      <c r="B141" s="699">
        <v>18.898856162877212</v>
      </c>
      <c r="C141" s="1500"/>
      <c r="D141" s="1501"/>
      <c r="E141" s="3685"/>
      <c r="F141" s="1501"/>
      <c r="G141" s="3685"/>
      <c r="H141" s="1501"/>
      <c r="I141" s="3685"/>
      <c r="J141" s="1501"/>
      <c r="K141" s="1502"/>
      <c r="L141" s="265"/>
    </row>
    <row r="142" spans="1:12">
      <c r="A142" s="81">
        <v>2003.01</v>
      </c>
      <c r="B142" s="699">
        <v>19.397058395074893</v>
      </c>
      <c r="C142" s="1500"/>
      <c r="D142" s="1501"/>
      <c r="E142" s="3685"/>
      <c r="F142" s="1501"/>
      <c r="G142" s="3685"/>
      <c r="H142" s="1501"/>
      <c r="I142" s="3685"/>
      <c r="J142" s="1501"/>
      <c r="K142" s="1502"/>
      <c r="L142" s="265"/>
    </row>
    <row r="143" spans="1:12">
      <c r="A143" s="81">
        <v>2003.02</v>
      </c>
      <c r="B143" s="699">
        <v>19.719181510814295</v>
      </c>
      <c r="C143" s="1500"/>
      <c r="D143" s="1501"/>
      <c r="E143" s="3685"/>
      <c r="F143" s="1501"/>
      <c r="G143" s="3685"/>
      <c r="H143" s="1501"/>
      <c r="I143" s="3685"/>
      <c r="J143" s="1501"/>
      <c r="K143" s="1502"/>
      <c r="L143" s="265"/>
    </row>
    <row r="144" spans="1:12">
      <c r="A144" s="81">
        <v>2003.03</v>
      </c>
      <c r="B144" s="699">
        <v>19.890623544215448</v>
      </c>
      <c r="C144" s="1500"/>
      <c r="D144" s="1501"/>
      <c r="E144" s="3685"/>
      <c r="F144" s="1501"/>
      <c r="G144" s="3685"/>
      <c r="H144" s="1501"/>
      <c r="I144" s="3685"/>
      <c r="J144" s="1501"/>
      <c r="K144" s="1502"/>
      <c r="L144" s="265"/>
    </row>
    <row r="145" spans="1:12">
      <c r="A145" s="81">
        <v>2003.04</v>
      </c>
      <c r="B145" s="699">
        <v>19.696456540245084</v>
      </c>
      <c r="C145" s="1500"/>
      <c r="D145" s="1501"/>
      <c r="E145" s="3685"/>
      <c r="F145" s="1501"/>
      <c r="G145" s="3685"/>
      <c r="H145" s="1501"/>
      <c r="I145" s="3685"/>
      <c r="J145" s="1501"/>
      <c r="K145" s="1502"/>
      <c r="L145" s="265"/>
    </row>
    <row r="146" spans="1:12">
      <c r="A146" s="81">
        <v>2003.05</v>
      </c>
      <c r="B146" s="699">
        <v>19.615957830262218</v>
      </c>
      <c r="C146" s="1500"/>
      <c r="D146" s="1501"/>
      <c r="E146" s="3685"/>
      <c r="F146" s="1501"/>
      <c r="G146" s="3685"/>
      <c r="H146" s="1501"/>
      <c r="I146" s="3685"/>
      <c r="J146" s="1501"/>
      <c r="K146" s="1502"/>
      <c r="L146" s="265"/>
    </row>
    <row r="147" spans="1:12">
      <c r="A147" s="81">
        <v>2003.06</v>
      </c>
      <c r="B147" s="699">
        <v>19.450655770860099</v>
      </c>
      <c r="C147" s="1500"/>
      <c r="D147" s="1501"/>
      <c r="E147" s="3685"/>
      <c r="F147" s="1501"/>
      <c r="G147" s="3685"/>
      <c r="H147" s="1501"/>
      <c r="I147" s="3685"/>
      <c r="J147" s="1501"/>
      <c r="K147" s="1502"/>
      <c r="L147" s="265"/>
    </row>
    <row r="148" spans="1:12">
      <c r="A148" s="81">
        <v>2003.07</v>
      </c>
      <c r="B148" s="699">
        <v>19.252432020473293</v>
      </c>
      <c r="C148" s="1500"/>
      <c r="D148" s="1501"/>
      <c r="E148" s="3685"/>
      <c r="F148" s="1501"/>
      <c r="G148" s="3685"/>
      <c r="H148" s="1501"/>
      <c r="I148" s="3685"/>
      <c r="J148" s="1501"/>
      <c r="K148" s="1502"/>
      <c r="L148" s="265"/>
    </row>
    <row r="149" spans="1:12">
      <c r="A149" s="81">
        <v>2003.08</v>
      </c>
      <c r="B149" s="699">
        <v>19.098570482827249</v>
      </c>
      <c r="C149" s="1500"/>
      <c r="D149" s="1501"/>
      <c r="E149" s="3685"/>
      <c r="F149" s="1501"/>
      <c r="G149" s="3685"/>
      <c r="H149" s="1501"/>
      <c r="I149" s="3685"/>
      <c r="J149" s="1501"/>
      <c r="K149" s="1502"/>
      <c r="L149" s="265"/>
    </row>
    <row r="150" spans="1:12">
      <c r="A150" s="81">
        <v>2003.09</v>
      </c>
      <c r="B150" s="699">
        <v>19.020012628413841</v>
      </c>
      <c r="C150" s="1500"/>
      <c r="D150" s="1501"/>
      <c r="E150" s="3685"/>
      <c r="F150" s="1501"/>
      <c r="G150" s="3685"/>
      <c r="H150" s="1501"/>
      <c r="I150" s="3685"/>
      <c r="J150" s="1501"/>
      <c r="K150" s="1502"/>
      <c r="L150" s="265"/>
    </row>
    <row r="151" spans="1:12">
      <c r="A151" s="81">
        <v>2003.1</v>
      </c>
      <c r="B151" s="699">
        <v>19.086612522098349</v>
      </c>
      <c r="C151" s="1500"/>
      <c r="D151" s="1501"/>
      <c r="E151" s="3685"/>
      <c r="F151" s="1501"/>
      <c r="G151" s="3685"/>
      <c r="H151" s="1501"/>
      <c r="I151" s="3685"/>
      <c r="J151" s="1501"/>
      <c r="K151" s="1502"/>
      <c r="L151" s="265"/>
    </row>
    <row r="152" spans="1:12">
      <c r="A152" s="81">
        <v>2003.11</v>
      </c>
      <c r="B152" s="699">
        <v>19.225894699916218</v>
      </c>
      <c r="C152" s="1500"/>
      <c r="D152" s="1501"/>
      <c r="E152" s="3685"/>
      <c r="F152" s="1501"/>
      <c r="G152" s="3685"/>
      <c r="H152" s="1501"/>
      <c r="I152" s="3685"/>
      <c r="J152" s="1501"/>
      <c r="K152" s="1502"/>
      <c r="L152" s="265"/>
    </row>
    <row r="153" spans="1:12">
      <c r="A153" s="81">
        <v>2003.12</v>
      </c>
      <c r="B153" s="699">
        <v>19.471699771918196</v>
      </c>
      <c r="C153" s="1500"/>
      <c r="D153" s="1501"/>
      <c r="E153" s="3685"/>
      <c r="F153" s="1501"/>
      <c r="G153" s="3685"/>
      <c r="H153" s="1501"/>
      <c r="I153" s="3685"/>
      <c r="J153" s="1501"/>
      <c r="K153" s="1502"/>
      <c r="L153" s="265"/>
    </row>
    <row r="154" spans="1:12">
      <c r="A154" s="81">
        <v>2004.01</v>
      </c>
      <c r="B154" s="699">
        <v>19.492646058850863</v>
      </c>
      <c r="C154" s="1500"/>
      <c r="D154" s="1501"/>
      <c r="E154" s="3685"/>
      <c r="F154" s="1501"/>
      <c r="G154" s="3685"/>
      <c r="H154" s="1501"/>
      <c r="I154" s="3685"/>
      <c r="J154" s="1501"/>
      <c r="K154" s="1502"/>
      <c r="L154" s="265"/>
    </row>
    <row r="155" spans="1:12">
      <c r="A155" s="81">
        <v>2004.02</v>
      </c>
      <c r="B155" s="699">
        <v>19.686204026685076</v>
      </c>
      <c r="C155" s="1500"/>
      <c r="D155" s="1501"/>
      <c r="E155" s="3685"/>
      <c r="F155" s="1501"/>
      <c r="G155" s="3685"/>
      <c r="H155" s="1501"/>
      <c r="I155" s="3685"/>
      <c r="J155" s="1501"/>
      <c r="K155" s="1502"/>
      <c r="L155" s="265"/>
    </row>
    <row r="156" spans="1:12">
      <c r="A156" s="81">
        <v>2004.03</v>
      </c>
      <c r="B156" s="699">
        <v>19.856469407130298</v>
      </c>
      <c r="C156" s="1500"/>
      <c r="D156" s="1501"/>
      <c r="E156" s="3685"/>
      <c r="F156" s="1501"/>
      <c r="G156" s="3685"/>
      <c r="H156" s="1501"/>
      <c r="I156" s="3685"/>
      <c r="J156" s="1501"/>
      <c r="K156" s="1502"/>
      <c r="L156" s="265"/>
    </row>
    <row r="157" spans="1:12">
      <c r="A157" s="81">
        <v>2004.04</v>
      </c>
      <c r="B157" s="699">
        <v>19.929153512275327</v>
      </c>
      <c r="C157" s="1500"/>
      <c r="D157" s="1501"/>
      <c r="E157" s="3685"/>
      <c r="F157" s="1501"/>
      <c r="G157" s="3685"/>
      <c r="H157" s="1501"/>
      <c r="I157" s="3685"/>
      <c r="J157" s="1501"/>
      <c r="K157" s="1502"/>
      <c r="L157" s="265"/>
    </row>
    <row r="158" spans="1:12">
      <c r="A158" s="81">
        <v>2004.05</v>
      </c>
      <c r="B158" s="699">
        <v>20.02016992419026</v>
      </c>
      <c r="C158" s="1500"/>
      <c r="D158" s="1501"/>
      <c r="E158" s="3685"/>
      <c r="F158" s="1501"/>
      <c r="G158" s="3685"/>
      <c r="H158" s="1501"/>
      <c r="I158" s="3685"/>
      <c r="J158" s="1501"/>
      <c r="K158" s="1502"/>
      <c r="L158" s="265"/>
    </row>
    <row r="159" spans="1:12">
      <c r="A159" s="81">
        <v>2004.06</v>
      </c>
      <c r="B159" s="699">
        <v>20.14610730226385</v>
      </c>
      <c r="C159" s="1500"/>
      <c r="D159" s="1501"/>
      <c r="E159" s="3685"/>
      <c r="F159" s="1501"/>
      <c r="G159" s="3685"/>
      <c r="H159" s="1501"/>
      <c r="I159" s="3685"/>
      <c r="J159" s="1501"/>
      <c r="K159" s="1502"/>
      <c r="L159" s="265"/>
    </row>
    <row r="160" spans="1:12">
      <c r="A160" s="81">
        <v>2004.07</v>
      </c>
      <c r="B160" s="699">
        <v>20.245417675280859</v>
      </c>
      <c r="C160" s="1500"/>
      <c r="D160" s="1501"/>
      <c r="E160" s="3685"/>
      <c r="F160" s="1501"/>
      <c r="G160" s="3685"/>
      <c r="H160" s="1501"/>
      <c r="I160" s="3685"/>
      <c r="J160" s="1501"/>
      <c r="K160" s="1502"/>
      <c r="L160" s="265"/>
    </row>
    <row r="161" spans="1:12">
      <c r="A161" s="81">
        <v>2004.08</v>
      </c>
      <c r="B161" s="699">
        <v>20.565933582209777</v>
      </c>
      <c r="C161" s="1500"/>
      <c r="D161" s="1501"/>
      <c r="E161" s="3685"/>
      <c r="F161" s="1501"/>
      <c r="G161" s="3685"/>
      <c r="H161" s="1501"/>
      <c r="I161" s="3685"/>
      <c r="J161" s="1501"/>
      <c r="K161" s="1502"/>
      <c r="L161" s="265"/>
    </row>
    <row r="162" spans="1:12">
      <c r="A162" s="81">
        <v>2004.09</v>
      </c>
      <c r="B162" s="699">
        <v>20.669869434893201</v>
      </c>
      <c r="C162" s="1500"/>
      <c r="D162" s="1501"/>
      <c r="E162" s="3685"/>
      <c r="F162" s="1501"/>
      <c r="G162" s="3685"/>
      <c r="H162" s="1501"/>
      <c r="I162" s="3685"/>
      <c r="J162" s="1501"/>
      <c r="K162" s="1502"/>
      <c r="L162" s="265"/>
    </row>
    <row r="163" spans="1:12">
      <c r="A163" s="81">
        <v>2004.1</v>
      </c>
      <c r="B163" s="699">
        <v>20.556058689557101</v>
      </c>
      <c r="C163" s="1500"/>
      <c r="D163" s="1501"/>
      <c r="E163" s="3685"/>
      <c r="F163" s="1501"/>
      <c r="G163" s="3685"/>
      <c r="H163" s="1501"/>
      <c r="I163" s="3685"/>
      <c r="J163" s="1501"/>
      <c r="K163" s="1502"/>
      <c r="L163" s="265"/>
    </row>
    <row r="164" spans="1:12">
      <c r="A164" s="81">
        <v>2004.11</v>
      </c>
      <c r="B164" s="699">
        <v>20.391921665006649</v>
      </c>
      <c r="C164" s="1500"/>
      <c r="D164" s="1501"/>
      <c r="E164" s="3685"/>
      <c r="F164" s="1501"/>
      <c r="G164" s="3685"/>
      <c r="H164" s="1501"/>
      <c r="I164" s="3685"/>
      <c r="J164" s="1501"/>
      <c r="K164" s="1502"/>
      <c r="L164" s="265"/>
    </row>
    <row r="165" spans="1:12">
      <c r="A165" s="81">
        <v>2004.12</v>
      </c>
      <c r="B165" s="699">
        <v>20.426251425069367</v>
      </c>
      <c r="C165" s="1500"/>
      <c r="D165" s="1501"/>
      <c r="E165" s="3685"/>
      <c r="F165" s="1501"/>
      <c r="G165" s="3685"/>
      <c r="H165" s="1501"/>
      <c r="I165" s="3685"/>
      <c r="J165" s="1501"/>
      <c r="K165" s="1502"/>
      <c r="L165" s="265"/>
    </row>
    <row r="166" spans="1:12">
      <c r="A166" s="81">
        <v>2005.01</v>
      </c>
      <c r="B166" s="699">
        <v>20.497117584640222</v>
      </c>
      <c r="C166" s="1500"/>
      <c r="D166" s="1501"/>
      <c r="E166" s="3685"/>
      <c r="F166" s="1501"/>
      <c r="G166" s="3685"/>
      <c r="H166" s="1501"/>
      <c r="I166" s="3685"/>
      <c r="J166" s="1501"/>
      <c r="K166" s="1502"/>
      <c r="L166" s="265"/>
    </row>
    <row r="167" spans="1:12">
      <c r="A167" s="81">
        <v>2005.02</v>
      </c>
      <c r="B167" s="699">
        <v>20.914463134190665</v>
      </c>
      <c r="C167" s="1500"/>
      <c r="D167" s="1501"/>
      <c r="E167" s="3685"/>
      <c r="F167" s="1501"/>
      <c r="G167" s="3685"/>
      <c r="H167" s="1501"/>
      <c r="I167" s="3685"/>
      <c r="J167" s="1501"/>
      <c r="K167" s="1502"/>
      <c r="L167" s="265"/>
    </row>
    <row r="168" spans="1:12">
      <c r="A168" s="81">
        <v>2005.03</v>
      </c>
      <c r="B168" s="699">
        <v>21.487103597799955</v>
      </c>
      <c r="C168" s="1500"/>
      <c r="D168" s="1501"/>
      <c r="E168" s="3685"/>
      <c r="F168" s="1501"/>
      <c r="G168" s="3685"/>
      <c r="H168" s="1501"/>
      <c r="I168" s="3685"/>
      <c r="J168" s="1501"/>
      <c r="K168" s="1502"/>
      <c r="L168" s="265"/>
    </row>
    <row r="169" spans="1:12">
      <c r="A169" s="81">
        <v>2005.04</v>
      </c>
      <c r="B169" s="699">
        <v>21.552195897890812</v>
      </c>
      <c r="C169" s="1500"/>
      <c r="D169" s="1501"/>
      <c r="E169" s="3685"/>
      <c r="F169" s="1501"/>
      <c r="G169" s="3685"/>
      <c r="H169" s="1501"/>
      <c r="I169" s="3685"/>
      <c r="J169" s="1501"/>
      <c r="K169" s="1502"/>
      <c r="L169" s="265"/>
    </row>
    <row r="170" spans="1:12">
      <c r="A170" s="81">
        <v>2005.05</v>
      </c>
      <c r="B170" s="699">
        <v>21.447195572610667</v>
      </c>
      <c r="C170" s="1500"/>
      <c r="D170" s="1501"/>
      <c r="E170" s="3685"/>
      <c r="F170" s="1501"/>
      <c r="G170" s="3685"/>
      <c r="H170" s="1501"/>
      <c r="I170" s="3685"/>
      <c r="J170" s="1501"/>
      <c r="K170" s="1502"/>
      <c r="L170" s="265"/>
    </row>
    <row r="171" spans="1:12">
      <c r="A171" s="81">
        <v>2005.06</v>
      </c>
      <c r="B171" s="699">
        <v>21.560438426808055</v>
      </c>
      <c r="C171" s="1500"/>
      <c r="D171" s="1501"/>
      <c r="E171" s="3685"/>
      <c r="F171" s="1501"/>
      <c r="G171" s="3685"/>
      <c r="H171" s="1501"/>
      <c r="I171" s="3685"/>
      <c r="J171" s="1501"/>
      <c r="K171" s="1502"/>
      <c r="L171" s="265"/>
    </row>
    <row r="172" spans="1:12">
      <c r="A172" s="81">
        <v>2005.07</v>
      </c>
      <c r="B172" s="699">
        <v>21.856117073290431</v>
      </c>
      <c r="C172" s="1500"/>
      <c r="D172" s="1501"/>
      <c r="E172" s="3685"/>
      <c r="F172" s="1501"/>
      <c r="G172" s="3685"/>
      <c r="H172" s="1501"/>
      <c r="I172" s="3685"/>
      <c r="J172" s="1501"/>
      <c r="K172" s="1502"/>
      <c r="L172" s="265"/>
    </row>
    <row r="173" spans="1:12">
      <c r="A173" s="81">
        <v>2005.08</v>
      </c>
      <c r="B173" s="699">
        <v>22.138620647499852</v>
      </c>
      <c r="C173" s="1500"/>
      <c r="D173" s="1501"/>
      <c r="E173" s="3685"/>
      <c r="F173" s="1501"/>
      <c r="G173" s="3685"/>
      <c r="H173" s="1501"/>
      <c r="I173" s="3685"/>
      <c r="J173" s="1501"/>
      <c r="K173" s="1502"/>
      <c r="L173" s="265"/>
    </row>
    <row r="174" spans="1:12">
      <c r="A174" s="81">
        <v>2005.09</v>
      </c>
      <c r="B174" s="699">
        <v>22.360793097572273</v>
      </c>
      <c r="C174" s="1500"/>
      <c r="D174" s="1501"/>
      <c r="E174" s="3685"/>
      <c r="F174" s="1501"/>
      <c r="G174" s="3685"/>
      <c r="H174" s="1501"/>
      <c r="I174" s="3685"/>
      <c r="J174" s="1501"/>
      <c r="K174" s="1502"/>
      <c r="L174" s="265"/>
    </row>
    <row r="175" spans="1:12">
      <c r="A175" s="81">
        <v>2005.1</v>
      </c>
      <c r="B175" s="699">
        <v>22.448949856335187</v>
      </c>
      <c r="C175" s="1500"/>
      <c r="D175" s="1501"/>
      <c r="E175" s="3685"/>
      <c r="F175" s="1501"/>
      <c r="G175" s="3685"/>
      <c r="H175" s="1501"/>
      <c r="I175" s="3685"/>
      <c r="J175" s="1501"/>
      <c r="K175" s="1502"/>
      <c r="L175" s="265"/>
    </row>
    <row r="176" spans="1:12">
      <c r="A176" s="81">
        <v>2005.11</v>
      </c>
      <c r="B176" s="699">
        <v>22.71038650477341</v>
      </c>
      <c r="C176" s="1500"/>
      <c r="D176" s="1501"/>
      <c r="E176" s="3685"/>
      <c r="F176" s="1501"/>
      <c r="G176" s="3685"/>
      <c r="H176" s="1501"/>
      <c r="I176" s="3685"/>
      <c r="J176" s="1501"/>
      <c r="K176" s="1502"/>
      <c r="L176" s="265"/>
    </row>
    <row r="177" spans="1:12">
      <c r="A177" s="81">
        <v>2005.12</v>
      </c>
      <c r="B177" s="699">
        <v>22.88147372323666</v>
      </c>
      <c r="C177" s="1500"/>
      <c r="D177" s="1501"/>
      <c r="E177" s="3685"/>
      <c r="F177" s="1501"/>
      <c r="G177" s="3685"/>
      <c r="H177" s="1501"/>
      <c r="I177" s="3685"/>
      <c r="J177" s="1501"/>
      <c r="K177" s="1502"/>
      <c r="L177" s="265"/>
    </row>
    <row r="178" spans="1:12">
      <c r="A178" s="81">
        <v>2006.01</v>
      </c>
      <c r="B178" s="699">
        <v>23.417803318194487</v>
      </c>
      <c r="C178" s="1500"/>
      <c r="D178" s="1501"/>
      <c r="E178" s="3685"/>
      <c r="F178" s="1501"/>
      <c r="G178" s="3685"/>
      <c r="H178" s="1501"/>
      <c r="I178" s="3685"/>
      <c r="J178" s="1501"/>
      <c r="K178" s="1502"/>
      <c r="L178" s="265"/>
    </row>
    <row r="179" spans="1:12">
      <c r="A179" s="81">
        <v>2006.02</v>
      </c>
      <c r="B179" s="699">
        <v>23.452405227546606</v>
      </c>
      <c r="C179" s="1500"/>
      <c r="D179" s="1501"/>
      <c r="E179" s="3685"/>
      <c r="F179" s="1501"/>
      <c r="G179" s="3685"/>
      <c r="H179" s="1501"/>
      <c r="I179" s="3685"/>
      <c r="J179" s="1501"/>
      <c r="K179" s="1502"/>
      <c r="L179" s="265"/>
    </row>
    <row r="180" spans="1:12">
      <c r="A180" s="81">
        <v>2006.03</v>
      </c>
      <c r="B180" s="699">
        <v>23.654249698767295</v>
      </c>
      <c r="C180" s="1500"/>
      <c r="D180" s="1501"/>
      <c r="E180" s="3685"/>
      <c r="F180" s="1501"/>
      <c r="G180" s="3685"/>
      <c r="H180" s="1501"/>
      <c r="I180" s="3685"/>
      <c r="J180" s="1501"/>
      <c r="K180" s="1502"/>
      <c r="L180" s="265"/>
    </row>
    <row r="181" spans="1:12">
      <c r="A181" s="81">
        <v>2006.04</v>
      </c>
      <c r="B181" s="699">
        <v>23.904152377421479</v>
      </c>
      <c r="C181" s="1500"/>
      <c r="D181" s="1501"/>
      <c r="E181" s="3685"/>
      <c r="F181" s="1501"/>
      <c r="G181" s="3685"/>
      <c r="H181" s="1501"/>
      <c r="I181" s="3685"/>
      <c r="J181" s="1501"/>
      <c r="K181" s="1502"/>
      <c r="L181" s="265"/>
    </row>
    <row r="182" spans="1:12">
      <c r="A182" s="81">
        <v>2006.05</v>
      </c>
      <c r="B182" s="699">
        <v>24.002191120585813</v>
      </c>
      <c r="C182" s="1500"/>
      <c r="D182" s="1501"/>
      <c r="E182" s="3685"/>
      <c r="F182" s="1501"/>
      <c r="G182" s="3685"/>
      <c r="H182" s="1501"/>
      <c r="I182" s="3685"/>
      <c r="J182" s="1501"/>
      <c r="K182" s="1502"/>
      <c r="L182" s="265"/>
    </row>
    <row r="183" spans="1:12">
      <c r="A183" s="81">
        <v>2006.06</v>
      </c>
      <c r="B183" s="699">
        <v>24.050249328019309</v>
      </c>
      <c r="C183" s="1500"/>
      <c r="D183" s="1501"/>
      <c r="E183" s="3685"/>
      <c r="F183" s="1501"/>
      <c r="G183" s="3685"/>
      <c r="H183" s="1501"/>
      <c r="I183" s="3685"/>
      <c r="J183" s="1501"/>
      <c r="K183" s="1502"/>
      <c r="L183" s="265"/>
    </row>
    <row r="184" spans="1:12">
      <c r="A184" s="81">
        <v>2006.07</v>
      </c>
      <c r="B184" s="699">
        <v>24.125220131615563</v>
      </c>
      <c r="C184" s="1500"/>
      <c r="D184" s="1501"/>
      <c r="E184" s="3685"/>
      <c r="F184" s="1501"/>
      <c r="G184" s="3685"/>
      <c r="H184" s="1501"/>
      <c r="I184" s="3685"/>
      <c r="J184" s="1501"/>
      <c r="K184" s="1502"/>
      <c r="L184" s="265"/>
    </row>
    <row r="185" spans="1:12">
      <c r="A185" s="81">
        <v>2006.08</v>
      </c>
      <c r="B185" s="699">
        <v>24.265550097321377</v>
      </c>
      <c r="C185" s="1500"/>
      <c r="D185" s="1501"/>
      <c r="E185" s="3685"/>
      <c r="F185" s="1501"/>
      <c r="G185" s="3685"/>
      <c r="H185" s="1501"/>
      <c r="I185" s="3685"/>
      <c r="J185" s="1501"/>
      <c r="K185" s="1502"/>
      <c r="L185" s="265"/>
    </row>
    <row r="186" spans="1:12">
      <c r="A186" s="81">
        <v>2006.09</v>
      </c>
      <c r="B186" s="699">
        <v>24.434714987487286</v>
      </c>
      <c r="C186" s="1500"/>
      <c r="D186" s="1501"/>
      <c r="E186" s="3685"/>
      <c r="F186" s="1501"/>
      <c r="G186" s="3685"/>
      <c r="H186" s="1501"/>
      <c r="I186" s="3685"/>
      <c r="J186" s="1501"/>
      <c r="K186" s="1502"/>
      <c r="L186" s="265"/>
    </row>
    <row r="187" spans="1:12">
      <c r="A187" s="81">
        <v>2006.1</v>
      </c>
      <c r="B187" s="699">
        <v>24.790345722495164</v>
      </c>
      <c r="C187" s="1500"/>
      <c r="D187" s="1501"/>
      <c r="E187" s="3685"/>
      <c r="F187" s="1501"/>
      <c r="G187" s="3685"/>
      <c r="H187" s="1501"/>
      <c r="I187" s="3685"/>
      <c r="J187" s="1501"/>
      <c r="K187" s="1502"/>
      <c r="L187" s="265"/>
    </row>
    <row r="188" spans="1:12">
      <c r="A188" s="81">
        <v>2006.11</v>
      </c>
      <c r="B188" s="699">
        <v>25.042170729446688</v>
      </c>
      <c r="C188" s="1500"/>
      <c r="D188" s="1501"/>
      <c r="E188" s="3685"/>
      <c r="F188" s="1501"/>
      <c r="G188" s="3685"/>
      <c r="H188" s="1501"/>
      <c r="I188" s="3685"/>
      <c r="J188" s="1501"/>
      <c r="K188" s="1502"/>
      <c r="L188" s="265"/>
    </row>
    <row r="189" spans="1:12">
      <c r="A189" s="81">
        <v>2006.12</v>
      </c>
      <c r="B189" s="699">
        <v>25.342053943831708</v>
      </c>
      <c r="C189" s="1500"/>
      <c r="D189" s="1501"/>
      <c r="E189" s="3685"/>
      <c r="F189" s="1501"/>
      <c r="G189" s="3685"/>
      <c r="H189" s="1501"/>
      <c r="I189" s="3685"/>
      <c r="J189" s="1501"/>
      <c r="K189" s="1502"/>
      <c r="L189" s="265"/>
    </row>
    <row r="190" spans="1:12">
      <c r="A190" s="81">
        <v>2007.01</v>
      </c>
      <c r="B190" s="699">
        <v>25.665005097784807</v>
      </c>
      <c r="C190" s="1500"/>
      <c r="D190" s="1501"/>
      <c r="E190" s="3685"/>
      <c r="F190" s="1501"/>
      <c r="G190" s="3685"/>
      <c r="H190" s="1501"/>
      <c r="I190" s="3685"/>
      <c r="J190" s="1501"/>
      <c r="K190" s="1502"/>
      <c r="L190" s="265"/>
    </row>
    <row r="191" spans="1:12">
      <c r="A191" s="81">
        <v>2007.02</v>
      </c>
      <c r="B191" s="699">
        <v>25.884150523681555</v>
      </c>
      <c r="C191" s="1500"/>
      <c r="D191" s="1501"/>
      <c r="E191" s="3685"/>
      <c r="F191" s="1501"/>
      <c r="G191" s="3685"/>
      <c r="H191" s="1501"/>
      <c r="I191" s="3685"/>
      <c r="J191" s="1501"/>
      <c r="K191" s="1502"/>
      <c r="L191" s="265"/>
    </row>
    <row r="192" spans="1:12">
      <c r="A192" s="81">
        <v>2007.03</v>
      </c>
      <c r="B192" s="699">
        <v>26.24170358698677</v>
      </c>
      <c r="C192" s="1500"/>
      <c r="D192" s="1501"/>
      <c r="E192" s="3685"/>
      <c r="F192" s="1501"/>
      <c r="G192" s="3685"/>
      <c r="H192" s="1501"/>
      <c r="I192" s="3685"/>
      <c r="J192" s="1501"/>
      <c r="K192" s="1502"/>
      <c r="L192" s="265"/>
    </row>
    <row r="193" spans="1:12">
      <c r="A193" s="81">
        <v>2007.04</v>
      </c>
      <c r="B193" s="699">
        <v>26.699217721753659</v>
      </c>
      <c r="C193" s="1500"/>
      <c r="D193" s="1501"/>
      <c r="E193" s="3685"/>
      <c r="F193" s="1501"/>
      <c r="G193" s="3685"/>
      <c r="H193" s="1501"/>
      <c r="I193" s="3685"/>
      <c r="J193" s="1501"/>
      <c r="K193" s="1502"/>
      <c r="L193" s="265"/>
    </row>
    <row r="194" spans="1:12">
      <c r="A194" s="81">
        <v>2007.05</v>
      </c>
      <c r="B194" s="699">
        <v>26.893372879784991</v>
      </c>
      <c r="C194" s="1500"/>
      <c r="D194" s="1501"/>
      <c r="E194" s="3685"/>
      <c r="F194" s="1501"/>
      <c r="G194" s="3685"/>
      <c r="H194" s="1501"/>
      <c r="I194" s="3685"/>
      <c r="J194" s="1501"/>
      <c r="K194" s="1502"/>
      <c r="L194" s="265"/>
    </row>
    <row r="195" spans="1:12">
      <c r="A195" s="81">
        <v>2007.06</v>
      </c>
      <c r="B195" s="699">
        <v>27.120207618871099</v>
      </c>
      <c r="C195" s="1500"/>
      <c r="D195" s="1501"/>
      <c r="E195" s="3685"/>
      <c r="F195" s="1501"/>
      <c r="G195" s="3685"/>
      <c r="H195" s="1501"/>
      <c r="I195" s="3685"/>
      <c r="J195" s="1501"/>
      <c r="K195" s="1502"/>
      <c r="L195" s="265"/>
    </row>
    <row r="196" spans="1:12">
      <c r="A196" s="81">
        <v>2007.07</v>
      </c>
      <c r="B196" s="699">
        <v>27.379721939011983</v>
      </c>
      <c r="C196" s="1500"/>
      <c r="D196" s="1501"/>
      <c r="E196" s="3685"/>
      <c r="F196" s="1501"/>
      <c r="G196" s="3685"/>
      <c r="H196" s="1501"/>
      <c r="I196" s="3685"/>
      <c r="J196" s="1501"/>
      <c r="K196" s="1502"/>
      <c r="L196" s="265"/>
    </row>
    <row r="197" spans="1:12">
      <c r="A197" s="81">
        <v>2007.08</v>
      </c>
      <c r="B197" s="699">
        <v>27.677682825099662</v>
      </c>
      <c r="C197" s="1500"/>
      <c r="D197" s="1501"/>
      <c r="E197" s="3685"/>
      <c r="F197" s="1501"/>
      <c r="G197" s="3685"/>
      <c r="H197" s="1501"/>
      <c r="I197" s="3685"/>
      <c r="J197" s="1501"/>
      <c r="K197" s="1502"/>
      <c r="L197" s="265"/>
    </row>
    <row r="198" spans="1:12">
      <c r="A198" s="81">
        <v>2007.09</v>
      </c>
      <c r="B198" s="699">
        <v>27.958342756511289</v>
      </c>
      <c r="C198" s="1500"/>
      <c r="D198" s="1501"/>
      <c r="E198" s="3685"/>
      <c r="F198" s="1501"/>
      <c r="G198" s="3685"/>
      <c r="H198" s="1501"/>
      <c r="I198" s="3685"/>
      <c r="J198" s="1501"/>
      <c r="K198" s="1502"/>
      <c r="L198" s="265"/>
    </row>
    <row r="199" spans="1:12">
      <c r="A199" s="81">
        <v>2007.1</v>
      </c>
      <c r="B199" s="699">
        <v>28.227468718138873</v>
      </c>
      <c r="C199" s="1500"/>
      <c r="D199" s="1501"/>
      <c r="E199" s="3685"/>
      <c r="F199" s="1501"/>
      <c r="G199" s="3685"/>
      <c r="H199" s="1501"/>
      <c r="I199" s="3685"/>
      <c r="J199" s="1501"/>
      <c r="K199" s="1502"/>
      <c r="L199" s="265"/>
    </row>
    <row r="200" spans="1:12">
      <c r="A200" s="81">
        <v>2007.11</v>
      </c>
      <c r="B200" s="699">
        <v>28.089061080730399</v>
      </c>
      <c r="C200" s="1500"/>
      <c r="D200" s="1501"/>
      <c r="E200" s="3685"/>
      <c r="F200" s="1501"/>
      <c r="G200" s="3685"/>
      <c r="H200" s="1501"/>
      <c r="I200" s="3685"/>
      <c r="J200" s="1501"/>
      <c r="K200" s="1502"/>
      <c r="L200" s="265"/>
    </row>
    <row r="201" spans="1:12">
      <c r="A201" s="81">
        <v>2007.12</v>
      </c>
      <c r="B201" s="699">
        <v>28.506206321253149</v>
      </c>
      <c r="C201" s="1500"/>
      <c r="D201" s="1501"/>
      <c r="E201" s="3685"/>
      <c r="F201" s="1501"/>
      <c r="G201" s="3685"/>
      <c r="H201" s="1501"/>
      <c r="I201" s="3685"/>
      <c r="J201" s="1501"/>
      <c r="K201" s="1502"/>
      <c r="L201" s="265"/>
    </row>
    <row r="202" spans="1:12">
      <c r="A202" s="81">
        <v>2008.01</v>
      </c>
      <c r="B202" s="699">
        <v>28.890671980721123</v>
      </c>
      <c r="C202" s="1500"/>
      <c r="D202" s="1501"/>
      <c r="E202" s="3685"/>
      <c r="F202" s="1501"/>
      <c r="G202" s="3685"/>
      <c r="H202" s="1501"/>
      <c r="I202" s="3685"/>
      <c r="J202" s="1501"/>
      <c r="K202" s="1502"/>
      <c r="L202" s="265"/>
    </row>
    <row r="203" spans="1:12">
      <c r="A203" s="81">
        <v>2008.02</v>
      </c>
      <c r="B203" s="699">
        <v>29.284749281675804</v>
      </c>
      <c r="C203" s="1500"/>
      <c r="D203" s="1501"/>
      <c r="E203" s="3685"/>
      <c r="F203" s="1501"/>
      <c r="G203" s="3685"/>
      <c r="H203" s="1501"/>
      <c r="I203" s="3685"/>
      <c r="J203" s="1501"/>
      <c r="K203" s="1502"/>
      <c r="L203" s="265"/>
    </row>
    <row r="204" spans="1:12">
      <c r="A204" s="81">
        <v>2008.03</v>
      </c>
      <c r="B204" s="699">
        <v>30.528495690054708</v>
      </c>
      <c r="C204" s="1500"/>
      <c r="D204" s="1501"/>
      <c r="E204" s="3685"/>
      <c r="F204" s="1501"/>
      <c r="G204" s="3685"/>
      <c r="H204" s="1501"/>
      <c r="I204" s="3685"/>
      <c r="J204" s="1501"/>
      <c r="K204" s="1502"/>
      <c r="L204" s="265"/>
    </row>
    <row r="205" spans="1:12">
      <c r="A205" s="81">
        <v>2008.04</v>
      </c>
      <c r="B205" s="699">
        <v>31.58385392529431</v>
      </c>
      <c r="C205" s="1500"/>
      <c r="D205" s="1501"/>
      <c r="E205" s="3685"/>
      <c r="F205" s="1501"/>
      <c r="G205" s="3685"/>
      <c r="H205" s="1501"/>
      <c r="I205" s="3685"/>
      <c r="J205" s="1501"/>
      <c r="K205" s="1502"/>
      <c r="L205" s="265"/>
    </row>
    <row r="206" spans="1:12">
      <c r="A206" s="81">
        <v>2008.05</v>
      </c>
      <c r="B206" s="699">
        <v>32.129795161738834</v>
      </c>
      <c r="C206" s="1500"/>
      <c r="D206" s="1501"/>
      <c r="E206" s="3685"/>
      <c r="F206" s="1501"/>
      <c r="G206" s="3685"/>
      <c r="H206" s="1501"/>
      <c r="I206" s="3685"/>
      <c r="J206" s="1501"/>
      <c r="K206" s="1502"/>
      <c r="L206" s="265"/>
    </row>
    <row r="207" spans="1:12">
      <c r="A207" s="81">
        <v>2008.06</v>
      </c>
      <c r="B207" s="699">
        <v>32.83144499026789</v>
      </c>
      <c r="C207" s="1500"/>
      <c r="D207" s="1501"/>
      <c r="E207" s="3685"/>
      <c r="F207" s="1501"/>
      <c r="G207" s="3685"/>
      <c r="H207" s="1501"/>
      <c r="I207" s="3685"/>
      <c r="J207" s="1501"/>
      <c r="K207" s="1502"/>
      <c r="L207" s="265"/>
    </row>
    <row r="208" spans="1:12">
      <c r="A208" s="81">
        <v>2008.07</v>
      </c>
      <c r="B208" s="699">
        <v>33.325483362684245</v>
      </c>
      <c r="C208" s="1500"/>
      <c r="D208" s="1501"/>
      <c r="E208" s="3685"/>
      <c r="F208" s="1501"/>
      <c r="G208" s="3685"/>
      <c r="H208" s="1501"/>
      <c r="I208" s="3685"/>
      <c r="J208" s="1501"/>
      <c r="K208" s="1502"/>
      <c r="L208" s="265"/>
    </row>
    <row r="209" spans="1:12">
      <c r="A209" s="81">
        <v>2008.08</v>
      </c>
      <c r="B209" s="699">
        <v>33.650356844934684</v>
      </c>
      <c r="C209" s="1500"/>
      <c r="D209" s="1501"/>
      <c r="E209" s="3685"/>
      <c r="F209" s="1501"/>
      <c r="G209" s="3685"/>
      <c r="H209" s="1501"/>
      <c r="I209" s="3685"/>
      <c r="J209" s="1501"/>
      <c r="K209" s="1502"/>
      <c r="L209" s="265"/>
    </row>
    <row r="210" spans="1:12">
      <c r="A210" s="81">
        <v>2008.09</v>
      </c>
      <c r="B210" s="699">
        <v>34.223210677541971</v>
      </c>
      <c r="C210" s="1500"/>
      <c r="D210" s="1501"/>
      <c r="E210" s="3685"/>
      <c r="F210" s="1501"/>
      <c r="G210" s="3685"/>
      <c r="H210" s="1501"/>
      <c r="I210" s="3685"/>
      <c r="J210" s="1501"/>
      <c r="K210" s="1502"/>
      <c r="L210" s="265"/>
    </row>
    <row r="211" spans="1:12">
      <c r="A211" s="81">
        <v>2008.1</v>
      </c>
      <c r="B211" s="699">
        <v>34.455812401520099</v>
      </c>
      <c r="C211" s="1500"/>
      <c r="D211" s="1501"/>
      <c r="E211" s="3685"/>
      <c r="F211" s="1501"/>
      <c r="G211" s="3685"/>
      <c r="H211" s="1501"/>
      <c r="I211" s="3685"/>
      <c r="J211" s="1501"/>
      <c r="K211" s="1502"/>
      <c r="L211" s="265"/>
    </row>
    <row r="212" spans="1:12">
      <c r="A212" s="81">
        <v>2008.11</v>
      </c>
      <c r="B212" s="699">
        <v>34.755695615905118</v>
      </c>
      <c r="C212" s="1500"/>
      <c r="D212" s="1501"/>
      <c r="E212" s="3685"/>
      <c r="F212" s="1501"/>
      <c r="G212" s="3685"/>
      <c r="H212" s="1501"/>
      <c r="I212" s="3685"/>
      <c r="J212" s="1501"/>
      <c r="K212" s="1502"/>
      <c r="L212" s="265"/>
    </row>
    <row r="213" spans="1:12">
      <c r="A213" s="81">
        <v>2008.12</v>
      </c>
      <c r="B213" s="699">
        <v>34.919093521179008</v>
      </c>
      <c r="C213" s="1500"/>
      <c r="D213" s="1501"/>
      <c r="E213" s="3685"/>
      <c r="F213" s="1501"/>
      <c r="G213" s="3685"/>
      <c r="H213" s="1501"/>
      <c r="I213" s="3685"/>
      <c r="J213" s="1501"/>
      <c r="K213" s="1502"/>
      <c r="L213" s="265"/>
    </row>
    <row r="214" spans="1:12">
      <c r="A214" s="81">
        <f t="shared" ref="A214:A277" si="0">A202+1</f>
        <v>2009.01</v>
      </c>
      <c r="B214" s="699">
        <v>35.193986467698615</v>
      </c>
      <c r="C214" s="1500"/>
      <c r="D214" s="1501"/>
      <c r="E214" s="3685"/>
      <c r="F214" s="1501"/>
      <c r="G214" s="3685"/>
      <c r="H214" s="1501"/>
      <c r="I214" s="3685"/>
      <c r="J214" s="1501"/>
      <c r="K214" s="1502"/>
      <c r="L214" s="265"/>
    </row>
    <row r="215" spans="1:12">
      <c r="A215" s="81">
        <f t="shared" si="0"/>
        <v>2009.02</v>
      </c>
      <c r="B215" s="699">
        <v>35.313170822133685</v>
      </c>
      <c r="C215" s="1500"/>
      <c r="D215" s="1501"/>
      <c r="E215" s="3685"/>
      <c r="F215" s="1501"/>
      <c r="G215" s="3685"/>
      <c r="H215" s="1501"/>
      <c r="I215" s="3685"/>
      <c r="J215" s="1501"/>
      <c r="K215" s="1502"/>
      <c r="L215" s="265"/>
    </row>
    <row r="216" spans="1:12">
      <c r="A216" s="81">
        <f t="shared" si="0"/>
        <v>2009.03</v>
      </c>
      <c r="B216" s="699">
        <v>35.891791639632991</v>
      </c>
      <c r="C216" s="1500"/>
      <c r="D216" s="1501"/>
      <c r="E216" s="3685"/>
      <c r="F216" s="1501"/>
      <c r="G216" s="3685"/>
      <c r="H216" s="1501"/>
      <c r="I216" s="3685"/>
      <c r="J216" s="1501"/>
      <c r="K216" s="1502"/>
      <c r="L216" s="265"/>
    </row>
    <row r="217" spans="1:12">
      <c r="A217" s="81">
        <f t="shared" si="0"/>
        <v>2009.04</v>
      </c>
      <c r="B217" s="699">
        <v>36.48963574010569</v>
      </c>
      <c r="C217" s="1500"/>
      <c r="D217" s="1501"/>
      <c r="E217" s="3685"/>
      <c r="F217" s="1501"/>
      <c r="G217" s="3685"/>
      <c r="H217" s="1501"/>
      <c r="I217" s="3685"/>
      <c r="J217" s="1501"/>
      <c r="K217" s="1502"/>
      <c r="L217" s="265"/>
    </row>
    <row r="218" spans="1:12">
      <c r="A218" s="81">
        <f t="shared" si="0"/>
        <v>2009.05</v>
      </c>
      <c r="B218" s="699">
        <v>36.691480211326379</v>
      </c>
      <c r="C218" s="1500"/>
      <c r="D218" s="1501"/>
      <c r="E218" s="3685"/>
      <c r="F218" s="1501"/>
      <c r="G218" s="3685"/>
      <c r="H218" s="1501"/>
      <c r="I218" s="3685"/>
      <c r="J218" s="1501"/>
      <c r="K218" s="1502"/>
      <c r="L218" s="265"/>
    </row>
    <row r="219" spans="1:12">
      <c r="A219" s="81">
        <f t="shared" si="0"/>
        <v>2009.06</v>
      </c>
      <c r="B219" s="699">
        <v>36.829887848734849</v>
      </c>
      <c r="C219" s="1500"/>
      <c r="D219" s="1501"/>
      <c r="E219" s="3685"/>
      <c r="F219" s="1501"/>
      <c r="G219" s="3685"/>
      <c r="H219" s="1501"/>
      <c r="I219" s="3685"/>
      <c r="J219" s="1501"/>
      <c r="K219" s="1502"/>
      <c r="L219" s="265"/>
    </row>
    <row r="220" spans="1:12">
      <c r="A220" s="81">
        <f t="shared" si="0"/>
        <v>2009.07</v>
      </c>
      <c r="B220" s="699">
        <v>37.106703123551789</v>
      </c>
      <c r="C220" s="1500"/>
      <c r="D220" s="1501"/>
      <c r="E220" s="3685"/>
      <c r="F220" s="1501"/>
      <c r="G220" s="3685"/>
      <c r="H220" s="1501"/>
      <c r="I220" s="3685"/>
      <c r="J220" s="1501"/>
      <c r="K220" s="1502"/>
      <c r="L220" s="265"/>
    </row>
    <row r="221" spans="1:12">
      <c r="A221" s="81">
        <f t="shared" si="0"/>
        <v>2009.08</v>
      </c>
      <c r="B221" s="699">
        <v>37.654566688293656</v>
      </c>
      <c r="C221" s="1500"/>
      <c r="D221" s="1501"/>
      <c r="E221" s="3685"/>
      <c r="F221" s="1501"/>
      <c r="G221" s="3685"/>
      <c r="H221" s="1501"/>
      <c r="I221" s="3685"/>
      <c r="J221" s="1501"/>
      <c r="K221" s="1502"/>
      <c r="L221" s="265"/>
    </row>
    <row r="222" spans="1:12">
      <c r="A222" s="81">
        <f t="shared" si="0"/>
        <v>2009.09</v>
      </c>
      <c r="B222" s="699">
        <v>37.962139215868035</v>
      </c>
      <c r="C222" s="1500"/>
      <c r="D222" s="1501"/>
      <c r="E222" s="3685"/>
      <c r="F222" s="1501"/>
      <c r="G222" s="3685"/>
      <c r="H222" s="1501"/>
      <c r="I222" s="3685"/>
      <c r="J222" s="1501"/>
      <c r="K222" s="1502"/>
      <c r="L222" s="265"/>
    </row>
    <row r="223" spans="1:12">
      <c r="A223" s="81">
        <f t="shared" si="0"/>
        <v>2009.1</v>
      </c>
      <c r="B223" s="699">
        <v>38.502313467420542</v>
      </c>
      <c r="C223" s="1500"/>
      <c r="D223" s="1501"/>
      <c r="E223" s="3685"/>
      <c r="F223" s="1501"/>
      <c r="G223" s="3685"/>
      <c r="H223" s="1501"/>
      <c r="I223" s="3685"/>
      <c r="J223" s="1501"/>
      <c r="K223" s="1502"/>
      <c r="L223" s="265"/>
    </row>
    <row r="224" spans="1:12">
      <c r="A224" s="81">
        <f t="shared" si="0"/>
        <v>2009.11</v>
      </c>
      <c r="B224" s="699">
        <v>39.02903142089167</v>
      </c>
      <c r="C224" s="1500"/>
      <c r="D224" s="1501"/>
      <c r="E224" s="3685"/>
      <c r="F224" s="1501"/>
      <c r="G224" s="3685"/>
      <c r="H224" s="1501"/>
      <c r="I224" s="3685"/>
      <c r="J224" s="1501"/>
      <c r="K224" s="1502"/>
      <c r="L224" s="265"/>
    </row>
    <row r="225" spans="1:12">
      <c r="A225" s="81">
        <f t="shared" si="0"/>
        <v>2009.12</v>
      </c>
      <c r="B225" s="699">
        <v>39.903690796181316</v>
      </c>
      <c r="C225" s="1500"/>
      <c r="D225" s="1501"/>
      <c r="E225" s="3685"/>
      <c r="F225" s="1501"/>
      <c r="G225" s="3685"/>
      <c r="H225" s="1501"/>
      <c r="I225" s="3685"/>
      <c r="J225" s="1501"/>
      <c r="K225" s="1502"/>
      <c r="L225" s="265"/>
    </row>
    <row r="226" spans="1:12">
      <c r="A226" s="81">
        <f t="shared" si="0"/>
        <v>2010.01</v>
      </c>
      <c r="B226" s="699">
        <v>40.880233571229972</v>
      </c>
      <c r="C226" s="1500"/>
      <c r="D226" s="1501"/>
      <c r="E226" s="3685"/>
      <c r="F226" s="1501"/>
      <c r="G226" s="3685"/>
      <c r="H226" s="1501"/>
      <c r="I226" s="3685"/>
      <c r="J226" s="1501"/>
      <c r="K226" s="1502"/>
      <c r="L226" s="265"/>
    </row>
    <row r="227" spans="1:12">
      <c r="A227" s="81">
        <f t="shared" si="0"/>
        <v>2010.02</v>
      </c>
      <c r="B227" s="699">
        <v>42.346970062100304</v>
      </c>
      <c r="C227" s="1500"/>
      <c r="D227" s="1501"/>
      <c r="E227" s="3685"/>
      <c r="F227" s="1501"/>
      <c r="G227" s="3685"/>
      <c r="H227" s="1501"/>
      <c r="I227" s="3685"/>
      <c r="J227" s="1501"/>
      <c r="K227" s="1502"/>
      <c r="L227" s="265"/>
    </row>
    <row r="228" spans="1:12">
      <c r="A228" s="81">
        <f t="shared" si="0"/>
        <v>2010.03</v>
      </c>
      <c r="B228" s="699">
        <v>43.306211882472908</v>
      </c>
      <c r="C228" s="1500"/>
      <c r="D228" s="1501"/>
      <c r="E228" s="3685"/>
      <c r="F228" s="1501"/>
      <c r="G228" s="3685"/>
      <c r="H228" s="1501"/>
      <c r="I228" s="3685"/>
      <c r="J228" s="1501"/>
      <c r="K228" s="1502"/>
      <c r="L228" s="265"/>
    </row>
    <row r="229" spans="1:12">
      <c r="A229" s="81">
        <f t="shared" si="0"/>
        <v>2010.04</v>
      </c>
      <c r="B229" s="699">
        <v>44.223162480304033</v>
      </c>
      <c r="C229" s="1500"/>
      <c r="D229" s="1501"/>
      <c r="E229" s="3685"/>
      <c r="F229" s="1501"/>
      <c r="G229" s="3685"/>
      <c r="H229" s="1501"/>
      <c r="I229" s="3685"/>
      <c r="J229" s="1501"/>
      <c r="K229" s="1502"/>
      <c r="L229" s="265"/>
    </row>
    <row r="230" spans="1:12">
      <c r="A230" s="81">
        <f t="shared" si="0"/>
        <v>2010.05</v>
      </c>
      <c r="B230" s="699">
        <v>44.92865696542777</v>
      </c>
      <c r="C230" s="1500"/>
      <c r="D230" s="1501"/>
      <c r="E230" s="3685"/>
      <c r="F230" s="1501"/>
      <c r="G230" s="3685"/>
      <c r="H230" s="1501"/>
      <c r="I230" s="3685"/>
      <c r="J230" s="1501"/>
      <c r="K230" s="1502"/>
      <c r="L230" s="265"/>
    </row>
    <row r="231" spans="1:12">
      <c r="A231" s="81">
        <f t="shared" si="0"/>
        <v>2010.06</v>
      </c>
      <c r="B231" s="699">
        <v>45.376559458707966</v>
      </c>
      <c r="C231" s="1500"/>
      <c r="D231" s="1501"/>
      <c r="E231" s="3685"/>
      <c r="F231" s="1501"/>
      <c r="G231" s="3685"/>
      <c r="H231" s="1501"/>
      <c r="I231" s="3685"/>
      <c r="J231" s="1501"/>
      <c r="K231" s="1502"/>
      <c r="L231" s="265"/>
    </row>
    <row r="232" spans="1:12">
      <c r="A232" s="81">
        <f t="shared" si="0"/>
        <v>2010.07</v>
      </c>
      <c r="B232" s="699">
        <v>45.926345351747173</v>
      </c>
      <c r="C232" s="1500"/>
      <c r="D232" s="1501"/>
      <c r="E232" s="3685"/>
      <c r="F232" s="1501"/>
      <c r="G232" s="3685"/>
      <c r="H232" s="1501"/>
      <c r="I232" s="3685"/>
      <c r="J232" s="1501"/>
      <c r="K232" s="1502"/>
      <c r="L232" s="265"/>
    </row>
    <row r="233" spans="1:12">
      <c r="A233" s="81">
        <f t="shared" si="0"/>
        <v>2010.08</v>
      </c>
      <c r="B233" s="699">
        <v>46.47420891648904</v>
      </c>
      <c r="C233" s="1500"/>
      <c r="D233" s="1501"/>
      <c r="E233" s="3685"/>
      <c r="F233" s="1501"/>
      <c r="G233" s="3685"/>
      <c r="H233" s="1501"/>
      <c r="I233" s="3685"/>
      <c r="J233" s="1501"/>
      <c r="K233" s="1502"/>
      <c r="L233" s="265"/>
    </row>
    <row r="234" spans="1:12">
      <c r="A234" s="81">
        <f t="shared" si="0"/>
        <v>2010.09</v>
      </c>
      <c r="B234" s="699">
        <v>46.895198813606477</v>
      </c>
      <c r="C234" s="1500"/>
      <c r="D234" s="1501"/>
      <c r="E234" s="3685"/>
      <c r="F234" s="1501"/>
      <c r="G234" s="3685"/>
      <c r="H234" s="1501"/>
      <c r="I234" s="3685"/>
      <c r="J234" s="1501"/>
      <c r="K234" s="1502"/>
      <c r="L234" s="265"/>
    </row>
    <row r="235" spans="1:12">
      <c r="A235" s="81">
        <f t="shared" si="0"/>
        <v>2010.1</v>
      </c>
      <c r="B235" s="699">
        <v>48.246595606636411</v>
      </c>
      <c r="C235" s="1500"/>
      <c r="D235" s="1501"/>
      <c r="E235" s="3685"/>
      <c r="F235" s="1501"/>
      <c r="G235" s="3685"/>
      <c r="H235" s="1501"/>
      <c r="I235" s="3685"/>
      <c r="J235" s="1501"/>
      <c r="K235" s="1502"/>
      <c r="L235" s="265"/>
    </row>
    <row r="236" spans="1:12">
      <c r="A236" s="81">
        <f t="shared" si="0"/>
        <v>2010.11</v>
      </c>
      <c r="B236" s="699">
        <v>49.251973306145167</v>
      </c>
      <c r="C236" s="1500"/>
      <c r="D236" s="1501"/>
      <c r="E236" s="3685"/>
      <c r="F236" s="1501"/>
      <c r="G236" s="3685"/>
      <c r="H236" s="1501"/>
      <c r="I236" s="3685"/>
      <c r="J236" s="1501"/>
      <c r="K236" s="1502"/>
      <c r="L236" s="265"/>
    </row>
    <row r="237" spans="1:12">
      <c r="A237" s="81">
        <f t="shared" si="0"/>
        <v>2010.12</v>
      </c>
      <c r="B237" s="699">
        <v>50.12855500973216</v>
      </c>
      <c r="C237" s="1500"/>
      <c r="D237" s="1501"/>
      <c r="E237" s="3685"/>
      <c r="F237" s="1501"/>
      <c r="G237" s="3685"/>
      <c r="H237" s="1501"/>
      <c r="I237" s="3685"/>
      <c r="J237" s="1501"/>
      <c r="K237" s="1502"/>
      <c r="L237" s="265"/>
    </row>
    <row r="238" spans="1:12">
      <c r="A238" s="81">
        <f t="shared" si="0"/>
        <v>2011.01</v>
      </c>
      <c r="B238" s="699">
        <v>50.655272963203288</v>
      </c>
      <c r="C238" s="1500"/>
      <c r="D238" s="1501"/>
      <c r="E238" s="3685"/>
      <c r="F238" s="1501"/>
      <c r="G238" s="3685"/>
      <c r="H238" s="1501"/>
      <c r="I238" s="3685"/>
      <c r="J238" s="1501"/>
      <c r="K238" s="1502"/>
      <c r="L238" s="265"/>
    </row>
    <row r="239" spans="1:12">
      <c r="A239" s="81">
        <f t="shared" si="0"/>
        <v>2011.02</v>
      </c>
      <c r="B239" s="699">
        <v>51.333854852164272</v>
      </c>
      <c r="C239" s="1500"/>
      <c r="D239" s="1501"/>
      <c r="E239" s="3685"/>
      <c r="F239" s="1501"/>
      <c r="G239" s="3685"/>
      <c r="H239" s="1501"/>
      <c r="I239" s="3685"/>
      <c r="J239" s="1501"/>
      <c r="K239" s="1502"/>
      <c r="L239" s="265"/>
    </row>
    <row r="240" spans="1:12">
      <c r="A240" s="81">
        <f t="shared" si="0"/>
        <v>2011.03</v>
      </c>
      <c r="B240" s="699">
        <v>52.714086569654306</v>
      </c>
      <c r="C240" s="1500"/>
      <c r="D240" s="1501"/>
      <c r="E240" s="3685"/>
      <c r="F240" s="1501"/>
      <c r="G240" s="3685"/>
      <c r="H240" s="1501"/>
      <c r="I240" s="3685"/>
      <c r="J240" s="1501"/>
      <c r="K240" s="1502"/>
      <c r="L240" s="265"/>
    </row>
    <row r="241" spans="1:12">
      <c r="A241" s="81">
        <f t="shared" si="0"/>
        <v>2011.04</v>
      </c>
      <c r="B241" s="699">
        <v>53.857871906571532</v>
      </c>
      <c r="C241" s="1500"/>
      <c r="D241" s="1501"/>
      <c r="E241" s="3685"/>
      <c r="F241" s="1501"/>
      <c r="G241" s="3685"/>
      <c r="H241" s="1501"/>
      <c r="I241" s="3685"/>
      <c r="J241" s="1501"/>
      <c r="K241" s="1502"/>
      <c r="L241" s="265"/>
    </row>
    <row r="242" spans="1:12">
      <c r="A242" s="81">
        <f t="shared" si="0"/>
        <v>2011.05</v>
      </c>
      <c r="B242" s="699">
        <v>54.47686161831497</v>
      </c>
      <c r="C242" s="1500"/>
      <c r="D242" s="1501"/>
      <c r="E242" s="3685"/>
      <c r="F242" s="1501"/>
      <c r="G242" s="3685"/>
      <c r="H242" s="1501"/>
      <c r="I242" s="3685"/>
      <c r="J242" s="1501"/>
      <c r="K242" s="1502"/>
      <c r="L242" s="265"/>
    </row>
    <row r="243" spans="1:12">
      <c r="A243" s="81">
        <f t="shared" si="0"/>
        <v>2011.06</v>
      </c>
      <c r="B243" s="699">
        <v>55.141987209194575</v>
      </c>
      <c r="C243" s="1500"/>
      <c r="D243" s="1501"/>
      <c r="E243" s="3685"/>
      <c r="F243" s="1501"/>
      <c r="G243" s="3685"/>
      <c r="H243" s="1501"/>
      <c r="I243" s="3685"/>
      <c r="J243" s="1501"/>
      <c r="K243" s="1502"/>
      <c r="L243" s="265"/>
    </row>
    <row r="244" spans="1:12">
      <c r="A244" s="81">
        <f t="shared" si="0"/>
        <v>2011.07</v>
      </c>
      <c r="B244" s="699">
        <v>55.991656316618794</v>
      </c>
      <c r="C244" s="1500"/>
      <c r="D244" s="1501"/>
      <c r="E244" s="3685"/>
      <c r="F244" s="1501"/>
      <c r="G244" s="3685"/>
      <c r="H244" s="1501"/>
      <c r="I244" s="3685"/>
      <c r="J244" s="1501"/>
      <c r="K244" s="1502"/>
      <c r="L244" s="265"/>
    </row>
    <row r="245" spans="1:12">
      <c r="A245" s="81">
        <f t="shared" si="0"/>
        <v>2011.08</v>
      </c>
      <c r="B245" s="699">
        <v>57.004723329316917</v>
      </c>
      <c r="C245" s="1500"/>
      <c r="D245" s="1501"/>
      <c r="E245" s="3685"/>
      <c r="F245" s="1501"/>
      <c r="G245" s="3685"/>
      <c r="H245" s="1501"/>
      <c r="I245" s="3685"/>
      <c r="J245" s="1501"/>
      <c r="K245" s="1502"/>
      <c r="L245" s="265"/>
    </row>
    <row r="246" spans="1:12">
      <c r="A246" s="81">
        <f t="shared" si="0"/>
        <v>2011.09</v>
      </c>
      <c r="B246" s="699">
        <v>58.067770877745865</v>
      </c>
      <c r="C246" s="1500"/>
      <c r="D246" s="1501"/>
      <c r="E246" s="3685"/>
      <c r="F246" s="1501"/>
      <c r="G246" s="3685"/>
      <c r="H246" s="1501"/>
      <c r="I246" s="3685"/>
      <c r="J246" s="1501"/>
      <c r="K246" s="1502"/>
      <c r="L246" s="265"/>
    </row>
    <row r="247" spans="1:12">
      <c r="A247" s="81">
        <f t="shared" si="0"/>
        <v>2011.1</v>
      </c>
      <c r="B247" s="699">
        <v>58.477226805079255</v>
      </c>
      <c r="C247" s="1500"/>
      <c r="D247" s="1501"/>
      <c r="E247" s="3685"/>
      <c r="F247" s="1501"/>
      <c r="G247" s="3685"/>
      <c r="H247" s="1501"/>
      <c r="I247" s="3685"/>
      <c r="J247" s="1501"/>
      <c r="K247" s="1502"/>
      <c r="L247" s="265"/>
    </row>
    <row r="248" spans="1:12">
      <c r="A248" s="81">
        <f t="shared" si="0"/>
        <v>2011.11</v>
      </c>
      <c r="B248" s="699">
        <v>59.53450736861619</v>
      </c>
      <c r="C248" s="1500"/>
      <c r="D248" s="1501"/>
      <c r="E248" s="3685"/>
      <c r="F248" s="1501"/>
      <c r="G248" s="3685"/>
      <c r="H248" s="1501"/>
      <c r="I248" s="3685"/>
      <c r="J248" s="1501"/>
      <c r="K248" s="1502"/>
      <c r="L248" s="265"/>
    </row>
    <row r="249" spans="1:12">
      <c r="A249" s="81">
        <f t="shared" si="0"/>
        <v>2011.12</v>
      </c>
      <c r="B249" s="699">
        <v>60.68021503383077</v>
      </c>
      <c r="C249" s="1500"/>
      <c r="D249" s="1501"/>
      <c r="E249" s="3685"/>
      <c r="F249" s="1501"/>
      <c r="G249" s="3685"/>
      <c r="H249" s="1501"/>
      <c r="I249" s="3685"/>
      <c r="J249" s="1501"/>
      <c r="K249" s="1502"/>
      <c r="L249" s="265"/>
    </row>
    <row r="250" spans="1:12">
      <c r="A250" s="81">
        <f t="shared" si="0"/>
        <v>2012.01</v>
      </c>
      <c r="B250" s="699">
        <v>61.364563907683767</v>
      </c>
      <c r="C250" s="1500"/>
      <c r="D250" s="1501"/>
      <c r="E250" s="3685"/>
      <c r="F250" s="1501"/>
      <c r="G250" s="3685"/>
      <c r="H250" s="1501"/>
      <c r="I250" s="3685"/>
      <c r="J250" s="1501"/>
      <c r="K250" s="1502"/>
      <c r="L250" s="265"/>
    </row>
    <row r="251" spans="1:12">
      <c r="A251" s="81">
        <f t="shared" si="0"/>
        <v>2012.02</v>
      </c>
      <c r="B251" s="699">
        <v>61.910505144128287</v>
      </c>
      <c r="C251" s="1500"/>
      <c r="D251" s="1501"/>
      <c r="E251" s="3685"/>
      <c r="F251" s="1501"/>
      <c r="G251" s="3685"/>
      <c r="H251" s="1501"/>
      <c r="I251" s="3685"/>
      <c r="J251" s="1501"/>
      <c r="K251" s="1502"/>
      <c r="L251" s="265"/>
    </row>
    <row r="252" spans="1:12">
      <c r="A252" s="81">
        <f t="shared" si="0"/>
        <v>2012.03</v>
      </c>
      <c r="B252" s="699">
        <v>64.082736120122362</v>
      </c>
      <c r="C252" s="1500"/>
      <c r="D252" s="1501"/>
      <c r="E252" s="3685"/>
      <c r="F252" s="1501"/>
      <c r="G252" s="3685"/>
      <c r="H252" s="1501"/>
      <c r="I252" s="3685"/>
      <c r="J252" s="1501"/>
      <c r="K252" s="1502"/>
      <c r="L252" s="265"/>
    </row>
    <row r="253" spans="1:12">
      <c r="A253" s="81">
        <f t="shared" si="0"/>
        <v>2012.04</v>
      </c>
      <c r="B253" s="699">
        <v>65.974307164704797</v>
      </c>
      <c r="C253" s="1500"/>
      <c r="D253" s="1501"/>
      <c r="E253" s="3685"/>
      <c r="F253" s="1501"/>
      <c r="G253" s="3685"/>
      <c r="H253" s="1501"/>
      <c r="I253" s="3685"/>
      <c r="J253" s="1501"/>
      <c r="K253" s="1502"/>
      <c r="L253" s="265"/>
    </row>
    <row r="254" spans="1:12">
      <c r="A254" s="81">
        <f t="shared" si="0"/>
        <v>2012.05</v>
      </c>
      <c r="B254" s="699">
        <v>66.549083325609416</v>
      </c>
      <c r="C254" s="1500"/>
      <c r="D254" s="1501"/>
      <c r="E254" s="3685"/>
      <c r="F254" s="1501"/>
      <c r="G254" s="3685"/>
      <c r="H254" s="1501"/>
      <c r="I254" s="3685"/>
      <c r="J254" s="1501"/>
      <c r="K254" s="1502"/>
      <c r="L254" s="265"/>
    </row>
    <row r="255" spans="1:12">
      <c r="A255" s="81">
        <f t="shared" si="0"/>
        <v>2012.06</v>
      </c>
      <c r="B255" s="699">
        <v>67.168073037352855</v>
      </c>
      <c r="C255" s="1500"/>
      <c r="D255" s="1501"/>
      <c r="E255" s="3685"/>
      <c r="F255" s="1501"/>
      <c r="G255" s="3685"/>
      <c r="H255" s="1501"/>
      <c r="I255" s="3685"/>
      <c r="J255" s="1501"/>
      <c r="K255" s="1502"/>
      <c r="L255" s="265"/>
    </row>
    <row r="256" spans="1:12">
      <c r="A256" s="81">
        <f t="shared" si="0"/>
        <v>2012.07</v>
      </c>
      <c r="B256" s="699">
        <v>67.719781258689395</v>
      </c>
      <c r="C256" s="1500"/>
      <c r="D256" s="1501"/>
      <c r="E256" s="3685"/>
      <c r="F256" s="1501"/>
      <c r="G256" s="3685"/>
      <c r="H256" s="1501"/>
      <c r="I256" s="3685"/>
      <c r="J256" s="1501"/>
      <c r="K256" s="1502"/>
      <c r="L256" s="265"/>
    </row>
    <row r="257" spans="1:12">
      <c r="A257" s="81">
        <f t="shared" si="0"/>
        <v>2012.08</v>
      </c>
      <c r="B257" s="699">
        <v>68.419508758921125</v>
      </c>
      <c r="C257" s="1500"/>
      <c r="D257" s="1501"/>
      <c r="E257" s="3685"/>
      <c r="F257" s="1501"/>
      <c r="G257" s="3685"/>
      <c r="H257" s="1501"/>
      <c r="I257" s="3685"/>
      <c r="J257" s="1501"/>
      <c r="K257" s="1502"/>
      <c r="L257" s="265"/>
    </row>
    <row r="258" spans="1:12">
      <c r="A258" s="81">
        <f t="shared" si="0"/>
        <v>2012.09</v>
      </c>
      <c r="B258" s="699">
        <v>69.336459356752243</v>
      </c>
      <c r="C258" s="1500"/>
      <c r="D258" s="1501"/>
      <c r="E258" s="3685"/>
      <c r="F258" s="1501"/>
      <c r="G258" s="3685"/>
      <c r="H258" s="1501"/>
      <c r="I258" s="3685"/>
      <c r="J258" s="1501"/>
      <c r="K258" s="1502"/>
      <c r="L258" s="265"/>
    </row>
    <row r="259" spans="1:12">
      <c r="A259" s="81">
        <f t="shared" si="0"/>
        <v>2012.1</v>
      </c>
      <c r="B259" s="699">
        <v>70.05925479655204</v>
      </c>
      <c r="C259" s="1500"/>
      <c r="D259" s="1501"/>
      <c r="E259" s="3685"/>
      <c r="F259" s="1501"/>
      <c r="G259" s="3685"/>
      <c r="H259" s="1501"/>
      <c r="I259" s="3685"/>
      <c r="J259" s="1501"/>
      <c r="K259" s="1502"/>
      <c r="L259" s="265"/>
    </row>
    <row r="260" spans="1:12">
      <c r="A260" s="81">
        <f t="shared" si="0"/>
        <v>2012.11</v>
      </c>
      <c r="B260" s="699">
        <v>70.807040504217255</v>
      </c>
      <c r="C260" s="1500"/>
      <c r="D260" s="1501"/>
      <c r="E260" s="3685"/>
      <c r="F260" s="1501"/>
      <c r="G260" s="3685"/>
      <c r="H260" s="1501"/>
      <c r="I260" s="3685"/>
      <c r="J260" s="1501"/>
      <c r="K260" s="1502"/>
      <c r="L260" s="265"/>
    </row>
    <row r="261" spans="1:12">
      <c r="A261" s="81">
        <f t="shared" si="0"/>
        <v>2012.12</v>
      </c>
      <c r="B261" s="699">
        <v>71.449098155528787</v>
      </c>
      <c r="C261" s="1500"/>
      <c r="D261" s="1501"/>
      <c r="E261" s="3685"/>
      <c r="F261" s="1501"/>
      <c r="G261" s="3685"/>
      <c r="H261" s="1501"/>
      <c r="I261" s="3685"/>
      <c r="J261" s="1501"/>
      <c r="K261" s="1502"/>
      <c r="L261" s="265"/>
    </row>
    <row r="262" spans="1:12">
      <c r="A262" s="81">
        <f t="shared" si="0"/>
        <v>2013.01</v>
      </c>
      <c r="B262" s="699">
        <v>72.296844934655667</v>
      </c>
      <c r="C262" s="1500"/>
      <c r="D262" s="1501"/>
      <c r="E262" s="3685"/>
      <c r="F262" s="1501"/>
      <c r="G262" s="3685"/>
      <c r="H262" s="1501"/>
      <c r="I262" s="3685"/>
      <c r="J262" s="1501"/>
      <c r="K262" s="1502"/>
      <c r="L262" s="265"/>
    </row>
    <row r="263" spans="1:12">
      <c r="A263" s="81">
        <f t="shared" si="0"/>
        <v>2013.02</v>
      </c>
      <c r="B263" s="699">
        <v>72.913912318101779</v>
      </c>
      <c r="C263" s="1500"/>
      <c r="D263" s="1501"/>
      <c r="E263" s="3685"/>
      <c r="F263" s="1501"/>
      <c r="G263" s="3685"/>
      <c r="H263" s="1501"/>
      <c r="I263" s="3685"/>
      <c r="J263" s="1501"/>
      <c r="K263" s="1502"/>
      <c r="L263" s="265"/>
    </row>
    <row r="264" spans="1:12">
      <c r="A264" s="81">
        <f t="shared" si="0"/>
        <v>2013.03</v>
      </c>
      <c r="B264" s="699">
        <v>73.778960051904718</v>
      </c>
      <c r="C264" s="1500"/>
      <c r="D264" s="1501"/>
      <c r="E264" s="3685"/>
      <c r="F264" s="1501"/>
      <c r="G264" s="3685"/>
      <c r="H264" s="1501"/>
      <c r="I264" s="3685"/>
      <c r="J264" s="1501"/>
      <c r="K264" s="1502"/>
      <c r="L264" s="265"/>
    </row>
    <row r="265" spans="1:12">
      <c r="A265" s="81">
        <f t="shared" si="0"/>
        <v>2013.04</v>
      </c>
      <c r="B265" s="699">
        <v>74.569036982111413</v>
      </c>
      <c r="C265" s="1500"/>
      <c r="D265" s="1501"/>
      <c r="E265" s="3685"/>
      <c r="F265" s="1501"/>
      <c r="G265" s="3685"/>
      <c r="H265" s="1501"/>
      <c r="I265" s="3685"/>
      <c r="J265" s="1501"/>
      <c r="K265" s="1502"/>
      <c r="L265" s="265"/>
    </row>
    <row r="266" spans="1:12">
      <c r="A266" s="81">
        <f t="shared" si="0"/>
        <v>2013.05</v>
      </c>
      <c r="B266" s="699">
        <v>75.143813143016033</v>
      </c>
      <c r="C266" s="1500"/>
      <c r="D266" s="1501"/>
      <c r="E266" s="3685"/>
      <c r="F266" s="1501"/>
      <c r="G266" s="3685"/>
      <c r="H266" s="1501"/>
      <c r="I266" s="3685"/>
      <c r="J266" s="1501"/>
      <c r="K266" s="1502"/>
      <c r="L266" s="265"/>
    </row>
    <row r="267" spans="1:12">
      <c r="A267" s="81">
        <f t="shared" si="0"/>
        <v>2013.06</v>
      </c>
      <c r="B267" s="699">
        <v>76.072297710631204</v>
      </c>
      <c r="C267" s="1500"/>
      <c r="D267" s="1501"/>
      <c r="E267" s="3685"/>
      <c r="F267" s="1501"/>
      <c r="G267" s="3685"/>
      <c r="H267" s="1501"/>
      <c r="I267" s="3685"/>
      <c r="J267" s="1501"/>
      <c r="K267" s="1502"/>
      <c r="L267" s="265"/>
    </row>
    <row r="268" spans="1:12">
      <c r="A268" s="81">
        <f t="shared" si="0"/>
        <v>2013.07</v>
      </c>
      <c r="B268" s="699">
        <v>76.941190101028823</v>
      </c>
      <c r="C268" s="1500"/>
      <c r="D268" s="1501"/>
      <c r="E268" s="3685"/>
      <c r="F268" s="1501"/>
      <c r="G268" s="3685"/>
      <c r="H268" s="1501"/>
      <c r="I268" s="3685"/>
      <c r="J268" s="1501"/>
      <c r="K268" s="1502"/>
      <c r="L268" s="265"/>
    </row>
    <row r="269" spans="1:12">
      <c r="A269" s="81">
        <f t="shared" si="0"/>
        <v>2013.08</v>
      </c>
      <c r="B269" s="699">
        <v>77.936956159050879</v>
      </c>
      <c r="C269" s="1500"/>
      <c r="D269" s="1501"/>
      <c r="E269" s="3685"/>
      <c r="F269" s="1501"/>
      <c r="G269" s="3685"/>
      <c r="H269" s="1501"/>
      <c r="I269" s="3685"/>
      <c r="J269" s="1501"/>
      <c r="K269" s="1502"/>
      <c r="L269" s="265"/>
    </row>
    <row r="270" spans="1:12">
      <c r="A270" s="81">
        <f t="shared" si="0"/>
        <v>2013.09</v>
      </c>
      <c r="B270" s="699">
        <v>78.882741681342111</v>
      </c>
      <c r="C270" s="1500"/>
      <c r="D270" s="1501"/>
      <c r="E270" s="3685"/>
      <c r="F270" s="1501"/>
      <c r="G270" s="3685"/>
      <c r="H270" s="1501"/>
      <c r="I270" s="3685"/>
      <c r="J270" s="1501"/>
      <c r="K270" s="1502"/>
      <c r="L270" s="265"/>
    </row>
    <row r="271" spans="1:12">
      <c r="A271" s="81">
        <f t="shared" si="0"/>
        <v>2013.1</v>
      </c>
      <c r="B271" s="699">
        <v>79.980391139123185</v>
      </c>
      <c r="C271" s="1500"/>
      <c r="D271" s="1501"/>
      <c r="E271" s="3685"/>
      <c r="F271" s="1501"/>
      <c r="G271" s="3685"/>
      <c r="H271" s="1501"/>
      <c r="I271" s="3685"/>
      <c r="J271" s="1501"/>
      <c r="K271" s="1502"/>
      <c r="L271" s="265"/>
    </row>
    <row r="272" spans="1:12">
      <c r="A272" s="81">
        <f t="shared" si="0"/>
        <v>2013.11</v>
      </c>
      <c r="B272" s="699">
        <v>81.487496524237642</v>
      </c>
      <c r="C272" s="1500"/>
      <c r="D272" s="1501"/>
      <c r="E272" s="3685"/>
      <c r="F272" s="1501"/>
      <c r="G272" s="3685"/>
      <c r="H272" s="1501"/>
      <c r="I272" s="3685"/>
      <c r="J272" s="1501"/>
      <c r="K272" s="1502"/>
      <c r="L272" s="265"/>
    </row>
    <row r="273" spans="1:12">
      <c r="A273" s="81">
        <f t="shared" si="0"/>
        <v>2013.12</v>
      </c>
      <c r="B273" s="700">
        <v>82.96</v>
      </c>
      <c r="C273" s="1500"/>
      <c r="D273" s="1501"/>
      <c r="E273" s="3685"/>
      <c r="F273" s="1501"/>
      <c r="G273" s="3685"/>
      <c r="H273" s="1501"/>
      <c r="I273" s="3685"/>
      <c r="J273" s="1501"/>
      <c r="K273" s="1502"/>
      <c r="L273" s="265"/>
    </row>
    <row r="274" spans="1:12">
      <c r="A274" s="81">
        <f t="shared" si="0"/>
        <v>2014.01</v>
      </c>
      <c r="B274" s="696">
        <v>85.24</v>
      </c>
      <c r="C274" s="1500"/>
      <c r="D274" s="1501"/>
      <c r="E274" s="3685"/>
      <c r="F274" s="1501"/>
      <c r="G274" s="3685"/>
      <c r="H274" s="1501"/>
      <c r="I274" s="3685"/>
      <c r="J274" s="1501"/>
      <c r="K274" s="1502"/>
      <c r="L274" s="265"/>
    </row>
    <row r="275" spans="1:12">
      <c r="A275" s="81">
        <f t="shared" si="0"/>
        <v>2014.02</v>
      </c>
      <c r="B275" s="696">
        <v>90.29</v>
      </c>
      <c r="C275" s="1500"/>
      <c r="D275" s="1501"/>
      <c r="E275" s="3685"/>
      <c r="F275" s="1501"/>
      <c r="G275" s="3685"/>
      <c r="H275" s="1501"/>
      <c r="I275" s="3685"/>
      <c r="J275" s="1501"/>
      <c r="K275" s="1502"/>
      <c r="L275" s="265"/>
    </row>
    <row r="276" spans="1:12">
      <c r="A276" s="81">
        <f t="shared" si="0"/>
        <v>2014.03</v>
      </c>
      <c r="B276" s="696">
        <v>93.38</v>
      </c>
      <c r="C276" s="1500"/>
      <c r="D276" s="1501"/>
      <c r="E276" s="3685"/>
      <c r="F276" s="1501"/>
      <c r="G276" s="3685"/>
      <c r="H276" s="1501"/>
      <c r="I276" s="3685"/>
      <c r="J276" s="1501"/>
      <c r="K276" s="1502"/>
      <c r="L276" s="265"/>
    </row>
    <row r="277" spans="1:12">
      <c r="A277" s="81">
        <f t="shared" si="0"/>
        <v>2014.04</v>
      </c>
      <c r="B277" s="696">
        <v>95.22</v>
      </c>
      <c r="C277" s="1500"/>
      <c r="D277" s="1501"/>
      <c r="E277" s="3685"/>
      <c r="F277" s="1501"/>
      <c r="G277" s="3685"/>
      <c r="H277" s="1501"/>
      <c r="I277" s="3685"/>
      <c r="J277" s="1501"/>
      <c r="K277" s="1502"/>
      <c r="L277" s="265"/>
    </row>
    <row r="278" spans="1:12">
      <c r="A278" s="81">
        <f t="shared" ref="A278:A341" si="1">A266+1</f>
        <v>2014.05</v>
      </c>
      <c r="B278" s="696">
        <v>96.98</v>
      </c>
      <c r="C278" s="1500"/>
      <c r="D278" s="1501"/>
      <c r="E278" s="3685"/>
      <c r="F278" s="1501"/>
      <c r="G278" s="3685"/>
      <c r="H278" s="1501"/>
      <c r="I278" s="3685"/>
      <c r="J278" s="1501"/>
      <c r="K278" s="1502"/>
      <c r="L278" s="265"/>
    </row>
    <row r="279" spans="1:12">
      <c r="A279" s="81">
        <f t="shared" si="1"/>
        <v>2014.06</v>
      </c>
      <c r="B279" s="696">
        <v>99.06</v>
      </c>
      <c r="C279" s="1500"/>
      <c r="D279" s="1501"/>
      <c r="E279" s="3685"/>
      <c r="F279" s="1501"/>
      <c r="G279" s="3685"/>
      <c r="H279" s="1501"/>
      <c r="I279" s="3685"/>
      <c r="J279" s="1501"/>
      <c r="K279" s="1502"/>
      <c r="L279" s="265"/>
    </row>
    <row r="280" spans="1:12">
      <c r="A280" s="81">
        <f t="shared" si="1"/>
        <v>2014.07</v>
      </c>
      <c r="B280" s="696">
        <v>100.69</v>
      </c>
      <c r="C280" s="1500"/>
      <c r="D280" s="1501"/>
      <c r="E280" s="3685"/>
      <c r="F280" s="1501"/>
      <c r="G280" s="3685"/>
      <c r="H280" s="1501"/>
      <c r="I280" s="3685"/>
      <c r="J280" s="1501"/>
      <c r="K280" s="1502"/>
      <c r="L280" s="265"/>
    </row>
    <row r="281" spans="1:12">
      <c r="A281" s="81">
        <f t="shared" si="1"/>
        <v>2014.08</v>
      </c>
      <c r="B281" s="696">
        <v>102.79</v>
      </c>
      <c r="C281" s="1500"/>
      <c r="D281" s="1501"/>
      <c r="E281" s="3685"/>
      <c r="F281" s="1501"/>
      <c r="G281" s="3685"/>
      <c r="H281" s="1501"/>
      <c r="I281" s="3685"/>
      <c r="J281" s="1501"/>
      <c r="K281" s="1502"/>
      <c r="L281" s="265"/>
    </row>
    <row r="282" spans="1:12">
      <c r="A282" s="81">
        <f t="shared" si="1"/>
        <v>2014.09</v>
      </c>
      <c r="B282" s="696">
        <v>105.74</v>
      </c>
      <c r="C282" s="1500"/>
      <c r="D282" s="1501"/>
      <c r="E282" s="3685"/>
      <c r="F282" s="1501"/>
      <c r="G282" s="3685"/>
      <c r="H282" s="1501"/>
      <c r="I282" s="3685"/>
      <c r="J282" s="1501"/>
      <c r="K282" s="1502"/>
      <c r="L282" s="265"/>
    </row>
    <row r="283" spans="1:12">
      <c r="A283" s="81">
        <f t="shared" si="1"/>
        <v>2014.1</v>
      </c>
      <c r="B283" s="696">
        <v>108.08</v>
      </c>
      <c r="C283" s="1500"/>
      <c r="D283" s="1501"/>
      <c r="E283" s="3685"/>
      <c r="F283" s="1501"/>
      <c r="G283" s="3685"/>
      <c r="H283" s="1501"/>
      <c r="I283" s="3685"/>
      <c r="J283" s="1501"/>
      <c r="K283" s="1502"/>
      <c r="L283" s="265"/>
    </row>
    <row r="284" spans="1:12">
      <c r="A284" s="81">
        <f t="shared" si="1"/>
        <v>2014.11</v>
      </c>
      <c r="B284" s="696">
        <v>110.39</v>
      </c>
      <c r="C284" s="1500"/>
      <c r="D284" s="1501"/>
      <c r="E284" s="3685"/>
      <c r="F284" s="1501"/>
      <c r="G284" s="3685"/>
      <c r="H284" s="1501"/>
      <c r="I284" s="3685"/>
      <c r="J284" s="1501"/>
      <c r="K284" s="1502"/>
      <c r="L284" s="265"/>
    </row>
    <row r="285" spans="1:12">
      <c r="A285" s="81">
        <f t="shared" si="1"/>
        <v>2014.12</v>
      </c>
      <c r="B285" s="696">
        <v>112.15</v>
      </c>
      <c r="C285" s="1500"/>
      <c r="D285" s="1501"/>
      <c r="E285" s="3685"/>
      <c r="F285" s="1501"/>
      <c r="G285" s="3685"/>
      <c r="H285" s="1501"/>
      <c r="I285" s="3685"/>
      <c r="J285" s="1501"/>
      <c r="K285" s="1502"/>
      <c r="L285" s="265"/>
    </row>
    <row r="286" spans="1:12">
      <c r="A286" s="81">
        <f t="shared" si="1"/>
        <v>2015.01</v>
      </c>
      <c r="B286" s="696">
        <v>113.47</v>
      </c>
      <c r="C286" s="1500"/>
      <c r="D286" s="1501"/>
      <c r="E286" s="3685"/>
      <c r="F286" s="1501"/>
      <c r="G286" s="3685"/>
      <c r="H286" s="1501"/>
      <c r="I286" s="3685"/>
      <c r="J286" s="1501"/>
      <c r="K286" s="1502"/>
      <c r="L286" s="265"/>
    </row>
    <row r="287" spans="1:12">
      <c r="A287" s="81">
        <f t="shared" si="1"/>
        <v>2015.02</v>
      </c>
      <c r="B287" s="696">
        <v>115.42</v>
      </c>
      <c r="C287" s="1500"/>
      <c r="D287" s="1501"/>
      <c r="E287" s="3685"/>
      <c r="F287" s="1501"/>
      <c r="G287" s="3685"/>
      <c r="H287" s="1501"/>
      <c r="I287" s="3685"/>
      <c r="J287" s="1501"/>
      <c r="K287" s="1502"/>
      <c r="L287" s="265"/>
    </row>
    <row r="288" spans="1:12">
      <c r="A288" s="81">
        <f t="shared" si="1"/>
        <v>2015.03</v>
      </c>
      <c r="B288" s="696">
        <v>117.34</v>
      </c>
      <c r="C288" s="1500"/>
      <c r="D288" s="1501"/>
      <c r="E288" s="3685"/>
      <c r="F288" s="1501"/>
      <c r="G288" s="3685"/>
      <c r="H288" s="1501"/>
      <c r="I288" s="3685"/>
      <c r="J288" s="1501"/>
      <c r="K288" s="1502"/>
      <c r="L288" s="265"/>
    </row>
    <row r="289" spans="1:12">
      <c r="A289" s="81">
        <f t="shared" si="1"/>
        <v>2015.04</v>
      </c>
      <c r="B289" s="696">
        <v>120.17</v>
      </c>
      <c r="C289" s="1500"/>
      <c r="D289" s="1501"/>
      <c r="E289" s="3685"/>
      <c r="F289" s="1501"/>
      <c r="G289" s="3685"/>
      <c r="H289" s="1501"/>
      <c r="I289" s="3685"/>
      <c r="J289" s="1501"/>
      <c r="K289" s="1502"/>
      <c r="L289" s="265"/>
    </row>
    <row r="290" spans="1:12">
      <c r="A290" s="81">
        <f t="shared" si="1"/>
        <v>2015.05</v>
      </c>
      <c r="B290" s="696">
        <v>122.29</v>
      </c>
      <c r="C290" s="1500"/>
      <c r="D290" s="1501"/>
      <c r="E290" s="3685"/>
      <c r="F290" s="1501"/>
      <c r="G290" s="3685"/>
      <c r="H290" s="1501"/>
      <c r="I290" s="3685"/>
      <c r="J290" s="1501"/>
      <c r="K290" s="1502"/>
      <c r="L290" s="265"/>
    </row>
    <row r="291" spans="1:12">
      <c r="A291" s="81">
        <f t="shared" si="1"/>
        <v>2015.06</v>
      </c>
      <c r="B291" s="696">
        <v>123.72</v>
      </c>
      <c r="C291" s="1500"/>
      <c r="D291" s="1501"/>
      <c r="E291" s="3685"/>
      <c r="F291" s="1501"/>
      <c r="G291" s="3685"/>
      <c r="H291" s="1501"/>
      <c r="I291" s="3685"/>
      <c r="J291" s="1501"/>
      <c r="K291" s="1502"/>
      <c r="L291" s="265"/>
    </row>
    <row r="292" spans="1:12">
      <c r="A292" s="81">
        <f t="shared" si="1"/>
        <v>2015.07</v>
      </c>
      <c r="B292" s="696">
        <v>126.38</v>
      </c>
      <c r="C292" s="1500"/>
      <c r="D292" s="1501"/>
      <c r="E292" s="3685"/>
      <c r="F292" s="1501"/>
      <c r="G292" s="3685"/>
      <c r="H292" s="1501"/>
      <c r="I292" s="3685"/>
      <c r="J292" s="1501"/>
      <c r="K292" s="1502"/>
      <c r="L292" s="265"/>
    </row>
    <row r="293" spans="1:12">
      <c r="A293" s="81">
        <f t="shared" si="1"/>
        <v>2015.08</v>
      </c>
      <c r="B293" s="696">
        <v>129.51</v>
      </c>
      <c r="C293" s="1500"/>
      <c r="D293" s="1501"/>
      <c r="E293" s="3685"/>
      <c r="F293" s="1501"/>
      <c r="G293" s="3685"/>
      <c r="H293" s="1501"/>
      <c r="I293" s="3685"/>
      <c r="J293" s="1501"/>
      <c r="K293" s="1502"/>
      <c r="L293" s="265"/>
    </row>
    <row r="294" spans="1:12">
      <c r="A294" s="81">
        <f t="shared" si="1"/>
        <v>2015.09</v>
      </c>
      <c r="B294" s="696">
        <v>131.77000000000001</v>
      </c>
      <c r="C294" s="1500"/>
      <c r="D294" s="1501"/>
      <c r="E294" s="3685"/>
      <c r="F294" s="1501"/>
      <c r="G294" s="3685"/>
      <c r="H294" s="1501"/>
      <c r="I294" s="3685"/>
      <c r="J294" s="1501"/>
      <c r="K294" s="1502"/>
      <c r="L294" s="265"/>
    </row>
    <row r="295" spans="1:12">
      <c r="A295" s="81">
        <f t="shared" si="1"/>
        <v>2015.1</v>
      </c>
      <c r="B295" s="701">
        <v>133.87</v>
      </c>
      <c r="C295" s="1500"/>
      <c r="D295" s="1501"/>
      <c r="E295" s="3685"/>
      <c r="F295" s="1501"/>
      <c r="G295" s="3685"/>
      <c r="H295" s="1501"/>
      <c r="I295" s="3685"/>
      <c r="J295" s="1501"/>
      <c r="K295" s="1502"/>
      <c r="L295" s="265"/>
    </row>
    <row r="296" spans="1:12">
      <c r="A296" s="81">
        <f t="shared" si="1"/>
        <v>2015.11</v>
      </c>
      <c r="B296" s="1584">
        <v>136.29</v>
      </c>
      <c r="C296" s="1585">
        <f>C308/(1+0.385)</f>
        <v>132.56317689530687</v>
      </c>
      <c r="D296" s="1586">
        <f>D308/(1+0.302)</f>
        <v>141.62826420890937</v>
      </c>
      <c r="E296" s="3686">
        <f>E308/(1+0.413)</f>
        <v>129.59660297239915</v>
      </c>
      <c r="F296" s="1586">
        <f>F308/(1+0.295)</f>
        <v>138.16988416988417</v>
      </c>
      <c r="G296" s="3686">
        <f>G308/(1+0.476)</f>
        <v>143.8821138211382</v>
      </c>
      <c r="H296" s="1586">
        <f>H308/(1+0.435)</f>
        <v>132.94773519163763</v>
      </c>
      <c r="I296" s="3686">
        <f>I308/(1+0.308)</f>
        <v>143.13455657492355</v>
      </c>
      <c r="J296" s="1586">
        <f>J308/(1+0.343)</f>
        <v>150.83395383469843</v>
      </c>
      <c r="K296" s="1587">
        <f>K308/(1+0.477)</f>
        <v>145.89031821259309</v>
      </c>
      <c r="L296" s="317">
        <f t="shared" ref="L296:L327" si="2">(C296*C$6+D296*D$6+E296*E$6+F296*F$6+G296*G$6+H296*H$6+I296*I$6+J296*J$6+K296*K$6)/B296-1</f>
        <v>-4.1114439603529007E-5</v>
      </c>
    </row>
    <row r="297" spans="1:12">
      <c r="A297" s="81">
        <f t="shared" si="1"/>
        <v>2015.12</v>
      </c>
      <c r="B297" s="1584">
        <v>144.36000000000001</v>
      </c>
      <c r="C297" s="1588">
        <f>C309/(1+0.285)</f>
        <v>146.00778210116732</v>
      </c>
      <c r="D297" s="1589">
        <f>D309/(1+0.261)</f>
        <v>146.25693893735129</v>
      </c>
      <c r="E297" s="3687">
        <f>E309/(1+0.336)</f>
        <v>140.62874251497004</v>
      </c>
      <c r="F297" s="1589">
        <f>F309/(1+0.238)</f>
        <v>147.77867528271403</v>
      </c>
      <c r="G297" s="3687">
        <f>G309/(1+0.362)</f>
        <v>157.09985315712186</v>
      </c>
      <c r="H297" s="1589">
        <f>H309/(1+0.345)</f>
        <v>142.52044609665427</v>
      </c>
      <c r="I297" s="3687">
        <f>I309/(1+0.262)</f>
        <v>152.71790808240885</v>
      </c>
      <c r="J297" s="1589">
        <f>J309/(1+0.349)</f>
        <v>150.51148999258709</v>
      </c>
      <c r="K297" s="1590">
        <f>K309/(1+0.431)</f>
        <v>153.22152341020265</v>
      </c>
      <c r="L297" s="2398">
        <f t="shared" si="2"/>
        <v>1.615177362641429E-2</v>
      </c>
    </row>
    <row r="298" spans="1:12">
      <c r="A298" s="81">
        <f t="shared" si="1"/>
        <v>2016.01</v>
      </c>
      <c r="B298" s="1584">
        <v>149.93</v>
      </c>
      <c r="C298" s="1588">
        <f>C310/(1+0.286)</f>
        <v>148.37480559875584</v>
      </c>
      <c r="D298" s="1589">
        <f>D310/(1+0.223)</f>
        <v>151.10384300899426</v>
      </c>
      <c r="E298" s="3687">
        <f>E310/(1+0.427)</f>
        <v>139.60756832515767</v>
      </c>
      <c r="F298" s="1589">
        <f>F310/(1+0.202)</f>
        <v>153.41098169717139</v>
      </c>
      <c r="G298" s="3687">
        <f>G310/(1+0.357)</f>
        <v>160.44952100221076</v>
      </c>
      <c r="H298" s="1589">
        <f>H310/(1+0.329)</f>
        <v>146.41083521444696</v>
      </c>
      <c r="I298" s="3687">
        <f>I310/(1+0.252)</f>
        <v>158.77795527156547</v>
      </c>
      <c r="J298" s="1589">
        <f>J310/(1+0.387)</f>
        <v>151.32660418168709</v>
      </c>
      <c r="K298" s="1590">
        <f>K310/(1+0.407)</f>
        <v>158.10234541577825</v>
      </c>
      <c r="L298" s="2398">
        <f t="shared" si="2"/>
        <v>-3.3937751221513324E-6</v>
      </c>
    </row>
    <row r="299" spans="1:12">
      <c r="A299" s="81">
        <f t="shared" si="1"/>
        <v>2016.02</v>
      </c>
      <c r="B299" s="1584">
        <v>154.84</v>
      </c>
      <c r="C299" s="1588">
        <f>C311/(1+0.267)</f>
        <v>152.42304656669299</v>
      </c>
      <c r="D299" s="1589">
        <f>D311/(1+0.211)</f>
        <v>150.60280759702724</v>
      </c>
      <c r="E299" s="3687">
        <f>E311/(1+0.425)</f>
        <v>157.19298245614036</v>
      </c>
      <c r="F299" s="1589">
        <f>F311/(1+0.172)</f>
        <v>159.21501706484642</v>
      </c>
      <c r="G299" s="3687">
        <f>G311/(1+0.367)</f>
        <v>164.19166057059252</v>
      </c>
      <c r="H299" s="1589">
        <f>H311/(1+0.343)</f>
        <v>148.89054355919583</v>
      </c>
      <c r="I299" s="3687">
        <f>I311/(1+0.255)</f>
        <v>161.49003984063745</v>
      </c>
      <c r="J299" s="1589">
        <f>J311/(1+0.367)</f>
        <v>155.04023408924652</v>
      </c>
      <c r="K299" s="1590">
        <f>K311/(1+0.372)</f>
        <v>165.24052478134112</v>
      </c>
      <c r="L299" s="2398">
        <f t="shared" si="2"/>
        <v>-6.9255954999847269E-5</v>
      </c>
    </row>
    <row r="300" spans="1:12">
      <c r="A300" s="81">
        <f t="shared" si="1"/>
        <v>2016.03</v>
      </c>
      <c r="B300" s="1584">
        <v>158.72</v>
      </c>
      <c r="C300" s="1588">
        <f>C312/(1+0.271)</f>
        <v>156.42800944138475</v>
      </c>
      <c r="D300" s="1589">
        <f>D312/(1+0.199)</f>
        <v>154.67889908256882</v>
      </c>
      <c r="E300" s="3687">
        <f>E312/(1+0.534)</f>
        <v>159.3024771838331</v>
      </c>
      <c r="F300" s="1589">
        <f>F312/(1+0.133)</f>
        <v>163.75992939099734</v>
      </c>
      <c r="G300" s="3687">
        <f>G312/(1+0.386)</f>
        <v>168.19624819624818</v>
      </c>
      <c r="H300" s="1589">
        <f>H312/(1+0.329)</f>
        <v>153.28066215199399</v>
      </c>
      <c r="I300" s="3687">
        <f>I312/(1+0.244)</f>
        <v>161.92926045016077</v>
      </c>
      <c r="J300" s="1589">
        <f>J312/(1+0.278)</f>
        <v>173.34115805946792</v>
      </c>
      <c r="K300" s="1590">
        <f>K312/(1+0.374)</f>
        <v>167.72925764192138</v>
      </c>
      <c r="L300" s="2398">
        <f t="shared" si="2"/>
        <v>9.0243565384229285E-5</v>
      </c>
    </row>
    <row r="301" spans="1:12">
      <c r="A301" s="81">
        <f t="shared" si="1"/>
        <v>2016.04</v>
      </c>
      <c r="B301" s="1584">
        <v>165.74</v>
      </c>
      <c r="C301" s="1588">
        <f>C313/(1+0.276)</f>
        <v>159.08307210031347</v>
      </c>
      <c r="D301" s="1589">
        <f>D313/(1+0.146)</f>
        <v>169.52006980802796</v>
      </c>
      <c r="E301" s="3687">
        <f>E313/(1+0.385)</f>
        <v>185.09747292418774</v>
      </c>
      <c r="F301" s="1589">
        <f>F313/(1+0.111)</f>
        <v>168.28082808280828</v>
      </c>
      <c r="G301" s="3687">
        <f>G313/(1+0.388)</f>
        <v>170.18731988472624</v>
      </c>
      <c r="H301" s="1589">
        <f>H313/(1+0.306)</f>
        <v>159.15007656967839</v>
      </c>
      <c r="I301" s="3687">
        <f>I313/(1+0.255)</f>
        <v>162.9163346613546</v>
      </c>
      <c r="J301" s="1589">
        <f>J313/(1+0.253)</f>
        <v>180.03990422984836</v>
      </c>
      <c r="K301" s="1590">
        <f>K313/(1+0.335)</f>
        <v>175.4307116104869</v>
      </c>
      <c r="L301" s="2398">
        <f t="shared" si="2"/>
        <v>-1.3881339697496831E-4</v>
      </c>
    </row>
    <row r="302" spans="1:12">
      <c r="A302" s="81">
        <f t="shared" si="1"/>
        <v>2016.05</v>
      </c>
      <c r="B302" s="1584">
        <v>171.96</v>
      </c>
      <c r="C302" s="1588">
        <f>C314/(1+0.241)</f>
        <v>165.18936341659949</v>
      </c>
      <c r="D302" s="1589">
        <f>D314/(1+0.158)</f>
        <v>172.81519861830745</v>
      </c>
      <c r="E302" s="3687">
        <f>E314/(1+0.388)</f>
        <v>184.94956772334294</v>
      </c>
      <c r="F302" s="1589">
        <f>F314/(1+0.094)</f>
        <v>172.21206581352834</v>
      </c>
      <c r="G302" s="3687">
        <f>G314/(1+0.365)</f>
        <v>176.35164835164835</v>
      </c>
      <c r="H302" s="1589">
        <f>H314/(1+0.282)</f>
        <v>170.05460218408734</v>
      </c>
      <c r="I302" s="3687">
        <f>I314/(1+0.271)</f>
        <v>162.39968528717546</v>
      </c>
      <c r="J302" s="1589">
        <f>J314/(1+0.301)</f>
        <v>181.29131437355883</v>
      </c>
      <c r="K302" s="1590">
        <f>K314/(1+0.181)</f>
        <v>200.22861981371719</v>
      </c>
      <c r="L302" s="2398">
        <f t="shared" si="2"/>
        <v>3.4285079006934893E-6</v>
      </c>
    </row>
    <row r="303" spans="1:12">
      <c r="A303" s="81">
        <f t="shared" si="1"/>
        <v>2016.06</v>
      </c>
      <c r="B303" s="1584">
        <v>177.22</v>
      </c>
      <c r="C303" s="1588">
        <f>C315/(1+0.215)</f>
        <v>169.75308641975309</v>
      </c>
      <c r="D303" s="1589">
        <f>D315/(1+0.148)</f>
        <v>176.08885017421605</v>
      </c>
      <c r="E303" s="3687">
        <f>E315/(1+0.401)</f>
        <v>187.88722341184868</v>
      </c>
      <c r="F303" s="1589">
        <f>F315/(1+0.114)</f>
        <v>171.02333931777378</v>
      </c>
      <c r="G303" s="3687">
        <f>G315/(1+0.262)</f>
        <v>192.24247226624408</v>
      </c>
      <c r="H303" s="1589">
        <f>H315/(1+0.223)</f>
        <v>180.52330335241209</v>
      </c>
      <c r="I303" s="3687">
        <f>I315/(1+0.278)</f>
        <v>164.81220657276995</v>
      </c>
      <c r="J303" s="1589">
        <f>J315/(1+0.307)</f>
        <v>187.04667176740628</v>
      </c>
      <c r="K303" s="1590">
        <f>K315/(1+0.193)</f>
        <v>200.70410729253982</v>
      </c>
      <c r="L303" s="2398">
        <f t="shared" si="2"/>
        <v>4.0481691638172279E-5</v>
      </c>
    </row>
    <row r="304" spans="1:12">
      <c r="A304" s="81">
        <f t="shared" si="1"/>
        <v>2016.07</v>
      </c>
      <c r="B304" s="1584">
        <v>180.85</v>
      </c>
      <c r="C304" s="1588">
        <f>C316/(1+0.197)</f>
        <v>174.47786131996656</v>
      </c>
      <c r="D304" s="1589">
        <f>D316/(1+0.135)</f>
        <v>175.66519823788545</v>
      </c>
      <c r="E304" s="3687">
        <f>E316/(1+0.391)</f>
        <v>192.65995686556434</v>
      </c>
      <c r="F304" s="1589">
        <f>F316/(1+0.104)</f>
        <v>175.32608695652172</v>
      </c>
      <c r="G304" s="3687">
        <f>G316/(1+0.29)</f>
        <v>194.62015503875969</v>
      </c>
      <c r="H304" s="1589">
        <f>H316/(1+0.271)</f>
        <v>180.40912667191191</v>
      </c>
      <c r="I304" s="3687">
        <f>I316/(1+0.243)</f>
        <v>176.38777152051489</v>
      </c>
      <c r="J304" s="1589">
        <f>J316/(1+0.3)</f>
        <v>190.37692307692308</v>
      </c>
      <c r="K304" s="1590">
        <f>K316/(1+0.192)</f>
        <v>203.3053691275168</v>
      </c>
      <c r="L304" s="2398">
        <f t="shared" si="2"/>
        <v>2.2349975752677942E-4</v>
      </c>
    </row>
    <row r="305" spans="1:12">
      <c r="A305" s="81">
        <f t="shared" si="1"/>
        <v>2016.08</v>
      </c>
      <c r="B305" s="1584">
        <v>181.5</v>
      </c>
      <c r="C305" s="1588">
        <f>C317/(1+0.209)</f>
        <v>175.66583953680725</v>
      </c>
      <c r="D305" s="1589">
        <f>D317/(1+0.16)</f>
        <v>167.37068965517244</v>
      </c>
      <c r="E305" s="3687">
        <f>E317/(1+0.466)</f>
        <v>187.31241473397</v>
      </c>
      <c r="F305" s="1589">
        <f>F317/(1+0.12)</f>
        <v>175.66071428571428</v>
      </c>
      <c r="G305" s="3687">
        <f>G317/(1+0.332)</f>
        <v>196.41141141141139</v>
      </c>
      <c r="H305" s="1589">
        <f>H317/(1+0.28)</f>
        <v>181.3125</v>
      </c>
      <c r="I305" s="3687">
        <f>I317/(1+0.215)</f>
        <v>179.62139917695472</v>
      </c>
      <c r="J305" s="1589">
        <f>J317/(1+0.283)</f>
        <v>196.76539360872954</v>
      </c>
      <c r="K305" s="1590">
        <f>K317/(1+0.201)</f>
        <v>206.35303913405497</v>
      </c>
      <c r="L305" s="2398">
        <f t="shared" si="2"/>
        <v>-3.126525437702643E-3</v>
      </c>
    </row>
    <row r="306" spans="1:12">
      <c r="A306" s="81">
        <f t="shared" si="1"/>
        <v>2016.09</v>
      </c>
      <c r="B306" s="1584">
        <v>182.75</v>
      </c>
      <c r="C306" s="1588">
        <f>C318/(1+0.202)</f>
        <v>178.91846921797006</v>
      </c>
      <c r="D306" s="1589">
        <f>D318/(1+0.131)</f>
        <v>173.71352785145888</v>
      </c>
      <c r="E306" s="3687">
        <f>E318/(1+0.561)</f>
        <v>178.35361947469573</v>
      </c>
      <c r="F306" s="1589">
        <f>F318/(1+0.115)</f>
        <v>178.97757847533632</v>
      </c>
      <c r="G306" s="3687">
        <f>G318/(1+0.343)</f>
        <v>199.49367088607596</v>
      </c>
      <c r="H306" s="1589">
        <f>H318/(1+0.309)</f>
        <v>181.45148968678382</v>
      </c>
      <c r="I306" s="3687">
        <f>I318/(1+0.192)</f>
        <v>184.86577181208057</v>
      </c>
      <c r="J306" s="1589">
        <f>J318/(1+0.303)</f>
        <v>197.36761320030701</v>
      </c>
      <c r="K306" s="1590">
        <f>K318/(1+0.191)</f>
        <v>209.87405541561714</v>
      </c>
      <c r="L306" s="2398">
        <f t="shared" si="2"/>
        <v>-1.2044552652068496E-4</v>
      </c>
    </row>
    <row r="307" spans="1:12">
      <c r="A307" s="81">
        <f t="shared" si="1"/>
        <v>2016.1</v>
      </c>
      <c r="B307" s="1591">
        <v>187.34</v>
      </c>
      <c r="C307" s="1584">
        <v>181.66</v>
      </c>
      <c r="D307" s="1592">
        <v>184.65</v>
      </c>
      <c r="E307" s="3688">
        <v>179.64</v>
      </c>
      <c r="F307" s="1592">
        <v>178.88</v>
      </c>
      <c r="G307" s="3688">
        <v>210.77</v>
      </c>
      <c r="H307" s="1592">
        <v>188.48</v>
      </c>
      <c r="I307" s="3688">
        <v>189.87</v>
      </c>
      <c r="J307" s="1592">
        <v>202.76</v>
      </c>
      <c r="K307" s="1593">
        <v>211.8</v>
      </c>
      <c r="L307" s="2398">
        <f t="shared" si="2"/>
        <v>-3.5176684104465394E-6</v>
      </c>
    </row>
    <row r="308" spans="1:12">
      <c r="A308" s="81">
        <f t="shared" si="1"/>
        <v>2016.11</v>
      </c>
      <c r="B308" s="1591">
        <v>188.79</v>
      </c>
      <c r="C308" s="1584">
        <v>183.6</v>
      </c>
      <c r="D308" s="1594">
        <v>184.4</v>
      </c>
      <c r="E308" s="3608">
        <v>183.12</v>
      </c>
      <c r="F308" s="1594">
        <v>178.93</v>
      </c>
      <c r="G308" s="3608">
        <v>212.37</v>
      </c>
      <c r="H308" s="1594">
        <v>190.78</v>
      </c>
      <c r="I308" s="3608">
        <v>187.22</v>
      </c>
      <c r="J308" s="1594">
        <v>202.57</v>
      </c>
      <c r="K308" s="1595">
        <v>215.48</v>
      </c>
      <c r="L308" s="2398">
        <f t="shared" si="2"/>
        <v>1.2712537740267038E-6</v>
      </c>
    </row>
    <row r="309" spans="1:12">
      <c r="A309" s="81">
        <f t="shared" si="1"/>
        <v>2016.12</v>
      </c>
      <c r="B309" s="1591">
        <v>191.84</v>
      </c>
      <c r="C309" s="1584">
        <v>187.62</v>
      </c>
      <c r="D309" s="1594">
        <v>184.43</v>
      </c>
      <c r="E309" s="3608">
        <v>187.88</v>
      </c>
      <c r="F309" s="1594">
        <v>182.95</v>
      </c>
      <c r="G309" s="3608">
        <v>213.97</v>
      </c>
      <c r="H309" s="1594">
        <v>191.69</v>
      </c>
      <c r="I309" s="3608">
        <v>192.73</v>
      </c>
      <c r="J309" s="1594">
        <v>203.04</v>
      </c>
      <c r="K309" s="1595">
        <v>219.26</v>
      </c>
      <c r="L309" s="2398">
        <f t="shared" si="2"/>
        <v>2.4676814011748149E-5</v>
      </c>
    </row>
    <row r="310" spans="1:12">
      <c r="A310" s="81">
        <f t="shared" si="1"/>
        <v>2017.01</v>
      </c>
      <c r="B310" s="1591">
        <v>195.82</v>
      </c>
      <c r="C310" s="1584">
        <v>190.81</v>
      </c>
      <c r="D310" s="1594">
        <v>184.8</v>
      </c>
      <c r="E310" s="3608">
        <v>199.22</v>
      </c>
      <c r="F310" s="1594">
        <v>184.4</v>
      </c>
      <c r="G310" s="3608">
        <v>217.73</v>
      </c>
      <c r="H310" s="1594">
        <v>194.58</v>
      </c>
      <c r="I310" s="3608">
        <v>198.79</v>
      </c>
      <c r="J310" s="1594">
        <v>209.89</v>
      </c>
      <c r="K310" s="1595">
        <v>222.45</v>
      </c>
      <c r="L310" s="2398">
        <f t="shared" si="2"/>
        <v>-3.3091614746183495E-6</v>
      </c>
    </row>
    <row r="311" spans="1:12">
      <c r="A311" s="81">
        <f t="shared" si="1"/>
        <v>2017.02</v>
      </c>
      <c r="B311" s="1596">
        <v>201.09</v>
      </c>
      <c r="C311" s="1584">
        <v>193.12</v>
      </c>
      <c r="D311" s="1592">
        <v>182.38</v>
      </c>
      <c r="E311" s="3688">
        <v>224</v>
      </c>
      <c r="F311" s="1592">
        <v>186.6</v>
      </c>
      <c r="G311" s="3688">
        <v>224.45</v>
      </c>
      <c r="H311" s="1592">
        <v>199.96</v>
      </c>
      <c r="I311" s="3688">
        <v>202.67</v>
      </c>
      <c r="J311" s="1592">
        <v>211.94</v>
      </c>
      <c r="K311" s="1593">
        <v>226.71</v>
      </c>
      <c r="L311" s="2398">
        <f t="shared" si="2"/>
        <v>-8.2152270126645277E-6</v>
      </c>
    </row>
    <row r="312" spans="1:12">
      <c r="A312" s="81">
        <f t="shared" si="1"/>
        <v>2017.03</v>
      </c>
      <c r="B312" s="1596">
        <v>206.76</v>
      </c>
      <c r="C312" s="1584">
        <v>198.82</v>
      </c>
      <c r="D312" s="1592">
        <v>185.46</v>
      </c>
      <c r="E312" s="3688">
        <v>244.37</v>
      </c>
      <c r="F312" s="1592">
        <v>185.54</v>
      </c>
      <c r="G312" s="3688">
        <v>233.12</v>
      </c>
      <c r="H312" s="1592">
        <v>203.71</v>
      </c>
      <c r="I312" s="3688">
        <v>201.44</v>
      </c>
      <c r="J312" s="1592">
        <v>221.53</v>
      </c>
      <c r="K312" s="1593">
        <v>230.46</v>
      </c>
      <c r="L312" s="2398">
        <f t="shared" si="2"/>
        <v>-2.6818533565453606E-5</v>
      </c>
    </row>
    <row r="313" spans="1:12">
      <c r="A313" s="81">
        <f t="shared" si="1"/>
        <v>2017.04</v>
      </c>
      <c r="B313" s="1596">
        <v>211.72</v>
      </c>
      <c r="C313" s="1584">
        <v>202.99</v>
      </c>
      <c r="D313" s="1592">
        <v>194.27</v>
      </c>
      <c r="E313" s="3688">
        <v>256.36</v>
      </c>
      <c r="F313" s="1592">
        <v>186.96</v>
      </c>
      <c r="G313" s="3688">
        <v>236.22</v>
      </c>
      <c r="H313" s="1592">
        <v>207.85</v>
      </c>
      <c r="I313" s="3688">
        <v>204.46</v>
      </c>
      <c r="J313" s="1592">
        <v>225.59</v>
      </c>
      <c r="K313" s="1593">
        <v>234.2</v>
      </c>
      <c r="L313" s="2398">
        <f t="shared" si="2"/>
        <v>-2.246363121105599E-5</v>
      </c>
    </row>
    <row r="314" spans="1:12">
      <c r="A314" s="81">
        <f t="shared" si="1"/>
        <v>2017.05</v>
      </c>
      <c r="B314" s="1596">
        <v>215.74</v>
      </c>
      <c r="C314" s="1584">
        <v>205</v>
      </c>
      <c r="D314" s="1592">
        <v>200.12</v>
      </c>
      <c r="E314" s="3688">
        <v>256.70999999999998</v>
      </c>
      <c r="F314" s="1592">
        <v>188.4</v>
      </c>
      <c r="G314" s="3688">
        <v>240.72</v>
      </c>
      <c r="H314" s="1592">
        <v>218.01</v>
      </c>
      <c r="I314" s="3688">
        <v>206.41</v>
      </c>
      <c r="J314" s="1592">
        <v>235.86</v>
      </c>
      <c r="K314" s="1593">
        <v>236.47</v>
      </c>
      <c r="L314" s="2398">
        <f t="shared" si="2"/>
        <v>9.6644108649179827E-6</v>
      </c>
    </row>
    <row r="315" spans="1:12">
      <c r="A315" s="81">
        <f t="shared" si="1"/>
        <v>2017.06</v>
      </c>
      <c r="B315" s="1596">
        <v>218.52</v>
      </c>
      <c r="C315" s="1584">
        <v>206.25</v>
      </c>
      <c r="D315" s="1592">
        <v>202.15</v>
      </c>
      <c r="E315" s="3688">
        <v>263.23</v>
      </c>
      <c r="F315" s="1592">
        <v>190.52</v>
      </c>
      <c r="G315" s="3688">
        <v>242.61</v>
      </c>
      <c r="H315" s="1592">
        <v>220.78</v>
      </c>
      <c r="I315" s="3688">
        <v>210.63</v>
      </c>
      <c r="J315" s="1592">
        <v>244.47</v>
      </c>
      <c r="K315" s="1593">
        <v>239.44</v>
      </c>
      <c r="L315" s="2398">
        <f t="shared" si="2"/>
        <v>2.4157971810323531E-5</v>
      </c>
    </row>
    <row r="316" spans="1:12">
      <c r="A316" s="81">
        <f t="shared" si="1"/>
        <v>2017.07</v>
      </c>
      <c r="B316" s="1596">
        <v>222.94</v>
      </c>
      <c r="C316" s="1584">
        <v>208.85</v>
      </c>
      <c r="D316" s="1592">
        <v>199.38</v>
      </c>
      <c r="E316" s="3688">
        <v>267.99</v>
      </c>
      <c r="F316" s="1592">
        <v>193.56</v>
      </c>
      <c r="G316" s="3688">
        <v>251.06</v>
      </c>
      <c r="H316" s="1592">
        <v>229.3</v>
      </c>
      <c r="I316" s="3688">
        <v>219.25</v>
      </c>
      <c r="J316" s="1592">
        <v>247.49</v>
      </c>
      <c r="K316" s="1593">
        <v>242.34</v>
      </c>
      <c r="L316" s="2398">
        <f t="shared" si="2"/>
        <v>-3.148829281429677E-6</v>
      </c>
    </row>
    <row r="317" spans="1:12">
      <c r="A317" s="81">
        <f t="shared" si="1"/>
        <v>2017.08</v>
      </c>
      <c r="B317" s="1596">
        <v>226.03</v>
      </c>
      <c r="C317" s="1584">
        <v>212.38</v>
      </c>
      <c r="D317" s="1592">
        <v>194.15</v>
      </c>
      <c r="E317" s="3688">
        <v>274.60000000000002</v>
      </c>
      <c r="F317" s="1592">
        <v>196.74</v>
      </c>
      <c r="G317" s="3688">
        <v>261.62</v>
      </c>
      <c r="H317" s="1592">
        <v>232.08</v>
      </c>
      <c r="I317" s="3688">
        <v>218.24</v>
      </c>
      <c r="J317" s="1592">
        <v>252.45</v>
      </c>
      <c r="K317" s="1593">
        <v>247.83</v>
      </c>
      <c r="L317" s="2398">
        <f t="shared" si="2"/>
        <v>-1.017564039695884E-7</v>
      </c>
    </row>
    <row r="318" spans="1:12">
      <c r="A318" s="81">
        <f t="shared" si="1"/>
        <v>2017.09</v>
      </c>
      <c r="B318" s="1596">
        <v>229.52</v>
      </c>
      <c r="C318" s="1584">
        <v>215.06</v>
      </c>
      <c r="D318" s="1592">
        <v>196.47</v>
      </c>
      <c r="E318" s="3688">
        <v>278.41000000000003</v>
      </c>
      <c r="F318" s="1592">
        <v>199.56</v>
      </c>
      <c r="G318" s="3688">
        <v>267.92</v>
      </c>
      <c r="H318" s="1592">
        <v>237.52</v>
      </c>
      <c r="I318" s="3688">
        <v>220.36</v>
      </c>
      <c r="J318" s="1592">
        <v>257.17</v>
      </c>
      <c r="K318" s="1593">
        <v>249.96</v>
      </c>
      <c r="L318" s="2398">
        <f t="shared" si="2"/>
        <v>-2.4063262460849444E-5</v>
      </c>
    </row>
    <row r="319" spans="1:12">
      <c r="A319" s="81">
        <f t="shared" si="1"/>
        <v>2017.1</v>
      </c>
      <c r="B319" s="1596">
        <v>232.41</v>
      </c>
      <c r="C319" s="1584">
        <v>218.04</v>
      </c>
      <c r="D319" s="1592">
        <v>201.18</v>
      </c>
      <c r="E319" s="3688">
        <v>281.12</v>
      </c>
      <c r="F319" s="1592">
        <v>201.33</v>
      </c>
      <c r="G319" s="3688">
        <v>270.89</v>
      </c>
      <c r="H319" s="1592">
        <v>240.6</v>
      </c>
      <c r="I319" s="3688">
        <v>221.62</v>
      </c>
      <c r="J319" s="1592">
        <v>258.32</v>
      </c>
      <c r="K319" s="1593">
        <v>254.16</v>
      </c>
      <c r="L319" s="2398">
        <f t="shared" si="2"/>
        <v>-1.3131965061696782E-5</v>
      </c>
    </row>
    <row r="320" spans="1:12">
      <c r="A320" s="81">
        <f t="shared" si="1"/>
        <v>2017.11</v>
      </c>
      <c r="B320" s="1596">
        <v>235.93</v>
      </c>
      <c r="C320" s="1584">
        <v>221.34</v>
      </c>
      <c r="D320" s="1592">
        <v>204.08</v>
      </c>
      <c r="E320" s="3688">
        <v>283.94</v>
      </c>
      <c r="F320" s="1592">
        <v>202.71</v>
      </c>
      <c r="G320" s="3688">
        <v>272.70999999999998</v>
      </c>
      <c r="H320" s="1592">
        <v>247.84</v>
      </c>
      <c r="I320" s="3688">
        <v>223.1</v>
      </c>
      <c r="J320" s="1592">
        <v>260.43</v>
      </c>
      <c r="K320" s="1593">
        <v>257.08</v>
      </c>
      <c r="L320" s="2398">
        <f t="shared" si="2"/>
        <v>-2.3286568049840639E-5</v>
      </c>
    </row>
    <row r="321" spans="1:12">
      <c r="A321" s="81">
        <f t="shared" si="1"/>
        <v>2017.12</v>
      </c>
      <c r="B321" s="1596">
        <v>241.85</v>
      </c>
      <c r="C321" s="1584">
        <v>223.32</v>
      </c>
      <c r="D321" s="1592">
        <v>205.11</v>
      </c>
      <c r="E321" s="3688">
        <v>308.14</v>
      </c>
      <c r="F321" s="1592">
        <v>204.55</v>
      </c>
      <c r="G321" s="3688">
        <v>279.61</v>
      </c>
      <c r="H321" s="1592">
        <v>256.42</v>
      </c>
      <c r="I321" s="3688">
        <v>228</v>
      </c>
      <c r="J321" s="1592">
        <v>260.62</v>
      </c>
      <c r="K321" s="1593">
        <v>259.38</v>
      </c>
      <c r="L321" s="2398">
        <f t="shared" si="2"/>
        <v>-1.5650196402705596E-5</v>
      </c>
    </row>
    <row r="322" spans="1:12">
      <c r="A322" s="81">
        <f t="shared" si="1"/>
        <v>2018.01</v>
      </c>
      <c r="B322" s="1596">
        <v>246.14</v>
      </c>
      <c r="C322" s="1584">
        <v>228.27</v>
      </c>
      <c r="D322" s="1592">
        <v>207.05</v>
      </c>
      <c r="E322" s="3688">
        <v>311.05</v>
      </c>
      <c r="F322" s="1592">
        <v>206.25</v>
      </c>
      <c r="G322" s="3688">
        <v>283.68</v>
      </c>
      <c r="H322" s="1592">
        <v>260.06</v>
      </c>
      <c r="I322" s="3688">
        <v>234.09</v>
      </c>
      <c r="J322" s="1592">
        <v>262.43</v>
      </c>
      <c r="K322" s="1593">
        <v>270.69</v>
      </c>
      <c r="L322" s="2398">
        <f t="shared" si="2"/>
        <v>-1.7510359956451893E-6</v>
      </c>
    </row>
    <row r="323" spans="1:12">
      <c r="A323" s="81">
        <f t="shared" si="1"/>
        <v>2018.02</v>
      </c>
      <c r="B323" s="1597">
        <v>253.15</v>
      </c>
      <c r="C323" s="1598">
        <v>232.78</v>
      </c>
      <c r="D323" s="1594">
        <v>204.73</v>
      </c>
      <c r="E323" s="3608">
        <v>331.31</v>
      </c>
      <c r="F323" s="1594">
        <v>208.33</v>
      </c>
      <c r="G323" s="3608">
        <v>289.45</v>
      </c>
      <c r="H323" s="1594">
        <v>274.23</v>
      </c>
      <c r="I323" s="3608">
        <v>236.43</v>
      </c>
      <c r="J323" s="1594">
        <v>263.86</v>
      </c>
      <c r="K323" s="1595">
        <v>275.63</v>
      </c>
      <c r="L323" s="2398">
        <f t="shared" si="2"/>
        <v>-1.9206004345351246E-5</v>
      </c>
    </row>
    <row r="324" spans="1:12">
      <c r="A324" s="81">
        <f t="shared" si="1"/>
        <v>2018.03</v>
      </c>
      <c r="B324" s="1597">
        <v>258.49</v>
      </c>
      <c r="C324" s="1598">
        <v>239.25</v>
      </c>
      <c r="D324" s="1594">
        <v>207.47</v>
      </c>
      <c r="E324" s="3608">
        <v>335.59</v>
      </c>
      <c r="F324" s="1594">
        <v>212.04</v>
      </c>
      <c r="G324" s="3608">
        <v>294.20999999999998</v>
      </c>
      <c r="H324" s="1594">
        <v>280.14999999999998</v>
      </c>
      <c r="I324" s="3608">
        <v>239.24</v>
      </c>
      <c r="J324" s="1594">
        <v>281.97000000000003</v>
      </c>
      <c r="K324" s="1595">
        <v>279.27999999999997</v>
      </c>
      <c r="L324" s="2398">
        <f t="shared" si="2"/>
        <v>6.9480444118141804E-6</v>
      </c>
    </row>
    <row r="325" spans="1:12">
      <c r="A325" s="81">
        <f t="shared" si="1"/>
        <v>2018.04</v>
      </c>
      <c r="B325" s="1597">
        <v>265.58999999999997</v>
      </c>
      <c r="C325" s="1598">
        <v>243.41</v>
      </c>
      <c r="D325" s="1594">
        <v>215.69</v>
      </c>
      <c r="E325" s="3608">
        <v>355.31</v>
      </c>
      <c r="F325" s="1594">
        <v>217.18</v>
      </c>
      <c r="G325" s="3608">
        <v>299.27</v>
      </c>
      <c r="H325" s="1594">
        <v>290.33</v>
      </c>
      <c r="I325" s="3608">
        <v>240.23</v>
      </c>
      <c r="J325" s="1594">
        <v>285.41000000000003</v>
      </c>
      <c r="K325" s="1595">
        <v>284.07</v>
      </c>
      <c r="L325" s="2398">
        <f t="shared" si="2"/>
        <v>-1.7222033962038807E-5</v>
      </c>
    </row>
    <row r="326" spans="1:12">
      <c r="A326" s="81">
        <f t="shared" si="1"/>
        <v>2018.05</v>
      </c>
      <c r="B326" s="1597">
        <v>272.76</v>
      </c>
      <c r="C326" s="1598">
        <v>251.24</v>
      </c>
      <c r="D326" s="1594">
        <v>221.81</v>
      </c>
      <c r="E326" s="3608">
        <v>362.58</v>
      </c>
      <c r="F326" s="1594">
        <v>223.13</v>
      </c>
      <c r="G326" s="3608">
        <v>303.68</v>
      </c>
      <c r="H326" s="1594">
        <v>295.56</v>
      </c>
      <c r="I326" s="3608">
        <v>253.12</v>
      </c>
      <c r="J326" s="1594">
        <v>292.87</v>
      </c>
      <c r="K326" s="1595">
        <v>290.8</v>
      </c>
      <c r="L326" s="2398">
        <f t="shared" si="2"/>
        <v>-1.8100161313872043E-5</v>
      </c>
    </row>
    <row r="327" spans="1:12">
      <c r="A327" s="81">
        <f t="shared" si="1"/>
        <v>2018.06</v>
      </c>
      <c r="B327" s="1597">
        <v>282.82</v>
      </c>
      <c r="C327" s="1598">
        <v>263.64</v>
      </c>
      <c r="D327" s="1594">
        <v>227.76</v>
      </c>
      <c r="E327" s="3608">
        <v>368.14</v>
      </c>
      <c r="F327" s="1594">
        <v>234.52</v>
      </c>
      <c r="G327" s="3608">
        <v>316.31</v>
      </c>
      <c r="H327" s="1594">
        <v>305.23</v>
      </c>
      <c r="I327" s="3608">
        <v>260.76</v>
      </c>
      <c r="J327" s="1594">
        <v>308.83</v>
      </c>
      <c r="K327" s="1595">
        <v>299.64</v>
      </c>
      <c r="L327" s="2398">
        <f t="shared" si="2"/>
        <v>-1.4320062230455122E-6</v>
      </c>
    </row>
    <row r="328" spans="1:12">
      <c r="A328" s="81">
        <f t="shared" si="1"/>
        <v>2018.07</v>
      </c>
      <c r="B328" s="1597">
        <v>292.44</v>
      </c>
      <c r="C328" s="1598">
        <v>272.73</v>
      </c>
      <c r="D328" s="1594">
        <v>230.1</v>
      </c>
      <c r="E328" s="3608">
        <v>372.64</v>
      </c>
      <c r="F328" s="1594">
        <v>244.82</v>
      </c>
      <c r="G328" s="3608">
        <v>325.38</v>
      </c>
      <c r="H328" s="1594">
        <v>319.49</v>
      </c>
      <c r="I328" s="3608">
        <v>274.98</v>
      </c>
      <c r="J328" s="1594">
        <v>313.5</v>
      </c>
      <c r="K328" s="1595">
        <v>312.02</v>
      </c>
      <c r="L328" s="2398">
        <f t="shared" ref="L328:L359" si="3">(C328*C$6+D328*D$6+E328*E$6+F328*F$6+G328*G$6+H328*H$6+I328*I$6+J328*J$6+K328*K$6)/B328-1</f>
        <v>-3.077554366903712E-8</v>
      </c>
    </row>
    <row r="329" spans="1:12">
      <c r="A329" s="81">
        <f t="shared" si="1"/>
        <v>2018.08</v>
      </c>
      <c r="B329" s="1597">
        <v>303.97000000000003</v>
      </c>
      <c r="C329" s="1598">
        <v>282.06</v>
      </c>
      <c r="D329" s="1594">
        <v>231.26</v>
      </c>
      <c r="E329" s="3608">
        <v>389.79</v>
      </c>
      <c r="F329" s="1594">
        <v>253.47</v>
      </c>
      <c r="G329" s="3608">
        <v>338.6</v>
      </c>
      <c r="H329" s="1594">
        <v>339.1</v>
      </c>
      <c r="I329" s="3608">
        <v>280.87</v>
      </c>
      <c r="J329" s="1594">
        <v>318.88</v>
      </c>
      <c r="K329" s="1595">
        <v>328.48</v>
      </c>
      <c r="L329" s="2398">
        <f t="shared" si="3"/>
        <v>-2.6055202816066547E-5</v>
      </c>
    </row>
    <row r="330" spans="1:12">
      <c r="A330" s="81">
        <f t="shared" si="1"/>
        <v>2018.09</v>
      </c>
      <c r="B330" s="1597">
        <v>323.05</v>
      </c>
      <c r="C330" s="1598">
        <v>299.24</v>
      </c>
      <c r="D330" s="1594">
        <v>240.05</v>
      </c>
      <c r="E330" s="3608">
        <v>400.15</v>
      </c>
      <c r="F330" s="1594">
        <v>281.16000000000003</v>
      </c>
      <c r="G330" s="3608">
        <v>352.96</v>
      </c>
      <c r="H330" s="1594">
        <v>360.73</v>
      </c>
      <c r="I330" s="3608">
        <v>303.2</v>
      </c>
      <c r="J330" s="1594">
        <v>332.04</v>
      </c>
      <c r="K330" s="1595">
        <v>374.38</v>
      </c>
      <c r="L330" s="2398">
        <f t="shared" si="3"/>
        <v>-1.6988082340185784E-5</v>
      </c>
    </row>
    <row r="331" spans="1:12">
      <c r="A331" s="81">
        <f t="shared" si="1"/>
        <v>2018.1</v>
      </c>
      <c r="B331" s="1597">
        <v>341.07</v>
      </c>
      <c r="C331" s="1598">
        <v>315.72000000000003</v>
      </c>
      <c r="D331" s="1594">
        <v>256.73</v>
      </c>
      <c r="E331" s="3608">
        <v>416.88</v>
      </c>
      <c r="F331" s="1594">
        <v>301.62</v>
      </c>
      <c r="G331" s="3608">
        <v>376.01</v>
      </c>
      <c r="H331" s="1594">
        <v>381.99</v>
      </c>
      <c r="I331" s="3608">
        <v>319.8</v>
      </c>
      <c r="J331" s="1594">
        <v>341.83</v>
      </c>
      <c r="K331" s="1595">
        <v>392.2</v>
      </c>
      <c r="L331" s="2398">
        <f t="shared" si="3"/>
        <v>-1.0836485178855604E-5</v>
      </c>
    </row>
    <row r="332" spans="1:12">
      <c r="A332" s="81">
        <f t="shared" si="1"/>
        <v>2018.11</v>
      </c>
      <c r="B332" s="1597">
        <v>351.87</v>
      </c>
      <c r="C332" s="1598">
        <v>327.23</v>
      </c>
      <c r="D332" s="1594">
        <v>265.45</v>
      </c>
      <c r="E332" s="3608">
        <v>420.69</v>
      </c>
      <c r="F332" s="1594">
        <v>313.36</v>
      </c>
      <c r="G332" s="3608">
        <v>387.09</v>
      </c>
      <c r="H332" s="1594">
        <v>398.19</v>
      </c>
      <c r="I332" s="3608">
        <v>325.3</v>
      </c>
      <c r="J332" s="1594">
        <v>347.47</v>
      </c>
      <c r="K332" s="1595">
        <v>405.78</v>
      </c>
      <c r="L332" s="2398">
        <f t="shared" si="3"/>
        <v>-2.9130076448669051E-5</v>
      </c>
    </row>
    <row r="333" spans="1:12">
      <c r="A333" s="81">
        <f t="shared" si="1"/>
        <v>2018.12</v>
      </c>
      <c r="B333" s="1597">
        <v>361.06</v>
      </c>
      <c r="C333" s="1598">
        <v>334.09</v>
      </c>
      <c r="D333" s="1594">
        <v>273.66000000000003</v>
      </c>
      <c r="E333" s="3608">
        <v>429.73</v>
      </c>
      <c r="F333" s="1594">
        <v>321.08</v>
      </c>
      <c r="G333" s="3608">
        <v>403.82</v>
      </c>
      <c r="H333" s="1594">
        <v>407.93</v>
      </c>
      <c r="I333" s="3608">
        <v>338.65</v>
      </c>
      <c r="J333" s="1594">
        <v>351.15</v>
      </c>
      <c r="K333" s="1595">
        <v>418.55</v>
      </c>
      <c r="L333" s="2398">
        <f t="shared" si="3"/>
        <v>-4.2078878856766089E-5</v>
      </c>
    </row>
    <row r="334" spans="1:12">
      <c r="A334" s="81">
        <f t="shared" si="1"/>
        <v>2019.01</v>
      </c>
      <c r="B334" s="1597">
        <v>373.42</v>
      </c>
      <c r="C334" s="1598">
        <v>344.45</v>
      </c>
      <c r="D334" s="1594">
        <v>273.87</v>
      </c>
      <c r="E334" s="3608">
        <v>459.92</v>
      </c>
      <c r="F334" s="1594">
        <v>333.71</v>
      </c>
      <c r="G334" s="3608">
        <v>415.68</v>
      </c>
      <c r="H334" s="1594">
        <v>419.89</v>
      </c>
      <c r="I334" s="3608">
        <v>353.01</v>
      </c>
      <c r="J334" s="1594">
        <v>352.77</v>
      </c>
      <c r="K334" s="1595">
        <v>431.86</v>
      </c>
      <c r="L334" s="2398">
        <f t="shared" si="3"/>
        <v>-2.1686037170010053E-5</v>
      </c>
    </row>
    <row r="335" spans="1:12">
      <c r="A335" s="81">
        <f t="shared" si="1"/>
        <v>2019.02</v>
      </c>
      <c r="B335" s="1597">
        <v>387.85</v>
      </c>
      <c r="C335" s="1598">
        <v>362.04</v>
      </c>
      <c r="D335" s="1594">
        <v>276.2</v>
      </c>
      <c r="E335" s="3608">
        <v>486.02</v>
      </c>
      <c r="F335" s="1594">
        <v>344.95</v>
      </c>
      <c r="G335" s="3608">
        <v>427.06</v>
      </c>
      <c r="H335" s="1594">
        <v>437.46</v>
      </c>
      <c r="I335" s="3608">
        <v>357.11</v>
      </c>
      <c r="J335" s="1594">
        <v>354.45</v>
      </c>
      <c r="K335" s="1595">
        <v>443.76</v>
      </c>
      <c r="L335" s="2398">
        <f t="shared" si="3"/>
        <v>-2.624726053901405E-5</v>
      </c>
    </row>
    <row r="336" spans="1:12">
      <c r="A336" s="81">
        <f t="shared" si="1"/>
        <v>2019.03</v>
      </c>
      <c r="B336" s="1597">
        <v>402.8</v>
      </c>
      <c r="C336" s="1598">
        <v>382.49</v>
      </c>
      <c r="D336" s="1594">
        <v>290.66000000000003</v>
      </c>
      <c r="E336" s="3608">
        <v>501.37</v>
      </c>
      <c r="F336" s="1594">
        <v>354.19</v>
      </c>
      <c r="G336" s="3608">
        <v>437.69</v>
      </c>
      <c r="H336" s="1594">
        <v>447.71</v>
      </c>
      <c r="I336" s="3608">
        <v>366.1</v>
      </c>
      <c r="J336" s="1594">
        <v>380.51</v>
      </c>
      <c r="K336" s="1595">
        <v>459.11</v>
      </c>
      <c r="L336" s="2398">
        <f t="shared" si="3"/>
        <v>-3.9049155908577049E-5</v>
      </c>
    </row>
    <row r="337" spans="1:12">
      <c r="A337" s="81">
        <f t="shared" si="1"/>
        <v>2019.04</v>
      </c>
      <c r="B337" s="1597">
        <v>416.66</v>
      </c>
      <c r="C337" s="1598">
        <v>397.43</v>
      </c>
      <c r="D337" s="1594">
        <v>310.74</v>
      </c>
      <c r="E337" s="3608">
        <v>518.11</v>
      </c>
      <c r="F337" s="1594">
        <v>367.06</v>
      </c>
      <c r="G337" s="3608">
        <v>453.1</v>
      </c>
      <c r="H337" s="1594">
        <v>459.12</v>
      </c>
      <c r="I337" s="3608">
        <v>374.65</v>
      </c>
      <c r="J337" s="1594">
        <v>388.02</v>
      </c>
      <c r="K337" s="1595">
        <v>471.19</v>
      </c>
      <c r="L337" s="2398">
        <f t="shared" si="3"/>
        <v>-1.9934718955560982E-5</v>
      </c>
    </row>
    <row r="338" spans="1:12">
      <c r="A338" s="81">
        <f t="shared" si="1"/>
        <v>2019.05</v>
      </c>
      <c r="B338" s="1597">
        <v>430.02</v>
      </c>
      <c r="C338" s="1598">
        <v>404.23</v>
      </c>
      <c r="D338" s="1594">
        <v>324.94</v>
      </c>
      <c r="E338" s="3608">
        <v>532.87</v>
      </c>
      <c r="F338" s="1594">
        <v>379.92</v>
      </c>
      <c r="G338" s="3608">
        <v>476.59</v>
      </c>
      <c r="H338" s="1594">
        <v>479.56</v>
      </c>
      <c r="I338" s="3608">
        <v>384.74</v>
      </c>
      <c r="J338" s="1594">
        <v>410.12</v>
      </c>
      <c r="K338" s="1595">
        <v>486.02</v>
      </c>
      <c r="L338" s="2398">
        <f t="shared" si="3"/>
        <v>-2.6445281614662086E-5</v>
      </c>
    </row>
    <row r="339" spans="1:12">
      <c r="A339" s="81">
        <f t="shared" si="1"/>
        <v>2019.06</v>
      </c>
      <c r="B339" s="1597">
        <v>441.97</v>
      </c>
      <c r="C339" s="1598">
        <v>412.09</v>
      </c>
      <c r="D339" s="1594">
        <v>332.93</v>
      </c>
      <c r="E339" s="3608">
        <v>543.88</v>
      </c>
      <c r="F339" s="1594">
        <v>392.55</v>
      </c>
      <c r="G339" s="3608">
        <v>494.31</v>
      </c>
      <c r="H339" s="1594">
        <v>494.16</v>
      </c>
      <c r="I339" s="3608">
        <v>407.12</v>
      </c>
      <c r="J339" s="1594">
        <v>418.99</v>
      </c>
      <c r="K339" s="1595">
        <v>498.63</v>
      </c>
      <c r="L339" s="2398">
        <f t="shared" si="3"/>
        <v>-1.9881439916935584E-5</v>
      </c>
    </row>
    <row r="340" spans="1:12">
      <c r="A340" s="81">
        <f t="shared" si="1"/>
        <v>2019.07</v>
      </c>
      <c r="B340" s="1597">
        <v>452.05</v>
      </c>
      <c r="C340" s="1598">
        <v>420.41</v>
      </c>
      <c r="D340" s="1594">
        <v>340.28</v>
      </c>
      <c r="E340" s="3608">
        <v>551.1</v>
      </c>
      <c r="F340" s="1594">
        <v>402.85</v>
      </c>
      <c r="G340" s="3608">
        <v>515.64</v>
      </c>
      <c r="H340" s="1594">
        <v>504.43</v>
      </c>
      <c r="I340" s="3608">
        <v>420.7</v>
      </c>
      <c r="J340" s="1594">
        <v>435.62</v>
      </c>
      <c r="K340" s="1595">
        <v>506.89</v>
      </c>
      <c r="L340" s="2398">
        <f t="shared" si="3"/>
        <v>-1.3540537551204324E-5</v>
      </c>
    </row>
    <row r="341" spans="1:12">
      <c r="A341" s="81">
        <f t="shared" si="1"/>
        <v>2019.08</v>
      </c>
      <c r="B341" s="1597">
        <v>468.85</v>
      </c>
      <c r="C341" s="1598">
        <v>439.99</v>
      </c>
      <c r="D341" s="1594">
        <v>348.98</v>
      </c>
      <c r="E341" s="3608">
        <v>558.80999999999995</v>
      </c>
      <c r="F341" s="1594">
        <v>426.69</v>
      </c>
      <c r="G341" s="3608">
        <v>534.41999999999996</v>
      </c>
      <c r="H341" s="1594">
        <v>524.19000000000005</v>
      </c>
      <c r="I341" s="3608">
        <v>431.43</v>
      </c>
      <c r="J341" s="1594">
        <v>444.52</v>
      </c>
      <c r="K341" s="1595">
        <v>528.20000000000005</v>
      </c>
      <c r="L341" s="2398">
        <f t="shared" si="3"/>
        <v>-2.8868508051727026E-5</v>
      </c>
    </row>
    <row r="342" spans="1:12">
      <c r="A342" s="81">
        <f t="shared" ref="A342:A405" si="4">A330+1</f>
        <v>2019.09</v>
      </c>
      <c r="B342" s="1597">
        <v>495.63</v>
      </c>
      <c r="C342" s="1598">
        <v>465.47</v>
      </c>
      <c r="D342" s="1594">
        <v>371.89</v>
      </c>
      <c r="E342" s="3608">
        <v>568.13</v>
      </c>
      <c r="F342" s="1594">
        <v>466.3</v>
      </c>
      <c r="G342" s="3608">
        <v>580.91</v>
      </c>
      <c r="H342" s="1594">
        <v>550.27</v>
      </c>
      <c r="I342" s="3608">
        <v>461.53</v>
      </c>
      <c r="J342" s="1594">
        <v>457.53</v>
      </c>
      <c r="K342" s="1595">
        <v>566.35</v>
      </c>
      <c r="L342" s="2398">
        <f t="shared" si="3"/>
        <v>-2.8513205415414689E-5</v>
      </c>
    </row>
    <row r="343" spans="1:12">
      <c r="A343" s="81">
        <f t="shared" si="4"/>
        <v>2019.1</v>
      </c>
      <c r="B343" s="1597">
        <v>511.1</v>
      </c>
      <c r="C343" s="1598">
        <v>476.06</v>
      </c>
      <c r="D343" s="1594">
        <v>393.19</v>
      </c>
      <c r="E343" s="3608">
        <v>576.04999999999995</v>
      </c>
      <c r="F343" s="1594">
        <v>481.72</v>
      </c>
      <c r="G343" s="3608">
        <v>605.49</v>
      </c>
      <c r="H343" s="1594">
        <v>569.44000000000005</v>
      </c>
      <c r="I343" s="3608">
        <v>479.84</v>
      </c>
      <c r="J343" s="1594">
        <v>472.44</v>
      </c>
      <c r="K343" s="1595">
        <v>589.5</v>
      </c>
      <c r="L343" s="2398">
        <f t="shared" si="3"/>
        <v>-1.0782625709193638E-5</v>
      </c>
    </row>
    <row r="344" spans="1:12">
      <c r="A344" s="81">
        <f t="shared" si="4"/>
        <v>2019.11</v>
      </c>
      <c r="B344" s="1597">
        <v>532.26</v>
      </c>
      <c r="C344" s="1598">
        <v>500.27</v>
      </c>
      <c r="D344" s="1598">
        <v>410.73</v>
      </c>
      <c r="E344" s="1598">
        <v>586.66</v>
      </c>
      <c r="F344" s="1598">
        <v>505.52</v>
      </c>
      <c r="G344" s="1598">
        <v>636.64</v>
      </c>
      <c r="H344" s="1598">
        <v>592.57000000000005</v>
      </c>
      <c r="I344" s="1598">
        <v>492.77</v>
      </c>
      <c r="J344" s="1598">
        <v>479.94</v>
      </c>
      <c r="K344" s="1598">
        <v>616.38</v>
      </c>
      <c r="L344" s="2398">
        <f t="shared" si="3"/>
        <v>-2.2338706646918283E-5</v>
      </c>
    </row>
    <row r="345" spans="1:12">
      <c r="A345" s="81">
        <f t="shared" si="4"/>
        <v>2019.12</v>
      </c>
      <c r="B345" s="1598">
        <v>552.72</v>
      </c>
      <c r="C345" s="1598">
        <v>517.02</v>
      </c>
      <c r="D345" s="1598">
        <v>424.19</v>
      </c>
      <c r="E345" s="1598">
        <v>593.64</v>
      </c>
      <c r="F345" s="1598">
        <v>516.95000000000005</v>
      </c>
      <c r="G345" s="1598">
        <v>675.44</v>
      </c>
      <c r="H345" s="1598">
        <v>626.02</v>
      </c>
      <c r="I345" s="1598">
        <v>523.87</v>
      </c>
      <c r="J345" s="1598">
        <v>483.54</v>
      </c>
      <c r="K345" s="1598">
        <v>633.5</v>
      </c>
      <c r="L345" s="2398">
        <f t="shared" si="3"/>
        <v>-1.4092126212172928E-5</v>
      </c>
    </row>
    <row r="346" spans="1:12">
      <c r="A346" s="81">
        <f t="shared" si="4"/>
        <v>2020.01</v>
      </c>
      <c r="B346" s="1598">
        <v>568.46</v>
      </c>
      <c r="C346" s="1598">
        <v>540.5</v>
      </c>
      <c r="D346" s="1598">
        <v>432.15</v>
      </c>
      <c r="E346" s="1598">
        <v>598.74</v>
      </c>
      <c r="F346" s="1598">
        <v>529.59</v>
      </c>
      <c r="G346" s="1598">
        <v>676.84</v>
      </c>
      <c r="H346" s="1598">
        <v>641.79999999999995</v>
      </c>
      <c r="I346" s="1598">
        <v>543.79</v>
      </c>
      <c r="J346" s="1598">
        <v>488.13</v>
      </c>
      <c r="K346" s="1598">
        <v>653.62</v>
      </c>
      <c r="L346" s="2398">
        <f t="shared" si="3"/>
        <v>-1.8694367237781506E-5</v>
      </c>
    </row>
    <row r="347" spans="1:12">
      <c r="A347" s="81">
        <f t="shared" si="4"/>
        <v>2020.02</v>
      </c>
      <c r="B347" s="1598">
        <v>578.71</v>
      </c>
      <c r="C347" s="1598">
        <v>553.86</v>
      </c>
      <c r="D347" s="1598">
        <v>436.34</v>
      </c>
      <c r="E347" s="1598">
        <v>603.6</v>
      </c>
      <c r="F347" s="1598">
        <v>540.16999999999996</v>
      </c>
      <c r="G347" s="1598">
        <v>681.54</v>
      </c>
      <c r="H347" s="1598">
        <v>652.94000000000005</v>
      </c>
      <c r="I347" s="1598">
        <v>556.5</v>
      </c>
      <c r="J347" s="1598">
        <v>497.29</v>
      </c>
      <c r="K347" s="1598">
        <v>664</v>
      </c>
      <c r="L347" s="2398">
        <f t="shared" si="3"/>
        <v>-1.49124777520937E-5</v>
      </c>
    </row>
    <row r="348" spans="1:12">
      <c r="A348" s="81">
        <f t="shared" si="4"/>
        <v>2020.03</v>
      </c>
      <c r="B348" s="1598">
        <v>592.48</v>
      </c>
      <c r="C348" s="1598">
        <v>575.19000000000005</v>
      </c>
      <c r="D348" s="1598">
        <v>444.78</v>
      </c>
      <c r="E348" s="1598">
        <v>610.37</v>
      </c>
      <c r="F348" s="1598">
        <v>545.89</v>
      </c>
      <c r="G348" s="1598">
        <v>700.05</v>
      </c>
      <c r="H348" s="1598">
        <v>659.79</v>
      </c>
      <c r="I348" s="1598">
        <v>563.1</v>
      </c>
      <c r="J348" s="1598">
        <v>549.47</v>
      </c>
      <c r="K348" s="1598">
        <v>677.71</v>
      </c>
      <c r="L348" s="2398">
        <f t="shared" si="3"/>
        <v>-4.7140831760383861E-6</v>
      </c>
    </row>
    <row r="349" spans="1:12">
      <c r="A349" s="81">
        <f t="shared" si="4"/>
        <v>2020.04</v>
      </c>
      <c r="B349" s="1598">
        <v>604.75</v>
      </c>
      <c r="C349" s="1598">
        <v>591.95000000000005</v>
      </c>
      <c r="D349" s="1598">
        <v>453.93</v>
      </c>
      <c r="E349" s="1598">
        <v>612.25</v>
      </c>
      <c r="F349" s="1598">
        <v>547.84</v>
      </c>
      <c r="G349" s="1598">
        <v>708.34</v>
      </c>
      <c r="H349" s="1598">
        <v>675.84</v>
      </c>
      <c r="I349" s="1598">
        <v>579.79</v>
      </c>
      <c r="J349" s="1598">
        <v>546.72</v>
      </c>
      <c r="K349" s="1598">
        <v>693.13</v>
      </c>
      <c r="L349" s="2398">
        <f t="shared" si="3"/>
        <v>-1.1718892104051193E-5</v>
      </c>
    </row>
    <row r="350" spans="1:12">
      <c r="A350" s="81">
        <f t="shared" si="4"/>
        <v>2020.05</v>
      </c>
      <c r="B350" s="1598">
        <v>614.51</v>
      </c>
      <c r="C350" s="1598">
        <v>595.88</v>
      </c>
      <c r="D350" s="1598">
        <v>492.35</v>
      </c>
      <c r="E350" s="1598">
        <v>619.16999999999996</v>
      </c>
      <c r="F350" s="1598">
        <v>567.57000000000005</v>
      </c>
      <c r="G350" s="1598">
        <v>714.52</v>
      </c>
      <c r="H350" s="1598">
        <v>686.61</v>
      </c>
      <c r="I350" s="1598">
        <v>587.48</v>
      </c>
      <c r="J350" s="1598">
        <v>540.53</v>
      </c>
      <c r="K350" s="1598">
        <v>695.33</v>
      </c>
      <c r="L350" s="2398">
        <f t="shared" si="3"/>
        <v>-1.5378106133168146E-5</v>
      </c>
    </row>
    <row r="351" spans="1:12">
      <c r="A351" s="81">
        <f t="shared" si="4"/>
        <v>2020.06</v>
      </c>
      <c r="B351" s="1598">
        <v>625.88</v>
      </c>
      <c r="C351" s="1598">
        <v>598.27</v>
      </c>
      <c r="D351" s="1598">
        <v>518.04</v>
      </c>
      <c r="E351" s="1598">
        <v>626.4</v>
      </c>
      <c r="F351" s="1598">
        <v>590.53</v>
      </c>
      <c r="G351" s="1598">
        <v>732.44</v>
      </c>
      <c r="H351" s="1598">
        <v>696.01</v>
      </c>
      <c r="I351" s="1598">
        <v>613.62</v>
      </c>
      <c r="J351" s="1598">
        <v>543.55999999999995</v>
      </c>
      <c r="K351" s="1598">
        <v>709.66</v>
      </c>
      <c r="L351" s="2398">
        <f t="shared" si="3"/>
        <v>-7.5749344922160233E-6</v>
      </c>
    </row>
    <row r="352" spans="1:12">
      <c r="A352" s="81">
        <f t="shared" si="4"/>
        <v>2020.07</v>
      </c>
      <c r="B352" s="1598">
        <v>641.44000000000005</v>
      </c>
      <c r="C352" s="1598">
        <v>610.22</v>
      </c>
      <c r="D352" s="1598">
        <v>542.24</v>
      </c>
      <c r="E352" s="1598">
        <v>633.67999999999995</v>
      </c>
      <c r="F352" s="1598">
        <v>617.03</v>
      </c>
      <c r="G352" s="1598">
        <v>751.85</v>
      </c>
      <c r="H352" s="1598">
        <v>699.46</v>
      </c>
      <c r="I352" s="1598">
        <v>665.85</v>
      </c>
      <c r="J352" s="1598">
        <v>544.23</v>
      </c>
      <c r="K352" s="1598">
        <v>719.1</v>
      </c>
      <c r="L352" s="2398">
        <f t="shared" si="3"/>
        <v>-1.0601147418465295E-5</v>
      </c>
    </row>
    <row r="353" spans="1:12">
      <c r="A353" s="81">
        <f t="shared" si="4"/>
        <v>2020.08</v>
      </c>
      <c r="B353" s="1598">
        <v>659.44</v>
      </c>
      <c r="C353" s="1598">
        <v>629.70000000000005</v>
      </c>
      <c r="D353" s="1598">
        <v>547.85</v>
      </c>
      <c r="E353" s="1598">
        <v>647.30999999999995</v>
      </c>
      <c r="F353" s="1598">
        <v>644.39</v>
      </c>
      <c r="G353" s="1598">
        <v>775.86</v>
      </c>
      <c r="H353" s="1598">
        <v>711.71</v>
      </c>
      <c r="I353" s="1598">
        <v>700.01</v>
      </c>
      <c r="J353" s="1598">
        <v>554.11</v>
      </c>
      <c r="K353" s="1598">
        <v>733.95</v>
      </c>
      <c r="L353" s="2398">
        <f t="shared" si="3"/>
        <v>-6.4266650492417199E-6</v>
      </c>
    </row>
    <row r="354" spans="1:12">
      <c r="A354" s="81">
        <f t="shared" si="4"/>
        <v>2020.09</v>
      </c>
      <c r="B354" s="1598">
        <v>677.39</v>
      </c>
      <c r="C354" s="1598">
        <v>648.34</v>
      </c>
      <c r="D354" s="1598">
        <v>559.6</v>
      </c>
      <c r="E354" s="1598">
        <v>658.95</v>
      </c>
      <c r="F354" s="1598">
        <v>662.01</v>
      </c>
      <c r="G354" s="1598">
        <v>806.74</v>
      </c>
      <c r="H354" s="1598">
        <v>737.6</v>
      </c>
      <c r="I354" s="1598">
        <v>706.42</v>
      </c>
      <c r="J354" s="1598">
        <v>557.75</v>
      </c>
      <c r="K354" s="1598">
        <v>753.5</v>
      </c>
      <c r="L354" s="2398">
        <f t="shared" si="3"/>
        <v>-1.1987186111173109E-5</v>
      </c>
    </row>
    <row r="355" spans="1:12">
      <c r="A355" s="81">
        <f t="shared" si="4"/>
        <v>2020.1</v>
      </c>
      <c r="B355" s="1598">
        <v>702.55</v>
      </c>
      <c r="C355" s="1598">
        <v>671.76</v>
      </c>
      <c r="D355" s="1598">
        <v>599.62</v>
      </c>
      <c r="E355" s="1598">
        <v>676.94</v>
      </c>
      <c r="F355" s="1598">
        <v>683.12</v>
      </c>
      <c r="G355" s="1598">
        <v>840.03</v>
      </c>
      <c r="H355" s="1598">
        <v>766.41</v>
      </c>
      <c r="I355" s="1598">
        <v>733.68</v>
      </c>
      <c r="J355" s="1598">
        <v>566.49</v>
      </c>
      <c r="K355" s="1598">
        <v>767.39</v>
      </c>
      <c r="L355" s="2398">
        <f t="shared" si="3"/>
        <v>-6.3639598603115743E-6</v>
      </c>
    </row>
    <row r="356" spans="1:12">
      <c r="A356" s="81">
        <f t="shared" si="4"/>
        <v>2020.11</v>
      </c>
      <c r="B356" s="1598">
        <v>728.13</v>
      </c>
      <c r="C356" s="1598">
        <v>695.92</v>
      </c>
      <c r="D356" s="1598">
        <v>628.45000000000005</v>
      </c>
      <c r="E356" s="1598">
        <v>699.63</v>
      </c>
      <c r="F356" s="1598">
        <v>709.78</v>
      </c>
      <c r="G356" s="1598">
        <v>862.92</v>
      </c>
      <c r="H356" s="1598">
        <v>790.83</v>
      </c>
      <c r="I356" s="1598">
        <v>779.42</v>
      </c>
      <c r="J356" s="1598">
        <v>574.80999999999995</v>
      </c>
      <c r="K356" s="1598">
        <v>782.53</v>
      </c>
      <c r="L356" s="2398">
        <f t="shared" si="3"/>
        <v>-2.5215277491552612E-6</v>
      </c>
    </row>
    <row r="357" spans="1:12">
      <c r="A357" s="81">
        <f t="shared" si="4"/>
        <v>2020.12</v>
      </c>
      <c r="B357" s="1598">
        <v>755.18</v>
      </c>
      <c r="C357" s="1598">
        <v>734.23</v>
      </c>
      <c r="D357" s="1598">
        <v>645.54999999999995</v>
      </c>
      <c r="E357" s="1598">
        <v>715.64</v>
      </c>
      <c r="F357" s="1598">
        <v>730.12</v>
      </c>
      <c r="G357" s="1598">
        <v>907.87</v>
      </c>
      <c r="H357" s="1598">
        <v>814.37</v>
      </c>
      <c r="I357" s="1598">
        <v>798.61</v>
      </c>
      <c r="J357" s="1598">
        <v>585.45000000000005</v>
      </c>
      <c r="K357" s="1598">
        <v>800.8</v>
      </c>
      <c r="L357" s="2398">
        <f t="shared" si="3"/>
        <v>4.0096400857336789E-6</v>
      </c>
    </row>
    <row r="358" spans="1:12">
      <c r="A358" s="81">
        <f t="shared" si="4"/>
        <v>2021.01</v>
      </c>
      <c r="B358" s="1598">
        <v>791.8</v>
      </c>
      <c r="C358" s="1598">
        <v>771.61</v>
      </c>
      <c r="D358" s="1598">
        <v>654.02</v>
      </c>
      <c r="E358" s="1598">
        <v>736.11</v>
      </c>
      <c r="F358" s="1598">
        <v>755.51</v>
      </c>
      <c r="G358" s="1598">
        <v>927.55</v>
      </c>
      <c r="H358" s="1598">
        <v>880.87</v>
      </c>
      <c r="I358" s="1598">
        <v>850.58</v>
      </c>
      <c r="J358" s="1598">
        <v>590.63</v>
      </c>
      <c r="K358" s="1598">
        <v>827.19</v>
      </c>
      <c r="L358" s="2398">
        <f t="shared" si="3"/>
        <v>-2.9211922202287965E-6</v>
      </c>
    </row>
    <row r="359" spans="1:12">
      <c r="A359" s="81">
        <f t="shared" si="4"/>
        <v>2021.02</v>
      </c>
      <c r="B359" s="1598">
        <v>821.11</v>
      </c>
      <c r="C359" s="1598">
        <v>801.56</v>
      </c>
      <c r="D359" s="1598">
        <v>674.74</v>
      </c>
      <c r="E359" s="1598">
        <v>750.84</v>
      </c>
      <c r="F359" s="1598">
        <v>773.13</v>
      </c>
      <c r="G359" s="1598">
        <v>960.31</v>
      </c>
      <c r="H359" s="1598">
        <v>932.01</v>
      </c>
      <c r="I359" s="1598">
        <v>871.51</v>
      </c>
      <c r="J359" s="1598">
        <v>600.04999999999995</v>
      </c>
      <c r="K359" s="1598">
        <v>852.99</v>
      </c>
      <c r="L359" s="2398">
        <f t="shared" si="3"/>
        <v>-3.3966216462788523E-6</v>
      </c>
    </row>
    <row r="360" spans="1:12">
      <c r="A360" s="81">
        <f t="shared" si="4"/>
        <v>2021.03</v>
      </c>
      <c r="B360" s="1598">
        <v>856.2</v>
      </c>
      <c r="C360" s="1598">
        <v>849.89</v>
      </c>
      <c r="D360" s="1598">
        <v>715.1</v>
      </c>
      <c r="E360" s="1598">
        <v>766.09</v>
      </c>
      <c r="F360" s="1598">
        <v>801.34</v>
      </c>
      <c r="G360" s="1598">
        <v>997.86</v>
      </c>
      <c r="H360" s="1598">
        <v>952.69</v>
      </c>
      <c r="I360" s="1598">
        <v>893.7</v>
      </c>
      <c r="J360" s="1598">
        <v>690.61</v>
      </c>
      <c r="K360" s="1598">
        <v>889.81</v>
      </c>
      <c r="L360" s="2398">
        <f t="shared" ref="L360:L391" si="5">(C360*C$6+D360*D$6+E360*E$6+F360*F$6+G360*G$6+H360*H$6+I360*I$6+J360*J$6+K360*K$6)/B360-1</f>
        <v>3.4279373979373418E-6</v>
      </c>
    </row>
    <row r="361" spans="1:12">
      <c r="A361" s="81">
        <f t="shared" si="4"/>
        <v>2021.04</v>
      </c>
      <c r="B361" s="1598">
        <v>893.23</v>
      </c>
      <c r="C361" s="1598">
        <v>887.8</v>
      </c>
      <c r="D361" s="1598">
        <v>789.53</v>
      </c>
      <c r="E361" s="1598">
        <v>787.04</v>
      </c>
      <c r="F361" s="1598">
        <v>838.99</v>
      </c>
      <c r="G361" s="1598">
        <v>1032.01</v>
      </c>
      <c r="H361" s="1598">
        <v>994.12</v>
      </c>
      <c r="I361" s="1598">
        <v>902.66</v>
      </c>
      <c r="J361" s="1598">
        <v>743.27</v>
      </c>
      <c r="K361" s="1598">
        <v>917.98</v>
      </c>
      <c r="L361" s="2398">
        <f t="shared" si="5"/>
        <v>5.2024674492834322E-6</v>
      </c>
    </row>
    <row r="362" spans="1:12">
      <c r="A362" s="81">
        <f t="shared" si="4"/>
        <v>2021.05</v>
      </c>
      <c r="B362" s="1598">
        <v>925.21</v>
      </c>
      <c r="C362" s="1598">
        <v>917.94</v>
      </c>
      <c r="D362" s="1598">
        <v>810.85</v>
      </c>
      <c r="E362" s="1598">
        <v>822.08</v>
      </c>
      <c r="F362" s="1598">
        <v>860.13</v>
      </c>
      <c r="G362" s="1598">
        <v>1076.3800000000001</v>
      </c>
      <c r="H362" s="1598">
        <v>1041.4000000000001</v>
      </c>
      <c r="I362" s="1598">
        <v>929.25</v>
      </c>
      <c r="J362" s="1598">
        <v>759.01</v>
      </c>
      <c r="K362" s="1598">
        <v>936.09</v>
      </c>
      <c r="L362" s="2398">
        <f t="shared" si="5"/>
        <v>4.0304363331244986E-6</v>
      </c>
    </row>
    <row r="363" spans="1:12">
      <c r="A363" s="81">
        <f t="shared" si="4"/>
        <v>2021.06</v>
      </c>
      <c r="B363" s="1598">
        <v>954.95</v>
      </c>
      <c r="C363" s="1598">
        <v>947.79</v>
      </c>
      <c r="D363" s="1598">
        <v>840.67</v>
      </c>
      <c r="E363" s="1598">
        <v>839.81</v>
      </c>
      <c r="F363" s="1598">
        <v>890.01</v>
      </c>
      <c r="G363" s="1598">
        <v>1110.6099999999999</v>
      </c>
      <c r="H363" s="1598">
        <v>1079.22</v>
      </c>
      <c r="I363" s="1598">
        <v>951.16</v>
      </c>
      <c r="J363" s="1598">
        <v>773.99</v>
      </c>
      <c r="K363" s="1598">
        <v>974.32</v>
      </c>
      <c r="L363" s="2398">
        <f t="shared" si="5"/>
        <v>-2.4702864024339632E-6</v>
      </c>
    </row>
    <row r="364" spans="1:12">
      <c r="A364" s="81">
        <f t="shared" si="4"/>
        <v>2021.07</v>
      </c>
      <c r="B364" s="1598">
        <v>983.49</v>
      </c>
      <c r="C364" s="1598">
        <v>977.21</v>
      </c>
      <c r="D364" s="1598">
        <v>863.86</v>
      </c>
      <c r="E364" s="1598">
        <v>872.85</v>
      </c>
      <c r="F364" s="1598">
        <v>918.96</v>
      </c>
      <c r="G364" s="1598">
        <v>1140.76</v>
      </c>
      <c r="H364" s="1598">
        <v>1100.6600000000001</v>
      </c>
      <c r="I364" s="1598">
        <v>991.31</v>
      </c>
      <c r="J364" s="1598">
        <v>812.03</v>
      </c>
      <c r="K364" s="1598">
        <v>996.43</v>
      </c>
      <c r="L364" s="2398">
        <f t="shared" si="5"/>
        <v>1.2852189652523549E-6</v>
      </c>
    </row>
    <row r="365" spans="1:12">
      <c r="A365" s="81">
        <f t="shared" si="4"/>
        <v>2021.08</v>
      </c>
      <c r="B365" s="1598">
        <v>1010.55</v>
      </c>
      <c r="C365" s="1598">
        <v>996.37</v>
      </c>
      <c r="D365" s="1598">
        <v>900.19</v>
      </c>
      <c r="E365" s="1598">
        <v>871.14</v>
      </c>
      <c r="F365" s="1598">
        <v>947.96</v>
      </c>
      <c r="G365" s="1598">
        <v>1195.47</v>
      </c>
      <c r="H365" s="1598">
        <v>1126.56</v>
      </c>
      <c r="I365" s="1598">
        <v>1044.0999999999999</v>
      </c>
      <c r="J365" s="1598">
        <v>873.13</v>
      </c>
      <c r="K365" s="1598">
        <v>1024.0999999999999</v>
      </c>
      <c r="L365" s="2398">
        <f t="shared" si="5"/>
        <v>6.8705160556348233E-6</v>
      </c>
    </row>
    <row r="366" spans="1:12">
      <c r="A366" s="81">
        <f t="shared" si="4"/>
        <v>2021.09</v>
      </c>
      <c r="B366" s="1598">
        <v>1041.01</v>
      </c>
      <c r="C366" s="1598">
        <v>1024.79</v>
      </c>
      <c r="D366" s="1598">
        <v>934.41</v>
      </c>
      <c r="E366" s="1598">
        <v>881.89</v>
      </c>
      <c r="F366" s="1598">
        <v>978.03</v>
      </c>
      <c r="G366" s="1598">
        <v>1246.54</v>
      </c>
      <c r="H366" s="1598">
        <v>1164.5999999999999</v>
      </c>
      <c r="I366" s="1598">
        <v>1062.5899999999999</v>
      </c>
      <c r="J366" s="1598">
        <v>920.13</v>
      </c>
      <c r="K366" s="1598">
        <v>1061.58</v>
      </c>
      <c r="L366" s="2398">
        <f t="shared" si="5"/>
        <v>1.0433137049847829E-5</v>
      </c>
    </row>
    <row r="367" spans="1:12">
      <c r="A367" s="81">
        <f t="shared" si="4"/>
        <v>2021.1</v>
      </c>
      <c r="B367" s="1598">
        <v>1073.9100000000001</v>
      </c>
      <c r="C367" s="1598">
        <v>1058.4000000000001</v>
      </c>
      <c r="D367" s="1598">
        <v>978.56</v>
      </c>
      <c r="E367" s="1598">
        <v>903.42</v>
      </c>
      <c r="F367" s="1598">
        <v>1010.7</v>
      </c>
      <c r="G367" s="1598">
        <v>1305.1500000000001</v>
      </c>
      <c r="H367" s="1598">
        <v>1194.58</v>
      </c>
      <c r="I367" s="1598">
        <v>1087.23</v>
      </c>
      <c r="J367" s="1598">
        <v>962.88</v>
      </c>
      <c r="K367" s="1598">
        <v>1084.79</v>
      </c>
      <c r="L367" s="2398">
        <f t="shared" si="5"/>
        <v>1.055209468181495E-5</v>
      </c>
    </row>
    <row r="368" spans="1:12">
      <c r="A368" s="81">
        <f t="shared" si="4"/>
        <v>2021.11</v>
      </c>
      <c r="B368" s="1598">
        <v>1104.28</v>
      </c>
      <c r="C368" s="1598">
        <v>1087.6400000000001</v>
      </c>
      <c r="D368" s="1598">
        <v>1028.8399999999999</v>
      </c>
      <c r="E368" s="1598">
        <v>933.26</v>
      </c>
      <c r="F368" s="1598">
        <v>1044.69</v>
      </c>
      <c r="G368" s="1598">
        <v>1334.92</v>
      </c>
      <c r="H368" s="1598">
        <v>1228.3800000000001</v>
      </c>
      <c r="I368" s="1598">
        <v>1100.45</v>
      </c>
      <c r="J368" s="1598">
        <v>983.38</v>
      </c>
      <c r="K368" s="1598">
        <v>1107.48</v>
      </c>
      <c r="L368" s="2398">
        <f t="shared" si="5"/>
        <v>8.175462745008133E-6</v>
      </c>
    </row>
    <row r="369" spans="1:12">
      <c r="A369" s="81">
        <f t="shared" si="4"/>
        <v>2021.12</v>
      </c>
      <c r="B369" s="1598">
        <v>1138.2</v>
      </c>
      <c r="C369" s="1598">
        <v>1127.3</v>
      </c>
      <c r="D369" s="1598">
        <v>1078.1199999999999</v>
      </c>
      <c r="E369" s="1598">
        <v>946.37</v>
      </c>
      <c r="F369" s="1598">
        <v>1072.47</v>
      </c>
      <c r="G369" s="1598">
        <v>1348.7</v>
      </c>
      <c r="H369" s="1598">
        <v>1257.3699999999999</v>
      </c>
      <c r="I369" s="1598">
        <v>1143.1500000000001</v>
      </c>
      <c r="J369" s="1598">
        <v>1005</v>
      </c>
      <c r="K369" s="1598">
        <v>1162.3599999999999</v>
      </c>
      <c r="L369" s="2398">
        <f t="shared" si="5"/>
        <v>1.0698471270220722E-5</v>
      </c>
    </row>
    <row r="370" spans="1:12">
      <c r="A370" s="81">
        <f t="shared" si="4"/>
        <v>2022.01</v>
      </c>
      <c r="B370" s="1598">
        <v>1184.1400000000001</v>
      </c>
      <c r="C370" s="1598">
        <v>1176.75</v>
      </c>
      <c r="D370" s="1598">
        <v>1114.75</v>
      </c>
      <c r="E370" s="1598">
        <v>965.09</v>
      </c>
      <c r="F370" s="1598">
        <v>1113.26</v>
      </c>
      <c r="G370" s="1598">
        <v>1406.55</v>
      </c>
      <c r="H370" s="1598">
        <v>1334.98</v>
      </c>
      <c r="I370" s="1598">
        <v>1169.1099999999999</v>
      </c>
      <c r="J370" s="1598">
        <v>1011.64</v>
      </c>
      <c r="K370" s="1598">
        <v>1187.31</v>
      </c>
      <c r="L370" s="2398">
        <f t="shared" si="5"/>
        <v>1.103670174096294E-5</v>
      </c>
    </row>
    <row r="371" spans="1:12">
      <c r="A371" s="81">
        <f t="shared" si="4"/>
        <v>2022.02</v>
      </c>
      <c r="B371" s="1598">
        <v>1242.28</v>
      </c>
      <c r="C371" s="1598">
        <v>1269.05</v>
      </c>
      <c r="D371" s="1598">
        <v>1164.2</v>
      </c>
      <c r="E371" s="1598">
        <v>1035.18</v>
      </c>
      <c r="F371" s="1598">
        <v>1162.9000000000001</v>
      </c>
      <c r="G371" s="1598">
        <v>1440.58</v>
      </c>
      <c r="H371" s="1598">
        <v>1365.83</v>
      </c>
      <c r="I371" s="1598">
        <v>1204.9000000000001</v>
      </c>
      <c r="J371" s="1598">
        <v>1025.92</v>
      </c>
      <c r="K371" s="1598">
        <v>1220.98</v>
      </c>
      <c r="L371" s="2398">
        <f t="shared" si="5"/>
        <v>6.1942557234573314E-6</v>
      </c>
    </row>
    <row r="372" spans="1:12">
      <c r="A372" s="81">
        <f t="shared" si="4"/>
        <v>2022.03</v>
      </c>
      <c r="B372" s="1598">
        <v>1317.15</v>
      </c>
      <c r="C372" s="1598">
        <v>1365.21</v>
      </c>
      <c r="D372" s="1598">
        <v>1247.33</v>
      </c>
      <c r="E372" s="1598">
        <v>1130.01</v>
      </c>
      <c r="F372" s="1598">
        <v>1221.83</v>
      </c>
      <c r="G372" s="1598">
        <v>1493.58</v>
      </c>
      <c r="H372" s="1598">
        <v>1415.26</v>
      </c>
      <c r="I372" s="1598">
        <v>1229.75</v>
      </c>
      <c r="J372" s="1598">
        <v>1176.99</v>
      </c>
      <c r="K372" s="1598">
        <v>1297.24</v>
      </c>
      <c r="L372" s="2398">
        <f t="shared" si="5"/>
        <v>3.692062407578689E-6</v>
      </c>
    </row>
    <row r="373" spans="1:12">
      <c r="A373" s="81">
        <f t="shared" si="4"/>
        <v>2022.04</v>
      </c>
      <c r="B373" s="1598">
        <v>1395.48</v>
      </c>
      <c r="C373" s="1598">
        <v>1456.73</v>
      </c>
      <c r="D373" s="1598">
        <v>1357.12</v>
      </c>
      <c r="E373" s="1598">
        <v>1171.58</v>
      </c>
      <c r="F373" s="1598">
        <v>1280.18</v>
      </c>
      <c r="G373" s="1598">
        <v>1582.26</v>
      </c>
      <c r="H373" s="1598">
        <v>1494.16</v>
      </c>
      <c r="I373" s="1598">
        <v>1301.52</v>
      </c>
      <c r="J373" s="1598">
        <v>1247.83</v>
      </c>
      <c r="K373" s="1598">
        <v>1344.45</v>
      </c>
      <c r="L373" s="2398">
        <f t="shared" si="5"/>
        <v>1.4754779717351951E-5</v>
      </c>
    </row>
    <row r="374" spans="1:12">
      <c r="A374" s="81">
        <f t="shared" si="4"/>
        <v>2022.05</v>
      </c>
      <c r="B374" s="1598">
        <v>1468.73</v>
      </c>
      <c r="C374" s="1598">
        <v>1523.77</v>
      </c>
      <c r="D374" s="1598">
        <v>1446.93</v>
      </c>
      <c r="E374" s="1598">
        <v>1217.6300000000001</v>
      </c>
      <c r="F374" s="1598">
        <v>1354.31</v>
      </c>
      <c r="G374" s="1598">
        <v>1680.07</v>
      </c>
      <c r="H374" s="1598">
        <v>1587.64</v>
      </c>
      <c r="I374" s="1598">
        <v>1367.12</v>
      </c>
      <c r="J374" s="1598">
        <v>1304.82</v>
      </c>
      <c r="K374" s="1598">
        <v>1401.16</v>
      </c>
      <c r="L374" s="2398">
        <f t="shared" si="5"/>
        <v>1.0924404077128358E-5</v>
      </c>
    </row>
    <row r="375" spans="1:12">
      <c r="A375" s="81">
        <f t="shared" si="4"/>
        <v>2022.06</v>
      </c>
      <c r="B375" s="1598">
        <v>1543.16</v>
      </c>
      <c r="C375" s="1598">
        <v>1602.79</v>
      </c>
      <c r="D375" s="1598">
        <v>1542.25</v>
      </c>
      <c r="E375" s="1598">
        <v>1296.97</v>
      </c>
      <c r="F375" s="1598">
        <v>1432.81</v>
      </c>
      <c r="G375" s="1598">
        <v>1801.95</v>
      </c>
      <c r="H375" s="1598">
        <v>1635.87</v>
      </c>
      <c r="I375" s="1598">
        <v>1425.07</v>
      </c>
      <c r="J375" s="1598">
        <v>1345.64</v>
      </c>
      <c r="K375" s="1598">
        <v>1482.53</v>
      </c>
      <c r="L375" s="2398">
        <f t="shared" si="5"/>
        <v>1.0255579460327624E-5</v>
      </c>
    </row>
    <row r="376" spans="1:12">
      <c r="A376" s="81">
        <f t="shared" si="4"/>
        <v>2022.07</v>
      </c>
      <c r="B376" s="1598">
        <v>1655.37</v>
      </c>
      <c r="C376" s="1598">
        <v>1703.56</v>
      </c>
      <c r="D376" s="1598">
        <v>1678.83</v>
      </c>
      <c r="E376" s="1598">
        <v>1356.26</v>
      </c>
      <c r="F376" s="1598">
        <v>1604.87</v>
      </c>
      <c r="G376" s="1598">
        <v>1924.01</v>
      </c>
      <c r="H376" s="1598">
        <v>1732.68</v>
      </c>
      <c r="I376" s="1598">
        <v>1606.35</v>
      </c>
      <c r="J376" s="1598">
        <v>1425.76</v>
      </c>
      <c r="K376" s="1598">
        <v>1587.77</v>
      </c>
      <c r="L376" s="2398">
        <f t="shared" si="5"/>
        <v>1.4125542930010226E-5</v>
      </c>
    </row>
    <row r="377" spans="1:12">
      <c r="A377" s="81">
        <f t="shared" si="4"/>
        <v>2022.08</v>
      </c>
      <c r="B377" s="1598">
        <v>1765.53</v>
      </c>
      <c r="C377" s="1598">
        <v>1824.49</v>
      </c>
      <c r="D377" s="1598">
        <v>1848.74</v>
      </c>
      <c r="E377" s="1598">
        <v>1410.45</v>
      </c>
      <c r="F377" s="1598">
        <v>1738.6</v>
      </c>
      <c r="G377" s="1598">
        <v>2043.96</v>
      </c>
      <c r="H377" s="1598">
        <v>1816.23</v>
      </c>
      <c r="I377" s="1598">
        <v>1686.93</v>
      </c>
      <c r="J377" s="1598">
        <v>1549.09</v>
      </c>
      <c r="K377" s="1598">
        <v>1737.46</v>
      </c>
      <c r="L377" s="2398">
        <f t="shared" si="5"/>
        <v>1.1318414300465207E-5</v>
      </c>
    </row>
    <row r="378" spans="1:12">
      <c r="A378" s="81">
        <f t="shared" si="4"/>
        <v>2022.09</v>
      </c>
      <c r="B378" s="1598">
        <v>1873.76</v>
      </c>
      <c r="C378" s="1598">
        <v>1939.96</v>
      </c>
      <c r="D378" s="1598">
        <v>1966.68</v>
      </c>
      <c r="E378" s="1598">
        <v>1483.01</v>
      </c>
      <c r="F378" s="1598">
        <v>1852.11</v>
      </c>
      <c r="G378" s="1598">
        <v>2125.04</v>
      </c>
      <c r="H378" s="1598">
        <v>1934.87</v>
      </c>
      <c r="I378" s="1598">
        <v>1783.13</v>
      </c>
      <c r="J378" s="1598">
        <v>1644.72</v>
      </c>
      <c r="K378" s="1598">
        <v>1866.68</v>
      </c>
      <c r="L378" s="2398">
        <f t="shared" si="5"/>
        <v>1.0647574929523174E-5</v>
      </c>
    </row>
    <row r="379" spans="1:12">
      <c r="A379" s="81">
        <f t="shared" si="4"/>
        <v>2022.1</v>
      </c>
      <c r="B379" s="1598">
        <v>1981.79</v>
      </c>
      <c r="C379" s="1598">
        <v>2053.12</v>
      </c>
      <c r="D379" s="1598">
        <v>2105.2199999999998</v>
      </c>
      <c r="E379" s="1598">
        <v>1555.94</v>
      </c>
      <c r="F379" s="1598">
        <v>1944.65</v>
      </c>
      <c r="G379" s="1598">
        <v>2272.86</v>
      </c>
      <c r="H379" s="1598">
        <v>2039.6</v>
      </c>
      <c r="I379" s="1598">
        <v>1883.62</v>
      </c>
      <c r="J379" s="1598">
        <v>1766.6</v>
      </c>
      <c r="K379" s="1598">
        <v>1957.1</v>
      </c>
      <c r="L379" s="2398">
        <f t="shared" si="5"/>
        <v>1.392074841444213E-5</v>
      </c>
    </row>
    <row r="380" spans="1:12">
      <c r="A380" s="81">
        <f t="shared" si="4"/>
        <v>2022.11</v>
      </c>
      <c r="B380" s="1598">
        <v>2079.1799999999998</v>
      </c>
      <c r="C380" s="1598">
        <v>2136.23</v>
      </c>
      <c r="D380" s="1598">
        <v>2244.2800000000002</v>
      </c>
      <c r="E380" s="1598">
        <v>1637.05</v>
      </c>
      <c r="F380" s="1598">
        <v>2044.28</v>
      </c>
      <c r="G380" s="1598">
        <v>2370.06</v>
      </c>
      <c r="H380" s="1598">
        <v>2154.5500000000002</v>
      </c>
      <c r="I380" s="1598">
        <v>1956.04</v>
      </c>
      <c r="J380" s="1598">
        <v>1904.54</v>
      </c>
      <c r="K380" s="1598">
        <v>2062.9499999999998</v>
      </c>
      <c r="L380" s="2398">
        <f t="shared" si="5"/>
        <v>1.402043113163387E-5</v>
      </c>
    </row>
    <row r="381" spans="1:12">
      <c r="A381" s="81">
        <f t="shared" si="4"/>
        <v>2022.12</v>
      </c>
      <c r="B381" s="1598">
        <v>2192.67</v>
      </c>
      <c r="C381" s="1598">
        <v>2245.91</v>
      </c>
      <c r="D381" s="1598">
        <v>2378.4299999999998</v>
      </c>
      <c r="E381" s="1598">
        <v>1697.05</v>
      </c>
      <c r="F381" s="1598">
        <v>2173.7199999999998</v>
      </c>
      <c r="G381" s="1598">
        <v>2520.04</v>
      </c>
      <c r="H381" s="1598">
        <v>2281.87</v>
      </c>
      <c r="I381" s="1598">
        <v>2073.3000000000002</v>
      </c>
      <c r="J381" s="1598">
        <v>1969.67</v>
      </c>
      <c r="K381" s="1598">
        <v>2174.2600000000002</v>
      </c>
      <c r="L381" s="2398">
        <f t="shared" si="5"/>
        <v>1.3123725868702252E-5</v>
      </c>
    </row>
    <row r="382" spans="1:12">
      <c r="A382" s="81">
        <f t="shared" si="4"/>
        <v>2023.01</v>
      </c>
      <c r="B382" s="1598">
        <v>2317.64</v>
      </c>
      <c r="C382" s="1598">
        <v>2398.88</v>
      </c>
      <c r="D382" s="1598">
        <v>2443.54</v>
      </c>
      <c r="E382" s="1598">
        <v>1769.34</v>
      </c>
      <c r="F382" s="1598">
        <v>2284.79</v>
      </c>
      <c r="G382" s="1598">
        <v>2681.06</v>
      </c>
      <c r="H382" s="1598">
        <v>2415.25</v>
      </c>
      <c r="I382" s="1598">
        <v>2196.5100000000002</v>
      </c>
      <c r="J382" s="1598">
        <v>2014</v>
      </c>
      <c r="K382" s="1598">
        <v>2317.04</v>
      </c>
      <c r="L382" s="2398">
        <f t="shared" si="5"/>
        <v>1.2285341985940335E-5</v>
      </c>
    </row>
    <row r="383" spans="1:12">
      <c r="A383" s="81">
        <f t="shared" si="4"/>
        <v>2023.02</v>
      </c>
      <c r="B383" s="1598">
        <v>2467.56</v>
      </c>
      <c r="C383" s="1598">
        <v>2607.73</v>
      </c>
      <c r="D383" s="1598">
        <v>2546.27</v>
      </c>
      <c r="E383" s="1598">
        <v>1896.86</v>
      </c>
      <c r="F383" s="1598">
        <v>2409.61</v>
      </c>
      <c r="G383" s="1598">
        <v>2859.25</v>
      </c>
      <c r="H383" s="1598">
        <v>2545.38</v>
      </c>
      <c r="I383" s="1598">
        <v>2267.6</v>
      </c>
      <c r="J383" s="1598">
        <v>2108.88</v>
      </c>
      <c r="K383" s="1598">
        <v>2456.33</v>
      </c>
      <c r="L383" s="2398">
        <f t="shared" si="5"/>
        <v>1.2508307802194807E-5</v>
      </c>
    </row>
    <row r="384" spans="1:12">
      <c r="A384" s="81">
        <f t="shared" si="4"/>
        <v>2023.03</v>
      </c>
      <c r="B384" s="1598">
        <v>2658.86</v>
      </c>
      <c r="C384" s="1598">
        <v>2853.14</v>
      </c>
      <c r="D384" s="1598">
        <v>2695.31</v>
      </c>
      <c r="E384" s="1598">
        <v>2142.4299999999998</v>
      </c>
      <c r="F384" s="1598">
        <v>2563.2199999999998</v>
      </c>
      <c r="G384" s="1598">
        <v>3025.86</v>
      </c>
      <c r="H384" s="1598">
        <v>2667.91</v>
      </c>
      <c r="I384" s="1598">
        <v>2368.7800000000002</v>
      </c>
      <c r="J384" s="1598">
        <v>2498.1</v>
      </c>
      <c r="K384" s="1598">
        <v>2658.98</v>
      </c>
      <c r="L384" s="2398">
        <f t="shared" si="5"/>
        <v>1.532987821861731E-5</v>
      </c>
    </row>
    <row r="385" spans="1:12">
      <c r="A385" s="81">
        <f t="shared" si="4"/>
        <v>2023.04</v>
      </c>
      <c r="B385" s="1598">
        <v>2884.85</v>
      </c>
      <c r="C385" s="1598">
        <v>3128.18</v>
      </c>
      <c r="D385" s="1598">
        <v>2958.59</v>
      </c>
      <c r="E385" s="1598">
        <v>2391.98</v>
      </c>
      <c r="F385" s="1598">
        <v>2752.38</v>
      </c>
      <c r="G385" s="1598">
        <v>3183.57</v>
      </c>
      <c r="H385" s="1598">
        <v>2847.4</v>
      </c>
      <c r="I385" s="1598">
        <v>2576.56</v>
      </c>
      <c r="J385" s="1598">
        <v>2718.52</v>
      </c>
      <c r="K385" s="1598">
        <v>2805.11</v>
      </c>
      <c r="L385" s="2398">
        <f t="shared" si="5"/>
        <v>1.2286600689970228E-5</v>
      </c>
    </row>
    <row r="386" spans="1:12">
      <c r="A386" s="81">
        <f t="shared" si="4"/>
        <v>2023.05</v>
      </c>
      <c r="B386" s="1598">
        <v>3093.98</v>
      </c>
      <c r="C386" s="1598">
        <v>3317.21</v>
      </c>
      <c r="D386" s="1598">
        <v>3206.4</v>
      </c>
      <c r="E386" s="1598">
        <v>2620.94</v>
      </c>
      <c r="F386" s="1598">
        <v>3003.6</v>
      </c>
      <c r="G386" s="1598">
        <v>3445.7</v>
      </c>
      <c r="H386" s="1598">
        <v>3034.3</v>
      </c>
      <c r="I386" s="1598">
        <v>2783.53</v>
      </c>
      <c r="J386" s="1598">
        <v>2865.66</v>
      </c>
      <c r="K386" s="1598">
        <v>3030.85</v>
      </c>
      <c r="L386" s="2398">
        <f t="shared" si="5"/>
        <v>1.2047912397505911E-5</v>
      </c>
    </row>
    <row r="387" spans="1:12">
      <c r="A387" s="81">
        <f t="shared" si="4"/>
        <v>2023.06</v>
      </c>
      <c r="B387" s="1598">
        <v>3269.51</v>
      </c>
      <c r="C387" s="1598">
        <v>3480.32</v>
      </c>
      <c r="D387" s="1598">
        <v>3388.48</v>
      </c>
      <c r="E387" s="1598">
        <v>2741.15</v>
      </c>
      <c r="F387" s="1598">
        <v>3251.17</v>
      </c>
      <c r="G387" s="1598">
        <v>3687.87</v>
      </c>
      <c r="H387" s="1598">
        <v>3224.59</v>
      </c>
      <c r="I387" s="1598">
        <v>2934.67</v>
      </c>
      <c r="J387" s="1598">
        <v>3028.55</v>
      </c>
      <c r="K387" s="1598">
        <v>3195.39</v>
      </c>
      <c r="L387" s="2398">
        <f t="shared" si="5"/>
        <v>1.0997672434065464E-5</v>
      </c>
    </row>
    <row r="388" spans="1:12">
      <c r="A388" s="81">
        <f t="shared" si="4"/>
        <v>2023.07</v>
      </c>
      <c r="B388" s="1598">
        <v>3495.51</v>
      </c>
      <c r="C388" s="1598">
        <v>3696.78</v>
      </c>
      <c r="D388" s="1598">
        <v>3476.35</v>
      </c>
      <c r="E388" s="1598">
        <v>2846.6</v>
      </c>
      <c r="F388" s="1598">
        <v>3466.6</v>
      </c>
      <c r="G388" s="1598">
        <v>4010.74</v>
      </c>
      <c r="H388" s="1598">
        <v>3509.78</v>
      </c>
      <c r="I388" s="1598">
        <v>3262.71</v>
      </c>
      <c r="J388" s="1598">
        <v>3335.76</v>
      </c>
      <c r="K388" s="1598">
        <v>3422.14</v>
      </c>
      <c r="L388" s="2398">
        <f t="shared" si="5"/>
        <v>1.3046737100008698E-5</v>
      </c>
    </row>
    <row r="389" spans="1:12">
      <c r="A389" s="81">
        <f t="shared" si="4"/>
        <v>2023.08</v>
      </c>
      <c r="B389" s="1598">
        <v>3931.68</v>
      </c>
      <c r="C389" s="1598">
        <v>4265.6000000000004</v>
      </c>
      <c r="D389" s="1598">
        <v>3765.94</v>
      </c>
      <c r="E389" s="1598">
        <v>3012.67</v>
      </c>
      <c r="F389" s="1598">
        <v>3946.52</v>
      </c>
      <c r="G389" s="1598">
        <v>4543.88</v>
      </c>
      <c r="H389" s="1598">
        <v>3927.23</v>
      </c>
      <c r="I389" s="1598">
        <v>3724.08</v>
      </c>
      <c r="J389" s="1598">
        <v>3672.84</v>
      </c>
      <c r="K389" s="1598">
        <v>3702.3</v>
      </c>
      <c r="L389" s="2398">
        <f t="shared" si="5"/>
        <v>1.6825123102748307E-5</v>
      </c>
    </row>
    <row r="390" spans="1:12">
      <c r="A390" s="81">
        <f t="shared" si="4"/>
        <v>2023.09</v>
      </c>
      <c r="B390" s="1598">
        <v>4424.3100000000004</v>
      </c>
      <c r="C390" s="1598">
        <v>4871.3999999999996</v>
      </c>
      <c r="D390" s="1598">
        <v>4274.8999999999996</v>
      </c>
      <c r="E390" s="1598">
        <v>3170.63</v>
      </c>
      <c r="F390" s="1598">
        <v>4526.62</v>
      </c>
      <c r="G390" s="1598">
        <v>5018.1000000000004</v>
      </c>
      <c r="H390" s="1598">
        <v>4419.51</v>
      </c>
      <c r="I390" s="1598">
        <v>4139.76</v>
      </c>
      <c r="J390" s="1598">
        <v>4230.83</v>
      </c>
      <c r="K390" s="1598">
        <v>4113.55</v>
      </c>
      <c r="L390" s="2398">
        <f t="shared" si="5"/>
        <v>1.930086273316256E-5</v>
      </c>
    </row>
    <row r="391" spans="1:12">
      <c r="A391" s="81">
        <f t="shared" si="4"/>
        <v>2023.1</v>
      </c>
      <c r="B391" s="1598">
        <v>4807.5</v>
      </c>
      <c r="C391" s="1598">
        <v>5231.09</v>
      </c>
      <c r="D391" s="1598">
        <v>4815.4399999999996</v>
      </c>
      <c r="E391" s="1598">
        <v>3420.95</v>
      </c>
      <c r="F391" s="1598">
        <v>4960.16</v>
      </c>
      <c r="G391" s="1598">
        <v>5345.32</v>
      </c>
      <c r="H391" s="1598">
        <v>4818.32</v>
      </c>
      <c r="I391" s="1598">
        <v>4570.2</v>
      </c>
      <c r="J391" s="1598">
        <v>4637.55</v>
      </c>
      <c r="K391" s="1598">
        <v>4490.6400000000003</v>
      </c>
      <c r="L391" s="2398">
        <f t="shared" si="5"/>
        <v>1.915299011945315E-5</v>
      </c>
    </row>
    <row r="392" spans="1:12">
      <c r="A392" s="81">
        <f t="shared" si="4"/>
        <v>2023.11</v>
      </c>
      <c r="B392" s="1598">
        <v>5407.62</v>
      </c>
      <c r="C392" s="1598">
        <v>5939.08</v>
      </c>
      <c r="D392" s="1598">
        <v>5316.24</v>
      </c>
      <c r="E392" s="1598">
        <v>3687.22</v>
      </c>
      <c r="F392" s="1598">
        <v>5582.47</v>
      </c>
      <c r="G392" s="1598">
        <v>6098.36</v>
      </c>
      <c r="H392" s="1598">
        <v>5474.3</v>
      </c>
      <c r="I392" s="1598">
        <v>5132.5200000000004</v>
      </c>
      <c r="J392" s="1598">
        <v>5070.76</v>
      </c>
      <c r="K392" s="1598">
        <v>4973.88</v>
      </c>
      <c r="L392" s="2398">
        <f t="shared" ref="L392:L423" si="6">(C392*C$6+D392*D$6+E392*E$6+F392*F$6+G392*G$6+H392*H$6+I392*I$6+J392*J$6+K392*K$6)/B392-1</f>
        <v>1.9168506662836649E-5</v>
      </c>
    </row>
    <row r="393" spans="1:12">
      <c r="A393" s="81">
        <f t="shared" si="4"/>
        <v>2023.12</v>
      </c>
      <c r="B393" s="1598">
        <v>6915.57</v>
      </c>
      <c r="C393" s="1598">
        <v>7773.05</v>
      </c>
      <c r="D393" s="1598">
        <v>6266.38</v>
      </c>
      <c r="E393" s="1598">
        <v>4145.53</v>
      </c>
      <c r="F393" s="1598">
        <v>8085.58</v>
      </c>
      <c r="G393" s="1598">
        <v>7819.55</v>
      </c>
      <c r="H393" s="1598">
        <v>6925</v>
      </c>
      <c r="I393" s="1598">
        <v>6341.14</v>
      </c>
      <c r="J393" s="1598">
        <v>5564.08</v>
      </c>
      <c r="K393" s="1598">
        <v>6944.53</v>
      </c>
      <c r="L393" s="2398">
        <f t="shared" si="6"/>
        <v>8.3316342689432332E-6</v>
      </c>
    </row>
    <row r="394" spans="1:12">
      <c r="A394" s="81">
        <f t="shared" si="4"/>
        <v>2024.01</v>
      </c>
      <c r="B394" s="1598">
        <v>8345.61</v>
      </c>
      <c r="C394" s="1598">
        <v>9099.18</v>
      </c>
      <c r="D394" s="1598">
        <v>6966.72</v>
      </c>
      <c r="E394" s="1598">
        <v>4813.7</v>
      </c>
      <c r="F394" s="1598">
        <v>9804.4</v>
      </c>
      <c r="G394" s="1598">
        <v>9335.84</v>
      </c>
      <c r="H394" s="1598">
        <v>8832.75</v>
      </c>
      <c r="I394" s="1598">
        <v>7772.71</v>
      </c>
      <c r="J394" s="1598">
        <v>6076.09</v>
      </c>
      <c r="K394" s="1598">
        <v>9904.4599999999991</v>
      </c>
      <c r="L394" s="2398">
        <f t="shared" si="6"/>
        <v>-5.3159685151626945E-6</v>
      </c>
    </row>
    <row r="395" spans="1:12">
      <c r="A395" s="81">
        <f t="shared" si="4"/>
        <v>2024.02</v>
      </c>
      <c r="B395" s="1598">
        <v>9373.4699999999993</v>
      </c>
      <c r="C395" s="1598">
        <v>10103.23</v>
      </c>
      <c r="D395" s="1598">
        <v>7490.21</v>
      </c>
      <c r="E395" s="1598">
        <v>5357.6</v>
      </c>
      <c r="F395" s="1598">
        <v>10636.82</v>
      </c>
      <c r="G395" s="1598">
        <v>11006.92</v>
      </c>
      <c r="H395" s="1598">
        <v>10370.59</v>
      </c>
      <c r="I395" s="1598">
        <v>8499.27</v>
      </c>
      <c r="J395" s="1598">
        <v>6677.98</v>
      </c>
      <c r="K395" s="1598">
        <v>11273.52</v>
      </c>
      <c r="L395" s="2398">
        <f t="shared" si="6"/>
        <v>-6.8755754273341907E-6</v>
      </c>
    </row>
    <row r="396" spans="1:12">
      <c r="A396" s="81">
        <f t="shared" si="4"/>
        <v>2024.03</v>
      </c>
      <c r="B396" s="1598">
        <v>10535.81</v>
      </c>
      <c r="C396" s="1598">
        <v>11119.19</v>
      </c>
      <c r="D396" s="1598">
        <v>8147.94</v>
      </c>
      <c r="E396" s="1598">
        <v>7154.38</v>
      </c>
      <c r="F396" s="1598">
        <v>11327.32</v>
      </c>
      <c r="G396" s="1598">
        <v>12326.85</v>
      </c>
      <c r="H396" s="1598">
        <v>11884.33</v>
      </c>
      <c r="I396" s="1598">
        <v>9373.59</v>
      </c>
      <c r="J396" s="1598">
        <v>8472.9699999999993</v>
      </c>
      <c r="K396" s="1598">
        <v>12330.5</v>
      </c>
      <c r="L396" s="2398">
        <f t="shared" si="6"/>
        <v>-8.993423381675747E-6</v>
      </c>
    </row>
    <row r="397" spans="1:12">
      <c r="A397" s="81">
        <f t="shared" si="4"/>
        <v>2024.04</v>
      </c>
      <c r="B397" s="1598">
        <v>11280.8</v>
      </c>
      <c r="C397" s="1598">
        <v>11882.61</v>
      </c>
      <c r="D397" s="1598">
        <v>9051.01</v>
      </c>
      <c r="E397" s="1598">
        <v>8249.84</v>
      </c>
      <c r="F397" s="1598">
        <v>11807.33</v>
      </c>
      <c r="G397" s="1598">
        <v>13725.26</v>
      </c>
      <c r="H397" s="1598">
        <v>12434.72</v>
      </c>
      <c r="I397" s="1598">
        <v>9868.49</v>
      </c>
      <c r="J397" s="1598">
        <v>8884.82</v>
      </c>
      <c r="K397" s="1598">
        <v>12945.72</v>
      </c>
      <c r="L397" s="2398">
        <f t="shared" si="6"/>
        <v>-5.8883235228845976E-6</v>
      </c>
    </row>
    <row r="398" spans="1:12">
      <c r="A398" s="81">
        <f t="shared" si="4"/>
        <v>2024.05</v>
      </c>
      <c r="B398" s="1598">
        <v>11826.08</v>
      </c>
      <c r="C398" s="1598">
        <v>12482.45</v>
      </c>
      <c r="D398" s="1598">
        <v>9357.77</v>
      </c>
      <c r="E398" s="1598">
        <v>8802.08</v>
      </c>
      <c r="F398" s="1598">
        <v>12173.15</v>
      </c>
      <c r="G398" s="1598">
        <v>13846.24</v>
      </c>
      <c r="H398" s="1598">
        <v>13164.75</v>
      </c>
      <c r="I398" s="1598">
        <v>10394.09</v>
      </c>
      <c r="J398" s="1598">
        <v>9454.1299999999992</v>
      </c>
      <c r="K398" s="1598">
        <v>13620.19</v>
      </c>
      <c r="L398" s="2398">
        <f t="shared" si="6"/>
        <v>-8.0963429978098134E-6</v>
      </c>
    </row>
    <row r="399" spans="1:12">
      <c r="A399" s="81">
        <f t="shared" si="4"/>
        <v>2024.06</v>
      </c>
      <c r="B399" s="1598">
        <v>12331.8</v>
      </c>
      <c r="C399" s="1598">
        <v>12910.4</v>
      </c>
      <c r="D399" s="1598">
        <v>9720.0400000000009</v>
      </c>
      <c r="E399" s="1598">
        <v>9796.33</v>
      </c>
      <c r="F399" s="1598">
        <v>12395.34</v>
      </c>
      <c r="G399" s="1598">
        <v>14549.35</v>
      </c>
      <c r="H399" s="1598">
        <v>13784.39</v>
      </c>
      <c r="I399" s="1598">
        <v>10745.14</v>
      </c>
      <c r="J399" s="1598">
        <v>10222.42</v>
      </c>
      <c r="K399" s="1598">
        <v>13791.24</v>
      </c>
      <c r="L399" s="2398">
        <f t="shared" si="6"/>
        <v>-7.4038664267250809E-6</v>
      </c>
    </row>
    <row r="400" spans="1:12">
      <c r="A400" s="81">
        <f t="shared" si="4"/>
        <v>2024.07</v>
      </c>
      <c r="B400" s="1598">
        <v>12886.62</v>
      </c>
      <c r="C400" s="1598">
        <v>13383.9</v>
      </c>
      <c r="D400" s="1598">
        <v>9930.64</v>
      </c>
      <c r="E400" s="1598">
        <v>10389.469999999999</v>
      </c>
      <c r="F400" s="1598">
        <v>12675.48</v>
      </c>
      <c r="G400" s="1598">
        <v>15516.99</v>
      </c>
      <c r="H400" s="1598">
        <v>14413.44</v>
      </c>
      <c r="I400" s="1598">
        <v>11740.42</v>
      </c>
      <c r="J400" s="1598">
        <v>10687.64</v>
      </c>
      <c r="K400" s="1598">
        <v>14302.2</v>
      </c>
      <c r="L400" s="2398">
        <f t="shared" si="6"/>
        <v>-4.5018786928308074E-6</v>
      </c>
    </row>
    <row r="401" spans="1:12">
      <c r="A401" s="81">
        <f t="shared" si="4"/>
        <v>2024.08</v>
      </c>
      <c r="B401" s="1598">
        <v>13397.73</v>
      </c>
      <c r="C401" s="1598">
        <v>13939.2</v>
      </c>
      <c r="D401" s="1598">
        <v>10222.07</v>
      </c>
      <c r="E401" s="1598">
        <v>10919.93</v>
      </c>
      <c r="F401" s="1598">
        <v>12934.61</v>
      </c>
      <c r="G401" s="1598">
        <v>16396.64</v>
      </c>
      <c r="H401" s="1598">
        <v>15179.85</v>
      </c>
      <c r="I401" s="1598">
        <v>11845.34</v>
      </c>
      <c r="J401" s="1598">
        <v>11056.84</v>
      </c>
      <c r="K401" s="1598">
        <v>14633.33</v>
      </c>
      <c r="L401" s="2398">
        <f t="shared" si="6"/>
        <v>-4.7627471220224038E-6</v>
      </c>
    </row>
    <row r="402" spans="1:12">
      <c r="A402" s="81">
        <f t="shared" si="4"/>
        <v>2024.09</v>
      </c>
      <c r="B402" s="1598">
        <v>13832.32</v>
      </c>
      <c r="C402" s="1598">
        <v>14346.44</v>
      </c>
      <c r="D402" s="1598">
        <v>10668.47</v>
      </c>
      <c r="E402" s="1598">
        <v>11543.85</v>
      </c>
      <c r="F402" s="1598">
        <v>13286.65</v>
      </c>
      <c r="G402" s="1598">
        <v>17365.68</v>
      </c>
      <c r="H402" s="1598">
        <v>15516.32</v>
      </c>
      <c r="I402" s="1598">
        <v>12039.42</v>
      </c>
      <c r="J402" s="1598">
        <v>11740.36</v>
      </c>
      <c r="K402" s="1598">
        <v>14997.42</v>
      </c>
      <c r="L402" s="2398">
        <f t="shared" si="6"/>
        <v>-2.9332028176343172E-6</v>
      </c>
    </row>
    <row r="403" spans="1:12">
      <c r="A403" s="81">
        <f t="shared" si="4"/>
        <v>2024.1</v>
      </c>
      <c r="B403" s="1598">
        <v>14195.72</v>
      </c>
      <c r="C403" s="1598">
        <v>14724.6</v>
      </c>
      <c r="D403" s="1598">
        <v>11083.12</v>
      </c>
      <c r="E403" s="1598">
        <v>12189.64</v>
      </c>
      <c r="F403" s="1598">
        <v>13416.15</v>
      </c>
      <c r="G403" s="1598">
        <v>17972.02</v>
      </c>
      <c r="H403" s="1598">
        <v>15820.26</v>
      </c>
      <c r="I403" s="1598">
        <v>12242.36</v>
      </c>
      <c r="J403" s="1598">
        <v>11893.98</v>
      </c>
      <c r="K403" s="1598">
        <v>15282.19</v>
      </c>
      <c r="L403" s="2398">
        <f t="shared" si="6"/>
        <v>-2.4245335917827404E-6</v>
      </c>
    </row>
    <row r="404" spans="1:12">
      <c r="A404" s="81">
        <f t="shared" si="4"/>
        <v>2024.11</v>
      </c>
      <c r="B404" s="1598">
        <v>14492.47</v>
      </c>
      <c r="C404" s="1598">
        <v>14920.15</v>
      </c>
      <c r="D404" s="1598">
        <v>11251.75</v>
      </c>
      <c r="E404" s="1598">
        <v>12851.06</v>
      </c>
      <c r="F404" s="1598">
        <v>13589.58</v>
      </c>
      <c r="G404" s="1598">
        <v>18646.97</v>
      </c>
      <c r="H404" s="1598">
        <v>16123.36</v>
      </c>
      <c r="I404" s="1598">
        <v>12346.71</v>
      </c>
      <c r="J404" s="1598">
        <v>12455.35</v>
      </c>
      <c r="K404" s="1598">
        <v>15621.66</v>
      </c>
      <c r="L404" s="2398">
        <f t="shared" si="6"/>
        <v>-2.3259665191677215E-6</v>
      </c>
    </row>
    <row r="405" spans="1:12">
      <c r="A405" s="81">
        <f t="shared" si="4"/>
        <v>2024.12</v>
      </c>
      <c r="B405" s="1598">
        <v>14839.11</v>
      </c>
      <c r="C405" s="1598">
        <v>15357.89</v>
      </c>
      <c r="D405" s="1598">
        <v>11335.93</v>
      </c>
      <c r="E405" s="1598">
        <v>13372.03</v>
      </c>
      <c r="F405" s="1598">
        <v>13648.71</v>
      </c>
      <c r="G405" s="1598">
        <v>18964.59</v>
      </c>
      <c r="H405" s="1598">
        <v>16371.27</v>
      </c>
      <c r="I405" s="1598">
        <v>12896.2</v>
      </c>
      <c r="J405" s="1598">
        <v>12851.53</v>
      </c>
      <c r="K405" s="1598">
        <v>15927.99</v>
      </c>
      <c r="L405" s="2398">
        <f t="shared" si="6"/>
        <v>-1.3705673723718448E-6</v>
      </c>
    </row>
    <row r="406" spans="1:12">
      <c r="A406" s="81">
        <f t="shared" ref="A406:A469" si="7">A394+1</f>
        <v>2025.01</v>
      </c>
      <c r="B406" s="1598">
        <v>15306.31</v>
      </c>
      <c r="C406" s="1598">
        <v>15808.55</v>
      </c>
      <c r="D406" s="1598">
        <v>11497.24</v>
      </c>
      <c r="E406" s="1598">
        <v>14948.28</v>
      </c>
      <c r="F406" s="1598">
        <v>13777.81</v>
      </c>
      <c r="G406" s="1598">
        <v>19487.759999999998</v>
      </c>
      <c r="H406" s="1598">
        <v>16725.61</v>
      </c>
      <c r="I406" s="1598">
        <v>12975.78</v>
      </c>
      <c r="J406" s="1598">
        <v>12978.52</v>
      </c>
      <c r="K406" s="1598">
        <v>16472.79</v>
      </c>
      <c r="L406" s="2398">
        <f t="shared" si="6"/>
        <v>-5.1389916968513916E-6</v>
      </c>
    </row>
    <row r="407" spans="1:12">
      <c r="A407" s="81">
        <f t="shared" si="7"/>
        <v>2025.02</v>
      </c>
      <c r="B407" s="1598">
        <v>15699.35</v>
      </c>
      <c r="C407" s="1598">
        <v>16339.47</v>
      </c>
      <c r="D407" s="1598">
        <v>11532.79</v>
      </c>
      <c r="E407" s="1598">
        <v>15575.64</v>
      </c>
      <c r="F407" s="1598">
        <v>13782.51</v>
      </c>
      <c r="G407" s="1598">
        <v>20262.599999999999</v>
      </c>
      <c r="H407" s="1598">
        <v>17117.28</v>
      </c>
      <c r="I407" s="1598">
        <v>13035.21</v>
      </c>
      <c r="J407" s="1598">
        <v>13203.69</v>
      </c>
      <c r="K407" s="1598">
        <v>16906.68</v>
      </c>
      <c r="L407" s="2398">
        <f t="shared" si="6"/>
        <v>-5.0730125770170886E-6</v>
      </c>
    </row>
    <row r="408" spans="1:12">
      <c r="A408" s="81">
        <f t="shared" si="7"/>
        <v>2025.03</v>
      </c>
      <c r="B408" s="1598">
        <v>16252.62</v>
      </c>
      <c r="C408" s="1598">
        <v>17280.310000000001</v>
      </c>
      <c r="D408" s="1598">
        <v>12018.41</v>
      </c>
      <c r="E408" s="1598">
        <v>15907.26</v>
      </c>
      <c r="F408" s="1598">
        <v>13910.71</v>
      </c>
      <c r="G408" s="1598">
        <v>20659.79</v>
      </c>
      <c r="H408" s="1598">
        <v>17445.509999999998</v>
      </c>
      <c r="I408" s="1598">
        <v>12842.35</v>
      </c>
      <c r="J408" s="1598">
        <v>14954.13</v>
      </c>
      <c r="K408" s="1598">
        <v>17864.400000000001</v>
      </c>
      <c r="L408" s="2398">
        <f t="shared" si="6"/>
        <v>-3.6578717771407199E-6</v>
      </c>
    </row>
    <row r="409" spans="1:12">
      <c r="A409" s="81">
        <f t="shared" si="7"/>
        <v>2025.04</v>
      </c>
      <c r="B409" s="1598">
        <v>16717.68</v>
      </c>
      <c r="C409" s="1598">
        <v>17803.919999999998</v>
      </c>
      <c r="D409" s="1598">
        <v>12223.58</v>
      </c>
      <c r="E409" s="1598">
        <v>16562.98</v>
      </c>
      <c r="F409" s="1598">
        <v>13973.83</v>
      </c>
      <c r="G409" s="1598">
        <v>21377.69</v>
      </c>
      <c r="H409" s="1598">
        <v>17839.5</v>
      </c>
      <c r="I409" s="1598">
        <v>13188.18</v>
      </c>
      <c r="J409" s="1598">
        <v>16094.72</v>
      </c>
      <c r="K409" s="1598">
        <v>18434.740000000002</v>
      </c>
      <c r="L409" s="2398">
        <f t="shared" si="6"/>
        <v>-2.1083068943994476E-6</v>
      </c>
    </row>
    <row r="410" spans="1:12">
      <c r="A410" s="81">
        <f t="shared" si="7"/>
        <v>2025.05</v>
      </c>
      <c r="B410" s="1598">
        <v>16959.849999999999</v>
      </c>
      <c r="C410" s="1598">
        <v>18010.849999999999</v>
      </c>
      <c r="D410" s="1598">
        <v>12435.45</v>
      </c>
      <c r="E410" s="1598">
        <v>17107.88</v>
      </c>
      <c r="F410" s="1598">
        <v>14091.75</v>
      </c>
      <c r="G410" s="1598">
        <v>21845.47</v>
      </c>
      <c r="H410" s="1598">
        <v>18000.099999999999</v>
      </c>
      <c r="I410" s="1598">
        <v>13427.54</v>
      </c>
      <c r="J410" s="1598">
        <v>16348.67</v>
      </c>
      <c r="K410" s="1598">
        <v>18569.73</v>
      </c>
      <c r="L410" s="2398">
        <f t="shared" si="6"/>
        <v>-1.6646963267863413E-6</v>
      </c>
    </row>
    <row r="411" spans="1:12">
      <c r="A411" s="81">
        <f t="shared" si="7"/>
        <v>2025.06</v>
      </c>
      <c r="B411" s="1598">
        <v>17277.900000000001</v>
      </c>
      <c r="C411" s="1598">
        <v>18152.12</v>
      </c>
      <c r="D411" s="1598">
        <v>12712.6</v>
      </c>
      <c r="E411" s="1598">
        <v>17821.509999999998</v>
      </c>
      <c r="F411" s="1598">
        <v>14216.9</v>
      </c>
      <c r="G411" s="1598">
        <v>22363.439999999999</v>
      </c>
      <c r="H411" s="1598">
        <v>18214.3</v>
      </c>
      <c r="I411" s="1598">
        <v>13984.29</v>
      </c>
      <c r="J411" s="1598">
        <v>16927.39</v>
      </c>
      <c r="K411" s="1598">
        <v>19176.79</v>
      </c>
      <c r="L411" s="2398">
        <f t="shared" si="6"/>
        <v>-2.0445771766741672E-6</v>
      </c>
    </row>
    <row r="412" spans="1:12">
      <c r="A412" s="81">
        <f t="shared" si="7"/>
        <v>2025.07</v>
      </c>
      <c r="B412" s="1598">
        <v>17600.2</v>
      </c>
      <c r="C412" s="1598">
        <v>18487.77</v>
      </c>
      <c r="D412" s="1598">
        <v>12662.67</v>
      </c>
      <c r="E412" s="1598">
        <v>18333.39</v>
      </c>
      <c r="F412" s="1598">
        <v>14266.57</v>
      </c>
      <c r="G412" s="1598">
        <v>22690.59</v>
      </c>
      <c r="H412" s="1598">
        <v>18624.580000000002</v>
      </c>
      <c r="I412" s="1598">
        <v>14479.42</v>
      </c>
      <c r="J412" s="1598">
        <v>17071.759999999998</v>
      </c>
      <c r="K412" s="1598">
        <v>19518.12</v>
      </c>
      <c r="L412" s="2398">
        <f t="shared" si="6"/>
        <v>-2.1887819455779223E-6</v>
      </c>
    </row>
    <row r="413" spans="1:12">
      <c r="A413" s="81">
        <f t="shared" si="7"/>
        <v>2025.08</v>
      </c>
      <c r="B413" s="1598">
        <v>17889.8</v>
      </c>
      <c r="C413" s="1598">
        <v>18673.93</v>
      </c>
      <c r="D413" s="1598">
        <v>12575.76</v>
      </c>
      <c r="E413" s="1598">
        <v>18822.68</v>
      </c>
      <c r="F413" s="1598">
        <v>14455.79</v>
      </c>
      <c r="G413" s="1598">
        <v>22977.78</v>
      </c>
      <c r="H413" s="1598">
        <v>19316.79</v>
      </c>
      <c r="I413" s="1598">
        <v>14263.94</v>
      </c>
      <c r="J413" s="1598">
        <v>17455.14</v>
      </c>
      <c r="K413" s="1598">
        <v>20166.11</v>
      </c>
      <c r="L413" s="2398">
        <f t="shared" si="6"/>
        <v>-6.0068307079497174E-6</v>
      </c>
    </row>
    <row r="414" spans="1:12">
      <c r="A414" s="81">
        <f t="shared" si="7"/>
        <v>2025.09</v>
      </c>
      <c r="B414" s="1598">
        <v>18303.77</v>
      </c>
      <c r="C414" s="1598">
        <v>19041.689999999999</v>
      </c>
      <c r="D414" s="1598">
        <v>12701.35</v>
      </c>
      <c r="E414" s="1598">
        <v>19279.240000000002</v>
      </c>
      <c r="F414" s="1598">
        <v>14694.41</v>
      </c>
      <c r="G414" s="1598">
        <v>23536.81</v>
      </c>
      <c r="H414" s="1598">
        <v>19966.580000000002</v>
      </c>
      <c r="I414" s="1598">
        <v>14468.99</v>
      </c>
      <c r="J414" s="1598">
        <v>18061.259999999998</v>
      </c>
      <c r="K414" s="1598">
        <v>20746</v>
      </c>
      <c r="L414" s="2398">
        <f t="shared" si="6"/>
        <v>-7.2031608788769574E-6</v>
      </c>
    </row>
    <row r="415" spans="1:12">
      <c r="A415" s="81">
        <f t="shared" si="7"/>
        <v>2025.1</v>
      </c>
      <c r="B415" s="1598">
        <v>18802.669999999998</v>
      </c>
      <c r="C415" s="1598">
        <v>19572.12</v>
      </c>
      <c r="D415" s="1598">
        <v>12945.16</v>
      </c>
      <c r="E415" s="1598">
        <v>19792.73</v>
      </c>
      <c r="F415" s="1598">
        <v>14940.75</v>
      </c>
      <c r="G415" s="1598">
        <v>24146.54</v>
      </c>
      <c r="H415" s="1598">
        <v>20552.240000000002</v>
      </c>
      <c r="I415" s="1598">
        <v>14930.62</v>
      </c>
      <c r="J415" s="1598">
        <v>18560.59</v>
      </c>
      <c r="K415" s="1598">
        <v>21423.360000000001</v>
      </c>
      <c r="L415" s="2398">
        <f t="shared" si="6"/>
        <v>-7.2019558923219762E-6</v>
      </c>
    </row>
    <row r="416" spans="1:12">
      <c r="A416" s="81">
        <f t="shared" si="7"/>
        <v>2025.11</v>
      </c>
      <c r="B416" s="1598">
        <v>19246.740000000002</v>
      </c>
      <c r="C416" s="1598">
        <v>20071.650000000001</v>
      </c>
      <c r="D416" s="1598">
        <v>13056.89</v>
      </c>
      <c r="E416" s="1598">
        <v>20385.96</v>
      </c>
      <c r="F416" s="1598">
        <v>14978.43</v>
      </c>
      <c r="G416" s="1598">
        <v>24902.04</v>
      </c>
      <c r="H416" s="1598">
        <v>21166.67</v>
      </c>
      <c r="I416" s="1598">
        <v>15183.24</v>
      </c>
      <c r="J416" s="1598">
        <v>18798.91</v>
      </c>
      <c r="K416" s="1598">
        <v>21812.07</v>
      </c>
      <c r="L416" s="2398">
        <f>(C416*C$6+D416*D$6+E416*E$6+F416*F$6+G416*G$6+H416*H$6+I416*I$6+J416*J$6+K416*K$6)/B416-1</f>
        <v>-7.0665473738129592E-6</v>
      </c>
    </row>
    <row r="417" spans="1:12">
      <c r="A417" s="81">
        <f t="shared" si="7"/>
        <v>2025.12</v>
      </c>
      <c r="B417" s="1598">
        <v>19742.97</v>
      </c>
      <c r="C417" s="1598">
        <v>20831.18</v>
      </c>
      <c r="D417" s="1598">
        <v>13103.89</v>
      </c>
      <c r="E417" s="1598">
        <v>20919.7</v>
      </c>
      <c r="F417" s="1598">
        <v>15141.14</v>
      </c>
      <c r="G417" s="1598">
        <v>25299.56</v>
      </c>
      <c r="H417" s="1598">
        <v>21674.16</v>
      </c>
      <c r="I417" s="1598">
        <v>15476.55</v>
      </c>
      <c r="J417" s="1598">
        <v>19062.52</v>
      </c>
      <c r="K417" s="1598">
        <v>22336.67</v>
      </c>
      <c r="L417" s="2398">
        <f t="shared" si="6"/>
        <v>-7.3987348410131659E-6</v>
      </c>
    </row>
    <row r="418" spans="1:12">
      <c r="A418" s="972">
        <f t="shared" si="7"/>
        <v>2026.01</v>
      </c>
      <c r="B418" s="1598">
        <v>20262.47</v>
      </c>
      <c r="C418" s="1598">
        <v>21691.56</v>
      </c>
      <c r="D418" s="1598">
        <v>13178.32</v>
      </c>
      <c r="E418" s="1598">
        <v>21376.09</v>
      </c>
      <c r="F418" s="1598">
        <v>15411.98</v>
      </c>
      <c r="G418" s="1598">
        <v>26053.360000000001</v>
      </c>
      <c r="H418" s="1598">
        <v>21972.9</v>
      </c>
      <c r="I418" s="1598">
        <v>15832.23</v>
      </c>
      <c r="J418" s="1598">
        <v>19222.12</v>
      </c>
      <c r="K418" s="1598">
        <v>22927.58</v>
      </c>
      <c r="L418" s="2398">
        <f t="shared" si="6"/>
        <v>-6.3674369412680676E-6</v>
      </c>
    </row>
    <row r="419" spans="1:12">
      <c r="A419" s="972">
        <f t="shared" si="7"/>
        <v>2026.02</v>
      </c>
      <c r="B419" s="1598">
        <v>20816.73</v>
      </c>
      <c r="C419" s="1598">
        <v>22488.89</v>
      </c>
      <c r="D419" s="1598">
        <v>13244.93</v>
      </c>
      <c r="E419" s="1598">
        <v>22435.74</v>
      </c>
      <c r="F419" s="1598">
        <v>15579.19</v>
      </c>
      <c r="G419" s="1598">
        <v>26658.880000000001</v>
      </c>
      <c r="H419" s="1598">
        <v>22408.52</v>
      </c>
      <c r="I419" s="1598">
        <v>15985.27</v>
      </c>
      <c r="J419" s="1598">
        <v>19541.14</v>
      </c>
      <c r="K419" s="1598">
        <v>23492.33</v>
      </c>
      <c r="L419" s="2398">
        <f t="shared" si="6"/>
        <v>-7.7723542553087555E-6</v>
      </c>
    </row>
    <row r="420" spans="1:12">
      <c r="A420" s="972">
        <f t="shared" si="7"/>
        <v>2026.03</v>
      </c>
      <c r="B420" s="1598" t="e">
        <v>#N/A</v>
      </c>
      <c r="C420" s="1598" t="e">
        <v>#N/A</v>
      </c>
      <c r="D420" s="1598" t="e">
        <v>#N/A</v>
      </c>
      <c r="E420" s="1598" t="e">
        <v>#N/A</v>
      </c>
      <c r="F420" s="1598" t="e">
        <v>#N/A</v>
      </c>
      <c r="G420" s="1598" t="e">
        <v>#N/A</v>
      </c>
      <c r="H420" s="1598" t="e">
        <v>#N/A</v>
      </c>
      <c r="I420" s="1598" t="e">
        <v>#N/A</v>
      </c>
      <c r="J420" s="1598" t="e">
        <v>#N/A</v>
      </c>
      <c r="K420" s="1598" t="e">
        <v>#N/A</v>
      </c>
      <c r="L420" s="2398" t="e">
        <f t="shared" si="6"/>
        <v>#N/A</v>
      </c>
    </row>
    <row r="421" spans="1:12">
      <c r="A421" s="972">
        <f t="shared" si="7"/>
        <v>2026.04</v>
      </c>
      <c r="B421" s="1598" t="e">
        <v>#N/A</v>
      </c>
      <c r="C421" s="1598" t="e">
        <v>#N/A</v>
      </c>
      <c r="D421" s="1598" t="e">
        <v>#N/A</v>
      </c>
      <c r="E421" s="1598" t="e">
        <v>#N/A</v>
      </c>
      <c r="F421" s="1598" t="e">
        <v>#N/A</v>
      </c>
      <c r="G421" s="1598" t="e">
        <v>#N/A</v>
      </c>
      <c r="H421" s="1598" t="e">
        <v>#N/A</v>
      </c>
      <c r="I421" s="1598" t="e">
        <v>#N/A</v>
      </c>
      <c r="J421" s="1598" t="e">
        <v>#N/A</v>
      </c>
      <c r="K421" s="1598" t="e">
        <v>#N/A</v>
      </c>
      <c r="L421" s="2398" t="e">
        <f t="shared" si="6"/>
        <v>#N/A</v>
      </c>
    </row>
    <row r="422" spans="1:12">
      <c r="A422" s="972">
        <f t="shared" si="7"/>
        <v>2026.05</v>
      </c>
      <c r="B422" s="1598" t="e">
        <v>#N/A</v>
      </c>
      <c r="C422" s="1598" t="e">
        <v>#N/A</v>
      </c>
      <c r="D422" s="1598" t="e">
        <v>#N/A</v>
      </c>
      <c r="E422" s="1598" t="e">
        <v>#N/A</v>
      </c>
      <c r="F422" s="1598" t="e">
        <v>#N/A</v>
      </c>
      <c r="G422" s="1598" t="e">
        <v>#N/A</v>
      </c>
      <c r="H422" s="1598" t="e">
        <v>#N/A</v>
      </c>
      <c r="I422" s="1598" t="e">
        <v>#N/A</v>
      </c>
      <c r="J422" s="1598" t="e">
        <v>#N/A</v>
      </c>
      <c r="K422" s="1598" t="e">
        <v>#N/A</v>
      </c>
      <c r="L422" s="2398" t="e">
        <f t="shared" si="6"/>
        <v>#N/A</v>
      </c>
    </row>
    <row r="423" spans="1:12">
      <c r="A423" s="972">
        <f t="shared" si="7"/>
        <v>2026.06</v>
      </c>
      <c r="B423" s="1598" t="e">
        <v>#N/A</v>
      </c>
      <c r="C423" s="1598" t="e">
        <v>#N/A</v>
      </c>
      <c r="D423" s="1598" t="e">
        <v>#N/A</v>
      </c>
      <c r="E423" s="1598" t="e">
        <v>#N/A</v>
      </c>
      <c r="F423" s="1598" t="e">
        <v>#N/A</v>
      </c>
      <c r="G423" s="1598" t="e">
        <v>#N/A</v>
      </c>
      <c r="H423" s="1598" t="e">
        <v>#N/A</v>
      </c>
      <c r="I423" s="1598" t="e">
        <v>#N/A</v>
      </c>
      <c r="J423" s="1598" t="e">
        <v>#N/A</v>
      </c>
      <c r="K423" s="1598" t="e">
        <v>#N/A</v>
      </c>
      <c r="L423" s="2398" t="e">
        <f t="shared" si="6"/>
        <v>#N/A</v>
      </c>
    </row>
    <row r="424" spans="1:12">
      <c r="A424" s="972">
        <f t="shared" si="7"/>
        <v>2026.07</v>
      </c>
      <c r="B424" s="1598" t="e">
        <v>#N/A</v>
      </c>
      <c r="C424" s="1598" t="e">
        <v>#N/A</v>
      </c>
      <c r="D424" s="1598" t="e">
        <v>#N/A</v>
      </c>
      <c r="E424" s="1598" t="e">
        <v>#N/A</v>
      </c>
      <c r="F424" s="1598" t="e">
        <v>#N/A</v>
      </c>
      <c r="G424" s="1598" t="e">
        <v>#N/A</v>
      </c>
      <c r="H424" s="1598" t="e">
        <v>#N/A</v>
      </c>
      <c r="I424" s="1598" t="e">
        <v>#N/A</v>
      </c>
      <c r="J424" s="1598" t="e">
        <v>#N/A</v>
      </c>
      <c r="K424" s="1598" t="e">
        <v>#N/A</v>
      </c>
      <c r="L424" s="2398" t="e">
        <f t="shared" ref="L424:L455" si="8">(C424*C$6+D424*D$6+E424*E$6+F424*F$6+G424*G$6+H424*H$6+I424*I$6+J424*J$6+K424*K$6)/B424-1</f>
        <v>#N/A</v>
      </c>
    </row>
    <row r="425" spans="1:12">
      <c r="A425" s="972">
        <f t="shared" si="7"/>
        <v>2026.08</v>
      </c>
      <c r="B425" s="1598" t="e">
        <v>#N/A</v>
      </c>
      <c r="C425" s="1598" t="e">
        <v>#N/A</v>
      </c>
      <c r="D425" s="1598" t="e">
        <v>#N/A</v>
      </c>
      <c r="E425" s="1598" t="e">
        <v>#N/A</v>
      </c>
      <c r="F425" s="1598" t="e">
        <v>#N/A</v>
      </c>
      <c r="G425" s="1598" t="e">
        <v>#N/A</v>
      </c>
      <c r="H425" s="1598" t="e">
        <v>#N/A</v>
      </c>
      <c r="I425" s="1598" t="e">
        <v>#N/A</v>
      </c>
      <c r="J425" s="1598" t="e">
        <v>#N/A</v>
      </c>
      <c r="K425" s="1598" t="e">
        <v>#N/A</v>
      </c>
      <c r="L425" s="2398" t="e">
        <f t="shared" si="8"/>
        <v>#N/A</v>
      </c>
    </row>
    <row r="426" spans="1:12">
      <c r="A426" s="972">
        <f t="shared" si="7"/>
        <v>2026.09</v>
      </c>
      <c r="B426" s="1598" t="e">
        <v>#N/A</v>
      </c>
      <c r="C426" s="1598" t="e">
        <v>#N/A</v>
      </c>
      <c r="D426" s="1598" t="e">
        <v>#N/A</v>
      </c>
      <c r="E426" s="1598" t="e">
        <v>#N/A</v>
      </c>
      <c r="F426" s="1598" t="e">
        <v>#N/A</v>
      </c>
      <c r="G426" s="1598" t="e">
        <v>#N/A</v>
      </c>
      <c r="H426" s="1598" t="e">
        <v>#N/A</v>
      </c>
      <c r="I426" s="1598" t="e">
        <v>#N/A</v>
      </c>
      <c r="J426" s="1598" t="e">
        <v>#N/A</v>
      </c>
      <c r="K426" s="1598" t="e">
        <v>#N/A</v>
      </c>
      <c r="L426" s="2398" t="e">
        <f t="shared" si="8"/>
        <v>#N/A</v>
      </c>
    </row>
    <row r="427" spans="1:12">
      <c r="A427" s="972">
        <f t="shared" si="7"/>
        <v>2026.1</v>
      </c>
      <c r="B427" s="1598" t="e">
        <v>#N/A</v>
      </c>
      <c r="C427" s="1598" t="e">
        <v>#N/A</v>
      </c>
      <c r="D427" s="1598" t="e">
        <v>#N/A</v>
      </c>
      <c r="E427" s="1598" t="e">
        <v>#N/A</v>
      </c>
      <c r="F427" s="1598" t="e">
        <v>#N/A</v>
      </c>
      <c r="G427" s="1598" t="e">
        <v>#N/A</v>
      </c>
      <c r="H427" s="1598" t="e">
        <v>#N/A</v>
      </c>
      <c r="I427" s="1598" t="e">
        <v>#N/A</v>
      </c>
      <c r="J427" s="1598" t="e">
        <v>#N/A</v>
      </c>
      <c r="K427" s="1598" t="e">
        <v>#N/A</v>
      </c>
      <c r="L427" s="2398" t="e">
        <f t="shared" si="8"/>
        <v>#N/A</v>
      </c>
    </row>
    <row r="428" spans="1:12">
      <c r="A428" s="972">
        <f t="shared" si="7"/>
        <v>2026.11</v>
      </c>
      <c r="B428" s="1598" t="e">
        <v>#N/A</v>
      </c>
      <c r="C428" s="1598" t="e">
        <v>#N/A</v>
      </c>
      <c r="D428" s="1598" t="e">
        <v>#N/A</v>
      </c>
      <c r="E428" s="1598" t="e">
        <v>#N/A</v>
      </c>
      <c r="F428" s="1598" t="e">
        <v>#N/A</v>
      </c>
      <c r="G428" s="1598" t="e">
        <v>#N/A</v>
      </c>
      <c r="H428" s="1598" t="e">
        <v>#N/A</v>
      </c>
      <c r="I428" s="1598" t="e">
        <v>#N/A</v>
      </c>
      <c r="J428" s="1598" t="e">
        <v>#N/A</v>
      </c>
      <c r="K428" s="1598" t="e">
        <v>#N/A</v>
      </c>
      <c r="L428" s="2398" t="e">
        <f t="shared" si="8"/>
        <v>#N/A</v>
      </c>
    </row>
    <row r="429" spans="1:12">
      <c r="A429" s="972">
        <f t="shared" si="7"/>
        <v>2026.12</v>
      </c>
      <c r="B429" s="1598" t="e">
        <v>#N/A</v>
      </c>
      <c r="C429" s="1598" t="e">
        <v>#N/A</v>
      </c>
      <c r="D429" s="1598" t="e">
        <v>#N/A</v>
      </c>
      <c r="E429" s="1598" t="e">
        <v>#N/A</v>
      </c>
      <c r="F429" s="1598" t="e">
        <v>#N/A</v>
      </c>
      <c r="G429" s="1598" t="e">
        <v>#N/A</v>
      </c>
      <c r="H429" s="1598" t="e">
        <v>#N/A</v>
      </c>
      <c r="I429" s="1598" t="e">
        <v>#N/A</v>
      </c>
      <c r="J429" s="1598" t="e">
        <v>#N/A</v>
      </c>
      <c r="K429" s="1598" t="e">
        <v>#N/A</v>
      </c>
      <c r="L429" s="2398" t="e">
        <f t="shared" si="8"/>
        <v>#N/A</v>
      </c>
    </row>
    <row r="430" spans="1:12">
      <c r="A430" s="972">
        <f t="shared" si="7"/>
        <v>2027.01</v>
      </c>
      <c r="B430" s="1598" t="e">
        <v>#N/A</v>
      </c>
      <c r="C430" s="1598" t="e">
        <v>#N/A</v>
      </c>
      <c r="D430" s="1598" t="e">
        <v>#N/A</v>
      </c>
      <c r="E430" s="1598" t="e">
        <v>#N/A</v>
      </c>
      <c r="F430" s="1598" t="e">
        <v>#N/A</v>
      </c>
      <c r="G430" s="1598" t="e">
        <v>#N/A</v>
      </c>
      <c r="H430" s="1598" t="e">
        <v>#N/A</v>
      </c>
      <c r="I430" s="1598" t="e">
        <v>#N/A</v>
      </c>
      <c r="J430" s="1598" t="e">
        <v>#N/A</v>
      </c>
      <c r="K430" s="1598" t="e">
        <v>#N/A</v>
      </c>
      <c r="L430" s="2398" t="e">
        <f t="shared" si="8"/>
        <v>#N/A</v>
      </c>
    </row>
    <row r="431" spans="1:12">
      <c r="A431" s="972">
        <f t="shared" si="7"/>
        <v>2027.02</v>
      </c>
      <c r="B431" s="1598" t="e">
        <v>#N/A</v>
      </c>
      <c r="C431" s="1598" t="e">
        <v>#N/A</v>
      </c>
      <c r="D431" s="1598" t="e">
        <v>#N/A</v>
      </c>
      <c r="E431" s="1598" t="e">
        <v>#N/A</v>
      </c>
      <c r="F431" s="1598" t="e">
        <v>#N/A</v>
      </c>
      <c r="G431" s="1598" t="e">
        <v>#N/A</v>
      </c>
      <c r="H431" s="1598" t="e">
        <v>#N/A</v>
      </c>
      <c r="I431" s="1598" t="e">
        <v>#N/A</v>
      </c>
      <c r="J431" s="1598" t="e">
        <v>#N/A</v>
      </c>
      <c r="K431" s="1598" t="e">
        <v>#N/A</v>
      </c>
      <c r="L431" s="2398" t="e">
        <f t="shared" si="8"/>
        <v>#N/A</v>
      </c>
    </row>
    <row r="432" spans="1:12">
      <c r="A432" s="972">
        <f t="shared" si="7"/>
        <v>2027.03</v>
      </c>
      <c r="B432" s="1598" t="e">
        <v>#N/A</v>
      </c>
      <c r="C432" s="1598" t="e">
        <v>#N/A</v>
      </c>
      <c r="D432" s="1598" t="e">
        <v>#N/A</v>
      </c>
      <c r="E432" s="1598" t="e">
        <v>#N/A</v>
      </c>
      <c r="F432" s="1598" t="e">
        <v>#N/A</v>
      </c>
      <c r="G432" s="1598" t="e">
        <v>#N/A</v>
      </c>
      <c r="H432" s="1598" t="e">
        <v>#N/A</v>
      </c>
      <c r="I432" s="1598" t="e">
        <v>#N/A</v>
      </c>
      <c r="J432" s="1598" t="e">
        <v>#N/A</v>
      </c>
      <c r="K432" s="1598" t="e">
        <v>#N/A</v>
      </c>
      <c r="L432" s="2398" t="e">
        <f t="shared" si="8"/>
        <v>#N/A</v>
      </c>
    </row>
    <row r="433" spans="1:12">
      <c r="A433" s="972">
        <f t="shared" si="7"/>
        <v>2027.04</v>
      </c>
      <c r="B433" s="1598" t="e">
        <v>#N/A</v>
      </c>
      <c r="C433" s="1598" t="e">
        <v>#N/A</v>
      </c>
      <c r="D433" s="1598" t="e">
        <v>#N/A</v>
      </c>
      <c r="E433" s="1598" t="e">
        <v>#N/A</v>
      </c>
      <c r="F433" s="1598" t="e">
        <v>#N/A</v>
      </c>
      <c r="G433" s="1598" t="e">
        <v>#N/A</v>
      </c>
      <c r="H433" s="1598" t="e">
        <v>#N/A</v>
      </c>
      <c r="I433" s="1598" t="e">
        <v>#N/A</v>
      </c>
      <c r="J433" s="1598" t="e">
        <v>#N/A</v>
      </c>
      <c r="K433" s="1598" t="e">
        <v>#N/A</v>
      </c>
      <c r="L433" s="2398" t="e">
        <f t="shared" si="8"/>
        <v>#N/A</v>
      </c>
    </row>
    <row r="434" spans="1:12">
      <c r="A434" s="972">
        <f t="shared" si="7"/>
        <v>2027.05</v>
      </c>
      <c r="B434" s="1598" t="e">
        <v>#N/A</v>
      </c>
      <c r="C434" s="1598" t="e">
        <v>#N/A</v>
      </c>
      <c r="D434" s="1598" t="e">
        <v>#N/A</v>
      </c>
      <c r="E434" s="1598" t="e">
        <v>#N/A</v>
      </c>
      <c r="F434" s="1598" t="e">
        <v>#N/A</v>
      </c>
      <c r="G434" s="1598" t="e">
        <v>#N/A</v>
      </c>
      <c r="H434" s="1598" t="e">
        <v>#N/A</v>
      </c>
      <c r="I434" s="1598" t="e">
        <v>#N/A</v>
      </c>
      <c r="J434" s="1598" t="e">
        <v>#N/A</v>
      </c>
      <c r="K434" s="1598" t="e">
        <v>#N/A</v>
      </c>
      <c r="L434" s="2398" t="e">
        <f t="shared" si="8"/>
        <v>#N/A</v>
      </c>
    </row>
    <row r="435" spans="1:12">
      <c r="A435" s="972">
        <f t="shared" si="7"/>
        <v>2027.06</v>
      </c>
      <c r="B435" s="1598" t="e">
        <v>#N/A</v>
      </c>
      <c r="C435" s="1598" t="e">
        <v>#N/A</v>
      </c>
      <c r="D435" s="1598" t="e">
        <v>#N/A</v>
      </c>
      <c r="E435" s="1598" t="e">
        <v>#N/A</v>
      </c>
      <c r="F435" s="1598" t="e">
        <v>#N/A</v>
      </c>
      <c r="G435" s="1598" t="e">
        <v>#N/A</v>
      </c>
      <c r="H435" s="1598" t="e">
        <v>#N/A</v>
      </c>
      <c r="I435" s="1598" t="e">
        <v>#N/A</v>
      </c>
      <c r="J435" s="1598" t="e">
        <v>#N/A</v>
      </c>
      <c r="K435" s="1598" t="e">
        <v>#N/A</v>
      </c>
      <c r="L435" s="2398" t="e">
        <f t="shared" si="8"/>
        <v>#N/A</v>
      </c>
    </row>
    <row r="436" spans="1:12">
      <c r="A436" s="972">
        <f t="shared" si="7"/>
        <v>2027.07</v>
      </c>
      <c r="B436" s="1598" t="e">
        <v>#N/A</v>
      </c>
      <c r="C436" s="1598" t="e">
        <v>#N/A</v>
      </c>
      <c r="D436" s="1598" t="e">
        <v>#N/A</v>
      </c>
      <c r="E436" s="1598" t="e">
        <v>#N/A</v>
      </c>
      <c r="F436" s="1598" t="e">
        <v>#N/A</v>
      </c>
      <c r="G436" s="1598" t="e">
        <v>#N/A</v>
      </c>
      <c r="H436" s="1598" t="e">
        <v>#N/A</v>
      </c>
      <c r="I436" s="1598" t="e">
        <v>#N/A</v>
      </c>
      <c r="J436" s="1598" t="e">
        <v>#N/A</v>
      </c>
      <c r="K436" s="1598" t="e">
        <v>#N/A</v>
      </c>
      <c r="L436" s="2398" t="e">
        <f t="shared" si="8"/>
        <v>#N/A</v>
      </c>
    </row>
    <row r="437" spans="1:12">
      <c r="A437" s="972">
        <f t="shared" si="7"/>
        <v>2027.08</v>
      </c>
      <c r="B437" s="1598" t="e">
        <v>#N/A</v>
      </c>
      <c r="C437" s="1598" t="e">
        <v>#N/A</v>
      </c>
      <c r="D437" s="1598" t="e">
        <v>#N/A</v>
      </c>
      <c r="E437" s="1598" t="e">
        <v>#N/A</v>
      </c>
      <c r="F437" s="1598" t="e">
        <v>#N/A</v>
      </c>
      <c r="G437" s="1598" t="e">
        <v>#N/A</v>
      </c>
      <c r="H437" s="1598" t="e">
        <v>#N/A</v>
      </c>
      <c r="I437" s="1598" t="e">
        <v>#N/A</v>
      </c>
      <c r="J437" s="1598" t="e">
        <v>#N/A</v>
      </c>
      <c r="K437" s="1598" t="e">
        <v>#N/A</v>
      </c>
      <c r="L437" s="2398" t="e">
        <f t="shared" si="8"/>
        <v>#N/A</v>
      </c>
    </row>
    <row r="438" spans="1:12">
      <c r="A438" s="972">
        <f t="shared" si="7"/>
        <v>2027.09</v>
      </c>
      <c r="B438" s="1598" t="e">
        <v>#N/A</v>
      </c>
      <c r="C438" s="1598" t="e">
        <v>#N/A</v>
      </c>
      <c r="D438" s="1598" t="e">
        <v>#N/A</v>
      </c>
      <c r="E438" s="1598" t="e">
        <v>#N/A</v>
      </c>
      <c r="F438" s="1598" t="e">
        <v>#N/A</v>
      </c>
      <c r="G438" s="1598" t="e">
        <v>#N/A</v>
      </c>
      <c r="H438" s="1598" t="e">
        <v>#N/A</v>
      </c>
      <c r="I438" s="1598" t="e">
        <v>#N/A</v>
      </c>
      <c r="J438" s="1598" t="e">
        <v>#N/A</v>
      </c>
      <c r="K438" s="1598" t="e">
        <v>#N/A</v>
      </c>
      <c r="L438" s="2398" t="e">
        <f t="shared" si="8"/>
        <v>#N/A</v>
      </c>
    </row>
    <row r="439" spans="1:12">
      <c r="A439" s="972">
        <f t="shared" si="7"/>
        <v>2027.1</v>
      </c>
      <c r="B439" s="1598" t="e">
        <v>#N/A</v>
      </c>
      <c r="C439" s="1598" t="e">
        <v>#N/A</v>
      </c>
      <c r="D439" s="1598" t="e">
        <v>#N/A</v>
      </c>
      <c r="E439" s="1598" t="e">
        <v>#N/A</v>
      </c>
      <c r="F439" s="1598" t="e">
        <v>#N/A</v>
      </c>
      <c r="G439" s="1598" t="e">
        <v>#N/A</v>
      </c>
      <c r="H439" s="1598" t="e">
        <v>#N/A</v>
      </c>
      <c r="I439" s="1598" t="e">
        <v>#N/A</v>
      </c>
      <c r="J439" s="1598" t="e">
        <v>#N/A</v>
      </c>
      <c r="K439" s="1598" t="e">
        <v>#N/A</v>
      </c>
      <c r="L439" s="2398" t="e">
        <f t="shared" si="8"/>
        <v>#N/A</v>
      </c>
    </row>
    <row r="440" spans="1:12">
      <c r="A440" s="972">
        <f t="shared" si="7"/>
        <v>2027.11</v>
      </c>
      <c r="B440" s="1598" t="e">
        <v>#N/A</v>
      </c>
      <c r="C440" s="1598" t="e">
        <v>#N/A</v>
      </c>
      <c r="D440" s="1598" t="e">
        <v>#N/A</v>
      </c>
      <c r="E440" s="1598" t="e">
        <v>#N/A</v>
      </c>
      <c r="F440" s="1598" t="e">
        <v>#N/A</v>
      </c>
      <c r="G440" s="1598" t="e">
        <v>#N/A</v>
      </c>
      <c r="H440" s="1598" t="e">
        <v>#N/A</v>
      </c>
      <c r="I440" s="1598" t="e">
        <v>#N/A</v>
      </c>
      <c r="J440" s="1598" t="e">
        <v>#N/A</v>
      </c>
      <c r="K440" s="1598" t="e">
        <v>#N/A</v>
      </c>
      <c r="L440" s="2398" t="e">
        <f t="shared" si="8"/>
        <v>#N/A</v>
      </c>
    </row>
    <row r="441" spans="1:12">
      <c r="A441" s="972">
        <f t="shared" si="7"/>
        <v>2027.12</v>
      </c>
      <c r="B441" s="1598" t="e">
        <v>#N/A</v>
      </c>
      <c r="C441" s="1598" t="e">
        <v>#N/A</v>
      </c>
      <c r="D441" s="1598" t="e">
        <v>#N/A</v>
      </c>
      <c r="E441" s="1598" t="e">
        <v>#N/A</v>
      </c>
      <c r="F441" s="1598" t="e">
        <v>#N/A</v>
      </c>
      <c r="G441" s="1598" t="e">
        <v>#N/A</v>
      </c>
      <c r="H441" s="1598" t="e">
        <v>#N/A</v>
      </c>
      <c r="I441" s="1598" t="e">
        <v>#N/A</v>
      </c>
      <c r="J441" s="1598" t="e">
        <v>#N/A</v>
      </c>
      <c r="K441" s="1598" t="e">
        <v>#N/A</v>
      </c>
      <c r="L441" s="2398" t="e">
        <f t="shared" si="8"/>
        <v>#N/A</v>
      </c>
    </row>
    <row r="442" spans="1:12">
      <c r="A442" s="972">
        <f t="shared" si="7"/>
        <v>2028.01</v>
      </c>
      <c r="B442" s="1598" t="e">
        <v>#N/A</v>
      </c>
      <c r="C442" s="1598" t="e">
        <v>#N/A</v>
      </c>
      <c r="D442" s="1598" t="e">
        <v>#N/A</v>
      </c>
      <c r="E442" s="1598" t="e">
        <v>#N/A</v>
      </c>
      <c r="F442" s="1598" t="e">
        <v>#N/A</v>
      </c>
      <c r="G442" s="1598" t="e">
        <v>#N/A</v>
      </c>
      <c r="H442" s="1598" t="e">
        <v>#N/A</v>
      </c>
      <c r="I442" s="1598" t="e">
        <v>#N/A</v>
      </c>
      <c r="J442" s="1598" t="e">
        <v>#N/A</v>
      </c>
      <c r="K442" s="1598" t="e">
        <v>#N/A</v>
      </c>
      <c r="L442" s="2398" t="e">
        <f t="shared" si="8"/>
        <v>#N/A</v>
      </c>
    </row>
    <row r="443" spans="1:12">
      <c r="A443" s="972">
        <f t="shared" si="7"/>
        <v>2028.02</v>
      </c>
      <c r="B443" s="1598" t="e">
        <v>#N/A</v>
      </c>
      <c r="C443" s="1598" t="e">
        <v>#N/A</v>
      </c>
      <c r="D443" s="1598" t="e">
        <v>#N/A</v>
      </c>
      <c r="E443" s="1598" t="e">
        <v>#N/A</v>
      </c>
      <c r="F443" s="1598" t="e">
        <v>#N/A</v>
      </c>
      <c r="G443" s="1598" t="e">
        <v>#N/A</v>
      </c>
      <c r="H443" s="1598" t="e">
        <v>#N/A</v>
      </c>
      <c r="I443" s="1598" t="e">
        <v>#N/A</v>
      </c>
      <c r="J443" s="1598" t="e">
        <v>#N/A</v>
      </c>
      <c r="K443" s="1598" t="e">
        <v>#N/A</v>
      </c>
      <c r="L443" s="2398" t="e">
        <f t="shared" si="8"/>
        <v>#N/A</v>
      </c>
    </row>
    <row r="444" spans="1:12">
      <c r="A444" s="972">
        <f t="shared" si="7"/>
        <v>2028.03</v>
      </c>
      <c r="B444" s="1598" t="e">
        <v>#N/A</v>
      </c>
      <c r="C444" s="1598" t="e">
        <v>#N/A</v>
      </c>
      <c r="D444" s="1598" t="e">
        <v>#N/A</v>
      </c>
      <c r="E444" s="1598" t="e">
        <v>#N/A</v>
      </c>
      <c r="F444" s="1598" t="e">
        <v>#N/A</v>
      </c>
      <c r="G444" s="1598" t="e">
        <v>#N/A</v>
      </c>
      <c r="H444" s="1598" t="e">
        <v>#N/A</v>
      </c>
      <c r="I444" s="1598" t="e">
        <v>#N/A</v>
      </c>
      <c r="J444" s="1598" t="e">
        <v>#N/A</v>
      </c>
      <c r="K444" s="1598" t="e">
        <v>#N/A</v>
      </c>
      <c r="L444" s="2398" t="e">
        <f t="shared" si="8"/>
        <v>#N/A</v>
      </c>
    </row>
    <row r="445" spans="1:12">
      <c r="A445" s="972">
        <f t="shared" si="7"/>
        <v>2028.04</v>
      </c>
      <c r="B445" s="1598" t="e">
        <v>#N/A</v>
      </c>
      <c r="C445" s="1598" t="e">
        <v>#N/A</v>
      </c>
      <c r="D445" s="1598" t="e">
        <v>#N/A</v>
      </c>
      <c r="E445" s="1598" t="e">
        <v>#N/A</v>
      </c>
      <c r="F445" s="1598" t="e">
        <v>#N/A</v>
      </c>
      <c r="G445" s="1598" t="e">
        <v>#N/A</v>
      </c>
      <c r="H445" s="1598" t="e">
        <v>#N/A</v>
      </c>
      <c r="I445" s="1598" t="e">
        <v>#N/A</v>
      </c>
      <c r="J445" s="1598" t="e">
        <v>#N/A</v>
      </c>
      <c r="K445" s="1598" t="e">
        <v>#N/A</v>
      </c>
      <c r="L445" s="2398" t="e">
        <f t="shared" si="8"/>
        <v>#N/A</v>
      </c>
    </row>
    <row r="446" spans="1:12">
      <c r="A446" s="972">
        <f t="shared" si="7"/>
        <v>2028.05</v>
      </c>
      <c r="B446" s="1598" t="e">
        <v>#N/A</v>
      </c>
      <c r="C446" s="1598" t="e">
        <v>#N/A</v>
      </c>
      <c r="D446" s="1598" t="e">
        <v>#N/A</v>
      </c>
      <c r="E446" s="1598" t="e">
        <v>#N/A</v>
      </c>
      <c r="F446" s="1598" t="e">
        <v>#N/A</v>
      </c>
      <c r="G446" s="1598" t="e">
        <v>#N/A</v>
      </c>
      <c r="H446" s="1598" t="e">
        <v>#N/A</v>
      </c>
      <c r="I446" s="1598" t="e">
        <v>#N/A</v>
      </c>
      <c r="J446" s="1598" t="e">
        <v>#N/A</v>
      </c>
      <c r="K446" s="1598" t="e">
        <v>#N/A</v>
      </c>
      <c r="L446" s="2398" t="e">
        <f t="shared" si="8"/>
        <v>#N/A</v>
      </c>
    </row>
    <row r="447" spans="1:12">
      <c r="A447" s="972">
        <f t="shared" si="7"/>
        <v>2028.06</v>
      </c>
      <c r="B447" s="1598" t="e">
        <v>#N/A</v>
      </c>
      <c r="C447" s="1598" t="e">
        <v>#N/A</v>
      </c>
      <c r="D447" s="1598" t="e">
        <v>#N/A</v>
      </c>
      <c r="E447" s="1598" t="e">
        <v>#N/A</v>
      </c>
      <c r="F447" s="1598" t="e">
        <v>#N/A</v>
      </c>
      <c r="G447" s="1598" t="e">
        <v>#N/A</v>
      </c>
      <c r="H447" s="1598" t="e">
        <v>#N/A</v>
      </c>
      <c r="I447" s="1598" t="e">
        <v>#N/A</v>
      </c>
      <c r="J447" s="1598" t="e">
        <v>#N/A</v>
      </c>
      <c r="K447" s="1598" t="e">
        <v>#N/A</v>
      </c>
      <c r="L447" s="2398" t="e">
        <f t="shared" si="8"/>
        <v>#N/A</v>
      </c>
    </row>
    <row r="448" spans="1:12">
      <c r="A448" s="972">
        <f t="shared" si="7"/>
        <v>2028.07</v>
      </c>
      <c r="B448" s="1598" t="e">
        <v>#N/A</v>
      </c>
      <c r="C448" s="1598" t="e">
        <v>#N/A</v>
      </c>
      <c r="D448" s="1598" t="e">
        <v>#N/A</v>
      </c>
      <c r="E448" s="1598" t="e">
        <v>#N/A</v>
      </c>
      <c r="F448" s="1598" t="e">
        <v>#N/A</v>
      </c>
      <c r="G448" s="1598" t="e">
        <v>#N/A</v>
      </c>
      <c r="H448" s="1598" t="e">
        <v>#N/A</v>
      </c>
      <c r="I448" s="1598" t="e">
        <v>#N/A</v>
      </c>
      <c r="J448" s="1598" t="e">
        <v>#N/A</v>
      </c>
      <c r="K448" s="1598" t="e">
        <v>#N/A</v>
      </c>
      <c r="L448" s="2398" t="e">
        <f t="shared" si="8"/>
        <v>#N/A</v>
      </c>
    </row>
    <row r="449" spans="1:12">
      <c r="A449" s="972">
        <f t="shared" si="7"/>
        <v>2028.08</v>
      </c>
      <c r="B449" s="1598" t="e">
        <v>#N/A</v>
      </c>
      <c r="C449" s="1598" t="e">
        <v>#N/A</v>
      </c>
      <c r="D449" s="1598" t="e">
        <v>#N/A</v>
      </c>
      <c r="E449" s="1598" t="e">
        <v>#N/A</v>
      </c>
      <c r="F449" s="1598" t="e">
        <v>#N/A</v>
      </c>
      <c r="G449" s="1598" t="e">
        <v>#N/A</v>
      </c>
      <c r="H449" s="1598" t="e">
        <v>#N/A</v>
      </c>
      <c r="I449" s="1598" t="e">
        <v>#N/A</v>
      </c>
      <c r="J449" s="1598" t="e">
        <v>#N/A</v>
      </c>
      <c r="K449" s="1598" t="e">
        <v>#N/A</v>
      </c>
      <c r="L449" s="2398" t="e">
        <f t="shared" si="8"/>
        <v>#N/A</v>
      </c>
    </row>
    <row r="450" spans="1:12">
      <c r="A450" s="972">
        <f t="shared" si="7"/>
        <v>2028.09</v>
      </c>
      <c r="B450" s="1598" t="e">
        <v>#N/A</v>
      </c>
      <c r="C450" s="1598" t="e">
        <v>#N/A</v>
      </c>
      <c r="D450" s="1598" t="e">
        <v>#N/A</v>
      </c>
      <c r="E450" s="1598" t="e">
        <v>#N/A</v>
      </c>
      <c r="F450" s="1598" t="e">
        <v>#N/A</v>
      </c>
      <c r="G450" s="1598" t="e">
        <v>#N/A</v>
      </c>
      <c r="H450" s="1598" t="e">
        <v>#N/A</v>
      </c>
      <c r="I450" s="1598" t="e">
        <v>#N/A</v>
      </c>
      <c r="J450" s="1598" t="e">
        <v>#N/A</v>
      </c>
      <c r="K450" s="1598" t="e">
        <v>#N/A</v>
      </c>
      <c r="L450" s="2398" t="e">
        <f t="shared" si="8"/>
        <v>#N/A</v>
      </c>
    </row>
    <row r="451" spans="1:12">
      <c r="A451" s="972">
        <f t="shared" si="7"/>
        <v>2028.1</v>
      </c>
      <c r="B451" s="1598" t="e">
        <v>#N/A</v>
      </c>
      <c r="C451" s="1598" t="e">
        <v>#N/A</v>
      </c>
      <c r="D451" s="1598" t="e">
        <v>#N/A</v>
      </c>
      <c r="E451" s="1598" t="e">
        <v>#N/A</v>
      </c>
      <c r="F451" s="1598" t="e">
        <v>#N/A</v>
      </c>
      <c r="G451" s="1598" t="e">
        <v>#N/A</v>
      </c>
      <c r="H451" s="1598" t="e">
        <v>#N/A</v>
      </c>
      <c r="I451" s="1598" t="e">
        <v>#N/A</v>
      </c>
      <c r="J451" s="1598" t="e">
        <v>#N/A</v>
      </c>
      <c r="K451" s="1598" t="e">
        <v>#N/A</v>
      </c>
      <c r="L451" s="2398" t="e">
        <f t="shared" si="8"/>
        <v>#N/A</v>
      </c>
    </row>
    <row r="452" spans="1:12">
      <c r="A452" s="972">
        <f t="shared" si="7"/>
        <v>2028.11</v>
      </c>
      <c r="B452" s="1598" t="e">
        <v>#N/A</v>
      </c>
      <c r="C452" s="1598" t="e">
        <v>#N/A</v>
      </c>
      <c r="D452" s="1598" t="e">
        <v>#N/A</v>
      </c>
      <c r="E452" s="1598" t="e">
        <v>#N/A</v>
      </c>
      <c r="F452" s="1598" t="e">
        <v>#N/A</v>
      </c>
      <c r="G452" s="1598" t="e">
        <v>#N/A</v>
      </c>
      <c r="H452" s="1598" t="e">
        <v>#N/A</v>
      </c>
      <c r="I452" s="1598" t="e">
        <v>#N/A</v>
      </c>
      <c r="J452" s="1598" t="e">
        <v>#N/A</v>
      </c>
      <c r="K452" s="1598" t="e">
        <v>#N/A</v>
      </c>
      <c r="L452" s="2398" t="e">
        <f t="shared" si="8"/>
        <v>#N/A</v>
      </c>
    </row>
    <row r="453" spans="1:12">
      <c r="A453" s="972">
        <f t="shared" si="7"/>
        <v>2028.12</v>
      </c>
      <c r="B453" s="1598" t="e">
        <v>#N/A</v>
      </c>
      <c r="C453" s="1598" t="e">
        <v>#N/A</v>
      </c>
      <c r="D453" s="1598" t="e">
        <v>#N/A</v>
      </c>
      <c r="E453" s="1598" t="e">
        <v>#N/A</v>
      </c>
      <c r="F453" s="1598" t="e">
        <v>#N/A</v>
      </c>
      <c r="G453" s="1598" t="e">
        <v>#N/A</v>
      </c>
      <c r="H453" s="1598" t="e">
        <v>#N/A</v>
      </c>
      <c r="I453" s="1598" t="e">
        <v>#N/A</v>
      </c>
      <c r="J453" s="1598" t="e">
        <v>#N/A</v>
      </c>
      <c r="K453" s="1598" t="e">
        <v>#N/A</v>
      </c>
      <c r="L453" s="2398" t="e">
        <f t="shared" si="8"/>
        <v>#N/A</v>
      </c>
    </row>
    <row r="454" spans="1:12">
      <c r="A454" s="972">
        <f t="shared" si="7"/>
        <v>2029.01</v>
      </c>
      <c r="B454" s="1598" t="e">
        <v>#N/A</v>
      </c>
      <c r="C454" s="1598" t="e">
        <v>#N/A</v>
      </c>
      <c r="D454" s="1598" t="e">
        <v>#N/A</v>
      </c>
      <c r="E454" s="1598" t="e">
        <v>#N/A</v>
      </c>
      <c r="F454" s="1598" t="e">
        <v>#N/A</v>
      </c>
      <c r="G454" s="1598" t="e">
        <v>#N/A</v>
      </c>
      <c r="H454" s="1598" t="e">
        <v>#N/A</v>
      </c>
      <c r="I454" s="1598" t="e">
        <v>#N/A</v>
      </c>
      <c r="J454" s="1598" t="e">
        <v>#N/A</v>
      </c>
      <c r="K454" s="1598" t="e">
        <v>#N/A</v>
      </c>
      <c r="L454" s="2398" t="e">
        <f t="shared" si="8"/>
        <v>#N/A</v>
      </c>
    </row>
    <row r="455" spans="1:12">
      <c r="A455" s="972">
        <f t="shared" si="7"/>
        <v>2029.02</v>
      </c>
      <c r="B455" s="1598" t="e">
        <v>#N/A</v>
      </c>
      <c r="C455" s="1598" t="e">
        <v>#N/A</v>
      </c>
      <c r="D455" s="1598" t="e">
        <v>#N/A</v>
      </c>
      <c r="E455" s="1598" t="e">
        <v>#N/A</v>
      </c>
      <c r="F455" s="1598" t="e">
        <v>#N/A</v>
      </c>
      <c r="G455" s="1598" t="e">
        <v>#N/A</v>
      </c>
      <c r="H455" s="1598" t="e">
        <v>#N/A</v>
      </c>
      <c r="I455" s="1598" t="e">
        <v>#N/A</v>
      </c>
      <c r="J455" s="1598" t="e">
        <v>#N/A</v>
      </c>
      <c r="K455" s="1598" t="e">
        <v>#N/A</v>
      </c>
      <c r="L455" s="2398" t="e">
        <f t="shared" si="8"/>
        <v>#N/A</v>
      </c>
    </row>
    <row r="456" spans="1:12">
      <c r="A456" s="972">
        <f t="shared" si="7"/>
        <v>2029.03</v>
      </c>
      <c r="B456" s="1598" t="e">
        <v>#N/A</v>
      </c>
      <c r="C456" s="1598" t="e">
        <v>#N/A</v>
      </c>
      <c r="D456" s="1598" t="e">
        <v>#N/A</v>
      </c>
      <c r="E456" s="1598" t="e">
        <v>#N/A</v>
      </c>
      <c r="F456" s="1598" t="e">
        <v>#N/A</v>
      </c>
      <c r="G456" s="1598" t="e">
        <v>#N/A</v>
      </c>
      <c r="H456" s="1598" t="e">
        <v>#N/A</v>
      </c>
      <c r="I456" s="1598" t="e">
        <v>#N/A</v>
      </c>
      <c r="J456" s="1598" t="e">
        <v>#N/A</v>
      </c>
      <c r="K456" s="1598" t="e">
        <v>#N/A</v>
      </c>
      <c r="L456" s="2398" t="e">
        <f t="shared" ref="L456:L477" si="9">(C456*C$6+D456*D$6+E456*E$6+F456*F$6+G456*G$6+H456*H$6+I456*I$6+J456*J$6+K456*K$6)/B456-1</f>
        <v>#N/A</v>
      </c>
    </row>
    <row r="457" spans="1:12">
      <c r="A457" s="972">
        <f t="shared" si="7"/>
        <v>2029.04</v>
      </c>
      <c r="B457" s="1598" t="e">
        <v>#N/A</v>
      </c>
      <c r="C457" s="1598" t="e">
        <v>#N/A</v>
      </c>
      <c r="D457" s="1598" t="e">
        <v>#N/A</v>
      </c>
      <c r="E457" s="1598" t="e">
        <v>#N/A</v>
      </c>
      <c r="F457" s="1598" t="e">
        <v>#N/A</v>
      </c>
      <c r="G457" s="1598" t="e">
        <v>#N/A</v>
      </c>
      <c r="H457" s="1598" t="e">
        <v>#N/A</v>
      </c>
      <c r="I457" s="1598" t="e">
        <v>#N/A</v>
      </c>
      <c r="J457" s="1598" t="e">
        <v>#N/A</v>
      </c>
      <c r="K457" s="1598" t="e">
        <v>#N/A</v>
      </c>
      <c r="L457" s="2398" t="e">
        <f t="shared" si="9"/>
        <v>#N/A</v>
      </c>
    </row>
    <row r="458" spans="1:12">
      <c r="A458" s="972">
        <f t="shared" si="7"/>
        <v>2029.05</v>
      </c>
      <c r="B458" s="1598" t="e">
        <v>#N/A</v>
      </c>
      <c r="C458" s="1598" t="e">
        <v>#N/A</v>
      </c>
      <c r="D458" s="1598" t="e">
        <v>#N/A</v>
      </c>
      <c r="E458" s="1598" t="e">
        <v>#N/A</v>
      </c>
      <c r="F458" s="1598" t="e">
        <v>#N/A</v>
      </c>
      <c r="G458" s="1598" t="e">
        <v>#N/A</v>
      </c>
      <c r="H458" s="1598" t="e">
        <v>#N/A</v>
      </c>
      <c r="I458" s="1598" t="e">
        <v>#N/A</v>
      </c>
      <c r="J458" s="1598" t="e">
        <v>#N/A</v>
      </c>
      <c r="K458" s="1598" t="e">
        <v>#N/A</v>
      </c>
      <c r="L458" s="2398" t="e">
        <f t="shared" si="9"/>
        <v>#N/A</v>
      </c>
    </row>
    <row r="459" spans="1:12">
      <c r="A459" s="972">
        <f t="shared" si="7"/>
        <v>2029.06</v>
      </c>
      <c r="B459" s="1598" t="e">
        <v>#N/A</v>
      </c>
      <c r="C459" s="1598" t="e">
        <v>#N/A</v>
      </c>
      <c r="D459" s="1598" t="e">
        <v>#N/A</v>
      </c>
      <c r="E459" s="1598" t="e">
        <v>#N/A</v>
      </c>
      <c r="F459" s="1598" t="e">
        <v>#N/A</v>
      </c>
      <c r="G459" s="1598" t="e">
        <v>#N/A</v>
      </c>
      <c r="H459" s="1598" t="e">
        <v>#N/A</v>
      </c>
      <c r="I459" s="1598" t="e">
        <v>#N/A</v>
      </c>
      <c r="J459" s="1598" t="e">
        <v>#N/A</v>
      </c>
      <c r="K459" s="1598" t="e">
        <v>#N/A</v>
      </c>
      <c r="L459" s="2398" t="e">
        <f t="shared" si="9"/>
        <v>#N/A</v>
      </c>
    </row>
    <row r="460" spans="1:12">
      <c r="A460" s="972">
        <f t="shared" si="7"/>
        <v>2029.07</v>
      </c>
      <c r="B460" s="1598" t="e">
        <v>#N/A</v>
      </c>
      <c r="C460" s="1598" t="e">
        <v>#N/A</v>
      </c>
      <c r="D460" s="1598" t="e">
        <v>#N/A</v>
      </c>
      <c r="E460" s="1598" t="e">
        <v>#N/A</v>
      </c>
      <c r="F460" s="1598" t="e">
        <v>#N/A</v>
      </c>
      <c r="G460" s="1598" t="e">
        <v>#N/A</v>
      </c>
      <c r="H460" s="1598" t="e">
        <v>#N/A</v>
      </c>
      <c r="I460" s="1598" t="e">
        <v>#N/A</v>
      </c>
      <c r="J460" s="1598" t="e">
        <v>#N/A</v>
      </c>
      <c r="K460" s="1598" t="e">
        <v>#N/A</v>
      </c>
      <c r="L460" s="2398" t="e">
        <f t="shared" si="9"/>
        <v>#N/A</v>
      </c>
    </row>
    <row r="461" spans="1:12">
      <c r="A461" s="972">
        <f t="shared" si="7"/>
        <v>2029.08</v>
      </c>
      <c r="B461" s="1598" t="e">
        <v>#N/A</v>
      </c>
      <c r="C461" s="1598" t="e">
        <v>#N/A</v>
      </c>
      <c r="D461" s="1598" t="e">
        <v>#N/A</v>
      </c>
      <c r="E461" s="1598" t="e">
        <v>#N/A</v>
      </c>
      <c r="F461" s="1598" t="e">
        <v>#N/A</v>
      </c>
      <c r="G461" s="1598" t="e">
        <v>#N/A</v>
      </c>
      <c r="H461" s="1598" t="e">
        <v>#N/A</v>
      </c>
      <c r="I461" s="1598" t="e">
        <v>#N/A</v>
      </c>
      <c r="J461" s="1598" t="e">
        <v>#N/A</v>
      </c>
      <c r="K461" s="1598" t="e">
        <v>#N/A</v>
      </c>
      <c r="L461" s="2398" t="e">
        <f t="shared" si="9"/>
        <v>#N/A</v>
      </c>
    </row>
    <row r="462" spans="1:12">
      <c r="A462" s="972">
        <f t="shared" si="7"/>
        <v>2029.09</v>
      </c>
      <c r="B462" s="1598" t="e">
        <v>#N/A</v>
      </c>
      <c r="C462" s="1598" t="e">
        <v>#N/A</v>
      </c>
      <c r="D462" s="1598" t="e">
        <v>#N/A</v>
      </c>
      <c r="E462" s="1598" t="e">
        <v>#N/A</v>
      </c>
      <c r="F462" s="1598" t="e">
        <v>#N/A</v>
      </c>
      <c r="G462" s="1598" t="e">
        <v>#N/A</v>
      </c>
      <c r="H462" s="1598" t="e">
        <v>#N/A</v>
      </c>
      <c r="I462" s="1598" t="e">
        <v>#N/A</v>
      </c>
      <c r="J462" s="1598" t="e">
        <v>#N/A</v>
      </c>
      <c r="K462" s="1598" t="e">
        <v>#N/A</v>
      </c>
      <c r="L462" s="2398" t="e">
        <f t="shared" si="9"/>
        <v>#N/A</v>
      </c>
    </row>
    <row r="463" spans="1:12">
      <c r="A463" s="972">
        <f t="shared" si="7"/>
        <v>2029.1</v>
      </c>
      <c r="B463" s="1598" t="e">
        <v>#N/A</v>
      </c>
      <c r="C463" s="1598" t="e">
        <v>#N/A</v>
      </c>
      <c r="D463" s="1598" t="e">
        <v>#N/A</v>
      </c>
      <c r="E463" s="1598" t="e">
        <v>#N/A</v>
      </c>
      <c r="F463" s="1598" t="e">
        <v>#N/A</v>
      </c>
      <c r="G463" s="1598" t="e">
        <v>#N/A</v>
      </c>
      <c r="H463" s="1598" t="e">
        <v>#N/A</v>
      </c>
      <c r="I463" s="1598" t="e">
        <v>#N/A</v>
      </c>
      <c r="J463" s="1598" t="e">
        <v>#N/A</v>
      </c>
      <c r="K463" s="1598" t="e">
        <v>#N/A</v>
      </c>
      <c r="L463" s="2398" t="e">
        <f t="shared" si="9"/>
        <v>#N/A</v>
      </c>
    </row>
    <row r="464" spans="1:12">
      <c r="A464" s="972">
        <f t="shared" si="7"/>
        <v>2029.11</v>
      </c>
      <c r="B464" s="1598" t="e">
        <v>#N/A</v>
      </c>
      <c r="C464" s="1598" t="e">
        <v>#N/A</v>
      </c>
      <c r="D464" s="1598" t="e">
        <v>#N/A</v>
      </c>
      <c r="E464" s="1598" t="e">
        <v>#N/A</v>
      </c>
      <c r="F464" s="1598" t="e">
        <v>#N/A</v>
      </c>
      <c r="G464" s="1598" t="e">
        <v>#N/A</v>
      </c>
      <c r="H464" s="1598" t="e">
        <v>#N/A</v>
      </c>
      <c r="I464" s="1598" t="e">
        <v>#N/A</v>
      </c>
      <c r="J464" s="1598" t="e">
        <v>#N/A</v>
      </c>
      <c r="K464" s="1598" t="e">
        <v>#N/A</v>
      </c>
      <c r="L464" s="2398" t="e">
        <f t="shared" si="9"/>
        <v>#N/A</v>
      </c>
    </row>
    <row r="465" spans="1:12">
      <c r="A465" s="972">
        <f t="shared" si="7"/>
        <v>2029.12</v>
      </c>
      <c r="B465" s="1598" t="e">
        <v>#N/A</v>
      </c>
      <c r="C465" s="1598" t="e">
        <v>#N/A</v>
      </c>
      <c r="D465" s="1598" t="e">
        <v>#N/A</v>
      </c>
      <c r="E465" s="1598" t="e">
        <v>#N/A</v>
      </c>
      <c r="F465" s="1598" t="e">
        <v>#N/A</v>
      </c>
      <c r="G465" s="1598" t="e">
        <v>#N/A</v>
      </c>
      <c r="H465" s="1598" t="e">
        <v>#N/A</v>
      </c>
      <c r="I465" s="1598" t="e">
        <v>#N/A</v>
      </c>
      <c r="J465" s="1598" t="e">
        <v>#N/A</v>
      </c>
      <c r="K465" s="1598" t="e">
        <v>#N/A</v>
      </c>
      <c r="L465" s="2398" t="e">
        <f t="shared" si="9"/>
        <v>#N/A</v>
      </c>
    </row>
    <row r="466" spans="1:12">
      <c r="A466" s="972">
        <f t="shared" si="7"/>
        <v>2030.01</v>
      </c>
      <c r="B466" s="1598" t="e">
        <v>#N/A</v>
      </c>
      <c r="C466" s="1598" t="e">
        <v>#N/A</v>
      </c>
      <c r="D466" s="1598" t="e">
        <v>#N/A</v>
      </c>
      <c r="E466" s="1598" t="e">
        <v>#N/A</v>
      </c>
      <c r="F466" s="1598" t="e">
        <v>#N/A</v>
      </c>
      <c r="G466" s="1598" t="e">
        <v>#N/A</v>
      </c>
      <c r="H466" s="1598" t="e">
        <v>#N/A</v>
      </c>
      <c r="I466" s="1598" t="e">
        <v>#N/A</v>
      </c>
      <c r="J466" s="1598" t="e">
        <v>#N/A</v>
      </c>
      <c r="K466" s="1598" t="e">
        <v>#N/A</v>
      </c>
      <c r="L466" s="2398" t="e">
        <f t="shared" si="9"/>
        <v>#N/A</v>
      </c>
    </row>
    <row r="467" spans="1:12">
      <c r="A467" s="972">
        <f t="shared" si="7"/>
        <v>2030.02</v>
      </c>
      <c r="B467" s="1598" t="e">
        <v>#N/A</v>
      </c>
      <c r="C467" s="1598" t="e">
        <v>#N/A</v>
      </c>
      <c r="D467" s="1598" t="e">
        <v>#N/A</v>
      </c>
      <c r="E467" s="1598" t="e">
        <v>#N/A</v>
      </c>
      <c r="F467" s="1598" t="e">
        <v>#N/A</v>
      </c>
      <c r="G467" s="1598" t="e">
        <v>#N/A</v>
      </c>
      <c r="H467" s="1598" t="e">
        <v>#N/A</v>
      </c>
      <c r="I467" s="1598" t="e">
        <v>#N/A</v>
      </c>
      <c r="J467" s="1598" t="e">
        <v>#N/A</v>
      </c>
      <c r="K467" s="1598" t="e">
        <v>#N/A</v>
      </c>
      <c r="L467" s="2398" t="e">
        <f t="shared" si="9"/>
        <v>#N/A</v>
      </c>
    </row>
    <row r="468" spans="1:12">
      <c r="A468" s="972">
        <f t="shared" si="7"/>
        <v>2030.03</v>
      </c>
      <c r="B468" s="1598" t="e">
        <v>#N/A</v>
      </c>
      <c r="C468" s="1598" t="e">
        <v>#N/A</v>
      </c>
      <c r="D468" s="1598" t="e">
        <v>#N/A</v>
      </c>
      <c r="E468" s="1598" t="e">
        <v>#N/A</v>
      </c>
      <c r="F468" s="1598" t="e">
        <v>#N/A</v>
      </c>
      <c r="G468" s="1598" t="e">
        <v>#N/A</v>
      </c>
      <c r="H468" s="1598" t="e">
        <v>#N/A</v>
      </c>
      <c r="I468" s="1598" t="e">
        <v>#N/A</v>
      </c>
      <c r="J468" s="1598" t="e">
        <v>#N/A</v>
      </c>
      <c r="K468" s="1598" t="e">
        <v>#N/A</v>
      </c>
      <c r="L468" s="2398" t="e">
        <f t="shared" si="9"/>
        <v>#N/A</v>
      </c>
    </row>
    <row r="469" spans="1:12">
      <c r="A469" s="972">
        <f t="shared" si="7"/>
        <v>2030.04</v>
      </c>
      <c r="B469" s="1598" t="e">
        <v>#N/A</v>
      </c>
      <c r="C469" s="1598" t="e">
        <v>#N/A</v>
      </c>
      <c r="D469" s="1598" t="e">
        <v>#N/A</v>
      </c>
      <c r="E469" s="1598" t="e">
        <v>#N/A</v>
      </c>
      <c r="F469" s="1598" t="e">
        <v>#N/A</v>
      </c>
      <c r="G469" s="1598" t="e">
        <v>#N/A</v>
      </c>
      <c r="H469" s="1598" t="e">
        <v>#N/A</v>
      </c>
      <c r="I469" s="1598" t="e">
        <v>#N/A</v>
      </c>
      <c r="J469" s="1598" t="e">
        <v>#N/A</v>
      </c>
      <c r="K469" s="1598" t="e">
        <v>#N/A</v>
      </c>
      <c r="L469" s="2398" t="e">
        <f t="shared" si="9"/>
        <v>#N/A</v>
      </c>
    </row>
    <row r="470" spans="1:12">
      <c r="A470" s="972">
        <f t="shared" ref="A470:A477" si="10">A458+1</f>
        <v>2030.05</v>
      </c>
      <c r="B470" s="1598" t="e">
        <v>#N/A</v>
      </c>
      <c r="C470" s="1598" t="e">
        <v>#N/A</v>
      </c>
      <c r="D470" s="1598" t="e">
        <v>#N/A</v>
      </c>
      <c r="E470" s="1598" t="e">
        <v>#N/A</v>
      </c>
      <c r="F470" s="1598" t="e">
        <v>#N/A</v>
      </c>
      <c r="G470" s="1598" t="e">
        <v>#N/A</v>
      </c>
      <c r="H470" s="1598" t="e">
        <v>#N/A</v>
      </c>
      <c r="I470" s="1598" t="e">
        <v>#N/A</v>
      </c>
      <c r="J470" s="1598" t="e">
        <v>#N/A</v>
      </c>
      <c r="K470" s="1598" t="e">
        <v>#N/A</v>
      </c>
      <c r="L470" s="2398" t="e">
        <f t="shared" si="9"/>
        <v>#N/A</v>
      </c>
    </row>
    <row r="471" spans="1:12">
      <c r="A471" s="972">
        <f t="shared" si="10"/>
        <v>2030.06</v>
      </c>
      <c r="B471" s="1598" t="e">
        <v>#N/A</v>
      </c>
      <c r="C471" s="1598" t="e">
        <v>#N/A</v>
      </c>
      <c r="D471" s="1598" t="e">
        <v>#N/A</v>
      </c>
      <c r="E471" s="1598" t="e">
        <v>#N/A</v>
      </c>
      <c r="F471" s="1598" t="e">
        <v>#N/A</v>
      </c>
      <c r="G471" s="1598" t="e">
        <v>#N/A</v>
      </c>
      <c r="H471" s="1598" t="e">
        <v>#N/A</v>
      </c>
      <c r="I471" s="1598" t="e">
        <v>#N/A</v>
      </c>
      <c r="J471" s="1598" t="e">
        <v>#N/A</v>
      </c>
      <c r="K471" s="1598" t="e">
        <v>#N/A</v>
      </c>
      <c r="L471" s="2398" t="e">
        <f t="shared" si="9"/>
        <v>#N/A</v>
      </c>
    </row>
    <row r="472" spans="1:12">
      <c r="A472" s="972">
        <f t="shared" si="10"/>
        <v>2030.07</v>
      </c>
      <c r="B472" s="1598" t="e">
        <v>#N/A</v>
      </c>
      <c r="C472" s="1598" t="e">
        <v>#N/A</v>
      </c>
      <c r="D472" s="1598" t="e">
        <v>#N/A</v>
      </c>
      <c r="E472" s="1598" t="e">
        <v>#N/A</v>
      </c>
      <c r="F472" s="1598" t="e">
        <v>#N/A</v>
      </c>
      <c r="G472" s="1598" t="e">
        <v>#N/A</v>
      </c>
      <c r="H472" s="1598" t="e">
        <v>#N/A</v>
      </c>
      <c r="I472" s="1598" t="e">
        <v>#N/A</v>
      </c>
      <c r="J472" s="1598" t="e">
        <v>#N/A</v>
      </c>
      <c r="K472" s="1598" t="e">
        <v>#N/A</v>
      </c>
      <c r="L472" s="2398" t="e">
        <f t="shared" si="9"/>
        <v>#N/A</v>
      </c>
    </row>
    <row r="473" spans="1:12">
      <c r="A473" s="972">
        <f t="shared" si="10"/>
        <v>2030.08</v>
      </c>
      <c r="B473" s="1598" t="e">
        <v>#N/A</v>
      </c>
      <c r="C473" s="1598" t="e">
        <v>#N/A</v>
      </c>
      <c r="D473" s="1598" t="e">
        <v>#N/A</v>
      </c>
      <c r="E473" s="1598" t="e">
        <v>#N/A</v>
      </c>
      <c r="F473" s="1598" t="e">
        <v>#N/A</v>
      </c>
      <c r="G473" s="1598" t="e">
        <v>#N/A</v>
      </c>
      <c r="H473" s="1598" t="e">
        <v>#N/A</v>
      </c>
      <c r="I473" s="1598" t="e">
        <v>#N/A</v>
      </c>
      <c r="J473" s="1598" t="e">
        <v>#N/A</v>
      </c>
      <c r="K473" s="1598" t="e">
        <v>#N/A</v>
      </c>
      <c r="L473" s="2398" t="e">
        <f t="shared" si="9"/>
        <v>#N/A</v>
      </c>
    </row>
    <row r="474" spans="1:12">
      <c r="A474" s="972">
        <f t="shared" si="10"/>
        <v>2030.09</v>
      </c>
      <c r="B474" s="1598" t="e">
        <v>#N/A</v>
      </c>
      <c r="C474" s="1598" t="e">
        <v>#N/A</v>
      </c>
      <c r="D474" s="1598" t="e">
        <v>#N/A</v>
      </c>
      <c r="E474" s="1598" t="e">
        <v>#N/A</v>
      </c>
      <c r="F474" s="1598" t="e">
        <v>#N/A</v>
      </c>
      <c r="G474" s="1598" t="e">
        <v>#N/A</v>
      </c>
      <c r="H474" s="1598" t="e">
        <v>#N/A</v>
      </c>
      <c r="I474" s="1598" t="e">
        <v>#N/A</v>
      </c>
      <c r="J474" s="1598" t="e">
        <v>#N/A</v>
      </c>
      <c r="K474" s="1598" t="e">
        <v>#N/A</v>
      </c>
      <c r="L474" s="2398" t="e">
        <f t="shared" si="9"/>
        <v>#N/A</v>
      </c>
    </row>
    <row r="475" spans="1:12">
      <c r="A475" s="972">
        <f t="shared" si="10"/>
        <v>2030.1</v>
      </c>
      <c r="B475" s="1598" t="e">
        <v>#N/A</v>
      </c>
      <c r="C475" s="1598" t="e">
        <v>#N/A</v>
      </c>
      <c r="D475" s="1598" t="e">
        <v>#N/A</v>
      </c>
      <c r="E475" s="1598" t="e">
        <v>#N/A</v>
      </c>
      <c r="F475" s="1598" t="e">
        <v>#N/A</v>
      </c>
      <c r="G475" s="1598" t="e">
        <v>#N/A</v>
      </c>
      <c r="H475" s="1598" t="e">
        <v>#N/A</v>
      </c>
      <c r="I475" s="1598" t="e">
        <v>#N/A</v>
      </c>
      <c r="J475" s="1598" t="e">
        <v>#N/A</v>
      </c>
      <c r="K475" s="1598" t="e">
        <v>#N/A</v>
      </c>
      <c r="L475" s="2398" t="e">
        <f t="shared" si="9"/>
        <v>#N/A</v>
      </c>
    </row>
    <row r="476" spans="1:12">
      <c r="A476" s="972">
        <f t="shared" si="10"/>
        <v>2030.11</v>
      </c>
      <c r="B476" s="1598" t="e">
        <v>#N/A</v>
      </c>
      <c r="C476" s="1598" t="e">
        <v>#N/A</v>
      </c>
      <c r="D476" s="1598" t="e">
        <v>#N/A</v>
      </c>
      <c r="E476" s="1598" t="e">
        <v>#N/A</v>
      </c>
      <c r="F476" s="1598" t="e">
        <v>#N/A</v>
      </c>
      <c r="G476" s="1598" t="e">
        <v>#N/A</v>
      </c>
      <c r="H476" s="1598" t="e">
        <v>#N/A</v>
      </c>
      <c r="I476" s="1598" t="e">
        <v>#N/A</v>
      </c>
      <c r="J476" s="1598" t="e">
        <v>#N/A</v>
      </c>
      <c r="K476" s="1598" t="e">
        <v>#N/A</v>
      </c>
      <c r="L476" s="2398" t="e">
        <f t="shared" si="9"/>
        <v>#N/A</v>
      </c>
    </row>
    <row r="477" spans="1:12">
      <c r="A477" s="972">
        <f t="shared" si="10"/>
        <v>2030.12</v>
      </c>
      <c r="B477" s="1597" t="e">
        <v>#N/A</v>
      </c>
      <c r="C477" s="1598" t="e">
        <v>#N/A</v>
      </c>
      <c r="D477" s="1594" t="e">
        <v>#N/A</v>
      </c>
      <c r="E477" s="3608" t="e">
        <v>#N/A</v>
      </c>
      <c r="F477" s="1594" t="e">
        <v>#N/A</v>
      </c>
      <c r="G477" s="3608" t="e">
        <v>#N/A</v>
      </c>
      <c r="H477" s="1594" t="e">
        <v>#N/A</v>
      </c>
      <c r="I477" s="3608" t="e">
        <v>#N/A</v>
      </c>
      <c r="J477" s="1594" t="e">
        <v>#N/A</v>
      </c>
      <c r="K477" s="1595" t="e">
        <v>#N/A</v>
      </c>
      <c r="L477" s="2398" t="e">
        <f t="shared" si="9"/>
        <v>#N/A</v>
      </c>
    </row>
  </sheetData>
  <conditionalFormatting sqref="L10:L477">
    <cfRule type="cellIs" dxfId="1" priority="1" stopIfTrue="1" operator="lessThan">
      <formula>-$L$8</formula>
    </cfRule>
    <cfRule type="cellIs" dxfId="0" priority="2" stopIfTrue="1" operator="greaterThan">
      <formula>$L$8</formula>
    </cfRule>
  </conditionalFormatting>
  <hyperlinks>
    <hyperlink ref="A1:A3" location="Indice!A1" display="ÍNDICE" xr:uid="{00000000-0004-0000-3200-000000000000}"/>
    <hyperlink ref="A5" location="INDICE!A13" display="VOLVER AL INDICE" xr:uid="{00000000-0004-0000-3200-000001000000}"/>
  </hyperlinks>
  <printOptions horizontalCentered="1" gridLines="1"/>
  <pageMargins left="0" right="0" top="0.19685039370078741" bottom="0.19685039370078741" header="0" footer="0"/>
  <pageSetup paperSize="9" scale="110" orientation="landscape" horizontalDpi="300" verticalDpi="300" r:id="rId1"/>
  <headerFooter alignWithMargins="0"/>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65"/>
  <dimension ref="A1:P453"/>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12.5703125" style="916" customWidth="1"/>
    <col min="2" max="9" width="13.5703125" style="917" customWidth="1"/>
    <col min="10" max="11" width="13.5703125" style="903" customWidth="1"/>
    <col min="12" max="13" width="13.5703125" style="917" customWidth="1"/>
    <col min="14" max="15" width="13.5703125" style="903" customWidth="1"/>
    <col min="16" max="16384" width="11.42578125" style="920"/>
  </cols>
  <sheetData>
    <row r="1" spans="1:15" s="918" customFormat="1" ht="3.75" customHeight="1">
      <c r="A1" s="2761"/>
      <c r="B1" s="183"/>
      <c r="C1" s="182"/>
      <c r="D1" s="182"/>
      <c r="E1" s="182"/>
      <c r="F1" s="182"/>
      <c r="G1" s="182"/>
      <c r="H1" s="182"/>
      <c r="I1" s="182"/>
      <c r="J1" s="181"/>
      <c r="K1" s="181"/>
      <c r="L1" s="182"/>
      <c r="M1" s="182"/>
      <c r="N1" s="181"/>
      <c r="O1" s="886"/>
    </row>
    <row r="2" spans="1:15" s="918" customFormat="1">
      <c r="A2" s="2762" t="s">
        <v>99</v>
      </c>
      <c r="B2" s="3101" t="s">
        <v>1777</v>
      </c>
      <c r="C2" s="3101"/>
      <c r="D2" s="3101"/>
      <c r="E2" s="3101"/>
      <c r="F2" s="3101"/>
      <c r="G2" s="3101"/>
      <c r="H2" s="3101"/>
      <c r="I2" s="3101"/>
      <c r="J2" s="3101"/>
      <c r="K2" s="3101"/>
      <c r="L2" s="3101"/>
      <c r="M2" s="3101"/>
      <c r="N2" s="3101"/>
      <c r="O2" s="3102"/>
    </row>
    <row r="3" spans="1:15" s="918" customFormat="1">
      <c r="A3" s="2762" t="s">
        <v>104</v>
      </c>
      <c r="B3" s="3103" t="s">
        <v>1778</v>
      </c>
      <c r="C3" s="3104"/>
      <c r="D3" s="3104"/>
      <c r="E3" s="3104"/>
      <c r="F3" s="3104"/>
      <c r="G3" s="3104"/>
      <c r="H3" s="3104"/>
      <c r="I3" s="3104"/>
      <c r="J3" s="887"/>
      <c r="K3" s="887"/>
      <c r="L3" s="3104"/>
      <c r="M3" s="3104"/>
      <c r="N3" s="887"/>
      <c r="O3" s="888"/>
    </row>
    <row r="4" spans="1:15" s="918" customFormat="1">
      <c r="A4" s="2762"/>
      <c r="B4" s="3105"/>
      <c r="C4" s="3105" t="s">
        <v>1779</v>
      </c>
      <c r="D4" s="3105"/>
      <c r="E4" s="3105"/>
      <c r="F4" s="3105"/>
      <c r="G4" s="3105"/>
      <c r="H4" s="3105"/>
      <c r="I4" s="3105"/>
      <c r="J4" s="3105"/>
      <c r="K4" s="3105"/>
      <c r="L4" s="3105"/>
      <c r="M4" s="3105"/>
      <c r="N4" s="3105"/>
      <c r="O4" s="3106"/>
    </row>
    <row r="5" spans="1:15" s="918" customFormat="1" ht="33" customHeight="1">
      <c r="A5" s="2867" t="s">
        <v>140</v>
      </c>
      <c r="B5" s="2732" t="s">
        <v>1209</v>
      </c>
      <c r="C5" s="2782" t="s">
        <v>1780</v>
      </c>
      <c r="D5" s="521" t="s">
        <v>1781</v>
      </c>
      <c r="E5" s="282" t="s">
        <v>1782</v>
      </c>
      <c r="F5" s="521" t="s">
        <v>1783</v>
      </c>
      <c r="G5" s="282" t="s">
        <v>1784</v>
      </c>
      <c r="H5" s="521" t="s">
        <v>1785</v>
      </c>
      <c r="I5" s="282" t="s">
        <v>1786</v>
      </c>
      <c r="J5" s="521" t="s">
        <v>1787</v>
      </c>
      <c r="K5" s="521" t="s">
        <v>1788</v>
      </c>
      <c r="L5" s="521" t="s">
        <v>1759</v>
      </c>
      <c r="M5" s="282" t="s">
        <v>217</v>
      </c>
      <c r="N5" s="282" t="s">
        <v>1789</v>
      </c>
      <c r="O5" s="922" t="s">
        <v>1790</v>
      </c>
    </row>
    <row r="6" spans="1:15" s="918" customFormat="1" ht="20.100000000000001" customHeight="1">
      <c r="A6" s="2762" t="s">
        <v>1762</v>
      </c>
      <c r="B6" s="3105" t="s">
        <v>5</v>
      </c>
      <c r="C6" s="3107">
        <v>0.17130000000000001</v>
      </c>
      <c r="D6" s="889">
        <v>1.6E-2</v>
      </c>
      <c r="E6" s="890">
        <v>5.3100000000000001E-2</v>
      </c>
      <c r="F6" s="889">
        <v>0.17430000000000001</v>
      </c>
      <c r="G6" s="890">
        <v>5.91E-2</v>
      </c>
      <c r="H6" s="889">
        <v>8.6999999999999994E-2</v>
      </c>
      <c r="I6" s="890">
        <v>0.1144</v>
      </c>
      <c r="J6" s="891">
        <v>7.3200000000000001E-2</v>
      </c>
      <c r="K6" s="891">
        <v>6.1199999999999997E-2</v>
      </c>
      <c r="L6" s="889">
        <v>4.7300000000000002E-2</v>
      </c>
      <c r="M6" s="890">
        <v>9.5799999999999996E-2</v>
      </c>
      <c r="N6" s="891">
        <v>7.6E-3</v>
      </c>
      <c r="O6" s="892">
        <v>3.9800000000000002E-2</v>
      </c>
    </row>
    <row r="7" spans="1:15" s="918" customFormat="1" ht="30" customHeight="1">
      <c r="A7" s="2762" t="s">
        <v>125</v>
      </c>
      <c r="B7" s="893" t="s">
        <v>1791</v>
      </c>
      <c r="C7" s="894" t="s">
        <v>1791</v>
      </c>
      <c r="D7" s="895" t="s">
        <v>1791</v>
      </c>
      <c r="E7" s="895" t="s">
        <v>1791</v>
      </c>
      <c r="F7" s="895" t="s">
        <v>1791</v>
      </c>
      <c r="G7" s="895" t="s">
        <v>1791</v>
      </c>
      <c r="H7" s="895" t="s">
        <v>1791</v>
      </c>
      <c r="I7" s="895" t="s">
        <v>1791</v>
      </c>
      <c r="J7" s="895" t="s">
        <v>1791</v>
      </c>
      <c r="K7" s="895" t="s">
        <v>1791</v>
      </c>
      <c r="L7" s="895" t="s">
        <v>1791</v>
      </c>
      <c r="M7" s="895" t="s">
        <v>1791</v>
      </c>
      <c r="N7" s="895" t="s">
        <v>1791</v>
      </c>
      <c r="O7" s="896" t="s">
        <v>1791</v>
      </c>
    </row>
    <row r="8" spans="1:15" s="918" customFormat="1">
      <c r="A8" s="3002" t="s">
        <v>144</v>
      </c>
      <c r="B8" s="3108" t="s">
        <v>1792</v>
      </c>
      <c r="C8" s="3108" t="s">
        <v>1793</v>
      </c>
      <c r="D8" s="2301" t="s">
        <v>1794</v>
      </c>
      <c r="E8" s="2302" t="s">
        <v>1795</v>
      </c>
      <c r="F8" s="2301" t="s">
        <v>1796</v>
      </c>
      <c r="G8" s="2302" t="s">
        <v>1797</v>
      </c>
      <c r="H8" s="2301" t="s">
        <v>1798</v>
      </c>
      <c r="I8" s="2302" t="s">
        <v>1799</v>
      </c>
      <c r="J8" s="2301" t="s">
        <v>1800</v>
      </c>
      <c r="K8" s="2302" t="s">
        <v>1801</v>
      </c>
      <c r="L8" s="2301" t="s">
        <v>1802</v>
      </c>
      <c r="M8" s="2302" t="s">
        <v>1803</v>
      </c>
      <c r="N8" s="2301" t="s">
        <v>1804</v>
      </c>
      <c r="O8" s="2303" t="s">
        <v>1805</v>
      </c>
    </row>
    <row r="9" spans="1:15" s="919" customFormat="1" ht="13.5" thickBot="1">
      <c r="A9" s="2140"/>
      <c r="B9" s="180"/>
      <c r="C9" s="180"/>
      <c r="D9" s="514"/>
      <c r="E9" s="198"/>
      <c r="F9" s="514"/>
      <c r="G9" s="198"/>
      <c r="H9" s="514"/>
      <c r="I9" s="198"/>
      <c r="J9" s="897"/>
      <c r="K9" s="897"/>
      <c r="L9" s="514"/>
      <c r="M9" s="198"/>
      <c r="N9" s="897"/>
      <c r="O9" s="3109"/>
    </row>
    <row r="10" spans="1:15">
      <c r="A10" s="972">
        <v>1994.01</v>
      </c>
      <c r="B10" s="898"/>
      <c r="C10" s="899"/>
      <c r="D10" s="3689"/>
      <c r="E10" s="900"/>
      <c r="F10" s="3689"/>
      <c r="G10" s="900"/>
      <c r="H10" s="3689"/>
      <c r="I10" s="900"/>
      <c r="J10" s="901"/>
      <c r="K10" s="901"/>
      <c r="L10" s="3689"/>
      <c r="M10" s="900"/>
      <c r="N10" s="901"/>
      <c r="O10" s="902"/>
    </row>
    <row r="11" spans="1:15">
      <c r="A11" s="972">
        <v>1994.02</v>
      </c>
      <c r="B11" s="904"/>
      <c r="C11" s="904"/>
      <c r="D11" s="3690"/>
      <c r="E11" s="905"/>
      <c r="F11" s="3690"/>
      <c r="G11" s="905"/>
      <c r="H11" s="3690"/>
      <c r="I11" s="905"/>
      <c r="J11" s="3690"/>
      <c r="K11" s="905"/>
      <c r="L11" s="3690"/>
      <c r="M11" s="905"/>
      <c r="N11" s="901"/>
      <c r="O11" s="906"/>
    </row>
    <row r="12" spans="1:15">
      <c r="A12" s="972">
        <v>1994.03</v>
      </c>
      <c r="B12" s="904"/>
      <c r="C12" s="904"/>
      <c r="D12" s="3690"/>
      <c r="E12" s="905"/>
      <c r="F12" s="3690"/>
      <c r="G12" s="905"/>
      <c r="H12" s="3690"/>
      <c r="I12" s="905"/>
      <c r="J12" s="3690"/>
      <c r="K12" s="905"/>
      <c r="L12" s="3690"/>
      <c r="M12" s="905"/>
      <c r="N12" s="907"/>
      <c r="O12" s="908"/>
    </row>
    <row r="13" spans="1:15">
      <c r="A13" s="972">
        <v>1994.04</v>
      </c>
      <c r="B13" s="904"/>
      <c r="C13" s="904"/>
      <c r="D13" s="3690"/>
      <c r="E13" s="905"/>
      <c r="F13" s="3690"/>
      <c r="G13" s="905"/>
      <c r="H13" s="3690"/>
      <c r="I13" s="905"/>
      <c r="J13" s="3690"/>
      <c r="K13" s="905"/>
      <c r="L13" s="3690"/>
      <c r="M13" s="905"/>
      <c r="N13" s="907"/>
      <c r="O13" s="908"/>
    </row>
    <row r="14" spans="1:15">
      <c r="A14" s="972">
        <v>1994.05</v>
      </c>
      <c r="B14" s="904"/>
      <c r="C14" s="904"/>
      <c r="D14" s="3690"/>
      <c r="E14" s="905"/>
      <c r="F14" s="3690"/>
      <c r="G14" s="905"/>
      <c r="H14" s="3690"/>
      <c r="I14" s="905"/>
      <c r="J14" s="3690"/>
      <c r="K14" s="905"/>
      <c r="L14" s="3690"/>
      <c r="M14" s="905"/>
      <c r="N14" s="907"/>
      <c r="O14" s="908"/>
    </row>
    <row r="15" spans="1:15">
      <c r="A15" s="972">
        <v>1994.06</v>
      </c>
      <c r="B15" s="904"/>
      <c r="C15" s="904"/>
      <c r="D15" s="3690"/>
      <c r="E15" s="905"/>
      <c r="F15" s="3690"/>
      <c r="G15" s="905"/>
      <c r="H15" s="3690"/>
      <c r="I15" s="905"/>
      <c r="J15" s="3690"/>
      <c r="K15" s="905"/>
      <c r="L15" s="3690"/>
      <c r="M15" s="905"/>
      <c r="N15" s="907"/>
      <c r="O15" s="906"/>
    </row>
    <row r="16" spans="1:15">
      <c r="A16" s="972">
        <v>1994.07</v>
      </c>
      <c r="B16" s="904"/>
      <c r="C16" s="904"/>
      <c r="D16" s="3690"/>
      <c r="E16" s="905"/>
      <c r="F16" s="3690"/>
      <c r="G16" s="905"/>
      <c r="H16" s="3690"/>
      <c r="I16" s="905"/>
      <c r="J16" s="3690"/>
      <c r="K16" s="905"/>
      <c r="L16" s="3690"/>
      <c r="M16" s="905"/>
      <c r="N16" s="907"/>
      <c r="O16" s="906"/>
    </row>
    <row r="17" spans="1:15">
      <c r="A17" s="972">
        <v>1994.08</v>
      </c>
      <c r="B17" s="904"/>
      <c r="C17" s="904"/>
      <c r="D17" s="3690"/>
      <c r="E17" s="905"/>
      <c r="F17" s="3690"/>
      <c r="G17" s="905"/>
      <c r="H17" s="3690"/>
      <c r="I17" s="905"/>
      <c r="J17" s="3690"/>
      <c r="K17" s="905"/>
      <c r="L17" s="3690"/>
      <c r="M17" s="905"/>
      <c r="N17" s="907"/>
      <c r="O17" s="908"/>
    </row>
    <row r="18" spans="1:15">
      <c r="A18" s="972">
        <v>1994.09</v>
      </c>
      <c r="B18" s="904"/>
      <c r="C18" s="904"/>
      <c r="D18" s="3690"/>
      <c r="E18" s="905"/>
      <c r="F18" s="3690"/>
      <c r="G18" s="905"/>
      <c r="H18" s="3690"/>
      <c r="I18" s="905"/>
      <c r="J18" s="3690"/>
      <c r="K18" s="905"/>
      <c r="L18" s="3690"/>
      <c r="M18" s="905"/>
      <c r="N18" s="907"/>
      <c r="O18" s="908"/>
    </row>
    <row r="19" spans="1:15">
      <c r="A19" s="972">
        <v>1994.1</v>
      </c>
      <c r="B19" s="904"/>
      <c r="C19" s="904"/>
      <c r="D19" s="3690"/>
      <c r="E19" s="905"/>
      <c r="F19" s="3690"/>
      <c r="G19" s="905"/>
      <c r="H19" s="3690"/>
      <c r="I19" s="905"/>
      <c r="J19" s="3690"/>
      <c r="K19" s="905"/>
      <c r="L19" s="3690"/>
      <c r="M19" s="905"/>
      <c r="N19" s="907"/>
      <c r="O19" s="908"/>
    </row>
    <row r="20" spans="1:15">
      <c r="A20" s="972">
        <v>1994.11</v>
      </c>
      <c r="B20" s="904"/>
      <c r="C20" s="904"/>
      <c r="D20" s="3690"/>
      <c r="E20" s="905"/>
      <c r="F20" s="3690"/>
      <c r="G20" s="905"/>
      <c r="H20" s="3690"/>
      <c r="I20" s="905"/>
      <c r="J20" s="3690"/>
      <c r="K20" s="905"/>
      <c r="L20" s="3690"/>
      <c r="M20" s="905"/>
      <c r="N20" s="907"/>
      <c r="O20" s="908"/>
    </row>
    <row r="21" spans="1:15">
      <c r="A21" s="972">
        <v>1994.12</v>
      </c>
      <c r="B21" s="904"/>
      <c r="C21" s="904"/>
      <c r="D21" s="3690"/>
      <c r="E21" s="905"/>
      <c r="F21" s="3690"/>
      <c r="G21" s="905"/>
      <c r="H21" s="3690"/>
      <c r="I21" s="905"/>
      <c r="J21" s="3690"/>
      <c r="K21" s="905"/>
      <c r="L21" s="3690"/>
      <c r="M21" s="905"/>
      <c r="N21" s="907"/>
      <c r="O21" s="908"/>
    </row>
    <row r="22" spans="1:15">
      <c r="A22" s="972">
        <v>1995.01</v>
      </c>
      <c r="B22" s="904"/>
      <c r="C22" s="904"/>
      <c r="D22" s="3690"/>
      <c r="E22" s="905"/>
      <c r="F22" s="3690"/>
      <c r="G22" s="905"/>
      <c r="H22" s="3690"/>
      <c r="I22" s="905"/>
      <c r="J22" s="3690"/>
      <c r="K22" s="905"/>
      <c r="L22" s="3690"/>
      <c r="M22" s="905"/>
      <c r="N22" s="907"/>
      <c r="O22" s="908"/>
    </row>
    <row r="23" spans="1:15">
      <c r="A23" s="972">
        <v>1995.02</v>
      </c>
      <c r="B23" s="904"/>
      <c r="C23" s="904"/>
      <c r="D23" s="3690"/>
      <c r="E23" s="905"/>
      <c r="F23" s="3690"/>
      <c r="G23" s="905"/>
      <c r="H23" s="3690"/>
      <c r="I23" s="905"/>
      <c r="J23" s="3690"/>
      <c r="K23" s="905"/>
      <c r="L23" s="3690"/>
      <c r="M23" s="905"/>
      <c r="N23" s="907"/>
      <c r="O23" s="908"/>
    </row>
    <row r="24" spans="1:15">
      <c r="A24" s="972">
        <v>1995.03</v>
      </c>
      <c r="B24" s="904"/>
      <c r="C24" s="904"/>
      <c r="D24" s="3690"/>
      <c r="E24" s="905"/>
      <c r="F24" s="3690"/>
      <c r="G24" s="905"/>
      <c r="H24" s="3690"/>
      <c r="I24" s="905"/>
      <c r="J24" s="3690"/>
      <c r="K24" s="3690"/>
      <c r="L24" s="3690"/>
      <c r="M24" s="905"/>
      <c r="N24" s="3690"/>
      <c r="O24" s="908"/>
    </row>
    <row r="25" spans="1:15">
      <c r="A25" s="972">
        <v>1995.04</v>
      </c>
      <c r="B25" s="904"/>
      <c r="C25" s="904"/>
      <c r="D25" s="3690"/>
      <c r="E25" s="905"/>
      <c r="F25" s="3690"/>
      <c r="G25" s="905"/>
      <c r="H25" s="3690"/>
      <c r="I25" s="905"/>
      <c r="J25" s="3690"/>
      <c r="K25" s="3690"/>
      <c r="L25" s="3690"/>
      <c r="M25" s="905"/>
      <c r="N25" s="3690"/>
      <c r="O25" s="908"/>
    </row>
    <row r="26" spans="1:15">
      <c r="A26" s="972">
        <v>1995.05</v>
      </c>
      <c r="B26" s="904"/>
      <c r="C26" s="904"/>
      <c r="D26" s="3690"/>
      <c r="E26" s="905"/>
      <c r="F26" s="3690"/>
      <c r="G26" s="905"/>
      <c r="H26" s="3690"/>
      <c r="I26" s="905"/>
      <c r="J26" s="3690"/>
      <c r="K26" s="3690"/>
      <c r="L26" s="3690"/>
      <c r="M26" s="905"/>
      <c r="N26" s="3690"/>
      <c r="O26" s="908"/>
    </row>
    <row r="27" spans="1:15">
      <c r="A27" s="972">
        <v>1995.06</v>
      </c>
      <c r="B27" s="904"/>
      <c r="C27" s="904"/>
      <c r="D27" s="3690"/>
      <c r="E27" s="905"/>
      <c r="F27" s="3690"/>
      <c r="G27" s="905"/>
      <c r="H27" s="3690"/>
      <c r="I27" s="905"/>
      <c r="J27" s="3690"/>
      <c r="K27" s="3690"/>
      <c r="L27" s="3690"/>
      <c r="M27" s="905"/>
      <c r="N27" s="3690"/>
      <c r="O27" s="3110"/>
    </row>
    <row r="28" spans="1:15">
      <c r="A28" s="972">
        <v>1995.07</v>
      </c>
      <c r="B28" s="904"/>
      <c r="C28" s="904"/>
      <c r="D28" s="3690"/>
      <c r="E28" s="905"/>
      <c r="F28" s="3690"/>
      <c r="G28" s="905"/>
      <c r="H28" s="3690"/>
      <c r="I28" s="905"/>
      <c r="J28" s="3690"/>
      <c r="K28" s="3690"/>
      <c r="L28" s="3690"/>
      <c r="M28" s="905"/>
      <c r="N28" s="3690"/>
      <c r="O28" s="3110"/>
    </row>
    <row r="29" spans="1:15">
      <c r="A29" s="972">
        <v>1995.08</v>
      </c>
      <c r="B29" s="904"/>
      <c r="C29" s="904"/>
      <c r="D29" s="3690"/>
      <c r="E29" s="905"/>
      <c r="F29" s="3690"/>
      <c r="G29" s="905"/>
      <c r="H29" s="3690"/>
      <c r="I29" s="905"/>
      <c r="J29" s="3690"/>
      <c r="K29" s="3690"/>
      <c r="L29" s="3690"/>
      <c r="M29" s="905"/>
      <c r="N29" s="3690"/>
      <c r="O29" s="3110"/>
    </row>
    <row r="30" spans="1:15">
      <c r="A30" s="972">
        <v>1995.09</v>
      </c>
      <c r="B30" s="904"/>
      <c r="C30" s="904"/>
      <c r="D30" s="3690"/>
      <c r="E30" s="905"/>
      <c r="F30" s="3690"/>
      <c r="G30" s="905"/>
      <c r="H30" s="3690"/>
      <c r="I30" s="905"/>
      <c r="J30" s="3690"/>
      <c r="K30" s="3690"/>
      <c r="L30" s="3690"/>
      <c r="M30" s="905"/>
      <c r="N30" s="3690"/>
      <c r="O30" s="3110"/>
    </row>
    <row r="31" spans="1:15">
      <c r="A31" s="972">
        <v>1995.1</v>
      </c>
      <c r="B31" s="904"/>
      <c r="C31" s="904"/>
      <c r="D31" s="3690"/>
      <c r="E31" s="905"/>
      <c r="F31" s="3690"/>
      <c r="G31" s="905"/>
      <c r="H31" s="3690"/>
      <c r="I31" s="905"/>
      <c r="J31" s="3690"/>
      <c r="K31" s="3690"/>
      <c r="L31" s="3690"/>
      <c r="M31" s="905"/>
      <c r="N31" s="3690"/>
      <c r="O31" s="3110"/>
    </row>
    <row r="32" spans="1:15">
      <c r="A32" s="972">
        <v>1995.11</v>
      </c>
      <c r="B32" s="904"/>
      <c r="C32" s="904"/>
      <c r="D32" s="3690"/>
      <c r="E32" s="905"/>
      <c r="F32" s="3690"/>
      <c r="G32" s="905"/>
      <c r="H32" s="3690"/>
      <c r="I32" s="905"/>
      <c r="J32" s="3690"/>
      <c r="K32" s="3690"/>
      <c r="L32" s="3690"/>
      <c r="M32" s="905"/>
      <c r="N32" s="3690"/>
      <c r="O32" s="3110"/>
    </row>
    <row r="33" spans="1:15">
      <c r="A33" s="972">
        <v>1995.12</v>
      </c>
      <c r="B33" s="904"/>
      <c r="C33" s="904"/>
      <c r="D33" s="3690"/>
      <c r="E33" s="905"/>
      <c r="F33" s="3690"/>
      <c r="G33" s="905"/>
      <c r="H33" s="3690"/>
      <c r="I33" s="905"/>
      <c r="J33" s="3690"/>
      <c r="K33" s="3690"/>
      <c r="L33" s="3690"/>
      <c r="M33" s="905"/>
      <c r="N33" s="3690"/>
      <c r="O33" s="3110"/>
    </row>
    <row r="34" spans="1:15">
      <c r="A34" s="972">
        <v>1996.01</v>
      </c>
      <c r="B34" s="904"/>
      <c r="C34" s="904"/>
      <c r="D34" s="3690"/>
      <c r="E34" s="905"/>
      <c r="F34" s="3690"/>
      <c r="G34" s="905"/>
      <c r="H34" s="3690"/>
      <c r="I34" s="905"/>
      <c r="J34" s="3690"/>
      <c r="K34" s="3690"/>
      <c r="L34" s="3690"/>
      <c r="M34" s="905"/>
      <c r="N34" s="3690"/>
      <c r="O34" s="3110"/>
    </row>
    <row r="35" spans="1:15">
      <c r="A35" s="972">
        <v>1996.02</v>
      </c>
      <c r="B35" s="904"/>
      <c r="C35" s="904"/>
      <c r="D35" s="3690"/>
      <c r="E35" s="905"/>
      <c r="F35" s="3690"/>
      <c r="G35" s="905"/>
      <c r="H35" s="3690"/>
      <c r="I35" s="905"/>
      <c r="J35" s="3690"/>
      <c r="K35" s="3690"/>
      <c r="L35" s="3690"/>
      <c r="M35" s="905"/>
      <c r="N35" s="3690"/>
      <c r="O35" s="3110"/>
    </row>
    <row r="36" spans="1:15">
      <c r="A36" s="972">
        <v>1996.03</v>
      </c>
      <c r="B36" s="904"/>
      <c r="C36" s="904"/>
      <c r="D36" s="3690"/>
      <c r="E36" s="905"/>
      <c r="F36" s="3690"/>
      <c r="G36" s="905"/>
      <c r="H36" s="3690"/>
      <c r="I36" s="905"/>
      <c r="J36" s="3690"/>
      <c r="K36" s="3690"/>
      <c r="L36" s="3690"/>
      <c r="M36" s="905"/>
      <c r="N36" s="3690"/>
      <c r="O36" s="3110"/>
    </row>
    <row r="37" spans="1:15">
      <c r="A37" s="972">
        <v>1996.04</v>
      </c>
      <c r="B37" s="904"/>
      <c r="C37" s="904"/>
      <c r="D37" s="3690"/>
      <c r="E37" s="905"/>
      <c r="F37" s="3690"/>
      <c r="G37" s="905"/>
      <c r="H37" s="3690"/>
      <c r="I37" s="905"/>
      <c r="J37" s="3690"/>
      <c r="K37" s="3690"/>
      <c r="L37" s="3690"/>
      <c r="M37" s="905"/>
      <c r="N37" s="3690"/>
      <c r="O37" s="3110"/>
    </row>
    <row r="38" spans="1:15">
      <c r="A38" s="972">
        <v>1996.05</v>
      </c>
      <c r="B38" s="904"/>
      <c r="C38" s="904"/>
      <c r="D38" s="3690"/>
      <c r="E38" s="905"/>
      <c r="F38" s="3690"/>
      <c r="G38" s="905"/>
      <c r="H38" s="3690"/>
      <c r="I38" s="905"/>
      <c r="J38" s="3690"/>
      <c r="K38" s="3690"/>
      <c r="L38" s="3690"/>
      <c r="M38" s="905"/>
      <c r="N38" s="3690"/>
      <c r="O38" s="3110"/>
    </row>
    <row r="39" spans="1:15">
      <c r="A39" s="972">
        <v>1996.06</v>
      </c>
      <c r="B39" s="904"/>
      <c r="C39" s="904"/>
      <c r="D39" s="3690"/>
      <c r="E39" s="905"/>
      <c r="F39" s="3690"/>
      <c r="G39" s="905"/>
      <c r="H39" s="3690"/>
      <c r="I39" s="905"/>
      <c r="J39" s="3690"/>
      <c r="K39" s="3690"/>
      <c r="L39" s="3690"/>
      <c r="M39" s="905"/>
      <c r="N39" s="3690"/>
      <c r="O39" s="3110"/>
    </row>
    <row r="40" spans="1:15">
      <c r="A40" s="972">
        <v>1996.07</v>
      </c>
      <c r="B40" s="904"/>
      <c r="C40" s="904"/>
      <c r="D40" s="3690"/>
      <c r="E40" s="905"/>
      <c r="F40" s="3690"/>
      <c r="G40" s="905"/>
      <c r="H40" s="3690"/>
      <c r="I40" s="905"/>
      <c r="J40" s="3690"/>
      <c r="K40" s="3690"/>
      <c r="L40" s="3690"/>
      <c r="M40" s="905"/>
      <c r="N40" s="3690"/>
      <c r="O40" s="3110"/>
    </row>
    <row r="41" spans="1:15">
      <c r="A41" s="972">
        <v>1996.08</v>
      </c>
      <c r="B41" s="904"/>
      <c r="C41" s="904"/>
      <c r="D41" s="3690"/>
      <c r="E41" s="905"/>
      <c r="F41" s="3690"/>
      <c r="G41" s="905"/>
      <c r="H41" s="3690"/>
      <c r="I41" s="905"/>
      <c r="J41" s="3690"/>
      <c r="K41" s="3690"/>
      <c r="L41" s="3690"/>
      <c r="M41" s="905"/>
      <c r="N41" s="3690"/>
      <c r="O41" s="3110"/>
    </row>
    <row r="42" spans="1:15">
      <c r="A42" s="972">
        <v>1996.09</v>
      </c>
      <c r="B42" s="904"/>
      <c r="C42" s="904"/>
      <c r="D42" s="3690"/>
      <c r="E42" s="905"/>
      <c r="F42" s="3690"/>
      <c r="G42" s="905"/>
      <c r="H42" s="3690"/>
      <c r="I42" s="905"/>
      <c r="J42" s="3690"/>
      <c r="K42" s="3690"/>
      <c r="L42" s="3690"/>
      <c r="M42" s="905"/>
      <c r="N42" s="3690"/>
      <c r="O42" s="3110"/>
    </row>
    <row r="43" spans="1:15">
      <c r="A43" s="972">
        <v>1996.1</v>
      </c>
      <c r="B43" s="904"/>
      <c r="C43" s="904"/>
      <c r="D43" s="3690"/>
      <c r="E43" s="905"/>
      <c r="F43" s="3690"/>
      <c r="G43" s="905"/>
      <c r="H43" s="3690"/>
      <c r="I43" s="905"/>
      <c r="J43" s="3690"/>
      <c r="K43" s="3690"/>
      <c r="L43" s="3690"/>
      <c r="M43" s="905"/>
      <c r="N43" s="3690"/>
      <c r="O43" s="3110"/>
    </row>
    <row r="44" spans="1:15">
      <c r="A44" s="972">
        <v>1996.11</v>
      </c>
      <c r="B44" s="904"/>
      <c r="C44" s="904"/>
      <c r="D44" s="3690"/>
      <c r="E44" s="905"/>
      <c r="F44" s="3690"/>
      <c r="G44" s="905"/>
      <c r="H44" s="3690"/>
      <c r="I44" s="905"/>
      <c r="J44" s="3690"/>
      <c r="K44" s="3690"/>
      <c r="L44" s="3690"/>
      <c r="M44" s="905"/>
      <c r="N44" s="3690"/>
      <c r="O44" s="3110"/>
    </row>
    <row r="45" spans="1:15">
      <c r="A45" s="972">
        <v>1996.12</v>
      </c>
      <c r="B45" s="904"/>
      <c r="C45" s="904"/>
      <c r="D45" s="3690"/>
      <c r="E45" s="905"/>
      <c r="F45" s="3690"/>
      <c r="G45" s="905"/>
      <c r="H45" s="3690"/>
      <c r="I45" s="905"/>
      <c r="J45" s="3690"/>
      <c r="K45" s="3690"/>
      <c r="L45" s="3690"/>
      <c r="M45" s="905"/>
      <c r="N45" s="3690"/>
      <c r="O45" s="3110"/>
    </row>
    <row r="46" spans="1:15">
      <c r="A46" s="972">
        <v>1997.01</v>
      </c>
      <c r="B46" s="904"/>
      <c r="C46" s="904"/>
      <c r="D46" s="3690"/>
      <c r="E46" s="905"/>
      <c r="F46" s="3690"/>
      <c r="G46" s="905"/>
      <c r="H46" s="3690"/>
      <c r="I46" s="905"/>
      <c r="J46" s="3690"/>
      <c r="K46" s="3690"/>
      <c r="L46" s="3690"/>
      <c r="M46" s="905"/>
      <c r="N46" s="3690"/>
      <c r="O46" s="3110"/>
    </row>
    <row r="47" spans="1:15">
      <c r="A47" s="972">
        <v>1997.02</v>
      </c>
      <c r="B47" s="904"/>
      <c r="C47" s="904"/>
      <c r="D47" s="3690"/>
      <c r="E47" s="905"/>
      <c r="F47" s="3690"/>
      <c r="G47" s="905"/>
      <c r="H47" s="3690"/>
      <c r="I47" s="905"/>
      <c r="J47" s="3690"/>
      <c r="K47" s="3690"/>
      <c r="L47" s="3690"/>
      <c r="M47" s="905"/>
      <c r="N47" s="3690"/>
      <c r="O47" s="3110"/>
    </row>
    <row r="48" spans="1:15">
      <c r="A48" s="972">
        <v>1997.03</v>
      </c>
      <c r="B48" s="904"/>
      <c r="C48" s="904"/>
      <c r="D48" s="3690"/>
      <c r="E48" s="905"/>
      <c r="F48" s="3690"/>
      <c r="G48" s="905"/>
      <c r="H48" s="3690"/>
      <c r="I48" s="905"/>
      <c r="J48" s="3690"/>
      <c r="K48" s="3690"/>
      <c r="L48" s="3690"/>
      <c r="M48" s="905"/>
      <c r="N48" s="3690"/>
      <c r="O48" s="3110"/>
    </row>
    <row r="49" spans="1:15">
      <c r="A49" s="972">
        <v>1997.04</v>
      </c>
      <c r="B49" s="904"/>
      <c r="C49" s="904"/>
      <c r="D49" s="3690"/>
      <c r="E49" s="905"/>
      <c r="F49" s="3690"/>
      <c r="G49" s="905"/>
      <c r="H49" s="3690"/>
      <c r="I49" s="905"/>
      <c r="J49" s="3690"/>
      <c r="K49" s="3690"/>
      <c r="L49" s="3690"/>
      <c r="M49" s="905"/>
      <c r="N49" s="3690"/>
      <c r="O49" s="3110"/>
    </row>
    <row r="50" spans="1:15">
      <c r="A50" s="972">
        <v>1997.05</v>
      </c>
      <c r="B50" s="904"/>
      <c r="C50" s="904"/>
      <c r="D50" s="3690"/>
      <c r="E50" s="905"/>
      <c r="F50" s="3690"/>
      <c r="G50" s="905"/>
      <c r="H50" s="3690"/>
      <c r="I50" s="905"/>
      <c r="J50" s="3690"/>
      <c r="K50" s="3690"/>
      <c r="L50" s="3690"/>
      <c r="M50" s="905"/>
      <c r="N50" s="3690"/>
      <c r="O50" s="3110"/>
    </row>
    <row r="51" spans="1:15">
      <c r="A51" s="972">
        <v>1997.06</v>
      </c>
      <c r="B51" s="904"/>
      <c r="C51" s="904"/>
      <c r="D51" s="3690"/>
      <c r="E51" s="905"/>
      <c r="F51" s="3690"/>
      <c r="G51" s="905"/>
      <c r="H51" s="3690"/>
      <c r="I51" s="905"/>
      <c r="J51" s="3690"/>
      <c r="K51" s="3690"/>
      <c r="L51" s="3690"/>
      <c r="M51" s="905"/>
      <c r="N51" s="3690"/>
      <c r="O51" s="3110"/>
    </row>
    <row r="52" spans="1:15">
      <c r="A52" s="972">
        <v>1997.07</v>
      </c>
      <c r="B52" s="904"/>
      <c r="C52" s="904"/>
      <c r="D52" s="3690"/>
      <c r="E52" s="905"/>
      <c r="F52" s="3690"/>
      <c r="G52" s="905"/>
      <c r="H52" s="3690"/>
      <c r="I52" s="905"/>
      <c r="J52" s="3690"/>
      <c r="K52" s="3690"/>
      <c r="L52" s="3690"/>
      <c r="M52" s="905"/>
      <c r="N52" s="3690"/>
      <c r="O52" s="3110"/>
    </row>
    <row r="53" spans="1:15">
      <c r="A53" s="972">
        <v>1997.08</v>
      </c>
      <c r="B53" s="904"/>
      <c r="C53" s="904"/>
      <c r="D53" s="3690"/>
      <c r="E53" s="905"/>
      <c r="F53" s="3690"/>
      <c r="G53" s="905"/>
      <c r="H53" s="3690"/>
      <c r="I53" s="905"/>
      <c r="J53" s="3690"/>
      <c r="K53" s="3690"/>
      <c r="L53" s="3690"/>
      <c r="M53" s="905"/>
      <c r="N53" s="3690"/>
      <c r="O53" s="3110"/>
    </row>
    <row r="54" spans="1:15">
      <c r="A54" s="972">
        <v>1997.09</v>
      </c>
      <c r="B54" s="904"/>
      <c r="C54" s="904"/>
      <c r="D54" s="3690"/>
      <c r="E54" s="905"/>
      <c r="F54" s="3690"/>
      <c r="G54" s="905"/>
      <c r="H54" s="3690"/>
      <c r="I54" s="905"/>
      <c r="J54" s="3690"/>
      <c r="K54" s="3690"/>
      <c r="L54" s="3690"/>
      <c r="M54" s="905"/>
      <c r="N54" s="3690"/>
      <c r="O54" s="3110"/>
    </row>
    <row r="55" spans="1:15">
      <c r="A55" s="972">
        <v>1997.1</v>
      </c>
      <c r="B55" s="904"/>
      <c r="C55" s="904"/>
      <c r="D55" s="3690"/>
      <c r="E55" s="905"/>
      <c r="F55" s="3690"/>
      <c r="G55" s="905"/>
      <c r="H55" s="3690"/>
      <c r="I55" s="905"/>
      <c r="J55" s="3690"/>
      <c r="K55" s="3690"/>
      <c r="L55" s="3690"/>
      <c r="M55" s="905"/>
      <c r="N55" s="3690"/>
      <c r="O55" s="3110"/>
    </row>
    <row r="56" spans="1:15">
      <c r="A56" s="972">
        <v>1997.11</v>
      </c>
      <c r="B56" s="904"/>
      <c r="C56" s="904"/>
      <c r="D56" s="3690"/>
      <c r="E56" s="905"/>
      <c r="F56" s="3690"/>
      <c r="G56" s="905"/>
      <c r="H56" s="3690"/>
      <c r="I56" s="905"/>
      <c r="J56" s="3690"/>
      <c r="K56" s="3690"/>
      <c r="L56" s="3690"/>
      <c r="M56" s="905"/>
      <c r="N56" s="3690"/>
      <c r="O56" s="3110"/>
    </row>
    <row r="57" spans="1:15">
      <c r="A57" s="972">
        <v>1997.12</v>
      </c>
      <c r="B57" s="904"/>
      <c r="C57" s="904"/>
      <c r="D57" s="3690"/>
      <c r="E57" s="905"/>
      <c r="F57" s="3690"/>
      <c r="G57" s="905"/>
      <c r="H57" s="3690"/>
      <c r="I57" s="905"/>
      <c r="J57" s="3690"/>
      <c r="K57" s="3690"/>
      <c r="L57" s="3690"/>
      <c r="M57" s="905"/>
      <c r="N57" s="3690"/>
      <c r="O57" s="3110"/>
    </row>
    <row r="58" spans="1:15">
      <c r="A58" s="972">
        <v>1998.01</v>
      </c>
      <c r="B58" s="904"/>
      <c r="C58" s="904"/>
      <c r="D58" s="3690"/>
      <c r="E58" s="905"/>
      <c r="F58" s="3690"/>
      <c r="G58" s="905"/>
      <c r="H58" s="3690"/>
      <c r="I58" s="905"/>
      <c r="J58" s="3690"/>
      <c r="K58" s="3690"/>
      <c r="L58" s="3690"/>
      <c r="M58" s="905"/>
      <c r="N58" s="3690"/>
      <c r="O58" s="3110"/>
    </row>
    <row r="59" spans="1:15">
      <c r="A59" s="972">
        <v>1998.02</v>
      </c>
      <c r="B59" s="904"/>
      <c r="C59" s="904"/>
      <c r="D59" s="3690"/>
      <c r="E59" s="905"/>
      <c r="F59" s="3690"/>
      <c r="G59" s="905"/>
      <c r="H59" s="3690"/>
      <c r="I59" s="905"/>
      <c r="J59" s="3690"/>
      <c r="K59" s="3690"/>
      <c r="L59" s="3690"/>
      <c r="M59" s="905"/>
      <c r="N59" s="3690"/>
      <c r="O59" s="3110"/>
    </row>
    <row r="60" spans="1:15">
      <c r="A60" s="972">
        <v>1998.03</v>
      </c>
      <c r="B60" s="904"/>
      <c r="C60" s="904"/>
      <c r="D60" s="3690"/>
      <c r="E60" s="905"/>
      <c r="F60" s="3690"/>
      <c r="G60" s="905"/>
      <c r="H60" s="3690"/>
      <c r="I60" s="905"/>
      <c r="J60" s="3690"/>
      <c r="K60" s="3690"/>
      <c r="L60" s="3690"/>
      <c r="M60" s="905"/>
      <c r="N60" s="3690"/>
      <c r="O60" s="3110"/>
    </row>
    <row r="61" spans="1:15">
      <c r="A61" s="972">
        <v>1998.04</v>
      </c>
      <c r="B61" s="904"/>
      <c r="C61" s="904"/>
      <c r="D61" s="3690"/>
      <c r="E61" s="905"/>
      <c r="F61" s="3690"/>
      <c r="G61" s="905"/>
      <c r="H61" s="3690"/>
      <c r="I61" s="905"/>
      <c r="J61" s="3690"/>
      <c r="K61" s="3690"/>
      <c r="L61" s="3690"/>
      <c r="M61" s="905"/>
      <c r="N61" s="3690"/>
      <c r="O61" s="3110"/>
    </row>
    <row r="62" spans="1:15">
      <c r="A62" s="972">
        <v>1998.05</v>
      </c>
      <c r="B62" s="904"/>
      <c r="C62" s="904"/>
      <c r="D62" s="3690"/>
      <c r="E62" s="905"/>
      <c r="F62" s="3690"/>
      <c r="G62" s="905"/>
      <c r="H62" s="3690"/>
      <c r="I62" s="905"/>
      <c r="J62" s="3690"/>
      <c r="K62" s="3690"/>
      <c r="L62" s="3690"/>
      <c r="M62" s="905"/>
      <c r="N62" s="3690"/>
      <c r="O62" s="3110"/>
    </row>
    <row r="63" spans="1:15">
      <c r="A63" s="972">
        <v>1998.06</v>
      </c>
      <c r="B63" s="904"/>
      <c r="C63" s="904"/>
      <c r="D63" s="3690"/>
      <c r="E63" s="905"/>
      <c r="F63" s="3690"/>
      <c r="G63" s="905"/>
      <c r="H63" s="3690"/>
      <c r="I63" s="905"/>
      <c r="J63" s="3690"/>
      <c r="K63" s="3690"/>
      <c r="L63" s="3690"/>
      <c r="M63" s="905"/>
      <c r="N63" s="3690"/>
      <c r="O63" s="3110"/>
    </row>
    <row r="64" spans="1:15">
      <c r="A64" s="972">
        <v>1998.07</v>
      </c>
      <c r="B64" s="904"/>
      <c r="C64" s="904"/>
      <c r="D64" s="3690"/>
      <c r="E64" s="905"/>
      <c r="F64" s="3690"/>
      <c r="G64" s="905"/>
      <c r="H64" s="3690"/>
      <c r="I64" s="905"/>
      <c r="J64" s="3690"/>
      <c r="K64" s="3690"/>
      <c r="L64" s="3690"/>
      <c r="M64" s="905"/>
      <c r="N64" s="3690"/>
      <c r="O64" s="3110"/>
    </row>
    <row r="65" spans="1:15">
      <c r="A65" s="972">
        <v>1998.08</v>
      </c>
      <c r="B65" s="904"/>
      <c r="C65" s="904"/>
      <c r="D65" s="3690"/>
      <c r="E65" s="905"/>
      <c r="F65" s="3690"/>
      <c r="G65" s="905"/>
      <c r="H65" s="3690"/>
      <c r="I65" s="905"/>
      <c r="J65" s="3690"/>
      <c r="K65" s="3690"/>
      <c r="L65" s="3690"/>
      <c r="M65" s="905"/>
      <c r="N65" s="3690"/>
      <c r="O65" s="3110"/>
    </row>
    <row r="66" spans="1:15">
      <c r="A66" s="972">
        <v>1998.09</v>
      </c>
      <c r="B66" s="904"/>
      <c r="C66" s="904"/>
      <c r="D66" s="3690"/>
      <c r="E66" s="905"/>
      <c r="F66" s="3690"/>
      <c r="G66" s="905"/>
      <c r="H66" s="3690"/>
      <c r="I66" s="905"/>
      <c r="J66" s="3690"/>
      <c r="K66" s="3690"/>
      <c r="L66" s="3690"/>
      <c r="M66" s="905"/>
      <c r="N66" s="3690"/>
      <c r="O66" s="3110"/>
    </row>
    <row r="67" spans="1:15">
      <c r="A67" s="972">
        <v>1998.1</v>
      </c>
      <c r="B67" s="904"/>
      <c r="C67" s="904"/>
      <c r="D67" s="3690"/>
      <c r="E67" s="905"/>
      <c r="F67" s="3690"/>
      <c r="G67" s="905"/>
      <c r="H67" s="3690"/>
      <c r="I67" s="905"/>
      <c r="J67" s="3690"/>
      <c r="K67" s="3690"/>
      <c r="L67" s="3690"/>
      <c r="M67" s="905"/>
      <c r="N67" s="3690"/>
      <c r="O67" s="3110"/>
    </row>
    <row r="68" spans="1:15">
      <c r="A68" s="972">
        <v>1998.11</v>
      </c>
      <c r="B68" s="904"/>
      <c r="C68" s="904"/>
      <c r="D68" s="3690"/>
      <c r="E68" s="905"/>
      <c r="F68" s="3690"/>
      <c r="G68" s="905"/>
      <c r="H68" s="3690"/>
      <c r="I68" s="905"/>
      <c r="J68" s="3690"/>
      <c r="K68" s="3690"/>
      <c r="L68" s="3690"/>
      <c r="M68" s="905"/>
      <c r="N68" s="3690"/>
      <c r="O68" s="3110"/>
    </row>
    <row r="69" spans="1:15">
      <c r="A69" s="972">
        <v>1998.12</v>
      </c>
      <c r="B69" s="904"/>
      <c r="C69" s="904"/>
      <c r="D69" s="3690"/>
      <c r="E69" s="905"/>
      <c r="F69" s="3690"/>
      <c r="G69" s="905"/>
      <c r="H69" s="3690"/>
      <c r="I69" s="905"/>
      <c r="J69" s="3690"/>
      <c r="K69" s="3690"/>
      <c r="L69" s="3690"/>
      <c r="M69" s="905"/>
      <c r="N69" s="3690"/>
      <c r="O69" s="3110"/>
    </row>
    <row r="70" spans="1:15">
      <c r="A70" s="972">
        <v>1999.01</v>
      </c>
      <c r="B70" s="904"/>
      <c r="C70" s="904"/>
      <c r="D70" s="3690"/>
      <c r="E70" s="905"/>
      <c r="F70" s="3690"/>
      <c r="G70" s="905"/>
      <c r="H70" s="3690"/>
      <c r="I70" s="905"/>
      <c r="J70" s="3690"/>
      <c r="K70" s="3690"/>
      <c r="L70" s="3690"/>
      <c r="M70" s="905"/>
      <c r="N70" s="3690"/>
      <c r="O70" s="3110"/>
    </row>
    <row r="71" spans="1:15">
      <c r="A71" s="972">
        <v>1999.02</v>
      </c>
      <c r="B71" s="904"/>
      <c r="C71" s="904"/>
      <c r="D71" s="3690"/>
      <c r="E71" s="905"/>
      <c r="F71" s="3690"/>
      <c r="G71" s="905"/>
      <c r="H71" s="3690"/>
      <c r="I71" s="905"/>
      <c r="J71" s="3690"/>
      <c r="K71" s="3690"/>
      <c r="L71" s="3690"/>
      <c r="M71" s="905"/>
      <c r="N71" s="3690"/>
      <c r="O71" s="3110"/>
    </row>
    <row r="72" spans="1:15">
      <c r="A72" s="972">
        <v>1999.03</v>
      </c>
      <c r="B72" s="904"/>
      <c r="C72" s="904"/>
      <c r="D72" s="3690"/>
      <c r="E72" s="905"/>
      <c r="F72" s="3690"/>
      <c r="G72" s="905"/>
      <c r="H72" s="3690"/>
      <c r="I72" s="905"/>
      <c r="J72" s="3690"/>
      <c r="K72" s="3690"/>
      <c r="L72" s="3690"/>
      <c r="M72" s="905"/>
      <c r="N72" s="3690"/>
      <c r="O72" s="3110"/>
    </row>
    <row r="73" spans="1:15">
      <c r="A73" s="972">
        <v>1999.04</v>
      </c>
      <c r="B73" s="904"/>
      <c r="C73" s="904"/>
      <c r="D73" s="3690"/>
      <c r="E73" s="905"/>
      <c r="F73" s="3690"/>
      <c r="G73" s="905"/>
      <c r="H73" s="3690"/>
      <c r="I73" s="905"/>
      <c r="J73" s="3690"/>
      <c r="K73" s="3690"/>
      <c r="L73" s="3690"/>
      <c r="M73" s="905"/>
      <c r="N73" s="3690"/>
      <c r="O73" s="3110"/>
    </row>
    <row r="74" spans="1:15">
      <c r="A74" s="972">
        <v>1999.05</v>
      </c>
      <c r="B74" s="904"/>
      <c r="C74" s="904"/>
      <c r="D74" s="3690"/>
      <c r="E74" s="905"/>
      <c r="F74" s="3690"/>
      <c r="G74" s="905"/>
      <c r="H74" s="3690"/>
      <c r="I74" s="905"/>
      <c r="J74" s="3690"/>
      <c r="K74" s="3690"/>
      <c r="L74" s="3690"/>
      <c r="M74" s="905"/>
      <c r="N74" s="3690"/>
      <c r="O74" s="3110"/>
    </row>
    <row r="75" spans="1:15">
      <c r="A75" s="972">
        <v>1999.06</v>
      </c>
      <c r="B75" s="904"/>
      <c r="C75" s="904"/>
      <c r="D75" s="3690"/>
      <c r="E75" s="905"/>
      <c r="F75" s="3690"/>
      <c r="G75" s="905"/>
      <c r="H75" s="3690"/>
      <c r="I75" s="905"/>
      <c r="J75" s="3690"/>
      <c r="K75" s="3690"/>
      <c r="L75" s="3690"/>
      <c r="M75" s="905"/>
      <c r="N75" s="3690"/>
      <c r="O75" s="3110"/>
    </row>
    <row r="76" spans="1:15">
      <c r="A76" s="972">
        <v>1999.07</v>
      </c>
      <c r="B76" s="904"/>
      <c r="C76" s="904"/>
      <c r="D76" s="3690"/>
      <c r="E76" s="905"/>
      <c r="F76" s="3690"/>
      <c r="G76" s="905"/>
      <c r="H76" s="3690"/>
      <c r="I76" s="905"/>
      <c r="J76" s="3690"/>
      <c r="K76" s="3690"/>
      <c r="L76" s="3690"/>
      <c r="M76" s="905"/>
      <c r="N76" s="3690"/>
      <c r="O76" s="3110"/>
    </row>
    <row r="77" spans="1:15">
      <c r="A77" s="972">
        <v>1999.08</v>
      </c>
      <c r="B77" s="904"/>
      <c r="C77" s="904"/>
      <c r="D77" s="3690"/>
      <c r="E77" s="905"/>
      <c r="F77" s="3690"/>
      <c r="G77" s="905"/>
      <c r="H77" s="3690"/>
      <c r="I77" s="905"/>
      <c r="J77" s="3690"/>
      <c r="K77" s="3690"/>
      <c r="L77" s="3690"/>
      <c r="M77" s="905"/>
      <c r="N77" s="3690"/>
      <c r="O77" s="3110"/>
    </row>
    <row r="78" spans="1:15">
      <c r="A78" s="972">
        <v>1999.09</v>
      </c>
      <c r="B78" s="904"/>
      <c r="C78" s="904"/>
      <c r="D78" s="3690"/>
      <c r="E78" s="905"/>
      <c r="F78" s="3690"/>
      <c r="G78" s="905"/>
      <c r="H78" s="3690"/>
      <c r="I78" s="905"/>
      <c r="J78" s="3690"/>
      <c r="K78" s="3690"/>
      <c r="L78" s="3690"/>
      <c r="M78" s="905"/>
      <c r="N78" s="3690"/>
      <c r="O78" s="3110"/>
    </row>
    <row r="79" spans="1:15">
      <c r="A79" s="972">
        <v>1999.1</v>
      </c>
      <c r="B79" s="904"/>
      <c r="C79" s="904"/>
      <c r="D79" s="3690"/>
      <c r="E79" s="905"/>
      <c r="F79" s="3690"/>
      <c r="G79" s="905"/>
      <c r="H79" s="3690"/>
      <c r="I79" s="905"/>
      <c r="J79" s="3690"/>
      <c r="K79" s="3690"/>
      <c r="L79" s="3690"/>
      <c r="M79" s="905"/>
      <c r="N79" s="3690"/>
      <c r="O79" s="3110"/>
    </row>
    <row r="80" spans="1:15">
      <c r="A80" s="972">
        <v>1999.11</v>
      </c>
      <c r="B80" s="904"/>
      <c r="C80" s="904"/>
      <c r="D80" s="3690"/>
      <c r="E80" s="905"/>
      <c r="F80" s="3690"/>
      <c r="G80" s="905"/>
      <c r="H80" s="3690"/>
      <c r="I80" s="905"/>
      <c r="J80" s="3690"/>
      <c r="K80" s="3690"/>
      <c r="L80" s="3690"/>
      <c r="M80" s="905"/>
      <c r="N80" s="3690"/>
      <c r="O80" s="3110"/>
    </row>
    <row r="81" spans="1:15">
      <c r="A81" s="972">
        <v>1999.12</v>
      </c>
      <c r="B81" s="904"/>
      <c r="C81" s="904"/>
      <c r="D81" s="3690"/>
      <c r="E81" s="905"/>
      <c r="F81" s="3690"/>
      <c r="G81" s="905"/>
      <c r="H81" s="3690"/>
      <c r="I81" s="905"/>
      <c r="J81" s="3690"/>
      <c r="K81" s="3690"/>
      <c r="L81" s="3690"/>
      <c r="M81" s="905"/>
      <c r="N81" s="3690"/>
      <c r="O81" s="3110"/>
    </row>
    <row r="82" spans="1:15">
      <c r="A82" s="972">
        <v>2000.01</v>
      </c>
      <c r="B82" s="904"/>
      <c r="C82" s="904"/>
      <c r="D82" s="3690"/>
      <c r="E82" s="905"/>
      <c r="F82" s="3690"/>
      <c r="G82" s="905"/>
      <c r="H82" s="3690"/>
      <c r="I82" s="905"/>
      <c r="J82" s="3690"/>
      <c r="K82" s="3690"/>
      <c r="L82" s="3690"/>
      <c r="M82" s="905"/>
      <c r="N82" s="3690"/>
      <c r="O82" s="3110"/>
    </row>
    <row r="83" spans="1:15">
      <c r="A83" s="972">
        <v>2000.02</v>
      </c>
      <c r="B83" s="904"/>
      <c r="C83" s="904"/>
      <c r="D83" s="3690"/>
      <c r="E83" s="905"/>
      <c r="F83" s="3690"/>
      <c r="G83" s="905"/>
      <c r="H83" s="3690"/>
      <c r="I83" s="905"/>
      <c r="J83" s="3690"/>
      <c r="K83" s="3690"/>
      <c r="L83" s="3690"/>
      <c r="M83" s="905"/>
      <c r="N83" s="3690"/>
      <c r="O83" s="3110"/>
    </row>
    <row r="84" spans="1:15">
      <c r="A84" s="972">
        <v>2000.03</v>
      </c>
      <c r="B84" s="904"/>
      <c r="C84" s="904"/>
      <c r="D84" s="3690"/>
      <c r="E84" s="905"/>
      <c r="F84" s="3690"/>
      <c r="G84" s="905"/>
      <c r="H84" s="3690"/>
      <c r="I84" s="905"/>
      <c r="J84" s="3690"/>
      <c r="K84" s="3690"/>
      <c r="L84" s="3690"/>
      <c r="M84" s="905"/>
      <c r="N84" s="3690"/>
      <c r="O84" s="3110"/>
    </row>
    <row r="85" spans="1:15">
      <c r="A85" s="972">
        <v>2000.04</v>
      </c>
      <c r="B85" s="904"/>
      <c r="C85" s="904"/>
      <c r="D85" s="3690"/>
      <c r="E85" s="905"/>
      <c r="F85" s="3690"/>
      <c r="G85" s="905"/>
      <c r="H85" s="3690"/>
      <c r="I85" s="905"/>
      <c r="J85" s="3690"/>
      <c r="K85" s="3690"/>
      <c r="L85" s="3690"/>
      <c r="M85" s="905"/>
      <c r="N85" s="3690"/>
      <c r="O85" s="3110"/>
    </row>
    <row r="86" spans="1:15">
      <c r="A86" s="972">
        <v>2000.05</v>
      </c>
      <c r="B86" s="904"/>
      <c r="C86" s="904"/>
      <c r="D86" s="3690"/>
      <c r="E86" s="905"/>
      <c r="F86" s="3690"/>
      <c r="G86" s="905"/>
      <c r="H86" s="3690"/>
      <c r="I86" s="905"/>
      <c r="J86" s="3690"/>
      <c r="K86" s="3690"/>
      <c r="L86" s="3690"/>
      <c r="M86" s="905"/>
      <c r="N86" s="3690"/>
      <c r="O86" s="3110"/>
    </row>
    <row r="87" spans="1:15">
      <c r="A87" s="972">
        <v>2000.06</v>
      </c>
      <c r="B87" s="904"/>
      <c r="C87" s="904"/>
      <c r="D87" s="3690"/>
      <c r="E87" s="905"/>
      <c r="F87" s="3690"/>
      <c r="G87" s="905"/>
      <c r="H87" s="3690"/>
      <c r="I87" s="905"/>
      <c r="J87" s="3690"/>
      <c r="K87" s="3690"/>
      <c r="L87" s="3690"/>
      <c r="M87" s="905"/>
      <c r="N87" s="3690"/>
      <c r="O87" s="3110"/>
    </row>
    <row r="88" spans="1:15">
      <c r="A88" s="972">
        <v>2000.07</v>
      </c>
      <c r="B88" s="904"/>
      <c r="C88" s="904"/>
      <c r="D88" s="3690"/>
      <c r="E88" s="905"/>
      <c r="F88" s="3690"/>
      <c r="G88" s="905"/>
      <c r="H88" s="3690"/>
      <c r="I88" s="905"/>
      <c r="J88" s="3690"/>
      <c r="K88" s="3690"/>
      <c r="L88" s="3690"/>
      <c r="M88" s="905"/>
      <c r="N88" s="3690"/>
      <c r="O88" s="3110"/>
    </row>
    <row r="89" spans="1:15">
      <c r="A89" s="972">
        <v>2000.08</v>
      </c>
      <c r="B89" s="904"/>
      <c r="C89" s="904"/>
      <c r="D89" s="3690"/>
      <c r="E89" s="905"/>
      <c r="F89" s="3690"/>
      <c r="G89" s="905"/>
      <c r="H89" s="3690"/>
      <c r="I89" s="905"/>
      <c r="J89" s="3690"/>
      <c r="K89" s="3690"/>
      <c r="L89" s="3690"/>
      <c r="M89" s="905"/>
      <c r="N89" s="3690"/>
      <c r="O89" s="3110"/>
    </row>
    <row r="90" spans="1:15">
      <c r="A90" s="972">
        <v>2000.09</v>
      </c>
      <c r="B90" s="904"/>
      <c r="C90" s="904"/>
      <c r="D90" s="3690"/>
      <c r="E90" s="905"/>
      <c r="F90" s="3690"/>
      <c r="G90" s="905"/>
      <c r="H90" s="3690"/>
      <c r="I90" s="905"/>
      <c r="J90" s="3690"/>
      <c r="K90" s="3690"/>
      <c r="L90" s="3690"/>
      <c r="M90" s="905"/>
      <c r="N90" s="3690"/>
      <c r="O90" s="3110"/>
    </row>
    <row r="91" spans="1:15">
      <c r="A91" s="972">
        <v>2000.1</v>
      </c>
      <c r="B91" s="904"/>
      <c r="C91" s="904"/>
      <c r="D91" s="3690"/>
      <c r="E91" s="905"/>
      <c r="F91" s="3690"/>
      <c r="G91" s="905"/>
      <c r="H91" s="3690"/>
      <c r="I91" s="905"/>
      <c r="J91" s="3690"/>
      <c r="K91" s="3690"/>
      <c r="L91" s="3690"/>
      <c r="M91" s="905"/>
      <c r="N91" s="3690"/>
      <c r="O91" s="3110"/>
    </row>
    <row r="92" spans="1:15">
      <c r="A92" s="972">
        <v>2000.11</v>
      </c>
      <c r="B92" s="904"/>
      <c r="C92" s="904"/>
      <c r="D92" s="3690"/>
      <c r="E92" s="905"/>
      <c r="F92" s="3690"/>
      <c r="G92" s="905"/>
      <c r="H92" s="3690"/>
      <c r="I92" s="905"/>
      <c r="J92" s="3690"/>
      <c r="K92" s="3690"/>
      <c r="L92" s="3690"/>
      <c r="M92" s="905"/>
      <c r="N92" s="3690"/>
      <c r="O92" s="3110"/>
    </row>
    <row r="93" spans="1:15">
      <c r="A93" s="972">
        <v>2000.12</v>
      </c>
      <c r="B93" s="904"/>
      <c r="C93" s="904"/>
      <c r="D93" s="3690"/>
      <c r="E93" s="905"/>
      <c r="F93" s="3690"/>
      <c r="G93" s="905"/>
      <c r="H93" s="3690"/>
      <c r="I93" s="905"/>
      <c r="J93" s="3690"/>
      <c r="K93" s="3690"/>
      <c r="L93" s="3690"/>
      <c r="M93" s="905"/>
      <c r="N93" s="3690"/>
      <c r="O93" s="3110"/>
    </row>
    <row r="94" spans="1:15">
      <c r="A94" s="972">
        <v>2001.01</v>
      </c>
      <c r="B94" s="904"/>
      <c r="C94" s="904"/>
      <c r="D94" s="3690"/>
      <c r="E94" s="905"/>
      <c r="F94" s="3690"/>
      <c r="G94" s="905"/>
      <c r="H94" s="3690"/>
      <c r="I94" s="905"/>
      <c r="J94" s="3690"/>
      <c r="K94" s="3690"/>
      <c r="L94" s="3690"/>
      <c r="M94" s="905"/>
      <c r="N94" s="3690"/>
      <c r="O94" s="3110"/>
    </row>
    <row r="95" spans="1:15">
      <c r="A95" s="972">
        <v>2001.02</v>
      </c>
      <c r="B95" s="904"/>
      <c r="C95" s="904"/>
      <c r="D95" s="3690"/>
      <c r="E95" s="905"/>
      <c r="F95" s="3690"/>
      <c r="G95" s="905"/>
      <c r="H95" s="3690"/>
      <c r="I95" s="905"/>
      <c r="J95" s="3690"/>
      <c r="K95" s="3690"/>
      <c r="L95" s="3690"/>
      <c r="M95" s="905"/>
      <c r="N95" s="3690"/>
      <c r="O95" s="3110"/>
    </row>
    <row r="96" spans="1:15">
      <c r="A96" s="972">
        <v>2001.03</v>
      </c>
      <c r="B96" s="904"/>
      <c r="C96" s="904"/>
      <c r="D96" s="3690"/>
      <c r="E96" s="905"/>
      <c r="F96" s="3690"/>
      <c r="G96" s="905"/>
      <c r="H96" s="3690"/>
      <c r="I96" s="905"/>
      <c r="J96" s="3690"/>
      <c r="K96" s="3690"/>
      <c r="L96" s="3690"/>
      <c r="M96" s="905"/>
      <c r="N96" s="3690"/>
      <c r="O96" s="3110"/>
    </row>
    <row r="97" spans="1:15">
      <c r="A97" s="972">
        <v>2001.04</v>
      </c>
      <c r="B97" s="904"/>
      <c r="C97" s="904"/>
      <c r="D97" s="3690"/>
      <c r="E97" s="905"/>
      <c r="F97" s="3690"/>
      <c r="G97" s="905"/>
      <c r="H97" s="3690"/>
      <c r="I97" s="905"/>
      <c r="J97" s="3690"/>
      <c r="K97" s="3690"/>
      <c r="L97" s="3690"/>
      <c r="M97" s="905"/>
      <c r="N97" s="3690"/>
      <c r="O97" s="3110"/>
    </row>
    <row r="98" spans="1:15">
      <c r="A98" s="972">
        <v>2001.05</v>
      </c>
      <c r="B98" s="904"/>
      <c r="C98" s="904"/>
      <c r="D98" s="3690"/>
      <c r="E98" s="905"/>
      <c r="F98" s="3690"/>
      <c r="G98" s="905"/>
      <c r="H98" s="3690"/>
      <c r="I98" s="905"/>
      <c r="J98" s="3690"/>
      <c r="K98" s="3690"/>
      <c r="L98" s="3690"/>
      <c r="M98" s="905"/>
      <c r="N98" s="3690"/>
      <c r="O98" s="3110"/>
    </row>
    <row r="99" spans="1:15">
      <c r="A99" s="972">
        <v>2001.06</v>
      </c>
      <c r="B99" s="904"/>
      <c r="C99" s="904"/>
      <c r="D99" s="3690"/>
      <c r="E99" s="905"/>
      <c r="F99" s="3690"/>
      <c r="G99" s="905"/>
      <c r="H99" s="3690"/>
      <c r="I99" s="905"/>
      <c r="J99" s="3690"/>
      <c r="K99" s="3690"/>
      <c r="L99" s="3690"/>
      <c r="M99" s="905"/>
      <c r="N99" s="3690"/>
      <c r="O99" s="3110"/>
    </row>
    <row r="100" spans="1:15">
      <c r="A100" s="972">
        <v>2001.07</v>
      </c>
      <c r="B100" s="904"/>
      <c r="C100" s="904"/>
      <c r="D100" s="3690"/>
      <c r="E100" s="905"/>
      <c r="F100" s="3690"/>
      <c r="G100" s="905"/>
      <c r="H100" s="3690"/>
      <c r="I100" s="905"/>
      <c r="J100" s="3690"/>
      <c r="K100" s="3690"/>
      <c r="L100" s="3690"/>
      <c r="M100" s="905"/>
      <c r="N100" s="3690"/>
      <c r="O100" s="3110"/>
    </row>
    <row r="101" spans="1:15">
      <c r="A101" s="972">
        <v>2001.08</v>
      </c>
      <c r="B101" s="904"/>
      <c r="C101" s="904"/>
      <c r="D101" s="3690"/>
      <c r="E101" s="905"/>
      <c r="F101" s="3690"/>
      <c r="G101" s="905"/>
      <c r="H101" s="3690"/>
      <c r="I101" s="905"/>
      <c r="J101" s="3690"/>
      <c r="K101" s="3690"/>
      <c r="L101" s="3690"/>
      <c r="M101" s="905"/>
      <c r="N101" s="3690"/>
      <c r="O101" s="3110"/>
    </row>
    <row r="102" spans="1:15">
      <c r="A102" s="972">
        <v>2001.09</v>
      </c>
      <c r="B102" s="904"/>
      <c r="C102" s="904"/>
      <c r="D102" s="3690"/>
      <c r="E102" s="905"/>
      <c r="F102" s="3690"/>
      <c r="G102" s="905"/>
      <c r="H102" s="3690"/>
      <c r="I102" s="905"/>
      <c r="J102" s="3690"/>
      <c r="K102" s="3690"/>
      <c r="L102" s="3690"/>
      <c r="M102" s="905"/>
      <c r="N102" s="3690"/>
      <c r="O102" s="3110"/>
    </row>
    <row r="103" spans="1:15">
      <c r="A103" s="972">
        <v>2001.1</v>
      </c>
      <c r="B103" s="904"/>
      <c r="C103" s="904"/>
      <c r="D103" s="3690"/>
      <c r="E103" s="905"/>
      <c r="F103" s="3690"/>
      <c r="G103" s="905"/>
      <c r="H103" s="3690"/>
      <c r="I103" s="905"/>
      <c r="J103" s="3690"/>
      <c r="K103" s="3690"/>
      <c r="L103" s="3690"/>
      <c r="M103" s="905"/>
      <c r="N103" s="3690"/>
      <c r="O103" s="3110"/>
    </row>
    <row r="104" spans="1:15">
      <c r="A104" s="972">
        <v>2001.11</v>
      </c>
      <c r="B104" s="904"/>
      <c r="C104" s="904"/>
      <c r="D104" s="3690"/>
      <c r="E104" s="905"/>
      <c r="F104" s="3690"/>
      <c r="G104" s="905"/>
      <c r="H104" s="3690"/>
      <c r="I104" s="905"/>
      <c r="J104" s="3690"/>
      <c r="K104" s="3690"/>
      <c r="L104" s="3690"/>
      <c r="M104" s="905"/>
      <c r="N104" s="3690"/>
      <c r="O104" s="3110"/>
    </row>
    <row r="105" spans="1:15">
      <c r="A105" s="972">
        <v>2001.12</v>
      </c>
      <c r="B105" s="904"/>
      <c r="C105" s="904"/>
      <c r="D105" s="3690"/>
      <c r="E105" s="905"/>
      <c r="F105" s="3690"/>
      <c r="G105" s="905"/>
      <c r="H105" s="3690"/>
      <c r="I105" s="905"/>
      <c r="J105" s="3690"/>
      <c r="K105" s="3690"/>
      <c r="L105" s="3690"/>
      <c r="M105" s="905"/>
      <c r="N105" s="3690"/>
      <c r="O105" s="3110"/>
    </row>
    <row r="106" spans="1:15">
      <c r="A106" s="972">
        <v>2002.01</v>
      </c>
      <c r="B106" s="904"/>
      <c r="C106" s="904"/>
      <c r="D106" s="3690"/>
      <c r="E106" s="905"/>
      <c r="F106" s="3690"/>
      <c r="G106" s="905"/>
      <c r="H106" s="3690"/>
      <c r="I106" s="905"/>
      <c r="J106" s="3690"/>
      <c r="K106" s="3690"/>
      <c r="L106" s="3690"/>
      <c r="M106" s="905"/>
      <c r="N106" s="3690"/>
      <c r="O106" s="3110"/>
    </row>
    <row r="107" spans="1:15">
      <c r="A107" s="972">
        <v>2002.02</v>
      </c>
      <c r="B107" s="904"/>
      <c r="C107" s="904"/>
      <c r="D107" s="3690"/>
      <c r="E107" s="905"/>
      <c r="F107" s="3690"/>
      <c r="G107" s="905"/>
      <c r="H107" s="3690"/>
      <c r="I107" s="905"/>
      <c r="J107" s="3690"/>
      <c r="K107" s="3690"/>
      <c r="L107" s="3690"/>
      <c r="M107" s="905"/>
      <c r="N107" s="3690"/>
      <c r="O107" s="3110"/>
    </row>
    <row r="108" spans="1:15">
      <c r="A108" s="972">
        <v>2002.03</v>
      </c>
      <c r="B108" s="904"/>
      <c r="C108" s="904"/>
      <c r="D108" s="3690"/>
      <c r="E108" s="905"/>
      <c r="F108" s="3690"/>
      <c r="G108" s="905"/>
      <c r="H108" s="3690"/>
      <c r="I108" s="905"/>
      <c r="J108" s="3690"/>
      <c r="K108" s="3690"/>
      <c r="L108" s="3690"/>
      <c r="M108" s="905"/>
      <c r="N108" s="3690"/>
      <c r="O108" s="3110"/>
    </row>
    <row r="109" spans="1:15">
      <c r="A109" s="972">
        <v>2002.04</v>
      </c>
      <c r="B109" s="904"/>
      <c r="C109" s="904"/>
      <c r="D109" s="3690"/>
      <c r="E109" s="905"/>
      <c r="F109" s="3690"/>
      <c r="G109" s="905"/>
      <c r="H109" s="3690"/>
      <c r="I109" s="905"/>
      <c r="J109" s="3690"/>
      <c r="K109" s="3690"/>
      <c r="L109" s="3690"/>
      <c r="M109" s="905"/>
      <c r="N109" s="3690"/>
      <c r="O109" s="3110"/>
    </row>
    <row r="110" spans="1:15">
      <c r="A110" s="972">
        <v>2002.05</v>
      </c>
      <c r="B110" s="904"/>
      <c r="C110" s="904"/>
      <c r="D110" s="3690"/>
      <c r="E110" s="905"/>
      <c r="F110" s="3690"/>
      <c r="G110" s="905"/>
      <c r="H110" s="3690"/>
      <c r="I110" s="905"/>
      <c r="J110" s="3690"/>
      <c r="K110" s="3690"/>
      <c r="L110" s="3690"/>
      <c r="M110" s="905"/>
      <c r="N110" s="3690"/>
      <c r="O110" s="3110"/>
    </row>
    <row r="111" spans="1:15">
      <c r="A111" s="972">
        <v>2002.06</v>
      </c>
      <c r="B111" s="904"/>
      <c r="C111" s="904"/>
      <c r="D111" s="3690"/>
      <c r="E111" s="905"/>
      <c r="F111" s="3690"/>
      <c r="G111" s="905"/>
      <c r="H111" s="3690"/>
      <c r="I111" s="905"/>
      <c r="J111" s="3690"/>
      <c r="K111" s="3690"/>
      <c r="L111" s="3690"/>
      <c r="M111" s="905"/>
      <c r="N111" s="3690"/>
      <c r="O111" s="3110"/>
    </row>
    <row r="112" spans="1:15">
      <c r="A112" s="972">
        <v>2002.07</v>
      </c>
      <c r="B112" s="904"/>
      <c r="C112" s="904"/>
      <c r="D112" s="3690"/>
      <c r="E112" s="905"/>
      <c r="F112" s="3690"/>
      <c r="G112" s="905"/>
      <c r="H112" s="3690"/>
      <c r="I112" s="905"/>
      <c r="J112" s="3690"/>
      <c r="K112" s="3690"/>
      <c r="L112" s="3690"/>
      <c r="M112" s="905"/>
      <c r="N112" s="3690"/>
      <c r="O112" s="3110"/>
    </row>
    <row r="113" spans="1:15">
      <c r="A113" s="972">
        <v>2002.08</v>
      </c>
      <c r="B113" s="904"/>
      <c r="C113" s="904"/>
      <c r="D113" s="3690"/>
      <c r="E113" s="905"/>
      <c r="F113" s="3690"/>
      <c r="G113" s="905"/>
      <c r="H113" s="3690"/>
      <c r="I113" s="905"/>
      <c r="J113" s="3690"/>
      <c r="K113" s="3690"/>
      <c r="L113" s="3690"/>
      <c r="M113" s="905"/>
      <c r="N113" s="3690"/>
      <c r="O113" s="3110"/>
    </row>
    <row r="114" spans="1:15">
      <c r="A114" s="972">
        <v>2002.09</v>
      </c>
      <c r="B114" s="904"/>
      <c r="C114" s="904"/>
      <c r="D114" s="3690"/>
      <c r="E114" s="905"/>
      <c r="F114" s="3690"/>
      <c r="G114" s="905"/>
      <c r="H114" s="3690"/>
      <c r="I114" s="905"/>
      <c r="J114" s="3690"/>
      <c r="K114" s="3690"/>
      <c r="L114" s="3690"/>
      <c r="M114" s="905"/>
      <c r="N114" s="3690"/>
      <c r="O114" s="3110"/>
    </row>
    <row r="115" spans="1:15">
      <c r="A115" s="972">
        <v>2002.1</v>
      </c>
      <c r="B115" s="904"/>
      <c r="C115" s="904"/>
      <c r="D115" s="3690"/>
      <c r="E115" s="905"/>
      <c r="F115" s="3690"/>
      <c r="G115" s="905"/>
      <c r="H115" s="3690"/>
      <c r="I115" s="905"/>
      <c r="J115" s="3690"/>
      <c r="K115" s="3690"/>
      <c r="L115" s="3690"/>
      <c r="M115" s="905"/>
      <c r="N115" s="3690"/>
      <c r="O115" s="3110"/>
    </row>
    <row r="116" spans="1:15">
      <c r="A116" s="972">
        <v>2002.11</v>
      </c>
      <c r="B116" s="904"/>
      <c r="C116" s="904"/>
      <c r="D116" s="3690"/>
      <c r="E116" s="905"/>
      <c r="F116" s="3690"/>
      <c r="G116" s="905"/>
      <c r="H116" s="3690"/>
      <c r="I116" s="905"/>
      <c r="J116" s="3690"/>
      <c r="K116" s="3690"/>
      <c r="L116" s="3690"/>
      <c r="M116" s="905"/>
      <c r="N116" s="3690"/>
      <c r="O116" s="3110"/>
    </row>
    <row r="117" spans="1:15">
      <c r="A117" s="972">
        <v>2002.12</v>
      </c>
      <c r="B117" s="904"/>
      <c r="C117" s="904"/>
      <c r="D117" s="3690"/>
      <c r="E117" s="905"/>
      <c r="F117" s="3690"/>
      <c r="G117" s="905"/>
      <c r="H117" s="3690"/>
      <c r="I117" s="905"/>
      <c r="J117" s="3690"/>
      <c r="K117" s="3690"/>
      <c r="L117" s="3690"/>
      <c r="M117" s="905"/>
      <c r="N117" s="3690"/>
      <c r="O117" s="3110"/>
    </row>
    <row r="118" spans="1:15">
      <c r="A118" s="972">
        <v>2003.01</v>
      </c>
      <c r="B118" s="904"/>
      <c r="C118" s="904"/>
      <c r="D118" s="3690"/>
      <c r="E118" s="905"/>
      <c r="F118" s="3690"/>
      <c r="G118" s="905"/>
      <c r="H118" s="3690"/>
      <c r="I118" s="905"/>
      <c r="J118" s="3690"/>
      <c r="K118" s="3690"/>
      <c r="L118" s="3690"/>
      <c r="M118" s="905"/>
      <c r="N118" s="3690"/>
      <c r="O118" s="3110"/>
    </row>
    <row r="119" spans="1:15">
      <c r="A119" s="972">
        <v>2003.02</v>
      </c>
      <c r="B119" s="904"/>
      <c r="C119" s="904"/>
      <c r="D119" s="3690"/>
      <c r="E119" s="905"/>
      <c r="F119" s="3690"/>
      <c r="G119" s="905"/>
      <c r="H119" s="3690"/>
      <c r="I119" s="905"/>
      <c r="J119" s="3690"/>
      <c r="K119" s="3690"/>
      <c r="L119" s="3690"/>
      <c r="M119" s="905"/>
      <c r="N119" s="3690"/>
      <c r="O119" s="3110"/>
    </row>
    <row r="120" spans="1:15">
      <c r="A120" s="972">
        <v>2003.03</v>
      </c>
      <c r="B120" s="904"/>
      <c r="C120" s="904"/>
      <c r="D120" s="3690"/>
      <c r="E120" s="905"/>
      <c r="F120" s="3690"/>
      <c r="G120" s="905"/>
      <c r="H120" s="3690"/>
      <c r="I120" s="905"/>
      <c r="J120" s="3690"/>
      <c r="K120" s="3690"/>
      <c r="L120" s="3690"/>
      <c r="M120" s="905"/>
      <c r="N120" s="3690"/>
      <c r="O120" s="3110"/>
    </row>
    <row r="121" spans="1:15">
      <c r="A121" s="972">
        <v>2003.04</v>
      </c>
      <c r="B121" s="904"/>
      <c r="C121" s="904"/>
      <c r="D121" s="3690"/>
      <c r="E121" s="905"/>
      <c r="F121" s="3690"/>
      <c r="G121" s="905"/>
      <c r="H121" s="3690"/>
      <c r="I121" s="905"/>
      <c r="J121" s="3690"/>
      <c r="K121" s="3690"/>
      <c r="L121" s="3690"/>
      <c r="M121" s="905"/>
      <c r="N121" s="3690"/>
      <c r="O121" s="3110"/>
    </row>
    <row r="122" spans="1:15">
      <c r="A122" s="972">
        <v>2003.05</v>
      </c>
      <c r="B122" s="904"/>
      <c r="C122" s="904"/>
      <c r="D122" s="3690"/>
      <c r="E122" s="905"/>
      <c r="F122" s="3690"/>
      <c r="G122" s="905"/>
      <c r="H122" s="3690"/>
      <c r="I122" s="905"/>
      <c r="J122" s="3690"/>
      <c r="K122" s="3690"/>
      <c r="L122" s="3690"/>
      <c r="M122" s="905"/>
      <c r="N122" s="3690"/>
      <c r="O122" s="3110"/>
    </row>
    <row r="123" spans="1:15">
      <c r="A123" s="972">
        <v>2003.06</v>
      </c>
      <c r="B123" s="904"/>
      <c r="C123" s="904"/>
      <c r="D123" s="3690"/>
      <c r="E123" s="905"/>
      <c r="F123" s="3690"/>
      <c r="G123" s="905"/>
      <c r="H123" s="3690"/>
      <c r="I123" s="905"/>
      <c r="J123" s="3690"/>
      <c r="K123" s="3690"/>
      <c r="L123" s="3690"/>
      <c r="M123" s="905"/>
      <c r="N123" s="3690"/>
      <c r="O123" s="3110"/>
    </row>
    <row r="124" spans="1:15">
      <c r="A124" s="972">
        <v>2003.07</v>
      </c>
      <c r="B124" s="904"/>
      <c r="C124" s="904"/>
      <c r="D124" s="3690"/>
      <c r="E124" s="905"/>
      <c r="F124" s="3690"/>
      <c r="G124" s="905"/>
      <c r="H124" s="3690"/>
      <c r="I124" s="905"/>
      <c r="J124" s="3690"/>
      <c r="K124" s="3690"/>
      <c r="L124" s="3690"/>
      <c r="M124" s="905"/>
      <c r="N124" s="3690"/>
      <c r="O124" s="3110"/>
    </row>
    <row r="125" spans="1:15">
      <c r="A125" s="972">
        <v>2003.08</v>
      </c>
      <c r="B125" s="904"/>
      <c r="C125" s="904"/>
      <c r="D125" s="3690"/>
      <c r="E125" s="905"/>
      <c r="F125" s="3690"/>
      <c r="G125" s="905"/>
      <c r="H125" s="3690"/>
      <c r="I125" s="905"/>
      <c r="J125" s="3690"/>
      <c r="K125" s="3690"/>
      <c r="L125" s="3690"/>
      <c r="M125" s="905"/>
      <c r="N125" s="3690"/>
      <c r="O125" s="3110"/>
    </row>
    <row r="126" spans="1:15">
      <c r="A126" s="972">
        <v>2003.09</v>
      </c>
      <c r="B126" s="904"/>
      <c r="C126" s="904"/>
      <c r="D126" s="3690"/>
      <c r="E126" s="905"/>
      <c r="F126" s="3690"/>
      <c r="G126" s="905"/>
      <c r="H126" s="3690"/>
      <c r="I126" s="905"/>
      <c r="J126" s="3690"/>
      <c r="K126" s="3690"/>
      <c r="L126" s="3690"/>
      <c r="M126" s="905"/>
      <c r="N126" s="3690"/>
      <c r="O126" s="3110"/>
    </row>
    <row r="127" spans="1:15">
      <c r="A127" s="972">
        <v>2003.1</v>
      </c>
      <c r="B127" s="904"/>
      <c r="C127" s="904"/>
      <c r="D127" s="3690"/>
      <c r="E127" s="905"/>
      <c r="F127" s="3690"/>
      <c r="G127" s="905"/>
      <c r="H127" s="3690"/>
      <c r="I127" s="905"/>
      <c r="J127" s="3690"/>
      <c r="K127" s="3690"/>
      <c r="L127" s="3690"/>
      <c r="M127" s="905"/>
      <c r="N127" s="3690"/>
      <c r="O127" s="3110"/>
    </row>
    <row r="128" spans="1:15">
      <c r="A128" s="972">
        <v>2003.11</v>
      </c>
      <c r="B128" s="904"/>
      <c r="C128" s="904"/>
      <c r="D128" s="3690"/>
      <c r="E128" s="905"/>
      <c r="F128" s="3690"/>
      <c r="G128" s="905"/>
      <c r="H128" s="3690"/>
      <c r="I128" s="905"/>
      <c r="J128" s="3690"/>
      <c r="K128" s="3690"/>
      <c r="L128" s="3690"/>
      <c r="M128" s="905"/>
      <c r="N128" s="3690"/>
      <c r="O128" s="3110"/>
    </row>
    <row r="129" spans="1:15">
      <c r="A129" s="972">
        <v>2003.12</v>
      </c>
      <c r="B129" s="904"/>
      <c r="C129" s="904"/>
      <c r="D129" s="3690"/>
      <c r="E129" s="905"/>
      <c r="F129" s="3690"/>
      <c r="G129" s="905"/>
      <c r="H129" s="3690"/>
      <c r="I129" s="905"/>
      <c r="J129" s="3690"/>
      <c r="K129" s="3690"/>
      <c r="L129" s="3690"/>
      <c r="M129" s="905"/>
      <c r="N129" s="3690"/>
      <c r="O129" s="3110"/>
    </row>
    <row r="130" spans="1:15">
      <c r="A130" s="972">
        <v>2004.01</v>
      </c>
      <c r="B130" s="904"/>
      <c r="C130" s="904"/>
      <c r="D130" s="3690"/>
      <c r="E130" s="905"/>
      <c r="F130" s="3690"/>
      <c r="G130" s="905"/>
      <c r="H130" s="3690"/>
      <c r="I130" s="905"/>
      <c r="J130" s="3690"/>
      <c r="K130" s="3690"/>
      <c r="L130" s="3690"/>
      <c r="M130" s="905"/>
      <c r="N130" s="3690"/>
      <c r="O130" s="3110"/>
    </row>
    <row r="131" spans="1:15">
      <c r="A131" s="972">
        <v>2004.02</v>
      </c>
      <c r="B131" s="904"/>
      <c r="C131" s="904"/>
      <c r="D131" s="3690"/>
      <c r="E131" s="905"/>
      <c r="F131" s="3690"/>
      <c r="G131" s="905"/>
      <c r="H131" s="3690"/>
      <c r="I131" s="905"/>
      <c r="J131" s="3690"/>
      <c r="K131" s="3690"/>
      <c r="L131" s="3690"/>
      <c r="M131" s="905"/>
      <c r="N131" s="3690"/>
      <c r="O131" s="3110"/>
    </row>
    <row r="132" spans="1:15">
      <c r="A132" s="972">
        <v>2004.03</v>
      </c>
      <c r="B132" s="904"/>
      <c r="C132" s="904"/>
      <c r="D132" s="3690"/>
      <c r="E132" s="905"/>
      <c r="F132" s="3690"/>
      <c r="G132" s="905"/>
      <c r="H132" s="3690"/>
      <c r="I132" s="905"/>
      <c r="J132" s="3690"/>
      <c r="K132" s="3690"/>
      <c r="L132" s="3690"/>
      <c r="M132" s="905"/>
      <c r="N132" s="3690"/>
      <c r="O132" s="3110"/>
    </row>
    <row r="133" spans="1:15">
      <c r="A133" s="972">
        <v>2004.04</v>
      </c>
      <c r="B133" s="904"/>
      <c r="C133" s="904"/>
      <c r="D133" s="3690"/>
      <c r="E133" s="905"/>
      <c r="F133" s="3690"/>
      <c r="G133" s="905"/>
      <c r="H133" s="3690"/>
      <c r="I133" s="905"/>
      <c r="J133" s="3690"/>
      <c r="K133" s="3690"/>
      <c r="L133" s="3690"/>
      <c r="M133" s="905"/>
      <c r="N133" s="3690"/>
      <c r="O133" s="3110"/>
    </row>
    <row r="134" spans="1:15">
      <c r="A134" s="972">
        <v>2004.05</v>
      </c>
      <c r="B134" s="904"/>
      <c r="C134" s="904"/>
      <c r="D134" s="3690"/>
      <c r="E134" s="905"/>
      <c r="F134" s="3690"/>
      <c r="G134" s="905"/>
      <c r="H134" s="3690"/>
      <c r="I134" s="905"/>
      <c r="J134" s="3690"/>
      <c r="K134" s="3690"/>
      <c r="L134" s="3690"/>
      <c r="M134" s="905"/>
      <c r="N134" s="3690"/>
      <c r="O134" s="3110"/>
    </row>
    <row r="135" spans="1:15">
      <c r="A135" s="972">
        <v>2004.06</v>
      </c>
      <c r="B135" s="904"/>
      <c r="C135" s="904"/>
      <c r="D135" s="3690"/>
      <c r="E135" s="905"/>
      <c r="F135" s="3690"/>
      <c r="G135" s="905"/>
      <c r="H135" s="3690"/>
      <c r="I135" s="905"/>
      <c r="J135" s="3690"/>
      <c r="K135" s="3690"/>
      <c r="L135" s="3690"/>
      <c r="M135" s="905"/>
      <c r="N135" s="3690"/>
      <c r="O135" s="3110"/>
    </row>
    <row r="136" spans="1:15">
      <c r="A136" s="972">
        <v>2004.07</v>
      </c>
      <c r="B136" s="904"/>
      <c r="C136" s="904"/>
      <c r="D136" s="3690"/>
      <c r="E136" s="905"/>
      <c r="F136" s="3690"/>
      <c r="G136" s="905"/>
      <c r="H136" s="3690"/>
      <c r="I136" s="905"/>
      <c r="J136" s="3690"/>
      <c r="K136" s="3690"/>
      <c r="L136" s="3690"/>
      <c r="M136" s="905"/>
      <c r="N136" s="3690"/>
      <c r="O136" s="3110"/>
    </row>
    <row r="137" spans="1:15">
      <c r="A137" s="972">
        <v>2004.08</v>
      </c>
      <c r="B137" s="904"/>
      <c r="C137" s="904"/>
      <c r="D137" s="3690"/>
      <c r="E137" s="905"/>
      <c r="F137" s="3690"/>
      <c r="G137" s="905"/>
      <c r="H137" s="3690"/>
      <c r="I137" s="905"/>
      <c r="J137" s="3690"/>
      <c r="K137" s="3690"/>
      <c r="L137" s="3690"/>
      <c r="M137" s="905"/>
      <c r="N137" s="3690"/>
      <c r="O137" s="3110"/>
    </row>
    <row r="138" spans="1:15">
      <c r="A138" s="972">
        <v>2004.09</v>
      </c>
      <c r="B138" s="904"/>
      <c r="C138" s="904"/>
      <c r="D138" s="3690"/>
      <c r="E138" s="905"/>
      <c r="F138" s="3690"/>
      <c r="G138" s="905"/>
      <c r="H138" s="3690"/>
      <c r="I138" s="905"/>
      <c r="J138" s="3690"/>
      <c r="K138" s="3690"/>
      <c r="L138" s="3690"/>
      <c r="M138" s="905"/>
      <c r="N138" s="3690"/>
      <c r="O138" s="3110"/>
    </row>
    <row r="139" spans="1:15">
      <c r="A139" s="972">
        <v>2004.1</v>
      </c>
      <c r="B139" s="904"/>
      <c r="C139" s="904"/>
      <c r="D139" s="3690"/>
      <c r="E139" s="905"/>
      <c r="F139" s="3690"/>
      <c r="G139" s="905"/>
      <c r="H139" s="3690"/>
      <c r="I139" s="905"/>
      <c r="J139" s="3690"/>
      <c r="K139" s="3690"/>
      <c r="L139" s="3690"/>
      <c r="M139" s="905"/>
      <c r="N139" s="3690"/>
      <c r="O139" s="3110"/>
    </row>
    <row r="140" spans="1:15">
      <c r="A140" s="972">
        <v>2004.11</v>
      </c>
      <c r="B140" s="904"/>
      <c r="C140" s="904"/>
      <c r="D140" s="3690"/>
      <c r="E140" s="905"/>
      <c r="F140" s="3690"/>
      <c r="G140" s="905"/>
      <c r="H140" s="3690"/>
      <c r="I140" s="905"/>
      <c r="J140" s="3690"/>
      <c r="K140" s="3690"/>
      <c r="L140" s="3690"/>
      <c r="M140" s="905"/>
      <c r="N140" s="3690"/>
      <c r="O140" s="3110"/>
    </row>
    <row r="141" spans="1:15">
      <c r="A141" s="972">
        <v>2004.12</v>
      </c>
      <c r="B141" s="904"/>
      <c r="C141" s="904"/>
      <c r="D141" s="3690"/>
      <c r="E141" s="905"/>
      <c r="F141" s="3690"/>
      <c r="G141" s="905"/>
      <c r="H141" s="3690"/>
      <c r="I141" s="905"/>
      <c r="J141" s="3690"/>
      <c r="K141" s="3690"/>
      <c r="L141" s="3690"/>
      <c r="M141" s="905"/>
      <c r="N141" s="3690"/>
      <c r="O141" s="3110"/>
    </row>
    <row r="142" spans="1:15">
      <c r="A142" s="972">
        <v>2005.01</v>
      </c>
      <c r="B142" s="904"/>
      <c r="C142" s="904"/>
      <c r="D142" s="3690"/>
      <c r="E142" s="905"/>
      <c r="F142" s="3690"/>
      <c r="G142" s="905"/>
      <c r="H142" s="3690"/>
      <c r="I142" s="905"/>
      <c r="J142" s="3690"/>
      <c r="K142" s="3690"/>
      <c r="L142" s="3690"/>
      <c r="M142" s="905"/>
      <c r="N142" s="3690"/>
      <c r="O142" s="3110"/>
    </row>
    <row r="143" spans="1:15">
      <c r="A143" s="972">
        <v>2005.02</v>
      </c>
      <c r="B143" s="904"/>
      <c r="C143" s="904"/>
      <c r="D143" s="3690"/>
      <c r="E143" s="905"/>
      <c r="F143" s="3690"/>
      <c r="G143" s="905"/>
      <c r="H143" s="3690"/>
      <c r="I143" s="905"/>
      <c r="J143" s="3690"/>
      <c r="K143" s="3690"/>
      <c r="L143" s="3690"/>
      <c r="M143" s="905"/>
      <c r="N143" s="3690"/>
      <c r="O143" s="3110"/>
    </row>
    <row r="144" spans="1:15">
      <c r="A144" s="972">
        <v>2005.03</v>
      </c>
      <c r="B144" s="904"/>
      <c r="C144" s="904"/>
      <c r="D144" s="3690"/>
      <c r="E144" s="905"/>
      <c r="F144" s="3690"/>
      <c r="G144" s="905"/>
      <c r="H144" s="3690"/>
      <c r="I144" s="905"/>
      <c r="J144" s="3690"/>
      <c r="K144" s="3690"/>
      <c r="L144" s="3690"/>
      <c r="M144" s="905"/>
      <c r="N144" s="3690"/>
      <c r="O144" s="3110"/>
    </row>
    <row r="145" spans="1:15">
      <c r="A145" s="972">
        <v>2005.04</v>
      </c>
      <c r="B145" s="904"/>
      <c r="C145" s="904"/>
      <c r="D145" s="3690"/>
      <c r="E145" s="905"/>
      <c r="F145" s="3690"/>
      <c r="G145" s="905"/>
      <c r="H145" s="3690"/>
      <c r="I145" s="905"/>
      <c r="J145" s="3690"/>
      <c r="K145" s="3690"/>
      <c r="L145" s="3690"/>
      <c r="M145" s="905"/>
      <c r="N145" s="3690"/>
      <c r="O145" s="3110"/>
    </row>
    <row r="146" spans="1:15">
      <c r="A146" s="972">
        <v>2005.05</v>
      </c>
      <c r="B146" s="904"/>
      <c r="C146" s="904"/>
      <c r="D146" s="3690"/>
      <c r="E146" s="905"/>
      <c r="F146" s="3690"/>
      <c r="G146" s="905"/>
      <c r="H146" s="3690"/>
      <c r="I146" s="905"/>
      <c r="J146" s="3690"/>
      <c r="K146" s="3690"/>
      <c r="L146" s="3690"/>
      <c r="M146" s="905"/>
      <c r="N146" s="3690"/>
      <c r="O146" s="3110"/>
    </row>
    <row r="147" spans="1:15">
      <c r="A147" s="972">
        <v>2005.06</v>
      </c>
      <c r="B147" s="904"/>
      <c r="C147" s="904"/>
      <c r="D147" s="3690"/>
      <c r="E147" s="905"/>
      <c r="F147" s="3690"/>
      <c r="G147" s="905"/>
      <c r="H147" s="3690"/>
      <c r="I147" s="905"/>
      <c r="J147" s="3690"/>
      <c r="K147" s="3690"/>
      <c r="L147" s="3690"/>
      <c r="M147" s="905"/>
      <c r="N147" s="3690"/>
      <c r="O147" s="3110"/>
    </row>
    <row r="148" spans="1:15">
      <c r="A148" s="972">
        <v>2005.07</v>
      </c>
      <c r="B148" s="904"/>
      <c r="C148" s="904"/>
      <c r="D148" s="3690"/>
      <c r="E148" s="905"/>
      <c r="F148" s="3690"/>
      <c r="G148" s="905"/>
      <c r="H148" s="3690"/>
      <c r="I148" s="905"/>
      <c r="J148" s="3690"/>
      <c r="K148" s="3690"/>
      <c r="L148" s="3690"/>
      <c r="M148" s="905"/>
      <c r="N148" s="3690"/>
      <c r="O148" s="3110"/>
    </row>
    <row r="149" spans="1:15">
      <c r="A149" s="972">
        <v>2005.08</v>
      </c>
      <c r="B149" s="904"/>
      <c r="C149" s="904"/>
      <c r="D149" s="3690"/>
      <c r="E149" s="905"/>
      <c r="F149" s="3690"/>
      <c r="G149" s="905"/>
      <c r="H149" s="3690"/>
      <c r="I149" s="905"/>
      <c r="J149" s="3690"/>
      <c r="K149" s="3690"/>
      <c r="L149" s="3690"/>
      <c r="M149" s="905"/>
      <c r="N149" s="3690"/>
      <c r="O149" s="3110"/>
    </row>
    <row r="150" spans="1:15">
      <c r="A150" s="972">
        <v>2005.09</v>
      </c>
      <c r="B150" s="904"/>
      <c r="C150" s="904"/>
      <c r="D150" s="3690"/>
      <c r="E150" s="905"/>
      <c r="F150" s="3690"/>
      <c r="G150" s="905"/>
      <c r="H150" s="3690"/>
      <c r="I150" s="905"/>
      <c r="J150" s="3690"/>
      <c r="K150" s="3690"/>
      <c r="L150" s="3690"/>
      <c r="M150" s="905"/>
      <c r="N150" s="3690"/>
      <c r="O150" s="3110"/>
    </row>
    <row r="151" spans="1:15">
      <c r="A151" s="972">
        <v>2005.1</v>
      </c>
      <c r="B151" s="904"/>
      <c r="C151" s="904"/>
      <c r="D151" s="3690"/>
      <c r="E151" s="905"/>
      <c r="F151" s="3690"/>
      <c r="G151" s="905"/>
      <c r="H151" s="3690"/>
      <c r="I151" s="905"/>
      <c r="J151" s="3690"/>
      <c r="K151" s="3690"/>
      <c r="L151" s="3690"/>
      <c r="M151" s="905"/>
      <c r="N151" s="3690"/>
      <c r="O151" s="3110"/>
    </row>
    <row r="152" spans="1:15">
      <c r="A152" s="972">
        <v>2005.11</v>
      </c>
      <c r="B152" s="904"/>
      <c r="C152" s="904"/>
      <c r="D152" s="3690"/>
      <c r="E152" s="905"/>
      <c r="F152" s="3690"/>
      <c r="G152" s="905"/>
      <c r="H152" s="3690"/>
      <c r="I152" s="905"/>
      <c r="J152" s="3690"/>
      <c r="K152" s="3690"/>
      <c r="L152" s="3690"/>
      <c r="M152" s="905"/>
      <c r="N152" s="3690"/>
      <c r="O152" s="3110"/>
    </row>
    <row r="153" spans="1:15">
      <c r="A153" s="972">
        <v>2005.12</v>
      </c>
      <c r="B153" s="904"/>
      <c r="C153" s="904"/>
      <c r="D153" s="3690"/>
      <c r="E153" s="905"/>
      <c r="F153" s="3690"/>
      <c r="G153" s="905"/>
      <c r="H153" s="3690"/>
      <c r="I153" s="905"/>
      <c r="J153" s="3690"/>
      <c r="K153" s="3690"/>
      <c r="L153" s="3690"/>
      <c r="M153" s="905"/>
      <c r="N153" s="3690"/>
      <c r="O153" s="3110"/>
    </row>
    <row r="154" spans="1:15">
      <c r="A154" s="972">
        <v>2006.01</v>
      </c>
      <c r="B154" s="904"/>
      <c r="C154" s="904"/>
      <c r="D154" s="3690"/>
      <c r="E154" s="905"/>
      <c r="F154" s="3690"/>
      <c r="G154" s="905"/>
      <c r="H154" s="3690"/>
      <c r="I154" s="905"/>
      <c r="J154" s="3690"/>
      <c r="K154" s="3690"/>
      <c r="L154" s="3690"/>
      <c r="M154" s="905"/>
      <c r="N154" s="3690"/>
      <c r="O154" s="3110"/>
    </row>
    <row r="155" spans="1:15">
      <c r="A155" s="972">
        <v>2006.02</v>
      </c>
      <c r="B155" s="904"/>
      <c r="C155" s="904"/>
      <c r="D155" s="3690"/>
      <c r="E155" s="905"/>
      <c r="F155" s="3690"/>
      <c r="G155" s="905"/>
      <c r="H155" s="3690"/>
      <c r="I155" s="905"/>
      <c r="J155" s="3690"/>
      <c r="K155" s="3690"/>
      <c r="L155" s="3690"/>
      <c r="M155" s="905"/>
      <c r="N155" s="3690"/>
      <c r="O155" s="3110"/>
    </row>
    <row r="156" spans="1:15">
      <c r="A156" s="972">
        <v>2006.03</v>
      </c>
      <c r="B156" s="904"/>
      <c r="C156" s="904"/>
      <c r="D156" s="3690"/>
      <c r="E156" s="905"/>
      <c r="F156" s="3690"/>
      <c r="G156" s="905"/>
      <c r="H156" s="3690"/>
      <c r="I156" s="905"/>
      <c r="J156" s="3690"/>
      <c r="K156" s="3690"/>
      <c r="L156" s="3690"/>
      <c r="M156" s="905"/>
      <c r="N156" s="3690"/>
      <c r="O156" s="3110"/>
    </row>
    <row r="157" spans="1:15">
      <c r="A157" s="972">
        <v>2006.04</v>
      </c>
      <c r="B157" s="904"/>
      <c r="C157" s="904"/>
      <c r="D157" s="3690"/>
      <c r="E157" s="905"/>
      <c r="F157" s="3690"/>
      <c r="G157" s="905"/>
      <c r="H157" s="3690"/>
      <c r="I157" s="905"/>
      <c r="J157" s="3690"/>
      <c r="K157" s="3690"/>
      <c r="L157" s="3690"/>
      <c r="M157" s="905"/>
      <c r="N157" s="3690"/>
      <c r="O157" s="3110"/>
    </row>
    <row r="158" spans="1:15">
      <c r="A158" s="972">
        <v>2006.05</v>
      </c>
      <c r="B158" s="904"/>
      <c r="C158" s="904"/>
      <c r="D158" s="3690"/>
      <c r="E158" s="905"/>
      <c r="F158" s="3690"/>
      <c r="G158" s="905"/>
      <c r="H158" s="3690"/>
      <c r="I158" s="905"/>
      <c r="J158" s="3690"/>
      <c r="K158" s="3690"/>
      <c r="L158" s="3690"/>
      <c r="M158" s="905"/>
      <c r="N158" s="3690"/>
      <c r="O158" s="3110"/>
    </row>
    <row r="159" spans="1:15">
      <c r="A159" s="972">
        <v>2006.06</v>
      </c>
      <c r="B159" s="904"/>
      <c r="C159" s="904"/>
      <c r="D159" s="3690"/>
      <c r="E159" s="905"/>
      <c r="F159" s="3690"/>
      <c r="G159" s="905"/>
      <c r="H159" s="3690"/>
      <c r="I159" s="905"/>
      <c r="J159" s="3690"/>
      <c r="K159" s="3690"/>
      <c r="L159" s="3690"/>
      <c r="M159" s="905"/>
      <c r="N159" s="3690"/>
      <c r="O159" s="3110"/>
    </row>
    <row r="160" spans="1:15">
      <c r="A160" s="972">
        <v>2006.07</v>
      </c>
      <c r="B160" s="904"/>
      <c r="C160" s="904"/>
      <c r="D160" s="3690"/>
      <c r="E160" s="905"/>
      <c r="F160" s="3690"/>
      <c r="G160" s="905"/>
      <c r="H160" s="3690"/>
      <c r="I160" s="905"/>
      <c r="J160" s="3690"/>
      <c r="K160" s="3690"/>
      <c r="L160" s="3690"/>
      <c r="M160" s="905"/>
      <c r="N160" s="3690"/>
      <c r="O160" s="3110"/>
    </row>
    <row r="161" spans="1:15">
      <c r="A161" s="972">
        <v>2006.08</v>
      </c>
      <c r="B161" s="904"/>
      <c r="C161" s="904"/>
      <c r="D161" s="3690"/>
      <c r="E161" s="905"/>
      <c r="F161" s="3690"/>
      <c r="G161" s="905"/>
      <c r="H161" s="3690"/>
      <c r="I161" s="905"/>
      <c r="J161" s="3690"/>
      <c r="K161" s="3690"/>
      <c r="L161" s="3690"/>
      <c r="M161" s="905"/>
      <c r="N161" s="3690"/>
      <c r="O161" s="3110"/>
    </row>
    <row r="162" spans="1:15">
      <c r="A162" s="972">
        <v>2006.09</v>
      </c>
      <c r="B162" s="904"/>
      <c r="C162" s="904"/>
      <c r="D162" s="3690"/>
      <c r="E162" s="905"/>
      <c r="F162" s="3690"/>
      <c r="G162" s="905"/>
      <c r="H162" s="3690"/>
      <c r="I162" s="905"/>
      <c r="J162" s="3690"/>
      <c r="K162" s="3690"/>
      <c r="L162" s="3690"/>
      <c r="M162" s="905"/>
      <c r="N162" s="3690"/>
      <c r="O162" s="3110"/>
    </row>
    <row r="163" spans="1:15">
      <c r="A163" s="972">
        <v>2006.1</v>
      </c>
      <c r="B163" s="904"/>
      <c r="C163" s="904"/>
      <c r="D163" s="3690"/>
      <c r="E163" s="905"/>
      <c r="F163" s="3690"/>
      <c r="G163" s="905"/>
      <c r="H163" s="3690"/>
      <c r="I163" s="905"/>
      <c r="J163" s="3690"/>
      <c r="K163" s="3690"/>
      <c r="L163" s="3690"/>
      <c r="M163" s="905"/>
      <c r="N163" s="3690"/>
      <c r="O163" s="3110"/>
    </row>
    <row r="164" spans="1:15">
      <c r="A164" s="972">
        <v>2006.11</v>
      </c>
      <c r="B164" s="904"/>
      <c r="C164" s="904"/>
      <c r="D164" s="3690"/>
      <c r="E164" s="905"/>
      <c r="F164" s="3690"/>
      <c r="G164" s="905"/>
      <c r="H164" s="3690"/>
      <c r="I164" s="905"/>
      <c r="J164" s="3690"/>
      <c r="K164" s="3690"/>
      <c r="L164" s="3690"/>
      <c r="M164" s="905"/>
      <c r="N164" s="3690"/>
      <c r="O164" s="3110"/>
    </row>
    <row r="165" spans="1:15">
      <c r="A165" s="972">
        <v>2006.12</v>
      </c>
      <c r="B165" s="904"/>
      <c r="C165" s="904"/>
      <c r="D165" s="3690"/>
      <c r="E165" s="905"/>
      <c r="F165" s="3690"/>
      <c r="G165" s="905"/>
      <c r="H165" s="3690"/>
      <c r="I165" s="905"/>
      <c r="J165" s="3690"/>
      <c r="K165" s="3690"/>
      <c r="L165" s="3690"/>
      <c r="M165" s="905"/>
      <c r="N165" s="3690"/>
      <c r="O165" s="3110"/>
    </row>
    <row r="166" spans="1:15">
      <c r="A166" s="972">
        <v>2007.01</v>
      </c>
      <c r="B166" s="904"/>
      <c r="C166" s="904"/>
      <c r="D166" s="3690"/>
      <c r="E166" s="905"/>
      <c r="F166" s="3690"/>
      <c r="G166" s="905"/>
      <c r="H166" s="3690"/>
      <c r="I166" s="905"/>
      <c r="J166" s="3690"/>
      <c r="K166" s="3690"/>
      <c r="L166" s="3690"/>
      <c r="M166" s="905"/>
      <c r="N166" s="3690"/>
      <c r="O166" s="3110"/>
    </row>
    <row r="167" spans="1:15">
      <c r="A167" s="972">
        <v>2007.02</v>
      </c>
      <c r="B167" s="904"/>
      <c r="C167" s="904"/>
      <c r="D167" s="3690"/>
      <c r="E167" s="905"/>
      <c r="F167" s="3690"/>
      <c r="G167" s="905"/>
      <c r="H167" s="3690"/>
      <c r="I167" s="905"/>
      <c r="J167" s="3690"/>
      <c r="K167" s="3690"/>
      <c r="L167" s="3690"/>
      <c r="M167" s="905"/>
      <c r="N167" s="3690"/>
      <c r="O167" s="3110"/>
    </row>
    <row r="168" spans="1:15">
      <c r="A168" s="972">
        <v>2007.03</v>
      </c>
      <c r="B168" s="904"/>
      <c r="C168" s="904"/>
      <c r="D168" s="3690"/>
      <c r="E168" s="905"/>
      <c r="F168" s="3690"/>
      <c r="G168" s="905"/>
      <c r="H168" s="3690"/>
      <c r="I168" s="905"/>
      <c r="J168" s="3690"/>
      <c r="K168" s="3690"/>
      <c r="L168" s="3690"/>
      <c r="M168" s="905"/>
      <c r="N168" s="3690"/>
      <c r="O168" s="3110"/>
    </row>
    <row r="169" spans="1:15">
      <c r="A169" s="972">
        <v>2007.04</v>
      </c>
      <c r="B169" s="904"/>
      <c r="C169" s="904"/>
      <c r="D169" s="3690"/>
      <c r="E169" s="905"/>
      <c r="F169" s="3690"/>
      <c r="G169" s="905"/>
      <c r="H169" s="3690"/>
      <c r="I169" s="905"/>
      <c r="J169" s="3690"/>
      <c r="K169" s="3690"/>
      <c r="L169" s="3690"/>
      <c r="M169" s="905"/>
      <c r="N169" s="3690"/>
      <c r="O169" s="3110"/>
    </row>
    <row r="170" spans="1:15">
      <c r="A170" s="972">
        <v>2007.05</v>
      </c>
      <c r="B170" s="904"/>
      <c r="C170" s="904"/>
      <c r="D170" s="3690"/>
      <c r="E170" s="905"/>
      <c r="F170" s="3690"/>
      <c r="G170" s="905"/>
      <c r="H170" s="3690"/>
      <c r="I170" s="905"/>
      <c r="J170" s="3690"/>
      <c r="K170" s="3690"/>
      <c r="L170" s="3690"/>
      <c r="M170" s="905"/>
      <c r="N170" s="3690"/>
      <c r="O170" s="3110"/>
    </row>
    <row r="171" spans="1:15">
      <c r="A171" s="972">
        <v>2007.06</v>
      </c>
      <c r="B171" s="904"/>
      <c r="C171" s="904"/>
      <c r="D171" s="3690"/>
      <c r="E171" s="905"/>
      <c r="F171" s="3690"/>
      <c r="G171" s="905"/>
      <c r="H171" s="3690"/>
      <c r="I171" s="905"/>
      <c r="J171" s="3690"/>
      <c r="K171" s="3690"/>
      <c r="L171" s="3690"/>
      <c r="M171" s="905"/>
      <c r="N171" s="3690"/>
      <c r="O171" s="3110"/>
    </row>
    <row r="172" spans="1:15">
      <c r="A172" s="972">
        <v>2007.07</v>
      </c>
      <c r="B172" s="904"/>
      <c r="C172" s="904"/>
      <c r="D172" s="3690"/>
      <c r="E172" s="905"/>
      <c r="F172" s="3690"/>
      <c r="G172" s="905"/>
      <c r="H172" s="3690"/>
      <c r="I172" s="905"/>
      <c r="J172" s="3690"/>
      <c r="K172" s="3690"/>
      <c r="L172" s="3690"/>
      <c r="M172" s="905"/>
      <c r="N172" s="3690"/>
      <c r="O172" s="3110"/>
    </row>
    <row r="173" spans="1:15">
      <c r="A173" s="972">
        <v>2007.08</v>
      </c>
      <c r="B173" s="904"/>
      <c r="C173" s="904"/>
      <c r="D173" s="3690"/>
      <c r="E173" s="905"/>
      <c r="F173" s="3690"/>
      <c r="G173" s="905"/>
      <c r="H173" s="3690"/>
      <c r="I173" s="905"/>
      <c r="J173" s="3690"/>
      <c r="K173" s="3690"/>
      <c r="L173" s="3690"/>
      <c r="M173" s="905"/>
      <c r="N173" s="3690"/>
      <c r="O173" s="3110"/>
    </row>
    <row r="174" spans="1:15">
      <c r="A174" s="972">
        <v>2007.09</v>
      </c>
      <c r="B174" s="904"/>
      <c r="C174" s="904"/>
      <c r="D174" s="3690"/>
      <c r="E174" s="905"/>
      <c r="F174" s="3690"/>
      <c r="G174" s="905"/>
      <c r="H174" s="3690"/>
      <c r="I174" s="905"/>
      <c r="J174" s="3690"/>
      <c r="K174" s="3690"/>
      <c r="L174" s="3690"/>
      <c r="M174" s="905"/>
      <c r="N174" s="3690"/>
      <c r="O174" s="3110"/>
    </row>
    <row r="175" spans="1:15">
      <c r="A175" s="972">
        <v>2007.1</v>
      </c>
      <c r="B175" s="904"/>
      <c r="C175" s="904"/>
      <c r="D175" s="3690"/>
      <c r="E175" s="905"/>
      <c r="F175" s="3690"/>
      <c r="G175" s="905"/>
      <c r="H175" s="3690"/>
      <c r="I175" s="905"/>
      <c r="J175" s="3690"/>
      <c r="K175" s="3690"/>
      <c r="L175" s="3690"/>
      <c r="M175" s="905"/>
      <c r="N175" s="3690"/>
      <c r="O175" s="3110"/>
    </row>
    <row r="176" spans="1:15">
      <c r="A176" s="972">
        <v>2007.11</v>
      </c>
      <c r="B176" s="904"/>
      <c r="C176" s="904"/>
      <c r="D176" s="3690"/>
      <c r="E176" s="905"/>
      <c r="F176" s="3690"/>
      <c r="G176" s="905"/>
      <c r="H176" s="3690"/>
      <c r="I176" s="905"/>
      <c r="J176" s="3690"/>
      <c r="K176" s="3690"/>
      <c r="L176" s="3690"/>
      <c r="M176" s="905"/>
      <c r="N176" s="3690"/>
      <c r="O176" s="3110"/>
    </row>
    <row r="177" spans="1:15">
      <c r="A177" s="972">
        <v>2007.12</v>
      </c>
      <c r="B177" s="904"/>
      <c r="C177" s="904"/>
      <c r="D177" s="3690"/>
      <c r="E177" s="905"/>
      <c r="F177" s="3690"/>
      <c r="G177" s="905"/>
      <c r="H177" s="3690"/>
      <c r="I177" s="905"/>
      <c r="J177" s="3690"/>
      <c r="K177" s="3690"/>
      <c r="L177" s="3690"/>
      <c r="M177" s="905"/>
      <c r="N177" s="3690"/>
      <c r="O177" s="3110"/>
    </row>
    <row r="178" spans="1:15">
      <c r="A178" s="972">
        <f t="shared" ref="A178:A241" si="0">A166+1</f>
        <v>2008.01</v>
      </c>
      <c r="B178" s="904"/>
      <c r="C178" s="904"/>
      <c r="D178" s="3690"/>
      <c r="E178" s="905"/>
      <c r="F178" s="3690"/>
      <c r="G178" s="905"/>
      <c r="H178" s="3690"/>
      <c r="I178" s="905"/>
      <c r="J178" s="3690"/>
      <c r="K178" s="3690"/>
      <c r="L178" s="3690"/>
      <c r="M178" s="905"/>
      <c r="N178" s="3690"/>
      <c r="O178" s="3110"/>
    </row>
    <row r="179" spans="1:15">
      <c r="A179" s="972">
        <f t="shared" si="0"/>
        <v>2008.02</v>
      </c>
      <c r="B179" s="904"/>
      <c r="C179" s="904"/>
      <c r="D179" s="3690"/>
      <c r="E179" s="905"/>
      <c r="F179" s="3690"/>
      <c r="G179" s="905"/>
      <c r="H179" s="3690"/>
      <c r="I179" s="905"/>
      <c r="J179" s="3690"/>
      <c r="K179" s="3690"/>
      <c r="L179" s="3690"/>
      <c r="M179" s="905"/>
      <c r="N179" s="3690"/>
      <c r="O179" s="3110"/>
    </row>
    <row r="180" spans="1:15">
      <c r="A180" s="972">
        <f t="shared" si="0"/>
        <v>2008.03</v>
      </c>
      <c r="B180" s="904"/>
      <c r="C180" s="904"/>
      <c r="D180" s="3690"/>
      <c r="E180" s="905"/>
      <c r="F180" s="3690"/>
      <c r="G180" s="905"/>
      <c r="H180" s="3690"/>
      <c r="I180" s="905"/>
      <c r="J180" s="3690"/>
      <c r="K180" s="3690"/>
      <c r="L180" s="3690"/>
      <c r="M180" s="905"/>
      <c r="N180" s="3690"/>
      <c r="O180" s="3110"/>
    </row>
    <row r="181" spans="1:15">
      <c r="A181" s="972">
        <f t="shared" si="0"/>
        <v>2008.04</v>
      </c>
      <c r="B181" s="904"/>
      <c r="C181" s="904"/>
      <c r="D181" s="3690"/>
      <c r="E181" s="905"/>
      <c r="F181" s="3690"/>
      <c r="G181" s="905"/>
      <c r="H181" s="3690"/>
      <c r="I181" s="905"/>
      <c r="J181" s="3690"/>
      <c r="K181" s="3690"/>
      <c r="L181" s="3690"/>
      <c r="M181" s="905"/>
      <c r="N181" s="3690"/>
      <c r="O181" s="3110"/>
    </row>
    <row r="182" spans="1:15">
      <c r="A182" s="972">
        <f t="shared" si="0"/>
        <v>2008.05</v>
      </c>
      <c r="B182" s="904"/>
      <c r="C182" s="904"/>
      <c r="D182" s="3690"/>
      <c r="E182" s="905"/>
      <c r="F182" s="3690"/>
      <c r="G182" s="905"/>
      <c r="H182" s="3690"/>
      <c r="I182" s="905"/>
      <c r="J182" s="3690"/>
      <c r="K182" s="3690"/>
      <c r="L182" s="3690"/>
      <c r="M182" s="905"/>
      <c r="N182" s="3690"/>
      <c r="O182" s="3110"/>
    </row>
    <row r="183" spans="1:15">
      <c r="A183" s="972">
        <f t="shared" si="0"/>
        <v>2008.06</v>
      </c>
      <c r="B183" s="904"/>
      <c r="C183" s="904"/>
      <c r="D183" s="3690"/>
      <c r="E183" s="905"/>
      <c r="F183" s="3690"/>
      <c r="G183" s="905"/>
      <c r="H183" s="3690"/>
      <c r="I183" s="905"/>
      <c r="J183" s="3690"/>
      <c r="K183" s="3690"/>
      <c r="L183" s="3690"/>
      <c r="M183" s="905"/>
      <c r="N183" s="3690"/>
      <c r="O183" s="3110"/>
    </row>
    <row r="184" spans="1:15">
      <c r="A184" s="972">
        <f t="shared" si="0"/>
        <v>2008.07</v>
      </c>
      <c r="B184" s="904"/>
      <c r="C184" s="904"/>
      <c r="D184" s="3690"/>
      <c r="E184" s="905"/>
      <c r="F184" s="3690"/>
      <c r="G184" s="905"/>
      <c r="H184" s="3690"/>
      <c r="I184" s="905"/>
      <c r="J184" s="3690"/>
      <c r="K184" s="3690"/>
      <c r="L184" s="3690"/>
      <c r="M184" s="905"/>
      <c r="N184" s="3690"/>
      <c r="O184" s="3110"/>
    </row>
    <row r="185" spans="1:15">
      <c r="A185" s="972">
        <f t="shared" si="0"/>
        <v>2008.08</v>
      </c>
      <c r="B185" s="904"/>
      <c r="C185" s="904"/>
      <c r="D185" s="3690"/>
      <c r="E185" s="905"/>
      <c r="F185" s="3690"/>
      <c r="G185" s="905"/>
      <c r="H185" s="3690"/>
      <c r="I185" s="905"/>
      <c r="J185" s="3690"/>
      <c r="K185" s="3690"/>
      <c r="L185" s="3690"/>
      <c r="M185" s="905"/>
      <c r="N185" s="3690"/>
      <c r="O185" s="3110"/>
    </row>
    <row r="186" spans="1:15">
      <c r="A186" s="972">
        <f t="shared" si="0"/>
        <v>2008.09</v>
      </c>
      <c r="B186" s="904"/>
      <c r="C186" s="904"/>
      <c r="D186" s="3690"/>
      <c r="E186" s="905"/>
      <c r="F186" s="3690"/>
      <c r="G186" s="905"/>
      <c r="H186" s="3690"/>
      <c r="I186" s="905"/>
      <c r="J186" s="3690"/>
      <c r="K186" s="3690"/>
      <c r="L186" s="3690"/>
      <c r="M186" s="905"/>
      <c r="N186" s="3690"/>
      <c r="O186" s="3110"/>
    </row>
    <row r="187" spans="1:15">
      <c r="A187" s="972">
        <f t="shared" si="0"/>
        <v>2008.1</v>
      </c>
      <c r="B187" s="904"/>
      <c r="C187" s="904"/>
      <c r="D187" s="3690"/>
      <c r="E187" s="905"/>
      <c r="F187" s="3690"/>
      <c r="G187" s="905"/>
      <c r="H187" s="3690"/>
      <c r="I187" s="905"/>
      <c r="J187" s="3690"/>
      <c r="K187" s="3690"/>
      <c r="L187" s="3690"/>
      <c r="M187" s="905"/>
      <c r="N187" s="3690"/>
      <c r="O187" s="3110"/>
    </row>
    <row r="188" spans="1:15">
      <c r="A188" s="972">
        <f t="shared" si="0"/>
        <v>2008.11</v>
      </c>
      <c r="B188" s="904"/>
      <c r="C188" s="904"/>
      <c r="D188" s="3690"/>
      <c r="E188" s="905"/>
      <c r="F188" s="3690"/>
      <c r="G188" s="905"/>
      <c r="H188" s="3690"/>
      <c r="I188" s="905"/>
      <c r="J188" s="3690"/>
      <c r="K188" s="3690"/>
      <c r="L188" s="3690"/>
      <c r="M188" s="905"/>
      <c r="N188" s="3690"/>
      <c r="O188" s="3110"/>
    </row>
    <row r="189" spans="1:15">
      <c r="A189" s="972">
        <f t="shared" si="0"/>
        <v>2008.12</v>
      </c>
      <c r="B189" s="904"/>
      <c r="C189" s="904"/>
      <c r="D189" s="3690"/>
      <c r="E189" s="905"/>
      <c r="F189" s="3690"/>
      <c r="G189" s="905"/>
      <c r="H189" s="3690"/>
      <c r="I189" s="905"/>
      <c r="J189" s="3690"/>
      <c r="K189" s="3690"/>
      <c r="L189" s="3690"/>
      <c r="M189" s="905"/>
      <c r="N189" s="3690"/>
      <c r="O189" s="3110"/>
    </row>
    <row r="190" spans="1:15">
      <c r="A190" s="972">
        <f t="shared" si="0"/>
        <v>2009.01</v>
      </c>
      <c r="B190" s="904"/>
      <c r="C190" s="904"/>
      <c r="D190" s="3690"/>
      <c r="E190" s="905"/>
      <c r="F190" s="3690"/>
      <c r="G190" s="905"/>
      <c r="H190" s="3690"/>
      <c r="I190" s="905"/>
      <c r="J190" s="3690"/>
      <c r="K190" s="3690"/>
      <c r="L190" s="3690"/>
      <c r="M190" s="905"/>
      <c r="N190" s="3690"/>
      <c r="O190" s="3110"/>
    </row>
    <row r="191" spans="1:15">
      <c r="A191" s="972">
        <f t="shared" si="0"/>
        <v>2009.02</v>
      </c>
      <c r="B191" s="904"/>
      <c r="C191" s="904"/>
      <c r="D191" s="3690"/>
      <c r="E191" s="905"/>
      <c r="F191" s="3690"/>
      <c r="G191" s="905"/>
      <c r="H191" s="3690"/>
      <c r="I191" s="905"/>
      <c r="J191" s="3690"/>
      <c r="K191" s="3690"/>
      <c r="L191" s="3690"/>
      <c r="M191" s="905"/>
      <c r="N191" s="3690"/>
      <c r="O191" s="3110"/>
    </row>
    <row r="192" spans="1:15">
      <c r="A192" s="972">
        <f t="shared" si="0"/>
        <v>2009.03</v>
      </c>
      <c r="B192" s="904"/>
      <c r="C192" s="904"/>
      <c r="D192" s="3690"/>
      <c r="E192" s="905"/>
      <c r="F192" s="3690"/>
      <c r="G192" s="905"/>
      <c r="H192" s="3690"/>
      <c r="I192" s="905"/>
      <c r="J192" s="3690"/>
      <c r="K192" s="3690"/>
      <c r="L192" s="3690"/>
      <c r="M192" s="905"/>
      <c r="N192" s="3690"/>
      <c r="O192" s="3110"/>
    </row>
    <row r="193" spans="1:15">
      <c r="A193" s="972">
        <f t="shared" si="0"/>
        <v>2009.04</v>
      </c>
      <c r="B193" s="904"/>
      <c r="C193" s="904"/>
      <c r="D193" s="3690"/>
      <c r="E193" s="905"/>
      <c r="F193" s="3690"/>
      <c r="G193" s="905"/>
      <c r="H193" s="3690"/>
      <c r="I193" s="905"/>
      <c r="J193" s="3690"/>
      <c r="K193" s="3690"/>
      <c r="L193" s="3690"/>
      <c r="M193" s="905"/>
      <c r="N193" s="3690"/>
      <c r="O193" s="3110"/>
    </row>
    <row r="194" spans="1:15">
      <c r="A194" s="972">
        <f t="shared" si="0"/>
        <v>2009.05</v>
      </c>
      <c r="B194" s="904"/>
      <c r="C194" s="904"/>
      <c r="D194" s="3690"/>
      <c r="E194" s="905"/>
      <c r="F194" s="3690"/>
      <c r="G194" s="905"/>
      <c r="H194" s="3690"/>
      <c r="I194" s="905"/>
      <c r="J194" s="3690"/>
      <c r="K194" s="3690"/>
      <c r="L194" s="3690"/>
      <c r="M194" s="905"/>
      <c r="N194" s="3690"/>
      <c r="O194" s="3110"/>
    </row>
    <row r="195" spans="1:15">
      <c r="A195" s="972">
        <f t="shared" si="0"/>
        <v>2009.06</v>
      </c>
      <c r="B195" s="904"/>
      <c r="C195" s="904"/>
      <c r="D195" s="3690"/>
      <c r="E195" s="905"/>
      <c r="F195" s="3690"/>
      <c r="G195" s="905"/>
      <c r="H195" s="3690"/>
      <c r="I195" s="905"/>
      <c r="J195" s="3690"/>
      <c r="K195" s="3690"/>
      <c r="L195" s="3690"/>
      <c r="M195" s="905"/>
      <c r="N195" s="3690"/>
      <c r="O195" s="3110"/>
    </row>
    <row r="196" spans="1:15">
      <c r="A196" s="972">
        <f t="shared" si="0"/>
        <v>2009.07</v>
      </c>
      <c r="B196" s="904"/>
      <c r="C196" s="904"/>
      <c r="D196" s="3690"/>
      <c r="E196" s="905"/>
      <c r="F196" s="3690"/>
      <c r="G196" s="905"/>
      <c r="H196" s="3690"/>
      <c r="I196" s="905"/>
      <c r="J196" s="3690"/>
      <c r="K196" s="3690"/>
      <c r="L196" s="3690"/>
      <c r="M196" s="905"/>
      <c r="N196" s="3690"/>
      <c r="O196" s="3110"/>
    </row>
    <row r="197" spans="1:15">
      <c r="A197" s="972">
        <f t="shared" si="0"/>
        <v>2009.08</v>
      </c>
      <c r="B197" s="904"/>
      <c r="C197" s="904"/>
      <c r="D197" s="3690"/>
      <c r="E197" s="905"/>
      <c r="F197" s="3690"/>
      <c r="G197" s="905"/>
      <c r="H197" s="3690"/>
      <c r="I197" s="905"/>
      <c r="J197" s="3690"/>
      <c r="K197" s="3690"/>
      <c r="L197" s="3690"/>
      <c r="M197" s="905"/>
      <c r="N197" s="3690"/>
      <c r="O197" s="3110"/>
    </row>
    <row r="198" spans="1:15">
      <c r="A198" s="972">
        <f t="shared" si="0"/>
        <v>2009.09</v>
      </c>
      <c r="B198" s="904"/>
      <c r="C198" s="904"/>
      <c r="D198" s="3690"/>
      <c r="E198" s="905"/>
      <c r="F198" s="3690"/>
      <c r="G198" s="905"/>
      <c r="H198" s="3690"/>
      <c r="I198" s="905"/>
      <c r="J198" s="3690"/>
      <c r="K198" s="3690"/>
      <c r="L198" s="3690"/>
      <c r="M198" s="905"/>
      <c r="N198" s="3690"/>
      <c r="O198" s="3110"/>
    </row>
    <row r="199" spans="1:15">
      <c r="A199" s="972">
        <f t="shared" si="0"/>
        <v>2009.1</v>
      </c>
      <c r="B199" s="904"/>
      <c r="C199" s="904"/>
      <c r="D199" s="3690"/>
      <c r="E199" s="905"/>
      <c r="F199" s="3690"/>
      <c r="G199" s="905"/>
      <c r="H199" s="3690"/>
      <c r="I199" s="905"/>
      <c r="J199" s="3690"/>
      <c r="K199" s="3690"/>
      <c r="L199" s="3690"/>
      <c r="M199" s="905"/>
      <c r="N199" s="3690"/>
      <c r="O199" s="3110"/>
    </row>
    <row r="200" spans="1:15">
      <c r="A200" s="972">
        <f t="shared" si="0"/>
        <v>2009.11</v>
      </c>
      <c r="B200" s="904"/>
      <c r="C200" s="904"/>
      <c r="D200" s="3690"/>
      <c r="E200" s="905"/>
      <c r="F200" s="3690"/>
      <c r="G200" s="905"/>
      <c r="H200" s="3690"/>
      <c r="I200" s="905"/>
      <c r="J200" s="3690"/>
      <c r="K200" s="3690"/>
      <c r="L200" s="3690"/>
      <c r="M200" s="905"/>
      <c r="N200" s="3690"/>
      <c r="O200" s="3110"/>
    </row>
    <row r="201" spans="1:15">
      <c r="A201" s="972">
        <f t="shared" si="0"/>
        <v>2009.12</v>
      </c>
      <c r="B201" s="904"/>
      <c r="C201" s="904"/>
      <c r="D201" s="3690"/>
      <c r="E201" s="905"/>
      <c r="F201" s="3690"/>
      <c r="G201" s="905"/>
      <c r="H201" s="3690"/>
      <c r="I201" s="905"/>
      <c r="J201" s="3690"/>
      <c r="K201" s="3690"/>
      <c r="L201" s="3690"/>
      <c r="M201" s="905"/>
      <c r="N201" s="3690"/>
      <c r="O201" s="3110"/>
    </row>
    <row r="202" spans="1:15">
      <c r="A202" s="972">
        <f t="shared" si="0"/>
        <v>2010.01</v>
      </c>
      <c r="B202" s="904"/>
      <c r="C202" s="904"/>
      <c r="D202" s="3690"/>
      <c r="E202" s="905"/>
      <c r="F202" s="3690"/>
      <c r="G202" s="905"/>
      <c r="H202" s="3690"/>
      <c r="I202" s="905"/>
      <c r="J202" s="3690"/>
      <c r="K202" s="3690"/>
      <c r="L202" s="3690"/>
      <c r="M202" s="905"/>
      <c r="N202" s="3690"/>
      <c r="O202" s="3110"/>
    </row>
    <row r="203" spans="1:15">
      <c r="A203" s="972">
        <f t="shared" si="0"/>
        <v>2010.02</v>
      </c>
      <c r="B203" s="904"/>
      <c r="C203" s="904"/>
      <c r="D203" s="3690"/>
      <c r="E203" s="905"/>
      <c r="F203" s="3690"/>
      <c r="G203" s="905"/>
      <c r="H203" s="3690"/>
      <c r="I203" s="905"/>
      <c r="J203" s="3690"/>
      <c r="K203" s="3690"/>
      <c r="L203" s="3690"/>
      <c r="M203" s="905"/>
      <c r="N203" s="3690"/>
      <c r="O203" s="3110"/>
    </row>
    <row r="204" spans="1:15">
      <c r="A204" s="972">
        <f t="shared" si="0"/>
        <v>2010.03</v>
      </c>
      <c r="B204" s="904"/>
      <c r="C204" s="904"/>
      <c r="D204" s="3690"/>
      <c r="E204" s="905"/>
      <c r="F204" s="3690"/>
      <c r="G204" s="905"/>
      <c r="H204" s="3690"/>
      <c r="I204" s="905"/>
      <c r="J204" s="3690"/>
      <c r="K204" s="3690"/>
      <c r="L204" s="3690"/>
      <c r="M204" s="905"/>
      <c r="N204" s="3690"/>
      <c r="O204" s="3110"/>
    </row>
    <row r="205" spans="1:15">
      <c r="A205" s="972">
        <f t="shared" si="0"/>
        <v>2010.04</v>
      </c>
      <c r="B205" s="904"/>
      <c r="C205" s="904"/>
      <c r="D205" s="3690"/>
      <c r="E205" s="905"/>
      <c r="F205" s="3690"/>
      <c r="G205" s="905"/>
      <c r="H205" s="3690"/>
      <c r="I205" s="905"/>
      <c r="J205" s="3690"/>
      <c r="K205" s="3690"/>
      <c r="L205" s="3690"/>
      <c r="M205" s="905"/>
      <c r="N205" s="3690"/>
      <c r="O205" s="3110"/>
    </row>
    <row r="206" spans="1:15">
      <c r="A206" s="972">
        <f t="shared" si="0"/>
        <v>2010.05</v>
      </c>
      <c r="B206" s="904"/>
      <c r="C206" s="904"/>
      <c r="D206" s="3690"/>
      <c r="E206" s="905"/>
      <c r="F206" s="3690"/>
      <c r="G206" s="905"/>
      <c r="H206" s="3690"/>
      <c r="I206" s="905"/>
      <c r="J206" s="3690"/>
      <c r="K206" s="3690"/>
      <c r="L206" s="3690"/>
      <c r="M206" s="905"/>
      <c r="N206" s="3690"/>
      <c r="O206" s="3110"/>
    </row>
    <row r="207" spans="1:15">
      <c r="A207" s="972">
        <f t="shared" si="0"/>
        <v>2010.06</v>
      </c>
      <c r="B207" s="904"/>
      <c r="C207" s="904"/>
      <c r="D207" s="3690"/>
      <c r="E207" s="905"/>
      <c r="F207" s="3690"/>
      <c r="G207" s="905"/>
      <c r="H207" s="3690"/>
      <c r="I207" s="905"/>
      <c r="J207" s="3690"/>
      <c r="K207" s="3690"/>
      <c r="L207" s="3690"/>
      <c r="M207" s="905"/>
      <c r="N207" s="3690"/>
      <c r="O207" s="3110"/>
    </row>
    <row r="208" spans="1:15">
      <c r="A208" s="972">
        <f t="shared" si="0"/>
        <v>2010.07</v>
      </c>
      <c r="B208" s="904"/>
      <c r="C208" s="904"/>
      <c r="D208" s="3690"/>
      <c r="E208" s="905"/>
      <c r="F208" s="3690"/>
      <c r="G208" s="905"/>
      <c r="H208" s="3690"/>
      <c r="I208" s="905"/>
      <c r="J208" s="3690"/>
      <c r="K208" s="3690"/>
      <c r="L208" s="3690"/>
      <c r="M208" s="905"/>
      <c r="N208" s="3690"/>
      <c r="O208" s="3110"/>
    </row>
    <row r="209" spans="1:15">
      <c r="A209" s="972">
        <f t="shared" si="0"/>
        <v>2010.08</v>
      </c>
      <c r="B209" s="904"/>
      <c r="C209" s="904"/>
      <c r="D209" s="3690"/>
      <c r="E209" s="905"/>
      <c r="F209" s="3690"/>
      <c r="G209" s="905"/>
      <c r="H209" s="3690"/>
      <c r="I209" s="905"/>
      <c r="J209" s="3690"/>
      <c r="K209" s="3690"/>
      <c r="L209" s="3690"/>
      <c r="M209" s="905"/>
      <c r="N209" s="3690"/>
      <c r="O209" s="3110"/>
    </row>
    <row r="210" spans="1:15">
      <c r="A210" s="972">
        <f t="shared" si="0"/>
        <v>2010.09</v>
      </c>
      <c r="B210" s="904"/>
      <c r="C210" s="904"/>
      <c r="D210" s="3690"/>
      <c r="E210" s="905"/>
      <c r="F210" s="3690"/>
      <c r="G210" s="905"/>
      <c r="H210" s="3690"/>
      <c r="I210" s="905"/>
      <c r="J210" s="3690"/>
      <c r="K210" s="3690"/>
      <c r="L210" s="3690"/>
      <c r="M210" s="905"/>
      <c r="N210" s="3690"/>
      <c r="O210" s="3110"/>
    </row>
    <row r="211" spans="1:15">
      <c r="A211" s="972">
        <f t="shared" si="0"/>
        <v>2010.1</v>
      </c>
      <c r="B211" s="904"/>
      <c r="C211" s="904"/>
      <c r="D211" s="3690"/>
      <c r="E211" s="905"/>
      <c r="F211" s="3690"/>
      <c r="G211" s="905"/>
      <c r="H211" s="3690"/>
      <c r="I211" s="905"/>
      <c r="J211" s="3690"/>
      <c r="K211" s="3690"/>
      <c r="L211" s="3690"/>
      <c r="M211" s="905"/>
      <c r="N211" s="3690"/>
      <c r="O211" s="3110"/>
    </row>
    <row r="212" spans="1:15">
      <c r="A212" s="972">
        <f t="shared" si="0"/>
        <v>2010.11</v>
      </c>
      <c r="B212" s="904"/>
      <c r="C212" s="904"/>
      <c r="D212" s="3690"/>
      <c r="E212" s="905"/>
      <c r="F212" s="3690"/>
      <c r="G212" s="905"/>
      <c r="H212" s="3690"/>
      <c r="I212" s="905"/>
      <c r="J212" s="3690"/>
      <c r="K212" s="3690"/>
      <c r="L212" s="3690"/>
      <c r="M212" s="905"/>
      <c r="N212" s="3690"/>
      <c r="O212" s="3110"/>
    </row>
    <row r="213" spans="1:15">
      <c r="A213" s="972">
        <f t="shared" si="0"/>
        <v>2010.12</v>
      </c>
      <c r="B213" s="904"/>
      <c r="C213" s="904"/>
      <c r="D213" s="3690"/>
      <c r="E213" s="905"/>
      <c r="F213" s="3690"/>
      <c r="G213" s="905"/>
      <c r="H213" s="3690"/>
      <c r="I213" s="905"/>
      <c r="J213" s="3690"/>
      <c r="K213" s="3690"/>
      <c r="L213" s="3690"/>
      <c r="M213" s="905"/>
      <c r="N213" s="3690"/>
      <c r="O213" s="3110"/>
    </row>
    <row r="214" spans="1:15">
      <c r="A214" s="972">
        <f t="shared" si="0"/>
        <v>2011.01</v>
      </c>
      <c r="B214" s="904"/>
      <c r="C214" s="904"/>
      <c r="D214" s="3690"/>
      <c r="E214" s="905"/>
      <c r="F214" s="3690"/>
      <c r="G214" s="905"/>
      <c r="H214" s="3690"/>
      <c r="I214" s="905"/>
      <c r="J214" s="3690"/>
      <c r="K214" s="3690"/>
      <c r="L214" s="3690"/>
      <c r="M214" s="905"/>
      <c r="N214" s="3690"/>
      <c r="O214" s="3110"/>
    </row>
    <row r="215" spans="1:15">
      <c r="A215" s="972">
        <f t="shared" si="0"/>
        <v>2011.02</v>
      </c>
      <c r="B215" s="904"/>
      <c r="C215" s="904"/>
      <c r="D215" s="3690"/>
      <c r="E215" s="905"/>
      <c r="F215" s="3690"/>
      <c r="G215" s="905"/>
      <c r="H215" s="3690"/>
      <c r="I215" s="905"/>
      <c r="J215" s="3690"/>
      <c r="K215" s="3690"/>
      <c r="L215" s="3690"/>
      <c r="M215" s="905"/>
      <c r="N215" s="3690"/>
      <c r="O215" s="3110"/>
    </row>
    <row r="216" spans="1:15">
      <c r="A216" s="972">
        <f t="shared" si="0"/>
        <v>2011.03</v>
      </c>
      <c r="B216" s="904"/>
      <c r="C216" s="904"/>
      <c r="D216" s="3690"/>
      <c r="E216" s="905"/>
      <c r="F216" s="3690"/>
      <c r="G216" s="905"/>
      <c r="H216" s="3690"/>
      <c r="I216" s="905"/>
      <c r="J216" s="3690"/>
      <c r="K216" s="3690"/>
      <c r="L216" s="3690"/>
      <c r="M216" s="905"/>
      <c r="N216" s="3690"/>
      <c r="O216" s="3110"/>
    </row>
    <row r="217" spans="1:15">
      <c r="A217" s="972">
        <f t="shared" si="0"/>
        <v>2011.04</v>
      </c>
      <c r="B217" s="904"/>
      <c r="C217" s="904"/>
      <c r="D217" s="3690"/>
      <c r="E217" s="905"/>
      <c r="F217" s="3690"/>
      <c r="G217" s="905"/>
      <c r="H217" s="3690"/>
      <c r="I217" s="905"/>
      <c r="J217" s="3690"/>
      <c r="K217" s="3690"/>
      <c r="L217" s="3690"/>
      <c r="M217" s="905"/>
      <c r="N217" s="3690"/>
      <c r="O217" s="3110"/>
    </row>
    <row r="218" spans="1:15">
      <c r="A218" s="972">
        <f t="shared" si="0"/>
        <v>2011.05</v>
      </c>
      <c r="B218" s="904"/>
      <c r="C218" s="904"/>
      <c r="D218" s="3690"/>
      <c r="E218" s="905"/>
      <c r="F218" s="3690"/>
      <c r="G218" s="905"/>
      <c r="H218" s="3690"/>
      <c r="I218" s="905"/>
      <c r="J218" s="3690"/>
      <c r="K218" s="3690"/>
      <c r="L218" s="3690"/>
      <c r="M218" s="905"/>
      <c r="N218" s="3690"/>
      <c r="O218" s="3110"/>
    </row>
    <row r="219" spans="1:15">
      <c r="A219" s="972">
        <f t="shared" si="0"/>
        <v>2011.06</v>
      </c>
      <c r="B219" s="904"/>
      <c r="C219" s="904"/>
      <c r="D219" s="3690"/>
      <c r="E219" s="905"/>
      <c r="F219" s="3690"/>
      <c r="G219" s="905"/>
      <c r="H219" s="3690"/>
      <c r="I219" s="905"/>
      <c r="J219" s="3690"/>
      <c r="K219" s="3690"/>
      <c r="L219" s="3690"/>
      <c r="M219" s="905"/>
      <c r="N219" s="3690"/>
      <c r="O219" s="3110"/>
    </row>
    <row r="220" spans="1:15">
      <c r="A220" s="972">
        <f t="shared" si="0"/>
        <v>2011.07</v>
      </c>
      <c r="B220" s="904"/>
      <c r="C220" s="904"/>
      <c r="D220" s="3690"/>
      <c r="E220" s="905"/>
      <c r="F220" s="3690"/>
      <c r="G220" s="905"/>
      <c r="H220" s="3690"/>
      <c r="I220" s="905"/>
      <c r="J220" s="3690"/>
      <c r="K220" s="3690"/>
      <c r="L220" s="3690"/>
      <c r="M220" s="905"/>
      <c r="N220" s="3690"/>
      <c r="O220" s="3110"/>
    </row>
    <row r="221" spans="1:15">
      <c r="A221" s="972">
        <f t="shared" si="0"/>
        <v>2011.08</v>
      </c>
      <c r="B221" s="904"/>
      <c r="C221" s="904"/>
      <c r="D221" s="3690"/>
      <c r="E221" s="905"/>
      <c r="F221" s="3690"/>
      <c r="G221" s="905"/>
      <c r="H221" s="3690"/>
      <c r="I221" s="905"/>
      <c r="J221" s="3690"/>
      <c r="K221" s="3690"/>
      <c r="L221" s="3690"/>
      <c r="M221" s="905"/>
      <c r="N221" s="3690"/>
      <c r="O221" s="3110"/>
    </row>
    <row r="222" spans="1:15">
      <c r="A222" s="972">
        <f t="shared" si="0"/>
        <v>2011.09</v>
      </c>
      <c r="B222" s="904"/>
      <c r="C222" s="904"/>
      <c r="D222" s="3690"/>
      <c r="E222" s="905"/>
      <c r="F222" s="3690"/>
      <c r="G222" s="905"/>
      <c r="H222" s="3690"/>
      <c r="I222" s="905"/>
      <c r="J222" s="3690"/>
      <c r="K222" s="3690"/>
      <c r="L222" s="3690"/>
      <c r="M222" s="905"/>
      <c r="N222" s="3690"/>
      <c r="O222" s="3110"/>
    </row>
    <row r="223" spans="1:15">
      <c r="A223" s="972">
        <f t="shared" si="0"/>
        <v>2011.1</v>
      </c>
      <c r="B223" s="904"/>
      <c r="C223" s="904"/>
      <c r="D223" s="3690"/>
      <c r="E223" s="905"/>
      <c r="F223" s="3690"/>
      <c r="G223" s="905"/>
      <c r="H223" s="3690"/>
      <c r="I223" s="905"/>
      <c r="J223" s="3690"/>
      <c r="K223" s="3690"/>
      <c r="L223" s="3690"/>
      <c r="M223" s="905"/>
      <c r="N223" s="3690"/>
      <c r="O223" s="3110"/>
    </row>
    <row r="224" spans="1:15">
      <c r="A224" s="972">
        <f t="shared" si="0"/>
        <v>2011.11</v>
      </c>
      <c r="B224" s="904"/>
      <c r="C224" s="904"/>
      <c r="D224" s="3690"/>
      <c r="E224" s="905"/>
      <c r="F224" s="3690"/>
      <c r="G224" s="905"/>
      <c r="H224" s="3690"/>
      <c r="I224" s="905"/>
      <c r="J224" s="3690"/>
      <c r="K224" s="3690"/>
      <c r="L224" s="3690"/>
      <c r="M224" s="905"/>
      <c r="N224" s="3690"/>
      <c r="O224" s="3110"/>
    </row>
    <row r="225" spans="1:15">
      <c r="A225" s="972">
        <f t="shared" si="0"/>
        <v>2011.12</v>
      </c>
      <c r="B225" s="904"/>
      <c r="C225" s="904"/>
      <c r="D225" s="3690"/>
      <c r="E225" s="905"/>
      <c r="F225" s="3690"/>
      <c r="G225" s="905"/>
      <c r="H225" s="3690"/>
      <c r="I225" s="905"/>
      <c r="J225" s="3690"/>
      <c r="K225" s="3690"/>
      <c r="L225" s="3690"/>
      <c r="M225" s="905"/>
      <c r="N225" s="3690"/>
      <c r="O225" s="3110"/>
    </row>
    <row r="226" spans="1:15">
      <c r="A226" s="972">
        <f t="shared" si="0"/>
        <v>2012.01</v>
      </c>
      <c r="B226" s="904"/>
      <c r="C226" s="904"/>
      <c r="D226" s="3690"/>
      <c r="E226" s="905"/>
      <c r="F226" s="3690"/>
      <c r="G226" s="905"/>
      <c r="H226" s="3690"/>
      <c r="I226" s="905"/>
      <c r="J226" s="3690"/>
      <c r="K226" s="3690"/>
      <c r="L226" s="3690"/>
      <c r="M226" s="905"/>
      <c r="N226" s="3690"/>
      <c r="O226" s="3110"/>
    </row>
    <row r="227" spans="1:15">
      <c r="A227" s="972">
        <f t="shared" si="0"/>
        <v>2012.02</v>
      </c>
      <c r="B227" s="904"/>
      <c r="C227" s="904"/>
      <c r="D227" s="3690"/>
      <c r="E227" s="905"/>
      <c r="F227" s="3690"/>
      <c r="G227" s="905"/>
      <c r="H227" s="3690"/>
      <c r="I227" s="905"/>
      <c r="J227" s="3690"/>
      <c r="K227" s="3690"/>
      <c r="L227" s="3690"/>
      <c r="M227" s="905"/>
      <c r="N227" s="3690"/>
      <c r="O227" s="3110"/>
    </row>
    <row r="228" spans="1:15">
      <c r="A228" s="972">
        <f t="shared" si="0"/>
        <v>2012.03</v>
      </c>
      <c r="B228" s="904"/>
      <c r="C228" s="904"/>
      <c r="D228" s="3690"/>
      <c r="E228" s="905"/>
      <c r="F228" s="3690"/>
      <c r="G228" s="905"/>
      <c r="H228" s="3690"/>
      <c r="I228" s="905"/>
      <c r="J228" s="3690"/>
      <c r="K228" s="3690"/>
      <c r="L228" s="3690"/>
      <c r="M228" s="905"/>
      <c r="N228" s="3690"/>
      <c r="O228" s="3110"/>
    </row>
    <row r="229" spans="1:15">
      <c r="A229" s="972">
        <f t="shared" si="0"/>
        <v>2012.04</v>
      </c>
      <c r="B229" s="904"/>
      <c r="C229" s="904"/>
      <c r="D229" s="3690"/>
      <c r="E229" s="905"/>
      <c r="F229" s="3690"/>
      <c r="G229" s="905"/>
      <c r="H229" s="3690"/>
      <c r="I229" s="905"/>
      <c r="J229" s="3690"/>
      <c r="K229" s="3690"/>
      <c r="L229" s="3690"/>
      <c r="M229" s="905"/>
      <c r="N229" s="3690"/>
      <c r="O229" s="3110"/>
    </row>
    <row r="230" spans="1:15">
      <c r="A230" s="972">
        <f t="shared" si="0"/>
        <v>2012.05</v>
      </c>
      <c r="B230" s="904"/>
      <c r="C230" s="904"/>
      <c r="D230" s="3690"/>
      <c r="E230" s="905"/>
      <c r="F230" s="3690"/>
      <c r="G230" s="905"/>
      <c r="H230" s="3690"/>
      <c r="I230" s="905"/>
      <c r="J230" s="3690"/>
      <c r="K230" s="3690"/>
      <c r="L230" s="3690"/>
      <c r="M230" s="905"/>
      <c r="N230" s="3690"/>
      <c r="O230" s="3110"/>
    </row>
    <row r="231" spans="1:15">
      <c r="A231" s="972">
        <f t="shared" si="0"/>
        <v>2012.06</v>
      </c>
      <c r="B231" s="904"/>
      <c r="C231" s="904"/>
      <c r="D231" s="3690"/>
      <c r="E231" s="905"/>
      <c r="F231" s="3690"/>
      <c r="G231" s="905"/>
      <c r="H231" s="3690"/>
      <c r="I231" s="905"/>
      <c r="J231" s="3690"/>
      <c r="K231" s="3690"/>
      <c r="L231" s="3690"/>
      <c r="M231" s="905"/>
      <c r="N231" s="3690"/>
      <c r="O231" s="3110"/>
    </row>
    <row r="232" spans="1:15">
      <c r="A232" s="972">
        <f t="shared" si="0"/>
        <v>2012.07</v>
      </c>
      <c r="B232" s="909">
        <v>6.4363876898803767</v>
      </c>
      <c r="C232" s="904"/>
      <c r="D232" s="3690"/>
      <c r="E232" s="905"/>
      <c r="F232" s="3690"/>
      <c r="G232" s="905"/>
      <c r="H232" s="3690"/>
      <c r="I232" s="905"/>
      <c r="J232" s="3690"/>
      <c r="K232" s="3690"/>
      <c r="L232" s="3690"/>
      <c r="M232" s="905"/>
      <c r="N232" s="3690"/>
      <c r="O232" s="3110"/>
    </row>
    <row r="233" spans="1:15">
      <c r="A233" s="972">
        <f t="shared" si="0"/>
        <v>2012.08</v>
      </c>
      <c r="B233" s="910">
        <v>6.5850926262096632</v>
      </c>
      <c r="C233" s="904"/>
      <c r="D233" s="3690"/>
      <c r="E233" s="905"/>
      <c r="F233" s="3690"/>
      <c r="G233" s="905"/>
      <c r="H233" s="3690"/>
      <c r="I233" s="905"/>
      <c r="J233" s="3690"/>
      <c r="K233" s="3690"/>
      <c r="L233" s="3690"/>
      <c r="M233" s="905"/>
      <c r="N233" s="3690"/>
      <c r="O233" s="3110"/>
    </row>
    <row r="234" spans="1:15">
      <c r="A234" s="972">
        <f t="shared" si="0"/>
        <v>2012.09</v>
      </c>
      <c r="B234" s="910">
        <v>6.6836528747069801</v>
      </c>
      <c r="C234" s="904"/>
      <c r="D234" s="3690"/>
      <c r="E234" s="905"/>
      <c r="F234" s="3690"/>
      <c r="G234" s="905"/>
      <c r="H234" s="3690"/>
      <c r="I234" s="905"/>
      <c r="J234" s="3690"/>
      <c r="K234" s="3690"/>
      <c r="L234" s="3690"/>
      <c r="M234" s="905"/>
      <c r="N234" s="3690"/>
      <c r="O234" s="3110"/>
    </row>
    <row r="235" spans="1:15">
      <c r="A235" s="972">
        <f t="shared" si="0"/>
        <v>2012.1</v>
      </c>
      <c r="B235" s="910">
        <v>6.7822131232042988</v>
      </c>
      <c r="C235" s="904"/>
      <c r="D235" s="3690"/>
      <c r="E235" s="905"/>
      <c r="F235" s="3690"/>
      <c r="G235" s="905"/>
      <c r="H235" s="3690"/>
      <c r="I235" s="905"/>
      <c r="J235" s="3690"/>
      <c r="K235" s="3690"/>
      <c r="L235" s="3690"/>
      <c r="M235" s="905"/>
      <c r="N235" s="3690"/>
      <c r="O235" s="3110"/>
    </row>
    <row r="236" spans="1:15">
      <c r="A236" s="972">
        <f t="shared" si="0"/>
        <v>2012.11</v>
      </c>
      <c r="B236" s="910">
        <v>6.9228487994226935</v>
      </c>
      <c r="C236" s="904"/>
      <c r="D236" s="3690"/>
      <c r="E236" s="905"/>
      <c r="F236" s="3690"/>
      <c r="G236" s="905"/>
      <c r="H236" s="3690"/>
      <c r="I236" s="905"/>
      <c r="J236" s="3690"/>
      <c r="K236" s="3690"/>
      <c r="L236" s="3690"/>
      <c r="M236" s="905"/>
      <c r="N236" s="3690"/>
      <c r="O236" s="3110"/>
    </row>
    <row r="237" spans="1:15">
      <c r="A237" s="972">
        <f t="shared" si="0"/>
        <v>2012.12</v>
      </c>
      <c r="B237" s="910">
        <v>7.0594498455856423</v>
      </c>
      <c r="C237" s="904"/>
      <c r="D237" s="3690"/>
      <c r="E237" s="905"/>
      <c r="F237" s="3690"/>
      <c r="G237" s="905"/>
      <c r="H237" s="3690"/>
      <c r="I237" s="905"/>
      <c r="J237" s="3690"/>
      <c r="K237" s="3690"/>
      <c r="L237" s="3690"/>
      <c r="M237" s="905"/>
      <c r="N237" s="3690"/>
      <c r="O237" s="3110"/>
    </row>
    <row r="238" spans="1:15">
      <c r="A238" s="972">
        <f t="shared" si="0"/>
        <v>2013.01</v>
      </c>
      <c r="B238" s="910">
        <v>7.2214114235256792</v>
      </c>
      <c r="C238" s="904"/>
      <c r="D238" s="3690"/>
      <c r="E238" s="905"/>
      <c r="F238" s="3690"/>
      <c r="G238" s="905"/>
      <c r="H238" s="3690"/>
      <c r="I238" s="905"/>
      <c r="J238" s="3690"/>
      <c r="K238" s="3690"/>
      <c r="L238" s="3690"/>
      <c r="M238" s="905"/>
      <c r="N238" s="3690"/>
      <c r="O238" s="3110"/>
    </row>
    <row r="239" spans="1:15">
      <c r="A239" s="972">
        <f t="shared" si="0"/>
        <v>2013.02</v>
      </c>
      <c r="B239" s="910">
        <v>7.3003748974679734</v>
      </c>
      <c r="C239" s="904"/>
      <c r="D239" s="3690"/>
      <c r="E239" s="905"/>
      <c r="F239" s="3690"/>
      <c r="G239" s="905"/>
      <c r="H239" s="3690"/>
      <c r="I239" s="905"/>
      <c r="J239" s="3690"/>
      <c r="K239" s="3690"/>
      <c r="L239" s="3690"/>
      <c r="M239" s="905"/>
      <c r="N239" s="3690"/>
      <c r="O239" s="3110"/>
    </row>
    <row r="240" spans="1:15">
      <c r="A240" s="972">
        <f t="shared" si="0"/>
        <v>2013.03</v>
      </c>
      <c r="B240" s="910">
        <v>7.4133445390204544</v>
      </c>
      <c r="C240" s="904"/>
      <c r="D240" s="3690"/>
      <c r="E240" s="905"/>
      <c r="F240" s="3690"/>
      <c r="G240" s="905"/>
      <c r="H240" s="3690"/>
      <c r="I240" s="905"/>
      <c r="J240" s="3690"/>
      <c r="K240" s="3690"/>
      <c r="L240" s="3690"/>
      <c r="M240" s="905"/>
      <c r="N240" s="3690"/>
      <c r="O240" s="3110"/>
    </row>
    <row r="241" spans="1:15">
      <c r="A241" s="972">
        <f t="shared" si="0"/>
        <v>2013.04</v>
      </c>
      <c r="B241" s="910">
        <v>7.56204947534974</v>
      </c>
      <c r="C241" s="904"/>
      <c r="D241" s="3690"/>
      <c r="E241" s="905"/>
      <c r="F241" s="3690"/>
      <c r="G241" s="905"/>
      <c r="H241" s="3690"/>
      <c r="I241" s="905"/>
      <c r="J241" s="3690"/>
      <c r="K241" s="3690"/>
      <c r="L241" s="3690"/>
      <c r="M241" s="905"/>
      <c r="N241" s="3690"/>
      <c r="O241" s="3110"/>
    </row>
    <row r="242" spans="1:15">
      <c r="A242" s="972">
        <f t="shared" ref="A242:A305" si="1">A230+1</f>
        <v>2013.05</v>
      </c>
      <c r="B242" s="910">
        <v>7.6750191169022202</v>
      </c>
      <c r="C242" s="904"/>
      <c r="D242" s="3690"/>
      <c r="E242" s="905"/>
      <c r="F242" s="3690"/>
      <c r="G242" s="905"/>
      <c r="H242" s="3690"/>
      <c r="I242" s="905"/>
      <c r="J242" s="3690"/>
      <c r="K242" s="3690"/>
      <c r="L242" s="3690"/>
      <c r="M242" s="905"/>
      <c r="N242" s="3690"/>
      <c r="O242" s="3110"/>
    </row>
    <row r="243" spans="1:15">
      <c r="A243" s="972">
        <f t="shared" si="1"/>
        <v>2013.06</v>
      </c>
      <c r="B243" s="910">
        <v>7.8196894231760599</v>
      </c>
      <c r="C243" s="904"/>
      <c r="D243" s="3690"/>
      <c r="E243" s="905"/>
      <c r="F243" s="3690"/>
      <c r="G243" s="905"/>
      <c r="H243" s="3690"/>
      <c r="I243" s="905"/>
      <c r="J243" s="3690"/>
      <c r="K243" s="3690"/>
      <c r="L243" s="3690"/>
      <c r="M243" s="905"/>
      <c r="N243" s="3690"/>
      <c r="O243" s="3110"/>
    </row>
    <row r="244" spans="1:15">
      <c r="A244" s="972">
        <f t="shared" si="1"/>
        <v>2013.07</v>
      </c>
      <c r="B244" s="910">
        <v>8.0116225386708368</v>
      </c>
      <c r="C244" s="904"/>
      <c r="D244" s="3690"/>
      <c r="E244" s="905"/>
      <c r="F244" s="3690"/>
      <c r="G244" s="905"/>
      <c r="H244" s="3690"/>
      <c r="I244" s="905"/>
      <c r="J244" s="3690"/>
      <c r="K244" s="3690"/>
      <c r="L244" s="3690"/>
      <c r="M244" s="905"/>
      <c r="N244" s="3690"/>
      <c r="O244" s="3110"/>
    </row>
    <row r="245" spans="1:15">
      <c r="A245" s="972">
        <f t="shared" si="1"/>
        <v>2013.08</v>
      </c>
      <c r="B245" s="910">
        <v>8.1781951223885248</v>
      </c>
      <c r="C245" s="909">
        <v>7.9689543614280423</v>
      </c>
      <c r="D245" s="3691">
        <v>6.144814069520641</v>
      </c>
      <c r="E245" s="3691">
        <v>7.2294783198657706</v>
      </c>
      <c r="F245" s="3691">
        <v>7.6697924609330466</v>
      </c>
      <c r="G245" s="3691">
        <v>9.4130757800891551</v>
      </c>
      <c r="H245" s="3691">
        <v>8.529432977556505</v>
      </c>
      <c r="I245" s="3691">
        <v>8.0867075941584776</v>
      </c>
      <c r="J245" s="3690"/>
      <c r="K245" s="3690"/>
      <c r="L245" s="3691">
        <v>9.7588850664669788</v>
      </c>
      <c r="M245" s="3691">
        <v>9.219724460261995</v>
      </c>
      <c r="N245" s="3690"/>
      <c r="O245" s="3110"/>
    </row>
    <row r="246" spans="1:15">
      <c r="A246" s="972">
        <f t="shared" si="1"/>
        <v>2013.09</v>
      </c>
      <c r="B246" s="910">
        <v>8.3528369662171045</v>
      </c>
      <c r="C246" s="910">
        <v>8.1357073978652892</v>
      </c>
      <c r="D246" s="3692">
        <v>6.144814069520641</v>
      </c>
      <c r="E246" s="3692">
        <v>7.5850780224824996</v>
      </c>
      <c r="F246" s="3692">
        <v>7.7532717201728287</v>
      </c>
      <c r="G246" s="3692">
        <v>9.524238484398218</v>
      </c>
      <c r="H246" s="3692">
        <v>8.9094572191308057</v>
      </c>
      <c r="I246" s="3692">
        <v>8.1504217194892679</v>
      </c>
      <c r="J246" s="3690"/>
      <c r="K246" s="3690"/>
      <c r="L246" s="3692">
        <v>9.6962821285197123</v>
      </c>
      <c r="M246" s="3692">
        <v>9.5074330553352109</v>
      </c>
      <c r="N246" s="3690"/>
      <c r="O246" s="3110"/>
    </row>
    <row r="247" spans="1:15">
      <c r="A247" s="972">
        <f t="shared" si="1"/>
        <v>2013.1</v>
      </c>
      <c r="B247" s="910">
        <v>8.5367008216009914</v>
      </c>
      <c r="C247" s="910">
        <v>8.3587666543982291</v>
      </c>
      <c r="D247" s="3692">
        <v>6.3917986603081935</v>
      </c>
      <c r="E247" s="3692">
        <v>7.9412022084364207</v>
      </c>
      <c r="F247" s="3692">
        <v>7.8080211044794394</v>
      </c>
      <c r="G247" s="3692">
        <v>9.5996471025260046</v>
      </c>
      <c r="H247" s="3692">
        <v>9.1524128881030933</v>
      </c>
      <c r="I247" s="3692">
        <v>8.2634450374673669</v>
      </c>
      <c r="J247" s="3690"/>
      <c r="K247" s="3690"/>
      <c r="L247" s="3692">
        <v>9.7908386493775605</v>
      </c>
      <c r="M247" s="3692">
        <v>9.8808949681624298</v>
      </c>
      <c r="N247" s="3690"/>
      <c r="O247" s="3110"/>
    </row>
    <row r="248" spans="1:15">
      <c r="A248" s="972">
        <f t="shared" si="1"/>
        <v>2013.11</v>
      </c>
      <c r="B248" s="910">
        <v>8.7395850758176898</v>
      </c>
      <c r="C248" s="910">
        <v>8.6175587044534367</v>
      </c>
      <c r="D248" s="3692">
        <v>6.4495939576040007</v>
      </c>
      <c r="E248" s="3692">
        <v>8.1693524601152951</v>
      </c>
      <c r="F248" s="3692">
        <v>7.9717271842873254</v>
      </c>
      <c r="G248" s="3692">
        <v>9.7758172362555751</v>
      </c>
      <c r="H248" s="3692">
        <v>9.1751493811887368</v>
      </c>
      <c r="I248" s="3692">
        <v>8.6292749240405939</v>
      </c>
      <c r="J248" s="3690"/>
      <c r="K248" s="3690"/>
      <c r="L248" s="3692">
        <v>9.8664838660638416</v>
      </c>
      <c r="M248" s="3692">
        <v>10.229500846858054</v>
      </c>
      <c r="N248" s="3690"/>
      <c r="O248" s="3110"/>
    </row>
    <row r="249" spans="1:15">
      <c r="A249" s="972">
        <f t="shared" si="1"/>
        <v>2013.12</v>
      </c>
      <c r="B249" s="910">
        <v>8.9372819485345314</v>
      </c>
      <c r="C249" s="910">
        <v>8.9624343025395596</v>
      </c>
      <c r="D249" s="3692">
        <v>6.5272563883452417</v>
      </c>
      <c r="E249" s="3692">
        <v>8.2653329108215807</v>
      </c>
      <c r="F249" s="3692">
        <v>8.0627954670943609</v>
      </c>
      <c r="G249" s="3692">
        <v>10.047548291233287</v>
      </c>
      <c r="H249" s="3692">
        <v>9.3511947990804209</v>
      </c>
      <c r="I249" s="3692">
        <v>8.952665662784792</v>
      </c>
      <c r="J249" s="3690"/>
      <c r="K249" s="3690"/>
      <c r="L249" s="3692">
        <v>9.863223296379088</v>
      </c>
      <c r="M249" s="3692">
        <v>10.349431211543001</v>
      </c>
      <c r="N249" s="3690"/>
      <c r="O249" s="3110"/>
    </row>
    <row r="250" spans="1:15">
      <c r="A250" s="972">
        <f t="shared" si="1"/>
        <v>2014.01</v>
      </c>
      <c r="B250" s="910">
        <v>9.3661054858561918</v>
      </c>
      <c r="C250" s="910">
        <v>9.2997302171512644</v>
      </c>
      <c r="D250" s="3692">
        <v>6.5778272734790741</v>
      </c>
      <c r="E250" s="3692">
        <v>8.1620096933945963</v>
      </c>
      <c r="F250" s="3692">
        <v>8.2313802049097671</v>
      </c>
      <c r="G250" s="3692">
        <v>10.261422734026748</v>
      </c>
      <c r="H250" s="3692">
        <v>9.78968430858923</v>
      </c>
      <c r="I250" s="3692">
        <v>10.179301084370628</v>
      </c>
      <c r="J250" s="3690"/>
      <c r="K250" s="3690"/>
      <c r="L250" s="3692">
        <v>9.9114797277134397</v>
      </c>
      <c r="M250" s="3692">
        <v>10.778197800313018</v>
      </c>
      <c r="N250" s="3690"/>
      <c r="O250" s="3110"/>
    </row>
    <row r="251" spans="1:15">
      <c r="A251" s="972">
        <f t="shared" si="1"/>
        <v>2014.02</v>
      </c>
      <c r="B251" s="910">
        <v>9.775908624345039</v>
      </c>
      <c r="C251" s="910">
        <v>9.9142259845417673</v>
      </c>
      <c r="D251" s="3692">
        <v>6.9557543347024398</v>
      </c>
      <c r="E251" s="3692">
        <v>8.4258248120025829</v>
      </c>
      <c r="F251" s="3692">
        <v>8.3961704309415452</v>
      </c>
      <c r="G251" s="3692">
        <v>10.945950965824668</v>
      </c>
      <c r="H251" s="3692">
        <v>10.200890026395268</v>
      </c>
      <c r="I251" s="3692">
        <v>10.542748616692357</v>
      </c>
      <c r="J251" s="3690"/>
      <c r="K251" s="3690"/>
      <c r="L251" s="3692">
        <v>10.082333579194518</v>
      </c>
      <c r="M251" s="3692">
        <v>11.179622751538284</v>
      </c>
      <c r="N251" s="3690"/>
      <c r="O251" s="3110"/>
    </row>
    <row r="252" spans="1:15">
      <c r="A252" s="972">
        <f t="shared" si="1"/>
        <v>2014.03</v>
      </c>
      <c r="B252" s="910">
        <v>10.1326851963909</v>
      </c>
      <c r="C252" s="910">
        <v>10.226617224880377</v>
      </c>
      <c r="D252" s="3692">
        <v>7.1196581856272685</v>
      </c>
      <c r="E252" s="3692">
        <v>8.7950610813863257</v>
      </c>
      <c r="F252" s="3692">
        <v>8.5338570013759938</v>
      </c>
      <c r="G252" s="3692">
        <v>11.482262258543837</v>
      </c>
      <c r="H252" s="3692">
        <v>10.488019453362515</v>
      </c>
      <c r="I252" s="3692">
        <v>10.98708538639057</v>
      </c>
      <c r="J252" s="3690"/>
      <c r="K252" s="3690"/>
      <c r="L252" s="3692">
        <v>11.313524692157408</v>
      </c>
      <c r="M252" s="3692">
        <v>11.757525545097876</v>
      </c>
      <c r="N252" s="3690"/>
      <c r="O252" s="3110"/>
    </row>
    <row r="253" spans="1:15">
      <c r="A253" s="972">
        <f t="shared" si="1"/>
        <v>2014.04</v>
      </c>
      <c r="B253" s="910">
        <v>10.449115467882271</v>
      </c>
      <c r="C253" s="910">
        <v>10.393911667280083</v>
      </c>
      <c r="D253" s="3692">
        <v>7.1986751936488798</v>
      </c>
      <c r="E253" s="3692">
        <v>9.7837121719947824</v>
      </c>
      <c r="F253" s="3692">
        <v>9.0585837737403434</v>
      </c>
      <c r="G253" s="3692">
        <v>11.717589153046067</v>
      </c>
      <c r="H253" s="3692">
        <v>10.539988580415413</v>
      </c>
      <c r="I253" s="3692">
        <v>11.330587627304398</v>
      </c>
      <c r="J253" s="3690"/>
      <c r="K253" s="3690"/>
      <c r="L253" s="3692">
        <v>11.411993896636961</v>
      </c>
      <c r="M253" s="3692">
        <v>12.033427523958585</v>
      </c>
      <c r="N253" s="3690"/>
      <c r="O253" s="3110"/>
    </row>
    <row r="254" spans="1:15">
      <c r="A254" s="972">
        <f t="shared" si="1"/>
        <v>2014.05</v>
      </c>
      <c r="B254" s="910">
        <v>10.709637294319624</v>
      </c>
      <c r="C254" s="910">
        <v>10.52655612808244</v>
      </c>
      <c r="D254" s="3692">
        <v>8.1640372687929119</v>
      </c>
      <c r="E254" s="3692">
        <v>10.024450023766285</v>
      </c>
      <c r="F254" s="3692">
        <v>9.6478172464263423</v>
      </c>
      <c r="G254" s="3692">
        <v>12.017923476968802</v>
      </c>
      <c r="H254" s="3692">
        <v>10.667962555783168</v>
      </c>
      <c r="I254" s="3692">
        <v>11.469650631287257</v>
      </c>
      <c r="J254" s="3690"/>
      <c r="K254" s="3690"/>
      <c r="L254" s="3692">
        <v>12.113668492795895</v>
      </c>
      <c r="M254" s="3692">
        <v>12.286959072100855</v>
      </c>
      <c r="N254" s="3690"/>
      <c r="O254" s="3110"/>
    </row>
    <row r="255" spans="1:15">
      <c r="A255" s="972">
        <f t="shared" si="1"/>
        <v>2014.06</v>
      </c>
      <c r="B255" s="910">
        <v>10.959784357757259</v>
      </c>
      <c r="C255" s="910">
        <v>10.71388259109311</v>
      </c>
      <c r="D255" s="3692">
        <v>8.236281390412671</v>
      </c>
      <c r="E255" s="3692">
        <v>10.295083425757777</v>
      </c>
      <c r="F255" s="3692">
        <v>10.177422676798214</v>
      </c>
      <c r="G255" s="3692">
        <v>12.171991084695399</v>
      </c>
      <c r="H255" s="3692">
        <v>11.01680532112573</v>
      </c>
      <c r="I255" s="3692">
        <v>11.763289643681334</v>
      </c>
      <c r="J255" s="3690"/>
      <c r="K255" s="3690"/>
      <c r="L255" s="3692">
        <v>12.199747532473387</v>
      </c>
      <c r="M255" s="3692">
        <v>12.311815106232451</v>
      </c>
      <c r="N255" s="3690"/>
      <c r="O255" s="3110"/>
    </row>
    <row r="256" spans="1:15">
      <c r="A256" s="972">
        <f t="shared" si="1"/>
        <v>2014.07</v>
      </c>
      <c r="B256" s="910">
        <v>11.203591288250623</v>
      </c>
      <c r="C256" s="910">
        <v>10.886591093117403</v>
      </c>
      <c r="D256" s="3692">
        <v>8.3324563773189748</v>
      </c>
      <c r="E256" s="3692">
        <v>10.333895192710047</v>
      </c>
      <c r="F256" s="3692">
        <v>10.438701916756495</v>
      </c>
      <c r="G256" s="3692">
        <v>12.49767830609213</v>
      </c>
      <c r="H256" s="3692">
        <v>11.107101679380134</v>
      </c>
      <c r="I256" s="3692">
        <v>12.21205870035908</v>
      </c>
      <c r="J256" s="3690"/>
      <c r="K256" s="3690"/>
      <c r="L256" s="3692">
        <v>12.465157904812315</v>
      </c>
      <c r="M256" s="3692">
        <v>12.472757927234531</v>
      </c>
      <c r="N256" s="3690"/>
      <c r="O256" s="3110"/>
    </row>
    <row r="257" spans="1:15">
      <c r="A257" s="972">
        <f t="shared" si="1"/>
        <v>2014.08</v>
      </c>
      <c r="B257" s="910">
        <v>11.458349357465911</v>
      </c>
      <c r="C257" s="910">
        <v>11.131847994111146</v>
      </c>
      <c r="D257" s="3692">
        <v>8.6837434186950553</v>
      </c>
      <c r="E257" s="3692">
        <v>10.351727626174602</v>
      </c>
      <c r="F257" s="3692">
        <v>11.21440853995214</v>
      </c>
      <c r="G257" s="3692">
        <v>12.740806092124821</v>
      </c>
      <c r="H257" s="3692">
        <v>11.194799581281899</v>
      </c>
      <c r="I257" s="3692">
        <v>12.377715426219137</v>
      </c>
      <c r="J257" s="3690"/>
      <c r="K257" s="3690"/>
      <c r="L257" s="3692">
        <v>13.056625245626584</v>
      </c>
      <c r="M257" s="3692">
        <v>12.512527581845083</v>
      </c>
      <c r="N257" s="3690"/>
      <c r="O257" s="3110"/>
    </row>
    <row r="258" spans="1:15">
      <c r="A258" s="972">
        <f t="shared" si="1"/>
        <v>2014.09</v>
      </c>
      <c r="B258" s="910">
        <v>11.715989305292233</v>
      </c>
      <c r="C258" s="910">
        <v>11.378729112992263</v>
      </c>
      <c r="D258" s="3692">
        <v>9.1235295090553397</v>
      </c>
      <c r="E258" s="3692">
        <v>10.822189179636558</v>
      </c>
      <c r="F258" s="3692">
        <v>11.351553037274643</v>
      </c>
      <c r="G258" s="3692">
        <v>13.310271173848445</v>
      </c>
      <c r="H258" s="3692">
        <v>11.344860435647135</v>
      </c>
      <c r="I258" s="3692">
        <v>12.732298384581799</v>
      </c>
      <c r="J258" s="3690"/>
      <c r="K258" s="3690"/>
      <c r="L258" s="3692">
        <v>13.145312741051878</v>
      </c>
      <c r="M258" s="3692">
        <v>12.68030581223335</v>
      </c>
      <c r="N258" s="3690"/>
      <c r="O258" s="3110"/>
    </row>
    <row r="259" spans="1:15">
      <c r="A259" s="972">
        <f t="shared" si="1"/>
        <v>2014.1</v>
      </c>
      <c r="B259" s="910">
        <v>11.941928588397193</v>
      </c>
      <c r="C259" s="910">
        <v>11.642393816709598</v>
      </c>
      <c r="D259" s="3692">
        <v>9.3086550707059708</v>
      </c>
      <c r="E259" s="3692">
        <v>11.183033715625214</v>
      </c>
      <c r="F259" s="3692">
        <v>11.515801190194477</v>
      </c>
      <c r="G259" s="3692">
        <v>13.58915304606241</v>
      </c>
      <c r="H259" s="3692">
        <v>11.819078720004809</v>
      </c>
      <c r="I259" s="3692">
        <v>12.858064527626057</v>
      </c>
      <c r="J259" s="3690"/>
      <c r="K259" s="3690"/>
      <c r="L259" s="3692">
        <v>13.281604553874569</v>
      </c>
      <c r="M259" s="3692">
        <v>12.713240057457712</v>
      </c>
      <c r="N259" s="3690"/>
      <c r="O259" s="3110"/>
    </row>
    <row r="260" spans="1:15">
      <c r="A260" s="972">
        <f t="shared" si="1"/>
        <v>2014.11</v>
      </c>
      <c r="B260" s="910">
        <v>12.159798611391263</v>
      </c>
      <c r="C260" s="910">
        <v>11.830803091645191</v>
      </c>
      <c r="D260" s="3692">
        <v>9.402120903051534</v>
      </c>
      <c r="E260" s="3692">
        <v>11.654019752424363</v>
      </c>
      <c r="F260" s="3692">
        <v>11.771117625921345</v>
      </c>
      <c r="G260" s="3692">
        <v>13.760122585438337</v>
      </c>
      <c r="H260" s="3692">
        <v>11.928863500904052</v>
      </c>
      <c r="I260" s="3692">
        <v>12.982168563052989</v>
      </c>
      <c r="J260" s="3690"/>
      <c r="K260" s="3690"/>
      <c r="L260" s="3692">
        <v>13.493541583383541</v>
      </c>
      <c r="M260" s="3692">
        <v>12.748659906095236</v>
      </c>
      <c r="N260" s="3690"/>
      <c r="O260" s="3110"/>
    </row>
    <row r="261" spans="1:15">
      <c r="A261" s="972">
        <f t="shared" si="1"/>
        <v>2014.12</v>
      </c>
      <c r="B261" s="910">
        <v>12.336745958108668</v>
      </c>
      <c r="C261" s="910">
        <v>11.9731928597718</v>
      </c>
      <c r="D261" s="3692">
        <v>9.691548915290694</v>
      </c>
      <c r="E261" s="3692">
        <v>11.802973020187121</v>
      </c>
      <c r="F261" s="3692">
        <v>11.87085907851953</v>
      </c>
      <c r="G261" s="3692">
        <v>13.868034918276377</v>
      </c>
      <c r="H261" s="3692">
        <v>12.186110679815886</v>
      </c>
      <c r="I261" s="3692">
        <v>13.102948383245272</v>
      </c>
      <c r="J261" s="3690"/>
      <c r="K261" s="3690"/>
      <c r="L261" s="3692">
        <v>13.607661522349911</v>
      </c>
      <c r="M261" s="3692">
        <v>13.004677057650667</v>
      </c>
      <c r="N261" s="3690"/>
      <c r="O261" s="3110"/>
    </row>
    <row r="262" spans="1:15">
      <c r="A262" s="972">
        <f t="shared" si="1"/>
        <v>2015.01</v>
      </c>
      <c r="B262" s="910">
        <v>12.578247385713206</v>
      </c>
      <c r="C262" s="910">
        <v>12.236316157526677</v>
      </c>
      <c r="D262" s="3692">
        <v>10.059542409791343</v>
      </c>
      <c r="E262" s="3692">
        <v>11.708041536155221</v>
      </c>
      <c r="F262" s="3692">
        <v>11.976021262237177</v>
      </c>
      <c r="G262" s="3692">
        <v>13.966846210995545</v>
      </c>
      <c r="H262" s="3692">
        <v>12.389439889410342</v>
      </c>
      <c r="I262" s="3692">
        <v>13.138960714953981</v>
      </c>
      <c r="J262" s="3690"/>
      <c r="K262" s="3690"/>
      <c r="L262" s="3692">
        <v>13.761560411470274</v>
      </c>
      <c r="M262" s="3692">
        <v>13.524789571854299</v>
      </c>
      <c r="N262" s="3690"/>
      <c r="O262" s="3110"/>
    </row>
    <row r="263" spans="1:15">
      <c r="A263" s="972">
        <f t="shared" si="1"/>
        <v>2015.02</v>
      </c>
      <c r="B263" s="910">
        <v>12.760958489652678</v>
      </c>
      <c r="C263" s="910">
        <v>12.36950202429149</v>
      </c>
      <c r="D263" s="3692">
        <v>10.37696501915816</v>
      </c>
      <c r="E263" s="3692">
        <v>11.631466968925071</v>
      </c>
      <c r="F263" s="3692">
        <v>12.163578558970714</v>
      </c>
      <c r="G263" s="3692">
        <v>14.215824665676081</v>
      </c>
      <c r="H263" s="3692">
        <v>12.592119484916637</v>
      </c>
      <c r="I263" s="3692">
        <v>13.284672149406139</v>
      </c>
      <c r="J263" s="3690"/>
      <c r="K263" s="3690"/>
      <c r="L263" s="3692">
        <v>14.002842568142027</v>
      </c>
      <c r="M263" s="3692">
        <v>13.817469373753834</v>
      </c>
      <c r="N263" s="3690"/>
      <c r="O263" s="3110"/>
    </row>
    <row r="264" spans="1:15">
      <c r="A264" s="972">
        <f t="shared" si="1"/>
        <v>2015.03</v>
      </c>
      <c r="B264" s="910">
        <v>12.973064755424684</v>
      </c>
      <c r="C264" s="910">
        <v>12.544917556128077</v>
      </c>
      <c r="D264" s="3692">
        <v>10.553511591366446</v>
      </c>
      <c r="E264" s="3692">
        <v>11.869582404010609</v>
      </c>
      <c r="F264" s="3692">
        <v>12.302349275629053</v>
      </c>
      <c r="G264" s="3692">
        <v>14.325687221396734</v>
      </c>
      <c r="H264" s="3692">
        <v>12.972143726490938</v>
      </c>
      <c r="I264" s="3692">
        <v>13.435923942582711</v>
      </c>
      <c r="J264" s="3690"/>
      <c r="K264" s="3690"/>
      <c r="L264" s="3692">
        <v>15.134260248751465</v>
      </c>
      <c r="M264" s="3692">
        <v>14.033716870698711</v>
      </c>
      <c r="N264" s="3690"/>
      <c r="O264" s="3110"/>
    </row>
    <row r="265" spans="1:15">
      <c r="A265" s="972">
        <f t="shared" si="1"/>
        <v>2015.04</v>
      </c>
      <c r="B265" s="910">
        <v>13.280273015360764</v>
      </c>
      <c r="C265" s="910">
        <v>12.776639308060355</v>
      </c>
      <c r="D265" s="3692">
        <v>11.049286875982045</v>
      </c>
      <c r="E265" s="3692">
        <v>12.834631744445391</v>
      </c>
      <c r="F265" s="3692">
        <v>12.455755966309955</v>
      </c>
      <c r="G265" s="3692">
        <v>15.025167161961368</v>
      </c>
      <c r="H265" s="3692">
        <v>13.076731594684892</v>
      </c>
      <c r="I265" s="3692">
        <v>13.606566991294745</v>
      </c>
      <c r="J265" s="3690"/>
      <c r="K265" s="3690"/>
      <c r="L265" s="3692">
        <v>15.811154515306274</v>
      </c>
      <c r="M265" s="3692">
        <v>14.158618442209978</v>
      </c>
      <c r="N265" s="3690"/>
      <c r="O265" s="3110"/>
    </row>
    <row r="266" spans="1:15">
      <c r="A266" s="972">
        <f t="shared" si="1"/>
        <v>2015.05</v>
      </c>
      <c r="B266" s="910">
        <v>13.574224633686097</v>
      </c>
      <c r="C266" s="910">
        <v>13.022979020979015</v>
      </c>
      <c r="D266" s="3692">
        <v>11.1445588113681</v>
      </c>
      <c r="E266" s="3692">
        <v>12.989878812254462</v>
      </c>
      <c r="F266" s="3692">
        <v>12.875862628068601</v>
      </c>
      <c r="G266" s="3692">
        <v>15.350204309063896</v>
      </c>
      <c r="H266" s="3692">
        <v>13.259273153458187</v>
      </c>
      <c r="I266" s="3692">
        <v>14.007134927070064</v>
      </c>
      <c r="J266" s="3690"/>
      <c r="K266" s="3690"/>
      <c r="L266" s="3692">
        <v>16.294370942586731</v>
      </c>
      <c r="M266" s="3692">
        <v>14.326396672598248</v>
      </c>
      <c r="N266" s="3690"/>
      <c r="O266" s="3110"/>
    </row>
    <row r="267" spans="1:15">
      <c r="A267" s="972">
        <f t="shared" si="1"/>
        <v>2015.06</v>
      </c>
      <c r="B267" s="910">
        <v>13.757512113347774</v>
      </c>
      <c r="C267" s="910">
        <v>13.072788369525206</v>
      </c>
      <c r="D267" s="3692">
        <v>11.87693359428841</v>
      </c>
      <c r="E267" s="3692">
        <v>13.286211897768403</v>
      </c>
      <c r="F267" s="3692">
        <v>13.084018703056113</v>
      </c>
      <c r="G267" s="3692">
        <v>15.449665676077268</v>
      </c>
      <c r="H267" s="3692">
        <v>13.522366859163471</v>
      </c>
      <c r="I267" s="3692">
        <v>14.18885869323093</v>
      </c>
      <c r="J267" s="3690"/>
      <c r="K267" s="3690"/>
      <c r="L267" s="3692">
        <v>16.536957327132388</v>
      </c>
      <c r="M267" s="3692">
        <v>14.374244538301568</v>
      </c>
      <c r="N267" s="3690"/>
      <c r="O267" s="3110"/>
    </row>
    <row r="268" spans="1:15">
      <c r="A268" s="972">
        <f t="shared" si="1"/>
        <v>2015.07</v>
      </c>
      <c r="B268" s="910">
        <v>14.038207090062357</v>
      </c>
      <c r="C268" s="910">
        <v>13.372185866764807</v>
      </c>
      <c r="D268" s="3692">
        <v>11.978075364556069</v>
      </c>
      <c r="E268" s="3692">
        <v>13.429395848822043</v>
      </c>
      <c r="F268" s="3692">
        <v>13.513340607717854</v>
      </c>
      <c r="G268" s="3692">
        <v>15.515973254086186</v>
      </c>
      <c r="H268" s="3692">
        <v>13.66853002899974</v>
      </c>
      <c r="I268" s="3692">
        <v>14.43928290757456</v>
      </c>
      <c r="J268" s="3690"/>
      <c r="K268" s="3690"/>
      <c r="L268" s="3692">
        <v>16.794542332227909</v>
      </c>
      <c r="M268" s="3692">
        <v>14.589249233539867</v>
      </c>
      <c r="N268" s="3690"/>
      <c r="O268" s="3110"/>
    </row>
    <row r="269" spans="1:15">
      <c r="A269" s="972">
        <f t="shared" si="1"/>
        <v>2015.08</v>
      </c>
      <c r="B269" s="910">
        <v>14.295270662166473</v>
      </c>
      <c r="C269" s="910">
        <v>13.725182554287811</v>
      </c>
      <c r="D269" s="3692">
        <v>12.105405628910898</v>
      </c>
      <c r="E269" s="3692">
        <v>13.397926848590473</v>
      </c>
      <c r="F269" s="3692">
        <v>13.653737543712035</v>
      </c>
      <c r="G269" s="3692">
        <v>15.917069093610703</v>
      </c>
      <c r="H269" s="3692">
        <v>14.115464521654644</v>
      </c>
      <c r="I269" s="3692">
        <v>14.583332234409394</v>
      </c>
      <c r="J269" s="3690"/>
      <c r="K269" s="3690"/>
      <c r="L269" s="3692">
        <v>17.978781241730346</v>
      </c>
      <c r="M269" s="3692">
        <v>14.74273524430247</v>
      </c>
      <c r="N269" s="3690"/>
      <c r="O269" s="3110"/>
    </row>
    <row r="270" spans="1:15">
      <c r="A270" s="972">
        <f t="shared" si="1"/>
        <v>2015.09</v>
      </c>
      <c r="B270" s="910">
        <v>14.532161083993358</v>
      </c>
      <c r="C270" s="910">
        <v>13.970439455281557</v>
      </c>
      <c r="D270" s="3692">
        <v>12.564155801196366</v>
      </c>
      <c r="E270" s="3692">
        <v>13.85370286861103</v>
      </c>
      <c r="F270" s="3692">
        <v>13.916643003006159</v>
      </c>
      <c r="G270" s="3692">
        <v>16.084138187221402</v>
      </c>
      <c r="H270" s="3692">
        <v>14.310348748103001</v>
      </c>
      <c r="I270" s="3692">
        <v>14.769488287549787</v>
      </c>
      <c r="J270" s="3690"/>
      <c r="K270" s="3690"/>
      <c r="L270" s="3692">
        <v>18.09681386431842</v>
      </c>
      <c r="M270" s="3692">
        <v>14.944690521621682</v>
      </c>
      <c r="N270" s="3690"/>
      <c r="O270" s="3110"/>
    </row>
    <row r="271" spans="1:15">
      <c r="A271" s="972">
        <f t="shared" si="1"/>
        <v>2015.1</v>
      </c>
      <c r="B271" s="910">
        <v>14.779426268819964</v>
      </c>
      <c r="C271" s="910">
        <v>14.059230033124766</v>
      </c>
      <c r="D271" s="3692">
        <v>12.742056950685022</v>
      </c>
      <c r="E271" s="3692">
        <v>14.317870622026673</v>
      </c>
      <c r="F271" s="3692">
        <v>14.239176504614411</v>
      </c>
      <c r="G271" s="3692">
        <v>16.466381872213972</v>
      </c>
      <c r="H271" s="3692">
        <v>14.877461847067726</v>
      </c>
      <c r="I271" s="3692">
        <v>14.905781112170438</v>
      </c>
      <c r="J271" s="3690"/>
      <c r="K271" s="3690"/>
      <c r="L271" s="3692">
        <v>18.186153473680662</v>
      </c>
      <c r="M271" s="3692">
        <v>15.095690928971125</v>
      </c>
      <c r="N271" s="3690"/>
      <c r="O271" s="3110"/>
    </row>
    <row r="272" spans="1:15">
      <c r="A272" s="972">
        <f t="shared" si="1"/>
        <v>2015.11</v>
      </c>
      <c r="B272" s="910">
        <v>15.06819050564544</v>
      </c>
      <c r="C272" s="910">
        <v>14.326684578579313</v>
      </c>
      <c r="D272" s="3692">
        <v>12.92537640929516</v>
      </c>
      <c r="E272" s="3692">
        <v>14.715428991618825</v>
      </c>
      <c r="F272" s="3692">
        <v>14.433238678691309</v>
      </c>
      <c r="G272" s="3692">
        <v>17.088502971768207</v>
      </c>
      <c r="H272" s="3692">
        <v>15.267230299964444</v>
      </c>
      <c r="I272" s="3692">
        <v>15.110220349101411</v>
      </c>
      <c r="J272" s="3690"/>
      <c r="K272" s="3690"/>
      <c r="L272" s="3692">
        <v>18.200499980293579</v>
      </c>
      <c r="M272" s="3692">
        <v>15.220592500482391</v>
      </c>
      <c r="N272" s="3690"/>
      <c r="O272" s="3110"/>
    </row>
    <row r="273" spans="1:15">
      <c r="A273" s="972">
        <f t="shared" si="1"/>
        <v>2015.12</v>
      </c>
      <c r="B273" s="910">
        <v>15.658399245184933</v>
      </c>
      <c r="C273" s="910">
        <v>15.030512329775485</v>
      </c>
      <c r="D273" s="3692">
        <v>13.09740772390221</v>
      </c>
      <c r="E273" s="3692">
        <v>15.251450962229884</v>
      </c>
      <c r="F273" s="3692">
        <v>14.563336225558507</v>
      </c>
      <c r="G273" s="3692">
        <v>17.9238484398217</v>
      </c>
      <c r="H273" s="3692">
        <v>16.292321331082814</v>
      </c>
      <c r="I273" s="3692">
        <v>15.56674590799334</v>
      </c>
      <c r="J273" s="3690"/>
      <c r="K273" s="3690"/>
      <c r="L273" s="3692">
        <v>18.200499980293579</v>
      </c>
      <c r="M273" s="3692">
        <v>15.97062333040328</v>
      </c>
      <c r="N273" s="3690"/>
      <c r="O273" s="3110"/>
    </row>
    <row r="274" spans="1:15">
      <c r="A274" s="972">
        <f t="shared" si="1"/>
        <v>2016.01</v>
      </c>
      <c r="B274" s="910">
        <v>16.306245556945079</v>
      </c>
      <c r="C274" s="910">
        <v>15.734881486934116</v>
      </c>
      <c r="D274" s="3692">
        <v>13.247765802023334</v>
      </c>
      <c r="E274" s="3692">
        <v>15.612819981555731</v>
      </c>
      <c r="F274" s="3692">
        <v>14.859850217793317</v>
      </c>
      <c r="G274" s="3692">
        <v>18.699387072808324</v>
      </c>
      <c r="H274" s="3692">
        <v>16.567757704463162</v>
      </c>
      <c r="I274" s="3692">
        <v>16.227156667943795</v>
      </c>
      <c r="J274" s="3690"/>
      <c r="K274" s="3690"/>
      <c r="L274" s="3692">
        <v>18.233757791078062</v>
      </c>
      <c r="M274" s="3692">
        <v>17.563273717385247</v>
      </c>
      <c r="N274" s="3690"/>
      <c r="O274" s="3110"/>
    </row>
    <row r="275" spans="1:15">
      <c r="A275" s="972">
        <f t="shared" si="1"/>
        <v>2016.02</v>
      </c>
      <c r="B275" s="910">
        <v>16.953515492983016</v>
      </c>
      <c r="C275" s="910">
        <v>16.325555391976444</v>
      </c>
      <c r="D275" s="3692">
        <v>13.74715329271992</v>
      </c>
      <c r="E275" s="3692">
        <v>15.697261798843774</v>
      </c>
      <c r="F275" s="3692">
        <v>16.638392098090254</v>
      </c>
      <c r="G275" s="3692">
        <v>19.543833580980689</v>
      </c>
      <c r="H275" s="3692">
        <v>17.1296738907226</v>
      </c>
      <c r="I275" s="3692">
        <v>16.540186935873336</v>
      </c>
      <c r="J275" s="3690"/>
      <c r="K275" s="3690"/>
      <c r="L275" s="3692">
        <v>18.304838210205684</v>
      </c>
      <c r="M275" s="3692">
        <v>18.089600240121779</v>
      </c>
      <c r="N275" s="3690"/>
      <c r="O275" s="3110"/>
    </row>
    <row r="276" spans="1:15">
      <c r="A276" s="972">
        <f t="shared" si="1"/>
        <v>2016.03</v>
      </c>
      <c r="B276" s="910">
        <v>17.516058197856594</v>
      </c>
      <c r="C276" s="910">
        <v>16.905942583732056</v>
      </c>
      <c r="D276" s="3692">
        <v>14.139529178267237</v>
      </c>
      <c r="E276" s="3692">
        <v>16.15146436885275</v>
      </c>
      <c r="F276" s="3692">
        <v>17.375069457225738</v>
      </c>
      <c r="G276" s="3692">
        <v>19.991084695393763</v>
      </c>
      <c r="H276" s="3692">
        <v>17.536981923999669</v>
      </c>
      <c r="I276" s="3692">
        <v>17.245474601491566</v>
      </c>
      <c r="J276" s="3690"/>
      <c r="K276" s="3690"/>
      <c r="L276" s="3692">
        <v>20.139886828784906</v>
      </c>
      <c r="M276" s="3692">
        <v>18.538873057050363</v>
      </c>
      <c r="N276" s="3690"/>
      <c r="O276" s="3110"/>
    </row>
    <row r="277" spans="1:15">
      <c r="A277" s="972">
        <f t="shared" si="1"/>
        <v>2016.04</v>
      </c>
      <c r="B277" s="910">
        <v>18.662469509325394</v>
      </c>
      <c r="C277" s="910">
        <v>17.205340080971659</v>
      </c>
      <c r="D277" s="3692">
        <v>14.399608016098371</v>
      </c>
      <c r="E277" s="3692">
        <v>17.488372395357239</v>
      </c>
      <c r="F277" s="3692">
        <v>21.130551976792081</v>
      </c>
      <c r="G277" s="3692">
        <v>20.548198365527494</v>
      </c>
      <c r="H277" s="3692">
        <v>17.945589185453063</v>
      </c>
      <c r="I277" s="3692">
        <v>19.576857552726075</v>
      </c>
      <c r="J277" s="3690"/>
      <c r="K277" s="3690"/>
      <c r="L277" s="3692">
        <v>21.418682259145196</v>
      </c>
      <c r="M277" s="3692">
        <v>18.757606157408404</v>
      </c>
      <c r="N277" s="3690"/>
      <c r="O277" s="3110"/>
    </row>
    <row r="278" spans="1:15">
      <c r="A278" s="972">
        <f t="shared" si="1"/>
        <v>2016.05</v>
      </c>
      <c r="B278" s="910">
        <v>19.601961936522045</v>
      </c>
      <c r="C278" s="910">
        <v>17.866938167096063</v>
      </c>
      <c r="D278" s="3692">
        <v>19.329366265126684</v>
      </c>
      <c r="E278" s="3692">
        <v>18.219502167404023</v>
      </c>
      <c r="F278" s="3692">
        <v>22.984442019649595</v>
      </c>
      <c r="G278" s="3692">
        <v>21.195022288261523</v>
      </c>
      <c r="H278" s="3692">
        <v>18.360042973699908</v>
      </c>
      <c r="I278" s="3692">
        <v>20.590743199294312</v>
      </c>
      <c r="J278" s="3690"/>
      <c r="K278" s="3690"/>
      <c r="L278" s="3692">
        <v>23.022230430106926</v>
      </c>
      <c r="M278" s="3692">
        <v>19.25845524516005</v>
      </c>
      <c r="N278" s="3690"/>
      <c r="O278" s="3110"/>
    </row>
    <row r="279" spans="1:15">
      <c r="A279" s="972">
        <f t="shared" si="1"/>
        <v>2016.06</v>
      </c>
      <c r="B279" s="910">
        <v>20.233669728060409</v>
      </c>
      <c r="C279" s="910">
        <v>18.395891792418105</v>
      </c>
      <c r="D279" s="3692">
        <v>19.933507732171922</v>
      </c>
      <c r="E279" s="3692">
        <v>18.498002819453408</v>
      </c>
      <c r="F279" s="3692">
        <v>23.956921182481874</v>
      </c>
      <c r="G279" s="3692">
        <v>21.729383358098072</v>
      </c>
      <c r="H279" s="3692">
        <v>19.966538613722552</v>
      </c>
      <c r="I279" s="3692">
        <v>20.720387593445661</v>
      </c>
      <c r="J279" s="3690"/>
      <c r="K279" s="3690"/>
      <c r="L279" s="3692">
        <v>23.127220773955983</v>
      </c>
      <c r="M279" s="3692">
        <v>19.833872435306478</v>
      </c>
      <c r="N279" s="3690"/>
      <c r="O279" s="3110"/>
    </row>
    <row r="280" spans="1:15">
      <c r="A280" s="972">
        <f t="shared" si="1"/>
        <v>2016.07</v>
      </c>
      <c r="B280" s="910">
        <v>20.669986149770754</v>
      </c>
      <c r="C280" s="910">
        <v>18.949208686050788</v>
      </c>
      <c r="D280" s="3692">
        <v>20.267636794663304</v>
      </c>
      <c r="E280" s="3692">
        <v>18.319154001470658</v>
      </c>
      <c r="F280" s="3692">
        <v>24.238799200694132</v>
      </c>
      <c r="G280" s="3692">
        <v>22.036218424962858</v>
      </c>
      <c r="H280" s="3692">
        <v>22.020618360488257</v>
      </c>
      <c r="I280" s="3692">
        <v>20.853356202831659</v>
      </c>
      <c r="J280" s="3690"/>
      <c r="K280" s="3690"/>
      <c r="L280" s="3692">
        <v>24.216251048663629</v>
      </c>
      <c r="M280" s="3692">
        <v>20.774673327187362</v>
      </c>
      <c r="N280" s="3690"/>
      <c r="O280" s="3110"/>
    </row>
    <row r="281" spans="1:15">
      <c r="A281" s="972">
        <f t="shared" si="1"/>
        <v>2016.08</v>
      </c>
      <c r="B281" s="910">
        <v>20.513211953330575</v>
      </c>
      <c r="C281" s="910">
        <v>19.125165623849831</v>
      </c>
      <c r="D281" s="3692">
        <v>20.617117732998889</v>
      </c>
      <c r="E281" s="3692">
        <v>18.468631752570612</v>
      </c>
      <c r="F281" s="3692">
        <v>21.93824091359258</v>
      </c>
      <c r="G281" s="3692">
        <v>22.223439821693912</v>
      </c>
      <c r="H281" s="3692">
        <v>20.926668236024799</v>
      </c>
      <c r="I281" s="3692">
        <v>21.006270103625557</v>
      </c>
      <c r="J281" s="3690"/>
      <c r="K281" s="3690"/>
      <c r="L281" s="3692">
        <v>23.710210633589895</v>
      </c>
      <c r="M281" s="3692">
        <v>20.871611860300582</v>
      </c>
      <c r="N281" s="3690"/>
      <c r="O281" s="3110"/>
    </row>
    <row r="282" spans="1:15">
      <c r="A282" s="972">
        <f t="shared" si="1"/>
        <v>2016.09</v>
      </c>
      <c r="B282" s="910">
        <v>20.788719548545298</v>
      </c>
      <c r="C282" s="910">
        <v>19.505232609495764</v>
      </c>
      <c r="D282" s="3692">
        <v>21.425800369380067</v>
      </c>
      <c r="E282" s="3692">
        <v>18.978954039659222</v>
      </c>
      <c r="F282" s="3692">
        <v>22.113872601863292</v>
      </c>
      <c r="G282" s="3692">
        <v>22.513372956909365</v>
      </c>
      <c r="H282" s="3692">
        <v>21.161828535939151</v>
      </c>
      <c r="I282" s="3692">
        <v>21.119293421603654</v>
      </c>
      <c r="J282" s="3690"/>
      <c r="K282" s="3690"/>
      <c r="L282" s="3692">
        <v>23.899323675305599</v>
      </c>
      <c r="M282" s="3692">
        <v>21.065488926527028</v>
      </c>
      <c r="N282" s="3690"/>
      <c r="O282" s="3110"/>
    </row>
    <row r="283" spans="1:15">
      <c r="A283" s="972">
        <f t="shared" si="1"/>
        <v>2016.1</v>
      </c>
      <c r="B283" s="910">
        <v>21.391608553973334</v>
      </c>
      <c r="C283" s="910">
        <v>19.865808980493192</v>
      </c>
      <c r="D283" s="3692">
        <v>21.823143038288741</v>
      </c>
      <c r="E283" s="3692">
        <v>19.863757429503501</v>
      </c>
      <c r="F283" s="3692">
        <v>24.007333981892913</v>
      </c>
      <c r="G283" s="3692">
        <v>22.721396731054977</v>
      </c>
      <c r="H283" s="3692">
        <v>22.175226513470619</v>
      </c>
      <c r="I283" s="3692">
        <v>21.319854407427535</v>
      </c>
      <c r="J283" s="3690"/>
      <c r="K283" s="3690"/>
      <c r="L283" s="3692">
        <v>24.032354918443534</v>
      </c>
      <c r="M283" s="3692">
        <v>21.355061724160112</v>
      </c>
      <c r="N283" s="3690"/>
      <c r="O283" s="3110"/>
    </row>
    <row r="284" spans="1:15">
      <c r="A284" s="972">
        <f t="shared" si="1"/>
        <v>2016.11</v>
      </c>
      <c r="B284" s="910">
        <v>21.815244709795138</v>
      </c>
      <c r="C284" s="910">
        <v>20.067211998527785</v>
      </c>
      <c r="D284" s="3692">
        <v>22.746061691981165</v>
      </c>
      <c r="E284" s="3692">
        <v>20.420234250265079</v>
      </c>
      <c r="F284" s="3692">
        <v>24.731543659453628</v>
      </c>
      <c r="G284" s="3692">
        <v>23.087388558692421</v>
      </c>
      <c r="H284" s="3692">
        <v>22.302550874750214</v>
      </c>
      <c r="I284" s="3692">
        <v>21.893835571277098</v>
      </c>
      <c r="J284" s="3690"/>
      <c r="K284" s="3690"/>
      <c r="L284" s="3692">
        <v>24.103435337571163</v>
      </c>
      <c r="M284" s="3692">
        <v>21.710503012241926</v>
      </c>
      <c r="N284" s="3690"/>
      <c r="O284" s="3110"/>
    </row>
    <row r="285" spans="1:15">
      <c r="A285" s="972">
        <f t="shared" si="1"/>
        <v>2016.12</v>
      </c>
      <c r="B285" s="910">
        <v>22.08614129923221</v>
      </c>
      <c r="C285" s="910">
        <v>20.13218071402282</v>
      </c>
      <c r="D285" s="3692">
        <v>23.093285001516133</v>
      </c>
      <c r="E285" s="3692">
        <v>20.649433468618341</v>
      </c>
      <c r="F285" s="3692">
        <v>24.938073515105302</v>
      </c>
      <c r="G285" s="3692">
        <v>23.307763744427934</v>
      </c>
      <c r="H285" s="3692">
        <v>22.445465974145677</v>
      </c>
      <c r="I285" s="3692">
        <v>22.116003956126203</v>
      </c>
      <c r="J285" s="3690"/>
      <c r="K285" s="3690"/>
      <c r="L285" s="3692">
        <v>24.109304363003716</v>
      </c>
      <c r="M285" s="3692">
        <v>22.351167291983796</v>
      </c>
      <c r="N285" s="3690"/>
      <c r="O285" s="3110"/>
    </row>
    <row r="286" spans="1:15">
      <c r="A286" s="972">
        <f t="shared" si="1"/>
        <v>2017.01</v>
      </c>
      <c r="B286" s="910">
        <v>22.50343732210974</v>
      </c>
      <c r="C286" s="910">
        <v>20.46622819285977</v>
      </c>
      <c r="D286" s="3692">
        <v>23.342075695344178</v>
      </c>
      <c r="E286" s="3692">
        <v>20.383520416661582</v>
      </c>
      <c r="F286" s="3692">
        <v>25.545737473597491</v>
      </c>
      <c r="G286" s="3692">
        <v>23.924684249628527</v>
      </c>
      <c r="H286" s="3692">
        <v>22.671531676825772</v>
      </c>
      <c r="I286" s="3692">
        <v>22.436790726269923</v>
      </c>
      <c r="J286" s="3690"/>
      <c r="K286" s="3690"/>
      <c r="L286" s="3692">
        <v>24.109304363003716</v>
      </c>
      <c r="M286" s="3692">
        <v>23.122325750916545</v>
      </c>
      <c r="N286" s="3690"/>
      <c r="O286" s="3110"/>
    </row>
    <row r="287" spans="1:15">
      <c r="A287" s="972">
        <f t="shared" si="1"/>
        <v>2017.02</v>
      </c>
      <c r="B287" s="910">
        <v>22.988169304485435</v>
      </c>
      <c r="C287" s="910">
        <v>20.911263894000733</v>
      </c>
      <c r="D287" s="3692">
        <v>24.230678391267215</v>
      </c>
      <c r="E287" s="3692">
        <v>20.207294015364795</v>
      </c>
      <c r="F287" s="3692">
        <v>26.861348916291995</v>
      </c>
      <c r="G287" s="3692">
        <v>24.122306835066865</v>
      </c>
      <c r="H287" s="3692">
        <v>23.561502977606608</v>
      </c>
      <c r="I287" s="3692">
        <v>22.71990305708761</v>
      </c>
      <c r="J287" s="3690"/>
      <c r="K287" s="3690"/>
      <c r="L287" s="3692">
        <v>24.109304363003716</v>
      </c>
      <c r="M287" s="3692">
        <v>23.314338614583118</v>
      </c>
      <c r="N287" s="3690"/>
      <c r="O287" s="3110"/>
    </row>
    <row r="288" spans="1:15">
      <c r="A288" s="972">
        <f t="shared" si="1"/>
        <v>2017.03</v>
      </c>
      <c r="B288" s="910">
        <v>23.652154136467363</v>
      </c>
      <c r="C288" s="910">
        <v>21.414230033124763</v>
      </c>
      <c r="D288" s="3692">
        <v>24.780185241337506</v>
      </c>
      <c r="E288" s="3692">
        <v>20.63632138518852</v>
      </c>
      <c r="F288" s="3692">
        <v>28.813354192411854</v>
      </c>
      <c r="G288" s="3692">
        <v>24.656667904903422</v>
      </c>
      <c r="H288" s="3692">
        <v>23.751190291349676</v>
      </c>
      <c r="I288" s="3692">
        <v>22.889992069927203</v>
      </c>
      <c r="J288" s="3690"/>
      <c r="K288" s="3690"/>
      <c r="L288" s="3692">
        <v>27.727884599143056</v>
      </c>
      <c r="M288" s="3692">
        <v>23.585269386617508</v>
      </c>
      <c r="N288" s="3690"/>
      <c r="O288" s="3110"/>
    </row>
    <row r="289" spans="1:15">
      <c r="A289" s="972">
        <f t="shared" si="1"/>
        <v>2017.04</v>
      </c>
      <c r="B289" s="910">
        <v>24.152448263342635</v>
      </c>
      <c r="C289" s="910">
        <v>21.741239234449758</v>
      </c>
      <c r="D289" s="3692">
        <v>25.410063676709782</v>
      </c>
      <c r="E289" s="3692">
        <v>21.559936541985067</v>
      </c>
      <c r="F289" s="3692">
        <v>29.982063821768818</v>
      </c>
      <c r="G289" s="3692">
        <v>25.177377414561668</v>
      </c>
      <c r="H289" s="3692">
        <v>24.032473191523476</v>
      </c>
      <c r="I289" s="3692">
        <v>23.002461352032864</v>
      </c>
      <c r="J289" s="3690"/>
      <c r="K289" s="3690"/>
      <c r="L289" s="3692">
        <v>28.016118959275257</v>
      </c>
      <c r="M289" s="3692">
        <v>26.696623459039948</v>
      </c>
      <c r="N289" s="3690"/>
      <c r="O289" s="3110"/>
    </row>
    <row r="290" spans="1:15">
      <c r="A290" s="972">
        <f t="shared" si="1"/>
        <v>2017.05</v>
      </c>
      <c r="B290" s="910">
        <v>24.589341060775183</v>
      </c>
      <c r="C290" s="910">
        <v>22.081783584836213</v>
      </c>
      <c r="D290" s="3692">
        <v>26.091416048736139</v>
      </c>
      <c r="E290" s="3692">
        <v>22.274282847241683</v>
      </c>
      <c r="F290" s="3692">
        <v>30.627672898097266</v>
      </c>
      <c r="G290" s="3692">
        <v>25.736441307578009</v>
      </c>
      <c r="H290" s="3692">
        <v>24.409898976745129</v>
      </c>
      <c r="I290" s="3692">
        <v>23.159807539806295</v>
      </c>
      <c r="J290" s="3690"/>
      <c r="K290" s="3690"/>
      <c r="L290" s="3692">
        <v>28.267182825001274</v>
      </c>
      <c r="M290" s="3692">
        <v>24.222205261239633</v>
      </c>
      <c r="N290" s="3690"/>
      <c r="O290" s="3110"/>
    </row>
    <row r="291" spans="1:15">
      <c r="A291" s="972">
        <f t="shared" si="1"/>
        <v>2017.06</v>
      </c>
      <c r="B291" s="910">
        <v>24.965138031653844</v>
      </c>
      <c r="C291" s="910">
        <v>22.331371733529629</v>
      </c>
      <c r="D291" s="3692">
        <v>26.395744411059376</v>
      </c>
      <c r="E291" s="3692">
        <v>22.48040479875846</v>
      </c>
      <c r="F291" s="3692">
        <v>31.519925240361445</v>
      </c>
      <c r="G291" s="3692">
        <v>25.868406389301636</v>
      </c>
      <c r="H291" s="3692">
        <v>24.731457950384922</v>
      </c>
      <c r="I291" s="3692">
        <v>23.297762472044269</v>
      </c>
      <c r="J291" s="3690"/>
      <c r="K291" s="3690"/>
      <c r="L291" s="3692">
        <v>29.090150613433035</v>
      </c>
      <c r="M291" s="3692">
        <v>24.711247732778773</v>
      </c>
      <c r="N291" s="3690"/>
      <c r="O291" s="3110"/>
    </row>
    <row r="292" spans="1:15">
      <c r="A292" s="972">
        <f t="shared" si="1"/>
        <v>2017.07</v>
      </c>
      <c r="B292" s="910">
        <v>25.405489083419635</v>
      </c>
      <c r="C292" s="910">
        <v>22.60803018034597</v>
      </c>
      <c r="D292" s="3692">
        <v>27.105542905973504</v>
      </c>
      <c r="E292" s="3692">
        <v>22.185120679918906</v>
      </c>
      <c r="F292" s="3692">
        <v>31.722118511117543</v>
      </c>
      <c r="G292" s="3692">
        <v>26.664097325408619</v>
      </c>
      <c r="H292" s="3692">
        <v>25.567511281848383</v>
      </c>
      <c r="I292" s="3692">
        <v>24.011360675749124</v>
      </c>
      <c r="J292" s="3690"/>
      <c r="K292" s="3690"/>
      <c r="L292" s="3692">
        <v>29.093411183117791</v>
      </c>
      <c r="M292" s="3692">
        <v>25.517204639495748</v>
      </c>
      <c r="N292" s="3690"/>
      <c r="O292" s="3110"/>
    </row>
    <row r="293" spans="1:15">
      <c r="A293" s="972">
        <f t="shared" si="1"/>
        <v>2017.08</v>
      </c>
      <c r="B293" s="910">
        <v>25.818174100519514</v>
      </c>
      <c r="C293" s="910">
        <v>23.12074162679426</v>
      </c>
      <c r="D293" s="3692">
        <v>27.439671968464893</v>
      </c>
      <c r="E293" s="3692">
        <v>22.008894278622119</v>
      </c>
      <c r="F293" s="3692">
        <v>32.476684282947268</v>
      </c>
      <c r="G293" s="3692">
        <v>26.891623328380383</v>
      </c>
      <c r="H293" s="3692">
        <v>26.357442013052403</v>
      </c>
      <c r="I293" s="3692">
        <v>24.45403533783001</v>
      </c>
      <c r="J293" s="3690"/>
      <c r="K293" s="3690"/>
      <c r="L293" s="3692">
        <v>29.707702511725337</v>
      </c>
      <c r="M293" s="3692">
        <v>25.705489098042584</v>
      </c>
      <c r="N293" s="3690"/>
      <c r="O293" s="3110"/>
    </row>
    <row r="294" spans="1:15">
      <c r="A294" s="972">
        <f t="shared" si="1"/>
        <v>2017.09</v>
      </c>
      <c r="B294" s="910">
        <v>26.227400863286153</v>
      </c>
      <c r="C294" s="910">
        <v>23.523547662863454</v>
      </c>
      <c r="D294" s="3692">
        <v>27.655501281803922</v>
      </c>
      <c r="E294" s="3692">
        <v>22.779360300958363</v>
      </c>
      <c r="F294" s="3692">
        <v>33.084348241439457</v>
      </c>
      <c r="G294" s="3692">
        <v>27.185456909361065</v>
      </c>
      <c r="H294" s="3692">
        <v>27.077864036823172</v>
      </c>
      <c r="I294" s="3692">
        <v>24.503344530477317</v>
      </c>
      <c r="J294" s="3690"/>
      <c r="K294" s="3690"/>
      <c r="L294" s="3692">
        <v>29.752046259437986</v>
      </c>
      <c r="M294" s="3692">
        <v>25.957156443624989</v>
      </c>
      <c r="N294" s="3690"/>
      <c r="O294" s="3110"/>
    </row>
    <row r="295" spans="1:15">
      <c r="A295" s="972">
        <f t="shared" si="1"/>
        <v>2017.1</v>
      </c>
      <c r="B295" s="910">
        <v>26.629711117386311</v>
      </c>
      <c r="C295" s="910">
        <v>23.886289657710709</v>
      </c>
      <c r="D295" s="3692">
        <v>28.454250351462381</v>
      </c>
      <c r="E295" s="3692">
        <v>23.469580372704112</v>
      </c>
      <c r="F295" s="3692">
        <v>33.351048212517199</v>
      </c>
      <c r="G295" s="3692">
        <v>27.427284546805346</v>
      </c>
      <c r="H295" s="3692">
        <v>27.270799421007048</v>
      </c>
      <c r="I295" s="3692">
        <v>24.762633318780018</v>
      </c>
      <c r="J295" s="3690"/>
      <c r="K295" s="3690"/>
      <c r="L295" s="3692">
        <v>30.656528289988586</v>
      </c>
      <c r="M295" s="3692">
        <v>26.247350642111364</v>
      </c>
      <c r="N295" s="3690"/>
      <c r="O295" s="3110"/>
    </row>
    <row r="296" spans="1:15">
      <c r="A296" s="972">
        <f t="shared" si="1"/>
        <v>2017.11</v>
      </c>
      <c r="B296" s="910">
        <v>26.966314539154926</v>
      </c>
      <c r="C296" s="910">
        <v>24.234413691571586</v>
      </c>
      <c r="D296" s="3692">
        <v>28.696719684648698</v>
      </c>
      <c r="E296" s="3692">
        <v>23.792662108414884</v>
      </c>
      <c r="F296" s="3692">
        <v>33.630215865169717</v>
      </c>
      <c r="G296" s="3692">
        <v>27.716567607726592</v>
      </c>
      <c r="H296" s="3692">
        <v>27.479325543306793</v>
      </c>
      <c r="I296" s="3692">
        <v>25.211956411330206</v>
      </c>
      <c r="J296" s="3690"/>
      <c r="K296" s="3690"/>
      <c r="L296" s="3692">
        <v>30.645442353060425</v>
      </c>
      <c r="M296" s="3692">
        <v>26.709051476105749</v>
      </c>
      <c r="N296" s="3690"/>
      <c r="O296" s="3110"/>
    </row>
    <row r="297" spans="1:15">
      <c r="A297" s="972">
        <f t="shared" si="1"/>
        <v>2017.12</v>
      </c>
      <c r="B297" s="910">
        <v>27.856238654241817</v>
      </c>
      <c r="C297" s="910">
        <v>24.347026131762973</v>
      </c>
      <c r="D297" s="3692">
        <v>28.965377511922178</v>
      </c>
      <c r="E297" s="3692">
        <v>23.958923326305005</v>
      </c>
      <c r="F297" s="3692">
        <v>37.578134339477117</v>
      </c>
      <c r="G297" s="3692">
        <v>28.250928677563145</v>
      </c>
      <c r="H297" s="3692">
        <v>28.445301692402495</v>
      </c>
      <c r="I297" s="3692">
        <v>25.756019638067915</v>
      </c>
      <c r="J297" s="3690"/>
      <c r="K297" s="3690"/>
      <c r="L297" s="3692">
        <v>30.663701543295044</v>
      </c>
      <c r="M297" s="3692">
        <v>27.418069849709507</v>
      </c>
      <c r="N297" s="3690"/>
      <c r="O297" s="3110"/>
    </row>
    <row r="298" spans="1:15">
      <c r="A298" s="972">
        <f t="shared" si="1"/>
        <v>2018.01</v>
      </c>
      <c r="B298" s="910">
        <v>28.306388093285118</v>
      </c>
      <c r="C298" s="910">
        <v>24.787730585204265</v>
      </c>
      <c r="D298" s="3692">
        <v>29.610607823138647</v>
      </c>
      <c r="E298" s="3692">
        <v>23.355767488533267</v>
      </c>
      <c r="F298" s="3692">
        <v>38.427020832785558</v>
      </c>
      <c r="G298" s="3692">
        <v>28.527860326894498</v>
      </c>
      <c r="H298" s="3692">
        <v>28.628492865263951</v>
      </c>
      <c r="I298" s="3692">
        <v>26.121129278006972</v>
      </c>
      <c r="J298" s="3690"/>
      <c r="K298" s="3690"/>
      <c r="L298" s="3692">
        <v>30.663701543295044</v>
      </c>
      <c r="M298" s="3692">
        <v>28.379376969748954</v>
      </c>
      <c r="N298" s="3690"/>
      <c r="O298" s="3110"/>
    </row>
    <row r="299" spans="1:15">
      <c r="A299" s="972">
        <f t="shared" si="1"/>
        <v>2018.02</v>
      </c>
      <c r="B299" s="910">
        <v>29.040114387654036</v>
      </c>
      <c r="C299" s="910">
        <v>25.278244387191751</v>
      </c>
      <c r="D299" s="3692">
        <v>30.185400115775856</v>
      </c>
      <c r="E299" s="3692">
        <v>22.978663969091631</v>
      </c>
      <c r="F299" s="3692">
        <v>39.906880428399894</v>
      </c>
      <c r="G299" s="3692">
        <v>29.454216196136695</v>
      </c>
      <c r="H299" s="3692">
        <v>29.36580485532691</v>
      </c>
      <c r="I299" s="3692">
        <v>27.52505617877414</v>
      </c>
      <c r="J299" s="3690"/>
      <c r="K299" s="3690"/>
      <c r="L299" s="3692">
        <v>31.266906934974426</v>
      </c>
      <c r="M299" s="3692">
        <v>28.872769247261122</v>
      </c>
      <c r="N299" s="3690"/>
      <c r="O299" s="3110"/>
    </row>
    <row r="300" spans="1:15">
      <c r="A300" s="972">
        <f t="shared" si="1"/>
        <v>2018.03</v>
      </c>
      <c r="B300" s="910">
        <v>29.659141913303856</v>
      </c>
      <c r="C300" s="910">
        <v>25.877580787633416</v>
      </c>
      <c r="D300" s="3692">
        <v>30.49740441602119</v>
      </c>
      <c r="E300" s="3692">
        <v>23.991965776548152</v>
      </c>
      <c r="F300" s="3692">
        <v>40.660904127117675</v>
      </c>
      <c r="G300" s="3692">
        <v>29.931370728083206</v>
      </c>
      <c r="H300" s="3692">
        <v>29.61590627926897</v>
      </c>
      <c r="I300" s="3692">
        <v>28.137819853694616</v>
      </c>
      <c r="J300" s="3690"/>
      <c r="K300" s="3690"/>
      <c r="L300" s="3692">
        <v>34.627250052081294</v>
      </c>
      <c r="M300" s="3692">
        <v>29.108901571511279</v>
      </c>
      <c r="N300" s="3690"/>
      <c r="O300" s="3110"/>
    </row>
    <row r="301" spans="1:15">
      <c r="A301" s="972">
        <f t="shared" si="1"/>
        <v>2018.04</v>
      </c>
      <c r="B301" s="910">
        <v>30.559440791390461</v>
      </c>
      <c r="C301" s="910">
        <v>26.271724328303272</v>
      </c>
      <c r="D301" s="3692">
        <v>30.844176199796035</v>
      </c>
      <c r="E301" s="3692">
        <v>25.269082702612661</v>
      </c>
      <c r="F301" s="3692">
        <v>43.290500793170843</v>
      </c>
      <c r="G301" s="3692">
        <v>30.277860326894494</v>
      </c>
      <c r="H301" s="3692">
        <v>29.886795354032191</v>
      </c>
      <c r="I301" s="3692">
        <v>29.657540251802089</v>
      </c>
      <c r="J301" s="3690"/>
      <c r="K301" s="3690"/>
      <c r="L301" s="3692">
        <v>35.070035415270809</v>
      </c>
      <c r="M301" s="3692">
        <v>29.558795789293157</v>
      </c>
      <c r="N301" s="3690"/>
      <c r="O301" s="3110"/>
    </row>
    <row r="302" spans="1:15">
      <c r="A302" s="972">
        <f t="shared" si="1"/>
        <v>2018.05</v>
      </c>
      <c r="B302" s="910">
        <v>31.270112056871113</v>
      </c>
      <c r="C302" s="910">
        <v>27.11415200588884</v>
      </c>
      <c r="D302" s="3692">
        <v>31.29615348567965</v>
      </c>
      <c r="E302" s="3692">
        <v>26.003883858019794</v>
      </c>
      <c r="F302" s="3692">
        <v>44.257559224883657</v>
      </c>
      <c r="G302" s="3692">
        <v>31.293276374442783</v>
      </c>
      <c r="H302" s="3692">
        <v>30.169377482382313</v>
      </c>
      <c r="I302" s="3692">
        <v>30.030406393955328</v>
      </c>
      <c r="J302" s="3690"/>
      <c r="K302" s="3690"/>
      <c r="L302" s="3692">
        <v>35.178286328804631</v>
      </c>
      <c r="M302" s="3692">
        <v>30.149126599918546</v>
      </c>
      <c r="N302" s="3690"/>
      <c r="O302" s="3110"/>
    </row>
    <row r="303" spans="1:15">
      <c r="A303" s="972">
        <f t="shared" si="1"/>
        <v>2018.06</v>
      </c>
      <c r="B303" s="910">
        <v>32.413641489728882</v>
      </c>
      <c r="C303" s="910">
        <v>28.337188075082803</v>
      </c>
      <c r="D303" s="3692">
        <v>31.579260137277082</v>
      </c>
      <c r="E303" s="3692">
        <v>26.778545747053581</v>
      </c>
      <c r="F303" s="3692">
        <v>45.158484736938973</v>
      </c>
      <c r="G303" s="3692">
        <v>32.328844725111431</v>
      </c>
      <c r="H303" s="3692">
        <v>31.814849967694624</v>
      </c>
      <c r="I303" s="3692">
        <v>31.823820513048986</v>
      </c>
      <c r="J303" s="3690"/>
      <c r="K303" s="3690"/>
      <c r="L303" s="3692">
        <v>35.497822157910463</v>
      </c>
      <c r="M303" s="3692">
        <v>30.897914628132852</v>
      </c>
      <c r="N303" s="3690"/>
      <c r="O303" s="3110"/>
    </row>
    <row r="304" spans="1:15">
      <c r="A304" s="972">
        <f t="shared" si="1"/>
        <v>2018.07</v>
      </c>
      <c r="B304" s="910">
        <v>33.285697957427367</v>
      </c>
      <c r="C304" s="910">
        <v>29.429203901361792</v>
      </c>
      <c r="D304" s="3692">
        <v>32.413679741985298</v>
      </c>
      <c r="E304" s="3692">
        <v>26.679942879661333</v>
      </c>
      <c r="F304" s="3692">
        <v>45.652313341922358</v>
      </c>
      <c r="G304" s="3692">
        <v>33.163540118870714</v>
      </c>
      <c r="H304" s="3692">
        <v>32.209815333296632</v>
      </c>
      <c r="I304" s="3692">
        <v>33.025524320374949</v>
      </c>
      <c r="J304" s="3690"/>
      <c r="K304" s="3690"/>
      <c r="L304" s="3692">
        <v>36.683365295286798</v>
      </c>
      <c r="M304" s="3692">
        <v>32.264375104517306</v>
      </c>
      <c r="N304" s="3690"/>
      <c r="O304" s="3110"/>
    </row>
    <row r="305" spans="1:15">
      <c r="A305" s="972">
        <f t="shared" si="1"/>
        <v>2018.08</v>
      </c>
      <c r="B305" s="910">
        <v>34.501274355560952</v>
      </c>
      <c r="C305" s="910">
        <v>30.575360323886631</v>
      </c>
      <c r="D305" s="3692">
        <v>33.079228712407328</v>
      </c>
      <c r="E305" s="3692">
        <v>26.780119197065165</v>
      </c>
      <c r="F305" s="3692">
        <v>48.022256987353082</v>
      </c>
      <c r="G305" s="3692">
        <v>34.297919762258537</v>
      </c>
      <c r="H305" s="3692">
        <v>33.823456728289038</v>
      </c>
      <c r="I305" s="3692">
        <v>34.61449920253763</v>
      </c>
      <c r="J305" s="3690"/>
      <c r="K305" s="3690"/>
      <c r="L305" s="3692">
        <v>37.001596896518727</v>
      </c>
      <c r="M305" s="3692">
        <v>32.563268914949738</v>
      </c>
      <c r="N305" s="3690"/>
      <c r="O305" s="3110"/>
    </row>
    <row r="306" spans="1:15">
      <c r="A306" s="972">
        <f t="shared" ref="A306:A369" si="2">A294+1</f>
        <v>2018.09</v>
      </c>
      <c r="B306" s="910">
        <v>36.57565057978227</v>
      </c>
      <c r="C306" s="910">
        <v>32.501682738314308</v>
      </c>
      <c r="D306" s="3692">
        <v>34.810830002480934</v>
      </c>
      <c r="E306" s="3692">
        <v>29.16389596460651</v>
      </c>
      <c r="F306" s="3692">
        <v>49.532472677236434</v>
      </c>
      <c r="G306" s="3692">
        <v>37.202451708766702</v>
      </c>
      <c r="H306" s="3692">
        <v>35.267548846271382</v>
      </c>
      <c r="I306" s="3692">
        <v>37.845082374744955</v>
      </c>
      <c r="J306" s="3690"/>
      <c r="K306" s="3690"/>
      <c r="L306" s="3692">
        <v>37.741094101020806</v>
      </c>
      <c r="M306" s="3692">
        <v>34.296355894775225</v>
      </c>
      <c r="N306" s="3690"/>
      <c r="O306" s="3110"/>
    </row>
    <row r="307" spans="1:15">
      <c r="A307" s="972">
        <f t="shared" si="2"/>
        <v>2018.1</v>
      </c>
      <c r="B307" s="910">
        <v>38.502474619118708</v>
      </c>
      <c r="C307" s="910">
        <v>34.690587044534396</v>
      </c>
      <c r="D307" s="3692">
        <v>35.606418391818536</v>
      </c>
      <c r="E307" s="3692">
        <v>31.342599747305474</v>
      </c>
      <c r="F307" s="3692">
        <v>52.330112007993058</v>
      </c>
      <c r="G307" s="3692">
        <v>39.22288261515601</v>
      </c>
      <c r="H307" s="3692">
        <v>37.460646007903584</v>
      </c>
      <c r="I307" s="3692">
        <v>40.067320259108456</v>
      </c>
      <c r="J307" s="3690"/>
      <c r="K307" s="3690"/>
      <c r="L307" s="3692">
        <v>39.172484192627557</v>
      </c>
      <c r="M307" s="3692">
        <v>35.513680166370108</v>
      </c>
      <c r="N307" s="3690"/>
      <c r="O307" s="3110"/>
    </row>
    <row r="308" spans="1:15">
      <c r="A308" s="972">
        <f t="shared" si="2"/>
        <v>2018.11</v>
      </c>
      <c r="B308" s="910">
        <v>39.577415341033891</v>
      </c>
      <c r="C308" s="910">
        <v>35.98563010673535</v>
      </c>
      <c r="D308" s="3692">
        <v>38.061363949609976</v>
      </c>
      <c r="E308" s="3692">
        <v>32.728809207506082</v>
      </c>
      <c r="F308" s="3692">
        <v>53.452203349722609</v>
      </c>
      <c r="G308" s="3692">
        <v>40.354661961367007</v>
      </c>
      <c r="H308" s="3692">
        <v>38.358412677742358</v>
      </c>
      <c r="I308" s="3692">
        <v>40.960980121356847</v>
      </c>
      <c r="J308" s="3690"/>
      <c r="K308" s="3690"/>
      <c r="L308" s="3692">
        <v>39.448328387957694</v>
      </c>
      <c r="M308" s="3692">
        <v>36.440188838625318</v>
      </c>
      <c r="N308" s="3690"/>
      <c r="O308" s="3110"/>
    </row>
    <row r="309" spans="1:15">
      <c r="A309" s="972">
        <f t="shared" si="2"/>
        <v>2018.12</v>
      </c>
      <c r="B309" s="910">
        <v>40.519789646841573</v>
      </c>
      <c r="C309" s="910">
        <v>36.678629738682353</v>
      </c>
      <c r="D309" s="3692">
        <v>38.72917054883262</v>
      </c>
      <c r="E309" s="3692">
        <v>33.247523227989774</v>
      </c>
      <c r="F309" s="3692">
        <v>54.543396524071206</v>
      </c>
      <c r="G309" s="3692">
        <v>40.902674591381874</v>
      </c>
      <c r="H309" s="3692">
        <v>40.547612154845588</v>
      </c>
      <c r="I309" s="3692">
        <v>41.712252764387735</v>
      </c>
      <c r="J309" s="3690"/>
      <c r="K309" s="3690"/>
      <c r="L309" s="3692">
        <v>39.526582060391775</v>
      </c>
      <c r="M309" s="3692">
        <v>37.929686683961172</v>
      </c>
      <c r="N309" s="3690"/>
      <c r="O309" s="3110"/>
    </row>
    <row r="310" spans="1:15">
      <c r="A310" s="972">
        <f t="shared" si="2"/>
        <v>2019.01</v>
      </c>
      <c r="B310" s="910">
        <v>42.066782085243915</v>
      </c>
      <c r="C310" s="910">
        <v>38.012112624217863</v>
      </c>
      <c r="D310" s="3692">
        <v>40.287385947018798</v>
      </c>
      <c r="E310" s="3692">
        <v>32.849440375060432</v>
      </c>
      <c r="F310" s="3692">
        <v>56.603274349468442</v>
      </c>
      <c r="G310" s="3692">
        <v>41.756872213967306</v>
      </c>
      <c r="H310" s="3692">
        <v>41.072500338079841</v>
      </c>
      <c r="I310" s="3692">
        <v>43.803738182855</v>
      </c>
      <c r="J310" s="3690"/>
      <c r="K310" s="3690"/>
      <c r="L310" s="3692">
        <v>40.044360526330621</v>
      </c>
      <c r="M310" s="3692">
        <v>39.824337885642024</v>
      </c>
      <c r="N310" s="3690"/>
      <c r="O310" s="3110"/>
    </row>
    <row r="311" spans="1:15">
      <c r="A311" s="972">
        <f t="shared" si="2"/>
        <v>2019.02</v>
      </c>
      <c r="B311" s="910">
        <v>43.484089986149783</v>
      </c>
      <c r="C311" s="910">
        <v>39.665566433566404</v>
      </c>
      <c r="D311" s="3692">
        <v>41.038273286104172</v>
      </c>
      <c r="E311" s="3692">
        <v>32.794369624655182</v>
      </c>
      <c r="F311" s="3692">
        <v>60.339784310116656</v>
      </c>
      <c r="G311" s="3692">
        <v>42.273031203566113</v>
      </c>
      <c r="H311" s="3692">
        <v>42.717972823392159</v>
      </c>
      <c r="I311" s="3692">
        <v>45.297418894957715</v>
      </c>
      <c r="J311" s="3690"/>
      <c r="K311" s="3690"/>
      <c r="L311" s="3692">
        <v>40.412804900707755</v>
      </c>
      <c r="M311" s="3692">
        <v>40.98076487361449</v>
      </c>
      <c r="N311" s="3690"/>
      <c r="O311" s="3110"/>
    </row>
    <row r="312" spans="1:15">
      <c r="A312" s="972">
        <f t="shared" si="2"/>
        <v>2019.03</v>
      </c>
      <c r="B312" s="910">
        <v>45.217251782824832</v>
      </c>
      <c r="C312" s="910">
        <v>41.557780272359189</v>
      </c>
      <c r="D312" s="3692">
        <v>42.713433856162339</v>
      </c>
      <c r="E312" s="3692">
        <v>34.65838340503845</v>
      </c>
      <c r="F312" s="3692">
        <v>63.116282789507352</v>
      </c>
      <c r="G312" s="3692">
        <v>42.987462852897465</v>
      </c>
      <c r="H312" s="3692">
        <v>43.473474007923635</v>
      </c>
      <c r="I312" s="3692">
        <v>47.4276868244959</v>
      </c>
      <c r="J312" s="3690"/>
      <c r="K312" s="3690"/>
      <c r="L312" s="3692">
        <v>46.567456237648308</v>
      </c>
      <c r="M312" s="3692">
        <v>41.950150204746706</v>
      </c>
      <c r="N312" s="3690"/>
      <c r="O312" s="3110"/>
    </row>
    <row r="313" spans="1:15">
      <c r="A313" s="972">
        <f t="shared" si="2"/>
        <v>2019.04</v>
      </c>
      <c r="B313" s="910">
        <v>46.889317752945985</v>
      </c>
      <c r="C313" s="910">
        <v>42.849033492822933</v>
      </c>
      <c r="D313" s="3692">
        <v>43.039886980731623</v>
      </c>
      <c r="E313" s="3692">
        <v>37.138665106623286</v>
      </c>
      <c r="F313" s="3692">
        <v>66.003906256847117</v>
      </c>
      <c r="G313" s="3692">
        <v>44.764765973254079</v>
      </c>
      <c r="H313" s="3692">
        <v>44.621342101704464</v>
      </c>
      <c r="I313" s="3692">
        <v>49.269302064491974</v>
      </c>
      <c r="J313" s="3690"/>
      <c r="K313" s="3690"/>
      <c r="L313" s="3692">
        <v>48.035364709724298</v>
      </c>
      <c r="M313" s="3692">
        <v>43.451454666295064</v>
      </c>
      <c r="N313" s="3690"/>
      <c r="O313" s="3110"/>
    </row>
    <row r="314" spans="1:15">
      <c r="A314" s="972">
        <f t="shared" si="2"/>
        <v>2019.05</v>
      </c>
      <c r="B314" s="910">
        <v>48.361381347461474</v>
      </c>
      <c r="C314" s="910">
        <v>44.163567169672397</v>
      </c>
      <c r="D314" s="3692">
        <v>44.220175317694434</v>
      </c>
      <c r="E314" s="3692">
        <v>38.040776446594926</v>
      </c>
      <c r="F314" s="3692">
        <v>68.926764476463418</v>
      </c>
      <c r="G314" s="3692">
        <v>46.005757800891523</v>
      </c>
      <c r="H314" s="3692">
        <v>46.81703771968931</v>
      </c>
      <c r="I314" s="3692">
        <v>50.152435245163979</v>
      </c>
      <c r="J314" s="3690"/>
      <c r="K314" s="3690"/>
      <c r="L314" s="3692">
        <v>50.758592510430354</v>
      </c>
      <c r="M314" s="3692">
        <v>44.275432197757446</v>
      </c>
      <c r="N314" s="3690"/>
      <c r="O314" s="3110"/>
    </row>
    <row r="315" spans="1:15">
      <c r="A315" s="972">
        <f t="shared" si="2"/>
        <v>2019.06</v>
      </c>
      <c r="B315" s="910">
        <v>49.697996647258428</v>
      </c>
      <c r="C315" s="910">
        <v>45.474852410747118</v>
      </c>
      <c r="D315" s="3692">
        <v>45.564819031342196</v>
      </c>
      <c r="E315" s="3692">
        <v>38.781871402048374</v>
      </c>
      <c r="F315" s="3692">
        <v>71.214855081990194</v>
      </c>
      <c r="G315" s="3692">
        <v>46.817700594353639</v>
      </c>
      <c r="H315" s="3692">
        <v>48.253984082701869</v>
      </c>
      <c r="I315" s="3692">
        <v>50.880992417424757</v>
      </c>
      <c r="J315" s="3690"/>
      <c r="K315" s="3690"/>
      <c r="L315" s="3692">
        <v>51.303107647784174</v>
      </c>
      <c r="M315" s="3692">
        <v>45.281480179233775</v>
      </c>
      <c r="N315" s="3690"/>
      <c r="O315" s="3110"/>
    </row>
    <row r="316" spans="1:15">
      <c r="A316" s="972">
        <f t="shared" si="2"/>
        <v>2019.07</v>
      </c>
      <c r="B316" s="910">
        <v>50.795416022339673</v>
      </c>
      <c r="C316" s="910">
        <v>46.657283032756688</v>
      </c>
      <c r="D316" s="3692">
        <v>45.806836838768383</v>
      </c>
      <c r="E316" s="3692">
        <v>38.624001917553336</v>
      </c>
      <c r="F316" s="3692">
        <v>71.852875134751386</v>
      </c>
      <c r="G316" s="3692">
        <v>48.09314635958394</v>
      </c>
      <c r="H316" s="3692">
        <v>50.227511682535592</v>
      </c>
      <c r="I316" s="3692">
        <v>52.261095775676928</v>
      </c>
      <c r="J316" s="3690"/>
      <c r="K316" s="3690"/>
      <c r="L316" s="3692">
        <v>51.942179305995836</v>
      </c>
      <c r="M316" s="3692">
        <v>47.287362133653517</v>
      </c>
      <c r="N316" s="3690"/>
      <c r="O316" s="3110"/>
    </row>
    <row r="317" spans="1:15">
      <c r="A317" s="972">
        <f t="shared" si="2"/>
        <v>2019.08</v>
      </c>
      <c r="B317" s="910">
        <v>52.519355807459419</v>
      </c>
      <c r="C317" s="910">
        <v>48.301532940743442</v>
      </c>
      <c r="D317" s="3692">
        <v>48.043695454420167</v>
      </c>
      <c r="E317" s="3692">
        <v>39.536602924268834</v>
      </c>
      <c r="F317" s="3692">
        <v>73.38260545666482</v>
      </c>
      <c r="G317" s="3692">
        <v>50.647938335809798</v>
      </c>
      <c r="H317" s="3692">
        <v>53.211838803548126</v>
      </c>
      <c r="I317" s="3692">
        <v>53.442300255722557</v>
      </c>
      <c r="J317" s="3690"/>
      <c r="K317" s="3690"/>
      <c r="L317" s="3692">
        <v>52.652331383335131</v>
      </c>
      <c r="M317" s="3692">
        <v>48.392212850802927</v>
      </c>
      <c r="N317" s="3690"/>
      <c r="O317" s="3110"/>
    </row>
    <row r="318" spans="1:15">
      <c r="A318" s="972">
        <f t="shared" si="2"/>
        <v>2019.09</v>
      </c>
      <c r="B318" s="910">
        <v>55.159732990887555</v>
      </c>
      <c r="C318" s="910">
        <v>51.042129922708838</v>
      </c>
      <c r="D318" s="3692">
        <v>51.24365851641538</v>
      </c>
      <c r="E318" s="3692">
        <v>43.624950537686829</v>
      </c>
      <c r="F318" s="3692">
        <v>74.468919973005882</v>
      </c>
      <c r="G318" s="3692">
        <v>54.299405646359574</v>
      </c>
      <c r="H318" s="3692">
        <v>56.626860065011535</v>
      </c>
      <c r="I318" s="3692">
        <v>55.132109666669621</v>
      </c>
      <c r="J318" s="3690"/>
      <c r="K318" s="3690"/>
      <c r="L318" s="3692">
        <v>53.457692095469227</v>
      </c>
      <c r="M318" s="3692">
        <v>51.413463799498338</v>
      </c>
      <c r="N318" s="3690"/>
      <c r="O318" s="3110"/>
    </row>
    <row r="319" spans="1:15">
      <c r="A319" s="972">
        <f t="shared" si="2"/>
        <v>2019.1</v>
      </c>
      <c r="B319" s="910">
        <v>56.684823151846047</v>
      </c>
      <c r="C319" s="910">
        <v>52.588926757453038</v>
      </c>
      <c r="D319" s="3692">
        <v>54.7226644981669</v>
      </c>
      <c r="E319" s="3692">
        <v>46.290899340637914</v>
      </c>
      <c r="F319" s="3692">
        <v>75.129707096468849</v>
      </c>
      <c r="G319" s="3692">
        <v>55.453287518573539</v>
      </c>
      <c r="H319" s="3692">
        <v>59.088897459142466</v>
      </c>
      <c r="I319" s="3692">
        <v>56.37702827204604</v>
      </c>
      <c r="J319" s="3690"/>
      <c r="K319" s="3690"/>
      <c r="L319" s="3692">
        <v>54.5369406611226</v>
      </c>
      <c r="M319" s="3692">
        <v>52.500915292755629</v>
      </c>
      <c r="N319" s="3690"/>
      <c r="O319" s="3110"/>
    </row>
    <row r="320" spans="1:15">
      <c r="A320" s="972">
        <f t="shared" si="2"/>
        <v>2019.11</v>
      </c>
      <c r="B320" s="910">
        <v>58.954590745895381</v>
      </c>
      <c r="C320" s="910">
        <v>55.173598822230367</v>
      </c>
      <c r="D320" s="3692">
        <v>57.928948920803833</v>
      </c>
      <c r="E320" s="3692">
        <v>48.569779440740696</v>
      </c>
      <c r="F320" s="3692">
        <v>75.629498505683657</v>
      </c>
      <c r="G320" s="3692">
        <v>58.096489598811281</v>
      </c>
      <c r="H320" s="3692">
        <v>61.732826797958531</v>
      </c>
      <c r="I320" s="3692">
        <v>58.489567053666093</v>
      </c>
      <c r="J320" s="3690"/>
      <c r="K320" s="3690"/>
      <c r="L320" s="3692">
        <v>58.148347643955489</v>
      </c>
      <c r="M320" s="3692">
        <v>54.668982869884033</v>
      </c>
      <c r="N320" s="3690"/>
      <c r="O320" s="3110"/>
    </row>
    <row r="321" spans="1:15">
      <c r="A321" s="972">
        <f t="shared" si="2"/>
        <v>2019.12</v>
      </c>
      <c r="B321" s="910">
        <v>61.009370195561679</v>
      </c>
      <c r="C321" s="910">
        <v>57.208743835112223</v>
      </c>
      <c r="D321" s="3692">
        <v>60.219539101910328</v>
      </c>
      <c r="E321" s="3692">
        <v>49.542171547896174</v>
      </c>
      <c r="F321" s="3692">
        <v>77.274148327329769</v>
      </c>
      <c r="G321" s="3692">
        <v>59.136608469539368</v>
      </c>
      <c r="H321" s="3692">
        <v>65.606475605663746</v>
      </c>
      <c r="I321" s="3692">
        <v>60.699616148835872</v>
      </c>
      <c r="J321" s="3690"/>
      <c r="K321" s="3690"/>
      <c r="L321" s="3692">
        <v>58.829806708068958</v>
      </c>
      <c r="M321" s="3692">
        <v>57.249660613596909</v>
      </c>
      <c r="N321" s="3690"/>
      <c r="O321" s="3110"/>
    </row>
    <row r="322" spans="1:15">
      <c r="A322" s="972">
        <f t="shared" si="2"/>
        <v>2020.01</v>
      </c>
      <c r="B322" s="910">
        <v>62.495266807410118</v>
      </c>
      <c r="C322" s="910">
        <v>59.94555097534041</v>
      </c>
      <c r="D322" s="3692">
        <v>62.785559996692143</v>
      </c>
      <c r="E322" s="3692">
        <v>48.990415077169331</v>
      </c>
      <c r="F322" s="3692">
        <v>78.031424464719237</v>
      </c>
      <c r="G322" s="3692">
        <v>61.678398959881115</v>
      </c>
      <c r="H322" s="3692">
        <v>65.494741982500017</v>
      </c>
      <c r="I322" s="3692">
        <v>62.245930268820558</v>
      </c>
      <c r="J322" s="3690"/>
      <c r="K322" s="3690"/>
      <c r="L322" s="3692">
        <v>58.827198252321153</v>
      </c>
      <c r="M322" s="3692">
        <v>59.541386960529998</v>
      </c>
      <c r="N322" s="3690"/>
      <c r="O322" s="3110"/>
    </row>
    <row r="323" spans="1:15">
      <c r="A323" s="972">
        <f t="shared" si="2"/>
        <v>2020.02</v>
      </c>
      <c r="B323" s="910">
        <v>63.649747378989808</v>
      </c>
      <c r="C323" s="910">
        <v>61.187536253220436</v>
      </c>
      <c r="D323" s="3692">
        <v>63.685902362378393</v>
      </c>
      <c r="E323" s="3692">
        <v>48.976778510402312</v>
      </c>
      <c r="F323" s="3692">
        <v>79.51128406033358</v>
      </c>
      <c r="G323" s="3692">
        <v>62.84593239227339</v>
      </c>
      <c r="H323" s="3692">
        <v>65.895553874895469</v>
      </c>
      <c r="I323" s="3692">
        <v>63.184467036736734</v>
      </c>
      <c r="J323" s="3690"/>
      <c r="K323" s="3690"/>
      <c r="L323" s="3692">
        <v>60.143164177087627</v>
      </c>
      <c r="M323" s="3692">
        <v>61.369548270908844</v>
      </c>
      <c r="N323" s="3690"/>
      <c r="O323" s="3110"/>
    </row>
    <row r="324" spans="1:15">
      <c r="A324" s="972">
        <f t="shared" si="2"/>
        <v>2020.03</v>
      </c>
      <c r="B324" s="910">
        <v>65.397318568720024</v>
      </c>
      <c r="C324" s="910">
        <v>63.405676481413295</v>
      </c>
      <c r="D324" s="3692">
        <v>65.387702952283846</v>
      </c>
      <c r="E324" s="3692">
        <v>50.887471307795735</v>
      </c>
      <c r="F324" s="3692">
        <v>80.198632766281932</v>
      </c>
      <c r="G324" s="3692">
        <v>63.892552005943529</v>
      </c>
      <c r="H324" s="3692">
        <v>66.999248210681344</v>
      </c>
      <c r="I324" s="3692">
        <v>64.509720843617174</v>
      </c>
      <c r="J324" s="3690"/>
      <c r="K324" s="3690"/>
      <c r="L324" s="3692">
        <v>66.355853654416791</v>
      </c>
      <c r="M324" s="3692">
        <v>62.937964024612512</v>
      </c>
      <c r="N324" s="3690"/>
      <c r="O324" s="3110"/>
    </row>
    <row r="325" spans="1:15">
      <c r="A325" s="972">
        <f t="shared" si="2"/>
        <v>2020.04</v>
      </c>
      <c r="B325" s="910">
        <v>66.683789180684997</v>
      </c>
      <c r="C325" s="910">
        <v>64.509603238866362</v>
      </c>
      <c r="D325" s="3692">
        <v>66.780208396504705</v>
      </c>
      <c r="E325" s="3692">
        <v>55.235962656461375</v>
      </c>
      <c r="F325" s="3692">
        <v>81.6557252911945</v>
      </c>
      <c r="G325" s="3692">
        <v>65.095189450222875</v>
      </c>
      <c r="H325" s="3692">
        <v>68.016543872741778</v>
      </c>
      <c r="I325" s="3692">
        <v>65.219994832087394</v>
      </c>
      <c r="J325" s="3690"/>
      <c r="K325" s="3690"/>
      <c r="L325" s="3692">
        <v>70.677412714588968</v>
      </c>
      <c r="M325" s="3692">
        <v>63.579249705207665</v>
      </c>
      <c r="N325" s="3690"/>
      <c r="O325" s="3110"/>
    </row>
    <row r="326" spans="1:15">
      <c r="A326" s="972">
        <f t="shared" si="2"/>
        <v>2020.05</v>
      </c>
      <c r="B326" s="910">
        <v>67.324142608056448</v>
      </c>
      <c r="C326" s="910">
        <v>64.947600662495361</v>
      </c>
      <c r="D326" s="3692">
        <v>67.328812195054752</v>
      </c>
      <c r="E326" s="3692">
        <v>57.134067853762161</v>
      </c>
      <c r="F326" s="3692">
        <v>82.127328898588075</v>
      </c>
      <c r="G326" s="3692">
        <v>66.13075780089153</v>
      </c>
      <c r="H326" s="3692">
        <v>68.114635600054115</v>
      </c>
      <c r="I326" s="3692">
        <v>65.454906042002662</v>
      </c>
      <c r="J326" s="3690"/>
      <c r="K326" s="3690"/>
      <c r="L326" s="3692">
        <v>70.987166834640533</v>
      </c>
      <c r="M326" s="3692">
        <v>64.359107776086475</v>
      </c>
      <c r="N326" s="3690"/>
      <c r="O326" s="3110"/>
    </row>
    <row r="327" spans="1:15">
      <c r="A327" s="972">
        <f t="shared" si="2"/>
        <v>2020.06</v>
      </c>
      <c r="B327" s="910">
        <v>68.278044428308249</v>
      </c>
      <c r="C327" s="910">
        <v>65.728849466323126</v>
      </c>
      <c r="D327" s="3692">
        <v>71.165426578824068</v>
      </c>
      <c r="E327" s="3692">
        <v>58.907870500148277</v>
      </c>
      <c r="F327" s="3692">
        <v>82.899241010000097</v>
      </c>
      <c r="G327" s="3692">
        <v>67.985419762258545</v>
      </c>
      <c r="H327" s="3692">
        <v>69.068269081474753</v>
      </c>
      <c r="I327" s="3692">
        <v>65.146862096925091</v>
      </c>
      <c r="J327" s="3690"/>
      <c r="K327" s="3690"/>
      <c r="L327" s="3692">
        <v>70.878915921106724</v>
      </c>
      <c r="M327" s="3692">
        <v>64.915261539780914</v>
      </c>
      <c r="N327" s="3690"/>
      <c r="O327" s="3110"/>
    </row>
    <row r="328" spans="1:15">
      <c r="A328" s="972">
        <f t="shared" si="2"/>
        <v>2020.07</v>
      </c>
      <c r="B328" s="910">
        <v>69.379498433444951</v>
      </c>
      <c r="C328" s="910">
        <v>66.709877070298106</v>
      </c>
      <c r="D328" s="3692">
        <v>72.7611186151005</v>
      </c>
      <c r="E328" s="3692">
        <v>60.173448792794531</v>
      </c>
      <c r="F328" s="3692">
        <v>83.679826291203256</v>
      </c>
      <c r="G328" s="3692">
        <v>69.74322065378901</v>
      </c>
      <c r="H328" s="3692">
        <v>69.955641925902952</v>
      </c>
      <c r="I328" s="3692">
        <v>66.029441241724655</v>
      </c>
      <c r="J328" s="3690"/>
      <c r="K328" s="3690"/>
      <c r="L328" s="3692">
        <v>71.171062964860639</v>
      </c>
      <c r="M328" s="3692">
        <v>65.515534764058927</v>
      </c>
      <c r="N328" s="3690"/>
      <c r="O328" s="3110"/>
    </row>
    <row r="329" spans="1:15">
      <c r="A329" s="972">
        <f t="shared" si="2"/>
        <v>2020.08</v>
      </c>
      <c r="B329" s="910">
        <v>71.051564403566104</v>
      </c>
      <c r="C329" s="910">
        <v>68.864672800883312</v>
      </c>
      <c r="D329" s="3692">
        <v>73.978883590153572</v>
      </c>
      <c r="E329" s="3692">
        <v>61.284304500968915</v>
      </c>
      <c r="F329" s="3692">
        <v>85.568409013225349</v>
      </c>
      <c r="G329" s="3692">
        <v>72.167997771173859</v>
      </c>
      <c r="H329" s="3692">
        <v>71.013213661429376</v>
      </c>
      <c r="I329" s="3692">
        <v>67.416747066318578</v>
      </c>
      <c r="J329" s="3690"/>
      <c r="K329" s="3690"/>
      <c r="L329" s="3692">
        <v>71.965337740066559</v>
      </c>
      <c r="M329" s="3692">
        <v>66.824826361940723</v>
      </c>
      <c r="N329" s="3690"/>
      <c r="O329" s="3110"/>
    </row>
    <row r="330" spans="1:15">
      <c r="A330" s="972">
        <f t="shared" si="2"/>
        <v>2020.09</v>
      </c>
      <c r="B330" s="910">
        <v>72.644090524022758</v>
      </c>
      <c r="C330" s="910">
        <v>70.51812661023186</v>
      </c>
      <c r="D330" s="3692">
        <v>76.876775918626151</v>
      </c>
      <c r="E330" s="3692">
        <v>64.246586389433944</v>
      </c>
      <c r="F330" s="3692">
        <v>86.352246733100202</v>
      </c>
      <c r="G330" s="3692">
        <v>73.894595096582478</v>
      </c>
      <c r="H330" s="3692">
        <v>72.641146566361328</v>
      </c>
      <c r="I330" s="3692">
        <v>69.351440332884849</v>
      </c>
      <c r="J330" s="3690"/>
      <c r="K330" s="3690"/>
      <c r="L330" s="3692">
        <v>71.988161727859847</v>
      </c>
      <c r="M330" s="3692">
        <v>68.991029736509248</v>
      </c>
      <c r="N330" s="3690"/>
      <c r="O330" s="3110"/>
    </row>
    <row r="331" spans="1:15">
      <c r="A331" s="972">
        <f t="shared" si="2"/>
        <v>2020.1</v>
      </c>
      <c r="B331" s="910">
        <v>74.444688280195976</v>
      </c>
      <c r="C331" s="910">
        <v>73.322609495767381</v>
      </c>
      <c r="D331" s="3692">
        <v>77.669203627642887</v>
      </c>
      <c r="E331" s="3692">
        <v>69.019909241225761</v>
      </c>
      <c r="F331" s="3692">
        <v>87.429346006538168</v>
      </c>
      <c r="G331" s="3692">
        <v>76.167254829123337</v>
      </c>
      <c r="H331" s="3692">
        <v>74.176834270774393</v>
      </c>
      <c r="I331" s="3692">
        <v>70.625722839500668</v>
      </c>
      <c r="J331" s="3690"/>
      <c r="K331" s="3690"/>
      <c r="L331" s="3692">
        <v>71.802961369765839</v>
      </c>
      <c r="M331" s="3692">
        <v>70.0070201316382</v>
      </c>
      <c r="N331" s="3690"/>
      <c r="O331" s="3110"/>
    </row>
    <row r="332" spans="1:15">
      <c r="A332" s="972">
        <f t="shared" si="2"/>
        <v>2020.11</v>
      </c>
      <c r="B332" s="910">
        <v>76.715608625689725</v>
      </c>
      <c r="C332" s="910">
        <v>75.501768494663224</v>
      </c>
      <c r="D332" s="3692">
        <v>79.858200512721581</v>
      </c>
      <c r="E332" s="3692">
        <v>71.467148492567432</v>
      </c>
      <c r="F332" s="3692">
        <v>88.879391580995431</v>
      </c>
      <c r="G332" s="3692">
        <v>79.318164933135222</v>
      </c>
      <c r="H332" s="3692">
        <v>75.969769154099296</v>
      </c>
      <c r="I332" s="3692">
        <v>72.938822606944598</v>
      </c>
      <c r="J332" s="3690"/>
      <c r="K332" s="3690"/>
      <c r="L332" s="3692">
        <v>72.97285377265537</v>
      </c>
      <c r="M332" s="3692">
        <v>72.97855901207042</v>
      </c>
      <c r="N332" s="3690"/>
      <c r="O332" s="3110"/>
    </row>
    <row r="333" spans="1:15">
      <c r="A333" s="972">
        <f t="shared" si="2"/>
        <v>2020.12</v>
      </c>
      <c r="B333" s="910">
        <v>79.598639988166809</v>
      </c>
      <c r="C333" s="910">
        <v>77.913732057416254</v>
      </c>
      <c r="D333" s="3692">
        <v>83.530007994045832</v>
      </c>
      <c r="E333" s="3692">
        <v>74.367541347243701</v>
      </c>
      <c r="F333" s="3692">
        <v>91.292159002269955</v>
      </c>
      <c r="G333" s="3692">
        <v>80.979754829123337</v>
      </c>
      <c r="H333" s="3692">
        <v>80.789256074167227</v>
      </c>
      <c r="I333" s="3692">
        <v>76.547812280029575</v>
      </c>
      <c r="J333" s="3690"/>
      <c r="K333" s="3690"/>
      <c r="L333" s="3692">
        <v>74.099706655706143</v>
      </c>
      <c r="M333" s="3692">
        <v>77.227076646013344</v>
      </c>
      <c r="N333" s="3690"/>
      <c r="O333" s="3110"/>
    </row>
    <row r="334" spans="1:15">
      <c r="A334" s="972">
        <f t="shared" si="2"/>
        <v>2021.01</v>
      </c>
      <c r="B334" s="910">
        <v>82.651702188694813</v>
      </c>
      <c r="C334" s="910">
        <v>81.181117040853877</v>
      </c>
      <c r="D334" s="3692">
        <v>86.940382060258585</v>
      </c>
      <c r="E334" s="3692">
        <v>76.484880579491104</v>
      </c>
      <c r="F334" s="3692">
        <v>92.735699699383872</v>
      </c>
      <c r="G334" s="3692">
        <v>83.2654160475483</v>
      </c>
      <c r="H334" s="3692">
        <v>82.449669683507253</v>
      </c>
      <c r="I334" s="3692">
        <v>79.776733344619572</v>
      </c>
      <c r="J334" s="3690"/>
      <c r="K334" s="3690"/>
      <c r="L334" s="3692">
        <v>74.099706655706143</v>
      </c>
      <c r="M334" s="3692">
        <v>82.94955710395989</v>
      </c>
      <c r="N334" s="3690"/>
      <c r="O334" s="3110"/>
    </row>
    <row r="335" spans="1:15">
      <c r="A335" s="972">
        <f t="shared" si="2"/>
        <v>2021.02</v>
      </c>
      <c r="B335" s="910">
        <v>85.007349765352899</v>
      </c>
      <c r="C335" s="910">
        <v>84.71270813397129</v>
      </c>
      <c r="D335" s="3692">
        <v>89.843241172092519</v>
      </c>
      <c r="E335" s="3692">
        <v>78.248718042470557</v>
      </c>
      <c r="F335" s="3692">
        <v>94.26271965573757</v>
      </c>
      <c r="G335" s="3692">
        <v>86.361719910846972</v>
      </c>
      <c r="H335" s="3692">
        <v>84.176993543927864</v>
      </c>
      <c r="I335" s="3692">
        <v>82.309231317550413</v>
      </c>
      <c r="J335" s="3690"/>
      <c r="K335" s="3690"/>
      <c r="L335" s="3692">
        <v>76.325371522518822</v>
      </c>
      <c r="M335" s="3692">
        <v>84.914426602062491</v>
      </c>
      <c r="N335" s="3690"/>
      <c r="O335" s="3110"/>
    </row>
    <row r="336" spans="1:15">
      <c r="A336" s="972">
        <f t="shared" si="2"/>
        <v>2021.03</v>
      </c>
      <c r="B336" s="910">
        <v>88.312864532207385</v>
      </c>
      <c r="C336" s="910">
        <v>87.594612072138389</v>
      </c>
      <c r="D336" s="3692">
        <v>94.802800121288996</v>
      </c>
      <c r="E336" s="3692">
        <v>83.0414467777385</v>
      </c>
      <c r="F336" s="3692">
        <v>96.432638322859987</v>
      </c>
      <c r="G336" s="3692">
        <v>88.072715453194661</v>
      </c>
      <c r="H336" s="3692">
        <v>87.76935945145928</v>
      </c>
      <c r="I336" s="3692">
        <v>85.962543860430713</v>
      </c>
      <c r="J336" s="3690"/>
      <c r="K336" s="3690"/>
      <c r="L336" s="3692">
        <v>90.109103807845401</v>
      </c>
      <c r="M336" s="3692">
        <v>87.65231876165771</v>
      </c>
      <c r="N336" s="3690"/>
      <c r="O336" s="3110"/>
    </row>
    <row r="337" spans="1:15">
      <c r="A337" s="972">
        <f t="shared" si="2"/>
        <v>2021.04</v>
      </c>
      <c r="B337" s="910">
        <v>91.867373611055086</v>
      </c>
      <c r="C337" s="910">
        <v>91.552289657710702</v>
      </c>
      <c r="D337" s="3692">
        <v>97.659152079830207</v>
      </c>
      <c r="E337" s="3692">
        <v>89.787875944049702</v>
      </c>
      <c r="F337" s="3692">
        <v>98.408494815905499</v>
      </c>
      <c r="G337" s="3692">
        <v>91.863948736998537</v>
      </c>
      <c r="H337" s="3692">
        <v>91.442277505922689</v>
      </c>
      <c r="I337" s="3692">
        <v>90.428072992310504</v>
      </c>
      <c r="J337" s="3690"/>
      <c r="K337" s="3690"/>
      <c r="L337" s="3692">
        <v>94.800411470268628</v>
      </c>
      <c r="M337" s="3692">
        <v>91.295591964496296</v>
      </c>
      <c r="N337" s="3690"/>
      <c r="O337" s="3110"/>
    </row>
    <row r="338" spans="1:15">
      <c r="A338" s="972">
        <f t="shared" si="2"/>
        <v>2021.05</v>
      </c>
      <c r="B338" s="910">
        <v>95.178652135131614</v>
      </c>
      <c r="C338" s="910">
        <v>94.67782627898417</v>
      </c>
      <c r="D338" s="3692">
        <v>99.423263224632692</v>
      </c>
      <c r="E338" s="3692">
        <v>92.397705029921156</v>
      </c>
      <c r="F338" s="3692">
        <v>101.77205847553441</v>
      </c>
      <c r="G338" s="3692">
        <v>94.738577265973277</v>
      </c>
      <c r="H338" s="3692">
        <v>95.811581862894897</v>
      </c>
      <c r="I338" s="3692">
        <v>95.388356158280686</v>
      </c>
      <c r="J338" s="3690"/>
      <c r="K338" s="3690"/>
      <c r="L338" s="3692">
        <v>95.560124206816184</v>
      </c>
      <c r="M338" s="3692">
        <v>93.735833115365665</v>
      </c>
      <c r="N338" s="3690"/>
      <c r="O338" s="3110"/>
    </row>
    <row r="339" spans="1:15">
      <c r="A339" s="972">
        <f t="shared" si="2"/>
        <v>2021.06</v>
      </c>
      <c r="B339" s="910">
        <v>98.233443462826258</v>
      </c>
      <c r="C339" s="910">
        <v>98.219162679425835</v>
      </c>
      <c r="D339" s="3692">
        <v>104.72191801968189</v>
      </c>
      <c r="E339" s="3692">
        <v>95.052115199453993</v>
      </c>
      <c r="F339" s="3692">
        <v>104.43255330896852</v>
      </c>
      <c r="G339" s="3692">
        <v>98.377693164933149</v>
      </c>
      <c r="H339" s="3692">
        <v>98.421081655038407</v>
      </c>
      <c r="I339" s="3692">
        <v>98.334164892052982</v>
      </c>
      <c r="J339" s="3690"/>
      <c r="K339" s="3690"/>
      <c r="L339" s="3692">
        <v>97.082810249596022</v>
      </c>
      <c r="M339" s="3692">
        <v>97.083319512038258</v>
      </c>
      <c r="N339" s="3690"/>
      <c r="O339" s="3110"/>
    </row>
    <row r="340" spans="1:15">
      <c r="A340" s="972">
        <f t="shared" si="2"/>
        <v>2021.07</v>
      </c>
      <c r="B340" s="910">
        <v>101.12800233974748</v>
      </c>
      <c r="C340" s="910">
        <v>101.89422635259477</v>
      </c>
      <c r="D340" s="3692">
        <v>106.87659894699122</v>
      </c>
      <c r="E340" s="3692">
        <v>97.061410864239676</v>
      </c>
      <c r="F340" s="3692">
        <v>106.15363543939911</v>
      </c>
      <c r="G340" s="3692">
        <v>101.59361069836554</v>
      </c>
      <c r="H340" s="3692">
        <v>100.15360242816432</v>
      </c>
      <c r="I340" s="3692">
        <v>100.19904963869162</v>
      </c>
      <c r="J340" s="3690"/>
      <c r="K340" s="3690"/>
      <c r="L340" s="3692">
        <v>100.74443000557413</v>
      </c>
      <c r="M340" s="3692">
        <v>101.97747263254938</v>
      </c>
      <c r="N340" s="3690"/>
      <c r="O340" s="3110"/>
    </row>
    <row r="341" spans="1:15">
      <c r="A341" s="972">
        <f t="shared" si="2"/>
        <v>2021.08</v>
      </c>
      <c r="B341" s="910">
        <v>104.07731691027831</v>
      </c>
      <c r="C341" s="910">
        <v>103.92287449392711</v>
      </c>
      <c r="D341" s="3692">
        <v>108.94368387683657</v>
      </c>
      <c r="E341" s="3692">
        <v>98.543600775146558</v>
      </c>
      <c r="F341" s="3692">
        <v>109.18599242762863</v>
      </c>
      <c r="G341" s="3692">
        <v>106.92812035661218</v>
      </c>
      <c r="H341" s="3692">
        <v>105.49862714555465</v>
      </c>
      <c r="I341" s="3692">
        <v>102.54483752260961</v>
      </c>
      <c r="J341" s="3690"/>
      <c r="K341" s="3690"/>
      <c r="L341" s="3692">
        <v>103.91305162521749</v>
      </c>
      <c r="M341" s="3692">
        <v>105.96127350299082</v>
      </c>
      <c r="N341" s="3690"/>
      <c r="O341" s="3110"/>
    </row>
    <row r="342" spans="1:15">
      <c r="A342" s="972">
        <f t="shared" si="2"/>
        <v>2021.09</v>
      </c>
      <c r="B342" s="910">
        <v>107.60127807584904</v>
      </c>
      <c r="C342" s="910">
        <v>107.14748840633048</v>
      </c>
      <c r="D342" s="3692">
        <v>114.56834027069495</v>
      </c>
      <c r="E342" s="3692">
        <v>104.7828545543923</v>
      </c>
      <c r="F342" s="3692">
        <v>112.32513781891164</v>
      </c>
      <c r="G342" s="3692">
        <v>112.94520802377416</v>
      </c>
      <c r="H342" s="3692">
        <v>111.21263266502052</v>
      </c>
      <c r="I342" s="3692">
        <v>103.61301868467716</v>
      </c>
      <c r="J342" s="3690"/>
      <c r="K342" s="3690"/>
      <c r="L342" s="3692">
        <v>104.88861407489571</v>
      </c>
      <c r="M342" s="3692">
        <v>109.09934781210472</v>
      </c>
      <c r="N342" s="3690"/>
      <c r="O342" s="3110"/>
    </row>
    <row r="343" spans="1:15">
      <c r="A343" s="972">
        <f t="shared" si="2"/>
        <v>2021.1</v>
      </c>
      <c r="B343" s="910">
        <v>111.57365955329648</v>
      </c>
      <c r="C343" s="910">
        <v>111.08621678321676</v>
      </c>
      <c r="D343" s="3692">
        <v>117.58995065744136</v>
      </c>
      <c r="E343" s="3692">
        <v>112.5362917281137</v>
      </c>
      <c r="F343" s="3692">
        <v>113.8434846054742</v>
      </c>
      <c r="G343" s="3692">
        <v>116.092867756315</v>
      </c>
      <c r="H343" s="3692">
        <v>117.16374732666522</v>
      </c>
      <c r="I343" s="3692">
        <v>106.40369737416579</v>
      </c>
      <c r="J343" s="3690"/>
      <c r="K343" s="3690"/>
      <c r="L343" s="3692">
        <v>107.58314886237592</v>
      </c>
      <c r="M343" s="3692">
        <v>115.06914580966063</v>
      </c>
      <c r="N343" s="3690"/>
      <c r="O343" s="3110"/>
    </row>
    <row r="344" spans="1:15">
      <c r="A344" s="972">
        <f t="shared" si="2"/>
        <v>2021.11</v>
      </c>
      <c r="B344" s="910">
        <v>114.37311643605362</v>
      </c>
      <c r="C344" s="910">
        <v>113.3086882591093</v>
      </c>
      <c r="D344" s="3692">
        <v>118.6266538026849</v>
      </c>
      <c r="E344" s="3692">
        <v>116.27375998894971</v>
      </c>
      <c r="F344" s="3692">
        <v>117.16747692793099</v>
      </c>
      <c r="G344" s="3692">
        <v>119.02600297176821</v>
      </c>
      <c r="H344" s="3692">
        <v>119.44973930290448</v>
      </c>
      <c r="I344" s="3692">
        <v>109.40657180279959</v>
      </c>
      <c r="J344" s="3690"/>
      <c r="K344" s="3690"/>
      <c r="L344" s="3692">
        <v>107.63597009126892</v>
      </c>
      <c r="M344" s="3692">
        <v>120.91093523143881</v>
      </c>
      <c r="N344" s="3690"/>
      <c r="O344" s="3110"/>
    </row>
    <row r="345" spans="1:15">
      <c r="A345" s="972">
        <f t="shared" si="2"/>
        <v>2021.12</v>
      </c>
      <c r="B345" s="910">
        <v>118.76509943926743</v>
      </c>
      <c r="C345" s="910">
        <v>117.49104931910195</v>
      </c>
      <c r="D345" s="3692">
        <v>124.54254431182294</v>
      </c>
      <c r="E345" s="3692">
        <v>122.02996461464086</v>
      </c>
      <c r="F345" s="3692">
        <v>118.90753161727973</v>
      </c>
      <c r="G345" s="3692">
        <v>124.91307578008916</v>
      </c>
      <c r="H345" s="3692">
        <v>120.44299924370294</v>
      </c>
      <c r="I345" s="3692">
        <v>116.35861393019752</v>
      </c>
      <c r="J345" s="3690"/>
      <c r="K345" s="3690"/>
      <c r="L345" s="3692">
        <v>107.63597009126892</v>
      </c>
      <c r="M345" s="3692">
        <v>130.07349081319813</v>
      </c>
      <c r="N345" s="3690"/>
      <c r="O345" s="3110"/>
    </row>
    <row r="346" spans="1:15">
      <c r="A346" s="972">
        <f t="shared" si="2"/>
        <v>2022.01</v>
      </c>
      <c r="B346" s="910">
        <v>123.54671243069284</v>
      </c>
      <c r="C346" s="910">
        <v>123.27272359219727</v>
      </c>
      <c r="D346" s="3692">
        <v>127.40205695068502</v>
      </c>
      <c r="E346" s="3692">
        <v>125.25134127167912</v>
      </c>
      <c r="F346" s="3692">
        <v>120.54676070780637</v>
      </c>
      <c r="G346" s="3692">
        <v>128.51448736998515</v>
      </c>
      <c r="H346" s="3692">
        <v>126.80661885133003</v>
      </c>
      <c r="I346" s="3692">
        <v>120.17481301957568</v>
      </c>
      <c r="J346" s="3690"/>
      <c r="K346" s="3690"/>
      <c r="L346" s="3692">
        <v>107.64966448394487</v>
      </c>
      <c r="M346" s="3692">
        <v>138.3045665158759</v>
      </c>
      <c r="N346" s="1503"/>
      <c r="O346" s="3110"/>
    </row>
    <row r="347" spans="1:15">
      <c r="A347" s="972">
        <f t="shared" si="2"/>
        <v>2022.02</v>
      </c>
      <c r="B347" s="911">
        <v>128.59</v>
      </c>
      <c r="C347" s="912">
        <v>132.38999999999999</v>
      </c>
      <c r="D347" s="3693">
        <v>131.04</v>
      </c>
      <c r="E347" s="3693">
        <v>129.1</v>
      </c>
      <c r="F347" s="3693">
        <v>123.7</v>
      </c>
      <c r="G347" s="3693">
        <v>136.5</v>
      </c>
      <c r="H347" s="3693">
        <v>129.69999999999999</v>
      </c>
      <c r="I347" s="3693">
        <v>124.36</v>
      </c>
      <c r="J347" s="1504">
        <v>120.24</v>
      </c>
      <c r="K347" s="1504">
        <v>126.49</v>
      </c>
      <c r="L347" s="3693">
        <v>115.82</v>
      </c>
      <c r="M347" s="1504">
        <v>144.91999999999999</v>
      </c>
      <c r="N347" s="3693">
        <v>124.59</v>
      </c>
      <c r="O347" s="921">
        <v>125.08</v>
      </c>
    </row>
    <row r="348" spans="1:15">
      <c r="A348" s="972">
        <f t="shared" si="2"/>
        <v>2022.03</v>
      </c>
      <c r="B348" s="913">
        <v>136.12</v>
      </c>
      <c r="C348" s="913">
        <v>139.94999999999999</v>
      </c>
      <c r="D348" s="3694">
        <v>137.36000000000001</v>
      </c>
      <c r="E348" s="914">
        <v>141.34</v>
      </c>
      <c r="F348" s="3694">
        <v>131.69</v>
      </c>
      <c r="G348" s="914">
        <v>146.38</v>
      </c>
      <c r="H348" s="3694">
        <v>136.97</v>
      </c>
      <c r="I348" s="914">
        <v>129.03</v>
      </c>
      <c r="J348" s="3694">
        <v>123.98</v>
      </c>
      <c r="K348" s="3694">
        <v>129.37</v>
      </c>
      <c r="L348" s="3694">
        <v>141.33000000000001</v>
      </c>
      <c r="M348" s="914">
        <v>149.29</v>
      </c>
      <c r="N348" s="3694">
        <v>133.22999999999999</v>
      </c>
      <c r="O348" s="915">
        <v>130.32</v>
      </c>
    </row>
    <row r="349" spans="1:15">
      <c r="A349" s="972">
        <f t="shared" si="2"/>
        <v>2022.04</v>
      </c>
      <c r="B349" s="913">
        <v>143.28</v>
      </c>
      <c r="C349" s="913">
        <v>148.57</v>
      </c>
      <c r="D349" s="3694">
        <v>142.52000000000001</v>
      </c>
      <c r="E349" s="914">
        <v>153.09</v>
      </c>
      <c r="F349" s="3694">
        <v>136.81</v>
      </c>
      <c r="G349" s="914">
        <v>150.43</v>
      </c>
      <c r="H349" s="3694">
        <v>144.07</v>
      </c>
      <c r="I349" s="914">
        <v>139.06</v>
      </c>
      <c r="J349" s="3694">
        <v>128.66999999999999</v>
      </c>
      <c r="K349" s="3694">
        <v>136.54</v>
      </c>
      <c r="L349" s="3694">
        <v>149.01</v>
      </c>
      <c r="M349" s="914">
        <v>155.9</v>
      </c>
      <c r="N349" s="3694">
        <v>138.13</v>
      </c>
      <c r="O349" s="915">
        <v>137</v>
      </c>
    </row>
    <row r="350" spans="1:15">
      <c r="A350" s="972">
        <f t="shared" si="2"/>
        <v>2022.05</v>
      </c>
      <c r="B350" s="913">
        <v>151.18</v>
      </c>
      <c r="C350" s="913">
        <v>155.91</v>
      </c>
      <c r="D350" s="3694">
        <v>149.34</v>
      </c>
      <c r="E350" s="914">
        <v>161.15</v>
      </c>
      <c r="F350" s="3694">
        <v>145.72999999999999</v>
      </c>
      <c r="G350" s="914">
        <v>161.29</v>
      </c>
      <c r="H350" s="3694">
        <v>154.41</v>
      </c>
      <c r="I350" s="914">
        <v>145.28</v>
      </c>
      <c r="J350" s="3694">
        <v>137.25</v>
      </c>
      <c r="K350" s="3694">
        <v>140.94999999999999</v>
      </c>
      <c r="L350" s="3694">
        <v>151.66</v>
      </c>
      <c r="M350" s="914">
        <v>165.01</v>
      </c>
      <c r="N350" s="3694">
        <v>141.6</v>
      </c>
      <c r="O350" s="915">
        <v>146.33000000000001</v>
      </c>
    </row>
    <row r="351" spans="1:15">
      <c r="A351" s="972">
        <f t="shared" si="2"/>
        <v>2022.06</v>
      </c>
      <c r="B351" s="913">
        <v>158.91999999999999</v>
      </c>
      <c r="C351" s="913">
        <v>164.46</v>
      </c>
      <c r="D351" s="3694">
        <v>158.35</v>
      </c>
      <c r="E351" s="914">
        <v>170.09</v>
      </c>
      <c r="F351" s="3694">
        <v>153.59</v>
      </c>
      <c r="G351" s="914">
        <v>173.77</v>
      </c>
      <c r="H351" s="3694">
        <v>167.06</v>
      </c>
      <c r="I351" s="914">
        <v>151.29</v>
      </c>
      <c r="J351" s="3694">
        <v>139.07</v>
      </c>
      <c r="K351" s="3694">
        <v>145.5</v>
      </c>
      <c r="L351" s="3694">
        <v>154.99</v>
      </c>
      <c r="M351" s="914">
        <v>174.13</v>
      </c>
      <c r="N351" s="3694">
        <v>145.44</v>
      </c>
      <c r="O351" s="915">
        <v>153.72999999999999</v>
      </c>
    </row>
    <row r="352" spans="1:15">
      <c r="A352" s="972">
        <f t="shared" si="2"/>
        <v>2022.07</v>
      </c>
      <c r="B352" s="913">
        <v>171.1</v>
      </c>
      <c r="C352" s="913">
        <v>177.07</v>
      </c>
      <c r="D352" s="3694">
        <v>171.24</v>
      </c>
      <c r="E352" s="914">
        <v>186.13</v>
      </c>
      <c r="F352" s="3694">
        <v>164.49</v>
      </c>
      <c r="G352" s="914">
        <v>184.34</v>
      </c>
      <c r="H352" s="3694">
        <v>175.63</v>
      </c>
      <c r="I352" s="914">
        <v>156.04</v>
      </c>
      <c r="J352" s="3694">
        <v>149.71</v>
      </c>
      <c r="K352" s="3694">
        <v>164.8</v>
      </c>
      <c r="L352" s="3694">
        <v>163.33000000000001</v>
      </c>
      <c r="M352" s="914">
        <v>195.6</v>
      </c>
      <c r="N352" s="3694">
        <v>151.63999999999999</v>
      </c>
      <c r="O352" s="915">
        <v>167.64</v>
      </c>
    </row>
    <row r="353" spans="1:15">
      <c r="A353" s="972">
        <f t="shared" si="2"/>
        <v>2022.08</v>
      </c>
      <c r="B353" s="913">
        <v>181.72</v>
      </c>
      <c r="C353" s="913">
        <v>189.56</v>
      </c>
      <c r="D353" s="3694">
        <v>182.64</v>
      </c>
      <c r="E353" s="914">
        <v>203.04</v>
      </c>
      <c r="F353" s="3694">
        <v>171.37</v>
      </c>
      <c r="G353" s="914">
        <v>199.56</v>
      </c>
      <c r="H353" s="3694">
        <v>191.38</v>
      </c>
      <c r="I353" s="914">
        <v>164.04</v>
      </c>
      <c r="J353" s="3694">
        <v>155.88</v>
      </c>
      <c r="K353" s="3694">
        <v>173.15</v>
      </c>
      <c r="L353" s="3694">
        <v>175.81</v>
      </c>
      <c r="M353" s="914">
        <v>206.39</v>
      </c>
      <c r="N353" s="3694">
        <v>162.59</v>
      </c>
      <c r="O353" s="915">
        <v>179.65</v>
      </c>
    </row>
    <row r="354" spans="1:15">
      <c r="A354" s="972">
        <f t="shared" si="2"/>
        <v>2022.09</v>
      </c>
      <c r="B354" s="913">
        <v>191.95</v>
      </c>
      <c r="C354" s="913">
        <v>202.96</v>
      </c>
      <c r="D354" s="3694">
        <v>200.88</v>
      </c>
      <c r="E354" s="914">
        <v>222.01</v>
      </c>
      <c r="F354" s="3694">
        <v>181.6</v>
      </c>
      <c r="G354" s="914">
        <v>210.95</v>
      </c>
      <c r="H354" s="3694">
        <v>194.23</v>
      </c>
      <c r="I354" s="914">
        <v>178.52</v>
      </c>
      <c r="J354" s="3694">
        <v>160.61000000000001</v>
      </c>
      <c r="K354" s="3694">
        <v>182.47</v>
      </c>
      <c r="L354" s="3694">
        <v>177.4</v>
      </c>
      <c r="M354" s="914">
        <v>214.75</v>
      </c>
      <c r="N354" s="3694">
        <v>171.52</v>
      </c>
      <c r="O354" s="915">
        <v>190.22</v>
      </c>
    </row>
    <row r="355" spans="1:15">
      <c r="A355" s="972">
        <f t="shared" si="2"/>
        <v>2022.1</v>
      </c>
      <c r="B355" s="913">
        <v>205.31</v>
      </c>
      <c r="C355" s="913">
        <v>217.09</v>
      </c>
      <c r="D355" s="3694">
        <v>213.76</v>
      </c>
      <c r="E355" s="914">
        <v>235.49</v>
      </c>
      <c r="F355" s="914">
        <v>192.12</v>
      </c>
      <c r="G355" s="3694">
        <v>224.84</v>
      </c>
      <c r="H355" s="914">
        <v>211.48</v>
      </c>
      <c r="I355" s="3694">
        <v>185.72</v>
      </c>
      <c r="J355" s="3694">
        <v>172.6</v>
      </c>
      <c r="K355" s="3694">
        <v>193.86</v>
      </c>
      <c r="L355" s="3694">
        <v>201.25</v>
      </c>
      <c r="M355" s="914">
        <v>234.68</v>
      </c>
      <c r="N355" s="3694">
        <v>179.09</v>
      </c>
      <c r="O355" s="915">
        <v>199.59</v>
      </c>
    </row>
    <row r="356" spans="1:15">
      <c r="A356" s="972">
        <f t="shared" si="2"/>
        <v>2022.11</v>
      </c>
      <c r="B356" s="913">
        <v>217.2</v>
      </c>
      <c r="C356" s="913">
        <v>226.29</v>
      </c>
      <c r="D356" s="3694">
        <v>227.63</v>
      </c>
      <c r="E356" s="914">
        <v>243.88</v>
      </c>
      <c r="F356" s="914">
        <v>215.95</v>
      </c>
      <c r="G356" s="3694">
        <v>237.31</v>
      </c>
      <c r="H356" s="914">
        <v>215.49</v>
      </c>
      <c r="I356" s="3694">
        <v>196.26</v>
      </c>
      <c r="J356" s="3694">
        <v>179.11</v>
      </c>
      <c r="K356" s="3694">
        <v>207.63</v>
      </c>
      <c r="L356" s="3694">
        <v>203.51</v>
      </c>
      <c r="M356" s="914">
        <v>248.5</v>
      </c>
      <c r="N356" s="3694">
        <v>193.62</v>
      </c>
      <c r="O356" s="915">
        <v>208.14</v>
      </c>
    </row>
    <row r="357" spans="1:15">
      <c r="A357" s="972">
        <f t="shared" si="2"/>
        <v>2022.12</v>
      </c>
      <c r="B357" s="913">
        <v>229.69</v>
      </c>
      <c r="C357" s="913">
        <v>236.84</v>
      </c>
      <c r="D357" s="3694">
        <v>244.51</v>
      </c>
      <c r="E357" s="914">
        <v>259.99</v>
      </c>
      <c r="F357" s="3694">
        <v>229.62</v>
      </c>
      <c r="G357" s="914">
        <v>253.1</v>
      </c>
      <c r="H357" s="3694">
        <v>228.99</v>
      </c>
      <c r="I357" s="914">
        <v>203.27</v>
      </c>
      <c r="J357" s="3694">
        <v>182.67</v>
      </c>
      <c r="K357" s="3694">
        <v>215.39</v>
      </c>
      <c r="L357" s="3694">
        <v>221.04</v>
      </c>
      <c r="M357" s="914">
        <v>270.81</v>
      </c>
      <c r="N357" s="3694">
        <v>207</v>
      </c>
      <c r="O357" s="915">
        <v>219.84</v>
      </c>
    </row>
    <row r="358" spans="1:15">
      <c r="A358" s="972">
        <f t="shared" si="2"/>
        <v>2023.01</v>
      </c>
      <c r="B358" s="913">
        <v>246.41</v>
      </c>
      <c r="C358" s="913">
        <v>251.38</v>
      </c>
      <c r="D358" s="3694">
        <v>259.81</v>
      </c>
      <c r="E358" s="914">
        <v>266</v>
      </c>
      <c r="F358" s="3694">
        <v>243.45</v>
      </c>
      <c r="G358" s="914">
        <v>265.87</v>
      </c>
      <c r="H358" s="3694">
        <v>242.21</v>
      </c>
      <c r="I358" s="914">
        <v>225.89</v>
      </c>
      <c r="J358" s="3694">
        <v>204.85</v>
      </c>
      <c r="K358" s="3694">
        <v>237.47</v>
      </c>
      <c r="L358" s="3694">
        <v>222.32</v>
      </c>
      <c r="M358" s="914">
        <v>302.17</v>
      </c>
      <c r="N358" s="3694">
        <v>226</v>
      </c>
      <c r="O358" s="915">
        <v>234.24</v>
      </c>
    </row>
    <row r="359" spans="1:15">
      <c r="A359" s="972">
        <f t="shared" si="2"/>
        <v>2023.02</v>
      </c>
      <c r="B359" s="913">
        <v>261.19</v>
      </c>
      <c r="C359" s="913">
        <v>270.64</v>
      </c>
      <c r="D359" s="3694">
        <v>274.63</v>
      </c>
      <c r="E359" s="914">
        <v>276.66000000000003</v>
      </c>
      <c r="F359" s="3694">
        <v>264.18</v>
      </c>
      <c r="G359" s="914">
        <v>278.52999999999997</v>
      </c>
      <c r="H359" s="3694">
        <v>258.76</v>
      </c>
      <c r="I359" s="914">
        <v>229.58</v>
      </c>
      <c r="J359" s="3694">
        <v>210.69</v>
      </c>
      <c r="K359" s="3694">
        <v>258.08999999999997</v>
      </c>
      <c r="L359" s="3694">
        <v>231.22</v>
      </c>
      <c r="M359" s="914">
        <v>319.93</v>
      </c>
      <c r="N359" s="3694">
        <v>249.43</v>
      </c>
      <c r="O359" s="915">
        <v>246.04</v>
      </c>
    </row>
    <row r="360" spans="1:15">
      <c r="A360" s="972">
        <f t="shared" si="2"/>
        <v>2023.03</v>
      </c>
      <c r="B360" s="913">
        <v>279.75</v>
      </c>
      <c r="C360" s="913">
        <v>295.31</v>
      </c>
      <c r="D360" s="3694">
        <v>296.56</v>
      </c>
      <c r="E360" s="914">
        <v>304.64999999999998</v>
      </c>
      <c r="F360" s="3694">
        <v>280.94</v>
      </c>
      <c r="G360" s="914">
        <v>293.57</v>
      </c>
      <c r="H360" s="3694">
        <v>276.52</v>
      </c>
      <c r="I360" s="914">
        <v>243.98</v>
      </c>
      <c r="J360" s="3694">
        <v>218.61</v>
      </c>
      <c r="K360" s="3694">
        <v>262.56</v>
      </c>
      <c r="L360" s="3694">
        <v>284.86</v>
      </c>
      <c r="M360" s="914">
        <v>332.78</v>
      </c>
      <c r="N360" s="3694">
        <v>272.72000000000003</v>
      </c>
      <c r="O360" s="915">
        <v>263.64</v>
      </c>
    </row>
    <row r="361" spans="1:15">
      <c r="A361" s="972">
        <f t="shared" si="2"/>
        <v>2023.04</v>
      </c>
      <c r="B361" s="913">
        <v>301.45999999999998</v>
      </c>
      <c r="C361" s="913">
        <v>326.08999999999997</v>
      </c>
      <c r="D361" s="3694">
        <v>311.39</v>
      </c>
      <c r="E361" s="914">
        <v>333.33</v>
      </c>
      <c r="F361" s="3694">
        <v>299.04000000000002</v>
      </c>
      <c r="G361" s="914">
        <v>320.86</v>
      </c>
      <c r="H361" s="3694">
        <v>287.5</v>
      </c>
      <c r="I361" s="914">
        <v>263.8</v>
      </c>
      <c r="J361" s="3694">
        <v>238.38</v>
      </c>
      <c r="K361" s="3694">
        <v>281.16000000000003</v>
      </c>
      <c r="L361" s="3694">
        <v>299.39999999999998</v>
      </c>
      <c r="M361" s="914">
        <v>359.92</v>
      </c>
      <c r="N361" s="3694">
        <v>289.18</v>
      </c>
      <c r="O361" s="915">
        <v>281.10000000000002</v>
      </c>
    </row>
    <row r="362" spans="1:15">
      <c r="A362" s="972">
        <f t="shared" si="2"/>
        <v>2023.05</v>
      </c>
      <c r="B362" s="913">
        <v>324.2</v>
      </c>
      <c r="C362" s="913">
        <v>347.65</v>
      </c>
      <c r="D362" s="3694">
        <v>338.11</v>
      </c>
      <c r="E362" s="914">
        <v>359.82</v>
      </c>
      <c r="F362" s="3694">
        <v>336.28</v>
      </c>
      <c r="G362" s="914">
        <v>344.36</v>
      </c>
      <c r="H362" s="3694">
        <v>305.2</v>
      </c>
      <c r="I362" s="914">
        <v>283.82</v>
      </c>
      <c r="J362" s="3694">
        <v>249.97</v>
      </c>
      <c r="K362" s="3694">
        <v>298.60000000000002</v>
      </c>
      <c r="L362" s="3694">
        <v>306.94</v>
      </c>
      <c r="M362" s="914">
        <v>383.52</v>
      </c>
      <c r="N362" s="3694">
        <v>305.92</v>
      </c>
      <c r="O362" s="915">
        <v>302.04000000000002</v>
      </c>
    </row>
    <row r="363" spans="1:15">
      <c r="A363" s="972">
        <f t="shared" si="2"/>
        <v>2023.06</v>
      </c>
      <c r="B363" s="913">
        <v>347.38</v>
      </c>
      <c r="C363" s="981">
        <v>367.66</v>
      </c>
      <c r="D363" s="3694">
        <v>352.11</v>
      </c>
      <c r="E363" s="914">
        <v>374.43</v>
      </c>
      <c r="F363" s="3694">
        <v>370.6</v>
      </c>
      <c r="G363" s="914">
        <v>366.32</v>
      </c>
      <c r="H363" s="3694">
        <v>325.77999999999997</v>
      </c>
      <c r="I363" s="914">
        <v>298.83</v>
      </c>
      <c r="J363" s="3694">
        <v>269.64999999999998</v>
      </c>
      <c r="K363" s="3694">
        <v>319.2</v>
      </c>
      <c r="L363" s="3694">
        <v>334.86</v>
      </c>
      <c r="M363" s="914">
        <v>414.06</v>
      </c>
      <c r="N363" s="3694">
        <v>331.66</v>
      </c>
      <c r="O363" s="915">
        <v>322.86</v>
      </c>
    </row>
    <row r="364" spans="1:15">
      <c r="A364" s="972">
        <f t="shared" si="2"/>
        <v>2023.07</v>
      </c>
      <c r="B364" s="913">
        <v>372.82</v>
      </c>
      <c r="C364" s="981">
        <v>388.18</v>
      </c>
      <c r="D364" s="3694">
        <v>377.74</v>
      </c>
      <c r="E364" s="914">
        <v>387.67</v>
      </c>
      <c r="F364" s="3694">
        <v>396.18</v>
      </c>
      <c r="G364" s="914">
        <v>385.85</v>
      </c>
      <c r="H364" s="3694">
        <v>351.74</v>
      </c>
      <c r="I364" s="914">
        <v>315.27</v>
      </c>
      <c r="J364" s="3694">
        <v>287.54000000000002</v>
      </c>
      <c r="K364" s="3694">
        <v>355.86</v>
      </c>
      <c r="L364" s="3694">
        <v>371.58</v>
      </c>
      <c r="M364" s="914">
        <v>465.2</v>
      </c>
      <c r="N364" s="3694">
        <v>349.79</v>
      </c>
      <c r="O364" s="915">
        <v>341.35</v>
      </c>
    </row>
    <row r="365" spans="1:15">
      <c r="A365" s="972">
        <f t="shared" si="2"/>
        <v>2023.08</v>
      </c>
      <c r="B365" s="913">
        <v>413.08</v>
      </c>
      <c r="C365" s="981">
        <v>436.53</v>
      </c>
      <c r="D365" s="3694">
        <v>402.96</v>
      </c>
      <c r="E365" s="914">
        <v>425.97</v>
      </c>
      <c r="F365" s="3694">
        <v>450.99</v>
      </c>
      <c r="G365" s="914">
        <v>433.16</v>
      </c>
      <c r="H365" s="3694">
        <v>389.89</v>
      </c>
      <c r="I365" s="914">
        <v>344.18</v>
      </c>
      <c r="J365" s="3694">
        <v>317.23</v>
      </c>
      <c r="K365" s="3694">
        <v>383.7</v>
      </c>
      <c r="L365" s="3694">
        <v>403.21</v>
      </c>
      <c r="M365" s="914">
        <v>503.62</v>
      </c>
      <c r="N365" s="3694">
        <v>367.32</v>
      </c>
      <c r="O365" s="915">
        <v>375.99</v>
      </c>
    </row>
    <row r="366" spans="1:15">
      <c r="A366" s="972">
        <f t="shared" si="2"/>
        <v>2023.09</v>
      </c>
      <c r="B366" s="913">
        <v>462.47</v>
      </c>
      <c r="C366" s="981">
        <v>498.14</v>
      </c>
      <c r="D366" s="3694">
        <v>447.87</v>
      </c>
      <c r="E366" s="914">
        <v>491.64</v>
      </c>
      <c r="F366" s="3694">
        <v>494.1</v>
      </c>
      <c r="G366" s="914">
        <v>478.57</v>
      </c>
      <c r="H366" s="3694">
        <v>423.81</v>
      </c>
      <c r="I366" s="914">
        <v>387.7</v>
      </c>
      <c r="J366" s="3694">
        <v>356.02</v>
      </c>
      <c r="K366" s="3694">
        <v>440.35</v>
      </c>
      <c r="L366" s="3694">
        <v>438.08</v>
      </c>
      <c r="M366" s="914">
        <v>573.11</v>
      </c>
      <c r="N366" s="3694">
        <v>421.63</v>
      </c>
      <c r="O366" s="915">
        <v>413.13</v>
      </c>
    </row>
    <row r="367" spans="1:15">
      <c r="A367" s="972">
        <f t="shared" si="2"/>
        <v>2023.1</v>
      </c>
      <c r="B367" s="913">
        <v>505.82</v>
      </c>
      <c r="C367" s="981">
        <v>542.75</v>
      </c>
      <c r="D367" s="3694">
        <v>488.64</v>
      </c>
      <c r="E367" s="914">
        <v>547.45000000000005</v>
      </c>
      <c r="F367" s="3694">
        <v>553.32000000000005</v>
      </c>
      <c r="G367" s="914">
        <v>529.88</v>
      </c>
      <c r="H367" s="3694">
        <v>449.03</v>
      </c>
      <c r="I367" s="914">
        <v>408.16</v>
      </c>
      <c r="J367" s="3694">
        <v>383.51</v>
      </c>
      <c r="K367" s="3694">
        <v>481.67</v>
      </c>
      <c r="L367" s="3694">
        <v>504.74</v>
      </c>
      <c r="M367" s="914">
        <v>620.76</v>
      </c>
      <c r="N367" s="3694">
        <v>468.81</v>
      </c>
      <c r="O367" s="915">
        <v>453.3</v>
      </c>
    </row>
    <row r="368" spans="1:15">
      <c r="A368" s="972">
        <f t="shared" si="2"/>
        <v>2023.11</v>
      </c>
      <c r="B368" s="913">
        <v>565.99</v>
      </c>
      <c r="C368" s="981">
        <v>619.9</v>
      </c>
      <c r="D368" s="3694">
        <v>549.41</v>
      </c>
      <c r="E368" s="914">
        <v>601.19000000000005</v>
      </c>
      <c r="F368" s="3694">
        <v>608.83000000000004</v>
      </c>
      <c r="G368" s="914">
        <v>595.02</v>
      </c>
      <c r="H368" s="3694">
        <v>507.49</v>
      </c>
      <c r="I368" s="914">
        <v>451.77</v>
      </c>
      <c r="J368" s="3694">
        <v>439.18</v>
      </c>
      <c r="K368" s="3694">
        <v>545.94000000000005</v>
      </c>
      <c r="L368" s="3694">
        <v>547.38</v>
      </c>
      <c r="M368" s="914">
        <v>697.54</v>
      </c>
      <c r="N368" s="3694">
        <v>516.88</v>
      </c>
      <c r="O368" s="915">
        <v>498.27</v>
      </c>
    </row>
    <row r="369" spans="1:15">
      <c r="A369" s="972">
        <f t="shared" si="2"/>
        <v>2023.12</v>
      </c>
      <c r="B369" s="913">
        <v>685.4</v>
      </c>
      <c r="C369" s="981">
        <v>808.44</v>
      </c>
      <c r="D369" s="3694">
        <v>677.16</v>
      </c>
      <c r="E369" s="914">
        <v>698.41</v>
      </c>
      <c r="F369" s="3694">
        <v>679.67</v>
      </c>
      <c r="G369" s="914">
        <v>725.22</v>
      </c>
      <c r="H369" s="3694">
        <v>606.13</v>
      </c>
      <c r="I369" s="914">
        <v>589.04</v>
      </c>
      <c r="J369" s="3694">
        <v>536.78</v>
      </c>
      <c r="K369" s="3694">
        <v>632.39</v>
      </c>
      <c r="L369" s="3694">
        <v>634.46</v>
      </c>
      <c r="M369" s="914">
        <v>835.44</v>
      </c>
      <c r="N369" s="3694">
        <v>581.16</v>
      </c>
      <c r="O369" s="915">
        <v>632.42999999999995</v>
      </c>
    </row>
    <row r="370" spans="1:15">
      <c r="A370" s="972">
        <f t="shared" ref="A370:A393" si="3">A358+1</f>
        <v>2024.01</v>
      </c>
      <c r="B370" s="913">
        <v>834.2</v>
      </c>
      <c r="C370" s="981">
        <v>1013.41</v>
      </c>
      <c r="D370" s="3694">
        <v>831.04</v>
      </c>
      <c r="E370" s="914">
        <v>772.56</v>
      </c>
      <c r="F370" s="3694">
        <v>747.54</v>
      </c>
      <c r="G370" s="914">
        <v>871.91</v>
      </c>
      <c r="H370" s="3694">
        <v>789.71</v>
      </c>
      <c r="I370" s="914">
        <v>787.26</v>
      </c>
      <c r="J370" s="3694">
        <v>626.28</v>
      </c>
      <c r="K370" s="3694">
        <v>825.58</v>
      </c>
      <c r="L370" s="3694">
        <v>643.97</v>
      </c>
      <c r="M370" s="914">
        <v>1036.67</v>
      </c>
      <c r="N370" s="3694">
        <v>721.69</v>
      </c>
      <c r="O370" s="915">
        <v>857.98</v>
      </c>
    </row>
    <row r="371" spans="1:15">
      <c r="A371" s="972">
        <f t="shared" si="3"/>
        <v>2024.02</v>
      </c>
      <c r="B371" s="913">
        <v>951.99</v>
      </c>
      <c r="C371" s="981">
        <v>1161.94</v>
      </c>
      <c r="D371" s="3694">
        <v>1008.2</v>
      </c>
      <c r="E371" s="914">
        <v>848.47</v>
      </c>
      <c r="F371" s="3694">
        <v>846.22</v>
      </c>
      <c r="G371" s="914">
        <v>937.2</v>
      </c>
      <c r="H371" s="3694">
        <v>956.24</v>
      </c>
      <c r="I371" s="914">
        <v>952.97</v>
      </c>
      <c r="J371" s="3694">
        <v>747.85</v>
      </c>
      <c r="K371" s="3694">
        <v>903.43</v>
      </c>
      <c r="L371" s="3694">
        <v>704.55</v>
      </c>
      <c r="M371" s="914">
        <v>1119.3399999999999</v>
      </c>
      <c r="N371" s="3694">
        <v>938.23</v>
      </c>
      <c r="O371" s="915">
        <v>981.07</v>
      </c>
    </row>
    <row r="372" spans="1:15">
      <c r="A372" s="972">
        <f t="shared" si="3"/>
        <v>2024.03</v>
      </c>
      <c r="B372" s="913">
        <v>1077.95</v>
      </c>
      <c r="C372" s="981">
        <v>1290.1400000000001</v>
      </c>
      <c r="D372" s="3694">
        <v>1140.57</v>
      </c>
      <c r="E372" s="914">
        <v>946.25</v>
      </c>
      <c r="F372" s="3694">
        <v>997.95</v>
      </c>
      <c r="G372" s="914">
        <v>1018.01</v>
      </c>
      <c r="H372" s="3694">
        <v>1118.08</v>
      </c>
      <c r="I372" s="914">
        <v>1033.81</v>
      </c>
      <c r="J372" s="3694">
        <v>931.42</v>
      </c>
      <c r="K372" s="3694">
        <v>957.98</v>
      </c>
      <c r="L372" s="3694">
        <v>963.53</v>
      </c>
      <c r="M372" s="914">
        <v>1204.5</v>
      </c>
      <c r="N372" s="3694">
        <v>1078.8599999999999</v>
      </c>
      <c r="O372" s="915">
        <v>1079.24</v>
      </c>
    </row>
    <row r="373" spans="1:15">
      <c r="A373" s="972">
        <f t="shared" si="3"/>
        <v>2024.04</v>
      </c>
      <c r="B373" s="913">
        <v>1183.17</v>
      </c>
      <c r="C373" s="981">
        <v>1356.48</v>
      </c>
      <c r="D373" s="3694">
        <v>1207.2</v>
      </c>
      <c r="E373" s="914">
        <v>1004.62</v>
      </c>
      <c r="F373" s="3694">
        <v>1226.76</v>
      </c>
      <c r="G373" s="914">
        <v>1088.33</v>
      </c>
      <c r="H373" s="3694">
        <v>1263.6099999999999</v>
      </c>
      <c r="I373" s="914">
        <v>1079.18</v>
      </c>
      <c r="J373" s="3694">
        <v>1040.49</v>
      </c>
      <c r="K373" s="3694">
        <v>992.27</v>
      </c>
      <c r="L373" s="3694">
        <v>1109.0899999999999</v>
      </c>
      <c r="M373" s="914">
        <v>1278.48</v>
      </c>
      <c r="N373" s="3694">
        <v>1205.24</v>
      </c>
      <c r="O373" s="915">
        <v>1149.54</v>
      </c>
    </row>
    <row r="374" spans="1:15">
      <c r="A374" s="972">
        <f t="shared" si="3"/>
        <v>2024.05</v>
      </c>
      <c r="B374" s="913">
        <v>1234.95</v>
      </c>
      <c r="C374" s="981">
        <v>1421.06</v>
      </c>
      <c r="D374" s="3694">
        <v>1279.43</v>
      </c>
      <c r="E374" s="914">
        <v>1027.21</v>
      </c>
      <c r="F374" s="3694">
        <v>1285.19</v>
      </c>
      <c r="G374" s="914">
        <v>1150.08</v>
      </c>
      <c r="H374" s="3694">
        <v>1210.3900000000001</v>
      </c>
      <c r="I374" s="914">
        <v>1135.3</v>
      </c>
      <c r="J374" s="3694">
        <v>1120.21</v>
      </c>
      <c r="K374" s="3694">
        <v>1050.6500000000001</v>
      </c>
      <c r="L374" s="3694">
        <v>1177.48</v>
      </c>
      <c r="M374" s="914">
        <v>1351.13</v>
      </c>
      <c r="N374" s="3694">
        <v>1357.15</v>
      </c>
      <c r="O374" s="915">
        <v>1199.29</v>
      </c>
    </row>
    <row r="375" spans="1:15">
      <c r="A375" s="972">
        <f t="shared" si="3"/>
        <v>2024.06</v>
      </c>
      <c r="B375" s="913">
        <v>1294.53</v>
      </c>
      <c r="C375" s="913">
        <v>1459.9</v>
      </c>
      <c r="D375" s="3694">
        <v>1319.98</v>
      </c>
      <c r="E375" s="914">
        <v>1060.79</v>
      </c>
      <c r="F375" s="3694">
        <v>1378.54</v>
      </c>
      <c r="G375" s="914">
        <v>1185.8599999999999</v>
      </c>
      <c r="H375" s="3694">
        <v>1262.9100000000001</v>
      </c>
      <c r="I375" s="914">
        <v>1188.1099999999999</v>
      </c>
      <c r="J375" s="3694">
        <v>1174.8599999999999</v>
      </c>
      <c r="K375" s="3694">
        <v>1097.1500000000001</v>
      </c>
      <c r="L375" s="3694">
        <v>1253.73</v>
      </c>
      <c r="M375" s="914">
        <v>1436.93</v>
      </c>
      <c r="N375" s="3694">
        <v>1516.34</v>
      </c>
      <c r="O375" s="915">
        <v>1239.93</v>
      </c>
    </row>
    <row r="376" spans="1:15">
      <c r="A376" s="972">
        <f t="shared" si="3"/>
        <v>2024.07</v>
      </c>
      <c r="B376" s="913">
        <v>1360.55</v>
      </c>
      <c r="C376" s="913">
        <v>1514.8</v>
      </c>
      <c r="D376" s="3694">
        <v>1407.37</v>
      </c>
      <c r="E376" s="914">
        <v>1069.76</v>
      </c>
      <c r="F376" s="3694">
        <v>1457.36</v>
      </c>
      <c r="G376" s="914">
        <v>1198.22</v>
      </c>
      <c r="H376" s="3694">
        <v>1355.3</v>
      </c>
      <c r="I376" s="914">
        <v>1230.44</v>
      </c>
      <c r="J376" s="3694">
        <v>1221.19</v>
      </c>
      <c r="K376" s="3694">
        <v>1180.6600000000001</v>
      </c>
      <c r="L376" s="3694">
        <v>1325.88</v>
      </c>
      <c r="M376" s="914">
        <v>1570.08</v>
      </c>
      <c r="N376" s="3694">
        <v>1618.2</v>
      </c>
      <c r="O376" s="915">
        <v>1289.02</v>
      </c>
    </row>
    <row r="377" spans="1:15">
      <c r="A377" s="972">
        <f t="shared" si="3"/>
        <v>2024.08</v>
      </c>
      <c r="B377" s="913">
        <v>1417.46</v>
      </c>
      <c r="C377" s="913">
        <v>1562.1</v>
      </c>
      <c r="D377" s="3694">
        <v>1474.77</v>
      </c>
      <c r="E377" s="914">
        <v>1108.8499999999999</v>
      </c>
      <c r="F377" s="3694">
        <v>1520.94</v>
      </c>
      <c r="G377" s="914">
        <v>1220.56</v>
      </c>
      <c r="H377" s="3694">
        <v>1428.94</v>
      </c>
      <c r="I377" s="914">
        <v>1341.52</v>
      </c>
      <c r="J377" s="3694">
        <v>1272.3599999999999</v>
      </c>
      <c r="K377" s="3694">
        <v>1188.21</v>
      </c>
      <c r="L377" s="3694">
        <v>1405.79</v>
      </c>
      <c r="M377" s="914">
        <v>1606.42</v>
      </c>
      <c r="N377" s="3694">
        <v>1724.28</v>
      </c>
      <c r="O377" s="915">
        <v>1336.08</v>
      </c>
    </row>
    <row r="378" spans="1:15">
      <c r="A378" s="972">
        <f t="shared" si="3"/>
        <v>2024.09</v>
      </c>
      <c r="B378" s="913">
        <v>1474.29</v>
      </c>
      <c r="C378" s="913">
        <v>1596.88</v>
      </c>
      <c r="D378" s="3694">
        <v>1542.07</v>
      </c>
      <c r="E378" s="914">
        <v>1171.08</v>
      </c>
      <c r="F378" s="3694">
        <v>1586.67</v>
      </c>
      <c r="G378" s="914">
        <v>1294.56</v>
      </c>
      <c r="H378" s="3694">
        <v>1500.22</v>
      </c>
      <c r="I378" s="914">
        <v>1409.82</v>
      </c>
      <c r="J378" s="3694">
        <v>1292.74</v>
      </c>
      <c r="K378" s="3694">
        <v>1249.45</v>
      </c>
      <c r="L378" s="3694">
        <v>1456.05</v>
      </c>
      <c r="M378" s="914">
        <v>1665.15</v>
      </c>
      <c r="N378" s="3694">
        <v>1843.77</v>
      </c>
      <c r="O378" s="915">
        <v>1398.63</v>
      </c>
    </row>
    <row r="379" spans="1:15">
      <c r="A379" s="972">
        <f t="shared" si="3"/>
        <v>2024.1</v>
      </c>
      <c r="B379" s="913">
        <v>1522.05</v>
      </c>
      <c r="C379" s="913">
        <v>1624.04</v>
      </c>
      <c r="D379" s="3694">
        <v>1603.07</v>
      </c>
      <c r="E379" s="914">
        <v>1229.19</v>
      </c>
      <c r="F379" s="3694">
        <v>1655.37</v>
      </c>
      <c r="G379" s="914">
        <v>1337.24</v>
      </c>
      <c r="H379" s="3694">
        <v>1568.2</v>
      </c>
      <c r="I379" s="914">
        <v>1412.5</v>
      </c>
      <c r="J379" s="3694">
        <v>1315.21</v>
      </c>
      <c r="K379" s="3694">
        <v>1302.08</v>
      </c>
      <c r="L379" s="3694">
        <v>1517.72</v>
      </c>
      <c r="M379" s="914">
        <v>1742.89</v>
      </c>
      <c r="N379" s="3694">
        <v>1972.44</v>
      </c>
      <c r="O379" s="915">
        <v>1452.13</v>
      </c>
    </row>
    <row r="380" spans="1:15">
      <c r="A380" s="972">
        <f t="shared" si="3"/>
        <v>2024.11</v>
      </c>
      <c r="B380" s="913">
        <v>1570.26</v>
      </c>
      <c r="C380" s="913">
        <v>1651.79</v>
      </c>
      <c r="D380" s="3694">
        <v>1665.15</v>
      </c>
      <c r="E380" s="914">
        <v>1256.76</v>
      </c>
      <c r="F380" s="3694">
        <v>1725.33</v>
      </c>
      <c r="G380" s="914">
        <v>1381.98</v>
      </c>
      <c r="H380" s="3694">
        <v>1634.54</v>
      </c>
      <c r="I380" s="914">
        <v>1478.45</v>
      </c>
      <c r="J380" s="3694">
        <v>1330.48</v>
      </c>
      <c r="K380" s="3694">
        <v>1337.96</v>
      </c>
      <c r="L380" s="3694">
        <v>1562.44</v>
      </c>
      <c r="M380" s="914">
        <v>1796.96</v>
      </c>
      <c r="N380" s="3694">
        <v>2035.85</v>
      </c>
      <c r="O380" s="915">
        <v>1496.35</v>
      </c>
    </row>
    <row r="381" spans="1:15">
      <c r="A381" s="972">
        <f t="shared" si="3"/>
        <v>2024.12</v>
      </c>
      <c r="B381" s="913">
        <v>1622.53</v>
      </c>
      <c r="C381" s="913">
        <v>1690.39</v>
      </c>
      <c r="D381" s="3694">
        <v>1738.18</v>
      </c>
      <c r="E381" s="914">
        <v>1262.8599999999999</v>
      </c>
      <c r="F381" s="3694">
        <v>1792.99</v>
      </c>
      <c r="G381" s="914">
        <v>1389.96</v>
      </c>
      <c r="H381" s="3694">
        <v>1694.55</v>
      </c>
      <c r="I381" s="914">
        <v>1530.59</v>
      </c>
      <c r="J381" s="3694">
        <v>1387.82</v>
      </c>
      <c r="K381" s="3694">
        <v>1368.92</v>
      </c>
      <c r="L381" s="3694">
        <v>1624.4</v>
      </c>
      <c r="M381" s="914">
        <v>1890.83</v>
      </c>
      <c r="N381" s="3694">
        <v>2153.27</v>
      </c>
      <c r="O381" s="915">
        <v>1541.86</v>
      </c>
    </row>
    <row r="382" spans="1:15">
      <c r="A382" s="972">
        <f t="shared" si="3"/>
        <v>2025.01</v>
      </c>
      <c r="B382" s="913">
        <v>1673.49</v>
      </c>
      <c r="C382" s="913">
        <v>1723.28</v>
      </c>
      <c r="D382" s="3694">
        <v>1780.1</v>
      </c>
      <c r="E382" s="914">
        <v>1250.7</v>
      </c>
      <c r="F382" s="3694">
        <v>1849.06</v>
      </c>
      <c r="G382" s="914">
        <v>1418.69</v>
      </c>
      <c r="H382" s="3694">
        <v>1748.43</v>
      </c>
      <c r="I382" s="914">
        <v>1590.27</v>
      </c>
      <c r="J382" s="3694">
        <v>1409.24</v>
      </c>
      <c r="K382" s="3694">
        <v>1473.66</v>
      </c>
      <c r="L382" s="3694">
        <v>1639.41</v>
      </c>
      <c r="M382" s="914">
        <v>2004.2</v>
      </c>
      <c r="N382" s="3694">
        <v>2303.52</v>
      </c>
      <c r="O382" s="915">
        <v>1582.58</v>
      </c>
    </row>
    <row r="383" spans="1:15">
      <c r="A383" s="972">
        <f t="shared" si="3"/>
        <v>2025.02</v>
      </c>
      <c r="B383" s="913">
        <v>1707.89</v>
      </c>
      <c r="C383" s="913">
        <v>1767.15</v>
      </c>
      <c r="D383" s="3694">
        <v>1806.36</v>
      </c>
      <c r="E383" s="914">
        <v>1264.19</v>
      </c>
      <c r="F383" s="3694">
        <v>1906.47</v>
      </c>
      <c r="G383" s="914">
        <v>1430.42</v>
      </c>
      <c r="H383" s="3694">
        <v>1801.06</v>
      </c>
      <c r="I383" s="914">
        <v>1567.16</v>
      </c>
      <c r="J383" s="3694">
        <v>1432.22</v>
      </c>
      <c r="K383" s="3694">
        <v>1502.11</v>
      </c>
      <c r="L383" s="3694">
        <v>1678.1</v>
      </c>
      <c r="M383" s="914">
        <v>2059.0300000000002</v>
      </c>
      <c r="N383" s="3694">
        <v>2377.77</v>
      </c>
      <c r="O383" s="915">
        <v>1633.91</v>
      </c>
    </row>
    <row r="384" spans="1:15">
      <c r="A384" s="972">
        <f t="shared" si="3"/>
        <v>2025.03</v>
      </c>
      <c r="B384" s="913">
        <v>1761.98</v>
      </c>
      <c r="C384" s="913">
        <v>1850.3</v>
      </c>
      <c r="D384" s="3694">
        <v>1821.27</v>
      </c>
      <c r="E384" s="914">
        <v>1321.09</v>
      </c>
      <c r="F384" s="3694">
        <v>1958.06</v>
      </c>
      <c r="G384" s="914">
        <v>1437.88</v>
      </c>
      <c r="H384" s="3694">
        <v>1842.54</v>
      </c>
      <c r="I384" s="914">
        <v>1599.68</v>
      </c>
      <c r="J384" s="3694">
        <v>1475.2</v>
      </c>
      <c r="K384" s="3694">
        <v>1505.83</v>
      </c>
      <c r="L384" s="3694">
        <v>1918.2</v>
      </c>
      <c r="M384" s="914">
        <v>2082.89</v>
      </c>
      <c r="N384" s="3694">
        <v>2526.79</v>
      </c>
      <c r="O384" s="915">
        <v>1676.5</v>
      </c>
    </row>
    <row r="385" spans="1:16">
      <c r="A385" s="972">
        <f t="shared" si="3"/>
        <v>2025.04</v>
      </c>
      <c r="B385" s="913">
        <v>1802.79</v>
      </c>
      <c r="C385" s="913">
        <v>1890.89</v>
      </c>
      <c r="D385" s="3694">
        <v>1884.01</v>
      </c>
      <c r="E385" s="914">
        <v>1370.46</v>
      </c>
      <c r="F385" s="3694">
        <v>2004.17</v>
      </c>
      <c r="G385" s="914">
        <v>1461.98</v>
      </c>
      <c r="H385" s="3694">
        <v>1886.64</v>
      </c>
      <c r="I385" s="914">
        <v>1641.04</v>
      </c>
      <c r="J385" s="3694">
        <v>1504.99</v>
      </c>
      <c r="K385" s="3694">
        <v>1521.7</v>
      </c>
      <c r="L385" s="3694">
        <v>1942.73</v>
      </c>
      <c r="M385" s="914">
        <v>2137.11</v>
      </c>
      <c r="N385" s="3694">
        <v>2559.14</v>
      </c>
      <c r="O385" s="915">
        <v>1738</v>
      </c>
    </row>
    <row r="386" spans="1:16">
      <c r="A386" s="972">
        <f t="shared" si="3"/>
        <v>2025.05</v>
      </c>
      <c r="B386" s="2304">
        <v>1831.11</v>
      </c>
      <c r="C386" s="913">
        <v>1912.67</v>
      </c>
      <c r="D386" s="3694">
        <v>1888.04</v>
      </c>
      <c r="E386" s="914">
        <v>1382.66</v>
      </c>
      <c r="F386" s="3694">
        <v>2046.54</v>
      </c>
      <c r="G386" s="914">
        <v>1461.29</v>
      </c>
      <c r="H386" s="3694">
        <v>1941.37</v>
      </c>
      <c r="I386" s="914">
        <v>1639.45</v>
      </c>
      <c r="J386" s="3694">
        <v>1561.58</v>
      </c>
      <c r="K386" s="3694">
        <v>1544.86</v>
      </c>
      <c r="L386" s="3694">
        <v>1989.88</v>
      </c>
      <c r="M386" s="914">
        <v>2157.73</v>
      </c>
      <c r="N386" s="3694">
        <v>2653.07</v>
      </c>
      <c r="O386" s="915">
        <v>1775.13</v>
      </c>
    </row>
    <row r="387" spans="1:16">
      <c r="A387" s="972">
        <f t="shared" si="3"/>
        <v>2025.06</v>
      </c>
      <c r="B387" s="913">
        <v>1870.43</v>
      </c>
      <c r="C387" s="913">
        <v>1942.41</v>
      </c>
      <c r="D387" s="3694">
        <v>1943.52</v>
      </c>
      <c r="E387" s="914">
        <v>1387.49</v>
      </c>
      <c r="F387" s="3694">
        <v>2109.25</v>
      </c>
      <c r="G387" s="914">
        <v>1470.59</v>
      </c>
      <c r="H387" s="3694">
        <v>1991.24</v>
      </c>
      <c r="I387" s="914">
        <v>1689.83</v>
      </c>
      <c r="J387" s="3694">
        <v>1572.32</v>
      </c>
      <c r="K387" s="3694">
        <v>1589.26</v>
      </c>
      <c r="L387" s="3694">
        <v>2041.94</v>
      </c>
      <c r="M387" s="914">
        <v>2190.0100000000002</v>
      </c>
      <c r="N387" s="3694">
        <v>2744.66</v>
      </c>
      <c r="O387" s="915">
        <v>1818.88</v>
      </c>
    </row>
    <row r="388" spans="1:16">
      <c r="A388" s="972">
        <f t="shared" si="3"/>
        <v>2025.07</v>
      </c>
      <c r="B388" s="913">
        <v>1916.97</v>
      </c>
      <c r="C388" s="913">
        <v>1977.8</v>
      </c>
      <c r="D388" s="3694">
        <v>1960.81</v>
      </c>
      <c r="E388" s="914">
        <v>1364.77</v>
      </c>
      <c r="F388" s="3694">
        <v>2157.91</v>
      </c>
      <c r="G388" s="914">
        <v>1479.1</v>
      </c>
      <c r="H388" s="3694">
        <v>2027.93</v>
      </c>
      <c r="I388" s="914">
        <v>1751.09</v>
      </c>
      <c r="J388" s="3694">
        <v>1616.82</v>
      </c>
      <c r="K388" s="3694">
        <v>1646.06</v>
      </c>
      <c r="L388" s="3694">
        <v>2082.73</v>
      </c>
      <c r="M388" s="914">
        <v>2306.29</v>
      </c>
      <c r="N388" s="3694">
        <v>2848.09</v>
      </c>
      <c r="O388" s="915">
        <v>1859.98</v>
      </c>
    </row>
    <row r="389" spans="1:16">
      <c r="A389" s="972">
        <f t="shared" si="3"/>
        <v>2025.08</v>
      </c>
      <c r="B389" s="913">
        <v>1947.42</v>
      </c>
      <c r="C389" s="913">
        <v>1997.52</v>
      </c>
      <c r="D389" s="3694">
        <v>1993.54</v>
      </c>
      <c r="E389" s="914">
        <v>1359.69</v>
      </c>
      <c r="F389" s="3694">
        <v>2199.2800000000002</v>
      </c>
      <c r="G389" s="914">
        <v>1492.04</v>
      </c>
      <c r="H389" s="3694">
        <v>2070.1999999999998</v>
      </c>
      <c r="I389" s="914">
        <v>1802.9</v>
      </c>
      <c r="J389" s="3694">
        <v>1635.81</v>
      </c>
      <c r="K389" s="3694">
        <v>1665.14</v>
      </c>
      <c r="L389" s="3694">
        <v>2104.59</v>
      </c>
      <c r="M389" s="914">
        <v>2334.89</v>
      </c>
      <c r="N389" s="3694">
        <v>3009.85</v>
      </c>
      <c r="O389" s="915">
        <v>1902.08</v>
      </c>
    </row>
    <row r="390" spans="1:16">
      <c r="A390" s="972">
        <f t="shared" si="3"/>
        <v>2025.09</v>
      </c>
      <c r="B390" s="913">
        <v>1990.42</v>
      </c>
      <c r="C390" s="913">
        <v>2038.17</v>
      </c>
      <c r="D390" s="3694">
        <v>2014.94</v>
      </c>
      <c r="E390" s="914">
        <v>1389.65</v>
      </c>
      <c r="F390" s="3694">
        <v>2252.6999999999998</v>
      </c>
      <c r="G390" s="914">
        <v>1523.13</v>
      </c>
      <c r="H390" s="3694">
        <v>2111.16</v>
      </c>
      <c r="I390" s="914">
        <v>1866.24</v>
      </c>
      <c r="J390" s="3694">
        <v>1665.29</v>
      </c>
      <c r="K390" s="3694">
        <v>1716.16</v>
      </c>
      <c r="L390" s="3694">
        <v>2144.9</v>
      </c>
      <c r="M390" s="914">
        <v>2358.44</v>
      </c>
      <c r="N390" s="3694">
        <v>3086.51</v>
      </c>
      <c r="O390" s="915">
        <v>1955.25</v>
      </c>
      <c r="P390" s="2449"/>
    </row>
    <row r="391" spans="1:16">
      <c r="A391" s="972">
        <f t="shared" si="3"/>
        <v>2025.1</v>
      </c>
      <c r="B391" s="913">
        <v>2033.44</v>
      </c>
      <c r="C391" s="913">
        <v>2080.1</v>
      </c>
      <c r="D391" s="3694">
        <v>2065.6799999999998</v>
      </c>
      <c r="E391" s="914">
        <v>1425.24</v>
      </c>
      <c r="F391" s="3694">
        <v>2298.08</v>
      </c>
      <c r="G391" s="914">
        <v>1544.28</v>
      </c>
      <c r="H391" s="3694">
        <v>2153.84</v>
      </c>
      <c r="I391" s="914">
        <v>1901.91</v>
      </c>
      <c r="J391" s="3694">
        <v>1694.99</v>
      </c>
      <c r="K391" s="3694">
        <v>1771.86</v>
      </c>
      <c r="L391" s="3694">
        <v>2197.19</v>
      </c>
      <c r="M391" s="914">
        <v>2407.61</v>
      </c>
      <c r="N391" s="3694">
        <v>3196.26</v>
      </c>
      <c r="O391" s="915">
        <v>2020.25</v>
      </c>
    </row>
    <row r="392" spans="1:16">
      <c r="A392" s="972">
        <f t="shared" si="3"/>
        <v>2025.11</v>
      </c>
      <c r="B392" s="913">
        <v>2082.5</v>
      </c>
      <c r="C392" s="913">
        <v>2126.41</v>
      </c>
      <c r="D392" s="3694">
        <v>2098.38</v>
      </c>
      <c r="E392" s="914">
        <v>1439.7</v>
      </c>
      <c r="F392" s="3694">
        <v>2354.91</v>
      </c>
      <c r="G392" s="914">
        <v>1570.28</v>
      </c>
      <c r="H392" s="3694">
        <v>2196.84</v>
      </c>
      <c r="I392" s="914">
        <v>1956.77</v>
      </c>
      <c r="J392" s="3694">
        <v>1723.12</v>
      </c>
      <c r="K392" s="3694">
        <v>1843.57</v>
      </c>
      <c r="L392" s="3694">
        <v>2245.6999999999998</v>
      </c>
      <c r="M392" s="914">
        <v>2471.65</v>
      </c>
      <c r="N392" s="3694">
        <v>3264.06</v>
      </c>
      <c r="O392" s="915">
        <v>2095.4699999999998</v>
      </c>
    </row>
    <row r="393" spans="1:16">
      <c r="A393" s="972">
        <f t="shared" si="3"/>
        <v>2025.12</v>
      </c>
      <c r="B393" s="913">
        <v>2137.9899999999998</v>
      </c>
      <c r="C393" s="913">
        <v>2177.69</v>
      </c>
      <c r="D393" s="3694">
        <v>2146.5100000000002</v>
      </c>
      <c r="E393" s="914">
        <v>1457.67</v>
      </c>
      <c r="F393" s="3694">
        <v>2405.0100000000002</v>
      </c>
      <c r="G393" s="914">
        <v>1594.98</v>
      </c>
      <c r="H393" s="3694">
        <v>2250.96</v>
      </c>
      <c r="I393" s="914">
        <v>2063.7600000000002</v>
      </c>
      <c r="J393" s="3694">
        <v>1764.85</v>
      </c>
      <c r="K393" s="3694">
        <v>1830.1</v>
      </c>
      <c r="L393" s="3694">
        <v>2303.6</v>
      </c>
      <c r="M393" s="914">
        <v>2576.94</v>
      </c>
      <c r="N393" s="3694">
        <v>3410.76</v>
      </c>
      <c r="O393" s="915">
        <v>2137.4</v>
      </c>
    </row>
    <row r="394" spans="1:16">
      <c r="A394" s="972">
        <v>2026.01</v>
      </c>
      <c r="B394" s="913">
        <v>2203.37</v>
      </c>
      <c r="C394" s="913">
        <v>2264.02</v>
      </c>
      <c r="D394" s="3694">
        <v>2199.98</v>
      </c>
      <c r="E394" s="914">
        <v>1443.82</v>
      </c>
      <c r="F394" s="3694">
        <v>2462.87</v>
      </c>
      <c r="G394" s="914">
        <v>1621.76</v>
      </c>
      <c r="H394" s="3694">
        <v>2300.75</v>
      </c>
      <c r="I394" s="914">
        <v>2139.9499999999998</v>
      </c>
      <c r="J394" s="3694">
        <v>1780.17</v>
      </c>
      <c r="K394" s="3694">
        <v>1965.5</v>
      </c>
      <c r="L394" s="3694">
        <v>2305.09</v>
      </c>
      <c r="M394" s="914">
        <v>2713.47</v>
      </c>
      <c r="N394" s="3694">
        <v>3547.74</v>
      </c>
      <c r="O394" s="915">
        <v>2191.63</v>
      </c>
    </row>
    <row r="395" spans="1:16">
      <c r="A395" s="972">
        <v>2026.02</v>
      </c>
      <c r="B395" s="913">
        <v>2260.6</v>
      </c>
      <c r="C395" s="913">
        <v>2328.9</v>
      </c>
      <c r="D395" s="3694">
        <v>2229.67</v>
      </c>
      <c r="E395" s="914">
        <v>1443.68</v>
      </c>
      <c r="F395" s="3694">
        <v>2608.04</v>
      </c>
      <c r="G395" s="914">
        <v>1672.47</v>
      </c>
      <c r="H395" s="3694">
        <v>2368.9899999999998</v>
      </c>
      <c r="I395" s="914">
        <v>2132</v>
      </c>
      <c r="J395" s="3694">
        <v>1822.31</v>
      </c>
      <c r="K395" s="3694">
        <v>1967.38</v>
      </c>
      <c r="L395" s="3694">
        <v>2343.59</v>
      </c>
      <c r="M395" s="914">
        <v>2754.77</v>
      </c>
      <c r="N395" s="3694">
        <v>3724.62</v>
      </c>
      <c r="O395" s="915">
        <v>2241.88</v>
      </c>
    </row>
    <row r="396" spans="1:16">
      <c r="A396" s="972">
        <v>2026.03</v>
      </c>
      <c r="B396" s="913" t="e">
        <v>#N/A</v>
      </c>
      <c r="C396" s="913" t="e">
        <v>#N/A</v>
      </c>
      <c r="D396" s="3694" t="e">
        <v>#N/A</v>
      </c>
      <c r="E396" s="914" t="e">
        <v>#N/A</v>
      </c>
      <c r="F396" s="3694" t="e">
        <v>#N/A</v>
      </c>
      <c r="G396" s="914" t="e">
        <v>#N/A</v>
      </c>
      <c r="H396" s="3694" t="e">
        <v>#N/A</v>
      </c>
      <c r="I396" s="914" t="e">
        <v>#N/A</v>
      </c>
      <c r="J396" s="3694" t="e">
        <v>#N/A</v>
      </c>
      <c r="K396" s="3694" t="e">
        <v>#N/A</v>
      </c>
      <c r="L396" s="3694" t="e">
        <v>#N/A</v>
      </c>
      <c r="M396" s="914" t="e">
        <v>#N/A</v>
      </c>
      <c r="N396" s="3694" t="e">
        <v>#N/A</v>
      </c>
      <c r="O396" s="915" t="e">
        <v>#N/A</v>
      </c>
    </row>
    <row r="397" spans="1:16">
      <c r="A397" s="972">
        <v>2026.04</v>
      </c>
      <c r="B397" s="913" t="e">
        <v>#N/A</v>
      </c>
      <c r="C397" s="913" t="e">
        <v>#N/A</v>
      </c>
      <c r="D397" s="3694" t="e">
        <v>#N/A</v>
      </c>
      <c r="E397" s="914" t="e">
        <v>#N/A</v>
      </c>
      <c r="F397" s="3694" t="e">
        <v>#N/A</v>
      </c>
      <c r="G397" s="914" t="e">
        <v>#N/A</v>
      </c>
      <c r="H397" s="3694" t="e">
        <v>#N/A</v>
      </c>
      <c r="I397" s="914" t="e">
        <v>#N/A</v>
      </c>
      <c r="J397" s="3694" t="e">
        <v>#N/A</v>
      </c>
      <c r="K397" s="3694" t="e">
        <v>#N/A</v>
      </c>
      <c r="L397" s="3694" t="e">
        <v>#N/A</v>
      </c>
      <c r="M397" s="914" t="e">
        <v>#N/A</v>
      </c>
      <c r="N397" s="3694" t="e">
        <v>#N/A</v>
      </c>
      <c r="O397" s="915" t="e">
        <v>#N/A</v>
      </c>
    </row>
    <row r="398" spans="1:16">
      <c r="A398" s="972">
        <v>2026.05</v>
      </c>
      <c r="B398" s="913" t="e">
        <v>#N/A</v>
      </c>
      <c r="C398" s="913" t="e">
        <v>#N/A</v>
      </c>
      <c r="D398" s="3694" t="e">
        <v>#N/A</v>
      </c>
      <c r="E398" s="914" t="e">
        <v>#N/A</v>
      </c>
      <c r="F398" s="3694" t="e">
        <v>#N/A</v>
      </c>
      <c r="G398" s="914" t="e">
        <v>#N/A</v>
      </c>
      <c r="H398" s="3694" t="e">
        <v>#N/A</v>
      </c>
      <c r="I398" s="914" t="e">
        <v>#N/A</v>
      </c>
      <c r="J398" s="3694" t="e">
        <v>#N/A</v>
      </c>
      <c r="K398" s="3694" t="e">
        <v>#N/A</v>
      </c>
      <c r="L398" s="3694" t="e">
        <v>#N/A</v>
      </c>
      <c r="M398" s="914" t="e">
        <v>#N/A</v>
      </c>
      <c r="N398" s="3694" t="e">
        <v>#N/A</v>
      </c>
      <c r="O398" s="915" t="e">
        <v>#N/A</v>
      </c>
    </row>
    <row r="399" spans="1:16">
      <c r="A399" s="972">
        <v>2026.06</v>
      </c>
      <c r="B399" s="913" t="e">
        <v>#N/A</v>
      </c>
      <c r="C399" s="913" t="e">
        <v>#N/A</v>
      </c>
      <c r="D399" s="3694" t="e">
        <v>#N/A</v>
      </c>
      <c r="E399" s="914" t="e">
        <v>#N/A</v>
      </c>
      <c r="F399" s="3694" t="e">
        <v>#N/A</v>
      </c>
      <c r="G399" s="914" t="e">
        <v>#N/A</v>
      </c>
      <c r="H399" s="3694" t="e">
        <v>#N/A</v>
      </c>
      <c r="I399" s="914" t="e">
        <v>#N/A</v>
      </c>
      <c r="J399" s="3694" t="e">
        <v>#N/A</v>
      </c>
      <c r="K399" s="3694" t="e">
        <v>#N/A</v>
      </c>
      <c r="L399" s="3694" t="e">
        <v>#N/A</v>
      </c>
      <c r="M399" s="914" t="e">
        <v>#N/A</v>
      </c>
      <c r="N399" s="3694" t="e">
        <v>#N/A</v>
      </c>
      <c r="O399" s="915" t="e">
        <v>#N/A</v>
      </c>
    </row>
    <row r="400" spans="1:16">
      <c r="A400" s="972">
        <v>2026.07</v>
      </c>
      <c r="B400" s="913" t="e">
        <v>#N/A</v>
      </c>
      <c r="C400" s="913" t="e">
        <v>#N/A</v>
      </c>
      <c r="D400" s="3694" t="e">
        <v>#N/A</v>
      </c>
      <c r="E400" s="914" t="e">
        <v>#N/A</v>
      </c>
      <c r="F400" s="3694" t="e">
        <v>#N/A</v>
      </c>
      <c r="G400" s="914" t="e">
        <v>#N/A</v>
      </c>
      <c r="H400" s="3694" t="e">
        <v>#N/A</v>
      </c>
      <c r="I400" s="914" t="e">
        <v>#N/A</v>
      </c>
      <c r="J400" s="3694" t="e">
        <v>#N/A</v>
      </c>
      <c r="K400" s="3694" t="e">
        <v>#N/A</v>
      </c>
      <c r="L400" s="3694" t="e">
        <v>#N/A</v>
      </c>
      <c r="M400" s="914" t="e">
        <v>#N/A</v>
      </c>
      <c r="N400" s="3694" t="e">
        <v>#N/A</v>
      </c>
      <c r="O400" s="915" t="e">
        <v>#N/A</v>
      </c>
    </row>
    <row r="401" spans="1:15">
      <c r="A401" s="972">
        <v>2026.08</v>
      </c>
      <c r="B401" s="913" t="e">
        <v>#N/A</v>
      </c>
      <c r="C401" s="913" t="e">
        <v>#N/A</v>
      </c>
      <c r="D401" s="3694" t="e">
        <v>#N/A</v>
      </c>
      <c r="E401" s="914" t="e">
        <v>#N/A</v>
      </c>
      <c r="F401" s="3694" t="e">
        <v>#N/A</v>
      </c>
      <c r="G401" s="914" t="e">
        <v>#N/A</v>
      </c>
      <c r="H401" s="3694" t="e">
        <v>#N/A</v>
      </c>
      <c r="I401" s="914" t="e">
        <v>#N/A</v>
      </c>
      <c r="J401" s="3694" t="e">
        <v>#N/A</v>
      </c>
      <c r="K401" s="3694" t="e">
        <v>#N/A</v>
      </c>
      <c r="L401" s="3694" t="e">
        <v>#N/A</v>
      </c>
      <c r="M401" s="914" t="e">
        <v>#N/A</v>
      </c>
      <c r="N401" s="3694" t="e">
        <v>#N/A</v>
      </c>
      <c r="O401" s="915" t="e">
        <v>#N/A</v>
      </c>
    </row>
    <row r="402" spans="1:15">
      <c r="A402" s="972">
        <v>2026.09</v>
      </c>
      <c r="B402" s="913" t="e">
        <v>#N/A</v>
      </c>
      <c r="C402" s="913" t="e">
        <v>#N/A</v>
      </c>
      <c r="D402" s="3694" t="e">
        <v>#N/A</v>
      </c>
      <c r="E402" s="914" t="e">
        <v>#N/A</v>
      </c>
      <c r="F402" s="3694" t="e">
        <v>#N/A</v>
      </c>
      <c r="G402" s="914" t="e">
        <v>#N/A</v>
      </c>
      <c r="H402" s="3694" t="e">
        <v>#N/A</v>
      </c>
      <c r="I402" s="914" t="e">
        <v>#N/A</v>
      </c>
      <c r="J402" s="3694" t="e">
        <v>#N/A</v>
      </c>
      <c r="K402" s="3694" t="e">
        <v>#N/A</v>
      </c>
      <c r="L402" s="3694" t="e">
        <v>#N/A</v>
      </c>
      <c r="M402" s="914" t="e">
        <v>#N/A</v>
      </c>
      <c r="N402" s="3694" t="e">
        <v>#N/A</v>
      </c>
      <c r="O402" s="915" t="e">
        <v>#N/A</v>
      </c>
    </row>
    <row r="403" spans="1:15">
      <c r="A403" s="972">
        <v>2026.1</v>
      </c>
      <c r="B403" s="913" t="e">
        <v>#N/A</v>
      </c>
      <c r="C403" s="913" t="e">
        <v>#N/A</v>
      </c>
      <c r="D403" s="3694" t="e">
        <v>#N/A</v>
      </c>
      <c r="E403" s="914" t="e">
        <v>#N/A</v>
      </c>
      <c r="F403" s="3694" t="e">
        <v>#N/A</v>
      </c>
      <c r="G403" s="914" t="e">
        <v>#N/A</v>
      </c>
      <c r="H403" s="3694" t="e">
        <v>#N/A</v>
      </c>
      <c r="I403" s="914" t="e">
        <v>#N/A</v>
      </c>
      <c r="J403" s="3694" t="e">
        <v>#N/A</v>
      </c>
      <c r="K403" s="3694" t="e">
        <v>#N/A</v>
      </c>
      <c r="L403" s="3694" t="e">
        <v>#N/A</v>
      </c>
      <c r="M403" s="914" t="e">
        <v>#N/A</v>
      </c>
      <c r="N403" s="3694" t="e">
        <v>#N/A</v>
      </c>
      <c r="O403" s="915" t="e">
        <v>#N/A</v>
      </c>
    </row>
    <row r="404" spans="1:15">
      <c r="A404" s="972">
        <v>2026.11</v>
      </c>
      <c r="B404" s="913" t="e">
        <v>#N/A</v>
      </c>
      <c r="C404" s="913" t="e">
        <v>#N/A</v>
      </c>
      <c r="D404" s="3694" t="e">
        <v>#N/A</v>
      </c>
      <c r="E404" s="914" t="e">
        <v>#N/A</v>
      </c>
      <c r="F404" s="3694" t="e">
        <v>#N/A</v>
      </c>
      <c r="G404" s="914" t="e">
        <v>#N/A</v>
      </c>
      <c r="H404" s="3694" t="e">
        <v>#N/A</v>
      </c>
      <c r="I404" s="914" t="e">
        <v>#N/A</v>
      </c>
      <c r="J404" s="3694" t="e">
        <v>#N/A</v>
      </c>
      <c r="K404" s="3694" t="e">
        <v>#N/A</v>
      </c>
      <c r="L404" s="3694" t="e">
        <v>#N/A</v>
      </c>
      <c r="M404" s="914" t="e">
        <v>#N/A</v>
      </c>
      <c r="N404" s="3694" t="e">
        <v>#N/A</v>
      </c>
      <c r="O404" s="915" t="e">
        <v>#N/A</v>
      </c>
    </row>
    <row r="405" spans="1:15">
      <c r="A405" s="972">
        <v>2026.12</v>
      </c>
      <c r="B405" s="913" t="e">
        <v>#N/A</v>
      </c>
      <c r="C405" s="913" t="e">
        <v>#N/A</v>
      </c>
      <c r="D405" s="3694" t="e">
        <v>#N/A</v>
      </c>
      <c r="E405" s="914" t="e">
        <v>#N/A</v>
      </c>
      <c r="F405" s="3694" t="e">
        <v>#N/A</v>
      </c>
      <c r="G405" s="914" t="e">
        <v>#N/A</v>
      </c>
      <c r="H405" s="3694" t="e">
        <v>#N/A</v>
      </c>
      <c r="I405" s="914" t="e">
        <v>#N/A</v>
      </c>
      <c r="J405" s="3694" t="e">
        <v>#N/A</v>
      </c>
      <c r="K405" s="3694" t="e">
        <v>#N/A</v>
      </c>
      <c r="L405" s="3694" t="e">
        <v>#N/A</v>
      </c>
      <c r="M405" s="914" t="e">
        <v>#N/A</v>
      </c>
      <c r="N405" s="3694" t="e">
        <v>#N/A</v>
      </c>
      <c r="O405" s="915" t="e">
        <v>#N/A</v>
      </c>
    </row>
    <row r="406" spans="1:15">
      <c r="A406" s="972">
        <v>2027.01</v>
      </c>
      <c r="B406" s="913" t="e">
        <v>#N/A</v>
      </c>
      <c r="C406" s="913" t="e">
        <v>#N/A</v>
      </c>
      <c r="D406" s="3694" t="e">
        <v>#N/A</v>
      </c>
      <c r="E406" s="914" t="e">
        <v>#N/A</v>
      </c>
      <c r="F406" s="3694" t="e">
        <v>#N/A</v>
      </c>
      <c r="G406" s="914" t="e">
        <v>#N/A</v>
      </c>
      <c r="H406" s="3694" t="e">
        <v>#N/A</v>
      </c>
      <c r="I406" s="914" t="e">
        <v>#N/A</v>
      </c>
      <c r="J406" s="3694" t="e">
        <v>#N/A</v>
      </c>
      <c r="K406" s="3694" t="e">
        <v>#N/A</v>
      </c>
      <c r="L406" s="3694" t="e">
        <v>#N/A</v>
      </c>
      <c r="M406" s="914" t="e">
        <v>#N/A</v>
      </c>
      <c r="N406" s="3694" t="e">
        <v>#N/A</v>
      </c>
      <c r="O406" s="915" t="e">
        <v>#N/A</v>
      </c>
    </row>
    <row r="407" spans="1:15">
      <c r="A407" s="972">
        <v>2027.02</v>
      </c>
      <c r="B407" s="913" t="e">
        <v>#N/A</v>
      </c>
      <c r="C407" s="913" t="e">
        <v>#N/A</v>
      </c>
      <c r="D407" s="3694" t="e">
        <v>#N/A</v>
      </c>
      <c r="E407" s="914" t="e">
        <v>#N/A</v>
      </c>
      <c r="F407" s="3694" t="e">
        <v>#N/A</v>
      </c>
      <c r="G407" s="914" t="e">
        <v>#N/A</v>
      </c>
      <c r="H407" s="3694" t="e">
        <v>#N/A</v>
      </c>
      <c r="I407" s="914" t="e">
        <v>#N/A</v>
      </c>
      <c r="J407" s="3694" t="e">
        <v>#N/A</v>
      </c>
      <c r="K407" s="3694" t="e">
        <v>#N/A</v>
      </c>
      <c r="L407" s="3694" t="e">
        <v>#N/A</v>
      </c>
      <c r="M407" s="914" t="e">
        <v>#N/A</v>
      </c>
      <c r="N407" s="3694" t="e">
        <v>#N/A</v>
      </c>
      <c r="O407" s="915" t="e">
        <v>#N/A</v>
      </c>
    </row>
    <row r="408" spans="1:15">
      <c r="A408" s="972">
        <v>2027.03</v>
      </c>
      <c r="B408" s="913" t="e">
        <v>#N/A</v>
      </c>
      <c r="C408" s="913" t="e">
        <v>#N/A</v>
      </c>
      <c r="D408" s="3694" t="e">
        <v>#N/A</v>
      </c>
      <c r="E408" s="914" t="e">
        <v>#N/A</v>
      </c>
      <c r="F408" s="3694" t="e">
        <v>#N/A</v>
      </c>
      <c r="G408" s="914" t="e">
        <v>#N/A</v>
      </c>
      <c r="H408" s="3694" t="e">
        <v>#N/A</v>
      </c>
      <c r="I408" s="914" t="e">
        <v>#N/A</v>
      </c>
      <c r="J408" s="3694" t="e">
        <v>#N/A</v>
      </c>
      <c r="K408" s="3694" t="e">
        <v>#N/A</v>
      </c>
      <c r="L408" s="3694" t="e">
        <v>#N/A</v>
      </c>
      <c r="M408" s="914" t="e">
        <v>#N/A</v>
      </c>
      <c r="N408" s="3694" t="e">
        <v>#N/A</v>
      </c>
      <c r="O408" s="915" t="e">
        <v>#N/A</v>
      </c>
    </row>
    <row r="409" spans="1:15">
      <c r="A409" s="972">
        <v>2027.04</v>
      </c>
      <c r="B409" s="913" t="e">
        <v>#N/A</v>
      </c>
      <c r="C409" s="913" t="e">
        <v>#N/A</v>
      </c>
      <c r="D409" s="3694" t="e">
        <v>#N/A</v>
      </c>
      <c r="E409" s="914" t="e">
        <v>#N/A</v>
      </c>
      <c r="F409" s="3694" t="e">
        <v>#N/A</v>
      </c>
      <c r="G409" s="914" t="e">
        <v>#N/A</v>
      </c>
      <c r="H409" s="3694" t="e">
        <v>#N/A</v>
      </c>
      <c r="I409" s="914" t="e">
        <v>#N/A</v>
      </c>
      <c r="J409" s="3694" t="e">
        <v>#N/A</v>
      </c>
      <c r="K409" s="3694" t="e">
        <v>#N/A</v>
      </c>
      <c r="L409" s="3694" t="e">
        <v>#N/A</v>
      </c>
      <c r="M409" s="914" t="e">
        <v>#N/A</v>
      </c>
      <c r="N409" s="3694" t="e">
        <v>#N/A</v>
      </c>
      <c r="O409" s="915" t="e">
        <v>#N/A</v>
      </c>
    </row>
    <row r="410" spans="1:15">
      <c r="A410" s="972">
        <v>2027.05</v>
      </c>
      <c r="B410" s="913" t="e">
        <v>#N/A</v>
      </c>
      <c r="C410" s="913" t="e">
        <v>#N/A</v>
      </c>
      <c r="D410" s="3694" t="e">
        <v>#N/A</v>
      </c>
      <c r="E410" s="914" t="e">
        <v>#N/A</v>
      </c>
      <c r="F410" s="3694" t="e">
        <v>#N/A</v>
      </c>
      <c r="G410" s="914" t="e">
        <v>#N/A</v>
      </c>
      <c r="H410" s="3694" t="e">
        <v>#N/A</v>
      </c>
      <c r="I410" s="914" t="e">
        <v>#N/A</v>
      </c>
      <c r="J410" s="3694" t="e">
        <v>#N/A</v>
      </c>
      <c r="K410" s="3694" t="e">
        <v>#N/A</v>
      </c>
      <c r="L410" s="3694" t="e">
        <v>#N/A</v>
      </c>
      <c r="M410" s="914" t="e">
        <v>#N/A</v>
      </c>
      <c r="N410" s="3694" t="e">
        <v>#N/A</v>
      </c>
      <c r="O410" s="915" t="e">
        <v>#N/A</v>
      </c>
    </row>
    <row r="411" spans="1:15">
      <c r="A411" s="972">
        <v>2027.06</v>
      </c>
      <c r="B411" s="913" t="e">
        <v>#N/A</v>
      </c>
      <c r="C411" s="913" t="e">
        <v>#N/A</v>
      </c>
      <c r="D411" s="3694" t="e">
        <v>#N/A</v>
      </c>
      <c r="E411" s="914" t="e">
        <v>#N/A</v>
      </c>
      <c r="F411" s="3694" t="e">
        <v>#N/A</v>
      </c>
      <c r="G411" s="914" t="e">
        <v>#N/A</v>
      </c>
      <c r="H411" s="3694" t="e">
        <v>#N/A</v>
      </c>
      <c r="I411" s="914" t="e">
        <v>#N/A</v>
      </c>
      <c r="J411" s="3694" t="e">
        <v>#N/A</v>
      </c>
      <c r="K411" s="3694" t="e">
        <v>#N/A</v>
      </c>
      <c r="L411" s="3694" t="e">
        <v>#N/A</v>
      </c>
      <c r="M411" s="914" t="e">
        <v>#N/A</v>
      </c>
      <c r="N411" s="3694" t="e">
        <v>#N/A</v>
      </c>
      <c r="O411" s="915" t="e">
        <v>#N/A</v>
      </c>
    </row>
    <row r="412" spans="1:15">
      <c r="A412" s="972">
        <v>2027.07</v>
      </c>
      <c r="B412" s="913" t="e">
        <v>#N/A</v>
      </c>
      <c r="C412" s="913" t="e">
        <v>#N/A</v>
      </c>
      <c r="D412" s="3694" t="e">
        <v>#N/A</v>
      </c>
      <c r="E412" s="914" t="e">
        <v>#N/A</v>
      </c>
      <c r="F412" s="3694" t="e">
        <v>#N/A</v>
      </c>
      <c r="G412" s="914" t="e">
        <v>#N/A</v>
      </c>
      <c r="H412" s="3694" t="e">
        <v>#N/A</v>
      </c>
      <c r="I412" s="914" t="e">
        <v>#N/A</v>
      </c>
      <c r="J412" s="3694" t="e">
        <v>#N/A</v>
      </c>
      <c r="K412" s="3694" t="e">
        <v>#N/A</v>
      </c>
      <c r="L412" s="3694" t="e">
        <v>#N/A</v>
      </c>
      <c r="M412" s="914" t="e">
        <v>#N/A</v>
      </c>
      <c r="N412" s="3694" t="e">
        <v>#N/A</v>
      </c>
      <c r="O412" s="915" t="e">
        <v>#N/A</v>
      </c>
    </row>
    <row r="413" spans="1:15">
      <c r="A413" s="972">
        <v>2027.08</v>
      </c>
      <c r="B413" s="913" t="e">
        <v>#N/A</v>
      </c>
      <c r="C413" s="913" t="e">
        <v>#N/A</v>
      </c>
      <c r="D413" s="3694" t="e">
        <v>#N/A</v>
      </c>
      <c r="E413" s="914" t="e">
        <v>#N/A</v>
      </c>
      <c r="F413" s="3694" t="e">
        <v>#N/A</v>
      </c>
      <c r="G413" s="914" t="e">
        <v>#N/A</v>
      </c>
      <c r="H413" s="3694" t="e">
        <v>#N/A</v>
      </c>
      <c r="I413" s="914" t="e">
        <v>#N/A</v>
      </c>
      <c r="J413" s="3694" t="e">
        <v>#N/A</v>
      </c>
      <c r="K413" s="3694" t="e">
        <v>#N/A</v>
      </c>
      <c r="L413" s="3694" t="e">
        <v>#N/A</v>
      </c>
      <c r="M413" s="914" t="e">
        <v>#N/A</v>
      </c>
      <c r="N413" s="3694" t="e">
        <v>#N/A</v>
      </c>
      <c r="O413" s="915" t="e">
        <v>#N/A</v>
      </c>
    </row>
    <row r="414" spans="1:15">
      <c r="A414" s="972">
        <v>2027.09</v>
      </c>
      <c r="B414" s="913" t="e">
        <v>#N/A</v>
      </c>
      <c r="C414" s="913" t="e">
        <v>#N/A</v>
      </c>
      <c r="D414" s="3694" t="e">
        <v>#N/A</v>
      </c>
      <c r="E414" s="914" t="e">
        <v>#N/A</v>
      </c>
      <c r="F414" s="3694" t="e">
        <v>#N/A</v>
      </c>
      <c r="G414" s="914" t="e">
        <v>#N/A</v>
      </c>
      <c r="H414" s="3694" t="e">
        <v>#N/A</v>
      </c>
      <c r="I414" s="914" t="e">
        <v>#N/A</v>
      </c>
      <c r="J414" s="3694" t="e">
        <v>#N/A</v>
      </c>
      <c r="K414" s="3694" t="e">
        <v>#N/A</v>
      </c>
      <c r="L414" s="3694" t="e">
        <v>#N/A</v>
      </c>
      <c r="M414" s="914" t="e">
        <v>#N/A</v>
      </c>
      <c r="N414" s="3694" t="e">
        <v>#N/A</v>
      </c>
      <c r="O414" s="915" t="e">
        <v>#N/A</v>
      </c>
    </row>
    <row r="415" spans="1:15">
      <c r="A415" s="972">
        <v>2027.1</v>
      </c>
      <c r="B415" s="913" t="e">
        <v>#N/A</v>
      </c>
      <c r="C415" s="913" t="e">
        <v>#N/A</v>
      </c>
      <c r="D415" s="3694" t="e">
        <v>#N/A</v>
      </c>
      <c r="E415" s="914" t="e">
        <v>#N/A</v>
      </c>
      <c r="F415" s="3694" t="e">
        <v>#N/A</v>
      </c>
      <c r="G415" s="914" t="e">
        <v>#N/A</v>
      </c>
      <c r="H415" s="3694" t="e">
        <v>#N/A</v>
      </c>
      <c r="I415" s="914" t="e">
        <v>#N/A</v>
      </c>
      <c r="J415" s="3694" t="e">
        <v>#N/A</v>
      </c>
      <c r="K415" s="3694" t="e">
        <v>#N/A</v>
      </c>
      <c r="L415" s="3694" t="e">
        <v>#N/A</v>
      </c>
      <c r="M415" s="914" t="e">
        <v>#N/A</v>
      </c>
      <c r="N415" s="3694" t="e">
        <v>#N/A</v>
      </c>
      <c r="O415" s="915" t="e">
        <v>#N/A</v>
      </c>
    </row>
    <row r="416" spans="1:15">
      <c r="A416" s="972">
        <v>2027.11</v>
      </c>
      <c r="B416" s="913" t="e">
        <v>#N/A</v>
      </c>
      <c r="C416" s="913" t="e">
        <v>#N/A</v>
      </c>
      <c r="D416" s="3694" t="e">
        <v>#N/A</v>
      </c>
      <c r="E416" s="914" t="e">
        <v>#N/A</v>
      </c>
      <c r="F416" s="3694" t="e">
        <v>#N/A</v>
      </c>
      <c r="G416" s="914" t="e">
        <v>#N/A</v>
      </c>
      <c r="H416" s="3694" t="e">
        <v>#N/A</v>
      </c>
      <c r="I416" s="914" t="e">
        <v>#N/A</v>
      </c>
      <c r="J416" s="3694" t="e">
        <v>#N/A</v>
      </c>
      <c r="K416" s="3694" t="e">
        <v>#N/A</v>
      </c>
      <c r="L416" s="3694" t="e">
        <v>#N/A</v>
      </c>
      <c r="M416" s="914" t="e">
        <v>#N/A</v>
      </c>
      <c r="N416" s="3694" t="e">
        <v>#N/A</v>
      </c>
      <c r="O416" s="915" t="e">
        <v>#N/A</v>
      </c>
    </row>
    <row r="417" spans="1:15">
      <c r="A417" s="972">
        <v>2027.12</v>
      </c>
      <c r="B417" s="913" t="e">
        <v>#N/A</v>
      </c>
      <c r="C417" s="913" t="e">
        <v>#N/A</v>
      </c>
      <c r="D417" s="3694" t="e">
        <v>#N/A</v>
      </c>
      <c r="E417" s="914" t="e">
        <v>#N/A</v>
      </c>
      <c r="F417" s="3694" t="e">
        <v>#N/A</v>
      </c>
      <c r="G417" s="914" t="e">
        <v>#N/A</v>
      </c>
      <c r="H417" s="3694" t="e">
        <v>#N/A</v>
      </c>
      <c r="I417" s="914" t="e">
        <v>#N/A</v>
      </c>
      <c r="J417" s="3694" t="e">
        <v>#N/A</v>
      </c>
      <c r="K417" s="3694" t="e">
        <v>#N/A</v>
      </c>
      <c r="L417" s="3694" t="e">
        <v>#N/A</v>
      </c>
      <c r="M417" s="914" t="e">
        <v>#N/A</v>
      </c>
      <c r="N417" s="3694" t="e">
        <v>#N/A</v>
      </c>
      <c r="O417" s="915" t="e">
        <v>#N/A</v>
      </c>
    </row>
    <row r="418" spans="1:15">
      <c r="A418" s="972">
        <v>2028.01</v>
      </c>
      <c r="B418" s="913" t="e">
        <v>#N/A</v>
      </c>
      <c r="C418" s="913" t="e">
        <v>#N/A</v>
      </c>
      <c r="D418" s="3694" t="e">
        <v>#N/A</v>
      </c>
      <c r="E418" s="914" t="e">
        <v>#N/A</v>
      </c>
      <c r="F418" s="3694" t="e">
        <v>#N/A</v>
      </c>
      <c r="G418" s="914" t="e">
        <v>#N/A</v>
      </c>
      <c r="H418" s="3694" t="e">
        <v>#N/A</v>
      </c>
      <c r="I418" s="914" t="e">
        <v>#N/A</v>
      </c>
      <c r="J418" s="3694" t="e">
        <v>#N/A</v>
      </c>
      <c r="K418" s="3694" t="e">
        <v>#N/A</v>
      </c>
      <c r="L418" s="3694" t="e">
        <v>#N/A</v>
      </c>
      <c r="M418" s="914" t="e">
        <v>#N/A</v>
      </c>
      <c r="N418" s="3694" t="e">
        <v>#N/A</v>
      </c>
      <c r="O418" s="915" t="e">
        <v>#N/A</v>
      </c>
    </row>
    <row r="419" spans="1:15">
      <c r="A419" s="972">
        <v>2028.02</v>
      </c>
      <c r="B419" s="913" t="e">
        <v>#N/A</v>
      </c>
      <c r="C419" s="913" t="e">
        <v>#N/A</v>
      </c>
      <c r="D419" s="3694" t="e">
        <v>#N/A</v>
      </c>
      <c r="E419" s="914" t="e">
        <v>#N/A</v>
      </c>
      <c r="F419" s="3694" t="e">
        <v>#N/A</v>
      </c>
      <c r="G419" s="914" t="e">
        <v>#N/A</v>
      </c>
      <c r="H419" s="3694" t="e">
        <v>#N/A</v>
      </c>
      <c r="I419" s="914" t="e">
        <v>#N/A</v>
      </c>
      <c r="J419" s="3694" t="e">
        <v>#N/A</v>
      </c>
      <c r="K419" s="3694" t="e">
        <v>#N/A</v>
      </c>
      <c r="L419" s="3694" t="e">
        <v>#N/A</v>
      </c>
      <c r="M419" s="914" t="e">
        <v>#N/A</v>
      </c>
      <c r="N419" s="3694" t="e">
        <v>#N/A</v>
      </c>
      <c r="O419" s="915" t="e">
        <v>#N/A</v>
      </c>
    </row>
    <row r="420" spans="1:15">
      <c r="A420" s="972">
        <v>2028.03</v>
      </c>
      <c r="B420" s="913" t="e">
        <v>#N/A</v>
      </c>
      <c r="C420" s="913" t="e">
        <v>#N/A</v>
      </c>
      <c r="D420" s="3694" t="e">
        <v>#N/A</v>
      </c>
      <c r="E420" s="914" t="e">
        <v>#N/A</v>
      </c>
      <c r="F420" s="3694" t="e">
        <v>#N/A</v>
      </c>
      <c r="G420" s="914" t="e">
        <v>#N/A</v>
      </c>
      <c r="H420" s="3694" t="e">
        <v>#N/A</v>
      </c>
      <c r="I420" s="914" t="e">
        <v>#N/A</v>
      </c>
      <c r="J420" s="3694" t="e">
        <v>#N/A</v>
      </c>
      <c r="K420" s="3694" t="e">
        <v>#N/A</v>
      </c>
      <c r="L420" s="3694" t="e">
        <v>#N/A</v>
      </c>
      <c r="M420" s="914" t="e">
        <v>#N/A</v>
      </c>
      <c r="N420" s="3694" t="e">
        <v>#N/A</v>
      </c>
      <c r="O420" s="915" t="e">
        <v>#N/A</v>
      </c>
    </row>
    <row r="421" spans="1:15">
      <c r="A421" s="972">
        <v>2028.04</v>
      </c>
      <c r="B421" s="913" t="e">
        <v>#N/A</v>
      </c>
      <c r="C421" s="913" t="e">
        <v>#N/A</v>
      </c>
      <c r="D421" s="3694" t="e">
        <v>#N/A</v>
      </c>
      <c r="E421" s="914" t="e">
        <v>#N/A</v>
      </c>
      <c r="F421" s="3694" t="e">
        <v>#N/A</v>
      </c>
      <c r="G421" s="914" t="e">
        <v>#N/A</v>
      </c>
      <c r="H421" s="3694" t="e">
        <v>#N/A</v>
      </c>
      <c r="I421" s="914" t="e">
        <v>#N/A</v>
      </c>
      <c r="J421" s="3694" t="e">
        <v>#N/A</v>
      </c>
      <c r="K421" s="3694" t="e">
        <v>#N/A</v>
      </c>
      <c r="L421" s="3694" t="e">
        <v>#N/A</v>
      </c>
      <c r="M421" s="914" t="e">
        <v>#N/A</v>
      </c>
      <c r="N421" s="3694" t="e">
        <v>#N/A</v>
      </c>
      <c r="O421" s="915" t="e">
        <v>#N/A</v>
      </c>
    </row>
    <row r="422" spans="1:15">
      <c r="A422" s="972">
        <v>2028.05</v>
      </c>
      <c r="B422" s="913" t="e">
        <v>#N/A</v>
      </c>
      <c r="C422" s="913" t="e">
        <v>#N/A</v>
      </c>
      <c r="D422" s="3694" t="e">
        <v>#N/A</v>
      </c>
      <c r="E422" s="914" t="e">
        <v>#N/A</v>
      </c>
      <c r="F422" s="3694" t="e">
        <v>#N/A</v>
      </c>
      <c r="G422" s="914" t="e">
        <v>#N/A</v>
      </c>
      <c r="H422" s="3694" t="e">
        <v>#N/A</v>
      </c>
      <c r="I422" s="914" t="e">
        <v>#N/A</v>
      </c>
      <c r="J422" s="3694" t="e">
        <v>#N/A</v>
      </c>
      <c r="K422" s="3694" t="e">
        <v>#N/A</v>
      </c>
      <c r="L422" s="3694" t="e">
        <v>#N/A</v>
      </c>
      <c r="M422" s="914" t="e">
        <v>#N/A</v>
      </c>
      <c r="N422" s="3694" t="e">
        <v>#N/A</v>
      </c>
      <c r="O422" s="915" t="e">
        <v>#N/A</v>
      </c>
    </row>
    <row r="423" spans="1:15">
      <c r="A423" s="972">
        <v>2028.06</v>
      </c>
      <c r="B423" s="913" t="e">
        <v>#N/A</v>
      </c>
      <c r="C423" s="913" t="e">
        <v>#N/A</v>
      </c>
      <c r="D423" s="3694" t="e">
        <v>#N/A</v>
      </c>
      <c r="E423" s="914" t="e">
        <v>#N/A</v>
      </c>
      <c r="F423" s="3694" t="e">
        <v>#N/A</v>
      </c>
      <c r="G423" s="914" t="e">
        <v>#N/A</v>
      </c>
      <c r="H423" s="3694" t="e">
        <v>#N/A</v>
      </c>
      <c r="I423" s="914" t="e">
        <v>#N/A</v>
      </c>
      <c r="J423" s="3694" t="e">
        <v>#N/A</v>
      </c>
      <c r="K423" s="3694" t="e">
        <v>#N/A</v>
      </c>
      <c r="L423" s="3694" t="e">
        <v>#N/A</v>
      </c>
      <c r="M423" s="914" t="e">
        <v>#N/A</v>
      </c>
      <c r="N423" s="3694" t="e">
        <v>#N/A</v>
      </c>
      <c r="O423" s="915" t="e">
        <v>#N/A</v>
      </c>
    </row>
    <row r="424" spans="1:15">
      <c r="A424" s="972">
        <v>2028.07</v>
      </c>
      <c r="B424" s="913" t="e">
        <v>#N/A</v>
      </c>
      <c r="C424" s="913" t="e">
        <v>#N/A</v>
      </c>
      <c r="D424" s="3694" t="e">
        <v>#N/A</v>
      </c>
      <c r="E424" s="914" t="e">
        <v>#N/A</v>
      </c>
      <c r="F424" s="3694" t="e">
        <v>#N/A</v>
      </c>
      <c r="G424" s="914" t="e">
        <v>#N/A</v>
      </c>
      <c r="H424" s="3694" t="e">
        <v>#N/A</v>
      </c>
      <c r="I424" s="914" t="e">
        <v>#N/A</v>
      </c>
      <c r="J424" s="3694" t="e">
        <v>#N/A</v>
      </c>
      <c r="K424" s="3694" t="e">
        <v>#N/A</v>
      </c>
      <c r="L424" s="3694" t="e">
        <v>#N/A</v>
      </c>
      <c r="M424" s="914" t="e">
        <v>#N/A</v>
      </c>
      <c r="N424" s="3694" t="e">
        <v>#N/A</v>
      </c>
      <c r="O424" s="915" t="e">
        <v>#N/A</v>
      </c>
    </row>
    <row r="425" spans="1:15">
      <c r="A425" s="972">
        <v>2028.08</v>
      </c>
      <c r="B425" s="913" t="e">
        <v>#N/A</v>
      </c>
      <c r="C425" s="913" t="e">
        <v>#N/A</v>
      </c>
      <c r="D425" s="3694" t="e">
        <v>#N/A</v>
      </c>
      <c r="E425" s="914" t="e">
        <v>#N/A</v>
      </c>
      <c r="F425" s="3694" t="e">
        <v>#N/A</v>
      </c>
      <c r="G425" s="914" t="e">
        <v>#N/A</v>
      </c>
      <c r="H425" s="3694" t="e">
        <v>#N/A</v>
      </c>
      <c r="I425" s="914" t="e">
        <v>#N/A</v>
      </c>
      <c r="J425" s="3694" t="e">
        <v>#N/A</v>
      </c>
      <c r="K425" s="3694" t="e">
        <v>#N/A</v>
      </c>
      <c r="L425" s="3694" t="e">
        <v>#N/A</v>
      </c>
      <c r="M425" s="914" t="e">
        <v>#N/A</v>
      </c>
      <c r="N425" s="3694" t="e">
        <v>#N/A</v>
      </c>
      <c r="O425" s="915" t="e">
        <v>#N/A</v>
      </c>
    </row>
    <row r="426" spans="1:15">
      <c r="A426" s="972">
        <v>2028.09</v>
      </c>
      <c r="B426" s="913" t="e">
        <v>#N/A</v>
      </c>
      <c r="C426" s="913" t="e">
        <v>#N/A</v>
      </c>
      <c r="D426" s="3694" t="e">
        <v>#N/A</v>
      </c>
      <c r="E426" s="914" t="e">
        <v>#N/A</v>
      </c>
      <c r="F426" s="3694" t="e">
        <v>#N/A</v>
      </c>
      <c r="G426" s="914" t="e">
        <v>#N/A</v>
      </c>
      <c r="H426" s="3694" t="e">
        <v>#N/A</v>
      </c>
      <c r="I426" s="914" t="e">
        <v>#N/A</v>
      </c>
      <c r="J426" s="3694" t="e">
        <v>#N/A</v>
      </c>
      <c r="K426" s="3694" t="e">
        <v>#N/A</v>
      </c>
      <c r="L426" s="3694" t="e">
        <v>#N/A</v>
      </c>
      <c r="M426" s="914" t="e">
        <v>#N/A</v>
      </c>
      <c r="N426" s="3694" t="e">
        <v>#N/A</v>
      </c>
      <c r="O426" s="915" t="e">
        <v>#N/A</v>
      </c>
    </row>
    <row r="427" spans="1:15">
      <c r="A427" s="972">
        <v>2028.1</v>
      </c>
      <c r="B427" s="913" t="e">
        <v>#N/A</v>
      </c>
      <c r="C427" s="913" t="e">
        <v>#N/A</v>
      </c>
      <c r="D427" s="3694" t="e">
        <v>#N/A</v>
      </c>
      <c r="E427" s="914" t="e">
        <v>#N/A</v>
      </c>
      <c r="F427" s="3694" t="e">
        <v>#N/A</v>
      </c>
      <c r="G427" s="914" t="e">
        <v>#N/A</v>
      </c>
      <c r="H427" s="3694" t="e">
        <v>#N/A</v>
      </c>
      <c r="I427" s="914" t="e">
        <v>#N/A</v>
      </c>
      <c r="J427" s="3694" t="e">
        <v>#N/A</v>
      </c>
      <c r="K427" s="3694" t="e">
        <v>#N/A</v>
      </c>
      <c r="L427" s="3694" t="e">
        <v>#N/A</v>
      </c>
      <c r="M427" s="914" t="e">
        <v>#N/A</v>
      </c>
      <c r="N427" s="3694" t="e">
        <v>#N/A</v>
      </c>
      <c r="O427" s="915" t="e">
        <v>#N/A</v>
      </c>
    </row>
    <row r="428" spans="1:15">
      <c r="A428" s="972">
        <v>2028.11</v>
      </c>
      <c r="B428" s="913" t="e">
        <v>#N/A</v>
      </c>
      <c r="C428" s="913" t="e">
        <v>#N/A</v>
      </c>
      <c r="D428" s="3694" t="e">
        <v>#N/A</v>
      </c>
      <c r="E428" s="914" t="e">
        <v>#N/A</v>
      </c>
      <c r="F428" s="3694" t="e">
        <v>#N/A</v>
      </c>
      <c r="G428" s="914" t="e">
        <v>#N/A</v>
      </c>
      <c r="H428" s="3694" t="e">
        <v>#N/A</v>
      </c>
      <c r="I428" s="914" t="e">
        <v>#N/A</v>
      </c>
      <c r="J428" s="3694" t="e">
        <v>#N/A</v>
      </c>
      <c r="K428" s="3694" t="e">
        <v>#N/A</v>
      </c>
      <c r="L428" s="3694" t="e">
        <v>#N/A</v>
      </c>
      <c r="M428" s="914" t="e">
        <v>#N/A</v>
      </c>
      <c r="N428" s="3694" t="e">
        <v>#N/A</v>
      </c>
      <c r="O428" s="915" t="e">
        <v>#N/A</v>
      </c>
    </row>
    <row r="429" spans="1:15">
      <c r="A429" s="972">
        <v>2028.12</v>
      </c>
      <c r="B429" s="913" t="e">
        <v>#N/A</v>
      </c>
      <c r="C429" s="913" t="e">
        <v>#N/A</v>
      </c>
      <c r="D429" s="3694" t="e">
        <v>#N/A</v>
      </c>
      <c r="E429" s="914" t="e">
        <v>#N/A</v>
      </c>
      <c r="F429" s="3694" t="e">
        <v>#N/A</v>
      </c>
      <c r="G429" s="914" t="e">
        <v>#N/A</v>
      </c>
      <c r="H429" s="3694" t="e">
        <v>#N/A</v>
      </c>
      <c r="I429" s="914" t="e">
        <v>#N/A</v>
      </c>
      <c r="J429" s="3694" t="e">
        <v>#N/A</v>
      </c>
      <c r="K429" s="3694" t="e">
        <v>#N/A</v>
      </c>
      <c r="L429" s="3694" t="e">
        <v>#N/A</v>
      </c>
      <c r="M429" s="914" t="e">
        <v>#N/A</v>
      </c>
      <c r="N429" s="3694" t="e">
        <v>#N/A</v>
      </c>
      <c r="O429" s="915" t="e">
        <v>#N/A</v>
      </c>
    </row>
    <row r="430" spans="1:15">
      <c r="A430" s="972">
        <v>2029.01</v>
      </c>
      <c r="B430" s="913" t="e">
        <v>#N/A</v>
      </c>
      <c r="C430" s="913" t="e">
        <v>#N/A</v>
      </c>
      <c r="D430" s="3694" t="e">
        <v>#N/A</v>
      </c>
      <c r="E430" s="914" t="e">
        <v>#N/A</v>
      </c>
      <c r="F430" s="3694" t="e">
        <v>#N/A</v>
      </c>
      <c r="G430" s="914" t="e">
        <v>#N/A</v>
      </c>
      <c r="H430" s="3694" t="e">
        <v>#N/A</v>
      </c>
      <c r="I430" s="914" t="e">
        <v>#N/A</v>
      </c>
      <c r="J430" s="3694" t="e">
        <v>#N/A</v>
      </c>
      <c r="K430" s="3694" t="e">
        <v>#N/A</v>
      </c>
      <c r="L430" s="3694" t="e">
        <v>#N/A</v>
      </c>
      <c r="M430" s="914" t="e">
        <v>#N/A</v>
      </c>
      <c r="N430" s="3694" t="e">
        <v>#N/A</v>
      </c>
      <c r="O430" s="915" t="e">
        <v>#N/A</v>
      </c>
    </row>
    <row r="431" spans="1:15">
      <c r="A431" s="972">
        <v>2029.02</v>
      </c>
      <c r="B431" s="913" t="e">
        <v>#N/A</v>
      </c>
      <c r="C431" s="913" t="e">
        <v>#N/A</v>
      </c>
      <c r="D431" s="3694" t="e">
        <v>#N/A</v>
      </c>
      <c r="E431" s="914" t="e">
        <v>#N/A</v>
      </c>
      <c r="F431" s="3694" t="e">
        <v>#N/A</v>
      </c>
      <c r="G431" s="914" t="e">
        <v>#N/A</v>
      </c>
      <c r="H431" s="3694" t="e">
        <v>#N/A</v>
      </c>
      <c r="I431" s="914" t="e">
        <v>#N/A</v>
      </c>
      <c r="J431" s="3694" t="e">
        <v>#N/A</v>
      </c>
      <c r="K431" s="3694" t="e">
        <v>#N/A</v>
      </c>
      <c r="L431" s="3694" t="e">
        <v>#N/A</v>
      </c>
      <c r="M431" s="914" t="e">
        <v>#N/A</v>
      </c>
      <c r="N431" s="3694" t="e">
        <v>#N/A</v>
      </c>
      <c r="O431" s="915" t="e">
        <v>#N/A</v>
      </c>
    </row>
    <row r="432" spans="1:15">
      <c r="A432" s="972">
        <v>2029.03</v>
      </c>
      <c r="B432" s="913" t="e">
        <v>#N/A</v>
      </c>
      <c r="C432" s="913" t="e">
        <v>#N/A</v>
      </c>
      <c r="D432" s="3694" t="e">
        <v>#N/A</v>
      </c>
      <c r="E432" s="914" t="e">
        <v>#N/A</v>
      </c>
      <c r="F432" s="3694" t="e">
        <v>#N/A</v>
      </c>
      <c r="G432" s="914" t="e">
        <v>#N/A</v>
      </c>
      <c r="H432" s="3694" t="e">
        <v>#N/A</v>
      </c>
      <c r="I432" s="914" t="e">
        <v>#N/A</v>
      </c>
      <c r="J432" s="3694" t="e">
        <v>#N/A</v>
      </c>
      <c r="K432" s="3694" t="e">
        <v>#N/A</v>
      </c>
      <c r="L432" s="3694" t="e">
        <v>#N/A</v>
      </c>
      <c r="M432" s="914" t="e">
        <v>#N/A</v>
      </c>
      <c r="N432" s="3694" t="e">
        <v>#N/A</v>
      </c>
      <c r="O432" s="915" t="e">
        <v>#N/A</v>
      </c>
    </row>
    <row r="433" spans="1:15">
      <c r="A433" s="972">
        <v>2029.04</v>
      </c>
      <c r="B433" s="913" t="e">
        <v>#N/A</v>
      </c>
      <c r="C433" s="913" t="e">
        <v>#N/A</v>
      </c>
      <c r="D433" s="3694" t="e">
        <v>#N/A</v>
      </c>
      <c r="E433" s="914" t="e">
        <v>#N/A</v>
      </c>
      <c r="F433" s="3694" t="e">
        <v>#N/A</v>
      </c>
      <c r="G433" s="914" t="e">
        <v>#N/A</v>
      </c>
      <c r="H433" s="3694" t="e">
        <v>#N/A</v>
      </c>
      <c r="I433" s="914" t="e">
        <v>#N/A</v>
      </c>
      <c r="J433" s="3694" t="e">
        <v>#N/A</v>
      </c>
      <c r="K433" s="3694" t="e">
        <v>#N/A</v>
      </c>
      <c r="L433" s="3694" t="e">
        <v>#N/A</v>
      </c>
      <c r="M433" s="914" t="e">
        <v>#N/A</v>
      </c>
      <c r="N433" s="3694" t="e">
        <v>#N/A</v>
      </c>
      <c r="O433" s="915" t="e">
        <v>#N/A</v>
      </c>
    </row>
    <row r="434" spans="1:15">
      <c r="A434" s="972">
        <v>2029.05</v>
      </c>
      <c r="B434" s="913" t="e">
        <v>#N/A</v>
      </c>
      <c r="C434" s="913" t="e">
        <v>#N/A</v>
      </c>
      <c r="D434" s="3694" t="e">
        <v>#N/A</v>
      </c>
      <c r="E434" s="914" t="e">
        <v>#N/A</v>
      </c>
      <c r="F434" s="3694" t="e">
        <v>#N/A</v>
      </c>
      <c r="G434" s="914" t="e">
        <v>#N/A</v>
      </c>
      <c r="H434" s="3694" t="e">
        <v>#N/A</v>
      </c>
      <c r="I434" s="914" t="e">
        <v>#N/A</v>
      </c>
      <c r="J434" s="3694" t="e">
        <v>#N/A</v>
      </c>
      <c r="K434" s="3694" t="e">
        <v>#N/A</v>
      </c>
      <c r="L434" s="3694" t="e">
        <v>#N/A</v>
      </c>
      <c r="M434" s="914" t="e">
        <v>#N/A</v>
      </c>
      <c r="N434" s="3694" t="e">
        <v>#N/A</v>
      </c>
      <c r="O434" s="915" t="e">
        <v>#N/A</v>
      </c>
    </row>
    <row r="435" spans="1:15">
      <c r="A435" s="972">
        <v>2029.06</v>
      </c>
      <c r="B435" s="913" t="e">
        <v>#N/A</v>
      </c>
      <c r="C435" s="913" t="e">
        <v>#N/A</v>
      </c>
      <c r="D435" s="3694" t="e">
        <v>#N/A</v>
      </c>
      <c r="E435" s="914" t="e">
        <v>#N/A</v>
      </c>
      <c r="F435" s="3694" t="e">
        <v>#N/A</v>
      </c>
      <c r="G435" s="914" t="e">
        <v>#N/A</v>
      </c>
      <c r="H435" s="3694" t="e">
        <v>#N/A</v>
      </c>
      <c r="I435" s="914" t="e">
        <v>#N/A</v>
      </c>
      <c r="J435" s="3694" t="e">
        <v>#N/A</v>
      </c>
      <c r="K435" s="3694" t="e">
        <v>#N/A</v>
      </c>
      <c r="L435" s="3694" t="e">
        <v>#N/A</v>
      </c>
      <c r="M435" s="914" t="e">
        <v>#N/A</v>
      </c>
      <c r="N435" s="3694" t="e">
        <v>#N/A</v>
      </c>
      <c r="O435" s="915" t="e">
        <v>#N/A</v>
      </c>
    </row>
    <row r="436" spans="1:15">
      <c r="A436" s="972">
        <v>2029.07</v>
      </c>
      <c r="B436" s="913" t="e">
        <v>#N/A</v>
      </c>
      <c r="C436" s="913" t="e">
        <v>#N/A</v>
      </c>
      <c r="D436" s="3694" t="e">
        <v>#N/A</v>
      </c>
      <c r="E436" s="914" t="e">
        <v>#N/A</v>
      </c>
      <c r="F436" s="3694" t="e">
        <v>#N/A</v>
      </c>
      <c r="G436" s="914" t="e">
        <v>#N/A</v>
      </c>
      <c r="H436" s="3694" t="e">
        <v>#N/A</v>
      </c>
      <c r="I436" s="914" t="e">
        <v>#N/A</v>
      </c>
      <c r="J436" s="3694" t="e">
        <v>#N/A</v>
      </c>
      <c r="K436" s="3694" t="e">
        <v>#N/A</v>
      </c>
      <c r="L436" s="3694" t="e">
        <v>#N/A</v>
      </c>
      <c r="M436" s="914" t="e">
        <v>#N/A</v>
      </c>
      <c r="N436" s="3694" t="e">
        <v>#N/A</v>
      </c>
      <c r="O436" s="915" t="e">
        <v>#N/A</v>
      </c>
    </row>
    <row r="437" spans="1:15">
      <c r="A437" s="972">
        <v>2029.08</v>
      </c>
      <c r="B437" s="913" t="e">
        <v>#N/A</v>
      </c>
      <c r="C437" s="913" t="e">
        <v>#N/A</v>
      </c>
      <c r="D437" s="3694" t="e">
        <v>#N/A</v>
      </c>
      <c r="E437" s="914" t="e">
        <v>#N/A</v>
      </c>
      <c r="F437" s="3694" t="e">
        <v>#N/A</v>
      </c>
      <c r="G437" s="914" t="e">
        <v>#N/A</v>
      </c>
      <c r="H437" s="3694" t="e">
        <v>#N/A</v>
      </c>
      <c r="I437" s="914" t="e">
        <v>#N/A</v>
      </c>
      <c r="J437" s="3694" t="e">
        <v>#N/A</v>
      </c>
      <c r="K437" s="3694" t="e">
        <v>#N/A</v>
      </c>
      <c r="L437" s="3694" t="e">
        <v>#N/A</v>
      </c>
      <c r="M437" s="914" t="e">
        <v>#N/A</v>
      </c>
      <c r="N437" s="3694" t="e">
        <v>#N/A</v>
      </c>
      <c r="O437" s="915" t="e">
        <v>#N/A</v>
      </c>
    </row>
    <row r="438" spans="1:15">
      <c r="A438" s="972">
        <v>2029.09</v>
      </c>
      <c r="B438" s="913" t="e">
        <v>#N/A</v>
      </c>
      <c r="C438" s="913" t="e">
        <v>#N/A</v>
      </c>
      <c r="D438" s="3694" t="e">
        <v>#N/A</v>
      </c>
      <c r="E438" s="914" t="e">
        <v>#N/A</v>
      </c>
      <c r="F438" s="3694" t="e">
        <v>#N/A</v>
      </c>
      <c r="G438" s="914" t="e">
        <v>#N/A</v>
      </c>
      <c r="H438" s="3694" t="e">
        <v>#N/A</v>
      </c>
      <c r="I438" s="914" t="e">
        <v>#N/A</v>
      </c>
      <c r="J438" s="3694" t="e">
        <v>#N/A</v>
      </c>
      <c r="K438" s="3694" t="e">
        <v>#N/A</v>
      </c>
      <c r="L438" s="3694" t="e">
        <v>#N/A</v>
      </c>
      <c r="M438" s="914" t="e">
        <v>#N/A</v>
      </c>
      <c r="N438" s="3694" t="e">
        <v>#N/A</v>
      </c>
      <c r="O438" s="915" t="e">
        <v>#N/A</v>
      </c>
    </row>
    <row r="439" spans="1:15">
      <c r="A439" s="972">
        <v>2029.1</v>
      </c>
      <c r="B439" s="913" t="e">
        <v>#N/A</v>
      </c>
      <c r="C439" s="913" t="e">
        <v>#N/A</v>
      </c>
      <c r="D439" s="3694" t="e">
        <v>#N/A</v>
      </c>
      <c r="E439" s="914" t="e">
        <v>#N/A</v>
      </c>
      <c r="F439" s="3694" t="e">
        <v>#N/A</v>
      </c>
      <c r="G439" s="914" t="e">
        <v>#N/A</v>
      </c>
      <c r="H439" s="3694" t="e">
        <v>#N/A</v>
      </c>
      <c r="I439" s="914" t="e">
        <v>#N/A</v>
      </c>
      <c r="J439" s="3694" t="e">
        <v>#N/A</v>
      </c>
      <c r="K439" s="3694" t="e">
        <v>#N/A</v>
      </c>
      <c r="L439" s="3694" t="e">
        <v>#N/A</v>
      </c>
      <c r="M439" s="914" t="e">
        <v>#N/A</v>
      </c>
      <c r="N439" s="3694" t="e">
        <v>#N/A</v>
      </c>
      <c r="O439" s="915" t="e">
        <v>#N/A</v>
      </c>
    </row>
    <row r="440" spans="1:15">
      <c r="A440" s="972">
        <v>2029.11</v>
      </c>
      <c r="B440" s="913" t="e">
        <v>#N/A</v>
      </c>
      <c r="C440" s="913" t="e">
        <v>#N/A</v>
      </c>
      <c r="D440" s="3694" t="e">
        <v>#N/A</v>
      </c>
      <c r="E440" s="914" t="e">
        <v>#N/A</v>
      </c>
      <c r="F440" s="3694" t="e">
        <v>#N/A</v>
      </c>
      <c r="G440" s="914" t="e">
        <v>#N/A</v>
      </c>
      <c r="H440" s="3694" t="e">
        <v>#N/A</v>
      </c>
      <c r="I440" s="914" t="e">
        <v>#N/A</v>
      </c>
      <c r="J440" s="3694" t="e">
        <v>#N/A</v>
      </c>
      <c r="K440" s="3694" t="e">
        <v>#N/A</v>
      </c>
      <c r="L440" s="3694" t="e">
        <v>#N/A</v>
      </c>
      <c r="M440" s="914" t="e">
        <v>#N/A</v>
      </c>
      <c r="N440" s="3694" t="e">
        <v>#N/A</v>
      </c>
      <c r="O440" s="915" t="e">
        <v>#N/A</v>
      </c>
    </row>
    <row r="441" spans="1:15">
      <c r="A441" s="972">
        <v>2029.12</v>
      </c>
      <c r="B441" s="913" t="e">
        <v>#N/A</v>
      </c>
      <c r="C441" s="913" t="e">
        <v>#N/A</v>
      </c>
      <c r="D441" s="3694" t="e">
        <v>#N/A</v>
      </c>
      <c r="E441" s="914" t="e">
        <v>#N/A</v>
      </c>
      <c r="F441" s="3694" t="e">
        <v>#N/A</v>
      </c>
      <c r="G441" s="914" t="e">
        <v>#N/A</v>
      </c>
      <c r="H441" s="3694" t="e">
        <v>#N/A</v>
      </c>
      <c r="I441" s="914" t="e">
        <v>#N/A</v>
      </c>
      <c r="J441" s="3694" t="e">
        <v>#N/A</v>
      </c>
      <c r="K441" s="3694" t="e">
        <v>#N/A</v>
      </c>
      <c r="L441" s="3694" t="e">
        <v>#N/A</v>
      </c>
      <c r="M441" s="914" t="e">
        <v>#N/A</v>
      </c>
      <c r="N441" s="3694" t="e">
        <v>#N/A</v>
      </c>
      <c r="O441" s="915" t="e">
        <v>#N/A</v>
      </c>
    </row>
    <row r="442" spans="1:15">
      <c r="A442" s="972">
        <v>2030.01</v>
      </c>
      <c r="B442" s="913" t="e">
        <v>#N/A</v>
      </c>
      <c r="C442" s="913" t="e">
        <v>#N/A</v>
      </c>
      <c r="D442" s="3694" t="e">
        <v>#N/A</v>
      </c>
      <c r="E442" s="914" t="e">
        <v>#N/A</v>
      </c>
      <c r="F442" s="3694" t="e">
        <v>#N/A</v>
      </c>
      <c r="G442" s="914" t="e">
        <v>#N/A</v>
      </c>
      <c r="H442" s="3694" t="e">
        <v>#N/A</v>
      </c>
      <c r="I442" s="914" t="e">
        <v>#N/A</v>
      </c>
      <c r="J442" s="3694" t="e">
        <v>#N/A</v>
      </c>
      <c r="K442" s="3694" t="e">
        <v>#N/A</v>
      </c>
      <c r="L442" s="3694" t="e">
        <v>#N/A</v>
      </c>
      <c r="M442" s="914" t="e">
        <v>#N/A</v>
      </c>
      <c r="N442" s="3694" t="e">
        <v>#N/A</v>
      </c>
      <c r="O442" s="915" t="e">
        <v>#N/A</v>
      </c>
    </row>
    <row r="443" spans="1:15">
      <c r="A443" s="972">
        <v>2030.02</v>
      </c>
      <c r="B443" s="913" t="e">
        <v>#N/A</v>
      </c>
      <c r="C443" s="913" t="e">
        <v>#N/A</v>
      </c>
      <c r="D443" s="3694" t="e">
        <v>#N/A</v>
      </c>
      <c r="E443" s="914" t="e">
        <v>#N/A</v>
      </c>
      <c r="F443" s="3694" t="e">
        <v>#N/A</v>
      </c>
      <c r="G443" s="914" t="e">
        <v>#N/A</v>
      </c>
      <c r="H443" s="3694" t="e">
        <v>#N/A</v>
      </c>
      <c r="I443" s="914" t="e">
        <v>#N/A</v>
      </c>
      <c r="J443" s="3694" t="e">
        <v>#N/A</v>
      </c>
      <c r="K443" s="3694" t="e">
        <v>#N/A</v>
      </c>
      <c r="L443" s="3694" t="e">
        <v>#N/A</v>
      </c>
      <c r="M443" s="914" t="e">
        <v>#N/A</v>
      </c>
      <c r="N443" s="3694" t="e">
        <v>#N/A</v>
      </c>
      <c r="O443" s="915" t="e">
        <v>#N/A</v>
      </c>
    </row>
    <row r="444" spans="1:15">
      <c r="A444" s="972">
        <v>2030.03</v>
      </c>
      <c r="B444" s="913" t="e">
        <v>#N/A</v>
      </c>
      <c r="C444" s="913" t="e">
        <v>#N/A</v>
      </c>
      <c r="D444" s="3694" t="e">
        <v>#N/A</v>
      </c>
      <c r="E444" s="914" t="e">
        <v>#N/A</v>
      </c>
      <c r="F444" s="3694" t="e">
        <v>#N/A</v>
      </c>
      <c r="G444" s="914" t="e">
        <v>#N/A</v>
      </c>
      <c r="H444" s="3694" t="e">
        <v>#N/A</v>
      </c>
      <c r="I444" s="914" t="e">
        <v>#N/A</v>
      </c>
      <c r="J444" s="3694" t="e">
        <v>#N/A</v>
      </c>
      <c r="K444" s="3694" t="e">
        <v>#N/A</v>
      </c>
      <c r="L444" s="3694" t="e">
        <v>#N/A</v>
      </c>
      <c r="M444" s="914" t="e">
        <v>#N/A</v>
      </c>
      <c r="N444" s="3694" t="e">
        <v>#N/A</v>
      </c>
      <c r="O444" s="915" t="e">
        <v>#N/A</v>
      </c>
    </row>
    <row r="445" spans="1:15">
      <c r="A445" s="972">
        <v>2030.04</v>
      </c>
      <c r="B445" s="913" t="e">
        <v>#N/A</v>
      </c>
      <c r="C445" s="913" t="e">
        <v>#N/A</v>
      </c>
      <c r="D445" s="3694" t="e">
        <v>#N/A</v>
      </c>
      <c r="E445" s="914" t="e">
        <v>#N/A</v>
      </c>
      <c r="F445" s="3694" t="e">
        <v>#N/A</v>
      </c>
      <c r="G445" s="914" t="e">
        <v>#N/A</v>
      </c>
      <c r="H445" s="3694" t="e">
        <v>#N/A</v>
      </c>
      <c r="I445" s="914" t="e">
        <v>#N/A</v>
      </c>
      <c r="J445" s="3694" t="e">
        <v>#N/A</v>
      </c>
      <c r="K445" s="3694" t="e">
        <v>#N/A</v>
      </c>
      <c r="L445" s="3694" t="e">
        <v>#N/A</v>
      </c>
      <c r="M445" s="914" t="e">
        <v>#N/A</v>
      </c>
      <c r="N445" s="3694" t="e">
        <v>#N/A</v>
      </c>
      <c r="O445" s="915" t="e">
        <v>#N/A</v>
      </c>
    </row>
    <row r="446" spans="1:15">
      <c r="A446" s="972">
        <v>2030.05</v>
      </c>
      <c r="B446" s="913" t="e">
        <v>#N/A</v>
      </c>
      <c r="C446" s="913" t="e">
        <v>#N/A</v>
      </c>
      <c r="D446" s="3694" t="e">
        <v>#N/A</v>
      </c>
      <c r="E446" s="914" t="e">
        <v>#N/A</v>
      </c>
      <c r="F446" s="3694" t="e">
        <v>#N/A</v>
      </c>
      <c r="G446" s="914" t="e">
        <v>#N/A</v>
      </c>
      <c r="H446" s="3694" t="e">
        <v>#N/A</v>
      </c>
      <c r="I446" s="914" t="e">
        <v>#N/A</v>
      </c>
      <c r="J446" s="3694" t="e">
        <v>#N/A</v>
      </c>
      <c r="K446" s="3694" t="e">
        <v>#N/A</v>
      </c>
      <c r="L446" s="3694" t="e">
        <v>#N/A</v>
      </c>
      <c r="M446" s="914" t="e">
        <v>#N/A</v>
      </c>
      <c r="N446" s="3694" t="e">
        <v>#N/A</v>
      </c>
      <c r="O446" s="915" t="e">
        <v>#N/A</v>
      </c>
    </row>
    <row r="447" spans="1:15">
      <c r="A447" s="972">
        <v>2030.06</v>
      </c>
      <c r="B447" s="913" t="e">
        <v>#N/A</v>
      </c>
      <c r="C447" s="913" t="e">
        <v>#N/A</v>
      </c>
      <c r="D447" s="3694" t="e">
        <v>#N/A</v>
      </c>
      <c r="E447" s="914" t="e">
        <v>#N/A</v>
      </c>
      <c r="F447" s="3694" t="e">
        <v>#N/A</v>
      </c>
      <c r="G447" s="914" t="e">
        <v>#N/A</v>
      </c>
      <c r="H447" s="3694" t="e">
        <v>#N/A</v>
      </c>
      <c r="I447" s="914" t="e">
        <v>#N/A</v>
      </c>
      <c r="J447" s="3694" t="e">
        <v>#N/A</v>
      </c>
      <c r="K447" s="3694" t="e">
        <v>#N/A</v>
      </c>
      <c r="L447" s="3694" t="e">
        <v>#N/A</v>
      </c>
      <c r="M447" s="914" t="e">
        <v>#N/A</v>
      </c>
      <c r="N447" s="3694" t="e">
        <v>#N/A</v>
      </c>
      <c r="O447" s="915" t="e">
        <v>#N/A</v>
      </c>
    </row>
    <row r="448" spans="1:15">
      <c r="A448" s="972">
        <v>2030.07</v>
      </c>
      <c r="B448" s="913" t="e">
        <v>#N/A</v>
      </c>
      <c r="C448" s="913" t="e">
        <v>#N/A</v>
      </c>
      <c r="D448" s="3694" t="e">
        <v>#N/A</v>
      </c>
      <c r="E448" s="914" t="e">
        <v>#N/A</v>
      </c>
      <c r="F448" s="3694" t="e">
        <v>#N/A</v>
      </c>
      <c r="G448" s="914" t="e">
        <v>#N/A</v>
      </c>
      <c r="H448" s="3694" t="e">
        <v>#N/A</v>
      </c>
      <c r="I448" s="914" t="e">
        <v>#N/A</v>
      </c>
      <c r="J448" s="3694" t="e">
        <v>#N/A</v>
      </c>
      <c r="K448" s="3694" t="e">
        <v>#N/A</v>
      </c>
      <c r="L448" s="3694" t="e">
        <v>#N/A</v>
      </c>
      <c r="M448" s="914" t="e">
        <v>#N/A</v>
      </c>
      <c r="N448" s="3694" t="e">
        <v>#N/A</v>
      </c>
      <c r="O448" s="915" t="e">
        <v>#N/A</v>
      </c>
    </row>
    <row r="449" spans="1:15">
      <c r="A449" s="972">
        <v>2030.08</v>
      </c>
      <c r="B449" s="913" t="e">
        <v>#N/A</v>
      </c>
      <c r="C449" s="913" t="e">
        <v>#N/A</v>
      </c>
      <c r="D449" s="3694" t="e">
        <v>#N/A</v>
      </c>
      <c r="E449" s="914" t="e">
        <v>#N/A</v>
      </c>
      <c r="F449" s="3694" t="e">
        <v>#N/A</v>
      </c>
      <c r="G449" s="914" t="e">
        <v>#N/A</v>
      </c>
      <c r="H449" s="3694" t="e">
        <v>#N/A</v>
      </c>
      <c r="I449" s="914" t="e">
        <v>#N/A</v>
      </c>
      <c r="J449" s="3694" t="e">
        <v>#N/A</v>
      </c>
      <c r="K449" s="3694" t="e">
        <v>#N/A</v>
      </c>
      <c r="L449" s="3694" t="e">
        <v>#N/A</v>
      </c>
      <c r="M449" s="914" t="e">
        <v>#N/A</v>
      </c>
      <c r="N449" s="3694" t="e">
        <v>#N/A</v>
      </c>
      <c r="O449" s="915" t="e">
        <v>#N/A</v>
      </c>
    </row>
    <row r="450" spans="1:15">
      <c r="A450" s="972">
        <v>2030.09</v>
      </c>
      <c r="B450" s="913" t="e">
        <v>#N/A</v>
      </c>
      <c r="C450" s="913" t="e">
        <v>#N/A</v>
      </c>
      <c r="D450" s="3694" t="e">
        <v>#N/A</v>
      </c>
      <c r="E450" s="914" t="e">
        <v>#N/A</v>
      </c>
      <c r="F450" s="3694" t="e">
        <v>#N/A</v>
      </c>
      <c r="G450" s="914" t="e">
        <v>#N/A</v>
      </c>
      <c r="H450" s="3694" t="e">
        <v>#N/A</v>
      </c>
      <c r="I450" s="914" t="e">
        <v>#N/A</v>
      </c>
      <c r="J450" s="3694" t="e">
        <v>#N/A</v>
      </c>
      <c r="K450" s="3694" t="e">
        <v>#N/A</v>
      </c>
      <c r="L450" s="3694" t="e">
        <v>#N/A</v>
      </c>
      <c r="M450" s="914" t="e">
        <v>#N/A</v>
      </c>
      <c r="N450" s="3694" t="e">
        <v>#N/A</v>
      </c>
      <c r="O450" s="915" t="e">
        <v>#N/A</v>
      </c>
    </row>
    <row r="451" spans="1:15">
      <c r="A451" s="972">
        <v>2030.1</v>
      </c>
      <c r="B451" s="913" t="e">
        <v>#N/A</v>
      </c>
      <c r="C451" s="913" t="e">
        <v>#N/A</v>
      </c>
      <c r="D451" s="3694" t="e">
        <v>#N/A</v>
      </c>
      <c r="E451" s="914" t="e">
        <v>#N/A</v>
      </c>
      <c r="F451" s="3694" t="e">
        <v>#N/A</v>
      </c>
      <c r="G451" s="914" t="e">
        <v>#N/A</v>
      </c>
      <c r="H451" s="3694" t="e">
        <v>#N/A</v>
      </c>
      <c r="I451" s="914" t="e">
        <v>#N/A</v>
      </c>
      <c r="J451" s="3694" t="e">
        <v>#N/A</v>
      </c>
      <c r="K451" s="3694" t="e">
        <v>#N/A</v>
      </c>
      <c r="L451" s="3694" t="e">
        <v>#N/A</v>
      </c>
      <c r="M451" s="914" t="e">
        <v>#N/A</v>
      </c>
      <c r="N451" s="3694" t="e">
        <v>#N/A</v>
      </c>
      <c r="O451" s="915" t="e">
        <v>#N/A</v>
      </c>
    </row>
    <row r="452" spans="1:15">
      <c r="A452" s="972">
        <v>2030.11</v>
      </c>
      <c r="B452" s="913" t="e">
        <v>#N/A</v>
      </c>
      <c r="C452" s="913" t="e">
        <v>#N/A</v>
      </c>
      <c r="D452" s="3694" t="e">
        <v>#N/A</v>
      </c>
      <c r="E452" s="914" t="e">
        <v>#N/A</v>
      </c>
      <c r="F452" s="3694" t="e">
        <v>#N/A</v>
      </c>
      <c r="G452" s="914" t="e">
        <v>#N/A</v>
      </c>
      <c r="H452" s="3694" t="e">
        <v>#N/A</v>
      </c>
      <c r="I452" s="914" t="e">
        <v>#N/A</v>
      </c>
      <c r="J452" s="3694" t="e">
        <v>#N/A</v>
      </c>
      <c r="K452" s="3694" t="e">
        <v>#N/A</v>
      </c>
      <c r="L452" s="3694" t="e">
        <v>#N/A</v>
      </c>
      <c r="M452" s="914" t="e">
        <v>#N/A</v>
      </c>
      <c r="N452" s="3694" t="e">
        <v>#N/A</v>
      </c>
      <c r="O452" s="915" t="e">
        <v>#N/A</v>
      </c>
    </row>
    <row r="453" spans="1:15">
      <c r="A453" s="972">
        <v>2030.12</v>
      </c>
      <c r="B453" s="913" t="e">
        <v>#N/A</v>
      </c>
      <c r="C453" s="913" t="e">
        <v>#N/A</v>
      </c>
      <c r="D453" s="3694" t="e">
        <v>#N/A</v>
      </c>
      <c r="E453" s="914" t="e">
        <v>#N/A</v>
      </c>
      <c r="F453" s="3694" t="e">
        <v>#N/A</v>
      </c>
      <c r="G453" s="914" t="e">
        <v>#N/A</v>
      </c>
      <c r="H453" s="3694" t="e">
        <v>#N/A</v>
      </c>
      <c r="I453" s="914" t="e">
        <v>#N/A</v>
      </c>
      <c r="J453" s="3694" t="e">
        <v>#N/A</v>
      </c>
      <c r="K453" s="3694" t="e">
        <v>#N/A</v>
      </c>
      <c r="L453" s="3694" t="e">
        <v>#N/A</v>
      </c>
      <c r="M453" s="914" t="e">
        <v>#N/A</v>
      </c>
      <c r="N453" s="3694" t="e">
        <v>#N/A</v>
      </c>
      <c r="O453" s="915" t="e">
        <v>#N/A</v>
      </c>
    </row>
  </sheetData>
  <hyperlinks>
    <hyperlink ref="A5" location="INDICE!A13" display="VOLVER AL INDICE" xr:uid="{00000000-0004-0000-3300-000000000000}"/>
  </hyperlinks>
  <pageMargins left="0.7" right="0.7" top="0.75" bottom="0.75" header="0.3" footer="0.3"/>
  <pageSetup paperSize="9" orientation="portrait" horizontalDpi="4294967295" verticalDpi="4294967295"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66">
    <pageSetUpPr autoPageBreaks="0"/>
  </sheetPr>
  <dimension ref="A1:Z284"/>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10.5703125" style="178" bestFit="1" customWidth="1"/>
    <col min="2" max="8" width="13" style="177" customWidth="1"/>
    <col min="9" max="9" width="13" style="177" bestFit="1" customWidth="1"/>
    <col min="10" max="10" width="13" style="177" customWidth="1"/>
    <col min="11" max="11" width="13" style="177" bestFit="1" customWidth="1"/>
    <col min="12" max="13" width="13" style="178" bestFit="1" customWidth="1"/>
    <col min="14" max="14" width="13" style="177" bestFit="1" customWidth="1"/>
    <col min="15" max="15" width="13" style="177" customWidth="1"/>
    <col min="16" max="18" width="13" style="177" bestFit="1" customWidth="1"/>
    <col min="19" max="19" width="13" style="177" customWidth="1"/>
    <col min="20" max="20" width="13" style="177" bestFit="1" customWidth="1"/>
    <col min="21" max="21" width="13" style="177" customWidth="1"/>
    <col min="22" max="22" width="13.42578125" style="177" customWidth="1"/>
    <col min="23" max="25" width="13" style="177" customWidth="1"/>
    <col min="26" max="16384" width="11.42578125" style="176"/>
  </cols>
  <sheetData>
    <row r="1" spans="1:25" s="181" customFormat="1" ht="3.75" customHeight="1">
      <c r="A1" s="2761"/>
      <c r="B1" s="182"/>
      <c r="C1" s="182"/>
      <c r="D1" s="182"/>
      <c r="E1" s="270"/>
      <c r="F1" s="270"/>
      <c r="G1" s="270"/>
      <c r="H1" s="270"/>
      <c r="I1" s="270"/>
      <c r="J1" s="270"/>
      <c r="K1" s="270"/>
      <c r="L1" s="284"/>
      <c r="M1" s="284"/>
      <c r="N1" s="270"/>
      <c r="O1" s="270"/>
      <c r="P1" s="270"/>
      <c r="Q1" s="270"/>
      <c r="R1" s="270"/>
      <c r="S1" s="270"/>
      <c r="T1" s="270"/>
      <c r="U1" s="270"/>
      <c r="V1" s="270"/>
      <c r="W1" s="270"/>
      <c r="X1" s="182"/>
      <c r="Y1" s="184"/>
    </row>
    <row r="2" spans="1:25" s="181" customFormat="1">
      <c r="A2" s="2762" t="s">
        <v>99</v>
      </c>
      <c r="B2" s="3101" t="s">
        <v>1806</v>
      </c>
      <c r="C2" s="145"/>
      <c r="D2" s="145"/>
      <c r="E2" s="145"/>
      <c r="F2" s="145"/>
      <c r="G2" s="145"/>
      <c r="H2" s="145"/>
      <c r="I2" s="145"/>
      <c r="J2" s="145"/>
      <c r="K2" s="145"/>
      <c r="L2" s="145"/>
      <c r="M2" s="145"/>
      <c r="N2" s="145"/>
      <c r="O2" s="145"/>
      <c r="P2" s="145"/>
      <c r="Q2" s="145"/>
      <c r="R2" s="145"/>
      <c r="S2" s="145"/>
      <c r="T2" s="145"/>
      <c r="U2" s="271"/>
      <c r="V2" s="145"/>
      <c r="W2" s="271"/>
      <c r="X2" s="145"/>
      <c r="Y2" s="285"/>
    </row>
    <row r="3" spans="1:25" s="181" customFormat="1">
      <c r="A3" s="2762" t="s">
        <v>104</v>
      </c>
      <c r="B3" s="3101" t="s">
        <v>135</v>
      </c>
      <c r="C3" s="145"/>
      <c r="D3" s="145"/>
      <c r="E3" s="145"/>
      <c r="F3" s="145"/>
      <c r="G3" s="145"/>
      <c r="H3" s="145"/>
      <c r="I3" s="145"/>
      <c r="J3" s="145"/>
      <c r="K3" s="145"/>
      <c r="L3" s="145"/>
      <c r="M3" s="145"/>
      <c r="N3" s="145"/>
      <c r="O3" s="145"/>
      <c r="P3" s="145"/>
      <c r="Q3" s="145"/>
      <c r="R3" s="145"/>
      <c r="S3" s="145"/>
      <c r="T3" s="145"/>
      <c r="U3" s="271"/>
      <c r="V3" s="145"/>
      <c r="W3" s="271"/>
      <c r="X3" s="145"/>
      <c r="Y3" s="285"/>
    </row>
    <row r="4" spans="1:25" s="181" customFormat="1">
      <c r="A4" s="2762"/>
      <c r="B4" s="3111" t="s">
        <v>1807</v>
      </c>
      <c r="C4" s="272"/>
      <c r="D4" s="145"/>
      <c r="E4" s="272"/>
      <c r="F4" s="272"/>
      <c r="G4" s="272"/>
      <c r="H4" s="272"/>
      <c r="I4" s="3105" t="s">
        <v>1808</v>
      </c>
      <c r="J4" s="272"/>
      <c r="K4" s="272"/>
      <c r="L4" s="273"/>
      <c r="M4" s="273"/>
      <c r="N4" s="273"/>
      <c r="O4" s="273"/>
      <c r="P4" s="273"/>
      <c r="Q4" s="273"/>
      <c r="R4" s="273"/>
      <c r="S4" s="273"/>
      <c r="T4" s="273"/>
      <c r="U4" s="274"/>
      <c r="V4" s="3112"/>
      <c r="W4" s="274"/>
      <c r="X4" s="273"/>
      <c r="Y4" s="276"/>
    </row>
    <row r="5" spans="1:25" s="181" customFormat="1" ht="56.25">
      <c r="A5" s="2867" t="s">
        <v>140</v>
      </c>
      <c r="B5" s="282" t="s">
        <v>1809</v>
      </c>
      <c r="C5" s="521" t="s">
        <v>1447</v>
      </c>
      <c r="D5" s="282" t="s">
        <v>1810</v>
      </c>
      <c r="E5" s="521" t="s">
        <v>1811</v>
      </c>
      <c r="F5" s="282" t="s">
        <v>1812</v>
      </c>
      <c r="G5" s="521" t="s">
        <v>1813</v>
      </c>
      <c r="H5" s="282" t="s">
        <v>1814</v>
      </c>
      <c r="I5" s="2782" t="s">
        <v>1815</v>
      </c>
      <c r="J5" s="521" t="s">
        <v>1816</v>
      </c>
      <c r="K5" s="282" t="s">
        <v>1782</v>
      </c>
      <c r="L5" s="721" t="s">
        <v>1817</v>
      </c>
      <c r="M5" s="275" t="s">
        <v>1818</v>
      </c>
      <c r="N5" s="721" t="s">
        <v>1785</v>
      </c>
      <c r="O5" s="275" t="s">
        <v>1786</v>
      </c>
      <c r="P5" s="721" t="s">
        <v>1819</v>
      </c>
      <c r="Q5" s="275" t="s">
        <v>1788</v>
      </c>
      <c r="R5" s="721" t="s">
        <v>1759</v>
      </c>
      <c r="S5" s="275" t="s">
        <v>217</v>
      </c>
      <c r="T5" s="2035" t="s">
        <v>1820</v>
      </c>
      <c r="U5" s="725" t="s">
        <v>1821</v>
      </c>
      <c r="V5" s="2088" t="s">
        <v>1822</v>
      </c>
      <c r="W5" s="2772" t="s">
        <v>1823</v>
      </c>
      <c r="X5" s="721" t="s">
        <v>1824</v>
      </c>
      <c r="Y5" s="735" t="s">
        <v>1825</v>
      </c>
    </row>
    <row r="6" spans="1:25" s="181" customFormat="1" ht="3.75" hidden="1" customHeight="1">
      <c r="A6" s="2762"/>
      <c r="B6" s="3105"/>
      <c r="C6" s="709"/>
      <c r="D6" s="272"/>
      <c r="E6" s="709"/>
      <c r="F6" s="272"/>
      <c r="G6" s="709"/>
      <c r="H6" s="272"/>
      <c r="I6" s="3105"/>
      <c r="J6" s="709"/>
      <c r="K6" s="272"/>
      <c r="L6" s="722"/>
      <c r="M6" s="273"/>
      <c r="N6" s="722"/>
      <c r="O6" s="273"/>
      <c r="P6" s="722"/>
      <c r="Q6" s="273"/>
      <c r="R6" s="722"/>
      <c r="S6" s="273"/>
      <c r="T6" s="2089"/>
      <c r="U6" s="726"/>
      <c r="V6" s="2090"/>
      <c r="W6" s="3113"/>
      <c r="X6" s="722"/>
      <c r="Y6" s="276"/>
    </row>
    <row r="7" spans="1:25" s="181" customFormat="1" ht="22.5">
      <c r="A7" s="2762" t="s">
        <v>125</v>
      </c>
      <c r="B7" s="279" t="s">
        <v>1826</v>
      </c>
      <c r="C7" s="710"/>
      <c r="D7" s="277"/>
      <c r="E7" s="710"/>
      <c r="F7" s="277"/>
      <c r="G7" s="710"/>
      <c r="H7" s="277"/>
      <c r="I7" s="3114" t="s">
        <v>1826</v>
      </c>
      <c r="J7" s="710"/>
      <c r="K7" s="277"/>
      <c r="L7" s="710"/>
      <c r="M7" s="277"/>
      <c r="N7" s="710"/>
      <c r="O7" s="277"/>
      <c r="P7" s="710"/>
      <c r="Q7" s="277"/>
      <c r="R7" s="710"/>
      <c r="S7" s="277"/>
      <c r="T7" s="2091"/>
      <c r="U7" s="727" t="s">
        <v>1826</v>
      </c>
      <c r="V7" s="2091"/>
      <c r="W7" s="3114" t="s">
        <v>1826</v>
      </c>
      <c r="X7" s="710"/>
      <c r="Y7" s="278"/>
    </row>
    <row r="8" spans="1:25" s="181" customFormat="1">
      <c r="A8" s="3002" t="s">
        <v>144</v>
      </c>
      <c r="B8" s="2305" t="s">
        <v>1827</v>
      </c>
      <c r="C8" s="2306" t="s">
        <v>1828</v>
      </c>
      <c r="D8" s="2305" t="s">
        <v>1829</v>
      </c>
      <c r="E8" s="2306" t="s">
        <v>1830</v>
      </c>
      <c r="F8" s="2305" t="s">
        <v>1831</v>
      </c>
      <c r="G8" s="2306" t="s">
        <v>1832</v>
      </c>
      <c r="H8" s="2305" t="s">
        <v>1833</v>
      </c>
      <c r="I8" s="3115" t="s">
        <v>1834</v>
      </c>
      <c r="J8" s="2306" t="s">
        <v>1835</v>
      </c>
      <c r="K8" s="2305" t="s">
        <v>1836</v>
      </c>
      <c r="L8" s="2306" t="s">
        <v>1837</v>
      </c>
      <c r="M8" s="2305" t="s">
        <v>1838</v>
      </c>
      <c r="N8" s="2306" t="s">
        <v>1839</v>
      </c>
      <c r="O8" s="2305" t="s">
        <v>1840</v>
      </c>
      <c r="P8" s="2306" t="s">
        <v>1841</v>
      </c>
      <c r="Q8" s="2305" t="s">
        <v>1842</v>
      </c>
      <c r="R8" s="2306" t="s">
        <v>1843</v>
      </c>
      <c r="S8" s="2305" t="s">
        <v>1844</v>
      </c>
      <c r="T8" s="2307" t="s">
        <v>1845</v>
      </c>
      <c r="U8" s="2308" t="s">
        <v>1846</v>
      </c>
      <c r="V8" s="2307" t="s">
        <v>1847</v>
      </c>
      <c r="W8" s="3115" t="s">
        <v>1848</v>
      </c>
      <c r="X8" s="2306" t="s">
        <v>1849</v>
      </c>
      <c r="Y8" s="2309" t="s">
        <v>1850</v>
      </c>
    </row>
    <row r="9" spans="1:25" s="179" customFormat="1" ht="13.5" thickBot="1">
      <c r="A9" s="2140" t="s">
        <v>1762</v>
      </c>
      <c r="B9" s="3493">
        <v>1</v>
      </c>
      <c r="C9" s="3491">
        <v>0.44669999999999999</v>
      </c>
      <c r="D9" s="3492">
        <v>0.34189999999999998</v>
      </c>
      <c r="E9" s="3491">
        <v>4.5100000000000001E-2</v>
      </c>
      <c r="F9" s="3492">
        <v>6.88E-2</v>
      </c>
      <c r="G9" s="3491">
        <v>5.1799999999999999E-2</v>
      </c>
      <c r="H9" s="3492">
        <v>4.5699999999999998E-2</v>
      </c>
      <c r="I9" s="3494">
        <v>0.26933810000000002</v>
      </c>
      <c r="J9" s="3491">
        <v>3.4953999999999992E-2</v>
      </c>
      <c r="K9" s="3492">
        <v>9.9044699999999999E-2</v>
      </c>
      <c r="L9" s="3491">
        <v>9.4343799999999992E-2</v>
      </c>
      <c r="M9" s="3495">
        <v>6.3630300000000001E-2</v>
      </c>
      <c r="N9" s="3491">
        <v>8.018829999999999E-2</v>
      </c>
      <c r="O9" s="3492">
        <v>0.10987520000000001</v>
      </c>
      <c r="P9" s="3491">
        <v>2.8231700000000002E-2</v>
      </c>
      <c r="Q9" s="3492">
        <v>7.26937E-2</v>
      </c>
      <c r="R9" s="3491">
        <v>2.2978100000000001E-2</v>
      </c>
      <c r="S9" s="3492">
        <v>8.9549599999999993E-2</v>
      </c>
      <c r="T9" s="3496">
        <v>3.5498599999999998E-2</v>
      </c>
      <c r="U9" s="728"/>
      <c r="V9" s="733"/>
      <c r="W9" s="283"/>
      <c r="X9" s="723"/>
      <c r="Y9" s="258"/>
    </row>
    <row r="10" spans="1:25">
      <c r="A10" s="280">
        <v>2016.01</v>
      </c>
      <c r="B10" s="702"/>
      <c r="C10" s="711"/>
      <c r="D10" s="712"/>
      <c r="E10" s="711"/>
      <c r="F10" s="712"/>
      <c r="G10" s="711"/>
      <c r="H10" s="706"/>
      <c r="I10" s="716"/>
      <c r="J10" s="711"/>
      <c r="K10" s="712"/>
      <c r="L10" s="711"/>
      <c r="M10" s="712"/>
      <c r="N10" s="711"/>
      <c r="O10" s="712"/>
      <c r="P10" s="711"/>
      <c r="Q10" s="712"/>
      <c r="R10" s="711"/>
      <c r="S10" s="712"/>
      <c r="T10" s="724"/>
      <c r="U10" s="729"/>
      <c r="V10" s="724"/>
      <c r="W10" s="716"/>
      <c r="X10" s="711"/>
      <c r="Y10" s="736"/>
    </row>
    <row r="11" spans="1:25">
      <c r="A11" s="280">
        <v>2016.02</v>
      </c>
      <c r="B11" s="703"/>
      <c r="C11" s="3695"/>
      <c r="D11" s="713"/>
      <c r="E11" s="3695"/>
      <c r="F11" s="713"/>
      <c r="G11" s="3695"/>
      <c r="H11" s="707"/>
      <c r="I11" s="717"/>
      <c r="J11" s="3695"/>
      <c r="K11" s="713"/>
      <c r="L11" s="3695"/>
      <c r="M11" s="713"/>
      <c r="N11" s="3695"/>
      <c r="O11" s="713"/>
      <c r="P11" s="3695"/>
      <c r="Q11" s="713"/>
      <c r="R11" s="3695"/>
      <c r="S11" s="713"/>
      <c r="T11" s="1505"/>
      <c r="U11" s="730"/>
      <c r="V11" s="1505"/>
      <c r="W11" s="717"/>
      <c r="X11" s="3695"/>
      <c r="Y11" s="737"/>
    </row>
    <row r="12" spans="1:25">
      <c r="A12" s="280">
        <v>2016.03</v>
      </c>
      <c r="B12" s="703"/>
      <c r="C12" s="3695"/>
      <c r="D12" s="713"/>
      <c r="E12" s="3695"/>
      <c r="F12" s="713"/>
      <c r="G12" s="3695"/>
      <c r="H12" s="707"/>
      <c r="I12" s="717"/>
      <c r="J12" s="3695"/>
      <c r="K12" s="713"/>
      <c r="L12" s="3695"/>
      <c r="M12" s="713"/>
      <c r="N12" s="3695"/>
      <c r="O12" s="713"/>
      <c r="P12" s="3695"/>
      <c r="Q12" s="713"/>
      <c r="R12" s="3695"/>
      <c r="S12" s="713"/>
      <c r="T12" s="1505"/>
      <c r="U12" s="730"/>
      <c r="V12" s="1505"/>
      <c r="W12" s="717"/>
      <c r="X12" s="3695"/>
      <c r="Y12" s="737"/>
    </row>
    <row r="13" spans="1:25">
      <c r="A13" s="280">
        <v>2016.04</v>
      </c>
      <c r="B13" s="703"/>
      <c r="C13" s="3695"/>
      <c r="D13" s="713"/>
      <c r="E13" s="3695"/>
      <c r="F13" s="713"/>
      <c r="G13" s="3695"/>
      <c r="H13" s="707"/>
      <c r="I13" s="717"/>
      <c r="J13" s="3695"/>
      <c r="K13" s="713"/>
      <c r="L13" s="3695"/>
      <c r="M13" s="713"/>
      <c r="N13" s="3695"/>
      <c r="O13" s="713"/>
      <c r="P13" s="3695"/>
      <c r="Q13" s="713"/>
      <c r="R13" s="3695"/>
      <c r="S13" s="713"/>
      <c r="T13" s="1505"/>
      <c r="U13" s="730"/>
      <c r="V13" s="1505"/>
      <c r="W13" s="717"/>
      <c r="X13" s="3695"/>
      <c r="Y13" s="737"/>
    </row>
    <row r="14" spans="1:25">
      <c r="A14" s="280">
        <v>2016.05</v>
      </c>
      <c r="B14" s="703"/>
      <c r="C14" s="3696">
        <v>4.1933741321291684E-2</v>
      </c>
      <c r="D14" s="713"/>
      <c r="E14" s="3695"/>
      <c r="F14" s="713"/>
      <c r="G14" s="3695"/>
      <c r="H14" s="707"/>
      <c r="I14" s="717"/>
      <c r="J14" s="3695"/>
      <c r="K14" s="713"/>
      <c r="L14" s="3695"/>
      <c r="M14" s="713"/>
      <c r="N14" s="3695"/>
      <c r="O14" s="713"/>
      <c r="P14" s="3695"/>
      <c r="Q14" s="713"/>
      <c r="R14" s="3695"/>
      <c r="S14" s="713"/>
      <c r="T14" s="1505"/>
      <c r="U14" s="730"/>
      <c r="V14" s="1505"/>
      <c r="W14" s="717"/>
      <c r="X14" s="3695"/>
      <c r="Y14" s="737"/>
    </row>
    <row r="15" spans="1:25">
      <c r="A15" s="280">
        <v>2016.06</v>
      </c>
      <c r="B15" s="703"/>
      <c r="C15" s="3697">
        <v>3.0759113832287133E-2</v>
      </c>
      <c r="D15" s="713"/>
      <c r="E15" s="3695"/>
      <c r="F15" s="713"/>
      <c r="G15" s="3695"/>
      <c r="H15" s="707"/>
      <c r="I15" s="717"/>
      <c r="J15" s="3695"/>
      <c r="K15" s="713"/>
      <c r="L15" s="3695"/>
      <c r="M15" s="713"/>
      <c r="N15" s="3695"/>
      <c r="O15" s="713"/>
      <c r="P15" s="3695"/>
      <c r="Q15" s="713"/>
      <c r="R15" s="3695"/>
      <c r="S15" s="713"/>
      <c r="T15" s="1505"/>
      <c r="U15" s="730"/>
      <c r="V15" s="1505"/>
      <c r="W15" s="717"/>
      <c r="X15" s="3695"/>
      <c r="Y15" s="737"/>
    </row>
    <row r="16" spans="1:25">
      <c r="A16" s="280">
        <f t="shared" ref="A16:A21" si="0">A15+0.01</f>
        <v>2016.07</v>
      </c>
      <c r="B16" s="703"/>
      <c r="C16" s="3697">
        <v>2.0467530657747979E-2</v>
      </c>
      <c r="D16" s="713"/>
      <c r="E16" s="3695"/>
      <c r="F16" s="713"/>
      <c r="G16" s="3695"/>
      <c r="H16" s="707"/>
      <c r="I16" s="717"/>
      <c r="J16" s="3695"/>
      <c r="K16" s="713"/>
      <c r="L16" s="3695"/>
      <c r="M16" s="713"/>
      <c r="N16" s="3695"/>
      <c r="O16" s="713"/>
      <c r="P16" s="3695"/>
      <c r="Q16" s="713"/>
      <c r="R16" s="3695"/>
      <c r="S16" s="713"/>
      <c r="T16" s="1505"/>
      <c r="U16" s="730"/>
      <c r="V16" s="1505"/>
      <c r="W16" s="717"/>
      <c r="X16" s="3695"/>
      <c r="Y16" s="737"/>
    </row>
    <row r="17" spans="1:25">
      <c r="A17" s="280">
        <f t="shared" si="0"/>
        <v>2016.08</v>
      </c>
      <c r="B17" s="703"/>
      <c r="C17" s="3697">
        <v>2.0195705238721384E-3</v>
      </c>
      <c r="D17" s="713"/>
      <c r="E17" s="3695"/>
      <c r="F17" s="713"/>
      <c r="G17" s="3695"/>
      <c r="H17" s="707"/>
      <c r="I17" s="717"/>
      <c r="J17" s="3695"/>
      <c r="K17" s="713"/>
      <c r="L17" s="3695"/>
      <c r="M17" s="713"/>
      <c r="N17" s="3695"/>
      <c r="O17" s="713"/>
      <c r="P17" s="3695"/>
      <c r="Q17" s="713"/>
      <c r="R17" s="3695"/>
      <c r="S17" s="713"/>
      <c r="T17" s="1505"/>
      <c r="U17" s="730"/>
      <c r="V17" s="1505"/>
      <c r="W17" s="717"/>
      <c r="X17" s="3695"/>
      <c r="Y17" s="737"/>
    </row>
    <row r="18" spans="1:25">
      <c r="A18" s="280">
        <f t="shared" si="0"/>
        <v>2016.09</v>
      </c>
      <c r="B18" s="703"/>
      <c r="C18" s="3697">
        <v>1.1491438117333441E-2</v>
      </c>
      <c r="D18" s="713"/>
      <c r="E18" s="3695"/>
      <c r="F18" s="713"/>
      <c r="G18" s="3695"/>
      <c r="H18" s="707"/>
      <c r="I18" s="717"/>
      <c r="J18" s="3695"/>
      <c r="K18" s="713"/>
      <c r="L18" s="3695"/>
      <c r="M18" s="713"/>
      <c r="N18" s="3695"/>
      <c r="O18" s="713"/>
      <c r="P18" s="3695"/>
      <c r="Q18" s="713"/>
      <c r="R18" s="3695"/>
      <c r="S18" s="713"/>
      <c r="T18" s="1505"/>
      <c r="U18" s="730"/>
      <c r="V18" s="1505"/>
      <c r="W18" s="717"/>
      <c r="X18" s="3695"/>
      <c r="Y18" s="737"/>
    </row>
    <row r="19" spans="1:25">
      <c r="A19" s="280">
        <f t="shared" si="0"/>
        <v>2016.1</v>
      </c>
      <c r="B19" s="703"/>
      <c r="C19" s="3697">
        <v>2.3593336519251329E-2</v>
      </c>
      <c r="D19" s="713"/>
      <c r="E19" s="3695"/>
      <c r="F19" s="713"/>
      <c r="G19" s="3695"/>
      <c r="H19" s="707"/>
      <c r="I19" s="717"/>
      <c r="J19" s="3695"/>
      <c r="K19" s="713"/>
      <c r="L19" s="3695"/>
      <c r="M19" s="713"/>
      <c r="N19" s="3695"/>
      <c r="O19" s="713"/>
      <c r="P19" s="3695"/>
      <c r="Q19" s="713"/>
      <c r="R19" s="3695"/>
      <c r="S19" s="713"/>
      <c r="T19" s="1505"/>
      <c r="U19" s="730"/>
      <c r="V19" s="1505"/>
      <c r="W19" s="717"/>
      <c r="X19" s="3695"/>
      <c r="Y19" s="737"/>
    </row>
    <row r="20" spans="1:25">
      <c r="A20" s="280">
        <f t="shared" si="0"/>
        <v>2016.11</v>
      </c>
      <c r="B20" s="703"/>
      <c r="C20" s="3697">
        <v>1.6184231634629898E-2</v>
      </c>
      <c r="D20" s="713"/>
      <c r="E20" s="3695"/>
      <c r="F20" s="713"/>
      <c r="G20" s="3695"/>
      <c r="H20" s="707"/>
      <c r="I20" s="717"/>
      <c r="J20" s="3695"/>
      <c r="K20" s="713"/>
      <c r="L20" s="3695"/>
      <c r="M20" s="713"/>
      <c r="N20" s="3695"/>
      <c r="O20" s="713"/>
      <c r="P20" s="3695"/>
      <c r="Q20" s="713"/>
      <c r="R20" s="3695"/>
      <c r="S20" s="713"/>
      <c r="T20" s="1505"/>
      <c r="U20" s="730"/>
      <c r="V20" s="1505"/>
      <c r="W20" s="717"/>
      <c r="X20" s="3695"/>
      <c r="Y20" s="737"/>
    </row>
    <row r="21" spans="1:25">
      <c r="A21" s="280">
        <f t="shared" si="0"/>
        <v>2016.12</v>
      </c>
      <c r="B21" s="703"/>
      <c r="C21" s="3697">
        <v>1.1975720678509605E-2</v>
      </c>
      <c r="D21" s="713"/>
      <c r="E21" s="3695"/>
      <c r="F21" s="713"/>
      <c r="G21" s="3695"/>
      <c r="H21" s="707"/>
      <c r="I21" s="717"/>
      <c r="J21" s="3695"/>
      <c r="K21" s="713"/>
      <c r="L21" s="3695"/>
      <c r="M21" s="713"/>
      <c r="N21" s="3695"/>
      <c r="O21" s="713"/>
      <c r="P21" s="3695"/>
      <c r="Q21" s="713"/>
      <c r="R21" s="3695"/>
      <c r="S21" s="713"/>
      <c r="T21" s="1505"/>
      <c r="U21" s="730"/>
      <c r="V21" s="1505"/>
      <c r="W21" s="717"/>
      <c r="X21" s="3695"/>
      <c r="Y21" s="737"/>
    </row>
    <row r="22" spans="1:25">
      <c r="A22" s="280">
        <f>A10+1</f>
        <v>2017.01</v>
      </c>
      <c r="B22" s="704">
        <v>1.5858999999999845E-2</v>
      </c>
      <c r="C22" s="3697">
        <v>1.3130000000000086E-2</v>
      </c>
      <c r="D22" s="708">
        <v>1.7873999999999945E-2</v>
      </c>
      <c r="E22" s="3696">
        <v>1.6013999999999973E-2</v>
      </c>
      <c r="F22" s="708">
        <v>1.6727000000000158E-2</v>
      </c>
      <c r="G22" s="3696">
        <v>1.7074000000000034E-2</v>
      </c>
      <c r="H22" s="715">
        <v>2.5592999999999977E-2</v>
      </c>
      <c r="I22" s="718">
        <v>1.3024000000000147E-2</v>
      </c>
      <c r="J22" s="3698">
        <v>9.2499999999999805E-3</v>
      </c>
      <c r="K22" s="720">
        <v>-9.9339999999998874E-3</v>
      </c>
      <c r="L22" s="3698">
        <v>1.4783999999999908E-2</v>
      </c>
      <c r="M22" s="720">
        <v>8.7730000000001418E-3</v>
      </c>
      <c r="N22" s="3698">
        <v>2.3500999999999994E-2</v>
      </c>
      <c r="O22" s="720">
        <v>2.0755000000000079E-2</v>
      </c>
      <c r="P22" s="3698">
        <v>3.0515999999999988E-2</v>
      </c>
      <c r="Q22" s="720">
        <v>3.190599999999999E-2</v>
      </c>
      <c r="R22" s="3698">
        <v>7.9519999999999591E-3</v>
      </c>
      <c r="S22" s="720">
        <v>3.1001999999999974E-2</v>
      </c>
      <c r="T22" s="1506">
        <v>1.9344999999999946E-2</v>
      </c>
      <c r="U22" s="731">
        <v>1.1902999999999997E-2</v>
      </c>
      <c r="V22" s="1506">
        <v>2.4355000000000127E-2</v>
      </c>
      <c r="W22" s="734">
        <v>1.5039000000000025E-2</v>
      </c>
      <c r="X22" s="3698">
        <v>1.8182999999999838E-2</v>
      </c>
      <c r="Y22" s="451">
        <v>1.6969000000000012E-2</v>
      </c>
    </row>
    <row r="23" spans="1:25">
      <c r="A23" s="280">
        <f t="shared" ref="A23:A86" si="1">A11+1</f>
        <v>2017.02</v>
      </c>
      <c r="B23" s="705">
        <v>2.0672160211210544E-2</v>
      </c>
      <c r="C23" s="3697">
        <v>2.4631587259285492E-2</v>
      </c>
      <c r="D23" s="714">
        <v>1.7131786449010367E-2</v>
      </c>
      <c r="E23" s="3697">
        <v>2.0768414608460128E-2</v>
      </c>
      <c r="F23" s="714">
        <v>1.7595677108997565E-2</v>
      </c>
      <c r="G23" s="3697">
        <v>1.5316486312696886E-2</v>
      </c>
      <c r="H23" s="390">
        <v>1.6803936844342893E-2</v>
      </c>
      <c r="I23" s="719">
        <v>1.8342112329026605E-2</v>
      </c>
      <c r="J23" s="3697">
        <v>4.2749566509784565E-2</v>
      </c>
      <c r="K23" s="714">
        <v>-1.5584819597885824E-3</v>
      </c>
      <c r="L23" s="3697">
        <v>5.4425375252270536E-2</v>
      </c>
      <c r="M23" s="714">
        <v>4.4658213493025123E-3</v>
      </c>
      <c r="N23" s="3697">
        <v>2.6722983172464021E-2</v>
      </c>
      <c r="O23" s="714">
        <v>1.881156594873401E-2</v>
      </c>
      <c r="P23" s="3697">
        <v>4.0754340543960543E-2</v>
      </c>
      <c r="Q23" s="714">
        <v>5.8677825305792908E-3</v>
      </c>
      <c r="R23" s="3697">
        <v>3.1604679587917017E-2</v>
      </c>
      <c r="S23" s="714">
        <v>1.7346232112061877E-2</v>
      </c>
      <c r="T23" s="1253">
        <v>1.825289769410765E-2</v>
      </c>
      <c r="U23" s="732">
        <v>1.4921390686656766E-2</v>
      </c>
      <c r="V23" s="1253">
        <v>3.0332257859823963E-2</v>
      </c>
      <c r="W23" s="719">
        <v>1.6813147081047974E-2</v>
      </c>
      <c r="X23" s="3697">
        <v>4.03984352518163E-2</v>
      </c>
      <c r="Y23" s="552">
        <v>6.2696109714259762E-3</v>
      </c>
    </row>
    <row r="24" spans="1:25">
      <c r="A24" s="280">
        <f t="shared" si="1"/>
        <v>2017.03</v>
      </c>
      <c r="B24" s="705">
        <v>2.3741897403600554E-2</v>
      </c>
      <c r="C24" s="3697">
        <v>2.3641609309449585E-2</v>
      </c>
      <c r="D24" s="714">
        <v>2.208126632358165E-2</v>
      </c>
      <c r="E24" s="3697">
        <v>3.2238469215082333E-2</v>
      </c>
      <c r="F24" s="714">
        <v>2.4417731392389674E-2</v>
      </c>
      <c r="G24" s="3697">
        <v>2.5745362426064178E-2</v>
      </c>
      <c r="H24" s="390">
        <v>2.1422537007576459E-2</v>
      </c>
      <c r="I24" s="719">
        <v>2.7663689105810851E-2</v>
      </c>
      <c r="J24" s="3697">
        <v>1.9485079271566175E-2</v>
      </c>
      <c r="K24" s="714">
        <v>3.4422062005638576E-2</v>
      </c>
      <c r="L24" s="3697">
        <v>3.5933174706125337E-2</v>
      </c>
      <c r="M24" s="714">
        <v>8.3974980212735417E-3</v>
      </c>
      <c r="N24" s="3697">
        <v>1.9574592806598901E-2</v>
      </c>
      <c r="O24" s="714">
        <v>1.175048583739513E-2</v>
      </c>
      <c r="P24" s="3697">
        <v>3.2091888777209254E-2</v>
      </c>
      <c r="Q24" s="714">
        <v>1.6525669076198346E-2</v>
      </c>
      <c r="R24" s="3697">
        <v>0.1092519003508341</v>
      </c>
      <c r="S24" s="714">
        <v>1.0183184826568326E-2</v>
      </c>
      <c r="T24" s="1253">
        <v>1.7998922877862311E-2</v>
      </c>
      <c r="U24" s="732">
        <v>2.2215146611204384E-2</v>
      </c>
      <c r="V24" s="1253">
        <v>2.9185371594029341E-2</v>
      </c>
      <c r="W24" s="719">
        <v>1.9331366479185652E-2</v>
      </c>
      <c r="X24" s="3697">
        <v>3.845972306658263E-2</v>
      </c>
      <c r="Y24" s="552">
        <v>2.3963570447893767E-2</v>
      </c>
    </row>
    <row r="25" spans="1:25">
      <c r="A25" s="280">
        <f t="shared" si="1"/>
        <v>2017.04</v>
      </c>
      <c r="B25" s="705">
        <v>2.6558301836310916E-2</v>
      </c>
      <c r="C25" s="3697">
        <v>2.633661670557963E-2</v>
      </c>
      <c r="D25" s="714">
        <v>2.7159075122876741E-2</v>
      </c>
      <c r="E25" s="3697">
        <v>2.7159871094297294E-2</v>
      </c>
      <c r="F25" s="714">
        <v>2.2260067177416465E-2</v>
      </c>
      <c r="G25" s="3697">
        <v>3.3295633275996384E-2</v>
      </c>
      <c r="H25" s="390">
        <v>2.0043805337566889E-2</v>
      </c>
      <c r="I25" s="719">
        <v>2.2046082462460204E-2</v>
      </c>
      <c r="J25" s="3697">
        <v>2.3708618036519802E-2</v>
      </c>
      <c r="K25" s="714">
        <v>4.5235929783384643E-2</v>
      </c>
      <c r="L25" s="3697">
        <v>5.9221642941622799E-2</v>
      </c>
      <c r="M25" s="714">
        <v>1.1117776992660922E-2</v>
      </c>
      <c r="N25" s="3697">
        <v>1.7824909326110472E-2</v>
      </c>
      <c r="O25" s="714">
        <v>6.1748165945465505E-3</v>
      </c>
      <c r="P25" s="3697">
        <v>6.8435036266874416E-2</v>
      </c>
      <c r="Q25" s="714">
        <v>2.6316587591483032E-2</v>
      </c>
      <c r="R25" s="3697">
        <v>2.8935095876657657E-2</v>
      </c>
      <c r="S25" s="714">
        <v>1.9090817286684159E-2</v>
      </c>
      <c r="T25" s="1253">
        <v>1.7800882614871893E-2</v>
      </c>
      <c r="U25" s="732">
        <v>2.3910833983446622E-2</v>
      </c>
      <c r="V25" s="1253">
        <v>3.1922366278197334E-2</v>
      </c>
      <c r="W25" s="719">
        <v>2.1113875008673677E-2</v>
      </c>
      <c r="X25" s="3697">
        <v>4.0536081312150252E-2</v>
      </c>
      <c r="Y25" s="552">
        <v>3.244588058801301E-2</v>
      </c>
    </row>
    <row r="26" spans="1:25">
      <c r="A26" s="280">
        <f t="shared" si="1"/>
        <v>2017.05</v>
      </c>
      <c r="B26" s="705">
        <v>1.4347502493881281E-2</v>
      </c>
      <c r="C26" s="3697">
        <v>1.2831315966341794E-2</v>
      </c>
      <c r="D26" s="714">
        <v>1.4806166460578307E-2</v>
      </c>
      <c r="E26" s="3697">
        <v>1.5217901359189323E-2</v>
      </c>
      <c r="F26" s="714">
        <v>1.9251056556093049E-2</v>
      </c>
      <c r="G26" s="3697">
        <v>1.6980263242047267E-2</v>
      </c>
      <c r="H26" s="390">
        <v>1.6916440331812499E-2</v>
      </c>
      <c r="I26" s="719">
        <v>1.3027969155941399E-2</v>
      </c>
      <c r="J26" s="3697">
        <v>1.7156831503599035E-2</v>
      </c>
      <c r="K26" s="714">
        <v>1.7265995886999175E-2</v>
      </c>
      <c r="L26" s="3697">
        <v>1.7970237831613556E-2</v>
      </c>
      <c r="M26" s="714">
        <v>2.7517865318294588E-2</v>
      </c>
      <c r="N26" s="3697">
        <v>1.534680702783997E-2</v>
      </c>
      <c r="O26" s="714">
        <v>9.3522651921176259E-3</v>
      </c>
      <c r="P26" s="3697">
        <v>3.2696759748571669E-3</v>
      </c>
      <c r="Q26" s="714">
        <v>7.320287270715875E-3</v>
      </c>
      <c r="R26" s="3697">
        <v>1.6950866333609538E-2</v>
      </c>
      <c r="S26" s="714">
        <v>1.4582397584726792E-2</v>
      </c>
      <c r="T26" s="1253">
        <v>1.2919339211226566E-2</v>
      </c>
      <c r="U26" s="732">
        <v>1.412106400575297E-2</v>
      </c>
      <c r="V26" s="1253">
        <v>1.4655135497776639E-2</v>
      </c>
      <c r="W26" s="719">
        <v>1.6568460442905497E-2</v>
      </c>
      <c r="X26" s="3697">
        <v>1.040493636040396E-2</v>
      </c>
      <c r="Y26" s="552">
        <v>8.0129997495070882E-3</v>
      </c>
    </row>
    <row r="27" spans="1:25">
      <c r="A27" s="280">
        <f t="shared" si="1"/>
        <v>2017.06</v>
      </c>
      <c r="B27" s="705">
        <v>1.1920734713892323E-2</v>
      </c>
      <c r="C27" s="3697">
        <v>1.3883670844019536E-2</v>
      </c>
      <c r="D27" s="714">
        <v>1.0020806795980164E-2</v>
      </c>
      <c r="E27" s="3697">
        <v>9.4628972732810901E-3</v>
      </c>
      <c r="F27" s="714">
        <v>1.36480819609337E-2</v>
      </c>
      <c r="G27" s="3697">
        <v>1.0068359190757992E-2</v>
      </c>
      <c r="H27" s="390">
        <v>1.1000120373211297E-2</v>
      </c>
      <c r="I27" s="719">
        <v>8.9756940173884026E-3</v>
      </c>
      <c r="J27" s="3697">
        <v>6.6148577402787012E-3</v>
      </c>
      <c r="K27" s="714">
        <v>8.8764416974780325E-3</v>
      </c>
      <c r="L27" s="3697">
        <v>1.7697352843482284E-2</v>
      </c>
      <c r="M27" s="714">
        <v>1.2553964526360151E-2</v>
      </c>
      <c r="N27" s="3697">
        <v>1.4722882513167779E-2</v>
      </c>
      <c r="O27" s="714">
        <v>6.8783192569543683E-3</v>
      </c>
      <c r="P27" s="3697">
        <v>1.2216900551429211E-2</v>
      </c>
      <c r="Q27" s="714">
        <v>2.3273573351130672E-2</v>
      </c>
      <c r="R27" s="3697">
        <v>9.8243433590190499E-3</v>
      </c>
      <c r="S27" s="714">
        <v>1.2718830240036727E-2</v>
      </c>
      <c r="T27" s="1253">
        <v>1.3212635954379603E-2</v>
      </c>
      <c r="U27" s="732">
        <v>1.0198165669508708E-2</v>
      </c>
      <c r="V27" s="1253">
        <v>1.4823301220137308E-2</v>
      </c>
      <c r="W27" s="719">
        <v>1.3354467529066438E-2</v>
      </c>
      <c r="X27" s="3697">
        <v>8.9195622532010077E-3</v>
      </c>
      <c r="Y27" s="552">
        <v>9.383459143026851E-3</v>
      </c>
    </row>
    <row r="28" spans="1:25">
      <c r="A28" s="280">
        <f t="shared" si="1"/>
        <v>2017.07</v>
      </c>
      <c r="B28" s="705">
        <v>1.7322662871029015E-2</v>
      </c>
      <c r="C28" s="3697">
        <v>1.7193732181012722E-2</v>
      </c>
      <c r="D28" s="714">
        <v>1.9500780031201259E-2</v>
      </c>
      <c r="E28" s="3697">
        <v>1.4138486712502285E-2</v>
      </c>
      <c r="F28" s="714">
        <v>1.2808613162551774E-2</v>
      </c>
      <c r="G28" s="3697">
        <v>1.4129705825323802E-2</v>
      </c>
      <c r="H28" s="390">
        <v>1.4980515661326077E-2</v>
      </c>
      <c r="I28" s="719">
        <v>1.1406044155982453E-2</v>
      </c>
      <c r="J28" s="3697">
        <v>2.9671732890379499E-2</v>
      </c>
      <c r="K28" s="714">
        <v>-1.2204271814212797E-2</v>
      </c>
      <c r="L28" s="3697">
        <v>2.0158522278373336E-2</v>
      </c>
      <c r="M28" s="714">
        <v>2.4262631825725967E-2</v>
      </c>
      <c r="N28" s="3697">
        <v>3.3189207855758296E-2</v>
      </c>
      <c r="O28" s="714">
        <v>2.1500569277598247E-2</v>
      </c>
      <c r="P28" s="3697">
        <v>9.3518249463593328E-3</v>
      </c>
      <c r="Q28" s="714">
        <v>3.5741962649895376E-2</v>
      </c>
      <c r="R28" s="3697">
        <v>8.2961574784801151E-3</v>
      </c>
      <c r="S28" s="714">
        <v>2.5503053245904628E-2</v>
      </c>
      <c r="T28" s="1253">
        <v>1.3245099114003622E-2</v>
      </c>
      <c r="U28" s="732">
        <v>1.1796061622843856E-2</v>
      </c>
      <c r="V28" s="1253">
        <v>2.7330855405089283E-2</v>
      </c>
      <c r="W28" s="719">
        <v>1.7647808301247014E-2</v>
      </c>
      <c r="X28" s="3697">
        <v>2.2918478843063861E-2</v>
      </c>
      <c r="Y28" s="552">
        <v>4.6522022331660917E-3</v>
      </c>
    </row>
    <row r="29" spans="1:25">
      <c r="A29" s="280">
        <f t="shared" si="1"/>
        <v>2017.08</v>
      </c>
      <c r="B29" s="705">
        <v>1.4032580687119323E-2</v>
      </c>
      <c r="C29" s="3697">
        <v>1.4775293868762196E-2</v>
      </c>
      <c r="D29" s="714">
        <v>1.3314163004728874E-2</v>
      </c>
      <c r="E29" s="3697">
        <v>1.2712001589000099E-2</v>
      </c>
      <c r="F29" s="714">
        <v>1.1526442106265744E-2</v>
      </c>
      <c r="G29" s="3697">
        <v>1.3585526546592508E-2</v>
      </c>
      <c r="H29" s="390">
        <v>1.697940967643774E-2</v>
      </c>
      <c r="I29" s="719">
        <v>2.08478593715824E-2</v>
      </c>
      <c r="J29" s="3697">
        <v>1.3226937492443414E-2</v>
      </c>
      <c r="K29" s="714">
        <v>-6.2342873808055588E-3</v>
      </c>
      <c r="L29" s="3697">
        <v>2.1572611028150224E-2</v>
      </c>
      <c r="M29" s="714">
        <v>9.5632634080060619E-3</v>
      </c>
      <c r="N29" s="3697">
        <v>2.5134212231058717E-2</v>
      </c>
      <c r="O29" s="714">
        <v>1.0860209379304875E-2</v>
      </c>
      <c r="P29" s="3697">
        <v>1.5045191667608426E-2</v>
      </c>
      <c r="Q29" s="714">
        <v>6.8394329161225453E-3</v>
      </c>
      <c r="R29" s="3697">
        <v>1.978813021414827E-2</v>
      </c>
      <c r="S29" s="714">
        <v>7.170166202308037E-3</v>
      </c>
      <c r="T29" s="1253">
        <v>1.5802773376444534E-2</v>
      </c>
      <c r="U29" s="732">
        <v>1.2930295591924157E-2</v>
      </c>
      <c r="V29" s="1253">
        <v>1.6164657364419632E-2</v>
      </c>
      <c r="W29" s="719">
        <v>1.4320052780054215E-2</v>
      </c>
      <c r="X29" s="3697">
        <v>1.4854836304412311E-2</v>
      </c>
      <c r="Y29" s="552">
        <v>1.0723489677996856E-2</v>
      </c>
    </row>
    <row r="30" spans="1:25">
      <c r="A30" s="280">
        <f t="shared" si="1"/>
        <v>2017.09</v>
      </c>
      <c r="B30" s="705">
        <v>1.8980446673178442E-2</v>
      </c>
      <c r="C30" s="3697">
        <v>2.0436303178720916E-2</v>
      </c>
      <c r="D30" s="714">
        <v>1.915188482107566E-2</v>
      </c>
      <c r="E30" s="3697">
        <v>1.7622485171312929E-2</v>
      </c>
      <c r="F30" s="714">
        <v>1.2986469412081592E-2</v>
      </c>
      <c r="G30" s="3697">
        <v>1.7395043931073939E-2</v>
      </c>
      <c r="H30" s="390">
        <v>1.2930212066232016E-2</v>
      </c>
      <c r="I30" s="719">
        <v>1.7998770406141951E-2</v>
      </c>
      <c r="J30" s="3697">
        <v>6.9268769987114176E-3</v>
      </c>
      <c r="K30" s="714">
        <v>3.7996079010446993E-2</v>
      </c>
      <c r="L30" s="3697">
        <v>1.9727873983945265E-2</v>
      </c>
      <c r="M30" s="714">
        <v>1.0225701363816508E-2</v>
      </c>
      <c r="N30" s="3697">
        <v>2.4328900653347585E-2</v>
      </c>
      <c r="O30" s="714">
        <v>8.0549489916237338E-3</v>
      </c>
      <c r="P30" s="3697">
        <v>1.0511003478204328E-2</v>
      </c>
      <c r="Q30" s="714">
        <v>2.6944227519486885E-2</v>
      </c>
      <c r="R30" s="3697">
        <v>3.7190039778643991E-2</v>
      </c>
      <c r="S30" s="714">
        <v>1.4148358361083746E-2</v>
      </c>
      <c r="T30" s="1253">
        <v>1.6654621701535532E-2</v>
      </c>
      <c r="U30" s="732">
        <v>1.8864764861617811E-2</v>
      </c>
      <c r="V30" s="1253">
        <v>1.9384979027339933E-2</v>
      </c>
      <c r="W30" s="719">
        <v>1.6342323887561294E-2</v>
      </c>
      <c r="X30" s="3697">
        <v>1.7179194435294809E-2</v>
      </c>
      <c r="Y30" s="552">
        <v>3.9714640764608067E-2</v>
      </c>
    </row>
    <row r="31" spans="1:25">
      <c r="A31" s="280">
        <f t="shared" si="1"/>
        <v>2017.1</v>
      </c>
      <c r="B31" s="705">
        <v>1.5147326869770827E-2</v>
      </c>
      <c r="C31" s="3697">
        <v>1.2994466183362086E-2</v>
      </c>
      <c r="D31" s="714">
        <v>1.6857539172699276E-2</v>
      </c>
      <c r="E31" s="3697">
        <v>1.881334475594354E-2</v>
      </c>
      <c r="F31" s="714">
        <v>1.4912602371348394E-2</v>
      </c>
      <c r="G31" s="3697">
        <v>1.7169072026413268E-2</v>
      </c>
      <c r="H31" s="390">
        <v>1.6376627324060644E-2</v>
      </c>
      <c r="I31" s="719">
        <v>1.5117933281101781E-2</v>
      </c>
      <c r="J31" s="3697">
        <v>3.0106239890027142E-2</v>
      </c>
      <c r="K31" s="714">
        <v>2.1202810817388285E-2</v>
      </c>
      <c r="L31" s="3697">
        <v>8.8832605116906382E-3</v>
      </c>
      <c r="M31" s="714">
        <v>7.2082566331725939E-3</v>
      </c>
      <c r="N31" s="3697">
        <v>1.0782812144938037E-2</v>
      </c>
      <c r="O31" s="714">
        <v>1.2835474662549862E-2</v>
      </c>
      <c r="P31" s="3697">
        <v>5.2987886966465947E-2</v>
      </c>
      <c r="Q31" s="714">
        <v>1.251505822513721E-2</v>
      </c>
      <c r="R31" s="3697">
        <v>8.048986337034103E-3</v>
      </c>
      <c r="S31" s="714">
        <v>1.3938928236763015E-2</v>
      </c>
      <c r="T31" s="1253">
        <v>1.3734034898752245E-2</v>
      </c>
      <c r="U31" s="732">
        <v>1.583872726656077E-2</v>
      </c>
      <c r="V31" s="1253">
        <v>1.4229083605330706E-2</v>
      </c>
      <c r="W31" s="719">
        <v>1.3150119985047004E-2</v>
      </c>
      <c r="X31" s="3697">
        <v>1.6758389136466878E-2</v>
      </c>
      <c r="Y31" s="552">
        <v>2.4181251828523154E-2</v>
      </c>
    </row>
    <row r="32" spans="1:25">
      <c r="A32" s="280">
        <f t="shared" si="1"/>
        <v>2017.11</v>
      </c>
      <c r="B32" s="705">
        <v>1.3750829473627713E-2</v>
      </c>
      <c r="C32" s="3697">
        <v>1.1678807683778381E-2</v>
      </c>
      <c r="D32" s="714">
        <v>1.616808639077072E-2</v>
      </c>
      <c r="E32" s="3697">
        <v>1.2601473908256944E-2</v>
      </c>
      <c r="F32" s="714">
        <v>1.5210860489929701E-2</v>
      </c>
      <c r="G32" s="3697">
        <v>1.5641775170490035E-2</v>
      </c>
      <c r="H32" s="390">
        <v>1.4577043346991614E-2</v>
      </c>
      <c r="I32" s="719">
        <v>1.1883423631104506E-2</v>
      </c>
      <c r="J32" s="3697">
        <v>1.1107276387690712E-2</v>
      </c>
      <c r="K32" s="714">
        <v>1.3373284970824795E-2</v>
      </c>
      <c r="L32" s="3697">
        <v>1.2387483236065977E-2</v>
      </c>
      <c r="M32" s="714">
        <v>9.0559191068220191E-3</v>
      </c>
      <c r="N32" s="3697">
        <v>1.3070144896483393E-2</v>
      </c>
      <c r="O32" s="714">
        <v>3.0130880405671023E-2</v>
      </c>
      <c r="P32" s="3697">
        <v>7.2486791075210277E-3</v>
      </c>
      <c r="Q32" s="714">
        <v>6.9444444444444198E-3</v>
      </c>
      <c r="R32" s="3697">
        <v>3.4947449080446891E-3</v>
      </c>
      <c r="S32" s="714">
        <v>1.829353157832192E-2</v>
      </c>
      <c r="T32" s="1253">
        <v>1.2269357013946935E-2</v>
      </c>
      <c r="U32" s="732">
        <v>1.5327244896911063E-2</v>
      </c>
      <c r="V32" s="1253">
        <v>1.1186960961230952E-2</v>
      </c>
      <c r="W32" s="719">
        <v>1.2848513702502506E-2</v>
      </c>
      <c r="X32" s="3697">
        <v>1.4897733730946827E-2</v>
      </c>
      <c r="Y32" s="552">
        <v>1.71158470294277E-2</v>
      </c>
    </row>
    <row r="33" spans="1:26">
      <c r="A33" s="280">
        <f t="shared" si="1"/>
        <v>2017.12</v>
      </c>
      <c r="B33" s="705">
        <v>3.1419739821809234E-2</v>
      </c>
      <c r="C33" s="3697">
        <v>3.4287033031388692E-2</v>
      </c>
      <c r="D33" s="714">
        <v>3.1104682822828966E-2</v>
      </c>
      <c r="E33" s="3697">
        <v>2.3101739831777879E-2</v>
      </c>
      <c r="F33" s="714">
        <v>2.1552098649913143E-2</v>
      </c>
      <c r="G33" s="3697">
        <v>3.3444447097197516E-2</v>
      </c>
      <c r="H33" s="390">
        <v>2.5117571256816795E-2</v>
      </c>
      <c r="I33" s="719">
        <v>6.6171108182067062E-3</v>
      </c>
      <c r="J33" s="3697">
        <v>5.4540268044571683E-3</v>
      </c>
      <c r="K33" s="714">
        <v>8.3612589526249614E-3</v>
      </c>
      <c r="L33" s="3697">
        <v>0.17847161314070936</v>
      </c>
      <c r="M33" s="714">
        <v>2.9043607032855467E-2</v>
      </c>
      <c r="N33" s="3697">
        <v>2.3804201966792782E-2</v>
      </c>
      <c r="O33" s="714">
        <v>3.231247689337402E-2</v>
      </c>
      <c r="P33" s="3697">
        <v>1.708631797960769E-2</v>
      </c>
      <c r="Q33" s="714">
        <v>7.2387125889761261E-3</v>
      </c>
      <c r="R33" s="3697">
        <v>-8.8224198985242808E-5</v>
      </c>
      <c r="S33" s="714">
        <v>1.7888216978804827E-2</v>
      </c>
      <c r="T33" s="1253">
        <v>1.0975659147057559E-2</v>
      </c>
      <c r="U33" s="732">
        <v>1.2496416586566861E-2</v>
      </c>
      <c r="V33" s="1253">
        <v>6.5269371709460788E-2</v>
      </c>
      <c r="W33" s="719">
        <v>1.6707824180473008E-2</v>
      </c>
      <c r="X33" s="3697">
        <v>9.0844312733587618E-2</v>
      </c>
      <c r="Y33" s="552">
        <v>3.3189769819281789E-3</v>
      </c>
    </row>
    <row r="34" spans="1:26">
      <c r="A34" s="280">
        <f t="shared" si="1"/>
        <v>2018.01</v>
      </c>
      <c r="B34" s="705">
        <v>1.7573536246470178E-2</v>
      </c>
      <c r="C34" s="3697">
        <v>1.5799045419356617E-2</v>
      </c>
      <c r="D34" s="714">
        <v>1.8715646837688782E-2</v>
      </c>
      <c r="E34" s="3697">
        <v>1.8782428225527559E-2</v>
      </c>
      <c r="F34" s="714">
        <v>1.9967172545321876E-2</v>
      </c>
      <c r="G34" s="3697">
        <v>1.5014000693064133E-2</v>
      </c>
      <c r="H34" s="390">
        <v>2.5656331831395374E-2</v>
      </c>
      <c r="I34" s="719">
        <v>2.0897308075772836E-2</v>
      </c>
      <c r="J34" s="3697">
        <v>2.2957084590899735E-2</v>
      </c>
      <c r="K34" s="714">
        <v>-7.5974329405006369E-3</v>
      </c>
      <c r="L34" s="3697">
        <v>1.0431709930209143E-2</v>
      </c>
      <c r="M34" s="714">
        <v>1.0369903607071018E-2</v>
      </c>
      <c r="N34" s="3697">
        <v>1.7553277232541742E-2</v>
      </c>
      <c r="O34" s="714">
        <v>2.1695282830384688E-2</v>
      </c>
      <c r="P34" s="3697">
        <v>1.8754747954884854E-2</v>
      </c>
      <c r="Q34" s="714">
        <v>3.4593380131269891E-2</v>
      </c>
      <c r="R34" s="3697">
        <v>6.3610696150346868E-3</v>
      </c>
      <c r="S34" s="714">
        <v>2.9211698434532085E-2</v>
      </c>
      <c r="T34" s="1253">
        <v>2.4214305744731934E-2</v>
      </c>
      <c r="U34" s="732">
        <v>1.6430151868565446E-2</v>
      </c>
      <c r="V34" s="1253">
        <v>2.1331107616868739E-2</v>
      </c>
      <c r="W34" s="719">
        <v>1.4988487223666525E-2</v>
      </c>
      <c r="X34" s="3697">
        <v>2.1314685597031868E-2</v>
      </c>
      <c r="Y34" s="552">
        <v>2.6649223797825305E-2</v>
      </c>
    </row>
    <row r="35" spans="1:26">
      <c r="A35" s="280">
        <f t="shared" si="1"/>
        <v>2018.02</v>
      </c>
      <c r="B35" s="705">
        <v>2.4190341345332378E-2</v>
      </c>
      <c r="C35" s="3697">
        <v>2.5797014046405664E-2</v>
      </c>
      <c r="D35" s="714">
        <v>2.344528125225831E-2</v>
      </c>
      <c r="E35" s="3697">
        <v>2.0435396086314839E-2</v>
      </c>
      <c r="F35" s="714">
        <v>2.0656332887524664E-2</v>
      </c>
      <c r="G35" s="3697">
        <v>2.6361268995135578E-2</v>
      </c>
      <c r="H35" s="390">
        <v>2.0337944394035246E-2</v>
      </c>
      <c r="I35" s="719">
        <v>2.1822141489902025E-2</v>
      </c>
      <c r="J35" s="3697">
        <v>1.723636593498612E-2</v>
      </c>
      <c r="K35" s="714">
        <v>-6.1289692722129585E-3</v>
      </c>
      <c r="L35" s="3697">
        <v>3.7905811113372545E-2</v>
      </c>
      <c r="M35" s="714">
        <v>1.7458353630477985E-2</v>
      </c>
      <c r="N35" s="3697">
        <v>2.3441789644485622E-2</v>
      </c>
      <c r="O35" s="714">
        <v>4.482470710137676E-2</v>
      </c>
      <c r="P35" s="3697">
        <v>9.1184640738106282E-2</v>
      </c>
      <c r="Q35" s="714">
        <v>9.8479384446761298E-3</v>
      </c>
      <c r="R35" s="3697">
        <v>1.9080493303876844E-2</v>
      </c>
      <c r="S35" s="714">
        <v>2.099140996533122E-2</v>
      </c>
      <c r="T35" s="1253">
        <v>1.7531936808429682E-2</v>
      </c>
      <c r="U35" s="732">
        <v>1.7859673873949156E-2</v>
      </c>
      <c r="V35" s="1253">
        <v>3.5284572065662934E-2</v>
      </c>
      <c r="W35" s="719">
        <v>2.0908267163812333E-2</v>
      </c>
      <c r="X35" s="3697">
        <v>4.8168037494149551E-2</v>
      </c>
      <c r="Y35" s="552">
        <v>-6.8099384042195066E-3</v>
      </c>
    </row>
    <row r="36" spans="1:26">
      <c r="A36" s="280">
        <f t="shared" si="1"/>
        <v>2018.03</v>
      </c>
      <c r="B36" s="705">
        <v>2.3410625508416993E-2</v>
      </c>
      <c r="C36" s="3697">
        <v>2.464861429734766E-2</v>
      </c>
      <c r="D36" s="714">
        <v>1.9433742152362932E-2</v>
      </c>
      <c r="E36" s="3697">
        <v>3.1043981553127598E-2</v>
      </c>
      <c r="F36" s="714">
        <v>2.4281698815492359E-2</v>
      </c>
      <c r="G36" s="3697">
        <v>2.1200859504637792E-2</v>
      </c>
      <c r="H36" s="390">
        <v>3.1149554547516001E-2</v>
      </c>
      <c r="I36" s="719">
        <v>2.3195913237535892E-2</v>
      </c>
      <c r="J36" s="3697">
        <v>6.8603706402237119E-3</v>
      </c>
      <c r="K36" s="714">
        <v>4.3748913383636401E-2</v>
      </c>
      <c r="L36" s="3697">
        <v>5.6773263616942682E-3</v>
      </c>
      <c r="M36" s="714">
        <v>4.5200136176924088E-2</v>
      </c>
      <c r="N36" s="3697">
        <v>1.3042011401710019E-2</v>
      </c>
      <c r="O36" s="714">
        <v>1.7812848984130936E-2</v>
      </c>
      <c r="P36" s="3697">
        <v>2.7455017335845877E-2</v>
      </c>
      <c r="Q36" s="714">
        <v>1.2154985618146652E-2</v>
      </c>
      <c r="R36" s="3697">
        <v>0.13797351378452061</v>
      </c>
      <c r="S36" s="714">
        <v>1.7549915265792748E-2</v>
      </c>
      <c r="T36" s="1253">
        <v>1.8568852185946394E-2</v>
      </c>
      <c r="U36" s="732">
        <v>2.1505670613424455E-2</v>
      </c>
      <c r="V36" s="1253">
        <v>2.683187771694695E-2</v>
      </c>
      <c r="W36" s="719">
        <v>2.5764008786389958E-2</v>
      </c>
      <c r="X36" s="3697">
        <v>2.0259662588153038E-2</v>
      </c>
      <c r="Y36" s="552">
        <v>1.6272792527143531E-2</v>
      </c>
      <c r="Z36" s="281"/>
    </row>
    <row r="37" spans="1:26">
      <c r="A37" s="280">
        <f t="shared" si="1"/>
        <v>2018.04</v>
      </c>
      <c r="B37" s="705">
        <v>2.7390323758465174E-2</v>
      </c>
      <c r="C37" s="3697">
        <v>2.5731295523389708E-2</v>
      </c>
      <c r="D37" s="714">
        <v>2.8634432539990318E-2</v>
      </c>
      <c r="E37" s="3697">
        <v>2.8311869596541861E-2</v>
      </c>
      <c r="F37" s="714">
        <v>2.6470978484372854E-2</v>
      </c>
      <c r="G37" s="3697">
        <v>3.3539879666480532E-2</v>
      </c>
      <c r="H37" s="390">
        <v>2.7230271769806302E-2</v>
      </c>
      <c r="I37" s="719">
        <v>1.1573998396500418E-2</v>
      </c>
      <c r="J37" s="3697">
        <v>1.2831095811995707E-2</v>
      </c>
      <c r="K37" s="714">
        <v>4.0449342751274875E-2</v>
      </c>
      <c r="L37" s="3697">
        <v>8.0099060461250149E-2</v>
      </c>
      <c r="M37" s="714">
        <v>1.2474035540698702E-2</v>
      </c>
      <c r="N37" s="3697">
        <v>1.7816957298937064E-2</v>
      </c>
      <c r="O37" s="714">
        <v>4.0184556269136973E-2</v>
      </c>
      <c r="P37" s="3697">
        <v>1.035136145956872E-2</v>
      </c>
      <c r="Q37" s="714">
        <v>1.9218739889131031E-2</v>
      </c>
      <c r="R37" s="3697">
        <v>8.1917050595134988E-3</v>
      </c>
      <c r="S37" s="714">
        <v>2.2878381927625036E-2</v>
      </c>
      <c r="T37" s="1253">
        <v>1.6857576631959859E-2</v>
      </c>
      <c r="U37" s="732">
        <v>2.1911798078620315E-2</v>
      </c>
      <c r="V37" s="1253">
        <v>3.7127739383078229E-2</v>
      </c>
      <c r="W37" s="719">
        <v>2.1300855948922726E-2</v>
      </c>
      <c r="X37" s="3697">
        <v>5.2583285253892331E-2</v>
      </c>
      <c r="Y37" s="552">
        <v>8.7076524852165438E-3</v>
      </c>
    </row>
    <row r="38" spans="1:26">
      <c r="A38" s="280">
        <f t="shared" si="1"/>
        <v>2018.05</v>
      </c>
      <c r="B38" s="705">
        <v>2.0753748413176565E-2</v>
      </c>
      <c r="C38" s="3697">
        <v>1.9293402853846509E-2</v>
      </c>
      <c r="D38" s="714">
        <v>2.2147486450583287E-2</v>
      </c>
      <c r="E38" s="3697">
        <v>2.3043997066132471E-2</v>
      </c>
      <c r="F38" s="714">
        <v>2.5538029090892866E-2</v>
      </c>
      <c r="G38" s="3697">
        <v>1.80888044594949E-2</v>
      </c>
      <c r="H38" s="390">
        <v>1.9874570997886032E-2</v>
      </c>
      <c r="I38" s="719">
        <v>3.2672622020239128E-2</v>
      </c>
      <c r="J38" s="3697">
        <v>1.6163210339579903E-2</v>
      </c>
      <c r="K38" s="714">
        <v>1.9510844071741973E-2</v>
      </c>
      <c r="L38" s="3697">
        <v>-7.3141201334639971E-3</v>
      </c>
      <c r="M38" s="714">
        <v>2.2072527260929231E-2</v>
      </c>
      <c r="N38" s="3697">
        <v>2.2093947739119768E-2</v>
      </c>
      <c r="O38" s="714">
        <v>1.9052732806217998E-2</v>
      </c>
      <c r="P38" s="3697">
        <v>3.9273790512220241E-2</v>
      </c>
      <c r="Q38" s="714">
        <v>2.5171270150318614E-2</v>
      </c>
      <c r="R38" s="3697">
        <v>8.9338468679174277E-3</v>
      </c>
      <c r="S38" s="714">
        <v>2.3999365187258537E-2</v>
      </c>
      <c r="T38" s="1253">
        <v>1.9663164601200434E-2</v>
      </c>
      <c r="U38" s="732">
        <v>2.7234257797078332E-2</v>
      </c>
      <c r="V38" s="1253">
        <v>1.0803184040618419E-2</v>
      </c>
      <c r="W38" s="719">
        <v>2.6549870558923772E-2</v>
      </c>
      <c r="X38" s="3697">
        <v>3.5935804729980703E-3</v>
      </c>
      <c r="Y38" s="552">
        <v>2.5291759837368977E-2</v>
      </c>
    </row>
    <row r="39" spans="1:26">
      <c r="A39" s="280">
        <f t="shared" si="1"/>
        <v>2018.06</v>
      </c>
      <c r="B39" s="705">
        <v>3.7366760919353981E-2</v>
      </c>
      <c r="C39" s="3697">
        <v>3.9247743229688936E-2</v>
      </c>
      <c r="D39" s="714">
        <v>3.7129221548739766E-2</v>
      </c>
      <c r="E39" s="3697">
        <v>3.4002482557890623E-2</v>
      </c>
      <c r="F39" s="714">
        <v>3.0978422423892704E-2</v>
      </c>
      <c r="G39" s="3697">
        <v>3.647774394344494E-2</v>
      </c>
      <c r="H39" s="390">
        <v>3.2703507636931972E-2</v>
      </c>
      <c r="I39" s="719">
        <v>5.1780936037418401E-2</v>
      </c>
      <c r="J39" s="3697">
        <v>9.0624386280262481E-3</v>
      </c>
      <c r="K39" s="714">
        <v>1.9148448369539661E-2</v>
      </c>
      <c r="L39" s="3697">
        <v>2.6546208066164256E-2</v>
      </c>
      <c r="M39" s="714">
        <v>4.0229444920965696E-2</v>
      </c>
      <c r="N39" s="3697">
        <v>4.304092049546937E-2</v>
      </c>
      <c r="O39" s="714">
        <v>5.936758364087491E-2</v>
      </c>
      <c r="P39" s="3697">
        <v>3.7924537567421979E-3</v>
      </c>
      <c r="Q39" s="714">
        <v>3.3505878605885275E-2</v>
      </c>
      <c r="R39" s="3697">
        <v>1.2201216597703901E-2</v>
      </c>
      <c r="S39" s="714">
        <v>2.6569465584120211E-2</v>
      </c>
      <c r="T39" s="1253">
        <v>3.1776748361912022E-2</v>
      </c>
      <c r="U39" s="732">
        <v>4.3170927237024648E-2</v>
      </c>
      <c r="V39" s="1253">
        <v>2.5871438298763927E-2</v>
      </c>
      <c r="W39" s="719">
        <v>4.0739549886871673E-2</v>
      </c>
      <c r="X39" s="3697">
        <v>2.9423711443283374E-2</v>
      </c>
      <c r="Y39" s="552">
        <v>3.3573679415303204E-2</v>
      </c>
    </row>
    <row r="40" spans="1:26">
      <c r="A40" s="280">
        <f t="shared" si="1"/>
        <v>2018.07</v>
      </c>
      <c r="B40" s="705">
        <v>3.1016129934470893E-2</v>
      </c>
      <c r="C40" s="3697">
        <v>2.7986008374569549E-2</v>
      </c>
      <c r="D40" s="714">
        <v>3.3028677002612472E-2</v>
      </c>
      <c r="E40" s="3697">
        <v>3.4235196392547795E-2</v>
      </c>
      <c r="F40" s="714">
        <v>3.4176056761044515E-2</v>
      </c>
      <c r="G40" s="3697">
        <v>3.6410586677945167E-2</v>
      </c>
      <c r="H40" s="390">
        <v>3.2209680664340157E-2</v>
      </c>
      <c r="I40" s="719">
        <v>3.9913284355052259E-2</v>
      </c>
      <c r="J40" s="3697">
        <v>2.603686909806191E-2</v>
      </c>
      <c r="K40" s="714">
        <v>-1.4884254123217477E-3</v>
      </c>
      <c r="L40" s="3697">
        <v>1.0021005355978163E-2</v>
      </c>
      <c r="M40" s="714">
        <v>4.2055820185674664E-2</v>
      </c>
      <c r="N40" s="3697">
        <v>2.8076800034998683E-2</v>
      </c>
      <c r="O40" s="714">
        <v>5.1988185244601803E-2</v>
      </c>
      <c r="P40" s="3697">
        <v>5.9919916870094792E-3</v>
      </c>
      <c r="Q40" s="714">
        <v>5.065540499570198E-2</v>
      </c>
      <c r="R40" s="3697">
        <v>1.7747306760586223E-2</v>
      </c>
      <c r="S40" s="714">
        <v>2.8577939511333694E-2</v>
      </c>
      <c r="T40" s="1253">
        <v>3.9374748744918753E-2</v>
      </c>
      <c r="U40" s="732">
        <v>3.7227401889145195E-2</v>
      </c>
      <c r="V40" s="1253">
        <v>2.0840845632229765E-2</v>
      </c>
      <c r="W40" s="719">
        <v>3.1930887595530644E-2</v>
      </c>
      <c r="X40" s="3697">
        <v>2.5835824746179403E-2</v>
      </c>
      <c r="Y40" s="552">
        <v>3.7754991311379715E-2</v>
      </c>
    </row>
    <row r="41" spans="1:26">
      <c r="A41" s="280">
        <f t="shared" si="1"/>
        <v>2018.08</v>
      </c>
      <c r="B41" s="705">
        <v>3.8894388753662135E-2</v>
      </c>
      <c r="C41" s="3697">
        <v>4.0618222640087298E-2</v>
      </c>
      <c r="D41" s="714">
        <v>3.7373508518312892E-2</v>
      </c>
      <c r="E41" s="3697">
        <v>3.9753419796059841E-2</v>
      </c>
      <c r="F41" s="714">
        <v>3.9854012802921446E-2</v>
      </c>
      <c r="G41" s="3697">
        <v>3.3997282549289354E-2</v>
      </c>
      <c r="H41" s="390">
        <v>3.6458452352307713E-2</v>
      </c>
      <c r="I41" s="719">
        <v>4.0123364272049988E-2</v>
      </c>
      <c r="J41" s="3697">
        <v>1.3536603200942965E-2</v>
      </c>
      <c r="K41" s="714">
        <v>3.4149021205416297E-3</v>
      </c>
      <c r="L41" s="3697">
        <v>6.1597122412577754E-2</v>
      </c>
      <c r="M41" s="714">
        <v>3.1317338955245466E-2</v>
      </c>
      <c r="N41" s="3697">
        <v>4.0746946455761046E-2</v>
      </c>
      <c r="O41" s="714">
        <v>4.0432596944512733E-2</v>
      </c>
      <c r="P41" s="3697">
        <v>0.12404201174762908</v>
      </c>
      <c r="Q41" s="714">
        <v>3.3048979708232062E-2</v>
      </c>
      <c r="R41" s="3697">
        <v>1.9154435865572639E-2</v>
      </c>
      <c r="S41" s="714">
        <v>2.4277188512559222E-2</v>
      </c>
      <c r="T41" s="1253">
        <v>4.8925044811896301E-2</v>
      </c>
      <c r="U41" s="732">
        <v>3.1576208926335392E-2</v>
      </c>
      <c r="V41" s="1253">
        <v>5.030227629366113E-2</v>
      </c>
      <c r="W41" s="719">
        <v>3.3522805662095312E-2</v>
      </c>
      <c r="X41" s="3697">
        <v>6.1974039653585944E-2</v>
      </c>
      <c r="Y41" s="552">
        <v>1.9329840607061E-2</v>
      </c>
    </row>
    <row r="42" spans="1:26">
      <c r="A42" s="280">
        <f t="shared" si="1"/>
        <v>2018.09</v>
      </c>
      <c r="B42" s="705">
        <v>6.5342861600713009E-2</v>
      </c>
      <c r="C42" s="3697">
        <v>6.6477331678424401E-2</v>
      </c>
      <c r="D42" s="714">
        <v>6.3437761529526071E-2</v>
      </c>
      <c r="E42" s="3697">
        <v>5.9741739533791582E-2</v>
      </c>
      <c r="F42" s="714">
        <v>7.3114377695518096E-2</v>
      </c>
      <c r="G42" s="3697">
        <v>6.8387042212372684E-2</v>
      </c>
      <c r="H42" s="390">
        <v>6.564023285085363E-2</v>
      </c>
      <c r="I42" s="719">
        <v>7.019387021915291E-2</v>
      </c>
      <c r="J42" s="3697">
        <v>4.4246257808509659E-2</v>
      </c>
      <c r="K42" s="714">
        <v>9.7846229556097342E-2</v>
      </c>
      <c r="L42" s="3697">
        <v>2.2926371859441685E-2</v>
      </c>
      <c r="M42" s="714">
        <v>9.7155591300100541E-2</v>
      </c>
      <c r="N42" s="3697">
        <v>4.5322445349788909E-2</v>
      </c>
      <c r="O42" s="714">
        <v>0.10404636119267696</v>
      </c>
      <c r="P42" s="3697">
        <v>2.1157127804758202E-2</v>
      </c>
      <c r="Q42" s="714">
        <v>6.7934766534624824E-2</v>
      </c>
      <c r="R42" s="3697">
        <v>1.6308205121007058E-2</v>
      </c>
      <c r="S42" s="714">
        <v>5.7333761427581731E-2</v>
      </c>
      <c r="T42" s="1253">
        <v>7.9262550415015731E-2</v>
      </c>
      <c r="U42" s="732">
        <v>8.6639977242479738E-2</v>
      </c>
      <c r="V42" s="1253">
        <v>2.9834701397032148E-2</v>
      </c>
      <c r="W42" s="719">
        <v>7.6412527799358587E-2</v>
      </c>
      <c r="X42" s="3697">
        <v>4.7030169161724977E-2</v>
      </c>
      <c r="Y42" s="552">
        <v>3.9714760290720408E-2</v>
      </c>
    </row>
    <row r="43" spans="1:26">
      <c r="A43" s="280">
        <f t="shared" si="1"/>
        <v>2018.1</v>
      </c>
      <c r="B43" s="705">
        <v>5.3916071516107333E-2</v>
      </c>
      <c r="C43" s="3697">
        <v>5.0544352146319138E-2</v>
      </c>
      <c r="D43" s="714">
        <v>5.7879613457382684E-2</v>
      </c>
      <c r="E43" s="3697">
        <v>5.3158539656708914E-2</v>
      </c>
      <c r="F43" s="714">
        <v>4.8683404776485029E-2</v>
      </c>
      <c r="G43" s="3697">
        <v>5.9458658808487996E-2</v>
      </c>
      <c r="H43" s="390">
        <v>5.8023144511104574E-2</v>
      </c>
      <c r="I43" s="719">
        <v>5.8813484945018368E-2</v>
      </c>
      <c r="J43" s="3697">
        <v>2.3202695751154634E-2</v>
      </c>
      <c r="K43" s="714">
        <v>5.0437748641228186E-2</v>
      </c>
      <c r="L43" s="3697">
        <v>8.7826381482010607E-2</v>
      </c>
      <c r="M43" s="714">
        <v>4.2971771950276239E-2</v>
      </c>
      <c r="N43" s="3697">
        <v>5.4728748972476149E-2</v>
      </c>
      <c r="O43" s="714">
        <v>7.6180633378523099E-2</v>
      </c>
      <c r="P43" s="3697">
        <v>7.2496684341241124E-3</v>
      </c>
      <c r="Q43" s="714">
        <v>2.7470826555788808E-2</v>
      </c>
      <c r="R43" s="3697">
        <v>2.0814293245968063E-2</v>
      </c>
      <c r="S43" s="714">
        <v>3.0896674819689496E-2</v>
      </c>
      <c r="T43" s="1253">
        <v>6.2097990153764604E-2</v>
      </c>
      <c r="U43" s="732">
        <v>5.8452927411773548E-2</v>
      </c>
      <c r="V43" s="1253">
        <v>4.5967544297710106E-2</v>
      </c>
      <c r="W43" s="719">
        <v>4.5397217123865241E-2</v>
      </c>
      <c r="X43" s="3697">
        <v>7.4437936897789436E-2</v>
      </c>
      <c r="Y43" s="552">
        <v>6.230051488531485E-2</v>
      </c>
    </row>
    <row r="44" spans="1:26">
      <c r="A44" s="280">
        <f t="shared" si="1"/>
        <v>2018.11</v>
      </c>
      <c r="B44" s="705">
        <v>3.1533649961842602E-2</v>
      </c>
      <c r="C44" s="3697">
        <v>2.8886732556862249E-2</v>
      </c>
      <c r="D44" s="714">
        <v>3.2832981420490848E-2</v>
      </c>
      <c r="E44" s="3697">
        <v>3.2707282554084838E-2</v>
      </c>
      <c r="F44" s="714">
        <v>3.0238248175182614E-2</v>
      </c>
      <c r="G44" s="3697">
        <v>3.6610926619094375E-2</v>
      </c>
      <c r="H44" s="390">
        <v>4.1884696303743585E-2</v>
      </c>
      <c r="I44" s="719">
        <v>3.4085411215099226E-2</v>
      </c>
      <c r="J44" s="3697">
        <v>4.6352559709849528E-2</v>
      </c>
      <c r="K44" s="714">
        <v>2.3114831377815115E-2</v>
      </c>
      <c r="L44" s="3697">
        <v>2.1303716352601088E-2</v>
      </c>
      <c r="M44" s="714">
        <v>3.5522349637957751E-2</v>
      </c>
      <c r="N44" s="3697">
        <v>5.6535572961061265E-2</v>
      </c>
      <c r="O44" s="714">
        <v>2.6726920189162229E-2</v>
      </c>
      <c r="P44" s="3697">
        <v>3.0377152045491629E-2</v>
      </c>
      <c r="Q44" s="714">
        <v>2.8052928833827373E-2</v>
      </c>
      <c r="R44" s="3697">
        <v>1.1561703496863807E-2</v>
      </c>
      <c r="S44" s="714">
        <v>2.5732120532613756E-2</v>
      </c>
      <c r="T44" s="1253">
        <v>4.3989254533243649E-2</v>
      </c>
      <c r="U44" s="732">
        <v>3.7050463613177431E-2</v>
      </c>
      <c r="V44" s="1253">
        <v>2.1374957795496474E-2</v>
      </c>
      <c r="W44" s="719">
        <v>3.2986482855487109E-2</v>
      </c>
      <c r="X44" s="3697">
        <v>2.7836652409622076E-2</v>
      </c>
      <c r="Y44" s="552">
        <v>3.017489261649331E-2</v>
      </c>
    </row>
    <row r="45" spans="1:26">
      <c r="A45" s="280">
        <f t="shared" si="1"/>
        <v>2018.12</v>
      </c>
      <c r="B45" s="705">
        <v>2.569823445714392E-2</v>
      </c>
      <c r="C45" s="3697">
        <v>2.829374374570226E-2</v>
      </c>
      <c r="D45" s="714">
        <v>2.3053468721704329E-2</v>
      </c>
      <c r="E45" s="3697">
        <v>2.2655984289267961E-2</v>
      </c>
      <c r="F45" s="714">
        <v>2.461906621556742E-2</v>
      </c>
      <c r="G45" s="3697">
        <v>2.4948754882892388E-2</v>
      </c>
      <c r="H45" s="390">
        <v>2.6248383937748754E-2</v>
      </c>
      <c r="I45" s="719">
        <v>1.6984027166394133E-2</v>
      </c>
      <c r="J45" s="3697">
        <v>1.3809909603682335E-2</v>
      </c>
      <c r="K45" s="714">
        <v>1.1311618570944537E-2</v>
      </c>
      <c r="L45" s="3697">
        <v>2.9992080803968868E-2</v>
      </c>
      <c r="M45" s="714">
        <v>1.856079679902134E-2</v>
      </c>
      <c r="N45" s="3697">
        <v>5.249845063702141E-2</v>
      </c>
      <c r="O45" s="714">
        <v>2.4022093914402909E-2</v>
      </c>
      <c r="P45" s="3697">
        <v>7.6540609588219954E-2</v>
      </c>
      <c r="Q45" s="714">
        <v>2.5917063299930376E-2</v>
      </c>
      <c r="R45" s="3697">
        <v>1.021885670689171E-2</v>
      </c>
      <c r="S45" s="714">
        <v>2.6521836124326015E-2</v>
      </c>
      <c r="T45" s="1253">
        <v>3.4272005065233424E-2</v>
      </c>
      <c r="U45" s="732">
        <v>1.9228947671101393E-2</v>
      </c>
      <c r="V45" s="1253">
        <v>3.6978405277868331E-2</v>
      </c>
      <c r="W45" s="719">
        <v>2.7435393610045544E-2</v>
      </c>
      <c r="X45" s="3697">
        <v>2.5741608532473759E-2</v>
      </c>
      <c r="Y45" s="552">
        <v>1.4398818305154659E-2</v>
      </c>
    </row>
    <row r="46" spans="1:26">
      <c r="A46" s="280">
        <f t="shared" si="1"/>
        <v>2019.01</v>
      </c>
      <c r="B46" s="705">
        <v>2.9062409093474573E-2</v>
      </c>
      <c r="C46" s="3697">
        <v>2.8191549222265744E-2</v>
      </c>
      <c r="D46" s="714">
        <v>2.8708782275023381E-2</v>
      </c>
      <c r="E46" s="3697">
        <v>3.214219619198988E-2</v>
      </c>
      <c r="F46" s="714">
        <v>3.4307895368635988E-2</v>
      </c>
      <c r="G46" s="3697">
        <v>2.9291694302602256E-2</v>
      </c>
      <c r="H46" s="390">
        <v>3.0346128212727974E-2</v>
      </c>
      <c r="I46" s="719">
        <v>3.3527192819009288E-2</v>
      </c>
      <c r="J46" s="3697">
        <v>3.4513922413629938E-2</v>
      </c>
      <c r="K46" s="714">
        <v>-5.6012481013947291E-3</v>
      </c>
      <c r="L46" s="3697">
        <v>3.0969658927045618E-2</v>
      </c>
      <c r="M46" s="714">
        <v>2.6739303427239625E-2</v>
      </c>
      <c r="N46" s="3697">
        <v>2.9089883963540286E-2</v>
      </c>
      <c r="O46" s="714">
        <v>2.4737721708457894E-2</v>
      </c>
      <c r="P46" s="3697">
        <v>7.3805878089405086E-2</v>
      </c>
      <c r="Q46" s="714">
        <v>3.5063547710902476E-2</v>
      </c>
      <c r="R46" s="3697">
        <v>5.7326662971144415E-3</v>
      </c>
      <c r="S46" s="714">
        <v>3.7330529936275614E-2</v>
      </c>
      <c r="T46" s="1253">
        <v>3.6373142782449408E-2</v>
      </c>
      <c r="U46" s="732">
        <v>2.6342385739486884E-2</v>
      </c>
      <c r="V46" s="1253">
        <v>3.5367068926836609E-2</v>
      </c>
      <c r="W46" s="719">
        <v>3.0028066433953393E-2</v>
      </c>
      <c r="X46" s="3697">
        <v>3.4211886304909678E-2</v>
      </c>
      <c r="Y46" s="552">
        <v>1.0984448640823707E-2</v>
      </c>
    </row>
    <row r="47" spans="1:26">
      <c r="A47" s="280">
        <f t="shared" si="1"/>
        <v>2019.02</v>
      </c>
      <c r="B47" s="705">
        <v>3.7656221899571962E-2</v>
      </c>
      <c r="C47" s="3697">
        <v>3.8261221761852982E-2</v>
      </c>
      <c r="D47" s="714">
        <v>3.5962698559047324E-2</v>
      </c>
      <c r="E47" s="3697">
        <v>4.2156783640811657E-2</v>
      </c>
      <c r="F47" s="714">
        <v>4.521758942567855E-2</v>
      </c>
      <c r="G47" s="3697">
        <v>3.7820097429283051E-2</v>
      </c>
      <c r="H47" s="390">
        <v>2.9965554074047551E-2</v>
      </c>
      <c r="I47" s="719">
        <v>5.7149254104406744E-2</v>
      </c>
      <c r="J47" s="3697">
        <v>2.3563405353442146E-2</v>
      </c>
      <c r="K47" s="714">
        <v>9.6351188026739809E-3</v>
      </c>
      <c r="L47" s="3697">
        <v>6.399406811823205E-2</v>
      </c>
      <c r="M47" s="714">
        <v>2.7852837247973383E-2</v>
      </c>
      <c r="N47" s="3697">
        <v>3.1720456514507056E-2</v>
      </c>
      <c r="O47" s="714">
        <v>2.1799180427244602E-2</v>
      </c>
      <c r="P47" s="3697">
        <v>1.087259710374E-2</v>
      </c>
      <c r="Q47" s="714">
        <v>2.2062579593458143E-2</v>
      </c>
      <c r="R47" s="3697">
        <v>1.6749122594144961E-2</v>
      </c>
      <c r="S47" s="714">
        <v>3.6365236398733902E-2</v>
      </c>
      <c r="T47" s="1253">
        <v>3.0969633142463149E-2</v>
      </c>
      <c r="U47" s="732">
        <v>3.6915886087445227E-2</v>
      </c>
      <c r="V47" s="1253">
        <v>3.8206925118559054E-2</v>
      </c>
      <c r="W47" s="719">
        <v>3.8554986934743019E-2</v>
      </c>
      <c r="X47" s="3697">
        <v>4.2194683190085902E-2</v>
      </c>
      <c r="Y47" s="552">
        <v>1.9268032732593365E-2</v>
      </c>
    </row>
    <row r="48" spans="1:26">
      <c r="A48" s="280">
        <f t="shared" si="1"/>
        <v>2019.03</v>
      </c>
      <c r="B48" s="705">
        <v>4.6795401882895993E-2</v>
      </c>
      <c r="C48" s="3697">
        <v>4.7913090109630296E-2</v>
      </c>
      <c r="D48" s="714">
        <v>4.5171943982354801E-2</v>
      </c>
      <c r="E48" s="3697">
        <v>4.8798433333164803E-2</v>
      </c>
      <c r="F48" s="714">
        <v>5.1465448691642157E-2</v>
      </c>
      <c r="G48" s="3697">
        <v>4.4380464396732489E-2</v>
      </c>
      <c r="H48" s="390">
        <v>4.2915274443651397E-2</v>
      </c>
      <c r="I48" s="719">
        <v>5.9593986974662672E-2</v>
      </c>
      <c r="J48" s="3697">
        <v>4.0534709388661216E-2</v>
      </c>
      <c r="K48" s="714">
        <v>6.5684706987861663E-2</v>
      </c>
      <c r="L48" s="3697">
        <v>2.8155018883949001E-2</v>
      </c>
      <c r="M48" s="714">
        <v>3.7983779015984487E-2</v>
      </c>
      <c r="N48" s="3697">
        <v>3.2475248107872279E-2</v>
      </c>
      <c r="O48" s="714">
        <v>4.1704299143664469E-2</v>
      </c>
      <c r="P48" s="3697">
        <v>4.386987793041075E-2</v>
      </c>
      <c r="Q48" s="714">
        <v>1.9827642204844231E-2</v>
      </c>
      <c r="R48" s="3697">
        <v>0.17909550454274248</v>
      </c>
      <c r="S48" s="714">
        <v>4.3289711270445119E-2</v>
      </c>
      <c r="T48" s="1253">
        <v>3.0831967662268589E-2</v>
      </c>
      <c r="U48" s="732">
        <v>4.9997271089926576E-2</v>
      </c>
      <c r="V48" s="1253">
        <v>4.122940750200077E-2</v>
      </c>
      <c r="W48" s="719">
        <v>4.5794531676518924E-2</v>
      </c>
      <c r="X48" s="3697">
        <v>4.9042282203326293E-2</v>
      </c>
      <c r="Y48" s="552">
        <v>4.7661498089771159E-2</v>
      </c>
    </row>
    <row r="49" spans="1:25">
      <c r="A49" s="280">
        <f t="shared" si="1"/>
        <v>2019.04</v>
      </c>
      <c r="B49" s="705">
        <v>3.444697949233122E-2</v>
      </c>
      <c r="C49" s="3697">
        <v>3.2458901509905047E-2</v>
      </c>
      <c r="D49" s="714">
        <v>3.666822212306653E-2</v>
      </c>
      <c r="E49" s="3697">
        <v>3.6248120721565691E-2</v>
      </c>
      <c r="F49" s="714">
        <v>3.5093875008516573E-2</v>
      </c>
      <c r="G49" s="3697">
        <v>3.3479328866239388E-2</v>
      </c>
      <c r="H49" s="390">
        <v>3.5469227666182324E-2</v>
      </c>
      <c r="I49" s="719">
        <v>2.5497559678675286E-2</v>
      </c>
      <c r="J49" s="3697">
        <v>1.0326208194386455E-2</v>
      </c>
      <c r="K49" s="714">
        <v>6.2033670861069146E-2</v>
      </c>
      <c r="L49" s="3697">
        <v>2.9423302642421989E-2</v>
      </c>
      <c r="M49" s="714">
        <v>4.5909622248106574E-2</v>
      </c>
      <c r="N49" s="3697">
        <v>3.5033203561361193E-2</v>
      </c>
      <c r="O49" s="714">
        <v>4.3607098728308591E-2</v>
      </c>
      <c r="P49" s="3697">
        <v>3.4939505376335056E-2</v>
      </c>
      <c r="Q49" s="714">
        <v>3.174838802392177E-2</v>
      </c>
      <c r="R49" s="3697">
        <v>1.5452951758222033E-2</v>
      </c>
      <c r="S49" s="714">
        <v>4.0808739358830781E-2</v>
      </c>
      <c r="T49" s="1253">
        <v>2.970358718694377E-2</v>
      </c>
      <c r="U49" s="732">
        <v>3.7639502740550723E-2</v>
      </c>
      <c r="V49" s="1253">
        <v>2.8550438393060817E-2</v>
      </c>
      <c r="W49" s="719">
        <v>3.7670642645937003E-2</v>
      </c>
      <c r="X49" s="3697">
        <v>3.2864686624975104E-2</v>
      </c>
      <c r="Y49" s="552">
        <v>1.6061738788670565E-2</v>
      </c>
    </row>
    <row r="50" spans="1:25">
      <c r="A50" s="280">
        <f t="shared" si="1"/>
        <v>2019.05</v>
      </c>
      <c r="B50" s="705">
        <v>3.0590696999836187E-2</v>
      </c>
      <c r="C50" s="3697">
        <v>3.0277683505854913E-2</v>
      </c>
      <c r="D50" s="714">
        <v>2.9518575312991402E-2</v>
      </c>
      <c r="E50" s="3697">
        <v>3.8750644866305528E-2</v>
      </c>
      <c r="F50" s="714">
        <v>2.7752585481809033E-2</v>
      </c>
      <c r="G50" s="3697">
        <v>2.8824001796475374E-2</v>
      </c>
      <c r="H50" s="390">
        <v>3.4233133960006601E-2</v>
      </c>
      <c r="I50" s="719">
        <v>2.4353409861642472E-2</v>
      </c>
      <c r="J50" s="3697">
        <v>2.1663648154952364E-2</v>
      </c>
      <c r="K50" s="714">
        <v>3.3545000490556642E-2</v>
      </c>
      <c r="L50" s="3697">
        <v>3.9772994955950214E-2</v>
      </c>
      <c r="M50" s="714">
        <v>3.2151839912570646E-2</v>
      </c>
      <c r="N50" s="3697">
        <v>5.0763552125963729E-2</v>
      </c>
      <c r="O50" s="714">
        <v>3.4919479049884128E-2</v>
      </c>
      <c r="P50" s="3697">
        <v>1.9677442857481964E-2</v>
      </c>
      <c r="Q50" s="714">
        <v>2.3978583662542796E-2</v>
      </c>
      <c r="R50" s="3697">
        <v>3.28535616628991E-2</v>
      </c>
      <c r="S50" s="714">
        <v>2.2169786571091921E-2</v>
      </c>
      <c r="T50" s="1253">
        <v>2.7879078925252765E-2</v>
      </c>
      <c r="U50" s="732">
        <v>3.1260480948825498E-2</v>
      </c>
      <c r="V50" s="1253">
        <v>2.9699501646976101E-2</v>
      </c>
      <c r="W50" s="719">
        <v>3.1775306798306868E-2</v>
      </c>
      <c r="X50" s="3697">
        <v>3.7209959075763299E-2</v>
      </c>
      <c r="Y50" s="552">
        <v>6.1829489131139947E-3</v>
      </c>
    </row>
    <row r="51" spans="1:25">
      <c r="A51" s="280">
        <f t="shared" si="1"/>
        <v>2019.06</v>
      </c>
      <c r="B51" s="705">
        <v>2.7180054023995259E-2</v>
      </c>
      <c r="C51" s="3697">
        <v>2.6184294266291985E-2</v>
      </c>
      <c r="D51" s="714">
        <v>2.8100491570536512E-2</v>
      </c>
      <c r="E51" s="3697">
        <v>2.8238989707560558E-2</v>
      </c>
      <c r="F51" s="714">
        <v>2.9187530478014256E-2</v>
      </c>
      <c r="G51" s="3697">
        <v>2.6252795717275346E-2</v>
      </c>
      <c r="H51" s="390">
        <v>2.7674416810419045E-2</v>
      </c>
      <c r="I51" s="719">
        <v>2.5510849737953922E-2</v>
      </c>
      <c r="J51" s="3697">
        <v>2.717351550603242E-2</v>
      </c>
      <c r="K51" s="714">
        <v>1.8989790134505524E-2</v>
      </c>
      <c r="L51" s="3697">
        <v>2.7054896508379445E-2</v>
      </c>
      <c r="M51" s="714">
        <v>3.4285009409886547E-2</v>
      </c>
      <c r="N51" s="3697">
        <v>3.5509967345900506E-2</v>
      </c>
      <c r="O51" s="714">
        <v>1.5644760542823155E-2</v>
      </c>
      <c r="P51" s="3697">
        <v>7.1247073671229844E-2</v>
      </c>
      <c r="Q51" s="714">
        <v>3.7042407138625499E-2</v>
      </c>
      <c r="R51" s="3697">
        <v>1.7533182542561754E-2</v>
      </c>
      <c r="S51" s="714">
        <v>2.5327545402271889E-2</v>
      </c>
      <c r="T51" s="1253">
        <v>2.1160958398507956E-2</v>
      </c>
      <c r="U51" s="732">
        <v>2.7238758154302323E-2</v>
      </c>
      <c r="V51" s="1253">
        <v>2.737941345924888E-2</v>
      </c>
      <c r="W51" s="719">
        <v>2.7315925572350075E-2</v>
      </c>
      <c r="X51" s="3697">
        <v>2.7867091234180519E-2</v>
      </c>
      <c r="Y51" s="552">
        <v>2.466586359203804E-2</v>
      </c>
    </row>
    <row r="52" spans="1:25">
      <c r="A52" s="280">
        <f t="shared" si="1"/>
        <v>2019.07</v>
      </c>
      <c r="B52" s="705">
        <v>2.1978655386921009E-2</v>
      </c>
      <c r="C52" s="3697">
        <v>2.1450911689346652E-2</v>
      </c>
      <c r="D52" s="714">
        <v>2.2183907587229212E-2</v>
      </c>
      <c r="E52" s="3697">
        <v>1.9774555593432774E-2</v>
      </c>
      <c r="F52" s="714">
        <v>1.8638495941427857E-2</v>
      </c>
      <c r="G52" s="3697">
        <v>2.8020086868046024E-2</v>
      </c>
      <c r="H52" s="390">
        <v>2.5435188317371793E-2</v>
      </c>
      <c r="I52" s="719">
        <v>2.2592002848790704E-2</v>
      </c>
      <c r="J52" s="3697">
        <v>8.5513520803830456E-3</v>
      </c>
      <c r="K52" s="714">
        <v>3.440382410701659E-3</v>
      </c>
      <c r="L52" s="3697">
        <v>2.1882524719504026E-2</v>
      </c>
      <c r="M52" s="714">
        <v>2.5228806456792485E-2</v>
      </c>
      <c r="N52" s="3697">
        <v>4.1087471746374726E-2</v>
      </c>
      <c r="O52" s="714">
        <v>1.1383265971855572E-2</v>
      </c>
      <c r="P52" s="3697">
        <v>2.1647527883794648E-3</v>
      </c>
      <c r="Q52" s="714">
        <v>3.8674585279394602E-2</v>
      </c>
      <c r="R52" s="3697">
        <v>2.0913213452203427E-2</v>
      </c>
      <c r="S52" s="714">
        <v>2.9561416598872681E-2</v>
      </c>
      <c r="T52" s="1253">
        <v>2.6907663779563107E-2</v>
      </c>
      <c r="U52" s="732">
        <v>2.0071894753718622E-2</v>
      </c>
      <c r="V52" s="1253">
        <v>2.5406508854192378E-2</v>
      </c>
      <c r="W52" s="719">
        <v>2.1476796602663883E-2</v>
      </c>
      <c r="X52" s="3697">
        <v>1.8038156186796162E-2</v>
      </c>
      <c r="Y52" s="552">
        <v>3.6401521839298123E-2</v>
      </c>
    </row>
    <row r="53" spans="1:25">
      <c r="A53" s="280">
        <f t="shared" si="1"/>
        <v>2019.08</v>
      </c>
      <c r="B53" s="705">
        <v>3.9539857870486861E-2</v>
      </c>
      <c r="C53" s="3697">
        <v>3.8697442254365999E-2</v>
      </c>
      <c r="D53" s="714">
        <v>3.8582444193978604E-2</v>
      </c>
      <c r="E53" s="3697">
        <v>4.1477010413282667E-2</v>
      </c>
      <c r="F53" s="714">
        <v>4.4618518950020114E-2</v>
      </c>
      <c r="G53" s="3697">
        <v>4.3737120083708447E-2</v>
      </c>
      <c r="H53" s="390">
        <v>4.2206821824809282E-2</v>
      </c>
      <c r="I53" s="719">
        <v>4.5147707511329349E-2</v>
      </c>
      <c r="J53" s="3697">
        <v>4.3865232824598976E-2</v>
      </c>
      <c r="K53" s="714">
        <v>3.1155115511551257E-2</v>
      </c>
      <c r="L53" s="3697">
        <v>2.125447646820855E-2</v>
      </c>
      <c r="M53" s="714">
        <v>6.0715819853225828E-2</v>
      </c>
      <c r="N53" s="3697">
        <v>5.1933746008527182E-2</v>
      </c>
      <c r="O53" s="714">
        <v>3.953818051599467E-2</v>
      </c>
      <c r="P53" s="3697">
        <v>1.1678323927009737E-2</v>
      </c>
      <c r="Q53" s="714">
        <v>4.168817616137388E-2</v>
      </c>
      <c r="R53" s="3697">
        <v>2.5132222967140461E-2</v>
      </c>
      <c r="S53" s="714">
        <v>3.5977052338248994E-2</v>
      </c>
      <c r="T53" s="1253">
        <v>4.4296993239947069E-2</v>
      </c>
      <c r="U53" s="732">
        <v>4.9017742315026203E-2</v>
      </c>
      <c r="V53" s="1253">
        <v>2.2507540184724562E-2</v>
      </c>
      <c r="W53" s="719">
        <v>4.6378608197114257E-2</v>
      </c>
      <c r="X53" s="3697">
        <v>2.1167443301689737E-2</v>
      </c>
      <c r="Y53" s="552">
        <v>3.8542581530785824E-2</v>
      </c>
    </row>
    <row r="54" spans="1:25">
      <c r="A54" s="280">
        <f t="shared" si="1"/>
        <v>2019.09</v>
      </c>
      <c r="B54" s="705">
        <v>5.8856622721223051E-2</v>
      </c>
      <c r="C54" s="3697">
        <v>5.808182641795101E-2</v>
      </c>
      <c r="D54" s="714">
        <v>6.0534542592812324E-2</v>
      </c>
      <c r="E54" s="3697">
        <v>5.8286008402740563E-2</v>
      </c>
      <c r="F54" s="714">
        <v>6.1886981290254273E-2</v>
      </c>
      <c r="G54" s="3697">
        <v>5.8247540832499389E-2</v>
      </c>
      <c r="H54" s="390">
        <v>5.261354954064501E-2</v>
      </c>
      <c r="I54" s="719">
        <v>5.7197147606380172E-2</v>
      </c>
      <c r="J54" s="3697">
        <v>5.6725635555765042E-2</v>
      </c>
      <c r="K54" s="714">
        <v>9.548604063687538E-2</v>
      </c>
      <c r="L54" s="3697">
        <v>1.990597588373455E-2</v>
      </c>
      <c r="M54" s="714">
        <v>7.4114771874289387E-2</v>
      </c>
      <c r="N54" s="3697">
        <v>8.3395802749014036E-2</v>
      </c>
      <c r="O54" s="714">
        <v>4.7111769172241358E-2</v>
      </c>
      <c r="P54" s="3697">
        <v>6.7236087113197396E-2</v>
      </c>
      <c r="Q54" s="714">
        <v>7.5675889303490784E-2</v>
      </c>
      <c r="R54" s="3697">
        <v>1.0133426801197665E-2</v>
      </c>
      <c r="S54" s="714">
        <v>5.2484805212916541E-2</v>
      </c>
      <c r="T54" s="1253">
        <v>8.2231837585870604E-2</v>
      </c>
      <c r="U54" s="732">
        <v>7.1226616791466801E-2</v>
      </c>
      <c r="V54" s="1253">
        <v>3.6100223054767566E-2</v>
      </c>
      <c r="W54" s="719">
        <v>6.4377642281086667E-2</v>
      </c>
      <c r="X54" s="3697">
        <v>3.3540309095258181E-2</v>
      </c>
      <c r="Y54" s="552">
        <v>8.5386174938212323E-2</v>
      </c>
    </row>
    <row r="55" spans="1:25">
      <c r="A55" s="280">
        <f t="shared" si="1"/>
        <v>2019.1</v>
      </c>
      <c r="B55" s="705">
        <v>3.2934820909841234E-2</v>
      </c>
      <c r="C55" s="3697">
        <v>3.1972863577848232E-2</v>
      </c>
      <c r="D55" s="714">
        <v>3.4494208098814871E-2</v>
      </c>
      <c r="E55" s="3697">
        <v>2.8572891299213143E-2</v>
      </c>
      <c r="F55" s="714">
        <v>3.3015361013315481E-2</v>
      </c>
      <c r="G55" s="3697">
        <v>3.7229155265044334E-2</v>
      </c>
      <c r="H55" s="390">
        <v>3.2422726528638091E-2</v>
      </c>
      <c r="I55" s="719">
        <v>2.451324364984675E-2</v>
      </c>
      <c r="J55" s="3697">
        <v>6.1758915322619901E-2</v>
      </c>
      <c r="K55" s="714">
        <v>4.7340999903562109E-2</v>
      </c>
      <c r="L55" s="3697">
        <v>1.8827882661247131E-2</v>
      </c>
      <c r="M55" s="714">
        <v>8.1388668834806221E-2</v>
      </c>
      <c r="N55" s="3697">
        <v>4.6821004189994797E-2</v>
      </c>
      <c r="O55" s="714">
        <v>3.5051712858758632E-2</v>
      </c>
      <c r="P55" s="3697">
        <v>4.6526623895186692E-3</v>
      </c>
      <c r="Q55" s="714">
        <v>1.9918443777148021E-2</v>
      </c>
      <c r="R55" s="3697">
        <v>1.5851018453007626E-2</v>
      </c>
      <c r="S55" s="714">
        <v>2.5407597450964214E-2</v>
      </c>
      <c r="T55" s="1253">
        <v>3.8436460255136584E-2</v>
      </c>
      <c r="U55" s="732">
        <v>3.4846538899298007E-2</v>
      </c>
      <c r="V55" s="1253">
        <v>2.9074050412267516E-2</v>
      </c>
      <c r="W55" s="719">
        <v>3.8046676445154803E-2</v>
      </c>
      <c r="X55" s="3697">
        <v>2.0246330174866767E-2</v>
      </c>
      <c r="Y55" s="552">
        <v>2.8343246604307204E-2</v>
      </c>
    </row>
    <row r="56" spans="1:25">
      <c r="A56" s="280">
        <f t="shared" si="1"/>
        <v>2019.11</v>
      </c>
      <c r="B56" s="705">
        <v>4.2545373094803107E-2</v>
      </c>
      <c r="C56" s="3697">
        <v>4.0704799698397576E-2</v>
      </c>
      <c r="D56" s="714">
        <v>4.4933364858572356E-2</v>
      </c>
      <c r="E56" s="3697">
        <v>3.8583361236549818E-2</v>
      </c>
      <c r="F56" s="714">
        <v>4.29670840187657E-2</v>
      </c>
      <c r="G56" s="3697">
        <v>4.5150648934680016E-2</v>
      </c>
      <c r="H56" s="390">
        <v>4.5470601811979927E-2</v>
      </c>
      <c r="I56" s="719">
        <v>5.3200274270607251E-2</v>
      </c>
      <c r="J56" s="3697">
        <v>5.5917732416610244E-2</v>
      </c>
      <c r="K56" s="714">
        <v>4.4386032154982491E-2</v>
      </c>
      <c r="L56" s="3697">
        <v>1.5242419062685864E-2</v>
      </c>
      <c r="M56" s="714">
        <v>5.5600499353765098E-3</v>
      </c>
      <c r="N56" s="3697">
        <v>6.3167034539241662E-2</v>
      </c>
      <c r="O56" s="714">
        <v>4.5863941977892564E-2</v>
      </c>
      <c r="P56" s="3697">
        <v>7.3952725050318469E-2</v>
      </c>
      <c r="Q56" s="714">
        <v>3.3505651194756902E-2</v>
      </c>
      <c r="R56" s="3697">
        <v>4.4050551287963202E-2</v>
      </c>
      <c r="S56" s="714">
        <v>3.293898221447189E-2</v>
      </c>
      <c r="T56" s="1253">
        <v>4.8850477624734268E-2</v>
      </c>
      <c r="U56" s="732">
        <v>5.188234767072708E-2</v>
      </c>
      <c r="V56" s="1253">
        <v>2.4090844988380766E-2</v>
      </c>
      <c r="W56" s="719">
        <v>3.9781271465371804E-2</v>
      </c>
      <c r="X56" s="3697">
        <v>3.8172129990740711E-2</v>
      </c>
      <c r="Y56" s="552">
        <v>7.3374534072156772E-2</v>
      </c>
    </row>
    <row r="57" spans="1:25">
      <c r="A57" s="280">
        <f t="shared" si="1"/>
        <v>2019.12</v>
      </c>
      <c r="B57" s="705">
        <v>3.7437073551383371E-2</v>
      </c>
      <c r="C57" s="3697">
        <v>3.8314354515238014E-2</v>
      </c>
      <c r="D57" s="714">
        <v>3.6257466342476841E-2</v>
      </c>
      <c r="E57" s="3697">
        <v>3.6890763258673243E-2</v>
      </c>
      <c r="F57" s="714">
        <v>3.9868707134029346E-2</v>
      </c>
      <c r="G57" s="3697">
        <v>3.2678830007014437E-2</v>
      </c>
      <c r="H57" s="390">
        <v>4.1546797520736201E-2</v>
      </c>
      <c r="I57" s="719">
        <v>3.1316118523434966E-2</v>
      </c>
      <c r="J57" s="3697">
        <v>3.1010323654438787E-2</v>
      </c>
      <c r="K57" s="714">
        <v>2.3947986744784933E-2</v>
      </c>
      <c r="L57" s="3697">
        <v>2.1259887812630662E-2</v>
      </c>
      <c r="M57" s="714">
        <v>5.3950747008094879E-2</v>
      </c>
      <c r="N57" s="3697">
        <v>5.5864368205544634E-2</v>
      </c>
      <c r="O57" s="714">
        <v>4.9719900158015751E-2</v>
      </c>
      <c r="P57" s="3697">
        <v>9.5733426457069726E-2</v>
      </c>
      <c r="Q57" s="714">
        <v>2.3918621700879772E-2</v>
      </c>
      <c r="R57" s="3697">
        <v>1.9644502216524806E-2</v>
      </c>
      <c r="S57" s="714">
        <v>3.2857010990932967E-2</v>
      </c>
      <c r="T57" s="1253">
        <v>3.6139698616868943E-2</v>
      </c>
      <c r="U57" s="732">
        <v>3.3373684788006841E-2</v>
      </c>
      <c r="V57" s="1253">
        <v>4.4702730211950481E-2</v>
      </c>
      <c r="W57" s="719">
        <v>3.6823011487841617E-2</v>
      </c>
      <c r="X57" s="3697">
        <v>4.6057642095141738E-2</v>
      </c>
      <c r="Y57" s="552">
        <v>2.1354593447896253E-2</v>
      </c>
    </row>
    <row r="58" spans="1:25">
      <c r="A58" s="280">
        <f t="shared" si="1"/>
        <v>2020.01</v>
      </c>
      <c r="B58" s="705">
        <v>2.2528949260559816E-2</v>
      </c>
      <c r="C58" s="3697">
        <v>1.889838269420574E-2</v>
      </c>
      <c r="D58" s="714">
        <v>2.5070051206209865E-2</v>
      </c>
      <c r="E58" s="3697">
        <v>2.4337542778990473E-2</v>
      </c>
      <c r="F58" s="714">
        <v>3.093417674585841E-2</v>
      </c>
      <c r="G58" s="3697">
        <v>2.5135582594613348E-2</v>
      </c>
      <c r="H58" s="390">
        <v>2.5209514763806951E-2</v>
      </c>
      <c r="I58" s="719">
        <v>4.6804207545119603E-2</v>
      </c>
      <c r="J58" s="3697">
        <v>4.3461607682616643E-2</v>
      </c>
      <c r="K58" s="714">
        <v>1.0575026615711636E-2</v>
      </c>
      <c r="L58" s="3697">
        <v>6.3577168164332676E-3</v>
      </c>
      <c r="M58" s="714">
        <v>-1.2920500374733246E-2</v>
      </c>
      <c r="N58" s="3697">
        <v>-1.9964035310785833E-2</v>
      </c>
      <c r="O58" s="714">
        <v>1.4738394493752693E-2</v>
      </c>
      <c r="P58" s="3697">
        <v>1.3483381724701538E-3</v>
      </c>
      <c r="Q58" s="714">
        <v>4.997510023017937E-2</v>
      </c>
      <c r="R58" s="3697">
        <v>5.3129590341043365E-3</v>
      </c>
      <c r="S58" s="714">
        <v>4.1738887752166276E-2</v>
      </c>
      <c r="T58" s="1253">
        <v>3.0735551021392027E-2</v>
      </c>
      <c r="U58" s="732">
        <v>2.5850443728753447E-2</v>
      </c>
      <c r="V58" s="1253">
        <v>1.5510176303290324E-2</v>
      </c>
      <c r="W58" s="719">
        <v>2.440934291841157E-2</v>
      </c>
      <c r="X58" s="3697">
        <v>1.1331133183050124E-2</v>
      </c>
      <c r="Y58" s="552">
        <v>3.6368592837694447E-2</v>
      </c>
    </row>
    <row r="59" spans="1:25">
      <c r="A59" s="280">
        <f t="shared" si="1"/>
        <v>2020.02</v>
      </c>
      <c r="B59" s="705">
        <v>2.0136293736429556E-2</v>
      </c>
      <c r="C59" s="3697">
        <v>1.8310154619005869E-2</v>
      </c>
      <c r="D59" s="714">
        <v>2.2504107653098071E-2</v>
      </c>
      <c r="E59" s="3697">
        <v>1.8290425624644335E-2</v>
      </c>
      <c r="F59" s="714">
        <v>2.2225544714693957E-2</v>
      </c>
      <c r="G59" s="3697">
        <v>2.2947928231808801E-2</v>
      </c>
      <c r="H59" s="390">
        <v>1.7795919145872308E-2</v>
      </c>
      <c r="I59" s="719">
        <v>2.6680386177670767E-2</v>
      </c>
      <c r="J59" s="3697">
        <v>1.3033191075337847E-2</v>
      </c>
      <c r="K59" s="714">
        <v>2.387136200443063E-2</v>
      </c>
      <c r="L59" s="3697">
        <v>6.1197743893275369E-3</v>
      </c>
      <c r="M59" s="714">
        <v>2.0777918176499321E-2</v>
      </c>
      <c r="N59" s="3697">
        <v>4.4410547821729374E-3</v>
      </c>
      <c r="O59" s="714">
        <v>1.6230918250262016E-2</v>
      </c>
      <c r="P59" s="3697">
        <v>2.3202137820376834E-2</v>
      </c>
      <c r="Q59" s="714">
        <v>2.2083747246498531E-2</v>
      </c>
      <c r="R59" s="3697">
        <v>1.4378705410521997E-2</v>
      </c>
      <c r="S59" s="714">
        <v>3.067640248367165E-2</v>
      </c>
      <c r="T59" s="1253">
        <v>2.4399311620504793E-2</v>
      </c>
      <c r="U59" s="732">
        <v>2.157169433080397E-2</v>
      </c>
      <c r="V59" s="1253">
        <v>1.7185046917530755E-2</v>
      </c>
      <c r="W59" s="719">
        <v>2.3817624687057171E-2</v>
      </c>
      <c r="X59" s="3697">
        <v>7.0263908847161272E-3</v>
      </c>
      <c r="Y59" s="552">
        <v>2.5147698560459064E-2</v>
      </c>
    </row>
    <row r="60" spans="1:25">
      <c r="A60" s="280">
        <f t="shared" si="1"/>
        <v>2020.03</v>
      </c>
      <c r="B60" s="705">
        <v>3.3434686436722538E-2</v>
      </c>
      <c r="C60" s="3697">
        <v>3.5958414599450705E-2</v>
      </c>
      <c r="D60" s="714">
        <v>3.0398913615235168E-2</v>
      </c>
      <c r="E60" s="3697">
        <v>3.787714759415417E-2</v>
      </c>
      <c r="F60" s="714">
        <v>3.4757910693908878E-2</v>
      </c>
      <c r="G60" s="3697">
        <v>3.1250184666598679E-2</v>
      </c>
      <c r="H60" s="390">
        <v>2.598619504303934E-2</v>
      </c>
      <c r="I60" s="719">
        <v>3.9330672478020023E-2</v>
      </c>
      <c r="J60" s="3697">
        <v>2.8675840840233002E-2</v>
      </c>
      <c r="K60" s="714">
        <v>4.1723561625079952E-2</v>
      </c>
      <c r="L60" s="3697">
        <v>1.3728944446371516E-2</v>
      </c>
      <c r="M60" s="714">
        <v>2.8963294009172191E-2</v>
      </c>
      <c r="N60" s="3697">
        <v>2.6599246971787727E-2</v>
      </c>
      <c r="O60" s="714">
        <v>1.6241805771222584E-2</v>
      </c>
      <c r="P60" s="3697">
        <v>8.2561646772925545E-2</v>
      </c>
      <c r="Q60" s="714">
        <v>2.4969669580192866E-2</v>
      </c>
      <c r="R60" s="3697">
        <v>0.17451628028692068</v>
      </c>
      <c r="S60" s="714">
        <v>2.1558802076222294E-2</v>
      </c>
      <c r="T60" s="1253">
        <v>2.040167493026912E-2</v>
      </c>
      <c r="U60" s="732">
        <v>3.228134024552598E-2</v>
      </c>
      <c r="V60" s="1253">
        <v>3.530894284697772E-2</v>
      </c>
      <c r="W60" s="719">
        <v>3.120592995324345E-2</v>
      </c>
      <c r="X60" s="3697">
        <v>3.280254856363185E-2</v>
      </c>
      <c r="Y60" s="552">
        <v>4.9067765541696895E-2</v>
      </c>
    </row>
    <row r="61" spans="1:25">
      <c r="A61" s="280">
        <f t="shared" si="1"/>
        <v>2020.04</v>
      </c>
      <c r="B61" s="705">
        <v>1.4965725908725691E-2</v>
      </c>
      <c r="C61" s="3697">
        <v>1.3965973965299083E-2</v>
      </c>
      <c r="D61" s="714">
        <v>1.4678438501949387E-2</v>
      </c>
      <c r="E61" s="3697">
        <v>2.5915580786387782E-2</v>
      </c>
      <c r="F61" s="714">
        <v>2.1417348187262597E-2</v>
      </c>
      <c r="G61" s="3697">
        <v>1.2942427764508047E-2</v>
      </c>
      <c r="H61" s="390">
        <v>6.1542395691380758E-3</v>
      </c>
      <c r="I61" s="719">
        <v>3.1695973706349578E-2</v>
      </c>
      <c r="J61" s="3697">
        <v>1.4018093039334323E-2</v>
      </c>
      <c r="K61" s="714">
        <v>1.4948337785920751E-2</v>
      </c>
      <c r="L61" s="3697">
        <v>5.0558938311739965E-5</v>
      </c>
      <c r="M61" s="714">
        <v>1.2321138693892397E-2</v>
      </c>
      <c r="N61" s="3697">
        <v>1.1790916141602326E-2</v>
      </c>
      <c r="O61" s="714">
        <v>1.338341500752116E-2</v>
      </c>
      <c r="P61" s="3697">
        <v>-4.0951213908248518E-2</v>
      </c>
      <c r="Q61" s="714">
        <v>2.3078263161536716E-2</v>
      </c>
      <c r="R61" s="3697">
        <v>-1.4692377428760617E-2</v>
      </c>
      <c r="S61" s="714">
        <v>1.5032555945480475E-2</v>
      </c>
      <c r="T61" s="1253">
        <v>1.6713348405066331E-3</v>
      </c>
      <c r="U61" s="732">
        <v>2.3131994879502127E-2</v>
      </c>
      <c r="V61" s="1253">
        <v>-1.8555572600184034E-3</v>
      </c>
      <c r="W61" s="719">
        <v>1.7157568530824063E-2</v>
      </c>
      <c r="X61" s="3697">
        <v>-6.6252785142211224E-3</v>
      </c>
      <c r="Y61" s="552">
        <v>4.8346955456409324E-2</v>
      </c>
    </row>
    <row r="62" spans="1:25">
      <c r="A62" s="280">
        <f t="shared" si="1"/>
        <v>2020.05</v>
      </c>
      <c r="B62" s="705">
        <v>1.5427362512386189E-2</v>
      </c>
      <c r="C62" s="3697">
        <v>1.5153942769465356E-2</v>
      </c>
      <c r="D62" s="714">
        <v>1.5613504087952368E-2</v>
      </c>
      <c r="E62" s="3697">
        <v>1.674404322410239E-2</v>
      </c>
      <c r="F62" s="714">
        <v>1.6471551717072597E-2</v>
      </c>
      <c r="G62" s="3697">
        <v>1.346219240611024E-2</v>
      </c>
      <c r="H62" s="390">
        <v>1.5930122714461703E-2</v>
      </c>
      <c r="I62" s="719">
        <v>6.8012354822470922E-3</v>
      </c>
      <c r="J62" s="3697">
        <v>7.567715645651063E-4</v>
      </c>
      <c r="K62" s="714">
        <v>7.5448800910047575E-2</v>
      </c>
      <c r="L62" s="3697">
        <v>1.079255452459682E-3</v>
      </c>
      <c r="M62" s="714">
        <v>2.8296250055736438E-2</v>
      </c>
      <c r="N62" s="3697">
        <v>1.0640342049484053E-2</v>
      </c>
      <c r="O62" s="714">
        <v>1.0519938174651466E-2</v>
      </c>
      <c r="P62" s="3697">
        <v>3.3333636241219544E-3</v>
      </c>
      <c r="Q62" s="714">
        <v>2.4527291216888791E-2</v>
      </c>
      <c r="R62" s="3697">
        <v>-4.1704216376513559E-3</v>
      </c>
      <c r="S62" s="714">
        <v>1.5432388899157434E-2</v>
      </c>
      <c r="T62" s="1253">
        <v>1.9243467261538694E-2</v>
      </c>
      <c r="U62" s="732">
        <v>2.0237279674395925E-2</v>
      </c>
      <c r="V62" s="1253">
        <v>6.2696177224415006E-3</v>
      </c>
      <c r="W62" s="719">
        <v>1.6056784083697373E-2</v>
      </c>
      <c r="X62" s="3697">
        <v>-8.4816818726185517E-4</v>
      </c>
      <c r="Y62" s="552">
        <v>4.6845224603554447E-2</v>
      </c>
    </row>
    <row r="63" spans="1:25">
      <c r="A63" s="280">
        <f t="shared" si="1"/>
        <v>2020.06</v>
      </c>
      <c r="B63" s="705">
        <v>2.2435391591276943E-2</v>
      </c>
      <c r="C63" s="3697">
        <v>2.0488781139482048E-2</v>
      </c>
      <c r="D63" s="714">
        <v>2.526745055221391E-2</v>
      </c>
      <c r="E63" s="3697">
        <v>2.2102327254348353E-2</v>
      </c>
      <c r="F63" s="714">
        <v>2.3063843221315272E-2</v>
      </c>
      <c r="G63" s="3697">
        <v>2.3283651331019284E-2</v>
      </c>
      <c r="H63" s="390">
        <v>1.9220693189425653E-2</v>
      </c>
      <c r="I63" s="719">
        <v>1.0419479986683466E-2</v>
      </c>
      <c r="J63" s="3697">
        <v>3.785292627075898E-2</v>
      </c>
      <c r="K63" s="714">
        <v>6.6470449966904654E-2</v>
      </c>
      <c r="L63" s="3697">
        <v>9.2051989835570946E-3</v>
      </c>
      <c r="M63" s="714">
        <v>4.0665322761968437E-2</v>
      </c>
      <c r="N63" s="3697">
        <v>2.2352093666809347E-2</v>
      </c>
      <c r="O63" s="714">
        <v>1.8256135342281654E-2</v>
      </c>
      <c r="P63" s="3697">
        <v>4.1036653042674232E-3</v>
      </c>
      <c r="Q63" s="714">
        <v>4.1698458974321451E-2</v>
      </c>
      <c r="R63" s="3697">
        <v>3.694783020978587E-3</v>
      </c>
      <c r="S63" s="714">
        <v>2.2488712476917083E-2</v>
      </c>
      <c r="T63" s="1253">
        <v>3.3353773885991256E-3</v>
      </c>
      <c r="U63" s="732">
        <v>2.8996314722397942E-2</v>
      </c>
      <c r="V63" s="1253">
        <v>9.22711645107821E-3</v>
      </c>
      <c r="W63" s="719">
        <v>2.3151447643699141E-2</v>
      </c>
      <c r="X63" s="3697">
        <v>7.4875824295932425E-3</v>
      </c>
      <c r="Y63" s="552">
        <v>4.7715038943074051E-2</v>
      </c>
    </row>
    <row r="64" spans="1:25">
      <c r="A64" s="280">
        <f t="shared" si="1"/>
        <v>2020.07</v>
      </c>
      <c r="B64" s="705">
        <v>1.9341946456512993E-2</v>
      </c>
      <c r="C64" s="3697">
        <v>1.6420650897843947E-2</v>
      </c>
      <c r="D64" s="714">
        <v>2.1321407749698373E-2</v>
      </c>
      <c r="E64" s="3697">
        <v>1.8938357431879993E-2</v>
      </c>
      <c r="F64" s="714">
        <v>2.2019483822389052E-2</v>
      </c>
      <c r="G64" s="3697">
        <v>2.2655973467418544E-2</v>
      </c>
      <c r="H64" s="390">
        <v>2.7304743719430036E-2</v>
      </c>
      <c r="I64" s="719">
        <v>1.2859994331221758E-2</v>
      </c>
      <c r="J64" s="3697">
        <v>1.3737159419185518E-2</v>
      </c>
      <c r="K64" s="714">
        <v>3.2763050253872494E-2</v>
      </c>
      <c r="L64" s="3697">
        <v>1.0258758971188664E-2</v>
      </c>
      <c r="M64" s="714">
        <v>3.8746327069804076E-2</v>
      </c>
      <c r="N64" s="3697">
        <v>2.1694334766383383E-2</v>
      </c>
      <c r="O64" s="714">
        <v>1.8355701068377028E-2</v>
      </c>
      <c r="P64" s="3697">
        <v>7.2258648569751838E-3</v>
      </c>
      <c r="Q64" s="714">
        <v>3.2888329803665739E-2</v>
      </c>
      <c r="R64" s="3697">
        <v>1.0625236977948038E-3</v>
      </c>
      <c r="S64" s="714">
        <v>1.938610771921101E-2</v>
      </c>
      <c r="T64" s="1253">
        <v>2.3159249393569503E-2</v>
      </c>
      <c r="U64" s="732">
        <v>2.3289660835785098E-2</v>
      </c>
      <c r="V64" s="1253">
        <v>1.0646171739733701E-2</v>
      </c>
      <c r="W64" s="719">
        <v>2.5332739813328065E-2</v>
      </c>
      <c r="X64" s="3697">
        <v>5.1585381068244285E-3</v>
      </c>
      <c r="Y64" s="552">
        <v>9.470177154022652E-3</v>
      </c>
    </row>
    <row r="65" spans="1:25">
      <c r="A65" s="280">
        <f t="shared" si="1"/>
        <v>2020.08</v>
      </c>
      <c r="B65" s="705">
        <v>2.7001103590661213E-2</v>
      </c>
      <c r="C65" s="3697">
        <v>2.7942931537865201E-2</v>
      </c>
      <c r="D65" s="714">
        <v>2.629744067530182E-2</v>
      </c>
      <c r="E65" s="3697">
        <v>2.5544301709592876E-2</v>
      </c>
      <c r="F65" s="714">
        <v>2.3424605000084586E-2</v>
      </c>
      <c r="G65" s="3697">
        <v>2.6915572793070108E-2</v>
      </c>
      <c r="H65" s="390">
        <v>2.90856307128462E-2</v>
      </c>
      <c r="I65" s="719">
        <v>3.4663577797929612E-2</v>
      </c>
      <c r="J65" s="3697">
        <v>1.301763943624934E-2</v>
      </c>
      <c r="K65" s="714">
        <v>2.2156401478315546E-2</v>
      </c>
      <c r="L65" s="3697">
        <v>2.3292633644203864E-2</v>
      </c>
      <c r="M65" s="714">
        <v>3.4581059618981724E-2</v>
      </c>
      <c r="N65" s="3697">
        <v>2.4020976775272374E-2</v>
      </c>
      <c r="O65" s="714">
        <v>2.8456964290136222E-2</v>
      </c>
      <c r="P65" s="3697">
        <v>2.9560700794581951E-3</v>
      </c>
      <c r="Q65" s="714">
        <v>3.3030341430897447E-2</v>
      </c>
      <c r="R65" s="3697">
        <v>7.6547755858389355E-3</v>
      </c>
      <c r="S65" s="714">
        <v>1.8683788677291924E-2</v>
      </c>
      <c r="T65" s="1253">
        <v>3.3274630078236278E-2</v>
      </c>
      <c r="U65" s="732">
        <v>3.2755291293591782E-2</v>
      </c>
      <c r="V65" s="1253">
        <v>1.5076209843526422E-2</v>
      </c>
      <c r="W65" s="719">
        <v>3.0332743829144526E-2</v>
      </c>
      <c r="X65" s="3697">
        <v>1.0069554789386981E-2</v>
      </c>
      <c r="Y65" s="552">
        <v>3.9755753590149379E-2</v>
      </c>
    </row>
    <row r="66" spans="1:25">
      <c r="A66" s="280">
        <f t="shared" si="1"/>
        <v>2020.09</v>
      </c>
      <c r="B66" s="705">
        <v>2.8355216469789557E-2</v>
      </c>
      <c r="C66" s="3697">
        <v>2.7755258811012595E-2</v>
      </c>
      <c r="D66" s="714">
        <v>2.903936100470661E-2</v>
      </c>
      <c r="E66" s="3697">
        <v>2.3186773308560005E-2</v>
      </c>
      <c r="F66" s="714">
        <v>3.3996790666793064E-2</v>
      </c>
      <c r="G66" s="3697">
        <v>3.5660735619181816E-2</v>
      </c>
      <c r="H66" s="390">
        <v>2.2723328644406626E-2</v>
      </c>
      <c r="I66" s="719">
        <v>2.9561698519518398E-2</v>
      </c>
      <c r="J66" s="3697">
        <v>4.2701115024688319E-2</v>
      </c>
      <c r="K66" s="714">
        <v>5.8366415406228001E-2</v>
      </c>
      <c r="L66" s="3697">
        <v>1.5224150378478463E-2</v>
      </c>
      <c r="M66" s="714">
        <v>2.5856473423791382E-2</v>
      </c>
      <c r="N66" s="3697">
        <v>3.4892373914474861E-2</v>
      </c>
      <c r="O66" s="714">
        <v>3.599849614637507E-2</v>
      </c>
      <c r="P66" s="3697">
        <v>1.3780309985271799E-3</v>
      </c>
      <c r="Q66" s="714">
        <v>1.8715402025221151E-2</v>
      </c>
      <c r="R66" s="3697">
        <v>2.9561066342542741E-3</v>
      </c>
      <c r="S66" s="714">
        <v>1.7416655672952697E-2</v>
      </c>
      <c r="T66" s="1253">
        <v>1.8153061126732206E-2</v>
      </c>
      <c r="U66" s="732">
        <v>3.6392626932057137E-2</v>
      </c>
      <c r="V66" s="1253">
        <v>1.1395680135069419E-2</v>
      </c>
      <c r="W66" s="719">
        <v>2.3168947439132337E-2</v>
      </c>
      <c r="X66" s="3697">
        <v>1.9280891232550612E-2</v>
      </c>
      <c r="Y66" s="552">
        <v>7.8742258067652449E-2</v>
      </c>
    </row>
    <row r="67" spans="1:25">
      <c r="A67" s="280">
        <f t="shared" si="1"/>
        <v>2020.1</v>
      </c>
      <c r="B67" s="705">
        <v>3.7609698439821981E-2</v>
      </c>
      <c r="C67" s="3697">
        <v>3.5618447530375352E-2</v>
      </c>
      <c r="D67" s="714">
        <v>4.0147184440501915E-2</v>
      </c>
      <c r="E67" s="3697">
        <v>4.068586643241523E-2</v>
      </c>
      <c r="F67" s="714">
        <v>3.746017580802441E-2</v>
      </c>
      <c r="G67" s="3697">
        <v>3.6607839935713926E-2</v>
      </c>
      <c r="H67" s="390">
        <v>3.4622168183348956E-2</v>
      </c>
      <c r="I67" s="719">
        <v>4.7719229017051168E-2</v>
      </c>
      <c r="J67" s="3697">
        <v>1.9024635894263842E-2</v>
      </c>
      <c r="K67" s="714">
        <v>6.247883923263009E-2</v>
      </c>
      <c r="L67" s="3697">
        <v>2.3266537156161116E-2</v>
      </c>
      <c r="M67" s="714">
        <v>4.4881888000215087E-2</v>
      </c>
      <c r="N67" s="3697">
        <v>3.0858732902316666E-2</v>
      </c>
      <c r="O67" s="714">
        <v>4.1631804786914195E-2</v>
      </c>
      <c r="P67" s="3697">
        <v>-1.3280388311529556E-3</v>
      </c>
      <c r="Q67" s="714">
        <v>2.5753892147849067E-2</v>
      </c>
      <c r="R67" s="3697">
        <v>1.330573382695821E-3</v>
      </c>
      <c r="S67" s="714">
        <v>3.3817848490800717E-2</v>
      </c>
      <c r="T67" s="1253">
        <v>2.1006556315595892E-2</v>
      </c>
      <c r="U67" s="732">
        <v>4.5961267666512429E-2</v>
      </c>
      <c r="V67" s="1253">
        <v>1.8769461625130379E-2</v>
      </c>
      <c r="W67" s="719">
        <v>3.4596015710900874E-2</v>
      </c>
      <c r="X67" s="3697">
        <v>1.4941267531069835E-2</v>
      </c>
      <c r="Y67" s="552">
        <v>9.5631607499263582E-2</v>
      </c>
    </row>
    <row r="68" spans="1:25">
      <c r="A68" s="280">
        <f t="shared" si="1"/>
        <v>2020.11</v>
      </c>
      <c r="B68" s="705">
        <v>3.1597049410966527E-2</v>
      </c>
      <c r="C68" s="3697">
        <v>2.9723456879644505E-2</v>
      </c>
      <c r="D68" s="714">
        <v>3.3760059325991021E-2</v>
      </c>
      <c r="E68" s="3697">
        <v>3.1050664537877193E-2</v>
      </c>
      <c r="F68" s="714">
        <v>3.67810862666762E-2</v>
      </c>
      <c r="G68" s="3697">
        <v>3.1494685166041148E-2</v>
      </c>
      <c r="H68" s="390">
        <v>2.920307815624068E-2</v>
      </c>
      <c r="I68" s="719">
        <v>2.7233756231327177E-2</v>
      </c>
      <c r="J68" s="3697">
        <v>2.9802307210418544E-2</v>
      </c>
      <c r="K68" s="714">
        <v>3.6833011965367923E-2</v>
      </c>
      <c r="L68" s="3697">
        <v>2.5213331113413062E-2</v>
      </c>
      <c r="M68" s="714">
        <v>3.9440530135770757E-2</v>
      </c>
      <c r="N68" s="3697">
        <v>3.669216959011945E-2</v>
      </c>
      <c r="O68" s="714">
        <v>3.6171813695642818E-2</v>
      </c>
      <c r="P68" s="3697">
        <v>-5.7591508296331861E-3</v>
      </c>
      <c r="Q68" s="714">
        <v>5.0893216218192538E-2</v>
      </c>
      <c r="R68" s="3697">
        <v>4.4497622853094665E-3</v>
      </c>
      <c r="S68" s="714">
        <v>3.2186629362153774E-2</v>
      </c>
      <c r="T68" s="1253">
        <v>2.6410289714288826E-2</v>
      </c>
      <c r="U68" s="732">
        <v>3.3699489728449938E-2</v>
      </c>
      <c r="V68" s="1253">
        <v>2.5613197240593077E-2</v>
      </c>
      <c r="W68" s="719">
        <v>3.9376689858741543E-2</v>
      </c>
      <c r="X68" s="3697">
        <v>1.2016279546846587E-2</v>
      </c>
      <c r="Y68" s="552">
        <v>2.0370220407239792E-2</v>
      </c>
    </row>
    <row r="69" spans="1:25">
      <c r="A69" s="280">
        <f t="shared" si="1"/>
        <v>2020.12</v>
      </c>
      <c r="B69" s="705">
        <v>4.0055673383535328E-2</v>
      </c>
      <c r="C69" s="3697">
        <v>3.7169694180610113E-2</v>
      </c>
      <c r="D69" s="714">
        <v>4.1918616128254982E-2</v>
      </c>
      <c r="E69" s="3697">
        <v>4.3102837348282463E-2</v>
      </c>
      <c r="F69" s="714">
        <v>5.548968800844678E-2</v>
      </c>
      <c r="G69" s="3697">
        <v>4.2782916956893624E-2</v>
      </c>
      <c r="H69" s="390">
        <v>3.0236917902687566E-2</v>
      </c>
      <c r="I69" s="719">
        <v>4.3515169429207745E-2</v>
      </c>
      <c r="J69" s="3697">
        <v>3.3933259503956759E-2</v>
      </c>
      <c r="K69" s="714">
        <v>3.6138671512365494E-2</v>
      </c>
      <c r="L69" s="3697">
        <v>2.9596872620128556E-2</v>
      </c>
      <c r="M69" s="714">
        <v>2.3934783309166985E-2</v>
      </c>
      <c r="N69" s="3697">
        <v>5.2411461136113502E-2</v>
      </c>
      <c r="O69" s="714">
        <v>4.8948635985916589E-2</v>
      </c>
      <c r="P69" s="3697">
        <v>-2.8546198443701876E-4</v>
      </c>
      <c r="Q69" s="714">
        <v>5.2035259494090491E-2</v>
      </c>
      <c r="R69" s="3697">
        <v>4.9454597614961848E-4</v>
      </c>
      <c r="S69" s="714">
        <v>4.5925793138877458E-2</v>
      </c>
      <c r="T69" s="1253">
        <v>1.7339008251152421E-2</v>
      </c>
      <c r="U69" s="732">
        <v>3.8896699607055663E-2</v>
      </c>
      <c r="V69" s="1253">
        <v>4.0116646225943464E-2</v>
      </c>
      <c r="W69" s="719">
        <v>4.8710010375309087E-2</v>
      </c>
      <c r="X69" s="3697">
        <v>2.6487878894409178E-2</v>
      </c>
      <c r="Y69" s="552">
        <v>1.3367070773544043E-2</v>
      </c>
    </row>
    <row r="70" spans="1:25">
      <c r="A70" s="280">
        <f t="shared" si="1"/>
        <v>2021.01</v>
      </c>
      <c r="B70" s="705">
        <v>4.0490294198287202E-2</v>
      </c>
      <c r="C70" s="3697">
        <v>3.2872767508454359E-2</v>
      </c>
      <c r="D70" s="714">
        <v>4.6229961258070995E-2</v>
      </c>
      <c r="E70" s="3697">
        <v>5.5123809098887699E-2</v>
      </c>
      <c r="F70" s="714">
        <v>4.3149207565559733E-2</v>
      </c>
      <c r="G70" s="3697">
        <v>4.4594875219063468E-2</v>
      </c>
      <c r="H70" s="390">
        <v>4.1123532928520667E-2</v>
      </c>
      <c r="I70" s="719">
        <v>4.823815019032196E-2</v>
      </c>
      <c r="J70" s="3697">
        <v>4.5008057648049382E-2</v>
      </c>
      <c r="K70" s="714">
        <v>1.3734506499589516E-2</v>
      </c>
      <c r="L70" s="3697">
        <v>1.1390011533745747E-2</v>
      </c>
      <c r="M70" s="714">
        <v>2.9655656637951555E-2</v>
      </c>
      <c r="N70" s="3697">
        <v>3.3910413707612053E-2</v>
      </c>
      <c r="O70" s="714">
        <v>4.5983319894933095E-2</v>
      </c>
      <c r="P70" s="3697">
        <v>0.15129640558173563</v>
      </c>
      <c r="Q70" s="714">
        <v>4.8156321644276856E-2</v>
      </c>
      <c r="R70" s="3697">
        <v>5.7928097864532457E-3</v>
      </c>
      <c r="S70" s="714">
        <v>5.38596961428921E-2</v>
      </c>
      <c r="T70" s="1253">
        <v>2.0420692578678734E-2</v>
      </c>
      <c r="U70" s="732">
        <v>4.1899483653254466E-2</v>
      </c>
      <c r="V70" s="1253">
        <v>3.7998848990346445E-2</v>
      </c>
      <c r="W70" s="719">
        <v>3.9158779370236152E-2</v>
      </c>
      <c r="X70" s="3697">
        <v>5.1413759627029654E-2</v>
      </c>
      <c r="Y70" s="552">
        <v>3.0153622315699291E-2</v>
      </c>
    </row>
    <row r="71" spans="1:25">
      <c r="A71" s="280">
        <f t="shared" si="1"/>
        <v>2021.02</v>
      </c>
      <c r="B71" s="705">
        <v>3.57463168148211E-2</v>
      </c>
      <c r="C71" s="3697">
        <v>3.6051266750101618E-2</v>
      </c>
      <c r="D71" s="714">
        <v>3.4484750490264782E-2</v>
      </c>
      <c r="E71" s="3697">
        <v>3.2923617102607272E-2</v>
      </c>
      <c r="F71" s="714">
        <v>3.7966819709376542E-2</v>
      </c>
      <c r="G71" s="3697">
        <v>4.0820803473944123E-2</v>
      </c>
      <c r="H71" s="390">
        <v>3.8555313439230909E-2</v>
      </c>
      <c r="I71" s="719">
        <v>3.8214149695860122E-2</v>
      </c>
      <c r="J71" s="3697">
        <v>3.5872206959914221E-2</v>
      </c>
      <c r="K71" s="714">
        <v>2.8152212624487305E-2</v>
      </c>
      <c r="L71" s="3697">
        <v>2.0430333884142726E-2</v>
      </c>
      <c r="M71" s="714">
        <v>4.5559857076703292E-2</v>
      </c>
      <c r="N71" s="3697">
        <v>3.4933278346461094E-2</v>
      </c>
      <c r="O71" s="714">
        <v>4.8242906160876897E-2</v>
      </c>
      <c r="P71" s="3697">
        <v>1.8299506349785499E-2</v>
      </c>
      <c r="Q71" s="714">
        <v>2.2957375297134597E-2</v>
      </c>
      <c r="R71" s="3697">
        <v>1.0836622926018169E-3</v>
      </c>
      <c r="S71" s="714">
        <v>5.3988070565885504E-2</v>
      </c>
      <c r="T71" s="1253">
        <v>3.2256939789568451E-2</v>
      </c>
      <c r="U71" s="732">
        <v>4.0075929538888611E-2</v>
      </c>
      <c r="V71" s="1253">
        <v>2.5462879972041108E-2</v>
      </c>
      <c r="W71" s="719">
        <v>4.0697184753073046E-2</v>
      </c>
      <c r="X71" s="3697">
        <v>2.1532687281789586E-2</v>
      </c>
      <c r="Y71" s="552">
        <v>3.1219628041479597E-2</v>
      </c>
    </row>
    <row r="72" spans="1:25">
      <c r="A72" s="280">
        <f t="shared" si="1"/>
        <v>2021.03</v>
      </c>
      <c r="B72" s="705">
        <v>4.8108074962817993E-2</v>
      </c>
      <c r="C72" s="3697">
        <v>5.1968423144926446E-2</v>
      </c>
      <c r="D72" s="714">
        <v>4.8241990041874239E-2</v>
      </c>
      <c r="E72" s="3697">
        <v>4.1850519470913339E-2</v>
      </c>
      <c r="F72" s="714">
        <v>3.3275381484669353E-2</v>
      </c>
      <c r="G72" s="3697">
        <v>4.3388032274635391E-2</v>
      </c>
      <c r="H72" s="390">
        <v>4.050153522722777E-2</v>
      </c>
      <c r="I72" s="719">
        <v>4.5914478400588266E-2</v>
      </c>
      <c r="J72" s="3697">
        <v>6.4266833277262458E-2</v>
      </c>
      <c r="K72" s="714">
        <v>0.10810962719713202</v>
      </c>
      <c r="L72" s="3697">
        <v>1.3172527324641914E-2</v>
      </c>
      <c r="M72" s="714">
        <v>3.1657011664340207E-2</v>
      </c>
      <c r="N72" s="3697">
        <v>3.9869020169266634E-2</v>
      </c>
      <c r="O72" s="714">
        <v>4.1888267725434192E-2</v>
      </c>
      <c r="P72" s="3697">
        <v>6.7542607683335198E-4</v>
      </c>
      <c r="Q72" s="714">
        <v>5.3407960630558859E-2</v>
      </c>
      <c r="R72" s="3697">
        <v>0.28490404841267281</v>
      </c>
      <c r="S72" s="714">
        <v>3.1466112700151871E-2</v>
      </c>
      <c r="T72" s="1253">
        <v>2.2070246171352892E-2</v>
      </c>
      <c r="U72" s="732">
        <v>5.0853331042663097E-2</v>
      </c>
      <c r="V72" s="1253">
        <v>4.3275060832240531E-2</v>
      </c>
      <c r="W72" s="719">
        <v>4.5260548442331849E-2</v>
      </c>
      <c r="X72" s="3697">
        <v>4.513437091453687E-2</v>
      </c>
      <c r="Y72" s="552">
        <v>7.1630731784378954E-2</v>
      </c>
    </row>
    <row r="73" spans="1:25">
      <c r="A73" s="280">
        <f t="shared" si="1"/>
        <v>2021.04</v>
      </c>
      <c r="B73" s="705">
        <v>4.0802935399596674E-2</v>
      </c>
      <c r="C73" s="3697">
        <v>4.1091859445749224E-2</v>
      </c>
      <c r="D73" s="714">
        <v>3.9540988912438957E-2</v>
      </c>
      <c r="E73" s="3697">
        <v>3.9937666118565973E-2</v>
      </c>
      <c r="F73" s="714">
        <v>4.1338639580825509E-2</v>
      </c>
      <c r="G73" s="3697">
        <v>4.169239421379678E-2</v>
      </c>
      <c r="H73" s="390">
        <v>4.7519516701369557E-2</v>
      </c>
      <c r="I73" s="719">
        <v>4.317336326458765E-2</v>
      </c>
      <c r="J73" s="3697">
        <v>3.5823594823242599E-2</v>
      </c>
      <c r="K73" s="714">
        <v>6.0200710347083186E-2</v>
      </c>
      <c r="L73" s="3697">
        <v>3.4646279385549983E-2</v>
      </c>
      <c r="M73" s="714">
        <v>4.2925654797739909E-2</v>
      </c>
      <c r="N73" s="3697">
        <v>3.7275618793036536E-2</v>
      </c>
      <c r="O73" s="714">
        <v>5.651565902892397E-2</v>
      </c>
      <c r="P73" s="3697">
        <v>5.3118227675401641E-3</v>
      </c>
      <c r="Q73" s="714">
        <v>1.4840529666992008E-2</v>
      </c>
      <c r="R73" s="3697">
        <v>2.4769284938201297E-2</v>
      </c>
      <c r="S73" s="714">
        <v>3.875497350975432E-2</v>
      </c>
      <c r="T73" s="1253">
        <v>3.6441012957994401E-2</v>
      </c>
      <c r="U73" s="732">
        <v>4.6964376476232195E-2</v>
      </c>
      <c r="V73" s="1253">
        <v>2.5036618713369707E-2</v>
      </c>
      <c r="W73" s="719">
        <v>4.5589513719098029E-2</v>
      </c>
      <c r="X73" s="3697">
        <v>3.5300491646052201E-2</v>
      </c>
      <c r="Y73" s="552">
        <v>2.1577094795032004E-2</v>
      </c>
    </row>
    <row r="74" spans="1:25">
      <c r="A74" s="280">
        <f t="shared" si="1"/>
        <v>2021.05</v>
      </c>
      <c r="B74" s="705">
        <v>3.3229780736395487E-2</v>
      </c>
      <c r="C74" s="3697">
        <v>3.369597563224791E-2</v>
      </c>
      <c r="D74" s="714">
        <v>3.2301467680478479E-2</v>
      </c>
      <c r="E74" s="3697">
        <v>3.2453268469876617E-2</v>
      </c>
      <c r="F74" s="714">
        <v>3.1457044157977565E-2</v>
      </c>
      <c r="G74" s="3697">
        <v>3.6358526499834287E-2</v>
      </c>
      <c r="H74" s="390">
        <v>3.5144406810333262E-2</v>
      </c>
      <c r="I74" s="719">
        <v>3.1042470015524515E-2</v>
      </c>
      <c r="J74" s="3697">
        <v>1.6118646598065611E-2</v>
      </c>
      <c r="K74" s="714">
        <v>2.1003519781370494E-2</v>
      </c>
      <c r="L74" s="3697">
        <v>2.0318119664584078E-2</v>
      </c>
      <c r="M74" s="714">
        <v>2.3644020663659893E-2</v>
      </c>
      <c r="N74" s="3697">
        <v>4.7524272042602789E-2</v>
      </c>
      <c r="O74" s="714">
        <v>5.9563228538183743E-2</v>
      </c>
      <c r="P74" s="3697">
        <v>9.8898773124369566E-3</v>
      </c>
      <c r="Q74" s="714">
        <v>3.1073125433875193E-2</v>
      </c>
      <c r="R74" s="3697">
        <v>2.2784693774226872E-2</v>
      </c>
      <c r="S74" s="714">
        <v>3.7316310789965002E-2</v>
      </c>
      <c r="T74" s="1253">
        <v>2.9086154329097225E-2</v>
      </c>
      <c r="U74" s="732">
        <v>3.5145655539582821E-2</v>
      </c>
      <c r="V74" s="1253">
        <v>2.7458605250306967E-2</v>
      </c>
      <c r="W74" s="719">
        <v>3.4797506938282874E-2</v>
      </c>
      <c r="X74" s="3697">
        <v>3.7698043955741056E-2</v>
      </c>
      <c r="Y74" s="552">
        <v>1.4887865342208206E-2</v>
      </c>
    </row>
    <row r="75" spans="1:25">
      <c r="A75" s="280">
        <f t="shared" si="1"/>
        <v>2021.06</v>
      </c>
      <c r="B75" s="705">
        <v>3.1745479758920503E-2</v>
      </c>
      <c r="C75" s="3697">
        <v>3.0645449418720716E-2</v>
      </c>
      <c r="D75" s="714">
        <v>3.2431176875069578E-2</v>
      </c>
      <c r="E75" s="3697">
        <v>3.2863347983856483E-2</v>
      </c>
      <c r="F75" s="714">
        <v>2.8534883353045437E-2</v>
      </c>
      <c r="G75" s="3697">
        <v>3.5469228720880874E-2</v>
      </c>
      <c r="H75" s="390">
        <v>3.4460532801019905E-2</v>
      </c>
      <c r="I75" s="719">
        <v>3.2407015524217542E-2</v>
      </c>
      <c r="J75" s="3697">
        <v>5.4925918346491409E-2</v>
      </c>
      <c r="K75" s="714">
        <v>3.4620679624022266E-2</v>
      </c>
      <c r="L75" s="3697">
        <v>2.4833249370768362E-2</v>
      </c>
      <c r="M75" s="714">
        <v>3.2338622181740106E-2</v>
      </c>
      <c r="N75" s="3697">
        <v>3.2084591462923528E-2</v>
      </c>
      <c r="O75" s="714">
        <v>3.2552984133142449E-2</v>
      </c>
      <c r="P75" s="3697">
        <v>7.0420195069754499E-2</v>
      </c>
      <c r="Q75" s="714">
        <v>2.2408617626279215E-2</v>
      </c>
      <c r="R75" s="3697">
        <v>1.1478937459374894E-2</v>
      </c>
      <c r="S75" s="714">
        <v>3.1216791452769233E-2</v>
      </c>
      <c r="T75" s="1253">
        <v>1.965278683492433E-2</v>
      </c>
      <c r="U75" s="732">
        <v>3.3846860437032333E-2</v>
      </c>
      <c r="V75" s="1253">
        <v>2.7394991627992749E-2</v>
      </c>
      <c r="W75" s="719">
        <v>3.6096552356174927E-2</v>
      </c>
      <c r="X75" s="3697">
        <v>3.2181866859289032E-2</v>
      </c>
      <c r="Y75" s="552">
        <v>5.0999784086660505E-3</v>
      </c>
    </row>
    <row r="76" spans="1:25">
      <c r="A76" s="280">
        <f t="shared" si="1"/>
        <v>2021.07</v>
      </c>
      <c r="B76" s="705">
        <v>2.9970333220362466E-2</v>
      </c>
      <c r="C76" s="3697">
        <v>3.0841320010875473E-2</v>
      </c>
      <c r="D76" s="714">
        <v>2.865666252137733E-2</v>
      </c>
      <c r="E76" s="3697">
        <v>2.7529381732412039E-2</v>
      </c>
      <c r="F76" s="714">
        <v>2.9767024352205018E-2</v>
      </c>
      <c r="G76" s="3697">
        <v>3.1686556978792968E-2</v>
      </c>
      <c r="H76" s="390">
        <v>3.3494321087429668E-2</v>
      </c>
      <c r="I76" s="719">
        <v>3.4063608020391101E-2</v>
      </c>
      <c r="J76" s="3697">
        <v>3.1064229315019176E-2</v>
      </c>
      <c r="K76" s="714">
        <v>1.2423493111972217E-2</v>
      </c>
      <c r="L76" s="3697">
        <v>2.8831209866767349E-2</v>
      </c>
      <c r="M76" s="714">
        <v>2.7285878760780591E-2</v>
      </c>
      <c r="N76" s="3697">
        <v>3.8224956560406254E-2</v>
      </c>
      <c r="O76" s="714">
        <v>2.2919855989489646E-2</v>
      </c>
      <c r="P76" s="3697">
        <v>3.6853413258901568E-3</v>
      </c>
      <c r="Q76" s="714">
        <v>3.0939667125280623E-2</v>
      </c>
      <c r="R76" s="3697">
        <v>2.5379486637342685E-2</v>
      </c>
      <c r="S76" s="714">
        <v>4.7620962295101821E-2</v>
      </c>
      <c r="T76" s="1253">
        <v>3.189907851241891E-2</v>
      </c>
      <c r="U76" s="732">
        <v>2.9204880903324071E-2</v>
      </c>
      <c r="V76" s="1253">
        <v>3.0679765830418759E-2</v>
      </c>
      <c r="W76" s="719">
        <v>3.1335013123486855E-2</v>
      </c>
      <c r="X76" s="3697">
        <v>1.44570951083689E-2</v>
      </c>
      <c r="Y76" s="552">
        <v>4.8786897834343534E-2</v>
      </c>
    </row>
    <row r="77" spans="1:25">
      <c r="A77" s="280">
        <f t="shared" si="1"/>
        <v>2021.08</v>
      </c>
      <c r="B77" s="705">
        <v>2.4684866674014705E-2</v>
      </c>
      <c r="C77" s="3697">
        <v>2.6032158014076101E-2</v>
      </c>
      <c r="D77" s="714">
        <v>2.263523047907845E-2</v>
      </c>
      <c r="E77" s="3697">
        <v>2.3828622011282885E-2</v>
      </c>
      <c r="F77" s="714">
        <v>2.7374985767552262E-2</v>
      </c>
      <c r="G77" s="3697">
        <v>1.777637025948664E-2</v>
      </c>
      <c r="H77" s="390">
        <v>3.4057785794644246E-2</v>
      </c>
      <c r="I77" s="719">
        <v>1.4872325110008466E-2</v>
      </c>
      <c r="J77" s="3697">
        <v>2.0196311591219818E-2</v>
      </c>
      <c r="K77" s="714">
        <v>3.4149702606022903E-2</v>
      </c>
      <c r="L77" s="3697">
        <v>1.1487609995259218E-2</v>
      </c>
      <c r="M77" s="714">
        <v>3.27690768889497E-2</v>
      </c>
      <c r="N77" s="3697">
        <v>4.1965036916052911E-2</v>
      </c>
      <c r="O77" s="714">
        <v>2.4458625038247472E-2</v>
      </c>
      <c r="P77" s="3697">
        <v>-5.9334790059544229E-3</v>
      </c>
      <c r="Q77" s="714">
        <v>3.6984813278903239E-2</v>
      </c>
      <c r="R77" s="3697">
        <v>4.2367766531862472E-2</v>
      </c>
      <c r="S77" s="714">
        <v>2.9467585095780846E-2</v>
      </c>
      <c r="T77" s="1253">
        <v>3.3045101616917538E-2</v>
      </c>
      <c r="U77" s="732">
        <v>2.5079495552323694E-2</v>
      </c>
      <c r="V77" s="1253">
        <v>2.3251334934687007E-2</v>
      </c>
      <c r="W77" s="719">
        <v>3.1321874754012713E-2</v>
      </c>
      <c r="X77" s="3697">
        <v>1.1314327683314307E-2</v>
      </c>
      <c r="Y77" s="552">
        <v>5.8809752947082128E-3</v>
      </c>
    </row>
    <row r="78" spans="1:25">
      <c r="A78" s="280">
        <f t="shared" si="1"/>
        <v>2021.09</v>
      </c>
      <c r="B78" s="705">
        <v>3.5467879533113811E-2</v>
      </c>
      <c r="C78" s="3697">
        <v>3.8369103246173042E-2</v>
      </c>
      <c r="D78" s="714">
        <v>3.4100113397051768E-2</v>
      </c>
      <c r="E78" s="3697">
        <v>3.2608142352426484E-2</v>
      </c>
      <c r="F78" s="714">
        <v>2.8305117769801269E-2</v>
      </c>
      <c r="G78" s="3697">
        <v>2.86967506267779E-2</v>
      </c>
      <c r="H78" s="390">
        <v>3.7444097185322267E-2</v>
      </c>
      <c r="I78" s="719">
        <v>2.9484732416185322E-2</v>
      </c>
      <c r="J78" s="3697">
        <v>5.8709684676134577E-2</v>
      </c>
      <c r="K78" s="714">
        <v>6.0318389901968139E-2</v>
      </c>
      <c r="L78" s="3697">
        <v>1.9193945295575388E-2</v>
      </c>
      <c r="M78" s="714">
        <v>3.4814105459458844E-2</v>
      </c>
      <c r="N78" s="3697">
        <v>4.3067019425256037E-2</v>
      </c>
      <c r="O78" s="714">
        <v>3.0420148450867712E-2</v>
      </c>
      <c r="P78" s="3697">
        <v>2.7732583731555627E-2</v>
      </c>
      <c r="Q78" s="714">
        <v>3.7663851634111456E-2</v>
      </c>
      <c r="R78" s="3697">
        <v>3.1182040453434201E-2</v>
      </c>
      <c r="S78" s="714">
        <v>4.0723745915225873E-2</v>
      </c>
      <c r="T78" s="1253">
        <v>2.1651897731393532E-2</v>
      </c>
      <c r="U78" s="732">
        <v>3.4692003651063619E-2</v>
      </c>
      <c r="V78" s="1253">
        <v>3.7329115077274766E-2</v>
      </c>
      <c r="W78" s="719">
        <v>3.2621255553990425E-2</v>
      </c>
      <c r="X78" s="3697">
        <v>2.9577346296094875E-2</v>
      </c>
      <c r="Y78" s="552">
        <v>6.3593951330452203E-2</v>
      </c>
    </row>
    <row r="79" spans="1:25">
      <c r="A79" s="280">
        <f t="shared" si="1"/>
        <v>2021.1</v>
      </c>
      <c r="B79" s="705">
        <v>3.5162748383717801E-2</v>
      </c>
      <c r="C79" s="3697">
        <v>3.7714114410323907E-2</v>
      </c>
      <c r="D79" s="714">
        <v>3.4004334090493638E-2</v>
      </c>
      <c r="E79" s="3697">
        <v>3.199318305058485E-2</v>
      </c>
      <c r="F79" s="714">
        <v>3.521419620767352E-2</v>
      </c>
      <c r="G79" s="3697">
        <v>3.1060585052738787E-2</v>
      </c>
      <c r="H79" s="390">
        <v>2.8660826481141877E-2</v>
      </c>
      <c r="I79" s="719">
        <v>3.4135754854253575E-2</v>
      </c>
      <c r="J79" s="3697">
        <v>2.198159745070849E-2</v>
      </c>
      <c r="K79" s="714">
        <v>5.1218544171072633E-2</v>
      </c>
      <c r="L79" s="3697">
        <v>2.5151693529716912E-2</v>
      </c>
      <c r="M79" s="714">
        <v>2.7543380576194654E-2</v>
      </c>
      <c r="N79" s="3697">
        <v>4.7328720133766655E-2</v>
      </c>
      <c r="O79" s="714">
        <v>3.0886371935010315E-2</v>
      </c>
      <c r="P79" s="3697">
        <v>1.1378081498671033E-2</v>
      </c>
      <c r="Q79" s="714">
        <v>3.994156312849273E-2</v>
      </c>
      <c r="R79" s="3697">
        <v>1.3925628242954513E-2</v>
      </c>
      <c r="S79" s="714">
        <v>4.1294289990623678E-2</v>
      </c>
      <c r="T79" s="1253">
        <v>3.3499229997231428E-2</v>
      </c>
      <c r="U79" s="732">
        <v>3.588306626108384E-2</v>
      </c>
      <c r="V79" s="1253">
        <v>3.2821600617547908E-2</v>
      </c>
      <c r="W79" s="719">
        <v>3.2010124388921923E-2</v>
      </c>
      <c r="X79" s="3697">
        <v>1.9228163692197375E-2</v>
      </c>
      <c r="Y79" s="552">
        <v>8.1336579616591242E-2</v>
      </c>
    </row>
    <row r="80" spans="1:25">
      <c r="A80" s="280">
        <f t="shared" si="1"/>
        <v>2021.11</v>
      </c>
      <c r="B80" s="705">
        <v>2.5294646013509503E-2</v>
      </c>
      <c r="C80" s="3697">
        <v>2.2672956074479167E-2</v>
      </c>
      <c r="D80" s="714">
        <v>2.8087595653764286E-2</v>
      </c>
      <c r="E80" s="3697">
        <v>2.655175559512668E-2</v>
      </c>
      <c r="F80" s="714">
        <v>2.9715411682912585E-2</v>
      </c>
      <c r="G80" s="3697">
        <v>2.6500962735193978E-2</v>
      </c>
      <c r="H80" s="390">
        <v>2.1906232887188404E-2</v>
      </c>
      <c r="I80" s="719">
        <v>2.1215758130852302E-2</v>
      </c>
      <c r="J80" s="3697">
        <v>1.102468924839406E-2</v>
      </c>
      <c r="K80" s="714">
        <v>4.1041151959135824E-2</v>
      </c>
      <c r="L80" s="3697">
        <v>2.1830543635484423E-2</v>
      </c>
      <c r="M80" s="714">
        <v>2.7024395864356343E-2</v>
      </c>
      <c r="N80" s="3697">
        <v>2.4354733211749968E-2</v>
      </c>
      <c r="O80" s="714">
        <v>2.1965814353179569E-2</v>
      </c>
      <c r="P80" s="3697">
        <v>8.2603504004281625E-3</v>
      </c>
      <c r="Q80" s="714">
        <v>1.4649885038980681E-2</v>
      </c>
      <c r="R80" s="3697">
        <v>8.4544865284987836E-3</v>
      </c>
      <c r="S80" s="714">
        <v>4.979748000456885E-2</v>
      </c>
      <c r="T80" s="1253">
        <v>2.0428027982694053E-2</v>
      </c>
      <c r="U80" s="732">
        <v>2.5422973965205653E-2</v>
      </c>
      <c r="V80" s="1253">
        <v>2.4465114291467582E-2</v>
      </c>
      <c r="W80" s="719">
        <v>3.2527366256280388E-2</v>
      </c>
      <c r="X80" s="3697">
        <v>1.0341076637649715E-2</v>
      </c>
      <c r="Y80" s="552">
        <v>5.1205021145996898E-3</v>
      </c>
    </row>
    <row r="81" spans="1:25">
      <c r="A81" s="280">
        <f t="shared" si="1"/>
        <v>2021.12</v>
      </c>
      <c r="B81" s="705">
        <v>3.8399703058412671E-2</v>
      </c>
      <c r="C81" s="3697">
        <v>4.0624208936166806E-2</v>
      </c>
      <c r="D81" s="714">
        <v>3.5218194707665962E-2</v>
      </c>
      <c r="E81" s="3697">
        <v>4.0413704164750985E-2</v>
      </c>
      <c r="F81" s="714">
        <v>4.4130030581145174E-2</v>
      </c>
      <c r="G81" s="3697">
        <v>3.9113286685803494E-2</v>
      </c>
      <c r="H81" s="390">
        <v>3.0915776000872919E-2</v>
      </c>
      <c r="I81" s="719">
        <v>4.2533111526186662E-2</v>
      </c>
      <c r="J81" s="3697">
        <v>5.3750104162717083E-2</v>
      </c>
      <c r="K81" s="714">
        <v>4.7678343616514018E-2</v>
      </c>
      <c r="L81" s="3697">
        <v>2.1088537206253921E-2</v>
      </c>
      <c r="M81" s="714">
        <v>3.3719090301354893E-2</v>
      </c>
      <c r="N81" s="3697">
        <v>4.9942564493048458E-3</v>
      </c>
      <c r="O81" s="714">
        <v>4.9337911031259507E-2</v>
      </c>
      <c r="P81" s="3697">
        <v>1.849748326824141E-2</v>
      </c>
      <c r="Q81" s="714">
        <v>3.9529011985667495E-2</v>
      </c>
      <c r="R81" s="3697">
        <v>1.0013782600868382E-2</v>
      </c>
      <c r="S81" s="714">
        <v>5.883540953570443E-2</v>
      </c>
      <c r="T81" s="1253">
        <v>3.1787899912405049E-2</v>
      </c>
      <c r="U81" s="732">
        <v>3.8627129669278837E-2</v>
      </c>
      <c r="V81" s="1253">
        <v>3.6784278183987329E-2</v>
      </c>
      <c r="W81" s="719">
        <v>4.4232387884627355E-2</v>
      </c>
      <c r="X81" s="3697">
        <v>1.7141608744662085E-2</v>
      </c>
      <c r="Y81" s="552">
        <v>3.7352120324733562E-2</v>
      </c>
    </row>
    <row r="82" spans="1:25">
      <c r="A82" s="280">
        <f t="shared" si="1"/>
        <v>2022.01</v>
      </c>
      <c r="B82" s="705">
        <v>3.875681916706375E-2</v>
      </c>
      <c r="C82" s="3697">
        <v>3.9271234002354882E-2</v>
      </c>
      <c r="D82" s="714">
        <v>3.8482056642328066E-2</v>
      </c>
      <c r="E82" s="3697">
        <v>4.036788721264073E-2</v>
      </c>
      <c r="F82" s="714">
        <v>3.4239414273455449E-2</v>
      </c>
      <c r="G82" s="3697">
        <v>4.0503028221933635E-2</v>
      </c>
      <c r="H82" s="390">
        <v>3.592545642741074E-2</v>
      </c>
      <c r="I82" s="719">
        <v>4.9355596653445133E-2</v>
      </c>
      <c r="J82" s="3697">
        <v>1.7988279137694407E-2</v>
      </c>
      <c r="K82" s="714">
        <v>2.398992745059525E-2</v>
      </c>
      <c r="L82" s="3697">
        <v>1.7597432899365995E-2</v>
      </c>
      <c r="M82" s="714">
        <v>3.3190689942954155E-2</v>
      </c>
      <c r="N82" s="3697">
        <v>4.1121865309325045E-2</v>
      </c>
      <c r="O82" s="714">
        <v>2.7546782929279479E-2</v>
      </c>
      <c r="P82" s="3697">
        <v>7.4830197916484931E-2</v>
      </c>
      <c r="Q82" s="714">
        <v>4.2091108345829298E-2</v>
      </c>
      <c r="R82" s="3697">
        <v>7.6284176454823882E-3</v>
      </c>
      <c r="S82" s="714">
        <v>5.6783444546083306E-2</v>
      </c>
      <c r="T82" s="1253">
        <v>4.2966763814089148E-2</v>
      </c>
      <c r="U82" s="732">
        <v>3.830880197107378E-2</v>
      </c>
      <c r="V82" s="1253">
        <v>4.0289279288908242E-2</v>
      </c>
      <c r="W82" s="719">
        <v>3.3020977867757262E-2</v>
      </c>
      <c r="X82" s="3697">
        <v>2.7565647176321706E-2</v>
      </c>
      <c r="Y82" s="552">
        <v>9.0498617606339149E-2</v>
      </c>
    </row>
    <row r="83" spans="1:25">
      <c r="A83" s="280">
        <f t="shared" si="1"/>
        <v>2022.02</v>
      </c>
      <c r="B83" s="705">
        <v>4.6943656010089985E-2</v>
      </c>
      <c r="C83" s="3697">
        <v>4.563161555042039E-2</v>
      </c>
      <c r="D83" s="714">
        <v>4.6657176953345036E-2</v>
      </c>
      <c r="E83" s="3697">
        <v>4.8523634995495613E-2</v>
      </c>
      <c r="F83" s="714">
        <v>4.9633790775865716E-2</v>
      </c>
      <c r="G83" s="3697">
        <v>5.4047108197206484E-2</v>
      </c>
      <c r="H83" s="390">
        <v>4.8421409942731364E-2</v>
      </c>
      <c r="I83" s="719">
        <v>7.4695693652692796E-2</v>
      </c>
      <c r="J83" s="3697">
        <v>2.6596490359211522E-2</v>
      </c>
      <c r="K83" s="714">
        <v>3.3934596867265965E-2</v>
      </c>
      <c r="L83" s="3697">
        <v>2.8348718963381758E-2</v>
      </c>
      <c r="M83" s="714">
        <v>4.4306128547689783E-2</v>
      </c>
      <c r="N83" s="3697">
        <v>3.6391523314398988E-2</v>
      </c>
      <c r="O83" s="714">
        <v>4.9353323810858996E-2</v>
      </c>
      <c r="P83" s="3697">
        <v>1.4748565963978333E-2</v>
      </c>
      <c r="Q83" s="714">
        <v>2.2922223509299178E-2</v>
      </c>
      <c r="R83" s="3697">
        <v>2.6480447367107418E-2</v>
      </c>
      <c r="S83" s="714">
        <v>4.3167446737482074E-2</v>
      </c>
      <c r="T83" s="1253">
        <v>4.3354098846178912E-2</v>
      </c>
      <c r="U83" s="732">
        <v>5.5047530726756388E-2</v>
      </c>
      <c r="V83" s="1253">
        <v>2.807029674715511E-2</v>
      </c>
      <c r="W83" s="719">
        <v>4.450768875905875E-2</v>
      </c>
      <c r="X83" s="3697">
        <v>3.1015663088439061E-2</v>
      </c>
      <c r="Y83" s="552">
        <v>8.4233403412632413E-2</v>
      </c>
    </row>
    <row r="84" spans="1:25">
      <c r="A84" s="280">
        <f t="shared" si="1"/>
        <v>2022.03</v>
      </c>
      <c r="B84" s="705">
        <v>6.7287978339025445E-2</v>
      </c>
      <c r="C84" s="3697">
        <v>6.6668901421061966E-2</v>
      </c>
      <c r="D84" s="714">
        <v>6.6277816685989199E-2</v>
      </c>
      <c r="E84" s="3697">
        <v>6.7668803239308239E-2</v>
      </c>
      <c r="F84" s="714">
        <v>7.2485125727378419E-2</v>
      </c>
      <c r="G84" s="3697">
        <v>6.793580602898408E-2</v>
      </c>
      <c r="H84" s="390">
        <v>7.4368772068735156E-2</v>
      </c>
      <c r="I84" s="719">
        <v>7.244146900209536E-2</v>
      </c>
      <c r="J84" s="3697">
        <v>5.7490309802321171E-2</v>
      </c>
      <c r="K84" s="714">
        <v>0.10855441544265143</v>
      </c>
      <c r="L84" s="3697">
        <v>7.6591209177075958E-2</v>
      </c>
      <c r="M84" s="714">
        <v>4.3866879444464546E-2</v>
      </c>
      <c r="N84" s="3697">
        <v>4.9526364926770317E-2</v>
      </c>
      <c r="O84" s="714">
        <v>5.4794883350633095E-2</v>
      </c>
      <c r="P84" s="3697">
        <v>3.4423964099289384E-2</v>
      </c>
      <c r="Q84" s="714">
        <v>3.3302635684623549E-2</v>
      </c>
      <c r="R84" s="3697">
        <v>0.23635465103490971</v>
      </c>
      <c r="S84" s="714">
        <v>5.4316615808914337E-2</v>
      </c>
      <c r="T84" s="1253">
        <v>5.5252553667197724E-2</v>
      </c>
      <c r="U84" s="732">
        <v>6.7358328910114507E-2</v>
      </c>
      <c r="V84" s="1253">
        <v>6.6657546947554103E-2</v>
      </c>
      <c r="W84" s="719">
        <v>6.3964374001315161E-2</v>
      </c>
      <c r="X84" s="3697">
        <v>8.429599126050169E-2</v>
      </c>
      <c r="Y84" s="552">
        <v>6.192366470398758E-2</v>
      </c>
    </row>
    <row r="85" spans="1:25">
      <c r="A85" s="280">
        <f t="shared" si="1"/>
        <v>2022.04</v>
      </c>
      <c r="B85" s="705">
        <v>6.0473191149971628E-2</v>
      </c>
      <c r="C85" s="3697">
        <v>6.1885678853573323E-2</v>
      </c>
      <c r="D85" s="714">
        <v>5.8553377006983043E-2</v>
      </c>
      <c r="E85" s="3697">
        <v>6.3651077181514859E-2</v>
      </c>
      <c r="F85" s="714">
        <v>6.0247628239695983E-2</v>
      </c>
      <c r="G85" s="3697">
        <v>5.8474493093167323E-2</v>
      </c>
      <c r="H85" s="390">
        <v>5.8869592940136384E-2</v>
      </c>
      <c r="I85" s="719">
        <v>5.8621191727850519E-2</v>
      </c>
      <c r="J85" s="3697">
        <v>3.344752852396482E-2</v>
      </c>
      <c r="K85" s="714">
        <v>9.8931764337911954E-2</v>
      </c>
      <c r="L85" s="3697">
        <v>4.5768636908079641E-2</v>
      </c>
      <c r="M85" s="714">
        <v>5.4995507605510197E-2</v>
      </c>
      <c r="N85" s="3697">
        <v>6.3930192520533113E-2</v>
      </c>
      <c r="O85" s="714">
        <v>5.3336258090506128E-2</v>
      </c>
      <c r="P85" s="3697">
        <v>3.6576589447467667E-2</v>
      </c>
      <c r="Q85" s="714">
        <v>5.2277541206884992E-2</v>
      </c>
      <c r="R85" s="3697">
        <v>3.7243131470627411E-2</v>
      </c>
      <c r="S85" s="714">
        <v>7.3460498012375419E-2</v>
      </c>
      <c r="T85" s="1253">
        <v>5.2618168140019739E-2</v>
      </c>
      <c r="U85" s="732">
        <v>6.4315312917850198E-2</v>
      </c>
      <c r="V85" s="1253">
        <v>5.0778745172919804E-2</v>
      </c>
      <c r="W85" s="719">
        <v>6.7089743598970353E-2</v>
      </c>
      <c r="X85" s="3697">
        <v>3.9146528137609105E-2</v>
      </c>
      <c r="Y85" s="552">
        <v>5.4274575558687976E-2</v>
      </c>
    </row>
    <row r="86" spans="1:25">
      <c r="A86" s="280">
        <f t="shared" si="1"/>
        <v>2022.05</v>
      </c>
      <c r="B86" s="705">
        <v>5.0502280595626114E-2</v>
      </c>
      <c r="C86" s="3697">
        <v>4.7713882039585709E-2</v>
      </c>
      <c r="D86" s="714">
        <v>5.2773468476936758E-2</v>
      </c>
      <c r="E86" s="3697">
        <v>5.5505178191320059E-2</v>
      </c>
      <c r="F86" s="714">
        <v>5.2642129098058321E-2</v>
      </c>
      <c r="G86" s="3697">
        <v>5.2185573982037603E-2</v>
      </c>
      <c r="H86" s="390">
        <v>4.8683763564224325E-2</v>
      </c>
      <c r="I86" s="719">
        <v>4.4124578267879855E-2</v>
      </c>
      <c r="J86" s="3697">
        <v>5.6560030486974444E-2</v>
      </c>
      <c r="K86" s="714">
        <v>5.7520121057147877E-2</v>
      </c>
      <c r="L86" s="3697">
        <v>3.5536943802895182E-2</v>
      </c>
      <c r="M86" s="714">
        <v>5.3526439717144436E-2</v>
      </c>
      <c r="N86" s="3697">
        <v>6.2105822584896941E-2</v>
      </c>
      <c r="O86" s="714">
        <v>6.1182011274027337E-2</v>
      </c>
      <c r="P86" s="3697">
        <v>3.0682845757788346E-2</v>
      </c>
      <c r="Q86" s="714">
        <v>5.1954476105928515E-2</v>
      </c>
      <c r="R86" s="3697">
        <v>3.2479607011987266E-2</v>
      </c>
      <c r="S86" s="714">
        <v>5.6839168144345642E-2</v>
      </c>
      <c r="T86" s="1253">
        <v>4.5589228756381273E-2</v>
      </c>
      <c r="U86" s="732">
        <v>5.3475935145638198E-2</v>
      </c>
      <c r="V86" s="1253">
        <v>4.3012150717719688E-2</v>
      </c>
      <c r="W86" s="719">
        <v>5.2018433095186056E-2</v>
      </c>
      <c r="X86" s="3697">
        <v>5.675291399532556E-2</v>
      </c>
      <c r="Y86" s="552">
        <v>3.3513101122009337E-2</v>
      </c>
    </row>
    <row r="87" spans="1:25">
      <c r="A87" s="280">
        <f t="shared" ref="A87:A150" si="2">A75+1</f>
        <v>2022.06</v>
      </c>
      <c r="B87" s="705">
        <v>5.2952212516281572E-2</v>
      </c>
      <c r="C87" s="3697">
        <v>5.4737081689388178E-2</v>
      </c>
      <c r="D87" s="714">
        <v>5.1552155378102871E-2</v>
      </c>
      <c r="E87" s="3697">
        <v>5.2392063753733176E-2</v>
      </c>
      <c r="F87" s="714">
        <v>4.9237398089115425E-2</v>
      </c>
      <c r="G87" s="3697">
        <v>5.2963880800524832E-2</v>
      </c>
      <c r="H87" s="390">
        <v>5.0819530731697204E-2</v>
      </c>
      <c r="I87" s="719">
        <v>4.6172989824192934E-2</v>
      </c>
      <c r="J87" s="3697">
        <v>6.7233118353260402E-2</v>
      </c>
      <c r="K87" s="714">
        <v>5.7511489643798042E-2</v>
      </c>
      <c r="L87" s="3697">
        <v>6.8106030730744838E-2</v>
      </c>
      <c r="M87" s="714">
        <v>5.9871595844745773E-2</v>
      </c>
      <c r="N87" s="3697">
        <v>7.4159442298260769E-2</v>
      </c>
      <c r="O87" s="714">
        <v>4.7414282540544361E-2</v>
      </c>
      <c r="P87" s="3697">
        <v>3.8387064690186268E-3</v>
      </c>
      <c r="Q87" s="714">
        <v>4.3362722564666667E-2</v>
      </c>
      <c r="R87" s="3697">
        <v>2.0275974176895861E-2</v>
      </c>
      <c r="S87" s="714">
        <v>6.2117138898562629E-2</v>
      </c>
      <c r="T87" s="1253">
        <v>5.0300425107464353E-2</v>
      </c>
      <c r="U87" s="732">
        <v>5.1577757036185945E-2</v>
      </c>
      <c r="V87" s="1253">
        <v>5.5394793318813473E-2</v>
      </c>
      <c r="W87" s="719">
        <v>5.0833879645356461E-2</v>
      </c>
      <c r="X87" s="3697">
        <v>5.2608501487036108E-2</v>
      </c>
      <c r="Y87" s="552">
        <v>6.600777322789475E-2</v>
      </c>
    </row>
    <row r="88" spans="1:25">
      <c r="A88" s="280">
        <f t="shared" si="2"/>
        <v>2022.07</v>
      </c>
      <c r="B88" s="705">
        <v>7.4061968571593528E-2</v>
      </c>
      <c r="C88" s="3697">
        <v>7.3672592777808799E-2</v>
      </c>
      <c r="D88" s="714">
        <v>7.518262902192796E-2</v>
      </c>
      <c r="E88" s="3697">
        <v>6.7388390429747425E-2</v>
      </c>
      <c r="F88" s="714">
        <v>7.4381759219980692E-2</v>
      </c>
      <c r="G88" s="3697">
        <v>7.3314861451222235E-2</v>
      </c>
      <c r="H88" s="390">
        <v>8.0417238813412339E-2</v>
      </c>
      <c r="I88" s="719">
        <v>6.0175638867075554E-2</v>
      </c>
      <c r="J88" s="3697">
        <v>6.4477943762482282E-2</v>
      </c>
      <c r="K88" s="714">
        <v>8.4702301760077647E-2</v>
      </c>
      <c r="L88" s="3697">
        <v>4.5645733996471316E-2</v>
      </c>
      <c r="M88" s="714">
        <v>0.1032515480665539</v>
      </c>
      <c r="N88" s="3697">
        <v>6.8442869740346746E-2</v>
      </c>
      <c r="O88" s="714">
        <v>5.4996252810392221E-2</v>
      </c>
      <c r="P88" s="3697">
        <v>5.51352476223268E-2</v>
      </c>
      <c r="Q88" s="714">
        <v>0.13189510479465372</v>
      </c>
      <c r="R88" s="3697">
        <v>6.1000679667485791E-2</v>
      </c>
      <c r="S88" s="714">
        <v>9.7595111559937164E-2</v>
      </c>
      <c r="T88" s="1253">
        <v>8.1075924962282775E-2</v>
      </c>
      <c r="U88" s="732">
        <v>7.3123319186765068E-2</v>
      </c>
      <c r="V88" s="1253">
        <v>7.5071352433127903E-2</v>
      </c>
      <c r="W88" s="719">
        <v>7.3288005686861002E-2</v>
      </c>
      <c r="X88" s="3697">
        <v>4.9113433776301729E-2</v>
      </c>
      <c r="Y88" s="552">
        <v>0.11300124750289275</v>
      </c>
    </row>
    <row r="89" spans="1:25">
      <c r="A89" s="280">
        <f t="shared" si="2"/>
        <v>2022.08</v>
      </c>
      <c r="B89" s="705">
        <v>6.9703355753550689E-2</v>
      </c>
      <c r="C89" s="3697">
        <v>6.950753900936979E-2</v>
      </c>
      <c r="D89" s="714">
        <v>6.9256192976226094E-2</v>
      </c>
      <c r="E89" s="3697">
        <v>7.6103321296795645E-2</v>
      </c>
      <c r="F89" s="714">
        <v>7.6225165756825808E-2</v>
      </c>
      <c r="G89" s="3697">
        <v>6.4539428696940737E-2</v>
      </c>
      <c r="H89" s="390">
        <v>6.4400169601499302E-2</v>
      </c>
      <c r="I89" s="719">
        <v>7.0971084636866966E-2</v>
      </c>
      <c r="J89" s="3697">
        <v>7.0206592911200572E-2</v>
      </c>
      <c r="K89" s="714">
        <v>9.8550359245820562E-2</v>
      </c>
      <c r="L89" s="3697">
        <v>5.5426006511417159E-2</v>
      </c>
      <c r="M89" s="714">
        <v>8.4245679582401811E-2</v>
      </c>
      <c r="N89" s="3697">
        <v>5.7251082593750002E-2</v>
      </c>
      <c r="O89" s="714">
        <v>6.8319297564479964E-2</v>
      </c>
      <c r="P89" s="3697">
        <v>4.0544623267902757E-2</v>
      </c>
      <c r="Q89" s="714">
        <v>5.0291562177051441E-2</v>
      </c>
      <c r="R89" s="3697">
        <v>4.9903024377936811E-2</v>
      </c>
      <c r="S89" s="714">
        <v>6.6556396151745245E-2</v>
      </c>
      <c r="T89" s="1253">
        <v>8.6548213576810751E-2</v>
      </c>
      <c r="U89" s="732">
        <v>7.435859434622194E-2</v>
      </c>
      <c r="V89" s="1253">
        <v>5.7633353682869704E-2</v>
      </c>
      <c r="W89" s="719">
        <v>6.8015910630540022E-2</v>
      </c>
      <c r="X89" s="3697">
        <v>6.2911426027354889E-2</v>
      </c>
      <c r="Y89" s="552">
        <v>8.6686745002044763E-2</v>
      </c>
    </row>
    <row r="90" spans="1:25">
      <c r="A90" s="280">
        <f t="shared" si="2"/>
        <v>2022.09</v>
      </c>
      <c r="B90" s="705">
        <v>6.1655198875771644E-2</v>
      </c>
      <c r="C90" s="3697">
        <v>6.0360531075257962E-2</v>
      </c>
      <c r="D90" s="714">
        <v>6.2639722451166335E-2</v>
      </c>
      <c r="E90" s="3697">
        <v>6.1417483490655789E-2</v>
      </c>
      <c r="F90" s="714">
        <v>6.8467264052096466E-2</v>
      </c>
      <c r="G90" s="3697">
        <v>6.0629580850222631E-2</v>
      </c>
      <c r="H90" s="390">
        <v>6.1304199717964192E-2</v>
      </c>
      <c r="I90" s="719">
        <v>6.7411238651460925E-2</v>
      </c>
      <c r="J90" s="3697">
        <v>9.4240593940049022E-2</v>
      </c>
      <c r="K90" s="714">
        <v>0.10625089751988015</v>
      </c>
      <c r="L90" s="3697">
        <v>3.1038824160969813E-2</v>
      </c>
      <c r="M90" s="714">
        <v>6.0471953899791764E-2</v>
      </c>
      <c r="N90" s="3697">
        <v>4.3265704206089772E-2</v>
      </c>
      <c r="O90" s="714">
        <v>5.812281894364979E-2</v>
      </c>
      <c r="P90" s="3697">
        <v>2.4644261247127375E-2</v>
      </c>
      <c r="Q90" s="714">
        <v>5.2390157371816848E-2</v>
      </c>
      <c r="R90" s="3697">
        <v>3.6569156425650728E-2</v>
      </c>
      <c r="S90" s="714">
        <v>4.849037876095541E-2</v>
      </c>
      <c r="T90" s="1253">
        <v>6.7963510475988365E-2</v>
      </c>
      <c r="U90" s="732">
        <v>6.9781777018583568E-2</v>
      </c>
      <c r="V90" s="1253">
        <v>4.1806124020288715E-2</v>
      </c>
      <c r="W90" s="719">
        <v>5.5127813335147158E-2</v>
      </c>
      <c r="X90" s="3697">
        <v>4.5480322980642862E-2</v>
      </c>
      <c r="Y90" s="552">
        <v>0.1173347070762476</v>
      </c>
    </row>
    <row r="91" spans="1:25">
      <c r="A91" s="280">
        <f t="shared" si="2"/>
        <v>2022.1</v>
      </c>
      <c r="B91" s="705">
        <v>6.3473501086934503E-2</v>
      </c>
      <c r="C91" s="3697">
        <v>6.5501717487751909E-2</v>
      </c>
      <c r="D91" s="714">
        <v>6.1396174753997501E-2</v>
      </c>
      <c r="E91" s="3697">
        <v>6.2821457868655228E-2</v>
      </c>
      <c r="F91" s="714">
        <v>6.2240156745021924E-2</v>
      </c>
      <c r="G91" s="3697">
        <v>5.9873107604006215E-2</v>
      </c>
      <c r="H91" s="390">
        <v>6.598064888045907E-2</v>
      </c>
      <c r="I91" s="719">
        <v>6.1677199296712448E-2</v>
      </c>
      <c r="J91" s="3697">
        <v>5.4480592284628093E-2</v>
      </c>
      <c r="K91" s="714">
        <v>6.8290663470597535E-2</v>
      </c>
      <c r="L91" s="3697">
        <v>7.4667325617348901E-2</v>
      </c>
      <c r="M91" s="714">
        <v>4.9272635057683312E-2</v>
      </c>
      <c r="N91" s="3697">
        <v>7.1158072371377834E-2</v>
      </c>
      <c r="O91" s="714">
        <v>4.47233959470692E-2</v>
      </c>
      <c r="P91" s="3697">
        <v>0.12122645198376336</v>
      </c>
      <c r="Q91" s="714">
        <v>5.6327176423298431E-2</v>
      </c>
      <c r="R91" s="3697">
        <v>7.1026112118876439E-2</v>
      </c>
      <c r="S91" s="714">
        <v>7.4161261631870978E-2</v>
      </c>
      <c r="T91" s="1253">
        <v>6.1489529200480453E-2</v>
      </c>
      <c r="U91" s="732">
        <v>5.9124986371043242E-2</v>
      </c>
      <c r="V91" s="1253">
        <v>7.4349335093694124E-2</v>
      </c>
      <c r="W91" s="719">
        <v>5.5491579643453415E-2</v>
      </c>
      <c r="X91" s="3697">
        <v>7.4119455761196829E-2</v>
      </c>
      <c r="Y91" s="552">
        <v>9.0469477478834381E-2</v>
      </c>
    </row>
    <row r="92" spans="1:25">
      <c r="A92" s="280">
        <f t="shared" si="2"/>
        <v>2022.11</v>
      </c>
      <c r="B92" s="705">
        <v>4.9161470818679165E-2</v>
      </c>
      <c r="C92" s="3697">
        <v>4.9993772500254385E-2</v>
      </c>
      <c r="D92" s="714">
        <v>4.9350471642873428E-2</v>
      </c>
      <c r="E92" s="3697">
        <v>4.5620185345912168E-2</v>
      </c>
      <c r="F92" s="714">
        <v>4.5301597604330945E-2</v>
      </c>
      <c r="G92" s="3697">
        <v>4.9251204613318444E-2</v>
      </c>
      <c r="H92" s="390">
        <v>4.9036725435473993E-2</v>
      </c>
      <c r="I92" s="719">
        <v>3.5106117435284689E-2</v>
      </c>
      <c r="J92" s="3697">
        <v>6.3424555147150619E-2</v>
      </c>
      <c r="K92" s="714">
        <v>4.491317958922747E-2</v>
      </c>
      <c r="L92" s="3697">
        <v>8.6523427911380013E-2</v>
      </c>
      <c r="M92" s="714">
        <v>5.4209144728986525E-2</v>
      </c>
      <c r="N92" s="3697">
        <v>4.0936189165932113E-2</v>
      </c>
      <c r="O92" s="714">
        <v>6.0908379942056001E-2</v>
      </c>
      <c r="P92" s="3697">
        <v>6.356342523873959E-2</v>
      </c>
      <c r="Q92" s="714">
        <v>4.1700406635427401E-2</v>
      </c>
      <c r="R92" s="3697">
        <v>3.7631217474952239E-2</v>
      </c>
      <c r="S92" s="714">
        <v>5.5197670546828892E-2</v>
      </c>
      <c r="T92" s="1253">
        <v>5.8404284796654826E-2</v>
      </c>
      <c r="U92" s="732">
        <v>4.5262352233929271E-2</v>
      </c>
      <c r="V92" s="1253">
        <v>5.8410504769681237E-2</v>
      </c>
      <c r="W92" s="719">
        <v>4.7558696888455376E-2</v>
      </c>
      <c r="X92" s="3697">
        <v>6.2316284467599958E-2</v>
      </c>
      <c r="Y92" s="552">
        <v>4.1030028083952619E-2</v>
      </c>
    </row>
    <row r="93" spans="1:25">
      <c r="A93" s="280">
        <f t="shared" si="2"/>
        <v>2022.12</v>
      </c>
      <c r="B93" s="705">
        <v>5.1246077588670946E-2</v>
      </c>
      <c r="C93" s="3697">
        <v>5.3433989670724769E-2</v>
      </c>
      <c r="D93" s="714">
        <v>5.0786373469694945E-2</v>
      </c>
      <c r="E93" s="3697">
        <v>4.659288617966828E-2</v>
      </c>
      <c r="F93" s="714">
        <v>4.7896149376340125E-2</v>
      </c>
      <c r="G93" s="3697">
        <v>5.0036957604143506E-2</v>
      </c>
      <c r="H93" s="390">
        <v>4.5340011207647413E-2</v>
      </c>
      <c r="I93" s="719">
        <v>4.6629210018316991E-2</v>
      </c>
      <c r="J93" s="3697">
        <v>7.1393161234952762E-2</v>
      </c>
      <c r="K93" s="714">
        <v>4.0262060416113465E-2</v>
      </c>
      <c r="L93" s="3697">
        <v>4.1913529481383049E-2</v>
      </c>
      <c r="M93" s="714">
        <v>5.9372551681823094E-2</v>
      </c>
      <c r="N93" s="3697">
        <v>5.6805951922750841E-2</v>
      </c>
      <c r="O93" s="714">
        <v>5.7852996841488702E-2</v>
      </c>
      <c r="P93" s="3697">
        <v>3.3988357378629264E-2</v>
      </c>
      <c r="Q93" s="714">
        <v>4.6117209344136656E-2</v>
      </c>
      <c r="R93" s="3697">
        <v>3.907420162590225E-2</v>
      </c>
      <c r="S93" s="714">
        <v>7.1612744953241769E-2</v>
      </c>
      <c r="T93" s="1253">
        <v>5.7465918926218551E-2</v>
      </c>
      <c r="U93" s="732">
        <v>5.1455795519488312E-2</v>
      </c>
      <c r="V93" s="1253">
        <v>5.1094403169999358E-2</v>
      </c>
      <c r="W93" s="719">
        <v>5.2510802683153113E-2</v>
      </c>
      <c r="X93" s="3697">
        <v>5.1111893761759619E-2</v>
      </c>
      <c r="Y93" s="552">
        <v>4.6418678125194734E-2</v>
      </c>
    </row>
    <row r="94" spans="1:25">
      <c r="A94" s="280">
        <f t="shared" si="2"/>
        <v>2023.01</v>
      </c>
      <c r="B94" s="705">
        <v>6.0278735663842564E-2</v>
      </c>
      <c r="C94" s="3697">
        <v>5.960427115896394E-2</v>
      </c>
      <c r="D94" s="714">
        <v>6.0739233887102007E-2</v>
      </c>
      <c r="E94" s="3697">
        <v>6.3323931661345423E-2</v>
      </c>
      <c r="F94" s="714">
        <v>5.6460189490126877E-2</v>
      </c>
      <c r="G94" s="3697">
        <v>6.3531778947333306E-2</v>
      </c>
      <c r="H94" s="390">
        <v>5.8889839205681804E-2</v>
      </c>
      <c r="I94" s="719">
        <v>6.7692225066022793E-2</v>
      </c>
      <c r="J94" s="3697">
        <v>7.2848866654053879E-2</v>
      </c>
      <c r="K94" s="714">
        <v>2.2976266661844047E-2</v>
      </c>
      <c r="L94" s="3697">
        <v>8.0284001180780384E-2</v>
      </c>
      <c r="M94" s="714">
        <v>5.41216915051832E-2</v>
      </c>
      <c r="N94" s="3697">
        <v>4.8957794002719268E-2</v>
      </c>
      <c r="O94" s="714">
        <v>5.9400072390090708E-2</v>
      </c>
      <c r="P94" s="3697">
        <v>7.967057807818656E-2</v>
      </c>
      <c r="Q94" s="714">
        <v>8.9594358459912371E-2</v>
      </c>
      <c r="R94" s="3697">
        <v>1.0582752703215181E-2</v>
      </c>
      <c r="S94" s="714">
        <v>6.2287315915296348E-2</v>
      </c>
      <c r="T94" s="1253">
        <v>6.8053020085743654E-2</v>
      </c>
      <c r="U94" s="732">
        <v>5.3756244635806638E-2</v>
      </c>
      <c r="V94" s="1253">
        <v>7.6536166043501774E-2</v>
      </c>
      <c r="W94" s="719">
        <v>5.3521433461187762E-2</v>
      </c>
      <c r="X94" s="3697">
        <v>7.1003395711727091E-2</v>
      </c>
      <c r="Y94" s="552">
        <v>7.9180535546872655E-2</v>
      </c>
    </row>
    <row r="95" spans="1:25">
      <c r="A95" s="280">
        <f t="shared" si="2"/>
        <v>2023.02</v>
      </c>
      <c r="B95" s="705">
        <v>6.62772168092709E-2</v>
      </c>
      <c r="C95" s="3697">
        <v>6.6918211939876349E-2</v>
      </c>
      <c r="D95" s="714">
        <v>6.3506936505733247E-2</v>
      </c>
      <c r="E95" s="3697">
        <v>7.291385735253697E-2</v>
      </c>
      <c r="F95" s="714">
        <v>7.7614443200404448E-2</v>
      </c>
      <c r="G95" s="3697">
        <v>6.7219580839784188E-2</v>
      </c>
      <c r="H95" s="390">
        <v>5.75787312029159E-2</v>
      </c>
      <c r="I95" s="719">
        <v>9.7814108773012665E-2</v>
      </c>
      <c r="J95" s="3697">
        <v>5.2296066609966996E-2</v>
      </c>
      <c r="K95" s="714">
        <v>3.914979915813932E-2</v>
      </c>
      <c r="L95" s="3697">
        <v>4.8030370588727278E-2</v>
      </c>
      <c r="M95" s="714">
        <v>5.0552964476696882E-2</v>
      </c>
      <c r="N95" s="3697">
        <v>5.3219086659339165E-2</v>
      </c>
      <c r="O95" s="714">
        <v>4.8578877843998169E-2</v>
      </c>
      <c r="P95" s="3697">
        <v>7.8438314145556687E-2</v>
      </c>
      <c r="Q95" s="714">
        <v>6.1458824316408478E-2</v>
      </c>
      <c r="R95" s="3697">
        <v>3.1503369034239892E-2</v>
      </c>
      <c r="S95" s="714">
        <v>7.5490034909624804E-2</v>
      </c>
      <c r="T95" s="1253">
        <v>6.4876160290257889E-2</v>
      </c>
      <c r="U95" s="732">
        <v>7.016443812241957E-2</v>
      </c>
      <c r="V95" s="1253">
        <v>5.6729331041598385E-2</v>
      </c>
      <c r="W95" s="719">
        <v>7.6902164387894656E-2</v>
      </c>
      <c r="X95" s="3697">
        <v>5.1411914161622052E-2</v>
      </c>
      <c r="Y95" s="552">
        <v>3.3347358603605048E-2</v>
      </c>
    </row>
    <row r="96" spans="1:25">
      <c r="A96" s="280">
        <f t="shared" si="2"/>
        <v>2023.03</v>
      </c>
      <c r="B96" s="705">
        <v>7.675239849783555E-2</v>
      </c>
      <c r="C96" s="3697">
        <v>7.8178313695163038E-2</v>
      </c>
      <c r="D96" s="714">
        <v>7.8215474342873792E-2</v>
      </c>
      <c r="E96" s="3697">
        <v>7.3389077992521701E-2</v>
      </c>
      <c r="F96" s="714">
        <v>6.2482537705801811E-2</v>
      </c>
      <c r="G96" s="3697">
        <v>7.8582275671276403E-2</v>
      </c>
      <c r="H96" s="390">
        <v>6.9633880946788906E-2</v>
      </c>
      <c r="I96" s="719">
        <v>9.3460075657862518E-2</v>
      </c>
      <c r="J96" s="3697">
        <v>8.2852375300471293E-2</v>
      </c>
      <c r="K96" s="714">
        <v>9.4198925328281335E-2</v>
      </c>
      <c r="L96" s="3697">
        <v>6.5151925450874781E-2</v>
      </c>
      <c r="M96" s="714">
        <v>5.8066979810545982E-2</v>
      </c>
      <c r="N96" s="3697">
        <v>5.7196373158526992E-2</v>
      </c>
      <c r="O96" s="714">
        <v>5.309193811200319E-2</v>
      </c>
      <c r="P96" s="3697">
        <v>1.9137043938733944E-2</v>
      </c>
      <c r="Q96" s="714">
        <v>4.3813291515805597E-2</v>
      </c>
      <c r="R96" s="3697">
        <v>0.29085743075560022</v>
      </c>
      <c r="S96" s="714">
        <v>7.8762373863240143E-2</v>
      </c>
      <c r="T96" s="1253">
        <v>6.3147415497193382E-2</v>
      </c>
      <c r="U96" s="732">
        <v>7.7664392147051897E-2</v>
      </c>
      <c r="V96" s="1253">
        <v>7.4458460973622964E-2</v>
      </c>
      <c r="W96" s="719">
        <v>7.2101259586417443E-2</v>
      </c>
      <c r="X96" s="3697">
        <v>8.2873962668984946E-2</v>
      </c>
      <c r="Y96" s="552">
        <v>9.3278678902575463E-2</v>
      </c>
    </row>
    <row r="97" spans="1:25">
      <c r="A97" s="280">
        <f t="shared" si="2"/>
        <v>2023.04</v>
      </c>
      <c r="B97" s="705">
        <v>8.4026898836709663E-2</v>
      </c>
      <c r="C97" s="3697">
        <v>8.5858183974304003E-2</v>
      </c>
      <c r="D97" s="714">
        <v>8.5401514895506292E-2</v>
      </c>
      <c r="E97" s="3697">
        <v>7.6925545164763243E-2</v>
      </c>
      <c r="F97" s="714">
        <v>8.3391165193748895E-2</v>
      </c>
      <c r="G97" s="3697">
        <v>7.2252721148119647E-2</v>
      </c>
      <c r="H97" s="390">
        <v>8.1093918728547987E-2</v>
      </c>
      <c r="I97" s="719">
        <v>0.10148241710511896</v>
      </c>
      <c r="J97" s="3697">
        <v>3.7882486102113422E-2</v>
      </c>
      <c r="K97" s="714">
        <v>0.10846474055538446</v>
      </c>
      <c r="L97" s="3697">
        <v>5.6188070893136599E-2</v>
      </c>
      <c r="M97" s="714">
        <v>8.6416522986146216E-2</v>
      </c>
      <c r="N97" s="3697">
        <v>6.5810002987520821E-2</v>
      </c>
      <c r="O97" s="714">
        <v>6.4505032935179951E-2</v>
      </c>
      <c r="P97" s="3697">
        <v>6.2671667260721264E-2</v>
      </c>
      <c r="Q97" s="714">
        <v>7.543857363411921E-2</v>
      </c>
      <c r="R97" s="3697">
        <v>5.0287405365865956E-2</v>
      </c>
      <c r="S97" s="714">
        <v>9.8884144160287679E-2</v>
      </c>
      <c r="T97" s="1253">
        <v>6.5936572478843658E-2</v>
      </c>
      <c r="U97" s="732">
        <v>9.1007276801094772E-2</v>
      </c>
      <c r="V97" s="1253">
        <v>6.5538621410311082E-2</v>
      </c>
      <c r="W97" s="719">
        <v>8.4006310402771511E-2</v>
      </c>
      <c r="X97" s="3697">
        <v>4.8946895483602315E-2</v>
      </c>
      <c r="Y97" s="552">
        <v>0.12649737412144235</v>
      </c>
    </row>
    <row r="98" spans="1:25">
      <c r="A98" s="280">
        <f t="shared" si="2"/>
        <v>2023.05</v>
      </c>
      <c r="B98" s="705">
        <v>7.7727529658905947E-2</v>
      </c>
      <c r="C98" s="3697">
        <v>7.9525994113905707E-2</v>
      </c>
      <c r="D98" s="714">
        <v>7.6790302504688324E-2</v>
      </c>
      <c r="E98" s="3697">
        <v>7.9573527074891404E-2</v>
      </c>
      <c r="F98" s="714">
        <v>7.2870564981044827E-2</v>
      </c>
      <c r="G98" s="3697">
        <v>7.4666967477925228E-2</v>
      </c>
      <c r="H98" s="390">
        <v>7.2698946476225768E-2</v>
      </c>
      <c r="I98" s="719">
        <v>5.805917685766282E-2</v>
      </c>
      <c r="J98" s="3697">
        <v>8.4388091717272573E-2</v>
      </c>
      <c r="K98" s="714">
        <v>7.6406002002039841E-2</v>
      </c>
      <c r="L98" s="3697">
        <v>0.11853187533968046</v>
      </c>
      <c r="M98" s="714">
        <v>8.7585618821719224E-2</v>
      </c>
      <c r="N98" s="3697">
        <v>9.0469694845678461E-2</v>
      </c>
      <c r="O98" s="714">
        <v>8.1355757402434392E-2</v>
      </c>
      <c r="P98" s="3697">
        <v>6.7291341768928925E-2</v>
      </c>
      <c r="Q98" s="714">
        <v>8.3626331585550329E-2</v>
      </c>
      <c r="R98" s="3697">
        <v>4.9130446879746437E-2</v>
      </c>
      <c r="S98" s="714">
        <v>9.334197707117986E-2</v>
      </c>
      <c r="T98" s="1253">
        <v>7.1061615670421796E-2</v>
      </c>
      <c r="U98" s="732">
        <v>7.4199805984195732E-2</v>
      </c>
      <c r="V98" s="1253">
        <v>8.6405369472773552E-2</v>
      </c>
      <c r="W98" s="719">
        <v>7.8417897296695571E-2</v>
      </c>
      <c r="X98" s="3697">
        <v>9.0324972459066455E-2</v>
      </c>
      <c r="Y98" s="552">
        <v>5.973887908338571E-2</v>
      </c>
    </row>
    <row r="99" spans="1:25">
      <c r="A99" s="280">
        <f t="shared" si="2"/>
        <v>2023.06</v>
      </c>
      <c r="B99" s="705">
        <v>5.9508319805006149E-2</v>
      </c>
      <c r="C99" s="3697">
        <v>5.8219487762752431E-2</v>
      </c>
      <c r="D99" s="714">
        <v>5.8865053264280265E-2</v>
      </c>
      <c r="E99" s="3697">
        <v>6.6211057437000731E-2</v>
      </c>
      <c r="F99" s="714">
        <v>6.6095580125910658E-2</v>
      </c>
      <c r="G99" s="3697">
        <v>5.3054454716255695E-2</v>
      </c>
      <c r="H99" s="390">
        <v>6.7789928256195342E-2</v>
      </c>
      <c r="I99" s="719">
        <v>4.149053554025417E-2</v>
      </c>
      <c r="J99" s="3697">
        <v>4.5062408441152169E-2</v>
      </c>
      <c r="K99" s="714">
        <v>4.2145715464336986E-2</v>
      </c>
      <c r="L99" s="3697">
        <v>8.0945479235625672E-2</v>
      </c>
      <c r="M99" s="714">
        <v>7.9943769623748606E-2</v>
      </c>
      <c r="N99" s="3697">
        <v>8.6014950174658766E-2</v>
      </c>
      <c r="O99" s="714">
        <v>6.4976187943151409E-2</v>
      </c>
      <c r="P99" s="3697">
        <v>0.10476310162240776</v>
      </c>
      <c r="Q99" s="714">
        <v>6.4624790473949867E-2</v>
      </c>
      <c r="R99" s="3697">
        <v>6.5712625406429748E-2</v>
      </c>
      <c r="S99" s="714">
        <v>6.2947523512251857E-2</v>
      </c>
      <c r="T99" s="1253">
        <v>6.5578166094982127E-2</v>
      </c>
      <c r="U99" s="732">
        <v>5.4775440047735158E-2</v>
      </c>
      <c r="V99" s="1253">
        <v>7.247308384520279E-2</v>
      </c>
      <c r="W99" s="719">
        <v>6.4922130899684349E-2</v>
      </c>
      <c r="X99" s="3697">
        <v>7.1844610564055778E-2</v>
      </c>
      <c r="Y99" s="552">
        <v>1.8400477503361712E-2</v>
      </c>
    </row>
    <row r="100" spans="1:25">
      <c r="A100" s="280">
        <f t="shared" si="2"/>
        <v>2023.07</v>
      </c>
      <c r="B100" s="705">
        <v>6.3448508623157984E-2</v>
      </c>
      <c r="C100" s="3697">
        <v>6.1873190529190936E-2</v>
      </c>
      <c r="D100" s="714">
        <v>6.4373705221829169E-2</v>
      </c>
      <c r="E100" s="3697">
        <v>6.0752003200670757E-2</v>
      </c>
      <c r="F100" s="714">
        <v>6.2591028386031144E-2</v>
      </c>
      <c r="G100" s="3697">
        <v>6.3077290324396795E-2</v>
      </c>
      <c r="H100" s="390">
        <v>7.7981483706818455E-2</v>
      </c>
      <c r="I100" s="719">
        <v>5.7616335031210442E-2</v>
      </c>
      <c r="J100" s="3697">
        <v>9.0400694267855464E-2</v>
      </c>
      <c r="K100" s="714">
        <v>3.0418202832588781E-2</v>
      </c>
      <c r="L100" s="3697">
        <v>3.9845880430876557E-2</v>
      </c>
      <c r="M100" s="714">
        <v>6.1559784910507398E-2</v>
      </c>
      <c r="N100" s="3697">
        <v>9.0314721921668673E-2</v>
      </c>
      <c r="O100" s="714">
        <v>5.2885622827319567E-2</v>
      </c>
      <c r="P100" s="3697">
        <v>0.12167753856041141</v>
      </c>
      <c r="Q100" s="714">
        <v>0.11190916556346497</v>
      </c>
      <c r="R100" s="3697">
        <v>6.1315888842773836E-2</v>
      </c>
      <c r="S100" s="714">
        <v>7.4513968597995195E-2</v>
      </c>
      <c r="T100" s="1253">
        <v>6.3172124167140575E-2</v>
      </c>
      <c r="U100" s="732">
        <v>6.0457830369210042E-2</v>
      </c>
      <c r="V100" s="1253">
        <v>7.1530780374620795E-2</v>
      </c>
      <c r="W100" s="719">
        <v>6.4975294003420059E-2</v>
      </c>
      <c r="X100" s="3697">
        <v>6.7197239265089248E-2</v>
      </c>
      <c r="Y100" s="552">
        <v>5.102065562795155E-2</v>
      </c>
    </row>
    <row r="101" spans="1:25">
      <c r="A101" s="280">
        <f t="shared" si="2"/>
        <v>2023.08</v>
      </c>
      <c r="B101" s="705">
        <v>0.12441637728689958</v>
      </c>
      <c r="C101" s="3697">
        <v>0.1225980935243256</v>
      </c>
      <c r="D101" s="714">
        <v>0.12241216390812393</v>
      </c>
      <c r="E101" s="3697">
        <v>0.13680632267064619</v>
      </c>
      <c r="F101" s="714">
        <v>0.14180495639256052</v>
      </c>
      <c r="G101" s="3697">
        <v>0.12326648875119295</v>
      </c>
      <c r="H101" s="390">
        <v>0.12146015126213849</v>
      </c>
      <c r="I101" s="719">
        <v>0.15590776430369946</v>
      </c>
      <c r="J101" s="3697">
        <v>8.4812261554315427E-2</v>
      </c>
      <c r="K101" s="714">
        <v>9.1423354923077849E-2</v>
      </c>
      <c r="L101" s="3697">
        <v>9.136425214477728E-2</v>
      </c>
      <c r="M101" s="714">
        <v>0.14061924861917485</v>
      </c>
      <c r="N101" s="3697">
        <v>0.15264447407955739</v>
      </c>
      <c r="O101" s="714">
        <v>0.10455341600940149</v>
      </c>
      <c r="P101" s="3697">
        <v>4.4903106446473329E-2</v>
      </c>
      <c r="Q101" s="714">
        <v>0.11586390403127922</v>
      </c>
      <c r="R101" s="3697">
        <v>8.6723481717143835E-2</v>
      </c>
      <c r="S101" s="714">
        <v>0.1244549369579282</v>
      </c>
      <c r="T101" s="1253">
        <v>9.3698798687884333E-2</v>
      </c>
      <c r="U101" s="732">
        <v>0.13654775359964932</v>
      </c>
      <c r="V101" s="1253">
        <v>9.0523375703588149E-2</v>
      </c>
      <c r="W101" s="719">
        <v>0.13786681908815779</v>
      </c>
      <c r="X101" s="3697">
        <v>8.27579440421784E-2</v>
      </c>
      <c r="Y101" s="552">
        <v>0.10651780125782051</v>
      </c>
    </row>
    <row r="102" spans="1:25">
      <c r="A102" s="280">
        <f t="shared" si="2"/>
        <v>2023.09</v>
      </c>
      <c r="B102" s="705">
        <v>0.12749750132466953</v>
      </c>
      <c r="C102" s="3697">
        <v>0.12179890371797142</v>
      </c>
      <c r="D102" s="714">
        <v>0.1307483734730237</v>
      </c>
      <c r="E102" s="3697">
        <v>0.13177804233588808</v>
      </c>
      <c r="F102" s="714">
        <v>0.12953542006163632</v>
      </c>
      <c r="G102" s="3697">
        <v>0.13658008573656444</v>
      </c>
      <c r="H102" s="390">
        <v>0.13990105394925623</v>
      </c>
      <c r="I102" s="719">
        <v>0.14347751763939032</v>
      </c>
      <c r="J102" s="3697">
        <v>0.11545670077039838</v>
      </c>
      <c r="K102" s="714">
        <v>0.15712818061115641</v>
      </c>
      <c r="L102" s="3697">
        <v>8.4570560465021538E-2</v>
      </c>
      <c r="M102" s="714">
        <v>0.12654583618268944</v>
      </c>
      <c r="N102" s="3697">
        <v>9.5420994764753519E-2</v>
      </c>
      <c r="O102" s="714">
        <v>0.10845696211607536</v>
      </c>
      <c r="P102" s="3697">
        <v>9.5803602125567711E-2</v>
      </c>
      <c r="Q102" s="714">
        <v>0.15132197180875862</v>
      </c>
      <c r="R102" s="3697">
        <v>8.1420013704336824E-2</v>
      </c>
      <c r="S102" s="714">
        <v>0.13242188172247604</v>
      </c>
      <c r="T102" s="1253">
        <v>0.11678999164466619</v>
      </c>
      <c r="U102" s="732">
        <v>0.13544100533698034</v>
      </c>
      <c r="V102" s="1253">
        <v>0.10545723139068874</v>
      </c>
      <c r="W102" s="719">
        <v>0.13428211442914151</v>
      </c>
      <c r="X102" s="3697">
        <v>8.3170682181786582E-2</v>
      </c>
      <c r="Y102" s="552">
        <v>0.14692786292614879</v>
      </c>
    </row>
    <row r="103" spans="1:25">
      <c r="A103" s="280">
        <f t="shared" si="2"/>
        <v>2023.1</v>
      </c>
      <c r="B103" s="705">
        <v>8.3017393804100115E-2</v>
      </c>
      <c r="C103" s="3697">
        <v>8.612751353074799E-2</v>
      </c>
      <c r="D103" s="714">
        <v>8.3056026132919625E-2</v>
      </c>
      <c r="E103" s="3697">
        <v>7.7189699649289345E-2</v>
      </c>
      <c r="F103" s="714">
        <v>7.3956982684887596E-2</v>
      </c>
      <c r="G103" s="3697">
        <v>7.3826180359703342E-2</v>
      </c>
      <c r="H103" s="390">
        <v>8.175730451777774E-2</v>
      </c>
      <c r="I103" s="719">
        <v>7.7055098226642915E-2</v>
      </c>
      <c r="J103" s="3697">
        <v>9.8420979210334547E-2</v>
      </c>
      <c r="K103" s="714">
        <v>0.1098543383771704</v>
      </c>
      <c r="L103" s="3697">
        <v>7.808115255535597E-2</v>
      </c>
      <c r="M103" s="714">
        <v>0.10694122278820517</v>
      </c>
      <c r="N103" s="3697">
        <v>5.1074062762589856E-2</v>
      </c>
      <c r="O103" s="714">
        <v>7.083367635543425E-2</v>
      </c>
      <c r="P103" s="3697">
        <v>0.12643450178875848</v>
      </c>
      <c r="Q103" s="714">
        <v>9.3010632048224462E-2</v>
      </c>
      <c r="R103" s="3697">
        <v>6.5981555300306027E-2</v>
      </c>
      <c r="S103" s="714">
        <v>8.7853248673965156E-2</v>
      </c>
      <c r="T103" s="1253">
        <v>7.6672127056956141E-2</v>
      </c>
      <c r="U103" s="732">
        <v>8.5447005561218425E-2</v>
      </c>
      <c r="V103" s="1253">
        <v>7.7704378921720663E-2</v>
      </c>
      <c r="W103" s="719">
        <v>8.8110343354632192E-2</v>
      </c>
      <c r="X103" s="3697">
        <v>6.6211758973207191E-2</v>
      </c>
      <c r="Y103" s="552">
        <v>7.6189998640670442E-2</v>
      </c>
    </row>
    <row r="104" spans="1:25">
      <c r="A104" s="280">
        <f t="shared" si="2"/>
        <v>2023.11</v>
      </c>
      <c r="B104" s="705">
        <v>0.1281069017691574</v>
      </c>
      <c r="C104" s="3697">
        <v>0.1290547952761214</v>
      </c>
      <c r="D104" s="714">
        <v>0.13011902206014558</v>
      </c>
      <c r="E104" s="3697">
        <v>0.11811740816823679</v>
      </c>
      <c r="F104" s="714">
        <v>0.12825834239127931</v>
      </c>
      <c r="G104" s="3697">
        <v>0.12757877971198539</v>
      </c>
      <c r="H104" s="390">
        <v>0.1195271825339812</v>
      </c>
      <c r="I104" s="3697">
        <v>0.15666966906161028</v>
      </c>
      <c r="J104" s="3697">
        <v>0.1175875852981707</v>
      </c>
      <c r="K104" s="714">
        <v>0.10014287134077415</v>
      </c>
      <c r="L104" s="3697">
        <v>7.0679108910828958E-2</v>
      </c>
      <c r="M104" s="714">
        <v>0.12445540071905037</v>
      </c>
      <c r="N104" s="3697">
        <v>0.15872080438836478</v>
      </c>
      <c r="O104" s="714">
        <v>0.10388907945616888</v>
      </c>
      <c r="P104" s="3697">
        <v>0.1520739673725422</v>
      </c>
      <c r="Q104" s="714">
        <v>0.13189542734544291</v>
      </c>
      <c r="R104" s="3697">
        <v>8.3100203523217342E-2</v>
      </c>
      <c r="S104" s="714">
        <v>0.12029493159109483</v>
      </c>
      <c r="T104" s="1253">
        <v>0.11514400163206528</v>
      </c>
      <c r="U104" s="732">
        <v>0.13785517734266395</v>
      </c>
      <c r="V104" s="1253">
        <v>0.10188937743270809</v>
      </c>
      <c r="W104" s="719">
        <v>0.134036155012214</v>
      </c>
      <c r="X104" s="3697">
        <v>0.10056235889450726</v>
      </c>
      <c r="Y104" s="552">
        <v>0.12808230560574829</v>
      </c>
    </row>
    <row r="105" spans="1:25">
      <c r="A105" s="280">
        <f t="shared" si="2"/>
        <v>2023.12</v>
      </c>
      <c r="B105" s="705">
        <v>0.25465674984236841</v>
      </c>
      <c r="C105" s="3697">
        <v>0.25084997475967419</v>
      </c>
      <c r="D105" s="714">
        <v>0.25698049898302866</v>
      </c>
      <c r="E105" s="3697">
        <v>0.25228747326784617</v>
      </c>
      <c r="F105" s="714">
        <v>0.28354861333531112</v>
      </c>
      <c r="G105" s="3697">
        <v>0.2584609455383633</v>
      </c>
      <c r="H105" s="390">
        <v>0.24308679453367188</v>
      </c>
      <c r="I105" s="3697">
        <v>0.2968290285561308</v>
      </c>
      <c r="J105" s="3697">
        <v>0.20231166942397705</v>
      </c>
      <c r="K105" s="714">
        <v>0.17244429441946085</v>
      </c>
      <c r="L105" s="3697">
        <v>0.1381655930594774</v>
      </c>
      <c r="M105" s="714">
        <v>0.30678789715516452</v>
      </c>
      <c r="N105" s="3697">
        <v>0.32593997973951128</v>
      </c>
      <c r="O105" s="714">
        <v>0.31656075532420647</v>
      </c>
      <c r="P105" s="3697">
        <v>0.15587821307886496</v>
      </c>
      <c r="Q105" s="714">
        <v>0.20191194140750635</v>
      </c>
      <c r="R105" s="3697">
        <v>6.2175809181906683E-2</v>
      </c>
      <c r="S105" s="714">
        <v>0.21585935246696697</v>
      </c>
      <c r="T105" s="1253">
        <v>0.32709963521289676</v>
      </c>
      <c r="U105" s="732">
        <v>0.29458384810198668</v>
      </c>
      <c r="V105" s="1253">
        <v>0.1405093137826825</v>
      </c>
      <c r="W105" s="719">
        <v>0.28258759870910533</v>
      </c>
      <c r="X105" s="3697">
        <v>0.20679933015519825</v>
      </c>
      <c r="Y105" s="552">
        <v>0.16229288187371593</v>
      </c>
    </row>
    <row r="106" spans="1:25">
      <c r="A106" s="280">
        <f t="shared" si="2"/>
        <v>2024.01</v>
      </c>
      <c r="B106" s="705">
        <v>0.20614225288961063</v>
      </c>
      <c r="C106" s="3697">
        <v>0.19551815973106401</v>
      </c>
      <c r="D106" s="714">
        <v>0.21203681979011701</v>
      </c>
      <c r="E106" s="3697">
        <v>0.21711863705681056</v>
      </c>
      <c r="F106" s="714">
        <v>0.19503902622166902</v>
      </c>
      <c r="G106" s="3697">
        <v>0.22292733205987769</v>
      </c>
      <c r="H106" s="390">
        <v>0.24190884114252698</v>
      </c>
      <c r="I106" s="3697">
        <v>0.20396641243753511</v>
      </c>
      <c r="J106" s="3697">
        <v>0.21019055606826775</v>
      </c>
      <c r="K106" s="714">
        <v>0.11931633869013436</v>
      </c>
      <c r="L106" s="3697">
        <v>0.14008064634734807</v>
      </c>
      <c r="M106" s="714">
        <v>0.22328280027881986</v>
      </c>
      <c r="N106" s="3697">
        <v>0.2045413274534742</v>
      </c>
      <c r="O106" s="714">
        <v>0.26288760634769148</v>
      </c>
      <c r="P106" s="3697">
        <v>0.2510072489062467</v>
      </c>
      <c r="Q106" s="714">
        <v>0.24010468746217795</v>
      </c>
      <c r="R106" s="3697">
        <v>8.6043105031010647E-3</v>
      </c>
      <c r="S106" s="714">
        <v>0.1944866533715397</v>
      </c>
      <c r="T106" s="1253">
        <v>0.44363901300209152</v>
      </c>
      <c r="U106" s="732">
        <v>0.21139807207220285</v>
      </c>
      <c r="V106" s="1253">
        <v>0.18803096867105085</v>
      </c>
      <c r="W106" s="719">
        <v>0.2021648871207129</v>
      </c>
      <c r="X106" s="3697">
        <v>0.26571935959801452</v>
      </c>
      <c r="Y106" s="552">
        <v>0.16207762605895404</v>
      </c>
    </row>
    <row r="107" spans="1:25">
      <c r="A107" s="280">
        <f t="shared" si="2"/>
        <v>2024.02</v>
      </c>
      <c r="B107" s="705">
        <v>0.13240676053524769</v>
      </c>
      <c r="C107" s="3697">
        <v>0.14973905493530637</v>
      </c>
      <c r="D107" s="714">
        <v>0.11889319282549415</v>
      </c>
      <c r="E107" s="3697">
        <v>0.1169122273133536</v>
      </c>
      <c r="F107" s="714">
        <v>0.1089586501875468</v>
      </c>
      <c r="G107" s="3697">
        <v>0.13535663533264719</v>
      </c>
      <c r="H107" s="390">
        <v>0.11310171215911047</v>
      </c>
      <c r="I107" s="3697">
        <v>0.11898023739704788</v>
      </c>
      <c r="J107" s="3697">
        <v>0.17672625792051155</v>
      </c>
      <c r="K107" s="714">
        <v>7.2267035324580009E-2</v>
      </c>
      <c r="L107" s="3697">
        <v>0.20219922770789878</v>
      </c>
      <c r="M107" s="714">
        <v>0.10327709841628274</v>
      </c>
      <c r="N107" s="3697">
        <v>0.13574698040764144</v>
      </c>
      <c r="O107" s="714">
        <v>0.21612286381305124</v>
      </c>
      <c r="P107" s="3697">
        <v>0.24712652969064064</v>
      </c>
      <c r="Q107" s="714">
        <v>8.578353610364986E-2</v>
      </c>
      <c r="R107" s="3697">
        <v>9.9324303085305043E-2</v>
      </c>
      <c r="S107" s="714">
        <v>0.11160883525558996</v>
      </c>
      <c r="T107" s="1253">
        <v>0.16587285130897089</v>
      </c>
      <c r="U107" s="732">
        <v>0.11879766613059828</v>
      </c>
      <c r="V107" s="1253">
        <v>0.17599156647778358</v>
      </c>
      <c r="W107" s="719">
        <v>0.12290140839705677</v>
      </c>
      <c r="X107" s="3697">
        <v>0.21106121889298324</v>
      </c>
      <c r="Y107" s="552">
        <v>8.6935089753514383E-2</v>
      </c>
    </row>
    <row r="108" spans="1:25">
      <c r="A108" s="280">
        <f t="shared" si="2"/>
        <v>2024.03</v>
      </c>
      <c r="B108" s="705">
        <v>0.11009700156540236</v>
      </c>
      <c r="C108" s="3697">
        <v>0.11482187140392397</v>
      </c>
      <c r="D108" s="714">
        <v>0.11279330233265372</v>
      </c>
      <c r="E108" s="3697">
        <v>8.766686708165472E-2</v>
      </c>
      <c r="F108" s="714">
        <v>0.10345253032237367</v>
      </c>
      <c r="G108" s="3697">
        <v>9.3075061656613833E-2</v>
      </c>
      <c r="H108" s="390">
        <v>0.1046066580957834</v>
      </c>
      <c r="I108" s="3697">
        <v>0.10549974664036155</v>
      </c>
      <c r="J108" s="3697">
        <v>0.12306112480294851</v>
      </c>
      <c r="K108" s="714">
        <v>0.1092480938855509</v>
      </c>
      <c r="L108" s="3697">
        <v>0.13253794921283046</v>
      </c>
      <c r="M108" s="714">
        <v>5.0293831338804385E-2</v>
      </c>
      <c r="N108" s="3697">
        <v>0.12210968646283571</v>
      </c>
      <c r="O108" s="714">
        <v>0.12966542296899819</v>
      </c>
      <c r="P108" s="3697">
        <v>0.15944605767396358</v>
      </c>
      <c r="Q108" s="714">
        <v>8.5071819322081632E-2</v>
      </c>
      <c r="R108" s="3697">
        <v>0.52710235382161064</v>
      </c>
      <c r="S108" s="714">
        <v>8.3129993912788969E-2</v>
      </c>
      <c r="T108" s="1253">
        <v>9.5664293859961891E-2</v>
      </c>
      <c r="U108" s="732">
        <v>9.7553547919904338E-2</v>
      </c>
      <c r="V108" s="1253">
        <v>0.15475976203433084</v>
      </c>
      <c r="W108" s="719">
        <v>9.4120479753699193E-2</v>
      </c>
      <c r="X108" s="3697">
        <v>0.18126817923582839</v>
      </c>
      <c r="Y108" s="552">
        <v>0.11142630726486935</v>
      </c>
    </row>
    <row r="109" spans="1:25">
      <c r="A109" s="280">
        <f t="shared" si="2"/>
        <v>2024.04</v>
      </c>
      <c r="B109" s="705">
        <v>8.8319207606050831E-2</v>
      </c>
      <c r="C109" s="3697">
        <v>9.2271810127675602E-2</v>
      </c>
      <c r="D109" s="714">
        <v>8.7635860887988581E-2</v>
      </c>
      <c r="E109" s="3697">
        <v>9.1020858661966964E-2</v>
      </c>
      <c r="F109" s="714">
        <v>6.2869625393418893E-2</v>
      </c>
      <c r="G109" s="3697">
        <v>8.1495061408456415E-2</v>
      </c>
      <c r="H109" s="390">
        <v>8.4532521256315718E-2</v>
      </c>
      <c r="I109" s="3697">
        <v>6.0173726860508037E-2</v>
      </c>
      <c r="J109" s="3697">
        <v>5.4870844822912268E-2</v>
      </c>
      <c r="K109" s="714">
        <v>9.6292658665280362E-2</v>
      </c>
      <c r="L109" s="3697">
        <v>0.356336715699481</v>
      </c>
      <c r="M109" s="714">
        <v>6.4998180253147186E-2</v>
      </c>
      <c r="N109" s="3697">
        <v>9.1328300346209312E-2</v>
      </c>
      <c r="O109" s="714">
        <v>6.2564469822129931E-2</v>
      </c>
      <c r="P109" s="3697">
        <v>0.14168303361914703</v>
      </c>
      <c r="Q109" s="714">
        <v>7.1419950031621271E-2</v>
      </c>
      <c r="R109" s="3697">
        <v>8.5913890354640809E-2</v>
      </c>
      <c r="S109" s="714">
        <v>7.2873111270730817E-2</v>
      </c>
      <c r="T109" s="1253">
        <v>5.6819747908974705E-2</v>
      </c>
      <c r="U109" s="732">
        <v>6.2681747568250623E-2</v>
      </c>
      <c r="V109" s="1253">
        <v>0.16545473479996264</v>
      </c>
      <c r="W109" s="719">
        <v>6.2984383986520287E-2</v>
      </c>
      <c r="X109" s="3697">
        <v>0.18394088937479136</v>
      </c>
      <c r="Y109" s="552">
        <v>9.946923329538615E-2</v>
      </c>
    </row>
    <row r="110" spans="1:25">
      <c r="A110" s="280">
        <f t="shared" si="2"/>
        <v>2024.05</v>
      </c>
      <c r="B110" s="705">
        <v>4.176327882665154E-2</v>
      </c>
      <c r="C110" s="3697">
        <v>4.3005823851510305E-2</v>
      </c>
      <c r="D110" s="714">
        <v>4.0158781762211548E-2</v>
      </c>
      <c r="E110" s="3697">
        <v>4.1700910000279645E-2</v>
      </c>
      <c r="F110" s="714">
        <v>3.7307587374065143E-2</v>
      </c>
      <c r="G110" s="3697">
        <v>4.2669612632195264E-2</v>
      </c>
      <c r="H110" s="390">
        <v>4.520328397786022E-2</v>
      </c>
      <c r="I110" s="3697">
        <v>4.847671450563551E-2</v>
      </c>
      <c r="J110" s="3697">
        <v>6.6823982267512516E-2</v>
      </c>
      <c r="K110" s="714">
        <v>3.5472959535472359E-2</v>
      </c>
      <c r="L110" s="3697">
        <v>2.5278571385486392E-2</v>
      </c>
      <c r="M110" s="714">
        <v>3.2283096834790692E-2</v>
      </c>
      <c r="N110" s="3697">
        <v>6.8613799837740075E-3</v>
      </c>
      <c r="O110" s="714">
        <v>3.9785964289567266E-2</v>
      </c>
      <c r="P110" s="3697">
        <v>8.2130796670246031E-2</v>
      </c>
      <c r="Q110" s="714">
        <v>4.555655275053927E-2</v>
      </c>
      <c r="R110" s="3697">
        <v>7.6396346642114699E-2</v>
      </c>
      <c r="S110" s="714">
        <v>5.5476066423501003E-2</v>
      </c>
      <c r="T110" s="1253">
        <v>4.2997673570636774E-2</v>
      </c>
      <c r="U110" s="732">
        <v>3.9051904218307509E-2</v>
      </c>
      <c r="V110" s="1253">
        <v>4.9566550957512057E-2</v>
      </c>
      <c r="W110" s="719">
        <v>3.7342274649731388E-2</v>
      </c>
      <c r="X110" s="3697">
        <v>4.0183370432795629E-2</v>
      </c>
      <c r="Y110" s="552">
        <v>7.1637622801571155E-2</v>
      </c>
    </row>
    <row r="111" spans="1:25">
      <c r="A111" s="280">
        <f t="shared" si="2"/>
        <v>2024.06</v>
      </c>
      <c r="B111" s="705">
        <v>4.5770657883027477E-2</v>
      </c>
      <c r="C111" s="3697">
        <v>4.3535999562241745E-2</v>
      </c>
      <c r="D111" s="714">
        <v>4.737693199429116E-2</v>
      </c>
      <c r="E111" s="3697">
        <v>4.759406961475765E-2</v>
      </c>
      <c r="F111" s="714">
        <v>4.3818115281907044E-2</v>
      </c>
      <c r="G111" s="3697">
        <v>5.0647807869153016E-2</v>
      </c>
      <c r="H111" s="390">
        <v>4.9534044474444983E-2</v>
      </c>
      <c r="I111" s="3697">
        <v>3.0055444248315188E-2</v>
      </c>
      <c r="J111" s="3697">
        <v>2.0649033748353585E-2</v>
      </c>
      <c r="K111" s="714">
        <v>2.7214281003234531E-2</v>
      </c>
      <c r="L111" s="3697">
        <v>0.14272327903171456</v>
      </c>
      <c r="M111" s="714">
        <v>2.2860236331405437E-2</v>
      </c>
      <c r="N111" s="3697">
        <v>4.7452586346504066E-2</v>
      </c>
      <c r="O111" s="714">
        <v>3.9297759642266561E-2</v>
      </c>
      <c r="P111" s="3697">
        <v>5.31256822633972E-2</v>
      </c>
      <c r="Q111" s="714">
        <v>5.6154872277499157E-2</v>
      </c>
      <c r="R111" s="3697">
        <v>5.7359318663547709E-2</v>
      </c>
      <c r="S111" s="714">
        <v>6.2763661407739813E-2</v>
      </c>
      <c r="T111" s="1253">
        <v>2.7549819971115053E-2</v>
      </c>
      <c r="U111" s="732">
        <v>3.0851847403645882E-2</v>
      </c>
      <c r="V111" s="1253">
        <v>8.6868820779622657E-2</v>
      </c>
      <c r="W111" s="719">
        <v>3.6515891953954771E-2</v>
      </c>
      <c r="X111" s="3697">
        <v>8.0556476107178865E-2</v>
      </c>
      <c r="Y111" s="552">
        <v>4.4462439153231337E-2</v>
      </c>
    </row>
    <row r="112" spans="1:25">
      <c r="A112" s="280">
        <f t="shared" si="2"/>
        <v>2024.07</v>
      </c>
      <c r="B112" s="705">
        <v>4.0309336951463992E-2</v>
      </c>
      <c r="C112" s="3697">
        <v>4.0371942876526123E-2</v>
      </c>
      <c r="D112" s="714">
        <v>3.9323157743564652E-2</v>
      </c>
      <c r="E112" s="3697">
        <v>3.5859446279410845E-2</v>
      </c>
      <c r="F112" s="714">
        <v>4.606758600499572E-2</v>
      </c>
      <c r="G112" s="3697">
        <v>4.5914975417206128E-2</v>
      </c>
      <c r="H112" s="390">
        <v>4.1609773460840715E-2</v>
      </c>
      <c r="I112" s="3697">
        <v>3.2060804275465093E-2</v>
      </c>
      <c r="J112" s="3697">
        <v>6.1170224155821407E-2</v>
      </c>
      <c r="K112" s="714">
        <v>1.631616589836038E-2</v>
      </c>
      <c r="L112" s="3697">
        <v>6.0054960847234051E-2</v>
      </c>
      <c r="M112" s="714">
        <v>3.4534977799788313E-2</v>
      </c>
      <c r="N112" s="3697">
        <v>5.8496463601337201E-2</v>
      </c>
      <c r="O112" s="714">
        <v>2.6097315634777019E-2</v>
      </c>
      <c r="P112" s="3697">
        <v>3.5402533680867432E-2</v>
      </c>
      <c r="Q112" s="714">
        <v>5.6666188787232619E-2</v>
      </c>
      <c r="R112" s="3697">
        <v>4.1933521675908025E-2</v>
      </c>
      <c r="S112" s="714">
        <v>6.4667196878988698E-2</v>
      </c>
      <c r="T112" s="1253">
        <v>3.4543734738871734E-2</v>
      </c>
      <c r="U112" s="732">
        <v>3.1842522580828536E-2</v>
      </c>
      <c r="V112" s="1253">
        <v>6.3995930061153228E-2</v>
      </c>
      <c r="W112" s="719">
        <v>3.7855879288956507E-2</v>
      </c>
      <c r="X112" s="3697">
        <v>4.3322728984726888E-2</v>
      </c>
      <c r="Y112" s="552">
        <v>5.0751391444430638E-2</v>
      </c>
    </row>
    <row r="113" spans="1:25">
      <c r="A113" s="280">
        <f t="shared" si="2"/>
        <v>2024.08</v>
      </c>
      <c r="B113" s="705">
        <v>4.1722732793725292E-2</v>
      </c>
      <c r="C113" s="3697">
        <v>4.1377770776646283E-2</v>
      </c>
      <c r="D113" s="714">
        <v>3.9069410474624977E-2</v>
      </c>
      <c r="E113" s="3697">
        <v>5.0454589804555638E-2</v>
      </c>
      <c r="F113" s="714">
        <v>4.3657400949174807E-2</v>
      </c>
      <c r="G113" s="3697">
        <v>4.5173898717675742E-2</v>
      </c>
      <c r="H113" s="390">
        <v>4.6117444825600984E-2</v>
      </c>
      <c r="I113" s="3697">
        <v>3.6264048591670095E-2</v>
      </c>
      <c r="J113" s="3697">
        <v>3.0414847968530889E-2</v>
      </c>
      <c r="K113" s="714">
        <v>2.0560325493601983E-2</v>
      </c>
      <c r="L113" s="3697">
        <v>7.0491292668431571E-2</v>
      </c>
      <c r="M113" s="714">
        <v>4.2629444849597631E-2</v>
      </c>
      <c r="N113" s="3697">
        <v>4.1391942682814653E-2</v>
      </c>
      <c r="O113" s="714">
        <v>5.1010580414407647E-2</v>
      </c>
      <c r="P113" s="3697">
        <v>4.8527481681217788E-2</v>
      </c>
      <c r="Q113" s="714">
        <v>3.6791723513801333E-2</v>
      </c>
      <c r="R113" s="3697">
        <v>6.5683215487836177E-2</v>
      </c>
      <c r="S113" s="714">
        <v>4.8427728605966225E-2</v>
      </c>
      <c r="T113" s="1253">
        <v>2.2731471386842284E-2</v>
      </c>
      <c r="U113" s="732">
        <v>3.1813685162039196E-2</v>
      </c>
      <c r="V113" s="1253">
        <v>6.514465575812145E-2</v>
      </c>
      <c r="W113" s="719">
        <v>4.1202855730913646E-2</v>
      </c>
      <c r="X113" s="3697">
        <v>5.8897168076665674E-2</v>
      </c>
      <c r="Y113" s="552">
        <v>1.5275183973345818E-2</v>
      </c>
    </row>
    <row r="114" spans="1:25">
      <c r="A114" s="280">
        <f t="shared" si="2"/>
        <v>2024.09</v>
      </c>
      <c r="B114" s="705">
        <v>3.4692081048066425E-2</v>
      </c>
      <c r="C114" s="3697">
        <v>3.7177512181158612E-2</v>
      </c>
      <c r="D114" s="714">
        <v>3.2135128597617024E-2</v>
      </c>
      <c r="E114" s="3697">
        <v>3.4199871840186358E-2</v>
      </c>
      <c r="F114" s="714">
        <v>3.2656876874425755E-2</v>
      </c>
      <c r="G114" s="3697">
        <v>3.031806617753996E-2</v>
      </c>
      <c r="H114" s="390">
        <v>3.7263769835657046E-2</v>
      </c>
      <c r="I114" s="3697">
        <v>2.3038076514363404E-2</v>
      </c>
      <c r="J114" s="3697">
        <v>2.1987023835846609E-2</v>
      </c>
      <c r="K114" s="714">
        <v>6.04151158151498E-2</v>
      </c>
      <c r="L114" s="3697">
        <v>7.3070218577758306E-2</v>
      </c>
      <c r="M114" s="714">
        <v>2.6935796773653653E-2</v>
      </c>
      <c r="N114" s="3697">
        <v>3.3347438900657833E-2</v>
      </c>
      <c r="O114" s="714">
        <v>3.4140365830270802E-2</v>
      </c>
      <c r="P114" s="3697">
        <v>2.9796184203833009E-2</v>
      </c>
      <c r="Q114" s="714">
        <v>2.1321462192295249E-2</v>
      </c>
      <c r="R114" s="3697">
        <v>4.310675577226819E-2</v>
      </c>
      <c r="S114" s="714">
        <v>3.6562967878579711E-2</v>
      </c>
      <c r="T114" s="1253">
        <v>3.3422599219889548E-2</v>
      </c>
      <c r="U114" s="732">
        <v>3.0323439007980069E-2</v>
      </c>
      <c r="V114" s="1253">
        <v>4.5727064519067051E-2</v>
      </c>
      <c r="W114" s="719">
        <v>3.262205751650904E-2</v>
      </c>
      <c r="X114" s="3697">
        <v>4.5316488133862132E-2</v>
      </c>
      <c r="Y114" s="552">
        <v>2.9391660114567397E-2</v>
      </c>
    </row>
    <row r="115" spans="1:25">
      <c r="A115" s="280">
        <f t="shared" si="2"/>
        <v>2024.1</v>
      </c>
      <c r="B115" s="705">
        <v>2.6917380413114644E-2</v>
      </c>
      <c r="C115" s="3697">
        <v>2.8202663042794729E-2</v>
      </c>
      <c r="D115" s="714">
        <v>2.5654479044446621E-2</v>
      </c>
      <c r="E115" s="3697">
        <v>2.5513946084953609E-2</v>
      </c>
      <c r="F115" s="714">
        <v>2.5623967395638658E-2</v>
      </c>
      <c r="G115" s="3697">
        <v>2.2444358129773745E-2</v>
      </c>
      <c r="H115" s="390">
        <v>3.2338033151974921E-2</v>
      </c>
      <c r="I115" s="3697">
        <v>1.1999703973553988E-2</v>
      </c>
      <c r="J115" s="3697">
        <v>2.9969343494420597E-2</v>
      </c>
      <c r="K115" s="714">
        <v>4.4253039837345964E-2</v>
      </c>
      <c r="L115" s="3697">
        <v>5.3945029053238391E-2</v>
      </c>
      <c r="M115" s="714">
        <v>2.6132638058093072E-2</v>
      </c>
      <c r="N115" s="3697">
        <v>3.5631681705929008E-2</v>
      </c>
      <c r="O115" s="714">
        <v>1.2171047817975955E-2</v>
      </c>
      <c r="P115" s="3697">
        <v>2.0599157009209668E-2</v>
      </c>
      <c r="Q115" s="714">
        <v>2.8640043003750781E-2</v>
      </c>
      <c r="R115" s="3697">
        <v>3.4519737480717128E-2</v>
      </c>
      <c r="S115" s="714">
        <v>4.2606311415518405E-2</v>
      </c>
      <c r="T115" s="1253">
        <v>2.8077985294328478E-2</v>
      </c>
      <c r="U115" s="732">
        <v>2.0625902139223884E-2</v>
      </c>
      <c r="V115" s="1253">
        <v>4.2604515547954636E-2</v>
      </c>
      <c r="W115" s="719">
        <v>2.9178168076062105E-2</v>
      </c>
      <c r="X115" s="3697">
        <v>2.6962073534600783E-2</v>
      </c>
      <c r="Y115" s="552">
        <v>1.3624749810563275E-2</v>
      </c>
    </row>
    <row r="116" spans="1:25">
      <c r="A116" s="280">
        <f t="shared" si="2"/>
        <v>2024.11</v>
      </c>
      <c r="B116" s="705">
        <v>2.4265560755083682E-2</v>
      </c>
      <c r="C116" s="3697">
        <v>2.6013303472445681E-2</v>
      </c>
      <c r="D116" s="714">
        <v>2.3137163776276948E-2</v>
      </c>
      <c r="E116" s="3697">
        <v>1.9266449044730294E-2</v>
      </c>
      <c r="F116" s="714">
        <v>1.7763802482029467E-2</v>
      </c>
      <c r="G116" s="3697">
        <v>2.1378599320499792E-2</v>
      </c>
      <c r="H116" s="390">
        <v>3.2889952025316749E-2</v>
      </c>
      <c r="I116" s="3697">
        <v>9.0674988552563729E-3</v>
      </c>
      <c r="J116" s="3697">
        <v>3.9961865256872953E-2</v>
      </c>
      <c r="K116" s="714">
        <v>1.8948908785166418E-2</v>
      </c>
      <c r="L116" s="3697">
        <v>4.4631608481369378E-2</v>
      </c>
      <c r="M116" s="714">
        <v>1.5083364412655786E-2</v>
      </c>
      <c r="N116" s="3697">
        <v>2.9231508354561342E-2</v>
      </c>
      <c r="O116" s="714">
        <v>3.4152097544829951E-2</v>
      </c>
      <c r="P116" s="3697">
        <v>1.5384353804874351E-2</v>
      </c>
      <c r="Q116" s="714">
        <v>3.011949661453972E-2</v>
      </c>
      <c r="R116" s="3697">
        <v>5.111355499672432E-2</v>
      </c>
      <c r="S116" s="714">
        <v>3.6159490830821595E-2</v>
      </c>
      <c r="T116" s="1253">
        <v>2.2834606524661849E-2</v>
      </c>
      <c r="U116" s="732">
        <v>1.5942283759021514E-2</v>
      </c>
      <c r="V116" s="1253">
        <v>4.3887150872877756E-2</v>
      </c>
      <c r="W116" s="719">
        <v>2.7148338562957175E-2</v>
      </c>
      <c r="X116" s="3697">
        <v>3.5436502986155194E-2</v>
      </c>
      <c r="Y116" s="552">
        <v>-1.2019970319950279E-2</v>
      </c>
    </row>
    <row r="117" spans="1:25">
      <c r="A117" s="280">
        <f t="shared" si="2"/>
        <v>2024.12</v>
      </c>
      <c r="B117" s="705">
        <v>2.7041040514633741E-2</v>
      </c>
      <c r="C117" s="3697">
        <v>2.8655273911321277E-2</v>
      </c>
      <c r="D117" s="714">
        <v>2.5251585398556875E-2</v>
      </c>
      <c r="E117" s="3697">
        <v>2.7169856599032816E-2</v>
      </c>
      <c r="F117" s="714">
        <v>2.9301617430987692E-2</v>
      </c>
      <c r="G117" s="3697">
        <v>2.3062593615844174E-2</v>
      </c>
      <c r="H117" s="390">
        <v>2.6495819913852747E-2</v>
      </c>
      <c r="I117" s="3697">
        <v>2.2097718363609964E-2</v>
      </c>
      <c r="J117" s="3697">
        <v>2.5012594802110044E-2</v>
      </c>
      <c r="K117" s="714">
        <v>1.5509065923212884E-2</v>
      </c>
      <c r="L117" s="3697">
        <v>5.2829844513587965E-2</v>
      </c>
      <c r="M117" s="714">
        <v>9.4692618896123903E-3</v>
      </c>
      <c r="N117" s="3697">
        <v>2.1050386604844373E-2</v>
      </c>
      <c r="O117" s="714">
        <v>2.2438671828936441E-2</v>
      </c>
      <c r="P117" s="3697">
        <v>5.0450070044097073E-2</v>
      </c>
      <c r="Q117" s="714">
        <v>2.7912340056739593E-2</v>
      </c>
      <c r="R117" s="3697">
        <v>2.2197879484066263E-2</v>
      </c>
      <c r="S117" s="714">
        <v>4.5830671374142984E-2</v>
      </c>
      <c r="T117" s="1253">
        <v>2.1408186567451803E-2</v>
      </c>
      <c r="U117" s="732">
        <v>1.9213106795857637E-2</v>
      </c>
      <c r="V117" s="1253">
        <v>4.445131088751797E-2</v>
      </c>
      <c r="W117" s="719">
        <v>3.1972815061501292E-2</v>
      </c>
      <c r="X117" s="3697">
        <v>3.3739790036057205E-2</v>
      </c>
      <c r="Y117" s="552">
        <v>-1.4049630005396607E-2</v>
      </c>
    </row>
    <row r="118" spans="1:25">
      <c r="A118" s="280">
        <f t="shared" si="2"/>
        <v>2025.01</v>
      </c>
      <c r="B118" s="705">
        <v>2.2110480136651844E-2</v>
      </c>
      <c r="C118" s="3697">
        <v>2.0234114180589513E-2</v>
      </c>
      <c r="D118" s="714">
        <v>2.3479695538445755E-2</v>
      </c>
      <c r="E118" s="3697">
        <v>2.5850285224909397E-2</v>
      </c>
      <c r="F118" s="714">
        <v>2.4796521174364372E-2</v>
      </c>
      <c r="G118" s="3697">
        <v>1.9666407829216581E-2</v>
      </c>
      <c r="H118" s="390">
        <v>2.5060177814997253E-2</v>
      </c>
      <c r="I118" s="3697">
        <v>1.8498320946717328E-2</v>
      </c>
      <c r="J118" s="3697">
        <v>2.4233449747654623E-2</v>
      </c>
      <c r="K118" s="714">
        <v>-6.5963280913119426E-3</v>
      </c>
      <c r="L118" s="3697">
        <v>4.0308541544919585E-2</v>
      </c>
      <c r="M118" s="714">
        <v>1.6165215649471598E-2</v>
      </c>
      <c r="N118" s="3697">
        <v>2.3775747597429842E-2</v>
      </c>
      <c r="O118" s="714">
        <v>1.2285624409013929E-2</v>
      </c>
      <c r="P118" s="3697">
        <v>2.3472943719745398E-2</v>
      </c>
      <c r="Q118" s="714">
        <v>2.4627517339272265E-2</v>
      </c>
      <c r="R118" s="3697">
        <v>5.4527992862853925E-3</v>
      </c>
      <c r="S118" s="714">
        <v>5.3381630356836851E-2</v>
      </c>
      <c r="T118" s="1253">
        <v>2.4695425295029994E-2</v>
      </c>
      <c r="U118" s="732">
        <v>1.5297125085766083E-2</v>
      </c>
      <c r="V118" s="1253">
        <v>3.7872728367531749E-2</v>
      </c>
      <c r="W118" s="719">
        <v>2.3976894312394359E-2</v>
      </c>
      <c r="X118" s="3697">
        <v>2.6133785432829404E-2</v>
      </c>
      <c r="Y118" s="552">
        <v>3.55954073908471E-3</v>
      </c>
    </row>
    <row r="119" spans="1:25">
      <c r="A119" s="280">
        <f t="shared" si="2"/>
        <v>2025.02</v>
      </c>
      <c r="B119" s="705">
        <v>2.4016274307517849E-2</v>
      </c>
      <c r="C119" s="3697">
        <v>2.2348251105860584E-2</v>
      </c>
      <c r="D119" s="714">
        <v>2.5049293186714339E-2</v>
      </c>
      <c r="E119" s="3697">
        <v>2.5751567315128954E-2</v>
      </c>
      <c r="F119" s="714">
        <v>1.9112393132259653E-2</v>
      </c>
      <c r="G119" s="3697">
        <v>2.6714263653926817E-2</v>
      </c>
      <c r="H119" s="390">
        <v>3.20825549934729E-2</v>
      </c>
      <c r="I119" s="3697">
        <v>3.2439753462222498E-2</v>
      </c>
      <c r="J119" s="3697">
        <v>1.3083664420051822E-2</v>
      </c>
      <c r="K119" s="714">
        <v>4.1975595691727818E-3</v>
      </c>
      <c r="L119" s="3697">
        <v>3.7490861796434904E-2</v>
      </c>
      <c r="M119" s="714">
        <v>1.0126847458599597E-2</v>
      </c>
      <c r="N119" s="3697">
        <v>2.0542075015488548E-2</v>
      </c>
      <c r="O119" s="714">
        <v>1.7282663955849653E-2</v>
      </c>
      <c r="P119" s="3697">
        <v>2.2850494732028714E-2</v>
      </c>
      <c r="Q119" s="714">
        <v>2.9291446319958281E-2</v>
      </c>
      <c r="R119" s="3697">
        <v>2.338242736370888E-2</v>
      </c>
      <c r="S119" s="714">
        <v>2.2590018681321933E-2</v>
      </c>
      <c r="T119" s="1253">
        <v>2.9252586505921441E-2</v>
      </c>
      <c r="U119" s="732">
        <v>2.1147654366139079E-2</v>
      </c>
      <c r="V119" s="1253">
        <v>3.0753683425740919E-2</v>
      </c>
      <c r="W119" s="719">
        <v>2.9203528091388264E-2</v>
      </c>
      <c r="X119" s="3697">
        <v>2.321236815959038E-2</v>
      </c>
      <c r="Y119" s="552">
        <v>-8.1869816980895127E-3</v>
      </c>
    </row>
    <row r="120" spans="1:25">
      <c r="A120" s="280">
        <f t="shared" si="2"/>
        <v>2025.03</v>
      </c>
      <c r="B120" s="705">
        <v>3.7293353066121693E-2</v>
      </c>
      <c r="C120" s="3697">
        <v>3.8542769769347895E-2</v>
      </c>
      <c r="D120" s="714">
        <v>3.6114210637193223E-2</v>
      </c>
      <c r="E120" s="3697">
        <v>4.3292425758025832E-2</v>
      </c>
      <c r="F120" s="714">
        <v>3.1283883387685396E-2</v>
      </c>
      <c r="G120" s="3697">
        <v>3.5226652591624941E-2</v>
      </c>
      <c r="H120" s="390">
        <v>3.3066613772764208E-2</v>
      </c>
      <c r="I120" s="3697">
        <v>5.9043861921788121E-2</v>
      </c>
      <c r="J120" s="3697">
        <v>7.9164366899133753E-3</v>
      </c>
      <c r="K120" s="714">
        <v>4.5877248149159611E-2</v>
      </c>
      <c r="L120" s="3697">
        <v>2.8683670815885964E-2</v>
      </c>
      <c r="M120" s="714">
        <v>1.4816426344097744E-2</v>
      </c>
      <c r="N120" s="3697">
        <v>1.8426132482451507E-2</v>
      </c>
      <c r="O120" s="714">
        <v>1.7066274048031849E-2</v>
      </c>
      <c r="P120" s="3697">
        <v>2.5040267531099225E-2</v>
      </c>
      <c r="Q120" s="714">
        <v>1.6076161771230169E-3</v>
      </c>
      <c r="R120" s="3697">
        <v>0.21643693542347675</v>
      </c>
      <c r="S120" s="714">
        <v>3.8911876282032187E-2</v>
      </c>
      <c r="T120" s="1253">
        <v>3.1568104536440433E-2</v>
      </c>
      <c r="U120" s="732">
        <v>3.6292937115649959E-2</v>
      </c>
      <c r="V120" s="1253">
        <v>3.9653967020208514E-2</v>
      </c>
      <c r="W120" s="719">
        <v>3.1927902426889476E-2</v>
      </c>
      <c r="X120" s="3697">
        <v>3.2077460860083562E-2</v>
      </c>
      <c r="Y120" s="552">
        <v>8.4404358281868097E-2</v>
      </c>
    </row>
    <row r="121" spans="1:25">
      <c r="A121" s="280">
        <f t="shared" si="2"/>
        <v>2025.04</v>
      </c>
      <c r="B121" s="705">
        <v>2.7808358448509596E-2</v>
      </c>
      <c r="C121" s="3697">
        <v>2.7577538869369755E-2</v>
      </c>
      <c r="D121" s="714">
        <v>2.8134614522970391E-2</v>
      </c>
      <c r="E121" s="3697">
        <v>2.8667830962877838E-2</v>
      </c>
      <c r="F121" s="714">
        <v>2.6623690309882653E-2</v>
      </c>
      <c r="G121" s="3697">
        <v>2.8546152344188336E-2</v>
      </c>
      <c r="H121" s="390">
        <v>2.6696144787466736E-2</v>
      </c>
      <c r="I121" s="3697">
        <v>2.9490528977209607E-2</v>
      </c>
      <c r="J121" s="3697">
        <v>2.8444389667211079E-2</v>
      </c>
      <c r="K121" s="714">
        <v>3.83564501973086E-2</v>
      </c>
      <c r="L121" s="3697">
        <v>1.8790333970962303E-2</v>
      </c>
      <c r="M121" s="714">
        <v>9.3478195075853421E-3</v>
      </c>
      <c r="N121" s="3697">
        <v>2.4996892033947393E-2</v>
      </c>
      <c r="O121" s="714">
        <v>1.6703079511570351E-2</v>
      </c>
      <c r="P121" s="3697">
        <v>2.794401759619225E-2</v>
      </c>
      <c r="Q121" s="714">
        <v>3.9825783700731421E-2</v>
      </c>
      <c r="R121" s="3697">
        <v>2.4809020415345939E-2</v>
      </c>
      <c r="S121" s="714">
        <v>4.1189108643339578E-2</v>
      </c>
      <c r="T121" s="1253">
        <v>2.544081497489703E-2</v>
      </c>
      <c r="U121" s="732">
        <v>2.6983243775037691E-2</v>
      </c>
      <c r="V121" s="1253">
        <v>3.0144272596747568E-2</v>
      </c>
      <c r="W121" s="719">
        <v>3.2147159664202674E-2</v>
      </c>
      <c r="X121" s="3697">
        <v>1.7700455867495135E-2</v>
      </c>
      <c r="Y121" s="552">
        <v>1.882175734300362E-2</v>
      </c>
    </row>
    <row r="122" spans="1:25">
      <c r="A122" s="280">
        <f t="shared" si="2"/>
        <v>2025.05</v>
      </c>
      <c r="B122" s="705">
        <v>1.5011086343823088E-2</v>
      </c>
      <c r="C122" s="3697">
        <v>1.5008447859677698E-2</v>
      </c>
      <c r="D122" s="3697">
        <v>1.5682934431768381E-2</v>
      </c>
      <c r="E122" s="3697">
        <v>1.2233061689830071E-2</v>
      </c>
      <c r="F122" s="3697">
        <v>1.2705034032927554E-2</v>
      </c>
      <c r="G122" s="3697">
        <v>1.631775536262281E-2</v>
      </c>
      <c r="H122" s="3697">
        <v>1.5043927495021148E-2</v>
      </c>
      <c r="I122" s="3697">
        <v>5.0549197258318301E-3</v>
      </c>
      <c r="J122" s="3697">
        <v>5.8356086189585987E-3</v>
      </c>
      <c r="K122" s="714">
        <v>9.2546702542282144E-3</v>
      </c>
      <c r="L122" s="3697">
        <v>2.4474886988046674E-2</v>
      </c>
      <c r="M122" s="714">
        <v>1.3903474551592021E-2</v>
      </c>
      <c r="N122" s="3697">
        <v>2.7404137858360933E-2</v>
      </c>
      <c r="O122" s="714">
        <v>3.637293911539885E-3</v>
      </c>
      <c r="P122" s="3697">
        <v>4.1264009516498446E-2</v>
      </c>
      <c r="Q122" s="714">
        <v>1.7086934044031832E-2</v>
      </c>
      <c r="R122" s="3697">
        <v>1.8707402770276715E-2</v>
      </c>
      <c r="S122" s="714">
        <v>3.0117055626946998E-2</v>
      </c>
      <c r="T122" s="1253">
        <v>2.5793265778197849E-2</v>
      </c>
      <c r="U122" s="732">
        <v>9.0440540007123982E-3</v>
      </c>
      <c r="V122" s="1253">
        <v>2.7449616177736669E-2</v>
      </c>
      <c r="W122" s="719">
        <v>2.1972650333935473E-2</v>
      </c>
      <c r="X122" s="3697">
        <v>1.3125263584931934E-2</v>
      </c>
      <c r="Y122" s="552">
        <v>-2.731481117783463E-2</v>
      </c>
    </row>
    <row r="123" spans="1:25">
      <c r="A123" s="280">
        <f t="shared" si="2"/>
        <v>2025.06</v>
      </c>
      <c r="B123" s="705">
        <v>1.6189248819933333E-2</v>
      </c>
      <c r="C123" s="3697">
        <v>2.0243753200644976E-2</v>
      </c>
      <c r="D123" s="3697">
        <v>1.3087472524450083E-2</v>
      </c>
      <c r="E123" s="3697">
        <v>1.2177238193853412E-2</v>
      </c>
      <c r="F123" s="3697">
        <v>1.0597560153735142E-2</v>
      </c>
      <c r="G123" s="3697">
        <v>9.6708077184364249E-3</v>
      </c>
      <c r="H123" s="3697">
        <v>1.8232502497023129E-2</v>
      </c>
      <c r="I123" s="3697">
        <v>5.6346760723542388E-3</v>
      </c>
      <c r="J123" s="3697">
        <v>2.7940949111636249E-2</v>
      </c>
      <c r="K123" s="714">
        <v>4.8651580455587595E-3</v>
      </c>
      <c r="L123" s="3697">
        <v>3.4421203183247817E-2</v>
      </c>
      <c r="M123" s="714">
        <v>1.8975268653628863E-2</v>
      </c>
      <c r="N123" s="3697">
        <v>2.1550933981183906E-2</v>
      </c>
      <c r="O123" s="714">
        <v>1.6174617216804688E-2</v>
      </c>
      <c r="P123" s="3697">
        <v>1.7899325390360765E-2</v>
      </c>
      <c r="Q123" s="714">
        <v>2.469147314229736E-2</v>
      </c>
      <c r="R123" s="3697">
        <v>3.6939329199761284E-2</v>
      </c>
      <c r="S123" s="714">
        <v>2.098958265567008E-2</v>
      </c>
      <c r="T123" s="1253">
        <v>9.9821168903377888E-3</v>
      </c>
      <c r="U123" s="732">
        <v>8.3527104376790451E-3</v>
      </c>
      <c r="V123" s="1253">
        <v>3.1708934140958434E-2</v>
      </c>
      <c r="W123" s="719">
        <v>1.7137349662716073E-2</v>
      </c>
      <c r="X123" s="3697">
        <v>2.2256951470908781E-2</v>
      </c>
      <c r="Y123" s="552">
        <v>-2.1413445109182971E-3</v>
      </c>
    </row>
    <row r="124" spans="1:25">
      <c r="A124" s="280">
        <f t="shared" si="2"/>
        <v>2025.07</v>
      </c>
      <c r="B124" s="705">
        <v>1.9016837553312849E-2</v>
      </c>
      <c r="C124" s="3697">
        <v>1.8679320347811057E-2</v>
      </c>
      <c r="D124" s="714">
        <v>1.9929920797073342E-2</v>
      </c>
      <c r="E124" s="3697">
        <v>1.6764289838723689E-2</v>
      </c>
      <c r="F124" s="714">
        <v>1.7051666315376801E-2</v>
      </c>
      <c r="G124" s="3697">
        <v>1.8568573615583395E-2</v>
      </c>
      <c r="H124" s="390">
        <v>2.1419155864935258E-2</v>
      </c>
      <c r="I124" s="3697">
        <v>1.8969689223154784E-2</v>
      </c>
      <c r="J124" s="3697">
        <v>6.3571946401301815E-3</v>
      </c>
      <c r="K124" s="714">
        <v>-9.2231135045777179E-3</v>
      </c>
      <c r="L124" s="3697">
        <v>1.4855446816497198E-2</v>
      </c>
      <c r="M124" s="714">
        <v>1.5389280075779332E-2</v>
      </c>
      <c r="N124" s="3697">
        <v>1.139316307046645E-2</v>
      </c>
      <c r="O124" s="714">
        <v>2.7766081366964901E-2</v>
      </c>
      <c r="P124" s="3697">
        <v>2.2869263103735937E-2</v>
      </c>
      <c r="Q124" s="714">
        <v>4.8087567238019213E-2</v>
      </c>
      <c r="R124" s="3697">
        <v>1.9194718338521266E-2</v>
      </c>
      <c r="S124" s="714">
        <v>2.7550397583532948E-2</v>
      </c>
      <c r="T124" s="1253">
        <v>2.1422511147583645E-2</v>
      </c>
      <c r="U124" s="732">
        <v>1.3557244291334092E-2</v>
      </c>
      <c r="V124" s="1253">
        <v>3.0534827276878618E-2</v>
      </c>
      <c r="W124" s="719">
        <v>1.4791483194941168E-2</v>
      </c>
      <c r="X124" s="3697">
        <v>2.3055550579646145E-2</v>
      </c>
      <c r="Y124" s="552">
        <v>4.0514816460595293E-2</v>
      </c>
    </row>
    <row r="125" spans="1:25">
      <c r="A125" s="280">
        <f t="shared" si="2"/>
        <v>2025.08</v>
      </c>
      <c r="B125" s="705">
        <v>1.8757935113502766E-2</v>
      </c>
      <c r="C125" s="3697">
        <v>1.8715637795281514E-2</v>
      </c>
      <c r="D125" s="714">
        <v>1.8413812955563991E-2</v>
      </c>
      <c r="E125" s="3697">
        <v>1.9677895699320436E-2</v>
      </c>
      <c r="F125" s="714">
        <v>1.6846544217424375E-2</v>
      </c>
      <c r="G125" s="3697">
        <v>2.1111180792394268E-2</v>
      </c>
      <c r="H125" s="390">
        <v>1.954929666209182E-2</v>
      </c>
      <c r="I125" s="3697">
        <v>1.3783888106927655E-2</v>
      </c>
      <c r="J125" s="3697">
        <v>3.4524609295915276E-2</v>
      </c>
      <c r="K125" s="714">
        <v>-2.5765340560307548E-3</v>
      </c>
      <c r="L125" s="3697">
        <v>2.6729610461962539E-2</v>
      </c>
      <c r="M125" s="714">
        <v>9.3467208469666385E-3</v>
      </c>
      <c r="N125" s="3697">
        <v>1.7206071414675783E-2</v>
      </c>
      <c r="O125" s="714">
        <v>3.5694874301125834E-2</v>
      </c>
      <c r="P125" s="3697">
        <v>1.8827197765543646E-2</v>
      </c>
      <c r="Q125" s="714">
        <v>5.3496007042512783E-3</v>
      </c>
      <c r="R125" s="3697">
        <v>2.5385630882297949E-2</v>
      </c>
      <c r="S125" s="714">
        <v>3.422754383407467E-2</v>
      </c>
      <c r="T125" s="1253">
        <v>2.24940359809922E-2</v>
      </c>
      <c r="U125" s="732">
        <v>1.6314192599369726E-2</v>
      </c>
      <c r="V125" s="1253">
        <v>2.4596692166523493E-2</v>
      </c>
      <c r="W125" s="719">
        <v>2.0449004208132004E-2</v>
      </c>
      <c r="X125" s="3697">
        <v>2.6684726820308979E-2</v>
      </c>
      <c r="Y125" s="552">
        <v>-7.9137556210611137E-3</v>
      </c>
    </row>
    <row r="126" spans="1:25">
      <c r="A126" s="280">
        <f t="shared" si="2"/>
        <v>2025.09</v>
      </c>
      <c r="B126" s="705">
        <v>2.0759603239513646E-2</v>
      </c>
      <c r="C126" s="3697">
        <v>2.0953170557133527E-2</v>
      </c>
      <c r="D126" s="714">
        <v>2.0083347520879924E-2</v>
      </c>
      <c r="E126" s="3697">
        <v>2.1947335762450004E-2</v>
      </c>
      <c r="F126" s="714">
        <v>1.7947295355935866E-2</v>
      </c>
      <c r="G126" s="3697">
        <v>2.1506033140109571E-2</v>
      </c>
      <c r="H126" s="390">
        <v>2.3958537199836538E-2</v>
      </c>
      <c r="I126" s="3697">
        <v>1.8615428843092863E-2</v>
      </c>
      <c r="J126" s="3697">
        <v>1.5801382469866621E-2</v>
      </c>
      <c r="K126" s="714">
        <v>2.0526146691612013E-2</v>
      </c>
      <c r="L126" s="3697">
        <v>3.128249512206116E-2</v>
      </c>
      <c r="M126" s="714">
        <v>2.2088451179254065E-2</v>
      </c>
      <c r="N126" s="3697">
        <v>2.2812677479766119E-2</v>
      </c>
      <c r="O126" s="714">
        <v>2.9676863699706901E-2</v>
      </c>
      <c r="P126" s="3697">
        <v>2.1629187391183802E-2</v>
      </c>
      <c r="Q126" s="714">
        <v>1.3365947046051652E-2</v>
      </c>
      <c r="R126" s="3697">
        <v>3.0655646785288093E-2</v>
      </c>
      <c r="S126" s="714">
        <v>1.0728496272369936E-2</v>
      </c>
      <c r="T126" s="1253">
        <v>2.1419504744449425E-2</v>
      </c>
      <c r="U126" s="732">
        <v>1.9776499652988999E-2</v>
      </c>
      <c r="V126" s="1253">
        <v>2.3402616703488199E-2</v>
      </c>
      <c r="W126" s="719">
        <v>1.895876192364887E-2</v>
      </c>
      <c r="X126" s="3697">
        <v>2.6343571065729154E-2</v>
      </c>
      <c r="Y126" s="552">
        <v>2.2028328527229135E-2</v>
      </c>
    </row>
    <row r="127" spans="1:25">
      <c r="A127" s="280">
        <f t="shared" si="2"/>
        <v>2025.1</v>
      </c>
      <c r="B127" s="705">
        <v>2.3419431023919524E-2</v>
      </c>
      <c r="C127" s="3697">
        <v>2.3965787765641178E-2</v>
      </c>
      <c r="D127" s="714">
        <v>2.3208022495716518E-2</v>
      </c>
      <c r="E127" s="3697">
        <v>2.1381891593889257E-2</v>
      </c>
      <c r="F127" s="714">
        <v>2.1844374914688158E-2</v>
      </c>
      <c r="G127" s="3697">
        <v>2.3435119564376272E-2</v>
      </c>
      <c r="H127" s="390">
        <v>2.4147869665913202E-2</v>
      </c>
      <c r="I127" s="3697">
        <v>2.2858375938723752E-2</v>
      </c>
      <c r="J127" s="3697">
        <v>2.3802853010383318E-2</v>
      </c>
      <c r="K127" s="714">
        <v>2.4161354480855213E-2</v>
      </c>
      <c r="L127" s="3697">
        <v>2.8030629368949178E-2</v>
      </c>
      <c r="M127" s="714">
        <v>1.6314009674320173E-2</v>
      </c>
      <c r="N127" s="3697">
        <v>1.82644568988517E-2</v>
      </c>
      <c r="O127" s="714">
        <v>3.4560650642252E-2</v>
      </c>
      <c r="P127" s="3697">
        <v>2.2155516789900576E-2</v>
      </c>
      <c r="Q127" s="714">
        <v>1.611432097111809E-2</v>
      </c>
      <c r="R127" s="3697">
        <v>1.6937803629692327E-2</v>
      </c>
      <c r="S127" s="714">
        <v>2.220742161087963E-2</v>
      </c>
      <c r="T127" s="1253">
        <v>2.4435440977494505E-2</v>
      </c>
      <c r="U127" s="732">
        <v>2.2742209798729762E-2</v>
      </c>
      <c r="V127" s="1253">
        <v>2.5279914179619389E-2</v>
      </c>
      <c r="W127" s="719">
        <v>2.2167187118103504E-2</v>
      </c>
      <c r="X127" s="3697">
        <v>2.5649365238820998E-2</v>
      </c>
      <c r="Y127" s="552">
        <v>2.7935773517368201E-2</v>
      </c>
    </row>
    <row r="128" spans="1:25">
      <c r="A128" s="280">
        <f t="shared" si="2"/>
        <v>2025.11</v>
      </c>
      <c r="B128" s="705">
        <v>2.4729196710785661E-2</v>
      </c>
      <c r="C128" s="3697">
        <v>2.4819751103297039E-2</v>
      </c>
      <c r="D128" s="714">
        <v>2.4751169770490522E-2</v>
      </c>
      <c r="E128" s="3697">
        <v>2.297268270039643E-2</v>
      </c>
      <c r="F128" s="714">
        <v>2.3768836137389338E-2</v>
      </c>
      <c r="G128" s="3697">
        <v>2.8233870524196236E-2</v>
      </c>
      <c r="H128" s="390">
        <v>2.3265529002305385E-2</v>
      </c>
      <c r="I128" s="3697">
        <v>2.8140658355875647E-2</v>
      </c>
      <c r="J128" s="3697">
        <v>1.1647804953908825E-2</v>
      </c>
      <c r="K128" s="714">
        <v>5.2022182560496066E-3</v>
      </c>
      <c r="L128" s="3697">
        <v>3.4311819292475176E-2</v>
      </c>
      <c r="M128" s="714">
        <v>1.12040886083562E-2</v>
      </c>
      <c r="N128" s="3697">
        <v>2.3973682504304872E-2</v>
      </c>
      <c r="O128" s="714">
        <v>3.0277534244322668E-2</v>
      </c>
      <c r="P128" s="3697">
        <v>2.6826077370115886E-2</v>
      </c>
      <c r="Q128" s="714">
        <v>2.443607547820692E-2</v>
      </c>
      <c r="R128" s="3697">
        <v>2.2295579324629111E-2</v>
      </c>
      <c r="S128" s="714">
        <v>2.454452138142571E-2</v>
      </c>
      <c r="T128" s="1253">
        <v>2.5043880667511509E-2</v>
      </c>
      <c r="U128" s="732">
        <v>2.2775336845989091E-2</v>
      </c>
      <c r="V128" s="1253">
        <v>2.86837731409606E-2</v>
      </c>
      <c r="W128" s="719">
        <v>2.6389973653884624E-2</v>
      </c>
      <c r="X128" s="3697">
        <v>2.8887464145627373E-2</v>
      </c>
      <c r="Y128" s="552">
        <v>4.2531980548674575E-3</v>
      </c>
    </row>
    <row r="129" spans="1:25">
      <c r="A129" s="280">
        <f t="shared" si="2"/>
        <v>2025.12</v>
      </c>
      <c r="B129" s="705">
        <v>2.8452719345717137E-2</v>
      </c>
      <c r="C129" s="3697">
        <v>2.7926969731880025E-2</v>
      </c>
      <c r="D129" s="714">
        <v>2.9144995117684314E-2</v>
      </c>
      <c r="E129" s="3697">
        <v>2.6059554098943671E-2</v>
      </c>
      <c r="F129" s="714">
        <v>3.3753408828728571E-2</v>
      </c>
      <c r="G129" s="3697">
        <v>2.9574402417337442E-2</v>
      </c>
      <c r="H129" s="390">
        <v>2.5709516684351064E-2</v>
      </c>
      <c r="I129" s="3697">
        <v>3.1327675280491629E-2</v>
      </c>
      <c r="J129" s="3697">
        <v>2.8201541458956481E-2</v>
      </c>
      <c r="K129" s="714">
        <v>1.0907383153909045E-2</v>
      </c>
      <c r="L129" s="3697">
        <v>3.4074517282624228E-2</v>
      </c>
      <c r="M129" s="714">
        <v>1.997794779742379E-2</v>
      </c>
      <c r="N129" s="3697">
        <v>2.0945657129072925E-2</v>
      </c>
      <c r="O129" s="714">
        <v>4.003676878509288E-2</v>
      </c>
      <c r="P129" s="3697">
        <v>3.3081560387492548E-2</v>
      </c>
      <c r="Q129" s="714">
        <v>2.5405321006517934E-2</v>
      </c>
      <c r="R129" s="3697">
        <v>3.6426513365652724E-3</v>
      </c>
      <c r="S129" s="714">
        <v>3.1860786584352097E-2</v>
      </c>
      <c r="T129" s="1253">
        <v>2.640281743411288E-2</v>
      </c>
      <c r="U129" s="732">
        <v>2.5678169374149906E-2</v>
      </c>
      <c r="V129" s="1253">
        <v>3.3576796294675137E-2</v>
      </c>
      <c r="W129" s="719">
        <v>3.0338921133759689E-2</v>
      </c>
      <c r="X129" s="3697">
        <v>3.2907204726481343E-2</v>
      </c>
      <c r="Y129" s="552">
        <v>6.0766426743750213E-3</v>
      </c>
    </row>
    <row r="130" spans="1:25">
      <c r="A130" s="280">
        <f t="shared" si="2"/>
        <v>2026.01</v>
      </c>
      <c r="B130" s="705">
        <v>2.881619353661713E-2</v>
      </c>
      <c r="C130" s="3697">
        <v>2.7687249645246048E-2</v>
      </c>
      <c r="D130" s="714">
        <v>2.8977124695207301E-2</v>
      </c>
      <c r="E130" s="3697">
        <v>2.8487894970014693E-2</v>
      </c>
      <c r="F130" s="714">
        <v>3.835417670172836E-2</v>
      </c>
      <c r="G130" s="3697">
        <v>2.9857530006762945E-2</v>
      </c>
      <c r="H130" s="390">
        <v>2.8795886311703267E-2</v>
      </c>
      <c r="I130" s="3697">
        <v>4.6770604734537757E-2</v>
      </c>
      <c r="J130" s="3697">
        <v>1.509167302821468E-2</v>
      </c>
      <c r="K130" s="714">
        <v>-4.5870514567869503E-3</v>
      </c>
      <c r="L130" s="3697">
        <v>3.0104811853671976E-2</v>
      </c>
      <c r="M130" s="714">
        <v>1.8309862042982017E-2</v>
      </c>
      <c r="N130" s="3697">
        <v>2.3392966910322333E-2</v>
      </c>
      <c r="O130" s="714">
        <v>1.8404489263576629E-2</v>
      </c>
      <c r="P130" s="3697">
        <v>3.6286267777450476E-2</v>
      </c>
      <c r="Q130" s="714">
        <v>1.0303360211610268E-2</v>
      </c>
      <c r="R130" s="3697">
        <v>6.2491231519761214E-3</v>
      </c>
      <c r="S130" s="714">
        <v>4.1372468383237937E-2</v>
      </c>
      <c r="T130" s="1253">
        <v>2.7283100144702921E-2</v>
      </c>
      <c r="U130" s="732">
        <v>2.804664129249268E-2</v>
      </c>
      <c r="V130" s="1253">
        <v>3.0848759214341825E-2</v>
      </c>
      <c r="W130" s="719">
        <v>2.630369065853122E-2</v>
      </c>
      <c r="X130" s="3697">
        <v>2.4302373998006166E-2</v>
      </c>
      <c r="Y130" s="552">
        <v>5.7072916383851258E-2</v>
      </c>
    </row>
    <row r="131" spans="1:25">
      <c r="A131" s="280">
        <f t="shared" si="2"/>
        <v>2026.02</v>
      </c>
      <c r="B131" s="705">
        <v>2.8963190726726928E-2</v>
      </c>
      <c r="C131" s="3697">
        <v>2.6159142906322153E-2</v>
      </c>
      <c r="D131" s="714">
        <v>3.0166068605491869E-2</v>
      </c>
      <c r="E131" s="3697">
        <v>3.5414366714459078E-2</v>
      </c>
      <c r="F131" s="714">
        <v>3.149929355097969E-2</v>
      </c>
      <c r="G131" s="3697">
        <v>3.4088028918638269E-2</v>
      </c>
      <c r="H131" s="390">
        <v>2.9800953470420666E-2</v>
      </c>
      <c r="I131" s="3697">
        <v>3.3229075236852479E-2</v>
      </c>
      <c r="J131" s="3697">
        <v>6.2240264635213816E-3</v>
      </c>
      <c r="K131" s="714">
        <v>-1.0349810297771711E-4</v>
      </c>
      <c r="L131" s="3697">
        <v>6.7507415377006774E-2</v>
      </c>
      <c r="M131" s="714">
        <v>2.5626016550111208E-2</v>
      </c>
      <c r="N131" s="3697">
        <v>2.4669461024820816E-2</v>
      </c>
      <c r="O131" s="714">
        <v>1.9767320936647126E-2</v>
      </c>
      <c r="P131" s="3697">
        <v>1.8432010655035747E-2</v>
      </c>
      <c r="Q131" s="714">
        <v>2.3442597041966273E-2</v>
      </c>
      <c r="R131" s="3697">
        <v>1.1652154818303728E-2</v>
      </c>
      <c r="S131" s="714">
        <v>3.0006453574266789E-2</v>
      </c>
      <c r="T131" s="1253">
        <v>3.2740441551291521E-2</v>
      </c>
      <c r="U131" s="732">
        <v>2.3390648723439433E-2</v>
      </c>
      <c r="V131" s="1253">
        <v>4.0466143345320837E-2</v>
      </c>
      <c r="W131" s="719">
        <v>3.0753751896320347E-2</v>
      </c>
      <c r="X131" s="3697">
        <v>4.2508903797412456E-2</v>
      </c>
      <c r="Y131" s="552">
        <v>-1.2753259420706708E-2</v>
      </c>
    </row>
    <row r="132" spans="1:25">
      <c r="A132" s="280">
        <f t="shared" si="2"/>
        <v>2026.03</v>
      </c>
      <c r="B132" s="705" t="e">
        <v>#N/A</v>
      </c>
      <c r="C132" s="3697" t="e">
        <v>#N/A</v>
      </c>
      <c r="D132" s="714" t="e">
        <v>#N/A</v>
      </c>
      <c r="E132" s="3697" t="e">
        <v>#N/A</v>
      </c>
      <c r="F132" s="714" t="e">
        <v>#N/A</v>
      </c>
      <c r="G132" s="3697" t="e">
        <v>#N/A</v>
      </c>
      <c r="H132" s="390" t="e">
        <v>#N/A</v>
      </c>
      <c r="I132" s="3697" t="e">
        <v>#N/A</v>
      </c>
      <c r="J132" s="3697" t="e">
        <v>#N/A</v>
      </c>
      <c r="K132" s="714" t="e">
        <v>#N/A</v>
      </c>
      <c r="L132" s="3697" t="e">
        <v>#N/A</v>
      </c>
      <c r="M132" s="714" t="e">
        <v>#N/A</v>
      </c>
      <c r="N132" s="3697" t="e">
        <v>#N/A</v>
      </c>
      <c r="O132" s="714" t="e">
        <v>#N/A</v>
      </c>
      <c r="P132" s="3697" t="e">
        <v>#N/A</v>
      </c>
      <c r="Q132" s="714" t="e">
        <v>#N/A</v>
      </c>
      <c r="R132" s="3697" t="e">
        <v>#N/A</v>
      </c>
      <c r="S132" s="714" t="e">
        <v>#N/A</v>
      </c>
      <c r="T132" s="1253" t="e">
        <v>#N/A</v>
      </c>
      <c r="U132" s="732" t="e">
        <v>#N/A</v>
      </c>
      <c r="V132" s="1253" t="e">
        <v>#N/A</v>
      </c>
      <c r="W132" s="719" t="e">
        <v>#N/A</v>
      </c>
      <c r="X132" s="3697" t="e">
        <v>#N/A</v>
      </c>
      <c r="Y132" s="552" t="e">
        <v>#N/A</v>
      </c>
    </row>
    <row r="133" spans="1:25">
      <c r="A133" s="280">
        <f t="shared" si="2"/>
        <v>2026.04</v>
      </c>
      <c r="B133" s="705" t="e">
        <v>#N/A</v>
      </c>
      <c r="C133" s="3697" t="e">
        <v>#N/A</v>
      </c>
      <c r="D133" s="714" t="e">
        <v>#N/A</v>
      </c>
      <c r="E133" s="3697" t="e">
        <v>#N/A</v>
      </c>
      <c r="F133" s="714" t="e">
        <v>#N/A</v>
      </c>
      <c r="G133" s="3697" t="e">
        <v>#N/A</v>
      </c>
      <c r="H133" s="390" t="e">
        <v>#N/A</v>
      </c>
      <c r="I133" s="3697" t="e">
        <v>#N/A</v>
      </c>
      <c r="J133" s="3697" t="e">
        <v>#N/A</v>
      </c>
      <c r="K133" s="714" t="e">
        <v>#N/A</v>
      </c>
      <c r="L133" s="3697" t="e">
        <v>#N/A</v>
      </c>
      <c r="M133" s="714" t="e">
        <v>#N/A</v>
      </c>
      <c r="N133" s="3697" t="e">
        <v>#N/A</v>
      </c>
      <c r="O133" s="714" t="e">
        <v>#N/A</v>
      </c>
      <c r="P133" s="3697" t="e">
        <v>#N/A</v>
      </c>
      <c r="Q133" s="714" t="e">
        <v>#N/A</v>
      </c>
      <c r="R133" s="3697" t="e">
        <v>#N/A</v>
      </c>
      <c r="S133" s="714" t="e">
        <v>#N/A</v>
      </c>
      <c r="T133" s="1253" t="e">
        <v>#N/A</v>
      </c>
      <c r="U133" s="732" t="e">
        <v>#N/A</v>
      </c>
      <c r="V133" s="1253" t="e">
        <v>#N/A</v>
      </c>
      <c r="W133" s="719" t="e">
        <v>#N/A</v>
      </c>
      <c r="X133" s="3697" t="e">
        <v>#N/A</v>
      </c>
      <c r="Y133" s="552" t="e">
        <v>#N/A</v>
      </c>
    </row>
    <row r="134" spans="1:25">
      <c r="A134" s="280">
        <f t="shared" si="2"/>
        <v>2026.05</v>
      </c>
      <c r="B134" s="705" t="e">
        <v>#N/A</v>
      </c>
      <c r="C134" s="3697" t="e">
        <v>#N/A</v>
      </c>
      <c r="D134" s="714" t="e">
        <v>#N/A</v>
      </c>
      <c r="E134" s="3697" t="e">
        <v>#N/A</v>
      </c>
      <c r="F134" s="714" t="e">
        <v>#N/A</v>
      </c>
      <c r="G134" s="3697" t="e">
        <v>#N/A</v>
      </c>
      <c r="H134" s="390" t="e">
        <v>#N/A</v>
      </c>
      <c r="I134" s="3697" t="e">
        <v>#N/A</v>
      </c>
      <c r="J134" s="3697" t="e">
        <v>#N/A</v>
      </c>
      <c r="K134" s="714" t="e">
        <v>#N/A</v>
      </c>
      <c r="L134" s="3697" t="e">
        <v>#N/A</v>
      </c>
      <c r="M134" s="714" t="e">
        <v>#N/A</v>
      </c>
      <c r="N134" s="3697" t="e">
        <v>#N/A</v>
      </c>
      <c r="O134" s="714" t="e">
        <v>#N/A</v>
      </c>
      <c r="P134" s="3697" t="e">
        <v>#N/A</v>
      </c>
      <c r="Q134" s="714" t="e">
        <v>#N/A</v>
      </c>
      <c r="R134" s="3697" t="e">
        <v>#N/A</v>
      </c>
      <c r="S134" s="714" t="e">
        <v>#N/A</v>
      </c>
      <c r="T134" s="1253" t="e">
        <v>#N/A</v>
      </c>
      <c r="U134" s="732" t="e">
        <v>#N/A</v>
      </c>
      <c r="V134" s="1253" t="e">
        <v>#N/A</v>
      </c>
      <c r="W134" s="719" t="e">
        <v>#N/A</v>
      </c>
      <c r="X134" s="3697" t="e">
        <v>#N/A</v>
      </c>
      <c r="Y134" s="552" t="e">
        <v>#N/A</v>
      </c>
    </row>
    <row r="135" spans="1:25">
      <c r="A135" s="280">
        <f t="shared" si="2"/>
        <v>2026.06</v>
      </c>
      <c r="B135" s="705" t="e">
        <v>#N/A</v>
      </c>
      <c r="C135" s="3697" t="e">
        <v>#N/A</v>
      </c>
      <c r="D135" s="714" t="e">
        <v>#N/A</v>
      </c>
      <c r="E135" s="3697" t="e">
        <v>#N/A</v>
      </c>
      <c r="F135" s="714" t="e">
        <v>#N/A</v>
      </c>
      <c r="G135" s="3697" t="e">
        <v>#N/A</v>
      </c>
      <c r="H135" s="390" t="e">
        <v>#N/A</v>
      </c>
      <c r="I135" s="3697" t="e">
        <v>#N/A</v>
      </c>
      <c r="J135" s="3697" t="e">
        <v>#N/A</v>
      </c>
      <c r="K135" s="714" t="e">
        <v>#N/A</v>
      </c>
      <c r="L135" s="3697" t="e">
        <v>#N/A</v>
      </c>
      <c r="M135" s="714" t="e">
        <v>#N/A</v>
      </c>
      <c r="N135" s="3697" t="e">
        <v>#N/A</v>
      </c>
      <c r="O135" s="714" t="e">
        <v>#N/A</v>
      </c>
      <c r="P135" s="3697" t="e">
        <v>#N/A</v>
      </c>
      <c r="Q135" s="714" t="e">
        <v>#N/A</v>
      </c>
      <c r="R135" s="3697" t="e">
        <v>#N/A</v>
      </c>
      <c r="S135" s="714" t="e">
        <v>#N/A</v>
      </c>
      <c r="T135" s="1253" t="e">
        <v>#N/A</v>
      </c>
      <c r="U135" s="732" t="e">
        <v>#N/A</v>
      </c>
      <c r="V135" s="1253" t="e">
        <v>#N/A</v>
      </c>
      <c r="W135" s="719" t="e">
        <v>#N/A</v>
      </c>
      <c r="X135" s="3697" t="e">
        <v>#N/A</v>
      </c>
      <c r="Y135" s="552" t="e">
        <v>#N/A</v>
      </c>
    </row>
    <row r="136" spans="1:25">
      <c r="A136" s="280">
        <f t="shared" si="2"/>
        <v>2026.07</v>
      </c>
      <c r="B136" s="705" t="e">
        <v>#N/A</v>
      </c>
      <c r="C136" s="3697" t="e">
        <v>#N/A</v>
      </c>
      <c r="D136" s="714" t="e">
        <v>#N/A</v>
      </c>
      <c r="E136" s="3697" t="e">
        <v>#N/A</v>
      </c>
      <c r="F136" s="714" t="e">
        <v>#N/A</v>
      </c>
      <c r="G136" s="3697" t="e">
        <v>#N/A</v>
      </c>
      <c r="H136" s="390" t="e">
        <v>#N/A</v>
      </c>
      <c r="I136" s="3697" t="e">
        <v>#N/A</v>
      </c>
      <c r="J136" s="3697" t="e">
        <v>#N/A</v>
      </c>
      <c r="K136" s="714" t="e">
        <v>#N/A</v>
      </c>
      <c r="L136" s="3697" t="e">
        <v>#N/A</v>
      </c>
      <c r="M136" s="714" t="e">
        <v>#N/A</v>
      </c>
      <c r="N136" s="3697" t="e">
        <v>#N/A</v>
      </c>
      <c r="O136" s="714" t="e">
        <v>#N/A</v>
      </c>
      <c r="P136" s="3697" t="e">
        <v>#N/A</v>
      </c>
      <c r="Q136" s="714" t="e">
        <v>#N/A</v>
      </c>
      <c r="R136" s="3697" t="e">
        <v>#N/A</v>
      </c>
      <c r="S136" s="714" t="e">
        <v>#N/A</v>
      </c>
      <c r="T136" s="1253" t="e">
        <v>#N/A</v>
      </c>
      <c r="U136" s="732" t="e">
        <v>#N/A</v>
      </c>
      <c r="V136" s="1253" t="e">
        <v>#N/A</v>
      </c>
      <c r="W136" s="719" t="e">
        <v>#N/A</v>
      </c>
      <c r="X136" s="3697" t="e">
        <v>#N/A</v>
      </c>
      <c r="Y136" s="552" t="e">
        <v>#N/A</v>
      </c>
    </row>
    <row r="137" spans="1:25">
      <c r="A137" s="280">
        <f t="shared" si="2"/>
        <v>2026.08</v>
      </c>
      <c r="B137" s="705" t="e">
        <v>#N/A</v>
      </c>
      <c r="C137" s="3697" t="e">
        <v>#N/A</v>
      </c>
      <c r="D137" s="714" t="e">
        <v>#N/A</v>
      </c>
      <c r="E137" s="3697" t="e">
        <v>#N/A</v>
      </c>
      <c r="F137" s="714" t="e">
        <v>#N/A</v>
      </c>
      <c r="G137" s="3697" t="e">
        <v>#N/A</v>
      </c>
      <c r="H137" s="390" t="e">
        <v>#N/A</v>
      </c>
      <c r="I137" s="3697" t="e">
        <v>#N/A</v>
      </c>
      <c r="J137" s="3697" t="e">
        <v>#N/A</v>
      </c>
      <c r="K137" s="714" t="e">
        <v>#N/A</v>
      </c>
      <c r="L137" s="3697" t="e">
        <v>#N/A</v>
      </c>
      <c r="M137" s="714" t="e">
        <v>#N/A</v>
      </c>
      <c r="N137" s="3697" t="e">
        <v>#N/A</v>
      </c>
      <c r="O137" s="714" t="e">
        <v>#N/A</v>
      </c>
      <c r="P137" s="3697" t="e">
        <v>#N/A</v>
      </c>
      <c r="Q137" s="714" t="e">
        <v>#N/A</v>
      </c>
      <c r="R137" s="3697" t="e">
        <v>#N/A</v>
      </c>
      <c r="S137" s="714" t="e">
        <v>#N/A</v>
      </c>
      <c r="T137" s="1253" t="e">
        <v>#N/A</v>
      </c>
      <c r="U137" s="732" t="e">
        <v>#N/A</v>
      </c>
      <c r="V137" s="1253" t="e">
        <v>#N/A</v>
      </c>
      <c r="W137" s="719" t="e">
        <v>#N/A</v>
      </c>
      <c r="X137" s="3697" t="e">
        <v>#N/A</v>
      </c>
      <c r="Y137" s="552" t="e">
        <v>#N/A</v>
      </c>
    </row>
    <row r="138" spans="1:25">
      <c r="A138" s="280">
        <f t="shared" si="2"/>
        <v>2026.09</v>
      </c>
      <c r="B138" s="705" t="e">
        <v>#N/A</v>
      </c>
      <c r="C138" s="3697" t="e">
        <v>#N/A</v>
      </c>
      <c r="D138" s="714" t="e">
        <v>#N/A</v>
      </c>
      <c r="E138" s="3697" t="e">
        <v>#N/A</v>
      </c>
      <c r="F138" s="714" t="e">
        <v>#N/A</v>
      </c>
      <c r="G138" s="3697" t="e">
        <v>#N/A</v>
      </c>
      <c r="H138" s="390" t="e">
        <v>#N/A</v>
      </c>
      <c r="I138" s="3697" t="e">
        <v>#N/A</v>
      </c>
      <c r="J138" s="3697" t="e">
        <v>#N/A</v>
      </c>
      <c r="K138" s="714" t="e">
        <v>#N/A</v>
      </c>
      <c r="L138" s="3697" t="e">
        <v>#N/A</v>
      </c>
      <c r="M138" s="714" t="e">
        <v>#N/A</v>
      </c>
      <c r="N138" s="3697" t="e">
        <v>#N/A</v>
      </c>
      <c r="O138" s="714" t="e">
        <v>#N/A</v>
      </c>
      <c r="P138" s="3697" t="e">
        <v>#N/A</v>
      </c>
      <c r="Q138" s="714" t="e">
        <v>#N/A</v>
      </c>
      <c r="R138" s="3697" t="e">
        <v>#N/A</v>
      </c>
      <c r="S138" s="714" t="e">
        <v>#N/A</v>
      </c>
      <c r="T138" s="1253" t="e">
        <v>#N/A</v>
      </c>
      <c r="U138" s="732" t="e">
        <v>#N/A</v>
      </c>
      <c r="V138" s="1253" t="e">
        <v>#N/A</v>
      </c>
      <c r="W138" s="719" t="e">
        <v>#N/A</v>
      </c>
      <c r="X138" s="3697" t="e">
        <v>#N/A</v>
      </c>
      <c r="Y138" s="552" t="e">
        <v>#N/A</v>
      </c>
    </row>
    <row r="139" spans="1:25">
      <c r="A139" s="280">
        <f t="shared" si="2"/>
        <v>2026.1</v>
      </c>
      <c r="B139" s="705" t="e">
        <v>#N/A</v>
      </c>
      <c r="C139" s="3697" t="e">
        <v>#N/A</v>
      </c>
      <c r="D139" s="714" t="e">
        <v>#N/A</v>
      </c>
      <c r="E139" s="3697" t="e">
        <v>#N/A</v>
      </c>
      <c r="F139" s="714" t="e">
        <v>#N/A</v>
      </c>
      <c r="G139" s="3697" t="e">
        <v>#N/A</v>
      </c>
      <c r="H139" s="390" t="e">
        <v>#N/A</v>
      </c>
      <c r="I139" s="3697" t="e">
        <v>#N/A</v>
      </c>
      <c r="J139" s="3697" t="e">
        <v>#N/A</v>
      </c>
      <c r="K139" s="714" t="e">
        <v>#N/A</v>
      </c>
      <c r="L139" s="3697" t="e">
        <v>#N/A</v>
      </c>
      <c r="M139" s="714" t="e">
        <v>#N/A</v>
      </c>
      <c r="N139" s="3697" t="e">
        <v>#N/A</v>
      </c>
      <c r="O139" s="714" t="e">
        <v>#N/A</v>
      </c>
      <c r="P139" s="3697" t="e">
        <v>#N/A</v>
      </c>
      <c r="Q139" s="714" t="e">
        <v>#N/A</v>
      </c>
      <c r="R139" s="3697" t="e">
        <v>#N/A</v>
      </c>
      <c r="S139" s="714" t="e">
        <v>#N/A</v>
      </c>
      <c r="T139" s="1253" t="e">
        <v>#N/A</v>
      </c>
      <c r="U139" s="732" t="e">
        <v>#N/A</v>
      </c>
      <c r="V139" s="1253" t="e">
        <v>#N/A</v>
      </c>
      <c r="W139" s="719" t="e">
        <v>#N/A</v>
      </c>
      <c r="X139" s="3697" t="e">
        <v>#N/A</v>
      </c>
      <c r="Y139" s="552" t="e">
        <v>#N/A</v>
      </c>
    </row>
    <row r="140" spans="1:25">
      <c r="A140" s="280">
        <f t="shared" si="2"/>
        <v>2026.11</v>
      </c>
      <c r="B140" s="705" t="e">
        <v>#N/A</v>
      </c>
      <c r="C140" s="3697" t="e">
        <v>#N/A</v>
      </c>
      <c r="D140" s="714" t="e">
        <v>#N/A</v>
      </c>
      <c r="E140" s="3697" t="e">
        <v>#N/A</v>
      </c>
      <c r="F140" s="714" t="e">
        <v>#N/A</v>
      </c>
      <c r="G140" s="3697" t="e">
        <v>#N/A</v>
      </c>
      <c r="H140" s="390" t="e">
        <v>#N/A</v>
      </c>
      <c r="I140" s="3697" t="e">
        <v>#N/A</v>
      </c>
      <c r="J140" s="3697" t="e">
        <v>#N/A</v>
      </c>
      <c r="K140" s="714" t="e">
        <v>#N/A</v>
      </c>
      <c r="L140" s="3697" t="e">
        <v>#N/A</v>
      </c>
      <c r="M140" s="714" t="e">
        <v>#N/A</v>
      </c>
      <c r="N140" s="3697" t="e">
        <v>#N/A</v>
      </c>
      <c r="O140" s="714" t="e">
        <v>#N/A</v>
      </c>
      <c r="P140" s="3697" t="e">
        <v>#N/A</v>
      </c>
      <c r="Q140" s="714" t="e">
        <v>#N/A</v>
      </c>
      <c r="R140" s="3697" t="e">
        <v>#N/A</v>
      </c>
      <c r="S140" s="714" t="e">
        <v>#N/A</v>
      </c>
      <c r="T140" s="1253" t="e">
        <v>#N/A</v>
      </c>
      <c r="U140" s="732" t="e">
        <v>#N/A</v>
      </c>
      <c r="V140" s="1253" t="e">
        <v>#N/A</v>
      </c>
      <c r="W140" s="719" t="e">
        <v>#N/A</v>
      </c>
      <c r="X140" s="3697" t="e">
        <v>#N/A</v>
      </c>
      <c r="Y140" s="552" t="e">
        <v>#N/A</v>
      </c>
    </row>
    <row r="141" spans="1:25">
      <c r="A141" s="280">
        <f t="shared" si="2"/>
        <v>2026.12</v>
      </c>
      <c r="B141" s="705" t="e">
        <v>#N/A</v>
      </c>
      <c r="C141" s="3697" t="e">
        <v>#N/A</v>
      </c>
      <c r="D141" s="714" t="e">
        <v>#N/A</v>
      </c>
      <c r="E141" s="3697" t="e">
        <v>#N/A</v>
      </c>
      <c r="F141" s="714" t="e">
        <v>#N/A</v>
      </c>
      <c r="G141" s="3697" t="e">
        <v>#N/A</v>
      </c>
      <c r="H141" s="390" t="e">
        <v>#N/A</v>
      </c>
      <c r="I141" s="3697" t="e">
        <v>#N/A</v>
      </c>
      <c r="J141" s="3697" t="e">
        <v>#N/A</v>
      </c>
      <c r="K141" s="714" t="e">
        <v>#N/A</v>
      </c>
      <c r="L141" s="3697" t="e">
        <v>#N/A</v>
      </c>
      <c r="M141" s="714" t="e">
        <v>#N/A</v>
      </c>
      <c r="N141" s="3697" t="e">
        <v>#N/A</v>
      </c>
      <c r="O141" s="714" t="e">
        <v>#N/A</v>
      </c>
      <c r="P141" s="3697" t="e">
        <v>#N/A</v>
      </c>
      <c r="Q141" s="714" t="e">
        <v>#N/A</v>
      </c>
      <c r="R141" s="3697" t="e">
        <v>#N/A</v>
      </c>
      <c r="S141" s="714" t="e">
        <v>#N/A</v>
      </c>
      <c r="T141" s="1253" t="e">
        <v>#N/A</v>
      </c>
      <c r="U141" s="732" t="e">
        <v>#N/A</v>
      </c>
      <c r="V141" s="1253" t="e">
        <v>#N/A</v>
      </c>
      <c r="W141" s="719" t="e">
        <v>#N/A</v>
      </c>
      <c r="X141" s="3697" t="e">
        <v>#N/A</v>
      </c>
      <c r="Y141" s="552" t="e">
        <v>#N/A</v>
      </c>
    </row>
    <row r="142" spans="1:25">
      <c r="A142" s="280">
        <f t="shared" si="2"/>
        <v>2027.01</v>
      </c>
      <c r="B142" s="705" t="e">
        <v>#N/A</v>
      </c>
      <c r="C142" s="3697" t="e">
        <v>#N/A</v>
      </c>
      <c r="D142" s="714" t="e">
        <v>#N/A</v>
      </c>
      <c r="E142" s="3697" t="e">
        <v>#N/A</v>
      </c>
      <c r="F142" s="714" t="e">
        <v>#N/A</v>
      </c>
      <c r="G142" s="3697" t="e">
        <v>#N/A</v>
      </c>
      <c r="H142" s="390" t="e">
        <v>#N/A</v>
      </c>
      <c r="I142" s="3697" t="e">
        <v>#N/A</v>
      </c>
      <c r="J142" s="3697" t="e">
        <v>#N/A</v>
      </c>
      <c r="K142" s="714" t="e">
        <v>#N/A</v>
      </c>
      <c r="L142" s="3697" t="e">
        <v>#N/A</v>
      </c>
      <c r="M142" s="714" t="e">
        <v>#N/A</v>
      </c>
      <c r="N142" s="3697" t="e">
        <v>#N/A</v>
      </c>
      <c r="O142" s="714" t="e">
        <v>#N/A</v>
      </c>
      <c r="P142" s="3697" t="e">
        <v>#N/A</v>
      </c>
      <c r="Q142" s="714" t="e">
        <v>#N/A</v>
      </c>
      <c r="R142" s="3697" t="e">
        <v>#N/A</v>
      </c>
      <c r="S142" s="714" t="e">
        <v>#N/A</v>
      </c>
      <c r="T142" s="1253" t="e">
        <v>#N/A</v>
      </c>
      <c r="U142" s="732" t="e">
        <v>#N/A</v>
      </c>
      <c r="V142" s="1253" t="e">
        <v>#N/A</v>
      </c>
      <c r="W142" s="719" t="e">
        <v>#N/A</v>
      </c>
      <c r="X142" s="3697" t="e">
        <v>#N/A</v>
      </c>
      <c r="Y142" s="552" t="e">
        <v>#N/A</v>
      </c>
    </row>
    <row r="143" spans="1:25">
      <c r="A143" s="280">
        <f t="shared" si="2"/>
        <v>2027.02</v>
      </c>
      <c r="B143" s="705" t="e">
        <v>#N/A</v>
      </c>
      <c r="C143" s="3697" t="e">
        <v>#N/A</v>
      </c>
      <c r="D143" s="714" t="e">
        <v>#N/A</v>
      </c>
      <c r="E143" s="3697" t="e">
        <v>#N/A</v>
      </c>
      <c r="F143" s="714" t="e">
        <v>#N/A</v>
      </c>
      <c r="G143" s="3697" t="e">
        <v>#N/A</v>
      </c>
      <c r="H143" s="390" t="e">
        <v>#N/A</v>
      </c>
      <c r="I143" s="3697" t="e">
        <v>#N/A</v>
      </c>
      <c r="J143" s="3697" t="e">
        <v>#N/A</v>
      </c>
      <c r="K143" s="714" t="e">
        <v>#N/A</v>
      </c>
      <c r="L143" s="3697" t="e">
        <v>#N/A</v>
      </c>
      <c r="M143" s="714" t="e">
        <v>#N/A</v>
      </c>
      <c r="N143" s="3697" t="e">
        <v>#N/A</v>
      </c>
      <c r="O143" s="714" t="e">
        <v>#N/A</v>
      </c>
      <c r="P143" s="3697" t="e">
        <v>#N/A</v>
      </c>
      <c r="Q143" s="714" t="e">
        <v>#N/A</v>
      </c>
      <c r="R143" s="3697" t="e">
        <v>#N/A</v>
      </c>
      <c r="S143" s="714" t="e">
        <v>#N/A</v>
      </c>
      <c r="T143" s="1253" t="e">
        <v>#N/A</v>
      </c>
      <c r="U143" s="732" t="e">
        <v>#N/A</v>
      </c>
      <c r="V143" s="1253" t="e">
        <v>#N/A</v>
      </c>
      <c r="W143" s="719" t="e">
        <v>#N/A</v>
      </c>
      <c r="X143" s="3697" t="e">
        <v>#N/A</v>
      </c>
      <c r="Y143" s="552" t="e">
        <v>#N/A</v>
      </c>
    </row>
    <row r="144" spans="1:25">
      <c r="A144" s="280">
        <f t="shared" si="2"/>
        <v>2027.03</v>
      </c>
      <c r="B144" s="705" t="e">
        <v>#N/A</v>
      </c>
      <c r="C144" s="3697" t="e">
        <v>#N/A</v>
      </c>
      <c r="D144" s="714" t="e">
        <v>#N/A</v>
      </c>
      <c r="E144" s="3697" t="e">
        <v>#N/A</v>
      </c>
      <c r="F144" s="714" t="e">
        <v>#N/A</v>
      </c>
      <c r="G144" s="3697" t="e">
        <v>#N/A</v>
      </c>
      <c r="H144" s="390" t="e">
        <v>#N/A</v>
      </c>
      <c r="I144" s="3697" t="e">
        <v>#N/A</v>
      </c>
      <c r="J144" s="3697" t="e">
        <v>#N/A</v>
      </c>
      <c r="K144" s="714" t="e">
        <v>#N/A</v>
      </c>
      <c r="L144" s="3697" t="e">
        <v>#N/A</v>
      </c>
      <c r="M144" s="714" t="e">
        <v>#N/A</v>
      </c>
      <c r="N144" s="3697" t="e">
        <v>#N/A</v>
      </c>
      <c r="O144" s="714" t="e">
        <v>#N/A</v>
      </c>
      <c r="P144" s="3697" t="e">
        <v>#N/A</v>
      </c>
      <c r="Q144" s="714" t="e">
        <v>#N/A</v>
      </c>
      <c r="R144" s="3697" t="e">
        <v>#N/A</v>
      </c>
      <c r="S144" s="714" t="e">
        <v>#N/A</v>
      </c>
      <c r="T144" s="1253" t="e">
        <v>#N/A</v>
      </c>
      <c r="U144" s="732" t="e">
        <v>#N/A</v>
      </c>
      <c r="V144" s="1253" t="e">
        <v>#N/A</v>
      </c>
      <c r="W144" s="719" t="e">
        <v>#N/A</v>
      </c>
      <c r="X144" s="3697" t="e">
        <v>#N/A</v>
      </c>
      <c r="Y144" s="552" t="e">
        <v>#N/A</v>
      </c>
    </row>
    <row r="145" spans="1:25">
      <c r="A145" s="280">
        <f t="shared" si="2"/>
        <v>2027.04</v>
      </c>
      <c r="B145" s="705" t="e">
        <v>#N/A</v>
      </c>
      <c r="C145" s="3697" t="e">
        <v>#N/A</v>
      </c>
      <c r="D145" s="714" t="e">
        <v>#N/A</v>
      </c>
      <c r="E145" s="3697" t="e">
        <v>#N/A</v>
      </c>
      <c r="F145" s="714" t="e">
        <v>#N/A</v>
      </c>
      <c r="G145" s="3697" t="e">
        <v>#N/A</v>
      </c>
      <c r="H145" s="390" t="e">
        <v>#N/A</v>
      </c>
      <c r="I145" s="3697" t="e">
        <v>#N/A</v>
      </c>
      <c r="J145" s="3697" t="e">
        <v>#N/A</v>
      </c>
      <c r="K145" s="714" t="e">
        <v>#N/A</v>
      </c>
      <c r="L145" s="3697" t="e">
        <v>#N/A</v>
      </c>
      <c r="M145" s="714" t="e">
        <v>#N/A</v>
      </c>
      <c r="N145" s="3697" t="e">
        <v>#N/A</v>
      </c>
      <c r="O145" s="714" t="e">
        <v>#N/A</v>
      </c>
      <c r="P145" s="3697" t="e">
        <v>#N/A</v>
      </c>
      <c r="Q145" s="714" t="e">
        <v>#N/A</v>
      </c>
      <c r="R145" s="3697" t="e">
        <v>#N/A</v>
      </c>
      <c r="S145" s="714" t="e">
        <v>#N/A</v>
      </c>
      <c r="T145" s="1253" t="e">
        <v>#N/A</v>
      </c>
      <c r="U145" s="732" t="e">
        <v>#N/A</v>
      </c>
      <c r="V145" s="1253" t="e">
        <v>#N/A</v>
      </c>
      <c r="W145" s="719" t="e">
        <v>#N/A</v>
      </c>
      <c r="X145" s="3697" t="e">
        <v>#N/A</v>
      </c>
      <c r="Y145" s="552" t="e">
        <v>#N/A</v>
      </c>
    </row>
    <row r="146" spans="1:25">
      <c r="A146" s="280">
        <f t="shared" si="2"/>
        <v>2027.05</v>
      </c>
      <c r="B146" s="705" t="e">
        <v>#N/A</v>
      </c>
      <c r="C146" s="3697" t="e">
        <v>#N/A</v>
      </c>
      <c r="D146" s="714" t="e">
        <v>#N/A</v>
      </c>
      <c r="E146" s="3697" t="e">
        <v>#N/A</v>
      </c>
      <c r="F146" s="714" t="e">
        <v>#N/A</v>
      </c>
      <c r="G146" s="3697" t="e">
        <v>#N/A</v>
      </c>
      <c r="H146" s="390" t="e">
        <v>#N/A</v>
      </c>
      <c r="I146" s="3697" t="e">
        <v>#N/A</v>
      </c>
      <c r="J146" s="3697" t="e">
        <v>#N/A</v>
      </c>
      <c r="K146" s="714" t="e">
        <v>#N/A</v>
      </c>
      <c r="L146" s="3697" t="e">
        <v>#N/A</v>
      </c>
      <c r="M146" s="714" t="e">
        <v>#N/A</v>
      </c>
      <c r="N146" s="3697" t="e">
        <v>#N/A</v>
      </c>
      <c r="O146" s="714" t="e">
        <v>#N/A</v>
      </c>
      <c r="P146" s="3697" t="e">
        <v>#N/A</v>
      </c>
      <c r="Q146" s="714" t="e">
        <v>#N/A</v>
      </c>
      <c r="R146" s="3697" t="e">
        <v>#N/A</v>
      </c>
      <c r="S146" s="714" t="e">
        <v>#N/A</v>
      </c>
      <c r="T146" s="1253" t="e">
        <v>#N/A</v>
      </c>
      <c r="U146" s="732" t="e">
        <v>#N/A</v>
      </c>
      <c r="V146" s="1253" t="e">
        <v>#N/A</v>
      </c>
      <c r="W146" s="719" t="e">
        <v>#N/A</v>
      </c>
      <c r="X146" s="3697" t="e">
        <v>#N/A</v>
      </c>
      <c r="Y146" s="552" t="e">
        <v>#N/A</v>
      </c>
    </row>
    <row r="147" spans="1:25">
      <c r="A147" s="280">
        <f t="shared" si="2"/>
        <v>2027.06</v>
      </c>
      <c r="B147" s="705" t="e">
        <v>#N/A</v>
      </c>
      <c r="C147" s="3697" t="e">
        <v>#N/A</v>
      </c>
      <c r="D147" s="714" t="e">
        <v>#N/A</v>
      </c>
      <c r="E147" s="3697" t="e">
        <v>#N/A</v>
      </c>
      <c r="F147" s="714" t="e">
        <v>#N/A</v>
      </c>
      <c r="G147" s="3697" t="e">
        <v>#N/A</v>
      </c>
      <c r="H147" s="390" t="e">
        <v>#N/A</v>
      </c>
      <c r="I147" s="3697" t="e">
        <v>#N/A</v>
      </c>
      <c r="J147" s="3697" t="e">
        <v>#N/A</v>
      </c>
      <c r="K147" s="714" t="e">
        <v>#N/A</v>
      </c>
      <c r="L147" s="3697" t="e">
        <v>#N/A</v>
      </c>
      <c r="M147" s="714" t="e">
        <v>#N/A</v>
      </c>
      <c r="N147" s="3697" t="e">
        <v>#N/A</v>
      </c>
      <c r="O147" s="714" t="e">
        <v>#N/A</v>
      </c>
      <c r="P147" s="3697" t="e">
        <v>#N/A</v>
      </c>
      <c r="Q147" s="714" t="e">
        <v>#N/A</v>
      </c>
      <c r="R147" s="3697" t="e">
        <v>#N/A</v>
      </c>
      <c r="S147" s="714" t="e">
        <v>#N/A</v>
      </c>
      <c r="T147" s="1253" t="e">
        <v>#N/A</v>
      </c>
      <c r="U147" s="732" t="e">
        <v>#N/A</v>
      </c>
      <c r="V147" s="1253" t="e">
        <v>#N/A</v>
      </c>
      <c r="W147" s="719" t="e">
        <v>#N/A</v>
      </c>
      <c r="X147" s="3697" t="e">
        <v>#N/A</v>
      </c>
      <c r="Y147" s="552" t="e">
        <v>#N/A</v>
      </c>
    </row>
    <row r="148" spans="1:25">
      <c r="A148" s="280">
        <f t="shared" si="2"/>
        <v>2027.07</v>
      </c>
      <c r="B148" s="705" t="e">
        <v>#N/A</v>
      </c>
      <c r="C148" s="3697" t="e">
        <v>#N/A</v>
      </c>
      <c r="D148" s="714" t="e">
        <v>#N/A</v>
      </c>
      <c r="E148" s="3697" t="e">
        <v>#N/A</v>
      </c>
      <c r="F148" s="714" t="e">
        <v>#N/A</v>
      </c>
      <c r="G148" s="3697" t="e">
        <v>#N/A</v>
      </c>
      <c r="H148" s="390" t="e">
        <v>#N/A</v>
      </c>
      <c r="I148" s="3697" t="e">
        <v>#N/A</v>
      </c>
      <c r="J148" s="3697" t="e">
        <v>#N/A</v>
      </c>
      <c r="K148" s="714" t="e">
        <v>#N/A</v>
      </c>
      <c r="L148" s="3697" t="e">
        <v>#N/A</v>
      </c>
      <c r="M148" s="714" t="e">
        <v>#N/A</v>
      </c>
      <c r="N148" s="3697" t="e">
        <v>#N/A</v>
      </c>
      <c r="O148" s="714" t="e">
        <v>#N/A</v>
      </c>
      <c r="P148" s="3697" t="e">
        <v>#N/A</v>
      </c>
      <c r="Q148" s="714" t="e">
        <v>#N/A</v>
      </c>
      <c r="R148" s="3697" t="e">
        <v>#N/A</v>
      </c>
      <c r="S148" s="714" t="e">
        <v>#N/A</v>
      </c>
      <c r="T148" s="1253" t="e">
        <v>#N/A</v>
      </c>
      <c r="U148" s="732" t="e">
        <v>#N/A</v>
      </c>
      <c r="V148" s="1253" t="e">
        <v>#N/A</v>
      </c>
      <c r="W148" s="719" t="e">
        <v>#N/A</v>
      </c>
      <c r="X148" s="3697" t="e">
        <v>#N/A</v>
      </c>
      <c r="Y148" s="552" t="e">
        <v>#N/A</v>
      </c>
    </row>
    <row r="149" spans="1:25">
      <c r="A149" s="280">
        <f t="shared" si="2"/>
        <v>2027.08</v>
      </c>
      <c r="B149" s="705" t="e">
        <v>#N/A</v>
      </c>
      <c r="C149" s="3697" t="e">
        <v>#N/A</v>
      </c>
      <c r="D149" s="714" t="e">
        <v>#N/A</v>
      </c>
      <c r="E149" s="3697" t="e">
        <v>#N/A</v>
      </c>
      <c r="F149" s="714" t="e">
        <v>#N/A</v>
      </c>
      <c r="G149" s="3697" t="e">
        <v>#N/A</v>
      </c>
      <c r="H149" s="390" t="e">
        <v>#N/A</v>
      </c>
      <c r="I149" s="3697" t="e">
        <v>#N/A</v>
      </c>
      <c r="J149" s="3697" t="e">
        <v>#N/A</v>
      </c>
      <c r="K149" s="714" t="e">
        <v>#N/A</v>
      </c>
      <c r="L149" s="3697" t="e">
        <v>#N/A</v>
      </c>
      <c r="M149" s="714" t="e">
        <v>#N/A</v>
      </c>
      <c r="N149" s="3697" t="e">
        <v>#N/A</v>
      </c>
      <c r="O149" s="714" t="e">
        <v>#N/A</v>
      </c>
      <c r="P149" s="3697" t="e">
        <v>#N/A</v>
      </c>
      <c r="Q149" s="714" t="e">
        <v>#N/A</v>
      </c>
      <c r="R149" s="3697" t="e">
        <v>#N/A</v>
      </c>
      <c r="S149" s="714" t="e">
        <v>#N/A</v>
      </c>
      <c r="T149" s="1253" t="e">
        <v>#N/A</v>
      </c>
      <c r="U149" s="732" t="e">
        <v>#N/A</v>
      </c>
      <c r="V149" s="1253" t="e">
        <v>#N/A</v>
      </c>
      <c r="W149" s="719" t="e">
        <v>#N/A</v>
      </c>
      <c r="X149" s="3697" t="e">
        <v>#N/A</v>
      </c>
      <c r="Y149" s="552" t="e">
        <v>#N/A</v>
      </c>
    </row>
    <row r="150" spans="1:25">
      <c r="A150" s="280">
        <f t="shared" si="2"/>
        <v>2027.09</v>
      </c>
      <c r="B150" s="705" t="e">
        <v>#N/A</v>
      </c>
      <c r="C150" s="3697" t="e">
        <v>#N/A</v>
      </c>
      <c r="D150" s="714" t="e">
        <v>#N/A</v>
      </c>
      <c r="E150" s="3697" t="e">
        <v>#N/A</v>
      </c>
      <c r="F150" s="714" t="e">
        <v>#N/A</v>
      </c>
      <c r="G150" s="3697" t="e">
        <v>#N/A</v>
      </c>
      <c r="H150" s="390" t="e">
        <v>#N/A</v>
      </c>
      <c r="I150" s="3697" t="e">
        <v>#N/A</v>
      </c>
      <c r="J150" s="3697" t="e">
        <v>#N/A</v>
      </c>
      <c r="K150" s="714" t="e">
        <v>#N/A</v>
      </c>
      <c r="L150" s="3697" t="e">
        <v>#N/A</v>
      </c>
      <c r="M150" s="714" t="e">
        <v>#N/A</v>
      </c>
      <c r="N150" s="3697" t="e">
        <v>#N/A</v>
      </c>
      <c r="O150" s="714" t="e">
        <v>#N/A</v>
      </c>
      <c r="P150" s="3697" t="e">
        <v>#N/A</v>
      </c>
      <c r="Q150" s="714" t="e">
        <v>#N/A</v>
      </c>
      <c r="R150" s="3697" t="e">
        <v>#N/A</v>
      </c>
      <c r="S150" s="714" t="e">
        <v>#N/A</v>
      </c>
      <c r="T150" s="1253" t="e">
        <v>#N/A</v>
      </c>
      <c r="U150" s="732" t="e">
        <v>#N/A</v>
      </c>
      <c r="V150" s="1253" t="e">
        <v>#N/A</v>
      </c>
      <c r="W150" s="719" t="e">
        <v>#N/A</v>
      </c>
      <c r="X150" s="3697" t="e">
        <v>#N/A</v>
      </c>
      <c r="Y150" s="552" t="e">
        <v>#N/A</v>
      </c>
    </row>
    <row r="151" spans="1:25">
      <c r="A151" s="280">
        <f t="shared" ref="A151:A189" si="3">A139+1</f>
        <v>2027.1</v>
      </c>
      <c r="B151" s="705" t="e">
        <v>#N/A</v>
      </c>
      <c r="C151" s="3697" t="e">
        <v>#N/A</v>
      </c>
      <c r="D151" s="714" t="e">
        <v>#N/A</v>
      </c>
      <c r="E151" s="3697" t="e">
        <v>#N/A</v>
      </c>
      <c r="F151" s="714" t="e">
        <v>#N/A</v>
      </c>
      <c r="G151" s="3697" t="e">
        <v>#N/A</v>
      </c>
      <c r="H151" s="390" t="e">
        <v>#N/A</v>
      </c>
      <c r="I151" s="3697" t="e">
        <v>#N/A</v>
      </c>
      <c r="J151" s="3697" t="e">
        <v>#N/A</v>
      </c>
      <c r="K151" s="714" t="e">
        <v>#N/A</v>
      </c>
      <c r="L151" s="3697" t="e">
        <v>#N/A</v>
      </c>
      <c r="M151" s="714" t="e">
        <v>#N/A</v>
      </c>
      <c r="N151" s="3697" t="e">
        <v>#N/A</v>
      </c>
      <c r="O151" s="714" t="e">
        <v>#N/A</v>
      </c>
      <c r="P151" s="3697" t="e">
        <v>#N/A</v>
      </c>
      <c r="Q151" s="714" t="e">
        <v>#N/A</v>
      </c>
      <c r="R151" s="3697" t="e">
        <v>#N/A</v>
      </c>
      <c r="S151" s="714" t="e">
        <v>#N/A</v>
      </c>
      <c r="T151" s="1253" t="e">
        <v>#N/A</v>
      </c>
      <c r="U151" s="732" t="e">
        <v>#N/A</v>
      </c>
      <c r="V151" s="1253" t="e">
        <v>#N/A</v>
      </c>
      <c r="W151" s="719" t="e">
        <v>#N/A</v>
      </c>
      <c r="X151" s="3697" t="e">
        <v>#N/A</v>
      </c>
      <c r="Y151" s="552" t="e">
        <v>#N/A</v>
      </c>
    </row>
    <row r="152" spans="1:25">
      <c r="A152" s="280">
        <f t="shared" si="3"/>
        <v>2027.11</v>
      </c>
      <c r="B152" s="705" t="e">
        <v>#N/A</v>
      </c>
      <c r="C152" s="3697" t="e">
        <v>#N/A</v>
      </c>
      <c r="D152" s="714" t="e">
        <v>#N/A</v>
      </c>
      <c r="E152" s="3697" t="e">
        <v>#N/A</v>
      </c>
      <c r="F152" s="714" t="e">
        <v>#N/A</v>
      </c>
      <c r="G152" s="3697" t="e">
        <v>#N/A</v>
      </c>
      <c r="H152" s="390" t="e">
        <v>#N/A</v>
      </c>
      <c r="I152" s="3697" t="e">
        <v>#N/A</v>
      </c>
      <c r="J152" s="3697" t="e">
        <v>#N/A</v>
      </c>
      <c r="K152" s="714" t="e">
        <v>#N/A</v>
      </c>
      <c r="L152" s="3697" t="e">
        <v>#N/A</v>
      </c>
      <c r="M152" s="714" t="e">
        <v>#N/A</v>
      </c>
      <c r="N152" s="3697" t="e">
        <v>#N/A</v>
      </c>
      <c r="O152" s="714" t="e">
        <v>#N/A</v>
      </c>
      <c r="P152" s="3697" t="e">
        <v>#N/A</v>
      </c>
      <c r="Q152" s="714" t="e">
        <v>#N/A</v>
      </c>
      <c r="R152" s="3697" t="e">
        <v>#N/A</v>
      </c>
      <c r="S152" s="714" t="e">
        <v>#N/A</v>
      </c>
      <c r="T152" s="1253" t="e">
        <v>#N/A</v>
      </c>
      <c r="U152" s="732" t="e">
        <v>#N/A</v>
      </c>
      <c r="V152" s="1253" t="e">
        <v>#N/A</v>
      </c>
      <c r="W152" s="719" t="e">
        <v>#N/A</v>
      </c>
      <c r="X152" s="3697" t="e">
        <v>#N/A</v>
      </c>
      <c r="Y152" s="552" t="e">
        <v>#N/A</v>
      </c>
    </row>
    <row r="153" spans="1:25">
      <c r="A153" s="280">
        <f t="shared" si="3"/>
        <v>2027.12</v>
      </c>
      <c r="B153" s="705" t="e">
        <v>#N/A</v>
      </c>
      <c r="C153" s="3697" t="e">
        <v>#N/A</v>
      </c>
      <c r="D153" s="714" t="e">
        <v>#N/A</v>
      </c>
      <c r="E153" s="3697" t="e">
        <v>#N/A</v>
      </c>
      <c r="F153" s="714" t="e">
        <v>#N/A</v>
      </c>
      <c r="G153" s="3697" t="e">
        <v>#N/A</v>
      </c>
      <c r="H153" s="390" t="e">
        <v>#N/A</v>
      </c>
      <c r="I153" s="3697" t="e">
        <v>#N/A</v>
      </c>
      <c r="J153" s="3697" t="e">
        <v>#N/A</v>
      </c>
      <c r="K153" s="714" t="e">
        <v>#N/A</v>
      </c>
      <c r="L153" s="3697" t="e">
        <v>#N/A</v>
      </c>
      <c r="M153" s="714" t="e">
        <v>#N/A</v>
      </c>
      <c r="N153" s="3697" t="e">
        <v>#N/A</v>
      </c>
      <c r="O153" s="714" t="e">
        <v>#N/A</v>
      </c>
      <c r="P153" s="3697" t="e">
        <v>#N/A</v>
      </c>
      <c r="Q153" s="714" t="e">
        <v>#N/A</v>
      </c>
      <c r="R153" s="3697" t="e">
        <v>#N/A</v>
      </c>
      <c r="S153" s="714" t="e">
        <v>#N/A</v>
      </c>
      <c r="T153" s="1253" t="e">
        <v>#N/A</v>
      </c>
      <c r="U153" s="732" t="e">
        <v>#N/A</v>
      </c>
      <c r="V153" s="1253" t="e">
        <v>#N/A</v>
      </c>
      <c r="W153" s="719" t="e">
        <v>#N/A</v>
      </c>
      <c r="X153" s="3697" t="e">
        <v>#N/A</v>
      </c>
      <c r="Y153" s="552" t="e">
        <v>#N/A</v>
      </c>
    </row>
    <row r="154" spans="1:25">
      <c r="A154" s="280">
        <f t="shared" si="3"/>
        <v>2028.01</v>
      </c>
      <c r="B154" s="705" t="e">
        <v>#N/A</v>
      </c>
      <c r="C154" s="3697" t="e">
        <v>#N/A</v>
      </c>
      <c r="D154" s="714" t="e">
        <v>#N/A</v>
      </c>
      <c r="E154" s="3697" t="e">
        <v>#N/A</v>
      </c>
      <c r="F154" s="714" t="e">
        <v>#N/A</v>
      </c>
      <c r="G154" s="3697" t="e">
        <v>#N/A</v>
      </c>
      <c r="H154" s="390" t="e">
        <v>#N/A</v>
      </c>
      <c r="I154" s="3697" t="e">
        <v>#N/A</v>
      </c>
      <c r="J154" s="3697" t="e">
        <v>#N/A</v>
      </c>
      <c r="K154" s="714" t="e">
        <v>#N/A</v>
      </c>
      <c r="L154" s="3697" t="e">
        <v>#N/A</v>
      </c>
      <c r="M154" s="714" t="e">
        <v>#N/A</v>
      </c>
      <c r="N154" s="3697" t="e">
        <v>#N/A</v>
      </c>
      <c r="O154" s="714" t="e">
        <v>#N/A</v>
      </c>
      <c r="P154" s="3697" t="e">
        <v>#N/A</v>
      </c>
      <c r="Q154" s="714" t="e">
        <v>#N/A</v>
      </c>
      <c r="R154" s="3697" t="e">
        <v>#N/A</v>
      </c>
      <c r="S154" s="714" t="e">
        <v>#N/A</v>
      </c>
      <c r="T154" s="1253" t="e">
        <v>#N/A</v>
      </c>
      <c r="U154" s="732" t="e">
        <v>#N/A</v>
      </c>
      <c r="V154" s="1253" t="e">
        <v>#N/A</v>
      </c>
      <c r="W154" s="719" t="e">
        <v>#N/A</v>
      </c>
      <c r="X154" s="3697" t="e">
        <v>#N/A</v>
      </c>
      <c r="Y154" s="552" t="e">
        <v>#N/A</v>
      </c>
    </row>
    <row r="155" spans="1:25">
      <c r="A155" s="280">
        <f t="shared" si="3"/>
        <v>2028.02</v>
      </c>
      <c r="B155" s="705" t="e">
        <v>#N/A</v>
      </c>
      <c r="C155" s="3697" t="e">
        <v>#N/A</v>
      </c>
      <c r="D155" s="714" t="e">
        <v>#N/A</v>
      </c>
      <c r="E155" s="3697" t="e">
        <v>#N/A</v>
      </c>
      <c r="F155" s="714" t="e">
        <v>#N/A</v>
      </c>
      <c r="G155" s="3697" t="e">
        <v>#N/A</v>
      </c>
      <c r="H155" s="390" t="e">
        <v>#N/A</v>
      </c>
      <c r="I155" s="3697" t="e">
        <v>#N/A</v>
      </c>
      <c r="J155" s="3697" t="e">
        <v>#N/A</v>
      </c>
      <c r="K155" s="714" t="e">
        <v>#N/A</v>
      </c>
      <c r="L155" s="3697" t="e">
        <v>#N/A</v>
      </c>
      <c r="M155" s="714" t="e">
        <v>#N/A</v>
      </c>
      <c r="N155" s="3697" t="e">
        <v>#N/A</v>
      </c>
      <c r="O155" s="714" t="e">
        <v>#N/A</v>
      </c>
      <c r="P155" s="3697" t="e">
        <v>#N/A</v>
      </c>
      <c r="Q155" s="714" t="e">
        <v>#N/A</v>
      </c>
      <c r="R155" s="3697" t="e">
        <v>#N/A</v>
      </c>
      <c r="S155" s="714" t="e">
        <v>#N/A</v>
      </c>
      <c r="T155" s="1253" t="e">
        <v>#N/A</v>
      </c>
      <c r="U155" s="732" t="e">
        <v>#N/A</v>
      </c>
      <c r="V155" s="1253" t="e">
        <v>#N/A</v>
      </c>
      <c r="W155" s="719" t="e">
        <v>#N/A</v>
      </c>
      <c r="X155" s="3697" t="e">
        <v>#N/A</v>
      </c>
      <c r="Y155" s="552" t="e">
        <v>#N/A</v>
      </c>
    </row>
    <row r="156" spans="1:25">
      <c r="A156" s="280">
        <f t="shared" si="3"/>
        <v>2028.03</v>
      </c>
      <c r="B156" s="705" t="e">
        <v>#N/A</v>
      </c>
      <c r="C156" s="3697" t="e">
        <v>#N/A</v>
      </c>
      <c r="D156" s="714" t="e">
        <v>#N/A</v>
      </c>
      <c r="E156" s="3697" t="e">
        <v>#N/A</v>
      </c>
      <c r="F156" s="714" t="e">
        <v>#N/A</v>
      </c>
      <c r="G156" s="3697" t="e">
        <v>#N/A</v>
      </c>
      <c r="H156" s="390" t="e">
        <v>#N/A</v>
      </c>
      <c r="I156" s="3697" t="e">
        <v>#N/A</v>
      </c>
      <c r="J156" s="3697" t="e">
        <v>#N/A</v>
      </c>
      <c r="K156" s="714" t="e">
        <v>#N/A</v>
      </c>
      <c r="L156" s="3697" t="e">
        <v>#N/A</v>
      </c>
      <c r="M156" s="714" t="e">
        <v>#N/A</v>
      </c>
      <c r="N156" s="3697" t="e">
        <v>#N/A</v>
      </c>
      <c r="O156" s="714" t="e">
        <v>#N/A</v>
      </c>
      <c r="P156" s="3697" t="e">
        <v>#N/A</v>
      </c>
      <c r="Q156" s="714" t="e">
        <v>#N/A</v>
      </c>
      <c r="R156" s="3697" t="e">
        <v>#N/A</v>
      </c>
      <c r="S156" s="714" t="e">
        <v>#N/A</v>
      </c>
      <c r="T156" s="1253" t="e">
        <v>#N/A</v>
      </c>
      <c r="U156" s="732" t="e">
        <v>#N/A</v>
      </c>
      <c r="V156" s="1253" t="e">
        <v>#N/A</v>
      </c>
      <c r="W156" s="719" t="e">
        <v>#N/A</v>
      </c>
      <c r="X156" s="3697" t="e">
        <v>#N/A</v>
      </c>
      <c r="Y156" s="552" t="e">
        <v>#N/A</v>
      </c>
    </row>
    <row r="157" spans="1:25">
      <c r="A157" s="280">
        <f t="shared" si="3"/>
        <v>2028.04</v>
      </c>
      <c r="B157" s="705" t="e">
        <v>#N/A</v>
      </c>
      <c r="C157" s="3697" t="e">
        <v>#N/A</v>
      </c>
      <c r="D157" s="714" t="e">
        <v>#N/A</v>
      </c>
      <c r="E157" s="3697" t="e">
        <v>#N/A</v>
      </c>
      <c r="F157" s="714" t="e">
        <v>#N/A</v>
      </c>
      <c r="G157" s="3697" t="e">
        <v>#N/A</v>
      </c>
      <c r="H157" s="390" t="e">
        <v>#N/A</v>
      </c>
      <c r="I157" s="3697" t="e">
        <v>#N/A</v>
      </c>
      <c r="J157" s="3697" t="e">
        <v>#N/A</v>
      </c>
      <c r="K157" s="714" t="e">
        <v>#N/A</v>
      </c>
      <c r="L157" s="3697" t="e">
        <v>#N/A</v>
      </c>
      <c r="M157" s="714" t="e">
        <v>#N/A</v>
      </c>
      <c r="N157" s="3697" t="e">
        <v>#N/A</v>
      </c>
      <c r="O157" s="714" t="e">
        <v>#N/A</v>
      </c>
      <c r="P157" s="3697" t="e">
        <v>#N/A</v>
      </c>
      <c r="Q157" s="714" t="e">
        <v>#N/A</v>
      </c>
      <c r="R157" s="3697" t="e">
        <v>#N/A</v>
      </c>
      <c r="S157" s="714" t="e">
        <v>#N/A</v>
      </c>
      <c r="T157" s="1253" t="e">
        <v>#N/A</v>
      </c>
      <c r="U157" s="732" t="e">
        <v>#N/A</v>
      </c>
      <c r="V157" s="1253" t="e">
        <v>#N/A</v>
      </c>
      <c r="W157" s="719" t="e">
        <v>#N/A</v>
      </c>
      <c r="X157" s="3697" t="e">
        <v>#N/A</v>
      </c>
      <c r="Y157" s="552" t="e">
        <v>#N/A</v>
      </c>
    </row>
    <row r="158" spans="1:25">
      <c r="A158" s="280">
        <f t="shared" si="3"/>
        <v>2028.05</v>
      </c>
      <c r="B158" s="705" t="e">
        <v>#N/A</v>
      </c>
      <c r="C158" s="3697" t="e">
        <v>#N/A</v>
      </c>
      <c r="D158" s="714" t="e">
        <v>#N/A</v>
      </c>
      <c r="E158" s="3697" t="e">
        <v>#N/A</v>
      </c>
      <c r="F158" s="714" t="e">
        <v>#N/A</v>
      </c>
      <c r="G158" s="3697" t="e">
        <v>#N/A</v>
      </c>
      <c r="H158" s="390" t="e">
        <v>#N/A</v>
      </c>
      <c r="I158" s="3697" t="e">
        <v>#N/A</v>
      </c>
      <c r="J158" s="3697" t="e">
        <v>#N/A</v>
      </c>
      <c r="K158" s="714" t="e">
        <v>#N/A</v>
      </c>
      <c r="L158" s="3697" t="e">
        <v>#N/A</v>
      </c>
      <c r="M158" s="714" t="e">
        <v>#N/A</v>
      </c>
      <c r="N158" s="3697" t="e">
        <v>#N/A</v>
      </c>
      <c r="O158" s="714" t="e">
        <v>#N/A</v>
      </c>
      <c r="P158" s="3697" t="e">
        <v>#N/A</v>
      </c>
      <c r="Q158" s="714" t="e">
        <v>#N/A</v>
      </c>
      <c r="R158" s="3697" t="e">
        <v>#N/A</v>
      </c>
      <c r="S158" s="714" t="e">
        <v>#N/A</v>
      </c>
      <c r="T158" s="1253" t="e">
        <v>#N/A</v>
      </c>
      <c r="U158" s="732" t="e">
        <v>#N/A</v>
      </c>
      <c r="V158" s="1253" t="e">
        <v>#N/A</v>
      </c>
      <c r="W158" s="719" t="e">
        <v>#N/A</v>
      </c>
      <c r="X158" s="3697" t="e">
        <v>#N/A</v>
      </c>
      <c r="Y158" s="552" t="e">
        <v>#N/A</v>
      </c>
    </row>
    <row r="159" spans="1:25">
      <c r="A159" s="280">
        <f t="shared" si="3"/>
        <v>2028.06</v>
      </c>
      <c r="B159" s="705" t="e">
        <v>#N/A</v>
      </c>
      <c r="C159" s="3697" t="e">
        <v>#N/A</v>
      </c>
      <c r="D159" s="714" t="e">
        <v>#N/A</v>
      </c>
      <c r="E159" s="3697" t="e">
        <v>#N/A</v>
      </c>
      <c r="F159" s="714" t="e">
        <v>#N/A</v>
      </c>
      <c r="G159" s="3697" t="e">
        <v>#N/A</v>
      </c>
      <c r="H159" s="390" t="e">
        <v>#N/A</v>
      </c>
      <c r="I159" s="3697" t="e">
        <v>#N/A</v>
      </c>
      <c r="J159" s="3697" t="e">
        <v>#N/A</v>
      </c>
      <c r="K159" s="714" t="e">
        <v>#N/A</v>
      </c>
      <c r="L159" s="3697" t="e">
        <v>#N/A</v>
      </c>
      <c r="M159" s="714" t="e">
        <v>#N/A</v>
      </c>
      <c r="N159" s="3697" t="e">
        <v>#N/A</v>
      </c>
      <c r="O159" s="714" t="e">
        <v>#N/A</v>
      </c>
      <c r="P159" s="3697" t="e">
        <v>#N/A</v>
      </c>
      <c r="Q159" s="714" t="e">
        <v>#N/A</v>
      </c>
      <c r="R159" s="3697" t="e">
        <v>#N/A</v>
      </c>
      <c r="S159" s="714" t="e">
        <v>#N/A</v>
      </c>
      <c r="T159" s="1253" t="e">
        <v>#N/A</v>
      </c>
      <c r="U159" s="732" t="e">
        <v>#N/A</v>
      </c>
      <c r="V159" s="1253" t="e">
        <v>#N/A</v>
      </c>
      <c r="W159" s="719" t="e">
        <v>#N/A</v>
      </c>
      <c r="X159" s="3697" t="e">
        <v>#N/A</v>
      </c>
      <c r="Y159" s="552" t="e">
        <v>#N/A</v>
      </c>
    </row>
    <row r="160" spans="1:25">
      <c r="A160" s="280">
        <f t="shared" si="3"/>
        <v>2028.07</v>
      </c>
      <c r="B160" s="705" t="e">
        <v>#N/A</v>
      </c>
      <c r="C160" s="3697" t="e">
        <v>#N/A</v>
      </c>
      <c r="D160" s="714" t="e">
        <v>#N/A</v>
      </c>
      <c r="E160" s="3697" t="e">
        <v>#N/A</v>
      </c>
      <c r="F160" s="714" t="e">
        <v>#N/A</v>
      </c>
      <c r="G160" s="3697" t="e">
        <v>#N/A</v>
      </c>
      <c r="H160" s="390" t="e">
        <v>#N/A</v>
      </c>
      <c r="I160" s="3697" t="e">
        <v>#N/A</v>
      </c>
      <c r="J160" s="3697" t="e">
        <v>#N/A</v>
      </c>
      <c r="K160" s="714" t="e">
        <v>#N/A</v>
      </c>
      <c r="L160" s="3697" t="e">
        <v>#N/A</v>
      </c>
      <c r="M160" s="714" t="e">
        <v>#N/A</v>
      </c>
      <c r="N160" s="3697" t="e">
        <v>#N/A</v>
      </c>
      <c r="O160" s="714" t="e">
        <v>#N/A</v>
      </c>
      <c r="P160" s="3697" t="e">
        <v>#N/A</v>
      </c>
      <c r="Q160" s="714" t="e">
        <v>#N/A</v>
      </c>
      <c r="R160" s="3697" t="e">
        <v>#N/A</v>
      </c>
      <c r="S160" s="714" t="e">
        <v>#N/A</v>
      </c>
      <c r="T160" s="1253" t="e">
        <v>#N/A</v>
      </c>
      <c r="U160" s="732" t="e">
        <v>#N/A</v>
      </c>
      <c r="V160" s="1253" t="e">
        <v>#N/A</v>
      </c>
      <c r="W160" s="719" t="e">
        <v>#N/A</v>
      </c>
      <c r="X160" s="3697" t="e">
        <v>#N/A</v>
      </c>
      <c r="Y160" s="552" t="e">
        <v>#N/A</v>
      </c>
    </row>
    <row r="161" spans="1:25">
      <c r="A161" s="280">
        <f t="shared" si="3"/>
        <v>2028.08</v>
      </c>
      <c r="B161" s="705" t="e">
        <v>#N/A</v>
      </c>
      <c r="C161" s="3697" t="e">
        <v>#N/A</v>
      </c>
      <c r="D161" s="714" t="e">
        <v>#N/A</v>
      </c>
      <c r="E161" s="3697" t="e">
        <v>#N/A</v>
      </c>
      <c r="F161" s="714" t="e">
        <v>#N/A</v>
      </c>
      <c r="G161" s="3697" t="e">
        <v>#N/A</v>
      </c>
      <c r="H161" s="390" t="e">
        <v>#N/A</v>
      </c>
      <c r="I161" s="3697" t="e">
        <v>#N/A</v>
      </c>
      <c r="J161" s="3697" t="e">
        <v>#N/A</v>
      </c>
      <c r="K161" s="714" t="e">
        <v>#N/A</v>
      </c>
      <c r="L161" s="3697" t="e">
        <v>#N/A</v>
      </c>
      <c r="M161" s="714" t="e">
        <v>#N/A</v>
      </c>
      <c r="N161" s="3697" t="e">
        <v>#N/A</v>
      </c>
      <c r="O161" s="714" t="e">
        <v>#N/A</v>
      </c>
      <c r="P161" s="3697" t="e">
        <v>#N/A</v>
      </c>
      <c r="Q161" s="714" t="e">
        <v>#N/A</v>
      </c>
      <c r="R161" s="3697" t="e">
        <v>#N/A</v>
      </c>
      <c r="S161" s="714" t="e">
        <v>#N/A</v>
      </c>
      <c r="T161" s="1253" t="e">
        <v>#N/A</v>
      </c>
      <c r="U161" s="732" t="e">
        <v>#N/A</v>
      </c>
      <c r="V161" s="1253" t="e">
        <v>#N/A</v>
      </c>
      <c r="W161" s="719" t="e">
        <v>#N/A</v>
      </c>
      <c r="X161" s="3697" t="e">
        <v>#N/A</v>
      </c>
      <c r="Y161" s="552" t="e">
        <v>#N/A</v>
      </c>
    </row>
    <row r="162" spans="1:25">
      <c r="A162" s="280">
        <f t="shared" si="3"/>
        <v>2028.09</v>
      </c>
      <c r="B162" s="705" t="e">
        <v>#N/A</v>
      </c>
      <c r="C162" s="3697" t="e">
        <v>#N/A</v>
      </c>
      <c r="D162" s="714" t="e">
        <v>#N/A</v>
      </c>
      <c r="E162" s="3697" t="e">
        <v>#N/A</v>
      </c>
      <c r="F162" s="714" t="e">
        <v>#N/A</v>
      </c>
      <c r="G162" s="3697" t="e">
        <v>#N/A</v>
      </c>
      <c r="H162" s="390" t="e">
        <v>#N/A</v>
      </c>
      <c r="I162" s="3697" t="e">
        <v>#N/A</v>
      </c>
      <c r="J162" s="3697" t="e">
        <v>#N/A</v>
      </c>
      <c r="K162" s="714" t="e">
        <v>#N/A</v>
      </c>
      <c r="L162" s="3697" t="e">
        <v>#N/A</v>
      </c>
      <c r="M162" s="714" t="e">
        <v>#N/A</v>
      </c>
      <c r="N162" s="3697" t="e">
        <v>#N/A</v>
      </c>
      <c r="O162" s="714" t="e">
        <v>#N/A</v>
      </c>
      <c r="P162" s="3697" t="e">
        <v>#N/A</v>
      </c>
      <c r="Q162" s="714" t="e">
        <v>#N/A</v>
      </c>
      <c r="R162" s="3697" t="e">
        <v>#N/A</v>
      </c>
      <c r="S162" s="714" t="e">
        <v>#N/A</v>
      </c>
      <c r="T162" s="1253" t="e">
        <v>#N/A</v>
      </c>
      <c r="U162" s="732" t="e">
        <v>#N/A</v>
      </c>
      <c r="V162" s="1253" t="e">
        <v>#N/A</v>
      </c>
      <c r="W162" s="719" t="e">
        <v>#N/A</v>
      </c>
      <c r="X162" s="3697" t="e">
        <v>#N/A</v>
      </c>
      <c r="Y162" s="552" t="e">
        <v>#N/A</v>
      </c>
    </row>
    <row r="163" spans="1:25">
      <c r="A163" s="280">
        <f t="shared" si="3"/>
        <v>2028.1</v>
      </c>
      <c r="B163" s="705" t="e">
        <v>#N/A</v>
      </c>
      <c r="C163" s="3697" t="e">
        <v>#N/A</v>
      </c>
      <c r="D163" s="714" t="e">
        <v>#N/A</v>
      </c>
      <c r="E163" s="3697" t="e">
        <v>#N/A</v>
      </c>
      <c r="F163" s="714" t="e">
        <v>#N/A</v>
      </c>
      <c r="G163" s="3697" t="e">
        <v>#N/A</v>
      </c>
      <c r="H163" s="390" t="e">
        <v>#N/A</v>
      </c>
      <c r="I163" s="3697" t="e">
        <v>#N/A</v>
      </c>
      <c r="J163" s="3697" t="e">
        <v>#N/A</v>
      </c>
      <c r="K163" s="714" t="e">
        <v>#N/A</v>
      </c>
      <c r="L163" s="3697" t="e">
        <v>#N/A</v>
      </c>
      <c r="M163" s="714" t="e">
        <v>#N/A</v>
      </c>
      <c r="N163" s="3697" t="e">
        <v>#N/A</v>
      </c>
      <c r="O163" s="714" t="e">
        <v>#N/A</v>
      </c>
      <c r="P163" s="3697" t="e">
        <v>#N/A</v>
      </c>
      <c r="Q163" s="714" t="e">
        <v>#N/A</v>
      </c>
      <c r="R163" s="3697" t="e">
        <v>#N/A</v>
      </c>
      <c r="S163" s="714" t="e">
        <v>#N/A</v>
      </c>
      <c r="T163" s="1253" t="e">
        <v>#N/A</v>
      </c>
      <c r="U163" s="732" t="e">
        <v>#N/A</v>
      </c>
      <c r="V163" s="1253" t="e">
        <v>#N/A</v>
      </c>
      <c r="W163" s="719" t="e">
        <v>#N/A</v>
      </c>
      <c r="X163" s="3697" t="e">
        <v>#N/A</v>
      </c>
      <c r="Y163" s="552" t="e">
        <v>#N/A</v>
      </c>
    </row>
    <row r="164" spans="1:25">
      <c r="A164" s="280">
        <f t="shared" si="3"/>
        <v>2028.11</v>
      </c>
      <c r="B164" s="705" t="e">
        <v>#N/A</v>
      </c>
      <c r="C164" s="3697" t="e">
        <v>#N/A</v>
      </c>
      <c r="D164" s="714" t="e">
        <v>#N/A</v>
      </c>
      <c r="E164" s="3697" t="e">
        <v>#N/A</v>
      </c>
      <c r="F164" s="714" t="e">
        <v>#N/A</v>
      </c>
      <c r="G164" s="3697" t="e">
        <v>#N/A</v>
      </c>
      <c r="H164" s="390" t="e">
        <v>#N/A</v>
      </c>
      <c r="I164" s="3697" t="e">
        <v>#N/A</v>
      </c>
      <c r="J164" s="3697" t="e">
        <v>#N/A</v>
      </c>
      <c r="K164" s="714" t="e">
        <v>#N/A</v>
      </c>
      <c r="L164" s="3697" t="e">
        <v>#N/A</v>
      </c>
      <c r="M164" s="714" t="e">
        <v>#N/A</v>
      </c>
      <c r="N164" s="3697" t="e">
        <v>#N/A</v>
      </c>
      <c r="O164" s="714" t="e">
        <v>#N/A</v>
      </c>
      <c r="P164" s="3697" t="e">
        <v>#N/A</v>
      </c>
      <c r="Q164" s="714" t="e">
        <v>#N/A</v>
      </c>
      <c r="R164" s="3697" t="e">
        <v>#N/A</v>
      </c>
      <c r="S164" s="714" t="e">
        <v>#N/A</v>
      </c>
      <c r="T164" s="1253" t="e">
        <v>#N/A</v>
      </c>
      <c r="U164" s="732" t="e">
        <v>#N/A</v>
      </c>
      <c r="V164" s="1253" t="e">
        <v>#N/A</v>
      </c>
      <c r="W164" s="719" t="e">
        <v>#N/A</v>
      </c>
      <c r="X164" s="3697" t="e">
        <v>#N/A</v>
      </c>
      <c r="Y164" s="552" t="e">
        <v>#N/A</v>
      </c>
    </row>
    <row r="165" spans="1:25">
      <c r="A165" s="280">
        <f t="shared" si="3"/>
        <v>2028.12</v>
      </c>
      <c r="B165" s="705" t="e">
        <v>#N/A</v>
      </c>
      <c r="C165" s="3697" t="e">
        <v>#N/A</v>
      </c>
      <c r="D165" s="714" t="e">
        <v>#N/A</v>
      </c>
      <c r="E165" s="3697" t="e">
        <v>#N/A</v>
      </c>
      <c r="F165" s="714" t="e">
        <v>#N/A</v>
      </c>
      <c r="G165" s="3697" t="e">
        <v>#N/A</v>
      </c>
      <c r="H165" s="390" t="e">
        <v>#N/A</v>
      </c>
      <c r="I165" s="3697" t="e">
        <v>#N/A</v>
      </c>
      <c r="J165" s="3697" t="e">
        <v>#N/A</v>
      </c>
      <c r="K165" s="714" t="e">
        <v>#N/A</v>
      </c>
      <c r="L165" s="3697" t="e">
        <v>#N/A</v>
      </c>
      <c r="M165" s="714" t="e">
        <v>#N/A</v>
      </c>
      <c r="N165" s="3697" t="e">
        <v>#N/A</v>
      </c>
      <c r="O165" s="714" t="e">
        <v>#N/A</v>
      </c>
      <c r="P165" s="3697" t="e">
        <v>#N/A</v>
      </c>
      <c r="Q165" s="714" t="e">
        <v>#N/A</v>
      </c>
      <c r="R165" s="3697" t="e">
        <v>#N/A</v>
      </c>
      <c r="S165" s="714" t="e">
        <v>#N/A</v>
      </c>
      <c r="T165" s="1253" t="e">
        <v>#N/A</v>
      </c>
      <c r="U165" s="732" t="e">
        <v>#N/A</v>
      </c>
      <c r="V165" s="1253" t="e">
        <v>#N/A</v>
      </c>
      <c r="W165" s="719" t="e">
        <v>#N/A</v>
      </c>
      <c r="X165" s="3697" t="e">
        <v>#N/A</v>
      </c>
      <c r="Y165" s="552" t="e">
        <v>#N/A</v>
      </c>
    </row>
    <row r="166" spans="1:25">
      <c r="A166" s="280">
        <f t="shared" si="3"/>
        <v>2029.01</v>
      </c>
      <c r="B166" s="705" t="e">
        <v>#N/A</v>
      </c>
      <c r="C166" s="3697" t="e">
        <v>#N/A</v>
      </c>
      <c r="D166" s="714" t="e">
        <v>#N/A</v>
      </c>
      <c r="E166" s="3697" t="e">
        <v>#N/A</v>
      </c>
      <c r="F166" s="714" t="e">
        <v>#N/A</v>
      </c>
      <c r="G166" s="3697" t="e">
        <v>#N/A</v>
      </c>
      <c r="H166" s="390" t="e">
        <v>#N/A</v>
      </c>
      <c r="I166" s="3697" t="e">
        <v>#N/A</v>
      </c>
      <c r="J166" s="3697" t="e">
        <v>#N/A</v>
      </c>
      <c r="K166" s="714" t="e">
        <v>#N/A</v>
      </c>
      <c r="L166" s="3697" t="e">
        <v>#N/A</v>
      </c>
      <c r="M166" s="714" t="e">
        <v>#N/A</v>
      </c>
      <c r="N166" s="3697" t="e">
        <v>#N/A</v>
      </c>
      <c r="O166" s="714" t="e">
        <v>#N/A</v>
      </c>
      <c r="P166" s="3697" t="e">
        <v>#N/A</v>
      </c>
      <c r="Q166" s="714" t="e">
        <v>#N/A</v>
      </c>
      <c r="R166" s="3697" t="e">
        <v>#N/A</v>
      </c>
      <c r="S166" s="714" t="e">
        <v>#N/A</v>
      </c>
      <c r="T166" s="1253" t="e">
        <v>#N/A</v>
      </c>
      <c r="U166" s="732" t="e">
        <v>#N/A</v>
      </c>
      <c r="V166" s="1253" t="e">
        <v>#N/A</v>
      </c>
      <c r="W166" s="719" t="e">
        <v>#N/A</v>
      </c>
      <c r="X166" s="3697" t="e">
        <v>#N/A</v>
      </c>
      <c r="Y166" s="552" t="e">
        <v>#N/A</v>
      </c>
    </row>
    <row r="167" spans="1:25">
      <c r="A167" s="280">
        <f t="shared" si="3"/>
        <v>2029.02</v>
      </c>
      <c r="B167" s="705" t="e">
        <v>#N/A</v>
      </c>
      <c r="C167" s="3697" t="e">
        <v>#N/A</v>
      </c>
      <c r="D167" s="714" t="e">
        <v>#N/A</v>
      </c>
      <c r="E167" s="3697" t="e">
        <v>#N/A</v>
      </c>
      <c r="F167" s="714" t="e">
        <v>#N/A</v>
      </c>
      <c r="G167" s="3697" t="e">
        <v>#N/A</v>
      </c>
      <c r="H167" s="390" t="e">
        <v>#N/A</v>
      </c>
      <c r="I167" s="3697" t="e">
        <v>#N/A</v>
      </c>
      <c r="J167" s="3697" t="e">
        <v>#N/A</v>
      </c>
      <c r="K167" s="714" t="e">
        <v>#N/A</v>
      </c>
      <c r="L167" s="3697" t="e">
        <v>#N/A</v>
      </c>
      <c r="M167" s="714" t="e">
        <v>#N/A</v>
      </c>
      <c r="N167" s="3697" t="e">
        <v>#N/A</v>
      </c>
      <c r="O167" s="714" t="e">
        <v>#N/A</v>
      </c>
      <c r="P167" s="3697" t="e">
        <v>#N/A</v>
      </c>
      <c r="Q167" s="714" t="e">
        <v>#N/A</v>
      </c>
      <c r="R167" s="3697" t="e">
        <v>#N/A</v>
      </c>
      <c r="S167" s="714" t="e">
        <v>#N/A</v>
      </c>
      <c r="T167" s="1253" t="e">
        <v>#N/A</v>
      </c>
      <c r="U167" s="732" t="e">
        <v>#N/A</v>
      </c>
      <c r="V167" s="1253" t="e">
        <v>#N/A</v>
      </c>
      <c r="W167" s="719" t="e">
        <v>#N/A</v>
      </c>
      <c r="X167" s="3697" t="e">
        <v>#N/A</v>
      </c>
      <c r="Y167" s="552" t="e">
        <v>#N/A</v>
      </c>
    </row>
    <row r="168" spans="1:25">
      <c r="A168" s="280">
        <f t="shared" si="3"/>
        <v>2029.03</v>
      </c>
      <c r="B168" s="705" t="e">
        <v>#N/A</v>
      </c>
      <c r="C168" s="3697" t="e">
        <v>#N/A</v>
      </c>
      <c r="D168" s="714" t="e">
        <v>#N/A</v>
      </c>
      <c r="E168" s="3697" t="e">
        <v>#N/A</v>
      </c>
      <c r="F168" s="714" t="e">
        <v>#N/A</v>
      </c>
      <c r="G168" s="3697" t="e">
        <v>#N/A</v>
      </c>
      <c r="H168" s="390" t="e">
        <v>#N/A</v>
      </c>
      <c r="I168" s="3697" t="e">
        <v>#N/A</v>
      </c>
      <c r="J168" s="3697" t="e">
        <v>#N/A</v>
      </c>
      <c r="K168" s="714" t="e">
        <v>#N/A</v>
      </c>
      <c r="L168" s="3697" t="e">
        <v>#N/A</v>
      </c>
      <c r="M168" s="714" t="e">
        <v>#N/A</v>
      </c>
      <c r="N168" s="3697" t="e">
        <v>#N/A</v>
      </c>
      <c r="O168" s="714" t="e">
        <v>#N/A</v>
      </c>
      <c r="P168" s="3697" t="e">
        <v>#N/A</v>
      </c>
      <c r="Q168" s="714" t="e">
        <v>#N/A</v>
      </c>
      <c r="R168" s="3697" t="e">
        <v>#N/A</v>
      </c>
      <c r="S168" s="714" t="e">
        <v>#N/A</v>
      </c>
      <c r="T168" s="1253" t="e">
        <v>#N/A</v>
      </c>
      <c r="U168" s="732" t="e">
        <v>#N/A</v>
      </c>
      <c r="V168" s="1253" t="e">
        <v>#N/A</v>
      </c>
      <c r="W168" s="719" t="e">
        <v>#N/A</v>
      </c>
      <c r="X168" s="3697" t="e">
        <v>#N/A</v>
      </c>
      <c r="Y168" s="552" t="e">
        <v>#N/A</v>
      </c>
    </row>
    <row r="169" spans="1:25">
      <c r="A169" s="280">
        <f t="shared" si="3"/>
        <v>2029.04</v>
      </c>
      <c r="B169" s="705" t="e">
        <v>#N/A</v>
      </c>
      <c r="C169" s="3697" t="e">
        <v>#N/A</v>
      </c>
      <c r="D169" s="714" t="e">
        <v>#N/A</v>
      </c>
      <c r="E169" s="3697" t="e">
        <v>#N/A</v>
      </c>
      <c r="F169" s="714" t="e">
        <v>#N/A</v>
      </c>
      <c r="G169" s="3697" t="e">
        <v>#N/A</v>
      </c>
      <c r="H169" s="390" t="e">
        <v>#N/A</v>
      </c>
      <c r="I169" s="3697" t="e">
        <v>#N/A</v>
      </c>
      <c r="J169" s="3697" t="e">
        <v>#N/A</v>
      </c>
      <c r="K169" s="714" t="e">
        <v>#N/A</v>
      </c>
      <c r="L169" s="3697" t="e">
        <v>#N/A</v>
      </c>
      <c r="M169" s="714" t="e">
        <v>#N/A</v>
      </c>
      <c r="N169" s="3697" t="e">
        <v>#N/A</v>
      </c>
      <c r="O169" s="714" t="e">
        <v>#N/A</v>
      </c>
      <c r="P169" s="3697" t="e">
        <v>#N/A</v>
      </c>
      <c r="Q169" s="714" t="e">
        <v>#N/A</v>
      </c>
      <c r="R169" s="3697" t="e">
        <v>#N/A</v>
      </c>
      <c r="S169" s="714" t="e">
        <v>#N/A</v>
      </c>
      <c r="T169" s="1253" t="e">
        <v>#N/A</v>
      </c>
      <c r="U169" s="732" t="e">
        <v>#N/A</v>
      </c>
      <c r="V169" s="1253" t="e">
        <v>#N/A</v>
      </c>
      <c r="W169" s="719" t="e">
        <v>#N/A</v>
      </c>
      <c r="X169" s="3697" t="e">
        <v>#N/A</v>
      </c>
      <c r="Y169" s="552" t="e">
        <v>#N/A</v>
      </c>
    </row>
    <row r="170" spans="1:25">
      <c r="A170" s="280">
        <f t="shared" si="3"/>
        <v>2029.05</v>
      </c>
      <c r="B170" s="705" t="e">
        <v>#N/A</v>
      </c>
      <c r="C170" s="3697" t="e">
        <v>#N/A</v>
      </c>
      <c r="D170" s="714" t="e">
        <v>#N/A</v>
      </c>
      <c r="E170" s="3697" t="e">
        <v>#N/A</v>
      </c>
      <c r="F170" s="714" t="e">
        <v>#N/A</v>
      </c>
      <c r="G170" s="3697" t="e">
        <v>#N/A</v>
      </c>
      <c r="H170" s="390" t="e">
        <v>#N/A</v>
      </c>
      <c r="I170" s="3697" t="e">
        <v>#N/A</v>
      </c>
      <c r="J170" s="3697" t="e">
        <v>#N/A</v>
      </c>
      <c r="K170" s="714" t="e">
        <v>#N/A</v>
      </c>
      <c r="L170" s="3697" t="e">
        <v>#N/A</v>
      </c>
      <c r="M170" s="714" t="e">
        <v>#N/A</v>
      </c>
      <c r="N170" s="3697" t="e">
        <v>#N/A</v>
      </c>
      <c r="O170" s="714" t="e">
        <v>#N/A</v>
      </c>
      <c r="P170" s="3697" t="e">
        <v>#N/A</v>
      </c>
      <c r="Q170" s="714" t="e">
        <v>#N/A</v>
      </c>
      <c r="R170" s="3697" t="e">
        <v>#N/A</v>
      </c>
      <c r="S170" s="714" t="e">
        <v>#N/A</v>
      </c>
      <c r="T170" s="1253" t="e">
        <v>#N/A</v>
      </c>
      <c r="U170" s="732" t="e">
        <v>#N/A</v>
      </c>
      <c r="V170" s="1253" t="e">
        <v>#N/A</v>
      </c>
      <c r="W170" s="719" t="e">
        <v>#N/A</v>
      </c>
      <c r="X170" s="3697" t="e">
        <v>#N/A</v>
      </c>
      <c r="Y170" s="552" t="e">
        <v>#N/A</v>
      </c>
    </row>
    <row r="171" spans="1:25">
      <c r="A171" s="280">
        <f t="shared" si="3"/>
        <v>2029.06</v>
      </c>
      <c r="B171" s="705" t="e">
        <v>#N/A</v>
      </c>
      <c r="C171" s="3697" t="e">
        <v>#N/A</v>
      </c>
      <c r="D171" s="714" t="e">
        <v>#N/A</v>
      </c>
      <c r="E171" s="3697" t="e">
        <v>#N/A</v>
      </c>
      <c r="F171" s="714" t="e">
        <v>#N/A</v>
      </c>
      <c r="G171" s="3697" t="e">
        <v>#N/A</v>
      </c>
      <c r="H171" s="390" t="e">
        <v>#N/A</v>
      </c>
      <c r="I171" s="3697" t="e">
        <v>#N/A</v>
      </c>
      <c r="J171" s="3697" t="e">
        <v>#N/A</v>
      </c>
      <c r="K171" s="714" t="e">
        <v>#N/A</v>
      </c>
      <c r="L171" s="3697" t="e">
        <v>#N/A</v>
      </c>
      <c r="M171" s="714" t="e">
        <v>#N/A</v>
      </c>
      <c r="N171" s="3697" t="e">
        <v>#N/A</v>
      </c>
      <c r="O171" s="714" t="e">
        <v>#N/A</v>
      </c>
      <c r="P171" s="3697" t="e">
        <v>#N/A</v>
      </c>
      <c r="Q171" s="714" t="e">
        <v>#N/A</v>
      </c>
      <c r="R171" s="3697" t="e">
        <v>#N/A</v>
      </c>
      <c r="S171" s="714" t="e">
        <v>#N/A</v>
      </c>
      <c r="T171" s="1253" t="e">
        <v>#N/A</v>
      </c>
      <c r="U171" s="732" t="e">
        <v>#N/A</v>
      </c>
      <c r="V171" s="1253" t="e">
        <v>#N/A</v>
      </c>
      <c r="W171" s="719" t="e">
        <v>#N/A</v>
      </c>
      <c r="X171" s="3697" t="e">
        <v>#N/A</v>
      </c>
      <c r="Y171" s="552" t="e">
        <v>#N/A</v>
      </c>
    </row>
    <row r="172" spans="1:25">
      <c r="A172" s="280">
        <f t="shared" si="3"/>
        <v>2029.07</v>
      </c>
      <c r="B172" s="705" t="e">
        <v>#N/A</v>
      </c>
      <c r="C172" s="3697" t="e">
        <v>#N/A</v>
      </c>
      <c r="D172" s="714" t="e">
        <v>#N/A</v>
      </c>
      <c r="E172" s="3697" t="e">
        <v>#N/A</v>
      </c>
      <c r="F172" s="714" t="e">
        <v>#N/A</v>
      </c>
      <c r="G172" s="3697" t="e">
        <v>#N/A</v>
      </c>
      <c r="H172" s="390" t="e">
        <v>#N/A</v>
      </c>
      <c r="I172" s="3697" t="e">
        <v>#N/A</v>
      </c>
      <c r="J172" s="3697" t="e">
        <v>#N/A</v>
      </c>
      <c r="K172" s="714" t="e">
        <v>#N/A</v>
      </c>
      <c r="L172" s="3697" t="e">
        <v>#N/A</v>
      </c>
      <c r="M172" s="714" t="e">
        <v>#N/A</v>
      </c>
      <c r="N172" s="3697" t="e">
        <v>#N/A</v>
      </c>
      <c r="O172" s="714" t="e">
        <v>#N/A</v>
      </c>
      <c r="P172" s="3697" t="e">
        <v>#N/A</v>
      </c>
      <c r="Q172" s="714" t="e">
        <v>#N/A</v>
      </c>
      <c r="R172" s="3697" t="e">
        <v>#N/A</v>
      </c>
      <c r="S172" s="714" t="e">
        <v>#N/A</v>
      </c>
      <c r="T172" s="1253" t="e">
        <v>#N/A</v>
      </c>
      <c r="U172" s="732" t="e">
        <v>#N/A</v>
      </c>
      <c r="V172" s="1253" t="e">
        <v>#N/A</v>
      </c>
      <c r="W172" s="719" t="e">
        <v>#N/A</v>
      </c>
      <c r="X172" s="3697" t="e">
        <v>#N/A</v>
      </c>
      <c r="Y172" s="552" t="e">
        <v>#N/A</v>
      </c>
    </row>
    <row r="173" spans="1:25">
      <c r="A173" s="280">
        <f t="shared" si="3"/>
        <v>2029.08</v>
      </c>
      <c r="B173" s="705" t="e">
        <v>#N/A</v>
      </c>
      <c r="C173" s="3697" t="e">
        <v>#N/A</v>
      </c>
      <c r="D173" s="714" t="e">
        <v>#N/A</v>
      </c>
      <c r="E173" s="3697" t="e">
        <v>#N/A</v>
      </c>
      <c r="F173" s="714" t="e">
        <v>#N/A</v>
      </c>
      <c r="G173" s="3697" t="e">
        <v>#N/A</v>
      </c>
      <c r="H173" s="390" t="e">
        <v>#N/A</v>
      </c>
      <c r="I173" s="3697" t="e">
        <v>#N/A</v>
      </c>
      <c r="J173" s="3697" t="e">
        <v>#N/A</v>
      </c>
      <c r="K173" s="714" t="e">
        <v>#N/A</v>
      </c>
      <c r="L173" s="3697" t="e">
        <v>#N/A</v>
      </c>
      <c r="M173" s="714" t="e">
        <v>#N/A</v>
      </c>
      <c r="N173" s="3697" t="e">
        <v>#N/A</v>
      </c>
      <c r="O173" s="714" t="e">
        <v>#N/A</v>
      </c>
      <c r="P173" s="3697" t="e">
        <v>#N/A</v>
      </c>
      <c r="Q173" s="714" t="e">
        <v>#N/A</v>
      </c>
      <c r="R173" s="3697" t="e">
        <v>#N/A</v>
      </c>
      <c r="S173" s="714" t="e">
        <v>#N/A</v>
      </c>
      <c r="T173" s="1253" t="e">
        <v>#N/A</v>
      </c>
      <c r="U173" s="732" t="e">
        <v>#N/A</v>
      </c>
      <c r="V173" s="1253" t="e">
        <v>#N/A</v>
      </c>
      <c r="W173" s="719" t="e">
        <v>#N/A</v>
      </c>
      <c r="X173" s="3697" t="e">
        <v>#N/A</v>
      </c>
      <c r="Y173" s="552" t="e">
        <v>#N/A</v>
      </c>
    </row>
    <row r="174" spans="1:25">
      <c r="A174" s="280">
        <f t="shared" si="3"/>
        <v>2029.09</v>
      </c>
      <c r="B174" s="705" t="e">
        <v>#N/A</v>
      </c>
      <c r="C174" s="3697" t="e">
        <v>#N/A</v>
      </c>
      <c r="D174" s="714" t="e">
        <v>#N/A</v>
      </c>
      <c r="E174" s="3697" t="e">
        <v>#N/A</v>
      </c>
      <c r="F174" s="714" t="e">
        <v>#N/A</v>
      </c>
      <c r="G174" s="3697" t="e">
        <v>#N/A</v>
      </c>
      <c r="H174" s="390" t="e">
        <v>#N/A</v>
      </c>
      <c r="I174" s="3697" t="e">
        <v>#N/A</v>
      </c>
      <c r="J174" s="3697" t="e">
        <v>#N/A</v>
      </c>
      <c r="K174" s="714" t="e">
        <v>#N/A</v>
      </c>
      <c r="L174" s="3697" t="e">
        <v>#N/A</v>
      </c>
      <c r="M174" s="714" t="e">
        <v>#N/A</v>
      </c>
      <c r="N174" s="3697" t="e">
        <v>#N/A</v>
      </c>
      <c r="O174" s="714" t="e">
        <v>#N/A</v>
      </c>
      <c r="P174" s="3697" t="e">
        <v>#N/A</v>
      </c>
      <c r="Q174" s="714" t="e">
        <v>#N/A</v>
      </c>
      <c r="R174" s="3697" t="e">
        <v>#N/A</v>
      </c>
      <c r="S174" s="714" t="e">
        <v>#N/A</v>
      </c>
      <c r="T174" s="1253" t="e">
        <v>#N/A</v>
      </c>
      <c r="U174" s="732" t="e">
        <v>#N/A</v>
      </c>
      <c r="V174" s="1253" t="e">
        <v>#N/A</v>
      </c>
      <c r="W174" s="719" t="e">
        <v>#N/A</v>
      </c>
      <c r="X174" s="3697" t="e">
        <v>#N/A</v>
      </c>
      <c r="Y174" s="552" t="e">
        <v>#N/A</v>
      </c>
    </row>
    <row r="175" spans="1:25">
      <c r="A175" s="280">
        <f t="shared" si="3"/>
        <v>2029.1</v>
      </c>
      <c r="B175" s="705" t="e">
        <v>#N/A</v>
      </c>
      <c r="C175" s="3697" t="e">
        <v>#N/A</v>
      </c>
      <c r="D175" s="714" t="e">
        <v>#N/A</v>
      </c>
      <c r="E175" s="3697" t="e">
        <v>#N/A</v>
      </c>
      <c r="F175" s="714" t="e">
        <v>#N/A</v>
      </c>
      <c r="G175" s="3697" t="e">
        <v>#N/A</v>
      </c>
      <c r="H175" s="390" t="e">
        <v>#N/A</v>
      </c>
      <c r="I175" s="3697" t="e">
        <v>#N/A</v>
      </c>
      <c r="J175" s="3697" t="e">
        <v>#N/A</v>
      </c>
      <c r="K175" s="714" t="e">
        <v>#N/A</v>
      </c>
      <c r="L175" s="3697" t="e">
        <v>#N/A</v>
      </c>
      <c r="M175" s="714" t="e">
        <v>#N/A</v>
      </c>
      <c r="N175" s="3697" t="e">
        <v>#N/A</v>
      </c>
      <c r="O175" s="714" t="e">
        <v>#N/A</v>
      </c>
      <c r="P175" s="3697" t="e">
        <v>#N/A</v>
      </c>
      <c r="Q175" s="714" t="e">
        <v>#N/A</v>
      </c>
      <c r="R175" s="3697" t="e">
        <v>#N/A</v>
      </c>
      <c r="S175" s="714" t="e">
        <v>#N/A</v>
      </c>
      <c r="T175" s="1253" t="e">
        <v>#N/A</v>
      </c>
      <c r="U175" s="732" t="e">
        <v>#N/A</v>
      </c>
      <c r="V175" s="1253" t="e">
        <v>#N/A</v>
      </c>
      <c r="W175" s="719" t="e">
        <v>#N/A</v>
      </c>
      <c r="X175" s="3697" t="e">
        <v>#N/A</v>
      </c>
      <c r="Y175" s="552" t="e">
        <v>#N/A</v>
      </c>
    </row>
    <row r="176" spans="1:25">
      <c r="A176" s="280">
        <f t="shared" si="3"/>
        <v>2029.11</v>
      </c>
      <c r="B176" s="705" t="e">
        <v>#N/A</v>
      </c>
      <c r="C176" s="3697" t="e">
        <v>#N/A</v>
      </c>
      <c r="D176" s="714" t="e">
        <v>#N/A</v>
      </c>
      <c r="E176" s="3697" t="e">
        <v>#N/A</v>
      </c>
      <c r="F176" s="714" t="e">
        <v>#N/A</v>
      </c>
      <c r="G176" s="3697" t="e">
        <v>#N/A</v>
      </c>
      <c r="H176" s="390" t="e">
        <v>#N/A</v>
      </c>
      <c r="I176" s="3697" t="e">
        <v>#N/A</v>
      </c>
      <c r="J176" s="3697" t="e">
        <v>#N/A</v>
      </c>
      <c r="K176" s="714" t="e">
        <v>#N/A</v>
      </c>
      <c r="L176" s="3697" t="e">
        <v>#N/A</v>
      </c>
      <c r="M176" s="714" t="e">
        <v>#N/A</v>
      </c>
      <c r="N176" s="3697" t="e">
        <v>#N/A</v>
      </c>
      <c r="O176" s="714" t="e">
        <v>#N/A</v>
      </c>
      <c r="P176" s="3697" t="e">
        <v>#N/A</v>
      </c>
      <c r="Q176" s="714" t="e">
        <v>#N/A</v>
      </c>
      <c r="R176" s="3697" t="e">
        <v>#N/A</v>
      </c>
      <c r="S176" s="714" t="e">
        <v>#N/A</v>
      </c>
      <c r="T176" s="1253" t="e">
        <v>#N/A</v>
      </c>
      <c r="U176" s="732" t="e">
        <v>#N/A</v>
      </c>
      <c r="V176" s="1253" t="e">
        <v>#N/A</v>
      </c>
      <c r="W176" s="719" t="e">
        <v>#N/A</v>
      </c>
      <c r="X176" s="3697" t="e">
        <v>#N/A</v>
      </c>
      <c r="Y176" s="552" t="e">
        <v>#N/A</v>
      </c>
    </row>
    <row r="177" spans="1:25">
      <c r="A177" s="280">
        <f t="shared" si="3"/>
        <v>2029.12</v>
      </c>
      <c r="B177" s="705" t="e">
        <v>#N/A</v>
      </c>
      <c r="C177" s="3697" t="e">
        <v>#N/A</v>
      </c>
      <c r="D177" s="714" t="e">
        <v>#N/A</v>
      </c>
      <c r="E177" s="3697" t="e">
        <v>#N/A</v>
      </c>
      <c r="F177" s="714" t="e">
        <v>#N/A</v>
      </c>
      <c r="G177" s="3697" t="e">
        <v>#N/A</v>
      </c>
      <c r="H177" s="390" t="e">
        <v>#N/A</v>
      </c>
      <c r="I177" s="3697" t="e">
        <v>#N/A</v>
      </c>
      <c r="J177" s="3697" t="e">
        <v>#N/A</v>
      </c>
      <c r="K177" s="714" t="e">
        <v>#N/A</v>
      </c>
      <c r="L177" s="3697" t="e">
        <v>#N/A</v>
      </c>
      <c r="M177" s="714" t="e">
        <v>#N/A</v>
      </c>
      <c r="N177" s="3697" t="e">
        <v>#N/A</v>
      </c>
      <c r="O177" s="714" t="e">
        <v>#N/A</v>
      </c>
      <c r="P177" s="3697" t="e">
        <v>#N/A</v>
      </c>
      <c r="Q177" s="714" t="e">
        <v>#N/A</v>
      </c>
      <c r="R177" s="3697" t="e">
        <v>#N/A</v>
      </c>
      <c r="S177" s="714" t="e">
        <v>#N/A</v>
      </c>
      <c r="T177" s="1253" t="e">
        <v>#N/A</v>
      </c>
      <c r="U177" s="732" t="e">
        <v>#N/A</v>
      </c>
      <c r="V177" s="1253" t="e">
        <v>#N/A</v>
      </c>
      <c r="W177" s="719" t="e">
        <v>#N/A</v>
      </c>
      <c r="X177" s="3697" t="e">
        <v>#N/A</v>
      </c>
      <c r="Y177" s="552" t="e">
        <v>#N/A</v>
      </c>
    </row>
    <row r="178" spans="1:25">
      <c r="A178" s="280">
        <f t="shared" si="3"/>
        <v>2030.01</v>
      </c>
      <c r="B178" s="705" t="e">
        <v>#N/A</v>
      </c>
      <c r="C178" s="3697" t="e">
        <v>#N/A</v>
      </c>
      <c r="D178" s="714" t="e">
        <v>#N/A</v>
      </c>
      <c r="E178" s="3697" t="e">
        <v>#N/A</v>
      </c>
      <c r="F178" s="714" t="e">
        <v>#N/A</v>
      </c>
      <c r="G178" s="3697" t="e">
        <v>#N/A</v>
      </c>
      <c r="H178" s="390" t="e">
        <v>#N/A</v>
      </c>
      <c r="I178" s="3697" t="e">
        <v>#N/A</v>
      </c>
      <c r="J178" s="3697" t="e">
        <v>#N/A</v>
      </c>
      <c r="K178" s="714" t="e">
        <v>#N/A</v>
      </c>
      <c r="L178" s="3697" t="e">
        <v>#N/A</v>
      </c>
      <c r="M178" s="714" t="e">
        <v>#N/A</v>
      </c>
      <c r="N178" s="3697" t="e">
        <v>#N/A</v>
      </c>
      <c r="O178" s="714" t="e">
        <v>#N/A</v>
      </c>
      <c r="P178" s="3697" t="e">
        <v>#N/A</v>
      </c>
      <c r="Q178" s="714" t="e">
        <v>#N/A</v>
      </c>
      <c r="R178" s="3697" t="e">
        <v>#N/A</v>
      </c>
      <c r="S178" s="714" t="e">
        <v>#N/A</v>
      </c>
      <c r="T178" s="1253" t="e">
        <v>#N/A</v>
      </c>
      <c r="U178" s="732" t="e">
        <v>#N/A</v>
      </c>
      <c r="V178" s="1253" t="e">
        <v>#N/A</v>
      </c>
      <c r="W178" s="719" t="e">
        <v>#N/A</v>
      </c>
      <c r="X178" s="3697" t="e">
        <v>#N/A</v>
      </c>
      <c r="Y178" s="552" t="e">
        <v>#N/A</v>
      </c>
    </row>
    <row r="179" spans="1:25">
      <c r="A179" s="280">
        <f t="shared" si="3"/>
        <v>2030.02</v>
      </c>
      <c r="B179" s="705" t="e">
        <v>#N/A</v>
      </c>
      <c r="C179" s="3697" t="e">
        <v>#N/A</v>
      </c>
      <c r="D179" s="714" t="e">
        <v>#N/A</v>
      </c>
      <c r="E179" s="3697" t="e">
        <v>#N/A</v>
      </c>
      <c r="F179" s="714" t="e">
        <v>#N/A</v>
      </c>
      <c r="G179" s="3697" t="e">
        <v>#N/A</v>
      </c>
      <c r="H179" s="390" t="e">
        <v>#N/A</v>
      </c>
      <c r="I179" s="3697" t="e">
        <v>#N/A</v>
      </c>
      <c r="J179" s="3697" t="e">
        <v>#N/A</v>
      </c>
      <c r="K179" s="714" t="e">
        <v>#N/A</v>
      </c>
      <c r="L179" s="3697" t="e">
        <v>#N/A</v>
      </c>
      <c r="M179" s="714" t="e">
        <v>#N/A</v>
      </c>
      <c r="N179" s="3697" t="e">
        <v>#N/A</v>
      </c>
      <c r="O179" s="714" t="e">
        <v>#N/A</v>
      </c>
      <c r="P179" s="3697" t="e">
        <v>#N/A</v>
      </c>
      <c r="Q179" s="714" t="e">
        <v>#N/A</v>
      </c>
      <c r="R179" s="3697" t="e">
        <v>#N/A</v>
      </c>
      <c r="S179" s="714" t="e">
        <v>#N/A</v>
      </c>
      <c r="T179" s="1253" t="e">
        <v>#N/A</v>
      </c>
      <c r="U179" s="732" t="e">
        <v>#N/A</v>
      </c>
      <c r="V179" s="1253" t="e">
        <v>#N/A</v>
      </c>
      <c r="W179" s="719" t="e">
        <v>#N/A</v>
      </c>
      <c r="X179" s="3697" t="e">
        <v>#N/A</v>
      </c>
      <c r="Y179" s="552" t="e">
        <v>#N/A</v>
      </c>
    </row>
    <row r="180" spans="1:25">
      <c r="A180" s="280">
        <f t="shared" si="3"/>
        <v>2030.03</v>
      </c>
      <c r="B180" s="705" t="e">
        <v>#N/A</v>
      </c>
      <c r="C180" s="3697" t="e">
        <v>#N/A</v>
      </c>
      <c r="D180" s="714" t="e">
        <v>#N/A</v>
      </c>
      <c r="E180" s="3697" t="e">
        <v>#N/A</v>
      </c>
      <c r="F180" s="714" t="e">
        <v>#N/A</v>
      </c>
      <c r="G180" s="3697" t="e">
        <v>#N/A</v>
      </c>
      <c r="H180" s="390" t="e">
        <v>#N/A</v>
      </c>
      <c r="I180" s="3697" t="e">
        <v>#N/A</v>
      </c>
      <c r="J180" s="3697" t="e">
        <v>#N/A</v>
      </c>
      <c r="K180" s="714" t="e">
        <v>#N/A</v>
      </c>
      <c r="L180" s="3697" t="e">
        <v>#N/A</v>
      </c>
      <c r="M180" s="714" t="e">
        <v>#N/A</v>
      </c>
      <c r="N180" s="3697" t="e">
        <v>#N/A</v>
      </c>
      <c r="O180" s="714" t="e">
        <v>#N/A</v>
      </c>
      <c r="P180" s="3697" t="e">
        <v>#N/A</v>
      </c>
      <c r="Q180" s="714" t="e">
        <v>#N/A</v>
      </c>
      <c r="R180" s="3697" t="e">
        <v>#N/A</v>
      </c>
      <c r="S180" s="714" t="e">
        <v>#N/A</v>
      </c>
      <c r="T180" s="1253" t="e">
        <v>#N/A</v>
      </c>
      <c r="U180" s="732" t="e">
        <v>#N/A</v>
      </c>
      <c r="V180" s="1253" t="e">
        <v>#N/A</v>
      </c>
      <c r="W180" s="719" t="e">
        <v>#N/A</v>
      </c>
      <c r="X180" s="3697" t="e">
        <v>#N/A</v>
      </c>
      <c r="Y180" s="552" t="e">
        <v>#N/A</v>
      </c>
    </row>
    <row r="181" spans="1:25">
      <c r="A181" s="280">
        <f t="shared" si="3"/>
        <v>2030.04</v>
      </c>
      <c r="B181" s="705" t="e">
        <v>#N/A</v>
      </c>
      <c r="C181" s="3697" t="e">
        <v>#N/A</v>
      </c>
      <c r="D181" s="714" t="e">
        <v>#N/A</v>
      </c>
      <c r="E181" s="3697" t="e">
        <v>#N/A</v>
      </c>
      <c r="F181" s="714" t="e">
        <v>#N/A</v>
      </c>
      <c r="G181" s="3697" t="e">
        <v>#N/A</v>
      </c>
      <c r="H181" s="390" t="e">
        <v>#N/A</v>
      </c>
      <c r="I181" s="3697" t="e">
        <v>#N/A</v>
      </c>
      <c r="J181" s="3697" t="e">
        <v>#N/A</v>
      </c>
      <c r="K181" s="714" t="e">
        <v>#N/A</v>
      </c>
      <c r="L181" s="3697" t="e">
        <v>#N/A</v>
      </c>
      <c r="M181" s="714" t="e">
        <v>#N/A</v>
      </c>
      <c r="N181" s="3697" t="e">
        <v>#N/A</v>
      </c>
      <c r="O181" s="714" t="e">
        <v>#N/A</v>
      </c>
      <c r="P181" s="3697" t="e">
        <v>#N/A</v>
      </c>
      <c r="Q181" s="714" t="e">
        <v>#N/A</v>
      </c>
      <c r="R181" s="3697" t="e">
        <v>#N/A</v>
      </c>
      <c r="S181" s="714" t="e">
        <v>#N/A</v>
      </c>
      <c r="T181" s="1253" t="e">
        <v>#N/A</v>
      </c>
      <c r="U181" s="732" t="e">
        <v>#N/A</v>
      </c>
      <c r="V181" s="1253" t="e">
        <v>#N/A</v>
      </c>
      <c r="W181" s="719" t="e">
        <v>#N/A</v>
      </c>
      <c r="X181" s="3697" t="e">
        <v>#N/A</v>
      </c>
      <c r="Y181" s="552" t="e">
        <v>#N/A</v>
      </c>
    </row>
    <row r="182" spans="1:25">
      <c r="A182" s="280">
        <f t="shared" si="3"/>
        <v>2030.05</v>
      </c>
      <c r="B182" s="705" t="e">
        <v>#N/A</v>
      </c>
      <c r="C182" s="3697" t="e">
        <v>#N/A</v>
      </c>
      <c r="D182" s="714" t="e">
        <v>#N/A</v>
      </c>
      <c r="E182" s="3697" t="e">
        <v>#N/A</v>
      </c>
      <c r="F182" s="714" t="e">
        <v>#N/A</v>
      </c>
      <c r="G182" s="3697" t="e">
        <v>#N/A</v>
      </c>
      <c r="H182" s="390" t="e">
        <v>#N/A</v>
      </c>
      <c r="I182" s="3697" t="e">
        <v>#N/A</v>
      </c>
      <c r="J182" s="3697" t="e">
        <v>#N/A</v>
      </c>
      <c r="K182" s="714" t="e">
        <v>#N/A</v>
      </c>
      <c r="L182" s="3697" t="e">
        <v>#N/A</v>
      </c>
      <c r="M182" s="714" t="e">
        <v>#N/A</v>
      </c>
      <c r="N182" s="3697" t="e">
        <v>#N/A</v>
      </c>
      <c r="O182" s="714" t="e">
        <v>#N/A</v>
      </c>
      <c r="P182" s="3697" t="e">
        <v>#N/A</v>
      </c>
      <c r="Q182" s="714" t="e">
        <v>#N/A</v>
      </c>
      <c r="R182" s="3697" t="e">
        <v>#N/A</v>
      </c>
      <c r="S182" s="714" t="e">
        <v>#N/A</v>
      </c>
      <c r="T182" s="1253" t="e">
        <v>#N/A</v>
      </c>
      <c r="U182" s="732" t="e">
        <v>#N/A</v>
      </c>
      <c r="V182" s="1253" t="e">
        <v>#N/A</v>
      </c>
      <c r="W182" s="719" t="e">
        <v>#N/A</v>
      </c>
      <c r="X182" s="3697" t="e">
        <v>#N/A</v>
      </c>
      <c r="Y182" s="552" t="e">
        <v>#N/A</v>
      </c>
    </row>
    <row r="183" spans="1:25">
      <c r="A183" s="280">
        <f t="shared" si="3"/>
        <v>2030.06</v>
      </c>
      <c r="B183" s="705" t="e">
        <v>#N/A</v>
      </c>
      <c r="C183" s="3697" t="e">
        <v>#N/A</v>
      </c>
      <c r="D183" s="714" t="e">
        <v>#N/A</v>
      </c>
      <c r="E183" s="3697" t="e">
        <v>#N/A</v>
      </c>
      <c r="F183" s="714" t="e">
        <v>#N/A</v>
      </c>
      <c r="G183" s="3697" t="e">
        <v>#N/A</v>
      </c>
      <c r="H183" s="390" t="e">
        <v>#N/A</v>
      </c>
      <c r="I183" s="3697" t="e">
        <v>#N/A</v>
      </c>
      <c r="J183" s="3697" t="e">
        <v>#N/A</v>
      </c>
      <c r="K183" s="714" t="e">
        <v>#N/A</v>
      </c>
      <c r="L183" s="3697" t="e">
        <v>#N/A</v>
      </c>
      <c r="M183" s="714" t="e">
        <v>#N/A</v>
      </c>
      <c r="N183" s="3697" t="e">
        <v>#N/A</v>
      </c>
      <c r="O183" s="714" t="e">
        <v>#N/A</v>
      </c>
      <c r="P183" s="3697" t="e">
        <v>#N/A</v>
      </c>
      <c r="Q183" s="714" t="e">
        <v>#N/A</v>
      </c>
      <c r="R183" s="3697" t="e">
        <v>#N/A</v>
      </c>
      <c r="S183" s="714" t="e">
        <v>#N/A</v>
      </c>
      <c r="T183" s="1253" t="e">
        <v>#N/A</v>
      </c>
      <c r="U183" s="732" t="e">
        <v>#N/A</v>
      </c>
      <c r="V183" s="1253" t="e">
        <v>#N/A</v>
      </c>
      <c r="W183" s="719" t="e">
        <v>#N/A</v>
      </c>
      <c r="X183" s="3697" t="e">
        <v>#N/A</v>
      </c>
      <c r="Y183" s="552" t="e">
        <v>#N/A</v>
      </c>
    </row>
    <row r="184" spans="1:25">
      <c r="A184" s="280">
        <f t="shared" si="3"/>
        <v>2030.07</v>
      </c>
      <c r="B184" s="705" t="e">
        <v>#N/A</v>
      </c>
      <c r="C184" s="3697" t="e">
        <v>#N/A</v>
      </c>
      <c r="D184" s="714" t="e">
        <v>#N/A</v>
      </c>
      <c r="E184" s="3697" t="e">
        <v>#N/A</v>
      </c>
      <c r="F184" s="714" t="e">
        <v>#N/A</v>
      </c>
      <c r="G184" s="3697" t="e">
        <v>#N/A</v>
      </c>
      <c r="H184" s="390" t="e">
        <v>#N/A</v>
      </c>
      <c r="I184" s="3697" t="e">
        <v>#N/A</v>
      </c>
      <c r="J184" s="3697" t="e">
        <v>#N/A</v>
      </c>
      <c r="K184" s="714" t="e">
        <v>#N/A</v>
      </c>
      <c r="L184" s="3697" t="e">
        <v>#N/A</v>
      </c>
      <c r="M184" s="714" t="e">
        <v>#N/A</v>
      </c>
      <c r="N184" s="3697" t="e">
        <v>#N/A</v>
      </c>
      <c r="O184" s="714" t="e">
        <v>#N/A</v>
      </c>
      <c r="P184" s="3697" t="e">
        <v>#N/A</v>
      </c>
      <c r="Q184" s="714" t="e">
        <v>#N/A</v>
      </c>
      <c r="R184" s="3697" t="e">
        <v>#N/A</v>
      </c>
      <c r="S184" s="714" t="e">
        <v>#N/A</v>
      </c>
      <c r="T184" s="1253" t="e">
        <v>#N/A</v>
      </c>
      <c r="U184" s="732" t="e">
        <v>#N/A</v>
      </c>
      <c r="V184" s="1253" t="e">
        <v>#N/A</v>
      </c>
      <c r="W184" s="719" t="e">
        <v>#N/A</v>
      </c>
      <c r="X184" s="3697" t="e">
        <v>#N/A</v>
      </c>
      <c r="Y184" s="552" t="e">
        <v>#N/A</v>
      </c>
    </row>
    <row r="185" spans="1:25">
      <c r="A185" s="280">
        <f t="shared" si="3"/>
        <v>2030.08</v>
      </c>
      <c r="B185" s="705" t="e">
        <v>#N/A</v>
      </c>
      <c r="C185" s="3697" t="e">
        <v>#N/A</v>
      </c>
      <c r="D185" s="714" t="e">
        <v>#N/A</v>
      </c>
      <c r="E185" s="3697" t="e">
        <v>#N/A</v>
      </c>
      <c r="F185" s="714" t="e">
        <v>#N/A</v>
      </c>
      <c r="G185" s="3697" t="e">
        <v>#N/A</v>
      </c>
      <c r="H185" s="390" t="e">
        <v>#N/A</v>
      </c>
      <c r="I185" s="3697" t="e">
        <v>#N/A</v>
      </c>
      <c r="J185" s="3697" t="e">
        <v>#N/A</v>
      </c>
      <c r="K185" s="714" t="e">
        <v>#N/A</v>
      </c>
      <c r="L185" s="3697" t="e">
        <v>#N/A</v>
      </c>
      <c r="M185" s="714" t="e">
        <v>#N/A</v>
      </c>
      <c r="N185" s="3697" t="e">
        <v>#N/A</v>
      </c>
      <c r="O185" s="714" t="e">
        <v>#N/A</v>
      </c>
      <c r="P185" s="3697" t="e">
        <v>#N/A</v>
      </c>
      <c r="Q185" s="714" t="e">
        <v>#N/A</v>
      </c>
      <c r="R185" s="3697" t="e">
        <v>#N/A</v>
      </c>
      <c r="S185" s="714" t="e">
        <v>#N/A</v>
      </c>
      <c r="T185" s="1253" t="e">
        <v>#N/A</v>
      </c>
      <c r="U185" s="732" t="e">
        <v>#N/A</v>
      </c>
      <c r="V185" s="1253" t="e">
        <v>#N/A</v>
      </c>
      <c r="W185" s="719" t="e">
        <v>#N/A</v>
      </c>
      <c r="X185" s="3697" t="e">
        <v>#N/A</v>
      </c>
      <c r="Y185" s="552" t="e">
        <v>#N/A</v>
      </c>
    </row>
    <row r="186" spans="1:25">
      <c r="A186" s="280">
        <f t="shared" si="3"/>
        <v>2030.09</v>
      </c>
      <c r="B186" s="705" t="e">
        <v>#N/A</v>
      </c>
      <c r="C186" s="3697" t="e">
        <v>#N/A</v>
      </c>
      <c r="D186" s="714" t="e">
        <v>#N/A</v>
      </c>
      <c r="E186" s="3697" t="e">
        <v>#N/A</v>
      </c>
      <c r="F186" s="714" t="e">
        <v>#N/A</v>
      </c>
      <c r="G186" s="3697" t="e">
        <v>#N/A</v>
      </c>
      <c r="H186" s="390" t="e">
        <v>#N/A</v>
      </c>
      <c r="I186" s="3697" t="e">
        <v>#N/A</v>
      </c>
      <c r="J186" s="3697" t="e">
        <v>#N/A</v>
      </c>
      <c r="K186" s="714" t="e">
        <v>#N/A</v>
      </c>
      <c r="L186" s="3697" t="e">
        <v>#N/A</v>
      </c>
      <c r="M186" s="714" t="e">
        <v>#N/A</v>
      </c>
      <c r="N186" s="3697" t="e">
        <v>#N/A</v>
      </c>
      <c r="O186" s="714" t="e">
        <v>#N/A</v>
      </c>
      <c r="P186" s="3697" t="e">
        <v>#N/A</v>
      </c>
      <c r="Q186" s="714" t="e">
        <v>#N/A</v>
      </c>
      <c r="R186" s="3697" t="e">
        <v>#N/A</v>
      </c>
      <c r="S186" s="714" t="e">
        <v>#N/A</v>
      </c>
      <c r="T186" s="1253" t="e">
        <v>#N/A</v>
      </c>
      <c r="U186" s="732" t="e">
        <v>#N/A</v>
      </c>
      <c r="V186" s="1253" t="e">
        <v>#N/A</v>
      </c>
      <c r="W186" s="719" t="e">
        <v>#N/A</v>
      </c>
      <c r="X186" s="3697" t="e">
        <v>#N/A</v>
      </c>
      <c r="Y186" s="552" t="e">
        <v>#N/A</v>
      </c>
    </row>
    <row r="187" spans="1:25">
      <c r="A187" s="280">
        <f t="shared" si="3"/>
        <v>2030.1</v>
      </c>
      <c r="B187" s="705" t="e">
        <v>#N/A</v>
      </c>
      <c r="C187" s="3697" t="e">
        <v>#N/A</v>
      </c>
      <c r="D187" s="714" t="e">
        <v>#N/A</v>
      </c>
      <c r="E187" s="3697" t="e">
        <v>#N/A</v>
      </c>
      <c r="F187" s="714" t="e">
        <v>#N/A</v>
      </c>
      <c r="G187" s="3697" t="e">
        <v>#N/A</v>
      </c>
      <c r="H187" s="390" t="e">
        <v>#N/A</v>
      </c>
      <c r="I187" s="3697" t="e">
        <v>#N/A</v>
      </c>
      <c r="J187" s="3697" t="e">
        <v>#N/A</v>
      </c>
      <c r="K187" s="714" t="e">
        <v>#N/A</v>
      </c>
      <c r="L187" s="3697" t="e">
        <v>#N/A</v>
      </c>
      <c r="M187" s="714" t="e">
        <v>#N/A</v>
      </c>
      <c r="N187" s="3697" t="e">
        <v>#N/A</v>
      </c>
      <c r="O187" s="714" t="e">
        <v>#N/A</v>
      </c>
      <c r="P187" s="3697" t="e">
        <v>#N/A</v>
      </c>
      <c r="Q187" s="714" t="e">
        <v>#N/A</v>
      </c>
      <c r="R187" s="3697" t="e">
        <v>#N/A</v>
      </c>
      <c r="S187" s="714" t="e">
        <v>#N/A</v>
      </c>
      <c r="T187" s="1253" t="e">
        <v>#N/A</v>
      </c>
      <c r="U187" s="732" t="e">
        <v>#N/A</v>
      </c>
      <c r="V187" s="1253" t="e">
        <v>#N/A</v>
      </c>
      <c r="W187" s="719" t="e">
        <v>#N/A</v>
      </c>
      <c r="X187" s="3697" t="e">
        <v>#N/A</v>
      </c>
      <c r="Y187" s="552" t="e">
        <v>#N/A</v>
      </c>
    </row>
    <row r="188" spans="1:25">
      <c r="A188" s="280">
        <f t="shared" si="3"/>
        <v>2030.11</v>
      </c>
      <c r="B188" s="705" t="e">
        <v>#N/A</v>
      </c>
      <c r="C188" s="3697" t="e">
        <v>#N/A</v>
      </c>
      <c r="D188" s="714" t="e">
        <v>#N/A</v>
      </c>
      <c r="E188" s="3697" t="e">
        <v>#N/A</v>
      </c>
      <c r="F188" s="714" t="e">
        <v>#N/A</v>
      </c>
      <c r="G188" s="3697" t="e">
        <v>#N/A</v>
      </c>
      <c r="H188" s="390" t="e">
        <v>#N/A</v>
      </c>
      <c r="I188" s="3697" t="e">
        <v>#N/A</v>
      </c>
      <c r="J188" s="3697" t="e">
        <v>#N/A</v>
      </c>
      <c r="K188" s="714" t="e">
        <v>#N/A</v>
      </c>
      <c r="L188" s="3697" t="e">
        <v>#N/A</v>
      </c>
      <c r="M188" s="714" t="e">
        <v>#N/A</v>
      </c>
      <c r="N188" s="3697" t="e">
        <v>#N/A</v>
      </c>
      <c r="O188" s="714" t="e">
        <v>#N/A</v>
      </c>
      <c r="P188" s="3697" t="e">
        <v>#N/A</v>
      </c>
      <c r="Q188" s="714" t="e">
        <v>#N/A</v>
      </c>
      <c r="R188" s="3697" t="e">
        <v>#N/A</v>
      </c>
      <c r="S188" s="714" t="e">
        <v>#N/A</v>
      </c>
      <c r="T188" s="1253" t="e">
        <v>#N/A</v>
      </c>
      <c r="U188" s="732" t="e">
        <v>#N/A</v>
      </c>
      <c r="V188" s="1253" t="e">
        <v>#N/A</v>
      </c>
      <c r="W188" s="719" t="e">
        <v>#N/A</v>
      </c>
      <c r="X188" s="3697" t="e">
        <v>#N/A</v>
      </c>
      <c r="Y188" s="552" t="e">
        <v>#N/A</v>
      </c>
    </row>
    <row r="189" spans="1:25">
      <c r="A189" s="280">
        <f t="shared" si="3"/>
        <v>2030.12</v>
      </c>
      <c r="B189" s="705" t="e">
        <v>#N/A</v>
      </c>
      <c r="C189" s="3697" t="e">
        <v>#N/A</v>
      </c>
      <c r="D189" s="714" t="e">
        <v>#N/A</v>
      </c>
      <c r="E189" s="3697" t="e">
        <v>#N/A</v>
      </c>
      <c r="F189" s="714" t="e">
        <v>#N/A</v>
      </c>
      <c r="G189" s="3697" t="e">
        <v>#N/A</v>
      </c>
      <c r="H189" s="390" t="e">
        <v>#N/A</v>
      </c>
      <c r="I189" s="3697" t="e">
        <v>#N/A</v>
      </c>
      <c r="J189" s="3697" t="e">
        <v>#N/A</v>
      </c>
      <c r="K189" s="714" t="e">
        <v>#N/A</v>
      </c>
      <c r="L189" s="3697" t="e">
        <v>#N/A</v>
      </c>
      <c r="M189" s="714" t="e">
        <v>#N/A</v>
      </c>
      <c r="N189" s="3697" t="e">
        <v>#N/A</v>
      </c>
      <c r="O189" s="714" t="e">
        <v>#N/A</v>
      </c>
      <c r="P189" s="3697" t="e">
        <v>#N/A</v>
      </c>
      <c r="Q189" s="714" t="e">
        <v>#N/A</v>
      </c>
      <c r="R189" s="3697" t="e">
        <v>#N/A</v>
      </c>
      <c r="S189" s="714" t="e">
        <v>#N/A</v>
      </c>
      <c r="T189" s="1253" t="e">
        <v>#N/A</v>
      </c>
      <c r="U189" s="732" t="e">
        <v>#N/A</v>
      </c>
      <c r="V189" s="1253" t="e">
        <v>#N/A</v>
      </c>
      <c r="W189" s="719" t="e">
        <v>#N/A</v>
      </c>
      <c r="X189" s="3697" t="e">
        <v>#N/A</v>
      </c>
      <c r="Y189" s="552" t="e">
        <v>#N/A</v>
      </c>
    </row>
    <row r="196" spans="1:2">
      <c r="A196" s="2662"/>
    </row>
    <row r="197" spans="1:2">
      <c r="A197" s="2662"/>
    </row>
    <row r="198" spans="1:2">
      <c r="A198" s="2662"/>
    </row>
    <row r="199" spans="1:2">
      <c r="A199" s="2662"/>
    </row>
    <row r="200" spans="1:2">
      <c r="A200" s="2662"/>
    </row>
    <row r="201" spans="1:2">
      <c r="A201" s="2662"/>
      <c r="B201" s="3503"/>
    </row>
    <row r="202" spans="1:2">
      <c r="A202" s="2662"/>
    </row>
    <row r="203" spans="1:2">
      <c r="A203" s="2662"/>
    </row>
    <row r="204" spans="1:2">
      <c r="A204" s="2662"/>
    </row>
    <row r="205" spans="1:2">
      <c r="A205" s="2662"/>
    </row>
    <row r="206" spans="1:2">
      <c r="A206" s="2662"/>
    </row>
    <row r="207" spans="1:2">
      <c r="A207" s="2662"/>
    </row>
    <row r="208" spans="1:2">
      <c r="A208" s="2662"/>
    </row>
    <row r="209" spans="1:1">
      <c r="A209" s="2662"/>
    </row>
    <row r="210" spans="1:1">
      <c r="A210" s="2662"/>
    </row>
    <row r="211" spans="1:1">
      <c r="A211" s="2662"/>
    </row>
    <row r="212" spans="1:1">
      <c r="A212" s="2662"/>
    </row>
    <row r="213" spans="1:1">
      <c r="A213" s="2662"/>
    </row>
    <row r="214" spans="1:1">
      <c r="A214" s="2662"/>
    </row>
    <row r="215" spans="1:1">
      <c r="A215" s="2662"/>
    </row>
    <row r="216" spans="1:1">
      <c r="A216" s="2662"/>
    </row>
    <row r="217" spans="1:1">
      <c r="A217" s="2662"/>
    </row>
    <row r="218" spans="1:1">
      <c r="A218" s="2662"/>
    </row>
    <row r="219" spans="1:1">
      <c r="A219" s="2662"/>
    </row>
    <row r="220" spans="1:1">
      <c r="A220" s="2662"/>
    </row>
    <row r="221" spans="1:1">
      <c r="A221" s="2662"/>
    </row>
    <row r="222" spans="1:1">
      <c r="A222" s="2662"/>
    </row>
    <row r="223" spans="1:1">
      <c r="A223" s="2662"/>
    </row>
    <row r="224" spans="1:1">
      <c r="A224" s="2662"/>
    </row>
    <row r="225" spans="1:1">
      <c r="A225" s="2662"/>
    </row>
    <row r="226" spans="1:1">
      <c r="A226" s="2662"/>
    </row>
    <row r="227" spans="1:1">
      <c r="A227" s="2662"/>
    </row>
    <row r="228" spans="1:1">
      <c r="A228" s="2662"/>
    </row>
    <row r="229" spans="1:1">
      <c r="A229" s="2662"/>
    </row>
    <row r="230" spans="1:1">
      <c r="A230" s="2662"/>
    </row>
    <row r="231" spans="1:1">
      <c r="A231" s="2662"/>
    </row>
    <row r="232" spans="1:1">
      <c r="A232" s="2662"/>
    </row>
    <row r="233" spans="1:1">
      <c r="A233" s="2662"/>
    </row>
    <row r="234" spans="1:1">
      <c r="A234" s="2662"/>
    </row>
    <row r="235" spans="1:1">
      <c r="A235" s="2662"/>
    </row>
    <row r="236" spans="1:1">
      <c r="A236" s="2662"/>
    </row>
    <row r="237" spans="1:1">
      <c r="A237" s="2662"/>
    </row>
    <row r="238" spans="1:1">
      <c r="A238" s="2662"/>
    </row>
    <row r="239" spans="1:1">
      <c r="A239" s="2662"/>
    </row>
    <row r="240" spans="1:1">
      <c r="A240" s="2662"/>
    </row>
    <row r="241" spans="1:1">
      <c r="A241" s="2662"/>
    </row>
    <row r="242" spans="1:1">
      <c r="A242" s="2662"/>
    </row>
    <row r="243" spans="1:1">
      <c r="A243" s="2662"/>
    </row>
    <row r="244" spans="1:1">
      <c r="A244" s="2662"/>
    </row>
    <row r="245" spans="1:1">
      <c r="A245" s="2662"/>
    </row>
    <row r="246" spans="1:1">
      <c r="A246" s="2662"/>
    </row>
    <row r="247" spans="1:1">
      <c r="A247" s="2662"/>
    </row>
    <row r="248" spans="1:1">
      <c r="A248" s="2662"/>
    </row>
    <row r="249" spans="1:1">
      <c r="A249" s="2662"/>
    </row>
    <row r="250" spans="1:1">
      <c r="A250" s="2662"/>
    </row>
    <row r="251" spans="1:1">
      <c r="A251" s="2662"/>
    </row>
    <row r="252" spans="1:1">
      <c r="A252" s="2662"/>
    </row>
    <row r="253" spans="1:1">
      <c r="A253" s="2662"/>
    </row>
    <row r="254" spans="1:1">
      <c r="A254" s="2662"/>
    </row>
    <row r="255" spans="1:1">
      <c r="A255" s="2662"/>
    </row>
    <row r="256" spans="1:1">
      <c r="A256" s="2662"/>
    </row>
    <row r="257" spans="1:1">
      <c r="A257" s="2662"/>
    </row>
    <row r="258" spans="1:1">
      <c r="A258" s="2662"/>
    </row>
    <row r="259" spans="1:1">
      <c r="A259" s="2662"/>
    </row>
    <row r="260" spans="1:1">
      <c r="A260" s="2662"/>
    </row>
    <row r="261" spans="1:1">
      <c r="A261" s="2662"/>
    </row>
    <row r="262" spans="1:1">
      <c r="A262" s="2662"/>
    </row>
    <row r="263" spans="1:1">
      <c r="A263" s="2662"/>
    </row>
    <row r="264" spans="1:1">
      <c r="A264" s="2662"/>
    </row>
    <row r="265" spans="1:1">
      <c r="A265" s="2662"/>
    </row>
    <row r="266" spans="1:1">
      <c r="A266" s="2662"/>
    </row>
    <row r="267" spans="1:1">
      <c r="A267" s="2662"/>
    </row>
    <row r="268" spans="1:1">
      <c r="A268" s="2662"/>
    </row>
    <row r="269" spans="1:1">
      <c r="A269" s="2662"/>
    </row>
    <row r="270" spans="1:1">
      <c r="A270" s="2662"/>
    </row>
    <row r="271" spans="1:1">
      <c r="A271" s="2662"/>
    </row>
    <row r="272" spans="1:1">
      <c r="A272" s="2662"/>
    </row>
    <row r="273" spans="1:1">
      <c r="A273" s="2662"/>
    </row>
    <row r="274" spans="1:1">
      <c r="A274" s="2662"/>
    </row>
    <row r="275" spans="1:1">
      <c r="A275" s="2662"/>
    </row>
    <row r="276" spans="1:1">
      <c r="A276" s="2662"/>
    </row>
    <row r="277" spans="1:1">
      <c r="A277" s="2662"/>
    </row>
    <row r="278" spans="1:1">
      <c r="A278" s="2662"/>
    </row>
    <row r="279" spans="1:1">
      <c r="A279" s="2662"/>
    </row>
    <row r="280" spans="1:1">
      <c r="A280" s="2662"/>
    </row>
    <row r="281" spans="1:1">
      <c r="A281" s="2662"/>
    </row>
    <row r="282" spans="1:1">
      <c r="A282" s="2662"/>
    </row>
    <row r="283" spans="1:1">
      <c r="A283" s="2662"/>
    </row>
    <row r="284" spans="1:1">
      <c r="A284" s="2662"/>
    </row>
  </sheetData>
  <hyperlinks>
    <hyperlink ref="A5" location="INDICE!A13" display="VOLVER AL INDICE" xr:uid="{00000000-0004-0000-3400-000000000000}"/>
  </hyperlinks>
  <pageMargins left="0.5" right="0.5" top="0.5" bottom="1" header="0" footer="0.5"/>
  <pageSetup paperSize="256" scale="90" pageOrder="overThenDown" orientation="landscape" horizontalDpi="180" verticalDpi="180" r:id="rId1"/>
  <headerFooter alignWithMargins="0">
    <oddFooter>&amp;L&amp;F&amp;R&amp;D</oddFooter>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67">
    <pageSetUpPr autoPageBreaks="0"/>
  </sheetPr>
  <dimension ref="A1:I753"/>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10.5703125" style="78" bestFit="1" customWidth="1"/>
    <col min="2" max="5" width="15.5703125" style="79" customWidth="1"/>
    <col min="6" max="16384" width="11.42578125" style="15"/>
  </cols>
  <sheetData>
    <row r="1" spans="1:7" s="13" customFormat="1" ht="3.75" customHeight="1">
      <c r="A1" s="2761"/>
      <c r="B1" s="1507"/>
      <c r="C1" s="1508"/>
      <c r="D1" s="182"/>
      <c r="E1" s="184"/>
      <c r="F1" s="181"/>
      <c r="G1" s="181"/>
    </row>
    <row r="2" spans="1:7" s="13" customFormat="1" ht="51" customHeight="1">
      <c r="A2" s="2762" t="s">
        <v>99</v>
      </c>
      <c r="B2" s="1509" t="s">
        <v>1851</v>
      </c>
      <c r="C2" s="3116" t="s">
        <v>1852</v>
      </c>
      <c r="D2" s="3101" t="s">
        <v>1853</v>
      </c>
      <c r="E2" s="3102"/>
      <c r="F2" s="181"/>
      <c r="G2" s="181"/>
    </row>
    <row r="3" spans="1:7" s="13" customFormat="1" ht="42">
      <c r="A3" s="2762" t="s">
        <v>193</v>
      </c>
      <c r="B3" s="1509" t="s">
        <v>135</v>
      </c>
      <c r="C3" s="3117" t="s">
        <v>1854</v>
      </c>
      <c r="D3" s="3118" t="s">
        <v>1855</v>
      </c>
      <c r="E3" s="2092" t="s">
        <v>1856</v>
      </c>
      <c r="F3" s="181"/>
      <c r="G3" s="181"/>
    </row>
    <row r="4" spans="1:7" s="13" customFormat="1" ht="3.75" hidden="1" customHeight="1">
      <c r="A4" s="2762"/>
      <c r="B4" s="1510"/>
      <c r="C4" s="3105"/>
      <c r="D4" s="3105"/>
      <c r="E4" s="2093"/>
      <c r="F4" s="181"/>
      <c r="G4" s="181"/>
    </row>
    <row r="5" spans="1:7" s="13" customFormat="1" ht="22.5">
      <c r="A5" s="2867" t="s">
        <v>140</v>
      </c>
      <c r="B5" s="1511" t="s">
        <v>1209</v>
      </c>
      <c r="C5" s="2782" t="s">
        <v>1209</v>
      </c>
      <c r="D5" s="2782" t="s">
        <v>1826</v>
      </c>
      <c r="E5" s="2094" t="s">
        <v>1826</v>
      </c>
      <c r="F5" s="181"/>
      <c r="G5" s="181"/>
    </row>
    <row r="6" spans="1:7" s="13" customFormat="1" ht="3.75" hidden="1" customHeight="1">
      <c r="A6" s="2762"/>
      <c r="B6" s="1510"/>
      <c r="C6" s="3105"/>
      <c r="D6" s="3105"/>
      <c r="E6" s="2093"/>
      <c r="F6" s="181"/>
      <c r="G6" s="181"/>
    </row>
    <row r="7" spans="1:7" s="13" customFormat="1" ht="26.1" customHeight="1">
      <c r="A7" s="2762" t="s">
        <v>125</v>
      </c>
      <c r="B7" s="448" t="s">
        <v>1857</v>
      </c>
      <c r="C7" s="3119" t="s">
        <v>1858</v>
      </c>
      <c r="D7" s="2758" t="s">
        <v>241</v>
      </c>
      <c r="E7" s="2068" t="s">
        <v>241</v>
      </c>
      <c r="F7" s="181"/>
      <c r="G7" s="181"/>
    </row>
    <row r="8" spans="1:7" s="13" customFormat="1" ht="18" customHeight="1">
      <c r="A8" s="3002" t="s">
        <v>144</v>
      </c>
      <c r="B8" s="3030" t="s">
        <v>1859</v>
      </c>
      <c r="C8" s="3031" t="s">
        <v>1860</v>
      </c>
      <c r="D8" s="3031" t="s">
        <v>1861</v>
      </c>
      <c r="E8" s="2286" t="s">
        <v>1862</v>
      </c>
      <c r="F8" s="181"/>
      <c r="G8" s="181"/>
    </row>
    <row r="9" spans="1:7" s="14" customFormat="1" ht="13.5" thickBot="1">
      <c r="A9" s="2140"/>
      <c r="B9" s="1512"/>
      <c r="C9" s="180"/>
      <c r="D9" s="180"/>
      <c r="E9" s="1513"/>
      <c r="F9" s="179"/>
      <c r="G9" s="179"/>
    </row>
    <row r="10" spans="1:7" s="14" customFormat="1">
      <c r="A10" s="1514">
        <v>1969.01</v>
      </c>
      <c r="B10" s="547">
        <v>1.9688111954912401E-10</v>
      </c>
      <c r="C10" s="548">
        <f>B10</f>
        <v>1.9688111954912401E-10</v>
      </c>
      <c r="D10" s="1515"/>
      <c r="E10" s="1516"/>
      <c r="F10" s="179"/>
      <c r="G10" s="176"/>
    </row>
    <row r="11" spans="1:7" s="14" customFormat="1">
      <c r="A11" s="1514">
        <v>1969.02</v>
      </c>
      <c r="B11" s="1517">
        <v>1.9423508621101399E-10</v>
      </c>
      <c r="C11" s="2399">
        <f>B11</f>
        <v>1.9423508621101399E-10</v>
      </c>
      <c r="D11" s="904"/>
      <c r="E11" s="3110"/>
      <c r="F11" s="179"/>
      <c r="G11" s="176"/>
    </row>
    <row r="12" spans="1:7" s="14" customFormat="1">
      <c r="A12" s="1514">
        <v>1969.03</v>
      </c>
      <c r="B12" s="1517">
        <v>1.9641782490328127E-10</v>
      </c>
      <c r="C12" s="2399">
        <f t="shared" ref="C12:C75" si="0">B12</f>
        <v>1.9641782490328127E-10</v>
      </c>
      <c r="D12" s="904"/>
      <c r="E12" s="3110"/>
      <c r="F12" s="179"/>
      <c r="G12" s="176"/>
    </row>
    <row r="13" spans="1:7" s="14" customFormat="1">
      <c r="A13" s="1514">
        <v>1969.04</v>
      </c>
      <c r="B13" s="1517">
        <v>1.9661842670869751E-10</v>
      </c>
      <c r="C13" s="2399">
        <f t="shared" si="0"/>
        <v>1.9661842670869751E-10</v>
      </c>
      <c r="D13" s="904"/>
      <c r="E13" s="3110"/>
      <c r="F13" s="179"/>
      <c r="G13" s="176"/>
    </row>
    <row r="14" spans="1:7" s="14" customFormat="1">
      <c r="A14" s="1514">
        <v>1969.05</v>
      </c>
      <c r="B14" s="1517">
        <v>1.9390552610211588E-10</v>
      </c>
      <c r="C14" s="2399">
        <f t="shared" si="0"/>
        <v>1.9390552610211588E-10</v>
      </c>
      <c r="D14" s="904"/>
      <c r="E14" s="3110"/>
      <c r="F14" s="179"/>
      <c r="G14" s="176"/>
    </row>
    <row r="15" spans="1:7" s="14" customFormat="1">
      <c r="A15" s="1514">
        <v>1969.06</v>
      </c>
      <c r="B15" s="1517">
        <v>1.9582079572049479E-10</v>
      </c>
      <c r="C15" s="2399">
        <f t="shared" si="0"/>
        <v>1.9582079572049479E-10</v>
      </c>
      <c r="D15" s="904"/>
      <c r="E15" s="3110"/>
      <c r="F15" s="179"/>
      <c r="G15" s="176"/>
    </row>
    <row r="16" spans="1:7" s="14" customFormat="1">
      <c r="A16" s="1514">
        <v>1969.07</v>
      </c>
      <c r="B16" s="1517">
        <v>1.9843339542436835E-10</v>
      </c>
      <c r="C16" s="2399">
        <f t="shared" si="0"/>
        <v>1.9843339542436835E-10</v>
      </c>
      <c r="D16" s="904"/>
      <c r="E16" s="3110"/>
      <c r="F16" s="179"/>
      <c r="G16" s="176"/>
    </row>
    <row r="17" spans="1:7" s="14" customFormat="1">
      <c r="A17" s="1514">
        <v>1969.08</v>
      </c>
      <c r="B17" s="1517">
        <v>1.9694798681759565E-10</v>
      </c>
      <c r="C17" s="2399">
        <f t="shared" si="0"/>
        <v>1.9694798681759565E-10</v>
      </c>
      <c r="D17" s="904"/>
      <c r="E17" s="3110"/>
      <c r="F17" s="179"/>
      <c r="G17" s="176"/>
    </row>
    <row r="18" spans="1:7" s="14" customFormat="1">
      <c r="A18" s="1514">
        <v>1969.09</v>
      </c>
      <c r="B18" s="1517">
        <v>2.006161341166356E-10</v>
      </c>
      <c r="C18" s="2399">
        <f t="shared" si="0"/>
        <v>2.006161341166356E-10</v>
      </c>
      <c r="D18" s="904"/>
      <c r="E18" s="3110"/>
      <c r="F18" s="179"/>
      <c r="G18" s="176"/>
    </row>
    <row r="19" spans="1:7" s="14" customFormat="1">
      <c r="A19" s="1514">
        <v>1969.1</v>
      </c>
      <c r="B19" s="1517">
        <v>2.0365859483211537E-10</v>
      </c>
      <c r="C19" s="2399">
        <f t="shared" si="0"/>
        <v>2.0365859483211537E-10</v>
      </c>
      <c r="D19" s="904"/>
      <c r="E19" s="3110"/>
      <c r="F19" s="179"/>
      <c r="G19" s="176"/>
    </row>
    <row r="20" spans="1:7" s="14" customFormat="1">
      <c r="A20" s="1514">
        <v>1969.11</v>
      </c>
      <c r="B20" s="1517">
        <v>2.0511056980465205E-10</v>
      </c>
      <c r="C20" s="2399">
        <f t="shared" si="0"/>
        <v>2.0511056980465205E-10</v>
      </c>
      <c r="D20" s="904"/>
      <c r="E20" s="3110"/>
      <c r="F20" s="179"/>
      <c r="G20" s="176"/>
    </row>
    <row r="21" spans="1:7" s="14" customFormat="1">
      <c r="A21" s="1514">
        <v>1969.12</v>
      </c>
      <c r="B21" s="1517">
        <v>2.2015092897740838E-10</v>
      </c>
      <c r="C21" s="2399">
        <f t="shared" si="0"/>
        <v>2.2015092897740838E-10</v>
      </c>
      <c r="D21" s="904"/>
      <c r="E21" s="3110"/>
      <c r="F21" s="179"/>
      <c r="G21" s="176"/>
    </row>
    <row r="22" spans="1:7" s="14" customFormat="1">
      <c r="A22" s="1514">
        <v>1970.01</v>
      </c>
      <c r="B22" s="1517">
        <v>2.0977217366384868E-10</v>
      </c>
      <c r="C22" s="2399">
        <f t="shared" si="0"/>
        <v>2.0977217366384868E-10</v>
      </c>
      <c r="D22" s="904"/>
      <c r="E22" s="3110"/>
      <c r="F22" s="179"/>
      <c r="G22" s="176"/>
    </row>
    <row r="23" spans="1:7" s="14" customFormat="1">
      <c r="A23" s="1514">
        <v>1970.02</v>
      </c>
      <c r="B23" s="1517">
        <v>2.1261403257391221E-10</v>
      </c>
      <c r="C23" s="2399">
        <f t="shared" si="0"/>
        <v>2.1261403257391221E-10</v>
      </c>
      <c r="D23" s="904"/>
      <c r="E23" s="3110"/>
      <c r="F23" s="179"/>
      <c r="G23" s="176"/>
    </row>
    <row r="24" spans="1:7" s="14" customFormat="1">
      <c r="A24" s="1514">
        <v>1970.03</v>
      </c>
      <c r="B24" s="1517">
        <v>2.153603668147299E-10</v>
      </c>
      <c r="C24" s="2399">
        <f t="shared" si="0"/>
        <v>2.153603668147299E-10</v>
      </c>
      <c r="D24" s="904"/>
      <c r="E24" s="3110"/>
      <c r="F24" s="179"/>
      <c r="G24" s="176"/>
    </row>
    <row r="25" spans="1:7" s="14" customFormat="1">
      <c r="A25" s="1514">
        <v>1970.04</v>
      </c>
      <c r="B25" s="1517">
        <v>2.1701294359268283E-10</v>
      </c>
      <c r="C25" s="2399">
        <f t="shared" si="0"/>
        <v>2.1701294359268283E-10</v>
      </c>
      <c r="D25" s="904"/>
      <c r="E25" s="3110"/>
      <c r="F25" s="179"/>
      <c r="G25" s="176"/>
    </row>
    <row r="26" spans="1:7" s="14" customFormat="1">
      <c r="A26" s="1514">
        <v>1970.05</v>
      </c>
      <c r="B26" s="1517">
        <v>2.1861775803601281E-10</v>
      </c>
      <c r="C26" s="2399">
        <f t="shared" si="0"/>
        <v>2.1861775803601281E-10</v>
      </c>
      <c r="D26" s="904"/>
      <c r="E26" s="3110"/>
      <c r="F26" s="179"/>
      <c r="G26" s="176"/>
    </row>
    <row r="27" spans="1:7" s="14" customFormat="1">
      <c r="A27" s="1514">
        <v>1970.06</v>
      </c>
      <c r="B27" s="1517">
        <v>2.2021779624588048E-10</v>
      </c>
      <c r="C27" s="2399">
        <f t="shared" si="0"/>
        <v>2.2021779624588048E-10</v>
      </c>
      <c r="D27" s="904"/>
      <c r="E27" s="3110"/>
      <c r="F27" s="179"/>
      <c r="G27" s="176"/>
    </row>
    <row r="28" spans="1:7" s="14" customFormat="1">
      <c r="A28" s="1514">
        <v>1970.07</v>
      </c>
      <c r="B28" s="1517">
        <v>2.2292592061899985E-10</v>
      </c>
      <c r="C28" s="2399">
        <f t="shared" si="0"/>
        <v>2.2292592061899985E-10</v>
      </c>
      <c r="D28" s="904"/>
      <c r="E28" s="3110"/>
      <c r="F28" s="179"/>
      <c r="G28" s="176"/>
    </row>
    <row r="29" spans="1:7" s="14" customFormat="1">
      <c r="A29" s="1514">
        <v>1970.08</v>
      </c>
      <c r="B29" s="1517">
        <v>2.2544299565362755E-10</v>
      </c>
      <c r="C29" s="2399">
        <f t="shared" si="0"/>
        <v>2.2544299565362755E-10</v>
      </c>
      <c r="D29" s="904"/>
      <c r="E29" s="3110"/>
      <c r="F29" s="179"/>
      <c r="G29" s="176"/>
    </row>
    <row r="30" spans="1:7" s="14" customFormat="1">
      <c r="A30" s="1514">
        <v>1970.09</v>
      </c>
      <c r="B30" s="1517">
        <v>2.3003773224435212E-10</v>
      </c>
      <c r="C30" s="2399">
        <f t="shared" si="0"/>
        <v>2.3003773224435212E-10</v>
      </c>
      <c r="D30" s="904"/>
      <c r="E30" s="3110"/>
      <c r="F30" s="179"/>
      <c r="G30" s="176"/>
    </row>
    <row r="31" spans="1:7" s="14" customFormat="1">
      <c r="A31" s="1514">
        <v>1970.1</v>
      </c>
      <c r="B31" s="1517">
        <v>2.3916033815732914E-10</v>
      </c>
      <c r="C31" s="2399">
        <f t="shared" si="0"/>
        <v>2.3916033815732914E-10</v>
      </c>
      <c r="D31" s="904"/>
      <c r="E31" s="3110"/>
      <c r="F31" s="179"/>
      <c r="G31" s="176"/>
    </row>
    <row r="32" spans="1:7" s="14" customFormat="1">
      <c r="A32" s="1514">
        <v>1970.11</v>
      </c>
      <c r="B32" s="1517">
        <v>2.4534078425753451E-10</v>
      </c>
      <c r="C32" s="2399">
        <f t="shared" si="0"/>
        <v>2.4534078425753451E-10</v>
      </c>
      <c r="D32" s="904"/>
      <c r="E32" s="3110"/>
      <c r="F32" s="179"/>
      <c r="G32" s="176"/>
    </row>
    <row r="33" spans="1:7" s="14" customFormat="1">
      <c r="A33" s="1514">
        <v>1970.12</v>
      </c>
      <c r="B33" s="1517">
        <v>2.6801834073649522E-10</v>
      </c>
      <c r="C33" s="2399">
        <f t="shared" si="0"/>
        <v>2.6801834073649522E-10</v>
      </c>
      <c r="D33" s="904"/>
      <c r="E33" s="3110"/>
      <c r="F33" s="179"/>
      <c r="G33" s="176"/>
    </row>
    <row r="34" spans="1:7" s="14" customFormat="1">
      <c r="A34" s="1514">
        <v>1971.01</v>
      </c>
      <c r="B34" s="1517">
        <v>2.6725891961599082E-10</v>
      </c>
      <c r="C34" s="2399">
        <f t="shared" si="0"/>
        <v>2.6725891961599082E-10</v>
      </c>
      <c r="D34" s="904"/>
      <c r="E34" s="3110"/>
      <c r="F34" s="179"/>
      <c r="G34" s="176"/>
    </row>
    <row r="35" spans="1:7" s="14" customFormat="1">
      <c r="A35" s="1514">
        <v>1971.02</v>
      </c>
      <c r="B35" s="1517">
        <v>2.761809237235516E-10</v>
      </c>
      <c r="C35" s="2399">
        <f t="shared" si="0"/>
        <v>2.761809237235516E-10</v>
      </c>
      <c r="D35" s="904"/>
      <c r="E35" s="3110"/>
      <c r="F35" s="179"/>
      <c r="G35" s="176"/>
    </row>
    <row r="36" spans="1:7" s="14" customFormat="1">
      <c r="A36" s="1514">
        <v>1971.03</v>
      </c>
      <c r="B36" s="1517">
        <v>2.7908964990208721E-10</v>
      </c>
      <c r="C36" s="2399">
        <f t="shared" si="0"/>
        <v>2.7908964990208721E-10</v>
      </c>
      <c r="D36" s="904"/>
      <c r="E36" s="3110"/>
      <c r="F36" s="179"/>
      <c r="G36" s="176"/>
    </row>
    <row r="37" spans="1:7" s="14" customFormat="1">
      <c r="A37" s="1514">
        <v>1971.04</v>
      </c>
      <c r="B37" s="1517">
        <v>2.8160194870325262E-10</v>
      </c>
      <c r="C37" s="2399">
        <f t="shared" si="0"/>
        <v>2.8160194870325262E-10</v>
      </c>
      <c r="D37" s="904"/>
      <c r="E37" s="3110"/>
      <c r="F37" s="179"/>
      <c r="G37" s="176"/>
    </row>
    <row r="38" spans="1:7" s="14" customFormat="1">
      <c r="A38" s="1514">
        <v>1971.05</v>
      </c>
      <c r="B38" s="1517">
        <v>2.8844629125471655E-10</v>
      </c>
      <c r="C38" s="2399">
        <f t="shared" si="0"/>
        <v>2.8844629125471655E-10</v>
      </c>
      <c r="D38" s="904"/>
      <c r="E38" s="3110"/>
      <c r="F38" s="179"/>
      <c r="G38" s="176"/>
    </row>
    <row r="39" spans="1:7" s="14" customFormat="1">
      <c r="A39" s="1514">
        <v>1971.06</v>
      </c>
      <c r="B39" s="1517">
        <v>2.9743516263074936E-10</v>
      </c>
      <c r="C39" s="2399">
        <f t="shared" si="0"/>
        <v>2.9743516263074936E-10</v>
      </c>
      <c r="D39" s="904"/>
      <c r="E39" s="3110"/>
      <c r="F39" s="179"/>
      <c r="G39" s="176"/>
    </row>
    <row r="40" spans="1:7" s="14" customFormat="1">
      <c r="A40" s="1514">
        <v>1971.07</v>
      </c>
      <c r="B40" s="1517">
        <v>3.1023069207622871E-10</v>
      </c>
      <c r="C40" s="2399">
        <f t="shared" si="0"/>
        <v>3.1023069207622871E-10</v>
      </c>
      <c r="D40" s="904"/>
      <c r="E40" s="3110"/>
      <c r="F40" s="179"/>
      <c r="G40" s="176"/>
    </row>
    <row r="41" spans="1:7" s="14" customFormat="1">
      <c r="A41" s="1514">
        <v>1971.08</v>
      </c>
      <c r="B41" s="1517">
        <v>3.183598414290491E-10</v>
      </c>
      <c r="C41" s="2399">
        <f t="shared" si="0"/>
        <v>3.183598414290491E-10</v>
      </c>
      <c r="D41" s="904"/>
      <c r="E41" s="3110"/>
      <c r="F41" s="179"/>
      <c r="G41" s="176"/>
    </row>
    <row r="42" spans="1:7" s="14" customFormat="1">
      <c r="A42" s="1514">
        <v>1971.09</v>
      </c>
      <c r="B42" s="1517">
        <v>3.2123513397334857E-10</v>
      </c>
      <c r="C42" s="2399">
        <f t="shared" si="0"/>
        <v>3.2123513397334857E-10</v>
      </c>
      <c r="D42" s="904"/>
      <c r="E42" s="3110"/>
      <c r="F42" s="179"/>
      <c r="G42" s="176"/>
    </row>
    <row r="43" spans="1:7" s="14" customFormat="1">
      <c r="A43" s="1514">
        <v>1971.1</v>
      </c>
      <c r="B43" s="1517">
        <v>3.2454028752925442E-10</v>
      </c>
      <c r="C43" s="2399">
        <f t="shared" si="0"/>
        <v>3.2454028752925442E-10</v>
      </c>
      <c r="D43" s="904"/>
      <c r="E43" s="3110"/>
      <c r="F43" s="179"/>
      <c r="G43" s="176"/>
    </row>
    <row r="44" spans="1:7" s="14" customFormat="1">
      <c r="A44" s="1514">
        <v>1971.11</v>
      </c>
      <c r="B44" s="1517">
        <v>3.3330467593255956E-10</v>
      </c>
      <c r="C44" s="2399">
        <f t="shared" si="0"/>
        <v>3.3330467593255956E-10</v>
      </c>
      <c r="D44" s="904"/>
      <c r="E44" s="3110"/>
      <c r="F44" s="179"/>
      <c r="G44" s="176"/>
    </row>
    <row r="45" spans="1:7" s="14" customFormat="1">
      <c r="A45" s="1514">
        <v>1971.12</v>
      </c>
      <c r="B45" s="1517">
        <v>3.7287099393418348E-10</v>
      </c>
      <c r="C45" s="2399">
        <f t="shared" si="0"/>
        <v>3.7287099393418348E-10</v>
      </c>
      <c r="D45" s="904"/>
      <c r="E45" s="3110"/>
      <c r="F45" s="179"/>
      <c r="G45" s="176"/>
    </row>
    <row r="46" spans="1:7" s="14" customFormat="1">
      <c r="A46" s="1514">
        <v>1972.01</v>
      </c>
      <c r="B46" s="1517">
        <v>3.9230548789224819E-10</v>
      </c>
      <c r="C46" s="2399">
        <f t="shared" si="0"/>
        <v>3.9230548789224819E-10</v>
      </c>
      <c r="D46" s="904"/>
      <c r="E46" s="3110"/>
      <c r="F46" s="179"/>
      <c r="G46" s="176"/>
    </row>
    <row r="47" spans="1:7" s="14" customFormat="1">
      <c r="A47" s="1514">
        <v>1972.02</v>
      </c>
      <c r="B47" s="1517">
        <v>4.0648134880832974E-10</v>
      </c>
      <c r="C47" s="2399">
        <f t="shared" si="0"/>
        <v>4.0648134880832974E-10</v>
      </c>
      <c r="D47" s="904"/>
      <c r="E47" s="3110"/>
      <c r="F47" s="179"/>
      <c r="G47" s="176"/>
    </row>
    <row r="48" spans="1:7" s="14" customFormat="1">
      <c r="A48" s="1514">
        <v>1972.03</v>
      </c>
      <c r="B48" s="1517">
        <v>4.2367578927257963E-10</v>
      </c>
      <c r="C48" s="2399">
        <f t="shared" si="0"/>
        <v>4.2367578927257963E-10</v>
      </c>
      <c r="D48" s="904"/>
      <c r="E48" s="3110"/>
      <c r="F48" s="179"/>
      <c r="G48" s="176"/>
    </row>
    <row r="49" spans="1:7" s="14" customFormat="1">
      <c r="A49" s="1514">
        <v>1972.04</v>
      </c>
      <c r="B49" s="1517">
        <v>4.443377752304533E-10</v>
      </c>
      <c r="C49" s="2399">
        <f t="shared" si="0"/>
        <v>4.443377752304533E-10</v>
      </c>
      <c r="D49" s="904"/>
      <c r="E49" s="3110"/>
      <c r="F49" s="179"/>
      <c r="G49" s="176"/>
    </row>
    <row r="50" spans="1:7" s="14" customFormat="1">
      <c r="A50" s="1514">
        <v>1972.05</v>
      </c>
      <c r="B50" s="1517">
        <v>4.5147824425657925E-10</v>
      </c>
      <c r="C50" s="2399">
        <f t="shared" si="0"/>
        <v>4.5147824425657925E-10</v>
      </c>
      <c r="D50" s="904"/>
      <c r="E50" s="3110"/>
      <c r="F50" s="179"/>
      <c r="G50" s="176"/>
    </row>
    <row r="51" spans="1:7" s="14" customFormat="1">
      <c r="A51" s="1514">
        <v>1972.06</v>
      </c>
      <c r="B51" s="1517">
        <v>4.7630032956010889E-10</v>
      </c>
      <c r="C51" s="2399">
        <f t="shared" si="0"/>
        <v>4.7630032956010889E-10</v>
      </c>
      <c r="D51" s="904"/>
      <c r="E51" s="3110"/>
      <c r="F51" s="179"/>
      <c r="G51" s="176"/>
    </row>
    <row r="52" spans="1:7" s="14" customFormat="1">
      <c r="A52" s="1514">
        <v>1972.07</v>
      </c>
      <c r="B52" s="1517">
        <v>4.9993790896499029E-10</v>
      </c>
      <c r="C52" s="2399">
        <f t="shared" si="0"/>
        <v>4.9993790896499029E-10</v>
      </c>
      <c r="D52" s="904"/>
      <c r="E52" s="3110"/>
      <c r="F52" s="179"/>
      <c r="G52" s="176"/>
    </row>
    <row r="53" spans="1:7" s="14" customFormat="1">
      <c r="A53" s="1514">
        <v>1972.08</v>
      </c>
      <c r="B53" s="1517">
        <v>4.9930744614796766E-10</v>
      </c>
      <c r="C53" s="2399">
        <f t="shared" si="0"/>
        <v>4.9930744614796766E-10</v>
      </c>
      <c r="D53" s="904"/>
      <c r="E53" s="3110"/>
      <c r="F53" s="179"/>
      <c r="G53" s="176"/>
    </row>
    <row r="54" spans="1:7" s="14" customFormat="1">
      <c r="A54" s="1514">
        <v>1972.09</v>
      </c>
      <c r="B54" s="1517">
        <v>5.1153938004489668E-10</v>
      </c>
      <c r="C54" s="2399">
        <f t="shared" si="0"/>
        <v>5.1153938004489668E-10</v>
      </c>
      <c r="D54" s="904"/>
      <c r="E54" s="3110"/>
      <c r="F54" s="179"/>
      <c r="G54" s="176"/>
    </row>
    <row r="55" spans="1:7" s="14" customFormat="1">
      <c r="A55" s="1514">
        <v>1972.1</v>
      </c>
      <c r="B55" s="1517">
        <v>5.3629937431341632E-10</v>
      </c>
      <c r="C55" s="2399">
        <f t="shared" si="0"/>
        <v>5.3629937431341632E-10</v>
      </c>
      <c r="D55" s="904"/>
      <c r="E55" s="3110"/>
      <c r="F55" s="179"/>
      <c r="G55" s="176"/>
    </row>
    <row r="56" spans="1:7" s="14" customFormat="1">
      <c r="A56" s="1514">
        <v>1972.11</v>
      </c>
      <c r="B56" s="1517">
        <v>5.624444762860009E-10</v>
      </c>
      <c r="C56" s="2399">
        <f t="shared" si="0"/>
        <v>5.624444762860009E-10</v>
      </c>
      <c r="D56" s="904"/>
      <c r="E56" s="3110"/>
      <c r="F56" s="179"/>
      <c r="G56" s="176"/>
    </row>
    <row r="57" spans="1:7" s="14" customFormat="1">
      <c r="A57" s="1514">
        <v>1972.12</v>
      </c>
      <c r="B57" s="1517">
        <v>6.1206476572574871E-10</v>
      </c>
      <c r="C57" s="2399">
        <f t="shared" si="0"/>
        <v>6.1206476572574871E-10</v>
      </c>
      <c r="D57" s="904"/>
      <c r="E57" s="3110"/>
      <c r="F57" s="179"/>
      <c r="G57" s="176"/>
    </row>
    <row r="58" spans="1:7" s="14" customFormat="1">
      <c r="A58" s="1514">
        <v>1973.01</v>
      </c>
      <c r="B58" s="1517">
        <v>6.403591727563644E-10</v>
      </c>
      <c r="C58" s="2399">
        <f t="shared" si="0"/>
        <v>6.403591727563644E-10</v>
      </c>
      <c r="D58" s="904"/>
      <c r="E58" s="3110"/>
      <c r="F58" s="179"/>
      <c r="G58" s="176"/>
    </row>
    <row r="59" spans="1:7" s="14" customFormat="1">
      <c r="A59" s="1514">
        <v>1973.02</v>
      </c>
      <c r="B59" s="1517">
        <v>6.8881883746477529E-10</v>
      </c>
      <c r="C59" s="2399">
        <f t="shared" si="0"/>
        <v>6.8881883746477529E-10</v>
      </c>
      <c r="D59" s="904"/>
      <c r="E59" s="3110"/>
      <c r="F59" s="179"/>
      <c r="G59" s="176"/>
    </row>
    <row r="60" spans="1:7" s="14" customFormat="1">
      <c r="A60" s="1514">
        <v>1973.03</v>
      </c>
      <c r="B60" s="1517">
        <v>7.4799159382910629E-10</v>
      </c>
      <c r="C60" s="2399">
        <f t="shared" si="0"/>
        <v>7.4799159382910629E-10</v>
      </c>
      <c r="D60" s="904"/>
      <c r="E60" s="3110"/>
      <c r="F60" s="179"/>
      <c r="G60" s="176"/>
    </row>
    <row r="61" spans="1:7" s="14" customFormat="1">
      <c r="A61" s="1514">
        <v>1973.04</v>
      </c>
      <c r="B61" s="1517">
        <v>7.814061231312987E-10</v>
      </c>
      <c r="C61" s="2399">
        <f t="shared" si="0"/>
        <v>7.814061231312987E-10</v>
      </c>
      <c r="D61" s="904"/>
      <c r="E61" s="3110"/>
      <c r="F61" s="179"/>
      <c r="G61" s="176"/>
    </row>
    <row r="62" spans="1:7" s="14" customFormat="1">
      <c r="A62" s="1514">
        <v>1973.05</v>
      </c>
      <c r="B62" s="1517">
        <v>8.0844915699479381E-10</v>
      </c>
      <c r="C62" s="2399">
        <f t="shared" si="0"/>
        <v>8.0844915699479381E-10</v>
      </c>
      <c r="D62" s="904"/>
      <c r="E62" s="3110"/>
      <c r="F62" s="179"/>
      <c r="G62" s="176"/>
    </row>
    <row r="63" spans="1:7" s="14" customFormat="1">
      <c r="A63" s="1514">
        <v>1973.06</v>
      </c>
      <c r="B63" s="1517">
        <v>7.8471605292066683E-10</v>
      </c>
      <c r="C63" s="2399">
        <f t="shared" si="0"/>
        <v>7.8471605292066683E-10</v>
      </c>
      <c r="D63" s="904"/>
      <c r="E63" s="3110"/>
      <c r="F63" s="179"/>
      <c r="G63" s="176"/>
    </row>
    <row r="64" spans="1:7" s="14" customFormat="1">
      <c r="A64" s="1514">
        <v>1973.07</v>
      </c>
      <c r="B64" s="1517">
        <v>7.8464918565219455E-10</v>
      </c>
      <c r="C64" s="2399">
        <f t="shared" si="0"/>
        <v>7.8464918565219455E-10</v>
      </c>
      <c r="D64" s="904"/>
      <c r="E64" s="3110"/>
      <c r="F64" s="179"/>
      <c r="G64" s="176"/>
    </row>
    <row r="65" spans="1:7" s="14" customFormat="1">
      <c r="A65" s="1514">
        <v>1973.08</v>
      </c>
      <c r="B65" s="1517">
        <v>7.9092993265510819E-10</v>
      </c>
      <c r="C65" s="2399">
        <f t="shared" si="0"/>
        <v>7.9092993265510819E-10</v>
      </c>
      <c r="D65" s="904"/>
      <c r="E65" s="3110"/>
      <c r="F65" s="179"/>
      <c r="G65" s="176"/>
    </row>
    <row r="66" spans="1:7" s="14" customFormat="1">
      <c r="A66" s="1514">
        <v>1973.09</v>
      </c>
      <c r="B66" s="1517">
        <v>7.9506137459999041E-10</v>
      </c>
      <c r="C66" s="2399">
        <f t="shared" si="0"/>
        <v>7.9506137459999041E-10</v>
      </c>
      <c r="D66" s="904"/>
      <c r="E66" s="3110"/>
      <c r="F66" s="179"/>
      <c r="G66" s="176"/>
    </row>
    <row r="67" spans="1:7" s="14" customFormat="1">
      <c r="A67" s="1514">
        <v>1973.1</v>
      </c>
      <c r="B67" s="1517">
        <v>8.0738883316616511E-10</v>
      </c>
      <c r="C67" s="2399">
        <f t="shared" si="0"/>
        <v>8.0738883316616511E-10</v>
      </c>
      <c r="D67" s="904"/>
      <c r="E67" s="3110"/>
      <c r="F67" s="179"/>
      <c r="G67" s="176"/>
    </row>
    <row r="68" spans="1:7" s="14" customFormat="1">
      <c r="A68" s="1514">
        <v>1973.11</v>
      </c>
      <c r="B68" s="1517">
        <v>8.1380331470602281E-10</v>
      </c>
      <c r="C68" s="2399">
        <f t="shared" si="0"/>
        <v>8.1380331470602281E-10</v>
      </c>
      <c r="D68" s="904"/>
      <c r="E68" s="3110"/>
      <c r="F68" s="179"/>
      <c r="G68" s="176"/>
    </row>
    <row r="69" spans="1:7" s="14" customFormat="1">
      <c r="A69" s="1514">
        <v>1973.12</v>
      </c>
      <c r="B69" s="1517">
        <v>8.7994459569183738E-10</v>
      </c>
      <c r="C69" s="2399">
        <f t="shared" si="0"/>
        <v>8.7994459569183738E-10</v>
      </c>
      <c r="D69" s="904"/>
      <c r="E69" s="3110"/>
      <c r="F69" s="179"/>
      <c r="G69" s="176"/>
    </row>
    <row r="70" spans="1:7">
      <c r="A70" s="1514">
        <v>1974.01</v>
      </c>
      <c r="B70" s="1517">
        <v>8.2960787123274594E-10</v>
      </c>
      <c r="C70" s="2399">
        <f t="shared" si="0"/>
        <v>8.2960787123274594E-10</v>
      </c>
      <c r="D70" s="904"/>
      <c r="E70" s="3110"/>
      <c r="F70" s="176"/>
      <c r="G70" s="176"/>
    </row>
    <row r="71" spans="1:7">
      <c r="A71" s="1514">
        <v>1974.02</v>
      </c>
      <c r="B71" s="1517">
        <v>8.4259445001671686E-10</v>
      </c>
      <c r="C71" s="2399">
        <f t="shared" si="0"/>
        <v>8.4259445001671686E-10</v>
      </c>
      <c r="D71" s="904"/>
      <c r="E71" s="3110"/>
      <c r="F71" s="176"/>
      <c r="G71" s="176"/>
    </row>
    <row r="72" spans="1:7">
      <c r="A72" s="1514">
        <v>1974.03</v>
      </c>
      <c r="B72" s="1517">
        <v>8.5261021158714238E-10</v>
      </c>
      <c r="C72" s="2399">
        <f t="shared" si="0"/>
        <v>8.5261021158714238E-10</v>
      </c>
      <c r="D72" s="904"/>
      <c r="E72" s="3110"/>
      <c r="F72" s="176"/>
      <c r="G72" s="176"/>
    </row>
    <row r="73" spans="1:7">
      <c r="A73" s="1514">
        <v>1974.04</v>
      </c>
      <c r="B73" s="1517">
        <v>8.7680661030711168E-10</v>
      </c>
      <c r="C73" s="2399">
        <f t="shared" si="0"/>
        <v>8.7680661030711168E-10</v>
      </c>
      <c r="D73" s="904"/>
      <c r="E73" s="3110"/>
      <c r="F73" s="176"/>
      <c r="G73" s="176"/>
    </row>
    <row r="74" spans="1:7">
      <c r="A74" s="1514">
        <v>1974.05</v>
      </c>
      <c r="B74" s="1517">
        <v>9.0599417299517598E-10</v>
      </c>
      <c r="C74" s="2399">
        <f t="shared" si="0"/>
        <v>9.0599417299517598E-10</v>
      </c>
      <c r="D74" s="904"/>
      <c r="E74" s="3110"/>
      <c r="F74" s="176"/>
      <c r="G74" s="176"/>
    </row>
    <row r="75" spans="1:7">
      <c r="A75" s="1514">
        <v>1974.06</v>
      </c>
      <c r="B75" s="1517">
        <v>9.4070306156564926E-10</v>
      </c>
      <c r="C75" s="2399">
        <f t="shared" si="0"/>
        <v>9.4070306156564926E-10</v>
      </c>
      <c r="D75" s="904"/>
      <c r="E75" s="3110"/>
      <c r="F75" s="176"/>
      <c r="G75" s="176"/>
    </row>
    <row r="76" spans="1:7">
      <c r="A76" s="1514">
        <v>1974.07</v>
      </c>
      <c r="B76" s="1517">
        <v>9.622964130486699E-10</v>
      </c>
      <c r="C76" s="2399">
        <f t="shared" ref="C76:C139" si="1">B76</f>
        <v>9.622964130486699E-10</v>
      </c>
      <c r="D76" s="904"/>
      <c r="E76" s="3110"/>
      <c r="F76" s="176"/>
      <c r="G76" s="176"/>
    </row>
    <row r="77" spans="1:7">
      <c r="A77" s="1514">
        <v>1974.08</v>
      </c>
      <c r="B77" s="1517">
        <v>9.801738548980275E-10</v>
      </c>
      <c r="C77" s="2399">
        <f t="shared" si="1"/>
        <v>9.801738548980275E-10</v>
      </c>
      <c r="D77" s="904"/>
      <c r="E77" s="3110"/>
      <c r="F77" s="176"/>
      <c r="G77" s="176"/>
    </row>
    <row r="78" spans="1:7">
      <c r="A78" s="1514">
        <v>1974.09</v>
      </c>
      <c r="B78" s="1517">
        <v>1.0125710464727514E-9</v>
      </c>
      <c r="C78" s="2399">
        <f t="shared" si="1"/>
        <v>1.0125710464727514E-9</v>
      </c>
      <c r="D78" s="904"/>
      <c r="E78" s="3110"/>
      <c r="F78" s="176"/>
      <c r="G78" s="176"/>
    </row>
    <row r="79" spans="1:7">
      <c r="A79" s="1514">
        <v>1974.1</v>
      </c>
      <c r="B79" s="1517">
        <v>1.0508477814395567E-9</v>
      </c>
      <c r="C79" s="2399">
        <f t="shared" si="1"/>
        <v>1.0508477814395567E-9</v>
      </c>
      <c r="D79" s="904"/>
      <c r="E79" s="3110"/>
      <c r="F79" s="176"/>
      <c r="G79" s="176"/>
    </row>
    <row r="80" spans="1:7">
      <c r="A80" s="1514">
        <v>1974.11</v>
      </c>
      <c r="B80" s="1517">
        <v>1.094316282179873E-9</v>
      </c>
      <c r="C80" s="2399">
        <f t="shared" si="1"/>
        <v>1.094316282179873E-9</v>
      </c>
      <c r="D80" s="904"/>
      <c r="E80" s="3110"/>
      <c r="F80" s="176"/>
      <c r="G80" s="176"/>
    </row>
    <row r="81" spans="1:5">
      <c r="A81" s="1514">
        <v>1974.12</v>
      </c>
      <c r="B81" s="1517">
        <v>1.2328175001194057E-9</v>
      </c>
      <c r="C81" s="2399">
        <f t="shared" si="1"/>
        <v>1.2328175001194057E-9</v>
      </c>
      <c r="D81" s="904"/>
      <c r="E81" s="3110"/>
    </row>
    <row r="82" spans="1:5">
      <c r="A82" s="1514">
        <v>1975.01</v>
      </c>
      <c r="B82" s="1517">
        <v>1.2684720829154128E-9</v>
      </c>
      <c r="C82" s="2399">
        <f t="shared" si="1"/>
        <v>1.2684720829154128E-9</v>
      </c>
      <c r="D82" s="904"/>
      <c r="E82" s="3110"/>
    </row>
    <row r="83" spans="1:5">
      <c r="A83" s="1514">
        <v>1975.02</v>
      </c>
      <c r="B83" s="1517">
        <v>1.3270287051631083E-9</v>
      </c>
      <c r="C83" s="2399">
        <f t="shared" si="1"/>
        <v>1.3270287051631083E-9</v>
      </c>
      <c r="D83" s="904"/>
      <c r="E83" s="3110"/>
    </row>
    <row r="84" spans="1:5">
      <c r="A84" s="1514">
        <v>1975.03</v>
      </c>
      <c r="B84" s="1517">
        <v>1.4346372450685389E-9</v>
      </c>
      <c r="C84" s="2399">
        <f t="shared" si="1"/>
        <v>1.4346372450685389E-9</v>
      </c>
      <c r="D84" s="904"/>
      <c r="E84" s="3110"/>
    </row>
    <row r="85" spans="1:5">
      <c r="A85" s="1514">
        <v>1975.04</v>
      </c>
      <c r="B85" s="1517">
        <v>1.5737689258250944E-9</v>
      </c>
      <c r="C85" s="2399">
        <f t="shared" si="1"/>
        <v>1.5737689258250944E-9</v>
      </c>
      <c r="D85" s="904"/>
      <c r="E85" s="3110"/>
    </row>
    <row r="86" spans="1:5">
      <c r="A86" s="1514">
        <v>1975.05</v>
      </c>
      <c r="B86" s="1517">
        <v>1.6350002388116732E-9</v>
      </c>
      <c r="C86" s="2399">
        <f t="shared" si="1"/>
        <v>1.6350002388116732E-9</v>
      </c>
      <c r="D86" s="904"/>
      <c r="E86" s="3110"/>
    </row>
    <row r="87" spans="1:5">
      <c r="A87" s="1514">
        <v>1975.06</v>
      </c>
      <c r="B87" s="1517">
        <v>1.980656254477719E-9</v>
      </c>
      <c r="C87" s="2399">
        <f t="shared" si="1"/>
        <v>1.980656254477719E-9</v>
      </c>
      <c r="D87" s="904"/>
      <c r="E87" s="3110"/>
    </row>
    <row r="88" spans="1:5">
      <c r="A88" s="1514">
        <v>1975.07</v>
      </c>
      <c r="B88" s="1517">
        <v>2.6685771600515835E-9</v>
      </c>
      <c r="C88" s="2399">
        <f t="shared" si="1"/>
        <v>2.6685771600515835E-9</v>
      </c>
      <c r="D88" s="904"/>
      <c r="E88" s="3110"/>
    </row>
    <row r="89" spans="1:5">
      <c r="A89" s="1514">
        <v>1975.08</v>
      </c>
      <c r="B89" s="1517">
        <v>3.2682810335769217E-9</v>
      </c>
      <c r="C89" s="2399">
        <f t="shared" si="1"/>
        <v>3.2682810335769217E-9</v>
      </c>
      <c r="D89" s="904"/>
      <c r="E89" s="3110"/>
    </row>
    <row r="90" spans="1:5">
      <c r="A90" s="1514">
        <v>1975.09</v>
      </c>
      <c r="B90" s="1517">
        <v>3.6214834981133872E-9</v>
      </c>
      <c r="C90" s="2399">
        <f t="shared" si="1"/>
        <v>3.6214834981133872E-9</v>
      </c>
      <c r="D90" s="904"/>
      <c r="E90" s="3110"/>
    </row>
    <row r="91" spans="1:5">
      <c r="A91" s="1514">
        <v>1975.1</v>
      </c>
      <c r="B91" s="1517">
        <v>4.1210297559344705E-9</v>
      </c>
      <c r="C91" s="2399">
        <f t="shared" si="1"/>
        <v>4.1210297559344705E-9</v>
      </c>
      <c r="D91" s="904"/>
      <c r="E91" s="3110"/>
    </row>
    <row r="92" spans="1:5">
      <c r="A92" s="1514">
        <v>1975.11</v>
      </c>
      <c r="B92" s="1517">
        <v>4.4899937908964982E-9</v>
      </c>
      <c r="C92" s="2399">
        <f t="shared" si="1"/>
        <v>4.4899937908964982E-9</v>
      </c>
      <c r="D92" s="904"/>
      <c r="E92" s="3110"/>
    </row>
    <row r="93" spans="1:5">
      <c r="A93" s="1514">
        <v>1975.12</v>
      </c>
      <c r="B93" s="1517">
        <v>5.3622773081148207E-9</v>
      </c>
      <c r="C93" s="2399">
        <f t="shared" si="1"/>
        <v>5.3622773081148207E-9</v>
      </c>
      <c r="D93" s="904"/>
      <c r="E93" s="3110"/>
    </row>
    <row r="94" spans="1:5">
      <c r="A94" s="1514">
        <v>1976.01</v>
      </c>
      <c r="B94" s="1517">
        <v>5.8394707933323781E-9</v>
      </c>
      <c r="C94" s="2399">
        <f t="shared" si="1"/>
        <v>5.8394707933323781E-9</v>
      </c>
      <c r="D94" s="904"/>
      <c r="E94" s="3110"/>
    </row>
    <row r="95" spans="1:5">
      <c r="A95" s="1514">
        <v>1976.02</v>
      </c>
      <c r="B95" s="1517">
        <v>6.9481301045995118E-9</v>
      </c>
      <c r="C95" s="2399">
        <f t="shared" si="1"/>
        <v>6.9481301045995118E-9</v>
      </c>
      <c r="D95" s="904"/>
      <c r="E95" s="3110"/>
    </row>
    <row r="96" spans="1:5">
      <c r="A96" s="1514">
        <v>1976.03</v>
      </c>
      <c r="B96" s="1517">
        <v>9.5585805034150069E-9</v>
      </c>
      <c r="C96" s="2399">
        <f t="shared" si="1"/>
        <v>9.5585805034150069E-9</v>
      </c>
      <c r="D96" s="904"/>
      <c r="E96" s="3110"/>
    </row>
    <row r="97" spans="1:5">
      <c r="A97" s="1514">
        <v>1976.04</v>
      </c>
      <c r="B97" s="1517">
        <v>1.28011654009648E-8</v>
      </c>
      <c r="C97" s="2399">
        <f t="shared" si="1"/>
        <v>1.28011654009648E-8</v>
      </c>
      <c r="D97" s="904"/>
      <c r="E97" s="3110"/>
    </row>
    <row r="98" spans="1:5">
      <c r="A98" s="1514">
        <v>1976.05</v>
      </c>
      <c r="B98" s="1517">
        <v>1.4349094903758893E-8</v>
      </c>
      <c r="C98" s="2399">
        <f t="shared" si="1"/>
        <v>1.4349094903758893E-8</v>
      </c>
      <c r="D98" s="904"/>
      <c r="E98" s="3110"/>
    </row>
    <row r="99" spans="1:5">
      <c r="A99" s="1514">
        <v>1976.06</v>
      </c>
      <c r="B99" s="1517">
        <v>1.474108038400917E-8</v>
      </c>
      <c r="C99" s="2399">
        <f t="shared" si="1"/>
        <v>1.474108038400917E-8</v>
      </c>
      <c r="D99" s="904"/>
      <c r="E99" s="3110"/>
    </row>
    <row r="100" spans="1:5">
      <c r="A100" s="1514">
        <v>1976.07</v>
      </c>
      <c r="B100" s="1517">
        <v>1.53661938195539E-8</v>
      </c>
      <c r="C100" s="2399">
        <f t="shared" si="1"/>
        <v>1.53661938195539E-8</v>
      </c>
      <c r="D100" s="904"/>
      <c r="E100" s="3110"/>
    </row>
    <row r="101" spans="1:5">
      <c r="A101" s="1514">
        <v>1976.08</v>
      </c>
      <c r="B101" s="1517">
        <v>1.6213593160433683E-8</v>
      </c>
      <c r="C101" s="2399">
        <f t="shared" si="1"/>
        <v>1.6213593160433683E-8</v>
      </c>
      <c r="D101" s="904"/>
      <c r="E101" s="3110"/>
    </row>
    <row r="102" spans="1:5">
      <c r="A102" s="1514">
        <v>1976.09</v>
      </c>
      <c r="B102" s="1517">
        <v>1.7925060896976646E-8</v>
      </c>
      <c r="C102" s="2399">
        <f t="shared" si="1"/>
        <v>1.7925060896976646E-8</v>
      </c>
      <c r="D102" s="904"/>
      <c r="E102" s="3110"/>
    </row>
    <row r="103" spans="1:5">
      <c r="A103" s="1514">
        <v>1976.1</v>
      </c>
      <c r="B103" s="1517">
        <v>1.9441515021254241E-8</v>
      </c>
      <c r="C103" s="2399">
        <f t="shared" si="1"/>
        <v>1.9441515021254241E-8</v>
      </c>
      <c r="D103" s="904"/>
      <c r="E103" s="3110"/>
    </row>
    <row r="104" spans="1:5">
      <c r="A104" s="1514">
        <v>1976.11</v>
      </c>
      <c r="B104" s="1517">
        <v>2.0987820604671157E-8</v>
      </c>
      <c r="C104" s="2399">
        <f t="shared" si="1"/>
        <v>2.0987820604671157E-8</v>
      </c>
      <c r="D104" s="904"/>
      <c r="E104" s="3110"/>
    </row>
    <row r="105" spans="1:5">
      <c r="A105" s="1514">
        <v>1976.12</v>
      </c>
      <c r="B105" s="1517">
        <v>2.3998805941634427E-8</v>
      </c>
      <c r="C105" s="2399">
        <f t="shared" si="1"/>
        <v>2.3998805941634427E-8</v>
      </c>
      <c r="D105" s="904"/>
      <c r="E105" s="3110"/>
    </row>
    <row r="106" spans="1:5">
      <c r="A106" s="1514">
        <v>1977.01</v>
      </c>
      <c r="B106" s="1517">
        <v>2.5926493767015328E-8</v>
      </c>
      <c r="C106" s="2399">
        <f t="shared" si="1"/>
        <v>2.5926493767015328E-8</v>
      </c>
      <c r="D106" s="904"/>
      <c r="E106" s="3110"/>
    </row>
    <row r="107" spans="1:5">
      <c r="A107" s="1514">
        <v>1977.02</v>
      </c>
      <c r="B107" s="1517">
        <v>2.8066676219133593E-8</v>
      </c>
      <c r="C107" s="2399">
        <f t="shared" si="1"/>
        <v>2.8066676219133593E-8</v>
      </c>
      <c r="D107" s="904"/>
      <c r="E107" s="3110"/>
    </row>
    <row r="108" spans="1:5">
      <c r="A108" s="1514">
        <v>1977.03</v>
      </c>
      <c r="B108" s="1517">
        <v>3.0184649185652191E-8</v>
      </c>
      <c r="C108" s="2399">
        <f t="shared" si="1"/>
        <v>3.0184649185652191E-8</v>
      </c>
      <c r="D108" s="904"/>
      <c r="E108" s="3110"/>
    </row>
    <row r="109" spans="1:5">
      <c r="A109" s="1514">
        <v>1977.04</v>
      </c>
      <c r="B109" s="1517">
        <v>3.1999044753307536E-8</v>
      </c>
      <c r="C109" s="2399">
        <f t="shared" si="1"/>
        <v>3.1999044753307536E-8</v>
      </c>
      <c r="D109" s="904"/>
      <c r="E109" s="3110"/>
    </row>
    <row r="110" spans="1:5">
      <c r="A110" s="1514">
        <v>1977.05</v>
      </c>
      <c r="B110" s="1517">
        <v>3.4077661556096867E-8</v>
      </c>
      <c r="C110" s="2399">
        <f>B110</f>
        <v>3.4077661556096867E-8</v>
      </c>
      <c r="D110" s="904"/>
      <c r="E110" s="3110"/>
    </row>
    <row r="111" spans="1:5">
      <c r="A111" s="1514">
        <v>1977.06</v>
      </c>
      <c r="B111" s="1517">
        <v>3.6683670057792423E-8</v>
      </c>
      <c r="C111" s="2399">
        <f t="shared" si="1"/>
        <v>3.6683670057792423E-8</v>
      </c>
      <c r="D111" s="904"/>
      <c r="E111" s="3110"/>
    </row>
    <row r="112" spans="1:5">
      <c r="A112" s="1514">
        <v>1977.07</v>
      </c>
      <c r="B112" s="1517">
        <v>3.9380474757606152E-8</v>
      </c>
      <c r="C112" s="2399">
        <f t="shared" si="1"/>
        <v>3.9380474757606152E-8</v>
      </c>
      <c r="D112" s="904"/>
      <c r="E112" s="3110"/>
    </row>
    <row r="113" spans="1:5">
      <c r="A113" s="1514">
        <v>1977.08</v>
      </c>
      <c r="B113" s="1517">
        <v>4.3845297798156372E-8</v>
      </c>
      <c r="C113" s="2399">
        <f t="shared" si="1"/>
        <v>4.3845297798156372E-8</v>
      </c>
      <c r="D113" s="904"/>
      <c r="E113" s="3110"/>
    </row>
    <row r="114" spans="1:5">
      <c r="A114" s="1514">
        <v>1977.09</v>
      </c>
      <c r="B114" s="1517">
        <v>4.7483163777045419E-8</v>
      </c>
      <c r="C114" s="2399">
        <f t="shared" si="1"/>
        <v>4.7483163777045419E-8</v>
      </c>
      <c r="D114" s="904"/>
      <c r="E114" s="3110"/>
    </row>
    <row r="115" spans="1:5">
      <c r="A115" s="1514">
        <v>1977.1</v>
      </c>
      <c r="B115" s="1517">
        <v>5.3415389024215495E-8</v>
      </c>
      <c r="C115" s="2399">
        <f t="shared" si="1"/>
        <v>5.3415389024215495E-8</v>
      </c>
      <c r="D115" s="904"/>
      <c r="E115" s="3110"/>
    </row>
    <row r="116" spans="1:5">
      <c r="A116" s="1514">
        <v>1977.11</v>
      </c>
      <c r="B116" s="1517">
        <v>5.8243301332569131E-8</v>
      </c>
      <c r="C116" s="2399">
        <f t="shared" si="1"/>
        <v>5.8243301332569131E-8</v>
      </c>
      <c r="D116" s="904"/>
      <c r="E116" s="3110"/>
    </row>
    <row r="117" spans="1:5">
      <c r="A117" s="1514">
        <v>1977.12</v>
      </c>
      <c r="B117" s="1517">
        <v>6.2501313464202122E-8</v>
      </c>
      <c r="C117" s="2399">
        <f t="shared" si="1"/>
        <v>6.2501313464202122E-8</v>
      </c>
      <c r="D117" s="904"/>
      <c r="E117" s="3110"/>
    </row>
    <row r="118" spans="1:5">
      <c r="A118" s="1514">
        <v>1978.01</v>
      </c>
      <c r="B118" s="1517">
        <v>7.0850169556287902E-8</v>
      </c>
      <c r="C118" s="2399">
        <f t="shared" si="1"/>
        <v>7.0850169556287902E-8</v>
      </c>
      <c r="D118" s="904"/>
      <c r="E118" s="3110"/>
    </row>
    <row r="119" spans="1:5">
      <c r="A119" s="1514">
        <v>1978.02</v>
      </c>
      <c r="B119" s="1517">
        <v>7.5245737211634897E-8</v>
      </c>
      <c r="C119" s="2399">
        <f t="shared" si="1"/>
        <v>7.5245737211634897E-8</v>
      </c>
      <c r="D119" s="904"/>
      <c r="E119" s="3110"/>
    </row>
    <row r="120" spans="1:5">
      <c r="A120" s="1514">
        <v>1978.03</v>
      </c>
      <c r="B120" s="1517">
        <v>8.2388116731145824E-8</v>
      </c>
      <c r="C120" s="2399">
        <f t="shared" si="1"/>
        <v>8.2388116731145824E-8</v>
      </c>
      <c r="D120" s="904"/>
      <c r="E120" s="3110"/>
    </row>
    <row r="121" spans="1:5">
      <c r="A121" s="1514">
        <v>1978.04</v>
      </c>
      <c r="B121" s="1517">
        <v>9.1512155514161518E-8</v>
      </c>
      <c r="C121" s="2399">
        <f t="shared" si="1"/>
        <v>9.1512155514161518E-8</v>
      </c>
      <c r="D121" s="904"/>
      <c r="E121" s="3110"/>
    </row>
    <row r="122" spans="1:5">
      <c r="A122" s="1514">
        <v>1978.05</v>
      </c>
      <c r="B122" s="1517">
        <v>9.94660170989158E-8</v>
      </c>
      <c r="C122" s="2399">
        <f t="shared" si="1"/>
        <v>9.94660170989158E-8</v>
      </c>
      <c r="D122" s="904"/>
      <c r="E122" s="3110"/>
    </row>
    <row r="123" spans="1:5">
      <c r="A123" s="1514">
        <v>1978.06</v>
      </c>
      <c r="B123" s="1517">
        <v>1.0592252949324163E-7</v>
      </c>
      <c r="C123" s="2399">
        <f t="shared" si="1"/>
        <v>1.0592252949324163E-7</v>
      </c>
      <c r="D123" s="904"/>
      <c r="E123" s="3110"/>
    </row>
    <row r="124" spans="1:5">
      <c r="A124" s="1514">
        <v>1978.07</v>
      </c>
      <c r="B124" s="1517">
        <v>1.1291111429526675E-7</v>
      </c>
      <c r="C124" s="2399">
        <f t="shared" si="1"/>
        <v>1.1291111429526675E-7</v>
      </c>
      <c r="D124" s="904"/>
      <c r="E124" s="3110"/>
    </row>
    <row r="125" spans="1:5">
      <c r="A125" s="1514">
        <v>1978.08</v>
      </c>
      <c r="B125" s="1517">
        <v>1.2172660839661844E-7</v>
      </c>
      <c r="C125" s="2399">
        <f t="shared" si="1"/>
        <v>1.2172660839661844E-7</v>
      </c>
      <c r="D125" s="904"/>
      <c r="E125" s="3110"/>
    </row>
    <row r="126" spans="1:5">
      <c r="A126" s="1514">
        <v>1978.09</v>
      </c>
      <c r="B126" s="1517">
        <v>1.2950709270669151E-7</v>
      </c>
      <c r="C126" s="2399">
        <f t="shared" si="1"/>
        <v>1.2950709270669151E-7</v>
      </c>
      <c r="D126" s="904"/>
      <c r="E126" s="3110"/>
    </row>
    <row r="127" spans="1:5">
      <c r="A127" s="1514">
        <v>1978.1</v>
      </c>
      <c r="B127" s="1517">
        <v>1.4214309595453025E-7</v>
      </c>
      <c r="C127" s="2399">
        <f t="shared" si="1"/>
        <v>1.4214309595453025E-7</v>
      </c>
      <c r="D127" s="904"/>
      <c r="E127" s="3110"/>
    </row>
    <row r="128" spans="1:5">
      <c r="A128" s="1514">
        <v>1978.11</v>
      </c>
      <c r="B128" s="1517">
        <v>1.5464297654869369E-7</v>
      </c>
      <c r="C128" s="2399">
        <f t="shared" si="1"/>
        <v>1.5464297654869369E-7</v>
      </c>
      <c r="D128" s="904"/>
      <c r="E128" s="3110"/>
    </row>
    <row r="129" spans="1:5">
      <c r="A129" s="1514">
        <v>1978.12</v>
      </c>
      <c r="B129" s="1517">
        <v>1.6865644552705738E-7</v>
      </c>
      <c r="C129" s="2399">
        <f t="shared" si="1"/>
        <v>1.6865644552705738E-7</v>
      </c>
      <c r="D129" s="904"/>
      <c r="E129" s="3110"/>
    </row>
    <row r="130" spans="1:5">
      <c r="A130" s="1514">
        <v>1979.01</v>
      </c>
      <c r="B130" s="1517">
        <v>1.9019534794860774E-7</v>
      </c>
      <c r="C130" s="2399">
        <f t="shared" si="1"/>
        <v>1.9019534794860774E-7</v>
      </c>
      <c r="D130" s="904"/>
      <c r="E130" s="3110"/>
    </row>
    <row r="131" spans="1:5">
      <c r="A131" s="1514">
        <v>1979.02</v>
      </c>
      <c r="B131" s="1517">
        <v>2.0435210393084014E-7</v>
      </c>
      <c r="C131" s="2399">
        <f t="shared" si="1"/>
        <v>2.0435210393084014E-7</v>
      </c>
      <c r="D131" s="904"/>
      <c r="E131" s="3110"/>
    </row>
    <row r="132" spans="1:5">
      <c r="A132" s="1514">
        <v>1979.03</v>
      </c>
      <c r="B132" s="1517">
        <v>2.2018913884510675E-7</v>
      </c>
      <c r="C132" s="2399">
        <f t="shared" si="1"/>
        <v>2.2018913884510675E-7</v>
      </c>
      <c r="D132" s="904"/>
      <c r="E132" s="3110"/>
    </row>
    <row r="133" spans="1:5">
      <c r="A133" s="1514">
        <v>1979.04</v>
      </c>
      <c r="B133" s="1517">
        <v>2.3560586521469168E-7</v>
      </c>
      <c r="C133" s="2399">
        <f t="shared" si="1"/>
        <v>2.3560586521469168E-7</v>
      </c>
      <c r="D133" s="904"/>
      <c r="E133" s="3110"/>
    </row>
    <row r="134" spans="1:5">
      <c r="A134" s="1514">
        <v>1979.05</v>
      </c>
      <c r="B134" s="1517">
        <v>2.5191097100826287E-7</v>
      </c>
      <c r="C134" s="2399">
        <f t="shared" si="1"/>
        <v>2.5191097100826287E-7</v>
      </c>
      <c r="D134" s="904"/>
      <c r="E134" s="3110"/>
    </row>
    <row r="135" spans="1:5">
      <c r="A135" s="1514">
        <v>1979.06</v>
      </c>
      <c r="B135" s="1517">
        <v>2.7633376319434491E-7</v>
      </c>
      <c r="C135" s="2399">
        <f t="shared" si="1"/>
        <v>2.7633376319434491E-7</v>
      </c>
      <c r="D135" s="904"/>
      <c r="E135" s="3110"/>
    </row>
    <row r="136" spans="1:5">
      <c r="A136" s="1514">
        <v>1979.07</v>
      </c>
      <c r="B136" s="1517">
        <v>2.9609686201461525E-7</v>
      </c>
      <c r="C136" s="2399">
        <f t="shared" si="1"/>
        <v>2.9609686201461525E-7</v>
      </c>
      <c r="D136" s="904"/>
      <c r="E136" s="3110"/>
    </row>
    <row r="137" spans="1:5">
      <c r="A137" s="1514">
        <v>1979.08</v>
      </c>
      <c r="B137" s="1517">
        <v>3.3000047762334621E-7</v>
      </c>
      <c r="C137" s="2399">
        <f t="shared" si="1"/>
        <v>3.3000047762334621E-7</v>
      </c>
      <c r="D137" s="904"/>
      <c r="E137" s="3110"/>
    </row>
    <row r="138" spans="1:5">
      <c r="A138" s="1514">
        <v>1979.09</v>
      </c>
      <c r="B138" s="1517">
        <v>3.5259062902994697E-7</v>
      </c>
      <c r="C138" s="2399">
        <f t="shared" si="1"/>
        <v>3.5259062902994697E-7</v>
      </c>
      <c r="D138" s="904"/>
      <c r="E138" s="3110"/>
    </row>
    <row r="139" spans="1:5">
      <c r="A139" s="1514">
        <v>1979.1</v>
      </c>
      <c r="B139" s="1517">
        <v>3.6789511391316807E-7</v>
      </c>
      <c r="C139" s="2399">
        <f t="shared" si="1"/>
        <v>3.6789511391316807E-7</v>
      </c>
      <c r="D139" s="904"/>
      <c r="E139" s="3110"/>
    </row>
    <row r="140" spans="1:5">
      <c r="A140" s="1514">
        <v>1979.11</v>
      </c>
      <c r="B140" s="1517">
        <v>3.8680278932034204E-7</v>
      </c>
      <c r="C140" s="2399">
        <f t="shared" ref="C140:C203" si="2">B140</f>
        <v>3.8680278932034204E-7</v>
      </c>
      <c r="D140" s="904"/>
      <c r="E140" s="3110"/>
    </row>
    <row r="141" spans="1:5">
      <c r="A141" s="1514">
        <v>1979.12</v>
      </c>
      <c r="B141" s="1517">
        <v>4.0432917801022115E-7</v>
      </c>
      <c r="C141" s="2399">
        <f t="shared" si="2"/>
        <v>4.0432917801022115E-7</v>
      </c>
      <c r="D141" s="904"/>
      <c r="E141" s="3110"/>
    </row>
    <row r="142" spans="1:5">
      <c r="A142" s="1514">
        <v>1980.01</v>
      </c>
      <c r="B142" s="1517">
        <v>4.3348044132397189E-7</v>
      </c>
      <c r="C142" s="2399">
        <f t="shared" si="2"/>
        <v>4.3348044132397189E-7</v>
      </c>
      <c r="D142" s="904"/>
      <c r="E142" s="3110"/>
    </row>
    <row r="143" spans="1:5">
      <c r="A143" s="1514">
        <v>1980.02</v>
      </c>
      <c r="B143" s="1517">
        <v>4.5665186034293354E-7</v>
      </c>
      <c r="C143" s="2399">
        <f t="shared" si="2"/>
        <v>4.5665186034293354E-7</v>
      </c>
      <c r="D143" s="904"/>
      <c r="E143" s="3110"/>
    </row>
    <row r="144" spans="1:5">
      <c r="A144" s="1514">
        <v>1980.03</v>
      </c>
      <c r="B144" s="1517">
        <v>4.8311935807422264E-7</v>
      </c>
      <c r="C144" s="2399">
        <f t="shared" si="2"/>
        <v>4.8311935807422264E-7</v>
      </c>
      <c r="D144" s="904"/>
      <c r="E144" s="3110"/>
    </row>
    <row r="145" spans="1:5">
      <c r="A145" s="1514">
        <v>1980.04</v>
      </c>
      <c r="B145" s="1517">
        <v>5.1295648851315853E-7</v>
      </c>
      <c r="C145" s="2399">
        <f t="shared" si="2"/>
        <v>5.1295648851315853E-7</v>
      </c>
      <c r="D145" s="904"/>
      <c r="E145" s="3110"/>
    </row>
    <row r="146" spans="1:5">
      <c r="A146" s="1514">
        <v>1980.05</v>
      </c>
      <c r="B146" s="1517">
        <v>5.4262931652099159E-7</v>
      </c>
      <c r="C146" s="2399">
        <f t="shared" si="2"/>
        <v>5.4262931652099159E-7</v>
      </c>
      <c r="D146" s="904"/>
      <c r="E146" s="3110"/>
    </row>
    <row r="147" spans="1:5">
      <c r="A147" s="1514">
        <v>1980.06</v>
      </c>
      <c r="B147" s="1517">
        <v>5.7376367196828577E-7</v>
      </c>
      <c r="C147" s="2399">
        <f t="shared" si="2"/>
        <v>5.7376367196828577E-7</v>
      </c>
      <c r="D147" s="904"/>
      <c r="E147" s="3110"/>
    </row>
    <row r="148" spans="1:5">
      <c r="A148" s="1514">
        <v>1980.07</v>
      </c>
      <c r="B148" s="1517">
        <v>6.000071643501934E-7</v>
      </c>
      <c r="C148" s="2399">
        <f t="shared" si="2"/>
        <v>6.000071643501934E-7</v>
      </c>
      <c r="D148" s="904"/>
      <c r="E148" s="3110"/>
    </row>
    <row r="149" spans="1:5">
      <c r="A149" s="1514">
        <v>1980.08</v>
      </c>
      <c r="B149" s="1517">
        <v>6.2053971438123893E-7</v>
      </c>
      <c r="C149" s="2399">
        <f t="shared" si="2"/>
        <v>6.2053971438123893E-7</v>
      </c>
      <c r="D149" s="904"/>
      <c r="E149" s="3110"/>
    </row>
    <row r="150" spans="1:5">
      <c r="A150" s="1514">
        <v>1980.09</v>
      </c>
      <c r="B150" s="1517">
        <v>6.4873668624922379E-7</v>
      </c>
      <c r="C150" s="2399">
        <f t="shared" si="2"/>
        <v>6.4873668624922379E-7</v>
      </c>
      <c r="D150" s="904"/>
      <c r="E150" s="3110"/>
    </row>
    <row r="151" spans="1:5">
      <c r="A151" s="1514">
        <v>1980.1</v>
      </c>
      <c r="B151" s="1517">
        <v>6.9813726894970628E-7</v>
      </c>
      <c r="C151" s="2399">
        <f t="shared" si="2"/>
        <v>6.9813726894970628E-7</v>
      </c>
      <c r="D151" s="904"/>
      <c r="E151" s="3110"/>
    </row>
    <row r="152" spans="1:5">
      <c r="A152" s="1514">
        <v>1980.11</v>
      </c>
      <c r="B152" s="1517">
        <v>7.3079237713139412E-7</v>
      </c>
      <c r="C152" s="2399">
        <f t="shared" si="2"/>
        <v>7.3079237713139412E-7</v>
      </c>
      <c r="D152" s="904"/>
      <c r="E152" s="3110"/>
    </row>
    <row r="153" spans="1:5">
      <c r="A153" s="1514">
        <v>1980.12</v>
      </c>
      <c r="B153" s="1517">
        <v>7.5866122176051973E-7</v>
      </c>
      <c r="C153" s="2399">
        <f t="shared" si="2"/>
        <v>7.5866122176051973E-7</v>
      </c>
      <c r="D153" s="904"/>
      <c r="E153" s="3110"/>
    </row>
    <row r="154" spans="1:5">
      <c r="A154" s="1514">
        <v>1981.01</v>
      </c>
      <c r="B154" s="1517">
        <v>7.9581601948703246E-7</v>
      </c>
      <c r="C154" s="2399">
        <f t="shared" si="2"/>
        <v>7.9581601948703246E-7</v>
      </c>
      <c r="D154" s="904"/>
      <c r="E154" s="3110"/>
    </row>
    <row r="155" spans="1:5">
      <c r="A155" s="1514">
        <v>1981.02</v>
      </c>
      <c r="B155" s="1517">
        <v>8.2905860438458229E-7</v>
      </c>
      <c r="C155" s="2399">
        <f t="shared" si="2"/>
        <v>8.2905860438458229E-7</v>
      </c>
      <c r="D155" s="904"/>
      <c r="E155" s="3110"/>
    </row>
    <row r="156" spans="1:5">
      <c r="A156" s="1514">
        <v>1981.03</v>
      </c>
      <c r="B156" s="1517">
        <v>8.7873143239241537E-7</v>
      </c>
      <c r="C156" s="2399">
        <f t="shared" si="2"/>
        <v>8.7873143239241537E-7</v>
      </c>
      <c r="D156" s="904"/>
      <c r="E156" s="3110"/>
    </row>
    <row r="157" spans="1:5">
      <c r="A157" s="1514">
        <v>1981.04</v>
      </c>
      <c r="B157" s="1517">
        <v>9.4803457993026689E-7</v>
      </c>
      <c r="C157" s="2399">
        <f t="shared" si="2"/>
        <v>9.4803457993026689E-7</v>
      </c>
      <c r="D157" s="904"/>
      <c r="E157" s="3110"/>
    </row>
    <row r="158" spans="1:5">
      <c r="A158" s="1514">
        <v>1981.05</v>
      </c>
      <c r="B158" s="1517">
        <v>1.0194870325261499E-6</v>
      </c>
      <c r="C158" s="2399">
        <f t="shared" si="2"/>
        <v>1.0194870325261499E-6</v>
      </c>
      <c r="D158" s="904"/>
      <c r="E158" s="3110"/>
    </row>
    <row r="159" spans="1:5">
      <c r="A159" s="1514">
        <v>1981.06</v>
      </c>
      <c r="B159" s="1517">
        <v>1.1150594641066055E-6</v>
      </c>
      <c r="C159" s="2399">
        <f t="shared" si="2"/>
        <v>1.1150594641066055E-6</v>
      </c>
      <c r="D159" s="904"/>
      <c r="E159" s="3110"/>
    </row>
    <row r="160" spans="1:5">
      <c r="A160" s="1514">
        <v>1981.07</v>
      </c>
      <c r="B160" s="1517">
        <v>1.2292592061899985E-6</v>
      </c>
      <c r="C160" s="2399">
        <f t="shared" si="2"/>
        <v>1.2292592061899985E-6</v>
      </c>
      <c r="D160" s="904"/>
      <c r="E160" s="3110"/>
    </row>
    <row r="161" spans="1:5">
      <c r="A161" s="1514">
        <v>1981.08</v>
      </c>
      <c r="B161" s="1517">
        <v>1.3266466064861249E-6</v>
      </c>
      <c r="C161" s="2399">
        <f t="shared" si="2"/>
        <v>1.3266466064861249E-6</v>
      </c>
      <c r="D161" s="904"/>
      <c r="E161" s="3110"/>
    </row>
    <row r="162" spans="1:5">
      <c r="A162" s="1514">
        <v>1981.09</v>
      </c>
      <c r="B162" s="1517">
        <v>1.4214548407126141E-6</v>
      </c>
      <c r="C162" s="2399">
        <f t="shared" si="2"/>
        <v>1.4214548407126141E-6</v>
      </c>
      <c r="D162" s="904"/>
      <c r="E162" s="3110"/>
    </row>
    <row r="163" spans="1:5">
      <c r="A163" s="1514">
        <v>1981.1</v>
      </c>
      <c r="B163" s="1517">
        <v>1.5042269666141278E-6</v>
      </c>
      <c r="C163" s="2399">
        <f t="shared" si="2"/>
        <v>1.5042269666141278E-6</v>
      </c>
      <c r="D163" s="904"/>
      <c r="E163" s="3110"/>
    </row>
    <row r="164" spans="1:5">
      <c r="A164" s="1514">
        <v>1981.11</v>
      </c>
      <c r="B164" s="1517">
        <v>1.612647466208148E-6</v>
      </c>
      <c r="C164" s="2399">
        <f t="shared" si="2"/>
        <v>1.612647466208148E-6</v>
      </c>
      <c r="D164" s="904"/>
      <c r="E164" s="3110"/>
    </row>
    <row r="165" spans="1:5">
      <c r="A165" s="1514">
        <v>1981.12</v>
      </c>
      <c r="B165" s="1517">
        <v>1.7545971247074555E-6</v>
      </c>
      <c r="C165" s="2399">
        <f t="shared" si="2"/>
        <v>1.7545971247074555E-6</v>
      </c>
      <c r="D165" s="904"/>
      <c r="E165" s="3110"/>
    </row>
    <row r="166" spans="1:5">
      <c r="A166" s="1514">
        <v>1982.01</v>
      </c>
      <c r="B166" s="1517">
        <v>1.9637961503558292E-6</v>
      </c>
      <c r="C166" s="2399">
        <f t="shared" si="2"/>
        <v>1.9637961503558292E-6</v>
      </c>
      <c r="D166" s="904"/>
      <c r="E166" s="3110"/>
    </row>
    <row r="167" spans="1:5">
      <c r="A167" s="1514">
        <v>1982.02</v>
      </c>
      <c r="B167" s="1517">
        <v>2.0675837034914267E-6</v>
      </c>
      <c r="C167" s="2399">
        <f t="shared" si="2"/>
        <v>2.0675837034914267E-6</v>
      </c>
      <c r="D167" s="904"/>
      <c r="E167" s="3110"/>
    </row>
    <row r="168" spans="1:5">
      <c r="A168" s="1514">
        <v>1982.03</v>
      </c>
      <c r="B168" s="1517">
        <v>2.1650666284567988E-6</v>
      </c>
      <c r="C168" s="2399">
        <f t="shared" si="2"/>
        <v>2.1650666284567988E-6</v>
      </c>
      <c r="D168" s="904"/>
      <c r="E168" s="3110"/>
    </row>
    <row r="169" spans="1:5">
      <c r="A169" s="1514">
        <v>1982.04</v>
      </c>
      <c r="B169" s="1517">
        <v>2.255767301905717E-6</v>
      </c>
      <c r="C169" s="2399">
        <f t="shared" si="2"/>
        <v>2.255767301905717E-6</v>
      </c>
      <c r="D169" s="904"/>
      <c r="E169" s="3110"/>
    </row>
    <row r="170" spans="1:5">
      <c r="A170" s="1514">
        <v>1982.05</v>
      </c>
      <c r="B170" s="1517">
        <v>2.3247838754358313E-6</v>
      </c>
      <c r="C170" s="2399">
        <f t="shared" si="2"/>
        <v>2.3247838754358313E-6</v>
      </c>
      <c r="D170" s="904"/>
      <c r="E170" s="3110"/>
    </row>
    <row r="171" spans="1:5">
      <c r="A171" s="1514">
        <v>1982.06</v>
      </c>
      <c r="B171" s="1517">
        <v>2.5083345273916991E-6</v>
      </c>
      <c r="C171" s="2399">
        <f t="shared" si="2"/>
        <v>2.5083345273916991E-6</v>
      </c>
      <c r="D171" s="904"/>
      <c r="E171" s="3110"/>
    </row>
    <row r="172" spans="1:5">
      <c r="A172" s="1514">
        <v>1982.07</v>
      </c>
      <c r="B172" s="1517">
        <v>2.9161771027367817E-6</v>
      </c>
      <c r="C172" s="2399">
        <f t="shared" si="2"/>
        <v>2.9161771027367817E-6</v>
      </c>
      <c r="D172" s="904"/>
      <c r="E172" s="3110"/>
    </row>
    <row r="173" spans="1:5">
      <c r="A173" s="1514">
        <v>1982.08</v>
      </c>
      <c r="B173" s="1517">
        <v>3.3445574819697184E-6</v>
      </c>
      <c r="C173" s="2399">
        <f t="shared" si="2"/>
        <v>3.3445574819697184E-6</v>
      </c>
      <c r="D173" s="904"/>
      <c r="E173" s="3110"/>
    </row>
    <row r="174" spans="1:5">
      <c r="A174" s="1514">
        <v>1982.09</v>
      </c>
      <c r="B174" s="1517">
        <v>3.9153651430481912E-6</v>
      </c>
      <c r="C174" s="2399">
        <f t="shared" si="2"/>
        <v>3.9153651430481912E-6</v>
      </c>
      <c r="D174" s="904"/>
      <c r="E174" s="3110"/>
    </row>
    <row r="175" spans="1:5">
      <c r="A175" s="1514">
        <v>1982.1</v>
      </c>
      <c r="B175" s="1517">
        <v>4.4121889477957677E-6</v>
      </c>
      <c r="C175" s="2399">
        <f t="shared" si="2"/>
        <v>4.4121889477957677E-6</v>
      </c>
      <c r="D175" s="904"/>
      <c r="E175" s="3110"/>
    </row>
    <row r="176" spans="1:5">
      <c r="A176" s="1514">
        <v>1982.11</v>
      </c>
      <c r="B176" s="1517">
        <v>4.9127382146439317E-6</v>
      </c>
      <c r="C176" s="2399">
        <f t="shared" si="2"/>
        <v>4.9127382146439317E-6</v>
      </c>
      <c r="D176" s="904"/>
      <c r="E176" s="3110"/>
    </row>
    <row r="177" spans="1:5">
      <c r="A177" s="1514">
        <v>1982.12</v>
      </c>
      <c r="B177" s="1517">
        <v>5.4344939580646698E-6</v>
      </c>
      <c r="C177" s="2399">
        <f t="shared" si="2"/>
        <v>5.4344939580646698E-6</v>
      </c>
      <c r="D177" s="904"/>
      <c r="E177" s="3110"/>
    </row>
    <row r="178" spans="1:5">
      <c r="A178" s="1514">
        <v>1983.01</v>
      </c>
      <c r="B178" s="1517">
        <v>6.302908726178535E-6</v>
      </c>
      <c r="C178" s="2399">
        <f t="shared" si="2"/>
        <v>6.302908726178535E-6</v>
      </c>
      <c r="D178" s="904"/>
      <c r="E178" s="3110"/>
    </row>
    <row r="179" spans="1:5">
      <c r="A179" s="1514">
        <v>1983.02</v>
      </c>
      <c r="B179" s="1517">
        <v>7.1245164063619428E-6</v>
      </c>
      <c r="C179" s="2399">
        <f t="shared" si="2"/>
        <v>7.1245164063619428E-6</v>
      </c>
      <c r="D179" s="904"/>
      <c r="E179" s="3110"/>
    </row>
    <row r="180" spans="1:5">
      <c r="A180" s="1514">
        <v>1983.03</v>
      </c>
      <c r="B180" s="1517">
        <v>7.9267325786884447E-6</v>
      </c>
      <c r="C180" s="2399">
        <f t="shared" si="2"/>
        <v>7.9267325786884447E-6</v>
      </c>
      <c r="D180" s="904"/>
      <c r="E180" s="3110"/>
    </row>
    <row r="181" spans="1:5">
      <c r="A181" s="1514">
        <v>1983.04</v>
      </c>
      <c r="B181" s="1517">
        <v>8.7408893346706774E-6</v>
      </c>
      <c r="C181" s="2399">
        <f t="shared" si="2"/>
        <v>8.7408893346706774E-6</v>
      </c>
      <c r="D181" s="904"/>
      <c r="E181" s="3110"/>
    </row>
    <row r="182" spans="1:5">
      <c r="A182" s="1514">
        <v>1983.05</v>
      </c>
      <c r="B182" s="1517">
        <v>9.5326455557147613E-6</v>
      </c>
      <c r="C182" s="2399">
        <f t="shared" si="2"/>
        <v>9.5326455557147613E-6</v>
      </c>
      <c r="D182" s="904"/>
      <c r="E182" s="3110"/>
    </row>
    <row r="183" spans="1:5">
      <c r="A183" s="1514">
        <v>1983.06</v>
      </c>
      <c r="B183" s="1517">
        <v>1.1041648755791184E-5</v>
      </c>
      <c r="C183" s="2399">
        <f t="shared" si="2"/>
        <v>1.1041648755791184E-5</v>
      </c>
      <c r="D183" s="904"/>
      <c r="E183" s="3110"/>
    </row>
    <row r="184" spans="1:5">
      <c r="A184" s="1514">
        <v>1983.07</v>
      </c>
      <c r="B184" s="1517">
        <v>1.2416439795577209E-5</v>
      </c>
      <c r="C184" s="2399">
        <f t="shared" si="2"/>
        <v>1.2416439795577209E-5</v>
      </c>
      <c r="D184" s="904"/>
      <c r="E184" s="3110"/>
    </row>
    <row r="185" spans="1:5">
      <c r="A185" s="1514">
        <v>1983.08</v>
      </c>
      <c r="B185" s="1517">
        <v>1.4557673019057173E-5</v>
      </c>
      <c r="C185" s="2399">
        <f t="shared" si="2"/>
        <v>1.4557673019057173E-5</v>
      </c>
      <c r="D185" s="904"/>
      <c r="E185" s="3110"/>
    </row>
    <row r="186" spans="1:5">
      <c r="A186" s="1514">
        <v>1983.09</v>
      </c>
      <c r="B186" s="1517">
        <v>1.7668147299039977E-5</v>
      </c>
      <c r="C186" s="2399">
        <f t="shared" si="2"/>
        <v>1.7668147299039977E-5</v>
      </c>
      <c r="D186" s="904"/>
      <c r="E186" s="3110"/>
    </row>
    <row r="187" spans="1:5">
      <c r="A187" s="1514">
        <v>1983.1</v>
      </c>
      <c r="B187" s="1517">
        <v>2.0666762191335909E-5</v>
      </c>
      <c r="C187" s="2399">
        <f t="shared" si="2"/>
        <v>2.0666762191335909E-5</v>
      </c>
      <c r="D187" s="904"/>
      <c r="E187" s="3110"/>
    </row>
    <row r="188" spans="1:5">
      <c r="A188" s="1514">
        <v>1983.11</v>
      </c>
      <c r="B188" s="1517">
        <v>2.4642069064335867E-5</v>
      </c>
      <c r="C188" s="2399">
        <f t="shared" si="2"/>
        <v>2.4642069064335867E-5</v>
      </c>
      <c r="D188" s="904"/>
      <c r="E188" s="3110"/>
    </row>
    <row r="189" spans="1:5">
      <c r="A189" s="1514">
        <v>1983.12</v>
      </c>
      <c r="B189" s="1517">
        <v>2.9003534412762093E-5</v>
      </c>
      <c r="C189" s="2399">
        <f t="shared" si="2"/>
        <v>2.9003534412762093E-5</v>
      </c>
      <c r="D189" s="904"/>
      <c r="E189" s="3110"/>
    </row>
    <row r="190" spans="1:5">
      <c r="A190" s="1514">
        <v>1984.01</v>
      </c>
      <c r="B190" s="1517">
        <v>3.2640301857954816E-5</v>
      </c>
      <c r="C190" s="2399">
        <f t="shared" si="2"/>
        <v>3.2640301857954816E-5</v>
      </c>
      <c r="D190" s="904"/>
      <c r="E190" s="3110"/>
    </row>
    <row r="191" spans="1:5">
      <c r="A191" s="1514">
        <v>1984.02</v>
      </c>
      <c r="B191" s="1517">
        <v>3.8172613077327213E-5</v>
      </c>
      <c r="C191" s="2399">
        <f t="shared" si="2"/>
        <v>3.8172613077327213E-5</v>
      </c>
      <c r="D191" s="904"/>
      <c r="E191" s="3110"/>
    </row>
    <row r="192" spans="1:5">
      <c r="A192" s="1514">
        <v>1984.03</v>
      </c>
      <c r="B192" s="1517">
        <v>4.5911066532932126E-5</v>
      </c>
      <c r="C192" s="2399">
        <f t="shared" si="2"/>
        <v>4.5911066532932126E-5</v>
      </c>
      <c r="D192" s="904"/>
      <c r="E192" s="3110"/>
    </row>
    <row r="193" spans="1:5">
      <c r="A193" s="1514">
        <v>1984.04</v>
      </c>
      <c r="B193" s="1517">
        <v>5.4410373979080101E-5</v>
      </c>
      <c r="C193" s="2399">
        <f t="shared" si="2"/>
        <v>5.4410373979080101E-5</v>
      </c>
      <c r="D193" s="904"/>
      <c r="E193" s="3110"/>
    </row>
    <row r="194" spans="1:5">
      <c r="A194" s="1514">
        <v>1984.05</v>
      </c>
      <c r="B194" s="1517">
        <v>6.3700148063237333E-5</v>
      </c>
      <c r="C194" s="2399">
        <f t="shared" si="2"/>
        <v>6.3700148063237333E-5</v>
      </c>
      <c r="D194" s="904"/>
      <c r="E194" s="3110"/>
    </row>
    <row r="195" spans="1:5">
      <c r="A195" s="1514">
        <v>1984.06</v>
      </c>
      <c r="B195" s="1517">
        <v>7.510722644122845E-5</v>
      </c>
      <c r="C195" s="2399">
        <f t="shared" si="2"/>
        <v>7.510722644122845E-5</v>
      </c>
      <c r="D195" s="904"/>
      <c r="E195" s="3110"/>
    </row>
    <row r="196" spans="1:5">
      <c r="A196" s="1514">
        <v>1984.07</v>
      </c>
      <c r="B196" s="1517">
        <v>8.8840330515355586E-5</v>
      </c>
      <c r="C196" s="2399">
        <f t="shared" si="2"/>
        <v>8.8840330515355586E-5</v>
      </c>
      <c r="D196" s="904"/>
      <c r="E196" s="3110"/>
    </row>
    <row r="197" spans="1:5">
      <c r="A197" s="1514">
        <v>1984.08</v>
      </c>
      <c r="B197" s="1517">
        <v>1.0913406887328653E-4</v>
      </c>
      <c r="C197" s="2399">
        <f t="shared" si="2"/>
        <v>1.0913406887328653E-4</v>
      </c>
      <c r="D197" s="904"/>
      <c r="E197" s="3110"/>
    </row>
    <row r="198" spans="1:5">
      <c r="A198" s="1514">
        <v>1984.09</v>
      </c>
      <c r="B198" s="1517">
        <v>1.3919520466160388E-4</v>
      </c>
      <c r="C198" s="2399">
        <f t="shared" si="2"/>
        <v>1.3919520466160388E-4</v>
      </c>
      <c r="D198" s="904"/>
      <c r="E198" s="3110"/>
    </row>
    <row r="199" spans="1:5">
      <c r="A199" s="1514">
        <v>1984.1</v>
      </c>
      <c r="B199" s="1517">
        <v>1.6609447389788411E-4</v>
      </c>
      <c r="C199" s="2399">
        <f t="shared" si="2"/>
        <v>1.6609447389788411E-4</v>
      </c>
      <c r="D199" s="904"/>
      <c r="E199" s="3110"/>
    </row>
    <row r="200" spans="1:5">
      <c r="A200" s="1514">
        <v>1984.11</v>
      </c>
      <c r="B200" s="1517">
        <v>1.909662320294216E-4</v>
      </c>
      <c r="C200" s="2399">
        <f t="shared" si="2"/>
        <v>1.909662320294216E-4</v>
      </c>
      <c r="D200" s="904"/>
      <c r="E200" s="3110"/>
    </row>
    <row r="201" spans="1:5">
      <c r="A201" s="1514">
        <v>1984.12</v>
      </c>
      <c r="B201" s="1517">
        <v>2.2854229354730857E-4</v>
      </c>
      <c r="C201" s="2399">
        <f t="shared" si="2"/>
        <v>2.2854229354730857E-4</v>
      </c>
      <c r="D201" s="904"/>
      <c r="E201" s="3110"/>
    </row>
    <row r="202" spans="1:5">
      <c r="A202" s="1514">
        <v>1985.01</v>
      </c>
      <c r="B202" s="1517">
        <v>2.859960834885609E-4</v>
      </c>
      <c r="C202" s="2399">
        <f t="shared" si="2"/>
        <v>2.859960834885609E-4</v>
      </c>
      <c r="D202" s="904"/>
      <c r="E202" s="3110"/>
    </row>
    <row r="203" spans="1:5">
      <c r="A203" s="1514">
        <v>1985.02</v>
      </c>
      <c r="B203" s="1517">
        <v>3.4519272102020342E-4</v>
      </c>
      <c r="C203" s="2399">
        <f t="shared" si="2"/>
        <v>3.4519272102020342E-4</v>
      </c>
      <c r="D203" s="904"/>
      <c r="E203" s="3110"/>
    </row>
    <row r="204" spans="1:5">
      <c r="A204" s="1514">
        <v>1985.03</v>
      </c>
      <c r="B204" s="1517">
        <v>4.3659550078807856E-4</v>
      </c>
      <c r="C204" s="2399">
        <f t="shared" ref="C204:C267" si="3">B204</f>
        <v>4.3659550078807856E-4</v>
      </c>
      <c r="D204" s="904"/>
      <c r="E204" s="3110"/>
    </row>
    <row r="205" spans="1:5">
      <c r="A205" s="1514">
        <v>1985.04</v>
      </c>
      <c r="B205" s="1517">
        <v>5.6528155896260206E-4</v>
      </c>
      <c r="C205" s="2399">
        <f t="shared" si="3"/>
        <v>5.6528155896260206E-4</v>
      </c>
      <c r="D205" s="904"/>
      <c r="E205" s="3110"/>
    </row>
    <row r="206" spans="1:5">
      <c r="A206" s="1514">
        <v>1985.05</v>
      </c>
      <c r="B206" s="1517">
        <v>7.0708315422457859E-4</v>
      </c>
      <c r="C206" s="2399">
        <f t="shared" si="3"/>
        <v>7.0708315422457859E-4</v>
      </c>
      <c r="D206" s="904"/>
      <c r="E206" s="3110"/>
    </row>
    <row r="207" spans="1:5">
      <c r="A207" s="1514">
        <v>1985.06</v>
      </c>
      <c r="B207" s="1517">
        <v>9.2299756412093426E-4</v>
      </c>
      <c r="C207" s="2399">
        <f t="shared" si="3"/>
        <v>9.2299756412093426E-4</v>
      </c>
      <c r="D207" s="904"/>
      <c r="E207" s="3110"/>
    </row>
    <row r="208" spans="1:5">
      <c r="A208" s="1514">
        <v>1985.07</v>
      </c>
      <c r="B208" s="1517">
        <v>9.801069876295553E-4</v>
      </c>
      <c r="C208" s="2399">
        <f t="shared" si="3"/>
        <v>9.801069876295553E-4</v>
      </c>
      <c r="D208" s="904"/>
      <c r="E208" s="3110"/>
    </row>
    <row r="209" spans="1:5">
      <c r="A209" s="1514">
        <v>1985.08</v>
      </c>
      <c r="B209" s="1517">
        <v>1.0102259158427662E-3</v>
      </c>
      <c r="C209" s="2399">
        <f t="shared" si="3"/>
        <v>1.0102259158427662E-3</v>
      </c>
      <c r="D209" s="904"/>
      <c r="E209" s="3110"/>
    </row>
    <row r="210" spans="1:5">
      <c r="A210" s="1514">
        <v>1985.09</v>
      </c>
      <c r="B210" s="1517">
        <v>1.0303577398863256E-3</v>
      </c>
      <c r="C210" s="2399">
        <f t="shared" si="3"/>
        <v>1.0303577398863256E-3</v>
      </c>
      <c r="D210" s="904"/>
      <c r="E210" s="3110"/>
    </row>
    <row r="211" spans="1:5">
      <c r="A211" s="1514">
        <v>1985.1</v>
      </c>
      <c r="B211" s="1517">
        <v>1.0503367244590915E-3</v>
      </c>
      <c r="C211" s="2399">
        <f t="shared" si="3"/>
        <v>1.0503367244590915E-3</v>
      </c>
      <c r="D211" s="904"/>
      <c r="E211" s="3110"/>
    </row>
    <row r="212" spans="1:5">
      <c r="A212" s="1514">
        <v>1985.11</v>
      </c>
      <c r="B212" s="1517">
        <v>1.0752400057314801E-3</v>
      </c>
      <c r="C212" s="2399">
        <f t="shared" si="3"/>
        <v>1.0752400057314801E-3</v>
      </c>
      <c r="D212" s="904"/>
      <c r="E212" s="3110"/>
    </row>
    <row r="213" spans="1:5">
      <c r="A213" s="1514">
        <v>1985.12</v>
      </c>
      <c r="B213" s="1517">
        <v>1.1093852987534029E-3</v>
      </c>
      <c r="C213" s="2399">
        <f t="shared" si="3"/>
        <v>1.1093852987534029E-3</v>
      </c>
      <c r="D213" s="904"/>
      <c r="E213" s="3110"/>
    </row>
    <row r="214" spans="1:5">
      <c r="A214" s="1514">
        <v>1986.01</v>
      </c>
      <c r="B214" s="1517">
        <v>1.1429335625925395E-3</v>
      </c>
      <c r="C214" s="2399">
        <f t="shared" si="3"/>
        <v>1.1429335625925395E-3</v>
      </c>
      <c r="D214" s="904"/>
      <c r="E214" s="3110"/>
    </row>
    <row r="215" spans="1:5">
      <c r="A215" s="1514">
        <v>1986.02</v>
      </c>
      <c r="B215" s="1517">
        <v>1.1623202942159811E-3</v>
      </c>
      <c r="C215" s="2399">
        <f t="shared" si="3"/>
        <v>1.1623202942159811E-3</v>
      </c>
      <c r="D215" s="904"/>
      <c r="E215" s="3110"/>
    </row>
    <row r="216" spans="1:5">
      <c r="A216" s="1514">
        <v>1986.03</v>
      </c>
      <c r="B216" s="1517">
        <v>1.216296508573339E-3</v>
      </c>
      <c r="C216" s="2399">
        <f t="shared" si="3"/>
        <v>1.216296508573339E-3</v>
      </c>
      <c r="D216" s="904"/>
      <c r="E216" s="3110"/>
    </row>
    <row r="217" spans="1:5">
      <c r="A217" s="1514">
        <v>1986.04</v>
      </c>
      <c r="B217" s="1517">
        <v>1.2738548980274157E-3</v>
      </c>
      <c r="C217" s="2399">
        <f t="shared" si="3"/>
        <v>1.2738548980274157E-3</v>
      </c>
      <c r="D217" s="904"/>
      <c r="E217" s="3110"/>
    </row>
    <row r="218" spans="1:5">
      <c r="A218" s="1514">
        <v>1986.05</v>
      </c>
      <c r="B218" s="1517">
        <v>1.3251468691789655E-3</v>
      </c>
      <c r="C218" s="2399">
        <f t="shared" si="3"/>
        <v>1.3251468691789655E-3</v>
      </c>
      <c r="D218" s="904"/>
      <c r="E218" s="3110"/>
    </row>
    <row r="219" spans="1:5">
      <c r="A219" s="1514">
        <v>1986.06</v>
      </c>
      <c r="B219" s="1517">
        <v>1.3853895018388501E-3</v>
      </c>
      <c r="C219" s="2399">
        <f t="shared" si="3"/>
        <v>1.3853895018388501E-3</v>
      </c>
      <c r="D219" s="904"/>
      <c r="E219" s="3110"/>
    </row>
    <row r="220" spans="1:5">
      <c r="A220" s="1514">
        <v>1986.07</v>
      </c>
      <c r="B220" s="1517">
        <v>1.4791803983378708E-3</v>
      </c>
      <c r="C220" s="2399">
        <f t="shared" si="3"/>
        <v>1.4791803983378708E-3</v>
      </c>
      <c r="D220" s="904"/>
      <c r="E220" s="3110"/>
    </row>
    <row r="221" spans="1:5">
      <c r="A221" s="1514">
        <v>1986.08</v>
      </c>
      <c r="B221" s="1517">
        <v>1.6090557386445048E-3</v>
      </c>
      <c r="C221" s="2399">
        <f t="shared" si="3"/>
        <v>1.6090557386445048E-3</v>
      </c>
      <c r="D221" s="904"/>
      <c r="E221" s="3110"/>
    </row>
    <row r="222" spans="1:5">
      <c r="A222" s="1514">
        <v>1986.09</v>
      </c>
      <c r="B222" s="1517">
        <v>1.7253617996847684E-3</v>
      </c>
      <c r="C222" s="2399">
        <f t="shared" si="3"/>
        <v>1.7253617996847684E-3</v>
      </c>
      <c r="D222" s="904"/>
      <c r="E222" s="3110"/>
    </row>
    <row r="223" spans="1:5">
      <c r="A223" s="1514">
        <v>1986.1</v>
      </c>
      <c r="B223" s="1517">
        <v>1.8298896690070211E-3</v>
      </c>
      <c r="C223" s="2399">
        <f t="shared" si="3"/>
        <v>1.8298896690070211E-3</v>
      </c>
      <c r="D223" s="904"/>
      <c r="E223" s="3110"/>
    </row>
    <row r="224" spans="1:5">
      <c r="A224" s="1514">
        <v>1986.11</v>
      </c>
      <c r="B224" s="1517">
        <v>1.9268089984238431E-3</v>
      </c>
      <c r="C224" s="2399">
        <f t="shared" si="3"/>
        <v>1.9268089984238431E-3</v>
      </c>
      <c r="D224" s="904"/>
      <c r="E224" s="3110"/>
    </row>
    <row r="225" spans="1:8">
      <c r="A225" s="1514">
        <v>1986.12</v>
      </c>
      <c r="B225" s="1517">
        <v>2.0180684911878491E-3</v>
      </c>
      <c r="C225" s="2399">
        <f t="shared" si="3"/>
        <v>2.0180684911878491E-3</v>
      </c>
      <c r="D225" s="904"/>
      <c r="E225" s="3110"/>
      <c r="F225" s="176"/>
      <c r="G225" s="176"/>
      <c r="H225" s="2459"/>
    </row>
    <row r="226" spans="1:8">
      <c r="A226" s="1514">
        <v>1987.01</v>
      </c>
      <c r="B226" s="1517">
        <v>2.1710369202846635E-3</v>
      </c>
      <c r="C226" s="2399">
        <f t="shared" si="3"/>
        <v>2.1710369202846635E-3</v>
      </c>
      <c r="D226" s="904"/>
      <c r="E226" s="3110"/>
      <c r="F226" s="176"/>
      <c r="G226" s="176"/>
      <c r="H226" s="176"/>
    </row>
    <row r="227" spans="1:8">
      <c r="A227" s="1514">
        <v>1987.02</v>
      </c>
      <c r="B227" s="1517">
        <v>2.3112193724029229E-3</v>
      </c>
      <c r="C227" s="2399">
        <f t="shared" si="3"/>
        <v>2.3112193724029229E-3</v>
      </c>
      <c r="D227" s="904"/>
      <c r="E227" s="3110"/>
      <c r="F227" s="176"/>
      <c r="G227" s="176"/>
      <c r="H227" s="176"/>
    </row>
    <row r="228" spans="1:8">
      <c r="A228" s="1514">
        <v>1987.03</v>
      </c>
      <c r="B228" s="1517">
        <v>2.5020776615560969E-3</v>
      </c>
      <c r="C228" s="2399">
        <f t="shared" si="3"/>
        <v>2.5020776615560969E-3</v>
      </c>
      <c r="D228" s="904"/>
      <c r="E228" s="3110"/>
      <c r="F228" s="176"/>
      <c r="G228" s="176"/>
      <c r="H228" s="176"/>
    </row>
    <row r="229" spans="1:8">
      <c r="A229" s="1514">
        <v>1987.04</v>
      </c>
      <c r="B229" s="1517">
        <v>2.5855662224769545E-3</v>
      </c>
      <c r="C229" s="2399">
        <f t="shared" si="3"/>
        <v>2.5855662224769545E-3</v>
      </c>
      <c r="D229" s="904"/>
      <c r="E229" s="3110"/>
      <c r="F229" s="176"/>
      <c r="G229" s="176"/>
      <c r="H229" s="176"/>
    </row>
    <row r="230" spans="1:8">
      <c r="A230" s="1514">
        <v>1987.05</v>
      </c>
      <c r="B230" s="1517">
        <v>2.6929359507092709E-3</v>
      </c>
      <c r="C230" s="2399">
        <f t="shared" si="3"/>
        <v>2.6929359507092709E-3</v>
      </c>
      <c r="D230" s="904"/>
      <c r="E230" s="3110"/>
      <c r="F230" s="176"/>
      <c r="G230" s="176"/>
      <c r="H230" s="176"/>
    </row>
    <row r="231" spans="1:8">
      <c r="A231" s="1514">
        <v>1987.06</v>
      </c>
      <c r="B231" s="1517">
        <v>2.9091560395472131E-3</v>
      </c>
      <c r="C231" s="2399">
        <f t="shared" si="3"/>
        <v>2.9091560395472131E-3</v>
      </c>
      <c r="D231" s="904"/>
      <c r="E231" s="3110"/>
      <c r="F231" s="176"/>
      <c r="G231" s="176"/>
      <c r="H231" s="176"/>
    </row>
    <row r="232" spans="1:8">
      <c r="A232" s="1514">
        <v>1987.07</v>
      </c>
      <c r="B232" s="1517">
        <v>3.2028943974781485E-3</v>
      </c>
      <c r="C232" s="2399">
        <f t="shared" si="3"/>
        <v>3.2028943974781485E-3</v>
      </c>
      <c r="D232" s="904"/>
      <c r="E232" s="3110"/>
      <c r="F232" s="176"/>
      <c r="G232" s="176"/>
      <c r="H232" s="176"/>
    </row>
    <row r="233" spans="1:8">
      <c r="A233" s="1514">
        <v>1987.08</v>
      </c>
      <c r="B233" s="1517">
        <v>3.6427854993552082E-3</v>
      </c>
      <c r="C233" s="2399">
        <f t="shared" si="3"/>
        <v>3.6427854993552082E-3</v>
      </c>
      <c r="D233" s="904"/>
      <c r="E233" s="3110"/>
      <c r="F233" s="176"/>
      <c r="G233" s="176"/>
      <c r="H233" s="176"/>
    </row>
    <row r="234" spans="1:8">
      <c r="A234" s="1514">
        <v>1987.09</v>
      </c>
      <c r="B234" s="1517">
        <v>4.067726990495295E-3</v>
      </c>
      <c r="C234" s="2399">
        <f t="shared" si="3"/>
        <v>4.067726990495295E-3</v>
      </c>
      <c r="D234" s="904"/>
      <c r="E234" s="3110"/>
      <c r="F234" s="176"/>
      <c r="G234" s="176"/>
      <c r="H234" s="176"/>
    </row>
    <row r="235" spans="1:8">
      <c r="A235" s="1514">
        <v>1987.1</v>
      </c>
      <c r="B235" s="1517">
        <v>4.8640206333285573E-3</v>
      </c>
      <c r="C235" s="2399">
        <f t="shared" si="3"/>
        <v>4.8640206333285573E-3</v>
      </c>
      <c r="D235" s="904"/>
      <c r="E235" s="3110"/>
      <c r="F235" s="176"/>
      <c r="G235" s="176"/>
      <c r="H235" s="176"/>
    </row>
    <row r="236" spans="1:8">
      <c r="A236" s="1514">
        <v>1987.11</v>
      </c>
      <c r="B236" s="1517">
        <v>5.3635191288150157E-3</v>
      </c>
      <c r="C236" s="2399">
        <f t="shared" si="3"/>
        <v>5.3635191288150157E-3</v>
      </c>
      <c r="D236" s="904"/>
      <c r="E236" s="3110"/>
      <c r="F236" s="176"/>
      <c r="G236" s="176"/>
      <c r="H236" s="176"/>
    </row>
    <row r="237" spans="1:8">
      <c r="A237" s="1514">
        <v>1987.12</v>
      </c>
      <c r="B237" s="1517">
        <v>5.5454458613937042E-3</v>
      </c>
      <c r="C237" s="2399">
        <f t="shared" si="3"/>
        <v>5.5454458613937042E-3</v>
      </c>
      <c r="D237" s="904"/>
      <c r="E237" s="3110"/>
      <c r="F237" s="176"/>
      <c r="G237" s="176"/>
      <c r="H237" s="176"/>
    </row>
    <row r="238" spans="1:8">
      <c r="A238" s="1514">
        <v>1988.01</v>
      </c>
      <c r="B238" s="1517">
        <v>6.0495773033385864E-3</v>
      </c>
      <c r="C238" s="2399">
        <f t="shared" si="3"/>
        <v>6.0495773033385864E-3</v>
      </c>
      <c r="D238" s="904"/>
      <c r="E238" s="3110"/>
      <c r="F238" s="176"/>
      <c r="G238" s="176"/>
      <c r="H238" s="176"/>
    </row>
    <row r="239" spans="1:8">
      <c r="A239" s="1514">
        <v>1988.02</v>
      </c>
      <c r="B239" s="1517">
        <v>6.680040120361083E-3</v>
      </c>
      <c r="C239" s="2399">
        <f t="shared" si="3"/>
        <v>6.680040120361083E-3</v>
      </c>
      <c r="D239" s="904"/>
      <c r="E239" s="3110"/>
      <c r="F239" s="176"/>
      <c r="G239" s="176"/>
      <c r="H239" s="176"/>
    </row>
    <row r="240" spans="1:8">
      <c r="A240" s="1514">
        <v>1988.03</v>
      </c>
      <c r="B240" s="1517">
        <v>7.6658547069780765E-3</v>
      </c>
      <c r="C240" s="2399">
        <f t="shared" si="3"/>
        <v>7.6658547069780765E-3</v>
      </c>
      <c r="D240" s="904"/>
      <c r="E240" s="3110"/>
      <c r="F240" s="176"/>
      <c r="G240" s="176"/>
      <c r="H240" s="176"/>
    </row>
    <row r="241" spans="1:5">
      <c r="A241" s="1514">
        <v>1988.04</v>
      </c>
      <c r="B241" s="1517">
        <v>8.986960882647943E-3</v>
      </c>
      <c r="C241" s="2399">
        <f t="shared" si="3"/>
        <v>8.986960882647943E-3</v>
      </c>
      <c r="D241" s="904"/>
      <c r="E241" s="3110"/>
    </row>
    <row r="242" spans="1:5">
      <c r="A242" s="1514">
        <v>1988.05</v>
      </c>
      <c r="B242" s="1517">
        <v>1.0398815494101352E-2</v>
      </c>
      <c r="C242" s="2399">
        <f t="shared" si="3"/>
        <v>1.0398815494101352E-2</v>
      </c>
      <c r="D242" s="904"/>
      <c r="E242" s="3110"/>
    </row>
    <row r="243" spans="1:5">
      <c r="A243" s="1514">
        <v>1988.06</v>
      </c>
      <c r="B243" s="1517">
        <v>1.2267278024549839E-2</v>
      </c>
      <c r="C243" s="2399">
        <f t="shared" si="3"/>
        <v>1.2267278024549839E-2</v>
      </c>
      <c r="D243" s="904"/>
      <c r="E243" s="3110"/>
    </row>
    <row r="244" spans="1:5">
      <c r="A244" s="1514">
        <v>1988.07</v>
      </c>
      <c r="B244" s="1517">
        <v>1.5413383006161342E-2</v>
      </c>
      <c r="C244" s="2399">
        <f t="shared" si="3"/>
        <v>1.5413383006161342E-2</v>
      </c>
      <c r="D244" s="904"/>
      <c r="E244" s="3110"/>
    </row>
    <row r="245" spans="1:5">
      <c r="A245" s="1514">
        <v>1988.08</v>
      </c>
      <c r="B245" s="1517">
        <v>1.9670917514448105E-2</v>
      </c>
      <c r="C245" s="2399">
        <f t="shared" si="3"/>
        <v>1.9670917514448105E-2</v>
      </c>
      <c r="D245" s="904"/>
      <c r="E245" s="3110"/>
    </row>
    <row r="246" spans="1:5">
      <c r="A246" s="1514">
        <v>1988.09</v>
      </c>
      <c r="B246" s="1517">
        <v>2.1971629173233986E-2</v>
      </c>
      <c r="C246" s="2399">
        <f t="shared" si="3"/>
        <v>2.1971629173233986E-2</v>
      </c>
      <c r="D246" s="904"/>
      <c r="E246" s="3110"/>
    </row>
    <row r="247" spans="1:5">
      <c r="A247" s="1514">
        <v>1988.1</v>
      </c>
      <c r="B247" s="1517">
        <v>2.3947079333237808E-2</v>
      </c>
      <c r="C247" s="2399">
        <f t="shared" si="3"/>
        <v>2.3947079333237808E-2</v>
      </c>
      <c r="D247" s="904"/>
      <c r="E247" s="3110"/>
    </row>
    <row r="248" spans="1:5">
      <c r="A248" s="1514">
        <v>1988.11</v>
      </c>
      <c r="B248" s="1517">
        <v>2.5314514973491905E-2</v>
      </c>
      <c r="C248" s="2399">
        <f t="shared" si="3"/>
        <v>2.5314514973491905E-2</v>
      </c>
      <c r="D248" s="904"/>
      <c r="E248" s="3110"/>
    </row>
    <row r="249" spans="1:5">
      <c r="A249" s="1514">
        <v>1988.12</v>
      </c>
      <c r="B249" s="1517">
        <v>2.7047332473611307E-2</v>
      </c>
      <c r="C249" s="2399">
        <f t="shared" si="3"/>
        <v>2.7047332473611307E-2</v>
      </c>
      <c r="D249" s="904"/>
      <c r="E249" s="3110"/>
    </row>
    <row r="250" spans="1:5">
      <c r="A250" s="1514">
        <v>1989.01</v>
      </c>
      <c r="B250" s="1517">
        <v>2.9459807995414814E-2</v>
      </c>
      <c r="C250" s="2399">
        <f t="shared" si="3"/>
        <v>2.9459807995414814E-2</v>
      </c>
      <c r="D250" s="904"/>
      <c r="E250" s="3110"/>
    </row>
    <row r="251" spans="1:5">
      <c r="A251" s="1514">
        <v>1989.02</v>
      </c>
      <c r="B251" s="1517">
        <v>3.2285427711706546E-2</v>
      </c>
      <c r="C251" s="2399">
        <f t="shared" si="3"/>
        <v>3.2285427711706546E-2</v>
      </c>
      <c r="D251" s="904"/>
      <c r="E251" s="3110"/>
    </row>
    <row r="252" spans="1:5">
      <c r="A252" s="1514">
        <v>1989.03</v>
      </c>
      <c r="B252" s="1517">
        <v>3.7775708076610785E-2</v>
      </c>
      <c r="C252" s="2399">
        <f t="shared" si="3"/>
        <v>3.7775708076610785E-2</v>
      </c>
      <c r="D252" s="904"/>
      <c r="E252" s="3110"/>
    </row>
    <row r="253" spans="1:5">
      <c r="A253" s="1514">
        <v>1989.04</v>
      </c>
      <c r="B253" s="1517">
        <v>5.0381621053637103E-2</v>
      </c>
      <c r="C253" s="2399">
        <f t="shared" si="3"/>
        <v>5.0381621053637103E-2</v>
      </c>
      <c r="D253" s="904"/>
      <c r="E253" s="3110"/>
    </row>
    <row r="254" spans="1:5">
      <c r="A254" s="1514">
        <v>1989.05</v>
      </c>
      <c r="B254" s="1517">
        <v>8.991546066771744E-2</v>
      </c>
      <c r="C254" s="2399">
        <f t="shared" si="3"/>
        <v>8.991546066771744E-2</v>
      </c>
      <c r="D254" s="904"/>
      <c r="E254" s="3110"/>
    </row>
    <row r="255" spans="1:5">
      <c r="A255" s="1514">
        <v>1989.06</v>
      </c>
      <c r="B255" s="1517">
        <v>0.19284376940344844</v>
      </c>
      <c r="C255" s="2399">
        <f t="shared" si="3"/>
        <v>0.19284376940344844</v>
      </c>
      <c r="D255" s="904"/>
      <c r="E255" s="3110"/>
    </row>
    <row r="256" spans="1:5">
      <c r="A256" s="1514">
        <v>1989.07</v>
      </c>
      <c r="B256" s="1517">
        <v>0.57203992931174485</v>
      </c>
      <c r="C256" s="2399">
        <f t="shared" si="3"/>
        <v>0.57203992931174485</v>
      </c>
      <c r="D256" s="904"/>
      <c r="E256" s="3110"/>
    </row>
    <row r="257" spans="1:9">
      <c r="A257" s="1514">
        <v>1989.08</v>
      </c>
      <c r="B257" s="1517">
        <v>0.78862205664612883</v>
      </c>
      <c r="C257" s="2399">
        <f t="shared" si="3"/>
        <v>0.78862205664612883</v>
      </c>
      <c r="D257" s="904"/>
      <c r="E257" s="3110"/>
      <c r="F257" s="176"/>
      <c r="G257" s="176"/>
      <c r="H257" s="176"/>
      <c r="I257" s="176"/>
    </row>
    <row r="258" spans="1:9">
      <c r="A258" s="1514">
        <v>1989.09</v>
      </c>
      <c r="B258" s="1517">
        <v>0.86240053493814772</v>
      </c>
      <c r="C258" s="2399">
        <f t="shared" si="3"/>
        <v>0.86240053493814772</v>
      </c>
      <c r="D258" s="904"/>
      <c r="E258" s="3110"/>
      <c r="F258" s="176"/>
      <c r="G258" s="176"/>
      <c r="H258" s="176"/>
      <c r="I258" s="176"/>
    </row>
    <row r="259" spans="1:9">
      <c r="A259" s="1514">
        <v>1989.1</v>
      </c>
      <c r="B259" s="1517">
        <v>0.91065434398433387</v>
      </c>
      <c r="C259" s="2399">
        <f t="shared" si="3"/>
        <v>0.91065434398433387</v>
      </c>
      <c r="D259" s="904"/>
      <c r="E259" s="3110"/>
      <c r="F259" s="176"/>
      <c r="G259" s="176"/>
      <c r="H259" s="176"/>
      <c r="I259" s="176"/>
    </row>
    <row r="260" spans="1:9">
      <c r="A260" s="1514">
        <v>1989.11</v>
      </c>
      <c r="B260" s="1517">
        <v>0.97002006018054154</v>
      </c>
      <c r="C260" s="2399">
        <f t="shared" si="3"/>
        <v>0.97002006018054154</v>
      </c>
      <c r="D260" s="904"/>
      <c r="E260" s="3110"/>
      <c r="F260" s="176"/>
      <c r="G260" s="176"/>
      <c r="H260" s="176"/>
      <c r="I260" s="176"/>
    </row>
    <row r="261" spans="1:9">
      <c r="A261" s="1514">
        <v>1989.12</v>
      </c>
      <c r="B261" s="1517">
        <v>1.3587357310025314</v>
      </c>
      <c r="C261" s="2399">
        <f t="shared" si="3"/>
        <v>1.3587357310025314</v>
      </c>
      <c r="D261" s="904"/>
      <c r="E261" s="3110"/>
      <c r="F261" s="176"/>
      <c r="G261" s="176"/>
      <c r="H261" s="176"/>
      <c r="I261" s="2459"/>
    </row>
    <row r="262" spans="1:9">
      <c r="A262" s="1514">
        <v>1990.01</v>
      </c>
      <c r="B262" s="1517">
        <v>2.4349238190762761</v>
      </c>
      <c r="C262" s="2399">
        <f t="shared" si="3"/>
        <v>2.4349238190762761</v>
      </c>
      <c r="D262" s="904"/>
      <c r="E262" s="3110"/>
      <c r="F262" s="176"/>
      <c r="G262" s="176"/>
      <c r="H262" s="176"/>
      <c r="I262" s="2459"/>
    </row>
    <row r="263" spans="1:9">
      <c r="A263" s="1514">
        <v>1990.02</v>
      </c>
      <c r="B263" s="1517">
        <v>3.9340879782203757</v>
      </c>
      <c r="C263" s="2399">
        <f t="shared" si="3"/>
        <v>3.9340879782203757</v>
      </c>
      <c r="D263" s="904"/>
      <c r="E263" s="3110"/>
      <c r="F263" s="176"/>
      <c r="G263" s="176"/>
      <c r="H263" s="176"/>
      <c r="I263" s="2459"/>
    </row>
    <row r="264" spans="1:9">
      <c r="A264" s="1514">
        <v>1990.03</v>
      </c>
      <c r="B264" s="1517">
        <v>7.6922195156899269</v>
      </c>
      <c r="C264" s="2399">
        <f t="shared" si="3"/>
        <v>7.6922195156899269</v>
      </c>
      <c r="D264" s="904"/>
      <c r="E264" s="3110"/>
      <c r="F264" s="176"/>
      <c r="G264" s="176"/>
      <c r="H264" s="176"/>
      <c r="I264" s="2459"/>
    </row>
    <row r="265" spans="1:9">
      <c r="A265" s="1514">
        <v>1990.04</v>
      </c>
      <c r="B265" s="1517">
        <v>8.5669866743086391</v>
      </c>
      <c r="C265" s="2399">
        <f t="shared" si="3"/>
        <v>8.5669866743086391</v>
      </c>
      <c r="D265" s="904"/>
      <c r="E265" s="3110"/>
      <c r="F265" s="176"/>
      <c r="G265" s="176"/>
      <c r="H265" s="176"/>
      <c r="I265" s="2459"/>
    </row>
    <row r="266" spans="1:9">
      <c r="A266" s="1514">
        <v>1990.05</v>
      </c>
      <c r="B266" s="1517">
        <v>9.7327697377847819</v>
      </c>
      <c r="C266" s="2399">
        <f t="shared" si="3"/>
        <v>9.7327697377847819</v>
      </c>
      <c r="D266" s="904"/>
      <c r="E266" s="3110"/>
      <c r="F266" s="176"/>
      <c r="G266" s="176"/>
      <c r="H266" s="176"/>
      <c r="I266" s="2459"/>
    </row>
    <row r="267" spans="1:9">
      <c r="A267" s="1514">
        <v>1990.06</v>
      </c>
      <c r="B267" s="1517">
        <v>11.085399054305773</v>
      </c>
      <c r="C267" s="2399">
        <f t="shared" si="3"/>
        <v>11.085399054305773</v>
      </c>
      <c r="D267" s="904"/>
      <c r="E267" s="3110"/>
      <c r="F267" s="176"/>
      <c r="G267" s="176"/>
      <c r="H267" s="176"/>
      <c r="I267" s="2459"/>
    </row>
    <row r="268" spans="1:9">
      <c r="A268" s="1514">
        <v>1990.07</v>
      </c>
      <c r="B268" s="1517">
        <v>12.285427711706548</v>
      </c>
      <c r="C268" s="2399">
        <f t="shared" ref="C268:C331" si="4">B268</f>
        <v>12.285427711706548</v>
      </c>
      <c r="D268" s="904"/>
      <c r="E268" s="3110"/>
      <c r="F268" s="176"/>
      <c r="G268" s="176"/>
      <c r="H268" s="176"/>
      <c r="I268" s="2459"/>
    </row>
    <row r="269" spans="1:9">
      <c r="A269" s="1514">
        <v>1990.08</v>
      </c>
      <c r="B269" s="1517">
        <v>14.169747337249843</v>
      </c>
      <c r="C269" s="2399">
        <f t="shared" si="4"/>
        <v>14.169747337249843</v>
      </c>
      <c r="D269" s="904"/>
      <c r="E269" s="3110"/>
      <c r="F269" s="176"/>
      <c r="G269" s="176"/>
      <c r="H269" s="176"/>
      <c r="I269" s="2459"/>
    </row>
    <row r="270" spans="1:9">
      <c r="A270" s="1514">
        <v>1990.09</v>
      </c>
      <c r="B270" s="1517">
        <v>16.391173520561683</v>
      </c>
      <c r="C270" s="2399">
        <f t="shared" si="4"/>
        <v>16.391173520561683</v>
      </c>
      <c r="D270" s="904"/>
      <c r="E270" s="3110"/>
      <c r="F270" s="176"/>
      <c r="G270" s="176"/>
      <c r="H270" s="176"/>
      <c r="I270" s="2459"/>
    </row>
    <row r="271" spans="1:9">
      <c r="A271" s="1514">
        <v>1990.1</v>
      </c>
      <c r="B271" s="1517">
        <v>17.651717055929694</v>
      </c>
      <c r="C271" s="2399">
        <f t="shared" si="4"/>
        <v>17.651717055929694</v>
      </c>
      <c r="D271" s="904"/>
      <c r="E271" s="3110"/>
      <c r="F271" s="176"/>
      <c r="G271" s="176"/>
      <c r="H271" s="176"/>
      <c r="I271" s="2459"/>
    </row>
    <row r="272" spans="1:9">
      <c r="A272" s="1514">
        <v>1990.11</v>
      </c>
      <c r="B272" s="1517">
        <v>18.742704303386347</v>
      </c>
      <c r="C272" s="2399">
        <f t="shared" si="4"/>
        <v>18.742704303386347</v>
      </c>
      <c r="D272" s="904"/>
      <c r="E272" s="3110"/>
      <c r="F272" s="176"/>
      <c r="G272" s="176"/>
      <c r="H272" s="176"/>
      <c r="I272" s="176"/>
    </row>
    <row r="273" spans="1:6">
      <c r="A273" s="1514">
        <v>1990.12</v>
      </c>
      <c r="B273" s="1517">
        <v>19.61919090605149</v>
      </c>
      <c r="C273" s="2399">
        <f t="shared" si="4"/>
        <v>19.61919090605149</v>
      </c>
      <c r="D273" s="904"/>
      <c r="E273" s="3110"/>
      <c r="F273" s="176"/>
    </row>
    <row r="274" spans="1:6">
      <c r="A274" s="1514">
        <v>1991.01</v>
      </c>
      <c r="B274" s="1517">
        <v>21.12957921383197</v>
      </c>
      <c r="C274" s="2399">
        <f t="shared" si="4"/>
        <v>21.12957921383197</v>
      </c>
      <c r="D274" s="904"/>
      <c r="E274" s="3110"/>
      <c r="F274" s="829"/>
    </row>
    <row r="275" spans="1:6">
      <c r="A275" s="1514">
        <v>1991.02</v>
      </c>
      <c r="B275" s="1517">
        <v>26.83254525481205</v>
      </c>
      <c r="C275" s="2399">
        <f t="shared" si="4"/>
        <v>26.83254525481205</v>
      </c>
      <c r="D275" s="904"/>
      <c r="E275" s="3110"/>
      <c r="F275" s="829"/>
    </row>
    <row r="276" spans="1:6">
      <c r="A276" s="1514">
        <v>1991.03</v>
      </c>
      <c r="B276" s="1517">
        <v>29.795481683144676</v>
      </c>
      <c r="C276" s="2399">
        <f t="shared" si="4"/>
        <v>29.795481683144676</v>
      </c>
      <c r="D276" s="904"/>
      <c r="E276" s="3110"/>
      <c r="F276" s="829"/>
    </row>
    <row r="277" spans="1:6">
      <c r="A277" s="1514">
        <v>1991.04</v>
      </c>
      <c r="B277" s="1517">
        <v>31.437359698142046</v>
      </c>
      <c r="C277" s="2399">
        <f t="shared" si="4"/>
        <v>31.437359698142046</v>
      </c>
      <c r="D277" s="904"/>
      <c r="E277" s="3110"/>
      <c r="F277" s="829"/>
    </row>
    <row r="278" spans="1:6">
      <c r="A278" s="1514">
        <v>1991.05</v>
      </c>
      <c r="B278" s="1517">
        <v>32.319052395281076</v>
      </c>
      <c r="C278" s="2399">
        <f t="shared" si="4"/>
        <v>32.319052395281076</v>
      </c>
      <c r="D278" s="904"/>
      <c r="E278" s="3110"/>
      <c r="F278" s="829"/>
    </row>
    <row r="279" spans="1:6">
      <c r="A279" s="1514">
        <v>1991.06</v>
      </c>
      <c r="B279" s="1517">
        <v>33.328604862205665</v>
      </c>
      <c r="C279" s="2399">
        <f t="shared" si="4"/>
        <v>33.328604862205665</v>
      </c>
      <c r="D279" s="904"/>
      <c r="E279" s="3110"/>
      <c r="F279" s="829"/>
    </row>
    <row r="280" spans="1:6">
      <c r="A280" s="1514">
        <v>1991.07</v>
      </c>
      <c r="B280" s="1517">
        <v>34.192147872187988</v>
      </c>
      <c r="C280" s="2399">
        <f t="shared" si="4"/>
        <v>34.192147872187988</v>
      </c>
      <c r="D280" s="904"/>
      <c r="E280" s="3110"/>
      <c r="F280" s="829"/>
    </row>
    <row r="281" spans="1:6">
      <c r="A281" s="1514">
        <v>1991.08</v>
      </c>
      <c r="B281" s="1517">
        <v>34.636958494531214</v>
      </c>
      <c r="C281" s="2399">
        <f t="shared" si="4"/>
        <v>34.636958494531214</v>
      </c>
      <c r="D281" s="904"/>
      <c r="E281" s="3110"/>
      <c r="F281" s="829"/>
    </row>
    <row r="282" spans="1:6">
      <c r="A282" s="1514">
        <v>1991.09</v>
      </c>
      <c r="B282" s="1517">
        <v>35.248794001050769</v>
      </c>
      <c r="C282" s="2399">
        <f t="shared" si="4"/>
        <v>35.248794001050769</v>
      </c>
      <c r="D282" s="904"/>
      <c r="E282" s="3110"/>
      <c r="F282" s="829"/>
    </row>
    <row r="283" spans="1:6">
      <c r="A283" s="1514">
        <v>1991.1</v>
      </c>
      <c r="B283" s="1517">
        <v>35.724936714906633</v>
      </c>
      <c r="C283" s="2399">
        <f t="shared" si="4"/>
        <v>35.724936714906633</v>
      </c>
      <c r="D283" s="904"/>
      <c r="E283" s="3110"/>
      <c r="F283" s="829"/>
    </row>
    <row r="284" spans="1:6">
      <c r="A284" s="1514">
        <v>1991.11</v>
      </c>
      <c r="B284" s="1517">
        <v>35.863877346324685</v>
      </c>
      <c r="C284" s="2399">
        <f t="shared" si="4"/>
        <v>35.863877346324685</v>
      </c>
      <c r="D284" s="904"/>
      <c r="E284" s="3110"/>
      <c r="F284" s="829"/>
    </row>
    <row r="285" spans="1:6">
      <c r="A285" s="1514">
        <v>1991.12</v>
      </c>
      <c r="B285" s="1517">
        <v>36.096718727611403</v>
      </c>
      <c r="C285" s="2399">
        <f t="shared" si="4"/>
        <v>36.096718727611403</v>
      </c>
      <c r="D285" s="904"/>
      <c r="E285" s="3110"/>
      <c r="F285" s="829"/>
    </row>
    <row r="286" spans="1:6">
      <c r="A286" s="1514">
        <v>1992.01</v>
      </c>
      <c r="B286" s="1517">
        <v>37.19501361226537</v>
      </c>
      <c r="C286" s="2399">
        <f t="shared" si="4"/>
        <v>37.19501361226537</v>
      </c>
      <c r="D286" s="904"/>
      <c r="E286" s="3110"/>
      <c r="F286" s="829"/>
    </row>
    <row r="287" spans="1:6">
      <c r="A287" s="1514">
        <v>1992.02</v>
      </c>
      <c r="B287" s="1517">
        <v>37.996226775564793</v>
      </c>
      <c r="C287" s="2399">
        <f t="shared" si="4"/>
        <v>37.996226775564793</v>
      </c>
      <c r="D287" s="904"/>
      <c r="E287" s="3110"/>
      <c r="F287" s="829"/>
    </row>
    <row r="288" spans="1:6">
      <c r="A288" s="1514">
        <v>1992.03</v>
      </c>
      <c r="B288" s="1517">
        <v>38.794001050771357</v>
      </c>
      <c r="C288" s="2399">
        <f t="shared" si="4"/>
        <v>38.794001050771357</v>
      </c>
      <c r="D288" s="904"/>
      <c r="E288" s="3110"/>
      <c r="F288" s="829"/>
    </row>
    <row r="289" spans="1:6">
      <c r="A289" s="1514">
        <v>1992.04</v>
      </c>
      <c r="B289" s="1517">
        <v>39.293165209915458</v>
      </c>
      <c r="C289" s="2399">
        <f t="shared" si="4"/>
        <v>39.293165209915458</v>
      </c>
      <c r="D289" s="904"/>
      <c r="E289" s="3110"/>
      <c r="F289" s="829"/>
    </row>
    <row r="290" spans="1:6">
      <c r="A290" s="1514">
        <v>1992.05</v>
      </c>
      <c r="B290" s="1517">
        <v>39.557625256722545</v>
      </c>
      <c r="C290" s="2399">
        <f t="shared" si="4"/>
        <v>39.557625256722545</v>
      </c>
      <c r="D290" s="904"/>
      <c r="E290" s="3110"/>
      <c r="F290" s="829"/>
    </row>
    <row r="291" spans="1:6">
      <c r="A291" s="1514">
        <v>1992.06</v>
      </c>
      <c r="B291" s="1517">
        <v>39.867793857763765</v>
      </c>
      <c r="C291" s="2399">
        <f t="shared" si="4"/>
        <v>39.867793857763765</v>
      </c>
      <c r="D291" s="904"/>
      <c r="E291" s="3110"/>
      <c r="F291" s="829"/>
    </row>
    <row r="292" spans="1:6">
      <c r="A292" s="1514">
        <v>1992.07</v>
      </c>
      <c r="B292" s="1517">
        <v>40.557004346372452</v>
      </c>
      <c r="C292" s="2399">
        <f t="shared" si="4"/>
        <v>40.557004346372452</v>
      </c>
      <c r="D292" s="904"/>
      <c r="E292" s="3110"/>
      <c r="F292" s="829"/>
    </row>
    <row r="293" spans="1:6">
      <c r="A293" s="1514">
        <v>1992.08</v>
      </c>
      <c r="B293" s="1517">
        <v>41.164015857095102</v>
      </c>
      <c r="C293" s="2399">
        <f t="shared" si="4"/>
        <v>41.164015857095102</v>
      </c>
      <c r="D293" s="904"/>
      <c r="E293" s="3110"/>
      <c r="F293" s="829"/>
    </row>
    <row r="294" spans="1:6">
      <c r="A294" s="1514">
        <v>1992.09</v>
      </c>
      <c r="B294" s="1517">
        <v>41.589578258585277</v>
      </c>
      <c r="C294" s="2399">
        <f t="shared" si="4"/>
        <v>41.589578258585277</v>
      </c>
      <c r="D294" s="904"/>
      <c r="E294" s="3110"/>
      <c r="F294" s="829"/>
    </row>
    <row r="295" spans="1:6">
      <c r="A295" s="1514">
        <v>1992.1</v>
      </c>
      <c r="B295" s="1517">
        <v>42.116062473133688</v>
      </c>
      <c r="C295" s="2399">
        <f t="shared" si="4"/>
        <v>42.116062473133688</v>
      </c>
      <c r="D295" s="904"/>
      <c r="E295" s="3110"/>
      <c r="F295" s="829"/>
    </row>
    <row r="296" spans="1:6">
      <c r="A296" s="1514">
        <v>1992.11</v>
      </c>
      <c r="B296" s="1517">
        <v>42.310168601041219</v>
      </c>
      <c r="C296" s="2399">
        <f t="shared" si="4"/>
        <v>42.310168601041219</v>
      </c>
      <c r="D296" s="904"/>
      <c r="E296" s="3110"/>
      <c r="F296" s="829"/>
    </row>
    <row r="297" spans="1:6">
      <c r="A297" s="1514">
        <v>1992.12</v>
      </c>
      <c r="B297" s="1517">
        <v>42.430195347948604</v>
      </c>
      <c r="C297" s="2399">
        <f t="shared" si="4"/>
        <v>42.430195347948604</v>
      </c>
      <c r="D297" s="904"/>
      <c r="E297" s="3110"/>
      <c r="F297" s="829"/>
    </row>
    <row r="298" spans="1:6">
      <c r="A298" s="1514">
        <v>1993.01</v>
      </c>
      <c r="B298" s="1517">
        <v>42.78339781248507</v>
      </c>
      <c r="C298" s="2399">
        <f t="shared" si="4"/>
        <v>42.78339781248507</v>
      </c>
      <c r="D298" s="904"/>
      <c r="E298" s="3110"/>
      <c r="F298" s="829"/>
    </row>
    <row r="299" spans="1:6">
      <c r="A299" s="1514">
        <v>1993.02</v>
      </c>
      <c r="B299" s="1517">
        <v>43.095906767922813</v>
      </c>
      <c r="C299" s="2399">
        <f t="shared" si="4"/>
        <v>43.095906767922813</v>
      </c>
      <c r="D299" s="904"/>
      <c r="E299" s="3110"/>
      <c r="F299" s="829"/>
    </row>
    <row r="300" spans="1:6">
      <c r="A300" s="1514">
        <v>1993.03</v>
      </c>
      <c r="B300" s="1517">
        <v>43.419926446004681</v>
      </c>
      <c r="C300" s="2399">
        <f t="shared" si="4"/>
        <v>43.419926446004681</v>
      </c>
      <c r="D300" s="904"/>
      <c r="E300" s="3110"/>
      <c r="F300" s="829"/>
    </row>
    <row r="301" spans="1:6">
      <c r="A301" s="1514">
        <v>1993.04</v>
      </c>
      <c r="B301" s="1517">
        <v>43.873811911926254</v>
      </c>
      <c r="C301" s="2399">
        <f t="shared" si="4"/>
        <v>43.873811911926254</v>
      </c>
      <c r="D301" s="904"/>
      <c r="E301" s="3110"/>
      <c r="F301" s="829"/>
    </row>
    <row r="302" spans="1:6">
      <c r="A302" s="1514">
        <v>1993.05</v>
      </c>
      <c r="B302" s="1517">
        <v>44.438267182499878</v>
      </c>
      <c r="C302" s="2399">
        <f t="shared" si="4"/>
        <v>44.438267182499878</v>
      </c>
      <c r="D302" s="904"/>
      <c r="E302" s="3110"/>
      <c r="F302" s="829"/>
    </row>
    <row r="303" spans="1:6">
      <c r="A303" s="1514">
        <v>1993.06</v>
      </c>
      <c r="B303" s="1517">
        <v>44.757892725796431</v>
      </c>
      <c r="C303" s="2399">
        <f t="shared" si="4"/>
        <v>44.757892725796431</v>
      </c>
      <c r="D303" s="904"/>
      <c r="E303" s="3110"/>
      <c r="F303" s="829"/>
    </row>
    <row r="304" spans="1:6">
      <c r="A304" s="1514">
        <v>1993.07</v>
      </c>
      <c r="B304" s="1517">
        <v>44.90189616468453</v>
      </c>
      <c r="C304" s="2399">
        <f t="shared" si="4"/>
        <v>44.90189616468453</v>
      </c>
      <c r="D304" s="904"/>
      <c r="E304" s="3110"/>
      <c r="F304" s="829"/>
    </row>
    <row r="305" spans="1:6">
      <c r="A305" s="1514">
        <v>1993.08</v>
      </c>
      <c r="B305" s="1517">
        <v>44.909060514877972</v>
      </c>
      <c r="C305" s="2399">
        <f t="shared" si="4"/>
        <v>44.909060514877972</v>
      </c>
      <c r="D305" s="904"/>
      <c r="E305" s="3110"/>
      <c r="F305" s="829"/>
    </row>
    <row r="306" spans="1:6">
      <c r="A306" s="1514">
        <v>1993.09</v>
      </c>
      <c r="B306" s="1517">
        <v>45.279170845870951</v>
      </c>
      <c r="C306" s="2399">
        <f t="shared" si="4"/>
        <v>45.279170845870951</v>
      </c>
      <c r="D306" s="904"/>
      <c r="E306" s="3110"/>
      <c r="F306" s="829"/>
    </row>
    <row r="307" spans="1:6">
      <c r="A307" s="1514">
        <v>1993.1</v>
      </c>
      <c r="B307" s="1517">
        <v>45.535129197115154</v>
      </c>
      <c r="C307" s="2399">
        <f t="shared" si="4"/>
        <v>45.535129197115154</v>
      </c>
      <c r="D307" s="904"/>
      <c r="E307" s="3110"/>
      <c r="F307" s="829"/>
    </row>
    <row r="308" spans="1:6">
      <c r="A308" s="1514">
        <v>1993.11</v>
      </c>
      <c r="B308" s="1517">
        <v>45.561159669484645</v>
      </c>
      <c r="C308" s="2399">
        <f t="shared" si="4"/>
        <v>45.561159669484645</v>
      </c>
      <c r="D308" s="904"/>
      <c r="E308" s="3110"/>
      <c r="F308" s="829"/>
    </row>
    <row r="309" spans="1:6">
      <c r="A309" s="1514">
        <v>1993.12</v>
      </c>
      <c r="B309" s="1517">
        <v>45.555189377656781</v>
      </c>
      <c r="C309" s="2399">
        <f t="shared" si="4"/>
        <v>45.555189377656781</v>
      </c>
      <c r="D309" s="904"/>
      <c r="E309" s="3110"/>
      <c r="F309" s="829"/>
    </row>
    <row r="310" spans="1:6">
      <c r="A310" s="1514">
        <v>1994.01</v>
      </c>
      <c r="B310" s="1517">
        <v>45.601041218894785</v>
      </c>
      <c r="C310" s="2399">
        <f t="shared" si="4"/>
        <v>45.601041218894785</v>
      </c>
      <c r="D310" s="904"/>
      <c r="E310" s="3110"/>
      <c r="F310" s="829"/>
    </row>
    <row r="311" spans="1:6">
      <c r="A311" s="1514">
        <v>1994.02</v>
      </c>
      <c r="B311" s="1517">
        <v>45.599417299517604</v>
      </c>
      <c r="C311" s="2399">
        <f t="shared" si="4"/>
        <v>45.599417299517604</v>
      </c>
      <c r="D311" s="904"/>
      <c r="E311" s="3110"/>
      <c r="F311" s="829"/>
    </row>
    <row r="312" spans="1:6">
      <c r="A312" s="1514">
        <v>1994.03</v>
      </c>
      <c r="B312" s="1517">
        <v>45.662988966900706</v>
      </c>
      <c r="C312" s="2399">
        <f t="shared" si="4"/>
        <v>45.662988966900706</v>
      </c>
      <c r="D312" s="904"/>
      <c r="E312" s="3110"/>
      <c r="F312" s="829"/>
    </row>
    <row r="313" spans="1:6">
      <c r="A313" s="1514">
        <v>1994.04</v>
      </c>
      <c r="B313" s="1517">
        <v>45.774131919568227</v>
      </c>
      <c r="C313" s="2399">
        <f t="shared" si="4"/>
        <v>45.774131919568227</v>
      </c>
      <c r="D313" s="904"/>
      <c r="E313" s="3110"/>
      <c r="F313" s="829"/>
    </row>
    <row r="314" spans="1:6">
      <c r="A314" s="1514">
        <v>1994.05</v>
      </c>
      <c r="B314" s="1517">
        <v>45.93279839518555</v>
      </c>
      <c r="C314" s="2399">
        <f t="shared" si="4"/>
        <v>45.93279839518555</v>
      </c>
      <c r="D314" s="904"/>
      <c r="E314" s="3110"/>
      <c r="F314" s="829"/>
    </row>
    <row r="315" spans="1:6">
      <c r="A315" s="1514">
        <v>1994.06</v>
      </c>
      <c r="B315" s="1517">
        <v>46.110569804652052</v>
      </c>
      <c r="C315" s="2399">
        <f t="shared" si="4"/>
        <v>46.110569804652052</v>
      </c>
      <c r="D315" s="904"/>
      <c r="E315" s="3110"/>
      <c r="F315" s="829"/>
    </row>
    <row r="316" spans="1:6">
      <c r="A316" s="1514">
        <v>1994.07</v>
      </c>
      <c r="B316" s="1517">
        <v>46.536275493146107</v>
      </c>
      <c r="C316" s="2399">
        <f t="shared" si="4"/>
        <v>46.536275493146107</v>
      </c>
      <c r="D316" s="904"/>
      <c r="E316" s="3110"/>
      <c r="F316" s="829"/>
    </row>
    <row r="317" spans="1:6">
      <c r="A317" s="1514">
        <v>1994.08</v>
      </c>
      <c r="B317" s="1517">
        <v>46.632277785738168</v>
      </c>
      <c r="C317" s="2399">
        <f t="shared" si="4"/>
        <v>46.632277785738168</v>
      </c>
      <c r="D317" s="904"/>
      <c r="E317" s="3110"/>
      <c r="F317" s="829"/>
    </row>
    <row r="318" spans="1:6">
      <c r="A318" s="1514">
        <v>1994.09</v>
      </c>
      <c r="B318" s="1517">
        <v>46.951425705688493</v>
      </c>
      <c r="C318" s="2399">
        <f t="shared" si="4"/>
        <v>46.951425705688493</v>
      </c>
      <c r="D318" s="904"/>
      <c r="E318" s="3110"/>
      <c r="F318" s="829"/>
    </row>
    <row r="319" spans="1:6">
      <c r="A319" s="1514">
        <v>1994.1</v>
      </c>
      <c r="B319" s="1517">
        <v>47.101877059750677</v>
      </c>
      <c r="C319" s="2399">
        <f t="shared" si="4"/>
        <v>47.101877059750677</v>
      </c>
      <c r="D319" s="904"/>
      <c r="E319" s="3110"/>
      <c r="F319" s="829"/>
    </row>
    <row r="320" spans="1:6">
      <c r="A320" s="1514">
        <v>1994.11</v>
      </c>
      <c r="B320" s="1517">
        <v>47.208387065959784</v>
      </c>
      <c r="C320" s="2399">
        <f t="shared" si="4"/>
        <v>47.208387065959784</v>
      </c>
      <c r="D320" s="904"/>
      <c r="E320" s="3110"/>
      <c r="F320" s="829"/>
    </row>
    <row r="321" spans="1:6">
      <c r="A321" s="1514">
        <v>1994.12</v>
      </c>
      <c r="B321" s="1517">
        <v>47.311028323064427</v>
      </c>
      <c r="C321" s="2399">
        <f t="shared" si="4"/>
        <v>47.311028323064427</v>
      </c>
      <c r="D321" s="904"/>
      <c r="E321" s="3110"/>
      <c r="F321" s="829"/>
    </row>
    <row r="322" spans="1:6">
      <c r="A322" s="1514">
        <v>1995.01</v>
      </c>
      <c r="B322" s="1517">
        <v>47.900511056980463</v>
      </c>
      <c r="C322" s="2399">
        <f t="shared" si="4"/>
        <v>47.900511056980463</v>
      </c>
      <c r="D322" s="904"/>
      <c r="E322" s="3110"/>
      <c r="F322" s="829"/>
    </row>
    <row r="323" spans="1:6">
      <c r="A323" s="1514">
        <v>1995.02</v>
      </c>
      <c r="B323" s="1517">
        <v>47.899221473945644</v>
      </c>
      <c r="C323" s="2399">
        <f t="shared" si="4"/>
        <v>47.899221473945644</v>
      </c>
      <c r="D323" s="904"/>
      <c r="E323" s="3110"/>
      <c r="F323" s="829"/>
    </row>
    <row r="324" spans="1:6">
      <c r="A324" s="1514">
        <v>1995.03</v>
      </c>
      <c r="B324" s="1517">
        <v>47.684004394134782</v>
      </c>
      <c r="C324" s="2399">
        <f t="shared" si="4"/>
        <v>47.684004394134782</v>
      </c>
      <c r="D324" s="904"/>
      <c r="E324" s="3110"/>
      <c r="F324" s="829"/>
    </row>
    <row r="325" spans="1:6">
      <c r="A325" s="1514">
        <v>1995.04</v>
      </c>
      <c r="B325" s="1517">
        <v>47.902087214023013</v>
      </c>
      <c r="C325" s="2399">
        <f t="shared" si="4"/>
        <v>47.902087214023013</v>
      </c>
      <c r="D325" s="904"/>
      <c r="E325" s="3110"/>
      <c r="F325" s="829"/>
    </row>
    <row r="326" spans="1:6">
      <c r="A326" s="1514">
        <v>1995.05</v>
      </c>
      <c r="B326" s="1517">
        <v>47.912165066628454</v>
      </c>
      <c r="C326" s="2399">
        <f t="shared" si="4"/>
        <v>47.912165066628454</v>
      </c>
      <c r="D326" s="904"/>
      <c r="E326" s="3110"/>
      <c r="F326" s="829"/>
    </row>
    <row r="327" spans="1:6">
      <c r="A327" s="1514">
        <v>1995.06</v>
      </c>
      <c r="B327" s="1517">
        <v>47.813488083297514</v>
      </c>
      <c r="C327" s="2399">
        <f t="shared" si="4"/>
        <v>47.813488083297514</v>
      </c>
      <c r="D327" s="904"/>
      <c r="E327" s="3110"/>
      <c r="F327" s="829"/>
    </row>
    <row r="328" spans="1:6">
      <c r="A328" s="1514">
        <v>1995.07</v>
      </c>
      <c r="B328" s="1517">
        <v>48.007450924201173</v>
      </c>
      <c r="C328" s="2399">
        <f t="shared" si="4"/>
        <v>48.007450924201173</v>
      </c>
      <c r="D328" s="904"/>
      <c r="E328" s="3110"/>
      <c r="F328" s="829"/>
    </row>
    <row r="329" spans="1:6">
      <c r="A329" s="1514">
        <v>1995.08</v>
      </c>
      <c r="B329" s="1517">
        <v>47.891149639394371</v>
      </c>
      <c r="C329" s="2399">
        <f t="shared" si="4"/>
        <v>47.891149639394371</v>
      </c>
      <c r="D329" s="904"/>
      <c r="E329" s="3110"/>
      <c r="F329" s="829"/>
    </row>
    <row r="330" spans="1:6">
      <c r="A330" s="1514">
        <v>1995.09</v>
      </c>
      <c r="B330" s="1517">
        <v>47.969861966852939</v>
      </c>
      <c r="C330" s="2399">
        <f t="shared" si="4"/>
        <v>47.969861966852939</v>
      </c>
      <c r="D330" s="904"/>
      <c r="E330" s="3110"/>
      <c r="F330" s="829"/>
    </row>
    <row r="331" spans="1:6">
      <c r="A331" s="1514">
        <v>1995.1</v>
      </c>
      <c r="B331" s="1517">
        <v>48.132970339590194</v>
      </c>
      <c r="C331" s="2399">
        <f t="shared" si="4"/>
        <v>48.132970339590194</v>
      </c>
      <c r="D331" s="904"/>
      <c r="E331" s="3110"/>
      <c r="F331" s="829"/>
    </row>
    <row r="332" spans="1:6">
      <c r="A332" s="1514">
        <v>1995.11</v>
      </c>
      <c r="B332" s="1517">
        <v>48.023021445288244</v>
      </c>
      <c r="C332" s="2399">
        <f t="shared" ref="C332:C395" si="5">B332</f>
        <v>48.023021445288244</v>
      </c>
      <c r="D332" s="904"/>
      <c r="E332" s="3110"/>
      <c r="F332" s="829"/>
    </row>
    <row r="333" spans="1:6">
      <c r="A333" s="1514">
        <v>1995.12</v>
      </c>
      <c r="B333" s="1517">
        <v>48.071691264268992</v>
      </c>
      <c r="C333" s="2399">
        <f t="shared" si="5"/>
        <v>48.071691264268992</v>
      </c>
      <c r="D333" s="904"/>
      <c r="E333" s="3110"/>
      <c r="F333" s="829"/>
    </row>
    <row r="334" spans="1:6">
      <c r="A334" s="1514">
        <v>1996.01</v>
      </c>
      <c r="B334" s="1517">
        <v>48.215790227826332</v>
      </c>
      <c r="C334" s="2399">
        <f t="shared" si="5"/>
        <v>48.215790227826332</v>
      </c>
      <c r="D334" s="904"/>
      <c r="E334" s="3110"/>
      <c r="F334" s="829"/>
    </row>
    <row r="335" spans="1:6">
      <c r="A335" s="1514">
        <v>1996.02</v>
      </c>
      <c r="B335" s="1517">
        <v>48.059129770263162</v>
      </c>
      <c r="C335" s="2399">
        <f t="shared" si="5"/>
        <v>48.059129770263162</v>
      </c>
      <c r="D335" s="904"/>
      <c r="E335" s="3110"/>
      <c r="F335" s="829"/>
    </row>
    <row r="336" spans="1:6">
      <c r="A336" s="1514">
        <v>1996.03</v>
      </c>
      <c r="B336" s="1517">
        <v>47.799828055595363</v>
      </c>
      <c r="C336" s="2399">
        <f t="shared" si="5"/>
        <v>47.799828055595363</v>
      </c>
      <c r="D336" s="904"/>
      <c r="E336" s="3110"/>
      <c r="F336" s="829"/>
    </row>
    <row r="337" spans="1:6">
      <c r="A337" s="1514">
        <v>1996.04</v>
      </c>
      <c r="B337" s="1517">
        <v>47.800592252949329</v>
      </c>
      <c r="C337" s="2399">
        <f t="shared" si="5"/>
        <v>47.800592252949329</v>
      </c>
      <c r="D337" s="904"/>
      <c r="E337" s="3110"/>
      <c r="F337" s="829"/>
    </row>
    <row r="338" spans="1:6">
      <c r="A338" s="1514">
        <v>1996.05</v>
      </c>
      <c r="B338" s="1517">
        <v>47.757940488131055</v>
      </c>
      <c r="C338" s="2399">
        <f t="shared" si="5"/>
        <v>47.757940488131055</v>
      </c>
      <c r="D338" s="904"/>
      <c r="E338" s="3110"/>
      <c r="F338" s="829"/>
    </row>
    <row r="339" spans="1:6">
      <c r="A339" s="1514">
        <v>1996.06</v>
      </c>
      <c r="B339" s="1517">
        <v>47.759182308831249</v>
      </c>
      <c r="C339" s="2399">
        <f t="shared" si="5"/>
        <v>47.759182308831249</v>
      </c>
      <c r="D339" s="904"/>
      <c r="E339" s="3110"/>
      <c r="F339" s="829"/>
    </row>
    <row r="340" spans="1:6">
      <c r="A340" s="1514">
        <v>1996.07</v>
      </c>
      <c r="B340" s="1517">
        <v>48.018149687156708</v>
      </c>
      <c r="C340" s="2399">
        <f t="shared" si="5"/>
        <v>48.018149687156708</v>
      </c>
      <c r="D340" s="904"/>
      <c r="E340" s="3110"/>
      <c r="F340" s="829"/>
    </row>
    <row r="341" spans="1:6">
      <c r="A341" s="1514">
        <v>1996.08</v>
      </c>
      <c r="B341" s="1517">
        <v>47.980942828485453</v>
      </c>
      <c r="C341" s="2399">
        <f t="shared" si="5"/>
        <v>47.980942828485453</v>
      </c>
      <c r="D341" s="904"/>
      <c r="E341" s="3110"/>
      <c r="F341" s="829"/>
    </row>
    <row r="342" spans="1:6">
      <c r="A342" s="1514">
        <v>1996.09</v>
      </c>
      <c r="B342" s="1517">
        <v>48.068061326837658</v>
      </c>
      <c r="C342" s="2399">
        <f t="shared" si="5"/>
        <v>48.068061326837658</v>
      </c>
      <c r="D342" s="904"/>
      <c r="E342" s="3110"/>
      <c r="F342" s="829"/>
    </row>
    <row r="343" spans="1:6">
      <c r="A343" s="1514">
        <v>1996.1</v>
      </c>
      <c r="B343" s="1517">
        <v>48.310359650379716</v>
      </c>
      <c r="C343" s="2399">
        <f t="shared" si="5"/>
        <v>48.310359650379716</v>
      </c>
      <c r="D343" s="904"/>
      <c r="E343" s="3110"/>
      <c r="F343" s="829"/>
    </row>
    <row r="344" spans="1:6">
      <c r="A344" s="1514">
        <v>1996.11</v>
      </c>
      <c r="B344" s="1517">
        <v>48.235325022687107</v>
      </c>
      <c r="C344" s="2399">
        <f t="shared" si="5"/>
        <v>48.235325022687107</v>
      </c>
      <c r="D344" s="904"/>
      <c r="E344" s="3110"/>
      <c r="F344" s="829"/>
    </row>
    <row r="345" spans="1:6">
      <c r="A345" s="1514">
        <v>1996.12</v>
      </c>
      <c r="B345" s="1517">
        <v>48.097817261307732</v>
      </c>
      <c r="C345" s="2399">
        <f t="shared" si="5"/>
        <v>48.097817261307732</v>
      </c>
      <c r="D345" s="904"/>
      <c r="E345" s="3110"/>
      <c r="F345" s="829"/>
    </row>
    <row r="346" spans="1:6">
      <c r="A346" s="1514">
        <v>1997.01</v>
      </c>
      <c r="B346" s="1517">
        <v>48.322443521039311</v>
      </c>
      <c r="C346" s="2399">
        <f t="shared" si="5"/>
        <v>48.322443521039311</v>
      </c>
      <c r="D346" s="904"/>
      <c r="E346" s="3110"/>
      <c r="F346" s="829"/>
    </row>
    <row r="347" spans="1:6">
      <c r="A347" s="1514">
        <v>1997.02</v>
      </c>
      <c r="B347" s="1517">
        <v>48.508239002722455</v>
      </c>
      <c r="C347" s="2399">
        <f t="shared" si="5"/>
        <v>48.508239002722455</v>
      </c>
      <c r="D347" s="904"/>
      <c r="E347" s="3110"/>
      <c r="F347" s="829"/>
    </row>
    <row r="348" spans="1:6">
      <c r="A348" s="1514">
        <v>1997.03</v>
      </c>
      <c r="B348" s="1517">
        <v>48.269140755600134</v>
      </c>
      <c r="C348" s="2399">
        <f t="shared" si="5"/>
        <v>48.269140755600134</v>
      </c>
      <c r="D348" s="904"/>
      <c r="E348" s="3110"/>
      <c r="F348" s="829"/>
    </row>
    <row r="349" spans="1:6">
      <c r="A349" s="1514">
        <v>1997.04</v>
      </c>
      <c r="B349" s="1517">
        <v>48.109614557959588</v>
      </c>
      <c r="C349" s="2399">
        <f t="shared" si="5"/>
        <v>48.109614557959588</v>
      </c>
      <c r="D349" s="904"/>
      <c r="E349" s="3110"/>
      <c r="F349" s="829"/>
    </row>
    <row r="350" spans="1:6">
      <c r="A350" s="1514">
        <v>1997.05</v>
      </c>
      <c r="B350" s="1517">
        <v>48.069685246214831</v>
      </c>
      <c r="C350" s="2399">
        <f t="shared" si="5"/>
        <v>48.069685246214831</v>
      </c>
      <c r="D350" s="904"/>
      <c r="E350" s="3110"/>
      <c r="F350" s="829"/>
    </row>
    <row r="351" spans="1:6">
      <c r="A351" s="1514">
        <v>1997.06</v>
      </c>
      <c r="B351" s="1517">
        <v>48.179108754835937</v>
      </c>
      <c r="C351" s="2399">
        <f t="shared" si="5"/>
        <v>48.179108754835937</v>
      </c>
      <c r="D351" s="904"/>
      <c r="E351" s="3110"/>
      <c r="F351" s="829"/>
    </row>
    <row r="352" spans="1:6">
      <c r="A352" s="1514">
        <v>1997.07</v>
      </c>
      <c r="B352" s="1517">
        <v>48.28619190906052</v>
      </c>
      <c r="C352" s="2399">
        <f t="shared" si="5"/>
        <v>48.28619190906052</v>
      </c>
      <c r="D352" s="904"/>
      <c r="E352" s="3110"/>
      <c r="F352" s="829"/>
    </row>
    <row r="353" spans="1:6">
      <c r="A353" s="1514">
        <v>1997.08</v>
      </c>
      <c r="B353" s="1517">
        <v>48.36566843387304</v>
      </c>
      <c r="C353" s="2399">
        <f t="shared" si="5"/>
        <v>48.36566843387304</v>
      </c>
      <c r="D353" s="904"/>
      <c r="E353" s="3110"/>
      <c r="F353" s="829"/>
    </row>
    <row r="354" spans="1:6">
      <c r="A354" s="1514">
        <v>1997.09</v>
      </c>
      <c r="B354" s="1517">
        <v>48.342503701580931</v>
      </c>
      <c r="C354" s="2399">
        <f t="shared" si="5"/>
        <v>48.342503701580931</v>
      </c>
      <c r="D354" s="904"/>
      <c r="E354" s="3110"/>
      <c r="F354" s="829"/>
    </row>
    <row r="355" spans="1:6">
      <c r="A355" s="1514">
        <v>1997.1</v>
      </c>
      <c r="B355" s="1517">
        <v>48.266752638868986</v>
      </c>
      <c r="C355" s="2399">
        <f t="shared" si="5"/>
        <v>48.266752638868986</v>
      </c>
      <c r="D355" s="904"/>
      <c r="E355" s="3110"/>
      <c r="F355" s="829"/>
    </row>
    <row r="356" spans="1:6">
      <c r="A356" s="1514">
        <v>1997.11</v>
      </c>
      <c r="B356" s="1517">
        <v>48.173472799350428</v>
      </c>
      <c r="C356" s="2399">
        <f t="shared" si="5"/>
        <v>48.173472799350428</v>
      </c>
      <c r="D356" s="904"/>
      <c r="E356" s="3110"/>
      <c r="F356" s="829"/>
    </row>
    <row r="357" spans="1:6">
      <c r="A357" s="1514">
        <v>1997.12</v>
      </c>
      <c r="B357" s="1517">
        <v>48.255576252567231</v>
      </c>
      <c r="C357" s="2399">
        <f t="shared" si="5"/>
        <v>48.255576252567231</v>
      </c>
      <c r="D357" s="904"/>
      <c r="E357" s="3110"/>
      <c r="F357" s="829"/>
    </row>
    <row r="358" spans="1:6">
      <c r="A358" s="1514">
        <v>1998.01</v>
      </c>
      <c r="B358" s="1517">
        <v>48.55886707742274</v>
      </c>
      <c r="C358" s="2399">
        <f t="shared" si="5"/>
        <v>48.55886707742274</v>
      </c>
      <c r="D358" s="904"/>
      <c r="E358" s="3110"/>
      <c r="F358" s="829"/>
    </row>
    <row r="359" spans="1:6">
      <c r="A359" s="1514">
        <v>1998.02</v>
      </c>
      <c r="B359" s="1517">
        <v>48.728184553660981</v>
      </c>
      <c r="C359" s="2399">
        <f t="shared" si="5"/>
        <v>48.728184553660981</v>
      </c>
      <c r="D359" s="904"/>
      <c r="E359" s="3110"/>
      <c r="F359" s="829"/>
    </row>
    <row r="360" spans="1:6">
      <c r="A360" s="1514">
        <v>1998.03</v>
      </c>
      <c r="B360" s="1517">
        <v>48.667001003009027</v>
      </c>
      <c r="C360" s="2399">
        <f t="shared" si="5"/>
        <v>48.667001003009027</v>
      </c>
      <c r="D360" s="904"/>
      <c r="E360" s="3110"/>
      <c r="F360" s="829"/>
    </row>
    <row r="361" spans="1:6">
      <c r="A361" s="1514">
        <v>1998.04</v>
      </c>
      <c r="B361" s="1517">
        <v>48.672493671490663</v>
      </c>
      <c r="C361" s="2399">
        <f t="shared" si="5"/>
        <v>48.672493671490663</v>
      </c>
      <c r="D361" s="904"/>
      <c r="E361" s="3110"/>
      <c r="F361" s="829"/>
    </row>
    <row r="362" spans="1:6">
      <c r="A362" s="1514">
        <v>1998.05</v>
      </c>
      <c r="B362" s="1517">
        <v>48.637340593208187</v>
      </c>
      <c r="C362" s="2399">
        <f t="shared" si="5"/>
        <v>48.637340593208187</v>
      </c>
      <c r="D362" s="904"/>
      <c r="E362" s="3110"/>
      <c r="F362" s="829"/>
    </row>
    <row r="363" spans="1:6">
      <c r="A363" s="1514">
        <v>1998.06</v>
      </c>
      <c r="B363" s="1517">
        <v>48.730190571715141</v>
      </c>
      <c r="C363" s="2399">
        <f t="shared" si="5"/>
        <v>48.730190571715141</v>
      </c>
      <c r="D363" s="904"/>
      <c r="E363" s="3110"/>
      <c r="F363" s="829"/>
    </row>
    <row r="364" spans="1:6">
      <c r="A364" s="1514">
        <v>1998.07</v>
      </c>
      <c r="B364" s="1517">
        <v>48.882504656827628</v>
      </c>
      <c r="C364" s="2399">
        <f t="shared" si="5"/>
        <v>48.882504656827628</v>
      </c>
      <c r="D364" s="904"/>
      <c r="E364" s="3110"/>
      <c r="F364" s="829"/>
    </row>
    <row r="365" spans="1:6">
      <c r="A365" s="1514">
        <v>1998.08</v>
      </c>
      <c r="B365" s="1517">
        <v>48.892343697759941</v>
      </c>
      <c r="C365" s="2399">
        <f t="shared" si="5"/>
        <v>48.892343697759941</v>
      </c>
      <c r="D365" s="904"/>
      <c r="E365" s="3110"/>
      <c r="F365" s="829"/>
    </row>
    <row r="366" spans="1:6">
      <c r="A366" s="1514">
        <v>1998.09</v>
      </c>
      <c r="B366" s="1517">
        <v>48.877250800019098</v>
      </c>
      <c r="C366" s="2399">
        <f t="shared" si="5"/>
        <v>48.877250800019098</v>
      </c>
      <c r="D366" s="904"/>
      <c r="E366" s="3110"/>
      <c r="F366" s="829"/>
    </row>
    <row r="367" spans="1:6">
      <c r="A367" s="1514">
        <v>1998.1</v>
      </c>
      <c r="B367" s="1517">
        <v>48.698428619190906</v>
      </c>
      <c r="C367" s="2399">
        <f t="shared" si="5"/>
        <v>48.698428619190906</v>
      </c>
      <c r="D367" s="904"/>
      <c r="E367" s="3110"/>
      <c r="F367" s="829"/>
    </row>
    <row r="368" spans="1:6">
      <c r="A368" s="1514">
        <v>1998.11</v>
      </c>
      <c r="B368" s="1517">
        <v>48.582796007068822</v>
      </c>
      <c r="C368" s="2399">
        <f t="shared" si="5"/>
        <v>48.582796007068822</v>
      </c>
      <c r="D368" s="904"/>
      <c r="E368" s="3110"/>
      <c r="F368" s="829"/>
    </row>
    <row r="369" spans="1:6">
      <c r="A369" s="1514">
        <v>1998.12</v>
      </c>
      <c r="B369" s="1517">
        <v>48.576204804890857</v>
      </c>
      <c r="C369" s="2399">
        <f t="shared" si="5"/>
        <v>48.576204804890857</v>
      </c>
      <c r="D369" s="904"/>
      <c r="E369" s="3110"/>
      <c r="F369" s="829"/>
    </row>
    <row r="370" spans="1:6">
      <c r="A370" s="1514">
        <v>1999.01</v>
      </c>
      <c r="B370" s="1517">
        <v>48.805177437073127</v>
      </c>
      <c r="C370" s="2399">
        <f t="shared" si="5"/>
        <v>48.805177437073127</v>
      </c>
      <c r="D370" s="904"/>
      <c r="E370" s="3110"/>
      <c r="F370" s="829"/>
    </row>
    <row r="371" spans="1:6">
      <c r="A371" s="1514">
        <v>1999.02</v>
      </c>
      <c r="B371" s="1517">
        <v>48.726799445956921</v>
      </c>
      <c r="C371" s="2399">
        <f t="shared" si="5"/>
        <v>48.726799445956921</v>
      </c>
      <c r="D371" s="904"/>
      <c r="E371" s="3110"/>
      <c r="F371" s="829"/>
    </row>
    <row r="372" spans="1:6">
      <c r="A372" s="1514">
        <v>1999.03</v>
      </c>
      <c r="B372" s="1517">
        <v>48.360939962745377</v>
      </c>
      <c r="C372" s="2399">
        <f t="shared" si="5"/>
        <v>48.360939962745377</v>
      </c>
      <c r="D372" s="904"/>
      <c r="E372" s="3110"/>
      <c r="F372" s="829"/>
    </row>
    <row r="373" spans="1:6">
      <c r="A373" s="1514">
        <v>1999.04</v>
      </c>
      <c r="B373" s="1517">
        <v>48.313607489134071</v>
      </c>
      <c r="C373" s="2399">
        <f t="shared" si="5"/>
        <v>48.313607489134071</v>
      </c>
      <c r="D373" s="904"/>
      <c r="E373" s="3110"/>
      <c r="F373" s="829"/>
    </row>
    <row r="374" spans="1:6">
      <c r="A374" s="1514">
        <v>1999.05</v>
      </c>
      <c r="B374" s="1517">
        <v>48.07570330037732</v>
      </c>
      <c r="C374" s="2399">
        <f t="shared" si="5"/>
        <v>48.07570330037732</v>
      </c>
      <c r="D374" s="904"/>
      <c r="E374" s="3110"/>
      <c r="F374" s="829"/>
    </row>
    <row r="375" spans="1:6">
      <c r="A375" s="1514">
        <v>1999.06</v>
      </c>
      <c r="B375" s="1517">
        <v>48.072789797965328</v>
      </c>
      <c r="C375" s="2399">
        <f t="shared" si="5"/>
        <v>48.072789797965328</v>
      </c>
      <c r="D375" s="904"/>
      <c r="E375" s="3110"/>
      <c r="F375" s="829"/>
    </row>
    <row r="376" spans="1:6">
      <c r="A376" s="1514">
        <v>1999.07</v>
      </c>
      <c r="B376" s="1517">
        <v>48.162153126044807</v>
      </c>
      <c r="C376" s="2399">
        <f t="shared" si="5"/>
        <v>48.162153126044807</v>
      </c>
      <c r="D376" s="904"/>
      <c r="E376" s="3110"/>
      <c r="F376" s="829"/>
    </row>
    <row r="377" spans="1:6">
      <c r="A377" s="1514">
        <v>1999.08</v>
      </c>
      <c r="B377" s="1517">
        <v>47.980847303816212</v>
      </c>
      <c r="C377" s="2399">
        <f t="shared" si="5"/>
        <v>47.980847303816212</v>
      </c>
      <c r="D377" s="904"/>
      <c r="E377" s="3110"/>
      <c r="F377" s="829"/>
    </row>
    <row r="378" spans="1:6">
      <c r="A378" s="1514">
        <v>1999.09</v>
      </c>
      <c r="B378" s="1517">
        <v>47.885274872235755</v>
      </c>
      <c r="C378" s="2399">
        <f t="shared" si="5"/>
        <v>47.885274872235755</v>
      </c>
      <c r="D378" s="904"/>
      <c r="E378" s="3110"/>
      <c r="F378" s="829"/>
    </row>
    <row r="379" spans="1:6">
      <c r="A379" s="1514">
        <v>1999.1</v>
      </c>
      <c r="B379" s="1517">
        <v>47.877776185699958</v>
      </c>
      <c r="C379" s="2399">
        <f t="shared" si="5"/>
        <v>47.877776185699958</v>
      </c>
      <c r="D379" s="904"/>
      <c r="E379" s="3110"/>
      <c r="F379" s="829"/>
    </row>
    <row r="380" spans="1:6">
      <c r="A380" s="1514">
        <v>1999.11</v>
      </c>
      <c r="B380" s="1517">
        <v>47.726417347279934</v>
      </c>
      <c r="C380" s="2399">
        <f t="shared" si="5"/>
        <v>47.726417347279934</v>
      </c>
      <c r="D380" s="904"/>
      <c r="E380" s="3110"/>
      <c r="F380" s="829"/>
    </row>
    <row r="381" spans="1:6">
      <c r="A381" s="1514">
        <v>1999.12</v>
      </c>
      <c r="B381" s="1517">
        <v>47.696756937479108</v>
      </c>
      <c r="C381" s="2399">
        <f t="shared" si="5"/>
        <v>47.696756937479108</v>
      </c>
      <c r="D381" s="904"/>
      <c r="E381" s="3110"/>
      <c r="F381" s="829"/>
    </row>
    <row r="382" spans="1:6">
      <c r="A382" s="1514">
        <v>2000.01</v>
      </c>
      <c r="B382" s="1517">
        <v>48.099918804031141</v>
      </c>
      <c r="C382" s="2399">
        <f t="shared" si="5"/>
        <v>48.099918804031141</v>
      </c>
      <c r="D382" s="904"/>
      <c r="E382" s="3110"/>
      <c r="F382" s="829"/>
    </row>
    <row r="383" spans="1:6">
      <c r="A383" s="1514">
        <v>2000.02</v>
      </c>
      <c r="B383" s="1517">
        <v>48.101877059750677</v>
      </c>
      <c r="C383" s="2399">
        <f t="shared" si="5"/>
        <v>48.101877059750677</v>
      </c>
      <c r="D383" s="904"/>
      <c r="E383" s="3110"/>
      <c r="F383" s="829"/>
    </row>
    <row r="384" spans="1:6">
      <c r="A384" s="1514">
        <v>2000.03</v>
      </c>
      <c r="B384" s="1517">
        <v>47.847733677222138</v>
      </c>
      <c r="C384" s="2399">
        <f t="shared" si="5"/>
        <v>47.847733677222138</v>
      </c>
      <c r="D384" s="904"/>
      <c r="E384" s="3110"/>
      <c r="F384" s="829"/>
    </row>
    <row r="385" spans="1:6">
      <c r="A385" s="1514">
        <v>2000.04</v>
      </c>
      <c r="B385" s="1517">
        <v>47.793905526102115</v>
      </c>
      <c r="C385" s="2399">
        <f t="shared" si="5"/>
        <v>47.793905526102115</v>
      </c>
      <c r="D385" s="904"/>
      <c r="E385" s="3110"/>
      <c r="F385" s="829"/>
    </row>
    <row r="386" spans="1:6">
      <c r="A386" s="1514">
        <v>2000.05</v>
      </c>
      <c r="B386" s="1517">
        <v>47.608157806753596</v>
      </c>
      <c r="C386" s="2399">
        <f t="shared" si="5"/>
        <v>47.608157806753596</v>
      </c>
      <c r="D386" s="904"/>
      <c r="E386" s="3110"/>
      <c r="F386" s="829"/>
    </row>
    <row r="387" spans="1:6">
      <c r="A387" s="1514">
        <v>2000.06</v>
      </c>
      <c r="B387" s="1517">
        <v>47.52013182404356</v>
      </c>
      <c r="C387" s="2399">
        <f t="shared" si="5"/>
        <v>47.52013182404356</v>
      </c>
      <c r="D387" s="904"/>
      <c r="E387" s="3110"/>
      <c r="F387" s="829"/>
    </row>
    <row r="388" spans="1:6">
      <c r="A388" s="1514">
        <v>2000.07</v>
      </c>
      <c r="B388" s="1517">
        <v>47.726512871949176</v>
      </c>
      <c r="C388" s="2399">
        <f t="shared" si="5"/>
        <v>47.726512871949176</v>
      </c>
      <c r="D388" s="904"/>
      <c r="E388" s="3110"/>
      <c r="F388" s="829"/>
    </row>
    <row r="389" spans="1:6">
      <c r="A389" s="1514">
        <v>2000.08</v>
      </c>
      <c r="B389" s="1517">
        <v>47.623823852509908</v>
      </c>
      <c r="C389" s="2399">
        <f t="shared" si="5"/>
        <v>47.623823852509908</v>
      </c>
      <c r="D389" s="904"/>
      <c r="E389" s="3110"/>
      <c r="F389" s="829"/>
    </row>
    <row r="390" spans="1:6">
      <c r="A390" s="1514">
        <v>2000.09</v>
      </c>
      <c r="B390" s="1517">
        <v>47.550699718202225</v>
      </c>
      <c r="C390" s="2399">
        <f t="shared" si="5"/>
        <v>47.550699718202225</v>
      </c>
      <c r="D390" s="904"/>
      <c r="E390" s="3110"/>
      <c r="F390" s="829"/>
    </row>
    <row r="391" spans="1:6">
      <c r="A391" s="1514">
        <v>2000.1</v>
      </c>
      <c r="B391" s="1517">
        <v>47.638152552896784</v>
      </c>
      <c r="C391" s="2399">
        <f t="shared" si="5"/>
        <v>47.638152552896784</v>
      </c>
      <c r="D391" s="904"/>
      <c r="E391" s="3110"/>
      <c r="F391" s="829"/>
    </row>
    <row r="392" spans="1:6">
      <c r="A392" s="1514">
        <v>2000.11</v>
      </c>
      <c r="B392" s="1517">
        <v>47.404117113244496</v>
      </c>
      <c r="C392" s="2399">
        <f t="shared" si="5"/>
        <v>47.404117113244496</v>
      </c>
      <c r="D392" s="904"/>
      <c r="E392" s="3110"/>
      <c r="F392" s="829"/>
    </row>
    <row r="393" spans="1:6">
      <c r="A393" s="1514">
        <v>2000.12</v>
      </c>
      <c r="B393" s="1517">
        <v>47.346802311696997</v>
      </c>
      <c r="C393" s="2399">
        <f t="shared" si="5"/>
        <v>47.346802311696997</v>
      </c>
      <c r="D393" s="904"/>
      <c r="E393" s="3110"/>
      <c r="F393" s="829"/>
    </row>
    <row r="394" spans="1:6">
      <c r="A394" s="1514">
        <v>2001.01</v>
      </c>
      <c r="B394" s="1517">
        <v>47.385012179395325</v>
      </c>
      <c r="C394" s="2399">
        <f t="shared" si="5"/>
        <v>47.385012179395325</v>
      </c>
      <c r="D394" s="904"/>
      <c r="E394" s="3110"/>
      <c r="F394" s="829"/>
    </row>
    <row r="395" spans="1:6">
      <c r="A395" s="1514">
        <v>2001.02</v>
      </c>
      <c r="B395" s="1517">
        <v>47.27993504322491</v>
      </c>
      <c r="C395" s="2399">
        <f t="shared" si="5"/>
        <v>47.27993504322491</v>
      </c>
      <c r="D395" s="904"/>
      <c r="E395" s="3110"/>
      <c r="F395" s="829"/>
    </row>
    <row r="396" spans="1:6">
      <c r="A396" s="1514">
        <v>2001.03</v>
      </c>
      <c r="B396" s="1517">
        <v>47.370683479008456</v>
      </c>
      <c r="C396" s="2399">
        <f t="shared" ref="C396:C459" si="6">B396</f>
        <v>47.370683479008456</v>
      </c>
      <c r="D396" s="904"/>
      <c r="E396" s="3110"/>
      <c r="F396" s="829"/>
    </row>
    <row r="397" spans="1:6">
      <c r="A397" s="1514">
        <v>2001.04</v>
      </c>
      <c r="B397" s="1517">
        <v>47.685914887519701</v>
      </c>
      <c r="C397" s="2399">
        <f t="shared" si="6"/>
        <v>47.685914887519701</v>
      </c>
      <c r="D397" s="904"/>
      <c r="E397" s="3110"/>
      <c r="F397" s="829"/>
    </row>
    <row r="398" spans="1:6">
      <c r="A398" s="1514">
        <v>2001.05</v>
      </c>
      <c r="B398" s="1517">
        <v>47.714572288293454</v>
      </c>
      <c r="C398" s="2399">
        <f t="shared" si="6"/>
        <v>47.714572288293454</v>
      </c>
      <c r="D398" s="904"/>
      <c r="E398" s="3110"/>
      <c r="F398" s="829"/>
    </row>
    <row r="399" spans="1:6">
      <c r="A399" s="1514">
        <v>2001.06</v>
      </c>
      <c r="B399" s="1517">
        <v>47.370683479008456</v>
      </c>
      <c r="C399" s="2399">
        <f t="shared" si="6"/>
        <v>47.370683479008456</v>
      </c>
      <c r="D399" s="904"/>
      <c r="E399" s="3110"/>
      <c r="F399" s="829"/>
    </row>
    <row r="400" spans="1:6">
      <c r="A400" s="1514">
        <v>2001.07</v>
      </c>
      <c r="B400" s="1517">
        <v>47.217844008215124</v>
      </c>
      <c r="C400" s="2399">
        <f t="shared" si="6"/>
        <v>47.217844008215124</v>
      </c>
      <c r="D400" s="904"/>
      <c r="E400" s="3110"/>
      <c r="F400" s="829"/>
    </row>
    <row r="401" spans="1:6">
      <c r="A401" s="1514">
        <v>2001.08</v>
      </c>
      <c r="B401" s="1517">
        <v>47.050675837034916</v>
      </c>
      <c r="C401" s="2399">
        <f t="shared" si="6"/>
        <v>47.050675837034916</v>
      </c>
      <c r="D401" s="904"/>
      <c r="E401" s="3110"/>
      <c r="F401" s="829"/>
    </row>
    <row r="402" spans="1:6">
      <c r="A402" s="1514">
        <v>2001.09</v>
      </c>
      <c r="B402" s="1517">
        <v>47.012465969336581</v>
      </c>
      <c r="C402" s="2399">
        <f t="shared" si="6"/>
        <v>47.012465969336581</v>
      </c>
      <c r="D402" s="904"/>
      <c r="E402" s="3110"/>
      <c r="F402" s="829"/>
    </row>
    <row r="403" spans="1:6">
      <c r="A403" s="1514">
        <v>2001.1</v>
      </c>
      <c r="B403" s="1517">
        <v>46.807087930458039</v>
      </c>
      <c r="C403" s="2399">
        <f t="shared" si="6"/>
        <v>46.807087930458039</v>
      </c>
      <c r="D403" s="904"/>
      <c r="E403" s="3110"/>
      <c r="F403" s="829"/>
    </row>
    <row r="404" spans="1:6">
      <c r="A404" s="1514">
        <v>2001.11</v>
      </c>
      <c r="B404" s="1517">
        <v>46.654248459664707</v>
      </c>
      <c r="C404" s="2399">
        <f t="shared" si="6"/>
        <v>46.654248459664707</v>
      </c>
      <c r="D404" s="904"/>
      <c r="E404" s="3110"/>
      <c r="F404" s="829"/>
    </row>
    <row r="405" spans="1:6">
      <c r="A405" s="1514">
        <v>2001.12</v>
      </c>
      <c r="B405" s="1517">
        <v>46.616038591966372</v>
      </c>
      <c r="C405" s="2399">
        <f t="shared" si="6"/>
        <v>46.616038591966372</v>
      </c>
      <c r="D405" s="904"/>
      <c r="E405" s="3110"/>
      <c r="F405" s="829"/>
    </row>
    <row r="406" spans="1:6">
      <c r="A406" s="1514">
        <v>2002.01</v>
      </c>
      <c r="B406" s="1517">
        <v>47.685914887519701</v>
      </c>
      <c r="C406" s="2399">
        <f t="shared" si="6"/>
        <v>47.685914887519701</v>
      </c>
      <c r="D406" s="904"/>
      <c r="E406" s="3110"/>
      <c r="F406" s="829"/>
    </row>
    <row r="407" spans="1:6">
      <c r="A407" s="1514">
        <v>2002.02</v>
      </c>
      <c r="B407" s="1517">
        <v>49.180875961216977</v>
      </c>
      <c r="C407" s="2399">
        <f t="shared" si="6"/>
        <v>49.180875961216977</v>
      </c>
      <c r="D407" s="904"/>
      <c r="E407" s="3110"/>
      <c r="F407" s="829"/>
    </row>
    <row r="408" spans="1:6">
      <c r="A408" s="1514">
        <v>2002.03</v>
      </c>
      <c r="B408" s="1517">
        <v>51.129579213831967</v>
      </c>
      <c r="C408" s="2399">
        <f t="shared" si="6"/>
        <v>51.129579213831967</v>
      </c>
      <c r="D408" s="904"/>
      <c r="E408" s="3110"/>
      <c r="F408" s="829"/>
    </row>
    <row r="409" spans="1:6">
      <c r="A409" s="1514">
        <v>2002.04</v>
      </c>
      <c r="B409" s="1517">
        <v>56.440750823900274</v>
      </c>
      <c r="C409" s="2399">
        <f t="shared" si="6"/>
        <v>56.440750823900274</v>
      </c>
      <c r="D409" s="904"/>
      <c r="E409" s="3110"/>
      <c r="F409" s="829"/>
    </row>
    <row r="410" spans="1:6">
      <c r="A410" s="1514">
        <v>2002.05</v>
      </c>
      <c r="B410" s="1517">
        <v>58.704685485026509</v>
      </c>
      <c r="C410" s="2399">
        <f t="shared" si="6"/>
        <v>58.704685485026509</v>
      </c>
      <c r="D410" s="904"/>
      <c r="E410" s="3110"/>
      <c r="F410" s="829"/>
    </row>
    <row r="411" spans="1:6">
      <c r="A411" s="1514">
        <v>2002.06</v>
      </c>
      <c r="B411" s="1517">
        <v>60.830109375746289</v>
      </c>
      <c r="C411" s="2399">
        <f t="shared" si="6"/>
        <v>60.830109375746289</v>
      </c>
      <c r="D411" s="904"/>
      <c r="E411" s="3110"/>
      <c r="F411" s="829"/>
    </row>
    <row r="412" spans="1:6">
      <c r="A412" s="1514">
        <v>2002.07</v>
      </c>
      <c r="B412" s="1517">
        <v>62.769260161436677</v>
      </c>
      <c r="C412" s="2399">
        <f t="shared" si="6"/>
        <v>62.769260161436677</v>
      </c>
      <c r="D412" s="904"/>
      <c r="E412" s="3110"/>
      <c r="F412" s="829"/>
    </row>
    <row r="413" spans="1:6">
      <c r="A413" s="1514">
        <v>2002.08</v>
      </c>
      <c r="B413" s="1517">
        <v>64.240340067822515</v>
      </c>
      <c r="C413" s="2399">
        <f t="shared" si="6"/>
        <v>64.240340067822515</v>
      </c>
      <c r="D413" s="904"/>
      <c r="E413" s="3110"/>
      <c r="F413" s="829"/>
    </row>
    <row r="414" spans="1:6">
      <c r="A414" s="1514">
        <v>2002.09</v>
      </c>
      <c r="B414" s="1517">
        <v>65.104838324497308</v>
      </c>
      <c r="C414" s="2399">
        <f t="shared" si="6"/>
        <v>65.104838324497308</v>
      </c>
      <c r="D414" s="904"/>
      <c r="E414" s="3110"/>
      <c r="F414" s="829"/>
    </row>
    <row r="415" spans="1:6">
      <c r="A415" s="1514">
        <v>2002.1</v>
      </c>
      <c r="B415" s="1517">
        <v>65.248125328366058</v>
      </c>
      <c r="C415" s="2399">
        <f t="shared" si="6"/>
        <v>65.248125328366058</v>
      </c>
      <c r="D415" s="904"/>
      <c r="E415" s="3110"/>
      <c r="F415" s="829"/>
    </row>
    <row r="416" spans="1:6">
      <c r="A416" s="1514">
        <v>2002.11</v>
      </c>
      <c r="B416" s="1517">
        <v>65.58246167072646</v>
      </c>
      <c r="C416" s="2399">
        <f t="shared" si="6"/>
        <v>65.58246167072646</v>
      </c>
      <c r="D416" s="904"/>
      <c r="E416" s="3110"/>
      <c r="F416" s="829"/>
    </row>
    <row r="417" spans="1:6">
      <c r="A417" s="1514">
        <v>2002.12</v>
      </c>
      <c r="B417" s="1517">
        <v>65.706643740746046</v>
      </c>
      <c r="C417" s="2399">
        <f t="shared" si="6"/>
        <v>65.706643740746046</v>
      </c>
      <c r="D417" s="904"/>
      <c r="E417" s="3110"/>
      <c r="F417" s="829"/>
    </row>
    <row r="418" spans="1:6">
      <c r="A418" s="1514">
        <v>2003.01</v>
      </c>
      <c r="B418" s="1517">
        <v>66.571141997420838</v>
      </c>
      <c r="C418" s="2399">
        <f t="shared" si="6"/>
        <v>66.571141997420838</v>
      </c>
      <c r="D418" s="904"/>
      <c r="E418" s="3110"/>
      <c r="F418" s="829"/>
    </row>
    <row r="419" spans="1:6">
      <c r="A419" s="1514">
        <v>2003.02</v>
      </c>
      <c r="B419" s="1517">
        <v>66.948464440941862</v>
      </c>
      <c r="C419" s="2399">
        <f t="shared" si="6"/>
        <v>66.948464440941862</v>
      </c>
      <c r="D419" s="904"/>
      <c r="E419" s="3110"/>
      <c r="F419" s="829"/>
    </row>
    <row r="420" spans="1:6">
      <c r="A420" s="1514">
        <v>2003.03</v>
      </c>
      <c r="B420" s="1517">
        <v>67.340115584849798</v>
      </c>
      <c r="C420" s="2399">
        <f t="shared" si="6"/>
        <v>67.340115584849798</v>
      </c>
      <c r="D420" s="904"/>
      <c r="E420" s="3110"/>
      <c r="F420" s="829"/>
    </row>
    <row r="421" spans="1:6">
      <c r="A421" s="1514">
        <v>2003.04</v>
      </c>
      <c r="B421" s="1517">
        <v>67.378325452548111</v>
      </c>
      <c r="C421" s="2399">
        <f t="shared" si="6"/>
        <v>67.378325452548111</v>
      </c>
      <c r="D421" s="904"/>
      <c r="E421" s="3110"/>
      <c r="F421" s="829"/>
    </row>
    <row r="422" spans="1:6">
      <c r="A422" s="1514">
        <v>2003.05</v>
      </c>
      <c r="B422" s="1517">
        <v>67.115632612122084</v>
      </c>
      <c r="C422" s="2399">
        <f t="shared" si="6"/>
        <v>67.115632612122084</v>
      </c>
      <c r="D422" s="904"/>
      <c r="E422" s="3110"/>
      <c r="F422" s="829"/>
    </row>
    <row r="423" spans="1:6">
      <c r="A423" s="1514">
        <v>2003.06</v>
      </c>
      <c r="B423" s="1517">
        <v>67.058317810574579</v>
      </c>
      <c r="C423" s="2399">
        <f t="shared" si="6"/>
        <v>67.058317810574579</v>
      </c>
      <c r="D423" s="904"/>
      <c r="E423" s="3110"/>
      <c r="F423" s="829"/>
    </row>
    <row r="424" spans="1:6">
      <c r="A424" s="1514">
        <v>2003.07</v>
      </c>
      <c r="B424" s="1517">
        <v>67.359220518698947</v>
      </c>
      <c r="C424" s="2399">
        <f t="shared" si="6"/>
        <v>67.359220518698947</v>
      </c>
      <c r="D424" s="904"/>
      <c r="E424" s="3110"/>
      <c r="F424" s="829"/>
    </row>
    <row r="425" spans="1:6">
      <c r="A425" s="1514">
        <v>2003.08</v>
      </c>
      <c r="B425" s="1517">
        <v>67.373549219085831</v>
      </c>
      <c r="C425" s="2399">
        <f t="shared" si="6"/>
        <v>67.373549219085831</v>
      </c>
      <c r="D425" s="904"/>
      <c r="E425" s="3110"/>
      <c r="F425" s="829"/>
    </row>
    <row r="426" spans="1:6">
      <c r="A426" s="1514">
        <v>2003.09</v>
      </c>
      <c r="B426" s="1517">
        <v>67.402206619859584</v>
      </c>
      <c r="C426" s="2399">
        <f t="shared" si="6"/>
        <v>67.402206619859584</v>
      </c>
      <c r="D426" s="904"/>
      <c r="E426" s="3110"/>
      <c r="F426" s="829"/>
    </row>
    <row r="427" spans="1:6">
      <c r="A427" s="1514">
        <v>2003.1</v>
      </c>
      <c r="B427" s="1517">
        <v>67.798633997229771</v>
      </c>
      <c r="C427" s="2399">
        <f t="shared" si="6"/>
        <v>67.798633997229771</v>
      </c>
      <c r="D427" s="904"/>
      <c r="E427" s="3110"/>
      <c r="F427" s="829"/>
    </row>
    <row r="428" spans="1:6">
      <c r="A428" s="1514">
        <v>2003.11</v>
      </c>
      <c r="B428" s="1517">
        <v>67.965802168409994</v>
      </c>
      <c r="C428" s="2399">
        <f t="shared" si="6"/>
        <v>67.965802168409994</v>
      </c>
      <c r="D428" s="904"/>
      <c r="E428" s="3110"/>
      <c r="F428" s="829"/>
    </row>
    <row r="429" spans="1:6">
      <c r="A429" s="1514">
        <v>2003.12</v>
      </c>
      <c r="B429" s="1517">
        <v>68.109089172278743</v>
      </c>
      <c r="C429" s="2399">
        <f t="shared" si="6"/>
        <v>68.109089172278743</v>
      </c>
      <c r="D429" s="904"/>
      <c r="E429" s="3110"/>
      <c r="F429" s="829"/>
    </row>
    <row r="430" spans="1:6">
      <c r="A430" s="1514">
        <v>2004.01</v>
      </c>
      <c r="B430" s="1517">
        <v>68.395663180016228</v>
      </c>
      <c r="C430" s="2399">
        <f t="shared" si="6"/>
        <v>68.395663180016228</v>
      </c>
      <c r="D430" s="904"/>
      <c r="E430" s="3110"/>
      <c r="F430" s="829"/>
    </row>
    <row r="431" spans="1:6">
      <c r="A431" s="1514">
        <v>2004.02</v>
      </c>
      <c r="B431" s="1517">
        <v>68.462530448488323</v>
      </c>
      <c r="C431" s="2399">
        <f t="shared" si="6"/>
        <v>68.462530448488323</v>
      </c>
      <c r="D431" s="904"/>
      <c r="E431" s="3110"/>
      <c r="F431" s="829"/>
    </row>
    <row r="432" spans="1:6">
      <c r="A432" s="1514">
        <v>2004.03</v>
      </c>
      <c r="B432" s="1517">
        <v>68.873286526245394</v>
      </c>
      <c r="C432" s="2399">
        <f t="shared" si="6"/>
        <v>68.873286526245394</v>
      </c>
      <c r="D432" s="904"/>
      <c r="E432" s="3110"/>
      <c r="F432" s="829"/>
    </row>
    <row r="433" spans="1:6">
      <c r="A433" s="1514">
        <v>2004.04</v>
      </c>
      <c r="B433" s="1517">
        <v>69.460763242107276</v>
      </c>
      <c r="C433" s="2399">
        <f t="shared" si="6"/>
        <v>69.460763242107276</v>
      </c>
      <c r="D433" s="904"/>
      <c r="E433" s="3110"/>
      <c r="F433" s="829"/>
    </row>
    <row r="434" spans="1:6">
      <c r="A434" s="1514">
        <v>2004.05</v>
      </c>
      <c r="B434" s="1517">
        <v>69.876295553326656</v>
      </c>
      <c r="C434" s="2399">
        <f t="shared" si="6"/>
        <v>69.876295553326656</v>
      </c>
      <c r="D434" s="904"/>
      <c r="E434" s="3110"/>
      <c r="F434" s="829"/>
    </row>
    <row r="435" spans="1:6">
      <c r="A435" s="1514">
        <v>2004.06</v>
      </c>
      <c r="B435" s="1517">
        <v>70.363471366480397</v>
      </c>
      <c r="C435" s="2399">
        <f t="shared" si="6"/>
        <v>70.363471366480397</v>
      </c>
      <c r="D435" s="904"/>
      <c r="E435" s="3110"/>
      <c r="F435" s="829"/>
    </row>
    <row r="436" spans="1:6">
      <c r="A436" s="1514">
        <v>2004.07</v>
      </c>
      <c r="B436" s="1517">
        <v>70.688255241916224</v>
      </c>
      <c r="C436" s="2399">
        <f t="shared" si="6"/>
        <v>70.688255241916224</v>
      </c>
      <c r="D436" s="904"/>
      <c r="E436" s="3110"/>
      <c r="F436" s="829"/>
    </row>
    <row r="437" spans="1:6">
      <c r="A437" s="1514">
        <v>2004.08</v>
      </c>
      <c r="B437" s="1517">
        <v>70.931843148493087</v>
      </c>
      <c r="C437" s="2399">
        <f t="shared" si="6"/>
        <v>70.931843148493087</v>
      </c>
      <c r="D437" s="904"/>
      <c r="E437" s="3110"/>
      <c r="F437" s="829"/>
    </row>
    <row r="438" spans="1:6">
      <c r="A438" s="1514">
        <v>2004.09</v>
      </c>
      <c r="B438" s="1517">
        <v>71.3808090939485</v>
      </c>
      <c r="C438" s="2399">
        <f t="shared" si="6"/>
        <v>71.3808090939485</v>
      </c>
      <c r="D438" s="904"/>
      <c r="E438" s="3110"/>
      <c r="F438" s="829"/>
    </row>
    <row r="439" spans="1:6">
      <c r="A439" s="1514">
        <v>2004.1</v>
      </c>
      <c r="B439" s="1517">
        <v>71.662606868223705</v>
      </c>
      <c r="C439" s="2399">
        <f t="shared" si="6"/>
        <v>71.662606868223705</v>
      </c>
      <c r="D439" s="904"/>
      <c r="E439" s="3110"/>
      <c r="F439" s="829"/>
    </row>
    <row r="440" spans="1:6">
      <c r="A440" s="1514">
        <v>2004.11</v>
      </c>
      <c r="B440" s="1517">
        <v>71.662606868223705</v>
      </c>
      <c r="C440" s="2399">
        <f t="shared" si="6"/>
        <v>71.662606868223705</v>
      </c>
      <c r="D440" s="904"/>
      <c r="E440" s="3110"/>
      <c r="F440" s="829"/>
    </row>
    <row r="441" spans="1:6">
      <c r="A441" s="1514">
        <v>2004.12</v>
      </c>
      <c r="B441" s="1517">
        <v>72.264412284472471</v>
      </c>
      <c r="C441" s="2399">
        <f t="shared" si="6"/>
        <v>72.264412284472471</v>
      </c>
      <c r="D441" s="904"/>
      <c r="E441" s="3110"/>
      <c r="F441" s="829"/>
    </row>
    <row r="442" spans="1:6">
      <c r="A442" s="1514">
        <v>2005.01</v>
      </c>
      <c r="B442" s="1517">
        <v>73.334288580025785</v>
      </c>
      <c r="C442" s="2399">
        <f t="shared" si="6"/>
        <v>73.334288580025785</v>
      </c>
      <c r="D442" s="904"/>
      <c r="E442" s="3110"/>
      <c r="F442" s="829"/>
    </row>
    <row r="443" spans="1:6">
      <c r="A443" s="1514">
        <v>2005.02</v>
      </c>
      <c r="B443" s="1517">
        <v>74.031618665520369</v>
      </c>
      <c r="C443" s="2399">
        <f t="shared" si="6"/>
        <v>74.031618665520369</v>
      </c>
      <c r="D443" s="904"/>
      <c r="E443" s="3110"/>
      <c r="F443" s="829"/>
    </row>
    <row r="444" spans="1:6">
      <c r="A444" s="1514">
        <v>2005.03</v>
      </c>
      <c r="B444" s="1517">
        <v>75.173138463008058</v>
      </c>
      <c r="C444" s="2399">
        <f t="shared" si="6"/>
        <v>75.173138463008058</v>
      </c>
      <c r="D444" s="904"/>
      <c r="E444" s="3110"/>
      <c r="F444" s="829"/>
    </row>
    <row r="445" spans="1:6">
      <c r="A445" s="1514">
        <v>2005.04</v>
      </c>
      <c r="B445" s="1517">
        <v>75.540908439604522</v>
      </c>
      <c r="C445" s="2399">
        <f t="shared" si="6"/>
        <v>75.540908439604522</v>
      </c>
      <c r="D445" s="904"/>
      <c r="E445" s="3110"/>
      <c r="F445" s="829"/>
    </row>
    <row r="446" spans="1:6">
      <c r="A446" s="1514">
        <v>2005.05</v>
      </c>
      <c r="B446" s="1517">
        <v>75.994650618522243</v>
      </c>
      <c r="C446" s="2399">
        <f t="shared" si="6"/>
        <v>75.994650618522243</v>
      </c>
      <c r="D446" s="904"/>
      <c r="E446" s="3110"/>
      <c r="F446" s="829"/>
    </row>
    <row r="447" spans="1:6">
      <c r="A447" s="1514">
        <v>2005.06</v>
      </c>
      <c r="B447" s="1517">
        <v>76.6919807040168</v>
      </c>
      <c r="C447" s="2399">
        <f t="shared" si="6"/>
        <v>76.6919807040168</v>
      </c>
      <c r="D447" s="904"/>
      <c r="E447" s="3110"/>
      <c r="F447" s="829"/>
    </row>
    <row r="448" spans="1:6">
      <c r="A448" s="1514">
        <v>2005.07</v>
      </c>
      <c r="B448" s="1517">
        <v>77.460954291445773</v>
      </c>
      <c r="C448" s="2399">
        <f t="shared" si="6"/>
        <v>77.460954291445773</v>
      </c>
      <c r="D448" s="904"/>
      <c r="E448" s="3110"/>
      <c r="F448" s="829"/>
    </row>
    <row r="449" spans="1:6">
      <c r="A449" s="1514">
        <v>2005.08</v>
      </c>
      <c r="B449" s="1517">
        <v>77.80006686726847</v>
      </c>
      <c r="C449" s="2399">
        <f t="shared" si="6"/>
        <v>77.80006686726847</v>
      </c>
      <c r="D449" s="904"/>
      <c r="E449" s="3110"/>
      <c r="F449" s="829"/>
    </row>
    <row r="450" spans="1:6">
      <c r="A450" s="1514">
        <v>2005.09</v>
      </c>
      <c r="B450" s="1517">
        <v>78.707551225103884</v>
      </c>
      <c r="C450" s="2399">
        <f t="shared" si="6"/>
        <v>78.707551225103884</v>
      </c>
      <c r="D450" s="904"/>
      <c r="E450" s="3110"/>
      <c r="F450" s="829"/>
    </row>
    <row r="451" spans="1:6">
      <c r="A451" s="1514">
        <v>2005.1</v>
      </c>
      <c r="B451" s="1517">
        <v>79.318909108277197</v>
      </c>
      <c r="C451" s="2399">
        <f t="shared" si="6"/>
        <v>79.318909108277197</v>
      </c>
      <c r="D451" s="904"/>
      <c r="E451" s="3110"/>
      <c r="F451" s="829"/>
    </row>
    <row r="452" spans="1:6">
      <c r="A452" s="1514">
        <v>2005.11</v>
      </c>
      <c r="B452" s="1517">
        <v>80.278932034197837</v>
      </c>
      <c r="C452" s="2399">
        <f t="shared" si="6"/>
        <v>80.278932034197837</v>
      </c>
      <c r="D452" s="904"/>
      <c r="E452" s="3110"/>
      <c r="F452" s="829"/>
    </row>
    <row r="453" spans="1:6">
      <c r="A453" s="1514">
        <v>2005.12</v>
      </c>
      <c r="B453" s="1517">
        <v>81.172087691646354</v>
      </c>
      <c r="C453" s="2399">
        <f t="shared" si="6"/>
        <v>81.172087691646354</v>
      </c>
      <c r="D453" s="904"/>
      <c r="E453" s="3110"/>
      <c r="F453" s="829"/>
    </row>
    <row r="454" spans="1:6">
      <c r="A454" s="1514">
        <v>2006.01</v>
      </c>
      <c r="B454" s="1517">
        <v>82.208530352963649</v>
      </c>
      <c r="C454" s="2399">
        <f t="shared" si="6"/>
        <v>82.208530352963649</v>
      </c>
      <c r="D454" s="904"/>
      <c r="E454" s="3110"/>
      <c r="F454" s="829"/>
    </row>
    <row r="455" spans="1:6">
      <c r="A455" s="1514">
        <v>2006.02</v>
      </c>
      <c r="B455" s="1517">
        <v>82.53331422839949</v>
      </c>
      <c r="C455" s="2399">
        <f t="shared" si="6"/>
        <v>82.53331422839949</v>
      </c>
      <c r="D455" s="904"/>
      <c r="E455" s="3110"/>
      <c r="F455" s="829"/>
    </row>
    <row r="456" spans="1:6">
      <c r="A456" s="1514">
        <v>2006.03</v>
      </c>
      <c r="B456" s="1517">
        <v>83.526770788556135</v>
      </c>
      <c r="C456" s="2399">
        <f t="shared" si="6"/>
        <v>83.526770788556135</v>
      </c>
      <c r="D456" s="904"/>
      <c r="E456" s="3110"/>
      <c r="F456" s="829"/>
    </row>
    <row r="457" spans="1:6">
      <c r="A457" s="1514">
        <v>2006.04</v>
      </c>
      <c r="B457" s="1517">
        <v>84.338730477145731</v>
      </c>
      <c r="C457" s="2399">
        <f t="shared" si="6"/>
        <v>84.338730477145731</v>
      </c>
      <c r="D457" s="904"/>
      <c r="E457" s="3110"/>
      <c r="F457" s="829"/>
    </row>
    <row r="458" spans="1:6">
      <c r="A458" s="1514">
        <v>2006.05</v>
      </c>
      <c r="B458" s="1517">
        <v>84.735157854515933</v>
      </c>
      <c r="C458" s="2399">
        <f t="shared" si="6"/>
        <v>84.735157854515933</v>
      </c>
      <c r="D458" s="904"/>
      <c r="E458" s="3110"/>
      <c r="F458" s="829"/>
    </row>
    <row r="459" spans="1:6">
      <c r="A459" s="1514">
        <v>2006.06</v>
      </c>
      <c r="B459" s="1517">
        <v>85.145913932273004</v>
      </c>
      <c r="C459" s="2399">
        <f t="shared" si="6"/>
        <v>85.145913932273004</v>
      </c>
      <c r="D459" s="904"/>
      <c r="E459" s="3110"/>
      <c r="F459" s="829"/>
    </row>
    <row r="460" spans="1:6">
      <c r="A460" s="1514">
        <v>2006.07</v>
      </c>
      <c r="B460" s="1517">
        <v>85.671299613125086</v>
      </c>
      <c r="C460" s="2399">
        <f>B460</f>
        <v>85.671299613125086</v>
      </c>
      <c r="D460" s="904"/>
      <c r="E460" s="3110"/>
      <c r="F460" s="829"/>
    </row>
    <row r="461" spans="1:6">
      <c r="A461" s="1514">
        <v>2006.08</v>
      </c>
      <c r="B461" s="1517">
        <v>86.153699192816546</v>
      </c>
      <c r="C461" s="2399">
        <f>B461</f>
        <v>86.153699192816546</v>
      </c>
      <c r="D461" s="904"/>
      <c r="E461" s="3110"/>
      <c r="F461" s="829"/>
    </row>
    <row r="462" spans="1:6">
      <c r="A462" s="1514">
        <v>2006.09</v>
      </c>
      <c r="B462" s="1517">
        <v>86.927449013707786</v>
      </c>
      <c r="C462" s="2399">
        <f>B462</f>
        <v>86.927449013707786</v>
      </c>
      <c r="D462" s="904"/>
      <c r="E462" s="3110"/>
      <c r="F462" s="829"/>
    </row>
    <row r="463" spans="1:6">
      <c r="A463" s="1514">
        <v>2006.1</v>
      </c>
      <c r="B463" s="1517">
        <v>87.672541433825273</v>
      </c>
      <c r="C463" s="2013">
        <f>C462*(1+D463)</f>
        <v>87.53594115680373</v>
      </c>
      <c r="D463" s="2014">
        <v>6.9999999999999004E-3</v>
      </c>
      <c r="E463" s="3110"/>
      <c r="F463" s="829"/>
    </row>
    <row r="464" spans="1:6">
      <c r="A464" s="1514">
        <v>2006.11</v>
      </c>
      <c r="B464" s="1517">
        <v>88.293451783923203</v>
      </c>
      <c r="C464" s="2399">
        <f t="shared" ref="C464:C494" si="7">C463*(1+D464)</f>
        <v>88.411300568371772</v>
      </c>
      <c r="D464" s="1518">
        <v>0.01</v>
      </c>
      <c r="E464" s="3110"/>
      <c r="F464" s="829"/>
    </row>
    <row r="465" spans="1:6">
      <c r="A465" s="1514">
        <v>2006.12</v>
      </c>
      <c r="B465" s="1517">
        <v>89.157950040597981</v>
      </c>
      <c r="C465" s="2399">
        <f>C464*(1+D465)</f>
        <v>89.82588137746572</v>
      </c>
      <c r="D465" s="1518">
        <v>1.6000000000000014E-2</v>
      </c>
      <c r="E465" s="3110"/>
      <c r="F465" s="829"/>
    </row>
    <row r="466" spans="1:6">
      <c r="A466" s="1514">
        <v>2007.01</v>
      </c>
      <c r="B466" s="1517">
        <v>90.180064001528393</v>
      </c>
      <c r="C466" s="2399">
        <f t="shared" si="7"/>
        <v>91.173269598127703</v>
      </c>
      <c r="D466" s="1518">
        <v>1.4999999999999902E-2</v>
      </c>
      <c r="E466" s="3110"/>
      <c r="F466" s="829"/>
    </row>
    <row r="467" spans="1:6">
      <c r="A467" s="1514">
        <v>2007.02</v>
      </c>
      <c r="B467" s="1517">
        <v>90.452309308879009</v>
      </c>
      <c r="C467" s="2399">
        <f t="shared" si="7"/>
        <v>91.993829024510845</v>
      </c>
      <c r="D467" s="1518">
        <v>8.999999999999897E-3</v>
      </c>
      <c r="E467" s="3110"/>
      <c r="F467" s="829"/>
    </row>
    <row r="468" spans="1:6">
      <c r="A468" s="1514">
        <v>2007.03</v>
      </c>
      <c r="B468" s="1517">
        <v>91.144863160911299</v>
      </c>
      <c r="C468" s="2399">
        <f t="shared" si="7"/>
        <v>93.281742630853998</v>
      </c>
      <c r="D468" s="1518">
        <v>1.4000000000000012E-2</v>
      </c>
      <c r="E468" s="3110"/>
      <c r="F468" s="829"/>
    </row>
    <row r="469" spans="1:6">
      <c r="A469" s="1514">
        <v>2007.04</v>
      </c>
      <c r="B469" s="1517">
        <v>91.823088312556706</v>
      </c>
      <c r="C469" s="2399">
        <f t="shared" si="7"/>
        <v>95.520504453994491</v>
      </c>
      <c r="D469" s="1518">
        <v>2.4000000000000021E-2</v>
      </c>
      <c r="E469" s="3110"/>
      <c r="F469" s="829"/>
    </row>
    <row r="470" spans="1:6">
      <c r="A470" s="1514">
        <v>2007.05</v>
      </c>
      <c r="B470" s="1517">
        <v>92.205186989540053</v>
      </c>
      <c r="C470" s="2399">
        <f t="shared" si="7"/>
        <v>97.43091454307438</v>
      </c>
      <c r="D470" s="1518">
        <v>0.02</v>
      </c>
      <c r="E470" s="3110"/>
      <c r="F470" s="829"/>
    </row>
    <row r="471" spans="1:6">
      <c r="A471" s="1514">
        <v>2007.06</v>
      </c>
      <c r="B471" s="1517">
        <v>92.61116683383483</v>
      </c>
      <c r="C471" s="2399">
        <f t="shared" si="7"/>
        <v>99.866687406651224</v>
      </c>
      <c r="D471" s="1518">
        <v>2.4999999999999911E-2</v>
      </c>
      <c r="E471" s="3110"/>
      <c r="F471" s="829"/>
    </row>
    <row r="472" spans="1:6">
      <c r="A472" s="1514">
        <v>2007.07</v>
      </c>
      <c r="B472" s="1517">
        <v>93.074461479677126</v>
      </c>
      <c r="C472" s="2399">
        <f t="shared" si="7"/>
        <v>101.96388784219089</v>
      </c>
      <c r="D472" s="1518">
        <v>2.0999999999999908E-2</v>
      </c>
      <c r="E472" s="3110"/>
      <c r="F472" s="829"/>
    </row>
    <row r="473" spans="1:6">
      <c r="A473" s="1514">
        <v>2007.08</v>
      </c>
      <c r="B473" s="1517">
        <v>93.618952094378372</v>
      </c>
      <c r="C473" s="2399">
        <f t="shared" si="7"/>
        <v>105.12476836529879</v>
      </c>
      <c r="D473" s="1518">
        <v>3.0999999999999917E-2</v>
      </c>
      <c r="E473" s="3110"/>
      <c r="F473" s="829"/>
    </row>
    <row r="474" spans="1:6">
      <c r="A474" s="1514">
        <v>2007.09</v>
      </c>
      <c r="B474" s="1517">
        <v>94.368820747958154</v>
      </c>
      <c r="C474" s="2399">
        <f t="shared" si="7"/>
        <v>106.91188942750887</v>
      </c>
      <c r="D474" s="1518">
        <v>1.6999999999999904E-2</v>
      </c>
      <c r="E474" s="3110"/>
      <c r="F474" s="829"/>
    </row>
    <row r="475" spans="1:6">
      <c r="A475" s="1514">
        <v>2007.1</v>
      </c>
      <c r="B475" s="1517">
        <v>95.013612265367527</v>
      </c>
      <c r="C475" s="2399">
        <f t="shared" si="7"/>
        <v>108.62247965834901</v>
      </c>
      <c r="D475" s="1518">
        <v>1.6000000000000014E-2</v>
      </c>
      <c r="E475" s="3110"/>
      <c r="F475" s="829"/>
    </row>
    <row r="476" spans="1:6">
      <c r="A476" s="1514">
        <v>2007.11</v>
      </c>
      <c r="B476" s="1517">
        <v>95.825571953957095</v>
      </c>
      <c r="C476" s="2399">
        <f t="shared" si="7"/>
        <v>110.68630677185763</v>
      </c>
      <c r="D476" s="1518">
        <v>1.8999999999999906E-2</v>
      </c>
      <c r="E476" s="3110"/>
      <c r="F476" s="829"/>
    </row>
    <row r="477" spans="1:6">
      <c r="A477" s="1514">
        <v>2007.12</v>
      </c>
      <c r="B477" s="1517">
        <v>96.713951377943346</v>
      </c>
      <c r="C477" s="2399">
        <f t="shared" si="7"/>
        <v>112.90003290729479</v>
      </c>
      <c r="D477" s="1518">
        <v>0.02</v>
      </c>
      <c r="E477" s="3110"/>
      <c r="F477" s="829"/>
    </row>
    <row r="478" spans="1:6">
      <c r="A478" s="1514">
        <f t="shared" ref="A478:A541" si="8">A466+1</f>
        <v>2008.01</v>
      </c>
      <c r="B478" s="1517">
        <v>97.611883268854186</v>
      </c>
      <c r="C478" s="2399">
        <f t="shared" si="7"/>
        <v>115.27093359834797</v>
      </c>
      <c r="D478" s="1518">
        <v>2.0999999999999908E-2</v>
      </c>
      <c r="E478" s="3110"/>
      <c r="F478" s="829"/>
    </row>
    <row r="479" spans="1:6">
      <c r="A479" s="1514">
        <f t="shared" si="8"/>
        <v>2008.02</v>
      </c>
      <c r="B479" s="1517">
        <v>98.070401681234188</v>
      </c>
      <c r="C479" s="2399">
        <f t="shared" si="7"/>
        <v>116.76945573512648</v>
      </c>
      <c r="D479" s="1518">
        <v>1.2999999999999901E-2</v>
      </c>
      <c r="E479" s="3110"/>
      <c r="F479" s="829"/>
    </row>
    <row r="480" spans="1:6">
      <c r="A480" s="1514">
        <f t="shared" si="8"/>
        <v>2008.03</v>
      </c>
      <c r="B480" s="1517">
        <v>99.178487844485844</v>
      </c>
      <c r="C480" s="2399">
        <f t="shared" si="7"/>
        <v>120.50607831865054</v>
      </c>
      <c r="D480" s="1518">
        <v>3.2000000000000028E-2</v>
      </c>
      <c r="E480" s="3110"/>
      <c r="F480" s="829"/>
    </row>
    <row r="481" spans="1:6">
      <c r="A481" s="1514">
        <f t="shared" si="8"/>
        <v>2008.04</v>
      </c>
      <c r="B481" s="1517">
        <v>100</v>
      </c>
      <c r="C481" s="2399">
        <f t="shared" si="7"/>
        <v>123.15721204166086</v>
      </c>
      <c r="D481" s="1518">
        <v>2.200000000000002E-2</v>
      </c>
      <c r="E481" s="3110"/>
      <c r="F481" s="829"/>
    </row>
    <row r="482" spans="1:6">
      <c r="A482" s="1514">
        <f t="shared" si="8"/>
        <v>2008.05</v>
      </c>
      <c r="B482" s="1517">
        <v>100.56</v>
      </c>
      <c r="C482" s="2399">
        <f t="shared" si="7"/>
        <v>125.12772743432743</v>
      </c>
      <c r="D482" s="1518">
        <v>1.6000000000000014E-2</v>
      </c>
      <c r="E482" s="3110"/>
      <c r="F482" s="829"/>
    </row>
    <row r="483" spans="1:6">
      <c r="A483" s="1514">
        <f t="shared" si="8"/>
        <v>2008.06</v>
      </c>
      <c r="B483" s="1517">
        <v>101.2</v>
      </c>
      <c r="C483" s="2399">
        <f t="shared" si="7"/>
        <v>127.75540971044829</v>
      </c>
      <c r="D483" s="1518">
        <v>2.0999999999999908E-2</v>
      </c>
      <c r="E483" s="3110"/>
      <c r="F483" s="829"/>
    </row>
    <row r="484" spans="1:6">
      <c r="A484" s="1514">
        <f t="shared" si="8"/>
        <v>2008.07</v>
      </c>
      <c r="B484" s="1517">
        <v>101.57</v>
      </c>
      <c r="C484" s="2399">
        <f t="shared" si="7"/>
        <v>130.43827331436771</v>
      </c>
      <c r="D484" s="1518">
        <v>2.0999999999999908E-2</v>
      </c>
      <c r="E484" s="3110"/>
      <c r="F484" s="829"/>
    </row>
    <row r="485" spans="1:6">
      <c r="A485" s="1514">
        <f t="shared" si="8"/>
        <v>2008.08</v>
      </c>
      <c r="B485" s="1517">
        <v>102.05</v>
      </c>
      <c r="C485" s="2399">
        <f t="shared" si="7"/>
        <v>133.04703878065507</v>
      </c>
      <c r="D485" s="1518">
        <v>0.02</v>
      </c>
      <c r="E485" s="3110"/>
      <c r="F485" s="829"/>
    </row>
    <row r="486" spans="1:6">
      <c r="A486" s="1514">
        <f t="shared" si="8"/>
        <v>2008.09</v>
      </c>
      <c r="B486" s="1517">
        <v>102.57</v>
      </c>
      <c r="C486" s="2399">
        <f t="shared" si="7"/>
        <v>134.90969732358425</v>
      </c>
      <c r="D486" s="1518">
        <v>1.4000000000000012E-2</v>
      </c>
      <c r="E486" s="3110"/>
      <c r="F486" s="829"/>
    </row>
    <row r="487" spans="1:6">
      <c r="A487" s="1514">
        <f t="shared" si="8"/>
        <v>2008.1</v>
      </c>
      <c r="B487" s="1517">
        <v>103.01</v>
      </c>
      <c r="C487" s="2399">
        <f t="shared" si="7"/>
        <v>136.39370399414366</v>
      </c>
      <c r="D487" s="1518">
        <v>1.0999999999999899E-2</v>
      </c>
      <c r="E487" s="3110"/>
      <c r="F487" s="829"/>
    </row>
    <row r="488" spans="1:6">
      <c r="A488" s="1514">
        <f t="shared" si="8"/>
        <v>2008.11</v>
      </c>
      <c r="B488" s="1517">
        <v>103.36</v>
      </c>
      <c r="C488" s="2399">
        <f t="shared" si="7"/>
        <v>137.34845992210265</v>
      </c>
      <c r="D488" s="1518">
        <v>6.9999999999998952E-3</v>
      </c>
      <c r="E488" s="3110"/>
      <c r="F488" s="829"/>
    </row>
    <row r="489" spans="1:6">
      <c r="A489" s="1514">
        <f t="shared" si="8"/>
        <v>2008.12</v>
      </c>
      <c r="B489" s="1517">
        <v>103.71</v>
      </c>
      <c r="C489" s="2399">
        <f t="shared" si="7"/>
        <v>138.85929298124577</v>
      </c>
      <c r="D489" s="1518">
        <v>1.0999999999999899E-2</v>
      </c>
      <c r="E489" s="3110"/>
      <c r="F489" s="829"/>
    </row>
    <row r="490" spans="1:6">
      <c r="A490" s="1514">
        <f t="shared" si="8"/>
        <v>2009.01</v>
      </c>
      <c r="B490" s="1517">
        <v>104.26</v>
      </c>
      <c r="C490" s="2399">
        <f t="shared" si="7"/>
        <v>140.94218237596445</v>
      </c>
      <c r="D490" s="1518">
        <v>1.4999999999999999E-2</v>
      </c>
      <c r="E490" s="3110"/>
      <c r="F490" s="829"/>
    </row>
    <row r="491" spans="1:6">
      <c r="A491" s="1514">
        <f t="shared" si="8"/>
        <v>2009.02</v>
      </c>
      <c r="B491" s="1517">
        <v>104.71</v>
      </c>
      <c r="C491" s="2399">
        <f t="shared" si="7"/>
        <v>142.21066201734811</v>
      </c>
      <c r="D491" s="1518">
        <v>8.9999999999999993E-3</v>
      </c>
      <c r="E491" s="3110"/>
      <c r="F491" s="829"/>
    </row>
    <row r="492" spans="1:6">
      <c r="A492" s="1514">
        <f t="shared" si="8"/>
        <v>2009.03</v>
      </c>
      <c r="B492" s="1517">
        <v>105.38</v>
      </c>
      <c r="C492" s="2399">
        <f t="shared" si="7"/>
        <v>143.91718996155629</v>
      </c>
      <c r="D492" s="1518">
        <v>1.2E-2</v>
      </c>
      <c r="E492" s="3110"/>
      <c r="F492" s="829"/>
    </row>
    <row r="493" spans="1:6">
      <c r="A493" s="1514">
        <f t="shared" si="8"/>
        <v>2009.04</v>
      </c>
      <c r="B493" s="1517">
        <v>105.73</v>
      </c>
      <c r="C493" s="2399">
        <f t="shared" si="7"/>
        <v>145.64419624109496</v>
      </c>
      <c r="D493" s="1518">
        <v>1.2E-2</v>
      </c>
      <c r="E493" s="3110"/>
      <c r="F493" s="829"/>
    </row>
    <row r="494" spans="1:6">
      <c r="A494" s="1514">
        <f t="shared" si="8"/>
        <v>2009.05</v>
      </c>
      <c r="B494" s="1517">
        <v>106.08</v>
      </c>
      <c r="C494" s="2399">
        <f t="shared" si="7"/>
        <v>146.6637056147826</v>
      </c>
      <c r="D494" s="1518">
        <v>7.0000000000000001E-3</v>
      </c>
      <c r="E494" s="3110"/>
      <c r="F494" s="829"/>
    </row>
    <row r="495" spans="1:6">
      <c r="A495" s="1514">
        <f t="shared" si="8"/>
        <v>2009.06</v>
      </c>
      <c r="B495" s="1517">
        <v>106.53</v>
      </c>
      <c r="C495" s="2399">
        <f t="shared" ref="C495:C512" si="9">C494*(1+D495)</f>
        <v>147.54368784847131</v>
      </c>
      <c r="D495" s="1518">
        <v>6.0000000000000001E-3</v>
      </c>
      <c r="E495" s="3110"/>
      <c r="F495" s="829"/>
    </row>
    <row r="496" spans="1:6">
      <c r="A496" s="1514">
        <f t="shared" si="8"/>
        <v>2009.07</v>
      </c>
      <c r="B496" s="1517">
        <v>107.19</v>
      </c>
      <c r="C496" s="2399">
        <f t="shared" si="9"/>
        <v>149.31421210265296</v>
      </c>
      <c r="D496" s="1518">
        <v>1.2E-2</v>
      </c>
      <c r="E496" s="3110"/>
      <c r="F496" s="829"/>
    </row>
    <row r="497" spans="1:6">
      <c r="A497" s="1514">
        <f t="shared" si="8"/>
        <v>2009.08</v>
      </c>
      <c r="B497" s="1517">
        <v>108.08</v>
      </c>
      <c r="C497" s="2399">
        <f t="shared" si="9"/>
        <v>151.25529685998742</v>
      </c>
      <c r="D497" s="1518">
        <v>1.2999999999999999E-2</v>
      </c>
      <c r="E497" s="3110"/>
      <c r="F497" s="829"/>
    </row>
    <row r="498" spans="1:6">
      <c r="A498" s="1514">
        <f t="shared" si="8"/>
        <v>2009.09</v>
      </c>
      <c r="B498" s="1517">
        <v>108.88</v>
      </c>
      <c r="C498" s="2399">
        <f t="shared" si="9"/>
        <v>153.07036042230729</v>
      </c>
      <c r="D498" s="1518">
        <v>1.2E-2</v>
      </c>
      <c r="E498" s="3110"/>
      <c r="F498" s="829"/>
    </row>
    <row r="499" spans="1:6">
      <c r="A499" s="1514">
        <f t="shared" si="8"/>
        <v>2009.1</v>
      </c>
      <c r="B499" s="1517">
        <v>109.75</v>
      </c>
      <c r="C499" s="2399">
        <f t="shared" si="9"/>
        <v>154.60106402653037</v>
      </c>
      <c r="D499" s="1518">
        <v>0.01</v>
      </c>
      <c r="E499" s="3110"/>
      <c r="F499" s="829"/>
    </row>
    <row r="500" spans="1:6">
      <c r="A500" s="1514">
        <f t="shared" si="8"/>
        <v>2009.11</v>
      </c>
      <c r="B500" s="1517">
        <v>110.66</v>
      </c>
      <c r="C500" s="2399">
        <f t="shared" si="9"/>
        <v>156.61087785887526</v>
      </c>
      <c r="D500" s="1518">
        <v>1.2999999999999999E-2</v>
      </c>
      <c r="E500" s="3110"/>
      <c r="F500" s="829"/>
    </row>
    <row r="501" spans="1:6">
      <c r="A501" s="1514">
        <f t="shared" si="8"/>
        <v>2009.12</v>
      </c>
      <c r="B501" s="1517">
        <v>111.69</v>
      </c>
      <c r="C501" s="2399">
        <f t="shared" si="9"/>
        <v>159.42987366033501</v>
      </c>
      <c r="D501" s="1518">
        <v>1.7999999999999999E-2</v>
      </c>
      <c r="E501" s="3110"/>
      <c r="F501" s="829"/>
    </row>
    <row r="502" spans="1:6">
      <c r="A502" s="1514">
        <f t="shared" si="8"/>
        <v>2010.01</v>
      </c>
      <c r="B502" s="1517">
        <v>112.85</v>
      </c>
      <c r="C502" s="2399">
        <f t="shared" si="9"/>
        <v>163.09676075452271</v>
      </c>
      <c r="D502" s="1518">
        <v>2.3E-2</v>
      </c>
      <c r="E502" s="3110"/>
      <c r="F502" s="829"/>
    </row>
    <row r="503" spans="1:6">
      <c r="A503" s="280">
        <f t="shared" si="8"/>
        <v>2010.02</v>
      </c>
      <c r="B503" s="1517">
        <v>114.26</v>
      </c>
      <c r="C503" s="2399">
        <f t="shared" si="9"/>
        <v>167.82656681640384</v>
      </c>
      <c r="D503" s="1518">
        <v>2.9000000000000001E-2</v>
      </c>
      <c r="E503" s="3110"/>
      <c r="F503" s="829"/>
    </row>
    <row r="504" spans="1:6">
      <c r="A504" s="280">
        <f t="shared" si="8"/>
        <v>2010.03</v>
      </c>
      <c r="B504" s="1517">
        <v>115.56</v>
      </c>
      <c r="C504" s="2399">
        <f t="shared" si="9"/>
        <v>172.69353725407953</v>
      </c>
      <c r="D504" s="1518">
        <v>2.9000000000000001E-2</v>
      </c>
      <c r="E504" s="3110"/>
      <c r="F504" s="829"/>
    </row>
    <row r="505" spans="1:6">
      <c r="A505" s="280">
        <f t="shared" si="8"/>
        <v>2010.04</v>
      </c>
      <c r="B505" s="1517">
        <v>116.52</v>
      </c>
      <c r="C505" s="2399">
        <f t="shared" si="9"/>
        <v>175.80202092465296</v>
      </c>
      <c r="D505" s="1518">
        <v>1.7999999999999999E-2</v>
      </c>
      <c r="E505" s="3110"/>
      <c r="F505" s="829"/>
    </row>
    <row r="506" spans="1:6">
      <c r="A506" s="280">
        <f t="shared" si="8"/>
        <v>2010.05</v>
      </c>
      <c r="B506" s="1517">
        <v>117.39</v>
      </c>
      <c r="C506" s="2399">
        <f t="shared" si="9"/>
        <v>177.91164517574879</v>
      </c>
      <c r="D506" s="1518">
        <v>1.2E-2</v>
      </c>
      <c r="E506" s="3110"/>
      <c r="F506" s="829"/>
    </row>
    <row r="507" spans="1:6">
      <c r="A507" s="280">
        <f t="shared" si="8"/>
        <v>2010.06</v>
      </c>
      <c r="B507" s="1517">
        <v>118.25</v>
      </c>
      <c r="C507" s="2399">
        <f t="shared" si="9"/>
        <v>180.75823149856078</v>
      </c>
      <c r="D507" s="1518">
        <v>1.6E-2</v>
      </c>
      <c r="E507" s="3110"/>
      <c r="F507" s="829"/>
    </row>
    <row r="508" spans="1:6">
      <c r="A508" s="280">
        <f t="shared" si="8"/>
        <v>2010.07</v>
      </c>
      <c r="B508" s="1517">
        <v>119.2</v>
      </c>
      <c r="C508" s="2399">
        <f t="shared" si="9"/>
        <v>184.19263789703342</v>
      </c>
      <c r="D508" s="1518">
        <v>1.9E-2</v>
      </c>
      <c r="E508" s="3110"/>
      <c r="F508" s="829"/>
    </row>
    <row r="509" spans="1:6">
      <c r="A509" s="280">
        <f t="shared" si="8"/>
        <v>2010.08</v>
      </c>
      <c r="B509" s="1517">
        <v>120.8</v>
      </c>
      <c r="C509" s="2399">
        <f t="shared" si="9"/>
        <v>186.9555274654889</v>
      </c>
      <c r="D509" s="1518">
        <v>1.4999999999999999E-2</v>
      </c>
      <c r="E509" s="3110"/>
      <c r="F509" s="829"/>
    </row>
    <row r="510" spans="1:6">
      <c r="A510" s="280">
        <f t="shared" si="8"/>
        <v>2010.09</v>
      </c>
      <c r="B510" s="1517">
        <v>120.95</v>
      </c>
      <c r="C510" s="2399">
        <f t="shared" si="9"/>
        <v>189.57290485000576</v>
      </c>
      <c r="D510" s="1518">
        <v>1.4E-2</v>
      </c>
      <c r="E510" s="3110"/>
      <c r="F510" s="829"/>
    </row>
    <row r="511" spans="1:6">
      <c r="A511" s="280">
        <f t="shared" si="8"/>
        <v>2010.1</v>
      </c>
      <c r="B511" s="1517">
        <v>121.97</v>
      </c>
      <c r="C511" s="2399">
        <f t="shared" si="9"/>
        <v>194.31222747125588</v>
      </c>
      <c r="D511" s="1518">
        <v>2.5000000000000001E-2</v>
      </c>
      <c r="E511" s="3110"/>
      <c r="F511" s="829"/>
    </row>
    <row r="512" spans="1:6">
      <c r="A512" s="280">
        <f t="shared" si="8"/>
        <v>2010.11</v>
      </c>
      <c r="B512" s="1517">
        <v>122.86</v>
      </c>
      <c r="C512" s="2399">
        <f t="shared" si="9"/>
        <v>196.83828642838219</v>
      </c>
      <c r="D512" s="1518">
        <v>1.2999999999999999E-2</v>
      </c>
      <c r="E512" s="3110"/>
      <c r="F512" s="829"/>
    </row>
    <row r="513" spans="1:6">
      <c r="A513" s="280">
        <f t="shared" si="8"/>
        <v>2010.12</v>
      </c>
      <c r="B513" s="1517">
        <v>123.89</v>
      </c>
      <c r="C513" s="2400">
        <v>200.34159459790487</v>
      </c>
      <c r="D513" s="549" t="s">
        <v>1076</v>
      </c>
      <c r="E513" s="3110"/>
      <c r="F513" s="829"/>
    </row>
    <row r="514" spans="1:6">
      <c r="A514" s="1514">
        <f t="shared" si="8"/>
        <v>2011.01</v>
      </c>
      <c r="B514" s="1517">
        <v>124.79</v>
      </c>
      <c r="C514" s="2400">
        <v>202.44665257696022</v>
      </c>
      <c r="D514" s="549"/>
      <c r="E514" s="3110"/>
      <c r="F514" s="829"/>
    </row>
    <row r="515" spans="1:6">
      <c r="A515" s="280">
        <f t="shared" si="8"/>
        <v>2011.02</v>
      </c>
      <c r="B515" s="1517">
        <v>125.71</v>
      </c>
      <c r="C515" s="2400">
        <v>205.1586433309987</v>
      </c>
      <c r="D515" s="550"/>
      <c r="E515" s="3110"/>
      <c r="F515" s="829"/>
    </row>
    <row r="516" spans="1:6">
      <c r="A516" s="280">
        <f t="shared" si="8"/>
        <v>2011.03</v>
      </c>
      <c r="B516" s="1517">
        <v>126.77</v>
      </c>
      <c r="C516" s="2400">
        <v>210.67481715932615</v>
      </c>
      <c r="D516" s="550"/>
      <c r="E516" s="3110"/>
      <c r="F516" s="829"/>
    </row>
    <row r="517" spans="1:6">
      <c r="A517" s="280">
        <f t="shared" si="8"/>
        <v>2011.04</v>
      </c>
      <c r="B517" s="1517">
        <v>127.83</v>
      </c>
      <c r="C517" s="2400">
        <v>215.24601970508499</v>
      </c>
      <c r="D517" s="550"/>
      <c r="E517" s="3110"/>
      <c r="F517" s="829"/>
    </row>
    <row r="518" spans="1:6">
      <c r="A518" s="280">
        <f t="shared" si="8"/>
        <v>2011.05</v>
      </c>
      <c r="B518" s="1517">
        <v>128.77000000000001</v>
      </c>
      <c r="C518" s="341">
        <f t="shared" ref="C518:C549" si="10">C517*(1+E518)</f>
        <v>218.47471000066125</v>
      </c>
      <c r="D518" s="550"/>
      <c r="E518" s="3120">
        <v>1.4999999999999999E-2</v>
      </c>
      <c r="F518" s="829"/>
    </row>
    <row r="519" spans="1:6">
      <c r="A519" s="280">
        <f t="shared" si="8"/>
        <v>2011.06</v>
      </c>
      <c r="B519" s="1517">
        <v>129.69</v>
      </c>
      <c r="C519" s="2399">
        <f t="shared" si="10"/>
        <v>221.75183065067114</v>
      </c>
      <c r="D519" s="550"/>
      <c r="E519" s="3121">
        <v>1.4999999999999999E-2</v>
      </c>
      <c r="F519" s="829"/>
    </row>
    <row r="520" spans="1:6">
      <c r="A520" s="280">
        <f t="shared" si="8"/>
        <v>2011.07</v>
      </c>
      <c r="B520" s="1517">
        <v>130.72</v>
      </c>
      <c r="C520" s="2399">
        <f>C519*(1+E520)</f>
        <v>225.29985994108188</v>
      </c>
      <c r="D520" s="550"/>
      <c r="E520" s="3121">
        <v>1.6E-2</v>
      </c>
      <c r="F520" s="829"/>
    </row>
    <row r="521" spans="1:6">
      <c r="A521" s="280">
        <f t="shared" si="8"/>
        <v>2011.08</v>
      </c>
      <c r="B521" s="1517">
        <v>131.81</v>
      </c>
      <c r="C521" s="2399">
        <f t="shared" si="10"/>
        <v>229.58055727996242</v>
      </c>
      <c r="D521" s="550"/>
      <c r="E521" s="3121">
        <v>1.9E-2</v>
      </c>
      <c r="F521" s="829"/>
    </row>
    <row r="522" spans="1:6">
      <c r="A522" s="280">
        <f t="shared" si="8"/>
        <v>2011.09</v>
      </c>
      <c r="B522" s="1517">
        <v>132.91</v>
      </c>
      <c r="C522" s="2399">
        <f t="shared" si="10"/>
        <v>233.94258786828169</v>
      </c>
      <c r="D522" s="550"/>
      <c r="E522" s="3121">
        <v>1.9E-2</v>
      </c>
      <c r="F522" s="829"/>
    </row>
    <row r="523" spans="1:6">
      <c r="A523" s="280">
        <f t="shared" si="8"/>
        <v>2011.1</v>
      </c>
      <c r="B523" s="1517">
        <v>133.75</v>
      </c>
      <c r="C523" s="2399">
        <f t="shared" si="10"/>
        <v>237.42833242751908</v>
      </c>
      <c r="D523" s="550"/>
      <c r="E523" s="3121">
        <v>1.49E-2</v>
      </c>
      <c r="F523" s="829"/>
    </row>
    <row r="524" spans="1:6">
      <c r="A524" s="280">
        <f t="shared" si="8"/>
        <v>2011.11</v>
      </c>
      <c r="B524" s="1517">
        <v>134.54</v>
      </c>
      <c r="C524" s="2399">
        <f t="shared" si="10"/>
        <v>240.84730041447534</v>
      </c>
      <c r="D524" s="550"/>
      <c r="E524" s="3121">
        <v>1.44E-2</v>
      </c>
      <c r="F524" s="829"/>
    </row>
    <row r="525" spans="1:6">
      <c r="A525" s="280">
        <f t="shared" si="8"/>
        <v>2011.12</v>
      </c>
      <c r="B525" s="1517">
        <v>135.66999999999999</v>
      </c>
      <c r="C525" s="2399">
        <f t="shared" si="10"/>
        <v>245.42339912235036</v>
      </c>
      <c r="D525" s="550"/>
      <c r="E525" s="3121">
        <v>1.9E-2</v>
      </c>
      <c r="F525" s="829"/>
    </row>
    <row r="526" spans="1:6">
      <c r="A526" s="1514">
        <f t="shared" si="8"/>
        <v>2012.01</v>
      </c>
      <c r="B526" s="1517">
        <v>136.91</v>
      </c>
      <c r="C526" s="2399">
        <f t="shared" si="10"/>
        <v>250.08644370567498</v>
      </c>
      <c r="D526" s="550"/>
      <c r="E526" s="3121">
        <v>1.9E-2</v>
      </c>
      <c r="F526" s="829"/>
    </row>
    <row r="527" spans="1:6">
      <c r="A527" s="280">
        <f t="shared" si="8"/>
        <v>2012.02</v>
      </c>
      <c r="B527" s="1517">
        <v>137.91999999999999</v>
      </c>
      <c r="C527" s="2399">
        <f t="shared" si="10"/>
        <v>254.21287002681862</v>
      </c>
      <c r="D527" s="550"/>
      <c r="E527" s="3121">
        <v>1.6500000000000001E-2</v>
      </c>
      <c r="F527" s="829"/>
    </row>
    <row r="528" spans="1:6">
      <c r="A528" s="280">
        <f t="shared" si="8"/>
        <v>2012.03</v>
      </c>
      <c r="B528" s="1517">
        <v>139.21</v>
      </c>
      <c r="C528" s="2399">
        <f t="shared" si="10"/>
        <v>260.0851873244381</v>
      </c>
      <c r="D528" s="550"/>
      <c r="E528" s="3121">
        <v>2.3099999999999999E-2</v>
      </c>
      <c r="F528" s="829"/>
    </row>
    <row r="529" spans="1:6">
      <c r="A529" s="280">
        <f t="shared" si="8"/>
        <v>2012.04</v>
      </c>
      <c r="B529" s="1517">
        <v>140.37</v>
      </c>
      <c r="C529" s="2399">
        <f t="shared" si="10"/>
        <v>265.703027370646</v>
      </c>
      <c r="D529" s="550"/>
      <c r="E529" s="3121">
        <v>2.1600000000000001E-2</v>
      </c>
      <c r="F529" s="829"/>
    </row>
    <row r="530" spans="1:6">
      <c r="A530" s="280">
        <f t="shared" si="8"/>
        <v>2012.05</v>
      </c>
      <c r="B530" s="1517">
        <v>141.51</v>
      </c>
      <c r="C530" s="2399">
        <f t="shared" si="10"/>
        <v>270.29968974415817</v>
      </c>
      <c r="D530" s="550"/>
      <c r="E530" s="3121">
        <v>1.7299999999999999E-2</v>
      </c>
      <c r="F530" s="829"/>
    </row>
    <row r="531" spans="1:6">
      <c r="A531" s="280">
        <f t="shared" si="8"/>
        <v>2012.06</v>
      </c>
      <c r="B531" s="1517">
        <v>142.53</v>
      </c>
      <c r="C531" s="2399">
        <f t="shared" si="10"/>
        <v>274.70557468698797</v>
      </c>
      <c r="D531" s="550"/>
      <c r="E531" s="3121">
        <v>1.6299999999999999E-2</v>
      </c>
      <c r="F531" s="829"/>
    </row>
    <row r="532" spans="1:6">
      <c r="A532" s="280">
        <f t="shared" si="8"/>
        <v>2012.07</v>
      </c>
      <c r="B532" s="1517">
        <v>143.66</v>
      </c>
      <c r="C532" s="2399">
        <f t="shared" si="10"/>
        <v>279.54039280147896</v>
      </c>
      <c r="D532" s="550"/>
      <c r="E532" s="3121">
        <v>1.7600000000000001E-2</v>
      </c>
      <c r="F532" s="829"/>
    </row>
    <row r="533" spans="1:6">
      <c r="A533" s="280">
        <f t="shared" si="8"/>
        <v>2012.08</v>
      </c>
      <c r="B533" s="1517">
        <v>144.94</v>
      </c>
      <c r="C533" s="2399">
        <f t="shared" si="10"/>
        <v>284.87961430398718</v>
      </c>
      <c r="D533" s="550"/>
      <c r="E533" s="3121">
        <v>1.9099999999999999E-2</v>
      </c>
      <c r="F533" s="829"/>
    </row>
    <row r="534" spans="1:6">
      <c r="A534" s="280">
        <f t="shared" si="8"/>
        <v>2012.09</v>
      </c>
      <c r="B534" s="1517">
        <v>146.22</v>
      </c>
      <c r="C534" s="2399">
        <f t="shared" si="10"/>
        <v>290.37779086005418</v>
      </c>
      <c r="D534" s="550"/>
      <c r="E534" s="3121">
        <v>1.9300000000000001E-2</v>
      </c>
      <c r="F534" s="829"/>
    </row>
    <row r="535" spans="1:6">
      <c r="A535" s="280">
        <f t="shared" si="8"/>
        <v>2012.1</v>
      </c>
      <c r="B535" s="1517">
        <v>147.44999999999999</v>
      </c>
      <c r="C535" s="2399">
        <f t="shared" si="10"/>
        <v>295.66266665370716</v>
      </c>
      <c r="D535" s="550"/>
      <c r="E535" s="3121">
        <v>1.8200000000000001E-2</v>
      </c>
      <c r="F535" s="829"/>
    </row>
    <row r="536" spans="1:6">
      <c r="A536" s="280">
        <f t="shared" si="8"/>
        <v>2012.11</v>
      </c>
      <c r="B536" s="1517">
        <v>148.83000000000001</v>
      </c>
      <c r="C536" s="2399">
        <f t="shared" si="10"/>
        <v>301.01416092013926</v>
      </c>
      <c r="D536" s="550"/>
      <c r="E536" s="3121">
        <v>1.8100000000000002E-2</v>
      </c>
      <c r="F536" s="829"/>
    </row>
    <row r="537" spans="1:6">
      <c r="A537" s="280">
        <f t="shared" si="8"/>
        <v>2012.12</v>
      </c>
      <c r="B537" s="1517">
        <v>150.38</v>
      </c>
      <c r="C537" s="2399">
        <f t="shared" si="10"/>
        <v>307.33545829946218</v>
      </c>
      <c r="D537" s="550"/>
      <c r="E537" s="3121">
        <v>2.1000000000000001E-2</v>
      </c>
      <c r="F537" s="829"/>
    </row>
    <row r="538" spans="1:6">
      <c r="A538" s="1514">
        <f t="shared" si="8"/>
        <v>2013.01</v>
      </c>
      <c r="B538" s="1517">
        <v>152.09</v>
      </c>
      <c r="C538" s="2399">
        <f t="shared" si="10"/>
        <v>315.26471312358831</v>
      </c>
      <c r="D538" s="550"/>
      <c r="E538" s="3121">
        <v>2.58E-2</v>
      </c>
      <c r="F538" s="829"/>
    </row>
    <row r="539" spans="1:6">
      <c r="A539" s="280">
        <f t="shared" si="8"/>
        <v>2013.02</v>
      </c>
      <c r="B539" s="1517">
        <v>152.84</v>
      </c>
      <c r="C539" s="2399">
        <f t="shared" si="10"/>
        <v>319.14246909500844</v>
      </c>
      <c r="D539" s="550"/>
      <c r="E539" s="3121">
        <v>1.23E-2</v>
      </c>
      <c r="F539" s="829"/>
    </row>
    <row r="540" spans="1:6">
      <c r="A540" s="280">
        <f t="shared" si="8"/>
        <v>2013.03</v>
      </c>
      <c r="B540" s="1517">
        <v>153.94999999999999</v>
      </c>
      <c r="C540" s="2399">
        <f t="shared" si="10"/>
        <v>324.05726311907159</v>
      </c>
      <c r="D540" s="550"/>
      <c r="E540" s="3121">
        <v>1.54E-2</v>
      </c>
      <c r="F540" s="829"/>
    </row>
    <row r="541" spans="1:6">
      <c r="A541" s="280">
        <f t="shared" si="8"/>
        <v>2013.04</v>
      </c>
      <c r="B541" s="1517">
        <v>155.07</v>
      </c>
      <c r="C541" s="2399">
        <f t="shared" si="10"/>
        <v>328.9829335184815</v>
      </c>
      <c r="D541" s="550"/>
      <c r="E541" s="3121">
        <v>1.52E-2</v>
      </c>
      <c r="F541" s="829"/>
    </row>
    <row r="542" spans="1:6">
      <c r="A542" s="280">
        <f t="shared" ref="A542:A605" si="11">A530+1</f>
        <v>2013.05</v>
      </c>
      <c r="B542" s="1517">
        <v>156.13999999999999</v>
      </c>
      <c r="C542" s="2399">
        <f t="shared" si="10"/>
        <v>334.1479655747217</v>
      </c>
      <c r="D542" s="550"/>
      <c r="E542" s="3121">
        <v>1.5699999999999999E-2</v>
      </c>
      <c r="F542" s="829"/>
    </row>
    <row r="543" spans="1:6">
      <c r="A543" s="280">
        <f t="shared" si="11"/>
        <v>2013.06</v>
      </c>
      <c r="B543" s="1517">
        <v>157.44</v>
      </c>
      <c r="C543" s="2399">
        <f t="shared" si="10"/>
        <v>340.59702131031383</v>
      </c>
      <c r="D543" s="550"/>
      <c r="E543" s="3121">
        <v>1.9300000000000001E-2</v>
      </c>
      <c r="F543" s="829"/>
    </row>
    <row r="544" spans="1:6">
      <c r="A544" s="280">
        <f t="shared" si="11"/>
        <v>2013.07</v>
      </c>
      <c r="B544" s="1517">
        <v>158.9</v>
      </c>
      <c r="C544" s="2399">
        <f t="shared" si="10"/>
        <v>349.28224535372686</v>
      </c>
      <c r="D544" s="550"/>
      <c r="E544" s="3121">
        <v>2.5499999999999998E-2</v>
      </c>
      <c r="F544" s="829"/>
    </row>
    <row r="545" spans="1:6">
      <c r="A545" s="280">
        <f t="shared" si="11"/>
        <v>2013.08</v>
      </c>
      <c r="B545" s="1517">
        <v>160.22999999999999</v>
      </c>
      <c r="C545" s="2399">
        <f t="shared" si="10"/>
        <v>356.65210073069045</v>
      </c>
      <c r="D545" s="550"/>
      <c r="E545" s="3121">
        <v>2.1100000000000001E-2</v>
      </c>
      <c r="F545" s="829"/>
    </row>
    <row r="546" spans="1:6">
      <c r="A546" s="280">
        <f t="shared" si="11"/>
        <v>2013.09</v>
      </c>
      <c r="B546" s="1517">
        <v>161.56</v>
      </c>
      <c r="C546" s="2399">
        <f t="shared" si="10"/>
        <v>364.17746005610798</v>
      </c>
      <c r="D546" s="550"/>
      <c r="E546" s="3121">
        <v>2.1100000000000001E-2</v>
      </c>
      <c r="F546" s="829"/>
    </row>
    <row r="547" spans="1:6">
      <c r="A547" s="280">
        <f t="shared" si="11"/>
        <v>2013.1</v>
      </c>
      <c r="B547" s="1517">
        <v>163</v>
      </c>
      <c r="C547" s="2399">
        <f t="shared" si="10"/>
        <v>371.46100925723016</v>
      </c>
      <c r="D547" s="550"/>
      <c r="E547" s="3121">
        <v>0.02</v>
      </c>
      <c r="F547" s="829"/>
    </row>
    <row r="548" spans="1:6">
      <c r="A548" s="280">
        <f t="shared" si="11"/>
        <v>2013.11</v>
      </c>
      <c r="B548" s="1517">
        <v>164.51</v>
      </c>
      <c r="C548" s="2399">
        <f t="shared" si="10"/>
        <v>380.37607347940371</v>
      </c>
      <c r="D548" s="550"/>
      <c r="E548" s="3121">
        <v>2.4E-2</v>
      </c>
      <c r="F548" s="829"/>
    </row>
    <row r="549" spans="1:6">
      <c r="A549" s="280">
        <f t="shared" si="11"/>
        <v>2013.12</v>
      </c>
      <c r="B549" s="1517">
        <v>166.84</v>
      </c>
      <c r="C549" s="2399">
        <f t="shared" si="10"/>
        <v>393.2327847630076</v>
      </c>
      <c r="D549" s="550"/>
      <c r="E549" s="3121">
        <v>3.3799999999999997E-2</v>
      </c>
      <c r="F549" s="829"/>
    </row>
    <row r="550" spans="1:6">
      <c r="A550" s="280">
        <f t="shared" si="11"/>
        <v>2014.01</v>
      </c>
      <c r="B550" s="342" t="s">
        <v>1076</v>
      </c>
      <c r="C550" s="2399">
        <f t="shared" ref="C550:C581" si="12">C549*(1+E550)</f>
        <v>411.36081614058224</v>
      </c>
      <c r="D550" s="550"/>
      <c r="E550" s="3121">
        <v>4.6100000000000002E-2</v>
      </c>
      <c r="F550" s="829"/>
    </row>
    <row r="551" spans="1:6">
      <c r="A551" s="280">
        <f t="shared" si="11"/>
        <v>2014.02</v>
      </c>
      <c r="B551" s="343"/>
      <c r="C551" s="2399">
        <f t="shared" si="12"/>
        <v>429.04933123462723</v>
      </c>
      <c r="D551" s="550"/>
      <c r="E551" s="3121">
        <v>4.2999999999999997E-2</v>
      </c>
      <c r="F551" s="829"/>
    </row>
    <row r="552" spans="1:6">
      <c r="A552" s="280">
        <f t="shared" si="11"/>
        <v>2014.03</v>
      </c>
      <c r="B552" s="343"/>
      <c r="C552" s="2399">
        <f t="shared" si="12"/>
        <v>443.20795916536991</v>
      </c>
      <c r="D552" s="550"/>
      <c r="E552" s="3121">
        <v>3.3000000000000002E-2</v>
      </c>
      <c r="F552" s="829"/>
    </row>
    <row r="553" spans="1:6">
      <c r="A553" s="280">
        <f t="shared" si="11"/>
        <v>2014.04</v>
      </c>
      <c r="B553" s="343"/>
      <c r="C553" s="2399">
        <f t="shared" si="12"/>
        <v>455.52914043016722</v>
      </c>
      <c r="D553" s="550"/>
      <c r="E553" s="3121">
        <v>2.7799999999999998E-2</v>
      </c>
      <c r="F553" s="829"/>
    </row>
    <row r="554" spans="1:6">
      <c r="A554" s="280">
        <f t="shared" si="11"/>
        <v>2014.05</v>
      </c>
      <c r="B554" s="343"/>
      <c r="C554" s="2399">
        <f t="shared" si="12"/>
        <v>465.91520483197502</v>
      </c>
      <c r="D554" s="550"/>
      <c r="E554" s="3121">
        <v>2.2800000000000001E-2</v>
      </c>
      <c r="F554" s="829"/>
    </row>
    <row r="555" spans="1:6">
      <c r="A555" s="280">
        <f t="shared" si="11"/>
        <v>2014.06</v>
      </c>
      <c r="B555" s="343"/>
      <c r="C555" s="2399">
        <f t="shared" si="12"/>
        <v>476.1653393382785</v>
      </c>
      <c r="D555" s="550"/>
      <c r="E555" s="3121">
        <v>2.1999999999999999E-2</v>
      </c>
      <c r="F555" s="829"/>
    </row>
    <row r="556" spans="1:6">
      <c r="A556" s="280">
        <f t="shared" si="11"/>
        <v>2014.07</v>
      </c>
      <c r="B556" s="343"/>
      <c r="C556" s="2399">
        <f t="shared" si="12"/>
        <v>487.92662321993396</v>
      </c>
      <c r="D556" s="550"/>
      <c r="E556" s="3121">
        <v>2.47E-2</v>
      </c>
      <c r="F556" s="829"/>
    </row>
    <row r="557" spans="1:6">
      <c r="A557" s="280">
        <f t="shared" si="11"/>
        <v>2014.08</v>
      </c>
      <c r="B557" s="343"/>
      <c r="C557" s="2399">
        <f t="shared" si="12"/>
        <v>500.85667873526216</v>
      </c>
      <c r="D557" s="550"/>
      <c r="E557" s="3121">
        <v>2.6499999999999999E-2</v>
      </c>
      <c r="F557" s="829"/>
    </row>
    <row r="558" spans="1:6">
      <c r="A558" s="280">
        <f t="shared" si="11"/>
        <v>2014.09</v>
      </c>
      <c r="B558" s="343"/>
      <c r="C558" s="2399">
        <f t="shared" si="12"/>
        <v>513.27792436789662</v>
      </c>
      <c r="D558" s="550"/>
      <c r="E558" s="3121">
        <v>2.4799999999999999E-2</v>
      </c>
      <c r="F558" s="829"/>
    </row>
    <row r="559" spans="1:6">
      <c r="A559" s="280">
        <f t="shared" si="11"/>
        <v>2014.1</v>
      </c>
      <c r="B559" s="343"/>
      <c r="C559" s="2399">
        <f t="shared" si="12"/>
        <v>524.82667766617431</v>
      </c>
      <c r="D559" s="550"/>
      <c r="E559" s="3121">
        <v>2.2499999999999999E-2</v>
      </c>
      <c r="F559" s="829"/>
    </row>
    <row r="560" spans="1:6">
      <c r="A560" s="280">
        <f t="shared" si="11"/>
        <v>2014.11</v>
      </c>
      <c r="B560" s="343"/>
      <c r="C560" s="2399">
        <f t="shared" si="12"/>
        <v>534.58845387076508</v>
      </c>
      <c r="D560" s="550"/>
      <c r="E560" s="3121">
        <v>1.8599999999999998E-2</v>
      </c>
      <c r="F560" s="829"/>
    </row>
    <row r="561" spans="1:6">
      <c r="A561" s="280">
        <f t="shared" si="11"/>
        <v>2014.12</v>
      </c>
      <c r="B561" s="343"/>
      <c r="C561" s="2399">
        <f t="shared" si="12"/>
        <v>544.5852579581483</v>
      </c>
      <c r="D561" s="550"/>
      <c r="E561" s="3121">
        <v>1.8700000000000001E-2</v>
      </c>
      <c r="F561" s="829"/>
    </row>
    <row r="562" spans="1:6">
      <c r="A562" s="280">
        <f t="shared" si="11"/>
        <v>2015.01</v>
      </c>
      <c r="B562" s="343"/>
      <c r="C562" s="2399">
        <f t="shared" si="12"/>
        <v>555.91263132367772</v>
      </c>
      <c r="D562" s="550"/>
      <c r="E562" s="3121">
        <v>2.0799999999999999E-2</v>
      </c>
      <c r="F562" s="829"/>
    </row>
    <row r="563" spans="1:6">
      <c r="A563" s="280">
        <f t="shared" si="11"/>
        <v>2015.02</v>
      </c>
      <c r="B563" s="343"/>
      <c r="C563" s="2399">
        <f t="shared" si="12"/>
        <v>564.14013826726807</v>
      </c>
      <c r="D563" s="550"/>
      <c r="E563" s="3121">
        <v>1.4800000000000001E-2</v>
      </c>
      <c r="F563" s="176"/>
    </row>
    <row r="564" spans="1:6">
      <c r="A564" s="280">
        <f t="shared" si="11"/>
        <v>2015.03</v>
      </c>
      <c r="B564" s="343"/>
      <c r="C564" s="2399">
        <f t="shared" si="12"/>
        <v>576.09990919853419</v>
      </c>
      <c r="D564" s="550"/>
      <c r="E564" s="3121">
        <v>2.12E-2</v>
      </c>
      <c r="F564" s="176"/>
    </row>
    <row r="565" spans="1:6">
      <c r="A565" s="280">
        <f t="shared" si="11"/>
        <v>2015.04</v>
      </c>
      <c r="B565" s="343"/>
      <c r="C565" s="2399">
        <f t="shared" si="12"/>
        <v>587.67951737342469</v>
      </c>
      <c r="D565" s="550"/>
      <c r="E565" s="3121">
        <v>2.01E-2</v>
      </c>
      <c r="F565" s="176"/>
    </row>
    <row r="566" spans="1:6">
      <c r="A566" s="280">
        <f t="shared" si="11"/>
        <v>2015.05</v>
      </c>
      <c r="B566" s="343"/>
      <c r="C566" s="2399">
        <f t="shared" si="12"/>
        <v>599.55064362436781</v>
      </c>
      <c r="D566" s="550"/>
      <c r="E566" s="3121">
        <v>2.0199999999999999E-2</v>
      </c>
      <c r="F566" s="176"/>
    </row>
    <row r="567" spans="1:6">
      <c r="A567" s="280">
        <f t="shared" si="11"/>
        <v>2015.06</v>
      </c>
      <c r="B567" s="343"/>
      <c r="C567" s="2399">
        <f t="shared" si="12"/>
        <v>608.72376847182068</v>
      </c>
      <c r="D567" s="550"/>
      <c r="E567" s="3121">
        <v>1.5299999999999999E-2</v>
      </c>
      <c r="F567" s="176"/>
    </row>
    <row r="568" spans="1:6">
      <c r="A568" s="280">
        <f t="shared" si="11"/>
        <v>2015.07</v>
      </c>
      <c r="B568" s="343"/>
      <c r="C568" s="2399">
        <f t="shared" si="12"/>
        <v>620.41126482647974</v>
      </c>
      <c r="D568" s="550"/>
      <c r="E568" s="3121">
        <v>1.9199999999999998E-2</v>
      </c>
      <c r="F568" s="176"/>
    </row>
    <row r="569" spans="1:6">
      <c r="A569" s="280">
        <f t="shared" si="11"/>
        <v>2015.08</v>
      </c>
      <c r="B569" s="343"/>
      <c r="C569" s="2399">
        <f t="shared" si="12"/>
        <v>633.87418927321437</v>
      </c>
      <c r="D569" s="550"/>
      <c r="E569" s="3121">
        <v>2.1700000000000001E-2</v>
      </c>
      <c r="F569" s="176"/>
    </row>
    <row r="570" spans="1:6">
      <c r="A570" s="280">
        <f t="shared" si="11"/>
        <v>2015.09</v>
      </c>
      <c r="B570" s="343"/>
      <c r="C570" s="2399">
        <f t="shared" si="12"/>
        <v>646.04457370726016</v>
      </c>
      <c r="D570" s="550"/>
      <c r="E570" s="3121">
        <v>1.9199999999999998E-2</v>
      </c>
      <c r="F570" s="176"/>
    </row>
    <row r="571" spans="1:6">
      <c r="A571" s="280">
        <f t="shared" si="11"/>
        <v>2015.1</v>
      </c>
      <c r="B571" s="343"/>
      <c r="C571" s="2399">
        <f t="shared" si="12"/>
        <v>655.86445122761063</v>
      </c>
      <c r="D571" s="550"/>
      <c r="E571" s="3121">
        <v>1.52E-2</v>
      </c>
      <c r="F571" s="176"/>
    </row>
    <row r="572" spans="1:6">
      <c r="A572" s="280">
        <f t="shared" si="11"/>
        <v>2015.11</v>
      </c>
      <c r="B572" s="343"/>
      <c r="C572" s="2399">
        <f>C571*(1+E572)</f>
        <v>670.29346915461804</v>
      </c>
      <c r="D572" s="550"/>
      <c r="E572" s="3121">
        <v>2.1999999999999999E-2</v>
      </c>
      <c r="F572" s="176"/>
    </row>
    <row r="573" spans="1:6">
      <c r="A573" s="280">
        <f t="shared" si="11"/>
        <v>2015.12</v>
      </c>
      <c r="B573" s="343"/>
      <c r="C573" s="2399">
        <f t="shared" si="12"/>
        <v>695.76462098249351</v>
      </c>
      <c r="D573" s="550"/>
      <c r="E573" s="3121">
        <v>3.7999999999999999E-2</v>
      </c>
      <c r="F573" s="176"/>
    </row>
    <row r="574" spans="1:6">
      <c r="A574" s="280">
        <f t="shared" si="11"/>
        <v>2016.01</v>
      </c>
      <c r="B574" s="343"/>
      <c r="C574" s="2399">
        <f t="shared" si="12"/>
        <v>720.81214733786328</v>
      </c>
      <c r="D574" s="550"/>
      <c r="E574" s="3121">
        <v>3.5999999999999997E-2</v>
      </c>
      <c r="F574" s="176"/>
    </row>
    <row r="575" spans="1:6">
      <c r="A575" s="280">
        <f t="shared" si="11"/>
        <v>2016.02</v>
      </c>
      <c r="B575" s="343"/>
      <c r="C575" s="2399">
        <f t="shared" si="12"/>
        <v>755.41113041008077</v>
      </c>
      <c r="D575" s="550"/>
      <c r="E575" s="3121">
        <v>4.8000000000000001E-2</v>
      </c>
      <c r="F575" s="176"/>
    </row>
    <row r="576" spans="1:6">
      <c r="A576" s="280">
        <f t="shared" si="11"/>
        <v>2016.03</v>
      </c>
      <c r="B576" s="343"/>
      <c r="C576" s="2399">
        <f t="shared" si="12"/>
        <v>779.58428658320338</v>
      </c>
      <c r="D576" s="550"/>
      <c r="E576" s="3121">
        <v>3.2000000000000001E-2</v>
      </c>
      <c r="F576" s="176"/>
    </row>
    <row r="577" spans="1:6">
      <c r="A577" s="280">
        <f t="shared" si="11"/>
        <v>2016.04</v>
      </c>
      <c r="B577" s="343"/>
      <c r="C577" s="2399">
        <f t="shared" si="12"/>
        <v>831.81643378427793</v>
      </c>
      <c r="D577" s="550"/>
      <c r="E577" s="3121">
        <v>6.7000000000000004E-2</v>
      </c>
      <c r="F577" s="176"/>
    </row>
    <row r="578" spans="1:6">
      <c r="A578" s="280">
        <f t="shared" si="11"/>
        <v>2016.05</v>
      </c>
      <c r="B578" s="343"/>
      <c r="C578" s="2399">
        <f t="shared" si="12"/>
        <v>860.93000896672754</v>
      </c>
      <c r="D578" s="550"/>
      <c r="E578" s="3121">
        <v>3.5000000000000003E-2</v>
      </c>
      <c r="F578" s="176"/>
    </row>
    <row r="579" spans="1:6">
      <c r="A579" s="280">
        <f t="shared" si="11"/>
        <v>2016.06</v>
      </c>
      <c r="B579" s="343"/>
      <c r="C579" s="2399">
        <f t="shared" si="12"/>
        <v>885.8969792267626</v>
      </c>
      <c r="D579" s="550"/>
      <c r="E579" s="3121">
        <v>2.9000000000000001E-2</v>
      </c>
      <c r="F579" s="176"/>
    </row>
    <row r="580" spans="1:6">
      <c r="A580" s="280">
        <f t="shared" si="11"/>
        <v>2016.07</v>
      </c>
      <c r="B580" s="343"/>
      <c r="C580" s="2399">
        <f t="shared" si="12"/>
        <v>907.15850672820488</v>
      </c>
      <c r="D580" s="550"/>
      <c r="E580" s="3121">
        <v>2.4E-2</v>
      </c>
      <c r="F580" s="176"/>
    </row>
    <row r="581" spans="1:6">
      <c r="A581" s="280">
        <f t="shared" si="11"/>
        <v>2016.08</v>
      </c>
      <c r="B581" s="343"/>
      <c r="C581" s="2399">
        <f t="shared" si="12"/>
        <v>911.6942992618458</v>
      </c>
      <c r="D581" s="550"/>
      <c r="E581" s="3121">
        <v>5.0000000000000001E-3</v>
      </c>
      <c r="F581" s="176"/>
    </row>
    <row r="582" spans="1:6">
      <c r="A582" s="280">
        <f t="shared" si="11"/>
        <v>2016.09</v>
      </c>
      <c r="B582" s="343"/>
      <c r="C582" s="2399">
        <f t="shared" ref="C582:C596" si="13">C581*(1+E582)</f>
        <v>918.98785365594063</v>
      </c>
      <c r="D582" s="550"/>
      <c r="E582" s="3121">
        <v>8.0000000000000002E-3</v>
      </c>
      <c r="F582" s="176"/>
    </row>
    <row r="583" spans="1:6">
      <c r="A583" s="280">
        <f t="shared" si="11"/>
        <v>2016.1</v>
      </c>
      <c r="B583" s="343"/>
      <c r="C583" s="2399">
        <f t="shared" si="13"/>
        <v>945.63850141196281</v>
      </c>
      <c r="D583" s="550"/>
      <c r="E583" s="3121">
        <v>2.9000000000000001E-2</v>
      </c>
      <c r="F583" s="176"/>
    </row>
    <row r="584" spans="1:6">
      <c r="A584" s="280">
        <f t="shared" si="11"/>
        <v>2016.11</v>
      </c>
      <c r="B584" s="343"/>
      <c r="C584" s="2399">
        <f t="shared" si="13"/>
        <v>963.60563293879</v>
      </c>
      <c r="D584" s="550"/>
      <c r="E584" s="3121">
        <v>1.9E-2</v>
      </c>
      <c r="F584" s="176"/>
    </row>
    <row r="585" spans="1:6">
      <c r="A585" s="280">
        <f t="shared" si="11"/>
        <v>2016.12</v>
      </c>
      <c r="B585" s="343"/>
      <c r="C585" s="2399">
        <f t="shared" si="13"/>
        <v>979.0233230658107</v>
      </c>
      <c r="D585" s="550"/>
      <c r="E585" s="3121">
        <v>1.6E-2</v>
      </c>
      <c r="F585" s="176"/>
    </row>
    <row r="586" spans="1:6">
      <c r="A586" s="280">
        <f t="shared" si="11"/>
        <v>2017.01</v>
      </c>
      <c r="B586" s="343"/>
      <c r="C586" s="2399">
        <f t="shared" si="13"/>
        <v>994.68769623486367</v>
      </c>
      <c r="D586" s="550"/>
      <c r="E586" s="3121">
        <v>1.6E-2</v>
      </c>
      <c r="F586" s="176"/>
    </row>
    <row r="587" spans="1:6">
      <c r="A587" s="280">
        <f t="shared" si="11"/>
        <v>2017.02</v>
      </c>
      <c r="B587" s="343"/>
      <c r="C587" s="2399">
        <f>C586*(1+E587)</f>
        <v>1015.5761378557958</v>
      </c>
      <c r="D587" s="550"/>
      <c r="E587" s="3121">
        <v>2.1000000000000001E-2</v>
      </c>
      <c r="F587" s="281"/>
    </row>
    <row r="588" spans="1:6">
      <c r="A588" s="280">
        <f t="shared" si="11"/>
        <v>2017.03</v>
      </c>
      <c r="B588" s="343"/>
      <c r="C588" s="2399">
        <f t="shared" si="13"/>
        <v>1037.9188128886233</v>
      </c>
      <c r="D588" s="550"/>
      <c r="E588" s="3121">
        <v>2.1999999999999999E-2</v>
      </c>
      <c r="F588" s="176"/>
    </row>
    <row r="589" spans="1:6">
      <c r="A589" s="280">
        <f t="shared" si="11"/>
        <v>2017.04</v>
      </c>
      <c r="B589" s="343"/>
      <c r="C589" s="2399">
        <f t="shared" si="13"/>
        <v>1059.7151079592843</v>
      </c>
      <c r="D589" s="550"/>
      <c r="E589" s="3121">
        <v>2.1000000000000001E-2</v>
      </c>
      <c r="F589" s="176"/>
    </row>
    <row r="590" spans="1:6">
      <c r="A590" s="280">
        <f t="shared" si="11"/>
        <v>2017.05</v>
      </c>
      <c r="B590" s="343"/>
      <c r="C590" s="2399">
        <f t="shared" si="13"/>
        <v>1078.7899799025515</v>
      </c>
      <c r="D590" s="550"/>
      <c r="E590" s="3121">
        <v>1.7999999999999999E-2</v>
      </c>
      <c r="F590" s="176"/>
    </row>
    <row r="591" spans="1:6">
      <c r="A591" s="280">
        <f t="shared" si="11"/>
        <v>2017.06</v>
      </c>
      <c r="B591" s="343"/>
      <c r="C591" s="2399">
        <f t="shared" si="13"/>
        <v>1092.8142496412845</v>
      </c>
      <c r="D591" s="550"/>
      <c r="E591" s="3121">
        <v>1.2999999999999999E-2</v>
      </c>
      <c r="F591" s="176"/>
    </row>
    <row r="592" spans="1:6">
      <c r="A592" s="280">
        <f t="shared" si="11"/>
        <v>2017.07</v>
      </c>
      <c r="B592" s="343"/>
      <c r="C592" s="2399">
        <f t="shared" si="13"/>
        <v>1115.7633488837514</v>
      </c>
      <c r="D592" s="550"/>
      <c r="E592" s="3121">
        <v>2.1000000000000001E-2</v>
      </c>
      <c r="F592" s="176"/>
    </row>
    <row r="593" spans="1:5">
      <c r="A593" s="280">
        <f t="shared" si="11"/>
        <v>2017.08</v>
      </c>
      <c r="B593" s="343"/>
      <c r="C593" s="2399">
        <f t="shared" si="13"/>
        <v>1132.4997991170076</v>
      </c>
      <c r="D593" s="551"/>
      <c r="E593" s="3121">
        <v>1.4999999999999999E-2</v>
      </c>
    </row>
    <row r="594" spans="1:5">
      <c r="A594" s="280">
        <f t="shared" si="11"/>
        <v>2017.09</v>
      </c>
      <c r="B594" s="343"/>
      <c r="C594" s="2399">
        <f>C593*(1+E594)</f>
        <v>1150.6197959028798</v>
      </c>
      <c r="D594" s="551"/>
      <c r="E594" s="3121">
        <v>1.6E-2</v>
      </c>
    </row>
    <row r="595" spans="1:5">
      <c r="A595" s="280">
        <f t="shared" si="11"/>
        <v>2017.1</v>
      </c>
      <c r="B595" s="343"/>
      <c r="C595" s="2399">
        <f t="shared" si="13"/>
        <v>1167.8790928414228</v>
      </c>
      <c r="D595" s="551"/>
      <c r="E595" s="3121">
        <v>1.4999999999999999E-2</v>
      </c>
    </row>
    <row r="596" spans="1:5">
      <c r="A596" s="280">
        <f t="shared" si="11"/>
        <v>2017.11</v>
      </c>
      <c r="B596" s="343"/>
      <c r="C596" s="2399">
        <f t="shared" si="13"/>
        <v>1184.2294001412026</v>
      </c>
      <c r="D596" s="551"/>
      <c r="E596" s="3121">
        <v>1.4E-2</v>
      </c>
    </row>
    <row r="597" spans="1:5">
      <c r="A597" s="280">
        <f t="shared" si="11"/>
        <v>2017.12</v>
      </c>
      <c r="B597" s="343"/>
      <c r="C597" s="2399">
        <f>C596*(1+E597)</f>
        <v>1220.9405115455797</v>
      </c>
      <c r="D597" s="551"/>
      <c r="E597" s="3121">
        <v>3.1E-2</v>
      </c>
    </row>
    <row r="598" spans="1:5">
      <c r="A598" s="280">
        <f t="shared" si="11"/>
        <v>2018.01</v>
      </c>
      <c r="B598" s="343"/>
      <c r="C598" s="3122" t="s">
        <v>1076</v>
      </c>
      <c r="D598" s="551"/>
      <c r="E598" s="3122" t="s">
        <v>1076</v>
      </c>
    </row>
    <row r="599" spans="1:5">
      <c r="A599" s="280">
        <f t="shared" si="11"/>
        <v>2018.02</v>
      </c>
      <c r="B599" s="343"/>
      <c r="C599" s="344"/>
      <c r="D599" s="551"/>
      <c r="E599" s="3122"/>
    </row>
    <row r="600" spans="1:5">
      <c r="A600" s="280">
        <f t="shared" si="11"/>
        <v>2018.03</v>
      </c>
      <c r="B600" s="343"/>
      <c r="C600" s="344"/>
      <c r="D600" s="551"/>
      <c r="E600" s="3122"/>
    </row>
    <row r="601" spans="1:5">
      <c r="A601" s="280">
        <f t="shared" si="11"/>
        <v>2018.04</v>
      </c>
      <c r="B601" s="343"/>
      <c r="C601" s="344"/>
      <c r="D601" s="551"/>
      <c r="E601" s="3122"/>
    </row>
    <row r="602" spans="1:5">
      <c r="A602" s="280">
        <f t="shared" si="11"/>
        <v>2018.05</v>
      </c>
      <c r="B602" s="343"/>
      <c r="C602" s="344"/>
      <c r="D602" s="551"/>
      <c r="E602" s="3122"/>
    </row>
    <row r="603" spans="1:5">
      <c r="A603" s="280">
        <f t="shared" si="11"/>
        <v>2018.06</v>
      </c>
      <c r="B603" s="343"/>
      <c r="C603" s="344"/>
      <c r="D603" s="551"/>
      <c r="E603" s="3122"/>
    </row>
    <row r="604" spans="1:5">
      <c r="A604" s="280">
        <f t="shared" si="11"/>
        <v>2018.07</v>
      </c>
      <c r="B604" s="343"/>
      <c r="C604" s="344"/>
      <c r="D604" s="551"/>
      <c r="E604" s="3122"/>
    </row>
    <row r="605" spans="1:5">
      <c r="A605" s="280">
        <f t="shared" si="11"/>
        <v>2018.08</v>
      </c>
      <c r="B605" s="343"/>
      <c r="C605" s="344"/>
      <c r="D605" s="551"/>
      <c r="E605" s="3122"/>
    </row>
    <row r="606" spans="1:5">
      <c r="A606" s="280">
        <f t="shared" ref="A606:A669" si="14">A594+1</f>
        <v>2018.09</v>
      </c>
      <c r="B606" s="343"/>
      <c r="C606" s="344"/>
      <c r="D606" s="551"/>
      <c r="E606" s="3122"/>
    </row>
    <row r="607" spans="1:5">
      <c r="A607" s="280">
        <f t="shared" si="14"/>
        <v>2018.1</v>
      </c>
      <c r="B607" s="343"/>
      <c r="C607" s="344"/>
      <c r="D607" s="551"/>
      <c r="E607" s="3122"/>
    </row>
    <row r="608" spans="1:5">
      <c r="A608" s="280">
        <f t="shared" si="14"/>
        <v>2018.11</v>
      </c>
      <c r="B608" s="343"/>
      <c r="C608" s="344"/>
      <c r="D608" s="551"/>
      <c r="E608" s="3122"/>
    </row>
    <row r="609" spans="1:5">
      <c r="A609" s="280">
        <f t="shared" si="14"/>
        <v>2018.12</v>
      </c>
      <c r="B609" s="343"/>
      <c r="C609" s="344"/>
      <c r="D609" s="551"/>
      <c r="E609" s="3122"/>
    </row>
    <row r="610" spans="1:5">
      <c r="A610" s="280">
        <f t="shared" si="14"/>
        <v>2019.01</v>
      </c>
      <c r="B610" s="343"/>
      <c r="C610" s="344"/>
      <c r="D610" s="551"/>
      <c r="E610" s="3122"/>
    </row>
    <row r="611" spans="1:5">
      <c r="A611" s="280">
        <f t="shared" si="14"/>
        <v>2019.02</v>
      </c>
      <c r="B611" s="343"/>
      <c r="C611" s="344"/>
      <c r="D611" s="551"/>
      <c r="E611" s="3122"/>
    </row>
    <row r="612" spans="1:5">
      <c r="A612" s="280">
        <f t="shared" si="14"/>
        <v>2019.03</v>
      </c>
      <c r="B612" s="343"/>
      <c r="C612" s="344"/>
      <c r="D612" s="551"/>
      <c r="E612" s="3122"/>
    </row>
    <row r="613" spans="1:5">
      <c r="A613" s="280">
        <f t="shared" si="14"/>
        <v>2019.04</v>
      </c>
      <c r="B613" s="343"/>
      <c r="C613" s="344"/>
      <c r="D613" s="551"/>
      <c r="E613" s="3122"/>
    </row>
    <row r="614" spans="1:5">
      <c r="A614" s="280">
        <f t="shared" si="14"/>
        <v>2019.05</v>
      </c>
      <c r="B614" s="343"/>
      <c r="C614" s="344"/>
      <c r="D614" s="551"/>
      <c r="E614" s="3122"/>
    </row>
    <row r="615" spans="1:5">
      <c r="A615" s="280">
        <f t="shared" si="14"/>
        <v>2019.06</v>
      </c>
      <c r="B615" s="343"/>
      <c r="C615" s="344"/>
      <c r="D615" s="551"/>
      <c r="E615" s="3122"/>
    </row>
    <row r="616" spans="1:5">
      <c r="A616" s="280">
        <f t="shared" si="14"/>
        <v>2019.07</v>
      </c>
      <c r="B616" s="343"/>
      <c r="C616" s="344"/>
      <c r="D616" s="551"/>
      <c r="E616" s="3122"/>
    </row>
    <row r="617" spans="1:5">
      <c r="A617" s="280">
        <f t="shared" si="14"/>
        <v>2019.08</v>
      </c>
      <c r="B617" s="343"/>
      <c r="C617" s="344"/>
      <c r="D617" s="551"/>
      <c r="E617" s="3122"/>
    </row>
    <row r="618" spans="1:5">
      <c r="A618" s="280">
        <f t="shared" si="14"/>
        <v>2019.09</v>
      </c>
      <c r="B618" s="343"/>
      <c r="C618" s="344"/>
      <c r="D618" s="551"/>
      <c r="E618" s="3122"/>
    </row>
    <row r="619" spans="1:5">
      <c r="A619" s="280">
        <f t="shared" si="14"/>
        <v>2019.1</v>
      </c>
      <c r="B619" s="343"/>
      <c r="C619" s="344"/>
      <c r="D619" s="551"/>
      <c r="E619" s="3122"/>
    </row>
    <row r="620" spans="1:5">
      <c r="A620" s="280">
        <f t="shared" si="14"/>
        <v>2019.11</v>
      </c>
      <c r="B620" s="343"/>
      <c r="C620" s="344"/>
      <c r="D620" s="551"/>
      <c r="E620" s="3122"/>
    </row>
    <row r="621" spans="1:5">
      <c r="A621" s="280">
        <f t="shared" si="14"/>
        <v>2019.12</v>
      </c>
      <c r="B621" s="343"/>
      <c r="C621" s="344"/>
      <c r="D621" s="551"/>
      <c r="E621" s="3122"/>
    </row>
    <row r="622" spans="1:5">
      <c r="A622" s="280">
        <f t="shared" si="14"/>
        <v>2020.01</v>
      </c>
      <c r="B622" s="343"/>
      <c r="C622" s="344"/>
      <c r="D622" s="551"/>
      <c r="E622" s="3122"/>
    </row>
    <row r="623" spans="1:5">
      <c r="A623" s="280">
        <f t="shared" si="14"/>
        <v>2020.02</v>
      </c>
      <c r="B623" s="343"/>
      <c r="C623" s="344"/>
      <c r="D623" s="551"/>
      <c r="E623" s="3122"/>
    </row>
    <row r="624" spans="1:5">
      <c r="A624" s="280">
        <f t="shared" si="14"/>
        <v>2020.03</v>
      </c>
      <c r="B624" s="343"/>
      <c r="C624" s="344"/>
      <c r="D624" s="551"/>
      <c r="E624" s="3122"/>
    </row>
    <row r="625" spans="1:5">
      <c r="A625" s="280">
        <f t="shared" si="14"/>
        <v>2020.04</v>
      </c>
      <c r="B625" s="343"/>
      <c r="C625" s="344"/>
      <c r="D625" s="551"/>
      <c r="E625" s="3122"/>
    </row>
    <row r="626" spans="1:5">
      <c r="A626" s="280">
        <f t="shared" si="14"/>
        <v>2020.05</v>
      </c>
      <c r="B626" s="343"/>
      <c r="C626" s="344"/>
      <c r="D626" s="551"/>
      <c r="E626" s="3122"/>
    </row>
    <row r="627" spans="1:5">
      <c r="A627" s="280">
        <f t="shared" si="14"/>
        <v>2020.06</v>
      </c>
      <c r="B627" s="343"/>
      <c r="C627" s="344"/>
      <c r="D627" s="551"/>
      <c r="E627" s="3122"/>
    </row>
    <row r="628" spans="1:5">
      <c r="A628" s="280">
        <f t="shared" si="14"/>
        <v>2020.07</v>
      </c>
      <c r="B628" s="343"/>
      <c r="C628" s="344"/>
      <c r="D628" s="551"/>
      <c r="E628" s="3122"/>
    </row>
    <row r="629" spans="1:5">
      <c r="A629" s="280">
        <f t="shared" si="14"/>
        <v>2020.08</v>
      </c>
      <c r="B629" s="343"/>
      <c r="C629" s="344"/>
      <c r="D629" s="551"/>
      <c r="E629" s="3122"/>
    </row>
    <row r="630" spans="1:5">
      <c r="A630" s="280">
        <f t="shared" si="14"/>
        <v>2020.09</v>
      </c>
      <c r="B630" s="343"/>
      <c r="C630" s="344"/>
      <c r="D630" s="551"/>
      <c r="E630" s="3122"/>
    </row>
    <row r="631" spans="1:5">
      <c r="A631" s="280">
        <f t="shared" si="14"/>
        <v>2020.1</v>
      </c>
      <c r="B631" s="343"/>
      <c r="C631" s="344"/>
      <c r="D631" s="551"/>
      <c r="E631" s="3122"/>
    </row>
    <row r="632" spans="1:5">
      <c r="A632" s="280">
        <f t="shared" si="14"/>
        <v>2020.11</v>
      </c>
      <c r="B632" s="343"/>
      <c r="C632" s="344"/>
      <c r="D632" s="551"/>
      <c r="E632" s="3122"/>
    </row>
    <row r="633" spans="1:5">
      <c r="A633" s="280">
        <f t="shared" si="14"/>
        <v>2020.12</v>
      </c>
      <c r="B633" s="343"/>
      <c r="C633" s="344"/>
      <c r="D633" s="551"/>
      <c r="E633" s="3122"/>
    </row>
    <row r="634" spans="1:5">
      <c r="A634" s="280">
        <f t="shared" si="14"/>
        <v>2021.01</v>
      </c>
      <c r="B634" s="343"/>
      <c r="C634" s="344"/>
      <c r="D634" s="551"/>
      <c r="E634" s="3122"/>
    </row>
    <row r="635" spans="1:5">
      <c r="A635" s="280">
        <f t="shared" si="14"/>
        <v>2021.02</v>
      </c>
      <c r="B635" s="343"/>
      <c r="C635" s="344"/>
      <c r="D635" s="551"/>
      <c r="E635" s="3122"/>
    </row>
    <row r="636" spans="1:5">
      <c r="A636" s="280">
        <f t="shared" si="14"/>
        <v>2021.03</v>
      </c>
      <c r="B636" s="343"/>
      <c r="C636" s="344"/>
      <c r="D636" s="551"/>
      <c r="E636" s="3122"/>
    </row>
    <row r="637" spans="1:5">
      <c r="A637" s="280">
        <f t="shared" si="14"/>
        <v>2021.04</v>
      </c>
      <c r="B637" s="343"/>
      <c r="C637" s="344"/>
      <c r="D637" s="551"/>
      <c r="E637" s="3122"/>
    </row>
    <row r="638" spans="1:5">
      <c r="A638" s="280">
        <f t="shared" si="14"/>
        <v>2021.05</v>
      </c>
      <c r="B638" s="343"/>
      <c r="C638" s="344"/>
      <c r="D638" s="551"/>
      <c r="E638" s="3122"/>
    </row>
    <row r="639" spans="1:5">
      <c r="A639" s="280">
        <f t="shared" si="14"/>
        <v>2021.06</v>
      </c>
      <c r="B639" s="343"/>
      <c r="C639" s="344"/>
      <c r="D639" s="551"/>
      <c r="E639" s="3122"/>
    </row>
    <row r="640" spans="1:5">
      <c r="A640" s="280">
        <f t="shared" si="14"/>
        <v>2021.07</v>
      </c>
      <c r="B640" s="343"/>
      <c r="C640" s="344"/>
      <c r="D640" s="551"/>
      <c r="E640" s="3122"/>
    </row>
    <row r="641" spans="1:5">
      <c r="A641" s="280">
        <f t="shared" si="14"/>
        <v>2021.08</v>
      </c>
      <c r="B641" s="343"/>
      <c r="C641" s="344"/>
      <c r="D641" s="551"/>
      <c r="E641" s="3122"/>
    </row>
    <row r="642" spans="1:5">
      <c r="A642" s="280">
        <f t="shared" si="14"/>
        <v>2021.09</v>
      </c>
      <c r="B642" s="343"/>
      <c r="C642" s="344"/>
      <c r="D642" s="551"/>
      <c r="E642" s="3122"/>
    </row>
    <row r="643" spans="1:5">
      <c r="A643" s="280">
        <f t="shared" si="14"/>
        <v>2021.1</v>
      </c>
      <c r="B643" s="343"/>
      <c r="C643" s="344"/>
      <c r="D643" s="551"/>
      <c r="E643" s="3122"/>
    </row>
    <row r="644" spans="1:5">
      <c r="A644" s="280">
        <f t="shared" si="14"/>
        <v>2021.11</v>
      </c>
      <c r="B644" s="343"/>
      <c r="C644" s="344"/>
      <c r="D644" s="551"/>
      <c r="E644" s="3122"/>
    </row>
    <row r="645" spans="1:5">
      <c r="A645" s="280">
        <f t="shared" si="14"/>
        <v>2021.12</v>
      </c>
      <c r="B645" s="343"/>
      <c r="C645" s="344"/>
      <c r="D645" s="551"/>
      <c r="E645" s="3122"/>
    </row>
    <row r="646" spans="1:5">
      <c r="A646" s="280">
        <f t="shared" si="14"/>
        <v>2022.01</v>
      </c>
      <c r="B646" s="343"/>
      <c r="C646" s="344"/>
      <c r="D646" s="551"/>
      <c r="E646" s="3122"/>
    </row>
    <row r="647" spans="1:5">
      <c r="A647" s="280">
        <f t="shared" si="14"/>
        <v>2022.02</v>
      </c>
      <c r="B647" s="343"/>
      <c r="C647" s="344"/>
      <c r="D647" s="551"/>
      <c r="E647" s="3122"/>
    </row>
    <row r="648" spans="1:5">
      <c r="A648" s="280">
        <f t="shared" si="14"/>
        <v>2022.03</v>
      </c>
      <c r="B648" s="343"/>
      <c r="C648" s="344"/>
      <c r="D648" s="551"/>
      <c r="E648" s="3122"/>
    </row>
    <row r="649" spans="1:5">
      <c r="A649" s="280">
        <f t="shared" si="14"/>
        <v>2022.04</v>
      </c>
      <c r="B649" s="343"/>
      <c r="C649" s="344"/>
      <c r="D649" s="551"/>
      <c r="E649" s="3122"/>
    </row>
    <row r="650" spans="1:5">
      <c r="A650" s="280">
        <f t="shared" si="14"/>
        <v>2022.05</v>
      </c>
      <c r="B650" s="343"/>
      <c r="C650" s="344"/>
      <c r="D650" s="551"/>
      <c r="E650" s="3122"/>
    </row>
    <row r="651" spans="1:5">
      <c r="A651" s="280">
        <f t="shared" si="14"/>
        <v>2022.06</v>
      </c>
      <c r="B651" s="343"/>
      <c r="C651" s="344"/>
      <c r="D651" s="551"/>
      <c r="E651" s="3122"/>
    </row>
    <row r="652" spans="1:5">
      <c r="A652" s="280">
        <f t="shared" si="14"/>
        <v>2022.07</v>
      </c>
      <c r="B652" s="343"/>
      <c r="C652" s="344"/>
      <c r="D652" s="551"/>
      <c r="E652" s="3122"/>
    </row>
    <row r="653" spans="1:5">
      <c r="A653" s="280">
        <f t="shared" si="14"/>
        <v>2022.08</v>
      </c>
      <c r="B653" s="343"/>
      <c r="C653" s="344"/>
      <c r="D653" s="551"/>
      <c r="E653" s="3122"/>
    </row>
    <row r="654" spans="1:5">
      <c r="A654" s="280">
        <f t="shared" si="14"/>
        <v>2022.09</v>
      </c>
      <c r="B654" s="343"/>
      <c r="C654" s="344"/>
      <c r="D654" s="551"/>
      <c r="E654" s="3122"/>
    </row>
    <row r="655" spans="1:5">
      <c r="A655" s="280">
        <f t="shared" si="14"/>
        <v>2022.1</v>
      </c>
      <c r="B655" s="343"/>
      <c r="C655" s="344"/>
      <c r="D655" s="551"/>
      <c r="E655" s="3122"/>
    </row>
    <row r="656" spans="1:5">
      <c r="A656" s="280">
        <f t="shared" si="14"/>
        <v>2022.11</v>
      </c>
      <c r="B656" s="343"/>
      <c r="C656" s="344"/>
      <c r="D656" s="551"/>
      <c r="E656" s="3122"/>
    </row>
    <row r="657" spans="1:5">
      <c r="A657" s="280">
        <f t="shared" si="14"/>
        <v>2022.12</v>
      </c>
      <c r="B657" s="343"/>
      <c r="C657" s="344"/>
      <c r="D657" s="551"/>
      <c r="E657" s="3122"/>
    </row>
    <row r="658" spans="1:5">
      <c r="A658" s="280">
        <f t="shared" si="14"/>
        <v>2023.01</v>
      </c>
      <c r="B658" s="343"/>
      <c r="C658" s="344"/>
      <c r="D658" s="551"/>
      <c r="E658" s="3122"/>
    </row>
    <row r="659" spans="1:5">
      <c r="A659" s="280">
        <f t="shared" si="14"/>
        <v>2023.02</v>
      </c>
      <c r="B659" s="343"/>
      <c r="C659" s="344"/>
      <c r="D659" s="551"/>
      <c r="E659" s="3122"/>
    </row>
    <row r="660" spans="1:5">
      <c r="A660" s="280">
        <f t="shared" si="14"/>
        <v>2023.03</v>
      </c>
      <c r="B660" s="343"/>
      <c r="C660" s="344"/>
      <c r="D660" s="551"/>
      <c r="E660" s="3122"/>
    </row>
    <row r="661" spans="1:5">
      <c r="A661" s="280">
        <f t="shared" si="14"/>
        <v>2023.04</v>
      </c>
      <c r="B661" s="343"/>
      <c r="C661" s="344"/>
      <c r="D661" s="551"/>
      <c r="E661" s="3122"/>
    </row>
    <row r="662" spans="1:5">
      <c r="A662" s="280">
        <f t="shared" si="14"/>
        <v>2023.05</v>
      </c>
      <c r="B662" s="343"/>
      <c r="C662" s="344"/>
      <c r="D662" s="551"/>
      <c r="E662" s="3122"/>
    </row>
    <row r="663" spans="1:5">
      <c r="A663" s="280">
        <f t="shared" si="14"/>
        <v>2023.06</v>
      </c>
      <c r="B663" s="343"/>
      <c r="C663" s="344"/>
      <c r="D663" s="551"/>
      <c r="E663" s="3122"/>
    </row>
    <row r="664" spans="1:5">
      <c r="A664" s="280">
        <f t="shared" si="14"/>
        <v>2023.07</v>
      </c>
      <c r="B664" s="343"/>
      <c r="C664" s="344"/>
      <c r="D664" s="551"/>
      <c r="E664" s="3122"/>
    </row>
    <row r="665" spans="1:5">
      <c r="A665" s="280">
        <f t="shared" si="14"/>
        <v>2023.08</v>
      </c>
      <c r="B665" s="343"/>
      <c r="C665" s="344"/>
      <c r="D665" s="551"/>
      <c r="E665" s="3122"/>
    </row>
    <row r="666" spans="1:5">
      <c r="A666" s="280">
        <f t="shared" si="14"/>
        <v>2023.09</v>
      </c>
      <c r="B666" s="343"/>
      <c r="C666" s="344"/>
      <c r="D666" s="551"/>
      <c r="E666" s="3122"/>
    </row>
    <row r="667" spans="1:5">
      <c r="A667" s="280">
        <f t="shared" si="14"/>
        <v>2023.1</v>
      </c>
      <c r="B667" s="343"/>
      <c r="C667" s="344"/>
      <c r="D667" s="551"/>
      <c r="E667" s="3122"/>
    </row>
    <row r="668" spans="1:5">
      <c r="A668" s="280">
        <f t="shared" si="14"/>
        <v>2023.11</v>
      </c>
      <c r="B668" s="343"/>
      <c r="C668" s="344"/>
      <c r="D668" s="551"/>
      <c r="E668" s="3122"/>
    </row>
    <row r="669" spans="1:5">
      <c r="A669" s="280">
        <f t="shared" si="14"/>
        <v>2023.12</v>
      </c>
      <c r="B669" s="343"/>
      <c r="C669" s="344"/>
      <c r="D669" s="551"/>
      <c r="E669" s="3122"/>
    </row>
    <row r="670" spans="1:5">
      <c r="A670" s="280">
        <f t="shared" ref="A670:A693" si="15">A658+1</f>
        <v>2024.01</v>
      </c>
      <c r="B670" s="343"/>
      <c r="C670" s="344"/>
      <c r="D670" s="551"/>
      <c r="E670" s="3122"/>
    </row>
    <row r="671" spans="1:5">
      <c r="A671" s="280">
        <f t="shared" si="15"/>
        <v>2024.02</v>
      </c>
      <c r="B671" s="343"/>
      <c r="C671" s="344"/>
      <c r="D671" s="551"/>
      <c r="E671" s="3122"/>
    </row>
    <row r="672" spans="1:5">
      <c r="A672" s="280">
        <f t="shared" si="15"/>
        <v>2024.03</v>
      </c>
      <c r="B672" s="343"/>
      <c r="C672" s="344"/>
      <c r="D672" s="551"/>
      <c r="E672" s="3122"/>
    </row>
    <row r="673" spans="1:5">
      <c r="A673" s="280">
        <f t="shared" si="15"/>
        <v>2024.04</v>
      </c>
      <c r="B673" s="343"/>
      <c r="C673" s="344"/>
      <c r="D673" s="551"/>
      <c r="E673" s="3122"/>
    </row>
    <row r="674" spans="1:5">
      <c r="A674" s="280">
        <f t="shared" si="15"/>
        <v>2024.05</v>
      </c>
      <c r="B674" s="343"/>
      <c r="C674" s="344"/>
      <c r="D674" s="551"/>
      <c r="E674" s="3122"/>
    </row>
    <row r="675" spans="1:5">
      <c r="A675" s="280">
        <f t="shared" si="15"/>
        <v>2024.06</v>
      </c>
      <c r="B675" s="343"/>
      <c r="C675" s="344"/>
      <c r="D675" s="551"/>
      <c r="E675" s="3122"/>
    </row>
    <row r="676" spans="1:5">
      <c r="A676" s="280">
        <f t="shared" si="15"/>
        <v>2024.07</v>
      </c>
      <c r="B676" s="343"/>
      <c r="C676" s="344"/>
      <c r="D676" s="551"/>
      <c r="E676" s="3122"/>
    </row>
    <row r="677" spans="1:5">
      <c r="A677" s="280">
        <f t="shared" si="15"/>
        <v>2024.08</v>
      </c>
      <c r="B677" s="343"/>
      <c r="C677" s="344"/>
      <c r="D677" s="551"/>
      <c r="E677" s="3122"/>
    </row>
    <row r="678" spans="1:5">
      <c r="A678" s="280">
        <f t="shared" si="15"/>
        <v>2024.09</v>
      </c>
      <c r="B678" s="343"/>
      <c r="C678" s="344"/>
      <c r="D678" s="551"/>
      <c r="E678" s="3122"/>
    </row>
    <row r="679" spans="1:5">
      <c r="A679" s="280">
        <f t="shared" si="15"/>
        <v>2024.1</v>
      </c>
      <c r="B679" s="343"/>
      <c r="C679" s="344"/>
      <c r="D679" s="551"/>
      <c r="E679" s="3122"/>
    </row>
    <row r="680" spans="1:5">
      <c r="A680" s="280">
        <f t="shared" si="15"/>
        <v>2024.11</v>
      </c>
      <c r="B680" s="343"/>
      <c r="C680" s="344"/>
      <c r="D680" s="551"/>
      <c r="E680" s="3122"/>
    </row>
    <row r="681" spans="1:5">
      <c r="A681" s="280">
        <f t="shared" si="15"/>
        <v>2024.12</v>
      </c>
      <c r="B681" s="343"/>
      <c r="C681" s="344"/>
      <c r="D681" s="551"/>
      <c r="E681" s="3122"/>
    </row>
    <row r="682" spans="1:5">
      <c r="A682" s="280">
        <f t="shared" si="15"/>
        <v>2025.01</v>
      </c>
      <c r="B682" s="343"/>
      <c r="C682" s="344"/>
      <c r="D682" s="551"/>
      <c r="E682" s="3122"/>
    </row>
    <row r="683" spans="1:5">
      <c r="A683" s="280">
        <f t="shared" si="15"/>
        <v>2025.02</v>
      </c>
      <c r="B683" s="343"/>
      <c r="C683" s="344"/>
      <c r="D683" s="551"/>
      <c r="E683" s="3122"/>
    </row>
    <row r="684" spans="1:5">
      <c r="A684" s="280">
        <f t="shared" si="15"/>
        <v>2025.03</v>
      </c>
      <c r="B684" s="343"/>
      <c r="C684" s="344"/>
      <c r="D684" s="551"/>
      <c r="E684" s="3122"/>
    </row>
    <row r="685" spans="1:5">
      <c r="A685" s="280">
        <f t="shared" si="15"/>
        <v>2025.04</v>
      </c>
      <c r="B685" s="343"/>
      <c r="C685" s="344"/>
      <c r="D685" s="551"/>
      <c r="E685" s="3122"/>
    </row>
    <row r="686" spans="1:5">
      <c r="A686" s="280">
        <f t="shared" si="15"/>
        <v>2025.05</v>
      </c>
      <c r="B686" s="343"/>
      <c r="C686" s="344"/>
      <c r="D686" s="551"/>
      <c r="E686" s="3122"/>
    </row>
    <row r="687" spans="1:5">
      <c r="A687" s="280">
        <f t="shared" si="15"/>
        <v>2025.06</v>
      </c>
      <c r="B687" s="343"/>
      <c r="C687" s="344"/>
      <c r="D687" s="551"/>
      <c r="E687" s="3122"/>
    </row>
    <row r="688" spans="1:5">
      <c r="A688" s="280">
        <f t="shared" si="15"/>
        <v>2025.07</v>
      </c>
      <c r="B688" s="343"/>
      <c r="C688" s="344"/>
      <c r="D688" s="551"/>
      <c r="E688" s="3122"/>
    </row>
    <row r="689" spans="1:5">
      <c r="A689" s="280">
        <f t="shared" si="15"/>
        <v>2025.08</v>
      </c>
      <c r="B689" s="343"/>
      <c r="C689" s="344"/>
      <c r="D689" s="551"/>
      <c r="E689" s="3122"/>
    </row>
    <row r="690" spans="1:5">
      <c r="A690" s="280">
        <f t="shared" si="15"/>
        <v>2025.09</v>
      </c>
      <c r="B690" s="343"/>
      <c r="C690" s="344"/>
      <c r="D690" s="551"/>
      <c r="E690" s="3122"/>
    </row>
    <row r="691" spans="1:5">
      <c r="A691" s="280">
        <f t="shared" si="15"/>
        <v>2025.1</v>
      </c>
      <c r="B691" s="343"/>
      <c r="C691" s="344"/>
      <c r="D691" s="551"/>
      <c r="E691" s="3122"/>
    </row>
    <row r="692" spans="1:5">
      <c r="A692" s="280">
        <f t="shared" si="15"/>
        <v>2025.11</v>
      </c>
      <c r="B692" s="343"/>
      <c r="C692" s="344"/>
      <c r="D692" s="551"/>
      <c r="E692" s="3122"/>
    </row>
    <row r="693" spans="1:5">
      <c r="A693" s="280">
        <f t="shared" si="15"/>
        <v>2025.12</v>
      </c>
      <c r="B693" s="343"/>
      <c r="C693" s="344"/>
      <c r="D693" s="551"/>
      <c r="E693" s="3122"/>
    </row>
    <row r="694" spans="1:5">
      <c r="A694" s="972">
        <v>2026.01</v>
      </c>
      <c r="B694" s="343"/>
      <c r="C694" s="344"/>
      <c r="D694" s="551"/>
      <c r="E694" s="3122"/>
    </row>
    <row r="695" spans="1:5">
      <c r="A695" s="972">
        <v>2026.02</v>
      </c>
      <c r="B695" s="343"/>
      <c r="C695" s="344"/>
      <c r="D695" s="551"/>
      <c r="E695" s="3122"/>
    </row>
    <row r="696" spans="1:5">
      <c r="A696" s="972">
        <v>2026.03</v>
      </c>
      <c r="B696" s="343"/>
      <c r="C696" s="344"/>
      <c r="D696" s="551"/>
      <c r="E696" s="3122"/>
    </row>
    <row r="697" spans="1:5">
      <c r="A697" s="972">
        <v>2026.04</v>
      </c>
      <c r="B697" s="343"/>
      <c r="C697" s="344"/>
      <c r="D697" s="551"/>
      <c r="E697" s="3122"/>
    </row>
    <row r="698" spans="1:5">
      <c r="A698" s="972">
        <v>2026.05</v>
      </c>
      <c r="B698" s="343"/>
      <c r="C698" s="344"/>
      <c r="D698" s="551"/>
      <c r="E698" s="3122"/>
    </row>
    <row r="699" spans="1:5">
      <c r="A699" s="972">
        <v>2026.06</v>
      </c>
      <c r="B699" s="343"/>
      <c r="C699" s="344"/>
      <c r="D699" s="551"/>
      <c r="E699" s="3122"/>
    </row>
    <row r="700" spans="1:5">
      <c r="A700" s="972">
        <v>2026.07</v>
      </c>
      <c r="B700" s="343"/>
      <c r="C700" s="344"/>
      <c r="D700" s="551"/>
      <c r="E700" s="3122"/>
    </row>
    <row r="701" spans="1:5">
      <c r="A701" s="972">
        <v>2026.08</v>
      </c>
      <c r="B701" s="343"/>
      <c r="C701" s="344"/>
      <c r="D701" s="551"/>
      <c r="E701" s="3122"/>
    </row>
    <row r="702" spans="1:5">
      <c r="A702" s="972">
        <v>2026.09</v>
      </c>
      <c r="B702" s="343"/>
      <c r="C702" s="344"/>
      <c r="D702" s="551"/>
      <c r="E702" s="3122"/>
    </row>
    <row r="703" spans="1:5">
      <c r="A703" s="972">
        <v>2026.1</v>
      </c>
      <c r="B703" s="343"/>
      <c r="C703" s="344"/>
      <c r="D703" s="551"/>
      <c r="E703" s="3122"/>
    </row>
    <row r="704" spans="1:5">
      <c r="A704" s="972">
        <v>2026.11</v>
      </c>
      <c r="B704" s="343"/>
      <c r="C704" s="344"/>
      <c r="D704" s="551"/>
      <c r="E704" s="3122"/>
    </row>
    <row r="705" spans="1:5">
      <c r="A705" s="972">
        <v>2026.12</v>
      </c>
      <c r="B705" s="343"/>
      <c r="C705" s="344"/>
      <c r="D705" s="551"/>
      <c r="E705" s="3122"/>
    </row>
    <row r="706" spans="1:5">
      <c r="A706" s="972">
        <v>2027.01</v>
      </c>
      <c r="B706" s="343"/>
      <c r="C706" s="344"/>
      <c r="D706" s="551"/>
      <c r="E706" s="3122"/>
    </row>
    <row r="707" spans="1:5">
      <c r="A707" s="972">
        <v>2027.02</v>
      </c>
      <c r="B707" s="343"/>
      <c r="C707" s="344"/>
      <c r="D707" s="551"/>
      <c r="E707" s="3122"/>
    </row>
    <row r="708" spans="1:5">
      <c r="A708" s="972">
        <v>2027.03</v>
      </c>
      <c r="B708" s="343"/>
      <c r="C708" s="344"/>
      <c r="D708" s="551"/>
      <c r="E708" s="3122"/>
    </row>
    <row r="709" spans="1:5">
      <c r="A709" s="972">
        <v>2027.04</v>
      </c>
      <c r="B709" s="343"/>
      <c r="C709" s="344"/>
      <c r="D709" s="551"/>
      <c r="E709" s="3122"/>
    </row>
    <row r="710" spans="1:5">
      <c r="A710" s="972">
        <v>2027.05</v>
      </c>
      <c r="B710" s="343"/>
      <c r="C710" s="344"/>
      <c r="D710" s="551"/>
      <c r="E710" s="3122"/>
    </row>
    <row r="711" spans="1:5">
      <c r="A711" s="972">
        <v>2027.06</v>
      </c>
      <c r="B711" s="343"/>
      <c r="C711" s="344"/>
      <c r="D711" s="551"/>
      <c r="E711" s="3122"/>
    </row>
    <row r="712" spans="1:5">
      <c r="A712" s="972">
        <v>2027.07</v>
      </c>
      <c r="B712" s="343"/>
      <c r="C712" s="344"/>
      <c r="D712" s="551"/>
      <c r="E712" s="3122"/>
    </row>
    <row r="713" spans="1:5">
      <c r="A713" s="972">
        <v>2027.08</v>
      </c>
      <c r="B713" s="343"/>
      <c r="C713" s="344"/>
      <c r="D713" s="551"/>
      <c r="E713" s="3122"/>
    </row>
    <row r="714" spans="1:5">
      <c r="A714" s="972">
        <v>2027.09</v>
      </c>
      <c r="B714" s="343"/>
      <c r="C714" s="344"/>
      <c r="D714" s="551"/>
      <c r="E714" s="3122"/>
    </row>
    <row r="715" spans="1:5">
      <c r="A715" s="972">
        <v>2027.1</v>
      </c>
      <c r="B715" s="343"/>
      <c r="C715" s="344"/>
      <c r="D715" s="551"/>
      <c r="E715" s="3122"/>
    </row>
    <row r="716" spans="1:5">
      <c r="A716" s="972">
        <v>2027.11</v>
      </c>
      <c r="B716" s="343"/>
      <c r="C716" s="344"/>
      <c r="D716" s="551"/>
      <c r="E716" s="3122"/>
    </row>
    <row r="717" spans="1:5">
      <c r="A717" s="972">
        <v>2027.12</v>
      </c>
      <c r="B717" s="343"/>
      <c r="C717" s="344"/>
      <c r="D717" s="551"/>
      <c r="E717" s="3122"/>
    </row>
    <row r="718" spans="1:5">
      <c r="A718" s="972">
        <v>2028.01</v>
      </c>
      <c r="B718" s="343"/>
      <c r="C718" s="344"/>
      <c r="D718" s="551"/>
      <c r="E718" s="3122"/>
    </row>
    <row r="719" spans="1:5">
      <c r="A719" s="972">
        <v>2028.02</v>
      </c>
      <c r="B719" s="343"/>
      <c r="C719" s="344"/>
      <c r="D719" s="551"/>
      <c r="E719" s="3122"/>
    </row>
    <row r="720" spans="1:5">
      <c r="A720" s="972">
        <v>2028.03</v>
      </c>
      <c r="B720" s="343"/>
      <c r="C720" s="344"/>
      <c r="D720" s="551"/>
      <c r="E720" s="3122"/>
    </row>
    <row r="721" spans="1:5">
      <c r="A721" s="972">
        <v>2028.04</v>
      </c>
      <c r="B721" s="343"/>
      <c r="C721" s="344"/>
      <c r="D721" s="551"/>
      <c r="E721" s="3122"/>
    </row>
    <row r="722" spans="1:5">
      <c r="A722" s="972">
        <v>2028.05</v>
      </c>
      <c r="B722" s="343"/>
      <c r="C722" s="344"/>
      <c r="D722" s="551"/>
      <c r="E722" s="3122"/>
    </row>
    <row r="723" spans="1:5">
      <c r="A723" s="972">
        <v>2028.06</v>
      </c>
      <c r="B723" s="343"/>
      <c r="C723" s="344"/>
      <c r="D723" s="551"/>
      <c r="E723" s="3122"/>
    </row>
    <row r="724" spans="1:5">
      <c r="A724" s="972">
        <v>2028.07</v>
      </c>
      <c r="B724" s="343"/>
      <c r="C724" s="344"/>
      <c r="D724" s="551"/>
      <c r="E724" s="3122"/>
    </row>
    <row r="725" spans="1:5">
      <c r="A725" s="972">
        <v>2028.08</v>
      </c>
      <c r="B725" s="343"/>
      <c r="C725" s="344"/>
      <c r="D725" s="551"/>
      <c r="E725" s="3122"/>
    </row>
    <row r="726" spans="1:5">
      <c r="A726" s="972">
        <v>2028.09</v>
      </c>
      <c r="B726" s="343"/>
      <c r="C726" s="344"/>
      <c r="D726" s="551"/>
      <c r="E726" s="3122"/>
    </row>
    <row r="727" spans="1:5">
      <c r="A727" s="972">
        <v>2028.1</v>
      </c>
      <c r="B727" s="343"/>
      <c r="C727" s="344"/>
      <c r="D727" s="551"/>
      <c r="E727" s="3122"/>
    </row>
    <row r="728" spans="1:5">
      <c r="A728" s="972">
        <v>2028.11</v>
      </c>
      <c r="B728" s="343"/>
      <c r="C728" s="344"/>
      <c r="D728" s="551"/>
      <c r="E728" s="3122"/>
    </row>
    <row r="729" spans="1:5">
      <c r="A729" s="972">
        <v>2028.12</v>
      </c>
      <c r="B729" s="343"/>
      <c r="C729" s="344"/>
      <c r="D729" s="551"/>
      <c r="E729" s="3122"/>
    </row>
    <row r="730" spans="1:5">
      <c r="A730" s="972">
        <v>2029.01</v>
      </c>
      <c r="B730" s="343"/>
      <c r="C730" s="344"/>
      <c r="D730" s="551"/>
      <c r="E730" s="3122"/>
    </row>
    <row r="731" spans="1:5">
      <c r="A731" s="972">
        <v>2029.02</v>
      </c>
      <c r="B731" s="343"/>
      <c r="C731" s="344"/>
      <c r="D731" s="551"/>
      <c r="E731" s="3122"/>
    </row>
    <row r="732" spans="1:5">
      <c r="A732" s="972">
        <v>2029.03</v>
      </c>
      <c r="B732" s="343"/>
      <c r="C732" s="344"/>
      <c r="D732" s="551"/>
      <c r="E732" s="3122"/>
    </row>
    <row r="733" spans="1:5">
      <c r="A733" s="972">
        <v>2029.04</v>
      </c>
      <c r="B733" s="343"/>
      <c r="C733" s="344"/>
      <c r="D733" s="551"/>
      <c r="E733" s="3122"/>
    </row>
    <row r="734" spans="1:5">
      <c r="A734" s="972">
        <v>2029.05</v>
      </c>
      <c r="B734" s="343"/>
      <c r="C734" s="344"/>
      <c r="D734" s="551"/>
      <c r="E734" s="3122"/>
    </row>
    <row r="735" spans="1:5">
      <c r="A735" s="972">
        <v>2029.06</v>
      </c>
      <c r="B735" s="343"/>
      <c r="C735" s="344"/>
      <c r="D735" s="551"/>
      <c r="E735" s="3122"/>
    </row>
    <row r="736" spans="1:5">
      <c r="A736" s="972">
        <v>2029.07</v>
      </c>
      <c r="B736" s="343"/>
      <c r="C736" s="344"/>
      <c r="D736" s="551"/>
      <c r="E736" s="3122"/>
    </row>
    <row r="737" spans="1:5">
      <c r="A737" s="972">
        <v>2029.08</v>
      </c>
      <c r="B737" s="343"/>
      <c r="C737" s="344"/>
      <c r="D737" s="551"/>
      <c r="E737" s="3122"/>
    </row>
    <row r="738" spans="1:5">
      <c r="A738" s="972">
        <v>2029.09</v>
      </c>
      <c r="B738" s="343"/>
      <c r="C738" s="344"/>
      <c r="D738" s="551"/>
      <c r="E738" s="3122"/>
    </row>
    <row r="739" spans="1:5">
      <c r="A739" s="972">
        <v>2029.1</v>
      </c>
      <c r="B739" s="343"/>
      <c r="C739" s="344"/>
      <c r="D739" s="551"/>
      <c r="E739" s="3122"/>
    </row>
    <row r="740" spans="1:5">
      <c r="A740" s="972">
        <v>2029.11</v>
      </c>
      <c r="B740" s="343"/>
      <c r="C740" s="344"/>
      <c r="D740" s="551"/>
      <c r="E740" s="3122"/>
    </row>
    <row r="741" spans="1:5">
      <c r="A741" s="972">
        <v>2029.12</v>
      </c>
      <c r="B741" s="343"/>
      <c r="C741" s="344"/>
      <c r="D741" s="551"/>
      <c r="E741" s="3122"/>
    </row>
    <row r="742" spans="1:5">
      <c r="A742" s="972">
        <v>2030.01</v>
      </c>
      <c r="B742" s="343"/>
      <c r="C742" s="344"/>
      <c r="D742" s="551"/>
      <c r="E742" s="3122"/>
    </row>
    <row r="743" spans="1:5">
      <c r="A743" s="972">
        <v>2030.02</v>
      </c>
      <c r="B743" s="343"/>
      <c r="C743" s="344"/>
      <c r="D743" s="551"/>
      <c r="E743" s="3122"/>
    </row>
    <row r="744" spans="1:5">
      <c r="A744" s="972">
        <v>2030.03</v>
      </c>
      <c r="B744" s="343"/>
      <c r="C744" s="344"/>
      <c r="D744" s="551"/>
      <c r="E744" s="3122"/>
    </row>
    <row r="745" spans="1:5">
      <c r="A745" s="972">
        <v>2030.04</v>
      </c>
      <c r="B745" s="343"/>
      <c r="C745" s="344"/>
      <c r="D745" s="551"/>
      <c r="E745" s="3122"/>
    </row>
    <row r="746" spans="1:5">
      <c r="A746" s="972">
        <v>2030.05</v>
      </c>
      <c r="B746" s="343"/>
      <c r="C746" s="344"/>
      <c r="D746" s="551"/>
      <c r="E746" s="3122"/>
    </row>
    <row r="747" spans="1:5">
      <c r="A747" s="972">
        <v>2030.06</v>
      </c>
      <c r="B747" s="343"/>
      <c r="C747" s="344"/>
      <c r="D747" s="551"/>
      <c r="E747" s="3122"/>
    </row>
    <row r="748" spans="1:5">
      <c r="A748" s="972">
        <v>2030.07</v>
      </c>
      <c r="B748" s="343"/>
      <c r="C748" s="344"/>
      <c r="D748" s="551"/>
      <c r="E748" s="3122"/>
    </row>
    <row r="749" spans="1:5">
      <c r="A749" s="972">
        <v>2030.08</v>
      </c>
      <c r="B749" s="343"/>
      <c r="C749" s="344"/>
      <c r="D749" s="551"/>
      <c r="E749" s="3122"/>
    </row>
    <row r="750" spans="1:5">
      <c r="A750" s="972">
        <v>2030.09</v>
      </c>
      <c r="B750" s="343"/>
      <c r="C750" s="344"/>
      <c r="D750" s="551"/>
      <c r="E750" s="3122"/>
    </row>
    <row r="751" spans="1:5">
      <c r="A751" s="972">
        <v>2030.1</v>
      </c>
      <c r="B751" s="343"/>
      <c r="C751" s="344"/>
      <c r="D751" s="551"/>
      <c r="E751" s="3122"/>
    </row>
    <row r="752" spans="1:5">
      <c r="A752" s="972">
        <v>2030.11</v>
      </c>
      <c r="B752" s="343"/>
      <c r="C752" s="344"/>
      <c r="D752" s="551"/>
      <c r="E752" s="3122"/>
    </row>
    <row r="753" spans="1:5">
      <c r="A753" s="972">
        <v>2030.12</v>
      </c>
      <c r="B753" s="343"/>
      <c r="C753" s="344"/>
      <c r="D753" s="551"/>
      <c r="E753" s="3122"/>
    </row>
  </sheetData>
  <hyperlinks>
    <hyperlink ref="A5" location="INDICE!A13" display="VOLVER AL INDICE" xr:uid="{00000000-0004-0000-3500-000000000000}"/>
  </hyperlinks>
  <pageMargins left="0.5" right="0.5" top="0.5" bottom="1" header="0" footer="0.5"/>
  <pageSetup paperSize="256" scale="90" pageOrder="overThenDown" orientation="landscape" horizontalDpi="180" verticalDpi="180" r:id="rId1"/>
  <headerFooter alignWithMargins="0">
    <oddFooter>&amp;L&amp;F&amp;R&amp;D</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
  <dimension ref="A1:W156"/>
  <sheetViews>
    <sheetView zoomScaleNormal="100"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10.5703125" style="371" customWidth="1"/>
    <col min="2" max="21" width="13.42578125" style="371" customWidth="1"/>
    <col min="22" max="16384" width="11.42578125" style="300"/>
  </cols>
  <sheetData>
    <row r="1" spans="1:23" s="27" customFormat="1" ht="3" customHeight="1">
      <c r="A1" s="2734"/>
      <c r="B1" s="41"/>
      <c r="C1" s="42"/>
      <c r="D1" s="42"/>
      <c r="E1" s="43"/>
      <c r="F1" s="43"/>
      <c r="G1" s="43"/>
      <c r="H1" s="43"/>
      <c r="I1" s="43"/>
      <c r="J1" s="43"/>
      <c r="K1" s="44"/>
      <c r="L1" s="45"/>
      <c r="M1" s="45"/>
      <c r="N1" s="45"/>
      <c r="O1" s="45"/>
      <c r="P1" s="45"/>
      <c r="Q1" s="45"/>
      <c r="R1" s="45"/>
      <c r="S1" s="45"/>
      <c r="T1" s="45"/>
      <c r="U1" s="46"/>
      <c r="V1" s="28"/>
      <c r="W1" s="1269"/>
    </row>
    <row r="2" spans="1:23" s="13" customFormat="1">
      <c r="A2" s="2735" t="s">
        <v>99</v>
      </c>
      <c r="B2" s="1270" t="s">
        <v>206</v>
      </c>
      <c r="C2" s="1271"/>
      <c r="D2" s="1271"/>
      <c r="E2" s="1271"/>
      <c r="F2" s="1271"/>
      <c r="G2" s="1271"/>
      <c r="H2" s="1271"/>
      <c r="I2" s="1271"/>
      <c r="J2" s="1271"/>
      <c r="K2" s="1272"/>
      <c r="L2" s="1272"/>
      <c r="M2" s="1272"/>
      <c r="N2" s="1272"/>
      <c r="O2" s="1272"/>
      <c r="P2" s="1272"/>
      <c r="Q2" s="1272"/>
      <c r="R2" s="1272"/>
      <c r="S2" s="1272"/>
      <c r="T2" s="1272"/>
      <c r="U2" s="1273"/>
      <c r="V2" s="1274"/>
      <c r="W2" s="181"/>
    </row>
    <row r="3" spans="1:23" s="13" customFormat="1">
      <c r="A3" s="2735" t="s">
        <v>193</v>
      </c>
      <c r="B3" s="1270" t="s">
        <v>207</v>
      </c>
      <c r="C3" s="31"/>
      <c r="D3" s="31"/>
      <c r="E3" s="2764"/>
      <c r="F3" s="2764"/>
      <c r="G3" s="2764"/>
      <c r="H3" s="2764"/>
      <c r="I3" s="2764"/>
      <c r="J3" s="2764"/>
      <c r="K3" s="2765"/>
      <c r="L3" s="2765"/>
      <c r="M3" s="2765"/>
      <c r="N3" s="2765"/>
      <c r="O3" s="2765"/>
      <c r="P3" s="2765"/>
      <c r="Q3" s="2765"/>
      <c r="R3" s="2765"/>
      <c r="S3" s="2765"/>
      <c r="T3" s="2765"/>
      <c r="U3" s="1857"/>
      <c r="V3" s="1274"/>
      <c r="W3" s="181"/>
    </row>
    <row r="4" spans="1:23" s="181" customFormat="1">
      <c r="A4" s="2735"/>
      <c r="B4" s="1275"/>
      <c r="C4" s="1276"/>
      <c r="D4" s="1276"/>
      <c r="E4" s="272"/>
      <c r="F4" s="2766" t="s">
        <v>208</v>
      </c>
      <c r="G4" s="1277"/>
      <c r="H4" s="1277"/>
      <c r="I4" s="1277"/>
      <c r="J4" s="1277"/>
      <c r="K4" s="1278"/>
      <c r="L4" s="2766" t="s">
        <v>209</v>
      </c>
      <c r="M4" s="1278"/>
      <c r="N4" s="1278"/>
      <c r="O4" s="1278"/>
      <c r="P4" s="1278"/>
      <c r="Q4" s="1278"/>
      <c r="R4" s="1278"/>
      <c r="S4" s="1278"/>
      <c r="T4" s="1278"/>
      <c r="U4" s="1279"/>
      <c r="V4" s="1274"/>
    </row>
    <row r="5" spans="1:23" s="27" customFormat="1" ht="45">
      <c r="A5" s="2738" t="s">
        <v>140</v>
      </c>
      <c r="B5" s="1618" t="s">
        <v>210</v>
      </c>
      <c r="C5" s="2033" t="s">
        <v>210</v>
      </c>
      <c r="D5" s="2732" t="s">
        <v>211</v>
      </c>
      <c r="E5" s="207" t="s">
        <v>212</v>
      </c>
      <c r="F5" s="1280" t="s">
        <v>213</v>
      </c>
      <c r="G5" s="521" t="s">
        <v>214</v>
      </c>
      <c r="H5" s="521" t="s">
        <v>153</v>
      </c>
      <c r="I5" s="1281" t="s">
        <v>154</v>
      </c>
      <c r="J5" s="521" t="s">
        <v>155</v>
      </c>
      <c r="K5" s="1281" t="s">
        <v>215</v>
      </c>
      <c r="L5" s="1282" t="s">
        <v>216</v>
      </c>
      <c r="M5" s="1283" t="s">
        <v>217</v>
      </c>
      <c r="N5" s="1280" t="s">
        <v>218</v>
      </c>
      <c r="O5" s="1283" t="s">
        <v>160</v>
      </c>
      <c r="P5" s="1280" t="s">
        <v>219</v>
      </c>
      <c r="Q5" s="1283" t="s">
        <v>220</v>
      </c>
      <c r="R5" s="1280" t="s">
        <v>163</v>
      </c>
      <c r="S5" s="1283" t="s">
        <v>164</v>
      </c>
      <c r="T5" s="1283" t="s">
        <v>221</v>
      </c>
      <c r="U5" s="1284" t="s">
        <v>166</v>
      </c>
      <c r="V5" s="1285"/>
      <c r="W5" s="200"/>
    </row>
    <row r="6" spans="1:23" s="27" customFormat="1" ht="11.25" customHeight="1">
      <c r="A6" s="2735"/>
      <c r="B6" s="484"/>
      <c r="C6" s="2034"/>
      <c r="D6" s="2767" t="s">
        <v>5</v>
      </c>
      <c r="E6" s="1858"/>
      <c r="F6" s="2768" t="s">
        <v>222</v>
      </c>
      <c r="G6" s="2441" t="s">
        <v>223</v>
      </c>
      <c r="H6" s="2441" t="s">
        <v>224</v>
      </c>
      <c r="I6" s="2768" t="s">
        <v>225</v>
      </c>
      <c r="J6" s="2441" t="s">
        <v>226</v>
      </c>
      <c r="K6" s="2769" t="s">
        <v>227</v>
      </c>
      <c r="L6" s="2770" t="s">
        <v>228</v>
      </c>
      <c r="M6" s="1286" t="s">
        <v>229</v>
      </c>
      <c r="N6" s="1287" t="s">
        <v>230</v>
      </c>
      <c r="O6" s="1286" t="s">
        <v>231</v>
      </c>
      <c r="P6" s="1287" t="s">
        <v>232</v>
      </c>
      <c r="Q6" s="1286" t="s">
        <v>233</v>
      </c>
      <c r="R6" s="1287" t="s">
        <v>234</v>
      </c>
      <c r="S6" s="1286" t="s">
        <v>235</v>
      </c>
      <c r="T6" s="1286" t="s">
        <v>236</v>
      </c>
      <c r="U6" s="2771" t="s">
        <v>237</v>
      </c>
      <c r="V6" s="1285"/>
      <c r="W6" s="200"/>
    </row>
    <row r="7" spans="1:23" s="27" customFormat="1" ht="33.75">
      <c r="A7" s="2735" t="s">
        <v>125</v>
      </c>
      <c r="B7" s="1288" t="s">
        <v>238</v>
      </c>
      <c r="C7" s="2035" t="s">
        <v>239</v>
      </c>
      <c r="D7" s="2732" t="s">
        <v>240</v>
      </c>
      <c r="E7" s="207" t="s">
        <v>241</v>
      </c>
      <c r="F7" s="2772" t="s">
        <v>242</v>
      </c>
      <c r="G7" s="721" t="s">
        <v>242</v>
      </c>
      <c r="H7" s="721" t="s">
        <v>242</v>
      </c>
      <c r="I7" s="275" t="s">
        <v>242</v>
      </c>
      <c r="J7" s="721" t="s">
        <v>242</v>
      </c>
      <c r="K7" s="1289" t="s">
        <v>242</v>
      </c>
      <c r="L7" s="2772" t="s">
        <v>242</v>
      </c>
      <c r="M7" s="721" t="s">
        <v>242</v>
      </c>
      <c r="N7" s="275" t="s">
        <v>242</v>
      </c>
      <c r="O7" s="721" t="s">
        <v>242</v>
      </c>
      <c r="P7" s="275" t="s">
        <v>242</v>
      </c>
      <c r="Q7" s="721" t="s">
        <v>242</v>
      </c>
      <c r="R7" s="275" t="s">
        <v>242</v>
      </c>
      <c r="S7" s="721" t="s">
        <v>242</v>
      </c>
      <c r="T7" s="721" t="s">
        <v>242</v>
      </c>
      <c r="U7" s="1289" t="s">
        <v>242</v>
      </c>
      <c r="V7" s="1285"/>
      <c r="W7" s="200"/>
    </row>
    <row r="8" spans="1:23" s="27" customFormat="1" ht="11.25">
      <c r="A8" s="2751" t="s">
        <v>144</v>
      </c>
      <c r="B8" s="2137" t="s">
        <v>243</v>
      </c>
      <c r="C8" s="2142" t="s">
        <v>244</v>
      </c>
      <c r="D8" s="2773" t="s">
        <v>245</v>
      </c>
      <c r="E8" s="2773" t="s">
        <v>246</v>
      </c>
      <c r="F8" s="2135" t="s">
        <v>247</v>
      </c>
      <c r="G8" s="2128" t="s">
        <v>248</v>
      </c>
      <c r="H8" s="2128" t="s">
        <v>249</v>
      </c>
      <c r="I8" s="2128" t="s">
        <v>250</v>
      </c>
      <c r="J8" s="2128" t="s">
        <v>251</v>
      </c>
      <c r="K8" s="2142" t="s">
        <v>252</v>
      </c>
      <c r="L8" s="2135" t="s">
        <v>253</v>
      </c>
      <c r="M8" s="2128" t="s">
        <v>254</v>
      </c>
      <c r="N8" s="2128" t="s">
        <v>255</v>
      </c>
      <c r="O8" s="2128" t="s">
        <v>256</v>
      </c>
      <c r="P8" s="2128" t="s">
        <v>257</v>
      </c>
      <c r="Q8" s="2128" t="s">
        <v>258</v>
      </c>
      <c r="R8" s="2128" t="s">
        <v>259</v>
      </c>
      <c r="S8" s="2128" t="s">
        <v>260</v>
      </c>
      <c r="T8" s="2128" t="s">
        <v>261</v>
      </c>
      <c r="U8" s="2143" t="s">
        <v>262</v>
      </c>
      <c r="V8" s="28"/>
      <c r="W8" s="1269"/>
    </row>
    <row r="9" spans="1:23" s="14" customFormat="1" ht="12.6" customHeight="1" thickBot="1">
      <c r="A9" s="2126"/>
      <c r="B9" s="1290"/>
      <c r="C9" s="733"/>
      <c r="D9" s="1291"/>
      <c r="E9" s="1292"/>
      <c r="F9" s="198"/>
      <c r="G9" s="514"/>
      <c r="H9" s="514"/>
      <c r="I9" s="198"/>
      <c r="J9" s="514"/>
      <c r="K9" s="1293"/>
      <c r="L9" s="197"/>
      <c r="M9" s="723"/>
      <c r="N9" s="197"/>
      <c r="O9" s="723"/>
      <c r="P9" s="197"/>
      <c r="Q9" s="723"/>
      <c r="R9" s="197"/>
      <c r="S9" s="723"/>
      <c r="T9" s="723"/>
      <c r="U9" s="258"/>
      <c r="V9" s="1294"/>
      <c r="W9" s="181"/>
    </row>
    <row r="10" spans="1:23" s="7" customFormat="1">
      <c r="A10" s="1295">
        <v>1884</v>
      </c>
      <c r="B10" s="33"/>
      <c r="C10" s="1296">
        <v>795303.8331003394</v>
      </c>
      <c r="D10" s="553"/>
      <c r="E10" s="34"/>
      <c r="F10" s="486"/>
      <c r="G10" s="490"/>
      <c r="H10" s="490"/>
      <c r="I10" s="486"/>
      <c r="J10" s="490"/>
      <c r="K10" s="486"/>
      <c r="L10" s="32"/>
      <c r="M10" s="490"/>
      <c r="N10" s="486"/>
      <c r="O10" s="490"/>
      <c r="P10" s="486"/>
      <c r="Q10" s="490"/>
      <c r="R10" s="486"/>
      <c r="S10" s="490"/>
      <c r="T10" s="490"/>
      <c r="U10" s="493"/>
      <c r="V10" s="8"/>
    </row>
    <row r="11" spans="1:23" s="7" customFormat="1">
      <c r="A11" s="1295">
        <v>1885</v>
      </c>
      <c r="B11" s="33"/>
      <c r="C11" s="1296">
        <v>883134.66804111027</v>
      </c>
      <c r="D11" s="554"/>
      <c r="E11" s="35"/>
      <c r="F11" s="487"/>
      <c r="G11" s="3536"/>
      <c r="H11" s="3536"/>
      <c r="I11" s="487"/>
      <c r="J11" s="3536"/>
      <c r="K11" s="487"/>
      <c r="L11" s="492"/>
      <c r="M11" s="3536"/>
      <c r="N11" s="487"/>
      <c r="O11" s="3536"/>
      <c r="P11" s="487"/>
      <c r="Q11" s="3536"/>
      <c r="R11" s="487"/>
      <c r="S11" s="3536"/>
      <c r="T11" s="3536"/>
      <c r="U11" s="494"/>
      <c r="V11" s="8"/>
    </row>
    <row r="12" spans="1:23" s="7" customFormat="1">
      <c r="A12" s="1295">
        <v>1886</v>
      </c>
      <c r="B12" s="33"/>
      <c r="C12" s="1296">
        <v>886625.31890293269</v>
      </c>
      <c r="D12" s="554"/>
      <c r="E12" s="35"/>
      <c r="F12" s="487"/>
      <c r="G12" s="3536"/>
      <c r="H12" s="3536"/>
      <c r="I12" s="487"/>
      <c r="J12" s="3536"/>
      <c r="K12" s="487"/>
      <c r="L12" s="492"/>
      <c r="M12" s="3536"/>
      <c r="N12" s="487"/>
      <c r="O12" s="3536"/>
      <c r="P12" s="487"/>
      <c r="Q12" s="3536"/>
      <c r="R12" s="487"/>
      <c r="S12" s="3536"/>
      <c r="T12" s="3536"/>
      <c r="U12" s="494"/>
      <c r="V12" s="8"/>
    </row>
    <row r="13" spans="1:23" s="7" customFormat="1">
      <c r="A13" s="1295">
        <v>1887</v>
      </c>
      <c r="B13" s="33"/>
      <c r="C13" s="1296">
        <v>946839.04626937187</v>
      </c>
      <c r="D13" s="554"/>
      <c r="E13" s="35"/>
      <c r="F13" s="487"/>
      <c r="G13" s="3536"/>
      <c r="H13" s="3536"/>
      <c r="I13" s="487"/>
      <c r="J13" s="3536"/>
      <c r="K13" s="487"/>
      <c r="L13" s="492"/>
      <c r="M13" s="3536"/>
      <c r="N13" s="487"/>
      <c r="O13" s="3536"/>
      <c r="P13" s="487"/>
      <c r="Q13" s="3536"/>
      <c r="R13" s="487"/>
      <c r="S13" s="3536"/>
      <c r="T13" s="3536"/>
      <c r="U13" s="494"/>
      <c r="V13" s="8"/>
    </row>
    <row r="14" spans="1:23" s="7" customFormat="1">
      <c r="A14" s="1295">
        <v>1888</v>
      </c>
      <c r="B14" s="33"/>
      <c r="C14" s="1296">
        <v>1098682.3587586537</v>
      </c>
      <c r="D14" s="554"/>
      <c r="E14" s="35"/>
      <c r="F14" s="487"/>
      <c r="G14" s="3536"/>
      <c r="H14" s="3536"/>
      <c r="I14" s="487"/>
      <c r="J14" s="3536"/>
      <c r="K14" s="487"/>
      <c r="L14" s="492"/>
      <c r="M14" s="3536"/>
      <c r="N14" s="487"/>
      <c r="O14" s="3536"/>
      <c r="P14" s="487"/>
      <c r="Q14" s="3536"/>
      <c r="R14" s="487"/>
      <c r="S14" s="3536"/>
      <c r="T14" s="3536"/>
      <c r="U14" s="494"/>
      <c r="V14" s="8"/>
    </row>
    <row r="15" spans="1:23" s="7" customFormat="1">
      <c r="A15" s="1295">
        <v>1889</v>
      </c>
      <c r="B15" s="33"/>
      <c r="C15" s="1296">
        <v>1205147.210044242</v>
      </c>
      <c r="D15" s="554"/>
      <c r="E15" s="35"/>
      <c r="F15" s="487"/>
      <c r="G15" s="3536"/>
      <c r="H15" s="3536"/>
      <c r="I15" s="487"/>
      <c r="J15" s="3536"/>
      <c r="K15" s="487"/>
      <c r="L15" s="492"/>
      <c r="M15" s="3536"/>
      <c r="N15" s="487"/>
      <c r="O15" s="3536"/>
      <c r="P15" s="487"/>
      <c r="Q15" s="3536"/>
      <c r="R15" s="487"/>
      <c r="S15" s="3536"/>
      <c r="T15" s="3536"/>
      <c r="U15" s="494"/>
      <c r="V15" s="8"/>
    </row>
    <row r="16" spans="1:23" s="7" customFormat="1">
      <c r="A16" s="1295">
        <v>1890</v>
      </c>
      <c r="B16" s="33"/>
      <c r="C16" s="1296">
        <v>1105663.6604822988</v>
      </c>
      <c r="D16" s="554"/>
      <c r="E16" s="35"/>
      <c r="F16" s="487"/>
      <c r="G16" s="3536"/>
      <c r="H16" s="3536"/>
      <c r="I16" s="487"/>
      <c r="J16" s="3536"/>
      <c r="K16" s="487"/>
      <c r="L16" s="492"/>
      <c r="M16" s="3536"/>
      <c r="N16" s="487"/>
      <c r="O16" s="3536"/>
      <c r="P16" s="487"/>
      <c r="Q16" s="3536"/>
      <c r="R16" s="487"/>
      <c r="S16" s="3536"/>
      <c r="T16" s="3536"/>
      <c r="U16" s="494"/>
      <c r="V16" s="8"/>
    </row>
    <row r="17" spans="1:22" s="7" customFormat="1">
      <c r="A17" s="1295">
        <v>1891</v>
      </c>
      <c r="B17" s="33"/>
      <c r="C17" s="1296">
        <v>1046322.5958313151</v>
      </c>
      <c r="D17" s="554"/>
      <c r="E17" s="35"/>
      <c r="F17" s="487"/>
      <c r="G17" s="3536"/>
      <c r="H17" s="3536"/>
      <c r="I17" s="487"/>
      <c r="J17" s="3536"/>
      <c r="K17" s="487"/>
      <c r="L17" s="492"/>
      <c r="M17" s="3536"/>
      <c r="N17" s="487"/>
      <c r="O17" s="3536"/>
      <c r="P17" s="487"/>
      <c r="Q17" s="3536"/>
      <c r="R17" s="487"/>
      <c r="S17" s="3536"/>
      <c r="T17" s="3536"/>
      <c r="U17" s="494"/>
      <c r="V17" s="8"/>
    </row>
    <row r="18" spans="1:22" s="7" customFormat="1">
      <c r="A18" s="1295">
        <v>1892</v>
      </c>
      <c r="B18" s="33"/>
      <c r="C18" s="1296">
        <v>1249653.0085324799</v>
      </c>
      <c r="D18" s="554"/>
      <c r="E18" s="35"/>
      <c r="F18" s="487"/>
      <c r="G18" s="3536"/>
      <c r="H18" s="3536"/>
      <c r="I18" s="487"/>
      <c r="J18" s="3536"/>
      <c r="K18" s="487"/>
      <c r="L18" s="492"/>
      <c r="M18" s="3536"/>
      <c r="N18" s="487"/>
      <c r="O18" s="3536"/>
      <c r="P18" s="487"/>
      <c r="Q18" s="3536"/>
      <c r="R18" s="487"/>
      <c r="S18" s="3536"/>
      <c r="T18" s="3536"/>
      <c r="U18" s="494"/>
      <c r="V18" s="8"/>
    </row>
    <row r="19" spans="1:22" s="7" customFormat="1">
      <c r="A19" s="1295">
        <v>1893</v>
      </c>
      <c r="B19" s="33"/>
      <c r="C19" s="1296">
        <v>1323829.3393462095</v>
      </c>
      <c r="D19" s="554"/>
      <c r="E19" s="35"/>
      <c r="F19" s="487"/>
      <c r="G19" s="3536"/>
      <c r="H19" s="3536"/>
      <c r="I19" s="487"/>
      <c r="J19" s="3536"/>
      <c r="K19" s="487"/>
      <c r="L19" s="492"/>
      <c r="M19" s="3536"/>
      <c r="N19" s="487"/>
      <c r="O19" s="3536"/>
      <c r="P19" s="487"/>
      <c r="Q19" s="3536"/>
      <c r="R19" s="487"/>
      <c r="S19" s="3536"/>
      <c r="T19" s="3536"/>
      <c r="U19" s="494"/>
      <c r="V19" s="8"/>
    </row>
    <row r="20" spans="1:22" s="7" customFormat="1">
      <c r="A20" s="1295">
        <v>1894</v>
      </c>
      <c r="B20" s="33"/>
      <c r="C20" s="1296">
        <v>1526287.0893319184</v>
      </c>
      <c r="D20" s="554"/>
      <c r="E20" s="35"/>
      <c r="F20" s="487"/>
      <c r="G20" s="3536"/>
      <c r="H20" s="3536"/>
      <c r="I20" s="487"/>
      <c r="J20" s="3536"/>
      <c r="K20" s="487"/>
      <c r="L20" s="492"/>
      <c r="M20" s="3536"/>
      <c r="N20" s="487"/>
      <c r="O20" s="3536"/>
      <c r="P20" s="487"/>
      <c r="Q20" s="3536"/>
      <c r="R20" s="487"/>
      <c r="S20" s="3536"/>
      <c r="T20" s="3536"/>
      <c r="U20" s="494"/>
      <c r="V20" s="8"/>
    </row>
    <row r="21" spans="1:22" s="7" customFormat="1">
      <c r="A21" s="1295">
        <v>1895</v>
      </c>
      <c r="B21" s="33"/>
      <c r="C21" s="1296">
        <v>1692093.0052684904</v>
      </c>
      <c r="D21" s="554"/>
      <c r="E21" s="35"/>
      <c r="F21" s="487"/>
      <c r="G21" s="3536"/>
      <c r="H21" s="3536"/>
      <c r="I21" s="487"/>
      <c r="J21" s="3536"/>
      <c r="K21" s="487"/>
      <c r="L21" s="492"/>
      <c r="M21" s="3536"/>
      <c r="N21" s="487"/>
      <c r="O21" s="3536"/>
      <c r="P21" s="487"/>
      <c r="Q21" s="3536"/>
      <c r="R21" s="487"/>
      <c r="S21" s="3536"/>
      <c r="T21" s="3536"/>
      <c r="U21" s="494"/>
      <c r="V21" s="8"/>
    </row>
    <row r="22" spans="1:22" s="7" customFormat="1">
      <c r="A22" s="1295">
        <v>1896</v>
      </c>
      <c r="B22" s="33"/>
      <c r="C22" s="1296">
        <v>1871861.524652353</v>
      </c>
      <c r="D22" s="554"/>
      <c r="E22" s="35"/>
      <c r="F22" s="487"/>
      <c r="G22" s="3536"/>
      <c r="H22" s="3536"/>
      <c r="I22" s="487"/>
      <c r="J22" s="3536"/>
      <c r="K22" s="487"/>
      <c r="L22" s="492"/>
      <c r="M22" s="3536"/>
      <c r="N22" s="487"/>
      <c r="O22" s="3536"/>
      <c r="P22" s="487"/>
      <c r="Q22" s="3536"/>
      <c r="R22" s="487"/>
      <c r="S22" s="3536"/>
      <c r="T22" s="3536"/>
      <c r="U22" s="494"/>
      <c r="V22" s="8"/>
    </row>
    <row r="23" spans="1:22" s="7" customFormat="1">
      <c r="A23" s="1295">
        <v>1897</v>
      </c>
      <c r="B23" s="33"/>
      <c r="C23" s="1296">
        <v>1518433.1248928173</v>
      </c>
      <c r="D23" s="554"/>
      <c r="E23" s="35"/>
      <c r="F23" s="487"/>
      <c r="G23" s="3536"/>
      <c r="H23" s="3536"/>
      <c r="I23" s="487"/>
      <c r="J23" s="3536"/>
      <c r="K23" s="487"/>
      <c r="L23" s="492"/>
      <c r="M23" s="3536"/>
      <c r="N23" s="487"/>
      <c r="O23" s="3536"/>
      <c r="P23" s="487"/>
      <c r="Q23" s="3536"/>
      <c r="R23" s="487"/>
      <c r="S23" s="3536"/>
      <c r="T23" s="3536"/>
      <c r="U23" s="494"/>
      <c r="V23" s="8"/>
    </row>
    <row r="24" spans="1:22" s="7" customFormat="1">
      <c r="A24" s="1295">
        <v>1898</v>
      </c>
      <c r="B24" s="33"/>
      <c r="C24" s="1296">
        <v>1646714.5440647963</v>
      </c>
      <c r="D24" s="554"/>
      <c r="E24" s="35"/>
      <c r="F24" s="487"/>
      <c r="G24" s="3536"/>
      <c r="H24" s="3536"/>
      <c r="I24" s="487"/>
      <c r="J24" s="3536"/>
      <c r="K24" s="487"/>
      <c r="L24" s="492"/>
      <c r="M24" s="3536"/>
      <c r="N24" s="487"/>
      <c r="O24" s="3536"/>
      <c r="P24" s="487"/>
      <c r="Q24" s="3536"/>
      <c r="R24" s="487"/>
      <c r="S24" s="3536"/>
      <c r="T24" s="3536"/>
      <c r="U24" s="494"/>
      <c r="V24" s="8"/>
    </row>
    <row r="25" spans="1:22" s="7" customFormat="1">
      <c r="A25" s="1295">
        <v>1899</v>
      </c>
      <c r="B25" s="33"/>
      <c r="C25" s="1296">
        <v>1937311.2283115245</v>
      </c>
      <c r="D25" s="554"/>
      <c r="E25" s="35"/>
      <c r="F25" s="487"/>
      <c r="G25" s="3536"/>
      <c r="H25" s="3536"/>
      <c r="I25" s="487"/>
      <c r="J25" s="3536"/>
      <c r="K25" s="487"/>
      <c r="L25" s="492"/>
      <c r="M25" s="3536"/>
      <c r="N25" s="487"/>
      <c r="O25" s="3536"/>
      <c r="P25" s="487"/>
      <c r="Q25" s="3536"/>
      <c r="R25" s="487"/>
      <c r="S25" s="3536"/>
      <c r="T25" s="3536"/>
      <c r="U25" s="494"/>
      <c r="V25" s="8"/>
    </row>
    <row r="26" spans="1:22" s="7" customFormat="1">
      <c r="A26" s="1295">
        <v>1900</v>
      </c>
      <c r="B26" s="33"/>
      <c r="C26" s="1296">
        <v>1709546.2595776026</v>
      </c>
      <c r="D26" s="554"/>
      <c r="E26" s="35"/>
      <c r="F26" s="487"/>
      <c r="G26" s="3536"/>
      <c r="H26" s="3536"/>
      <c r="I26" s="487"/>
      <c r="J26" s="3536"/>
      <c r="K26" s="487"/>
      <c r="L26" s="492"/>
      <c r="M26" s="3536"/>
      <c r="N26" s="487"/>
      <c r="O26" s="3536"/>
      <c r="P26" s="487"/>
      <c r="Q26" s="3536"/>
      <c r="R26" s="487"/>
      <c r="S26" s="3536"/>
      <c r="T26" s="3536"/>
      <c r="U26" s="494"/>
      <c r="V26" s="8"/>
    </row>
    <row r="27" spans="1:22" s="7" customFormat="1">
      <c r="A27" s="1295">
        <v>1901</v>
      </c>
      <c r="B27" s="33"/>
      <c r="C27" s="1296">
        <v>1854109.4817402924</v>
      </c>
      <c r="D27" s="554"/>
      <c r="E27" s="35"/>
      <c r="F27" s="487"/>
      <c r="G27" s="3536"/>
      <c r="H27" s="3536"/>
      <c r="I27" s="487"/>
      <c r="J27" s="3536"/>
      <c r="K27" s="487"/>
      <c r="L27" s="492"/>
      <c r="M27" s="3536"/>
      <c r="N27" s="487"/>
      <c r="O27" s="3536"/>
      <c r="P27" s="487"/>
      <c r="Q27" s="3536"/>
      <c r="R27" s="487"/>
      <c r="S27" s="3536"/>
      <c r="T27" s="3536"/>
      <c r="U27" s="494"/>
      <c r="V27" s="8"/>
    </row>
    <row r="28" spans="1:22" s="7" customFormat="1">
      <c r="A28" s="1295">
        <v>1902</v>
      </c>
      <c r="B28" s="33"/>
      <c r="C28" s="1296">
        <v>1816744.332724591</v>
      </c>
      <c r="D28" s="554"/>
      <c r="E28" s="35"/>
      <c r="F28" s="487"/>
      <c r="G28" s="3536"/>
      <c r="H28" s="3536"/>
      <c r="I28" s="487"/>
      <c r="J28" s="3536"/>
      <c r="K28" s="487"/>
      <c r="L28" s="492"/>
      <c r="M28" s="3536"/>
      <c r="N28" s="487"/>
      <c r="O28" s="3536"/>
      <c r="P28" s="487"/>
      <c r="Q28" s="3536"/>
      <c r="R28" s="487"/>
      <c r="S28" s="3536"/>
      <c r="T28" s="3536"/>
      <c r="U28" s="494"/>
      <c r="V28" s="8"/>
    </row>
    <row r="29" spans="1:22" s="7" customFormat="1">
      <c r="A29" s="1295">
        <v>1903</v>
      </c>
      <c r="B29" s="33"/>
      <c r="C29" s="1296">
        <v>2076667.9178677965</v>
      </c>
      <c r="D29" s="554"/>
      <c r="E29" s="35"/>
      <c r="F29" s="487"/>
      <c r="G29" s="3536"/>
      <c r="H29" s="3536"/>
      <c r="I29" s="487"/>
      <c r="J29" s="3536"/>
      <c r="K29" s="487"/>
      <c r="L29" s="492"/>
      <c r="M29" s="3536"/>
      <c r="N29" s="487"/>
      <c r="O29" s="3536"/>
      <c r="P29" s="487"/>
      <c r="Q29" s="3536"/>
      <c r="R29" s="487"/>
      <c r="S29" s="3536"/>
      <c r="T29" s="3536"/>
      <c r="U29" s="494"/>
      <c r="V29" s="8"/>
    </row>
    <row r="30" spans="1:22" s="7" customFormat="1">
      <c r="A30" s="1295">
        <v>1904</v>
      </c>
      <c r="B30" s="33"/>
      <c r="C30" s="1296">
        <v>2298138.0486841626</v>
      </c>
      <c r="D30" s="554"/>
      <c r="E30" s="35"/>
      <c r="F30" s="487"/>
      <c r="G30" s="3536"/>
      <c r="H30" s="3536"/>
      <c r="I30" s="487"/>
      <c r="J30" s="3536"/>
      <c r="K30" s="487"/>
      <c r="L30" s="492"/>
      <c r="M30" s="3536"/>
      <c r="N30" s="487"/>
      <c r="O30" s="3536"/>
      <c r="P30" s="487"/>
      <c r="Q30" s="3536"/>
      <c r="R30" s="487"/>
      <c r="S30" s="3536"/>
      <c r="T30" s="3536"/>
      <c r="U30" s="494"/>
      <c r="V30" s="8"/>
    </row>
    <row r="31" spans="1:22" s="7" customFormat="1">
      <c r="A31" s="1295">
        <v>1905</v>
      </c>
      <c r="B31" s="33"/>
      <c r="C31" s="1296">
        <v>2603226.3042395506</v>
      </c>
      <c r="D31" s="554"/>
      <c r="E31" s="35"/>
      <c r="F31" s="487"/>
      <c r="G31" s="3536"/>
      <c r="H31" s="3536"/>
      <c r="I31" s="487"/>
      <c r="J31" s="3536"/>
      <c r="K31" s="487"/>
      <c r="L31" s="492"/>
      <c r="M31" s="3536"/>
      <c r="N31" s="487"/>
      <c r="O31" s="3536"/>
      <c r="P31" s="487"/>
      <c r="Q31" s="3536"/>
      <c r="R31" s="487"/>
      <c r="S31" s="3536"/>
      <c r="T31" s="3536"/>
      <c r="U31" s="494"/>
      <c r="V31" s="8"/>
    </row>
    <row r="32" spans="1:22" s="7" customFormat="1">
      <c r="A32" s="1295">
        <v>1906</v>
      </c>
      <c r="B32" s="33"/>
      <c r="C32" s="1296">
        <v>2734185.7100130292</v>
      </c>
      <c r="D32" s="554"/>
      <c r="E32" s="35"/>
      <c r="F32" s="487"/>
      <c r="G32" s="3536"/>
      <c r="H32" s="3536"/>
      <c r="I32" s="487"/>
      <c r="J32" s="3536"/>
      <c r="K32" s="487"/>
      <c r="L32" s="492"/>
      <c r="M32" s="3536"/>
      <c r="N32" s="487"/>
      <c r="O32" s="3536"/>
      <c r="P32" s="487"/>
      <c r="Q32" s="3536"/>
      <c r="R32" s="487"/>
      <c r="S32" s="3536"/>
      <c r="T32" s="3536"/>
      <c r="U32" s="494"/>
      <c r="V32" s="8"/>
    </row>
    <row r="33" spans="1:22" s="7" customFormat="1">
      <c r="A33" s="1295">
        <v>1907</v>
      </c>
      <c r="B33" s="33"/>
      <c r="C33" s="1296">
        <v>2791865.891503287</v>
      </c>
      <c r="D33" s="554"/>
      <c r="E33" s="35"/>
      <c r="F33" s="487"/>
      <c r="G33" s="3536"/>
      <c r="H33" s="3536"/>
      <c r="I33" s="487"/>
      <c r="J33" s="3536"/>
      <c r="K33" s="487"/>
      <c r="L33" s="492"/>
      <c r="M33" s="3536"/>
      <c r="N33" s="487"/>
      <c r="O33" s="3536"/>
      <c r="P33" s="487"/>
      <c r="Q33" s="3536"/>
      <c r="R33" s="487"/>
      <c r="S33" s="3536"/>
      <c r="T33" s="3536"/>
      <c r="U33" s="494"/>
      <c r="V33" s="8"/>
    </row>
    <row r="34" spans="1:22" s="7" customFormat="1">
      <c r="A34" s="1295">
        <v>1908</v>
      </c>
      <c r="B34" s="33"/>
      <c r="C34" s="1296">
        <v>3065393.2930357051</v>
      </c>
      <c r="D34" s="554"/>
      <c r="E34" s="35"/>
      <c r="F34" s="487"/>
      <c r="G34" s="3536"/>
      <c r="H34" s="3536"/>
      <c r="I34" s="487"/>
      <c r="J34" s="3536"/>
      <c r="K34" s="487"/>
      <c r="L34" s="492"/>
      <c r="M34" s="3536"/>
      <c r="N34" s="487"/>
      <c r="O34" s="3536"/>
      <c r="P34" s="487"/>
      <c r="Q34" s="3536"/>
      <c r="R34" s="487"/>
      <c r="S34" s="3536"/>
      <c r="T34" s="3536"/>
      <c r="U34" s="494"/>
      <c r="V34" s="8"/>
    </row>
    <row r="35" spans="1:22" s="7" customFormat="1">
      <c r="A35" s="1295">
        <v>1909</v>
      </c>
      <c r="B35" s="33"/>
      <c r="C35" s="1296">
        <v>3216667.7312837397</v>
      </c>
      <c r="D35" s="554"/>
      <c r="E35" s="35"/>
      <c r="F35" s="487"/>
      <c r="G35" s="3536"/>
      <c r="H35" s="3536"/>
      <c r="I35" s="487"/>
      <c r="J35" s="3536"/>
      <c r="K35" s="487"/>
      <c r="L35" s="492"/>
      <c r="M35" s="3536"/>
      <c r="N35" s="487"/>
      <c r="O35" s="3536"/>
      <c r="P35" s="487"/>
      <c r="Q35" s="3536"/>
      <c r="R35" s="487"/>
      <c r="S35" s="3536"/>
      <c r="T35" s="3536"/>
      <c r="U35" s="494"/>
      <c r="V35" s="8"/>
    </row>
    <row r="36" spans="1:22" s="7" customFormat="1">
      <c r="A36" s="1295">
        <v>1910</v>
      </c>
      <c r="B36" s="33"/>
      <c r="C36" s="1296">
        <v>3450653.3731781812</v>
      </c>
      <c r="D36" s="554"/>
      <c r="E36" s="35"/>
      <c r="F36" s="487"/>
      <c r="G36" s="3536"/>
      <c r="H36" s="3536"/>
      <c r="I36" s="487"/>
      <c r="J36" s="3536"/>
      <c r="K36" s="487"/>
      <c r="L36" s="492"/>
      <c r="M36" s="3536"/>
      <c r="N36" s="487"/>
      <c r="O36" s="3536"/>
      <c r="P36" s="487"/>
      <c r="Q36" s="3536"/>
      <c r="R36" s="487"/>
      <c r="S36" s="3536"/>
      <c r="T36" s="3536"/>
      <c r="U36" s="494"/>
      <c r="V36" s="8"/>
    </row>
    <row r="37" spans="1:22" s="7" customFormat="1">
      <c r="A37" s="1295">
        <v>1911</v>
      </c>
      <c r="B37" s="33"/>
      <c r="C37" s="1296">
        <v>3512686.7759129866</v>
      </c>
      <c r="D37" s="554"/>
      <c r="E37" s="35"/>
      <c r="F37" s="487"/>
      <c r="G37" s="3536"/>
      <c r="H37" s="3536"/>
      <c r="I37" s="487"/>
      <c r="J37" s="3536"/>
      <c r="K37" s="487"/>
      <c r="L37" s="492"/>
      <c r="M37" s="3536"/>
      <c r="N37" s="487"/>
      <c r="O37" s="3536"/>
      <c r="P37" s="487"/>
      <c r="Q37" s="3536"/>
      <c r="R37" s="487"/>
      <c r="S37" s="3536"/>
      <c r="T37" s="3536"/>
      <c r="U37" s="494"/>
      <c r="V37" s="8"/>
    </row>
    <row r="38" spans="1:22" s="7" customFormat="1">
      <c r="A38" s="1295">
        <v>1912</v>
      </c>
      <c r="B38" s="33"/>
      <c r="C38" s="1296">
        <v>3799636.6096160924</v>
      </c>
      <c r="D38" s="554"/>
      <c r="E38" s="35"/>
      <c r="F38" s="487"/>
      <c r="G38" s="3536"/>
      <c r="H38" s="3536"/>
      <c r="I38" s="487"/>
      <c r="J38" s="3536"/>
      <c r="K38" s="487"/>
      <c r="L38" s="492"/>
      <c r="M38" s="3536"/>
      <c r="N38" s="487"/>
      <c r="O38" s="3536"/>
      <c r="P38" s="487"/>
      <c r="Q38" s="3536"/>
      <c r="R38" s="487"/>
      <c r="S38" s="3536"/>
      <c r="T38" s="3536"/>
      <c r="U38" s="494"/>
      <c r="V38" s="8"/>
    </row>
    <row r="39" spans="1:22" s="7" customFormat="1">
      <c r="A39" s="1295">
        <v>1913</v>
      </c>
      <c r="B39" s="33"/>
      <c r="C39" s="1296">
        <v>3839178.3692540675</v>
      </c>
      <c r="D39" s="554"/>
      <c r="E39" s="35"/>
      <c r="F39" s="487"/>
      <c r="G39" s="3536"/>
      <c r="H39" s="3536"/>
      <c r="I39" s="487"/>
      <c r="J39" s="3536"/>
      <c r="K39" s="487"/>
      <c r="L39" s="492"/>
      <c r="M39" s="3536"/>
      <c r="N39" s="487"/>
      <c r="O39" s="3536"/>
      <c r="P39" s="487"/>
      <c r="Q39" s="3536"/>
      <c r="R39" s="487"/>
      <c r="S39" s="3536"/>
      <c r="T39" s="3536"/>
      <c r="U39" s="494"/>
      <c r="V39" s="8"/>
    </row>
    <row r="40" spans="1:22" s="7" customFormat="1">
      <c r="A40" s="1295">
        <v>1914</v>
      </c>
      <c r="B40" s="33"/>
      <c r="C40" s="1296">
        <v>3441584.162252041</v>
      </c>
      <c r="D40" s="554"/>
      <c r="E40" s="35"/>
      <c r="F40" s="487"/>
      <c r="G40" s="3536"/>
      <c r="H40" s="3536"/>
      <c r="I40" s="487"/>
      <c r="J40" s="3536"/>
      <c r="K40" s="487"/>
      <c r="L40" s="492"/>
      <c r="M40" s="3536"/>
      <c r="N40" s="487"/>
      <c r="O40" s="3536"/>
      <c r="P40" s="487"/>
      <c r="Q40" s="3536"/>
      <c r="R40" s="487"/>
      <c r="S40" s="3536"/>
      <c r="T40" s="3536"/>
      <c r="U40" s="494"/>
      <c r="V40" s="8"/>
    </row>
    <row r="41" spans="1:22" s="7" customFormat="1">
      <c r="A41" s="1295">
        <v>1915</v>
      </c>
      <c r="B41" s="33"/>
      <c r="C41" s="1296">
        <v>3459722.5841043233</v>
      </c>
      <c r="D41" s="554"/>
      <c r="E41" s="35"/>
      <c r="F41" s="487"/>
      <c r="G41" s="3536"/>
      <c r="H41" s="3536"/>
      <c r="I41" s="487"/>
      <c r="J41" s="3536"/>
      <c r="K41" s="487"/>
      <c r="L41" s="492"/>
      <c r="M41" s="3536"/>
      <c r="N41" s="487"/>
      <c r="O41" s="3536"/>
      <c r="P41" s="487"/>
      <c r="Q41" s="3536"/>
      <c r="R41" s="487"/>
      <c r="S41" s="3536"/>
      <c r="T41" s="3536"/>
      <c r="U41" s="494"/>
      <c r="V41" s="8"/>
    </row>
    <row r="42" spans="1:22" s="7" customFormat="1">
      <c r="A42" s="1295">
        <v>1916</v>
      </c>
      <c r="B42" s="33"/>
      <c r="C42" s="1296">
        <v>3360142.6481352942</v>
      </c>
      <c r="D42" s="554"/>
      <c r="E42" s="35"/>
      <c r="F42" s="487"/>
      <c r="G42" s="3536"/>
      <c r="H42" s="3536"/>
      <c r="I42" s="487"/>
      <c r="J42" s="3536"/>
      <c r="K42" s="487"/>
      <c r="L42" s="492"/>
      <c r="M42" s="3536"/>
      <c r="N42" s="487"/>
      <c r="O42" s="3536"/>
      <c r="P42" s="487"/>
      <c r="Q42" s="3536"/>
      <c r="R42" s="487"/>
      <c r="S42" s="3536"/>
      <c r="T42" s="3536"/>
      <c r="U42" s="494"/>
      <c r="V42" s="8"/>
    </row>
    <row r="43" spans="1:22" s="7" customFormat="1">
      <c r="A43" s="1295">
        <v>1917</v>
      </c>
      <c r="B43" s="33"/>
      <c r="C43" s="1296">
        <v>3087884.9361325367</v>
      </c>
      <c r="D43" s="554"/>
      <c r="E43" s="35"/>
      <c r="F43" s="487"/>
      <c r="G43" s="3536"/>
      <c r="H43" s="3536"/>
      <c r="I43" s="487"/>
      <c r="J43" s="3536"/>
      <c r="K43" s="487"/>
      <c r="L43" s="492"/>
      <c r="M43" s="3536"/>
      <c r="N43" s="487"/>
      <c r="O43" s="3536"/>
      <c r="P43" s="487"/>
      <c r="Q43" s="3536"/>
      <c r="R43" s="487"/>
      <c r="S43" s="3536"/>
      <c r="T43" s="3536"/>
      <c r="U43" s="494"/>
      <c r="V43" s="8"/>
    </row>
    <row r="44" spans="1:22" s="7" customFormat="1">
      <c r="A44" s="1295">
        <v>1918</v>
      </c>
      <c r="B44" s="33"/>
      <c r="C44" s="1296">
        <v>3653985.0821422678</v>
      </c>
      <c r="D44" s="554"/>
      <c r="E44" s="35"/>
      <c r="F44" s="487"/>
      <c r="G44" s="3536"/>
      <c r="H44" s="3536"/>
      <c r="I44" s="487"/>
      <c r="J44" s="3536"/>
      <c r="K44" s="487"/>
      <c r="L44" s="492"/>
      <c r="M44" s="3536"/>
      <c r="N44" s="487"/>
      <c r="O44" s="3536"/>
      <c r="P44" s="487"/>
      <c r="Q44" s="3536"/>
      <c r="R44" s="487"/>
      <c r="S44" s="3536"/>
      <c r="T44" s="3536"/>
      <c r="U44" s="494"/>
      <c r="V44" s="8"/>
    </row>
    <row r="45" spans="1:22" s="7" customFormat="1">
      <c r="A45" s="1295">
        <v>1919</v>
      </c>
      <c r="B45" s="33"/>
      <c r="C45" s="1296">
        <v>3788390.7880676794</v>
      </c>
      <c r="D45" s="554"/>
      <c r="E45" s="35"/>
      <c r="F45" s="487"/>
      <c r="G45" s="3536"/>
      <c r="H45" s="3536"/>
      <c r="I45" s="487"/>
      <c r="J45" s="3536"/>
      <c r="K45" s="487"/>
      <c r="L45" s="492"/>
      <c r="M45" s="3536"/>
      <c r="N45" s="487"/>
      <c r="O45" s="3536"/>
      <c r="P45" s="487"/>
      <c r="Q45" s="3536"/>
      <c r="R45" s="487"/>
      <c r="S45" s="3536"/>
      <c r="T45" s="3536"/>
      <c r="U45" s="494"/>
      <c r="V45" s="8"/>
    </row>
    <row r="46" spans="1:22" s="7" customFormat="1">
      <c r="A46" s="1295">
        <v>1920</v>
      </c>
      <c r="B46" s="33"/>
      <c r="C46" s="1296">
        <v>4064094.8002223717</v>
      </c>
      <c r="D46" s="554"/>
      <c r="E46" s="35"/>
      <c r="F46" s="487"/>
      <c r="G46" s="3536"/>
      <c r="H46" s="3536"/>
      <c r="I46" s="487"/>
      <c r="J46" s="3536"/>
      <c r="K46" s="487"/>
      <c r="L46" s="492"/>
      <c r="M46" s="3536"/>
      <c r="N46" s="487"/>
      <c r="O46" s="3536"/>
      <c r="P46" s="487"/>
      <c r="Q46" s="3536"/>
      <c r="R46" s="487"/>
      <c r="S46" s="3536"/>
      <c r="T46" s="3536"/>
      <c r="U46" s="487"/>
      <c r="V46" s="8"/>
    </row>
    <row r="47" spans="1:22" s="7" customFormat="1">
      <c r="A47" s="1295">
        <v>1921</v>
      </c>
      <c r="B47" s="33"/>
      <c r="C47" s="1296">
        <v>4168027.9574359492</v>
      </c>
      <c r="D47" s="554"/>
      <c r="E47" s="35"/>
      <c r="F47" s="487"/>
      <c r="G47" s="3536"/>
      <c r="H47" s="3536"/>
      <c r="I47" s="487"/>
      <c r="J47" s="3536"/>
      <c r="K47" s="487"/>
      <c r="L47" s="492"/>
      <c r="M47" s="3536"/>
      <c r="N47" s="487"/>
      <c r="O47" s="3536"/>
      <c r="P47" s="487"/>
      <c r="Q47" s="3536"/>
      <c r="R47" s="487"/>
      <c r="S47" s="3536"/>
      <c r="T47" s="3536"/>
      <c r="U47" s="487"/>
      <c r="V47" s="8"/>
    </row>
    <row r="48" spans="1:22" s="7" customFormat="1">
      <c r="A48" s="1295">
        <v>1922</v>
      </c>
      <c r="B48" s="33"/>
      <c r="C48" s="1296">
        <v>4501412.1510808989</v>
      </c>
      <c r="D48" s="554"/>
      <c r="E48" s="35"/>
      <c r="F48" s="487"/>
      <c r="G48" s="3536"/>
      <c r="H48" s="3536"/>
      <c r="I48" s="487"/>
      <c r="J48" s="3536"/>
      <c r="K48" s="487"/>
      <c r="L48" s="492"/>
      <c r="M48" s="3536"/>
      <c r="N48" s="487"/>
      <c r="O48" s="3536"/>
      <c r="P48" s="487"/>
      <c r="Q48" s="3536"/>
      <c r="R48" s="487"/>
      <c r="S48" s="3536"/>
      <c r="T48" s="3536"/>
      <c r="U48" s="487"/>
      <c r="V48" s="8"/>
    </row>
    <row r="49" spans="1:22" s="7" customFormat="1">
      <c r="A49" s="1295">
        <v>1923</v>
      </c>
      <c r="B49" s="33"/>
      <c r="C49" s="1296">
        <v>4997316.6045222981</v>
      </c>
      <c r="D49" s="554"/>
      <c r="E49" s="35"/>
      <c r="F49" s="487"/>
      <c r="G49" s="3536"/>
      <c r="H49" s="3536"/>
      <c r="I49" s="487"/>
      <c r="J49" s="3536"/>
      <c r="K49" s="487"/>
      <c r="L49" s="492"/>
      <c r="M49" s="3536"/>
      <c r="N49" s="487"/>
      <c r="O49" s="3536"/>
      <c r="P49" s="487"/>
      <c r="Q49" s="3536"/>
      <c r="R49" s="487"/>
      <c r="S49" s="3536"/>
      <c r="T49" s="3536"/>
      <c r="U49" s="487"/>
      <c r="V49" s="8"/>
    </row>
    <row r="50" spans="1:22" s="7" customFormat="1">
      <c r="A50" s="1295">
        <v>1924</v>
      </c>
      <c r="B50" s="33"/>
      <c r="C50" s="1296">
        <v>5387111.2901278455</v>
      </c>
      <c r="D50" s="554"/>
      <c r="E50" s="35"/>
      <c r="F50" s="487"/>
      <c r="G50" s="3536"/>
      <c r="H50" s="3536"/>
      <c r="I50" s="487"/>
      <c r="J50" s="3536"/>
      <c r="K50" s="487"/>
      <c r="L50" s="492"/>
      <c r="M50" s="3536"/>
      <c r="N50" s="487"/>
      <c r="O50" s="3536"/>
      <c r="P50" s="487"/>
      <c r="Q50" s="3536"/>
      <c r="R50" s="487"/>
      <c r="S50" s="3536"/>
      <c r="T50" s="3536"/>
      <c r="U50" s="487"/>
      <c r="V50" s="8"/>
    </row>
    <row r="51" spans="1:22" s="7" customFormat="1">
      <c r="A51" s="1295">
        <v>1925</v>
      </c>
      <c r="B51" s="33"/>
      <c r="C51" s="1296">
        <v>5364619.6470310148</v>
      </c>
      <c r="D51" s="554"/>
      <c r="E51" s="35"/>
      <c r="F51" s="487"/>
      <c r="G51" s="3536"/>
      <c r="H51" s="3536"/>
      <c r="I51" s="487"/>
      <c r="J51" s="3536"/>
      <c r="K51" s="487"/>
      <c r="L51" s="492"/>
      <c r="M51" s="3536"/>
      <c r="N51" s="487"/>
      <c r="O51" s="3536"/>
      <c r="P51" s="487"/>
      <c r="Q51" s="3536"/>
      <c r="R51" s="487"/>
      <c r="S51" s="3536"/>
      <c r="T51" s="3536"/>
      <c r="U51" s="487"/>
      <c r="V51" s="8"/>
    </row>
    <row r="52" spans="1:22" s="7" customFormat="1">
      <c r="A52" s="1295">
        <v>1926</v>
      </c>
      <c r="B52" s="33"/>
      <c r="C52" s="1296">
        <v>5623273.5426445613</v>
      </c>
      <c r="D52" s="554"/>
      <c r="E52" s="35"/>
      <c r="F52" s="487"/>
      <c r="G52" s="3536"/>
      <c r="H52" s="3536"/>
      <c r="I52" s="487"/>
      <c r="J52" s="3536"/>
      <c r="K52" s="487"/>
      <c r="L52" s="492"/>
      <c r="M52" s="3536"/>
      <c r="N52" s="487"/>
      <c r="O52" s="3536"/>
      <c r="P52" s="487"/>
      <c r="Q52" s="3536"/>
      <c r="R52" s="487"/>
      <c r="S52" s="3536"/>
      <c r="T52" s="3536"/>
      <c r="U52" s="487"/>
      <c r="V52" s="8"/>
    </row>
    <row r="53" spans="1:22" s="7" customFormat="1">
      <c r="A53" s="1295">
        <v>1927</v>
      </c>
      <c r="B53" s="33"/>
      <c r="C53" s="1296">
        <v>6022137.4391762484</v>
      </c>
      <c r="D53" s="554"/>
      <c r="E53" s="35"/>
      <c r="F53" s="487"/>
      <c r="G53" s="3536"/>
      <c r="H53" s="3536"/>
      <c r="I53" s="487"/>
      <c r="J53" s="3536"/>
      <c r="K53" s="487"/>
      <c r="L53" s="492"/>
      <c r="M53" s="3536"/>
      <c r="N53" s="487"/>
      <c r="O53" s="3536"/>
      <c r="P53" s="487"/>
      <c r="Q53" s="3536"/>
      <c r="R53" s="487"/>
      <c r="S53" s="3536"/>
      <c r="T53" s="3536"/>
      <c r="U53" s="487"/>
      <c r="V53" s="8"/>
    </row>
    <row r="54" spans="1:22" s="7" customFormat="1">
      <c r="A54" s="1295">
        <v>1928</v>
      </c>
      <c r="B54" s="33"/>
      <c r="C54" s="1296">
        <v>6395063.3924591728</v>
      </c>
      <c r="D54" s="554"/>
      <c r="E54" s="35"/>
      <c r="F54" s="487"/>
      <c r="G54" s="3536"/>
      <c r="H54" s="3536"/>
      <c r="I54" s="487"/>
      <c r="J54" s="3536"/>
      <c r="K54" s="487"/>
      <c r="L54" s="492"/>
      <c r="M54" s="3536"/>
      <c r="N54" s="487"/>
      <c r="O54" s="3536"/>
      <c r="P54" s="487"/>
      <c r="Q54" s="3536"/>
      <c r="R54" s="487"/>
      <c r="S54" s="3536"/>
      <c r="T54" s="3536"/>
      <c r="U54" s="487"/>
      <c r="V54" s="8"/>
    </row>
    <row r="55" spans="1:22" s="7" customFormat="1">
      <c r="A55" s="1295">
        <v>1929</v>
      </c>
      <c r="B55" s="33"/>
      <c r="C55" s="1296">
        <v>6689812.7475587605</v>
      </c>
      <c r="D55" s="554"/>
      <c r="E55" s="35"/>
      <c r="F55" s="487"/>
      <c r="G55" s="3536"/>
      <c r="H55" s="3536"/>
      <c r="I55" s="487"/>
      <c r="J55" s="3536"/>
      <c r="K55" s="487"/>
      <c r="L55" s="492"/>
      <c r="M55" s="3536"/>
      <c r="N55" s="487"/>
      <c r="O55" s="3536"/>
      <c r="P55" s="487"/>
      <c r="Q55" s="3536"/>
      <c r="R55" s="487"/>
      <c r="S55" s="3536"/>
      <c r="T55" s="3536"/>
      <c r="U55" s="487"/>
      <c r="V55" s="8"/>
    </row>
    <row r="56" spans="1:22" s="7" customFormat="1">
      <c r="A56" s="1295">
        <v>1930</v>
      </c>
      <c r="B56" s="33"/>
      <c r="C56" s="1296">
        <v>6413020.4300929308</v>
      </c>
      <c r="D56" s="554"/>
      <c r="E56" s="35"/>
      <c r="F56" s="487"/>
      <c r="G56" s="3536"/>
      <c r="H56" s="3536"/>
      <c r="I56" s="487"/>
      <c r="J56" s="3536"/>
      <c r="K56" s="487"/>
      <c r="L56" s="492"/>
      <c r="M56" s="3536"/>
      <c r="N56" s="487"/>
      <c r="O56" s="3536"/>
      <c r="P56" s="487"/>
      <c r="Q56" s="3536"/>
      <c r="R56" s="487"/>
      <c r="S56" s="3536"/>
      <c r="T56" s="3536"/>
      <c r="U56" s="487"/>
      <c r="V56" s="8"/>
    </row>
    <row r="57" spans="1:22" s="7" customFormat="1">
      <c r="A57" s="1295">
        <v>1931</v>
      </c>
      <c r="B57" s="33"/>
      <c r="C57" s="1296">
        <v>5967903.5578379212</v>
      </c>
      <c r="D57" s="554"/>
      <c r="E57" s="35"/>
      <c r="F57" s="487"/>
      <c r="G57" s="3536"/>
      <c r="H57" s="3536"/>
      <c r="I57" s="487"/>
      <c r="J57" s="3536"/>
      <c r="K57" s="487"/>
      <c r="L57" s="492"/>
      <c r="M57" s="3536"/>
      <c r="N57" s="487"/>
      <c r="O57" s="3536"/>
      <c r="P57" s="487"/>
      <c r="Q57" s="3536"/>
      <c r="R57" s="487"/>
      <c r="S57" s="3536"/>
      <c r="T57" s="3536"/>
      <c r="U57" s="487"/>
      <c r="V57" s="8"/>
    </row>
    <row r="58" spans="1:22" s="7" customFormat="1">
      <c r="A58" s="1295">
        <v>1932</v>
      </c>
      <c r="B58" s="33"/>
      <c r="C58" s="1296">
        <v>5770194.7596480455</v>
      </c>
      <c r="D58" s="554"/>
      <c r="E58" s="35"/>
      <c r="F58" s="487"/>
      <c r="G58" s="3536"/>
      <c r="H58" s="3536"/>
      <c r="I58" s="487"/>
      <c r="J58" s="3536"/>
      <c r="K58" s="487"/>
      <c r="L58" s="492"/>
      <c r="M58" s="3536"/>
      <c r="N58" s="487"/>
      <c r="O58" s="3536"/>
      <c r="P58" s="487"/>
      <c r="Q58" s="3536"/>
      <c r="R58" s="487"/>
      <c r="S58" s="3536"/>
      <c r="T58" s="3536"/>
      <c r="U58" s="487"/>
      <c r="V58" s="8"/>
    </row>
    <row r="59" spans="1:22" s="7" customFormat="1">
      <c r="A59" s="1295">
        <v>1933</v>
      </c>
      <c r="B59" s="33"/>
      <c r="C59" s="1296">
        <v>6041364.1663396647</v>
      </c>
      <c r="D59" s="554"/>
      <c r="E59" s="35"/>
      <c r="F59" s="487"/>
      <c r="G59" s="3536"/>
      <c r="H59" s="3536"/>
      <c r="I59" s="487"/>
      <c r="J59" s="3536"/>
      <c r="K59" s="487"/>
      <c r="L59" s="492"/>
      <c r="M59" s="3536"/>
      <c r="N59" s="487"/>
      <c r="O59" s="3536"/>
      <c r="P59" s="487"/>
      <c r="Q59" s="3536"/>
      <c r="R59" s="487"/>
      <c r="S59" s="3536"/>
      <c r="T59" s="3536"/>
      <c r="U59" s="487"/>
      <c r="V59" s="8"/>
    </row>
    <row r="60" spans="1:22" s="7" customFormat="1">
      <c r="A60" s="1295">
        <v>1934</v>
      </c>
      <c r="B60" s="33"/>
      <c r="C60" s="1296">
        <v>6518223.2768361662</v>
      </c>
      <c r="D60" s="554"/>
      <c r="E60" s="35"/>
      <c r="F60" s="487"/>
      <c r="G60" s="3536"/>
      <c r="H60" s="3536"/>
      <c r="I60" s="487"/>
      <c r="J60" s="3536"/>
      <c r="K60" s="487"/>
      <c r="L60" s="492"/>
      <c r="M60" s="3536"/>
      <c r="N60" s="487"/>
      <c r="O60" s="3536"/>
      <c r="P60" s="487"/>
      <c r="Q60" s="3536"/>
      <c r="R60" s="487"/>
      <c r="S60" s="3536"/>
      <c r="T60" s="3536"/>
      <c r="U60" s="487"/>
      <c r="V60" s="8"/>
    </row>
    <row r="61" spans="1:22" s="7" customFormat="1">
      <c r="A61" s="1295">
        <v>1935</v>
      </c>
      <c r="B61" s="33"/>
      <c r="C61" s="1296">
        <v>6801726.8103873376</v>
      </c>
      <c r="D61" s="554"/>
      <c r="E61" s="35"/>
      <c r="F61" s="487"/>
      <c r="G61" s="3536"/>
      <c r="H61" s="3536"/>
      <c r="I61" s="487"/>
      <c r="J61" s="3536"/>
      <c r="K61" s="487"/>
      <c r="L61" s="492"/>
      <c r="M61" s="3536"/>
      <c r="N61" s="487"/>
      <c r="O61" s="3536"/>
      <c r="P61" s="487"/>
      <c r="Q61" s="3536"/>
      <c r="R61" s="487"/>
      <c r="S61" s="3536"/>
      <c r="T61" s="3536"/>
      <c r="U61" s="487"/>
      <c r="V61" s="8"/>
    </row>
    <row r="62" spans="1:22" s="7" customFormat="1">
      <c r="A62" s="1295">
        <v>1936</v>
      </c>
      <c r="B62" s="33"/>
      <c r="C62" s="1296">
        <v>6858318.6865664581</v>
      </c>
      <c r="D62" s="554"/>
      <c r="E62" s="35"/>
      <c r="F62" s="487"/>
      <c r="G62" s="3536"/>
      <c r="H62" s="3536"/>
      <c r="I62" s="487"/>
      <c r="J62" s="3536"/>
      <c r="K62" s="487"/>
      <c r="L62" s="492"/>
      <c r="M62" s="3536"/>
      <c r="N62" s="487"/>
      <c r="O62" s="3536"/>
      <c r="P62" s="487"/>
      <c r="Q62" s="3536"/>
      <c r="R62" s="487"/>
      <c r="S62" s="3536"/>
      <c r="T62" s="3536"/>
      <c r="U62" s="487"/>
      <c r="V62" s="8"/>
    </row>
    <row r="63" spans="1:22" s="7" customFormat="1">
      <c r="A63" s="1295">
        <v>1937</v>
      </c>
      <c r="B63" s="33"/>
      <c r="C63" s="1296">
        <v>7355311.4453189932</v>
      </c>
      <c r="D63" s="554"/>
      <c r="E63" s="35"/>
      <c r="F63" s="487"/>
      <c r="G63" s="3536"/>
      <c r="H63" s="3536"/>
      <c r="I63" s="487"/>
      <c r="J63" s="3536"/>
      <c r="K63" s="487"/>
      <c r="L63" s="492"/>
      <c r="M63" s="3536"/>
      <c r="N63" s="487"/>
      <c r="O63" s="3536"/>
      <c r="P63" s="487"/>
      <c r="Q63" s="3536"/>
      <c r="R63" s="487"/>
      <c r="S63" s="3536"/>
      <c r="T63" s="3536"/>
      <c r="U63" s="487"/>
      <c r="V63" s="8"/>
    </row>
    <row r="64" spans="1:22" s="7" customFormat="1">
      <c r="A64" s="1295">
        <v>1938</v>
      </c>
      <c r="B64" s="33"/>
      <c r="C64" s="1296">
        <v>7377984.4726343444</v>
      </c>
      <c r="D64" s="554"/>
      <c r="E64" s="35"/>
      <c r="F64" s="487"/>
      <c r="G64" s="3536"/>
      <c r="H64" s="3536"/>
      <c r="I64" s="487"/>
      <c r="J64" s="3536"/>
      <c r="K64" s="487"/>
      <c r="L64" s="492"/>
      <c r="M64" s="3536"/>
      <c r="N64" s="487"/>
      <c r="O64" s="3536"/>
      <c r="P64" s="487"/>
      <c r="Q64" s="3536"/>
      <c r="R64" s="487"/>
      <c r="S64" s="3536"/>
      <c r="T64" s="3536"/>
      <c r="U64" s="487"/>
      <c r="V64" s="8"/>
    </row>
    <row r="65" spans="1:22" s="7" customFormat="1">
      <c r="A65" s="1295">
        <v>1939</v>
      </c>
      <c r="B65" s="33"/>
      <c r="C65" s="1296">
        <v>7660399.700874378</v>
      </c>
      <c r="D65" s="554"/>
      <c r="E65" s="35"/>
      <c r="F65" s="487"/>
      <c r="G65" s="3536"/>
      <c r="H65" s="3536"/>
      <c r="I65" s="487"/>
      <c r="J65" s="3536"/>
      <c r="K65" s="487"/>
      <c r="L65" s="492"/>
      <c r="M65" s="3536"/>
      <c r="N65" s="487"/>
      <c r="O65" s="3536"/>
      <c r="P65" s="487"/>
      <c r="Q65" s="3536"/>
      <c r="R65" s="487"/>
      <c r="S65" s="3536"/>
      <c r="T65" s="3536"/>
      <c r="U65" s="487"/>
      <c r="V65" s="8"/>
    </row>
    <row r="66" spans="1:22" s="7" customFormat="1" ht="11.25" customHeight="1">
      <c r="A66" s="1295">
        <v>1940</v>
      </c>
      <c r="B66" s="33"/>
      <c r="C66" s="1296">
        <v>7784647.890562511</v>
      </c>
      <c r="D66" s="554"/>
      <c r="E66" s="35"/>
      <c r="F66" s="487"/>
      <c r="G66" s="3536"/>
      <c r="H66" s="3536"/>
      <c r="I66" s="487"/>
      <c r="J66" s="3536"/>
      <c r="K66" s="487"/>
      <c r="L66" s="492"/>
      <c r="M66" s="3536"/>
      <c r="N66" s="487"/>
      <c r="O66" s="3536"/>
      <c r="P66" s="487"/>
      <c r="Q66" s="3536"/>
      <c r="R66" s="487"/>
      <c r="S66" s="3536"/>
      <c r="T66" s="3536"/>
      <c r="U66" s="487"/>
      <c r="V66" s="8"/>
    </row>
    <row r="67" spans="1:22" s="7" customFormat="1">
      <c r="A67" s="1295">
        <v>1941</v>
      </c>
      <c r="B67" s="33"/>
      <c r="C67" s="1296">
        <v>8191492.6927092019</v>
      </c>
      <c r="D67" s="554"/>
      <c r="E67" s="35"/>
      <c r="F67" s="487"/>
      <c r="G67" s="3536"/>
      <c r="H67" s="3536"/>
      <c r="I67" s="487"/>
      <c r="J67" s="3536"/>
      <c r="K67" s="487"/>
      <c r="L67" s="492"/>
      <c r="M67" s="3536"/>
      <c r="N67" s="487"/>
      <c r="O67" s="3536"/>
      <c r="P67" s="487"/>
      <c r="Q67" s="3536"/>
      <c r="R67" s="487"/>
      <c r="S67" s="3536"/>
      <c r="T67" s="3536"/>
      <c r="U67" s="487"/>
      <c r="V67" s="8"/>
    </row>
    <row r="68" spans="1:22" s="7" customFormat="1">
      <c r="A68" s="1295">
        <v>1942</v>
      </c>
      <c r="B68" s="33"/>
      <c r="C68" s="1296">
        <v>8281822.0335335694</v>
      </c>
      <c r="D68" s="554"/>
      <c r="E68" s="35"/>
      <c r="F68" s="487"/>
      <c r="G68" s="3536"/>
      <c r="H68" s="3536"/>
      <c r="I68" s="487"/>
      <c r="J68" s="3536"/>
      <c r="K68" s="487"/>
      <c r="L68" s="492"/>
      <c r="M68" s="3536"/>
      <c r="N68" s="487"/>
      <c r="O68" s="3536"/>
      <c r="P68" s="487"/>
      <c r="Q68" s="3536"/>
      <c r="R68" s="487"/>
      <c r="S68" s="3536"/>
      <c r="T68" s="3536"/>
      <c r="U68" s="487"/>
      <c r="V68" s="8"/>
    </row>
    <row r="69" spans="1:22" s="7" customFormat="1">
      <c r="A69" s="1295">
        <v>1943</v>
      </c>
      <c r="B69" s="33"/>
      <c r="C69" s="1296">
        <v>8225411.5415729703</v>
      </c>
      <c r="D69" s="554"/>
      <c r="E69" s="35"/>
      <c r="F69" s="487"/>
      <c r="G69" s="3536"/>
      <c r="H69" s="3536"/>
      <c r="I69" s="487"/>
      <c r="J69" s="3536"/>
      <c r="K69" s="487"/>
      <c r="L69" s="492"/>
      <c r="M69" s="3536"/>
      <c r="N69" s="487"/>
      <c r="O69" s="3536"/>
      <c r="P69" s="487"/>
      <c r="Q69" s="3536"/>
      <c r="R69" s="487"/>
      <c r="S69" s="3536"/>
      <c r="T69" s="3536"/>
      <c r="U69" s="487"/>
      <c r="V69" s="8"/>
    </row>
    <row r="70" spans="1:22" s="7" customFormat="1">
      <c r="A70" s="1295">
        <v>1944</v>
      </c>
      <c r="B70" s="33"/>
      <c r="C70" s="1296">
        <v>9151922.1297875475</v>
      </c>
      <c r="D70" s="554"/>
      <c r="E70" s="35"/>
      <c r="F70" s="487"/>
      <c r="G70" s="3536"/>
      <c r="H70" s="3536"/>
      <c r="I70" s="487"/>
      <c r="J70" s="3536"/>
      <c r="K70" s="487"/>
      <c r="L70" s="492"/>
      <c r="M70" s="3536"/>
      <c r="N70" s="487"/>
      <c r="O70" s="3536"/>
      <c r="P70" s="487"/>
      <c r="Q70" s="3536"/>
      <c r="R70" s="487"/>
      <c r="S70" s="3536"/>
      <c r="T70" s="3536"/>
      <c r="U70" s="487"/>
      <c r="V70" s="8"/>
    </row>
    <row r="71" spans="1:22" s="7" customFormat="1">
      <c r="A71" s="1295">
        <v>1945</v>
      </c>
      <c r="B71" s="33"/>
      <c r="C71" s="1296">
        <v>8858079.6957805753</v>
      </c>
      <c r="D71" s="554"/>
      <c r="E71" s="35"/>
      <c r="F71" s="487"/>
      <c r="G71" s="3536"/>
      <c r="H71" s="3536"/>
      <c r="I71" s="487"/>
      <c r="J71" s="3536"/>
      <c r="K71" s="487"/>
      <c r="L71" s="492"/>
      <c r="M71" s="3536"/>
      <c r="N71" s="487"/>
      <c r="O71" s="3536"/>
      <c r="P71" s="487"/>
      <c r="Q71" s="3536"/>
      <c r="R71" s="487"/>
      <c r="S71" s="3536"/>
      <c r="T71" s="3536"/>
      <c r="U71" s="487"/>
      <c r="V71" s="8"/>
    </row>
    <row r="72" spans="1:22" s="7" customFormat="1">
      <c r="A72" s="1295">
        <v>1946</v>
      </c>
      <c r="B72" s="33"/>
      <c r="C72" s="1296">
        <v>9649096.2727586068</v>
      </c>
      <c r="D72" s="554"/>
      <c r="E72" s="35"/>
      <c r="F72" s="487"/>
      <c r="G72" s="3536"/>
      <c r="H72" s="3536"/>
      <c r="I72" s="487"/>
      <c r="J72" s="3536"/>
      <c r="K72" s="487"/>
      <c r="L72" s="492"/>
      <c r="M72" s="3536"/>
      <c r="N72" s="487"/>
      <c r="O72" s="3536"/>
      <c r="P72" s="487"/>
      <c r="Q72" s="3536"/>
      <c r="R72" s="487"/>
      <c r="S72" s="3536"/>
      <c r="T72" s="3536"/>
      <c r="U72" s="487"/>
      <c r="V72" s="8"/>
    </row>
    <row r="73" spans="1:22" s="7" customFormat="1">
      <c r="A73" s="1295">
        <v>1947</v>
      </c>
      <c r="B73" s="33"/>
      <c r="C73" s="1296">
        <v>10722346.693758149</v>
      </c>
      <c r="D73" s="554"/>
      <c r="E73" s="35"/>
      <c r="F73" s="487"/>
      <c r="G73" s="3536"/>
      <c r="H73" s="3536"/>
      <c r="I73" s="487"/>
      <c r="J73" s="3536"/>
      <c r="K73" s="487"/>
      <c r="L73" s="492"/>
      <c r="M73" s="3536"/>
      <c r="N73" s="487"/>
      <c r="O73" s="3536"/>
      <c r="P73" s="487"/>
      <c r="Q73" s="3536"/>
      <c r="R73" s="487"/>
      <c r="S73" s="3536"/>
      <c r="T73" s="3536"/>
      <c r="U73" s="487"/>
      <c r="V73" s="8"/>
    </row>
    <row r="74" spans="1:22" s="7" customFormat="1">
      <c r="A74" s="1295">
        <v>1948</v>
      </c>
      <c r="B74" s="33"/>
      <c r="C74" s="1296">
        <v>11309850.177553574</v>
      </c>
      <c r="D74" s="554"/>
      <c r="E74" s="35"/>
      <c r="F74" s="487"/>
      <c r="G74" s="3536"/>
      <c r="H74" s="3536"/>
      <c r="I74" s="487"/>
      <c r="J74" s="3536"/>
      <c r="K74" s="487"/>
      <c r="L74" s="492"/>
      <c r="M74" s="3536"/>
      <c r="N74" s="487"/>
      <c r="O74" s="3536"/>
      <c r="P74" s="487"/>
      <c r="Q74" s="3536"/>
      <c r="R74" s="487"/>
      <c r="S74" s="3536"/>
      <c r="T74" s="3536"/>
      <c r="U74" s="487"/>
      <c r="V74" s="8"/>
    </row>
    <row r="75" spans="1:22" s="7" customFormat="1">
      <c r="A75" s="1295">
        <v>1949</v>
      </c>
      <c r="B75" s="33"/>
      <c r="C75" s="1296">
        <v>11163110.34476861</v>
      </c>
      <c r="D75" s="554"/>
      <c r="E75" s="35"/>
      <c r="F75" s="487"/>
      <c r="G75" s="3536"/>
      <c r="H75" s="3536"/>
      <c r="I75" s="487"/>
      <c r="J75" s="3536"/>
      <c r="K75" s="487"/>
      <c r="L75" s="492"/>
      <c r="M75" s="3536"/>
      <c r="N75" s="487"/>
      <c r="O75" s="3536"/>
      <c r="P75" s="487"/>
      <c r="Q75" s="3536"/>
      <c r="R75" s="487"/>
      <c r="S75" s="3536"/>
      <c r="T75" s="3536"/>
      <c r="U75" s="487"/>
      <c r="V75" s="8"/>
    </row>
    <row r="76" spans="1:22" s="7" customFormat="1">
      <c r="A76" s="1295">
        <v>1950</v>
      </c>
      <c r="B76" s="33"/>
      <c r="C76" s="1296">
        <v>11298604.356005162</v>
      </c>
      <c r="D76" s="554"/>
      <c r="E76" s="35"/>
      <c r="F76" s="487"/>
      <c r="G76" s="3536"/>
      <c r="H76" s="3536"/>
      <c r="I76" s="487"/>
      <c r="J76" s="3536"/>
      <c r="K76" s="487"/>
      <c r="L76" s="492"/>
      <c r="M76" s="3536"/>
      <c r="N76" s="487"/>
      <c r="O76" s="3536"/>
      <c r="P76" s="487"/>
      <c r="Q76" s="3536"/>
      <c r="R76" s="487"/>
      <c r="S76" s="3536"/>
      <c r="T76" s="3536"/>
      <c r="U76" s="487"/>
      <c r="V76" s="8"/>
    </row>
    <row r="77" spans="1:22" s="7" customFormat="1">
      <c r="A77" s="1295">
        <v>1951</v>
      </c>
      <c r="B77" s="33"/>
      <c r="C77" s="1296">
        <v>11737832.457815574</v>
      </c>
      <c r="D77" s="554"/>
      <c r="E77" s="35"/>
      <c r="F77" s="487"/>
      <c r="G77" s="3536"/>
      <c r="H77" s="3536"/>
      <c r="I77" s="487"/>
      <c r="J77" s="3536"/>
      <c r="K77" s="487"/>
      <c r="L77" s="492"/>
      <c r="M77" s="3536"/>
      <c r="N77" s="487"/>
      <c r="O77" s="3536"/>
      <c r="P77" s="487"/>
      <c r="Q77" s="3536"/>
      <c r="R77" s="487"/>
      <c r="S77" s="3536"/>
      <c r="T77" s="3536"/>
      <c r="U77" s="487"/>
      <c r="V77" s="8"/>
    </row>
    <row r="78" spans="1:22" s="7" customFormat="1">
      <c r="A78" s="1295">
        <v>1952</v>
      </c>
      <c r="B78" s="33"/>
      <c r="C78" s="1296">
        <v>11147058.692812406</v>
      </c>
      <c r="D78" s="554"/>
      <c r="E78" s="35"/>
      <c r="F78" s="487"/>
      <c r="G78" s="3536"/>
      <c r="H78" s="3536"/>
      <c r="I78" s="487"/>
      <c r="J78" s="3536"/>
      <c r="K78" s="487"/>
      <c r="L78" s="492"/>
      <c r="M78" s="3536"/>
      <c r="N78" s="487"/>
      <c r="O78" s="3536"/>
      <c r="P78" s="487"/>
      <c r="Q78" s="3536"/>
      <c r="R78" s="487"/>
      <c r="S78" s="3536"/>
      <c r="T78" s="3536"/>
      <c r="U78" s="487"/>
      <c r="V78" s="8"/>
    </row>
    <row r="79" spans="1:22" s="7" customFormat="1">
      <c r="A79" s="1295">
        <v>1953</v>
      </c>
      <c r="B79" s="33"/>
      <c r="C79" s="1296">
        <v>11080173.040612908</v>
      </c>
      <c r="D79" s="554"/>
      <c r="E79" s="35"/>
      <c r="F79" s="487"/>
      <c r="G79" s="3536"/>
      <c r="H79" s="3536"/>
      <c r="I79" s="487"/>
      <c r="J79" s="3536"/>
      <c r="K79" s="487"/>
      <c r="L79" s="492"/>
      <c r="M79" s="3536"/>
      <c r="N79" s="487"/>
      <c r="O79" s="3536"/>
      <c r="P79" s="487"/>
      <c r="Q79" s="3536"/>
      <c r="R79" s="487"/>
      <c r="S79" s="3536"/>
      <c r="T79" s="3536"/>
      <c r="U79" s="487"/>
      <c r="V79" s="8"/>
    </row>
    <row r="80" spans="1:22" s="7" customFormat="1">
      <c r="A80" s="1295">
        <v>1954</v>
      </c>
      <c r="B80" s="33"/>
      <c r="C80" s="1296">
        <v>11220614.421793595</v>
      </c>
      <c r="D80" s="554"/>
      <c r="E80" s="35"/>
      <c r="F80" s="487"/>
      <c r="G80" s="3536"/>
      <c r="H80" s="3536"/>
      <c r="I80" s="487"/>
      <c r="J80" s="3536"/>
      <c r="K80" s="487"/>
      <c r="L80" s="492"/>
      <c r="M80" s="3536"/>
      <c r="N80" s="487"/>
      <c r="O80" s="3536"/>
      <c r="P80" s="487"/>
      <c r="Q80" s="3536"/>
      <c r="R80" s="487"/>
      <c r="S80" s="3536"/>
      <c r="T80" s="3536"/>
      <c r="U80" s="487"/>
      <c r="V80" s="8"/>
    </row>
    <row r="81" spans="1:22" s="7" customFormat="1">
      <c r="A81" s="1295">
        <v>1955</v>
      </c>
      <c r="B81" s="33"/>
      <c r="C81" s="1296">
        <v>12013199.070853213</v>
      </c>
      <c r="D81" s="554"/>
      <c r="E81" s="35"/>
      <c r="F81" s="487"/>
      <c r="G81" s="3536"/>
      <c r="H81" s="3536"/>
      <c r="I81" s="487"/>
      <c r="J81" s="3536"/>
      <c r="K81" s="487"/>
      <c r="L81" s="492"/>
      <c r="M81" s="3536"/>
      <c r="N81" s="487"/>
      <c r="O81" s="3536"/>
      <c r="P81" s="487"/>
      <c r="Q81" s="3536"/>
      <c r="R81" s="487"/>
      <c r="S81" s="3536"/>
      <c r="T81" s="3536"/>
      <c r="U81" s="487"/>
      <c r="V81" s="8"/>
    </row>
    <row r="82" spans="1:22" s="7" customFormat="1">
      <c r="A82" s="1295">
        <v>1956</v>
      </c>
      <c r="B82" s="33"/>
      <c r="C82" s="1296">
        <v>12346933.37984903</v>
      </c>
      <c r="D82" s="554"/>
      <c r="E82" s="35"/>
      <c r="F82" s="487"/>
      <c r="G82" s="3536"/>
      <c r="H82" s="3536"/>
      <c r="I82" s="487"/>
      <c r="J82" s="3536"/>
      <c r="K82" s="487"/>
      <c r="L82" s="492"/>
      <c r="M82" s="3536"/>
      <c r="N82" s="487"/>
      <c r="O82" s="3536"/>
      <c r="P82" s="487"/>
      <c r="Q82" s="3536"/>
      <c r="R82" s="487"/>
      <c r="S82" s="3536"/>
      <c r="T82" s="3536"/>
      <c r="U82" s="487"/>
      <c r="V82" s="8"/>
    </row>
    <row r="83" spans="1:22" s="7" customFormat="1">
      <c r="A83" s="1295">
        <v>1957</v>
      </c>
      <c r="B83" s="33"/>
      <c r="C83" s="1296">
        <v>12986522.135813447</v>
      </c>
      <c r="D83" s="554"/>
      <c r="E83" s="35"/>
      <c r="F83" s="487"/>
      <c r="G83" s="3536"/>
      <c r="H83" s="3536"/>
      <c r="I83" s="487"/>
      <c r="J83" s="3536"/>
      <c r="K83" s="487"/>
      <c r="L83" s="492"/>
      <c r="M83" s="3536"/>
      <c r="N83" s="487"/>
      <c r="O83" s="3536"/>
      <c r="P83" s="487"/>
      <c r="Q83" s="3536"/>
      <c r="R83" s="487"/>
      <c r="S83" s="3536"/>
      <c r="T83" s="3536"/>
      <c r="U83" s="487"/>
      <c r="V83" s="8"/>
    </row>
    <row r="84" spans="1:22" s="7" customFormat="1">
      <c r="A84" s="1295">
        <v>1958</v>
      </c>
      <c r="B84" s="33"/>
      <c r="C84" s="1296">
        <v>13389866.480215633</v>
      </c>
      <c r="D84" s="554"/>
      <c r="E84" s="35"/>
      <c r="F84" s="487"/>
      <c r="G84" s="3536"/>
      <c r="H84" s="3536"/>
      <c r="I84" s="487"/>
      <c r="J84" s="3536"/>
      <c r="K84" s="487"/>
      <c r="L84" s="492"/>
      <c r="M84" s="3536"/>
      <c r="N84" s="487"/>
      <c r="O84" s="3536"/>
      <c r="P84" s="487"/>
      <c r="Q84" s="3536"/>
      <c r="R84" s="487"/>
      <c r="S84" s="3536"/>
      <c r="T84" s="3536"/>
      <c r="U84" s="487"/>
      <c r="V84" s="8"/>
    </row>
    <row r="85" spans="1:22" s="7" customFormat="1">
      <c r="A85" s="1295">
        <v>1959</v>
      </c>
      <c r="B85" s="33"/>
      <c r="C85" s="1296">
        <v>11498005.74443974</v>
      </c>
      <c r="D85" s="554"/>
      <c r="E85" s="35"/>
      <c r="F85" s="487"/>
      <c r="G85" s="3536"/>
      <c r="H85" s="3536"/>
      <c r="I85" s="487"/>
      <c r="J85" s="3536"/>
      <c r="K85" s="487"/>
      <c r="L85" s="492"/>
      <c r="M85" s="3536"/>
      <c r="N85" s="487"/>
      <c r="O85" s="3536"/>
      <c r="P85" s="487"/>
      <c r="Q85" s="3536"/>
      <c r="R85" s="487"/>
      <c r="S85" s="3536"/>
      <c r="T85" s="3536"/>
      <c r="U85" s="487"/>
      <c r="V85" s="8"/>
    </row>
    <row r="86" spans="1:22" s="7" customFormat="1">
      <c r="A86" s="1295">
        <v>1960</v>
      </c>
      <c r="B86" s="33"/>
      <c r="C86" s="1296">
        <v>12185629.117125452</v>
      </c>
      <c r="D86" s="554"/>
      <c r="E86" s="35"/>
      <c r="F86" s="487"/>
      <c r="G86" s="3536"/>
      <c r="H86" s="3536"/>
      <c r="I86" s="487"/>
      <c r="J86" s="3536"/>
      <c r="K86" s="487"/>
      <c r="L86" s="492"/>
      <c r="M86" s="3536"/>
      <c r="N86" s="487"/>
      <c r="O86" s="3536"/>
      <c r="P86" s="487"/>
      <c r="Q86" s="3536"/>
      <c r="R86" s="487"/>
      <c r="S86" s="3536"/>
      <c r="T86" s="3536"/>
      <c r="U86" s="487"/>
      <c r="V86" s="8"/>
    </row>
    <row r="87" spans="1:22" s="7" customFormat="1">
      <c r="A87" s="1295">
        <v>1961</v>
      </c>
      <c r="B87" s="33"/>
      <c r="C87" s="1296">
        <v>13205854.155041382</v>
      </c>
      <c r="D87" s="554"/>
      <c r="E87" s="35"/>
      <c r="F87" s="487"/>
      <c r="G87" s="3536"/>
      <c r="H87" s="3536"/>
      <c r="I87" s="487"/>
      <c r="J87" s="3536"/>
      <c r="K87" s="487"/>
      <c r="L87" s="492"/>
      <c r="M87" s="3536"/>
      <c r="N87" s="487"/>
      <c r="O87" s="3536"/>
      <c r="P87" s="487"/>
      <c r="Q87" s="3536"/>
      <c r="R87" s="487"/>
      <c r="S87" s="3536"/>
      <c r="T87" s="3536"/>
      <c r="U87" s="487"/>
      <c r="V87" s="8"/>
    </row>
    <row r="88" spans="1:22" s="7" customFormat="1">
      <c r="A88" s="1295">
        <v>1962</v>
      </c>
      <c r="B88" s="33"/>
      <c r="C88" s="1296">
        <v>14115819.001579192</v>
      </c>
      <c r="D88" s="554"/>
      <c r="E88" s="35"/>
      <c r="F88" s="487"/>
      <c r="G88" s="3536"/>
      <c r="H88" s="3536"/>
      <c r="I88" s="487"/>
      <c r="J88" s="3536"/>
      <c r="K88" s="487"/>
      <c r="L88" s="492"/>
      <c r="M88" s="3536"/>
      <c r="N88" s="487"/>
      <c r="O88" s="3536"/>
      <c r="P88" s="487"/>
      <c r="Q88" s="3536"/>
      <c r="R88" s="487"/>
      <c r="S88" s="3536"/>
      <c r="T88" s="3536"/>
      <c r="U88" s="487"/>
      <c r="V88" s="8"/>
    </row>
    <row r="89" spans="1:22" s="7" customFormat="1">
      <c r="A89" s="1295">
        <v>1963</v>
      </c>
      <c r="B89" s="33"/>
      <c r="C89" s="1296">
        <v>14213223.689377606</v>
      </c>
      <c r="D89" s="554"/>
      <c r="E89" s="35"/>
      <c r="F89" s="487"/>
      <c r="G89" s="3536"/>
      <c r="H89" s="3536"/>
      <c r="I89" s="487"/>
      <c r="J89" s="3536"/>
      <c r="K89" s="487"/>
      <c r="L89" s="492"/>
      <c r="M89" s="3536"/>
      <c r="N89" s="487"/>
      <c r="O89" s="3536"/>
      <c r="P89" s="487"/>
      <c r="Q89" s="3536"/>
      <c r="R89" s="487"/>
      <c r="S89" s="3536"/>
      <c r="T89" s="3536"/>
      <c r="U89" s="487"/>
      <c r="V89" s="8"/>
    </row>
    <row r="90" spans="1:22" s="7" customFormat="1">
      <c r="A90" s="1295">
        <v>1964</v>
      </c>
      <c r="B90" s="33"/>
      <c r="C90" s="1296">
        <v>14418286.190005844</v>
      </c>
      <c r="D90" s="554"/>
      <c r="E90" s="35"/>
      <c r="F90" s="487"/>
      <c r="G90" s="3536"/>
      <c r="H90" s="3536"/>
      <c r="I90" s="487"/>
      <c r="J90" s="3536"/>
      <c r="K90" s="487"/>
      <c r="L90" s="492"/>
      <c r="M90" s="3536"/>
      <c r="N90" s="487"/>
      <c r="O90" s="3536"/>
      <c r="P90" s="487"/>
      <c r="Q90" s="3536"/>
      <c r="R90" s="487"/>
      <c r="S90" s="3536"/>
      <c r="T90" s="3536"/>
      <c r="U90" s="487"/>
      <c r="V90" s="8"/>
    </row>
    <row r="91" spans="1:22" s="7" customFormat="1">
      <c r="A91" s="1295">
        <v>1965</v>
      </c>
      <c r="B91" s="33"/>
      <c r="C91" s="1296">
        <v>16347753.435500382</v>
      </c>
      <c r="D91" s="554"/>
      <c r="E91" s="35"/>
      <c r="F91" s="487"/>
      <c r="G91" s="3536"/>
      <c r="H91" s="3536"/>
      <c r="I91" s="487"/>
      <c r="J91" s="3536"/>
      <c r="K91" s="487"/>
      <c r="L91" s="492"/>
      <c r="M91" s="3536"/>
      <c r="N91" s="487"/>
      <c r="O91" s="3536"/>
      <c r="P91" s="487"/>
      <c r="Q91" s="3536"/>
      <c r="R91" s="487"/>
      <c r="S91" s="3536"/>
      <c r="T91" s="3536"/>
      <c r="U91" s="487"/>
      <c r="V91" s="8"/>
    </row>
    <row r="92" spans="1:22" s="7" customFormat="1">
      <c r="A92" s="1295">
        <v>1966</v>
      </c>
      <c r="B92" s="33"/>
      <c r="C92" s="1296">
        <v>16074336.767996063</v>
      </c>
      <c r="D92" s="554"/>
      <c r="E92" s="35"/>
      <c r="F92" s="487"/>
      <c r="G92" s="3536"/>
      <c r="H92" s="3536"/>
      <c r="I92" s="487"/>
      <c r="J92" s="3536"/>
      <c r="K92" s="487"/>
      <c r="L92" s="492"/>
      <c r="M92" s="3536"/>
      <c r="N92" s="487"/>
      <c r="O92" s="3536"/>
      <c r="P92" s="487"/>
      <c r="Q92" s="3536"/>
      <c r="R92" s="487"/>
      <c r="S92" s="3536"/>
      <c r="T92" s="3536"/>
      <c r="U92" s="487"/>
      <c r="V92" s="8"/>
    </row>
    <row r="93" spans="1:22" s="7" customFormat="1">
      <c r="A93" s="1295">
        <v>1967</v>
      </c>
      <c r="B93" s="33"/>
      <c r="C93" s="1296">
        <v>16917314.530995313</v>
      </c>
      <c r="D93" s="554"/>
      <c r="E93" s="35"/>
      <c r="F93" s="487"/>
      <c r="G93" s="3536"/>
      <c r="H93" s="3536"/>
      <c r="I93" s="487"/>
      <c r="J93" s="3536"/>
      <c r="K93" s="487"/>
      <c r="L93" s="492"/>
      <c r="M93" s="3536"/>
      <c r="N93" s="487"/>
      <c r="O93" s="3536"/>
      <c r="P93" s="487"/>
      <c r="Q93" s="3536"/>
      <c r="R93" s="487"/>
      <c r="S93" s="3536"/>
      <c r="T93" s="3536"/>
      <c r="U93" s="487"/>
      <c r="V93" s="8"/>
    </row>
    <row r="94" spans="1:22" s="7" customFormat="1">
      <c r="A94" s="1295">
        <v>1968</v>
      </c>
      <c r="B94" s="33"/>
      <c r="C94" s="1296">
        <v>17116908.698273465</v>
      </c>
      <c r="D94" s="554"/>
      <c r="E94" s="35"/>
      <c r="F94" s="487"/>
      <c r="G94" s="3536"/>
      <c r="H94" s="3536"/>
      <c r="I94" s="487"/>
      <c r="J94" s="3536"/>
      <c r="K94" s="487"/>
      <c r="L94" s="492"/>
      <c r="M94" s="3536"/>
      <c r="N94" s="487"/>
      <c r="O94" s="3536"/>
      <c r="P94" s="487"/>
      <c r="Q94" s="3536"/>
      <c r="R94" s="487"/>
      <c r="S94" s="3536"/>
      <c r="T94" s="3536"/>
      <c r="U94" s="487"/>
      <c r="V94" s="8"/>
    </row>
    <row r="95" spans="1:22" s="7" customFormat="1">
      <c r="A95" s="1295">
        <v>1969</v>
      </c>
      <c r="B95" s="33"/>
      <c r="C95" s="1296">
        <v>19268356.100698065</v>
      </c>
      <c r="D95" s="554"/>
      <c r="E95" s="35"/>
      <c r="F95" s="487"/>
      <c r="G95" s="3536"/>
      <c r="H95" s="3536"/>
      <c r="I95" s="487"/>
      <c r="J95" s="3536"/>
      <c r="K95" s="487"/>
      <c r="L95" s="492"/>
      <c r="M95" s="3536"/>
      <c r="N95" s="487"/>
      <c r="O95" s="3536"/>
      <c r="P95" s="487"/>
      <c r="Q95" s="3536"/>
      <c r="R95" s="487"/>
      <c r="S95" s="3536"/>
      <c r="T95" s="3536"/>
      <c r="U95" s="487"/>
      <c r="V95" s="8"/>
    </row>
    <row r="96" spans="1:22" s="7" customFormat="1">
      <c r="A96" s="1295">
        <v>1970</v>
      </c>
      <c r="B96" s="33"/>
      <c r="C96" s="1296">
        <v>17813437.658740714</v>
      </c>
      <c r="D96" s="554"/>
      <c r="E96" s="35"/>
      <c r="F96" s="487"/>
      <c r="G96" s="3536"/>
      <c r="H96" s="3536"/>
      <c r="I96" s="487"/>
      <c r="J96" s="3536"/>
      <c r="K96" s="487"/>
      <c r="L96" s="492"/>
      <c r="M96" s="3536"/>
      <c r="N96" s="487"/>
      <c r="O96" s="3536"/>
      <c r="P96" s="487"/>
      <c r="Q96" s="3536"/>
      <c r="R96" s="487"/>
      <c r="S96" s="3536"/>
      <c r="T96" s="3536"/>
      <c r="U96" s="487"/>
      <c r="V96" s="8"/>
    </row>
    <row r="97" spans="1:22" s="7" customFormat="1">
      <c r="A97" s="1295">
        <v>1971</v>
      </c>
      <c r="B97" s="33"/>
      <c r="C97" s="1296">
        <v>17894245.926970605</v>
      </c>
      <c r="D97" s="554"/>
      <c r="E97" s="35"/>
      <c r="F97" s="487"/>
      <c r="G97" s="3536"/>
      <c r="H97" s="3536"/>
      <c r="I97" s="487"/>
      <c r="J97" s="3536"/>
      <c r="K97" s="487"/>
      <c r="L97" s="492"/>
      <c r="M97" s="3536"/>
      <c r="N97" s="487"/>
      <c r="O97" s="3536"/>
      <c r="P97" s="487"/>
      <c r="Q97" s="3536"/>
      <c r="R97" s="487"/>
      <c r="S97" s="3536"/>
      <c r="T97" s="3536"/>
      <c r="U97" s="487"/>
      <c r="V97" s="8"/>
    </row>
    <row r="98" spans="1:22" s="7" customFormat="1">
      <c r="A98" s="1295">
        <v>1972</v>
      </c>
      <c r="B98" s="33"/>
      <c r="C98" s="1296">
        <v>18959891.277215049</v>
      </c>
      <c r="D98" s="554"/>
      <c r="E98" s="35"/>
      <c r="F98" s="487"/>
      <c r="G98" s="3536"/>
      <c r="H98" s="3536"/>
      <c r="I98" s="487"/>
      <c r="J98" s="3536"/>
      <c r="K98" s="487"/>
      <c r="L98" s="492"/>
      <c r="M98" s="3536"/>
      <c r="N98" s="487"/>
      <c r="O98" s="3536"/>
      <c r="P98" s="487"/>
      <c r="Q98" s="3536"/>
      <c r="R98" s="487"/>
      <c r="S98" s="3536"/>
      <c r="T98" s="3536"/>
      <c r="U98" s="487"/>
      <c r="V98" s="8"/>
    </row>
    <row r="99" spans="1:22" s="7" customFormat="1">
      <c r="A99" s="1295">
        <v>1973</v>
      </c>
      <c r="B99" s="33"/>
      <c r="C99" s="1296">
        <v>19768207.883424252</v>
      </c>
      <c r="D99" s="554"/>
      <c r="E99" s="35"/>
      <c r="F99" s="487"/>
      <c r="G99" s="3536"/>
      <c r="H99" s="3536"/>
      <c r="I99" s="487"/>
      <c r="J99" s="3536"/>
      <c r="K99" s="487"/>
      <c r="L99" s="492"/>
      <c r="M99" s="3536"/>
      <c r="N99" s="487"/>
      <c r="O99" s="3536"/>
      <c r="P99" s="487"/>
      <c r="Q99" s="3536"/>
      <c r="R99" s="487"/>
      <c r="S99" s="3536"/>
      <c r="T99" s="3536"/>
      <c r="U99" s="487"/>
      <c r="V99" s="8"/>
    </row>
    <row r="100" spans="1:22" s="7" customFormat="1">
      <c r="A100" s="1295">
        <v>1974</v>
      </c>
      <c r="B100" s="33"/>
      <c r="C100" s="1296">
        <v>20418944.384901576</v>
      </c>
      <c r="D100" s="554"/>
      <c r="E100" s="35"/>
      <c r="F100" s="487"/>
      <c r="G100" s="3536"/>
      <c r="H100" s="3536"/>
      <c r="I100" s="487"/>
      <c r="J100" s="3536"/>
      <c r="K100" s="487"/>
      <c r="L100" s="492"/>
      <c r="M100" s="3536"/>
      <c r="N100" s="487"/>
      <c r="O100" s="3536"/>
      <c r="P100" s="487"/>
      <c r="Q100" s="3536"/>
      <c r="R100" s="487"/>
      <c r="S100" s="3536"/>
      <c r="T100" s="3536"/>
      <c r="U100" s="487"/>
      <c r="V100" s="8"/>
    </row>
    <row r="101" spans="1:22" s="7" customFormat="1">
      <c r="A101" s="1295">
        <v>1975</v>
      </c>
      <c r="B101" s="33"/>
      <c r="C101" s="1296">
        <v>20111234.900834486</v>
      </c>
      <c r="D101" s="554"/>
      <c r="E101" s="35"/>
      <c r="F101" s="487"/>
      <c r="G101" s="3536"/>
      <c r="H101" s="3536"/>
      <c r="I101" s="487"/>
      <c r="J101" s="3536"/>
      <c r="K101" s="487"/>
      <c r="L101" s="492"/>
      <c r="M101" s="3536"/>
      <c r="N101" s="487"/>
      <c r="O101" s="3536"/>
      <c r="P101" s="487"/>
      <c r="Q101" s="3536"/>
      <c r="R101" s="487"/>
      <c r="S101" s="3536"/>
      <c r="T101" s="3536"/>
      <c r="U101" s="487"/>
      <c r="V101" s="8"/>
    </row>
    <row r="102" spans="1:22" s="7" customFormat="1">
      <c r="A102" s="1295">
        <v>1976</v>
      </c>
      <c r="B102" s="33"/>
      <c r="C102" s="1296">
        <v>20715781.384246551</v>
      </c>
      <c r="D102" s="554"/>
      <c r="E102" s="35"/>
      <c r="F102" s="487"/>
      <c r="G102" s="3536"/>
      <c r="H102" s="3536"/>
      <c r="I102" s="487"/>
      <c r="J102" s="3536"/>
      <c r="K102" s="487"/>
      <c r="L102" s="492"/>
      <c r="M102" s="3536"/>
      <c r="N102" s="487"/>
      <c r="O102" s="3536"/>
      <c r="P102" s="487"/>
      <c r="Q102" s="3536"/>
      <c r="R102" s="487"/>
      <c r="S102" s="3536"/>
      <c r="T102" s="3536"/>
      <c r="U102" s="487"/>
      <c r="V102" s="8"/>
    </row>
    <row r="103" spans="1:22" s="7" customFormat="1">
      <c r="A103" s="1295">
        <v>1977</v>
      </c>
      <c r="B103" s="33"/>
      <c r="C103" s="1296">
        <v>21540694.145322256</v>
      </c>
      <c r="D103" s="554"/>
      <c r="E103" s="35"/>
      <c r="F103" s="487"/>
      <c r="G103" s="3536"/>
      <c r="H103" s="3536"/>
      <c r="I103" s="487"/>
      <c r="J103" s="3536"/>
      <c r="K103" s="487"/>
      <c r="L103" s="492"/>
      <c r="M103" s="3536"/>
      <c r="N103" s="487"/>
      <c r="O103" s="3536"/>
      <c r="P103" s="487"/>
      <c r="Q103" s="3536"/>
      <c r="R103" s="487"/>
      <c r="S103" s="3536"/>
      <c r="T103" s="3536"/>
      <c r="U103" s="487"/>
      <c r="V103" s="8"/>
    </row>
    <row r="104" spans="1:22" s="7" customFormat="1">
      <c r="A104" s="1295">
        <v>1978</v>
      </c>
      <c r="B104" s="33"/>
      <c r="C104" s="1296">
        <v>22685159.410559472</v>
      </c>
      <c r="D104" s="554"/>
      <c r="E104" s="35"/>
      <c r="F104" s="487"/>
      <c r="G104" s="3536"/>
      <c r="H104" s="3536"/>
      <c r="I104" s="487"/>
      <c r="J104" s="3536"/>
      <c r="K104" s="487"/>
      <c r="L104" s="492"/>
      <c r="M104" s="3536"/>
      <c r="N104" s="487"/>
      <c r="O104" s="3536"/>
      <c r="P104" s="487"/>
      <c r="Q104" s="3536"/>
      <c r="R104" s="487"/>
      <c r="S104" s="3536"/>
      <c r="T104" s="3536"/>
      <c r="U104" s="487"/>
      <c r="V104" s="8"/>
    </row>
    <row r="105" spans="1:22" s="7" customFormat="1">
      <c r="A105" s="1295">
        <v>1979</v>
      </c>
      <c r="B105" s="33"/>
      <c r="C105" s="1296">
        <v>24673181.670229703</v>
      </c>
      <c r="D105" s="554"/>
      <c r="E105" s="35"/>
      <c r="F105" s="487"/>
      <c r="G105" s="3536"/>
      <c r="H105" s="3536"/>
      <c r="I105" s="487"/>
      <c r="J105" s="3536"/>
      <c r="K105" s="487"/>
      <c r="L105" s="492"/>
      <c r="M105" s="3536"/>
      <c r="N105" s="487"/>
      <c r="O105" s="3536"/>
      <c r="P105" s="487"/>
      <c r="Q105" s="3536"/>
      <c r="R105" s="487"/>
      <c r="S105" s="3536"/>
      <c r="T105" s="3536"/>
      <c r="U105" s="487"/>
      <c r="V105" s="8"/>
    </row>
    <row r="106" spans="1:22" s="7" customFormat="1">
      <c r="A106" s="1295">
        <v>1980</v>
      </c>
      <c r="B106" s="33"/>
      <c r="C106" s="1296">
        <v>24235716.583989207</v>
      </c>
      <c r="D106" s="554"/>
      <c r="E106" s="35"/>
      <c r="F106" s="487"/>
      <c r="G106" s="3536"/>
      <c r="H106" s="3536"/>
      <c r="I106" s="487"/>
      <c r="J106" s="3536"/>
      <c r="K106" s="487"/>
      <c r="L106" s="492"/>
      <c r="M106" s="3536"/>
      <c r="N106" s="487"/>
      <c r="O106" s="3536"/>
      <c r="P106" s="487"/>
      <c r="Q106" s="3536"/>
      <c r="R106" s="487"/>
      <c r="S106" s="3536"/>
      <c r="T106" s="3536"/>
      <c r="U106" s="487"/>
      <c r="V106" s="8"/>
    </row>
    <row r="107" spans="1:22" s="7" customFormat="1">
      <c r="A107" s="1295">
        <v>1981</v>
      </c>
      <c r="B107" s="33"/>
      <c r="C107" s="1296">
        <v>24032026.094863649</v>
      </c>
      <c r="D107" s="554"/>
      <c r="E107" s="35"/>
      <c r="F107" s="487"/>
      <c r="G107" s="3536"/>
      <c r="H107" s="3536"/>
      <c r="I107" s="487"/>
      <c r="J107" s="3536"/>
      <c r="K107" s="487"/>
      <c r="L107" s="492"/>
      <c r="M107" s="3536"/>
      <c r="N107" s="487"/>
      <c r="O107" s="3536"/>
      <c r="P107" s="487"/>
      <c r="Q107" s="3536"/>
      <c r="R107" s="487"/>
      <c r="S107" s="3536"/>
      <c r="T107" s="3536"/>
      <c r="U107" s="487"/>
      <c r="V107" s="8"/>
    </row>
    <row r="108" spans="1:22" s="7" customFormat="1">
      <c r="A108" s="1295">
        <v>1982</v>
      </c>
      <c r="B108" s="33"/>
      <c r="C108" s="1296">
        <v>24308884.996852454</v>
      </c>
      <c r="D108" s="554"/>
      <c r="E108" s="35"/>
      <c r="F108" s="487"/>
      <c r="G108" s="3536"/>
      <c r="H108" s="3536"/>
      <c r="I108" s="487"/>
      <c r="J108" s="3536"/>
      <c r="K108" s="487"/>
      <c r="L108" s="492"/>
      <c r="M108" s="3536"/>
      <c r="N108" s="487"/>
      <c r="O108" s="3536"/>
      <c r="P108" s="487"/>
      <c r="Q108" s="3536"/>
      <c r="R108" s="487"/>
      <c r="S108" s="3536"/>
      <c r="T108" s="3536"/>
      <c r="U108" s="487"/>
      <c r="V108" s="8"/>
    </row>
    <row r="109" spans="1:22" s="7" customFormat="1">
      <c r="A109" s="1295">
        <v>1983</v>
      </c>
      <c r="B109" s="33"/>
      <c r="C109" s="1296">
        <v>24596452.139115751</v>
      </c>
      <c r="D109" s="554"/>
      <c r="E109" s="35"/>
      <c r="F109" s="487"/>
      <c r="G109" s="3536"/>
      <c r="H109" s="3536"/>
      <c r="I109" s="487"/>
      <c r="J109" s="3536"/>
      <c r="K109" s="487"/>
      <c r="L109" s="492"/>
      <c r="M109" s="3536"/>
      <c r="N109" s="487"/>
      <c r="O109" s="3536"/>
      <c r="P109" s="487"/>
      <c r="Q109" s="3536"/>
      <c r="R109" s="487"/>
      <c r="S109" s="3536"/>
      <c r="T109" s="3536"/>
      <c r="U109" s="487"/>
      <c r="V109" s="8"/>
    </row>
    <row r="110" spans="1:22" s="7" customFormat="1">
      <c r="A110" s="1295">
        <v>1984</v>
      </c>
      <c r="B110" s="33"/>
      <c r="C110" s="1296">
        <v>26835051.700603068</v>
      </c>
      <c r="D110" s="554"/>
      <c r="E110" s="35"/>
      <c r="F110" s="487"/>
      <c r="G110" s="3536"/>
      <c r="H110" s="3536"/>
      <c r="I110" s="487"/>
      <c r="J110" s="3536"/>
      <c r="K110" s="487"/>
      <c r="L110" s="492"/>
      <c r="M110" s="3536"/>
      <c r="N110" s="487"/>
      <c r="O110" s="3536"/>
      <c r="P110" s="487"/>
      <c r="Q110" s="3536"/>
      <c r="R110" s="487"/>
      <c r="S110" s="3536"/>
      <c r="T110" s="3536"/>
      <c r="U110" s="487"/>
      <c r="V110" s="8"/>
    </row>
    <row r="111" spans="1:22" s="7" customFormat="1">
      <c r="A111" s="1295">
        <v>1985</v>
      </c>
      <c r="B111" s="33"/>
      <c r="C111" s="1296">
        <v>26511133.364040632</v>
      </c>
      <c r="D111" s="554"/>
      <c r="E111" s="35"/>
      <c r="F111" s="487"/>
      <c r="G111" s="3536"/>
      <c r="H111" s="3536"/>
      <c r="I111" s="487"/>
      <c r="J111" s="3536"/>
      <c r="K111" s="487"/>
      <c r="L111" s="492"/>
      <c r="M111" s="3536"/>
      <c r="N111" s="487"/>
      <c r="O111" s="3536"/>
      <c r="P111" s="487"/>
      <c r="Q111" s="3536"/>
      <c r="R111" s="487"/>
      <c r="S111" s="3536"/>
      <c r="T111" s="3536"/>
      <c r="U111" s="487"/>
      <c r="V111" s="8"/>
    </row>
    <row r="112" spans="1:22" s="7" customFormat="1">
      <c r="A112" s="1295">
        <v>1986</v>
      </c>
      <c r="B112" s="33"/>
      <c r="C112" s="1296">
        <v>28578882.402647298</v>
      </c>
      <c r="D112" s="554"/>
      <c r="E112" s="35"/>
      <c r="F112" s="487"/>
      <c r="G112" s="3536"/>
      <c r="H112" s="3536"/>
      <c r="I112" s="487"/>
      <c r="J112" s="3536"/>
      <c r="K112" s="487"/>
      <c r="L112" s="492"/>
      <c r="M112" s="3536"/>
      <c r="N112" s="487"/>
      <c r="O112" s="3536"/>
      <c r="P112" s="487"/>
      <c r="Q112" s="3536"/>
      <c r="R112" s="487"/>
      <c r="S112" s="3536"/>
      <c r="T112" s="3536"/>
      <c r="U112" s="487"/>
      <c r="V112" s="8"/>
    </row>
    <row r="113" spans="1:23" s="7" customFormat="1">
      <c r="A113" s="1295">
        <v>1987</v>
      </c>
      <c r="B113" s="33"/>
      <c r="C113" s="1296">
        <v>28702957.024564233</v>
      </c>
      <c r="D113" s="554"/>
      <c r="E113" s="35"/>
      <c r="F113" s="487"/>
      <c r="G113" s="3536"/>
      <c r="H113" s="3536"/>
      <c r="I113" s="487"/>
      <c r="J113" s="3536"/>
      <c r="K113" s="487"/>
      <c r="L113" s="492"/>
      <c r="M113" s="3536"/>
      <c r="N113" s="487"/>
      <c r="O113" s="3536"/>
      <c r="P113" s="487"/>
      <c r="Q113" s="3536"/>
      <c r="R113" s="487"/>
      <c r="S113" s="3536"/>
      <c r="T113" s="3536"/>
      <c r="U113" s="487"/>
      <c r="V113" s="8"/>
    </row>
    <row r="114" spans="1:23" s="7" customFormat="1">
      <c r="A114" s="1295">
        <v>1988</v>
      </c>
      <c r="B114" s="33"/>
      <c r="C114" s="1296">
        <v>28816626.430209931</v>
      </c>
      <c r="D114" s="554"/>
      <c r="E114" s="35"/>
      <c r="F114" s="487"/>
      <c r="G114" s="3536"/>
      <c r="H114" s="3536"/>
      <c r="I114" s="487"/>
      <c r="J114" s="3536"/>
      <c r="K114" s="487"/>
      <c r="L114" s="492"/>
      <c r="M114" s="3536"/>
      <c r="N114" s="487"/>
      <c r="O114" s="3536"/>
      <c r="P114" s="487"/>
      <c r="Q114" s="3536"/>
      <c r="R114" s="487"/>
      <c r="S114" s="3536"/>
      <c r="T114" s="3536"/>
      <c r="U114" s="487"/>
      <c r="V114" s="8"/>
    </row>
    <row r="115" spans="1:23" s="7" customFormat="1">
      <c r="A115" s="1295">
        <v>1989</v>
      </c>
      <c r="B115" s="33"/>
      <c r="C115" s="1296">
        <v>28148536.999917515</v>
      </c>
      <c r="D115" s="554"/>
      <c r="E115" s="35"/>
      <c r="F115" s="487"/>
      <c r="G115" s="3536"/>
      <c r="H115" s="3536"/>
      <c r="I115" s="487"/>
      <c r="J115" s="3536"/>
      <c r="K115" s="487"/>
      <c r="L115" s="492"/>
      <c r="M115" s="3536"/>
      <c r="N115" s="487"/>
      <c r="O115" s="3536"/>
      <c r="P115" s="487"/>
      <c r="Q115" s="3536"/>
      <c r="R115" s="487"/>
      <c r="S115" s="3536"/>
      <c r="T115" s="3536"/>
      <c r="U115" s="487"/>
      <c r="V115" s="8"/>
    </row>
    <row r="116" spans="1:23" s="7" customFormat="1">
      <c r="A116" s="1295">
        <v>1990</v>
      </c>
      <c r="B116" s="33"/>
      <c r="C116" s="1296">
        <v>27941696.833157249</v>
      </c>
      <c r="D116" s="554"/>
      <c r="E116" s="35"/>
      <c r="F116" s="487"/>
      <c r="G116" s="3536"/>
      <c r="H116" s="3536"/>
      <c r="I116" s="487"/>
      <c r="J116" s="3536"/>
      <c r="K116" s="487"/>
      <c r="L116" s="492"/>
      <c r="M116" s="3536"/>
      <c r="N116" s="487"/>
      <c r="O116" s="3536"/>
      <c r="P116" s="487"/>
      <c r="Q116" s="3536"/>
      <c r="R116" s="487"/>
      <c r="S116" s="3536"/>
      <c r="T116" s="3536"/>
      <c r="U116" s="487"/>
      <c r="V116" s="8"/>
    </row>
    <row r="117" spans="1:23" s="7" customFormat="1">
      <c r="A117" s="1295">
        <v>1991</v>
      </c>
      <c r="B117" s="33"/>
      <c r="C117" s="1296">
        <v>30170258.333341792</v>
      </c>
      <c r="D117" s="554"/>
      <c r="E117" s="35"/>
      <c r="F117" s="487"/>
      <c r="G117" s="3536"/>
      <c r="H117" s="3536"/>
      <c r="I117" s="487"/>
      <c r="J117" s="3536"/>
      <c r="K117" s="487"/>
      <c r="L117" s="492"/>
      <c r="M117" s="3536"/>
      <c r="N117" s="487"/>
      <c r="O117" s="3536"/>
      <c r="P117" s="487"/>
      <c r="Q117" s="3536"/>
      <c r="R117" s="487"/>
      <c r="S117" s="3536"/>
      <c r="T117" s="3536"/>
      <c r="U117" s="487"/>
      <c r="V117" s="8"/>
    </row>
    <row r="118" spans="1:23" s="7" customFormat="1">
      <c r="A118" s="1295">
        <v>1992</v>
      </c>
      <c r="B118" s="33"/>
      <c r="C118" s="1296">
        <v>31339371.256892763</v>
      </c>
      <c r="D118" s="554"/>
      <c r="E118" s="35"/>
      <c r="F118" s="487"/>
      <c r="G118" s="3536"/>
      <c r="H118" s="3536"/>
      <c r="I118" s="487"/>
      <c r="J118" s="3536"/>
      <c r="K118" s="487"/>
      <c r="L118" s="492"/>
      <c r="M118" s="3536"/>
      <c r="N118" s="487"/>
      <c r="O118" s="3536"/>
      <c r="P118" s="487"/>
      <c r="Q118" s="3536"/>
      <c r="R118" s="487"/>
      <c r="S118" s="3536"/>
      <c r="T118" s="3536"/>
      <c r="U118" s="487"/>
      <c r="V118" s="8"/>
    </row>
    <row r="119" spans="1:23" s="7" customFormat="1">
      <c r="A119" s="1297">
        <v>1993</v>
      </c>
      <c r="B119" s="30">
        <v>19565223.962210834</v>
      </c>
      <c r="C119" s="1298">
        <v>32384619.935903922</v>
      </c>
      <c r="D119" s="2144">
        <f>B119/C119*100</f>
        <v>60.415172390272268</v>
      </c>
      <c r="E119" s="35"/>
      <c r="F119" s="488">
        <v>4664617.2096848115</v>
      </c>
      <c r="G119" s="3537">
        <v>814.39435337138968</v>
      </c>
      <c r="H119" s="3537">
        <v>20438.7768036706</v>
      </c>
      <c r="I119" s="491">
        <v>8829004.9438968953</v>
      </c>
      <c r="J119" s="3537">
        <v>388325.05969573645</v>
      </c>
      <c r="K119" s="489">
        <v>917751.01773336495</v>
      </c>
      <c r="L119" s="488">
        <v>6587605.8078159047</v>
      </c>
      <c r="M119" s="3537">
        <v>334568.19031246146</v>
      </c>
      <c r="N119" s="491">
        <v>1679630.1446429868</v>
      </c>
      <c r="O119" s="3537">
        <v>897179.7038479608</v>
      </c>
      <c r="P119" s="491">
        <v>3251269.2741213175</v>
      </c>
      <c r="Q119" s="3537">
        <v>1183813.0488445822</v>
      </c>
      <c r="R119" s="491">
        <v>1098927.5683707786</v>
      </c>
      <c r="S119" s="3537">
        <v>751977.52321858285</v>
      </c>
      <c r="T119" s="3537">
        <v>750238.72465737211</v>
      </c>
      <c r="U119" s="327">
        <v>248099.0399114294</v>
      </c>
      <c r="V119" s="8"/>
    </row>
    <row r="120" spans="1:23" s="7" customFormat="1">
      <c r="A120" s="1297">
        <v>1994</v>
      </c>
      <c r="B120" s="215">
        <v>21051541.701134108</v>
      </c>
      <c r="C120" s="1296">
        <v>34161779.247750722</v>
      </c>
      <c r="D120" s="1202">
        <f t="shared" ref="D120:D156" si="0">B120/C120*100</f>
        <v>61.623083354243569</v>
      </c>
      <c r="E120" s="485">
        <f>D120/D119-1</f>
        <v>1.9993503555173042E-2</v>
      </c>
      <c r="F120" s="187">
        <v>5098876.6602498936</v>
      </c>
      <c r="G120" s="3520">
        <v>1131.5701064621805</v>
      </c>
      <c r="H120" s="3520">
        <v>23783.121204627449</v>
      </c>
      <c r="I120" s="115">
        <v>9379637.2292109821</v>
      </c>
      <c r="J120" s="3520">
        <v>401333.25986398599</v>
      </c>
      <c r="K120" s="370">
        <v>1394076.5980880414</v>
      </c>
      <c r="L120" s="187">
        <v>7021491.2258329419</v>
      </c>
      <c r="M120" s="3520">
        <v>333844.04290497949</v>
      </c>
      <c r="N120" s="115">
        <v>1721285.0147478774</v>
      </c>
      <c r="O120" s="3520">
        <v>1089045.8911435653</v>
      </c>
      <c r="P120" s="115">
        <v>3305248.5073644998</v>
      </c>
      <c r="Q120" s="3520">
        <v>1197939.6405191</v>
      </c>
      <c r="R120" s="115">
        <v>1147466.3145994984</v>
      </c>
      <c r="S120" s="3520">
        <v>746649.25485629216</v>
      </c>
      <c r="T120" s="3520">
        <v>843406.9685314747</v>
      </c>
      <c r="U120" s="115">
        <v>269794.02752108464</v>
      </c>
      <c r="V120" s="8"/>
    </row>
    <row r="121" spans="1:23" s="7" customFormat="1">
      <c r="A121" s="1297">
        <v>1995</v>
      </c>
      <c r="B121" s="215">
        <v>21095344.783216074</v>
      </c>
      <c r="C121" s="1296">
        <v>33821720.63477461</v>
      </c>
      <c r="D121" s="1202">
        <f t="shared" si="0"/>
        <v>62.372180915971462</v>
      </c>
      <c r="E121" s="2346">
        <f>D121/D120-1</f>
        <v>1.2156119443450519E-2</v>
      </c>
      <c r="F121" s="187">
        <v>5694165.6244261563</v>
      </c>
      <c r="G121" s="3520">
        <v>1106.1369520566559</v>
      </c>
      <c r="H121" s="3520">
        <v>36804.323880106873</v>
      </c>
      <c r="I121" s="115">
        <v>8923602.5816508196</v>
      </c>
      <c r="J121" s="3520">
        <v>414007.72193466721</v>
      </c>
      <c r="K121" s="370">
        <v>1656979.6612698692</v>
      </c>
      <c r="L121" s="187">
        <v>6416297.6728436407</v>
      </c>
      <c r="M121" s="3520">
        <v>322055.78495212283</v>
      </c>
      <c r="N121" s="115">
        <v>1759044.7968820063</v>
      </c>
      <c r="O121" s="3520">
        <v>1027861.4787054674</v>
      </c>
      <c r="P121" s="115">
        <v>3327344.713665403</v>
      </c>
      <c r="Q121" s="3520">
        <v>1177669.9670048342</v>
      </c>
      <c r="R121" s="115">
        <v>1161174.569319908</v>
      </c>
      <c r="S121" s="3520">
        <v>763456.33302178723</v>
      </c>
      <c r="T121" s="3520">
        <v>673681.58754679642</v>
      </c>
      <c r="U121" s="115">
        <v>240956.77856830761</v>
      </c>
      <c r="V121" s="8"/>
    </row>
    <row r="122" spans="1:23" s="7" customFormat="1">
      <c r="A122" s="1297">
        <v>1996</v>
      </c>
      <c r="B122" s="215">
        <v>21129572.10264352</v>
      </c>
      <c r="C122" s="1296">
        <v>34729635.683139786</v>
      </c>
      <c r="D122" s="1202">
        <f t="shared" si="0"/>
        <v>60.840177810737309</v>
      </c>
      <c r="E122" s="2346">
        <f t="shared" ref="E122:E156" si="1">D122/D121-1</f>
        <v>-2.4562282138219427E-2</v>
      </c>
      <c r="F122" s="187">
        <v>5549871.8311756691</v>
      </c>
      <c r="G122" s="3520">
        <v>1080.7037976511313</v>
      </c>
      <c r="H122" s="3520">
        <v>40368.585458688773</v>
      </c>
      <c r="I122" s="115">
        <v>9531441.2954204921</v>
      </c>
      <c r="J122" s="3520">
        <v>429358.42525884853</v>
      </c>
      <c r="K122" s="370">
        <v>1191539.232714595</v>
      </c>
      <c r="L122" s="187">
        <v>6876489.1994342478</v>
      </c>
      <c r="M122" s="3520">
        <v>335456.55286686454</v>
      </c>
      <c r="N122" s="115">
        <v>1882280.0321667937</v>
      </c>
      <c r="O122" s="3520">
        <v>1029597.205527868</v>
      </c>
      <c r="P122" s="115">
        <v>3439115.329164288</v>
      </c>
      <c r="Q122" s="3520">
        <v>1156679.4333822546</v>
      </c>
      <c r="R122" s="115">
        <v>1238995.2390036178</v>
      </c>
      <c r="S122" s="3520">
        <v>792981.0976702905</v>
      </c>
      <c r="T122" s="3520">
        <v>661387.75287468219</v>
      </c>
      <c r="U122" s="115">
        <v>213350.58404906155</v>
      </c>
      <c r="V122" s="8"/>
    </row>
    <row r="123" spans="1:23" s="7" customFormat="1">
      <c r="A123" s="1297">
        <v>1997</v>
      </c>
      <c r="B123" s="215">
        <v>21726398.942785829</v>
      </c>
      <c r="C123" s="1296">
        <v>36023267.783829384</v>
      </c>
      <c r="D123" s="1202">
        <f t="shared" si="0"/>
        <v>60.312126798609512</v>
      </c>
      <c r="E123" s="2346">
        <f t="shared" si="1"/>
        <v>-8.6793140837041483E-3</v>
      </c>
      <c r="F123" s="187">
        <v>5299011.5659775725</v>
      </c>
      <c r="G123" s="3520">
        <v>1868.7827721916283</v>
      </c>
      <c r="H123" s="3520">
        <v>32976.179959612025</v>
      </c>
      <c r="I123" s="115">
        <v>10276273.204860793</v>
      </c>
      <c r="J123" s="3520">
        <v>422391.98343504872</v>
      </c>
      <c r="K123" s="370">
        <v>1421629.4438759605</v>
      </c>
      <c r="L123" s="187">
        <v>7744279.0350477519</v>
      </c>
      <c r="M123" s="3520">
        <v>335785.0850161264</v>
      </c>
      <c r="N123" s="115">
        <v>1796397.3213506092</v>
      </c>
      <c r="O123" s="3520">
        <v>1139324.2334922855</v>
      </c>
      <c r="P123" s="115">
        <v>3500792.5855784398</v>
      </c>
      <c r="Q123" s="3520">
        <v>1157870.5876630312</v>
      </c>
      <c r="R123" s="115">
        <v>1272079.1169861814</v>
      </c>
      <c r="S123" s="3520">
        <v>811968.31188699463</v>
      </c>
      <c r="T123" s="3520">
        <v>695986.01551942469</v>
      </c>
      <c r="U123" s="115">
        <v>195571.36871163972</v>
      </c>
      <c r="V123" s="8"/>
    </row>
    <row r="124" spans="1:23" s="7" customFormat="1">
      <c r="A124" s="1297">
        <v>1998</v>
      </c>
      <c r="B124" s="215">
        <v>21589619.227800839</v>
      </c>
      <c r="C124" s="1296">
        <v>37432123.870271124</v>
      </c>
      <c r="D124" s="1202">
        <f t="shared" si="0"/>
        <v>57.676714531679238</v>
      </c>
      <c r="E124" s="2346">
        <f t="shared" si="1"/>
        <v>-4.3696225068140526E-2</v>
      </c>
      <c r="F124" s="187">
        <v>6283566.9206347968</v>
      </c>
      <c r="G124" s="3520">
        <v>1749.4435045447058</v>
      </c>
      <c r="H124" s="3520">
        <v>36059.633933732148</v>
      </c>
      <c r="I124" s="115">
        <v>10064154.856280647</v>
      </c>
      <c r="J124" s="3520">
        <v>429940.67163134023</v>
      </c>
      <c r="K124" s="370">
        <v>1508466.9398961198</v>
      </c>
      <c r="L124" s="187">
        <v>7908955.3731547128</v>
      </c>
      <c r="M124" s="3520">
        <v>332899.68197172554</v>
      </c>
      <c r="N124" s="115">
        <v>1954546.8377525376</v>
      </c>
      <c r="O124" s="3520">
        <v>1304995.7704636769</v>
      </c>
      <c r="P124" s="115">
        <v>3578773.7733309171</v>
      </c>
      <c r="Q124" s="3520">
        <v>1218254.386767708</v>
      </c>
      <c r="R124" s="115">
        <v>1303882.3124996326</v>
      </c>
      <c r="S124" s="3520">
        <v>821105.13850031397</v>
      </c>
      <c r="T124" s="3520">
        <v>735079.51858663652</v>
      </c>
      <c r="U124" s="115">
        <v>187597.67626961909</v>
      </c>
      <c r="V124" s="8"/>
    </row>
    <row r="125" spans="1:23" s="7" customFormat="1">
      <c r="A125" s="1297">
        <v>1999</v>
      </c>
      <c r="B125" s="215">
        <v>19957350.605301268</v>
      </c>
      <c r="C125" s="1296">
        <v>36650854.035721481</v>
      </c>
      <c r="D125" s="1202">
        <f t="shared" si="0"/>
        <v>54.45262090168481</v>
      </c>
      <c r="E125" s="2346">
        <f t="shared" si="1"/>
        <v>-5.5899398157008062E-2</v>
      </c>
      <c r="F125" s="187">
        <v>6502932.4534798637</v>
      </c>
      <c r="G125" s="3520">
        <v>1630.1042368977837</v>
      </c>
      <c r="H125" s="3520">
        <v>30681.586647572014</v>
      </c>
      <c r="I125" s="115">
        <v>9138621.6405287962</v>
      </c>
      <c r="J125" s="3520">
        <v>450049.96757932653</v>
      </c>
      <c r="K125" s="370">
        <v>1441061.4538990112</v>
      </c>
      <c r="L125" s="187">
        <v>7406151.9410694139</v>
      </c>
      <c r="M125" s="3520">
        <v>306415.02090783871</v>
      </c>
      <c r="N125" s="115">
        <v>1852869.7066456848</v>
      </c>
      <c r="O125" s="3520">
        <v>1263413.2153404069</v>
      </c>
      <c r="P125" s="115">
        <v>3596853.7476682127</v>
      </c>
      <c r="Q125" s="3520">
        <v>1229649.120740283</v>
      </c>
      <c r="R125" s="115">
        <v>1338528.1867326379</v>
      </c>
      <c r="S125" s="3520">
        <v>852854.37425196078</v>
      </c>
      <c r="T125" s="3520">
        <v>731877.94217942143</v>
      </c>
      <c r="U125" s="115">
        <v>183089.17408494474</v>
      </c>
      <c r="V125" s="8"/>
    </row>
    <row r="126" spans="1:23" s="7" customFormat="1">
      <c r="A126" s="1297">
        <v>2000</v>
      </c>
      <c r="B126" s="215">
        <v>19719469.977901313</v>
      </c>
      <c r="C126" s="1296">
        <v>36450619.75837671</v>
      </c>
      <c r="D126" s="1202">
        <f t="shared" si="0"/>
        <v>54.099134962909886</v>
      </c>
      <c r="E126" s="2346">
        <f t="shared" si="1"/>
        <v>-6.4916239644947638E-3</v>
      </c>
      <c r="F126" s="187">
        <v>6234529.8661976028</v>
      </c>
      <c r="G126" s="3520">
        <v>1397.3409952526074</v>
      </c>
      <c r="H126" s="3520">
        <v>29820.074978946559</v>
      </c>
      <c r="I126" s="115">
        <v>9098789.2617536429</v>
      </c>
      <c r="J126" s="3520">
        <v>460670.31289762323</v>
      </c>
      <c r="K126" s="370">
        <v>1387089.3623970724</v>
      </c>
      <c r="L126" s="187">
        <v>7140587.9505736642</v>
      </c>
      <c r="M126" s="3520">
        <v>306292.30892517068</v>
      </c>
      <c r="N126" s="115">
        <v>1750885.5150714226</v>
      </c>
      <c r="O126" s="3520">
        <v>1387568.1047164854</v>
      </c>
      <c r="P126" s="115">
        <v>3626109.1251986576</v>
      </c>
      <c r="Q126" s="3520">
        <v>1271185.3303416134</v>
      </c>
      <c r="R126" s="115">
        <v>1330660.184065352</v>
      </c>
      <c r="S126" s="3520">
        <v>865972.04440291109</v>
      </c>
      <c r="T126" s="3520">
        <v>712220.69892110047</v>
      </c>
      <c r="U126" s="115">
        <v>209595.73392500199</v>
      </c>
      <c r="V126" s="8"/>
      <c r="W126" s="52"/>
    </row>
    <row r="127" spans="1:23" s="7" customFormat="1">
      <c r="A127" s="1297">
        <v>2001</v>
      </c>
      <c r="B127" s="215">
        <v>18600809.992182873</v>
      </c>
      <c r="C127" s="1296">
        <v>35275782.328256018</v>
      </c>
      <c r="D127" s="1202">
        <f t="shared" si="0"/>
        <v>52.72968808769285</v>
      </c>
      <c r="E127" s="2346">
        <f t="shared" si="1"/>
        <v>-2.5313655683328773E-2</v>
      </c>
      <c r="F127" s="187">
        <v>6651537.6389126312</v>
      </c>
      <c r="G127" s="3520">
        <v>609.50043988848495</v>
      </c>
      <c r="H127" s="3520">
        <v>24473.477059656263</v>
      </c>
      <c r="I127" s="115">
        <v>8005771.9969486063</v>
      </c>
      <c r="J127" s="3520">
        <v>452187.20209003909</v>
      </c>
      <c r="K127" s="370">
        <v>1245377.5091884914</v>
      </c>
      <c r="L127" s="187">
        <v>6488272.7105144486</v>
      </c>
      <c r="M127" s="3520">
        <v>291325.37055872369</v>
      </c>
      <c r="N127" s="115">
        <v>1676474.5096360273</v>
      </c>
      <c r="O127" s="3520">
        <v>1311871.6573470703</v>
      </c>
      <c r="P127" s="115">
        <v>3560649.3912432315</v>
      </c>
      <c r="Q127" s="3520">
        <v>1261300.3699268231</v>
      </c>
      <c r="R127" s="115">
        <v>1334466.6704521005</v>
      </c>
      <c r="S127" s="3520">
        <v>868766.42745110951</v>
      </c>
      <c r="T127" s="3520">
        <v>754784.8187508455</v>
      </c>
      <c r="U127" s="115">
        <v>259360.90824780503</v>
      </c>
      <c r="V127" s="8"/>
    </row>
    <row r="128" spans="1:23" s="7" customFormat="1">
      <c r="A128" s="1297">
        <v>2002</v>
      </c>
      <c r="B128" s="215">
        <v>26335844.607656002</v>
      </c>
      <c r="C128" s="1296">
        <v>33843998.459279612</v>
      </c>
      <c r="D128" s="1202">
        <f t="shared" si="0"/>
        <v>77.815405408857757</v>
      </c>
      <c r="E128" s="2346">
        <f t="shared" si="1"/>
        <v>0.4757418113197589</v>
      </c>
      <c r="F128" s="187">
        <v>6521673.3464605128</v>
      </c>
      <c r="G128" s="3520">
        <v>753.64191442872311</v>
      </c>
      <c r="H128" s="3520">
        <v>16258.409109852095</v>
      </c>
      <c r="I128" s="115">
        <v>8468545.5153689086</v>
      </c>
      <c r="J128" s="3520">
        <v>430988.80114824331</v>
      </c>
      <c r="K128" s="370">
        <v>939307.04731517262</v>
      </c>
      <c r="L128" s="187">
        <v>5241637.3524586083</v>
      </c>
      <c r="M128" s="3520">
        <v>218322.83089045767</v>
      </c>
      <c r="N128" s="115">
        <v>1698852.0987002782</v>
      </c>
      <c r="O128" s="3520">
        <v>857044.31159910129</v>
      </c>
      <c r="P128" s="115">
        <v>3579861.4850462587</v>
      </c>
      <c r="Q128" s="3520">
        <v>1198832.2160807794</v>
      </c>
      <c r="R128" s="115">
        <v>1339850.6144720048</v>
      </c>
      <c r="S128" s="3520">
        <v>927862.72132190317</v>
      </c>
      <c r="T128" s="3520">
        <v>763904.88691262912</v>
      </c>
      <c r="U128" s="115">
        <v>205513.67543298873</v>
      </c>
      <c r="V128" s="8"/>
    </row>
    <row r="129" spans="1:22" s="7" customFormat="1">
      <c r="A129" s="1295">
        <v>2003</v>
      </c>
      <c r="B129" s="215">
        <v>30986437.626441784</v>
      </c>
      <c r="C129" s="1296">
        <v>35762160.590878695</v>
      </c>
      <c r="D129" s="1202">
        <f t="shared" si="0"/>
        <v>86.64587685550805</v>
      </c>
      <c r="E129" s="2346">
        <f t="shared" si="1"/>
        <v>0.11347973322574401</v>
      </c>
      <c r="F129" s="187">
        <v>7269344.1257425351</v>
      </c>
      <c r="G129" s="3520">
        <v>2564.0490921632686</v>
      </c>
      <c r="H129" s="3520">
        <v>22237.511579682228</v>
      </c>
      <c r="I129" s="115">
        <v>8897613.7467023712</v>
      </c>
      <c r="J129" s="3520">
        <v>469766.13702764886</v>
      </c>
      <c r="K129" s="370">
        <v>961315.49652097002</v>
      </c>
      <c r="L129" s="187">
        <v>6041141.2473626761</v>
      </c>
      <c r="M129" s="3520">
        <v>216917.79350415722</v>
      </c>
      <c r="N129" s="115">
        <v>1892323.9308705414</v>
      </c>
      <c r="O129" s="3520">
        <v>801506.63584964338</v>
      </c>
      <c r="P129" s="115">
        <v>3662185.1895299219</v>
      </c>
      <c r="Q129" s="3520">
        <v>1213241.1563342072</v>
      </c>
      <c r="R129" s="115">
        <v>1339891.4505982529</v>
      </c>
      <c r="S129" s="3520">
        <v>957536.20395663916</v>
      </c>
      <c r="T129" s="3520">
        <v>781269.27522625367</v>
      </c>
      <c r="U129" s="115">
        <v>219690.91668711626</v>
      </c>
      <c r="V129" s="8"/>
    </row>
    <row r="130" spans="1:22" s="7" customFormat="1">
      <c r="A130" s="1295">
        <v>2004</v>
      </c>
      <c r="B130" s="215">
        <v>38884392.790334694</v>
      </c>
      <c r="C130" s="1299">
        <v>38884392.790334694</v>
      </c>
      <c r="D130" s="1202">
        <f t="shared" si="0"/>
        <v>100</v>
      </c>
      <c r="E130" s="2346">
        <f t="shared" si="1"/>
        <v>0.15412300768519538</v>
      </c>
      <c r="F130" s="223">
        <v>7788773.2153548067</v>
      </c>
      <c r="G130" s="3538">
        <v>4924.4503692200014</v>
      </c>
      <c r="H130" s="3538">
        <v>27796.900894125978</v>
      </c>
      <c r="I130" s="141">
        <v>10883241.903442858</v>
      </c>
      <c r="J130" s="3538">
        <v>509295.97289472842</v>
      </c>
      <c r="K130" s="190">
        <v>1241641.0894105553</v>
      </c>
      <c r="L130" s="223">
        <v>6874344.4998405622</v>
      </c>
      <c r="M130" s="3538">
        <v>260113.25255696406</v>
      </c>
      <c r="N130" s="141">
        <v>2122715.5941208922</v>
      </c>
      <c r="O130" s="3538">
        <v>854051.40177769074</v>
      </c>
      <c r="P130" s="141">
        <v>3727912.2890069741</v>
      </c>
      <c r="Q130" s="3538">
        <v>1247023.8197103401</v>
      </c>
      <c r="R130" s="141">
        <v>1311655.6469767103</v>
      </c>
      <c r="S130" s="3538">
        <v>991143.40869778499</v>
      </c>
      <c r="T130" s="3538">
        <v>811919.06280625635</v>
      </c>
      <c r="U130" s="141">
        <v>227840.28247422702</v>
      </c>
      <c r="V130" s="8"/>
    </row>
    <row r="131" spans="1:22" s="7" customFormat="1">
      <c r="A131" s="1295">
        <v>2005</v>
      </c>
      <c r="B131" s="215">
        <v>44954142.609536737</v>
      </c>
      <c r="C131" s="1299">
        <v>42145235.419430532</v>
      </c>
      <c r="D131" s="1202">
        <f t="shared" si="0"/>
        <v>106.66482738120189</v>
      </c>
      <c r="E131" s="2346">
        <f t="shared" si="1"/>
        <v>6.6648273812018877E-2</v>
      </c>
      <c r="F131" s="223">
        <v>8523010.90435558</v>
      </c>
      <c r="G131" s="3538">
        <v>6529.2730504083684</v>
      </c>
      <c r="H131" s="3538">
        <v>39076.397892412941</v>
      </c>
      <c r="I131" s="141">
        <v>11908944.346632317</v>
      </c>
      <c r="J131" s="3538">
        <v>555534.65414995782</v>
      </c>
      <c r="K131" s="190">
        <v>1640596.2866560908</v>
      </c>
      <c r="L131" s="223">
        <v>7104332.8272033501</v>
      </c>
      <c r="M131" s="3538">
        <v>303278.39448862494</v>
      </c>
      <c r="N131" s="141">
        <v>2443191.4618412908</v>
      </c>
      <c r="O131" s="3538">
        <v>994041.07241156301</v>
      </c>
      <c r="P131" s="141">
        <v>3879110.3734798441</v>
      </c>
      <c r="Q131" s="3538">
        <v>1265381.6975214435</v>
      </c>
      <c r="R131" s="141">
        <v>1354648.153075336</v>
      </c>
      <c r="S131" s="3538">
        <v>986692.26088833145</v>
      </c>
      <c r="T131" s="3538">
        <v>899757.66117491003</v>
      </c>
      <c r="U131" s="141">
        <v>241109.65460907301</v>
      </c>
      <c r="V131" s="8"/>
    </row>
    <row r="132" spans="1:22" s="7" customFormat="1">
      <c r="A132" s="1295">
        <v>2006</v>
      </c>
      <c r="B132" s="215">
        <v>56804006.517918542</v>
      </c>
      <c r="C132" s="1299">
        <v>46729796.047918811</v>
      </c>
      <c r="D132" s="1202">
        <f t="shared" si="0"/>
        <v>121.5584302137103</v>
      </c>
      <c r="E132" s="2346">
        <f t="shared" si="1"/>
        <v>0.1396299342357834</v>
      </c>
      <c r="F132" s="223">
        <v>8142933.9647541363</v>
      </c>
      <c r="G132" s="3538">
        <v>4909.5459714636845</v>
      </c>
      <c r="H132" s="3538">
        <v>43262.429669734505</v>
      </c>
      <c r="I132" s="141">
        <v>13749392.410297776</v>
      </c>
      <c r="J132" s="3538">
        <v>581434.89020618098</v>
      </c>
      <c r="K132" s="190">
        <v>2038868.5437812768</v>
      </c>
      <c r="L132" s="223">
        <v>9026418.8451055177</v>
      </c>
      <c r="M132" s="3538">
        <v>341739.8930577219</v>
      </c>
      <c r="N132" s="141">
        <v>2702953.4451974044</v>
      </c>
      <c r="O132" s="3538">
        <v>1174293.172761638</v>
      </c>
      <c r="P132" s="141">
        <v>4035150.4578911578</v>
      </c>
      <c r="Q132" s="3538">
        <v>1266210.0034152174</v>
      </c>
      <c r="R132" s="141">
        <v>1386665.3527909229</v>
      </c>
      <c r="S132" s="3538">
        <v>1001145.4793036839</v>
      </c>
      <c r="T132" s="3538">
        <v>975003.06475111947</v>
      </c>
      <c r="U132" s="141">
        <v>259414.548963863</v>
      </c>
      <c r="V132" s="8"/>
    </row>
    <row r="133" spans="1:22" s="7" customFormat="1">
      <c r="A133" s="1295">
        <v>2007</v>
      </c>
      <c r="B133" s="215">
        <v>75693098.475006908</v>
      </c>
      <c r="C133" s="1299">
        <v>51018267.266606241</v>
      </c>
      <c r="D133" s="1202">
        <f t="shared" si="0"/>
        <v>148.36469862737079</v>
      </c>
      <c r="E133" s="2346">
        <f t="shared" si="1"/>
        <v>0.22052167312898607</v>
      </c>
      <c r="F133" s="223">
        <v>8389531.9891550913</v>
      </c>
      <c r="G133" s="3538">
        <v>2715.6317346218652</v>
      </c>
      <c r="H133" s="3538">
        <v>43932.961232502581</v>
      </c>
      <c r="I133" s="141">
        <v>15058826.827592341</v>
      </c>
      <c r="J133" s="3538">
        <v>607412.53290039918</v>
      </c>
      <c r="K133" s="190">
        <v>2232719.5221607988</v>
      </c>
      <c r="L133" s="223">
        <v>10512944.465132557</v>
      </c>
      <c r="M133" s="3538">
        <v>362099.49210495985</v>
      </c>
      <c r="N133" s="141">
        <v>2997527.9372542575</v>
      </c>
      <c r="O133" s="3538">
        <v>1387987.4866214148</v>
      </c>
      <c r="P133" s="1300">
        <v>4261070.111811189</v>
      </c>
      <c r="Q133" s="3538">
        <v>1331849.7756221737</v>
      </c>
      <c r="R133" s="141">
        <v>1427139.6805215792</v>
      </c>
      <c r="S133" s="3538">
        <v>1091893.0788988541</v>
      </c>
      <c r="T133" s="3538">
        <v>1048405.6495810794</v>
      </c>
      <c r="U133" s="141">
        <v>262210.12428241898</v>
      </c>
      <c r="V133" s="8"/>
    </row>
    <row r="134" spans="1:22" s="7" customFormat="1">
      <c r="A134" s="1295">
        <v>2008</v>
      </c>
      <c r="B134" s="215">
        <v>94803648.498234928</v>
      </c>
      <c r="C134" s="1299">
        <v>52586056.786815584</v>
      </c>
      <c r="D134" s="1202">
        <f t="shared" si="0"/>
        <v>180.28286258954515</v>
      </c>
      <c r="E134" s="2346">
        <f t="shared" si="1"/>
        <v>0.21513314324413013</v>
      </c>
      <c r="F134" s="141">
        <v>8812210.6921992209</v>
      </c>
      <c r="G134" s="3538">
        <v>2266.1365291649213</v>
      </c>
      <c r="H134" s="3538">
        <v>48867.108813156396</v>
      </c>
      <c r="I134" s="141">
        <v>14454438.55489363</v>
      </c>
      <c r="J134" s="3538">
        <v>660986.42750938958</v>
      </c>
      <c r="K134" s="141">
        <v>2329581.8917243308</v>
      </c>
      <c r="L134" s="223">
        <v>11229484.095117852</v>
      </c>
      <c r="M134" s="3538">
        <v>392298.36588257778</v>
      </c>
      <c r="N134" s="141">
        <v>3323284.5258486182</v>
      </c>
      <c r="O134" s="3538">
        <v>1437708.3705783046</v>
      </c>
      <c r="P134" s="141">
        <v>4366304.5710393945</v>
      </c>
      <c r="Q134" s="3538">
        <v>1388444.4795410384</v>
      </c>
      <c r="R134" s="141">
        <v>1475573.2809178974</v>
      </c>
      <c r="S134" s="3538">
        <v>1174298.973798905</v>
      </c>
      <c r="T134" s="3538">
        <v>1190363.8384048261</v>
      </c>
      <c r="U134" s="141">
        <v>299945.47401728202</v>
      </c>
      <c r="V134" s="8"/>
    </row>
    <row r="135" spans="1:22" s="7" customFormat="1">
      <c r="A135" s="1295">
        <v>2009</v>
      </c>
      <c r="B135" s="215">
        <v>101791846.31809217</v>
      </c>
      <c r="C135" s="1299">
        <v>48111870.038943455</v>
      </c>
      <c r="D135" s="1202">
        <f t="shared" si="0"/>
        <v>211.57324842226717</v>
      </c>
      <c r="E135" s="2346">
        <f t="shared" si="1"/>
        <v>0.17356273016344148</v>
      </c>
      <c r="F135" s="141">
        <v>6851507.2902829219</v>
      </c>
      <c r="G135" s="3538">
        <v>2242.9102717756805</v>
      </c>
      <c r="H135" s="3538">
        <v>36268.268622443829</v>
      </c>
      <c r="I135" s="141">
        <v>12864207.688718356</v>
      </c>
      <c r="J135" s="3538">
        <v>694391.09315432177</v>
      </c>
      <c r="K135" s="141">
        <v>2118354.8934691814</v>
      </c>
      <c r="L135" s="223">
        <v>10399571.258396104</v>
      </c>
      <c r="M135" s="3538">
        <v>400789.43245970696</v>
      </c>
      <c r="N135" s="141">
        <v>3374520.1364267361</v>
      </c>
      <c r="O135" s="3538">
        <v>1498396.2133304167</v>
      </c>
      <c r="P135" s="141">
        <v>4194589.6976103252</v>
      </c>
      <c r="Q135" s="3538">
        <v>1396438.7363874516</v>
      </c>
      <c r="R135" s="141">
        <v>1499413.563022502</v>
      </c>
      <c r="S135" s="3538">
        <v>1176959.4901432542</v>
      </c>
      <c r="T135" s="3538">
        <v>1307437.353860199</v>
      </c>
      <c r="U135" s="141">
        <v>296782.01278776198</v>
      </c>
      <c r="V135" s="8"/>
    </row>
    <row r="136" spans="1:22" s="7" customFormat="1">
      <c r="A136" s="1295">
        <v>2010</v>
      </c>
      <c r="B136" s="215">
        <v>135895083.38605425</v>
      </c>
      <c r="C136" s="1299">
        <v>52067744.130941629</v>
      </c>
      <c r="D136" s="1202">
        <f t="shared" si="0"/>
        <v>260.99667971844707</v>
      </c>
      <c r="E136" s="2346">
        <f t="shared" si="1"/>
        <v>0.23359962407694601</v>
      </c>
      <c r="F136" s="141">
        <v>8030667.254528149</v>
      </c>
      <c r="G136" s="3538">
        <v>1685.8547692556299</v>
      </c>
      <c r="H136" s="3538">
        <v>39175.953295597858</v>
      </c>
      <c r="I136" s="141">
        <v>13636853.910415845</v>
      </c>
      <c r="J136" s="3538">
        <v>810400.30101938383</v>
      </c>
      <c r="K136" s="141">
        <v>2151212.3050187919</v>
      </c>
      <c r="L136" s="223">
        <v>11458154.783407617</v>
      </c>
      <c r="M136" s="3538">
        <v>426115.34371813084</v>
      </c>
      <c r="N136" s="141">
        <v>3812704.6257407395</v>
      </c>
      <c r="O136" s="3538">
        <v>1486264.6551905207</v>
      </c>
      <c r="P136" s="141">
        <v>4211064.0939514246</v>
      </c>
      <c r="Q136" s="3538">
        <v>1434729.5260026339</v>
      </c>
      <c r="R136" s="141">
        <v>1522593.2697785236</v>
      </c>
      <c r="S136" s="3538">
        <v>1219951.6509800125</v>
      </c>
      <c r="T136" s="3538">
        <v>1515374.9532670898</v>
      </c>
      <c r="U136" s="141">
        <v>310795.64985791303</v>
      </c>
      <c r="V136" s="8"/>
    </row>
    <row r="137" spans="1:22" s="7" customFormat="1">
      <c r="A137" s="1295">
        <v>2011</v>
      </c>
      <c r="B137" s="215">
        <v>173633547.21300086</v>
      </c>
      <c r="C137" s="1299">
        <v>55261284.93577645</v>
      </c>
      <c r="D137" s="1202">
        <f t="shared" si="0"/>
        <v>314.20468672560594</v>
      </c>
      <c r="E137" s="2346">
        <f t="shared" si="1"/>
        <v>0.20386468925412227</v>
      </c>
      <c r="F137" s="141">
        <v>8024894.3478409927</v>
      </c>
      <c r="G137" s="3538">
        <v>2157.5826494405387</v>
      </c>
      <c r="H137" s="3538">
        <v>46207.182115168682</v>
      </c>
      <c r="I137" s="141">
        <v>14881169.68871443</v>
      </c>
      <c r="J137" s="3538">
        <v>857860.94498206757</v>
      </c>
      <c r="K137" s="190">
        <v>2225037.9310431774</v>
      </c>
      <c r="L137" s="223">
        <v>12117912.766691748</v>
      </c>
      <c r="M137" s="3538">
        <v>457429.80160518887</v>
      </c>
      <c r="N137" s="141">
        <v>4305451.0950889904</v>
      </c>
      <c r="O137" s="3538">
        <v>1706818.8730132964</v>
      </c>
      <c r="P137" s="141">
        <v>4456571.8942693118</v>
      </c>
      <c r="Q137" s="3538">
        <v>1441781.9218914798</v>
      </c>
      <c r="R137" s="141">
        <v>1524443.7613472964</v>
      </c>
      <c r="S137" s="3538">
        <v>1353685.4415290698</v>
      </c>
      <c r="T137" s="3538">
        <v>1586230.26325573</v>
      </c>
      <c r="U137" s="141">
        <v>273631.43973906396</v>
      </c>
      <c r="V137" s="8"/>
    </row>
    <row r="138" spans="1:22" s="7" customFormat="1">
      <c r="A138" s="1295">
        <v>2012</v>
      </c>
      <c r="B138" s="215">
        <v>210053250.66138747</v>
      </c>
      <c r="C138" s="1299">
        <v>55142119.084444061</v>
      </c>
      <c r="D138" s="1202">
        <f t="shared" si="0"/>
        <v>380.93068265968185</v>
      </c>
      <c r="E138" s="2346">
        <f t="shared" si="1"/>
        <v>0.21236473787021359</v>
      </c>
      <c r="F138" s="141">
        <v>7346820.2300222823</v>
      </c>
      <c r="G138" s="3538">
        <v>1906.6645147560971</v>
      </c>
      <c r="H138" s="3538">
        <v>40941.176338851226</v>
      </c>
      <c r="I138" s="141">
        <v>14943880.047481433</v>
      </c>
      <c r="J138" s="3538">
        <v>946853.06499378907</v>
      </c>
      <c r="K138" s="141">
        <v>2089633.542063128</v>
      </c>
      <c r="L138" s="223">
        <v>12165436.343206035</v>
      </c>
      <c r="M138" s="3538">
        <v>476175.27619331481</v>
      </c>
      <c r="N138" s="141">
        <v>4451734.852910284</v>
      </c>
      <c r="O138" s="3538">
        <v>1771053.8783366506</v>
      </c>
      <c r="P138" s="141">
        <v>4545562.3250907864</v>
      </c>
      <c r="Q138" s="3538">
        <v>1510410.2704055831</v>
      </c>
      <c r="R138" s="141">
        <v>1498078.5994972831</v>
      </c>
      <c r="S138" s="3538">
        <v>1493420.1501760017</v>
      </c>
      <c r="T138" s="3538">
        <v>1588662.9360545112</v>
      </c>
      <c r="U138" s="141">
        <v>271549.72715937899</v>
      </c>
      <c r="V138" s="8"/>
    </row>
    <row r="139" spans="1:22" s="7" customFormat="1">
      <c r="A139" s="1295">
        <v>2013</v>
      </c>
      <c r="B139" s="215">
        <v>267392778.1516971</v>
      </c>
      <c r="C139" s="1299">
        <v>57696227.066312358</v>
      </c>
      <c r="D139" s="1202">
        <f t="shared" si="0"/>
        <v>463.4493306544515</v>
      </c>
      <c r="E139" s="2346">
        <f t="shared" si="1"/>
        <v>0.21662378944804161</v>
      </c>
      <c r="F139" s="141">
        <v>8596894.2604040597</v>
      </c>
      <c r="G139" s="3538">
        <v>795.64566608126643</v>
      </c>
      <c r="H139" s="3538">
        <v>49400.537580485376</v>
      </c>
      <c r="I139" s="141">
        <v>15115024.925526114</v>
      </c>
      <c r="J139" s="3538">
        <v>1006662.8942039598</v>
      </c>
      <c r="K139" s="141">
        <v>2238754.2116802279</v>
      </c>
      <c r="L139" s="223">
        <v>12322950.22916621</v>
      </c>
      <c r="M139" s="3538">
        <v>493134.01797551371</v>
      </c>
      <c r="N139" s="141">
        <v>4849407.321799784</v>
      </c>
      <c r="O139" s="3538">
        <v>1868626.6221458141</v>
      </c>
      <c r="P139" s="141">
        <v>4616713.1728470623</v>
      </c>
      <c r="Q139" s="3538">
        <v>1567071.1521602895</v>
      </c>
      <c r="R139" s="141">
        <v>1565409.7704843923</v>
      </c>
      <c r="S139" s="3538">
        <v>1557828.9593603883</v>
      </c>
      <c r="T139" s="3538">
        <v>1569606.0244044771</v>
      </c>
      <c r="U139" s="141">
        <v>277947.32090750005</v>
      </c>
      <c r="V139" s="8"/>
    </row>
    <row r="140" spans="1:22" s="7" customFormat="1">
      <c r="A140" s="1295">
        <v>2014</v>
      </c>
      <c r="B140" s="215">
        <v>363748574.59160018</v>
      </c>
      <c r="C140" s="1299">
        <v>58216982.016017191</v>
      </c>
      <c r="D140" s="1202">
        <f t="shared" si="0"/>
        <v>624.81523774544394</v>
      </c>
      <c r="E140" s="2346">
        <f t="shared" si="1"/>
        <v>0.34818457254673896</v>
      </c>
      <c r="F140" s="141">
        <v>8197662.3695731116</v>
      </c>
      <c r="G140" s="3538">
        <v>1001.7260131344672</v>
      </c>
      <c r="H140" s="3538">
        <v>42398.623590509393</v>
      </c>
      <c r="I140" s="141">
        <v>15423590.670972794</v>
      </c>
      <c r="J140" s="3538">
        <v>975360.95495793736</v>
      </c>
      <c r="K140" s="141">
        <v>2168685.2684125351</v>
      </c>
      <c r="L140" s="223">
        <v>12622724.34531405</v>
      </c>
      <c r="M140" s="3538">
        <v>507909.12802103872</v>
      </c>
      <c r="N140" s="141">
        <v>4969596.3421551706</v>
      </c>
      <c r="O140" s="3538">
        <v>2023421.7766764783</v>
      </c>
      <c r="P140" s="141">
        <v>4656632.4449485261</v>
      </c>
      <c r="Q140" s="3538">
        <v>1617455.3538663452</v>
      </c>
      <c r="R140" s="141">
        <v>1580513.1764774739</v>
      </c>
      <c r="S140" s="3538">
        <v>1563368.3244915074</v>
      </c>
      <c r="T140" s="3538">
        <v>1554607.6755601927</v>
      </c>
      <c r="U140" s="141">
        <v>312053.83498638601</v>
      </c>
      <c r="V140" s="8"/>
    </row>
    <row r="141" spans="1:22" s="7" customFormat="1">
      <c r="A141" s="1295">
        <v>2015</v>
      </c>
      <c r="B141" s="215">
        <v>465158601.93764043</v>
      </c>
      <c r="C141" s="1299">
        <v>61157166.384767503</v>
      </c>
      <c r="D141" s="1202">
        <f t="shared" si="0"/>
        <v>760.59541250017446</v>
      </c>
      <c r="E141" s="2346">
        <f t="shared" si="1"/>
        <v>0.21731252144981905</v>
      </c>
      <c r="F141" s="141">
        <v>8802891.7817526627</v>
      </c>
      <c r="G141" s="3538">
        <v>1680.8870898469172</v>
      </c>
      <c r="H141" s="3538">
        <v>42238.646576555533</v>
      </c>
      <c r="I141" s="141">
        <v>16507208.853616763</v>
      </c>
      <c r="J141" s="3538">
        <v>1087260.0081769575</v>
      </c>
      <c r="K141" s="141">
        <v>2320670.8227357604</v>
      </c>
      <c r="L141" s="223">
        <v>13146243.476425298</v>
      </c>
      <c r="M141" s="3538">
        <v>512363.45643639937</v>
      </c>
      <c r="N141" s="141">
        <v>5298901.3157222075</v>
      </c>
      <c r="O141" s="3538">
        <v>2040746.9692523223</v>
      </c>
      <c r="P141" s="141">
        <v>4674717.1888742158</v>
      </c>
      <c r="Q141" s="3538">
        <v>1686320.1003041302</v>
      </c>
      <c r="R141" s="141">
        <v>1627805.7543679378</v>
      </c>
      <c r="S141" s="3538">
        <v>1554534.3094354142</v>
      </c>
      <c r="T141" s="3538">
        <v>1578565.1638469952</v>
      </c>
      <c r="U141" s="141">
        <v>275017.650154036</v>
      </c>
      <c r="V141" s="8"/>
    </row>
    <row r="142" spans="1:22" s="7" customFormat="1">
      <c r="A142" s="1295">
        <v>2016</v>
      </c>
      <c r="B142" s="215">
        <v>647513223.02838278</v>
      </c>
      <c r="C142" s="1299">
        <v>60129777.724881351</v>
      </c>
      <c r="D142" s="1202">
        <f t="shared" si="0"/>
        <v>1076.8594987844858</v>
      </c>
      <c r="E142" s="2346">
        <f t="shared" si="1"/>
        <v>0.41581119355520535</v>
      </c>
      <c r="F142" s="141">
        <v>7208860.5886396468</v>
      </c>
      <c r="G142" s="3538">
        <v>2216.1199110081097</v>
      </c>
      <c r="H142" s="3538">
        <v>43620.728629396137</v>
      </c>
      <c r="I142" s="141">
        <v>17068379.652316257</v>
      </c>
      <c r="J142" s="3538">
        <v>1096860.3281886801</v>
      </c>
      <c r="K142" s="141">
        <v>2304043.8776485855</v>
      </c>
      <c r="L142" s="223">
        <v>12875877.724716272</v>
      </c>
      <c r="M142" s="3538">
        <v>516042.09835156228</v>
      </c>
      <c r="N142" s="141">
        <v>5432575.568182461</v>
      </c>
      <c r="O142" s="3538">
        <v>2102157.1317731543</v>
      </c>
      <c r="P142" s="141">
        <v>4614662.5230788048</v>
      </c>
      <c r="Q142" s="3538">
        <v>1728168.7006069294</v>
      </c>
      <c r="R142" s="141">
        <v>1645372.7409232345</v>
      </c>
      <c r="S142" s="3538">
        <v>1638739.1153877841</v>
      </c>
      <c r="T142" s="3538">
        <v>1574005.182919617</v>
      </c>
      <c r="U142" s="141">
        <v>278195.64360795496</v>
      </c>
      <c r="V142" s="8"/>
    </row>
    <row r="143" spans="1:22" s="7" customFormat="1">
      <c r="A143" s="1295">
        <v>2017</v>
      </c>
      <c r="B143" s="215">
        <v>851276014.7753824</v>
      </c>
      <c r="C143" s="1299">
        <v>63186392.54426761</v>
      </c>
      <c r="D143" s="1202">
        <f t="shared" si="0"/>
        <v>1347.2457921679718</v>
      </c>
      <c r="E143" s="2346">
        <f t="shared" si="1"/>
        <v>0.25108781014485815</v>
      </c>
      <c r="F143" s="141">
        <v>7875824.2669373807</v>
      </c>
      <c r="G143" s="3538">
        <v>2544.3016732608576</v>
      </c>
      <c r="H143" s="3538">
        <v>43805.473675590867</v>
      </c>
      <c r="I143" s="141">
        <v>18185996.801468622</v>
      </c>
      <c r="J143" s="3538">
        <v>1072261.0583073203</v>
      </c>
      <c r="K143" s="141">
        <v>2644779.3806085601</v>
      </c>
      <c r="L143" s="223">
        <v>13763568.32272003</v>
      </c>
      <c r="M143" s="3538">
        <v>551546.68597503391</v>
      </c>
      <c r="N143" s="141">
        <v>5310144.3430225914</v>
      </c>
      <c r="O143" s="3538">
        <v>2105671.6126304888</v>
      </c>
      <c r="P143" s="141">
        <v>4681809.1468719803</v>
      </c>
      <c r="Q143" s="3538">
        <v>1742699.0674568582</v>
      </c>
      <c r="R143" s="141">
        <v>1667695.942916923</v>
      </c>
      <c r="S143" s="3538">
        <v>1671083.1433140785</v>
      </c>
      <c r="T143" s="3538">
        <v>1577502.6516932249</v>
      </c>
      <c r="U143" s="141">
        <v>289460.34499566298</v>
      </c>
      <c r="V143" s="8"/>
    </row>
    <row r="144" spans="1:22" s="7" customFormat="1">
      <c r="A144" s="1295">
        <v>2018</v>
      </c>
      <c r="B144" s="215">
        <v>1197056834.8151774</v>
      </c>
      <c r="C144" s="1299">
        <v>60435586.653545618</v>
      </c>
      <c r="D144" s="1202">
        <f t="shared" si="0"/>
        <v>1980.7151731271379</v>
      </c>
      <c r="E144" s="2346">
        <f t="shared" si="1"/>
        <v>0.47019585040959355</v>
      </c>
      <c r="F144" s="141">
        <v>6863869.3133620499</v>
      </c>
      <c r="G144" s="3538">
        <v>2554.7326246833904</v>
      </c>
      <c r="H144" s="3538">
        <v>40023.030686909056</v>
      </c>
      <c r="I144" s="141">
        <v>16396850.756911866</v>
      </c>
      <c r="J144" s="3538">
        <v>1103731.957545829</v>
      </c>
      <c r="K144" s="141">
        <v>2704848.7182536861</v>
      </c>
      <c r="L144" s="223">
        <v>13834578.061978059</v>
      </c>
      <c r="M144" s="3538">
        <v>589995.01348268439</v>
      </c>
      <c r="N144" s="141">
        <v>4959187.14198667</v>
      </c>
      <c r="O144" s="3538">
        <v>2259999.0747993016</v>
      </c>
      <c r="P144" s="141">
        <v>4683114.130263973</v>
      </c>
      <c r="Q144" s="3538">
        <v>1750753.7328612884</v>
      </c>
      <c r="R144" s="141">
        <v>1680119.8428144534</v>
      </c>
      <c r="S144" s="3538">
        <v>1685474.3496292569</v>
      </c>
      <c r="T144" s="3538">
        <v>1610864.6564635073</v>
      </c>
      <c r="U144" s="141">
        <v>269622.139881398</v>
      </c>
      <c r="V144" s="8"/>
    </row>
    <row r="145" spans="1:22" s="7" customFormat="1">
      <c r="A145" s="1301">
        <v>2019</v>
      </c>
      <c r="B145" s="215">
        <v>1817388758.9211173</v>
      </c>
      <c r="C145" s="1299">
        <v>59864345.527048826</v>
      </c>
      <c r="D145" s="1202">
        <f t="shared" si="0"/>
        <v>3035.8450308288375</v>
      </c>
      <c r="E145" s="2346">
        <f t="shared" si="1"/>
        <v>0.53270145653292933</v>
      </c>
      <c r="F145" s="141">
        <v>8264645.1577834766</v>
      </c>
      <c r="G145" s="3538">
        <v>3236.1934709473362</v>
      </c>
      <c r="H145" s="3538">
        <v>51726.694454627148</v>
      </c>
      <c r="I145" s="141">
        <v>15966342.151961846</v>
      </c>
      <c r="J145" s="3538">
        <v>984363.57395101164</v>
      </c>
      <c r="K145" s="2774">
        <v>2547817.0480178599</v>
      </c>
      <c r="L145" s="223">
        <v>13095006.889264025</v>
      </c>
      <c r="M145" s="3538">
        <v>582990.22427749925</v>
      </c>
      <c r="N145" s="141">
        <v>4907551.6144717913</v>
      </c>
      <c r="O145" s="3538">
        <v>1979616.1800899759</v>
      </c>
      <c r="P145" s="141">
        <v>4476543.7576318653</v>
      </c>
      <c r="Q145" s="3538">
        <v>1764848.3144511783</v>
      </c>
      <c r="R145" s="141">
        <v>1697994.5420941459</v>
      </c>
      <c r="S145" s="3538">
        <v>1705349.7750216995</v>
      </c>
      <c r="T145" s="3538">
        <v>1575135.2293027281</v>
      </c>
      <c r="U145" s="141">
        <v>261178.18080414701</v>
      </c>
      <c r="V145" s="8"/>
    </row>
    <row r="146" spans="1:22" s="7" customFormat="1">
      <c r="A146" s="1301">
        <v>2020</v>
      </c>
      <c r="B146" s="215">
        <v>2499756997.2811484</v>
      </c>
      <c r="C146" s="1299">
        <v>56069801.413749695</v>
      </c>
      <c r="D146" s="1202">
        <f t="shared" si="0"/>
        <v>4458.2947223853489</v>
      </c>
      <c r="E146" s="2346">
        <f t="shared" si="1"/>
        <v>0.46855148306702543</v>
      </c>
      <c r="F146" s="141">
        <v>8284616.5310350917</v>
      </c>
      <c r="G146" s="3538">
        <v>2427.0537369352073</v>
      </c>
      <c r="H146" s="3538">
        <v>44069.059109900823</v>
      </c>
      <c r="I146" s="141">
        <v>14579440.584593214</v>
      </c>
      <c r="J146" s="3538">
        <v>1005604.8596067224</v>
      </c>
      <c r="K146" s="2774">
        <v>1884843.2064273078</v>
      </c>
      <c r="L146" s="223">
        <v>12827053.132180262</v>
      </c>
      <c r="M146" s="3538">
        <v>427169.82282056904</v>
      </c>
      <c r="N146" s="141">
        <v>4197217.10791873</v>
      </c>
      <c r="O146" s="3538">
        <v>2573205.379901682</v>
      </c>
      <c r="P146" s="141">
        <v>4413476.742400541</v>
      </c>
      <c r="Q146" s="3538">
        <v>1487599.9377915994</v>
      </c>
      <c r="R146" s="141">
        <v>1648934.5516730174</v>
      </c>
      <c r="S146" s="3538">
        <v>1286067.5097952094</v>
      </c>
      <c r="T146" s="3538">
        <v>1180226.3899052246</v>
      </c>
      <c r="U146" s="141">
        <v>227849.54485368566</v>
      </c>
      <c r="V146" s="8"/>
    </row>
    <row r="147" spans="1:22" s="7" customFormat="1">
      <c r="A147" s="1301">
        <v>2021</v>
      </c>
      <c r="B147" s="2348">
        <v>4335590759.0434685</v>
      </c>
      <c r="C147" s="2347">
        <v>61725820.738108911</v>
      </c>
      <c r="D147" s="1202">
        <f t="shared" si="0"/>
        <v>7023.9499567588864</v>
      </c>
      <c r="E147" s="2346">
        <f t="shared" si="1"/>
        <v>0.57547905513990316</v>
      </c>
      <c r="F147" s="2347">
        <v>8567483.4638167713</v>
      </c>
      <c r="G147" s="2347">
        <v>1751.3087648537139</v>
      </c>
      <c r="H147" s="2347">
        <v>51746.107644052972</v>
      </c>
      <c r="I147" s="2347">
        <v>16311706.909372678</v>
      </c>
      <c r="J147" s="2347">
        <v>1050306.8466337072</v>
      </c>
      <c r="K147" s="2775">
        <v>2108583.7272932166</v>
      </c>
      <c r="L147" s="2348">
        <v>14287407.931549922</v>
      </c>
      <c r="M147" s="2347">
        <v>445651.7546671161</v>
      </c>
      <c r="N147" s="2347">
        <v>4261868.7999337334</v>
      </c>
      <c r="O147" s="2347">
        <v>2912000.953101634</v>
      </c>
      <c r="P147" s="2347">
        <v>4641771.8640032308</v>
      </c>
      <c r="Q147" s="2347">
        <v>1793692.8012910325</v>
      </c>
      <c r="R147" s="2347">
        <v>1728882.4172750833</v>
      </c>
      <c r="S147" s="2347">
        <v>1921899.5501015401</v>
      </c>
      <c r="T147" s="2347">
        <v>1382977.8521897001</v>
      </c>
      <c r="U147" s="2347">
        <v>258088.4504706338</v>
      </c>
      <c r="V147" s="8"/>
    </row>
    <row r="148" spans="1:22" s="7" customFormat="1">
      <c r="A148" s="1301">
        <v>2022</v>
      </c>
      <c r="B148" s="2348">
        <v>7473642094.2267857</v>
      </c>
      <c r="C148" s="2347">
        <v>61579321.485983089</v>
      </c>
      <c r="D148" s="1202">
        <f t="shared" si="0"/>
        <v>12136.610007838368</v>
      </c>
      <c r="E148" s="2346">
        <f t="shared" si="1"/>
        <v>0.72788958955491401</v>
      </c>
      <c r="F148" s="2347">
        <v>7355696.7075034399</v>
      </c>
      <c r="G148" s="2347">
        <v>1013.4347255716502</v>
      </c>
      <c r="H148" s="2347">
        <v>49600.927373452672</v>
      </c>
      <c r="I148" s="2347">
        <v>16616346.290525716</v>
      </c>
      <c r="J148" s="2347">
        <v>1053951.131796113</v>
      </c>
      <c r="K148" s="2775">
        <v>2248210.6601724238</v>
      </c>
      <c r="L148" s="2348">
        <v>14970566.701814415</v>
      </c>
      <c r="M148" s="2347">
        <v>537830.68834209722</v>
      </c>
      <c r="N148" s="2347">
        <v>4133852.6026190729</v>
      </c>
      <c r="O148" s="2347">
        <v>2593243.8903001761</v>
      </c>
      <c r="P148" s="2347">
        <v>4824884.4450908713</v>
      </c>
      <c r="Q148" s="2347">
        <v>1790138.2160476788</v>
      </c>
      <c r="R148" s="2347">
        <v>1725114.8455366835</v>
      </c>
      <c r="S148" s="2347">
        <v>1959648.1293348859</v>
      </c>
      <c r="T148" s="2347">
        <v>1432373.788497804</v>
      </c>
      <c r="U148" s="2347">
        <v>286849.02630267537</v>
      </c>
      <c r="V148" s="8"/>
    </row>
    <row r="149" spans="1:22" s="7" customFormat="1">
      <c r="A149" s="1301">
        <v>2023</v>
      </c>
      <c r="B149" s="2348">
        <v>16350565854.972822</v>
      </c>
      <c r="C149" s="2347">
        <v>57100827.045388803</v>
      </c>
      <c r="D149" s="1202">
        <f t="shared" si="0"/>
        <v>28634.551723700853</v>
      </c>
      <c r="E149" s="2346">
        <f t="shared" si="1"/>
        <v>1.3593533701097238</v>
      </c>
      <c r="F149" s="2347">
        <v>5259911.6915734652</v>
      </c>
      <c r="G149" s="2347">
        <v>894.65491303719568</v>
      </c>
      <c r="H149" s="2347">
        <v>44658.534897054487</v>
      </c>
      <c r="I149" s="2347">
        <v>14834788.315318024</v>
      </c>
      <c r="J149" s="2347">
        <v>996358.29978243925</v>
      </c>
      <c r="K149" s="2775">
        <v>2281661.2099863268</v>
      </c>
      <c r="L149" s="2348">
        <v>14256797.752923585</v>
      </c>
      <c r="M149" s="2347">
        <v>577707.62744641677</v>
      </c>
      <c r="N149" s="2347">
        <v>3736895.4871876976</v>
      </c>
      <c r="O149" s="2347">
        <v>2839109.5180759239</v>
      </c>
      <c r="P149" s="2347">
        <v>4926555.7108293213</v>
      </c>
      <c r="Q149" s="2347">
        <v>1838311.0175633533</v>
      </c>
      <c r="R149" s="2347">
        <v>1761066.6812773987</v>
      </c>
      <c r="S149" s="2347">
        <v>1966554.749428235</v>
      </c>
      <c r="T149" s="2347">
        <v>1478856.3472887189</v>
      </c>
      <c r="U149" s="2347">
        <v>300699.44689780497</v>
      </c>
      <c r="V149" s="8"/>
    </row>
    <row r="150" spans="1:22" s="7" customFormat="1">
      <c r="A150" s="1295">
        <v>2024</v>
      </c>
      <c r="B150" s="3482">
        <v>48915331874.734222</v>
      </c>
      <c r="C150" s="2347">
        <v>59414454.415584706</v>
      </c>
      <c r="D150" s="1202">
        <f t="shared" si="0"/>
        <v>82329.009591819937</v>
      </c>
      <c r="E150" s="2346">
        <f t="shared" si="1"/>
        <v>1.875163207939313</v>
      </c>
      <c r="F150" s="2347">
        <v>8303568.4874950852</v>
      </c>
      <c r="G150" s="2347">
        <v>1193.6090204533032</v>
      </c>
      <c r="H150" s="2347">
        <v>35807.353827381914</v>
      </c>
      <c r="I150" s="2347">
        <v>15496128.891952647</v>
      </c>
      <c r="J150" s="2347">
        <v>1017392.7776367498</v>
      </c>
      <c r="K150" s="2775">
        <v>1943841.1781680707</v>
      </c>
      <c r="L150" s="2348">
        <v>13067061.254416108</v>
      </c>
      <c r="M150" s="2347">
        <v>544589.35868259356</v>
      </c>
      <c r="N150" s="2347">
        <v>3773999.8552334541</v>
      </c>
      <c r="O150" s="2347">
        <v>2809865.5959948767</v>
      </c>
      <c r="P150" s="2347">
        <v>5009136.1710144524</v>
      </c>
      <c r="Q150" s="2347">
        <v>1895105.7590925121</v>
      </c>
      <c r="R150" s="2347">
        <v>1770148.4775291567</v>
      </c>
      <c r="S150" s="2347">
        <v>2023900.0012196361</v>
      </c>
      <c r="T150" s="2347">
        <v>1425990.2234478451</v>
      </c>
      <c r="U150" s="2347">
        <v>296725.42085369921</v>
      </c>
      <c r="V150" s="8"/>
    </row>
    <row r="151" spans="1:22" s="7" customFormat="1">
      <c r="A151" s="1295">
        <v>2025</v>
      </c>
      <c r="B151" s="215" t="e">
        <v>#N/A</v>
      </c>
      <c r="C151" s="1299" t="e">
        <v>#N/A</v>
      </c>
      <c r="D151" s="1202" t="e">
        <f t="shared" si="0"/>
        <v>#N/A</v>
      </c>
      <c r="E151" s="2346" t="e">
        <f t="shared" si="1"/>
        <v>#N/A</v>
      </c>
      <c r="F151" s="141" t="e">
        <v>#N/A</v>
      </c>
      <c r="G151" s="3538" t="e">
        <v>#N/A</v>
      </c>
      <c r="H151" s="3538" t="e">
        <v>#N/A</v>
      </c>
      <c r="I151" s="141" t="e">
        <v>#N/A</v>
      </c>
      <c r="J151" s="3538" t="e">
        <v>#N/A</v>
      </c>
      <c r="K151" s="141" t="e">
        <v>#N/A</v>
      </c>
      <c r="L151" s="223" t="e">
        <v>#N/A</v>
      </c>
      <c r="M151" s="3538" t="e">
        <v>#N/A</v>
      </c>
      <c r="N151" s="141" t="e">
        <v>#N/A</v>
      </c>
      <c r="O151" s="3538" t="e">
        <v>#N/A</v>
      </c>
      <c r="P151" s="141" t="e">
        <v>#N/A</v>
      </c>
      <c r="Q151" s="3538" t="e">
        <v>#N/A</v>
      </c>
      <c r="R151" s="141" t="e">
        <v>#N/A</v>
      </c>
      <c r="S151" s="3538" t="e">
        <v>#N/A</v>
      </c>
      <c r="T151" s="3538" t="e">
        <v>#N/A</v>
      </c>
      <c r="U151" s="141" t="e">
        <v>#N/A</v>
      </c>
      <c r="V151" s="8"/>
    </row>
    <row r="152" spans="1:22" s="7" customFormat="1">
      <c r="A152" s="1295">
        <v>2026</v>
      </c>
      <c r="B152" s="215" t="e">
        <v>#N/A</v>
      </c>
      <c r="C152" s="1299" t="e">
        <v>#N/A</v>
      </c>
      <c r="D152" s="1202" t="e">
        <f t="shared" si="0"/>
        <v>#N/A</v>
      </c>
      <c r="E152" s="2346" t="e">
        <f t="shared" si="1"/>
        <v>#N/A</v>
      </c>
      <c r="F152" s="141" t="e">
        <v>#N/A</v>
      </c>
      <c r="G152" s="3538" t="e">
        <v>#N/A</v>
      </c>
      <c r="H152" s="3538" t="e">
        <v>#N/A</v>
      </c>
      <c r="I152" s="141" t="e">
        <v>#N/A</v>
      </c>
      <c r="J152" s="3538" t="e">
        <v>#N/A</v>
      </c>
      <c r="K152" s="141" t="e">
        <v>#N/A</v>
      </c>
      <c r="L152" s="223" t="e">
        <v>#N/A</v>
      </c>
      <c r="M152" s="3538" t="e">
        <v>#N/A</v>
      </c>
      <c r="N152" s="141" t="e">
        <v>#N/A</v>
      </c>
      <c r="O152" s="3538" t="e">
        <v>#N/A</v>
      </c>
      <c r="P152" s="141" t="e">
        <v>#N/A</v>
      </c>
      <c r="Q152" s="3538" t="e">
        <v>#N/A</v>
      </c>
      <c r="R152" s="141" t="e">
        <v>#N/A</v>
      </c>
      <c r="S152" s="3538" t="e">
        <v>#N/A</v>
      </c>
      <c r="T152" s="3538" t="e">
        <v>#N/A</v>
      </c>
      <c r="U152" s="2516" t="e">
        <v>#N/A</v>
      </c>
    </row>
    <row r="153" spans="1:22" s="7" customFormat="1">
      <c r="A153" s="1295">
        <v>2027</v>
      </c>
      <c r="B153" s="215" t="e">
        <v>#N/A</v>
      </c>
      <c r="C153" s="1299" t="e">
        <v>#N/A</v>
      </c>
      <c r="D153" s="1202" t="e">
        <f t="shared" si="0"/>
        <v>#N/A</v>
      </c>
      <c r="E153" s="2346" t="e">
        <f t="shared" si="1"/>
        <v>#N/A</v>
      </c>
      <c r="F153" s="141" t="e">
        <v>#N/A</v>
      </c>
      <c r="G153" s="3538" t="e">
        <v>#N/A</v>
      </c>
      <c r="H153" s="3538" t="e">
        <v>#N/A</v>
      </c>
      <c r="I153" s="141" t="e">
        <v>#N/A</v>
      </c>
      <c r="J153" s="3538" t="e">
        <v>#N/A</v>
      </c>
      <c r="K153" s="141" t="e">
        <v>#N/A</v>
      </c>
      <c r="L153" s="223" t="e">
        <v>#N/A</v>
      </c>
      <c r="M153" s="3538" t="e">
        <v>#N/A</v>
      </c>
      <c r="N153" s="141" t="e">
        <v>#N/A</v>
      </c>
      <c r="O153" s="3538" t="e">
        <v>#N/A</v>
      </c>
      <c r="P153" s="141" t="e">
        <v>#N/A</v>
      </c>
      <c r="Q153" s="3538" t="e">
        <v>#N/A</v>
      </c>
      <c r="R153" s="141" t="e">
        <v>#N/A</v>
      </c>
      <c r="S153" s="3538" t="e">
        <v>#N/A</v>
      </c>
      <c r="T153" s="3538" t="e">
        <v>#N/A</v>
      </c>
      <c r="U153" s="2516" t="e">
        <v>#N/A</v>
      </c>
    </row>
    <row r="154" spans="1:22" s="7" customFormat="1">
      <c r="A154" s="1295">
        <v>2028</v>
      </c>
      <c r="B154" s="215" t="e">
        <v>#N/A</v>
      </c>
      <c r="C154" s="1299" t="e">
        <v>#N/A</v>
      </c>
      <c r="D154" s="1202" t="e">
        <f t="shared" si="0"/>
        <v>#N/A</v>
      </c>
      <c r="E154" s="2346" t="e">
        <f t="shared" si="1"/>
        <v>#N/A</v>
      </c>
      <c r="F154" s="141" t="e">
        <v>#N/A</v>
      </c>
      <c r="G154" s="3538" t="e">
        <v>#N/A</v>
      </c>
      <c r="H154" s="3538" t="e">
        <v>#N/A</v>
      </c>
      <c r="I154" s="141" t="e">
        <v>#N/A</v>
      </c>
      <c r="J154" s="3538" t="e">
        <v>#N/A</v>
      </c>
      <c r="K154" s="141" t="e">
        <v>#N/A</v>
      </c>
      <c r="L154" s="223" t="e">
        <v>#N/A</v>
      </c>
      <c r="M154" s="3538" t="e">
        <v>#N/A</v>
      </c>
      <c r="N154" s="141" t="e">
        <v>#N/A</v>
      </c>
      <c r="O154" s="3538" t="e">
        <v>#N/A</v>
      </c>
      <c r="P154" s="141" t="e">
        <v>#N/A</v>
      </c>
      <c r="Q154" s="3538" t="e">
        <v>#N/A</v>
      </c>
      <c r="R154" s="141" t="e">
        <v>#N/A</v>
      </c>
      <c r="S154" s="3538" t="e">
        <v>#N/A</v>
      </c>
      <c r="T154" s="3538" t="e">
        <v>#N/A</v>
      </c>
      <c r="U154" s="2516" t="e">
        <v>#N/A</v>
      </c>
    </row>
    <row r="155" spans="1:22" s="7" customFormat="1">
      <c r="A155" s="1295">
        <v>2029</v>
      </c>
      <c r="B155" s="215" t="e">
        <v>#N/A</v>
      </c>
      <c r="C155" s="1299" t="e">
        <v>#N/A</v>
      </c>
      <c r="D155" s="1202" t="e">
        <f t="shared" si="0"/>
        <v>#N/A</v>
      </c>
      <c r="E155" s="2346" t="e">
        <f t="shared" si="1"/>
        <v>#N/A</v>
      </c>
      <c r="F155" s="141" t="e">
        <v>#N/A</v>
      </c>
      <c r="G155" s="3538" t="e">
        <v>#N/A</v>
      </c>
      <c r="H155" s="3538" t="e">
        <v>#N/A</v>
      </c>
      <c r="I155" s="141" t="e">
        <v>#N/A</v>
      </c>
      <c r="J155" s="3538" t="e">
        <v>#N/A</v>
      </c>
      <c r="K155" s="141" t="e">
        <v>#N/A</v>
      </c>
      <c r="L155" s="223" t="e">
        <v>#N/A</v>
      </c>
      <c r="M155" s="3538" t="e">
        <v>#N/A</v>
      </c>
      <c r="N155" s="141" t="e">
        <v>#N/A</v>
      </c>
      <c r="O155" s="3538" t="e">
        <v>#N/A</v>
      </c>
      <c r="P155" s="141" t="e">
        <v>#N/A</v>
      </c>
      <c r="Q155" s="3538" t="e">
        <v>#N/A</v>
      </c>
      <c r="R155" s="141" t="e">
        <v>#N/A</v>
      </c>
      <c r="S155" s="3538" t="e">
        <v>#N/A</v>
      </c>
      <c r="T155" s="3538" t="e">
        <v>#N/A</v>
      </c>
      <c r="U155" s="2516" t="e">
        <v>#N/A</v>
      </c>
    </row>
    <row r="156" spans="1:22" s="7" customFormat="1">
      <c r="A156" s="1295">
        <v>2030</v>
      </c>
      <c r="B156" s="215" t="e">
        <v>#N/A</v>
      </c>
      <c r="C156" s="1299" t="e">
        <v>#N/A</v>
      </c>
      <c r="D156" s="1202" t="e">
        <f t="shared" si="0"/>
        <v>#N/A</v>
      </c>
      <c r="E156" s="2346" t="e">
        <f t="shared" si="1"/>
        <v>#N/A</v>
      </c>
      <c r="F156" s="141" t="e">
        <v>#N/A</v>
      </c>
      <c r="G156" s="3538" t="e">
        <v>#N/A</v>
      </c>
      <c r="H156" s="3538" t="e">
        <v>#N/A</v>
      </c>
      <c r="I156" s="141" t="e">
        <v>#N/A</v>
      </c>
      <c r="J156" s="3538" t="e">
        <v>#N/A</v>
      </c>
      <c r="K156" s="141" t="e">
        <v>#N/A</v>
      </c>
      <c r="L156" s="223" t="e">
        <v>#N/A</v>
      </c>
      <c r="M156" s="3538" t="e">
        <v>#N/A</v>
      </c>
      <c r="N156" s="141" t="e">
        <v>#N/A</v>
      </c>
      <c r="O156" s="3538" t="e">
        <v>#N/A</v>
      </c>
      <c r="P156" s="141" t="e">
        <v>#N/A</v>
      </c>
      <c r="Q156" s="3538" t="e">
        <v>#N/A</v>
      </c>
      <c r="R156" s="141" t="e">
        <v>#N/A</v>
      </c>
      <c r="S156" s="3538" t="e">
        <v>#N/A</v>
      </c>
      <c r="T156" s="3538" t="e">
        <v>#N/A</v>
      </c>
      <c r="U156" s="2516" t="e">
        <v>#N/A</v>
      </c>
    </row>
  </sheetData>
  <hyperlinks>
    <hyperlink ref="A5" location="INDICE!A13" display="VOLVER AL INDICE" xr:uid="{00000000-0004-0000-0600-000000000000}"/>
  </hyperlinks>
  <pageMargins left="0.75" right="0.75" top="1" bottom="1" header="0" footer="0"/>
  <pageSetup orientation="portrait" r:id="rId1"/>
  <headerFooter alignWithMargins="0"/>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37">
    <pageSetUpPr autoPageBreaks="0"/>
  </sheetPr>
  <dimension ref="A1:F429"/>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9.5703125" defaultRowHeight="12.75"/>
  <cols>
    <col min="1" max="1" width="9" style="21" customWidth="1"/>
    <col min="2" max="3" width="16.42578125" style="21" customWidth="1"/>
    <col min="4" max="5" width="16.42578125" style="6" customWidth="1"/>
    <col min="6" max="16384" width="19.5703125" style="6"/>
  </cols>
  <sheetData>
    <row r="1" spans="1:5" ht="6.6" customHeight="1">
      <c r="A1" s="2761"/>
      <c r="B1" s="95"/>
      <c r="C1" s="1519"/>
      <c r="D1" s="1520"/>
      <c r="E1" s="1521"/>
    </row>
    <row r="2" spans="1:5">
      <c r="A2" s="2762" t="s">
        <v>99</v>
      </c>
      <c r="B2" s="56" t="s">
        <v>1863</v>
      </c>
      <c r="C2" s="2824"/>
      <c r="D2" s="2736" t="s">
        <v>1864</v>
      </c>
      <c r="E2" s="2998"/>
    </row>
    <row r="3" spans="1:5">
      <c r="A3" s="2762" t="s">
        <v>104</v>
      </c>
      <c r="B3" s="56" t="s">
        <v>1865</v>
      </c>
      <c r="C3" s="2824"/>
      <c r="D3" s="2736"/>
      <c r="E3" s="2998"/>
    </row>
    <row r="4" spans="1:5">
      <c r="A4" s="2762"/>
      <c r="B4" s="66"/>
      <c r="C4" s="67"/>
      <c r="D4" s="1522"/>
      <c r="E4" s="68"/>
    </row>
    <row r="5" spans="1:5" ht="22.5">
      <c r="A5" s="2867" t="s">
        <v>140</v>
      </c>
      <c r="B5" s="1523" t="s">
        <v>1866</v>
      </c>
      <c r="C5" s="3052"/>
      <c r="D5" s="2816" t="s">
        <v>1867</v>
      </c>
      <c r="E5" s="2747"/>
    </row>
    <row r="6" spans="1:5" ht="3" hidden="1" customHeight="1">
      <c r="A6" s="2762"/>
      <c r="B6" s="66"/>
      <c r="C6" s="67"/>
      <c r="D6" s="880"/>
      <c r="E6" s="68"/>
    </row>
    <row r="7" spans="1:5" ht="22.5">
      <c r="A7" s="2762" t="s">
        <v>125</v>
      </c>
      <c r="B7" s="2758" t="s">
        <v>1868</v>
      </c>
      <c r="C7" s="2061" t="s">
        <v>1826</v>
      </c>
      <c r="D7" s="2758" t="s">
        <v>594</v>
      </c>
      <c r="E7" s="2068" t="s">
        <v>1826</v>
      </c>
    </row>
    <row r="8" spans="1:5">
      <c r="A8" s="3002" t="s">
        <v>144</v>
      </c>
      <c r="B8" s="2281" t="s">
        <v>1869</v>
      </c>
      <c r="C8" s="2288" t="s">
        <v>1870</v>
      </c>
      <c r="D8" s="3031" t="s">
        <v>1871</v>
      </c>
      <c r="E8" s="2286" t="s">
        <v>1872</v>
      </c>
    </row>
    <row r="9" spans="1:5" ht="13.5" thickBot="1">
      <c r="A9" s="2140"/>
      <c r="B9" s="1337"/>
      <c r="C9" s="1524"/>
      <c r="D9" s="1525"/>
      <c r="E9" s="1526"/>
    </row>
    <row r="10" spans="1:5">
      <c r="A10" s="1673">
        <v>1996.01</v>
      </c>
      <c r="B10" s="1674">
        <v>1.56934914524705</v>
      </c>
      <c r="C10" s="1675"/>
      <c r="D10" s="1676"/>
      <c r="E10" s="1528"/>
    </row>
    <row r="11" spans="1:5">
      <c r="A11" s="81">
        <v>1996.02</v>
      </c>
      <c r="B11" s="831">
        <v>1.5600821252133916</v>
      </c>
      <c r="C11" s="1529">
        <f>B11/B10-1</f>
        <v>-5.9050084945880821E-3</v>
      </c>
      <c r="D11" s="1527"/>
      <c r="E11" s="3123"/>
    </row>
    <row r="12" spans="1:5">
      <c r="A12" s="81">
        <v>1996.03</v>
      </c>
      <c r="B12" s="831">
        <v>1.554082885475268</v>
      </c>
      <c r="C12" s="2401">
        <f>B12/B11-1</f>
        <v>-3.8454640567739951E-3</v>
      </c>
      <c r="D12" s="1527"/>
      <c r="E12" s="3123"/>
    </row>
    <row r="13" spans="1:5">
      <c r="A13" s="81">
        <v>1996.04</v>
      </c>
      <c r="B13" s="831">
        <v>1.5618673938103547</v>
      </c>
      <c r="C13" s="2401">
        <f t="shared" ref="C13:C75" si="0">B13/B12-1</f>
        <v>5.0090689549715517E-3</v>
      </c>
      <c r="D13" s="1527"/>
      <c r="E13" s="3123"/>
    </row>
    <row r="14" spans="1:5">
      <c r="A14" s="81">
        <v>1996.05</v>
      </c>
      <c r="B14" s="831">
        <v>1.5622364732029572</v>
      </c>
      <c r="C14" s="2401">
        <f t="shared" si="0"/>
        <v>2.3630648419015188E-4</v>
      </c>
      <c r="D14" s="1527"/>
      <c r="E14" s="3123"/>
    </row>
    <row r="15" spans="1:5">
      <c r="A15" s="81">
        <v>1996.06</v>
      </c>
      <c r="B15" s="831">
        <v>1.5666349085022704</v>
      </c>
      <c r="C15" s="2401">
        <f t="shared" si="0"/>
        <v>2.8154734412872973E-3</v>
      </c>
      <c r="D15" s="1527"/>
      <c r="E15" s="3123"/>
    </row>
    <row r="16" spans="1:5">
      <c r="A16" s="81">
        <v>1996.07</v>
      </c>
      <c r="B16" s="831">
        <v>1.5628599650790398</v>
      </c>
      <c r="C16" s="2401">
        <f t="shared" si="0"/>
        <v>-2.4095872004024077E-3</v>
      </c>
      <c r="D16" s="1527"/>
      <c r="E16" s="3123"/>
    </row>
    <row r="17" spans="1:5">
      <c r="A17" s="81">
        <v>1996.08</v>
      </c>
      <c r="B17" s="831">
        <v>1.5596343350702593</v>
      </c>
      <c r="C17" s="2401">
        <f t="shared" si="0"/>
        <v>-2.0639277227997299E-3</v>
      </c>
      <c r="D17" s="1527"/>
      <c r="E17" s="3123"/>
    </row>
    <row r="18" spans="1:5">
      <c r="A18" s="81">
        <v>1996.09</v>
      </c>
      <c r="B18" s="831">
        <v>1.5646209103922493</v>
      </c>
      <c r="C18" s="2401">
        <f t="shared" si="0"/>
        <v>3.1972720847834868E-3</v>
      </c>
      <c r="D18" s="1527"/>
      <c r="E18" s="3123"/>
    </row>
    <row r="19" spans="1:5">
      <c r="A19" s="81">
        <v>1996.1</v>
      </c>
      <c r="B19" s="831">
        <v>1.5626951408394449</v>
      </c>
      <c r="C19" s="2401">
        <f t="shared" si="0"/>
        <v>-1.2308218176130259E-3</v>
      </c>
      <c r="D19" s="1527"/>
      <c r="E19" s="3123"/>
    </row>
    <row r="20" spans="1:5">
      <c r="A20" s="81">
        <v>1996.11</v>
      </c>
      <c r="B20" s="831">
        <v>1.5674529866483784</v>
      </c>
      <c r="C20" s="2401">
        <f t="shared" si="0"/>
        <v>3.0446410720761374E-3</v>
      </c>
      <c r="D20" s="1527"/>
      <c r="E20" s="3123"/>
    </row>
    <row r="21" spans="1:5">
      <c r="A21" s="81">
        <v>1996.12</v>
      </c>
      <c r="B21" s="831">
        <v>1.5656634879151106</v>
      </c>
      <c r="C21" s="2401">
        <f t="shared" si="0"/>
        <v>-1.1416602274587628E-3</v>
      </c>
      <c r="D21" s="1527"/>
      <c r="E21" s="3123"/>
    </row>
    <row r="22" spans="1:5">
      <c r="A22" s="81">
        <v>1997.01</v>
      </c>
      <c r="B22" s="831">
        <v>1.5633624448415433</v>
      </c>
      <c r="C22" s="2401">
        <f t="shared" si="0"/>
        <v>-1.4696919812771103E-3</v>
      </c>
      <c r="D22" s="1527"/>
      <c r="E22" s="3123"/>
    </row>
    <row r="23" spans="1:5">
      <c r="A23" s="81">
        <v>1997.02</v>
      </c>
      <c r="B23" s="831">
        <v>1.5717778477912454</v>
      </c>
      <c r="C23" s="2401">
        <f t="shared" si="0"/>
        <v>5.3828867243610468E-3</v>
      </c>
      <c r="D23" s="1527"/>
      <c r="E23" s="3123"/>
    </row>
    <row r="24" spans="1:5">
      <c r="A24" s="81">
        <v>1997.03</v>
      </c>
      <c r="B24" s="831">
        <v>1.5812198141763687</v>
      </c>
      <c r="C24" s="2401">
        <f t="shared" si="0"/>
        <v>6.0071888647570404E-3</v>
      </c>
      <c r="D24" s="1527"/>
      <c r="E24" s="3123"/>
    </row>
    <row r="25" spans="1:5">
      <c r="A25" s="81">
        <v>1997.04</v>
      </c>
      <c r="B25" s="831">
        <v>1.5802156100328455</v>
      </c>
      <c r="C25" s="2401">
        <f t="shared" si="0"/>
        <v>-6.3508193770411836E-4</v>
      </c>
      <c r="D25" s="1527"/>
      <c r="E25" s="3123"/>
    </row>
    <row r="26" spans="1:5">
      <c r="A26" s="81">
        <v>1997.05</v>
      </c>
      <c r="B26" s="831">
        <v>1.5782765457659398</v>
      </c>
      <c r="C26" s="2401">
        <f t="shared" si="0"/>
        <v>-1.2270884141344363E-3</v>
      </c>
      <c r="D26" s="1527"/>
      <c r="E26" s="3123"/>
    </row>
    <row r="27" spans="1:5">
      <c r="A27" s="81">
        <v>1997.06</v>
      </c>
      <c r="B27" s="831">
        <v>1.5833478748903249</v>
      </c>
      <c r="C27" s="2401">
        <f t="shared" si="0"/>
        <v>3.213206923710521E-3</v>
      </c>
      <c r="D27" s="1527"/>
      <c r="E27" s="3123"/>
    </row>
    <row r="28" spans="1:5">
      <c r="A28" s="81">
        <v>1997.07</v>
      </c>
      <c r="B28" s="831">
        <v>1.5616756779899656</v>
      </c>
      <c r="C28" s="2401">
        <f t="shared" si="0"/>
        <v>-1.3687577596843914E-2</v>
      </c>
      <c r="D28" s="1527"/>
      <c r="E28" s="3123"/>
    </row>
    <row r="29" spans="1:5">
      <c r="A29" s="81">
        <v>1997.08</v>
      </c>
      <c r="B29" s="831">
        <v>1.5600138387273277</v>
      </c>
      <c r="C29" s="2401">
        <f t="shared" si="0"/>
        <v>-1.0641385314887897E-3</v>
      </c>
      <c r="D29" s="1527"/>
      <c r="E29" s="3123"/>
    </row>
    <row r="30" spans="1:5">
      <c r="A30" s="81">
        <v>1997.09</v>
      </c>
      <c r="B30" s="831">
        <v>1.5538197105665854</v>
      </c>
      <c r="C30" s="2401">
        <f t="shared" si="0"/>
        <v>-3.970559752082381E-3</v>
      </c>
      <c r="D30" s="1527"/>
      <c r="E30" s="3123"/>
    </row>
    <row r="31" spans="1:5">
      <c r="A31" s="81">
        <v>1997.1</v>
      </c>
      <c r="B31" s="831">
        <v>1.5305124149080866</v>
      </c>
      <c r="C31" s="2401">
        <f t="shared" si="0"/>
        <v>-1.5000000000000013E-2</v>
      </c>
      <c r="D31" s="1527"/>
      <c r="E31" s="3123"/>
    </row>
    <row r="32" spans="1:5">
      <c r="A32" s="81">
        <v>1997.11</v>
      </c>
      <c r="B32" s="831">
        <v>1.5274513900782705</v>
      </c>
      <c r="C32" s="2401">
        <f t="shared" si="0"/>
        <v>-2.0000000000000018E-3</v>
      </c>
      <c r="D32" s="1527"/>
      <c r="E32" s="3123"/>
    </row>
    <row r="33" spans="1:5">
      <c r="A33" s="81">
        <v>1997.12</v>
      </c>
      <c r="B33" s="831">
        <v>1.5752725446842766</v>
      </c>
      <c r="C33" s="2401">
        <f t="shared" si="0"/>
        <v>3.1307807840323942E-2</v>
      </c>
      <c r="D33" s="1527"/>
      <c r="E33" s="3123"/>
    </row>
    <row r="34" spans="1:5">
      <c r="A34" s="81">
        <v>1998.01</v>
      </c>
      <c r="B34" s="831">
        <v>1.5727042476420179</v>
      </c>
      <c r="C34" s="2401">
        <f t="shared" si="0"/>
        <v>-1.6303826604008309E-3</v>
      </c>
      <c r="D34" s="1527"/>
      <c r="E34" s="3123"/>
    </row>
    <row r="35" spans="1:5">
      <c r="A35" s="81">
        <v>1998.02</v>
      </c>
      <c r="B35" s="831">
        <v>1.5727042476420179</v>
      </c>
      <c r="C35" s="2401">
        <f t="shared" si="0"/>
        <v>0</v>
      </c>
      <c r="D35" s="1527"/>
      <c r="E35" s="3123"/>
    </row>
    <row r="36" spans="1:5">
      <c r="A36" s="81">
        <v>1998.03</v>
      </c>
      <c r="B36" s="831">
        <v>1.5787472995061562</v>
      </c>
      <c r="C36" s="2401">
        <f t="shared" si="0"/>
        <v>3.842459173871271E-3</v>
      </c>
      <c r="D36" s="1527"/>
      <c r="E36" s="3123"/>
    </row>
    <row r="37" spans="1:5">
      <c r="A37" s="81">
        <v>1998.04</v>
      </c>
      <c r="B37" s="831">
        <v>1.5802580624721907</v>
      </c>
      <c r="C37" s="2401">
        <f t="shared" si="0"/>
        <v>9.5693779904304499E-4</v>
      </c>
      <c r="D37" s="1527"/>
      <c r="E37" s="3123"/>
    </row>
    <row r="38" spans="1:5">
      <c r="A38" s="81">
        <v>1998.05</v>
      </c>
      <c r="B38" s="831">
        <v>1.5802580624721907</v>
      </c>
      <c r="C38" s="2401">
        <f t="shared" si="0"/>
        <v>0</v>
      </c>
      <c r="D38" s="1527"/>
      <c r="E38" s="3123"/>
    </row>
    <row r="39" spans="1:5">
      <c r="A39" s="81">
        <v>1998.06</v>
      </c>
      <c r="B39" s="831">
        <v>1.5818383205346627</v>
      </c>
      <c r="C39" s="2401">
        <f t="shared" si="0"/>
        <v>9.9999999999988987E-4</v>
      </c>
      <c r="D39" s="1527"/>
      <c r="E39" s="3123"/>
    </row>
    <row r="40" spans="1:5">
      <c r="A40" s="81">
        <v>1998.07</v>
      </c>
      <c r="B40" s="831">
        <v>1.583420158855197</v>
      </c>
      <c r="C40" s="2401">
        <f t="shared" si="0"/>
        <v>9.9999999999988987E-4</v>
      </c>
      <c r="D40" s="1527"/>
      <c r="E40" s="3123"/>
    </row>
    <row r="41" spans="1:5">
      <c r="A41" s="81">
        <v>1998.08</v>
      </c>
      <c r="B41" s="831">
        <v>1.5865869991729078</v>
      </c>
      <c r="C41" s="2401">
        <f t="shared" si="0"/>
        <v>2.0000000000002238E-3</v>
      </c>
      <c r="D41" s="1527"/>
      <c r="E41" s="3123"/>
    </row>
    <row r="42" spans="1:5">
      <c r="A42" s="81">
        <v>1998.09</v>
      </c>
      <c r="B42" s="831">
        <v>1.5876348565157115</v>
      </c>
      <c r="C42" s="2401">
        <f t="shared" si="0"/>
        <v>6.6044745314930431E-4</v>
      </c>
      <c r="D42" s="1527"/>
      <c r="E42" s="3123"/>
    </row>
    <row r="43" spans="1:5">
      <c r="A43" s="81">
        <v>1998.1</v>
      </c>
      <c r="B43" s="831">
        <v>1.5876348565157115</v>
      </c>
      <c r="C43" s="2401">
        <f t="shared" si="0"/>
        <v>0</v>
      </c>
      <c r="D43" s="1527"/>
      <c r="E43" s="3123"/>
    </row>
    <row r="44" spans="1:5">
      <c r="A44" s="81">
        <v>1998.11</v>
      </c>
      <c r="B44" s="831">
        <v>1.5861940526693561</v>
      </c>
      <c r="C44" s="2401">
        <f t="shared" si="0"/>
        <v>-9.0751588152793161E-4</v>
      </c>
      <c r="D44" s="1527"/>
      <c r="E44" s="3123"/>
    </row>
    <row r="45" spans="1:5">
      <c r="A45" s="81">
        <v>1998.12</v>
      </c>
      <c r="B45" s="831">
        <v>1.5755844970734671</v>
      </c>
      <c r="C45" s="2401">
        <f t="shared" si="0"/>
        <v>-6.6886870355077344E-3</v>
      </c>
      <c r="D45" s="1527"/>
      <c r="E45" s="3123"/>
    </row>
    <row r="46" spans="1:5">
      <c r="A46" s="81">
        <v>1999.01</v>
      </c>
      <c r="B46" s="831">
        <v>1.5755844970734671</v>
      </c>
      <c r="C46" s="2401">
        <f t="shared" si="0"/>
        <v>0</v>
      </c>
      <c r="D46" s="1527"/>
      <c r="E46" s="3123"/>
    </row>
    <row r="47" spans="1:5">
      <c r="A47" s="81">
        <v>1999.02</v>
      </c>
      <c r="B47" s="831">
        <v>1.5861940526693561</v>
      </c>
      <c r="C47" s="2401">
        <f t="shared" si="0"/>
        <v>6.7337268268350403E-3</v>
      </c>
      <c r="D47" s="1527"/>
      <c r="E47" s="3123"/>
    </row>
    <row r="48" spans="1:5">
      <c r="A48" s="81">
        <v>1999.03</v>
      </c>
      <c r="B48" s="831">
        <v>1.5885517316906648</v>
      </c>
      <c r="C48" s="2401">
        <f t="shared" si="0"/>
        <v>1.4863748967794965E-3</v>
      </c>
      <c r="D48" s="1527"/>
      <c r="E48" s="3123"/>
    </row>
    <row r="49" spans="1:5">
      <c r="A49" s="81">
        <v>1999.04</v>
      </c>
      <c r="B49" s="831">
        <v>1.5834696235780661</v>
      </c>
      <c r="C49" s="2401">
        <f t="shared" si="0"/>
        <v>-3.1992084432717061E-3</v>
      </c>
      <c r="D49" s="1527"/>
      <c r="E49" s="3123"/>
    </row>
    <row r="50" spans="1:5">
      <c r="A50" s="81">
        <v>1999.05</v>
      </c>
      <c r="B50" s="831">
        <v>1.5774182474233738</v>
      </c>
      <c r="C50" s="2401">
        <f t="shared" si="0"/>
        <v>-3.8215928266551735E-3</v>
      </c>
      <c r="D50" s="1527"/>
      <c r="E50" s="3123"/>
    </row>
    <row r="51" spans="1:5">
      <c r="A51" s="81">
        <v>1999.06</v>
      </c>
      <c r="B51" s="831">
        <v>1.5744056575628127</v>
      </c>
      <c r="C51" s="2401">
        <f t="shared" si="0"/>
        <v>-1.9098231337706384E-3</v>
      </c>
      <c r="D51" s="1527"/>
      <c r="E51" s="3123"/>
    </row>
    <row r="52" spans="1:5">
      <c r="A52" s="81">
        <v>1999.07</v>
      </c>
      <c r="B52" s="831">
        <v>1.5730958358843079</v>
      </c>
      <c r="C52" s="2401">
        <f t="shared" si="0"/>
        <v>-8.3194675540765317E-4</v>
      </c>
      <c r="D52" s="1527"/>
      <c r="E52" s="3123"/>
    </row>
    <row r="53" spans="1:5">
      <c r="A53" s="81">
        <v>1999.08</v>
      </c>
      <c r="B53" s="831">
        <v>1.5730958358843079</v>
      </c>
      <c r="C53" s="2401">
        <f t="shared" si="0"/>
        <v>0</v>
      </c>
      <c r="D53" s="1527"/>
      <c r="E53" s="3123"/>
    </row>
    <row r="54" spans="1:5">
      <c r="A54" s="81">
        <v>1999.09</v>
      </c>
      <c r="B54" s="831">
        <v>1.5740127110592614</v>
      </c>
      <c r="C54" s="2401">
        <f t="shared" si="0"/>
        <v>5.8284762697757841E-4</v>
      </c>
      <c r="D54" s="1527"/>
      <c r="E54" s="3123"/>
    </row>
    <row r="55" spans="1:5">
      <c r="A55" s="81">
        <v>1999.1</v>
      </c>
      <c r="B55" s="831">
        <v>1.5704761925272981</v>
      </c>
      <c r="C55" s="2401">
        <f t="shared" si="0"/>
        <v>-2.2468170092371231E-3</v>
      </c>
      <c r="D55" s="1527"/>
      <c r="E55" s="3123"/>
    </row>
    <row r="56" spans="1:5">
      <c r="A56" s="81">
        <v>1999.11</v>
      </c>
      <c r="B56" s="831">
        <v>1.5691663708487933</v>
      </c>
      <c r="C56" s="2401">
        <f t="shared" si="0"/>
        <v>-8.3402835696411159E-4</v>
      </c>
      <c r="D56" s="1527"/>
      <c r="E56" s="3123"/>
    </row>
    <row r="57" spans="1:5">
      <c r="A57" s="81">
        <v>1999.12</v>
      </c>
      <c r="B57" s="831">
        <v>1.5683804778416903</v>
      </c>
      <c r="C57" s="2401">
        <f t="shared" si="0"/>
        <v>-5.0083472454098832E-4</v>
      </c>
      <c r="D57" s="1527"/>
      <c r="E57" s="3123"/>
    </row>
    <row r="58" spans="1:5">
      <c r="A58" s="81">
        <v>2000.01</v>
      </c>
      <c r="B58" s="831">
        <v>1.5844912844873</v>
      </c>
      <c r="C58" s="2401">
        <f t="shared" si="0"/>
        <v>1.0272256555871273E-2</v>
      </c>
      <c r="D58" s="1527"/>
      <c r="E58" s="3123"/>
    </row>
    <row r="59" spans="1:5">
      <c r="A59" s="81">
        <v>2000.02</v>
      </c>
      <c r="B59" s="831">
        <v>1.5861940526693561</v>
      </c>
      <c r="C59" s="2401">
        <f t="shared" si="0"/>
        <v>1.0746466065965077E-3</v>
      </c>
      <c r="D59" s="1527"/>
      <c r="E59" s="3123"/>
    </row>
    <row r="60" spans="1:5">
      <c r="A60" s="81">
        <v>2000.03</v>
      </c>
      <c r="B60" s="831">
        <v>1.5827885163052435</v>
      </c>
      <c r="C60" s="2401">
        <f t="shared" si="0"/>
        <v>-2.1469859620149023E-3</v>
      </c>
      <c r="D60" s="1527"/>
      <c r="E60" s="3123"/>
    </row>
    <row r="61" spans="1:5">
      <c r="A61" s="81">
        <v>2000.04</v>
      </c>
      <c r="B61" s="831">
        <v>1.5848842309908513</v>
      </c>
      <c r="C61" s="2401">
        <f t="shared" si="0"/>
        <v>1.324064879179021E-3</v>
      </c>
      <c r="D61" s="1527"/>
      <c r="E61" s="3123"/>
    </row>
    <row r="62" spans="1:5">
      <c r="A62" s="81">
        <v>2000.05</v>
      </c>
      <c r="B62" s="831">
        <v>1.5822645876338415</v>
      </c>
      <c r="C62" s="2401">
        <f t="shared" si="0"/>
        <v>-1.6528925619835322E-3</v>
      </c>
      <c r="D62" s="1527"/>
      <c r="E62" s="3123"/>
    </row>
    <row r="63" spans="1:5">
      <c r="A63" s="81">
        <v>2000.06</v>
      </c>
      <c r="B63" s="831">
        <v>1.5767633365841214</v>
      </c>
      <c r="C63" s="2401">
        <f t="shared" si="0"/>
        <v>-3.4768211920528369E-3</v>
      </c>
      <c r="D63" s="1527"/>
      <c r="E63" s="3123"/>
    </row>
    <row r="64" spans="1:5">
      <c r="A64" s="81">
        <v>2000.07</v>
      </c>
      <c r="B64" s="831">
        <v>1.5729648537164576</v>
      </c>
      <c r="C64" s="2401">
        <f t="shared" si="0"/>
        <v>-2.4090380461869731E-3</v>
      </c>
      <c r="D64" s="1527"/>
      <c r="E64" s="3123"/>
    </row>
    <row r="65" spans="1:5">
      <c r="A65" s="81">
        <v>2000.08</v>
      </c>
      <c r="B65" s="831">
        <v>1.5730958358843079</v>
      </c>
      <c r="C65" s="2401">
        <f t="shared" si="0"/>
        <v>8.3270880173014206E-5</v>
      </c>
      <c r="D65" s="1527"/>
      <c r="E65" s="3123"/>
    </row>
    <row r="66" spans="1:5">
      <c r="A66" s="81">
        <v>2000.09</v>
      </c>
      <c r="B66" s="831">
        <v>1.5744056575628127</v>
      </c>
      <c r="C66" s="2401">
        <f t="shared" si="0"/>
        <v>8.3263946711076287E-4</v>
      </c>
      <c r="D66" s="1527"/>
      <c r="E66" s="3123"/>
    </row>
    <row r="67" spans="1:5">
      <c r="A67" s="81">
        <v>2000.1</v>
      </c>
      <c r="B67" s="831">
        <v>1.5728312519052501</v>
      </c>
      <c r="C67" s="2401">
        <f t="shared" si="0"/>
        <v>-9.9999999999988987E-4</v>
      </c>
      <c r="D67" s="1527"/>
      <c r="E67" s="3123"/>
    </row>
    <row r="68" spans="1:5">
      <c r="A68" s="81">
        <v>2000.11</v>
      </c>
      <c r="B68" s="831">
        <v>1.5784661047661777</v>
      </c>
      <c r="C68" s="2401">
        <f t="shared" si="0"/>
        <v>3.582617559322987E-3</v>
      </c>
      <c r="D68" s="1527"/>
      <c r="E68" s="3123"/>
    </row>
    <row r="69" spans="1:5">
      <c r="A69" s="81">
        <v>2000.12</v>
      </c>
      <c r="B69" s="831">
        <v>1.5689960940305878</v>
      </c>
      <c r="C69" s="2401">
        <f t="shared" si="0"/>
        <v>-5.9995021160068607E-3</v>
      </c>
      <c r="D69" s="1527"/>
      <c r="E69" s="3123"/>
    </row>
    <row r="70" spans="1:5">
      <c r="A70" s="81">
        <v>2001.01</v>
      </c>
      <c r="B70" s="831">
        <v>1.5666425998895419</v>
      </c>
      <c r="C70" s="2401">
        <f t="shared" si="0"/>
        <v>-1.5000000000000568E-3</v>
      </c>
      <c r="D70" s="1527"/>
      <c r="E70" s="3123"/>
    </row>
    <row r="71" spans="1:5">
      <c r="A71" s="81">
        <v>2001.02</v>
      </c>
      <c r="B71" s="831">
        <v>1.5662847631560828</v>
      </c>
      <c r="C71" s="2401">
        <f t="shared" si="0"/>
        <v>-2.2840993439365853E-4</v>
      </c>
      <c r="D71" s="1527"/>
      <c r="E71" s="3123"/>
    </row>
    <row r="72" spans="1:5">
      <c r="A72" s="81">
        <v>2001.03</v>
      </c>
      <c r="B72" s="831">
        <v>1.5647184783929267</v>
      </c>
      <c r="C72" s="2401">
        <f t="shared" si="0"/>
        <v>-1.0000000000000009E-3</v>
      </c>
      <c r="D72" s="1527"/>
      <c r="E72" s="3123"/>
    </row>
    <row r="73" spans="1:5">
      <c r="A73" s="81">
        <v>2001.04</v>
      </c>
      <c r="B73" s="831">
        <v>1.5617455132839801</v>
      </c>
      <c r="C73" s="2401">
        <f t="shared" si="0"/>
        <v>-1.9000000000000128E-3</v>
      </c>
      <c r="D73" s="1527"/>
      <c r="E73" s="3123"/>
    </row>
    <row r="74" spans="1:5">
      <c r="A74" s="81">
        <v>2001.05</v>
      </c>
      <c r="B74" s="831">
        <v>1.5653375279645332</v>
      </c>
      <c r="C74" s="2401">
        <f t="shared" si="0"/>
        <v>2.2999999999999687E-3</v>
      </c>
      <c r="D74" s="1527"/>
      <c r="E74" s="3123"/>
    </row>
    <row r="75" spans="1:5">
      <c r="A75" s="81">
        <v>2001.06</v>
      </c>
      <c r="B75" s="831">
        <v>1.5640852579421616</v>
      </c>
      <c r="C75" s="2401">
        <f t="shared" si="0"/>
        <v>-8.0000000000002292E-4</v>
      </c>
      <c r="D75" s="1527"/>
      <c r="E75" s="3123"/>
    </row>
    <row r="76" spans="1:5">
      <c r="A76" s="81">
        <v>2001.07</v>
      </c>
      <c r="B76" s="831">
        <v>1.5561084231266564</v>
      </c>
      <c r="C76" s="2401">
        <f t="shared" ref="C76:C139" si="1">B76/B75-1</f>
        <v>-5.1000000000001044E-3</v>
      </c>
      <c r="D76" s="1527"/>
      <c r="E76" s="3123"/>
    </row>
    <row r="77" spans="1:5">
      <c r="A77" s="81">
        <v>2001.08</v>
      </c>
      <c r="B77" s="831">
        <v>1.5553303689150932</v>
      </c>
      <c r="C77" s="2401">
        <f t="shared" si="1"/>
        <v>-4.9999999999994493E-4</v>
      </c>
      <c r="D77" s="1527"/>
      <c r="E77" s="3123"/>
    </row>
    <row r="78" spans="1:5">
      <c r="A78" s="81">
        <v>2001.09</v>
      </c>
      <c r="B78" s="831">
        <v>1.5503533117345649</v>
      </c>
      <c r="C78" s="2401">
        <f t="shared" si="1"/>
        <v>-3.1999999999999806E-3</v>
      </c>
      <c r="D78" s="1527"/>
      <c r="E78" s="3123"/>
    </row>
    <row r="79" spans="1:5">
      <c r="A79" s="81">
        <v>2001.1</v>
      </c>
      <c r="B79" s="831">
        <v>1.5452371458058405</v>
      </c>
      <c r="C79" s="2401">
        <f t="shared" si="1"/>
        <v>-3.3000000000001917E-3</v>
      </c>
      <c r="D79" s="1527"/>
      <c r="E79" s="3123"/>
    </row>
    <row r="80" spans="1:5">
      <c r="A80" s="81">
        <v>2001.11</v>
      </c>
      <c r="B80" s="831">
        <v>1.545855240664163</v>
      </c>
      <c r="C80" s="2401">
        <f t="shared" si="1"/>
        <v>4.0000000000017799E-4</v>
      </c>
      <c r="D80" s="1527"/>
      <c r="E80" s="3123"/>
    </row>
    <row r="81" spans="1:5">
      <c r="A81" s="81">
        <v>2001.12</v>
      </c>
      <c r="B81" s="831">
        <v>1.5426089446587683</v>
      </c>
      <c r="C81" s="2401">
        <f t="shared" si="1"/>
        <v>-2.0999999999999908E-3</v>
      </c>
      <c r="D81" s="1527"/>
      <c r="E81" s="3123"/>
    </row>
    <row r="82" spans="1:5">
      <c r="A82" s="81">
        <v>2002.01</v>
      </c>
      <c r="B82" s="831">
        <v>1.5586520776832196</v>
      </c>
      <c r="C82" s="2401">
        <f t="shared" si="1"/>
        <v>1.0399999999999965E-2</v>
      </c>
      <c r="D82" s="1527"/>
      <c r="E82" s="3123"/>
    </row>
    <row r="83" spans="1:5">
      <c r="A83" s="81">
        <v>2002.02</v>
      </c>
      <c r="B83" s="831">
        <v>1.612113843947754</v>
      </c>
      <c r="C83" s="2401">
        <f t="shared" si="1"/>
        <v>3.4299999999999997E-2</v>
      </c>
      <c r="D83" s="1527"/>
      <c r="E83" s="3123"/>
    </row>
    <row r="84" spans="1:5">
      <c r="A84" s="81">
        <v>2002.03</v>
      </c>
      <c r="B84" s="831">
        <v>1.6943316499890893</v>
      </c>
      <c r="C84" s="2401">
        <f t="shared" si="1"/>
        <v>5.0999999999999934E-2</v>
      </c>
      <c r="D84" s="1527"/>
      <c r="E84" s="3123"/>
    </row>
    <row r="85" spans="1:5">
      <c r="A85" s="81">
        <v>2002.04</v>
      </c>
      <c r="B85" s="831">
        <v>1.8369943749181705</v>
      </c>
      <c r="C85" s="2401">
        <f t="shared" si="1"/>
        <v>8.4200000000000053E-2</v>
      </c>
      <c r="D85" s="1527"/>
      <c r="E85" s="3123"/>
    </row>
    <row r="86" spans="1:5">
      <c r="A86" s="81">
        <v>2002.05</v>
      </c>
      <c r="B86" s="831">
        <v>1.9242516077267839</v>
      </c>
      <c r="C86" s="2401">
        <f t="shared" si="1"/>
        <v>4.7500000000000098E-2</v>
      </c>
      <c r="D86" s="1527"/>
      <c r="E86" s="3123"/>
    </row>
    <row r="87" spans="1:5">
      <c r="A87" s="81">
        <v>2002.06</v>
      </c>
      <c r="B87" s="831">
        <v>1.9916004139972212</v>
      </c>
      <c r="C87" s="2401">
        <f t="shared" si="1"/>
        <v>3.499999999999992E-2</v>
      </c>
      <c r="D87" s="1527"/>
      <c r="E87" s="3123"/>
    </row>
    <row r="88" spans="1:5">
      <c r="A88" s="81">
        <v>2002.07</v>
      </c>
      <c r="B88" s="831">
        <v>2.0632980289011211</v>
      </c>
      <c r="C88" s="2401">
        <f t="shared" si="1"/>
        <v>3.6000000000000032E-2</v>
      </c>
      <c r="D88" s="1527"/>
      <c r="E88" s="3123"/>
    </row>
    <row r="89" spans="1:5">
      <c r="A89" s="81">
        <v>2002.08</v>
      </c>
      <c r="B89" s="831">
        <v>2.1169437776525508</v>
      </c>
      <c r="C89" s="2401">
        <f t="shared" si="1"/>
        <v>2.6000000000000245E-2</v>
      </c>
      <c r="D89" s="1527"/>
      <c r="E89" s="3123"/>
    </row>
    <row r="90" spans="1:5">
      <c r="A90" s="81">
        <v>2002.09</v>
      </c>
      <c r="B90" s="831">
        <v>2.1379015210513108</v>
      </c>
      <c r="C90" s="2401">
        <f t="shared" si="1"/>
        <v>9.8999999999997979E-3</v>
      </c>
      <c r="D90" s="1527"/>
      <c r="E90" s="3123"/>
    </row>
    <row r="91" spans="1:5">
      <c r="A91" s="81">
        <v>2002.1</v>
      </c>
      <c r="B91" s="831">
        <v>2.1663356112812933</v>
      </c>
      <c r="C91" s="2401">
        <f t="shared" si="1"/>
        <v>1.330000000000009E-2</v>
      </c>
      <c r="D91" s="1527"/>
      <c r="E91" s="3123"/>
    </row>
    <row r="92" spans="1:5">
      <c r="A92" s="81">
        <v>2002.11</v>
      </c>
      <c r="B92" s="831">
        <v>2.1860492653439532</v>
      </c>
      <c r="C92" s="2401">
        <f t="shared" si="1"/>
        <v>9.100000000000108E-3</v>
      </c>
      <c r="D92" s="1527"/>
      <c r="E92" s="3123"/>
    </row>
    <row r="93" spans="1:5">
      <c r="A93" s="81">
        <v>2002.12</v>
      </c>
      <c r="B93" s="831">
        <v>2.1891097343154349</v>
      </c>
      <c r="C93" s="2401">
        <f t="shared" si="1"/>
        <v>1.4000000000000679E-3</v>
      </c>
      <c r="D93" s="1527"/>
      <c r="E93" s="3123"/>
    </row>
    <row r="94" spans="1:5">
      <c r="A94" s="81">
        <v>2003.01</v>
      </c>
      <c r="B94" s="831">
        <v>2.214941229180357</v>
      </c>
      <c r="C94" s="2401">
        <f t="shared" si="1"/>
        <v>1.1800000000000033E-2</v>
      </c>
      <c r="D94" s="1527"/>
      <c r="E94" s="3123"/>
    </row>
    <row r="95" spans="1:5">
      <c r="A95" s="81">
        <v>2003.02</v>
      </c>
      <c r="B95" s="831">
        <v>2.2404130533159314</v>
      </c>
      <c r="C95" s="2401">
        <f t="shared" si="1"/>
        <v>1.1500000000000066E-2</v>
      </c>
      <c r="D95" s="1527"/>
      <c r="E95" s="3123"/>
    </row>
    <row r="96" spans="1:5">
      <c r="A96" s="81">
        <v>2003.03</v>
      </c>
      <c r="B96" s="831">
        <v>2.2424294250639147</v>
      </c>
      <c r="C96" s="2401">
        <f t="shared" si="1"/>
        <v>8.9999999999945679E-4</v>
      </c>
      <c r="D96" s="1527"/>
      <c r="E96" s="3123"/>
    </row>
    <row r="97" spans="1:5">
      <c r="A97" s="81">
        <v>2003.04</v>
      </c>
      <c r="B97" s="831">
        <v>2.2464657980290301</v>
      </c>
      <c r="C97" s="2401">
        <f t="shared" si="1"/>
        <v>1.8000000000002458E-3</v>
      </c>
      <c r="D97" s="1527"/>
      <c r="E97" s="3123"/>
    </row>
    <row r="98" spans="1:5">
      <c r="A98" s="81">
        <v>2003.05</v>
      </c>
      <c r="B98" s="831">
        <v>2.2365813485177028</v>
      </c>
      <c r="C98" s="2401">
        <f t="shared" si="1"/>
        <v>-4.3999999999998485E-3</v>
      </c>
      <c r="D98" s="1527"/>
      <c r="E98" s="3123"/>
    </row>
    <row r="99" spans="1:5">
      <c r="A99" s="81">
        <v>2003.06</v>
      </c>
      <c r="B99" s="831">
        <v>2.2298716044721494</v>
      </c>
      <c r="C99" s="2401">
        <f t="shared" si="1"/>
        <v>-3.0000000000001137E-3</v>
      </c>
      <c r="D99" s="1527"/>
      <c r="E99" s="3123"/>
    </row>
    <row r="100" spans="1:5">
      <c r="A100" s="81">
        <v>2003.07</v>
      </c>
      <c r="B100" s="831">
        <v>2.2341083605206467</v>
      </c>
      <c r="C100" s="2401">
        <f t="shared" si="1"/>
        <v>1.9000000000000128E-3</v>
      </c>
      <c r="D100" s="1527"/>
      <c r="E100" s="3123"/>
    </row>
    <row r="101" spans="1:5">
      <c r="A101" s="81">
        <v>2003.08</v>
      </c>
      <c r="B101" s="831">
        <v>2.2363424688811673</v>
      </c>
      <c r="C101" s="2401">
        <f t="shared" si="1"/>
        <v>9.9999999999988987E-4</v>
      </c>
      <c r="D101" s="1527"/>
      <c r="E101" s="3123"/>
    </row>
    <row r="102" spans="1:5">
      <c r="A102" s="81">
        <v>2003.09</v>
      </c>
      <c r="B102" s="831">
        <v>2.2278443674994186</v>
      </c>
      <c r="C102" s="2401">
        <f t="shared" si="1"/>
        <v>-3.8000000000001366E-3</v>
      </c>
      <c r="D102" s="1527"/>
      <c r="E102" s="3123"/>
    </row>
    <row r="103" spans="1:5">
      <c r="A103" s="81">
        <v>2003.1</v>
      </c>
      <c r="B103" s="831">
        <v>2.2351962539121661</v>
      </c>
      <c r="C103" s="2401">
        <f t="shared" si="1"/>
        <v>3.2999999999998586E-3</v>
      </c>
      <c r="D103" s="1527"/>
      <c r="E103" s="3123"/>
    </row>
    <row r="104" spans="1:5">
      <c r="A104" s="81">
        <v>2003.11</v>
      </c>
      <c r="B104" s="831">
        <v>2.2394431267945998</v>
      </c>
      <c r="C104" s="2401">
        <f t="shared" si="1"/>
        <v>1.9000000000002348E-3</v>
      </c>
      <c r="D104" s="1527"/>
      <c r="E104" s="3123"/>
    </row>
    <row r="105" spans="1:5">
      <c r="A105" s="81">
        <v>2003.12</v>
      </c>
      <c r="B105" s="831">
        <v>2.2439220130481887</v>
      </c>
      <c r="C105" s="2401">
        <f t="shared" si="1"/>
        <v>1.9999999999997797E-3</v>
      </c>
      <c r="D105" s="1527"/>
      <c r="E105" s="3123"/>
    </row>
    <row r="106" spans="1:5">
      <c r="A106" s="81">
        <v>2004.01</v>
      </c>
      <c r="B106" s="831">
        <v>2.2564879763212584</v>
      </c>
      <c r="C106" s="2401">
        <f t="shared" si="1"/>
        <v>5.5999999999998273E-3</v>
      </c>
      <c r="D106" s="1527"/>
      <c r="E106" s="3123"/>
    </row>
    <row r="107" spans="1:5">
      <c r="A107" s="81">
        <v>2004.02</v>
      </c>
      <c r="B107" s="831">
        <v>2.2576162203094188</v>
      </c>
      <c r="C107" s="2401">
        <f t="shared" si="1"/>
        <v>4.9999999999994493E-4</v>
      </c>
      <c r="D107" s="1527"/>
      <c r="E107" s="3123"/>
    </row>
    <row r="108" spans="1:5">
      <c r="A108" s="81">
        <v>2004.03</v>
      </c>
      <c r="B108" s="831">
        <v>2.2643890689703472</v>
      </c>
      <c r="C108" s="2401">
        <f t="shared" si="1"/>
        <v>3.0000000000001137E-3</v>
      </c>
      <c r="D108" s="1527"/>
      <c r="E108" s="3123"/>
    </row>
    <row r="109" spans="1:5">
      <c r="A109" s="81">
        <v>2004.04</v>
      </c>
      <c r="B109" s="831">
        <v>2.2790897205984142</v>
      </c>
      <c r="C109" s="2401">
        <f t="shared" si="1"/>
        <v>6.4921050138930791E-3</v>
      </c>
      <c r="D109" s="1527"/>
      <c r="E109" s="3123"/>
    </row>
    <row r="110" spans="1:5">
      <c r="A110" s="81">
        <v>2004.05</v>
      </c>
      <c r="B110" s="831">
        <v>2.2950613511040845</v>
      </c>
      <c r="C110" s="2401">
        <f t="shared" si="1"/>
        <v>7.007898970066373E-3</v>
      </c>
      <c r="D110" s="1527"/>
      <c r="E110" s="3123"/>
    </row>
    <row r="111" spans="1:5">
      <c r="A111" s="81">
        <v>2004.06</v>
      </c>
      <c r="B111" s="831">
        <v>2.3049301149138324</v>
      </c>
      <c r="C111" s="2401">
        <f t="shared" si="1"/>
        <v>4.3000000000001926E-3</v>
      </c>
      <c r="D111" s="1527"/>
      <c r="E111" s="3123"/>
    </row>
    <row r="112" spans="1:5">
      <c r="A112" s="81">
        <v>2004.07</v>
      </c>
      <c r="B112" s="831">
        <v>2.3118449052585732</v>
      </c>
      <c r="C112" s="2401">
        <f t="shared" si="1"/>
        <v>2.9999999999996696E-3</v>
      </c>
      <c r="D112" s="1527"/>
      <c r="E112" s="3123"/>
    </row>
    <row r="113" spans="1:5">
      <c r="A113" s="81">
        <v>2004.08</v>
      </c>
      <c r="B113" s="831">
        <v>2.3166997795596167</v>
      </c>
      <c r="C113" s="2401">
        <f t="shared" si="1"/>
        <v>2.1000000000002128E-3</v>
      </c>
      <c r="D113" s="1527"/>
      <c r="E113" s="3123"/>
    </row>
    <row r="114" spans="1:5">
      <c r="A114" s="81">
        <v>2004.09</v>
      </c>
      <c r="B114" s="831">
        <v>2.3206381691848685</v>
      </c>
      <c r="C114" s="2401">
        <f t="shared" si="1"/>
        <v>1.7000000000002569E-3</v>
      </c>
      <c r="D114" s="1527"/>
      <c r="E114" s="3123"/>
    </row>
    <row r="115" spans="1:5">
      <c r="A115" s="81">
        <v>2004.1</v>
      </c>
      <c r="B115" s="831">
        <v>2.3412918488906129</v>
      </c>
      <c r="C115" s="2401">
        <f t="shared" si="1"/>
        <v>8.8999999999996859E-3</v>
      </c>
      <c r="D115" s="1527"/>
      <c r="E115" s="3123"/>
    </row>
    <row r="116" spans="1:5">
      <c r="A116" s="81">
        <v>2004.11</v>
      </c>
      <c r="B116" s="831">
        <v>2.3436331407395037</v>
      </c>
      <c r="C116" s="2401">
        <f t="shared" si="1"/>
        <v>1.0000000000001119E-3</v>
      </c>
      <c r="D116" s="1527"/>
      <c r="E116" s="3123"/>
    </row>
    <row r="117" spans="1:5">
      <c r="A117" s="81">
        <v>2004.12</v>
      </c>
      <c r="B117" s="831">
        <v>2.3569918496417182</v>
      </c>
      <c r="C117" s="2401">
        <f t="shared" si="1"/>
        <v>5.6999999999995943E-3</v>
      </c>
      <c r="D117" s="1527"/>
      <c r="E117" s="3123"/>
    </row>
    <row r="118" spans="1:5">
      <c r="A118" s="81">
        <v>2005.01</v>
      </c>
      <c r="B118" s="831">
        <v>2.3758477844388524</v>
      </c>
      <c r="C118" s="2401">
        <f t="shared" si="1"/>
        <v>8.0000000000002292E-3</v>
      </c>
      <c r="D118" s="1527"/>
      <c r="E118" s="3123"/>
    </row>
    <row r="119" spans="1:5">
      <c r="A119" s="81">
        <v>2005.02</v>
      </c>
      <c r="B119" s="831">
        <v>2.4019821100676793</v>
      </c>
      <c r="C119" s="2401">
        <f t="shared" si="1"/>
        <v>1.0999999999999899E-2</v>
      </c>
      <c r="D119" s="1527"/>
      <c r="E119" s="3123"/>
    </row>
    <row r="120" spans="1:5">
      <c r="A120" s="81">
        <v>2005.03</v>
      </c>
      <c r="B120" s="831">
        <v>2.461311068186351</v>
      </c>
      <c r="C120" s="2401">
        <f t="shared" si="1"/>
        <v>2.4699999999999944E-2</v>
      </c>
      <c r="D120" s="1527"/>
      <c r="E120" s="3123"/>
    </row>
    <row r="121" spans="1:5">
      <c r="A121" s="81">
        <v>2005.04</v>
      </c>
      <c r="B121" s="831">
        <v>2.4741098857409205</v>
      </c>
      <c r="C121" s="2401">
        <f t="shared" si="1"/>
        <v>5.2000000000000934E-3</v>
      </c>
      <c r="D121" s="1527"/>
      <c r="E121" s="3123"/>
    </row>
    <row r="122" spans="1:5">
      <c r="A122" s="81">
        <v>2005.05</v>
      </c>
      <c r="B122" s="831">
        <v>2.4780684615581059</v>
      </c>
      <c r="C122" s="2401">
        <f t="shared" si="1"/>
        <v>1.6000000000000458E-3</v>
      </c>
      <c r="D122" s="1527"/>
      <c r="E122" s="3123"/>
    </row>
    <row r="123" spans="1:5">
      <c r="A123" s="81">
        <v>2005.06</v>
      </c>
      <c r="B123" s="831">
        <v>2.485998280635092</v>
      </c>
      <c r="C123" s="2401">
        <f t="shared" si="1"/>
        <v>3.2000000000000917E-3</v>
      </c>
      <c r="D123" s="1527"/>
      <c r="E123" s="3123"/>
    </row>
    <row r="124" spans="1:5">
      <c r="A124" s="81">
        <v>2005.07</v>
      </c>
      <c r="B124" s="831">
        <v>2.5125984622378876</v>
      </c>
      <c r="C124" s="2401">
        <f t="shared" si="1"/>
        <v>1.0700000000000154E-2</v>
      </c>
      <c r="D124" s="1527"/>
      <c r="E124" s="3123"/>
    </row>
    <row r="125" spans="1:5">
      <c r="A125" s="81">
        <v>2005.08</v>
      </c>
      <c r="B125" s="831">
        <v>2.5274227931650914</v>
      </c>
      <c r="C125" s="2401">
        <f t="shared" si="1"/>
        <v>5.9000000000000163E-3</v>
      </c>
      <c r="D125" s="1527"/>
      <c r="E125" s="3123"/>
    </row>
    <row r="126" spans="1:5">
      <c r="A126" s="81">
        <v>2005.09</v>
      </c>
      <c r="B126" s="831">
        <v>2.5526970210967423</v>
      </c>
      <c r="C126" s="2401">
        <f t="shared" si="1"/>
        <v>1.0000000000000009E-2</v>
      </c>
      <c r="D126" s="1527"/>
      <c r="E126" s="3123"/>
    </row>
    <row r="127" spans="1:5">
      <c r="A127" s="81">
        <v>2005.1</v>
      </c>
      <c r="B127" s="831">
        <v>2.5680132032233227</v>
      </c>
      <c r="C127" s="2401">
        <f t="shared" si="1"/>
        <v>6.0000000000000053E-3</v>
      </c>
      <c r="D127" s="1527"/>
      <c r="E127" s="3123"/>
    </row>
    <row r="128" spans="1:5">
      <c r="A128" s="81">
        <v>2005.11</v>
      </c>
      <c r="B128" s="831">
        <v>2.5993429643026476</v>
      </c>
      <c r="C128" s="2401">
        <f t="shared" si="1"/>
        <v>1.2200000000000211E-2</v>
      </c>
      <c r="D128" s="1527"/>
      <c r="E128" s="3123"/>
    </row>
    <row r="129" spans="1:5">
      <c r="A129" s="81">
        <v>2005.12</v>
      </c>
      <c r="B129" s="831">
        <v>2.6214373794992194</v>
      </c>
      <c r="C129" s="2401">
        <f t="shared" si="1"/>
        <v>8.49999999999973E-3</v>
      </c>
      <c r="D129" s="1527"/>
      <c r="E129" s="3123"/>
    </row>
    <row r="130" spans="1:5">
      <c r="A130" s="81">
        <v>2006.01</v>
      </c>
      <c r="B130" s="831">
        <v>2.6549917779568091</v>
      </c>
      <c r="C130" s="2401">
        <f t="shared" si="1"/>
        <v>1.2799999999999923E-2</v>
      </c>
      <c r="D130" s="1527"/>
      <c r="E130" s="3123"/>
    </row>
    <row r="131" spans="1:5">
      <c r="A131" s="81">
        <v>2006.02</v>
      </c>
      <c r="B131" s="831">
        <v>2.6823381932697643</v>
      </c>
      <c r="C131" s="2401">
        <f t="shared" si="1"/>
        <v>1.0299999999999976E-2</v>
      </c>
      <c r="D131" s="1527"/>
      <c r="E131" s="3123"/>
    </row>
    <row r="132" spans="1:5">
      <c r="A132" s="81">
        <v>2006.03</v>
      </c>
      <c r="B132" s="831">
        <v>2.7110392119377509</v>
      </c>
      <c r="C132" s="2401">
        <f t="shared" si="1"/>
        <v>1.0699999999999932E-2</v>
      </c>
      <c r="D132" s="1527"/>
      <c r="E132" s="3123"/>
    </row>
    <row r="133" spans="1:5">
      <c r="A133" s="81">
        <v>2006.04</v>
      </c>
      <c r="B133" s="831">
        <v>2.7408606432690661</v>
      </c>
      <c r="C133" s="2401">
        <f t="shared" si="1"/>
        <v>1.0999999999999899E-2</v>
      </c>
      <c r="D133" s="1527"/>
      <c r="E133" s="3123"/>
    </row>
    <row r="134" spans="1:5">
      <c r="A134" s="81">
        <v>2006.05</v>
      </c>
      <c r="B134" s="831">
        <v>2.7600466677719488</v>
      </c>
      <c r="C134" s="2401">
        <f t="shared" si="1"/>
        <v>6.9999999999996732E-3</v>
      </c>
      <c r="D134" s="1527"/>
      <c r="E134" s="3123"/>
    </row>
    <row r="135" spans="1:5">
      <c r="A135" s="81">
        <v>2006.06</v>
      </c>
      <c r="B135" s="831">
        <v>2.782127041114125</v>
      </c>
      <c r="C135" s="2401">
        <f t="shared" si="1"/>
        <v>8.0000000000002292E-3</v>
      </c>
      <c r="D135" s="1527"/>
      <c r="E135" s="3123"/>
    </row>
    <row r="136" spans="1:5">
      <c r="A136" s="81">
        <v>2006.07</v>
      </c>
      <c r="B136" s="831">
        <v>2.8002108668813666</v>
      </c>
      <c r="C136" s="2401">
        <f t="shared" si="1"/>
        <v>6.4999999999999503E-3</v>
      </c>
      <c r="D136" s="1527"/>
      <c r="E136" s="3123"/>
    </row>
    <row r="137" spans="1:5">
      <c r="A137" s="81">
        <v>2006.08</v>
      </c>
      <c r="B137" s="831">
        <v>2.8114117103488923</v>
      </c>
      <c r="C137" s="2401">
        <f t="shared" si="1"/>
        <v>4.0000000000000036E-3</v>
      </c>
      <c r="D137" s="1527"/>
      <c r="E137" s="3123"/>
    </row>
    <row r="138" spans="1:5">
      <c r="A138" s="81">
        <v>2006.09</v>
      </c>
      <c r="B138" s="831">
        <v>2.8226573571902875</v>
      </c>
      <c r="C138" s="2401">
        <f t="shared" si="1"/>
        <v>4.0000000000000036E-3</v>
      </c>
      <c r="D138" s="1527"/>
      <c r="E138" s="3123"/>
    </row>
    <row r="139" spans="1:5">
      <c r="A139" s="81">
        <v>2006.1</v>
      </c>
      <c r="B139" s="831">
        <v>2.8494726020835954</v>
      </c>
      <c r="C139" s="2401">
        <f t="shared" si="1"/>
        <v>9.5000000000000639E-3</v>
      </c>
      <c r="D139" s="1527"/>
      <c r="E139" s="3123"/>
    </row>
    <row r="140" spans="1:5">
      <c r="A140" s="81">
        <v>2006.11</v>
      </c>
      <c r="B140" s="831">
        <v>2.8836662733085996</v>
      </c>
      <c r="C140" s="2401">
        <f t="shared" ref="C140:C163" si="2">B140/B139-1</f>
        <v>1.2000000000000455E-2</v>
      </c>
      <c r="D140" s="1527"/>
      <c r="E140" s="3123"/>
    </row>
    <row r="141" spans="1:5">
      <c r="A141" s="81">
        <v>2006.12</v>
      </c>
      <c r="B141" s="831">
        <v>2.9093309031410457</v>
      </c>
      <c r="C141" s="2401">
        <f t="shared" si="2"/>
        <v>8.899999999999908E-3</v>
      </c>
      <c r="D141" s="1527"/>
      <c r="E141" s="3123"/>
    </row>
    <row r="142" spans="1:5">
      <c r="A142" s="81">
        <v>2007.01</v>
      </c>
      <c r="B142" s="831">
        <v>2.9471522048818781</v>
      </c>
      <c r="C142" s="2401">
        <f t="shared" si="2"/>
        <v>1.2999999999999678E-2</v>
      </c>
      <c r="D142" s="1527"/>
      <c r="E142" s="3123"/>
    </row>
    <row r="143" spans="1:5">
      <c r="A143" s="81">
        <v>2007.02</v>
      </c>
      <c r="B143" s="831">
        <v>2.9722029986233744</v>
      </c>
      <c r="C143" s="2401">
        <f t="shared" si="2"/>
        <v>8.5000000000001741E-3</v>
      </c>
      <c r="D143" s="1527"/>
      <c r="E143" s="3123"/>
    </row>
    <row r="144" spans="1:5">
      <c r="A144" s="81">
        <v>2007.03</v>
      </c>
      <c r="B144" s="831">
        <v>3.0084638752065791</v>
      </c>
      <c r="C144" s="2401">
        <f t="shared" si="2"/>
        <v>1.2199999999999767E-2</v>
      </c>
      <c r="D144" s="1527"/>
      <c r="E144" s="3123"/>
    </row>
    <row r="145" spans="1:5">
      <c r="A145" s="81">
        <v>2007.04</v>
      </c>
      <c r="B145" s="831">
        <v>3.0445654417090586</v>
      </c>
      <c r="C145" s="2401">
        <f t="shared" si="2"/>
        <v>1.2000000000000233E-2</v>
      </c>
      <c r="D145" s="1527"/>
      <c r="E145" s="3123"/>
    </row>
    <row r="146" spans="1:5">
      <c r="A146" s="81">
        <v>2007.05</v>
      </c>
      <c r="B146" s="831">
        <v>3.0899294667905233</v>
      </c>
      <c r="C146" s="2401">
        <f t="shared" si="2"/>
        <v>1.4899999999999913E-2</v>
      </c>
      <c r="D146" s="1527"/>
      <c r="E146" s="3123"/>
    </row>
    <row r="147" spans="1:5">
      <c r="A147" s="81">
        <v>2007.06</v>
      </c>
      <c r="B147" s="831">
        <v>3.1282445921787252</v>
      </c>
      <c r="C147" s="2401">
        <f t="shared" si="2"/>
        <v>1.2399999999999745E-2</v>
      </c>
      <c r="D147" s="1527"/>
      <c r="E147" s="3123"/>
    </row>
    <row r="148" spans="1:5">
      <c r="A148" s="81">
        <v>2007.07</v>
      </c>
      <c r="B148" s="831">
        <v>3.1767323833574959</v>
      </c>
      <c r="C148" s="2401">
        <f t="shared" si="2"/>
        <v>1.5500000000000069E-2</v>
      </c>
      <c r="D148" s="1527"/>
      <c r="E148" s="3123"/>
    </row>
    <row r="149" spans="1:5">
      <c r="A149" s="81">
        <v>2007.08</v>
      </c>
      <c r="B149" s="831">
        <v>3.2240656958695229</v>
      </c>
      <c r="C149" s="2401">
        <f t="shared" si="2"/>
        <v>1.4900000000000135E-2</v>
      </c>
      <c r="D149" s="1527"/>
      <c r="E149" s="3123"/>
    </row>
    <row r="150" spans="1:5">
      <c r="A150" s="81">
        <v>2007.09</v>
      </c>
      <c r="B150" s="831">
        <v>3.2756507470034348</v>
      </c>
      <c r="C150" s="2401">
        <f t="shared" si="2"/>
        <v>1.5999999999999792E-2</v>
      </c>
      <c r="D150" s="1527"/>
      <c r="E150" s="3123"/>
    </row>
    <row r="151" spans="1:5">
      <c r="A151" s="81">
        <v>2007.1</v>
      </c>
      <c r="B151" s="831">
        <v>3.3182342067144788</v>
      </c>
      <c r="C151" s="2401">
        <f t="shared" si="2"/>
        <v>1.2999999999999678E-2</v>
      </c>
      <c r="D151" s="1527"/>
      <c r="E151" s="3123"/>
    </row>
    <row r="152" spans="1:5">
      <c r="A152" s="81">
        <v>2007.11</v>
      </c>
      <c r="B152" s="831">
        <v>3.3381436119547656</v>
      </c>
      <c r="C152" s="2401">
        <f t="shared" si="2"/>
        <v>6.0000000000000053E-3</v>
      </c>
      <c r="D152" s="1527"/>
      <c r="E152" s="3123"/>
    </row>
    <row r="153" spans="1:5">
      <c r="A153" s="81">
        <v>2007.12</v>
      </c>
      <c r="B153" s="831">
        <v>3.3681869044623585</v>
      </c>
      <c r="C153" s="2401">
        <f t="shared" si="2"/>
        <v>8.999999999999897E-3</v>
      </c>
      <c r="D153" s="1527"/>
      <c r="E153" s="3123"/>
    </row>
    <row r="154" spans="1:5">
      <c r="A154" s="81">
        <v>2008.01</v>
      </c>
      <c r="B154" s="831">
        <v>3.4153415211248319</v>
      </c>
      <c r="C154" s="2401">
        <f t="shared" si="2"/>
        <v>1.4000000000000234E-2</v>
      </c>
      <c r="D154" s="1527"/>
      <c r="E154" s="3123"/>
    </row>
    <row r="155" spans="1:5">
      <c r="A155" s="81">
        <v>2008.02</v>
      </c>
      <c r="B155" s="831">
        <v>3.4836483515473282</v>
      </c>
      <c r="C155" s="2401">
        <f t="shared" si="2"/>
        <v>1.9999999999999796E-2</v>
      </c>
      <c r="D155" s="1527"/>
      <c r="E155" s="3123"/>
    </row>
    <row r="156" spans="1:5">
      <c r="A156" s="81">
        <v>2008.03</v>
      </c>
      <c r="B156" s="831">
        <v>3.5428703735236322</v>
      </c>
      <c r="C156" s="2401">
        <f t="shared" si="2"/>
        <v>1.6999999999999904E-2</v>
      </c>
      <c r="D156" s="1527"/>
      <c r="E156" s="3123"/>
    </row>
    <row r="157" spans="1:5">
      <c r="A157" s="81">
        <v>2008.04</v>
      </c>
      <c r="B157" s="831">
        <v>3.6119563458073443</v>
      </c>
      <c r="C157" s="2401">
        <f t="shared" si="2"/>
        <v>1.9500000000000295E-2</v>
      </c>
      <c r="D157" s="1527"/>
      <c r="E157" s="3123"/>
    </row>
    <row r="158" spans="1:5">
      <c r="A158" s="81">
        <v>2008.05</v>
      </c>
      <c r="B158" s="831">
        <v>3.6726372124169071</v>
      </c>
      <c r="C158" s="2401">
        <f t="shared" si="2"/>
        <v>1.6799999999999926E-2</v>
      </c>
      <c r="D158" s="1527"/>
      <c r="E158" s="3123"/>
    </row>
    <row r="159" spans="1:5">
      <c r="A159" s="81">
        <v>2008.06</v>
      </c>
      <c r="B159" s="831">
        <v>3.7431518468953122</v>
      </c>
      <c r="C159" s="2401">
        <f t="shared" si="2"/>
        <v>1.9200000000000106E-2</v>
      </c>
      <c r="D159" s="1527"/>
      <c r="E159" s="3123"/>
    </row>
    <row r="160" spans="1:5">
      <c r="A160" s="81">
        <v>2008.07</v>
      </c>
      <c r="B160" s="831">
        <v>3.8142717319863224</v>
      </c>
      <c r="C160" s="2401">
        <f t="shared" si="2"/>
        <v>1.8999999999999906E-2</v>
      </c>
      <c r="D160" s="1527"/>
      <c r="E160" s="3123"/>
    </row>
    <row r="161" spans="1:5">
      <c r="A161" s="81">
        <v>2008.08</v>
      </c>
      <c r="B161" s="831">
        <v>3.8627129829825488</v>
      </c>
      <c r="C161" s="2401">
        <f t="shared" si="2"/>
        <v>1.2699999999999934E-2</v>
      </c>
      <c r="D161" s="1527"/>
      <c r="E161" s="3123"/>
    </row>
    <row r="162" spans="1:5">
      <c r="A162" s="81">
        <v>2008.09</v>
      </c>
      <c r="B162" s="831">
        <v>3.8858892608804445</v>
      </c>
      <c r="C162" s="2401">
        <f t="shared" si="2"/>
        <v>6.0000000000000053E-3</v>
      </c>
      <c r="D162" s="1527"/>
      <c r="E162" s="3123"/>
    </row>
    <row r="163" spans="1:5">
      <c r="A163" s="81">
        <v>2008.1</v>
      </c>
      <c r="B163" s="831">
        <v>3.9364058212718893</v>
      </c>
      <c r="C163" s="2401">
        <f t="shared" si="2"/>
        <v>1.2999999999999678E-2</v>
      </c>
      <c r="D163" s="1527"/>
      <c r="E163" s="3123"/>
    </row>
    <row r="164" spans="1:5">
      <c r="A164" s="81">
        <v>2008.11</v>
      </c>
      <c r="B164" s="831">
        <v>3.9639606620207921</v>
      </c>
      <c r="C164" s="2401">
        <f>B164/B163-1</f>
        <v>6.9999999999998952E-3</v>
      </c>
      <c r="D164" s="1527"/>
      <c r="E164" s="3123"/>
    </row>
    <row r="165" spans="1:5">
      <c r="A165" s="81">
        <v>2008.12</v>
      </c>
      <c r="B165" s="831">
        <v>4.0088531438012405</v>
      </c>
      <c r="C165" s="2401">
        <f t="shared" ref="C165:C201" si="3">B165/B164-1</f>
        <v>1.132515824654079E-2</v>
      </c>
      <c r="D165" s="1527"/>
      <c r="E165" s="3123"/>
    </row>
    <row r="166" spans="1:5">
      <c r="A166" s="81">
        <f t="shared" ref="A166:A229" si="4">A154+1</f>
        <v>2009.01</v>
      </c>
      <c r="B166" s="831">
        <v>4.0852270956077188</v>
      </c>
      <c r="C166" s="2401">
        <f t="shared" si="3"/>
        <v>1.9051321928460485E-2</v>
      </c>
      <c r="D166" s="1527"/>
      <c r="E166" s="3123"/>
    </row>
    <row r="167" spans="1:5">
      <c r="A167" s="81">
        <f t="shared" si="4"/>
        <v>2009.02</v>
      </c>
      <c r="B167" s="831">
        <v>4.125752049627482</v>
      </c>
      <c r="C167" s="2401">
        <f t="shared" si="3"/>
        <v>9.9198779091949074E-3</v>
      </c>
      <c r="D167" s="1527"/>
      <c r="E167" s="3123"/>
    </row>
    <row r="168" spans="1:5">
      <c r="A168" s="81">
        <f t="shared" si="4"/>
        <v>2009.03</v>
      </c>
      <c r="B168" s="831">
        <v>4.1647183515695625</v>
      </c>
      <c r="C168" s="2401">
        <f t="shared" si="3"/>
        <v>9.4446543256516691E-3</v>
      </c>
      <c r="D168" s="1527"/>
      <c r="E168" s="3123"/>
    </row>
    <row r="169" spans="1:5">
      <c r="A169" s="81">
        <f t="shared" si="4"/>
        <v>2009.04</v>
      </c>
      <c r="B169" s="831">
        <v>4.2457682596090898</v>
      </c>
      <c r="C169" s="2401">
        <f t="shared" si="3"/>
        <v>1.9461077844311392E-2</v>
      </c>
      <c r="D169" s="1527"/>
      <c r="E169" s="3123"/>
    </row>
    <row r="170" spans="1:5">
      <c r="A170" s="81">
        <f t="shared" si="4"/>
        <v>2009.05</v>
      </c>
      <c r="B170" s="831">
        <v>4.2753826490850715</v>
      </c>
      <c r="C170" s="2401">
        <f t="shared" si="3"/>
        <v>6.9750367107197508E-3</v>
      </c>
      <c r="D170" s="1527"/>
      <c r="E170" s="3123"/>
    </row>
    <row r="171" spans="1:5">
      <c r="A171" s="81">
        <f t="shared" si="4"/>
        <v>2009.06</v>
      </c>
      <c r="B171" s="831">
        <v>4.3112316468717857</v>
      </c>
      <c r="C171" s="2401">
        <f t="shared" si="3"/>
        <v>8.3849799489610355E-3</v>
      </c>
      <c r="D171" s="1527"/>
      <c r="E171" s="3123"/>
    </row>
    <row r="172" spans="1:5">
      <c r="A172" s="81">
        <f t="shared" si="4"/>
        <v>2009.07</v>
      </c>
      <c r="B172" s="831">
        <v>4.3689017737460647</v>
      </c>
      <c r="C172" s="2401">
        <f t="shared" si="3"/>
        <v>1.3376717281272654E-2</v>
      </c>
      <c r="D172" s="1527"/>
      <c r="E172" s="3123"/>
    </row>
    <row r="173" spans="1:5">
      <c r="A173" s="81">
        <f t="shared" si="4"/>
        <v>2009.08</v>
      </c>
      <c r="B173" s="831">
        <v>4.4218959443872929</v>
      </c>
      <c r="C173" s="2401">
        <f t="shared" si="3"/>
        <v>1.2129860863360431E-2</v>
      </c>
      <c r="D173" s="1527"/>
      <c r="E173" s="3123"/>
    </row>
    <row r="174" spans="1:5">
      <c r="A174" s="81">
        <f t="shared" si="4"/>
        <v>2009.09</v>
      </c>
      <c r="B174" s="831">
        <v>4.4717728108731567</v>
      </c>
      <c r="C174" s="2401">
        <f t="shared" si="3"/>
        <v>1.127952062037374E-2</v>
      </c>
      <c r="D174" s="1527"/>
      <c r="E174" s="3123"/>
    </row>
    <row r="175" spans="1:5">
      <c r="A175" s="81">
        <f t="shared" si="4"/>
        <v>2009.1</v>
      </c>
      <c r="B175" s="831">
        <v>4.5200910252813369</v>
      </c>
      <c r="C175" s="2401">
        <f t="shared" si="3"/>
        <v>1.0805158591843833E-2</v>
      </c>
      <c r="D175" s="1527"/>
      <c r="E175" s="3123"/>
    </row>
    <row r="176" spans="1:5">
      <c r="A176" s="81">
        <f t="shared" si="4"/>
        <v>2009.11</v>
      </c>
      <c r="B176" s="831">
        <v>4.5886717166993982</v>
      </c>
      <c r="C176" s="2401">
        <f t="shared" si="3"/>
        <v>1.5172413793103301E-2</v>
      </c>
      <c r="D176" s="1527"/>
      <c r="E176" s="3123"/>
    </row>
    <row r="177" spans="1:5">
      <c r="A177" s="81">
        <f t="shared" si="4"/>
        <v>2009.12</v>
      </c>
      <c r="B177" s="831">
        <v>4.6572524081174596</v>
      </c>
      <c r="C177" s="2401">
        <f t="shared" si="3"/>
        <v>1.4945652173913082E-2</v>
      </c>
      <c r="D177" s="1527"/>
      <c r="E177" s="3123"/>
    </row>
    <row r="178" spans="1:5">
      <c r="A178" s="81">
        <f t="shared" si="4"/>
        <v>2010.01</v>
      </c>
      <c r="B178" s="831">
        <v>4.7273917516132054</v>
      </c>
      <c r="C178" s="2401">
        <f t="shared" si="3"/>
        <v>1.5060240963855609E-2</v>
      </c>
      <c r="D178" s="1527"/>
      <c r="E178" s="3123"/>
    </row>
    <row r="179" spans="1:5">
      <c r="A179" s="81">
        <f t="shared" si="4"/>
        <v>2010.02</v>
      </c>
      <c r="B179" s="831">
        <v>4.8598771782162782</v>
      </c>
      <c r="C179" s="2401">
        <f t="shared" si="3"/>
        <v>2.8025057698648048E-2</v>
      </c>
      <c r="D179" s="1527"/>
      <c r="E179" s="3123"/>
    </row>
    <row r="180" spans="1:5">
      <c r="A180" s="81">
        <f t="shared" si="4"/>
        <v>2010.03</v>
      </c>
      <c r="B180" s="831">
        <v>4.9908039527416692</v>
      </c>
      <c r="C180" s="2401">
        <f t="shared" si="3"/>
        <v>2.6940346375882163E-2</v>
      </c>
      <c r="D180" s="1527"/>
      <c r="E180" s="3123"/>
    </row>
    <row r="181" spans="1:5">
      <c r="A181" s="81">
        <f t="shared" si="4"/>
        <v>2010.04</v>
      </c>
      <c r="B181" s="831">
        <v>5.0609432962374132</v>
      </c>
      <c r="C181" s="2401">
        <f t="shared" si="3"/>
        <v>1.4053716427232743E-2</v>
      </c>
      <c r="D181" s="1527"/>
      <c r="E181" s="3123"/>
    </row>
    <row r="182" spans="1:5">
      <c r="A182" s="81">
        <f t="shared" si="4"/>
        <v>2010.05</v>
      </c>
      <c r="B182" s="831">
        <v>5.106144206490228</v>
      </c>
      <c r="C182" s="2401">
        <f t="shared" si="3"/>
        <v>8.9313212195876179E-3</v>
      </c>
      <c r="D182" s="1527"/>
      <c r="E182" s="3123"/>
    </row>
    <row r="183" spans="1:5">
      <c r="A183" s="81">
        <f t="shared" si="4"/>
        <v>2010.06</v>
      </c>
      <c r="B183" s="831">
        <v>5.1591383771314563</v>
      </c>
      <c r="C183" s="2401">
        <f t="shared" si="3"/>
        <v>1.037851037851012E-2</v>
      </c>
      <c r="D183" s="1527"/>
      <c r="E183" s="3123"/>
    </row>
    <row r="184" spans="1:5">
      <c r="A184" s="81">
        <f t="shared" si="4"/>
        <v>2010.07</v>
      </c>
      <c r="B184" s="831">
        <v>5.2107297609027716</v>
      </c>
      <c r="C184" s="2401">
        <f t="shared" si="3"/>
        <v>1.0000000000000231E-2</v>
      </c>
      <c r="D184" s="1527"/>
      <c r="E184" s="3123"/>
    </row>
    <row r="185" spans="1:5">
      <c r="A185" s="81">
        <f t="shared" si="4"/>
        <v>2010.08</v>
      </c>
      <c r="B185" s="831">
        <v>5.3352660619096604</v>
      </c>
      <c r="C185" s="2401">
        <f t="shared" si="3"/>
        <v>2.38999730788787E-2</v>
      </c>
      <c r="D185" s="1527"/>
      <c r="E185" s="3123"/>
    </row>
    <row r="186" spans="1:5">
      <c r="A186" s="81">
        <f t="shared" si="4"/>
        <v>2010.09</v>
      </c>
      <c r="B186" s="831">
        <v>5.4054054054054053</v>
      </c>
      <c r="C186" s="2401">
        <f t="shared" si="3"/>
        <v>1.3146362839614456E-2</v>
      </c>
      <c r="D186" s="1527"/>
      <c r="E186" s="3123"/>
    </row>
    <row r="187" spans="1:5">
      <c r="A187" s="81">
        <f t="shared" si="4"/>
        <v>2010.1</v>
      </c>
      <c r="B187" s="831">
        <v>5.5176283549985969</v>
      </c>
      <c r="C187" s="2401">
        <f t="shared" si="3"/>
        <v>2.0761245674740358E-2</v>
      </c>
      <c r="D187" s="1527"/>
      <c r="E187" s="3123"/>
    </row>
    <row r="188" spans="1:5">
      <c r="A188" s="81">
        <f t="shared" si="4"/>
        <v>2010.11</v>
      </c>
      <c r="B188" s="831">
        <v>5.6002369151158078</v>
      </c>
      <c r="C188" s="2401">
        <f t="shared" si="3"/>
        <v>1.4971751412429457E-2</v>
      </c>
      <c r="D188" s="1527"/>
      <c r="E188" s="3123"/>
    </row>
    <row r="189" spans="1:5">
      <c r="A189" s="81">
        <f t="shared" si="4"/>
        <v>2010.12</v>
      </c>
      <c r="B189" s="831">
        <v>5.6968733439321673</v>
      </c>
      <c r="C189" s="2401">
        <f t="shared" si="3"/>
        <v>1.7255775118285577E-2</v>
      </c>
      <c r="D189" s="1527"/>
      <c r="E189" s="3123"/>
    </row>
    <row r="190" spans="1:5">
      <c r="A190" s="81">
        <f t="shared" si="4"/>
        <v>2011.01</v>
      </c>
      <c r="B190" s="831">
        <v>5.862090464166589</v>
      </c>
      <c r="C190" s="2401">
        <f t="shared" si="3"/>
        <v>2.900136798905617E-2</v>
      </c>
      <c r="D190" s="1527"/>
      <c r="E190" s="3123"/>
    </row>
    <row r="191" spans="1:5">
      <c r="A191" s="81">
        <f t="shared" si="4"/>
        <v>2011.02</v>
      </c>
      <c r="B191" s="831">
        <v>5.9665201533713645</v>
      </c>
      <c r="C191" s="2401">
        <f t="shared" si="3"/>
        <v>1.7814411060887991E-2</v>
      </c>
      <c r="D191" s="1527"/>
      <c r="E191" s="3123"/>
    </row>
    <row r="192" spans="1:5">
      <c r="A192" s="81">
        <f t="shared" si="4"/>
        <v>2011.03</v>
      </c>
      <c r="B192" s="831">
        <v>6.063156582187724</v>
      </c>
      <c r="C192" s="2401">
        <f t="shared" si="3"/>
        <v>1.6196447230929945E-2</v>
      </c>
      <c r="D192" s="1527"/>
      <c r="E192" s="3123"/>
    </row>
    <row r="193" spans="1:5">
      <c r="A193" s="81">
        <f t="shared" si="4"/>
        <v>2011.04</v>
      </c>
      <c r="B193" s="831">
        <v>6.1410891860718841</v>
      </c>
      <c r="C193" s="2401">
        <f t="shared" si="3"/>
        <v>1.2853470437017789E-2</v>
      </c>
      <c r="D193" s="1527"/>
      <c r="E193" s="3123"/>
    </row>
    <row r="194" spans="1:5">
      <c r="A194" s="81">
        <f t="shared" si="4"/>
        <v>2011.05</v>
      </c>
      <c r="B194" s="831">
        <v>6.2455188752766597</v>
      </c>
      <c r="C194" s="2401">
        <f t="shared" si="3"/>
        <v>1.700507614213187E-2</v>
      </c>
      <c r="D194" s="1527"/>
      <c r="E194" s="3123"/>
    </row>
    <row r="195" spans="1:5">
      <c r="A195" s="81">
        <f t="shared" si="4"/>
        <v>2011.06</v>
      </c>
      <c r="B195" s="831">
        <v>6.4076186913557152</v>
      </c>
      <c r="C195" s="2401">
        <f t="shared" si="3"/>
        <v>2.5954579485899743E-2</v>
      </c>
      <c r="D195" s="1527"/>
      <c r="E195" s="3123"/>
    </row>
    <row r="196" spans="1:5">
      <c r="A196" s="81">
        <f t="shared" si="4"/>
        <v>2011.07</v>
      </c>
      <c r="B196" s="831">
        <v>6.5572492908133038</v>
      </c>
      <c r="C196" s="2401">
        <f t="shared" si="3"/>
        <v>2.3351982486013112E-2</v>
      </c>
      <c r="D196" s="1527"/>
      <c r="E196" s="3123"/>
    </row>
    <row r="197" spans="1:5">
      <c r="A197" s="81">
        <f t="shared" si="4"/>
        <v>2011.08</v>
      </c>
      <c r="B197" s="831">
        <v>6.7115558465039431</v>
      </c>
      <c r="C197" s="2401">
        <f t="shared" si="3"/>
        <v>2.3532208224388063E-2</v>
      </c>
      <c r="D197" s="1527"/>
      <c r="E197" s="3123"/>
    </row>
    <row r="198" spans="1:5">
      <c r="A198" s="81">
        <f t="shared" si="4"/>
        <v>2011.09</v>
      </c>
      <c r="B198" s="831">
        <v>6.8191028398640858</v>
      </c>
      <c r="C198" s="2401">
        <f t="shared" si="3"/>
        <v>1.6024152345564424E-2</v>
      </c>
      <c r="D198" s="1527"/>
      <c r="E198" s="3123"/>
    </row>
    <row r="199" spans="1:5">
      <c r="A199" s="81">
        <f t="shared" si="4"/>
        <v>2011.1</v>
      </c>
      <c r="B199" s="831">
        <v>6.9048287041366621</v>
      </c>
      <c r="C199" s="2401">
        <f t="shared" si="3"/>
        <v>1.2571428571428456E-2</v>
      </c>
      <c r="D199" s="1527"/>
      <c r="E199" s="3123"/>
    </row>
    <row r="200" spans="1:5">
      <c r="A200" s="81">
        <f t="shared" si="4"/>
        <v>2011.11</v>
      </c>
      <c r="B200" s="831">
        <v>7.0186103058075382</v>
      </c>
      <c r="C200" s="2401">
        <f t="shared" si="3"/>
        <v>1.6478555304740627E-2</v>
      </c>
      <c r="D200" s="1527"/>
      <c r="E200" s="3123"/>
    </row>
    <row r="201" spans="1:5">
      <c r="A201" s="81">
        <f t="shared" si="4"/>
        <v>2011.12</v>
      </c>
      <c r="B201" s="831">
        <v>7.1370678637114615</v>
      </c>
      <c r="C201" s="2401">
        <f t="shared" si="3"/>
        <v>1.6877637130801482E-2</v>
      </c>
      <c r="D201" s="1527"/>
      <c r="E201" s="3123"/>
    </row>
    <row r="202" spans="1:5">
      <c r="A202" s="81">
        <f t="shared" si="4"/>
        <v>2012.01</v>
      </c>
      <c r="B202" s="831">
        <v>7.2446148570716042</v>
      </c>
      <c r="C202" s="2401">
        <f t="shared" ref="C202:C249" si="5">B202/B201-1</f>
        <v>1.5068792312732171E-2</v>
      </c>
      <c r="D202" s="1527"/>
      <c r="E202" s="3123"/>
    </row>
    <row r="203" spans="1:5">
      <c r="A203" s="81">
        <f t="shared" si="4"/>
        <v>2012.02</v>
      </c>
      <c r="B203" s="831">
        <v>7.3459272421210144</v>
      </c>
      <c r="C203" s="2401">
        <f t="shared" si="5"/>
        <v>1.3984509466437256E-2</v>
      </c>
      <c r="D203" s="1527"/>
      <c r="E203" s="3123"/>
    </row>
    <row r="204" spans="1:5">
      <c r="A204" s="81">
        <f t="shared" si="4"/>
        <v>2012.03</v>
      </c>
      <c r="B204" s="831">
        <v>7.4706194083356712</v>
      </c>
      <c r="C204" s="2401">
        <f t="shared" si="5"/>
        <v>1.6974326331423706E-2</v>
      </c>
      <c r="D204" s="1527"/>
      <c r="E204" s="3123"/>
    </row>
    <row r="205" spans="1:5">
      <c r="A205" s="81">
        <f t="shared" si="4"/>
        <v>2012.04</v>
      </c>
      <c r="B205" s="831">
        <v>7.6576576576576567</v>
      </c>
      <c r="C205" s="2401">
        <f t="shared" si="5"/>
        <v>2.5036511579386467E-2</v>
      </c>
      <c r="D205" s="1527"/>
      <c r="E205" s="3123"/>
    </row>
    <row r="206" spans="1:5">
      <c r="A206" s="81">
        <f t="shared" si="4"/>
        <v>2012.05</v>
      </c>
      <c r="B206" s="831">
        <v>7.8104055612706125</v>
      </c>
      <c r="C206" s="2401">
        <f t="shared" si="5"/>
        <v>1.9947079177691895E-2</v>
      </c>
      <c r="D206" s="1527"/>
      <c r="E206" s="3123"/>
    </row>
    <row r="207" spans="1:5">
      <c r="A207" s="81">
        <f t="shared" si="4"/>
        <v>2012.06</v>
      </c>
      <c r="B207" s="831">
        <v>8.0052370709810159</v>
      </c>
      <c r="C207" s="2401">
        <f t="shared" si="5"/>
        <v>2.4945120734384485E-2</v>
      </c>
      <c r="D207" s="1527"/>
      <c r="E207" s="3123"/>
    </row>
    <row r="208" spans="1:5">
      <c r="A208" s="81">
        <f t="shared" si="4"/>
        <v>2012.07</v>
      </c>
      <c r="B208" s="831">
        <v>8.2328002743227664</v>
      </c>
      <c r="C208" s="2401">
        <f t="shared" si="5"/>
        <v>2.8426791277258667E-2</v>
      </c>
      <c r="D208" s="1527"/>
      <c r="E208" s="3123"/>
    </row>
    <row r="209" spans="1:5">
      <c r="A209" s="81">
        <f t="shared" si="4"/>
        <v>2012.08</v>
      </c>
      <c r="B209" s="831">
        <v>8.3154088344399764</v>
      </c>
      <c r="C209" s="2401">
        <f t="shared" si="5"/>
        <v>1.0034078000757285E-2</v>
      </c>
      <c r="D209" s="1527"/>
      <c r="E209" s="3123"/>
    </row>
    <row r="210" spans="1:5">
      <c r="A210" s="81">
        <f t="shared" si="4"/>
        <v>2012.09</v>
      </c>
      <c r="B210" s="831">
        <v>8.4806259546743981</v>
      </c>
      <c r="C210" s="2401">
        <f t="shared" si="5"/>
        <v>1.9868791002811692E-2</v>
      </c>
      <c r="D210" s="1527"/>
      <c r="E210" s="3123"/>
    </row>
    <row r="211" spans="1:5">
      <c r="A211" s="81">
        <f t="shared" si="4"/>
        <v>2012.1</v>
      </c>
      <c r="B211" s="831">
        <v>8.5741450793353913</v>
      </c>
      <c r="C211" s="2401">
        <f t="shared" si="5"/>
        <v>1.1027384671935314E-2</v>
      </c>
      <c r="D211" s="1527"/>
      <c r="E211" s="3123"/>
    </row>
    <row r="212" spans="1:5">
      <c r="A212" s="81">
        <f t="shared" si="4"/>
        <v>2012.11</v>
      </c>
      <c r="B212" s="831">
        <v>8.7549487203466452</v>
      </c>
      <c r="C212" s="2401">
        <f t="shared" si="5"/>
        <v>2.108707507725871E-2</v>
      </c>
      <c r="D212" s="1527"/>
      <c r="E212" s="3123"/>
    </row>
    <row r="213" spans="1:5">
      <c r="A213" s="81">
        <f t="shared" si="4"/>
        <v>2012.12</v>
      </c>
      <c r="B213" s="831">
        <v>9.0308301380965741</v>
      </c>
      <c r="C213" s="2401">
        <f t="shared" si="5"/>
        <v>3.1511482998041629E-2</v>
      </c>
      <c r="D213" s="1527"/>
      <c r="E213" s="3123"/>
    </row>
    <row r="214" spans="1:5">
      <c r="A214" s="81">
        <f t="shared" si="4"/>
        <v>2013.01</v>
      </c>
      <c r="B214" s="831">
        <v>9.183578041709529</v>
      </c>
      <c r="C214" s="2401">
        <f t="shared" si="5"/>
        <v>1.691404901622362E-2</v>
      </c>
      <c r="D214" s="1527"/>
      <c r="E214" s="3123"/>
    </row>
    <row r="215" spans="1:5">
      <c r="A215" s="81">
        <f t="shared" si="4"/>
        <v>2013.02</v>
      </c>
      <c r="B215" s="831">
        <v>9.256834689360641</v>
      </c>
      <c r="C215" s="2401">
        <f t="shared" si="5"/>
        <v>7.976917854718435E-3</v>
      </c>
      <c r="D215" s="1527"/>
      <c r="E215" s="3123"/>
    </row>
    <row r="216" spans="1:5">
      <c r="A216" s="81">
        <f t="shared" si="4"/>
        <v>2013.03</v>
      </c>
      <c r="B216" s="831">
        <v>9.3690576389538336</v>
      </c>
      <c r="C216" s="2401">
        <f t="shared" si="5"/>
        <v>1.2123253072908069E-2</v>
      </c>
      <c r="D216" s="1527"/>
      <c r="E216" s="3123"/>
    </row>
    <row r="217" spans="1:5">
      <c r="A217" s="81">
        <f t="shared" si="4"/>
        <v>2013.04</v>
      </c>
      <c r="B217" s="831">
        <v>9.482839240624708</v>
      </c>
      <c r="C217" s="2401">
        <f t="shared" si="5"/>
        <v>1.2144401929795379E-2</v>
      </c>
      <c r="D217" s="1527"/>
      <c r="E217" s="3123"/>
    </row>
    <row r="218" spans="1:5">
      <c r="A218" s="81">
        <f t="shared" si="4"/>
        <v>2013.05</v>
      </c>
      <c r="B218" s="831">
        <v>9.6527323170921768</v>
      </c>
      <c r="C218" s="2401">
        <f t="shared" si="5"/>
        <v>1.7915844838921613E-2</v>
      </c>
      <c r="D218" s="1527"/>
      <c r="E218" s="3123"/>
    </row>
    <row r="219" spans="1:5">
      <c r="A219" s="81">
        <f t="shared" si="4"/>
        <v>2013.06</v>
      </c>
      <c r="B219" s="831">
        <v>9.9629040805511391</v>
      </c>
      <c r="C219" s="2401">
        <f t="shared" si="5"/>
        <v>3.2133053447440885E-2</v>
      </c>
      <c r="D219" s="1527"/>
      <c r="E219" s="3123"/>
    </row>
    <row r="220" spans="1:5">
      <c r="A220" s="81">
        <f t="shared" si="4"/>
        <v>2013.07</v>
      </c>
      <c r="B220" s="831">
        <v>10.210729760902773</v>
      </c>
      <c r="C220" s="2401">
        <f t="shared" si="5"/>
        <v>2.4874843554443249E-2</v>
      </c>
      <c r="D220" s="1527"/>
      <c r="E220" s="3123"/>
    </row>
    <row r="221" spans="1:5">
      <c r="A221" s="81">
        <f t="shared" si="4"/>
        <v>2013.08</v>
      </c>
      <c r="B221" s="831">
        <v>10.39465070606939</v>
      </c>
      <c r="C221" s="2401">
        <f t="shared" si="5"/>
        <v>1.8012517172950382E-2</v>
      </c>
      <c r="D221" s="1527"/>
      <c r="E221" s="3123"/>
    </row>
    <row r="222" spans="1:5">
      <c r="A222" s="81">
        <f t="shared" si="4"/>
        <v>2013.09</v>
      </c>
      <c r="B222" s="831">
        <v>10.561426478381495</v>
      </c>
      <c r="C222" s="2401">
        <f t="shared" si="5"/>
        <v>1.6044384465437211E-2</v>
      </c>
      <c r="D222" s="1527"/>
      <c r="E222" s="3123"/>
    </row>
    <row r="223" spans="1:5">
      <c r="A223" s="81">
        <f t="shared" si="4"/>
        <v>2013.1</v>
      </c>
      <c r="B223" s="831">
        <v>10.667414819663954</v>
      </c>
      <c r="C223" s="2401">
        <f t="shared" si="5"/>
        <v>1.0035419126328105E-2</v>
      </c>
      <c r="D223" s="1527"/>
      <c r="E223" s="3123"/>
    </row>
    <row r="224" spans="1:5">
      <c r="A224" s="81">
        <f t="shared" si="4"/>
        <v>2013.11</v>
      </c>
      <c r="B224" s="831">
        <v>10.923033760404001</v>
      </c>
      <c r="C224" s="2401">
        <f t="shared" si="5"/>
        <v>2.396259497369968E-2</v>
      </c>
      <c r="D224" s="1527"/>
      <c r="E224" s="3123"/>
    </row>
    <row r="225" spans="1:5">
      <c r="A225" s="81">
        <f t="shared" si="4"/>
        <v>2013.12</v>
      </c>
      <c r="B225" s="831">
        <v>11.30490351943639</v>
      </c>
      <c r="C225" s="2401">
        <f t="shared" si="5"/>
        <v>3.4960045662100425E-2</v>
      </c>
      <c r="D225" s="1527"/>
      <c r="E225" s="3123"/>
    </row>
    <row r="226" spans="1:5">
      <c r="A226" s="81">
        <f t="shared" si="4"/>
        <v>2014.01</v>
      </c>
      <c r="B226" s="831">
        <v>11.828610617537953</v>
      </c>
      <c r="C226" s="2401">
        <f t="shared" si="5"/>
        <v>4.6325658348269627E-2</v>
      </c>
      <c r="D226" s="1527"/>
      <c r="E226" s="3123"/>
    </row>
    <row r="227" spans="1:5">
      <c r="A227" s="81">
        <f t="shared" si="4"/>
        <v>2014.02</v>
      </c>
      <c r="B227" s="831">
        <v>12.455188752766608</v>
      </c>
      <c r="C227" s="2401">
        <f t="shared" si="5"/>
        <v>5.2971405982342956E-2</v>
      </c>
      <c r="D227" s="1527"/>
      <c r="E227" s="3123"/>
    </row>
    <row r="228" spans="1:5">
      <c r="A228" s="81">
        <f t="shared" si="4"/>
        <v>2014.03</v>
      </c>
      <c r="B228" s="831">
        <v>12.927460332304621</v>
      </c>
      <c r="C228" s="2401">
        <f t="shared" si="5"/>
        <v>3.7917657364535007E-2</v>
      </c>
      <c r="D228" s="1527"/>
      <c r="E228" s="3123"/>
    </row>
    <row r="229" spans="1:5">
      <c r="A229" s="81">
        <f t="shared" si="4"/>
        <v>2014.04</v>
      </c>
      <c r="B229" s="831">
        <v>13.165934100190155</v>
      </c>
      <c r="C229" s="2401">
        <f>B229/B228-1</f>
        <v>1.844707017120828E-2</v>
      </c>
      <c r="D229" s="1527"/>
      <c r="E229" s="3123"/>
    </row>
    <row r="230" spans="1:5">
      <c r="A230" s="81">
        <f t="shared" ref="A230:A293" si="6">A218+1</f>
        <v>2014.05</v>
      </c>
      <c r="B230" s="831">
        <v>13.560273075844009</v>
      </c>
      <c r="C230" s="2401">
        <f t="shared" si="5"/>
        <v>2.9951462057535183E-2</v>
      </c>
      <c r="D230" s="1527"/>
      <c r="E230" s="3123"/>
    </row>
    <row r="231" spans="1:5">
      <c r="A231" s="81">
        <f t="shared" si="6"/>
        <v>2014.06</v>
      </c>
      <c r="B231" s="831">
        <v>13.914087097478101</v>
      </c>
      <c r="C231" s="2401">
        <f t="shared" si="5"/>
        <v>2.6091954022988473E-2</v>
      </c>
      <c r="D231" s="1527"/>
      <c r="E231" s="3123"/>
    </row>
    <row r="232" spans="1:5">
      <c r="A232" s="81">
        <f t="shared" si="6"/>
        <v>2014.07</v>
      </c>
      <c r="B232" s="831">
        <v>14.261666510801458</v>
      </c>
      <c r="C232" s="2401">
        <f t="shared" si="5"/>
        <v>2.4980396549792783E-2</v>
      </c>
      <c r="D232" s="1527"/>
      <c r="E232" s="3123"/>
    </row>
    <row r="233" spans="1:5">
      <c r="A233" s="81">
        <f t="shared" si="6"/>
        <v>2014.08</v>
      </c>
      <c r="B233" s="831">
        <v>14.503257582842357</v>
      </c>
      <c r="C233" s="2401">
        <f t="shared" si="5"/>
        <v>1.6939890710382599E-2</v>
      </c>
      <c r="D233" s="1527"/>
      <c r="E233" s="3123"/>
    </row>
    <row r="234" spans="1:5">
      <c r="A234" s="81">
        <f t="shared" si="6"/>
        <v>2014.09</v>
      </c>
      <c r="B234" s="831">
        <v>14.841485083699618</v>
      </c>
      <c r="C234" s="2401">
        <f t="shared" si="5"/>
        <v>2.3320795271359662E-2</v>
      </c>
      <c r="D234" s="1527"/>
      <c r="E234" s="3123"/>
    </row>
    <row r="235" spans="1:5">
      <c r="A235" s="81">
        <f t="shared" si="6"/>
        <v>2014.1</v>
      </c>
      <c r="B235" s="831">
        <v>15.153215499236261</v>
      </c>
      <c r="C235" s="2401">
        <f t="shared" si="5"/>
        <v>2.1003990758243996E-2</v>
      </c>
      <c r="D235" s="1527"/>
      <c r="E235" s="3123"/>
    </row>
    <row r="236" spans="1:5">
      <c r="A236" s="81">
        <f t="shared" si="6"/>
        <v>2014.11</v>
      </c>
      <c r="B236" s="831">
        <v>15.471180523083639</v>
      </c>
      <c r="C236" s="2401">
        <f t="shared" si="5"/>
        <v>2.0983336761983162E-2</v>
      </c>
      <c r="D236" s="1527"/>
      <c r="E236" s="3123"/>
    </row>
    <row r="237" spans="1:5">
      <c r="A237" s="81">
        <f t="shared" si="6"/>
        <v>2014.12</v>
      </c>
      <c r="B237" s="831">
        <v>15.703419682658437</v>
      </c>
      <c r="C237" s="2401">
        <f t="shared" si="5"/>
        <v>1.5011082006850529E-2</v>
      </c>
      <c r="D237" s="1527"/>
      <c r="E237" s="3123"/>
    </row>
    <row r="238" spans="1:5">
      <c r="A238" s="81">
        <f t="shared" si="6"/>
        <v>2015.01</v>
      </c>
      <c r="B238" s="831">
        <v>15.9948876211852</v>
      </c>
      <c r="C238" s="2401">
        <f t="shared" si="5"/>
        <v>1.8560794044665041E-2</v>
      </c>
      <c r="D238" s="1527"/>
      <c r="E238" s="3123"/>
    </row>
    <row r="239" spans="1:5">
      <c r="A239" s="81">
        <f t="shared" si="6"/>
        <v>2015.02</v>
      </c>
      <c r="B239" s="831">
        <v>16.234920041148413</v>
      </c>
      <c r="C239" s="2401">
        <f t="shared" si="5"/>
        <v>1.5006821282401051E-2</v>
      </c>
      <c r="D239" s="1527"/>
      <c r="E239" s="3123"/>
    </row>
    <row r="240" spans="1:5">
      <c r="A240" s="81">
        <f t="shared" si="6"/>
        <v>2015.03</v>
      </c>
      <c r="B240" s="831">
        <v>16.551326412918112</v>
      </c>
      <c r="C240" s="2401">
        <f t="shared" si="5"/>
        <v>1.9489247311828217E-2</v>
      </c>
      <c r="D240" s="1527"/>
      <c r="E240" s="3123"/>
    </row>
    <row r="241" spans="1:6">
      <c r="A241" s="81">
        <f t="shared" si="6"/>
        <v>2015.04</v>
      </c>
      <c r="B241" s="831">
        <v>16.831883786901088</v>
      </c>
      <c r="C241" s="2401">
        <f t="shared" si="5"/>
        <v>1.6950748658065562E-2</v>
      </c>
      <c r="D241" s="1527"/>
      <c r="E241" s="3123"/>
      <c r="F241" s="166"/>
    </row>
    <row r="242" spans="1:6">
      <c r="A242" s="81">
        <f t="shared" si="6"/>
        <v>2015.05</v>
      </c>
      <c r="B242" s="831">
        <v>17.185697808535178</v>
      </c>
      <c r="C242" s="2401">
        <f t="shared" si="5"/>
        <v>2.1020464857857135E-2</v>
      </c>
      <c r="D242" s="1527"/>
      <c r="E242" s="3123"/>
      <c r="F242" s="166"/>
    </row>
    <row r="243" spans="1:6">
      <c r="A243" s="81">
        <f t="shared" si="6"/>
        <v>2015.06</v>
      </c>
      <c r="B243" s="831">
        <v>17.500545528227189</v>
      </c>
      <c r="C243" s="2401">
        <f t="shared" si="5"/>
        <v>1.832033375657538E-2</v>
      </c>
      <c r="D243" s="1527"/>
      <c r="E243" s="3123"/>
      <c r="F243" s="166"/>
    </row>
    <row r="244" spans="1:6">
      <c r="A244" s="81">
        <f t="shared" si="6"/>
        <v>2015.07</v>
      </c>
      <c r="B244" s="831">
        <v>17.885532591414943</v>
      </c>
      <c r="C244" s="2401">
        <f t="shared" si="5"/>
        <v>2.1998574991093589E-2</v>
      </c>
      <c r="D244" s="1527"/>
      <c r="E244" s="3123"/>
      <c r="F244" s="166"/>
    </row>
    <row r="245" spans="1:6">
      <c r="A245" s="81">
        <f t="shared" si="6"/>
        <v>2015.08</v>
      </c>
      <c r="B245" s="831">
        <v>18.261167742136596</v>
      </c>
      <c r="C245" s="2401">
        <f t="shared" si="5"/>
        <v>2.1002178649237369E-2</v>
      </c>
      <c r="D245" s="1527"/>
      <c r="E245" s="3123"/>
      <c r="F245" s="166"/>
    </row>
    <row r="246" spans="1:6">
      <c r="A246" s="81">
        <f t="shared" si="6"/>
        <v>2015.09</v>
      </c>
      <c r="B246" s="831">
        <v>18.580691418061658</v>
      </c>
      <c r="C246" s="2401">
        <f t="shared" si="5"/>
        <v>1.7497439399112524E-2</v>
      </c>
      <c r="D246" s="1527"/>
      <c r="E246" s="3123"/>
      <c r="F246" s="166"/>
    </row>
    <row r="247" spans="1:6">
      <c r="A247" s="81">
        <f t="shared" si="6"/>
        <v>2015.1</v>
      </c>
      <c r="B247" s="831">
        <v>18.859690139966958</v>
      </c>
      <c r="C247" s="2401">
        <f t="shared" si="5"/>
        <v>1.5015518832312891E-2</v>
      </c>
      <c r="D247" s="1527"/>
      <c r="E247" s="3123"/>
      <c r="F247" s="166"/>
    </row>
    <row r="248" spans="1:6">
      <c r="A248" s="81">
        <f t="shared" si="6"/>
        <v>2015.11</v>
      </c>
      <c r="B248" s="831">
        <v>19.321051154961189</v>
      </c>
      <c r="C248" s="2401">
        <f t="shared" si="5"/>
        <v>2.4462809917355388E-2</v>
      </c>
      <c r="D248" s="1527"/>
      <c r="E248" s="3123"/>
      <c r="F248" s="166"/>
    </row>
    <row r="249" spans="1:6">
      <c r="A249" s="81">
        <f t="shared" si="6"/>
        <v>2015.12</v>
      </c>
      <c r="B249" s="831">
        <v>20.112846410424265</v>
      </c>
      <c r="C249" s="2401">
        <f t="shared" si="5"/>
        <v>4.0980961600516341E-2</v>
      </c>
      <c r="D249" s="1527"/>
      <c r="E249" s="3123"/>
      <c r="F249" s="166"/>
    </row>
    <row r="250" spans="1:6">
      <c r="A250" s="81">
        <f t="shared" si="6"/>
        <v>2016.01</v>
      </c>
      <c r="B250" s="831">
        <v>21.079210698587861</v>
      </c>
      <c r="C250" s="2401">
        <f t="shared" ref="C250:C262" si="7">B250/B249-1</f>
        <v>4.8047117172969722E-2</v>
      </c>
      <c r="D250" s="1527"/>
      <c r="E250" s="3123"/>
      <c r="F250" s="1429"/>
    </row>
    <row r="251" spans="1:6">
      <c r="A251" s="81">
        <f t="shared" si="6"/>
        <v>2016.02</v>
      </c>
      <c r="B251" s="831">
        <v>21.774369525234576</v>
      </c>
      <c r="C251" s="2401">
        <f t="shared" si="7"/>
        <v>3.2978408754806177E-2</v>
      </c>
      <c r="D251" s="1527"/>
      <c r="E251" s="3123"/>
      <c r="F251" s="1429"/>
    </row>
    <row r="252" spans="1:6">
      <c r="A252" s="81">
        <f t="shared" si="6"/>
        <v>2016.03</v>
      </c>
      <c r="B252" s="831">
        <v>22.580192649396803</v>
      </c>
      <c r="C252" s="2401">
        <f t="shared" si="7"/>
        <v>3.7007874015748232E-2</v>
      </c>
      <c r="D252" s="1527"/>
      <c r="E252" s="3123"/>
      <c r="F252" s="1429"/>
    </row>
    <row r="253" spans="1:6">
      <c r="A253" s="81">
        <f t="shared" si="6"/>
        <v>2016.04</v>
      </c>
      <c r="B253" s="831">
        <v>23.577729979114061</v>
      </c>
      <c r="C253" s="2401">
        <f t="shared" si="7"/>
        <v>4.4177538482777612E-2</v>
      </c>
      <c r="D253" s="1527"/>
      <c r="E253" s="3123"/>
      <c r="F253" s="1429"/>
    </row>
    <row r="254" spans="1:6">
      <c r="A254" s="81">
        <f t="shared" si="6"/>
        <v>2016.05</v>
      </c>
      <c r="B254" s="831">
        <v>24.592412481685837</v>
      </c>
      <c r="C254" s="2401">
        <f t="shared" si="7"/>
        <v>4.3035631652013073E-2</v>
      </c>
      <c r="D254" s="1527"/>
      <c r="E254" s="3123"/>
      <c r="F254" s="1429"/>
    </row>
    <row r="255" spans="1:6">
      <c r="A255" s="81">
        <f t="shared" si="6"/>
        <v>2016.06</v>
      </c>
      <c r="B255" s="831">
        <v>25.070918669534585</v>
      </c>
      <c r="C255" s="2401">
        <f t="shared" si="7"/>
        <v>1.945747242996565E-2</v>
      </c>
      <c r="D255" s="1527"/>
      <c r="E255" s="3123"/>
      <c r="F255" s="1429"/>
    </row>
    <row r="256" spans="1:6">
      <c r="A256" s="81">
        <f t="shared" si="6"/>
        <v>2016.07</v>
      </c>
      <c r="B256" s="831">
        <v>25.622681505034446</v>
      </c>
      <c r="C256" s="2401">
        <f t="shared" si="7"/>
        <v>2.2008082064034928E-2</v>
      </c>
      <c r="D256" s="1527"/>
      <c r="E256" s="3123"/>
      <c r="F256" s="1429"/>
    </row>
    <row r="257" spans="1:6">
      <c r="A257" s="81">
        <f t="shared" si="6"/>
        <v>2016.08</v>
      </c>
      <c r="B257" s="831">
        <v>26.032607001465134</v>
      </c>
      <c r="C257" s="2401">
        <f t="shared" si="7"/>
        <v>1.5998540057181154E-2</v>
      </c>
      <c r="D257" s="1527"/>
      <c r="E257" s="3123"/>
      <c r="F257" s="1429"/>
    </row>
    <row r="258" spans="1:6">
      <c r="A258" s="81">
        <f t="shared" si="6"/>
        <v>2016.09</v>
      </c>
      <c r="B258" s="831">
        <v>26.292901898438231</v>
      </c>
      <c r="C258" s="2401">
        <f t="shared" si="7"/>
        <v>9.9988025386181789E-3</v>
      </c>
      <c r="D258" s="1527"/>
      <c r="E258" s="3123"/>
      <c r="F258" s="1429"/>
    </row>
    <row r="259" spans="1:6">
      <c r="A259" s="81">
        <f t="shared" si="6"/>
        <v>2016.1</v>
      </c>
      <c r="B259" s="831">
        <v>26.740235044733314</v>
      </c>
      <c r="C259" s="2401">
        <f t="shared" si="7"/>
        <v>1.7013456636433721E-2</v>
      </c>
      <c r="D259" s="1527"/>
      <c r="E259" s="3123"/>
      <c r="F259" s="1429"/>
    </row>
    <row r="260" spans="1:6">
      <c r="A260" s="81">
        <f t="shared" si="6"/>
        <v>2016.11</v>
      </c>
      <c r="B260" s="831">
        <v>27.114311543377283</v>
      </c>
      <c r="C260" s="2401">
        <f>B260/B259-1</f>
        <v>1.3989274889251391E-2</v>
      </c>
      <c r="D260" s="1527"/>
      <c r="E260" s="3123"/>
      <c r="F260" s="166"/>
    </row>
    <row r="261" spans="1:6">
      <c r="A261" s="81">
        <f t="shared" si="6"/>
        <v>2016.12</v>
      </c>
      <c r="B261" s="831">
        <v>27.630225381090433</v>
      </c>
      <c r="C261" s="2401">
        <f>B261/B260-1</f>
        <v>1.9027362612094922E-2</v>
      </c>
      <c r="D261" s="1527"/>
      <c r="E261" s="3123"/>
      <c r="F261" s="166"/>
    </row>
    <row r="262" spans="1:6">
      <c r="A262" s="81">
        <f t="shared" si="6"/>
        <v>2017.01</v>
      </c>
      <c r="B262" s="831">
        <v>28.431372549019606</v>
      </c>
      <c r="C262" s="2401">
        <f t="shared" si="7"/>
        <v>2.89953178766853E-2</v>
      </c>
      <c r="D262" s="546">
        <v>13808</v>
      </c>
      <c r="E262" s="3123"/>
      <c r="F262" s="166"/>
    </row>
    <row r="263" spans="1:6">
      <c r="A263" s="81">
        <f t="shared" si="6"/>
        <v>2017.02</v>
      </c>
      <c r="B263" s="831">
        <v>28.886498955703104</v>
      </c>
      <c r="C263" s="2401">
        <f t="shared" ref="C263:C280" si="8">B263/B262-1</f>
        <v>1.600789430404026E-2</v>
      </c>
      <c r="D263" s="1530">
        <v>14116</v>
      </c>
      <c r="E263" s="3124">
        <f>D263/D262-1</f>
        <v>2.2305909617613029E-2</v>
      </c>
      <c r="F263" s="166"/>
    </row>
    <row r="264" spans="1:6">
      <c r="A264" s="81">
        <f t="shared" si="6"/>
        <v>2017.03</v>
      </c>
      <c r="B264" s="831">
        <v>29.377474360173323</v>
      </c>
      <c r="C264" s="2401">
        <f t="shared" si="8"/>
        <v>1.6996708573895347E-2</v>
      </c>
      <c r="D264" s="1530">
        <v>14686</v>
      </c>
      <c r="E264" s="3125">
        <f t="shared" ref="E264:E309" si="9">D264/D263-1</f>
        <v>4.0379710966279347E-2</v>
      </c>
      <c r="F264" s="166"/>
    </row>
    <row r="265" spans="1:6">
      <c r="A265" s="81">
        <f t="shared" si="6"/>
        <v>2017.04</v>
      </c>
      <c r="B265" s="831">
        <v>29.905857414507935</v>
      </c>
      <c r="C265" s="2401">
        <f t="shared" si="8"/>
        <v>1.7985993208828432E-2</v>
      </c>
      <c r="D265" s="1530">
        <v>15146</v>
      </c>
      <c r="E265" s="3125">
        <f t="shared" si="9"/>
        <v>3.1322347814244811E-2</v>
      </c>
      <c r="F265" s="166"/>
    </row>
    <row r="266" spans="1:6">
      <c r="A266" s="81">
        <f t="shared" si="6"/>
        <v>2017.05</v>
      </c>
      <c r="B266" s="831">
        <v>30.413977991832663</v>
      </c>
      <c r="C266" s="2401">
        <f t="shared" si="8"/>
        <v>1.6990670766664939E-2</v>
      </c>
      <c r="D266" s="1530">
        <v>15144</v>
      </c>
      <c r="E266" s="3125">
        <f t="shared" si="9"/>
        <v>-1.3204806549582671E-4</v>
      </c>
      <c r="F266" s="166"/>
    </row>
    <row r="267" spans="1:6">
      <c r="A267" s="81">
        <f t="shared" si="6"/>
        <v>2017.06</v>
      </c>
      <c r="B267" s="831">
        <v>30.74908818853455</v>
      </c>
      <c r="C267" s="2401">
        <f t="shared" si="8"/>
        <v>1.1018295495310637E-2</v>
      </c>
      <c r="D267" s="1530">
        <v>15465</v>
      </c>
      <c r="E267" s="3125">
        <f t="shared" si="9"/>
        <v>2.1196513470681522E-2</v>
      </c>
      <c r="F267" s="166"/>
    </row>
    <row r="268" spans="1:6">
      <c r="A268" s="81">
        <f t="shared" si="6"/>
        <v>2017.07</v>
      </c>
      <c r="B268" s="831">
        <v>31.302409676112099</v>
      </c>
      <c r="C268" s="2401">
        <f t="shared" si="8"/>
        <v>1.7994728304947527E-2</v>
      </c>
      <c r="D268" s="1530">
        <v>15419</v>
      </c>
      <c r="E268" s="3125">
        <f t="shared" si="9"/>
        <v>-2.9744584545748909E-3</v>
      </c>
      <c r="F268" s="166"/>
    </row>
    <row r="269" spans="1:6">
      <c r="A269" s="81">
        <f t="shared" si="6"/>
        <v>2017.08</v>
      </c>
      <c r="B269" s="831">
        <v>31.833910034602077</v>
      </c>
      <c r="C269" s="2401">
        <f t="shared" si="8"/>
        <v>1.6979534930040341E-2</v>
      </c>
      <c r="D269" s="1530">
        <v>16184</v>
      </c>
      <c r="E269" s="3125">
        <f t="shared" si="9"/>
        <v>4.961411245865488E-2</v>
      </c>
      <c r="F269" s="166"/>
    </row>
    <row r="270" spans="1:6">
      <c r="A270" s="81">
        <f t="shared" si="6"/>
        <v>2017.09</v>
      </c>
      <c r="B270" s="831">
        <v>32.151875058449455</v>
      </c>
      <c r="C270" s="2401">
        <f t="shared" si="8"/>
        <v>9.9882491186840117E-3</v>
      </c>
      <c r="D270" s="1530">
        <v>16367</v>
      </c>
      <c r="E270" s="3125">
        <f t="shared" si="9"/>
        <v>1.130746416213535E-2</v>
      </c>
      <c r="F270" s="166"/>
    </row>
    <row r="271" spans="1:6">
      <c r="A271" s="81">
        <f t="shared" si="6"/>
        <v>2017.1</v>
      </c>
      <c r="B271" s="831">
        <v>32.762866672901275</v>
      </c>
      <c r="C271" s="2401">
        <f t="shared" si="8"/>
        <v>1.9003296490207378E-2</v>
      </c>
      <c r="D271" s="1530">
        <v>16874</v>
      </c>
      <c r="E271" s="3125">
        <f t="shared" si="9"/>
        <v>3.0976965845909366E-2</v>
      </c>
      <c r="F271" s="166"/>
    </row>
    <row r="272" spans="1:6">
      <c r="A272" s="81">
        <f t="shared" si="6"/>
        <v>2017.11</v>
      </c>
      <c r="B272" s="831">
        <v>33.288132423080519</v>
      </c>
      <c r="C272" s="2401">
        <f t="shared" si="8"/>
        <v>1.6032350142721086E-2</v>
      </c>
      <c r="D272" s="1530">
        <v>16774</v>
      </c>
      <c r="E272" s="3125">
        <f t="shared" si="9"/>
        <v>-5.9262771127177594E-3</v>
      </c>
      <c r="F272" s="166"/>
    </row>
    <row r="273" spans="1:5">
      <c r="A273" s="81">
        <f t="shared" si="6"/>
        <v>2017.12</v>
      </c>
      <c r="B273" s="831">
        <v>34.001995074659433</v>
      </c>
      <c r="C273" s="2401">
        <f t="shared" si="8"/>
        <v>2.1444959498056804E-2</v>
      </c>
      <c r="D273" s="1530">
        <v>16736</v>
      </c>
      <c r="E273" s="3125">
        <f t="shared" si="9"/>
        <v>-2.2654107547395164E-3</v>
      </c>
    </row>
    <row r="274" spans="1:5">
      <c r="A274" s="81">
        <f t="shared" si="6"/>
        <v>2018.01</v>
      </c>
      <c r="B274" s="831">
        <v>34.801583590510923</v>
      </c>
      <c r="C274" s="2401">
        <f t="shared" si="8"/>
        <v>2.3515929406371594E-2</v>
      </c>
      <c r="D274" s="1530">
        <v>16934</v>
      </c>
      <c r="E274" s="3125">
        <f t="shared" si="9"/>
        <v>1.1830783938814537E-2</v>
      </c>
    </row>
    <row r="275" spans="1:5">
      <c r="A275" s="81">
        <f t="shared" si="6"/>
        <v>2018.02</v>
      </c>
      <c r="B275" s="831">
        <v>35.679104710246577</v>
      </c>
      <c r="C275" s="2401">
        <f t="shared" si="8"/>
        <v>2.5214976710856263E-2</v>
      </c>
      <c r="D275" s="1530">
        <v>17461</v>
      </c>
      <c r="E275" s="3125">
        <f t="shared" si="9"/>
        <v>3.1120822014881311E-2</v>
      </c>
    </row>
    <row r="276" spans="1:5">
      <c r="A276" s="81">
        <f t="shared" si="6"/>
        <v>2018.03</v>
      </c>
      <c r="B276" s="831">
        <v>36.441285576233675</v>
      </c>
      <c r="C276" s="2401">
        <f t="shared" si="8"/>
        <v>2.1362107378445794E-2</v>
      </c>
      <c r="D276" s="1530">
        <v>17657</v>
      </c>
      <c r="E276" s="3125">
        <f t="shared" si="9"/>
        <v>1.1225015749384282E-2</v>
      </c>
    </row>
    <row r="277" spans="1:5">
      <c r="A277" s="81">
        <f t="shared" si="6"/>
        <v>2018.04</v>
      </c>
      <c r="B277" s="831">
        <v>37.005517628354994</v>
      </c>
      <c r="C277" s="2401">
        <f t="shared" si="8"/>
        <v>1.5483319076133206E-2</v>
      </c>
      <c r="D277" s="1530">
        <v>17538</v>
      </c>
      <c r="E277" s="3125">
        <f t="shared" si="9"/>
        <v>-6.7395367276433804E-3</v>
      </c>
    </row>
    <row r="278" spans="1:5">
      <c r="A278" s="81">
        <f t="shared" si="6"/>
        <v>2018.05</v>
      </c>
      <c r="B278" s="831">
        <v>37.828485925371737</v>
      </c>
      <c r="C278" s="2401">
        <f t="shared" si="8"/>
        <v>2.2239070002527228E-2</v>
      </c>
      <c r="D278" s="1530">
        <v>18392</v>
      </c>
      <c r="E278" s="3125">
        <f t="shared" si="9"/>
        <v>4.8694263884137223E-2</v>
      </c>
    </row>
    <row r="279" spans="1:5">
      <c r="A279" s="81">
        <f t="shared" si="6"/>
        <v>2018.06</v>
      </c>
      <c r="B279" s="831">
        <v>39.19074784126687</v>
      </c>
      <c r="C279" s="2401">
        <f t="shared" si="8"/>
        <v>3.6011536876802586E-2</v>
      </c>
      <c r="D279" s="1530">
        <v>19355</v>
      </c>
      <c r="E279" s="3125">
        <f t="shared" si="9"/>
        <v>5.2359721618094879E-2</v>
      </c>
    </row>
    <row r="280" spans="1:5">
      <c r="A280" s="81">
        <f t="shared" si="6"/>
        <v>2018.07</v>
      </c>
      <c r="B280" s="831">
        <v>40.523395367686028</v>
      </c>
      <c r="C280" s="2401">
        <f t="shared" si="8"/>
        <v>3.4004136175628474E-2</v>
      </c>
      <c r="D280" s="1530">
        <v>20400</v>
      </c>
      <c r="E280" s="3125">
        <f t="shared" si="9"/>
        <v>5.3991216739860404E-2</v>
      </c>
    </row>
    <row r="281" spans="1:5">
      <c r="A281" s="81">
        <f t="shared" si="6"/>
        <v>2018.08</v>
      </c>
      <c r="B281" s="831">
        <v>42.184918482496336</v>
      </c>
      <c r="C281" s="2401">
        <f t="shared" ref="C281:C291" si="10">B281/B280-1</f>
        <v>4.100157698372997E-2</v>
      </c>
      <c r="D281" s="1530">
        <v>20748</v>
      </c>
      <c r="E281" s="3125">
        <f t="shared" si="9"/>
        <v>1.7058823529411793E-2</v>
      </c>
    </row>
    <row r="282" spans="1:5">
      <c r="A282" s="81">
        <f t="shared" si="6"/>
        <v>2018.09</v>
      </c>
      <c r="B282" s="831">
        <v>44.420025561894072</v>
      </c>
      <c r="C282" s="2401">
        <f t="shared" si="10"/>
        <v>5.2983558100868189E-2</v>
      </c>
      <c r="D282" s="1530">
        <v>22455</v>
      </c>
      <c r="E282" s="3125">
        <f t="shared" si="9"/>
        <v>8.2272990167727045E-2</v>
      </c>
    </row>
    <row r="283" spans="1:5">
      <c r="A283" s="81">
        <f t="shared" si="6"/>
        <v>2018.1</v>
      </c>
      <c r="B283" s="831">
        <v>47.085320614732382</v>
      </c>
      <c r="C283" s="2401">
        <f t="shared" si="10"/>
        <v>6.0002105337029432E-2</v>
      </c>
      <c r="D283" s="1530">
        <v>24777</v>
      </c>
      <c r="E283" s="3125">
        <f t="shared" si="9"/>
        <v>0.10340681362725457</v>
      </c>
    </row>
    <row r="284" spans="1:5">
      <c r="A284" s="81">
        <f t="shared" si="6"/>
        <v>2018.11</v>
      </c>
      <c r="B284" s="831">
        <v>48.262102933383211</v>
      </c>
      <c r="C284" s="2401">
        <f t="shared" si="10"/>
        <v>2.4992551888510128E-2</v>
      </c>
      <c r="D284" s="1530">
        <v>26136</v>
      </c>
      <c r="E284" s="3125">
        <f t="shared" si="9"/>
        <v>5.4849255357791504E-2</v>
      </c>
    </row>
    <row r="285" spans="1:5">
      <c r="A285" s="81">
        <f t="shared" si="6"/>
        <v>2018.12</v>
      </c>
      <c r="B285" s="831">
        <v>49.323544998285477</v>
      </c>
      <c r="C285" s="2401">
        <f t="shared" si="10"/>
        <v>2.1993282521637791E-2</v>
      </c>
      <c r="D285" s="1530">
        <v>26268</v>
      </c>
      <c r="E285" s="3125">
        <f t="shared" si="9"/>
        <v>5.050505050504972E-3</v>
      </c>
    </row>
    <row r="286" spans="1:5">
      <c r="A286" s="81">
        <f t="shared" si="6"/>
        <v>2019.01</v>
      </c>
      <c r="B286" s="831">
        <v>50.508120577324732</v>
      </c>
      <c r="C286" s="2401">
        <f t="shared" si="10"/>
        <v>2.4016432295781431E-2</v>
      </c>
      <c r="D286" s="1530">
        <v>27094</v>
      </c>
      <c r="E286" s="3125">
        <f t="shared" si="9"/>
        <v>3.1445104309425931E-2</v>
      </c>
    </row>
    <row r="287" spans="1:5">
      <c r="A287" s="81">
        <f t="shared" si="6"/>
        <v>2019.02</v>
      </c>
      <c r="B287" s="831">
        <v>52.528133670002177</v>
      </c>
      <c r="C287" s="2401">
        <f t="shared" si="10"/>
        <v>3.9993828112945273E-2</v>
      </c>
      <c r="D287" s="1530">
        <v>28199</v>
      </c>
      <c r="E287" s="3125">
        <f t="shared" si="9"/>
        <v>4.0783937403115145E-2</v>
      </c>
    </row>
    <row r="288" spans="1:5">
      <c r="A288" s="81">
        <f t="shared" si="6"/>
        <v>2019.03</v>
      </c>
      <c r="B288" s="831">
        <v>54.314348951027149</v>
      </c>
      <c r="C288" s="2401">
        <f t="shared" si="10"/>
        <v>3.4004925669861574E-2</v>
      </c>
      <c r="D288" s="1530">
        <v>29290</v>
      </c>
      <c r="E288" s="3125">
        <f t="shared" si="9"/>
        <v>3.8689315223944032E-2</v>
      </c>
    </row>
    <row r="289" spans="1:5">
      <c r="A289" s="81">
        <f t="shared" si="6"/>
        <v>2019.04</v>
      </c>
      <c r="B289" s="831">
        <v>55.78104055612706</v>
      </c>
      <c r="C289" s="2401">
        <f t="shared" si="10"/>
        <v>2.7003759290613161E-2</v>
      </c>
      <c r="D289" s="1530">
        <v>30252</v>
      </c>
      <c r="E289" s="3125">
        <f t="shared" si="9"/>
        <v>3.2843974052577662E-2</v>
      </c>
    </row>
    <row r="290" spans="1:5">
      <c r="A290" s="81">
        <f t="shared" si="6"/>
        <v>2019.05</v>
      </c>
      <c r="B290" s="831">
        <v>57.844695906979638</v>
      </c>
      <c r="C290" s="2401">
        <f t="shared" si="10"/>
        <v>3.6995640996982049E-2</v>
      </c>
      <c r="D290" s="1530">
        <v>31015</v>
      </c>
      <c r="E290" s="3125">
        <f t="shared" si="9"/>
        <v>2.5221472960465396E-2</v>
      </c>
    </row>
    <row r="291" spans="1:5">
      <c r="A291" s="81">
        <f t="shared" si="6"/>
        <v>2019.06</v>
      </c>
      <c r="B291" s="831">
        <v>59.348795161943947</v>
      </c>
      <c r="C291" s="2401">
        <f t="shared" si="10"/>
        <v>2.6002371200689822E-2</v>
      </c>
      <c r="D291" s="1530">
        <v>31751</v>
      </c>
      <c r="E291" s="3125">
        <f t="shared" si="9"/>
        <v>2.3730453006609808E-2</v>
      </c>
    </row>
    <row r="292" spans="1:5">
      <c r="A292" s="81">
        <f t="shared" si="6"/>
        <v>2019.07</v>
      </c>
      <c r="B292" s="831">
        <v>60.773403160946415</v>
      </c>
      <c r="C292" s="2401">
        <f t="shared" ref="C292:C301" si="11">B292/B291-1</f>
        <v>2.4003991911127454E-2</v>
      </c>
      <c r="D292" s="1530">
        <v>32778</v>
      </c>
      <c r="E292" s="3125">
        <f t="shared" si="9"/>
        <v>3.2345437938962496E-2</v>
      </c>
    </row>
    <row r="293" spans="1:5">
      <c r="A293" s="81">
        <f t="shared" si="6"/>
        <v>2019.08</v>
      </c>
      <c r="B293" s="831">
        <v>63.628853767262072</v>
      </c>
      <c r="C293" s="2401">
        <f t="shared" si="11"/>
        <v>4.6985201713215741E-2</v>
      </c>
      <c r="D293" s="1530">
        <v>33876</v>
      </c>
      <c r="E293" s="3125">
        <f t="shared" si="9"/>
        <v>3.349807797913229E-2</v>
      </c>
    </row>
    <row r="294" spans="1:5">
      <c r="A294" s="81">
        <f t="shared" ref="A294:A357" si="12">A282+1</f>
        <v>2019.09</v>
      </c>
      <c r="B294" s="831">
        <v>67.447551357585951</v>
      </c>
      <c r="C294" s="2401">
        <f t="shared" si="11"/>
        <v>6.0015187516840873E-2</v>
      </c>
      <c r="D294" s="1530">
        <v>35186</v>
      </c>
      <c r="E294" s="3125">
        <f t="shared" si="9"/>
        <v>3.8670445152910515E-2</v>
      </c>
    </row>
    <row r="295" spans="1:5">
      <c r="A295" s="81">
        <f t="shared" si="12"/>
        <v>2019.1</v>
      </c>
      <c r="B295" s="831">
        <v>69.94295333395678</v>
      </c>
      <c r="C295" s="2401">
        <f t="shared" si="11"/>
        <v>3.6997665981096661E-2</v>
      </c>
      <c r="D295" s="1530">
        <v>36452</v>
      </c>
      <c r="E295" s="3125">
        <f t="shared" si="9"/>
        <v>3.5980219405445268E-2</v>
      </c>
    </row>
    <row r="296" spans="1:5">
      <c r="A296" s="81">
        <f t="shared" si="12"/>
        <v>2019.11</v>
      </c>
      <c r="B296" s="831">
        <v>73.649427974687484</v>
      </c>
      <c r="C296" s="2401">
        <f t="shared" si="11"/>
        <v>5.2992824352631862E-2</v>
      </c>
      <c r="D296" s="1530">
        <v>38517</v>
      </c>
      <c r="E296" s="3125">
        <f t="shared" si="9"/>
        <v>5.6649840886645375E-2</v>
      </c>
    </row>
    <row r="297" spans="1:5">
      <c r="A297" s="81">
        <f t="shared" si="12"/>
        <v>2019.12</v>
      </c>
      <c r="B297" s="831">
        <v>76.816608996539784</v>
      </c>
      <c r="C297" s="2401">
        <f t="shared" si="11"/>
        <v>4.3003470752560613E-2</v>
      </c>
      <c r="D297" s="1530">
        <v>40046</v>
      </c>
      <c r="E297" s="3125">
        <f t="shared" si="9"/>
        <v>3.9696757276008077E-2</v>
      </c>
    </row>
    <row r="298" spans="1:5">
      <c r="A298" s="81">
        <f t="shared" si="12"/>
        <v>2020.01</v>
      </c>
      <c r="B298" s="831">
        <v>78.813242308051983</v>
      </c>
      <c r="C298" s="2401">
        <f t="shared" si="11"/>
        <v>2.5992208424640673E-2</v>
      </c>
      <c r="D298" s="1530">
        <v>41395</v>
      </c>
      <c r="E298" s="3125">
        <f t="shared" si="9"/>
        <v>3.3686260800079859E-2</v>
      </c>
    </row>
    <row r="299" spans="1:5">
      <c r="A299" s="81">
        <f t="shared" si="12"/>
        <v>2020.02</v>
      </c>
      <c r="B299" s="831">
        <v>80.231615698743724</v>
      </c>
      <c r="C299" s="2401">
        <f t="shared" si="11"/>
        <v>1.7996637990705278E-2</v>
      </c>
      <c r="D299" s="1530">
        <v>42868</v>
      </c>
      <c r="E299" s="3125">
        <f t="shared" si="9"/>
        <v>3.5584007730402156E-2</v>
      </c>
    </row>
    <row r="300" spans="1:5">
      <c r="A300" s="81">
        <f t="shared" si="12"/>
        <v>2020.03</v>
      </c>
      <c r="B300" s="831">
        <v>81.837027338757437</v>
      </c>
      <c r="C300" s="2401">
        <f t="shared" si="11"/>
        <v>2.0009713453132516E-2</v>
      </c>
      <c r="D300" s="1530">
        <v>44274</v>
      </c>
      <c r="E300" s="3125">
        <f t="shared" si="9"/>
        <v>3.2798357749370233E-2</v>
      </c>
    </row>
    <row r="301" spans="1:5">
      <c r="A301" s="81">
        <f t="shared" si="12"/>
        <v>2020.04</v>
      </c>
      <c r="B301" s="831">
        <v>82.818978147697862</v>
      </c>
      <c r="C301" s="2401">
        <f t="shared" si="11"/>
        <v>1.1998857251690254E-2</v>
      </c>
      <c r="D301" s="1530">
        <v>44780</v>
      </c>
      <c r="E301" s="3125">
        <f t="shared" si="9"/>
        <v>1.1428829561367815E-2</v>
      </c>
    </row>
    <row r="302" spans="1:5">
      <c r="A302" s="81">
        <f t="shared" si="12"/>
        <v>2020.05</v>
      </c>
      <c r="B302" s="831">
        <v>83.564013840830455</v>
      </c>
      <c r="C302" s="2401">
        <f t="shared" ref="C302:C309" si="13">B302/B301-1</f>
        <v>8.9959537028325709E-3</v>
      </c>
      <c r="D302" s="1530">
        <v>45483</v>
      </c>
      <c r="E302" s="3125">
        <f t="shared" si="9"/>
        <v>1.5698972755694429E-2</v>
      </c>
    </row>
    <row r="303" spans="1:5">
      <c r="A303" s="81">
        <f t="shared" si="12"/>
        <v>2020.06</v>
      </c>
      <c r="B303" s="831">
        <v>84.985504535677549</v>
      </c>
      <c r="C303" s="2401">
        <f t="shared" si="13"/>
        <v>1.7010799619495254E-2</v>
      </c>
      <c r="D303" s="1530">
        <v>46168</v>
      </c>
      <c r="E303" s="3125">
        <f t="shared" si="9"/>
        <v>1.5060572081876833E-2</v>
      </c>
    </row>
    <row r="304" spans="1:5">
      <c r="A304" s="81">
        <f t="shared" si="12"/>
        <v>2020.07</v>
      </c>
      <c r="B304" s="831">
        <v>86.684435300352263</v>
      </c>
      <c r="C304" s="2401">
        <f t="shared" si="13"/>
        <v>1.9990829894543927E-2</v>
      </c>
      <c r="D304" s="1530">
        <v>46662</v>
      </c>
      <c r="E304" s="3125">
        <f t="shared" si="9"/>
        <v>1.0700051984058323E-2</v>
      </c>
    </row>
    <row r="305" spans="1:5">
      <c r="A305" s="81">
        <f t="shared" si="12"/>
        <v>2020.08</v>
      </c>
      <c r="B305" s="831">
        <v>88.765235824059346</v>
      </c>
      <c r="C305" s="2401">
        <f t="shared" si="13"/>
        <v>2.4004315382540442E-2</v>
      </c>
      <c r="D305" s="1530">
        <v>47212</v>
      </c>
      <c r="E305" s="3125">
        <f t="shared" si="9"/>
        <v>1.1786892975011787E-2</v>
      </c>
    </row>
    <row r="306" spans="1:5">
      <c r="A306" s="81">
        <f t="shared" si="12"/>
        <v>2020.09</v>
      </c>
      <c r="B306" s="831">
        <v>91.162442719536145</v>
      </c>
      <c r="C306" s="2401">
        <f t="shared" si="13"/>
        <v>2.7006145741878873E-2</v>
      </c>
      <c r="D306" s="1530">
        <v>48588</v>
      </c>
      <c r="E306" s="3125">
        <f t="shared" si="9"/>
        <v>2.9145132593408452E-2</v>
      </c>
    </row>
    <row r="307" spans="1:5">
      <c r="A307" s="81">
        <f t="shared" si="12"/>
        <v>2020.1</v>
      </c>
      <c r="B307" s="831">
        <v>94.443405343059325</v>
      </c>
      <c r="C307" s="2401">
        <f t="shared" si="13"/>
        <v>3.5990288606209786E-2</v>
      </c>
      <c r="D307" s="1530">
        <v>50953</v>
      </c>
      <c r="E307" s="3125">
        <f t="shared" si="9"/>
        <v>4.8674569852638516E-2</v>
      </c>
    </row>
    <row r="308" spans="1:5">
      <c r="A308" s="81">
        <f t="shared" si="12"/>
        <v>2020.11</v>
      </c>
      <c r="B308" s="831">
        <v>97.181957043548735</v>
      </c>
      <c r="C308" s="2401">
        <f t="shared" si="13"/>
        <v>2.899674879936609E-2</v>
      </c>
      <c r="D308" s="1530">
        <v>53550</v>
      </c>
      <c r="E308" s="3125">
        <f t="shared" si="9"/>
        <v>5.0968539634565158E-2</v>
      </c>
    </row>
    <row r="309" spans="1:5">
      <c r="A309" s="81">
        <f t="shared" si="12"/>
        <v>2020.12</v>
      </c>
      <c r="B309" s="1531">
        <v>100</v>
      </c>
      <c r="C309" s="2401">
        <f t="shared" si="13"/>
        <v>2.8997594226142676E-2</v>
      </c>
      <c r="D309" s="1530">
        <v>56402</v>
      </c>
      <c r="E309" s="3125">
        <f t="shared" si="9"/>
        <v>5.3258636788048541E-2</v>
      </c>
    </row>
    <row r="310" spans="1:5">
      <c r="A310" s="81">
        <f t="shared" si="12"/>
        <v>2021.01</v>
      </c>
      <c r="B310" s="1531">
        <v>104.2</v>
      </c>
      <c r="C310" s="2401">
        <f t="shared" ref="C310:C369" si="14">B310/B309-1</f>
        <v>4.2000000000000037E-2</v>
      </c>
      <c r="D310" s="1530">
        <v>59971</v>
      </c>
      <c r="E310" s="3125">
        <f t="shared" ref="E310:E369" si="15">D310/D309-1</f>
        <v>6.3277897946881323E-2</v>
      </c>
    </row>
    <row r="311" spans="1:5">
      <c r="A311" s="81">
        <f t="shared" si="12"/>
        <v>2021.02</v>
      </c>
      <c r="B311" s="1531">
        <v>107.2</v>
      </c>
      <c r="C311" s="2401">
        <f t="shared" si="14"/>
        <v>2.8790786948176494E-2</v>
      </c>
      <c r="D311" s="1530">
        <v>61385</v>
      </c>
      <c r="E311" s="3125">
        <f t="shared" si="15"/>
        <v>2.3578062730319704E-2</v>
      </c>
    </row>
    <row r="312" spans="1:5">
      <c r="A312" s="81">
        <f t="shared" si="12"/>
        <v>2021.03</v>
      </c>
      <c r="B312" s="1531">
        <v>111.1</v>
      </c>
      <c r="C312" s="2401">
        <f t="shared" si="14"/>
        <v>3.6380597014925353E-2</v>
      </c>
      <c r="D312" s="1530">
        <v>63781</v>
      </c>
      <c r="E312" s="3125">
        <f t="shared" si="15"/>
        <v>3.9032336890119756E-2</v>
      </c>
    </row>
    <row r="313" spans="1:5">
      <c r="A313" s="81">
        <f t="shared" si="12"/>
        <v>2021.04</v>
      </c>
      <c r="B313" s="1531">
        <v>116.9</v>
      </c>
      <c r="C313" s="2401">
        <f t="shared" si="14"/>
        <v>5.2205220522052231E-2</v>
      </c>
      <c r="D313" s="1530">
        <v>66016</v>
      </c>
      <c r="E313" s="3125">
        <f t="shared" si="15"/>
        <v>3.5041783603267485E-2</v>
      </c>
    </row>
    <row r="314" spans="1:5">
      <c r="A314" s="81">
        <f t="shared" si="12"/>
        <v>2021.05</v>
      </c>
      <c r="B314" s="1531">
        <v>120.6</v>
      </c>
      <c r="C314" s="2401">
        <f t="shared" si="14"/>
        <v>3.1650983746791983E-2</v>
      </c>
      <c r="D314" s="1530">
        <v>68307</v>
      </c>
      <c r="E314" s="3125">
        <f t="shared" si="15"/>
        <v>3.4703708191953453E-2</v>
      </c>
    </row>
    <row r="315" spans="1:5">
      <c r="A315" s="81">
        <f t="shared" si="12"/>
        <v>2021.06</v>
      </c>
      <c r="B315" s="1531">
        <v>125.4</v>
      </c>
      <c r="C315" s="2401">
        <f t="shared" si="14"/>
        <v>3.9800995024875663E-2</v>
      </c>
      <c r="D315" s="1530">
        <v>71529</v>
      </c>
      <c r="E315" s="3125">
        <f t="shared" si="15"/>
        <v>4.7169396987131629E-2</v>
      </c>
    </row>
    <row r="316" spans="1:5">
      <c r="A316" s="81">
        <f t="shared" si="12"/>
        <v>2021.07</v>
      </c>
      <c r="B316" s="1531">
        <v>129</v>
      </c>
      <c r="C316" s="2401">
        <f t="shared" si="14"/>
        <v>2.8708133971291794E-2</v>
      </c>
      <c r="D316" s="1530">
        <v>72935</v>
      </c>
      <c r="E316" s="3125">
        <f t="shared" si="15"/>
        <v>1.9656363153406353E-2</v>
      </c>
    </row>
    <row r="317" spans="1:5">
      <c r="A317" s="81">
        <f t="shared" si="12"/>
        <v>2021.08</v>
      </c>
      <c r="B317" s="1531">
        <v>132.69999999999999</v>
      </c>
      <c r="C317" s="2401">
        <f t="shared" si="14"/>
        <v>2.8682170542635665E-2</v>
      </c>
      <c r="D317" s="1530">
        <v>75074</v>
      </c>
      <c r="E317" s="3125">
        <f t="shared" si="15"/>
        <v>2.932748337560831E-2</v>
      </c>
    </row>
    <row r="318" spans="1:5">
      <c r="A318" s="81">
        <f t="shared" si="12"/>
        <v>2021.09</v>
      </c>
      <c r="B318" s="1531">
        <v>136.30000000000001</v>
      </c>
      <c r="C318" s="2401">
        <f t="shared" si="14"/>
        <v>2.7128862094951245E-2</v>
      </c>
      <c r="D318" s="1530">
        <v>77098</v>
      </c>
      <c r="E318" s="3125">
        <f t="shared" si="15"/>
        <v>2.696006606814616E-2</v>
      </c>
    </row>
    <row r="319" spans="1:5">
      <c r="A319" s="81">
        <f t="shared" si="12"/>
        <v>2021.1</v>
      </c>
      <c r="B319" s="1531">
        <v>139.6</v>
      </c>
      <c r="C319" s="2401">
        <f t="shared" si="14"/>
        <v>2.4211298606016118E-2</v>
      </c>
      <c r="D319" s="1530">
        <v>79623</v>
      </c>
      <c r="E319" s="3125">
        <f t="shared" si="15"/>
        <v>3.2750525305455414E-2</v>
      </c>
    </row>
    <row r="320" spans="1:5">
      <c r="A320" s="81">
        <f t="shared" si="12"/>
        <v>2021.11</v>
      </c>
      <c r="B320" s="1531">
        <v>143.19999999999999</v>
      </c>
      <c r="C320" s="2401">
        <f t="shared" si="14"/>
        <v>2.5787965616045794E-2</v>
      </c>
      <c r="D320" s="1530">
        <v>82157</v>
      </c>
      <c r="E320" s="3125">
        <f t="shared" si="15"/>
        <v>3.1824975195609229E-2</v>
      </c>
    </row>
    <row r="321" spans="1:6">
      <c r="A321" s="81">
        <f t="shared" si="12"/>
        <v>2021.12</v>
      </c>
      <c r="B321" s="1531">
        <v>148.1</v>
      </c>
      <c r="C321" s="2401">
        <f t="shared" si="14"/>
        <v>3.4217877094972149E-2</v>
      </c>
      <c r="D321" s="1530">
        <v>84248</v>
      </c>
      <c r="E321" s="3125">
        <f t="shared" si="15"/>
        <v>2.5451270129142944E-2</v>
      </c>
      <c r="F321" s="166"/>
    </row>
    <row r="322" spans="1:6">
      <c r="A322" s="81">
        <f t="shared" si="12"/>
        <v>2022.01</v>
      </c>
      <c r="B322" s="1531">
        <v>153</v>
      </c>
      <c r="C322" s="2401">
        <f t="shared" si="14"/>
        <v>3.3085752869682628E-2</v>
      </c>
      <c r="D322" s="1530">
        <v>89131</v>
      </c>
      <c r="E322" s="3125">
        <f t="shared" si="15"/>
        <v>5.7959832874370898E-2</v>
      </c>
      <c r="F322" s="166"/>
    </row>
    <row r="323" spans="1:6">
      <c r="A323" s="81">
        <f t="shared" si="12"/>
        <v>2022.02</v>
      </c>
      <c r="B323" s="1531">
        <v>161.1</v>
      </c>
      <c r="C323" s="2401">
        <f t="shared" si="14"/>
        <v>5.2941176470588269E-2</v>
      </c>
      <c r="D323" s="1530">
        <v>95441</v>
      </c>
      <c r="E323" s="3125">
        <f>D323/D322-1</f>
        <v>7.0794673009390685E-2</v>
      </c>
      <c r="F323" s="166"/>
    </row>
    <row r="324" spans="1:6">
      <c r="A324" s="81">
        <f t="shared" si="12"/>
        <v>2022.03</v>
      </c>
      <c r="B324" s="1531">
        <v>169.7</v>
      </c>
      <c r="C324" s="2401">
        <f t="shared" si="14"/>
        <v>5.3382991930478019E-2</v>
      </c>
      <c r="D324" s="1530">
        <v>100749</v>
      </c>
      <c r="E324" s="3125">
        <f t="shared" si="15"/>
        <v>5.5615511153487507E-2</v>
      </c>
      <c r="F324" s="166"/>
    </row>
    <row r="325" spans="1:6">
      <c r="A325" s="81">
        <f t="shared" si="12"/>
        <v>2022.04</v>
      </c>
      <c r="B325" s="1531">
        <v>176.3</v>
      </c>
      <c r="C325" s="2401">
        <f t="shared" si="14"/>
        <v>3.8892162639952987E-2</v>
      </c>
      <c r="D325" s="1530">
        <v>106340</v>
      </c>
      <c r="E325" s="3125">
        <f t="shared" si="15"/>
        <v>5.5494347338435057E-2</v>
      </c>
      <c r="F325" s="166"/>
    </row>
    <row r="326" spans="1:6">
      <c r="A326" s="81">
        <f t="shared" si="12"/>
        <v>2022.05</v>
      </c>
      <c r="B326" s="1531">
        <v>186.5</v>
      </c>
      <c r="C326" s="2401">
        <f t="shared" si="14"/>
        <v>5.7855927396483153E-2</v>
      </c>
      <c r="D326" s="1530">
        <v>112480</v>
      </c>
      <c r="E326" s="3125">
        <f t="shared" si="15"/>
        <v>5.7739326687981984E-2</v>
      </c>
      <c r="F326" s="166"/>
    </row>
    <row r="327" spans="1:6">
      <c r="A327" s="81">
        <f t="shared" si="12"/>
        <v>2022.06</v>
      </c>
      <c r="B327" s="1531">
        <v>196.4</v>
      </c>
      <c r="C327" s="2401">
        <f t="shared" si="14"/>
        <v>5.3083109919570992E-2</v>
      </c>
      <c r="D327" s="1530">
        <v>117202</v>
      </c>
      <c r="E327" s="3125">
        <f t="shared" si="15"/>
        <v>4.1980796586059688E-2</v>
      </c>
      <c r="F327" s="166"/>
    </row>
    <row r="328" spans="1:6">
      <c r="A328" s="81">
        <f t="shared" si="12"/>
        <v>2022.07</v>
      </c>
      <c r="B328" s="1531">
        <v>208.5</v>
      </c>
      <c r="C328" s="2401">
        <f t="shared" si="14"/>
        <v>6.1608961303462273E-2</v>
      </c>
      <c r="D328" s="1530">
        <v>125993</v>
      </c>
      <c r="E328" s="3125">
        <f t="shared" si="15"/>
        <v>7.5007252435965288E-2</v>
      </c>
      <c r="F328" s="166"/>
    </row>
    <row r="329" spans="1:6">
      <c r="A329" s="81">
        <f t="shared" si="12"/>
        <v>2022.08</v>
      </c>
      <c r="B329" s="1531">
        <v>219.6</v>
      </c>
      <c r="C329" s="2401">
        <f t="shared" si="14"/>
        <v>5.3237410071942382E-2</v>
      </c>
      <c r="D329" s="1530">
        <v>133656</v>
      </c>
      <c r="E329" s="3125">
        <f t="shared" si="15"/>
        <v>6.0820839252974324E-2</v>
      </c>
      <c r="F329" s="1340"/>
    </row>
    <row r="330" spans="1:6">
      <c r="A330" s="81">
        <f t="shared" si="12"/>
        <v>2022.09</v>
      </c>
      <c r="B330" s="1531">
        <v>236.1</v>
      </c>
      <c r="C330" s="2401">
        <f t="shared" si="14"/>
        <v>7.5136612021857951E-2</v>
      </c>
      <c r="D330" s="1530">
        <v>145880</v>
      </c>
      <c r="E330" s="3125">
        <f t="shared" si="15"/>
        <v>9.1458670018555122E-2</v>
      </c>
      <c r="F330" s="1340"/>
    </row>
    <row r="331" spans="1:6">
      <c r="A331" s="81">
        <f t="shared" si="12"/>
        <v>2022.1</v>
      </c>
      <c r="B331" s="1531">
        <v>251.9</v>
      </c>
      <c r="C331" s="2401">
        <f t="shared" si="14"/>
        <v>6.6920796272765815E-2</v>
      </c>
      <c r="D331" s="1530">
        <v>154143</v>
      </c>
      <c r="E331" s="3125">
        <f t="shared" si="15"/>
        <v>5.6642445845900724E-2</v>
      </c>
      <c r="F331" s="1340"/>
    </row>
    <row r="332" spans="1:6">
      <c r="A332" s="81">
        <f t="shared" si="12"/>
        <v>2022.11</v>
      </c>
      <c r="B332" s="1531">
        <v>262.5</v>
      </c>
      <c r="C332" s="2401">
        <f t="shared" si="14"/>
        <v>4.2080190551806229E-2</v>
      </c>
      <c r="D332" s="1530">
        <v>160568</v>
      </c>
      <c r="E332" s="3125">
        <f t="shared" si="15"/>
        <v>4.1682074437373151E-2</v>
      </c>
      <c r="F332" s="1340"/>
    </row>
    <row r="333" spans="1:6">
      <c r="A333" s="81">
        <f t="shared" si="12"/>
        <v>2022.12</v>
      </c>
      <c r="B333" s="1531">
        <v>275.10000000000002</v>
      </c>
      <c r="C333" s="2401">
        <f t="shared" si="14"/>
        <v>4.8000000000000043E-2</v>
      </c>
      <c r="D333" s="1530">
        <v>166153</v>
      </c>
      <c r="E333" s="3125">
        <f t="shared" si="15"/>
        <v>3.4782771162373605E-2</v>
      </c>
      <c r="F333" s="1340"/>
    </row>
    <row r="334" spans="1:6">
      <c r="A334" s="81">
        <f t="shared" si="12"/>
        <v>2023.01</v>
      </c>
      <c r="B334" s="1531">
        <v>293</v>
      </c>
      <c r="C334" s="2401">
        <f t="shared" si="14"/>
        <v>6.5067248273354972E-2</v>
      </c>
      <c r="D334" s="1530">
        <v>177443</v>
      </c>
      <c r="E334" s="3125">
        <f t="shared" si="15"/>
        <v>6.7949420112787706E-2</v>
      </c>
      <c r="F334" s="1340"/>
    </row>
    <row r="335" spans="1:6">
      <c r="A335" s="81">
        <f t="shared" si="12"/>
        <v>2023.02</v>
      </c>
      <c r="B335" s="1531">
        <v>311.10000000000002</v>
      </c>
      <c r="C335" s="2401">
        <f t="shared" si="14"/>
        <v>6.1774744027303763E-2</v>
      </c>
      <c r="D335" s="1530">
        <v>189542</v>
      </c>
      <c r="E335" s="3125">
        <f t="shared" si="15"/>
        <v>6.8185276398618155E-2</v>
      </c>
      <c r="F335" s="1340"/>
    </row>
    <row r="336" spans="1:6">
      <c r="A336" s="81">
        <f t="shared" si="12"/>
        <v>2023.03</v>
      </c>
      <c r="B336" s="1531">
        <v>336.3</v>
      </c>
      <c r="C336" s="2401">
        <f t="shared" si="14"/>
        <v>8.1002892960462924E-2</v>
      </c>
      <c r="D336" s="1530">
        <v>203402</v>
      </c>
      <c r="E336" s="3125">
        <f t="shared" si="15"/>
        <v>7.3123634867206189E-2</v>
      </c>
      <c r="F336" s="1340"/>
    </row>
    <row r="337" spans="1:6">
      <c r="A337" s="81">
        <f t="shared" si="12"/>
        <v>2023.04</v>
      </c>
      <c r="B337" s="1531">
        <v>363.6</v>
      </c>
      <c r="C337" s="2401">
        <f t="shared" si="14"/>
        <v>8.1177520071364917E-2</v>
      </c>
      <c r="D337" s="1530">
        <v>222648</v>
      </c>
      <c r="E337" s="3125">
        <f t="shared" si="15"/>
        <v>9.4620505206438388E-2</v>
      </c>
      <c r="F337" s="1340"/>
    </row>
    <row r="338" spans="1:6">
      <c r="A338" s="81">
        <f t="shared" si="12"/>
        <v>2023.05</v>
      </c>
      <c r="B338" s="1531">
        <v>388.3</v>
      </c>
      <c r="C338" s="2401">
        <f t="shared" si="14"/>
        <v>6.7931793179317967E-2</v>
      </c>
      <c r="D338" s="1530">
        <v>238688</v>
      </c>
      <c r="E338" s="3125">
        <f t="shared" si="15"/>
        <v>7.20419675900974E-2</v>
      </c>
      <c r="F338" s="1340"/>
    </row>
    <row r="339" spans="1:6">
      <c r="A339" s="81">
        <f t="shared" si="12"/>
        <v>2023.06</v>
      </c>
      <c r="B339" s="1531">
        <v>412.2</v>
      </c>
      <c r="C339" s="2401">
        <f t="shared" si="14"/>
        <v>6.1550347669327765E-2</v>
      </c>
      <c r="D339" s="1530">
        <v>252889</v>
      </c>
      <c r="E339" s="3125">
        <f t="shared" si="15"/>
        <v>5.9496078562810029E-2</v>
      </c>
      <c r="F339" s="1340"/>
    </row>
    <row r="340" spans="1:6">
      <c r="A340" s="81">
        <f t="shared" si="12"/>
        <v>2023.07</v>
      </c>
      <c r="B340" s="1531">
        <v>437.3</v>
      </c>
      <c r="C340" s="2401">
        <f t="shared" si="14"/>
        <v>6.0892770499757498E-2</v>
      </c>
      <c r="D340" s="1530">
        <v>266154</v>
      </c>
      <c r="E340" s="3125">
        <f t="shared" si="15"/>
        <v>5.2453843385833254E-2</v>
      </c>
      <c r="F340" s="1340"/>
    </row>
    <row r="341" spans="1:6">
      <c r="A341" s="81">
        <f t="shared" si="12"/>
        <v>2023.08</v>
      </c>
      <c r="B341" s="1531">
        <v>482.5</v>
      </c>
      <c r="C341" s="2401">
        <f t="shared" si="14"/>
        <v>0.10336153670249248</v>
      </c>
      <c r="D341" s="1530">
        <v>304398</v>
      </c>
      <c r="E341" s="3125">
        <f t="shared" si="15"/>
        <v>0.14369124642124476</v>
      </c>
      <c r="F341" s="166"/>
    </row>
    <row r="342" spans="1:6">
      <c r="A342" s="81">
        <f t="shared" si="12"/>
        <v>2023.09</v>
      </c>
      <c r="B342" s="1531">
        <v>538.1</v>
      </c>
      <c r="C342" s="2401">
        <f t="shared" si="14"/>
        <v>0.11523316062176181</v>
      </c>
      <c r="D342" s="1530">
        <v>341259</v>
      </c>
      <c r="E342" s="3125">
        <f t="shared" si="15"/>
        <v>0.12109475095105759</v>
      </c>
      <c r="F342" s="166"/>
    </row>
    <row r="343" spans="1:6">
      <c r="A343" s="81">
        <f t="shared" si="12"/>
        <v>2023.1</v>
      </c>
      <c r="B343" s="1531">
        <v>581.9</v>
      </c>
      <c r="C343" s="2401">
        <f t="shared" si="14"/>
        <v>8.139750975655069E-2</v>
      </c>
      <c r="D343" s="1530">
        <v>369439</v>
      </c>
      <c r="E343" s="3125">
        <f t="shared" si="15"/>
        <v>8.2576576734972651E-2</v>
      </c>
      <c r="F343" s="166"/>
    </row>
    <row r="344" spans="1:6">
      <c r="A344" s="81">
        <f t="shared" si="12"/>
        <v>2023.11</v>
      </c>
      <c r="B344" s="1531">
        <v>649.5</v>
      </c>
      <c r="C344" s="2401">
        <f t="shared" si="14"/>
        <v>0.11617116343014278</v>
      </c>
      <c r="D344" s="1530">
        <v>410089</v>
      </c>
      <c r="E344" s="3125">
        <f t="shared" si="15"/>
        <v>0.11003169670771085</v>
      </c>
      <c r="F344" s="166"/>
    </row>
    <row r="345" spans="1:6">
      <c r="A345" s="81">
        <f t="shared" si="12"/>
        <v>2023.12</v>
      </c>
      <c r="B345" s="1531">
        <v>819</v>
      </c>
      <c r="C345" s="2401">
        <f t="shared" si="14"/>
        <v>0.26096997690531176</v>
      </c>
      <c r="D345" s="1530">
        <v>560822</v>
      </c>
      <c r="E345" s="3125">
        <f t="shared" si="15"/>
        <v>0.3675616756362643</v>
      </c>
      <c r="F345" s="166"/>
    </row>
    <row r="346" spans="1:6">
      <c r="A346" s="81">
        <f t="shared" si="12"/>
        <v>2024.01</v>
      </c>
      <c r="B346" s="1531">
        <v>1005.2</v>
      </c>
      <c r="C346" s="2401">
        <f t="shared" si="14"/>
        <v>0.22735042735042743</v>
      </c>
      <c r="D346" s="1530">
        <v>652138</v>
      </c>
      <c r="E346" s="3125">
        <f t="shared" si="15"/>
        <v>0.16282528146185427</v>
      </c>
      <c r="F346" s="166"/>
    </row>
    <row r="347" spans="1:6">
      <c r="A347" s="81">
        <f t="shared" si="12"/>
        <v>2024.02</v>
      </c>
      <c r="B347" s="1531">
        <v>1151.4000000000001</v>
      </c>
      <c r="C347" s="2401">
        <f t="shared" si="14"/>
        <v>0.14544369279745317</v>
      </c>
      <c r="D347" s="1530">
        <v>747764</v>
      </c>
      <c r="E347" s="3125">
        <f t="shared" si="15"/>
        <v>0.14663460801241457</v>
      </c>
      <c r="F347" s="166"/>
    </row>
    <row r="348" spans="1:6">
      <c r="A348" s="81">
        <f t="shared" si="12"/>
        <v>2024.03</v>
      </c>
      <c r="B348" s="1531">
        <v>1306.3</v>
      </c>
      <c r="C348" s="2401">
        <f t="shared" si="14"/>
        <v>0.13453187424005542</v>
      </c>
      <c r="D348" s="1530">
        <v>857312</v>
      </c>
      <c r="E348" s="3125">
        <f t="shared" si="15"/>
        <v>0.14650076762186992</v>
      </c>
      <c r="F348" s="166"/>
    </row>
    <row r="349" spans="1:6">
      <c r="A349" s="81">
        <f t="shared" si="12"/>
        <v>2024.04</v>
      </c>
      <c r="B349" s="1531">
        <v>1422.9</v>
      </c>
      <c r="C349" s="2401">
        <f t="shared" si="14"/>
        <v>8.925974125392333E-2</v>
      </c>
      <c r="D349" s="1530">
        <v>933326</v>
      </c>
      <c r="E349" s="3125">
        <f t="shared" si="15"/>
        <v>8.8665503340674023E-2</v>
      </c>
      <c r="F349" s="166"/>
    </row>
    <row r="350" spans="1:6">
      <c r="A350" s="81">
        <f t="shared" si="12"/>
        <v>2024.05</v>
      </c>
      <c r="B350" s="1531">
        <v>1507.5</v>
      </c>
      <c r="C350" s="2401">
        <f t="shared" si="14"/>
        <v>5.9456040480708294E-2</v>
      </c>
      <c r="D350" s="1530">
        <v>973465</v>
      </c>
      <c r="E350" s="3125">
        <f t="shared" si="15"/>
        <v>4.3006409336073359E-2</v>
      </c>
      <c r="F350" s="166"/>
    </row>
    <row r="351" spans="1:6">
      <c r="A351" s="81">
        <f t="shared" si="12"/>
        <v>2024.06</v>
      </c>
      <c r="B351" s="1531">
        <v>1576</v>
      </c>
      <c r="C351" s="2401">
        <f t="shared" si="14"/>
        <v>4.5439469320066372E-2</v>
      </c>
      <c r="D351" s="1530">
        <v>1014569</v>
      </c>
      <c r="E351" s="3125">
        <f t="shared" si="15"/>
        <v>4.2224425120574338E-2</v>
      </c>
      <c r="F351" s="166"/>
    </row>
    <row r="352" spans="1:6">
      <c r="A352" s="81">
        <f t="shared" si="12"/>
        <v>2024.07</v>
      </c>
      <c r="B352" s="1531">
        <v>1641.6</v>
      </c>
      <c r="C352" s="2401">
        <f t="shared" si="14"/>
        <v>4.1624365482233472E-2</v>
      </c>
      <c r="D352" s="1530">
        <v>1056747</v>
      </c>
      <c r="E352" s="3125">
        <f t="shared" si="15"/>
        <v>4.1572332685110513E-2</v>
      </c>
      <c r="F352" s="166"/>
    </row>
    <row r="353" spans="1:5">
      <c r="A353" s="81">
        <f t="shared" si="12"/>
        <v>2024.08</v>
      </c>
      <c r="B353" s="1531">
        <v>1713.7</v>
      </c>
      <c r="C353" s="2401">
        <f t="shared" si="14"/>
        <v>4.3920565302144388E-2</v>
      </c>
      <c r="D353" s="1530">
        <v>1101520</v>
      </c>
      <c r="E353" s="3125">
        <f t="shared" si="15"/>
        <v>4.2368703199535895E-2</v>
      </c>
    </row>
    <row r="354" spans="1:5">
      <c r="A354" s="81">
        <f t="shared" si="12"/>
        <v>2024.09</v>
      </c>
      <c r="B354" s="1531">
        <v>1767.6</v>
      </c>
      <c r="C354" s="2401">
        <f t="shared" si="14"/>
        <v>3.1452412907743366E-2</v>
      </c>
      <c r="D354" s="1530">
        <v>1124466</v>
      </c>
      <c r="E354" s="3125">
        <f t="shared" si="15"/>
        <v>2.0831215048296992E-2</v>
      </c>
    </row>
    <row r="355" spans="1:5">
      <c r="A355" s="81">
        <f t="shared" si="12"/>
        <v>2024.1</v>
      </c>
      <c r="B355" s="1531">
        <v>1809.6</v>
      </c>
      <c r="C355" s="2401">
        <f t="shared" si="14"/>
        <v>2.3761031907671315E-2</v>
      </c>
      <c r="D355" s="1530">
        <v>1140676</v>
      </c>
      <c r="E355" s="3125">
        <f t="shared" si="15"/>
        <v>1.4415731556134181E-2</v>
      </c>
    </row>
    <row r="356" spans="1:5">
      <c r="A356" s="81">
        <f t="shared" si="12"/>
        <v>2024.11</v>
      </c>
      <c r="B356" s="1531">
        <v>1859.2</v>
      </c>
      <c r="C356" s="2401">
        <f t="shared" si="14"/>
        <v>2.7409372236958607E-2</v>
      </c>
      <c r="D356" s="1530">
        <v>1174867</v>
      </c>
      <c r="E356" s="3125">
        <f t="shared" si="15"/>
        <v>2.9974331010733879E-2</v>
      </c>
    </row>
    <row r="357" spans="1:5">
      <c r="A357" s="81">
        <f t="shared" si="12"/>
        <v>2024.12</v>
      </c>
      <c r="B357" s="1531">
        <v>1907.6</v>
      </c>
      <c r="C357" s="2401">
        <f t="shared" si="14"/>
        <v>2.6032702237521521E-2</v>
      </c>
      <c r="D357" s="1530">
        <v>1199476</v>
      </c>
      <c r="E357" s="3125">
        <f t="shared" si="15"/>
        <v>2.0946200718889862E-2</v>
      </c>
    </row>
    <row r="358" spans="1:5">
      <c r="A358" s="81">
        <f t="shared" ref="A358:A369" si="16">A346+1</f>
        <v>2025.01</v>
      </c>
      <c r="B358" s="1531">
        <v>1950.7</v>
      </c>
      <c r="C358" s="2401">
        <f t="shared" si="14"/>
        <v>2.2593835185573674E-2</v>
      </c>
      <c r="D358" s="1530">
        <v>1216491</v>
      </c>
      <c r="E358" s="3125">
        <f t="shared" si="15"/>
        <v>1.4185360940944136E-2</v>
      </c>
    </row>
    <row r="359" spans="1:5">
      <c r="A359" s="81">
        <f t="shared" si="16"/>
        <v>2025.02</v>
      </c>
      <c r="B359" s="1531">
        <v>1997</v>
      </c>
      <c r="C359" s="2401">
        <f t="shared" si="14"/>
        <v>2.373506946224424E-2</v>
      </c>
      <c r="D359" s="1530">
        <v>1229856</v>
      </c>
      <c r="E359" s="3125">
        <f t="shared" si="15"/>
        <v>1.0986517779416394E-2</v>
      </c>
    </row>
    <row r="360" spans="1:5">
      <c r="A360" s="81">
        <f t="shared" si="16"/>
        <v>2025.03</v>
      </c>
      <c r="B360" s="1531">
        <v>2055.8000000000002</v>
      </c>
      <c r="C360" s="2401">
        <f t="shared" si="14"/>
        <v>2.9444166249374071E-2</v>
      </c>
      <c r="D360" s="1530">
        <v>1267593</v>
      </c>
      <c r="E360" s="3125">
        <f t="shared" si="15"/>
        <v>3.0684080087424848E-2</v>
      </c>
    </row>
    <row r="361" spans="1:5">
      <c r="A361" s="81">
        <f t="shared" si="16"/>
        <v>2025.04</v>
      </c>
      <c r="B361" s="1531">
        <v>2106.5</v>
      </c>
      <c r="C361" s="2401">
        <f t="shared" si="14"/>
        <v>2.4661932094561578E-2</v>
      </c>
      <c r="D361" s="1530">
        <v>1309954</v>
      </c>
      <c r="E361" s="3125">
        <f t="shared" si="15"/>
        <v>3.3418455292826721E-2</v>
      </c>
    </row>
    <row r="362" spans="1:5">
      <c r="A362" s="81">
        <f t="shared" si="16"/>
        <v>2025.05</v>
      </c>
      <c r="B362" s="1531">
        <v>2139.5</v>
      </c>
      <c r="C362" s="2401">
        <f t="shared" si="14"/>
        <v>1.5665796344647598E-2</v>
      </c>
      <c r="D362" s="1530">
        <v>1310975</v>
      </c>
      <c r="E362" s="3125">
        <f t="shared" si="15"/>
        <v>7.7941668180714352E-4</v>
      </c>
    </row>
    <row r="363" spans="1:5">
      <c r="A363" s="81">
        <f t="shared" si="16"/>
        <v>2025.06</v>
      </c>
      <c r="B363" s="1531">
        <v>2187.6999999999998</v>
      </c>
      <c r="C363" s="2401">
        <f t="shared" si="14"/>
        <v>2.252862818415502E-2</v>
      </c>
      <c r="D363" s="1530">
        <v>1320626</v>
      </c>
      <c r="E363" s="3125">
        <f t="shared" si="15"/>
        <v>7.3616964473006696E-3</v>
      </c>
    </row>
    <row r="364" spans="1:5">
      <c r="A364" s="81">
        <f t="shared" si="16"/>
        <v>2025.07</v>
      </c>
      <c r="B364" s="1531">
        <v>2221.8000000000002</v>
      </c>
      <c r="C364" s="2401">
        <f t="shared" si="14"/>
        <v>1.5587146318051026E-2</v>
      </c>
      <c r="D364" s="1530">
        <v>1343038</v>
      </c>
      <c r="E364" s="3125">
        <f t="shared" si="15"/>
        <v>1.6970739634082577E-2</v>
      </c>
    </row>
    <row r="365" spans="1:5">
      <c r="A365" s="81">
        <f t="shared" si="16"/>
        <v>2025.08</v>
      </c>
      <c r="B365" s="1531">
        <v>2261.5</v>
      </c>
      <c r="C365" s="2401">
        <f t="shared" si="14"/>
        <v>1.7868394995048886E-2</v>
      </c>
      <c r="D365" s="1530">
        <v>1365884</v>
      </c>
      <c r="E365" s="3125">
        <f t="shared" si="15"/>
        <v>1.7010687709506422E-2</v>
      </c>
    </row>
    <row r="366" spans="1:5">
      <c r="A366" s="81">
        <f t="shared" si="16"/>
        <v>2025.09</v>
      </c>
      <c r="B366" s="1531">
        <v>2308.6999999999998</v>
      </c>
      <c r="C366" s="2401">
        <f t="shared" si="14"/>
        <v>2.0871103250055256E-2</v>
      </c>
      <c r="D366" s="1530">
        <v>1386444</v>
      </c>
      <c r="E366" s="3125">
        <f t="shared" si="15"/>
        <v>1.5052522761815901E-2</v>
      </c>
    </row>
    <row r="367" spans="1:5">
      <c r="A367" s="81">
        <f t="shared" si="16"/>
        <v>2025.1</v>
      </c>
      <c r="B367" s="1531">
        <v>2358.6</v>
      </c>
      <c r="C367" s="2401">
        <f t="shared" si="14"/>
        <v>2.1613895265734095E-2</v>
      </c>
      <c r="D367" s="1530">
        <v>1420492</v>
      </c>
      <c r="E367" s="3125">
        <f t="shared" si="15"/>
        <v>2.4557789568132593E-2</v>
      </c>
    </row>
    <row r="368" spans="1:5">
      <c r="A368" s="81">
        <f t="shared" si="16"/>
        <v>2025.11</v>
      </c>
      <c r="B368" s="1531">
        <v>2409.5</v>
      </c>
      <c r="C368" s="2401">
        <f t="shared" si="14"/>
        <v>2.1580598660222217E-2</v>
      </c>
      <c r="D368" s="1530">
        <v>1447520</v>
      </c>
      <c r="E368" s="3125">
        <f t="shared" si="15"/>
        <v>1.9027210290519125E-2</v>
      </c>
    </row>
    <row r="369" spans="1:5">
      <c r="A369" s="81">
        <f t="shared" si="16"/>
        <v>2025.12</v>
      </c>
      <c r="B369" s="1531">
        <v>2478.5</v>
      </c>
      <c r="C369" s="2401">
        <f t="shared" si="14"/>
        <v>2.8636646607179905E-2</v>
      </c>
      <c r="D369" s="1530">
        <v>1498874</v>
      </c>
      <c r="E369" s="3125">
        <f t="shared" si="15"/>
        <v>3.5477230021001338E-2</v>
      </c>
    </row>
    <row r="370" spans="1:5">
      <c r="A370" s="972">
        <v>2026.01</v>
      </c>
      <c r="B370" s="1531">
        <v>2546.3000000000002</v>
      </c>
      <c r="C370" s="2401">
        <f t="shared" ref="C370:C429" si="17">B370/B369-1</f>
        <v>2.7355255194674299E-2</v>
      </c>
      <c r="D370" s="1530">
        <v>1540904</v>
      </c>
      <c r="E370" s="3125">
        <f t="shared" ref="E370:E429" si="18">D370/D369-1</f>
        <v>2.8041049481143832E-2</v>
      </c>
    </row>
    <row r="371" spans="1:5">
      <c r="A371" s="972">
        <v>2026.02</v>
      </c>
      <c r="B371" s="1531">
        <v>2608.1</v>
      </c>
      <c r="C371" s="2401">
        <f t="shared" si="17"/>
        <v>2.4270510151985114E-2</v>
      </c>
      <c r="D371" s="1530">
        <v>1584311</v>
      </c>
      <c r="E371" s="3125">
        <f t="shared" si="18"/>
        <v>2.8169827581731255E-2</v>
      </c>
    </row>
    <row r="372" spans="1:5">
      <c r="A372" s="972">
        <v>2026.03</v>
      </c>
      <c r="B372" s="1531" t="e">
        <v>#N/A</v>
      </c>
      <c r="C372" s="2401" t="e">
        <f t="shared" si="17"/>
        <v>#N/A</v>
      </c>
      <c r="D372" s="1532" t="e">
        <v>#N/A</v>
      </c>
      <c r="E372" s="3125" t="e">
        <f t="shared" si="18"/>
        <v>#N/A</v>
      </c>
    </row>
    <row r="373" spans="1:5">
      <c r="A373" s="972">
        <v>2026.04</v>
      </c>
      <c r="B373" s="1531" t="e">
        <v>#N/A</v>
      </c>
      <c r="C373" s="2401" t="e">
        <f t="shared" si="17"/>
        <v>#N/A</v>
      </c>
      <c r="D373" s="1532" t="e">
        <v>#N/A</v>
      </c>
      <c r="E373" s="3125" t="e">
        <f t="shared" si="18"/>
        <v>#N/A</v>
      </c>
    </row>
    <row r="374" spans="1:5">
      <c r="A374" s="972">
        <v>2026.05</v>
      </c>
      <c r="B374" s="1531" t="e">
        <v>#N/A</v>
      </c>
      <c r="C374" s="2401" t="e">
        <f t="shared" si="17"/>
        <v>#N/A</v>
      </c>
      <c r="D374" s="1532" t="e">
        <v>#N/A</v>
      </c>
      <c r="E374" s="3125" t="e">
        <f t="shared" si="18"/>
        <v>#N/A</v>
      </c>
    </row>
    <row r="375" spans="1:5">
      <c r="A375" s="972">
        <v>2026.06</v>
      </c>
      <c r="B375" s="1531" t="e">
        <v>#N/A</v>
      </c>
      <c r="C375" s="2401" t="e">
        <f t="shared" si="17"/>
        <v>#N/A</v>
      </c>
      <c r="D375" s="1532" t="e">
        <v>#N/A</v>
      </c>
      <c r="E375" s="3125" t="e">
        <f t="shared" si="18"/>
        <v>#N/A</v>
      </c>
    </row>
    <row r="376" spans="1:5">
      <c r="A376" s="972">
        <v>2026.07</v>
      </c>
      <c r="B376" s="1531" t="e">
        <v>#N/A</v>
      </c>
      <c r="C376" s="2401" t="e">
        <f t="shared" si="17"/>
        <v>#N/A</v>
      </c>
      <c r="D376" s="1532" t="e">
        <v>#N/A</v>
      </c>
      <c r="E376" s="3125" t="e">
        <f t="shared" si="18"/>
        <v>#N/A</v>
      </c>
    </row>
    <row r="377" spans="1:5">
      <c r="A377" s="972">
        <v>2026.08</v>
      </c>
      <c r="B377" s="1531" t="e">
        <v>#N/A</v>
      </c>
      <c r="C377" s="2401" t="e">
        <f t="shared" si="17"/>
        <v>#N/A</v>
      </c>
      <c r="D377" s="1532" t="e">
        <v>#N/A</v>
      </c>
      <c r="E377" s="3125" t="e">
        <f t="shared" si="18"/>
        <v>#N/A</v>
      </c>
    </row>
    <row r="378" spans="1:5">
      <c r="A378" s="972">
        <v>2026.09</v>
      </c>
      <c r="B378" s="1531" t="e">
        <v>#N/A</v>
      </c>
      <c r="C378" s="2401" t="e">
        <f t="shared" si="17"/>
        <v>#N/A</v>
      </c>
      <c r="D378" s="1532" t="e">
        <v>#N/A</v>
      </c>
      <c r="E378" s="3125" t="e">
        <f t="shared" si="18"/>
        <v>#N/A</v>
      </c>
    </row>
    <row r="379" spans="1:5">
      <c r="A379" s="972">
        <v>2026.1</v>
      </c>
      <c r="B379" s="1531" t="e">
        <v>#N/A</v>
      </c>
      <c r="C379" s="2401" t="e">
        <f t="shared" si="17"/>
        <v>#N/A</v>
      </c>
      <c r="D379" s="1532" t="e">
        <v>#N/A</v>
      </c>
      <c r="E379" s="3125" t="e">
        <f t="shared" si="18"/>
        <v>#N/A</v>
      </c>
    </row>
    <row r="380" spans="1:5">
      <c r="A380" s="972">
        <v>2026.11</v>
      </c>
      <c r="B380" s="1531" t="e">
        <v>#N/A</v>
      </c>
      <c r="C380" s="2401" t="e">
        <f t="shared" si="17"/>
        <v>#N/A</v>
      </c>
      <c r="D380" s="1532" t="e">
        <v>#N/A</v>
      </c>
      <c r="E380" s="3125" t="e">
        <f t="shared" si="18"/>
        <v>#N/A</v>
      </c>
    </row>
    <row r="381" spans="1:5">
      <c r="A381" s="972">
        <v>2026.12</v>
      </c>
      <c r="B381" s="1531" t="e">
        <v>#N/A</v>
      </c>
      <c r="C381" s="2401" t="e">
        <f t="shared" si="17"/>
        <v>#N/A</v>
      </c>
      <c r="D381" s="1532" t="e">
        <v>#N/A</v>
      </c>
      <c r="E381" s="3125" t="e">
        <f t="shared" si="18"/>
        <v>#N/A</v>
      </c>
    </row>
    <row r="382" spans="1:5">
      <c r="A382" s="972">
        <v>2027.01</v>
      </c>
      <c r="B382" s="1531" t="e">
        <v>#N/A</v>
      </c>
      <c r="C382" s="2401" t="e">
        <f t="shared" si="17"/>
        <v>#N/A</v>
      </c>
      <c r="D382" s="1532" t="e">
        <v>#N/A</v>
      </c>
      <c r="E382" s="3125" t="e">
        <f t="shared" si="18"/>
        <v>#N/A</v>
      </c>
    </row>
    <row r="383" spans="1:5">
      <c r="A383" s="972">
        <v>2027.02</v>
      </c>
      <c r="B383" s="1531" t="e">
        <v>#N/A</v>
      </c>
      <c r="C383" s="2401" t="e">
        <f t="shared" si="17"/>
        <v>#N/A</v>
      </c>
      <c r="D383" s="1532" t="e">
        <v>#N/A</v>
      </c>
      <c r="E383" s="3125" t="e">
        <f t="shared" si="18"/>
        <v>#N/A</v>
      </c>
    </row>
    <row r="384" spans="1:5">
      <c r="A384" s="972">
        <v>2027.03</v>
      </c>
      <c r="B384" s="1531" t="e">
        <v>#N/A</v>
      </c>
      <c r="C384" s="2401" t="e">
        <f t="shared" si="17"/>
        <v>#N/A</v>
      </c>
      <c r="D384" s="1532" t="e">
        <v>#N/A</v>
      </c>
      <c r="E384" s="3125" t="e">
        <f t="shared" si="18"/>
        <v>#N/A</v>
      </c>
    </row>
    <row r="385" spans="1:5">
      <c r="A385" s="972">
        <v>2027.04</v>
      </c>
      <c r="B385" s="1531" t="e">
        <v>#N/A</v>
      </c>
      <c r="C385" s="2401" t="e">
        <f t="shared" si="17"/>
        <v>#N/A</v>
      </c>
      <c r="D385" s="1532" t="e">
        <v>#N/A</v>
      </c>
      <c r="E385" s="3125" t="e">
        <f t="shared" si="18"/>
        <v>#N/A</v>
      </c>
    </row>
    <row r="386" spans="1:5">
      <c r="A386" s="972">
        <v>2027.05</v>
      </c>
      <c r="B386" s="1531" t="e">
        <v>#N/A</v>
      </c>
      <c r="C386" s="2401" t="e">
        <f t="shared" si="17"/>
        <v>#N/A</v>
      </c>
      <c r="D386" s="1532" t="e">
        <v>#N/A</v>
      </c>
      <c r="E386" s="3125" t="e">
        <f t="shared" si="18"/>
        <v>#N/A</v>
      </c>
    </row>
    <row r="387" spans="1:5">
      <c r="A387" s="972">
        <v>2027.06</v>
      </c>
      <c r="B387" s="1531" t="e">
        <v>#N/A</v>
      </c>
      <c r="C387" s="2401" t="e">
        <f t="shared" si="17"/>
        <v>#N/A</v>
      </c>
      <c r="D387" s="1532" t="e">
        <v>#N/A</v>
      </c>
      <c r="E387" s="3125" t="e">
        <f t="shared" si="18"/>
        <v>#N/A</v>
      </c>
    </row>
    <row r="388" spans="1:5">
      <c r="A388" s="972">
        <v>2027.07</v>
      </c>
      <c r="B388" s="1531" t="e">
        <v>#N/A</v>
      </c>
      <c r="C388" s="2401" t="e">
        <f t="shared" si="17"/>
        <v>#N/A</v>
      </c>
      <c r="D388" s="1532" t="e">
        <v>#N/A</v>
      </c>
      <c r="E388" s="3125" t="e">
        <f t="shared" si="18"/>
        <v>#N/A</v>
      </c>
    </row>
    <row r="389" spans="1:5">
      <c r="A389" s="972">
        <v>2027.08</v>
      </c>
      <c r="B389" s="1531" t="e">
        <v>#N/A</v>
      </c>
      <c r="C389" s="2401" t="e">
        <f t="shared" si="17"/>
        <v>#N/A</v>
      </c>
      <c r="D389" s="1532" t="e">
        <v>#N/A</v>
      </c>
      <c r="E389" s="3125" t="e">
        <f t="shared" si="18"/>
        <v>#N/A</v>
      </c>
    </row>
    <row r="390" spans="1:5">
      <c r="A390" s="972">
        <v>2027.09</v>
      </c>
      <c r="B390" s="1531" t="e">
        <v>#N/A</v>
      </c>
      <c r="C390" s="2401" t="e">
        <f t="shared" si="17"/>
        <v>#N/A</v>
      </c>
      <c r="D390" s="1532" t="e">
        <v>#N/A</v>
      </c>
      <c r="E390" s="3125" t="e">
        <f t="shared" si="18"/>
        <v>#N/A</v>
      </c>
    </row>
    <row r="391" spans="1:5">
      <c r="A391" s="972">
        <v>2027.1</v>
      </c>
      <c r="B391" s="1531" t="e">
        <v>#N/A</v>
      </c>
      <c r="C391" s="2401" t="e">
        <f t="shared" si="17"/>
        <v>#N/A</v>
      </c>
      <c r="D391" s="1532" t="e">
        <v>#N/A</v>
      </c>
      <c r="E391" s="3125" t="e">
        <f t="shared" si="18"/>
        <v>#N/A</v>
      </c>
    </row>
    <row r="392" spans="1:5">
      <c r="A392" s="972">
        <v>2027.11</v>
      </c>
      <c r="B392" s="1531" t="e">
        <v>#N/A</v>
      </c>
      <c r="C392" s="2401" t="e">
        <f t="shared" si="17"/>
        <v>#N/A</v>
      </c>
      <c r="D392" s="1532" t="e">
        <v>#N/A</v>
      </c>
      <c r="E392" s="3125" t="e">
        <f t="shared" si="18"/>
        <v>#N/A</v>
      </c>
    </row>
    <row r="393" spans="1:5">
      <c r="A393" s="972">
        <v>2027.12</v>
      </c>
      <c r="B393" s="1531" t="e">
        <v>#N/A</v>
      </c>
      <c r="C393" s="2401" t="e">
        <f t="shared" si="17"/>
        <v>#N/A</v>
      </c>
      <c r="D393" s="1532" t="e">
        <v>#N/A</v>
      </c>
      <c r="E393" s="3125" t="e">
        <f t="shared" si="18"/>
        <v>#N/A</v>
      </c>
    </row>
    <row r="394" spans="1:5">
      <c r="A394" s="972">
        <v>2028.01</v>
      </c>
      <c r="B394" s="1531" t="e">
        <v>#N/A</v>
      </c>
      <c r="C394" s="2401" t="e">
        <f t="shared" si="17"/>
        <v>#N/A</v>
      </c>
      <c r="D394" s="1532" t="e">
        <v>#N/A</v>
      </c>
      <c r="E394" s="3125" t="e">
        <f t="shared" si="18"/>
        <v>#N/A</v>
      </c>
    </row>
    <row r="395" spans="1:5">
      <c r="A395" s="972">
        <v>2028.02</v>
      </c>
      <c r="B395" s="1531" t="e">
        <v>#N/A</v>
      </c>
      <c r="C395" s="2401" t="e">
        <f t="shared" si="17"/>
        <v>#N/A</v>
      </c>
      <c r="D395" s="1532" t="e">
        <v>#N/A</v>
      </c>
      <c r="E395" s="3125" t="e">
        <f t="shared" si="18"/>
        <v>#N/A</v>
      </c>
    </row>
    <row r="396" spans="1:5">
      <c r="A396" s="972">
        <v>2028.03</v>
      </c>
      <c r="B396" s="1531" t="e">
        <v>#N/A</v>
      </c>
      <c r="C396" s="2401" t="e">
        <f t="shared" si="17"/>
        <v>#N/A</v>
      </c>
      <c r="D396" s="1532" t="e">
        <v>#N/A</v>
      </c>
      <c r="E396" s="3125" t="e">
        <f t="shared" si="18"/>
        <v>#N/A</v>
      </c>
    </row>
    <row r="397" spans="1:5">
      <c r="A397" s="972">
        <v>2028.04</v>
      </c>
      <c r="B397" s="1531" t="e">
        <v>#N/A</v>
      </c>
      <c r="C397" s="2401" t="e">
        <f t="shared" si="17"/>
        <v>#N/A</v>
      </c>
      <c r="D397" s="1532" t="e">
        <v>#N/A</v>
      </c>
      <c r="E397" s="3125" t="e">
        <f t="shared" si="18"/>
        <v>#N/A</v>
      </c>
    </row>
    <row r="398" spans="1:5">
      <c r="A398" s="972">
        <v>2028.05</v>
      </c>
      <c r="B398" s="1531" t="e">
        <v>#N/A</v>
      </c>
      <c r="C398" s="2401" t="e">
        <f t="shared" si="17"/>
        <v>#N/A</v>
      </c>
      <c r="D398" s="1532" t="e">
        <v>#N/A</v>
      </c>
      <c r="E398" s="3125" t="e">
        <f t="shared" si="18"/>
        <v>#N/A</v>
      </c>
    </row>
    <row r="399" spans="1:5">
      <c r="A399" s="972">
        <v>2028.06</v>
      </c>
      <c r="B399" s="1531" t="e">
        <v>#N/A</v>
      </c>
      <c r="C399" s="2401" t="e">
        <f t="shared" si="17"/>
        <v>#N/A</v>
      </c>
      <c r="D399" s="1532" t="e">
        <v>#N/A</v>
      </c>
      <c r="E399" s="3125" t="e">
        <f t="shared" si="18"/>
        <v>#N/A</v>
      </c>
    </row>
    <row r="400" spans="1:5">
      <c r="A400" s="972">
        <v>2028.07</v>
      </c>
      <c r="B400" s="1531" t="e">
        <v>#N/A</v>
      </c>
      <c r="C400" s="2401" t="e">
        <f t="shared" si="17"/>
        <v>#N/A</v>
      </c>
      <c r="D400" s="1532" t="e">
        <v>#N/A</v>
      </c>
      <c r="E400" s="3125" t="e">
        <f t="shared" si="18"/>
        <v>#N/A</v>
      </c>
    </row>
    <row r="401" spans="1:5">
      <c r="A401" s="972">
        <v>2028.08</v>
      </c>
      <c r="B401" s="1531" t="e">
        <v>#N/A</v>
      </c>
      <c r="C401" s="2401" t="e">
        <f t="shared" si="17"/>
        <v>#N/A</v>
      </c>
      <c r="D401" s="1532" t="e">
        <v>#N/A</v>
      </c>
      <c r="E401" s="3125" t="e">
        <f t="shared" si="18"/>
        <v>#N/A</v>
      </c>
    </row>
    <row r="402" spans="1:5">
      <c r="A402" s="972">
        <v>2028.09</v>
      </c>
      <c r="B402" s="1531" t="e">
        <v>#N/A</v>
      </c>
      <c r="C402" s="2401" t="e">
        <f t="shared" si="17"/>
        <v>#N/A</v>
      </c>
      <c r="D402" s="1532" t="e">
        <v>#N/A</v>
      </c>
      <c r="E402" s="3125" t="e">
        <f t="shared" si="18"/>
        <v>#N/A</v>
      </c>
    </row>
    <row r="403" spans="1:5">
      <c r="A403" s="972">
        <v>2028.1</v>
      </c>
      <c r="B403" s="1531" t="e">
        <v>#N/A</v>
      </c>
      <c r="C403" s="2401" t="e">
        <f t="shared" si="17"/>
        <v>#N/A</v>
      </c>
      <c r="D403" s="1532" t="e">
        <v>#N/A</v>
      </c>
      <c r="E403" s="3125" t="e">
        <f t="shared" si="18"/>
        <v>#N/A</v>
      </c>
    </row>
    <row r="404" spans="1:5">
      <c r="A404" s="972">
        <v>2028.11</v>
      </c>
      <c r="B404" s="1531" t="e">
        <v>#N/A</v>
      </c>
      <c r="C404" s="2401" t="e">
        <f t="shared" si="17"/>
        <v>#N/A</v>
      </c>
      <c r="D404" s="1532" t="e">
        <v>#N/A</v>
      </c>
      <c r="E404" s="3125" t="e">
        <f t="shared" si="18"/>
        <v>#N/A</v>
      </c>
    </row>
    <row r="405" spans="1:5">
      <c r="A405" s="972">
        <v>2028.12</v>
      </c>
      <c r="B405" s="1531" t="e">
        <v>#N/A</v>
      </c>
      <c r="C405" s="2401" t="e">
        <f t="shared" si="17"/>
        <v>#N/A</v>
      </c>
      <c r="D405" s="1532" t="e">
        <v>#N/A</v>
      </c>
      <c r="E405" s="3125" t="e">
        <f t="shared" si="18"/>
        <v>#N/A</v>
      </c>
    </row>
    <row r="406" spans="1:5">
      <c r="A406" s="972">
        <v>2029.01</v>
      </c>
      <c r="B406" s="1531" t="e">
        <v>#N/A</v>
      </c>
      <c r="C406" s="2401" t="e">
        <f t="shared" si="17"/>
        <v>#N/A</v>
      </c>
      <c r="D406" s="1532" t="e">
        <v>#N/A</v>
      </c>
      <c r="E406" s="3125" t="e">
        <f t="shared" si="18"/>
        <v>#N/A</v>
      </c>
    </row>
    <row r="407" spans="1:5">
      <c r="A407" s="972">
        <v>2029.02</v>
      </c>
      <c r="B407" s="1531" t="e">
        <v>#N/A</v>
      </c>
      <c r="C407" s="2401" t="e">
        <f t="shared" si="17"/>
        <v>#N/A</v>
      </c>
      <c r="D407" s="1532" t="e">
        <v>#N/A</v>
      </c>
      <c r="E407" s="3125" t="e">
        <f t="shared" si="18"/>
        <v>#N/A</v>
      </c>
    </row>
    <row r="408" spans="1:5">
      <c r="A408" s="972">
        <v>2029.03</v>
      </c>
      <c r="B408" s="1531" t="e">
        <v>#N/A</v>
      </c>
      <c r="C408" s="2401" t="e">
        <f t="shared" si="17"/>
        <v>#N/A</v>
      </c>
      <c r="D408" s="1532" t="e">
        <v>#N/A</v>
      </c>
      <c r="E408" s="3125" t="e">
        <f t="shared" si="18"/>
        <v>#N/A</v>
      </c>
    </row>
    <row r="409" spans="1:5">
      <c r="A409" s="972">
        <v>2029.04</v>
      </c>
      <c r="B409" s="1531" t="e">
        <v>#N/A</v>
      </c>
      <c r="C409" s="2401" t="e">
        <f t="shared" si="17"/>
        <v>#N/A</v>
      </c>
      <c r="D409" s="1532" t="e">
        <v>#N/A</v>
      </c>
      <c r="E409" s="3125" t="e">
        <f t="shared" si="18"/>
        <v>#N/A</v>
      </c>
    </row>
    <row r="410" spans="1:5">
      <c r="A410" s="972">
        <v>2029.05</v>
      </c>
      <c r="B410" s="1531" t="e">
        <v>#N/A</v>
      </c>
      <c r="C410" s="2401" t="e">
        <f t="shared" si="17"/>
        <v>#N/A</v>
      </c>
      <c r="D410" s="1532" t="e">
        <v>#N/A</v>
      </c>
      <c r="E410" s="3125" t="e">
        <f t="shared" si="18"/>
        <v>#N/A</v>
      </c>
    </row>
    <row r="411" spans="1:5">
      <c r="A411" s="972">
        <v>2029.06</v>
      </c>
      <c r="B411" s="1531" t="e">
        <v>#N/A</v>
      </c>
      <c r="C411" s="2401" t="e">
        <f t="shared" si="17"/>
        <v>#N/A</v>
      </c>
      <c r="D411" s="1532" t="e">
        <v>#N/A</v>
      </c>
      <c r="E411" s="3125" t="e">
        <f t="shared" si="18"/>
        <v>#N/A</v>
      </c>
    </row>
    <row r="412" spans="1:5">
      <c r="A412" s="972">
        <v>2029.07</v>
      </c>
      <c r="B412" s="1531" t="e">
        <v>#N/A</v>
      </c>
      <c r="C412" s="2401" t="e">
        <f t="shared" si="17"/>
        <v>#N/A</v>
      </c>
      <c r="D412" s="1532" t="e">
        <v>#N/A</v>
      </c>
      <c r="E412" s="3125" t="e">
        <f t="shared" si="18"/>
        <v>#N/A</v>
      </c>
    </row>
    <row r="413" spans="1:5">
      <c r="A413" s="972">
        <v>2029.08</v>
      </c>
      <c r="B413" s="1531" t="e">
        <v>#N/A</v>
      </c>
      <c r="C413" s="2401" t="e">
        <f t="shared" si="17"/>
        <v>#N/A</v>
      </c>
      <c r="D413" s="1532" t="e">
        <v>#N/A</v>
      </c>
      <c r="E413" s="3125" t="e">
        <f t="shared" si="18"/>
        <v>#N/A</v>
      </c>
    </row>
    <row r="414" spans="1:5">
      <c r="A414" s="972">
        <v>2029.09</v>
      </c>
      <c r="B414" s="1531" t="e">
        <v>#N/A</v>
      </c>
      <c r="C414" s="2401" t="e">
        <f t="shared" si="17"/>
        <v>#N/A</v>
      </c>
      <c r="D414" s="1532" t="e">
        <v>#N/A</v>
      </c>
      <c r="E414" s="3125" t="e">
        <f t="shared" si="18"/>
        <v>#N/A</v>
      </c>
    </row>
    <row r="415" spans="1:5">
      <c r="A415" s="972">
        <v>2029.1</v>
      </c>
      <c r="B415" s="1531" t="e">
        <v>#N/A</v>
      </c>
      <c r="C415" s="2401" t="e">
        <f t="shared" si="17"/>
        <v>#N/A</v>
      </c>
      <c r="D415" s="1532" t="e">
        <v>#N/A</v>
      </c>
      <c r="E415" s="3125" t="e">
        <f t="shared" si="18"/>
        <v>#N/A</v>
      </c>
    </row>
    <row r="416" spans="1:5">
      <c r="A416" s="972">
        <v>2029.11</v>
      </c>
      <c r="B416" s="1531" t="e">
        <v>#N/A</v>
      </c>
      <c r="C416" s="2401" t="e">
        <f t="shared" si="17"/>
        <v>#N/A</v>
      </c>
      <c r="D416" s="1532" t="e">
        <v>#N/A</v>
      </c>
      <c r="E416" s="3125" t="e">
        <f t="shared" si="18"/>
        <v>#N/A</v>
      </c>
    </row>
    <row r="417" spans="1:5">
      <c r="A417" s="972">
        <v>2029.12</v>
      </c>
      <c r="B417" s="1531" t="e">
        <v>#N/A</v>
      </c>
      <c r="C417" s="2401" t="e">
        <f t="shared" si="17"/>
        <v>#N/A</v>
      </c>
      <c r="D417" s="1532" t="e">
        <v>#N/A</v>
      </c>
      <c r="E417" s="3125" t="e">
        <f t="shared" si="18"/>
        <v>#N/A</v>
      </c>
    </row>
    <row r="418" spans="1:5">
      <c r="A418" s="972">
        <v>2030.01</v>
      </c>
      <c r="B418" s="1531" t="e">
        <v>#N/A</v>
      </c>
      <c r="C418" s="2401" t="e">
        <f t="shared" si="17"/>
        <v>#N/A</v>
      </c>
      <c r="D418" s="1532" t="e">
        <v>#N/A</v>
      </c>
      <c r="E418" s="3125" t="e">
        <f t="shared" si="18"/>
        <v>#N/A</v>
      </c>
    </row>
    <row r="419" spans="1:5">
      <c r="A419" s="972">
        <v>2030.02</v>
      </c>
      <c r="B419" s="1531" t="e">
        <v>#N/A</v>
      </c>
      <c r="C419" s="2401" t="e">
        <f t="shared" si="17"/>
        <v>#N/A</v>
      </c>
      <c r="D419" s="1532" t="e">
        <v>#N/A</v>
      </c>
      <c r="E419" s="3125" t="e">
        <f t="shared" si="18"/>
        <v>#N/A</v>
      </c>
    </row>
    <row r="420" spans="1:5">
      <c r="A420" s="972">
        <v>2030.03</v>
      </c>
      <c r="B420" s="1531" t="e">
        <v>#N/A</v>
      </c>
      <c r="C420" s="2401" t="e">
        <f t="shared" si="17"/>
        <v>#N/A</v>
      </c>
      <c r="D420" s="1532" t="e">
        <v>#N/A</v>
      </c>
      <c r="E420" s="3125" t="e">
        <f t="shared" si="18"/>
        <v>#N/A</v>
      </c>
    </row>
    <row r="421" spans="1:5">
      <c r="A421" s="972">
        <v>2030.04</v>
      </c>
      <c r="B421" s="1531" t="e">
        <v>#N/A</v>
      </c>
      <c r="C421" s="2401" t="e">
        <f t="shared" si="17"/>
        <v>#N/A</v>
      </c>
      <c r="D421" s="1532" t="e">
        <v>#N/A</v>
      </c>
      <c r="E421" s="3125" t="e">
        <f t="shared" si="18"/>
        <v>#N/A</v>
      </c>
    </row>
    <row r="422" spans="1:5">
      <c r="A422" s="972">
        <v>2030.05</v>
      </c>
      <c r="B422" s="1531" t="e">
        <v>#N/A</v>
      </c>
      <c r="C422" s="2401" t="e">
        <f t="shared" si="17"/>
        <v>#N/A</v>
      </c>
      <c r="D422" s="1532" t="e">
        <v>#N/A</v>
      </c>
      <c r="E422" s="3125" t="e">
        <f t="shared" si="18"/>
        <v>#N/A</v>
      </c>
    </row>
    <row r="423" spans="1:5">
      <c r="A423" s="972">
        <v>2030.06</v>
      </c>
      <c r="B423" s="1531" t="e">
        <v>#N/A</v>
      </c>
      <c r="C423" s="2401" t="e">
        <f t="shared" si="17"/>
        <v>#N/A</v>
      </c>
      <c r="D423" s="1532" t="e">
        <v>#N/A</v>
      </c>
      <c r="E423" s="3125" t="e">
        <f t="shared" si="18"/>
        <v>#N/A</v>
      </c>
    </row>
    <row r="424" spans="1:5">
      <c r="A424" s="972">
        <v>2030.07</v>
      </c>
      <c r="B424" s="1531" t="e">
        <v>#N/A</v>
      </c>
      <c r="C424" s="2401" t="e">
        <f t="shared" si="17"/>
        <v>#N/A</v>
      </c>
      <c r="D424" s="1532" t="e">
        <v>#N/A</v>
      </c>
      <c r="E424" s="3125" t="e">
        <f t="shared" si="18"/>
        <v>#N/A</v>
      </c>
    </row>
    <row r="425" spans="1:5">
      <c r="A425" s="972">
        <v>2030.08</v>
      </c>
      <c r="B425" s="1531" t="e">
        <v>#N/A</v>
      </c>
      <c r="C425" s="2401" t="e">
        <f t="shared" si="17"/>
        <v>#N/A</v>
      </c>
      <c r="D425" s="1532" t="e">
        <v>#N/A</v>
      </c>
      <c r="E425" s="3125" t="e">
        <f t="shared" si="18"/>
        <v>#N/A</v>
      </c>
    </row>
    <row r="426" spans="1:5">
      <c r="A426" s="972">
        <v>2030.09</v>
      </c>
      <c r="B426" s="1531" t="e">
        <v>#N/A</v>
      </c>
      <c r="C426" s="2401" t="e">
        <f t="shared" si="17"/>
        <v>#N/A</v>
      </c>
      <c r="D426" s="1532" t="e">
        <v>#N/A</v>
      </c>
      <c r="E426" s="3125" t="e">
        <f t="shared" si="18"/>
        <v>#N/A</v>
      </c>
    </row>
    <row r="427" spans="1:5">
      <c r="A427" s="972">
        <v>2030.1</v>
      </c>
      <c r="B427" s="1531" t="e">
        <v>#N/A</v>
      </c>
      <c r="C427" s="2401" t="e">
        <f t="shared" si="17"/>
        <v>#N/A</v>
      </c>
      <c r="D427" s="1532" t="e">
        <v>#N/A</v>
      </c>
      <c r="E427" s="3125" t="e">
        <f t="shared" si="18"/>
        <v>#N/A</v>
      </c>
    </row>
    <row r="428" spans="1:5">
      <c r="A428" s="972">
        <v>2030.11</v>
      </c>
      <c r="B428" s="1531" t="e">
        <v>#N/A</v>
      </c>
      <c r="C428" s="2401" t="e">
        <f t="shared" si="17"/>
        <v>#N/A</v>
      </c>
      <c r="D428" s="1532" t="e">
        <v>#N/A</v>
      </c>
      <c r="E428" s="3125" t="e">
        <f t="shared" si="18"/>
        <v>#N/A</v>
      </c>
    </row>
    <row r="429" spans="1:5">
      <c r="A429" s="972">
        <v>2030.12</v>
      </c>
      <c r="B429" s="1531" t="e">
        <v>#N/A</v>
      </c>
      <c r="C429" s="2401" t="e">
        <f t="shared" si="17"/>
        <v>#N/A</v>
      </c>
      <c r="D429" s="1532" t="e">
        <v>#N/A</v>
      </c>
      <c r="E429" s="3125" t="e">
        <f t="shared" si="18"/>
        <v>#N/A</v>
      </c>
    </row>
  </sheetData>
  <phoneticPr fontId="71" type="noConversion"/>
  <hyperlinks>
    <hyperlink ref="A1:A3" location="Indice!A1" display="ÍNDICE" xr:uid="{00000000-0004-0000-3600-000000000000}"/>
    <hyperlink ref="A5" location="INDICE!A13" display="VOLVER AL INDICE" xr:uid="{00000000-0004-0000-3600-000001000000}"/>
  </hyperlinks>
  <printOptions horizontalCentered="1" gridLines="1"/>
  <pageMargins left="0" right="0" top="0.19685039370078741" bottom="0.19685039370078741" header="0" footer="0"/>
  <pageSetup paperSize="9" scale="110" orientation="landscape" horizontalDpi="300" verticalDpi="300" r:id="rId1"/>
  <headerFooter alignWithMargins="0"/>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39"/>
  <dimension ref="A1:P465"/>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2.5703125" defaultRowHeight="12.75"/>
  <cols>
    <col min="1" max="1" width="10.5703125" style="84" bestFit="1" customWidth="1"/>
    <col min="2" max="2" width="13.42578125" style="84" bestFit="1" customWidth="1"/>
    <col min="3" max="3" width="11.42578125" style="84" bestFit="1" customWidth="1"/>
    <col min="4" max="4" width="12.5703125" style="84" customWidth="1"/>
    <col min="5" max="5" width="15.5703125" style="84" customWidth="1"/>
    <col min="6" max="7" width="15.5703125" style="84" bestFit="1" customWidth="1"/>
    <col min="8" max="9" width="13.5703125" style="84" customWidth="1"/>
    <col min="10" max="10" width="15.5703125" style="84" bestFit="1" customWidth="1"/>
    <col min="11" max="11" width="15.5703125" style="84" customWidth="1"/>
    <col min="12" max="12" width="15.5703125" style="84" bestFit="1" customWidth="1"/>
    <col min="13" max="13" width="16.42578125" style="84" bestFit="1" customWidth="1"/>
    <col min="14" max="14" width="15.5703125" style="84" bestFit="1" customWidth="1"/>
    <col min="15" max="16384" width="12.5703125" style="18"/>
  </cols>
  <sheetData>
    <row r="1" spans="1:14" s="16" customFormat="1" ht="3" customHeight="1">
      <c r="A1" s="2761"/>
      <c r="B1" s="1453"/>
      <c r="C1" s="1455"/>
      <c r="D1" s="1455"/>
      <c r="E1" s="1455"/>
      <c r="F1" s="1455"/>
      <c r="G1" s="1533"/>
      <c r="H1" s="1455"/>
      <c r="I1" s="1455"/>
      <c r="J1" s="1455"/>
      <c r="K1" s="1455"/>
      <c r="L1" s="1533"/>
      <c r="M1" s="1455"/>
      <c r="N1" s="1456"/>
    </row>
    <row r="2" spans="1:14" s="16" customFormat="1">
      <c r="A2" s="2762" t="s">
        <v>99</v>
      </c>
      <c r="B2" s="924" t="s">
        <v>1873</v>
      </c>
      <c r="C2" s="3126"/>
      <c r="D2" s="3126"/>
      <c r="E2" s="3092"/>
      <c r="F2" s="3092"/>
      <c r="G2" s="3092" t="s">
        <v>1874</v>
      </c>
      <c r="H2" s="3092"/>
      <c r="I2" s="3092"/>
      <c r="J2" s="3092"/>
      <c r="K2" s="3092"/>
      <c r="L2" s="3092" t="s">
        <v>1875</v>
      </c>
      <c r="M2" s="3092"/>
      <c r="N2" s="3127"/>
    </row>
    <row r="3" spans="1:14" s="16" customFormat="1">
      <c r="A3" s="2762" t="s">
        <v>104</v>
      </c>
      <c r="B3" s="924" t="s">
        <v>135</v>
      </c>
      <c r="C3" s="3128"/>
      <c r="D3" s="3128"/>
      <c r="E3" s="3128"/>
      <c r="F3" s="3128"/>
      <c r="G3" s="3092"/>
      <c r="H3" s="3128"/>
      <c r="I3" s="3128"/>
      <c r="J3" s="3128"/>
      <c r="K3" s="3128"/>
      <c r="L3" s="3092"/>
      <c r="M3" s="3128"/>
      <c r="N3" s="3129"/>
    </row>
    <row r="4" spans="1:14" s="16" customFormat="1" ht="3" hidden="1" customHeight="1">
      <c r="A4" s="2762"/>
      <c r="B4" s="1534"/>
      <c r="C4" s="1535"/>
      <c r="D4" s="1535"/>
      <c r="E4" s="1536"/>
      <c r="F4" s="1536"/>
      <c r="G4" s="3090"/>
      <c r="H4" s="1536"/>
      <c r="I4" s="1536"/>
      <c r="J4" s="1536"/>
      <c r="K4" s="1536"/>
      <c r="L4" s="3090"/>
      <c r="M4" s="1536"/>
      <c r="N4" s="1537"/>
    </row>
    <row r="5" spans="1:14" s="16" customFormat="1" ht="22.5">
      <c r="A5" s="2867" t="s">
        <v>140</v>
      </c>
      <c r="B5" s="3130" t="s">
        <v>1209</v>
      </c>
      <c r="C5" s="676" t="s">
        <v>1876</v>
      </c>
      <c r="D5" s="3131"/>
      <c r="E5" s="3132"/>
      <c r="F5" s="3133" t="s">
        <v>1877</v>
      </c>
      <c r="G5" s="3134" t="s">
        <v>1209</v>
      </c>
      <c r="H5" s="676" t="s">
        <v>1876</v>
      </c>
      <c r="I5" s="3093"/>
      <c r="J5" s="3135"/>
      <c r="K5" s="3699" t="s">
        <v>1877</v>
      </c>
      <c r="L5" s="3136" t="s">
        <v>1209</v>
      </c>
      <c r="M5" s="676" t="s">
        <v>1878</v>
      </c>
      <c r="N5" s="3137"/>
    </row>
    <row r="6" spans="1:14" s="16" customFormat="1" ht="33.75">
      <c r="A6" s="2762"/>
      <c r="B6" s="1677"/>
      <c r="C6" s="1539" t="s">
        <v>554</v>
      </c>
      <c r="D6" s="1540" t="s">
        <v>1879</v>
      </c>
      <c r="E6" s="1679" t="s">
        <v>1880</v>
      </c>
      <c r="F6" s="1680"/>
      <c r="G6" s="1678"/>
      <c r="H6" s="1539" t="s">
        <v>554</v>
      </c>
      <c r="I6" s="1540" t="s">
        <v>1879</v>
      </c>
      <c r="J6" s="246" t="s">
        <v>1880</v>
      </c>
      <c r="K6" s="1682"/>
      <c r="L6" s="1681"/>
      <c r="M6" s="1541" t="s">
        <v>1879</v>
      </c>
      <c r="N6" s="2095" t="s">
        <v>1880</v>
      </c>
    </row>
    <row r="7" spans="1:14" s="2455" customFormat="1" ht="22.5">
      <c r="A7" s="2762" t="s">
        <v>125</v>
      </c>
      <c r="B7" s="1538" t="s">
        <v>1881</v>
      </c>
      <c r="C7" s="1539" t="s">
        <v>1882</v>
      </c>
      <c r="D7" s="1540" t="s">
        <v>1883</v>
      </c>
      <c r="E7" s="1539" t="s">
        <v>1884</v>
      </c>
      <c r="F7" s="2096" t="s">
        <v>1885</v>
      </c>
      <c r="G7" s="1538" t="s">
        <v>1886</v>
      </c>
      <c r="H7" s="1539" t="s">
        <v>1887</v>
      </c>
      <c r="I7" s="1540" t="s">
        <v>1888</v>
      </c>
      <c r="J7" s="1539" t="s">
        <v>1889</v>
      </c>
      <c r="K7" s="2096" t="s">
        <v>1890</v>
      </c>
      <c r="L7" s="1538" t="s">
        <v>1891</v>
      </c>
      <c r="M7" s="1539" t="s">
        <v>1892</v>
      </c>
      <c r="N7" s="2095" t="s">
        <v>1893</v>
      </c>
    </row>
    <row r="8" spans="1:14" s="16" customFormat="1" ht="12.75" customHeight="1">
      <c r="A8" s="3002" t="s">
        <v>144</v>
      </c>
      <c r="B8" s="2313" t="s">
        <v>1894</v>
      </c>
      <c r="C8" s="2314" t="s">
        <v>1895</v>
      </c>
      <c r="D8" s="2315" t="s">
        <v>1896</v>
      </c>
      <c r="E8" s="2314" t="s">
        <v>1897</v>
      </c>
      <c r="F8" s="2316" t="s">
        <v>1898</v>
      </c>
      <c r="G8" s="2313" t="s">
        <v>1899</v>
      </c>
      <c r="H8" s="2314" t="s">
        <v>1900</v>
      </c>
      <c r="I8" s="2315" t="s">
        <v>1901</v>
      </c>
      <c r="J8" s="2314" t="s">
        <v>1902</v>
      </c>
      <c r="K8" s="2316" t="s">
        <v>1903</v>
      </c>
      <c r="L8" s="2313" t="s">
        <v>1904</v>
      </c>
      <c r="M8" s="2314" t="s">
        <v>1905</v>
      </c>
      <c r="N8" s="2317" t="s">
        <v>1906</v>
      </c>
    </row>
    <row r="9" spans="1:14" s="1111" customFormat="1" ht="13.5" thickBot="1">
      <c r="A9" s="2140"/>
      <c r="B9" s="1112"/>
      <c r="C9" s="1113"/>
      <c r="D9" s="1114"/>
      <c r="E9" s="1115"/>
      <c r="F9" s="1116"/>
      <c r="G9" s="1117"/>
      <c r="H9" s="1118"/>
      <c r="I9" s="1119"/>
      <c r="J9" s="1120"/>
      <c r="K9" s="1116"/>
      <c r="L9" s="1117"/>
      <c r="M9" s="1118"/>
      <c r="N9" s="1121"/>
    </row>
    <row r="10" spans="1:14" s="1111" customFormat="1" ht="12.75" customHeight="1">
      <c r="A10" s="57">
        <v>1993.01</v>
      </c>
      <c r="B10" s="2007">
        <v>99.12318844344</v>
      </c>
      <c r="C10" s="1841">
        <v>98.931905672159999</v>
      </c>
      <c r="D10" s="3700">
        <v>98.529109807929999</v>
      </c>
      <c r="E10" s="1841">
        <v>99.038240073850005</v>
      </c>
      <c r="F10" s="2460">
        <v>101.55718045572</v>
      </c>
      <c r="G10" s="1842">
        <v>98.754718882220004</v>
      </c>
      <c r="H10" s="1841">
        <v>98.542647129019997</v>
      </c>
      <c r="I10" s="3700">
        <v>98.529109807940003</v>
      </c>
      <c r="J10" s="1841">
        <v>98.546374641010004</v>
      </c>
      <c r="K10" s="2460">
        <v>101.3759749383</v>
      </c>
      <c r="L10" s="1842">
        <v>98.782117411049995</v>
      </c>
      <c r="M10" s="1841">
        <v>99.509467080799993</v>
      </c>
      <c r="N10" s="3138">
        <v>98.5808000416</v>
      </c>
    </row>
    <row r="11" spans="1:14" s="17" customFormat="1" ht="12.75" customHeight="1">
      <c r="A11" s="53">
        <v>1993.02</v>
      </c>
      <c r="B11" s="2310">
        <v>99.573635159269998</v>
      </c>
      <c r="C11" s="1843">
        <v>99.427701080679995</v>
      </c>
      <c r="D11" s="3701">
        <v>99.039124697470001</v>
      </c>
      <c r="E11" s="1843">
        <v>99.530281670220006</v>
      </c>
      <c r="F11" s="3139">
        <v>101.43058432018999</v>
      </c>
      <c r="G11" s="1844">
        <v>99.215754248140001</v>
      </c>
      <c r="H11" s="1843">
        <v>99.051602842250006</v>
      </c>
      <c r="I11" s="3701">
        <v>99.039124697480005</v>
      </c>
      <c r="J11" s="1843">
        <v>99.055038709209995</v>
      </c>
      <c r="K11" s="3139">
        <v>101.24470369714</v>
      </c>
      <c r="L11" s="1844">
        <v>99.014899569359997</v>
      </c>
      <c r="M11" s="1843">
        <v>98.912335400000003</v>
      </c>
      <c r="N11" s="3140">
        <v>99.043287495000001</v>
      </c>
    </row>
    <row r="12" spans="1:14" s="17" customFormat="1" ht="12.75" customHeight="1">
      <c r="A12" s="53">
        <v>1993.03</v>
      </c>
      <c r="B12" s="2310">
        <v>99.863767761879998</v>
      </c>
      <c r="C12" s="1843">
        <v>99.739755292270004</v>
      </c>
      <c r="D12" s="3701">
        <v>99.095084377730004</v>
      </c>
      <c r="E12" s="1843">
        <v>99.90994248154</v>
      </c>
      <c r="F12" s="3139">
        <v>101.44177376026001</v>
      </c>
      <c r="G12" s="1844">
        <v>99.516875106170005</v>
      </c>
      <c r="H12" s="1843">
        <v>99.376584874200006</v>
      </c>
      <c r="I12" s="3701">
        <v>99.095084377730004</v>
      </c>
      <c r="J12" s="1843">
        <v>99.454096256949995</v>
      </c>
      <c r="K12" s="3139">
        <v>101.25089491125</v>
      </c>
      <c r="L12" s="1844">
        <v>99.134306727910001</v>
      </c>
      <c r="M12" s="1843">
        <v>98.430734258000001</v>
      </c>
      <c r="N12" s="3140">
        <v>99.329042993000002</v>
      </c>
    </row>
    <row r="13" spans="1:14" s="17" customFormat="1" ht="12.75" customHeight="1">
      <c r="A13" s="53">
        <v>1993.04</v>
      </c>
      <c r="B13" s="2310">
        <v>100.38301244042999</v>
      </c>
      <c r="C13" s="1843">
        <v>100.30597723734</v>
      </c>
      <c r="D13" s="3701">
        <v>100.91737817719</v>
      </c>
      <c r="E13" s="1843">
        <v>100.14457301524</v>
      </c>
      <c r="F13" s="3139">
        <v>101.36325267706</v>
      </c>
      <c r="G13" s="1844">
        <v>100.05430160697</v>
      </c>
      <c r="H13" s="1843">
        <v>99.967971581529994</v>
      </c>
      <c r="I13" s="3701">
        <v>100.91737817719</v>
      </c>
      <c r="J13" s="1843">
        <v>99.706551729910004</v>
      </c>
      <c r="K13" s="3139">
        <v>101.12136074425</v>
      </c>
      <c r="L13" s="1844">
        <v>99.65680168438</v>
      </c>
      <c r="M13" s="1843">
        <v>100.1742559609</v>
      </c>
      <c r="N13" s="3140">
        <v>99.513579602700005</v>
      </c>
    </row>
    <row r="14" spans="1:14" s="17" customFormat="1" ht="12.75" customHeight="1">
      <c r="A14" s="53">
        <v>1993.05</v>
      </c>
      <c r="B14" s="2310">
        <v>100.06457488145</v>
      </c>
      <c r="C14" s="1843">
        <v>100.03914893049</v>
      </c>
      <c r="D14" s="3701">
        <v>101.62355412335999</v>
      </c>
      <c r="E14" s="1843">
        <v>99.620880539040002</v>
      </c>
      <c r="F14" s="3139">
        <v>100.38810930711</v>
      </c>
      <c r="G14" s="1844">
        <v>100.17005775336</v>
      </c>
      <c r="H14" s="1843">
        <v>100.17244245325</v>
      </c>
      <c r="I14" s="3701">
        <v>101.62355412335999</v>
      </c>
      <c r="J14" s="1843">
        <v>99.772877715419995</v>
      </c>
      <c r="K14" s="3139">
        <v>100.14058230963001</v>
      </c>
      <c r="L14" s="1844">
        <v>99.986110312850002</v>
      </c>
      <c r="M14" s="1843">
        <v>101.1557616776</v>
      </c>
      <c r="N14" s="3140">
        <v>99.662371751199998</v>
      </c>
    </row>
    <row r="15" spans="1:14" s="17" customFormat="1" ht="12.75" customHeight="1">
      <c r="A15" s="53">
        <v>1993.06</v>
      </c>
      <c r="B15" s="2310">
        <v>100.25446141597</v>
      </c>
      <c r="C15" s="1843">
        <v>100.32491088863</v>
      </c>
      <c r="D15" s="3701">
        <v>102.16131735246</v>
      </c>
      <c r="E15" s="1843">
        <v>99.840116480519995</v>
      </c>
      <c r="F15" s="3139">
        <v>99.358021801609993</v>
      </c>
      <c r="G15" s="1844">
        <v>100.50078162354001</v>
      </c>
      <c r="H15" s="1843">
        <v>100.58010747976</v>
      </c>
      <c r="I15" s="3701">
        <v>102.16131735246</v>
      </c>
      <c r="J15" s="1843">
        <v>100.14472009969001</v>
      </c>
      <c r="K15" s="3139">
        <v>99.520295642299999</v>
      </c>
      <c r="L15" s="1844">
        <v>100.40346482610001</v>
      </c>
      <c r="M15" s="1843">
        <v>101.736760334</v>
      </c>
      <c r="N15" s="3140">
        <v>100.034432494</v>
      </c>
    </row>
    <row r="16" spans="1:14" s="17" customFormat="1" ht="12.75" customHeight="1">
      <c r="A16" s="53">
        <v>1993.07</v>
      </c>
      <c r="B16" s="2310">
        <v>100.35695307877999</v>
      </c>
      <c r="C16" s="1843">
        <v>100.46731137397001</v>
      </c>
      <c r="D16" s="3701">
        <v>101.94348282350001</v>
      </c>
      <c r="E16" s="1843">
        <v>100.07761569481001</v>
      </c>
      <c r="F16" s="3139">
        <v>98.952690649999994</v>
      </c>
      <c r="G16" s="1844">
        <v>100.61346945925</v>
      </c>
      <c r="H16" s="1843">
        <v>100.73437542288001</v>
      </c>
      <c r="I16" s="3701">
        <v>101.94348282350001</v>
      </c>
      <c r="J16" s="1843">
        <v>100.40144675069</v>
      </c>
      <c r="K16" s="3139">
        <v>99.119043706580001</v>
      </c>
      <c r="L16" s="1844">
        <v>100.7</v>
      </c>
      <c r="M16" s="1843">
        <v>102.040341146</v>
      </c>
      <c r="N16" s="3140">
        <v>100.404470765</v>
      </c>
    </row>
    <row r="17" spans="1:14" s="17" customFormat="1" ht="12.75" customHeight="1">
      <c r="A17" s="53">
        <v>1993.08</v>
      </c>
      <c r="B17" s="2310">
        <v>100.79792896099001</v>
      </c>
      <c r="C17" s="1843">
        <v>100.94344013673</v>
      </c>
      <c r="D17" s="3701">
        <v>103.24248917849999</v>
      </c>
      <c r="E17" s="1843">
        <v>100.33651234521</v>
      </c>
      <c r="F17" s="3139">
        <v>98.946361059340006</v>
      </c>
      <c r="G17" s="1844">
        <v>101.06540865383</v>
      </c>
      <c r="H17" s="1843">
        <v>101.22363011545001</v>
      </c>
      <c r="I17" s="3701">
        <v>103.24248917849</v>
      </c>
      <c r="J17" s="1843">
        <v>100.66773568716</v>
      </c>
      <c r="K17" s="3139">
        <v>99.109754691340001</v>
      </c>
      <c r="L17" s="1844">
        <v>101.25961131439</v>
      </c>
      <c r="M17" s="1843">
        <v>103.3343975314</v>
      </c>
      <c r="N17" s="3140">
        <v>100.685347627</v>
      </c>
    </row>
    <row r="18" spans="1:14" s="17" customFormat="1" ht="12.75" customHeight="1">
      <c r="A18" s="53">
        <v>1993.09</v>
      </c>
      <c r="B18" s="2310">
        <v>100.41217035912</v>
      </c>
      <c r="C18" s="1843">
        <v>100.53522878494999</v>
      </c>
      <c r="D18" s="3701">
        <v>100.79067292148</v>
      </c>
      <c r="E18" s="1843">
        <v>100.46779388346</v>
      </c>
      <c r="F18" s="3139">
        <v>98.846304162729993</v>
      </c>
      <c r="G18" s="1844">
        <v>100.5588467413</v>
      </c>
      <c r="H18" s="1843">
        <v>100.68583317882999</v>
      </c>
      <c r="I18" s="3701">
        <v>100.79067292147001</v>
      </c>
      <c r="J18" s="1843">
        <v>100.65696547336999</v>
      </c>
      <c r="K18" s="3139">
        <v>98.989264921049994</v>
      </c>
      <c r="L18" s="1844">
        <v>100.73860648762</v>
      </c>
      <c r="M18" s="1843">
        <v>100.8391242746</v>
      </c>
      <c r="N18" s="3140">
        <v>100.7107849633</v>
      </c>
    </row>
    <row r="19" spans="1:14" s="17" customFormat="1" ht="12.75" customHeight="1">
      <c r="A19" s="53">
        <v>1993.1</v>
      </c>
      <c r="B19" s="2310">
        <v>100.58159824209</v>
      </c>
      <c r="C19" s="1843">
        <v>100.65688728167</v>
      </c>
      <c r="D19" s="3701">
        <v>101.83463868557</v>
      </c>
      <c r="E19" s="1843">
        <v>100.34597174853999</v>
      </c>
      <c r="F19" s="3139">
        <v>99.623577194269998</v>
      </c>
      <c r="G19" s="1844">
        <v>100.73469759037</v>
      </c>
      <c r="H19" s="1843">
        <v>100.81315137052999</v>
      </c>
      <c r="I19" s="3701">
        <v>101.83463868557</v>
      </c>
      <c r="J19" s="1843">
        <v>100.53188403623</v>
      </c>
      <c r="K19" s="3139">
        <v>99.764990671489997</v>
      </c>
      <c r="L19" s="1844">
        <v>100.82929726566</v>
      </c>
      <c r="M19" s="1843">
        <v>101.7209566993</v>
      </c>
      <c r="N19" s="3140">
        <v>100.5825018946</v>
      </c>
    </row>
    <row r="20" spans="1:14" s="17" customFormat="1" ht="12.75" customHeight="1">
      <c r="A20" s="53">
        <v>1993.11</v>
      </c>
      <c r="B20" s="2310">
        <v>99.707218121940002</v>
      </c>
      <c r="C20" s="1843">
        <v>99.729719069279994</v>
      </c>
      <c r="D20" s="3701">
        <v>97.357291305320004</v>
      </c>
      <c r="E20" s="1843">
        <v>100.35601816824</v>
      </c>
      <c r="F20" s="3139">
        <v>99.420903124809996</v>
      </c>
      <c r="G20" s="1844">
        <v>99.835605003539996</v>
      </c>
      <c r="H20" s="1843">
        <v>99.857843208459997</v>
      </c>
      <c r="I20" s="3701">
        <v>97.35729130531</v>
      </c>
      <c r="J20" s="1843">
        <v>100.54637213850999</v>
      </c>
      <c r="K20" s="3139">
        <v>99.560735632990003</v>
      </c>
      <c r="L20" s="1844">
        <v>100.04851062218</v>
      </c>
      <c r="M20" s="1843">
        <v>97.757677720999993</v>
      </c>
      <c r="N20" s="3140">
        <v>100.68257216400001</v>
      </c>
    </row>
    <row r="21" spans="1:14" s="17" customFormat="1" ht="12.75" customHeight="1">
      <c r="A21" s="53">
        <v>1993.12</v>
      </c>
      <c r="B21" s="2310">
        <v>98.881491134650005</v>
      </c>
      <c r="C21" s="1843">
        <v>98.898014251839996</v>
      </c>
      <c r="D21" s="3701">
        <v>93.465856549519998</v>
      </c>
      <c r="E21" s="1843">
        <v>100.33205389934</v>
      </c>
      <c r="F21" s="3139">
        <v>98.671241486919996</v>
      </c>
      <c r="G21" s="1844">
        <v>98.979483331360001</v>
      </c>
      <c r="H21" s="1843">
        <v>98.993810343869995</v>
      </c>
      <c r="I21" s="3701">
        <v>93.465856549519998</v>
      </c>
      <c r="J21" s="1843">
        <v>100.51593676188</v>
      </c>
      <c r="K21" s="3139">
        <v>98.802398133790007</v>
      </c>
      <c r="L21" s="1844">
        <v>99.3871773961</v>
      </c>
      <c r="M21" s="1843">
        <v>94.388187913400003</v>
      </c>
      <c r="N21" s="3140">
        <v>100.77080820568</v>
      </c>
    </row>
    <row r="22" spans="1:14" s="6" customFormat="1" ht="12.75" customHeight="1">
      <c r="A22" s="53">
        <v>1994.01</v>
      </c>
      <c r="B22" s="2310">
        <v>98.4</v>
      </c>
      <c r="C22" s="1843">
        <v>98.39</v>
      </c>
      <c r="D22" s="3701">
        <v>93.64</v>
      </c>
      <c r="E22" s="1843">
        <v>99.65</v>
      </c>
      <c r="F22" s="3139">
        <v>98.52</v>
      </c>
      <c r="G22" s="1844">
        <v>98.72</v>
      </c>
      <c r="H22" s="1843">
        <v>98.72</v>
      </c>
      <c r="I22" s="3701">
        <v>93.64</v>
      </c>
      <c r="J22" s="1843">
        <v>100.12</v>
      </c>
      <c r="K22" s="3139">
        <v>98.66</v>
      </c>
      <c r="L22" s="1844">
        <v>99.35</v>
      </c>
      <c r="M22" s="1843">
        <v>95.18</v>
      </c>
      <c r="N22" s="3140">
        <v>100.5</v>
      </c>
    </row>
    <row r="23" spans="1:14" s="6" customFormat="1" ht="12.75" customHeight="1">
      <c r="A23" s="53">
        <v>1994.02</v>
      </c>
      <c r="B23" s="2310">
        <v>97.78</v>
      </c>
      <c r="C23" s="1843">
        <v>97.68</v>
      </c>
      <c r="D23" s="3701">
        <v>89.91</v>
      </c>
      <c r="E23" s="1843">
        <v>99.73</v>
      </c>
      <c r="F23" s="3139">
        <v>99.01</v>
      </c>
      <c r="G23" s="1844">
        <v>98.08</v>
      </c>
      <c r="H23" s="1843">
        <v>97.99</v>
      </c>
      <c r="I23" s="3701">
        <v>89.91</v>
      </c>
      <c r="J23" s="1843">
        <v>100.22</v>
      </c>
      <c r="K23" s="3139">
        <v>99.15</v>
      </c>
      <c r="L23" s="1844">
        <v>98.51</v>
      </c>
      <c r="M23" s="1843">
        <v>91.34</v>
      </c>
      <c r="N23" s="3140">
        <v>100.5</v>
      </c>
    </row>
    <row r="24" spans="1:14" s="6" customFormat="1" ht="12.75" customHeight="1">
      <c r="A24" s="53">
        <v>1994.03</v>
      </c>
      <c r="B24" s="2310">
        <v>97.86</v>
      </c>
      <c r="C24" s="1843">
        <v>97.81</v>
      </c>
      <c r="D24" s="3701">
        <v>89.55</v>
      </c>
      <c r="E24" s="1843">
        <v>99.99</v>
      </c>
      <c r="F24" s="3139">
        <v>98.52</v>
      </c>
      <c r="G24" s="1844">
        <v>98.16</v>
      </c>
      <c r="H24" s="1843">
        <v>98.12</v>
      </c>
      <c r="I24" s="3701">
        <v>89.55</v>
      </c>
      <c r="J24" s="1843">
        <v>100.48</v>
      </c>
      <c r="K24" s="3139">
        <v>98.66</v>
      </c>
      <c r="L24" s="1844">
        <v>98.39</v>
      </c>
      <c r="M24" s="1843">
        <v>90.32</v>
      </c>
      <c r="N24" s="3140">
        <v>100.62</v>
      </c>
    </row>
    <row r="25" spans="1:14" s="6" customFormat="1" ht="12.75" customHeight="1">
      <c r="A25" s="53">
        <v>1994.04</v>
      </c>
      <c r="B25" s="2310">
        <v>98.21</v>
      </c>
      <c r="C25" s="1843">
        <v>98.27</v>
      </c>
      <c r="D25" s="3701">
        <v>90.75</v>
      </c>
      <c r="E25" s="1843">
        <v>100.25</v>
      </c>
      <c r="F25" s="3139">
        <v>97.44</v>
      </c>
      <c r="G25" s="1844">
        <v>98.52</v>
      </c>
      <c r="H25" s="1843">
        <v>98.59</v>
      </c>
      <c r="I25" s="3701">
        <v>90.75</v>
      </c>
      <c r="J25" s="1843">
        <v>100.75</v>
      </c>
      <c r="K25" s="3139">
        <v>97.57</v>
      </c>
      <c r="L25" s="1844">
        <v>98.71</v>
      </c>
      <c r="M25" s="1843">
        <v>90.58</v>
      </c>
      <c r="N25" s="3140">
        <v>100.97</v>
      </c>
    </row>
    <row r="26" spans="1:14" s="6" customFormat="1" ht="12.75" customHeight="1">
      <c r="A26" s="53">
        <v>1994.05</v>
      </c>
      <c r="B26" s="2310">
        <v>99.36</v>
      </c>
      <c r="C26" s="1843">
        <v>99.46</v>
      </c>
      <c r="D26" s="3701">
        <v>96.84</v>
      </c>
      <c r="E26" s="1843">
        <v>100.16</v>
      </c>
      <c r="F26" s="3139">
        <v>98.08</v>
      </c>
      <c r="G26" s="1844">
        <v>99.71</v>
      </c>
      <c r="H26" s="1843">
        <v>99.83</v>
      </c>
      <c r="I26" s="3701">
        <v>96.84</v>
      </c>
      <c r="J26" s="1843">
        <v>100.66</v>
      </c>
      <c r="K26" s="3139">
        <v>98.21</v>
      </c>
      <c r="L26" s="1844">
        <v>99.94</v>
      </c>
      <c r="M26" s="1843">
        <v>96.73</v>
      </c>
      <c r="N26" s="3140">
        <v>100.83</v>
      </c>
    </row>
    <row r="27" spans="1:14" s="6" customFormat="1" ht="12.75" customHeight="1">
      <c r="A27" s="53">
        <v>1994.06</v>
      </c>
      <c r="B27" s="2310">
        <v>100.14</v>
      </c>
      <c r="C27" s="1843">
        <v>100.23</v>
      </c>
      <c r="D27" s="3701">
        <v>99.71</v>
      </c>
      <c r="E27" s="1843">
        <v>100.37</v>
      </c>
      <c r="F27" s="3139">
        <v>98.91</v>
      </c>
      <c r="G27" s="1844">
        <v>100.51</v>
      </c>
      <c r="H27" s="1843">
        <v>100.63</v>
      </c>
      <c r="I27" s="3701">
        <v>99.71</v>
      </c>
      <c r="J27" s="1843">
        <v>100.88</v>
      </c>
      <c r="K27" s="3139">
        <v>99.02</v>
      </c>
      <c r="L27" s="1844">
        <v>100.75</v>
      </c>
      <c r="M27" s="1843">
        <v>99.57</v>
      </c>
      <c r="N27" s="3140">
        <v>101.08</v>
      </c>
    </row>
    <row r="28" spans="1:14" s="6" customFormat="1" ht="12.75" customHeight="1">
      <c r="A28" s="53">
        <v>1994.07</v>
      </c>
      <c r="B28" s="2310">
        <v>100.64</v>
      </c>
      <c r="C28" s="1843">
        <v>100.7</v>
      </c>
      <c r="D28" s="3701">
        <v>100.89</v>
      </c>
      <c r="E28" s="1843">
        <v>100.65</v>
      </c>
      <c r="F28" s="3139">
        <v>99.86</v>
      </c>
      <c r="G28" s="1844">
        <v>101.03</v>
      </c>
      <c r="H28" s="1843">
        <v>101.11</v>
      </c>
      <c r="I28" s="3701">
        <v>100.89</v>
      </c>
      <c r="J28" s="1843">
        <v>101.17</v>
      </c>
      <c r="K28" s="3139">
        <v>99.98</v>
      </c>
      <c r="L28" s="1844">
        <v>101.12</v>
      </c>
      <c r="M28" s="1843">
        <v>100.26</v>
      </c>
      <c r="N28" s="3140">
        <v>101.36</v>
      </c>
    </row>
    <row r="29" spans="1:14" s="6" customFormat="1" ht="12.75" customHeight="1">
      <c r="A29" s="53">
        <v>1994.08</v>
      </c>
      <c r="B29" s="2310">
        <v>100.54</v>
      </c>
      <c r="C29" s="1843">
        <v>100.49</v>
      </c>
      <c r="D29" s="3701">
        <v>99.32</v>
      </c>
      <c r="E29" s="1843">
        <v>100.8</v>
      </c>
      <c r="F29" s="3139">
        <v>101.22</v>
      </c>
      <c r="G29" s="1844">
        <v>100.95</v>
      </c>
      <c r="H29" s="1843">
        <v>100.92</v>
      </c>
      <c r="I29" s="3701">
        <v>99.32</v>
      </c>
      <c r="J29" s="1843">
        <v>101.36</v>
      </c>
      <c r="K29" s="3139">
        <v>101.34</v>
      </c>
      <c r="L29" s="1844">
        <v>100.9</v>
      </c>
      <c r="M29" s="1843">
        <v>98.57</v>
      </c>
      <c r="N29" s="3140">
        <v>101.55</v>
      </c>
    </row>
    <row r="30" spans="1:14" s="6" customFormat="1" ht="12.75" customHeight="1">
      <c r="A30" s="53">
        <v>1994.09</v>
      </c>
      <c r="B30" s="2310">
        <v>100.53</v>
      </c>
      <c r="C30" s="1843">
        <v>100.41</v>
      </c>
      <c r="D30" s="3701">
        <v>98.72</v>
      </c>
      <c r="E30" s="1843">
        <v>100.85</v>
      </c>
      <c r="F30" s="3139">
        <v>102.13</v>
      </c>
      <c r="G30" s="1844">
        <v>100.94</v>
      </c>
      <c r="H30" s="1843">
        <v>100.84</v>
      </c>
      <c r="I30" s="3701">
        <v>98.72</v>
      </c>
      <c r="J30" s="1843">
        <v>101.42</v>
      </c>
      <c r="K30" s="3139">
        <v>102.25</v>
      </c>
      <c r="L30" s="1844">
        <v>101.09</v>
      </c>
      <c r="M30" s="1843">
        <v>98.52</v>
      </c>
      <c r="N30" s="3140">
        <v>101.8</v>
      </c>
    </row>
    <row r="31" spans="1:14" s="6" customFormat="1" ht="12.75" customHeight="1">
      <c r="A31" s="53">
        <v>1994.1</v>
      </c>
      <c r="B31" s="2310">
        <v>100.81</v>
      </c>
      <c r="C31" s="1843">
        <v>100.63</v>
      </c>
      <c r="D31" s="3701">
        <v>98.51</v>
      </c>
      <c r="E31" s="1843">
        <v>101.2</v>
      </c>
      <c r="F31" s="3139">
        <v>102.99</v>
      </c>
      <c r="G31" s="1844">
        <v>101.22</v>
      </c>
      <c r="H31" s="1843">
        <v>101.07</v>
      </c>
      <c r="I31" s="3701">
        <v>98.51</v>
      </c>
      <c r="J31" s="1843">
        <v>101.78</v>
      </c>
      <c r="K31" s="3139">
        <v>103.12</v>
      </c>
      <c r="L31" s="1844">
        <v>101.33</v>
      </c>
      <c r="M31" s="1843">
        <v>98.58</v>
      </c>
      <c r="N31" s="3140">
        <v>102.09</v>
      </c>
    </row>
    <row r="32" spans="1:14" s="6" customFormat="1" ht="12.75" customHeight="1">
      <c r="A32" s="53">
        <v>1994.11</v>
      </c>
      <c r="B32" s="2310">
        <v>101.63</v>
      </c>
      <c r="C32" s="1843">
        <v>101.33</v>
      </c>
      <c r="D32" s="3701">
        <v>99.3</v>
      </c>
      <c r="E32" s="1843">
        <v>101.86</v>
      </c>
      <c r="F32" s="3139">
        <v>105.46</v>
      </c>
      <c r="G32" s="1844">
        <v>102.07</v>
      </c>
      <c r="H32" s="1843">
        <v>101.79</v>
      </c>
      <c r="I32" s="3701">
        <v>99.3</v>
      </c>
      <c r="J32" s="1843">
        <v>102.48</v>
      </c>
      <c r="K32" s="3139">
        <v>105.59</v>
      </c>
      <c r="L32" s="1844">
        <v>102.19</v>
      </c>
      <c r="M32" s="1843">
        <v>99.75</v>
      </c>
      <c r="N32" s="3140">
        <v>102.87</v>
      </c>
    </row>
    <row r="33" spans="1:14" s="6" customFormat="1" ht="12.75" customHeight="1">
      <c r="A33" s="53">
        <v>1994.12</v>
      </c>
      <c r="B33" s="2310">
        <v>101.8</v>
      </c>
      <c r="C33" s="1843">
        <v>101.35</v>
      </c>
      <c r="D33" s="3701">
        <v>96.4</v>
      </c>
      <c r="E33" s="1843">
        <v>102.65</v>
      </c>
      <c r="F33" s="3139">
        <v>107.5</v>
      </c>
      <c r="G33" s="1844">
        <v>102.25</v>
      </c>
      <c r="H33" s="1843">
        <v>101.82</v>
      </c>
      <c r="I33" s="3701">
        <v>96.4</v>
      </c>
      <c r="J33" s="1843">
        <v>103.31</v>
      </c>
      <c r="K33" s="3139">
        <v>107.64</v>
      </c>
      <c r="L33" s="1844">
        <v>102.4</v>
      </c>
      <c r="M33" s="1843">
        <v>97.33</v>
      </c>
      <c r="N33" s="3140">
        <v>103.8</v>
      </c>
    </row>
    <row r="34" spans="1:14" s="6" customFormat="1" ht="12.75" customHeight="1">
      <c r="A34" s="53">
        <v>1995.01</v>
      </c>
      <c r="B34" s="2310">
        <v>103.24</v>
      </c>
      <c r="C34" s="1843">
        <v>102.84</v>
      </c>
      <c r="D34" s="3701">
        <v>100.29</v>
      </c>
      <c r="E34" s="1843">
        <v>103.52</v>
      </c>
      <c r="F34" s="3139">
        <v>108.28</v>
      </c>
      <c r="G34" s="1844">
        <v>103.74</v>
      </c>
      <c r="H34" s="1843">
        <v>103.36</v>
      </c>
      <c r="I34" s="3701">
        <v>100.26</v>
      </c>
      <c r="J34" s="1843">
        <v>104.21</v>
      </c>
      <c r="K34" s="3139">
        <v>108.42</v>
      </c>
      <c r="L34" s="1844">
        <v>103.83</v>
      </c>
      <c r="M34" s="1843">
        <v>100.68</v>
      </c>
      <c r="N34" s="3140">
        <v>104.7</v>
      </c>
    </row>
    <row r="35" spans="1:14" s="6" customFormat="1" ht="12.75" customHeight="1">
      <c r="A35" s="53">
        <v>1995.02</v>
      </c>
      <c r="B35" s="2310">
        <v>103.64</v>
      </c>
      <c r="C35" s="1843">
        <v>103.25</v>
      </c>
      <c r="D35" s="3701">
        <v>100.32</v>
      </c>
      <c r="E35" s="1843">
        <v>104.03</v>
      </c>
      <c r="F35" s="3139">
        <v>108.55</v>
      </c>
      <c r="G35" s="1844">
        <v>104.15</v>
      </c>
      <c r="H35" s="1843">
        <v>103.78</v>
      </c>
      <c r="I35" s="3701">
        <v>100.28</v>
      </c>
      <c r="J35" s="1843">
        <v>104.74</v>
      </c>
      <c r="K35" s="3139">
        <v>108.67</v>
      </c>
      <c r="L35" s="1844">
        <v>104.11</v>
      </c>
      <c r="M35" s="1843">
        <v>100.42</v>
      </c>
      <c r="N35" s="3140">
        <v>105.13</v>
      </c>
    </row>
    <row r="36" spans="1:14" s="6" customFormat="1" ht="12.75" customHeight="1">
      <c r="A36" s="53">
        <v>1995.03</v>
      </c>
      <c r="B36" s="2310">
        <v>103.02</v>
      </c>
      <c r="C36" s="1843">
        <v>102.47</v>
      </c>
      <c r="D36" s="3701">
        <v>96.12</v>
      </c>
      <c r="E36" s="1843">
        <v>104.15</v>
      </c>
      <c r="F36" s="3139">
        <v>109.97</v>
      </c>
      <c r="G36" s="1844">
        <v>103.53</v>
      </c>
      <c r="H36" s="1843">
        <v>103</v>
      </c>
      <c r="I36" s="3701">
        <v>96.09</v>
      </c>
      <c r="J36" s="1843">
        <v>104.91</v>
      </c>
      <c r="K36" s="3139">
        <v>110.07</v>
      </c>
      <c r="L36" s="1844">
        <v>103.15</v>
      </c>
      <c r="M36" s="1843">
        <v>95.64</v>
      </c>
      <c r="N36" s="3140">
        <v>105.23</v>
      </c>
    </row>
    <row r="37" spans="1:14" s="6" customFormat="1" ht="12.75" customHeight="1">
      <c r="A37" s="53">
        <v>1995.04</v>
      </c>
      <c r="B37" s="2310">
        <v>106.47</v>
      </c>
      <c r="C37" s="1843">
        <v>105.83</v>
      </c>
      <c r="D37" s="3701">
        <v>101.06</v>
      </c>
      <c r="E37" s="1843">
        <v>107.09</v>
      </c>
      <c r="F37" s="3139">
        <v>114.57</v>
      </c>
      <c r="G37" s="1844">
        <v>104.34</v>
      </c>
      <c r="H37" s="1843">
        <v>103.73</v>
      </c>
      <c r="I37" s="3701">
        <v>98.52</v>
      </c>
      <c r="J37" s="1843">
        <v>105.16</v>
      </c>
      <c r="K37" s="3139">
        <v>111.87</v>
      </c>
      <c r="L37" s="1844">
        <v>103.76</v>
      </c>
      <c r="M37" s="1843">
        <v>97.85</v>
      </c>
      <c r="N37" s="3140">
        <v>105.4</v>
      </c>
    </row>
    <row r="38" spans="1:14" s="6" customFormat="1" ht="12.75" customHeight="1">
      <c r="A38" s="53">
        <v>1995.05</v>
      </c>
      <c r="B38" s="2310">
        <v>106.6</v>
      </c>
      <c r="C38" s="1843">
        <v>106.03</v>
      </c>
      <c r="D38" s="3701">
        <v>101.38</v>
      </c>
      <c r="E38" s="1843">
        <v>107.25</v>
      </c>
      <c r="F38" s="3139">
        <v>113.9</v>
      </c>
      <c r="G38" s="1844">
        <v>104.48</v>
      </c>
      <c r="H38" s="1843">
        <v>103.93</v>
      </c>
      <c r="I38" s="3701">
        <v>98.84</v>
      </c>
      <c r="J38" s="1843">
        <v>105.34</v>
      </c>
      <c r="K38" s="3139">
        <v>111.22</v>
      </c>
      <c r="L38" s="1844">
        <v>103.99</v>
      </c>
      <c r="M38" s="1843">
        <v>98.44</v>
      </c>
      <c r="N38" s="3140">
        <v>105.53</v>
      </c>
    </row>
    <row r="39" spans="1:14" s="6" customFormat="1" ht="12.75" customHeight="1">
      <c r="A39" s="53">
        <v>1995.06</v>
      </c>
      <c r="B39" s="2310">
        <v>106.93</v>
      </c>
      <c r="C39" s="1843">
        <v>106.36</v>
      </c>
      <c r="D39" s="3701">
        <v>101.62</v>
      </c>
      <c r="E39" s="1843">
        <v>107.61</v>
      </c>
      <c r="F39" s="3139">
        <v>114.18</v>
      </c>
      <c r="G39" s="1844">
        <v>104.86</v>
      </c>
      <c r="H39" s="1843">
        <v>104.32</v>
      </c>
      <c r="I39" s="3701">
        <v>99.08</v>
      </c>
      <c r="J39" s="1843">
        <v>105.76</v>
      </c>
      <c r="K39" s="3139">
        <v>111.48</v>
      </c>
      <c r="L39" s="1844">
        <v>104.51</v>
      </c>
      <c r="M39" s="1843">
        <v>99.21</v>
      </c>
      <c r="N39" s="3140">
        <v>105.97</v>
      </c>
    </row>
    <row r="40" spans="1:14" s="6" customFormat="1" ht="12.75" customHeight="1">
      <c r="A40" s="53">
        <v>1995.07</v>
      </c>
      <c r="B40" s="2310">
        <v>107.33</v>
      </c>
      <c r="C40" s="1843">
        <v>106.9</v>
      </c>
      <c r="D40" s="3701">
        <v>102.19</v>
      </c>
      <c r="E40" s="1843">
        <v>108.15</v>
      </c>
      <c r="F40" s="3139">
        <v>112.77</v>
      </c>
      <c r="G40" s="1844">
        <v>105.27</v>
      </c>
      <c r="H40" s="1843">
        <v>104.87</v>
      </c>
      <c r="I40" s="3701">
        <v>99.65</v>
      </c>
      <c r="J40" s="1843">
        <v>106.31</v>
      </c>
      <c r="K40" s="3139">
        <v>110.1</v>
      </c>
      <c r="L40" s="1844">
        <v>105.21</v>
      </c>
      <c r="M40" s="1843">
        <v>100.64</v>
      </c>
      <c r="N40" s="3140">
        <v>106.48</v>
      </c>
    </row>
    <row r="41" spans="1:14" s="6" customFormat="1" ht="12.75" customHeight="1">
      <c r="A41" s="53">
        <v>1995.08</v>
      </c>
      <c r="B41" s="2310">
        <v>107.66</v>
      </c>
      <c r="C41" s="1843">
        <v>107.23</v>
      </c>
      <c r="D41" s="3701">
        <v>103.84</v>
      </c>
      <c r="E41" s="1843">
        <v>108.13</v>
      </c>
      <c r="F41" s="3139">
        <v>113.06</v>
      </c>
      <c r="G41" s="1844">
        <v>105.59</v>
      </c>
      <c r="H41" s="1843">
        <v>105.2</v>
      </c>
      <c r="I41" s="3701">
        <v>101.25</v>
      </c>
      <c r="J41" s="1843">
        <v>106.29</v>
      </c>
      <c r="K41" s="3139">
        <v>110.39</v>
      </c>
      <c r="L41" s="1844">
        <v>105.55</v>
      </c>
      <c r="M41" s="1843">
        <v>102.5</v>
      </c>
      <c r="N41" s="3140">
        <v>106.39</v>
      </c>
    </row>
    <row r="42" spans="1:14" s="6" customFormat="1" ht="12.75" customHeight="1">
      <c r="A42" s="53">
        <v>1995.09</v>
      </c>
      <c r="B42" s="2310">
        <v>107.68</v>
      </c>
      <c r="C42" s="1843">
        <v>107.27</v>
      </c>
      <c r="D42" s="3701">
        <v>106.79</v>
      </c>
      <c r="E42" s="1843">
        <v>107.4</v>
      </c>
      <c r="F42" s="3139">
        <v>112.85</v>
      </c>
      <c r="G42" s="1844">
        <v>105.63</v>
      </c>
      <c r="H42" s="1843">
        <v>105.26</v>
      </c>
      <c r="I42" s="3701">
        <v>104.13</v>
      </c>
      <c r="J42" s="1843">
        <v>105.57</v>
      </c>
      <c r="K42" s="3139">
        <v>110.18</v>
      </c>
      <c r="L42" s="1844">
        <v>105.63</v>
      </c>
      <c r="M42" s="1843">
        <v>105.42</v>
      </c>
      <c r="N42" s="3140">
        <v>105.69</v>
      </c>
    </row>
    <row r="43" spans="1:14" s="6" customFormat="1" ht="12.75" customHeight="1">
      <c r="A43" s="53">
        <v>1995.1</v>
      </c>
      <c r="B43" s="2310">
        <v>107.56</v>
      </c>
      <c r="C43" s="1843">
        <v>107.25</v>
      </c>
      <c r="D43" s="3701">
        <v>106.53</v>
      </c>
      <c r="E43" s="1843">
        <v>107.45</v>
      </c>
      <c r="F43" s="3139">
        <v>111.4</v>
      </c>
      <c r="G43" s="1844">
        <v>105.5</v>
      </c>
      <c r="H43" s="1843">
        <v>105.24</v>
      </c>
      <c r="I43" s="3701">
        <v>103.86</v>
      </c>
      <c r="J43" s="1843">
        <v>105.62</v>
      </c>
      <c r="K43" s="3139">
        <v>108.76</v>
      </c>
      <c r="L43" s="1844">
        <v>105.64</v>
      </c>
      <c r="M43" s="1843">
        <v>105.22</v>
      </c>
      <c r="N43" s="3140">
        <v>105.75</v>
      </c>
    </row>
    <row r="44" spans="1:14" s="6" customFormat="1" ht="12.75" customHeight="1">
      <c r="A44" s="53">
        <v>1995.11</v>
      </c>
      <c r="B44" s="2310">
        <v>107.37</v>
      </c>
      <c r="C44" s="1843">
        <v>107.03</v>
      </c>
      <c r="D44" s="3701">
        <v>106.08</v>
      </c>
      <c r="E44" s="1843">
        <v>107.29</v>
      </c>
      <c r="F44" s="3139">
        <v>111.69</v>
      </c>
      <c r="G44" s="1844">
        <v>105.32</v>
      </c>
      <c r="H44" s="1843">
        <v>105.02</v>
      </c>
      <c r="I44" s="3701">
        <v>103.44</v>
      </c>
      <c r="J44" s="1843">
        <v>105.45</v>
      </c>
      <c r="K44" s="3139">
        <v>109.05</v>
      </c>
      <c r="L44" s="1844">
        <v>105.46</v>
      </c>
      <c r="M44" s="1843">
        <v>104.98</v>
      </c>
      <c r="N44" s="3140">
        <v>105.59</v>
      </c>
    </row>
    <row r="45" spans="1:14" s="6" customFormat="1" ht="12.75" customHeight="1">
      <c r="A45" s="53">
        <v>1995.12</v>
      </c>
      <c r="B45" s="2310">
        <v>107.73</v>
      </c>
      <c r="C45" s="1843">
        <v>107.39</v>
      </c>
      <c r="D45" s="3701">
        <v>106.98</v>
      </c>
      <c r="E45" s="1843">
        <v>107.5</v>
      </c>
      <c r="F45" s="3139">
        <v>112.08</v>
      </c>
      <c r="G45" s="1844">
        <v>105.68</v>
      </c>
      <c r="H45" s="1843">
        <v>105.38</v>
      </c>
      <c r="I45" s="3701">
        <v>104.3</v>
      </c>
      <c r="J45" s="1843">
        <v>105.68</v>
      </c>
      <c r="K45" s="3139">
        <v>109.42</v>
      </c>
      <c r="L45" s="1844">
        <v>105.79</v>
      </c>
      <c r="M45" s="1843">
        <v>105.66</v>
      </c>
      <c r="N45" s="3140">
        <v>105.82</v>
      </c>
    </row>
    <row r="46" spans="1:14" s="6" customFormat="1" ht="12.75" customHeight="1">
      <c r="A46" s="53">
        <v>1996.01</v>
      </c>
      <c r="B46" s="2310">
        <v>107.97</v>
      </c>
      <c r="C46" s="1843">
        <v>107.66</v>
      </c>
      <c r="D46" s="3701">
        <v>108.45</v>
      </c>
      <c r="E46" s="1843">
        <v>107.45</v>
      </c>
      <c r="F46" s="3139">
        <v>111.93</v>
      </c>
      <c r="G46" s="1844">
        <v>105.92</v>
      </c>
      <c r="H46" s="1843">
        <v>105.65</v>
      </c>
      <c r="I46" s="3701">
        <v>105.74</v>
      </c>
      <c r="J46" s="1843">
        <v>105.63</v>
      </c>
      <c r="K46" s="3139">
        <v>109.28</v>
      </c>
      <c r="L46" s="1844">
        <v>106.27</v>
      </c>
      <c r="M46" s="1843">
        <v>107.71</v>
      </c>
      <c r="N46" s="3140">
        <v>105.87</v>
      </c>
    </row>
    <row r="47" spans="1:14" s="6" customFormat="1" ht="12.75" customHeight="1">
      <c r="A47" s="53">
        <v>1996.02</v>
      </c>
      <c r="B47" s="2310">
        <v>107.86</v>
      </c>
      <c r="C47" s="1843">
        <v>107.62</v>
      </c>
      <c r="D47" s="3701">
        <v>107.79</v>
      </c>
      <c r="E47" s="1843">
        <v>107.58</v>
      </c>
      <c r="F47" s="3139">
        <v>110.97</v>
      </c>
      <c r="G47" s="1844">
        <v>105.75</v>
      </c>
      <c r="H47" s="1843">
        <v>105.54</v>
      </c>
      <c r="I47" s="3701">
        <v>105.09</v>
      </c>
      <c r="J47" s="1843">
        <v>105.66</v>
      </c>
      <c r="K47" s="3139">
        <v>108.34</v>
      </c>
      <c r="L47" s="1844">
        <v>106.1</v>
      </c>
      <c r="M47" s="1843">
        <v>107.1</v>
      </c>
      <c r="N47" s="3140">
        <v>105.82</v>
      </c>
    </row>
    <row r="48" spans="1:14" s="6" customFormat="1" ht="12.75" customHeight="1">
      <c r="A48" s="53">
        <v>1996.03</v>
      </c>
      <c r="B48" s="2310">
        <v>108.7</v>
      </c>
      <c r="C48" s="1843">
        <v>108.58</v>
      </c>
      <c r="D48" s="3701">
        <v>112.14</v>
      </c>
      <c r="E48" s="1843">
        <v>107.64</v>
      </c>
      <c r="F48" s="3139">
        <v>110.27</v>
      </c>
      <c r="G48" s="1844">
        <v>106.57</v>
      </c>
      <c r="H48" s="1843">
        <v>106.48</v>
      </c>
      <c r="I48" s="3701">
        <v>109.33</v>
      </c>
      <c r="J48" s="1843">
        <v>105.7</v>
      </c>
      <c r="K48" s="3139">
        <v>107.61</v>
      </c>
      <c r="L48" s="1844">
        <v>106.96</v>
      </c>
      <c r="M48" s="1843">
        <v>111.09</v>
      </c>
      <c r="N48" s="3140">
        <v>105.81</v>
      </c>
    </row>
    <row r="49" spans="1:14" s="6" customFormat="1" ht="12.75" customHeight="1">
      <c r="A49" s="53">
        <v>1996.04</v>
      </c>
      <c r="B49" s="2310">
        <v>110.32</v>
      </c>
      <c r="C49" s="1843">
        <v>110.33</v>
      </c>
      <c r="D49" s="3701">
        <v>119.76</v>
      </c>
      <c r="E49" s="1843">
        <v>107.85</v>
      </c>
      <c r="F49" s="3139">
        <v>110.14</v>
      </c>
      <c r="G49" s="1844">
        <v>108.25</v>
      </c>
      <c r="H49" s="1843">
        <v>108.29</v>
      </c>
      <c r="I49" s="3701">
        <v>116.76</v>
      </c>
      <c r="J49" s="1843">
        <v>105.96</v>
      </c>
      <c r="K49" s="3139">
        <v>107.69</v>
      </c>
      <c r="L49" s="1844">
        <v>109.05</v>
      </c>
      <c r="M49" s="1843">
        <v>119.17</v>
      </c>
      <c r="N49" s="3140">
        <v>106.25</v>
      </c>
    </row>
    <row r="50" spans="1:14" s="6" customFormat="1" ht="12.75" customHeight="1">
      <c r="A50" s="53">
        <v>1996.05</v>
      </c>
      <c r="B50" s="2310">
        <v>110.57</v>
      </c>
      <c r="C50" s="1843">
        <v>110.67</v>
      </c>
      <c r="D50" s="3701">
        <v>118.56</v>
      </c>
      <c r="E50" s="1843">
        <v>108.59</v>
      </c>
      <c r="F50" s="3139">
        <v>109.34</v>
      </c>
      <c r="G50" s="1844">
        <v>108.51</v>
      </c>
      <c r="H50" s="1843">
        <v>108.64</v>
      </c>
      <c r="I50" s="3701">
        <v>115.6</v>
      </c>
      <c r="J50" s="1843">
        <v>106.72</v>
      </c>
      <c r="K50" s="3139">
        <v>106.91</v>
      </c>
      <c r="L50" s="1844">
        <v>109.44</v>
      </c>
      <c r="M50" s="1843">
        <v>118.23</v>
      </c>
      <c r="N50" s="3140">
        <v>107.01</v>
      </c>
    </row>
    <row r="51" spans="1:14" s="6" customFormat="1" ht="12.75" customHeight="1">
      <c r="A51" s="53">
        <v>1996.06</v>
      </c>
      <c r="B51" s="2310">
        <v>109.74</v>
      </c>
      <c r="C51" s="1843">
        <v>109.84</v>
      </c>
      <c r="D51" s="3701">
        <v>117.06</v>
      </c>
      <c r="E51" s="1843">
        <v>107.93</v>
      </c>
      <c r="F51" s="3139">
        <v>108.5</v>
      </c>
      <c r="G51" s="1844">
        <v>107.81</v>
      </c>
      <c r="H51" s="1843">
        <v>107.93</v>
      </c>
      <c r="I51" s="3701">
        <v>114.13</v>
      </c>
      <c r="J51" s="1843">
        <v>106.22</v>
      </c>
      <c r="K51" s="3139">
        <v>106.34</v>
      </c>
      <c r="L51" s="1844">
        <v>108.5</v>
      </c>
      <c r="M51" s="1843">
        <v>115.92</v>
      </c>
      <c r="N51" s="3140">
        <v>106.45</v>
      </c>
    </row>
    <row r="52" spans="1:14" s="6" customFormat="1" ht="12.75" customHeight="1">
      <c r="A52" s="53">
        <v>1996.07</v>
      </c>
      <c r="B52" s="2310">
        <v>109.61</v>
      </c>
      <c r="C52" s="1843">
        <v>109.76</v>
      </c>
      <c r="D52" s="3701">
        <v>118.54</v>
      </c>
      <c r="E52" s="1843">
        <v>107.45</v>
      </c>
      <c r="F52" s="3139">
        <v>107.6</v>
      </c>
      <c r="G52" s="1844">
        <v>107.68</v>
      </c>
      <c r="H52" s="1843">
        <v>107.86</v>
      </c>
      <c r="I52" s="3701">
        <v>115.57</v>
      </c>
      <c r="J52" s="1843">
        <v>105.74</v>
      </c>
      <c r="K52" s="3139">
        <v>105.45</v>
      </c>
      <c r="L52" s="1844">
        <v>108.28</v>
      </c>
      <c r="M52" s="1843">
        <v>116.89</v>
      </c>
      <c r="N52" s="3140">
        <v>105.9</v>
      </c>
    </row>
    <row r="53" spans="1:14" s="6" customFormat="1" ht="12.75" customHeight="1">
      <c r="A53" s="53">
        <v>1996.08</v>
      </c>
      <c r="B53" s="2310">
        <v>109.27</v>
      </c>
      <c r="C53" s="1843">
        <v>109.47</v>
      </c>
      <c r="D53" s="3701">
        <v>118.85</v>
      </c>
      <c r="E53" s="1843">
        <v>106.99</v>
      </c>
      <c r="F53" s="3139">
        <v>106.81</v>
      </c>
      <c r="G53" s="1844">
        <v>107.35</v>
      </c>
      <c r="H53" s="1843">
        <v>107.57</v>
      </c>
      <c r="I53" s="3701">
        <v>115.88</v>
      </c>
      <c r="J53" s="1843">
        <v>105.28</v>
      </c>
      <c r="K53" s="3139">
        <v>104.68</v>
      </c>
      <c r="L53" s="1844">
        <v>108.02</v>
      </c>
      <c r="M53" s="1843">
        <v>117.1</v>
      </c>
      <c r="N53" s="3140">
        <v>105.5</v>
      </c>
    </row>
    <row r="54" spans="1:14" s="6" customFormat="1" ht="12.75" customHeight="1">
      <c r="A54" s="53">
        <v>1996.09</v>
      </c>
      <c r="B54" s="2310">
        <v>110.52</v>
      </c>
      <c r="C54" s="1843">
        <v>110.88</v>
      </c>
      <c r="D54" s="3701">
        <v>122.44</v>
      </c>
      <c r="E54" s="1843">
        <v>107.83</v>
      </c>
      <c r="F54" s="3139">
        <v>105.98</v>
      </c>
      <c r="G54" s="1844">
        <v>108.32</v>
      </c>
      <c r="H54" s="1843">
        <v>108.68</v>
      </c>
      <c r="I54" s="3701">
        <v>119.38</v>
      </c>
      <c r="J54" s="1843">
        <v>105.74</v>
      </c>
      <c r="K54" s="3139">
        <v>103.87</v>
      </c>
      <c r="L54" s="1844">
        <v>109.17</v>
      </c>
      <c r="M54" s="1843">
        <v>120.36</v>
      </c>
      <c r="N54" s="3140">
        <v>106.07</v>
      </c>
    </row>
    <row r="55" spans="1:14" s="6" customFormat="1" ht="12.75" customHeight="1">
      <c r="A55" s="53">
        <v>1996.1</v>
      </c>
      <c r="B55" s="2310">
        <v>110.97</v>
      </c>
      <c r="C55" s="1843">
        <v>111.41</v>
      </c>
      <c r="D55" s="3701">
        <v>117.73</v>
      </c>
      <c r="E55" s="1843">
        <v>109.74</v>
      </c>
      <c r="F55" s="3139">
        <v>105.46</v>
      </c>
      <c r="G55" s="1844">
        <v>107.24</v>
      </c>
      <c r="H55" s="1843">
        <v>107.55</v>
      </c>
      <c r="I55" s="3701">
        <v>114.79</v>
      </c>
      <c r="J55" s="1843">
        <v>105.56</v>
      </c>
      <c r="K55" s="3139">
        <v>103.35</v>
      </c>
      <c r="L55" s="1844">
        <v>107.97</v>
      </c>
      <c r="M55" s="1843">
        <v>115.7</v>
      </c>
      <c r="N55" s="3140">
        <v>105.84</v>
      </c>
    </row>
    <row r="56" spans="1:14" s="6" customFormat="1" ht="12.75" customHeight="1">
      <c r="A56" s="53">
        <v>1996.11</v>
      </c>
      <c r="B56" s="2310">
        <v>110.1</v>
      </c>
      <c r="C56" s="1843">
        <v>110.43</v>
      </c>
      <c r="D56" s="3701">
        <v>113.45</v>
      </c>
      <c r="E56" s="1843">
        <v>109.63</v>
      </c>
      <c r="F56" s="3139">
        <v>106.01</v>
      </c>
      <c r="G56" s="1844">
        <v>106.36</v>
      </c>
      <c r="H56" s="1843">
        <v>106.56</v>
      </c>
      <c r="I56" s="3701">
        <v>110.61</v>
      </c>
      <c r="J56" s="1843">
        <v>105.44</v>
      </c>
      <c r="K56" s="3139">
        <v>103.88</v>
      </c>
      <c r="L56" s="1844">
        <v>106.95</v>
      </c>
      <c r="M56" s="1843">
        <v>111.46</v>
      </c>
      <c r="N56" s="3140">
        <v>105.7</v>
      </c>
    </row>
    <row r="57" spans="1:14" s="6" customFormat="1" ht="12.75" customHeight="1">
      <c r="A57" s="53">
        <v>1996.12</v>
      </c>
      <c r="B57" s="2310">
        <v>109.95</v>
      </c>
      <c r="C57" s="1843">
        <v>110.32</v>
      </c>
      <c r="D57" s="3701">
        <v>113.5</v>
      </c>
      <c r="E57" s="1843">
        <v>109.49</v>
      </c>
      <c r="F57" s="3139">
        <v>105.17</v>
      </c>
      <c r="G57" s="1844">
        <v>106.21</v>
      </c>
      <c r="H57" s="1843">
        <v>106.46</v>
      </c>
      <c r="I57" s="3701">
        <v>110.66</v>
      </c>
      <c r="J57" s="1843">
        <v>105.31</v>
      </c>
      <c r="K57" s="3139">
        <v>103.05</v>
      </c>
      <c r="L57" s="1844">
        <v>106.94</v>
      </c>
      <c r="M57" s="1843">
        <v>111.5</v>
      </c>
      <c r="N57" s="3140">
        <v>105.67</v>
      </c>
    </row>
    <row r="58" spans="1:14" s="6" customFormat="1" ht="12.75" customHeight="1">
      <c r="A58" s="53">
        <v>1997.01</v>
      </c>
      <c r="B58" s="2310">
        <v>110.35</v>
      </c>
      <c r="C58" s="1843">
        <v>110.75</v>
      </c>
      <c r="D58" s="3701">
        <v>114.05</v>
      </c>
      <c r="E58" s="1843">
        <v>109.87</v>
      </c>
      <c r="F58" s="3139">
        <v>105.34</v>
      </c>
      <c r="G58" s="1844">
        <v>106.52</v>
      </c>
      <c r="H58" s="1843">
        <v>106.79</v>
      </c>
      <c r="I58" s="3701">
        <v>111.19</v>
      </c>
      <c r="J58" s="1843">
        <v>105.57</v>
      </c>
      <c r="K58" s="3139">
        <v>103.23</v>
      </c>
      <c r="L58" s="1844">
        <v>107.3</v>
      </c>
      <c r="M58" s="1843">
        <v>112.21</v>
      </c>
      <c r="N58" s="3140">
        <v>105.94</v>
      </c>
    </row>
    <row r="59" spans="1:14" s="6" customFormat="1" ht="12.75" customHeight="1">
      <c r="A59" s="53">
        <v>1997.02</v>
      </c>
      <c r="B59" s="2310">
        <v>110.16</v>
      </c>
      <c r="C59" s="1843">
        <v>110.51</v>
      </c>
      <c r="D59" s="3701">
        <v>112.02</v>
      </c>
      <c r="E59" s="1843">
        <v>110.11</v>
      </c>
      <c r="F59" s="3139">
        <v>105.71</v>
      </c>
      <c r="G59" s="1844">
        <v>106.33</v>
      </c>
      <c r="H59" s="1843">
        <v>106.55</v>
      </c>
      <c r="I59" s="3701">
        <v>109.22</v>
      </c>
      <c r="J59" s="1843">
        <v>105.82</v>
      </c>
      <c r="K59" s="3139">
        <v>103.59</v>
      </c>
      <c r="L59" s="1844">
        <v>106.98</v>
      </c>
      <c r="M59" s="1843">
        <v>110.08</v>
      </c>
      <c r="N59" s="3140">
        <v>106.12</v>
      </c>
    </row>
    <row r="60" spans="1:14" s="6" customFormat="1" ht="12.75" customHeight="1">
      <c r="A60" s="53">
        <v>1997.03</v>
      </c>
      <c r="B60" s="2310">
        <v>109.84</v>
      </c>
      <c r="C60" s="1843">
        <v>110.27</v>
      </c>
      <c r="D60" s="3701">
        <v>110.72</v>
      </c>
      <c r="E60" s="1843">
        <v>110.15</v>
      </c>
      <c r="F60" s="3139">
        <v>104.38</v>
      </c>
      <c r="G60" s="1844">
        <v>106.01</v>
      </c>
      <c r="H60" s="1843">
        <v>106.31</v>
      </c>
      <c r="I60" s="3701">
        <v>107.94</v>
      </c>
      <c r="J60" s="1843">
        <v>105.86</v>
      </c>
      <c r="K60" s="3139">
        <v>102.29</v>
      </c>
      <c r="L60" s="1844">
        <v>106.9</v>
      </c>
      <c r="M60" s="1843">
        <v>109.02</v>
      </c>
      <c r="N60" s="3140">
        <v>106.32</v>
      </c>
    </row>
    <row r="61" spans="1:14" s="6" customFormat="1" ht="12.75" customHeight="1">
      <c r="A61" s="53">
        <v>1997.04</v>
      </c>
      <c r="B61" s="2310">
        <v>109.36</v>
      </c>
      <c r="C61" s="1843">
        <v>109.72</v>
      </c>
      <c r="D61" s="3701">
        <v>108.77</v>
      </c>
      <c r="E61" s="1843">
        <v>109.97</v>
      </c>
      <c r="F61" s="3139">
        <v>104.75</v>
      </c>
      <c r="G61" s="1844">
        <v>105.53</v>
      </c>
      <c r="H61" s="1843">
        <v>105.76</v>
      </c>
      <c r="I61" s="3701">
        <v>106.05</v>
      </c>
      <c r="J61" s="1843">
        <v>105.68</v>
      </c>
      <c r="K61" s="3139">
        <v>102.65</v>
      </c>
      <c r="L61" s="1844">
        <v>106.32</v>
      </c>
      <c r="M61" s="1843">
        <v>107.03</v>
      </c>
      <c r="N61" s="3140">
        <v>106.13</v>
      </c>
    </row>
    <row r="62" spans="1:14" s="6" customFormat="1" ht="12.75" customHeight="1">
      <c r="A62" s="53">
        <v>1997.05</v>
      </c>
      <c r="B62" s="2310">
        <v>110.05</v>
      </c>
      <c r="C62" s="1843">
        <v>110.44</v>
      </c>
      <c r="D62" s="3701">
        <v>112.19</v>
      </c>
      <c r="E62" s="1843">
        <v>109.98</v>
      </c>
      <c r="F62" s="3139">
        <v>105.07</v>
      </c>
      <c r="G62" s="1844">
        <v>106.22</v>
      </c>
      <c r="H62" s="1843">
        <v>106.48</v>
      </c>
      <c r="I62" s="3701">
        <v>109.38</v>
      </c>
      <c r="J62" s="1843">
        <v>105.68</v>
      </c>
      <c r="K62" s="3139">
        <v>102.96</v>
      </c>
      <c r="L62" s="1844">
        <v>107.03</v>
      </c>
      <c r="M62" s="1843">
        <v>110.13</v>
      </c>
      <c r="N62" s="3140">
        <v>106.17</v>
      </c>
    </row>
    <row r="63" spans="1:14" s="6" customFormat="1" ht="12.75" customHeight="1">
      <c r="A63" s="53">
        <v>1997.06</v>
      </c>
      <c r="B63" s="2310">
        <v>109.61</v>
      </c>
      <c r="C63" s="1843">
        <v>110</v>
      </c>
      <c r="D63" s="3701">
        <v>110.99</v>
      </c>
      <c r="E63" s="1843">
        <v>109.74</v>
      </c>
      <c r="F63" s="3139">
        <v>104.69</v>
      </c>
      <c r="G63" s="1844">
        <v>105.78</v>
      </c>
      <c r="H63" s="1843">
        <v>106.04</v>
      </c>
      <c r="I63" s="3701">
        <v>108.21</v>
      </c>
      <c r="J63" s="1843">
        <v>105.44</v>
      </c>
      <c r="K63" s="3139">
        <v>102.59</v>
      </c>
      <c r="L63" s="1844">
        <v>106.36</v>
      </c>
      <c r="M63" s="1843">
        <v>108.21</v>
      </c>
      <c r="N63" s="3140">
        <v>105.85</v>
      </c>
    </row>
    <row r="64" spans="1:14" s="6" customFormat="1" ht="12.75" customHeight="1">
      <c r="A64" s="53">
        <v>1997.07</v>
      </c>
      <c r="B64" s="2310">
        <v>109.13</v>
      </c>
      <c r="C64" s="1843">
        <v>109.53</v>
      </c>
      <c r="D64" s="3701">
        <v>110.45</v>
      </c>
      <c r="E64" s="1843">
        <v>109.28</v>
      </c>
      <c r="F64" s="3139">
        <v>104.1</v>
      </c>
      <c r="G64" s="1844">
        <v>105.3</v>
      </c>
      <c r="H64" s="1843">
        <v>105.56</v>
      </c>
      <c r="I64" s="3701">
        <v>107.68</v>
      </c>
      <c r="J64" s="1843">
        <v>104.98</v>
      </c>
      <c r="K64" s="3139">
        <v>102.01</v>
      </c>
      <c r="L64" s="1844">
        <v>105.72</v>
      </c>
      <c r="M64" s="1843">
        <v>107.39</v>
      </c>
      <c r="N64" s="3140">
        <v>105.25</v>
      </c>
    </row>
    <row r="65" spans="1:14" s="6" customFormat="1" ht="12.75" customHeight="1">
      <c r="A65" s="53">
        <v>1997.08</v>
      </c>
      <c r="B65" s="2310">
        <v>109.88</v>
      </c>
      <c r="C65" s="1843">
        <v>110.33</v>
      </c>
      <c r="D65" s="3701">
        <v>113.63</v>
      </c>
      <c r="E65" s="1843">
        <v>109.46</v>
      </c>
      <c r="F65" s="3139">
        <v>104.07</v>
      </c>
      <c r="G65" s="1844">
        <v>106.04</v>
      </c>
      <c r="H65" s="1843">
        <v>106.37</v>
      </c>
      <c r="I65" s="3701">
        <v>110.78</v>
      </c>
      <c r="J65" s="1843">
        <v>105.16</v>
      </c>
      <c r="K65" s="3139">
        <v>101.96</v>
      </c>
      <c r="L65" s="1844">
        <v>106.5</v>
      </c>
      <c r="M65" s="1843">
        <v>110.42</v>
      </c>
      <c r="N65" s="3140">
        <v>105.41</v>
      </c>
    </row>
    <row r="66" spans="1:14" s="6" customFormat="1" ht="12.75" customHeight="1">
      <c r="A66" s="53">
        <v>1997.09</v>
      </c>
      <c r="B66" s="2310">
        <v>110.02</v>
      </c>
      <c r="C66" s="1843">
        <v>110.54</v>
      </c>
      <c r="D66" s="3701">
        <v>114.25</v>
      </c>
      <c r="E66" s="1843">
        <v>109.57</v>
      </c>
      <c r="F66" s="3139">
        <v>103.28</v>
      </c>
      <c r="G66" s="1844">
        <v>106.18</v>
      </c>
      <c r="H66" s="1843">
        <v>106.59</v>
      </c>
      <c r="I66" s="3701">
        <v>111.39</v>
      </c>
      <c r="J66" s="1843">
        <v>105.27</v>
      </c>
      <c r="K66" s="3139">
        <v>101.18</v>
      </c>
      <c r="L66" s="1844">
        <v>106.9</v>
      </c>
      <c r="M66" s="1843">
        <v>111.1</v>
      </c>
      <c r="N66" s="3140">
        <v>105.73</v>
      </c>
    </row>
    <row r="67" spans="1:14" s="6" customFormat="1" ht="12.75" customHeight="1">
      <c r="A67" s="53">
        <v>1997.1</v>
      </c>
      <c r="B67" s="2310">
        <v>109.89</v>
      </c>
      <c r="C67" s="1843">
        <v>110.45</v>
      </c>
      <c r="D67" s="3701">
        <v>115.18</v>
      </c>
      <c r="E67" s="1843">
        <v>109.21</v>
      </c>
      <c r="F67" s="3139">
        <v>102.74</v>
      </c>
      <c r="G67" s="1844">
        <v>106.05</v>
      </c>
      <c r="H67" s="1843">
        <v>106.49</v>
      </c>
      <c r="I67" s="3701">
        <v>112.3</v>
      </c>
      <c r="J67" s="1843">
        <v>104.89</v>
      </c>
      <c r="K67" s="3139">
        <v>100.65</v>
      </c>
      <c r="L67" s="1844">
        <v>106.93</v>
      </c>
      <c r="M67" s="1843">
        <v>112.37</v>
      </c>
      <c r="N67" s="3140">
        <v>105.43</v>
      </c>
    </row>
    <row r="68" spans="1:14" s="6" customFormat="1" ht="12.75" customHeight="1">
      <c r="A68" s="53">
        <v>1997.11</v>
      </c>
      <c r="B68" s="2310">
        <v>109.66</v>
      </c>
      <c r="C68" s="1843">
        <v>110.28</v>
      </c>
      <c r="D68" s="3701">
        <v>114.55</v>
      </c>
      <c r="E68" s="1843">
        <v>109.15</v>
      </c>
      <c r="F68" s="3139">
        <v>101.73</v>
      </c>
      <c r="G68" s="1844">
        <v>105.81</v>
      </c>
      <c r="H68" s="1843">
        <v>106.31</v>
      </c>
      <c r="I68" s="3701">
        <v>111.68</v>
      </c>
      <c r="J68" s="1843">
        <v>104.83</v>
      </c>
      <c r="K68" s="3139">
        <v>99.66</v>
      </c>
      <c r="L68" s="1844">
        <v>106.95</v>
      </c>
      <c r="M68" s="1843">
        <v>111.95</v>
      </c>
      <c r="N68" s="3140">
        <v>105.56</v>
      </c>
    </row>
    <row r="69" spans="1:14" s="6" customFormat="1" ht="12.75" customHeight="1">
      <c r="A69" s="53">
        <v>1997.12</v>
      </c>
      <c r="B69" s="2310">
        <v>108.94</v>
      </c>
      <c r="C69" s="1843">
        <v>109.51</v>
      </c>
      <c r="D69" s="3701">
        <v>111.39</v>
      </c>
      <c r="E69" s="1843">
        <v>109.01</v>
      </c>
      <c r="F69" s="3139">
        <v>101.64</v>
      </c>
      <c r="G69" s="1844">
        <v>105.08</v>
      </c>
      <c r="H69" s="1843">
        <v>105.53</v>
      </c>
      <c r="I69" s="3701">
        <v>108.6</v>
      </c>
      <c r="J69" s="1843">
        <v>104.68</v>
      </c>
      <c r="K69" s="3139">
        <v>99.58</v>
      </c>
      <c r="L69" s="1844">
        <v>106.03</v>
      </c>
      <c r="M69" s="1843">
        <v>108.43</v>
      </c>
      <c r="N69" s="3140">
        <v>105.37</v>
      </c>
    </row>
    <row r="70" spans="1:14" s="6" customFormat="1" ht="12.75" customHeight="1">
      <c r="A70" s="53">
        <v>1998.01</v>
      </c>
      <c r="B70" s="2310">
        <v>107.56</v>
      </c>
      <c r="C70" s="1843">
        <v>108.04</v>
      </c>
      <c r="D70" s="3701">
        <v>104.99</v>
      </c>
      <c r="E70" s="1843">
        <v>108.84</v>
      </c>
      <c r="F70" s="3139">
        <v>101.48</v>
      </c>
      <c r="G70" s="1844">
        <v>103.7</v>
      </c>
      <c r="H70" s="1843">
        <v>104.05</v>
      </c>
      <c r="I70" s="3701">
        <v>102.36</v>
      </c>
      <c r="J70" s="1843">
        <v>104.51</v>
      </c>
      <c r="K70" s="3139">
        <v>99.42</v>
      </c>
      <c r="L70" s="1844">
        <v>104.42</v>
      </c>
      <c r="M70" s="1843">
        <v>102.11</v>
      </c>
      <c r="N70" s="3140">
        <v>105.06</v>
      </c>
    </row>
    <row r="71" spans="1:14" s="6" customFormat="1" ht="12.75" customHeight="1">
      <c r="A71" s="53">
        <v>1998.02</v>
      </c>
      <c r="B71" s="2310">
        <v>107.94</v>
      </c>
      <c r="C71" s="1843">
        <v>108.45</v>
      </c>
      <c r="D71" s="3701">
        <v>106.6</v>
      </c>
      <c r="E71" s="1843">
        <v>108.94</v>
      </c>
      <c r="F71" s="3139">
        <v>101.39</v>
      </c>
      <c r="G71" s="1844">
        <v>104.08</v>
      </c>
      <c r="H71" s="1843">
        <v>104.46</v>
      </c>
      <c r="I71" s="3701">
        <v>103.92</v>
      </c>
      <c r="J71" s="1843">
        <v>104.61</v>
      </c>
      <c r="K71" s="3139">
        <v>99.33</v>
      </c>
      <c r="L71" s="1844">
        <v>104.73</v>
      </c>
      <c r="M71" s="1843">
        <v>103.24</v>
      </c>
      <c r="N71" s="3140">
        <v>105.14</v>
      </c>
    </row>
    <row r="72" spans="1:14" s="6" customFormat="1" ht="12.75" customHeight="1">
      <c r="A72" s="53">
        <v>1998.03</v>
      </c>
      <c r="B72" s="2310">
        <v>107.66</v>
      </c>
      <c r="C72" s="1843">
        <v>108.16</v>
      </c>
      <c r="D72" s="3701">
        <v>104.77</v>
      </c>
      <c r="E72" s="1843">
        <v>109.05</v>
      </c>
      <c r="F72" s="3139">
        <v>101.3</v>
      </c>
      <c r="G72" s="1844">
        <v>103.81</v>
      </c>
      <c r="H72" s="1843">
        <v>104.17</v>
      </c>
      <c r="I72" s="3701">
        <v>102.14</v>
      </c>
      <c r="J72" s="1843">
        <v>104.73</v>
      </c>
      <c r="K72" s="3139">
        <v>99.25</v>
      </c>
      <c r="L72" s="1844">
        <v>104.26</v>
      </c>
      <c r="M72" s="1843">
        <v>101.14</v>
      </c>
      <c r="N72" s="3140">
        <v>105.12</v>
      </c>
    </row>
    <row r="73" spans="1:14" s="6" customFormat="1" ht="12.75" customHeight="1">
      <c r="A73" s="53">
        <v>1998.04</v>
      </c>
      <c r="B73" s="2310">
        <v>107.75</v>
      </c>
      <c r="C73" s="1843">
        <v>108.29</v>
      </c>
      <c r="D73" s="3701">
        <v>105.89</v>
      </c>
      <c r="E73" s="1843">
        <v>108.92</v>
      </c>
      <c r="F73" s="3139">
        <v>100.94</v>
      </c>
      <c r="G73" s="1844">
        <v>103.9</v>
      </c>
      <c r="H73" s="1843">
        <v>104.3</v>
      </c>
      <c r="I73" s="3701">
        <v>103.24</v>
      </c>
      <c r="J73" s="1843">
        <v>104.59</v>
      </c>
      <c r="K73" s="3139">
        <v>98.9</v>
      </c>
      <c r="L73" s="1844">
        <v>104.1</v>
      </c>
      <c r="M73" s="1843">
        <v>101.79</v>
      </c>
      <c r="N73" s="3140">
        <v>104.73</v>
      </c>
    </row>
    <row r="74" spans="1:14" s="6" customFormat="1" ht="12.75" customHeight="1">
      <c r="A74" s="53">
        <v>1998.05</v>
      </c>
      <c r="B74" s="2310">
        <v>107.53</v>
      </c>
      <c r="C74" s="1843">
        <v>108.12</v>
      </c>
      <c r="D74" s="3701">
        <v>104.51</v>
      </c>
      <c r="E74" s="1843">
        <v>109.07</v>
      </c>
      <c r="F74" s="3139">
        <v>99.99</v>
      </c>
      <c r="G74" s="1844">
        <v>103.67</v>
      </c>
      <c r="H74" s="1843">
        <v>104.13</v>
      </c>
      <c r="I74" s="3701">
        <v>101.89</v>
      </c>
      <c r="J74" s="1843">
        <v>104.75</v>
      </c>
      <c r="K74" s="3139">
        <v>97.97</v>
      </c>
      <c r="L74" s="1844">
        <v>104.05</v>
      </c>
      <c r="M74" s="1843">
        <v>100.58</v>
      </c>
      <c r="N74" s="3140">
        <v>105.01</v>
      </c>
    </row>
    <row r="75" spans="1:14" s="6" customFormat="1" ht="12.75" customHeight="1">
      <c r="A75" s="53">
        <v>1998.06</v>
      </c>
      <c r="B75" s="2310">
        <v>107.53</v>
      </c>
      <c r="C75" s="1843">
        <v>108.15</v>
      </c>
      <c r="D75" s="3701">
        <v>104.52</v>
      </c>
      <c r="E75" s="1843">
        <v>109.1</v>
      </c>
      <c r="F75" s="3139">
        <v>99.75</v>
      </c>
      <c r="G75" s="1844">
        <v>103.68</v>
      </c>
      <c r="H75" s="1843">
        <v>104.16</v>
      </c>
      <c r="I75" s="3701">
        <v>101.89</v>
      </c>
      <c r="J75" s="1843">
        <v>104.78</v>
      </c>
      <c r="K75" s="3139">
        <v>97.73</v>
      </c>
      <c r="L75" s="1844">
        <v>103.92</v>
      </c>
      <c r="M75" s="1843">
        <v>100.2</v>
      </c>
      <c r="N75" s="3140">
        <v>104.95</v>
      </c>
    </row>
    <row r="76" spans="1:14" s="6" customFormat="1" ht="12.75" customHeight="1">
      <c r="A76" s="53">
        <v>1998.07</v>
      </c>
      <c r="B76" s="2310">
        <v>107.21</v>
      </c>
      <c r="C76" s="1843">
        <v>107.85</v>
      </c>
      <c r="D76" s="3701">
        <v>104.9</v>
      </c>
      <c r="E76" s="1843">
        <v>108.63</v>
      </c>
      <c r="F76" s="3139">
        <v>99.04</v>
      </c>
      <c r="G76" s="1844">
        <v>104.2</v>
      </c>
      <c r="H76" s="1843">
        <v>104.77</v>
      </c>
      <c r="I76" s="3701">
        <v>105.14</v>
      </c>
      <c r="J76" s="1843">
        <v>104.66</v>
      </c>
      <c r="K76" s="3139">
        <v>97.22</v>
      </c>
      <c r="L76" s="1844">
        <v>104.42</v>
      </c>
      <c r="M76" s="1843">
        <v>103.06</v>
      </c>
      <c r="N76" s="3140">
        <v>104.79</v>
      </c>
    </row>
    <row r="77" spans="1:14" s="6" customFormat="1" ht="12.75" customHeight="1">
      <c r="A77" s="53">
        <v>1998.08</v>
      </c>
      <c r="B77" s="2310">
        <v>106.53</v>
      </c>
      <c r="C77" s="1843">
        <v>107.15</v>
      </c>
      <c r="D77" s="3701">
        <v>102.3</v>
      </c>
      <c r="E77" s="1843">
        <v>108.44</v>
      </c>
      <c r="F77" s="3139">
        <v>98.64</v>
      </c>
      <c r="G77" s="1844">
        <v>103.54</v>
      </c>
      <c r="H77" s="1843">
        <v>104.08</v>
      </c>
      <c r="I77" s="3701">
        <v>102.64</v>
      </c>
      <c r="J77" s="1843">
        <v>104.47</v>
      </c>
      <c r="K77" s="3139">
        <v>96.84</v>
      </c>
      <c r="L77" s="1844">
        <v>103.54</v>
      </c>
      <c r="M77" s="1843">
        <v>100.36</v>
      </c>
      <c r="N77" s="3140">
        <v>104.43</v>
      </c>
    </row>
    <row r="78" spans="1:14" s="6" customFormat="1" ht="12.75" customHeight="1">
      <c r="A78" s="53">
        <v>1998.09</v>
      </c>
      <c r="B78" s="2310">
        <v>105.41</v>
      </c>
      <c r="C78" s="1843">
        <v>106.02</v>
      </c>
      <c r="D78" s="3701">
        <v>99.43</v>
      </c>
      <c r="E78" s="1843">
        <v>107.75</v>
      </c>
      <c r="F78" s="3139">
        <v>97.71</v>
      </c>
      <c r="G78" s="1844">
        <v>102.37</v>
      </c>
      <c r="H78" s="1843">
        <v>102.9</v>
      </c>
      <c r="I78" s="3701">
        <v>99.51</v>
      </c>
      <c r="J78" s="1843">
        <v>103.83</v>
      </c>
      <c r="K78" s="3139">
        <v>95.86</v>
      </c>
      <c r="L78" s="1844">
        <v>102.49</v>
      </c>
      <c r="M78" s="1843">
        <v>97.83</v>
      </c>
      <c r="N78" s="3140">
        <v>103.78</v>
      </c>
    </row>
    <row r="79" spans="1:14" s="6" customFormat="1" ht="12.75" customHeight="1">
      <c r="A79" s="53">
        <v>1998.1</v>
      </c>
      <c r="B79" s="2310">
        <v>104.27</v>
      </c>
      <c r="C79" s="1843">
        <v>104.84</v>
      </c>
      <c r="D79" s="3701">
        <v>96.65</v>
      </c>
      <c r="E79" s="1843">
        <v>107.01</v>
      </c>
      <c r="F79" s="3139">
        <v>96.92</v>
      </c>
      <c r="G79" s="1844">
        <v>101.17</v>
      </c>
      <c r="H79" s="1843">
        <v>101.65</v>
      </c>
      <c r="I79" s="3701">
        <v>96.64</v>
      </c>
      <c r="J79" s="1843">
        <v>103.04</v>
      </c>
      <c r="K79" s="3139">
        <v>95.12</v>
      </c>
      <c r="L79" s="1844">
        <v>101.4</v>
      </c>
      <c r="M79" s="1843">
        <v>95.76</v>
      </c>
      <c r="N79" s="3140">
        <v>102.97</v>
      </c>
    </row>
    <row r="80" spans="1:14" s="6" customFormat="1" ht="12.75" customHeight="1">
      <c r="A80" s="53">
        <v>1998.11</v>
      </c>
      <c r="B80" s="2310">
        <v>103.3</v>
      </c>
      <c r="C80" s="1843">
        <v>103.87</v>
      </c>
      <c r="D80" s="3701">
        <v>93.39</v>
      </c>
      <c r="E80" s="1843">
        <v>106.64</v>
      </c>
      <c r="F80" s="3139">
        <v>96.09</v>
      </c>
      <c r="G80" s="1844">
        <v>100.17</v>
      </c>
      <c r="H80" s="1843">
        <v>100.64</v>
      </c>
      <c r="I80" s="3701">
        <v>93.34</v>
      </c>
      <c r="J80" s="1843">
        <v>102.65</v>
      </c>
      <c r="K80" s="3139">
        <v>94.29</v>
      </c>
      <c r="L80" s="1844">
        <v>100.5</v>
      </c>
      <c r="M80" s="1843">
        <v>92.89</v>
      </c>
      <c r="N80" s="3140">
        <v>102.61</v>
      </c>
    </row>
    <row r="81" spans="1:14" s="6" customFormat="1" ht="12.75" customHeight="1">
      <c r="A81" s="53">
        <v>1998.12</v>
      </c>
      <c r="B81" s="2310">
        <v>102.12</v>
      </c>
      <c r="C81" s="1843">
        <v>102.6</v>
      </c>
      <c r="D81" s="3701">
        <v>87.93</v>
      </c>
      <c r="E81" s="1843">
        <v>106.47</v>
      </c>
      <c r="F81" s="3139">
        <v>95.96</v>
      </c>
      <c r="G81" s="1844">
        <v>98.93</v>
      </c>
      <c r="H81" s="1843">
        <v>99.32</v>
      </c>
      <c r="I81" s="3701">
        <v>87.82</v>
      </c>
      <c r="J81" s="1843">
        <v>102.48</v>
      </c>
      <c r="K81" s="3139">
        <v>94.15</v>
      </c>
      <c r="L81" s="1844">
        <v>99.15</v>
      </c>
      <c r="M81" s="1843">
        <v>87.62</v>
      </c>
      <c r="N81" s="3140">
        <v>102.34</v>
      </c>
    </row>
    <row r="82" spans="1:14" s="6" customFormat="1" ht="12.75" customHeight="1">
      <c r="A82" s="53">
        <v>1999.01</v>
      </c>
      <c r="B82" s="2310">
        <v>101.66</v>
      </c>
      <c r="C82" s="1843">
        <v>102.14</v>
      </c>
      <c r="D82" s="3701">
        <v>86.88</v>
      </c>
      <c r="E82" s="1843">
        <v>106.17</v>
      </c>
      <c r="F82" s="3139">
        <v>95.48</v>
      </c>
      <c r="G82" s="1844">
        <v>98.44</v>
      </c>
      <c r="H82" s="1843">
        <v>98.83</v>
      </c>
      <c r="I82" s="3701">
        <v>86.67</v>
      </c>
      <c r="J82" s="1843">
        <v>102.18</v>
      </c>
      <c r="K82" s="3139">
        <v>93.63</v>
      </c>
      <c r="L82" s="1844">
        <v>98.56</v>
      </c>
      <c r="M82" s="1843">
        <v>86.33</v>
      </c>
      <c r="N82" s="3140">
        <v>101.95</v>
      </c>
    </row>
    <row r="83" spans="1:14" s="6" customFormat="1" ht="12.75" customHeight="1">
      <c r="A83" s="53">
        <v>1999.02</v>
      </c>
      <c r="B83" s="2310">
        <v>100.82</v>
      </c>
      <c r="C83" s="1843">
        <v>101.27</v>
      </c>
      <c r="D83" s="3701">
        <v>84.45</v>
      </c>
      <c r="E83" s="1843">
        <v>105.71</v>
      </c>
      <c r="F83" s="3139">
        <v>95.01</v>
      </c>
      <c r="G83" s="1844">
        <v>97.58</v>
      </c>
      <c r="H83" s="1843">
        <v>97.94</v>
      </c>
      <c r="I83" s="3701">
        <v>84.31</v>
      </c>
      <c r="J83" s="1843">
        <v>101.69</v>
      </c>
      <c r="K83" s="3139">
        <v>93.18</v>
      </c>
      <c r="L83" s="1844">
        <v>97.44</v>
      </c>
      <c r="M83" s="1843">
        <v>83.43</v>
      </c>
      <c r="N83" s="3140">
        <v>101.31</v>
      </c>
    </row>
    <row r="84" spans="1:14" s="6" customFormat="1" ht="12.75" customHeight="1">
      <c r="A84" s="53">
        <v>1999.03</v>
      </c>
      <c r="B84" s="2310">
        <v>101.03</v>
      </c>
      <c r="C84" s="1843">
        <v>101.55</v>
      </c>
      <c r="D84" s="3701">
        <v>86.87</v>
      </c>
      <c r="E84" s="1843">
        <v>105.42</v>
      </c>
      <c r="F84" s="3139">
        <v>94.47</v>
      </c>
      <c r="G84" s="1844">
        <v>97.81</v>
      </c>
      <c r="H84" s="1843">
        <v>98.22</v>
      </c>
      <c r="I84" s="3701">
        <v>86.71</v>
      </c>
      <c r="J84" s="1843">
        <v>101.39</v>
      </c>
      <c r="K84" s="3139">
        <v>92.7</v>
      </c>
      <c r="L84" s="1844">
        <v>97.5</v>
      </c>
      <c r="M84" s="1843">
        <v>85.66</v>
      </c>
      <c r="N84" s="3140">
        <v>100.78</v>
      </c>
    </row>
    <row r="85" spans="1:14" s="6" customFormat="1" ht="12.75" customHeight="1">
      <c r="A85" s="53">
        <v>1999.04</v>
      </c>
      <c r="B85" s="2310">
        <v>102.01</v>
      </c>
      <c r="C85" s="1843">
        <v>102.64</v>
      </c>
      <c r="D85" s="3701">
        <v>92.45</v>
      </c>
      <c r="E85" s="1843">
        <v>105.32</v>
      </c>
      <c r="F85" s="3139">
        <v>94.04</v>
      </c>
      <c r="G85" s="1844">
        <v>98.81</v>
      </c>
      <c r="H85" s="1843">
        <v>99.34</v>
      </c>
      <c r="I85" s="3701">
        <v>92.33</v>
      </c>
      <c r="J85" s="1843">
        <v>101.28</v>
      </c>
      <c r="K85" s="3139">
        <v>92.24</v>
      </c>
      <c r="L85" s="1844">
        <v>98.58</v>
      </c>
      <c r="M85" s="1843">
        <v>91.23</v>
      </c>
      <c r="N85" s="3140">
        <v>100.61</v>
      </c>
    </row>
    <row r="86" spans="1:14" s="6" customFormat="1" ht="12.75" customHeight="1">
      <c r="A86" s="53">
        <v>1999.05</v>
      </c>
      <c r="B86" s="2310">
        <v>101.97</v>
      </c>
      <c r="C86" s="1843">
        <v>102.66</v>
      </c>
      <c r="D86" s="3701">
        <v>93.43</v>
      </c>
      <c r="E86" s="1843">
        <v>105.1</v>
      </c>
      <c r="F86" s="3139">
        <v>93.13</v>
      </c>
      <c r="G86" s="1844">
        <v>98.75</v>
      </c>
      <c r="H86" s="1843">
        <v>99.35</v>
      </c>
      <c r="I86" s="3701">
        <v>93.13</v>
      </c>
      <c r="J86" s="1843">
        <v>101.07</v>
      </c>
      <c r="K86" s="3139">
        <v>91.36</v>
      </c>
      <c r="L86" s="1844">
        <v>98.63</v>
      </c>
      <c r="M86" s="1843">
        <v>92.08</v>
      </c>
      <c r="N86" s="3140">
        <v>100.44</v>
      </c>
    </row>
    <row r="87" spans="1:14" s="6" customFormat="1" ht="12.75" customHeight="1">
      <c r="A87" s="53">
        <v>1999.06</v>
      </c>
      <c r="B87" s="2310">
        <v>101.88</v>
      </c>
      <c r="C87" s="1843">
        <v>102.58</v>
      </c>
      <c r="D87" s="3701">
        <v>94.23</v>
      </c>
      <c r="E87" s="1843">
        <v>104.78</v>
      </c>
      <c r="F87" s="3139">
        <v>93.02</v>
      </c>
      <c r="G87" s="1844">
        <v>98.68</v>
      </c>
      <c r="H87" s="1843">
        <v>99.29</v>
      </c>
      <c r="I87" s="3701">
        <v>93.98</v>
      </c>
      <c r="J87" s="1843">
        <v>100.75</v>
      </c>
      <c r="K87" s="3139">
        <v>91.25</v>
      </c>
      <c r="L87" s="1844">
        <v>98.49</v>
      </c>
      <c r="M87" s="1843">
        <v>92.94</v>
      </c>
      <c r="N87" s="3140">
        <v>100.03</v>
      </c>
    </row>
    <row r="88" spans="1:14" s="6" customFormat="1" ht="12.75" customHeight="1">
      <c r="A88" s="53">
        <v>1999.07</v>
      </c>
      <c r="B88" s="2310">
        <v>102.07</v>
      </c>
      <c r="C88" s="1843">
        <v>102.79</v>
      </c>
      <c r="D88" s="3701">
        <v>95.75</v>
      </c>
      <c r="E88" s="1843">
        <v>104.64</v>
      </c>
      <c r="F88" s="3139">
        <v>92.96</v>
      </c>
      <c r="G88" s="1844">
        <v>98.88</v>
      </c>
      <c r="H88" s="1843">
        <v>99.5</v>
      </c>
      <c r="I88" s="3701">
        <v>95.49</v>
      </c>
      <c r="J88" s="1843">
        <v>100.61</v>
      </c>
      <c r="K88" s="3139">
        <v>91.19</v>
      </c>
      <c r="L88" s="1844">
        <v>98.65</v>
      </c>
      <c r="M88" s="1843">
        <v>94.38</v>
      </c>
      <c r="N88" s="3140">
        <v>99.83</v>
      </c>
    </row>
    <row r="89" spans="1:14" s="6" customFormat="1" ht="12.75" customHeight="1">
      <c r="A89" s="53">
        <v>1999.08</v>
      </c>
      <c r="B89" s="2310">
        <v>102.33</v>
      </c>
      <c r="C89" s="1843">
        <v>103.1</v>
      </c>
      <c r="D89" s="3701">
        <v>97.83</v>
      </c>
      <c r="E89" s="1843">
        <v>104.5</v>
      </c>
      <c r="F89" s="3139">
        <v>92.48</v>
      </c>
      <c r="G89" s="1844">
        <v>99.12</v>
      </c>
      <c r="H89" s="1843">
        <v>99.8</v>
      </c>
      <c r="I89" s="3701">
        <v>97.45</v>
      </c>
      <c r="J89" s="1843">
        <v>100.45</v>
      </c>
      <c r="K89" s="3139">
        <v>90.71</v>
      </c>
      <c r="L89" s="1844">
        <v>99.17</v>
      </c>
      <c r="M89" s="1843">
        <v>96.62</v>
      </c>
      <c r="N89" s="3140">
        <v>99.88</v>
      </c>
    </row>
    <row r="90" spans="1:14" s="6" customFormat="1" ht="12.75" customHeight="1">
      <c r="A90" s="53">
        <v>1999.09</v>
      </c>
      <c r="B90" s="2310">
        <v>103.19</v>
      </c>
      <c r="C90" s="1843">
        <v>103.99</v>
      </c>
      <c r="D90" s="3701">
        <v>102.59</v>
      </c>
      <c r="E90" s="1843">
        <v>104.37</v>
      </c>
      <c r="F90" s="3139">
        <v>93.01</v>
      </c>
      <c r="G90" s="1844">
        <v>100.03</v>
      </c>
      <c r="H90" s="1843">
        <v>100.74</v>
      </c>
      <c r="I90" s="3701">
        <v>102.22</v>
      </c>
      <c r="J90" s="1843">
        <v>100.33</v>
      </c>
      <c r="K90" s="3139">
        <v>91.27</v>
      </c>
      <c r="L90" s="1844">
        <v>100.21</v>
      </c>
      <c r="M90" s="1843">
        <v>101.44</v>
      </c>
      <c r="N90" s="3140">
        <v>99.86</v>
      </c>
    </row>
    <row r="91" spans="1:14" s="6" customFormat="1" ht="12.75" customHeight="1">
      <c r="A91" s="53">
        <v>1999.1</v>
      </c>
      <c r="B91" s="2310">
        <v>103.07</v>
      </c>
      <c r="C91" s="1843">
        <v>103.85</v>
      </c>
      <c r="D91" s="3701">
        <v>100.54</v>
      </c>
      <c r="E91" s="1843">
        <v>104.72</v>
      </c>
      <c r="F91" s="3139">
        <v>93.21</v>
      </c>
      <c r="G91" s="1844">
        <v>99.9</v>
      </c>
      <c r="H91" s="1843">
        <v>100.58</v>
      </c>
      <c r="I91" s="3701">
        <v>100.19</v>
      </c>
      <c r="J91" s="1843">
        <v>100.69</v>
      </c>
      <c r="K91" s="3139">
        <v>91.44</v>
      </c>
      <c r="L91" s="1844">
        <v>100.08</v>
      </c>
      <c r="M91" s="1843">
        <v>99.55</v>
      </c>
      <c r="N91" s="3140">
        <v>100.22</v>
      </c>
    </row>
    <row r="92" spans="1:14" s="6" customFormat="1" ht="12.75" customHeight="1">
      <c r="A92" s="53">
        <v>1999.11</v>
      </c>
      <c r="B92" s="2310">
        <v>102.85</v>
      </c>
      <c r="C92" s="1843">
        <v>103.57</v>
      </c>
      <c r="D92" s="3701">
        <v>99.56</v>
      </c>
      <c r="E92" s="1843">
        <v>104.62</v>
      </c>
      <c r="F92" s="3139">
        <v>93.66</v>
      </c>
      <c r="G92" s="1844">
        <v>99.63</v>
      </c>
      <c r="H92" s="1843">
        <v>100.25</v>
      </c>
      <c r="I92" s="3701">
        <v>99.05</v>
      </c>
      <c r="J92" s="1843">
        <v>100.58</v>
      </c>
      <c r="K92" s="3139">
        <v>91.89</v>
      </c>
      <c r="L92" s="1844">
        <v>99.66</v>
      </c>
      <c r="M92" s="1843">
        <v>98.43</v>
      </c>
      <c r="N92" s="3140">
        <v>100</v>
      </c>
    </row>
    <row r="93" spans="1:14" s="6" customFormat="1" ht="12.75" customHeight="1">
      <c r="A93" s="53">
        <v>1999.12</v>
      </c>
      <c r="B93" s="2310">
        <v>103.35</v>
      </c>
      <c r="C93" s="1843">
        <v>104.08</v>
      </c>
      <c r="D93" s="3701">
        <v>100.19</v>
      </c>
      <c r="E93" s="1843">
        <v>105.1</v>
      </c>
      <c r="F93" s="3139">
        <v>94.17</v>
      </c>
      <c r="G93" s="1844">
        <v>100.12</v>
      </c>
      <c r="H93" s="1843">
        <v>100.74</v>
      </c>
      <c r="I93" s="3701">
        <v>99.62</v>
      </c>
      <c r="J93" s="1843">
        <v>101.05</v>
      </c>
      <c r="K93" s="3139">
        <v>92.37</v>
      </c>
      <c r="L93" s="1844">
        <v>100.2</v>
      </c>
      <c r="M93" s="1843">
        <v>99.11</v>
      </c>
      <c r="N93" s="3140">
        <v>100.5</v>
      </c>
    </row>
    <row r="94" spans="1:14" s="6" customFormat="1" ht="12.75" customHeight="1">
      <c r="A94" s="53">
        <v>2000.01</v>
      </c>
      <c r="B94" s="2310">
        <v>104.59</v>
      </c>
      <c r="C94" s="1843">
        <v>105.36</v>
      </c>
      <c r="D94" s="3701">
        <v>102.62</v>
      </c>
      <c r="E94" s="1843">
        <v>106.09</v>
      </c>
      <c r="F94" s="3139">
        <v>94.83</v>
      </c>
      <c r="G94" s="1844">
        <v>100.66</v>
      </c>
      <c r="H94" s="1843">
        <v>101.28</v>
      </c>
      <c r="I94" s="3701">
        <v>102.01</v>
      </c>
      <c r="J94" s="1843">
        <v>101.08</v>
      </c>
      <c r="K94" s="3139">
        <v>92.95</v>
      </c>
      <c r="L94" s="1844">
        <v>100.86</v>
      </c>
      <c r="M94" s="1843">
        <v>101.76</v>
      </c>
      <c r="N94" s="3140">
        <v>100.61</v>
      </c>
    </row>
    <row r="95" spans="1:14" s="6" customFormat="1" ht="12.75" customHeight="1">
      <c r="A95" s="53">
        <v>2000.02</v>
      </c>
      <c r="B95" s="2310">
        <v>105.5</v>
      </c>
      <c r="C95" s="1843">
        <v>106.34</v>
      </c>
      <c r="D95" s="3701">
        <v>106.23</v>
      </c>
      <c r="E95" s="1843">
        <v>106.37</v>
      </c>
      <c r="F95" s="3139">
        <v>94.79</v>
      </c>
      <c r="G95" s="1844">
        <v>101.59</v>
      </c>
      <c r="H95" s="1843">
        <v>102.3</v>
      </c>
      <c r="I95" s="3701">
        <v>105.64</v>
      </c>
      <c r="J95" s="1843">
        <v>101.37</v>
      </c>
      <c r="K95" s="3139">
        <v>92.91</v>
      </c>
      <c r="L95" s="1844">
        <v>101.83</v>
      </c>
      <c r="M95" s="1843">
        <v>105.3</v>
      </c>
      <c r="N95" s="3140">
        <v>100.87</v>
      </c>
    </row>
    <row r="96" spans="1:14" s="6" customFormat="1" ht="12.75" customHeight="1">
      <c r="A96" s="53">
        <v>2000.03</v>
      </c>
      <c r="B96" s="2310">
        <v>106.04</v>
      </c>
      <c r="C96" s="1843">
        <v>106.92</v>
      </c>
      <c r="D96" s="3701">
        <v>108.02</v>
      </c>
      <c r="E96" s="1843">
        <v>106.63</v>
      </c>
      <c r="F96" s="3139">
        <v>94.8</v>
      </c>
      <c r="G96" s="1844">
        <v>102.16</v>
      </c>
      <c r="H96" s="1843">
        <v>102.91</v>
      </c>
      <c r="I96" s="3701">
        <v>107.47</v>
      </c>
      <c r="J96" s="1843">
        <v>101.65</v>
      </c>
      <c r="K96" s="3139">
        <v>92.93</v>
      </c>
      <c r="L96" s="1844">
        <v>102.33</v>
      </c>
      <c r="M96" s="1843">
        <v>106.78</v>
      </c>
      <c r="N96" s="3140">
        <v>101.09</v>
      </c>
    </row>
    <row r="97" spans="1:14" s="6" customFormat="1" ht="12.75" customHeight="1">
      <c r="A97" s="53">
        <v>2000.04</v>
      </c>
      <c r="B97" s="2310">
        <v>104.75</v>
      </c>
      <c r="C97" s="1843">
        <v>105.54</v>
      </c>
      <c r="D97" s="3701">
        <v>103.06</v>
      </c>
      <c r="E97" s="1843">
        <v>106.2</v>
      </c>
      <c r="F97" s="3139">
        <v>94.6</v>
      </c>
      <c r="G97" s="1844">
        <v>100.86</v>
      </c>
      <c r="H97" s="1843">
        <v>101.51</v>
      </c>
      <c r="I97" s="3701">
        <v>102.57</v>
      </c>
      <c r="J97" s="1843">
        <v>101.22</v>
      </c>
      <c r="K97" s="3139">
        <v>92.73</v>
      </c>
      <c r="L97" s="1844">
        <v>100.88</v>
      </c>
      <c r="M97" s="1843">
        <v>101.59</v>
      </c>
      <c r="N97" s="3140">
        <v>100.69</v>
      </c>
    </row>
    <row r="98" spans="1:14" s="6" customFormat="1" ht="12.75" customHeight="1">
      <c r="A98" s="53">
        <v>2000.05</v>
      </c>
      <c r="B98" s="2310">
        <v>105.85</v>
      </c>
      <c r="C98" s="1843">
        <v>106.74</v>
      </c>
      <c r="D98" s="3701">
        <v>108.19</v>
      </c>
      <c r="E98" s="1843">
        <v>106.36</v>
      </c>
      <c r="F98" s="3139">
        <v>94.58</v>
      </c>
      <c r="G98" s="1844">
        <v>101.97</v>
      </c>
      <c r="H98" s="1843">
        <v>102.72</v>
      </c>
      <c r="I98" s="3701">
        <v>107.59</v>
      </c>
      <c r="J98" s="1843">
        <v>101.38</v>
      </c>
      <c r="K98" s="3139">
        <v>92.68</v>
      </c>
      <c r="L98" s="1844">
        <v>102.06</v>
      </c>
      <c r="M98" s="1843">
        <v>106.46</v>
      </c>
      <c r="N98" s="3140">
        <v>100.84</v>
      </c>
    </row>
    <row r="99" spans="1:14" s="6" customFormat="1" ht="12.75" customHeight="1">
      <c r="A99" s="53">
        <v>2000.06</v>
      </c>
      <c r="B99" s="2310">
        <v>106.41</v>
      </c>
      <c r="C99" s="1843">
        <v>107.36</v>
      </c>
      <c r="D99" s="3701">
        <v>111.75</v>
      </c>
      <c r="E99" s="1843">
        <v>106.21</v>
      </c>
      <c r="F99" s="3139">
        <v>94.26</v>
      </c>
      <c r="G99" s="1844">
        <v>102.54</v>
      </c>
      <c r="H99" s="1843">
        <v>103.36</v>
      </c>
      <c r="I99" s="3701">
        <v>111.09</v>
      </c>
      <c r="J99" s="1843">
        <v>101.23</v>
      </c>
      <c r="K99" s="3139">
        <v>92.41</v>
      </c>
      <c r="L99" s="1844">
        <v>102.58</v>
      </c>
      <c r="M99" s="1843">
        <v>109.49</v>
      </c>
      <c r="N99" s="3140">
        <v>100.67</v>
      </c>
    </row>
    <row r="100" spans="1:14" s="6" customFormat="1" ht="12.75" customHeight="1">
      <c r="A100" s="53">
        <v>2000.07</v>
      </c>
      <c r="B100" s="2310">
        <v>106.26</v>
      </c>
      <c r="C100" s="1843">
        <v>107.26</v>
      </c>
      <c r="D100" s="3701">
        <v>110.31</v>
      </c>
      <c r="E100" s="1843">
        <v>106.45</v>
      </c>
      <c r="F100" s="3139">
        <v>93.59</v>
      </c>
      <c r="G100" s="1844">
        <v>102.38</v>
      </c>
      <c r="H100" s="1843">
        <v>103.24</v>
      </c>
      <c r="I100" s="3701">
        <v>109.71</v>
      </c>
      <c r="J100" s="1843">
        <v>101.46</v>
      </c>
      <c r="K100" s="3139">
        <v>91.72</v>
      </c>
      <c r="L100" s="1844">
        <v>102.37</v>
      </c>
      <c r="M100" s="1843">
        <v>107.87</v>
      </c>
      <c r="N100" s="3140">
        <v>100.84</v>
      </c>
    </row>
    <row r="101" spans="1:14" s="6" customFormat="1" ht="12.75" customHeight="1">
      <c r="A101" s="53">
        <v>2000.08</v>
      </c>
      <c r="B101" s="2310">
        <v>106.45</v>
      </c>
      <c r="C101" s="1843">
        <v>107.52</v>
      </c>
      <c r="D101" s="3701">
        <v>112.26</v>
      </c>
      <c r="E101" s="1843">
        <v>106.27</v>
      </c>
      <c r="F101" s="3139">
        <v>92.79</v>
      </c>
      <c r="G101" s="1844">
        <v>102.57</v>
      </c>
      <c r="H101" s="1843">
        <v>103.52</v>
      </c>
      <c r="I101" s="3701">
        <v>111.63</v>
      </c>
      <c r="J101" s="1843">
        <v>101.28</v>
      </c>
      <c r="K101" s="3139">
        <v>90.94</v>
      </c>
      <c r="L101" s="1844">
        <v>102.64</v>
      </c>
      <c r="M101" s="1843">
        <v>109.75</v>
      </c>
      <c r="N101" s="3140">
        <v>100.67</v>
      </c>
    </row>
    <row r="102" spans="1:14" s="6" customFormat="1" ht="12.75" customHeight="1">
      <c r="A102" s="53">
        <v>2000.09</v>
      </c>
      <c r="B102" s="2310">
        <v>107.74</v>
      </c>
      <c r="C102" s="1843">
        <v>108.89</v>
      </c>
      <c r="D102" s="3701">
        <v>117.73</v>
      </c>
      <c r="E102" s="1843">
        <v>106.56</v>
      </c>
      <c r="F102" s="3139">
        <v>93.05</v>
      </c>
      <c r="G102" s="1844">
        <v>103.91</v>
      </c>
      <c r="H102" s="1843">
        <v>104.94</v>
      </c>
      <c r="I102" s="3701">
        <v>117.06</v>
      </c>
      <c r="J102" s="1843">
        <v>101.6</v>
      </c>
      <c r="K102" s="3139">
        <v>91.21</v>
      </c>
      <c r="L102" s="1844">
        <v>104.08</v>
      </c>
      <c r="M102" s="1843">
        <v>115.12</v>
      </c>
      <c r="N102" s="3140">
        <v>101.03</v>
      </c>
    </row>
    <row r="103" spans="1:14" s="6" customFormat="1" ht="12.75" customHeight="1">
      <c r="A103" s="53">
        <v>2000.1</v>
      </c>
      <c r="B103" s="2310">
        <v>107.96</v>
      </c>
      <c r="C103" s="1843">
        <v>109.15</v>
      </c>
      <c r="D103" s="3701">
        <v>117.47</v>
      </c>
      <c r="E103" s="1843">
        <v>106.96</v>
      </c>
      <c r="F103" s="3139">
        <v>92.79</v>
      </c>
      <c r="G103" s="1844">
        <v>104.17</v>
      </c>
      <c r="H103" s="1843">
        <v>105.24</v>
      </c>
      <c r="I103" s="3701">
        <v>116.98</v>
      </c>
      <c r="J103" s="1843">
        <v>102</v>
      </c>
      <c r="K103" s="3139">
        <v>90.98</v>
      </c>
      <c r="L103" s="1844">
        <v>104.36</v>
      </c>
      <c r="M103" s="1843">
        <v>115.17</v>
      </c>
      <c r="N103" s="3140">
        <v>101.37</v>
      </c>
    </row>
    <row r="104" spans="1:14" s="6" customFormat="1" ht="12.75" customHeight="1">
      <c r="A104" s="53">
        <v>2000.11</v>
      </c>
      <c r="B104" s="2310">
        <v>107.83</v>
      </c>
      <c r="C104" s="1843">
        <v>109.02</v>
      </c>
      <c r="D104" s="3701">
        <v>117.57</v>
      </c>
      <c r="E104" s="1843">
        <v>106.76</v>
      </c>
      <c r="F104" s="3139">
        <v>92.8</v>
      </c>
      <c r="G104" s="1844">
        <v>104.07</v>
      </c>
      <c r="H104" s="1843">
        <v>105.13</v>
      </c>
      <c r="I104" s="3701">
        <v>116.84</v>
      </c>
      <c r="J104" s="1843">
        <v>101.9</v>
      </c>
      <c r="K104" s="3139">
        <v>90.98</v>
      </c>
      <c r="L104" s="1844">
        <v>104.44</v>
      </c>
      <c r="M104" s="1843">
        <v>115.6</v>
      </c>
      <c r="N104" s="3140">
        <v>101.36</v>
      </c>
    </row>
    <row r="105" spans="1:14" s="6" customFormat="1" ht="12.75" customHeight="1">
      <c r="A105" s="53">
        <v>2000.12</v>
      </c>
      <c r="B105" s="2310">
        <v>105.83</v>
      </c>
      <c r="C105" s="1843">
        <v>106.89</v>
      </c>
      <c r="D105" s="3701">
        <v>107.49</v>
      </c>
      <c r="E105" s="1843">
        <v>106.74</v>
      </c>
      <c r="F105" s="3139">
        <v>92.34</v>
      </c>
      <c r="G105" s="1844">
        <v>102.03</v>
      </c>
      <c r="H105" s="1843">
        <v>102.96</v>
      </c>
      <c r="I105" s="3701">
        <v>106.86</v>
      </c>
      <c r="J105" s="1843">
        <v>101.89</v>
      </c>
      <c r="K105" s="3139">
        <v>90.52</v>
      </c>
      <c r="L105" s="1844">
        <v>102.54</v>
      </c>
      <c r="M105" s="1843">
        <v>106.13</v>
      </c>
      <c r="N105" s="3140">
        <v>101.55</v>
      </c>
    </row>
    <row r="106" spans="1:14" s="6" customFormat="1" ht="12.75" customHeight="1">
      <c r="A106" s="53">
        <v>2001.01</v>
      </c>
      <c r="B106" s="2310">
        <v>105.87</v>
      </c>
      <c r="C106" s="1843">
        <v>106.9</v>
      </c>
      <c r="D106" s="3701">
        <v>108.04</v>
      </c>
      <c r="E106" s="1843">
        <v>106.59</v>
      </c>
      <c r="F106" s="3139">
        <v>92.86</v>
      </c>
      <c r="G106" s="1844">
        <v>102.07</v>
      </c>
      <c r="H106" s="1843">
        <v>102.96</v>
      </c>
      <c r="I106" s="3701">
        <v>107.36</v>
      </c>
      <c r="J106" s="1843">
        <v>101.75</v>
      </c>
      <c r="K106" s="3139">
        <v>91.06</v>
      </c>
      <c r="L106" s="1844">
        <v>102.49</v>
      </c>
      <c r="M106" s="1843">
        <v>106.5</v>
      </c>
      <c r="N106" s="3140">
        <v>101.38</v>
      </c>
    </row>
    <row r="107" spans="1:14" s="6" customFormat="1" ht="12.75" customHeight="1">
      <c r="A107" s="53">
        <v>2001.02</v>
      </c>
      <c r="B107" s="2310">
        <v>105.99</v>
      </c>
      <c r="C107" s="1843">
        <v>107.04</v>
      </c>
      <c r="D107" s="3701">
        <v>107.99</v>
      </c>
      <c r="E107" s="1843">
        <v>106.79</v>
      </c>
      <c r="F107" s="3139">
        <v>92.64</v>
      </c>
      <c r="G107" s="1844">
        <v>102.29</v>
      </c>
      <c r="H107" s="1843">
        <v>103.22</v>
      </c>
      <c r="I107" s="3701">
        <v>107.34</v>
      </c>
      <c r="J107" s="1843">
        <v>102.08</v>
      </c>
      <c r="K107" s="3139">
        <v>90.81</v>
      </c>
      <c r="L107" s="1844">
        <v>102.54</v>
      </c>
      <c r="M107" s="1843">
        <v>106.21</v>
      </c>
      <c r="N107" s="3140">
        <v>101.53</v>
      </c>
    </row>
    <row r="108" spans="1:14" s="6" customFormat="1" ht="12.75" customHeight="1">
      <c r="A108" s="53">
        <v>2001.03</v>
      </c>
      <c r="B108" s="2310">
        <v>105.29</v>
      </c>
      <c r="C108" s="1843">
        <v>106.32</v>
      </c>
      <c r="D108" s="3701">
        <v>104.9</v>
      </c>
      <c r="E108" s="1843">
        <v>106.7</v>
      </c>
      <c r="F108" s="3139">
        <v>92.14</v>
      </c>
      <c r="G108" s="1844">
        <v>101.62</v>
      </c>
      <c r="H108" s="1843">
        <v>102.54</v>
      </c>
      <c r="I108" s="3701">
        <v>104.36</v>
      </c>
      <c r="J108" s="1843">
        <v>102.04</v>
      </c>
      <c r="K108" s="3139">
        <v>90.3</v>
      </c>
      <c r="L108" s="1844">
        <v>101.73</v>
      </c>
      <c r="M108" s="1843">
        <v>102.78</v>
      </c>
      <c r="N108" s="3140">
        <v>101.44</v>
      </c>
    </row>
    <row r="109" spans="1:14" s="6" customFormat="1" ht="12.75" customHeight="1">
      <c r="A109" s="53">
        <v>2001.04</v>
      </c>
      <c r="B109" s="2310">
        <v>105.09</v>
      </c>
      <c r="C109" s="1843">
        <v>106.05</v>
      </c>
      <c r="D109" s="3701">
        <v>104.42</v>
      </c>
      <c r="E109" s="1843">
        <v>106.48</v>
      </c>
      <c r="F109" s="3139">
        <v>92.78</v>
      </c>
      <c r="G109" s="1844">
        <v>101.41</v>
      </c>
      <c r="H109" s="1843">
        <v>102.26</v>
      </c>
      <c r="I109" s="3701">
        <v>103.89</v>
      </c>
      <c r="J109" s="1843">
        <v>101.81</v>
      </c>
      <c r="K109" s="3139">
        <v>90.99</v>
      </c>
      <c r="L109" s="1844">
        <v>101.37</v>
      </c>
      <c r="M109" s="1843">
        <v>102.05</v>
      </c>
      <c r="N109" s="3140">
        <v>101.18</v>
      </c>
    </row>
    <row r="110" spans="1:14" s="6" customFormat="1" ht="12.75" customHeight="1">
      <c r="A110" s="53">
        <v>2001.05</v>
      </c>
      <c r="B110" s="2310">
        <v>105.17</v>
      </c>
      <c r="C110" s="1843">
        <v>106.28</v>
      </c>
      <c r="D110" s="3701">
        <v>107.33</v>
      </c>
      <c r="E110" s="1843">
        <v>106.01</v>
      </c>
      <c r="F110" s="3139">
        <v>91.05</v>
      </c>
      <c r="G110" s="1844">
        <v>101.75</v>
      </c>
      <c r="H110" s="1843">
        <v>102.69</v>
      </c>
      <c r="I110" s="3701">
        <v>106.73</v>
      </c>
      <c r="J110" s="1843">
        <v>101.58</v>
      </c>
      <c r="K110" s="3139">
        <v>90.12</v>
      </c>
      <c r="L110" s="1844">
        <v>101.83</v>
      </c>
      <c r="M110" s="1843">
        <v>104.91</v>
      </c>
      <c r="N110" s="3140">
        <v>100.98</v>
      </c>
    </row>
    <row r="111" spans="1:14" s="6" customFormat="1" ht="12.75" customHeight="1">
      <c r="A111" s="53">
        <v>2001.06</v>
      </c>
      <c r="B111" s="2310">
        <v>104.7</v>
      </c>
      <c r="C111" s="1843">
        <v>105.8</v>
      </c>
      <c r="D111" s="3701">
        <v>106.47</v>
      </c>
      <c r="E111" s="1843">
        <v>105.62</v>
      </c>
      <c r="F111" s="3139">
        <v>90.67</v>
      </c>
      <c r="G111" s="1844">
        <v>101.31</v>
      </c>
      <c r="H111" s="1843">
        <v>102.22</v>
      </c>
      <c r="I111" s="3701">
        <v>105.79</v>
      </c>
      <c r="J111" s="1843">
        <v>101.24</v>
      </c>
      <c r="K111" s="3139">
        <v>89.98</v>
      </c>
      <c r="L111" s="1844">
        <v>101.56</v>
      </c>
      <c r="M111" s="1843">
        <v>104.18</v>
      </c>
      <c r="N111" s="3140">
        <v>100.83</v>
      </c>
    </row>
    <row r="112" spans="1:14" s="6" customFormat="1" ht="12.75" customHeight="1">
      <c r="A112" s="53">
        <v>2001.07</v>
      </c>
      <c r="B112" s="2310">
        <v>104.33</v>
      </c>
      <c r="C112" s="1843">
        <v>105.3</v>
      </c>
      <c r="D112" s="3701">
        <v>105.53</v>
      </c>
      <c r="E112" s="1843">
        <v>105.23</v>
      </c>
      <c r="F112" s="3139">
        <v>92.06</v>
      </c>
      <c r="G112" s="1844">
        <v>101.03</v>
      </c>
      <c r="H112" s="1843">
        <v>101.81</v>
      </c>
      <c r="I112" s="3701">
        <v>104.83</v>
      </c>
      <c r="J112" s="1843">
        <v>100.98</v>
      </c>
      <c r="K112" s="3139">
        <v>91.39</v>
      </c>
      <c r="L112" s="1844">
        <v>101.56</v>
      </c>
      <c r="M112" s="1843">
        <v>103.66</v>
      </c>
      <c r="N112" s="3140">
        <v>100.98</v>
      </c>
    </row>
    <row r="113" spans="1:14" s="6" customFormat="1" ht="12.75" customHeight="1">
      <c r="A113" s="53">
        <v>2001.08</v>
      </c>
      <c r="B113" s="2310">
        <v>103.82</v>
      </c>
      <c r="C113" s="1843">
        <v>104.84</v>
      </c>
      <c r="D113" s="3701">
        <v>104.94</v>
      </c>
      <c r="E113" s="1843">
        <v>104.81</v>
      </c>
      <c r="F113" s="3139">
        <v>90.82</v>
      </c>
      <c r="G113" s="1844">
        <v>100.5</v>
      </c>
      <c r="H113" s="1843">
        <v>101.34</v>
      </c>
      <c r="I113" s="3701">
        <v>104.2</v>
      </c>
      <c r="J113" s="1843">
        <v>100.55</v>
      </c>
      <c r="K113" s="3139">
        <v>90.15</v>
      </c>
      <c r="L113" s="1844">
        <v>101.04</v>
      </c>
      <c r="M113" s="1843">
        <v>103.17</v>
      </c>
      <c r="N113" s="3140">
        <v>100.45</v>
      </c>
    </row>
    <row r="114" spans="1:14" s="6" customFormat="1" ht="12.75" customHeight="1">
      <c r="A114" s="53">
        <v>2001.09</v>
      </c>
      <c r="B114" s="2310">
        <v>103.37</v>
      </c>
      <c r="C114" s="1843">
        <v>104.35</v>
      </c>
      <c r="D114" s="3701">
        <v>100.41</v>
      </c>
      <c r="E114" s="1843">
        <v>105.39</v>
      </c>
      <c r="F114" s="3139">
        <v>90.92</v>
      </c>
      <c r="G114" s="1844">
        <v>99.41</v>
      </c>
      <c r="H114" s="1843">
        <v>100.15</v>
      </c>
      <c r="I114" s="3701">
        <v>99.68</v>
      </c>
      <c r="J114" s="1843">
        <v>100.28</v>
      </c>
      <c r="K114" s="3139">
        <v>90.27</v>
      </c>
      <c r="L114" s="1844">
        <v>99.81</v>
      </c>
      <c r="M114" s="1843">
        <v>98.97</v>
      </c>
      <c r="N114" s="3140">
        <v>100.04</v>
      </c>
    </row>
    <row r="115" spans="1:14" s="6" customFormat="1" ht="12.75" customHeight="1">
      <c r="A115" s="53">
        <v>2001.1</v>
      </c>
      <c r="B115" s="2310">
        <v>101.82</v>
      </c>
      <c r="C115" s="1843">
        <v>102.71</v>
      </c>
      <c r="D115" s="3701">
        <v>94.49</v>
      </c>
      <c r="E115" s="1843">
        <v>104.88</v>
      </c>
      <c r="F115" s="3139">
        <v>90.44</v>
      </c>
      <c r="G115" s="1844">
        <v>97.85</v>
      </c>
      <c r="H115" s="1843">
        <v>98.5</v>
      </c>
      <c r="I115" s="3701">
        <v>93.89</v>
      </c>
      <c r="J115" s="1843">
        <v>99.77</v>
      </c>
      <c r="K115" s="3139">
        <v>89.79</v>
      </c>
      <c r="L115" s="1844">
        <v>98.16</v>
      </c>
      <c r="M115" s="1843">
        <v>93.25</v>
      </c>
      <c r="N115" s="3140">
        <v>99.51</v>
      </c>
    </row>
    <row r="116" spans="1:14" s="6" customFormat="1" ht="12.75" customHeight="1">
      <c r="A116" s="53">
        <v>2001.11</v>
      </c>
      <c r="B116" s="2310">
        <v>100.4</v>
      </c>
      <c r="C116" s="1843">
        <v>101.21</v>
      </c>
      <c r="D116" s="3701">
        <v>89.45</v>
      </c>
      <c r="E116" s="1843">
        <v>104.32</v>
      </c>
      <c r="F116" s="3139">
        <v>90.07</v>
      </c>
      <c r="G116" s="1844">
        <v>96.45</v>
      </c>
      <c r="H116" s="1843">
        <v>96.99</v>
      </c>
      <c r="I116" s="3701">
        <v>88.95</v>
      </c>
      <c r="J116" s="1843">
        <v>99.21</v>
      </c>
      <c r="K116" s="3139">
        <v>89.7</v>
      </c>
      <c r="L116" s="1844">
        <v>96.97</v>
      </c>
      <c r="M116" s="1843">
        <v>88.67</v>
      </c>
      <c r="N116" s="3140">
        <v>99.27</v>
      </c>
    </row>
    <row r="117" spans="1:14" s="6" customFormat="1" ht="12.75" customHeight="1">
      <c r="A117" s="53">
        <v>2001.12</v>
      </c>
      <c r="B117" s="2310">
        <v>100.22</v>
      </c>
      <c r="C117" s="1843">
        <v>101.09</v>
      </c>
      <c r="D117" s="3701">
        <v>89.68</v>
      </c>
      <c r="E117" s="1843">
        <v>104.11</v>
      </c>
      <c r="F117" s="3139">
        <v>89.14</v>
      </c>
      <c r="G117" s="1844">
        <v>96.24</v>
      </c>
      <c r="H117" s="1843">
        <v>96.84</v>
      </c>
      <c r="I117" s="3701">
        <v>89.1</v>
      </c>
      <c r="J117" s="1843">
        <v>98.97</v>
      </c>
      <c r="K117" s="3139">
        <v>88.77</v>
      </c>
      <c r="L117" s="1844">
        <v>96.81</v>
      </c>
      <c r="M117" s="1843">
        <v>89.06</v>
      </c>
      <c r="N117" s="3140">
        <v>98.95</v>
      </c>
    </row>
    <row r="118" spans="1:14" s="6" customFormat="1" ht="12.75" customHeight="1">
      <c r="A118" s="53">
        <v>2002.01</v>
      </c>
      <c r="B118" s="2310">
        <v>106.6</v>
      </c>
      <c r="C118" s="1843">
        <v>106.84</v>
      </c>
      <c r="D118" s="3701">
        <v>103.23</v>
      </c>
      <c r="E118" s="1843">
        <v>107.79</v>
      </c>
      <c r="F118" s="3139">
        <v>103.55</v>
      </c>
      <c r="G118" s="1844">
        <v>102.77</v>
      </c>
      <c r="H118" s="1843">
        <v>102.75</v>
      </c>
      <c r="I118" s="3701">
        <v>102.51</v>
      </c>
      <c r="J118" s="1843">
        <v>102.82</v>
      </c>
      <c r="K118" s="3139">
        <v>103.01</v>
      </c>
      <c r="L118" s="1844">
        <v>103.06</v>
      </c>
      <c r="M118" s="1843">
        <v>103.61</v>
      </c>
      <c r="N118" s="3140">
        <v>102.91</v>
      </c>
    </row>
    <row r="119" spans="1:14" s="6" customFormat="1" ht="12.75" customHeight="1">
      <c r="A119" s="53">
        <v>2002.02</v>
      </c>
      <c r="B119" s="2310">
        <v>119.74</v>
      </c>
      <c r="C119" s="1843">
        <v>117.99</v>
      </c>
      <c r="D119" s="3701">
        <v>118.07</v>
      </c>
      <c r="E119" s="1843">
        <v>117.97</v>
      </c>
      <c r="F119" s="3139">
        <v>141.94</v>
      </c>
      <c r="G119" s="1844">
        <v>116.07</v>
      </c>
      <c r="H119" s="1843">
        <v>114.07</v>
      </c>
      <c r="I119" s="3701">
        <v>117.16</v>
      </c>
      <c r="J119" s="1843">
        <v>113.22</v>
      </c>
      <c r="K119" s="3139">
        <v>140.81</v>
      </c>
      <c r="L119" s="1844">
        <v>114.44</v>
      </c>
      <c r="M119" s="1843">
        <v>118.75</v>
      </c>
      <c r="N119" s="3140">
        <v>113.25</v>
      </c>
    </row>
    <row r="120" spans="1:14" s="6" customFormat="1" ht="12.75" customHeight="1">
      <c r="A120" s="53">
        <v>2002.03</v>
      </c>
      <c r="B120" s="2310">
        <v>134.80000000000001</v>
      </c>
      <c r="C120" s="1843">
        <v>131.55000000000001</v>
      </c>
      <c r="D120" s="3701">
        <v>136.5</v>
      </c>
      <c r="E120" s="1843">
        <v>130.24</v>
      </c>
      <c r="F120" s="3139">
        <v>176.18</v>
      </c>
      <c r="G120" s="1844">
        <v>131.41</v>
      </c>
      <c r="H120" s="1843">
        <v>127.93</v>
      </c>
      <c r="I120" s="3701">
        <v>135.25</v>
      </c>
      <c r="J120" s="1843">
        <v>125.91</v>
      </c>
      <c r="K120" s="3139">
        <v>174.48</v>
      </c>
      <c r="L120" s="1844">
        <v>129.47999999999999</v>
      </c>
      <c r="M120" s="1843">
        <v>137.4</v>
      </c>
      <c r="N120" s="3140">
        <v>127.29</v>
      </c>
    </row>
    <row r="121" spans="1:14" s="6" customFormat="1" ht="12.75" customHeight="1">
      <c r="A121" s="53">
        <v>2002.04</v>
      </c>
      <c r="B121" s="2310">
        <v>161.63999999999999</v>
      </c>
      <c r="C121" s="1843">
        <v>156.76</v>
      </c>
      <c r="D121" s="3701">
        <v>167.76</v>
      </c>
      <c r="E121" s="1843">
        <v>153.86000000000001</v>
      </c>
      <c r="F121" s="3139">
        <v>223.72</v>
      </c>
      <c r="G121" s="1844">
        <v>157.68</v>
      </c>
      <c r="H121" s="1843">
        <v>152.54</v>
      </c>
      <c r="I121" s="3701">
        <v>166.39</v>
      </c>
      <c r="J121" s="1843">
        <v>148.72999999999999</v>
      </c>
      <c r="K121" s="3139">
        <v>221.21</v>
      </c>
      <c r="L121" s="1844">
        <v>154.56</v>
      </c>
      <c r="M121" s="1843">
        <v>168.19</v>
      </c>
      <c r="N121" s="3140">
        <v>150.78</v>
      </c>
    </row>
    <row r="122" spans="1:14" s="6" customFormat="1" ht="12.75" customHeight="1">
      <c r="A122" s="53">
        <v>2002.05</v>
      </c>
      <c r="B122" s="2310">
        <v>181.57</v>
      </c>
      <c r="C122" s="1843">
        <v>175.68</v>
      </c>
      <c r="D122" s="3701">
        <v>198.59</v>
      </c>
      <c r="E122" s="1843">
        <v>169.63</v>
      </c>
      <c r="F122" s="3139">
        <v>256.57</v>
      </c>
      <c r="G122" s="1844">
        <v>177.88</v>
      </c>
      <c r="H122" s="1843">
        <v>171.76</v>
      </c>
      <c r="I122" s="3701">
        <v>196.64</v>
      </c>
      <c r="J122" s="1843">
        <v>164.91</v>
      </c>
      <c r="K122" s="3139">
        <v>253.5</v>
      </c>
      <c r="L122" s="1844">
        <v>174.27</v>
      </c>
      <c r="M122" s="1843">
        <v>199.99</v>
      </c>
      <c r="N122" s="3140">
        <v>167.16</v>
      </c>
    </row>
    <row r="123" spans="1:14" s="6" customFormat="1" ht="12.75" customHeight="1">
      <c r="A123" s="53">
        <v>2002.06</v>
      </c>
      <c r="B123" s="2310">
        <v>197.08</v>
      </c>
      <c r="C123" s="1843">
        <v>191.24</v>
      </c>
      <c r="D123" s="3701">
        <v>217.07</v>
      </c>
      <c r="E123" s="1843">
        <v>184.42</v>
      </c>
      <c r="F123" s="3139">
        <v>271.51</v>
      </c>
      <c r="G123" s="1844">
        <v>193.68</v>
      </c>
      <c r="H123" s="1843">
        <v>187.61</v>
      </c>
      <c r="I123" s="3701">
        <v>215.06</v>
      </c>
      <c r="J123" s="1843">
        <v>180.05</v>
      </c>
      <c r="K123" s="3139">
        <v>268.66000000000003</v>
      </c>
      <c r="L123" s="1844">
        <v>190.84</v>
      </c>
      <c r="M123" s="1843">
        <v>218.93</v>
      </c>
      <c r="N123" s="3140">
        <v>183.07</v>
      </c>
    </row>
    <row r="124" spans="1:14" s="6" customFormat="1" ht="12.75" customHeight="1">
      <c r="A124" s="53">
        <v>2002.07</v>
      </c>
      <c r="B124" s="2310">
        <v>206.24</v>
      </c>
      <c r="C124" s="1843">
        <v>200.78</v>
      </c>
      <c r="D124" s="3701">
        <v>236.88</v>
      </c>
      <c r="E124" s="1843">
        <v>191.25</v>
      </c>
      <c r="F124" s="3139">
        <v>275.75</v>
      </c>
      <c r="G124" s="1844">
        <v>202.81</v>
      </c>
      <c r="H124" s="1843">
        <v>197.15</v>
      </c>
      <c r="I124" s="3701">
        <v>234.76</v>
      </c>
      <c r="J124" s="1843">
        <v>186.79</v>
      </c>
      <c r="K124" s="3139">
        <v>272.87</v>
      </c>
      <c r="L124" s="1844">
        <v>201.18</v>
      </c>
      <c r="M124" s="1843">
        <v>238.12</v>
      </c>
      <c r="N124" s="3140">
        <v>190.96</v>
      </c>
    </row>
    <row r="125" spans="1:14" s="6" customFormat="1" ht="12.75" customHeight="1">
      <c r="A125" s="53">
        <v>2002.08</v>
      </c>
      <c r="B125" s="2310">
        <v>216.64</v>
      </c>
      <c r="C125" s="1843">
        <v>211.23</v>
      </c>
      <c r="D125" s="3701">
        <v>261.45</v>
      </c>
      <c r="E125" s="1843">
        <v>197.98</v>
      </c>
      <c r="F125" s="3139">
        <v>285.45999999999998</v>
      </c>
      <c r="G125" s="1844">
        <v>212.85</v>
      </c>
      <c r="H125" s="1843">
        <v>207.23</v>
      </c>
      <c r="I125" s="3701">
        <v>259.43</v>
      </c>
      <c r="J125" s="1843">
        <v>192.86</v>
      </c>
      <c r="K125" s="3139">
        <v>282.27</v>
      </c>
      <c r="L125" s="1844">
        <v>211.47</v>
      </c>
      <c r="M125" s="1843">
        <v>262.52999999999997</v>
      </c>
      <c r="N125" s="3140">
        <v>197.33</v>
      </c>
    </row>
    <row r="126" spans="1:14" s="6" customFormat="1" ht="12.75" customHeight="1">
      <c r="A126" s="53">
        <v>2002.09</v>
      </c>
      <c r="B126" s="2310">
        <v>221.92</v>
      </c>
      <c r="C126" s="1843">
        <v>217.1</v>
      </c>
      <c r="D126" s="3701">
        <v>280.95</v>
      </c>
      <c r="E126" s="1843">
        <v>200.24</v>
      </c>
      <c r="F126" s="3139">
        <v>283.32</v>
      </c>
      <c r="G126" s="1844">
        <v>218.35</v>
      </c>
      <c r="H126" s="1843">
        <v>213.36</v>
      </c>
      <c r="I126" s="3701">
        <v>278.87</v>
      </c>
      <c r="J126" s="1843">
        <v>195.32</v>
      </c>
      <c r="K126" s="3139">
        <v>280.07</v>
      </c>
      <c r="L126" s="1844">
        <v>217.43</v>
      </c>
      <c r="M126" s="1843">
        <v>281.73</v>
      </c>
      <c r="N126" s="3140">
        <v>199.63</v>
      </c>
    </row>
    <row r="127" spans="1:14" s="6" customFormat="1" ht="12.75" customHeight="1">
      <c r="A127" s="53">
        <v>2002.1</v>
      </c>
      <c r="B127" s="2310">
        <v>223.02</v>
      </c>
      <c r="C127" s="1843">
        <v>218.08</v>
      </c>
      <c r="D127" s="3701">
        <v>275.32</v>
      </c>
      <c r="E127" s="1843">
        <v>202.97</v>
      </c>
      <c r="F127" s="3139">
        <v>285.83999999999997</v>
      </c>
      <c r="G127" s="1844">
        <v>219.4</v>
      </c>
      <c r="H127" s="1843">
        <v>214.31</v>
      </c>
      <c r="I127" s="3701">
        <v>273.11</v>
      </c>
      <c r="J127" s="1843">
        <v>198.12</v>
      </c>
      <c r="K127" s="3139">
        <v>282.26</v>
      </c>
      <c r="L127" s="1844">
        <v>218.32</v>
      </c>
      <c r="M127" s="1843">
        <v>276.02</v>
      </c>
      <c r="N127" s="3140">
        <v>202.35</v>
      </c>
    </row>
    <row r="128" spans="1:14" s="6" customFormat="1" ht="12.75" customHeight="1">
      <c r="A128" s="53">
        <v>2002.11</v>
      </c>
      <c r="B128" s="2310">
        <v>219.32</v>
      </c>
      <c r="C128" s="1843">
        <v>214.96</v>
      </c>
      <c r="D128" s="3701">
        <v>267.04000000000002</v>
      </c>
      <c r="E128" s="1843">
        <v>201.21</v>
      </c>
      <c r="F128" s="3139">
        <v>274.75</v>
      </c>
      <c r="G128" s="1844">
        <v>217.12</v>
      </c>
      <c r="H128" s="1843">
        <v>212.61</v>
      </c>
      <c r="I128" s="3701">
        <v>266.83</v>
      </c>
      <c r="J128" s="1843">
        <v>197.68</v>
      </c>
      <c r="K128" s="3139">
        <v>272.87</v>
      </c>
      <c r="L128" s="1844">
        <v>216.76</v>
      </c>
      <c r="M128" s="1843">
        <v>269.48</v>
      </c>
      <c r="N128" s="3140">
        <v>202.17</v>
      </c>
    </row>
    <row r="129" spans="1:14" s="6" customFormat="1" ht="12.75" customHeight="1">
      <c r="A129" s="53">
        <v>2002.12</v>
      </c>
      <c r="B129" s="2310">
        <v>218.44</v>
      </c>
      <c r="C129" s="1843">
        <v>214.27</v>
      </c>
      <c r="D129" s="3701">
        <v>268.72000000000003</v>
      </c>
      <c r="E129" s="1843">
        <v>199.9</v>
      </c>
      <c r="F129" s="3139">
        <v>271.45999999999998</v>
      </c>
      <c r="G129" s="1844">
        <v>218.17</v>
      </c>
      <c r="H129" s="1843">
        <v>213.82</v>
      </c>
      <c r="I129" s="3701">
        <v>270.81</v>
      </c>
      <c r="J129" s="1843">
        <v>198.13</v>
      </c>
      <c r="K129" s="3139">
        <v>271.83999999999997</v>
      </c>
      <c r="L129" s="1844">
        <v>217.73</v>
      </c>
      <c r="M129" s="1843">
        <v>272.99</v>
      </c>
      <c r="N129" s="3140">
        <v>202.44</v>
      </c>
    </row>
    <row r="130" spans="1:14" s="6" customFormat="1" ht="12.75" customHeight="1">
      <c r="A130" s="53">
        <v>2003.01</v>
      </c>
      <c r="B130" s="2310">
        <v>219.36</v>
      </c>
      <c r="C130" s="1843">
        <v>216</v>
      </c>
      <c r="D130" s="3701">
        <v>271.18</v>
      </c>
      <c r="E130" s="1843">
        <v>201.43</v>
      </c>
      <c r="F130" s="3139">
        <v>262.08999999999997</v>
      </c>
      <c r="G130" s="1844">
        <v>218.29</v>
      </c>
      <c r="H130" s="1843">
        <v>214.83</v>
      </c>
      <c r="I130" s="3701">
        <v>274.20999999999998</v>
      </c>
      <c r="J130" s="1843">
        <v>198.48</v>
      </c>
      <c r="K130" s="3139">
        <v>260.97000000000003</v>
      </c>
      <c r="L130" s="1844">
        <v>217.89</v>
      </c>
      <c r="M130" s="1843">
        <v>275.25</v>
      </c>
      <c r="N130" s="3140">
        <v>202.02</v>
      </c>
    </row>
    <row r="131" spans="1:14" s="6" customFormat="1" ht="12.75" customHeight="1">
      <c r="A131" s="53">
        <v>2003.02</v>
      </c>
      <c r="B131" s="2310">
        <v>220.21</v>
      </c>
      <c r="C131" s="1843">
        <v>217.15</v>
      </c>
      <c r="D131" s="3701">
        <v>267.7</v>
      </c>
      <c r="E131" s="1843">
        <v>203.81</v>
      </c>
      <c r="F131" s="3139">
        <v>259.08999999999997</v>
      </c>
      <c r="G131" s="1844">
        <v>217.42</v>
      </c>
      <c r="H131" s="1843">
        <v>214.33</v>
      </c>
      <c r="I131" s="3701">
        <v>269.95</v>
      </c>
      <c r="J131" s="1843">
        <v>199.01</v>
      </c>
      <c r="K131" s="3139">
        <v>255.62</v>
      </c>
      <c r="L131" s="1844">
        <v>217.32</v>
      </c>
      <c r="M131" s="1843">
        <v>270.70999999999998</v>
      </c>
      <c r="N131" s="3140">
        <v>202.54</v>
      </c>
    </row>
    <row r="132" spans="1:14" s="6" customFormat="1" ht="12.75" customHeight="1">
      <c r="A132" s="53">
        <v>2003.03</v>
      </c>
      <c r="B132" s="2310">
        <v>218.7</v>
      </c>
      <c r="C132" s="1843">
        <v>215.84</v>
      </c>
      <c r="D132" s="3701">
        <v>256.60000000000002</v>
      </c>
      <c r="E132" s="1843">
        <v>205.08</v>
      </c>
      <c r="F132" s="3139">
        <v>255.13</v>
      </c>
      <c r="G132" s="1844">
        <v>215.73</v>
      </c>
      <c r="H132" s="1843">
        <v>212.83</v>
      </c>
      <c r="I132" s="3701">
        <v>258.45</v>
      </c>
      <c r="J132" s="1843">
        <v>200.27</v>
      </c>
      <c r="K132" s="3139">
        <v>251.61</v>
      </c>
      <c r="L132" s="1844">
        <v>215.26</v>
      </c>
      <c r="M132" s="1843">
        <v>257.5</v>
      </c>
      <c r="N132" s="3140">
        <v>203.57</v>
      </c>
    </row>
    <row r="133" spans="1:14" s="6" customFormat="1" ht="12.75" customHeight="1">
      <c r="A133" s="53">
        <v>2003.04</v>
      </c>
      <c r="B133" s="2310">
        <v>214.7</v>
      </c>
      <c r="C133" s="1843">
        <v>212.24</v>
      </c>
      <c r="D133" s="3701">
        <v>242.33</v>
      </c>
      <c r="E133" s="1843">
        <v>204.29</v>
      </c>
      <c r="F133" s="3139">
        <v>245.98</v>
      </c>
      <c r="G133" s="1844">
        <v>211.6</v>
      </c>
      <c r="H133" s="1843">
        <v>209.1</v>
      </c>
      <c r="I133" s="3701">
        <v>244.17</v>
      </c>
      <c r="J133" s="1843">
        <v>199.44</v>
      </c>
      <c r="K133" s="3139">
        <v>242.55</v>
      </c>
      <c r="L133" s="1844">
        <v>211.24</v>
      </c>
      <c r="M133" s="1843">
        <v>243.34</v>
      </c>
      <c r="N133" s="3140">
        <v>202.36</v>
      </c>
    </row>
    <row r="134" spans="1:14" s="6" customFormat="1" ht="12.75" customHeight="1">
      <c r="A134" s="53">
        <v>2003.05</v>
      </c>
      <c r="B134" s="2310">
        <v>213.33</v>
      </c>
      <c r="C134" s="1843">
        <v>211.4</v>
      </c>
      <c r="D134" s="3701">
        <v>240.34</v>
      </c>
      <c r="E134" s="1843">
        <v>203.76</v>
      </c>
      <c r="F134" s="3139">
        <v>237.95</v>
      </c>
      <c r="G134" s="1844">
        <v>210.21</v>
      </c>
      <c r="H134" s="1843">
        <v>208.23</v>
      </c>
      <c r="I134" s="3701">
        <v>242.12</v>
      </c>
      <c r="J134" s="1843">
        <v>198.9</v>
      </c>
      <c r="K134" s="3139">
        <v>234.66</v>
      </c>
      <c r="L134" s="1844">
        <v>210.47</v>
      </c>
      <c r="M134" s="1843">
        <v>241.66</v>
      </c>
      <c r="N134" s="3140">
        <v>201.84</v>
      </c>
    </row>
    <row r="135" spans="1:14" s="6" customFormat="1" ht="12.75" customHeight="1">
      <c r="A135" s="53">
        <v>2003.06</v>
      </c>
      <c r="B135" s="2310">
        <v>213.04</v>
      </c>
      <c r="C135" s="1843">
        <v>211.32</v>
      </c>
      <c r="D135" s="3701">
        <v>243.16</v>
      </c>
      <c r="E135" s="1843">
        <v>202.91</v>
      </c>
      <c r="F135" s="3139">
        <v>234.88</v>
      </c>
      <c r="G135" s="1844">
        <v>209.84</v>
      </c>
      <c r="H135" s="1843">
        <v>208.08</v>
      </c>
      <c r="I135" s="3701">
        <v>244.75</v>
      </c>
      <c r="J135" s="1843">
        <v>197.98</v>
      </c>
      <c r="K135" s="3139">
        <v>231.68</v>
      </c>
      <c r="L135" s="1844">
        <v>210.07</v>
      </c>
      <c r="M135" s="1843">
        <v>243.71</v>
      </c>
      <c r="N135" s="3140">
        <v>200.76</v>
      </c>
    </row>
    <row r="136" spans="1:14" s="6" customFormat="1" ht="12.75" customHeight="1">
      <c r="A136" s="53">
        <v>2003.07</v>
      </c>
      <c r="B136" s="2310">
        <v>212.96</v>
      </c>
      <c r="C136" s="1843">
        <v>211.62</v>
      </c>
      <c r="D136" s="3701">
        <v>242.8</v>
      </c>
      <c r="E136" s="1843">
        <v>203.39</v>
      </c>
      <c r="F136" s="3139">
        <v>230.02</v>
      </c>
      <c r="G136" s="1844">
        <v>209.42</v>
      </c>
      <c r="H136" s="1843">
        <v>208</v>
      </c>
      <c r="I136" s="3701">
        <v>244.37</v>
      </c>
      <c r="J136" s="1843">
        <v>197.98</v>
      </c>
      <c r="K136" s="3139">
        <v>226.95</v>
      </c>
      <c r="L136" s="1844">
        <v>209.62</v>
      </c>
      <c r="M136" s="1843">
        <v>242.27</v>
      </c>
      <c r="N136" s="3140">
        <v>200.58</v>
      </c>
    </row>
    <row r="137" spans="1:14" s="6" customFormat="1" ht="12.75" customHeight="1">
      <c r="A137" s="53">
        <v>2003.08</v>
      </c>
      <c r="B137" s="2310">
        <v>215.87</v>
      </c>
      <c r="C137" s="1843">
        <v>214.32</v>
      </c>
      <c r="D137" s="3701">
        <v>254.1</v>
      </c>
      <c r="E137" s="1843">
        <v>203.81</v>
      </c>
      <c r="F137" s="3139">
        <v>235.67</v>
      </c>
      <c r="G137" s="1844">
        <v>212.42</v>
      </c>
      <c r="H137" s="1843">
        <v>210.78</v>
      </c>
      <c r="I137" s="3701">
        <v>255.82</v>
      </c>
      <c r="J137" s="1843">
        <v>198.38</v>
      </c>
      <c r="K137" s="3139">
        <v>232.61</v>
      </c>
      <c r="L137" s="1844">
        <v>212.36</v>
      </c>
      <c r="M137" s="1843">
        <v>253.97</v>
      </c>
      <c r="N137" s="3140">
        <v>200.84</v>
      </c>
    </row>
    <row r="138" spans="1:14" s="6" customFormat="1" ht="12.75" customHeight="1">
      <c r="A138" s="53">
        <v>2003.09</v>
      </c>
      <c r="B138" s="2310">
        <v>215.5</v>
      </c>
      <c r="C138" s="1843">
        <v>213.81</v>
      </c>
      <c r="D138" s="3701">
        <v>250.72</v>
      </c>
      <c r="E138" s="1843">
        <v>204.07</v>
      </c>
      <c r="F138" s="3139">
        <v>236.92</v>
      </c>
      <c r="G138" s="1844">
        <v>211.98</v>
      </c>
      <c r="H138" s="1843">
        <v>210.22</v>
      </c>
      <c r="I138" s="3701">
        <v>252.66</v>
      </c>
      <c r="J138" s="1843">
        <v>198.53</v>
      </c>
      <c r="K138" s="3139">
        <v>233.8</v>
      </c>
      <c r="L138" s="1844">
        <v>212.36</v>
      </c>
      <c r="M138" s="1843">
        <v>251.57</v>
      </c>
      <c r="N138" s="3140">
        <v>201.5</v>
      </c>
    </row>
    <row r="139" spans="1:14" s="6" customFormat="1" ht="12.75" customHeight="1">
      <c r="A139" s="53">
        <v>2003.1</v>
      </c>
      <c r="B139" s="2310">
        <v>216.65</v>
      </c>
      <c r="C139" s="1843">
        <v>215.25</v>
      </c>
      <c r="D139" s="3701">
        <v>254.85</v>
      </c>
      <c r="E139" s="1843">
        <v>204.8</v>
      </c>
      <c r="F139" s="3139">
        <v>234.46</v>
      </c>
      <c r="G139" s="1844">
        <v>213.27</v>
      </c>
      <c r="H139" s="1843">
        <v>211.81</v>
      </c>
      <c r="I139" s="3701">
        <v>257.32</v>
      </c>
      <c r="J139" s="1843">
        <v>199.28</v>
      </c>
      <c r="K139" s="3139">
        <v>231.39</v>
      </c>
      <c r="L139" s="1844">
        <v>214.74</v>
      </c>
      <c r="M139" s="1843">
        <v>257.35000000000002</v>
      </c>
      <c r="N139" s="3140">
        <v>202.95</v>
      </c>
    </row>
    <row r="140" spans="1:14" s="6" customFormat="1" ht="12.75" customHeight="1">
      <c r="A140" s="53">
        <v>2003.11</v>
      </c>
      <c r="B140" s="2310">
        <v>218.9</v>
      </c>
      <c r="C140" s="1843">
        <v>217.67</v>
      </c>
      <c r="D140" s="3701">
        <v>261.60000000000002</v>
      </c>
      <c r="E140" s="1843">
        <v>206.08</v>
      </c>
      <c r="F140" s="3139">
        <v>234.51</v>
      </c>
      <c r="G140" s="1844">
        <v>215.6</v>
      </c>
      <c r="H140" s="1843">
        <v>214.32</v>
      </c>
      <c r="I140" s="3701">
        <v>264.18</v>
      </c>
      <c r="J140" s="1843">
        <v>200.59</v>
      </c>
      <c r="K140" s="3139">
        <v>231.51</v>
      </c>
      <c r="L140" s="1844">
        <v>217.87</v>
      </c>
      <c r="M140" s="1843">
        <v>265.44</v>
      </c>
      <c r="N140" s="3140">
        <v>204.71</v>
      </c>
    </row>
    <row r="141" spans="1:14" s="6" customFormat="1" ht="12.75" customHeight="1">
      <c r="A141" s="53">
        <v>2003.12</v>
      </c>
      <c r="B141" s="2310">
        <v>222.71</v>
      </c>
      <c r="C141" s="1843">
        <v>221.3</v>
      </c>
      <c r="D141" s="3701">
        <v>272.58</v>
      </c>
      <c r="E141" s="1843">
        <v>207.77</v>
      </c>
      <c r="F141" s="3139">
        <v>240.56</v>
      </c>
      <c r="G141" s="1844">
        <v>219.51</v>
      </c>
      <c r="H141" s="1843">
        <v>218.06</v>
      </c>
      <c r="I141" s="3701">
        <v>275.05</v>
      </c>
      <c r="J141" s="1843">
        <v>202.36</v>
      </c>
      <c r="K141" s="3139">
        <v>237.49</v>
      </c>
      <c r="L141" s="1844">
        <v>221.93</v>
      </c>
      <c r="M141" s="1843">
        <v>277.05</v>
      </c>
      <c r="N141" s="3140">
        <v>206.68</v>
      </c>
    </row>
    <row r="142" spans="1:14" s="6" customFormat="1" ht="12.75" customHeight="1">
      <c r="A142" s="53">
        <v>2004.01</v>
      </c>
      <c r="B142" s="2310">
        <v>221.96</v>
      </c>
      <c r="C142" s="1843">
        <v>220.55</v>
      </c>
      <c r="D142" s="3701">
        <v>265.64999999999998</v>
      </c>
      <c r="E142" s="1843">
        <v>208.65</v>
      </c>
      <c r="F142" s="3139">
        <v>239.93</v>
      </c>
      <c r="G142" s="1844">
        <v>218.74</v>
      </c>
      <c r="H142" s="1843">
        <v>217.27</v>
      </c>
      <c r="I142" s="3701">
        <v>268.18</v>
      </c>
      <c r="J142" s="1843">
        <v>203.25</v>
      </c>
      <c r="K142" s="3139">
        <v>236.87</v>
      </c>
      <c r="L142" s="1844">
        <v>221.21</v>
      </c>
      <c r="M142" s="1843">
        <v>270.57</v>
      </c>
      <c r="N142" s="3140">
        <v>207.55</v>
      </c>
    </row>
    <row r="143" spans="1:14" s="6" customFormat="1" ht="12.75" customHeight="1">
      <c r="A143" s="53">
        <v>2004.02</v>
      </c>
      <c r="B143" s="2310">
        <v>225.05</v>
      </c>
      <c r="C143" s="1843">
        <v>223.71</v>
      </c>
      <c r="D143" s="3701">
        <v>270.32</v>
      </c>
      <c r="E143" s="1843">
        <v>211.41</v>
      </c>
      <c r="F143" s="3139">
        <v>242.06</v>
      </c>
      <c r="G143" s="1844">
        <v>221.87</v>
      </c>
      <c r="H143" s="1843">
        <v>220.48</v>
      </c>
      <c r="I143" s="3701">
        <v>272.85000000000002</v>
      </c>
      <c r="J143" s="1843">
        <v>206.07</v>
      </c>
      <c r="K143" s="3139">
        <v>239.01</v>
      </c>
      <c r="L143" s="1844">
        <v>224.42</v>
      </c>
      <c r="M143" s="1843">
        <v>274.95</v>
      </c>
      <c r="N143" s="3140">
        <v>210.43</v>
      </c>
    </row>
    <row r="144" spans="1:14" s="6" customFormat="1" ht="12.75" customHeight="1">
      <c r="A144" s="53">
        <v>2004.03</v>
      </c>
      <c r="B144" s="2310">
        <v>226.03</v>
      </c>
      <c r="C144" s="1843">
        <v>224.72</v>
      </c>
      <c r="D144" s="3701">
        <v>268.01</v>
      </c>
      <c r="E144" s="1843">
        <v>213.3</v>
      </c>
      <c r="F144" s="3139">
        <v>242.69</v>
      </c>
      <c r="G144" s="1844">
        <v>222.82</v>
      </c>
      <c r="H144" s="1843">
        <v>221.46</v>
      </c>
      <c r="I144" s="3701">
        <v>270.3</v>
      </c>
      <c r="J144" s="1843">
        <v>208.02</v>
      </c>
      <c r="K144" s="3139">
        <v>239.58</v>
      </c>
      <c r="L144" s="1844">
        <v>225.49</v>
      </c>
      <c r="M144" s="1843">
        <v>272.5</v>
      </c>
      <c r="N144" s="3140">
        <v>212.48</v>
      </c>
    </row>
    <row r="145" spans="1:14" s="6" customFormat="1" ht="12.75" customHeight="1">
      <c r="A145" s="53">
        <v>2004.04</v>
      </c>
      <c r="B145" s="2310">
        <v>227.84</v>
      </c>
      <c r="C145" s="1843">
        <v>226.85</v>
      </c>
      <c r="D145" s="3701">
        <v>272.20999999999998</v>
      </c>
      <c r="E145" s="1843">
        <v>214.87</v>
      </c>
      <c r="F145" s="3139">
        <v>240.5</v>
      </c>
      <c r="G145" s="1844">
        <v>224.51</v>
      </c>
      <c r="H145" s="1843">
        <v>223.46</v>
      </c>
      <c r="I145" s="3701">
        <v>274.68</v>
      </c>
      <c r="J145" s="1843">
        <v>209.35</v>
      </c>
      <c r="K145" s="3139">
        <v>237.5</v>
      </c>
      <c r="L145" s="1844">
        <v>227.41</v>
      </c>
      <c r="M145" s="1843">
        <v>277.22000000000003</v>
      </c>
      <c r="N145" s="3140">
        <v>213.62</v>
      </c>
    </row>
    <row r="146" spans="1:14" s="6" customFormat="1" ht="12.75" customHeight="1">
      <c r="A146" s="53">
        <v>2004.05</v>
      </c>
      <c r="B146" s="2310">
        <v>230.77</v>
      </c>
      <c r="C146" s="1843">
        <v>229.58</v>
      </c>
      <c r="D146" s="3701">
        <v>273.77</v>
      </c>
      <c r="E146" s="1843">
        <v>217.92</v>
      </c>
      <c r="F146" s="3139">
        <v>245.81</v>
      </c>
      <c r="G146" s="1844">
        <v>227.45</v>
      </c>
      <c r="H146" s="1843">
        <v>226.21</v>
      </c>
      <c r="I146" s="3701">
        <v>276.06</v>
      </c>
      <c r="J146" s="1843">
        <v>212.48</v>
      </c>
      <c r="K146" s="3139">
        <v>242.76</v>
      </c>
      <c r="L146" s="1844">
        <v>229.88</v>
      </c>
      <c r="M146" s="1843">
        <v>277.48</v>
      </c>
      <c r="N146" s="3140">
        <v>216.7</v>
      </c>
    </row>
    <row r="147" spans="1:14" s="6" customFormat="1" ht="12.75" customHeight="1">
      <c r="A147" s="53">
        <v>2004.06</v>
      </c>
      <c r="B147" s="2310">
        <v>231.29</v>
      </c>
      <c r="C147" s="1843">
        <v>229.79</v>
      </c>
      <c r="D147" s="3701">
        <v>268.27999999999997</v>
      </c>
      <c r="E147" s="1843">
        <v>219.63</v>
      </c>
      <c r="F147" s="3139">
        <v>250.36</v>
      </c>
      <c r="G147" s="1844">
        <v>227.94</v>
      </c>
      <c r="H147" s="1843">
        <v>226.38</v>
      </c>
      <c r="I147" s="3701">
        <v>270.48</v>
      </c>
      <c r="J147" s="1843">
        <v>214.23</v>
      </c>
      <c r="K147" s="3139">
        <v>247.28</v>
      </c>
      <c r="L147" s="1844">
        <v>229.08</v>
      </c>
      <c r="M147" s="1843">
        <v>270.82</v>
      </c>
      <c r="N147" s="3140">
        <v>217.53</v>
      </c>
    </row>
    <row r="148" spans="1:14" s="6" customFormat="1" ht="12.75" customHeight="1">
      <c r="A148" s="53">
        <v>2004.07</v>
      </c>
      <c r="B148" s="2310">
        <v>233.41</v>
      </c>
      <c r="C148" s="1843">
        <v>232.09</v>
      </c>
      <c r="D148" s="3701">
        <v>274.79000000000002</v>
      </c>
      <c r="E148" s="1843">
        <v>220.81</v>
      </c>
      <c r="F148" s="3139">
        <v>250.19</v>
      </c>
      <c r="G148" s="1844">
        <v>229.83</v>
      </c>
      <c r="H148" s="1843">
        <v>228.44</v>
      </c>
      <c r="I148" s="3701">
        <v>276.56</v>
      </c>
      <c r="J148" s="1843">
        <v>215.19</v>
      </c>
      <c r="K148" s="3139">
        <v>247.05</v>
      </c>
      <c r="L148" s="1844">
        <v>230.32</v>
      </c>
      <c r="M148" s="1843">
        <v>275.44</v>
      </c>
      <c r="N148" s="3140">
        <v>217.83</v>
      </c>
    </row>
    <row r="149" spans="1:14" s="6" customFormat="1" ht="12.75" customHeight="1">
      <c r="A149" s="53">
        <v>2004.08</v>
      </c>
      <c r="B149" s="2310">
        <v>239.06</v>
      </c>
      <c r="C149" s="1843">
        <v>237.78</v>
      </c>
      <c r="D149" s="3701">
        <v>294.79000000000002</v>
      </c>
      <c r="E149" s="1843">
        <v>222.72</v>
      </c>
      <c r="F149" s="3139">
        <v>255.45</v>
      </c>
      <c r="G149" s="1844">
        <v>235.53</v>
      </c>
      <c r="H149" s="1843">
        <v>234.18</v>
      </c>
      <c r="I149" s="3701">
        <v>296.32</v>
      </c>
      <c r="J149" s="1843">
        <v>217.02</v>
      </c>
      <c r="K149" s="3139">
        <v>252.23</v>
      </c>
      <c r="L149" s="1844">
        <v>235.63</v>
      </c>
      <c r="M149" s="1843">
        <v>293.89999999999998</v>
      </c>
      <c r="N149" s="3140">
        <v>219.5</v>
      </c>
    </row>
    <row r="150" spans="1:14" s="6" customFormat="1" ht="12.75" customHeight="1">
      <c r="A150" s="53">
        <v>2004.09</v>
      </c>
      <c r="B150" s="2310">
        <v>239.62</v>
      </c>
      <c r="C150" s="1843">
        <v>238.49</v>
      </c>
      <c r="D150" s="3701">
        <v>290.73</v>
      </c>
      <c r="E150" s="1843">
        <v>224.7</v>
      </c>
      <c r="F150" s="3139">
        <v>253.97</v>
      </c>
      <c r="G150" s="1844">
        <v>236.09</v>
      </c>
      <c r="H150" s="1843">
        <v>234.9</v>
      </c>
      <c r="I150" s="3701">
        <v>292.35000000000002</v>
      </c>
      <c r="J150" s="1843">
        <v>219.09</v>
      </c>
      <c r="K150" s="3139">
        <v>250.77</v>
      </c>
      <c r="L150" s="1844">
        <v>236.59</v>
      </c>
      <c r="M150" s="1843">
        <v>290.26</v>
      </c>
      <c r="N150" s="3140">
        <v>221.73</v>
      </c>
    </row>
    <row r="151" spans="1:14" s="6" customFormat="1" ht="12.75" customHeight="1">
      <c r="A151" s="53">
        <v>2004.1</v>
      </c>
      <c r="B151" s="2310">
        <v>241.02</v>
      </c>
      <c r="C151" s="1843">
        <v>240.04</v>
      </c>
      <c r="D151" s="3701">
        <v>292.29000000000002</v>
      </c>
      <c r="E151" s="1843">
        <v>226.25</v>
      </c>
      <c r="F151" s="3139">
        <v>253.49</v>
      </c>
      <c r="G151" s="1844">
        <v>237.43</v>
      </c>
      <c r="H151" s="1843">
        <v>236.39</v>
      </c>
      <c r="I151" s="3701">
        <v>293.51</v>
      </c>
      <c r="J151" s="1843">
        <v>220.66</v>
      </c>
      <c r="K151" s="3139">
        <v>250.28</v>
      </c>
      <c r="L151" s="1844">
        <v>237.96</v>
      </c>
      <c r="M151" s="1843">
        <v>291.26</v>
      </c>
      <c r="N151" s="3140">
        <v>223.21</v>
      </c>
    </row>
    <row r="152" spans="1:14" s="6" customFormat="1" ht="12.75" customHeight="1">
      <c r="A152" s="53">
        <v>2004.11</v>
      </c>
      <c r="B152" s="2310">
        <v>238.15</v>
      </c>
      <c r="C152" s="1843">
        <v>236.85</v>
      </c>
      <c r="D152" s="3701">
        <v>274.60000000000002</v>
      </c>
      <c r="E152" s="1843">
        <v>226.89</v>
      </c>
      <c r="F152" s="3139">
        <v>254.62</v>
      </c>
      <c r="G152" s="1844">
        <v>234.5</v>
      </c>
      <c r="H152" s="1843">
        <v>233.14</v>
      </c>
      <c r="I152" s="3701">
        <v>276.06</v>
      </c>
      <c r="J152" s="1843">
        <v>221.33</v>
      </c>
      <c r="K152" s="3139">
        <v>251.31</v>
      </c>
      <c r="L152" s="1844">
        <v>234.55</v>
      </c>
      <c r="M152" s="1843">
        <v>274</v>
      </c>
      <c r="N152" s="3140">
        <v>223.63</v>
      </c>
    </row>
    <row r="153" spans="1:14" s="6" customFormat="1" ht="12.75" customHeight="1">
      <c r="A153" s="53">
        <v>2004.12</v>
      </c>
      <c r="B153" s="2310">
        <v>240.23</v>
      </c>
      <c r="C153" s="1843">
        <v>238.86</v>
      </c>
      <c r="D153" s="3701">
        <v>276.33</v>
      </c>
      <c r="E153" s="1843">
        <v>228.96</v>
      </c>
      <c r="F153" s="3139">
        <v>257.74</v>
      </c>
      <c r="G153" s="1844">
        <v>236.37</v>
      </c>
      <c r="H153" s="1843">
        <v>234.91</v>
      </c>
      <c r="I153" s="3701">
        <v>277.66000000000003</v>
      </c>
      <c r="J153" s="1843">
        <v>223.14</v>
      </c>
      <c r="K153" s="3139">
        <v>254.38</v>
      </c>
      <c r="L153" s="1844">
        <v>236.89</v>
      </c>
      <c r="M153" s="1843">
        <v>275.73</v>
      </c>
      <c r="N153" s="3140">
        <v>226.14</v>
      </c>
    </row>
    <row r="154" spans="1:14" s="6" customFormat="1" ht="12.75" customHeight="1">
      <c r="A154" s="53">
        <v>2005.01</v>
      </c>
      <c r="B154" s="2310">
        <v>237.93</v>
      </c>
      <c r="C154" s="1843">
        <v>236.47</v>
      </c>
      <c r="D154" s="3701">
        <v>257.98</v>
      </c>
      <c r="E154" s="1843">
        <v>230.79</v>
      </c>
      <c r="F154" s="3139">
        <v>256.58999999999997</v>
      </c>
      <c r="G154" s="1844">
        <v>233.93</v>
      </c>
      <c r="H154" s="1843">
        <v>232.37</v>
      </c>
      <c r="I154" s="3701">
        <v>259.60000000000002</v>
      </c>
      <c r="J154" s="1843">
        <v>224.87</v>
      </c>
      <c r="K154" s="3139">
        <v>253.28</v>
      </c>
      <c r="L154" s="1844">
        <v>233.81</v>
      </c>
      <c r="M154" s="1843">
        <v>257.37</v>
      </c>
      <c r="N154" s="3140">
        <v>227.29</v>
      </c>
    </row>
    <row r="155" spans="1:14" s="6" customFormat="1" ht="12.75" customHeight="1">
      <c r="A155" s="53">
        <v>2005.02</v>
      </c>
      <c r="B155" s="2310">
        <v>240.46</v>
      </c>
      <c r="C155" s="1843">
        <v>239.38</v>
      </c>
      <c r="D155" s="3701">
        <v>268.32</v>
      </c>
      <c r="E155" s="1843">
        <v>231.74</v>
      </c>
      <c r="F155" s="3139">
        <v>254.24</v>
      </c>
      <c r="G155" s="1844">
        <v>236.55</v>
      </c>
      <c r="H155" s="1843">
        <v>235.39</v>
      </c>
      <c r="I155" s="3701">
        <v>269.91000000000003</v>
      </c>
      <c r="J155" s="1843">
        <v>225.89</v>
      </c>
      <c r="K155" s="3139">
        <v>250.88</v>
      </c>
      <c r="L155" s="1844">
        <v>236.7</v>
      </c>
      <c r="M155" s="1843">
        <v>266.72000000000003</v>
      </c>
      <c r="N155" s="3140">
        <v>228.4</v>
      </c>
    </row>
    <row r="156" spans="1:14" s="6" customFormat="1" ht="12.75" customHeight="1">
      <c r="A156" s="53">
        <v>2005.03</v>
      </c>
      <c r="B156" s="2310">
        <v>245.2</v>
      </c>
      <c r="C156" s="1843">
        <v>244.3</v>
      </c>
      <c r="D156" s="3701">
        <v>283.16000000000003</v>
      </c>
      <c r="E156" s="1843">
        <v>234.04</v>
      </c>
      <c r="F156" s="3139">
        <v>256.64999999999998</v>
      </c>
      <c r="G156" s="1844">
        <v>241.44</v>
      </c>
      <c r="H156" s="1843">
        <v>240.48</v>
      </c>
      <c r="I156" s="3701">
        <v>284.77999999999997</v>
      </c>
      <c r="J156" s="1843">
        <v>228.28</v>
      </c>
      <c r="K156" s="3139">
        <v>253.29</v>
      </c>
      <c r="L156" s="1844">
        <v>242.45</v>
      </c>
      <c r="M156" s="1843">
        <v>281.68</v>
      </c>
      <c r="N156" s="3140">
        <v>231.59</v>
      </c>
    </row>
    <row r="157" spans="1:14" s="6" customFormat="1" ht="12.75" customHeight="1">
      <c r="A157" s="53">
        <v>2005.04</v>
      </c>
      <c r="B157" s="2310">
        <v>248.78</v>
      </c>
      <c r="C157" s="1843">
        <v>248.28</v>
      </c>
      <c r="D157" s="3701">
        <v>298.51</v>
      </c>
      <c r="E157" s="1843">
        <v>235.02</v>
      </c>
      <c r="F157" s="3139">
        <v>255.2</v>
      </c>
      <c r="G157" s="1844">
        <v>245.02</v>
      </c>
      <c r="H157" s="1843">
        <v>244.47</v>
      </c>
      <c r="I157" s="3701">
        <v>299.54000000000002</v>
      </c>
      <c r="J157" s="1843">
        <v>229.31</v>
      </c>
      <c r="K157" s="3139">
        <v>251.86</v>
      </c>
      <c r="L157" s="1844">
        <v>245.9</v>
      </c>
      <c r="M157" s="1843">
        <v>295.87</v>
      </c>
      <c r="N157" s="3140">
        <v>232.07</v>
      </c>
    </row>
    <row r="158" spans="1:14" s="6" customFormat="1" ht="12.75" customHeight="1">
      <c r="A158" s="53">
        <v>2005.05</v>
      </c>
      <c r="B158" s="2310">
        <v>248.6</v>
      </c>
      <c r="C158" s="1843">
        <v>248.13</v>
      </c>
      <c r="D158" s="3701">
        <v>293.98</v>
      </c>
      <c r="E158" s="1843">
        <v>236.03</v>
      </c>
      <c r="F158" s="3139">
        <v>254.59</v>
      </c>
      <c r="G158" s="1844">
        <v>244.95</v>
      </c>
      <c r="H158" s="1843">
        <v>244.44</v>
      </c>
      <c r="I158" s="3701">
        <v>295.11</v>
      </c>
      <c r="J158" s="1843">
        <v>230.49</v>
      </c>
      <c r="K158" s="3139">
        <v>251.27</v>
      </c>
      <c r="L158" s="1844">
        <v>245.78</v>
      </c>
      <c r="M158" s="1843">
        <v>291.88</v>
      </c>
      <c r="N158" s="3140">
        <v>233.03</v>
      </c>
    </row>
    <row r="159" spans="1:14" s="6" customFormat="1" ht="12.75" customHeight="1">
      <c r="A159" s="53">
        <v>2005.06</v>
      </c>
      <c r="B159" s="2310">
        <v>249.19</v>
      </c>
      <c r="C159" s="1843">
        <v>249.07</v>
      </c>
      <c r="D159" s="3701">
        <v>296.3</v>
      </c>
      <c r="E159" s="1843">
        <v>236.6</v>
      </c>
      <c r="F159" s="3139">
        <v>250.72</v>
      </c>
      <c r="G159" s="1844">
        <v>245.63</v>
      </c>
      <c r="H159" s="1843">
        <v>245.48</v>
      </c>
      <c r="I159" s="3701">
        <v>297.73</v>
      </c>
      <c r="J159" s="1843">
        <v>231.09</v>
      </c>
      <c r="K159" s="3139">
        <v>247.49</v>
      </c>
      <c r="L159" s="1844">
        <v>246.88</v>
      </c>
      <c r="M159" s="1843">
        <v>294.64</v>
      </c>
      <c r="N159" s="3140">
        <v>233.66</v>
      </c>
    </row>
    <row r="160" spans="1:14" s="6" customFormat="1" ht="12.75" customHeight="1">
      <c r="A160" s="53">
        <v>2005.07</v>
      </c>
      <c r="B160" s="2310">
        <v>252.31</v>
      </c>
      <c r="C160" s="1843">
        <v>252.46</v>
      </c>
      <c r="D160" s="3701">
        <v>308.13</v>
      </c>
      <c r="E160" s="1843">
        <v>237.77</v>
      </c>
      <c r="F160" s="3139">
        <v>250.4</v>
      </c>
      <c r="G160" s="1844">
        <v>248.86</v>
      </c>
      <c r="H160" s="1843">
        <v>248.99</v>
      </c>
      <c r="I160" s="3701">
        <v>309.58</v>
      </c>
      <c r="J160" s="1843">
        <v>232.31</v>
      </c>
      <c r="K160" s="3139">
        <v>247.2</v>
      </c>
      <c r="L160" s="1844">
        <v>250.6</v>
      </c>
      <c r="M160" s="1843">
        <v>306.67</v>
      </c>
      <c r="N160" s="3140">
        <v>235.08</v>
      </c>
    </row>
    <row r="161" spans="1:14" s="6" customFormat="1" ht="12.75" customHeight="1">
      <c r="A161" s="53">
        <v>2005.08</v>
      </c>
      <c r="B161" s="2310">
        <v>255.46</v>
      </c>
      <c r="C161" s="1843">
        <v>255.85</v>
      </c>
      <c r="D161" s="3701">
        <v>318.22000000000003</v>
      </c>
      <c r="E161" s="1843">
        <v>239.39</v>
      </c>
      <c r="F161" s="3139">
        <v>250.42</v>
      </c>
      <c r="G161" s="1844">
        <v>252.06</v>
      </c>
      <c r="H161" s="1843">
        <v>252.45</v>
      </c>
      <c r="I161" s="3701">
        <v>319.45</v>
      </c>
      <c r="J161" s="1843">
        <v>234</v>
      </c>
      <c r="K161" s="3139">
        <v>247.24</v>
      </c>
      <c r="L161" s="1844">
        <v>253.8</v>
      </c>
      <c r="M161" s="1843">
        <v>315.86</v>
      </c>
      <c r="N161" s="3140">
        <v>236.63</v>
      </c>
    </row>
    <row r="162" spans="1:14" s="6" customFormat="1" ht="12.75" customHeight="1">
      <c r="A162" s="53">
        <v>2005.09</v>
      </c>
      <c r="B162" s="2310">
        <v>260.29000000000002</v>
      </c>
      <c r="C162" s="1843">
        <v>261.11</v>
      </c>
      <c r="D162" s="3701">
        <v>338.03</v>
      </c>
      <c r="E162" s="1843">
        <v>240.81</v>
      </c>
      <c r="F162" s="3139">
        <v>249.83</v>
      </c>
      <c r="G162" s="1844">
        <v>256.95</v>
      </c>
      <c r="H162" s="1843">
        <v>257.77</v>
      </c>
      <c r="I162" s="3701">
        <v>338.86</v>
      </c>
      <c r="J162" s="1843">
        <v>235.45</v>
      </c>
      <c r="K162" s="3139">
        <v>246.72</v>
      </c>
      <c r="L162" s="1844">
        <v>258.67</v>
      </c>
      <c r="M162" s="1843">
        <v>334.54</v>
      </c>
      <c r="N162" s="3140">
        <v>237.67</v>
      </c>
    </row>
    <row r="163" spans="1:14" s="6" customFormat="1" ht="12.75" customHeight="1">
      <c r="A163" s="53">
        <v>2005.1</v>
      </c>
      <c r="B163" s="2310">
        <v>263.22000000000003</v>
      </c>
      <c r="C163" s="1843">
        <v>263.92</v>
      </c>
      <c r="D163" s="3701">
        <v>341.51</v>
      </c>
      <c r="E163" s="1843">
        <v>243.43</v>
      </c>
      <c r="F163" s="3139">
        <v>254.4</v>
      </c>
      <c r="G163" s="1844">
        <v>259.98</v>
      </c>
      <c r="H163" s="1843">
        <v>260.67</v>
      </c>
      <c r="I163" s="3701">
        <v>342.35</v>
      </c>
      <c r="J163" s="1843">
        <v>238.18</v>
      </c>
      <c r="K163" s="3139">
        <v>251.5</v>
      </c>
      <c r="L163" s="1844">
        <v>261.56</v>
      </c>
      <c r="M163" s="1843">
        <v>337.76</v>
      </c>
      <c r="N163" s="3140">
        <v>240.46</v>
      </c>
    </row>
    <row r="164" spans="1:14" s="6" customFormat="1" ht="12.75" customHeight="1">
      <c r="A164" s="53">
        <v>2005.11</v>
      </c>
      <c r="B164" s="2310">
        <v>263.43</v>
      </c>
      <c r="C164" s="1843">
        <v>263.88</v>
      </c>
      <c r="D164" s="3701">
        <v>329.93</v>
      </c>
      <c r="E164" s="1843">
        <v>246.44</v>
      </c>
      <c r="F164" s="3139">
        <v>257.73</v>
      </c>
      <c r="G164" s="1844">
        <v>260.25</v>
      </c>
      <c r="H164" s="1843">
        <v>260.69</v>
      </c>
      <c r="I164" s="3701">
        <v>331.16</v>
      </c>
      <c r="J164" s="1843">
        <v>241.29</v>
      </c>
      <c r="K164" s="3139">
        <v>254.79</v>
      </c>
      <c r="L164" s="1844">
        <v>261.48</v>
      </c>
      <c r="M164" s="1843">
        <v>326.23</v>
      </c>
      <c r="N164" s="3140">
        <v>243.56</v>
      </c>
    </row>
    <row r="165" spans="1:14" s="6" customFormat="1" ht="12.75" customHeight="1">
      <c r="A165" s="53">
        <v>2005.12</v>
      </c>
      <c r="B165" s="2310">
        <v>266.02999999999997</v>
      </c>
      <c r="C165" s="1843">
        <v>266.56</v>
      </c>
      <c r="D165" s="3701">
        <v>336.38</v>
      </c>
      <c r="E165" s="1843">
        <v>248.13</v>
      </c>
      <c r="F165" s="3139">
        <v>259.31</v>
      </c>
      <c r="G165" s="1844">
        <v>262.87</v>
      </c>
      <c r="H165" s="1843">
        <v>263.39999999999998</v>
      </c>
      <c r="I165" s="3701">
        <v>337.35</v>
      </c>
      <c r="J165" s="1843">
        <v>243.04</v>
      </c>
      <c r="K165" s="3139">
        <v>256.35000000000002</v>
      </c>
      <c r="L165" s="1844">
        <v>264.45999999999998</v>
      </c>
      <c r="M165" s="1843">
        <v>333.04</v>
      </c>
      <c r="N165" s="3140">
        <v>245.48</v>
      </c>
    </row>
    <row r="166" spans="1:14" s="6" customFormat="1" ht="12.75" customHeight="1">
      <c r="A166" s="53">
        <v>2006.01</v>
      </c>
      <c r="B166" s="2310">
        <v>269.47000000000003</v>
      </c>
      <c r="C166" s="1843">
        <v>270.11</v>
      </c>
      <c r="D166" s="3701">
        <v>351.07</v>
      </c>
      <c r="E166" s="1843">
        <v>248.73</v>
      </c>
      <c r="F166" s="3139">
        <v>261.35000000000002</v>
      </c>
      <c r="G166" s="1844">
        <v>266.39</v>
      </c>
      <c r="H166" s="1843">
        <v>267.04000000000002</v>
      </c>
      <c r="I166" s="3701">
        <v>351.9</v>
      </c>
      <c r="J166" s="1843">
        <v>243.67</v>
      </c>
      <c r="K166" s="3139">
        <v>258.38</v>
      </c>
      <c r="L166" s="1844">
        <v>267.87</v>
      </c>
      <c r="M166" s="1843">
        <v>348.57</v>
      </c>
      <c r="N166" s="3140">
        <v>245.53</v>
      </c>
    </row>
    <row r="167" spans="1:14" s="6" customFormat="1" ht="12.75" customHeight="1">
      <c r="A167" s="53">
        <v>2006.02</v>
      </c>
      <c r="B167" s="2310">
        <v>273.66000000000003</v>
      </c>
      <c r="C167" s="1843">
        <v>274.32</v>
      </c>
      <c r="D167" s="3701">
        <v>364.57</v>
      </c>
      <c r="E167" s="1843">
        <v>250.49</v>
      </c>
      <c r="F167" s="3139">
        <v>265.27</v>
      </c>
      <c r="G167" s="1844">
        <v>270.67</v>
      </c>
      <c r="H167" s="1843">
        <v>271.35000000000002</v>
      </c>
      <c r="I167" s="3701">
        <v>365.33</v>
      </c>
      <c r="J167" s="1843">
        <v>245.48</v>
      </c>
      <c r="K167" s="3139">
        <v>262.2</v>
      </c>
      <c r="L167" s="1844">
        <v>272.45</v>
      </c>
      <c r="M167" s="1843">
        <v>361.83</v>
      </c>
      <c r="N167" s="3140">
        <v>247.71</v>
      </c>
    </row>
    <row r="168" spans="1:14" s="6" customFormat="1" ht="12.75" customHeight="1">
      <c r="A168" s="53">
        <v>2006.03</v>
      </c>
      <c r="B168" s="2310">
        <v>271.95999999999998</v>
      </c>
      <c r="C168" s="1843">
        <v>272.45999999999998</v>
      </c>
      <c r="D168" s="3701">
        <v>349.52</v>
      </c>
      <c r="E168" s="1843">
        <v>252.12</v>
      </c>
      <c r="F168" s="3139">
        <v>265.62</v>
      </c>
      <c r="G168" s="1844">
        <v>268.94</v>
      </c>
      <c r="H168" s="1843">
        <v>269.45999999999998</v>
      </c>
      <c r="I168" s="3701">
        <v>350.61</v>
      </c>
      <c r="J168" s="1843">
        <v>247.12</v>
      </c>
      <c r="K168" s="3139">
        <v>262.56</v>
      </c>
      <c r="L168" s="1844">
        <v>270.43</v>
      </c>
      <c r="M168" s="1843">
        <v>346.82</v>
      </c>
      <c r="N168" s="3140">
        <v>249.29</v>
      </c>
    </row>
    <row r="169" spans="1:14" s="6" customFormat="1" ht="12.75" customHeight="1">
      <c r="A169" s="53">
        <v>2006.04</v>
      </c>
      <c r="B169" s="2310">
        <v>275.89999999999998</v>
      </c>
      <c r="C169" s="1843">
        <v>276.54000000000002</v>
      </c>
      <c r="D169" s="3701">
        <v>362.43</v>
      </c>
      <c r="E169" s="1843">
        <v>253.86</v>
      </c>
      <c r="F169" s="3139">
        <v>267.82</v>
      </c>
      <c r="G169" s="1844">
        <v>272.95</v>
      </c>
      <c r="H169" s="1843">
        <v>273.62</v>
      </c>
      <c r="I169" s="3701">
        <v>362.98</v>
      </c>
      <c r="J169" s="1843">
        <v>249.02</v>
      </c>
      <c r="K169" s="3139">
        <v>264.7</v>
      </c>
      <c r="L169" s="1844">
        <v>274.64999999999998</v>
      </c>
      <c r="M169" s="1843">
        <v>359.81</v>
      </c>
      <c r="N169" s="3140">
        <v>251.07</v>
      </c>
    </row>
    <row r="170" spans="1:14" s="6" customFormat="1" ht="12.75" customHeight="1">
      <c r="A170" s="53">
        <v>2006.05</v>
      </c>
      <c r="B170" s="2310">
        <v>277</v>
      </c>
      <c r="C170" s="1843">
        <v>277.37</v>
      </c>
      <c r="D170" s="3701">
        <v>356.83</v>
      </c>
      <c r="E170" s="1843">
        <v>256.39</v>
      </c>
      <c r="F170" s="3139">
        <v>272.33999999999997</v>
      </c>
      <c r="G170" s="1844">
        <v>274.02999999999997</v>
      </c>
      <c r="H170" s="1843">
        <v>274.44</v>
      </c>
      <c r="I170" s="3701">
        <v>357.43</v>
      </c>
      <c r="J170" s="1843">
        <v>251.58</v>
      </c>
      <c r="K170" s="3139">
        <v>269.07</v>
      </c>
      <c r="L170" s="1844">
        <v>275.61</v>
      </c>
      <c r="M170" s="1843">
        <v>355.08</v>
      </c>
      <c r="N170" s="3140">
        <v>253.62</v>
      </c>
    </row>
    <row r="171" spans="1:14" s="6" customFormat="1" ht="12.75" customHeight="1">
      <c r="A171" s="53">
        <v>2006.06</v>
      </c>
      <c r="B171" s="2310">
        <v>279.23</v>
      </c>
      <c r="C171" s="1843">
        <v>279.26</v>
      </c>
      <c r="D171" s="3701">
        <v>355.6</v>
      </c>
      <c r="E171" s="1843">
        <v>259.11</v>
      </c>
      <c r="F171" s="3139">
        <v>278.85000000000002</v>
      </c>
      <c r="G171" s="1844">
        <v>276.25</v>
      </c>
      <c r="H171" s="1843">
        <v>276.31</v>
      </c>
      <c r="I171" s="3701">
        <v>355.89</v>
      </c>
      <c r="J171" s="1843">
        <v>254.4</v>
      </c>
      <c r="K171" s="3139">
        <v>275.49</v>
      </c>
      <c r="L171" s="1844">
        <v>277.60000000000002</v>
      </c>
      <c r="M171" s="1843">
        <v>353.45</v>
      </c>
      <c r="N171" s="3140">
        <v>256.61</v>
      </c>
    </row>
    <row r="172" spans="1:14" s="6" customFormat="1" ht="12.75" customHeight="1">
      <c r="A172" s="53">
        <v>2006.07</v>
      </c>
      <c r="B172" s="2310">
        <v>281.22000000000003</v>
      </c>
      <c r="C172" s="1843">
        <v>281.36</v>
      </c>
      <c r="D172" s="3701">
        <v>359.93</v>
      </c>
      <c r="E172" s="1843">
        <v>260.62</v>
      </c>
      <c r="F172" s="3139">
        <v>279.5</v>
      </c>
      <c r="G172" s="1844">
        <v>278.31</v>
      </c>
      <c r="H172" s="1843">
        <v>278.48</v>
      </c>
      <c r="I172" s="3701">
        <v>360.32</v>
      </c>
      <c r="J172" s="1843">
        <v>255.95</v>
      </c>
      <c r="K172" s="3139">
        <v>276.11</v>
      </c>
      <c r="L172" s="1844">
        <v>279.58999999999997</v>
      </c>
      <c r="M172" s="1843">
        <v>357.57</v>
      </c>
      <c r="N172" s="3140">
        <v>258.01</v>
      </c>
    </row>
    <row r="173" spans="1:14" s="6" customFormat="1" ht="12.75" customHeight="1">
      <c r="A173" s="53">
        <v>2006.08</v>
      </c>
      <c r="B173" s="2310">
        <v>283.02999999999997</v>
      </c>
      <c r="C173" s="1843">
        <v>283.31</v>
      </c>
      <c r="D173" s="3701">
        <v>360.45</v>
      </c>
      <c r="E173" s="1843">
        <v>262.95</v>
      </c>
      <c r="F173" s="3139">
        <v>279.35000000000002</v>
      </c>
      <c r="G173" s="1844">
        <v>280.14</v>
      </c>
      <c r="H173" s="1843">
        <v>280.47000000000003</v>
      </c>
      <c r="I173" s="3701">
        <v>360.86</v>
      </c>
      <c r="J173" s="1843">
        <v>258.33999999999997</v>
      </c>
      <c r="K173" s="3139">
        <v>276.04000000000002</v>
      </c>
      <c r="L173" s="1844">
        <v>281.55</v>
      </c>
      <c r="M173" s="1843">
        <v>358.08</v>
      </c>
      <c r="N173" s="3140">
        <v>260.37</v>
      </c>
    </row>
    <row r="174" spans="1:14" s="6" customFormat="1" ht="12.75" customHeight="1">
      <c r="A174" s="53">
        <v>2006.09</v>
      </c>
      <c r="B174" s="2310">
        <v>282.29000000000002</v>
      </c>
      <c r="C174" s="1843">
        <v>282.38</v>
      </c>
      <c r="D174" s="3701">
        <v>352.07</v>
      </c>
      <c r="E174" s="1843">
        <v>263.98</v>
      </c>
      <c r="F174" s="3139">
        <v>281.23</v>
      </c>
      <c r="G174" s="1844">
        <v>279.44</v>
      </c>
      <c r="H174" s="1843">
        <v>279.56</v>
      </c>
      <c r="I174" s="3701">
        <v>352.73</v>
      </c>
      <c r="J174" s="1843">
        <v>259.42</v>
      </c>
      <c r="K174" s="3139">
        <v>277.92</v>
      </c>
      <c r="L174" s="1844">
        <v>280.94</v>
      </c>
      <c r="M174" s="1843">
        <v>350.59</v>
      </c>
      <c r="N174" s="3140">
        <v>261.66000000000003</v>
      </c>
    </row>
    <row r="175" spans="1:14" s="6" customFormat="1" ht="12.75" customHeight="1">
      <c r="A175" s="53">
        <v>2006.1</v>
      </c>
      <c r="B175" s="2310">
        <v>283.45999999999998</v>
      </c>
      <c r="C175" s="1843">
        <v>283.56</v>
      </c>
      <c r="D175" s="3701">
        <v>353.09</v>
      </c>
      <c r="E175" s="1843">
        <v>265.2</v>
      </c>
      <c r="F175" s="3139">
        <v>282.19</v>
      </c>
      <c r="G175" s="1844">
        <v>280.79000000000002</v>
      </c>
      <c r="H175" s="1843">
        <v>280.94</v>
      </c>
      <c r="I175" s="3701">
        <v>354.38</v>
      </c>
      <c r="J175" s="1843">
        <v>260.72000000000003</v>
      </c>
      <c r="K175" s="3139">
        <v>278.92</v>
      </c>
      <c r="L175" s="1844">
        <v>282.85000000000002</v>
      </c>
      <c r="M175" s="1843">
        <v>353.53</v>
      </c>
      <c r="N175" s="3140">
        <v>263.27999999999997</v>
      </c>
    </row>
    <row r="176" spans="1:14" s="6" customFormat="1" ht="12.75" customHeight="1">
      <c r="A176" s="53">
        <v>2006.11</v>
      </c>
      <c r="B176" s="2310">
        <v>283.73</v>
      </c>
      <c r="C176" s="1843">
        <v>284.02999999999997</v>
      </c>
      <c r="D176" s="3701">
        <v>353.83</v>
      </c>
      <c r="E176" s="1843">
        <v>265.60000000000002</v>
      </c>
      <c r="F176" s="3139">
        <v>279.89999999999998</v>
      </c>
      <c r="G176" s="1844">
        <v>281.23</v>
      </c>
      <c r="H176" s="1843">
        <v>281.58999999999997</v>
      </c>
      <c r="I176" s="3701">
        <v>355.89</v>
      </c>
      <c r="J176" s="1843">
        <v>261.13</v>
      </c>
      <c r="K176" s="3139">
        <v>276.72000000000003</v>
      </c>
      <c r="L176" s="1844">
        <v>284.13</v>
      </c>
      <c r="M176" s="1843">
        <v>356.35</v>
      </c>
      <c r="N176" s="3140">
        <v>264.14</v>
      </c>
    </row>
    <row r="177" spans="1:14" s="6" customFormat="1" ht="12.75" customHeight="1">
      <c r="A177" s="53">
        <v>2006.12</v>
      </c>
      <c r="B177" s="2310">
        <v>284.85000000000002</v>
      </c>
      <c r="C177" s="1843">
        <v>285.18</v>
      </c>
      <c r="D177" s="3701">
        <v>355.73</v>
      </c>
      <c r="E177" s="1843">
        <v>266.55</v>
      </c>
      <c r="F177" s="3139">
        <v>280.69</v>
      </c>
      <c r="G177" s="1844">
        <v>282.37</v>
      </c>
      <c r="H177" s="1843">
        <v>282.77999999999997</v>
      </c>
      <c r="I177" s="3701">
        <v>357.72</v>
      </c>
      <c r="J177" s="1843">
        <v>262.14</v>
      </c>
      <c r="K177" s="3139">
        <v>277.41000000000003</v>
      </c>
      <c r="L177" s="1844">
        <v>285.66000000000003</v>
      </c>
      <c r="M177" s="1843">
        <v>359.01</v>
      </c>
      <c r="N177" s="3140">
        <v>265.35000000000002</v>
      </c>
    </row>
    <row r="178" spans="1:14" s="6" customFormat="1" ht="12.75" customHeight="1">
      <c r="A178" s="53">
        <v>2007.01</v>
      </c>
      <c r="B178" s="2310">
        <v>285.85000000000002</v>
      </c>
      <c r="C178" s="1843">
        <v>286.16000000000003</v>
      </c>
      <c r="D178" s="3701">
        <v>353.06</v>
      </c>
      <c r="E178" s="1843">
        <v>268.5</v>
      </c>
      <c r="F178" s="3139">
        <v>281.93</v>
      </c>
      <c r="G178" s="1844">
        <v>283.36</v>
      </c>
      <c r="H178" s="1843">
        <v>283.75</v>
      </c>
      <c r="I178" s="3701">
        <v>355.15</v>
      </c>
      <c r="J178" s="1843">
        <v>264.08999999999997</v>
      </c>
      <c r="K178" s="3139">
        <v>278.48</v>
      </c>
      <c r="L178" s="1844">
        <v>286.33</v>
      </c>
      <c r="M178" s="1843">
        <v>355.56</v>
      </c>
      <c r="N178" s="3140">
        <v>267.17</v>
      </c>
    </row>
    <row r="179" spans="1:14" s="6" customFormat="1" ht="12.75" customHeight="1">
      <c r="A179" s="53">
        <v>2007.02</v>
      </c>
      <c r="B179" s="2310">
        <v>288.22000000000003</v>
      </c>
      <c r="C179" s="1843">
        <v>288.52</v>
      </c>
      <c r="D179" s="3701">
        <v>357.81</v>
      </c>
      <c r="E179" s="1843">
        <v>270.22000000000003</v>
      </c>
      <c r="F179" s="3139">
        <v>284.41000000000003</v>
      </c>
      <c r="G179" s="1844">
        <v>285.73</v>
      </c>
      <c r="H179" s="1843">
        <v>286.12</v>
      </c>
      <c r="I179" s="3701">
        <v>359.8</v>
      </c>
      <c r="J179" s="1843">
        <v>265.83</v>
      </c>
      <c r="K179" s="3139">
        <v>280.95999999999998</v>
      </c>
      <c r="L179" s="1844">
        <v>288.52</v>
      </c>
      <c r="M179" s="1843">
        <v>360.42</v>
      </c>
      <c r="N179" s="3140">
        <v>268.62</v>
      </c>
    </row>
    <row r="180" spans="1:14" s="6" customFormat="1" ht="12.75" customHeight="1">
      <c r="A180" s="53">
        <v>2007.03</v>
      </c>
      <c r="B180" s="2310">
        <v>290.02</v>
      </c>
      <c r="C180" s="1843">
        <v>290.29000000000002</v>
      </c>
      <c r="D180" s="3701">
        <v>359.75</v>
      </c>
      <c r="E180" s="1843">
        <v>271.95999999999998</v>
      </c>
      <c r="F180" s="3139">
        <v>286.57</v>
      </c>
      <c r="G180" s="1844">
        <v>287.54000000000002</v>
      </c>
      <c r="H180" s="1843">
        <v>287.89999999999998</v>
      </c>
      <c r="I180" s="3701">
        <v>361.6</v>
      </c>
      <c r="J180" s="1843">
        <v>267.61</v>
      </c>
      <c r="K180" s="3139">
        <v>283.12</v>
      </c>
      <c r="L180" s="1844">
        <v>290.01</v>
      </c>
      <c r="M180" s="1843">
        <v>361.84</v>
      </c>
      <c r="N180" s="3140">
        <v>270.12</v>
      </c>
    </row>
    <row r="181" spans="1:14" s="6" customFormat="1" ht="12.75" customHeight="1">
      <c r="A181" s="53">
        <v>2007.04</v>
      </c>
      <c r="B181" s="2310">
        <v>295.04000000000002</v>
      </c>
      <c r="C181" s="1843">
        <v>295.27999999999997</v>
      </c>
      <c r="D181" s="3701">
        <v>370.1</v>
      </c>
      <c r="E181" s="1843">
        <v>275.52999999999997</v>
      </c>
      <c r="F181" s="3139">
        <v>291.98</v>
      </c>
      <c r="G181" s="1844">
        <v>292.69</v>
      </c>
      <c r="H181" s="1843">
        <v>293.05</v>
      </c>
      <c r="I181" s="3701">
        <v>372.13</v>
      </c>
      <c r="J181" s="1843">
        <v>271.27</v>
      </c>
      <c r="K181" s="3139">
        <v>288.27</v>
      </c>
      <c r="L181" s="1844">
        <v>295.13</v>
      </c>
      <c r="M181" s="1843">
        <v>371.61</v>
      </c>
      <c r="N181" s="3140">
        <v>273.95999999999998</v>
      </c>
    </row>
    <row r="182" spans="1:14" s="6" customFormat="1" ht="12.75" customHeight="1">
      <c r="A182" s="53">
        <v>2007.05</v>
      </c>
      <c r="B182" s="2310">
        <v>299.62</v>
      </c>
      <c r="C182" s="1843">
        <v>299.93</v>
      </c>
      <c r="D182" s="3701">
        <v>379.56</v>
      </c>
      <c r="E182" s="1843">
        <v>278.91000000000003</v>
      </c>
      <c r="F182" s="3139">
        <v>295.7</v>
      </c>
      <c r="G182" s="1844">
        <v>297.35000000000002</v>
      </c>
      <c r="H182" s="1843">
        <v>297.79000000000002</v>
      </c>
      <c r="I182" s="3701">
        <v>381.76</v>
      </c>
      <c r="J182" s="1843">
        <v>274.67</v>
      </c>
      <c r="K182" s="3139">
        <v>291.87</v>
      </c>
      <c r="L182" s="1844">
        <v>299.7</v>
      </c>
      <c r="M182" s="1843">
        <v>380.1</v>
      </c>
      <c r="N182" s="3140">
        <v>277.45</v>
      </c>
    </row>
    <row r="183" spans="1:14" s="6" customFormat="1" ht="12.75" customHeight="1">
      <c r="A183" s="53">
        <v>2007.06</v>
      </c>
      <c r="B183" s="2310">
        <v>305.45</v>
      </c>
      <c r="C183" s="1843">
        <v>305.88</v>
      </c>
      <c r="D183" s="3701">
        <v>392.68</v>
      </c>
      <c r="E183" s="1843">
        <v>282.97000000000003</v>
      </c>
      <c r="F183" s="3139">
        <v>299.98</v>
      </c>
      <c r="G183" s="1844">
        <v>303.25</v>
      </c>
      <c r="H183" s="1843">
        <v>303.83</v>
      </c>
      <c r="I183" s="3701">
        <v>394.92</v>
      </c>
      <c r="J183" s="1843">
        <v>278.75</v>
      </c>
      <c r="K183" s="3139">
        <v>296.07</v>
      </c>
      <c r="L183" s="1844">
        <v>305.85000000000002</v>
      </c>
      <c r="M183" s="1843">
        <v>393.51</v>
      </c>
      <c r="N183" s="3140">
        <v>281.58</v>
      </c>
    </row>
    <row r="184" spans="1:14" s="6" customFormat="1" ht="12.75" customHeight="1">
      <c r="A184" s="53">
        <v>2007.07</v>
      </c>
      <c r="B184" s="2310">
        <v>312.38</v>
      </c>
      <c r="C184" s="1843">
        <v>313.01</v>
      </c>
      <c r="D184" s="3701">
        <v>406.53</v>
      </c>
      <c r="E184" s="1843">
        <v>288.32</v>
      </c>
      <c r="F184" s="3139">
        <v>304.39999999999998</v>
      </c>
      <c r="G184" s="1844">
        <v>310.25</v>
      </c>
      <c r="H184" s="1843">
        <v>311.04000000000002</v>
      </c>
      <c r="I184" s="3701">
        <v>408.6</v>
      </c>
      <c r="J184" s="1843">
        <v>284.18</v>
      </c>
      <c r="K184" s="3139">
        <v>300.5</v>
      </c>
      <c r="L184" s="1844">
        <v>313.52</v>
      </c>
      <c r="M184" s="1843">
        <v>406.95</v>
      </c>
      <c r="N184" s="3140">
        <v>287.66000000000003</v>
      </c>
    </row>
    <row r="185" spans="1:14" s="6" customFormat="1" ht="12.75" customHeight="1">
      <c r="A185" s="53">
        <v>2007.08</v>
      </c>
      <c r="B185" s="2310">
        <v>314.76</v>
      </c>
      <c r="C185" s="1843">
        <v>315.14999999999998</v>
      </c>
      <c r="D185" s="3701">
        <v>397.83</v>
      </c>
      <c r="E185" s="1843">
        <v>293.33</v>
      </c>
      <c r="F185" s="3139">
        <v>309.77999999999997</v>
      </c>
      <c r="G185" s="1844">
        <v>316.62</v>
      </c>
      <c r="H185" s="1843">
        <v>317.49</v>
      </c>
      <c r="I185" s="3701">
        <v>419.96</v>
      </c>
      <c r="J185" s="1843">
        <v>289.27</v>
      </c>
      <c r="K185" s="3139">
        <v>305.86</v>
      </c>
      <c r="L185" s="1844">
        <v>320.82</v>
      </c>
      <c r="M185" s="1843">
        <v>419.4</v>
      </c>
      <c r="N185" s="3140">
        <v>293.52999999999997</v>
      </c>
    </row>
    <row r="186" spans="1:14" s="6" customFormat="1" ht="12.75" customHeight="1">
      <c r="A186" s="53">
        <v>2007.09</v>
      </c>
      <c r="B186" s="2310">
        <v>317.99</v>
      </c>
      <c r="C186" s="1843">
        <v>318.52</v>
      </c>
      <c r="D186" s="3701">
        <v>403.28</v>
      </c>
      <c r="E186" s="1843">
        <v>296.14999999999998</v>
      </c>
      <c r="F186" s="3139">
        <v>311.14</v>
      </c>
      <c r="G186" s="1844">
        <v>320.92</v>
      </c>
      <c r="H186" s="1843">
        <v>322.02999999999997</v>
      </c>
      <c r="I186" s="3701">
        <v>430.68</v>
      </c>
      <c r="J186" s="1843">
        <v>292.12</v>
      </c>
      <c r="K186" s="3139">
        <v>307.12</v>
      </c>
      <c r="L186" s="1844">
        <v>326.17</v>
      </c>
      <c r="M186" s="1843">
        <v>430.51</v>
      </c>
      <c r="N186" s="3140">
        <v>297.29000000000002</v>
      </c>
    </row>
    <row r="187" spans="1:14" s="6" customFormat="1" ht="12.75" customHeight="1">
      <c r="A187" s="53">
        <v>2007.1</v>
      </c>
      <c r="B187" s="2310">
        <v>320.92</v>
      </c>
      <c r="C187" s="1843">
        <v>321.32</v>
      </c>
      <c r="D187" s="3701">
        <v>405.92</v>
      </c>
      <c r="E187" s="1843">
        <v>298.98</v>
      </c>
      <c r="F187" s="3139">
        <v>315.83</v>
      </c>
      <c r="G187" s="1844">
        <v>324.91000000000003</v>
      </c>
      <c r="H187" s="1843">
        <v>325.95999999999998</v>
      </c>
      <c r="I187" s="3701">
        <v>438.39</v>
      </c>
      <c r="J187" s="1843">
        <v>295.01</v>
      </c>
      <c r="K187" s="3139">
        <v>311.88</v>
      </c>
      <c r="L187" s="1844">
        <v>330.78</v>
      </c>
      <c r="M187" s="1843">
        <v>439.88</v>
      </c>
      <c r="N187" s="3140">
        <v>300.58</v>
      </c>
    </row>
    <row r="188" spans="1:14" s="6" customFormat="1" ht="12.75" customHeight="1">
      <c r="A188" s="53">
        <v>2007.11</v>
      </c>
      <c r="B188" s="2310">
        <v>324.27999999999997</v>
      </c>
      <c r="C188" s="1843">
        <v>324.89999999999998</v>
      </c>
      <c r="D188" s="3701">
        <v>407.4</v>
      </c>
      <c r="E188" s="1843">
        <v>303.12</v>
      </c>
      <c r="F188" s="3139">
        <v>316.32</v>
      </c>
      <c r="G188" s="1844">
        <v>327.56</v>
      </c>
      <c r="H188" s="1843">
        <v>328.79</v>
      </c>
      <c r="I188" s="3701">
        <v>436.28</v>
      </c>
      <c r="J188" s="1843">
        <v>299.19</v>
      </c>
      <c r="K188" s="3139">
        <v>312.41000000000003</v>
      </c>
      <c r="L188" s="1844">
        <v>333.8</v>
      </c>
      <c r="M188" s="1843">
        <v>437.24</v>
      </c>
      <c r="N188" s="3140">
        <v>305.17</v>
      </c>
    </row>
    <row r="189" spans="1:14" s="6" customFormat="1" ht="12.75" customHeight="1">
      <c r="A189" s="53">
        <v>2007.12</v>
      </c>
      <c r="B189" s="2310">
        <v>326.32</v>
      </c>
      <c r="C189" s="1843">
        <v>326.98</v>
      </c>
      <c r="D189" s="3701">
        <v>401.71</v>
      </c>
      <c r="E189" s="1843">
        <v>307.25</v>
      </c>
      <c r="F189" s="3139">
        <v>317.87</v>
      </c>
      <c r="G189" s="1844">
        <v>329.28</v>
      </c>
      <c r="H189" s="1843">
        <v>330.52</v>
      </c>
      <c r="I189" s="3701">
        <v>429.36</v>
      </c>
      <c r="J189" s="1843">
        <v>303.3</v>
      </c>
      <c r="K189" s="3139">
        <v>313.98</v>
      </c>
      <c r="L189" s="1844">
        <v>335.9</v>
      </c>
      <c r="M189" s="1843">
        <v>430.71</v>
      </c>
      <c r="N189" s="3140">
        <v>309.66000000000003</v>
      </c>
    </row>
    <row r="190" spans="1:14" s="6" customFormat="1" ht="12.75" customHeight="1">
      <c r="A190" s="53">
        <f t="shared" ref="A190:A253" si="0">A178+1</f>
        <v>2008.01</v>
      </c>
      <c r="B190" s="2310">
        <v>328.9</v>
      </c>
      <c r="C190" s="1843">
        <v>329.57</v>
      </c>
      <c r="D190" s="3701">
        <v>401.54</v>
      </c>
      <c r="E190" s="1843">
        <v>310.58</v>
      </c>
      <c r="F190" s="3139">
        <v>320.27999999999997</v>
      </c>
      <c r="G190" s="1844">
        <v>334.04</v>
      </c>
      <c r="H190" s="1843">
        <v>335.47</v>
      </c>
      <c r="I190" s="3701">
        <v>439.67</v>
      </c>
      <c r="J190" s="1843">
        <v>306.77999999999997</v>
      </c>
      <c r="K190" s="3139">
        <v>316.33999999999997</v>
      </c>
      <c r="L190" s="1844">
        <v>341.48</v>
      </c>
      <c r="M190" s="1843">
        <v>443.98</v>
      </c>
      <c r="N190" s="3140">
        <v>313.12</v>
      </c>
    </row>
    <row r="191" spans="1:14" s="6" customFormat="1" ht="12.75" customHeight="1">
      <c r="A191" s="53">
        <f t="shared" si="0"/>
        <v>2008.02</v>
      </c>
      <c r="B191" s="2310">
        <v>331.95</v>
      </c>
      <c r="C191" s="1843">
        <v>332.21</v>
      </c>
      <c r="D191" s="3701">
        <v>405.96</v>
      </c>
      <c r="E191" s="1843">
        <v>312.74</v>
      </c>
      <c r="F191" s="3139">
        <v>328.64</v>
      </c>
      <c r="G191" s="1844">
        <v>339.05</v>
      </c>
      <c r="H191" s="1843">
        <v>340.23</v>
      </c>
      <c r="I191" s="3701">
        <v>452.6</v>
      </c>
      <c r="J191" s="1843">
        <v>309.29000000000002</v>
      </c>
      <c r="K191" s="3139">
        <v>324.47000000000003</v>
      </c>
      <c r="L191" s="1844">
        <v>346.53</v>
      </c>
      <c r="M191" s="1843">
        <v>458.08</v>
      </c>
      <c r="N191" s="3140">
        <v>315.66000000000003</v>
      </c>
    </row>
    <row r="192" spans="1:14" s="6" customFormat="1" ht="12.75" customHeight="1">
      <c r="A192" s="53">
        <f t="shared" si="0"/>
        <v>2008.03</v>
      </c>
      <c r="B192" s="2310">
        <v>335.66</v>
      </c>
      <c r="C192" s="1843">
        <v>335.75</v>
      </c>
      <c r="D192" s="3701">
        <v>406.78</v>
      </c>
      <c r="E192" s="1843">
        <v>317</v>
      </c>
      <c r="F192" s="3139">
        <v>334.52</v>
      </c>
      <c r="G192" s="1844">
        <v>343.01</v>
      </c>
      <c r="H192" s="1843">
        <v>344.04</v>
      </c>
      <c r="I192" s="3701">
        <v>454.14</v>
      </c>
      <c r="J192" s="1843">
        <v>313.72000000000003</v>
      </c>
      <c r="K192" s="3139">
        <v>330.28</v>
      </c>
      <c r="L192" s="1844">
        <v>350.61</v>
      </c>
      <c r="M192" s="1843">
        <v>458.98</v>
      </c>
      <c r="N192" s="3140">
        <v>320.61</v>
      </c>
    </row>
    <row r="193" spans="1:14" s="6" customFormat="1" ht="12.75" customHeight="1">
      <c r="A193" s="53">
        <f t="shared" si="0"/>
        <v>2008.04</v>
      </c>
      <c r="B193" s="2310">
        <v>339.8</v>
      </c>
      <c r="C193" s="1843">
        <v>339.22</v>
      </c>
      <c r="D193" s="3701">
        <v>401.3</v>
      </c>
      <c r="E193" s="1843">
        <v>322.83</v>
      </c>
      <c r="F193" s="3139">
        <v>347.15</v>
      </c>
      <c r="G193" s="1844">
        <v>345.8</v>
      </c>
      <c r="H193" s="1843">
        <v>346.06</v>
      </c>
      <c r="I193" s="3701">
        <v>442.58</v>
      </c>
      <c r="J193" s="1843">
        <v>319.48</v>
      </c>
      <c r="K193" s="3139">
        <v>342.57</v>
      </c>
      <c r="L193" s="1844">
        <v>353.4</v>
      </c>
      <c r="M193" s="1843">
        <v>446.16</v>
      </c>
      <c r="N193" s="3140">
        <v>327.72</v>
      </c>
    </row>
    <row r="194" spans="1:14" s="6" customFormat="1" ht="12.75" customHeight="1">
      <c r="A194" s="53">
        <f t="shared" si="0"/>
        <v>2008.05</v>
      </c>
      <c r="B194" s="2310">
        <v>343.43</v>
      </c>
      <c r="C194" s="1843">
        <v>342.62</v>
      </c>
      <c r="D194" s="3701">
        <v>403.6</v>
      </c>
      <c r="E194" s="1843">
        <v>326.52</v>
      </c>
      <c r="F194" s="3139">
        <v>353.71</v>
      </c>
      <c r="G194" s="1844">
        <v>349.37</v>
      </c>
      <c r="H194" s="1843">
        <v>349.4</v>
      </c>
      <c r="I194" s="3701">
        <v>445.4</v>
      </c>
      <c r="J194" s="1843">
        <v>322.97000000000003</v>
      </c>
      <c r="K194" s="3139">
        <v>348.95</v>
      </c>
      <c r="L194" s="1844">
        <v>356.62</v>
      </c>
      <c r="M194" s="1843">
        <v>449.33</v>
      </c>
      <c r="N194" s="3140">
        <v>330.95</v>
      </c>
    </row>
    <row r="195" spans="1:14" s="6" customFormat="1" ht="12.75" customHeight="1">
      <c r="A195" s="53">
        <f t="shared" si="0"/>
        <v>2008.06</v>
      </c>
      <c r="B195" s="2310">
        <v>347.54</v>
      </c>
      <c r="C195" s="1843">
        <v>346.86</v>
      </c>
      <c r="D195" s="3701">
        <v>406.02</v>
      </c>
      <c r="E195" s="1843">
        <v>331.24</v>
      </c>
      <c r="F195" s="3139">
        <v>356.28</v>
      </c>
      <c r="G195" s="1844">
        <v>353.3</v>
      </c>
      <c r="H195" s="1843">
        <v>353.45</v>
      </c>
      <c r="I195" s="3701">
        <v>447.09</v>
      </c>
      <c r="J195" s="1843">
        <v>327.66000000000003</v>
      </c>
      <c r="K195" s="3139">
        <v>351.49</v>
      </c>
      <c r="L195" s="1844">
        <v>360.78</v>
      </c>
      <c r="M195" s="1843">
        <v>450.53</v>
      </c>
      <c r="N195" s="3140">
        <v>335.94</v>
      </c>
    </row>
    <row r="196" spans="1:14" s="6" customFormat="1" ht="12.75" customHeight="1">
      <c r="A196" s="53">
        <f t="shared" si="0"/>
        <v>2008.07</v>
      </c>
      <c r="B196" s="2310">
        <v>350.17</v>
      </c>
      <c r="C196" s="1843">
        <v>349.35</v>
      </c>
      <c r="D196" s="3701">
        <v>404.16</v>
      </c>
      <c r="E196" s="1843">
        <v>334.88</v>
      </c>
      <c r="F196" s="3139">
        <v>360.5</v>
      </c>
      <c r="G196" s="1844">
        <v>354.9</v>
      </c>
      <c r="H196" s="1843">
        <v>354.85</v>
      </c>
      <c r="I196" s="3701">
        <v>440.29</v>
      </c>
      <c r="J196" s="1843">
        <v>331.32</v>
      </c>
      <c r="K196" s="3139">
        <v>355.52</v>
      </c>
      <c r="L196" s="1844">
        <v>361.52</v>
      </c>
      <c r="M196" s="1843">
        <v>442.12</v>
      </c>
      <c r="N196" s="3140">
        <v>339.21</v>
      </c>
    </row>
    <row r="197" spans="1:14" s="6" customFormat="1" ht="12.75" customHeight="1">
      <c r="A197" s="53">
        <f t="shared" si="0"/>
        <v>2008.08</v>
      </c>
      <c r="B197" s="2310">
        <v>353.09</v>
      </c>
      <c r="C197" s="1843">
        <v>352.46</v>
      </c>
      <c r="D197" s="3701">
        <v>409.4</v>
      </c>
      <c r="E197" s="1843">
        <v>337.43</v>
      </c>
      <c r="F197" s="3139">
        <v>361.09</v>
      </c>
      <c r="G197" s="1844">
        <v>356.92</v>
      </c>
      <c r="H197" s="1843">
        <v>356.99</v>
      </c>
      <c r="I197" s="3701">
        <v>441.24</v>
      </c>
      <c r="J197" s="1843">
        <v>333.8</v>
      </c>
      <c r="K197" s="3139">
        <v>356.06</v>
      </c>
      <c r="L197" s="1844">
        <v>361.18</v>
      </c>
      <c r="M197" s="1843">
        <v>440.81</v>
      </c>
      <c r="N197" s="3140">
        <v>339.14</v>
      </c>
    </row>
    <row r="198" spans="1:14" s="6" customFormat="1" ht="12.75" customHeight="1">
      <c r="A198" s="53">
        <f t="shared" si="0"/>
        <v>2008.09</v>
      </c>
      <c r="B198" s="2310">
        <v>355.06</v>
      </c>
      <c r="C198" s="1843">
        <v>354.55</v>
      </c>
      <c r="D198" s="3701">
        <v>408.14</v>
      </c>
      <c r="E198" s="1843">
        <v>340.4</v>
      </c>
      <c r="F198" s="3139">
        <v>361.59</v>
      </c>
      <c r="G198" s="1844">
        <v>358.39</v>
      </c>
      <c r="H198" s="1843">
        <v>358.53</v>
      </c>
      <c r="I198" s="3701">
        <v>437.36</v>
      </c>
      <c r="J198" s="1843">
        <v>336.82</v>
      </c>
      <c r="K198" s="3139">
        <v>356.69</v>
      </c>
      <c r="L198" s="1844">
        <v>361.94</v>
      </c>
      <c r="M198" s="1843">
        <v>436.06</v>
      </c>
      <c r="N198" s="3140">
        <v>341.43</v>
      </c>
    </row>
    <row r="199" spans="1:14" s="6" customFormat="1" ht="12.75" customHeight="1">
      <c r="A199" s="53">
        <f t="shared" si="0"/>
        <v>2008.1</v>
      </c>
      <c r="B199" s="2310">
        <v>357.02</v>
      </c>
      <c r="C199" s="1843">
        <v>356.51</v>
      </c>
      <c r="D199" s="3701">
        <v>409.38</v>
      </c>
      <c r="E199" s="1843">
        <v>342.55</v>
      </c>
      <c r="F199" s="3139">
        <v>363.45</v>
      </c>
      <c r="G199" s="1844">
        <v>357.92</v>
      </c>
      <c r="H199" s="1843">
        <v>357.88</v>
      </c>
      <c r="I199" s="3701">
        <v>426.53</v>
      </c>
      <c r="J199" s="1843">
        <v>338.97</v>
      </c>
      <c r="K199" s="3139">
        <v>358.52</v>
      </c>
      <c r="L199" s="1844">
        <v>360.02</v>
      </c>
      <c r="M199" s="1843">
        <v>421.73</v>
      </c>
      <c r="N199" s="3140">
        <v>342.95</v>
      </c>
    </row>
    <row r="200" spans="1:14" s="6" customFormat="1" ht="12.75" customHeight="1">
      <c r="A200" s="53">
        <f t="shared" si="0"/>
        <v>2008.11</v>
      </c>
      <c r="B200" s="2310">
        <v>356.03</v>
      </c>
      <c r="C200" s="1843">
        <v>355.27</v>
      </c>
      <c r="D200" s="3701">
        <v>401.5</v>
      </c>
      <c r="E200" s="1843">
        <v>343.06</v>
      </c>
      <c r="F200" s="3139">
        <v>365.71</v>
      </c>
      <c r="G200" s="1844">
        <v>355.87</v>
      </c>
      <c r="H200" s="1843">
        <v>355.47</v>
      </c>
      <c r="I200" s="3701">
        <v>413.93</v>
      </c>
      <c r="J200" s="1843">
        <v>339.37</v>
      </c>
      <c r="K200" s="3139">
        <v>360.86</v>
      </c>
      <c r="L200" s="1844">
        <v>356.83</v>
      </c>
      <c r="M200" s="1843">
        <v>409.6</v>
      </c>
      <c r="N200" s="3140">
        <v>342.23</v>
      </c>
    </row>
    <row r="201" spans="1:14" s="6" customFormat="1" ht="12.75" customHeight="1">
      <c r="A201" s="53">
        <f t="shared" si="0"/>
        <v>2008.12</v>
      </c>
      <c r="B201" s="2310">
        <v>355.1</v>
      </c>
      <c r="C201" s="1843">
        <v>354.58</v>
      </c>
      <c r="D201" s="3701">
        <v>401.27</v>
      </c>
      <c r="E201" s="1843">
        <v>342.25</v>
      </c>
      <c r="F201" s="3139">
        <v>361.81</v>
      </c>
      <c r="G201" s="1844">
        <v>354.45</v>
      </c>
      <c r="H201" s="1843">
        <v>354.24</v>
      </c>
      <c r="I201" s="3701">
        <v>411.53</v>
      </c>
      <c r="J201" s="1843">
        <v>338.47</v>
      </c>
      <c r="K201" s="3139">
        <v>356.99</v>
      </c>
      <c r="L201" s="1844">
        <v>355.09</v>
      </c>
      <c r="M201" s="1843">
        <v>406.93</v>
      </c>
      <c r="N201" s="3140">
        <v>340.74</v>
      </c>
    </row>
    <row r="202" spans="1:14" s="6" customFormat="1" ht="12.75" customHeight="1">
      <c r="A202" s="53">
        <f t="shared" si="0"/>
        <v>2009.01</v>
      </c>
      <c r="B202" s="2310">
        <v>354.81</v>
      </c>
      <c r="C202" s="1843">
        <v>354.75</v>
      </c>
      <c r="D202" s="3701">
        <v>406.13</v>
      </c>
      <c r="E202" s="1843">
        <v>341.19</v>
      </c>
      <c r="F202" s="3139">
        <v>355.6</v>
      </c>
      <c r="G202" s="1844">
        <v>356.18</v>
      </c>
      <c r="H202" s="1843">
        <v>356.62</v>
      </c>
      <c r="I202" s="3701">
        <v>426.8</v>
      </c>
      <c r="J202" s="1843">
        <v>337.29</v>
      </c>
      <c r="K202" s="3139">
        <v>350.77</v>
      </c>
      <c r="L202" s="1844">
        <v>358.05</v>
      </c>
      <c r="M202" s="1843">
        <v>425.65</v>
      </c>
      <c r="N202" s="3140">
        <v>339.34</v>
      </c>
    </row>
    <row r="203" spans="1:14" s="6" customFormat="1" ht="12.75" customHeight="1">
      <c r="A203" s="53">
        <f t="shared" si="0"/>
        <v>2009.02</v>
      </c>
      <c r="B203" s="2310">
        <v>355.31</v>
      </c>
      <c r="C203" s="1843">
        <v>355.88</v>
      </c>
      <c r="D203" s="3701">
        <v>411.1</v>
      </c>
      <c r="E203" s="1843">
        <v>341.3</v>
      </c>
      <c r="F203" s="3139">
        <v>348.08</v>
      </c>
      <c r="G203" s="1844">
        <v>356.79</v>
      </c>
      <c r="H203" s="1843">
        <v>357.88</v>
      </c>
      <c r="I203" s="3701">
        <v>433.12</v>
      </c>
      <c r="J203" s="1843">
        <v>337.16</v>
      </c>
      <c r="K203" s="3139">
        <v>343.38</v>
      </c>
      <c r="L203" s="1844">
        <v>359.44</v>
      </c>
      <c r="M203" s="1843">
        <v>432.41</v>
      </c>
      <c r="N203" s="3140">
        <v>339.24</v>
      </c>
    </row>
    <row r="204" spans="1:14" s="6" customFormat="1" ht="12.75" customHeight="1">
      <c r="A204" s="53">
        <f t="shared" si="0"/>
        <v>2009.03</v>
      </c>
      <c r="B204" s="2310">
        <v>359.38</v>
      </c>
      <c r="C204" s="1843">
        <v>360.07</v>
      </c>
      <c r="D204" s="3701">
        <v>426.14</v>
      </c>
      <c r="E204" s="1843">
        <v>342.63</v>
      </c>
      <c r="F204" s="3139">
        <v>350.62</v>
      </c>
      <c r="G204" s="1844">
        <v>360.5</v>
      </c>
      <c r="H204" s="1843">
        <v>361.68</v>
      </c>
      <c r="I204" s="3701">
        <v>446.36</v>
      </c>
      <c r="J204" s="1843">
        <v>338.37</v>
      </c>
      <c r="K204" s="3139">
        <v>345.94</v>
      </c>
      <c r="L204" s="1844">
        <v>362.87</v>
      </c>
      <c r="M204" s="1843">
        <v>443.89</v>
      </c>
      <c r="N204" s="3140">
        <v>340.45</v>
      </c>
    </row>
    <row r="205" spans="1:14" s="6" customFormat="1" ht="12.75" customHeight="1">
      <c r="A205" s="53">
        <f t="shared" si="0"/>
        <v>2009.04</v>
      </c>
      <c r="B205" s="2310">
        <v>361.08</v>
      </c>
      <c r="C205" s="1843">
        <v>362.22</v>
      </c>
      <c r="D205" s="3701">
        <v>424.79</v>
      </c>
      <c r="E205" s="1843">
        <v>345.7</v>
      </c>
      <c r="F205" s="3139">
        <v>346.55</v>
      </c>
      <c r="G205" s="1844">
        <v>363.17</v>
      </c>
      <c r="H205" s="1843">
        <v>364.83</v>
      </c>
      <c r="I205" s="3701">
        <v>451.05</v>
      </c>
      <c r="J205" s="1843">
        <v>341.08</v>
      </c>
      <c r="K205" s="3139">
        <v>342.71</v>
      </c>
      <c r="L205" s="1844">
        <v>367.35</v>
      </c>
      <c r="M205" s="1843">
        <v>450.96</v>
      </c>
      <c r="N205" s="3140">
        <v>344.21</v>
      </c>
    </row>
    <row r="206" spans="1:14" s="6" customFormat="1" ht="12.75" customHeight="1">
      <c r="A206" s="53">
        <f t="shared" si="0"/>
        <v>2009.05</v>
      </c>
      <c r="B206" s="2310">
        <v>362.8</v>
      </c>
      <c r="C206" s="1843">
        <v>364.03</v>
      </c>
      <c r="D206" s="3701">
        <v>422.04</v>
      </c>
      <c r="E206" s="1843">
        <v>348.71</v>
      </c>
      <c r="F206" s="3139">
        <v>347.18</v>
      </c>
      <c r="G206" s="1844">
        <v>365.55</v>
      </c>
      <c r="H206" s="1843">
        <v>367.36</v>
      </c>
      <c r="I206" s="3701">
        <v>454.03</v>
      </c>
      <c r="J206" s="1843">
        <v>343.5</v>
      </c>
      <c r="K206" s="3139">
        <v>343.22</v>
      </c>
      <c r="L206" s="1844">
        <v>371.31</v>
      </c>
      <c r="M206" s="1843">
        <v>456.78</v>
      </c>
      <c r="N206" s="3140">
        <v>347.65</v>
      </c>
    </row>
    <row r="207" spans="1:14" s="6" customFormat="1" ht="12.75" customHeight="1">
      <c r="A207" s="53">
        <f t="shared" si="0"/>
        <v>2009.06</v>
      </c>
      <c r="B207" s="2310">
        <v>366.9</v>
      </c>
      <c r="C207" s="1843">
        <v>368.46</v>
      </c>
      <c r="D207" s="3701">
        <v>428.43</v>
      </c>
      <c r="E207" s="1843">
        <v>352.62</v>
      </c>
      <c r="F207" s="3139">
        <v>347.1</v>
      </c>
      <c r="G207" s="1844">
        <v>369.99</v>
      </c>
      <c r="H207" s="1843">
        <v>372.16</v>
      </c>
      <c r="I207" s="3701">
        <v>465.33</v>
      </c>
      <c r="J207" s="1843">
        <v>346.51</v>
      </c>
      <c r="K207" s="3139">
        <v>343.11</v>
      </c>
      <c r="L207" s="1844">
        <v>376.56</v>
      </c>
      <c r="M207" s="1843">
        <v>468.91</v>
      </c>
      <c r="N207" s="3140">
        <v>350.99</v>
      </c>
    </row>
    <row r="208" spans="1:14" s="6" customFormat="1" ht="12.75" customHeight="1">
      <c r="A208" s="53">
        <f t="shared" si="0"/>
        <v>2009.07</v>
      </c>
      <c r="B208" s="2310">
        <v>371.47</v>
      </c>
      <c r="C208" s="1843">
        <v>373.04</v>
      </c>
      <c r="D208" s="3701">
        <v>436.54</v>
      </c>
      <c r="E208" s="1843">
        <v>356.27</v>
      </c>
      <c r="F208" s="3139">
        <v>351.54</v>
      </c>
      <c r="G208" s="1844">
        <v>373.83</v>
      </c>
      <c r="H208" s="1843">
        <v>375.95</v>
      </c>
      <c r="I208" s="3701">
        <v>470.65</v>
      </c>
      <c r="J208" s="1843">
        <v>349.88</v>
      </c>
      <c r="K208" s="3139">
        <v>347.57</v>
      </c>
      <c r="L208" s="1844">
        <v>379.42</v>
      </c>
      <c r="M208" s="1843">
        <v>472.53</v>
      </c>
      <c r="N208" s="3140">
        <v>353.65</v>
      </c>
    </row>
    <row r="209" spans="1:14" s="6" customFormat="1" ht="12.75" customHeight="1">
      <c r="A209" s="53">
        <f t="shared" si="0"/>
        <v>2009.08</v>
      </c>
      <c r="B209" s="2310">
        <v>375.34</v>
      </c>
      <c r="C209" s="1843">
        <v>376.99</v>
      </c>
      <c r="D209" s="3701">
        <v>439.56</v>
      </c>
      <c r="E209" s="1843">
        <v>360.47</v>
      </c>
      <c r="F209" s="3139">
        <v>354.43</v>
      </c>
      <c r="G209" s="1844">
        <v>377.95</v>
      </c>
      <c r="H209" s="1843">
        <v>380.18</v>
      </c>
      <c r="I209" s="3701">
        <v>475.34</v>
      </c>
      <c r="J209" s="1843">
        <v>353.98</v>
      </c>
      <c r="K209" s="3139">
        <v>350.34</v>
      </c>
      <c r="L209" s="1844">
        <v>383.47</v>
      </c>
      <c r="M209" s="1843">
        <v>477.19</v>
      </c>
      <c r="N209" s="3140">
        <v>357.53</v>
      </c>
    </row>
    <row r="210" spans="1:14" s="6" customFormat="1" ht="12.75" customHeight="1">
      <c r="A210" s="53">
        <f t="shared" si="0"/>
        <v>2009.09</v>
      </c>
      <c r="B210" s="2310">
        <v>379.18</v>
      </c>
      <c r="C210" s="1843">
        <v>380.78</v>
      </c>
      <c r="D210" s="3701">
        <v>444.58</v>
      </c>
      <c r="E210" s="1843">
        <v>363.93</v>
      </c>
      <c r="F210" s="3139">
        <v>358.92</v>
      </c>
      <c r="G210" s="1844">
        <v>381.48</v>
      </c>
      <c r="H210" s="1843">
        <v>383.65</v>
      </c>
      <c r="I210" s="3701">
        <v>478.71</v>
      </c>
      <c r="J210" s="1843">
        <v>357.48</v>
      </c>
      <c r="K210" s="3139">
        <v>354.62</v>
      </c>
      <c r="L210" s="1844">
        <v>386.98</v>
      </c>
      <c r="M210" s="1843">
        <v>479.54</v>
      </c>
      <c r="N210" s="3140">
        <v>361.37</v>
      </c>
    </row>
    <row r="211" spans="1:14" s="6" customFormat="1" ht="12.75" customHeight="1">
      <c r="A211" s="53">
        <f t="shared" si="0"/>
        <v>2009.1</v>
      </c>
      <c r="B211" s="2310">
        <v>382.69</v>
      </c>
      <c r="C211" s="1843">
        <v>384.52</v>
      </c>
      <c r="D211" s="3701">
        <v>450.9</v>
      </c>
      <c r="E211" s="1843">
        <v>366.99</v>
      </c>
      <c r="F211" s="3139">
        <v>359.45</v>
      </c>
      <c r="G211" s="1844">
        <v>385.46</v>
      </c>
      <c r="H211" s="1843">
        <v>387.93</v>
      </c>
      <c r="I211" s="3701">
        <v>488.23</v>
      </c>
      <c r="J211" s="1843">
        <v>360.31</v>
      </c>
      <c r="K211" s="3139">
        <v>355.01</v>
      </c>
      <c r="L211" s="1844">
        <v>391.23</v>
      </c>
      <c r="M211" s="1843">
        <v>489.69</v>
      </c>
      <c r="N211" s="3140">
        <v>363.98</v>
      </c>
    </row>
    <row r="212" spans="1:14" s="6" customFormat="1" ht="12.75" customHeight="1">
      <c r="A212" s="53">
        <f t="shared" si="0"/>
        <v>2009.11</v>
      </c>
      <c r="B212" s="2310">
        <v>386.72</v>
      </c>
      <c r="C212" s="1843">
        <v>388.68</v>
      </c>
      <c r="D212" s="3701">
        <v>456.03</v>
      </c>
      <c r="E212" s="1843">
        <v>370.9</v>
      </c>
      <c r="F212" s="3139">
        <v>361.8</v>
      </c>
      <c r="G212" s="1844">
        <v>389.62</v>
      </c>
      <c r="H212" s="1843">
        <v>392.24</v>
      </c>
      <c r="I212" s="3701">
        <v>494.59</v>
      </c>
      <c r="J212" s="1843">
        <v>364.05</v>
      </c>
      <c r="K212" s="3139">
        <v>357.26</v>
      </c>
      <c r="L212" s="1844">
        <v>395.63</v>
      </c>
      <c r="M212" s="1843">
        <v>496.14</v>
      </c>
      <c r="N212" s="3140">
        <v>367.81</v>
      </c>
    </row>
    <row r="213" spans="1:14" s="6" customFormat="1" ht="12.75" customHeight="1">
      <c r="A213" s="53">
        <f t="shared" si="0"/>
        <v>2009.12</v>
      </c>
      <c r="B213" s="2310">
        <v>391.56</v>
      </c>
      <c r="C213" s="1843">
        <v>394.1</v>
      </c>
      <c r="D213" s="3701">
        <v>467.44</v>
      </c>
      <c r="E213" s="1843">
        <v>374.74</v>
      </c>
      <c r="F213" s="3139">
        <v>359.27</v>
      </c>
      <c r="G213" s="1844">
        <v>395.13</v>
      </c>
      <c r="H213" s="1843">
        <v>398.39</v>
      </c>
      <c r="I213" s="3701">
        <v>508.9</v>
      </c>
      <c r="J213" s="1843">
        <v>367.96</v>
      </c>
      <c r="K213" s="3139">
        <v>354.84</v>
      </c>
      <c r="L213" s="1844">
        <v>401.75</v>
      </c>
      <c r="M213" s="1843">
        <v>509.66</v>
      </c>
      <c r="N213" s="3140">
        <v>371.88</v>
      </c>
    </row>
    <row r="214" spans="1:14" s="6" customFormat="1" ht="12.75" customHeight="1">
      <c r="A214" s="53">
        <f t="shared" si="0"/>
        <v>2010.01</v>
      </c>
      <c r="B214" s="2310">
        <v>396.84</v>
      </c>
      <c r="C214" s="1843">
        <v>399.15</v>
      </c>
      <c r="D214" s="3701">
        <v>478.62</v>
      </c>
      <c r="E214" s="1843">
        <v>378.17</v>
      </c>
      <c r="F214" s="3139">
        <v>367.41</v>
      </c>
      <c r="G214" s="1844">
        <v>400.6</v>
      </c>
      <c r="H214" s="1843">
        <v>403.67</v>
      </c>
      <c r="I214" s="3701">
        <v>520.55999999999995</v>
      </c>
      <c r="J214" s="1843">
        <v>371.49</v>
      </c>
      <c r="K214" s="3139">
        <v>362.6</v>
      </c>
      <c r="L214" s="1844">
        <v>406.47</v>
      </c>
      <c r="M214" s="1843">
        <v>519.9</v>
      </c>
      <c r="N214" s="3140">
        <v>375.07</v>
      </c>
    </row>
    <row r="215" spans="1:14" s="6" customFormat="1" ht="12.75" customHeight="1">
      <c r="A215" s="53">
        <f t="shared" si="0"/>
        <v>2010.02</v>
      </c>
      <c r="B215" s="2310">
        <v>402.94</v>
      </c>
      <c r="C215" s="1843">
        <v>405.67</v>
      </c>
      <c r="D215" s="3701">
        <v>490.06</v>
      </c>
      <c r="E215" s="1843">
        <v>383.4</v>
      </c>
      <c r="F215" s="3139">
        <v>368.2</v>
      </c>
      <c r="G215" s="1844">
        <v>406.2</v>
      </c>
      <c r="H215" s="1843">
        <v>409.66</v>
      </c>
      <c r="I215" s="3701">
        <v>528.79999999999995</v>
      </c>
      <c r="J215" s="1843">
        <v>376.85</v>
      </c>
      <c r="K215" s="3139">
        <v>363.4</v>
      </c>
      <c r="L215" s="1844">
        <v>411.61</v>
      </c>
      <c r="M215" s="1843">
        <v>524.88</v>
      </c>
      <c r="N215" s="3140">
        <v>380.26</v>
      </c>
    </row>
    <row r="216" spans="1:14" s="6" customFormat="1" ht="12.75" customHeight="1">
      <c r="A216" s="53">
        <f t="shared" si="0"/>
        <v>2010.03</v>
      </c>
      <c r="B216" s="2310">
        <v>409.06</v>
      </c>
      <c r="C216" s="1843">
        <v>411.49</v>
      </c>
      <c r="D216" s="3701">
        <v>498.56</v>
      </c>
      <c r="E216" s="1843">
        <v>388.51</v>
      </c>
      <c r="F216" s="3139">
        <v>378.05</v>
      </c>
      <c r="G216" s="1844">
        <v>411.58</v>
      </c>
      <c r="H216" s="1843">
        <v>414.69</v>
      </c>
      <c r="I216" s="3701">
        <v>534.28</v>
      </c>
      <c r="J216" s="1843">
        <v>381.77</v>
      </c>
      <c r="K216" s="3139">
        <v>373.13</v>
      </c>
      <c r="L216" s="1844">
        <v>415.36</v>
      </c>
      <c r="M216" s="1843">
        <v>528.02</v>
      </c>
      <c r="N216" s="3140">
        <v>384.18</v>
      </c>
    </row>
    <row r="217" spans="1:14" s="6" customFormat="1" ht="12.75" customHeight="1">
      <c r="A217" s="53">
        <f t="shared" si="0"/>
        <v>2010.04</v>
      </c>
      <c r="B217" s="2310">
        <v>413.79</v>
      </c>
      <c r="C217" s="1843">
        <v>416.28</v>
      </c>
      <c r="D217" s="3701">
        <v>500.92</v>
      </c>
      <c r="E217" s="1843">
        <v>393.93</v>
      </c>
      <c r="F217" s="3139">
        <v>382.1</v>
      </c>
      <c r="G217" s="1844">
        <v>416.09</v>
      </c>
      <c r="H217" s="1843">
        <v>419.24</v>
      </c>
      <c r="I217" s="3701">
        <v>536.79</v>
      </c>
      <c r="J217" s="1843">
        <v>386.87</v>
      </c>
      <c r="K217" s="3139">
        <v>377.16</v>
      </c>
      <c r="L217" s="1844">
        <v>420</v>
      </c>
      <c r="M217" s="1843">
        <v>530.79</v>
      </c>
      <c r="N217" s="3140">
        <v>389.33</v>
      </c>
    </row>
    <row r="218" spans="1:14" s="6" customFormat="1" ht="12.75" customHeight="1">
      <c r="A218" s="53">
        <f t="shared" si="0"/>
        <v>2010.05</v>
      </c>
      <c r="B218" s="2310">
        <v>418.79</v>
      </c>
      <c r="C218" s="1843">
        <v>421.37</v>
      </c>
      <c r="D218" s="3701">
        <v>504.36</v>
      </c>
      <c r="E218" s="1843">
        <v>399.46</v>
      </c>
      <c r="F218" s="3139">
        <v>386.01</v>
      </c>
      <c r="G218" s="1844">
        <v>421.08</v>
      </c>
      <c r="H218" s="1843">
        <v>424.32</v>
      </c>
      <c r="I218" s="3701">
        <v>540.89</v>
      </c>
      <c r="J218" s="1843">
        <v>392.23</v>
      </c>
      <c r="K218" s="3139">
        <v>381.03</v>
      </c>
      <c r="L218" s="1844">
        <v>424.97</v>
      </c>
      <c r="M218" s="1843">
        <v>534.95000000000005</v>
      </c>
      <c r="N218" s="3140">
        <v>394.53</v>
      </c>
    </row>
    <row r="219" spans="1:14" s="6" customFormat="1" ht="12.75" customHeight="1">
      <c r="A219" s="53">
        <f t="shared" si="0"/>
        <v>2010.06</v>
      </c>
      <c r="B219" s="2310">
        <v>423.88</v>
      </c>
      <c r="C219" s="1843">
        <v>426.81</v>
      </c>
      <c r="D219" s="3701">
        <v>512.05999999999995</v>
      </c>
      <c r="E219" s="1843">
        <v>404.31</v>
      </c>
      <c r="F219" s="3139">
        <v>386.64</v>
      </c>
      <c r="G219" s="1844">
        <v>426.1</v>
      </c>
      <c r="H219" s="1843">
        <v>429.68</v>
      </c>
      <c r="I219" s="3701">
        <v>549.48</v>
      </c>
      <c r="J219" s="1843">
        <v>396.69</v>
      </c>
      <c r="K219" s="3139">
        <v>381.79</v>
      </c>
      <c r="L219" s="1844">
        <v>430.19</v>
      </c>
      <c r="M219" s="1843">
        <v>543.41</v>
      </c>
      <c r="N219" s="3140">
        <v>398.85</v>
      </c>
    </row>
    <row r="220" spans="1:14" s="6" customFormat="1" ht="12.75" customHeight="1">
      <c r="A220" s="53">
        <f t="shared" si="0"/>
        <v>2010.07</v>
      </c>
      <c r="B220" s="2310">
        <v>427.98</v>
      </c>
      <c r="C220" s="1843">
        <v>431.21</v>
      </c>
      <c r="D220" s="3701">
        <v>515.92999999999995</v>
      </c>
      <c r="E220" s="1843">
        <v>408.84</v>
      </c>
      <c r="F220" s="3139">
        <v>386.86</v>
      </c>
      <c r="G220" s="1844">
        <v>430.56</v>
      </c>
      <c r="H220" s="1843">
        <v>434.48</v>
      </c>
      <c r="I220" s="3701">
        <v>556.83000000000004</v>
      </c>
      <c r="J220" s="1843">
        <v>400.8</v>
      </c>
      <c r="K220" s="3139">
        <v>382.03</v>
      </c>
      <c r="L220" s="1844">
        <v>435.64</v>
      </c>
      <c r="M220" s="1843">
        <v>551.5</v>
      </c>
      <c r="N220" s="3140">
        <v>403.58</v>
      </c>
    </row>
    <row r="221" spans="1:14" s="6" customFormat="1" ht="12.75" customHeight="1">
      <c r="A221" s="53">
        <f t="shared" si="0"/>
        <v>2010.08</v>
      </c>
      <c r="B221" s="2310">
        <v>432.25</v>
      </c>
      <c r="C221" s="1843">
        <v>435.83</v>
      </c>
      <c r="D221" s="3701">
        <v>528.05999999999995</v>
      </c>
      <c r="E221" s="1843">
        <v>411.48</v>
      </c>
      <c r="F221" s="3139">
        <v>386.81</v>
      </c>
      <c r="G221" s="1844">
        <v>436.62</v>
      </c>
      <c r="H221" s="1843">
        <v>441.04</v>
      </c>
      <c r="I221" s="3701">
        <v>578.25</v>
      </c>
      <c r="J221" s="1843">
        <v>403.26</v>
      </c>
      <c r="K221" s="3139">
        <v>382</v>
      </c>
      <c r="L221" s="1844">
        <v>443.18</v>
      </c>
      <c r="M221" s="1843">
        <v>575.41</v>
      </c>
      <c r="N221" s="3140">
        <v>406.58</v>
      </c>
    </row>
    <row r="222" spans="1:14" s="6" customFormat="1" ht="12.75" customHeight="1">
      <c r="A222" s="53">
        <f t="shared" si="0"/>
        <v>2010.09</v>
      </c>
      <c r="B222" s="2310">
        <v>436.28</v>
      </c>
      <c r="C222" s="1843">
        <v>440.04</v>
      </c>
      <c r="D222" s="3701">
        <v>538.54</v>
      </c>
      <c r="E222" s="1843">
        <v>414.04</v>
      </c>
      <c r="F222" s="3139">
        <v>388.44</v>
      </c>
      <c r="G222" s="1844">
        <v>441.13</v>
      </c>
      <c r="H222" s="1843">
        <v>445.79</v>
      </c>
      <c r="I222" s="3701">
        <v>591.39</v>
      </c>
      <c r="J222" s="1843">
        <v>405.7</v>
      </c>
      <c r="K222" s="3139">
        <v>383.6</v>
      </c>
      <c r="L222" s="1844">
        <v>448.34</v>
      </c>
      <c r="M222" s="1843">
        <v>589.57000000000005</v>
      </c>
      <c r="N222" s="3140">
        <v>409.25</v>
      </c>
    </row>
    <row r="223" spans="1:14" s="6" customFormat="1" ht="12.75" customHeight="1">
      <c r="A223" s="53">
        <f t="shared" si="0"/>
        <v>2010.1</v>
      </c>
      <c r="B223" s="2310">
        <v>440.23</v>
      </c>
      <c r="C223" s="1843">
        <v>443.84</v>
      </c>
      <c r="D223" s="3701">
        <v>543.91999999999996</v>
      </c>
      <c r="E223" s="1843">
        <v>417.42</v>
      </c>
      <c r="F223" s="3139">
        <v>394.26</v>
      </c>
      <c r="G223" s="1844">
        <v>446.26</v>
      </c>
      <c r="H223" s="1843">
        <v>450.86</v>
      </c>
      <c r="I223" s="3701">
        <v>602.48</v>
      </c>
      <c r="J223" s="1843">
        <v>409.11</v>
      </c>
      <c r="K223" s="3139">
        <v>389.43</v>
      </c>
      <c r="L223" s="1844">
        <v>454.32</v>
      </c>
      <c r="M223" s="1843">
        <v>601.64</v>
      </c>
      <c r="N223" s="3140">
        <v>413.55</v>
      </c>
    </row>
    <row r="224" spans="1:14" s="6" customFormat="1" ht="12.75" customHeight="1">
      <c r="A224" s="53">
        <f t="shared" si="0"/>
        <v>2010.11</v>
      </c>
      <c r="B224" s="2310">
        <v>444.38</v>
      </c>
      <c r="C224" s="1843">
        <v>448.04</v>
      </c>
      <c r="D224" s="3701">
        <v>548.91999999999996</v>
      </c>
      <c r="E224" s="1843">
        <v>421.41</v>
      </c>
      <c r="F224" s="3139">
        <v>397.75</v>
      </c>
      <c r="G224" s="1844">
        <v>452.4</v>
      </c>
      <c r="H224" s="1843">
        <v>457.21</v>
      </c>
      <c r="I224" s="3701">
        <v>617.54999999999995</v>
      </c>
      <c r="J224" s="1843">
        <v>413.06</v>
      </c>
      <c r="K224" s="3139">
        <v>392.95</v>
      </c>
      <c r="L224" s="1844">
        <v>461.18</v>
      </c>
      <c r="M224" s="1843">
        <v>619.37</v>
      </c>
      <c r="N224" s="3140">
        <v>417.4</v>
      </c>
    </row>
    <row r="225" spans="1:14" s="6" customFormat="1" ht="12.75" customHeight="1">
      <c r="A225" s="53">
        <f t="shared" si="0"/>
        <v>2010.12</v>
      </c>
      <c r="B225" s="2310">
        <v>448.57</v>
      </c>
      <c r="C225" s="1843">
        <v>452.16</v>
      </c>
      <c r="D225" s="3701">
        <v>552.02</v>
      </c>
      <c r="E225" s="1843">
        <v>425.79</v>
      </c>
      <c r="F225" s="3139">
        <v>402.94</v>
      </c>
      <c r="G225" s="1844">
        <v>457.03</v>
      </c>
      <c r="H225" s="1843">
        <v>461.79</v>
      </c>
      <c r="I225" s="3701">
        <v>623.58000000000004</v>
      </c>
      <c r="J225" s="1843">
        <v>417.24</v>
      </c>
      <c r="K225" s="3139">
        <v>398.15</v>
      </c>
      <c r="L225" s="1844">
        <v>466.17</v>
      </c>
      <c r="M225" s="1843">
        <v>626.83000000000004</v>
      </c>
      <c r="N225" s="3140">
        <v>421.7</v>
      </c>
    </row>
    <row r="226" spans="1:14" s="6" customFormat="1" ht="12.75" customHeight="1">
      <c r="A226" s="53">
        <f t="shared" si="0"/>
        <v>2011.01</v>
      </c>
      <c r="B226" s="2310">
        <v>453.48</v>
      </c>
      <c r="C226" s="1843">
        <v>457.16</v>
      </c>
      <c r="D226" s="3701">
        <v>558.05999999999995</v>
      </c>
      <c r="E226" s="1843">
        <v>430.53</v>
      </c>
      <c r="F226" s="3139">
        <v>406.69</v>
      </c>
      <c r="G226" s="1844">
        <v>462.89</v>
      </c>
      <c r="H226" s="1843">
        <v>467.83</v>
      </c>
      <c r="I226" s="3701">
        <v>636.16</v>
      </c>
      <c r="J226" s="1843">
        <v>421.48</v>
      </c>
      <c r="K226" s="3139">
        <v>401.8</v>
      </c>
      <c r="L226" s="1844">
        <v>473.08</v>
      </c>
      <c r="M226" s="1843">
        <v>642.64</v>
      </c>
      <c r="N226" s="3140">
        <v>426.15</v>
      </c>
    </row>
    <row r="227" spans="1:14" s="6" customFormat="1" ht="12.75" customHeight="1">
      <c r="A227" s="53">
        <f t="shared" si="0"/>
        <v>2011.02</v>
      </c>
      <c r="B227" s="2310">
        <v>457.7</v>
      </c>
      <c r="C227" s="1843">
        <v>461.22</v>
      </c>
      <c r="D227" s="3701">
        <v>561.51</v>
      </c>
      <c r="E227" s="1843">
        <v>434.75</v>
      </c>
      <c r="F227" s="3139">
        <v>412.96</v>
      </c>
      <c r="G227" s="1844">
        <v>467.08</v>
      </c>
      <c r="H227" s="1843">
        <v>471.88</v>
      </c>
      <c r="I227" s="3701">
        <v>639.61</v>
      </c>
      <c r="J227" s="1843">
        <v>425.7</v>
      </c>
      <c r="K227" s="3139">
        <v>407.77</v>
      </c>
      <c r="L227" s="1844">
        <v>477.23</v>
      </c>
      <c r="M227" s="1843">
        <v>646.51</v>
      </c>
      <c r="N227" s="3140">
        <v>430.38</v>
      </c>
    </row>
    <row r="228" spans="1:14" s="6" customFormat="1" ht="12.75" customHeight="1">
      <c r="A228" s="53">
        <f t="shared" si="0"/>
        <v>2011.03</v>
      </c>
      <c r="B228" s="2310">
        <v>462.1</v>
      </c>
      <c r="C228" s="1843">
        <v>465.74</v>
      </c>
      <c r="D228" s="3701">
        <v>573.28</v>
      </c>
      <c r="E228" s="1843">
        <v>437.35</v>
      </c>
      <c r="F228" s="3139">
        <v>415.82</v>
      </c>
      <c r="G228" s="1844">
        <v>469.71</v>
      </c>
      <c r="H228" s="1843">
        <v>474.49</v>
      </c>
      <c r="I228" s="3701">
        <v>642.72</v>
      </c>
      <c r="J228" s="1843">
        <v>428.17</v>
      </c>
      <c r="K228" s="3139">
        <v>410.55</v>
      </c>
      <c r="L228" s="1844">
        <v>478.69</v>
      </c>
      <c r="M228" s="1843">
        <v>646.49</v>
      </c>
      <c r="N228" s="3140">
        <v>432.24</v>
      </c>
    </row>
    <row r="229" spans="1:14" s="6" customFormat="1" ht="12.75" customHeight="1">
      <c r="A229" s="53">
        <f t="shared" si="0"/>
        <v>2011.04</v>
      </c>
      <c r="B229" s="2310">
        <v>466.74</v>
      </c>
      <c r="C229" s="1843">
        <v>470.61</v>
      </c>
      <c r="D229" s="3701">
        <v>573.79999999999995</v>
      </c>
      <c r="E229" s="1843">
        <v>443.37</v>
      </c>
      <c r="F229" s="3139">
        <v>417.49</v>
      </c>
      <c r="G229" s="1844">
        <v>474.19</v>
      </c>
      <c r="H229" s="1843">
        <v>479.21</v>
      </c>
      <c r="I229" s="3701">
        <v>645.27</v>
      </c>
      <c r="J229" s="1843">
        <v>433.49</v>
      </c>
      <c r="K229" s="3139">
        <v>412.19</v>
      </c>
      <c r="L229" s="1844">
        <v>483.43</v>
      </c>
      <c r="M229" s="1843">
        <v>649.9</v>
      </c>
      <c r="N229" s="3140">
        <v>437.35</v>
      </c>
    </row>
    <row r="230" spans="1:14" s="6" customFormat="1" ht="12.75" customHeight="1">
      <c r="A230" s="53">
        <f t="shared" si="0"/>
        <v>2011.05</v>
      </c>
      <c r="B230" s="2310">
        <v>471.54</v>
      </c>
      <c r="C230" s="1843">
        <v>475.52</v>
      </c>
      <c r="D230" s="3701">
        <v>577.70000000000005</v>
      </c>
      <c r="E230" s="1843">
        <v>448.54</v>
      </c>
      <c r="F230" s="3139">
        <v>420.92</v>
      </c>
      <c r="G230" s="1844">
        <v>478.58</v>
      </c>
      <c r="H230" s="1843">
        <v>483.68</v>
      </c>
      <c r="I230" s="3701">
        <v>647.22</v>
      </c>
      <c r="J230" s="1843">
        <v>438.65</v>
      </c>
      <c r="K230" s="3139">
        <v>415.58</v>
      </c>
      <c r="L230" s="1844">
        <v>487.32</v>
      </c>
      <c r="M230" s="1843">
        <v>650.45000000000005</v>
      </c>
      <c r="N230" s="3140">
        <v>442.17</v>
      </c>
    </row>
    <row r="231" spans="1:14" s="6" customFormat="1" ht="12.75" customHeight="1">
      <c r="A231" s="53">
        <f t="shared" si="0"/>
        <v>2011.06</v>
      </c>
      <c r="B231" s="2310">
        <v>476.92</v>
      </c>
      <c r="C231" s="1843">
        <v>481.1</v>
      </c>
      <c r="D231" s="3701">
        <v>582.82000000000005</v>
      </c>
      <c r="E231" s="1843">
        <v>454.24</v>
      </c>
      <c r="F231" s="3139">
        <v>423.8</v>
      </c>
      <c r="G231" s="1844">
        <v>484.04</v>
      </c>
      <c r="H231" s="1843">
        <v>489.34</v>
      </c>
      <c r="I231" s="3701">
        <v>653.29999999999995</v>
      </c>
      <c r="J231" s="1843">
        <v>444.2</v>
      </c>
      <c r="K231" s="3139">
        <v>418.55</v>
      </c>
      <c r="L231" s="1844">
        <v>492.97</v>
      </c>
      <c r="M231" s="1843">
        <v>655.49</v>
      </c>
      <c r="N231" s="3140">
        <v>447.99</v>
      </c>
    </row>
    <row r="232" spans="1:14" s="6" customFormat="1" ht="12.75" customHeight="1">
      <c r="A232" s="53">
        <f t="shared" si="0"/>
        <v>2011.07</v>
      </c>
      <c r="B232" s="2310">
        <v>481.72</v>
      </c>
      <c r="C232" s="1843">
        <v>486.01</v>
      </c>
      <c r="D232" s="3701">
        <v>588.77</v>
      </c>
      <c r="E232" s="1843">
        <v>458.88</v>
      </c>
      <c r="F232" s="3139">
        <v>427.19</v>
      </c>
      <c r="G232" s="1844">
        <v>488.76</v>
      </c>
      <c r="H232" s="1843">
        <v>494.16</v>
      </c>
      <c r="I232" s="3701">
        <v>659.39</v>
      </c>
      <c r="J232" s="1843">
        <v>448.67</v>
      </c>
      <c r="K232" s="3139">
        <v>421.99</v>
      </c>
      <c r="L232" s="1844">
        <v>497.71</v>
      </c>
      <c r="M232" s="1843">
        <v>660.72</v>
      </c>
      <c r="N232" s="3140">
        <v>452.59</v>
      </c>
    </row>
    <row r="233" spans="1:14" s="6" customFormat="1" ht="12.75" customHeight="1">
      <c r="A233" s="53">
        <f t="shared" si="0"/>
        <v>2011.08</v>
      </c>
      <c r="B233" s="2310">
        <v>486.61</v>
      </c>
      <c r="C233" s="1843">
        <v>491.07</v>
      </c>
      <c r="D233" s="3701">
        <v>596.61</v>
      </c>
      <c r="E233" s="1843">
        <v>463.2</v>
      </c>
      <c r="F233" s="3139">
        <v>429.83</v>
      </c>
      <c r="G233" s="1844">
        <v>493.62</v>
      </c>
      <c r="H233" s="1843">
        <v>499.21</v>
      </c>
      <c r="I233" s="3701">
        <v>668.18</v>
      </c>
      <c r="J233" s="1843">
        <v>452.68</v>
      </c>
      <c r="K233" s="3139">
        <v>424.61</v>
      </c>
      <c r="L233" s="1844">
        <v>502.64</v>
      </c>
      <c r="M233" s="1843">
        <v>669.55</v>
      </c>
      <c r="N233" s="3140">
        <v>456.44</v>
      </c>
    </row>
    <row r="234" spans="1:14" s="6" customFormat="1" ht="12.75" customHeight="1">
      <c r="A234" s="53">
        <f t="shared" si="0"/>
        <v>2011.09</v>
      </c>
      <c r="B234" s="2310">
        <v>491.6</v>
      </c>
      <c r="C234" s="1843">
        <v>496.2</v>
      </c>
      <c r="D234" s="3701">
        <v>605.1</v>
      </c>
      <c r="E234" s="1843">
        <v>467.46</v>
      </c>
      <c r="F234" s="3139">
        <v>433.06</v>
      </c>
      <c r="G234" s="1844">
        <v>498.75</v>
      </c>
      <c r="H234" s="1843">
        <v>504.5</v>
      </c>
      <c r="I234" s="3701">
        <v>677.61</v>
      </c>
      <c r="J234" s="1843">
        <v>456.83</v>
      </c>
      <c r="K234" s="3139">
        <v>427.75</v>
      </c>
      <c r="L234" s="1844">
        <v>507.83</v>
      </c>
      <c r="M234" s="1843">
        <v>678.82</v>
      </c>
      <c r="N234" s="3140">
        <v>460.5</v>
      </c>
    </row>
    <row r="235" spans="1:14" s="6" customFormat="1" ht="12.75" customHeight="1">
      <c r="A235" s="53">
        <f t="shared" si="0"/>
        <v>2011.1</v>
      </c>
      <c r="B235" s="2310">
        <v>496.08</v>
      </c>
      <c r="C235" s="1843">
        <v>501.09</v>
      </c>
      <c r="D235" s="3701">
        <v>617.79999999999995</v>
      </c>
      <c r="E235" s="1843">
        <v>470.28</v>
      </c>
      <c r="F235" s="3139">
        <v>432.36</v>
      </c>
      <c r="G235" s="1844">
        <v>502.39</v>
      </c>
      <c r="H235" s="1843">
        <v>508.47</v>
      </c>
      <c r="I235" s="3701">
        <v>685.78</v>
      </c>
      <c r="J235" s="1843">
        <v>459.65</v>
      </c>
      <c r="K235" s="3139">
        <v>427.26</v>
      </c>
      <c r="L235" s="1844">
        <v>511.25</v>
      </c>
      <c r="M235" s="1843">
        <v>686.04</v>
      </c>
      <c r="N235" s="3140">
        <v>462.87</v>
      </c>
    </row>
    <row r="236" spans="1:14" s="6" customFormat="1" ht="12.75" customHeight="1">
      <c r="A236" s="53">
        <f t="shared" si="0"/>
        <v>2011.11</v>
      </c>
      <c r="B236" s="2310">
        <v>500.81</v>
      </c>
      <c r="C236" s="1843">
        <v>505.98</v>
      </c>
      <c r="D236" s="3701">
        <v>625.29999999999995</v>
      </c>
      <c r="E236" s="1843">
        <v>474.48</v>
      </c>
      <c r="F236" s="3139">
        <v>435.06</v>
      </c>
      <c r="G236" s="1844">
        <v>506.87</v>
      </c>
      <c r="H236" s="1843">
        <v>513.08000000000004</v>
      </c>
      <c r="I236" s="3701">
        <v>693.35</v>
      </c>
      <c r="J236" s="1843">
        <v>463.45</v>
      </c>
      <c r="K236" s="3139">
        <v>430.02</v>
      </c>
      <c r="L236" s="1844">
        <v>515.57000000000005</v>
      </c>
      <c r="M236" s="1843">
        <v>693.84</v>
      </c>
      <c r="N236" s="3140">
        <v>466.22</v>
      </c>
    </row>
    <row r="237" spans="1:14" s="6" customFormat="1" ht="12.75" customHeight="1">
      <c r="A237" s="53">
        <f t="shared" si="0"/>
        <v>2011.12</v>
      </c>
      <c r="B237" s="2310">
        <v>505.42</v>
      </c>
      <c r="C237" s="1843">
        <v>510.7</v>
      </c>
      <c r="D237" s="3701">
        <v>628.24</v>
      </c>
      <c r="E237" s="1843">
        <v>479.67</v>
      </c>
      <c r="F237" s="3139">
        <v>438.15</v>
      </c>
      <c r="G237" s="1844">
        <v>510.03</v>
      </c>
      <c r="H237" s="1843">
        <v>516.23</v>
      </c>
      <c r="I237" s="3701">
        <v>689.24</v>
      </c>
      <c r="J237" s="1843">
        <v>468.6</v>
      </c>
      <c r="K237" s="3139">
        <v>433.31</v>
      </c>
      <c r="L237" s="1844">
        <v>517.91999999999996</v>
      </c>
      <c r="M237" s="1843">
        <v>689.76</v>
      </c>
      <c r="N237" s="3140">
        <v>470.36</v>
      </c>
    </row>
    <row r="238" spans="1:14" s="6" customFormat="1" ht="12.75" customHeight="1">
      <c r="A238" s="53">
        <f t="shared" si="0"/>
        <v>2012.01</v>
      </c>
      <c r="B238" s="2310">
        <v>510.26</v>
      </c>
      <c r="C238" s="1843">
        <v>515.70000000000005</v>
      </c>
      <c r="D238" s="3701">
        <v>630.67999999999995</v>
      </c>
      <c r="E238" s="1843">
        <v>485.35</v>
      </c>
      <c r="F238" s="3139">
        <v>441.02</v>
      </c>
      <c r="G238" s="1844">
        <v>516.16999999999996</v>
      </c>
      <c r="H238" s="1843">
        <v>522.65</v>
      </c>
      <c r="I238" s="3701">
        <v>699.35</v>
      </c>
      <c r="J238" s="1843">
        <v>474</v>
      </c>
      <c r="K238" s="3139">
        <v>436.05</v>
      </c>
      <c r="L238" s="1844">
        <v>525.42999999999995</v>
      </c>
      <c r="M238" s="1843">
        <v>703.92</v>
      </c>
      <c r="N238" s="3140">
        <v>476.02</v>
      </c>
    </row>
    <row r="239" spans="1:14" s="6" customFormat="1" ht="12.75" customHeight="1">
      <c r="A239" s="53">
        <f t="shared" si="0"/>
        <v>2012.02</v>
      </c>
      <c r="B239" s="2310">
        <v>515.29999999999995</v>
      </c>
      <c r="C239" s="1843">
        <v>520.99</v>
      </c>
      <c r="D239" s="3701">
        <v>644.29</v>
      </c>
      <c r="E239" s="1843">
        <v>488.44</v>
      </c>
      <c r="F239" s="3139">
        <v>442.96</v>
      </c>
      <c r="G239" s="1844">
        <v>521.71</v>
      </c>
      <c r="H239" s="1843">
        <v>528.49</v>
      </c>
      <c r="I239" s="3701">
        <v>715.11</v>
      </c>
      <c r="J239" s="1843">
        <v>477.11</v>
      </c>
      <c r="K239" s="3139">
        <v>437.92</v>
      </c>
      <c r="L239" s="1844">
        <v>531.88</v>
      </c>
      <c r="M239" s="1843">
        <v>719.32</v>
      </c>
      <c r="N239" s="3140">
        <v>480</v>
      </c>
    </row>
    <row r="240" spans="1:14" s="6" customFormat="1" ht="12.75" customHeight="1">
      <c r="A240" s="53">
        <f t="shared" si="0"/>
        <v>2012.03</v>
      </c>
      <c r="B240" s="2310">
        <v>521.39</v>
      </c>
      <c r="C240" s="1843">
        <v>527.07000000000005</v>
      </c>
      <c r="D240" s="3701">
        <v>655.12</v>
      </c>
      <c r="E240" s="1843">
        <v>493.27</v>
      </c>
      <c r="F240" s="3139">
        <v>449.09</v>
      </c>
      <c r="G240" s="1844">
        <v>527.82000000000005</v>
      </c>
      <c r="H240" s="1843">
        <v>534.61</v>
      </c>
      <c r="I240" s="3701">
        <v>727.88</v>
      </c>
      <c r="J240" s="1843">
        <v>481.39</v>
      </c>
      <c r="K240" s="3139">
        <v>443.96</v>
      </c>
      <c r="L240" s="1844">
        <v>537.83000000000004</v>
      </c>
      <c r="M240" s="1843">
        <v>729.61</v>
      </c>
      <c r="N240" s="3140">
        <v>484.75</v>
      </c>
    </row>
    <row r="241" spans="1:14" s="6" customFormat="1" ht="12.75" customHeight="1">
      <c r="A241" s="53">
        <f t="shared" si="0"/>
        <v>2012.04</v>
      </c>
      <c r="B241" s="2310">
        <v>527.29</v>
      </c>
      <c r="C241" s="1843">
        <v>533.05999999999995</v>
      </c>
      <c r="D241" s="3701">
        <v>655.93</v>
      </c>
      <c r="E241" s="1843">
        <v>500.62</v>
      </c>
      <c r="F241" s="3139">
        <v>453.9</v>
      </c>
      <c r="G241" s="1844">
        <v>534.45000000000005</v>
      </c>
      <c r="H241" s="1843">
        <v>541.4</v>
      </c>
      <c r="I241" s="3701">
        <v>734.81</v>
      </c>
      <c r="J241" s="1843">
        <v>488.14</v>
      </c>
      <c r="K241" s="3139">
        <v>448.53</v>
      </c>
      <c r="L241" s="1844">
        <v>545.29</v>
      </c>
      <c r="M241" s="1843">
        <v>737.46</v>
      </c>
      <c r="N241" s="3140">
        <v>492.1</v>
      </c>
    </row>
    <row r="242" spans="1:14" s="6" customFormat="1" ht="12.75" customHeight="1">
      <c r="A242" s="53">
        <f t="shared" si="0"/>
        <v>2012.05</v>
      </c>
      <c r="B242" s="2310">
        <v>532.66999999999996</v>
      </c>
      <c r="C242" s="1843">
        <v>538.57000000000005</v>
      </c>
      <c r="D242" s="3701">
        <v>658.91</v>
      </c>
      <c r="E242" s="1843">
        <v>506.8</v>
      </c>
      <c r="F242" s="3139">
        <v>457.63</v>
      </c>
      <c r="G242" s="1844">
        <v>539.74</v>
      </c>
      <c r="H242" s="1843">
        <v>546.83000000000004</v>
      </c>
      <c r="I242" s="3701">
        <v>738.27</v>
      </c>
      <c r="J242" s="1843">
        <v>494.12</v>
      </c>
      <c r="K242" s="3139">
        <v>452.13</v>
      </c>
      <c r="L242" s="1844">
        <v>550.66</v>
      </c>
      <c r="M242" s="1843">
        <v>740.77</v>
      </c>
      <c r="N242" s="3140">
        <v>498.04</v>
      </c>
    </row>
    <row r="243" spans="1:14" s="6" customFormat="1" ht="12.75" customHeight="1">
      <c r="A243" s="53">
        <f t="shared" si="0"/>
        <v>2012.06</v>
      </c>
      <c r="B243" s="2310">
        <v>537.95000000000005</v>
      </c>
      <c r="C243" s="1843">
        <v>544.01</v>
      </c>
      <c r="D243" s="3701">
        <v>665.29</v>
      </c>
      <c r="E243" s="1843">
        <v>512</v>
      </c>
      <c r="F243" s="3139">
        <v>460.86</v>
      </c>
      <c r="G243" s="1844">
        <v>545.08000000000004</v>
      </c>
      <c r="H243" s="1843">
        <v>552.32000000000005</v>
      </c>
      <c r="I243" s="3701">
        <v>744.31</v>
      </c>
      <c r="J243" s="1843">
        <v>499.46</v>
      </c>
      <c r="K243" s="3139">
        <v>455.56</v>
      </c>
      <c r="L243" s="1844">
        <v>556.1</v>
      </c>
      <c r="M243" s="1843">
        <v>746.08</v>
      </c>
      <c r="N243" s="3140">
        <v>503.51</v>
      </c>
    </row>
    <row r="244" spans="1:14" s="6" customFormat="1" ht="12.75" customHeight="1">
      <c r="A244" s="53">
        <f t="shared" si="0"/>
        <v>2012.07</v>
      </c>
      <c r="B244" s="2310">
        <v>543.16999999999996</v>
      </c>
      <c r="C244" s="1843">
        <v>549.41</v>
      </c>
      <c r="D244" s="3701">
        <v>667.06</v>
      </c>
      <c r="E244" s="1843">
        <v>518.35</v>
      </c>
      <c r="F244" s="3139">
        <v>463.79</v>
      </c>
      <c r="G244" s="1844">
        <v>551.69000000000005</v>
      </c>
      <c r="H244" s="1843">
        <v>559.22</v>
      </c>
      <c r="I244" s="3701">
        <v>753.6</v>
      </c>
      <c r="J244" s="1843">
        <v>505.7</v>
      </c>
      <c r="K244" s="3139">
        <v>458.55</v>
      </c>
      <c r="L244" s="1844">
        <v>565.13</v>
      </c>
      <c r="M244" s="1843">
        <v>758.76</v>
      </c>
      <c r="N244" s="3140">
        <v>511.54</v>
      </c>
    </row>
    <row r="245" spans="1:14" s="6" customFormat="1" ht="12.75" customHeight="1">
      <c r="A245" s="53">
        <f t="shared" si="0"/>
        <v>2012.08</v>
      </c>
      <c r="B245" s="2310">
        <v>548.79</v>
      </c>
      <c r="C245" s="1843">
        <v>555.22</v>
      </c>
      <c r="D245" s="3701">
        <v>674.26</v>
      </c>
      <c r="E245" s="1843">
        <v>523.79</v>
      </c>
      <c r="F245" s="3139">
        <v>466.95</v>
      </c>
      <c r="G245" s="1844">
        <v>558.38</v>
      </c>
      <c r="H245" s="1843">
        <v>566.19000000000005</v>
      </c>
      <c r="I245" s="3701">
        <v>765.83</v>
      </c>
      <c r="J245" s="1843">
        <v>511.21</v>
      </c>
      <c r="K245" s="3139">
        <v>461.86</v>
      </c>
      <c r="L245" s="1844">
        <v>573.12</v>
      </c>
      <c r="M245" s="1843">
        <v>772.48</v>
      </c>
      <c r="N245" s="3140">
        <v>517.94000000000005</v>
      </c>
    </row>
    <row r="246" spans="1:14" s="6" customFormat="1" ht="12.75" customHeight="1">
      <c r="A246" s="53">
        <f t="shared" si="0"/>
        <v>2012.09</v>
      </c>
      <c r="B246" s="2310">
        <v>554.9</v>
      </c>
      <c r="C246" s="1843">
        <v>561.63</v>
      </c>
      <c r="D246" s="3701">
        <v>685.84</v>
      </c>
      <c r="E246" s="1843">
        <v>528.84</v>
      </c>
      <c r="F246" s="3139">
        <v>469.29</v>
      </c>
      <c r="G246" s="1844">
        <v>565.02</v>
      </c>
      <c r="H246" s="1843">
        <v>573.16999999999996</v>
      </c>
      <c r="I246" s="3701">
        <v>779.48</v>
      </c>
      <c r="J246" s="1843">
        <v>516.37</v>
      </c>
      <c r="K246" s="3139">
        <v>464.25</v>
      </c>
      <c r="L246" s="1844">
        <v>580.4</v>
      </c>
      <c r="M246" s="1843">
        <v>787</v>
      </c>
      <c r="N246" s="3140">
        <v>523.21</v>
      </c>
    </row>
    <row r="247" spans="1:14" s="6" customFormat="1" ht="12.75" customHeight="1">
      <c r="A247" s="53">
        <f t="shared" si="0"/>
        <v>2012.1</v>
      </c>
      <c r="B247" s="2310">
        <v>560.64</v>
      </c>
      <c r="C247" s="1843">
        <v>567.41</v>
      </c>
      <c r="D247" s="3701">
        <v>693.53</v>
      </c>
      <c r="E247" s="1843">
        <v>534.12</v>
      </c>
      <c r="F247" s="3139">
        <v>474.39</v>
      </c>
      <c r="G247" s="1844">
        <v>570.79999999999995</v>
      </c>
      <c r="H247" s="1843">
        <v>579</v>
      </c>
      <c r="I247" s="3701">
        <v>788.09</v>
      </c>
      <c r="J247" s="1843">
        <v>521.41999999999996</v>
      </c>
      <c r="K247" s="3139">
        <v>469.53</v>
      </c>
      <c r="L247" s="1844">
        <v>585.73</v>
      </c>
      <c r="M247" s="1843">
        <v>796.09</v>
      </c>
      <c r="N247" s="3140">
        <v>527.51</v>
      </c>
    </row>
    <row r="248" spans="1:14" s="6" customFormat="1" ht="12.75" customHeight="1">
      <c r="A248" s="53">
        <f t="shared" si="0"/>
        <v>2012.11</v>
      </c>
      <c r="B248" s="2310">
        <v>566.27</v>
      </c>
      <c r="C248" s="1843">
        <v>573.27</v>
      </c>
      <c r="D248" s="3701">
        <v>696.76</v>
      </c>
      <c r="E248" s="1843">
        <v>540.66999999999996</v>
      </c>
      <c r="F248" s="3139">
        <v>477.19</v>
      </c>
      <c r="G248" s="1844">
        <v>576.70000000000005</v>
      </c>
      <c r="H248" s="1843">
        <v>585.15</v>
      </c>
      <c r="I248" s="3701">
        <v>793.21</v>
      </c>
      <c r="J248" s="1843">
        <v>527.86</v>
      </c>
      <c r="K248" s="3139">
        <v>472.26</v>
      </c>
      <c r="L248" s="1844">
        <v>591.9</v>
      </c>
      <c r="M248" s="1843">
        <v>802.49</v>
      </c>
      <c r="N248" s="3140">
        <v>533.61</v>
      </c>
    </row>
    <row r="249" spans="1:14" s="6" customFormat="1" ht="12.75" customHeight="1">
      <c r="A249" s="53">
        <f t="shared" si="0"/>
        <v>2012.12</v>
      </c>
      <c r="B249" s="2310">
        <v>571.77</v>
      </c>
      <c r="C249" s="1843">
        <v>578.91999999999996</v>
      </c>
      <c r="D249" s="3701">
        <v>704.37</v>
      </c>
      <c r="E249" s="1843">
        <v>545.79999999999995</v>
      </c>
      <c r="F249" s="3139">
        <v>480.84</v>
      </c>
      <c r="G249" s="1844">
        <v>582.85</v>
      </c>
      <c r="H249" s="1843">
        <v>591.52</v>
      </c>
      <c r="I249" s="3701">
        <v>803.64</v>
      </c>
      <c r="J249" s="1843">
        <v>533.11</v>
      </c>
      <c r="K249" s="3139">
        <v>475.75</v>
      </c>
      <c r="L249" s="1844">
        <v>599.13</v>
      </c>
      <c r="M249" s="1843">
        <v>813.94</v>
      </c>
      <c r="N249" s="3140">
        <v>539.66999999999996</v>
      </c>
    </row>
    <row r="250" spans="1:14" s="6" customFormat="1" ht="12.75" customHeight="1">
      <c r="A250" s="53">
        <f t="shared" si="0"/>
        <v>2013.01</v>
      </c>
      <c r="B250" s="2310">
        <v>577.58000000000004</v>
      </c>
      <c r="C250" s="1843">
        <v>584.79</v>
      </c>
      <c r="D250" s="3701">
        <v>717.96</v>
      </c>
      <c r="E250" s="1843">
        <v>549.64</v>
      </c>
      <c r="F250" s="3139">
        <v>485.74</v>
      </c>
      <c r="G250" s="1844">
        <v>586.37</v>
      </c>
      <c r="H250" s="1843">
        <v>594.91999999999996</v>
      </c>
      <c r="I250" s="3701">
        <v>806.51</v>
      </c>
      <c r="J250" s="1843">
        <v>536.66</v>
      </c>
      <c r="K250" s="3139">
        <v>480.6</v>
      </c>
      <c r="L250" s="1844">
        <v>601.41</v>
      </c>
      <c r="M250" s="1843">
        <v>813.5</v>
      </c>
      <c r="N250" s="3140">
        <v>542.71</v>
      </c>
    </row>
    <row r="251" spans="1:14" s="6" customFormat="1" ht="12.75" customHeight="1">
      <c r="A251" s="53">
        <f t="shared" si="0"/>
        <v>2013.02</v>
      </c>
      <c r="B251" s="2310">
        <v>583.67999999999995</v>
      </c>
      <c r="C251" s="1843">
        <v>590.74</v>
      </c>
      <c r="D251" s="3701">
        <v>725.41</v>
      </c>
      <c r="E251" s="1843">
        <v>555.19000000000005</v>
      </c>
      <c r="F251" s="3139">
        <v>493.93</v>
      </c>
      <c r="G251" s="1844">
        <v>594.51</v>
      </c>
      <c r="H251" s="1843">
        <v>603.05999999999995</v>
      </c>
      <c r="I251" s="3701">
        <v>824.3</v>
      </c>
      <c r="J251" s="1843">
        <v>542.14</v>
      </c>
      <c r="K251" s="3139">
        <v>488.86</v>
      </c>
      <c r="L251" s="1844">
        <v>609.49</v>
      </c>
      <c r="M251" s="1843">
        <v>833.53</v>
      </c>
      <c r="N251" s="3140">
        <v>547.48</v>
      </c>
    </row>
    <row r="252" spans="1:14" s="6" customFormat="1" ht="12.75" customHeight="1">
      <c r="A252" s="53">
        <f t="shared" si="0"/>
        <v>2013.03</v>
      </c>
      <c r="B252" s="2310">
        <v>589.55999999999995</v>
      </c>
      <c r="C252" s="1843">
        <v>596.82000000000005</v>
      </c>
      <c r="D252" s="3701">
        <v>734.51</v>
      </c>
      <c r="E252" s="1843">
        <v>560.47</v>
      </c>
      <c r="F252" s="3139">
        <v>497.17</v>
      </c>
      <c r="G252" s="1844">
        <v>600.12</v>
      </c>
      <c r="H252" s="1843">
        <v>608.87</v>
      </c>
      <c r="I252" s="3701">
        <v>832.63</v>
      </c>
      <c r="J252" s="1843">
        <v>547.26</v>
      </c>
      <c r="K252" s="3139">
        <v>491.98</v>
      </c>
      <c r="L252" s="1844">
        <v>614.89</v>
      </c>
      <c r="M252" s="1843">
        <v>840.85</v>
      </c>
      <c r="N252" s="3140">
        <v>552.35</v>
      </c>
    </row>
    <row r="253" spans="1:14" s="6" customFormat="1" ht="12.75" customHeight="1">
      <c r="A253" s="53">
        <f t="shared" si="0"/>
        <v>2013.04</v>
      </c>
      <c r="B253" s="2310">
        <v>595.22</v>
      </c>
      <c r="C253" s="1843">
        <v>602.27</v>
      </c>
      <c r="D253" s="3701">
        <v>738.8</v>
      </c>
      <c r="E253" s="1843">
        <v>566.22</v>
      </c>
      <c r="F253" s="3139">
        <v>505.59</v>
      </c>
      <c r="G253" s="1844">
        <v>604.6</v>
      </c>
      <c r="H253" s="1843">
        <v>613.03</v>
      </c>
      <c r="I253" s="3701">
        <v>832.07</v>
      </c>
      <c r="J253" s="1843">
        <v>552.72</v>
      </c>
      <c r="K253" s="3139">
        <v>500.37</v>
      </c>
      <c r="L253" s="1844">
        <v>618.32000000000005</v>
      </c>
      <c r="M253" s="1843">
        <v>838.21</v>
      </c>
      <c r="N253" s="3140">
        <v>557.47</v>
      </c>
    </row>
    <row r="254" spans="1:14" s="6" customFormat="1" ht="12.75" customHeight="1">
      <c r="A254" s="53">
        <f t="shared" ref="A254:A285" si="1">A242+1</f>
        <v>2013.05</v>
      </c>
      <c r="B254" s="2310">
        <v>602.70000000000005</v>
      </c>
      <c r="C254" s="1843">
        <v>609.92999999999995</v>
      </c>
      <c r="D254" s="3701">
        <v>741.64</v>
      </c>
      <c r="E254" s="1843">
        <v>575.16</v>
      </c>
      <c r="F254" s="3139">
        <v>510.7</v>
      </c>
      <c r="G254" s="1844">
        <v>612.32000000000005</v>
      </c>
      <c r="H254" s="1843">
        <v>620.99</v>
      </c>
      <c r="I254" s="3701">
        <v>839.33</v>
      </c>
      <c r="J254" s="1843">
        <v>560.88</v>
      </c>
      <c r="K254" s="3139">
        <v>505.07</v>
      </c>
      <c r="L254" s="1844">
        <v>626.73</v>
      </c>
      <c r="M254" s="1843">
        <v>846.62</v>
      </c>
      <c r="N254" s="3140">
        <v>565.86</v>
      </c>
    </row>
    <row r="255" spans="1:14" s="6" customFormat="1" ht="12.75" customHeight="1">
      <c r="A255" s="53">
        <f t="shared" si="1"/>
        <v>2013.06</v>
      </c>
      <c r="B255" s="2310">
        <v>610.80999999999995</v>
      </c>
      <c r="C255" s="1843">
        <v>618.49</v>
      </c>
      <c r="D255" s="3701">
        <v>749.02</v>
      </c>
      <c r="E255" s="1843">
        <v>584.03</v>
      </c>
      <c r="F255" s="3139">
        <v>513.1</v>
      </c>
      <c r="G255" s="1844">
        <v>630.65</v>
      </c>
      <c r="H255" s="1843">
        <v>640.61</v>
      </c>
      <c r="I255" s="3701">
        <v>897.12</v>
      </c>
      <c r="J255" s="1843">
        <v>569.98</v>
      </c>
      <c r="K255" s="3139">
        <v>507.52</v>
      </c>
      <c r="L255" s="1844">
        <v>649.14</v>
      </c>
      <c r="M255" s="1843">
        <v>917.06</v>
      </c>
      <c r="N255" s="3140">
        <v>574.98</v>
      </c>
    </row>
    <row r="256" spans="1:14" s="6" customFormat="1" ht="12.75" customHeight="1">
      <c r="A256" s="53">
        <f t="shared" si="1"/>
        <v>2013.07</v>
      </c>
      <c r="B256" s="2310">
        <v>617.73</v>
      </c>
      <c r="C256" s="1843">
        <v>625.42999999999995</v>
      </c>
      <c r="D256" s="3701">
        <v>756.58</v>
      </c>
      <c r="E256" s="1843">
        <v>590.79999999999995</v>
      </c>
      <c r="F256" s="3139">
        <v>519.82000000000005</v>
      </c>
      <c r="G256" s="1844">
        <v>636.16</v>
      </c>
      <c r="H256" s="1843">
        <v>646.02</v>
      </c>
      <c r="I256" s="3701">
        <v>898.09</v>
      </c>
      <c r="J256" s="1843">
        <v>576.62</v>
      </c>
      <c r="K256" s="3139">
        <v>514.29999999999995</v>
      </c>
      <c r="L256" s="1844">
        <v>653.79999999999995</v>
      </c>
      <c r="M256" s="1843">
        <v>915.7</v>
      </c>
      <c r="N256" s="3140">
        <v>581.29999999999995</v>
      </c>
    </row>
    <row r="257" spans="1:14" s="6" customFormat="1" ht="12.75" customHeight="1">
      <c r="A257" s="53">
        <f t="shared" si="1"/>
        <v>2013.08</v>
      </c>
      <c r="B257" s="2310">
        <v>624.72</v>
      </c>
      <c r="C257" s="1843">
        <v>632.13</v>
      </c>
      <c r="D257" s="3701">
        <v>769.58</v>
      </c>
      <c r="E257" s="1843">
        <v>595.84</v>
      </c>
      <c r="F257" s="3139">
        <v>530.4</v>
      </c>
      <c r="G257" s="1844">
        <v>642.48</v>
      </c>
      <c r="H257" s="1843">
        <v>652.01</v>
      </c>
      <c r="I257" s="3701">
        <v>907.58</v>
      </c>
      <c r="J257" s="1843">
        <v>581.65</v>
      </c>
      <c r="K257" s="3139">
        <v>524.65</v>
      </c>
      <c r="L257" s="1844">
        <v>658.97</v>
      </c>
      <c r="M257" s="1843">
        <v>923.3</v>
      </c>
      <c r="N257" s="3140">
        <v>585.80999999999995</v>
      </c>
    </row>
    <row r="258" spans="1:14" s="6" customFormat="1" ht="12.75" customHeight="1">
      <c r="A258" s="53">
        <f t="shared" si="1"/>
        <v>2013.09</v>
      </c>
      <c r="B258" s="2310">
        <v>631.54999999999995</v>
      </c>
      <c r="C258" s="1843">
        <v>638.79</v>
      </c>
      <c r="D258" s="3701">
        <v>780.57</v>
      </c>
      <c r="E258" s="1843">
        <v>601.37</v>
      </c>
      <c r="F258" s="3139">
        <v>539.38</v>
      </c>
      <c r="G258" s="1844">
        <v>650.91999999999996</v>
      </c>
      <c r="H258" s="1843">
        <v>660.44</v>
      </c>
      <c r="I258" s="3701">
        <v>926.82</v>
      </c>
      <c r="J258" s="1843">
        <v>587.09</v>
      </c>
      <c r="K258" s="3139">
        <v>533.25</v>
      </c>
      <c r="L258" s="1844">
        <v>668.8</v>
      </c>
      <c r="M258" s="1843">
        <v>944.92</v>
      </c>
      <c r="N258" s="3140">
        <v>592.37</v>
      </c>
    </row>
    <row r="259" spans="1:14" s="6" customFormat="1" ht="12.75" customHeight="1">
      <c r="A259" s="53">
        <f t="shared" si="1"/>
        <v>2013.1</v>
      </c>
      <c r="B259" s="2310">
        <v>638.75</v>
      </c>
      <c r="C259" s="1843">
        <v>645.96</v>
      </c>
      <c r="D259" s="3701">
        <v>794.18</v>
      </c>
      <c r="E259" s="1843">
        <v>606.83000000000004</v>
      </c>
      <c r="F259" s="3139">
        <v>547.03</v>
      </c>
      <c r="G259" s="1844">
        <v>658.61</v>
      </c>
      <c r="H259" s="1843">
        <v>668.14</v>
      </c>
      <c r="I259" s="3701">
        <v>942.99</v>
      </c>
      <c r="J259" s="1843">
        <v>592.45000000000005</v>
      </c>
      <c r="K259" s="3139">
        <v>540.84</v>
      </c>
      <c r="L259" s="1844">
        <v>676.63</v>
      </c>
      <c r="M259" s="1843">
        <v>961.11</v>
      </c>
      <c r="N259" s="3140">
        <v>597.89</v>
      </c>
    </row>
    <row r="260" spans="1:14" s="6" customFormat="1" ht="12.75" customHeight="1">
      <c r="A260" s="53">
        <f t="shared" si="1"/>
        <v>2013.11</v>
      </c>
      <c r="B260" s="2310">
        <v>646.52</v>
      </c>
      <c r="C260" s="1843">
        <v>653.47</v>
      </c>
      <c r="D260" s="3701">
        <v>812.9</v>
      </c>
      <c r="E260" s="1843">
        <v>611.39</v>
      </c>
      <c r="F260" s="3139">
        <v>558</v>
      </c>
      <c r="G260" s="1844">
        <v>662.87</v>
      </c>
      <c r="H260" s="1843">
        <v>671.85</v>
      </c>
      <c r="I260" s="3701">
        <v>943.4</v>
      </c>
      <c r="J260" s="1843">
        <v>597.09</v>
      </c>
      <c r="K260" s="3139">
        <v>551.78</v>
      </c>
      <c r="L260" s="1844">
        <v>679.02</v>
      </c>
      <c r="M260" s="1843">
        <v>955.15</v>
      </c>
      <c r="N260" s="3140">
        <v>602.6</v>
      </c>
    </row>
    <row r="261" spans="1:14" s="6" customFormat="1" ht="12.75" customHeight="1">
      <c r="A261" s="53">
        <f t="shared" si="1"/>
        <v>2013.12</v>
      </c>
      <c r="B261" s="2310">
        <v>656.17</v>
      </c>
      <c r="C261" s="1843">
        <v>662.59</v>
      </c>
      <c r="D261" s="3701">
        <v>817.87</v>
      </c>
      <c r="E261" s="1843">
        <v>621.6</v>
      </c>
      <c r="F261" s="3139">
        <v>574.48</v>
      </c>
      <c r="G261" s="1844">
        <v>673.03</v>
      </c>
      <c r="H261" s="1843">
        <v>681.51</v>
      </c>
      <c r="I261" s="3701">
        <v>951.42</v>
      </c>
      <c r="J261" s="1843">
        <v>607.19000000000005</v>
      </c>
      <c r="K261" s="3139">
        <v>568.22</v>
      </c>
      <c r="L261" s="1844">
        <v>689.46</v>
      </c>
      <c r="M261" s="1843">
        <v>963.89</v>
      </c>
      <c r="N261" s="3140">
        <v>613.5</v>
      </c>
    </row>
    <row r="262" spans="1:14" s="6" customFormat="1" ht="12.75" customHeight="1">
      <c r="A262" s="53">
        <f t="shared" si="1"/>
        <v>2014.01</v>
      </c>
      <c r="B262" s="2310">
        <v>688.67</v>
      </c>
      <c r="C262" s="1843">
        <v>694.87</v>
      </c>
      <c r="D262" s="3701">
        <v>883.28</v>
      </c>
      <c r="E262" s="1843">
        <v>645.13</v>
      </c>
      <c r="F262" s="3139">
        <v>609.75</v>
      </c>
      <c r="G262" s="1844">
        <v>709.09</v>
      </c>
      <c r="H262" s="1843">
        <v>717.7</v>
      </c>
      <c r="I262" s="3701">
        <v>1034.74</v>
      </c>
      <c r="J262" s="1843">
        <v>630.4</v>
      </c>
      <c r="K262" s="3139">
        <v>602.66</v>
      </c>
      <c r="L262" s="1844">
        <v>727.17</v>
      </c>
      <c r="M262" s="1843">
        <v>1052.1400000000001</v>
      </c>
      <c r="N262" s="3140">
        <v>637.22</v>
      </c>
    </row>
    <row r="263" spans="1:14" s="6" customFormat="1" ht="12.75" customHeight="1">
      <c r="A263" s="53">
        <f t="shared" si="1"/>
        <v>2014.02</v>
      </c>
      <c r="B263" s="2310">
        <v>723.94</v>
      </c>
      <c r="C263" s="1843">
        <v>728.4</v>
      </c>
      <c r="D263" s="3701">
        <v>934.45</v>
      </c>
      <c r="E263" s="1843">
        <v>674.01</v>
      </c>
      <c r="F263" s="3139">
        <v>667.1</v>
      </c>
      <c r="G263" s="1844">
        <v>747.23</v>
      </c>
      <c r="H263" s="1843">
        <v>754.31</v>
      </c>
      <c r="I263" s="3701">
        <v>1102.08</v>
      </c>
      <c r="J263" s="1843">
        <v>658.55</v>
      </c>
      <c r="K263" s="3139">
        <v>659.72</v>
      </c>
      <c r="L263" s="1844">
        <v>767.44</v>
      </c>
      <c r="M263" s="1843">
        <v>1121.19</v>
      </c>
      <c r="N263" s="3140">
        <v>669.52</v>
      </c>
    </row>
    <row r="264" spans="1:14" s="6" customFormat="1" ht="12.75" customHeight="1">
      <c r="A264" s="53">
        <f t="shared" si="1"/>
        <v>2014.03</v>
      </c>
      <c r="B264" s="2310">
        <v>741.56</v>
      </c>
      <c r="C264" s="1843">
        <v>746.27</v>
      </c>
      <c r="D264" s="3701">
        <v>948.71</v>
      </c>
      <c r="E264" s="1843">
        <v>692.83</v>
      </c>
      <c r="F264" s="3139">
        <v>681.65</v>
      </c>
      <c r="G264" s="1844">
        <v>765.45</v>
      </c>
      <c r="H264" s="1843">
        <v>772.84</v>
      </c>
      <c r="I264" s="3701">
        <v>1121.4000000000001</v>
      </c>
      <c r="J264" s="1843">
        <v>676.86</v>
      </c>
      <c r="K264" s="3139">
        <v>674.11</v>
      </c>
      <c r="L264" s="1844">
        <v>785.86</v>
      </c>
      <c r="M264" s="1843">
        <v>1141.9000000000001</v>
      </c>
      <c r="N264" s="3140">
        <v>687.32</v>
      </c>
    </row>
    <row r="265" spans="1:14" s="6" customFormat="1" ht="12.75" customHeight="1">
      <c r="A265" s="53">
        <f t="shared" si="1"/>
        <v>2014.04</v>
      </c>
      <c r="B265" s="2310">
        <v>754.31</v>
      </c>
      <c r="C265" s="1843">
        <v>759.2</v>
      </c>
      <c r="D265" s="3701">
        <v>953.27</v>
      </c>
      <c r="E265" s="1843">
        <v>707.97</v>
      </c>
      <c r="F265" s="3139">
        <v>692.1</v>
      </c>
      <c r="G265" s="1844">
        <v>776.92</v>
      </c>
      <c r="H265" s="1843">
        <v>784.4</v>
      </c>
      <c r="I265" s="3701">
        <v>1124.57</v>
      </c>
      <c r="J265" s="1843">
        <v>690.74</v>
      </c>
      <c r="K265" s="3139">
        <v>684.45</v>
      </c>
      <c r="L265" s="1844">
        <v>796.91</v>
      </c>
      <c r="M265" s="1843">
        <v>1143.25</v>
      </c>
      <c r="N265" s="3140">
        <v>701.04</v>
      </c>
    </row>
    <row r="266" spans="1:14" s="6" customFormat="1" ht="12.75" customHeight="1">
      <c r="A266" s="53">
        <f t="shared" si="1"/>
        <v>2014.05</v>
      </c>
      <c r="B266" s="2310">
        <v>768.4</v>
      </c>
      <c r="C266" s="1843">
        <v>774.48</v>
      </c>
      <c r="D266" s="3701">
        <v>975.28</v>
      </c>
      <c r="E266" s="1843">
        <v>721.47</v>
      </c>
      <c r="F266" s="3139">
        <v>691.07</v>
      </c>
      <c r="G266" s="1844">
        <v>790.37</v>
      </c>
      <c r="H266" s="1843">
        <v>799.02</v>
      </c>
      <c r="I266" s="3701">
        <v>1151.32</v>
      </c>
      <c r="J266" s="1843">
        <v>702.02</v>
      </c>
      <c r="K266" s="3139">
        <v>683.37</v>
      </c>
      <c r="L266" s="1844">
        <v>811.19</v>
      </c>
      <c r="M266" s="1843">
        <v>1170.75</v>
      </c>
      <c r="N266" s="3140">
        <v>711.67</v>
      </c>
    </row>
    <row r="267" spans="1:14" s="6" customFormat="1" ht="12.75" customHeight="1">
      <c r="A267" s="53">
        <f t="shared" si="1"/>
        <v>2014.06</v>
      </c>
      <c r="B267" s="2310">
        <v>779.97</v>
      </c>
      <c r="C267" s="1843">
        <v>786.63</v>
      </c>
      <c r="D267" s="3701">
        <v>991.98</v>
      </c>
      <c r="E267" s="1843">
        <v>732.41</v>
      </c>
      <c r="F267" s="3139">
        <v>695.31</v>
      </c>
      <c r="G267" s="1844">
        <v>800.05</v>
      </c>
      <c r="H267" s="1843">
        <v>809.15</v>
      </c>
      <c r="I267" s="3701">
        <v>1160.5899999999999</v>
      </c>
      <c r="J267" s="1843">
        <v>712.38</v>
      </c>
      <c r="K267" s="3139">
        <v>687.61</v>
      </c>
      <c r="L267" s="1844">
        <v>820.08</v>
      </c>
      <c r="M267" s="1843">
        <v>1176.05</v>
      </c>
      <c r="N267" s="3140">
        <v>721.56</v>
      </c>
    </row>
    <row r="268" spans="1:14" s="6" customFormat="1" ht="12.75" customHeight="1">
      <c r="A268" s="53">
        <f t="shared" si="1"/>
        <v>2014.07</v>
      </c>
      <c r="B268" s="2310">
        <v>790.47</v>
      </c>
      <c r="C268" s="1843">
        <v>797.73</v>
      </c>
      <c r="D268" s="3701">
        <v>1002.71</v>
      </c>
      <c r="E268" s="1843">
        <v>743.62</v>
      </c>
      <c r="F268" s="3139">
        <v>698.04</v>
      </c>
      <c r="G268" s="1844">
        <v>808.42</v>
      </c>
      <c r="H268" s="1843">
        <v>818.03</v>
      </c>
      <c r="I268" s="3701">
        <v>1163.6500000000001</v>
      </c>
      <c r="J268" s="1843">
        <v>722.86</v>
      </c>
      <c r="K268" s="3139">
        <v>689.71</v>
      </c>
      <c r="L268" s="1844">
        <v>826.58</v>
      </c>
      <c r="M268" s="1843">
        <v>1174.06</v>
      </c>
      <c r="N268" s="3140">
        <v>730.4</v>
      </c>
    </row>
    <row r="269" spans="1:14" s="6" customFormat="1" ht="12.75" customHeight="1">
      <c r="A269" s="53">
        <f t="shared" si="1"/>
        <v>2014.08</v>
      </c>
      <c r="B269" s="2310">
        <v>803.37</v>
      </c>
      <c r="C269" s="1843">
        <v>810.66</v>
      </c>
      <c r="D269" s="3701">
        <v>1026.28</v>
      </c>
      <c r="E269" s="1843">
        <v>753.74</v>
      </c>
      <c r="F269" s="3139">
        <v>710.59</v>
      </c>
      <c r="G269" s="1844">
        <v>819.94</v>
      </c>
      <c r="H269" s="1843">
        <v>829.45</v>
      </c>
      <c r="I269" s="3701">
        <v>1179</v>
      </c>
      <c r="J269" s="1843">
        <v>733.2</v>
      </c>
      <c r="K269" s="3139">
        <v>702.43</v>
      </c>
      <c r="L269" s="1844">
        <v>837.2</v>
      </c>
      <c r="M269" s="1843">
        <v>1183.79</v>
      </c>
      <c r="N269" s="3140">
        <v>741.27</v>
      </c>
    </row>
    <row r="270" spans="1:14" s="6" customFormat="1" ht="12.75" customHeight="1">
      <c r="A270" s="53">
        <f t="shared" si="1"/>
        <v>2014.09</v>
      </c>
      <c r="B270" s="2310">
        <v>816.18</v>
      </c>
      <c r="C270" s="1843">
        <v>823.71</v>
      </c>
      <c r="D270" s="3701">
        <v>1038.54</v>
      </c>
      <c r="E270" s="1843">
        <v>766.99</v>
      </c>
      <c r="F270" s="3139">
        <v>720.4</v>
      </c>
      <c r="G270" s="1844">
        <v>829.54</v>
      </c>
      <c r="H270" s="1843">
        <v>839.03</v>
      </c>
      <c r="I270" s="3701">
        <v>1182.72</v>
      </c>
      <c r="J270" s="1843">
        <v>744.39</v>
      </c>
      <c r="K270" s="3139">
        <v>712.36</v>
      </c>
      <c r="L270" s="1844">
        <v>844.37</v>
      </c>
      <c r="M270" s="1843">
        <v>1183.33</v>
      </c>
      <c r="N270" s="3140">
        <v>750.55</v>
      </c>
    </row>
    <row r="271" spans="1:14" s="6" customFormat="1" ht="12.75" customHeight="1">
      <c r="A271" s="53">
        <f t="shared" si="1"/>
        <v>2014.1</v>
      </c>
      <c r="B271" s="2310">
        <v>826.18</v>
      </c>
      <c r="C271" s="1843">
        <v>833.6</v>
      </c>
      <c r="D271" s="3701">
        <v>1043.21</v>
      </c>
      <c r="E271" s="1843">
        <v>778.27</v>
      </c>
      <c r="F271" s="3139">
        <v>731.78</v>
      </c>
      <c r="G271" s="1844">
        <v>837.8</v>
      </c>
      <c r="H271" s="1843">
        <v>847.07</v>
      </c>
      <c r="I271" s="3701">
        <v>1178.79</v>
      </c>
      <c r="J271" s="1843">
        <v>755.73</v>
      </c>
      <c r="K271" s="3139">
        <v>723.21</v>
      </c>
      <c r="L271" s="1844">
        <v>851.52</v>
      </c>
      <c r="M271" s="1843">
        <v>1177.03</v>
      </c>
      <c r="N271" s="3140">
        <v>761.42</v>
      </c>
    </row>
    <row r="272" spans="1:14" s="6" customFormat="1" ht="12.75" customHeight="1">
      <c r="A272" s="53">
        <f t="shared" si="1"/>
        <v>2014.11</v>
      </c>
      <c r="B272" s="2310">
        <v>833.72</v>
      </c>
      <c r="C272" s="1843">
        <v>841.47</v>
      </c>
      <c r="D272" s="3701">
        <v>1055.4100000000001</v>
      </c>
      <c r="E272" s="1843">
        <v>784.99</v>
      </c>
      <c r="F272" s="3139">
        <v>735.07</v>
      </c>
      <c r="G272" s="1844">
        <v>846.43</v>
      </c>
      <c r="H272" s="1843">
        <v>856.15</v>
      </c>
      <c r="I272" s="3701">
        <v>1195.46</v>
      </c>
      <c r="J272" s="1843">
        <v>762.71</v>
      </c>
      <c r="K272" s="3139">
        <v>726.41</v>
      </c>
      <c r="L272" s="1844">
        <v>861.2</v>
      </c>
      <c r="M272" s="1843">
        <v>1195.4100000000001</v>
      </c>
      <c r="N272" s="3140">
        <v>768.69</v>
      </c>
    </row>
    <row r="273" spans="1:14" s="6" customFormat="1" ht="12.75" customHeight="1">
      <c r="A273" s="53">
        <f t="shared" si="1"/>
        <v>2014.12</v>
      </c>
      <c r="B273" s="2310">
        <v>841.66</v>
      </c>
      <c r="C273" s="1843">
        <v>850.13</v>
      </c>
      <c r="D273" s="3701">
        <v>1065.82</v>
      </c>
      <c r="E273" s="1843">
        <v>793.19</v>
      </c>
      <c r="F273" s="3139">
        <v>733.81</v>
      </c>
      <c r="G273" s="1844">
        <v>853.06</v>
      </c>
      <c r="H273" s="1843">
        <v>863.42</v>
      </c>
      <c r="I273" s="3701">
        <v>1203.52</v>
      </c>
      <c r="J273" s="1843">
        <v>769.77</v>
      </c>
      <c r="K273" s="3139">
        <v>725.12</v>
      </c>
      <c r="L273" s="1844">
        <v>868.37</v>
      </c>
      <c r="M273" s="1843">
        <v>1204.21</v>
      </c>
      <c r="N273" s="3140">
        <v>775.42</v>
      </c>
    </row>
    <row r="274" spans="1:14" s="6" customFormat="1" ht="12.75" customHeight="1">
      <c r="A274" s="53">
        <f t="shared" si="1"/>
        <v>2015.01</v>
      </c>
      <c r="B274" s="2310">
        <v>843.35</v>
      </c>
      <c r="C274" s="1843">
        <v>851.6</v>
      </c>
      <c r="D274" s="3701">
        <v>1060.53</v>
      </c>
      <c r="E274" s="1843">
        <v>796.45</v>
      </c>
      <c r="F274" s="3139">
        <v>738.27</v>
      </c>
      <c r="G274" s="1844">
        <v>855.37</v>
      </c>
      <c r="H274" s="1843">
        <v>865.54</v>
      </c>
      <c r="I274" s="3701">
        <v>1200.81</v>
      </c>
      <c r="J274" s="1843">
        <v>773.23</v>
      </c>
      <c r="K274" s="3139">
        <v>729.61</v>
      </c>
      <c r="L274" s="1844">
        <v>869.93</v>
      </c>
      <c r="M274" s="1843">
        <v>1203.0999999999999</v>
      </c>
      <c r="N274" s="3140">
        <v>777.71</v>
      </c>
    </row>
    <row r="275" spans="1:14" s="6" customFormat="1" ht="12.75" customHeight="1">
      <c r="A275" s="53">
        <f t="shared" si="1"/>
        <v>2015.02</v>
      </c>
      <c r="B275" s="2310">
        <v>845.45</v>
      </c>
      <c r="C275" s="1843">
        <v>853.29</v>
      </c>
      <c r="D275" s="3701">
        <v>1051</v>
      </c>
      <c r="E275" s="1843">
        <v>801.1</v>
      </c>
      <c r="F275" s="3139">
        <v>745.66</v>
      </c>
      <c r="G275" s="1844">
        <v>856.35</v>
      </c>
      <c r="H275" s="1843">
        <v>866</v>
      </c>
      <c r="I275" s="3701">
        <v>1185.96</v>
      </c>
      <c r="J275" s="1843">
        <v>777.9</v>
      </c>
      <c r="K275" s="3139">
        <v>737.02</v>
      </c>
      <c r="L275" s="1844">
        <v>868.71</v>
      </c>
      <c r="M275" s="1843">
        <v>1183.76</v>
      </c>
      <c r="N275" s="3140">
        <v>781.5</v>
      </c>
    </row>
    <row r="276" spans="1:14" s="6" customFormat="1" ht="12.75" customHeight="1">
      <c r="A276" s="53">
        <f t="shared" si="1"/>
        <v>2015.03</v>
      </c>
      <c r="B276" s="2310">
        <v>853.74</v>
      </c>
      <c r="C276" s="1843">
        <v>861.95</v>
      </c>
      <c r="D276" s="3701">
        <v>1047.18</v>
      </c>
      <c r="E276" s="1843">
        <v>813.06</v>
      </c>
      <c r="F276" s="3139">
        <v>749.28</v>
      </c>
      <c r="G276" s="1844">
        <v>861.28</v>
      </c>
      <c r="H276" s="1843">
        <v>871.05</v>
      </c>
      <c r="I276" s="3701">
        <v>1169.42</v>
      </c>
      <c r="J276" s="1843">
        <v>788.89</v>
      </c>
      <c r="K276" s="3139">
        <v>740.53</v>
      </c>
      <c r="L276" s="1844">
        <v>871.26</v>
      </c>
      <c r="M276" s="1843">
        <v>1162.52</v>
      </c>
      <c r="N276" s="3140">
        <v>790.64</v>
      </c>
    </row>
    <row r="277" spans="1:14" s="6" customFormat="1" ht="12.75" customHeight="1">
      <c r="A277" s="53">
        <f t="shared" si="1"/>
        <v>2015.04</v>
      </c>
      <c r="B277" s="2310">
        <v>860.1</v>
      </c>
      <c r="C277" s="1843">
        <v>868.94</v>
      </c>
      <c r="D277" s="3701">
        <v>1046.8800000000001</v>
      </c>
      <c r="E277" s="1843">
        <v>821.97</v>
      </c>
      <c r="F277" s="3139">
        <v>747.6</v>
      </c>
      <c r="G277" s="1844">
        <v>866.46</v>
      </c>
      <c r="H277" s="1843">
        <v>876.72</v>
      </c>
      <c r="I277" s="3701">
        <v>1165.32</v>
      </c>
      <c r="J277" s="1843">
        <v>797.25</v>
      </c>
      <c r="K277" s="3139">
        <v>739.66</v>
      </c>
      <c r="L277" s="1844">
        <v>875.89</v>
      </c>
      <c r="M277" s="1843">
        <v>1157.01</v>
      </c>
      <c r="N277" s="3140">
        <v>798.08</v>
      </c>
    </row>
    <row r="278" spans="1:14" s="6" customFormat="1" ht="12.75" customHeight="1">
      <c r="A278" s="53">
        <f t="shared" si="1"/>
        <v>2015.05</v>
      </c>
      <c r="B278" s="2310">
        <v>872.85</v>
      </c>
      <c r="C278" s="1843">
        <v>882.17</v>
      </c>
      <c r="D278" s="3701">
        <v>1063.81</v>
      </c>
      <c r="E278" s="1843">
        <v>834.22</v>
      </c>
      <c r="F278" s="3139">
        <v>754.21</v>
      </c>
      <c r="G278" s="1844">
        <v>879.62</v>
      </c>
      <c r="H278" s="1843">
        <v>890.41</v>
      </c>
      <c r="I278" s="3701">
        <v>1184.68</v>
      </c>
      <c r="J278" s="1843">
        <v>809.39</v>
      </c>
      <c r="K278" s="3139">
        <v>746.16</v>
      </c>
      <c r="L278" s="1844">
        <v>889.73</v>
      </c>
      <c r="M278" s="1843">
        <v>1175.82</v>
      </c>
      <c r="N278" s="3140">
        <v>810.54</v>
      </c>
    </row>
    <row r="279" spans="1:14" s="6" customFormat="1" ht="12.75" customHeight="1">
      <c r="A279" s="53">
        <f t="shared" si="1"/>
        <v>2015.06</v>
      </c>
      <c r="B279" s="2310">
        <v>884.33</v>
      </c>
      <c r="C279" s="1843">
        <v>893.59</v>
      </c>
      <c r="D279" s="3701">
        <v>1062.6500000000001</v>
      </c>
      <c r="E279" s="1843">
        <v>848.97</v>
      </c>
      <c r="F279" s="3139">
        <v>766.43</v>
      </c>
      <c r="G279" s="1844">
        <v>889.39</v>
      </c>
      <c r="H279" s="1843">
        <v>899.99</v>
      </c>
      <c r="I279" s="3701">
        <v>1181.3599999999999</v>
      </c>
      <c r="J279" s="1843">
        <v>822.51</v>
      </c>
      <c r="K279" s="3139">
        <v>758.42</v>
      </c>
      <c r="L279" s="1844">
        <v>898.95</v>
      </c>
      <c r="M279" s="1843">
        <v>1171.24</v>
      </c>
      <c r="N279" s="3140">
        <v>823.58</v>
      </c>
    </row>
    <row r="280" spans="1:14" s="6" customFormat="1" ht="12.75" customHeight="1">
      <c r="A280" s="53">
        <f t="shared" si="1"/>
        <v>2015.07</v>
      </c>
      <c r="B280" s="2310">
        <v>897.04</v>
      </c>
      <c r="C280" s="1843">
        <v>907.03</v>
      </c>
      <c r="D280" s="3701">
        <v>1087.22</v>
      </c>
      <c r="E280" s="1843">
        <v>859.46</v>
      </c>
      <c r="F280" s="3139">
        <v>770.02</v>
      </c>
      <c r="G280" s="1844">
        <v>903.59</v>
      </c>
      <c r="H280" s="1843">
        <v>915.04</v>
      </c>
      <c r="I280" s="3701">
        <v>1210.8</v>
      </c>
      <c r="J280" s="1843">
        <v>833.6</v>
      </c>
      <c r="K280" s="3139">
        <v>762.14</v>
      </c>
      <c r="L280" s="1844">
        <v>913.75</v>
      </c>
      <c r="M280" s="1843">
        <v>1199.78</v>
      </c>
      <c r="N280" s="3140">
        <v>834.59</v>
      </c>
    </row>
    <row r="281" spans="1:14" s="6" customFormat="1" ht="12.75" customHeight="1">
      <c r="A281" s="53">
        <f t="shared" si="1"/>
        <v>2015.08</v>
      </c>
      <c r="B281" s="2310">
        <v>909.85</v>
      </c>
      <c r="C281" s="1843">
        <v>920.23</v>
      </c>
      <c r="D281" s="3701">
        <v>1104.51</v>
      </c>
      <c r="E281" s="1843">
        <v>871.58</v>
      </c>
      <c r="F281" s="3139">
        <v>777.83</v>
      </c>
      <c r="G281" s="1844">
        <v>916.72</v>
      </c>
      <c r="H281" s="1843">
        <v>928.59</v>
      </c>
      <c r="I281" s="3701">
        <v>1229.97</v>
      </c>
      <c r="J281" s="1843">
        <v>845.6</v>
      </c>
      <c r="K281" s="3139">
        <v>770.03</v>
      </c>
      <c r="L281" s="1844">
        <v>926.17</v>
      </c>
      <c r="M281" s="1843">
        <v>1218.24</v>
      </c>
      <c r="N281" s="3140">
        <v>845.33</v>
      </c>
    </row>
    <row r="282" spans="1:14" s="6" customFormat="1" ht="12.75" customHeight="1">
      <c r="A282" s="53">
        <f t="shared" si="1"/>
        <v>2015.09</v>
      </c>
      <c r="B282" s="2310">
        <v>922.14</v>
      </c>
      <c r="C282" s="1843">
        <v>933.26</v>
      </c>
      <c r="D282" s="3701">
        <v>1113.8399999999999</v>
      </c>
      <c r="E282" s="1843">
        <v>885.59</v>
      </c>
      <c r="F282" s="3139">
        <v>780.65</v>
      </c>
      <c r="G282" s="1844">
        <v>928.38</v>
      </c>
      <c r="H282" s="1843">
        <v>940.98</v>
      </c>
      <c r="I282" s="3701">
        <v>1240.98</v>
      </c>
      <c r="J282" s="1843">
        <v>858.37</v>
      </c>
      <c r="K282" s="3139">
        <v>772.65</v>
      </c>
      <c r="L282" s="1844">
        <v>938.42</v>
      </c>
      <c r="M282" s="1843">
        <v>1230.1099999999999</v>
      </c>
      <c r="N282" s="3140">
        <v>857.69</v>
      </c>
    </row>
    <row r="283" spans="1:14" s="6" customFormat="1" ht="12.75" customHeight="1">
      <c r="A283" s="53">
        <f t="shared" si="1"/>
        <v>2015.1</v>
      </c>
      <c r="B283" s="2310">
        <v>930.69</v>
      </c>
      <c r="C283" s="1843">
        <v>941.86</v>
      </c>
      <c r="D283" s="3701">
        <v>1115.77</v>
      </c>
      <c r="E283" s="1843">
        <v>895.95</v>
      </c>
      <c r="F283" s="3139">
        <v>788.6</v>
      </c>
      <c r="G283" s="1844">
        <v>938.63</v>
      </c>
      <c r="H283" s="1843">
        <v>951.41</v>
      </c>
      <c r="I283" s="3701">
        <v>1250.69</v>
      </c>
      <c r="J283" s="1843">
        <v>869.01</v>
      </c>
      <c r="K283" s="3139">
        <v>780.61</v>
      </c>
      <c r="L283" s="1844">
        <v>949.61</v>
      </c>
      <c r="M283" s="1843">
        <v>1243.46</v>
      </c>
      <c r="N283" s="3140">
        <v>868.27</v>
      </c>
    </row>
    <row r="284" spans="1:14" s="6" customFormat="1" ht="12.75" customHeight="1">
      <c r="A284" s="2312">
        <f t="shared" si="1"/>
        <v>2015.11</v>
      </c>
      <c r="B284" s="2310" t="e">
        <v>#N/A</v>
      </c>
      <c r="C284" s="1843" t="e">
        <v>#N/A</v>
      </c>
      <c r="D284" s="3701" t="e">
        <v>#N/A</v>
      </c>
      <c r="E284" s="1843" t="e">
        <v>#N/A</v>
      </c>
      <c r="F284" s="3139" t="e">
        <v>#N/A</v>
      </c>
      <c r="G284" s="1844" t="e">
        <v>#N/A</v>
      </c>
      <c r="H284" s="1843" t="e">
        <v>#N/A</v>
      </c>
      <c r="I284" s="3701" t="e">
        <v>#N/A</v>
      </c>
      <c r="J284" s="1843" t="e">
        <v>#N/A</v>
      </c>
      <c r="K284" s="3139" t="e">
        <v>#N/A</v>
      </c>
      <c r="L284" s="1844" t="e">
        <v>#N/A</v>
      </c>
      <c r="M284" s="1843" t="e">
        <v>#N/A</v>
      </c>
      <c r="N284" s="3140" t="e">
        <v>#N/A</v>
      </c>
    </row>
    <row r="285" spans="1:14" s="6" customFormat="1" ht="12.75" customHeight="1">
      <c r="A285" s="2312">
        <f t="shared" si="1"/>
        <v>2015.12</v>
      </c>
      <c r="B285" s="2311">
        <v>100</v>
      </c>
      <c r="C285" s="1841">
        <v>100</v>
      </c>
      <c r="D285" s="3700">
        <v>100</v>
      </c>
      <c r="E285" s="1841">
        <v>100</v>
      </c>
      <c r="F285" s="2460">
        <v>100</v>
      </c>
      <c r="G285" s="1842">
        <v>100</v>
      </c>
      <c r="H285" s="1841">
        <v>100</v>
      </c>
      <c r="I285" s="3700">
        <v>100</v>
      </c>
      <c r="J285" s="1841">
        <v>100</v>
      </c>
      <c r="K285" s="2460">
        <v>100</v>
      </c>
      <c r="L285" s="1842">
        <v>100</v>
      </c>
      <c r="M285" s="1841">
        <v>100</v>
      </c>
      <c r="N285" s="3138">
        <v>100</v>
      </c>
    </row>
    <row r="286" spans="1:14" ht="12.75" customHeight="1">
      <c r="A286" s="81">
        <v>2016.01</v>
      </c>
      <c r="B286" s="2714">
        <v>108.78717907264219</v>
      </c>
      <c r="C286" s="2715">
        <v>108.0986418490554</v>
      </c>
      <c r="D286" s="3702">
        <v>109.22178107352131</v>
      </c>
      <c r="E286" s="2715">
        <v>107.72969086550523</v>
      </c>
      <c r="F286" s="3141">
        <v>117.40896700065267</v>
      </c>
      <c r="G286" s="2716">
        <v>109.01190453958323</v>
      </c>
      <c r="H286" s="2717">
        <v>108.35403678025716</v>
      </c>
      <c r="I286" s="3703">
        <v>109.12741478829737</v>
      </c>
      <c r="J286" s="2717">
        <v>108.03730354124086</v>
      </c>
      <c r="K286" s="3142">
        <v>117.32495714991174</v>
      </c>
      <c r="L286" s="2716">
        <v>109.10494620714626</v>
      </c>
      <c r="M286" s="2717">
        <v>110.05171098397683</v>
      </c>
      <c r="N286" s="3143">
        <v>108.71062397976698</v>
      </c>
    </row>
    <row r="287" spans="1:14" ht="12.75" customHeight="1">
      <c r="A287" s="81">
        <v>2016.02</v>
      </c>
      <c r="B287" s="2714">
        <v>114.17088428630503</v>
      </c>
      <c r="C287" s="2715">
        <v>113.15850386946602</v>
      </c>
      <c r="D287" s="3702">
        <v>114.72663147724357</v>
      </c>
      <c r="E287" s="2715">
        <v>112.64337430171706</v>
      </c>
      <c r="F287" s="3141">
        <v>126.84780131772297</v>
      </c>
      <c r="G287" s="2716">
        <v>114.55178790732718</v>
      </c>
      <c r="H287" s="2717">
        <v>113.5737571195419</v>
      </c>
      <c r="I287" s="3703">
        <v>115.28914439054091</v>
      </c>
      <c r="J287" s="2717">
        <v>112.87122852309555</v>
      </c>
      <c r="K287" s="3142">
        <v>126.91053520588339</v>
      </c>
      <c r="L287" s="2716">
        <v>114.57440926480469</v>
      </c>
      <c r="M287" s="2717">
        <v>116.7983218925156</v>
      </c>
      <c r="N287" s="3143">
        <v>113.64816210995079</v>
      </c>
    </row>
    <row r="288" spans="1:14" ht="12.75" customHeight="1">
      <c r="A288" s="81">
        <v>2016.03</v>
      </c>
      <c r="B288" s="2714">
        <v>117.00064795567658</v>
      </c>
      <c r="C288" s="2715">
        <v>116.21910709194755</v>
      </c>
      <c r="D288" s="3702">
        <v>117.64736984626894</v>
      </c>
      <c r="E288" s="2715">
        <v>115.74992309721682</v>
      </c>
      <c r="F288" s="3141">
        <v>126.78701730987478</v>
      </c>
      <c r="G288" s="2716">
        <v>117.25250483491111</v>
      </c>
      <c r="H288" s="2717">
        <v>116.4927777751265</v>
      </c>
      <c r="I288" s="3703">
        <v>117.70402896573223</v>
      </c>
      <c r="J288" s="2717">
        <v>115.99671568275372</v>
      </c>
      <c r="K288" s="3144">
        <v>126.85268804491022</v>
      </c>
      <c r="L288" s="2716">
        <v>117.42553294389825</v>
      </c>
      <c r="M288" s="2717">
        <v>119.17321898787938</v>
      </c>
      <c r="N288" s="3143">
        <v>116.69763149415392</v>
      </c>
    </row>
    <row r="289" spans="1:14" ht="12.75" customHeight="1">
      <c r="A289" s="81">
        <v>2016.04</v>
      </c>
      <c r="B289" s="2714">
        <v>118.81257592587166</v>
      </c>
      <c r="C289" s="2715">
        <v>118.3127688611672</v>
      </c>
      <c r="D289" s="3702">
        <v>118.20034923591591</v>
      </c>
      <c r="E289" s="2715">
        <v>118.34969868286937</v>
      </c>
      <c r="F289" s="3141">
        <v>125.07110541299447</v>
      </c>
      <c r="G289" s="2716">
        <v>119.14289506439408</v>
      </c>
      <c r="H289" s="2717">
        <v>118.67036753059958</v>
      </c>
      <c r="I289" s="3703">
        <v>119.08557591839713</v>
      </c>
      <c r="J289" s="2717">
        <v>118.5003209347995</v>
      </c>
      <c r="K289" s="3142">
        <v>125.11392220864339</v>
      </c>
      <c r="L289" s="2716">
        <v>119.51423520831388</v>
      </c>
      <c r="M289" s="2717">
        <v>120.14780323384082</v>
      </c>
      <c r="N289" s="3143">
        <v>119.25035767385558</v>
      </c>
    </row>
    <row r="290" spans="1:14" ht="12.75" customHeight="1">
      <c r="A290" s="81">
        <v>2016.05</v>
      </c>
      <c r="B290" s="2714">
        <v>123.09935363533172</v>
      </c>
      <c r="C290" s="2715">
        <v>123.01902531578152</v>
      </c>
      <c r="D290" s="3702">
        <v>120.30055308755169</v>
      </c>
      <c r="E290" s="2715">
        <v>123.91204283356531</v>
      </c>
      <c r="F290" s="3141">
        <v>124.10521608116851</v>
      </c>
      <c r="G290" s="2716">
        <v>121.82439220051313</v>
      </c>
      <c r="H290" s="2717">
        <v>121.64171774369647</v>
      </c>
      <c r="I290" s="3703">
        <v>122.78110645455001</v>
      </c>
      <c r="J290" s="2717">
        <v>121.17508658385522</v>
      </c>
      <c r="K290" s="2718">
        <v>124.13273205840444</v>
      </c>
      <c r="L290" s="2716">
        <v>122.67387386683416</v>
      </c>
      <c r="M290" s="2717">
        <v>123.88857272670184</v>
      </c>
      <c r="N290" s="3143">
        <v>122.16795859438254</v>
      </c>
    </row>
    <row r="291" spans="1:14" ht="12.75" customHeight="1">
      <c r="A291" s="81">
        <v>2016.06</v>
      </c>
      <c r="B291" s="2714">
        <v>126.68192195378121</v>
      </c>
      <c r="C291" s="2715">
        <v>126.9755355401356</v>
      </c>
      <c r="D291" s="3702">
        <v>132.32653743812944</v>
      </c>
      <c r="E291" s="2715">
        <v>125.217732615766</v>
      </c>
      <c r="F291" s="3141">
        <v>123.00532468698303</v>
      </c>
      <c r="G291" s="2714">
        <v>125.78139313624889</v>
      </c>
      <c r="H291" s="2715">
        <v>126.00012546339137</v>
      </c>
      <c r="I291" s="3702">
        <v>134.34803127276294</v>
      </c>
      <c r="J291" s="2715">
        <v>122.58128083822706</v>
      </c>
      <c r="K291" s="3141">
        <v>123.01741311542189</v>
      </c>
      <c r="L291" s="2714">
        <v>127.06750244210113</v>
      </c>
      <c r="M291" s="2715">
        <v>135.34997599978928</v>
      </c>
      <c r="N291" s="3145">
        <v>123.61789858969908</v>
      </c>
    </row>
    <row r="292" spans="1:14" ht="12.75" customHeight="1">
      <c r="A292" s="81">
        <v>2016.07</v>
      </c>
      <c r="B292" s="2714">
        <v>130.20835210773532</v>
      </c>
      <c r="C292" s="2715">
        <v>130.43407647292986</v>
      </c>
      <c r="D292" s="3702">
        <v>139.6109024897747</v>
      </c>
      <c r="E292" s="2715">
        <v>127.41949118285811</v>
      </c>
      <c r="F292" s="3141">
        <v>127.38185625504583</v>
      </c>
      <c r="G292" s="2714">
        <v>129.48514293846122</v>
      </c>
      <c r="H292" s="2715">
        <v>129.6485227042217</v>
      </c>
      <c r="I292" s="3702">
        <v>140.86020047230102</v>
      </c>
      <c r="J292" s="2715">
        <v>125.05683406376747</v>
      </c>
      <c r="K292" s="3141">
        <v>127.42061770678008</v>
      </c>
      <c r="L292" s="2714">
        <v>130.71192865279744</v>
      </c>
      <c r="M292" s="2715">
        <v>141.56242187816696</v>
      </c>
      <c r="N292" s="3145">
        <v>126.19275899049863</v>
      </c>
    </row>
    <row r="293" spans="1:14" ht="12.75" customHeight="1">
      <c r="A293" s="81">
        <v>2016.08</v>
      </c>
      <c r="B293" s="2714">
        <v>130.72259035745154</v>
      </c>
      <c r="C293" s="2715">
        <v>130.99097073156591</v>
      </c>
      <c r="D293" s="3702">
        <v>138.62006234546968</v>
      </c>
      <c r="E293" s="2715">
        <v>128.48481584602354</v>
      </c>
      <c r="F293" s="3141">
        <v>127.36196061894886</v>
      </c>
      <c r="G293" s="2714">
        <v>129.92650582706358</v>
      </c>
      <c r="H293" s="2715">
        <v>130.12814371676359</v>
      </c>
      <c r="I293" s="3702">
        <v>138.49261529760508</v>
      </c>
      <c r="J293" s="2715">
        <v>126.7025146596657</v>
      </c>
      <c r="K293" s="3141">
        <v>127.3785372398242</v>
      </c>
      <c r="L293" s="2714">
        <v>131.04242882039952</v>
      </c>
      <c r="M293" s="2715">
        <v>138.7589913451053</v>
      </c>
      <c r="N293" s="3145">
        <v>127.82852374396042</v>
      </c>
    </row>
    <row r="294" spans="1:14" ht="12.75" customHeight="1">
      <c r="A294" s="81">
        <v>2016.09</v>
      </c>
      <c r="B294" s="2714">
        <v>131.28055342356458</v>
      </c>
      <c r="C294" s="2715">
        <v>131.63185532167157</v>
      </c>
      <c r="D294" s="3702">
        <v>133.22419970542234</v>
      </c>
      <c r="E294" s="2715">
        <v>131.10877054844244</v>
      </c>
      <c r="F294" s="3141">
        <v>126.88158941635369</v>
      </c>
      <c r="G294" s="2714">
        <v>129.81519530086692</v>
      </c>
      <c r="H294" s="2715">
        <v>130.04435795307387</v>
      </c>
      <c r="I294" s="3702">
        <v>133.39750117125052</v>
      </c>
      <c r="J294" s="2715">
        <v>128.67109429501997</v>
      </c>
      <c r="K294" s="3141">
        <v>126.9194139570919</v>
      </c>
      <c r="L294" s="2714">
        <v>130.63933068593482</v>
      </c>
      <c r="M294" s="2715">
        <v>133.43536416130075</v>
      </c>
      <c r="N294" s="3145">
        <v>129.47479840208399</v>
      </c>
    </row>
    <row r="295" spans="1:14" ht="12.75" customHeight="1">
      <c r="A295" s="81">
        <v>2016.1</v>
      </c>
      <c r="B295" s="2714">
        <v>132.05936685262566</v>
      </c>
      <c r="C295" s="2715">
        <v>132.41333167445094</v>
      </c>
      <c r="D295" s="3702">
        <v>133.03978236941245</v>
      </c>
      <c r="E295" s="2715">
        <v>132.20754276153923</v>
      </c>
      <c r="F295" s="3141">
        <v>127.62705800539553</v>
      </c>
      <c r="G295" s="2714">
        <v>130.79434536463893</v>
      </c>
      <c r="H295" s="2715">
        <v>131.0415106763956</v>
      </c>
      <c r="I295" s="3702">
        <v>133.67188173156379</v>
      </c>
      <c r="J295" s="2715">
        <v>129.9642548772164</v>
      </c>
      <c r="K295" s="3141">
        <v>127.67107596746524</v>
      </c>
      <c r="L295" s="2714">
        <v>131.73537031312119</v>
      </c>
      <c r="M295" s="2715">
        <v>134.24197155198397</v>
      </c>
      <c r="N295" s="3145">
        <v>130.6913849348652</v>
      </c>
    </row>
    <row r="296" spans="1:14" ht="12.75" customHeight="1">
      <c r="A296" s="81">
        <v>2016.11</v>
      </c>
      <c r="B296" s="2714">
        <v>133.67891885908401</v>
      </c>
      <c r="C296" s="2715">
        <v>134.03901051463092</v>
      </c>
      <c r="D296" s="3702">
        <v>133.01534147292568</v>
      </c>
      <c r="E296" s="2715">
        <v>134.37528556543413</v>
      </c>
      <c r="F296" s="3141">
        <v>129.16989046901912</v>
      </c>
      <c r="G296" s="2714">
        <v>131.94535121944779</v>
      </c>
      <c r="H296" s="2715">
        <v>132.15912532094723</v>
      </c>
      <c r="I296" s="3702">
        <v>133.59474372456222</v>
      </c>
      <c r="J296" s="2715">
        <v>131.57117471691993</v>
      </c>
      <c r="K296" s="3141">
        <v>129.24402511354515</v>
      </c>
      <c r="L296" s="2714">
        <v>132.91599037640216</v>
      </c>
      <c r="M296" s="2715">
        <v>134.3780600780031</v>
      </c>
      <c r="N296" s="3145">
        <v>132.30704653372089</v>
      </c>
    </row>
    <row r="297" spans="1:14" ht="12.75" customHeight="1">
      <c r="A297" s="81">
        <v>2016.12</v>
      </c>
      <c r="B297" s="2714">
        <v>134.52899147654691</v>
      </c>
      <c r="C297" s="2715">
        <v>134.67694677496462</v>
      </c>
      <c r="D297" s="3702">
        <v>130.37118856729816</v>
      </c>
      <c r="E297" s="2715">
        <v>136.09138738129332</v>
      </c>
      <c r="F297" s="3141">
        <v>132.67631138593825</v>
      </c>
      <c r="G297" s="2714">
        <v>133.03175286523449</v>
      </c>
      <c r="H297" s="2715">
        <v>133.05359849263078</v>
      </c>
      <c r="I297" s="3702">
        <v>131.69353573358103</v>
      </c>
      <c r="J297" s="2715">
        <v>133.61060564626297</v>
      </c>
      <c r="K297" s="3141">
        <v>132.75570369382746</v>
      </c>
      <c r="L297" s="2714">
        <v>134.0117403057501</v>
      </c>
      <c r="M297" s="2715">
        <v>132.9980950890924</v>
      </c>
      <c r="N297" s="3145">
        <v>134.43391786176571</v>
      </c>
    </row>
    <row r="298" spans="1:14" ht="12.75" customHeight="1">
      <c r="A298" s="81">
        <f t="shared" ref="A298:A329" si="2">A286+1</f>
        <v>2017.01</v>
      </c>
      <c r="B298" s="2714">
        <v>136.54590731224377</v>
      </c>
      <c r="C298" s="2715">
        <v>136.80857538344247</v>
      </c>
      <c r="D298" s="3702">
        <v>132.23023188385346</v>
      </c>
      <c r="E298" s="2715">
        <v>138.31256019708331</v>
      </c>
      <c r="F298" s="3141">
        <v>133.25680640708788</v>
      </c>
      <c r="G298" s="2714">
        <v>135.16188549306599</v>
      </c>
      <c r="H298" s="2715">
        <v>135.30535532846798</v>
      </c>
      <c r="I298" s="3702">
        <v>134.2606277958098</v>
      </c>
      <c r="J298" s="2715">
        <v>135.73321845861781</v>
      </c>
      <c r="K298" s="3141">
        <v>133.34894927177783</v>
      </c>
      <c r="L298" s="2714">
        <v>136.32418678316054</v>
      </c>
      <c r="M298" s="2715">
        <v>135.80061367118867</v>
      </c>
      <c r="N298" s="3145">
        <v>136.54225205212759</v>
      </c>
    </row>
    <row r="299" spans="1:14" ht="12.75" customHeight="1">
      <c r="A299" s="81">
        <f t="shared" si="2"/>
        <v>2017.02</v>
      </c>
      <c r="B299" s="2714">
        <v>138.82611252136985</v>
      </c>
      <c r="C299" s="2715">
        <v>139.28271401410129</v>
      </c>
      <c r="D299" s="3702">
        <v>134.53868035655049</v>
      </c>
      <c r="E299" s="2715">
        <v>140.84112800750259</v>
      </c>
      <c r="F299" s="3141">
        <v>133.10859848860221</v>
      </c>
      <c r="G299" s="2714">
        <v>136.88981578428923</v>
      </c>
      <c r="H299" s="2715">
        <v>137.18274168843055</v>
      </c>
      <c r="I299" s="3702">
        <v>135.72615025398306</v>
      </c>
      <c r="J299" s="2715">
        <v>137.77928169624124</v>
      </c>
      <c r="K299" s="3141">
        <v>133.18829915341047</v>
      </c>
      <c r="L299" s="2714">
        <v>137.90396980421264</v>
      </c>
      <c r="M299" s="2715">
        <v>136.6717152899287</v>
      </c>
      <c r="N299" s="3145">
        <v>138.41719690841089</v>
      </c>
    </row>
    <row r="300" spans="1:14" ht="12.75" customHeight="1">
      <c r="A300" s="81">
        <f t="shared" si="2"/>
        <v>2017.03</v>
      </c>
      <c r="B300" s="2714">
        <v>140.10636284742421</v>
      </c>
      <c r="C300" s="2715">
        <v>140.5999496499993</v>
      </c>
      <c r="D300" s="3702">
        <v>134.33739125813531</v>
      </c>
      <c r="E300" s="2715">
        <v>142.65719867833192</v>
      </c>
      <c r="F300" s="3141">
        <v>133.92572280345476</v>
      </c>
      <c r="G300" s="2714">
        <v>137.71296192945303</v>
      </c>
      <c r="H300" s="2715">
        <v>138.00441421330319</v>
      </c>
      <c r="I300" s="3702">
        <v>133.94909484858672</v>
      </c>
      <c r="J300" s="2715">
        <v>139.66525073086746</v>
      </c>
      <c r="K300" s="3141">
        <v>134.03006649232336</v>
      </c>
      <c r="L300" s="2714">
        <v>138.18115922563598</v>
      </c>
      <c r="M300" s="2715">
        <v>133.7972757032941</v>
      </c>
      <c r="N300" s="3145">
        <v>140.00702216160769</v>
      </c>
    </row>
    <row r="301" spans="1:14" ht="12.75" customHeight="1">
      <c r="A301" s="81">
        <f t="shared" si="2"/>
        <v>2017.04</v>
      </c>
      <c r="B301" s="2714">
        <v>140.75434995069008</v>
      </c>
      <c r="C301" s="2715">
        <v>141.39948525392893</v>
      </c>
      <c r="D301" s="3702">
        <v>133.76092464341039</v>
      </c>
      <c r="E301" s="2715">
        <v>143.90875070273731</v>
      </c>
      <c r="F301" s="3141">
        <v>132.67603612995211</v>
      </c>
      <c r="G301" s="2714">
        <v>138.07025615416546</v>
      </c>
      <c r="H301" s="2715">
        <v>138.48898964760687</v>
      </c>
      <c r="I301" s="3702">
        <v>133.11754963005504</v>
      </c>
      <c r="J301" s="2715">
        <v>140.68883704080454</v>
      </c>
      <c r="K301" s="3141">
        <v>132.77898976916751</v>
      </c>
      <c r="L301" s="2714">
        <v>138.33683636670085</v>
      </c>
      <c r="M301" s="2715">
        <v>132.73885797966432</v>
      </c>
      <c r="N301" s="3145">
        <v>140.66836301451679</v>
      </c>
    </row>
    <row r="302" spans="1:14" ht="12.75" customHeight="1">
      <c r="A302" s="81">
        <f t="shared" si="2"/>
        <v>2017.05</v>
      </c>
      <c r="B302" s="2714">
        <v>141.96122803498693</v>
      </c>
      <c r="C302" s="2715">
        <v>142.58814544030284</v>
      </c>
      <c r="D302" s="3702">
        <v>134.14479362351798</v>
      </c>
      <c r="E302" s="2715">
        <v>145.36178462002172</v>
      </c>
      <c r="F302" s="3141">
        <v>134.1110367427124</v>
      </c>
      <c r="G302" s="2714">
        <v>139.48061009785104</v>
      </c>
      <c r="H302" s="2715">
        <v>139.89556328068278</v>
      </c>
      <c r="I302" s="3702">
        <v>134.04689295720758</v>
      </c>
      <c r="J302" s="2715">
        <v>142.29085804758466</v>
      </c>
      <c r="K302" s="3141">
        <v>134.23711307156694</v>
      </c>
      <c r="L302" s="2714">
        <v>139.83805141563747</v>
      </c>
      <c r="M302" s="2715">
        <v>134.04359765834621</v>
      </c>
      <c r="N302" s="3145">
        <v>142.25140895484259</v>
      </c>
    </row>
    <row r="303" spans="1:14" ht="12.75" customHeight="1">
      <c r="A303" s="81">
        <f t="shared" si="2"/>
        <v>2017.06</v>
      </c>
      <c r="B303" s="2714">
        <v>144.61686354956535</v>
      </c>
      <c r="C303" s="2715">
        <v>145.36112279847336</v>
      </c>
      <c r="D303" s="3702">
        <v>138.80272150355779</v>
      </c>
      <c r="E303" s="2715">
        <v>147.51555615416217</v>
      </c>
      <c r="F303" s="3141">
        <v>135.29733050513084</v>
      </c>
      <c r="G303" s="2714">
        <v>142.07581784023415</v>
      </c>
      <c r="H303" s="2715">
        <v>142.59907907252884</v>
      </c>
      <c r="I303" s="3702">
        <v>137.84580077646768</v>
      </c>
      <c r="J303" s="2715">
        <v>144.54576130942726</v>
      </c>
      <c r="K303" s="3141">
        <v>135.463701512358</v>
      </c>
      <c r="L303" s="2714">
        <v>142.40049184716966</v>
      </c>
      <c r="M303" s="2715">
        <v>137.55969775954657</v>
      </c>
      <c r="N303" s="3145">
        <v>144.41665547474267</v>
      </c>
    </row>
    <row r="304" spans="1:14" ht="12.75" customHeight="1">
      <c r="A304" s="81">
        <f t="shared" si="2"/>
        <v>2017.07</v>
      </c>
      <c r="B304" s="2714">
        <v>148.31134417251701</v>
      </c>
      <c r="C304" s="2715">
        <v>148.93771338313812</v>
      </c>
      <c r="D304" s="3702">
        <v>142.31332673631616</v>
      </c>
      <c r="E304" s="2715">
        <v>151.1138229121413</v>
      </c>
      <c r="F304" s="3141">
        <v>140.4680173143494</v>
      </c>
      <c r="G304" s="2714">
        <v>145.86461052713787</v>
      </c>
      <c r="H304" s="2715">
        <v>146.27480690284341</v>
      </c>
      <c r="I304" s="3702">
        <v>142.40794429447047</v>
      </c>
      <c r="J304" s="2715">
        <v>147.85846186335445</v>
      </c>
      <c r="K304" s="3141">
        <v>140.68122221926447</v>
      </c>
      <c r="L304" s="2714">
        <v>146.27948426013805</v>
      </c>
      <c r="M304" s="2715">
        <v>142.40423417100681</v>
      </c>
      <c r="N304" s="3145">
        <v>147.89350421967981</v>
      </c>
    </row>
    <row r="305" spans="1:14" ht="12.75" customHeight="1">
      <c r="A305" s="81">
        <f t="shared" si="2"/>
        <v>2017.08</v>
      </c>
      <c r="B305" s="2714">
        <v>151.15729214852485</v>
      </c>
      <c r="C305" s="2715">
        <v>151.82154539401645</v>
      </c>
      <c r="D305" s="3702">
        <v>146.91040149836937</v>
      </c>
      <c r="E305" s="2715">
        <v>153.43485506318419</v>
      </c>
      <c r="F305" s="3141">
        <v>142.83958554250739</v>
      </c>
      <c r="G305" s="2714">
        <v>148.75763546534782</v>
      </c>
      <c r="H305" s="2715">
        <v>149.20830586113476</v>
      </c>
      <c r="I305" s="3702">
        <v>146.56611027795148</v>
      </c>
      <c r="J305" s="2715">
        <v>150.29040433882284</v>
      </c>
      <c r="K305" s="3141">
        <v>143.06280294468428</v>
      </c>
      <c r="L305" s="2714">
        <v>149.16946005506585</v>
      </c>
      <c r="M305" s="2715">
        <v>146.37267913477103</v>
      </c>
      <c r="N305" s="3145">
        <v>150.33430364554312</v>
      </c>
    </row>
    <row r="306" spans="1:14" ht="12.75" customHeight="1">
      <c r="A306" s="81">
        <f t="shared" si="2"/>
        <v>2017.09</v>
      </c>
      <c r="B306" s="2714">
        <v>152.66860302336491</v>
      </c>
      <c r="C306" s="2715">
        <v>153.40607268851613</v>
      </c>
      <c r="D306" s="3702">
        <v>147.67923621665898</v>
      </c>
      <c r="E306" s="2715">
        <v>155.28733718617798</v>
      </c>
      <c r="F306" s="3141">
        <v>143.43408840533544</v>
      </c>
      <c r="G306" s="2714">
        <v>150.27379000913714</v>
      </c>
      <c r="H306" s="2715">
        <v>150.79991468463317</v>
      </c>
      <c r="I306" s="3702">
        <v>147.32080676468775</v>
      </c>
      <c r="J306" s="2715">
        <v>152.22476657971862</v>
      </c>
      <c r="K306" s="3141">
        <v>143.62549018747737</v>
      </c>
      <c r="L306" s="2714">
        <v>150.75470064812319</v>
      </c>
      <c r="M306" s="2715">
        <v>147.18046687328658</v>
      </c>
      <c r="N306" s="3145">
        <v>152.24334899854429</v>
      </c>
    </row>
    <row r="307" spans="1:14" ht="12.75" customHeight="1">
      <c r="A307" s="81">
        <f t="shared" si="2"/>
        <v>2017.1</v>
      </c>
      <c r="B307" s="2714">
        <v>154.91056203698489</v>
      </c>
      <c r="C307" s="2715">
        <v>155.67081099203878</v>
      </c>
      <c r="D307" s="3702">
        <v>149.60315235699008</v>
      </c>
      <c r="E307" s="2715">
        <v>157.66403549393323</v>
      </c>
      <c r="F307" s="3141">
        <v>145.39080763820968</v>
      </c>
      <c r="G307" s="2714">
        <v>152.43861457654432</v>
      </c>
      <c r="H307" s="2715">
        <v>152.97807228798058</v>
      </c>
      <c r="I307" s="3702">
        <v>149.53577300529966</v>
      </c>
      <c r="J307" s="2715">
        <v>154.38784938292517</v>
      </c>
      <c r="K307" s="3141">
        <v>145.62183373775622</v>
      </c>
      <c r="L307" s="2714">
        <v>153.15230716553157</v>
      </c>
      <c r="M307" s="2715">
        <v>149.62364608931537</v>
      </c>
      <c r="N307" s="3145">
        <v>154.62197474219823</v>
      </c>
    </row>
    <row r="308" spans="1:14" ht="12.75" customHeight="1">
      <c r="A308" s="81">
        <f t="shared" si="2"/>
        <v>2017.11</v>
      </c>
      <c r="B308" s="2714">
        <v>157.30286911009856</v>
      </c>
      <c r="C308" s="2715">
        <v>158.0207241691987</v>
      </c>
      <c r="D308" s="3702">
        <v>151.27431716888972</v>
      </c>
      <c r="E308" s="2715">
        <v>160.23691735697847</v>
      </c>
      <c r="F308" s="3141">
        <v>148.31396644719732</v>
      </c>
      <c r="G308" s="2714">
        <v>154.6235947020532</v>
      </c>
      <c r="H308" s="2715">
        <v>155.10410416648546</v>
      </c>
      <c r="I308" s="3702">
        <v>150.9746323154618</v>
      </c>
      <c r="J308" s="2715">
        <v>156.7953094777381</v>
      </c>
      <c r="K308" s="3141">
        <v>148.55170502366087</v>
      </c>
      <c r="L308" s="2714">
        <v>155.26234117223927</v>
      </c>
      <c r="M308" s="2715">
        <v>151.12063941967469</v>
      </c>
      <c r="N308" s="3145">
        <v>156.98733675739044</v>
      </c>
    </row>
    <row r="309" spans="1:14" ht="12.75" customHeight="1">
      <c r="A309" s="81">
        <f t="shared" si="2"/>
        <v>2017.12</v>
      </c>
      <c r="B309" s="2714">
        <v>159.88571353640413</v>
      </c>
      <c r="C309" s="2715">
        <v>160.74234037628807</v>
      </c>
      <c r="D309" s="3702">
        <v>152.27936486977615</v>
      </c>
      <c r="E309" s="2715">
        <v>163.52242593368479</v>
      </c>
      <c r="F309" s="3141">
        <v>149.15912578790019</v>
      </c>
      <c r="G309" s="2714">
        <v>157.19525439885575</v>
      </c>
      <c r="H309" s="2715">
        <v>157.81808140509818</v>
      </c>
      <c r="I309" s="3702">
        <v>152.52303556805913</v>
      </c>
      <c r="J309" s="2715">
        <v>159.98664192954058</v>
      </c>
      <c r="K309" s="3141">
        <v>149.32498929368433</v>
      </c>
      <c r="L309" s="2714">
        <v>158.00554922249384</v>
      </c>
      <c r="M309" s="2715">
        <v>153.07150023322913</v>
      </c>
      <c r="N309" s="3145">
        <v>160.06055299434468</v>
      </c>
    </row>
    <row r="310" spans="1:14" ht="12.75" customHeight="1">
      <c r="A310" s="81">
        <f t="shared" si="2"/>
        <v>2018.01</v>
      </c>
      <c r="B310" s="2714">
        <v>167.19086802591019</v>
      </c>
      <c r="C310" s="2715">
        <v>167.7900143030287</v>
      </c>
      <c r="D310" s="3702">
        <v>166.89805515657301</v>
      </c>
      <c r="E310" s="2715">
        <v>168.08302268275781</v>
      </c>
      <c r="F310" s="3141">
        <v>159.68842376841712</v>
      </c>
      <c r="G310" s="2714">
        <v>164.91030461840887</v>
      </c>
      <c r="H310" s="2715">
        <v>165.30210801001772</v>
      </c>
      <c r="I310" s="3702">
        <v>167.3967638356273</v>
      </c>
      <c r="J310" s="2715">
        <v>164.4442518033855</v>
      </c>
      <c r="K310" s="3141">
        <v>159.95933664469547</v>
      </c>
      <c r="L310" s="2714">
        <v>165.95917697425546</v>
      </c>
      <c r="M310" s="2715">
        <v>168.79451940511177</v>
      </c>
      <c r="N310" s="3145">
        <v>164.77827273058489</v>
      </c>
    </row>
    <row r="311" spans="1:14" ht="12.75" customHeight="1">
      <c r="A311" s="81">
        <f t="shared" si="2"/>
        <v>2018.02</v>
      </c>
      <c r="B311" s="2714">
        <v>175.29547139727555</v>
      </c>
      <c r="C311" s="2715">
        <v>175.99716064287739</v>
      </c>
      <c r="D311" s="3702">
        <v>182.16078403973137</v>
      </c>
      <c r="E311" s="2715">
        <v>173.97241173823505</v>
      </c>
      <c r="F311" s="3141">
        <v>166.50899528575118</v>
      </c>
      <c r="G311" s="2714">
        <v>173.48078360475006</v>
      </c>
      <c r="H311" s="2715">
        <v>174.00505731066656</v>
      </c>
      <c r="I311" s="3702">
        <v>183.29462095785635</v>
      </c>
      <c r="J311" s="2715">
        <v>170.20056125254595</v>
      </c>
      <c r="K311" s="3141">
        <v>166.8558732975861</v>
      </c>
      <c r="L311" s="2714">
        <v>175.23832096362028</v>
      </c>
      <c r="M311" s="2715">
        <v>185.59680980735078</v>
      </c>
      <c r="N311" s="3145">
        <v>170.92406837089959</v>
      </c>
    </row>
    <row r="312" spans="1:14" ht="12.75" customHeight="1">
      <c r="A312" s="81">
        <f t="shared" si="2"/>
        <v>2018.03</v>
      </c>
      <c r="B312" s="2714">
        <v>178.68843528160892</v>
      </c>
      <c r="C312" s="2715">
        <v>179.23662855118485</v>
      </c>
      <c r="D312" s="3702">
        <v>183.71984041569809</v>
      </c>
      <c r="E312" s="2715">
        <v>177.76389445834818</v>
      </c>
      <c r="F312" s="3141">
        <v>171.82401902068113</v>
      </c>
      <c r="G312" s="2714">
        <v>177.56591567322602</v>
      </c>
      <c r="H312" s="2715">
        <v>177.99170139410595</v>
      </c>
      <c r="I312" s="3702">
        <v>185.68117164346566</v>
      </c>
      <c r="J312" s="2715">
        <v>174.84251588187001</v>
      </c>
      <c r="K312" s="3141">
        <v>172.18553481668283</v>
      </c>
      <c r="L312" s="2714">
        <v>179.47409146202213</v>
      </c>
      <c r="M312" s="2715">
        <v>188.7458902052332</v>
      </c>
      <c r="N312" s="3145">
        <v>175.61243921037209</v>
      </c>
    </row>
    <row r="313" spans="1:14" ht="12.75" customHeight="1">
      <c r="A313" s="81">
        <f t="shared" si="2"/>
        <v>2018.04</v>
      </c>
      <c r="B313" s="2714">
        <v>181.8925388769282</v>
      </c>
      <c r="C313" s="2715">
        <v>182.67736174338665</v>
      </c>
      <c r="D313" s="3702">
        <v>187.75278198119335</v>
      </c>
      <c r="E313" s="2715">
        <v>181.01008733263274</v>
      </c>
      <c r="F313" s="3141">
        <v>172.06507264292549</v>
      </c>
      <c r="G313" s="2714">
        <v>180.96604391748056</v>
      </c>
      <c r="H313" s="2715">
        <v>181.64906325211803</v>
      </c>
      <c r="I313" s="3702">
        <v>190.58251141366833</v>
      </c>
      <c r="J313" s="2715">
        <v>177.9904125762788</v>
      </c>
      <c r="K313" s="3141">
        <v>172.33516699390913</v>
      </c>
      <c r="L313" s="2714">
        <v>183.14914882107112</v>
      </c>
      <c r="M313" s="2715">
        <v>193.82149636237881</v>
      </c>
      <c r="N313" s="3145">
        <v>178.70417583851381</v>
      </c>
    </row>
    <row r="314" spans="1:14" ht="12.75" customHeight="1">
      <c r="A314" s="81">
        <f t="shared" si="2"/>
        <v>2018.05</v>
      </c>
      <c r="B314" s="2714">
        <v>195.55041017068828</v>
      </c>
      <c r="C314" s="2715">
        <v>195.31792540065157</v>
      </c>
      <c r="D314" s="3702">
        <v>208.16874425451243</v>
      </c>
      <c r="E314" s="2715">
        <v>191.09643428693528</v>
      </c>
      <c r="F314" s="3141">
        <v>198.46155907459854</v>
      </c>
      <c r="G314" s="2714">
        <v>196.20300276383011</v>
      </c>
      <c r="H314" s="2715">
        <v>195.97177047604026</v>
      </c>
      <c r="I314" s="3702">
        <v>214.3516198746961</v>
      </c>
      <c r="J314" s="2715">
        <v>188.44439166237615</v>
      </c>
      <c r="K314" s="3141">
        <v>199.12493676400968</v>
      </c>
      <c r="L314" s="2714">
        <v>198.48864003566499</v>
      </c>
      <c r="M314" s="2715">
        <v>218.75484010612666</v>
      </c>
      <c r="N314" s="3145">
        <v>190.04788120321211</v>
      </c>
    </row>
    <row r="315" spans="1:14" ht="12.75" customHeight="1">
      <c r="A315" s="81">
        <f t="shared" si="2"/>
        <v>2018.06</v>
      </c>
      <c r="B315" s="2714">
        <v>208.32434958625137</v>
      </c>
      <c r="C315" s="2715">
        <v>207.39099803574101</v>
      </c>
      <c r="D315" s="3702">
        <v>220.21661731126738</v>
      </c>
      <c r="E315" s="2715">
        <v>203.1777849778606</v>
      </c>
      <c r="F315" s="3141">
        <v>220.01167578315912</v>
      </c>
      <c r="G315" s="2714">
        <v>209.05147408866151</v>
      </c>
      <c r="H315" s="2715">
        <v>208.10868013384911</v>
      </c>
      <c r="I315" s="3702">
        <v>225.36994006102685</v>
      </c>
      <c r="J315" s="2715">
        <v>201.03941425169833</v>
      </c>
      <c r="K315" s="3141">
        <v>220.96495614633818</v>
      </c>
      <c r="L315" s="2714">
        <v>210.63384954274397</v>
      </c>
      <c r="M315" s="2715">
        <v>229.18237313859404</v>
      </c>
      <c r="N315" s="3145">
        <v>202.90849334245522</v>
      </c>
    </row>
    <row r="316" spans="1:14" ht="12.75" customHeight="1">
      <c r="A316" s="81">
        <f t="shared" si="2"/>
        <v>2018.07</v>
      </c>
      <c r="B316" s="2714">
        <v>218.18092421955836</v>
      </c>
      <c r="C316" s="2715">
        <v>217.05322847943899</v>
      </c>
      <c r="D316" s="3702">
        <v>234.39334917828361</v>
      </c>
      <c r="E316" s="2715">
        <v>211.35700271566611</v>
      </c>
      <c r="F316" s="3141">
        <v>232.30180713707372</v>
      </c>
      <c r="G316" s="2714">
        <v>218.60811297644389</v>
      </c>
      <c r="H316" s="2715">
        <v>217.44149168807419</v>
      </c>
      <c r="I316" s="3702">
        <v>237.76364200938377</v>
      </c>
      <c r="J316" s="2715">
        <v>209.11865288462286</v>
      </c>
      <c r="K316" s="3141">
        <v>233.34995738068025</v>
      </c>
      <c r="L316" s="2714">
        <v>219.7429968386908</v>
      </c>
      <c r="M316" s="2715">
        <v>240.72466247787017</v>
      </c>
      <c r="N316" s="3145">
        <v>211.00425060369218</v>
      </c>
    </row>
    <row r="317" spans="1:14" ht="12.75" customHeight="1">
      <c r="A317" s="81">
        <f t="shared" si="2"/>
        <v>2018.08</v>
      </c>
      <c r="B317" s="2714">
        <v>228.85916934960517</v>
      </c>
      <c r="C317" s="2715">
        <v>227.48485112405527</v>
      </c>
      <c r="D317" s="3702">
        <v>242.96676136432438</v>
      </c>
      <c r="E317" s="2715">
        <v>222.39904707951271</v>
      </c>
      <c r="F317" s="3141">
        <v>246.06823209940657</v>
      </c>
      <c r="G317" s="2714">
        <v>229.44705641083067</v>
      </c>
      <c r="H317" s="2715">
        <v>228.0283522884917</v>
      </c>
      <c r="I317" s="3702">
        <v>247.638915836032</v>
      </c>
      <c r="J317" s="2715">
        <v>219.99694042161508</v>
      </c>
      <c r="K317" s="3141">
        <v>247.37430978403128</v>
      </c>
      <c r="L317" s="2714">
        <v>230.60829562587031</v>
      </c>
      <c r="M317" s="2715">
        <v>250.9442554904964</v>
      </c>
      <c r="N317" s="3145">
        <v>222.13848222982395</v>
      </c>
    </row>
    <row r="318" spans="1:14" ht="12.75" customHeight="1">
      <c r="A318" s="81">
        <f t="shared" si="2"/>
        <v>2018.09</v>
      </c>
      <c r="B318" s="2714">
        <v>265.5738589612281</v>
      </c>
      <c r="C318" s="2715">
        <v>262.37524172030373</v>
      </c>
      <c r="D318" s="3702">
        <v>287.01981766178335</v>
      </c>
      <c r="E318" s="2715">
        <v>254.27950404620157</v>
      </c>
      <c r="F318" s="3141">
        <v>305.62659477475648</v>
      </c>
      <c r="G318" s="2714">
        <v>267.42583327869136</v>
      </c>
      <c r="H318" s="2715">
        <v>264.24329671576697</v>
      </c>
      <c r="I318" s="3702">
        <v>292.75208043082864</v>
      </c>
      <c r="J318" s="2715">
        <v>252.56766162836604</v>
      </c>
      <c r="K318" s="3141">
        <v>307.64150505596183</v>
      </c>
      <c r="L318" s="2714">
        <v>268.05808967532295</v>
      </c>
      <c r="M318" s="2715">
        <v>297.32780094435509</v>
      </c>
      <c r="N318" s="3145">
        <v>255.86741885107116</v>
      </c>
    </row>
    <row r="319" spans="1:14" ht="12.75" customHeight="1">
      <c r="A319" s="81">
        <f t="shared" si="2"/>
        <v>2018.1</v>
      </c>
      <c r="B319" s="2714">
        <v>273.60565836903214</v>
      </c>
      <c r="C319" s="2715">
        <v>271.75603580389355</v>
      </c>
      <c r="D319" s="3702">
        <v>293.31512622028703</v>
      </c>
      <c r="E319" s="2715">
        <v>264.67387943334688</v>
      </c>
      <c r="F319" s="3141">
        <v>296.76643015766535</v>
      </c>
      <c r="G319" s="2714">
        <v>274.08221337635808</v>
      </c>
      <c r="H319" s="2715">
        <v>272.13984037810457</v>
      </c>
      <c r="I319" s="3702">
        <v>296.54740447816795</v>
      </c>
      <c r="J319" s="2715">
        <v>262.1438400347393</v>
      </c>
      <c r="K319" s="3141">
        <v>298.62673420819118</v>
      </c>
      <c r="L319" s="2714">
        <v>275.05178962852523</v>
      </c>
      <c r="M319" s="2715">
        <v>300.36311955160227</v>
      </c>
      <c r="N319" s="3145">
        <v>264.50976246672218</v>
      </c>
    </row>
    <row r="320" spans="1:14" ht="12.75" customHeight="1">
      <c r="A320" s="81">
        <f t="shared" si="2"/>
        <v>2018.11</v>
      </c>
      <c r="B320" s="2714">
        <v>273.89892907752653</v>
      </c>
      <c r="C320" s="2715">
        <v>272.37657466805251</v>
      </c>
      <c r="D320" s="3702">
        <v>281.80523894694551</v>
      </c>
      <c r="E320" s="2715">
        <v>269.27926056533266</v>
      </c>
      <c r="F320" s="3141">
        <v>292.96168475741626</v>
      </c>
      <c r="G320" s="2714">
        <v>272.94816095666954</v>
      </c>
      <c r="H320" s="2715">
        <v>271.21854165092071</v>
      </c>
      <c r="I320" s="3702">
        <v>283.2620464215039</v>
      </c>
      <c r="J320" s="2715">
        <v>266.28618226722676</v>
      </c>
      <c r="K320" s="3141">
        <v>294.80424993610762</v>
      </c>
      <c r="L320" s="2714">
        <v>273.31885298586951</v>
      </c>
      <c r="M320" s="2715">
        <v>286.18887385058076</v>
      </c>
      <c r="N320" s="3145">
        <v>267.95856137175463</v>
      </c>
    </row>
    <row r="321" spans="1:14" ht="12.75" customHeight="1">
      <c r="A321" s="81">
        <f t="shared" si="2"/>
        <v>2018.12</v>
      </c>
      <c r="B321" s="2714">
        <v>277.39935294632306</v>
      </c>
      <c r="C321" s="2715">
        <v>275.1531767522041</v>
      </c>
      <c r="D321" s="3702">
        <v>278.24780846275956</v>
      </c>
      <c r="E321" s="2715">
        <v>274.13659092877145</v>
      </c>
      <c r="F321" s="3141">
        <v>305.52572597484084</v>
      </c>
      <c r="G321" s="2714">
        <v>277.3213949274778</v>
      </c>
      <c r="H321" s="2715">
        <v>274.94069728588369</v>
      </c>
      <c r="I321" s="3702">
        <v>283.64034579293258</v>
      </c>
      <c r="J321" s="2715">
        <v>271.37779813269145</v>
      </c>
      <c r="K321" s="3141">
        <v>307.40474293064193</v>
      </c>
      <c r="L321" s="2714">
        <v>277.3748205042728</v>
      </c>
      <c r="M321" s="2715">
        <v>287.64564273113496</v>
      </c>
      <c r="N321" s="3145">
        <v>273.09708056651789</v>
      </c>
    </row>
    <row r="322" spans="1:14" ht="12.75" customHeight="1">
      <c r="A322" s="81">
        <f t="shared" si="2"/>
        <v>2019.01</v>
      </c>
      <c r="B322" s="2714">
        <v>278.97894979596691</v>
      </c>
      <c r="C322" s="2715">
        <v>277.4444663265287</v>
      </c>
      <c r="D322" s="3702">
        <v>274.53386018965625</v>
      </c>
      <c r="E322" s="2715">
        <v>278.40059979024511</v>
      </c>
      <c r="F322" s="3141">
        <v>298.19358424027979</v>
      </c>
      <c r="G322" s="2714">
        <v>279.1678829493826</v>
      </c>
      <c r="H322" s="2715">
        <v>277.50495023951163</v>
      </c>
      <c r="I322" s="3702">
        <v>281.47422967089267</v>
      </c>
      <c r="J322" s="2715">
        <v>275.87935096232394</v>
      </c>
      <c r="K322" s="3141">
        <v>300.18129622070461</v>
      </c>
      <c r="L322" s="2714">
        <v>279.2786654883156</v>
      </c>
      <c r="M322" s="2715">
        <v>284.91968876816122</v>
      </c>
      <c r="N322" s="3145">
        <v>276.92921088370838</v>
      </c>
    </row>
    <row r="323" spans="1:14" ht="12.75" customHeight="1">
      <c r="A323" s="81">
        <f t="shared" si="2"/>
        <v>2019.02</v>
      </c>
      <c r="B323" s="2714">
        <v>288.3634789978899</v>
      </c>
      <c r="C323" s="2715">
        <v>286.93580360730789</v>
      </c>
      <c r="D323" s="3702">
        <v>288.97525226184905</v>
      </c>
      <c r="E323" s="2715">
        <v>286.26584518131699</v>
      </c>
      <c r="F323" s="3141">
        <v>306.2406743418174</v>
      </c>
      <c r="G323" s="2714">
        <v>288.40159490099421</v>
      </c>
      <c r="H323" s="2715">
        <v>286.83633405409665</v>
      </c>
      <c r="I323" s="3702">
        <v>293.85785693463851</v>
      </c>
      <c r="J323" s="2715">
        <v>283.9607031702821</v>
      </c>
      <c r="K323" s="3141">
        <v>308.18079153236351</v>
      </c>
      <c r="L323" s="2714">
        <v>288.32665847161252</v>
      </c>
      <c r="M323" s="2715">
        <v>295.91039455025924</v>
      </c>
      <c r="N323" s="3145">
        <v>285.16807486608815</v>
      </c>
    </row>
    <row r="324" spans="1:14" ht="12.75" customHeight="1">
      <c r="A324" s="81">
        <f t="shared" si="2"/>
        <v>2019.03</v>
      </c>
      <c r="B324" s="2714">
        <v>300.2045079752881</v>
      </c>
      <c r="C324" s="2715">
        <v>298.63942584201567</v>
      </c>
      <c r="D324" s="3702">
        <v>304.08920090964409</v>
      </c>
      <c r="E324" s="2715">
        <v>296.84917595355546</v>
      </c>
      <c r="F324" s="3141">
        <v>319.80229554687043</v>
      </c>
      <c r="G324" s="2714">
        <v>299.92883800649531</v>
      </c>
      <c r="H324" s="2715">
        <v>298.18227928438603</v>
      </c>
      <c r="I324" s="3702">
        <v>307.54122312085553</v>
      </c>
      <c r="J324" s="2715">
        <v>294.34936890384438</v>
      </c>
      <c r="K324" s="3141">
        <v>321.9989795176092</v>
      </c>
      <c r="L324" s="2714">
        <v>299.58256055998663</v>
      </c>
      <c r="M324" s="2715">
        <v>309.32157243932869</v>
      </c>
      <c r="N324" s="3145">
        <v>295.52631665367386</v>
      </c>
    </row>
    <row r="325" spans="1:14" ht="12.75" customHeight="1">
      <c r="A325" s="81">
        <f t="shared" si="2"/>
        <v>2019.04</v>
      </c>
      <c r="B325" s="2714">
        <v>313.96117537261142</v>
      </c>
      <c r="C325" s="2715">
        <v>312.47105315341287</v>
      </c>
      <c r="D325" s="3702">
        <v>323.80564288815447</v>
      </c>
      <c r="E325" s="2715">
        <v>308.74764296555099</v>
      </c>
      <c r="F325" s="3141">
        <v>332.62032308550937</v>
      </c>
      <c r="G325" s="2714">
        <v>313.46089008014059</v>
      </c>
      <c r="H325" s="2715">
        <v>311.76250949676114</v>
      </c>
      <c r="I325" s="3702">
        <v>324.63642412323281</v>
      </c>
      <c r="J325" s="2715">
        <v>306.49005975539933</v>
      </c>
      <c r="K325" s="3141">
        <v>334.92223537613052</v>
      </c>
      <c r="L325" s="2714">
        <v>312.74400735260332</v>
      </c>
      <c r="M325" s="2715">
        <v>325.68944668551529</v>
      </c>
      <c r="N325" s="3145">
        <v>307.35230436884927</v>
      </c>
    </row>
    <row r="326" spans="1:14" ht="12.75" customHeight="1">
      <c r="A326" s="81">
        <f t="shared" si="2"/>
        <v>2019.05</v>
      </c>
      <c r="B326" s="2714">
        <v>329.49345594662748</v>
      </c>
      <c r="C326" s="2715">
        <v>328.14615577357034</v>
      </c>
      <c r="D326" s="3702">
        <v>350.59752147689949</v>
      </c>
      <c r="E326" s="2715">
        <v>320.77088717121779</v>
      </c>
      <c r="F326" s="3141">
        <v>346.3642015933886</v>
      </c>
      <c r="G326" s="2714">
        <v>329.29245916643015</v>
      </c>
      <c r="H326" s="2715">
        <v>327.74157189271023</v>
      </c>
      <c r="I326" s="3702">
        <v>350.70197473882001</v>
      </c>
      <c r="J326" s="2715">
        <v>318.33824947214475</v>
      </c>
      <c r="K326" s="3141">
        <v>348.89002617948779</v>
      </c>
      <c r="L326" s="2714">
        <v>329.23979361744102</v>
      </c>
      <c r="M326" s="2715">
        <v>351.95748218988092</v>
      </c>
      <c r="N326" s="3145">
        <v>319.77800355299667</v>
      </c>
    </row>
    <row r="327" spans="1:14" ht="12.75" customHeight="1">
      <c r="A327" s="81">
        <f t="shared" si="2"/>
        <v>2019.06</v>
      </c>
      <c r="B327" s="2714">
        <v>334.94023434959956</v>
      </c>
      <c r="C327" s="2715">
        <v>334.32239281397096</v>
      </c>
      <c r="D327" s="3702">
        <v>358.75065640949322</v>
      </c>
      <c r="E327" s="2715">
        <v>326.29771369704167</v>
      </c>
      <c r="F327" s="3141">
        <v>342.67677859270202</v>
      </c>
      <c r="G327" s="2714">
        <v>334.90016840917201</v>
      </c>
      <c r="H327" s="2715">
        <v>334.08462354265777</v>
      </c>
      <c r="I327" s="3702">
        <v>360.09398117588222</v>
      </c>
      <c r="J327" s="2715">
        <v>323.43261637117018</v>
      </c>
      <c r="K327" s="3141">
        <v>345.20568541513319</v>
      </c>
      <c r="L327" s="2714">
        <v>335.51967795548507</v>
      </c>
      <c r="M327" s="2715">
        <v>361.80749052215327</v>
      </c>
      <c r="N327" s="3145">
        <v>324.57095124122679</v>
      </c>
    </row>
    <row r="328" spans="1:14" ht="12.75" customHeight="1">
      <c r="A328" s="81">
        <f t="shared" si="2"/>
        <v>2019.07</v>
      </c>
      <c r="B328" s="2714">
        <v>335.19859720381254</v>
      </c>
      <c r="C328" s="2715">
        <v>335.10341732571419</v>
      </c>
      <c r="D328" s="3702">
        <v>353.68925587373366</v>
      </c>
      <c r="E328" s="2715">
        <v>328.99797352764369</v>
      </c>
      <c r="F328" s="3141">
        <v>336.39042924406613</v>
      </c>
      <c r="G328" s="2714">
        <v>334.59780593314167</v>
      </c>
      <c r="H328" s="2715">
        <v>334.2613140248796</v>
      </c>
      <c r="I328" s="3702">
        <v>354.22792913589495</v>
      </c>
      <c r="J328" s="2715">
        <v>326.08408295473674</v>
      </c>
      <c r="K328" s="3141">
        <v>338.84983819443528</v>
      </c>
      <c r="L328" s="2714">
        <v>334.82830201012837</v>
      </c>
      <c r="M328" s="2715">
        <v>354.67082514357924</v>
      </c>
      <c r="N328" s="3145">
        <v>326.56400224922049</v>
      </c>
    </row>
    <row r="329" spans="1:14" ht="12.75" customHeight="1">
      <c r="A329" s="81">
        <f t="shared" si="2"/>
        <v>2019.08</v>
      </c>
      <c r="B329" s="2714">
        <v>372.78579027767711</v>
      </c>
      <c r="C329" s="2715">
        <v>368.11961434110202</v>
      </c>
      <c r="D329" s="3702">
        <v>368.81822705151382</v>
      </c>
      <c r="E329" s="2715">
        <v>367.89012022228587</v>
      </c>
      <c r="F329" s="3141">
        <v>431.21513582609418</v>
      </c>
      <c r="G329" s="2714">
        <v>374.55279816594373</v>
      </c>
      <c r="H329" s="2715">
        <v>369.79868843846748</v>
      </c>
      <c r="I329" s="3702">
        <v>377.26622621663898</v>
      </c>
      <c r="J329" s="2715">
        <v>366.74039430109883</v>
      </c>
      <c r="K329" s="3141">
        <v>434.62743128111941</v>
      </c>
      <c r="L329" s="2714">
        <v>372.67591477680531</v>
      </c>
      <c r="M329" s="2715">
        <v>379.98347573850043</v>
      </c>
      <c r="N329" s="3145">
        <v>369.63235656082639</v>
      </c>
    </row>
    <row r="330" spans="1:14" ht="12.75" customHeight="1">
      <c r="A330" s="81">
        <f t="shared" ref="A330:A393" si="3">A318+1</f>
        <v>2019.09</v>
      </c>
      <c r="B330" s="2714">
        <v>388.32093373494314</v>
      </c>
      <c r="C330" s="2715">
        <v>384.32214653128949</v>
      </c>
      <c r="D330" s="3702">
        <v>377.34231829218317</v>
      </c>
      <c r="E330" s="2715">
        <v>386.61501856915709</v>
      </c>
      <c r="F330" s="3141">
        <v>438.39331045331238</v>
      </c>
      <c r="G330" s="2714">
        <v>390.87435989477143</v>
      </c>
      <c r="H330" s="2715">
        <v>386.83540342434731</v>
      </c>
      <c r="I330" s="3702">
        <v>389.87985647765328</v>
      </c>
      <c r="J330" s="2715">
        <v>385.58856228132106</v>
      </c>
      <c r="K330" s="3141">
        <v>441.91206055568193</v>
      </c>
      <c r="L330" s="2714">
        <v>389.62456323334175</v>
      </c>
      <c r="M330" s="2715">
        <v>394.33100566622028</v>
      </c>
      <c r="N330" s="3145">
        <v>387.66435629249986</v>
      </c>
    </row>
    <row r="331" spans="1:14" ht="12.75" customHeight="1">
      <c r="A331" s="81">
        <f t="shared" si="3"/>
        <v>2019.1</v>
      </c>
      <c r="B331" s="2714">
        <v>402.34527996059893</v>
      </c>
      <c r="C331" s="2715">
        <v>398.21326479777878</v>
      </c>
      <c r="D331" s="3702">
        <v>388.94194237633059</v>
      </c>
      <c r="E331" s="2715">
        <v>401.2588921355877</v>
      </c>
      <c r="F331" s="3141">
        <v>454.08592262846747</v>
      </c>
      <c r="G331" s="2714">
        <v>404.50347842353125</v>
      </c>
      <c r="H331" s="2715">
        <v>400.29056740643784</v>
      </c>
      <c r="I331" s="3702">
        <v>400.78374997593193</v>
      </c>
      <c r="J331" s="2715">
        <v>400.08858686000633</v>
      </c>
      <c r="K331" s="3141">
        <v>457.73933081373303</v>
      </c>
      <c r="L331" s="2714">
        <v>402.81805564112102</v>
      </c>
      <c r="M331" s="2715">
        <v>404.94141162585441</v>
      </c>
      <c r="N331" s="3145">
        <v>401.93368976491962</v>
      </c>
    </row>
    <row r="332" spans="1:14" ht="12.75" customHeight="1">
      <c r="A332" s="81">
        <f t="shared" si="3"/>
        <v>2019.11</v>
      </c>
      <c r="B332" s="2714">
        <v>424.02790085164941</v>
      </c>
      <c r="C332" s="2715">
        <v>420.1128134177975</v>
      </c>
      <c r="D332" s="3702">
        <v>412.50252834230986</v>
      </c>
      <c r="E332" s="2715">
        <v>422.61279035968511</v>
      </c>
      <c r="F332" s="3141">
        <v>473.05219818508453</v>
      </c>
      <c r="G332" s="2714">
        <v>424.72053950122296</v>
      </c>
      <c r="H332" s="2715">
        <v>420.57920689385247</v>
      </c>
      <c r="I332" s="3702">
        <v>425.38770271248217</v>
      </c>
      <c r="J332" s="2715">
        <v>418.60991058648671</v>
      </c>
      <c r="K332" s="3141">
        <v>477.0519014716441</v>
      </c>
      <c r="L332" s="2714">
        <v>423.70048281577027</v>
      </c>
      <c r="M332" s="2715">
        <v>430.11172507036162</v>
      </c>
      <c r="N332" s="3145">
        <v>421.03023632164235</v>
      </c>
    </row>
    <row r="333" spans="1:14" ht="12.75" customHeight="1">
      <c r="A333" s="81">
        <f t="shared" si="3"/>
        <v>2019.12</v>
      </c>
      <c r="B333" s="2714">
        <v>439.65665080461702</v>
      </c>
      <c r="C333" s="2715">
        <v>437.15824982514192</v>
      </c>
      <c r="D333" s="3702">
        <v>433.01300808603725</v>
      </c>
      <c r="E333" s="2715">
        <v>438.51996080751815</v>
      </c>
      <c r="F333" s="3141">
        <v>470.94135505334111</v>
      </c>
      <c r="G333" s="2714">
        <v>438.35460439798965</v>
      </c>
      <c r="H333" s="2715">
        <v>435.45570006789109</v>
      </c>
      <c r="I333" s="3702">
        <v>441.11877097896178</v>
      </c>
      <c r="J333" s="2715">
        <v>433.13641664659264</v>
      </c>
      <c r="K333" s="3141">
        <v>474.9861977034858</v>
      </c>
      <c r="L333" s="2714">
        <v>438.12157502211488</v>
      </c>
      <c r="M333" s="2715">
        <v>444.48655076254437</v>
      </c>
      <c r="N333" s="3145">
        <v>435.47059827202844</v>
      </c>
    </row>
    <row r="334" spans="1:14" ht="12.75" customHeight="1">
      <c r="A334" s="81">
        <f t="shared" si="3"/>
        <v>2020.01</v>
      </c>
      <c r="B334" s="2714">
        <v>446.27665728632201</v>
      </c>
      <c r="C334" s="2715">
        <v>444.26859676375631</v>
      </c>
      <c r="D334" s="3702">
        <v>440.40899508231297</v>
      </c>
      <c r="E334" s="2715">
        <v>445.53647505120171</v>
      </c>
      <c r="F334" s="3141">
        <v>471.42137187701309</v>
      </c>
      <c r="G334" s="2714">
        <v>445.83086876933731</v>
      </c>
      <c r="H334" s="2715">
        <v>443.49756689928097</v>
      </c>
      <c r="I334" s="3702">
        <v>452.14519868890312</v>
      </c>
      <c r="J334" s="2715">
        <v>439.9559709422266</v>
      </c>
      <c r="K334" s="3141">
        <v>475.31530682939092</v>
      </c>
      <c r="L334" s="2714">
        <v>446.39866077530991</v>
      </c>
      <c r="M334" s="2715">
        <v>457.09844881682011</v>
      </c>
      <c r="N334" s="3145">
        <v>441.94225897809332</v>
      </c>
    </row>
    <row r="335" spans="1:14" ht="12.75" customHeight="1">
      <c r="A335" s="81">
        <f t="shared" si="3"/>
        <v>2020.02</v>
      </c>
      <c r="B335" s="2714">
        <v>451.26123606663026</v>
      </c>
      <c r="C335" s="2715">
        <v>449.38051017703134</v>
      </c>
      <c r="D335" s="3702">
        <v>443.3172938390594</v>
      </c>
      <c r="E335" s="2715">
        <v>451.37227538533148</v>
      </c>
      <c r="F335" s="3141">
        <v>474.81148028779688</v>
      </c>
      <c r="G335" s="2714">
        <v>450.87292957295438</v>
      </c>
      <c r="H335" s="2715">
        <v>448.66626298067274</v>
      </c>
      <c r="I335" s="3702">
        <v>454.62814738121494</v>
      </c>
      <c r="J335" s="2715">
        <v>446.22460193368863</v>
      </c>
      <c r="K335" s="3141">
        <v>478.7571589109055</v>
      </c>
      <c r="L335" s="2714">
        <v>451.38824625972376</v>
      </c>
      <c r="M335" s="2715">
        <v>459.09913766599141</v>
      </c>
      <c r="N335" s="3145">
        <v>448.17670317235422</v>
      </c>
    </row>
    <row r="336" spans="1:14" ht="12.75" customHeight="1">
      <c r="A336" s="81">
        <f t="shared" si="3"/>
        <v>2020.03</v>
      </c>
      <c r="B336" s="2714">
        <v>455.58593620713128</v>
      </c>
      <c r="C336" s="2715">
        <v>453.51142267462058</v>
      </c>
      <c r="D336" s="3702">
        <v>437.5610810806744</v>
      </c>
      <c r="E336" s="2715">
        <v>458.75110631387361</v>
      </c>
      <c r="F336" s="3141">
        <v>481.56276813193767</v>
      </c>
      <c r="G336" s="2714">
        <v>453.94623137339192</v>
      </c>
      <c r="H336" s="2715">
        <v>451.44512766745686</v>
      </c>
      <c r="I336" s="3702">
        <v>447.46013698306882</v>
      </c>
      <c r="J336" s="2715">
        <v>453.07716141266008</v>
      </c>
      <c r="K336" s="3141">
        <v>485.55107352680915</v>
      </c>
      <c r="L336" s="2714">
        <v>452.99814796911949</v>
      </c>
      <c r="M336" s="2715">
        <v>450.67915505146294</v>
      </c>
      <c r="N336" s="3145">
        <v>453.96399553225569</v>
      </c>
    </row>
    <row r="337" spans="1:14" ht="12.75" customHeight="1">
      <c r="A337" s="81">
        <f t="shared" si="3"/>
        <v>2020.04</v>
      </c>
      <c r="B337" s="2714">
        <v>449.68453200359056</v>
      </c>
      <c r="C337" s="2715">
        <v>445.99592789106731</v>
      </c>
      <c r="D337" s="3702">
        <v>396.16359303623005</v>
      </c>
      <c r="E337" s="2715">
        <v>462.36583872381033</v>
      </c>
      <c r="F337" s="3141">
        <v>495.87282991850475</v>
      </c>
      <c r="G337" s="2714">
        <v>448.50840318683436</v>
      </c>
      <c r="H337" s="2715">
        <v>444.45240537058334</v>
      </c>
      <c r="I337" s="3702">
        <v>414.37910166031355</v>
      </c>
      <c r="J337" s="2715">
        <v>456.76878208812985</v>
      </c>
      <c r="K337" s="3141">
        <v>499.76144417555412</v>
      </c>
      <c r="L337" s="2714">
        <v>446.84813214540725</v>
      </c>
      <c r="M337" s="2715">
        <v>420.72108426281028</v>
      </c>
      <c r="N337" s="3145">
        <v>457.72990126908041</v>
      </c>
    </row>
    <row r="338" spans="1:14" ht="12.75" customHeight="1">
      <c r="A338" s="81">
        <f t="shared" si="3"/>
        <v>2020.05</v>
      </c>
      <c r="B338" s="2714">
        <v>451.32869372994327</v>
      </c>
      <c r="C338" s="2715">
        <v>446.71642055665876</v>
      </c>
      <c r="D338" s="3702">
        <v>377.16537947110891</v>
      </c>
      <c r="E338" s="2715">
        <v>469.5639219673692</v>
      </c>
      <c r="F338" s="3141">
        <v>509.08307476241401</v>
      </c>
      <c r="G338" s="2714">
        <v>450.99340777707232</v>
      </c>
      <c r="H338" s="2715">
        <v>446.07279230401326</v>
      </c>
      <c r="I338" s="3702">
        <v>398.98415930545957</v>
      </c>
      <c r="J338" s="2715">
        <v>465.35771519482284</v>
      </c>
      <c r="K338" s="3141">
        <v>513.17206712446989</v>
      </c>
      <c r="L338" s="2714">
        <v>448.22057774288493</v>
      </c>
      <c r="M338" s="2715">
        <v>405.23524804420407</v>
      </c>
      <c r="N338" s="3145">
        <v>466.12372683144179</v>
      </c>
    </row>
    <row r="339" spans="1:14" ht="12.75" customHeight="1">
      <c r="A339" s="81">
        <f t="shared" si="3"/>
        <v>2020.06</v>
      </c>
      <c r="B339" s="2714">
        <v>467.84454369481136</v>
      </c>
      <c r="C339" s="2715">
        <v>463.49294100269816</v>
      </c>
      <c r="D339" s="3702">
        <v>412.09582407094894</v>
      </c>
      <c r="E339" s="2715">
        <v>480.37688239705022</v>
      </c>
      <c r="F339" s="3141">
        <v>522.33483742632689</v>
      </c>
      <c r="G339" s="2714">
        <v>467.79255568290785</v>
      </c>
      <c r="H339" s="2715">
        <v>463.14241856988912</v>
      </c>
      <c r="I339" s="3702">
        <v>431.39618033316248</v>
      </c>
      <c r="J339" s="2715">
        <v>476.14393756678578</v>
      </c>
      <c r="K339" s="3141">
        <v>526.55335360587594</v>
      </c>
      <c r="L339" s="2714">
        <v>465.96775419429196</v>
      </c>
      <c r="M339" s="2715">
        <v>438.33836036560672</v>
      </c>
      <c r="N339" s="3145">
        <v>477.47524199091566</v>
      </c>
    </row>
    <row r="340" spans="1:14" ht="12.75" customHeight="1">
      <c r="A340" s="81">
        <f t="shared" si="3"/>
        <v>2020.07</v>
      </c>
      <c r="B340" s="2714">
        <v>484.3679825340194</v>
      </c>
      <c r="C340" s="2715">
        <v>479.76788144413121</v>
      </c>
      <c r="D340" s="3702">
        <v>437.4215410363534</v>
      </c>
      <c r="E340" s="2715">
        <v>493.67864477857358</v>
      </c>
      <c r="F340" s="3141">
        <v>541.9699460673512</v>
      </c>
      <c r="G340" s="2714">
        <v>485.81311435731158</v>
      </c>
      <c r="H340" s="2715">
        <v>481.01735534767988</v>
      </c>
      <c r="I340" s="3702">
        <v>459.1008034775636</v>
      </c>
      <c r="J340" s="2715">
        <v>489.99317362765879</v>
      </c>
      <c r="K340" s="3141">
        <v>546.41404271774672</v>
      </c>
      <c r="L340" s="2714">
        <v>484.48425135269042</v>
      </c>
      <c r="M340" s="2715">
        <v>467.57048658492403</v>
      </c>
      <c r="N340" s="3145">
        <v>491.52873965622746</v>
      </c>
    </row>
    <row r="341" spans="1:14" ht="12.75" customHeight="1">
      <c r="A341" s="81">
        <f t="shared" si="3"/>
        <v>2020.08</v>
      </c>
      <c r="B341" s="2714">
        <v>504.24820429004302</v>
      </c>
      <c r="C341" s="2715">
        <v>499.55315821642387</v>
      </c>
      <c r="D341" s="3702">
        <v>469.77538322452608</v>
      </c>
      <c r="E341" s="2715">
        <v>509.3351506282757</v>
      </c>
      <c r="F341" s="3141">
        <v>563.03905854200457</v>
      </c>
      <c r="G341" s="2714">
        <v>506.95066652047285</v>
      </c>
      <c r="H341" s="2715">
        <v>502.13808520228008</v>
      </c>
      <c r="I341" s="3702">
        <v>491.72247318372536</v>
      </c>
      <c r="J341" s="2715">
        <v>506.40374894844717</v>
      </c>
      <c r="K341" s="3141">
        <v>567.76416759648043</v>
      </c>
      <c r="L341" s="2714">
        <v>506.17520498128169</v>
      </c>
      <c r="M341" s="2715">
        <v>500.43876826383047</v>
      </c>
      <c r="N341" s="3145">
        <v>508.5643987483063</v>
      </c>
    </row>
    <row r="342" spans="1:14" ht="12.75" customHeight="1">
      <c r="A342" s="81">
        <f t="shared" si="3"/>
        <v>2020.09</v>
      </c>
      <c r="B342" s="2714">
        <v>522.8734298547995</v>
      </c>
      <c r="C342" s="2715">
        <v>518.09236268815687</v>
      </c>
      <c r="D342" s="3702">
        <v>485.01409614679233</v>
      </c>
      <c r="E342" s="2715">
        <v>528.95856583439104</v>
      </c>
      <c r="F342" s="3141">
        <v>582.74143084042339</v>
      </c>
      <c r="G342" s="2714">
        <v>527.40850992059586</v>
      </c>
      <c r="H342" s="2715">
        <v>522.63121838891243</v>
      </c>
      <c r="I342" s="3702">
        <v>516.55322509023608</v>
      </c>
      <c r="J342" s="2715">
        <v>525.12043127601135</v>
      </c>
      <c r="K342" s="3141">
        <v>587.77607661587081</v>
      </c>
      <c r="L342" s="2714">
        <v>528.79060307795282</v>
      </c>
      <c r="M342" s="2715">
        <v>529.38290215625761</v>
      </c>
      <c r="N342" s="3145">
        <v>528.54391382889366</v>
      </c>
    </row>
    <row r="343" spans="1:14" ht="12.75" customHeight="1">
      <c r="A343" s="81">
        <f t="shared" si="3"/>
        <v>2020.1</v>
      </c>
      <c r="B343" s="2714">
        <v>547.26578034077966</v>
      </c>
      <c r="C343" s="2715">
        <v>541.81265965791772</v>
      </c>
      <c r="D343" s="3702">
        <v>509.11559734075041</v>
      </c>
      <c r="E343" s="2715">
        <v>552.55363730192778</v>
      </c>
      <c r="F343" s="3141">
        <v>615.54916207071062</v>
      </c>
      <c r="G343" s="2714">
        <v>556.25505660745591</v>
      </c>
      <c r="H343" s="2715">
        <v>551.15615057791263</v>
      </c>
      <c r="I343" s="3702">
        <v>556.00189071595139</v>
      </c>
      <c r="J343" s="2715">
        <v>549.1716010388817</v>
      </c>
      <c r="K343" s="3141">
        <v>620.6866592781297</v>
      </c>
      <c r="L343" s="2714">
        <v>560.75876380549539</v>
      </c>
      <c r="M343" s="2715">
        <v>574.43859916902784</v>
      </c>
      <c r="N343" s="3145">
        <v>555.06118898782904</v>
      </c>
    </row>
    <row r="344" spans="1:14" ht="12.75" customHeight="1">
      <c r="A344" s="81">
        <f t="shared" si="3"/>
        <v>2020.11</v>
      </c>
      <c r="B344" s="2714">
        <v>570.09441534688449</v>
      </c>
      <c r="C344" s="2715">
        <v>563.91181325942716</v>
      </c>
      <c r="D344" s="3702">
        <v>528.53785402362473</v>
      </c>
      <c r="E344" s="2715">
        <v>575.53215094133623</v>
      </c>
      <c r="F344" s="3141">
        <v>647.51228356844251</v>
      </c>
      <c r="G344" s="2714">
        <v>581.40514058350675</v>
      </c>
      <c r="H344" s="2715">
        <v>575.75872395742783</v>
      </c>
      <c r="I344" s="3702">
        <v>582.27774123672089</v>
      </c>
      <c r="J344" s="2715">
        <v>573.08889182280689</v>
      </c>
      <c r="K344" s="3141">
        <v>652.75528323306605</v>
      </c>
      <c r="L344" s="2714">
        <v>587.636548819577</v>
      </c>
      <c r="M344" s="2715">
        <v>603.76589295235931</v>
      </c>
      <c r="N344" s="3145">
        <v>580.91876731751427</v>
      </c>
    </row>
    <row r="345" spans="1:14" ht="12.75" customHeight="1">
      <c r="A345" s="81">
        <f t="shared" si="3"/>
        <v>2020.12</v>
      </c>
      <c r="B345" s="2714">
        <v>595.18972645761346</v>
      </c>
      <c r="C345" s="2715">
        <v>589.00475177033786</v>
      </c>
      <c r="D345" s="3702">
        <v>566.74305880638951</v>
      </c>
      <c r="E345" s="2715">
        <v>596.31771292030771</v>
      </c>
      <c r="F345" s="3141">
        <v>672.63730411503298</v>
      </c>
      <c r="G345" s="2714">
        <v>607.5133591098562</v>
      </c>
      <c r="H345" s="2715">
        <v>601.93786775904425</v>
      </c>
      <c r="I345" s="3702">
        <v>622.54590903669134</v>
      </c>
      <c r="J345" s="2715">
        <v>593.49794369112522</v>
      </c>
      <c r="K345" s="3141">
        <v>677.96726458052467</v>
      </c>
      <c r="L345" s="2714">
        <v>614.8163762512105</v>
      </c>
      <c r="M345" s="2715">
        <v>645.38121210322151</v>
      </c>
      <c r="N345" s="3145">
        <v>602.08629329123983</v>
      </c>
    </row>
    <row r="346" spans="1:14" ht="12.75" customHeight="1">
      <c r="A346" s="81">
        <f t="shared" si="3"/>
        <v>2021.01</v>
      </c>
      <c r="B346" s="2714">
        <v>628.266822567963</v>
      </c>
      <c r="C346" s="2715">
        <v>622.37150263884075</v>
      </c>
      <c r="D346" s="3702">
        <v>615.71014359582023</v>
      </c>
      <c r="E346" s="2715">
        <v>624.55975759170929</v>
      </c>
      <c r="F346" s="3141">
        <v>702.08737497302354</v>
      </c>
      <c r="G346" s="2714">
        <v>642.40783358081512</v>
      </c>
      <c r="H346" s="2715">
        <v>637.22528894425307</v>
      </c>
      <c r="I346" s="3702">
        <v>677.03820022086632</v>
      </c>
      <c r="J346" s="2715">
        <v>620.92010284867115</v>
      </c>
      <c r="K346" s="3141">
        <v>707.89632364343311</v>
      </c>
      <c r="L346" s="2714">
        <v>654.39548352390818</v>
      </c>
      <c r="M346" s="2715">
        <v>704.98478059460251</v>
      </c>
      <c r="N346" s="3145">
        <v>633.32532460944026</v>
      </c>
    </row>
    <row r="347" spans="1:14" ht="12.75" customHeight="1">
      <c r="A347" s="81">
        <f t="shared" si="3"/>
        <v>2021.02</v>
      </c>
      <c r="B347" s="2714">
        <v>666.51491767307868</v>
      </c>
      <c r="C347" s="2715">
        <v>659.50691675789301</v>
      </c>
      <c r="D347" s="3702">
        <v>664.96057838791387</v>
      </c>
      <c r="E347" s="2715">
        <v>657.71539013455731</v>
      </c>
      <c r="F347" s="3141">
        <v>754.26833988491887</v>
      </c>
      <c r="G347" s="2714">
        <v>679.21151895620403</v>
      </c>
      <c r="H347" s="2715">
        <v>672.81390157564522</v>
      </c>
      <c r="I347" s="3702">
        <v>719.27419969039875</v>
      </c>
      <c r="J347" s="2715">
        <v>653.78631021077524</v>
      </c>
      <c r="K347" s="3141">
        <v>760.05410336838611</v>
      </c>
      <c r="L347" s="2714">
        <v>689.30391556411519</v>
      </c>
      <c r="M347" s="2715">
        <v>747.21823290350949</v>
      </c>
      <c r="N347" s="3145">
        <v>665.18292673007716</v>
      </c>
    </row>
    <row r="348" spans="1:14" ht="12.75" customHeight="1">
      <c r="A348" s="81">
        <f t="shared" si="3"/>
        <v>2021.03</v>
      </c>
      <c r="B348" s="2714">
        <v>692.44856230970277</v>
      </c>
      <c r="C348" s="2715">
        <v>684.47057999028448</v>
      </c>
      <c r="D348" s="3702">
        <v>673.99878340505234</v>
      </c>
      <c r="E348" s="2715">
        <v>687.91056282187776</v>
      </c>
      <c r="F348" s="3141">
        <v>792.34798574690581</v>
      </c>
      <c r="G348" s="2714">
        <v>704.06936842499636</v>
      </c>
      <c r="H348" s="2715">
        <v>696.61406247964896</v>
      </c>
      <c r="I348" s="3702">
        <v>729.10067316505763</v>
      </c>
      <c r="J348" s="2715">
        <v>683.30932751163732</v>
      </c>
      <c r="K348" s="3141">
        <v>798.27728433396362</v>
      </c>
      <c r="L348" s="2714">
        <v>712.37999908252289</v>
      </c>
      <c r="M348" s="2715">
        <v>755.119964950802</v>
      </c>
      <c r="N348" s="3145">
        <v>694.57904265521483</v>
      </c>
    </row>
    <row r="349" spans="1:14" ht="12.75" customHeight="1">
      <c r="A349" s="81">
        <f t="shared" si="3"/>
        <v>2021.04</v>
      </c>
      <c r="B349" s="2714">
        <v>725.4504887411008</v>
      </c>
      <c r="C349" s="2715">
        <v>718.51591402950487</v>
      </c>
      <c r="D349" s="3702">
        <v>707.33882200796563</v>
      </c>
      <c r="E349" s="2715">
        <v>722.18758625387272</v>
      </c>
      <c r="F349" s="3141">
        <v>812.28447604947257</v>
      </c>
      <c r="G349" s="2714">
        <v>737.53831278346286</v>
      </c>
      <c r="H349" s="2715">
        <v>731.14558119645562</v>
      </c>
      <c r="I349" s="3702">
        <v>765.43596034436712</v>
      </c>
      <c r="J349" s="2715">
        <v>717.10212154061401</v>
      </c>
      <c r="K349" s="3141">
        <v>818.31915855856641</v>
      </c>
      <c r="L349" s="2714">
        <v>748.04408660654792</v>
      </c>
      <c r="M349" s="2715">
        <v>792.37389315888061</v>
      </c>
      <c r="N349" s="3145">
        <v>729.58097043792395</v>
      </c>
    </row>
    <row r="350" spans="1:14" ht="12.75" customHeight="1">
      <c r="A350" s="81">
        <f t="shared" si="3"/>
        <v>2021.05</v>
      </c>
      <c r="B350" s="2714">
        <v>748.8280032300928</v>
      </c>
      <c r="C350" s="2715">
        <v>742.16961131167648</v>
      </c>
      <c r="D350" s="3702">
        <v>710.87635649471815</v>
      </c>
      <c r="E350" s="2715">
        <v>752.44943850645132</v>
      </c>
      <c r="F350" s="3141">
        <v>832.20365976041501</v>
      </c>
      <c r="G350" s="2714">
        <v>761.61996844445036</v>
      </c>
      <c r="H350" s="2715">
        <v>755.56861714637819</v>
      </c>
      <c r="I350" s="3702">
        <v>775.7452915250044</v>
      </c>
      <c r="J350" s="2715">
        <v>747.30535731471923</v>
      </c>
      <c r="K350" s="3141">
        <v>838.0870106293562</v>
      </c>
      <c r="L350" s="2714">
        <v>773.82089845897337</v>
      </c>
      <c r="M350" s="2715">
        <v>803.12202891949107</v>
      </c>
      <c r="N350" s="3145">
        <v>761.61714171742551</v>
      </c>
    </row>
    <row r="351" spans="1:14" ht="12.75" customHeight="1">
      <c r="A351" s="81">
        <f t="shared" si="3"/>
        <v>2021.06</v>
      </c>
      <c r="B351" s="2714">
        <v>772.26915003951444</v>
      </c>
      <c r="C351" s="2715">
        <v>765.79645737901308</v>
      </c>
      <c r="D351" s="3702">
        <v>715.81958753957633</v>
      </c>
      <c r="E351" s="2715">
        <v>782.21384792180663</v>
      </c>
      <c r="F351" s="3141">
        <v>853.31950073990879</v>
      </c>
      <c r="G351" s="2714">
        <v>779.53294414463824</v>
      </c>
      <c r="H351" s="2715">
        <v>773.1850401937736</v>
      </c>
      <c r="I351" s="3702">
        <v>766.55401057146128</v>
      </c>
      <c r="J351" s="2715">
        <v>775.90074644409162</v>
      </c>
      <c r="K351" s="3141">
        <v>859.7473318552295</v>
      </c>
      <c r="L351" s="2714">
        <v>787.29168591791267</v>
      </c>
      <c r="M351" s="2715">
        <v>788.89658915357359</v>
      </c>
      <c r="N351" s="3145">
        <v>786.62325270820656</v>
      </c>
    </row>
    <row r="352" spans="1:14" ht="12.75" customHeight="1">
      <c r="A352" s="81">
        <f t="shared" si="3"/>
        <v>2021.07</v>
      </c>
      <c r="B352" s="2714">
        <v>789.53998595621761</v>
      </c>
      <c r="C352" s="2715">
        <v>783.33402670842622</v>
      </c>
      <c r="D352" s="3702">
        <v>730.3466150553146</v>
      </c>
      <c r="E352" s="2715">
        <v>800.74037956237112</v>
      </c>
      <c r="F352" s="3141">
        <v>867.25032998897507</v>
      </c>
      <c r="G352" s="2714">
        <v>796.28470555776255</v>
      </c>
      <c r="H352" s="2715">
        <v>790.15863859747139</v>
      </c>
      <c r="I352" s="3702">
        <v>776.9296472561241</v>
      </c>
      <c r="J352" s="2715">
        <v>795.57650829755448</v>
      </c>
      <c r="K352" s="3141">
        <v>873.6958816085413</v>
      </c>
      <c r="L352" s="2714">
        <v>803.25869656683687</v>
      </c>
      <c r="M352" s="2715">
        <v>797.48722131858301</v>
      </c>
      <c r="N352" s="3145">
        <v>805.66248368571416</v>
      </c>
    </row>
    <row r="353" spans="1:14" ht="12.75" customHeight="1">
      <c r="A353" s="81">
        <f t="shared" si="3"/>
        <v>2021.08</v>
      </c>
      <c r="B353" s="2714">
        <v>809.37168740717391</v>
      </c>
      <c r="C353" s="2715">
        <v>803.82822826020595</v>
      </c>
      <c r="D353" s="3702">
        <v>736.60639301524031</v>
      </c>
      <c r="E353" s="2715">
        <v>825.91058607424179</v>
      </c>
      <c r="F353" s="3141">
        <v>878.78627752001353</v>
      </c>
      <c r="G353" s="2714">
        <v>818.28486309843299</v>
      </c>
      <c r="H353" s="2715">
        <v>812.97735593884443</v>
      </c>
      <c r="I353" s="3702">
        <v>790.75150796870423</v>
      </c>
      <c r="J353" s="2715">
        <v>822.07984494718528</v>
      </c>
      <c r="K353" s="3141">
        <v>885.35242435507564</v>
      </c>
      <c r="L353" s="2714">
        <v>825.54141864818564</v>
      </c>
      <c r="M353" s="2715">
        <v>811.17439204059735</v>
      </c>
      <c r="N353" s="3145">
        <v>831.52520477051917</v>
      </c>
    </row>
    <row r="354" spans="1:14" ht="12.75" customHeight="1">
      <c r="A354" s="81">
        <f t="shared" si="3"/>
        <v>2021.09</v>
      </c>
      <c r="B354" s="2714">
        <v>831.99366997019149</v>
      </c>
      <c r="C354" s="2715">
        <v>825.97348405443506</v>
      </c>
      <c r="D354" s="3702">
        <v>762.00998916088747</v>
      </c>
      <c r="E354" s="2715">
        <v>846.98547779320074</v>
      </c>
      <c r="F354" s="3141">
        <v>907.37778062498001</v>
      </c>
      <c r="G354" s="2714">
        <v>841.80746534990362</v>
      </c>
      <c r="H354" s="2715">
        <v>836.08630822480734</v>
      </c>
      <c r="I354" s="3702">
        <v>819.36791468537513</v>
      </c>
      <c r="J354" s="2715">
        <v>842.93324579201578</v>
      </c>
      <c r="K354" s="3141">
        <v>914.10205571198674</v>
      </c>
      <c r="L354" s="2714">
        <v>848.94403751862149</v>
      </c>
      <c r="M354" s="2715">
        <v>840.52051578405928</v>
      </c>
      <c r="N354" s="3145">
        <v>852.45238714677771</v>
      </c>
    </row>
    <row r="355" spans="1:14" ht="12.75" customHeight="1">
      <c r="A355" s="81">
        <f t="shared" si="3"/>
        <v>2021.1</v>
      </c>
      <c r="B355" s="2714">
        <v>855.68247177400372</v>
      </c>
      <c r="C355" s="2715">
        <v>849.865058428922</v>
      </c>
      <c r="D355" s="3702">
        <v>782.98436019748112</v>
      </c>
      <c r="E355" s="2715">
        <v>871.83535281046102</v>
      </c>
      <c r="F355" s="3141">
        <v>928.52748644082646</v>
      </c>
      <c r="G355" s="2714">
        <v>865.82797072062169</v>
      </c>
      <c r="H355" s="2715">
        <v>860.31897274609639</v>
      </c>
      <c r="I355" s="3702">
        <v>839.56990785475182</v>
      </c>
      <c r="J355" s="2715">
        <v>868.81665235591663</v>
      </c>
      <c r="K355" s="3141">
        <v>935.44164207511005</v>
      </c>
      <c r="L355" s="2714">
        <v>872.75149864570108</v>
      </c>
      <c r="M355" s="2715">
        <v>859.57244865085397</v>
      </c>
      <c r="N355" s="3145">
        <v>878.24049916185879</v>
      </c>
    </row>
    <row r="356" spans="1:14" ht="12.75" customHeight="1">
      <c r="A356" s="81">
        <f t="shared" si="3"/>
        <v>2021.11</v>
      </c>
      <c r="B356" s="2714">
        <v>880.88864612376449</v>
      </c>
      <c r="C356" s="2715">
        <v>874.5455766038956</v>
      </c>
      <c r="D356" s="3702">
        <v>807.2213809533074</v>
      </c>
      <c r="E356" s="2715">
        <v>896.66155978824008</v>
      </c>
      <c r="F356" s="3141">
        <v>960.31587001153673</v>
      </c>
      <c r="G356" s="2714">
        <v>892.36475420031934</v>
      </c>
      <c r="H356" s="2715">
        <v>886.44193049847172</v>
      </c>
      <c r="I356" s="3702">
        <v>865.14303045516408</v>
      </c>
      <c r="J356" s="2715">
        <v>895.16479244706557</v>
      </c>
      <c r="K356" s="3141">
        <v>967.20767564948528</v>
      </c>
      <c r="L356" s="2714">
        <v>898.59622753081658</v>
      </c>
      <c r="M356" s="2715">
        <v>884.24356981194933</v>
      </c>
      <c r="N356" s="3145">
        <v>904.57402909146799</v>
      </c>
    </row>
    <row r="357" spans="1:14" ht="12.75" customHeight="1">
      <c r="A357" s="81">
        <f t="shared" si="3"/>
        <v>2021.12</v>
      </c>
      <c r="B357" s="2714">
        <v>900.78036666067555</v>
      </c>
      <c r="C357" s="2715">
        <v>895.06855819524549</v>
      </c>
      <c r="D357" s="3702">
        <v>821.87023154498604</v>
      </c>
      <c r="E357" s="2715">
        <v>919.11419209663109</v>
      </c>
      <c r="F357" s="3141">
        <v>972.30300855616792</v>
      </c>
      <c r="G357" s="2714">
        <v>914.38375270703125</v>
      </c>
      <c r="H357" s="2715">
        <v>909.22945580843873</v>
      </c>
      <c r="I357" s="3702">
        <v>888.18631468909348</v>
      </c>
      <c r="J357" s="2715">
        <v>917.84757292132235</v>
      </c>
      <c r="K357" s="3141">
        <v>979.5152942362231</v>
      </c>
      <c r="L357" s="2714">
        <v>922.05852689647156</v>
      </c>
      <c r="M357" s="2715">
        <v>909.97182662658429</v>
      </c>
      <c r="N357" s="3145">
        <v>927.09256986967489</v>
      </c>
    </row>
    <row r="358" spans="1:14" ht="12.75" customHeight="1">
      <c r="A358" s="81">
        <f t="shared" si="3"/>
        <v>2022.01</v>
      </c>
      <c r="B358" s="2714">
        <v>934.33619002336945</v>
      </c>
      <c r="C358" s="2715">
        <v>929.60833172378148</v>
      </c>
      <c r="D358" s="3702">
        <v>882.61412524756963</v>
      </c>
      <c r="E358" s="2715">
        <v>945.04591802014909</v>
      </c>
      <c r="F358" s="3141">
        <v>993.53791538595704</v>
      </c>
      <c r="G358" s="2719">
        <v>952.19962997111077</v>
      </c>
      <c r="H358" s="2720">
        <v>948.32080626844231</v>
      </c>
      <c r="I358" s="3704">
        <v>956.01739725910988</v>
      </c>
      <c r="J358" s="2720">
        <v>945.1687044908964</v>
      </c>
      <c r="K358" s="3146">
        <v>1001.2138354088413</v>
      </c>
      <c r="L358" s="2719">
        <v>963.5584122962124</v>
      </c>
      <c r="M358" s="2720">
        <v>981.99360047185155</v>
      </c>
      <c r="N358" s="3147">
        <v>955.88025966372845</v>
      </c>
    </row>
    <row r="359" spans="1:14" ht="12.75" customHeight="1">
      <c r="A359" s="81">
        <f t="shared" si="3"/>
        <v>2022.02</v>
      </c>
      <c r="B359" s="2714">
        <v>978.60325697028588</v>
      </c>
      <c r="C359" s="2715">
        <v>975.1494866279055</v>
      </c>
      <c r="D359" s="3702">
        <v>928.65143067398162</v>
      </c>
      <c r="E359" s="2715">
        <v>990.42408758888519</v>
      </c>
      <c r="F359" s="3141">
        <v>1021.8509920584715</v>
      </c>
      <c r="G359" s="2719">
        <v>999.59354108728155</v>
      </c>
      <c r="H359" s="2720">
        <v>997.21430435946468</v>
      </c>
      <c r="I359" s="3704">
        <v>1014.5281535663448</v>
      </c>
      <c r="J359" s="2720">
        <v>990.12350079105715</v>
      </c>
      <c r="K359" s="3146">
        <v>1029.6584284607004</v>
      </c>
      <c r="L359" s="2719">
        <v>1014.9647548921288</v>
      </c>
      <c r="M359" s="2720">
        <v>1042.5985153138427</v>
      </c>
      <c r="N359" s="3147">
        <v>1003.455448433962</v>
      </c>
    </row>
    <row r="360" spans="1:14" ht="12.75" customHeight="1">
      <c r="A360" s="81">
        <f t="shared" si="3"/>
        <v>2022.03</v>
      </c>
      <c r="B360" s="2714">
        <v>1040.5419938330967</v>
      </c>
      <c r="C360" s="2715">
        <v>1037.6018934472129</v>
      </c>
      <c r="D360" s="3702">
        <v>991.92654652707608</v>
      </c>
      <c r="E360" s="2715">
        <v>1052.6062346749568</v>
      </c>
      <c r="F360" s="3141">
        <v>1077.3576098169199</v>
      </c>
      <c r="G360" s="2719">
        <v>1069.3663744617529</v>
      </c>
      <c r="H360" s="2720">
        <v>1068.0985079346738</v>
      </c>
      <c r="I360" s="3704">
        <v>1109.3959130422481</v>
      </c>
      <c r="J360" s="2720">
        <v>1051.1853545391546</v>
      </c>
      <c r="K360" s="3146">
        <v>1085.3875899614152</v>
      </c>
      <c r="L360" s="2719">
        <v>1097.2172689881286</v>
      </c>
      <c r="M360" s="2720">
        <v>1148.8982581276482</v>
      </c>
      <c r="N360" s="3147">
        <v>1075.6924264408024</v>
      </c>
    </row>
    <row r="361" spans="1:14" ht="12.75" customHeight="1">
      <c r="A361" s="81">
        <f t="shared" si="3"/>
        <v>2022.04</v>
      </c>
      <c r="B361" s="2714">
        <v>1101.9533166314045</v>
      </c>
      <c r="C361" s="2715">
        <v>1098.2628470673901</v>
      </c>
      <c r="D361" s="3702">
        <v>1041.3154383892845</v>
      </c>
      <c r="E361" s="2715">
        <v>1116.970058056638</v>
      </c>
      <c r="F361" s="3141">
        <v>1148.1649735262049</v>
      </c>
      <c r="G361" s="2719">
        <v>1129.8899093707705</v>
      </c>
      <c r="H361" s="2720">
        <v>1127.7731567293354</v>
      </c>
      <c r="I361" s="3704">
        <v>1156.2214941257721</v>
      </c>
      <c r="J361" s="2720">
        <v>1116.1222771406538</v>
      </c>
      <c r="K361" s="3146">
        <v>1156.6379538247108</v>
      </c>
      <c r="L361" s="2719">
        <v>1154.7802413595289</v>
      </c>
      <c r="M361" s="2720">
        <v>1193.7640242904536</v>
      </c>
      <c r="N361" s="3147">
        <v>1138.5437140898589</v>
      </c>
    </row>
    <row r="362" spans="1:14" ht="12.75" customHeight="1">
      <c r="A362" s="81">
        <f t="shared" si="3"/>
        <v>2022.05</v>
      </c>
      <c r="B362" s="2714">
        <v>1158.9222798841117</v>
      </c>
      <c r="C362" s="2715">
        <v>1155.4697494285519</v>
      </c>
      <c r="D362" s="3702">
        <v>1079.7412232143154</v>
      </c>
      <c r="E362" s="2715">
        <v>1180.3465533197041</v>
      </c>
      <c r="F362" s="3141">
        <v>1202.1544892449222</v>
      </c>
      <c r="G362" s="2714">
        <v>1187.8374143095784</v>
      </c>
      <c r="H362" s="2715">
        <v>1186.0230432330081</v>
      </c>
      <c r="I362" s="3702">
        <v>1200.4950276717102</v>
      </c>
      <c r="J362" s="2715">
        <v>1180.0961116955036</v>
      </c>
      <c r="K362" s="3141">
        <v>1210.7644570173675</v>
      </c>
      <c r="L362" s="2714">
        <v>1213.0152279005529</v>
      </c>
      <c r="M362" s="2715">
        <v>1242.7700163549944</v>
      </c>
      <c r="N362" s="3145">
        <v>1200.6225251451574</v>
      </c>
    </row>
    <row r="363" spans="1:14" ht="12.75" customHeight="1">
      <c r="A363" s="81">
        <f t="shared" si="3"/>
        <v>2022.06</v>
      </c>
      <c r="B363" s="2714">
        <v>1214.824148470205</v>
      </c>
      <c r="C363" s="2715">
        <v>1213.4015548146576</v>
      </c>
      <c r="D363" s="3702">
        <v>1116.7303446830331</v>
      </c>
      <c r="E363" s="2715">
        <v>1245.1580256795653</v>
      </c>
      <c r="F363" s="3141">
        <v>1232.6377108829495</v>
      </c>
      <c r="G363" s="2714">
        <v>1238.6456594033577</v>
      </c>
      <c r="H363" s="2715">
        <v>1238.4712184262703</v>
      </c>
      <c r="I363" s="3702">
        <v>1226.7118191168281</v>
      </c>
      <c r="J363" s="2715">
        <v>1243.2872237864601</v>
      </c>
      <c r="K363" s="3141">
        <v>1240.8499580626346</v>
      </c>
      <c r="L363" s="2714">
        <v>1262.6658880123737</v>
      </c>
      <c r="M363" s="2715">
        <v>1264.6875092968894</v>
      </c>
      <c r="N363" s="3145">
        <v>1261.8238940690667</v>
      </c>
    </row>
    <row r="364" spans="1:14" ht="12.75" customHeight="1">
      <c r="A364" s="81">
        <f t="shared" si="3"/>
        <v>2022.07</v>
      </c>
      <c r="B364" s="2714">
        <v>1300.837282675061</v>
      </c>
      <c r="C364" s="2715">
        <v>1297.8250637795456</v>
      </c>
      <c r="D364" s="3702">
        <v>1160.0185074340354</v>
      </c>
      <c r="E364" s="2715">
        <v>1343.0944866575771</v>
      </c>
      <c r="F364" s="3141">
        <v>1338.5559587614139</v>
      </c>
      <c r="G364" s="2714">
        <v>1321.0462357745425</v>
      </c>
      <c r="H364" s="2715">
        <v>1318.9442507538122</v>
      </c>
      <c r="I364" s="3702">
        <v>1256.3184191316986</v>
      </c>
      <c r="J364" s="2715">
        <v>1344.5923585220405</v>
      </c>
      <c r="K364" s="3141">
        <v>1347.6076712844865</v>
      </c>
      <c r="L364" s="2714">
        <v>1336.7336042192569</v>
      </c>
      <c r="M364" s="2715">
        <v>1287.4210446008026</v>
      </c>
      <c r="N364" s="3145">
        <v>1357.272009134984</v>
      </c>
    </row>
    <row r="365" spans="1:14" ht="12.75" customHeight="1">
      <c r="A365" s="81">
        <f t="shared" si="3"/>
        <v>2022.08</v>
      </c>
      <c r="B365" s="2714">
        <v>1407.1975423211811</v>
      </c>
      <c r="C365" s="2715">
        <v>1402.9584585535881</v>
      </c>
      <c r="D365" s="3702">
        <v>1269.8667865393272</v>
      </c>
      <c r="E365" s="2715">
        <v>1446.6790429853759</v>
      </c>
      <c r="F365" s="3141">
        <v>1460.2788863665244</v>
      </c>
      <c r="G365" s="2714">
        <v>1427.6418210270672</v>
      </c>
      <c r="H365" s="2715">
        <v>1424.3418966071533</v>
      </c>
      <c r="I365" s="3702">
        <v>1360.141844610197</v>
      </c>
      <c r="J365" s="2715">
        <v>1450.6347187492931</v>
      </c>
      <c r="K365" s="3141">
        <v>1469.3408478055139</v>
      </c>
      <c r="L365" s="2714">
        <v>1441.3368187760238</v>
      </c>
      <c r="M365" s="2715">
        <v>1389.1158911672121</v>
      </c>
      <c r="N365" s="3145">
        <v>1463.0865426719879</v>
      </c>
    </row>
    <row r="366" spans="1:14" ht="12.75" customHeight="1">
      <c r="A366" s="81">
        <f t="shared" si="3"/>
        <v>2022.09</v>
      </c>
      <c r="B366" s="2714">
        <v>1484.3423363897232</v>
      </c>
      <c r="C366" s="2715">
        <v>1478.9880165831412</v>
      </c>
      <c r="D366" s="3702">
        <v>1327.5318713723707</v>
      </c>
      <c r="E366" s="2715">
        <v>1528.7413263446349</v>
      </c>
      <c r="F366" s="3141">
        <v>1551.3885443355894</v>
      </c>
      <c r="G366" s="2714">
        <v>1511.3596056641532</v>
      </c>
      <c r="H366" s="2715">
        <v>1507.470147296088</v>
      </c>
      <c r="I366" s="3702">
        <v>1453.7982438089962</v>
      </c>
      <c r="J366" s="2715">
        <v>1529.451216913963</v>
      </c>
      <c r="K366" s="3141">
        <v>1560.5081945424067</v>
      </c>
      <c r="L366" s="2714">
        <v>1533.3595334397949</v>
      </c>
      <c r="M366" s="2715">
        <v>1497.9758047679736</v>
      </c>
      <c r="N366" s="3145">
        <v>1548.0966582719461</v>
      </c>
    </row>
    <row r="367" spans="1:14" ht="12.75" customHeight="1">
      <c r="A367" s="81">
        <f t="shared" si="3"/>
        <v>2022.1</v>
      </c>
      <c r="B367" s="2714">
        <v>1555.2267205418964</v>
      </c>
      <c r="C367" s="2715">
        <v>1547.4145171249793</v>
      </c>
      <c r="D367" s="3702">
        <v>1354.5947046006909</v>
      </c>
      <c r="E367" s="2715">
        <v>1610.7557823296602</v>
      </c>
      <c r="F367" s="3141">
        <v>1653.0502786644602</v>
      </c>
      <c r="G367" s="2714">
        <v>1580.4097389919891</v>
      </c>
      <c r="H367" s="2715">
        <v>1573.8796766483338</v>
      </c>
      <c r="I367" s="3702">
        <v>1476.9220181041285</v>
      </c>
      <c r="J367" s="2715">
        <v>1613.5882188087326</v>
      </c>
      <c r="K367" s="3141">
        <v>1662.9259453905711</v>
      </c>
      <c r="L367" s="2714">
        <v>1594.5121482181569</v>
      </c>
      <c r="M367" s="2715">
        <v>1524.5582297124975</v>
      </c>
      <c r="N367" s="3145">
        <v>1623.6475635125062</v>
      </c>
    </row>
    <row r="368" spans="1:14" ht="12.75" customHeight="1">
      <c r="A368" s="81">
        <f t="shared" si="3"/>
        <v>2022.11</v>
      </c>
      <c r="B368" s="2714">
        <v>1653.1188909161824</v>
      </c>
      <c r="C368" s="2715">
        <v>1642.2902154472806</v>
      </c>
      <c r="D368" s="3702">
        <v>1427.4258420639596</v>
      </c>
      <c r="E368" s="2715">
        <v>1712.8731139541248</v>
      </c>
      <c r="F368" s="3141">
        <v>1788.7143826859628</v>
      </c>
      <c r="G368" s="2714">
        <v>1686.0822234794844</v>
      </c>
      <c r="H368" s="2715">
        <v>1677.1294779621057</v>
      </c>
      <c r="I368" s="3702">
        <v>1592.075852278042</v>
      </c>
      <c r="J368" s="2715">
        <v>1711.9627807881093</v>
      </c>
      <c r="K368" s="3141">
        <v>1799.2123221015909</v>
      </c>
      <c r="L368" s="2714">
        <v>1704.7884832707687</v>
      </c>
      <c r="M368" s="2715">
        <v>1658.1690909246313</v>
      </c>
      <c r="N368" s="3145">
        <v>1724.2051991001335</v>
      </c>
    </row>
    <row r="369" spans="1:14" ht="12.75" customHeight="1">
      <c r="A369" s="81">
        <f t="shared" si="3"/>
        <v>2022.12</v>
      </c>
      <c r="B369" s="2714">
        <v>1754.575551529618</v>
      </c>
      <c r="C369" s="2715">
        <v>1740.4499998750259</v>
      </c>
      <c r="D369" s="3702">
        <v>1551.0824497223859</v>
      </c>
      <c r="E369" s="2715">
        <v>1802.6571976642483</v>
      </c>
      <c r="F369" s="3141">
        <v>1931.4541668897721</v>
      </c>
      <c r="G369" s="2714">
        <v>1801.7500095134662</v>
      </c>
      <c r="H369" s="2715">
        <v>1790.6163024739676</v>
      </c>
      <c r="I369" s="3702">
        <v>1756.6655818327824</v>
      </c>
      <c r="J369" s="2715">
        <v>1804.520656624004</v>
      </c>
      <c r="K369" s="3141">
        <v>1942.4395190011746</v>
      </c>
      <c r="L369" s="2714">
        <v>1827.8979255324616</v>
      </c>
      <c r="M369" s="2715">
        <v>1841.8318197334847</v>
      </c>
      <c r="N369" s="3145">
        <v>1822.0945366317872</v>
      </c>
    </row>
    <row r="370" spans="1:14" ht="12.75" customHeight="1">
      <c r="A370" s="81">
        <f t="shared" si="3"/>
        <v>2023.01</v>
      </c>
      <c r="B370" s="2714">
        <v>1868.3020153484315</v>
      </c>
      <c r="C370" s="2715">
        <v>1850.1096898708565</v>
      </c>
      <c r="D370" s="3702">
        <v>1709.399603254496</v>
      </c>
      <c r="E370" s="2715">
        <v>1896.3329217922017</v>
      </c>
      <c r="F370" s="3141">
        <v>2096.1043284431194</v>
      </c>
      <c r="G370" s="2714">
        <v>1920.9732375681815</v>
      </c>
      <c r="H370" s="2715">
        <v>1906.3401783530587</v>
      </c>
      <c r="I370" s="3702">
        <v>1929.7269997959684</v>
      </c>
      <c r="J370" s="2715">
        <v>1896.7622182495852</v>
      </c>
      <c r="K370" s="3141">
        <v>2105.8818143770623</v>
      </c>
      <c r="L370" s="2714">
        <v>1948.4094914245704</v>
      </c>
      <c r="M370" s="2715">
        <v>2029.5723562137082</v>
      </c>
      <c r="N370" s="3145">
        <v>1914.6056127766647</v>
      </c>
    </row>
    <row r="371" spans="1:14" ht="12.75" customHeight="1">
      <c r="A371" s="81">
        <f t="shared" si="3"/>
        <v>2023.02</v>
      </c>
      <c r="B371" s="2714">
        <v>1999.6036244611848</v>
      </c>
      <c r="C371" s="2715">
        <v>1976.4327932584047</v>
      </c>
      <c r="D371" s="3702">
        <v>1859.736875587867</v>
      </c>
      <c r="E371" s="2715">
        <v>2014.7673760624514</v>
      </c>
      <c r="F371" s="3141">
        <v>2289.7462426122411</v>
      </c>
      <c r="G371" s="2714">
        <v>2052.8135875395778</v>
      </c>
      <c r="H371" s="2715">
        <v>2033.0768702842352</v>
      </c>
      <c r="I371" s="3702">
        <v>2067.8023106223845</v>
      </c>
      <c r="J371" s="2715">
        <v>2018.8552334129602</v>
      </c>
      <c r="K371" s="3141">
        <v>2302.2138151279128</v>
      </c>
      <c r="L371" s="2714">
        <v>2073.4380892348836</v>
      </c>
      <c r="M371" s="2715">
        <v>2164.5102574156208</v>
      </c>
      <c r="N371" s="3145">
        <v>2035.5070412194941</v>
      </c>
    </row>
    <row r="372" spans="1:14" ht="12.75" customHeight="1">
      <c r="A372" s="81">
        <f t="shared" si="3"/>
        <v>2023.03</v>
      </c>
      <c r="B372" s="2714">
        <v>2100.7589759647108</v>
      </c>
      <c r="C372" s="2715">
        <v>2073.0318711318423</v>
      </c>
      <c r="D372" s="3702">
        <v>1886.8124165436132</v>
      </c>
      <c r="E372" s="2715">
        <v>2134.2049202336211</v>
      </c>
      <c r="F372" s="3141">
        <v>2447.9547549832887</v>
      </c>
      <c r="G372" s="2714">
        <v>2136.7183626392271</v>
      </c>
      <c r="H372" s="2715">
        <v>2111.0276119270666</v>
      </c>
      <c r="I372" s="3702">
        <v>2054.8146596509405</v>
      </c>
      <c r="J372" s="2715">
        <v>2134.0493558401572</v>
      </c>
      <c r="K372" s="3141">
        <v>2461.355889317811</v>
      </c>
      <c r="L372" s="2714">
        <v>2145.581512783288</v>
      </c>
      <c r="M372" s="2715">
        <v>2137.8775217823386</v>
      </c>
      <c r="N372" s="3145">
        <v>2148.7901818904866</v>
      </c>
    </row>
    <row r="373" spans="1:14" ht="12.75" customHeight="1">
      <c r="A373" s="81">
        <f t="shared" si="3"/>
        <v>2023.04</v>
      </c>
      <c r="B373" s="2714">
        <v>2246.4106498914862</v>
      </c>
      <c r="C373" s="2715">
        <v>2212.3793800169187</v>
      </c>
      <c r="D373" s="3702">
        <v>2035.2714541008029</v>
      </c>
      <c r="E373" s="2715">
        <v>2270.5592939917374</v>
      </c>
      <c r="F373" s="3141">
        <v>2672.5464951704112</v>
      </c>
      <c r="G373" s="2714">
        <v>2288.1823221833511</v>
      </c>
      <c r="H373" s="2715">
        <v>2256.6828804514307</v>
      </c>
      <c r="I373" s="3702">
        <v>2209.9358279178596</v>
      </c>
      <c r="J373" s="2715">
        <v>2275.8279107076846</v>
      </c>
      <c r="K373" s="3141">
        <v>2686.2205488657282</v>
      </c>
      <c r="L373" s="2714">
        <v>2293.1948969571858</v>
      </c>
      <c r="M373" s="2715">
        <v>2292.5472293723192</v>
      </c>
      <c r="N373" s="3145">
        <v>2293.4646468791466</v>
      </c>
    </row>
    <row r="374" spans="1:14" ht="12.75" customHeight="1">
      <c r="A374" s="81">
        <f t="shared" si="3"/>
        <v>2023.05</v>
      </c>
      <c r="B374" s="2714">
        <v>2405.5159024875934</v>
      </c>
      <c r="C374" s="2715">
        <v>2365.9473538148623</v>
      </c>
      <c r="D374" s="3702">
        <v>2126.8189856892986</v>
      </c>
      <c r="E374" s="2715">
        <v>2444.5009691571454</v>
      </c>
      <c r="F374" s="3141">
        <v>2900.9889482265094</v>
      </c>
      <c r="G374" s="2714">
        <v>2446.4999204810465</v>
      </c>
      <c r="H374" s="2715">
        <v>2409.3967838291928</v>
      </c>
      <c r="I374" s="3702">
        <v>2307.4151872937127</v>
      </c>
      <c r="J374" s="2715">
        <v>2451.1628556013156</v>
      </c>
      <c r="K374" s="3141">
        <v>2915.3484430341514</v>
      </c>
      <c r="L374" s="2714">
        <v>2448.5825560430108</v>
      </c>
      <c r="M374" s="2715">
        <v>2400.6155918559903</v>
      </c>
      <c r="N374" s="3145">
        <v>2468.560527997291</v>
      </c>
    </row>
    <row r="375" spans="1:14" ht="12.75" customHeight="1">
      <c r="A375" s="81">
        <f t="shared" si="3"/>
        <v>2023.06</v>
      </c>
      <c r="B375" s="2714">
        <v>2585.6667905268096</v>
      </c>
      <c r="C375" s="2715">
        <v>2538.0486039661923</v>
      </c>
      <c r="D375" s="3702">
        <v>2254.7631143210347</v>
      </c>
      <c r="E375" s="2715">
        <v>2631.1078238323653</v>
      </c>
      <c r="F375" s="3141">
        <v>3181.9365229067594</v>
      </c>
      <c r="G375" s="2714">
        <v>2624.4599665117889</v>
      </c>
      <c r="H375" s="2715">
        <v>2579.1221948783736</v>
      </c>
      <c r="I375" s="3702">
        <v>2421.4570690015848</v>
      </c>
      <c r="J375" s="2715">
        <v>2643.693187950043</v>
      </c>
      <c r="K375" s="3141">
        <v>3197.3642857781688</v>
      </c>
      <c r="L375" s="2714">
        <v>2609.1635302293735</v>
      </c>
      <c r="M375" s="2715">
        <v>2504.9749613044423</v>
      </c>
      <c r="N375" s="3145">
        <v>2652.5574856988783</v>
      </c>
    </row>
    <row r="376" spans="1:14" ht="12.75" customHeight="1">
      <c r="A376" s="81">
        <f t="shared" si="3"/>
        <v>2023.07</v>
      </c>
      <c r="B376" s="2714">
        <v>2767.1062720711398</v>
      </c>
      <c r="C376" s="2715">
        <v>2714.5016254087745</v>
      </c>
      <c r="D376" s="3702">
        <v>2411.5471379912647</v>
      </c>
      <c r="E376" s="2715">
        <v>2814.0221066354829</v>
      </c>
      <c r="F376" s="3141">
        <v>3425.8159133419422</v>
      </c>
      <c r="G376" s="2714">
        <v>2799.5345274863125</v>
      </c>
      <c r="H376" s="2715">
        <v>2748.6387172242489</v>
      </c>
      <c r="I376" s="3702">
        <v>2567.1875141087958</v>
      </c>
      <c r="J376" s="2715">
        <v>2822.9511836879478</v>
      </c>
      <c r="K376" s="3141">
        <v>3442.6722133757603</v>
      </c>
      <c r="L376" s="2714">
        <v>2776.9972224760068</v>
      </c>
      <c r="M376" s="2715">
        <v>2644.9222781193689</v>
      </c>
      <c r="N376" s="3145">
        <v>2832.0056971406193</v>
      </c>
    </row>
    <row r="377" spans="1:14" ht="12.75" customHeight="1">
      <c r="A377" s="81">
        <f t="shared" si="3"/>
        <v>2023.08</v>
      </c>
      <c r="B377" s="2714">
        <v>3284.8642607873348</v>
      </c>
      <c r="C377" s="2715">
        <v>3190.9667934532522</v>
      </c>
      <c r="D377" s="3702">
        <v>2887.134976512727</v>
      </c>
      <c r="E377" s="2715">
        <v>3290.7754772316671</v>
      </c>
      <c r="F377" s="3141">
        <v>4460.6380934841154</v>
      </c>
      <c r="G377" s="2714">
        <v>3331.3114831017506</v>
      </c>
      <c r="H377" s="2715">
        <v>3239.9231829026012</v>
      </c>
      <c r="I377" s="3702">
        <v>3045.5740760558033</v>
      </c>
      <c r="J377" s="2715">
        <v>3319.5179237300472</v>
      </c>
      <c r="K377" s="3141">
        <v>4486.1267734925041</v>
      </c>
      <c r="L377" s="2714">
        <v>3274.119745282359</v>
      </c>
      <c r="M377" s="2715">
        <v>3114.2771130535675</v>
      </c>
      <c r="N377" s="3145">
        <v>3340.6933064382119</v>
      </c>
    </row>
    <row r="378" spans="1:14" ht="12.75" customHeight="1">
      <c r="A378" s="81">
        <f t="shared" si="3"/>
        <v>2023.09</v>
      </c>
      <c r="B378" s="2714">
        <v>3587.4863773313264</v>
      </c>
      <c r="C378" s="2715">
        <v>3498.7044056396621</v>
      </c>
      <c r="D378" s="3702">
        <v>3105.6324181232876</v>
      </c>
      <c r="E378" s="2715">
        <v>3627.828465454158</v>
      </c>
      <c r="F378" s="3141">
        <v>4699.2045321872074</v>
      </c>
      <c r="G378" s="2714">
        <v>3660.6599463781426</v>
      </c>
      <c r="H378" s="2715">
        <v>3576.3504651806793</v>
      </c>
      <c r="I378" s="3702">
        <v>3377.8028383636506</v>
      </c>
      <c r="J378" s="2715">
        <v>3657.6646896441007</v>
      </c>
      <c r="K378" s="3141">
        <v>4726.02474471197</v>
      </c>
      <c r="L378" s="2714">
        <v>3624.9112722257123</v>
      </c>
      <c r="M378" s="2715">
        <v>3490.9465046311839</v>
      </c>
      <c r="N378" s="3145">
        <v>3680.706847685321</v>
      </c>
    </row>
    <row r="379" spans="1:14" ht="12.75" customHeight="1">
      <c r="A379" s="81">
        <f t="shared" si="3"/>
        <v>2023.1</v>
      </c>
      <c r="B379" s="2714">
        <v>3858.6827796859102</v>
      </c>
      <c r="C379" s="2715">
        <v>3756.6143075641335</v>
      </c>
      <c r="D379" s="3702">
        <v>3355.3627736198378</v>
      </c>
      <c r="E379" s="2715">
        <v>3888.4253465472234</v>
      </c>
      <c r="F379" s="3141">
        <v>5136.773042090309</v>
      </c>
      <c r="G379" s="2714">
        <v>3949.5800609168914</v>
      </c>
      <c r="H379" s="2715">
        <v>3853.7509851183304</v>
      </c>
      <c r="I379" s="3702">
        <v>3693.5424437991851</v>
      </c>
      <c r="J379" s="2715">
        <v>3919.3636217366879</v>
      </c>
      <c r="K379" s="3141">
        <v>5160.5105821655934</v>
      </c>
      <c r="L379" s="2714">
        <v>3906.7430692172256</v>
      </c>
      <c r="M379" s="2715">
        <v>3828.3062772591215</v>
      </c>
      <c r="N379" s="3145">
        <v>3939.4115537978441</v>
      </c>
    </row>
    <row r="380" spans="1:14" ht="12.75" customHeight="1">
      <c r="A380" s="81">
        <f t="shared" si="3"/>
        <v>2023.11</v>
      </c>
      <c r="B380" s="2714">
        <v>4287.0202983057015</v>
      </c>
      <c r="C380" s="2715">
        <v>4174.4202531375822</v>
      </c>
      <c r="D380" s="3702">
        <v>3609.2143755914731</v>
      </c>
      <c r="E380" s="2715">
        <v>4360.0902572528685</v>
      </c>
      <c r="F380" s="3141">
        <v>5696.9857683870714</v>
      </c>
      <c r="G380" s="2714">
        <v>4405.5779824891824</v>
      </c>
      <c r="H380" s="2715">
        <v>4301.8872223749349</v>
      </c>
      <c r="I380" s="3702">
        <v>4052.9331626469661</v>
      </c>
      <c r="J380" s="2715">
        <v>4403.8451587065301</v>
      </c>
      <c r="K380" s="3141">
        <v>5715.851562271584</v>
      </c>
      <c r="L380" s="2714">
        <v>4364.215945382387</v>
      </c>
      <c r="M380" s="2715">
        <v>4220.2352872923302</v>
      </c>
      <c r="N380" s="3145">
        <v>4424.1830831413445</v>
      </c>
    </row>
    <row r="381" spans="1:14" ht="12.75" customHeight="1">
      <c r="A381" s="81">
        <f t="shared" si="3"/>
        <v>2023.12</v>
      </c>
      <c r="B381" s="2714">
        <v>6603.3692409574605</v>
      </c>
      <c r="C381" s="2715">
        <v>6309.1754734860278</v>
      </c>
      <c r="D381" s="3702">
        <v>5294.0598830674362</v>
      </c>
      <c r="E381" s="2715">
        <v>6642.6407174583628</v>
      </c>
      <c r="F381" s="3141">
        <v>10287.231472349422</v>
      </c>
      <c r="G381" s="2714">
        <v>6748.2630979434853</v>
      </c>
      <c r="H381" s="2715">
        <v>6464.2691128113129</v>
      </c>
      <c r="I381" s="3702">
        <v>5819.0473780282773</v>
      </c>
      <c r="J381" s="2715">
        <v>6728.5165672478815</v>
      </c>
      <c r="K381" s="3141">
        <v>10336.912801406452</v>
      </c>
      <c r="L381" s="2714">
        <v>6585.5559641543123</v>
      </c>
      <c r="M381" s="2715">
        <v>6044.3622311553572</v>
      </c>
      <c r="N381" s="3145">
        <v>6810.9601230985891</v>
      </c>
    </row>
    <row r="382" spans="1:14" ht="12.75" customHeight="1">
      <c r="A382" s="81">
        <f t="shared" si="3"/>
        <v>2024.01</v>
      </c>
      <c r="B382" s="2714">
        <v>7788.8552670587005</v>
      </c>
      <c r="C382" s="2715">
        <v>7547.806212788264</v>
      </c>
      <c r="D382" s="3702">
        <v>6578.8793624841583</v>
      </c>
      <c r="E382" s="2715">
        <v>7866.0984659835567</v>
      </c>
      <c r="F382" s="3141">
        <v>10807.245202956479</v>
      </c>
      <c r="G382" s="2714">
        <v>7865.2842705855464</v>
      </c>
      <c r="H382" s="2715">
        <v>7628.4577537082914</v>
      </c>
      <c r="I382" s="3702">
        <v>6970.455554536913</v>
      </c>
      <c r="J382" s="2715">
        <v>7897.9393857912082</v>
      </c>
      <c r="K382" s="3141">
        <v>10857.908952999636</v>
      </c>
      <c r="L382" s="2714">
        <v>7734.2357154465853</v>
      </c>
      <c r="M382" s="2715">
        <v>7186.859499756365</v>
      </c>
      <c r="N382" s="3145">
        <v>7962.2148438079867</v>
      </c>
    </row>
    <row r="383" spans="1:14" ht="12.75" customHeight="1">
      <c r="A383" s="81">
        <f t="shared" si="3"/>
        <v>2024.02</v>
      </c>
      <c r="B383" s="2714">
        <v>8579.885136895673</v>
      </c>
      <c r="C383" s="2715">
        <v>8378.6437830849209</v>
      </c>
      <c r="D383" s="3702">
        <v>7203.5537136290068</v>
      </c>
      <c r="E383" s="2715">
        <v>8764.6606075718755</v>
      </c>
      <c r="F383" s="3141">
        <v>11099.807394492824</v>
      </c>
      <c r="G383" s="2714">
        <v>8562.1294006335884</v>
      </c>
      <c r="H383" s="2715">
        <v>8357.8381147454056</v>
      </c>
      <c r="I383" s="3702">
        <v>7438.9319428786757</v>
      </c>
      <c r="J383" s="2715">
        <v>8734.1717124712868</v>
      </c>
      <c r="K383" s="3141">
        <v>11143.627252362417</v>
      </c>
      <c r="L383" s="2714">
        <v>8409.3691440520106</v>
      </c>
      <c r="M383" s="2715">
        <v>7594.599445370266</v>
      </c>
      <c r="N383" s="3145">
        <v>8748.7161605944129</v>
      </c>
    </row>
    <row r="384" spans="1:14" ht="12.75" customHeight="1">
      <c r="A384" s="81">
        <f t="shared" si="3"/>
        <v>2024.03</v>
      </c>
      <c r="B384" s="2714">
        <v>9044.9473592558443</v>
      </c>
      <c r="C384" s="2715">
        <v>8896.0893166925471</v>
      </c>
      <c r="D384" s="3702">
        <v>7759.4748005864594</v>
      </c>
      <c r="E384" s="2715">
        <v>9269.4669305261796</v>
      </c>
      <c r="F384" s="3141">
        <v>10908.931513478734</v>
      </c>
      <c r="G384" s="2714">
        <v>8983.9738044008209</v>
      </c>
      <c r="H384" s="2715">
        <v>8828.1093410518279</v>
      </c>
      <c r="I384" s="3702">
        <v>7892.2020641348945</v>
      </c>
      <c r="J384" s="2715">
        <v>9211.4056594827634</v>
      </c>
      <c r="K384" s="3141">
        <v>10953.532983329742</v>
      </c>
      <c r="L384" s="2714">
        <v>8832.7392292791719</v>
      </c>
      <c r="M384" s="2715">
        <v>7982.3173296151999</v>
      </c>
      <c r="N384" s="3145">
        <v>9186.9351878674861</v>
      </c>
    </row>
    <row r="385" spans="1:16" ht="12.75" customHeight="1">
      <c r="A385" s="81">
        <f t="shared" si="3"/>
        <v>2024.04</v>
      </c>
      <c r="B385" s="2714">
        <v>9356.8880421309059</v>
      </c>
      <c r="C385" s="2715">
        <v>9232.5370178549092</v>
      </c>
      <c r="D385" s="3702">
        <v>7991.2548063678523</v>
      </c>
      <c r="E385" s="2715">
        <v>9640.2979461659033</v>
      </c>
      <c r="F385" s="3141">
        <v>10913.997989437172</v>
      </c>
      <c r="G385" s="2714">
        <v>9240.0773029156771</v>
      </c>
      <c r="H385" s="2715">
        <v>9105.8237391223192</v>
      </c>
      <c r="I385" s="3702">
        <v>8118.8847100797311</v>
      </c>
      <c r="J385" s="2715">
        <v>9510.0198658946119</v>
      </c>
      <c r="K385" s="3141">
        <v>10936.553415504904</v>
      </c>
      <c r="L385" s="2714">
        <v>9096.4411312443008</v>
      </c>
      <c r="M385" s="2715">
        <v>8198.471987978468</v>
      </c>
      <c r="N385" s="3145">
        <v>9470.4402505137386</v>
      </c>
      <c r="O385" s="1470"/>
      <c r="P385" s="1470"/>
    </row>
    <row r="386" spans="1:16" ht="12.75" customHeight="1">
      <c r="A386" s="81">
        <f t="shared" si="3"/>
        <v>2024.05</v>
      </c>
      <c r="B386" s="2714">
        <v>9682.8153621046004</v>
      </c>
      <c r="C386" s="2715">
        <v>9602.5276299520683</v>
      </c>
      <c r="D386" s="3702">
        <v>8572.2491955805781</v>
      </c>
      <c r="E386" s="2715">
        <v>9940.9738647650429</v>
      </c>
      <c r="F386" s="3141">
        <v>10688.169576991455</v>
      </c>
      <c r="G386" s="2714">
        <v>9576.2269434515383</v>
      </c>
      <c r="H386" s="2715">
        <v>9486.4742791473273</v>
      </c>
      <c r="I386" s="3702">
        <v>8757.3225930717399</v>
      </c>
      <c r="J386" s="2715">
        <v>9785.0948409738776</v>
      </c>
      <c r="K386" s="3141">
        <v>10710.373752899839</v>
      </c>
      <c r="L386" s="2714">
        <v>9478.0528650996457</v>
      </c>
      <c r="M386" s="2715">
        <v>8847.9576790577757</v>
      </c>
      <c r="N386" s="3145">
        <v>9740.4839813610779</v>
      </c>
      <c r="O386" s="1470"/>
      <c r="P386" s="1470"/>
    </row>
    <row r="387" spans="1:16" ht="12.75" customHeight="1">
      <c r="A387" s="81">
        <f t="shared" si="3"/>
        <v>2024.06</v>
      </c>
      <c r="B387" s="2714">
        <v>9940.066614352716</v>
      </c>
      <c r="C387" s="2715">
        <v>9861.598799805266</v>
      </c>
      <c r="D387" s="3702">
        <v>8916.2926998589355</v>
      </c>
      <c r="E387" s="2715">
        <v>10172.13164180127</v>
      </c>
      <c r="F387" s="3141">
        <v>10922.632019717088</v>
      </c>
      <c r="G387" s="2714">
        <v>9816.7703541100982</v>
      </c>
      <c r="H387" s="2715">
        <v>9727.5154166317297</v>
      </c>
      <c r="I387" s="3702">
        <v>9081.5631766631432</v>
      </c>
      <c r="J387" s="2715">
        <v>9992.0620459493293</v>
      </c>
      <c r="K387" s="3141">
        <v>10944.627709135135</v>
      </c>
      <c r="L387" s="2714">
        <v>9726.6650634557573</v>
      </c>
      <c r="M387" s="2715">
        <v>9162.1223386401816</v>
      </c>
      <c r="N387" s="3145">
        <v>9961.7939467301912</v>
      </c>
      <c r="O387" s="1470"/>
      <c r="P387" s="1470"/>
    </row>
    <row r="388" spans="1:16" ht="12.75" customHeight="1">
      <c r="A388" s="81">
        <f t="shared" si="3"/>
        <v>2024.07</v>
      </c>
      <c r="B388" s="2714">
        <v>10246.484931852285</v>
      </c>
      <c r="C388" s="2715">
        <v>10183.810984976251</v>
      </c>
      <c r="D388" s="3702">
        <v>9365.1212765585824</v>
      </c>
      <c r="E388" s="2715">
        <v>10452.750370728922</v>
      </c>
      <c r="F388" s="3141">
        <v>11031.281250867834</v>
      </c>
      <c r="G388" s="2714">
        <v>10069.782741355899</v>
      </c>
      <c r="H388" s="2715">
        <v>9991.4999107184904</v>
      </c>
      <c r="I388" s="3702">
        <v>9468.3524197570205</v>
      </c>
      <c r="J388" s="2715">
        <v>10205.752446442417</v>
      </c>
      <c r="K388" s="3141">
        <v>11058.992624876024</v>
      </c>
      <c r="L388" s="2714">
        <v>9976.7756775393318</v>
      </c>
      <c r="M388" s="2715">
        <v>9511.9910624523291</v>
      </c>
      <c r="N388" s="3145">
        <v>10170.355866787624</v>
      </c>
      <c r="O388" s="1470"/>
      <c r="P388" s="1470"/>
    </row>
    <row r="389" spans="1:16" ht="12.75" customHeight="1">
      <c r="A389" s="81">
        <f t="shared" si="3"/>
        <v>2024.08</v>
      </c>
      <c r="B389" s="2714">
        <v>10458.627751033107</v>
      </c>
      <c r="C389" s="2715">
        <v>10411.088126347506</v>
      </c>
      <c r="D389" s="3702">
        <v>9570.9203047238952</v>
      </c>
      <c r="E389" s="2715">
        <v>10687.08306747524</v>
      </c>
      <c r="F389" s="3141">
        <v>11053.913740192769</v>
      </c>
      <c r="G389" s="2714">
        <v>10270.774127323502</v>
      </c>
      <c r="H389" s="2715">
        <v>10206.625233885214</v>
      </c>
      <c r="I389" s="3702">
        <v>9668.318532644862</v>
      </c>
      <c r="J389" s="2715">
        <v>10427.086151180183</v>
      </c>
      <c r="K389" s="3141">
        <v>11081.382518580356</v>
      </c>
      <c r="L389" s="2714">
        <v>10183.571088543695</v>
      </c>
      <c r="M389" s="2715">
        <v>9694.5498284696187</v>
      </c>
      <c r="N389" s="3145">
        <v>10387.245704696512</v>
      </c>
      <c r="O389" s="1470"/>
      <c r="P389" s="1470"/>
    </row>
    <row r="390" spans="1:16" ht="12.75" customHeight="1">
      <c r="A390" s="81">
        <f t="shared" si="3"/>
        <v>2024.09</v>
      </c>
      <c r="B390" s="2714">
        <v>10665.282497251941</v>
      </c>
      <c r="C390" s="2715">
        <v>10646.384781303625</v>
      </c>
      <c r="D390" s="3702">
        <v>9791.6891390616565</v>
      </c>
      <c r="E390" s="2715">
        <v>10927.152108248907</v>
      </c>
      <c r="F390" s="3141">
        <v>10901.91763279521</v>
      </c>
      <c r="G390" s="2714">
        <v>10443.013678156001</v>
      </c>
      <c r="H390" s="2715">
        <v>10404.132890203513</v>
      </c>
      <c r="I390" s="3702">
        <v>9865.7225873126918</v>
      </c>
      <c r="J390" s="2715">
        <v>10624.636237055543</v>
      </c>
      <c r="K390" s="3141">
        <v>10934.32523917714</v>
      </c>
      <c r="L390" s="2714">
        <v>10381.787122193777</v>
      </c>
      <c r="M390" s="2715">
        <v>9907.5256317858566</v>
      </c>
      <c r="N390" s="3145">
        <v>10579.314376939845</v>
      </c>
      <c r="O390" s="1470"/>
      <c r="P390" s="1470"/>
    </row>
    <row r="391" spans="1:16" ht="12.75" customHeight="1">
      <c r="A391" s="81">
        <f t="shared" si="3"/>
        <v>2024.1</v>
      </c>
      <c r="B391" s="2714">
        <v>10791.479398543041</v>
      </c>
      <c r="C391" s="2715">
        <v>10787.095074181121</v>
      </c>
      <c r="D391" s="3702">
        <v>9963.0818167329962</v>
      </c>
      <c r="E391" s="2715">
        <v>11057.783244597333</v>
      </c>
      <c r="F391" s="3141">
        <v>10846.379429450797</v>
      </c>
      <c r="G391" s="2714">
        <v>10565.321731894397</v>
      </c>
      <c r="H391" s="2715">
        <v>10540.047587116085</v>
      </c>
      <c r="I391" s="3702">
        <v>10046.858407454609</v>
      </c>
      <c r="J391" s="2715">
        <v>10742.030840710357</v>
      </c>
      <c r="K391" s="3141">
        <v>10884.69487679232</v>
      </c>
      <c r="L391" s="2714">
        <v>10522.223851458999</v>
      </c>
      <c r="M391" s="2715">
        <v>10115.612316709954</v>
      </c>
      <c r="N391" s="3145">
        <v>10691.575278533508</v>
      </c>
      <c r="O391" s="829">
        <f t="shared" ref="O391:P393" si="4">+L391/L390-1</f>
        <v>1.3527221047039406E-2</v>
      </c>
      <c r="P391" s="829">
        <f t="shared" si="4"/>
        <v>2.1002891403732793E-2</v>
      </c>
    </row>
    <row r="392" spans="1:16" ht="12.75" customHeight="1">
      <c r="A392" s="81">
        <f t="shared" si="3"/>
        <v>2024.11</v>
      </c>
      <c r="B392" s="2714">
        <v>10941.223782023582</v>
      </c>
      <c r="C392" s="2715">
        <v>10959.494267798089</v>
      </c>
      <c r="D392" s="3702">
        <v>10026.626030138996</v>
      </c>
      <c r="E392" s="2715">
        <v>11265.941274819977</v>
      </c>
      <c r="F392" s="3141">
        <v>10712.442754225538</v>
      </c>
      <c r="G392" s="2714">
        <v>10691.647557846298</v>
      </c>
      <c r="H392" s="2715">
        <v>10686.794293144396</v>
      </c>
      <c r="I392" s="3702">
        <v>10097.021869247354</v>
      </c>
      <c r="J392" s="2715">
        <v>10928.33274932194</v>
      </c>
      <c r="K392" s="3141">
        <v>10752.975148728126</v>
      </c>
      <c r="L392" s="2714">
        <v>10672.631822966436</v>
      </c>
      <c r="M392" s="2715">
        <v>10172.849610360783</v>
      </c>
      <c r="N392" s="3145">
        <v>10880.788315584041</v>
      </c>
      <c r="O392" s="829">
        <f t="shared" si="4"/>
        <v>1.4294313980649731E-2</v>
      </c>
      <c r="P392" s="829">
        <f t="shared" si="4"/>
        <v>5.6583123056503926E-3</v>
      </c>
    </row>
    <row r="393" spans="1:16" ht="12.75" customHeight="1">
      <c r="A393" s="81">
        <f t="shared" si="3"/>
        <v>2024.12</v>
      </c>
      <c r="B393" s="2714">
        <v>11034.043785618949</v>
      </c>
      <c r="C393" s="2715">
        <v>11073.68216150556</v>
      </c>
      <c r="D393" s="3702">
        <v>9960.8191624757455</v>
      </c>
      <c r="E393" s="2715">
        <v>11439.257407302191</v>
      </c>
      <c r="F393" s="3141">
        <v>10537.696371132717</v>
      </c>
      <c r="G393" s="2714">
        <v>10758.519268870443</v>
      </c>
      <c r="H393" s="2715">
        <v>10772.747887768035</v>
      </c>
      <c r="I393" s="3702">
        <v>10043.554127274692</v>
      </c>
      <c r="J393" s="2715">
        <v>11071.38568096977</v>
      </c>
      <c r="K393" s="3141">
        <v>10578.721344755982</v>
      </c>
      <c r="L393" s="2714">
        <v>10754.234169511881</v>
      </c>
      <c r="M393" s="2715">
        <v>10120.580423214577</v>
      </c>
      <c r="N393" s="3145">
        <v>11018.147406190685</v>
      </c>
      <c r="O393" s="829">
        <f t="shared" si="4"/>
        <v>7.6459441212846091E-3</v>
      </c>
      <c r="P393" s="829">
        <f t="shared" si="4"/>
        <v>-5.1381067398236224E-3</v>
      </c>
    </row>
    <row r="394" spans="1:16" ht="12.75" customHeight="1">
      <c r="A394" s="81">
        <f t="shared" ref="A394:A405" si="5">A382+1</f>
        <v>2025.01</v>
      </c>
      <c r="B394" s="2714">
        <v>11200.301971921785</v>
      </c>
      <c r="C394" s="2715">
        <v>11249.397965959164</v>
      </c>
      <c r="D394" s="3702">
        <v>10173.376000992885</v>
      </c>
      <c r="E394" s="2715">
        <v>11602.870940321736</v>
      </c>
      <c r="F394" s="3141">
        <v>10585.527295689002</v>
      </c>
      <c r="G394" s="2714">
        <v>10928.617101012984</v>
      </c>
      <c r="H394" s="2715">
        <v>10952.627081123002</v>
      </c>
      <c r="I394" s="3702">
        <v>10275.777514700128</v>
      </c>
      <c r="J394" s="2715">
        <v>11229.827561704909</v>
      </c>
      <c r="K394" s="3141">
        <v>10625.218393599835</v>
      </c>
      <c r="L394" s="2721">
        <v>10945.564113331597</v>
      </c>
      <c r="M394" s="2722">
        <v>10395.95078257258</v>
      </c>
      <c r="N394" s="3148">
        <v>11174.474987590633</v>
      </c>
      <c r="O394" s="829"/>
      <c r="P394" s="829"/>
    </row>
    <row r="395" spans="1:16" ht="12.75" customHeight="1">
      <c r="A395" s="81">
        <f t="shared" si="5"/>
        <v>2025.02</v>
      </c>
      <c r="B395" s="2714">
        <v>11384.050546592229</v>
      </c>
      <c r="C395" s="2715">
        <v>11443.731199095006</v>
      </c>
      <c r="D395" s="3702">
        <v>10407.482232779872</v>
      </c>
      <c r="E395" s="2715">
        <v>11784.138752313524</v>
      </c>
      <c r="F395" s="3141">
        <v>10636.735932861791</v>
      </c>
      <c r="G395" s="2714">
        <v>11134.835765399735</v>
      </c>
      <c r="H395" s="2715">
        <v>11171.114622600857</v>
      </c>
      <c r="I395" s="3702">
        <v>10610.566520841379</v>
      </c>
      <c r="J395" s="2715">
        <v>11400.684398375713</v>
      </c>
      <c r="K395" s="3141">
        <v>10676.403133185931</v>
      </c>
      <c r="L395" s="2721">
        <v>11175.091508728989</v>
      </c>
      <c r="M395" s="2722">
        <v>10733.465326791551</v>
      </c>
      <c r="N395" s="3148">
        <v>11359.026340264769</v>
      </c>
      <c r="O395" s="829"/>
      <c r="P395" s="829"/>
    </row>
    <row r="396" spans="1:16" ht="12.75" customHeight="1">
      <c r="A396" s="81">
        <f t="shared" si="5"/>
        <v>2025.03</v>
      </c>
      <c r="B396" s="2714">
        <v>11552.832552532756</v>
      </c>
      <c r="C396" s="2715">
        <v>11615.193047363651</v>
      </c>
      <c r="D396" s="3702">
        <v>10519.530191859627</v>
      </c>
      <c r="E396" s="2715">
        <v>11975.118049866493</v>
      </c>
      <c r="F396" s="3141">
        <v>10771.961245798646</v>
      </c>
      <c r="G396" s="2714">
        <v>11288.797410721172</v>
      </c>
      <c r="H396" s="2715">
        <v>11326.261379998048</v>
      </c>
      <c r="I396" s="3702">
        <v>10695.470210935297</v>
      </c>
      <c r="J396" s="2715">
        <v>11584.598865733802</v>
      </c>
      <c r="K396" s="3141">
        <v>10815.389277891558</v>
      </c>
      <c r="L396" s="2721">
        <v>11315.930357395113</v>
      </c>
      <c r="M396" s="2722">
        <v>10770.245326761498</v>
      </c>
      <c r="N396" s="3148">
        <v>11543.205116651594</v>
      </c>
      <c r="O396" s="829"/>
      <c r="P396" s="829"/>
    </row>
    <row r="397" spans="1:16" ht="12.75" customHeight="1">
      <c r="A397" s="81">
        <f t="shared" si="5"/>
        <v>2025.04</v>
      </c>
      <c r="B397" s="2714">
        <v>11880.250204486576</v>
      </c>
      <c r="C397" s="2715">
        <v>11916.8985737899</v>
      </c>
      <c r="D397" s="3702">
        <v>10570.241589578876</v>
      </c>
      <c r="E397" s="2715">
        <v>12359.275091326994</v>
      </c>
      <c r="F397" s="3141">
        <v>11421.343325938487</v>
      </c>
      <c r="G397" s="2714">
        <v>11599.348271712559</v>
      </c>
      <c r="H397" s="2715">
        <v>11609.404595951886</v>
      </c>
      <c r="I397" s="3702">
        <v>10752.121233215901</v>
      </c>
      <c r="J397" s="2715">
        <v>11960.500868940879</v>
      </c>
      <c r="K397" s="3141">
        <v>11472.272957132069</v>
      </c>
      <c r="L397" s="2721">
        <v>11603.077405151718</v>
      </c>
      <c r="M397" s="2722">
        <v>10814.490026187954</v>
      </c>
      <c r="N397" s="3148">
        <v>11931.519632160553</v>
      </c>
      <c r="O397" s="829"/>
      <c r="P397" s="829"/>
    </row>
    <row r="398" spans="1:16" ht="12.75" customHeight="1">
      <c r="A398" s="81">
        <f t="shared" si="5"/>
        <v>2025.05</v>
      </c>
      <c r="B398" s="2714">
        <v>11849.378594486843</v>
      </c>
      <c r="C398" s="2715">
        <v>11920.972935638942</v>
      </c>
      <c r="D398" s="3702">
        <v>10537.713145154188</v>
      </c>
      <c r="E398" s="2715">
        <v>12375.373466834524</v>
      </c>
      <c r="F398" s="3141">
        <v>10952.882072420993</v>
      </c>
      <c r="G398" s="2714">
        <v>11563.807224268587</v>
      </c>
      <c r="H398" s="2715">
        <v>11608.890547665162</v>
      </c>
      <c r="I398" s="3702">
        <v>10692.758181099687</v>
      </c>
      <c r="J398" s="2715">
        <v>11984.088146787097</v>
      </c>
      <c r="K398" s="3141">
        <v>10994.11820404792</v>
      </c>
      <c r="L398" s="2721">
        <v>11580.154576619188</v>
      </c>
      <c r="M398" s="2722">
        <v>10739.13483269079</v>
      </c>
      <c r="N398" s="3148">
        <v>11930.434589998575</v>
      </c>
      <c r="O398" s="829"/>
      <c r="P398" s="829"/>
    </row>
    <row r="399" spans="1:16" ht="12.75" customHeight="1">
      <c r="A399" s="81">
        <f t="shared" si="5"/>
        <v>2025.06</v>
      </c>
      <c r="B399" s="2714">
        <v>12044.399315039007</v>
      </c>
      <c r="C399" s="2715">
        <v>12120.610239440015</v>
      </c>
      <c r="D399" s="3702">
        <v>10706.762735166187</v>
      </c>
      <c r="E399" s="2715">
        <v>12585.058827760822</v>
      </c>
      <c r="F399" s="3141">
        <v>11090.094441644324</v>
      </c>
      <c r="G399" s="2714">
        <v>11739.358200694449</v>
      </c>
      <c r="H399" s="2715">
        <v>11786.911861763974</v>
      </c>
      <c r="I399" s="3702">
        <v>10865.003280605957</v>
      </c>
      <c r="J399" s="2715">
        <v>12164.475081757115</v>
      </c>
      <c r="K399" s="3141">
        <v>11138.4531089314</v>
      </c>
      <c r="L399" s="2721">
        <v>11757.71585665079</v>
      </c>
      <c r="M399" s="2722">
        <v>10904.777580436399</v>
      </c>
      <c r="N399" s="3148">
        <v>12112.959871979878</v>
      </c>
      <c r="O399" s="829"/>
      <c r="P399" s="829"/>
    </row>
    <row r="400" spans="1:16" ht="12.75" customHeight="1">
      <c r="A400" s="81">
        <f t="shared" si="5"/>
        <v>2025.07</v>
      </c>
      <c r="B400" s="2714">
        <v>12387.322425562155</v>
      </c>
      <c r="C400" s="2715">
        <v>12440.73714126439</v>
      </c>
      <c r="D400" s="3702">
        <v>10933.293788690045</v>
      </c>
      <c r="E400" s="2715">
        <v>12935.931944777749</v>
      </c>
      <c r="F400" s="3141">
        <v>11718.469188230769</v>
      </c>
      <c r="G400" s="2714">
        <v>12093.567723293627</v>
      </c>
      <c r="H400" s="2715">
        <v>12118.215225791049</v>
      </c>
      <c r="I400" s="3702">
        <v>11164.634592915243</v>
      </c>
      <c r="J400" s="2715">
        <v>12508.749582049499</v>
      </c>
      <c r="K400" s="3141">
        <v>11782.113054675992</v>
      </c>
      <c r="L400" s="2721">
        <v>12107.907267972405</v>
      </c>
      <c r="M400" s="2722">
        <v>11218.125204161719</v>
      </c>
      <c r="N400" s="3148">
        <v>12478.496514498911</v>
      </c>
      <c r="O400" s="829"/>
      <c r="P400" s="829"/>
    </row>
    <row r="401" spans="1:16" s="2456" customFormat="1" ht="12.75" customHeight="1">
      <c r="A401" s="81">
        <f>A389+1</f>
        <v>2025.08</v>
      </c>
      <c r="B401" s="2714">
        <v>12771.68798097931</v>
      </c>
      <c r="C401" s="2715">
        <v>12828.853635985241</v>
      </c>
      <c r="D401" s="3702">
        <v>11413.640041570394</v>
      </c>
      <c r="E401" s="2715">
        <v>13293.750984611239</v>
      </c>
      <c r="F401" s="3141">
        <v>12055.865891275893</v>
      </c>
      <c r="G401" s="2714">
        <v>12495.449510017756</v>
      </c>
      <c r="H401" s="2715">
        <v>12525.615865399039</v>
      </c>
      <c r="I401" s="3702">
        <v>11788.843853451224</v>
      </c>
      <c r="J401" s="2715">
        <v>12827.357294991149</v>
      </c>
      <c r="K401" s="3141">
        <v>12114.256639881805</v>
      </c>
      <c r="L401" s="2721">
        <v>12534.919756730184</v>
      </c>
      <c r="M401" s="2722">
        <v>11883.939093640753</v>
      </c>
      <c r="N401" s="3148">
        <v>12806.049557216886</v>
      </c>
      <c r="O401" s="829"/>
      <c r="P401" s="829"/>
    </row>
    <row r="402" spans="1:16" ht="12.75" customHeight="1">
      <c r="A402" s="81">
        <f t="shared" si="5"/>
        <v>2025.09</v>
      </c>
      <c r="B402" s="2714">
        <v>13243.426976902667</v>
      </c>
      <c r="C402" s="2715">
        <v>13251.888818183252</v>
      </c>
      <c r="D402" s="3702">
        <v>11867.152797125818</v>
      </c>
      <c r="E402" s="2715">
        <v>13706.774290791149</v>
      </c>
      <c r="F402" s="3141">
        <v>13137.468724389331</v>
      </c>
      <c r="G402" s="2714">
        <v>13001.568641037966</v>
      </c>
      <c r="H402" s="2715">
        <v>12985.397650283947</v>
      </c>
      <c r="I402" s="3702">
        <v>12362.943726516194</v>
      </c>
      <c r="J402" s="2715">
        <v>13240.320657356871</v>
      </c>
      <c r="K402" s="3141">
        <v>13205.911071553986</v>
      </c>
      <c r="L402" s="2721">
        <v>13035.447356356224</v>
      </c>
      <c r="M402" s="2722">
        <v>12498.537842508878</v>
      </c>
      <c r="N402" s="3148">
        <v>13259.067162016787</v>
      </c>
      <c r="O402" s="829"/>
      <c r="P402" s="829"/>
    </row>
    <row r="403" spans="1:16" ht="12.75" customHeight="1">
      <c r="A403" s="81">
        <f t="shared" si="5"/>
        <v>2025.1</v>
      </c>
      <c r="B403" s="2714">
        <v>13387.004502415295</v>
      </c>
      <c r="C403" s="2715">
        <v>13421.448024179939</v>
      </c>
      <c r="D403" s="3702">
        <v>12107.736033254401</v>
      </c>
      <c r="E403" s="2715">
        <v>13853.002118805487</v>
      </c>
      <c r="F403" s="3141">
        <v>12955.706483985212</v>
      </c>
      <c r="G403" s="2714">
        <v>13166.076734326953</v>
      </c>
      <c r="H403" s="2715">
        <v>13177.43458380136</v>
      </c>
      <c r="I403" s="3702">
        <v>12707.604316936549</v>
      </c>
      <c r="J403" s="2715">
        <v>13369.851307143845</v>
      </c>
      <c r="K403" s="3141">
        <v>13022.554880758036</v>
      </c>
      <c r="L403" s="2721">
        <v>13257.021895162708</v>
      </c>
      <c r="M403" s="2722">
        <v>12895.533032155101</v>
      </c>
      <c r="N403" s="3148">
        <v>13407.579982157613</v>
      </c>
      <c r="O403" s="829"/>
      <c r="P403" s="829"/>
    </row>
    <row r="404" spans="1:16" ht="12.75" customHeight="1">
      <c r="A404" s="81">
        <f t="shared" si="5"/>
        <v>2025.11</v>
      </c>
      <c r="B404" s="2714">
        <v>13599.278412810996</v>
      </c>
      <c r="C404" s="2715">
        <v>13656.702955728446</v>
      </c>
      <c r="D404" s="3702">
        <v>12077.293632278679</v>
      </c>
      <c r="E404" s="2715">
        <v>14175.538564547322</v>
      </c>
      <c r="F404" s="3141">
        <v>12880.214556949095</v>
      </c>
      <c r="G404" s="2714">
        <v>13332.819466178651</v>
      </c>
      <c r="H404" s="2715">
        <v>13362.846420876973</v>
      </c>
      <c r="I404" s="3702">
        <v>12647.037861839191</v>
      </c>
      <c r="J404" s="2715">
        <v>13656.002369278596</v>
      </c>
      <c r="K404" s="3141">
        <v>12953.388112996381</v>
      </c>
      <c r="L404" s="2721">
        <v>13437.838434919029</v>
      </c>
      <c r="M404" s="2722">
        <v>12837.609534649018</v>
      </c>
      <c r="N404" s="3148">
        <v>13687.83041041678</v>
      </c>
      <c r="O404" s="829"/>
      <c r="P404" s="829"/>
    </row>
    <row r="405" spans="1:16" ht="12.75" customHeight="1">
      <c r="A405" s="81">
        <f t="shared" si="5"/>
        <v>2025.12</v>
      </c>
      <c r="B405" s="2714">
        <v>13925.559844742707</v>
      </c>
      <c r="C405" s="2715">
        <v>13991.233171753789</v>
      </c>
      <c r="D405" s="3702">
        <v>12381.392575981979</v>
      </c>
      <c r="E405" s="2715">
        <v>14520.065446711022</v>
      </c>
      <c r="F405" s="3141">
        <v>13103.205615197496</v>
      </c>
      <c r="G405" s="2714">
        <v>13625.621895096911</v>
      </c>
      <c r="H405" s="2715">
        <v>13660.807777923093</v>
      </c>
      <c r="I405" s="3702">
        <v>12960.67741400971</v>
      </c>
      <c r="J405" s="2715">
        <v>13947.542797009351</v>
      </c>
      <c r="K405" s="3141">
        <v>13181.000478513706</v>
      </c>
      <c r="L405" s="2721">
        <v>13764.352896161587</v>
      </c>
      <c r="M405" s="2722">
        <v>13201.234582222134</v>
      </c>
      <c r="N405" s="3148">
        <v>13998.88852028325</v>
      </c>
      <c r="O405" s="829"/>
      <c r="P405" s="829"/>
    </row>
    <row r="406" spans="1:16" ht="12.75" customHeight="1">
      <c r="A406" s="972">
        <v>2026.01</v>
      </c>
      <c r="B406" s="2714">
        <v>14157.713827594283</v>
      </c>
      <c r="C406" s="2715">
        <v>14226.294723613659</v>
      </c>
      <c r="D406" s="3702">
        <v>12704.337331544408</v>
      </c>
      <c r="E406" s="2715">
        <v>14726.257385848601</v>
      </c>
      <c r="F406" s="3141">
        <v>13298.951336423086</v>
      </c>
      <c r="G406" s="2714">
        <v>13837.894071440554</v>
      </c>
      <c r="H406" s="2715">
        <v>13874.608272321348</v>
      </c>
      <c r="I406" s="3702">
        <v>13264.61982012053</v>
      </c>
      <c r="J406" s="2715">
        <v>14124.426105541106</v>
      </c>
      <c r="K406" s="3141">
        <v>13373.960280579711</v>
      </c>
      <c r="L406" s="2721">
        <v>13981.186322225578</v>
      </c>
      <c r="M406" s="2722">
        <v>13519.365769721018</v>
      </c>
      <c r="N406" s="3148">
        <v>14173.531996007936</v>
      </c>
      <c r="O406" s="1470"/>
      <c r="P406" s="1470"/>
    </row>
    <row r="407" spans="1:16" ht="12.75" customHeight="1">
      <c r="A407" s="972">
        <v>2026.02</v>
      </c>
      <c r="B407" s="2714">
        <v>14296.328610909393</v>
      </c>
      <c r="C407" s="2715">
        <v>14404.39182369011</v>
      </c>
      <c r="D407" s="3702">
        <v>13031.969310578992</v>
      </c>
      <c r="E407" s="2715">
        <v>14855.232311697009</v>
      </c>
      <c r="F407" s="3141">
        <v>12943.172860577508</v>
      </c>
      <c r="G407" s="2714">
        <v>13930.405310268552</v>
      </c>
      <c r="H407" s="2715">
        <v>14002.206638214346</v>
      </c>
      <c r="I407" s="3702">
        <v>13458.557121094336</v>
      </c>
      <c r="J407" s="2715">
        <v>14224.855680024702</v>
      </c>
      <c r="K407" s="3141">
        <v>13023.09801599142</v>
      </c>
      <c r="L407" s="2721">
        <v>14078.233914257007</v>
      </c>
      <c r="M407" s="2722">
        <v>13660.081595624571</v>
      </c>
      <c r="N407" s="3148">
        <v>14252.392013187042</v>
      </c>
      <c r="O407" s="1470"/>
      <c r="P407" s="1470"/>
    </row>
    <row r="408" spans="1:16" ht="12.75" customHeight="1">
      <c r="A408" s="972">
        <v>2026.03</v>
      </c>
      <c r="B408" s="2714" t="e">
        <v>#N/A</v>
      </c>
      <c r="C408" s="2715" t="e">
        <v>#N/A</v>
      </c>
      <c r="D408" s="3702" t="e">
        <v>#N/A</v>
      </c>
      <c r="E408" s="2715" t="e">
        <v>#N/A</v>
      </c>
      <c r="F408" s="3141" t="e">
        <v>#N/A</v>
      </c>
      <c r="G408" s="2714" t="e">
        <v>#N/A</v>
      </c>
      <c r="H408" s="2715" t="e">
        <v>#N/A</v>
      </c>
      <c r="I408" s="3702" t="e">
        <v>#N/A</v>
      </c>
      <c r="J408" s="2715" t="e">
        <v>#N/A</v>
      </c>
      <c r="K408" s="3141" t="e">
        <v>#N/A</v>
      </c>
      <c r="L408" s="2721" t="e">
        <v>#N/A</v>
      </c>
      <c r="M408" s="2722" t="e">
        <v>#N/A</v>
      </c>
      <c r="N408" s="3148" t="e">
        <v>#N/A</v>
      </c>
      <c r="O408" s="1470"/>
      <c r="P408" s="1470"/>
    </row>
    <row r="409" spans="1:16" ht="12.75" customHeight="1">
      <c r="A409" s="972">
        <v>2026.04</v>
      </c>
      <c r="B409" s="2714" t="e">
        <v>#N/A</v>
      </c>
      <c r="C409" s="2715" t="e">
        <v>#N/A</v>
      </c>
      <c r="D409" s="3702" t="e">
        <v>#N/A</v>
      </c>
      <c r="E409" s="2715" t="e">
        <v>#N/A</v>
      </c>
      <c r="F409" s="3141" t="e">
        <v>#N/A</v>
      </c>
      <c r="G409" s="2714" t="e">
        <v>#N/A</v>
      </c>
      <c r="H409" s="2715" t="e">
        <v>#N/A</v>
      </c>
      <c r="I409" s="3702" t="e">
        <v>#N/A</v>
      </c>
      <c r="J409" s="2715" t="e">
        <v>#N/A</v>
      </c>
      <c r="K409" s="3141" t="e">
        <v>#N/A</v>
      </c>
      <c r="L409" s="2721" t="e">
        <v>#N/A</v>
      </c>
      <c r="M409" s="2722" t="e">
        <v>#N/A</v>
      </c>
      <c r="N409" s="3148" t="e">
        <v>#N/A</v>
      </c>
      <c r="O409" s="1470"/>
      <c r="P409" s="1470"/>
    </row>
    <row r="410" spans="1:16" ht="12.75" customHeight="1">
      <c r="A410" s="972">
        <v>2026.05</v>
      </c>
      <c r="B410" s="2714" t="e">
        <v>#N/A</v>
      </c>
      <c r="C410" s="2715" t="e">
        <v>#N/A</v>
      </c>
      <c r="D410" s="3702" t="e">
        <v>#N/A</v>
      </c>
      <c r="E410" s="2715" t="e">
        <v>#N/A</v>
      </c>
      <c r="F410" s="3141" t="e">
        <v>#N/A</v>
      </c>
      <c r="G410" s="2714" t="e">
        <v>#N/A</v>
      </c>
      <c r="H410" s="2715" t="e">
        <v>#N/A</v>
      </c>
      <c r="I410" s="3702" t="e">
        <v>#N/A</v>
      </c>
      <c r="J410" s="2715" t="e">
        <v>#N/A</v>
      </c>
      <c r="K410" s="3141" t="e">
        <v>#N/A</v>
      </c>
      <c r="L410" s="2721" t="e">
        <v>#N/A</v>
      </c>
      <c r="M410" s="2722" t="e">
        <v>#N/A</v>
      </c>
      <c r="N410" s="3148" t="e">
        <v>#N/A</v>
      </c>
      <c r="O410" s="1470"/>
      <c r="P410" s="1470"/>
    </row>
    <row r="411" spans="1:16" ht="12.75" customHeight="1">
      <c r="A411" s="972">
        <v>2026.06</v>
      </c>
      <c r="B411" s="2714" t="e">
        <v>#N/A</v>
      </c>
      <c r="C411" s="2715" t="e">
        <v>#N/A</v>
      </c>
      <c r="D411" s="3702" t="e">
        <v>#N/A</v>
      </c>
      <c r="E411" s="2715" t="e">
        <v>#N/A</v>
      </c>
      <c r="F411" s="3141" t="e">
        <v>#N/A</v>
      </c>
      <c r="G411" s="2714" t="e">
        <v>#N/A</v>
      </c>
      <c r="H411" s="2715" t="e">
        <v>#N/A</v>
      </c>
      <c r="I411" s="3702" t="e">
        <v>#N/A</v>
      </c>
      <c r="J411" s="2715" t="e">
        <v>#N/A</v>
      </c>
      <c r="K411" s="3141" t="e">
        <v>#N/A</v>
      </c>
      <c r="L411" s="2721" t="e">
        <v>#N/A</v>
      </c>
      <c r="M411" s="2722" t="e">
        <v>#N/A</v>
      </c>
      <c r="N411" s="3148" t="e">
        <v>#N/A</v>
      </c>
      <c r="O411" s="1470"/>
      <c r="P411" s="1470"/>
    </row>
    <row r="412" spans="1:16" ht="12.75" customHeight="1">
      <c r="A412" s="972">
        <v>2026.07</v>
      </c>
      <c r="B412" s="2714" t="e">
        <v>#N/A</v>
      </c>
      <c r="C412" s="2715" t="e">
        <v>#N/A</v>
      </c>
      <c r="D412" s="3702" t="e">
        <v>#N/A</v>
      </c>
      <c r="E412" s="2715" t="e">
        <v>#N/A</v>
      </c>
      <c r="F412" s="3141" t="e">
        <v>#N/A</v>
      </c>
      <c r="G412" s="2714" t="e">
        <v>#N/A</v>
      </c>
      <c r="H412" s="2715" t="e">
        <v>#N/A</v>
      </c>
      <c r="I412" s="3702" t="e">
        <v>#N/A</v>
      </c>
      <c r="J412" s="2715" t="e">
        <v>#N/A</v>
      </c>
      <c r="K412" s="3141" t="e">
        <v>#N/A</v>
      </c>
      <c r="L412" s="2721" t="e">
        <v>#N/A</v>
      </c>
      <c r="M412" s="2722" t="e">
        <v>#N/A</v>
      </c>
      <c r="N412" s="3148" t="e">
        <v>#N/A</v>
      </c>
      <c r="O412" s="1470"/>
      <c r="P412" s="1470"/>
    </row>
    <row r="413" spans="1:16" ht="12.75" customHeight="1">
      <c r="A413" s="972">
        <v>2026.08</v>
      </c>
      <c r="B413" s="2714" t="e">
        <v>#N/A</v>
      </c>
      <c r="C413" s="2715" t="e">
        <v>#N/A</v>
      </c>
      <c r="D413" s="3702" t="e">
        <v>#N/A</v>
      </c>
      <c r="E413" s="2715" t="e">
        <v>#N/A</v>
      </c>
      <c r="F413" s="3141" t="e">
        <v>#N/A</v>
      </c>
      <c r="G413" s="2714" t="e">
        <v>#N/A</v>
      </c>
      <c r="H413" s="2715" t="e">
        <v>#N/A</v>
      </c>
      <c r="I413" s="3702" t="e">
        <v>#N/A</v>
      </c>
      <c r="J413" s="2715" t="e">
        <v>#N/A</v>
      </c>
      <c r="K413" s="3141" t="e">
        <v>#N/A</v>
      </c>
      <c r="L413" s="2721" t="e">
        <v>#N/A</v>
      </c>
      <c r="M413" s="2722" t="e">
        <v>#N/A</v>
      </c>
      <c r="N413" s="3148" t="e">
        <v>#N/A</v>
      </c>
      <c r="O413" s="1470"/>
      <c r="P413" s="1470"/>
    </row>
    <row r="414" spans="1:16" ht="12.75" customHeight="1">
      <c r="A414" s="972">
        <v>2026.09</v>
      </c>
      <c r="B414" s="2714" t="e">
        <v>#N/A</v>
      </c>
      <c r="C414" s="2715" t="e">
        <v>#N/A</v>
      </c>
      <c r="D414" s="3702" t="e">
        <v>#N/A</v>
      </c>
      <c r="E414" s="2715" t="e">
        <v>#N/A</v>
      </c>
      <c r="F414" s="3141" t="e">
        <v>#N/A</v>
      </c>
      <c r="G414" s="2714" t="e">
        <v>#N/A</v>
      </c>
      <c r="H414" s="2715" t="e">
        <v>#N/A</v>
      </c>
      <c r="I414" s="3702" t="e">
        <v>#N/A</v>
      </c>
      <c r="J414" s="2715" t="e">
        <v>#N/A</v>
      </c>
      <c r="K414" s="3141" t="e">
        <v>#N/A</v>
      </c>
      <c r="L414" s="2721" t="e">
        <v>#N/A</v>
      </c>
      <c r="M414" s="2722" t="e">
        <v>#N/A</v>
      </c>
      <c r="N414" s="3148" t="e">
        <v>#N/A</v>
      </c>
      <c r="O414" s="1470"/>
      <c r="P414" s="1470"/>
    </row>
    <row r="415" spans="1:16" ht="12.75" customHeight="1">
      <c r="A415" s="972">
        <v>2026.1</v>
      </c>
      <c r="B415" s="2714" t="e">
        <v>#N/A</v>
      </c>
      <c r="C415" s="2715" t="e">
        <v>#N/A</v>
      </c>
      <c r="D415" s="3702" t="e">
        <v>#N/A</v>
      </c>
      <c r="E415" s="2715" t="e">
        <v>#N/A</v>
      </c>
      <c r="F415" s="3141" t="e">
        <v>#N/A</v>
      </c>
      <c r="G415" s="2714" t="e">
        <v>#N/A</v>
      </c>
      <c r="H415" s="2715" t="e">
        <v>#N/A</v>
      </c>
      <c r="I415" s="3702" t="e">
        <v>#N/A</v>
      </c>
      <c r="J415" s="2715" t="e">
        <v>#N/A</v>
      </c>
      <c r="K415" s="3141" t="e">
        <v>#N/A</v>
      </c>
      <c r="L415" s="2721" t="e">
        <v>#N/A</v>
      </c>
      <c r="M415" s="2722" t="e">
        <v>#N/A</v>
      </c>
      <c r="N415" s="3148" t="e">
        <v>#N/A</v>
      </c>
      <c r="O415" s="1470"/>
      <c r="P415" s="1470"/>
    </row>
    <row r="416" spans="1:16" ht="12.75" customHeight="1">
      <c r="A416" s="972">
        <v>2026.11</v>
      </c>
      <c r="B416" s="2714" t="e">
        <v>#N/A</v>
      </c>
      <c r="C416" s="2715" t="e">
        <v>#N/A</v>
      </c>
      <c r="D416" s="3702" t="e">
        <v>#N/A</v>
      </c>
      <c r="E416" s="2715" t="e">
        <v>#N/A</v>
      </c>
      <c r="F416" s="3141" t="e">
        <v>#N/A</v>
      </c>
      <c r="G416" s="2714" t="e">
        <v>#N/A</v>
      </c>
      <c r="H416" s="2715" t="e">
        <v>#N/A</v>
      </c>
      <c r="I416" s="3702" t="e">
        <v>#N/A</v>
      </c>
      <c r="J416" s="2715" t="e">
        <v>#N/A</v>
      </c>
      <c r="K416" s="3141" t="e">
        <v>#N/A</v>
      </c>
      <c r="L416" s="2721" t="e">
        <v>#N/A</v>
      </c>
      <c r="M416" s="2722" t="e">
        <v>#N/A</v>
      </c>
      <c r="N416" s="3148" t="e">
        <v>#N/A</v>
      </c>
      <c r="O416" s="1470"/>
      <c r="P416" s="1470"/>
    </row>
    <row r="417" spans="1:14" ht="12.75" customHeight="1">
      <c r="A417" s="972">
        <v>2026.12</v>
      </c>
      <c r="B417" s="2714" t="e">
        <v>#N/A</v>
      </c>
      <c r="C417" s="2715" t="e">
        <v>#N/A</v>
      </c>
      <c r="D417" s="3702" t="e">
        <v>#N/A</v>
      </c>
      <c r="E417" s="2715" t="e">
        <v>#N/A</v>
      </c>
      <c r="F417" s="3141" t="e">
        <v>#N/A</v>
      </c>
      <c r="G417" s="2714" t="e">
        <v>#N/A</v>
      </c>
      <c r="H417" s="2715" t="e">
        <v>#N/A</v>
      </c>
      <c r="I417" s="3702" t="e">
        <v>#N/A</v>
      </c>
      <c r="J417" s="2715" t="e">
        <v>#N/A</v>
      </c>
      <c r="K417" s="3141" t="e">
        <v>#N/A</v>
      </c>
      <c r="L417" s="2721" t="e">
        <v>#N/A</v>
      </c>
      <c r="M417" s="2722" t="e">
        <v>#N/A</v>
      </c>
      <c r="N417" s="3148" t="e">
        <v>#N/A</v>
      </c>
    </row>
    <row r="418" spans="1:14" ht="12.75" customHeight="1">
      <c r="A418" s="972">
        <v>2027.01</v>
      </c>
      <c r="B418" s="2714" t="e">
        <v>#N/A</v>
      </c>
      <c r="C418" s="2715" t="e">
        <v>#N/A</v>
      </c>
      <c r="D418" s="3702" t="e">
        <v>#N/A</v>
      </c>
      <c r="E418" s="2715" t="e">
        <v>#N/A</v>
      </c>
      <c r="F418" s="3141" t="e">
        <v>#N/A</v>
      </c>
      <c r="G418" s="2714" t="e">
        <v>#N/A</v>
      </c>
      <c r="H418" s="2715" t="e">
        <v>#N/A</v>
      </c>
      <c r="I418" s="3702" t="e">
        <v>#N/A</v>
      </c>
      <c r="J418" s="2715" t="e">
        <v>#N/A</v>
      </c>
      <c r="K418" s="3141" t="e">
        <v>#N/A</v>
      </c>
      <c r="L418" s="2721" t="e">
        <v>#N/A</v>
      </c>
      <c r="M418" s="2722" t="e">
        <v>#N/A</v>
      </c>
      <c r="N418" s="3148" t="e">
        <v>#N/A</v>
      </c>
    </row>
    <row r="419" spans="1:14" ht="12.75" customHeight="1">
      <c r="A419" s="972">
        <v>2027.02</v>
      </c>
      <c r="B419" s="2714" t="e">
        <v>#N/A</v>
      </c>
      <c r="C419" s="2715" t="e">
        <v>#N/A</v>
      </c>
      <c r="D419" s="3702" t="e">
        <v>#N/A</v>
      </c>
      <c r="E419" s="2715" t="e">
        <v>#N/A</v>
      </c>
      <c r="F419" s="3141" t="e">
        <v>#N/A</v>
      </c>
      <c r="G419" s="2714" t="e">
        <v>#N/A</v>
      </c>
      <c r="H419" s="2715" t="e">
        <v>#N/A</v>
      </c>
      <c r="I419" s="3702" t="e">
        <v>#N/A</v>
      </c>
      <c r="J419" s="2715" t="e">
        <v>#N/A</v>
      </c>
      <c r="K419" s="3141" t="e">
        <v>#N/A</v>
      </c>
      <c r="L419" s="2721" t="e">
        <v>#N/A</v>
      </c>
      <c r="M419" s="2722" t="e">
        <v>#N/A</v>
      </c>
      <c r="N419" s="3148" t="e">
        <v>#N/A</v>
      </c>
    </row>
    <row r="420" spans="1:14" ht="12.75" customHeight="1">
      <c r="A420" s="972">
        <v>2027.03</v>
      </c>
      <c r="B420" s="2714" t="e">
        <v>#N/A</v>
      </c>
      <c r="C420" s="2715" t="e">
        <v>#N/A</v>
      </c>
      <c r="D420" s="3702" t="e">
        <v>#N/A</v>
      </c>
      <c r="E420" s="2715" t="e">
        <v>#N/A</v>
      </c>
      <c r="F420" s="3141" t="e">
        <v>#N/A</v>
      </c>
      <c r="G420" s="2714" t="e">
        <v>#N/A</v>
      </c>
      <c r="H420" s="2715" t="e">
        <v>#N/A</v>
      </c>
      <c r="I420" s="3702" t="e">
        <v>#N/A</v>
      </c>
      <c r="J420" s="2715" t="e">
        <v>#N/A</v>
      </c>
      <c r="K420" s="3141" t="e">
        <v>#N/A</v>
      </c>
      <c r="L420" s="2721" t="e">
        <v>#N/A</v>
      </c>
      <c r="M420" s="2722" t="e">
        <v>#N/A</v>
      </c>
      <c r="N420" s="3148" t="e">
        <v>#N/A</v>
      </c>
    </row>
    <row r="421" spans="1:14" ht="12.75" customHeight="1">
      <c r="A421" s="972">
        <v>2027.04</v>
      </c>
      <c r="B421" s="2714" t="e">
        <v>#N/A</v>
      </c>
      <c r="C421" s="2715" t="e">
        <v>#N/A</v>
      </c>
      <c r="D421" s="3702" t="e">
        <v>#N/A</v>
      </c>
      <c r="E421" s="2715" t="e">
        <v>#N/A</v>
      </c>
      <c r="F421" s="3141" t="e">
        <v>#N/A</v>
      </c>
      <c r="G421" s="2714" t="e">
        <v>#N/A</v>
      </c>
      <c r="H421" s="2715" t="e">
        <v>#N/A</v>
      </c>
      <c r="I421" s="3702" t="e">
        <v>#N/A</v>
      </c>
      <c r="J421" s="2715" t="e">
        <v>#N/A</v>
      </c>
      <c r="K421" s="3141" t="e">
        <v>#N/A</v>
      </c>
      <c r="L421" s="2721" t="e">
        <v>#N/A</v>
      </c>
      <c r="M421" s="2722" t="e">
        <v>#N/A</v>
      </c>
      <c r="N421" s="3148" t="e">
        <v>#N/A</v>
      </c>
    </row>
    <row r="422" spans="1:14" ht="12.75" customHeight="1">
      <c r="A422" s="972">
        <v>2027.05</v>
      </c>
      <c r="B422" s="2714" t="e">
        <v>#N/A</v>
      </c>
      <c r="C422" s="2715" t="e">
        <v>#N/A</v>
      </c>
      <c r="D422" s="3702" t="e">
        <v>#N/A</v>
      </c>
      <c r="E422" s="2715" t="e">
        <v>#N/A</v>
      </c>
      <c r="F422" s="3141" t="e">
        <v>#N/A</v>
      </c>
      <c r="G422" s="2714" t="e">
        <v>#N/A</v>
      </c>
      <c r="H422" s="2715" t="e">
        <v>#N/A</v>
      </c>
      <c r="I422" s="3702" t="e">
        <v>#N/A</v>
      </c>
      <c r="J422" s="2715" t="e">
        <v>#N/A</v>
      </c>
      <c r="K422" s="3141" t="e">
        <v>#N/A</v>
      </c>
      <c r="L422" s="2721" t="e">
        <v>#N/A</v>
      </c>
      <c r="M422" s="2722" t="e">
        <v>#N/A</v>
      </c>
      <c r="N422" s="3148" t="e">
        <v>#N/A</v>
      </c>
    </row>
    <row r="423" spans="1:14" ht="12.75" customHeight="1">
      <c r="A423" s="972">
        <v>2027.06</v>
      </c>
      <c r="B423" s="2714" t="e">
        <v>#N/A</v>
      </c>
      <c r="C423" s="2715" t="e">
        <v>#N/A</v>
      </c>
      <c r="D423" s="3702" t="e">
        <v>#N/A</v>
      </c>
      <c r="E423" s="2715" t="e">
        <v>#N/A</v>
      </c>
      <c r="F423" s="3141" t="e">
        <v>#N/A</v>
      </c>
      <c r="G423" s="2714" t="e">
        <v>#N/A</v>
      </c>
      <c r="H423" s="2715" t="e">
        <v>#N/A</v>
      </c>
      <c r="I423" s="3702" t="e">
        <v>#N/A</v>
      </c>
      <c r="J423" s="2715" t="e">
        <v>#N/A</v>
      </c>
      <c r="K423" s="3141" t="e">
        <v>#N/A</v>
      </c>
      <c r="L423" s="2721" t="e">
        <v>#N/A</v>
      </c>
      <c r="M423" s="2722" t="e">
        <v>#N/A</v>
      </c>
      <c r="N423" s="3148" t="e">
        <v>#N/A</v>
      </c>
    </row>
    <row r="424" spans="1:14" ht="12.75" customHeight="1">
      <c r="A424" s="972">
        <v>2027.07</v>
      </c>
      <c r="B424" s="2714" t="e">
        <v>#N/A</v>
      </c>
      <c r="C424" s="2715" t="e">
        <v>#N/A</v>
      </c>
      <c r="D424" s="3702" t="e">
        <v>#N/A</v>
      </c>
      <c r="E424" s="2715" t="e">
        <v>#N/A</v>
      </c>
      <c r="F424" s="3141" t="e">
        <v>#N/A</v>
      </c>
      <c r="G424" s="2714" t="e">
        <v>#N/A</v>
      </c>
      <c r="H424" s="2715" t="e">
        <v>#N/A</v>
      </c>
      <c r="I424" s="3702" t="e">
        <v>#N/A</v>
      </c>
      <c r="J424" s="2715" t="e">
        <v>#N/A</v>
      </c>
      <c r="K424" s="3141" t="e">
        <v>#N/A</v>
      </c>
      <c r="L424" s="2721" t="e">
        <v>#N/A</v>
      </c>
      <c r="M424" s="2722" t="e">
        <v>#N/A</v>
      </c>
      <c r="N424" s="3148" t="e">
        <v>#N/A</v>
      </c>
    </row>
    <row r="425" spans="1:14" ht="12.75" customHeight="1">
      <c r="A425" s="972">
        <v>2027.08</v>
      </c>
      <c r="B425" s="2714" t="e">
        <v>#N/A</v>
      </c>
      <c r="C425" s="2715" t="e">
        <v>#N/A</v>
      </c>
      <c r="D425" s="3702" t="e">
        <v>#N/A</v>
      </c>
      <c r="E425" s="2715" t="e">
        <v>#N/A</v>
      </c>
      <c r="F425" s="3141" t="e">
        <v>#N/A</v>
      </c>
      <c r="G425" s="2714" t="e">
        <v>#N/A</v>
      </c>
      <c r="H425" s="2715" t="e">
        <v>#N/A</v>
      </c>
      <c r="I425" s="3702" t="e">
        <v>#N/A</v>
      </c>
      <c r="J425" s="2715" t="e">
        <v>#N/A</v>
      </c>
      <c r="K425" s="3141" t="e">
        <v>#N/A</v>
      </c>
      <c r="L425" s="2721" t="e">
        <v>#N/A</v>
      </c>
      <c r="M425" s="2722" t="e">
        <v>#N/A</v>
      </c>
      <c r="N425" s="3148" t="e">
        <v>#N/A</v>
      </c>
    </row>
    <row r="426" spans="1:14" ht="12.75" customHeight="1">
      <c r="A426" s="972">
        <v>2027.09</v>
      </c>
      <c r="B426" s="2714" t="e">
        <v>#N/A</v>
      </c>
      <c r="C426" s="2715" t="e">
        <v>#N/A</v>
      </c>
      <c r="D426" s="3702" t="e">
        <v>#N/A</v>
      </c>
      <c r="E426" s="2715" t="e">
        <v>#N/A</v>
      </c>
      <c r="F426" s="3141" t="e">
        <v>#N/A</v>
      </c>
      <c r="G426" s="2714" t="e">
        <v>#N/A</v>
      </c>
      <c r="H426" s="2715" t="e">
        <v>#N/A</v>
      </c>
      <c r="I426" s="3702" t="e">
        <v>#N/A</v>
      </c>
      <c r="J426" s="2715" t="e">
        <v>#N/A</v>
      </c>
      <c r="K426" s="3141" t="e">
        <v>#N/A</v>
      </c>
      <c r="L426" s="2721" t="e">
        <v>#N/A</v>
      </c>
      <c r="M426" s="2722" t="e">
        <v>#N/A</v>
      </c>
      <c r="N426" s="3148" t="e">
        <v>#N/A</v>
      </c>
    </row>
    <row r="427" spans="1:14" ht="12.75" customHeight="1">
      <c r="A427" s="972">
        <v>2027.1</v>
      </c>
      <c r="B427" s="2714" t="e">
        <v>#N/A</v>
      </c>
      <c r="C427" s="2715" t="e">
        <v>#N/A</v>
      </c>
      <c r="D427" s="3702" t="e">
        <v>#N/A</v>
      </c>
      <c r="E427" s="2715" t="e">
        <v>#N/A</v>
      </c>
      <c r="F427" s="3141" t="e">
        <v>#N/A</v>
      </c>
      <c r="G427" s="2714" t="e">
        <v>#N/A</v>
      </c>
      <c r="H427" s="2715" t="e">
        <v>#N/A</v>
      </c>
      <c r="I427" s="3702" t="e">
        <v>#N/A</v>
      </c>
      <c r="J427" s="2715" t="e">
        <v>#N/A</v>
      </c>
      <c r="K427" s="3141" t="e">
        <v>#N/A</v>
      </c>
      <c r="L427" s="2721" t="e">
        <v>#N/A</v>
      </c>
      <c r="M427" s="2722" t="e">
        <v>#N/A</v>
      </c>
      <c r="N427" s="3148" t="e">
        <v>#N/A</v>
      </c>
    </row>
    <row r="428" spans="1:14" ht="12.75" customHeight="1">
      <c r="A428" s="972">
        <v>2027.11</v>
      </c>
      <c r="B428" s="2714" t="e">
        <v>#N/A</v>
      </c>
      <c r="C428" s="2715" t="e">
        <v>#N/A</v>
      </c>
      <c r="D428" s="3702" t="e">
        <v>#N/A</v>
      </c>
      <c r="E428" s="2715" t="e">
        <v>#N/A</v>
      </c>
      <c r="F428" s="3141" t="e">
        <v>#N/A</v>
      </c>
      <c r="G428" s="2714" t="e">
        <v>#N/A</v>
      </c>
      <c r="H428" s="2715" t="e">
        <v>#N/A</v>
      </c>
      <c r="I428" s="3702" t="e">
        <v>#N/A</v>
      </c>
      <c r="J428" s="2715" t="e">
        <v>#N/A</v>
      </c>
      <c r="K428" s="3141" t="e">
        <v>#N/A</v>
      </c>
      <c r="L428" s="2721" t="e">
        <v>#N/A</v>
      </c>
      <c r="M428" s="2722" t="e">
        <v>#N/A</v>
      </c>
      <c r="N428" s="3148" t="e">
        <v>#N/A</v>
      </c>
    </row>
    <row r="429" spans="1:14" ht="12.75" customHeight="1">
      <c r="A429" s="972">
        <v>2027.12</v>
      </c>
      <c r="B429" s="2714" t="e">
        <v>#N/A</v>
      </c>
      <c r="C429" s="2715" t="e">
        <v>#N/A</v>
      </c>
      <c r="D429" s="3702" t="e">
        <v>#N/A</v>
      </c>
      <c r="E429" s="2715" t="e">
        <v>#N/A</v>
      </c>
      <c r="F429" s="3141" t="e">
        <v>#N/A</v>
      </c>
      <c r="G429" s="2714" t="e">
        <v>#N/A</v>
      </c>
      <c r="H429" s="2715" t="e">
        <v>#N/A</v>
      </c>
      <c r="I429" s="3702" t="e">
        <v>#N/A</v>
      </c>
      <c r="J429" s="2715" t="e">
        <v>#N/A</v>
      </c>
      <c r="K429" s="3141" t="e">
        <v>#N/A</v>
      </c>
      <c r="L429" s="2721" t="e">
        <v>#N/A</v>
      </c>
      <c r="M429" s="2722" t="e">
        <v>#N/A</v>
      </c>
      <c r="N429" s="3148" t="e">
        <v>#N/A</v>
      </c>
    </row>
    <row r="430" spans="1:14" ht="12.75" customHeight="1">
      <c r="A430" s="972">
        <v>2028.01</v>
      </c>
      <c r="B430" s="2714" t="e">
        <v>#N/A</v>
      </c>
      <c r="C430" s="2715" t="e">
        <v>#N/A</v>
      </c>
      <c r="D430" s="3702" t="e">
        <v>#N/A</v>
      </c>
      <c r="E430" s="2715" t="e">
        <v>#N/A</v>
      </c>
      <c r="F430" s="3141" t="e">
        <v>#N/A</v>
      </c>
      <c r="G430" s="2714" t="e">
        <v>#N/A</v>
      </c>
      <c r="H430" s="2715" t="e">
        <v>#N/A</v>
      </c>
      <c r="I430" s="3702" t="e">
        <v>#N/A</v>
      </c>
      <c r="J430" s="2715" t="e">
        <v>#N/A</v>
      </c>
      <c r="K430" s="3141" t="e">
        <v>#N/A</v>
      </c>
      <c r="L430" s="2721" t="e">
        <v>#N/A</v>
      </c>
      <c r="M430" s="2722" t="e">
        <v>#N/A</v>
      </c>
      <c r="N430" s="3148" t="e">
        <v>#N/A</v>
      </c>
    </row>
    <row r="431" spans="1:14" ht="12.75" customHeight="1">
      <c r="A431" s="972">
        <v>2028.02</v>
      </c>
      <c r="B431" s="2714" t="e">
        <v>#N/A</v>
      </c>
      <c r="C431" s="2715" t="e">
        <v>#N/A</v>
      </c>
      <c r="D431" s="3702" t="e">
        <v>#N/A</v>
      </c>
      <c r="E431" s="2715" t="e">
        <v>#N/A</v>
      </c>
      <c r="F431" s="3141" t="e">
        <v>#N/A</v>
      </c>
      <c r="G431" s="2714" t="e">
        <v>#N/A</v>
      </c>
      <c r="H431" s="2715" t="e">
        <v>#N/A</v>
      </c>
      <c r="I431" s="3702" t="e">
        <v>#N/A</v>
      </c>
      <c r="J431" s="2715" t="e">
        <v>#N/A</v>
      </c>
      <c r="K431" s="3141" t="e">
        <v>#N/A</v>
      </c>
      <c r="L431" s="2721" t="e">
        <v>#N/A</v>
      </c>
      <c r="M431" s="2722" t="e">
        <v>#N/A</v>
      </c>
      <c r="N431" s="3148" t="e">
        <v>#N/A</v>
      </c>
    </row>
    <row r="432" spans="1:14" ht="12.75" customHeight="1">
      <c r="A432" s="972">
        <v>2028.03</v>
      </c>
      <c r="B432" s="2714" t="e">
        <v>#N/A</v>
      </c>
      <c r="C432" s="2715" t="e">
        <v>#N/A</v>
      </c>
      <c r="D432" s="3702" t="e">
        <v>#N/A</v>
      </c>
      <c r="E432" s="2715" t="e">
        <v>#N/A</v>
      </c>
      <c r="F432" s="3141" t="e">
        <v>#N/A</v>
      </c>
      <c r="G432" s="2714" t="e">
        <v>#N/A</v>
      </c>
      <c r="H432" s="2715" t="e">
        <v>#N/A</v>
      </c>
      <c r="I432" s="3702" t="e">
        <v>#N/A</v>
      </c>
      <c r="J432" s="2715" t="e">
        <v>#N/A</v>
      </c>
      <c r="K432" s="3141" t="e">
        <v>#N/A</v>
      </c>
      <c r="L432" s="2721" t="e">
        <v>#N/A</v>
      </c>
      <c r="M432" s="2722" t="e">
        <v>#N/A</v>
      </c>
      <c r="N432" s="3148" t="e">
        <v>#N/A</v>
      </c>
    </row>
    <row r="433" spans="1:14" ht="12.75" customHeight="1">
      <c r="A433" s="972">
        <v>2028.04</v>
      </c>
      <c r="B433" s="2714" t="e">
        <v>#N/A</v>
      </c>
      <c r="C433" s="2715" t="e">
        <v>#N/A</v>
      </c>
      <c r="D433" s="3702" t="e">
        <v>#N/A</v>
      </c>
      <c r="E433" s="2715" t="e">
        <v>#N/A</v>
      </c>
      <c r="F433" s="3141" t="e">
        <v>#N/A</v>
      </c>
      <c r="G433" s="2714" t="e">
        <v>#N/A</v>
      </c>
      <c r="H433" s="2715" t="e">
        <v>#N/A</v>
      </c>
      <c r="I433" s="3702" t="e">
        <v>#N/A</v>
      </c>
      <c r="J433" s="2715" t="e">
        <v>#N/A</v>
      </c>
      <c r="K433" s="3141" t="e">
        <v>#N/A</v>
      </c>
      <c r="L433" s="2721" t="e">
        <v>#N/A</v>
      </c>
      <c r="M433" s="2722" t="e">
        <v>#N/A</v>
      </c>
      <c r="N433" s="3148" t="e">
        <v>#N/A</v>
      </c>
    </row>
    <row r="434" spans="1:14" ht="12.75" customHeight="1">
      <c r="A434" s="972">
        <v>2028.05</v>
      </c>
      <c r="B434" s="2714" t="e">
        <v>#N/A</v>
      </c>
      <c r="C434" s="2715" t="e">
        <v>#N/A</v>
      </c>
      <c r="D434" s="3702" t="e">
        <v>#N/A</v>
      </c>
      <c r="E434" s="2715" t="e">
        <v>#N/A</v>
      </c>
      <c r="F434" s="3141" t="e">
        <v>#N/A</v>
      </c>
      <c r="G434" s="2714" t="e">
        <v>#N/A</v>
      </c>
      <c r="H434" s="2715" t="e">
        <v>#N/A</v>
      </c>
      <c r="I434" s="3702" t="e">
        <v>#N/A</v>
      </c>
      <c r="J434" s="2715" t="e">
        <v>#N/A</v>
      </c>
      <c r="K434" s="3141" t="e">
        <v>#N/A</v>
      </c>
      <c r="L434" s="2721" t="e">
        <v>#N/A</v>
      </c>
      <c r="M434" s="2722" t="e">
        <v>#N/A</v>
      </c>
      <c r="N434" s="3148" t="e">
        <v>#N/A</v>
      </c>
    </row>
    <row r="435" spans="1:14" ht="12.75" customHeight="1">
      <c r="A435" s="972">
        <v>2028.06</v>
      </c>
      <c r="B435" s="2714" t="e">
        <v>#N/A</v>
      </c>
      <c r="C435" s="2715" t="e">
        <v>#N/A</v>
      </c>
      <c r="D435" s="3702" t="e">
        <v>#N/A</v>
      </c>
      <c r="E435" s="2715" t="e">
        <v>#N/A</v>
      </c>
      <c r="F435" s="3141" t="e">
        <v>#N/A</v>
      </c>
      <c r="G435" s="2714" t="e">
        <v>#N/A</v>
      </c>
      <c r="H435" s="2715" t="e">
        <v>#N/A</v>
      </c>
      <c r="I435" s="3702" t="e">
        <v>#N/A</v>
      </c>
      <c r="J435" s="2715" t="e">
        <v>#N/A</v>
      </c>
      <c r="K435" s="3141" t="e">
        <v>#N/A</v>
      </c>
      <c r="L435" s="2721" t="e">
        <v>#N/A</v>
      </c>
      <c r="M435" s="2722" t="e">
        <v>#N/A</v>
      </c>
      <c r="N435" s="3148" t="e">
        <v>#N/A</v>
      </c>
    </row>
    <row r="436" spans="1:14" ht="12.75" customHeight="1">
      <c r="A436" s="972">
        <v>2028.07</v>
      </c>
      <c r="B436" s="2714" t="e">
        <v>#N/A</v>
      </c>
      <c r="C436" s="2715" t="e">
        <v>#N/A</v>
      </c>
      <c r="D436" s="3702" t="e">
        <v>#N/A</v>
      </c>
      <c r="E436" s="2715" t="e">
        <v>#N/A</v>
      </c>
      <c r="F436" s="3141" t="e">
        <v>#N/A</v>
      </c>
      <c r="G436" s="2714" t="e">
        <v>#N/A</v>
      </c>
      <c r="H436" s="2715" t="e">
        <v>#N/A</v>
      </c>
      <c r="I436" s="3702" t="e">
        <v>#N/A</v>
      </c>
      <c r="J436" s="2715" t="e">
        <v>#N/A</v>
      </c>
      <c r="K436" s="3141" t="e">
        <v>#N/A</v>
      </c>
      <c r="L436" s="2721" t="e">
        <v>#N/A</v>
      </c>
      <c r="M436" s="2722" t="e">
        <v>#N/A</v>
      </c>
      <c r="N436" s="3148" t="e">
        <v>#N/A</v>
      </c>
    </row>
    <row r="437" spans="1:14" ht="12.75" customHeight="1">
      <c r="A437" s="972">
        <v>2028.08</v>
      </c>
      <c r="B437" s="2714" t="e">
        <v>#N/A</v>
      </c>
      <c r="C437" s="2715" t="e">
        <v>#N/A</v>
      </c>
      <c r="D437" s="3702" t="e">
        <v>#N/A</v>
      </c>
      <c r="E437" s="2715" t="e">
        <v>#N/A</v>
      </c>
      <c r="F437" s="3141" t="e">
        <v>#N/A</v>
      </c>
      <c r="G437" s="2714" t="e">
        <v>#N/A</v>
      </c>
      <c r="H437" s="2715" t="e">
        <v>#N/A</v>
      </c>
      <c r="I437" s="3702" t="e">
        <v>#N/A</v>
      </c>
      <c r="J437" s="2715" t="e">
        <v>#N/A</v>
      </c>
      <c r="K437" s="3141" t="e">
        <v>#N/A</v>
      </c>
      <c r="L437" s="2721" t="e">
        <v>#N/A</v>
      </c>
      <c r="M437" s="2722" t="e">
        <v>#N/A</v>
      </c>
      <c r="N437" s="3148" t="e">
        <v>#N/A</v>
      </c>
    </row>
    <row r="438" spans="1:14" ht="12.75" customHeight="1">
      <c r="A438" s="972">
        <v>2028.09</v>
      </c>
      <c r="B438" s="2714" t="e">
        <v>#N/A</v>
      </c>
      <c r="C438" s="2715" t="e">
        <v>#N/A</v>
      </c>
      <c r="D438" s="3702" t="e">
        <v>#N/A</v>
      </c>
      <c r="E438" s="2715" t="e">
        <v>#N/A</v>
      </c>
      <c r="F438" s="3141" t="e">
        <v>#N/A</v>
      </c>
      <c r="G438" s="2714" t="e">
        <v>#N/A</v>
      </c>
      <c r="H438" s="2715" t="e">
        <v>#N/A</v>
      </c>
      <c r="I438" s="3702" t="e">
        <v>#N/A</v>
      </c>
      <c r="J438" s="2715" t="e">
        <v>#N/A</v>
      </c>
      <c r="K438" s="3141" t="e">
        <v>#N/A</v>
      </c>
      <c r="L438" s="2721" t="e">
        <v>#N/A</v>
      </c>
      <c r="M438" s="2722" t="e">
        <v>#N/A</v>
      </c>
      <c r="N438" s="3148" t="e">
        <v>#N/A</v>
      </c>
    </row>
    <row r="439" spans="1:14" ht="12.75" customHeight="1">
      <c r="A439" s="972">
        <v>2028.1</v>
      </c>
      <c r="B439" s="2714" t="e">
        <v>#N/A</v>
      </c>
      <c r="C439" s="2715" t="e">
        <v>#N/A</v>
      </c>
      <c r="D439" s="3702" t="e">
        <v>#N/A</v>
      </c>
      <c r="E439" s="2715" t="e">
        <v>#N/A</v>
      </c>
      <c r="F439" s="3141" t="e">
        <v>#N/A</v>
      </c>
      <c r="G439" s="2714" t="e">
        <v>#N/A</v>
      </c>
      <c r="H439" s="2715" t="e">
        <v>#N/A</v>
      </c>
      <c r="I439" s="3702" t="e">
        <v>#N/A</v>
      </c>
      <c r="J439" s="2715" t="e">
        <v>#N/A</v>
      </c>
      <c r="K439" s="3141" t="e">
        <v>#N/A</v>
      </c>
      <c r="L439" s="2721" t="e">
        <v>#N/A</v>
      </c>
      <c r="M439" s="2722" t="e">
        <v>#N/A</v>
      </c>
      <c r="N439" s="3148" t="e">
        <v>#N/A</v>
      </c>
    </row>
    <row r="440" spans="1:14" ht="12.75" customHeight="1">
      <c r="A440" s="972">
        <v>2028.11</v>
      </c>
      <c r="B440" s="2714" t="e">
        <v>#N/A</v>
      </c>
      <c r="C440" s="2715" t="e">
        <v>#N/A</v>
      </c>
      <c r="D440" s="3702" t="e">
        <v>#N/A</v>
      </c>
      <c r="E440" s="2715" t="e">
        <v>#N/A</v>
      </c>
      <c r="F440" s="3141" t="e">
        <v>#N/A</v>
      </c>
      <c r="G440" s="2714" t="e">
        <v>#N/A</v>
      </c>
      <c r="H440" s="2715" t="e">
        <v>#N/A</v>
      </c>
      <c r="I440" s="3702" t="e">
        <v>#N/A</v>
      </c>
      <c r="J440" s="2715" t="e">
        <v>#N/A</v>
      </c>
      <c r="K440" s="3141" t="e">
        <v>#N/A</v>
      </c>
      <c r="L440" s="2721" t="e">
        <v>#N/A</v>
      </c>
      <c r="M440" s="2722" t="e">
        <v>#N/A</v>
      </c>
      <c r="N440" s="3148" t="e">
        <v>#N/A</v>
      </c>
    </row>
    <row r="441" spans="1:14" ht="12.75" customHeight="1">
      <c r="A441" s="972">
        <v>2028.12</v>
      </c>
      <c r="B441" s="2714" t="e">
        <v>#N/A</v>
      </c>
      <c r="C441" s="2715" t="e">
        <v>#N/A</v>
      </c>
      <c r="D441" s="3702" t="e">
        <v>#N/A</v>
      </c>
      <c r="E441" s="2715" t="e">
        <v>#N/A</v>
      </c>
      <c r="F441" s="3141" t="e">
        <v>#N/A</v>
      </c>
      <c r="G441" s="2714" t="e">
        <v>#N/A</v>
      </c>
      <c r="H441" s="2715" t="e">
        <v>#N/A</v>
      </c>
      <c r="I441" s="3702" t="e">
        <v>#N/A</v>
      </c>
      <c r="J441" s="2715" t="e">
        <v>#N/A</v>
      </c>
      <c r="K441" s="3141" t="e">
        <v>#N/A</v>
      </c>
      <c r="L441" s="2721" t="e">
        <v>#N/A</v>
      </c>
      <c r="M441" s="2722" t="e">
        <v>#N/A</v>
      </c>
      <c r="N441" s="3148" t="e">
        <v>#N/A</v>
      </c>
    </row>
    <row r="442" spans="1:14" ht="12.75" customHeight="1">
      <c r="A442" s="972">
        <v>2029.01</v>
      </c>
      <c r="B442" s="2714" t="e">
        <v>#N/A</v>
      </c>
      <c r="C442" s="2715" t="e">
        <v>#N/A</v>
      </c>
      <c r="D442" s="3702" t="e">
        <v>#N/A</v>
      </c>
      <c r="E442" s="2715" t="e">
        <v>#N/A</v>
      </c>
      <c r="F442" s="3141" t="e">
        <v>#N/A</v>
      </c>
      <c r="G442" s="2714" t="e">
        <v>#N/A</v>
      </c>
      <c r="H442" s="2715" t="e">
        <v>#N/A</v>
      </c>
      <c r="I442" s="3702" t="e">
        <v>#N/A</v>
      </c>
      <c r="J442" s="2715" t="e">
        <v>#N/A</v>
      </c>
      <c r="K442" s="3141" t="e">
        <v>#N/A</v>
      </c>
      <c r="L442" s="2721" t="e">
        <v>#N/A</v>
      </c>
      <c r="M442" s="2722" t="e">
        <v>#N/A</v>
      </c>
      <c r="N442" s="3148" t="e">
        <v>#N/A</v>
      </c>
    </row>
    <row r="443" spans="1:14" ht="12.75" customHeight="1">
      <c r="A443" s="972">
        <v>2029.02</v>
      </c>
      <c r="B443" s="2714" t="e">
        <v>#N/A</v>
      </c>
      <c r="C443" s="2715" t="e">
        <v>#N/A</v>
      </c>
      <c r="D443" s="3702" t="e">
        <v>#N/A</v>
      </c>
      <c r="E443" s="2715" t="e">
        <v>#N/A</v>
      </c>
      <c r="F443" s="3141" t="e">
        <v>#N/A</v>
      </c>
      <c r="G443" s="2714" t="e">
        <v>#N/A</v>
      </c>
      <c r="H443" s="2715" t="e">
        <v>#N/A</v>
      </c>
      <c r="I443" s="3702" t="e">
        <v>#N/A</v>
      </c>
      <c r="J443" s="2715" t="e">
        <v>#N/A</v>
      </c>
      <c r="K443" s="3141" t="e">
        <v>#N/A</v>
      </c>
      <c r="L443" s="2721" t="e">
        <v>#N/A</v>
      </c>
      <c r="M443" s="2722" t="e">
        <v>#N/A</v>
      </c>
      <c r="N443" s="3148" t="e">
        <v>#N/A</v>
      </c>
    </row>
    <row r="444" spans="1:14" ht="12.75" customHeight="1">
      <c r="A444" s="972">
        <v>2029.03</v>
      </c>
      <c r="B444" s="2714" t="e">
        <v>#N/A</v>
      </c>
      <c r="C444" s="2715" t="e">
        <v>#N/A</v>
      </c>
      <c r="D444" s="3702" t="e">
        <v>#N/A</v>
      </c>
      <c r="E444" s="2715" t="e">
        <v>#N/A</v>
      </c>
      <c r="F444" s="3141" t="e">
        <v>#N/A</v>
      </c>
      <c r="G444" s="2714" t="e">
        <v>#N/A</v>
      </c>
      <c r="H444" s="2715" t="e">
        <v>#N/A</v>
      </c>
      <c r="I444" s="3702" t="e">
        <v>#N/A</v>
      </c>
      <c r="J444" s="2715" t="e">
        <v>#N/A</v>
      </c>
      <c r="K444" s="3141" t="e">
        <v>#N/A</v>
      </c>
      <c r="L444" s="2721" t="e">
        <v>#N/A</v>
      </c>
      <c r="M444" s="2722" t="e">
        <v>#N/A</v>
      </c>
      <c r="N444" s="3148" t="e">
        <v>#N/A</v>
      </c>
    </row>
    <row r="445" spans="1:14" ht="12.75" customHeight="1">
      <c r="A445" s="972">
        <v>2029.04</v>
      </c>
      <c r="B445" s="2714" t="e">
        <v>#N/A</v>
      </c>
      <c r="C445" s="2715" t="e">
        <v>#N/A</v>
      </c>
      <c r="D445" s="3702" t="e">
        <v>#N/A</v>
      </c>
      <c r="E445" s="2715" t="e">
        <v>#N/A</v>
      </c>
      <c r="F445" s="3141" t="e">
        <v>#N/A</v>
      </c>
      <c r="G445" s="2714" t="e">
        <v>#N/A</v>
      </c>
      <c r="H445" s="2715" t="e">
        <v>#N/A</v>
      </c>
      <c r="I445" s="3702" t="e">
        <v>#N/A</v>
      </c>
      <c r="J445" s="2715" t="e">
        <v>#N/A</v>
      </c>
      <c r="K445" s="3141" t="e">
        <v>#N/A</v>
      </c>
      <c r="L445" s="2721" t="e">
        <v>#N/A</v>
      </c>
      <c r="M445" s="2722" t="e">
        <v>#N/A</v>
      </c>
      <c r="N445" s="3148" t="e">
        <v>#N/A</v>
      </c>
    </row>
    <row r="446" spans="1:14" ht="12.75" customHeight="1">
      <c r="A446" s="972">
        <v>2029.05</v>
      </c>
      <c r="B446" s="2714" t="e">
        <v>#N/A</v>
      </c>
      <c r="C446" s="2715" t="e">
        <v>#N/A</v>
      </c>
      <c r="D446" s="3702" t="e">
        <v>#N/A</v>
      </c>
      <c r="E446" s="2715" t="e">
        <v>#N/A</v>
      </c>
      <c r="F446" s="3141" t="e">
        <v>#N/A</v>
      </c>
      <c r="G446" s="2714" t="e">
        <v>#N/A</v>
      </c>
      <c r="H446" s="2715" t="e">
        <v>#N/A</v>
      </c>
      <c r="I446" s="3702" t="e">
        <v>#N/A</v>
      </c>
      <c r="J446" s="2715" t="e">
        <v>#N/A</v>
      </c>
      <c r="K446" s="3141" t="e">
        <v>#N/A</v>
      </c>
      <c r="L446" s="2721" t="e">
        <v>#N/A</v>
      </c>
      <c r="M446" s="2722" t="e">
        <v>#N/A</v>
      </c>
      <c r="N446" s="3148" t="e">
        <v>#N/A</v>
      </c>
    </row>
    <row r="447" spans="1:14" ht="12.75" customHeight="1">
      <c r="A447" s="972">
        <v>2029.06</v>
      </c>
      <c r="B447" s="2714" t="e">
        <v>#N/A</v>
      </c>
      <c r="C447" s="2715" t="e">
        <v>#N/A</v>
      </c>
      <c r="D447" s="3702" t="e">
        <v>#N/A</v>
      </c>
      <c r="E447" s="2715" t="e">
        <v>#N/A</v>
      </c>
      <c r="F447" s="3141" t="e">
        <v>#N/A</v>
      </c>
      <c r="G447" s="2714" t="e">
        <v>#N/A</v>
      </c>
      <c r="H447" s="2715" t="e">
        <v>#N/A</v>
      </c>
      <c r="I447" s="3702" t="e">
        <v>#N/A</v>
      </c>
      <c r="J447" s="2715" t="e">
        <v>#N/A</v>
      </c>
      <c r="K447" s="3141" t="e">
        <v>#N/A</v>
      </c>
      <c r="L447" s="2721" t="e">
        <v>#N/A</v>
      </c>
      <c r="M447" s="2722" t="e">
        <v>#N/A</v>
      </c>
      <c r="N447" s="3148" t="e">
        <v>#N/A</v>
      </c>
    </row>
    <row r="448" spans="1:14" ht="12.75" customHeight="1">
      <c r="A448" s="972">
        <v>2029.07</v>
      </c>
      <c r="B448" s="2714" t="e">
        <v>#N/A</v>
      </c>
      <c r="C448" s="2715" t="e">
        <v>#N/A</v>
      </c>
      <c r="D448" s="3702" t="e">
        <v>#N/A</v>
      </c>
      <c r="E448" s="2715" t="e">
        <v>#N/A</v>
      </c>
      <c r="F448" s="3141" t="e">
        <v>#N/A</v>
      </c>
      <c r="G448" s="2714" t="e">
        <v>#N/A</v>
      </c>
      <c r="H448" s="2715" t="e">
        <v>#N/A</v>
      </c>
      <c r="I448" s="3702" t="e">
        <v>#N/A</v>
      </c>
      <c r="J448" s="2715" t="e">
        <v>#N/A</v>
      </c>
      <c r="K448" s="3141" t="e">
        <v>#N/A</v>
      </c>
      <c r="L448" s="2721" t="e">
        <v>#N/A</v>
      </c>
      <c r="M448" s="2722" t="e">
        <v>#N/A</v>
      </c>
      <c r="N448" s="3148" t="e">
        <v>#N/A</v>
      </c>
    </row>
    <row r="449" spans="1:14" ht="12.75" customHeight="1">
      <c r="A449" s="972">
        <v>2029.08</v>
      </c>
      <c r="B449" s="2714" t="e">
        <v>#N/A</v>
      </c>
      <c r="C449" s="2715" t="e">
        <v>#N/A</v>
      </c>
      <c r="D449" s="3702" t="e">
        <v>#N/A</v>
      </c>
      <c r="E449" s="2715" t="e">
        <v>#N/A</v>
      </c>
      <c r="F449" s="3141" t="e">
        <v>#N/A</v>
      </c>
      <c r="G449" s="2714" t="e">
        <v>#N/A</v>
      </c>
      <c r="H449" s="2715" t="e">
        <v>#N/A</v>
      </c>
      <c r="I449" s="3702" t="e">
        <v>#N/A</v>
      </c>
      <c r="J449" s="2715" t="e">
        <v>#N/A</v>
      </c>
      <c r="K449" s="3141" t="e">
        <v>#N/A</v>
      </c>
      <c r="L449" s="2721" t="e">
        <v>#N/A</v>
      </c>
      <c r="M449" s="2722" t="e">
        <v>#N/A</v>
      </c>
      <c r="N449" s="3148" t="e">
        <v>#N/A</v>
      </c>
    </row>
    <row r="450" spans="1:14" ht="12.75" customHeight="1">
      <c r="A450" s="972">
        <v>2029.09</v>
      </c>
      <c r="B450" s="2714" t="e">
        <v>#N/A</v>
      </c>
      <c r="C450" s="2715" t="e">
        <v>#N/A</v>
      </c>
      <c r="D450" s="3702" t="e">
        <v>#N/A</v>
      </c>
      <c r="E450" s="2715" t="e">
        <v>#N/A</v>
      </c>
      <c r="F450" s="3141" t="e">
        <v>#N/A</v>
      </c>
      <c r="G450" s="2714" t="e">
        <v>#N/A</v>
      </c>
      <c r="H450" s="2715" t="e">
        <v>#N/A</v>
      </c>
      <c r="I450" s="3702" t="e">
        <v>#N/A</v>
      </c>
      <c r="J450" s="2715" t="e">
        <v>#N/A</v>
      </c>
      <c r="K450" s="3141" t="e">
        <v>#N/A</v>
      </c>
      <c r="L450" s="2721" t="e">
        <v>#N/A</v>
      </c>
      <c r="M450" s="2722" t="e">
        <v>#N/A</v>
      </c>
      <c r="N450" s="3148" t="e">
        <v>#N/A</v>
      </c>
    </row>
    <row r="451" spans="1:14" ht="12.75" customHeight="1">
      <c r="A451" s="972">
        <v>2029.1</v>
      </c>
      <c r="B451" s="2714" t="e">
        <v>#N/A</v>
      </c>
      <c r="C451" s="2715" t="e">
        <v>#N/A</v>
      </c>
      <c r="D451" s="3702" t="e">
        <v>#N/A</v>
      </c>
      <c r="E451" s="2715" t="e">
        <v>#N/A</v>
      </c>
      <c r="F451" s="3141" t="e">
        <v>#N/A</v>
      </c>
      <c r="G451" s="2714" t="e">
        <v>#N/A</v>
      </c>
      <c r="H451" s="2715" t="e">
        <v>#N/A</v>
      </c>
      <c r="I451" s="3702" t="e">
        <v>#N/A</v>
      </c>
      <c r="J451" s="2715" t="e">
        <v>#N/A</v>
      </c>
      <c r="K451" s="3141" t="e">
        <v>#N/A</v>
      </c>
      <c r="L451" s="2721" t="e">
        <v>#N/A</v>
      </c>
      <c r="M451" s="2722" t="e">
        <v>#N/A</v>
      </c>
      <c r="N451" s="3148" t="e">
        <v>#N/A</v>
      </c>
    </row>
    <row r="452" spans="1:14" ht="12.75" customHeight="1">
      <c r="A452" s="972">
        <v>2029.11</v>
      </c>
      <c r="B452" s="2714" t="e">
        <v>#N/A</v>
      </c>
      <c r="C452" s="2715" t="e">
        <v>#N/A</v>
      </c>
      <c r="D452" s="3702" t="e">
        <v>#N/A</v>
      </c>
      <c r="E452" s="2715" t="e">
        <v>#N/A</v>
      </c>
      <c r="F452" s="3141" t="e">
        <v>#N/A</v>
      </c>
      <c r="G452" s="2714" t="e">
        <v>#N/A</v>
      </c>
      <c r="H452" s="2715" t="e">
        <v>#N/A</v>
      </c>
      <c r="I452" s="3702" t="e">
        <v>#N/A</v>
      </c>
      <c r="J452" s="2715" t="e">
        <v>#N/A</v>
      </c>
      <c r="K452" s="3141" t="e">
        <v>#N/A</v>
      </c>
      <c r="L452" s="2721" t="e">
        <v>#N/A</v>
      </c>
      <c r="M452" s="2722" t="e">
        <v>#N/A</v>
      </c>
      <c r="N452" s="3148" t="e">
        <v>#N/A</v>
      </c>
    </row>
    <row r="453" spans="1:14" ht="12.75" customHeight="1">
      <c r="A453" s="972">
        <v>2029.12</v>
      </c>
      <c r="B453" s="2714" t="e">
        <v>#N/A</v>
      </c>
      <c r="C453" s="2715" t="e">
        <v>#N/A</v>
      </c>
      <c r="D453" s="3702" t="e">
        <v>#N/A</v>
      </c>
      <c r="E453" s="2715" t="e">
        <v>#N/A</v>
      </c>
      <c r="F453" s="3141" t="e">
        <v>#N/A</v>
      </c>
      <c r="G453" s="2714" t="e">
        <v>#N/A</v>
      </c>
      <c r="H453" s="2715" t="e">
        <v>#N/A</v>
      </c>
      <c r="I453" s="3702" t="e">
        <v>#N/A</v>
      </c>
      <c r="J453" s="2715" t="e">
        <v>#N/A</v>
      </c>
      <c r="K453" s="3141" t="e">
        <v>#N/A</v>
      </c>
      <c r="L453" s="2721" t="e">
        <v>#N/A</v>
      </c>
      <c r="M453" s="2722" t="e">
        <v>#N/A</v>
      </c>
      <c r="N453" s="3148" t="e">
        <v>#N/A</v>
      </c>
    </row>
    <row r="454" spans="1:14" ht="12.75" customHeight="1">
      <c r="A454" s="972">
        <v>2030.01</v>
      </c>
      <c r="B454" s="2714" t="e">
        <v>#N/A</v>
      </c>
      <c r="C454" s="2715" t="e">
        <v>#N/A</v>
      </c>
      <c r="D454" s="3702" t="e">
        <v>#N/A</v>
      </c>
      <c r="E454" s="2715" t="e">
        <v>#N/A</v>
      </c>
      <c r="F454" s="3141" t="e">
        <v>#N/A</v>
      </c>
      <c r="G454" s="2714" t="e">
        <v>#N/A</v>
      </c>
      <c r="H454" s="2715" t="e">
        <v>#N/A</v>
      </c>
      <c r="I454" s="3702" t="e">
        <v>#N/A</v>
      </c>
      <c r="J454" s="2715" t="e">
        <v>#N/A</v>
      </c>
      <c r="K454" s="3141" t="e">
        <v>#N/A</v>
      </c>
      <c r="L454" s="2721" t="e">
        <v>#N/A</v>
      </c>
      <c r="M454" s="2722" t="e">
        <v>#N/A</v>
      </c>
      <c r="N454" s="3148" t="e">
        <v>#N/A</v>
      </c>
    </row>
    <row r="455" spans="1:14" ht="12.75" customHeight="1">
      <c r="A455" s="972">
        <v>2030.02</v>
      </c>
      <c r="B455" s="2714" t="e">
        <v>#N/A</v>
      </c>
      <c r="C455" s="2715" t="e">
        <v>#N/A</v>
      </c>
      <c r="D455" s="3702" t="e">
        <v>#N/A</v>
      </c>
      <c r="E455" s="2715" t="e">
        <v>#N/A</v>
      </c>
      <c r="F455" s="3141" t="e">
        <v>#N/A</v>
      </c>
      <c r="G455" s="2714" t="e">
        <v>#N/A</v>
      </c>
      <c r="H455" s="2715" t="e">
        <v>#N/A</v>
      </c>
      <c r="I455" s="3702" t="e">
        <v>#N/A</v>
      </c>
      <c r="J455" s="2715" t="e">
        <v>#N/A</v>
      </c>
      <c r="K455" s="3141" t="e">
        <v>#N/A</v>
      </c>
      <c r="L455" s="2721" t="e">
        <v>#N/A</v>
      </c>
      <c r="M455" s="2722" t="e">
        <v>#N/A</v>
      </c>
      <c r="N455" s="3148" t="e">
        <v>#N/A</v>
      </c>
    </row>
    <row r="456" spans="1:14" ht="12.75" customHeight="1">
      <c r="A456" s="972">
        <v>2030.03</v>
      </c>
      <c r="B456" s="2714" t="e">
        <v>#N/A</v>
      </c>
      <c r="C456" s="2715" t="e">
        <v>#N/A</v>
      </c>
      <c r="D456" s="3702" t="e">
        <v>#N/A</v>
      </c>
      <c r="E456" s="2715" t="e">
        <v>#N/A</v>
      </c>
      <c r="F456" s="3141" t="e">
        <v>#N/A</v>
      </c>
      <c r="G456" s="2714" t="e">
        <v>#N/A</v>
      </c>
      <c r="H456" s="2715" t="e">
        <v>#N/A</v>
      </c>
      <c r="I456" s="3702" t="e">
        <v>#N/A</v>
      </c>
      <c r="J456" s="2715" t="e">
        <v>#N/A</v>
      </c>
      <c r="K456" s="3141" t="e">
        <v>#N/A</v>
      </c>
      <c r="L456" s="2721" t="e">
        <v>#N/A</v>
      </c>
      <c r="M456" s="2722" t="e">
        <v>#N/A</v>
      </c>
      <c r="N456" s="3148" t="e">
        <v>#N/A</v>
      </c>
    </row>
    <row r="457" spans="1:14" ht="12.75" customHeight="1">
      <c r="A457" s="972">
        <v>2030.04</v>
      </c>
      <c r="B457" s="2714" t="e">
        <v>#N/A</v>
      </c>
      <c r="C457" s="2715" t="e">
        <v>#N/A</v>
      </c>
      <c r="D457" s="3702" t="e">
        <v>#N/A</v>
      </c>
      <c r="E457" s="2715" t="e">
        <v>#N/A</v>
      </c>
      <c r="F457" s="3141" t="e">
        <v>#N/A</v>
      </c>
      <c r="G457" s="2714" t="e">
        <v>#N/A</v>
      </c>
      <c r="H457" s="2715" t="e">
        <v>#N/A</v>
      </c>
      <c r="I457" s="3702" t="e">
        <v>#N/A</v>
      </c>
      <c r="J457" s="2715" t="e">
        <v>#N/A</v>
      </c>
      <c r="K457" s="3141" t="e">
        <v>#N/A</v>
      </c>
      <c r="L457" s="2721" t="e">
        <v>#N/A</v>
      </c>
      <c r="M457" s="2722" t="e">
        <v>#N/A</v>
      </c>
      <c r="N457" s="3148" t="e">
        <v>#N/A</v>
      </c>
    </row>
    <row r="458" spans="1:14" ht="12.75" customHeight="1">
      <c r="A458" s="972">
        <v>2030.05</v>
      </c>
      <c r="B458" s="2714" t="e">
        <v>#N/A</v>
      </c>
      <c r="C458" s="2715" t="e">
        <v>#N/A</v>
      </c>
      <c r="D458" s="3702" t="e">
        <v>#N/A</v>
      </c>
      <c r="E458" s="2715" t="e">
        <v>#N/A</v>
      </c>
      <c r="F458" s="3141" t="e">
        <v>#N/A</v>
      </c>
      <c r="G458" s="2714" t="e">
        <v>#N/A</v>
      </c>
      <c r="H458" s="2715" t="e">
        <v>#N/A</v>
      </c>
      <c r="I458" s="3702" t="e">
        <v>#N/A</v>
      </c>
      <c r="J458" s="2715" t="e">
        <v>#N/A</v>
      </c>
      <c r="K458" s="3141" t="e">
        <v>#N/A</v>
      </c>
      <c r="L458" s="2721" t="e">
        <v>#N/A</v>
      </c>
      <c r="M458" s="2722" t="e">
        <v>#N/A</v>
      </c>
      <c r="N458" s="3148" t="e">
        <v>#N/A</v>
      </c>
    </row>
    <row r="459" spans="1:14" ht="12.75" customHeight="1">
      <c r="A459" s="972">
        <v>2030.06</v>
      </c>
      <c r="B459" s="2714" t="e">
        <v>#N/A</v>
      </c>
      <c r="C459" s="2715" t="e">
        <v>#N/A</v>
      </c>
      <c r="D459" s="3702" t="e">
        <v>#N/A</v>
      </c>
      <c r="E459" s="2715" t="e">
        <v>#N/A</v>
      </c>
      <c r="F459" s="3141" t="e">
        <v>#N/A</v>
      </c>
      <c r="G459" s="2714" t="e">
        <v>#N/A</v>
      </c>
      <c r="H459" s="2715" t="e">
        <v>#N/A</v>
      </c>
      <c r="I459" s="3702" t="e">
        <v>#N/A</v>
      </c>
      <c r="J459" s="2715" t="e">
        <v>#N/A</v>
      </c>
      <c r="K459" s="3141" t="e">
        <v>#N/A</v>
      </c>
      <c r="L459" s="2721" t="e">
        <v>#N/A</v>
      </c>
      <c r="M459" s="2722" t="e">
        <v>#N/A</v>
      </c>
      <c r="N459" s="3148" t="e">
        <v>#N/A</v>
      </c>
    </row>
    <row r="460" spans="1:14" ht="12.75" customHeight="1">
      <c r="A460" s="972">
        <v>2030.07</v>
      </c>
      <c r="B460" s="2714" t="e">
        <v>#N/A</v>
      </c>
      <c r="C460" s="2715" t="e">
        <v>#N/A</v>
      </c>
      <c r="D460" s="3702" t="e">
        <v>#N/A</v>
      </c>
      <c r="E460" s="2715" t="e">
        <v>#N/A</v>
      </c>
      <c r="F460" s="3141" t="e">
        <v>#N/A</v>
      </c>
      <c r="G460" s="2714" t="e">
        <v>#N/A</v>
      </c>
      <c r="H460" s="2715" t="e">
        <v>#N/A</v>
      </c>
      <c r="I460" s="3702" t="e">
        <v>#N/A</v>
      </c>
      <c r="J460" s="2715" t="e">
        <v>#N/A</v>
      </c>
      <c r="K460" s="3141" t="e">
        <v>#N/A</v>
      </c>
      <c r="L460" s="2721" t="e">
        <v>#N/A</v>
      </c>
      <c r="M460" s="2722" t="e">
        <v>#N/A</v>
      </c>
      <c r="N460" s="3148" t="e">
        <v>#N/A</v>
      </c>
    </row>
    <row r="461" spans="1:14" ht="12.75" customHeight="1">
      <c r="A461" s="972">
        <v>2030.08</v>
      </c>
      <c r="B461" s="2714" t="e">
        <v>#N/A</v>
      </c>
      <c r="C461" s="2715" t="e">
        <v>#N/A</v>
      </c>
      <c r="D461" s="3702" t="e">
        <v>#N/A</v>
      </c>
      <c r="E461" s="2715" t="e">
        <v>#N/A</v>
      </c>
      <c r="F461" s="3141" t="e">
        <v>#N/A</v>
      </c>
      <c r="G461" s="2714" t="e">
        <v>#N/A</v>
      </c>
      <c r="H461" s="2715" t="e">
        <v>#N/A</v>
      </c>
      <c r="I461" s="3702" t="e">
        <v>#N/A</v>
      </c>
      <c r="J461" s="2715" t="e">
        <v>#N/A</v>
      </c>
      <c r="K461" s="3141" t="e">
        <v>#N/A</v>
      </c>
      <c r="L461" s="2721" t="e">
        <v>#N/A</v>
      </c>
      <c r="M461" s="2722" t="e">
        <v>#N/A</v>
      </c>
      <c r="N461" s="3148" t="e">
        <v>#N/A</v>
      </c>
    </row>
    <row r="462" spans="1:14" ht="12.75" customHeight="1">
      <c r="A462" s="972">
        <v>2030.09</v>
      </c>
      <c r="B462" s="2714" t="e">
        <v>#N/A</v>
      </c>
      <c r="C462" s="2715" t="e">
        <v>#N/A</v>
      </c>
      <c r="D462" s="3702" t="e">
        <v>#N/A</v>
      </c>
      <c r="E462" s="2715" t="e">
        <v>#N/A</v>
      </c>
      <c r="F462" s="3141" t="e">
        <v>#N/A</v>
      </c>
      <c r="G462" s="2714" t="e">
        <v>#N/A</v>
      </c>
      <c r="H462" s="2715" t="e">
        <v>#N/A</v>
      </c>
      <c r="I462" s="3702" t="e">
        <v>#N/A</v>
      </c>
      <c r="J462" s="2715" t="e">
        <v>#N/A</v>
      </c>
      <c r="K462" s="3141" t="e">
        <v>#N/A</v>
      </c>
      <c r="L462" s="2721" t="e">
        <v>#N/A</v>
      </c>
      <c r="M462" s="2722" t="e">
        <v>#N/A</v>
      </c>
      <c r="N462" s="3148" t="e">
        <v>#N/A</v>
      </c>
    </row>
    <row r="463" spans="1:14" ht="12.75" customHeight="1">
      <c r="A463" s="972">
        <v>2030.1</v>
      </c>
      <c r="B463" s="2714" t="e">
        <v>#N/A</v>
      </c>
      <c r="C463" s="2715" t="e">
        <v>#N/A</v>
      </c>
      <c r="D463" s="3702" t="e">
        <v>#N/A</v>
      </c>
      <c r="E463" s="2715" t="e">
        <v>#N/A</v>
      </c>
      <c r="F463" s="3141" t="e">
        <v>#N/A</v>
      </c>
      <c r="G463" s="2714" t="e">
        <v>#N/A</v>
      </c>
      <c r="H463" s="2715" t="e">
        <v>#N/A</v>
      </c>
      <c r="I463" s="3702" t="e">
        <v>#N/A</v>
      </c>
      <c r="J463" s="2715" t="e">
        <v>#N/A</v>
      </c>
      <c r="K463" s="3141" t="e">
        <v>#N/A</v>
      </c>
      <c r="L463" s="2721" t="e">
        <v>#N/A</v>
      </c>
      <c r="M463" s="2722" t="e">
        <v>#N/A</v>
      </c>
      <c r="N463" s="3148" t="e">
        <v>#N/A</v>
      </c>
    </row>
    <row r="464" spans="1:14" ht="12.75" customHeight="1">
      <c r="A464" s="972">
        <v>2030.11</v>
      </c>
      <c r="B464" s="2714" t="e">
        <v>#N/A</v>
      </c>
      <c r="C464" s="2715" t="e">
        <v>#N/A</v>
      </c>
      <c r="D464" s="3702" t="e">
        <v>#N/A</v>
      </c>
      <c r="E464" s="2715" t="e">
        <v>#N/A</v>
      </c>
      <c r="F464" s="3141" t="e">
        <v>#N/A</v>
      </c>
      <c r="G464" s="2714" t="e">
        <v>#N/A</v>
      </c>
      <c r="H464" s="2715" t="e">
        <v>#N/A</v>
      </c>
      <c r="I464" s="3702" t="e">
        <v>#N/A</v>
      </c>
      <c r="J464" s="2715" t="e">
        <v>#N/A</v>
      </c>
      <c r="K464" s="3141" t="e">
        <v>#N/A</v>
      </c>
      <c r="L464" s="2721" t="e">
        <v>#N/A</v>
      </c>
      <c r="M464" s="2722" t="e">
        <v>#N/A</v>
      </c>
      <c r="N464" s="3148" t="e">
        <v>#N/A</v>
      </c>
    </row>
    <row r="465" spans="1:14" ht="12.75" customHeight="1">
      <c r="A465" s="972">
        <v>2030.12</v>
      </c>
      <c r="B465" s="2714" t="e">
        <v>#N/A</v>
      </c>
      <c r="C465" s="2715" t="e">
        <v>#N/A</v>
      </c>
      <c r="D465" s="3702" t="e">
        <v>#N/A</v>
      </c>
      <c r="E465" s="2715" t="e">
        <v>#N/A</v>
      </c>
      <c r="F465" s="3141" t="e">
        <v>#N/A</v>
      </c>
      <c r="G465" s="2714" t="e">
        <v>#N/A</v>
      </c>
      <c r="H465" s="2715" t="e">
        <v>#N/A</v>
      </c>
      <c r="I465" s="3702" t="e">
        <v>#N/A</v>
      </c>
      <c r="J465" s="2715" t="e">
        <v>#N/A</v>
      </c>
      <c r="K465" s="3141" t="e">
        <v>#N/A</v>
      </c>
      <c r="L465" s="2721" t="e">
        <v>#N/A</v>
      </c>
      <c r="M465" s="2722" t="e">
        <v>#N/A</v>
      </c>
      <c r="N465" s="3148" t="e">
        <v>#N/A</v>
      </c>
    </row>
  </sheetData>
  <phoneticPr fontId="77" type="noConversion"/>
  <hyperlinks>
    <hyperlink ref="A1:A3" location="Indice!A1" display="ÍNDICE" xr:uid="{00000000-0004-0000-3700-000000000000}"/>
    <hyperlink ref="A5" location="INDICE!A13" display="VOLVER AL INDICE" xr:uid="{00000000-0004-0000-3700-000001000000}"/>
  </hyperlinks>
  <printOptions gridLines="1" gridLinesSet="0"/>
  <pageMargins left="0.75" right="0.75" top="1" bottom="1" header="0.511811024" footer="0.511811024"/>
  <pageSetup paperSize="256" orientation="landscape" horizontalDpi="180" verticalDpi="180" copies="3" r:id="rId1"/>
  <headerFooter alignWithMargins="0">
    <oddHeader>&amp;A</oddHeader>
    <oddFooter>Página &amp;P</oddFooter>
  </headerFooter>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68"/>
  <dimension ref="A1:D429"/>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2.5703125" defaultRowHeight="12.75"/>
  <cols>
    <col min="1" max="1" width="11" style="84" customWidth="1"/>
    <col min="2" max="2" width="22.5703125" style="84" customWidth="1"/>
    <col min="3" max="3" width="12.5703125" style="18"/>
    <col min="4" max="4" width="21" style="18" bestFit="1" customWidth="1"/>
    <col min="5" max="16384" width="12.5703125" style="18"/>
  </cols>
  <sheetData>
    <row r="1" spans="1:3" s="16" customFormat="1" ht="3.75" customHeight="1">
      <c r="A1" s="2761"/>
      <c r="B1" s="1453"/>
      <c r="C1" s="1457"/>
    </row>
    <row r="2" spans="1:3" s="16" customFormat="1" ht="33.75">
      <c r="A2" s="2762" t="s">
        <v>99</v>
      </c>
      <c r="B2" s="3089" t="s">
        <v>100</v>
      </c>
      <c r="C2" s="1457"/>
    </row>
    <row r="3" spans="1:3" s="16" customFormat="1" ht="33.75">
      <c r="A3" s="2762" t="s">
        <v>193</v>
      </c>
      <c r="B3" s="189" t="s">
        <v>114</v>
      </c>
      <c r="C3" s="1457"/>
    </row>
    <row r="4" spans="1:3" s="16" customFormat="1" ht="2.25" hidden="1" customHeight="1">
      <c r="A4" s="2762"/>
      <c r="B4" s="86"/>
      <c r="C4" s="1457"/>
    </row>
    <row r="5" spans="1:3" s="16" customFormat="1" ht="22.5">
      <c r="A5" s="2867" t="s">
        <v>140</v>
      </c>
      <c r="B5" s="1542"/>
      <c r="C5" s="1457"/>
    </row>
    <row r="6" spans="1:3" s="16" customFormat="1" ht="6" hidden="1" customHeight="1">
      <c r="A6" s="2762"/>
      <c r="B6" s="1542"/>
      <c r="C6" s="1457"/>
    </row>
    <row r="7" spans="1:3" s="16" customFormat="1" ht="22.5">
      <c r="A7" s="2762" t="s">
        <v>125</v>
      </c>
      <c r="B7" s="1543" t="s">
        <v>129</v>
      </c>
      <c r="C7" s="1457"/>
    </row>
    <row r="8" spans="1:3" s="16" customFormat="1">
      <c r="A8" s="3002" t="s">
        <v>144</v>
      </c>
      <c r="B8" s="2287" t="s">
        <v>1907</v>
      </c>
      <c r="C8" s="1457"/>
    </row>
    <row r="9" spans="1:3" s="17" customFormat="1" ht="13.5" thickBot="1">
      <c r="A9" s="2140"/>
      <c r="B9" s="1684"/>
      <c r="C9" s="1467"/>
    </row>
    <row r="10" spans="1:3" s="17" customFormat="1" ht="11.85" customHeight="1">
      <c r="A10" s="1556">
        <v>1996.01</v>
      </c>
      <c r="B10" s="1685">
        <v>121.9433540332504</v>
      </c>
      <c r="C10" s="1467"/>
    </row>
    <row r="11" spans="1:3" s="17" customFormat="1" ht="11.85" customHeight="1">
      <c r="A11" s="1468">
        <v>1996.02</v>
      </c>
      <c r="B11" s="247">
        <v>121.88931255512765</v>
      </c>
      <c r="C11" s="1467"/>
    </row>
    <row r="12" spans="1:3" s="17" customFormat="1" ht="11.85" customHeight="1">
      <c r="A12" s="1468">
        <v>1996.03</v>
      </c>
      <c r="B12" s="247">
        <v>123.92272589575512</v>
      </c>
      <c r="C12" s="1467"/>
    </row>
    <row r="13" spans="1:3" s="17" customFormat="1" ht="11.85" customHeight="1">
      <c r="A13" s="1468">
        <v>1996.04</v>
      </c>
      <c r="B13" s="247">
        <v>133.29752799254621</v>
      </c>
      <c r="C13" s="1467"/>
    </row>
    <row r="14" spans="1:3" s="17" customFormat="1" ht="11.85" customHeight="1">
      <c r="A14" s="1468">
        <v>1996.05</v>
      </c>
      <c r="B14" s="247">
        <v>132.62149251765041</v>
      </c>
      <c r="C14" s="1467"/>
    </row>
    <row r="15" spans="1:3" s="17" customFormat="1" ht="11.85" customHeight="1">
      <c r="A15" s="1468">
        <v>1996.06</v>
      </c>
      <c r="B15" s="247">
        <v>126.20412839304173</v>
      </c>
      <c r="C15" s="1467"/>
    </row>
    <row r="16" spans="1:3" s="17" customFormat="1" ht="11.85" customHeight="1">
      <c r="A16" s="1468">
        <v>1996.07</v>
      </c>
      <c r="B16" s="247">
        <v>125.32204735483761</v>
      </c>
      <c r="C16" s="1467"/>
    </row>
    <row r="17" spans="1:4" s="17" customFormat="1" ht="11.85" customHeight="1">
      <c r="A17" s="1468">
        <v>1996.08</v>
      </c>
      <c r="B17" s="247">
        <v>126.32700099826029</v>
      </c>
      <c r="C17" s="1467"/>
      <c r="D17" s="1111"/>
    </row>
    <row r="18" spans="1:4" s="17" customFormat="1" ht="11.85" customHeight="1">
      <c r="A18" s="1468">
        <v>1996.09</v>
      </c>
      <c r="B18" s="247">
        <v>125.21143827872713</v>
      </c>
      <c r="C18" s="1467"/>
      <c r="D18" s="1111"/>
    </row>
    <row r="19" spans="1:4" s="17" customFormat="1" ht="11.85" customHeight="1">
      <c r="A19" s="1468">
        <v>1996.1</v>
      </c>
      <c r="B19" s="2318">
        <v>122.2874420217195</v>
      </c>
      <c r="C19" s="1111"/>
      <c r="D19" s="1111"/>
    </row>
    <row r="20" spans="1:4" s="17" customFormat="1" ht="11.85" customHeight="1">
      <c r="A20" s="1468">
        <v>1996.11</v>
      </c>
      <c r="B20" s="2318">
        <v>119.80385326875964</v>
      </c>
      <c r="C20" s="1470"/>
      <c r="D20" s="1470"/>
    </row>
    <row r="21" spans="1:4" s="17" customFormat="1" ht="11.85" customHeight="1">
      <c r="A21" s="1468">
        <v>1996.12</v>
      </c>
      <c r="B21" s="2318">
        <v>121.68383295303835</v>
      </c>
      <c r="C21" s="1470"/>
      <c r="D21" s="1470"/>
    </row>
    <row r="22" spans="1:4">
      <c r="A22" s="1468">
        <v>1997.01</v>
      </c>
      <c r="B22" s="2319">
        <v>154.6</v>
      </c>
      <c r="C22" s="1470"/>
      <c r="D22" s="1470"/>
    </row>
    <row r="23" spans="1:4">
      <c r="A23" s="1468">
        <v>1997.02</v>
      </c>
      <c r="B23" s="1544">
        <v>150.80000000000001</v>
      </c>
      <c r="C23" s="1470"/>
      <c r="D23" s="1470"/>
    </row>
    <row r="24" spans="1:4">
      <c r="A24" s="1468">
        <v>1997.03</v>
      </c>
      <c r="B24" s="1544">
        <v>153.30000000000001</v>
      </c>
      <c r="C24" s="1470"/>
      <c r="D24" s="1470"/>
    </row>
    <row r="25" spans="1:4">
      <c r="A25" s="1468">
        <v>1997.04</v>
      </c>
      <c r="B25" s="1544">
        <v>149.9</v>
      </c>
      <c r="C25" s="1470"/>
      <c r="D25" s="1470"/>
    </row>
    <row r="26" spans="1:4">
      <c r="A26" s="1468">
        <v>1997.05</v>
      </c>
      <c r="B26" s="1544">
        <v>149.30000000000001</v>
      </c>
      <c r="C26" s="1470"/>
      <c r="D26" s="1470"/>
    </row>
    <row r="27" spans="1:4">
      <c r="A27" s="1468">
        <v>1997.06</v>
      </c>
      <c r="B27" s="1544">
        <v>138</v>
      </c>
      <c r="C27" s="1470"/>
      <c r="D27" s="1470"/>
    </row>
    <row r="28" spans="1:4">
      <c r="A28" s="1468">
        <v>1997.07</v>
      </c>
      <c r="B28" s="1544">
        <v>134</v>
      </c>
      <c r="C28" s="1470"/>
      <c r="D28" s="1470"/>
    </row>
    <row r="29" spans="1:4">
      <c r="A29" s="1468">
        <v>1997.08</v>
      </c>
      <c r="B29" s="1544">
        <v>139.19999999999999</v>
      </c>
      <c r="C29" s="1470"/>
      <c r="D29" s="1470"/>
    </row>
    <row r="30" spans="1:4">
      <c r="A30" s="1468">
        <v>1997.09</v>
      </c>
      <c r="B30" s="1544">
        <v>139.6</v>
      </c>
      <c r="C30" s="1470"/>
      <c r="D30" s="1470"/>
    </row>
    <row r="31" spans="1:4">
      <c r="A31" s="1468">
        <v>1997.1</v>
      </c>
      <c r="B31" s="1544">
        <v>144</v>
      </c>
      <c r="C31" s="1470"/>
      <c r="D31" s="1470"/>
    </row>
    <row r="32" spans="1:4">
      <c r="A32" s="1468">
        <v>1997.11</v>
      </c>
      <c r="B32" s="1544">
        <v>145.6</v>
      </c>
      <c r="C32" s="1470"/>
      <c r="D32" s="1470"/>
    </row>
    <row r="33" spans="1:2">
      <c r="A33" s="1468">
        <v>1997.12</v>
      </c>
      <c r="B33" s="1544">
        <v>137.5</v>
      </c>
    </row>
    <row r="34" spans="1:2">
      <c r="A34" s="1468">
        <v>1998.01</v>
      </c>
      <c r="B34" s="1544">
        <v>128.6</v>
      </c>
    </row>
    <row r="35" spans="1:2">
      <c r="A35" s="1468">
        <v>1998.02</v>
      </c>
      <c r="B35" s="1544">
        <v>124.6</v>
      </c>
    </row>
    <row r="36" spans="1:2">
      <c r="A36" s="1468">
        <v>1998.03</v>
      </c>
      <c r="B36" s="1544">
        <v>118.7</v>
      </c>
    </row>
    <row r="37" spans="1:2">
      <c r="A37" s="1468">
        <v>1998.04</v>
      </c>
      <c r="B37" s="1544">
        <v>114.5</v>
      </c>
    </row>
    <row r="38" spans="1:2">
      <c r="A38" s="1468">
        <v>1998.05</v>
      </c>
      <c r="B38" s="1544">
        <v>115.2</v>
      </c>
    </row>
    <row r="39" spans="1:2">
      <c r="A39" s="1468">
        <v>1998.06</v>
      </c>
      <c r="B39" s="1544">
        <v>107.9</v>
      </c>
    </row>
    <row r="40" spans="1:2">
      <c r="A40" s="1468">
        <v>1998.07</v>
      </c>
      <c r="B40" s="1544">
        <v>106.1</v>
      </c>
    </row>
    <row r="41" spans="1:2">
      <c r="A41" s="1468">
        <v>1998.08</v>
      </c>
      <c r="B41" s="1544">
        <v>99.9</v>
      </c>
    </row>
    <row r="42" spans="1:2">
      <c r="A42" s="1468">
        <v>1998.09</v>
      </c>
      <c r="B42" s="1544">
        <v>102.2</v>
      </c>
    </row>
    <row r="43" spans="1:2">
      <c r="A43" s="1468">
        <v>1998.1</v>
      </c>
      <c r="B43" s="1544">
        <v>105.6</v>
      </c>
    </row>
    <row r="44" spans="1:2">
      <c r="A44" s="1468">
        <v>1998.11</v>
      </c>
      <c r="B44" s="1544">
        <v>105.6</v>
      </c>
    </row>
    <row r="45" spans="1:2">
      <c r="A45" s="1468">
        <v>1998.12</v>
      </c>
      <c r="B45" s="1544">
        <v>102.2</v>
      </c>
    </row>
    <row r="46" spans="1:2">
      <c r="A46" s="1468">
        <v>1999.01</v>
      </c>
      <c r="B46" s="1544">
        <v>100.7</v>
      </c>
    </row>
    <row r="47" spans="1:2">
      <c r="A47" s="1468">
        <v>1999.02</v>
      </c>
      <c r="B47" s="1544">
        <v>94.7</v>
      </c>
    </row>
    <row r="48" spans="1:2">
      <c r="A48" s="1468">
        <v>1999.03</v>
      </c>
      <c r="B48" s="1544">
        <v>96.1</v>
      </c>
    </row>
    <row r="49" spans="1:2">
      <c r="A49" s="1468">
        <v>1999.04</v>
      </c>
      <c r="B49" s="1544">
        <v>98.4</v>
      </c>
    </row>
    <row r="50" spans="1:2">
      <c r="A50" s="1468">
        <v>1999.05</v>
      </c>
      <c r="B50" s="1544">
        <v>97.3</v>
      </c>
    </row>
    <row r="51" spans="1:2">
      <c r="A51" s="1468">
        <v>1999.06</v>
      </c>
      <c r="B51" s="1544">
        <v>96.5</v>
      </c>
    </row>
    <row r="52" spans="1:2">
      <c r="A52" s="1468">
        <v>1999.07</v>
      </c>
      <c r="B52" s="1544">
        <v>96.6</v>
      </c>
    </row>
    <row r="53" spans="1:2">
      <c r="A53" s="1468">
        <v>1999.08</v>
      </c>
      <c r="B53" s="1544">
        <v>103.2</v>
      </c>
    </row>
    <row r="54" spans="1:2">
      <c r="A54" s="1468">
        <v>1999.09</v>
      </c>
      <c r="B54" s="1544">
        <v>107.6</v>
      </c>
    </row>
    <row r="55" spans="1:2">
      <c r="A55" s="1468">
        <v>1999.1</v>
      </c>
      <c r="B55" s="1544">
        <v>106.7</v>
      </c>
    </row>
    <row r="56" spans="1:2">
      <c r="A56" s="1468">
        <v>1999.11</v>
      </c>
      <c r="B56" s="1544">
        <v>107.3</v>
      </c>
    </row>
    <row r="57" spans="1:2">
      <c r="A57" s="1468">
        <v>1999.12</v>
      </c>
      <c r="B57" s="1544">
        <v>107.3</v>
      </c>
    </row>
    <row r="58" spans="1:2">
      <c r="A58" s="1468">
        <v>2000.01</v>
      </c>
      <c r="B58" s="1544">
        <v>110.1</v>
      </c>
    </row>
    <row r="59" spans="1:2">
      <c r="A59" s="1468">
        <v>2000.02</v>
      </c>
      <c r="B59" s="1544">
        <v>113.2</v>
      </c>
    </row>
    <row r="60" spans="1:2">
      <c r="A60" s="1468">
        <v>2000.03</v>
      </c>
      <c r="B60" s="1544">
        <v>112.1</v>
      </c>
    </row>
    <row r="61" spans="1:2">
      <c r="A61" s="1468">
        <v>2000.04</v>
      </c>
      <c r="B61" s="1544">
        <v>107.4</v>
      </c>
    </row>
    <row r="62" spans="1:2">
      <c r="A62" s="1468">
        <v>2000.05</v>
      </c>
      <c r="B62" s="1544">
        <v>113.8</v>
      </c>
    </row>
    <row r="63" spans="1:2">
      <c r="A63" s="1468">
        <v>2000.06</v>
      </c>
      <c r="B63" s="1544">
        <v>113.1</v>
      </c>
    </row>
    <row r="64" spans="1:2">
      <c r="A64" s="1468">
        <v>2000.07</v>
      </c>
      <c r="B64" s="1544">
        <v>108.9</v>
      </c>
    </row>
    <row r="65" spans="1:2">
      <c r="A65" s="1468">
        <v>2000.08</v>
      </c>
      <c r="B65" s="1544">
        <v>109.5</v>
      </c>
    </row>
    <row r="66" spans="1:2">
      <c r="A66" s="1468">
        <v>2000.09</v>
      </c>
      <c r="B66" s="1544">
        <v>116.1</v>
      </c>
    </row>
    <row r="67" spans="1:2">
      <c r="A67" s="1468">
        <v>2000.1</v>
      </c>
      <c r="B67" s="1544">
        <v>115.8</v>
      </c>
    </row>
    <row r="68" spans="1:2">
      <c r="A68" s="1468">
        <v>2000.11</v>
      </c>
      <c r="B68" s="1544">
        <v>119</v>
      </c>
    </row>
    <row r="69" spans="1:2">
      <c r="A69" s="1468">
        <v>2000.12</v>
      </c>
      <c r="B69" s="1544">
        <v>115</v>
      </c>
    </row>
    <row r="70" spans="1:2">
      <c r="A70" s="1468">
        <v>2001.01</v>
      </c>
      <c r="B70" s="1544">
        <v>114</v>
      </c>
    </row>
    <row r="71" spans="1:2">
      <c r="A71" s="1468">
        <v>2001.02</v>
      </c>
      <c r="B71" s="1544">
        <v>110.8</v>
      </c>
    </row>
    <row r="72" spans="1:2">
      <c r="A72" s="1468">
        <v>2001.03</v>
      </c>
      <c r="B72" s="1544">
        <v>106.2</v>
      </c>
    </row>
    <row r="73" spans="1:2">
      <c r="A73" s="1468">
        <v>2001.04</v>
      </c>
      <c r="B73" s="1544">
        <v>105.3</v>
      </c>
    </row>
    <row r="74" spans="1:2">
      <c r="A74" s="1468">
        <v>2001.05</v>
      </c>
      <c r="B74" s="1544">
        <v>109</v>
      </c>
    </row>
    <row r="75" spans="1:2">
      <c r="A75" s="1468">
        <v>2001.06</v>
      </c>
      <c r="B75" s="1544">
        <v>109.2</v>
      </c>
    </row>
    <row r="76" spans="1:2">
      <c r="A76" s="1468">
        <v>2001.07</v>
      </c>
      <c r="B76" s="1544">
        <v>110.1</v>
      </c>
    </row>
    <row r="77" spans="1:2">
      <c r="A77" s="1468">
        <v>2001.08</v>
      </c>
      <c r="B77" s="1544">
        <v>111.3</v>
      </c>
    </row>
    <row r="78" spans="1:2">
      <c r="A78" s="1468">
        <v>2001.09</v>
      </c>
      <c r="B78" s="1544">
        <v>109.4</v>
      </c>
    </row>
    <row r="79" spans="1:2">
      <c r="A79" s="1468">
        <v>2001.1</v>
      </c>
      <c r="B79" s="1544">
        <v>101.9</v>
      </c>
    </row>
    <row r="80" spans="1:2">
      <c r="A80" s="1468">
        <v>2001.11</v>
      </c>
      <c r="B80" s="1544">
        <v>101.2</v>
      </c>
    </row>
    <row r="81" spans="1:2">
      <c r="A81" s="1468">
        <v>2001.12</v>
      </c>
      <c r="B81" s="1544">
        <v>100</v>
      </c>
    </row>
    <row r="82" spans="1:2">
      <c r="A82" s="1468">
        <v>2002.01</v>
      </c>
      <c r="B82" s="1544">
        <v>100.3950095758574</v>
      </c>
    </row>
    <row r="83" spans="1:2">
      <c r="A83" s="1468">
        <v>2002.02</v>
      </c>
      <c r="B83" s="1544">
        <v>100.69058197198839</v>
      </c>
    </row>
    <row r="84" spans="1:2">
      <c r="A84" s="1468">
        <v>2002.03</v>
      </c>
      <c r="B84" s="1544">
        <v>106.4217351006214</v>
      </c>
    </row>
    <row r="85" spans="1:2">
      <c r="A85" s="1468">
        <v>2002.04</v>
      </c>
      <c r="B85" s="1544">
        <v>108.2834678398476</v>
      </c>
    </row>
    <row r="86" spans="1:2">
      <c r="A86" s="1468">
        <v>2002.05</v>
      </c>
      <c r="B86" s="1544">
        <v>110.6518596398806</v>
      </c>
    </row>
    <row r="87" spans="1:2">
      <c r="A87" s="1468">
        <v>2002.06</v>
      </c>
      <c r="B87" s="1544">
        <v>114.3591588906134</v>
      </c>
    </row>
    <row r="88" spans="1:2">
      <c r="A88" s="1468">
        <v>2002.07</v>
      </c>
      <c r="B88" s="1544">
        <v>121.9227430066356</v>
      </c>
    </row>
    <row r="89" spans="1:2">
      <c r="A89" s="1468">
        <v>2002.08</v>
      </c>
      <c r="B89" s="1544">
        <v>127.07108956040641</v>
      </c>
    </row>
    <row r="90" spans="1:2">
      <c r="A90" s="1468">
        <v>2002.09</v>
      </c>
      <c r="B90" s="1544">
        <v>129.17984024974291</v>
      </c>
    </row>
    <row r="91" spans="1:2">
      <c r="A91" s="1468">
        <v>2002.1</v>
      </c>
      <c r="B91" s="1544">
        <v>125.3520738363887</v>
      </c>
    </row>
    <row r="92" spans="1:2">
      <c r="A92" s="1468">
        <v>2002.11</v>
      </c>
      <c r="B92" s="1544">
        <v>122.39643023894919</v>
      </c>
    </row>
    <row r="93" spans="1:2">
      <c r="A93" s="1468">
        <v>2002.12</v>
      </c>
      <c r="B93" s="1544">
        <v>125.298314976386</v>
      </c>
    </row>
    <row r="94" spans="1:2">
      <c r="A94" s="1468">
        <v>2003.01</v>
      </c>
      <c r="B94" s="1544">
        <v>128.38710279729821</v>
      </c>
    </row>
    <row r="95" spans="1:2">
      <c r="A95" s="1468">
        <v>2003.02</v>
      </c>
      <c r="B95" s="1544">
        <v>129.72711329211879</v>
      </c>
    </row>
    <row r="96" spans="1:2">
      <c r="A96" s="1468">
        <v>2003.03</v>
      </c>
      <c r="B96" s="1544">
        <v>128.34722054786329</v>
      </c>
    </row>
    <row r="97" spans="1:2">
      <c r="A97" s="1468">
        <v>2003.04</v>
      </c>
      <c r="B97" s="1544">
        <v>125.6135570594017</v>
      </c>
    </row>
    <row r="98" spans="1:2">
      <c r="A98" s="1468">
        <v>2003.05</v>
      </c>
      <c r="B98" s="1544">
        <v>129.77580872911579</v>
      </c>
    </row>
    <row r="99" spans="1:2">
      <c r="A99" s="1468">
        <v>2003.06</v>
      </c>
      <c r="B99" s="1544">
        <v>131.32680729539999</v>
      </c>
    </row>
    <row r="100" spans="1:2">
      <c r="A100" s="1468">
        <v>2003.07</v>
      </c>
      <c r="B100" s="1544">
        <v>130.56231520675959</v>
      </c>
    </row>
    <row r="101" spans="1:2">
      <c r="A101" s="1468">
        <v>2003.08</v>
      </c>
      <c r="B101" s="1544">
        <v>129.40513637349119</v>
      </c>
    </row>
    <row r="102" spans="1:2">
      <c r="A102" s="1468">
        <v>2003.09</v>
      </c>
      <c r="B102" s="1544">
        <v>135.8051503523678</v>
      </c>
    </row>
    <row r="103" spans="1:2">
      <c r="A103" s="1468">
        <v>2003.1</v>
      </c>
      <c r="B103" s="1544">
        <v>146.35844165793651</v>
      </c>
    </row>
    <row r="104" spans="1:2">
      <c r="A104" s="1468">
        <v>2003.11</v>
      </c>
      <c r="B104" s="1544">
        <v>152.21504660870781</v>
      </c>
    </row>
    <row r="105" spans="1:2">
      <c r="A105" s="1468">
        <v>2003.12</v>
      </c>
      <c r="B105" s="1544">
        <v>153.5855880437957</v>
      </c>
    </row>
    <row r="106" spans="1:2">
      <c r="A106" s="1468">
        <v>2004.01</v>
      </c>
      <c r="B106" s="1544">
        <v>161.4490686185782</v>
      </c>
    </row>
    <row r="107" spans="1:2">
      <c r="A107" s="1468">
        <v>2004.02</v>
      </c>
      <c r="B107" s="1544">
        <v>167.80729010354631</v>
      </c>
    </row>
    <row r="108" spans="1:2">
      <c r="A108" s="1468">
        <v>2004.03</v>
      </c>
      <c r="B108" s="1544">
        <v>183.6843268501338</v>
      </c>
    </row>
    <row r="109" spans="1:2">
      <c r="A109" s="1468">
        <v>2004.04</v>
      </c>
      <c r="B109" s="1544">
        <v>184.54931640356389</v>
      </c>
    </row>
    <row r="110" spans="1:2">
      <c r="A110" s="1468">
        <v>2004.05</v>
      </c>
      <c r="B110" s="1544">
        <v>181.8979974213272</v>
      </c>
    </row>
    <row r="111" spans="1:2">
      <c r="A111" s="1468">
        <v>2004.06</v>
      </c>
      <c r="B111" s="1544">
        <v>172.26714122652601</v>
      </c>
    </row>
    <row r="112" spans="1:2">
      <c r="A112" s="1468">
        <v>2004.07</v>
      </c>
      <c r="B112" s="1544">
        <v>170.30398985711381</v>
      </c>
    </row>
    <row r="113" spans="1:2">
      <c r="A113" s="1468">
        <v>2004.08</v>
      </c>
      <c r="B113" s="1544">
        <v>150.98753107522271</v>
      </c>
    </row>
    <row r="114" spans="1:2">
      <c r="A114" s="1468">
        <v>2004.09</v>
      </c>
      <c r="B114" s="1544">
        <v>143.69874827219979</v>
      </c>
    </row>
    <row r="115" spans="1:2">
      <c r="A115" s="1468">
        <v>2004.1</v>
      </c>
      <c r="B115" s="1544">
        <v>136.05491586385179</v>
      </c>
    </row>
    <row r="116" spans="1:2">
      <c r="A116" s="1468">
        <v>2004.11</v>
      </c>
      <c r="B116" s="1544">
        <v>133.00211982719179</v>
      </c>
    </row>
    <row r="117" spans="1:2">
      <c r="A117" s="1468">
        <v>2004.12</v>
      </c>
      <c r="B117" s="1544">
        <v>132.26097287607959</v>
      </c>
    </row>
    <row r="118" spans="1:2">
      <c r="A118" s="1468">
        <v>2005.01</v>
      </c>
      <c r="B118" s="1544">
        <v>134.69762382437119</v>
      </c>
    </row>
    <row r="119" spans="1:2">
      <c r="A119" s="1468">
        <v>2005.02</v>
      </c>
      <c r="B119" s="1544">
        <v>136.28570791446671</v>
      </c>
    </row>
    <row r="120" spans="1:2">
      <c r="A120" s="1468">
        <v>2005.03</v>
      </c>
      <c r="B120" s="1544">
        <v>148.90606398009919</v>
      </c>
    </row>
    <row r="121" spans="1:2">
      <c r="A121" s="1468">
        <v>2005.04</v>
      </c>
      <c r="B121" s="1544">
        <v>148.65673953930451</v>
      </c>
    </row>
    <row r="122" spans="1:2">
      <c r="A122" s="1468">
        <v>2005.05</v>
      </c>
      <c r="B122" s="1544">
        <v>148.19622156933789</v>
      </c>
    </row>
    <row r="123" spans="1:2">
      <c r="A123" s="1468">
        <v>2005.06</v>
      </c>
      <c r="B123" s="1544">
        <v>157.1784303370392</v>
      </c>
    </row>
    <row r="124" spans="1:2">
      <c r="A124" s="1468">
        <v>2005.07</v>
      </c>
      <c r="B124" s="1544">
        <v>157.74196673192739</v>
      </c>
    </row>
    <row r="125" spans="1:2">
      <c r="A125" s="1468">
        <v>2005.08</v>
      </c>
      <c r="B125" s="1544">
        <v>151.48564059983181</v>
      </c>
    </row>
    <row r="126" spans="1:2">
      <c r="A126" s="1468">
        <v>2005.09</v>
      </c>
      <c r="B126" s="1544">
        <v>144.47377923052511</v>
      </c>
    </row>
    <row r="127" spans="1:2">
      <c r="A127" s="1468">
        <v>2005.1</v>
      </c>
      <c r="B127" s="1544">
        <v>142.93785095607981</v>
      </c>
    </row>
    <row r="128" spans="1:2">
      <c r="A128" s="1468">
        <v>2005.11</v>
      </c>
      <c r="B128" s="1544">
        <v>142.17693828471269</v>
      </c>
    </row>
    <row r="129" spans="1:2">
      <c r="A129" s="1468">
        <v>2005.12</v>
      </c>
      <c r="B129" s="1544">
        <v>147.7206026336485</v>
      </c>
    </row>
    <row r="130" spans="1:2">
      <c r="A130" s="1468">
        <v>2006.01</v>
      </c>
      <c r="B130" s="1544">
        <v>151.38650175077339</v>
      </c>
    </row>
    <row r="131" spans="1:2">
      <c r="A131" s="1468">
        <v>2006.02</v>
      </c>
      <c r="B131" s="1544">
        <v>150.03745135762259</v>
      </c>
    </row>
    <row r="132" spans="1:2">
      <c r="A132" s="1468">
        <v>2006.03</v>
      </c>
      <c r="B132" s="1544">
        <v>150.94975418539661</v>
      </c>
    </row>
    <row r="133" spans="1:2">
      <c r="A133" s="1468">
        <v>2006.04</v>
      </c>
      <c r="B133" s="1544">
        <v>157.26009399922381</v>
      </c>
    </row>
    <row r="134" spans="1:2">
      <c r="A134" s="1468">
        <v>2006.05</v>
      </c>
      <c r="B134" s="1544">
        <v>163.846361369985</v>
      </c>
    </row>
    <row r="135" spans="1:2">
      <c r="A135" s="1468">
        <v>2006.06</v>
      </c>
      <c r="B135" s="1544">
        <v>161.02511595253469</v>
      </c>
    </row>
    <row r="136" spans="1:2">
      <c r="A136" s="1468">
        <v>2006.07</v>
      </c>
      <c r="B136" s="1544">
        <v>163.979857071319</v>
      </c>
    </row>
    <row r="137" spans="1:2">
      <c r="A137" s="1468">
        <v>2006.08</v>
      </c>
      <c r="B137" s="1544">
        <v>159.64317841089061</v>
      </c>
    </row>
    <row r="138" spans="1:2">
      <c r="A138" s="1468">
        <v>2006.09</v>
      </c>
      <c r="B138" s="1544">
        <v>159.15954804765951</v>
      </c>
    </row>
    <row r="139" spans="1:2">
      <c r="A139" s="1468">
        <v>2006.1</v>
      </c>
      <c r="B139" s="1544">
        <v>164.1143698731035</v>
      </c>
    </row>
    <row r="140" spans="1:2">
      <c r="A140" s="1468">
        <v>2006.11</v>
      </c>
      <c r="B140" s="1544">
        <v>172.63254920685091</v>
      </c>
    </row>
    <row r="141" spans="1:2">
      <c r="A141" s="1468">
        <v>2006.12</v>
      </c>
      <c r="B141" s="1544">
        <v>171.35062511342201</v>
      </c>
    </row>
    <row r="142" spans="1:2">
      <c r="A142" s="1468">
        <v>2007.01</v>
      </c>
      <c r="B142" s="1544">
        <v>168.94103436873661</v>
      </c>
    </row>
    <row r="143" spans="1:2">
      <c r="A143" s="1468">
        <v>2007.02</v>
      </c>
      <c r="B143" s="1544">
        <v>176.7017829888762</v>
      </c>
    </row>
    <row r="144" spans="1:2">
      <c r="A144" s="1468">
        <v>2007.03</v>
      </c>
      <c r="B144" s="1544">
        <v>182.6500559888558</v>
      </c>
    </row>
    <row r="145" spans="1:2">
      <c r="A145" s="1468">
        <v>2007.04</v>
      </c>
      <c r="B145" s="1544">
        <v>185.04669962954969</v>
      </c>
    </row>
    <row r="146" spans="1:2">
      <c r="A146" s="1468">
        <v>2007.05</v>
      </c>
      <c r="B146" s="1544">
        <v>191.22829392816351</v>
      </c>
    </row>
    <row r="147" spans="1:2">
      <c r="A147" s="1468">
        <v>2007.06</v>
      </c>
      <c r="B147" s="1544">
        <v>202.77366270495679</v>
      </c>
    </row>
    <row r="148" spans="1:2">
      <c r="A148" s="1468">
        <v>2007.07</v>
      </c>
      <c r="B148" s="1544">
        <v>205.80926486347079</v>
      </c>
    </row>
    <row r="149" spans="1:2">
      <c r="A149" s="1468">
        <v>2007.08</v>
      </c>
      <c r="B149" s="1544">
        <v>206.35058629529371</v>
      </c>
    </row>
    <row r="150" spans="1:2">
      <c r="A150" s="1468">
        <v>2007.09</v>
      </c>
      <c r="B150" s="1544">
        <v>222.2199891247823</v>
      </c>
    </row>
    <row r="151" spans="1:2">
      <c r="A151" s="1468">
        <v>2007.1</v>
      </c>
      <c r="B151" s="1544">
        <v>227.96581723175561</v>
      </c>
    </row>
    <row r="152" spans="1:2">
      <c r="A152" s="1468">
        <v>2007.11</v>
      </c>
      <c r="B152" s="1544">
        <v>245.30208290610801</v>
      </c>
    </row>
    <row r="153" spans="1:2">
      <c r="A153" s="1468">
        <v>2007.12</v>
      </c>
      <c r="B153" s="1544">
        <v>258.86662564083048</v>
      </c>
    </row>
    <row r="154" spans="1:2">
      <c r="A154" s="1468">
        <f t="shared" ref="A154:A217" si="0">A142+1</f>
        <v>2008.01</v>
      </c>
      <c r="B154" s="1544">
        <v>278.09242825355722</v>
      </c>
    </row>
    <row r="155" spans="1:2">
      <c r="A155" s="1468">
        <f t="shared" si="0"/>
        <v>2008.02</v>
      </c>
      <c r="B155" s="1544">
        <v>294.07576707078152</v>
      </c>
    </row>
    <row r="156" spans="1:2">
      <c r="A156" s="1468">
        <f t="shared" si="0"/>
        <v>2008.03</v>
      </c>
      <c r="B156" s="1544">
        <v>289.93088767412388</v>
      </c>
    </row>
    <row r="157" spans="1:2">
      <c r="A157" s="1468">
        <f t="shared" si="0"/>
        <v>2008.04</v>
      </c>
      <c r="B157" s="1544">
        <v>286.72245562591922</v>
      </c>
    </row>
    <row r="158" spans="1:2">
      <c r="A158" s="1468">
        <f t="shared" si="0"/>
        <v>2008.05</v>
      </c>
      <c r="B158" s="1544">
        <v>290.85001036557878</v>
      </c>
    </row>
    <row r="159" spans="1:2">
      <c r="A159" s="1468">
        <f t="shared" si="0"/>
        <v>2008.06</v>
      </c>
      <c r="B159" s="1544">
        <v>319.15626696640851</v>
      </c>
    </row>
    <row r="160" spans="1:2">
      <c r="A160" s="1468">
        <f t="shared" si="0"/>
        <v>2008.07</v>
      </c>
      <c r="B160" s="1544">
        <v>324.40099016927002</v>
      </c>
    </row>
    <row r="161" spans="1:2">
      <c r="A161" s="1468">
        <f t="shared" si="0"/>
        <v>2008.08</v>
      </c>
      <c r="B161" s="1544">
        <v>278.59904228171962</v>
      </c>
    </row>
    <row r="162" spans="1:2">
      <c r="A162" s="1468">
        <f t="shared" si="0"/>
        <v>2008.09</v>
      </c>
      <c r="B162" s="1544">
        <v>257.90004892152467</v>
      </c>
    </row>
    <row r="163" spans="1:2">
      <c r="A163" s="1468">
        <f t="shared" si="0"/>
        <v>2008.1</v>
      </c>
      <c r="B163" s="1544">
        <v>201.34288862324379</v>
      </c>
    </row>
    <row r="164" spans="1:2">
      <c r="A164" s="1468">
        <f t="shared" si="0"/>
        <v>2008.11</v>
      </c>
      <c r="B164" s="1544">
        <v>188.701302639261</v>
      </c>
    </row>
    <row r="165" spans="1:2">
      <c r="A165" s="1468">
        <f t="shared" si="0"/>
        <v>2008.12</v>
      </c>
      <c r="B165" s="1544">
        <v>182.26335894197061</v>
      </c>
    </row>
    <row r="166" spans="1:2">
      <c r="A166" s="1468">
        <f t="shared" si="0"/>
        <v>2009.01</v>
      </c>
      <c r="B166" s="1544">
        <v>199.9468199701279</v>
      </c>
    </row>
    <row r="167" spans="1:2">
      <c r="A167" s="1468">
        <f t="shared" si="0"/>
        <v>2009.02</v>
      </c>
      <c r="B167" s="1544">
        <v>191.999275199393</v>
      </c>
    </row>
    <row r="168" spans="1:2">
      <c r="A168" s="1468">
        <f t="shared" si="0"/>
        <v>2009.03</v>
      </c>
      <c r="B168" s="1544">
        <v>191.29231165756411</v>
      </c>
    </row>
    <row r="169" spans="1:2">
      <c r="A169" s="1468">
        <f t="shared" si="0"/>
        <v>2009.04</v>
      </c>
      <c r="B169" s="1544">
        <v>210.8941013015137</v>
      </c>
    </row>
    <row r="170" spans="1:2">
      <c r="A170" s="1468">
        <f t="shared" si="0"/>
        <v>2009.05</v>
      </c>
      <c r="B170" s="1544">
        <v>232.39168308759349</v>
      </c>
    </row>
    <row r="171" spans="1:2">
      <c r="A171" s="1468">
        <f t="shared" si="0"/>
        <v>2009.06</v>
      </c>
      <c r="B171" s="1544">
        <v>242.99421366850319</v>
      </c>
    </row>
    <row r="172" spans="1:2">
      <c r="A172" s="1468">
        <f t="shared" si="0"/>
        <v>2009.07</v>
      </c>
      <c r="B172" s="1544">
        <v>219.32850532392791</v>
      </c>
    </row>
    <row r="173" spans="1:2">
      <c r="A173" s="1468">
        <f t="shared" si="0"/>
        <v>2009.08</v>
      </c>
      <c r="B173" s="1544">
        <v>227.64412640225581</v>
      </c>
    </row>
    <row r="174" spans="1:2">
      <c r="A174" s="1468">
        <f t="shared" si="0"/>
        <v>2009.09</v>
      </c>
      <c r="B174" s="1544">
        <v>217.6271998370099</v>
      </c>
    </row>
    <row r="175" spans="1:2">
      <c r="A175" s="1468">
        <f t="shared" si="0"/>
        <v>2009.1</v>
      </c>
      <c r="B175" s="1544">
        <v>213.00687100767959</v>
      </c>
    </row>
    <row r="176" spans="1:2">
      <c r="A176" s="1468">
        <f t="shared" si="0"/>
        <v>2009.11</v>
      </c>
      <c r="B176" s="1544">
        <v>221.03995638748859</v>
      </c>
    </row>
    <row r="177" spans="1:2">
      <c r="A177" s="1468">
        <f t="shared" si="0"/>
        <v>2009.12</v>
      </c>
      <c r="B177" s="1544">
        <v>223.44160508471941</v>
      </c>
    </row>
    <row r="178" spans="1:2">
      <c r="A178" s="1468">
        <f t="shared" si="0"/>
        <v>2010.01</v>
      </c>
      <c r="B178" s="1544">
        <v>219.43972784749641</v>
      </c>
    </row>
    <row r="179" spans="1:2">
      <c r="A179" s="1468">
        <f t="shared" si="0"/>
        <v>2010.02</v>
      </c>
      <c r="B179" s="1544">
        <v>210.77260128760059</v>
      </c>
    </row>
    <row r="180" spans="1:2">
      <c r="A180" s="1468">
        <f t="shared" si="0"/>
        <v>2010.03</v>
      </c>
      <c r="B180" s="1544">
        <v>210.55041094259019</v>
      </c>
    </row>
    <row r="181" spans="1:2">
      <c r="A181" s="1468">
        <f t="shared" si="0"/>
        <v>2010.04</v>
      </c>
      <c r="B181" s="1544">
        <v>219.61107553792411</v>
      </c>
    </row>
    <row r="182" spans="1:2">
      <c r="A182" s="1468">
        <f t="shared" si="0"/>
        <v>2010.05</v>
      </c>
      <c r="B182" s="1544">
        <v>215.51808842778979</v>
      </c>
    </row>
    <row r="183" spans="1:2">
      <c r="A183" s="1468">
        <f t="shared" si="0"/>
        <v>2010.06</v>
      </c>
      <c r="B183" s="1544">
        <v>216.64823380128001</v>
      </c>
    </row>
    <row r="184" spans="1:2">
      <c r="A184" s="1468">
        <f t="shared" si="0"/>
        <v>2010.07</v>
      </c>
      <c r="B184" s="1544">
        <v>226.06724309169789</v>
      </c>
    </row>
    <row r="185" spans="1:2">
      <c r="A185" s="1468">
        <f t="shared" si="0"/>
        <v>2010.08</v>
      </c>
      <c r="B185" s="1544">
        <v>234.29930970564311</v>
      </c>
    </row>
    <row r="186" spans="1:2">
      <c r="A186" s="1468">
        <f t="shared" si="0"/>
        <v>2010.09</v>
      </c>
      <c r="B186" s="1544">
        <v>238.29756148412619</v>
      </c>
    </row>
    <row r="187" spans="1:2">
      <c r="A187" s="1468">
        <f t="shared" si="0"/>
        <v>2010.1</v>
      </c>
      <c r="B187" s="1544">
        <v>252.2598040681911</v>
      </c>
    </row>
    <row r="188" spans="1:2">
      <c r="A188" s="1468">
        <f t="shared" si="0"/>
        <v>2010.11</v>
      </c>
      <c r="B188" s="1544">
        <v>269.04131105198923</v>
      </c>
    </row>
    <row r="189" spans="1:2">
      <c r="A189" s="1468">
        <f t="shared" si="0"/>
        <v>2010.12</v>
      </c>
      <c r="B189" s="1544">
        <v>281.72117524492188</v>
      </c>
    </row>
    <row r="190" spans="1:2">
      <c r="A190" s="1468">
        <f t="shared" si="0"/>
        <v>2011.01</v>
      </c>
      <c r="B190" s="1544">
        <v>295.88389993177958</v>
      </c>
    </row>
    <row r="191" spans="1:2">
      <c r="A191" s="1468">
        <f t="shared" si="0"/>
        <v>2011.02</v>
      </c>
      <c r="B191" s="1544">
        <v>299.01611819732841</v>
      </c>
    </row>
    <row r="192" spans="1:2">
      <c r="A192" s="1468">
        <f t="shared" si="0"/>
        <v>2011.03</v>
      </c>
      <c r="B192" s="1544">
        <v>297.76075707358928</v>
      </c>
    </row>
    <row r="193" spans="1:2">
      <c r="A193" s="1468">
        <f t="shared" si="0"/>
        <v>2011.04</v>
      </c>
      <c r="B193" s="1544">
        <v>304.39214257467802</v>
      </c>
    </row>
    <row r="194" spans="1:2">
      <c r="A194" s="1468">
        <f t="shared" si="0"/>
        <v>2011.05</v>
      </c>
      <c r="B194" s="1544">
        <v>300.80296475392822</v>
      </c>
    </row>
    <row r="195" spans="1:2">
      <c r="A195" s="1468">
        <f t="shared" si="0"/>
        <v>2011.06</v>
      </c>
      <c r="B195" s="1544">
        <v>302.04584324114711</v>
      </c>
    </row>
    <row r="196" spans="1:2">
      <c r="A196" s="1468">
        <f t="shared" si="0"/>
        <v>2011.07</v>
      </c>
      <c r="B196" s="1544">
        <v>302.04120233319679</v>
      </c>
    </row>
    <row r="197" spans="1:2">
      <c r="A197" s="1468">
        <f t="shared" si="0"/>
        <v>2011.08</v>
      </c>
      <c r="B197" s="1544">
        <v>301.48659749898599</v>
      </c>
    </row>
    <row r="198" spans="1:2">
      <c r="A198" s="1468">
        <f t="shared" si="0"/>
        <v>2011.09</v>
      </c>
      <c r="B198" s="1544">
        <v>295.21441046410001</v>
      </c>
    </row>
    <row r="199" spans="1:2">
      <c r="A199" s="1468">
        <f t="shared" si="0"/>
        <v>2011.1</v>
      </c>
      <c r="B199" s="1544">
        <v>272.06737089479623</v>
      </c>
    </row>
    <row r="200" spans="1:2">
      <c r="A200" s="1468">
        <f t="shared" si="0"/>
        <v>2011.11</v>
      </c>
      <c r="B200" s="1544">
        <v>268.15510912748988</v>
      </c>
    </row>
    <row r="201" spans="1:2">
      <c r="A201" s="1468">
        <f t="shared" si="0"/>
        <v>2011.12</v>
      </c>
      <c r="B201" s="1544">
        <v>263.28403255895722</v>
      </c>
    </row>
    <row r="202" spans="1:2">
      <c r="A202" s="1468">
        <f t="shared" si="0"/>
        <v>2012.01</v>
      </c>
      <c r="B202" s="1544">
        <v>276.41117996800091</v>
      </c>
    </row>
    <row r="203" spans="1:2">
      <c r="A203" s="1468">
        <f t="shared" si="0"/>
        <v>2012.02</v>
      </c>
      <c r="B203" s="1544">
        <v>289.09840468805788</v>
      </c>
    </row>
    <row r="204" spans="1:2">
      <c r="A204" s="1468">
        <f t="shared" si="0"/>
        <v>2012.03</v>
      </c>
      <c r="B204" s="1544">
        <v>303.07815643258789</v>
      </c>
    </row>
    <row r="205" spans="1:2">
      <c r="A205" s="1468">
        <f t="shared" si="0"/>
        <v>2012.04</v>
      </c>
      <c r="B205" s="1544">
        <v>309.66729522453949</v>
      </c>
    </row>
    <row r="206" spans="1:2">
      <c r="A206" s="1468">
        <f t="shared" si="0"/>
        <v>2012.05</v>
      </c>
      <c r="B206" s="1544">
        <v>305.72203532948589</v>
      </c>
    </row>
    <row r="207" spans="1:2">
      <c r="A207" s="1468">
        <f t="shared" si="0"/>
        <v>2012.06</v>
      </c>
      <c r="B207" s="1544">
        <v>304.96937389213872</v>
      </c>
    </row>
    <row r="208" spans="1:2">
      <c r="A208" s="1468">
        <f t="shared" si="0"/>
        <v>2012.07</v>
      </c>
      <c r="B208" s="1544">
        <v>341.39350208330688</v>
      </c>
    </row>
    <row r="209" spans="1:2">
      <c r="A209" s="1468">
        <f t="shared" si="0"/>
        <v>2012.08</v>
      </c>
      <c r="B209" s="1544">
        <v>357.4718714046457</v>
      </c>
    </row>
    <row r="210" spans="1:2">
      <c r="A210" s="1468">
        <f t="shared" si="0"/>
        <v>2012.09</v>
      </c>
      <c r="B210" s="1544">
        <v>353.95947825110892</v>
      </c>
    </row>
    <row r="211" spans="1:2">
      <c r="A211" s="1468">
        <f t="shared" si="0"/>
        <v>2012.1</v>
      </c>
      <c r="B211" s="1544">
        <v>337.76597185484388</v>
      </c>
    </row>
    <row r="212" spans="1:2">
      <c r="A212" s="1468">
        <f t="shared" si="0"/>
        <v>2012.11</v>
      </c>
      <c r="B212" s="1544">
        <v>326.52427718919972</v>
      </c>
    </row>
    <row r="213" spans="1:2">
      <c r="A213" s="1468">
        <f t="shared" si="0"/>
        <v>2012.12</v>
      </c>
      <c r="B213" s="1544">
        <v>326.53593548068022</v>
      </c>
    </row>
    <row r="214" spans="1:2">
      <c r="A214" s="1468">
        <f t="shared" si="0"/>
        <v>2013.01</v>
      </c>
      <c r="B214" s="1544">
        <v>321.7673498091695</v>
      </c>
    </row>
    <row r="215" spans="1:2">
      <c r="A215" s="1468">
        <f t="shared" si="0"/>
        <v>2013.02</v>
      </c>
      <c r="B215" s="1544">
        <v>322.9442314804059</v>
      </c>
    </row>
    <row r="216" spans="1:2">
      <c r="A216" s="1468">
        <f t="shared" si="0"/>
        <v>2013.03</v>
      </c>
      <c r="B216" s="1544">
        <v>317.68971629098922</v>
      </c>
    </row>
    <row r="217" spans="1:2">
      <c r="A217" s="1468">
        <f t="shared" si="0"/>
        <v>2013.04</v>
      </c>
      <c r="B217" s="1544">
        <v>303.51301452205172</v>
      </c>
    </row>
    <row r="218" spans="1:2">
      <c r="A218" s="1468">
        <f t="shared" ref="A218:A281" si="1">A206+1</f>
        <v>2013.05</v>
      </c>
      <c r="B218" s="1544">
        <v>312.81071574910982</v>
      </c>
    </row>
    <row r="219" spans="1:2">
      <c r="A219" s="1468">
        <f t="shared" si="1"/>
        <v>2013.06</v>
      </c>
      <c r="B219" s="1544">
        <v>317.74060777633241</v>
      </c>
    </row>
    <row r="220" spans="1:2">
      <c r="A220" s="1468">
        <f t="shared" si="1"/>
        <v>2013.07</v>
      </c>
      <c r="B220" s="1544">
        <v>317.7676332429553</v>
      </c>
    </row>
    <row r="221" spans="1:2">
      <c r="A221" s="1468">
        <f t="shared" si="1"/>
        <v>2013.08</v>
      </c>
      <c r="B221" s="1544">
        <v>292.71011520124011</v>
      </c>
    </row>
    <row r="222" spans="1:2">
      <c r="A222" s="1468">
        <f t="shared" si="1"/>
        <v>2013.09</v>
      </c>
      <c r="B222" s="1544">
        <v>295.25221727738068</v>
      </c>
    </row>
    <row r="223" spans="1:2">
      <c r="A223" s="1468">
        <f t="shared" si="1"/>
        <v>2013.1</v>
      </c>
      <c r="B223" s="1544">
        <v>275.35522893000672</v>
      </c>
    </row>
    <row r="224" spans="1:2">
      <c r="A224" s="1468">
        <f t="shared" si="1"/>
        <v>2013.11</v>
      </c>
      <c r="B224" s="1544">
        <v>273.20049713127611</v>
      </c>
    </row>
    <row r="225" spans="1:2">
      <c r="A225" s="1468">
        <f t="shared" si="1"/>
        <v>2013.12</v>
      </c>
      <c r="B225" s="1544">
        <v>279.94090855303142</v>
      </c>
    </row>
    <row r="226" spans="1:2">
      <c r="A226" s="1468">
        <f t="shared" si="1"/>
        <v>2014.01</v>
      </c>
      <c r="B226" s="1544">
        <v>274.12571985686708</v>
      </c>
    </row>
    <row r="227" spans="1:2">
      <c r="A227" s="1468">
        <f t="shared" si="1"/>
        <v>2014.02</v>
      </c>
      <c r="B227" s="1544">
        <v>284.81943529803982</v>
      </c>
    </row>
    <row r="228" spans="1:2">
      <c r="A228" s="1468">
        <f t="shared" si="1"/>
        <v>2014.03</v>
      </c>
      <c r="B228" s="1544">
        <v>291.77606448538921</v>
      </c>
    </row>
    <row r="229" spans="1:2">
      <c r="A229" s="1468">
        <f t="shared" si="1"/>
        <v>2014.04</v>
      </c>
      <c r="B229" s="1544">
        <v>299.98495916307633</v>
      </c>
    </row>
    <row r="230" spans="1:2">
      <c r="A230" s="1468">
        <f t="shared" si="1"/>
        <v>2014.05</v>
      </c>
      <c r="B230" s="1544">
        <v>298.99172120866029</v>
      </c>
    </row>
    <row r="231" spans="1:2">
      <c r="A231" s="1468">
        <f t="shared" si="1"/>
        <v>2014.06</v>
      </c>
      <c r="B231" s="1544">
        <v>290.9279484065359</v>
      </c>
    </row>
    <row r="232" spans="1:2">
      <c r="A232" s="1468">
        <f t="shared" si="1"/>
        <v>2014.07</v>
      </c>
      <c r="B232" s="1544">
        <v>268.9068670496618</v>
      </c>
    </row>
    <row r="233" spans="1:2">
      <c r="A233" s="1468">
        <f t="shared" si="1"/>
        <v>2014.08</v>
      </c>
      <c r="B233" s="1544">
        <v>264.76849250434509</v>
      </c>
    </row>
    <row r="234" spans="1:2">
      <c r="A234" s="1468">
        <f t="shared" si="1"/>
        <v>2014.09</v>
      </c>
      <c r="B234" s="1544">
        <v>265.92920725373273</v>
      </c>
    </row>
    <row r="235" spans="1:2">
      <c r="A235" s="1468">
        <f t="shared" si="1"/>
        <v>2014.1</v>
      </c>
      <c r="B235" s="1544">
        <v>228.86919472834481</v>
      </c>
    </row>
    <row r="236" spans="1:2">
      <c r="A236" s="1468">
        <f t="shared" si="1"/>
        <v>2014.11</v>
      </c>
      <c r="B236" s="1544">
        <v>248.62909550455211</v>
      </c>
    </row>
    <row r="237" spans="1:2">
      <c r="A237" s="1468">
        <f t="shared" si="1"/>
        <v>2014.12</v>
      </c>
      <c r="B237" s="1544">
        <v>242.75994192950779</v>
      </c>
    </row>
    <row r="238" spans="1:2">
      <c r="A238" s="1468">
        <f t="shared" si="1"/>
        <v>2015.01</v>
      </c>
      <c r="B238" s="1544">
        <v>225.28394463914501</v>
      </c>
    </row>
    <row r="239" spans="1:2">
      <c r="A239" s="1468">
        <f t="shared" si="1"/>
        <v>2015.02</v>
      </c>
      <c r="B239" s="1544">
        <v>220.7683220606541</v>
      </c>
    </row>
    <row r="240" spans="1:2">
      <c r="A240" s="1468">
        <f t="shared" si="1"/>
        <v>2015.03</v>
      </c>
      <c r="B240" s="1544">
        <v>216.77712577883651</v>
      </c>
    </row>
    <row r="241" spans="1:2">
      <c r="A241" s="1468">
        <f t="shared" si="1"/>
        <v>2015.04</v>
      </c>
      <c r="B241" s="1544">
        <v>211.2354412794007</v>
      </c>
    </row>
    <row r="242" spans="1:2">
      <c r="A242" s="1468">
        <f t="shared" si="1"/>
        <v>2015.05</v>
      </c>
      <c r="B242" s="1544">
        <v>208.73830470879551</v>
      </c>
    </row>
    <row r="243" spans="1:2">
      <c r="A243" s="1468">
        <f t="shared" si="1"/>
        <v>2015.06</v>
      </c>
      <c r="B243" s="1544">
        <v>211.79828701235181</v>
      </c>
    </row>
    <row r="244" spans="1:2">
      <c r="A244" s="1468">
        <f t="shared" si="1"/>
        <v>2015.07</v>
      </c>
      <c r="B244" s="1544">
        <v>221.89612703044651</v>
      </c>
    </row>
    <row r="245" spans="1:2">
      <c r="A245" s="1468">
        <f t="shared" si="1"/>
        <v>2015.08</v>
      </c>
      <c r="B245" s="1544">
        <v>208.91323459463121</v>
      </c>
    </row>
    <row r="246" spans="1:2">
      <c r="A246" s="1468">
        <f t="shared" si="1"/>
        <v>2015.09</v>
      </c>
      <c r="B246" s="1544">
        <v>198.04178014211249</v>
      </c>
    </row>
    <row r="247" spans="1:2">
      <c r="A247" s="1468">
        <f t="shared" si="1"/>
        <v>2015.1</v>
      </c>
      <c r="B247" s="1544">
        <v>199.137543532265</v>
      </c>
    </row>
    <row r="248" spans="1:2">
      <c r="A248" s="1468">
        <f t="shared" si="1"/>
        <v>2015.11</v>
      </c>
      <c r="B248" s="1544">
        <v>190.4504617603103</v>
      </c>
    </row>
    <row r="249" spans="1:2">
      <c r="A249" s="1468">
        <f t="shared" si="1"/>
        <v>2015.12</v>
      </c>
      <c r="B249" s="1544">
        <v>187.8533970494791</v>
      </c>
    </row>
    <row r="250" spans="1:2">
      <c r="A250" s="1468">
        <f t="shared" si="1"/>
        <v>2016.01</v>
      </c>
      <c r="B250" s="1544">
        <v>183.74243142171409</v>
      </c>
    </row>
    <row r="251" spans="1:2">
      <c r="A251" s="1468">
        <f t="shared" si="1"/>
        <v>2016.02</v>
      </c>
      <c r="B251" s="1544">
        <v>184.8391681036189</v>
      </c>
    </row>
    <row r="252" spans="1:2">
      <c r="A252" s="1468">
        <f t="shared" si="1"/>
        <v>2016.03</v>
      </c>
      <c r="B252" s="1544">
        <v>188.67794250490161</v>
      </c>
    </row>
    <row r="253" spans="1:2">
      <c r="A253" s="1468">
        <f t="shared" si="1"/>
        <v>2016.04</v>
      </c>
      <c r="B253" s="1544">
        <v>198.6498321112272</v>
      </c>
    </row>
    <row r="254" spans="1:2">
      <c r="A254" s="1468">
        <f t="shared" si="1"/>
        <v>2016.05</v>
      </c>
      <c r="B254" s="1544">
        <v>217.26580081813421</v>
      </c>
    </row>
    <row r="255" spans="1:2">
      <c r="A255" s="1468">
        <f t="shared" si="1"/>
        <v>2016.06</v>
      </c>
      <c r="B255" s="1544">
        <v>226.99341637750811</v>
      </c>
    </row>
    <row r="256" spans="1:2">
      <c r="A256" s="1468">
        <f t="shared" si="1"/>
        <v>2016.07</v>
      </c>
      <c r="B256" s="1544">
        <v>212.17101814245331</v>
      </c>
    </row>
    <row r="257" spans="1:2">
      <c r="A257" s="1468">
        <f t="shared" si="1"/>
        <v>2016.08</v>
      </c>
      <c r="B257" s="1544">
        <v>204.28264734334911</v>
      </c>
    </row>
    <row r="258" spans="1:2">
      <c r="A258" s="1468">
        <f t="shared" si="1"/>
        <v>2016.09</v>
      </c>
      <c r="B258" s="1544">
        <v>201.86641505436751</v>
      </c>
    </row>
    <row r="259" spans="1:2">
      <c r="A259" s="1468">
        <f t="shared" si="1"/>
        <v>2016.1</v>
      </c>
      <c r="B259" s="1544">
        <v>201.81017094688531</v>
      </c>
    </row>
    <row r="260" spans="1:2">
      <c r="A260" s="1468">
        <f t="shared" si="1"/>
        <v>2016.11</v>
      </c>
      <c r="B260" s="1544">
        <v>203.3742351730879</v>
      </c>
    </row>
    <row r="261" spans="1:2">
      <c r="A261" s="1468">
        <f t="shared" si="1"/>
        <v>2016.12</v>
      </c>
      <c r="B261" s="1544">
        <v>205.25153955247791</v>
      </c>
    </row>
    <row r="262" spans="1:2">
      <c r="A262" s="1468">
        <f t="shared" si="1"/>
        <v>2017.01</v>
      </c>
      <c r="B262" s="1544">
        <v>208.61959613492951</v>
      </c>
    </row>
    <row r="263" spans="1:2">
      <c r="A263" s="1468">
        <f t="shared" si="1"/>
        <v>2017.02</v>
      </c>
      <c r="B263" s="1544">
        <v>208.15514342573709</v>
      </c>
    </row>
    <row r="264" spans="1:2">
      <c r="A264" s="1468">
        <f t="shared" si="1"/>
        <v>2017.03</v>
      </c>
      <c r="B264" s="1544">
        <v>203.26830173330299</v>
      </c>
    </row>
    <row r="265" spans="1:2">
      <c r="A265" s="1468">
        <f t="shared" si="1"/>
        <v>2017.04</v>
      </c>
      <c r="B265" s="1544">
        <v>197.7366079123162</v>
      </c>
    </row>
    <row r="266" spans="1:2">
      <c r="A266" s="1468">
        <f t="shared" si="1"/>
        <v>2017.05</v>
      </c>
      <c r="B266" s="1544">
        <v>200.1196492707162</v>
      </c>
    </row>
    <row r="267" spans="1:2">
      <c r="A267" s="1468">
        <f t="shared" si="1"/>
        <v>2017.06</v>
      </c>
      <c r="B267" s="1544">
        <v>198.86672898912761</v>
      </c>
    </row>
    <row r="268" spans="1:2">
      <c r="A268" s="1468">
        <f t="shared" si="1"/>
        <v>2017.07</v>
      </c>
      <c r="B268" s="1544">
        <v>204.3384241050301</v>
      </c>
    </row>
    <row r="269" spans="1:2">
      <c r="A269" s="1468">
        <f t="shared" si="1"/>
        <v>2017.08</v>
      </c>
      <c r="B269" s="1544">
        <v>199.70943442997131</v>
      </c>
    </row>
    <row r="270" spans="1:2">
      <c r="A270" s="1468">
        <f t="shared" si="1"/>
        <v>2017.09</v>
      </c>
      <c r="B270" s="1544">
        <v>202.16727735183181</v>
      </c>
    </row>
    <row r="271" spans="1:2">
      <c r="A271" s="1468">
        <f t="shared" si="1"/>
        <v>2017.1</v>
      </c>
      <c r="B271" s="1544">
        <v>203.7070534273937</v>
      </c>
    </row>
    <row r="272" spans="1:2">
      <c r="A272" s="1468">
        <f t="shared" si="1"/>
        <v>2017.11</v>
      </c>
      <c r="B272" s="1544">
        <v>203.9191860432006</v>
      </c>
    </row>
    <row r="273" spans="1:2">
      <c r="A273" s="1468">
        <f t="shared" si="1"/>
        <v>2017.12</v>
      </c>
      <c r="B273" s="1544">
        <v>204.3014541877867</v>
      </c>
    </row>
    <row r="274" spans="1:2">
      <c r="A274" s="1468">
        <f t="shared" si="1"/>
        <v>2018.01</v>
      </c>
      <c r="B274" s="1544">
        <v>210.0940503543259</v>
      </c>
    </row>
    <row r="275" spans="1:2">
      <c r="A275" s="1468">
        <f t="shared" si="1"/>
        <v>2018.02</v>
      </c>
      <c r="B275" s="1544">
        <v>215.7731009766928</v>
      </c>
    </row>
    <row r="276" spans="1:2">
      <c r="A276" s="1468">
        <f t="shared" si="1"/>
        <v>2018.03</v>
      </c>
      <c r="B276" s="1544">
        <v>221.56188118667399</v>
      </c>
    </row>
    <row r="277" spans="1:2">
      <c r="A277" s="1468">
        <f t="shared" si="1"/>
        <v>2018.04</v>
      </c>
      <c r="B277" s="1544">
        <v>224.3343115264708</v>
      </c>
    </row>
    <row r="278" spans="1:2">
      <c r="A278" s="1468">
        <f t="shared" si="1"/>
        <v>2018.05</v>
      </c>
      <c r="B278" s="1544">
        <v>226.9493965756229</v>
      </c>
    </row>
    <row r="279" spans="1:2">
      <c r="A279" s="1468">
        <f t="shared" si="1"/>
        <v>2018.06</v>
      </c>
      <c r="B279" s="1544">
        <v>214.9973258376196</v>
      </c>
    </row>
    <row r="280" spans="1:2">
      <c r="A280" s="1468">
        <f t="shared" si="1"/>
        <v>2018.07</v>
      </c>
      <c r="B280" s="1544">
        <v>207.1330712403884</v>
      </c>
    </row>
    <row r="281" spans="1:2">
      <c r="A281" s="1468">
        <f t="shared" si="1"/>
        <v>2018.08</v>
      </c>
      <c r="B281" s="1544">
        <v>204.75859480117541</v>
      </c>
    </row>
    <row r="282" spans="1:2">
      <c r="A282" s="1468">
        <f t="shared" ref="A282:A345" si="2">A270+1</f>
        <v>2018.09</v>
      </c>
      <c r="B282" s="1544">
        <v>199.99345517562091</v>
      </c>
    </row>
    <row r="283" spans="1:2">
      <c r="A283" s="1468">
        <f t="shared" si="2"/>
        <v>2018.1</v>
      </c>
      <c r="B283" s="1544">
        <v>203.91284445455071</v>
      </c>
    </row>
    <row r="284" spans="1:2">
      <c r="A284" s="1468">
        <f t="shared" si="2"/>
        <v>2018.11</v>
      </c>
      <c r="B284" s="1544">
        <v>200.98658481820439</v>
      </c>
    </row>
    <row r="285" spans="1:2">
      <c r="A285" s="1468">
        <f t="shared" si="2"/>
        <v>2018.12</v>
      </c>
      <c r="B285" s="1544">
        <v>201.71747130169999</v>
      </c>
    </row>
    <row r="286" spans="1:2">
      <c r="A286" s="1468">
        <f t="shared" si="2"/>
        <v>2019.01</v>
      </c>
      <c r="B286" s="1544">
        <v>204.58468490209941</v>
      </c>
    </row>
    <row r="287" spans="1:2">
      <c r="A287" s="1468">
        <f t="shared" si="2"/>
        <v>2019.02</v>
      </c>
      <c r="B287" s="1544">
        <v>210.54134992608959</v>
      </c>
    </row>
    <row r="288" spans="1:2">
      <c r="A288" s="1468">
        <f t="shared" si="2"/>
        <v>2019.03</v>
      </c>
      <c r="B288" s="1544">
        <v>204.08230883238519</v>
      </c>
    </row>
    <row r="289" spans="1:2">
      <c r="A289" s="1468">
        <f t="shared" si="2"/>
        <v>2019.04</v>
      </c>
      <c r="B289" s="1544">
        <v>200.2335075248879</v>
      </c>
    </row>
    <row r="290" spans="1:2">
      <c r="A290" s="1468">
        <f t="shared" si="2"/>
        <v>2019.05</v>
      </c>
      <c r="B290" s="1544">
        <v>199.9390849386682</v>
      </c>
    </row>
    <row r="291" spans="1:2">
      <c r="A291" s="1468">
        <f t="shared" si="2"/>
        <v>2019.06</v>
      </c>
      <c r="B291" s="1544">
        <v>211.4723115672806</v>
      </c>
    </row>
    <row r="292" spans="1:2">
      <c r="A292" s="1468">
        <f t="shared" si="2"/>
        <v>2019.07</v>
      </c>
      <c r="B292" s="1544">
        <v>209.310394132516</v>
      </c>
    </row>
    <row r="293" spans="1:2">
      <c r="A293" s="1468">
        <f t="shared" si="2"/>
        <v>2019.08</v>
      </c>
      <c r="B293" s="1544">
        <v>199.4952420380238</v>
      </c>
    </row>
    <row r="294" spans="1:2">
      <c r="A294" s="1468">
        <f t="shared" si="2"/>
        <v>2019.09</v>
      </c>
      <c r="B294" s="1544">
        <v>200.66280512141969</v>
      </c>
    </row>
    <row r="295" spans="1:2">
      <c r="A295" s="1468">
        <f t="shared" si="2"/>
        <v>2019.1</v>
      </c>
      <c r="B295" s="1544">
        <v>210.0099037197067</v>
      </c>
    </row>
    <row r="296" spans="1:2">
      <c r="A296" s="1468">
        <f t="shared" si="2"/>
        <v>2019.11</v>
      </c>
      <c r="B296" s="1544">
        <v>207.20256625507821</v>
      </c>
    </row>
    <row r="297" spans="1:2">
      <c r="A297" s="1468">
        <f t="shared" si="2"/>
        <v>2019.12</v>
      </c>
      <c r="B297" s="1544">
        <v>209.5971468589087</v>
      </c>
    </row>
    <row r="298" spans="1:2">
      <c r="A298" s="1468">
        <f t="shared" si="2"/>
        <v>2020.01</v>
      </c>
      <c r="B298" s="1544">
        <v>214.20736732406661</v>
      </c>
    </row>
    <row r="299" spans="1:2">
      <c r="A299" s="1468">
        <f t="shared" si="2"/>
        <v>2020.02</v>
      </c>
      <c r="B299" s="1544">
        <v>205.5255033828355</v>
      </c>
    </row>
    <row r="300" spans="1:2">
      <c r="A300" s="1468">
        <f t="shared" si="2"/>
        <v>2020.03</v>
      </c>
      <c r="B300" s="1544">
        <v>193.54970654924031</v>
      </c>
    </row>
    <row r="301" spans="1:2">
      <c r="A301" s="1468">
        <f t="shared" si="2"/>
        <v>2020.04</v>
      </c>
      <c r="B301" s="1544">
        <v>182.49967545544331</v>
      </c>
    </row>
    <row r="302" spans="1:2">
      <c r="A302" s="1468">
        <f t="shared" si="2"/>
        <v>2020.05</v>
      </c>
      <c r="B302" s="1544">
        <v>182.60877119717489</v>
      </c>
    </row>
    <row r="303" spans="1:2">
      <c r="A303" s="1468">
        <f t="shared" si="2"/>
        <v>2020.06</v>
      </c>
      <c r="B303" s="1544">
        <v>188.6153571906774</v>
      </c>
    </row>
    <row r="304" spans="1:2">
      <c r="A304" s="1468">
        <f t="shared" si="2"/>
        <v>2020.07</v>
      </c>
      <c r="B304" s="1544">
        <v>194.66537758095589</v>
      </c>
    </row>
    <row r="305" spans="1:2">
      <c r="A305" s="1468">
        <f t="shared" si="2"/>
        <v>2020.08</v>
      </c>
      <c r="B305" s="1544">
        <v>198.34198016830939</v>
      </c>
    </row>
    <row r="306" spans="1:2">
      <c r="A306" s="1468">
        <f t="shared" si="2"/>
        <v>2020.09</v>
      </c>
      <c r="B306" s="1544">
        <v>210.24189093375699</v>
      </c>
    </row>
    <row r="307" spans="1:2">
      <c r="A307" s="1468">
        <f t="shared" si="2"/>
        <v>2020.1</v>
      </c>
      <c r="B307" s="1544">
        <v>224.62851060552239</v>
      </c>
    </row>
    <row r="308" spans="1:2">
      <c r="A308" s="1468">
        <f t="shared" si="2"/>
        <v>2020.11</v>
      </c>
      <c r="B308" s="1544">
        <v>237.74262450146159</v>
      </c>
    </row>
    <row r="309" spans="1:2">
      <c r="A309" s="1468">
        <f t="shared" si="2"/>
        <v>2020.12</v>
      </c>
      <c r="B309" s="1544">
        <v>247.64928040362571</v>
      </c>
    </row>
    <row r="310" spans="1:2">
      <c r="A310" s="1468">
        <f t="shared" si="2"/>
        <v>2021.01</v>
      </c>
      <c r="B310" s="1544">
        <v>270.87891835876889</v>
      </c>
    </row>
    <row r="311" spans="1:2">
      <c r="A311" s="1468">
        <f t="shared" si="2"/>
        <v>2021.02</v>
      </c>
      <c r="B311" s="1544">
        <v>278.5517301164349</v>
      </c>
    </row>
    <row r="312" spans="1:2">
      <c r="A312" s="1468">
        <f t="shared" si="2"/>
        <v>2021.03</v>
      </c>
      <c r="B312" s="1544">
        <v>281.5611755840975</v>
      </c>
    </row>
    <row r="313" spans="1:2">
      <c r="A313" s="1468">
        <f t="shared" si="2"/>
        <v>2021.04</v>
      </c>
      <c r="B313" s="1544">
        <v>292.57278399103109</v>
      </c>
    </row>
    <row r="314" spans="1:2">
      <c r="A314" s="1468">
        <f t="shared" si="2"/>
        <v>2021.05</v>
      </c>
      <c r="B314" s="1544">
        <v>317.61233477542788</v>
      </c>
    </row>
    <row r="315" spans="1:2">
      <c r="A315" s="1468">
        <f t="shared" si="2"/>
        <v>2021.06</v>
      </c>
      <c r="B315" s="1544">
        <v>309.43712942397872</v>
      </c>
    </row>
    <row r="316" spans="1:2">
      <c r="A316" s="1468">
        <f t="shared" si="2"/>
        <v>2021.07</v>
      </c>
      <c r="B316" s="1544">
        <v>295.8060511670422</v>
      </c>
    </row>
    <row r="317" spans="1:2">
      <c r="A317" s="1468">
        <f t="shared" si="2"/>
        <v>2021.08</v>
      </c>
      <c r="B317" s="1544">
        <v>291.06024564118781</v>
      </c>
    </row>
    <row r="318" spans="1:2">
      <c r="A318" s="1468">
        <f t="shared" si="2"/>
        <v>2021.09</v>
      </c>
      <c r="B318" s="1544">
        <v>277.01838926165749</v>
      </c>
    </row>
    <row r="319" spans="1:2">
      <c r="A319" s="1468">
        <f t="shared" si="2"/>
        <v>2021.1</v>
      </c>
      <c r="B319" s="1544">
        <v>279.4413468219575</v>
      </c>
    </row>
    <row r="320" spans="1:2">
      <c r="A320" s="1468">
        <f t="shared" si="2"/>
        <v>2021.11</v>
      </c>
      <c r="B320" s="1544">
        <v>289.86616583649891</v>
      </c>
    </row>
    <row r="321" spans="1:2">
      <c r="A321" s="1468">
        <f t="shared" si="2"/>
        <v>2021.12</v>
      </c>
      <c r="B321" s="1544">
        <v>295.76182457177612</v>
      </c>
    </row>
    <row r="322" spans="1:2">
      <c r="A322" s="1468">
        <f t="shared" si="2"/>
        <v>2022.01</v>
      </c>
      <c r="B322" s="1544">
        <v>310.63854593744691</v>
      </c>
    </row>
    <row r="323" spans="1:2">
      <c r="A323" s="1468">
        <f t="shared" si="2"/>
        <v>2022.02</v>
      </c>
      <c r="B323" s="1544">
        <v>330.95089644518072</v>
      </c>
    </row>
    <row r="324" spans="1:2">
      <c r="A324" s="1468">
        <f t="shared" si="2"/>
        <v>2022.03</v>
      </c>
      <c r="B324" s="1544">
        <v>367.71608021910532</v>
      </c>
    </row>
    <row r="325" spans="1:2">
      <c r="A325" s="1468">
        <f t="shared" si="2"/>
        <v>2022.04</v>
      </c>
      <c r="B325" s="1544">
        <v>372.05375149230872</v>
      </c>
    </row>
    <row r="326" spans="1:2">
      <c r="A326" s="1468">
        <f t="shared" si="2"/>
        <v>2022.05</v>
      </c>
      <c r="B326" s="1544">
        <v>372.81078990814228</v>
      </c>
    </row>
    <row r="327" spans="1:2">
      <c r="A327" s="1468">
        <f t="shared" si="2"/>
        <v>2022.06</v>
      </c>
      <c r="B327" s="1544">
        <v>365.91103614517732</v>
      </c>
    </row>
    <row r="328" spans="1:2">
      <c r="A328" s="1468">
        <f t="shared" si="2"/>
        <v>2022.07</v>
      </c>
      <c r="B328" s="1544">
        <v>338.17418868080841</v>
      </c>
    </row>
    <row r="329" spans="1:2">
      <c r="A329" s="1468">
        <f t="shared" si="2"/>
        <v>2022.08</v>
      </c>
      <c r="B329" s="1544">
        <v>341.54447768275429</v>
      </c>
    </row>
    <row r="330" spans="1:2">
      <c r="A330" s="1468">
        <f t="shared" si="2"/>
        <v>2022.09</v>
      </c>
      <c r="B330" s="1544">
        <v>331.99124516659782</v>
      </c>
    </row>
    <row r="331" spans="1:2">
      <c r="A331" s="1468">
        <f t="shared" si="2"/>
        <v>2022.1</v>
      </c>
      <c r="B331" s="1544">
        <v>327.52756573524027</v>
      </c>
    </row>
    <row r="332" spans="1:2">
      <c r="A332" s="1468">
        <f t="shared" si="2"/>
        <v>2022.11</v>
      </c>
      <c r="B332" s="1544">
        <v>330.72030696305183</v>
      </c>
    </row>
    <row r="333" spans="1:2">
      <c r="A333" s="1468">
        <f t="shared" si="2"/>
        <v>2022.12</v>
      </c>
      <c r="B333" s="1544">
        <v>321.86471131977271</v>
      </c>
    </row>
    <row r="334" spans="1:2">
      <c r="A334" s="1468">
        <f t="shared" si="2"/>
        <v>2023.01</v>
      </c>
      <c r="B334" s="1544">
        <v>328.33173490291182</v>
      </c>
    </row>
    <row r="335" spans="1:2">
      <c r="A335" s="1468">
        <f t="shared" si="2"/>
        <v>2023.02</v>
      </c>
      <c r="B335" s="1544">
        <v>326.22888868310531</v>
      </c>
    </row>
    <row r="336" spans="1:2">
      <c r="A336" s="1468">
        <f t="shared" si="2"/>
        <v>2023.03</v>
      </c>
      <c r="B336" s="1544">
        <v>314.06746807760652</v>
      </c>
    </row>
    <row r="337" spans="1:2">
      <c r="A337" s="1468">
        <f t="shared" si="2"/>
        <v>2023.04</v>
      </c>
      <c r="B337" s="1544">
        <v>311.35989114501768</v>
      </c>
    </row>
    <row r="338" spans="1:2">
      <c r="A338" s="1468">
        <f t="shared" si="2"/>
        <v>2023.05</v>
      </c>
      <c r="B338" s="1544">
        <v>292.10650844192952</v>
      </c>
    </row>
    <row r="339" spans="1:2">
      <c r="A339" s="1468">
        <f t="shared" si="2"/>
        <v>2023.06</v>
      </c>
      <c r="B339" s="1544">
        <v>298.14986921857968</v>
      </c>
    </row>
    <row r="340" spans="1:2">
      <c r="A340" s="1468">
        <f t="shared" si="2"/>
        <v>2023.07</v>
      </c>
      <c r="B340" s="1544">
        <v>308.33839385578051</v>
      </c>
    </row>
    <row r="341" spans="1:2">
      <c r="A341" s="1468">
        <f t="shared" si="2"/>
        <v>2023.08</v>
      </c>
      <c r="B341" s="1544">
        <v>298.84271502280228</v>
      </c>
    </row>
    <row r="342" spans="1:2">
      <c r="A342" s="1468">
        <f t="shared" si="2"/>
        <v>2023.09</v>
      </c>
      <c r="B342" s="1544">
        <v>291.62411071664201</v>
      </c>
    </row>
    <row r="343" spans="1:2">
      <c r="A343" s="1468">
        <f t="shared" si="2"/>
        <v>2023.1</v>
      </c>
      <c r="B343" s="1544">
        <v>284.98521170170051</v>
      </c>
    </row>
    <row r="344" spans="1:2">
      <c r="A344" s="1468">
        <f t="shared" si="2"/>
        <v>2023.11</v>
      </c>
      <c r="B344" s="1544">
        <v>287.6251053190125</v>
      </c>
    </row>
    <row r="345" spans="1:2">
      <c r="A345" s="1468">
        <f t="shared" si="2"/>
        <v>2023.12</v>
      </c>
      <c r="B345" s="1544">
        <v>279.91427855209469</v>
      </c>
    </row>
    <row r="346" spans="1:2">
      <c r="A346" s="1468">
        <f t="shared" ref="A346:A369" si="3">A334+1</f>
        <v>2024.01</v>
      </c>
      <c r="B346" s="1544">
        <v>267.94931298374217</v>
      </c>
    </row>
    <row r="347" spans="1:2">
      <c r="A347" s="1468">
        <f t="shared" si="3"/>
        <v>2024.02</v>
      </c>
      <c r="B347" s="1544">
        <v>262.26074427265729</v>
      </c>
    </row>
    <row r="348" spans="1:2">
      <c r="A348" s="1468">
        <f t="shared" si="3"/>
        <v>2024.03</v>
      </c>
      <c r="B348" s="1544">
        <v>261.70975067948808</v>
      </c>
    </row>
    <row r="349" spans="1:2">
      <c r="A349" s="1468">
        <f t="shared" si="3"/>
        <v>2024.04</v>
      </c>
      <c r="B349" s="1544">
        <v>264.13166608120753</v>
      </c>
    </row>
    <row r="350" spans="1:2">
      <c r="A350" s="1468">
        <f t="shared" si="3"/>
        <v>2024.05</v>
      </c>
      <c r="B350" s="1544">
        <v>270.8858623754428</v>
      </c>
    </row>
    <row r="351" spans="1:2">
      <c r="A351" s="1468">
        <f t="shared" si="3"/>
        <v>2024.06</v>
      </c>
      <c r="B351" s="1544">
        <v>268.28114036225372</v>
      </c>
    </row>
    <row r="352" spans="1:2">
      <c r="A352" s="1468">
        <f t="shared" si="3"/>
        <v>2024.07</v>
      </c>
      <c r="B352" s="1544">
        <v>262.56986951832391</v>
      </c>
    </row>
    <row r="353" spans="1:3">
      <c r="A353" s="1468">
        <f t="shared" si="3"/>
        <v>2024.08</v>
      </c>
      <c r="B353" s="1544">
        <v>249.59349999728721</v>
      </c>
      <c r="C353" s="1470"/>
    </row>
    <row r="354" spans="1:3">
      <c r="A354" s="1468">
        <f t="shared" si="3"/>
        <v>2024.09</v>
      </c>
      <c r="B354" s="1544">
        <v>250.08106916256099</v>
      </c>
      <c r="C354" s="1470"/>
    </row>
    <row r="355" spans="1:3">
      <c r="A355" s="1468">
        <f t="shared" si="3"/>
        <v>2024.1</v>
      </c>
      <c r="B355" s="1544">
        <v>256.96559724114621</v>
      </c>
      <c r="C355" s="1470"/>
    </row>
    <row r="356" spans="1:3">
      <c r="A356" s="1468">
        <f t="shared" si="3"/>
        <v>2024.11</v>
      </c>
      <c r="B356" s="1544">
        <v>249.72472246789579</v>
      </c>
      <c r="C356" s="1470"/>
    </row>
    <row r="357" spans="1:3">
      <c r="A357" s="1468">
        <f t="shared" si="3"/>
        <v>2024.12</v>
      </c>
      <c r="B357" s="1544">
        <v>245.38877767686509</v>
      </c>
      <c r="C357" s="1611"/>
    </row>
    <row r="358" spans="1:3">
      <c r="A358" s="1468">
        <f t="shared" si="3"/>
        <v>2025.01</v>
      </c>
      <c r="B358" s="1544">
        <v>255.13427855129191</v>
      </c>
      <c r="C358" s="1470"/>
    </row>
    <row r="359" spans="1:3">
      <c r="A359" s="1468">
        <f t="shared" si="3"/>
        <v>2025.02</v>
      </c>
      <c r="B359" s="1544">
        <v>256.62085543464002</v>
      </c>
      <c r="C359" s="1470"/>
    </row>
    <row r="360" spans="1:3">
      <c r="A360" s="1468">
        <f t="shared" si="3"/>
        <v>2025.03</v>
      </c>
      <c r="B360" s="1544">
        <v>248.85386187756029</v>
      </c>
      <c r="C360" s="1470"/>
    </row>
    <row r="361" spans="1:3">
      <c r="A361" s="1468">
        <f t="shared" si="3"/>
        <v>2025.04</v>
      </c>
      <c r="B361" s="1544">
        <v>253.11707276916309</v>
      </c>
      <c r="C361" s="1470"/>
    </row>
    <row r="362" spans="1:3">
      <c r="A362" s="1468">
        <f t="shared" si="3"/>
        <v>2025.05</v>
      </c>
      <c r="B362" s="1544">
        <v>251.0956782210007</v>
      </c>
      <c r="C362" s="1470"/>
    </row>
    <row r="363" spans="1:3">
      <c r="A363" s="1468">
        <f t="shared" si="3"/>
        <v>2025.06</v>
      </c>
      <c r="B363" s="1544">
        <v>254.55671286666899</v>
      </c>
      <c r="C363" s="1470"/>
    </row>
    <row r="364" spans="1:3">
      <c r="A364" s="1468">
        <f t="shared" si="3"/>
        <v>2025.07</v>
      </c>
      <c r="B364" s="1544">
        <v>251.79133222531399</v>
      </c>
      <c r="C364" s="1470"/>
    </row>
    <row r="365" spans="1:3">
      <c r="A365" s="1468">
        <f t="shared" si="3"/>
        <v>2025.08</v>
      </c>
      <c r="B365" s="1544">
        <v>252.533306876165</v>
      </c>
      <c r="C365" s="1470"/>
    </row>
    <row r="366" spans="1:3">
      <c r="A366" s="1468">
        <f t="shared" si="3"/>
        <v>2025.09</v>
      </c>
      <c r="B366" s="1544">
        <v>259.02138276862257</v>
      </c>
      <c r="C366" s="1470"/>
    </row>
    <row r="367" spans="1:3">
      <c r="A367" s="1468">
        <f t="shared" si="3"/>
        <v>2025.1</v>
      </c>
      <c r="B367" s="1544">
        <v>257.8356027722694</v>
      </c>
      <c r="C367" s="1470"/>
    </row>
    <row r="368" spans="1:3">
      <c r="A368" s="1468">
        <f t="shared" si="3"/>
        <v>2025.11</v>
      </c>
      <c r="B368" s="1544">
        <v>264.01299422331311</v>
      </c>
      <c r="C368" s="1470"/>
    </row>
    <row r="369" spans="1:2">
      <c r="A369" s="1468">
        <f t="shared" si="3"/>
        <v>2025.12</v>
      </c>
      <c r="B369" s="1544">
        <v>264.18177786808371</v>
      </c>
    </row>
    <row r="370" spans="1:2">
      <c r="A370" s="972">
        <v>2026.01</v>
      </c>
      <c r="B370" s="1544">
        <v>265.93639236729803</v>
      </c>
    </row>
    <row r="371" spans="1:2">
      <c r="A371" s="972">
        <v>2026.02</v>
      </c>
      <c r="B371" s="1544">
        <v>278.09340608608528</v>
      </c>
    </row>
    <row r="372" spans="1:2">
      <c r="A372" s="972">
        <v>2026.03</v>
      </c>
      <c r="B372" s="1544" t="e">
        <v>#N/A</v>
      </c>
    </row>
    <row r="373" spans="1:2">
      <c r="A373" s="972">
        <v>2026.04</v>
      </c>
      <c r="B373" s="1544" t="e">
        <v>#N/A</v>
      </c>
    </row>
    <row r="374" spans="1:2">
      <c r="A374" s="972">
        <v>2026.05</v>
      </c>
      <c r="B374" s="1544" t="e">
        <v>#N/A</v>
      </c>
    </row>
    <row r="375" spans="1:2">
      <c r="A375" s="972">
        <v>2026.06</v>
      </c>
      <c r="B375" s="1544" t="e">
        <v>#N/A</v>
      </c>
    </row>
    <row r="376" spans="1:2">
      <c r="A376" s="972">
        <v>2026.07</v>
      </c>
      <c r="B376" s="1544" t="e">
        <v>#N/A</v>
      </c>
    </row>
    <row r="377" spans="1:2">
      <c r="A377" s="972">
        <v>2026.08</v>
      </c>
      <c r="B377" s="1544" t="e">
        <v>#N/A</v>
      </c>
    </row>
    <row r="378" spans="1:2">
      <c r="A378" s="972">
        <v>2026.09</v>
      </c>
      <c r="B378" s="1544" t="e">
        <v>#N/A</v>
      </c>
    </row>
    <row r="379" spans="1:2">
      <c r="A379" s="972">
        <v>2026.1</v>
      </c>
      <c r="B379" s="1544" t="e">
        <v>#N/A</v>
      </c>
    </row>
    <row r="380" spans="1:2">
      <c r="A380" s="972">
        <v>2026.11</v>
      </c>
      <c r="B380" s="1544" t="e">
        <v>#N/A</v>
      </c>
    </row>
    <row r="381" spans="1:2">
      <c r="A381" s="972">
        <v>2026.12</v>
      </c>
      <c r="B381" s="1544" t="e">
        <v>#N/A</v>
      </c>
    </row>
    <row r="382" spans="1:2">
      <c r="A382" s="972">
        <v>2027.01</v>
      </c>
      <c r="B382" s="1544" t="e">
        <v>#N/A</v>
      </c>
    </row>
    <row r="383" spans="1:2">
      <c r="A383" s="972">
        <v>2027.02</v>
      </c>
      <c r="B383" s="1544" t="e">
        <v>#N/A</v>
      </c>
    </row>
    <row r="384" spans="1:2">
      <c r="A384" s="972">
        <v>2027.03</v>
      </c>
      <c r="B384" s="1544" t="e">
        <v>#N/A</v>
      </c>
    </row>
    <row r="385" spans="1:2">
      <c r="A385" s="972">
        <v>2027.04</v>
      </c>
      <c r="B385" s="1544" t="e">
        <v>#N/A</v>
      </c>
    </row>
    <row r="386" spans="1:2">
      <c r="A386" s="972">
        <v>2027.05</v>
      </c>
      <c r="B386" s="1544" t="e">
        <v>#N/A</v>
      </c>
    </row>
    <row r="387" spans="1:2">
      <c r="A387" s="972">
        <v>2027.06</v>
      </c>
      <c r="B387" s="1544" t="e">
        <v>#N/A</v>
      </c>
    </row>
    <row r="388" spans="1:2">
      <c r="A388" s="972">
        <v>2027.07</v>
      </c>
      <c r="B388" s="1544" t="e">
        <v>#N/A</v>
      </c>
    </row>
    <row r="389" spans="1:2">
      <c r="A389" s="972">
        <v>2027.08</v>
      </c>
      <c r="B389" s="1544" t="e">
        <v>#N/A</v>
      </c>
    </row>
    <row r="390" spans="1:2">
      <c r="A390" s="972">
        <v>2027.09</v>
      </c>
      <c r="B390" s="1544" t="e">
        <v>#N/A</v>
      </c>
    </row>
    <row r="391" spans="1:2">
      <c r="A391" s="972">
        <v>2027.1</v>
      </c>
      <c r="B391" s="1544" t="e">
        <v>#N/A</v>
      </c>
    </row>
    <row r="392" spans="1:2">
      <c r="A392" s="972">
        <v>2027.11</v>
      </c>
      <c r="B392" s="1544" t="e">
        <v>#N/A</v>
      </c>
    </row>
    <row r="393" spans="1:2">
      <c r="A393" s="972">
        <v>2027.12</v>
      </c>
      <c r="B393" s="1544" t="e">
        <v>#N/A</v>
      </c>
    </row>
    <row r="394" spans="1:2">
      <c r="A394" s="972">
        <v>2028.01</v>
      </c>
      <c r="B394" s="1544" t="e">
        <v>#N/A</v>
      </c>
    </row>
    <row r="395" spans="1:2">
      <c r="A395" s="972">
        <v>2028.02</v>
      </c>
      <c r="B395" s="1544" t="e">
        <v>#N/A</v>
      </c>
    </row>
    <row r="396" spans="1:2">
      <c r="A396" s="972">
        <v>2028.03</v>
      </c>
      <c r="B396" s="1544" t="e">
        <v>#N/A</v>
      </c>
    </row>
    <row r="397" spans="1:2">
      <c r="A397" s="972">
        <v>2028.04</v>
      </c>
      <c r="B397" s="1544" t="e">
        <v>#N/A</v>
      </c>
    </row>
    <row r="398" spans="1:2">
      <c r="A398" s="972">
        <v>2028.05</v>
      </c>
      <c r="B398" s="1544" t="e">
        <v>#N/A</v>
      </c>
    </row>
    <row r="399" spans="1:2">
      <c r="A399" s="972">
        <v>2028.06</v>
      </c>
      <c r="B399" s="1544" t="e">
        <v>#N/A</v>
      </c>
    </row>
    <row r="400" spans="1:2">
      <c r="A400" s="972">
        <v>2028.07</v>
      </c>
      <c r="B400" s="1544" t="e">
        <v>#N/A</v>
      </c>
    </row>
    <row r="401" spans="1:2">
      <c r="A401" s="972">
        <v>2028.08</v>
      </c>
      <c r="B401" s="1544" t="e">
        <v>#N/A</v>
      </c>
    </row>
    <row r="402" spans="1:2">
      <c r="A402" s="972">
        <v>2028.09</v>
      </c>
      <c r="B402" s="1544" t="e">
        <v>#N/A</v>
      </c>
    </row>
    <row r="403" spans="1:2">
      <c r="A403" s="972">
        <v>2028.1</v>
      </c>
      <c r="B403" s="1544" t="e">
        <v>#N/A</v>
      </c>
    </row>
    <row r="404" spans="1:2">
      <c r="A404" s="972">
        <v>2028.11</v>
      </c>
      <c r="B404" s="1544" t="e">
        <v>#N/A</v>
      </c>
    </row>
    <row r="405" spans="1:2">
      <c r="A405" s="972">
        <v>2028.12</v>
      </c>
      <c r="B405" s="1544" t="e">
        <v>#N/A</v>
      </c>
    </row>
    <row r="406" spans="1:2">
      <c r="A406" s="972">
        <v>2029.01</v>
      </c>
      <c r="B406" s="1544" t="e">
        <v>#N/A</v>
      </c>
    </row>
    <row r="407" spans="1:2">
      <c r="A407" s="972">
        <v>2029.02</v>
      </c>
      <c r="B407" s="1544" t="e">
        <v>#N/A</v>
      </c>
    </row>
    <row r="408" spans="1:2">
      <c r="A408" s="972">
        <v>2029.03</v>
      </c>
      <c r="B408" s="1544" t="e">
        <v>#N/A</v>
      </c>
    </row>
    <row r="409" spans="1:2">
      <c r="A409" s="972">
        <v>2029.04</v>
      </c>
      <c r="B409" s="1544" t="e">
        <v>#N/A</v>
      </c>
    </row>
    <row r="410" spans="1:2">
      <c r="A410" s="972">
        <v>2029.05</v>
      </c>
      <c r="B410" s="1544" t="e">
        <v>#N/A</v>
      </c>
    </row>
    <row r="411" spans="1:2">
      <c r="A411" s="972">
        <v>2029.06</v>
      </c>
      <c r="B411" s="1544" t="e">
        <v>#N/A</v>
      </c>
    </row>
    <row r="412" spans="1:2">
      <c r="A412" s="972">
        <v>2029.07</v>
      </c>
      <c r="B412" s="1544" t="e">
        <v>#N/A</v>
      </c>
    </row>
    <row r="413" spans="1:2">
      <c r="A413" s="972">
        <v>2029.08</v>
      </c>
      <c r="B413" s="1544" t="e">
        <v>#N/A</v>
      </c>
    </row>
    <row r="414" spans="1:2">
      <c r="A414" s="972">
        <v>2029.09</v>
      </c>
      <c r="B414" s="1544" t="e">
        <v>#N/A</v>
      </c>
    </row>
    <row r="415" spans="1:2">
      <c r="A415" s="972">
        <v>2029.1</v>
      </c>
      <c r="B415" s="1544" t="e">
        <v>#N/A</v>
      </c>
    </row>
    <row r="416" spans="1:2">
      <c r="A416" s="972">
        <v>2029.11</v>
      </c>
      <c r="B416" s="1544" t="e">
        <v>#N/A</v>
      </c>
    </row>
    <row r="417" spans="1:2">
      <c r="A417" s="972">
        <v>2029.12</v>
      </c>
      <c r="B417" s="1544" t="e">
        <v>#N/A</v>
      </c>
    </row>
    <row r="418" spans="1:2">
      <c r="A418" s="972">
        <v>2030.01</v>
      </c>
      <c r="B418" s="1544" t="e">
        <v>#N/A</v>
      </c>
    </row>
    <row r="419" spans="1:2">
      <c r="A419" s="972">
        <v>2030.02</v>
      </c>
      <c r="B419" s="1544" t="e">
        <v>#N/A</v>
      </c>
    </row>
    <row r="420" spans="1:2">
      <c r="A420" s="972">
        <v>2030.03</v>
      </c>
      <c r="B420" s="1544" t="e">
        <v>#N/A</v>
      </c>
    </row>
    <row r="421" spans="1:2">
      <c r="A421" s="972">
        <v>2030.04</v>
      </c>
      <c r="B421" s="1544" t="e">
        <v>#N/A</v>
      </c>
    </row>
    <row r="422" spans="1:2">
      <c r="A422" s="972">
        <v>2030.05</v>
      </c>
      <c r="B422" s="1544" t="e">
        <v>#N/A</v>
      </c>
    </row>
    <row r="423" spans="1:2">
      <c r="A423" s="972">
        <v>2030.06</v>
      </c>
      <c r="B423" s="1544" t="e">
        <v>#N/A</v>
      </c>
    </row>
    <row r="424" spans="1:2">
      <c r="A424" s="972">
        <v>2030.07</v>
      </c>
      <c r="B424" s="1544" t="e">
        <v>#N/A</v>
      </c>
    </row>
    <row r="425" spans="1:2">
      <c r="A425" s="972">
        <v>2030.08</v>
      </c>
      <c r="B425" s="1544" t="e">
        <v>#N/A</v>
      </c>
    </row>
    <row r="426" spans="1:2">
      <c r="A426" s="972">
        <v>2030.09</v>
      </c>
      <c r="B426" s="1544" t="e">
        <v>#N/A</v>
      </c>
    </row>
    <row r="427" spans="1:2">
      <c r="A427" s="972">
        <v>2030.1</v>
      </c>
      <c r="B427" s="1544" t="e">
        <v>#N/A</v>
      </c>
    </row>
    <row r="428" spans="1:2">
      <c r="A428" s="972">
        <v>2030.11</v>
      </c>
      <c r="B428" s="1544" t="e">
        <v>#N/A</v>
      </c>
    </row>
    <row r="429" spans="1:2">
      <c r="A429" s="972">
        <v>2030.12</v>
      </c>
      <c r="B429" s="1544" t="e">
        <v>#N/A</v>
      </c>
    </row>
  </sheetData>
  <hyperlinks>
    <hyperlink ref="A1:A3" location="Indice!A1" display="ÍNDICE" xr:uid="{00000000-0004-0000-3800-000000000000}"/>
    <hyperlink ref="A5" location="INDICE!A13" display="VOLVER AL INDICE" xr:uid="{00000000-0004-0000-3800-000001000000}"/>
  </hyperlinks>
  <printOptions gridLines="1" gridLinesSet="0"/>
  <pageMargins left="0.75" right="0.75" top="1" bottom="1" header="0.511811024" footer="0.511811024"/>
  <pageSetup paperSize="256" orientation="landscape" horizontalDpi="180" verticalDpi="180" copies="3" r:id="rId1"/>
  <headerFooter alignWithMargins="0">
    <oddHeader>&amp;A</oddHeader>
    <oddFooter>Página &amp;P</odd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44"/>
  <dimension ref="A1:K501"/>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2.5703125" defaultRowHeight="12.75"/>
  <cols>
    <col min="1" max="11" width="11" style="84" customWidth="1"/>
    <col min="12" max="16384" width="12.5703125" style="18"/>
  </cols>
  <sheetData>
    <row r="1" spans="1:11" s="16" customFormat="1" ht="3.75" customHeight="1">
      <c r="A1" s="2761"/>
      <c r="B1" s="1453"/>
      <c r="C1" s="1545"/>
      <c r="D1" s="1545"/>
      <c r="E1" s="1545"/>
      <c r="F1" s="1545"/>
      <c r="G1" s="1545"/>
      <c r="H1" s="1545"/>
      <c r="I1" s="1545"/>
      <c r="J1" s="1545"/>
      <c r="K1" s="1456"/>
    </row>
    <row r="2" spans="1:11" s="16" customFormat="1">
      <c r="A2" s="2762" t="s">
        <v>99</v>
      </c>
      <c r="B2" s="3089" t="s">
        <v>1908</v>
      </c>
      <c r="C2" s="3091"/>
      <c r="D2" s="3149"/>
      <c r="E2" s="3090"/>
      <c r="F2" s="3091"/>
      <c r="G2" s="3091"/>
      <c r="H2" s="3091"/>
      <c r="I2" s="3149"/>
      <c r="J2" s="3090"/>
      <c r="K2" s="1870"/>
    </row>
    <row r="3" spans="1:11" s="16" customFormat="1">
      <c r="A3" s="2762" t="s">
        <v>104</v>
      </c>
      <c r="B3" s="189" t="s">
        <v>122</v>
      </c>
      <c r="C3" s="1459"/>
      <c r="D3" s="85"/>
      <c r="E3" s="3150"/>
      <c r="F3" s="1459"/>
      <c r="G3" s="1459"/>
      <c r="H3" s="1459"/>
      <c r="I3" s="85"/>
      <c r="J3" s="3150"/>
      <c r="K3" s="297"/>
    </row>
    <row r="4" spans="1:11" s="16" customFormat="1" ht="2.25" hidden="1" customHeight="1">
      <c r="A4" s="2762"/>
      <c r="B4" s="86"/>
      <c r="C4" s="109"/>
      <c r="D4" s="109"/>
      <c r="E4" s="109"/>
      <c r="F4" s="109"/>
      <c r="G4" s="109"/>
      <c r="H4" s="109"/>
      <c r="I4" s="109"/>
      <c r="J4" s="109"/>
      <c r="K4" s="87"/>
    </row>
    <row r="5" spans="1:11" s="16" customFormat="1" ht="22.5">
      <c r="A5" s="2867" t="s">
        <v>140</v>
      </c>
      <c r="B5" s="377" t="s">
        <v>1909</v>
      </c>
      <c r="C5" s="246"/>
      <c r="D5" s="1546"/>
      <c r="E5" s="3151" t="s">
        <v>1910</v>
      </c>
      <c r="F5" s="246"/>
      <c r="G5" s="3151" t="s">
        <v>1911</v>
      </c>
      <c r="H5" s="246"/>
      <c r="I5" s="1546"/>
      <c r="J5" s="3151" t="s">
        <v>1912</v>
      </c>
      <c r="K5" s="1547"/>
    </row>
    <row r="6" spans="1:11" s="16" customFormat="1" ht="2.25" hidden="1" customHeight="1">
      <c r="A6" s="2762"/>
      <c r="B6" s="86"/>
      <c r="C6" s="109"/>
      <c r="D6" s="109"/>
      <c r="E6" s="3152"/>
      <c r="F6" s="109"/>
      <c r="G6" s="109"/>
      <c r="H6" s="109"/>
      <c r="I6" s="109"/>
      <c r="J6" s="3152"/>
      <c r="K6" s="87"/>
    </row>
    <row r="7" spans="1:11" s="16" customFormat="1" ht="22.5">
      <c r="A7" s="2762" t="s">
        <v>125</v>
      </c>
      <c r="B7" s="377" t="s">
        <v>1913</v>
      </c>
      <c r="C7" s="673" t="s">
        <v>1914</v>
      </c>
      <c r="D7" s="246" t="s">
        <v>1915</v>
      </c>
      <c r="E7" s="3151" t="s">
        <v>1913</v>
      </c>
      <c r="F7" s="2097" t="s">
        <v>1916</v>
      </c>
      <c r="G7" s="3151" t="s">
        <v>1913</v>
      </c>
      <c r="H7" s="673" t="s">
        <v>1917</v>
      </c>
      <c r="I7" s="246" t="s">
        <v>1915</v>
      </c>
      <c r="J7" s="3151" t="s">
        <v>1913</v>
      </c>
      <c r="K7" s="2098" t="s">
        <v>1918</v>
      </c>
    </row>
    <row r="8" spans="1:11" s="16" customFormat="1" ht="13.5" customHeight="1">
      <c r="A8" s="3002" t="s">
        <v>144</v>
      </c>
      <c r="B8" s="1750" t="s">
        <v>1919</v>
      </c>
      <c r="C8" s="2157" t="s">
        <v>1920</v>
      </c>
      <c r="D8" s="1751" t="s">
        <v>1921</v>
      </c>
      <c r="E8" s="2797" t="s">
        <v>1922</v>
      </c>
      <c r="F8" s="2210" t="s">
        <v>1923</v>
      </c>
      <c r="G8" s="2797" t="s">
        <v>1924</v>
      </c>
      <c r="H8" s="2157" t="s">
        <v>1925</v>
      </c>
      <c r="I8" s="1751" t="s">
        <v>1926</v>
      </c>
      <c r="J8" s="2797" t="s">
        <v>1927</v>
      </c>
      <c r="K8" s="2166" t="s">
        <v>1928</v>
      </c>
    </row>
    <row r="9" spans="1:11" s="17" customFormat="1" ht="13.5" thickBot="1">
      <c r="A9" s="2140"/>
      <c r="B9" s="1463"/>
      <c r="C9" s="1465"/>
      <c r="D9" s="1686"/>
      <c r="E9" s="1464"/>
      <c r="F9" s="1687"/>
      <c r="G9" s="1464"/>
      <c r="H9" s="1465"/>
      <c r="I9" s="1686"/>
      <c r="J9" s="1464"/>
      <c r="K9" s="1688"/>
    </row>
    <row r="10" spans="1:11">
      <c r="A10" s="1689">
        <v>1990.01</v>
      </c>
      <c r="B10" s="1690">
        <v>2000</v>
      </c>
      <c r="C10" s="1691">
        <v>34.799999999999997</v>
      </c>
      <c r="D10" s="1692"/>
      <c r="E10" s="1693">
        <v>750</v>
      </c>
      <c r="F10" s="1694">
        <v>8.6</v>
      </c>
      <c r="G10" s="1695">
        <v>750</v>
      </c>
      <c r="H10" s="1696">
        <v>1412</v>
      </c>
      <c r="I10" s="1692"/>
      <c r="J10" s="1693">
        <v>250</v>
      </c>
      <c r="K10" s="1697">
        <v>400</v>
      </c>
    </row>
    <row r="11" spans="1:11">
      <c r="A11" s="1548">
        <v>1990.02</v>
      </c>
      <c r="B11" s="1550">
        <v>2000</v>
      </c>
      <c r="C11" s="3705">
        <v>32.700000000000003</v>
      </c>
      <c r="D11" s="1549"/>
      <c r="E11" s="1551">
        <v>750</v>
      </c>
      <c r="F11" s="1552">
        <v>9.1999999999999993</v>
      </c>
      <c r="G11" s="1551">
        <v>750</v>
      </c>
      <c r="H11" s="3706">
        <v>1838</v>
      </c>
      <c r="I11" s="1549"/>
      <c r="J11" s="1551">
        <v>250</v>
      </c>
      <c r="K11" s="3153">
        <v>583</v>
      </c>
    </row>
    <row r="12" spans="1:11">
      <c r="A12" s="1548">
        <v>1990.03</v>
      </c>
      <c r="B12" s="1550">
        <v>2000</v>
      </c>
      <c r="C12" s="3705">
        <v>30.6</v>
      </c>
      <c r="D12" s="1549"/>
      <c r="E12" s="1551">
        <v>750</v>
      </c>
      <c r="F12" s="1552">
        <v>9.8000000000000007</v>
      </c>
      <c r="G12" s="1551">
        <v>750</v>
      </c>
      <c r="H12" s="3706">
        <v>1361</v>
      </c>
      <c r="I12" s="1549"/>
      <c r="J12" s="1551">
        <v>250</v>
      </c>
      <c r="K12" s="3153">
        <v>422</v>
      </c>
    </row>
    <row r="13" spans="1:11">
      <c r="A13" s="1548">
        <v>1990.04</v>
      </c>
      <c r="B13" s="1550">
        <v>2000</v>
      </c>
      <c r="C13" s="3705">
        <v>28.3</v>
      </c>
      <c r="D13" s="1549"/>
      <c r="E13" s="1551">
        <v>750</v>
      </c>
      <c r="F13" s="1552">
        <v>8.3000000000000007</v>
      </c>
      <c r="G13" s="1551">
        <v>750</v>
      </c>
      <c r="H13" s="3706">
        <v>1523</v>
      </c>
      <c r="I13" s="1549"/>
      <c r="J13" s="1551">
        <v>250</v>
      </c>
      <c r="K13" s="3153">
        <v>486</v>
      </c>
    </row>
    <row r="14" spans="1:11">
      <c r="A14" s="1548">
        <v>1990.05</v>
      </c>
      <c r="B14" s="1550">
        <v>2100</v>
      </c>
      <c r="C14" s="3705">
        <v>27.1</v>
      </c>
      <c r="D14" s="1549"/>
      <c r="E14" s="1551">
        <v>800</v>
      </c>
      <c r="F14" s="1552">
        <v>6.9</v>
      </c>
      <c r="G14" s="1551">
        <v>800</v>
      </c>
      <c r="H14" s="3706">
        <v>1633</v>
      </c>
      <c r="I14" s="1549"/>
      <c r="J14" s="1551">
        <v>270</v>
      </c>
      <c r="K14" s="3153">
        <v>529</v>
      </c>
    </row>
    <row r="15" spans="1:11">
      <c r="A15" s="1548">
        <v>1990.06</v>
      </c>
      <c r="B15" s="1550">
        <v>2000</v>
      </c>
      <c r="C15" s="3705">
        <v>24.4</v>
      </c>
      <c r="D15" s="1549"/>
      <c r="E15" s="1551">
        <v>750</v>
      </c>
      <c r="F15" s="1552">
        <v>6.4</v>
      </c>
      <c r="G15" s="1551">
        <v>750</v>
      </c>
      <c r="H15" s="3706">
        <v>1339</v>
      </c>
      <c r="I15" s="1549"/>
      <c r="J15" s="1551">
        <v>260</v>
      </c>
      <c r="K15" s="3153">
        <v>433</v>
      </c>
    </row>
    <row r="16" spans="1:11">
      <c r="A16" s="1548">
        <v>1990.07</v>
      </c>
      <c r="B16" s="1550">
        <v>2000</v>
      </c>
      <c r="C16" s="3705">
        <v>21.8</v>
      </c>
      <c r="D16" s="1549"/>
      <c r="E16" s="1551">
        <v>750</v>
      </c>
      <c r="F16" s="1552">
        <v>6.2</v>
      </c>
      <c r="G16" s="1551">
        <v>750</v>
      </c>
      <c r="H16" s="3706">
        <v>1371</v>
      </c>
      <c r="I16" s="1549"/>
      <c r="J16" s="1551">
        <v>260</v>
      </c>
      <c r="K16" s="3153">
        <v>459</v>
      </c>
    </row>
    <row r="17" spans="1:11">
      <c r="A17" s="1548">
        <v>1990.08</v>
      </c>
      <c r="B17" s="1550">
        <v>1900</v>
      </c>
      <c r="C17" s="3705">
        <v>22</v>
      </c>
      <c r="D17" s="1549"/>
      <c r="E17" s="1551">
        <v>720</v>
      </c>
      <c r="F17" s="1552">
        <v>5.5</v>
      </c>
      <c r="G17" s="1551">
        <v>720</v>
      </c>
      <c r="H17" s="3706">
        <v>1006</v>
      </c>
      <c r="I17" s="1549"/>
      <c r="J17" s="1551">
        <v>250</v>
      </c>
      <c r="K17" s="3153">
        <v>341</v>
      </c>
    </row>
    <row r="18" spans="1:11">
      <c r="A18" s="1548">
        <v>1990.09</v>
      </c>
      <c r="B18" s="1550">
        <v>2000</v>
      </c>
      <c r="C18" s="3705">
        <v>22.2</v>
      </c>
      <c r="D18" s="1549"/>
      <c r="E18" s="1551">
        <v>750</v>
      </c>
      <c r="F18" s="1552">
        <v>5.6</v>
      </c>
      <c r="G18" s="1551">
        <v>750</v>
      </c>
      <c r="H18" s="3706">
        <v>1064</v>
      </c>
      <c r="I18" s="1549"/>
      <c r="J18" s="1551">
        <v>260</v>
      </c>
      <c r="K18" s="3153">
        <v>345</v>
      </c>
    </row>
    <row r="19" spans="1:11">
      <c r="A19" s="1548">
        <v>1990.1</v>
      </c>
      <c r="B19" s="1550">
        <v>2100</v>
      </c>
      <c r="C19" s="3705">
        <v>23.5</v>
      </c>
      <c r="D19" s="1549"/>
      <c r="E19" s="1551">
        <v>800</v>
      </c>
      <c r="F19" s="1552">
        <v>5.8</v>
      </c>
      <c r="G19" s="1551">
        <v>800</v>
      </c>
      <c r="H19" s="3706">
        <v>1169</v>
      </c>
      <c r="I19" s="1549"/>
      <c r="J19" s="1551">
        <v>300</v>
      </c>
      <c r="K19" s="3153">
        <v>417</v>
      </c>
    </row>
    <row r="20" spans="1:11">
      <c r="A20" s="1548">
        <v>1990.11</v>
      </c>
      <c r="B20" s="1550">
        <v>2300</v>
      </c>
      <c r="C20" s="3705">
        <v>24.9</v>
      </c>
      <c r="D20" s="1549"/>
      <c r="E20" s="1551">
        <v>830</v>
      </c>
      <c r="F20" s="1552">
        <v>5.4</v>
      </c>
      <c r="G20" s="1551">
        <v>850</v>
      </c>
      <c r="H20" s="3706">
        <v>1237</v>
      </c>
      <c r="I20" s="1549"/>
      <c r="J20" s="1551">
        <v>320</v>
      </c>
      <c r="K20" s="3153">
        <v>454</v>
      </c>
    </row>
    <row r="21" spans="1:11">
      <c r="A21" s="1548">
        <v>1990.12</v>
      </c>
      <c r="B21" s="1550">
        <v>2300</v>
      </c>
      <c r="C21" s="3705">
        <v>23.8</v>
      </c>
      <c r="D21" s="1549"/>
      <c r="E21" s="1551">
        <v>750</v>
      </c>
      <c r="F21" s="1552">
        <v>11.5</v>
      </c>
      <c r="G21" s="1551">
        <v>850</v>
      </c>
      <c r="H21" s="3706">
        <v>1234</v>
      </c>
      <c r="I21" s="1549"/>
      <c r="J21" s="1551">
        <v>320</v>
      </c>
      <c r="K21" s="3153">
        <v>452</v>
      </c>
    </row>
    <row r="22" spans="1:11">
      <c r="A22" s="1548">
        <v>1991.01</v>
      </c>
      <c r="B22" s="1550">
        <v>2200</v>
      </c>
      <c r="C22" s="3705">
        <v>22.2</v>
      </c>
      <c r="D22" s="1549"/>
      <c r="E22" s="1551">
        <v>700</v>
      </c>
      <c r="F22" s="1552">
        <v>11.6</v>
      </c>
      <c r="G22" s="1551">
        <v>800</v>
      </c>
      <c r="H22" s="3706">
        <v>1337</v>
      </c>
      <c r="I22" s="1549"/>
      <c r="J22" s="1551">
        <v>300</v>
      </c>
      <c r="K22" s="3153">
        <v>488</v>
      </c>
    </row>
    <row r="23" spans="1:11">
      <c r="A23" s="1548">
        <v>1991.02</v>
      </c>
      <c r="B23" s="1550">
        <v>2100</v>
      </c>
      <c r="C23" s="3705">
        <v>23.3</v>
      </c>
      <c r="D23" s="1549"/>
      <c r="E23" s="1551">
        <v>680</v>
      </c>
      <c r="F23" s="1552">
        <v>11.8</v>
      </c>
      <c r="G23" s="1551">
        <v>770</v>
      </c>
      <c r="H23" s="3706">
        <v>1208</v>
      </c>
      <c r="I23" s="1549"/>
      <c r="J23" s="1551">
        <v>280</v>
      </c>
      <c r="K23" s="3153">
        <v>425</v>
      </c>
    </row>
    <row r="24" spans="1:11">
      <c r="A24" s="1548">
        <v>1991.03</v>
      </c>
      <c r="B24" s="1550">
        <v>2100</v>
      </c>
      <c r="C24" s="3705">
        <v>28.5</v>
      </c>
      <c r="D24" s="1549"/>
      <c r="E24" s="1551">
        <v>680</v>
      </c>
      <c r="F24" s="1552">
        <v>9</v>
      </c>
      <c r="G24" s="1551">
        <v>770</v>
      </c>
      <c r="H24" s="3706">
        <v>1152</v>
      </c>
      <c r="I24" s="1549"/>
      <c r="J24" s="1551">
        <v>280</v>
      </c>
      <c r="K24" s="3153">
        <v>412</v>
      </c>
    </row>
    <row r="25" spans="1:11">
      <c r="A25" s="1548">
        <v>1991.04</v>
      </c>
      <c r="B25" s="1550">
        <v>2200</v>
      </c>
      <c r="C25" s="3705">
        <v>27.2</v>
      </c>
      <c r="D25" s="1549"/>
      <c r="E25" s="1551">
        <v>700</v>
      </c>
      <c r="F25" s="1552">
        <v>8.8000000000000007</v>
      </c>
      <c r="G25" s="1551">
        <v>800</v>
      </c>
      <c r="H25" s="3706">
        <v>1333</v>
      </c>
      <c r="I25" s="1549"/>
      <c r="J25" s="1551">
        <v>300</v>
      </c>
      <c r="K25" s="3153">
        <v>492</v>
      </c>
    </row>
    <row r="26" spans="1:11">
      <c r="A26" s="1548">
        <v>1991.05</v>
      </c>
      <c r="B26" s="1550">
        <v>2300</v>
      </c>
      <c r="C26" s="3705">
        <v>26.7</v>
      </c>
      <c r="D26" s="1549"/>
      <c r="E26" s="1551">
        <v>750</v>
      </c>
      <c r="F26" s="1552">
        <v>7</v>
      </c>
      <c r="G26" s="1551">
        <v>850</v>
      </c>
      <c r="H26" s="3706">
        <v>1417</v>
      </c>
      <c r="I26" s="1549"/>
      <c r="J26" s="1551">
        <v>320</v>
      </c>
      <c r="K26" s="3153">
        <v>516</v>
      </c>
    </row>
    <row r="27" spans="1:11">
      <c r="A27" s="1548">
        <v>1991.06</v>
      </c>
      <c r="B27" s="1550">
        <v>2300</v>
      </c>
      <c r="C27" s="3705">
        <v>26</v>
      </c>
      <c r="D27" s="1549"/>
      <c r="E27" s="1551">
        <v>800</v>
      </c>
      <c r="F27" s="1552">
        <v>8.4</v>
      </c>
      <c r="G27" s="1551">
        <v>850</v>
      </c>
      <c r="H27" s="3706">
        <v>1250</v>
      </c>
      <c r="I27" s="1549"/>
      <c r="J27" s="1551">
        <v>320</v>
      </c>
      <c r="K27" s="3153">
        <v>485</v>
      </c>
    </row>
    <row r="28" spans="1:11">
      <c r="A28" s="1548">
        <v>1991.07</v>
      </c>
      <c r="B28" s="1550">
        <v>2200</v>
      </c>
      <c r="C28" s="3705">
        <v>24.9</v>
      </c>
      <c r="D28" s="1549"/>
      <c r="E28" s="1551">
        <v>800</v>
      </c>
      <c r="F28" s="1552">
        <v>8.5</v>
      </c>
      <c r="G28" s="1551">
        <v>850</v>
      </c>
      <c r="H28" s="3706">
        <v>1012</v>
      </c>
      <c r="I28" s="1549"/>
      <c r="J28" s="1551">
        <v>340</v>
      </c>
      <c r="K28" s="3153">
        <v>453</v>
      </c>
    </row>
    <row r="29" spans="1:11">
      <c r="A29" s="1548">
        <v>1991.08</v>
      </c>
      <c r="B29" s="1550">
        <v>2200</v>
      </c>
      <c r="C29" s="3705">
        <v>23.3</v>
      </c>
      <c r="D29" s="1549"/>
      <c r="E29" s="1551">
        <v>800</v>
      </c>
      <c r="F29" s="1552">
        <v>8.9</v>
      </c>
      <c r="G29" s="1551">
        <v>850</v>
      </c>
      <c r="H29" s="3706">
        <v>1012</v>
      </c>
      <c r="I29" s="1549"/>
      <c r="J29" s="1551">
        <v>340</v>
      </c>
      <c r="K29" s="3153">
        <v>453</v>
      </c>
    </row>
    <row r="30" spans="1:11">
      <c r="A30" s="1548">
        <v>1991.09</v>
      </c>
      <c r="B30" s="1550">
        <v>2400</v>
      </c>
      <c r="C30" s="3705">
        <v>24.5</v>
      </c>
      <c r="D30" s="1549"/>
      <c r="E30" s="1551">
        <v>800</v>
      </c>
      <c r="F30" s="1552">
        <v>8.8000000000000007</v>
      </c>
      <c r="G30" s="1551">
        <v>920</v>
      </c>
      <c r="H30" s="3706">
        <v>1070</v>
      </c>
      <c r="I30" s="1549"/>
      <c r="J30" s="1551">
        <v>380</v>
      </c>
      <c r="K30" s="3153">
        <v>475</v>
      </c>
    </row>
    <row r="31" spans="1:11">
      <c r="A31" s="1548">
        <v>1991.1</v>
      </c>
      <c r="B31" s="1550">
        <v>2500</v>
      </c>
      <c r="C31" s="3705">
        <v>25.3</v>
      </c>
      <c r="D31" s="1549"/>
      <c r="E31" s="1551">
        <v>850</v>
      </c>
      <c r="F31" s="1552">
        <v>9.1999999999999993</v>
      </c>
      <c r="G31" s="1551">
        <v>950</v>
      </c>
      <c r="H31" s="3706">
        <v>1033</v>
      </c>
      <c r="I31" s="1549"/>
      <c r="J31" s="1551">
        <v>400</v>
      </c>
      <c r="K31" s="3153">
        <v>444</v>
      </c>
    </row>
    <row r="32" spans="1:11">
      <c r="A32" s="1548">
        <v>1991.11</v>
      </c>
      <c r="B32" s="1550">
        <v>2500</v>
      </c>
      <c r="C32" s="3705">
        <v>20</v>
      </c>
      <c r="D32" s="1549"/>
      <c r="E32" s="1551">
        <v>900</v>
      </c>
      <c r="F32" s="1552">
        <v>8.6999999999999993</v>
      </c>
      <c r="G32" s="1551">
        <v>950</v>
      </c>
      <c r="H32" s="3706">
        <v>1033</v>
      </c>
      <c r="I32" s="1549"/>
      <c r="J32" s="1551">
        <v>400</v>
      </c>
      <c r="K32" s="3153">
        <v>440</v>
      </c>
    </row>
    <row r="33" spans="1:11">
      <c r="A33" s="1548">
        <v>1991.12</v>
      </c>
      <c r="B33" s="1550">
        <v>2500</v>
      </c>
      <c r="C33" s="3705">
        <v>21.4</v>
      </c>
      <c r="D33" s="1549"/>
      <c r="E33" s="1551">
        <v>900</v>
      </c>
      <c r="F33" s="1552">
        <v>9.5</v>
      </c>
      <c r="G33" s="1551">
        <v>950</v>
      </c>
      <c r="H33" s="3706">
        <v>1118</v>
      </c>
      <c r="I33" s="1549"/>
      <c r="J33" s="1551">
        <v>400</v>
      </c>
      <c r="K33" s="3153">
        <v>465</v>
      </c>
    </row>
    <row r="34" spans="1:11">
      <c r="A34" s="1548">
        <v>1992.01</v>
      </c>
      <c r="B34" s="1550">
        <v>2500</v>
      </c>
      <c r="C34" s="3705">
        <v>23.8</v>
      </c>
      <c r="D34" s="1549"/>
      <c r="E34" s="1551">
        <v>900</v>
      </c>
      <c r="F34" s="1552">
        <v>8.5</v>
      </c>
      <c r="G34" s="1551">
        <v>950</v>
      </c>
      <c r="H34" s="3706">
        <v>1080</v>
      </c>
      <c r="I34" s="1549"/>
      <c r="J34" s="1551">
        <v>400</v>
      </c>
      <c r="K34" s="3153">
        <v>444</v>
      </c>
    </row>
    <row r="35" spans="1:11">
      <c r="A35" s="1548">
        <v>1992.02</v>
      </c>
      <c r="B35" s="1550">
        <v>2500</v>
      </c>
      <c r="C35" s="3705">
        <v>26.3</v>
      </c>
      <c r="D35" s="1549"/>
      <c r="E35" s="1551">
        <v>900</v>
      </c>
      <c r="F35" s="1552">
        <v>7.6</v>
      </c>
      <c r="G35" s="1551">
        <v>950</v>
      </c>
      <c r="H35" s="3706">
        <v>1022</v>
      </c>
      <c r="I35" s="1549"/>
      <c r="J35" s="1551">
        <v>400</v>
      </c>
      <c r="K35" s="3153">
        <v>400</v>
      </c>
    </row>
    <row r="36" spans="1:11">
      <c r="A36" s="1548">
        <v>1992.03</v>
      </c>
      <c r="B36" s="1550">
        <v>2700</v>
      </c>
      <c r="C36" s="3705">
        <v>28.5</v>
      </c>
      <c r="D36" s="1549"/>
      <c r="E36" s="1551">
        <v>900</v>
      </c>
      <c r="F36" s="1552">
        <v>7.2</v>
      </c>
      <c r="G36" s="1551">
        <v>1000</v>
      </c>
      <c r="H36" s="3706">
        <v>1020</v>
      </c>
      <c r="I36" s="1549"/>
      <c r="J36" s="1551">
        <v>450</v>
      </c>
      <c r="K36" s="3153">
        <v>409</v>
      </c>
    </row>
    <row r="37" spans="1:11">
      <c r="A37" s="1548">
        <v>1992.04</v>
      </c>
      <c r="B37" s="1550">
        <v>2700</v>
      </c>
      <c r="C37" s="3705">
        <v>31</v>
      </c>
      <c r="D37" s="1549"/>
      <c r="E37" s="1551">
        <v>900</v>
      </c>
      <c r="F37" s="1552">
        <v>8</v>
      </c>
      <c r="G37" s="1551">
        <v>1000</v>
      </c>
      <c r="H37" s="3706">
        <v>1031</v>
      </c>
      <c r="I37" s="1549"/>
      <c r="J37" s="1551">
        <v>450</v>
      </c>
      <c r="K37" s="3153">
        <v>429</v>
      </c>
    </row>
    <row r="38" spans="1:11">
      <c r="A38" s="1548">
        <v>1992.05</v>
      </c>
      <c r="B38" s="1550">
        <v>2700</v>
      </c>
      <c r="C38" s="3705">
        <v>32.299999999999997</v>
      </c>
      <c r="D38" s="1549"/>
      <c r="E38" s="1551">
        <v>900</v>
      </c>
      <c r="F38" s="1552">
        <v>8</v>
      </c>
      <c r="G38" s="1551">
        <v>1000</v>
      </c>
      <c r="H38" s="3706">
        <v>1075</v>
      </c>
      <c r="I38" s="1549"/>
      <c r="J38" s="1551">
        <v>450</v>
      </c>
      <c r="K38" s="3153">
        <v>450</v>
      </c>
    </row>
    <row r="39" spans="1:11">
      <c r="A39" s="1548">
        <v>1992.06</v>
      </c>
      <c r="B39" s="1550">
        <v>2700</v>
      </c>
      <c r="C39" s="3705">
        <v>29</v>
      </c>
      <c r="D39" s="1549"/>
      <c r="E39" s="1551">
        <v>1000</v>
      </c>
      <c r="F39" s="1552">
        <v>8.8000000000000007</v>
      </c>
      <c r="G39" s="1551">
        <v>1000</v>
      </c>
      <c r="H39" s="3706">
        <v>1087</v>
      </c>
      <c r="I39" s="1549"/>
      <c r="J39" s="1551">
        <v>480</v>
      </c>
      <c r="K39" s="3153">
        <v>505</v>
      </c>
    </row>
    <row r="40" spans="1:11">
      <c r="A40" s="1548">
        <v>1992.07</v>
      </c>
      <c r="B40" s="1550">
        <v>2700</v>
      </c>
      <c r="C40" s="3705">
        <v>28.1</v>
      </c>
      <c r="D40" s="1549"/>
      <c r="E40" s="1551">
        <v>1000</v>
      </c>
      <c r="F40" s="1552">
        <v>8</v>
      </c>
      <c r="G40" s="1551">
        <v>1000</v>
      </c>
      <c r="H40" s="3706">
        <v>1075</v>
      </c>
      <c r="I40" s="1549"/>
      <c r="J40" s="1551">
        <v>480</v>
      </c>
      <c r="K40" s="3153">
        <v>500</v>
      </c>
    </row>
    <row r="41" spans="1:11">
      <c r="A41" s="1548">
        <v>1992.08</v>
      </c>
      <c r="B41" s="1550">
        <v>2600</v>
      </c>
      <c r="C41" s="3705">
        <v>26.8</v>
      </c>
      <c r="D41" s="1549"/>
      <c r="E41" s="1551">
        <v>1000</v>
      </c>
      <c r="F41" s="1552">
        <v>8.1</v>
      </c>
      <c r="G41" s="1551">
        <v>1000</v>
      </c>
      <c r="H41" s="3706">
        <v>1064</v>
      </c>
      <c r="I41" s="1549"/>
      <c r="J41" s="1551">
        <v>480</v>
      </c>
      <c r="K41" s="3153">
        <v>490</v>
      </c>
    </row>
    <row r="42" spans="1:11">
      <c r="A42" s="1548">
        <v>1992.09</v>
      </c>
      <c r="B42" s="1550">
        <v>2600</v>
      </c>
      <c r="C42" s="3705">
        <v>27.7</v>
      </c>
      <c r="D42" s="1549"/>
      <c r="E42" s="1551">
        <v>1000</v>
      </c>
      <c r="F42" s="1552">
        <v>8.5</v>
      </c>
      <c r="G42" s="1551">
        <v>1000</v>
      </c>
      <c r="H42" s="3706">
        <v>1075</v>
      </c>
      <c r="I42" s="1549"/>
      <c r="J42" s="1551">
        <v>480</v>
      </c>
      <c r="K42" s="3153">
        <v>505</v>
      </c>
    </row>
    <row r="43" spans="1:11">
      <c r="A43" s="1548">
        <v>1992.1</v>
      </c>
      <c r="B43" s="1550">
        <v>2600</v>
      </c>
      <c r="C43" s="3705">
        <v>28.9</v>
      </c>
      <c r="D43" s="1549"/>
      <c r="E43" s="1551">
        <v>1000</v>
      </c>
      <c r="F43" s="1552">
        <v>8.4</v>
      </c>
      <c r="G43" s="1551">
        <v>1000</v>
      </c>
      <c r="H43" s="3706">
        <v>1042</v>
      </c>
      <c r="I43" s="1549"/>
      <c r="J43" s="1551">
        <v>480</v>
      </c>
      <c r="K43" s="3153">
        <v>480</v>
      </c>
    </row>
    <row r="44" spans="1:11">
      <c r="A44" s="1548">
        <v>1992.11</v>
      </c>
      <c r="B44" s="1550">
        <v>2500</v>
      </c>
      <c r="C44" s="3705">
        <v>24.5</v>
      </c>
      <c r="D44" s="1549"/>
      <c r="E44" s="1551">
        <v>950</v>
      </c>
      <c r="F44" s="1552">
        <v>7.3</v>
      </c>
      <c r="G44" s="1551">
        <v>950</v>
      </c>
      <c r="H44" s="3706">
        <v>1000</v>
      </c>
      <c r="I44" s="1549"/>
      <c r="J44" s="1551">
        <v>450</v>
      </c>
      <c r="K44" s="3153">
        <v>455</v>
      </c>
    </row>
    <row r="45" spans="1:11">
      <c r="A45" s="1548">
        <v>1992.12</v>
      </c>
      <c r="B45" s="1550">
        <v>2300</v>
      </c>
      <c r="C45" s="3705">
        <v>19.2</v>
      </c>
      <c r="D45" s="1549"/>
      <c r="E45" s="1551">
        <v>950</v>
      </c>
      <c r="F45" s="1552">
        <v>7.4</v>
      </c>
      <c r="G45" s="1551">
        <v>950</v>
      </c>
      <c r="H45" s="3706">
        <v>1105</v>
      </c>
      <c r="I45" s="1549"/>
      <c r="J45" s="1551">
        <v>420</v>
      </c>
      <c r="K45" s="3153">
        <v>467</v>
      </c>
    </row>
    <row r="46" spans="1:11">
      <c r="A46" s="1548">
        <v>1993.01</v>
      </c>
      <c r="B46" s="1550">
        <v>2300</v>
      </c>
      <c r="C46" s="3705">
        <v>17.7</v>
      </c>
      <c r="D46" s="1549"/>
      <c r="E46" s="1551">
        <v>950</v>
      </c>
      <c r="F46" s="1552">
        <v>8.1999999999999993</v>
      </c>
      <c r="G46" s="1551">
        <v>950</v>
      </c>
      <c r="H46" s="3706">
        <v>1159</v>
      </c>
      <c r="I46" s="1549"/>
      <c r="J46" s="1551">
        <v>400</v>
      </c>
      <c r="K46" s="3153">
        <v>444</v>
      </c>
    </row>
    <row r="47" spans="1:11">
      <c r="A47" s="1548">
        <v>1993.02</v>
      </c>
      <c r="B47" s="1550">
        <v>2200</v>
      </c>
      <c r="C47" s="3705">
        <v>17.600000000000001</v>
      </c>
      <c r="D47" s="1549"/>
      <c r="E47" s="1551">
        <v>900</v>
      </c>
      <c r="F47" s="1552">
        <v>7.3</v>
      </c>
      <c r="G47" s="1551">
        <v>950</v>
      </c>
      <c r="H47" s="3706">
        <v>1131</v>
      </c>
      <c r="I47" s="1549"/>
      <c r="J47" s="1551">
        <v>400</v>
      </c>
      <c r="K47" s="3153">
        <v>444</v>
      </c>
    </row>
    <row r="48" spans="1:11">
      <c r="A48" s="1548">
        <v>1993.03</v>
      </c>
      <c r="B48" s="1550">
        <v>2200</v>
      </c>
      <c r="C48" s="3705">
        <v>27.5</v>
      </c>
      <c r="D48" s="1549"/>
      <c r="E48" s="1551">
        <v>900</v>
      </c>
      <c r="F48" s="1552">
        <v>7.3</v>
      </c>
      <c r="G48" s="1551">
        <v>950</v>
      </c>
      <c r="H48" s="3706">
        <v>1159</v>
      </c>
      <c r="I48" s="1549"/>
      <c r="J48" s="1551">
        <v>400</v>
      </c>
      <c r="K48" s="3153">
        <v>471</v>
      </c>
    </row>
    <row r="49" spans="1:11">
      <c r="A49" s="1548">
        <v>1993.04</v>
      </c>
      <c r="B49" s="1550">
        <v>2200</v>
      </c>
      <c r="C49" s="3705">
        <v>26.5</v>
      </c>
      <c r="D49" s="1549"/>
      <c r="E49" s="1551">
        <v>900</v>
      </c>
      <c r="F49" s="1552">
        <v>7.4</v>
      </c>
      <c r="G49" s="1551">
        <v>950</v>
      </c>
      <c r="H49" s="3706">
        <v>1188</v>
      </c>
      <c r="I49" s="1549"/>
      <c r="J49" s="1551">
        <v>400</v>
      </c>
      <c r="K49" s="3153">
        <v>494</v>
      </c>
    </row>
    <row r="50" spans="1:11">
      <c r="A50" s="1548">
        <v>1993.05</v>
      </c>
      <c r="B50" s="1550">
        <v>2100</v>
      </c>
      <c r="C50" s="3705">
        <v>23.3</v>
      </c>
      <c r="D50" s="1549"/>
      <c r="E50" s="1551">
        <v>880</v>
      </c>
      <c r="F50" s="1552">
        <v>6.6</v>
      </c>
      <c r="G50" s="1551">
        <v>900</v>
      </c>
      <c r="H50" s="3706">
        <v>1139</v>
      </c>
      <c r="I50" s="1549"/>
      <c r="J50" s="1551">
        <v>370</v>
      </c>
      <c r="K50" s="3153">
        <v>463</v>
      </c>
    </row>
    <row r="51" spans="1:11">
      <c r="A51" s="1548">
        <v>1993.06</v>
      </c>
      <c r="B51" s="1550">
        <v>2100</v>
      </c>
      <c r="C51" s="3705">
        <v>22.1</v>
      </c>
      <c r="D51" s="1549"/>
      <c r="E51" s="1551">
        <v>880</v>
      </c>
      <c r="F51" s="1552">
        <v>6</v>
      </c>
      <c r="G51" s="1551">
        <v>900</v>
      </c>
      <c r="H51" s="3706">
        <v>1084</v>
      </c>
      <c r="I51" s="1549"/>
      <c r="J51" s="1551">
        <v>370</v>
      </c>
      <c r="K51" s="3153">
        <v>457</v>
      </c>
    </row>
    <row r="52" spans="1:11">
      <c r="A52" s="1548">
        <v>1993.07</v>
      </c>
      <c r="B52" s="1550">
        <v>2100</v>
      </c>
      <c r="C52" s="3705">
        <v>22.3</v>
      </c>
      <c r="D52" s="1549"/>
      <c r="E52" s="1551">
        <v>880</v>
      </c>
      <c r="F52" s="1552">
        <v>5.9</v>
      </c>
      <c r="G52" s="1551">
        <v>900</v>
      </c>
      <c r="H52" s="3706">
        <v>1084</v>
      </c>
      <c r="I52" s="1549"/>
      <c r="J52" s="1551">
        <v>370</v>
      </c>
      <c r="K52" s="3153">
        <v>451</v>
      </c>
    </row>
    <row r="53" spans="1:11">
      <c r="A53" s="1548">
        <v>1993.08</v>
      </c>
      <c r="B53" s="1550">
        <v>2100</v>
      </c>
      <c r="C53" s="3705">
        <v>18.399999999999999</v>
      </c>
      <c r="D53" s="1549"/>
      <c r="E53" s="1551">
        <v>850</v>
      </c>
      <c r="F53" s="1552">
        <v>5.7</v>
      </c>
      <c r="G53" s="1551">
        <v>900</v>
      </c>
      <c r="H53" s="3706">
        <v>1071</v>
      </c>
      <c r="I53" s="1549"/>
      <c r="J53" s="1551">
        <v>370</v>
      </c>
      <c r="K53" s="3153">
        <v>451</v>
      </c>
    </row>
    <row r="54" spans="1:11">
      <c r="A54" s="1548">
        <v>1993.09</v>
      </c>
      <c r="B54" s="1550">
        <v>2100</v>
      </c>
      <c r="C54" s="3705">
        <v>16.899999999999999</v>
      </c>
      <c r="D54" s="1549"/>
      <c r="E54" s="1551">
        <v>850</v>
      </c>
      <c r="F54" s="1552">
        <v>5.7</v>
      </c>
      <c r="G54" s="1551">
        <v>900</v>
      </c>
      <c r="H54" s="3706">
        <v>1111</v>
      </c>
      <c r="I54" s="1549"/>
      <c r="J54" s="1551">
        <v>370</v>
      </c>
      <c r="K54" s="3153">
        <v>446</v>
      </c>
    </row>
    <row r="55" spans="1:11">
      <c r="A55" s="1548">
        <v>1993.1</v>
      </c>
      <c r="B55" s="1550">
        <v>2100</v>
      </c>
      <c r="C55" s="3705">
        <v>16.8</v>
      </c>
      <c r="D55" s="1549"/>
      <c r="E55" s="1551">
        <v>830</v>
      </c>
      <c r="F55" s="1552">
        <v>6.3</v>
      </c>
      <c r="G55" s="1551">
        <v>870</v>
      </c>
      <c r="H55" s="3706">
        <v>1074</v>
      </c>
      <c r="I55" s="1549"/>
      <c r="J55" s="1551">
        <v>360</v>
      </c>
      <c r="K55" s="3153">
        <v>429</v>
      </c>
    </row>
    <row r="56" spans="1:11">
      <c r="A56" s="1548">
        <v>1993.11</v>
      </c>
      <c r="B56" s="1550">
        <v>2100</v>
      </c>
      <c r="C56" s="3705">
        <v>16</v>
      </c>
      <c r="D56" s="1549"/>
      <c r="E56" s="1551">
        <v>830</v>
      </c>
      <c r="F56" s="1552">
        <v>6.6</v>
      </c>
      <c r="G56" s="1551">
        <v>870</v>
      </c>
      <c r="H56" s="3706">
        <v>1088</v>
      </c>
      <c r="I56" s="1549"/>
      <c r="J56" s="1551">
        <v>340</v>
      </c>
      <c r="K56" s="3153">
        <v>410</v>
      </c>
    </row>
    <row r="57" spans="1:11">
      <c r="A57" s="1548">
        <v>1993.12</v>
      </c>
      <c r="B57" s="1550">
        <v>2100</v>
      </c>
      <c r="C57" s="3705">
        <v>15.3</v>
      </c>
      <c r="D57" s="1549"/>
      <c r="E57" s="1551">
        <v>800</v>
      </c>
      <c r="F57" s="1552">
        <v>6.2</v>
      </c>
      <c r="G57" s="1551">
        <v>850</v>
      </c>
      <c r="H57" s="3706">
        <v>1076</v>
      </c>
      <c r="I57" s="1549"/>
      <c r="J57" s="1551">
        <v>340</v>
      </c>
      <c r="K57" s="3153">
        <v>415</v>
      </c>
    </row>
    <row r="58" spans="1:11">
      <c r="A58" s="1548">
        <v>1994.01</v>
      </c>
      <c r="B58" s="1550">
        <v>2150</v>
      </c>
      <c r="C58" s="3705">
        <v>16.5</v>
      </c>
      <c r="D58" s="1549"/>
      <c r="E58" s="1551">
        <v>800</v>
      </c>
      <c r="F58" s="1552">
        <v>6.2</v>
      </c>
      <c r="G58" s="1551">
        <v>900</v>
      </c>
      <c r="H58" s="3706">
        <v>1154</v>
      </c>
      <c r="I58" s="1549"/>
      <c r="J58" s="1551">
        <v>340</v>
      </c>
      <c r="K58" s="3153">
        <v>425</v>
      </c>
    </row>
    <row r="59" spans="1:11">
      <c r="A59" s="1548">
        <v>1994.02</v>
      </c>
      <c r="B59" s="1550">
        <v>2150</v>
      </c>
      <c r="C59" s="3705">
        <v>18.7</v>
      </c>
      <c r="D59" s="1549"/>
      <c r="E59" s="1551">
        <v>800</v>
      </c>
      <c r="F59" s="1552">
        <v>6.9</v>
      </c>
      <c r="G59" s="1551">
        <v>900</v>
      </c>
      <c r="H59" s="3706">
        <v>1169</v>
      </c>
      <c r="I59" s="1549"/>
      <c r="J59" s="1551">
        <v>340</v>
      </c>
      <c r="K59" s="3153">
        <v>436</v>
      </c>
    </row>
    <row r="60" spans="1:11">
      <c r="A60" s="1548">
        <v>1994.03</v>
      </c>
      <c r="B60" s="1550">
        <v>2200</v>
      </c>
      <c r="C60" s="3705">
        <v>21</v>
      </c>
      <c r="D60" s="1549"/>
      <c r="E60" s="1551">
        <v>800</v>
      </c>
      <c r="F60" s="1552">
        <v>7.1</v>
      </c>
      <c r="G60" s="1551">
        <v>900</v>
      </c>
      <c r="H60" s="3706">
        <v>1184</v>
      </c>
      <c r="I60" s="1549"/>
      <c r="J60" s="1551">
        <v>320</v>
      </c>
      <c r="K60" s="3153">
        <v>421</v>
      </c>
    </row>
    <row r="61" spans="1:11">
      <c r="A61" s="1548">
        <v>1994.04</v>
      </c>
      <c r="B61" s="1550">
        <v>2250</v>
      </c>
      <c r="C61" s="3705">
        <v>22.1</v>
      </c>
      <c r="D61" s="1549"/>
      <c r="E61" s="1551">
        <v>850</v>
      </c>
      <c r="F61" s="1552">
        <v>7.5</v>
      </c>
      <c r="G61" s="1551">
        <v>900</v>
      </c>
      <c r="H61" s="3706">
        <v>1200</v>
      </c>
      <c r="I61" s="1549"/>
      <c r="J61" s="1551">
        <v>320</v>
      </c>
      <c r="K61" s="3153">
        <v>432</v>
      </c>
    </row>
    <row r="62" spans="1:11">
      <c r="A62" s="1548">
        <v>1994.05</v>
      </c>
      <c r="B62" s="1550">
        <v>2250</v>
      </c>
      <c r="C62" s="3705">
        <v>22.1</v>
      </c>
      <c r="D62" s="1549"/>
      <c r="E62" s="1551">
        <v>850</v>
      </c>
      <c r="F62" s="1552">
        <v>6.8</v>
      </c>
      <c r="G62" s="1551">
        <v>950</v>
      </c>
      <c r="H62" s="3706">
        <v>1267</v>
      </c>
      <c r="I62" s="1549"/>
      <c r="J62" s="1551">
        <v>320</v>
      </c>
      <c r="K62" s="3153">
        <v>444</v>
      </c>
    </row>
    <row r="63" spans="1:11">
      <c r="A63" s="1548">
        <v>1994.06</v>
      </c>
      <c r="B63" s="1550">
        <v>2250</v>
      </c>
      <c r="C63" s="3705">
        <v>20.8</v>
      </c>
      <c r="D63" s="1549"/>
      <c r="E63" s="1551">
        <v>850</v>
      </c>
      <c r="F63" s="1552">
        <v>6.9</v>
      </c>
      <c r="G63" s="1551">
        <v>970</v>
      </c>
      <c r="H63" s="3706">
        <v>1141</v>
      </c>
      <c r="I63" s="1549"/>
      <c r="J63" s="1551">
        <v>320</v>
      </c>
      <c r="K63" s="3153">
        <v>410</v>
      </c>
    </row>
    <row r="64" spans="1:11">
      <c r="A64" s="1548">
        <v>1994.07</v>
      </c>
      <c r="B64" s="1550">
        <v>2300</v>
      </c>
      <c r="C64" s="3705">
        <v>21.7</v>
      </c>
      <c r="D64" s="1549"/>
      <c r="E64" s="1551">
        <v>850</v>
      </c>
      <c r="F64" s="1552">
        <v>7</v>
      </c>
      <c r="G64" s="1551">
        <v>1000</v>
      </c>
      <c r="H64" s="3706">
        <v>1136</v>
      </c>
      <c r="I64" s="1549"/>
      <c r="J64" s="1551">
        <v>320</v>
      </c>
      <c r="K64" s="3153">
        <v>390</v>
      </c>
    </row>
    <row r="65" spans="1:11">
      <c r="A65" s="1548">
        <v>1994.08</v>
      </c>
      <c r="B65" s="1550">
        <v>2300</v>
      </c>
      <c r="C65" s="3705">
        <v>23.5</v>
      </c>
      <c r="D65" s="1549"/>
      <c r="E65" s="1551">
        <v>850</v>
      </c>
      <c r="F65" s="1552">
        <v>7.5</v>
      </c>
      <c r="G65" s="1551">
        <v>1000</v>
      </c>
      <c r="H65" s="3706">
        <v>1163</v>
      </c>
      <c r="I65" s="1549"/>
      <c r="J65" s="1551">
        <v>320</v>
      </c>
      <c r="K65" s="3153">
        <v>376</v>
      </c>
    </row>
    <row r="66" spans="1:11">
      <c r="A66" s="1548">
        <v>1994.09</v>
      </c>
      <c r="B66" s="1550">
        <v>2300</v>
      </c>
      <c r="C66" s="3705">
        <v>22.5</v>
      </c>
      <c r="D66" s="1549"/>
      <c r="E66" s="1551">
        <v>850</v>
      </c>
      <c r="F66" s="1552">
        <v>7.2</v>
      </c>
      <c r="G66" s="1551">
        <v>1000</v>
      </c>
      <c r="H66" s="3706">
        <v>1220</v>
      </c>
      <c r="I66" s="1549"/>
      <c r="J66" s="1551">
        <v>320</v>
      </c>
      <c r="K66" s="3153">
        <v>400</v>
      </c>
    </row>
    <row r="67" spans="1:11">
      <c r="A67" s="1548">
        <v>1994.1</v>
      </c>
      <c r="B67" s="1550">
        <v>2300</v>
      </c>
      <c r="C67" s="3705">
        <v>20.9</v>
      </c>
      <c r="D67" s="1549"/>
      <c r="E67" s="1551">
        <v>850</v>
      </c>
      <c r="F67" s="1552">
        <v>5.9</v>
      </c>
      <c r="G67" s="1551">
        <v>1000</v>
      </c>
      <c r="H67" s="3706">
        <v>1250</v>
      </c>
      <c r="I67" s="1549"/>
      <c r="J67" s="1551">
        <v>320</v>
      </c>
      <c r="K67" s="3153">
        <v>405</v>
      </c>
    </row>
    <row r="68" spans="1:11">
      <c r="A68" s="1548">
        <v>1994.11</v>
      </c>
      <c r="B68" s="1550">
        <v>2300</v>
      </c>
      <c r="C68" s="3705">
        <v>19.5</v>
      </c>
      <c r="D68" s="1549"/>
      <c r="E68" s="1551">
        <v>850</v>
      </c>
      <c r="F68" s="1552">
        <v>6.3</v>
      </c>
      <c r="G68" s="1551">
        <v>1000</v>
      </c>
      <c r="H68" s="3706">
        <v>1235</v>
      </c>
      <c r="I68" s="1549"/>
      <c r="J68" s="1551">
        <v>320</v>
      </c>
      <c r="K68" s="3153">
        <v>390</v>
      </c>
    </row>
    <row r="69" spans="1:11">
      <c r="A69" s="1548">
        <v>1994.12</v>
      </c>
      <c r="B69" s="1550">
        <v>2300</v>
      </c>
      <c r="C69" s="3705">
        <v>19.3</v>
      </c>
      <c r="D69" s="1549"/>
      <c r="E69" s="1551">
        <v>850</v>
      </c>
      <c r="F69" s="1552">
        <v>6.7</v>
      </c>
      <c r="G69" s="1551">
        <v>1000</v>
      </c>
      <c r="H69" s="3706">
        <v>1235</v>
      </c>
      <c r="I69" s="1549"/>
      <c r="J69" s="1551">
        <v>320</v>
      </c>
      <c r="K69" s="3153">
        <v>390</v>
      </c>
    </row>
    <row r="70" spans="1:11">
      <c r="A70" s="1548">
        <v>1995.01</v>
      </c>
      <c r="B70" s="1550">
        <v>2300</v>
      </c>
      <c r="C70" s="3705">
        <v>20.7</v>
      </c>
      <c r="D70" s="1549"/>
      <c r="E70" s="1551">
        <v>850</v>
      </c>
      <c r="F70" s="1552">
        <v>7.11</v>
      </c>
      <c r="G70" s="1551">
        <v>1000</v>
      </c>
      <c r="H70" s="3706">
        <v>1190</v>
      </c>
      <c r="I70" s="1549"/>
      <c r="J70" s="1551">
        <v>320</v>
      </c>
      <c r="K70" s="3153">
        <v>348</v>
      </c>
    </row>
    <row r="71" spans="1:11">
      <c r="A71" s="1548">
        <v>1995.02</v>
      </c>
      <c r="B71" s="1550">
        <v>2300</v>
      </c>
      <c r="C71" s="3705">
        <v>21.7</v>
      </c>
      <c r="D71" s="1549"/>
      <c r="E71" s="1551">
        <v>900</v>
      </c>
      <c r="F71" s="1552">
        <v>7.4</v>
      </c>
      <c r="G71" s="1551">
        <v>1000</v>
      </c>
      <c r="H71" s="3706">
        <v>1149</v>
      </c>
      <c r="I71" s="1549"/>
      <c r="J71" s="1551">
        <v>320</v>
      </c>
      <c r="K71" s="3153">
        <v>337</v>
      </c>
    </row>
    <row r="72" spans="1:11">
      <c r="A72" s="1548">
        <v>1995.03</v>
      </c>
      <c r="B72" s="1550">
        <v>2300</v>
      </c>
      <c r="C72" s="3705">
        <v>25</v>
      </c>
      <c r="D72" s="1549"/>
      <c r="E72" s="1551">
        <v>900</v>
      </c>
      <c r="F72" s="1552">
        <v>7.2</v>
      </c>
      <c r="G72" s="1551">
        <v>1000</v>
      </c>
      <c r="H72" s="3706">
        <v>1163</v>
      </c>
      <c r="I72" s="1549"/>
      <c r="J72" s="1551">
        <v>320</v>
      </c>
      <c r="K72" s="3153">
        <v>356</v>
      </c>
    </row>
    <row r="73" spans="1:11">
      <c r="A73" s="1548">
        <v>1995.04</v>
      </c>
      <c r="B73" s="1550">
        <v>2400</v>
      </c>
      <c r="C73" s="3705">
        <v>27.3</v>
      </c>
      <c r="D73" s="1549"/>
      <c r="E73" s="1551">
        <v>950</v>
      </c>
      <c r="F73" s="1552">
        <v>7.5</v>
      </c>
      <c r="G73" s="1551">
        <v>1000</v>
      </c>
      <c r="H73" s="3706">
        <v>1220</v>
      </c>
      <c r="I73" s="1549"/>
      <c r="J73" s="1551">
        <v>320</v>
      </c>
      <c r="K73" s="3153">
        <v>400</v>
      </c>
    </row>
    <row r="74" spans="1:11">
      <c r="A74" s="1548">
        <v>1995.05</v>
      </c>
      <c r="B74" s="1550">
        <v>2400</v>
      </c>
      <c r="C74" s="3705">
        <v>25.3</v>
      </c>
      <c r="D74" s="1549"/>
      <c r="E74" s="1551">
        <v>950</v>
      </c>
      <c r="F74" s="1552">
        <v>7.3</v>
      </c>
      <c r="G74" s="1551">
        <v>1000</v>
      </c>
      <c r="H74" s="3706">
        <v>1205</v>
      </c>
      <c r="I74" s="1549"/>
      <c r="J74" s="1551">
        <v>320</v>
      </c>
      <c r="K74" s="3153">
        <v>416</v>
      </c>
    </row>
    <row r="75" spans="1:11">
      <c r="A75" s="1548">
        <v>1995.06</v>
      </c>
      <c r="B75" s="1550">
        <v>2400</v>
      </c>
      <c r="C75" s="3705">
        <v>22</v>
      </c>
      <c r="D75" s="1549"/>
      <c r="E75" s="1551">
        <v>950</v>
      </c>
      <c r="F75" s="1552">
        <v>6.2</v>
      </c>
      <c r="G75" s="1551">
        <v>1000</v>
      </c>
      <c r="H75" s="3706">
        <v>1190</v>
      </c>
      <c r="I75" s="1549"/>
      <c r="J75" s="1551">
        <v>320</v>
      </c>
      <c r="K75" s="3153">
        <v>395</v>
      </c>
    </row>
    <row r="76" spans="1:11">
      <c r="A76" s="1548">
        <v>1995.07</v>
      </c>
      <c r="B76" s="1550">
        <v>2400</v>
      </c>
      <c r="C76" s="3705">
        <v>19.5</v>
      </c>
      <c r="D76" s="1549"/>
      <c r="E76" s="1551">
        <v>950</v>
      </c>
      <c r="F76" s="1552">
        <v>4.8</v>
      </c>
      <c r="G76" s="1551">
        <v>1000</v>
      </c>
      <c r="H76" s="3706">
        <v>1266</v>
      </c>
      <c r="I76" s="1549"/>
      <c r="J76" s="1551">
        <v>320</v>
      </c>
      <c r="K76" s="3153">
        <v>421</v>
      </c>
    </row>
    <row r="77" spans="1:11">
      <c r="A77" s="1548">
        <v>1995.08</v>
      </c>
      <c r="B77" s="1550">
        <v>2400</v>
      </c>
      <c r="C77" s="3705">
        <v>18.899999999999999</v>
      </c>
      <c r="D77" s="1549"/>
      <c r="E77" s="1551">
        <v>950</v>
      </c>
      <c r="F77" s="1552">
        <v>4.2</v>
      </c>
      <c r="G77" s="1551">
        <v>1000</v>
      </c>
      <c r="H77" s="3706">
        <v>1333</v>
      </c>
      <c r="I77" s="1549"/>
      <c r="J77" s="1551">
        <v>300</v>
      </c>
      <c r="K77" s="3153">
        <v>429</v>
      </c>
    </row>
    <row r="78" spans="1:11">
      <c r="A78" s="1548">
        <v>1995.09</v>
      </c>
      <c r="B78" s="1550">
        <v>2400</v>
      </c>
      <c r="C78" s="3705">
        <v>18.2</v>
      </c>
      <c r="D78" s="1549"/>
      <c r="E78" s="1551">
        <v>950</v>
      </c>
      <c r="F78" s="1552">
        <v>4.3</v>
      </c>
      <c r="G78" s="1551">
        <v>1000</v>
      </c>
      <c r="H78" s="3706">
        <v>1190</v>
      </c>
      <c r="I78" s="1549"/>
      <c r="J78" s="1551">
        <v>300</v>
      </c>
      <c r="K78" s="3153">
        <v>366</v>
      </c>
    </row>
    <row r="79" spans="1:11">
      <c r="A79" s="1548">
        <v>1995.1</v>
      </c>
      <c r="B79" s="1550">
        <v>2500</v>
      </c>
      <c r="C79" s="3705">
        <v>17.5</v>
      </c>
      <c r="D79" s="1549"/>
      <c r="E79" s="1551">
        <v>950</v>
      </c>
      <c r="F79" s="1552">
        <v>4.2</v>
      </c>
      <c r="G79" s="1551">
        <v>1000</v>
      </c>
      <c r="H79" s="3706">
        <v>1176</v>
      </c>
      <c r="I79" s="1549"/>
      <c r="J79" s="1551">
        <v>300</v>
      </c>
      <c r="K79" s="3153">
        <v>357</v>
      </c>
    </row>
    <row r="80" spans="1:11">
      <c r="A80" s="1548">
        <v>1995.11</v>
      </c>
      <c r="B80" s="1550">
        <v>2500</v>
      </c>
      <c r="C80" s="3705">
        <v>17.2</v>
      </c>
      <c r="D80" s="1549"/>
      <c r="E80" s="1551">
        <v>950</v>
      </c>
      <c r="F80" s="1552">
        <v>4.2</v>
      </c>
      <c r="G80" s="1551">
        <v>1100</v>
      </c>
      <c r="H80" s="3706">
        <v>1250</v>
      </c>
      <c r="I80" s="1549"/>
      <c r="J80" s="1551">
        <v>300</v>
      </c>
      <c r="K80" s="3153">
        <v>345</v>
      </c>
    </row>
    <row r="81" spans="1:11">
      <c r="A81" s="1548">
        <v>1995.12</v>
      </c>
      <c r="B81" s="1550">
        <v>2500</v>
      </c>
      <c r="C81" s="3705">
        <v>18.7</v>
      </c>
      <c r="D81" s="1549"/>
      <c r="E81" s="1551">
        <v>950</v>
      </c>
      <c r="F81" s="1552">
        <v>4.8</v>
      </c>
      <c r="G81" s="1551">
        <v>1100</v>
      </c>
      <c r="H81" s="3706">
        <v>1196</v>
      </c>
      <c r="I81" s="1549"/>
      <c r="J81" s="1551">
        <v>300</v>
      </c>
      <c r="K81" s="3153">
        <v>341</v>
      </c>
    </row>
    <row r="82" spans="1:11">
      <c r="A82" s="1548">
        <v>1996.01</v>
      </c>
      <c r="B82" s="1550">
        <v>2700</v>
      </c>
      <c r="C82" s="3705">
        <v>18.899999999999999</v>
      </c>
      <c r="D82" s="1549"/>
      <c r="E82" s="1551">
        <v>1150</v>
      </c>
      <c r="F82" s="1552">
        <v>5.6</v>
      </c>
      <c r="G82" s="1551">
        <v>1100</v>
      </c>
      <c r="H82" s="3706">
        <v>1209</v>
      </c>
      <c r="I82" s="1549"/>
      <c r="J82" s="1551">
        <v>300</v>
      </c>
      <c r="K82" s="3153">
        <v>341</v>
      </c>
    </row>
    <row r="83" spans="1:11">
      <c r="A83" s="1548">
        <v>1996.02</v>
      </c>
      <c r="B83" s="1550">
        <v>2700</v>
      </c>
      <c r="C83" s="3705">
        <v>17.600000000000001</v>
      </c>
      <c r="D83" s="1549"/>
      <c r="E83" s="1551">
        <v>1250</v>
      </c>
      <c r="F83" s="1552">
        <v>5.6</v>
      </c>
      <c r="G83" s="1551">
        <v>1100</v>
      </c>
      <c r="H83" s="3706">
        <v>1222</v>
      </c>
      <c r="I83" s="1549"/>
      <c r="J83" s="1551">
        <v>300</v>
      </c>
      <c r="K83" s="3153">
        <v>349</v>
      </c>
    </row>
    <row r="84" spans="1:11">
      <c r="A84" s="1548">
        <v>1996.03</v>
      </c>
      <c r="B84" s="1550">
        <v>2700</v>
      </c>
      <c r="C84" s="3705">
        <v>17</v>
      </c>
      <c r="D84" s="1549"/>
      <c r="E84" s="1551">
        <v>1300</v>
      </c>
      <c r="F84" s="1552">
        <v>5.4</v>
      </c>
      <c r="G84" s="1551">
        <v>1100</v>
      </c>
      <c r="H84" s="3706">
        <v>1222</v>
      </c>
      <c r="I84" s="1549"/>
      <c r="J84" s="1551">
        <v>320</v>
      </c>
      <c r="K84" s="3153">
        <v>376</v>
      </c>
    </row>
    <row r="85" spans="1:11">
      <c r="A85" s="1548">
        <v>1996.04</v>
      </c>
      <c r="B85" s="1550">
        <v>2900</v>
      </c>
      <c r="C85" s="3705">
        <v>17.5</v>
      </c>
      <c r="D85" s="1549"/>
      <c r="E85" s="1551">
        <v>1400</v>
      </c>
      <c r="F85" s="1552">
        <v>5.8</v>
      </c>
      <c r="G85" s="1551">
        <v>1300</v>
      </c>
      <c r="H85" s="3706">
        <v>1429</v>
      </c>
      <c r="I85" s="1549"/>
      <c r="J85" s="1551">
        <v>320</v>
      </c>
      <c r="K85" s="3153">
        <v>376</v>
      </c>
    </row>
    <row r="86" spans="1:11">
      <c r="A86" s="1548">
        <v>1996.05</v>
      </c>
      <c r="B86" s="1550">
        <v>3300</v>
      </c>
      <c r="C86" s="3705">
        <v>19.2</v>
      </c>
      <c r="D86" s="1549"/>
      <c r="E86" s="1551">
        <v>1400</v>
      </c>
      <c r="F86" s="1552">
        <v>5.2</v>
      </c>
      <c r="G86" s="1551">
        <v>1300</v>
      </c>
      <c r="H86" s="3706">
        <v>1413</v>
      </c>
      <c r="I86" s="1549"/>
      <c r="J86" s="1551">
        <v>350</v>
      </c>
      <c r="K86" s="3153">
        <v>407</v>
      </c>
    </row>
    <row r="87" spans="1:11">
      <c r="A87" s="1548">
        <v>1996.06</v>
      </c>
      <c r="B87" s="1550">
        <v>3500</v>
      </c>
      <c r="C87" s="3705">
        <v>20</v>
      </c>
      <c r="D87" s="1549"/>
      <c r="E87" s="1551">
        <v>1500</v>
      </c>
      <c r="F87" s="1552">
        <v>5.7</v>
      </c>
      <c r="G87" s="1551">
        <v>1400</v>
      </c>
      <c r="H87" s="3706">
        <v>1591</v>
      </c>
      <c r="I87" s="1549"/>
      <c r="J87" s="1551">
        <v>350</v>
      </c>
      <c r="K87" s="3153">
        <v>427</v>
      </c>
    </row>
    <row r="88" spans="1:11">
      <c r="A88" s="1548">
        <v>1996.07</v>
      </c>
      <c r="B88" s="1550">
        <v>3400</v>
      </c>
      <c r="C88" s="3705">
        <v>19</v>
      </c>
      <c r="D88" s="1549"/>
      <c r="E88" s="1551">
        <v>1400</v>
      </c>
      <c r="F88" s="1552">
        <v>6</v>
      </c>
      <c r="G88" s="1551">
        <v>1350</v>
      </c>
      <c r="H88" s="3706">
        <v>1627</v>
      </c>
      <c r="I88" s="1549"/>
      <c r="J88" s="1551">
        <v>350</v>
      </c>
      <c r="K88" s="3153">
        <v>438</v>
      </c>
    </row>
    <row r="89" spans="1:11">
      <c r="A89" s="1548">
        <v>1996.08</v>
      </c>
      <c r="B89" s="1550">
        <v>3300</v>
      </c>
      <c r="C89" s="3705">
        <v>20.2</v>
      </c>
      <c r="D89" s="1549"/>
      <c r="E89" s="1551">
        <v>1400</v>
      </c>
      <c r="F89" s="1552">
        <v>7.2</v>
      </c>
      <c r="G89" s="1551">
        <v>1350</v>
      </c>
      <c r="H89" s="3706">
        <v>1709</v>
      </c>
      <c r="I89" s="1549"/>
      <c r="J89" s="1551">
        <v>350</v>
      </c>
      <c r="K89" s="3153">
        <v>443</v>
      </c>
    </row>
    <row r="90" spans="1:11">
      <c r="A90" s="1548">
        <v>1996.09</v>
      </c>
      <c r="B90" s="1550">
        <v>3300</v>
      </c>
      <c r="C90" s="3705">
        <v>21.3</v>
      </c>
      <c r="D90" s="1549"/>
      <c r="E90" s="1551">
        <v>1400</v>
      </c>
      <c r="F90" s="1552">
        <v>7.3</v>
      </c>
      <c r="G90" s="1551">
        <v>1350</v>
      </c>
      <c r="H90" s="3706">
        <v>1646</v>
      </c>
      <c r="I90" s="1549"/>
      <c r="J90" s="1551">
        <v>350</v>
      </c>
      <c r="K90" s="3153">
        <v>427</v>
      </c>
    </row>
    <row r="91" spans="1:11">
      <c r="A91" s="1548">
        <v>1996.1</v>
      </c>
      <c r="B91" s="1550">
        <v>3300</v>
      </c>
      <c r="C91" s="3705">
        <v>23.9</v>
      </c>
      <c r="D91" s="1549"/>
      <c r="E91" s="1551">
        <v>1400</v>
      </c>
      <c r="F91" s="1552">
        <v>8.4</v>
      </c>
      <c r="G91" s="1551">
        <v>1350</v>
      </c>
      <c r="H91" s="3706">
        <v>1646</v>
      </c>
      <c r="I91" s="1549"/>
      <c r="J91" s="1551">
        <v>350</v>
      </c>
      <c r="K91" s="3153">
        <v>422</v>
      </c>
    </row>
    <row r="92" spans="1:11">
      <c r="A92" s="1548">
        <v>1996.11</v>
      </c>
      <c r="B92" s="1550">
        <v>3300</v>
      </c>
      <c r="C92" s="3705">
        <v>27.7</v>
      </c>
      <c r="D92" s="1549"/>
      <c r="E92" s="1551">
        <v>1400</v>
      </c>
      <c r="F92" s="1552">
        <v>9.1999999999999993</v>
      </c>
      <c r="G92" s="1551">
        <v>1350</v>
      </c>
      <c r="H92" s="3706">
        <v>1646</v>
      </c>
      <c r="I92" s="1549"/>
      <c r="J92" s="1551">
        <v>350</v>
      </c>
      <c r="K92" s="3153">
        <v>422</v>
      </c>
    </row>
    <row r="93" spans="1:11">
      <c r="A93" s="1548">
        <v>1996.12</v>
      </c>
      <c r="B93" s="1550">
        <v>3300</v>
      </c>
      <c r="C93" s="3705">
        <v>28.6</v>
      </c>
      <c r="D93" s="1549"/>
      <c r="E93" s="1551">
        <v>1400</v>
      </c>
      <c r="F93" s="1552">
        <v>10.8</v>
      </c>
      <c r="G93" s="1551">
        <v>1350</v>
      </c>
      <c r="H93" s="3706">
        <v>1646</v>
      </c>
      <c r="I93" s="1549"/>
      <c r="J93" s="1551">
        <v>350</v>
      </c>
      <c r="K93" s="3153">
        <v>417</v>
      </c>
    </row>
    <row r="94" spans="1:11">
      <c r="A94" s="1548">
        <v>1997.01</v>
      </c>
      <c r="B94" s="1550">
        <v>3300</v>
      </c>
      <c r="C94" s="3705">
        <v>28.3</v>
      </c>
      <c r="D94" s="1549"/>
      <c r="E94" s="1551">
        <v>1400</v>
      </c>
      <c r="F94" s="1552">
        <v>10.9</v>
      </c>
      <c r="G94" s="1551">
        <v>1350</v>
      </c>
      <c r="H94" s="3706">
        <v>1570</v>
      </c>
      <c r="I94" s="1549"/>
      <c r="J94" s="1551">
        <v>350</v>
      </c>
      <c r="K94" s="3153">
        <v>389</v>
      </c>
    </row>
    <row r="95" spans="1:11">
      <c r="A95" s="1548">
        <v>1997.02</v>
      </c>
      <c r="B95" s="1550">
        <v>3300</v>
      </c>
      <c r="C95" s="3705">
        <v>31.1</v>
      </c>
      <c r="D95" s="1549"/>
      <c r="E95" s="1551">
        <v>1400</v>
      </c>
      <c r="F95" s="1552">
        <v>10.7</v>
      </c>
      <c r="G95" s="1551">
        <v>1350</v>
      </c>
      <c r="H95" s="3706">
        <v>1517</v>
      </c>
      <c r="I95" s="1549"/>
      <c r="J95" s="1551">
        <v>350</v>
      </c>
      <c r="K95" s="3153">
        <v>368</v>
      </c>
    </row>
    <row r="96" spans="1:11">
      <c r="A96" s="1548">
        <v>1997.03</v>
      </c>
      <c r="B96" s="1550">
        <v>3500</v>
      </c>
      <c r="C96" s="3705">
        <v>31.8</v>
      </c>
      <c r="D96" s="1549"/>
      <c r="E96" s="1551">
        <v>1500</v>
      </c>
      <c r="F96" s="1552">
        <v>10.1</v>
      </c>
      <c r="G96" s="1551">
        <v>1500</v>
      </c>
      <c r="H96" s="3706">
        <v>1648</v>
      </c>
      <c r="I96" s="1549"/>
      <c r="J96" s="1551">
        <v>350</v>
      </c>
      <c r="K96" s="3153">
        <v>372</v>
      </c>
    </row>
    <row r="97" spans="1:11">
      <c r="A97" s="1548">
        <v>1997.04</v>
      </c>
      <c r="B97" s="1550">
        <v>3500</v>
      </c>
      <c r="C97" s="3705">
        <v>31.8</v>
      </c>
      <c r="D97" s="1549"/>
      <c r="E97" s="1551">
        <v>1500</v>
      </c>
      <c r="F97" s="1552">
        <v>10.1</v>
      </c>
      <c r="G97" s="1551">
        <v>1500</v>
      </c>
      <c r="H97" s="3706">
        <v>1648</v>
      </c>
      <c r="I97" s="1549"/>
      <c r="J97" s="1551">
        <v>400</v>
      </c>
      <c r="K97" s="3153">
        <v>421</v>
      </c>
    </row>
    <row r="98" spans="1:11">
      <c r="A98" s="1548">
        <v>1997.05</v>
      </c>
      <c r="B98" s="1550">
        <v>3700</v>
      </c>
      <c r="C98" s="3705">
        <v>32.700000000000003</v>
      </c>
      <c r="D98" s="1549"/>
      <c r="E98" s="1551">
        <v>1600</v>
      </c>
      <c r="F98" s="1552">
        <v>8.9</v>
      </c>
      <c r="G98" s="1551">
        <v>1600</v>
      </c>
      <c r="H98" s="3706">
        <v>1758</v>
      </c>
      <c r="I98" s="1549"/>
      <c r="J98" s="1551">
        <v>430</v>
      </c>
      <c r="K98" s="3153">
        <v>453</v>
      </c>
    </row>
    <row r="99" spans="1:11">
      <c r="A99" s="1548">
        <v>1997.06</v>
      </c>
      <c r="B99" s="1550">
        <v>4200</v>
      </c>
      <c r="C99" s="3705">
        <v>39.4</v>
      </c>
      <c r="D99" s="1549"/>
      <c r="E99" s="1551">
        <v>1800</v>
      </c>
      <c r="F99" s="1552">
        <v>11.8</v>
      </c>
      <c r="G99" s="1551">
        <v>1750</v>
      </c>
      <c r="H99" s="3706">
        <v>1902</v>
      </c>
      <c r="I99" s="1549"/>
      <c r="J99" s="1551">
        <v>460</v>
      </c>
      <c r="K99" s="3153">
        <v>484</v>
      </c>
    </row>
    <row r="100" spans="1:11">
      <c r="A100" s="1548">
        <v>1997.07</v>
      </c>
      <c r="B100" s="1550">
        <v>4200</v>
      </c>
      <c r="C100" s="3705">
        <v>43.3</v>
      </c>
      <c r="D100" s="1549"/>
      <c r="E100" s="1551">
        <v>1800</v>
      </c>
      <c r="F100" s="1552">
        <v>12.6</v>
      </c>
      <c r="G100" s="1551">
        <v>1750</v>
      </c>
      <c r="H100" s="3706">
        <v>1823</v>
      </c>
      <c r="I100" s="1549"/>
      <c r="J100" s="1551">
        <v>460</v>
      </c>
      <c r="K100" s="3153">
        <v>460</v>
      </c>
    </row>
    <row r="101" spans="1:11">
      <c r="A101" s="1548">
        <v>1997.08</v>
      </c>
      <c r="B101" s="1550">
        <v>4500</v>
      </c>
      <c r="C101" s="3705">
        <v>43.3</v>
      </c>
      <c r="D101" s="1549"/>
      <c r="E101" s="1551">
        <v>1800</v>
      </c>
      <c r="F101" s="1552">
        <v>12.5</v>
      </c>
      <c r="G101" s="1551">
        <v>1750</v>
      </c>
      <c r="H101" s="3706">
        <v>1786</v>
      </c>
      <c r="I101" s="1549"/>
      <c r="J101" s="1551">
        <v>550</v>
      </c>
      <c r="K101" s="3153">
        <v>539</v>
      </c>
    </row>
    <row r="102" spans="1:11">
      <c r="A102" s="1548">
        <v>1997.09</v>
      </c>
      <c r="B102" s="1550">
        <v>4500</v>
      </c>
      <c r="C102" s="3705">
        <v>42.7</v>
      </c>
      <c r="D102" s="1549"/>
      <c r="E102" s="1551">
        <v>1800</v>
      </c>
      <c r="F102" s="1552">
        <v>12.9</v>
      </c>
      <c r="G102" s="1551">
        <v>1750</v>
      </c>
      <c r="H102" s="3706">
        <v>1716</v>
      </c>
      <c r="I102" s="1549"/>
      <c r="J102" s="1551">
        <v>600</v>
      </c>
      <c r="K102" s="3153">
        <v>500</v>
      </c>
    </row>
    <row r="103" spans="1:11">
      <c r="A103" s="1548">
        <v>1997.1</v>
      </c>
      <c r="B103" s="1550">
        <v>4500</v>
      </c>
      <c r="C103" s="3705">
        <v>42.7</v>
      </c>
      <c r="D103" s="1549"/>
      <c r="E103" s="1551">
        <v>1800</v>
      </c>
      <c r="F103" s="1552">
        <v>13.1</v>
      </c>
      <c r="G103" s="1551">
        <v>1750</v>
      </c>
      <c r="H103" s="3706">
        <v>1716</v>
      </c>
      <c r="I103" s="1549"/>
      <c r="J103" s="1551">
        <v>600</v>
      </c>
      <c r="K103" s="3153">
        <v>500</v>
      </c>
    </row>
    <row r="104" spans="1:11">
      <c r="A104" s="1548">
        <v>1997.11</v>
      </c>
      <c r="B104" s="1550">
        <v>4500</v>
      </c>
      <c r="C104" s="3705">
        <v>40</v>
      </c>
      <c r="D104" s="1549"/>
      <c r="E104" s="1551">
        <v>1800</v>
      </c>
      <c r="F104" s="1552">
        <v>12.8</v>
      </c>
      <c r="G104" s="1551">
        <v>1750</v>
      </c>
      <c r="H104" s="3706">
        <v>1716</v>
      </c>
      <c r="I104" s="1549"/>
      <c r="J104" s="1551">
        <v>600</v>
      </c>
      <c r="K104" s="3153">
        <v>492</v>
      </c>
    </row>
    <row r="105" spans="1:11">
      <c r="A105" s="1548">
        <v>1997.12</v>
      </c>
      <c r="B105" s="1550">
        <v>4500</v>
      </c>
      <c r="C105" s="3705">
        <v>40.9</v>
      </c>
      <c r="D105" s="1549"/>
      <c r="E105" s="1551">
        <v>1700</v>
      </c>
      <c r="F105" s="1552">
        <v>13.4</v>
      </c>
      <c r="G105" s="1551">
        <v>1700</v>
      </c>
      <c r="H105" s="3706">
        <v>1650</v>
      </c>
      <c r="I105" s="1549"/>
      <c r="J105" s="1551">
        <v>600</v>
      </c>
      <c r="K105" s="3153">
        <v>492</v>
      </c>
    </row>
    <row r="106" spans="1:11">
      <c r="A106" s="1548">
        <v>1998.01</v>
      </c>
      <c r="B106" s="1550">
        <v>5000</v>
      </c>
      <c r="C106" s="3705">
        <v>45</v>
      </c>
      <c r="D106" s="1549"/>
      <c r="E106" s="1551">
        <v>1700</v>
      </c>
      <c r="F106" s="1552">
        <v>14.8</v>
      </c>
      <c r="G106" s="1551">
        <v>1800</v>
      </c>
      <c r="H106" s="3706">
        <v>1714</v>
      </c>
      <c r="I106" s="1549"/>
      <c r="J106" s="1551">
        <v>600</v>
      </c>
      <c r="K106" s="3153">
        <v>480</v>
      </c>
    </row>
    <row r="107" spans="1:11">
      <c r="A107" s="1548">
        <v>1998.02</v>
      </c>
      <c r="B107" s="1550">
        <v>5000</v>
      </c>
      <c r="C107" s="3705">
        <v>47.2</v>
      </c>
      <c r="D107" s="1549"/>
      <c r="E107" s="1551">
        <v>1700</v>
      </c>
      <c r="F107" s="1552">
        <v>14.2</v>
      </c>
      <c r="G107" s="1551">
        <v>1800</v>
      </c>
      <c r="H107" s="3706">
        <v>1651</v>
      </c>
      <c r="I107" s="1549"/>
      <c r="J107" s="1551">
        <v>600</v>
      </c>
      <c r="K107" s="3153">
        <v>472</v>
      </c>
    </row>
    <row r="108" spans="1:11">
      <c r="A108" s="1548">
        <v>1998.03</v>
      </c>
      <c r="B108" s="1550">
        <v>5000</v>
      </c>
      <c r="C108" s="3705">
        <v>53.2</v>
      </c>
      <c r="D108" s="1549"/>
      <c r="E108" s="1551">
        <v>1700</v>
      </c>
      <c r="F108" s="1552">
        <v>15.2</v>
      </c>
      <c r="G108" s="1551">
        <v>1800</v>
      </c>
      <c r="H108" s="3706">
        <v>1607</v>
      </c>
      <c r="I108" s="1549"/>
      <c r="J108" s="1551">
        <v>600</v>
      </c>
      <c r="K108" s="3153">
        <v>469</v>
      </c>
    </row>
    <row r="109" spans="1:11">
      <c r="A109" s="1548">
        <v>1998.04</v>
      </c>
      <c r="B109" s="1550">
        <v>4800</v>
      </c>
      <c r="C109" s="3705">
        <v>54.5</v>
      </c>
      <c r="D109" s="1549"/>
      <c r="E109" s="1551">
        <v>1700</v>
      </c>
      <c r="F109" s="1552">
        <v>14.4</v>
      </c>
      <c r="G109" s="1551">
        <v>1800</v>
      </c>
      <c r="H109" s="3706">
        <v>1636</v>
      </c>
      <c r="I109" s="1549"/>
      <c r="J109" s="1551">
        <v>600</v>
      </c>
      <c r="K109" s="3153">
        <v>469</v>
      </c>
    </row>
    <row r="110" spans="1:11">
      <c r="A110" s="1548">
        <v>1998.05</v>
      </c>
      <c r="B110" s="1550">
        <v>4800</v>
      </c>
      <c r="C110" s="3705">
        <v>52.7</v>
      </c>
      <c r="D110" s="1549"/>
      <c r="E110" s="1551">
        <v>1700</v>
      </c>
      <c r="F110" s="1552">
        <v>14.9</v>
      </c>
      <c r="G110" s="1551">
        <v>1850</v>
      </c>
      <c r="H110" s="3706">
        <v>1623</v>
      </c>
      <c r="I110" s="1549"/>
      <c r="J110" s="1551">
        <v>650</v>
      </c>
      <c r="K110" s="3153">
        <v>508</v>
      </c>
    </row>
    <row r="111" spans="1:11">
      <c r="A111" s="1548">
        <v>1998.06</v>
      </c>
      <c r="B111" s="1550">
        <v>5000</v>
      </c>
      <c r="C111" s="3705">
        <v>53.8</v>
      </c>
      <c r="D111" s="1549"/>
      <c r="E111" s="1551">
        <v>1700</v>
      </c>
      <c r="F111" s="1552">
        <v>14.8</v>
      </c>
      <c r="G111" s="1551">
        <v>1850</v>
      </c>
      <c r="H111" s="3706">
        <v>1568</v>
      </c>
      <c r="I111" s="1549"/>
      <c r="J111" s="1551">
        <v>650</v>
      </c>
      <c r="K111" s="3153">
        <v>500</v>
      </c>
    </row>
    <row r="112" spans="1:11">
      <c r="A112" s="1548">
        <v>1998.07</v>
      </c>
      <c r="B112" s="1550">
        <v>5000</v>
      </c>
      <c r="C112" s="3705">
        <v>53.2</v>
      </c>
      <c r="D112" s="1549"/>
      <c r="E112" s="1551">
        <v>1700</v>
      </c>
      <c r="F112" s="1552">
        <v>15.7</v>
      </c>
      <c r="G112" s="1551">
        <v>1850</v>
      </c>
      <c r="H112" s="3706">
        <v>1542</v>
      </c>
      <c r="I112" s="1549"/>
      <c r="J112" s="1551">
        <v>650</v>
      </c>
      <c r="K112" s="3153">
        <v>492</v>
      </c>
    </row>
    <row r="113" spans="1:11">
      <c r="A113" s="1548">
        <v>1998.08</v>
      </c>
      <c r="B113" s="1550">
        <v>5000</v>
      </c>
      <c r="C113" s="3705">
        <v>53.8</v>
      </c>
      <c r="D113" s="1549"/>
      <c r="E113" s="1551">
        <v>1700</v>
      </c>
      <c r="F113" s="1552">
        <v>15.7</v>
      </c>
      <c r="G113" s="1551">
        <v>1850</v>
      </c>
      <c r="H113" s="3706">
        <v>1423</v>
      </c>
      <c r="I113" s="1549"/>
      <c r="J113" s="1551">
        <v>650</v>
      </c>
      <c r="K113" s="3153">
        <v>448</v>
      </c>
    </row>
    <row r="114" spans="1:11">
      <c r="A114" s="1548">
        <v>1998.09</v>
      </c>
      <c r="B114" s="1550">
        <v>4800</v>
      </c>
      <c r="C114" s="3705">
        <v>53.9</v>
      </c>
      <c r="D114" s="1549"/>
      <c r="E114" s="1551">
        <v>1600</v>
      </c>
      <c r="F114" s="1552">
        <v>16</v>
      </c>
      <c r="G114" s="1551">
        <v>1800</v>
      </c>
      <c r="H114" s="3706">
        <v>1565</v>
      </c>
      <c r="I114" s="1549"/>
      <c r="J114" s="1551">
        <v>650</v>
      </c>
      <c r="K114" s="3153">
        <v>433</v>
      </c>
    </row>
    <row r="115" spans="1:11">
      <c r="A115" s="1548">
        <v>1998.1</v>
      </c>
      <c r="B115" s="1550">
        <v>4800</v>
      </c>
      <c r="C115" s="3705">
        <v>53.6</v>
      </c>
      <c r="D115" s="1549"/>
      <c r="E115" s="1551">
        <v>1600</v>
      </c>
      <c r="F115" s="1552">
        <v>14.7</v>
      </c>
      <c r="G115" s="1551">
        <v>1800</v>
      </c>
      <c r="H115" s="3706">
        <v>1875</v>
      </c>
      <c r="I115" s="1549"/>
      <c r="J115" s="1551">
        <v>600</v>
      </c>
      <c r="K115" s="3153">
        <v>500</v>
      </c>
    </row>
    <row r="116" spans="1:11">
      <c r="A116" s="1548">
        <v>1998.11</v>
      </c>
      <c r="B116" s="1550">
        <v>4800</v>
      </c>
      <c r="C116" s="3705">
        <v>47.1</v>
      </c>
      <c r="D116" s="1549"/>
      <c r="E116" s="1551">
        <v>1600</v>
      </c>
      <c r="F116" s="1552">
        <v>12.7</v>
      </c>
      <c r="G116" s="1551">
        <v>1750</v>
      </c>
      <c r="H116" s="3706">
        <v>1902</v>
      </c>
      <c r="I116" s="1549"/>
      <c r="J116" s="1551">
        <v>600</v>
      </c>
      <c r="K116" s="3153">
        <v>500</v>
      </c>
    </row>
    <row r="117" spans="1:11">
      <c r="A117" s="1548">
        <v>1998.12</v>
      </c>
      <c r="B117" s="1550">
        <v>4300</v>
      </c>
      <c r="C117" s="3705">
        <v>41.3</v>
      </c>
      <c r="D117" s="1549"/>
      <c r="E117" s="1551">
        <v>1400</v>
      </c>
      <c r="F117" s="1552">
        <v>12.6</v>
      </c>
      <c r="G117" s="1551">
        <v>1600</v>
      </c>
      <c r="H117" s="3706">
        <v>1778</v>
      </c>
      <c r="I117" s="1549"/>
      <c r="J117" s="1551">
        <v>550</v>
      </c>
      <c r="K117" s="3153">
        <v>458</v>
      </c>
    </row>
    <row r="118" spans="1:11">
      <c r="A118" s="1548">
        <v>1999.01</v>
      </c>
      <c r="B118" s="1550">
        <v>4000</v>
      </c>
      <c r="C118" s="3705">
        <v>34.799999999999997</v>
      </c>
      <c r="D118" s="1549"/>
      <c r="E118" s="1551">
        <v>1400</v>
      </c>
      <c r="F118" s="1552">
        <v>13.2</v>
      </c>
      <c r="G118" s="1551">
        <v>1600</v>
      </c>
      <c r="H118" s="3706">
        <v>1839</v>
      </c>
      <c r="I118" s="1549"/>
      <c r="J118" s="1551">
        <v>550</v>
      </c>
      <c r="K118" s="3153">
        <v>478</v>
      </c>
    </row>
    <row r="119" spans="1:11">
      <c r="A119" s="1548">
        <v>1999.02</v>
      </c>
      <c r="B119" s="1550">
        <v>4000</v>
      </c>
      <c r="C119" s="3705">
        <v>35.200000000000003</v>
      </c>
      <c r="D119" s="1549"/>
      <c r="E119" s="1551">
        <v>1400</v>
      </c>
      <c r="F119" s="1552">
        <v>13.9</v>
      </c>
      <c r="G119" s="1551">
        <v>1600</v>
      </c>
      <c r="H119" s="3706">
        <v>1905</v>
      </c>
      <c r="I119" s="1549"/>
      <c r="J119" s="1551">
        <v>550</v>
      </c>
      <c r="K119" s="3153">
        <v>500</v>
      </c>
    </row>
    <row r="120" spans="1:11">
      <c r="A120" s="1548">
        <v>1999.03</v>
      </c>
      <c r="B120" s="1550">
        <v>4000</v>
      </c>
      <c r="C120" s="3705">
        <v>50.3</v>
      </c>
      <c r="D120" s="1549"/>
      <c r="E120" s="1551">
        <v>1400</v>
      </c>
      <c r="F120" s="1552">
        <v>14.9</v>
      </c>
      <c r="G120" s="1551">
        <v>1600</v>
      </c>
      <c r="H120" s="3706">
        <v>1882</v>
      </c>
      <c r="I120" s="1549"/>
      <c r="J120" s="1551">
        <v>550</v>
      </c>
      <c r="K120" s="3153">
        <v>579</v>
      </c>
    </row>
    <row r="121" spans="1:11">
      <c r="A121" s="1548">
        <v>1999.04</v>
      </c>
      <c r="B121" s="1550">
        <v>4000</v>
      </c>
      <c r="C121" s="3705">
        <v>47.6</v>
      </c>
      <c r="D121" s="1549"/>
      <c r="E121" s="1551">
        <v>1400</v>
      </c>
      <c r="F121" s="1552">
        <v>12.3</v>
      </c>
      <c r="G121" s="1551">
        <v>1600</v>
      </c>
      <c r="H121" s="3706">
        <v>1882</v>
      </c>
      <c r="I121" s="1549"/>
      <c r="J121" s="1551">
        <v>550</v>
      </c>
      <c r="K121" s="3153">
        <v>579</v>
      </c>
    </row>
    <row r="122" spans="1:11">
      <c r="A122" s="1548">
        <v>1999.05</v>
      </c>
      <c r="B122" s="1550">
        <v>4000</v>
      </c>
      <c r="C122" s="3705">
        <v>45.5</v>
      </c>
      <c r="D122" s="1549"/>
      <c r="E122" s="1551">
        <v>1400</v>
      </c>
      <c r="F122" s="1552">
        <v>12.2</v>
      </c>
      <c r="G122" s="1551">
        <v>1600</v>
      </c>
      <c r="H122" s="3706">
        <v>1778</v>
      </c>
      <c r="I122" s="1549"/>
      <c r="J122" s="1551">
        <v>550</v>
      </c>
      <c r="K122" s="3153">
        <v>550</v>
      </c>
    </row>
    <row r="123" spans="1:11">
      <c r="A123" s="1548">
        <v>1999.06</v>
      </c>
      <c r="B123" s="1550">
        <v>4000</v>
      </c>
      <c r="C123" s="3705">
        <v>43.7</v>
      </c>
      <c r="D123" s="1549"/>
      <c r="E123" s="1551">
        <v>1400</v>
      </c>
      <c r="F123" s="1552">
        <v>11.9</v>
      </c>
      <c r="G123" s="1551">
        <v>1600</v>
      </c>
      <c r="H123" s="3706">
        <v>1860</v>
      </c>
      <c r="I123" s="1549"/>
      <c r="J123" s="1551">
        <v>550</v>
      </c>
      <c r="K123" s="3153">
        <v>550</v>
      </c>
    </row>
    <row r="124" spans="1:11">
      <c r="A124" s="1548">
        <v>1999.07</v>
      </c>
      <c r="B124" s="1550">
        <v>4000</v>
      </c>
      <c r="C124" s="3705">
        <v>42.6</v>
      </c>
      <c r="D124" s="1549"/>
      <c r="E124" s="1551">
        <v>1400</v>
      </c>
      <c r="F124" s="1552">
        <v>11.3</v>
      </c>
      <c r="G124" s="1551">
        <v>1600</v>
      </c>
      <c r="H124" s="3706">
        <v>1951</v>
      </c>
      <c r="I124" s="1549"/>
      <c r="J124" s="1551">
        <v>550</v>
      </c>
      <c r="K124" s="3153">
        <v>585</v>
      </c>
    </row>
    <row r="125" spans="1:11">
      <c r="A125" s="1548">
        <v>1999.08</v>
      </c>
      <c r="B125" s="1550">
        <v>4000</v>
      </c>
      <c r="C125" s="3705">
        <v>44</v>
      </c>
      <c r="D125" s="1549"/>
      <c r="E125" s="1551">
        <v>1400</v>
      </c>
      <c r="F125" s="1552">
        <v>11.7</v>
      </c>
      <c r="G125" s="1551">
        <v>1600</v>
      </c>
      <c r="H125" s="3706">
        <v>1928</v>
      </c>
      <c r="I125" s="1549"/>
      <c r="J125" s="1551">
        <v>550</v>
      </c>
      <c r="K125" s="3153">
        <v>573</v>
      </c>
    </row>
    <row r="126" spans="1:11">
      <c r="A126" s="1548">
        <v>1999.09</v>
      </c>
      <c r="B126" s="1550">
        <v>4000</v>
      </c>
      <c r="C126" s="3705">
        <v>44.9</v>
      </c>
      <c r="D126" s="1549"/>
      <c r="E126" s="1551">
        <v>1300</v>
      </c>
      <c r="F126" s="1552">
        <v>10.4</v>
      </c>
      <c r="G126" s="1551">
        <v>1550</v>
      </c>
      <c r="H126" s="3706">
        <v>1938</v>
      </c>
      <c r="I126" s="1549"/>
      <c r="J126" s="1551">
        <v>550</v>
      </c>
      <c r="K126" s="3153">
        <v>598</v>
      </c>
    </row>
    <row r="127" spans="1:11">
      <c r="A127" s="1548">
        <v>1999.1</v>
      </c>
      <c r="B127" s="1550">
        <v>4000</v>
      </c>
      <c r="C127" s="3705">
        <v>44.4</v>
      </c>
      <c r="D127" s="1549"/>
      <c r="E127" s="1551">
        <v>1300</v>
      </c>
      <c r="F127" s="1552">
        <v>11.2</v>
      </c>
      <c r="G127" s="1551">
        <v>1550</v>
      </c>
      <c r="H127" s="3706">
        <v>1938</v>
      </c>
      <c r="I127" s="1549"/>
      <c r="J127" s="1551">
        <v>550</v>
      </c>
      <c r="K127" s="3153">
        <v>579</v>
      </c>
    </row>
    <row r="128" spans="1:11">
      <c r="A128" s="1548">
        <v>1999.11</v>
      </c>
      <c r="B128" s="1550">
        <v>4000</v>
      </c>
      <c r="C128" s="3705">
        <v>43.7</v>
      </c>
      <c r="D128" s="1549"/>
      <c r="E128" s="1551">
        <v>1300</v>
      </c>
      <c r="F128" s="1552">
        <v>12.1</v>
      </c>
      <c r="G128" s="1551">
        <v>1550</v>
      </c>
      <c r="H128" s="3706">
        <v>1914</v>
      </c>
      <c r="I128" s="1549"/>
      <c r="J128" s="1551">
        <v>550</v>
      </c>
      <c r="K128" s="3153">
        <v>579</v>
      </c>
    </row>
    <row r="129" spans="1:11">
      <c r="A129" s="1548">
        <v>1999.12</v>
      </c>
      <c r="B129" s="1550">
        <v>4000</v>
      </c>
      <c r="C129" s="3705">
        <v>48.3</v>
      </c>
      <c r="D129" s="1549"/>
      <c r="E129" s="1551">
        <v>1250</v>
      </c>
      <c r="F129" s="1552">
        <v>15.4</v>
      </c>
      <c r="G129" s="1551">
        <v>1500</v>
      </c>
      <c r="H129" s="3706">
        <v>1948</v>
      </c>
      <c r="I129" s="1549"/>
      <c r="J129" s="1551">
        <v>550</v>
      </c>
      <c r="K129" s="3153">
        <v>567</v>
      </c>
    </row>
    <row r="130" spans="1:11">
      <c r="A130" s="1548">
        <v>2000.01</v>
      </c>
      <c r="B130" s="1550">
        <v>4000</v>
      </c>
      <c r="C130" s="3705">
        <v>42.6</v>
      </c>
      <c r="D130" s="1549"/>
      <c r="E130" s="1551">
        <v>1250</v>
      </c>
      <c r="F130" s="1552">
        <v>14.6</v>
      </c>
      <c r="G130" s="1551">
        <v>1500</v>
      </c>
      <c r="H130" s="3706">
        <v>1899</v>
      </c>
      <c r="I130" s="1549"/>
      <c r="J130" s="1551">
        <v>550</v>
      </c>
      <c r="K130" s="3153">
        <v>585</v>
      </c>
    </row>
    <row r="131" spans="1:11">
      <c r="A131" s="1548">
        <v>2000.02</v>
      </c>
      <c r="B131" s="1550">
        <v>4000</v>
      </c>
      <c r="C131" s="3705">
        <v>44.7</v>
      </c>
      <c r="D131" s="1549"/>
      <c r="E131" s="1551">
        <v>1250</v>
      </c>
      <c r="F131" s="1552">
        <v>14</v>
      </c>
      <c r="G131" s="1551">
        <v>1500</v>
      </c>
      <c r="H131" s="3706">
        <v>1807</v>
      </c>
      <c r="I131" s="1549"/>
      <c r="J131" s="1551">
        <v>550</v>
      </c>
      <c r="K131" s="3153">
        <v>598</v>
      </c>
    </row>
    <row r="132" spans="1:11">
      <c r="A132" s="1548">
        <v>2000.03</v>
      </c>
      <c r="B132" s="1550">
        <v>4000</v>
      </c>
      <c r="C132" s="3705">
        <v>47.1</v>
      </c>
      <c r="D132" s="1549"/>
      <c r="E132" s="1551">
        <v>1200</v>
      </c>
      <c r="F132" s="1552">
        <v>13.3</v>
      </c>
      <c r="G132" s="1551">
        <v>1500</v>
      </c>
      <c r="H132" s="3706">
        <v>1705</v>
      </c>
      <c r="I132" s="1549"/>
      <c r="J132" s="1551">
        <v>550</v>
      </c>
      <c r="K132" s="3153">
        <v>567</v>
      </c>
    </row>
    <row r="133" spans="1:11">
      <c r="A133" s="1548">
        <v>2000.04</v>
      </c>
      <c r="B133" s="1550">
        <v>4000</v>
      </c>
      <c r="C133" s="3705">
        <v>47.1</v>
      </c>
      <c r="D133" s="1549"/>
      <c r="E133" s="1551">
        <v>1200</v>
      </c>
      <c r="F133" s="1552">
        <v>11.4</v>
      </c>
      <c r="G133" s="1551">
        <v>1500</v>
      </c>
      <c r="H133" s="3706">
        <v>1685</v>
      </c>
      <c r="I133" s="1549"/>
      <c r="J133" s="1551">
        <v>550</v>
      </c>
      <c r="K133" s="3153">
        <v>550</v>
      </c>
    </row>
    <row r="134" spans="1:11">
      <c r="A134" s="1548">
        <v>2000.05</v>
      </c>
      <c r="B134" s="1550">
        <v>4000</v>
      </c>
      <c r="C134" s="3705">
        <v>47.3</v>
      </c>
      <c r="D134" s="1549"/>
      <c r="E134" s="1551">
        <v>1200</v>
      </c>
      <c r="F134" s="1552">
        <v>11.5</v>
      </c>
      <c r="G134" s="1551">
        <v>1500</v>
      </c>
      <c r="H134" s="3706">
        <v>1648</v>
      </c>
      <c r="I134" s="1549"/>
      <c r="J134" s="1551">
        <v>550</v>
      </c>
      <c r="K134" s="3153">
        <v>550</v>
      </c>
    </row>
    <row r="135" spans="1:11">
      <c r="A135" s="1548">
        <v>2000.06</v>
      </c>
      <c r="B135" s="1550">
        <v>4000</v>
      </c>
      <c r="C135" s="3705">
        <v>46.5</v>
      </c>
      <c r="D135" s="1549"/>
      <c r="E135" s="1551">
        <v>1200</v>
      </c>
      <c r="F135" s="1552">
        <v>10.5</v>
      </c>
      <c r="G135" s="1551">
        <v>1500</v>
      </c>
      <c r="H135" s="3706">
        <v>1596</v>
      </c>
      <c r="I135" s="1549"/>
      <c r="J135" s="1551">
        <v>550</v>
      </c>
      <c r="K135" s="3153">
        <v>550</v>
      </c>
    </row>
    <row r="136" spans="1:11">
      <c r="A136" s="1548">
        <v>2000.07</v>
      </c>
      <c r="B136" s="1550">
        <v>4000</v>
      </c>
      <c r="C136" s="3705">
        <v>53.1</v>
      </c>
      <c r="D136" s="1549"/>
      <c r="E136" s="1551">
        <v>1200</v>
      </c>
      <c r="F136" s="1552">
        <v>10.4</v>
      </c>
      <c r="G136" s="1551">
        <v>1500</v>
      </c>
      <c r="H136" s="3706">
        <v>1596</v>
      </c>
      <c r="I136" s="1549"/>
      <c r="J136" s="1551">
        <v>550</v>
      </c>
      <c r="K136" s="3153">
        <v>550</v>
      </c>
    </row>
    <row r="137" spans="1:11">
      <c r="A137" s="1548">
        <v>2000.08</v>
      </c>
      <c r="B137" s="1550">
        <v>4000</v>
      </c>
      <c r="C137" s="3705">
        <v>51.3</v>
      </c>
      <c r="D137" s="1549"/>
      <c r="E137" s="1551">
        <v>1200</v>
      </c>
      <c r="F137" s="1552">
        <v>10.4</v>
      </c>
      <c r="G137" s="1551">
        <v>1500</v>
      </c>
      <c r="H137" s="3706">
        <v>1630</v>
      </c>
      <c r="I137" s="1549"/>
      <c r="J137" s="1551">
        <v>550</v>
      </c>
      <c r="K137" s="3153">
        <v>550</v>
      </c>
    </row>
    <row r="138" spans="1:11">
      <c r="A138" s="1548">
        <v>2000.09</v>
      </c>
      <c r="B138" s="1550">
        <v>4000</v>
      </c>
      <c r="C138" s="3705">
        <v>55.2</v>
      </c>
      <c r="D138" s="1549"/>
      <c r="E138" s="1551">
        <v>1200</v>
      </c>
      <c r="F138" s="1552">
        <v>11</v>
      </c>
      <c r="G138" s="1551">
        <v>1500</v>
      </c>
      <c r="H138" s="3706">
        <v>1667</v>
      </c>
      <c r="I138" s="1549"/>
      <c r="J138" s="1551">
        <v>550</v>
      </c>
      <c r="K138" s="3153">
        <v>561</v>
      </c>
    </row>
    <row r="139" spans="1:11">
      <c r="A139" s="1548">
        <v>2000.1</v>
      </c>
      <c r="B139" s="1550">
        <v>3800</v>
      </c>
      <c r="C139" s="3705">
        <v>53.3</v>
      </c>
      <c r="D139" s="1549"/>
      <c r="E139" s="1551">
        <v>1200</v>
      </c>
      <c r="F139" s="1552">
        <v>10.4</v>
      </c>
      <c r="G139" s="1551">
        <v>1450</v>
      </c>
      <c r="H139" s="3706">
        <v>1630</v>
      </c>
      <c r="I139" s="1549"/>
      <c r="J139" s="1551">
        <v>550</v>
      </c>
      <c r="K139" s="3153">
        <v>550</v>
      </c>
    </row>
    <row r="140" spans="1:11">
      <c r="A140" s="1548">
        <v>2000.11</v>
      </c>
      <c r="B140" s="1550">
        <v>3800</v>
      </c>
      <c r="C140" s="3705">
        <v>50</v>
      </c>
      <c r="D140" s="1549"/>
      <c r="E140" s="1551">
        <v>1200</v>
      </c>
      <c r="F140" s="1552">
        <v>9.3000000000000007</v>
      </c>
      <c r="G140" s="1551">
        <v>1450</v>
      </c>
      <c r="H140" s="3706">
        <v>1611</v>
      </c>
      <c r="I140" s="1549"/>
      <c r="J140" s="1551">
        <v>550</v>
      </c>
      <c r="K140" s="3153">
        <v>514</v>
      </c>
    </row>
    <row r="141" spans="1:11">
      <c r="A141" s="1548">
        <v>2000.12</v>
      </c>
      <c r="B141" s="1550">
        <v>3800</v>
      </c>
      <c r="C141" s="3705">
        <v>44.2</v>
      </c>
      <c r="D141" s="1549"/>
      <c r="E141" s="1551">
        <v>1200</v>
      </c>
      <c r="F141" s="1552">
        <v>9.4</v>
      </c>
      <c r="G141" s="1551">
        <v>1450</v>
      </c>
      <c r="H141" s="3706">
        <v>1593</v>
      </c>
      <c r="I141" s="1549"/>
      <c r="J141" s="1551">
        <v>550</v>
      </c>
      <c r="K141" s="3153">
        <v>500</v>
      </c>
    </row>
    <row r="142" spans="1:11">
      <c r="A142" s="1548">
        <v>2001.01</v>
      </c>
      <c r="B142" s="1550">
        <v>3800</v>
      </c>
      <c r="C142" s="3705">
        <v>42.7</v>
      </c>
      <c r="D142" s="1549"/>
      <c r="E142" s="1551">
        <v>1200</v>
      </c>
      <c r="F142" s="1552">
        <v>10.5</v>
      </c>
      <c r="G142" s="1551">
        <v>1450</v>
      </c>
      <c r="H142" s="3706">
        <v>1576</v>
      </c>
      <c r="I142" s="1549"/>
      <c r="J142" s="1551">
        <v>550</v>
      </c>
      <c r="K142" s="3153">
        <v>539</v>
      </c>
    </row>
    <row r="143" spans="1:11">
      <c r="A143" s="1548">
        <v>2001.02</v>
      </c>
      <c r="B143" s="1550">
        <v>3800</v>
      </c>
      <c r="C143" s="3705">
        <v>49.7</v>
      </c>
      <c r="D143" s="1549"/>
      <c r="E143" s="1551">
        <v>1200</v>
      </c>
      <c r="F143" s="1552">
        <v>10</v>
      </c>
      <c r="G143" s="1551">
        <v>1450</v>
      </c>
      <c r="H143" s="3706">
        <v>1576</v>
      </c>
      <c r="I143" s="1549"/>
      <c r="J143" s="1551">
        <v>550</v>
      </c>
      <c r="K143" s="3153">
        <v>539</v>
      </c>
    </row>
    <row r="144" spans="1:11">
      <c r="A144" s="1548">
        <v>2001.03</v>
      </c>
      <c r="B144" s="112">
        <f>(B143+B146)/2</f>
        <v>3662.5</v>
      </c>
      <c r="C144" s="3707">
        <f>(C143+C146)/2</f>
        <v>47.487500000000004</v>
      </c>
      <c r="D144" s="738"/>
      <c r="E144" s="740">
        <f>(E143+E146)/2</f>
        <v>1170</v>
      </c>
      <c r="F144" s="3154">
        <f>(F143+F146)/2</f>
        <v>10.125</v>
      </c>
      <c r="G144" s="740">
        <f>(G143+G146)/2</f>
        <v>1393.75</v>
      </c>
      <c r="H144" s="3708">
        <f>(H143+H146)/2</f>
        <v>1629</v>
      </c>
      <c r="I144" s="741"/>
      <c r="J144" s="740">
        <f>(J143+J146)/2</f>
        <v>531.25</v>
      </c>
      <c r="K144" s="3155">
        <f>(K143+K146)/2</f>
        <v>560.875</v>
      </c>
    </row>
    <row r="145" spans="1:11">
      <c r="A145" s="1548">
        <v>2001.04</v>
      </c>
      <c r="B145" s="112">
        <f>B144</f>
        <v>3662.5</v>
      </c>
      <c r="C145" s="3707">
        <f>C144</f>
        <v>47.487500000000004</v>
      </c>
      <c r="D145" s="738"/>
      <c r="E145" s="740">
        <f>E144</f>
        <v>1170</v>
      </c>
      <c r="F145" s="3154">
        <f>F144</f>
        <v>10.125</v>
      </c>
      <c r="G145" s="740">
        <f>G144</f>
        <v>1393.75</v>
      </c>
      <c r="H145" s="3708">
        <f>H144</f>
        <v>1629</v>
      </c>
      <c r="I145" s="741"/>
      <c r="J145" s="740">
        <f>J144</f>
        <v>531.25</v>
      </c>
      <c r="K145" s="3155">
        <f>K144</f>
        <v>560.875</v>
      </c>
    </row>
    <row r="146" spans="1:11">
      <c r="A146" s="1548">
        <v>2001.05</v>
      </c>
      <c r="B146" s="112">
        <f>(B148+B143)/2</f>
        <v>3525</v>
      </c>
      <c r="C146" s="3707">
        <f>(C148+C143)/2</f>
        <v>45.275000000000006</v>
      </c>
      <c r="D146" s="738"/>
      <c r="E146" s="740">
        <f>(E148+E143)/2</f>
        <v>1140</v>
      </c>
      <c r="F146" s="3154">
        <f>(F148+F143)/2</f>
        <v>10.25</v>
      </c>
      <c r="G146" s="740">
        <f>(G148+G143)/2</f>
        <v>1337.5</v>
      </c>
      <c r="H146" s="3708">
        <f>(H148+H143)/2</f>
        <v>1682</v>
      </c>
      <c r="I146" s="741"/>
      <c r="J146" s="740">
        <f>(J148+J143)/2</f>
        <v>512.5</v>
      </c>
      <c r="K146" s="3155">
        <f>(K148+K143)/2</f>
        <v>582.75</v>
      </c>
    </row>
    <row r="147" spans="1:11">
      <c r="A147" s="1548">
        <v>2001.06</v>
      </c>
      <c r="B147" s="112">
        <f>B146</f>
        <v>3525</v>
      </c>
      <c r="C147" s="3707">
        <f>C146</f>
        <v>45.275000000000006</v>
      </c>
      <c r="D147" s="738"/>
      <c r="E147" s="740">
        <f>E146</f>
        <v>1140</v>
      </c>
      <c r="F147" s="3154">
        <f>F146</f>
        <v>10.25</v>
      </c>
      <c r="G147" s="740">
        <f>G146</f>
        <v>1337.5</v>
      </c>
      <c r="H147" s="3708">
        <f>H146</f>
        <v>1682</v>
      </c>
      <c r="I147" s="741"/>
      <c r="J147" s="740">
        <f>J146</f>
        <v>512.5</v>
      </c>
      <c r="K147" s="3155">
        <f>K146</f>
        <v>582.75</v>
      </c>
    </row>
    <row r="148" spans="1:11">
      <c r="A148" s="1548">
        <v>2001.07</v>
      </c>
      <c r="B148" s="112">
        <f>(B143+B154)/2</f>
        <v>3250</v>
      </c>
      <c r="C148" s="3707">
        <f>(C143+C154)/2</f>
        <v>40.85</v>
      </c>
      <c r="D148" s="738"/>
      <c r="E148" s="740">
        <f>(E143+E154)/2</f>
        <v>1080</v>
      </c>
      <c r="F148" s="3154">
        <f>(F143+F154)/2</f>
        <v>10.5</v>
      </c>
      <c r="G148" s="740">
        <f>(G143+G154)/2</f>
        <v>1225</v>
      </c>
      <c r="H148" s="3708">
        <f>(H143+H154)/2</f>
        <v>1788</v>
      </c>
      <c r="I148" s="741"/>
      <c r="J148" s="740">
        <f>(J143+J154)/2</f>
        <v>475</v>
      </c>
      <c r="K148" s="3155">
        <f>(K143+K154)/2</f>
        <v>626.5</v>
      </c>
    </row>
    <row r="149" spans="1:11">
      <c r="A149" s="1548">
        <v>2001.08</v>
      </c>
      <c r="B149" s="112">
        <f>B148</f>
        <v>3250</v>
      </c>
      <c r="C149" s="3707">
        <f>C148</f>
        <v>40.85</v>
      </c>
      <c r="D149" s="738"/>
      <c r="E149" s="740">
        <f>E148</f>
        <v>1080</v>
      </c>
      <c r="F149" s="3154">
        <f>F148</f>
        <v>10.5</v>
      </c>
      <c r="G149" s="740">
        <f>G148</f>
        <v>1225</v>
      </c>
      <c r="H149" s="3708">
        <f>H148</f>
        <v>1788</v>
      </c>
      <c r="I149" s="741"/>
      <c r="J149" s="740">
        <f>J148</f>
        <v>475</v>
      </c>
      <c r="K149" s="3155">
        <f>K148</f>
        <v>626.5</v>
      </c>
    </row>
    <row r="150" spans="1:11">
      <c r="A150" s="1548">
        <v>2001.09</v>
      </c>
      <c r="B150" s="112">
        <f>(B154+B149)/2</f>
        <v>2975</v>
      </c>
      <c r="C150" s="3707">
        <f>(C154+C149)/2</f>
        <v>36.424999999999997</v>
      </c>
      <c r="D150" s="738"/>
      <c r="E150" s="740">
        <f>(E154+E149)/2</f>
        <v>1020</v>
      </c>
      <c r="F150" s="3154">
        <f>(F154+F149)/2</f>
        <v>10.75</v>
      </c>
      <c r="G150" s="740">
        <f>(G154+G149)/2</f>
        <v>1112.5</v>
      </c>
      <c r="H150" s="3708">
        <f>(H154+H149)/2</f>
        <v>1894</v>
      </c>
      <c r="I150" s="741"/>
      <c r="J150" s="740">
        <f>(J154+J149)/2</f>
        <v>437.5</v>
      </c>
      <c r="K150" s="3155">
        <f>(K154+K149)/2</f>
        <v>670.25</v>
      </c>
    </row>
    <row r="151" spans="1:11">
      <c r="A151" s="1548">
        <v>2001.1</v>
      </c>
      <c r="B151" s="112">
        <f>B150</f>
        <v>2975</v>
      </c>
      <c r="C151" s="3707">
        <f>C150</f>
        <v>36.424999999999997</v>
      </c>
      <c r="D151" s="738"/>
      <c r="E151" s="740">
        <f>E150</f>
        <v>1020</v>
      </c>
      <c r="F151" s="3154">
        <f>F150</f>
        <v>10.75</v>
      </c>
      <c r="G151" s="740">
        <f>G150</f>
        <v>1112.5</v>
      </c>
      <c r="H151" s="3708">
        <f>H150</f>
        <v>1894</v>
      </c>
      <c r="I151" s="741"/>
      <c r="J151" s="740">
        <f>J150</f>
        <v>437.5</v>
      </c>
      <c r="K151" s="3155">
        <f>K150</f>
        <v>670.25</v>
      </c>
    </row>
    <row r="152" spans="1:11">
      <c r="A152" s="1548">
        <v>2001.11</v>
      </c>
      <c r="B152" s="112">
        <f>(B151+B154)/2</f>
        <v>2837.5</v>
      </c>
      <c r="C152" s="3707">
        <f>(C151+C154)/2</f>
        <v>34.212499999999999</v>
      </c>
      <c r="D152" s="738"/>
      <c r="E152" s="740">
        <f>(E151+E154)/2</f>
        <v>990</v>
      </c>
      <c r="F152" s="3154">
        <f>(F151+F154)/2</f>
        <v>10.875</v>
      </c>
      <c r="G152" s="740">
        <f>(G151+G154)/2</f>
        <v>1056.25</v>
      </c>
      <c r="H152" s="3708">
        <f>(H151+H154)/2</f>
        <v>1947</v>
      </c>
      <c r="I152" s="741"/>
      <c r="J152" s="740">
        <f>(J151+J154)/2</f>
        <v>418.75</v>
      </c>
      <c r="K152" s="3155">
        <f>(K151+K154)/2</f>
        <v>692.125</v>
      </c>
    </row>
    <row r="153" spans="1:11">
      <c r="A153" s="1548">
        <v>2001.12</v>
      </c>
      <c r="B153" s="112">
        <f>B152</f>
        <v>2837.5</v>
      </c>
      <c r="C153" s="3707">
        <f>C152</f>
        <v>34.212499999999999</v>
      </c>
      <c r="D153" s="738"/>
      <c r="E153" s="740">
        <f>E152</f>
        <v>990</v>
      </c>
      <c r="F153" s="3154">
        <f>F152</f>
        <v>10.875</v>
      </c>
      <c r="G153" s="740">
        <f>G152</f>
        <v>1056.25</v>
      </c>
      <c r="H153" s="3708">
        <f>H152</f>
        <v>1947</v>
      </c>
      <c r="I153" s="741"/>
      <c r="J153" s="740">
        <f>J152</f>
        <v>418.75</v>
      </c>
      <c r="K153" s="3155">
        <f>K152</f>
        <v>692.125</v>
      </c>
    </row>
    <row r="154" spans="1:11">
      <c r="A154" s="1468">
        <v>2002.01</v>
      </c>
      <c r="B154" s="1550">
        <v>2700</v>
      </c>
      <c r="C154" s="3705">
        <v>32</v>
      </c>
      <c r="D154" s="1549"/>
      <c r="E154" s="1551">
        <v>960</v>
      </c>
      <c r="F154" s="1552">
        <v>11</v>
      </c>
      <c r="G154" s="1551">
        <v>1000</v>
      </c>
      <c r="H154" s="3706">
        <v>2000</v>
      </c>
      <c r="I154" s="1549"/>
      <c r="J154" s="1551">
        <v>400</v>
      </c>
      <c r="K154" s="3153">
        <v>714</v>
      </c>
    </row>
    <row r="155" spans="1:11">
      <c r="A155" s="1468">
        <v>2002.02</v>
      </c>
      <c r="B155" s="1550">
        <v>2700</v>
      </c>
      <c r="C155" s="3705">
        <v>30.2</v>
      </c>
      <c r="D155" s="1549"/>
      <c r="E155" s="1551">
        <v>960</v>
      </c>
      <c r="F155" s="1552">
        <v>9.4</v>
      </c>
      <c r="G155" s="1551">
        <v>1000</v>
      </c>
      <c r="H155" s="3706">
        <v>1852</v>
      </c>
      <c r="I155" s="1549"/>
      <c r="J155" s="1551">
        <v>400</v>
      </c>
      <c r="K155" s="3153">
        <v>714</v>
      </c>
    </row>
    <row r="156" spans="1:11">
      <c r="A156" s="1468">
        <v>2002.03</v>
      </c>
      <c r="B156" s="1550">
        <v>2600</v>
      </c>
      <c r="C156" s="3705">
        <v>38.1</v>
      </c>
      <c r="D156" s="1549"/>
      <c r="E156" s="1551">
        <v>900</v>
      </c>
      <c r="F156" s="1552">
        <v>9.5</v>
      </c>
      <c r="G156" s="1551">
        <v>950</v>
      </c>
      <c r="H156" s="3706">
        <v>2065</v>
      </c>
      <c r="I156" s="1549"/>
      <c r="J156" s="1551">
        <v>350</v>
      </c>
      <c r="K156" s="3153">
        <v>700</v>
      </c>
    </row>
    <row r="157" spans="1:11">
      <c r="A157" s="1468">
        <v>2002.04</v>
      </c>
      <c r="B157" s="1550">
        <v>2500</v>
      </c>
      <c r="C157" s="3705">
        <v>38.200000000000003</v>
      </c>
      <c r="D157" s="1549"/>
      <c r="E157" s="1551">
        <v>850</v>
      </c>
      <c r="F157" s="1552">
        <v>9.4</v>
      </c>
      <c r="G157" s="1551">
        <v>950</v>
      </c>
      <c r="H157" s="3706">
        <v>2010</v>
      </c>
      <c r="I157" s="1549"/>
      <c r="J157" s="1551">
        <v>330</v>
      </c>
      <c r="K157" s="3153">
        <v>672</v>
      </c>
    </row>
    <row r="158" spans="1:11">
      <c r="A158" s="1468">
        <v>2002.05</v>
      </c>
      <c r="B158" s="1550">
        <v>2500</v>
      </c>
      <c r="C158" s="3705">
        <v>37.799999999999997</v>
      </c>
      <c r="D158" s="1549"/>
      <c r="E158" s="1551">
        <v>850</v>
      </c>
      <c r="F158" s="1552">
        <v>7.3</v>
      </c>
      <c r="G158" s="1551">
        <v>950</v>
      </c>
      <c r="H158" s="3706">
        <v>2184</v>
      </c>
      <c r="I158" s="1549"/>
      <c r="J158" s="1551">
        <v>330</v>
      </c>
      <c r="K158" s="3153">
        <v>750</v>
      </c>
    </row>
    <row r="159" spans="1:11">
      <c r="A159" s="1468">
        <v>2002.06</v>
      </c>
      <c r="B159" s="1550">
        <v>2500</v>
      </c>
      <c r="C159" s="3705">
        <v>32.200000000000003</v>
      </c>
      <c r="D159" s="1549"/>
      <c r="E159" s="1551">
        <v>850</v>
      </c>
      <c r="F159" s="1552">
        <v>7.5</v>
      </c>
      <c r="G159" s="1551">
        <v>950</v>
      </c>
      <c r="H159" s="3706">
        <v>2448</v>
      </c>
      <c r="I159" s="1549"/>
      <c r="J159" s="1551">
        <v>330</v>
      </c>
      <c r="K159" s="3153">
        <v>902</v>
      </c>
    </row>
    <row r="160" spans="1:11">
      <c r="A160" s="1468">
        <v>2002.07</v>
      </c>
      <c r="B160" s="1550">
        <v>2700</v>
      </c>
      <c r="C160" s="3705">
        <v>34.700000000000003</v>
      </c>
      <c r="D160" s="1549"/>
      <c r="E160" s="1551">
        <v>950</v>
      </c>
      <c r="F160" s="1552">
        <v>8.3000000000000007</v>
      </c>
      <c r="G160" s="1551">
        <v>1000</v>
      </c>
      <c r="H160" s="3706">
        <v>2577</v>
      </c>
      <c r="I160" s="1549"/>
      <c r="J160" s="1551">
        <v>370</v>
      </c>
      <c r="K160" s="3153">
        <v>1011</v>
      </c>
    </row>
    <row r="161" spans="1:11">
      <c r="A161" s="1468">
        <v>2002.08</v>
      </c>
      <c r="B161" s="1550">
        <v>2700</v>
      </c>
      <c r="C161" s="3705">
        <v>34.4</v>
      </c>
      <c r="D161" s="1549"/>
      <c r="E161" s="1551">
        <v>950</v>
      </c>
      <c r="F161" s="1552">
        <v>7.5</v>
      </c>
      <c r="G161" s="1551">
        <v>1000</v>
      </c>
      <c r="H161" s="3706">
        <v>1887</v>
      </c>
      <c r="I161" s="1549"/>
      <c r="J161" s="1551">
        <v>370</v>
      </c>
      <c r="K161" s="3153">
        <v>669</v>
      </c>
    </row>
    <row r="162" spans="1:11">
      <c r="A162" s="1468">
        <v>2002.09</v>
      </c>
      <c r="B162" s="1550">
        <v>2750</v>
      </c>
      <c r="C162" s="3705">
        <v>35.299999999999997</v>
      </c>
      <c r="D162" s="1549"/>
      <c r="E162" s="1551">
        <v>1000</v>
      </c>
      <c r="F162" s="1552">
        <v>7.8</v>
      </c>
      <c r="G162" s="1551">
        <v>1100</v>
      </c>
      <c r="H162" s="3706">
        <v>1930</v>
      </c>
      <c r="I162" s="1549"/>
      <c r="J162" s="1551">
        <v>400</v>
      </c>
      <c r="K162" s="3153">
        <v>702</v>
      </c>
    </row>
    <row r="163" spans="1:11">
      <c r="A163" s="1468">
        <v>2002.1</v>
      </c>
      <c r="B163" s="1550">
        <v>2750</v>
      </c>
      <c r="C163" s="3705">
        <v>34.799999999999997</v>
      </c>
      <c r="D163" s="1549"/>
      <c r="E163" s="1551">
        <v>1000</v>
      </c>
      <c r="F163" s="1552">
        <v>6.8</v>
      </c>
      <c r="G163" s="1551">
        <v>1100</v>
      </c>
      <c r="H163" s="3706">
        <v>2000</v>
      </c>
      <c r="I163" s="1549"/>
      <c r="J163" s="1551">
        <v>400</v>
      </c>
      <c r="K163" s="3153">
        <v>727</v>
      </c>
    </row>
    <row r="164" spans="1:11">
      <c r="A164" s="1468">
        <v>2002.11</v>
      </c>
      <c r="B164" s="1550">
        <v>2900</v>
      </c>
      <c r="C164" s="3705">
        <v>35.799999999999997</v>
      </c>
      <c r="D164" s="1549"/>
      <c r="E164" s="1551">
        <v>1100</v>
      </c>
      <c r="F164" s="1552">
        <v>8.6999999999999993</v>
      </c>
      <c r="G164" s="1551">
        <v>1100</v>
      </c>
      <c r="H164" s="3706">
        <v>1864</v>
      </c>
      <c r="I164" s="1549"/>
      <c r="J164" s="1551">
        <v>400</v>
      </c>
      <c r="K164" s="3153">
        <v>678</v>
      </c>
    </row>
    <row r="165" spans="1:11">
      <c r="A165" s="1468">
        <v>2002.12</v>
      </c>
      <c r="B165" s="1550">
        <v>3000</v>
      </c>
      <c r="C165" s="3705">
        <v>37</v>
      </c>
      <c r="D165" s="1549"/>
      <c r="E165" s="1551">
        <v>1200</v>
      </c>
      <c r="F165" s="1552">
        <v>10.3</v>
      </c>
      <c r="G165" s="1551">
        <v>1200</v>
      </c>
      <c r="H165" s="3706">
        <v>2037</v>
      </c>
      <c r="I165" s="1549"/>
      <c r="J165" s="1551">
        <v>440</v>
      </c>
      <c r="K165" s="3153">
        <v>733</v>
      </c>
    </row>
    <row r="166" spans="1:11">
      <c r="A166" s="1468">
        <v>2003.01</v>
      </c>
      <c r="B166" s="1550">
        <v>3000</v>
      </c>
      <c r="C166" s="3705">
        <v>37.299999999999997</v>
      </c>
      <c r="D166" s="1549"/>
      <c r="E166" s="1551">
        <v>1200</v>
      </c>
      <c r="F166" s="1552">
        <v>10.9</v>
      </c>
      <c r="G166" s="1551">
        <v>1200</v>
      </c>
      <c r="H166" s="3706">
        <v>1943</v>
      </c>
      <c r="I166" s="1549"/>
      <c r="J166" s="1551">
        <v>440</v>
      </c>
      <c r="K166" s="3153">
        <v>696</v>
      </c>
    </row>
    <row r="167" spans="1:11">
      <c r="A167" s="1468">
        <v>2003.02</v>
      </c>
      <c r="B167" s="1550">
        <v>3200</v>
      </c>
      <c r="C167" s="3705">
        <v>42.1</v>
      </c>
      <c r="D167" s="1549"/>
      <c r="E167" s="1551">
        <v>1250</v>
      </c>
      <c r="F167" s="1552">
        <v>10.5</v>
      </c>
      <c r="G167" s="1551">
        <v>1300</v>
      </c>
      <c r="H167" s="3706">
        <v>2031</v>
      </c>
      <c r="I167" s="1549"/>
      <c r="J167" s="1551">
        <v>460</v>
      </c>
      <c r="K167" s="3153">
        <v>692</v>
      </c>
    </row>
    <row r="168" spans="1:11">
      <c r="A168" s="1468">
        <v>2003.03</v>
      </c>
      <c r="B168" s="1550">
        <v>3500</v>
      </c>
      <c r="C168" s="3705">
        <v>47.3</v>
      </c>
      <c r="D168" s="1549"/>
      <c r="E168" s="1551">
        <v>1300</v>
      </c>
      <c r="F168" s="1552">
        <v>10.8</v>
      </c>
      <c r="G168" s="1551">
        <v>1400</v>
      </c>
      <c r="H168" s="3706">
        <v>2090</v>
      </c>
      <c r="I168" s="1549"/>
      <c r="J168" s="1551">
        <v>500</v>
      </c>
      <c r="K168" s="3153">
        <v>741</v>
      </c>
    </row>
    <row r="169" spans="1:11">
      <c r="A169" s="1468">
        <v>2003.04</v>
      </c>
      <c r="B169" s="1550">
        <v>3600</v>
      </c>
      <c r="C169" s="3705">
        <v>50</v>
      </c>
      <c r="D169" s="1549"/>
      <c r="E169" s="1551">
        <v>1400</v>
      </c>
      <c r="F169" s="1552">
        <v>12</v>
      </c>
      <c r="G169" s="1551">
        <v>1400</v>
      </c>
      <c r="H169" s="3706">
        <v>2065</v>
      </c>
      <c r="I169" s="1549"/>
      <c r="J169" s="1551">
        <v>550</v>
      </c>
      <c r="K169" s="3153">
        <v>811</v>
      </c>
    </row>
    <row r="170" spans="1:11">
      <c r="A170" s="1468">
        <v>2003.05</v>
      </c>
      <c r="B170" s="1550">
        <v>3600</v>
      </c>
      <c r="C170" s="3705">
        <v>45.6</v>
      </c>
      <c r="D170" s="1549"/>
      <c r="E170" s="1551">
        <v>1400</v>
      </c>
      <c r="F170" s="1552">
        <v>11.1</v>
      </c>
      <c r="G170" s="1551">
        <v>1400</v>
      </c>
      <c r="H170" s="3706">
        <v>2050</v>
      </c>
      <c r="I170" s="1549"/>
      <c r="J170" s="1551">
        <v>550</v>
      </c>
      <c r="K170" s="3153">
        <v>850</v>
      </c>
    </row>
    <row r="171" spans="1:11">
      <c r="A171" s="1468">
        <v>2003.06</v>
      </c>
      <c r="B171" s="1550">
        <v>3800</v>
      </c>
      <c r="C171" s="3705">
        <v>47.5</v>
      </c>
      <c r="D171" s="1549"/>
      <c r="E171" s="1551">
        <v>1600</v>
      </c>
      <c r="F171" s="1552">
        <v>11.9</v>
      </c>
      <c r="G171" s="1551">
        <v>1500</v>
      </c>
      <c r="H171" s="3706">
        <v>2259</v>
      </c>
      <c r="I171" s="1549"/>
      <c r="J171" s="1551">
        <v>550</v>
      </c>
      <c r="K171" s="3153">
        <v>874</v>
      </c>
    </row>
    <row r="172" spans="1:11">
      <c r="A172" s="1468">
        <v>2003.07</v>
      </c>
      <c r="B172" s="1550">
        <v>4200</v>
      </c>
      <c r="C172" s="3705">
        <v>52.2</v>
      </c>
      <c r="D172" s="1549"/>
      <c r="E172" s="1551">
        <v>1700</v>
      </c>
      <c r="F172" s="1552">
        <v>12.5</v>
      </c>
      <c r="G172" s="1551">
        <v>1600</v>
      </c>
      <c r="H172" s="3706">
        <v>2388</v>
      </c>
      <c r="I172" s="1549"/>
      <c r="J172" s="1551">
        <v>600</v>
      </c>
      <c r="K172" s="3153">
        <v>896</v>
      </c>
    </row>
    <row r="173" spans="1:11">
      <c r="A173" s="1468">
        <v>2003.08</v>
      </c>
      <c r="B173" s="1550">
        <v>4200</v>
      </c>
      <c r="C173" s="3705">
        <v>57.9</v>
      </c>
      <c r="D173" s="1549"/>
      <c r="E173" s="1551">
        <v>1700</v>
      </c>
      <c r="F173" s="1552">
        <v>13.4</v>
      </c>
      <c r="G173" s="1551">
        <v>1600</v>
      </c>
      <c r="H173" s="3706">
        <v>2424</v>
      </c>
      <c r="I173" s="1549"/>
      <c r="J173" s="1551">
        <v>600</v>
      </c>
      <c r="K173" s="3153">
        <v>909</v>
      </c>
    </row>
    <row r="174" spans="1:11">
      <c r="A174" s="1468">
        <v>2003.09</v>
      </c>
      <c r="B174" s="1550">
        <v>4200</v>
      </c>
      <c r="C174" s="3705">
        <v>52.2</v>
      </c>
      <c r="D174" s="1549"/>
      <c r="E174" s="1551">
        <v>1700</v>
      </c>
      <c r="F174" s="1552">
        <v>13.6</v>
      </c>
      <c r="G174" s="1551">
        <v>1600</v>
      </c>
      <c r="H174" s="3706">
        <v>2413</v>
      </c>
      <c r="I174" s="1549"/>
      <c r="J174" s="1551">
        <v>600</v>
      </c>
      <c r="K174" s="3153">
        <v>882</v>
      </c>
    </row>
    <row r="175" spans="1:11">
      <c r="A175" s="1468">
        <v>2003.1</v>
      </c>
      <c r="B175" s="1550">
        <v>4500</v>
      </c>
      <c r="C175" s="3705">
        <v>57.7</v>
      </c>
      <c r="D175" s="1549"/>
      <c r="E175" s="1551">
        <v>1700</v>
      </c>
      <c r="F175" s="1552">
        <v>13.4</v>
      </c>
      <c r="G175" s="1551">
        <v>1700</v>
      </c>
      <c r="H175" s="3706">
        <v>2665</v>
      </c>
      <c r="I175" s="1549"/>
      <c r="J175" s="1551">
        <v>600</v>
      </c>
      <c r="K175" s="3153">
        <v>923</v>
      </c>
    </row>
    <row r="176" spans="1:11">
      <c r="A176" s="1468">
        <v>2003.11</v>
      </c>
      <c r="B176" s="1550">
        <v>4800</v>
      </c>
      <c r="C176" s="3705">
        <v>57.8</v>
      </c>
      <c r="D176" s="1549"/>
      <c r="E176" s="1551">
        <v>1700</v>
      </c>
      <c r="F176" s="1552">
        <v>13.2</v>
      </c>
      <c r="G176" s="1551">
        <v>1800</v>
      </c>
      <c r="H176" s="3706">
        <v>2703</v>
      </c>
      <c r="I176" s="1549"/>
      <c r="J176" s="1551">
        <v>640</v>
      </c>
      <c r="K176" s="3153">
        <v>928</v>
      </c>
    </row>
    <row r="177" spans="1:11">
      <c r="A177" s="1468">
        <v>2003.12</v>
      </c>
      <c r="B177" s="1550">
        <v>4800</v>
      </c>
      <c r="C177" s="3705">
        <v>57.8</v>
      </c>
      <c r="D177" s="1549"/>
      <c r="E177" s="1551">
        <v>1700</v>
      </c>
      <c r="F177" s="1552">
        <v>13.2</v>
      </c>
      <c r="G177" s="1551">
        <v>1800</v>
      </c>
      <c r="H177" s="3706">
        <v>2703</v>
      </c>
      <c r="I177" s="1549"/>
      <c r="J177" s="1551">
        <v>640</v>
      </c>
      <c r="K177" s="3153">
        <v>928</v>
      </c>
    </row>
    <row r="178" spans="1:11">
      <c r="A178" s="1468">
        <v>2004.01</v>
      </c>
      <c r="B178" s="1550">
        <v>4800</v>
      </c>
      <c r="C178" s="3705">
        <v>56.8</v>
      </c>
      <c r="D178" s="1549"/>
      <c r="E178" s="1551">
        <v>1700</v>
      </c>
      <c r="F178" s="1552">
        <v>13.8</v>
      </c>
      <c r="G178" s="1551">
        <v>1800</v>
      </c>
      <c r="H178" s="3706">
        <v>2647</v>
      </c>
      <c r="I178" s="1549"/>
      <c r="J178" s="1551">
        <v>640</v>
      </c>
      <c r="K178" s="3153">
        <v>914</v>
      </c>
    </row>
    <row r="179" spans="1:11">
      <c r="A179" s="1468">
        <v>2004.02</v>
      </c>
      <c r="B179" s="1550">
        <v>5200</v>
      </c>
      <c r="C179" s="3705">
        <v>60.7</v>
      </c>
      <c r="D179" s="1549"/>
      <c r="E179" s="1551">
        <v>1900</v>
      </c>
      <c r="F179" s="1552">
        <v>15.3</v>
      </c>
      <c r="G179" s="1551">
        <v>2200</v>
      </c>
      <c r="H179" s="3706">
        <v>3235</v>
      </c>
      <c r="I179" s="1549"/>
      <c r="J179" s="1551">
        <v>680</v>
      </c>
      <c r="K179" s="3153">
        <v>986</v>
      </c>
    </row>
    <row r="180" spans="1:11">
      <c r="A180" s="1468">
        <v>2004.03</v>
      </c>
      <c r="B180" s="1550">
        <v>5200</v>
      </c>
      <c r="C180" s="3705">
        <v>61.2</v>
      </c>
      <c r="D180" s="1549"/>
      <c r="E180" s="1551">
        <v>1900</v>
      </c>
      <c r="F180" s="1552">
        <v>15.4</v>
      </c>
      <c r="G180" s="1551">
        <v>2200</v>
      </c>
      <c r="H180" s="3706">
        <v>3001</v>
      </c>
      <c r="I180" s="1549"/>
      <c r="J180" s="1551">
        <v>700</v>
      </c>
      <c r="K180" s="3153">
        <v>933</v>
      </c>
    </row>
    <row r="181" spans="1:11">
      <c r="A181" s="1468">
        <v>2004.04</v>
      </c>
      <c r="B181" s="1550">
        <v>5400</v>
      </c>
      <c r="C181" s="3705">
        <v>58.5</v>
      </c>
      <c r="D181" s="1549"/>
      <c r="E181" s="1551">
        <v>2000</v>
      </c>
      <c r="F181" s="1552">
        <v>15.5</v>
      </c>
      <c r="G181" s="1551">
        <v>2200</v>
      </c>
      <c r="H181" s="3706">
        <v>3081</v>
      </c>
      <c r="I181" s="1549"/>
      <c r="J181" s="1551">
        <v>700</v>
      </c>
      <c r="K181" s="3153">
        <v>949</v>
      </c>
    </row>
    <row r="182" spans="1:11">
      <c r="A182" s="1468">
        <v>2004.05</v>
      </c>
      <c r="B182" s="1550">
        <v>5400</v>
      </c>
      <c r="C182" s="3705">
        <v>55.1</v>
      </c>
      <c r="D182" s="1549"/>
      <c r="E182" s="1551">
        <v>2000</v>
      </c>
      <c r="F182" s="1552">
        <v>15.2</v>
      </c>
      <c r="G182" s="1551">
        <v>2200</v>
      </c>
      <c r="H182" s="3706">
        <v>2941</v>
      </c>
      <c r="I182" s="1549"/>
      <c r="J182" s="1551">
        <v>700</v>
      </c>
      <c r="K182" s="3153">
        <v>967</v>
      </c>
    </row>
    <row r="183" spans="1:11">
      <c r="A183" s="1468">
        <v>2004.06</v>
      </c>
      <c r="B183" s="1550">
        <v>5400</v>
      </c>
      <c r="C183" s="3705">
        <v>58.1</v>
      </c>
      <c r="D183" s="1549"/>
      <c r="E183" s="1551">
        <v>2000</v>
      </c>
      <c r="F183" s="1552">
        <v>16.399999999999999</v>
      </c>
      <c r="G183" s="1551">
        <v>2200</v>
      </c>
      <c r="H183" s="3706">
        <v>3099</v>
      </c>
      <c r="I183" s="1549"/>
      <c r="J183" s="1551">
        <v>700</v>
      </c>
      <c r="K183" s="3153">
        <v>1000</v>
      </c>
    </row>
    <row r="184" spans="1:11">
      <c r="A184" s="1468">
        <v>2004.07</v>
      </c>
      <c r="B184" s="1550">
        <v>5400</v>
      </c>
      <c r="C184" s="3705">
        <v>61.4</v>
      </c>
      <c r="D184" s="1549"/>
      <c r="E184" s="1551">
        <v>2000</v>
      </c>
      <c r="F184" s="1552">
        <v>19</v>
      </c>
      <c r="G184" s="1551">
        <v>2200</v>
      </c>
      <c r="H184" s="3706">
        <v>3112</v>
      </c>
      <c r="I184" s="1549"/>
      <c r="J184" s="1551">
        <v>700</v>
      </c>
      <c r="K184" s="3153">
        <v>1004</v>
      </c>
    </row>
    <row r="185" spans="1:11">
      <c r="A185" s="1468">
        <v>2004.08</v>
      </c>
      <c r="B185" s="1550">
        <v>5400</v>
      </c>
      <c r="C185" s="3705">
        <v>72</v>
      </c>
      <c r="D185" s="1549"/>
      <c r="E185" s="1551">
        <v>2000</v>
      </c>
      <c r="F185" s="1552">
        <v>19.600000000000001</v>
      </c>
      <c r="G185" s="1551">
        <v>2200</v>
      </c>
      <c r="H185" s="3706">
        <v>3165</v>
      </c>
      <c r="I185" s="1549"/>
      <c r="J185" s="1551">
        <v>700</v>
      </c>
      <c r="K185" s="3153">
        <v>997</v>
      </c>
    </row>
    <row r="186" spans="1:11">
      <c r="A186" s="1468">
        <v>2004.09</v>
      </c>
      <c r="B186" s="1550">
        <v>5400</v>
      </c>
      <c r="C186" s="3705">
        <v>71.099999999999994</v>
      </c>
      <c r="D186" s="1549"/>
      <c r="E186" s="1551">
        <v>2000</v>
      </c>
      <c r="F186" s="1552">
        <v>20.2</v>
      </c>
      <c r="G186" s="1551">
        <v>2200</v>
      </c>
      <c r="H186" s="3706">
        <v>3090</v>
      </c>
      <c r="I186" s="1549"/>
      <c r="J186" s="1551">
        <v>700</v>
      </c>
      <c r="K186" s="3153">
        <v>909</v>
      </c>
    </row>
    <row r="187" spans="1:11">
      <c r="A187" s="1468">
        <v>2004.1</v>
      </c>
      <c r="B187" s="1550">
        <v>5400</v>
      </c>
      <c r="C187" s="3705">
        <v>73</v>
      </c>
      <c r="D187" s="1549"/>
      <c r="E187" s="1551">
        <v>2000</v>
      </c>
      <c r="F187" s="1552">
        <v>20</v>
      </c>
      <c r="G187" s="1551">
        <v>2200</v>
      </c>
      <c r="H187" s="3706">
        <v>3116</v>
      </c>
      <c r="I187" s="1549"/>
      <c r="J187" s="1551">
        <v>700</v>
      </c>
      <c r="K187" s="3153">
        <v>897</v>
      </c>
    </row>
    <row r="188" spans="1:11">
      <c r="A188" s="1468">
        <v>2004.11</v>
      </c>
      <c r="B188" s="1550">
        <v>5400</v>
      </c>
      <c r="C188" s="3705">
        <v>79.400000000000006</v>
      </c>
      <c r="D188" s="1549"/>
      <c r="E188" s="1551">
        <v>2000</v>
      </c>
      <c r="F188" s="1552">
        <v>22.2</v>
      </c>
      <c r="G188" s="1551">
        <v>2200</v>
      </c>
      <c r="H188" s="3706">
        <v>3152</v>
      </c>
      <c r="I188" s="1549"/>
      <c r="J188" s="1551">
        <v>700</v>
      </c>
      <c r="K188" s="3153">
        <v>897</v>
      </c>
    </row>
    <row r="189" spans="1:11">
      <c r="A189" s="1468">
        <v>2004.12</v>
      </c>
      <c r="B189" s="1550">
        <v>5400</v>
      </c>
      <c r="C189" s="3705">
        <v>77.7</v>
      </c>
      <c r="D189" s="1549"/>
      <c r="E189" s="1551">
        <v>2000</v>
      </c>
      <c r="F189" s="1552">
        <v>22.7</v>
      </c>
      <c r="G189" s="1551">
        <v>2200</v>
      </c>
      <c r="H189" s="3706">
        <v>3099</v>
      </c>
      <c r="I189" s="1549"/>
      <c r="J189" s="1551">
        <v>700</v>
      </c>
      <c r="K189" s="3153">
        <v>897</v>
      </c>
    </row>
    <row r="190" spans="1:11">
      <c r="A190" s="1468">
        <v>2005.01</v>
      </c>
      <c r="B190" s="1550">
        <v>5400</v>
      </c>
      <c r="C190" s="3705">
        <v>85.7</v>
      </c>
      <c r="D190" s="1549"/>
      <c r="E190" s="1551">
        <v>2000</v>
      </c>
      <c r="F190" s="1552">
        <v>24.1</v>
      </c>
      <c r="G190" s="1551">
        <v>2200</v>
      </c>
      <c r="H190" s="3706">
        <v>3056</v>
      </c>
      <c r="I190" s="1549"/>
      <c r="J190" s="1551">
        <v>750</v>
      </c>
      <c r="K190" s="3153">
        <v>893</v>
      </c>
    </row>
    <row r="191" spans="1:11">
      <c r="A191" s="1468">
        <v>2005.02</v>
      </c>
      <c r="B191" s="1550">
        <v>5400</v>
      </c>
      <c r="C191" s="3705">
        <v>86.4</v>
      </c>
      <c r="D191" s="1549"/>
      <c r="E191" s="1551">
        <v>2000</v>
      </c>
      <c r="F191" s="1552">
        <v>25.5</v>
      </c>
      <c r="G191" s="1551">
        <v>2200</v>
      </c>
      <c r="H191" s="3706">
        <v>3014</v>
      </c>
      <c r="I191" s="1549"/>
      <c r="J191" s="1551">
        <v>750</v>
      </c>
      <c r="K191" s="3153">
        <v>882</v>
      </c>
    </row>
    <row r="192" spans="1:11">
      <c r="A192" s="1468">
        <v>2005.03</v>
      </c>
      <c r="B192" s="1550">
        <v>5800</v>
      </c>
      <c r="C192" s="3705">
        <v>90.3</v>
      </c>
      <c r="D192" s="1549"/>
      <c r="E192" s="1551">
        <v>2200</v>
      </c>
      <c r="F192" s="1552">
        <v>22</v>
      </c>
      <c r="G192" s="1551">
        <v>2500</v>
      </c>
      <c r="H192" s="3706">
        <v>3226</v>
      </c>
      <c r="I192" s="1549"/>
      <c r="J192" s="1551">
        <v>800</v>
      </c>
      <c r="K192" s="3153">
        <v>879</v>
      </c>
    </row>
    <row r="193" spans="1:11">
      <c r="A193" s="1468">
        <v>2005.04</v>
      </c>
      <c r="B193" s="1550">
        <v>5800</v>
      </c>
      <c r="C193" s="3705">
        <v>89.2</v>
      </c>
      <c r="D193" s="1549"/>
      <c r="E193" s="1551">
        <v>2200</v>
      </c>
      <c r="F193" s="1552">
        <v>20.6</v>
      </c>
      <c r="G193" s="1551">
        <v>2500</v>
      </c>
      <c r="H193" s="3706">
        <v>3086</v>
      </c>
      <c r="I193" s="1549"/>
      <c r="J193" s="1551">
        <v>800</v>
      </c>
      <c r="K193" s="3153">
        <v>851</v>
      </c>
    </row>
    <row r="194" spans="1:11">
      <c r="A194" s="1468">
        <v>2005.05</v>
      </c>
      <c r="B194" s="1550">
        <v>5800</v>
      </c>
      <c r="C194" s="3705">
        <v>91.6</v>
      </c>
      <c r="D194" s="1549"/>
      <c r="E194" s="1551">
        <v>2200</v>
      </c>
      <c r="F194" s="1552">
        <v>21.4</v>
      </c>
      <c r="G194" s="1551">
        <v>2500</v>
      </c>
      <c r="H194" s="3706">
        <v>3205</v>
      </c>
      <c r="I194" s="1549"/>
      <c r="J194" s="1551">
        <v>800</v>
      </c>
      <c r="K194" s="3153">
        <v>851</v>
      </c>
    </row>
    <row r="195" spans="1:11">
      <c r="A195" s="1468">
        <v>2005.06</v>
      </c>
      <c r="B195" s="1550">
        <v>5800</v>
      </c>
      <c r="C195" s="3705">
        <v>84.1</v>
      </c>
      <c r="D195" s="1549"/>
      <c r="E195" s="1551">
        <v>2200</v>
      </c>
      <c r="F195" s="1552">
        <v>21.4</v>
      </c>
      <c r="G195" s="1551">
        <v>2500</v>
      </c>
      <c r="H195" s="3706">
        <v>3169</v>
      </c>
      <c r="I195" s="1549"/>
      <c r="J195" s="1551">
        <v>800</v>
      </c>
      <c r="K195" s="3153">
        <v>876</v>
      </c>
    </row>
    <row r="196" spans="1:11">
      <c r="A196" s="1468">
        <v>2005.07</v>
      </c>
      <c r="B196" s="1550">
        <v>5800</v>
      </c>
      <c r="C196" s="3705">
        <v>81.7</v>
      </c>
      <c r="D196" s="1549"/>
      <c r="E196" s="1551">
        <v>2300</v>
      </c>
      <c r="F196" s="1552">
        <v>21.1</v>
      </c>
      <c r="G196" s="1551">
        <v>2600</v>
      </c>
      <c r="H196" s="3706">
        <v>3210</v>
      </c>
      <c r="I196" s="1549"/>
      <c r="J196" s="1551">
        <v>850</v>
      </c>
      <c r="K196" s="3153">
        <v>924</v>
      </c>
    </row>
    <row r="197" spans="1:11">
      <c r="A197" s="1468">
        <v>2005.08</v>
      </c>
      <c r="B197" s="1550">
        <v>6000</v>
      </c>
      <c r="C197" s="3705">
        <v>75.900000000000006</v>
      </c>
      <c r="D197" s="1549"/>
      <c r="E197" s="1551">
        <v>2500</v>
      </c>
      <c r="F197" s="1552">
        <v>22.5</v>
      </c>
      <c r="G197" s="1551">
        <v>2800</v>
      </c>
      <c r="H197" s="3706">
        <v>3419</v>
      </c>
      <c r="I197" s="1549"/>
      <c r="J197" s="1551">
        <v>900</v>
      </c>
      <c r="K197" s="3153">
        <v>891</v>
      </c>
    </row>
    <row r="198" spans="1:11">
      <c r="A198" s="1468">
        <v>2005.09</v>
      </c>
      <c r="B198" s="1550">
        <v>6000</v>
      </c>
      <c r="C198" s="3705">
        <v>78.400000000000006</v>
      </c>
      <c r="D198" s="1549"/>
      <c r="E198" s="1551">
        <v>2500</v>
      </c>
      <c r="F198" s="1552">
        <v>22.8</v>
      </c>
      <c r="G198" s="1551">
        <v>2800</v>
      </c>
      <c r="H198" s="3706">
        <v>3500</v>
      </c>
      <c r="I198" s="1549"/>
      <c r="J198" s="1551">
        <v>900</v>
      </c>
      <c r="K198" s="3153">
        <v>874</v>
      </c>
    </row>
    <row r="199" spans="1:11">
      <c r="A199" s="1468">
        <v>2005.1</v>
      </c>
      <c r="B199" s="1550">
        <v>7000</v>
      </c>
      <c r="C199" s="3705">
        <v>95.9</v>
      </c>
      <c r="D199" s="1549"/>
      <c r="E199" s="1551">
        <v>2800</v>
      </c>
      <c r="F199" s="1552">
        <v>26.7</v>
      </c>
      <c r="G199" s="1551">
        <v>3000</v>
      </c>
      <c r="H199" s="3706">
        <v>3750</v>
      </c>
      <c r="I199" s="1549"/>
      <c r="J199" s="1551">
        <v>1000</v>
      </c>
      <c r="K199" s="3153">
        <v>990</v>
      </c>
    </row>
    <row r="200" spans="1:11">
      <c r="A200" s="1468">
        <v>2005.11</v>
      </c>
      <c r="B200" s="1550">
        <v>7000</v>
      </c>
      <c r="C200" s="3705">
        <v>97.6</v>
      </c>
      <c r="D200" s="1549"/>
      <c r="E200" s="1551">
        <v>2800</v>
      </c>
      <c r="F200" s="1552">
        <v>25.9</v>
      </c>
      <c r="G200" s="1551">
        <v>3000</v>
      </c>
      <c r="H200" s="3706">
        <v>3584</v>
      </c>
      <c r="I200" s="1549"/>
      <c r="J200" s="1551">
        <v>1000</v>
      </c>
      <c r="K200" s="3153">
        <v>971</v>
      </c>
    </row>
    <row r="201" spans="1:11">
      <c r="A201" s="1468">
        <v>2005.12</v>
      </c>
      <c r="B201" s="1550">
        <v>7000</v>
      </c>
      <c r="C201" s="3705">
        <v>102.9</v>
      </c>
      <c r="D201" s="1549"/>
      <c r="E201" s="1551">
        <v>2800</v>
      </c>
      <c r="F201" s="1552">
        <v>26.7</v>
      </c>
      <c r="G201" s="1551">
        <v>3000</v>
      </c>
      <c r="H201" s="3706">
        <v>3529</v>
      </c>
      <c r="I201" s="1549"/>
      <c r="J201" s="1551">
        <v>1000</v>
      </c>
      <c r="K201" s="3153">
        <v>990</v>
      </c>
    </row>
    <row r="202" spans="1:11">
      <c r="A202" s="1468">
        <v>2006.01</v>
      </c>
      <c r="B202" s="1550">
        <v>7000</v>
      </c>
      <c r="C202" s="3705">
        <v>88.6</v>
      </c>
      <c r="D202" s="1549"/>
      <c r="E202" s="1551">
        <v>2800</v>
      </c>
      <c r="F202" s="1552">
        <v>26.4</v>
      </c>
      <c r="G202" s="1551">
        <v>3000</v>
      </c>
      <c r="H202" s="3706">
        <v>3797</v>
      </c>
      <c r="I202" s="1549"/>
      <c r="J202" s="1551">
        <v>1000</v>
      </c>
      <c r="K202" s="3153">
        <v>1000</v>
      </c>
    </row>
    <row r="203" spans="1:11">
      <c r="A203" s="1468">
        <v>2006.02</v>
      </c>
      <c r="B203" s="1550">
        <v>7500</v>
      </c>
      <c r="C203" s="3705">
        <v>88.2</v>
      </c>
      <c r="D203" s="1549"/>
      <c r="E203" s="1551">
        <v>2800</v>
      </c>
      <c r="F203" s="1552">
        <v>25.5</v>
      </c>
      <c r="G203" s="1551">
        <v>3000</v>
      </c>
      <c r="H203" s="3706">
        <v>3623</v>
      </c>
      <c r="I203" s="1549"/>
      <c r="J203" s="1551">
        <v>1000</v>
      </c>
      <c r="K203" s="3153">
        <v>1027</v>
      </c>
    </row>
    <row r="204" spans="1:11">
      <c r="A204" s="1468">
        <v>2006.03</v>
      </c>
      <c r="B204" s="1550">
        <v>7500</v>
      </c>
      <c r="C204" s="3705">
        <v>92.7</v>
      </c>
      <c r="D204" s="1549"/>
      <c r="E204" s="1551">
        <v>2800</v>
      </c>
      <c r="F204" s="1552">
        <v>26.7</v>
      </c>
      <c r="G204" s="1551">
        <v>3000</v>
      </c>
      <c r="H204" s="3706">
        <v>3501</v>
      </c>
      <c r="I204" s="1549"/>
      <c r="J204" s="1551">
        <v>1000</v>
      </c>
      <c r="K204" s="3153">
        <v>1000</v>
      </c>
    </row>
    <row r="205" spans="1:11">
      <c r="A205" s="1468">
        <v>2006.04</v>
      </c>
      <c r="B205" s="1550">
        <v>7500</v>
      </c>
      <c r="C205" s="3705">
        <v>93.1</v>
      </c>
      <c r="D205" s="1549"/>
      <c r="E205" s="1551">
        <v>2800</v>
      </c>
      <c r="F205" s="1552">
        <v>27.5</v>
      </c>
      <c r="G205" s="1551">
        <v>3000</v>
      </c>
      <c r="H205" s="3706">
        <v>3722</v>
      </c>
      <c r="I205" s="1549"/>
      <c r="J205" s="1551">
        <v>1000</v>
      </c>
      <c r="K205" s="3153">
        <v>1087</v>
      </c>
    </row>
    <row r="206" spans="1:11">
      <c r="A206" s="1468">
        <v>2006.05</v>
      </c>
      <c r="B206" s="1550">
        <v>7500</v>
      </c>
      <c r="C206" s="3705">
        <v>86.2</v>
      </c>
      <c r="D206" s="1549"/>
      <c r="E206" s="1551">
        <v>2800</v>
      </c>
      <c r="F206" s="1552">
        <v>24.8</v>
      </c>
      <c r="G206" s="1551">
        <v>3000</v>
      </c>
      <c r="H206" s="3706">
        <v>3659</v>
      </c>
      <c r="I206" s="1549"/>
      <c r="J206" s="1551">
        <v>1000</v>
      </c>
      <c r="K206" s="3153">
        <v>1124</v>
      </c>
    </row>
    <row r="207" spans="1:11">
      <c r="A207" s="1468">
        <v>2006.06</v>
      </c>
      <c r="B207" s="1550">
        <v>7500</v>
      </c>
      <c r="C207" s="3705">
        <v>87.2</v>
      </c>
      <c r="D207" s="1549"/>
      <c r="E207" s="1551">
        <v>2800</v>
      </c>
      <c r="F207" s="1552">
        <v>26.4</v>
      </c>
      <c r="G207" s="1551">
        <v>3200</v>
      </c>
      <c r="H207" s="3706">
        <v>4222</v>
      </c>
      <c r="I207" s="1549"/>
      <c r="J207" s="1551">
        <v>1000</v>
      </c>
      <c r="K207" s="3153">
        <v>1171</v>
      </c>
    </row>
    <row r="208" spans="1:11">
      <c r="A208" s="1468">
        <v>2006.07</v>
      </c>
      <c r="B208" s="1550">
        <v>7500</v>
      </c>
      <c r="C208" s="3705">
        <v>86.7</v>
      </c>
      <c r="D208" s="1549"/>
      <c r="E208" s="1551">
        <v>2800</v>
      </c>
      <c r="F208" s="1552">
        <v>28</v>
      </c>
      <c r="G208" s="1551">
        <v>3200</v>
      </c>
      <c r="H208" s="3706">
        <v>4444</v>
      </c>
      <c r="I208" s="1549"/>
      <c r="J208" s="1551">
        <v>1050</v>
      </c>
      <c r="K208" s="3153">
        <v>1280</v>
      </c>
    </row>
    <row r="209" spans="1:11">
      <c r="A209" s="1468">
        <v>2006.08</v>
      </c>
      <c r="B209" s="1550">
        <v>7500</v>
      </c>
      <c r="C209" s="3705">
        <v>86.2</v>
      </c>
      <c r="D209" s="1549"/>
      <c r="E209" s="1551">
        <v>2800</v>
      </c>
      <c r="F209" s="1552">
        <v>26.9</v>
      </c>
      <c r="G209" s="1551">
        <v>3200</v>
      </c>
      <c r="H209" s="3706">
        <v>4000</v>
      </c>
      <c r="I209" s="1549"/>
      <c r="J209" s="1551">
        <v>1050</v>
      </c>
      <c r="K209" s="3153">
        <v>1207</v>
      </c>
    </row>
    <row r="210" spans="1:11">
      <c r="A210" s="1468">
        <v>2006.09</v>
      </c>
      <c r="B210" s="1550">
        <v>8200</v>
      </c>
      <c r="C210" s="3705">
        <v>94.3</v>
      </c>
      <c r="D210" s="1549"/>
      <c r="E210" s="1551">
        <v>3000</v>
      </c>
      <c r="F210" s="1552">
        <v>28</v>
      </c>
      <c r="G210" s="1551">
        <v>3400</v>
      </c>
      <c r="H210" s="3706">
        <v>4533</v>
      </c>
      <c r="I210" s="1549"/>
      <c r="J210" s="1551">
        <v>1100</v>
      </c>
      <c r="K210" s="3153">
        <v>1222</v>
      </c>
    </row>
    <row r="211" spans="1:11">
      <c r="A211" s="1468">
        <v>2006.1</v>
      </c>
      <c r="B211" s="1550">
        <v>8200</v>
      </c>
      <c r="C211" s="3705">
        <v>86.8</v>
      </c>
      <c r="D211" s="1549"/>
      <c r="E211" s="1551">
        <v>3000</v>
      </c>
      <c r="F211" s="1552">
        <v>25.3</v>
      </c>
      <c r="G211" s="1551">
        <v>3400</v>
      </c>
      <c r="H211" s="3706">
        <v>4595</v>
      </c>
      <c r="I211" s="1549"/>
      <c r="J211" s="1551">
        <v>1100</v>
      </c>
      <c r="K211" s="3153">
        <v>1250</v>
      </c>
    </row>
    <row r="212" spans="1:11">
      <c r="A212" s="1468">
        <v>2006.11</v>
      </c>
      <c r="B212" s="1550">
        <v>8200</v>
      </c>
      <c r="C212" s="3705">
        <v>71.3</v>
      </c>
      <c r="D212" s="1549"/>
      <c r="E212" s="1551">
        <v>3000</v>
      </c>
      <c r="F212" s="1552">
        <v>24.4</v>
      </c>
      <c r="G212" s="1551">
        <v>3400</v>
      </c>
      <c r="H212" s="3706">
        <v>4304</v>
      </c>
      <c r="I212" s="1549"/>
      <c r="J212" s="1551">
        <v>1100</v>
      </c>
      <c r="K212" s="3153">
        <v>1250</v>
      </c>
    </row>
    <row r="213" spans="1:11">
      <c r="A213" s="1468">
        <v>2006.12</v>
      </c>
      <c r="B213" s="1550">
        <v>8400</v>
      </c>
      <c r="C213" s="3705">
        <v>65.099999999999994</v>
      </c>
      <c r="D213" s="1549"/>
      <c r="E213" s="1551">
        <v>3200</v>
      </c>
      <c r="F213" s="1552">
        <v>26.4</v>
      </c>
      <c r="G213" s="1551">
        <v>3700</v>
      </c>
      <c r="H213" s="3706">
        <v>4405</v>
      </c>
      <c r="I213" s="1549"/>
      <c r="J213" s="1551">
        <v>1200</v>
      </c>
      <c r="K213" s="3153">
        <v>1237</v>
      </c>
    </row>
    <row r="214" spans="1:11">
      <c r="A214" s="1468">
        <v>2007.01</v>
      </c>
      <c r="B214" s="1550">
        <v>8400</v>
      </c>
      <c r="C214" s="3705">
        <v>63</v>
      </c>
      <c r="D214" s="739">
        <v>41</v>
      </c>
      <c r="E214" s="1551">
        <v>3300</v>
      </c>
      <c r="F214" s="1552">
        <v>28</v>
      </c>
      <c r="G214" s="1551">
        <v>3700</v>
      </c>
      <c r="H214" s="3706">
        <v>4421</v>
      </c>
      <c r="I214" s="739">
        <v>18</v>
      </c>
      <c r="J214" s="1551">
        <v>1200</v>
      </c>
      <c r="K214" s="3153">
        <v>1277</v>
      </c>
    </row>
    <row r="215" spans="1:11">
      <c r="A215" s="1468">
        <v>2007.02</v>
      </c>
      <c r="B215" s="1550">
        <v>8400</v>
      </c>
      <c r="C215" s="3705">
        <v>67</v>
      </c>
      <c r="D215" s="1553">
        <v>44</v>
      </c>
      <c r="E215" s="1551">
        <v>3300</v>
      </c>
      <c r="F215" s="1552">
        <v>27</v>
      </c>
      <c r="G215" s="1551">
        <v>3700</v>
      </c>
      <c r="H215" s="3706">
        <v>4442</v>
      </c>
      <c r="I215" s="1553">
        <v>19</v>
      </c>
      <c r="J215" s="1551">
        <v>1200</v>
      </c>
      <c r="K215" s="3153">
        <v>1333</v>
      </c>
    </row>
    <row r="216" spans="1:11">
      <c r="A216" s="1468">
        <v>2007.03</v>
      </c>
      <c r="B216" s="1550">
        <v>8700</v>
      </c>
      <c r="C216" s="3705">
        <v>68</v>
      </c>
      <c r="D216" s="1553">
        <v>45</v>
      </c>
      <c r="E216" s="1551">
        <v>3300</v>
      </c>
      <c r="F216" s="1552">
        <v>28</v>
      </c>
      <c r="G216" s="1551">
        <v>3900</v>
      </c>
      <c r="H216" s="3706">
        <v>4483</v>
      </c>
      <c r="I216" s="1553">
        <v>20</v>
      </c>
      <c r="J216" s="1551">
        <v>1200</v>
      </c>
      <c r="K216" s="3153">
        <v>1333</v>
      </c>
    </row>
    <row r="217" spans="1:11">
      <c r="A217" s="1468">
        <v>2007.04</v>
      </c>
      <c r="B217" s="1550">
        <v>8700</v>
      </c>
      <c r="C217" s="3705">
        <v>82</v>
      </c>
      <c r="D217" s="1553">
        <v>45</v>
      </c>
      <c r="E217" s="1551">
        <v>3500</v>
      </c>
      <c r="F217" s="1552">
        <v>30</v>
      </c>
      <c r="G217" s="1551">
        <v>4000</v>
      </c>
      <c r="H217" s="3706">
        <v>4444</v>
      </c>
      <c r="I217" s="1553">
        <v>21</v>
      </c>
      <c r="J217" s="1551">
        <v>1250</v>
      </c>
      <c r="K217" s="3153">
        <v>1369</v>
      </c>
    </row>
    <row r="218" spans="1:11">
      <c r="A218" s="1468">
        <v>2007.05</v>
      </c>
      <c r="B218" s="1550">
        <v>8700</v>
      </c>
      <c r="C218" s="3705">
        <v>78</v>
      </c>
      <c r="D218" s="1553">
        <v>46</v>
      </c>
      <c r="E218" s="1551">
        <v>3500</v>
      </c>
      <c r="F218" s="1552">
        <v>29</v>
      </c>
      <c r="G218" s="1551">
        <v>4000</v>
      </c>
      <c r="H218" s="3706">
        <v>4301</v>
      </c>
      <c r="I218" s="1553">
        <v>21</v>
      </c>
      <c r="J218" s="1551">
        <v>1250</v>
      </c>
      <c r="K218" s="3153">
        <v>1369</v>
      </c>
    </row>
    <row r="219" spans="1:11">
      <c r="A219" s="1468">
        <v>2007.06</v>
      </c>
      <c r="B219" s="1550">
        <v>8700</v>
      </c>
      <c r="C219" s="3705">
        <v>71</v>
      </c>
      <c r="D219" s="1553">
        <v>44</v>
      </c>
      <c r="E219" s="1551">
        <v>3500</v>
      </c>
      <c r="F219" s="1552">
        <v>27</v>
      </c>
      <c r="G219" s="1551">
        <v>4000</v>
      </c>
      <c r="H219" s="3706">
        <v>4219</v>
      </c>
      <c r="I219" s="1553">
        <v>20</v>
      </c>
      <c r="J219" s="1551">
        <v>1250</v>
      </c>
      <c r="K219" s="3153">
        <v>1337</v>
      </c>
    </row>
    <row r="220" spans="1:11">
      <c r="A220" s="1468">
        <v>2007.07</v>
      </c>
      <c r="B220" s="1550">
        <v>9200</v>
      </c>
      <c r="C220" s="3705">
        <v>85</v>
      </c>
      <c r="D220" s="1553">
        <v>45</v>
      </c>
      <c r="E220" s="1551">
        <v>3700</v>
      </c>
      <c r="F220" s="1552">
        <v>26</v>
      </c>
      <c r="G220" s="1551">
        <v>4300</v>
      </c>
      <c r="H220" s="3706">
        <v>4536</v>
      </c>
      <c r="I220" s="1553">
        <v>21</v>
      </c>
      <c r="J220" s="1551">
        <v>1350</v>
      </c>
      <c r="K220" s="3153">
        <v>1500</v>
      </c>
    </row>
    <row r="221" spans="1:11">
      <c r="A221" s="1468">
        <v>2007.08</v>
      </c>
      <c r="B221" s="1550">
        <v>9500</v>
      </c>
      <c r="C221" s="3705">
        <v>85</v>
      </c>
      <c r="D221" s="1553">
        <v>47</v>
      </c>
      <c r="E221" s="1551">
        <v>4000</v>
      </c>
      <c r="F221" s="1552">
        <v>26</v>
      </c>
      <c r="G221" s="1551">
        <v>4700</v>
      </c>
      <c r="H221" s="3706">
        <v>5341</v>
      </c>
      <c r="I221" s="1553">
        <v>23</v>
      </c>
      <c r="J221" s="1551">
        <v>1500</v>
      </c>
      <c r="K221" s="3153">
        <v>1744</v>
      </c>
    </row>
    <row r="222" spans="1:11">
      <c r="A222" s="1468">
        <v>2007.09</v>
      </c>
      <c r="B222" s="1550">
        <v>9700</v>
      </c>
      <c r="C222" s="3705">
        <v>84</v>
      </c>
      <c r="D222" s="1553">
        <v>44</v>
      </c>
      <c r="E222" s="1551">
        <v>4000</v>
      </c>
      <c r="F222" s="1552">
        <v>22</v>
      </c>
      <c r="G222" s="1551">
        <v>4700</v>
      </c>
      <c r="H222" s="3706">
        <v>5000</v>
      </c>
      <c r="I222" s="1553">
        <v>21</v>
      </c>
      <c r="J222" s="1551">
        <v>1500</v>
      </c>
      <c r="K222" s="3153">
        <v>1630</v>
      </c>
    </row>
    <row r="223" spans="1:11">
      <c r="A223" s="1468">
        <v>2007.1</v>
      </c>
      <c r="B223" s="1550">
        <v>10000</v>
      </c>
      <c r="C223" s="3705">
        <v>84</v>
      </c>
      <c r="D223" s="1553">
        <v>40</v>
      </c>
      <c r="E223" s="1551">
        <v>4200</v>
      </c>
      <c r="F223" s="1552">
        <v>20</v>
      </c>
      <c r="G223" s="1551">
        <v>4800</v>
      </c>
      <c r="H223" s="3706">
        <v>5106</v>
      </c>
      <c r="I223" s="1553">
        <v>19</v>
      </c>
      <c r="J223" s="1551">
        <v>1600</v>
      </c>
      <c r="K223" s="3153">
        <v>1649</v>
      </c>
    </row>
    <row r="224" spans="1:11">
      <c r="A224" s="1468">
        <v>2007.11</v>
      </c>
      <c r="B224" s="1550">
        <v>10000</v>
      </c>
      <c r="C224" s="3705">
        <v>89</v>
      </c>
      <c r="D224" s="1553">
        <v>39</v>
      </c>
      <c r="E224" s="1551">
        <v>4200</v>
      </c>
      <c r="F224" s="1552">
        <v>23</v>
      </c>
      <c r="G224" s="1551">
        <v>4800</v>
      </c>
      <c r="H224" s="3706">
        <v>4898</v>
      </c>
      <c r="I224" s="1553">
        <v>19</v>
      </c>
      <c r="J224" s="1551">
        <v>1600</v>
      </c>
      <c r="K224" s="3153">
        <v>1584</v>
      </c>
    </row>
    <row r="225" spans="1:11">
      <c r="A225" s="1468">
        <v>2007.12</v>
      </c>
      <c r="B225" s="1550">
        <v>10000</v>
      </c>
      <c r="C225" s="3705">
        <v>99</v>
      </c>
      <c r="D225" s="1553">
        <v>39</v>
      </c>
      <c r="E225" s="1551">
        <v>4200</v>
      </c>
      <c r="F225" s="1552">
        <v>23</v>
      </c>
      <c r="G225" s="1551">
        <v>4800</v>
      </c>
      <c r="H225" s="3706">
        <v>4848</v>
      </c>
      <c r="I225" s="1553">
        <v>18</v>
      </c>
      <c r="J225" s="1551">
        <v>1600</v>
      </c>
      <c r="K225" s="3153">
        <v>1524</v>
      </c>
    </row>
    <row r="226" spans="1:11">
      <c r="A226" s="1468">
        <f t="shared" ref="A226:A289" si="0">A214+1</f>
        <v>2008.01</v>
      </c>
      <c r="B226" s="1550">
        <v>10700</v>
      </c>
      <c r="C226" s="3705">
        <v>85</v>
      </c>
      <c r="D226" s="1553">
        <v>37</v>
      </c>
      <c r="E226" s="1551">
        <v>4800</v>
      </c>
      <c r="F226" s="1552">
        <v>30</v>
      </c>
      <c r="G226" s="1551">
        <v>5500</v>
      </c>
      <c r="H226" s="3706">
        <v>5500</v>
      </c>
      <c r="I226" s="1553">
        <v>19</v>
      </c>
      <c r="J226" s="1551">
        <v>1800</v>
      </c>
      <c r="K226" s="3153">
        <v>1731</v>
      </c>
    </row>
    <row r="227" spans="1:11">
      <c r="A227" s="1468">
        <f t="shared" si="0"/>
        <v>2008.02</v>
      </c>
      <c r="B227" s="1550">
        <v>11000</v>
      </c>
      <c r="C227" s="3705">
        <v>74</v>
      </c>
      <c r="D227" s="1553">
        <v>32</v>
      </c>
      <c r="E227" s="1551">
        <v>4800</v>
      </c>
      <c r="F227" s="1552">
        <v>25</v>
      </c>
      <c r="G227" s="1551">
        <v>5500</v>
      </c>
      <c r="H227" s="3706">
        <v>5288</v>
      </c>
      <c r="I227" s="1553">
        <v>16</v>
      </c>
      <c r="J227" s="1551">
        <v>1900</v>
      </c>
      <c r="K227" s="3153">
        <v>1881</v>
      </c>
    </row>
    <row r="228" spans="1:11">
      <c r="A228" s="1468">
        <f t="shared" si="0"/>
        <v>2008.03</v>
      </c>
      <c r="B228" s="1550">
        <v>11500</v>
      </c>
      <c r="C228" s="3705">
        <v>72</v>
      </c>
      <c r="D228" s="1553">
        <v>32</v>
      </c>
      <c r="E228" s="1551">
        <v>5000</v>
      </c>
      <c r="F228" s="1552">
        <v>26</v>
      </c>
      <c r="G228" s="1551">
        <v>6000</v>
      </c>
      <c r="H228" s="3706">
        <v>5505</v>
      </c>
      <c r="I228" s="1553">
        <v>17</v>
      </c>
      <c r="J228" s="1551">
        <v>2000</v>
      </c>
      <c r="K228" s="3153">
        <v>1835</v>
      </c>
    </row>
    <row r="229" spans="1:11">
      <c r="A229" s="1468">
        <f t="shared" si="0"/>
        <v>2008.04</v>
      </c>
      <c r="B229" s="1550">
        <v>12000</v>
      </c>
      <c r="C229" s="3705">
        <v>71</v>
      </c>
      <c r="D229" s="1553">
        <v>42</v>
      </c>
      <c r="E229" s="1551">
        <v>5000</v>
      </c>
      <c r="F229" s="1552">
        <v>26</v>
      </c>
      <c r="G229" s="1551">
        <v>6000</v>
      </c>
      <c r="H229" s="3706">
        <v>5172</v>
      </c>
      <c r="I229" s="1553">
        <v>21</v>
      </c>
      <c r="J229" s="1551">
        <v>2000</v>
      </c>
      <c r="K229" s="3153">
        <v>1724</v>
      </c>
    </row>
    <row r="230" spans="1:11">
      <c r="A230" s="1468">
        <f t="shared" si="0"/>
        <v>2008.05</v>
      </c>
      <c r="B230" s="1550">
        <v>12500</v>
      </c>
      <c r="C230" s="3705">
        <v>76</v>
      </c>
      <c r="D230" s="1553">
        <v>44</v>
      </c>
      <c r="E230" s="1551">
        <v>5500</v>
      </c>
      <c r="F230" s="1552">
        <v>23</v>
      </c>
      <c r="G230" s="1551">
        <v>6500</v>
      </c>
      <c r="H230" s="3706">
        <v>5652</v>
      </c>
      <c r="I230" s="1553">
        <v>23</v>
      </c>
      <c r="J230" s="1551">
        <v>2000</v>
      </c>
      <c r="K230" s="3153">
        <v>1786</v>
      </c>
    </row>
    <row r="231" spans="1:11">
      <c r="A231" s="1468">
        <f t="shared" si="0"/>
        <v>2008.06</v>
      </c>
      <c r="B231" s="1550">
        <v>12500</v>
      </c>
      <c r="C231" s="3705">
        <v>77</v>
      </c>
      <c r="D231" s="1553">
        <v>43</v>
      </c>
      <c r="E231" s="1551">
        <v>6000</v>
      </c>
      <c r="F231" s="1552">
        <v>25</v>
      </c>
      <c r="G231" s="1551">
        <v>6500</v>
      </c>
      <c r="H231" s="3706">
        <v>5804</v>
      </c>
      <c r="I231" s="1553">
        <v>22</v>
      </c>
      <c r="J231" s="1551">
        <v>2000</v>
      </c>
      <c r="K231" s="3153">
        <v>1835</v>
      </c>
    </row>
    <row r="232" spans="1:11">
      <c r="A232" s="1468">
        <f t="shared" si="0"/>
        <v>2008.07</v>
      </c>
      <c r="B232" s="1550">
        <v>12500</v>
      </c>
      <c r="C232" s="3705">
        <v>74</v>
      </c>
      <c r="D232" s="1553">
        <v>41</v>
      </c>
      <c r="E232" s="1551">
        <v>6000</v>
      </c>
      <c r="F232" s="1552">
        <v>25</v>
      </c>
      <c r="G232" s="1551">
        <v>6500</v>
      </c>
      <c r="H232" s="3706">
        <v>5804</v>
      </c>
      <c r="I232" s="1553">
        <v>22</v>
      </c>
      <c r="J232" s="1551">
        <v>2000</v>
      </c>
      <c r="K232" s="3153">
        <v>1786</v>
      </c>
    </row>
    <row r="233" spans="1:11">
      <c r="A233" s="1468">
        <f t="shared" si="0"/>
        <v>2008.08</v>
      </c>
      <c r="B233" s="1550">
        <v>12500</v>
      </c>
      <c r="C233" s="3705">
        <v>91</v>
      </c>
      <c r="D233" s="1553">
        <v>42</v>
      </c>
      <c r="E233" s="1551">
        <v>6000</v>
      </c>
      <c r="F233" s="1552">
        <v>31</v>
      </c>
      <c r="G233" s="1551">
        <v>6500</v>
      </c>
      <c r="H233" s="3706">
        <v>5603</v>
      </c>
      <c r="I233" s="1553">
        <v>22</v>
      </c>
      <c r="J233" s="1551">
        <v>2000</v>
      </c>
      <c r="K233" s="3153">
        <v>1754</v>
      </c>
    </row>
    <row r="234" spans="1:11">
      <c r="A234" s="1468">
        <f t="shared" si="0"/>
        <v>2008.09</v>
      </c>
      <c r="B234" s="1550">
        <v>12500</v>
      </c>
      <c r="C234" s="3705">
        <v>89</v>
      </c>
      <c r="D234" s="1553">
        <v>44</v>
      </c>
      <c r="E234" s="1551">
        <v>6000</v>
      </c>
      <c r="F234" s="1552">
        <v>32</v>
      </c>
      <c r="G234" s="1551">
        <v>6500</v>
      </c>
      <c r="H234" s="3706">
        <v>5417</v>
      </c>
      <c r="I234" s="1553">
        <v>23</v>
      </c>
      <c r="J234" s="1551">
        <v>2000</v>
      </c>
      <c r="K234" s="3153">
        <v>1653</v>
      </c>
    </row>
    <row r="235" spans="1:11">
      <c r="A235" s="1468">
        <f t="shared" si="0"/>
        <v>2008.1</v>
      </c>
      <c r="B235" s="1550">
        <v>12000</v>
      </c>
      <c r="C235" s="3705">
        <v>103</v>
      </c>
      <c r="D235" s="1553">
        <v>47</v>
      </c>
      <c r="E235" s="1551">
        <v>5500</v>
      </c>
      <c r="F235" s="1552">
        <v>32</v>
      </c>
      <c r="G235" s="1551">
        <v>6000</v>
      </c>
      <c r="H235" s="3706">
        <v>5263</v>
      </c>
      <c r="I235" s="1553">
        <v>24</v>
      </c>
      <c r="J235" s="1551">
        <v>2000</v>
      </c>
      <c r="K235" s="3153">
        <v>1754</v>
      </c>
    </row>
    <row r="236" spans="1:11">
      <c r="A236" s="1468">
        <f t="shared" si="0"/>
        <v>2008.11</v>
      </c>
      <c r="B236" s="1550">
        <v>11500</v>
      </c>
      <c r="C236" s="3705">
        <v>122</v>
      </c>
      <c r="D236" s="1553">
        <v>52</v>
      </c>
      <c r="E236" s="1551">
        <v>5000</v>
      </c>
      <c r="F236" s="1552">
        <v>40</v>
      </c>
      <c r="G236" s="1551">
        <v>5800</v>
      </c>
      <c r="H236" s="3706">
        <v>6237</v>
      </c>
      <c r="I236" s="1553">
        <v>26</v>
      </c>
      <c r="J236" s="1551">
        <v>1900</v>
      </c>
      <c r="K236" s="3153">
        <v>2088</v>
      </c>
    </row>
    <row r="237" spans="1:11">
      <c r="A237" s="1468">
        <f t="shared" si="0"/>
        <v>2008.12</v>
      </c>
      <c r="B237" s="1550">
        <v>10700</v>
      </c>
      <c r="C237" s="3705">
        <v>134</v>
      </c>
      <c r="D237" s="1553">
        <v>53</v>
      </c>
      <c r="E237" s="1551">
        <v>4800</v>
      </c>
      <c r="F237" s="1552">
        <v>42</v>
      </c>
      <c r="G237" s="1551">
        <v>5800</v>
      </c>
      <c r="H237" s="3706">
        <v>6667</v>
      </c>
      <c r="I237" s="1553">
        <v>29</v>
      </c>
      <c r="J237" s="1551">
        <v>1800</v>
      </c>
      <c r="K237" s="3153">
        <v>2105</v>
      </c>
    </row>
    <row r="238" spans="1:11">
      <c r="A238" s="1468">
        <f t="shared" si="0"/>
        <v>2009.01</v>
      </c>
      <c r="B238" s="1550">
        <v>10200</v>
      </c>
      <c r="C238" s="3705">
        <v>114.6</v>
      </c>
      <c r="D238" s="1553">
        <v>42.9</v>
      </c>
      <c r="E238" s="1551">
        <v>4800</v>
      </c>
      <c r="F238" s="1552">
        <v>40.700000000000003</v>
      </c>
      <c r="G238" s="1551">
        <v>5500</v>
      </c>
      <c r="H238" s="3706">
        <v>6627</v>
      </c>
      <c r="I238" s="1553">
        <v>23.1</v>
      </c>
      <c r="J238" s="1551">
        <v>1800</v>
      </c>
      <c r="K238" s="3153">
        <v>2093</v>
      </c>
    </row>
    <row r="239" spans="1:11">
      <c r="A239" s="1468">
        <f t="shared" si="0"/>
        <v>2009.02</v>
      </c>
      <c r="B239" s="1550">
        <v>10200</v>
      </c>
      <c r="C239" s="3705">
        <v>94.4</v>
      </c>
      <c r="D239" s="1553">
        <v>40.5</v>
      </c>
      <c r="E239" s="1551">
        <v>4800</v>
      </c>
      <c r="F239" s="1552">
        <v>43.2</v>
      </c>
      <c r="G239" s="1551">
        <v>5500</v>
      </c>
      <c r="H239" s="3706">
        <v>6044</v>
      </c>
      <c r="I239" s="1553">
        <v>21.8</v>
      </c>
      <c r="J239" s="1551">
        <v>1800</v>
      </c>
      <c r="K239" s="3153">
        <v>2100</v>
      </c>
    </row>
    <row r="240" spans="1:11">
      <c r="A240" s="1468">
        <f t="shared" si="0"/>
        <v>2009.03</v>
      </c>
      <c r="B240" s="1550">
        <v>10200</v>
      </c>
      <c r="C240" s="3705">
        <v>94.7</v>
      </c>
      <c r="D240" s="1553">
        <v>50.2</v>
      </c>
      <c r="E240" s="1551">
        <v>4800</v>
      </c>
      <c r="F240" s="1552">
        <v>41.9</v>
      </c>
      <c r="G240" s="1551">
        <v>5500</v>
      </c>
      <c r="H240" s="3706">
        <v>5729</v>
      </c>
      <c r="I240" s="1553">
        <v>27.1</v>
      </c>
      <c r="J240" s="1551">
        <v>1800</v>
      </c>
      <c r="K240" s="3153">
        <v>2045</v>
      </c>
    </row>
    <row r="241" spans="1:11">
      <c r="A241" s="1468">
        <f t="shared" si="0"/>
        <v>2009.04</v>
      </c>
      <c r="B241" s="1550">
        <v>10200</v>
      </c>
      <c r="C241" s="3705">
        <v>96.6</v>
      </c>
      <c r="D241" s="1553">
        <v>43.9</v>
      </c>
      <c r="E241" s="1551">
        <v>4800</v>
      </c>
      <c r="F241" s="1552">
        <v>35.799999999999997</v>
      </c>
      <c r="G241" s="1551">
        <v>5500</v>
      </c>
      <c r="H241" s="3706">
        <v>5612</v>
      </c>
      <c r="I241" s="1553">
        <v>23.6</v>
      </c>
      <c r="J241" s="1551">
        <v>1800</v>
      </c>
      <c r="K241" s="3153">
        <v>1875</v>
      </c>
    </row>
    <row r="242" spans="1:11">
      <c r="A242" s="1468">
        <f t="shared" si="0"/>
        <v>2009.05</v>
      </c>
      <c r="B242" s="1550">
        <v>10200</v>
      </c>
      <c r="C242" s="3705">
        <v>96.2</v>
      </c>
      <c r="D242" s="1553">
        <v>37.9</v>
      </c>
      <c r="E242" s="1551">
        <v>4500</v>
      </c>
      <c r="F242" s="1552">
        <v>31.7</v>
      </c>
      <c r="G242" s="1551">
        <v>5500</v>
      </c>
      <c r="H242" s="3706">
        <v>5851</v>
      </c>
      <c r="I242" s="1553">
        <v>20.399999999999999</v>
      </c>
      <c r="J242" s="1551">
        <v>1600</v>
      </c>
      <c r="K242" s="3153">
        <v>1798</v>
      </c>
    </row>
    <row r="243" spans="1:11">
      <c r="A243" s="1468">
        <f t="shared" si="0"/>
        <v>2009.06</v>
      </c>
      <c r="B243" s="1550">
        <v>10200</v>
      </c>
      <c r="C243" s="3705">
        <v>96.2</v>
      </c>
      <c r="D243" s="1553">
        <v>35.9</v>
      </c>
      <c r="E243" s="1551">
        <v>4500</v>
      </c>
      <c r="F243" s="1552">
        <v>28.7</v>
      </c>
      <c r="G243" s="1551">
        <v>5500</v>
      </c>
      <c r="H243" s="3706">
        <v>6271</v>
      </c>
      <c r="I243" s="1553">
        <v>19.3</v>
      </c>
      <c r="J243" s="1551">
        <v>1600</v>
      </c>
      <c r="K243" s="3153">
        <v>1912</v>
      </c>
    </row>
    <row r="244" spans="1:11">
      <c r="A244" s="1468">
        <f t="shared" si="0"/>
        <v>2009.07</v>
      </c>
      <c r="B244" s="1550">
        <v>10200</v>
      </c>
      <c r="C244" s="3705">
        <v>90.4</v>
      </c>
      <c r="D244" s="1553">
        <v>37.4</v>
      </c>
      <c r="E244" s="1551">
        <v>4500</v>
      </c>
      <c r="F244" s="1552">
        <v>29.6</v>
      </c>
      <c r="G244" s="1551">
        <v>5500</v>
      </c>
      <c r="H244" s="3706">
        <v>6132</v>
      </c>
      <c r="I244" s="1553">
        <v>20.2</v>
      </c>
      <c r="J244" s="1551">
        <v>1500</v>
      </c>
      <c r="K244" s="3153">
        <v>1732</v>
      </c>
    </row>
    <row r="245" spans="1:11">
      <c r="A245" s="1468">
        <f t="shared" si="0"/>
        <v>2009.08</v>
      </c>
      <c r="B245" s="1550">
        <v>10200</v>
      </c>
      <c r="C245" s="3705">
        <v>89.1</v>
      </c>
      <c r="D245" s="1553">
        <v>38.4</v>
      </c>
      <c r="E245" s="1551">
        <v>4500</v>
      </c>
      <c r="F245" s="1552">
        <v>28.8</v>
      </c>
      <c r="G245" s="1551">
        <v>5500</v>
      </c>
      <c r="H245" s="3706">
        <v>6180</v>
      </c>
      <c r="I245" s="1553">
        <v>20.7</v>
      </c>
      <c r="J245" s="1551">
        <v>1500</v>
      </c>
      <c r="K245" s="3153">
        <v>1515</v>
      </c>
    </row>
    <row r="246" spans="1:11">
      <c r="A246" s="1468">
        <f t="shared" si="0"/>
        <v>2009.09</v>
      </c>
      <c r="B246" s="1550">
        <v>10200</v>
      </c>
      <c r="C246" s="3705">
        <v>93.6</v>
      </c>
      <c r="D246" s="1553">
        <v>39.5</v>
      </c>
      <c r="E246" s="1551">
        <v>4500</v>
      </c>
      <c r="F246" s="1552">
        <v>29</v>
      </c>
      <c r="G246" s="1551">
        <v>5500</v>
      </c>
      <c r="H246" s="3706">
        <v>6180</v>
      </c>
      <c r="I246" s="1553">
        <v>21.3</v>
      </c>
      <c r="J246" s="1551">
        <v>1500</v>
      </c>
      <c r="K246" s="3153">
        <v>1531</v>
      </c>
    </row>
    <row r="247" spans="1:11">
      <c r="A247" s="1468">
        <f t="shared" si="0"/>
        <v>2009.1</v>
      </c>
      <c r="B247" s="1550">
        <v>10200</v>
      </c>
      <c r="C247" s="3705">
        <v>90.3</v>
      </c>
      <c r="D247" s="1553">
        <v>41.7</v>
      </c>
      <c r="E247" s="1551">
        <v>4500</v>
      </c>
      <c r="F247" s="1552">
        <v>32.1</v>
      </c>
      <c r="G247" s="1551">
        <v>5500</v>
      </c>
      <c r="H247" s="3706">
        <v>5978</v>
      </c>
      <c r="I247" s="1553">
        <v>22.5</v>
      </c>
      <c r="J247" s="1551">
        <v>1500</v>
      </c>
      <c r="K247" s="3153">
        <v>1442</v>
      </c>
    </row>
    <row r="248" spans="1:11">
      <c r="A248" s="1468">
        <f t="shared" si="0"/>
        <v>2009.11</v>
      </c>
      <c r="B248" s="1550">
        <v>11000</v>
      </c>
      <c r="C248" s="3705">
        <v>90.9</v>
      </c>
      <c r="D248" s="1553">
        <v>43.5</v>
      </c>
      <c r="E248" s="1551">
        <v>4500</v>
      </c>
      <c r="F248" s="1552">
        <v>32.6</v>
      </c>
      <c r="G248" s="1551">
        <v>6000</v>
      </c>
      <c r="H248" s="3706">
        <v>6593</v>
      </c>
      <c r="I248" s="1553">
        <v>23.7</v>
      </c>
      <c r="J248" s="1551">
        <v>1500</v>
      </c>
      <c r="K248" s="3153">
        <v>1485</v>
      </c>
    </row>
    <row r="249" spans="1:11">
      <c r="A249" s="1468">
        <f t="shared" si="0"/>
        <v>2009.12</v>
      </c>
      <c r="B249" s="1550">
        <v>11000</v>
      </c>
      <c r="C249" s="3705">
        <v>89.4</v>
      </c>
      <c r="D249" s="1553">
        <v>40.9</v>
      </c>
      <c r="E249" s="1551">
        <v>4500</v>
      </c>
      <c r="F249" s="1552">
        <v>30.2</v>
      </c>
      <c r="G249" s="1551">
        <v>6000</v>
      </c>
      <c r="H249" s="3706">
        <v>5970</v>
      </c>
      <c r="I249" s="1553">
        <v>22.3</v>
      </c>
      <c r="J249" s="1551">
        <v>1500</v>
      </c>
      <c r="K249" s="3153">
        <v>1415</v>
      </c>
    </row>
    <row r="250" spans="1:11">
      <c r="A250" s="1468">
        <f t="shared" si="0"/>
        <v>2010.01</v>
      </c>
      <c r="B250" s="1550">
        <v>11000</v>
      </c>
      <c r="C250" s="3705">
        <v>84</v>
      </c>
      <c r="D250" s="1553">
        <v>41.6</v>
      </c>
      <c r="E250" s="1551">
        <v>4500</v>
      </c>
      <c r="F250" s="1552">
        <v>32.799999999999997</v>
      </c>
      <c r="G250" s="1551">
        <v>6000</v>
      </c>
      <c r="H250" s="3706">
        <v>5455</v>
      </c>
      <c r="I250" s="1553">
        <v>22.7</v>
      </c>
      <c r="J250" s="1551">
        <v>1500</v>
      </c>
      <c r="K250" s="3153">
        <v>1154</v>
      </c>
    </row>
    <row r="251" spans="1:11">
      <c r="A251" s="1468">
        <f t="shared" si="0"/>
        <v>2010.02</v>
      </c>
      <c r="B251" s="1550">
        <v>11000</v>
      </c>
      <c r="C251" s="3705">
        <v>88.7</v>
      </c>
      <c r="D251" s="1553">
        <v>45.2</v>
      </c>
      <c r="E251" s="1551">
        <v>4500</v>
      </c>
      <c r="F251" s="1552">
        <v>34.4</v>
      </c>
      <c r="G251" s="1551">
        <v>6000</v>
      </c>
      <c r="H251" s="3706">
        <v>4878</v>
      </c>
      <c r="I251" s="1553">
        <v>24.6</v>
      </c>
      <c r="J251" s="1551">
        <v>1500</v>
      </c>
      <c r="K251" s="3153">
        <v>1049</v>
      </c>
    </row>
    <row r="252" spans="1:11">
      <c r="A252" s="1468">
        <f t="shared" si="0"/>
        <v>2010.03</v>
      </c>
      <c r="B252" s="1550">
        <v>12000</v>
      </c>
      <c r="C252" s="3705">
        <v>106.2</v>
      </c>
      <c r="D252" s="1553">
        <v>54.3</v>
      </c>
      <c r="E252" s="1551">
        <v>4800</v>
      </c>
      <c r="F252" s="1552">
        <v>36.6</v>
      </c>
      <c r="G252" s="1551">
        <v>6500</v>
      </c>
      <c r="H252" s="3706">
        <v>4452</v>
      </c>
      <c r="I252" s="1553">
        <v>29.4</v>
      </c>
      <c r="J252" s="1551">
        <v>1900</v>
      </c>
      <c r="K252" s="3153">
        <v>1138</v>
      </c>
    </row>
    <row r="253" spans="1:11">
      <c r="A253" s="1468">
        <f t="shared" si="0"/>
        <v>2010.04</v>
      </c>
      <c r="B253" s="1550">
        <v>12000</v>
      </c>
      <c r="C253" s="3705">
        <v>116.5</v>
      </c>
      <c r="D253" s="1553">
        <v>56.9</v>
      </c>
      <c r="E253" s="1551">
        <v>5000</v>
      </c>
      <c r="F253" s="1552">
        <v>38.5</v>
      </c>
      <c r="G253" s="1551">
        <v>6500</v>
      </c>
      <c r="H253" s="3706">
        <v>3736</v>
      </c>
      <c r="I253" s="1553">
        <v>30.8</v>
      </c>
      <c r="J253" s="1551">
        <v>2000</v>
      </c>
      <c r="K253" s="3153">
        <v>1130</v>
      </c>
    </row>
    <row r="254" spans="1:11">
      <c r="A254" s="1468">
        <f t="shared" si="0"/>
        <v>2010.05</v>
      </c>
      <c r="B254" s="1550">
        <v>12000</v>
      </c>
      <c r="C254" s="3705">
        <v>106.4</v>
      </c>
      <c r="D254" s="1553">
        <v>53.2</v>
      </c>
      <c r="E254" s="1551">
        <v>5000</v>
      </c>
      <c r="F254" s="1552">
        <v>34.200000000000003</v>
      </c>
      <c r="G254" s="1551">
        <v>6500</v>
      </c>
      <c r="H254" s="3706">
        <v>3533</v>
      </c>
      <c r="I254" s="1553">
        <v>28.8</v>
      </c>
      <c r="J254" s="1551">
        <v>2000</v>
      </c>
      <c r="K254" s="3153">
        <v>1015</v>
      </c>
    </row>
    <row r="255" spans="1:11">
      <c r="A255" s="1468">
        <f t="shared" si="0"/>
        <v>2010.06</v>
      </c>
      <c r="B255" s="1550">
        <v>12000</v>
      </c>
      <c r="C255" s="3705">
        <v>102.5</v>
      </c>
      <c r="D255" s="1553">
        <v>54.5</v>
      </c>
      <c r="E255" s="1551">
        <v>5000</v>
      </c>
      <c r="F255" s="1552">
        <v>32.9</v>
      </c>
      <c r="G255" s="1551">
        <v>6500</v>
      </c>
      <c r="H255" s="3706">
        <v>3757</v>
      </c>
      <c r="I255" s="1553">
        <v>29.5</v>
      </c>
      <c r="J255" s="1551">
        <v>2000</v>
      </c>
      <c r="K255" s="3153">
        <v>990</v>
      </c>
    </row>
    <row r="256" spans="1:11">
      <c r="A256" s="1468">
        <f t="shared" si="0"/>
        <v>2010.07</v>
      </c>
      <c r="B256" s="1550">
        <v>13000</v>
      </c>
      <c r="C256" s="3705">
        <v>105.7</v>
      </c>
      <c r="D256" s="1553">
        <v>56.5</v>
      </c>
      <c r="E256" s="1551">
        <v>5000</v>
      </c>
      <c r="F256" s="1552">
        <v>33.6</v>
      </c>
      <c r="G256" s="1551">
        <v>7000</v>
      </c>
      <c r="H256" s="3706">
        <v>4268</v>
      </c>
      <c r="I256" s="1553">
        <v>30.4</v>
      </c>
      <c r="J256" s="1551">
        <v>2000</v>
      </c>
      <c r="K256" s="3153">
        <v>990</v>
      </c>
    </row>
    <row r="257" spans="1:11">
      <c r="A257" s="1468">
        <f t="shared" si="0"/>
        <v>2010.08</v>
      </c>
      <c r="B257" s="1550">
        <v>13000</v>
      </c>
      <c r="C257" s="3705">
        <v>99.2</v>
      </c>
      <c r="D257" s="1553">
        <v>50.6</v>
      </c>
      <c r="E257" s="1551">
        <v>5500</v>
      </c>
      <c r="F257" s="1552">
        <v>32</v>
      </c>
      <c r="G257" s="1551">
        <v>7000</v>
      </c>
      <c r="H257" s="3706">
        <v>4403</v>
      </c>
      <c r="I257" s="1553">
        <v>27.2</v>
      </c>
      <c r="J257" s="1551">
        <v>2200</v>
      </c>
      <c r="K257" s="3153">
        <v>1053</v>
      </c>
    </row>
    <row r="258" spans="1:11">
      <c r="A258" s="1468">
        <f t="shared" si="0"/>
        <v>2010.09</v>
      </c>
      <c r="B258" s="1550">
        <v>13000</v>
      </c>
      <c r="C258" s="3705">
        <v>94.2</v>
      </c>
      <c r="D258" s="1553">
        <v>50.2</v>
      </c>
      <c r="E258" s="1551">
        <v>5500</v>
      </c>
      <c r="F258" s="1552">
        <v>29.1</v>
      </c>
      <c r="G258" s="1551">
        <v>7000</v>
      </c>
      <c r="H258" s="3706">
        <v>4276</v>
      </c>
      <c r="I258" s="1553">
        <v>27</v>
      </c>
      <c r="J258" s="1551">
        <v>2200</v>
      </c>
      <c r="K258" s="3153">
        <v>1028</v>
      </c>
    </row>
    <row r="259" spans="1:11">
      <c r="A259" s="1468">
        <f t="shared" si="0"/>
        <v>2010.1</v>
      </c>
      <c r="B259" s="1550">
        <v>13500</v>
      </c>
      <c r="C259" s="3705">
        <v>94.1</v>
      </c>
      <c r="D259" s="1553">
        <v>49.8</v>
      </c>
      <c r="E259" s="1551">
        <v>5800</v>
      </c>
      <c r="F259" s="1552">
        <v>31.2</v>
      </c>
      <c r="G259" s="1551">
        <v>7300</v>
      </c>
      <c r="H259" s="3706">
        <v>3883</v>
      </c>
      <c r="I259" s="1553">
        <v>26.9</v>
      </c>
      <c r="J259" s="1551">
        <v>2300</v>
      </c>
      <c r="K259" s="3153">
        <v>943</v>
      </c>
    </row>
    <row r="260" spans="1:11">
      <c r="A260" s="1468">
        <f t="shared" si="0"/>
        <v>2010.11</v>
      </c>
      <c r="B260" s="1550">
        <v>14000</v>
      </c>
      <c r="C260" s="3705">
        <v>86.4</v>
      </c>
      <c r="D260" s="1553">
        <v>44.6</v>
      </c>
      <c r="E260" s="1551">
        <v>5800</v>
      </c>
      <c r="F260" s="1552">
        <v>30.5</v>
      </c>
      <c r="G260" s="1551">
        <v>7500</v>
      </c>
      <c r="H260" s="3706">
        <v>3641</v>
      </c>
      <c r="I260" s="1553">
        <v>23.9</v>
      </c>
      <c r="J260" s="1551">
        <v>2400</v>
      </c>
      <c r="K260" s="3153">
        <v>833</v>
      </c>
    </row>
    <row r="261" spans="1:11">
      <c r="A261" s="1468">
        <f t="shared" si="0"/>
        <v>2010.12</v>
      </c>
      <c r="B261" s="1550">
        <v>14000</v>
      </c>
      <c r="C261" s="3705">
        <v>87</v>
      </c>
      <c r="D261" s="1553">
        <v>42.4</v>
      </c>
      <c r="E261" s="1551">
        <v>5800</v>
      </c>
      <c r="F261" s="1552">
        <v>33.700000000000003</v>
      </c>
      <c r="G261" s="1551">
        <v>7500</v>
      </c>
      <c r="H261" s="3706">
        <v>3538</v>
      </c>
      <c r="I261" s="1553">
        <v>22.7</v>
      </c>
      <c r="J261" s="1551">
        <v>2400</v>
      </c>
      <c r="K261" s="3153">
        <v>836</v>
      </c>
    </row>
    <row r="262" spans="1:11">
      <c r="A262" s="1468">
        <f t="shared" si="0"/>
        <v>2011.01</v>
      </c>
      <c r="B262" s="1550">
        <v>14000</v>
      </c>
      <c r="C262" s="3705">
        <v>82.8</v>
      </c>
      <c r="D262" s="1553">
        <v>38.799999999999997</v>
      </c>
      <c r="E262" s="1551">
        <v>5800</v>
      </c>
      <c r="F262" s="1552">
        <v>35.799999999999997</v>
      </c>
      <c r="G262" s="1551">
        <v>7500</v>
      </c>
      <c r="H262" s="3706">
        <v>3570</v>
      </c>
      <c r="I262" s="1553">
        <v>20.8</v>
      </c>
      <c r="J262" s="1551">
        <v>2400</v>
      </c>
      <c r="K262" s="3153">
        <v>916</v>
      </c>
    </row>
    <row r="263" spans="1:11">
      <c r="A263" s="1468">
        <f t="shared" si="0"/>
        <v>2011.02</v>
      </c>
      <c r="B263" s="1550">
        <v>14000</v>
      </c>
      <c r="C263" s="3705">
        <v>76.099999999999994</v>
      </c>
      <c r="D263" s="1553">
        <v>40</v>
      </c>
      <c r="E263" s="1551">
        <v>5800</v>
      </c>
      <c r="F263" s="1552">
        <v>31.7</v>
      </c>
      <c r="G263" s="1551">
        <v>7500</v>
      </c>
      <c r="H263" s="3706">
        <v>3827</v>
      </c>
      <c r="I263" s="1553">
        <v>21.4</v>
      </c>
      <c r="J263" s="1551">
        <v>2400</v>
      </c>
      <c r="K263" s="3153">
        <v>968</v>
      </c>
    </row>
    <row r="264" spans="1:11">
      <c r="A264" s="1468">
        <f t="shared" si="0"/>
        <v>2011.03</v>
      </c>
      <c r="B264" s="1550">
        <v>15000</v>
      </c>
      <c r="C264" s="3705">
        <v>79.8</v>
      </c>
      <c r="D264" s="1553">
        <v>45.2</v>
      </c>
      <c r="E264" s="1551">
        <v>6000</v>
      </c>
      <c r="F264" s="1552">
        <v>34.5</v>
      </c>
      <c r="G264" s="1551">
        <v>7500</v>
      </c>
      <c r="H264" s="3706">
        <v>3538</v>
      </c>
      <c r="I264" s="1553">
        <v>22.6</v>
      </c>
      <c r="J264" s="1551">
        <v>2500</v>
      </c>
      <c r="K264" s="3153">
        <v>877</v>
      </c>
    </row>
    <row r="265" spans="1:11">
      <c r="A265" s="1468">
        <f t="shared" si="0"/>
        <v>2011.04</v>
      </c>
      <c r="B265" s="1550">
        <v>15000</v>
      </c>
      <c r="C265" s="3705">
        <v>78.900000000000006</v>
      </c>
      <c r="D265" s="1553">
        <v>47.6</v>
      </c>
      <c r="E265" s="1551">
        <v>6000</v>
      </c>
      <c r="F265" s="1552">
        <v>32.6</v>
      </c>
      <c r="G265" s="1551">
        <v>7500</v>
      </c>
      <c r="H265" s="3706">
        <v>3589</v>
      </c>
      <c r="I265" s="1553">
        <v>23.8</v>
      </c>
      <c r="J265" s="1551">
        <v>2500</v>
      </c>
      <c r="K265" s="3153">
        <v>847</v>
      </c>
    </row>
    <row r="266" spans="1:11">
      <c r="A266" s="1468">
        <f t="shared" si="0"/>
        <v>2011.05</v>
      </c>
      <c r="B266" s="1550">
        <v>15000</v>
      </c>
      <c r="C266" s="3705">
        <v>81.7</v>
      </c>
      <c r="D266" s="1553">
        <v>47.8</v>
      </c>
      <c r="E266" s="1551">
        <v>6000</v>
      </c>
      <c r="F266" s="1552">
        <v>31.7</v>
      </c>
      <c r="G266" s="1551">
        <v>8000</v>
      </c>
      <c r="H266" s="3706">
        <v>3922</v>
      </c>
      <c r="I266" s="1553">
        <v>25.5</v>
      </c>
      <c r="J266" s="1551">
        <v>2600</v>
      </c>
      <c r="K266" s="3153">
        <v>929</v>
      </c>
    </row>
    <row r="267" spans="1:11">
      <c r="A267" s="1468">
        <f t="shared" si="0"/>
        <v>2011.06</v>
      </c>
      <c r="B267" s="1550">
        <v>15000</v>
      </c>
      <c r="C267" s="3705">
        <v>83.5</v>
      </c>
      <c r="D267" s="1553">
        <v>48.3</v>
      </c>
      <c r="E267" s="1551">
        <v>6000</v>
      </c>
      <c r="F267" s="1552">
        <v>34.799999999999997</v>
      </c>
      <c r="G267" s="1551">
        <v>8000</v>
      </c>
      <c r="H267" s="3706">
        <v>3980</v>
      </c>
      <c r="I267" s="1553">
        <v>25.8</v>
      </c>
      <c r="J267" s="1551">
        <v>2600</v>
      </c>
      <c r="K267" s="3153">
        <v>952</v>
      </c>
    </row>
    <row r="268" spans="1:11">
      <c r="A268" s="1468">
        <f t="shared" si="0"/>
        <v>2011.07</v>
      </c>
      <c r="B268" s="1550">
        <v>15000</v>
      </c>
      <c r="C268" s="3705">
        <v>93.2</v>
      </c>
      <c r="D268" s="1553">
        <v>49.7</v>
      </c>
      <c r="E268" s="1551">
        <v>6000</v>
      </c>
      <c r="F268" s="1552">
        <v>38.200000000000003</v>
      </c>
      <c r="G268" s="1551">
        <v>8000</v>
      </c>
      <c r="H268" s="3706">
        <v>3756</v>
      </c>
      <c r="I268" s="1553">
        <v>26.5</v>
      </c>
      <c r="J268" s="1551">
        <v>2600</v>
      </c>
      <c r="K268" s="3153">
        <v>922</v>
      </c>
    </row>
    <row r="269" spans="1:11">
      <c r="A269" s="1468">
        <f t="shared" si="0"/>
        <v>2011.08</v>
      </c>
      <c r="B269" s="1550">
        <v>17000</v>
      </c>
      <c r="C269" s="3705">
        <v>103</v>
      </c>
      <c r="D269" s="1553">
        <v>54.3</v>
      </c>
      <c r="E269" s="1551">
        <v>7000</v>
      </c>
      <c r="F269" s="1552">
        <v>41.7</v>
      </c>
      <c r="G269" s="1551">
        <v>8500</v>
      </c>
      <c r="H269" s="3706">
        <v>3899</v>
      </c>
      <c r="I269" s="1553">
        <v>27.2</v>
      </c>
      <c r="J269" s="1551">
        <v>3000</v>
      </c>
      <c r="K269" s="3153">
        <v>1027</v>
      </c>
    </row>
    <row r="270" spans="1:11">
      <c r="A270" s="1468">
        <f t="shared" si="0"/>
        <v>2011.09</v>
      </c>
      <c r="B270" s="1550">
        <v>17000</v>
      </c>
      <c r="C270" s="3705">
        <v>106.3</v>
      </c>
      <c r="D270" s="1553">
        <v>52.3</v>
      </c>
      <c r="E270" s="1551">
        <v>7000</v>
      </c>
      <c r="F270" s="1552">
        <v>44.9</v>
      </c>
      <c r="G270" s="1551">
        <v>8500</v>
      </c>
      <c r="H270" s="3706">
        <v>3829</v>
      </c>
      <c r="I270" s="1553">
        <v>26.2</v>
      </c>
      <c r="J270" s="1551">
        <v>3000</v>
      </c>
      <c r="K270" s="3153">
        <v>1014</v>
      </c>
    </row>
    <row r="271" spans="1:11">
      <c r="A271" s="1468">
        <f t="shared" si="0"/>
        <v>2011.1</v>
      </c>
      <c r="B271" s="1550">
        <v>17500</v>
      </c>
      <c r="C271" s="3705">
        <v>106.1</v>
      </c>
      <c r="D271" s="1553">
        <v>61.8</v>
      </c>
      <c r="E271" s="1551">
        <v>7000</v>
      </c>
      <c r="F271" s="1552">
        <v>47.9</v>
      </c>
      <c r="G271" s="1551">
        <v>8500</v>
      </c>
      <c r="H271" s="3706">
        <v>3939</v>
      </c>
      <c r="I271" s="1553">
        <v>30</v>
      </c>
      <c r="J271" s="1551">
        <v>3100</v>
      </c>
      <c r="K271" s="3153">
        <v>1052</v>
      </c>
    </row>
    <row r="272" spans="1:11">
      <c r="A272" s="1468">
        <f t="shared" si="0"/>
        <v>2011.11</v>
      </c>
      <c r="B272" s="1550">
        <v>17500</v>
      </c>
      <c r="C272" s="3705">
        <v>129.6</v>
      </c>
      <c r="D272" s="1553">
        <v>61.4</v>
      </c>
      <c r="E272" s="1551">
        <v>7000</v>
      </c>
      <c r="F272" s="1552">
        <v>49.4</v>
      </c>
      <c r="G272" s="1551">
        <v>8500</v>
      </c>
      <c r="H272" s="3706">
        <v>3924</v>
      </c>
      <c r="I272" s="1553">
        <v>29.8</v>
      </c>
      <c r="J272" s="1551">
        <v>3100</v>
      </c>
      <c r="K272" s="3153">
        <v>1059</v>
      </c>
    </row>
    <row r="273" spans="1:11">
      <c r="A273" s="1468">
        <f t="shared" si="0"/>
        <v>2011.12</v>
      </c>
      <c r="B273" s="1550">
        <v>17500</v>
      </c>
      <c r="C273" s="3705">
        <v>136.80000000000001</v>
      </c>
      <c r="D273" s="1553">
        <v>64.900000000000006</v>
      </c>
      <c r="E273" s="1551">
        <v>7000</v>
      </c>
      <c r="F273" s="1552">
        <v>59</v>
      </c>
      <c r="G273" s="1551">
        <v>8500</v>
      </c>
      <c r="H273" s="3706">
        <v>3996</v>
      </c>
      <c r="I273" s="1553">
        <v>31.5</v>
      </c>
      <c r="J273" s="1551">
        <v>3100</v>
      </c>
      <c r="K273" s="3153">
        <v>1084</v>
      </c>
    </row>
    <row r="274" spans="1:11">
      <c r="A274" s="1468">
        <f t="shared" si="0"/>
        <v>2012.01</v>
      </c>
      <c r="B274" s="1550">
        <v>17500</v>
      </c>
      <c r="C274" s="3705">
        <v>112.9</v>
      </c>
      <c r="D274" s="1553">
        <v>59.9</v>
      </c>
      <c r="E274" s="1551">
        <v>7000</v>
      </c>
      <c r="F274" s="1552">
        <v>57.1</v>
      </c>
      <c r="G274" s="1551">
        <v>8500</v>
      </c>
      <c r="H274" s="3706">
        <v>4028</v>
      </c>
      <c r="I274" s="1553">
        <v>29.1</v>
      </c>
      <c r="J274" s="1551">
        <v>3100</v>
      </c>
      <c r="K274" s="3153">
        <v>1220</v>
      </c>
    </row>
    <row r="275" spans="1:11">
      <c r="A275" s="1468">
        <f t="shared" si="0"/>
        <v>2012.02</v>
      </c>
      <c r="B275" s="1550">
        <v>17500</v>
      </c>
      <c r="C275" s="3705">
        <v>105.4</v>
      </c>
      <c r="D275" s="1553">
        <v>57.6</v>
      </c>
      <c r="E275" s="1551">
        <v>7000</v>
      </c>
      <c r="F275" s="1552">
        <v>51.9</v>
      </c>
      <c r="G275" s="1551">
        <v>9000</v>
      </c>
      <c r="H275" s="3706">
        <v>4265</v>
      </c>
      <c r="I275" s="1553">
        <v>29.6</v>
      </c>
      <c r="J275" s="1551">
        <v>3300</v>
      </c>
      <c r="K275" s="3153">
        <v>1370</v>
      </c>
    </row>
    <row r="276" spans="1:11">
      <c r="A276" s="1468">
        <f t="shared" si="0"/>
        <v>2012.03</v>
      </c>
      <c r="B276" s="1550">
        <v>17500</v>
      </c>
      <c r="C276" s="3705">
        <v>115.1</v>
      </c>
      <c r="D276" s="1553">
        <v>55.6</v>
      </c>
      <c r="E276" s="1551">
        <v>7000</v>
      </c>
      <c r="F276" s="1552">
        <v>56.5</v>
      </c>
      <c r="G276" s="1551">
        <v>9000</v>
      </c>
      <c r="H276" s="3706">
        <v>3750</v>
      </c>
      <c r="I276" s="1553">
        <v>28.6</v>
      </c>
      <c r="J276" s="1551">
        <v>3300</v>
      </c>
      <c r="K276" s="3153">
        <v>1200</v>
      </c>
    </row>
    <row r="277" spans="1:11">
      <c r="A277" s="1468">
        <f t="shared" si="0"/>
        <v>2012.04</v>
      </c>
      <c r="B277" s="1550">
        <v>17500</v>
      </c>
      <c r="C277" s="3705">
        <v>108.7</v>
      </c>
      <c r="D277" s="1553">
        <v>51.3</v>
      </c>
      <c r="E277" s="1551">
        <v>7000</v>
      </c>
      <c r="F277" s="1552">
        <v>47.9</v>
      </c>
      <c r="G277" s="1551">
        <v>9000</v>
      </c>
      <c r="H277" s="3706">
        <v>3462</v>
      </c>
      <c r="I277" s="1553">
        <v>26.4</v>
      </c>
      <c r="J277" s="1551">
        <v>3300</v>
      </c>
      <c r="K277" s="3153">
        <v>1187</v>
      </c>
    </row>
    <row r="278" spans="1:11">
      <c r="A278" s="1468">
        <f t="shared" si="0"/>
        <v>2012.05</v>
      </c>
      <c r="B278" s="1550">
        <v>17500</v>
      </c>
      <c r="C278" s="3705">
        <v>119.9</v>
      </c>
      <c r="D278" s="1553">
        <v>49.7</v>
      </c>
      <c r="E278" s="1551">
        <v>7000</v>
      </c>
      <c r="F278" s="1552">
        <v>46.4</v>
      </c>
      <c r="G278" s="1551">
        <v>9000</v>
      </c>
      <c r="H278" s="3706">
        <v>3863</v>
      </c>
      <c r="I278" s="1553">
        <v>25.6</v>
      </c>
      <c r="J278" s="1551">
        <v>3300</v>
      </c>
      <c r="K278" s="3153">
        <v>1250</v>
      </c>
    </row>
    <row r="279" spans="1:11">
      <c r="A279" s="1468">
        <f t="shared" si="0"/>
        <v>2012.06</v>
      </c>
      <c r="B279" s="1550">
        <v>17500</v>
      </c>
      <c r="C279" s="3705">
        <v>117.6</v>
      </c>
      <c r="D279" s="1553">
        <v>53.8</v>
      </c>
      <c r="E279" s="1551">
        <v>7000</v>
      </c>
      <c r="F279" s="1552">
        <v>44.4</v>
      </c>
      <c r="G279" s="1551">
        <v>9000</v>
      </c>
      <c r="H279" s="3706">
        <v>3830</v>
      </c>
      <c r="I279" s="1553">
        <v>27.7</v>
      </c>
      <c r="J279" s="1551">
        <v>3300</v>
      </c>
      <c r="K279" s="3153">
        <v>1284</v>
      </c>
    </row>
    <row r="280" spans="1:11">
      <c r="A280" s="1468">
        <f t="shared" si="0"/>
        <v>2012.07</v>
      </c>
      <c r="B280" s="1550">
        <v>17500</v>
      </c>
      <c r="C280" s="3705">
        <v>113.6</v>
      </c>
      <c r="D280" s="1553">
        <v>48.7</v>
      </c>
      <c r="E280" s="1551">
        <v>7000</v>
      </c>
      <c r="F280" s="1552">
        <v>42.9</v>
      </c>
      <c r="G280" s="1551">
        <v>9000</v>
      </c>
      <c r="H280" s="3706">
        <v>3968</v>
      </c>
      <c r="I280" s="1553">
        <v>25.1</v>
      </c>
      <c r="J280" s="1551">
        <v>3300</v>
      </c>
      <c r="K280" s="3153">
        <v>1249</v>
      </c>
    </row>
    <row r="281" spans="1:11">
      <c r="A281" s="1468">
        <f t="shared" si="0"/>
        <v>2012.08</v>
      </c>
      <c r="B281" s="1550">
        <v>17500</v>
      </c>
      <c r="C281" s="3705">
        <v>107.4</v>
      </c>
      <c r="D281" s="1553">
        <v>45.8</v>
      </c>
      <c r="E281" s="1551">
        <v>7000</v>
      </c>
      <c r="F281" s="1552">
        <v>38.9</v>
      </c>
      <c r="G281" s="1551">
        <v>9000</v>
      </c>
      <c r="H281" s="3706">
        <v>4225</v>
      </c>
      <c r="I281" s="1553">
        <v>23.6</v>
      </c>
      <c r="J281" s="1551">
        <v>3300</v>
      </c>
      <c r="K281" s="3153">
        <v>1269</v>
      </c>
    </row>
    <row r="282" spans="1:11">
      <c r="A282" s="1468">
        <f t="shared" si="0"/>
        <v>2012.09</v>
      </c>
      <c r="B282" s="1550">
        <v>17500</v>
      </c>
      <c r="C282" s="3705">
        <v>100</v>
      </c>
      <c r="D282" s="1553">
        <v>41.5</v>
      </c>
      <c r="E282" s="1551">
        <v>7000</v>
      </c>
      <c r="F282" s="1552">
        <v>34</v>
      </c>
      <c r="G282" s="1551">
        <v>9000</v>
      </c>
      <c r="H282" s="3706">
        <v>4286</v>
      </c>
      <c r="I282" s="1553">
        <v>21.3</v>
      </c>
      <c r="J282" s="1551">
        <v>3300</v>
      </c>
      <c r="K282" s="3153">
        <v>1341</v>
      </c>
    </row>
    <row r="283" spans="1:11">
      <c r="A283" s="1468">
        <f t="shared" si="0"/>
        <v>2012.1</v>
      </c>
      <c r="B283" s="1550">
        <v>17000</v>
      </c>
      <c r="C283" s="3705">
        <v>122.3</v>
      </c>
      <c r="D283" s="1553">
        <v>57.6</v>
      </c>
      <c r="E283" s="1551">
        <v>6800</v>
      </c>
      <c r="F283" s="1552">
        <v>46.4</v>
      </c>
      <c r="G283" s="1551">
        <v>9000</v>
      </c>
      <c r="H283" s="3706">
        <v>6273</v>
      </c>
      <c r="I283" s="1553">
        <v>30.5</v>
      </c>
      <c r="J283" s="1551">
        <v>3200</v>
      </c>
      <c r="K283" s="3153">
        <v>1725</v>
      </c>
    </row>
    <row r="284" spans="1:11">
      <c r="A284" s="1468">
        <f t="shared" si="0"/>
        <v>2012.11</v>
      </c>
      <c r="B284" s="1550">
        <v>17000</v>
      </c>
      <c r="C284" s="3705">
        <v>125.3</v>
      </c>
      <c r="D284" s="1553">
        <v>55</v>
      </c>
      <c r="E284" s="1551">
        <v>6800</v>
      </c>
      <c r="F284" s="1552">
        <v>40.700000000000003</v>
      </c>
      <c r="G284" s="1551">
        <v>9000</v>
      </c>
      <c r="H284" s="3706">
        <v>6559</v>
      </c>
      <c r="I284" s="1553">
        <v>29.1</v>
      </c>
      <c r="J284" s="1551">
        <v>3200</v>
      </c>
      <c r="K284" s="3153">
        <v>1764</v>
      </c>
    </row>
    <row r="285" spans="1:11">
      <c r="A285" s="1468">
        <f t="shared" si="0"/>
        <v>2012.12</v>
      </c>
      <c r="B285" s="1550">
        <v>17000</v>
      </c>
      <c r="C285" s="3705">
        <v>112.9</v>
      </c>
      <c r="D285" s="1553">
        <v>55.6</v>
      </c>
      <c r="E285" s="1551">
        <v>6800</v>
      </c>
      <c r="F285" s="1552">
        <v>40.9</v>
      </c>
      <c r="G285" s="1551">
        <v>9000</v>
      </c>
      <c r="H285" s="3706">
        <v>6232</v>
      </c>
      <c r="I285" s="1553">
        <v>29.4</v>
      </c>
      <c r="J285" s="1551">
        <v>3200</v>
      </c>
      <c r="K285" s="3153">
        <v>1792</v>
      </c>
    </row>
    <row r="286" spans="1:11">
      <c r="A286" s="1468">
        <f t="shared" si="0"/>
        <v>2013.01</v>
      </c>
      <c r="B286" s="1550">
        <v>17000</v>
      </c>
      <c r="C286" s="3705">
        <v>122.4</v>
      </c>
      <c r="D286" s="1553">
        <v>63.8</v>
      </c>
      <c r="E286" s="1551">
        <v>6800</v>
      </c>
      <c r="F286" s="1552">
        <v>43.9</v>
      </c>
      <c r="G286" s="1551">
        <v>9000</v>
      </c>
      <c r="H286" s="3706">
        <v>6471</v>
      </c>
      <c r="I286" s="1553">
        <v>33.799999999999997</v>
      </c>
      <c r="J286" s="1551">
        <v>3200</v>
      </c>
      <c r="K286" s="3153">
        <v>1874</v>
      </c>
    </row>
    <row r="287" spans="1:11">
      <c r="A287" s="1468">
        <f t="shared" si="0"/>
        <v>2013.02</v>
      </c>
      <c r="B287" s="1550">
        <v>16500</v>
      </c>
      <c r="C287" s="3705">
        <v>139.19999999999999</v>
      </c>
      <c r="D287" s="1553">
        <v>72.7</v>
      </c>
      <c r="E287" s="1551">
        <v>6500</v>
      </c>
      <c r="F287" s="1552">
        <v>43</v>
      </c>
      <c r="G287" s="1551">
        <v>9000</v>
      </c>
      <c r="H287" s="3706">
        <v>6863</v>
      </c>
      <c r="I287" s="1553">
        <v>39.700000000000003</v>
      </c>
      <c r="J287" s="1551">
        <v>3000</v>
      </c>
      <c r="K287" s="3153">
        <v>1983</v>
      </c>
    </row>
    <row r="288" spans="1:11">
      <c r="A288" s="1468">
        <f t="shared" si="0"/>
        <v>2013.03</v>
      </c>
      <c r="B288" s="1550">
        <v>16500</v>
      </c>
      <c r="C288" s="3705">
        <v>140.6</v>
      </c>
      <c r="D288" s="1553">
        <v>73.900000000000006</v>
      </c>
      <c r="E288" s="1551">
        <v>6500</v>
      </c>
      <c r="F288" s="1552">
        <v>42</v>
      </c>
      <c r="G288" s="1551">
        <v>9000</v>
      </c>
      <c r="H288" s="3706">
        <v>6720</v>
      </c>
      <c r="I288" s="1553">
        <v>40.299999999999997</v>
      </c>
      <c r="J288" s="1551">
        <v>3000</v>
      </c>
      <c r="K288" s="3153">
        <v>1960</v>
      </c>
    </row>
    <row r="289" spans="1:11">
      <c r="A289" s="1468">
        <f t="shared" si="0"/>
        <v>2013.04</v>
      </c>
      <c r="B289" s="1550">
        <v>16500</v>
      </c>
      <c r="C289" s="3705">
        <v>164.4</v>
      </c>
      <c r="D289" s="1553">
        <v>86.2</v>
      </c>
      <c r="E289" s="1551">
        <v>6500</v>
      </c>
      <c r="F289" s="1552">
        <v>45</v>
      </c>
      <c r="G289" s="1551">
        <v>9000</v>
      </c>
      <c r="H289" s="3706">
        <v>7087</v>
      </c>
      <c r="I289" s="1553">
        <v>47</v>
      </c>
      <c r="J289" s="1551">
        <v>3000</v>
      </c>
      <c r="K289" s="3153">
        <v>2165</v>
      </c>
    </row>
    <row r="290" spans="1:11">
      <c r="A290" s="1468">
        <f t="shared" ref="A290:A355" si="1">A278+1</f>
        <v>2013.05</v>
      </c>
      <c r="B290" s="1550">
        <v>16500</v>
      </c>
      <c r="C290" s="3705">
        <v>176</v>
      </c>
      <c r="D290" s="1553">
        <v>96</v>
      </c>
      <c r="E290" s="1551">
        <v>6500</v>
      </c>
      <c r="F290" s="1552">
        <v>44.6</v>
      </c>
      <c r="G290" s="1551">
        <v>9000</v>
      </c>
      <c r="H290" s="3706">
        <v>8640</v>
      </c>
      <c r="I290" s="1553">
        <v>52.4</v>
      </c>
      <c r="J290" s="1551">
        <v>3000</v>
      </c>
      <c r="K290" s="3153">
        <v>2571</v>
      </c>
    </row>
    <row r="291" spans="1:11">
      <c r="A291" s="1468">
        <f t="shared" si="1"/>
        <v>2013.06</v>
      </c>
      <c r="B291" s="1550">
        <v>16500</v>
      </c>
      <c r="C291" s="3705">
        <v>132.6</v>
      </c>
      <c r="D291" s="1553">
        <v>82.3</v>
      </c>
      <c r="E291" s="1551">
        <v>6500</v>
      </c>
      <c r="F291" s="1552">
        <v>29.3</v>
      </c>
      <c r="G291" s="1551">
        <v>9000</v>
      </c>
      <c r="H291" s="3706">
        <v>7898</v>
      </c>
      <c r="I291" s="1553">
        <v>44.9</v>
      </c>
      <c r="J291" s="1551">
        <v>3000</v>
      </c>
      <c r="K291" s="3153">
        <v>2263</v>
      </c>
    </row>
    <row r="292" spans="1:11">
      <c r="A292" s="1468">
        <f t="shared" si="1"/>
        <v>2013.07</v>
      </c>
      <c r="B292" s="1550">
        <v>15800</v>
      </c>
      <c r="C292" s="3705">
        <v>135.1</v>
      </c>
      <c r="D292" s="1553">
        <v>72.900000000000006</v>
      </c>
      <c r="E292" s="1551">
        <v>6000</v>
      </c>
      <c r="F292" s="1552">
        <v>19.899999999999999</v>
      </c>
      <c r="G292" s="1551">
        <v>8000</v>
      </c>
      <c r="H292" s="3706">
        <v>6360</v>
      </c>
      <c r="I292" s="1553">
        <v>36.9</v>
      </c>
      <c r="J292" s="1551">
        <v>3000</v>
      </c>
      <c r="K292" s="3153">
        <v>2129</v>
      </c>
    </row>
    <row r="293" spans="1:11">
      <c r="A293" s="1468">
        <f t="shared" si="1"/>
        <v>2013.08</v>
      </c>
      <c r="B293" s="1550">
        <v>15800</v>
      </c>
      <c r="C293" s="3705">
        <v>155.1</v>
      </c>
      <c r="D293" s="1553">
        <v>80.8</v>
      </c>
      <c r="E293" s="1551">
        <v>5800</v>
      </c>
      <c r="F293" s="1552">
        <v>20.2</v>
      </c>
      <c r="G293" s="1551">
        <v>7800</v>
      </c>
      <c r="H293" s="3706">
        <v>6531</v>
      </c>
      <c r="I293" s="1553">
        <v>39.9</v>
      </c>
      <c r="J293" s="1551">
        <v>3000</v>
      </c>
      <c r="K293" s="3153">
        <v>2329</v>
      </c>
    </row>
    <row r="294" spans="1:11">
      <c r="A294" s="1468">
        <f t="shared" si="1"/>
        <v>2013.09</v>
      </c>
      <c r="B294" s="1550">
        <v>15000</v>
      </c>
      <c r="C294" s="3705">
        <v>162.69999999999999</v>
      </c>
      <c r="D294" s="1553">
        <v>74.8</v>
      </c>
      <c r="E294" s="1551">
        <v>5500</v>
      </c>
      <c r="F294" s="1552">
        <v>20.3</v>
      </c>
      <c r="G294" s="1551">
        <v>7500</v>
      </c>
      <c r="H294" s="3706">
        <v>6714</v>
      </c>
      <c r="I294" s="1553">
        <v>37.4</v>
      </c>
      <c r="J294" s="1551">
        <v>2800</v>
      </c>
      <c r="K294" s="3153">
        <v>2206</v>
      </c>
    </row>
    <row r="295" spans="1:11">
      <c r="A295" s="1468">
        <f t="shared" si="1"/>
        <v>2013.1</v>
      </c>
      <c r="B295" s="1550">
        <v>15000</v>
      </c>
      <c r="C295" s="3705">
        <v>167.3</v>
      </c>
      <c r="D295" s="1553">
        <v>73.7</v>
      </c>
      <c r="E295" s="1551">
        <v>5500</v>
      </c>
      <c r="F295" s="1552">
        <v>18</v>
      </c>
      <c r="G295" s="1551">
        <v>7500</v>
      </c>
      <c r="H295" s="3706">
        <v>6771</v>
      </c>
      <c r="I295" s="1553">
        <v>36.799999999999997</v>
      </c>
      <c r="J295" s="1551">
        <v>2700</v>
      </c>
      <c r="K295" s="3153">
        <v>2133</v>
      </c>
    </row>
    <row r="296" spans="1:11">
      <c r="A296" s="1468">
        <f t="shared" si="1"/>
        <v>2013.11</v>
      </c>
      <c r="B296" s="1550">
        <v>15000</v>
      </c>
      <c r="C296" s="3705">
        <v>153.6</v>
      </c>
      <c r="D296" s="1553">
        <v>75.2</v>
      </c>
      <c r="E296" s="1551">
        <v>5500</v>
      </c>
      <c r="F296" s="1552">
        <v>16.600000000000001</v>
      </c>
      <c r="G296" s="1551">
        <v>7500</v>
      </c>
      <c r="H296" s="3706">
        <v>6591</v>
      </c>
      <c r="I296" s="1553">
        <v>37.6</v>
      </c>
      <c r="J296" s="1551">
        <v>2700</v>
      </c>
      <c r="K296" s="3153">
        <v>2111</v>
      </c>
    </row>
    <row r="297" spans="1:11">
      <c r="A297" s="1468">
        <f t="shared" si="1"/>
        <v>2013.12</v>
      </c>
      <c r="B297" s="1550">
        <v>15000</v>
      </c>
      <c r="C297" s="3705">
        <v>142</v>
      </c>
      <c r="D297" s="1553">
        <v>65.900000000000006</v>
      </c>
      <c r="E297" s="1551">
        <f t="shared" ref="E297:J297" si="2">(E298+E296)/2</f>
        <v>5500</v>
      </c>
      <c r="F297" s="1552">
        <v>37.4</v>
      </c>
      <c r="G297" s="1551">
        <f t="shared" si="2"/>
        <v>7500</v>
      </c>
      <c r="H297" s="3706">
        <v>5358</v>
      </c>
      <c r="I297" s="1553">
        <v>32.9</v>
      </c>
      <c r="J297" s="1551">
        <f t="shared" si="2"/>
        <v>2700</v>
      </c>
      <c r="K297" s="3153">
        <v>1652</v>
      </c>
    </row>
    <row r="298" spans="1:11">
      <c r="A298" s="1468">
        <f t="shared" si="1"/>
        <v>2014.01</v>
      </c>
      <c r="B298" s="1550">
        <v>15000</v>
      </c>
      <c r="C298" s="3705">
        <v>145.30000000000001</v>
      </c>
      <c r="D298" s="1553">
        <v>72.599999999999994</v>
      </c>
      <c r="E298" s="1551">
        <v>5500</v>
      </c>
      <c r="F298" s="1552">
        <v>38.6</v>
      </c>
      <c r="G298" s="1551">
        <v>7500</v>
      </c>
      <c r="H298" s="3706">
        <v>5913</v>
      </c>
      <c r="I298" s="1553">
        <v>36.299999999999997</v>
      </c>
      <c r="J298" s="1551">
        <v>2700</v>
      </c>
      <c r="K298" s="3153">
        <v>1831</v>
      </c>
    </row>
    <row r="299" spans="1:11">
      <c r="A299" s="1468">
        <f t="shared" si="1"/>
        <v>2014.02</v>
      </c>
      <c r="B299" s="1550">
        <v>15000</v>
      </c>
      <c r="C299" s="3705">
        <v>154.30000000000001</v>
      </c>
      <c r="D299" s="1553">
        <v>71.3</v>
      </c>
      <c r="E299" s="1551">
        <v>5500</v>
      </c>
      <c r="F299" s="1552">
        <v>40.6</v>
      </c>
      <c r="G299" s="1551">
        <v>7500</v>
      </c>
      <c r="H299" s="3706">
        <v>6403</v>
      </c>
      <c r="I299" s="1553">
        <v>35.700000000000003</v>
      </c>
      <c r="J299" s="1551">
        <v>2700</v>
      </c>
      <c r="K299" s="3153">
        <v>2060</v>
      </c>
    </row>
    <row r="300" spans="1:11">
      <c r="A300" s="1468">
        <f t="shared" si="1"/>
        <v>2014.03</v>
      </c>
      <c r="B300" s="1550">
        <v>15000</v>
      </c>
      <c r="C300" s="3705">
        <v>121.7</v>
      </c>
      <c r="D300" s="1553">
        <v>56.5</v>
      </c>
      <c r="E300" s="1551">
        <v>5500</v>
      </c>
      <c r="F300" s="1552">
        <v>32</v>
      </c>
      <c r="G300" s="1551">
        <v>7500</v>
      </c>
      <c r="H300" s="3706">
        <v>5206</v>
      </c>
      <c r="I300" s="1553">
        <v>28.3</v>
      </c>
      <c r="J300" s="1551">
        <v>2700</v>
      </c>
      <c r="K300" s="3153">
        <v>1726</v>
      </c>
    </row>
    <row r="301" spans="1:11">
      <c r="A301" s="1468">
        <f t="shared" si="1"/>
        <v>2014.04</v>
      </c>
      <c r="B301" s="1550">
        <v>15000</v>
      </c>
      <c r="C301" s="3705">
        <v>122.7</v>
      </c>
      <c r="D301" s="1553">
        <v>65.599999999999994</v>
      </c>
      <c r="E301" s="1551">
        <v>5500</v>
      </c>
      <c r="F301" s="1552">
        <v>32.5</v>
      </c>
      <c r="G301" s="1551">
        <v>7500</v>
      </c>
      <c r="H301" s="3706">
        <v>5000</v>
      </c>
      <c r="I301" s="1553">
        <v>32.799999999999997</v>
      </c>
      <c r="J301" s="1551">
        <v>2700</v>
      </c>
      <c r="K301" s="3153">
        <v>1767</v>
      </c>
    </row>
    <row r="302" spans="1:11">
      <c r="A302" s="1468">
        <f t="shared" si="1"/>
        <v>2014.05</v>
      </c>
      <c r="B302" s="1550">
        <v>15000</v>
      </c>
      <c r="C302" s="3705">
        <v>114.7</v>
      </c>
      <c r="D302" s="1553">
        <v>63.8</v>
      </c>
      <c r="E302" s="1551">
        <v>5500</v>
      </c>
      <c r="F302" s="1552">
        <v>30.7</v>
      </c>
      <c r="G302" s="1551">
        <v>7500</v>
      </c>
      <c r="H302" s="3706">
        <v>5275</v>
      </c>
      <c r="I302" s="1553">
        <v>31.9</v>
      </c>
      <c r="J302" s="1551">
        <v>2700</v>
      </c>
      <c r="K302" s="3153">
        <v>1726</v>
      </c>
    </row>
    <row r="303" spans="1:11">
      <c r="A303" s="1468">
        <f t="shared" si="1"/>
        <v>2014.06</v>
      </c>
      <c r="B303" s="1550">
        <v>15000</v>
      </c>
      <c r="C303" s="3705">
        <v>136.80000000000001</v>
      </c>
      <c r="D303" s="1553">
        <v>66</v>
      </c>
      <c r="E303" s="1551">
        <v>5500</v>
      </c>
      <c r="F303" s="1552">
        <v>30.7</v>
      </c>
      <c r="G303" s="1551">
        <v>7500</v>
      </c>
      <c r="H303" s="3706">
        <v>5411</v>
      </c>
      <c r="I303" s="1553">
        <v>33</v>
      </c>
      <c r="J303" s="1551">
        <v>2700</v>
      </c>
      <c r="K303" s="3153">
        <v>1865</v>
      </c>
    </row>
    <row r="304" spans="1:11">
      <c r="A304" s="1468">
        <f t="shared" si="1"/>
        <v>2014.07</v>
      </c>
      <c r="B304" s="1550">
        <v>15000</v>
      </c>
      <c r="C304" s="3705">
        <v>161.30000000000001</v>
      </c>
      <c r="D304" s="1553">
        <v>75.900000000000006</v>
      </c>
      <c r="E304" s="1551">
        <v>5500</v>
      </c>
      <c r="F304" s="1552">
        <v>36.9</v>
      </c>
      <c r="G304" s="1551">
        <v>7500</v>
      </c>
      <c r="H304" s="3706">
        <v>5646</v>
      </c>
      <c r="I304" s="1553">
        <v>38</v>
      </c>
      <c r="J304" s="1551">
        <v>2700</v>
      </c>
      <c r="K304" s="3153">
        <v>1930</v>
      </c>
    </row>
    <row r="305" spans="1:11">
      <c r="A305" s="1468">
        <f t="shared" si="1"/>
        <v>2014.08</v>
      </c>
      <c r="B305" s="1550">
        <v>15000</v>
      </c>
      <c r="C305" s="3705">
        <v>174.5</v>
      </c>
      <c r="D305" s="1553">
        <v>79.3</v>
      </c>
      <c r="E305" s="1551">
        <v>5500</v>
      </c>
      <c r="F305" s="1552">
        <v>45.7</v>
      </c>
      <c r="G305" s="1551">
        <v>7500</v>
      </c>
      <c r="H305" s="3706">
        <v>5424</v>
      </c>
      <c r="I305" s="1553">
        <v>39.700000000000003</v>
      </c>
      <c r="J305" s="1551">
        <v>2700</v>
      </c>
      <c r="K305" s="3153">
        <v>1863</v>
      </c>
    </row>
    <row r="306" spans="1:11">
      <c r="A306" s="1468">
        <f t="shared" si="1"/>
        <v>2014.09</v>
      </c>
      <c r="B306" s="1550">
        <v>15000</v>
      </c>
      <c r="C306" s="3705">
        <v>216.2</v>
      </c>
      <c r="D306" s="1553">
        <v>88.8</v>
      </c>
      <c r="E306" s="1551">
        <v>5500</v>
      </c>
      <c r="F306" s="1552">
        <v>54.6</v>
      </c>
      <c r="G306" s="1551">
        <v>7500</v>
      </c>
      <c r="H306" s="3706">
        <v>5680</v>
      </c>
      <c r="I306" s="1553">
        <v>44.4</v>
      </c>
      <c r="J306" s="1551">
        <v>2700</v>
      </c>
      <c r="K306" s="3153">
        <v>1783</v>
      </c>
    </row>
    <row r="307" spans="1:11">
      <c r="A307" s="1468">
        <f t="shared" si="1"/>
        <v>2014.1</v>
      </c>
      <c r="B307" s="1550">
        <v>15000</v>
      </c>
      <c r="C307" s="3705">
        <v>275.3</v>
      </c>
      <c r="D307" s="1553">
        <v>103.1</v>
      </c>
      <c r="E307" s="1551">
        <v>5500</v>
      </c>
      <c r="F307" s="1552">
        <v>63.6</v>
      </c>
      <c r="G307" s="1551">
        <v>7500</v>
      </c>
      <c r="H307" s="3706">
        <v>6882</v>
      </c>
      <c r="I307" s="1553">
        <v>51.5</v>
      </c>
      <c r="J307" s="1551">
        <v>2700</v>
      </c>
      <c r="K307" s="3153">
        <v>1792</v>
      </c>
    </row>
    <row r="308" spans="1:11">
      <c r="A308" s="1468">
        <f t="shared" si="1"/>
        <v>2014.11</v>
      </c>
      <c r="B308" s="1550">
        <v>15000</v>
      </c>
      <c r="C308" s="3705">
        <v>200.5</v>
      </c>
      <c r="D308" s="1553">
        <v>83.7</v>
      </c>
      <c r="E308" s="1551">
        <v>5500</v>
      </c>
      <c r="F308" s="1552">
        <v>59.3</v>
      </c>
      <c r="G308" s="1551">
        <v>7500</v>
      </c>
      <c r="H308" s="3706">
        <v>6132</v>
      </c>
      <c r="I308" s="1553">
        <v>41.9</v>
      </c>
      <c r="J308" s="1551">
        <v>2700</v>
      </c>
      <c r="K308" s="3153">
        <v>1597</v>
      </c>
    </row>
    <row r="309" spans="1:11">
      <c r="A309" s="1468">
        <f t="shared" si="1"/>
        <v>2014.12</v>
      </c>
      <c r="B309" s="1550">
        <v>15000</v>
      </c>
      <c r="C309" s="3705">
        <v>183.6</v>
      </c>
      <c r="D309" s="1553">
        <v>81.900000000000006</v>
      </c>
      <c r="E309" s="1551">
        <v>5500</v>
      </c>
      <c r="F309" s="1552">
        <v>64.900000000000006</v>
      </c>
      <c r="G309" s="1551">
        <v>7500</v>
      </c>
      <c r="H309" s="3706">
        <v>5955</v>
      </c>
      <c r="I309" s="1553">
        <v>40.9</v>
      </c>
      <c r="J309" s="1551">
        <v>2700</v>
      </c>
      <c r="K309" s="3153">
        <v>1505</v>
      </c>
    </row>
    <row r="310" spans="1:11">
      <c r="A310" s="1468">
        <f t="shared" si="1"/>
        <v>2015.01</v>
      </c>
      <c r="B310" s="1550">
        <v>15000</v>
      </c>
      <c r="C310" s="3705">
        <v>209.4</v>
      </c>
      <c r="D310" s="1553">
        <v>82.5</v>
      </c>
      <c r="E310" s="1551">
        <v>5500</v>
      </c>
      <c r="F310" s="1552">
        <v>70</v>
      </c>
      <c r="G310" s="1551">
        <v>7500</v>
      </c>
      <c r="H310" s="3706">
        <v>6066</v>
      </c>
      <c r="I310" s="1553">
        <v>41.3</v>
      </c>
      <c r="J310" s="1551">
        <v>2700</v>
      </c>
      <c r="K310" s="3153">
        <v>1614</v>
      </c>
    </row>
    <row r="311" spans="1:11">
      <c r="A311" s="1468">
        <f t="shared" si="1"/>
        <v>2015.02</v>
      </c>
      <c r="B311" s="1550">
        <v>15000</v>
      </c>
      <c r="C311" s="3705">
        <v>200.7</v>
      </c>
      <c r="D311" s="1553">
        <v>86.9</v>
      </c>
      <c r="E311" s="1551">
        <v>5500</v>
      </c>
      <c r="F311" s="1552">
        <v>65.400000000000006</v>
      </c>
      <c r="G311" s="1551">
        <v>7500</v>
      </c>
      <c r="H311" s="3706">
        <v>6175</v>
      </c>
      <c r="I311" s="1553">
        <v>43.4</v>
      </c>
      <c r="J311" s="1551">
        <v>2700</v>
      </c>
      <c r="K311" s="3153">
        <v>1571</v>
      </c>
    </row>
    <row r="312" spans="1:11">
      <c r="A312" s="1468">
        <f t="shared" si="1"/>
        <v>2015.03</v>
      </c>
      <c r="B312" s="1550">
        <v>15000</v>
      </c>
      <c r="C312" s="3705">
        <v>205.3</v>
      </c>
      <c r="D312" s="1553">
        <v>86.7</v>
      </c>
      <c r="E312" s="1551">
        <v>5500</v>
      </c>
      <c r="F312" s="1552">
        <v>71.5</v>
      </c>
      <c r="G312" s="1551">
        <v>7500</v>
      </c>
      <c r="H312" s="3706">
        <v>5735</v>
      </c>
      <c r="I312" s="1553">
        <v>43.3</v>
      </c>
      <c r="J312" s="1551">
        <v>2700</v>
      </c>
      <c r="K312" s="3153">
        <v>1494</v>
      </c>
    </row>
    <row r="313" spans="1:11">
      <c r="A313" s="1468">
        <f t="shared" si="1"/>
        <v>2015.04</v>
      </c>
      <c r="B313" s="1550">
        <v>15000</v>
      </c>
      <c r="C313" s="3705">
        <v>200.3</v>
      </c>
      <c r="D313" s="1553">
        <v>98</v>
      </c>
      <c r="E313" s="1551">
        <v>5500</v>
      </c>
      <c r="F313" s="1552">
        <v>74.2</v>
      </c>
      <c r="G313" s="1551">
        <v>7500</v>
      </c>
      <c r="H313" s="3706">
        <v>5229</v>
      </c>
      <c r="I313" s="1553">
        <v>49</v>
      </c>
      <c r="J313" s="1551">
        <v>2700</v>
      </c>
      <c r="K313" s="3153">
        <v>1473</v>
      </c>
    </row>
    <row r="314" spans="1:11">
      <c r="A314" s="1468">
        <f t="shared" si="1"/>
        <v>2015.05</v>
      </c>
      <c r="B314" s="1550">
        <v>15000</v>
      </c>
      <c r="C314" s="3705">
        <v>196.4</v>
      </c>
      <c r="D314" s="1553">
        <v>101.9</v>
      </c>
      <c r="E314" s="1551">
        <v>5500</v>
      </c>
      <c r="F314" s="1552">
        <v>72</v>
      </c>
      <c r="G314" s="1551">
        <v>7500</v>
      </c>
      <c r="H314" s="3706">
        <v>5687</v>
      </c>
      <c r="I314" s="1553">
        <v>50.9</v>
      </c>
      <c r="J314" s="1551">
        <v>2700</v>
      </c>
      <c r="K314" s="3153">
        <v>1559</v>
      </c>
    </row>
    <row r="315" spans="1:11">
      <c r="A315" s="1468">
        <f t="shared" si="1"/>
        <v>2015.06</v>
      </c>
      <c r="B315" s="1550">
        <v>15000</v>
      </c>
      <c r="C315" s="3705">
        <v>197.7</v>
      </c>
      <c r="D315" s="1553">
        <v>103.7</v>
      </c>
      <c r="E315" s="1551">
        <v>5500</v>
      </c>
      <c r="F315" s="1552">
        <v>68.5</v>
      </c>
      <c r="G315" s="1551">
        <v>7500</v>
      </c>
      <c r="H315" s="3706">
        <v>5484</v>
      </c>
      <c r="I315" s="1553">
        <v>51.8</v>
      </c>
      <c r="J315" s="1551">
        <v>2700</v>
      </c>
      <c r="K315" s="3153">
        <v>1518</v>
      </c>
    </row>
    <row r="316" spans="1:11">
      <c r="A316" s="1468">
        <f t="shared" si="1"/>
        <v>2015.07</v>
      </c>
      <c r="B316" s="1550">
        <v>15000</v>
      </c>
      <c r="C316" s="3705">
        <v>220.9</v>
      </c>
      <c r="D316" s="1553">
        <v>103.7</v>
      </c>
      <c r="E316" s="1551">
        <v>5500</v>
      </c>
      <c r="F316" s="1552">
        <v>74.5</v>
      </c>
      <c r="G316" s="1551">
        <v>7500</v>
      </c>
      <c r="H316" s="3706">
        <v>5553</v>
      </c>
      <c r="I316" s="1553">
        <v>51.8</v>
      </c>
      <c r="J316" s="1551">
        <v>2700</v>
      </c>
      <c r="K316" s="3153">
        <v>1557</v>
      </c>
    </row>
    <row r="317" spans="1:11">
      <c r="A317" s="1468">
        <f t="shared" si="1"/>
        <v>2015.08</v>
      </c>
      <c r="B317" s="1550">
        <v>15000</v>
      </c>
      <c r="C317" s="3705">
        <v>253.4</v>
      </c>
      <c r="D317" s="1553">
        <v>107.6</v>
      </c>
      <c r="E317" s="1551">
        <v>5500</v>
      </c>
      <c r="F317" s="1552">
        <v>82.5</v>
      </c>
      <c r="G317" s="1551">
        <v>7500</v>
      </c>
      <c r="H317" s="3706">
        <v>5959</v>
      </c>
      <c r="I317" s="1553">
        <v>53.8</v>
      </c>
      <c r="J317" s="1551">
        <v>2700</v>
      </c>
      <c r="K317" s="3153">
        <v>1588</v>
      </c>
    </row>
    <row r="318" spans="1:11">
      <c r="A318" s="1468">
        <f t="shared" si="1"/>
        <v>2015.09</v>
      </c>
      <c r="B318" s="1550">
        <v>15000</v>
      </c>
      <c r="C318" s="3705">
        <v>250.4</v>
      </c>
      <c r="D318" s="1553">
        <v>107.7</v>
      </c>
      <c r="E318" s="1551">
        <v>5500</v>
      </c>
      <c r="F318" s="1552">
        <v>82.8</v>
      </c>
      <c r="G318" s="1551">
        <v>7500</v>
      </c>
      <c r="H318" s="3706">
        <v>5938</v>
      </c>
      <c r="I318" s="1553">
        <v>53.9</v>
      </c>
      <c r="J318" s="1551">
        <v>2700</v>
      </c>
      <c r="K318" s="3153">
        <v>1635</v>
      </c>
    </row>
    <row r="319" spans="1:11">
      <c r="A319" s="1468">
        <f t="shared" si="1"/>
        <v>2015.1</v>
      </c>
      <c r="B319" s="1550">
        <v>15000</v>
      </c>
      <c r="C319" s="3705">
        <v>238.2</v>
      </c>
      <c r="D319" s="1553">
        <v>111.8</v>
      </c>
      <c r="E319" s="1551">
        <v>5500</v>
      </c>
      <c r="F319" s="1552">
        <v>87.3</v>
      </c>
      <c r="G319" s="1551">
        <v>7500</v>
      </c>
      <c r="H319" s="3706">
        <v>5955</v>
      </c>
      <c r="I319" s="1553">
        <v>55.9</v>
      </c>
      <c r="J319" s="1551">
        <v>2700</v>
      </c>
      <c r="K319" s="3153">
        <v>1588</v>
      </c>
    </row>
    <row r="320" spans="1:11">
      <c r="A320" s="1468">
        <f t="shared" si="1"/>
        <v>2015.11</v>
      </c>
      <c r="B320" s="1550">
        <v>15000</v>
      </c>
      <c r="C320" s="3705">
        <v>200</v>
      </c>
      <c r="D320" s="1553">
        <v>102.2</v>
      </c>
      <c r="E320" s="1551">
        <v>5500</v>
      </c>
      <c r="F320" s="1552">
        <v>78.400000000000006</v>
      </c>
      <c r="G320" s="1551">
        <v>7500</v>
      </c>
      <c r="H320" s="3706">
        <v>5876</v>
      </c>
      <c r="I320" s="1553">
        <v>51.1</v>
      </c>
      <c r="J320" s="1551">
        <v>2700</v>
      </c>
      <c r="K320" s="3153">
        <v>1511</v>
      </c>
    </row>
    <row r="321" spans="1:11">
      <c r="A321" s="1468">
        <f t="shared" si="1"/>
        <v>2015.12</v>
      </c>
      <c r="B321" s="1550">
        <v>15000</v>
      </c>
      <c r="C321" s="3705">
        <v>157.5</v>
      </c>
      <c r="D321" s="1553">
        <v>83.6</v>
      </c>
      <c r="E321" s="1551">
        <v>5500</v>
      </c>
      <c r="F321" s="1552">
        <v>56.9</v>
      </c>
      <c r="G321" s="1551">
        <v>7500</v>
      </c>
      <c r="H321" s="3706">
        <v>3684</v>
      </c>
      <c r="I321" s="1553">
        <v>41.8</v>
      </c>
      <c r="J321" s="1551">
        <v>2700</v>
      </c>
      <c r="K321" s="3153">
        <v>1118</v>
      </c>
    </row>
    <row r="322" spans="1:11">
      <c r="A322" s="1468">
        <f t="shared" si="1"/>
        <v>2016.01</v>
      </c>
      <c r="B322" s="1550">
        <v>15000</v>
      </c>
      <c r="C322" s="3705">
        <v>112.6</v>
      </c>
      <c r="D322" s="1553">
        <v>69.900000000000006</v>
      </c>
      <c r="E322" s="1551">
        <v>5500</v>
      </c>
      <c r="F322" s="1552">
        <v>42.7</v>
      </c>
      <c r="G322" s="1551">
        <v>7500</v>
      </c>
      <c r="H322" s="3706">
        <v>3824</v>
      </c>
      <c r="I322" s="1553">
        <v>34.9</v>
      </c>
      <c r="J322" s="1551">
        <v>2700</v>
      </c>
      <c r="K322" s="3153">
        <v>1057</v>
      </c>
    </row>
    <row r="323" spans="1:11">
      <c r="A323" s="1468">
        <f t="shared" si="1"/>
        <v>2016.02</v>
      </c>
      <c r="B323" s="1550">
        <v>15000</v>
      </c>
      <c r="C323" s="3705">
        <v>104</v>
      </c>
      <c r="D323" s="1553">
        <v>64.7</v>
      </c>
      <c r="E323" s="1551">
        <v>5500</v>
      </c>
      <c r="F323" s="1552">
        <v>39.9</v>
      </c>
      <c r="G323" s="1551">
        <v>7500</v>
      </c>
      <c r="H323" s="3706">
        <v>4601</v>
      </c>
      <c r="I323" s="1553">
        <v>32.299999999999997</v>
      </c>
      <c r="J323" s="1551">
        <v>2700</v>
      </c>
      <c r="K323" s="3153">
        <v>1305</v>
      </c>
    </row>
    <row r="324" spans="1:11">
      <c r="A324" s="1468">
        <f t="shared" si="1"/>
        <v>2016.03</v>
      </c>
      <c r="B324" s="1550">
        <v>15000</v>
      </c>
      <c r="C324" s="3705">
        <v>104</v>
      </c>
      <c r="D324" s="1553">
        <v>64.7</v>
      </c>
      <c r="E324" s="1551">
        <v>5500</v>
      </c>
      <c r="F324" s="1552">
        <v>39.9</v>
      </c>
      <c r="G324" s="1551">
        <v>7500</v>
      </c>
      <c r="H324" s="3706">
        <v>4601</v>
      </c>
      <c r="I324" s="1553">
        <v>32.299999999999997</v>
      </c>
      <c r="J324" s="1551">
        <v>2700</v>
      </c>
      <c r="K324" s="3153">
        <v>1305</v>
      </c>
    </row>
    <row r="325" spans="1:11">
      <c r="A325" s="1468">
        <f t="shared" si="1"/>
        <v>2016.04</v>
      </c>
      <c r="B325" s="1550">
        <v>15000</v>
      </c>
      <c r="C325" s="3705">
        <v>107.1</v>
      </c>
      <c r="D325" s="1553">
        <v>70.5</v>
      </c>
      <c r="E325" s="1551">
        <v>5500</v>
      </c>
      <c r="F325" s="1552">
        <v>38.4</v>
      </c>
      <c r="G325" s="1551">
        <v>7500</v>
      </c>
      <c r="H325" s="3706">
        <v>4018</v>
      </c>
      <c r="I325" s="1553">
        <v>35.299999999999997</v>
      </c>
      <c r="J325" s="1551">
        <v>2700</v>
      </c>
      <c r="K325" s="3153">
        <v>1227</v>
      </c>
    </row>
    <row r="326" spans="1:11">
      <c r="A326" s="1468">
        <f t="shared" si="1"/>
        <v>2016.05</v>
      </c>
      <c r="B326" s="1550">
        <v>15000</v>
      </c>
      <c r="C326" s="3705">
        <v>77.900000000000006</v>
      </c>
      <c r="D326" s="1553">
        <v>60.6</v>
      </c>
      <c r="E326" s="1551">
        <v>5600</v>
      </c>
      <c r="F326" s="1552">
        <v>36.200000000000003</v>
      </c>
      <c r="G326" s="1551">
        <v>7500</v>
      </c>
      <c r="H326" s="3706">
        <v>3826</v>
      </c>
      <c r="I326" s="1553">
        <v>30.3</v>
      </c>
      <c r="J326" s="1551">
        <v>2850</v>
      </c>
      <c r="K326" s="3153">
        <v>1256</v>
      </c>
    </row>
    <row r="327" spans="1:11">
      <c r="A327" s="1468">
        <f t="shared" si="1"/>
        <v>2016.06</v>
      </c>
      <c r="B327" s="1550">
        <v>15000</v>
      </c>
      <c r="C327" s="3705">
        <v>76.400000000000006</v>
      </c>
      <c r="D327" s="1553">
        <v>53.5</v>
      </c>
      <c r="E327" s="1551">
        <v>5600</v>
      </c>
      <c r="F327" s="1552">
        <v>30.7</v>
      </c>
      <c r="G327" s="1551">
        <v>7500</v>
      </c>
      <c r="H327" s="3706">
        <v>3628</v>
      </c>
      <c r="I327" s="1553">
        <v>26.8</v>
      </c>
      <c r="J327" s="1551">
        <v>2850</v>
      </c>
      <c r="K327" s="3153">
        <v>1214</v>
      </c>
    </row>
    <row r="328" spans="1:11">
      <c r="A328" s="1468">
        <f t="shared" si="1"/>
        <v>2016.07</v>
      </c>
      <c r="B328" s="1550">
        <v>15000</v>
      </c>
      <c r="C328" s="3705">
        <v>76.7</v>
      </c>
      <c r="D328" s="1553">
        <v>51.1</v>
      </c>
      <c r="E328" s="1551">
        <v>5600</v>
      </c>
      <c r="F328" s="1552">
        <v>34.4</v>
      </c>
      <c r="G328" s="1551">
        <v>7500</v>
      </c>
      <c r="H328" s="3706">
        <v>3772</v>
      </c>
      <c r="I328" s="1553">
        <v>25.6</v>
      </c>
      <c r="J328" s="1551">
        <v>2850</v>
      </c>
      <c r="K328" s="3153">
        <v>1286</v>
      </c>
    </row>
    <row r="329" spans="1:11">
      <c r="A329" s="1468">
        <f t="shared" si="1"/>
        <v>2016.08</v>
      </c>
      <c r="B329" s="1550">
        <v>15000</v>
      </c>
      <c r="C329" s="3705">
        <v>86.4</v>
      </c>
      <c r="D329" s="1553">
        <v>56.9</v>
      </c>
      <c r="E329" s="1551">
        <v>5600</v>
      </c>
      <c r="F329" s="1552">
        <v>36.4</v>
      </c>
      <c r="G329" s="1551">
        <v>7500</v>
      </c>
      <c r="H329" s="3706">
        <v>3752</v>
      </c>
      <c r="I329" s="1553">
        <v>28.4</v>
      </c>
      <c r="J329" s="1551">
        <v>2850</v>
      </c>
      <c r="K329" s="3153">
        <v>1243</v>
      </c>
    </row>
    <row r="330" spans="1:11">
      <c r="A330" s="1468">
        <f t="shared" si="1"/>
        <v>2016.09</v>
      </c>
      <c r="B330" s="1550">
        <v>15000</v>
      </c>
      <c r="C330" s="3705">
        <v>97.1</v>
      </c>
      <c r="D330" s="1553">
        <v>59.5</v>
      </c>
      <c r="E330" s="1551">
        <v>5600</v>
      </c>
      <c r="F330" s="1552">
        <v>41.7</v>
      </c>
      <c r="G330" s="1551">
        <v>7500</v>
      </c>
      <c r="H330" s="3706">
        <v>3925</v>
      </c>
      <c r="I330" s="1553">
        <v>29.8</v>
      </c>
      <c r="J330" s="1551">
        <v>2850</v>
      </c>
      <c r="K330" s="3153">
        <v>1227</v>
      </c>
    </row>
    <row r="331" spans="1:11">
      <c r="A331" s="1468">
        <f t="shared" si="1"/>
        <v>2016.1</v>
      </c>
      <c r="B331" s="1550">
        <v>15000</v>
      </c>
      <c r="C331" s="3705">
        <v>96.6</v>
      </c>
      <c r="D331" s="1553">
        <v>57.9</v>
      </c>
      <c r="E331" s="1551">
        <v>5600</v>
      </c>
      <c r="F331" s="1552">
        <v>41.2</v>
      </c>
      <c r="G331" s="1551">
        <v>7500</v>
      </c>
      <c r="H331" s="3706">
        <v>3863</v>
      </c>
      <c r="I331" s="1553">
        <v>29</v>
      </c>
      <c r="J331" s="1551">
        <v>2850</v>
      </c>
      <c r="K331" s="3153">
        <v>1159</v>
      </c>
    </row>
    <row r="332" spans="1:11">
      <c r="A332" s="1468">
        <f t="shared" si="1"/>
        <v>2016.11</v>
      </c>
      <c r="B332" s="1550">
        <v>15500</v>
      </c>
      <c r="C332" s="3705">
        <v>95.2</v>
      </c>
      <c r="D332" s="1553">
        <v>58.3</v>
      </c>
      <c r="E332" s="1551">
        <v>5800</v>
      </c>
      <c r="F332" s="1552">
        <v>39.6</v>
      </c>
      <c r="G332" s="1551">
        <v>7500</v>
      </c>
      <c r="H332" s="3706">
        <v>3838</v>
      </c>
      <c r="I332" s="1553">
        <v>28.2</v>
      </c>
      <c r="J332" s="1551">
        <v>3000</v>
      </c>
      <c r="K332" s="3153">
        <v>1212</v>
      </c>
    </row>
    <row r="333" spans="1:11">
      <c r="A333" s="1468">
        <f t="shared" si="1"/>
        <v>2016.12</v>
      </c>
      <c r="B333" s="1550">
        <v>15500</v>
      </c>
      <c r="C333" s="3705">
        <v>99.1</v>
      </c>
      <c r="D333" s="1553">
        <v>60.4</v>
      </c>
      <c r="E333" s="1551">
        <v>5800</v>
      </c>
      <c r="F333" s="1552">
        <v>42.5</v>
      </c>
      <c r="G333" s="1551">
        <v>7500</v>
      </c>
      <c r="H333" s="3706">
        <v>4394</v>
      </c>
      <c r="I333" s="1553">
        <v>29.2</v>
      </c>
      <c r="J333" s="1551">
        <v>3000</v>
      </c>
      <c r="K333" s="3153">
        <v>1324</v>
      </c>
    </row>
    <row r="334" spans="1:11">
      <c r="A334" s="1468">
        <f t="shared" si="1"/>
        <v>2017.01</v>
      </c>
      <c r="B334" s="1550">
        <v>15500</v>
      </c>
      <c r="C334" s="3705">
        <v>96.6</v>
      </c>
      <c r="D334" s="1553">
        <v>59.8</v>
      </c>
      <c r="E334" s="1551">
        <v>5800</v>
      </c>
      <c r="F334" s="1552">
        <v>38.4</v>
      </c>
      <c r="G334" s="1551">
        <v>7500</v>
      </c>
      <c r="H334" s="3706">
        <v>4500</v>
      </c>
      <c r="I334" s="1553">
        <v>28.9</v>
      </c>
      <c r="J334" s="1551">
        <v>3000</v>
      </c>
      <c r="K334" s="3153">
        <v>1369</v>
      </c>
    </row>
    <row r="335" spans="1:11">
      <c r="A335" s="1468">
        <f t="shared" si="1"/>
        <v>2017.02</v>
      </c>
      <c r="B335" s="1550">
        <v>15500</v>
      </c>
      <c r="C335" s="3705">
        <v>106.3</v>
      </c>
      <c r="D335" s="1553">
        <v>59.5</v>
      </c>
      <c r="E335" s="1551">
        <v>5800</v>
      </c>
      <c r="F335" s="1552">
        <v>36</v>
      </c>
      <c r="G335" s="1551">
        <v>7500</v>
      </c>
      <c r="H335" s="3706">
        <v>4318</v>
      </c>
      <c r="I335" s="1553">
        <v>28.8</v>
      </c>
      <c r="J335" s="1551">
        <v>3000</v>
      </c>
      <c r="K335" s="3153">
        <v>1422</v>
      </c>
    </row>
    <row r="336" spans="1:11">
      <c r="A336" s="1468">
        <f t="shared" si="1"/>
        <v>2017.03</v>
      </c>
      <c r="B336" s="1550">
        <v>15500</v>
      </c>
      <c r="C336" s="3705">
        <v>101.8</v>
      </c>
      <c r="D336" s="1553">
        <v>61.1</v>
      </c>
      <c r="E336" s="1551">
        <v>5800</v>
      </c>
      <c r="F336" s="1552">
        <v>36.6</v>
      </c>
      <c r="G336" s="1551">
        <v>7500</v>
      </c>
      <c r="H336" s="3706">
        <v>4078</v>
      </c>
      <c r="I336" s="1553">
        <v>29.6</v>
      </c>
      <c r="J336" s="1551">
        <v>3000</v>
      </c>
      <c r="K336" s="3153">
        <v>1352</v>
      </c>
    </row>
    <row r="337" spans="1:11">
      <c r="A337" s="1468">
        <f t="shared" si="1"/>
        <v>2017.04</v>
      </c>
      <c r="B337" s="1550">
        <v>15500</v>
      </c>
      <c r="C337" s="3705">
        <v>105.9</v>
      </c>
      <c r="D337" s="1553">
        <v>70.599999999999994</v>
      </c>
      <c r="E337" s="1551">
        <v>5800</v>
      </c>
      <c r="F337" s="1552">
        <v>38</v>
      </c>
      <c r="G337" s="1551">
        <v>7500</v>
      </c>
      <c r="H337" s="3706">
        <v>3928</v>
      </c>
      <c r="I337" s="1553">
        <v>34.200000000000003</v>
      </c>
      <c r="J337" s="1551">
        <v>3000</v>
      </c>
      <c r="K337" s="3153">
        <v>1309</v>
      </c>
    </row>
    <row r="338" spans="1:11">
      <c r="A338" s="1468">
        <f t="shared" si="1"/>
        <v>2017.05</v>
      </c>
      <c r="B338" s="1550">
        <v>15800</v>
      </c>
      <c r="C338" s="3705">
        <v>107.4</v>
      </c>
      <c r="D338" s="1553">
        <v>68.599999999999994</v>
      </c>
      <c r="E338" s="1551">
        <v>5800</v>
      </c>
      <c r="F338" s="1552">
        <v>36.299999999999997</v>
      </c>
      <c r="G338" s="1551">
        <v>7500</v>
      </c>
      <c r="H338" s="3706">
        <v>3724</v>
      </c>
      <c r="I338" s="1553">
        <v>32.6</v>
      </c>
      <c r="J338" s="1551">
        <v>3000</v>
      </c>
      <c r="K338" s="3153">
        <v>1285</v>
      </c>
    </row>
    <row r="339" spans="1:11">
      <c r="A339" s="1468">
        <f t="shared" si="1"/>
        <v>2017.06</v>
      </c>
      <c r="B339" s="1550">
        <v>15800</v>
      </c>
      <c r="C339" s="3705">
        <v>109.8</v>
      </c>
      <c r="D339" s="1553">
        <v>67</v>
      </c>
      <c r="E339" s="1551">
        <v>5800</v>
      </c>
      <c r="F339" s="1552">
        <v>36</v>
      </c>
      <c r="G339" s="1551">
        <v>7500</v>
      </c>
      <c r="H339" s="3706">
        <v>3951</v>
      </c>
      <c r="I339" s="1553">
        <v>31.8</v>
      </c>
      <c r="J339" s="1551">
        <v>3000</v>
      </c>
      <c r="K339" s="3153">
        <v>1324</v>
      </c>
    </row>
    <row r="340" spans="1:11">
      <c r="A340" s="1468">
        <f t="shared" si="1"/>
        <v>2017.07</v>
      </c>
      <c r="B340" s="1550">
        <v>15900</v>
      </c>
      <c r="C340" s="3705">
        <v>115.2</v>
      </c>
      <c r="D340" s="1553">
        <v>68.599999999999994</v>
      </c>
      <c r="E340" s="1551">
        <v>5800</v>
      </c>
      <c r="F340" s="1552">
        <v>36.9</v>
      </c>
      <c r="G340" s="1551">
        <v>7500</v>
      </c>
      <c r="H340" s="3706">
        <v>4055</v>
      </c>
      <c r="I340" s="1553">
        <v>32.299999999999997</v>
      </c>
      <c r="J340" s="1551">
        <v>3000</v>
      </c>
      <c r="K340" s="3153">
        <v>1381</v>
      </c>
    </row>
    <row r="341" spans="1:11">
      <c r="A341" s="1468">
        <f t="shared" si="1"/>
        <v>2017.08</v>
      </c>
      <c r="B341" s="1550">
        <v>15900</v>
      </c>
      <c r="C341" s="3705">
        <v>120.4</v>
      </c>
      <c r="D341" s="1553">
        <v>67.7</v>
      </c>
      <c r="E341" s="1551">
        <v>5800</v>
      </c>
      <c r="F341" s="1552">
        <v>35.700000000000003</v>
      </c>
      <c r="G341" s="1551">
        <v>7500</v>
      </c>
      <c r="H341" s="3706">
        <v>4188</v>
      </c>
      <c r="I341" s="1553">
        <v>31.9</v>
      </c>
      <c r="J341" s="1551">
        <v>3000</v>
      </c>
      <c r="K341" s="3153">
        <v>1375</v>
      </c>
    </row>
    <row r="342" spans="1:11">
      <c r="A342" s="1468">
        <f t="shared" si="1"/>
        <v>2017.09</v>
      </c>
      <c r="B342" s="1550">
        <v>15900</v>
      </c>
      <c r="C342" s="3705">
        <v>120.6</v>
      </c>
      <c r="D342" s="1553">
        <v>64.599999999999994</v>
      </c>
      <c r="E342" s="1551">
        <v>5800</v>
      </c>
      <c r="F342" s="1552">
        <v>38.299999999999997</v>
      </c>
      <c r="G342" s="1551">
        <v>7500</v>
      </c>
      <c r="H342" s="3706">
        <v>3922</v>
      </c>
      <c r="I342" s="1553">
        <v>30.5</v>
      </c>
      <c r="J342" s="1551">
        <v>3000</v>
      </c>
      <c r="K342" s="3153">
        <v>1314</v>
      </c>
    </row>
    <row r="343" spans="1:11">
      <c r="A343" s="1468">
        <f t="shared" si="1"/>
        <v>2017.1</v>
      </c>
      <c r="B343" s="1550">
        <v>15900</v>
      </c>
      <c r="C343" s="3705">
        <v>117.3</v>
      </c>
      <c r="D343" s="1553">
        <v>64.3</v>
      </c>
      <c r="E343" s="1551">
        <v>5800</v>
      </c>
      <c r="F343" s="1552">
        <v>36</v>
      </c>
      <c r="G343" s="1551">
        <v>7500</v>
      </c>
      <c r="H343" s="3706">
        <v>3907</v>
      </c>
      <c r="I343" s="1553">
        <v>30.3</v>
      </c>
      <c r="J343" s="1551">
        <v>3000</v>
      </c>
      <c r="K343" s="3153">
        <v>1265</v>
      </c>
    </row>
    <row r="344" spans="1:11">
      <c r="A344" s="1468">
        <f t="shared" si="1"/>
        <v>2017.11</v>
      </c>
      <c r="B344" s="1550">
        <v>15900</v>
      </c>
      <c r="C344" s="3705">
        <v>121.3</v>
      </c>
      <c r="D344" s="1553">
        <v>64.099999999999994</v>
      </c>
      <c r="E344" s="1551">
        <v>5800</v>
      </c>
      <c r="F344" s="1552">
        <v>36.5</v>
      </c>
      <c r="G344" s="1551">
        <v>7500</v>
      </c>
      <c r="H344" s="3706">
        <v>4138</v>
      </c>
      <c r="I344" s="1553">
        <v>30.2</v>
      </c>
      <c r="J344" s="1551">
        <v>3000</v>
      </c>
      <c r="K344" s="3153">
        <v>1281</v>
      </c>
    </row>
    <row r="345" spans="1:11">
      <c r="A345" s="1468">
        <f t="shared" si="1"/>
        <v>2017.12</v>
      </c>
      <c r="B345" s="1550">
        <v>15900</v>
      </c>
      <c r="C345" s="3705">
        <v>111.8</v>
      </c>
      <c r="D345" s="1553">
        <v>61.4</v>
      </c>
      <c r="E345" s="1551">
        <v>5800</v>
      </c>
      <c r="F345" s="1552">
        <v>40</v>
      </c>
      <c r="G345" s="1551">
        <v>7500</v>
      </c>
      <c r="H345" s="3706">
        <v>3995</v>
      </c>
      <c r="I345" s="1553">
        <v>29</v>
      </c>
      <c r="J345" s="1551">
        <v>3000</v>
      </c>
      <c r="K345" s="3153">
        <v>1199</v>
      </c>
    </row>
    <row r="346" spans="1:11">
      <c r="A346" s="1468">
        <f t="shared" si="1"/>
        <v>2018.01</v>
      </c>
      <c r="B346" s="1550">
        <v>15900</v>
      </c>
      <c r="C346" s="3705">
        <v>110.5</v>
      </c>
      <c r="D346" s="1553">
        <v>63.5</v>
      </c>
      <c r="E346" s="1551">
        <v>5800</v>
      </c>
      <c r="F346" s="1552">
        <v>36.299999999999997</v>
      </c>
      <c r="G346" s="1551">
        <v>7500</v>
      </c>
      <c r="H346" s="3706">
        <v>4397</v>
      </c>
      <c r="I346" s="1553">
        <v>29.9</v>
      </c>
      <c r="J346" s="1551">
        <v>3000</v>
      </c>
      <c r="K346" s="3153">
        <v>1340</v>
      </c>
    </row>
    <row r="347" spans="1:11">
      <c r="A347" s="1468">
        <f t="shared" si="1"/>
        <v>2018.02</v>
      </c>
      <c r="B347" s="1550">
        <v>15900</v>
      </c>
      <c r="C347" s="3705">
        <v>101.3</v>
      </c>
      <c r="D347" s="1553">
        <v>58.7</v>
      </c>
      <c r="E347" s="1551">
        <v>5800</v>
      </c>
      <c r="F347" s="1552">
        <v>34.200000000000003</v>
      </c>
      <c r="G347" s="1551">
        <v>7500</v>
      </c>
      <c r="H347" s="3706">
        <v>4359</v>
      </c>
      <c r="I347" s="1553">
        <v>27.7</v>
      </c>
      <c r="J347" s="1551">
        <v>3000</v>
      </c>
      <c r="K347" s="3153">
        <v>1411</v>
      </c>
    </row>
    <row r="348" spans="1:11">
      <c r="A348" s="1468">
        <f t="shared" si="1"/>
        <v>2018.03</v>
      </c>
      <c r="B348" s="1550">
        <v>15900</v>
      </c>
      <c r="C348" s="3705">
        <v>93</v>
      </c>
      <c r="D348" s="1553">
        <v>51.7</v>
      </c>
      <c r="E348" s="1551">
        <v>5800</v>
      </c>
      <c r="F348" s="1552">
        <v>32.1</v>
      </c>
      <c r="G348" s="1551">
        <v>7500</v>
      </c>
      <c r="H348" s="3706">
        <v>4652</v>
      </c>
      <c r="I348" s="1553">
        <v>24.4</v>
      </c>
      <c r="J348" s="1551">
        <v>3000</v>
      </c>
      <c r="K348" s="3153">
        <v>1462</v>
      </c>
    </row>
    <row r="349" spans="1:11">
      <c r="A349" s="1468">
        <f t="shared" si="1"/>
        <v>2018.04</v>
      </c>
      <c r="B349" s="1550">
        <v>15900</v>
      </c>
      <c r="C349" s="3705">
        <v>94.2</v>
      </c>
      <c r="D349" s="1553">
        <v>53.7</v>
      </c>
      <c r="E349" s="1551">
        <v>5800</v>
      </c>
      <c r="F349" s="1552">
        <v>30</v>
      </c>
      <c r="G349" s="1551">
        <v>7500</v>
      </c>
      <c r="H349" s="3706">
        <v>4511</v>
      </c>
      <c r="I349" s="1553">
        <v>25.4</v>
      </c>
      <c r="J349" s="1551">
        <v>3000</v>
      </c>
      <c r="K349" s="3153">
        <v>1573</v>
      </c>
    </row>
    <row r="350" spans="1:11">
      <c r="A350" s="1468">
        <f t="shared" si="1"/>
        <v>2018.05</v>
      </c>
      <c r="B350" s="1550">
        <v>15900</v>
      </c>
      <c r="C350" s="3705">
        <v>93.9</v>
      </c>
      <c r="D350" s="1553">
        <v>53.2</v>
      </c>
      <c r="E350" s="1551">
        <v>5800</v>
      </c>
      <c r="F350" s="1552">
        <v>25.4</v>
      </c>
      <c r="G350" s="1551">
        <v>7500</v>
      </c>
      <c r="H350" s="3706">
        <v>4962</v>
      </c>
      <c r="I350" s="1553">
        <v>25.1</v>
      </c>
      <c r="J350" s="1551">
        <v>3000</v>
      </c>
      <c r="K350" s="3153">
        <v>1613</v>
      </c>
    </row>
    <row r="351" spans="1:11">
      <c r="A351" s="1468">
        <f t="shared" si="1"/>
        <v>2018.06</v>
      </c>
      <c r="B351" s="1550">
        <v>15900</v>
      </c>
      <c r="C351" s="3705">
        <v>96.3</v>
      </c>
      <c r="D351" s="1553">
        <v>55.7</v>
      </c>
      <c r="E351" s="1551">
        <v>5800</v>
      </c>
      <c r="F351" s="1552">
        <v>24.3</v>
      </c>
      <c r="G351" s="1551">
        <v>7500</v>
      </c>
      <c r="H351" s="3706">
        <v>4919</v>
      </c>
      <c r="I351" s="1553">
        <v>26.3</v>
      </c>
      <c r="J351" s="1551">
        <v>3000</v>
      </c>
      <c r="K351" s="3153">
        <v>1744</v>
      </c>
    </row>
    <row r="352" spans="1:11">
      <c r="A352" s="1468">
        <f t="shared" si="1"/>
        <v>2018.07</v>
      </c>
      <c r="B352" s="1550">
        <v>15900</v>
      </c>
      <c r="C352" s="3705">
        <v>107.5</v>
      </c>
      <c r="D352" s="1553">
        <v>57.4</v>
      </c>
      <c r="E352" s="1551">
        <v>5800</v>
      </c>
      <c r="F352" s="1552">
        <v>27.9</v>
      </c>
      <c r="G352" s="1551">
        <v>7500</v>
      </c>
      <c r="H352" s="3706">
        <v>5739</v>
      </c>
      <c r="I352" s="1553">
        <v>27.1</v>
      </c>
      <c r="J352" s="1551">
        <v>3000</v>
      </c>
      <c r="K352" s="3153">
        <v>1897</v>
      </c>
    </row>
    <row r="353" spans="1:11">
      <c r="A353" s="1468">
        <f t="shared" si="1"/>
        <v>2018.08</v>
      </c>
      <c r="B353" s="1550">
        <v>15500</v>
      </c>
      <c r="C353" s="3705">
        <v>96.2</v>
      </c>
      <c r="D353" s="1553">
        <v>57.6</v>
      </c>
      <c r="E353" s="1551">
        <v>5800</v>
      </c>
      <c r="F353" s="1552">
        <v>27.5</v>
      </c>
      <c r="G353" s="1551">
        <v>7500</v>
      </c>
      <c r="H353" s="3706">
        <v>5164</v>
      </c>
      <c r="I353" s="1553">
        <v>27.9</v>
      </c>
      <c r="J353" s="1551">
        <v>3000</v>
      </c>
      <c r="K353" s="3153">
        <v>1882</v>
      </c>
    </row>
    <row r="354" spans="1:11">
      <c r="A354" s="1468">
        <f>A342+1</f>
        <v>2018.09</v>
      </c>
      <c r="B354" s="1550">
        <v>15500</v>
      </c>
      <c r="C354" s="3705">
        <v>119.2</v>
      </c>
      <c r="D354" s="1553">
        <v>67.400000000000006</v>
      </c>
      <c r="E354" s="1551">
        <v>5800</v>
      </c>
      <c r="F354" s="1552">
        <v>28.8</v>
      </c>
      <c r="G354" s="1551">
        <v>7500</v>
      </c>
      <c r="H354" s="3706">
        <v>6335</v>
      </c>
      <c r="I354" s="1553">
        <v>32.6</v>
      </c>
      <c r="J354" s="1551">
        <v>3000</v>
      </c>
      <c r="K354" s="3153">
        <v>2382</v>
      </c>
    </row>
    <row r="355" spans="1:11">
      <c r="A355" s="1468">
        <f t="shared" si="1"/>
        <v>2018.1</v>
      </c>
      <c r="B355" s="1550">
        <v>15500</v>
      </c>
      <c r="C355" s="3705">
        <v>114.5</v>
      </c>
      <c r="D355" s="1553">
        <v>62.2</v>
      </c>
      <c r="E355" s="1551">
        <v>5800</v>
      </c>
      <c r="F355" s="1552">
        <v>27.3</v>
      </c>
      <c r="G355" s="1551">
        <v>7500</v>
      </c>
      <c r="H355" s="3706">
        <v>6948</v>
      </c>
      <c r="I355" s="1553">
        <v>30.1</v>
      </c>
      <c r="J355" s="1551">
        <v>3000</v>
      </c>
      <c r="K355" s="3153">
        <v>2307</v>
      </c>
    </row>
    <row r="356" spans="1:11">
      <c r="A356" s="1468">
        <f t="shared" ref="A356:A419" si="3">A344+1</f>
        <v>2018.11</v>
      </c>
      <c r="B356" s="1550">
        <v>15500</v>
      </c>
      <c r="C356" s="3705">
        <v>118.7</v>
      </c>
      <c r="D356" s="1553">
        <v>62.1</v>
      </c>
      <c r="E356" s="1551">
        <v>5800</v>
      </c>
      <c r="F356" s="1552">
        <v>32.299999999999997</v>
      </c>
      <c r="G356" s="1551">
        <v>7500</v>
      </c>
      <c r="H356" s="3706">
        <v>6266</v>
      </c>
      <c r="I356" s="1553">
        <v>30</v>
      </c>
      <c r="J356" s="1551">
        <v>3000</v>
      </c>
      <c r="K356" s="3153">
        <v>2081</v>
      </c>
    </row>
    <row r="357" spans="1:11">
      <c r="A357" s="1468">
        <f t="shared" si="3"/>
        <v>2018.12</v>
      </c>
      <c r="B357" s="1550">
        <v>15500</v>
      </c>
      <c r="C357" s="3705">
        <v>113.8</v>
      </c>
      <c r="D357" s="1553">
        <v>64.7</v>
      </c>
      <c r="E357" s="1551">
        <v>5800</v>
      </c>
      <c r="F357" s="1552">
        <v>34.5</v>
      </c>
      <c r="G357" s="1551">
        <v>7500</v>
      </c>
      <c r="H357" s="3706">
        <v>6605</v>
      </c>
      <c r="I357" s="1553">
        <v>31.3</v>
      </c>
      <c r="J357" s="1551">
        <v>3000</v>
      </c>
      <c r="K357" s="3153">
        <v>2272</v>
      </c>
    </row>
    <row r="358" spans="1:11">
      <c r="A358" s="1468">
        <f t="shared" si="3"/>
        <v>2019.01</v>
      </c>
      <c r="B358" s="1550">
        <v>15500</v>
      </c>
      <c r="C358" s="3705">
        <v>111.3</v>
      </c>
      <c r="D358" s="1553">
        <v>66.8</v>
      </c>
      <c r="E358" s="1551">
        <v>5800</v>
      </c>
      <c r="F358" s="1552">
        <v>29.4</v>
      </c>
      <c r="G358" s="1551">
        <v>7500</v>
      </c>
      <c r="H358" s="3706">
        <v>6058</v>
      </c>
      <c r="I358" s="1553">
        <v>32.299999999999997</v>
      </c>
      <c r="J358" s="1551">
        <v>3000</v>
      </c>
      <c r="K358" s="3153">
        <v>2237</v>
      </c>
    </row>
    <row r="359" spans="1:11">
      <c r="A359" s="1468">
        <f t="shared" si="3"/>
        <v>2019.02</v>
      </c>
      <c r="B359" s="1550">
        <v>15500</v>
      </c>
      <c r="C359" s="3705">
        <v>106.7</v>
      </c>
      <c r="D359" s="1553">
        <v>63.4</v>
      </c>
      <c r="E359" s="1551">
        <v>5800</v>
      </c>
      <c r="F359" s="1552">
        <v>28.8</v>
      </c>
      <c r="G359" s="1551">
        <v>7500</v>
      </c>
      <c r="H359" s="3706">
        <v>4928</v>
      </c>
      <c r="I359" s="1553">
        <v>30.7</v>
      </c>
      <c r="J359" s="1551">
        <v>3000</v>
      </c>
      <c r="K359" s="3153">
        <v>1876</v>
      </c>
    </row>
    <row r="360" spans="1:11">
      <c r="A360" s="1468">
        <f t="shared" si="3"/>
        <v>2019.03</v>
      </c>
      <c r="B360" s="1550">
        <v>15500</v>
      </c>
      <c r="C360" s="3705">
        <v>119.3</v>
      </c>
      <c r="D360" s="1553">
        <v>68.7</v>
      </c>
      <c r="E360" s="1551">
        <v>5800</v>
      </c>
      <c r="F360" s="1552">
        <v>33.799999999999997</v>
      </c>
      <c r="G360" s="1551">
        <v>7500</v>
      </c>
      <c r="H360" s="3706">
        <v>4857</v>
      </c>
      <c r="I360" s="1553">
        <v>33.299999999999997</v>
      </c>
      <c r="J360" s="1551">
        <v>3000</v>
      </c>
      <c r="K360" s="3153">
        <v>1883</v>
      </c>
    </row>
    <row r="361" spans="1:11">
      <c r="A361" s="1468">
        <f t="shared" si="3"/>
        <v>2019.04</v>
      </c>
      <c r="B361" s="1550">
        <v>15500</v>
      </c>
      <c r="C361" s="3705">
        <v>121.5</v>
      </c>
      <c r="D361" s="1553">
        <v>71.599999999999994</v>
      </c>
      <c r="E361" s="1551">
        <v>5800</v>
      </c>
      <c r="F361" s="1552">
        <v>33.5</v>
      </c>
      <c r="G361" s="1551">
        <v>7500</v>
      </c>
      <c r="H361" s="3706">
        <v>5488</v>
      </c>
      <c r="I361" s="1553">
        <v>34.700000000000003</v>
      </c>
      <c r="J361" s="1551">
        <v>3000</v>
      </c>
      <c r="K361" s="3153">
        <v>2090</v>
      </c>
    </row>
    <row r="362" spans="1:11">
      <c r="A362" s="1468">
        <f t="shared" si="3"/>
        <v>2019.05</v>
      </c>
      <c r="B362" s="1550">
        <v>15500</v>
      </c>
      <c r="C362" s="3705">
        <v>116.6</v>
      </c>
      <c r="D362" s="1553">
        <v>77.599999999999994</v>
      </c>
      <c r="E362" s="1551">
        <v>5800</v>
      </c>
      <c r="F362" s="1552">
        <v>31.4</v>
      </c>
      <c r="G362" s="1551">
        <v>7500</v>
      </c>
      <c r="H362" s="3706">
        <v>5544</v>
      </c>
      <c r="I362" s="1553">
        <v>37.6</v>
      </c>
      <c r="J362" s="1551">
        <v>3000</v>
      </c>
      <c r="K362" s="3153">
        <v>2148</v>
      </c>
    </row>
    <row r="363" spans="1:11">
      <c r="A363" s="1468">
        <f t="shared" si="3"/>
        <v>2019.06</v>
      </c>
      <c r="B363" s="1550">
        <v>15500</v>
      </c>
      <c r="C363" s="3705">
        <v>103.5</v>
      </c>
      <c r="D363" s="1553">
        <v>68</v>
      </c>
      <c r="E363" s="1551">
        <v>5800</v>
      </c>
      <c r="F363" s="1552">
        <v>29.1</v>
      </c>
      <c r="G363" s="1551">
        <v>7500</v>
      </c>
      <c r="H363" s="3706">
        <v>5760</v>
      </c>
      <c r="I363" s="1553">
        <v>32.9</v>
      </c>
      <c r="J363" s="1551">
        <v>3000</v>
      </c>
      <c r="K363" s="3153">
        <v>1975</v>
      </c>
    </row>
    <row r="364" spans="1:11">
      <c r="A364" s="1468">
        <f t="shared" si="3"/>
        <v>2019.07</v>
      </c>
      <c r="B364" s="1550">
        <v>15500</v>
      </c>
      <c r="C364" s="3705">
        <v>103.1</v>
      </c>
      <c r="D364" s="1553">
        <v>70.599999999999994</v>
      </c>
      <c r="E364" s="1551">
        <v>5800</v>
      </c>
      <c r="F364" s="1552">
        <v>28.5</v>
      </c>
      <c r="G364" s="1551">
        <v>7500</v>
      </c>
      <c r="H364" s="3706">
        <v>5406</v>
      </c>
      <c r="I364" s="1553">
        <v>34.1</v>
      </c>
      <c r="J364" s="1551">
        <v>3000</v>
      </c>
      <c r="K364" s="3153">
        <v>1854</v>
      </c>
    </row>
    <row r="365" spans="1:11">
      <c r="A365" s="1468">
        <f t="shared" si="3"/>
        <v>2019.08</v>
      </c>
      <c r="B365" s="1550">
        <v>15500</v>
      </c>
      <c r="C365" s="3705">
        <v>112.3</v>
      </c>
      <c r="D365" s="1553">
        <v>69.5</v>
      </c>
      <c r="E365" s="1551">
        <v>5800</v>
      </c>
      <c r="F365" s="1552">
        <v>27.6</v>
      </c>
      <c r="G365" s="1551">
        <v>7500</v>
      </c>
      <c r="H365" s="3706">
        <v>5504</v>
      </c>
      <c r="I365" s="1553">
        <v>33.6</v>
      </c>
      <c r="J365" s="1551">
        <v>3000</v>
      </c>
      <c r="K365" s="3153">
        <v>1896</v>
      </c>
    </row>
    <row r="366" spans="1:11">
      <c r="A366" s="1468">
        <f t="shared" si="3"/>
        <v>2019.09</v>
      </c>
      <c r="B366" s="1550">
        <v>15000</v>
      </c>
      <c r="C366" s="3705">
        <v>120</v>
      </c>
      <c r="D366" s="1553">
        <v>69.400000000000006</v>
      </c>
      <c r="E366" s="1551">
        <v>5800</v>
      </c>
      <c r="F366" s="1552">
        <v>30.5</v>
      </c>
      <c r="G366" s="1551">
        <v>7300</v>
      </c>
      <c r="H366" s="3706">
        <v>6504</v>
      </c>
      <c r="I366" s="1553">
        <v>33.799999999999997</v>
      </c>
      <c r="J366" s="1551">
        <v>2800</v>
      </c>
      <c r="K366" s="3153">
        <v>2111</v>
      </c>
    </row>
    <row r="367" spans="1:11">
      <c r="A367" s="1468">
        <f t="shared" si="3"/>
        <v>2019.1</v>
      </c>
      <c r="B367" s="1550">
        <v>15000</v>
      </c>
      <c r="C367" s="3705">
        <v>118.1</v>
      </c>
      <c r="D367" s="1553">
        <v>64.900000000000006</v>
      </c>
      <c r="E367" s="1551">
        <v>5800</v>
      </c>
      <c r="F367" s="1552">
        <v>29</v>
      </c>
      <c r="G367" s="1551">
        <v>7300</v>
      </c>
      <c r="H367" s="3706">
        <v>6738</v>
      </c>
      <c r="I367" s="1553">
        <v>31.6</v>
      </c>
      <c r="J367" s="1551">
        <v>2800</v>
      </c>
      <c r="K367" s="3153">
        <v>2100</v>
      </c>
    </row>
    <row r="368" spans="1:11">
      <c r="A368" s="1468">
        <f t="shared" si="3"/>
        <v>2019.11</v>
      </c>
      <c r="B368" s="1550">
        <v>15000</v>
      </c>
      <c r="C368" s="3705">
        <v>120.7</v>
      </c>
      <c r="D368" s="1553">
        <v>67.599999999999994</v>
      </c>
      <c r="E368" s="1551">
        <v>5800</v>
      </c>
      <c r="F368" s="1552">
        <v>36.1</v>
      </c>
      <c r="G368" s="1551">
        <v>7300</v>
      </c>
      <c r="H368" s="3706">
        <v>6521</v>
      </c>
      <c r="I368" s="1553">
        <v>32.9</v>
      </c>
      <c r="J368" s="1551">
        <v>2800</v>
      </c>
      <c r="K368" s="3153">
        <v>2181</v>
      </c>
    </row>
    <row r="369" spans="1:11">
      <c r="A369" s="1468">
        <f t="shared" si="3"/>
        <v>2019.12</v>
      </c>
      <c r="B369" s="1550">
        <v>15000</v>
      </c>
      <c r="C369" s="3705">
        <v>120</v>
      </c>
      <c r="D369" s="1553">
        <v>71.7</v>
      </c>
      <c r="E369" s="1551">
        <v>5800</v>
      </c>
      <c r="F369" s="1552">
        <v>41</v>
      </c>
      <c r="G369" s="1551">
        <v>7300</v>
      </c>
      <c r="H369" s="3706">
        <v>6724</v>
      </c>
      <c r="I369" s="1553">
        <v>34.9</v>
      </c>
      <c r="J369" s="1551">
        <v>2800</v>
      </c>
      <c r="K369" s="3153">
        <v>2063</v>
      </c>
    </row>
    <row r="370" spans="1:11">
      <c r="A370" s="1468">
        <f t="shared" si="3"/>
        <v>2020.01</v>
      </c>
      <c r="B370" s="1550">
        <v>15000</v>
      </c>
      <c r="C370" s="3705">
        <v>137.6</v>
      </c>
      <c r="D370" s="1553">
        <v>74.5</v>
      </c>
      <c r="E370" s="1551">
        <v>5800</v>
      </c>
      <c r="F370" s="1552">
        <v>42.5</v>
      </c>
      <c r="G370" s="1551">
        <v>7300</v>
      </c>
      <c r="H370" s="3706">
        <v>6205</v>
      </c>
      <c r="I370" s="1553">
        <v>36.299999999999997</v>
      </c>
      <c r="J370" s="1551">
        <v>2800</v>
      </c>
      <c r="K370" s="3153">
        <v>2255</v>
      </c>
    </row>
    <row r="371" spans="1:11">
      <c r="A371" s="1468">
        <f t="shared" si="3"/>
        <v>2020.02</v>
      </c>
      <c r="B371" s="1550">
        <v>15000</v>
      </c>
      <c r="C371" s="3705">
        <v>128.4</v>
      </c>
      <c r="D371" s="1553">
        <v>79.400000000000006</v>
      </c>
      <c r="E371" s="1551">
        <v>5800</v>
      </c>
      <c r="F371" s="1552">
        <v>38.299999999999997</v>
      </c>
      <c r="G371" s="1551">
        <v>7300</v>
      </c>
      <c r="H371" s="3706">
        <v>6720</v>
      </c>
      <c r="I371" s="1553">
        <v>38.6</v>
      </c>
      <c r="J371" s="1551">
        <v>2800</v>
      </c>
      <c r="K371" s="3153">
        <v>2408</v>
      </c>
    </row>
    <row r="372" spans="1:11">
      <c r="A372" s="1468">
        <f t="shared" si="3"/>
        <v>2020.03</v>
      </c>
      <c r="B372" s="1550">
        <v>14500</v>
      </c>
      <c r="C372" s="3705">
        <v>140</v>
      </c>
      <c r="D372" s="1553">
        <v>83.1</v>
      </c>
      <c r="E372" s="1551">
        <v>5700</v>
      </c>
      <c r="F372" s="1552">
        <v>36.1</v>
      </c>
      <c r="G372" s="1551">
        <v>7200</v>
      </c>
      <c r="H372" s="3706">
        <v>6077</v>
      </c>
      <c r="I372" s="1553">
        <v>41.3</v>
      </c>
      <c r="J372" s="1551">
        <v>2600</v>
      </c>
      <c r="K372" s="3153">
        <v>2001</v>
      </c>
    </row>
    <row r="373" spans="1:11">
      <c r="A373" s="1468">
        <f t="shared" si="3"/>
        <v>2020.04</v>
      </c>
      <c r="B373" s="1550">
        <v>14500</v>
      </c>
      <c r="C373" s="3705">
        <v>130.19999999999999</v>
      </c>
      <c r="D373" s="1553">
        <v>85.9</v>
      </c>
      <c r="E373" s="1551">
        <v>5700</v>
      </c>
      <c r="F373" s="1552">
        <v>37.5</v>
      </c>
      <c r="G373" s="1551">
        <v>7200</v>
      </c>
      <c r="H373" s="3706">
        <v>6328</v>
      </c>
      <c r="I373" s="1553">
        <v>42.6</v>
      </c>
      <c r="J373" s="1551">
        <v>2600</v>
      </c>
      <c r="K373" s="3153">
        <v>2068</v>
      </c>
    </row>
    <row r="374" spans="1:11">
      <c r="A374" s="1468">
        <f t="shared" si="3"/>
        <v>2020.05</v>
      </c>
      <c r="B374" s="1550">
        <v>14000</v>
      </c>
      <c r="C374" s="3705">
        <v>190.1</v>
      </c>
      <c r="D374" s="1553">
        <v>110.2</v>
      </c>
      <c r="E374" s="1551">
        <v>5700</v>
      </c>
      <c r="F374" s="1552">
        <v>49.5</v>
      </c>
      <c r="G374" s="1551">
        <v>7000</v>
      </c>
      <c r="H374" s="3706">
        <v>9167</v>
      </c>
      <c r="I374" s="1553">
        <v>55.1</v>
      </c>
      <c r="J374" s="1551">
        <v>2500</v>
      </c>
      <c r="K374" s="3153">
        <v>2750</v>
      </c>
    </row>
    <row r="375" spans="1:11">
      <c r="A375" s="1468">
        <f t="shared" si="3"/>
        <v>2020.06</v>
      </c>
      <c r="B375" s="1550">
        <v>14000</v>
      </c>
      <c r="C375" s="3705">
        <v>201.3</v>
      </c>
      <c r="D375" s="1553">
        <v>107.8</v>
      </c>
      <c r="E375" s="1551">
        <v>5700</v>
      </c>
      <c r="F375" s="1552">
        <v>54.7</v>
      </c>
      <c r="G375" s="1551">
        <v>7000</v>
      </c>
      <c r="H375" s="3706">
        <v>8944</v>
      </c>
      <c r="I375" s="1553">
        <v>53.9</v>
      </c>
      <c r="J375" s="1551">
        <v>2500</v>
      </c>
      <c r="K375" s="3153">
        <v>2500</v>
      </c>
    </row>
    <row r="376" spans="1:11">
      <c r="A376" s="1468">
        <f t="shared" si="3"/>
        <v>2020.07</v>
      </c>
      <c r="B376" s="1550">
        <v>14000</v>
      </c>
      <c r="C376" s="3705">
        <v>196.1</v>
      </c>
      <c r="D376" s="1553">
        <v>112.7</v>
      </c>
      <c r="E376" s="1551">
        <v>5700</v>
      </c>
      <c r="F376" s="1552">
        <v>55.5</v>
      </c>
      <c r="G376" s="1551">
        <v>7000</v>
      </c>
      <c r="H376" s="3706">
        <v>9333</v>
      </c>
      <c r="I376" s="1553">
        <v>56.4</v>
      </c>
      <c r="J376" s="1551">
        <v>2500</v>
      </c>
      <c r="K376" s="3153">
        <v>2462</v>
      </c>
    </row>
    <row r="377" spans="1:11">
      <c r="A377" s="1468">
        <f t="shared" si="3"/>
        <v>2020.08</v>
      </c>
      <c r="B377" s="1550">
        <v>14000</v>
      </c>
      <c r="C377" s="3705">
        <v>194.6</v>
      </c>
      <c r="D377" s="1553">
        <v>105.7</v>
      </c>
      <c r="E377" s="1551">
        <v>5700</v>
      </c>
      <c r="F377" s="1552">
        <v>54.3</v>
      </c>
      <c r="G377" s="1551">
        <v>7000</v>
      </c>
      <c r="H377" s="3706">
        <v>9357</v>
      </c>
      <c r="I377" s="1553">
        <v>52.9</v>
      </c>
      <c r="J377" s="1551">
        <v>2500</v>
      </c>
      <c r="K377" s="3153">
        <v>2408</v>
      </c>
    </row>
    <row r="378" spans="1:11">
      <c r="A378" s="1468">
        <f t="shared" si="3"/>
        <v>2020.09</v>
      </c>
      <c r="B378" s="1550">
        <v>14000</v>
      </c>
      <c r="C378" s="3705">
        <v>164.3</v>
      </c>
      <c r="D378" s="1553">
        <v>97.7</v>
      </c>
      <c r="E378" s="1551">
        <v>5700</v>
      </c>
      <c r="F378" s="1552">
        <v>52.5</v>
      </c>
      <c r="G378" s="1551">
        <v>7000</v>
      </c>
      <c r="H378" s="3706">
        <v>9310</v>
      </c>
      <c r="I378" s="1553">
        <v>48.9</v>
      </c>
      <c r="J378" s="1551">
        <v>2500</v>
      </c>
      <c r="K378" s="3153">
        <v>2293</v>
      </c>
    </row>
    <row r="379" spans="1:11">
      <c r="A379" s="1468">
        <f t="shared" si="3"/>
        <v>2020.1</v>
      </c>
      <c r="B379" s="1550">
        <v>14000</v>
      </c>
      <c r="C379" s="3705">
        <v>155.69999999999999</v>
      </c>
      <c r="D379" s="1553">
        <v>88.2</v>
      </c>
      <c r="E379" s="1551">
        <v>5700</v>
      </c>
      <c r="F379" s="1552">
        <v>54.7</v>
      </c>
      <c r="G379" s="1551">
        <v>7000</v>
      </c>
      <c r="H379" s="3706">
        <v>10080</v>
      </c>
      <c r="I379" s="1553">
        <v>44.1</v>
      </c>
      <c r="J379" s="1551">
        <v>2500</v>
      </c>
      <c r="K379" s="3153">
        <v>2571</v>
      </c>
    </row>
    <row r="380" spans="1:11">
      <c r="A380" s="1468">
        <f t="shared" si="3"/>
        <v>2020.11</v>
      </c>
      <c r="B380" s="1550">
        <v>14000</v>
      </c>
      <c r="C380" s="3705">
        <v>160.19999999999999</v>
      </c>
      <c r="D380" s="1553">
        <v>93.2</v>
      </c>
      <c r="E380" s="1551">
        <v>5700</v>
      </c>
      <c r="F380" s="1552">
        <v>58.7</v>
      </c>
      <c r="G380" s="1551">
        <v>7000</v>
      </c>
      <c r="H380" s="3706">
        <v>10500</v>
      </c>
      <c r="I380" s="1553">
        <v>46.6</v>
      </c>
      <c r="J380" s="1551">
        <v>2500</v>
      </c>
      <c r="K380" s="3153">
        <v>2800</v>
      </c>
    </row>
    <row r="381" spans="1:11">
      <c r="A381" s="1468">
        <f t="shared" si="3"/>
        <v>2020.12</v>
      </c>
      <c r="B381" s="1550">
        <v>14000</v>
      </c>
      <c r="C381" s="3705">
        <v>134.9</v>
      </c>
      <c r="D381" s="1553">
        <v>77.7</v>
      </c>
      <c r="E381" s="1551">
        <v>5700</v>
      </c>
      <c r="F381" s="1552">
        <v>50.9</v>
      </c>
      <c r="G381" s="1551">
        <v>7000</v>
      </c>
      <c r="H381" s="3706">
        <v>8238</v>
      </c>
      <c r="I381" s="1553">
        <v>38.799999999999997</v>
      </c>
      <c r="J381" s="1551">
        <v>2500</v>
      </c>
      <c r="K381" s="3153">
        <v>2391</v>
      </c>
    </row>
    <row r="382" spans="1:11">
      <c r="A382" s="1468">
        <f t="shared" si="3"/>
        <v>2021.01</v>
      </c>
      <c r="B382" s="1550">
        <v>14000</v>
      </c>
      <c r="C382" s="3705">
        <v>136.6</v>
      </c>
      <c r="D382" s="1553">
        <v>79.3</v>
      </c>
      <c r="E382" s="1551">
        <v>5700</v>
      </c>
      <c r="F382" s="1552">
        <v>49.2</v>
      </c>
      <c r="G382" s="1551">
        <v>7000</v>
      </c>
      <c r="H382" s="3706">
        <v>7700</v>
      </c>
      <c r="I382" s="1553">
        <v>39.6</v>
      </c>
      <c r="J382" s="1551">
        <v>2500</v>
      </c>
      <c r="K382" s="3153">
        <v>2115</v>
      </c>
    </row>
    <row r="383" spans="1:11">
      <c r="A383" s="1468">
        <f t="shared" si="3"/>
        <v>2021.02</v>
      </c>
      <c r="B383" s="1550">
        <v>14000</v>
      </c>
      <c r="C383" s="3705">
        <v>122.5</v>
      </c>
      <c r="D383" s="1553">
        <v>74.400000000000006</v>
      </c>
      <c r="E383" s="1551">
        <v>5700</v>
      </c>
      <c r="F383" s="1552">
        <v>45.3</v>
      </c>
      <c r="G383" s="1551">
        <v>7000</v>
      </c>
      <c r="H383" s="3706">
        <v>6910</v>
      </c>
      <c r="I383" s="1553">
        <v>37.200000000000003</v>
      </c>
      <c r="J383" s="1551">
        <v>2500</v>
      </c>
      <c r="K383" s="3153">
        <v>2013</v>
      </c>
    </row>
    <row r="384" spans="1:11">
      <c r="A384" s="1468">
        <f t="shared" si="3"/>
        <v>2021.03</v>
      </c>
      <c r="B384" s="1550">
        <v>14000</v>
      </c>
      <c r="C384" s="3705">
        <v>117.2</v>
      </c>
      <c r="D384" s="1553">
        <v>69.900000000000006</v>
      </c>
      <c r="E384" s="1551">
        <v>5700</v>
      </c>
      <c r="F384" s="1552">
        <v>44.1</v>
      </c>
      <c r="G384" s="1551">
        <v>7000</v>
      </c>
      <c r="H384" s="3706">
        <v>6194</v>
      </c>
      <c r="I384" s="1553">
        <v>34.9</v>
      </c>
      <c r="J384" s="1551">
        <v>2500</v>
      </c>
      <c r="K384" s="3153">
        <v>1738</v>
      </c>
    </row>
    <row r="385" spans="1:11">
      <c r="A385" s="1468">
        <f t="shared" si="3"/>
        <v>2021.04</v>
      </c>
      <c r="B385" s="1550">
        <v>14000</v>
      </c>
      <c r="C385" s="3705">
        <v>108</v>
      </c>
      <c r="D385" s="1553">
        <v>66.5</v>
      </c>
      <c r="E385" s="1551">
        <v>5700</v>
      </c>
      <c r="F385" s="1552">
        <v>41.9</v>
      </c>
      <c r="G385" s="1551">
        <v>7000</v>
      </c>
      <c r="H385" s="3706">
        <v>5680</v>
      </c>
      <c r="I385" s="1553">
        <v>33.200000000000003</v>
      </c>
      <c r="J385" s="1551">
        <v>2500</v>
      </c>
      <c r="K385" s="3153">
        <v>1690</v>
      </c>
    </row>
    <row r="386" spans="1:11">
      <c r="A386" s="1468">
        <f t="shared" si="3"/>
        <v>2021.05</v>
      </c>
      <c r="B386" s="1550">
        <v>14000</v>
      </c>
      <c r="C386" s="3705">
        <v>102.3</v>
      </c>
      <c r="D386" s="1553">
        <v>69.3</v>
      </c>
      <c r="E386" s="1551">
        <v>5700</v>
      </c>
      <c r="F386" s="1552">
        <v>42.4</v>
      </c>
      <c r="G386" s="1551">
        <v>7000</v>
      </c>
      <c r="H386" s="3706">
        <v>5950</v>
      </c>
      <c r="I386" s="1553">
        <v>34.700000000000003</v>
      </c>
      <c r="J386" s="1551">
        <v>2500</v>
      </c>
      <c r="K386" s="3153">
        <v>1821</v>
      </c>
    </row>
    <row r="387" spans="1:11">
      <c r="A387" s="1468">
        <f t="shared" si="3"/>
        <v>2021.06</v>
      </c>
      <c r="B387" s="1550">
        <v>14000</v>
      </c>
      <c r="C387" s="3705">
        <v>108.1</v>
      </c>
      <c r="D387" s="1553">
        <v>67.900000000000006</v>
      </c>
      <c r="E387" s="1551">
        <v>5700</v>
      </c>
      <c r="F387" s="1552">
        <v>43.2</v>
      </c>
      <c r="G387" s="1551">
        <v>7000</v>
      </c>
      <c r="H387" s="3706">
        <v>6106</v>
      </c>
      <c r="I387" s="1553">
        <v>34</v>
      </c>
      <c r="J387" s="1551">
        <v>2500</v>
      </c>
      <c r="K387" s="3153">
        <v>1869</v>
      </c>
    </row>
    <row r="388" spans="1:11">
      <c r="A388" s="1468">
        <f t="shared" si="3"/>
        <v>2021.07</v>
      </c>
      <c r="B388" s="1550">
        <v>14000</v>
      </c>
      <c r="C388" s="3705">
        <v>127.1</v>
      </c>
      <c r="D388" s="1553">
        <v>76.2</v>
      </c>
      <c r="E388" s="1551">
        <v>5700</v>
      </c>
      <c r="F388" s="1552">
        <v>49.6</v>
      </c>
      <c r="G388" s="1551">
        <v>7000</v>
      </c>
      <c r="H388" s="3706">
        <v>6319</v>
      </c>
      <c r="I388" s="1553">
        <v>38.1</v>
      </c>
      <c r="J388" s="1551">
        <v>2500</v>
      </c>
      <c r="K388" s="3153">
        <v>1898</v>
      </c>
    </row>
    <row r="389" spans="1:11">
      <c r="A389" s="1468">
        <f t="shared" si="3"/>
        <v>2021.08</v>
      </c>
      <c r="B389" s="1550">
        <v>14000</v>
      </c>
      <c r="C389" s="3705">
        <v>138.80000000000001</v>
      </c>
      <c r="D389" s="1553">
        <v>78.3</v>
      </c>
      <c r="E389" s="1551">
        <v>5700</v>
      </c>
      <c r="F389" s="1552">
        <v>48.7</v>
      </c>
      <c r="G389" s="1551">
        <v>7000</v>
      </c>
      <c r="H389" s="3706">
        <v>7200</v>
      </c>
      <c r="I389" s="1553">
        <v>39.1</v>
      </c>
      <c r="J389" s="1551">
        <v>2500</v>
      </c>
      <c r="K389" s="3153">
        <v>2045</v>
      </c>
    </row>
    <row r="390" spans="1:11">
      <c r="A390" s="1468">
        <f t="shared" si="3"/>
        <v>2021.09</v>
      </c>
      <c r="B390" s="1550">
        <v>14000</v>
      </c>
      <c r="C390" s="3705">
        <v>138.80000000000001</v>
      </c>
      <c r="D390" s="1553">
        <v>77.400000000000006</v>
      </c>
      <c r="E390" s="1551">
        <v>5700</v>
      </c>
      <c r="F390" s="1552">
        <v>46.2</v>
      </c>
      <c r="G390" s="1551">
        <v>7000</v>
      </c>
      <c r="H390" s="3706">
        <v>7200</v>
      </c>
      <c r="I390" s="1553">
        <v>38.700000000000003</v>
      </c>
      <c r="J390" s="1551">
        <v>2500</v>
      </c>
      <c r="K390" s="3153">
        <v>1915</v>
      </c>
    </row>
    <row r="391" spans="1:11">
      <c r="A391" s="1468">
        <f t="shared" si="3"/>
        <v>2021.1</v>
      </c>
      <c r="B391" s="1550">
        <v>14000</v>
      </c>
      <c r="C391" s="3705">
        <v>134.1</v>
      </c>
      <c r="D391" s="1553">
        <v>77</v>
      </c>
      <c r="E391" s="1551">
        <v>5700</v>
      </c>
      <c r="F391" s="1552">
        <v>44.2</v>
      </c>
      <c r="G391" s="1551">
        <v>7000</v>
      </c>
      <c r="H391" s="3706">
        <v>1440</v>
      </c>
      <c r="I391" s="1553">
        <v>38.5</v>
      </c>
      <c r="J391" s="1551">
        <v>2500</v>
      </c>
      <c r="K391" s="3153">
        <v>1898</v>
      </c>
    </row>
    <row r="392" spans="1:11">
      <c r="A392" s="1468">
        <f t="shared" si="3"/>
        <v>2021.11</v>
      </c>
      <c r="B392" s="1550">
        <v>14000</v>
      </c>
      <c r="C392" s="3705">
        <v>144.1</v>
      </c>
      <c r="D392" s="1553">
        <v>79.099999999999994</v>
      </c>
      <c r="E392" s="1551">
        <v>5700</v>
      </c>
      <c r="F392" s="1552">
        <v>48.7</v>
      </c>
      <c r="G392" s="1551">
        <v>7000</v>
      </c>
      <c r="H392" s="3706">
        <v>7492</v>
      </c>
      <c r="I392" s="1553">
        <v>39.5</v>
      </c>
      <c r="J392" s="1551">
        <v>2500</v>
      </c>
      <c r="K392" s="3153">
        <v>1833</v>
      </c>
    </row>
    <row r="393" spans="1:11">
      <c r="A393" s="1468">
        <f t="shared" si="3"/>
        <v>2021.12</v>
      </c>
      <c r="B393" s="1550">
        <v>14000</v>
      </c>
      <c r="C393" s="3705">
        <v>135.5</v>
      </c>
      <c r="D393" s="1553">
        <v>80.599999999999994</v>
      </c>
      <c r="E393" s="1551">
        <v>5700</v>
      </c>
      <c r="F393" s="1552">
        <v>49.6</v>
      </c>
      <c r="G393" s="1551">
        <v>7000</v>
      </c>
      <c r="H393" s="3706">
        <v>6544</v>
      </c>
      <c r="I393" s="926" t="s">
        <v>1929</v>
      </c>
      <c r="J393" s="1551">
        <v>2500</v>
      </c>
      <c r="K393" s="3153">
        <v>1675</v>
      </c>
    </row>
    <row r="394" spans="1:11">
      <c r="A394" s="1468">
        <f t="shared" si="3"/>
        <v>2022.01</v>
      </c>
      <c r="B394" s="1550">
        <v>14000</v>
      </c>
      <c r="C394" s="3705">
        <v>125.1</v>
      </c>
      <c r="D394" s="1553">
        <v>75.3</v>
      </c>
      <c r="E394" s="1551">
        <v>5700</v>
      </c>
      <c r="F394" s="1552">
        <v>48.1</v>
      </c>
      <c r="G394" s="1551">
        <v>7000</v>
      </c>
      <c r="H394" s="3706">
        <v>6555</v>
      </c>
      <c r="I394" s="1553">
        <v>37.700000000000003</v>
      </c>
      <c r="J394" s="1551">
        <v>2500</v>
      </c>
      <c r="K394" s="3153">
        <v>1609</v>
      </c>
    </row>
    <row r="395" spans="1:11">
      <c r="A395" s="1468">
        <f t="shared" si="3"/>
        <v>2022.02</v>
      </c>
      <c r="B395" s="1550">
        <v>14000</v>
      </c>
      <c r="C395" s="3705">
        <v>119.6</v>
      </c>
      <c r="D395" s="1553">
        <v>70.5</v>
      </c>
      <c r="E395" s="1551">
        <v>5700</v>
      </c>
      <c r="F395" s="1552">
        <v>48.3</v>
      </c>
      <c r="G395" s="1551">
        <v>7000</v>
      </c>
      <c r="H395" s="3706">
        <v>6658</v>
      </c>
      <c r="I395" s="1553">
        <v>35.299999999999997</v>
      </c>
      <c r="J395" s="1551">
        <v>2500</v>
      </c>
      <c r="K395" s="3153">
        <v>1672</v>
      </c>
    </row>
    <row r="396" spans="1:11">
      <c r="A396" s="1468">
        <f t="shared" si="3"/>
        <v>2022.03</v>
      </c>
      <c r="B396" s="1550">
        <v>14000</v>
      </c>
      <c r="C396" s="3705">
        <v>97.4</v>
      </c>
      <c r="D396" s="1553">
        <v>58.5</v>
      </c>
      <c r="E396" s="1551">
        <v>5700</v>
      </c>
      <c r="F396" s="1552">
        <v>36.1</v>
      </c>
      <c r="G396" s="1551">
        <v>7000</v>
      </c>
      <c r="H396" s="3706">
        <v>5546</v>
      </c>
      <c r="I396" s="1553">
        <v>29.2</v>
      </c>
      <c r="J396" s="1551">
        <v>2500</v>
      </c>
      <c r="K396" s="3153">
        <v>1515</v>
      </c>
    </row>
    <row r="397" spans="1:11">
      <c r="A397" s="1468">
        <f t="shared" si="3"/>
        <v>2022.04</v>
      </c>
      <c r="B397" s="1550">
        <v>14000</v>
      </c>
      <c r="C397" s="3705">
        <v>101.8</v>
      </c>
      <c r="D397" s="1553">
        <v>60.8</v>
      </c>
      <c r="E397" s="1551">
        <v>5700</v>
      </c>
      <c r="F397" s="1552">
        <v>33.200000000000003</v>
      </c>
      <c r="G397" s="1551">
        <v>7000</v>
      </c>
      <c r="H397" s="3706">
        <v>5185</v>
      </c>
      <c r="I397" s="1553">
        <v>30.4</v>
      </c>
      <c r="J397" s="1551">
        <v>2500</v>
      </c>
      <c r="K397" s="3153">
        <v>1333</v>
      </c>
    </row>
    <row r="398" spans="1:11">
      <c r="A398" s="1468">
        <f t="shared" si="3"/>
        <v>2022.05</v>
      </c>
      <c r="B398" s="1550">
        <v>14500</v>
      </c>
      <c r="C398" s="3705">
        <v>95.2</v>
      </c>
      <c r="D398" s="1553">
        <v>59.6</v>
      </c>
      <c r="E398" s="1551">
        <v>5700</v>
      </c>
      <c r="F398" s="1552">
        <v>26.3</v>
      </c>
      <c r="G398" s="1551">
        <v>7000</v>
      </c>
      <c r="H398" s="3706">
        <v>4539</v>
      </c>
      <c r="I398" s="1553">
        <v>28.8</v>
      </c>
      <c r="J398" s="1551">
        <v>2500</v>
      </c>
      <c r="K398" s="3153">
        <v>1340</v>
      </c>
    </row>
    <row r="399" spans="1:11">
      <c r="A399" s="1468">
        <f t="shared" si="3"/>
        <v>2022.06</v>
      </c>
      <c r="B399" s="1550">
        <v>14500</v>
      </c>
      <c r="C399" s="3705">
        <v>93.2</v>
      </c>
      <c r="D399" s="1553">
        <v>59.8</v>
      </c>
      <c r="E399" s="1551">
        <v>5700</v>
      </c>
      <c r="F399" s="1552">
        <v>27.1</v>
      </c>
      <c r="G399" s="1551">
        <v>7000</v>
      </c>
      <c r="H399" s="3706">
        <v>4807</v>
      </c>
      <c r="I399" s="1553">
        <v>28.9</v>
      </c>
      <c r="J399" s="1551">
        <v>2500</v>
      </c>
      <c r="K399" s="3153">
        <v>1338</v>
      </c>
    </row>
    <row r="400" spans="1:11">
      <c r="A400" s="1468">
        <f t="shared" si="3"/>
        <v>2022.07</v>
      </c>
      <c r="B400" s="1550">
        <v>14500</v>
      </c>
      <c r="C400" s="3705">
        <v>126.6</v>
      </c>
      <c r="D400" s="1553">
        <v>72.3</v>
      </c>
      <c r="E400" s="1551">
        <v>5700</v>
      </c>
      <c r="F400" s="1552">
        <v>34.5</v>
      </c>
      <c r="G400" s="1551">
        <v>7000</v>
      </c>
      <c r="H400" s="3706">
        <v>6170</v>
      </c>
      <c r="I400" s="1553">
        <v>34.9</v>
      </c>
      <c r="J400" s="1551">
        <v>2500</v>
      </c>
      <c r="K400" s="3153">
        <v>1630</v>
      </c>
    </row>
    <row r="401" spans="1:11">
      <c r="A401" s="1468">
        <f t="shared" si="3"/>
        <v>2022.08</v>
      </c>
      <c r="B401" s="1550">
        <v>14500</v>
      </c>
      <c r="C401" s="3705">
        <v>141.6</v>
      </c>
      <c r="D401" s="1553">
        <v>83</v>
      </c>
      <c r="E401" s="1551">
        <v>5700</v>
      </c>
      <c r="F401" s="1552">
        <v>41.1</v>
      </c>
      <c r="G401" s="1551">
        <v>7000</v>
      </c>
      <c r="H401" s="3706">
        <v>7024</v>
      </c>
      <c r="I401" s="1553">
        <v>40.1</v>
      </c>
      <c r="J401" s="1551">
        <v>2500</v>
      </c>
      <c r="K401" s="3153">
        <v>1865</v>
      </c>
    </row>
    <row r="402" spans="1:11">
      <c r="A402" s="1468">
        <f t="shared" si="3"/>
        <v>2022.09</v>
      </c>
      <c r="B402" s="1550">
        <v>14500</v>
      </c>
      <c r="C402" s="3705">
        <v>132.30000000000001</v>
      </c>
      <c r="D402" s="1553">
        <v>79.3</v>
      </c>
      <c r="E402" s="1551">
        <v>5700</v>
      </c>
      <c r="F402" s="1552">
        <v>41.3</v>
      </c>
      <c r="G402" s="1551">
        <v>7000</v>
      </c>
      <c r="H402" s="3706">
        <v>6673</v>
      </c>
      <c r="I402" s="1553">
        <v>38.299999999999997</v>
      </c>
      <c r="J402" s="1551">
        <v>2500</v>
      </c>
      <c r="K402" s="3153">
        <v>1682</v>
      </c>
    </row>
    <row r="403" spans="1:11">
      <c r="A403" s="1468">
        <f t="shared" si="3"/>
        <v>2022.1</v>
      </c>
      <c r="B403" s="1550">
        <v>14500</v>
      </c>
      <c r="C403" s="3705">
        <v>115.9</v>
      </c>
      <c r="D403" s="1553">
        <v>83.2</v>
      </c>
      <c r="E403" s="1551">
        <v>5700</v>
      </c>
      <c r="F403" s="1552">
        <v>34.5</v>
      </c>
      <c r="G403" s="1551">
        <v>7000</v>
      </c>
      <c r="H403" s="3706">
        <v>6627</v>
      </c>
      <c r="I403" s="1553">
        <v>40.200000000000003</v>
      </c>
      <c r="J403" s="1551">
        <v>2500</v>
      </c>
      <c r="K403" s="3153">
        <v>1775</v>
      </c>
    </row>
    <row r="404" spans="1:11">
      <c r="A404" s="1468">
        <f t="shared" si="3"/>
        <v>2022.11</v>
      </c>
      <c r="B404" s="1550">
        <v>14500</v>
      </c>
      <c r="C404" s="3705">
        <v>107.9</v>
      </c>
      <c r="D404" s="1553">
        <v>67.8</v>
      </c>
      <c r="E404" s="1551">
        <v>5700</v>
      </c>
      <c r="F404" s="1552">
        <v>29.2</v>
      </c>
      <c r="G404" s="1551">
        <v>7000</v>
      </c>
      <c r="H404" s="3706">
        <v>7000</v>
      </c>
      <c r="I404" s="1553">
        <v>32.700000000000003</v>
      </c>
      <c r="J404" s="1551">
        <v>2500</v>
      </c>
      <c r="K404" s="3153">
        <v>1959</v>
      </c>
    </row>
    <row r="405" spans="1:11">
      <c r="A405" s="1468">
        <f t="shared" si="3"/>
        <v>2022.12</v>
      </c>
      <c r="B405" s="1550">
        <v>14500</v>
      </c>
      <c r="C405" s="3705">
        <v>110.9</v>
      </c>
      <c r="D405" s="1553">
        <v>53.5</v>
      </c>
      <c r="E405" s="1551">
        <v>5700</v>
      </c>
      <c r="F405" s="1552">
        <v>31.4</v>
      </c>
      <c r="G405" s="1551">
        <v>7000</v>
      </c>
      <c r="H405" s="3706">
        <v>7579</v>
      </c>
      <c r="I405" s="1553">
        <v>25.8</v>
      </c>
      <c r="J405" s="1551">
        <v>2500</v>
      </c>
      <c r="K405" s="3153">
        <v>2066</v>
      </c>
    </row>
    <row r="406" spans="1:11">
      <c r="A406" s="1468">
        <f t="shared" si="3"/>
        <v>2023.01</v>
      </c>
      <c r="B406" s="1550">
        <v>14500</v>
      </c>
      <c r="C406" s="3705">
        <v>110.6</v>
      </c>
      <c r="D406" s="1553">
        <v>66.8</v>
      </c>
      <c r="E406" s="1551">
        <v>5700</v>
      </c>
      <c r="F406" s="1552">
        <v>36</v>
      </c>
      <c r="G406" s="1551">
        <v>7000</v>
      </c>
      <c r="H406" s="3706">
        <v>8167</v>
      </c>
      <c r="I406" s="1553">
        <v>32.200000000000003</v>
      </c>
      <c r="J406" s="1551">
        <v>2500</v>
      </c>
      <c r="K406" s="3153">
        <v>2244</v>
      </c>
    </row>
    <row r="407" spans="1:11">
      <c r="A407" s="1468">
        <f t="shared" si="3"/>
        <v>2023.02</v>
      </c>
      <c r="B407" s="1550">
        <v>14500</v>
      </c>
      <c r="C407" s="3705">
        <v>110.2</v>
      </c>
      <c r="D407" s="1553">
        <v>64.3</v>
      </c>
      <c r="E407" s="1551">
        <v>5700</v>
      </c>
      <c r="F407" s="1552">
        <v>37.1</v>
      </c>
      <c r="G407" s="1551">
        <v>7000</v>
      </c>
      <c r="H407" s="3706">
        <v>6209</v>
      </c>
      <c r="I407" s="1553">
        <v>31.1</v>
      </c>
      <c r="J407" s="1551">
        <v>2500</v>
      </c>
      <c r="K407" s="3153">
        <v>1964</v>
      </c>
    </row>
    <row r="408" spans="1:11">
      <c r="A408" s="1468">
        <f t="shared" si="3"/>
        <v>2023.03</v>
      </c>
      <c r="B408" s="1550">
        <v>14500</v>
      </c>
      <c r="C408" s="3705">
        <v>110.2</v>
      </c>
      <c r="D408" s="1553">
        <v>61.1</v>
      </c>
      <c r="E408" s="1551">
        <v>5700</v>
      </c>
      <c r="F408" s="1552">
        <v>36.6</v>
      </c>
      <c r="G408" s="1551">
        <v>7000</v>
      </c>
      <c r="H408" s="3706">
        <v>5833</v>
      </c>
      <c r="I408" s="1553">
        <v>29.5</v>
      </c>
      <c r="J408" s="1551">
        <v>2500</v>
      </c>
      <c r="K408" s="3153">
        <v>1995</v>
      </c>
    </row>
    <row r="409" spans="1:11">
      <c r="A409" s="1468">
        <f t="shared" si="3"/>
        <v>2023.04</v>
      </c>
      <c r="B409" s="1550">
        <v>14500</v>
      </c>
      <c r="C409" s="3705">
        <v>108.9</v>
      </c>
      <c r="D409" s="1553">
        <v>51.8</v>
      </c>
      <c r="E409" s="1551">
        <v>5700</v>
      </c>
      <c r="F409" s="1552">
        <v>37.4</v>
      </c>
      <c r="G409" s="1551">
        <v>7000</v>
      </c>
      <c r="H409" s="3706">
        <v>5838</v>
      </c>
      <c r="I409" s="1553">
        <v>25</v>
      </c>
      <c r="J409" s="1551">
        <v>2500</v>
      </c>
      <c r="K409" s="3153">
        <v>2063</v>
      </c>
    </row>
    <row r="410" spans="1:11">
      <c r="A410" s="1468">
        <f t="shared" si="3"/>
        <v>2023.05</v>
      </c>
      <c r="B410" s="1550">
        <v>14500</v>
      </c>
      <c r="C410" s="3705">
        <v>145.9</v>
      </c>
      <c r="D410" s="1553">
        <v>68</v>
      </c>
      <c r="E410" s="1551">
        <v>5700</v>
      </c>
      <c r="F410" s="1552">
        <v>43</v>
      </c>
      <c r="G410" s="1551">
        <v>7000</v>
      </c>
      <c r="H410" s="3706">
        <v>6913</v>
      </c>
      <c r="I410" s="1553">
        <v>32.799999999999997</v>
      </c>
      <c r="J410" s="1551">
        <v>2500</v>
      </c>
      <c r="K410" s="3153">
        <v>2418</v>
      </c>
    </row>
    <row r="411" spans="1:11">
      <c r="A411" s="1468">
        <f t="shared" si="3"/>
        <v>2023.06</v>
      </c>
      <c r="B411" s="1550">
        <v>14500</v>
      </c>
      <c r="C411" s="3705">
        <v>144.5</v>
      </c>
      <c r="D411" s="1553">
        <v>78.900000000000006</v>
      </c>
      <c r="E411" s="1551">
        <v>5700</v>
      </c>
      <c r="F411" s="1552">
        <v>36.4</v>
      </c>
      <c r="G411" s="1551">
        <v>7000</v>
      </c>
      <c r="H411" s="3706">
        <v>7298</v>
      </c>
      <c r="I411" s="1553">
        <v>38.1</v>
      </c>
      <c r="J411" s="1551">
        <v>2500</v>
      </c>
      <c r="K411" s="3153">
        <v>2552</v>
      </c>
    </row>
    <row r="412" spans="1:11">
      <c r="A412" s="1468">
        <f t="shared" si="3"/>
        <v>2023.07</v>
      </c>
      <c r="B412" s="1550">
        <v>14500</v>
      </c>
      <c r="C412" s="3705">
        <v>154.69999999999999</v>
      </c>
      <c r="D412" s="1553">
        <v>76.099999999999994</v>
      </c>
      <c r="E412" s="1551">
        <v>5700</v>
      </c>
      <c r="F412" s="1552">
        <v>39.5</v>
      </c>
      <c r="G412" s="1551">
        <v>7000</v>
      </c>
      <c r="H412" s="3706">
        <v>7204</v>
      </c>
      <c r="I412" s="1553">
        <v>36.700000000000003</v>
      </c>
      <c r="J412" s="1551">
        <v>2500</v>
      </c>
      <c r="K412" s="3153">
        <v>2470</v>
      </c>
    </row>
    <row r="413" spans="1:11">
      <c r="A413" s="1468">
        <f t="shared" si="3"/>
        <v>2023.08</v>
      </c>
      <c r="B413" s="1550">
        <v>14500</v>
      </c>
      <c r="C413" s="3705">
        <v>134.9</v>
      </c>
      <c r="D413" s="1553">
        <v>80.900000000000006</v>
      </c>
      <c r="E413" s="1551">
        <v>5700</v>
      </c>
      <c r="F413" s="1552">
        <v>43.6</v>
      </c>
      <c r="G413" s="1551">
        <v>7000</v>
      </c>
      <c r="H413" s="3706">
        <v>6403</v>
      </c>
      <c r="I413" s="1553">
        <v>39.1</v>
      </c>
      <c r="J413" s="1551">
        <v>2500</v>
      </c>
      <c r="K413" s="3153">
        <v>1993</v>
      </c>
    </row>
    <row r="414" spans="1:11">
      <c r="A414" s="1468">
        <f t="shared" si="3"/>
        <v>2023.09</v>
      </c>
      <c r="B414" s="1550">
        <v>14500</v>
      </c>
      <c r="C414" s="3705">
        <v>159.80000000000001</v>
      </c>
      <c r="D414" s="1553">
        <v>77.2</v>
      </c>
      <c r="E414" s="1551">
        <v>5700</v>
      </c>
      <c r="F414" s="1552">
        <v>48.7</v>
      </c>
      <c r="G414" s="1551">
        <v>7000</v>
      </c>
      <c r="H414" s="3706">
        <v>6860</v>
      </c>
      <c r="I414" s="1553">
        <v>37.299999999999997</v>
      </c>
      <c r="J414" s="1551">
        <v>2500</v>
      </c>
      <c r="K414" s="3153">
        <v>1934</v>
      </c>
    </row>
    <row r="415" spans="1:11">
      <c r="A415" s="1468">
        <f t="shared" si="3"/>
        <v>2023.1</v>
      </c>
      <c r="B415" s="1550">
        <v>14500</v>
      </c>
      <c r="C415" s="3705">
        <v>161.1</v>
      </c>
      <c r="D415" s="1553">
        <v>71.400000000000006</v>
      </c>
      <c r="E415" s="1551">
        <v>5700</v>
      </c>
      <c r="F415" s="1552">
        <v>52.7</v>
      </c>
      <c r="G415" s="1551">
        <v>7000</v>
      </c>
      <c r="H415" s="3706">
        <v>8615</v>
      </c>
      <c r="I415" s="1553">
        <v>34.5</v>
      </c>
      <c r="J415" s="1551">
        <v>2500</v>
      </c>
      <c r="K415" s="3153">
        <v>2222</v>
      </c>
    </row>
    <row r="416" spans="1:11">
      <c r="A416" s="1468">
        <f t="shared" si="3"/>
        <v>2023.11</v>
      </c>
      <c r="B416" s="1550">
        <v>15000</v>
      </c>
      <c r="C416" s="3705">
        <v>150.80000000000001</v>
      </c>
      <c r="D416" s="1553">
        <v>75.400000000000006</v>
      </c>
      <c r="E416" s="1551">
        <v>6500</v>
      </c>
      <c r="F416" s="1552">
        <v>53.1</v>
      </c>
      <c r="G416" s="1551">
        <v>7500</v>
      </c>
      <c r="H416" s="3706">
        <v>8578</v>
      </c>
      <c r="I416" s="1553">
        <v>37.700000000000003</v>
      </c>
      <c r="J416" s="1551">
        <v>2550</v>
      </c>
      <c r="K416" s="3153">
        <v>1944</v>
      </c>
    </row>
    <row r="417" spans="1:11">
      <c r="A417" s="1468">
        <f t="shared" si="3"/>
        <v>2023.12</v>
      </c>
      <c r="B417" s="1550">
        <v>15000</v>
      </c>
      <c r="C417" s="3705">
        <v>135.1</v>
      </c>
      <c r="D417" s="1553">
        <v>66.599999999999994</v>
      </c>
      <c r="E417" s="1551">
        <v>6500</v>
      </c>
      <c r="F417" s="1552">
        <v>51.7</v>
      </c>
      <c r="G417" s="1551">
        <v>7500</v>
      </c>
      <c r="H417" s="3706">
        <v>7163</v>
      </c>
      <c r="I417" s="1553">
        <v>33.299999999999997</v>
      </c>
      <c r="J417" s="1551">
        <v>2550</v>
      </c>
      <c r="K417" s="3153">
        <v>1804</v>
      </c>
    </row>
    <row r="418" spans="1:11">
      <c r="A418" s="1468">
        <f t="shared" si="3"/>
        <v>2024.01</v>
      </c>
      <c r="B418" s="1550">
        <v>15000</v>
      </c>
      <c r="C418" s="3705">
        <v>100.5</v>
      </c>
      <c r="D418" s="1553">
        <v>57.8</v>
      </c>
      <c r="E418" s="1551">
        <v>6500</v>
      </c>
      <c r="F418" s="1552">
        <v>35.5</v>
      </c>
      <c r="G418" s="1551">
        <v>7500</v>
      </c>
      <c r="H418" s="3706">
        <v>5502</v>
      </c>
      <c r="I418" s="1553">
        <v>28.9</v>
      </c>
      <c r="J418" s="1551">
        <v>2550</v>
      </c>
      <c r="K418" s="3153">
        <v>1585</v>
      </c>
    </row>
    <row r="419" spans="1:11">
      <c r="A419" s="1468">
        <f t="shared" si="3"/>
        <v>2024.02</v>
      </c>
      <c r="B419" s="1550">
        <v>15000</v>
      </c>
      <c r="C419" s="3705">
        <v>115.7</v>
      </c>
      <c r="D419" s="1553">
        <v>67.5</v>
      </c>
      <c r="E419" s="1551">
        <v>6500</v>
      </c>
      <c r="F419" s="1552">
        <v>42.4</v>
      </c>
      <c r="G419" s="1551">
        <v>7500</v>
      </c>
      <c r="H419" s="3706">
        <v>5432</v>
      </c>
      <c r="I419" s="1553">
        <v>33.799999999999997</v>
      </c>
      <c r="J419" s="1551">
        <v>2550</v>
      </c>
      <c r="K419" s="3153">
        <v>1604</v>
      </c>
    </row>
    <row r="420" spans="1:11">
      <c r="A420" s="1468">
        <f t="shared" ref="A420:A441" si="4">A408+1</f>
        <v>2024.03</v>
      </c>
      <c r="B420" s="1550">
        <v>15500</v>
      </c>
      <c r="C420" s="3705">
        <v>113</v>
      </c>
      <c r="D420" s="1553">
        <v>65.599999999999994</v>
      </c>
      <c r="E420" s="1551">
        <v>6800</v>
      </c>
      <c r="F420" s="1552">
        <v>42.1</v>
      </c>
      <c r="G420" s="1551">
        <v>7700</v>
      </c>
      <c r="H420" s="3706">
        <v>4620</v>
      </c>
      <c r="I420" s="1553">
        <v>32.6</v>
      </c>
      <c r="J420" s="1551">
        <v>2650</v>
      </c>
      <c r="K420" s="3153">
        <v>1294</v>
      </c>
    </row>
    <row r="421" spans="1:11">
      <c r="A421" s="1468">
        <f t="shared" si="4"/>
        <v>2024.04</v>
      </c>
      <c r="B421" s="1550">
        <v>15500</v>
      </c>
      <c r="C421" s="3705">
        <v>108.4</v>
      </c>
      <c r="D421" s="1553">
        <v>64.400000000000006</v>
      </c>
      <c r="E421" s="1551">
        <v>6800</v>
      </c>
      <c r="F421" s="1552">
        <v>40</v>
      </c>
      <c r="G421" s="1551">
        <v>7700</v>
      </c>
      <c r="H421" s="3706">
        <v>4422</v>
      </c>
      <c r="I421" s="1553">
        <v>32</v>
      </c>
      <c r="J421" s="1551">
        <v>2650</v>
      </c>
      <c r="K421" s="3153">
        <v>1239</v>
      </c>
    </row>
    <row r="422" spans="1:11">
      <c r="A422" s="1468">
        <f t="shared" si="4"/>
        <v>2024.05</v>
      </c>
      <c r="B422" s="1550">
        <v>16000</v>
      </c>
      <c r="C422" s="3705">
        <v>104</v>
      </c>
      <c r="D422" s="1553">
        <v>65.3</v>
      </c>
      <c r="E422" s="1551">
        <v>7000</v>
      </c>
      <c r="F422" s="1552">
        <v>36.4</v>
      </c>
      <c r="G422" s="1551">
        <v>8000</v>
      </c>
      <c r="H422" s="3706">
        <v>4379</v>
      </c>
      <c r="I422" s="1553">
        <v>32.6</v>
      </c>
      <c r="J422" s="1551">
        <v>2700</v>
      </c>
      <c r="K422" s="3153">
        <v>1337</v>
      </c>
    </row>
    <row r="423" spans="1:11">
      <c r="A423" s="1468">
        <f t="shared" si="4"/>
        <v>2024.06</v>
      </c>
      <c r="B423" s="1550">
        <v>16000</v>
      </c>
      <c r="C423" s="3705">
        <v>125.1</v>
      </c>
      <c r="D423" s="1553">
        <v>69.3</v>
      </c>
      <c r="E423" s="1551">
        <v>7000</v>
      </c>
      <c r="F423" s="1552">
        <v>36</v>
      </c>
      <c r="G423" s="1551">
        <v>8000</v>
      </c>
      <c r="H423" s="3706">
        <v>5200</v>
      </c>
      <c r="I423" s="1553">
        <v>34.700000000000003</v>
      </c>
      <c r="J423" s="1551">
        <v>2700</v>
      </c>
      <c r="K423" s="3153">
        <v>1516</v>
      </c>
    </row>
    <row r="424" spans="1:11">
      <c r="A424" s="1468">
        <f t="shared" si="4"/>
        <v>2024.07</v>
      </c>
      <c r="B424" s="1550">
        <v>16000</v>
      </c>
      <c r="C424" s="3705">
        <v>140.9</v>
      </c>
      <c r="D424" s="1553">
        <v>79.3</v>
      </c>
      <c r="E424" s="1551">
        <v>7000</v>
      </c>
      <c r="F424" s="1552">
        <v>44.7</v>
      </c>
      <c r="G424" s="1551">
        <v>8000</v>
      </c>
      <c r="H424" s="3706">
        <v>5620</v>
      </c>
      <c r="I424" s="1553">
        <v>39.6</v>
      </c>
      <c r="J424" s="1551">
        <v>2700</v>
      </c>
      <c r="K424" s="3153">
        <v>1686</v>
      </c>
    </row>
    <row r="425" spans="1:11">
      <c r="A425" s="1468">
        <f t="shared" si="4"/>
        <v>2024.08</v>
      </c>
      <c r="B425" s="1550">
        <v>16000</v>
      </c>
      <c r="C425" s="3705">
        <v>145.5</v>
      </c>
      <c r="D425" s="1553">
        <v>77.5</v>
      </c>
      <c r="E425" s="1551">
        <v>7000</v>
      </c>
      <c r="F425" s="1552">
        <v>42</v>
      </c>
      <c r="G425" s="1551">
        <v>8000</v>
      </c>
      <c r="H425" s="3706">
        <v>5520</v>
      </c>
      <c r="I425" s="1553">
        <v>38.700000000000003</v>
      </c>
      <c r="J425" s="1551">
        <v>2700</v>
      </c>
      <c r="K425" s="3153">
        <v>1490</v>
      </c>
    </row>
    <row r="426" spans="1:11">
      <c r="A426" s="1468">
        <f t="shared" si="4"/>
        <v>2024.09</v>
      </c>
      <c r="B426" s="1550">
        <v>16000</v>
      </c>
      <c r="C426" s="3705">
        <v>126.5</v>
      </c>
      <c r="D426" s="1553">
        <v>70.8</v>
      </c>
      <c r="E426" s="1551">
        <v>7000</v>
      </c>
      <c r="F426" s="1552">
        <v>41.5</v>
      </c>
      <c r="G426" s="1551">
        <v>8000</v>
      </c>
      <c r="H426" s="3706">
        <v>5220</v>
      </c>
      <c r="I426" s="1553">
        <v>35.4</v>
      </c>
      <c r="J426" s="1551">
        <v>2700</v>
      </c>
      <c r="K426" s="3153">
        <v>1409</v>
      </c>
    </row>
    <row r="427" spans="1:11">
      <c r="A427" s="1468">
        <f t="shared" si="4"/>
        <v>2024.1</v>
      </c>
      <c r="B427" s="1550">
        <v>16000</v>
      </c>
      <c r="C427" s="3705">
        <v>108.4</v>
      </c>
      <c r="D427" s="1553">
        <v>62</v>
      </c>
      <c r="E427" s="1551">
        <v>7000</v>
      </c>
      <c r="F427" s="1552">
        <v>42.3</v>
      </c>
      <c r="G427" s="1551">
        <v>8000</v>
      </c>
      <c r="H427" s="3706">
        <v>5137</v>
      </c>
      <c r="I427" s="1553">
        <v>31</v>
      </c>
      <c r="J427" s="1551">
        <v>2700</v>
      </c>
      <c r="K427" s="3153">
        <v>1267</v>
      </c>
    </row>
    <row r="428" spans="1:11">
      <c r="A428" s="1468">
        <f t="shared" si="4"/>
        <v>2024.11</v>
      </c>
      <c r="B428" s="1550">
        <v>16000</v>
      </c>
      <c r="C428" s="3705">
        <v>104.9</v>
      </c>
      <c r="D428" s="1553">
        <v>62.7</v>
      </c>
      <c r="E428" s="1551">
        <v>7000</v>
      </c>
      <c r="F428" s="1552">
        <v>42.4</v>
      </c>
      <c r="G428" s="1551">
        <v>8000</v>
      </c>
      <c r="H428" s="3706">
        <v>4841</v>
      </c>
      <c r="I428" s="1553">
        <v>31.4</v>
      </c>
      <c r="J428" s="1551">
        <v>2700</v>
      </c>
      <c r="K428" s="3153">
        <v>1249</v>
      </c>
    </row>
    <row r="429" spans="1:11">
      <c r="A429" s="1468">
        <f t="shared" si="4"/>
        <v>2024.12</v>
      </c>
      <c r="B429" s="1550">
        <v>16000</v>
      </c>
      <c r="C429" s="3705">
        <v>97.8</v>
      </c>
      <c r="D429" s="1553">
        <v>60.7</v>
      </c>
      <c r="E429" s="1551">
        <v>7000</v>
      </c>
      <c r="F429" s="1552">
        <v>40.5</v>
      </c>
      <c r="G429" s="1551">
        <v>8000</v>
      </c>
      <c r="H429" s="3706">
        <v>3826</v>
      </c>
      <c r="I429" s="1553">
        <v>30.3</v>
      </c>
      <c r="J429" s="1551">
        <v>2700</v>
      </c>
      <c r="K429" s="3153">
        <v>1024</v>
      </c>
    </row>
    <row r="430" spans="1:11">
      <c r="A430" s="1468">
        <f t="shared" si="4"/>
        <v>2025.01</v>
      </c>
      <c r="B430" s="1550">
        <v>16000</v>
      </c>
      <c r="C430" s="3705">
        <v>102.3</v>
      </c>
      <c r="D430" s="1553">
        <v>67</v>
      </c>
      <c r="E430" s="1551">
        <v>7000</v>
      </c>
      <c r="F430" s="1552">
        <v>42.6</v>
      </c>
      <c r="G430" s="1551">
        <v>8000</v>
      </c>
      <c r="H430" s="3706">
        <v>4050</v>
      </c>
      <c r="I430" s="1553">
        <v>33.5</v>
      </c>
      <c r="J430" s="1551">
        <v>2700</v>
      </c>
      <c r="K430" s="3153">
        <v>1058</v>
      </c>
    </row>
    <row r="431" spans="1:11">
      <c r="A431" s="1468">
        <f t="shared" si="4"/>
        <v>2025.02</v>
      </c>
      <c r="B431" s="1550">
        <v>16000</v>
      </c>
      <c r="C431" s="3705">
        <v>87.5</v>
      </c>
      <c r="D431" s="1553">
        <v>62</v>
      </c>
      <c r="E431" s="1551">
        <v>7000</v>
      </c>
      <c r="F431" s="1552">
        <v>40.700000000000003</v>
      </c>
      <c r="G431" s="1551">
        <v>8000</v>
      </c>
      <c r="H431" s="3706">
        <v>3615</v>
      </c>
      <c r="I431" s="1553">
        <v>31</v>
      </c>
      <c r="J431" s="1551">
        <v>2700</v>
      </c>
      <c r="K431" s="3153">
        <v>1029</v>
      </c>
    </row>
    <row r="432" spans="1:11">
      <c r="A432" s="1468">
        <f t="shared" si="4"/>
        <v>2025.03</v>
      </c>
      <c r="B432" s="1550">
        <v>16000</v>
      </c>
      <c r="C432" s="3705">
        <v>94</v>
      </c>
      <c r="D432" s="1553">
        <v>61.5</v>
      </c>
      <c r="E432" s="1551">
        <v>7000</v>
      </c>
      <c r="F432" s="1552">
        <v>40.299999999999997</v>
      </c>
      <c r="G432" s="1551">
        <v>8000</v>
      </c>
      <c r="H432" s="3706">
        <v>3500</v>
      </c>
      <c r="I432" s="1553">
        <v>30.8</v>
      </c>
      <c r="J432" s="1551">
        <v>2700</v>
      </c>
      <c r="K432" s="3153">
        <v>1002</v>
      </c>
    </row>
    <row r="433" spans="1:11">
      <c r="A433" s="1468">
        <f t="shared" si="4"/>
        <v>2025.04</v>
      </c>
      <c r="B433" s="1550">
        <v>16000</v>
      </c>
      <c r="C433" s="3705">
        <v>100.2</v>
      </c>
      <c r="D433" s="1553">
        <v>66.8</v>
      </c>
      <c r="E433" s="1551">
        <v>7000</v>
      </c>
      <c r="F433" s="1552">
        <v>39.200000000000003</v>
      </c>
      <c r="G433" s="1551">
        <v>8000</v>
      </c>
      <c r="H433" s="3706">
        <v>3757</v>
      </c>
      <c r="I433" s="1553">
        <v>33.4</v>
      </c>
      <c r="J433" s="1551">
        <v>2700</v>
      </c>
      <c r="K433" s="3153">
        <v>1014</v>
      </c>
    </row>
    <row r="434" spans="1:11">
      <c r="A434" s="1468">
        <f t="shared" si="4"/>
        <v>2025.05</v>
      </c>
      <c r="B434" s="1550">
        <v>16000</v>
      </c>
      <c r="C434" s="3705">
        <v>87.2</v>
      </c>
      <c r="D434" s="1553">
        <v>62.6</v>
      </c>
      <c r="E434" s="1551">
        <v>7000</v>
      </c>
      <c r="F434" s="1552">
        <v>36.5</v>
      </c>
      <c r="G434" s="1551">
        <v>8000</v>
      </c>
      <c r="H434" s="3706">
        <v>3443</v>
      </c>
      <c r="I434" s="1553">
        <v>31.3</v>
      </c>
      <c r="J434" s="1551">
        <v>2700</v>
      </c>
      <c r="K434" s="3153">
        <v>879</v>
      </c>
    </row>
    <row r="435" spans="1:11">
      <c r="A435" s="1468">
        <f t="shared" si="4"/>
        <v>2025.06</v>
      </c>
      <c r="B435" s="1550">
        <v>17000</v>
      </c>
      <c r="C435" s="3705">
        <v>96.6</v>
      </c>
      <c r="D435" s="1553">
        <v>61.9</v>
      </c>
      <c r="E435" s="1551">
        <v>8000</v>
      </c>
      <c r="F435" s="1552">
        <v>39.799999999999997</v>
      </c>
      <c r="G435" s="1551">
        <v>8500</v>
      </c>
      <c r="H435" s="3706">
        <v>3537</v>
      </c>
      <c r="I435" s="1553">
        <v>30.9</v>
      </c>
      <c r="J435" s="1551">
        <v>2800</v>
      </c>
      <c r="K435" s="3153">
        <v>858</v>
      </c>
    </row>
    <row r="436" spans="1:11">
      <c r="A436" s="1468">
        <f t="shared" si="4"/>
        <v>2025.07</v>
      </c>
      <c r="B436" s="1550">
        <v>17000</v>
      </c>
      <c r="C436" s="3705">
        <v>102.6</v>
      </c>
      <c r="D436" s="1553">
        <v>65.099999999999994</v>
      </c>
      <c r="E436" s="1551">
        <v>8000</v>
      </c>
      <c r="F436" s="1552">
        <v>40.799999999999997</v>
      </c>
      <c r="G436" s="1551">
        <v>8500</v>
      </c>
      <c r="H436" s="3706">
        <v>3654</v>
      </c>
      <c r="I436" s="1553">
        <v>32.5</v>
      </c>
      <c r="J436" s="1551">
        <v>2800</v>
      </c>
      <c r="K436" s="3153">
        <v>879</v>
      </c>
    </row>
    <row r="437" spans="1:11">
      <c r="A437" s="1468">
        <f t="shared" si="4"/>
        <v>2025.08</v>
      </c>
      <c r="B437" s="1550">
        <v>17000</v>
      </c>
      <c r="C437" s="3705">
        <v>93.4</v>
      </c>
      <c r="D437" s="1553">
        <v>57.9</v>
      </c>
      <c r="E437" s="1551">
        <v>8000</v>
      </c>
      <c r="F437" s="1552">
        <v>38.700000000000003</v>
      </c>
      <c r="G437" s="1551">
        <v>8500</v>
      </c>
      <c r="H437" s="3706">
        <v>3884</v>
      </c>
      <c r="I437" s="1553">
        <v>29</v>
      </c>
      <c r="J437" s="1551">
        <v>2800</v>
      </c>
      <c r="K437" s="3153">
        <v>951</v>
      </c>
    </row>
    <row r="438" spans="1:11">
      <c r="A438" s="1468">
        <f t="shared" si="4"/>
        <v>2025.09</v>
      </c>
      <c r="B438" s="1550">
        <v>17000</v>
      </c>
      <c r="C438" s="3705">
        <v>96.7</v>
      </c>
      <c r="D438" s="1553">
        <v>58.7</v>
      </c>
      <c r="E438" s="1551">
        <v>8000</v>
      </c>
      <c r="F438" s="1552">
        <v>39.9</v>
      </c>
      <c r="G438" s="1551">
        <v>8500</v>
      </c>
      <c r="H438" s="3706">
        <v>3868</v>
      </c>
      <c r="I438" s="1553">
        <v>29.4</v>
      </c>
      <c r="J438" s="1551">
        <v>2800</v>
      </c>
      <c r="K438" s="3153">
        <v>944</v>
      </c>
    </row>
    <row r="439" spans="1:11">
      <c r="A439" s="1468">
        <f t="shared" si="4"/>
        <v>2025.1</v>
      </c>
      <c r="B439" s="1550">
        <v>17000</v>
      </c>
      <c r="C439" s="3705">
        <v>100.8</v>
      </c>
      <c r="D439" s="1553">
        <v>50.7</v>
      </c>
      <c r="E439" s="1551">
        <v>8000</v>
      </c>
      <c r="F439" s="1552">
        <v>42.8</v>
      </c>
      <c r="G439" s="1551">
        <v>8500</v>
      </c>
      <c r="H439" s="3706">
        <v>3688</v>
      </c>
      <c r="I439" s="1553">
        <v>25.3</v>
      </c>
      <c r="J439" s="1551">
        <v>2800</v>
      </c>
      <c r="K439" s="3153">
        <v>983</v>
      </c>
    </row>
    <row r="440" spans="1:11">
      <c r="A440" s="1468">
        <f t="shared" si="4"/>
        <v>2025.11</v>
      </c>
      <c r="B440" s="1550">
        <v>17000</v>
      </c>
      <c r="C440" s="3705">
        <v>91.6</v>
      </c>
      <c r="D440" s="1553">
        <v>50.1</v>
      </c>
      <c r="E440" s="1551">
        <v>8000</v>
      </c>
      <c r="F440" s="1552">
        <v>43</v>
      </c>
      <c r="G440" s="1551">
        <v>8500</v>
      </c>
      <c r="H440" s="3706">
        <v>3412</v>
      </c>
      <c r="I440" s="1553">
        <v>25.1</v>
      </c>
      <c r="J440" s="1551">
        <v>2800</v>
      </c>
      <c r="K440" s="3153">
        <v>899</v>
      </c>
    </row>
    <row r="441" spans="1:11">
      <c r="A441" s="1468">
        <f t="shared" si="4"/>
        <v>2025.12</v>
      </c>
      <c r="B441" s="1550">
        <v>17500</v>
      </c>
      <c r="C441" s="3705">
        <v>93.2</v>
      </c>
      <c r="D441" s="1553">
        <v>50.6</v>
      </c>
      <c r="E441" s="1551">
        <v>8500</v>
      </c>
      <c r="F441" s="1552">
        <v>51.3</v>
      </c>
      <c r="G441" s="1551">
        <v>9000</v>
      </c>
      <c r="H441" s="3706">
        <v>3251</v>
      </c>
      <c r="I441" s="1553">
        <v>26</v>
      </c>
      <c r="J441" s="1551">
        <v>3000</v>
      </c>
      <c r="K441" s="3153">
        <v>818</v>
      </c>
    </row>
    <row r="442" spans="1:11">
      <c r="A442" s="972">
        <v>2026.01</v>
      </c>
      <c r="B442" s="1550">
        <v>17500</v>
      </c>
      <c r="C442" s="3705">
        <v>91.4</v>
      </c>
      <c r="D442" s="1553">
        <v>53.8</v>
      </c>
      <c r="E442" s="1551">
        <v>8500</v>
      </c>
      <c r="F442" s="1552">
        <v>49.3</v>
      </c>
      <c r="G442" s="1551">
        <v>9000</v>
      </c>
      <c r="H442" s="3706">
        <v>3359</v>
      </c>
      <c r="I442" s="1553">
        <v>27.7</v>
      </c>
      <c r="J442" s="1551">
        <v>3000</v>
      </c>
      <c r="K442" s="3153">
        <v>835</v>
      </c>
    </row>
    <row r="443" spans="1:11">
      <c r="A443" s="972">
        <v>2026.02</v>
      </c>
      <c r="B443" s="1550">
        <v>17500</v>
      </c>
      <c r="C443" s="3705">
        <v>95.8</v>
      </c>
      <c r="D443" s="1553">
        <v>54</v>
      </c>
      <c r="E443" s="1551">
        <v>8500</v>
      </c>
      <c r="F443" s="1552">
        <v>47.5</v>
      </c>
      <c r="G443" s="1551">
        <v>9000</v>
      </c>
      <c r="H443" s="3706">
        <v>3035</v>
      </c>
      <c r="I443" s="1553">
        <v>27.8</v>
      </c>
      <c r="J443" s="1551">
        <v>3000</v>
      </c>
      <c r="K443" s="3153">
        <v>763</v>
      </c>
    </row>
    <row r="444" spans="1:11">
      <c r="A444" s="972">
        <v>2026.03</v>
      </c>
      <c r="B444" s="1550">
        <v>18000</v>
      </c>
      <c r="C444" s="3705">
        <v>108.2</v>
      </c>
      <c r="D444" s="1553">
        <v>55.6</v>
      </c>
      <c r="E444" s="1551">
        <v>8500</v>
      </c>
      <c r="F444" s="1552">
        <v>48.1</v>
      </c>
      <c r="G444" s="1551">
        <v>9500</v>
      </c>
      <c r="H444" s="3706">
        <v>2753</v>
      </c>
      <c r="I444" s="1553">
        <v>29.3</v>
      </c>
      <c r="J444" s="1551">
        <v>3300</v>
      </c>
      <c r="K444" s="3153">
        <v>710</v>
      </c>
    </row>
    <row r="445" spans="1:11">
      <c r="A445" s="972">
        <v>2026.04</v>
      </c>
      <c r="B445" s="1550" t="e">
        <v>#N/A</v>
      </c>
      <c r="C445" s="3705" t="e">
        <v>#N/A</v>
      </c>
      <c r="D445" s="1553" t="e">
        <v>#N/A</v>
      </c>
      <c r="E445" s="1551" t="e">
        <v>#N/A</v>
      </c>
      <c r="F445" s="1552" t="e">
        <v>#N/A</v>
      </c>
      <c r="G445" s="1551" t="e">
        <v>#N/A</v>
      </c>
      <c r="H445" s="3706" t="e">
        <v>#N/A</v>
      </c>
      <c r="I445" s="1553" t="e">
        <v>#N/A</v>
      </c>
      <c r="J445" s="1551" t="e">
        <v>#N/A</v>
      </c>
      <c r="K445" s="3153" t="e">
        <v>#N/A</v>
      </c>
    </row>
    <row r="446" spans="1:11">
      <c r="A446" s="972">
        <v>2026.05</v>
      </c>
      <c r="B446" s="1550" t="e">
        <v>#N/A</v>
      </c>
      <c r="C446" s="3705" t="e">
        <v>#N/A</v>
      </c>
      <c r="D446" s="1553" t="e">
        <v>#N/A</v>
      </c>
      <c r="E446" s="1551" t="e">
        <v>#N/A</v>
      </c>
      <c r="F446" s="1552" t="e">
        <v>#N/A</v>
      </c>
      <c r="G446" s="1551" t="e">
        <v>#N/A</v>
      </c>
      <c r="H446" s="3706" t="e">
        <v>#N/A</v>
      </c>
      <c r="I446" s="1553" t="e">
        <v>#N/A</v>
      </c>
      <c r="J446" s="1551" t="e">
        <v>#N/A</v>
      </c>
      <c r="K446" s="3153" t="e">
        <v>#N/A</v>
      </c>
    </row>
    <row r="447" spans="1:11">
      <c r="A447" s="972">
        <v>2026.06</v>
      </c>
      <c r="B447" s="1550" t="e">
        <v>#N/A</v>
      </c>
      <c r="C447" s="3705" t="e">
        <v>#N/A</v>
      </c>
      <c r="D447" s="1553" t="e">
        <v>#N/A</v>
      </c>
      <c r="E447" s="1551" t="e">
        <v>#N/A</v>
      </c>
      <c r="F447" s="1552" t="e">
        <v>#N/A</v>
      </c>
      <c r="G447" s="1551" t="e">
        <v>#N/A</v>
      </c>
      <c r="H447" s="3706" t="e">
        <v>#N/A</v>
      </c>
      <c r="I447" s="1553" t="e">
        <v>#N/A</v>
      </c>
      <c r="J447" s="1551" t="e">
        <v>#N/A</v>
      </c>
      <c r="K447" s="3153" t="e">
        <v>#N/A</v>
      </c>
    </row>
    <row r="448" spans="1:11">
      <c r="A448" s="972">
        <v>2026.07</v>
      </c>
      <c r="B448" s="1550" t="e">
        <v>#N/A</v>
      </c>
      <c r="C448" s="3705" t="e">
        <v>#N/A</v>
      </c>
      <c r="D448" s="1553" t="e">
        <v>#N/A</v>
      </c>
      <c r="E448" s="1551" t="e">
        <v>#N/A</v>
      </c>
      <c r="F448" s="1552" t="e">
        <v>#N/A</v>
      </c>
      <c r="G448" s="1551" t="e">
        <v>#N/A</v>
      </c>
      <c r="H448" s="3706" t="e">
        <v>#N/A</v>
      </c>
      <c r="I448" s="1553" t="e">
        <v>#N/A</v>
      </c>
      <c r="J448" s="1551" t="e">
        <v>#N/A</v>
      </c>
      <c r="K448" s="3153" t="e">
        <v>#N/A</v>
      </c>
    </row>
    <row r="449" spans="1:11">
      <c r="A449" s="972">
        <v>2026.08</v>
      </c>
      <c r="B449" s="1550" t="e">
        <v>#N/A</v>
      </c>
      <c r="C449" s="3705" t="e">
        <v>#N/A</v>
      </c>
      <c r="D449" s="1553" t="e">
        <v>#N/A</v>
      </c>
      <c r="E449" s="1551" t="e">
        <v>#N/A</v>
      </c>
      <c r="F449" s="1552" t="e">
        <v>#N/A</v>
      </c>
      <c r="G449" s="1551" t="e">
        <v>#N/A</v>
      </c>
      <c r="H449" s="3706" t="e">
        <v>#N/A</v>
      </c>
      <c r="I449" s="1553" t="e">
        <v>#N/A</v>
      </c>
      <c r="J449" s="1551" t="e">
        <v>#N/A</v>
      </c>
      <c r="K449" s="3153" t="e">
        <v>#N/A</v>
      </c>
    </row>
    <row r="450" spans="1:11">
      <c r="A450" s="972">
        <v>2026.09</v>
      </c>
      <c r="B450" s="1550" t="e">
        <v>#N/A</v>
      </c>
      <c r="C450" s="3705" t="e">
        <v>#N/A</v>
      </c>
      <c r="D450" s="1553" t="e">
        <v>#N/A</v>
      </c>
      <c r="E450" s="1551" t="e">
        <v>#N/A</v>
      </c>
      <c r="F450" s="1552" t="e">
        <v>#N/A</v>
      </c>
      <c r="G450" s="1551" t="e">
        <v>#N/A</v>
      </c>
      <c r="H450" s="3706" t="e">
        <v>#N/A</v>
      </c>
      <c r="I450" s="1553" t="e">
        <v>#N/A</v>
      </c>
      <c r="J450" s="1551" t="e">
        <v>#N/A</v>
      </c>
      <c r="K450" s="3153" t="e">
        <v>#N/A</v>
      </c>
    </row>
    <row r="451" spans="1:11">
      <c r="A451" s="972">
        <v>2026.1</v>
      </c>
      <c r="B451" s="1550" t="e">
        <v>#N/A</v>
      </c>
      <c r="C451" s="3705" t="e">
        <v>#N/A</v>
      </c>
      <c r="D451" s="1553" t="e">
        <v>#N/A</v>
      </c>
      <c r="E451" s="1551" t="e">
        <v>#N/A</v>
      </c>
      <c r="F451" s="1552" t="e">
        <v>#N/A</v>
      </c>
      <c r="G451" s="1551" t="e">
        <v>#N/A</v>
      </c>
      <c r="H451" s="3706" t="e">
        <v>#N/A</v>
      </c>
      <c r="I451" s="1553" t="e">
        <v>#N/A</v>
      </c>
      <c r="J451" s="1551" t="e">
        <v>#N/A</v>
      </c>
      <c r="K451" s="3153" t="e">
        <v>#N/A</v>
      </c>
    </row>
    <row r="452" spans="1:11">
      <c r="A452" s="972">
        <v>2026.11</v>
      </c>
      <c r="B452" s="1550" t="e">
        <v>#N/A</v>
      </c>
      <c r="C452" s="3705" t="e">
        <v>#N/A</v>
      </c>
      <c r="D452" s="1553" t="e">
        <v>#N/A</v>
      </c>
      <c r="E452" s="1551" t="e">
        <v>#N/A</v>
      </c>
      <c r="F452" s="1552" t="e">
        <v>#N/A</v>
      </c>
      <c r="G452" s="1551" t="e">
        <v>#N/A</v>
      </c>
      <c r="H452" s="3706" t="e">
        <v>#N/A</v>
      </c>
      <c r="I452" s="1553" t="e">
        <v>#N/A</v>
      </c>
      <c r="J452" s="1551" t="e">
        <v>#N/A</v>
      </c>
      <c r="K452" s="3153" t="e">
        <v>#N/A</v>
      </c>
    </row>
    <row r="453" spans="1:11">
      <c r="A453" s="972">
        <v>2026.12</v>
      </c>
      <c r="B453" s="1550" t="e">
        <v>#N/A</v>
      </c>
      <c r="C453" s="3705" t="e">
        <v>#N/A</v>
      </c>
      <c r="D453" s="1553" t="e">
        <v>#N/A</v>
      </c>
      <c r="E453" s="1551" t="e">
        <v>#N/A</v>
      </c>
      <c r="F453" s="1552" t="e">
        <v>#N/A</v>
      </c>
      <c r="G453" s="1551" t="e">
        <v>#N/A</v>
      </c>
      <c r="H453" s="3706" t="e">
        <v>#N/A</v>
      </c>
      <c r="I453" s="1553" t="e">
        <v>#N/A</v>
      </c>
      <c r="J453" s="1551" t="e">
        <v>#N/A</v>
      </c>
      <c r="K453" s="3153" t="e">
        <v>#N/A</v>
      </c>
    </row>
    <row r="454" spans="1:11">
      <c r="A454" s="972">
        <v>2027.01</v>
      </c>
      <c r="B454" s="1550" t="e">
        <v>#N/A</v>
      </c>
      <c r="C454" s="3705" t="e">
        <v>#N/A</v>
      </c>
      <c r="D454" s="1553" t="e">
        <v>#N/A</v>
      </c>
      <c r="E454" s="1551" t="e">
        <v>#N/A</v>
      </c>
      <c r="F454" s="1552" t="e">
        <v>#N/A</v>
      </c>
      <c r="G454" s="1551" t="e">
        <v>#N/A</v>
      </c>
      <c r="H454" s="3706" t="e">
        <v>#N/A</v>
      </c>
      <c r="I454" s="1553" t="e">
        <v>#N/A</v>
      </c>
      <c r="J454" s="1551" t="e">
        <v>#N/A</v>
      </c>
      <c r="K454" s="3153" t="e">
        <v>#N/A</v>
      </c>
    </row>
    <row r="455" spans="1:11">
      <c r="A455" s="972">
        <v>2027.02</v>
      </c>
      <c r="B455" s="1550" t="e">
        <v>#N/A</v>
      </c>
      <c r="C455" s="3705" t="e">
        <v>#N/A</v>
      </c>
      <c r="D455" s="1553" t="e">
        <v>#N/A</v>
      </c>
      <c r="E455" s="1551" t="e">
        <v>#N/A</v>
      </c>
      <c r="F455" s="1552" t="e">
        <v>#N/A</v>
      </c>
      <c r="G455" s="1551" t="e">
        <v>#N/A</v>
      </c>
      <c r="H455" s="3706" t="e">
        <v>#N/A</v>
      </c>
      <c r="I455" s="1553" t="e">
        <v>#N/A</v>
      </c>
      <c r="J455" s="1551" t="e">
        <v>#N/A</v>
      </c>
      <c r="K455" s="3153" t="e">
        <v>#N/A</v>
      </c>
    </row>
    <row r="456" spans="1:11">
      <c r="A456" s="972">
        <v>2027.03</v>
      </c>
      <c r="B456" s="1550" t="e">
        <v>#N/A</v>
      </c>
      <c r="C456" s="3705" t="e">
        <v>#N/A</v>
      </c>
      <c r="D456" s="1553" t="e">
        <v>#N/A</v>
      </c>
      <c r="E456" s="1551" t="e">
        <v>#N/A</v>
      </c>
      <c r="F456" s="1552" t="e">
        <v>#N/A</v>
      </c>
      <c r="G456" s="1551" t="e">
        <v>#N/A</v>
      </c>
      <c r="H456" s="3706" t="e">
        <v>#N/A</v>
      </c>
      <c r="I456" s="1553" t="e">
        <v>#N/A</v>
      </c>
      <c r="J456" s="1551" t="e">
        <v>#N/A</v>
      </c>
      <c r="K456" s="3153" t="e">
        <v>#N/A</v>
      </c>
    </row>
    <row r="457" spans="1:11">
      <c r="A457" s="972">
        <v>2027.04</v>
      </c>
      <c r="B457" s="1550" t="e">
        <v>#N/A</v>
      </c>
      <c r="C457" s="3705" t="e">
        <v>#N/A</v>
      </c>
      <c r="D457" s="1553" t="e">
        <v>#N/A</v>
      </c>
      <c r="E457" s="1551" t="e">
        <v>#N/A</v>
      </c>
      <c r="F457" s="1552" t="e">
        <v>#N/A</v>
      </c>
      <c r="G457" s="1551" t="e">
        <v>#N/A</v>
      </c>
      <c r="H457" s="3706" t="e">
        <v>#N/A</v>
      </c>
      <c r="I457" s="1553" t="e">
        <v>#N/A</v>
      </c>
      <c r="J457" s="1551" t="e">
        <v>#N/A</v>
      </c>
      <c r="K457" s="3153" t="e">
        <v>#N/A</v>
      </c>
    </row>
    <row r="458" spans="1:11">
      <c r="A458" s="972">
        <v>2027.05</v>
      </c>
      <c r="B458" s="1550" t="e">
        <v>#N/A</v>
      </c>
      <c r="C458" s="3705" t="e">
        <v>#N/A</v>
      </c>
      <c r="D458" s="1553" t="e">
        <v>#N/A</v>
      </c>
      <c r="E458" s="1551" t="e">
        <v>#N/A</v>
      </c>
      <c r="F458" s="1552" t="e">
        <v>#N/A</v>
      </c>
      <c r="G458" s="1551" t="e">
        <v>#N/A</v>
      </c>
      <c r="H458" s="3706" t="e">
        <v>#N/A</v>
      </c>
      <c r="I458" s="1553" t="e">
        <v>#N/A</v>
      </c>
      <c r="J458" s="1551" t="e">
        <v>#N/A</v>
      </c>
      <c r="K458" s="3153" t="e">
        <v>#N/A</v>
      </c>
    </row>
    <row r="459" spans="1:11">
      <c r="A459" s="972">
        <v>2027.06</v>
      </c>
      <c r="B459" s="1550" t="e">
        <v>#N/A</v>
      </c>
      <c r="C459" s="3705" t="e">
        <v>#N/A</v>
      </c>
      <c r="D459" s="1553" t="e">
        <v>#N/A</v>
      </c>
      <c r="E459" s="1551" t="e">
        <v>#N/A</v>
      </c>
      <c r="F459" s="1552" t="e">
        <v>#N/A</v>
      </c>
      <c r="G459" s="1551" t="e">
        <v>#N/A</v>
      </c>
      <c r="H459" s="3706" t="e">
        <v>#N/A</v>
      </c>
      <c r="I459" s="1553" t="e">
        <v>#N/A</v>
      </c>
      <c r="J459" s="1551" t="e">
        <v>#N/A</v>
      </c>
      <c r="K459" s="3153" t="e">
        <v>#N/A</v>
      </c>
    </row>
    <row r="460" spans="1:11">
      <c r="A460" s="972">
        <v>2027.07</v>
      </c>
      <c r="B460" s="1550" t="e">
        <v>#N/A</v>
      </c>
      <c r="C460" s="3705" t="e">
        <v>#N/A</v>
      </c>
      <c r="D460" s="1553" t="e">
        <v>#N/A</v>
      </c>
      <c r="E460" s="1551" t="e">
        <v>#N/A</v>
      </c>
      <c r="F460" s="1552" t="e">
        <v>#N/A</v>
      </c>
      <c r="G460" s="1551" t="e">
        <v>#N/A</v>
      </c>
      <c r="H460" s="3706" t="e">
        <v>#N/A</v>
      </c>
      <c r="I460" s="1553" t="e">
        <v>#N/A</v>
      </c>
      <c r="J460" s="1551" t="e">
        <v>#N/A</v>
      </c>
      <c r="K460" s="3153" t="e">
        <v>#N/A</v>
      </c>
    </row>
    <row r="461" spans="1:11">
      <c r="A461" s="972">
        <v>2027.08</v>
      </c>
      <c r="B461" s="1550" t="e">
        <v>#N/A</v>
      </c>
      <c r="C461" s="3705" t="e">
        <v>#N/A</v>
      </c>
      <c r="D461" s="1553" t="e">
        <v>#N/A</v>
      </c>
      <c r="E461" s="1551" t="e">
        <v>#N/A</v>
      </c>
      <c r="F461" s="1552" t="e">
        <v>#N/A</v>
      </c>
      <c r="G461" s="1551" t="e">
        <v>#N/A</v>
      </c>
      <c r="H461" s="3706" t="e">
        <v>#N/A</v>
      </c>
      <c r="I461" s="1553" t="e">
        <v>#N/A</v>
      </c>
      <c r="J461" s="1551" t="e">
        <v>#N/A</v>
      </c>
      <c r="K461" s="3153" t="e">
        <v>#N/A</v>
      </c>
    </row>
    <row r="462" spans="1:11">
      <c r="A462" s="972">
        <v>2027.09</v>
      </c>
      <c r="B462" s="1550" t="e">
        <v>#N/A</v>
      </c>
      <c r="C462" s="3705" t="e">
        <v>#N/A</v>
      </c>
      <c r="D462" s="1553" t="e">
        <v>#N/A</v>
      </c>
      <c r="E462" s="1551" t="e">
        <v>#N/A</v>
      </c>
      <c r="F462" s="1552" t="e">
        <v>#N/A</v>
      </c>
      <c r="G462" s="1551" t="e">
        <v>#N/A</v>
      </c>
      <c r="H462" s="3706" t="e">
        <v>#N/A</v>
      </c>
      <c r="I462" s="1553" t="e">
        <v>#N/A</v>
      </c>
      <c r="J462" s="1551" t="e">
        <v>#N/A</v>
      </c>
      <c r="K462" s="3153" t="e">
        <v>#N/A</v>
      </c>
    </row>
    <row r="463" spans="1:11">
      <c r="A463" s="972">
        <v>2027.1</v>
      </c>
      <c r="B463" s="1550" t="e">
        <v>#N/A</v>
      </c>
      <c r="C463" s="3705" t="e">
        <v>#N/A</v>
      </c>
      <c r="D463" s="1553" t="e">
        <v>#N/A</v>
      </c>
      <c r="E463" s="1551" t="e">
        <v>#N/A</v>
      </c>
      <c r="F463" s="1552" t="e">
        <v>#N/A</v>
      </c>
      <c r="G463" s="1551" t="e">
        <v>#N/A</v>
      </c>
      <c r="H463" s="3706" t="e">
        <v>#N/A</v>
      </c>
      <c r="I463" s="1553" t="e">
        <v>#N/A</v>
      </c>
      <c r="J463" s="1551" t="e">
        <v>#N/A</v>
      </c>
      <c r="K463" s="3153" t="e">
        <v>#N/A</v>
      </c>
    </row>
    <row r="464" spans="1:11">
      <c r="A464" s="972">
        <v>2027.11</v>
      </c>
      <c r="B464" s="1550" t="e">
        <v>#N/A</v>
      </c>
      <c r="C464" s="3705" t="e">
        <v>#N/A</v>
      </c>
      <c r="D464" s="1553" t="e">
        <v>#N/A</v>
      </c>
      <c r="E464" s="1551" t="e">
        <v>#N/A</v>
      </c>
      <c r="F464" s="1552" t="e">
        <v>#N/A</v>
      </c>
      <c r="G464" s="1551" t="e">
        <v>#N/A</v>
      </c>
      <c r="H464" s="3706" t="e">
        <v>#N/A</v>
      </c>
      <c r="I464" s="1553" t="e">
        <v>#N/A</v>
      </c>
      <c r="J464" s="1551" t="e">
        <v>#N/A</v>
      </c>
      <c r="K464" s="3153" t="e">
        <v>#N/A</v>
      </c>
    </row>
    <row r="465" spans="1:11">
      <c r="A465" s="972">
        <v>2027.12</v>
      </c>
      <c r="B465" s="1550" t="e">
        <v>#N/A</v>
      </c>
      <c r="C465" s="3705" t="e">
        <v>#N/A</v>
      </c>
      <c r="D465" s="1553" t="e">
        <v>#N/A</v>
      </c>
      <c r="E465" s="1551" t="e">
        <v>#N/A</v>
      </c>
      <c r="F465" s="1552" t="e">
        <v>#N/A</v>
      </c>
      <c r="G465" s="1551" t="e">
        <v>#N/A</v>
      </c>
      <c r="H465" s="3706" t="e">
        <v>#N/A</v>
      </c>
      <c r="I465" s="1553" t="e">
        <v>#N/A</v>
      </c>
      <c r="J465" s="1551" t="e">
        <v>#N/A</v>
      </c>
      <c r="K465" s="3153" t="e">
        <v>#N/A</v>
      </c>
    </row>
    <row r="466" spans="1:11">
      <c r="A466" s="972">
        <v>2028.01</v>
      </c>
      <c r="B466" s="1550" t="e">
        <v>#N/A</v>
      </c>
      <c r="C466" s="3705" t="e">
        <v>#N/A</v>
      </c>
      <c r="D466" s="1553" t="e">
        <v>#N/A</v>
      </c>
      <c r="E466" s="1551" t="e">
        <v>#N/A</v>
      </c>
      <c r="F466" s="1552" t="e">
        <v>#N/A</v>
      </c>
      <c r="G466" s="1551" t="e">
        <v>#N/A</v>
      </c>
      <c r="H466" s="3706" t="e">
        <v>#N/A</v>
      </c>
      <c r="I466" s="1553" t="e">
        <v>#N/A</v>
      </c>
      <c r="J466" s="1551" t="e">
        <v>#N/A</v>
      </c>
      <c r="K466" s="3153" t="e">
        <v>#N/A</v>
      </c>
    </row>
    <row r="467" spans="1:11">
      <c r="A467" s="972">
        <v>2028.02</v>
      </c>
      <c r="B467" s="1550" t="e">
        <v>#N/A</v>
      </c>
      <c r="C467" s="3705" t="e">
        <v>#N/A</v>
      </c>
      <c r="D467" s="1553" t="e">
        <v>#N/A</v>
      </c>
      <c r="E467" s="1551" t="e">
        <v>#N/A</v>
      </c>
      <c r="F467" s="1552" t="e">
        <v>#N/A</v>
      </c>
      <c r="G467" s="1551" t="e">
        <v>#N/A</v>
      </c>
      <c r="H467" s="3706" t="e">
        <v>#N/A</v>
      </c>
      <c r="I467" s="1553" t="e">
        <v>#N/A</v>
      </c>
      <c r="J467" s="1551" t="e">
        <v>#N/A</v>
      </c>
      <c r="K467" s="3153" t="e">
        <v>#N/A</v>
      </c>
    </row>
    <row r="468" spans="1:11">
      <c r="A468" s="972">
        <v>2028.03</v>
      </c>
      <c r="B468" s="1550" t="e">
        <v>#N/A</v>
      </c>
      <c r="C468" s="3705" t="e">
        <v>#N/A</v>
      </c>
      <c r="D468" s="1553" t="e">
        <v>#N/A</v>
      </c>
      <c r="E468" s="1551" t="e">
        <v>#N/A</v>
      </c>
      <c r="F468" s="1552" t="e">
        <v>#N/A</v>
      </c>
      <c r="G468" s="1551" t="e">
        <v>#N/A</v>
      </c>
      <c r="H468" s="3706" t="e">
        <v>#N/A</v>
      </c>
      <c r="I468" s="1553" t="e">
        <v>#N/A</v>
      </c>
      <c r="J468" s="1551" t="e">
        <v>#N/A</v>
      </c>
      <c r="K468" s="3153" t="e">
        <v>#N/A</v>
      </c>
    </row>
    <row r="469" spans="1:11">
      <c r="A469" s="972">
        <v>2028.04</v>
      </c>
      <c r="B469" s="1550" t="e">
        <v>#N/A</v>
      </c>
      <c r="C469" s="3705" t="e">
        <v>#N/A</v>
      </c>
      <c r="D469" s="1553" t="e">
        <v>#N/A</v>
      </c>
      <c r="E469" s="1551" t="e">
        <v>#N/A</v>
      </c>
      <c r="F469" s="1552" t="e">
        <v>#N/A</v>
      </c>
      <c r="G469" s="1551" t="e">
        <v>#N/A</v>
      </c>
      <c r="H469" s="3706" t="e">
        <v>#N/A</v>
      </c>
      <c r="I469" s="1553" t="e">
        <v>#N/A</v>
      </c>
      <c r="J469" s="1551" t="e">
        <v>#N/A</v>
      </c>
      <c r="K469" s="3153" t="e">
        <v>#N/A</v>
      </c>
    </row>
    <row r="470" spans="1:11">
      <c r="A470" s="972">
        <v>2028.05</v>
      </c>
      <c r="B470" s="1550" t="e">
        <v>#N/A</v>
      </c>
      <c r="C470" s="3705" t="e">
        <v>#N/A</v>
      </c>
      <c r="D470" s="1553" t="e">
        <v>#N/A</v>
      </c>
      <c r="E470" s="1551" t="e">
        <v>#N/A</v>
      </c>
      <c r="F470" s="1552" t="e">
        <v>#N/A</v>
      </c>
      <c r="G470" s="1551" t="e">
        <v>#N/A</v>
      </c>
      <c r="H470" s="3706" t="e">
        <v>#N/A</v>
      </c>
      <c r="I470" s="1553" t="e">
        <v>#N/A</v>
      </c>
      <c r="J470" s="1551" t="e">
        <v>#N/A</v>
      </c>
      <c r="K470" s="3153" t="e">
        <v>#N/A</v>
      </c>
    </row>
    <row r="471" spans="1:11">
      <c r="A471" s="972">
        <v>2028.06</v>
      </c>
      <c r="B471" s="1550" t="e">
        <v>#N/A</v>
      </c>
      <c r="C471" s="3705" t="e">
        <v>#N/A</v>
      </c>
      <c r="D471" s="1553" t="e">
        <v>#N/A</v>
      </c>
      <c r="E471" s="1551" t="e">
        <v>#N/A</v>
      </c>
      <c r="F471" s="1552" t="e">
        <v>#N/A</v>
      </c>
      <c r="G471" s="1551" t="e">
        <v>#N/A</v>
      </c>
      <c r="H471" s="3706" t="e">
        <v>#N/A</v>
      </c>
      <c r="I471" s="1553" t="e">
        <v>#N/A</v>
      </c>
      <c r="J471" s="1551" t="e">
        <v>#N/A</v>
      </c>
      <c r="K471" s="3153" t="e">
        <v>#N/A</v>
      </c>
    </row>
    <row r="472" spans="1:11">
      <c r="A472" s="972">
        <v>2028.07</v>
      </c>
      <c r="B472" s="1550" t="e">
        <v>#N/A</v>
      </c>
      <c r="C472" s="3705" t="e">
        <v>#N/A</v>
      </c>
      <c r="D472" s="1553" t="e">
        <v>#N/A</v>
      </c>
      <c r="E472" s="1551" t="e">
        <v>#N/A</v>
      </c>
      <c r="F472" s="1552" t="e">
        <v>#N/A</v>
      </c>
      <c r="G472" s="1551" t="e">
        <v>#N/A</v>
      </c>
      <c r="H472" s="3706" t="e">
        <v>#N/A</v>
      </c>
      <c r="I472" s="1553" t="e">
        <v>#N/A</v>
      </c>
      <c r="J472" s="1551" t="e">
        <v>#N/A</v>
      </c>
      <c r="K472" s="3153" t="e">
        <v>#N/A</v>
      </c>
    </row>
    <row r="473" spans="1:11">
      <c r="A473" s="972">
        <v>2028.08</v>
      </c>
      <c r="B473" s="1550" t="e">
        <v>#N/A</v>
      </c>
      <c r="C473" s="3705" t="e">
        <v>#N/A</v>
      </c>
      <c r="D473" s="1553" t="e">
        <v>#N/A</v>
      </c>
      <c r="E473" s="1551" t="e">
        <v>#N/A</v>
      </c>
      <c r="F473" s="1552" t="e">
        <v>#N/A</v>
      </c>
      <c r="G473" s="1551" t="e">
        <v>#N/A</v>
      </c>
      <c r="H473" s="3706" t="e">
        <v>#N/A</v>
      </c>
      <c r="I473" s="1553" t="e">
        <v>#N/A</v>
      </c>
      <c r="J473" s="1551" t="e">
        <v>#N/A</v>
      </c>
      <c r="K473" s="3153" t="e">
        <v>#N/A</v>
      </c>
    </row>
    <row r="474" spans="1:11">
      <c r="A474" s="972">
        <v>2028.09</v>
      </c>
      <c r="B474" s="1550" t="e">
        <v>#N/A</v>
      </c>
      <c r="C474" s="3705" t="e">
        <v>#N/A</v>
      </c>
      <c r="D474" s="1553" t="e">
        <v>#N/A</v>
      </c>
      <c r="E474" s="1551" t="e">
        <v>#N/A</v>
      </c>
      <c r="F474" s="1552" t="e">
        <v>#N/A</v>
      </c>
      <c r="G474" s="1551" t="e">
        <v>#N/A</v>
      </c>
      <c r="H474" s="3706" t="e">
        <v>#N/A</v>
      </c>
      <c r="I474" s="1553" t="e">
        <v>#N/A</v>
      </c>
      <c r="J474" s="1551" t="e">
        <v>#N/A</v>
      </c>
      <c r="K474" s="3153" t="e">
        <v>#N/A</v>
      </c>
    </row>
    <row r="475" spans="1:11">
      <c r="A475" s="972">
        <v>2028.1</v>
      </c>
      <c r="B475" s="1550" t="e">
        <v>#N/A</v>
      </c>
      <c r="C475" s="3705" t="e">
        <v>#N/A</v>
      </c>
      <c r="D475" s="1553" t="e">
        <v>#N/A</v>
      </c>
      <c r="E475" s="1551" t="e">
        <v>#N/A</v>
      </c>
      <c r="F475" s="1552" t="e">
        <v>#N/A</v>
      </c>
      <c r="G475" s="1551" t="e">
        <v>#N/A</v>
      </c>
      <c r="H475" s="3706" t="e">
        <v>#N/A</v>
      </c>
      <c r="I475" s="1553" t="e">
        <v>#N/A</v>
      </c>
      <c r="J475" s="1551" t="e">
        <v>#N/A</v>
      </c>
      <c r="K475" s="3153" t="e">
        <v>#N/A</v>
      </c>
    </row>
    <row r="476" spans="1:11">
      <c r="A476" s="972">
        <v>2028.11</v>
      </c>
      <c r="B476" s="1550" t="e">
        <v>#N/A</v>
      </c>
      <c r="C476" s="3705" t="e">
        <v>#N/A</v>
      </c>
      <c r="D476" s="1553" t="e">
        <v>#N/A</v>
      </c>
      <c r="E476" s="1551" t="e">
        <v>#N/A</v>
      </c>
      <c r="F476" s="1552" t="e">
        <v>#N/A</v>
      </c>
      <c r="G476" s="1551" t="e">
        <v>#N/A</v>
      </c>
      <c r="H476" s="3706" t="e">
        <v>#N/A</v>
      </c>
      <c r="I476" s="1553" t="e">
        <v>#N/A</v>
      </c>
      <c r="J476" s="1551" t="e">
        <v>#N/A</v>
      </c>
      <c r="K476" s="3153" t="e">
        <v>#N/A</v>
      </c>
    </row>
    <row r="477" spans="1:11">
      <c r="A477" s="972">
        <v>2028.12</v>
      </c>
      <c r="B477" s="1550" t="e">
        <v>#N/A</v>
      </c>
      <c r="C477" s="3705" t="e">
        <v>#N/A</v>
      </c>
      <c r="D477" s="1553" t="e">
        <v>#N/A</v>
      </c>
      <c r="E477" s="1551" t="e">
        <v>#N/A</v>
      </c>
      <c r="F477" s="1552" t="e">
        <v>#N/A</v>
      </c>
      <c r="G477" s="1551" t="e">
        <v>#N/A</v>
      </c>
      <c r="H477" s="3706" t="e">
        <v>#N/A</v>
      </c>
      <c r="I477" s="1553" t="e">
        <v>#N/A</v>
      </c>
      <c r="J477" s="1551" t="e">
        <v>#N/A</v>
      </c>
      <c r="K477" s="3153" t="e">
        <v>#N/A</v>
      </c>
    </row>
    <row r="478" spans="1:11">
      <c r="A478" s="972">
        <v>2029.01</v>
      </c>
      <c r="B478" s="1550" t="e">
        <v>#N/A</v>
      </c>
      <c r="C478" s="3705" t="e">
        <v>#N/A</v>
      </c>
      <c r="D478" s="1553" t="e">
        <v>#N/A</v>
      </c>
      <c r="E478" s="1551" t="e">
        <v>#N/A</v>
      </c>
      <c r="F478" s="1552" t="e">
        <v>#N/A</v>
      </c>
      <c r="G478" s="1551" t="e">
        <v>#N/A</v>
      </c>
      <c r="H478" s="3706" t="e">
        <v>#N/A</v>
      </c>
      <c r="I478" s="1553" t="e">
        <v>#N/A</v>
      </c>
      <c r="J478" s="1551" t="e">
        <v>#N/A</v>
      </c>
      <c r="K478" s="3153" t="e">
        <v>#N/A</v>
      </c>
    </row>
    <row r="479" spans="1:11">
      <c r="A479" s="972">
        <v>2029.02</v>
      </c>
      <c r="B479" s="1550" t="e">
        <v>#N/A</v>
      </c>
      <c r="C479" s="3705" t="e">
        <v>#N/A</v>
      </c>
      <c r="D479" s="1553" t="e">
        <v>#N/A</v>
      </c>
      <c r="E479" s="1551" t="e">
        <v>#N/A</v>
      </c>
      <c r="F479" s="1552" t="e">
        <v>#N/A</v>
      </c>
      <c r="G479" s="1551" t="e">
        <v>#N/A</v>
      </c>
      <c r="H479" s="3706" t="e">
        <v>#N/A</v>
      </c>
      <c r="I479" s="1553" t="e">
        <v>#N/A</v>
      </c>
      <c r="J479" s="1551" t="e">
        <v>#N/A</v>
      </c>
      <c r="K479" s="3153" t="e">
        <v>#N/A</v>
      </c>
    </row>
    <row r="480" spans="1:11">
      <c r="A480" s="972">
        <v>2029.03</v>
      </c>
      <c r="B480" s="1550" t="e">
        <v>#N/A</v>
      </c>
      <c r="C480" s="3705" t="e">
        <v>#N/A</v>
      </c>
      <c r="D480" s="1553" t="e">
        <v>#N/A</v>
      </c>
      <c r="E480" s="1551" t="e">
        <v>#N/A</v>
      </c>
      <c r="F480" s="1552" t="e">
        <v>#N/A</v>
      </c>
      <c r="G480" s="1551" t="e">
        <v>#N/A</v>
      </c>
      <c r="H480" s="3706" t="e">
        <v>#N/A</v>
      </c>
      <c r="I480" s="1553" t="e">
        <v>#N/A</v>
      </c>
      <c r="J480" s="1551" t="e">
        <v>#N/A</v>
      </c>
      <c r="K480" s="3153" t="e">
        <v>#N/A</v>
      </c>
    </row>
    <row r="481" spans="1:11">
      <c r="A481" s="972">
        <v>2029.04</v>
      </c>
      <c r="B481" s="1550" t="e">
        <v>#N/A</v>
      </c>
      <c r="C481" s="3705" t="e">
        <v>#N/A</v>
      </c>
      <c r="D481" s="1553" t="e">
        <v>#N/A</v>
      </c>
      <c r="E481" s="1551" t="e">
        <v>#N/A</v>
      </c>
      <c r="F481" s="1552" t="e">
        <v>#N/A</v>
      </c>
      <c r="G481" s="1551" t="e">
        <v>#N/A</v>
      </c>
      <c r="H481" s="3706" t="e">
        <v>#N/A</v>
      </c>
      <c r="I481" s="1553" t="e">
        <v>#N/A</v>
      </c>
      <c r="J481" s="1551" t="e">
        <v>#N/A</v>
      </c>
      <c r="K481" s="3153" t="e">
        <v>#N/A</v>
      </c>
    </row>
    <row r="482" spans="1:11">
      <c r="A482" s="972">
        <v>2029.05</v>
      </c>
      <c r="B482" s="1550" t="e">
        <v>#N/A</v>
      </c>
      <c r="C482" s="3705" t="e">
        <v>#N/A</v>
      </c>
      <c r="D482" s="1553" t="e">
        <v>#N/A</v>
      </c>
      <c r="E482" s="1551" t="e">
        <v>#N/A</v>
      </c>
      <c r="F482" s="1552" t="e">
        <v>#N/A</v>
      </c>
      <c r="G482" s="1551" t="e">
        <v>#N/A</v>
      </c>
      <c r="H482" s="3706" t="e">
        <v>#N/A</v>
      </c>
      <c r="I482" s="1553" t="e">
        <v>#N/A</v>
      </c>
      <c r="J482" s="1551" t="e">
        <v>#N/A</v>
      </c>
      <c r="K482" s="3153" t="e">
        <v>#N/A</v>
      </c>
    </row>
    <row r="483" spans="1:11">
      <c r="A483" s="972">
        <v>2029.06</v>
      </c>
      <c r="B483" s="1550" t="e">
        <v>#N/A</v>
      </c>
      <c r="C483" s="3705" t="e">
        <v>#N/A</v>
      </c>
      <c r="D483" s="1553" t="e">
        <v>#N/A</v>
      </c>
      <c r="E483" s="1551" t="e">
        <v>#N/A</v>
      </c>
      <c r="F483" s="1552" t="e">
        <v>#N/A</v>
      </c>
      <c r="G483" s="1551" t="e">
        <v>#N/A</v>
      </c>
      <c r="H483" s="3706" t="e">
        <v>#N/A</v>
      </c>
      <c r="I483" s="1553" t="e">
        <v>#N/A</v>
      </c>
      <c r="J483" s="1551" t="e">
        <v>#N/A</v>
      </c>
      <c r="K483" s="3153" t="e">
        <v>#N/A</v>
      </c>
    </row>
    <row r="484" spans="1:11">
      <c r="A484" s="972">
        <v>2029.07</v>
      </c>
      <c r="B484" s="1550" t="e">
        <v>#N/A</v>
      </c>
      <c r="C484" s="3705" t="e">
        <v>#N/A</v>
      </c>
      <c r="D484" s="1553" t="e">
        <v>#N/A</v>
      </c>
      <c r="E484" s="1551" t="e">
        <v>#N/A</v>
      </c>
      <c r="F484" s="1552" t="e">
        <v>#N/A</v>
      </c>
      <c r="G484" s="1551" t="e">
        <v>#N/A</v>
      </c>
      <c r="H484" s="3706" t="e">
        <v>#N/A</v>
      </c>
      <c r="I484" s="1553" t="e">
        <v>#N/A</v>
      </c>
      <c r="J484" s="1551" t="e">
        <v>#N/A</v>
      </c>
      <c r="K484" s="3153" t="e">
        <v>#N/A</v>
      </c>
    </row>
    <row r="485" spans="1:11">
      <c r="A485" s="972">
        <v>2029.08</v>
      </c>
      <c r="B485" s="1550" t="e">
        <v>#N/A</v>
      </c>
      <c r="C485" s="3705" t="e">
        <v>#N/A</v>
      </c>
      <c r="D485" s="1553" t="e">
        <v>#N/A</v>
      </c>
      <c r="E485" s="1551" t="e">
        <v>#N/A</v>
      </c>
      <c r="F485" s="1552" t="e">
        <v>#N/A</v>
      </c>
      <c r="G485" s="1551" t="e">
        <v>#N/A</v>
      </c>
      <c r="H485" s="3706" t="e">
        <v>#N/A</v>
      </c>
      <c r="I485" s="1553" t="e">
        <v>#N/A</v>
      </c>
      <c r="J485" s="1551" t="e">
        <v>#N/A</v>
      </c>
      <c r="K485" s="3153" t="e">
        <v>#N/A</v>
      </c>
    </row>
    <row r="486" spans="1:11">
      <c r="A486" s="972">
        <v>2029.09</v>
      </c>
      <c r="B486" s="1550" t="e">
        <v>#N/A</v>
      </c>
      <c r="C486" s="3705" t="e">
        <v>#N/A</v>
      </c>
      <c r="D486" s="1553" t="e">
        <v>#N/A</v>
      </c>
      <c r="E486" s="1551" t="e">
        <v>#N/A</v>
      </c>
      <c r="F486" s="1552" t="e">
        <v>#N/A</v>
      </c>
      <c r="G486" s="1551" t="e">
        <v>#N/A</v>
      </c>
      <c r="H486" s="3706" t="e">
        <v>#N/A</v>
      </c>
      <c r="I486" s="1553" t="e">
        <v>#N/A</v>
      </c>
      <c r="J486" s="1551" t="e">
        <v>#N/A</v>
      </c>
      <c r="K486" s="3153" t="e">
        <v>#N/A</v>
      </c>
    </row>
    <row r="487" spans="1:11">
      <c r="A487" s="972">
        <v>2029.1</v>
      </c>
      <c r="B487" s="1550" t="e">
        <v>#N/A</v>
      </c>
      <c r="C487" s="3705" t="e">
        <v>#N/A</v>
      </c>
      <c r="D487" s="1553" t="e">
        <v>#N/A</v>
      </c>
      <c r="E487" s="1551" t="e">
        <v>#N/A</v>
      </c>
      <c r="F487" s="1552" t="e">
        <v>#N/A</v>
      </c>
      <c r="G487" s="1551" t="e">
        <v>#N/A</v>
      </c>
      <c r="H487" s="3706" t="e">
        <v>#N/A</v>
      </c>
      <c r="I487" s="1553" t="e">
        <v>#N/A</v>
      </c>
      <c r="J487" s="1551" t="e">
        <v>#N/A</v>
      </c>
      <c r="K487" s="3153" t="e">
        <v>#N/A</v>
      </c>
    </row>
    <row r="488" spans="1:11">
      <c r="A488" s="972">
        <v>2029.11</v>
      </c>
      <c r="B488" s="1550" t="e">
        <v>#N/A</v>
      </c>
      <c r="C488" s="3705" t="e">
        <v>#N/A</v>
      </c>
      <c r="D488" s="1553" t="e">
        <v>#N/A</v>
      </c>
      <c r="E488" s="1551" t="e">
        <v>#N/A</v>
      </c>
      <c r="F488" s="1552" t="e">
        <v>#N/A</v>
      </c>
      <c r="G488" s="1551" t="e">
        <v>#N/A</v>
      </c>
      <c r="H488" s="3706" t="e">
        <v>#N/A</v>
      </c>
      <c r="I488" s="1553" t="e">
        <v>#N/A</v>
      </c>
      <c r="J488" s="1551" t="e">
        <v>#N/A</v>
      </c>
      <c r="K488" s="3153" t="e">
        <v>#N/A</v>
      </c>
    </row>
    <row r="489" spans="1:11">
      <c r="A489" s="972">
        <v>2029.12</v>
      </c>
      <c r="B489" s="1550" t="e">
        <v>#N/A</v>
      </c>
      <c r="C489" s="3705" t="e">
        <v>#N/A</v>
      </c>
      <c r="D489" s="1553" t="e">
        <v>#N/A</v>
      </c>
      <c r="E489" s="1551" t="e">
        <v>#N/A</v>
      </c>
      <c r="F489" s="1552" t="e">
        <v>#N/A</v>
      </c>
      <c r="G489" s="1551" t="e">
        <v>#N/A</v>
      </c>
      <c r="H489" s="3706" t="e">
        <v>#N/A</v>
      </c>
      <c r="I489" s="1553" t="e">
        <v>#N/A</v>
      </c>
      <c r="J489" s="1551" t="e">
        <v>#N/A</v>
      </c>
      <c r="K489" s="3153" t="e">
        <v>#N/A</v>
      </c>
    </row>
    <row r="490" spans="1:11">
      <c r="A490" s="972">
        <v>2030.01</v>
      </c>
      <c r="B490" s="1550" t="e">
        <v>#N/A</v>
      </c>
      <c r="C490" s="3705" t="e">
        <v>#N/A</v>
      </c>
      <c r="D490" s="1553" t="e">
        <v>#N/A</v>
      </c>
      <c r="E490" s="1551" t="e">
        <v>#N/A</v>
      </c>
      <c r="F490" s="1552" t="e">
        <v>#N/A</v>
      </c>
      <c r="G490" s="1551" t="e">
        <v>#N/A</v>
      </c>
      <c r="H490" s="3706" t="e">
        <v>#N/A</v>
      </c>
      <c r="I490" s="1553" t="e">
        <v>#N/A</v>
      </c>
      <c r="J490" s="1551" t="e">
        <v>#N/A</v>
      </c>
      <c r="K490" s="3153" t="e">
        <v>#N/A</v>
      </c>
    </row>
    <row r="491" spans="1:11">
      <c r="A491" s="972">
        <v>2030.02</v>
      </c>
      <c r="B491" s="1550" t="e">
        <v>#N/A</v>
      </c>
      <c r="C491" s="3705" t="e">
        <v>#N/A</v>
      </c>
      <c r="D491" s="1553" t="e">
        <v>#N/A</v>
      </c>
      <c r="E491" s="1551" t="e">
        <v>#N/A</v>
      </c>
      <c r="F491" s="1552" t="e">
        <v>#N/A</v>
      </c>
      <c r="G491" s="1551" t="e">
        <v>#N/A</v>
      </c>
      <c r="H491" s="3706" t="e">
        <v>#N/A</v>
      </c>
      <c r="I491" s="1553" t="e">
        <v>#N/A</v>
      </c>
      <c r="J491" s="1551" t="e">
        <v>#N/A</v>
      </c>
      <c r="K491" s="3153" t="e">
        <v>#N/A</v>
      </c>
    </row>
    <row r="492" spans="1:11">
      <c r="A492" s="972">
        <v>2030.03</v>
      </c>
      <c r="B492" s="1550" t="e">
        <v>#N/A</v>
      </c>
      <c r="C492" s="3705" t="e">
        <v>#N/A</v>
      </c>
      <c r="D492" s="1553" t="e">
        <v>#N/A</v>
      </c>
      <c r="E492" s="1551" t="e">
        <v>#N/A</v>
      </c>
      <c r="F492" s="1552" t="e">
        <v>#N/A</v>
      </c>
      <c r="G492" s="1551" t="e">
        <v>#N/A</v>
      </c>
      <c r="H492" s="3706" t="e">
        <v>#N/A</v>
      </c>
      <c r="I492" s="1553" t="e">
        <v>#N/A</v>
      </c>
      <c r="J492" s="1551" t="e">
        <v>#N/A</v>
      </c>
      <c r="K492" s="3153" t="e">
        <v>#N/A</v>
      </c>
    </row>
    <row r="493" spans="1:11">
      <c r="A493" s="972">
        <v>2030.04</v>
      </c>
      <c r="B493" s="1550" t="e">
        <v>#N/A</v>
      </c>
      <c r="C493" s="3705" t="e">
        <v>#N/A</v>
      </c>
      <c r="D493" s="1553" t="e">
        <v>#N/A</v>
      </c>
      <c r="E493" s="1551" t="e">
        <v>#N/A</v>
      </c>
      <c r="F493" s="1552" t="e">
        <v>#N/A</v>
      </c>
      <c r="G493" s="1551" t="e">
        <v>#N/A</v>
      </c>
      <c r="H493" s="3706" t="e">
        <v>#N/A</v>
      </c>
      <c r="I493" s="1553" t="e">
        <v>#N/A</v>
      </c>
      <c r="J493" s="1551" t="e">
        <v>#N/A</v>
      </c>
      <c r="K493" s="3153" t="e">
        <v>#N/A</v>
      </c>
    </row>
    <row r="494" spans="1:11">
      <c r="A494" s="972">
        <v>2030.05</v>
      </c>
      <c r="B494" s="1550" t="e">
        <v>#N/A</v>
      </c>
      <c r="C494" s="3705" t="e">
        <v>#N/A</v>
      </c>
      <c r="D494" s="1553" t="e">
        <v>#N/A</v>
      </c>
      <c r="E494" s="1551" t="e">
        <v>#N/A</v>
      </c>
      <c r="F494" s="1552" t="e">
        <v>#N/A</v>
      </c>
      <c r="G494" s="1551" t="e">
        <v>#N/A</v>
      </c>
      <c r="H494" s="3706" t="e">
        <v>#N/A</v>
      </c>
      <c r="I494" s="1553" t="e">
        <v>#N/A</v>
      </c>
      <c r="J494" s="1551" t="e">
        <v>#N/A</v>
      </c>
      <c r="K494" s="3153" t="e">
        <v>#N/A</v>
      </c>
    </row>
    <row r="495" spans="1:11">
      <c r="A495" s="972">
        <v>2030.06</v>
      </c>
      <c r="B495" s="1550" t="e">
        <v>#N/A</v>
      </c>
      <c r="C495" s="3705" t="e">
        <v>#N/A</v>
      </c>
      <c r="D495" s="1553" t="e">
        <v>#N/A</v>
      </c>
      <c r="E495" s="1551" t="e">
        <v>#N/A</v>
      </c>
      <c r="F495" s="1552" t="e">
        <v>#N/A</v>
      </c>
      <c r="G495" s="1551" t="e">
        <v>#N/A</v>
      </c>
      <c r="H495" s="3706" t="e">
        <v>#N/A</v>
      </c>
      <c r="I495" s="1553" t="e">
        <v>#N/A</v>
      </c>
      <c r="J495" s="1551" t="e">
        <v>#N/A</v>
      </c>
      <c r="K495" s="3153" t="e">
        <v>#N/A</v>
      </c>
    </row>
    <row r="496" spans="1:11">
      <c r="A496" s="972">
        <v>2030.07</v>
      </c>
      <c r="B496" s="1550" t="e">
        <v>#N/A</v>
      </c>
      <c r="C496" s="3705" t="e">
        <v>#N/A</v>
      </c>
      <c r="D496" s="1553" t="e">
        <v>#N/A</v>
      </c>
      <c r="E496" s="1551" t="e">
        <v>#N/A</v>
      </c>
      <c r="F496" s="1552" t="e">
        <v>#N/A</v>
      </c>
      <c r="G496" s="1551" t="e">
        <v>#N/A</v>
      </c>
      <c r="H496" s="3706" t="e">
        <v>#N/A</v>
      </c>
      <c r="I496" s="1553" t="e">
        <v>#N/A</v>
      </c>
      <c r="J496" s="1551" t="e">
        <v>#N/A</v>
      </c>
      <c r="K496" s="3153" t="e">
        <v>#N/A</v>
      </c>
    </row>
    <row r="497" spans="1:11">
      <c r="A497" s="972">
        <v>2030.08</v>
      </c>
      <c r="B497" s="1550" t="e">
        <v>#N/A</v>
      </c>
      <c r="C497" s="3705" t="e">
        <v>#N/A</v>
      </c>
      <c r="D497" s="1553" t="e">
        <v>#N/A</v>
      </c>
      <c r="E497" s="1551" t="e">
        <v>#N/A</v>
      </c>
      <c r="F497" s="1552" t="e">
        <v>#N/A</v>
      </c>
      <c r="G497" s="1551" t="e">
        <v>#N/A</v>
      </c>
      <c r="H497" s="3706" t="e">
        <v>#N/A</v>
      </c>
      <c r="I497" s="1553" t="e">
        <v>#N/A</v>
      </c>
      <c r="J497" s="1551" t="e">
        <v>#N/A</v>
      </c>
      <c r="K497" s="3153" t="e">
        <v>#N/A</v>
      </c>
    </row>
    <row r="498" spans="1:11">
      <c r="A498" s="972">
        <v>2030.09</v>
      </c>
      <c r="B498" s="1550" t="e">
        <v>#N/A</v>
      </c>
      <c r="C498" s="3705" t="e">
        <v>#N/A</v>
      </c>
      <c r="D498" s="1553" t="e">
        <v>#N/A</v>
      </c>
      <c r="E498" s="1551" t="e">
        <v>#N/A</v>
      </c>
      <c r="F498" s="1552" t="e">
        <v>#N/A</v>
      </c>
      <c r="G498" s="1551" t="e">
        <v>#N/A</v>
      </c>
      <c r="H498" s="3706" t="e">
        <v>#N/A</v>
      </c>
      <c r="I498" s="1553" t="e">
        <v>#N/A</v>
      </c>
      <c r="J498" s="1551" t="e">
        <v>#N/A</v>
      </c>
      <c r="K498" s="3153" t="e">
        <v>#N/A</v>
      </c>
    </row>
    <row r="499" spans="1:11">
      <c r="A499" s="972">
        <v>2030.1</v>
      </c>
      <c r="B499" s="1550" t="e">
        <v>#N/A</v>
      </c>
      <c r="C499" s="3705" t="e">
        <v>#N/A</v>
      </c>
      <c r="D499" s="1553" t="e">
        <v>#N/A</v>
      </c>
      <c r="E499" s="1551" t="e">
        <v>#N/A</v>
      </c>
      <c r="F499" s="1552" t="e">
        <v>#N/A</v>
      </c>
      <c r="G499" s="1551" t="e">
        <v>#N/A</v>
      </c>
      <c r="H499" s="3706" t="e">
        <v>#N/A</v>
      </c>
      <c r="I499" s="1553" t="e">
        <v>#N/A</v>
      </c>
      <c r="J499" s="1551" t="e">
        <v>#N/A</v>
      </c>
      <c r="K499" s="3153" t="e">
        <v>#N/A</v>
      </c>
    </row>
    <row r="500" spans="1:11">
      <c r="A500" s="972">
        <v>2030.11</v>
      </c>
      <c r="B500" s="1550" t="e">
        <v>#N/A</v>
      </c>
      <c r="C500" s="3705" t="e">
        <v>#N/A</v>
      </c>
      <c r="D500" s="1553" t="e">
        <v>#N/A</v>
      </c>
      <c r="E500" s="1551" t="e">
        <v>#N/A</v>
      </c>
      <c r="F500" s="1552" t="e">
        <v>#N/A</v>
      </c>
      <c r="G500" s="1551" t="e">
        <v>#N/A</v>
      </c>
      <c r="H500" s="3706" t="e">
        <v>#N/A</v>
      </c>
      <c r="I500" s="1553" t="e">
        <v>#N/A</v>
      </c>
      <c r="J500" s="1551" t="e">
        <v>#N/A</v>
      </c>
      <c r="K500" s="3153" t="e">
        <v>#N/A</v>
      </c>
    </row>
    <row r="501" spans="1:11">
      <c r="A501" s="972">
        <v>2030.12</v>
      </c>
      <c r="B501" s="1550" t="e">
        <v>#N/A</v>
      </c>
      <c r="C501" s="3705" t="e">
        <v>#N/A</v>
      </c>
      <c r="D501" s="1553" t="e">
        <v>#N/A</v>
      </c>
      <c r="E501" s="1551" t="e">
        <v>#N/A</v>
      </c>
      <c r="F501" s="1552" t="e">
        <v>#N/A</v>
      </c>
      <c r="G501" s="1551" t="e">
        <v>#N/A</v>
      </c>
      <c r="H501" s="3706" t="e">
        <v>#N/A</v>
      </c>
      <c r="I501" s="1553" t="e">
        <v>#N/A</v>
      </c>
      <c r="J501" s="1551" t="e">
        <v>#N/A</v>
      </c>
      <c r="K501" s="3153" t="e">
        <v>#N/A</v>
      </c>
    </row>
  </sheetData>
  <phoneticPr fontId="77" type="noConversion"/>
  <hyperlinks>
    <hyperlink ref="A1:A3" location="Indice!A1" display="ÍNDICE" xr:uid="{00000000-0004-0000-3900-000000000000}"/>
    <hyperlink ref="A5" location="INDICE!A13" display="VOLVER AL INDICE" xr:uid="{00000000-0004-0000-3900-000001000000}"/>
  </hyperlinks>
  <printOptions gridLines="1" gridLinesSet="0"/>
  <pageMargins left="0.75" right="0.75" top="0.26" bottom="1" header="0.511811024" footer="0.511811024"/>
  <pageSetup paperSize="256" orientation="landscape" horizontalDpi="180" verticalDpi="180" copies="3" r:id="rId1"/>
  <headerFooter alignWithMargins="0">
    <oddHeader>&amp;A</oddHeader>
    <oddFooter>Página &amp;P</oddFooter>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45"/>
  <dimension ref="A1:X705"/>
  <sheetViews>
    <sheetView zoomScaleNormal="100" workbookViewId="0">
      <pane xSplit="1" ySplit="9" topLeftCell="B429" activePane="bottomRight" state="frozen"/>
      <selection pane="topRight" activeCell="B1" sqref="B1"/>
      <selection pane="bottomLeft" activeCell="A10" sqref="A10"/>
      <selection pane="bottomRight" activeCell="A5" sqref="A5"/>
    </sheetView>
  </sheetViews>
  <sheetFormatPr baseColWidth="10" defaultColWidth="12.5703125" defaultRowHeight="12.75"/>
  <cols>
    <col min="1" max="1" width="11" style="84" customWidth="1"/>
    <col min="2" max="7" width="14.42578125" style="84" customWidth="1"/>
    <col min="8" max="12" width="18.42578125" style="18" customWidth="1"/>
    <col min="13" max="14" width="16.42578125" style="18" customWidth="1"/>
    <col min="15" max="17" width="18.140625" style="269" customWidth="1"/>
    <col min="18" max="18" width="18.140625" style="18" customWidth="1"/>
    <col min="19" max="16384" width="12.5703125" style="18"/>
  </cols>
  <sheetData>
    <row r="1" spans="1:21" s="16" customFormat="1" ht="2.25" customHeight="1">
      <c r="A1" s="2761"/>
      <c r="B1" s="1453"/>
      <c r="C1" s="1545"/>
      <c r="D1" s="1545"/>
      <c r="E1" s="1545"/>
      <c r="F1" s="1545"/>
      <c r="G1" s="1455"/>
      <c r="H1" s="1554"/>
      <c r="I1" s="1554"/>
      <c r="J1" s="289"/>
      <c r="K1" s="294"/>
      <c r="L1" s="440"/>
      <c r="M1" s="294"/>
      <c r="N1" s="294"/>
      <c r="O1" s="3497"/>
      <c r="P1" s="3498"/>
      <c r="Q1" s="3498"/>
      <c r="R1" s="3761"/>
      <c r="S1" s="1458"/>
      <c r="T1" s="1458"/>
      <c r="U1" s="1458"/>
    </row>
    <row r="2" spans="1:21" s="16" customFormat="1">
      <c r="A2" s="2762" t="s">
        <v>99</v>
      </c>
      <c r="B2" s="3089" t="s">
        <v>1930</v>
      </c>
      <c r="C2" s="3091"/>
      <c r="D2" s="3091"/>
      <c r="E2" s="3090"/>
      <c r="F2" s="3091"/>
      <c r="G2" s="3091"/>
      <c r="H2" s="3090" t="s">
        <v>1931</v>
      </c>
      <c r="I2" s="3090" t="s">
        <v>1931</v>
      </c>
      <c r="J2" s="3156" t="s">
        <v>1932</v>
      </c>
      <c r="K2" s="3156" t="s">
        <v>1933</v>
      </c>
      <c r="L2" s="3156" t="s">
        <v>1934</v>
      </c>
      <c r="M2" s="3150" t="s">
        <v>1935</v>
      </c>
      <c r="N2" s="409"/>
      <c r="O2" s="3150" t="s">
        <v>1936</v>
      </c>
      <c r="P2" s="1459"/>
      <c r="Q2" s="3150" t="s">
        <v>98</v>
      </c>
      <c r="R2" s="409"/>
      <c r="S2" s="1458"/>
      <c r="T2" s="1458"/>
      <c r="U2" s="1458"/>
    </row>
    <row r="3" spans="1:21" s="16" customFormat="1" ht="22.5">
      <c r="A3" s="2762" t="s">
        <v>193</v>
      </c>
      <c r="B3" s="189" t="s">
        <v>1937</v>
      </c>
      <c r="C3" s="1459"/>
      <c r="D3" s="1459"/>
      <c r="E3" s="3150"/>
      <c r="F3" s="1459"/>
      <c r="G3" s="1459"/>
      <c r="H3" s="3150" t="s">
        <v>122</v>
      </c>
      <c r="I3" s="3157" t="s">
        <v>1938</v>
      </c>
      <c r="J3" s="3156" t="s">
        <v>1939</v>
      </c>
      <c r="K3" s="3158" t="s">
        <v>1940</v>
      </c>
      <c r="L3" s="3158" t="s">
        <v>1940</v>
      </c>
      <c r="M3" s="3150" t="s">
        <v>114</v>
      </c>
      <c r="N3" s="409"/>
      <c r="O3" s="3150" t="s">
        <v>1941</v>
      </c>
      <c r="P3" s="3507"/>
      <c r="Q3" s="3150"/>
      <c r="R3" s="3762"/>
      <c r="S3" s="1458"/>
      <c r="T3" s="1458"/>
      <c r="U3" s="1458"/>
    </row>
    <row r="4" spans="1:21" s="16" customFormat="1" ht="3" hidden="1" customHeight="1">
      <c r="A4" s="2762"/>
      <c r="B4" s="3159"/>
      <c r="C4" s="125"/>
      <c r="D4" s="124"/>
      <c r="E4" s="3159"/>
      <c r="F4" s="125"/>
      <c r="G4" s="124"/>
      <c r="H4" s="3159"/>
      <c r="I4" s="3160"/>
      <c r="J4" s="3160"/>
      <c r="K4" s="3160"/>
      <c r="L4" s="3160"/>
      <c r="M4" s="3159"/>
      <c r="N4" s="124"/>
      <c r="O4" s="3159"/>
      <c r="P4" s="125"/>
      <c r="Q4" s="3159"/>
      <c r="R4" s="124"/>
      <c r="S4" s="1458"/>
      <c r="T4" s="1458"/>
      <c r="U4" s="1458"/>
    </row>
    <row r="5" spans="1:21" s="16" customFormat="1" ht="32.25" customHeight="1">
      <c r="A5" s="2867" t="s">
        <v>140</v>
      </c>
      <c r="B5" s="1787" t="s">
        <v>1942</v>
      </c>
      <c r="C5" s="1786"/>
      <c r="D5" s="1786"/>
      <c r="E5" s="3161" t="s">
        <v>1943</v>
      </c>
      <c r="F5" s="246"/>
      <c r="G5" s="246"/>
      <c r="H5" s="3151" t="s">
        <v>1944</v>
      </c>
      <c r="I5" s="3151" t="s">
        <v>1944</v>
      </c>
      <c r="J5" s="3162" t="s">
        <v>1944</v>
      </c>
      <c r="K5" s="3163" t="s">
        <v>1944</v>
      </c>
      <c r="L5" s="3163" t="s">
        <v>1944</v>
      </c>
      <c r="M5" s="3792" t="s">
        <v>1944</v>
      </c>
      <c r="N5" s="3793"/>
      <c r="O5" s="3499" t="s">
        <v>1945</v>
      </c>
      <c r="P5" s="3508" t="s">
        <v>1946</v>
      </c>
      <c r="Q5" s="3499" t="s">
        <v>103</v>
      </c>
      <c r="R5" s="3763" t="s">
        <v>2101</v>
      </c>
      <c r="S5" s="1458"/>
      <c r="T5" s="1458"/>
      <c r="U5" s="1458"/>
    </row>
    <row r="6" spans="1:21" s="16" customFormat="1" ht="65.25" customHeight="1">
      <c r="A6" s="2762"/>
      <c r="B6" s="1782" t="s">
        <v>1947</v>
      </c>
      <c r="C6" s="1783" t="s">
        <v>1948</v>
      </c>
      <c r="D6" s="1784" t="s">
        <v>1949</v>
      </c>
      <c r="E6" s="3161" t="s">
        <v>1947</v>
      </c>
      <c r="F6" s="1785" t="s">
        <v>1950</v>
      </c>
      <c r="G6" s="1786" t="s">
        <v>1949</v>
      </c>
      <c r="H6" s="3151" t="s">
        <v>1951</v>
      </c>
      <c r="I6" s="3151" t="s">
        <v>1952</v>
      </c>
      <c r="J6" s="3162" t="s">
        <v>1953</v>
      </c>
      <c r="K6" s="3164" t="s">
        <v>1954</v>
      </c>
      <c r="L6" s="3164" t="s">
        <v>1954</v>
      </c>
      <c r="M6" s="746" t="s">
        <v>1955</v>
      </c>
      <c r="N6" s="2" t="s">
        <v>1956</v>
      </c>
      <c r="O6" s="3499" t="s">
        <v>1957</v>
      </c>
      <c r="P6" s="3508" t="s">
        <v>1957</v>
      </c>
      <c r="Q6" s="3499" t="s">
        <v>1958</v>
      </c>
      <c r="R6" s="3763" t="s">
        <v>2098</v>
      </c>
      <c r="S6" s="1458"/>
      <c r="T6" s="1458"/>
      <c r="U6" s="1458"/>
    </row>
    <row r="7" spans="1:21" s="16" customFormat="1" ht="22.5">
      <c r="A7" s="2762" t="s">
        <v>125</v>
      </c>
      <c r="B7" s="377" t="s">
        <v>1959</v>
      </c>
      <c r="C7" s="673"/>
      <c r="D7" s="246"/>
      <c r="E7" s="3151" t="s">
        <v>1959</v>
      </c>
      <c r="F7" s="673"/>
      <c r="G7" s="745"/>
      <c r="H7" s="1555" t="s">
        <v>594</v>
      </c>
      <c r="I7" s="1555" t="s">
        <v>594</v>
      </c>
      <c r="J7" s="290" t="s">
        <v>594</v>
      </c>
      <c r="K7" s="290" t="s">
        <v>594</v>
      </c>
      <c r="L7" s="290" t="s">
        <v>594</v>
      </c>
      <c r="M7" s="747" t="s">
        <v>594</v>
      </c>
      <c r="N7" s="410" t="s">
        <v>594</v>
      </c>
      <c r="O7" s="3500" t="s">
        <v>1960</v>
      </c>
      <c r="P7" s="3509" t="s">
        <v>1960</v>
      </c>
      <c r="Q7" s="3500" t="s">
        <v>1961</v>
      </c>
      <c r="R7" s="3764" t="s">
        <v>2099</v>
      </c>
      <c r="S7" s="1458"/>
      <c r="T7" s="1458"/>
      <c r="U7" s="1458"/>
    </row>
    <row r="8" spans="1:21" s="16" customFormat="1" ht="13.5" thickBot="1">
      <c r="A8" s="3002" t="s">
        <v>144</v>
      </c>
      <c r="B8" s="1750" t="s">
        <v>1962</v>
      </c>
      <c r="C8" s="2157" t="s">
        <v>1963</v>
      </c>
      <c r="D8" s="1751" t="s">
        <v>1964</v>
      </c>
      <c r="E8" s="2797" t="s">
        <v>1965</v>
      </c>
      <c r="F8" s="2157" t="s">
        <v>1966</v>
      </c>
      <c r="G8" s="1750" t="s">
        <v>1967</v>
      </c>
      <c r="H8" s="2797" t="s">
        <v>1968</v>
      </c>
      <c r="I8" s="2819" t="s">
        <v>1969</v>
      </c>
      <c r="J8" s="2819" t="s">
        <v>1970</v>
      </c>
      <c r="K8" s="2819" t="s">
        <v>1971</v>
      </c>
      <c r="L8" s="2819" t="s">
        <v>1972</v>
      </c>
      <c r="M8" s="2797" t="s">
        <v>1973</v>
      </c>
      <c r="N8" s="2210" t="s">
        <v>1974</v>
      </c>
      <c r="O8" s="2797" t="s">
        <v>1975</v>
      </c>
      <c r="P8" s="3510" t="s">
        <v>1976</v>
      </c>
      <c r="Q8" s="2797" t="s">
        <v>1977</v>
      </c>
      <c r="R8" s="2210" t="s">
        <v>2100</v>
      </c>
      <c r="S8" s="1458"/>
      <c r="T8" s="1458"/>
      <c r="U8" s="1458"/>
    </row>
    <row r="9" spans="1:21" s="17" customFormat="1" ht="2.25" hidden="1" customHeight="1" thickBot="1">
      <c r="A9" s="2140"/>
      <c r="B9" s="1463"/>
      <c r="C9" s="1465"/>
      <c r="D9" s="1115"/>
      <c r="E9" s="1464"/>
      <c r="F9" s="1465"/>
      <c r="G9" s="1115"/>
      <c r="H9" s="1698"/>
      <c r="I9" s="1698"/>
      <c r="J9" s="1699"/>
      <c r="K9" s="1700"/>
      <c r="L9" s="1700"/>
      <c r="M9" s="1701"/>
      <c r="N9" s="1702"/>
      <c r="O9" s="1700"/>
      <c r="P9" s="3511"/>
      <c r="Q9" s="1700"/>
      <c r="R9" s="3765"/>
      <c r="S9" s="1111"/>
      <c r="T9" s="1111"/>
      <c r="U9" s="1111"/>
    </row>
    <row r="10" spans="1:21" s="17" customFormat="1">
      <c r="A10" s="1556">
        <v>1973.01</v>
      </c>
      <c r="B10" s="1703" t="s">
        <v>5</v>
      </c>
      <c r="C10" s="1704"/>
      <c r="D10" s="1705"/>
      <c r="E10" s="1706"/>
      <c r="F10" s="1704"/>
      <c r="G10" s="1705"/>
      <c r="H10" s="1703"/>
      <c r="I10" s="1707"/>
      <c r="J10" s="1708"/>
      <c r="K10" s="1707"/>
      <c r="L10" s="1707"/>
      <c r="M10" s="1709"/>
      <c r="N10" s="1705"/>
      <c r="O10" s="3501">
        <v>42.6</v>
      </c>
      <c r="P10" s="3512">
        <v>42.7</v>
      </c>
      <c r="Q10" s="3501">
        <v>41.6</v>
      </c>
      <c r="R10" s="3769"/>
      <c r="S10" s="1470"/>
      <c r="T10" s="1111"/>
      <c r="U10" s="1111"/>
    </row>
    <row r="11" spans="1:21" s="17" customFormat="1">
      <c r="A11" s="1468">
        <v>1973.02</v>
      </c>
      <c r="B11" s="1557" t="s">
        <v>5</v>
      </c>
      <c r="C11" s="3709"/>
      <c r="D11" s="742"/>
      <c r="E11" s="295"/>
      <c r="F11" s="3709"/>
      <c r="G11" s="742"/>
      <c r="H11" s="1557"/>
      <c r="I11" s="266"/>
      <c r="J11" s="291"/>
      <c r="K11" s="266"/>
      <c r="L11" s="266"/>
      <c r="M11" s="749"/>
      <c r="N11" s="742"/>
      <c r="O11" s="268">
        <v>42.9</v>
      </c>
      <c r="P11" s="3513">
        <v>43</v>
      </c>
      <c r="Q11" s="268">
        <v>42.4</v>
      </c>
      <c r="R11" s="3770"/>
      <c r="S11" s="1470"/>
      <c r="T11" s="1111"/>
      <c r="U11" s="1111"/>
    </row>
    <row r="12" spans="1:21" s="17" customFormat="1">
      <c r="A12" s="1548">
        <v>1973.03</v>
      </c>
      <c r="B12" s="375">
        <v>27.153596470171099</v>
      </c>
      <c r="C12" s="3710">
        <v>114.027883490177</v>
      </c>
      <c r="D12" s="743">
        <v>1.08821409805355</v>
      </c>
      <c r="E12" s="744">
        <v>101.921989141023</v>
      </c>
      <c r="F12" s="3710">
        <v>106.343194240039</v>
      </c>
      <c r="G12" s="376">
        <v>91.163218167306894</v>
      </c>
      <c r="H12" s="1558"/>
      <c r="I12" s="266"/>
      <c r="J12" s="291"/>
      <c r="K12" s="266"/>
      <c r="L12" s="266"/>
      <c r="M12" s="749"/>
      <c r="N12" s="742"/>
      <c r="O12" s="268">
        <v>43.3</v>
      </c>
      <c r="P12" s="3513">
        <v>43.4</v>
      </c>
      <c r="Q12" s="268">
        <v>43.4</v>
      </c>
      <c r="R12" s="3770"/>
      <c r="S12" s="1470"/>
      <c r="T12" s="1111"/>
      <c r="U12" s="1111"/>
    </row>
    <row r="13" spans="1:21" s="17" customFormat="1">
      <c r="A13" s="1548">
        <v>1973.04</v>
      </c>
      <c r="B13" s="1559">
        <v>27.337378990423002</v>
      </c>
      <c r="C13" s="3711">
        <v>114.99012595948901</v>
      </c>
      <c r="D13" s="1560">
        <v>1.08972691138629</v>
      </c>
      <c r="E13" s="1561">
        <v>102.280727742243</v>
      </c>
      <c r="F13" s="3711">
        <v>107.04715774711801</v>
      </c>
      <c r="G13" s="1560">
        <v>90.578309992920595</v>
      </c>
      <c r="H13" s="1557"/>
      <c r="I13" s="266"/>
      <c r="J13" s="291"/>
      <c r="K13" s="266"/>
      <c r="L13" s="266"/>
      <c r="M13" s="749"/>
      <c r="N13" s="742"/>
      <c r="O13" s="268">
        <v>43.6</v>
      </c>
      <c r="P13" s="3513">
        <v>43.7</v>
      </c>
      <c r="Q13" s="268">
        <v>43.6</v>
      </c>
      <c r="R13" s="3770"/>
      <c r="S13" s="1470"/>
      <c r="T13" s="1111"/>
      <c r="U13" s="1111"/>
    </row>
    <row r="14" spans="1:21" s="17" customFormat="1">
      <c r="A14" s="1548">
        <v>1973.05</v>
      </c>
      <c r="B14" s="1559">
        <v>27.187815270361199</v>
      </c>
      <c r="C14" s="3711">
        <v>114.149033526922</v>
      </c>
      <c r="D14" s="1560">
        <v>1.09028879529828</v>
      </c>
      <c r="E14" s="1561">
        <v>100.934686432373</v>
      </c>
      <c r="F14" s="3711">
        <v>105.706513385357</v>
      </c>
      <c r="G14" s="1560">
        <v>89.200567590234002</v>
      </c>
      <c r="H14" s="1557"/>
      <c r="I14" s="266"/>
      <c r="J14" s="291"/>
      <c r="K14" s="266"/>
      <c r="L14" s="266"/>
      <c r="M14" s="749"/>
      <c r="N14" s="742"/>
      <c r="O14" s="268">
        <v>43.9</v>
      </c>
      <c r="P14" s="3513">
        <v>43.9</v>
      </c>
      <c r="Q14" s="268">
        <v>44.5</v>
      </c>
      <c r="R14" s="3770"/>
      <c r="S14" s="1470"/>
      <c r="T14" s="1111"/>
      <c r="U14" s="1111"/>
    </row>
    <row r="15" spans="1:21" s="17" customFormat="1">
      <c r="A15" s="1548">
        <v>1973.06</v>
      </c>
      <c r="B15" s="1559">
        <v>26.7724572986141</v>
      </c>
      <c r="C15" s="3711">
        <v>112.02936449325399</v>
      </c>
      <c r="D15" s="1560">
        <v>1.08528445301406</v>
      </c>
      <c r="E15" s="1561">
        <v>99.162997593790607</v>
      </c>
      <c r="F15" s="3711">
        <v>103.72052457400601</v>
      </c>
      <c r="G15" s="1560">
        <v>87.991163309953393</v>
      </c>
      <c r="H15" s="1557"/>
      <c r="I15" s="266"/>
      <c r="J15" s="291"/>
      <c r="K15" s="266"/>
      <c r="L15" s="266"/>
      <c r="M15" s="749"/>
      <c r="N15" s="742"/>
      <c r="O15" s="268">
        <v>44.2</v>
      </c>
      <c r="P15" s="3513">
        <v>44.2</v>
      </c>
      <c r="Q15" s="268">
        <v>45.5</v>
      </c>
      <c r="R15" s="3770"/>
      <c r="S15" s="1470"/>
      <c r="T15" s="1111"/>
      <c r="U15" s="1111"/>
    </row>
    <row r="16" spans="1:21" s="17" customFormat="1">
      <c r="A16" s="1548">
        <v>1973.07</v>
      </c>
      <c r="B16" s="1559">
        <v>26.386883363517899</v>
      </c>
      <c r="C16" s="3711">
        <v>109.931160776703</v>
      </c>
      <c r="D16" s="1560">
        <v>1.08494479420127</v>
      </c>
      <c r="E16" s="1561">
        <v>96.5490774315914</v>
      </c>
      <c r="F16" s="3711">
        <v>100.90309234847599</v>
      </c>
      <c r="G16" s="1560">
        <v>85.900314850510298</v>
      </c>
      <c r="H16" s="1557"/>
      <c r="I16" s="266"/>
      <c r="J16" s="291"/>
      <c r="K16" s="266"/>
      <c r="L16" s="266"/>
      <c r="M16" s="749"/>
      <c r="N16" s="742"/>
      <c r="O16" s="268">
        <v>44.3</v>
      </c>
      <c r="P16" s="3513">
        <v>44.2</v>
      </c>
      <c r="Q16" s="268">
        <v>44.9</v>
      </c>
      <c r="R16" s="3770"/>
      <c r="S16" s="1470"/>
      <c r="T16" s="1111"/>
      <c r="U16" s="1111"/>
    </row>
    <row r="17" spans="1:19" s="17" customFormat="1">
      <c r="A17" s="1548">
        <v>1973.08</v>
      </c>
      <c r="B17" s="1559">
        <v>26.678088453348899</v>
      </c>
      <c r="C17" s="3711">
        <v>111.483471954276</v>
      </c>
      <c r="D17" s="1560">
        <v>1.08619838631111</v>
      </c>
      <c r="E17" s="1561">
        <v>98.277198334364599</v>
      </c>
      <c r="F17" s="3711">
        <v>103.19225584047101</v>
      </c>
      <c r="G17" s="1560">
        <v>86.124109746299297</v>
      </c>
      <c r="H17" s="1557"/>
      <c r="I17" s="266"/>
      <c r="J17" s="291"/>
      <c r="K17" s="266"/>
      <c r="L17" s="266"/>
      <c r="M17" s="749"/>
      <c r="N17" s="742"/>
      <c r="O17" s="268">
        <v>45.1</v>
      </c>
      <c r="P17" s="3513">
        <v>45</v>
      </c>
      <c r="Q17" s="268">
        <v>47.5</v>
      </c>
      <c r="R17" s="3770"/>
      <c r="S17" s="1470"/>
    </row>
    <row r="18" spans="1:19" s="17" customFormat="1">
      <c r="A18" s="1548">
        <v>1973.09</v>
      </c>
      <c r="B18" s="1559">
        <v>26.741461297623001</v>
      </c>
      <c r="C18" s="3711">
        <v>111.691444395459</v>
      </c>
      <c r="D18" s="1560">
        <v>1.09055534079441</v>
      </c>
      <c r="E18" s="1561">
        <v>97.787680179782001</v>
      </c>
      <c r="F18" s="3711">
        <v>102.87973316714</v>
      </c>
      <c r="G18" s="1560">
        <v>85.154899610444602</v>
      </c>
      <c r="H18" s="1557"/>
      <c r="I18" s="266"/>
      <c r="J18" s="291"/>
      <c r="K18" s="266"/>
      <c r="L18" s="266"/>
      <c r="M18" s="749"/>
      <c r="N18" s="742"/>
      <c r="O18" s="268">
        <v>45.2</v>
      </c>
      <c r="P18" s="3513">
        <v>45.2</v>
      </c>
      <c r="Q18" s="268">
        <v>46.7</v>
      </c>
      <c r="R18" s="3770"/>
      <c r="S18" s="1470"/>
    </row>
    <row r="19" spans="1:19" s="17" customFormat="1">
      <c r="A19" s="1548">
        <v>1973.1</v>
      </c>
      <c r="B19" s="1559">
        <v>26.637921154124601</v>
      </c>
      <c r="C19" s="3711">
        <v>111.120251463755</v>
      </c>
      <c r="D19" s="1560">
        <v>1.0907135381561399</v>
      </c>
      <c r="E19" s="1561">
        <v>97.716977413611403</v>
      </c>
      <c r="F19" s="3711">
        <v>102.514149971234</v>
      </c>
      <c r="G19" s="1560">
        <v>85.875577702685604</v>
      </c>
      <c r="H19" s="1557"/>
      <c r="I19" s="266"/>
      <c r="J19" s="291"/>
      <c r="K19" s="266"/>
      <c r="L19" s="266"/>
      <c r="M19" s="749"/>
      <c r="N19" s="742"/>
      <c r="O19" s="268">
        <v>45.6</v>
      </c>
      <c r="P19" s="3513">
        <v>45.6</v>
      </c>
      <c r="Q19" s="268">
        <v>46.3</v>
      </c>
      <c r="R19" s="3770"/>
      <c r="S19" s="1470"/>
    </row>
    <row r="20" spans="1:19" s="17" customFormat="1">
      <c r="A20" s="1548">
        <v>1973.11</v>
      </c>
      <c r="B20" s="1559">
        <v>27.377257925415801</v>
      </c>
      <c r="C20" s="3711">
        <v>114.19921101215699</v>
      </c>
      <c r="D20" s="1560">
        <v>1.12118479397991</v>
      </c>
      <c r="E20" s="1561">
        <v>99.444682533610205</v>
      </c>
      <c r="F20" s="3711">
        <v>104.952846517227</v>
      </c>
      <c r="G20" s="1560">
        <v>85.722959632969605</v>
      </c>
      <c r="H20" s="1557"/>
      <c r="I20" s="266"/>
      <c r="J20" s="291"/>
      <c r="K20" s="266"/>
      <c r="L20" s="266"/>
      <c r="M20" s="749"/>
      <c r="N20" s="742"/>
      <c r="O20" s="268">
        <v>45.9</v>
      </c>
      <c r="P20" s="3513">
        <v>45.9</v>
      </c>
      <c r="Q20" s="268">
        <v>46.5</v>
      </c>
      <c r="R20" s="3770"/>
      <c r="S20" s="1470"/>
    </row>
    <row r="21" spans="1:19" s="17" customFormat="1">
      <c r="A21" s="1548">
        <v>1973.12</v>
      </c>
      <c r="B21" s="1559">
        <v>27.720529660422201</v>
      </c>
      <c r="C21" s="3711">
        <v>116.029349970106</v>
      </c>
      <c r="D21" s="1560">
        <v>1.12268503290993</v>
      </c>
      <c r="E21" s="1561">
        <v>99.984594970528093</v>
      </c>
      <c r="F21" s="3711">
        <v>105.975039875946</v>
      </c>
      <c r="G21" s="1560">
        <v>85.0071014403551</v>
      </c>
      <c r="H21" s="1557"/>
      <c r="I21" s="266"/>
      <c r="J21" s="291"/>
      <c r="K21" s="266"/>
      <c r="L21" s="266"/>
      <c r="M21" s="749"/>
      <c r="N21" s="742"/>
      <c r="O21" s="268">
        <v>46.2</v>
      </c>
      <c r="P21" s="3513">
        <v>46.3</v>
      </c>
      <c r="Q21" s="268">
        <v>47.4</v>
      </c>
      <c r="R21" s="3770"/>
      <c r="S21" s="1470"/>
    </row>
    <row r="22" spans="1:19" s="17" customFormat="1">
      <c r="A22" s="1548">
        <v>1974.01</v>
      </c>
      <c r="B22" s="1559">
        <v>28.485888921420202</v>
      </c>
      <c r="C22" s="3711">
        <v>119.92286560983599</v>
      </c>
      <c r="D22" s="1560">
        <v>1.13405917118933</v>
      </c>
      <c r="E22" s="1561">
        <v>101.717925686904</v>
      </c>
      <c r="F22" s="3711">
        <v>109.147996485875</v>
      </c>
      <c r="G22" s="1560">
        <v>83.393359703631404</v>
      </c>
      <c r="H22" s="1557"/>
      <c r="I22" s="266"/>
      <c r="J22" s="291"/>
      <c r="K22" s="266"/>
      <c r="L22" s="266"/>
      <c r="M22" s="749"/>
      <c r="N22" s="742"/>
      <c r="O22" s="268">
        <v>46.6</v>
      </c>
      <c r="P22" s="3513">
        <v>46.8</v>
      </c>
      <c r="Q22" s="268">
        <v>49</v>
      </c>
      <c r="R22" s="3770"/>
      <c r="S22" s="1470"/>
    </row>
    <row r="23" spans="1:19" s="17" customFormat="1">
      <c r="A23" s="1548">
        <v>1974.02</v>
      </c>
      <c r="B23" s="1559">
        <v>28.103334623299599</v>
      </c>
      <c r="C23" s="3711">
        <v>117.685811410414</v>
      </c>
      <c r="D23" s="1560">
        <v>1.13649293879665</v>
      </c>
      <c r="E23" s="1561">
        <v>99.1538010923976</v>
      </c>
      <c r="F23" s="3711">
        <v>106.52026310161899</v>
      </c>
      <c r="G23" s="1560">
        <v>81.012801848708705</v>
      </c>
      <c r="H23" s="1557"/>
      <c r="I23" s="266"/>
      <c r="J23" s="291"/>
      <c r="K23" s="266"/>
      <c r="L23" s="266"/>
      <c r="M23" s="749"/>
      <c r="N23" s="742"/>
      <c r="O23" s="268">
        <v>47.2</v>
      </c>
      <c r="P23" s="3513">
        <v>47.3</v>
      </c>
      <c r="Q23" s="268">
        <v>50</v>
      </c>
      <c r="R23" s="3770"/>
      <c r="S23" s="1470"/>
    </row>
    <row r="24" spans="1:19" s="17" customFormat="1">
      <c r="A24" s="1548">
        <v>1974.03</v>
      </c>
      <c r="B24" s="1559">
        <v>27.6816167549254</v>
      </c>
      <c r="C24" s="3711">
        <v>115.250305118572</v>
      </c>
      <c r="D24" s="1560">
        <v>1.1387401342866501</v>
      </c>
      <c r="E24" s="1561">
        <v>97.460026535116</v>
      </c>
      <c r="F24" s="3711">
        <v>104.372990293911</v>
      </c>
      <c r="G24" s="1560">
        <v>80.369198723278501</v>
      </c>
      <c r="H24" s="1557"/>
      <c r="I24" s="266"/>
      <c r="J24" s="291"/>
      <c r="K24" s="266"/>
      <c r="L24" s="266"/>
      <c r="M24" s="749"/>
      <c r="N24" s="742"/>
      <c r="O24" s="268">
        <v>47.8</v>
      </c>
      <c r="P24" s="3513">
        <v>47.8</v>
      </c>
      <c r="Q24" s="268">
        <v>50.6</v>
      </c>
      <c r="R24" s="3770"/>
      <c r="S24" s="1470"/>
    </row>
    <row r="25" spans="1:19" s="17" customFormat="1">
      <c r="A25" s="1548">
        <v>1974.04</v>
      </c>
      <c r="B25" s="1559">
        <v>27.413548775372799</v>
      </c>
      <c r="C25" s="3711">
        <v>113.70950888106</v>
      </c>
      <c r="D25" s="1560">
        <v>1.1401686466560501</v>
      </c>
      <c r="E25" s="1561">
        <v>95.989031307549794</v>
      </c>
      <c r="F25" s="3711">
        <v>102.518577323239</v>
      </c>
      <c r="G25" s="1560">
        <v>79.794011892894702</v>
      </c>
      <c r="H25" s="1557"/>
      <c r="I25" s="266"/>
      <c r="J25" s="291"/>
      <c r="K25" s="266"/>
      <c r="L25" s="266"/>
      <c r="M25" s="749"/>
      <c r="N25" s="742"/>
      <c r="O25" s="268">
        <v>48</v>
      </c>
      <c r="P25" s="3513">
        <v>48.1</v>
      </c>
      <c r="Q25" s="268">
        <v>51</v>
      </c>
      <c r="R25" s="3770"/>
      <c r="S25" s="1470"/>
    </row>
    <row r="26" spans="1:19" s="17" customFormat="1">
      <c r="A26" s="1548">
        <v>1974.05</v>
      </c>
      <c r="B26" s="1559">
        <v>27.2436110415344</v>
      </c>
      <c r="C26" s="3711">
        <v>112.688261805899</v>
      </c>
      <c r="D26" s="1560">
        <v>1.1425151396395901</v>
      </c>
      <c r="E26" s="1561">
        <v>95.199480681568303</v>
      </c>
      <c r="F26" s="3711">
        <v>101.396477873926</v>
      </c>
      <c r="G26" s="1560">
        <v>79.781899805771502</v>
      </c>
      <c r="H26" s="1557"/>
      <c r="I26" s="266"/>
      <c r="J26" s="291"/>
      <c r="K26" s="266"/>
      <c r="L26" s="266"/>
      <c r="M26" s="749"/>
      <c r="N26" s="742"/>
      <c r="O26" s="268">
        <v>48.6</v>
      </c>
      <c r="P26" s="3513">
        <v>48.6</v>
      </c>
      <c r="Q26" s="268">
        <v>51.8</v>
      </c>
      <c r="R26" s="3770"/>
      <c r="S26" s="1470"/>
    </row>
    <row r="27" spans="1:19" s="17" customFormat="1">
      <c r="A27" s="1548">
        <v>1974.06</v>
      </c>
      <c r="B27" s="1559">
        <v>27.5104027145697</v>
      </c>
      <c r="C27" s="3711">
        <v>113.981026329778</v>
      </c>
      <c r="D27" s="1560">
        <v>1.1480549847164201</v>
      </c>
      <c r="E27" s="1561">
        <v>95.917039405702695</v>
      </c>
      <c r="F27" s="3711">
        <v>102.438472243977</v>
      </c>
      <c r="G27" s="1560">
        <v>79.741556707469996</v>
      </c>
      <c r="H27" s="1557"/>
      <c r="I27" s="266"/>
      <c r="J27" s="291"/>
      <c r="K27" s="266"/>
      <c r="L27" s="266"/>
      <c r="M27" s="749"/>
      <c r="N27" s="742"/>
      <c r="O27" s="268">
        <v>49</v>
      </c>
      <c r="P27" s="3513">
        <v>49</v>
      </c>
      <c r="Q27" s="268">
        <v>52</v>
      </c>
      <c r="R27" s="3770"/>
      <c r="S27" s="1470"/>
    </row>
    <row r="28" spans="1:19" s="17" customFormat="1">
      <c r="A28" s="1548">
        <v>1974.07</v>
      </c>
      <c r="B28" s="1559">
        <v>27.725624588317402</v>
      </c>
      <c r="C28" s="3711">
        <v>114.878911749506</v>
      </c>
      <c r="D28" s="1560">
        <v>1.15685040162871</v>
      </c>
      <c r="E28" s="1561">
        <v>95.962439371411506</v>
      </c>
      <c r="F28" s="3711">
        <v>102.70326785605501</v>
      </c>
      <c r="G28" s="1560">
        <v>79.284255151124995</v>
      </c>
      <c r="H28" s="1557"/>
      <c r="I28" s="266"/>
      <c r="J28" s="291"/>
      <c r="K28" s="266"/>
      <c r="L28" s="266"/>
      <c r="M28" s="749"/>
      <c r="N28" s="742"/>
      <c r="O28" s="268">
        <v>49.4</v>
      </c>
      <c r="P28" s="3513">
        <v>49.3</v>
      </c>
      <c r="Q28" s="268">
        <v>54</v>
      </c>
      <c r="R28" s="3770"/>
      <c r="S28" s="1470"/>
    </row>
    <row r="29" spans="1:19" s="17" customFormat="1">
      <c r="A29" s="1548">
        <v>1974.08</v>
      </c>
      <c r="B29" s="1559">
        <v>28.093478270637799</v>
      </c>
      <c r="C29" s="3711">
        <v>116.793744391552</v>
      </c>
      <c r="D29" s="1560">
        <v>1.1606704014865099</v>
      </c>
      <c r="E29" s="1561">
        <v>97.275496814453007</v>
      </c>
      <c r="F29" s="3711">
        <v>104.538723749531</v>
      </c>
      <c r="G29" s="1560">
        <v>79.396676171127396</v>
      </c>
      <c r="H29" s="1557"/>
      <c r="I29" s="266"/>
      <c r="J29" s="291"/>
      <c r="K29" s="266"/>
      <c r="L29" s="266"/>
      <c r="M29" s="749"/>
      <c r="N29" s="742"/>
      <c r="O29" s="268">
        <v>50</v>
      </c>
      <c r="P29" s="3513">
        <v>49.9</v>
      </c>
      <c r="Q29" s="268">
        <v>55.9</v>
      </c>
      <c r="R29" s="3770"/>
      <c r="S29" s="1470"/>
    </row>
    <row r="30" spans="1:19" s="17" customFormat="1">
      <c r="A30" s="1548">
        <v>1974.09</v>
      </c>
      <c r="B30" s="1559">
        <v>28.2485552301269</v>
      </c>
      <c r="C30" s="3711">
        <v>117.51371454189901</v>
      </c>
      <c r="D30" s="1560">
        <v>1.16486257286654</v>
      </c>
      <c r="E30" s="1561">
        <v>98.091385249358098</v>
      </c>
      <c r="F30" s="3711">
        <v>105.53181761477499</v>
      </c>
      <c r="G30" s="1560">
        <v>79.802433904434594</v>
      </c>
      <c r="H30" s="1557"/>
      <c r="I30" s="266"/>
      <c r="J30" s="291"/>
      <c r="K30" s="266"/>
      <c r="L30" s="266"/>
      <c r="M30" s="749"/>
      <c r="N30" s="742"/>
      <c r="O30" s="268">
        <v>50.6</v>
      </c>
      <c r="P30" s="3513">
        <v>50.6</v>
      </c>
      <c r="Q30" s="268">
        <v>55.9</v>
      </c>
      <c r="R30" s="3770"/>
      <c r="S30" s="1470"/>
    </row>
    <row r="31" spans="1:19" s="17" customFormat="1">
      <c r="A31" s="1548">
        <v>1974.1</v>
      </c>
      <c r="B31" s="1559">
        <v>28.186865325926501</v>
      </c>
      <c r="C31" s="3711">
        <v>116.94755305013</v>
      </c>
      <c r="D31" s="1560">
        <v>1.1714225353865899</v>
      </c>
      <c r="E31" s="1561">
        <v>97.153857911747806</v>
      </c>
      <c r="F31" s="3711">
        <v>104.402004572941</v>
      </c>
      <c r="G31" s="1560">
        <v>79.310844295964699</v>
      </c>
      <c r="H31" s="1557"/>
      <c r="I31" s="266"/>
      <c r="J31" s="291"/>
      <c r="K31" s="266"/>
      <c r="L31" s="266"/>
      <c r="M31" s="749"/>
      <c r="N31" s="742"/>
      <c r="O31" s="268">
        <v>51.1</v>
      </c>
      <c r="P31" s="3513">
        <v>51</v>
      </c>
      <c r="Q31" s="268">
        <v>56.9</v>
      </c>
      <c r="R31" s="3770"/>
      <c r="S31" s="1470"/>
    </row>
    <row r="32" spans="1:19" s="17" customFormat="1">
      <c r="A32" s="1548">
        <v>1974.11</v>
      </c>
      <c r="B32" s="1559">
        <v>28.1319747457798</v>
      </c>
      <c r="C32" s="3711">
        <v>116.367300571554</v>
      </c>
      <c r="D32" s="1560">
        <v>1.17963273571259</v>
      </c>
      <c r="E32" s="1561">
        <v>96.653783271421801</v>
      </c>
      <c r="F32" s="3711">
        <v>103.705956124888</v>
      </c>
      <c r="G32" s="1560">
        <v>79.259537258154396</v>
      </c>
      <c r="H32" s="1557"/>
      <c r="I32" s="266"/>
      <c r="J32" s="291"/>
      <c r="K32" s="266"/>
      <c r="L32" s="266"/>
      <c r="M32" s="749"/>
      <c r="N32" s="742"/>
      <c r="O32" s="268">
        <v>51.5</v>
      </c>
      <c r="P32" s="3513">
        <v>51.5</v>
      </c>
      <c r="Q32" s="268">
        <v>57.4</v>
      </c>
      <c r="R32" s="3770"/>
      <c r="S32" s="1470"/>
    </row>
    <row r="33" spans="1:19" s="17" customFormat="1">
      <c r="A33" s="1548">
        <v>1974.12</v>
      </c>
      <c r="B33" s="1559">
        <v>28.121447331553</v>
      </c>
      <c r="C33" s="3711">
        <v>115.394652184332</v>
      </c>
      <c r="D33" s="1560">
        <v>1.20744158503642</v>
      </c>
      <c r="E33" s="1561">
        <v>96.224220066943303</v>
      </c>
      <c r="F33" s="3711">
        <v>102.55192765565999</v>
      </c>
      <c r="G33" s="1560">
        <v>80.492185175063099</v>
      </c>
      <c r="H33" s="1557"/>
      <c r="I33" s="266"/>
      <c r="J33" s="291"/>
      <c r="K33" s="266"/>
      <c r="L33" s="266"/>
      <c r="M33" s="749"/>
      <c r="N33" s="742"/>
      <c r="O33" s="268">
        <v>51.9</v>
      </c>
      <c r="P33" s="3513">
        <v>51.9</v>
      </c>
      <c r="Q33" s="268">
        <v>57.3</v>
      </c>
      <c r="R33" s="3770"/>
      <c r="S33" s="1470"/>
    </row>
    <row r="34" spans="1:19" s="17" customFormat="1">
      <c r="A34" s="1548">
        <v>1975.01</v>
      </c>
      <c r="B34" s="1559">
        <v>28.124557168681299</v>
      </c>
      <c r="C34" s="3711">
        <v>114.245650482424</v>
      </c>
      <c r="D34" s="1560">
        <v>1.24272397805593</v>
      </c>
      <c r="E34" s="1561">
        <v>96.123718648985999</v>
      </c>
      <c r="F34" s="3711">
        <v>101.680146725548</v>
      </c>
      <c r="G34" s="1560">
        <v>82.124546664412094</v>
      </c>
      <c r="H34" s="1557"/>
      <c r="I34" s="266"/>
      <c r="J34" s="291"/>
      <c r="K34" s="266"/>
      <c r="L34" s="266"/>
      <c r="M34" s="749"/>
      <c r="N34" s="742"/>
      <c r="O34" s="268">
        <v>52.1</v>
      </c>
      <c r="P34" s="3513">
        <v>52.3</v>
      </c>
      <c r="Q34" s="268">
        <v>57.4</v>
      </c>
      <c r="R34" s="3770"/>
      <c r="S34" s="1470"/>
    </row>
    <row r="35" spans="1:19" s="17" customFormat="1">
      <c r="A35" s="1548">
        <v>1975.02</v>
      </c>
      <c r="B35" s="1559">
        <v>27.911725641763599</v>
      </c>
      <c r="C35" s="3711">
        <v>113.051986362752</v>
      </c>
      <c r="D35" s="1560">
        <v>1.2434825854051299</v>
      </c>
      <c r="E35" s="1561">
        <v>95.040077951682903</v>
      </c>
      <c r="F35" s="3711">
        <v>100.33045509484199</v>
      </c>
      <c r="G35" s="1560">
        <v>81.663681860749904</v>
      </c>
      <c r="H35" s="1557"/>
      <c r="I35" s="266"/>
      <c r="J35" s="291"/>
      <c r="K35" s="266"/>
      <c r="L35" s="266"/>
      <c r="M35" s="749"/>
      <c r="N35" s="742"/>
      <c r="O35" s="268">
        <v>52.5</v>
      </c>
      <c r="P35" s="3513">
        <v>52.6</v>
      </c>
      <c r="Q35" s="268">
        <v>57.2</v>
      </c>
      <c r="R35" s="3770"/>
      <c r="S35" s="1470"/>
    </row>
    <row r="36" spans="1:19" s="17" customFormat="1">
      <c r="A36" s="1548">
        <v>1975.03</v>
      </c>
      <c r="B36" s="1559">
        <v>27.8758284912583</v>
      </c>
      <c r="C36" s="3711">
        <v>112.271139568732</v>
      </c>
      <c r="D36" s="1560">
        <v>1.26178416585997</v>
      </c>
      <c r="E36" s="1561">
        <v>94.530942573739097</v>
      </c>
      <c r="F36" s="3711">
        <v>99.324740872790599</v>
      </c>
      <c r="G36" s="1560">
        <v>82.310350546094</v>
      </c>
      <c r="H36" s="1557"/>
      <c r="I36" s="266"/>
      <c r="J36" s="291"/>
      <c r="K36" s="266"/>
      <c r="L36" s="266"/>
      <c r="M36" s="749"/>
      <c r="N36" s="742"/>
      <c r="O36" s="268">
        <v>52.7</v>
      </c>
      <c r="P36" s="3513">
        <v>52.8</v>
      </c>
      <c r="Q36" s="268">
        <v>56.9</v>
      </c>
      <c r="R36" s="3770"/>
      <c r="S36" s="1470"/>
    </row>
    <row r="37" spans="1:19" s="17" customFormat="1">
      <c r="A37" s="1548">
        <v>1975.04</v>
      </c>
      <c r="B37" s="1559">
        <v>28.239705265991098</v>
      </c>
      <c r="C37" s="3711">
        <v>113.856151007937</v>
      </c>
      <c r="D37" s="1560">
        <v>1.27447300579388</v>
      </c>
      <c r="E37" s="1561">
        <v>95.110073363414898</v>
      </c>
      <c r="F37" s="3711">
        <v>100.226721926891</v>
      </c>
      <c r="G37" s="1560">
        <v>82.132794865736003</v>
      </c>
      <c r="H37" s="1557"/>
      <c r="I37" s="266"/>
      <c r="J37" s="291"/>
      <c r="K37" s="266"/>
      <c r="L37" s="266"/>
      <c r="M37" s="749"/>
      <c r="N37" s="742"/>
      <c r="O37" s="268">
        <v>52.9</v>
      </c>
      <c r="P37" s="3513">
        <v>53</v>
      </c>
      <c r="Q37" s="268">
        <v>57.5</v>
      </c>
      <c r="R37" s="3770"/>
      <c r="S37" s="1470"/>
    </row>
    <row r="38" spans="1:19" s="17" customFormat="1">
      <c r="A38" s="1548">
        <v>1975.05</v>
      </c>
      <c r="B38" s="1559">
        <v>28.3277060234605</v>
      </c>
      <c r="C38" s="3711">
        <v>114.156789733686</v>
      </c>
      <c r="D38" s="1560">
        <v>1.28015288672289</v>
      </c>
      <c r="E38" s="1561">
        <v>94.387487227105595</v>
      </c>
      <c r="F38" s="3711">
        <v>99.578761452939403</v>
      </c>
      <c r="G38" s="1560">
        <v>81.247164289852094</v>
      </c>
      <c r="H38" s="1557"/>
      <c r="I38" s="266"/>
      <c r="J38" s="291"/>
      <c r="K38" s="266"/>
      <c r="L38" s="266"/>
      <c r="M38" s="749"/>
      <c r="N38" s="742"/>
      <c r="O38" s="268">
        <v>53.2</v>
      </c>
      <c r="P38" s="3513">
        <v>53.1</v>
      </c>
      <c r="Q38" s="268">
        <v>57.9</v>
      </c>
      <c r="R38" s="3770"/>
      <c r="S38" s="1470"/>
    </row>
    <row r="39" spans="1:19" s="17" customFormat="1">
      <c r="A39" s="1548">
        <v>1975.06</v>
      </c>
      <c r="B39" s="1559">
        <v>28.507463771864799</v>
      </c>
      <c r="C39" s="3711">
        <v>114.29667649274</v>
      </c>
      <c r="D39" s="1560">
        <v>1.30693767902388</v>
      </c>
      <c r="E39" s="1561">
        <v>94.5131313075712</v>
      </c>
      <c r="F39" s="3711">
        <v>99.484228924899199</v>
      </c>
      <c r="G39" s="1560">
        <v>81.8799392146055</v>
      </c>
      <c r="H39" s="1557"/>
      <c r="I39" s="266"/>
      <c r="J39" s="291"/>
      <c r="K39" s="266"/>
      <c r="L39" s="266"/>
      <c r="M39" s="749"/>
      <c r="N39" s="742"/>
      <c r="O39" s="268">
        <v>53.6</v>
      </c>
      <c r="P39" s="3513">
        <v>53.5</v>
      </c>
      <c r="Q39" s="268">
        <v>58</v>
      </c>
      <c r="R39" s="3770"/>
      <c r="S39" s="1470"/>
    </row>
    <row r="40" spans="1:19" s="17" customFormat="1">
      <c r="A40" s="1548">
        <v>1975.07</v>
      </c>
      <c r="B40" s="1559">
        <v>29.162337316471799</v>
      </c>
      <c r="C40" s="3711">
        <v>117.145029537868</v>
      </c>
      <c r="D40" s="1560">
        <v>1.3298354406244299</v>
      </c>
      <c r="E40" s="1561">
        <v>96.673010339643298</v>
      </c>
      <c r="F40" s="3711">
        <v>102.16804347931</v>
      </c>
      <c r="G40" s="1560">
        <v>82.806303501457194</v>
      </c>
      <c r="H40" s="1557"/>
      <c r="I40" s="266"/>
      <c r="J40" s="291"/>
      <c r="K40" s="266"/>
      <c r="L40" s="266"/>
      <c r="M40" s="749"/>
      <c r="N40" s="742"/>
      <c r="O40" s="268">
        <v>54.2</v>
      </c>
      <c r="P40" s="3513">
        <v>54</v>
      </c>
      <c r="Q40" s="268">
        <v>58.7</v>
      </c>
      <c r="R40" s="3770"/>
      <c r="S40" s="1470"/>
    </row>
    <row r="41" spans="1:19" s="17" customFormat="1">
      <c r="A41" s="1548">
        <v>1975.08</v>
      </c>
      <c r="B41" s="1559">
        <v>29.675939718851598</v>
      </c>
      <c r="C41" s="3711">
        <v>119.316545446448</v>
      </c>
      <c r="D41" s="1560">
        <v>1.34976151366877</v>
      </c>
      <c r="E41" s="1561">
        <v>97.725274207563203</v>
      </c>
      <c r="F41" s="3711">
        <v>103.613027469603</v>
      </c>
      <c r="G41" s="1560">
        <v>82.951623052475</v>
      </c>
      <c r="H41" s="1557"/>
      <c r="I41" s="266"/>
      <c r="J41" s="291"/>
      <c r="K41" s="266"/>
      <c r="L41" s="266"/>
      <c r="M41" s="749"/>
      <c r="N41" s="742"/>
      <c r="O41" s="268">
        <v>54.3</v>
      </c>
      <c r="P41" s="3513">
        <v>54.2</v>
      </c>
      <c r="Q41" s="268">
        <v>59</v>
      </c>
      <c r="R41" s="3770"/>
      <c r="S41" s="1470"/>
    </row>
    <row r="42" spans="1:19" s="17" customFormat="1">
      <c r="A42" s="1548">
        <v>1975.09</v>
      </c>
      <c r="B42" s="1559">
        <v>29.9349601696515</v>
      </c>
      <c r="C42" s="3711">
        <v>120.038258602203</v>
      </c>
      <c r="D42" s="1560">
        <v>1.37180889223115</v>
      </c>
      <c r="E42" s="1561">
        <v>98.502547503484607</v>
      </c>
      <c r="F42" s="3711">
        <v>104.26439357983099</v>
      </c>
      <c r="G42" s="1560">
        <v>84.002493007989898</v>
      </c>
      <c r="H42" s="1557"/>
      <c r="I42" s="266"/>
      <c r="J42" s="291"/>
      <c r="K42" s="266"/>
      <c r="L42" s="266"/>
      <c r="M42" s="749"/>
      <c r="N42" s="742"/>
      <c r="O42" s="268">
        <v>54.6</v>
      </c>
      <c r="P42" s="3513">
        <v>54.6</v>
      </c>
      <c r="Q42" s="268">
        <v>59.4</v>
      </c>
      <c r="R42" s="3770"/>
      <c r="S42" s="1470"/>
    </row>
    <row r="43" spans="1:19" s="17" customFormat="1">
      <c r="A43" s="1548">
        <v>1975.1</v>
      </c>
      <c r="B43" s="1559">
        <v>30.003846859657902</v>
      </c>
      <c r="C43" s="3711">
        <v>119.9660348252</v>
      </c>
      <c r="D43" s="1560">
        <v>1.3862429360027599</v>
      </c>
      <c r="E43" s="1561">
        <v>98.238499564563995</v>
      </c>
      <c r="F43" s="3711">
        <v>103.953549031704</v>
      </c>
      <c r="G43" s="1560">
        <v>83.848563960828599</v>
      </c>
      <c r="H43" s="1557"/>
      <c r="I43" s="266"/>
      <c r="J43" s="291"/>
      <c r="K43" s="266"/>
      <c r="L43" s="266"/>
      <c r="M43" s="749"/>
      <c r="N43" s="742"/>
      <c r="O43" s="268">
        <v>54.9</v>
      </c>
      <c r="P43" s="3513">
        <v>54.9</v>
      </c>
      <c r="Q43" s="268">
        <v>59.8</v>
      </c>
      <c r="R43" s="3770"/>
      <c r="S43" s="1470"/>
    </row>
    <row r="44" spans="1:19" s="17" customFormat="1">
      <c r="A44" s="1548">
        <v>1975.11</v>
      </c>
      <c r="B44" s="1559">
        <v>29.984148507470099</v>
      </c>
      <c r="C44" s="3711">
        <v>119.60549317979201</v>
      </c>
      <c r="D44" s="1560">
        <v>1.39454944335341</v>
      </c>
      <c r="E44" s="1561">
        <v>98.028574409436999</v>
      </c>
      <c r="F44" s="3711">
        <v>103.541669534758</v>
      </c>
      <c r="G44" s="1560">
        <v>84.102360788286106</v>
      </c>
      <c r="H44" s="1557"/>
      <c r="I44" s="266"/>
      <c r="J44" s="291"/>
      <c r="K44" s="266"/>
      <c r="L44" s="266"/>
      <c r="M44" s="749"/>
      <c r="N44" s="742"/>
      <c r="O44" s="268">
        <v>55.3</v>
      </c>
      <c r="P44" s="3513">
        <v>55.3</v>
      </c>
      <c r="Q44" s="268">
        <v>59.5</v>
      </c>
      <c r="R44" s="3770"/>
      <c r="S44" s="1470"/>
    </row>
    <row r="45" spans="1:19" s="17" customFormat="1">
      <c r="A45" s="1548">
        <v>1975.12</v>
      </c>
      <c r="B45" s="1559">
        <v>30.200596739453399</v>
      </c>
      <c r="C45" s="3711">
        <v>120.415380173632</v>
      </c>
      <c r="D45" s="1560">
        <v>1.40637417862237</v>
      </c>
      <c r="E45" s="1561">
        <v>98.479620463580403</v>
      </c>
      <c r="F45" s="3711">
        <v>104.077596487601</v>
      </c>
      <c r="G45" s="1560">
        <v>84.3531976907406</v>
      </c>
      <c r="H45" s="1557"/>
      <c r="I45" s="266"/>
      <c r="J45" s="291"/>
      <c r="K45" s="266"/>
      <c r="L45" s="266"/>
      <c r="M45" s="749"/>
      <c r="N45" s="742"/>
      <c r="O45" s="268">
        <v>55.5</v>
      </c>
      <c r="P45" s="3513">
        <v>55.6</v>
      </c>
      <c r="Q45" s="268">
        <v>59.7</v>
      </c>
      <c r="R45" s="3770"/>
      <c r="S45" s="1470"/>
    </row>
    <row r="46" spans="1:19" s="17" customFormat="1">
      <c r="A46" s="1548">
        <v>1976.01</v>
      </c>
      <c r="B46" s="1559">
        <v>30.173644690246199</v>
      </c>
      <c r="C46" s="3711">
        <v>120.021944862768</v>
      </c>
      <c r="D46" s="1560">
        <v>1.4144534959424699</v>
      </c>
      <c r="E46" s="1561">
        <v>97.818524004118999</v>
      </c>
      <c r="F46" s="3711">
        <v>103.265614818022</v>
      </c>
      <c r="G46" s="1560">
        <v>84.043172517833099</v>
      </c>
      <c r="H46" s="1557"/>
      <c r="I46" s="266"/>
      <c r="J46" s="291"/>
      <c r="K46" s="266"/>
      <c r="L46" s="266"/>
      <c r="M46" s="749"/>
      <c r="N46" s="742"/>
      <c r="O46" s="268">
        <v>55.6</v>
      </c>
      <c r="P46" s="3513">
        <v>55.8</v>
      </c>
      <c r="Q46" s="268">
        <v>59.9</v>
      </c>
      <c r="R46" s="3770"/>
      <c r="S46" s="1470"/>
    </row>
    <row r="47" spans="1:19" s="17" customFormat="1">
      <c r="A47" s="1548">
        <v>1976.02</v>
      </c>
      <c r="B47" s="1559">
        <v>30.1523276639833</v>
      </c>
      <c r="C47" s="3711">
        <v>119.65906318062601</v>
      </c>
      <c r="D47" s="1560">
        <v>1.4226193753226299</v>
      </c>
      <c r="E47" s="1561">
        <v>96.936534599873397</v>
      </c>
      <c r="F47" s="3711">
        <v>102.393968428035</v>
      </c>
      <c r="G47" s="1560">
        <v>83.150796581862807</v>
      </c>
      <c r="H47" s="1557"/>
      <c r="I47" s="266"/>
      <c r="J47" s="291"/>
      <c r="K47" s="266"/>
      <c r="L47" s="266"/>
      <c r="M47" s="749"/>
      <c r="N47" s="742"/>
      <c r="O47" s="268">
        <v>55.8</v>
      </c>
      <c r="P47" s="3513">
        <v>55.9</v>
      </c>
      <c r="Q47" s="268">
        <v>59.9</v>
      </c>
      <c r="R47" s="3770"/>
      <c r="S47" s="1470"/>
    </row>
    <row r="48" spans="1:19" s="17" customFormat="1">
      <c r="A48" s="1548">
        <v>1976.03</v>
      </c>
      <c r="B48" s="1559">
        <v>30.363308304578101</v>
      </c>
      <c r="C48" s="3711">
        <v>120.533332591479</v>
      </c>
      <c r="D48" s="1560">
        <v>1.4313525831571501</v>
      </c>
      <c r="E48" s="1561">
        <v>96.894557983831106</v>
      </c>
      <c r="F48" s="3711">
        <v>102.754327583378</v>
      </c>
      <c r="G48" s="1560">
        <v>82.206483196761596</v>
      </c>
      <c r="H48" s="1557"/>
      <c r="I48" s="266"/>
      <c r="J48" s="291"/>
      <c r="K48" s="266"/>
      <c r="L48" s="266"/>
      <c r="M48" s="749"/>
      <c r="N48" s="742"/>
      <c r="O48" s="268">
        <v>55.9</v>
      </c>
      <c r="P48" s="3513">
        <v>56</v>
      </c>
      <c r="Q48" s="268">
        <v>60</v>
      </c>
      <c r="R48" s="3770"/>
      <c r="S48" s="1470"/>
    </row>
    <row r="49" spans="1:19" s="17" customFormat="1">
      <c r="A49" s="1548">
        <v>1976.04</v>
      </c>
      <c r="B49" s="1559">
        <v>30.580803125557701</v>
      </c>
      <c r="C49" s="3711">
        <v>121.196049749078</v>
      </c>
      <c r="D49" s="1560">
        <v>1.4482602039641199</v>
      </c>
      <c r="E49" s="1561">
        <v>96.712822216884504</v>
      </c>
      <c r="F49" s="3711">
        <v>102.68202145355001</v>
      </c>
      <c r="G49" s="1560">
        <v>81.784632023582304</v>
      </c>
      <c r="H49" s="1557"/>
      <c r="I49" s="266"/>
      <c r="J49" s="291"/>
      <c r="K49" s="266"/>
      <c r="L49" s="266"/>
      <c r="M49" s="749"/>
      <c r="N49" s="742"/>
      <c r="O49" s="268">
        <v>56.1</v>
      </c>
      <c r="P49" s="3513">
        <v>56.1</v>
      </c>
      <c r="Q49" s="268">
        <v>60.6</v>
      </c>
      <c r="R49" s="3770"/>
      <c r="S49" s="1470"/>
    </row>
    <row r="50" spans="1:19" s="17" customFormat="1">
      <c r="A50" s="1548">
        <v>1976.05</v>
      </c>
      <c r="B50" s="1559">
        <v>30.659876908658401</v>
      </c>
      <c r="C50" s="3711">
        <v>121.39780247381</v>
      </c>
      <c r="D50" s="1560">
        <v>1.4557278049701601</v>
      </c>
      <c r="E50" s="1561">
        <v>96.618515230282497</v>
      </c>
      <c r="F50" s="3711">
        <v>102.665040589852</v>
      </c>
      <c r="G50" s="1560">
        <v>81.520759485027</v>
      </c>
      <c r="H50" s="1557"/>
      <c r="I50" s="266"/>
      <c r="J50" s="291"/>
      <c r="K50" s="266"/>
      <c r="L50" s="266"/>
      <c r="M50" s="749"/>
      <c r="N50" s="742"/>
      <c r="O50" s="268">
        <v>56.5</v>
      </c>
      <c r="P50" s="3513">
        <v>56.4</v>
      </c>
      <c r="Q50" s="268">
        <v>60.8</v>
      </c>
      <c r="R50" s="3770"/>
      <c r="S50" s="1470"/>
    </row>
    <row r="51" spans="1:19" s="17" customFormat="1">
      <c r="A51" s="1548">
        <v>1976.06</v>
      </c>
      <c r="B51" s="1559">
        <v>30.733802618980299</v>
      </c>
      <c r="C51" s="3711">
        <v>121.580623166349</v>
      </c>
      <c r="D51" s="1560">
        <v>1.46291316652437</v>
      </c>
      <c r="E51" s="1561">
        <v>96.644956235368696</v>
      </c>
      <c r="F51" s="3711">
        <v>102.789778499744</v>
      </c>
      <c r="G51" s="1560">
        <v>81.329769770508094</v>
      </c>
      <c r="H51" s="1557"/>
      <c r="I51" s="266"/>
      <c r="J51" s="291"/>
      <c r="K51" s="266"/>
      <c r="L51" s="266"/>
      <c r="M51" s="749"/>
      <c r="N51" s="742"/>
      <c r="O51" s="268">
        <v>56.8</v>
      </c>
      <c r="P51" s="3513">
        <v>56.7</v>
      </c>
      <c r="Q51" s="268">
        <v>61.2</v>
      </c>
      <c r="R51" s="3770"/>
      <c r="S51" s="1470"/>
    </row>
    <row r="52" spans="1:19" s="17" customFormat="1">
      <c r="A52" s="1548">
        <v>1976.07</v>
      </c>
      <c r="B52" s="1559">
        <v>30.634025277663699</v>
      </c>
      <c r="C52" s="3711">
        <v>121.034061684638</v>
      </c>
      <c r="D52" s="1560">
        <v>1.4632608527050299</v>
      </c>
      <c r="E52" s="1561">
        <v>96.228593229871905</v>
      </c>
      <c r="F52" s="3711">
        <v>102.36704008058901</v>
      </c>
      <c r="G52" s="1560">
        <v>80.935125279780493</v>
      </c>
      <c r="H52" s="1557"/>
      <c r="I52" s="266"/>
      <c r="J52" s="291"/>
      <c r="K52" s="266"/>
      <c r="L52" s="266"/>
      <c r="M52" s="749"/>
      <c r="N52" s="742"/>
      <c r="O52" s="268">
        <v>57.1</v>
      </c>
      <c r="P52" s="3513">
        <v>57</v>
      </c>
      <c r="Q52" s="268">
        <v>61.6</v>
      </c>
      <c r="R52" s="3770"/>
      <c r="S52" s="1470"/>
    </row>
    <row r="53" spans="1:19" s="17" customFormat="1">
      <c r="A53" s="1548">
        <v>1976.08</v>
      </c>
      <c r="B53" s="1559">
        <v>30.6473015662677</v>
      </c>
      <c r="C53" s="3711">
        <v>121.00000321690401</v>
      </c>
      <c r="D53" s="1560">
        <v>1.46681328250939</v>
      </c>
      <c r="E53" s="1561">
        <v>96.087040261105798</v>
      </c>
      <c r="F53" s="3711">
        <v>102.401995616145</v>
      </c>
      <c r="G53" s="1560">
        <v>80.408998583236894</v>
      </c>
      <c r="H53" s="1557"/>
      <c r="I53" s="266"/>
      <c r="J53" s="291"/>
      <c r="K53" s="266"/>
      <c r="L53" s="266"/>
      <c r="M53" s="749"/>
      <c r="N53" s="742"/>
      <c r="O53" s="268">
        <v>57.4</v>
      </c>
      <c r="P53" s="3513">
        <v>57.3</v>
      </c>
      <c r="Q53" s="268">
        <v>61.4</v>
      </c>
      <c r="R53" s="3770"/>
      <c r="S53" s="1470"/>
    </row>
    <row r="54" spans="1:19" s="17" customFormat="1">
      <c r="A54" s="1548">
        <v>1976.09</v>
      </c>
      <c r="B54" s="1559">
        <v>31.2425010939568</v>
      </c>
      <c r="C54" s="3711">
        <v>120.213979068561</v>
      </c>
      <c r="D54" s="1560">
        <v>1.6064590243686001</v>
      </c>
      <c r="E54" s="1561">
        <v>97.359244964757494</v>
      </c>
      <c r="F54" s="3711">
        <v>101.23777115359501</v>
      </c>
      <c r="G54" s="1560">
        <v>87.247039796268893</v>
      </c>
      <c r="H54" s="1557"/>
      <c r="I54" s="266"/>
      <c r="J54" s="291"/>
      <c r="K54" s="266"/>
      <c r="L54" s="266"/>
      <c r="M54" s="749"/>
      <c r="N54" s="742"/>
      <c r="O54" s="268">
        <v>57.6</v>
      </c>
      <c r="P54" s="3513">
        <v>57.6</v>
      </c>
      <c r="Q54" s="268">
        <v>61.8</v>
      </c>
      <c r="R54" s="3770"/>
      <c r="S54" s="1470"/>
    </row>
    <row r="55" spans="1:19" s="17" customFormat="1">
      <c r="A55" s="1548">
        <v>1976.1</v>
      </c>
      <c r="B55" s="1559">
        <v>31.3749540414777</v>
      </c>
      <c r="C55" s="3711">
        <v>120.632147931788</v>
      </c>
      <c r="D55" s="1560">
        <v>1.6166812163309201</v>
      </c>
      <c r="E55" s="1561">
        <v>97.226795986916798</v>
      </c>
      <c r="F55" s="3711">
        <v>101.30527290880499</v>
      </c>
      <c r="G55" s="1560">
        <v>86.637749068456998</v>
      </c>
      <c r="H55" s="1557"/>
      <c r="I55" s="266"/>
      <c r="J55" s="291"/>
      <c r="K55" s="266"/>
      <c r="L55" s="266"/>
      <c r="M55" s="749"/>
      <c r="N55" s="742"/>
      <c r="O55" s="268">
        <v>57.9</v>
      </c>
      <c r="P55" s="3513">
        <v>57.9</v>
      </c>
      <c r="Q55" s="268">
        <v>61.9</v>
      </c>
      <c r="R55" s="3770"/>
      <c r="S55" s="1470"/>
    </row>
    <row r="56" spans="1:19" s="17" customFormat="1">
      <c r="A56" s="1548">
        <v>1976.11</v>
      </c>
      <c r="B56" s="1559">
        <v>31.839937433141699</v>
      </c>
      <c r="C56" s="3711">
        <v>121.495196702822</v>
      </c>
      <c r="D56" s="1560">
        <v>1.67567260312727</v>
      </c>
      <c r="E56" s="1561">
        <v>97.947716993754796</v>
      </c>
      <c r="F56" s="3711">
        <v>101.538582196663</v>
      </c>
      <c r="G56" s="1560">
        <v>88.525283865917501</v>
      </c>
      <c r="H56" s="1557"/>
      <c r="I56" s="266"/>
      <c r="J56" s="291"/>
      <c r="K56" s="266"/>
      <c r="L56" s="266"/>
      <c r="M56" s="749"/>
      <c r="N56" s="742"/>
      <c r="O56" s="268">
        <v>58</v>
      </c>
      <c r="P56" s="3513">
        <v>58.1</v>
      </c>
      <c r="Q56" s="268">
        <v>62</v>
      </c>
      <c r="R56" s="3770"/>
      <c r="S56" s="1470"/>
    </row>
    <row r="57" spans="1:19" s="17" customFormat="1">
      <c r="A57" s="1548">
        <v>1976.12</v>
      </c>
      <c r="B57" s="1559">
        <v>31.929232445057799</v>
      </c>
      <c r="C57" s="3711">
        <v>122.721416071989</v>
      </c>
      <c r="D57" s="1560">
        <v>1.6468231497919199</v>
      </c>
      <c r="E57" s="1561">
        <v>97.649754361593295</v>
      </c>
      <c r="F57" s="3711">
        <v>102.10482644296</v>
      </c>
      <c r="G57" s="1560">
        <v>86.165757322780706</v>
      </c>
      <c r="H57" s="1557"/>
      <c r="I57" s="266"/>
      <c r="J57" s="291"/>
      <c r="K57" s="266"/>
      <c r="L57" s="266"/>
      <c r="M57" s="749"/>
      <c r="N57" s="742"/>
      <c r="O57" s="268">
        <v>58.2</v>
      </c>
      <c r="P57" s="3513">
        <v>58.4</v>
      </c>
      <c r="Q57" s="268">
        <v>62.5</v>
      </c>
      <c r="R57" s="3770"/>
      <c r="S57" s="1470"/>
    </row>
    <row r="58" spans="1:19" s="17" customFormat="1">
      <c r="A58" s="1548">
        <v>1977.01</v>
      </c>
      <c r="B58" s="1559">
        <v>31.869788917624401</v>
      </c>
      <c r="C58" s="3711">
        <v>121.984726165616</v>
      </c>
      <c r="D58" s="1560">
        <v>1.6627913185649099</v>
      </c>
      <c r="E58" s="1561">
        <v>96.962268675028298</v>
      </c>
      <c r="F58" s="3711">
        <v>101.150249509373</v>
      </c>
      <c r="G58" s="1560">
        <v>86.109548772263693</v>
      </c>
      <c r="H58" s="1557"/>
      <c r="I58" s="266"/>
      <c r="J58" s="291"/>
      <c r="K58" s="266"/>
      <c r="L58" s="266"/>
      <c r="M58" s="749"/>
      <c r="N58" s="742"/>
      <c r="O58" s="268">
        <v>58.5</v>
      </c>
      <c r="P58" s="3513">
        <v>58.7</v>
      </c>
      <c r="Q58" s="268">
        <v>62.8</v>
      </c>
      <c r="R58" s="3770"/>
      <c r="S58" s="1470"/>
    </row>
    <row r="59" spans="1:19" s="17" customFormat="1">
      <c r="A59" s="1548">
        <v>1977.02</v>
      </c>
      <c r="B59" s="1559">
        <v>32.089545271775698</v>
      </c>
      <c r="C59" s="3711">
        <v>122.337346994542</v>
      </c>
      <c r="D59" s="1560">
        <v>1.6927336654714</v>
      </c>
      <c r="E59" s="1561">
        <v>97.679299270243703</v>
      </c>
      <c r="F59" s="3711">
        <v>101.851839479605</v>
      </c>
      <c r="G59" s="1560">
        <v>86.855261372661005</v>
      </c>
      <c r="H59" s="1557"/>
      <c r="I59" s="266"/>
      <c r="J59" s="291"/>
      <c r="K59" s="266"/>
      <c r="L59" s="266"/>
      <c r="M59" s="749"/>
      <c r="N59" s="742"/>
      <c r="O59" s="268">
        <v>59.1</v>
      </c>
      <c r="P59" s="3513">
        <v>59.3</v>
      </c>
      <c r="Q59" s="268">
        <v>63.5</v>
      </c>
      <c r="R59" s="3770"/>
      <c r="S59" s="1470"/>
    </row>
    <row r="60" spans="1:19" s="17" customFormat="1">
      <c r="A60" s="1548">
        <v>1977.03</v>
      </c>
      <c r="B60" s="1559">
        <v>32.210189791020198</v>
      </c>
      <c r="C60" s="3711">
        <v>122.760519443093</v>
      </c>
      <c r="D60" s="1560">
        <v>1.7005003044911</v>
      </c>
      <c r="E60" s="1561">
        <v>97.590155883468398</v>
      </c>
      <c r="F60" s="3711">
        <v>101.84612422600399</v>
      </c>
      <c r="G60" s="1560">
        <v>86.571385170147394</v>
      </c>
      <c r="H60" s="1557"/>
      <c r="I60" s="266"/>
      <c r="J60" s="291"/>
      <c r="K60" s="266"/>
      <c r="L60" s="266"/>
      <c r="M60" s="749"/>
      <c r="N60" s="742"/>
      <c r="O60" s="268">
        <v>59.5</v>
      </c>
      <c r="P60" s="3513">
        <v>59.6</v>
      </c>
      <c r="Q60" s="268">
        <v>64.099999999999994</v>
      </c>
      <c r="R60" s="3770"/>
      <c r="S60" s="1470"/>
    </row>
    <row r="61" spans="1:19" s="17" customFormat="1">
      <c r="A61" s="1548">
        <v>1977.04</v>
      </c>
      <c r="B61" s="1559">
        <v>32.124700907806201</v>
      </c>
      <c r="C61" s="3711">
        <v>122.14597186468001</v>
      </c>
      <c r="D61" s="1560">
        <v>1.70705318490183</v>
      </c>
      <c r="E61" s="1561">
        <v>97.089856581957704</v>
      </c>
      <c r="F61" s="3711">
        <v>101.23391330561</v>
      </c>
      <c r="G61" s="1560">
        <v>86.338899433903293</v>
      </c>
      <c r="H61" s="1557"/>
      <c r="I61" s="266"/>
      <c r="J61" s="291"/>
      <c r="K61" s="266"/>
      <c r="L61" s="266"/>
      <c r="M61" s="749"/>
      <c r="N61" s="742"/>
      <c r="O61" s="268">
        <v>60</v>
      </c>
      <c r="P61" s="3513">
        <v>60</v>
      </c>
      <c r="Q61" s="268">
        <v>64.900000000000006</v>
      </c>
      <c r="R61" s="3770"/>
      <c r="S61" s="1470"/>
    </row>
    <row r="62" spans="1:19" s="17" customFormat="1">
      <c r="A62" s="1548">
        <v>1977.05</v>
      </c>
      <c r="B62" s="1559">
        <v>32.165002287516899</v>
      </c>
      <c r="C62" s="3711">
        <v>122.105864834787</v>
      </c>
      <c r="D62" s="1560">
        <v>1.71666001233773</v>
      </c>
      <c r="E62" s="1561">
        <v>96.622635145062304</v>
      </c>
      <c r="F62" s="3711">
        <v>100.699501054091</v>
      </c>
      <c r="G62" s="1560">
        <v>86.034525034985805</v>
      </c>
      <c r="H62" s="1557"/>
      <c r="I62" s="266"/>
      <c r="J62" s="291"/>
      <c r="K62" s="266"/>
      <c r="L62" s="266"/>
      <c r="M62" s="749"/>
      <c r="N62" s="742"/>
      <c r="O62" s="268">
        <v>60.3</v>
      </c>
      <c r="P62" s="3513">
        <v>60.2</v>
      </c>
      <c r="Q62" s="268">
        <v>65.2</v>
      </c>
      <c r="R62" s="3770"/>
      <c r="S62" s="1470"/>
    </row>
    <row r="63" spans="1:19" s="17" customFormat="1">
      <c r="A63" s="1548">
        <v>1977.06</v>
      </c>
      <c r="B63" s="1559">
        <v>32.200246018289</v>
      </c>
      <c r="C63" s="3711">
        <v>122.024849901992</v>
      </c>
      <c r="D63" s="1560">
        <v>1.7268892578433399</v>
      </c>
      <c r="E63" s="1561">
        <v>96.361746835076701</v>
      </c>
      <c r="F63" s="3711">
        <v>100.60793623859701</v>
      </c>
      <c r="G63" s="1560">
        <v>85.379207707461205</v>
      </c>
      <c r="H63" s="1557"/>
      <c r="I63" s="266"/>
      <c r="J63" s="291"/>
      <c r="K63" s="266"/>
      <c r="L63" s="266"/>
      <c r="M63" s="749"/>
      <c r="N63" s="742"/>
      <c r="O63" s="268">
        <v>60.7</v>
      </c>
      <c r="P63" s="3513">
        <v>60.5</v>
      </c>
      <c r="Q63" s="268">
        <v>65</v>
      </c>
      <c r="R63" s="3770"/>
      <c r="S63" s="1470"/>
    </row>
    <row r="64" spans="1:19" s="17" customFormat="1">
      <c r="A64" s="1548">
        <v>1977.07</v>
      </c>
      <c r="B64" s="1559">
        <v>32.020009051996098</v>
      </c>
      <c r="C64" s="3711">
        <v>120.945415466848</v>
      </c>
      <c r="D64" s="1560">
        <v>1.73277488181908</v>
      </c>
      <c r="E64" s="1561">
        <v>95.567612165544404</v>
      </c>
      <c r="F64" s="3711">
        <v>99.587621516894203</v>
      </c>
      <c r="G64" s="1560">
        <v>85.124167922384302</v>
      </c>
      <c r="H64" s="1557"/>
      <c r="I64" s="266"/>
      <c r="J64" s="291"/>
      <c r="K64" s="266"/>
      <c r="L64" s="266"/>
      <c r="M64" s="749"/>
      <c r="N64" s="742"/>
      <c r="O64" s="268">
        <v>61</v>
      </c>
      <c r="P64" s="3513">
        <v>60.8</v>
      </c>
      <c r="Q64" s="268">
        <v>65.099999999999994</v>
      </c>
      <c r="R64" s="3770"/>
      <c r="S64" s="1470"/>
    </row>
    <row r="65" spans="1:19" s="17" customFormat="1">
      <c r="A65" s="1548">
        <v>1977.08</v>
      </c>
      <c r="B65" s="1559">
        <v>32.255362652482603</v>
      </c>
      <c r="C65" s="3711">
        <v>121.989279583057</v>
      </c>
      <c r="D65" s="1560">
        <v>1.73941213966548</v>
      </c>
      <c r="E65" s="1561">
        <v>95.907049582026701</v>
      </c>
      <c r="F65" s="3711">
        <v>100.424029091362</v>
      </c>
      <c r="G65" s="1560">
        <v>84.300103450671003</v>
      </c>
      <c r="H65" s="1557"/>
      <c r="I65" s="266"/>
      <c r="J65" s="291"/>
      <c r="K65" s="266"/>
      <c r="L65" s="266"/>
      <c r="M65" s="749"/>
      <c r="N65" s="742"/>
      <c r="O65" s="268">
        <v>61.2</v>
      </c>
      <c r="P65" s="3513">
        <v>61.1</v>
      </c>
      <c r="Q65" s="268">
        <v>65</v>
      </c>
      <c r="R65" s="3770"/>
      <c r="S65" s="1470"/>
    </row>
    <row r="66" spans="1:19" s="17" customFormat="1">
      <c r="A66" s="1548">
        <v>1977.09</v>
      </c>
      <c r="B66" s="1559">
        <v>32.341403061458202</v>
      </c>
      <c r="C66" s="3711">
        <v>122.204760447523</v>
      </c>
      <c r="D66" s="1560">
        <v>1.7483749794532999</v>
      </c>
      <c r="E66" s="1561">
        <v>95.726528905036801</v>
      </c>
      <c r="F66" s="3711">
        <v>100.199699223604</v>
      </c>
      <c r="G66" s="1560">
        <v>84.223134101115505</v>
      </c>
      <c r="H66" s="1557"/>
      <c r="I66" s="266"/>
      <c r="J66" s="291"/>
      <c r="K66" s="266"/>
      <c r="L66" s="266"/>
      <c r="M66" s="749"/>
      <c r="N66" s="742"/>
      <c r="O66" s="268">
        <v>61.4</v>
      </c>
      <c r="P66" s="3513">
        <v>61.3</v>
      </c>
      <c r="Q66" s="268">
        <v>65.3</v>
      </c>
      <c r="R66" s="3770"/>
      <c r="S66" s="1470"/>
    </row>
    <row r="67" spans="1:19" s="17" customFormat="1">
      <c r="A67" s="1548">
        <v>1977.1</v>
      </c>
      <c r="B67" s="1559">
        <v>32.1600430578968</v>
      </c>
      <c r="C67" s="3711">
        <v>121.162636904</v>
      </c>
      <c r="D67" s="1560">
        <v>1.75271550063073</v>
      </c>
      <c r="E67" s="1561">
        <v>94.9858823197399</v>
      </c>
      <c r="F67" s="3711">
        <v>99.192287516808705</v>
      </c>
      <c r="G67" s="1560">
        <v>84.111442847737806</v>
      </c>
      <c r="H67" s="1557"/>
      <c r="I67" s="266"/>
      <c r="J67" s="291"/>
      <c r="K67" s="266"/>
      <c r="L67" s="266"/>
      <c r="M67" s="749"/>
      <c r="N67" s="742"/>
      <c r="O67" s="268">
        <v>61.6</v>
      </c>
      <c r="P67" s="3513">
        <v>61.6</v>
      </c>
      <c r="Q67" s="268">
        <v>65.599999999999994</v>
      </c>
      <c r="R67" s="3770"/>
      <c r="S67" s="1470"/>
    </row>
    <row r="68" spans="1:19" s="17" customFormat="1">
      <c r="A68" s="1548">
        <v>1977.11</v>
      </c>
      <c r="B68" s="1559">
        <v>32.024379277827101</v>
      </c>
      <c r="C68" s="3711">
        <v>119.795233454474</v>
      </c>
      <c r="D68" s="1560">
        <v>1.77991172357296</v>
      </c>
      <c r="E68" s="1561">
        <v>94.590865858377796</v>
      </c>
      <c r="F68" s="3711">
        <v>98.284175545457202</v>
      </c>
      <c r="G68" s="1560">
        <v>84.930392869414703</v>
      </c>
      <c r="H68" s="1557"/>
      <c r="I68" s="266"/>
      <c r="J68" s="291"/>
      <c r="K68" s="266"/>
      <c r="L68" s="266"/>
      <c r="M68" s="749"/>
      <c r="N68" s="742"/>
      <c r="O68" s="268">
        <v>61.9</v>
      </c>
      <c r="P68" s="3513">
        <v>62</v>
      </c>
      <c r="Q68" s="268">
        <v>65.8</v>
      </c>
      <c r="R68" s="3770"/>
      <c r="S68" s="1470"/>
    </row>
    <row r="69" spans="1:19" s="17" customFormat="1">
      <c r="A69" s="1548">
        <v>1977.12</v>
      </c>
      <c r="B69" s="1559">
        <v>31.623967020373701</v>
      </c>
      <c r="C69" s="3711">
        <v>117.615907059292</v>
      </c>
      <c r="D69" s="1560">
        <v>1.7858774415279901</v>
      </c>
      <c r="E69" s="1561">
        <v>93.236278180934903</v>
      </c>
      <c r="F69" s="3711">
        <v>96.434413113392296</v>
      </c>
      <c r="G69" s="1560">
        <v>84.776135169310606</v>
      </c>
      <c r="H69" s="1557"/>
      <c r="I69" s="266"/>
      <c r="J69" s="291"/>
      <c r="K69" s="266"/>
      <c r="L69" s="266"/>
      <c r="M69" s="749"/>
      <c r="N69" s="742"/>
      <c r="O69" s="268">
        <v>62.1</v>
      </c>
      <c r="P69" s="3513">
        <v>62.3</v>
      </c>
      <c r="Q69" s="268">
        <v>66.2</v>
      </c>
      <c r="R69" s="3770"/>
      <c r="S69" s="1470"/>
    </row>
    <row r="70" spans="1:19" s="17" customFormat="1">
      <c r="A70" s="1548">
        <v>1978.01</v>
      </c>
      <c r="B70" s="1559">
        <v>31.426547276291299</v>
      </c>
      <c r="C70" s="3711">
        <v>116.537585701013</v>
      </c>
      <c r="D70" s="1560">
        <v>1.7891959374425801</v>
      </c>
      <c r="E70" s="1561">
        <v>92.686868481210496</v>
      </c>
      <c r="F70" s="3711">
        <v>95.820787140853696</v>
      </c>
      <c r="G70" s="1560">
        <v>84.382060393776399</v>
      </c>
      <c r="H70" s="1557"/>
      <c r="I70" s="266"/>
      <c r="J70" s="291"/>
      <c r="K70" s="266"/>
      <c r="L70" s="266"/>
      <c r="M70" s="749"/>
      <c r="N70" s="742"/>
      <c r="O70" s="268">
        <v>62.5</v>
      </c>
      <c r="P70" s="3513">
        <v>62.7</v>
      </c>
      <c r="Q70" s="268">
        <v>66.8</v>
      </c>
      <c r="R70" s="3770"/>
      <c r="S70" s="1470"/>
    </row>
    <row r="71" spans="1:19" s="17" customFormat="1">
      <c r="A71" s="1548">
        <v>1978.02</v>
      </c>
      <c r="B71" s="1559">
        <v>31.440367543279098</v>
      </c>
      <c r="C71" s="3711">
        <v>116.48522188893899</v>
      </c>
      <c r="D71" s="1560">
        <v>1.79419028047705</v>
      </c>
      <c r="E71" s="1561">
        <v>92.522474391941202</v>
      </c>
      <c r="F71" s="3711">
        <v>95.693452250491802</v>
      </c>
      <c r="G71" s="1560">
        <v>84.133309523216795</v>
      </c>
      <c r="H71" s="1557"/>
      <c r="I71" s="266"/>
      <c r="J71" s="291"/>
      <c r="K71" s="266"/>
      <c r="L71" s="266"/>
      <c r="M71" s="749"/>
      <c r="N71" s="742"/>
      <c r="O71" s="268">
        <v>62.9</v>
      </c>
      <c r="P71" s="3513">
        <v>63</v>
      </c>
      <c r="Q71" s="268">
        <v>67.5</v>
      </c>
      <c r="R71" s="3770"/>
      <c r="S71" s="1470"/>
    </row>
    <row r="72" spans="1:19" s="17" customFormat="1">
      <c r="A72" s="1548">
        <v>1978.03</v>
      </c>
      <c r="B72" s="1559">
        <v>31.282447585698801</v>
      </c>
      <c r="C72" s="3711">
        <v>115.48574563086</v>
      </c>
      <c r="D72" s="1560">
        <v>1.80214982859075</v>
      </c>
      <c r="E72" s="1561">
        <v>91.933334251488105</v>
      </c>
      <c r="F72" s="3711">
        <v>94.807273113468298</v>
      </c>
      <c r="G72" s="1560">
        <v>84.244165638157796</v>
      </c>
      <c r="H72" s="1557"/>
      <c r="I72" s="266"/>
      <c r="J72" s="291"/>
      <c r="K72" s="266"/>
      <c r="L72" s="266"/>
      <c r="M72" s="749"/>
      <c r="N72" s="742"/>
      <c r="O72" s="268">
        <v>63.4</v>
      </c>
      <c r="P72" s="3513">
        <v>63.4</v>
      </c>
      <c r="Q72" s="268">
        <v>68.099999999999994</v>
      </c>
      <c r="R72" s="3770"/>
      <c r="S72" s="1470"/>
    </row>
    <row r="73" spans="1:19" s="17" customFormat="1">
      <c r="A73" s="1548">
        <v>1978.04</v>
      </c>
      <c r="B73" s="1559">
        <v>31.274015663226901</v>
      </c>
      <c r="C73" s="3711">
        <v>115.202822082891</v>
      </c>
      <c r="D73" s="1560">
        <v>1.81211442445122</v>
      </c>
      <c r="E73" s="1561">
        <v>92.054043039008405</v>
      </c>
      <c r="F73" s="3711">
        <v>94.942284716968302</v>
      </c>
      <c r="G73" s="1560">
        <v>84.330061388775306</v>
      </c>
      <c r="H73" s="1557"/>
      <c r="I73" s="266"/>
      <c r="J73" s="291"/>
      <c r="K73" s="266"/>
      <c r="L73" s="266"/>
      <c r="M73" s="749"/>
      <c r="N73" s="742"/>
      <c r="O73" s="268">
        <v>63.9</v>
      </c>
      <c r="P73" s="3513">
        <v>63.9</v>
      </c>
      <c r="Q73" s="268">
        <v>69</v>
      </c>
      <c r="R73" s="3770"/>
      <c r="S73" s="1470"/>
    </row>
    <row r="74" spans="1:19" s="17" customFormat="1">
      <c r="A74" s="1548">
        <v>1978.05</v>
      </c>
      <c r="B74" s="1559">
        <v>31.507761500251199</v>
      </c>
      <c r="C74" s="3711">
        <v>116.119253112867</v>
      </c>
      <c r="D74" s="1560">
        <v>1.82332707298545</v>
      </c>
      <c r="E74" s="1561">
        <v>92.870506991003595</v>
      </c>
      <c r="F74" s="3711">
        <v>95.956883273722895</v>
      </c>
      <c r="G74" s="1560">
        <v>84.674446802101002</v>
      </c>
      <c r="H74" s="1557"/>
      <c r="I74" s="266"/>
      <c r="J74" s="291"/>
      <c r="K74" s="266"/>
      <c r="L74" s="266"/>
      <c r="M74" s="749"/>
      <c r="N74" s="742"/>
      <c r="O74" s="268">
        <v>64.5</v>
      </c>
      <c r="P74" s="3513">
        <v>64.5</v>
      </c>
      <c r="Q74" s="268">
        <v>69.5</v>
      </c>
      <c r="R74" s="3770"/>
      <c r="S74" s="1470"/>
    </row>
    <row r="75" spans="1:19" s="17" customFormat="1">
      <c r="A75" s="1548">
        <v>1978.06</v>
      </c>
      <c r="B75" s="1559">
        <v>31.156095401661599</v>
      </c>
      <c r="C75" s="3711">
        <v>114.195690540396</v>
      </c>
      <c r="D75" s="1560">
        <v>1.8293062612736199</v>
      </c>
      <c r="E75" s="1561">
        <v>91.806322376824696</v>
      </c>
      <c r="F75" s="3711">
        <v>94.555450708351998</v>
      </c>
      <c r="G75" s="1560">
        <v>84.412161604615804</v>
      </c>
      <c r="H75" s="1557"/>
      <c r="I75" s="266"/>
      <c r="J75" s="291"/>
      <c r="K75" s="266"/>
      <c r="L75" s="266"/>
      <c r="M75" s="749"/>
      <c r="N75" s="742"/>
      <c r="O75" s="268">
        <v>65.2</v>
      </c>
      <c r="P75" s="3513">
        <v>65</v>
      </c>
      <c r="Q75" s="268">
        <v>70</v>
      </c>
      <c r="R75" s="3770"/>
      <c r="S75" s="1470"/>
    </row>
    <row r="76" spans="1:19" s="17" customFormat="1">
      <c r="A76" s="1548">
        <v>1978.07</v>
      </c>
      <c r="B76" s="1559">
        <v>30.604913291151501</v>
      </c>
      <c r="C76" s="3711">
        <v>111.539056100292</v>
      </c>
      <c r="D76" s="1560">
        <v>1.82415306025418</v>
      </c>
      <c r="E76" s="1561">
        <v>89.9772830238838</v>
      </c>
      <c r="F76" s="3711">
        <v>92.272834223733696</v>
      </c>
      <c r="G76" s="1560">
        <v>83.678593618254695</v>
      </c>
      <c r="H76" s="1557"/>
      <c r="I76" s="266"/>
      <c r="J76" s="291"/>
      <c r="K76" s="266"/>
      <c r="L76" s="266"/>
      <c r="M76" s="749"/>
      <c r="N76" s="742"/>
      <c r="O76" s="268">
        <v>65.7</v>
      </c>
      <c r="P76" s="3513">
        <v>65.5</v>
      </c>
      <c r="Q76" s="268">
        <v>70.400000000000006</v>
      </c>
      <c r="R76" s="3770"/>
      <c r="S76" s="1470"/>
    </row>
    <row r="77" spans="1:19" s="17" customFormat="1">
      <c r="A77" s="1548">
        <v>1978.08</v>
      </c>
      <c r="B77" s="1559">
        <v>30.150299043095</v>
      </c>
      <c r="C77" s="3711">
        <v>109.315507719365</v>
      </c>
      <c r="D77" s="1560">
        <v>1.82178505761124</v>
      </c>
      <c r="E77" s="1561">
        <v>88.496433040477697</v>
      </c>
      <c r="F77" s="3711">
        <v>90.482607159203894</v>
      </c>
      <c r="G77" s="1560">
        <v>82.9557783071551</v>
      </c>
      <c r="H77" s="1557"/>
      <c r="I77" s="266"/>
      <c r="J77" s="291"/>
      <c r="K77" s="266"/>
      <c r="L77" s="266"/>
      <c r="M77" s="749"/>
      <c r="N77" s="742"/>
      <c r="O77" s="268">
        <v>66</v>
      </c>
      <c r="P77" s="3513">
        <v>65.900000000000006</v>
      </c>
      <c r="Q77" s="268">
        <v>70.400000000000006</v>
      </c>
      <c r="R77" s="3770"/>
      <c r="S77" s="1470"/>
    </row>
    <row r="78" spans="1:19" s="17" customFormat="1">
      <c r="A78" s="1548">
        <v>1978.09</v>
      </c>
      <c r="B78" s="1559">
        <v>30.250680396101799</v>
      </c>
      <c r="C78" s="3711">
        <v>109.69553674687999</v>
      </c>
      <c r="D78" s="1560">
        <v>1.8271145650366301</v>
      </c>
      <c r="E78" s="1561">
        <v>89.218511377224104</v>
      </c>
      <c r="F78" s="3711">
        <v>91.501212144500798</v>
      </c>
      <c r="G78" s="1560">
        <v>82.957346263720297</v>
      </c>
      <c r="H78" s="1557"/>
      <c r="I78" s="266"/>
      <c r="J78" s="291"/>
      <c r="K78" s="266"/>
      <c r="L78" s="266"/>
      <c r="M78" s="749"/>
      <c r="N78" s="742"/>
      <c r="O78" s="268">
        <v>66.5</v>
      </c>
      <c r="P78" s="3513">
        <v>66.5</v>
      </c>
      <c r="Q78" s="268">
        <v>71</v>
      </c>
      <c r="R78" s="3770"/>
      <c r="S78" s="1470"/>
    </row>
    <row r="79" spans="1:19" s="17" customFormat="1">
      <c r="A79" s="1548">
        <v>1978.1</v>
      </c>
      <c r="B79" s="1559">
        <v>29.763962416037</v>
      </c>
      <c r="C79" s="3711">
        <v>107.32714999249301</v>
      </c>
      <c r="D79" s="1560">
        <v>1.8246839090817299</v>
      </c>
      <c r="E79" s="1561">
        <v>87.689894652072795</v>
      </c>
      <c r="F79" s="3711">
        <v>89.612878848467801</v>
      </c>
      <c r="G79" s="1560">
        <v>82.309064148200804</v>
      </c>
      <c r="H79" s="1557"/>
      <c r="I79" s="266"/>
      <c r="J79" s="291"/>
      <c r="K79" s="266"/>
      <c r="L79" s="266"/>
      <c r="M79" s="749"/>
      <c r="N79" s="742"/>
      <c r="O79" s="268">
        <v>67.099999999999994</v>
      </c>
      <c r="P79" s="3513">
        <v>67.099999999999994</v>
      </c>
      <c r="Q79" s="268">
        <v>71.8</v>
      </c>
      <c r="R79" s="3770"/>
      <c r="S79" s="1470"/>
    </row>
    <row r="80" spans="1:19" s="17" customFormat="1">
      <c r="A80" s="1548">
        <v>1978.11</v>
      </c>
      <c r="B80" s="1559">
        <v>30.335871805301501</v>
      </c>
      <c r="C80" s="3711">
        <v>109.672655690691</v>
      </c>
      <c r="D80" s="1560">
        <v>1.8469945026087999</v>
      </c>
      <c r="E80" s="1561">
        <v>89.374483873450203</v>
      </c>
      <c r="F80" s="3711">
        <v>91.793071639059207</v>
      </c>
      <c r="G80" s="1560">
        <v>82.787227611189394</v>
      </c>
      <c r="H80" s="1557"/>
      <c r="I80" s="266"/>
      <c r="J80" s="291"/>
      <c r="K80" s="266"/>
      <c r="L80" s="266"/>
      <c r="M80" s="749"/>
      <c r="N80" s="742"/>
      <c r="O80" s="268">
        <v>67.400000000000006</v>
      </c>
      <c r="P80" s="3513">
        <v>67.5</v>
      </c>
      <c r="Q80" s="268">
        <v>72.099999999999994</v>
      </c>
      <c r="R80" s="3770"/>
      <c r="S80" s="1470"/>
    </row>
    <row r="81" spans="1:21" s="17" customFormat="1">
      <c r="A81" s="1548">
        <v>1978.12</v>
      </c>
      <c r="B81" s="1559">
        <v>30.453870671892101</v>
      </c>
      <c r="C81" s="3711">
        <v>109.890901311319</v>
      </c>
      <c r="D81" s="1560">
        <v>1.8634674852754001</v>
      </c>
      <c r="E81" s="1561">
        <v>89.720283880760803</v>
      </c>
      <c r="F81" s="3711">
        <v>92.053889732227404</v>
      </c>
      <c r="G81" s="1560">
        <v>83.332780674667603</v>
      </c>
      <c r="H81" s="1557"/>
      <c r="I81" s="266"/>
      <c r="J81" s="291"/>
      <c r="K81" s="266"/>
      <c r="L81" s="266"/>
      <c r="M81" s="749"/>
      <c r="N81" s="742"/>
      <c r="O81" s="268">
        <v>67.7</v>
      </c>
      <c r="P81" s="3513">
        <v>67.900000000000006</v>
      </c>
      <c r="Q81" s="268">
        <v>72.7</v>
      </c>
      <c r="R81" s="3770"/>
      <c r="S81" s="1470"/>
      <c r="T81" s="1111"/>
      <c r="U81" s="1111"/>
    </row>
    <row r="82" spans="1:21" s="17" customFormat="1">
      <c r="A82" s="1548">
        <v>1979.01</v>
      </c>
      <c r="B82" s="1559">
        <v>30.450665424999599</v>
      </c>
      <c r="C82" s="3711">
        <v>109.777856210658</v>
      </c>
      <c r="D82" s="1560">
        <v>1.8684729279508501</v>
      </c>
      <c r="E82" s="1561">
        <v>89.773333997988701</v>
      </c>
      <c r="F82" s="3711">
        <v>92.312041611523895</v>
      </c>
      <c r="G82" s="1560">
        <v>82.923695358262094</v>
      </c>
      <c r="H82" s="1557"/>
      <c r="I82" s="266"/>
      <c r="J82" s="291"/>
      <c r="K82" s="266"/>
      <c r="L82" s="266"/>
      <c r="M82" s="749"/>
      <c r="N82" s="742"/>
      <c r="O82" s="268">
        <v>68.3</v>
      </c>
      <c r="P82" s="3513">
        <v>68.5</v>
      </c>
      <c r="Q82" s="268">
        <v>73.8</v>
      </c>
      <c r="R82" s="3770"/>
      <c r="S82" s="1470"/>
      <c r="T82" s="1111"/>
      <c r="U82" s="1111"/>
    </row>
    <row r="83" spans="1:21" s="17" customFormat="1">
      <c r="A83" s="1548">
        <v>1979.02</v>
      </c>
      <c r="B83" s="1559">
        <v>30.6421733803259</v>
      </c>
      <c r="C83" s="3711">
        <v>110.483104187283</v>
      </c>
      <c r="D83" s="1560">
        <v>1.87958650606654</v>
      </c>
      <c r="E83" s="1561">
        <v>90.545591358334207</v>
      </c>
      <c r="F83" s="3711">
        <v>93.305611976233095</v>
      </c>
      <c r="G83" s="1560">
        <v>83.191626669030001</v>
      </c>
      <c r="H83" s="1557"/>
      <c r="I83" s="266"/>
      <c r="J83" s="291"/>
      <c r="K83" s="266"/>
      <c r="L83" s="266"/>
      <c r="M83" s="749"/>
      <c r="N83" s="742"/>
      <c r="O83" s="268">
        <v>69.099999999999994</v>
      </c>
      <c r="P83" s="3513">
        <v>69.2</v>
      </c>
      <c r="Q83" s="268">
        <v>74.900000000000006</v>
      </c>
      <c r="R83" s="3770"/>
      <c r="S83" s="1470"/>
      <c r="T83" s="1111"/>
      <c r="U83" s="1111"/>
    </row>
    <row r="84" spans="1:21" s="17" customFormat="1">
      <c r="A84" s="1548">
        <v>1979.03</v>
      </c>
      <c r="B84" s="1559">
        <v>30.720242933290699</v>
      </c>
      <c r="C84" s="3711">
        <v>110.488483633912</v>
      </c>
      <c r="D84" s="1560">
        <v>1.8961376147262099</v>
      </c>
      <c r="E84" s="1561">
        <v>90.578864579066206</v>
      </c>
      <c r="F84" s="3711">
        <v>93.391241286891997</v>
      </c>
      <c r="G84" s="1560">
        <v>83.108094722194295</v>
      </c>
      <c r="H84" s="1557"/>
      <c r="I84" s="266"/>
      <c r="J84" s="291"/>
      <c r="K84" s="266"/>
      <c r="L84" s="266"/>
      <c r="M84" s="749"/>
      <c r="N84" s="742"/>
      <c r="O84" s="268">
        <v>69.8</v>
      </c>
      <c r="P84" s="3513">
        <v>69.900000000000006</v>
      </c>
      <c r="Q84" s="268">
        <v>75.8</v>
      </c>
      <c r="R84" s="3770"/>
      <c r="S84" s="1470"/>
      <c r="T84" s="1111"/>
      <c r="U84" s="1111"/>
    </row>
    <row r="85" spans="1:21" s="17" customFormat="1">
      <c r="A85" s="1548">
        <v>1979.04</v>
      </c>
      <c r="B85" s="1559">
        <v>30.974385779759199</v>
      </c>
      <c r="C85" s="3711">
        <v>111.23364359276</v>
      </c>
      <c r="D85" s="1560">
        <v>1.9190769379362</v>
      </c>
      <c r="E85" s="1561">
        <v>91.319716459049801</v>
      </c>
      <c r="F85" s="3711">
        <v>94.37492572859</v>
      </c>
      <c r="G85" s="1560">
        <v>83.301743569878397</v>
      </c>
      <c r="H85" s="1557"/>
      <c r="I85" s="266"/>
      <c r="J85" s="291"/>
      <c r="K85" s="266"/>
      <c r="L85" s="266"/>
      <c r="M85" s="749"/>
      <c r="N85" s="742"/>
      <c r="O85" s="268">
        <v>70.599999999999994</v>
      </c>
      <c r="P85" s="3513">
        <v>70.599999999999994</v>
      </c>
      <c r="Q85" s="268">
        <v>76.900000000000006</v>
      </c>
      <c r="R85" s="3770"/>
      <c r="S85" s="1470"/>
      <c r="T85" s="1111"/>
      <c r="U85" s="1111"/>
    </row>
    <row r="86" spans="1:21" s="17" customFormat="1">
      <c r="A86" s="1548">
        <v>1979.05</v>
      </c>
      <c r="B86" s="1559">
        <v>31.229571126710599</v>
      </c>
      <c r="C86" s="3711">
        <v>112.15976220621999</v>
      </c>
      <c r="D86" s="1560">
        <v>1.93447984167999</v>
      </c>
      <c r="E86" s="1561">
        <v>92.207551173257897</v>
      </c>
      <c r="F86" s="3711">
        <v>95.615398052489695</v>
      </c>
      <c r="G86" s="1560">
        <v>83.404632690289802</v>
      </c>
      <c r="H86" s="1557"/>
      <c r="I86" s="266"/>
      <c r="J86" s="291"/>
      <c r="K86" s="266"/>
      <c r="L86" s="266"/>
      <c r="M86" s="749"/>
      <c r="N86" s="742"/>
      <c r="O86" s="268">
        <v>71.5</v>
      </c>
      <c r="P86" s="3513">
        <v>71.400000000000006</v>
      </c>
      <c r="Q86" s="268">
        <v>77.5</v>
      </c>
      <c r="R86" s="3770"/>
      <c r="S86" s="1470"/>
      <c r="T86" s="1111"/>
      <c r="U86" s="1111"/>
    </row>
    <row r="87" spans="1:21" s="17" customFormat="1">
      <c r="A87" s="1548">
        <v>1979.06</v>
      </c>
      <c r="B87" s="1559">
        <v>31.2522374866303</v>
      </c>
      <c r="C87" s="3711">
        <v>111.99387003960599</v>
      </c>
      <c r="D87" s="1560">
        <v>1.94660311642267</v>
      </c>
      <c r="E87" s="1561">
        <v>92.403329564531305</v>
      </c>
      <c r="F87" s="3711">
        <v>95.804466778370696</v>
      </c>
      <c r="G87" s="1560">
        <v>83.612078304246396</v>
      </c>
      <c r="H87" s="1557"/>
      <c r="I87" s="266"/>
      <c r="J87" s="291"/>
      <c r="K87" s="266"/>
      <c r="L87" s="266"/>
      <c r="M87" s="749"/>
      <c r="N87" s="742"/>
      <c r="O87" s="268">
        <v>72.3</v>
      </c>
      <c r="P87" s="3513">
        <v>72.2</v>
      </c>
      <c r="Q87" s="268">
        <v>78</v>
      </c>
      <c r="R87" s="3770"/>
      <c r="S87" s="1470"/>
      <c r="T87" s="1111"/>
      <c r="U87" s="1111"/>
    </row>
    <row r="88" spans="1:21" s="17" customFormat="1">
      <c r="A88" s="1548">
        <v>1979.07</v>
      </c>
      <c r="B88" s="1559">
        <v>30.806783731226901</v>
      </c>
      <c r="C88" s="3711">
        <v>109.679036222642</v>
      </c>
      <c r="D88" s="1560">
        <v>1.95033926815388</v>
      </c>
      <c r="E88" s="1561">
        <v>90.822983636917598</v>
      </c>
      <c r="F88" s="3711">
        <v>93.670164701322193</v>
      </c>
      <c r="G88" s="1560">
        <v>83.271663566189702</v>
      </c>
      <c r="H88" s="1557"/>
      <c r="I88" s="266"/>
      <c r="J88" s="291"/>
      <c r="K88" s="266"/>
      <c r="L88" s="266"/>
      <c r="M88" s="749"/>
      <c r="N88" s="742"/>
      <c r="O88" s="268">
        <v>73.099999999999994</v>
      </c>
      <c r="P88" s="3513">
        <v>73</v>
      </c>
      <c r="Q88" s="268">
        <v>79.2</v>
      </c>
      <c r="R88" s="3770"/>
      <c r="S88" s="1470"/>
      <c r="T88" s="1111"/>
      <c r="U88" s="1111"/>
    </row>
    <row r="89" spans="1:21" s="17" customFormat="1">
      <c r="A89" s="1548">
        <v>1979.08</v>
      </c>
      <c r="B89" s="1559">
        <v>30.943148248608601</v>
      </c>
      <c r="C89" s="3711">
        <v>110.152559734311</v>
      </c>
      <c r="D89" s="1560">
        <v>1.9594902335618001</v>
      </c>
      <c r="E89" s="1561">
        <v>91.319405377546801</v>
      </c>
      <c r="F89" s="3711">
        <v>94.685686403900306</v>
      </c>
      <c r="G89" s="1560">
        <v>82.620304379541494</v>
      </c>
      <c r="H89" s="1557"/>
      <c r="I89" s="266"/>
      <c r="J89" s="291"/>
      <c r="K89" s="266"/>
      <c r="L89" s="266"/>
      <c r="M89" s="749"/>
      <c r="N89" s="742"/>
      <c r="O89" s="268">
        <v>73.8</v>
      </c>
      <c r="P89" s="3513">
        <v>73.7</v>
      </c>
      <c r="Q89" s="268">
        <v>79.599999999999994</v>
      </c>
      <c r="R89" s="3770"/>
      <c r="S89" s="1470"/>
      <c r="T89" s="1111"/>
      <c r="U89" s="1111"/>
    </row>
    <row r="90" spans="1:21" s="17" customFormat="1">
      <c r="A90" s="1548">
        <v>1979.09</v>
      </c>
      <c r="B90" s="1559">
        <v>30.993227104485399</v>
      </c>
      <c r="C90" s="3711">
        <v>110.102945949635</v>
      </c>
      <c r="D90" s="1560">
        <v>1.9728197052654</v>
      </c>
      <c r="E90" s="1561">
        <v>91.192908557586605</v>
      </c>
      <c r="F90" s="3711">
        <v>94.725755017924001</v>
      </c>
      <c r="G90" s="1560">
        <v>82.134257660212498</v>
      </c>
      <c r="H90" s="1557"/>
      <c r="I90" s="266"/>
      <c r="J90" s="291"/>
      <c r="K90" s="266"/>
      <c r="L90" s="266"/>
      <c r="M90" s="749"/>
      <c r="N90" s="742"/>
      <c r="O90" s="268">
        <v>74.599999999999994</v>
      </c>
      <c r="P90" s="3513">
        <v>74.400000000000006</v>
      </c>
      <c r="Q90" s="268">
        <v>80.900000000000006</v>
      </c>
      <c r="R90" s="3770"/>
      <c r="S90" s="1470"/>
      <c r="T90" s="1111"/>
      <c r="U90" s="1111"/>
    </row>
    <row r="91" spans="1:21" s="17" customFormat="1">
      <c r="A91" s="1548">
        <v>1979.1</v>
      </c>
      <c r="B91" s="1559">
        <v>31.354177585475899</v>
      </c>
      <c r="C91" s="3711">
        <v>111.613380781537</v>
      </c>
      <c r="D91" s="1560">
        <v>1.9857139486322399</v>
      </c>
      <c r="E91" s="1561">
        <v>92.239491449795807</v>
      </c>
      <c r="F91" s="3711">
        <v>96.270107414201107</v>
      </c>
      <c r="G91" s="1560">
        <v>82.095932477172198</v>
      </c>
      <c r="H91" s="1557"/>
      <c r="I91" s="266"/>
      <c r="J91" s="291"/>
      <c r="K91" s="266"/>
      <c r="L91" s="266"/>
      <c r="M91" s="749"/>
      <c r="N91" s="742"/>
      <c r="O91" s="268">
        <v>75.2</v>
      </c>
      <c r="P91" s="3513">
        <v>75.2</v>
      </c>
      <c r="Q91" s="268">
        <v>82.1</v>
      </c>
      <c r="R91" s="3770"/>
      <c r="S91" s="1470"/>
      <c r="T91" s="1111"/>
      <c r="U91" s="1111"/>
    </row>
    <row r="92" spans="1:21" s="17" customFormat="1">
      <c r="A92" s="1548">
        <v>1979.11</v>
      </c>
      <c r="B92" s="1559">
        <v>31.7575441067032</v>
      </c>
      <c r="C92" s="3711">
        <v>113.245459757593</v>
      </c>
      <c r="D92" s="1560">
        <v>2.0024957904824401</v>
      </c>
      <c r="E92" s="1561">
        <v>93.362150296596297</v>
      </c>
      <c r="F92" s="3711">
        <v>97.846061299366198</v>
      </c>
      <c r="G92" s="1560">
        <v>82.241252378510296</v>
      </c>
      <c r="H92" s="1557"/>
      <c r="I92" s="266"/>
      <c r="J92" s="291"/>
      <c r="K92" s="266"/>
      <c r="L92" s="266"/>
      <c r="M92" s="749"/>
      <c r="N92" s="742"/>
      <c r="O92" s="268">
        <v>75.900000000000006</v>
      </c>
      <c r="P92" s="3513">
        <v>76</v>
      </c>
      <c r="Q92" s="268">
        <v>82.6</v>
      </c>
      <c r="R92" s="3770"/>
      <c r="S92" s="1470"/>
      <c r="T92" s="1111"/>
      <c r="U92" s="1111"/>
    </row>
    <row r="93" spans="1:21" s="17" customFormat="1">
      <c r="A93" s="1548">
        <v>1979.12</v>
      </c>
      <c r="B93" s="1559">
        <v>31.553662814440798</v>
      </c>
      <c r="C93" s="3711">
        <v>111.34647109138901</v>
      </c>
      <c r="D93" s="1560">
        <v>2.0422989444867299</v>
      </c>
      <c r="E93" s="1561">
        <v>92.719633321615305</v>
      </c>
      <c r="F93" s="3711">
        <v>96.5459749466375</v>
      </c>
      <c r="G93" s="1560">
        <v>83.004493985277094</v>
      </c>
      <c r="H93" s="1557"/>
      <c r="I93" s="266"/>
      <c r="J93" s="291"/>
      <c r="K93" s="266"/>
      <c r="L93" s="266"/>
      <c r="M93" s="749"/>
      <c r="N93" s="742"/>
      <c r="O93" s="268">
        <v>76.7</v>
      </c>
      <c r="P93" s="3513">
        <v>76.900000000000006</v>
      </c>
      <c r="Q93" s="268">
        <v>83.4</v>
      </c>
      <c r="R93" s="3770"/>
      <c r="S93" s="1470"/>
      <c r="T93" s="1111"/>
      <c r="U93" s="1111"/>
    </row>
    <row r="94" spans="1:21" s="17" customFormat="1">
      <c r="A94" s="1548">
        <v>1980.01</v>
      </c>
      <c r="B94" s="1559">
        <v>31.531585567924001</v>
      </c>
      <c r="C94" s="3711">
        <v>110.383688002854</v>
      </c>
      <c r="D94" s="1560">
        <v>2.0790832023644601</v>
      </c>
      <c r="E94" s="1561">
        <v>92.594599906634997</v>
      </c>
      <c r="F94" s="3711">
        <v>96.096531849073997</v>
      </c>
      <c r="G94" s="1560">
        <v>83.527063534717996</v>
      </c>
      <c r="H94" s="1557"/>
      <c r="I94" s="266"/>
      <c r="J94" s="291"/>
      <c r="K94" s="266"/>
      <c r="L94" s="266"/>
      <c r="M94" s="749"/>
      <c r="N94" s="742"/>
      <c r="O94" s="268">
        <v>77.8</v>
      </c>
      <c r="P94" s="3513">
        <v>78</v>
      </c>
      <c r="Q94" s="268">
        <v>85.2</v>
      </c>
      <c r="R94" s="3770"/>
      <c r="S94" s="1470"/>
      <c r="T94" s="1111"/>
      <c r="U94" s="1111"/>
    </row>
    <row r="95" spans="1:21" s="17" customFormat="1">
      <c r="A95" s="1548">
        <v>1980.02</v>
      </c>
      <c r="B95" s="1559">
        <v>31.783906063485102</v>
      </c>
      <c r="C95" s="3711">
        <v>111.146823387935</v>
      </c>
      <c r="D95" s="1560">
        <v>2.1009412717218998</v>
      </c>
      <c r="E95" s="1561">
        <v>93.175132162786895</v>
      </c>
      <c r="F95" s="3711">
        <v>97.029033118451594</v>
      </c>
      <c r="G95" s="1560">
        <v>83.394949388132105</v>
      </c>
      <c r="H95" s="1557"/>
      <c r="I95" s="266"/>
      <c r="J95" s="291"/>
      <c r="K95" s="266"/>
      <c r="L95" s="266"/>
      <c r="M95" s="749"/>
      <c r="N95" s="742"/>
      <c r="O95" s="268">
        <v>78.900000000000006</v>
      </c>
      <c r="P95" s="3513">
        <v>79</v>
      </c>
      <c r="Q95" s="268">
        <v>86.9</v>
      </c>
      <c r="R95" s="3770"/>
      <c r="S95" s="1470"/>
      <c r="T95" s="1111"/>
      <c r="U95" s="1111"/>
    </row>
    <row r="96" spans="1:21" s="17" customFormat="1">
      <c r="A96" s="1548">
        <v>1980.03</v>
      </c>
      <c r="B96" s="1559">
        <v>32.619997849297697</v>
      </c>
      <c r="C96" s="3711">
        <v>114.78522032257899</v>
      </c>
      <c r="D96" s="1560">
        <v>2.1255994216123</v>
      </c>
      <c r="E96" s="1561">
        <v>95.828744764827505</v>
      </c>
      <c r="F96" s="3711">
        <v>100.92600601199899</v>
      </c>
      <c r="G96" s="1560">
        <v>83.571281077657702</v>
      </c>
      <c r="H96" s="1557"/>
      <c r="I96" s="266"/>
      <c r="J96" s="291"/>
      <c r="K96" s="266"/>
      <c r="L96" s="266"/>
      <c r="M96" s="749"/>
      <c r="N96" s="742"/>
      <c r="O96" s="268">
        <v>80.099999999999994</v>
      </c>
      <c r="P96" s="3513">
        <v>80.099999999999994</v>
      </c>
      <c r="Q96" s="268">
        <v>87.5</v>
      </c>
      <c r="R96" s="3770"/>
      <c r="S96" s="1470"/>
      <c r="T96" s="1111"/>
      <c r="U96" s="1111"/>
    </row>
    <row r="97" spans="1:21" s="17" customFormat="1">
      <c r="A97" s="1548">
        <v>1980.04</v>
      </c>
      <c r="B97" s="1559">
        <v>32.895587789832298</v>
      </c>
      <c r="C97" s="3711">
        <v>115.84087648549399</v>
      </c>
      <c r="D97" s="1560">
        <v>2.13998867173708</v>
      </c>
      <c r="E97" s="1561">
        <v>96.433426798983007</v>
      </c>
      <c r="F97" s="3711">
        <v>101.78542748392699</v>
      </c>
      <c r="G97" s="1560">
        <v>83.676414890483997</v>
      </c>
      <c r="H97" s="1557"/>
      <c r="I97" s="266"/>
      <c r="J97" s="291"/>
      <c r="K97" s="266"/>
      <c r="L97" s="266"/>
      <c r="M97" s="749"/>
      <c r="N97" s="742"/>
      <c r="O97" s="268">
        <v>81</v>
      </c>
      <c r="P97" s="3513">
        <v>80.900000000000006</v>
      </c>
      <c r="Q97" s="268">
        <v>87.8</v>
      </c>
      <c r="R97" s="3770"/>
      <c r="S97" s="1470"/>
      <c r="T97" s="1111"/>
      <c r="U97" s="1111"/>
    </row>
    <row r="98" spans="1:21" s="17" customFormat="1">
      <c r="A98" s="1548">
        <v>1980.05</v>
      </c>
      <c r="B98" s="1559">
        <v>31.880774242056201</v>
      </c>
      <c r="C98" s="3711">
        <v>110.80089854723001</v>
      </c>
      <c r="D98" s="1560">
        <v>2.13749195263753</v>
      </c>
      <c r="E98" s="1561">
        <v>93.369216807986305</v>
      </c>
      <c r="F98" s="3711">
        <v>97.719480002572993</v>
      </c>
      <c r="G98" s="1560">
        <v>82.611629877829898</v>
      </c>
      <c r="H98" s="1557"/>
      <c r="I98" s="266"/>
      <c r="J98" s="291"/>
      <c r="K98" s="266"/>
      <c r="L98" s="266"/>
      <c r="M98" s="749"/>
      <c r="N98" s="742"/>
      <c r="O98" s="268">
        <v>81.8</v>
      </c>
      <c r="P98" s="3513">
        <v>81.7</v>
      </c>
      <c r="Q98" s="268">
        <v>88.3</v>
      </c>
      <c r="R98" s="3770"/>
      <c r="S98" s="1470"/>
      <c r="T98" s="1111"/>
      <c r="U98" s="1111"/>
    </row>
    <row r="99" spans="1:21" s="17" customFormat="1">
      <c r="A99" s="1548">
        <v>1980.06</v>
      </c>
      <c r="B99" s="1559">
        <v>31.419339989654102</v>
      </c>
      <c r="C99" s="3711">
        <v>108.301055305144</v>
      </c>
      <c r="D99" s="1560">
        <v>2.1467554053619602</v>
      </c>
      <c r="E99" s="1561">
        <v>91.831467206928394</v>
      </c>
      <c r="F99" s="3711">
        <v>95.582177172937506</v>
      </c>
      <c r="G99" s="1560">
        <v>82.286488472704804</v>
      </c>
      <c r="H99" s="1557"/>
      <c r="I99" s="266"/>
      <c r="J99" s="291"/>
      <c r="K99" s="266"/>
      <c r="L99" s="266"/>
      <c r="M99" s="749"/>
      <c r="N99" s="742"/>
      <c r="O99" s="268">
        <v>82.7</v>
      </c>
      <c r="P99" s="3513">
        <v>82.5</v>
      </c>
      <c r="Q99" s="268">
        <v>88.7</v>
      </c>
      <c r="R99" s="3770"/>
      <c r="S99" s="1470"/>
      <c r="T99" s="1111"/>
      <c r="U99" s="1111"/>
    </row>
    <row r="100" spans="1:21" s="17" customFormat="1">
      <c r="A100" s="1548">
        <v>1980.07</v>
      </c>
      <c r="B100" s="1559">
        <v>31.425334390662901</v>
      </c>
      <c r="C100" s="3711">
        <v>108.068581783984</v>
      </c>
      <c r="D100" s="1560">
        <v>2.1587612323773202</v>
      </c>
      <c r="E100" s="1561">
        <v>90.976660553028196</v>
      </c>
      <c r="F100" s="3711">
        <v>94.821759951348596</v>
      </c>
      <c r="G100" s="1560">
        <v>81.265178361605805</v>
      </c>
      <c r="H100" s="1557"/>
      <c r="I100" s="266"/>
      <c r="J100" s="291"/>
      <c r="K100" s="266"/>
      <c r="L100" s="266"/>
      <c r="M100" s="749"/>
      <c r="N100" s="742"/>
      <c r="O100" s="268">
        <v>82.7</v>
      </c>
      <c r="P100" s="3513">
        <v>82.6</v>
      </c>
      <c r="Q100" s="268">
        <v>90.3</v>
      </c>
      <c r="R100" s="3770"/>
      <c r="S100" s="1470"/>
      <c r="T100" s="1111"/>
      <c r="U100" s="1111"/>
    </row>
    <row r="101" spans="1:21" s="17" customFormat="1">
      <c r="A101" s="1548">
        <v>1980.08</v>
      </c>
      <c r="B101" s="1559">
        <v>31.7884780487624</v>
      </c>
      <c r="C101" s="3711">
        <v>109.452962807196</v>
      </c>
      <c r="D101" s="1560">
        <v>2.1774707773814099</v>
      </c>
      <c r="E101" s="1561">
        <v>91.629535262677607</v>
      </c>
      <c r="F101" s="3711">
        <v>95.991938314841804</v>
      </c>
      <c r="G101" s="1560">
        <v>80.891537871021299</v>
      </c>
      <c r="H101" s="1557"/>
      <c r="I101" s="266"/>
      <c r="J101" s="291"/>
      <c r="K101" s="266"/>
      <c r="L101" s="266"/>
      <c r="M101" s="749"/>
      <c r="N101" s="742"/>
      <c r="O101" s="268">
        <v>83.3</v>
      </c>
      <c r="P101" s="3513">
        <v>83.2</v>
      </c>
      <c r="Q101" s="268">
        <v>91.5</v>
      </c>
      <c r="R101" s="3770"/>
      <c r="S101" s="1470"/>
      <c r="T101" s="1111"/>
      <c r="U101" s="1111"/>
    </row>
    <row r="102" spans="1:21" s="17" customFormat="1">
      <c r="A102" s="1548">
        <v>1980.09</v>
      </c>
      <c r="B102" s="1559">
        <v>31.617196758278698</v>
      </c>
      <c r="C102" s="3711">
        <v>108.410137807833</v>
      </c>
      <c r="D102" s="1560">
        <v>2.18660256142722</v>
      </c>
      <c r="E102" s="1561">
        <v>90.9279351799983</v>
      </c>
      <c r="F102" s="3711">
        <v>95.176097691379496</v>
      </c>
      <c r="G102" s="1560">
        <v>80.428995310466107</v>
      </c>
      <c r="H102" s="1557"/>
      <c r="I102" s="266"/>
      <c r="J102" s="291"/>
      <c r="K102" s="266"/>
      <c r="L102" s="266"/>
      <c r="M102" s="749"/>
      <c r="N102" s="742"/>
      <c r="O102" s="268">
        <v>84</v>
      </c>
      <c r="P102" s="3513">
        <v>83.9</v>
      </c>
      <c r="Q102" s="268">
        <v>91.7</v>
      </c>
      <c r="R102" s="3770"/>
      <c r="S102" s="1470"/>
      <c r="T102" s="1111"/>
      <c r="U102" s="1111"/>
    </row>
    <row r="103" spans="1:21" s="17" customFormat="1">
      <c r="A103" s="1548">
        <v>1980.1</v>
      </c>
      <c r="B103" s="1559">
        <v>31.786418747291101</v>
      </c>
      <c r="C103" s="3711">
        <v>108.78488373008599</v>
      </c>
      <c r="D103" s="1560">
        <v>2.2079001500892099</v>
      </c>
      <c r="E103" s="1561">
        <v>91.203743526148401</v>
      </c>
      <c r="F103" s="3711">
        <v>95.878135200392094</v>
      </c>
      <c r="G103" s="1560">
        <v>79.875587318283394</v>
      </c>
      <c r="H103" s="1557"/>
      <c r="I103" s="266"/>
      <c r="J103" s="291"/>
      <c r="K103" s="266"/>
      <c r="L103" s="266"/>
      <c r="M103" s="749"/>
      <c r="N103" s="742"/>
      <c r="O103" s="268">
        <v>84.8</v>
      </c>
      <c r="P103" s="3513">
        <v>84.7</v>
      </c>
      <c r="Q103" s="268">
        <v>92.8</v>
      </c>
      <c r="R103" s="3770"/>
      <c r="S103" s="1470"/>
      <c r="T103" s="1111"/>
      <c r="U103" s="1111"/>
    </row>
    <row r="104" spans="1:21" s="17" customFormat="1">
      <c r="A104" s="1548">
        <v>1980.11</v>
      </c>
      <c r="B104" s="1559">
        <v>32.431247703661803</v>
      </c>
      <c r="C104" s="3711">
        <v>111.34734108855</v>
      </c>
      <c r="D104" s="1560">
        <v>2.23616021040396</v>
      </c>
      <c r="E104" s="1561">
        <v>92.753623358797398</v>
      </c>
      <c r="F104" s="3711">
        <v>98.176849358858505</v>
      </c>
      <c r="G104" s="1560">
        <v>79.965191590318099</v>
      </c>
      <c r="H104" s="1557"/>
      <c r="I104" s="266"/>
      <c r="J104" s="291"/>
      <c r="K104" s="266"/>
      <c r="L104" s="266"/>
      <c r="M104" s="749"/>
      <c r="N104" s="742"/>
      <c r="O104" s="268">
        <v>85.5</v>
      </c>
      <c r="P104" s="3513">
        <v>85.6</v>
      </c>
      <c r="Q104" s="268">
        <v>93.2</v>
      </c>
      <c r="R104" s="3770"/>
      <c r="S104" s="1470"/>
      <c r="T104" s="1111"/>
      <c r="U104" s="1111"/>
    </row>
    <row r="105" spans="1:21" s="17" customFormat="1">
      <c r="A105" s="1548">
        <v>1980.12</v>
      </c>
      <c r="B105" s="1559">
        <v>32.779496077848101</v>
      </c>
      <c r="C105" s="3711">
        <v>112.55555436039199</v>
      </c>
      <c r="D105" s="1560">
        <v>2.25961297749248</v>
      </c>
      <c r="E105" s="1561">
        <v>93.556588330960096</v>
      </c>
      <c r="F105" s="3711">
        <v>99.455137018069294</v>
      </c>
      <c r="G105" s="1560">
        <v>79.860954206455702</v>
      </c>
      <c r="H105" s="1557"/>
      <c r="I105" s="266"/>
      <c r="J105" s="291"/>
      <c r="K105" s="266"/>
      <c r="L105" s="266"/>
      <c r="M105" s="749"/>
      <c r="N105" s="742"/>
      <c r="O105" s="268">
        <v>86.3</v>
      </c>
      <c r="P105" s="3513">
        <v>86.4</v>
      </c>
      <c r="Q105" s="268">
        <v>93.8</v>
      </c>
      <c r="R105" s="3770"/>
      <c r="S105" s="1470"/>
      <c r="T105" s="1111"/>
      <c r="U105" s="1111"/>
    </row>
    <row r="106" spans="1:21" s="17" customFormat="1">
      <c r="A106" s="1548">
        <v>1981.01</v>
      </c>
      <c r="B106" s="1559">
        <v>32.756355764691698</v>
      </c>
      <c r="C106" s="3711">
        <v>111.971549621164</v>
      </c>
      <c r="D106" s="1560">
        <v>2.2813102160739498</v>
      </c>
      <c r="E106" s="1561">
        <v>93.079749222018606</v>
      </c>
      <c r="F106" s="3711">
        <v>98.795405240461307</v>
      </c>
      <c r="G106" s="1560">
        <v>79.730310096021597</v>
      </c>
      <c r="H106" s="1557"/>
      <c r="I106" s="266"/>
      <c r="J106" s="291"/>
      <c r="K106" s="266"/>
      <c r="L106" s="266"/>
      <c r="M106" s="749"/>
      <c r="N106" s="742"/>
      <c r="O106" s="268">
        <v>87</v>
      </c>
      <c r="P106" s="3513">
        <v>87.2</v>
      </c>
      <c r="Q106" s="268">
        <v>95.2</v>
      </c>
      <c r="R106" s="3770"/>
      <c r="S106" s="1470"/>
      <c r="T106" s="1111"/>
      <c r="U106" s="1111"/>
    </row>
    <row r="107" spans="1:21" s="17" customFormat="1">
      <c r="A107" s="1548">
        <v>1981.02</v>
      </c>
      <c r="B107" s="1559">
        <v>33.664741432169798</v>
      </c>
      <c r="C107" s="3711">
        <v>115.702877998254</v>
      </c>
      <c r="D107" s="1560">
        <v>2.31613987131648</v>
      </c>
      <c r="E107" s="1561">
        <v>95.420747660177298</v>
      </c>
      <c r="F107" s="3711">
        <v>102.2335655481</v>
      </c>
      <c r="G107" s="1560">
        <v>80.033056947412703</v>
      </c>
      <c r="H107" s="1557"/>
      <c r="I107" s="266"/>
      <c r="J107" s="291"/>
      <c r="K107" s="266"/>
      <c r="L107" s="266"/>
      <c r="M107" s="749"/>
      <c r="N107" s="742"/>
      <c r="O107" s="268">
        <v>87.9</v>
      </c>
      <c r="P107" s="3513">
        <v>88</v>
      </c>
      <c r="Q107" s="268">
        <v>96.1</v>
      </c>
      <c r="R107" s="3770"/>
      <c r="S107" s="1470"/>
      <c r="T107" s="1111"/>
      <c r="U107" s="1111"/>
    </row>
    <row r="108" spans="1:21" s="17" customFormat="1">
      <c r="A108" s="1548">
        <v>1981.03</v>
      </c>
      <c r="B108" s="1559">
        <v>33.838694461734697</v>
      </c>
      <c r="C108" s="3711">
        <v>116.007700251692</v>
      </c>
      <c r="D108" s="1560">
        <v>2.3413359613066298</v>
      </c>
      <c r="E108" s="1561">
        <v>95.450262816945298</v>
      </c>
      <c r="F108" s="3711">
        <v>102.371259693038</v>
      </c>
      <c r="G108" s="1560">
        <v>79.871575509868407</v>
      </c>
      <c r="H108" s="1557"/>
      <c r="I108" s="266"/>
      <c r="J108" s="291"/>
      <c r="K108" s="266"/>
      <c r="L108" s="266"/>
      <c r="M108" s="749"/>
      <c r="N108" s="742"/>
      <c r="O108" s="268">
        <v>88.5</v>
      </c>
      <c r="P108" s="3513">
        <v>88.6</v>
      </c>
      <c r="Q108" s="268">
        <v>97</v>
      </c>
      <c r="R108" s="3770"/>
      <c r="S108" s="1470"/>
      <c r="T108" s="1111"/>
      <c r="U108" s="1111"/>
    </row>
    <row r="109" spans="1:21" s="17" customFormat="1">
      <c r="A109" s="1548">
        <v>1981.04</v>
      </c>
      <c r="B109" s="1559">
        <v>34.519141278359299</v>
      </c>
      <c r="C109" s="3711">
        <v>118.29861643026599</v>
      </c>
      <c r="D109" s="1560">
        <v>2.3903198909171901</v>
      </c>
      <c r="E109" s="1561">
        <v>96.879031638978503</v>
      </c>
      <c r="F109" s="3711">
        <v>104.25078894246801</v>
      </c>
      <c r="G109" s="1560">
        <v>80.461926312557594</v>
      </c>
      <c r="H109" s="1557"/>
      <c r="I109" s="266"/>
      <c r="J109" s="291"/>
      <c r="K109" s="266"/>
      <c r="L109" s="266"/>
      <c r="M109" s="749"/>
      <c r="N109" s="742"/>
      <c r="O109" s="268">
        <v>89.1</v>
      </c>
      <c r="P109" s="3513">
        <v>89.1</v>
      </c>
      <c r="Q109" s="268">
        <v>98</v>
      </c>
      <c r="R109" s="3770"/>
      <c r="S109" s="1470"/>
      <c r="T109" s="1111"/>
      <c r="U109" s="1111"/>
    </row>
    <row r="110" spans="1:21" s="17" customFormat="1">
      <c r="A110" s="1548">
        <v>1981.05</v>
      </c>
      <c r="B110" s="1559">
        <v>35.480905187737903</v>
      </c>
      <c r="C110" s="3711">
        <v>122.20639422291001</v>
      </c>
      <c r="D110" s="1560">
        <v>2.4293773221355499</v>
      </c>
      <c r="E110" s="1561">
        <v>99.195626053140302</v>
      </c>
      <c r="F110" s="3711">
        <v>107.686180924917</v>
      </c>
      <c r="G110" s="1560">
        <v>80.774815310267101</v>
      </c>
      <c r="H110" s="1557"/>
      <c r="I110" s="266"/>
      <c r="J110" s="291"/>
      <c r="K110" s="266"/>
      <c r="L110" s="266"/>
      <c r="M110" s="749"/>
      <c r="N110" s="742"/>
      <c r="O110" s="268">
        <v>89.8</v>
      </c>
      <c r="P110" s="3513">
        <v>89.7</v>
      </c>
      <c r="Q110" s="268">
        <v>98.3</v>
      </c>
      <c r="R110" s="3770"/>
      <c r="S110" s="1470"/>
      <c r="T110" s="1111"/>
      <c r="U110" s="1111"/>
    </row>
    <row r="111" spans="1:21" s="17" customFormat="1">
      <c r="A111" s="1548">
        <v>1981.06</v>
      </c>
      <c r="B111" s="1559">
        <v>36.282400151958001</v>
      </c>
      <c r="C111" s="3711">
        <v>124.789252702968</v>
      </c>
      <c r="D111" s="1560">
        <v>2.4921985702070102</v>
      </c>
      <c r="E111" s="1561">
        <v>101.130147072634</v>
      </c>
      <c r="F111" s="3711">
        <v>110.007819527647</v>
      </c>
      <c r="G111" s="1560">
        <v>81.977994479156095</v>
      </c>
      <c r="H111" s="1557"/>
      <c r="I111" s="266"/>
      <c r="J111" s="291"/>
      <c r="K111" s="266"/>
      <c r="L111" s="266"/>
      <c r="M111" s="749"/>
      <c r="N111" s="742"/>
      <c r="O111" s="268">
        <v>90.6</v>
      </c>
      <c r="P111" s="3513">
        <v>90.5</v>
      </c>
      <c r="Q111" s="268">
        <v>98.5</v>
      </c>
      <c r="R111" s="3770"/>
      <c r="S111" s="1470"/>
      <c r="T111" s="1111"/>
      <c r="U111" s="1111"/>
    </row>
    <row r="112" spans="1:21" s="17" customFormat="1">
      <c r="A112" s="1548">
        <v>1981.07</v>
      </c>
      <c r="B112" s="1559">
        <v>37.011599698530297</v>
      </c>
      <c r="C112" s="3711">
        <v>127.747619788449</v>
      </c>
      <c r="D112" s="1560">
        <v>2.5222036414844999</v>
      </c>
      <c r="E112" s="1561">
        <v>103.194254128857</v>
      </c>
      <c r="F112" s="3711">
        <v>113.065739818507</v>
      </c>
      <c r="G112" s="1560">
        <v>82.306579321095896</v>
      </c>
      <c r="H112" s="1557"/>
      <c r="I112" s="266"/>
      <c r="J112" s="291"/>
      <c r="K112" s="266"/>
      <c r="L112" s="266"/>
      <c r="M112" s="749"/>
      <c r="N112" s="742"/>
      <c r="O112" s="268">
        <v>91.6</v>
      </c>
      <c r="P112" s="3513">
        <v>91.5</v>
      </c>
      <c r="Q112" s="268">
        <v>99</v>
      </c>
      <c r="R112" s="3770"/>
      <c r="S112" s="1470"/>
      <c r="T112" s="1111"/>
      <c r="U112" s="1111"/>
    </row>
    <row r="113" spans="1:21" s="17" customFormat="1">
      <c r="A113" s="1548">
        <v>1981.08</v>
      </c>
      <c r="B113" s="1559">
        <v>37.633406117467104</v>
      </c>
      <c r="C113" s="3711">
        <v>129.758371909933</v>
      </c>
      <c r="D113" s="1560">
        <v>2.5706953605465901</v>
      </c>
      <c r="E113" s="1561">
        <v>104.59126983335101</v>
      </c>
      <c r="F113" s="3711">
        <v>114.897367098069</v>
      </c>
      <c r="G113" s="1560">
        <v>82.930700166387595</v>
      </c>
      <c r="H113" s="1557"/>
      <c r="I113" s="266"/>
      <c r="J113" s="291"/>
      <c r="K113" s="266"/>
      <c r="L113" s="266"/>
      <c r="M113" s="749"/>
      <c r="N113" s="742"/>
      <c r="O113" s="268">
        <v>92.3</v>
      </c>
      <c r="P113" s="3513">
        <v>92.2</v>
      </c>
      <c r="Q113" s="268">
        <v>99</v>
      </c>
      <c r="R113" s="3770"/>
      <c r="S113" s="1470"/>
      <c r="T113" s="1111"/>
      <c r="U113" s="1111"/>
    </row>
    <row r="114" spans="1:21" s="17" customFormat="1">
      <c r="A114" s="1548">
        <v>1981.09</v>
      </c>
      <c r="B114" s="1559">
        <v>37.044178441697198</v>
      </c>
      <c r="C114" s="3711">
        <v>126.22491564447699</v>
      </c>
      <c r="D114" s="1560">
        <v>2.5985390596807401</v>
      </c>
      <c r="E114" s="1561">
        <v>102.837704480659</v>
      </c>
      <c r="F114" s="3711">
        <v>111.9151230011</v>
      </c>
      <c r="G114" s="1560">
        <v>83.278778436787206</v>
      </c>
      <c r="H114" s="1557"/>
      <c r="I114" s="266"/>
      <c r="J114" s="291"/>
      <c r="K114" s="266"/>
      <c r="L114" s="266"/>
      <c r="M114" s="749"/>
      <c r="N114" s="742"/>
      <c r="O114" s="268">
        <v>93.2</v>
      </c>
      <c r="P114" s="3513">
        <v>93.1</v>
      </c>
      <c r="Q114" s="268">
        <v>98.8</v>
      </c>
      <c r="R114" s="3770"/>
      <c r="S114" s="1470"/>
      <c r="T114" s="1111"/>
      <c r="U114" s="1111"/>
    </row>
    <row r="115" spans="1:21" s="17" customFormat="1">
      <c r="A115" s="1548">
        <v>1981.1</v>
      </c>
      <c r="B115" s="1559">
        <v>36.950215168201801</v>
      </c>
      <c r="C115" s="3711">
        <v>125.262467715353</v>
      </c>
      <c r="D115" s="1560">
        <v>2.6218781862189902</v>
      </c>
      <c r="E115" s="1561">
        <v>101.963709302415</v>
      </c>
      <c r="F115" s="3711">
        <v>110.70924877912501</v>
      </c>
      <c r="G115" s="1560">
        <v>82.998446250081798</v>
      </c>
      <c r="H115" s="1557"/>
      <c r="I115" s="266"/>
      <c r="J115" s="291"/>
      <c r="K115" s="266"/>
      <c r="L115" s="266"/>
      <c r="M115" s="749"/>
      <c r="N115" s="742"/>
      <c r="O115" s="268">
        <v>93.4</v>
      </c>
      <c r="P115" s="3513">
        <v>93.4</v>
      </c>
      <c r="Q115" s="268">
        <v>98.9</v>
      </c>
      <c r="R115" s="3770"/>
      <c r="S115" s="1470"/>
      <c r="T115" s="1111"/>
      <c r="U115" s="1111"/>
    </row>
    <row r="116" spans="1:21" s="17" customFormat="1">
      <c r="A116" s="1548">
        <v>1981.11</v>
      </c>
      <c r="B116" s="1559">
        <v>36.551248162592103</v>
      </c>
      <c r="C116" s="3711">
        <v>122.978457247531</v>
      </c>
      <c r="D116" s="1560">
        <v>2.6378895800817199</v>
      </c>
      <c r="E116" s="1561">
        <v>100.218920110106</v>
      </c>
      <c r="F116" s="3711">
        <v>108.17188254608</v>
      </c>
      <c r="G116" s="1560">
        <v>82.671508878515596</v>
      </c>
      <c r="H116" s="1557"/>
      <c r="I116" s="266"/>
      <c r="J116" s="291"/>
      <c r="K116" s="266"/>
      <c r="L116" s="266"/>
      <c r="M116" s="749"/>
      <c r="N116" s="742"/>
      <c r="O116" s="268">
        <v>93.7</v>
      </c>
      <c r="P116" s="3513">
        <v>93.8</v>
      </c>
      <c r="Q116" s="268">
        <v>98.8</v>
      </c>
      <c r="R116" s="3770"/>
      <c r="S116" s="1470"/>
      <c r="T116" s="1111"/>
      <c r="U116" s="1111"/>
    </row>
    <row r="117" spans="1:21" s="17" customFormat="1">
      <c r="A117" s="1548">
        <v>1981.12</v>
      </c>
      <c r="B117" s="1559">
        <v>36.676715983665801</v>
      </c>
      <c r="C117" s="3711">
        <v>122.967690841145</v>
      </c>
      <c r="D117" s="1560">
        <v>2.66789913989399</v>
      </c>
      <c r="E117" s="1561">
        <v>99.950735299654397</v>
      </c>
      <c r="F117" s="3711">
        <v>107.809486502708</v>
      </c>
      <c r="G117" s="1560">
        <v>82.575635535320899</v>
      </c>
      <c r="H117" s="1557"/>
      <c r="I117" s="266"/>
      <c r="J117" s="291"/>
      <c r="K117" s="266"/>
      <c r="L117" s="266"/>
      <c r="M117" s="749"/>
      <c r="N117" s="742"/>
      <c r="O117" s="268">
        <v>94</v>
      </c>
      <c r="P117" s="3513">
        <v>94.1</v>
      </c>
      <c r="Q117" s="268">
        <v>98.8</v>
      </c>
      <c r="R117" s="3770"/>
      <c r="S117" s="1470"/>
      <c r="T117" s="1111"/>
      <c r="U117" s="1111"/>
    </row>
    <row r="118" spans="1:21" s="17" customFormat="1">
      <c r="A118" s="1548">
        <v>1982.01</v>
      </c>
      <c r="B118" s="1559">
        <v>37.291459216217</v>
      </c>
      <c r="C118" s="3711">
        <v>124.758935027898</v>
      </c>
      <c r="D118" s="1560">
        <v>2.7260085240038299</v>
      </c>
      <c r="E118" s="1561">
        <v>101.02150049597201</v>
      </c>
      <c r="F118" s="3711">
        <v>109.286284863456</v>
      </c>
      <c r="G118" s="1560">
        <v>82.896296464817695</v>
      </c>
      <c r="H118" s="1557"/>
      <c r="I118" s="266"/>
      <c r="J118" s="291"/>
      <c r="K118" s="266"/>
      <c r="L118" s="266"/>
      <c r="M118" s="749"/>
      <c r="N118" s="742"/>
      <c r="O118" s="268">
        <v>94.3</v>
      </c>
      <c r="P118" s="3513">
        <v>94.4</v>
      </c>
      <c r="Q118" s="268">
        <v>99.7</v>
      </c>
      <c r="R118" s="3770"/>
      <c r="S118" s="1470"/>
      <c r="T118" s="1111"/>
      <c r="U118" s="1111"/>
    </row>
    <row r="119" spans="1:21" s="17" customFormat="1">
      <c r="A119" s="1548">
        <v>1982.02</v>
      </c>
      <c r="B119" s="1559">
        <v>38.616761725114998</v>
      </c>
      <c r="C119" s="3711">
        <v>128.62900683688</v>
      </c>
      <c r="D119" s="1560">
        <v>2.8513804414027399</v>
      </c>
      <c r="E119" s="1561">
        <v>104.01702509602499</v>
      </c>
      <c r="F119" s="3711">
        <v>112.40941401348699</v>
      </c>
      <c r="G119" s="1560">
        <v>85.5595556354819</v>
      </c>
      <c r="H119" s="1557"/>
      <c r="I119" s="266"/>
      <c r="J119" s="291"/>
      <c r="K119" s="266"/>
      <c r="L119" s="266"/>
      <c r="M119" s="749"/>
      <c r="N119" s="742"/>
      <c r="O119" s="268">
        <v>94.6</v>
      </c>
      <c r="P119" s="3513">
        <v>94.7</v>
      </c>
      <c r="Q119" s="268">
        <v>99.8</v>
      </c>
      <c r="R119" s="3770"/>
      <c r="S119" s="1470"/>
      <c r="T119" s="1111"/>
      <c r="U119" s="1111"/>
    </row>
    <row r="120" spans="1:21" s="17" customFormat="1">
      <c r="A120" s="1548">
        <v>1982.03</v>
      </c>
      <c r="B120" s="1559">
        <v>40.041602963244301</v>
      </c>
      <c r="C120" s="3711">
        <v>130.84664286504201</v>
      </c>
      <c r="D120" s="1560">
        <v>3.0896321521711898</v>
      </c>
      <c r="E120" s="1561">
        <v>106.815720308979</v>
      </c>
      <c r="F120" s="3711">
        <v>113.616217942736</v>
      </c>
      <c r="G120" s="1560">
        <v>91.126781914962095</v>
      </c>
      <c r="H120" s="1557"/>
      <c r="I120" s="266"/>
      <c r="J120" s="291"/>
      <c r="K120" s="266"/>
      <c r="L120" s="266"/>
      <c r="M120" s="749"/>
      <c r="N120" s="742"/>
      <c r="O120" s="268">
        <v>94.5</v>
      </c>
      <c r="P120" s="3513">
        <v>94.7</v>
      </c>
      <c r="Q120" s="268">
        <v>99.6</v>
      </c>
      <c r="R120" s="3770"/>
      <c r="S120" s="1470"/>
      <c r="T120" s="1111"/>
      <c r="U120" s="1111"/>
    </row>
    <row r="121" spans="1:21" s="17" customFormat="1">
      <c r="A121" s="1548">
        <v>1982.04</v>
      </c>
      <c r="B121" s="1559">
        <v>40.532601378854302</v>
      </c>
      <c r="C121" s="3711">
        <v>132.36997933022101</v>
      </c>
      <c r="D121" s="1560">
        <v>3.1319052622092101</v>
      </c>
      <c r="E121" s="1561">
        <v>107.372026639331</v>
      </c>
      <c r="F121" s="3711">
        <v>114.557830777768</v>
      </c>
      <c r="G121" s="1560">
        <v>90.959472816623503</v>
      </c>
      <c r="H121" s="1557"/>
      <c r="I121" s="266"/>
      <c r="J121" s="291"/>
      <c r="K121" s="266"/>
      <c r="L121" s="266"/>
      <c r="M121" s="749"/>
      <c r="N121" s="742"/>
      <c r="O121" s="268">
        <v>94.9</v>
      </c>
      <c r="P121" s="3513">
        <v>95</v>
      </c>
      <c r="Q121" s="268">
        <v>99.6</v>
      </c>
      <c r="R121" s="3770"/>
      <c r="S121" s="1470"/>
      <c r="T121" s="1111"/>
      <c r="U121" s="1111"/>
    </row>
    <row r="122" spans="1:21" s="17" customFormat="1">
      <c r="A122" s="1548">
        <v>1982.05</v>
      </c>
      <c r="B122" s="1559">
        <v>40.161911238701997</v>
      </c>
      <c r="C122" s="3711">
        <v>130.03550550030701</v>
      </c>
      <c r="D122" s="1560">
        <v>3.1652585845825798</v>
      </c>
      <c r="E122" s="1561">
        <v>106.048463783443</v>
      </c>
      <c r="F122" s="3711">
        <v>112.68800534726</v>
      </c>
      <c r="G122" s="1560">
        <v>90.679271850984705</v>
      </c>
      <c r="H122" s="1557"/>
      <c r="I122" s="266"/>
      <c r="J122" s="291"/>
      <c r="K122" s="266"/>
      <c r="L122" s="266"/>
      <c r="M122" s="749"/>
      <c r="N122" s="742"/>
      <c r="O122" s="268">
        <v>95.8</v>
      </c>
      <c r="P122" s="3513">
        <v>95.9</v>
      </c>
      <c r="Q122" s="268">
        <v>99.8</v>
      </c>
      <c r="R122" s="3770"/>
      <c r="S122" s="1470"/>
      <c r="T122" s="1111"/>
      <c r="U122" s="1111"/>
    </row>
    <row r="123" spans="1:21" s="17" customFormat="1">
      <c r="A123" s="1548">
        <v>1982.06</v>
      </c>
      <c r="B123" s="1559">
        <v>41.773363513263497</v>
      </c>
      <c r="C123" s="3711">
        <v>136.25932749877001</v>
      </c>
      <c r="D123" s="1560">
        <v>3.23685019598526</v>
      </c>
      <c r="E123" s="1561">
        <v>110.263919842346</v>
      </c>
      <c r="F123" s="3711">
        <v>118.637154593811</v>
      </c>
      <c r="G123" s="1560">
        <v>91.620084387211193</v>
      </c>
      <c r="H123" s="1557"/>
      <c r="I123" s="266"/>
      <c r="J123" s="291"/>
      <c r="K123" s="266"/>
      <c r="L123" s="266"/>
      <c r="M123" s="749"/>
      <c r="N123" s="742"/>
      <c r="O123" s="268">
        <v>97</v>
      </c>
      <c r="P123" s="3513">
        <v>97</v>
      </c>
      <c r="Q123" s="268">
        <v>100</v>
      </c>
      <c r="R123" s="3770"/>
      <c r="S123" s="1470"/>
      <c r="T123" s="1111"/>
      <c r="U123" s="1111"/>
    </row>
    <row r="124" spans="1:21" s="17" customFormat="1">
      <c r="A124" s="1548">
        <v>1982.07</v>
      </c>
      <c r="B124" s="1559">
        <v>42.5632368139308</v>
      </c>
      <c r="C124" s="3711">
        <v>137.848340437969</v>
      </c>
      <c r="D124" s="1560">
        <v>3.3524130853753098</v>
      </c>
      <c r="E124" s="1561">
        <v>111.788025557144</v>
      </c>
      <c r="F124" s="3711">
        <v>120.176343223988</v>
      </c>
      <c r="G124" s="1560">
        <v>93.065438077746606</v>
      </c>
      <c r="H124" s="1557"/>
      <c r="I124" s="266"/>
      <c r="J124" s="291"/>
      <c r="K124" s="266"/>
      <c r="L124" s="266"/>
      <c r="M124" s="749"/>
      <c r="N124" s="742"/>
      <c r="O124" s="268">
        <v>97.5</v>
      </c>
      <c r="P124" s="3513">
        <v>97.5</v>
      </c>
      <c r="Q124" s="268">
        <v>100.4</v>
      </c>
      <c r="R124" s="3770"/>
      <c r="S124" s="1470"/>
      <c r="T124" s="1111"/>
      <c r="U124" s="1111"/>
    </row>
    <row r="125" spans="1:21" s="17" customFormat="1">
      <c r="A125" s="1548">
        <v>1982.08</v>
      </c>
      <c r="B125" s="1559">
        <v>44.016797878716403</v>
      </c>
      <c r="C125" s="3711">
        <v>138.093289811044</v>
      </c>
      <c r="D125" s="1560">
        <v>3.7298994421939602</v>
      </c>
      <c r="E125" s="1561">
        <v>114.057773808538</v>
      </c>
      <c r="F125" s="3711">
        <v>119.857254544184</v>
      </c>
      <c r="G125" s="1560">
        <v>100.05557297855199</v>
      </c>
      <c r="H125" s="1557"/>
      <c r="I125" s="266"/>
      <c r="J125" s="291"/>
      <c r="K125" s="266"/>
      <c r="L125" s="266"/>
      <c r="M125" s="749"/>
      <c r="N125" s="742"/>
      <c r="O125" s="268">
        <v>97.7</v>
      </c>
      <c r="P125" s="3513">
        <v>97.7</v>
      </c>
      <c r="Q125" s="268">
        <v>100.3</v>
      </c>
      <c r="R125" s="3770"/>
      <c r="S125" s="1470"/>
      <c r="T125" s="1111"/>
      <c r="U125" s="1111"/>
    </row>
    <row r="126" spans="1:21" s="17" customFormat="1">
      <c r="A126" s="1548">
        <v>1982.09</v>
      </c>
      <c r="B126" s="1559">
        <v>44.651022903875699</v>
      </c>
      <c r="C126" s="3711">
        <v>139.033208660068</v>
      </c>
      <c r="D126" s="1560">
        <v>3.8495895851587001</v>
      </c>
      <c r="E126" s="1561">
        <v>114.53230468224299</v>
      </c>
      <c r="F126" s="3711">
        <v>120.053189576028</v>
      </c>
      <c r="G126" s="1560">
        <v>101.055232956637</v>
      </c>
      <c r="H126" s="1557"/>
      <c r="I126" s="266"/>
      <c r="J126" s="291"/>
      <c r="K126" s="266"/>
      <c r="L126" s="266"/>
      <c r="M126" s="749"/>
      <c r="N126" s="742"/>
      <c r="O126" s="268">
        <v>97.9</v>
      </c>
      <c r="P126" s="3513">
        <v>97.7</v>
      </c>
      <c r="Q126" s="268">
        <v>100</v>
      </c>
      <c r="R126" s="3770"/>
      <c r="S126" s="1470"/>
      <c r="T126" s="1111"/>
      <c r="U126" s="1111"/>
    </row>
    <row r="127" spans="1:21" s="17" customFormat="1">
      <c r="A127" s="1548">
        <v>1982.1</v>
      </c>
      <c r="B127" s="1559">
        <v>44.749339781570299</v>
      </c>
      <c r="C127" s="3711">
        <v>141.116664062681</v>
      </c>
      <c r="D127" s="1560">
        <v>3.7472544115846</v>
      </c>
      <c r="E127" s="1561">
        <v>114.08472646296499</v>
      </c>
      <c r="F127" s="3711">
        <v>121.714262423921</v>
      </c>
      <c r="G127" s="1560">
        <v>96.656151140236503</v>
      </c>
      <c r="H127" s="1557"/>
      <c r="I127" s="266"/>
      <c r="J127" s="291"/>
      <c r="K127" s="266"/>
      <c r="L127" s="266"/>
      <c r="M127" s="749"/>
      <c r="N127" s="742"/>
      <c r="O127" s="268">
        <v>98.2</v>
      </c>
      <c r="P127" s="3513">
        <v>98.1</v>
      </c>
      <c r="Q127" s="268">
        <v>100.2</v>
      </c>
      <c r="R127" s="3770"/>
      <c r="S127" s="1470"/>
      <c r="T127" s="1111"/>
      <c r="U127" s="1111"/>
    </row>
    <row r="128" spans="1:21" s="17" customFormat="1">
      <c r="A128" s="1548">
        <v>1982.11</v>
      </c>
      <c r="B128" s="1559">
        <v>44.946095225760899</v>
      </c>
      <c r="C128" s="3711">
        <v>141.24852390679101</v>
      </c>
      <c r="D128" s="1560">
        <v>3.7938182461085002</v>
      </c>
      <c r="E128" s="1561">
        <v>113.453839082485</v>
      </c>
      <c r="F128" s="3711">
        <v>121.279125271569</v>
      </c>
      <c r="G128" s="1560">
        <v>95.688653675239394</v>
      </c>
      <c r="H128" s="1557"/>
      <c r="I128" s="266"/>
      <c r="J128" s="291"/>
      <c r="K128" s="266"/>
      <c r="L128" s="266"/>
      <c r="M128" s="749"/>
      <c r="N128" s="742"/>
      <c r="O128" s="268">
        <v>98</v>
      </c>
      <c r="P128" s="3513">
        <v>98</v>
      </c>
      <c r="Q128" s="268">
        <v>100.3</v>
      </c>
      <c r="R128" s="3770"/>
      <c r="S128" s="1470"/>
      <c r="T128" s="1111"/>
      <c r="U128" s="1111"/>
    </row>
    <row r="129" spans="1:21" s="17" customFormat="1">
      <c r="A129" s="1548">
        <v>1982.12</v>
      </c>
      <c r="B129" s="1559">
        <v>44.341850099421798</v>
      </c>
      <c r="C129" s="3711">
        <v>136.72299622019199</v>
      </c>
      <c r="D129" s="1560">
        <v>3.91013522749989</v>
      </c>
      <c r="E129" s="1561">
        <v>110.2677831228</v>
      </c>
      <c r="F129" s="3711">
        <v>116.563056517482</v>
      </c>
      <c r="G129" s="1560">
        <v>95.422377180490798</v>
      </c>
      <c r="H129" s="1557"/>
      <c r="I129" s="266"/>
      <c r="J129" s="291"/>
      <c r="K129" s="266"/>
      <c r="L129" s="266"/>
      <c r="M129" s="749"/>
      <c r="N129" s="742"/>
      <c r="O129" s="268">
        <v>97.6</v>
      </c>
      <c r="P129" s="3513">
        <v>97.7</v>
      </c>
      <c r="Q129" s="268">
        <v>100.5</v>
      </c>
      <c r="R129" s="3770"/>
      <c r="S129" s="1470"/>
      <c r="T129" s="1111"/>
      <c r="U129" s="1111"/>
    </row>
    <row r="130" spans="1:21" s="17" customFormat="1">
      <c r="A130" s="1548">
        <v>1983.01</v>
      </c>
      <c r="B130" s="1559">
        <v>44.470027896248702</v>
      </c>
      <c r="C130" s="3711">
        <v>134.77993887663001</v>
      </c>
      <c r="D130" s="1560">
        <v>4.0824753777589198</v>
      </c>
      <c r="E130" s="1561">
        <v>109.80313692655901</v>
      </c>
      <c r="F130" s="3711">
        <v>114.932167099404</v>
      </c>
      <c r="G130" s="1560">
        <v>97.249572609052905</v>
      </c>
      <c r="H130" s="1557"/>
      <c r="I130" s="266"/>
      <c r="J130" s="291"/>
      <c r="K130" s="266"/>
      <c r="L130" s="266"/>
      <c r="M130" s="749"/>
      <c r="N130" s="742"/>
      <c r="O130" s="268">
        <v>97.8</v>
      </c>
      <c r="P130" s="3513">
        <v>97.9</v>
      </c>
      <c r="Q130" s="268">
        <v>100.2</v>
      </c>
      <c r="R130" s="3770"/>
      <c r="S130" s="1470"/>
      <c r="T130" s="1111"/>
      <c r="U130" s="1111"/>
    </row>
    <row r="131" spans="1:21" s="17" customFormat="1">
      <c r="A131" s="1548">
        <v>1983.02</v>
      </c>
      <c r="B131" s="1559">
        <v>45.213523648370099</v>
      </c>
      <c r="C131" s="3711">
        <v>136.37976453118</v>
      </c>
      <c r="D131" s="1560">
        <v>4.1975133258162796</v>
      </c>
      <c r="E131" s="1561">
        <v>110.853150800497</v>
      </c>
      <c r="F131" s="3711">
        <v>116.157087619782</v>
      </c>
      <c r="G131" s="1560">
        <v>97.929715380468295</v>
      </c>
      <c r="H131" s="1557"/>
      <c r="I131" s="266"/>
      <c r="J131" s="291"/>
      <c r="K131" s="266"/>
      <c r="L131" s="266"/>
      <c r="M131" s="749"/>
      <c r="N131" s="742"/>
      <c r="O131" s="268">
        <v>97.9</v>
      </c>
      <c r="P131" s="3513">
        <v>98</v>
      </c>
      <c r="Q131" s="268">
        <v>100.5</v>
      </c>
      <c r="R131" s="3770"/>
      <c r="S131" s="1470"/>
      <c r="T131" s="1111"/>
      <c r="U131" s="1111"/>
    </row>
    <row r="132" spans="1:21" s="17" customFormat="1">
      <c r="A132" s="1548">
        <v>1983.03</v>
      </c>
      <c r="B132" s="1559">
        <v>45.919097290208398</v>
      </c>
      <c r="C132" s="3711">
        <v>137.73914726522901</v>
      </c>
      <c r="D132" s="1560">
        <v>4.3191389914749001</v>
      </c>
      <c r="E132" s="1561">
        <v>111.45548714361</v>
      </c>
      <c r="F132" s="3711">
        <v>116.72800642399901</v>
      </c>
      <c r="G132" s="1560">
        <v>98.581284906263505</v>
      </c>
      <c r="H132" s="1557"/>
      <c r="I132" s="266"/>
      <c r="J132" s="291"/>
      <c r="K132" s="266"/>
      <c r="L132" s="266"/>
      <c r="M132" s="749"/>
      <c r="N132" s="742"/>
      <c r="O132" s="268">
        <v>97.9</v>
      </c>
      <c r="P132" s="3513">
        <v>98.1</v>
      </c>
      <c r="Q132" s="268">
        <v>100.4</v>
      </c>
      <c r="R132" s="3770"/>
      <c r="S132" s="1470"/>
      <c r="T132" s="1111"/>
      <c r="U132" s="1111"/>
    </row>
    <row r="133" spans="1:21" s="17" customFormat="1">
      <c r="A133" s="1548">
        <v>1983.04</v>
      </c>
      <c r="B133" s="1559">
        <v>46.4789250758257</v>
      </c>
      <c r="C133" s="3711">
        <v>138.41263192398</v>
      </c>
      <c r="D133" s="1560">
        <v>4.4467780113631097</v>
      </c>
      <c r="E133" s="1561">
        <v>112.601585784318</v>
      </c>
      <c r="F133" s="3711">
        <v>117.805553209894</v>
      </c>
      <c r="G133" s="1560">
        <v>99.839093685450294</v>
      </c>
      <c r="H133" s="1557"/>
      <c r="I133" s="266"/>
      <c r="J133" s="291"/>
      <c r="K133" s="266"/>
      <c r="L133" s="266"/>
      <c r="M133" s="749"/>
      <c r="N133" s="742"/>
      <c r="O133" s="268">
        <v>98.6</v>
      </c>
      <c r="P133" s="3513">
        <v>98.8</v>
      </c>
      <c r="Q133" s="268">
        <v>100.4</v>
      </c>
      <c r="R133" s="3770"/>
      <c r="S133" s="1470"/>
      <c r="T133" s="1111"/>
      <c r="U133" s="1111"/>
    </row>
    <row r="134" spans="1:21" s="17" customFormat="1">
      <c r="A134" s="1548">
        <v>1983.05</v>
      </c>
      <c r="B134" s="1559">
        <v>46.642040154528303</v>
      </c>
      <c r="C134" s="3711">
        <v>138.01590495604199</v>
      </c>
      <c r="D134" s="1560">
        <v>4.5297423699922996</v>
      </c>
      <c r="E134" s="1561">
        <v>112.518004769889</v>
      </c>
      <c r="F134" s="3711">
        <v>117.455121991005</v>
      </c>
      <c r="G134" s="1560">
        <v>100.290749761811</v>
      </c>
      <c r="H134" s="1557"/>
      <c r="I134" s="266"/>
      <c r="J134" s="291"/>
      <c r="K134" s="266"/>
      <c r="L134" s="266"/>
      <c r="M134" s="749"/>
      <c r="N134" s="742"/>
      <c r="O134" s="268">
        <v>99.2</v>
      </c>
      <c r="P134" s="3513">
        <v>99.2</v>
      </c>
      <c r="Q134" s="268">
        <v>100.8</v>
      </c>
      <c r="R134" s="3770"/>
      <c r="S134" s="1470"/>
      <c r="T134" s="1111"/>
      <c r="U134" s="1111"/>
    </row>
    <row r="135" spans="1:21" s="17" customFormat="1">
      <c r="A135" s="1548">
        <v>1983.06</v>
      </c>
      <c r="B135" s="1559">
        <v>47.576869862977901</v>
      </c>
      <c r="C135" s="3711">
        <v>140.53211499169001</v>
      </c>
      <c r="D135" s="1560">
        <v>4.6398572422040099</v>
      </c>
      <c r="E135" s="1561">
        <v>113.944360599378</v>
      </c>
      <c r="F135" s="3711">
        <v>119.35395795818</v>
      </c>
      <c r="G135" s="1560">
        <v>100.744295189735</v>
      </c>
      <c r="H135" s="1557"/>
      <c r="I135" s="266"/>
      <c r="J135" s="291"/>
      <c r="K135" s="266"/>
      <c r="L135" s="266"/>
      <c r="M135" s="749"/>
      <c r="N135" s="742"/>
      <c r="O135" s="268">
        <v>99.5</v>
      </c>
      <c r="P135" s="3513">
        <v>99.4</v>
      </c>
      <c r="Q135" s="268">
        <v>101</v>
      </c>
      <c r="R135" s="3770"/>
      <c r="S135" s="1470"/>
      <c r="T135" s="1111"/>
      <c r="U135" s="1111"/>
    </row>
    <row r="136" spans="1:21" s="17" customFormat="1">
      <c r="A136" s="1548">
        <v>1983.07</v>
      </c>
      <c r="B136" s="1559">
        <v>48.079806092647203</v>
      </c>
      <c r="C136" s="3711">
        <v>141.52899145391899</v>
      </c>
      <c r="D136" s="1560">
        <v>4.7270491134550197</v>
      </c>
      <c r="E136" s="1561">
        <v>114.601387895225</v>
      </c>
      <c r="F136" s="3711">
        <v>120.214374635838</v>
      </c>
      <c r="G136" s="1560">
        <v>100.98444016793199</v>
      </c>
      <c r="H136" s="1557"/>
      <c r="I136" s="266"/>
      <c r="J136" s="291"/>
      <c r="K136" s="266"/>
      <c r="L136" s="266"/>
      <c r="M136" s="749"/>
      <c r="N136" s="742"/>
      <c r="O136" s="268">
        <v>99.9</v>
      </c>
      <c r="P136" s="3513">
        <v>99.8</v>
      </c>
      <c r="Q136" s="268">
        <v>101.3</v>
      </c>
      <c r="R136" s="3770"/>
      <c r="S136" s="1470"/>
      <c r="T136" s="1111"/>
      <c r="U136" s="1111"/>
    </row>
    <row r="137" spans="1:21" s="17" customFormat="1">
      <c r="A137" s="1548">
        <v>1983.08</v>
      </c>
      <c r="B137" s="1559">
        <v>49.021841179868296</v>
      </c>
      <c r="C137" s="3711">
        <v>143.87007206236001</v>
      </c>
      <c r="D137" s="1560">
        <v>4.85376607331923</v>
      </c>
      <c r="E137" s="1561">
        <v>116.023837563096</v>
      </c>
      <c r="F137" s="3711">
        <v>121.85732221430899</v>
      </c>
      <c r="G137" s="1560">
        <v>101.940725063673</v>
      </c>
      <c r="H137" s="1557"/>
      <c r="I137" s="266"/>
      <c r="J137" s="291"/>
      <c r="K137" s="266"/>
      <c r="L137" s="266"/>
      <c r="M137" s="749"/>
      <c r="N137" s="742"/>
      <c r="O137" s="268">
        <v>100.2</v>
      </c>
      <c r="P137" s="3513">
        <v>100.1</v>
      </c>
      <c r="Q137" s="268">
        <v>101.8</v>
      </c>
      <c r="R137" s="3770"/>
      <c r="S137" s="1470"/>
      <c r="T137" s="1111"/>
      <c r="U137" s="1111"/>
    </row>
    <row r="138" spans="1:21" s="17" customFormat="1">
      <c r="A138" s="1548">
        <v>1983.09</v>
      </c>
      <c r="B138" s="1559">
        <v>49.316557157359497</v>
      </c>
      <c r="C138" s="3711">
        <v>143.63632875039201</v>
      </c>
      <c r="D138" s="1560">
        <v>4.97124854054056</v>
      </c>
      <c r="E138" s="1561">
        <v>115.932989867996</v>
      </c>
      <c r="F138" s="3711">
        <v>121.518886550001</v>
      </c>
      <c r="G138" s="1560">
        <v>102.34029102533999</v>
      </c>
      <c r="H138" s="1557"/>
      <c r="I138" s="266"/>
      <c r="J138" s="291"/>
      <c r="K138" s="266"/>
      <c r="L138" s="266"/>
      <c r="M138" s="749"/>
      <c r="N138" s="742"/>
      <c r="O138" s="268">
        <v>100.7</v>
      </c>
      <c r="P138" s="3513">
        <v>100.4</v>
      </c>
      <c r="Q138" s="268">
        <v>102</v>
      </c>
      <c r="R138" s="3770"/>
      <c r="S138" s="1470"/>
      <c r="T138" s="1111"/>
      <c r="U138" s="1111"/>
    </row>
    <row r="139" spans="1:21" s="17" customFormat="1">
      <c r="A139" s="1548">
        <v>1983.1</v>
      </c>
      <c r="B139" s="1559">
        <v>49.160293488348501</v>
      </c>
      <c r="C139" s="3711">
        <v>141.18126053547499</v>
      </c>
      <c r="D139" s="1560">
        <v>5.1219721686628699</v>
      </c>
      <c r="E139" s="1561">
        <v>114.770205678159</v>
      </c>
      <c r="F139" s="3711">
        <v>119.37583421668501</v>
      </c>
      <c r="G139" s="1560">
        <v>103.166934351731</v>
      </c>
      <c r="H139" s="1557"/>
      <c r="I139" s="266"/>
      <c r="J139" s="291"/>
      <c r="K139" s="266"/>
      <c r="L139" s="266"/>
      <c r="M139" s="749"/>
      <c r="N139" s="742"/>
      <c r="O139" s="268">
        <v>101</v>
      </c>
      <c r="P139" s="3513">
        <v>100.8</v>
      </c>
      <c r="Q139" s="268">
        <v>102.2</v>
      </c>
      <c r="R139" s="3770"/>
      <c r="S139" s="1470"/>
      <c r="T139" s="1111"/>
      <c r="U139" s="1111"/>
    </row>
    <row r="140" spans="1:21" s="17" customFormat="1">
      <c r="A140" s="1548">
        <v>1983.11</v>
      </c>
      <c r="B140" s="1559">
        <v>49.921719606546603</v>
      </c>
      <c r="C140" s="3711">
        <v>143.184151047554</v>
      </c>
      <c r="D140" s="1560">
        <v>5.2170008654172504</v>
      </c>
      <c r="E140" s="1561">
        <v>115.668786246105</v>
      </c>
      <c r="F140" s="3711">
        <v>121.02511601655</v>
      </c>
      <c r="G140" s="1560">
        <v>102.537523662403</v>
      </c>
      <c r="H140" s="1557"/>
      <c r="I140" s="266"/>
      <c r="J140" s="291"/>
      <c r="K140" s="266"/>
      <c r="L140" s="266"/>
      <c r="M140" s="749"/>
      <c r="N140" s="742"/>
      <c r="O140" s="268">
        <v>101.2</v>
      </c>
      <c r="P140" s="3513">
        <v>101.1</v>
      </c>
      <c r="Q140" s="268">
        <v>102.1</v>
      </c>
      <c r="R140" s="3770"/>
      <c r="S140" s="1470"/>
      <c r="T140" s="1111"/>
      <c r="U140" s="1111"/>
    </row>
    <row r="141" spans="1:21" s="17" customFormat="1">
      <c r="A141" s="1548">
        <v>1983.12</v>
      </c>
      <c r="B141" s="1559">
        <v>50.727480560429697</v>
      </c>
      <c r="C141" s="3711">
        <v>145.07097936471399</v>
      </c>
      <c r="D141" s="1560">
        <v>5.3377125400435004</v>
      </c>
      <c r="E141" s="1561">
        <v>116.87190426585001</v>
      </c>
      <c r="F141" s="3711">
        <v>122.561093126587</v>
      </c>
      <c r="G141" s="1560">
        <v>103.054311625308</v>
      </c>
      <c r="H141" s="1557"/>
      <c r="I141" s="266"/>
      <c r="J141" s="291"/>
      <c r="K141" s="266"/>
      <c r="L141" s="266"/>
      <c r="M141" s="749"/>
      <c r="N141" s="742"/>
      <c r="O141" s="268">
        <v>101.3</v>
      </c>
      <c r="P141" s="3513">
        <v>101.4</v>
      </c>
      <c r="Q141" s="268">
        <v>102.3</v>
      </c>
      <c r="R141" s="3770"/>
      <c r="S141" s="1470"/>
      <c r="T141" s="1111"/>
      <c r="U141" s="1111"/>
    </row>
    <row r="142" spans="1:21" s="17" customFormat="1">
      <c r="A142" s="1548">
        <v>1984.01</v>
      </c>
      <c r="B142" s="1559">
        <v>51.331458575320099</v>
      </c>
      <c r="C142" s="3711">
        <v>146.15607425890099</v>
      </c>
      <c r="D142" s="1560">
        <v>5.4578844995995404</v>
      </c>
      <c r="E142" s="1561">
        <v>117.927741944649</v>
      </c>
      <c r="F142" s="3711">
        <v>123.935031233777</v>
      </c>
      <c r="G142" s="1560">
        <v>103.44528640293601</v>
      </c>
      <c r="H142" s="1557"/>
      <c r="I142" s="266"/>
      <c r="J142" s="291"/>
      <c r="K142" s="266"/>
      <c r="L142" s="266"/>
      <c r="M142" s="749"/>
      <c r="N142" s="742"/>
      <c r="O142" s="268">
        <v>101.9</v>
      </c>
      <c r="P142" s="3513">
        <v>102.1</v>
      </c>
      <c r="Q142" s="268">
        <v>102.9</v>
      </c>
      <c r="R142" s="3770"/>
      <c r="S142" s="1470"/>
      <c r="T142" s="1111"/>
      <c r="U142" s="1111"/>
    </row>
    <row r="143" spans="1:21" s="17" customFormat="1">
      <c r="A143" s="1548">
        <v>1984.02</v>
      </c>
      <c r="B143" s="1559">
        <v>51.206128247131502</v>
      </c>
      <c r="C143" s="3711">
        <v>144.27513866315101</v>
      </c>
      <c r="D143" s="1560">
        <v>5.5846777543966901</v>
      </c>
      <c r="E143" s="1561">
        <v>116.801841175465</v>
      </c>
      <c r="F143" s="3711">
        <v>122.176169734773</v>
      </c>
      <c r="G143" s="1560">
        <v>103.628253727816</v>
      </c>
      <c r="H143" s="1557"/>
      <c r="I143" s="266"/>
      <c r="J143" s="291"/>
      <c r="K143" s="266"/>
      <c r="L143" s="266"/>
      <c r="M143" s="749"/>
      <c r="N143" s="742"/>
      <c r="O143" s="268">
        <v>102.4</v>
      </c>
      <c r="P143" s="3513">
        <v>102.6</v>
      </c>
      <c r="Q143" s="268">
        <v>103.2</v>
      </c>
      <c r="R143" s="3770"/>
      <c r="S143" s="1470"/>
      <c r="T143" s="1111"/>
      <c r="U143" s="1111"/>
    </row>
    <row r="144" spans="1:21" s="17" customFormat="1">
      <c r="A144" s="1548">
        <v>1984.03</v>
      </c>
      <c r="B144" s="1559">
        <v>51.053539010134003</v>
      </c>
      <c r="C144" s="3711">
        <v>141.84533793279601</v>
      </c>
      <c r="D144" s="1560">
        <v>5.7596540242487304</v>
      </c>
      <c r="E144" s="1561">
        <v>115.816675013401</v>
      </c>
      <c r="F144" s="3711">
        <v>120.212046175917</v>
      </c>
      <c r="G144" s="1560">
        <v>104.693687688845</v>
      </c>
      <c r="H144" s="1557"/>
      <c r="I144" s="266"/>
      <c r="J144" s="291"/>
      <c r="K144" s="266"/>
      <c r="L144" s="266"/>
      <c r="M144" s="749"/>
      <c r="N144" s="742"/>
      <c r="O144" s="268">
        <v>102.6</v>
      </c>
      <c r="P144" s="3513">
        <v>102.9</v>
      </c>
      <c r="Q144" s="268">
        <v>103.9</v>
      </c>
      <c r="R144" s="3770"/>
      <c r="S144" s="1470"/>
      <c r="T144" s="1111"/>
      <c r="U144" s="1111"/>
    </row>
    <row r="145" spans="1:21" s="17" customFormat="1">
      <c r="A145" s="1548">
        <v>1984.04</v>
      </c>
      <c r="B145" s="1559">
        <v>51.718331677269497</v>
      </c>
      <c r="C145" s="3711">
        <v>143.35665884644001</v>
      </c>
      <c r="D145" s="1560">
        <v>5.8677145564174999</v>
      </c>
      <c r="E145" s="1561">
        <v>116.714585468533</v>
      </c>
      <c r="F145" s="3711">
        <v>121.72356009437</v>
      </c>
      <c r="G145" s="1560">
        <v>104.295370080579</v>
      </c>
      <c r="H145" s="1557"/>
      <c r="I145" s="266"/>
      <c r="J145" s="291"/>
      <c r="K145" s="266"/>
      <c r="L145" s="266"/>
      <c r="M145" s="749"/>
      <c r="N145" s="742"/>
      <c r="O145" s="268">
        <v>103.1</v>
      </c>
      <c r="P145" s="3513">
        <v>103.3</v>
      </c>
      <c r="Q145" s="268">
        <v>104</v>
      </c>
      <c r="R145" s="3770"/>
      <c r="S145" s="1470"/>
      <c r="T145" s="1111"/>
      <c r="U145" s="1111"/>
    </row>
    <row r="146" spans="1:21" s="17" customFormat="1">
      <c r="A146" s="1548">
        <v>1984.05</v>
      </c>
      <c r="B146" s="1559">
        <v>52.919868555167902</v>
      </c>
      <c r="C146" s="3711">
        <v>146.71422377148201</v>
      </c>
      <c r="D146" s="1560">
        <v>6.0013373824682601</v>
      </c>
      <c r="E146" s="1561">
        <v>118.612072166628</v>
      </c>
      <c r="F146" s="3711">
        <v>124.522496935258</v>
      </c>
      <c r="G146" s="1560">
        <v>104.31179753983101</v>
      </c>
      <c r="H146" s="1557"/>
      <c r="I146" s="266"/>
      <c r="J146" s="291"/>
      <c r="K146" s="266"/>
      <c r="L146" s="266"/>
      <c r="M146" s="749"/>
      <c r="N146" s="742"/>
      <c r="O146" s="268">
        <v>103.4</v>
      </c>
      <c r="P146" s="3513">
        <v>103.5</v>
      </c>
      <c r="Q146" s="268">
        <v>104.1</v>
      </c>
      <c r="R146" s="3770"/>
      <c r="S146" s="1470"/>
      <c r="T146" s="1111"/>
      <c r="U146" s="1111"/>
    </row>
    <row r="147" spans="1:21" s="17" customFormat="1">
      <c r="A147" s="1548">
        <v>1984.06</v>
      </c>
      <c r="B147" s="1559">
        <v>53.585761906631703</v>
      </c>
      <c r="C147" s="3711">
        <v>147.73666285939899</v>
      </c>
      <c r="D147" s="1560">
        <v>6.1592208175587198</v>
      </c>
      <c r="E147" s="1561">
        <v>119.20715508247601</v>
      </c>
      <c r="F147" s="3711">
        <v>125.310497442512</v>
      </c>
      <c r="G147" s="1560">
        <v>104.505307931497</v>
      </c>
      <c r="H147" s="1557"/>
      <c r="I147" s="266"/>
      <c r="J147" s="291"/>
      <c r="K147" s="266"/>
      <c r="L147" s="266"/>
      <c r="M147" s="749"/>
      <c r="N147" s="742"/>
      <c r="O147" s="268">
        <v>103.7</v>
      </c>
      <c r="P147" s="3513">
        <v>103.7</v>
      </c>
      <c r="Q147" s="268">
        <v>104</v>
      </c>
      <c r="R147" s="3770"/>
      <c r="S147" s="1470"/>
      <c r="T147" s="1111"/>
      <c r="U147" s="1111"/>
    </row>
    <row r="148" spans="1:21" s="17" customFormat="1">
      <c r="A148" s="1548">
        <v>1984.07</v>
      </c>
      <c r="B148" s="1559">
        <v>55.225070881123202</v>
      </c>
      <c r="C148" s="3711">
        <v>152.53556135391301</v>
      </c>
      <c r="D148" s="1560">
        <v>6.3194536019666998</v>
      </c>
      <c r="E148" s="1561">
        <v>122.19525805549</v>
      </c>
      <c r="F148" s="3711">
        <v>129.512349406548</v>
      </c>
      <c r="G148" s="1560">
        <v>105.016513910979</v>
      </c>
      <c r="H148" s="1557"/>
      <c r="I148" s="266"/>
      <c r="J148" s="291"/>
      <c r="K148" s="266"/>
      <c r="L148" s="266"/>
      <c r="M148" s="749"/>
      <c r="N148" s="742"/>
      <c r="O148" s="268">
        <v>104.1</v>
      </c>
      <c r="P148" s="3513">
        <v>104.1</v>
      </c>
      <c r="Q148" s="268">
        <v>104.2</v>
      </c>
      <c r="R148" s="3770"/>
      <c r="S148" s="1470"/>
      <c r="T148" s="1111"/>
      <c r="U148" s="1111"/>
    </row>
    <row r="149" spans="1:21" s="17" customFormat="1">
      <c r="A149" s="1548">
        <v>1984.08</v>
      </c>
      <c r="B149" s="1559">
        <v>55.5222800002621</v>
      </c>
      <c r="C149" s="3711">
        <v>152.33163088139301</v>
      </c>
      <c r="D149" s="1560">
        <v>6.4572495392619897</v>
      </c>
      <c r="E149" s="1561">
        <v>122.155206654133</v>
      </c>
      <c r="F149" s="3711">
        <v>129.440322320739</v>
      </c>
      <c r="G149" s="1560">
        <v>105.040082936489</v>
      </c>
      <c r="H149" s="1557"/>
      <c r="I149" s="266"/>
      <c r="J149" s="291"/>
      <c r="K149" s="266"/>
      <c r="L149" s="266"/>
      <c r="M149" s="749"/>
      <c r="N149" s="742"/>
      <c r="O149" s="268">
        <v>104.5</v>
      </c>
      <c r="P149" s="3513">
        <v>104.4</v>
      </c>
      <c r="Q149" s="268">
        <v>103.8</v>
      </c>
      <c r="R149" s="3770"/>
      <c r="S149" s="1470"/>
      <c r="T149" s="1111"/>
      <c r="U149" s="1111"/>
    </row>
    <row r="150" spans="1:21" s="17" customFormat="1">
      <c r="A150" s="1548">
        <v>1984.09</v>
      </c>
      <c r="B150" s="1559">
        <v>56.934451799926002</v>
      </c>
      <c r="C150" s="3711">
        <v>156.01619326034501</v>
      </c>
      <c r="D150" s="1560">
        <v>6.6411062194668196</v>
      </c>
      <c r="E150" s="1561">
        <v>124.378228297116</v>
      </c>
      <c r="F150" s="3711">
        <v>132.532413953125</v>
      </c>
      <c r="G150" s="1560">
        <v>105.52077508312099</v>
      </c>
      <c r="H150" s="1557"/>
      <c r="I150" s="266"/>
      <c r="J150" s="291"/>
      <c r="K150" s="266"/>
      <c r="L150" s="266"/>
      <c r="M150" s="749"/>
      <c r="N150" s="742"/>
      <c r="O150" s="268">
        <v>105</v>
      </c>
      <c r="P150" s="3513">
        <v>104.7</v>
      </c>
      <c r="Q150" s="268">
        <v>103.4</v>
      </c>
      <c r="R150" s="3770"/>
      <c r="S150" s="1470"/>
      <c r="T150" s="1111"/>
      <c r="U150" s="1111"/>
    </row>
    <row r="151" spans="1:21" s="17" customFormat="1">
      <c r="A151" s="1548">
        <v>1984.1</v>
      </c>
      <c r="B151" s="1559">
        <v>57.857905664860901</v>
      </c>
      <c r="C151" s="3711">
        <v>157.59783413567001</v>
      </c>
      <c r="D151" s="1560">
        <v>6.8473671123484303</v>
      </c>
      <c r="E151" s="1561">
        <v>125.349987460432</v>
      </c>
      <c r="F151" s="3711">
        <v>133.68603570699699</v>
      </c>
      <c r="G151" s="1560">
        <v>106.118170770121</v>
      </c>
      <c r="H151" s="1557"/>
      <c r="I151" s="266"/>
      <c r="J151" s="291"/>
      <c r="K151" s="266"/>
      <c r="L151" s="266"/>
      <c r="M151" s="749"/>
      <c r="N151" s="742"/>
      <c r="O151" s="268">
        <v>105.3</v>
      </c>
      <c r="P151" s="3513">
        <v>105.1</v>
      </c>
      <c r="Q151" s="268">
        <v>103.4</v>
      </c>
      <c r="R151" s="3770"/>
      <c r="S151" s="1470"/>
      <c r="T151" s="1111"/>
      <c r="U151" s="1111"/>
    </row>
    <row r="152" spans="1:21" s="17" customFormat="1">
      <c r="A152" s="1548">
        <v>1984.11</v>
      </c>
      <c r="B152" s="1559">
        <v>57.773353030649503</v>
      </c>
      <c r="C152" s="3711">
        <v>155.497605092361</v>
      </c>
      <c r="D152" s="1560">
        <v>7.03784270071945</v>
      </c>
      <c r="E152" s="1561">
        <v>124.277918637065</v>
      </c>
      <c r="F152" s="3711">
        <v>131.773674934128</v>
      </c>
      <c r="G152" s="1560">
        <v>106.70071617823599</v>
      </c>
      <c r="H152" s="1557"/>
      <c r="I152" s="266"/>
      <c r="J152" s="291"/>
      <c r="K152" s="266"/>
      <c r="L152" s="266"/>
      <c r="M152" s="749"/>
      <c r="N152" s="742"/>
      <c r="O152" s="268">
        <v>105.3</v>
      </c>
      <c r="P152" s="3513">
        <v>105.3</v>
      </c>
      <c r="Q152" s="268">
        <v>103.7</v>
      </c>
      <c r="R152" s="3770"/>
      <c r="S152" s="1470"/>
      <c r="T152" s="1111"/>
      <c r="U152" s="1111"/>
    </row>
    <row r="153" spans="1:21" s="17" customFormat="1">
      <c r="A153" s="1548">
        <v>1984.12</v>
      </c>
      <c r="B153" s="1559">
        <v>59.043192796394898</v>
      </c>
      <c r="C153" s="3711">
        <v>158.77745853396101</v>
      </c>
      <c r="D153" s="1560">
        <v>7.20754758408036</v>
      </c>
      <c r="E153" s="1561">
        <v>126.137344244977</v>
      </c>
      <c r="F153" s="3711">
        <v>134.22452063524199</v>
      </c>
      <c r="G153" s="1560">
        <v>107.364884608098</v>
      </c>
      <c r="H153" s="1557"/>
      <c r="I153" s="266"/>
      <c r="J153" s="291"/>
      <c r="K153" s="266"/>
      <c r="L153" s="266"/>
      <c r="M153" s="749"/>
      <c r="N153" s="742"/>
      <c r="O153" s="268">
        <v>105.3</v>
      </c>
      <c r="P153" s="3513">
        <v>105.5</v>
      </c>
      <c r="Q153" s="268">
        <v>103.5</v>
      </c>
      <c r="R153" s="3770"/>
      <c r="S153" s="1470"/>
      <c r="T153" s="1111"/>
      <c r="U153" s="1111"/>
    </row>
    <row r="154" spans="1:21" s="17" customFormat="1">
      <c r="A154" s="1548">
        <v>1985.01</v>
      </c>
      <c r="B154" s="1559">
        <v>60.249779757213297</v>
      </c>
      <c r="C154" s="3711">
        <v>161.876801499382</v>
      </c>
      <c r="D154" s="1560">
        <v>7.37430652499466</v>
      </c>
      <c r="E154" s="1561">
        <v>127.711946123678</v>
      </c>
      <c r="F154" s="3711">
        <v>136.60342749922901</v>
      </c>
      <c r="G154" s="1560">
        <v>107.288850825042</v>
      </c>
      <c r="H154" s="1557"/>
      <c r="I154" s="266"/>
      <c r="J154" s="291"/>
      <c r="K154" s="266"/>
      <c r="L154" s="266"/>
      <c r="M154" s="749"/>
      <c r="N154" s="742"/>
      <c r="O154" s="268">
        <v>105.5</v>
      </c>
      <c r="P154" s="3513">
        <v>105.7</v>
      </c>
      <c r="Q154" s="268">
        <v>103.4</v>
      </c>
      <c r="R154" s="3770"/>
      <c r="S154" s="1470"/>
      <c r="T154" s="1111"/>
      <c r="U154" s="1111"/>
    </row>
    <row r="155" spans="1:21" s="17" customFormat="1">
      <c r="A155" s="1548">
        <v>1985.02</v>
      </c>
      <c r="B155" s="1559">
        <v>62.029877929785201</v>
      </c>
      <c r="C155" s="3711">
        <v>167.05659533854299</v>
      </c>
      <c r="D155" s="1560">
        <v>7.5469056595501298</v>
      </c>
      <c r="E155" s="1561">
        <v>131.07106981219599</v>
      </c>
      <c r="F155" s="3711">
        <v>141.29775256123699</v>
      </c>
      <c r="G155" s="1560">
        <v>107.94349596408399</v>
      </c>
      <c r="H155" s="1557"/>
      <c r="I155" s="266"/>
      <c r="J155" s="291"/>
      <c r="K155" s="266"/>
      <c r="L155" s="266"/>
      <c r="M155" s="749"/>
      <c r="N155" s="742"/>
      <c r="O155" s="268">
        <v>106</v>
      </c>
      <c r="P155" s="3513">
        <v>106.3</v>
      </c>
      <c r="Q155" s="268">
        <v>103.3</v>
      </c>
      <c r="R155" s="3770"/>
      <c r="S155" s="1470"/>
      <c r="T155" s="1111"/>
      <c r="U155" s="1111"/>
    </row>
    <row r="156" spans="1:21" s="17" customFormat="1">
      <c r="A156" s="1548">
        <v>1985.03</v>
      </c>
      <c r="B156" s="1559">
        <v>62.692689165275702</v>
      </c>
      <c r="C156" s="3711">
        <v>167.756954617882</v>
      </c>
      <c r="D156" s="1560">
        <v>7.7538959992022098</v>
      </c>
      <c r="E156" s="1561">
        <v>131.627696369939</v>
      </c>
      <c r="F156" s="3711">
        <v>141.905059424401</v>
      </c>
      <c r="G156" s="1560">
        <v>108.38783575975999</v>
      </c>
      <c r="H156" s="1557"/>
      <c r="I156" s="266"/>
      <c r="J156" s="291"/>
      <c r="K156" s="266"/>
      <c r="L156" s="266"/>
      <c r="M156" s="749"/>
      <c r="N156" s="742"/>
      <c r="O156" s="268">
        <v>106.4</v>
      </c>
      <c r="P156" s="3513">
        <v>106.8</v>
      </c>
      <c r="Q156" s="268">
        <v>103.1</v>
      </c>
      <c r="R156" s="3770"/>
      <c r="S156" s="1470"/>
      <c r="T156" s="1111"/>
      <c r="U156" s="1111"/>
    </row>
    <row r="157" spans="1:21" s="17" customFormat="1">
      <c r="A157" s="1548">
        <v>1985.04</v>
      </c>
      <c r="B157" s="1559">
        <v>61.438245585801099</v>
      </c>
      <c r="C157" s="3711">
        <v>161.588123346174</v>
      </c>
      <c r="D157" s="1560">
        <v>7.9385850440494803</v>
      </c>
      <c r="E157" s="1561">
        <v>127.970039306513</v>
      </c>
      <c r="F157" s="3711">
        <v>136.35676810642701</v>
      </c>
      <c r="G157" s="1560">
        <v>108.555753742017</v>
      </c>
      <c r="H157" s="1557"/>
      <c r="I157" s="266"/>
      <c r="J157" s="291"/>
      <c r="K157" s="266"/>
      <c r="L157" s="266"/>
      <c r="M157" s="749"/>
      <c r="N157" s="742"/>
      <c r="O157" s="268">
        <v>106.9</v>
      </c>
      <c r="P157" s="3513">
        <v>107</v>
      </c>
      <c r="Q157" s="268">
        <v>103.3</v>
      </c>
      <c r="R157" s="3770"/>
      <c r="S157" s="1470"/>
      <c r="T157" s="1111"/>
      <c r="U157" s="1111"/>
    </row>
    <row r="158" spans="1:21" s="17" customFormat="1">
      <c r="A158" s="1548">
        <v>1985.05</v>
      </c>
      <c r="B158" s="1559">
        <v>61.964490812680197</v>
      </c>
      <c r="C158" s="3711">
        <v>161.91906199872599</v>
      </c>
      <c r="D158" s="1560">
        <v>8.1393889654414995</v>
      </c>
      <c r="E158" s="1561">
        <v>128.397358182126</v>
      </c>
      <c r="F158" s="3711">
        <v>136.606802379654</v>
      </c>
      <c r="G158" s="1560">
        <v>109.334552632437</v>
      </c>
      <c r="H158" s="1557"/>
      <c r="I158" s="266"/>
      <c r="J158" s="291"/>
      <c r="K158" s="266"/>
      <c r="L158" s="266"/>
      <c r="M158" s="749"/>
      <c r="N158" s="742"/>
      <c r="O158" s="268">
        <v>107.3</v>
      </c>
      <c r="P158" s="3513">
        <v>107.2</v>
      </c>
      <c r="Q158" s="268">
        <v>103.5</v>
      </c>
      <c r="R158" s="3770"/>
      <c r="S158" s="1470"/>
      <c r="T158" s="1111"/>
      <c r="U158" s="1111"/>
    </row>
    <row r="159" spans="1:21" s="17" customFormat="1">
      <c r="A159" s="1548">
        <v>1985.06</v>
      </c>
      <c r="B159" s="1559">
        <v>61.899585559765001</v>
      </c>
      <c r="C159" s="3711">
        <v>160.10928684288601</v>
      </c>
      <c r="D159" s="1560">
        <v>8.3439990937696997</v>
      </c>
      <c r="E159" s="1561">
        <v>127.40475882461099</v>
      </c>
      <c r="F159" s="3711">
        <v>134.976844778772</v>
      </c>
      <c r="G159" s="1560">
        <v>109.665024248884</v>
      </c>
      <c r="H159" s="1557"/>
      <c r="I159" s="266"/>
      <c r="J159" s="291"/>
      <c r="K159" s="266"/>
      <c r="L159" s="266"/>
      <c r="M159" s="749"/>
      <c r="N159" s="742"/>
      <c r="O159" s="268">
        <v>107.6</v>
      </c>
      <c r="P159" s="3513">
        <v>107.5</v>
      </c>
      <c r="Q159" s="268">
        <v>103.3</v>
      </c>
      <c r="R159" s="3770"/>
      <c r="S159" s="1470"/>
      <c r="T159" s="1111"/>
      <c r="U159" s="1111"/>
    </row>
    <row r="160" spans="1:21" s="17" customFormat="1">
      <c r="A160" s="1548">
        <v>1985.07</v>
      </c>
      <c r="B160" s="1559">
        <v>60.933002256001302</v>
      </c>
      <c r="C160" s="3711">
        <v>154.73317786877601</v>
      </c>
      <c r="D160" s="1560">
        <v>8.6077393076381803</v>
      </c>
      <c r="E160" s="1561">
        <v>124.331173518376</v>
      </c>
      <c r="F160" s="3711">
        <v>130.14956024855201</v>
      </c>
      <c r="G160" s="1560">
        <v>110.331844819648</v>
      </c>
      <c r="H160" s="1557"/>
      <c r="I160" s="266"/>
      <c r="J160" s="291"/>
      <c r="K160" s="266"/>
      <c r="L160" s="266"/>
      <c r="M160" s="749"/>
      <c r="N160" s="742"/>
      <c r="O160" s="268">
        <v>107.8</v>
      </c>
      <c r="P160" s="3513">
        <v>107.7</v>
      </c>
      <c r="Q160" s="268">
        <v>103.2</v>
      </c>
      <c r="R160" s="3770"/>
      <c r="S160" s="1470"/>
      <c r="T160" s="1111"/>
      <c r="U160" s="1111"/>
    </row>
    <row r="161" spans="1:21" s="17" customFormat="1">
      <c r="A161" s="1548">
        <v>1985.08</v>
      </c>
      <c r="B161" s="1559">
        <v>61.056325254622401</v>
      </c>
      <c r="C161" s="3711">
        <v>152.38074126573201</v>
      </c>
      <c r="D161" s="1560">
        <v>9.0130426417604195</v>
      </c>
      <c r="E161" s="1561">
        <v>124.00052537700201</v>
      </c>
      <c r="F161" s="3711">
        <v>128.31354371731999</v>
      </c>
      <c r="G161" s="1560">
        <v>113.31348991917601</v>
      </c>
      <c r="H161" s="1557"/>
      <c r="I161" s="266"/>
      <c r="J161" s="291"/>
      <c r="K161" s="266"/>
      <c r="L161" s="266"/>
      <c r="M161" s="749"/>
      <c r="N161" s="742"/>
      <c r="O161" s="268">
        <v>108</v>
      </c>
      <c r="P161" s="3513">
        <v>107.9</v>
      </c>
      <c r="Q161" s="268">
        <v>102.7</v>
      </c>
      <c r="R161" s="3770"/>
      <c r="S161" s="1470"/>
      <c r="T161" s="1111"/>
      <c r="U161" s="1111"/>
    </row>
    <row r="162" spans="1:21" s="17" customFormat="1">
      <c r="A162" s="1548">
        <v>1985.09</v>
      </c>
      <c r="B162" s="1559">
        <v>61.7893314889862</v>
      </c>
      <c r="C162" s="3711">
        <v>153.70878063684299</v>
      </c>
      <c r="D162" s="1560">
        <v>9.1984401848996509</v>
      </c>
      <c r="E162" s="1561">
        <v>124.90946465885</v>
      </c>
      <c r="F162" s="3711">
        <v>129.665554894373</v>
      </c>
      <c r="G162" s="1560">
        <v>113.226164600606</v>
      </c>
      <c r="H162" s="1557"/>
      <c r="I162" s="266"/>
      <c r="J162" s="291"/>
      <c r="K162" s="266"/>
      <c r="L162" s="266"/>
      <c r="M162" s="749"/>
      <c r="N162" s="742"/>
      <c r="O162" s="268">
        <v>108.3</v>
      </c>
      <c r="P162" s="3513">
        <v>108.1</v>
      </c>
      <c r="Q162" s="268">
        <v>102.1</v>
      </c>
      <c r="R162" s="3770"/>
      <c r="S162" s="1470"/>
      <c r="T162" s="1111"/>
      <c r="U162" s="1111"/>
    </row>
    <row r="163" spans="1:21" s="17" customFormat="1">
      <c r="A163" s="1548">
        <v>1985.1</v>
      </c>
      <c r="B163" s="1559">
        <v>59.805128710658302</v>
      </c>
      <c r="C163" s="3711">
        <v>145.97418021576399</v>
      </c>
      <c r="D163" s="1560">
        <v>9.3416265383178807</v>
      </c>
      <c r="E163" s="1561">
        <v>120.30730053932901</v>
      </c>
      <c r="F163" s="3711">
        <v>123.140820407917</v>
      </c>
      <c r="G163" s="1560">
        <v>113.028829111799</v>
      </c>
      <c r="H163" s="1557"/>
      <c r="I163" s="266"/>
      <c r="J163" s="291"/>
      <c r="K163" s="266"/>
      <c r="L163" s="266"/>
      <c r="M163" s="749"/>
      <c r="N163" s="742"/>
      <c r="O163" s="268">
        <v>108.7</v>
      </c>
      <c r="P163" s="3513">
        <v>108.5</v>
      </c>
      <c r="Q163" s="268">
        <v>102.9</v>
      </c>
      <c r="R163" s="3770"/>
      <c r="S163" s="1470"/>
      <c r="T163" s="1111"/>
      <c r="U163" s="1111"/>
    </row>
    <row r="164" spans="1:21" s="17" customFormat="1">
      <c r="A164" s="1548">
        <v>1985.11</v>
      </c>
      <c r="B164" s="1559">
        <v>59.356113515433698</v>
      </c>
      <c r="C164" s="3711">
        <v>143.402265871347</v>
      </c>
      <c r="D164" s="1560">
        <v>9.5159216800995399</v>
      </c>
      <c r="E164" s="1561">
        <v>119.20772780826501</v>
      </c>
      <c r="F164" s="3711">
        <v>121.317525801714</v>
      </c>
      <c r="G164" s="1560">
        <v>113.639633876292</v>
      </c>
      <c r="H164" s="1557"/>
      <c r="I164" s="266"/>
      <c r="J164" s="291"/>
      <c r="K164" s="266"/>
      <c r="L164" s="266"/>
      <c r="M164" s="749"/>
      <c r="N164" s="742"/>
      <c r="O164" s="268">
        <v>109</v>
      </c>
      <c r="P164" s="3513">
        <v>109</v>
      </c>
      <c r="Q164" s="268">
        <v>103.4</v>
      </c>
      <c r="R164" s="3770"/>
      <c r="S164" s="1470"/>
      <c r="T164" s="1470"/>
      <c r="U164" s="1470"/>
    </row>
    <row r="165" spans="1:21" s="17" customFormat="1">
      <c r="A165" s="1548">
        <v>1985.12</v>
      </c>
      <c r="B165" s="1559">
        <v>59.500115190413503</v>
      </c>
      <c r="C165" s="3711">
        <v>142.493044219365</v>
      </c>
      <c r="D165" s="1560">
        <v>9.7541497450685899</v>
      </c>
      <c r="E165" s="1561">
        <v>118.899993872487</v>
      </c>
      <c r="F165" s="3711">
        <v>120.56304077731799</v>
      </c>
      <c r="G165" s="1560">
        <v>114.40326751388299</v>
      </c>
      <c r="H165" s="1557"/>
      <c r="I165" s="266"/>
      <c r="J165" s="291"/>
      <c r="K165" s="266"/>
      <c r="L165" s="266"/>
      <c r="M165" s="749"/>
      <c r="N165" s="742"/>
      <c r="O165" s="268">
        <v>109.3</v>
      </c>
      <c r="P165" s="3513">
        <v>109.5</v>
      </c>
      <c r="Q165" s="268">
        <v>103.6</v>
      </c>
      <c r="R165" s="3770"/>
      <c r="S165" s="1470"/>
      <c r="T165" s="1470"/>
      <c r="U165" s="1470"/>
    </row>
    <row r="166" spans="1:21" s="17" customFormat="1">
      <c r="A166" s="1548">
        <v>1986.01</v>
      </c>
      <c r="B166" s="1559">
        <v>59.570538466606997</v>
      </c>
      <c r="C166" s="3711">
        <v>141.18176713876099</v>
      </c>
      <c r="D166" s="1560">
        <v>10.024117345443599</v>
      </c>
      <c r="E166" s="1561">
        <v>118.322332040633</v>
      </c>
      <c r="F166" s="3711">
        <v>119.391524617572</v>
      </c>
      <c r="G166" s="1560">
        <v>115.243736013193</v>
      </c>
      <c r="H166" s="1557"/>
      <c r="I166" s="266"/>
      <c r="J166" s="291"/>
      <c r="K166" s="266"/>
      <c r="L166" s="266"/>
      <c r="M166" s="749"/>
      <c r="N166" s="742"/>
      <c r="O166" s="268">
        <v>109.6</v>
      </c>
      <c r="P166" s="3513">
        <v>109.9</v>
      </c>
      <c r="Q166" s="268">
        <v>103.2</v>
      </c>
      <c r="R166" s="3770"/>
      <c r="S166" s="1470"/>
      <c r="T166" s="1470"/>
      <c r="U166" s="1470"/>
    </row>
    <row r="167" spans="1:21" s="17" customFormat="1">
      <c r="A167" s="1548">
        <v>1986.02</v>
      </c>
      <c r="B167" s="1559">
        <v>58.442987319278998</v>
      </c>
      <c r="C167" s="3711">
        <v>135.98061340455999</v>
      </c>
      <c r="D167" s="1560">
        <v>10.297204034192699</v>
      </c>
      <c r="E167" s="1561">
        <v>115.149066192085</v>
      </c>
      <c r="F167" s="3711">
        <v>114.605462525684</v>
      </c>
      <c r="G167" s="1560">
        <v>116.05391122240501</v>
      </c>
      <c r="H167" s="1557"/>
      <c r="I167" s="266"/>
      <c r="J167" s="291"/>
      <c r="K167" s="266"/>
      <c r="L167" s="266"/>
      <c r="M167" s="749"/>
      <c r="N167" s="742"/>
      <c r="O167" s="268">
        <v>109.3</v>
      </c>
      <c r="P167" s="3513">
        <v>109.7</v>
      </c>
      <c r="Q167" s="268">
        <v>101.7</v>
      </c>
      <c r="R167" s="3770"/>
      <c r="S167" s="1470"/>
      <c r="T167" s="1470"/>
      <c r="U167" s="1470"/>
    </row>
    <row r="168" spans="1:21" s="17" customFormat="1">
      <c r="A168" s="1548">
        <v>1986.03</v>
      </c>
      <c r="B168" s="1559">
        <v>57.937910309538303</v>
      </c>
      <c r="C168" s="3711">
        <v>133.20384129503199</v>
      </c>
      <c r="D168" s="1560">
        <v>10.5156884590919</v>
      </c>
      <c r="E168" s="1561">
        <v>113.008448070348</v>
      </c>
      <c r="F168" s="3711">
        <v>111.646690527153</v>
      </c>
      <c r="G168" s="1560">
        <v>116.012566985059</v>
      </c>
      <c r="H168" s="1557"/>
      <c r="I168" s="266"/>
      <c r="J168" s="291"/>
      <c r="K168" s="266"/>
      <c r="L168" s="266"/>
      <c r="M168" s="749"/>
      <c r="N168" s="742"/>
      <c r="O168" s="268">
        <v>108.8</v>
      </c>
      <c r="P168" s="3513">
        <v>109.1</v>
      </c>
      <c r="Q168" s="268">
        <v>100.3</v>
      </c>
      <c r="R168" s="3770"/>
      <c r="S168" s="1470"/>
      <c r="T168" s="1470"/>
      <c r="U168" s="1470"/>
    </row>
    <row r="169" spans="1:21" s="17" customFormat="1">
      <c r="A169" s="1548">
        <v>1986.04</v>
      </c>
      <c r="B169" s="1559">
        <v>57.778246604996703</v>
      </c>
      <c r="C169" s="3711">
        <v>131.97718899931601</v>
      </c>
      <c r="D169" s="1560">
        <v>10.659088884343101</v>
      </c>
      <c r="E169" s="1561">
        <v>111.87150093312501</v>
      </c>
      <c r="F169" s="3711">
        <v>110.180008092056</v>
      </c>
      <c r="G169" s="1560">
        <v>115.739053752882</v>
      </c>
      <c r="H169" s="1557"/>
      <c r="I169" s="266"/>
      <c r="J169" s="291"/>
      <c r="K169" s="266"/>
      <c r="L169" s="266"/>
      <c r="M169" s="749"/>
      <c r="N169" s="742"/>
      <c r="O169" s="268">
        <v>108.6</v>
      </c>
      <c r="P169" s="3513">
        <v>108.7</v>
      </c>
      <c r="Q169" s="268">
        <v>99.6</v>
      </c>
      <c r="R169" s="3770"/>
      <c r="S169" s="1470"/>
      <c r="T169" s="1470"/>
      <c r="U169" s="1470"/>
    </row>
    <row r="170" spans="1:21" s="17" customFormat="1">
      <c r="A170" s="1548">
        <v>1986.05</v>
      </c>
      <c r="B170" s="1559">
        <v>57.0707195737738</v>
      </c>
      <c r="C170" s="3711">
        <v>128.981713566004</v>
      </c>
      <c r="D170" s="1560">
        <v>10.8101280275981</v>
      </c>
      <c r="E170" s="1561">
        <v>110.083467284253</v>
      </c>
      <c r="F170" s="3711">
        <v>107.690268303571</v>
      </c>
      <c r="G170" s="1560">
        <v>115.8183883703</v>
      </c>
      <c r="H170" s="1557"/>
      <c r="I170" s="266"/>
      <c r="J170" s="291"/>
      <c r="K170" s="266"/>
      <c r="L170" s="266"/>
      <c r="M170" s="749"/>
      <c r="N170" s="742"/>
      <c r="O170" s="268">
        <v>108.9</v>
      </c>
      <c r="P170" s="3513">
        <v>109</v>
      </c>
      <c r="Q170" s="268">
        <v>100</v>
      </c>
      <c r="R170" s="3770"/>
      <c r="S170" s="1470"/>
      <c r="T170" s="1470"/>
      <c r="U170" s="1470"/>
    </row>
    <row r="171" spans="1:21" s="17" customFormat="1">
      <c r="A171" s="1548">
        <v>1986.06</v>
      </c>
      <c r="B171" s="1559">
        <v>57.569660048563001</v>
      </c>
      <c r="C171" s="3711">
        <v>129.797179200833</v>
      </c>
      <c r="D171" s="1560">
        <v>10.9697779175862</v>
      </c>
      <c r="E171" s="1561">
        <v>110.84811469352501</v>
      </c>
      <c r="F171" s="3711">
        <v>108.724254548082</v>
      </c>
      <c r="G171" s="1560">
        <v>115.86040432575101</v>
      </c>
      <c r="H171" s="1557"/>
      <c r="I171" s="266"/>
      <c r="J171" s="291"/>
      <c r="K171" s="266"/>
      <c r="L171" s="266"/>
      <c r="M171" s="749"/>
      <c r="N171" s="742"/>
      <c r="O171" s="268">
        <v>109.5</v>
      </c>
      <c r="P171" s="3513">
        <v>109.4</v>
      </c>
      <c r="Q171" s="268">
        <v>99.9</v>
      </c>
      <c r="R171" s="3770"/>
      <c r="S171" s="1470"/>
      <c r="T171" s="1470"/>
      <c r="U171" s="1470"/>
    </row>
    <row r="172" spans="1:21" s="17" customFormat="1">
      <c r="A172" s="1548">
        <v>1986.07</v>
      </c>
      <c r="B172" s="1559">
        <v>56.864456598510699</v>
      </c>
      <c r="C172" s="3711">
        <v>126.443407922904</v>
      </c>
      <c r="D172" s="1560">
        <v>11.2158013592993</v>
      </c>
      <c r="E172" s="1561">
        <v>108.96089270220899</v>
      </c>
      <c r="F172" s="3711">
        <v>105.797933536061</v>
      </c>
      <c r="G172" s="1560">
        <v>116.792554910479</v>
      </c>
      <c r="H172" s="1557"/>
      <c r="I172" s="266"/>
      <c r="J172" s="291"/>
      <c r="K172" s="266"/>
      <c r="L172" s="266"/>
      <c r="M172" s="749"/>
      <c r="N172" s="742"/>
      <c r="O172" s="268">
        <v>109.5</v>
      </c>
      <c r="P172" s="3513">
        <v>109.5</v>
      </c>
      <c r="Q172" s="268">
        <v>99.4</v>
      </c>
      <c r="R172" s="3770"/>
      <c r="S172" s="1470"/>
      <c r="T172" s="1470"/>
      <c r="U172" s="1470"/>
    </row>
    <row r="173" spans="1:21" s="17" customFormat="1">
      <c r="A173" s="1548">
        <v>1986.08</v>
      </c>
      <c r="B173" s="1559">
        <v>56.498249003554001</v>
      </c>
      <c r="C173" s="3711">
        <v>124.39274993604801</v>
      </c>
      <c r="D173" s="1560">
        <v>11.4211921986986</v>
      </c>
      <c r="E173" s="1561">
        <v>107.517016181317</v>
      </c>
      <c r="F173" s="3711">
        <v>104.029119548566</v>
      </c>
      <c r="G173" s="1560">
        <v>116.25975284016999</v>
      </c>
      <c r="H173" s="1557"/>
      <c r="I173" s="266"/>
      <c r="J173" s="291"/>
      <c r="K173" s="266"/>
      <c r="L173" s="266"/>
      <c r="M173" s="749"/>
      <c r="N173" s="742"/>
      <c r="O173" s="268">
        <v>109.7</v>
      </c>
      <c r="P173" s="3513">
        <v>109.6</v>
      </c>
      <c r="Q173" s="268">
        <v>99.3</v>
      </c>
      <c r="R173" s="3770"/>
      <c r="S173" s="1470"/>
      <c r="T173" s="1470"/>
      <c r="U173" s="1470"/>
    </row>
    <row r="174" spans="1:21" s="17" customFormat="1">
      <c r="A174" s="1548">
        <v>1986.09</v>
      </c>
      <c r="B174" s="1559">
        <v>56.813091218933401</v>
      </c>
      <c r="C174" s="3711">
        <v>124.26774391171899</v>
      </c>
      <c r="D174" s="1560">
        <v>11.6741742042061</v>
      </c>
      <c r="E174" s="1561">
        <v>107.61154072846401</v>
      </c>
      <c r="F174" s="3711">
        <v>104.101555273522</v>
      </c>
      <c r="G174" s="1560">
        <v>116.41492818280901</v>
      </c>
      <c r="H174" s="1557"/>
      <c r="I174" s="266"/>
      <c r="J174" s="291"/>
      <c r="K174" s="266"/>
      <c r="L174" s="266"/>
      <c r="M174" s="749"/>
      <c r="N174" s="742"/>
      <c r="O174" s="268">
        <v>110.2</v>
      </c>
      <c r="P174" s="3513">
        <v>110</v>
      </c>
      <c r="Q174" s="268">
        <v>99.4</v>
      </c>
      <c r="R174" s="3770"/>
      <c r="S174" s="1470"/>
      <c r="T174" s="1470"/>
      <c r="U174" s="1470"/>
    </row>
    <row r="175" spans="1:21" s="17" customFormat="1">
      <c r="A175" s="1548">
        <v>1986.1</v>
      </c>
      <c r="B175" s="1559">
        <v>57.108629915368397</v>
      </c>
      <c r="C175" s="3711">
        <v>124.30758549330901</v>
      </c>
      <c r="D175" s="1560">
        <v>11.878370691231201</v>
      </c>
      <c r="E175" s="1561">
        <v>107.710904942612</v>
      </c>
      <c r="F175" s="3711">
        <v>104.196173919377</v>
      </c>
      <c r="G175" s="1560">
        <v>116.526611794883</v>
      </c>
      <c r="H175" s="1557"/>
      <c r="I175" s="266"/>
      <c r="J175" s="291"/>
      <c r="K175" s="266"/>
      <c r="L175" s="266"/>
      <c r="M175" s="749"/>
      <c r="N175" s="742"/>
      <c r="O175" s="268">
        <v>110.3</v>
      </c>
      <c r="P175" s="3513">
        <v>110.2</v>
      </c>
      <c r="Q175" s="268">
        <v>99.7</v>
      </c>
      <c r="R175" s="3770"/>
      <c r="S175" s="1470"/>
      <c r="T175" s="1470"/>
      <c r="U175" s="1470"/>
    </row>
    <row r="176" spans="1:21" s="17" customFormat="1">
      <c r="A176" s="1548">
        <v>1986.11</v>
      </c>
      <c r="B176" s="1559">
        <v>57.953662352980402</v>
      </c>
      <c r="C176" s="3711">
        <v>126.132295816352</v>
      </c>
      <c r="D176" s="1560">
        <v>12.0573096895774</v>
      </c>
      <c r="E176" s="1561">
        <v>108.679067056512</v>
      </c>
      <c r="F176" s="3711">
        <v>105.605383606365</v>
      </c>
      <c r="G176" s="1560">
        <v>116.267806035448</v>
      </c>
      <c r="H176" s="1557"/>
      <c r="I176" s="266"/>
      <c r="J176" s="291"/>
      <c r="K176" s="266"/>
      <c r="L176" s="266"/>
      <c r="M176" s="749"/>
      <c r="N176" s="742"/>
      <c r="O176" s="268">
        <v>110.4</v>
      </c>
      <c r="P176" s="3513">
        <v>110.4</v>
      </c>
      <c r="Q176" s="268">
        <v>99.8</v>
      </c>
      <c r="R176" s="3770"/>
      <c r="S176" s="1470"/>
      <c r="T176" s="1470"/>
      <c r="U176" s="1470"/>
    </row>
    <row r="177" spans="1:21" s="17" customFormat="1">
      <c r="A177" s="1548">
        <v>1986.12</v>
      </c>
      <c r="B177" s="1559">
        <v>58.141629453944297</v>
      </c>
      <c r="C177" s="3711">
        <v>124.95629871225</v>
      </c>
      <c r="D177" s="1560">
        <v>12.482253517031699</v>
      </c>
      <c r="E177" s="1561">
        <v>108.539792137338</v>
      </c>
      <c r="F177" s="3711">
        <v>104.71586854245299</v>
      </c>
      <c r="G177" s="1560">
        <v>118.212913920105</v>
      </c>
      <c r="H177" s="1557"/>
      <c r="I177" s="266"/>
      <c r="J177" s="291"/>
      <c r="K177" s="266"/>
      <c r="L177" s="266"/>
      <c r="M177" s="749"/>
      <c r="N177" s="742"/>
      <c r="O177" s="268">
        <v>110.5</v>
      </c>
      <c r="P177" s="3513">
        <v>110.8</v>
      </c>
      <c r="Q177" s="268">
        <v>99.7</v>
      </c>
      <c r="R177" s="3770"/>
      <c r="S177" s="1470"/>
      <c r="T177" s="1470"/>
      <c r="U177" s="1470"/>
    </row>
    <row r="178" spans="1:21" s="17" customFormat="1">
      <c r="A178" s="1548">
        <v>1987.01</v>
      </c>
      <c r="B178" s="1559">
        <v>56.814481107083601</v>
      </c>
      <c r="C178" s="3711">
        <v>120.17227530784101</v>
      </c>
      <c r="D178" s="1560">
        <v>12.681294386413899</v>
      </c>
      <c r="E178" s="1561">
        <v>105.928675168469</v>
      </c>
      <c r="F178" s="3711">
        <v>101.074169316789</v>
      </c>
      <c r="G178" s="1560">
        <v>118.487576215527</v>
      </c>
      <c r="H178" s="1557"/>
      <c r="I178" s="266"/>
      <c r="J178" s="291"/>
      <c r="K178" s="266"/>
      <c r="L178" s="266"/>
      <c r="M178" s="749"/>
      <c r="N178" s="742"/>
      <c r="O178" s="268">
        <v>111.2</v>
      </c>
      <c r="P178" s="3513">
        <v>111.4</v>
      </c>
      <c r="Q178" s="268">
        <v>100.5</v>
      </c>
      <c r="R178" s="3770"/>
      <c r="S178" s="1470"/>
      <c r="T178" s="1470"/>
      <c r="U178" s="1470"/>
    </row>
    <row r="179" spans="1:21" s="17" customFormat="1">
      <c r="A179" s="1548">
        <v>1987.02</v>
      </c>
      <c r="B179" s="1559">
        <v>56.556035447175802</v>
      </c>
      <c r="C179" s="3711">
        <v>118.253481287844</v>
      </c>
      <c r="D179" s="1560">
        <v>12.9793949497084</v>
      </c>
      <c r="E179" s="1561">
        <v>104.957712870259</v>
      </c>
      <c r="F179" s="3711">
        <v>99.603035365696996</v>
      </c>
      <c r="G179" s="1560">
        <v>118.957774464998</v>
      </c>
      <c r="H179" s="1557"/>
      <c r="I179" s="266"/>
      <c r="J179" s="291"/>
      <c r="K179" s="266"/>
      <c r="L179" s="266"/>
      <c r="M179" s="749"/>
      <c r="N179" s="742"/>
      <c r="O179" s="268">
        <v>111.6</v>
      </c>
      <c r="P179" s="3513">
        <v>111.8</v>
      </c>
      <c r="Q179" s="268">
        <v>101</v>
      </c>
      <c r="R179" s="3770"/>
      <c r="S179" s="1470"/>
      <c r="T179" s="1470"/>
      <c r="U179" s="1470"/>
    </row>
    <row r="180" spans="1:21" s="17" customFormat="1">
      <c r="A180" s="1548">
        <v>1987.03</v>
      </c>
      <c r="B180" s="1559">
        <v>56.512469235645497</v>
      </c>
      <c r="C180" s="3711">
        <v>117.07595273104</v>
      </c>
      <c r="D180" s="1560">
        <v>13.262175900686501</v>
      </c>
      <c r="E180" s="1561">
        <v>104.31425052499</v>
      </c>
      <c r="F180" s="3711">
        <v>98.787247204964999</v>
      </c>
      <c r="G180" s="1560">
        <v>118.82224585246701</v>
      </c>
      <c r="H180" s="1557"/>
      <c r="I180" s="266"/>
      <c r="J180" s="291"/>
      <c r="K180" s="266"/>
      <c r="L180" s="266"/>
      <c r="M180" s="749"/>
      <c r="N180" s="742"/>
      <c r="O180" s="268">
        <v>112.1</v>
      </c>
      <c r="P180" s="3513">
        <v>112.2</v>
      </c>
      <c r="Q180" s="268">
        <v>101.2</v>
      </c>
      <c r="R180" s="3770"/>
      <c r="S180" s="1470"/>
      <c r="T180" s="1470"/>
      <c r="U180" s="1470"/>
    </row>
    <row r="181" spans="1:21" s="17" customFormat="1">
      <c r="A181" s="1548">
        <v>1987.04</v>
      </c>
      <c r="B181" s="1559">
        <v>55.801045261987397</v>
      </c>
      <c r="C181" s="3711">
        <v>114.365067766059</v>
      </c>
      <c r="D181" s="1560">
        <v>13.439656383157001</v>
      </c>
      <c r="E181" s="1561">
        <v>102.20966469750699</v>
      </c>
      <c r="F181" s="3711">
        <v>96.602530443533098</v>
      </c>
      <c r="G181" s="1560">
        <v>116.983463431971</v>
      </c>
      <c r="H181" s="1557"/>
      <c r="I181" s="266"/>
      <c r="J181" s="291"/>
      <c r="K181" s="266"/>
      <c r="L181" s="266"/>
      <c r="M181" s="749"/>
      <c r="N181" s="742"/>
      <c r="O181" s="268">
        <v>112.7</v>
      </c>
      <c r="P181" s="3513">
        <v>112.7</v>
      </c>
      <c r="Q181" s="268">
        <v>101.9</v>
      </c>
      <c r="R181" s="3770"/>
      <c r="S181" s="1470"/>
      <c r="T181" s="1470"/>
      <c r="U181" s="1470"/>
    </row>
    <row r="182" spans="1:21" s="17" customFormat="1">
      <c r="A182" s="1548">
        <v>1987.05</v>
      </c>
      <c r="B182" s="1559">
        <v>55.898747290623497</v>
      </c>
      <c r="C182" s="3711">
        <v>113.712706375675</v>
      </c>
      <c r="D182" s="1560">
        <v>13.7085621251959</v>
      </c>
      <c r="E182" s="1561">
        <v>101.523788757307</v>
      </c>
      <c r="F182" s="3711">
        <v>96.154510269668904</v>
      </c>
      <c r="G182" s="1560">
        <v>115.615011819559</v>
      </c>
      <c r="H182" s="1557"/>
      <c r="I182" s="266"/>
      <c r="J182" s="291"/>
      <c r="K182" s="266"/>
      <c r="L182" s="266"/>
      <c r="M182" s="749"/>
      <c r="N182" s="742"/>
      <c r="O182" s="268">
        <v>113.1</v>
      </c>
      <c r="P182" s="3513">
        <v>113</v>
      </c>
      <c r="Q182" s="268">
        <v>102.6</v>
      </c>
      <c r="R182" s="3770"/>
      <c r="S182" s="1470"/>
      <c r="T182" s="1470"/>
      <c r="U182" s="1470"/>
    </row>
    <row r="183" spans="1:21" s="17" customFormat="1">
      <c r="A183" s="1548">
        <v>1987.06</v>
      </c>
      <c r="B183" s="1559">
        <v>56.867515904047401</v>
      </c>
      <c r="C183" s="3711">
        <v>115.42360372949901</v>
      </c>
      <c r="D183" s="1560">
        <v>14.0218178459142</v>
      </c>
      <c r="E183" s="1561">
        <v>102.581366762711</v>
      </c>
      <c r="F183" s="3711">
        <v>97.793119266336603</v>
      </c>
      <c r="G183" s="1560">
        <v>114.990468271541</v>
      </c>
      <c r="H183" s="1557"/>
      <c r="I183" s="266"/>
      <c r="J183" s="291"/>
      <c r="K183" s="266"/>
      <c r="L183" s="266"/>
      <c r="M183" s="749"/>
      <c r="N183" s="742"/>
      <c r="O183" s="268">
        <v>113.5</v>
      </c>
      <c r="P183" s="3513">
        <v>113.5</v>
      </c>
      <c r="Q183" s="268">
        <v>103</v>
      </c>
      <c r="R183" s="3770"/>
      <c r="S183" s="1470"/>
      <c r="T183" s="1470"/>
      <c r="U183" s="1470"/>
    </row>
    <row r="184" spans="1:21" s="17" customFormat="1">
      <c r="A184" s="1548">
        <v>1987.07</v>
      </c>
      <c r="B184" s="1559">
        <v>57.781428725395003</v>
      </c>
      <c r="C184" s="3711">
        <v>117.08744272647399</v>
      </c>
      <c r="D184" s="1560">
        <v>14.3033252755622</v>
      </c>
      <c r="E184" s="1561">
        <v>103.46343793843199</v>
      </c>
      <c r="F184" s="3711">
        <v>99.2873443424416</v>
      </c>
      <c r="G184" s="1560">
        <v>114.144952471929</v>
      </c>
      <c r="H184" s="1557"/>
      <c r="I184" s="266"/>
      <c r="J184" s="291"/>
      <c r="K184" s="266"/>
      <c r="L184" s="266"/>
      <c r="M184" s="749"/>
      <c r="N184" s="742"/>
      <c r="O184" s="268">
        <v>113.8</v>
      </c>
      <c r="P184" s="3513">
        <v>113.8</v>
      </c>
      <c r="Q184" s="268">
        <v>103.5</v>
      </c>
      <c r="R184" s="3770"/>
      <c r="S184" s="1470"/>
      <c r="T184" s="1470"/>
      <c r="U184" s="1470"/>
    </row>
    <row r="185" spans="1:21" s="17" customFormat="1">
      <c r="A185" s="1548">
        <v>1987.08</v>
      </c>
      <c r="B185" s="1559">
        <v>57.807301754358598</v>
      </c>
      <c r="C185" s="3711">
        <v>116.65800947110201</v>
      </c>
      <c r="D185" s="1560">
        <v>14.4538206492168</v>
      </c>
      <c r="E185" s="1561">
        <v>102.841229954534</v>
      </c>
      <c r="F185" s="3711">
        <v>99.025993864430802</v>
      </c>
      <c r="G185" s="1560">
        <v>112.531831125279</v>
      </c>
      <c r="H185" s="1557"/>
      <c r="I185" s="266"/>
      <c r="J185" s="291"/>
      <c r="K185" s="266"/>
      <c r="L185" s="266"/>
      <c r="M185" s="749"/>
      <c r="N185" s="742"/>
      <c r="O185" s="268">
        <v>114.4</v>
      </c>
      <c r="P185" s="3513">
        <v>114.3</v>
      </c>
      <c r="Q185" s="268">
        <v>103.8</v>
      </c>
      <c r="R185" s="3770"/>
      <c r="S185" s="1470"/>
      <c r="T185" s="1470"/>
      <c r="U185" s="1470"/>
    </row>
    <row r="186" spans="1:21" s="17" customFormat="1">
      <c r="A186" s="1548">
        <v>1987.09</v>
      </c>
      <c r="B186" s="1559">
        <v>57.197111663145499</v>
      </c>
      <c r="C186" s="3711">
        <v>114.244621945768</v>
      </c>
      <c r="D186" s="1560">
        <v>14.660236681727801</v>
      </c>
      <c r="E186" s="1561">
        <v>101.205503532783</v>
      </c>
      <c r="F186" s="3711">
        <v>97.126837627703296</v>
      </c>
      <c r="G186" s="1560">
        <v>111.63644819228701</v>
      </c>
      <c r="H186" s="1557"/>
      <c r="I186" s="266"/>
      <c r="J186" s="291"/>
      <c r="K186" s="266"/>
      <c r="L186" s="266"/>
      <c r="M186" s="749"/>
      <c r="N186" s="742"/>
      <c r="O186" s="268">
        <v>115</v>
      </c>
      <c r="P186" s="3513">
        <v>114.7</v>
      </c>
      <c r="Q186" s="268">
        <v>103.7</v>
      </c>
      <c r="R186" s="3770"/>
      <c r="S186" s="1470"/>
      <c r="T186" s="1470"/>
      <c r="U186" s="1470"/>
    </row>
    <row r="187" spans="1:21" s="17" customFormat="1">
      <c r="A187" s="1548">
        <v>1987.1</v>
      </c>
      <c r="B187" s="1559">
        <v>57.3690743054105</v>
      </c>
      <c r="C187" s="3711">
        <v>113.828747665961</v>
      </c>
      <c r="D187" s="1560">
        <v>14.942718088104501</v>
      </c>
      <c r="E187" s="1561">
        <v>100.787343390636</v>
      </c>
      <c r="F187" s="3711">
        <v>96.876229194283795</v>
      </c>
      <c r="G187" s="1560">
        <v>110.758032227736</v>
      </c>
      <c r="H187" s="1557"/>
      <c r="I187" s="266"/>
      <c r="J187" s="291"/>
      <c r="K187" s="266"/>
      <c r="L187" s="266"/>
      <c r="M187" s="749"/>
      <c r="N187" s="742"/>
      <c r="O187" s="268">
        <v>115.3</v>
      </c>
      <c r="P187" s="3513">
        <v>115</v>
      </c>
      <c r="Q187" s="268">
        <v>104.1</v>
      </c>
      <c r="R187" s="3770"/>
      <c r="S187" s="1470"/>
      <c r="T187" s="1470"/>
      <c r="U187" s="1470"/>
    </row>
    <row r="188" spans="1:21" s="17" customFormat="1">
      <c r="A188" s="1548">
        <v>1987.11</v>
      </c>
      <c r="B188" s="1559">
        <v>56.009452741780201</v>
      </c>
      <c r="C188" s="3711">
        <v>109.375251588073</v>
      </c>
      <c r="D188" s="1560">
        <v>15.160215405377601</v>
      </c>
      <c r="E188" s="1561">
        <v>97.738318840114204</v>
      </c>
      <c r="F188" s="3711">
        <v>93.224265117193298</v>
      </c>
      <c r="G188" s="1560">
        <v>109.425018010488</v>
      </c>
      <c r="H188" s="1557"/>
      <c r="I188" s="266"/>
      <c r="J188" s="291"/>
      <c r="K188" s="266"/>
      <c r="L188" s="266"/>
      <c r="M188" s="749"/>
      <c r="N188" s="742"/>
      <c r="O188" s="268">
        <v>115.4</v>
      </c>
      <c r="P188" s="3513">
        <v>115.4</v>
      </c>
      <c r="Q188" s="268">
        <v>104.2</v>
      </c>
      <c r="R188" s="3770"/>
      <c r="S188" s="1470"/>
      <c r="T188" s="1470"/>
      <c r="U188" s="1470"/>
    </row>
    <row r="189" spans="1:21" s="17" customFormat="1">
      <c r="A189" s="1548">
        <v>1987.12</v>
      </c>
      <c r="B189" s="1559">
        <v>55.422741426775097</v>
      </c>
      <c r="C189" s="3711">
        <v>106.185922164944</v>
      </c>
      <c r="D189" s="1560">
        <v>15.708618808036</v>
      </c>
      <c r="E189" s="1561">
        <v>95.607396681192199</v>
      </c>
      <c r="F189" s="3711">
        <v>90.403405033879096</v>
      </c>
      <c r="G189" s="1560">
        <v>109.307228506318</v>
      </c>
      <c r="H189" s="1557"/>
      <c r="I189" s="266"/>
      <c r="J189" s="291"/>
      <c r="K189" s="266"/>
      <c r="L189" s="266"/>
      <c r="M189" s="749"/>
      <c r="N189" s="742"/>
      <c r="O189" s="268">
        <v>115.4</v>
      </c>
      <c r="P189" s="3513">
        <v>115.6</v>
      </c>
      <c r="Q189" s="268">
        <v>104.2</v>
      </c>
      <c r="R189" s="3770"/>
      <c r="S189" s="1470"/>
      <c r="T189" s="1470"/>
      <c r="U189" s="1470"/>
    </row>
    <row r="190" spans="1:21" s="17" customFormat="1">
      <c r="A190" s="1548">
        <v>1988.01</v>
      </c>
      <c r="B190" s="1559">
        <v>55.782288777900099</v>
      </c>
      <c r="C190" s="3711">
        <v>105.965080568358</v>
      </c>
      <c r="D190" s="1560">
        <v>16.139686719756099</v>
      </c>
      <c r="E190" s="1561">
        <v>95.682108740188895</v>
      </c>
      <c r="F190" s="3711">
        <v>90.617631980690007</v>
      </c>
      <c r="G190" s="1560">
        <v>108.992241805821</v>
      </c>
      <c r="H190" s="1557"/>
      <c r="I190" s="266"/>
      <c r="J190" s="291"/>
      <c r="K190" s="266"/>
      <c r="L190" s="266"/>
      <c r="M190" s="749"/>
      <c r="N190" s="742"/>
      <c r="O190" s="268">
        <v>115.7</v>
      </c>
      <c r="P190" s="3513">
        <v>116</v>
      </c>
      <c r="Q190" s="268">
        <v>104.6</v>
      </c>
      <c r="R190" s="3770"/>
      <c r="S190" s="1470"/>
      <c r="T190" s="1470"/>
      <c r="U190" s="1470"/>
    </row>
    <row r="191" spans="1:21" s="17" customFormat="1">
      <c r="A191" s="1548">
        <v>1988.02</v>
      </c>
      <c r="B191" s="1559">
        <v>56.433525005006203</v>
      </c>
      <c r="C191" s="3711">
        <v>107.09899481328399</v>
      </c>
      <c r="D191" s="1560">
        <v>16.364087723998299</v>
      </c>
      <c r="E191" s="1561">
        <v>95.852711092716405</v>
      </c>
      <c r="F191" s="3711">
        <v>91.456510753710603</v>
      </c>
      <c r="G191" s="1560">
        <v>107.32576509832199</v>
      </c>
      <c r="H191" s="1557"/>
      <c r="I191" s="266"/>
      <c r="J191" s="291"/>
      <c r="K191" s="266"/>
      <c r="L191" s="266"/>
      <c r="M191" s="749"/>
      <c r="N191" s="742"/>
      <c r="O191" s="268">
        <v>116</v>
      </c>
      <c r="P191" s="3513">
        <v>116.2</v>
      </c>
      <c r="Q191" s="268">
        <v>104.8</v>
      </c>
      <c r="R191" s="3770"/>
      <c r="S191" s="1470"/>
      <c r="T191" s="1470"/>
      <c r="U191" s="1470"/>
    </row>
    <row r="192" spans="1:21" s="17" customFormat="1">
      <c r="A192" s="1548">
        <v>1988.03</v>
      </c>
      <c r="B192" s="1559">
        <v>55.949232391889304</v>
      </c>
      <c r="C192" s="3711">
        <v>105.28854463615301</v>
      </c>
      <c r="D192" s="1560">
        <v>16.543242973048699</v>
      </c>
      <c r="E192" s="1561">
        <v>94.309933530381699</v>
      </c>
      <c r="F192" s="3711">
        <v>89.882589402162196</v>
      </c>
      <c r="G192" s="1560">
        <v>105.875378775773</v>
      </c>
      <c r="H192" s="1557"/>
      <c r="I192" s="266"/>
      <c r="J192" s="291"/>
      <c r="K192" s="266"/>
      <c r="L192" s="266"/>
      <c r="M192" s="749"/>
      <c r="N192" s="742"/>
      <c r="O192" s="268">
        <v>116.5</v>
      </c>
      <c r="P192" s="3513">
        <v>116.5</v>
      </c>
      <c r="Q192" s="268">
        <v>104.9</v>
      </c>
      <c r="R192" s="3770"/>
      <c r="S192" s="1470"/>
      <c r="T192" s="1470"/>
      <c r="U192" s="1470"/>
    </row>
    <row r="193" spans="1:21" s="17" customFormat="1">
      <c r="A193" s="1548">
        <v>1988.04</v>
      </c>
      <c r="B193" s="1559">
        <v>55.654588811566001</v>
      </c>
      <c r="C193" s="3711">
        <v>104.02152163963</v>
      </c>
      <c r="D193" s="1560">
        <v>16.7178099344139</v>
      </c>
      <c r="E193" s="1561">
        <v>93.567828501684502</v>
      </c>
      <c r="F193" s="3711">
        <v>89.185190714590306</v>
      </c>
      <c r="G193" s="1560">
        <v>105.01539150444</v>
      </c>
      <c r="H193" s="1557"/>
      <c r="I193" s="266"/>
      <c r="J193" s="291"/>
      <c r="K193" s="266"/>
      <c r="L193" s="266"/>
      <c r="M193" s="749"/>
      <c r="N193" s="742"/>
      <c r="O193" s="268">
        <v>117.1</v>
      </c>
      <c r="P193" s="3513">
        <v>117.2</v>
      </c>
      <c r="Q193" s="268">
        <v>105.8</v>
      </c>
      <c r="R193" s="3770"/>
      <c r="S193" s="1470"/>
      <c r="T193" s="1470"/>
      <c r="U193" s="1470"/>
    </row>
    <row r="194" spans="1:21" s="17" customFormat="1">
      <c r="A194" s="1548">
        <v>1988.05</v>
      </c>
      <c r="B194" s="1559">
        <v>56.036563496627501</v>
      </c>
      <c r="C194" s="3711">
        <v>104.444044682962</v>
      </c>
      <c r="D194" s="1560">
        <v>16.941294912385999</v>
      </c>
      <c r="E194" s="1561">
        <v>93.629496371436602</v>
      </c>
      <c r="F194" s="3711">
        <v>89.5814316995978</v>
      </c>
      <c r="G194" s="1560">
        <v>104.171442739802</v>
      </c>
      <c r="H194" s="1557"/>
      <c r="I194" s="266"/>
      <c r="J194" s="291"/>
      <c r="K194" s="266"/>
      <c r="L194" s="266"/>
      <c r="M194" s="749"/>
      <c r="N194" s="742"/>
      <c r="O194" s="268">
        <v>117.5</v>
      </c>
      <c r="P194" s="3513">
        <v>117.5</v>
      </c>
      <c r="Q194" s="268">
        <v>106.5</v>
      </c>
      <c r="R194" s="3770"/>
      <c r="S194" s="1470"/>
      <c r="T194" s="1470"/>
      <c r="U194" s="1470"/>
    </row>
    <row r="195" spans="1:21" s="17" customFormat="1">
      <c r="A195" s="1548">
        <v>1988.06</v>
      </c>
      <c r="B195" s="1559">
        <v>56.939808676798599</v>
      </c>
      <c r="C195" s="3711">
        <v>106.184743025835</v>
      </c>
      <c r="D195" s="1560">
        <v>17.193697983730299</v>
      </c>
      <c r="E195" s="1561">
        <v>94.581174371503494</v>
      </c>
      <c r="F195" s="3711">
        <v>91.217094982636297</v>
      </c>
      <c r="G195" s="1560">
        <v>103.305905125473</v>
      </c>
      <c r="H195" s="1557"/>
      <c r="I195" s="266"/>
      <c r="J195" s="291"/>
      <c r="K195" s="266"/>
      <c r="L195" s="266"/>
      <c r="M195" s="749"/>
      <c r="N195" s="742"/>
      <c r="O195" s="268">
        <v>118</v>
      </c>
      <c r="P195" s="3513">
        <v>118</v>
      </c>
      <c r="Q195" s="268">
        <v>107.2</v>
      </c>
      <c r="R195" s="3770"/>
      <c r="S195" s="1470"/>
      <c r="T195" s="1470"/>
      <c r="U195" s="1470"/>
    </row>
    <row r="196" spans="1:21" s="17" customFormat="1">
      <c r="A196" s="1548">
        <v>1988.07</v>
      </c>
      <c r="B196" s="1559">
        <v>58.3909112377127</v>
      </c>
      <c r="C196" s="3711">
        <v>109.29610830611099</v>
      </c>
      <c r="D196" s="1560">
        <v>17.480408196480798</v>
      </c>
      <c r="E196" s="1561">
        <v>96.346906938559997</v>
      </c>
      <c r="F196" s="3711">
        <v>93.956725112439301</v>
      </c>
      <c r="G196" s="1560">
        <v>102.56883788375799</v>
      </c>
      <c r="H196" s="1557"/>
      <c r="I196" s="266"/>
      <c r="J196" s="291"/>
      <c r="K196" s="266"/>
      <c r="L196" s="266"/>
      <c r="M196" s="749"/>
      <c r="N196" s="742"/>
      <c r="O196" s="268">
        <v>118.5</v>
      </c>
      <c r="P196" s="3513">
        <v>118.5</v>
      </c>
      <c r="Q196" s="268">
        <v>107.9</v>
      </c>
      <c r="R196" s="3770"/>
      <c r="S196" s="1470"/>
      <c r="T196" s="1470"/>
      <c r="U196" s="1470"/>
    </row>
    <row r="197" spans="1:21" s="17" customFormat="1">
      <c r="A197" s="1548">
        <v>1988.08</v>
      </c>
      <c r="B197" s="1559">
        <v>59.222025234234799</v>
      </c>
      <c r="C197" s="3711">
        <v>110.73198594583199</v>
      </c>
      <c r="D197" s="1560">
        <v>17.773600168221598</v>
      </c>
      <c r="E197" s="1561">
        <v>97.099255338355206</v>
      </c>
      <c r="F197" s="3711">
        <v>95.280811170132395</v>
      </c>
      <c r="G197" s="1560">
        <v>101.89459483382301</v>
      </c>
      <c r="H197" s="1557"/>
      <c r="I197" s="266"/>
      <c r="J197" s="291"/>
      <c r="K197" s="266"/>
      <c r="L197" s="266"/>
      <c r="M197" s="749"/>
      <c r="N197" s="742"/>
      <c r="O197" s="268">
        <v>119</v>
      </c>
      <c r="P197" s="3513">
        <v>119</v>
      </c>
      <c r="Q197" s="268">
        <v>108</v>
      </c>
      <c r="R197" s="3770"/>
      <c r="S197" s="1470"/>
      <c r="T197" s="1470"/>
      <c r="U197" s="1470"/>
    </row>
    <row r="198" spans="1:21" s="17" customFormat="1">
      <c r="A198" s="1548">
        <v>1988.09</v>
      </c>
      <c r="B198" s="1559">
        <v>59.4956287532396</v>
      </c>
      <c r="C198" s="3711">
        <v>110.798379654104</v>
      </c>
      <c r="D198" s="1560">
        <v>18.021914387115</v>
      </c>
      <c r="E198" s="1561">
        <v>96.999411240707801</v>
      </c>
      <c r="F198" s="3711">
        <v>95.441047088390803</v>
      </c>
      <c r="G198" s="1560">
        <v>101.154126582846</v>
      </c>
      <c r="H198" s="1557"/>
      <c r="I198" s="266"/>
      <c r="J198" s="291"/>
      <c r="K198" s="266"/>
      <c r="L198" s="266"/>
      <c r="M198" s="749"/>
      <c r="N198" s="742"/>
      <c r="O198" s="268">
        <v>119.8</v>
      </c>
      <c r="P198" s="3513">
        <v>119.5</v>
      </c>
      <c r="Q198" s="268">
        <v>108.1</v>
      </c>
      <c r="R198" s="3770"/>
      <c r="S198" s="1470"/>
      <c r="T198" s="1470"/>
      <c r="U198" s="1470"/>
    </row>
    <row r="199" spans="1:21" s="17" customFormat="1">
      <c r="A199" s="1548">
        <v>1988.1</v>
      </c>
      <c r="B199" s="1559">
        <v>58.546197444050598</v>
      </c>
      <c r="C199" s="3711">
        <v>107.71873196448</v>
      </c>
      <c r="D199" s="1560">
        <v>18.2385797533396</v>
      </c>
      <c r="E199" s="1561">
        <v>94.832044031273398</v>
      </c>
      <c r="F199" s="3711">
        <v>92.725385687189501</v>
      </c>
      <c r="G199" s="1560">
        <v>100.33800558462499</v>
      </c>
      <c r="H199" s="1557"/>
      <c r="I199" s="266"/>
      <c r="J199" s="291"/>
      <c r="K199" s="266"/>
      <c r="L199" s="266"/>
      <c r="M199" s="749"/>
      <c r="N199" s="742"/>
      <c r="O199" s="268">
        <v>120.2</v>
      </c>
      <c r="P199" s="3513">
        <v>119.9</v>
      </c>
      <c r="Q199" s="268">
        <v>108.2</v>
      </c>
      <c r="R199" s="3770"/>
      <c r="S199" s="1470"/>
      <c r="T199" s="1470"/>
      <c r="U199" s="1470"/>
    </row>
    <row r="200" spans="1:21" s="17" customFormat="1">
      <c r="A200" s="1548">
        <v>1988.11</v>
      </c>
      <c r="B200" s="1559">
        <v>57.5640841198271</v>
      </c>
      <c r="C200" s="3711">
        <v>104.834259408821</v>
      </c>
      <c r="D200" s="1560">
        <v>18.3615361859061</v>
      </c>
      <c r="E200" s="1561">
        <v>92.863802323619595</v>
      </c>
      <c r="F200" s="3711">
        <v>90.453601425585006</v>
      </c>
      <c r="G200" s="1560">
        <v>99.1299948232529</v>
      </c>
      <c r="H200" s="1557"/>
      <c r="I200" s="266"/>
      <c r="J200" s="291"/>
      <c r="K200" s="266"/>
      <c r="L200" s="266"/>
      <c r="M200" s="749"/>
      <c r="N200" s="742"/>
      <c r="O200" s="268">
        <v>120.3</v>
      </c>
      <c r="P200" s="3513">
        <v>120.3</v>
      </c>
      <c r="Q200" s="268">
        <v>108.3</v>
      </c>
      <c r="R200" s="3770"/>
      <c r="S200" s="1470"/>
      <c r="T200" s="1470"/>
      <c r="U200" s="1470"/>
    </row>
    <row r="201" spans="1:21" s="17" customFormat="1">
      <c r="A201" s="1548">
        <v>1988.12</v>
      </c>
      <c r="B201" s="1559">
        <v>57.646313385065397</v>
      </c>
      <c r="C201" s="3711">
        <v>104.40703913612001</v>
      </c>
      <c r="D201" s="1560">
        <v>18.6232069413815</v>
      </c>
      <c r="E201" s="1561">
        <v>92.500501392494201</v>
      </c>
      <c r="F201" s="3711">
        <v>90.106086863607004</v>
      </c>
      <c r="G201" s="1560">
        <v>98.726070253972196</v>
      </c>
      <c r="H201" s="1557"/>
      <c r="I201" s="266"/>
      <c r="J201" s="291"/>
      <c r="K201" s="266"/>
      <c r="L201" s="266"/>
      <c r="M201" s="749"/>
      <c r="N201" s="742"/>
      <c r="O201" s="268">
        <v>120.5</v>
      </c>
      <c r="P201" s="3513">
        <v>120.7</v>
      </c>
      <c r="Q201" s="268">
        <v>109</v>
      </c>
      <c r="R201" s="3770"/>
      <c r="S201" s="1470"/>
      <c r="T201" s="1470"/>
      <c r="U201" s="1470"/>
    </row>
    <row r="202" spans="1:21" s="17" customFormat="1">
      <c r="A202" s="1548">
        <v>1989.01</v>
      </c>
      <c r="B202" s="1559">
        <v>58.867322393242702</v>
      </c>
      <c r="C202" s="3711">
        <v>106.62961919761</v>
      </c>
      <c r="D202" s="1560">
        <v>19.012895219593499</v>
      </c>
      <c r="E202" s="1561">
        <v>94.189533246946198</v>
      </c>
      <c r="F202" s="3711">
        <v>92.250715017363802</v>
      </c>
      <c r="G202" s="1560">
        <v>99.280303337791906</v>
      </c>
      <c r="H202" s="1557"/>
      <c r="I202" s="266"/>
      <c r="J202" s="291"/>
      <c r="K202" s="266"/>
      <c r="L202" s="266"/>
      <c r="M202" s="749"/>
      <c r="N202" s="742"/>
      <c r="O202" s="268">
        <v>121.1</v>
      </c>
      <c r="P202" s="3513">
        <v>121.2</v>
      </c>
      <c r="Q202" s="268">
        <v>110.5</v>
      </c>
      <c r="R202" s="3770"/>
      <c r="S202" s="1470"/>
      <c r="T202" s="1470"/>
      <c r="U202" s="1470"/>
    </row>
    <row r="203" spans="1:21" s="17" customFormat="1">
      <c r="A203" s="1548">
        <v>1989.02</v>
      </c>
      <c r="B203" s="1559">
        <v>59.197664736149299</v>
      </c>
      <c r="C203" s="3711">
        <v>107.141133280654</v>
      </c>
      <c r="D203" s="1560">
        <v>19.1548319913523</v>
      </c>
      <c r="E203" s="1561">
        <v>94.279529814984002</v>
      </c>
      <c r="F203" s="3711">
        <v>92.713621236111194</v>
      </c>
      <c r="G203" s="1560">
        <v>98.452675246696899</v>
      </c>
      <c r="H203" s="1557"/>
      <c r="I203" s="266"/>
      <c r="J203" s="291"/>
      <c r="K203" s="266"/>
      <c r="L203" s="266"/>
      <c r="M203" s="749"/>
      <c r="N203" s="742"/>
      <c r="O203" s="268">
        <v>121.6</v>
      </c>
      <c r="P203" s="3513">
        <v>121.6</v>
      </c>
      <c r="Q203" s="268">
        <v>110.8</v>
      </c>
      <c r="R203" s="3770"/>
      <c r="S203" s="1470"/>
      <c r="T203" s="1470"/>
      <c r="U203" s="1470"/>
    </row>
    <row r="204" spans="1:21" s="17" customFormat="1">
      <c r="A204" s="1548">
        <v>1989.03</v>
      </c>
      <c r="B204" s="1559">
        <v>60.181756880013097</v>
      </c>
      <c r="C204" s="3711">
        <v>108.676857197217</v>
      </c>
      <c r="D204" s="1560">
        <v>19.574821574600598</v>
      </c>
      <c r="E204" s="1561">
        <v>95.639757197293505</v>
      </c>
      <c r="F204" s="3711">
        <v>94.173156303136295</v>
      </c>
      <c r="G204" s="1560">
        <v>99.575688270531003</v>
      </c>
      <c r="H204" s="1557"/>
      <c r="I204" s="266"/>
      <c r="J204" s="291"/>
      <c r="K204" s="266"/>
      <c r="L204" s="266"/>
      <c r="M204" s="749"/>
      <c r="N204" s="742"/>
      <c r="O204" s="268">
        <v>122.3</v>
      </c>
      <c r="P204" s="3513">
        <v>122.2</v>
      </c>
      <c r="Q204" s="268">
        <v>111.5</v>
      </c>
      <c r="R204" s="3770"/>
      <c r="S204" s="1470"/>
      <c r="T204" s="1470"/>
      <c r="U204" s="1470"/>
    </row>
    <row r="205" spans="1:21" s="17" customFormat="1">
      <c r="A205" s="1548">
        <v>1989.04</v>
      </c>
      <c r="B205" s="1559">
        <v>60.737924955458404</v>
      </c>
      <c r="C205" s="3711">
        <v>108.983519830237</v>
      </c>
      <c r="D205" s="1560">
        <v>20.047942916515201</v>
      </c>
      <c r="E205" s="1561">
        <v>96.162617294829502</v>
      </c>
      <c r="F205" s="3711">
        <v>94.530165323308594</v>
      </c>
      <c r="G205" s="1560">
        <v>100.50539936497</v>
      </c>
      <c r="H205" s="1557"/>
      <c r="I205" s="266"/>
      <c r="J205" s="291"/>
      <c r="K205" s="266"/>
      <c r="L205" s="266"/>
      <c r="M205" s="749"/>
      <c r="N205" s="742"/>
      <c r="O205" s="268">
        <v>123.1</v>
      </c>
      <c r="P205" s="3513">
        <v>123.1</v>
      </c>
      <c r="Q205" s="268">
        <v>112.3</v>
      </c>
      <c r="R205" s="3770"/>
      <c r="S205" s="1470"/>
      <c r="T205" s="1470"/>
      <c r="U205" s="1470"/>
    </row>
    <row r="206" spans="1:21" s="17" customFormat="1">
      <c r="A206" s="1548">
        <v>1989.05</v>
      </c>
      <c r="B206" s="1559">
        <v>62.307455280651702</v>
      </c>
      <c r="C206" s="3711">
        <v>112.400511804391</v>
      </c>
      <c r="D206" s="1560">
        <v>20.315922803761701</v>
      </c>
      <c r="E206" s="1561">
        <v>97.756985498738899</v>
      </c>
      <c r="F206" s="3711">
        <v>97.358988659842197</v>
      </c>
      <c r="G206" s="1560">
        <v>99.149112279615494</v>
      </c>
      <c r="H206" s="1557"/>
      <c r="I206" s="266"/>
      <c r="J206" s="291"/>
      <c r="K206" s="266"/>
      <c r="L206" s="266"/>
      <c r="M206" s="749"/>
      <c r="N206" s="742"/>
      <c r="O206" s="268">
        <v>123.8</v>
      </c>
      <c r="P206" s="3513">
        <v>123.7</v>
      </c>
      <c r="Q206" s="268">
        <v>113.2</v>
      </c>
      <c r="R206" s="3770"/>
      <c r="S206" s="1470"/>
      <c r="T206" s="1470"/>
      <c r="U206" s="1470"/>
    </row>
    <row r="207" spans="1:21" s="17" customFormat="1">
      <c r="A207" s="1548">
        <v>1989.06</v>
      </c>
      <c r="B207" s="1559">
        <v>63.800340279766203</v>
      </c>
      <c r="C207" s="3711">
        <v>114.98141461381201</v>
      </c>
      <c r="D207" s="1560">
        <v>20.847934194016599</v>
      </c>
      <c r="E207" s="1561">
        <v>99.221923247456402</v>
      </c>
      <c r="F207" s="3711">
        <v>99.655026067382593</v>
      </c>
      <c r="G207" s="1560">
        <v>98.699189120837701</v>
      </c>
      <c r="H207" s="1557"/>
      <c r="I207" s="266"/>
      <c r="J207" s="291"/>
      <c r="K207" s="266"/>
      <c r="L207" s="266"/>
      <c r="M207" s="749"/>
      <c r="N207" s="742"/>
      <c r="O207" s="268">
        <v>124.1</v>
      </c>
      <c r="P207" s="3513">
        <v>124.1</v>
      </c>
      <c r="Q207" s="268">
        <v>112.9</v>
      </c>
      <c r="R207" s="3770"/>
      <c r="S207" s="1470"/>
      <c r="T207" s="1470"/>
      <c r="U207" s="1470"/>
    </row>
    <row r="208" spans="1:21" s="17" customFormat="1">
      <c r="A208" s="1548">
        <v>1989.07</v>
      </c>
      <c r="B208" s="1559">
        <v>63.2982592940118</v>
      </c>
      <c r="C208" s="3711">
        <v>111.846579097203</v>
      </c>
      <c r="D208" s="1560">
        <v>21.6452927711893</v>
      </c>
      <c r="E208" s="1561">
        <v>97.335207567572397</v>
      </c>
      <c r="F208" s="3711">
        <v>96.831429226431993</v>
      </c>
      <c r="G208" s="1560">
        <v>98.973866179333001</v>
      </c>
      <c r="H208" s="1557"/>
      <c r="I208" s="266"/>
      <c r="J208" s="291"/>
      <c r="K208" s="266"/>
      <c r="L208" s="266"/>
      <c r="M208" s="749"/>
      <c r="N208" s="742"/>
      <c r="O208" s="268">
        <v>124.4</v>
      </c>
      <c r="P208" s="3513">
        <v>124.5</v>
      </c>
      <c r="Q208" s="268">
        <v>112.8</v>
      </c>
      <c r="R208" s="3770"/>
      <c r="S208" s="1470"/>
      <c r="T208" s="1470"/>
      <c r="U208" s="1470"/>
    </row>
    <row r="209" spans="1:23" s="17" customFormat="1">
      <c r="A209" s="1548">
        <v>1989.08</v>
      </c>
      <c r="B209" s="1559">
        <v>63.928012451094197</v>
      </c>
      <c r="C209" s="3711">
        <v>112.440989070336</v>
      </c>
      <c r="D209" s="1560">
        <v>22.094136139344201</v>
      </c>
      <c r="E209" s="1561">
        <v>97.325982467103501</v>
      </c>
      <c r="F209" s="3711">
        <v>97.223972712704494</v>
      </c>
      <c r="G209" s="1560">
        <v>98.025463284572595</v>
      </c>
      <c r="H209" s="1557"/>
      <c r="I209" s="266"/>
      <c r="J209" s="291"/>
      <c r="K209" s="266"/>
      <c r="L209" s="266"/>
      <c r="M209" s="749"/>
      <c r="N209" s="742"/>
      <c r="O209" s="268">
        <v>124.6</v>
      </c>
      <c r="P209" s="3513">
        <v>124.5</v>
      </c>
      <c r="Q209" s="268">
        <v>112</v>
      </c>
      <c r="R209" s="3770"/>
      <c r="S209" s="1470"/>
      <c r="T209" s="1470"/>
      <c r="U209" s="1470"/>
      <c r="V209" s="1111"/>
      <c r="W209" s="1111"/>
    </row>
    <row r="210" spans="1:23" s="17" customFormat="1">
      <c r="A210" s="1548">
        <v>1989.09</v>
      </c>
      <c r="B210" s="1559">
        <v>64.964459951684702</v>
      </c>
      <c r="C210" s="3711">
        <v>114.013823349215</v>
      </c>
      <c r="D210" s="1560">
        <v>22.566070075561498</v>
      </c>
      <c r="E210" s="1561">
        <v>97.938270842698699</v>
      </c>
      <c r="F210" s="3711">
        <v>98.436199354155207</v>
      </c>
      <c r="G210" s="1560">
        <v>97.261876292293096</v>
      </c>
      <c r="H210" s="1557"/>
      <c r="I210" s="266"/>
      <c r="J210" s="291"/>
      <c r="K210" s="266"/>
      <c r="L210" s="266"/>
      <c r="M210" s="749"/>
      <c r="N210" s="742"/>
      <c r="O210" s="268">
        <v>125</v>
      </c>
      <c r="P210" s="3513">
        <v>124.8</v>
      </c>
      <c r="Q210" s="268">
        <v>112.4</v>
      </c>
      <c r="R210" s="3770"/>
      <c r="S210" s="1470"/>
      <c r="T210" s="1470"/>
      <c r="U210" s="1470"/>
      <c r="V210" s="1111"/>
      <c r="W210" s="1111"/>
    </row>
    <row r="211" spans="1:23" s="17" customFormat="1">
      <c r="A211" s="1548">
        <v>1989.1</v>
      </c>
      <c r="B211" s="1559">
        <v>64.461812495199894</v>
      </c>
      <c r="C211" s="3711">
        <v>111.712459150524</v>
      </c>
      <c r="D211" s="1560">
        <v>23.0509623755493</v>
      </c>
      <c r="E211" s="1561">
        <v>96.489586225841407</v>
      </c>
      <c r="F211" s="3711">
        <v>96.517912018843603</v>
      </c>
      <c r="G211" s="1560">
        <v>96.883173821944297</v>
      </c>
      <c r="H211" s="1557"/>
      <c r="I211" s="266"/>
      <c r="J211" s="291"/>
      <c r="K211" s="266"/>
      <c r="L211" s="266"/>
      <c r="M211" s="749"/>
      <c r="N211" s="742"/>
      <c r="O211" s="268">
        <v>125.6</v>
      </c>
      <c r="P211" s="3513">
        <v>125.4</v>
      </c>
      <c r="Q211" s="268">
        <v>112.8</v>
      </c>
      <c r="R211" s="3770"/>
      <c r="S211" s="1470"/>
      <c r="T211" s="1470"/>
      <c r="U211" s="1470"/>
      <c r="V211" s="1111"/>
      <c r="W211" s="1111"/>
    </row>
    <row r="212" spans="1:23" s="17" customFormat="1">
      <c r="A212" s="1548">
        <v>1989.11</v>
      </c>
      <c r="B212" s="1559">
        <v>64.794307284427703</v>
      </c>
      <c r="C212" s="3711">
        <v>111.282838305593</v>
      </c>
      <c r="D212" s="1560">
        <v>23.654758681500699</v>
      </c>
      <c r="E212" s="1561">
        <v>96.657931817362893</v>
      </c>
      <c r="F212" s="3711">
        <v>96.475537812864303</v>
      </c>
      <c r="G212" s="1560">
        <v>97.541115585939707</v>
      </c>
      <c r="H212" s="1557"/>
      <c r="I212" s="266"/>
      <c r="J212" s="291"/>
      <c r="K212" s="266"/>
      <c r="L212" s="266"/>
      <c r="M212" s="749"/>
      <c r="N212" s="742"/>
      <c r="O212" s="268">
        <v>125.9</v>
      </c>
      <c r="P212" s="3513">
        <v>125.9</v>
      </c>
      <c r="Q212" s="268">
        <v>112.7</v>
      </c>
      <c r="R212" s="3770"/>
      <c r="S212" s="1470"/>
      <c r="T212" s="1470"/>
      <c r="U212" s="1470"/>
      <c r="V212" s="1111"/>
      <c r="W212" s="1111"/>
    </row>
    <row r="213" spans="1:23" s="17" customFormat="1">
      <c r="A213" s="1548">
        <v>1989.12</v>
      </c>
      <c r="B213" s="1559">
        <v>64.880130493075001</v>
      </c>
      <c r="C213" s="3711">
        <v>109.295413975356</v>
      </c>
      <c r="D213" s="1560">
        <v>24.766732257951801</v>
      </c>
      <c r="E213" s="1561">
        <v>95.906888231708393</v>
      </c>
      <c r="F213" s="3711">
        <v>94.709986207943899</v>
      </c>
      <c r="G213" s="1560">
        <v>99.190387548680604</v>
      </c>
      <c r="H213" s="1557"/>
      <c r="I213" s="266"/>
      <c r="J213" s="291"/>
      <c r="K213" s="266"/>
      <c r="L213" s="266"/>
      <c r="M213" s="749"/>
      <c r="N213" s="742"/>
      <c r="O213" s="268">
        <v>126.1</v>
      </c>
      <c r="P213" s="3513">
        <v>126.3</v>
      </c>
      <c r="Q213" s="268">
        <v>113</v>
      </c>
      <c r="R213" s="3770"/>
      <c r="S213" s="1470"/>
      <c r="T213" s="1470"/>
      <c r="U213" s="1470"/>
      <c r="V213" s="1111"/>
      <c r="W213" s="1470"/>
    </row>
    <row r="214" spans="1:23">
      <c r="A214" s="1548">
        <v>1990.01</v>
      </c>
      <c r="B214" s="1559">
        <v>65.286864805587996</v>
      </c>
      <c r="C214" s="3711">
        <v>108.53080951480599</v>
      </c>
      <c r="D214" s="1560">
        <v>25.6933231292413</v>
      </c>
      <c r="E214" s="1561">
        <v>95.763925348680999</v>
      </c>
      <c r="F214" s="3711">
        <v>94.395982048895107</v>
      </c>
      <c r="G214" s="1560">
        <v>99.460488598619705</v>
      </c>
      <c r="H214" s="1562"/>
      <c r="I214" s="267"/>
      <c r="J214" s="291"/>
      <c r="K214" s="266"/>
      <c r="L214" s="266"/>
      <c r="M214" s="749"/>
      <c r="N214" s="742"/>
      <c r="O214" s="268">
        <v>127.4</v>
      </c>
      <c r="P214" s="3513">
        <v>127.5</v>
      </c>
      <c r="Q214" s="268">
        <v>114.9</v>
      </c>
      <c r="R214" s="3770"/>
      <c r="S214" s="1470"/>
      <c r="T214" s="1470"/>
      <c r="U214" s="1470"/>
      <c r="V214" s="1470"/>
      <c r="W214" s="1470"/>
    </row>
    <row r="215" spans="1:23">
      <c r="A215" s="1548">
        <v>1990.02</v>
      </c>
      <c r="B215" s="1559">
        <v>66.187935649988802</v>
      </c>
      <c r="C215" s="3711">
        <v>108.72047324780399</v>
      </c>
      <c r="D215" s="1560">
        <v>26.775068759192202</v>
      </c>
      <c r="E215" s="1561">
        <v>95.876678424127604</v>
      </c>
      <c r="F215" s="3711">
        <v>94.548576368797697</v>
      </c>
      <c r="G215" s="1560">
        <v>99.477117058365295</v>
      </c>
      <c r="H215" s="1562"/>
      <c r="I215" s="267"/>
      <c r="J215" s="291"/>
      <c r="K215" s="266"/>
      <c r="L215" s="266"/>
      <c r="M215" s="749"/>
      <c r="N215" s="742"/>
      <c r="O215" s="268">
        <v>128</v>
      </c>
      <c r="P215" s="3513">
        <v>128</v>
      </c>
      <c r="Q215" s="268">
        <v>114.4</v>
      </c>
      <c r="R215" s="3770"/>
      <c r="S215" s="1470"/>
      <c r="T215" s="1470"/>
      <c r="U215" s="1470"/>
      <c r="V215" s="1470"/>
      <c r="W215" s="1470"/>
    </row>
    <row r="216" spans="1:23">
      <c r="A216" s="1548">
        <v>1990.03</v>
      </c>
      <c r="B216" s="1559">
        <v>67.764021039621099</v>
      </c>
      <c r="C216" s="3711">
        <v>110.72148157763399</v>
      </c>
      <c r="D216" s="1560">
        <v>27.7488684373239</v>
      </c>
      <c r="E216" s="1561">
        <v>96.946590932770306</v>
      </c>
      <c r="F216" s="3711">
        <v>96.452283517608095</v>
      </c>
      <c r="G216" s="1560">
        <v>98.561447448632407</v>
      </c>
      <c r="H216" s="1562"/>
      <c r="I216" s="267"/>
      <c r="J216" s="291"/>
      <c r="K216" s="266"/>
      <c r="L216" s="266"/>
      <c r="M216" s="749"/>
      <c r="N216" s="742"/>
      <c r="O216" s="268">
        <v>128.69999999999999</v>
      </c>
      <c r="P216" s="3513">
        <v>128.6</v>
      </c>
      <c r="Q216" s="268">
        <v>114.2</v>
      </c>
      <c r="R216" s="3770"/>
      <c r="S216" s="1865"/>
      <c r="T216" s="1470"/>
      <c r="U216" s="1470"/>
      <c r="V216" s="1470"/>
      <c r="W216" s="1470"/>
    </row>
    <row r="217" spans="1:23">
      <c r="A217" s="1548">
        <v>1990.04</v>
      </c>
      <c r="B217" s="1559">
        <v>68.104203753922306</v>
      </c>
      <c r="C217" s="3711">
        <v>110.610546274841</v>
      </c>
      <c r="D217" s="1560">
        <v>28.276696963876802</v>
      </c>
      <c r="E217" s="1561">
        <v>96.850562930247904</v>
      </c>
      <c r="F217" s="3711">
        <v>96.296356044002295</v>
      </c>
      <c r="G217" s="1560">
        <v>98.6060339114144</v>
      </c>
      <c r="H217" s="1562"/>
      <c r="I217" s="267"/>
      <c r="J217" s="291"/>
      <c r="K217" s="266"/>
      <c r="L217" s="266"/>
      <c r="M217" s="749"/>
      <c r="N217" s="742"/>
      <c r="O217" s="268">
        <v>128.9</v>
      </c>
      <c r="P217" s="3513">
        <v>128.9</v>
      </c>
      <c r="Q217" s="268">
        <v>114.1</v>
      </c>
      <c r="R217" s="3770"/>
      <c r="S217" s="1865"/>
      <c r="T217" s="1470"/>
      <c r="U217" s="1470"/>
      <c r="V217" s="1470"/>
      <c r="W217" s="1470"/>
    </row>
    <row r="218" spans="1:23">
      <c r="A218" s="1548">
        <v>1990.05</v>
      </c>
      <c r="B218" s="1559">
        <v>67.739233418284201</v>
      </c>
      <c r="C218" s="3711">
        <v>109.230481301826</v>
      </c>
      <c r="D218" s="1560">
        <v>28.594486723113999</v>
      </c>
      <c r="E218" s="1561">
        <v>95.682303041503602</v>
      </c>
      <c r="F218" s="3711">
        <v>94.9522467216932</v>
      </c>
      <c r="G218" s="1560">
        <v>97.848272682818703</v>
      </c>
      <c r="H218" s="1562"/>
      <c r="I218" s="267"/>
      <c r="J218" s="291"/>
      <c r="K218" s="266"/>
      <c r="L218" s="266"/>
      <c r="M218" s="749"/>
      <c r="N218" s="742"/>
      <c r="O218" s="268">
        <v>129.19999999999999</v>
      </c>
      <c r="P218" s="3513">
        <v>129.1</v>
      </c>
      <c r="Q218" s="268">
        <v>114.6</v>
      </c>
      <c r="R218" s="3770"/>
      <c r="S218" s="1865"/>
      <c r="T218" s="1470"/>
      <c r="U218" s="1470"/>
      <c r="V218" s="1470"/>
      <c r="W218" s="1470"/>
    </row>
    <row r="219" spans="1:23">
      <c r="A219" s="1548">
        <v>1990.06</v>
      </c>
      <c r="B219" s="1559">
        <v>67.975722198208601</v>
      </c>
      <c r="C219" s="3711">
        <v>109.22306389852299</v>
      </c>
      <c r="D219" s="1560">
        <v>28.929596717341202</v>
      </c>
      <c r="E219" s="1561">
        <v>95.947338073937502</v>
      </c>
      <c r="F219" s="3711">
        <v>95.283776290425195</v>
      </c>
      <c r="G219" s="1560">
        <v>97.956951206262602</v>
      </c>
      <c r="H219" s="1562"/>
      <c r="I219" s="267"/>
      <c r="J219" s="291"/>
      <c r="K219" s="266"/>
      <c r="L219" s="266"/>
      <c r="M219" s="749"/>
      <c r="N219" s="742"/>
      <c r="O219" s="268">
        <v>129.9</v>
      </c>
      <c r="P219" s="3513">
        <v>129.9</v>
      </c>
      <c r="Q219" s="268">
        <v>114.3</v>
      </c>
      <c r="R219" s="3770"/>
      <c r="S219" s="1865"/>
      <c r="T219" s="1470"/>
      <c r="U219" s="1470"/>
      <c r="V219" s="1470"/>
      <c r="W219" s="1470"/>
    </row>
    <row r="220" spans="1:23">
      <c r="A220" s="1548">
        <v>1990.07</v>
      </c>
      <c r="B220" s="1559">
        <v>66.931390614762805</v>
      </c>
      <c r="C220" s="3711">
        <v>106.348953243124</v>
      </c>
      <c r="D220" s="1560">
        <v>29.228470282205599</v>
      </c>
      <c r="E220" s="1561">
        <v>94.154100200536107</v>
      </c>
      <c r="F220" s="3711">
        <v>92.918105978396696</v>
      </c>
      <c r="G220" s="1560">
        <v>97.524746048255395</v>
      </c>
      <c r="H220" s="1562"/>
      <c r="I220" s="267"/>
      <c r="J220" s="291"/>
      <c r="K220" s="266"/>
      <c r="L220" s="266"/>
      <c r="M220" s="749"/>
      <c r="N220" s="742"/>
      <c r="O220" s="268">
        <v>130.4</v>
      </c>
      <c r="P220" s="3513">
        <v>130.5</v>
      </c>
      <c r="Q220" s="268">
        <v>114.5</v>
      </c>
      <c r="R220" s="3770"/>
      <c r="S220" s="1865"/>
      <c r="T220" s="1470"/>
      <c r="U220" s="1470"/>
      <c r="V220" s="1470"/>
      <c r="W220" s="1470"/>
    </row>
    <row r="221" spans="1:23">
      <c r="A221" s="1548">
        <v>1990.08</v>
      </c>
      <c r="B221" s="1559">
        <v>65.905176698095303</v>
      </c>
      <c r="C221" s="3711">
        <v>103.67712841818199</v>
      </c>
      <c r="D221" s="1560">
        <v>29.4505430486739</v>
      </c>
      <c r="E221" s="1561">
        <v>92.611025281220094</v>
      </c>
      <c r="F221" s="3711">
        <v>90.904354225339304</v>
      </c>
      <c r="G221" s="1560">
        <v>97.123284036267606</v>
      </c>
      <c r="H221" s="1562"/>
      <c r="I221" s="267"/>
      <c r="J221" s="291"/>
      <c r="K221" s="266"/>
      <c r="L221" s="266"/>
      <c r="M221" s="749"/>
      <c r="N221" s="742"/>
      <c r="O221" s="268">
        <v>131.6</v>
      </c>
      <c r="P221" s="3513">
        <v>131.6</v>
      </c>
      <c r="Q221" s="268">
        <v>116.5</v>
      </c>
      <c r="R221" s="3770"/>
      <c r="S221" s="1865"/>
      <c r="T221" s="1470"/>
      <c r="U221" s="1470"/>
      <c r="V221" s="1470"/>
      <c r="W221" s="1470"/>
    </row>
    <row r="222" spans="1:23">
      <c r="A222" s="1548">
        <v>1990.09</v>
      </c>
      <c r="B222" s="1559">
        <v>65.521813045607402</v>
      </c>
      <c r="C222" s="3711">
        <v>102.53115386420301</v>
      </c>
      <c r="D222" s="1560">
        <v>29.636813371854998</v>
      </c>
      <c r="E222" s="1561">
        <v>91.6886683045648</v>
      </c>
      <c r="F222" s="3711">
        <v>90.003682886686505</v>
      </c>
      <c r="G222" s="1560">
        <v>96.144457126373098</v>
      </c>
      <c r="H222" s="1562"/>
      <c r="I222" s="267"/>
      <c r="J222" s="291"/>
      <c r="K222" s="266"/>
      <c r="L222" s="266"/>
      <c r="M222" s="749"/>
      <c r="N222" s="742"/>
      <c r="O222" s="268">
        <v>132.69999999999999</v>
      </c>
      <c r="P222" s="3513">
        <v>132.5</v>
      </c>
      <c r="Q222" s="268">
        <v>118.4</v>
      </c>
      <c r="R222" s="3770"/>
      <c r="S222" s="1865"/>
      <c r="T222" s="1470"/>
      <c r="U222" s="1470"/>
      <c r="V222" s="1470"/>
      <c r="W222" s="1470"/>
    </row>
    <row r="223" spans="1:23">
      <c r="A223" s="1548">
        <v>1990.1</v>
      </c>
      <c r="B223" s="1559">
        <v>64.450652722800598</v>
      </c>
      <c r="C223" s="3711">
        <v>99.620049452732999</v>
      </c>
      <c r="D223" s="1560">
        <v>29.9913713609441</v>
      </c>
      <c r="E223" s="1561">
        <v>89.897786666589795</v>
      </c>
      <c r="F223" s="3711">
        <v>87.431871106099806</v>
      </c>
      <c r="G223" s="1560">
        <v>96.298873253984596</v>
      </c>
      <c r="H223" s="1562"/>
      <c r="I223" s="267"/>
      <c r="J223" s="291"/>
      <c r="K223" s="266"/>
      <c r="L223" s="266"/>
      <c r="M223" s="749"/>
      <c r="N223" s="742"/>
      <c r="O223" s="268">
        <v>133.5</v>
      </c>
      <c r="P223" s="3513">
        <v>133.4</v>
      </c>
      <c r="Q223" s="268">
        <v>120.8</v>
      </c>
      <c r="R223" s="3770"/>
      <c r="S223" s="1865"/>
      <c r="T223" s="1470"/>
      <c r="U223" s="1470"/>
      <c r="V223" s="1470"/>
      <c r="W223" s="1470"/>
    </row>
    <row r="224" spans="1:23">
      <c r="A224" s="1548">
        <v>1990.11</v>
      </c>
      <c r="B224" s="1559">
        <v>64.508994851568701</v>
      </c>
      <c r="C224" s="3711">
        <v>98.858927187721605</v>
      </c>
      <c r="D224" s="1560">
        <v>30.6165974834358</v>
      </c>
      <c r="E224" s="1561">
        <v>89.585732075882703</v>
      </c>
      <c r="F224" s="3711">
        <v>86.712552821648103</v>
      </c>
      <c r="G224" s="1560">
        <v>97.027352042524797</v>
      </c>
      <c r="H224" s="1562"/>
      <c r="I224" s="267"/>
      <c r="J224" s="291"/>
      <c r="K224" s="266"/>
      <c r="L224" s="266"/>
      <c r="M224" s="749"/>
      <c r="N224" s="742"/>
      <c r="O224" s="268">
        <v>133.80000000000001</v>
      </c>
      <c r="P224" s="3513">
        <v>133.69999999999999</v>
      </c>
      <c r="Q224" s="268">
        <v>120.1</v>
      </c>
      <c r="R224" s="3770"/>
      <c r="S224" s="1865"/>
      <c r="T224" s="1470"/>
      <c r="U224" s="1470"/>
      <c r="V224" s="1470"/>
      <c r="W224" s="1470"/>
    </row>
    <row r="225" spans="1:19">
      <c r="A225" s="1548">
        <v>1990.12</v>
      </c>
      <c r="B225" s="1559">
        <v>65.603748252726604</v>
      </c>
      <c r="C225" s="3711">
        <v>100.410217264575</v>
      </c>
      <c r="D225" s="1560">
        <v>31.226815935586199</v>
      </c>
      <c r="E225" s="1561">
        <v>90.789355693812098</v>
      </c>
      <c r="F225" s="3711">
        <v>88.174695157763296</v>
      </c>
      <c r="G225" s="1560">
        <v>97.569814421962704</v>
      </c>
      <c r="H225" s="1562"/>
      <c r="I225" s="267"/>
      <c r="J225" s="291"/>
      <c r="K225" s="266"/>
      <c r="L225" s="266"/>
      <c r="M225" s="749"/>
      <c r="N225" s="742"/>
      <c r="O225" s="268">
        <v>133.80000000000001</v>
      </c>
      <c r="P225" s="3513">
        <v>134.19999999999999</v>
      </c>
      <c r="Q225" s="268">
        <v>118.7</v>
      </c>
      <c r="R225" s="3770"/>
      <c r="S225" s="1865"/>
    </row>
    <row r="226" spans="1:19">
      <c r="A226" s="1548">
        <v>1991.01</v>
      </c>
      <c r="B226" s="1559">
        <v>65.890008813539296</v>
      </c>
      <c r="C226" s="3711">
        <v>100.23706324164</v>
      </c>
      <c r="D226" s="1560">
        <v>31.772720730324799</v>
      </c>
      <c r="E226" s="1561">
        <v>90.476048322234703</v>
      </c>
      <c r="F226" s="3711">
        <v>87.506323435134405</v>
      </c>
      <c r="G226" s="1560">
        <v>98.104913578118598</v>
      </c>
      <c r="H226" s="1562"/>
      <c r="I226" s="267"/>
      <c r="J226" s="291"/>
      <c r="K226" s="266"/>
      <c r="L226" s="266"/>
      <c r="M226" s="749"/>
      <c r="N226" s="742"/>
      <c r="O226" s="268">
        <v>134.6</v>
      </c>
      <c r="P226" s="3513">
        <v>134.69999999999999</v>
      </c>
      <c r="Q226" s="268">
        <v>119</v>
      </c>
      <c r="R226" s="3770"/>
      <c r="S226" s="1865"/>
    </row>
    <row r="227" spans="1:19">
      <c r="A227" s="1548">
        <v>1991.02</v>
      </c>
      <c r="B227" s="1559">
        <v>65.542101631735903</v>
      </c>
      <c r="C227" s="3711">
        <v>98.821590375009094</v>
      </c>
      <c r="D227" s="1560">
        <v>32.217724334664602</v>
      </c>
      <c r="E227" s="1561">
        <v>89.398929833504596</v>
      </c>
      <c r="F227" s="3711">
        <v>86.249849115002107</v>
      </c>
      <c r="G227" s="1560">
        <v>97.456498862292506</v>
      </c>
      <c r="H227" s="1562"/>
      <c r="I227" s="267"/>
      <c r="J227" s="291"/>
      <c r="K227" s="266"/>
      <c r="L227" s="266"/>
      <c r="M227" s="749"/>
      <c r="N227" s="742"/>
      <c r="O227" s="268">
        <v>134.80000000000001</v>
      </c>
      <c r="P227" s="3513">
        <v>134.80000000000001</v>
      </c>
      <c r="Q227" s="268">
        <v>117.2</v>
      </c>
      <c r="R227" s="3770"/>
      <c r="S227" s="1865"/>
    </row>
    <row r="228" spans="1:19">
      <c r="A228" s="1548">
        <v>1991.03</v>
      </c>
      <c r="B228" s="1559">
        <v>67.998163799574996</v>
      </c>
      <c r="C228" s="3711">
        <v>103.812918498245</v>
      </c>
      <c r="D228" s="1560">
        <v>32.541645670416003</v>
      </c>
      <c r="E228" s="1561">
        <v>92.214143621182501</v>
      </c>
      <c r="F228" s="3711">
        <v>90.398085812944103</v>
      </c>
      <c r="G228" s="1560">
        <v>97.132730569745704</v>
      </c>
      <c r="H228" s="1562"/>
      <c r="I228" s="267"/>
      <c r="J228" s="291"/>
      <c r="K228" s="266"/>
      <c r="L228" s="266"/>
      <c r="M228" s="749"/>
      <c r="N228" s="742"/>
      <c r="O228" s="268">
        <v>135</v>
      </c>
      <c r="P228" s="3513">
        <v>134.80000000000001</v>
      </c>
      <c r="Q228" s="268">
        <v>116.2</v>
      </c>
      <c r="R228" s="3770"/>
      <c r="S228" s="1865"/>
    </row>
    <row r="229" spans="1:19">
      <c r="A229" s="1548">
        <v>1991.04</v>
      </c>
      <c r="B229" s="1559">
        <v>69.096144354949999</v>
      </c>
      <c r="C229" s="3711">
        <v>105.76473048666099</v>
      </c>
      <c r="D229" s="1560">
        <v>32.880484871565798</v>
      </c>
      <c r="E229" s="1561">
        <v>93.313855556413799</v>
      </c>
      <c r="F229" s="3711">
        <v>91.950414700420396</v>
      </c>
      <c r="G229" s="1560">
        <v>97.204418050753304</v>
      </c>
      <c r="H229" s="1562"/>
      <c r="I229" s="267"/>
      <c r="J229" s="291"/>
      <c r="K229" s="266"/>
      <c r="L229" s="266"/>
      <c r="M229" s="749"/>
      <c r="N229" s="742"/>
      <c r="O229" s="268">
        <v>135.19999999999999</v>
      </c>
      <c r="P229" s="3513">
        <v>135.1</v>
      </c>
      <c r="Q229" s="268">
        <v>116</v>
      </c>
      <c r="R229" s="3770"/>
      <c r="S229" s="1865"/>
    </row>
    <row r="230" spans="1:19">
      <c r="A230" s="1548">
        <v>1991.05</v>
      </c>
      <c r="B230" s="1559">
        <v>69.566942775819498</v>
      </c>
      <c r="C230" s="3711">
        <v>106.434410632447</v>
      </c>
      <c r="D230" s="1560">
        <v>33.1376602730315</v>
      </c>
      <c r="E230" s="1561">
        <v>93.594980880835493</v>
      </c>
      <c r="F230" s="3711">
        <v>92.566390938091203</v>
      </c>
      <c r="G230" s="1560">
        <v>96.731364520705498</v>
      </c>
      <c r="H230" s="1562"/>
      <c r="I230" s="267"/>
      <c r="J230" s="291"/>
      <c r="K230" s="266"/>
      <c r="L230" s="266"/>
      <c r="M230" s="749"/>
      <c r="N230" s="742"/>
      <c r="O230" s="268">
        <v>135.6</v>
      </c>
      <c r="P230" s="3513">
        <v>135.6</v>
      </c>
      <c r="Q230" s="268">
        <v>116.5</v>
      </c>
      <c r="R230" s="3770"/>
      <c r="S230" s="1865"/>
    </row>
    <row r="231" spans="1:19">
      <c r="A231" s="1548">
        <v>1991.06</v>
      </c>
      <c r="B231" s="1559">
        <v>70.630347037612793</v>
      </c>
      <c r="C231" s="3711">
        <v>108.45271187193001</v>
      </c>
      <c r="D231" s="1560">
        <v>33.383928726948596</v>
      </c>
      <c r="E231" s="1561">
        <v>94.6540785849147</v>
      </c>
      <c r="F231" s="3711">
        <v>94.236551127856998</v>
      </c>
      <c r="G231" s="1560">
        <v>96.441545842657305</v>
      </c>
      <c r="H231" s="1562"/>
      <c r="I231" s="267"/>
      <c r="J231" s="291"/>
      <c r="K231" s="266"/>
      <c r="L231" s="266"/>
      <c r="M231" s="749"/>
      <c r="N231" s="742"/>
      <c r="O231" s="268">
        <v>136</v>
      </c>
      <c r="P231" s="3513">
        <v>136</v>
      </c>
      <c r="Q231" s="268">
        <v>116.4</v>
      </c>
      <c r="R231" s="3770"/>
      <c r="S231" s="1865"/>
    </row>
    <row r="232" spans="1:19">
      <c r="A232" s="1548">
        <v>1991.07</v>
      </c>
      <c r="B232" s="1559">
        <v>70.811025905945101</v>
      </c>
      <c r="C232" s="3711">
        <v>108.319908008101</v>
      </c>
      <c r="D232" s="1560">
        <v>33.742752433199897</v>
      </c>
      <c r="E232" s="1561">
        <v>94.307298613651895</v>
      </c>
      <c r="F232" s="3711">
        <v>93.867718395696002</v>
      </c>
      <c r="G232" s="1560">
        <v>96.140121909012805</v>
      </c>
      <c r="H232" s="1562"/>
      <c r="I232" s="267"/>
      <c r="J232" s="291"/>
      <c r="K232" s="266"/>
      <c r="L232" s="266"/>
      <c r="M232" s="749"/>
      <c r="N232" s="742"/>
      <c r="O232" s="268">
        <v>136.19999999999999</v>
      </c>
      <c r="P232" s="3513">
        <v>136.19999999999999</v>
      </c>
      <c r="Q232" s="268">
        <v>116.1</v>
      </c>
      <c r="R232" s="3770"/>
      <c r="S232" s="1865"/>
    </row>
    <row r="233" spans="1:19">
      <c r="A233" s="1548">
        <v>1991.08</v>
      </c>
      <c r="B233" s="1559">
        <v>70.277866552072297</v>
      </c>
      <c r="C233" s="3711">
        <v>106.896645404189</v>
      </c>
      <c r="D233" s="1560">
        <v>33.898999398125099</v>
      </c>
      <c r="E233" s="1561">
        <v>93.245584275761203</v>
      </c>
      <c r="F233" s="3711">
        <v>92.726061887185907</v>
      </c>
      <c r="G233" s="1560">
        <v>95.244961289817496</v>
      </c>
      <c r="H233" s="1562"/>
      <c r="I233" s="267"/>
      <c r="J233" s="291"/>
      <c r="K233" s="266"/>
      <c r="L233" s="266"/>
      <c r="M233" s="749"/>
      <c r="N233" s="742"/>
      <c r="O233" s="268">
        <v>136.6</v>
      </c>
      <c r="P233" s="3513">
        <v>136.6</v>
      </c>
      <c r="Q233" s="268">
        <v>116.2</v>
      </c>
      <c r="R233" s="3770"/>
      <c r="S233" s="1865"/>
    </row>
    <row r="234" spans="1:19">
      <c r="A234" s="1548">
        <v>1991.09</v>
      </c>
      <c r="B234" s="1559">
        <v>69.582353697878503</v>
      </c>
      <c r="C234" s="3711">
        <v>104.977519611025</v>
      </c>
      <c r="D234" s="1560">
        <v>34.158634391158998</v>
      </c>
      <c r="E234" s="1561">
        <v>92.100359666200404</v>
      </c>
      <c r="F234" s="3711">
        <v>91.227815752159202</v>
      </c>
      <c r="G234" s="1560">
        <v>94.873750082016201</v>
      </c>
      <c r="H234" s="1562"/>
      <c r="I234" s="267"/>
      <c r="J234" s="291"/>
      <c r="K234" s="266"/>
      <c r="L234" s="266"/>
      <c r="M234" s="749"/>
      <c r="N234" s="742"/>
      <c r="O234" s="268">
        <v>137.19999999999999</v>
      </c>
      <c r="P234" s="3513">
        <v>137</v>
      </c>
      <c r="Q234" s="268">
        <v>116.1</v>
      </c>
      <c r="R234" s="3770"/>
      <c r="S234" s="1865"/>
    </row>
    <row r="235" spans="1:19">
      <c r="A235" s="1548">
        <v>1991.1</v>
      </c>
      <c r="B235" s="1559">
        <v>69.474683266306897</v>
      </c>
      <c r="C235" s="3711">
        <v>103.87586869846</v>
      </c>
      <c r="D235" s="1560">
        <v>34.7714844116392</v>
      </c>
      <c r="E235" s="1561">
        <v>91.315400639134396</v>
      </c>
      <c r="F235" s="3711">
        <v>90.048778281146298</v>
      </c>
      <c r="G235" s="1560">
        <v>94.969149301967406</v>
      </c>
      <c r="H235" s="1562"/>
      <c r="I235" s="267"/>
      <c r="J235" s="291"/>
      <c r="K235" s="266"/>
      <c r="L235" s="266"/>
      <c r="M235" s="749"/>
      <c r="N235" s="742"/>
      <c r="O235" s="268">
        <v>137.4</v>
      </c>
      <c r="P235" s="3513">
        <v>137.19999999999999</v>
      </c>
      <c r="Q235" s="268">
        <v>116.4</v>
      </c>
      <c r="R235" s="3770"/>
      <c r="S235" s="1865"/>
    </row>
    <row r="236" spans="1:19">
      <c r="A236" s="1548">
        <v>1991.11</v>
      </c>
      <c r="B236" s="1559">
        <v>68.884446424727699</v>
      </c>
      <c r="C236" s="3711">
        <v>102.14124309429501</v>
      </c>
      <c r="D236" s="1560">
        <v>35.0974911922765</v>
      </c>
      <c r="E236" s="1561">
        <v>90.062117424009301</v>
      </c>
      <c r="F236" s="3711">
        <v>88.517894750074902</v>
      </c>
      <c r="G236" s="1560">
        <v>94.338047652827996</v>
      </c>
      <c r="H236" s="1562"/>
      <c r="I236" s="267"/>
      <c r="J236" s="291"/>
      <c r="K236" s="266"/>
      <c r="L236" s="266"/>
      <c r="M236" s="749"/>
      <c r="N236" s="742"/>
      <c r="O236" s="268">
        <v>137.80000000000001</v>
      </c>
      <c r="P236" s="3513">
        <v>137.80000000000001</v>
      </c>
      <c r="Q236" s="268">
        <v>116.4</v>
      </c>
      <c r="R236" s="3770"/>
      <c r="S236" s="1865"/>
    </row>
    <row r="237" spans="1:19">
      <c r="A237" s="1548">
        <v>1991.12</v>
      </c>
      <c r="B237" s="1559">
        <v>68.5179136163663</v>
      </c>
      <c r="C237" s="3711">
        <v>100.789431316033</v>
      </c>
      <c r="D237" s="1560">
        <v>35.516038821255201</v>
      </c>
      <c r="E237" s="1561">
        <v>89.451569343587906</v>
      </c>
      <c r="F237" s="3711">
        <v>87.685945586420402</v>
      </c>
      <c r="G237" s="1560">
        <v>94.231979604078006</v>
      </c>
      <c r="H237" s="1562"/>
      <c r="I237" s="267"/>
      <c r="J237" s="291"/>
      <c r="K237" s="266"/>
      <c r="L237" s="266"/>
      <c r="M237" s="749"/>
      <c r="N237" s="742"/>
      <c r="O237" s="268">
        <v>137.9</v>
      </c>
      <c r="P237" s="3513">
        <v>138.19999999999999</v>
      </c>
      <c r="Q237" s="268">
        <v>115.9</v>
      </c>
      <c r="R237" s="3770"/>
      <c r="S237" s="1865"/>
    </row>
    <row r="238" spans="1:19">
      <c r="A238" s="1548">
        <v>1992.01</v>
      </c>
      <c r="B238" s="1559">
        <v>68.770111838992804</v>
      </c>
      <c r="C238" s="3711">
        <v>100.99991701928801</v>
      </c>
      <c r="D238" s="1560">
        <v>35.786599099587498</v>
      </c>
      <c r="E238" s="1561">
        <v>89.409120465190099</v>
      </c>
      <c r="F238" s="3711">
        <v>87.854171716225295</v>
      </c>
      <c r="G238" s="1560">
        <v>93.740392504108996</v>
      </c>
      <c r="H238" s="1563">
        <v>0.99</v>
      </c>
      <c r="I238" s="267"/>
      <c r="J238" s="291"/>
      <c r="K238" s="266"/>
      <c r="L238" s="266"/>
      <c r="M238" s="749"/>
      <c r="N238" s="742"/>
      <c r="O238" s="268">
        <v>138.1</v>
      </c>
      <c r="P238" s="3513">
        <v>138.30000000000001</v>
      </c>
      <c r="Q238" s="268">
        <v>115.6</v>
      </c>
      <c r="R238" s="3770"/>
      <c r="S238" s="1865"/>
    </row>
    <row r="239" spans="1:19">
      <c r="A239" s="1548">
        <v>1992.02</v>
      </c>
      <c r="B239" s="1559">
        <v>69.919069028238397</v>
      </c>
      <c r="C239" s="3711">
        <v>103.128831850442</v>
      </c>
      <c r="D239" s="1560">
        <v>36.074411783601697</v>
      </c>
      <c r="E239" s="1561">
        <v>90.517725148550397</v>
      </c>
      <c r="F239" s="3711">
        <v>89.686168458771803</v>
      </c>
      <c r="G239" s="1560">
        <v>93.346196557814693</v>
      </c>
      <c r="H239" s="1561">
        <v>0.99</v>
      </c>
      <c r="I239" s="267"/>
      <c r="J239" s="291"/>
      <c r="K239" s="266"/>
      <c r="L239" s="266"/>
      <c r="M239" s="749"/>
      <c r="N239" s="742"/>
      <c r="O239" s="268">
        <v>138.6</v>
      </c>
      <c r="P239" s="3513">
        <v>138.6</v>
      </c>
      <c r="Q239" s="268">
        <v>116</v>
      </c>
      <c r="R239" s="3770"/>
      <c r="S239" s="1865"/>
    </row>
    <row r="240" spans="1:19">
      <c r="A240" s="1548">
        <v>1992.03</v>
      </c>
      <c r="B240" s="1559">
        <v>71.418459749283301</v>
      </c>
      <c r="C240" s="3711">
        <v>105.64546543130299</v>
      </c>
      <c r="D240" s="1560">
        <v>36.635780464690903</v>
      </c>
      <c r="E240" s="1561">
        <v>92.118560670924495</v>
      </c>
      <c r="F240" s="3711">
        <v>91.9068574520645</v>
      </c>
      <c r="G240" s="1560">
        <v>93.697089398811599</v>
      </c>
      <c r="H240" s="1561">
        <v>0.99</v>
      </c>
      <c r="I240" s="267"/>
      <c r="J240" s="291"/>
      <c r="K240" s="266"/>
      <c r="L240" s="266"/>
      <c r="M240" s="749"/>
      <c r="N240" s="742"/>
      <c r="O240" s="268">
        <v>139.30000000000001</v>
      </c>
      <c r="P240" s="3513">
        <v>139.1</v>
      </c>
      <c r="Q240" s="268">
        <v>116.1</v>
      </c>
      <c r="R240" s="3770"/>
      <c r="S240" s="1865"/>
    </row>
    <row r="241" spans="1:19">
      <c r="A241" s="1548">
        <v>1992.04</v>
      </c>
      <c r="B241" s="1559">
        <v>71.420647005017599</v>
      </c>
      <c r="C241" s="3711">
        <v>105.185428029335</v>
      </c>
      <c r="D241" s="1560">
        <v>36.958428407276998</v>
      </c>
      <c r="E241" s="1561">
        <v>91.689266743719699</v>
      </c>
      <c r="F241" s="3711">
        <v>91.476055703115804</v>
      </c>
      <c r="G241" s="1560">
        <v>93.265496769587998</v>
      </c>
      <c r="H241" s="1561">
        <v>0.99</v>
      </c>
      <c r="I241" s="267"/>
      <c r="J241" s="291"/>
      <c r="K241" s="266"/>
      <c r="L241" s="266"/>
      <c r="M241" s="749"/>
      <c r="N241" s="742"/>
      <c r="O241" s="268">
        <v>139.5</v>
      </c>
      <c r="P241" s="3513">
        <v>139.4</v>
      </c>
      <c r="Q241" s="268">
        <v>116.3</v>
      </c>
      <c r="R241" s="3770"/>
      <c r="S241" s="1865"/>
    </row>
    <row r="242" spans="1:19">
      <c r="A242" s="1548">
        <v>1992.05</v>
      </c>
      <c r="B242" s="1559">
        <v>71.103204140924703</v>
      </c>
      <c r="C242" s="3711">
        <v>103.96998321651</v>
      </c>
      <c r="D242" s="1560">
        <v>37.322816509934498</v>
      </c>
      <c r="E242" s="1561">
        <v>90.862927392554795</v>
      </c>
      <c r="F242" s="3711">
        <v>90.476946732100302</v>
      </c>
      <c r="G242" s="1560">
        <v>92.780189045135998</v>
      </c>
      <c r="H242" s="1561">
        <v>0.99</v>
      </c>
      <c r="I242" s="267"/>
      <c r="J242" s="291"/>
      <c r="K242" s="266"/>
      <c r="L242" s="266"/>
      <c r="M242" s="749"/>
      <c r="N242" s="742"/>
      <c r="O242" s="268">
        <v>139.69999999999999</v>
      </c>
      <c r="P242" s="3513">
        <v>139.69999999999999</v>
      </c>
      <c r="Q242" s="268">
        <v>117.2</v>
      </c>
      <c r="R242" s="3770"/>
      <c r="S242" s="1865"/>
    </row>
    <row r="243" spans="1:19">
      <c r="A243" s="1548">
        <v>1992.06</v>
      </c>
      <c r="B243" s="1559">
        <v>70.321696117565907</v>
      </c>
      <c r="C243" s="3711">
        <v>101.80994371110199</v>
      </c>
      <c r="D243" s="1560">
        <v>37.649874209821597</v>
      </c>
      <c r="E243" s="1561">
        <v>89.530310956703701</v>
      </c>
      <c r="F243" s="3711">
        <v>88.615525988658305</v>
      </c>
      <c r="G243" s="1560">
        <v>92.519277412587101</v>
      </c>
      <c r="H243" s="1561">
        <v>0.99</v>
      </c>
      <c r="I243" s="267"/>
      <c r="J243" s="291"/>
      <c r="K243" s="266"/>
      <c r="L243" s="266"/>
      <c r="M243" s="749"/>
      <c r="N243" s="742"/>
      <c r="O243" s="268">
        <v>140.19999999999999</v>
      </c>
      <c r="P243" s="3513">
        <v>140.1</v>
      </c>
      <c r="Q243" s="268">
        <v>118</v>
      </c>
      <c r="R243" s="3770"/>
      <c r="S243" s="1865"/>
    </row>
    <row r="244" spans="1:19">
      <c r="A244" s="1548">
        <v>1992.07</v>
      </c>
      <c r="B244" s="1559">
        <v>69.396595461381096</v>
      </c>
      <c r="C244" s="3711">
        <v>99.484344172114604</v>
      </c>
      <c r="D244" s="1560">
        <v>37.890267669105697</v>
      </c>
      <c r="E244" s="1561">
        <v>88.157749177495006</v>
      </c>
      <c r="F244" s="3711">
        <v>86.832474505770605</v>
      </c>
      <c r="G244" s="1560">
        <v>91.988790021756202</v>
      </c>
      <c r="H244" s="1561">
        <v>0.99</v>
      </c>
      <c r="I244" s="267"/>
      <c r="J244" s="291"/>
      <c r="K244" s="266"/>
      <c r="L244" s="266"/>
      <c r="M244" s="749"/>
      <c r="N244" s="742"/>
      <c r="O244" s="268">
        <v>140.5</v>
      </c>
      <c r="P244" s="3513">
        <v>140.5</v>
      </c>
      <c r="Q244" s="268">
        <v>117.9</v>
      </c>
      <c r="R244" s="3770"/>
      <c r="S244" s="1865"/>
    </row>
    <row r="245" spans="1:19">
      <c r="A245" s="1548">
        <v>1992.08</v>
      </c>
      <c r="B245" s="1559">
        <v>69.153407452147206</v>
      </c>
      <c r="C245" s="3711">
        <v>98.553408302491306</v>
      </c>
      <c r="D245" s="1560">
        <v>38.203115244801801</v>
      </c>
      <c r="E245" s="1561">
        <v>87.531500703639296</v>
      </c>
      <c r="F245" s="3711">
        <v>86.109131004454298</v>
      </c>
      <c r="G245" s="1560">
        <v>91.560141718319798</v>
      </c>
      <c r="H245" s="1561">
        <v>0.99</v>
      </c>
      <c r="I245" s="267"/>
      <c r="J245" s="291"/>
      <c r="K245" s="266"/>
      <c r="L245" s="266"/>
      <c r="M245" s="749"/>
      <c r="N245" s="742"/>
      <c r="O245" s="268">
        <v>140.9</v>
      </c>
      <c r="P245" s="3513">
        <v>140.80000000000001</v>
      </c>
      <c r="Q245" s="268">
        <v>117.7</v>
      </c>
      <c r="R245" s="3770"/>
      <c r="S245" s="1865"/>
    </row>
    <row r="246" spans="1:19">
      <c r="A246" s="1548">
        <v>1992.09</v>
      </c>
      <c r="B246" s="1559">
        <v>69.812903190159602</v>
      </c>
      <c r="C246" s="3711">
        <v>99.440820338854195</v>
      </c>
      <c r="D246" s="1560">
        <v>38.610744845442497</v>
      </c>
      <c r="E246" s="1561">
        <v>87.942443775265403</v>
      </c>
      <c r="F246" s="3711">
        <v>87.022980786643998</v>
      </c>
      <c r="G246" s="1560">
        <v>90.921815602262399</v>
      </c>
      <c r="H246" s="1561">
        <v>0.99</v>
      </c>
      <c r="I246" s="267"/>
      <c r="J246" s="291"/>
      <c r="K246" s="266"/>
      <c r="L246" s="266"/>
      <c r="M246" s="749"/>
      <c r="N246" s="742"/>
      <c r="O246" s="268">
        <v>141.30000000000001</v>
      </c>
      <c r="P246" s="3513">
        <v>141.1</v>
      </c>
      <c r="Q246" s="268">
        <v>118</v>
      </c>
      <c r="R246" s="3770"/>
      <c r="S246" s="1865"/>
    </row>
    <row r="247" spans="1:19">
      <c r="A247" s="1548">
        <v>1992.1</v>
      </c>
      <c r="B247" s="1559">
        <v>71.459011840958695</v>
      </c>
      <c r="C247" s="3711">
        <v>102.138327467113</v>
      </c>
      <c r="D247" s="1560">
        <v>39.248472490500298</v>
      </c>
      <c r="E247" s="1561">
        <v>89.719270408035797</v>
      </c>
      <c r="F247" s="3711">
        <v>89.551803100006694</v>
      </c>
      <c r="G247" s="1560">
        <v>91.178227383141504</v>
      </c>
      <c r="H247" s="1561">
        <v>0.99</v>
      </c>
      <c r="I247" s="267"/>
      <c r="J247" s="291"/>
      <c r="K247" s="266"/>
      <c r="L247" s="266"/>
      <c r="M247" s="749"/>
      <c r="N247" s="742"/>
      <c r="O247" s="268">
        <v>141.80000000000001</v>
      </c>
      <c r="P247" s="3513">
        <v>141.69999999999999</v>
      </c>
      <c r="Q247" s="268">
        <v>118.1</v>
      </c>
      <c r="R247" s="3770"/>
      <c r="S247" s="1865"/>
    </row>
    <row r="248" spans="1:19">
      <c r="A248" s="1548">
        <v>1992.11</v>
      </c>
      <c r="B248" s="1559">
        <v>73.877826671776006</v>
      </c>
      <c r="C248" s="3711">
        <v>106.49415031145701</v>
      </c>
      <c r="D248" s="1560">
        <v>39.897318406295199</v>
      </c>
      <c r="E248" s="1561">
        <v>92.423419690685506</v>
      </c>
      <c r="F248" s="3711">
        <v>93.389648282914095</v>
      </c>
      <c r="G248" s="1560">
        <v>91.662381139598196</v>
      </c>
      <c r="H248" s="1561">
        <v>0.99</v>
      </c>
      <c r="I248" s="267"/>
      <c r="J248" s="291"/>
      <c r="K248" s="266"/>
      <c r="L248" s="266"/>
      <c r="M248" s="749"/>
      <c r="N248" s="742"/>
      <c r="O248" s="268">
        <v>142</v>
      </c>
      <c r="P248" s="3513">
        <v>142.1</v>
      </c>
      <c r="Q248" s="268">
        <v>117.8</v>
      </c>
      <c r="R248" s="3770"/>
      <c r="S248" s="1865"/>
    </row>
    <row r="249" spans="1:19">
      <c r="A249" s="1548">
        <v>1992.12</v>
      </c>
      <c r="B249" s="1559">
        <v>74.3782293501922</v>
      </c>
      <c r="C249" s="3711">
        <v>106.704652984514</v>
      </c>
      <c r="D249" s="1560">
        <v>40.550869713214801</v>
      </c>
      <c r="E249" s="1561">
        <v>92.611836841572298</v>
      </c>
      <c r="F249" s="3711">
        <v>93.528865807843104</v>
      </c>
      <c r="G249" s="1560">
        <v>91.949209903868194</v>
      </c>
      <c r="H249" s="1561">
        <v>1</v>
      </c>
      <c r="I249" s="267"/>
      <c r="J249" s="291"/>
      <c r="K249" s="266"/>
      <c r="L249" s="266"/>
      <c r="M249" s="749"/>
      <c r="N249" s="742"/>
      <c r="O249" s="268">
        <v>141.9</v>
      </c>
      <c r="P249" s="3513">
        <v>142.30000000000001</v>
      </c>
      <c r="Q249" s="268">
        <v>117.6</v>
      </c>
      <c r="R249" s="3770"/>
      <c r="S249" s="1865"/>
    </row>
    <row r="250" spans="1:19">
      <c r="A250" s="1548">
        <v>1993.01</v>
      </c>
      <c r="B250" s="1559">
        <v>75.431597151456302</v>
      </c>
      <c r="C250" s="3711">
        <v>108.190040792216</v>
      </c>
      <c r="D250" s="1560">
        <v>41.123064543990502</v>
      </c>
      <c r="E250" s="1561">
        <v>93.480131015169505</v>
      </c>
      <c r="F250" s="3711">
        <v>94.840918261367307</v>
      </c>
      <c r="G250" s="1560">
        <v>92.016471497654706</v>
      </c>
      <c r="H250" s="1561">
        <v>1</v>
      </c>
      <c r="I250" s="267"/>
      <c r="J250" s="291"/>
      <c r="K250" s="266"/>
      <c r="L250" s="266"/>
      <c r="M250" s="749"/>
      <c r="N250" s="742"/>
      <c r="O250" s="268">
        <v>142.6</v>
      </c>
      <c r="P250" s="3513">
        <v>142.80000000000001</v>
      </c>
      <c r="Q250" s="268">
        <v>118</v>
      </c>
      <c r="R250" s="3770"/>
      <c r="S250" s="1865"/>
    </row>
    <row r="251" spans="1:19">
      <c r="A251" s="1548">
        <v>1993.02</v>
      </c>
      <c r="B251" s="1559">
        <v>75.875945499724693</v>
      </c>
      <c r="C251" s="3711">
        <v>108.267338876485</v>
      </c>
      <c r="D251" s="1560">
        <v>41.766747388299997</v>
      </c>
      <c r="E251" s="1561">
        <v>93.5161927386321</v>
      </c>
      <c r="F251" s="3711">
        <v>94.822970145604799</v>
      </c>
      <c r="G251" s="1560">
        <v>92.151002528090004</v>
      </c>
      <c r="H251" s="1561">
        <v>1</v>
      </c>
      <c r="I251" s="267"/>
      <c r="J251" s="291"/>
      <c r="K251" s="266"/>
      <c r="L251" s="266"/>
      <c r="M251" s="749"/>
      <c r="N251" s="742"/>
      <c r="O251" s="268">
        <v>143.1</v>
      </c>
      <c r="P251" s="3513">
        <v>143.1</v>
      </c>
      <c r="Q251" s="268">
        <v>118.4</v>
      </c>
      <c r="R251" s="3770"/>
      <c r="S251" s="1865"/>
    </row>
    <row r="252" spans="1:19">
      <c r="A252" s="1548">
        <v>1993.03</v>
      </c>
      <c r="B252" s="1559">
        <v>75.6646765024649</v>
      </c>
      <c r="C252" s="3711">
        <v>107.017489829919</v>
      </c>
      <c r="D252" s="1560">
        <v>42.342932101963498</v>
      </c>
      <c r="E252" s="1561">
        <v>92.668010968741797</v>
      </c>
      <c r="F252" s="3711">
        <v>93.737135279556398</v>
      </c>
      <c r="G252" s="1560">
        <v>91.727010104332095</v>
      </c>
      <c r="H252" s="1561">
        <v>1</v>
      </c>
      <c r="I252" s="267"/>
      <c r="J252" s="291"/>
      <c r="K252" s="266"/>
      <c r="L252" s="266"/>
      <c r="M252" s="749"/>
      <c r="N252" s="742"/>
      <c r="O252" s="268">
        <v>143.6</v>
      </c>
      <c r="P252" s="3513">
        <v>143.30000000000001</v>
      </c>
      <c r="Q252" s="268">
        <v>118.7</v>
      </c>
      <c r="R252" s="3770"/>
      <c r="S252" s="1865"/>
    </row>
    <row r="253" spans="1:19">
      <c r="A253" s="1548">
        <v>1993.04</v>
      </c>
      <c r="B253" s="1559">
        <v>74.755018591269106</v>
      </c>
      <c r="C253" s="3711">
        <v>104.591409131041</v>
      </c>
      <c r="D253" s="1560">
        <v>42.690430294535602</v>
      </c>
      <c r="E253" s="1561">
        <v>91.142843328258806</v>
      </c>
      <c r="F253" s="3711">
        <v>91.766676600355297</v>
      </c>
      <c r="G253" s="1560">
        <v>91.005283969420404</v>
      </c>
      <c r="H253" s="1561">
        <v>1</v>
      </c>
      <c r="I253" s="267"/>
      <c r="J253" s="291"/>
      <c r="K253" s="266"/>
      <c r="L253" s="266"/>
      <c r="M253" s="749"/>
      <c r="N253" s="742"/>
      <c r="O253" s="268">
        <v>144</v>
      </c>
      <c r="P253" s="3513">
        <v>143.80000000000001</v>
      </c>
      <c r="Q253" s="268">
        <v>119.3</v>
      </c>
      <c r="R253" s="3770"/>
      <c r="S253" s="1865"/>
    </row>
    <row r="254" spans="1:19">
      <c r="A254" s="1548">
        <v>1993.05</v>
      </c>
      <c r="B254" s="1559">
        <v>75.032304171384396</v>
      </c>
      <c r="C254" s="3711">
        <v>104.24656441493499</v>
      </c>
      <c r="D254" s="1560">
        <v>43.413692140535602</v>
      </c>
      <c r="E254" s="1561">
        <v>91.100428283425799</v>
      </c>
      <c r="F254" s="3711">
        <v>91.676361501551398</v>
      </c>
      <c r="G254" s="1560">
        <v>91.051298548771697</v>
      </c>
      <c r="H254" s="1561">
        <v>1</v>
      </c>
      <c r="I254" s="267"/>
      <c r="J254" s="291"/>
      <c r="K254" s="266"/>
      <c r="L254" s="266"/>
      <c r="M254" s="749"/>
      <c r="N254" s="742"/>
      <c r="O254" s="268">
        <v>144.19999999999999</v>
      </c>
      <c r="P254" s="3513">
        <v>144.19999999999999</v>
      </c>
      <c r="Q254" s="268">
        <v>119.7</v>
      </c>
      <c r="R254" s="3770"/>
      <c r="S254" s="1865"/>
    </row>
    <row r="255" spans="1:19">
      <c r="A255" s="1548">
        <v>1993.06</v>
      </c>
      <c r="B255" s="1559">
        <v>75.812005849328898</v>
      </c>
      <c r="C255" s="3711">
        <v>105.02529796276499</v>
      </c>
      <c r="D255" s="1560">
        <v>44.103700693459999</v>
      </c>
      <c r="E255" s="1561">
        <v>91.265718682032002</v>
      </c>
      <c r="F255" s="3711">
        <v>92.248377093427294</v>
      </c>
      <c r="G255" s="1560">
        <v>90.4677291145086</v>
      </c>
      <c r="H255" s="1561">
        <v>1</v>
      </c>
      <c r="I255" s="267"/>
      <c r="J255" s="291"/>
      <c r="K255" s="266"/>
      <c r="L255" s="266"/>
      <c r="M255" s="749"/>
      <c r="N255" s="742"/>
      <c r="O255" s="268">
        <v>144.4</v>
      </c>
      <c r="P255" s="3513">
        <v>144.30000000000001</v>
      </c>
      <c r="Q255" s="268">
        <v>119.5</v>
      </c>
      <c r="R255" s="3770"/>
      <c r="S255" s="1865"/>
    </row>
    <row r="256" spans="1:19">
      <c r="A256" s="1548">
        <v>1993.07</v>
      </c>
      <c r="B256" s="1559">
        <v>76.996721471414105</v>
      </c>
      <c r="C256" s="3711">
        <v>106.682177425402</v>
      </c>
      <c r="D256" s="1560">
        <v>44.779538561760901</v>
      </c>
      <c r="E256" s="1561">
        <v>91.968373078472695</v>
      </c>
      <c r="F256" s="3711">
        <v>93.487910808319796</v>
      </c>
      <c r="G256" s="1560">
        <v>90.201313312092196</v>
      </c>
      <c r="H256" s="1561">
        <v>1</v>
      </c>
      <c r="I256" s="267"/>
      <c r="J256" s="291"/>
      <c r="K256" s="266"/>
      <c r="L256" s="266"/>
      <c r="M256" s="749"/>
      <c r="N256" s="742"/>
      <c r="O256" s="268">
        <v>144.4</v>
      </c>
      <c r="P256" s="3513">
        <v>144.5</v>
      </c>
      <c r="Q256" s="268">
        <v>119.2</v>
      </c>
      <c r="R256" s="3770"/>
      <c r="S256" s="1865"/>
    </row>
    <row r="257" spans="1:19">
      <c r="A257" s="1548">
        <v>1993.08</v>
      </c>
      <c r="B257" s="1559">
        <v>77.207320015845596</v>
      </c>
      <c r="C257" s="3711">
        <v>106.380401588376</v>
      </c>
      <c r="D257" s="1560">
        <v>45.371700210022901</v>
      </c>
      <c r="E257" s="1561">
        <v>91.602860400478704</v>
      </c>
      <c r="F257" s="3711">
        <v>93.244880392599896</v>
      </c>
      <c r="G257" s="1560">
        <v>89.611374369613003</v>
      </c>
      <c r="H257" s="1561">
        <v>1</v>
      </c>
      <c r="I257" s="267"/>
      <c r="J257" s="291"/>
      <c r="K257" s="266"/>
      <c r="L257" s="266"/>
      <c r="M257" s="749"/>
      <c r="N257" s="742"/>
      <c r="O257" s="268">
        <v>144.80000000000001</v>
      </c>
      <c r="P257" s="3513">
        <v>144.80000000000001</v>
      </c>
      <c r="Q257" s="268">
        <v>118.7</v>
      </c>
      <c r="R257" s="3770"/>
      <c r="S257" s="1865"/>
    </row>
    <row r="258" spans="1:19">
      <c r="A258" s="1548">
        <v>1993.09</v>
      </c>
      <c r="B258" s="1559">
        <v>77.288679428070495</v>
      </c>
      <c r="C258" s="3711">
        <v>105.764371083871</v>
      </c>
      <c r="D258" s="1560">
        <v>46.006362223535298</v>
      </c>
      <c r="E258" s="1561">
        <v>91.015162825830998</v>
      </c>
      <c r="F258" s="3711">
        <v>92.757926709207794</v>
      </c>
      <c r="G258" s="1560">
        <v>88.836796827261395</v>
      </c>
      <c r="H258" s="1561">
        <v>1</v>
      </c>
      <c r="I258" s="267"/>
      <c r="J258" s="291"/>
      <c r="K258" s="266"/>
      <c r="L258" s="266"/>
      <c r="M258" s="749"/>
      <c r="N258" s="742"/>
      <c r="O258" s="268">
        <v>145.1</v>
      </c>
      <c r="P258" s="3513">
        <v>145</v>
      </c>
      <c r="Q258" s="268">
        <v>118.7</v>
      </c>
      <c r="R258" s="3770"/>
      <c r="S258" s="1865"/>
    </row>
    <row r="259" spans="1:19">
      <c r="A259" s="1548">
        <v>1993.1</v>
      </c>
      <c r="B259" s="1559">
        <v>78.165799322801803</v>
      </c>
      <c r="C259" s="3711">
        <v>106.758718293714</v>
      </c>
      <c r="D259" s="1560">
        <v>46.696638694694101</v>
      </c>
      <c r="E259" s="1561">
        <v>91.675082200062207</v>
      </c>
      <c r="F259" s="3711">
        <v>94.000457069468695</v>
      </c>
      <c r="G259" s="1560">
        <v>88.468897571856203</v>
      </c>
      <c r="H259" s="1561">
        <v>1</v>
      </c>
      <c r="I259" s="267"/>
      <c r="J259" s="291"/>
      <c r="K259" s="266"/>
      <c r="L259" s="266"/>
      <c r="M259" s="749"/>
      <c r="N259" s="742"/>
      <c r="O259" s="268">
        <v>145.69999999999999</v>
      </c>
      <c r="P259" s="3513">
        <v>145.6</v>
      </c>
      <c r="Q259" s="268">
        <v>119.1</v>
      </c>
      <c r="R259" s="3770"/>
      <c r="S259" s="1865"/>
    </row>
    <row r="260" spans="1:19">
      <c r="A260" s="1548">
        <v>1993.11</v>
      </c>
      <c r="B260" s="1559">
        <v>79.258421742556195</v>
      </c>
      <c r="C260" s="3711">
        <v>108.019518311741</v>
      </c>
      <c r="D260" s="1560">
        <v>47.5396104066226</v>
      </c>
      <c r="E260" s="1561">
        <v>92.450536373631806</v>
      </c>
      <c r="F260" s="3711">
        <v>95.285215787299293</v>
      </c>
      <c r="G260" s="1560">
        <v>88.361760100044407</v>
      </c>
      <c r="H260" s="1561">
        <v>1</v>
      </c>
      <c r="I260" s="267"/>
      <c r="J260" s="291"/>
      <c r="K260" s="266"/>
      <c r="L260" s="266"/>
      <c r="M260" s="749"/>
      <c r="N260" s="742"/>
      <c r="O260" s="268">
        <v>145.80000000000001</v>
      </c>
      <c r="P260" s="3513">
        <v>146</v>
      </c>
      <c r="Q260" s="268">
        <v>119</v>
      </c>
      <c r="R260" s="3770"/>
      <c r="S260" s="1865"/>
    </row>
    <row r="261" spans="1:19">
      <c r="A261" s="1548">
        <v>1993.12</v>
      </c>
      <c r="B261" s="1559">
        <v>79.936108870271994</v>
      </c>
      <c r="C261" s="3711">
        <v>108.782208765813</v>
      </c>
      <c r="D261" s="1560">
        <v>48.078156170086302</v>
      </c>
      <c r="E261" s="1561">
        <v>92.617893860009005</v>
      </c>
      <c r="F261" s="3711">
        <v>96.011216069161094</v>
      </c>
      <c r="G261" s="1560">
        <v>87.569696864296503</v>
      </c>
      <c r="H261" s="1561">
        <v>0.99</v>
      </c>
      <c r="I261" s="267"/>
      <c r="J261" s="291"/>
      <c r="K261" s="266"/>
      <c r="L261" s="266"/>
      <c r="M261" s="749"/>
      <c r="N261" s="742"/>
      <c r="O261" s="268">
        <v>145.80000000000001</v>
      </c>
      <c r="P261" s="3513">
        <v>146.30000000000001</v>
      </c>
      <c r="Q261" s="268">
        <v>118.6</v>
      </c>
      <c r="R261" s="3770"/>
      <c r="S261" s="1865"/>
    </row>
    <row r="262" spans="1:19">
      <c r="A262" s="1548">
        <v>1994.01</v>
      </c>
      <c r="B262" s="1559">
        <v>81.980598326055599</v>
      </c>
      <c r="C262" s="3711">
        <v>109.144362022876</v>
      </c>
      <c r="D262" s="1560">
        <v>51.271160023548603</v>
      </c>
      <c r="E262" s="1561">
        <v>94.199483395107407</v>
      </c>
      <c r="F262" s="3711">
        <v>96.222807693623295</v>
      </c>
      <c r="G262" s="1560">
        <v>91.442364832102797</v>
      </c>
      <c r="H262" s="1561">
        <v>0.99</v>
      </c>
      <c r="I262" s="267"/>
      <c r="J262" s="291"/>
      <c r="K262" s="266"/>
      <c r="L262" s="266"/>
      <c r="M262" s="749"/>
      <c r="N262" s="742"/>
      <c r="O262" s="268">
        <v>146.19999999999999</v>
      </c>
      <c r="P262" s="3513">
        <v>146.30000000000001</v>
      </c>
      <c r="Q262" s="268">
        <v>119.1</v>
      </c>
      <c r="R262" s="3770"/>
      <c r="S262" s="1865"/>
    </row>
    <row r="263" spans="1:19">
      <c r="A263" s="1548">
        <v>1994.02</v>
      </c>
      <c r="B263" s="1559">
        <v>82.061990705759897</v>
      </c>
      <c r="C263" s="3711">
        <v>108.210553112984</v>
      </c>
      <c r="D263" s="1560">
        <v>52.2098998731203</v>
      </c>
      <c r="E263" s="1561">
        <v>93.8790776149051</v>
      </c>
      <c r="F263" s="3711">
        <v>95.812516813595195</v>
      </c>
      <c r="G263" s="1560">
        <v>91.272557711800403</v>
      </c>
      <c r="H263" s="1561">
        <v>0.99</v>
      </c>
      <c r="I263" s="267"/>
      <c r="J263" s="291"/>
      <c r="K263" s="266"/>
      <c r="L263" s="266"/>
      <c r="M263" s="749"/>
      <c r="N263" s="742"/>
      <c r="O263" s="268">
        <v>146.69999999999999</v>
      </c>
      <c r="P263" s="3513">
        <v>146.69999999999999</v>
      </c>
      <c r="Q263" s="268">
        <v>119.3</v>
      </c>
      <c r="R263" s="3770"/>
      <c r="S263" s="1865"/>
    </row>
    <row r="264" spans="1:19">
      <c r="A264" s="1548">
        <v>1994.03</v>
      </c>
      <c r="B264" s="1559">
        <v>82.620819671252704</v>
      </c>
      <c r="C264" s="3711">
        <v>107.727220099779</v>
      </c>
      <c r="D264" s="1560">
        <v>53.634146527324901</v>
      </c>
      <c r="E264" s="1561">
        <v>93.926554984628496</v>
      </c>
      <c r="F264" s="3711">
        <v>95.487746459880498</v>
      </c>
      <c r="G264" s="1560">
        <v>91.957954567141897</v>
      </c>
      <c r="H264" s="1561">
        <v>0.99</v>
      </c>
      <c r="I264" s="267"/>
      <c r="J264" s="291"/>
      <c r="K264" s="266"/>
      <c r="L264" s="266"/>
      <c r="M264" s="749"/>
      <c r="N264" s="742"/>
      <c r="O264" s="268">
        <v>147.19999999999999</v>
      </c>
      <c r="P264" s="3513">
        <v>147.1</v>
      </c>
      <c r="Q264" s="268">
        <v>119.7</v>
      </c>
      <c r="R264" s="3770"/>
      <c r="S264" s="1865"/>
    </row>
    <row r="265" spans="1:19">
      <c r="A265" s="1548">
        <v>1994.04</v>
      </c>
      <c r="B265" s="1559">
        <v>83.251027328800205</v>
      </c>
      <c r="C265" s="3711">
        <v>107.81623024202599</v>
      </c>
      <c r="D265" s="1560">
        <v>54.701654854243799</v>
      </c>
      <c r="E265" s="1561">
        <v>93.9749536880188</v>
      </c>
      <c r="F265" s="3711">
        <v>95.627574314795595</v>
      </c>
      <c r="G265" s="1560">
        <v>91.849482416363898</v>
      </c>
      <c r="H265" s="1561">
        <v>0.99</v>
      </c>
      <c r="I265" s="267"/>
      <c r="J265" s="291"/>
      <c r="K265" s="266"/>
      <c r="L265" s="266"/>
      <c r="M265" s="749"/>
      <c r="N265" s="742"/>
      <c r="O265" s="268">
        <v>147.4</v>
      </c>
      <c r="P265" s="3513">
        <v>147.19999999999999</v>
      </c>
      <c r="Q265" s="268">
        <v>119.7</v>
      </c>
      <c r="R265" s="3770"/>
      <c r="S265" s="1865"/>
    </row>
    <row r="266" spans="1:19">
      <c r="A266" s="1548">
        <v>1994.05</v>
      </c>
      <c r="B266" s="1559">
        <v>83.265180725053597</v>
      </c>
      <c r="C266" s="3711">
        <v>106.893019095489</v>
      </c>
      <c r="D266" s="1560">
        <v>55.575527952502298</v>
      </c>
      <c r="E266" s="1561">
        <v>93.346968218834903</v>
      </c>
      <c r="F266" s="3711">
        <v>94.961211877932399</v>
      </c>
      <c r="G266" s="1560">
        <v>91.282665063987693</v>
      </c>
      <c r="H266" s="1561">
        <v>0.99</v>
      </c>
      <c r="I266" s="267"/>
      <c r="J266" s="291"/>
      <c r="K266" s="266"/>
      <c r="L266" s="266"/>
      <c r="M266" s="749"/>
      <c r="N266" s="742"/>
      <c r="O266" s="268">
        <v>147.5</v>
      </c>
      <c r="P266" s="3513">
        <v>147.5</v>
      </c>
      <c r="Q266" s="268">
        <v>119.9</v>
      </c>
      <c r="R266" s="3770"/>
      <c r="S266" s="1865"/>
    </row>
    <row r="267" spans="1:19">
      <c r="A267" s="1548">
        <v>1994.06</v>
      </c>
      <c r="B267" s="1559">
        <v>83.228306132174197</v>
      </c>
      <c r="C267" s="3711">
        <v>105.936922620201</v>
      </c>
      <c r="D267" s="1560">
        <v>56.408403379190098</v>
      </c>
      <c r="E267" s="1561">
        <v>92.573841224016903</v>
      </c>
      <c r="F267" s="3711">
        <v>94.284457543043999</v>
      </c>
      <c r="G267" s="1560">
        <v>90.338304295812506</v>
      </c>
      <c r="H267" s="1561">
        <v>0.99</v>
      </c>
      <c r="I267" s="267"/>
      <c r="J267" s="291"/>
      <c r="K267" s="266"/>
      <c r="L267" s="266"/>
      <c r="M267" s="749"/>
      <c r="N267" s="742"/>
      <c r="O267" s="268">
        <v>148</v>
      </c>
      <c r="P267" s="3513">
        <v>147.9</v>
      </c>
      <c r="Q267" s="268">
        <v>120.5</v>
      </c>
      <c r="R267" s="3770"/>
      <c r="S267" s="1865"/>
    </row>
    <row r="268" spans="1:19">
      <c r="A268" s="1548">
        <v>1994.07</v>
      </c>
      <c r="B268" s="1559">
        <v>82.273467810150507</v>
      </c>
      <c r="C268" s="3711">
        <v>103.63606285674901</v>
      </c>
      <c r="D268" s="1560">
        <v>56.8078866080252</v>
      </c>
      <c r="E268" s="1561">
        <v>91.247502149666801</v>
      </c>
      <c r="F268" s="3711">
        <v>92.344029321166801</v>
      </c>
      <c r="G268" s="1560">
        <v>90.063150004405102</v>
      </c>
      <c r="H268" s="1561">
        <v>0.99</v>
      </c>
      <c r="I268" s="267"/>
      <c r="J268" s="291"/>
      <c r="K268" s="266"/>
      <c r="L268" s="266"/>
      <c r="M268" s="749"/>
      <c r="N268" s="742"/>
      <c r="O268" s="268">
        <v>148.4</v>
      </c>
      <c r="P268" s="3513">
        <v>148.4</v>
      </c>
      <c r="Q268" s="268">
        <v>120.7</v>
      </c>
      <c r="R268" s="3770"/>
      <c r="S268" s="1865"/>
    </row>
    <row r="269" spans="1:19">
      <c r="A269" s="1548">
        <v>1994.08</v>
      </c>
      <c r="B269" s="1559">
        <v>82.233277420106404</v>
      </c>
      <c r="C269" s="3711">
        <v>103.93722046698301</v>
      </c>
      <c r="D269" s="1560">
        <v>56.436713500921101</v>
      </c>
      <c r="E269" s="1561">
        <v>91.035766253840805</v>
      </c>
      <c r="F269" s="3711">
        <v>92.776488551371997</v>
      </c>
      <c r="G269" s="1560">
        <v>88.737183359608295</v>
      </c>
      <c r="H269" s="1561">
        <v>0.99</v>
      </c>
      <c r="I269" s="267"/>
      <c r="J269" s="291"/>
      <c r="K269" s="266"/>
      <c r="L269" s="266"/>
      <c r="M269" s="749"/>
      <c r="N269" s="742"/>
      <c r="O269" s="268">
        <v>149</v>
      </c>
      <c r="P269" s="3513">
        <v>149</v>
      </c>
      <c r="Q269" s="268">
        <v>121.2</v>
      </c>
      <c r="R269" s="3770"/>
      <c r="S269" s="1865"/>
    </row>
    <row r="270" spans="1:19">
      <c r="A270" s="1548">
        <v>1994.09</v>
      </c>
      <c r="B270" s="1559">
        <v>81.469932426917694</v>
      </c>
      <c r="C270" s="3711">
        <v>102.515323892711</v>
      </c>
      <c r="D270" s="1560">
        <v>56.359628418232496</v>
      </c>
      <c r="E270" s="1561">
        <v>89.977801178163205</v>
      </c>
      <c r="F270" s="3711">
        <v>91.591683467048199</v>
      </c>
      <c r="G270" s="1560">
        <v>87.888565248091993</v>
      </c>
      <c r="H270" s="1561">
        <v>0.99</v>
      </c>
      <c r="I270" s="267"/>
      <c r="J270" s="291"/>
      <c r="K270" s="266"/>
      <c r="L270" s="266"/>
      <c r="M270" s="749"/>
      <c r="N270" s="742"/>
      <c r="O270" s="268">
        <v>149.4</v>
      </c>
      <c r="P270" s="3513">
        <v>149.30000000000001</v>
      </c>
      <c r="Q270" s="268">
        <v>121</v>
      </c>
      <c r="R270" s="3770"/>
      <c r="S270" s="1865"/>
    </row>
    <row r="271" spans="1:19">
      <c r="A271" s="1548">
        <v>1994.1</v>
      </c>
      <c r="B271" s="1559">
        <v>80.992722874047203</v>
      </c>
      <c r="C271" s="3711">
        <v>101.472364762704</v>
      </c>
      <c r="D271" s="1560">
        <v>56.467808809561902</v>
      </c>
      <c r="E271" s="1561">
        <v>89.095962762513594</v>
      </c>
      <c r="F271" s="3711">
        <v>90.618098328323995</v>
      </c>
      <c r="G271" s="1560">
        <v>87.157641084675603</v>
      </c>
      <c r="H271" s="1561">
        <v>0.99</v>
      </c>
      <c r="I271" s="267"/>
      <c r="J271" s="291"/>
      <c r="K271" s="266"/>
      <c r="L271" s="266"/>
      <c r="M271" s="749"/>
      <c r="N271" s="742"/>
      <c r="O271" s="268">
        <v>149.5</v>
      </c>
      <c r="P271" s="3513">
        <v>149.4</v>
      </c>
      <c r="Q271" s="268">
        <v>120.9</v>
      </c>
      <c r="R271" s="3770"/>
      <c r="S271" s="1865"/>
    </row>
    <row r="272" spans="1:19">
      <c r="A272" s="1548">
        <v>1994.11</v>
      </c>
      <c r="B272" s="1559">
        <v>81.3964533682759</v>
      </c>
      <c r="C272" s="3711">
        <v>102.23538358027101</v>
      </c>
      <c r="D272" s="1560">
        <v>56.494216684937001</v>
      </c>
      <c r="E272" s="1561">
        <v>89.356944118737204</v>
      </c>
      <c r="F272" s="3711">
        <v>91.389658926379795</v>
      </c>
      <c r="G272" s="1560">
        <v>86.549182757123205</v>
      </c>
      <c r="H272" s="1561">
        <v>0.99</v>
      </c>
      <c r="I272" s="267"/>
      <c r="J272" s="291"/>
      <c r="K272" s="266"/>
      <c r="L272" s="266"/>
      <c r="M272" s="749"/>
      <c r="N272" s="742"/>
      <c r="O272" s="268">
        <v>149.69999999999999</v>
      </c>
      <c r="P272" s="3513">
        <v>149.80000000000001</v>
      </c>
      <c r="Q272" s="268">
        <v>121.5</v>
      </c>
      <c r="R272" s="3770"/>
      <c r="S272" s="1865"/>
    </row>
    <row r="273" spans="1:19">
      <c r="A273" s="1548">
        <v>1994.12</v>
      </c>
      <c r="B273" s="1559">
        <v>83.466984346631506</v>
      </c>
      <c r="C273" s="3711">
        <v>104.270458572198</v>
      </c>
      <c r="D273" s="1560">
        <v>58.525869916264497</v>
      </c>
      <c r="E273" s="1561">
        <v>91.508891271723201</v>
      </c>
      <c r="F273" s="3711">
        <v>93.241904863306701</v>
      </c>
      <c r="G273" s="1560">
        <v>89.227026796274004</v>
      </c>
      <c r="H273" s="1561">
        <v>0.99</v>
      </c>
      <c r="I273" s="267"/>
      <c r="J273" s="291"/>
      <c r="K273" s="266"/>
      <c r="L273" s="266"/>
      <c r="M273" s="749"/>
      <c r="N273" s="742"/>
      <c r="O273" s="268">
        <v>149.69999999999999</v>
      </c>
      <c r="P273" s="3513">
        <v>150.1</v>
      </c>
      <c r="Q273" s="268">
        <v>121.9</v>
      </c>
      <c r="R273" s="3770"/>
      <c r="S273" s="1865"/>
    </row>
    <row r="274" spans="1:19">
      <c r="A274" s="1548">
        <v>1995.01</v>
      </c>
      <c r="B274" s="1559">
        <v>85.825272936814102</v>
      </c>
      <c r="C274" s="3711">
        <v>103.91177473066899</v>
      </c>
      <c r="D274" s="1560">
        <v>63.577240451171903</v>
      </c>
      <c r="E274" s="1561">
        <v>93.581717359168906</v>
      </c>
      <c r="F274" s="3711">
        <v>92.958964100247499</v>
      </c>
      <c r="G274" s="1560">
        <v>95.352724214180398</v>
      </c>
      <c r="H274" s="1561">
        <v>1</v>
      </c>
      <c r="I274" s="267"/>
      <c r="J274" s="291"/>
      <c r="K274" s="266"/>
      <c r="L274" s="266"/>
      <c r="M274" s="749"/>
      <c r="N274" s="742"/>
      <c r="O274" s="268">
        <v>150.30000000000001</v>
      </c>
      <c r="P274" s="3513">
        <v>150.5</v>
      </c>
      <c r="Q274" s="268">
        <v>122.9</v>
      </c>
      <c r="R274" s="3770"/>
      <c r="S274" s="1865"/>
    </row>
    <row r="275" spans="1:19">
      <c r="A275" s="1548">
        <v>1995.02</v>
      </c>
      <c r="B275" s="1559">
        <v>85.4359885731334</v>
      </c>
      <c r="C275" s="3711">
        <v>102.84041218597</v>
      </c>
      <c r="D275" s="1560">
        <v>63.930355194353602</v>
      </c>
      <c r="E275" s="1561">
        <v>92.758958140619598</v>
      </c>
      <c r="F275" s="3711">
        <v>92.036242414382201</v>
      </c>
      <c r="G275" s="1560">
        <v>94.701758573927606</v>
      </c>
      <c r="H275" s="1561">
        <v>1</v>
      </c>
      <c r="I275" s="267"/>
      <c r="J275" s="291"/>
      <c r="K275" s="266"/>
      <c r="L275" s="266"/>
      <c r="M275" s="749"/>
      <c r="N275" s="742"/>
      <c r="O275" s="268">
        <v>150.9</v>
      </c>
      <c r="P275" s="3513">
        <v>150.9</v>
      </c>
      <c r="Q275" s="268">
        <v>123.5</v>
      </c>
      <c r="R275" s="3770"/>
      <c r="S275" s="1865"/>
    </row>
    <row r="276" spans="1:19">
      <c r="A276" s="1548">
        <v>1995.03</v>
      </c>
      <c r="B276" s="1559">
        <v>84.8004327077374</v>
      </c>
      <c r="C276" s="3711">
        <v>99.344548335104804</v>
      </c>
      <c r="D276" s="1560">
        <v>66.505227382717294</v>
      </c>
      <c r="E276" s="1561">
        <v>91.628993563941705</v>
      </c>
      <c r="F276" s="3711">
        <v>89.001849203671199</v>
      </c>
      <c r="G276" s="1560">
        <v>97.053710480480902</v>
      </c>
      <c r="H276" s="1561">
        <v>1</v>
      </c>
      <c r="I276" s="267"/>
      <c r="J276" s="291"/>
      <c r="K276" s="266"/>
      <c r="L276" s="266"/>
      <c r="M276" s="749"/>
      <c r="N276" s="742"/>
      <c r="O276" s="268">
        <v>151.4</v>
      </c>
      <c r="P276" s="3513">
        <v>151.19999999999999</v>
      </c>
      <c r="Q276" s="268">
        <v>123.9</v>
      </c>
      <c r="R276" s="3770"/>
      <c r="S276" s="1865"/>
    </row>
    <row r="277" spans="1:19">
      <c r="A277" s="1548">
        <v>1995.04</v>
      </c>
      <c r="B277" s="1559">
        <v>82.338688517654703</v>
      </c>
      <c r="C277" s="3711">
        <v>96.139894888964093</v>
      </c>
      <c r="D277" s="1560">
        <v>64.939919469477601</v>
      </c>
      <c r="E277" s="1561">
        <v>88.505336013107794</v>
      </c>
      <c r="F277" s="3711">
        <v>86.378062464698004</v>
      </c>
      <c r="G277" s="1560">
        <v>92.976214582503601</v>
      </c>
      <c r="H277" s="1561">
        <v>1</v>
      </c>
      <c r="I277" s="267"/>
      <c r="J277" s="291"/>
      <c r="K277" s="266"/>
      <c r="L277" s="266"/>
      <c r="M277" s="749"/>
      <c r="N277" s="742"/>
      <c r="O277" s="268">
        <v>151.9</v>
      </c>
      <c r="P277" s="3513">
        <v>151.80000000000001</v>
      </c>
      <c r="Q277" s="268">
        <v>124.6</v>
      </c>
      <c r="R277" s="3770"/>
      <c r="S277" s="1865"/>
    </row>
    <row r="278" spans="1:19">
      <c r="A278" s="1548">
        <v>1995.05</v>
      </c>
      <c r="B278" s="1559">
        <v>82.258384707742493</v>
      </c>
      <c r="C278" s="3711">
        <v>96.673153658475798</v>
      </c>
      <c r="D278" s="1560">
        <v>64.152616687656007</v>
      </c>
      <c r="E278" s="1561">
        <v>87.992134269230405</v>
      </c>
      <c r="F278" s="3711">
        <v>86.912644958987698</v>
      </c>
      <c r="G278" s="1560">
        <v>90.540521071802004</v>
      </c>
      <c r="H278" s="1561">
        <v>1</v>
      </c>
      <c r="I278" s="267"/>
      <c r="J278" s="291"/>
      <c r="K278" s="266"/>
      <c r="L278" s="266"/>
      <c r="M278" s="749"/>
      <c r="N278" s="742"/>
      <c r="O278" s="268">
        <v>152.19999999999999</v>
      </c>
      <c r="P278" s="3513">
        <v>152.1</v>
      </c>
      <c r="Q278" s="268">
        <v>124.9</v>
      </c>
      <c r="R278" s="3770"/>
      <c r="S278" s="1865"/>
    </row>
    <row r="279" spans="1:19">
      <c r="A279" s="1548">
        <v>1995.06</v>
      </c>
      <c r="B279" s="1559">
        <v>82.526458047541993</v>
      </c>
      <c r="C279" s="3711">
        <v>96.685125745222095</v>
      </c>
      <c r="D279" s="1560">
        <v>64.708183334056102</v>
      </c>
      <c r="E279" s="1561">
        <v>87.922127202983205</v>
      </c>
      <c r="F279" s="3711">
        <v>86.931048626543799</v>
      </c>
      <c r="G279" s="1560">
        <v>90.310943770155305</v>
      </c>
      <c r="H279" s="1561">
        <v>1</v>
      </c>
      <c r="I279" s="267"/>
      <c r="J279" s="291"/>
      <c r="K279" s="266"/>
      <c r="L279" s="266"/>
      <c r="M279" s="749"/>
      <c r="N279" s="742"/>
      <c r="O279" s="268">
        <v>152.5</v>
      </c>
      <c r="P279" s="3513">
        <v>152.4</v>
      </c>
      <c r="Q279" s="268">
        <v>125.3</v>
      </c>
      <c r="R279" s="3770"/>
      <c r="S279" s="1865"/>
    </row>
    <row r="280" spans="1:19">
      <c r="A280" s="1548">
        <v>1995.07</v>
      </c>
      <c r="B280" s="1559">
        <v>82.5077548432632</v>
      </c>
      <c r="C280" s="3711">
        <v>96.727405860618205</v>
      </c>
      <c r="D280" s="1560">
        <v>64.619364444155494</v>
      </c>
      <c r="E280" s="1561">
        <v>87.636782710390193</v>
      </c>
      <c r="F280" s="3711">
        <v>87.050048247260406</v>
      </c>
      <c r="G280" s="1560">
        <v>89.301569243729503</v>
      </c>
      <c r="H280" s="1561">
        <v>1</v>
      </c>
      <c r="I280" s="267"/>
      <c r="J280" s="291"/>
      <c r="K280" s="266"/>
      <c r="L280" s="266"/>
      <c r="M280" s="749"/>
      <c r="N280" s="742"/>
      <c r="O280" s="268">
        <v>152.5</v>
      </c>
      <c r="P280" s="3513">
        <v>152.6</v>
      </c>
      <c r="Q280" s="268">
        <v>125.3</v>
      </c>
      <c r="R280" s="3770"/>
      <c r="S280" s="1865"/>
    </row>
    <row r="281" spans="1:19">
      <c r="A281" s="1548">
        <v>1995.08</v>
      </c>
      <c r="B281" s="1559">
        <v>84.462676030288307</v>
      </c>
      <c r="C281" s="3711">
        <v>99.699837366485497</v>
      </c>
      <c r="D281" s="1560">
        <v>65.373048125116199</v>
      </c>
      <c r="E281" s="1561">
        <v>89.504391959516198</v>
      </c>
      <c r="F281" s="3711">
        <v>89.850932289028606</v>
      </c>
      <c r="G281" s="1560">
        <v>89.550482077933793</v>
      </c>
      <c r="H281" s="1561">
        <v>1</v>
      </c>
      <c r="I281" s="267"/>
      <c r="J281" s="291"/>
      <c r="K281" s="266"/>
      <c r="L281" s="266"/>
      <c r="M281" s="749"/>
      <c r="N281" s="742"/>
      <c r="O281" s="268">
        <v>152.9</v>
      </c>
      <c r="P281" s="3513">
        <v>152.9</v>
      </c>
      <c r="Q281" s="268">
        <v>125.1</v>
      </c>
      <c r="R281" s="3770"/>
      <c r="S281" s="1865"/>
    </row>
    <row r="282" spans="1:19">
      <c r="A282" s="1548">
        <v>1995.09</v>
      </c>
      <c r="B282" s="1559">
        <v>85.672700376721394</v>
      </c>
      <c r="C282" s="3711">
        <v>101.357452362475</v>
      </c>
      <c r="D282" s="1560">
        <v>66.050199347183906</v>
      </c>
      <c r="E282" s="1561">
        <v>90.401451627698506</v>
      </c>
      <c r="F282" s="3711">
        <v>91.311009212682904</v>
      </c>
      <c r="G282" s="1560">
        <v>89.491453877797298</v>
      </c>
      <c r="H282" s="1561">
        <v>1</v>
      </c>
      <c r="I282" s="267"/>
      <c r="J282" s="291"/>
      <c r="K282" s="266"/>
      <c r="L282" s="266"/>
      <c r="M282" s="749"/>
      <c r="N282" s="742"/>
      <c r="O282" s="268">
        <v>153.19999999999999</v>
      </c>
      <c r="P282" s="3513">
        <v>153.1</v>
      </c>
      <c r="Q282" s="268">
        <v>125.2</v>
      </c>
      <c r="R282" s="3770"/>
      <c r="S282" s="1865"/>
    </row>
    <row r="283" spans="1:19">
      <c r="A283" s="1548">
        <v>1995.1</v>
      </c>
      <c r="B283" s="1559">
        <v>85.580727890202596</v>
      </c>
      <c r="C283" s="3711">
        <v>100.406997097568</v>
      </c>
      <c r="D283" s="1560">
        <v>66.937401267382896</v>
      </c>
      <c r="E283" s="1561">
        <v>90.225984098464394</v>
      </c>
      <c r="F283" s="3711">
        <v>90.748640455346802</v>
      </c>
      <c r="G283" s="1560">
        <v>89.974431895249396</v>
      </c>
      <c r="H283" s="1561">
        <v>1</v>
      </c>
      <c r="I283" s="267"/>
      <c r="J283" s="291"/>
      <c r="K283" s="266"/>
      <c r="L283" s="266"/>
      <c r="M283" s="749"/>
      <c r="N283" s="742"/>
      <c r="O283" s="268">
        <v>153.69999999999999</v>
      </c>
      <c r="P283" s="3513">
        <v>153.5</v>
      </c>
      <c r="Q283" s="268">
        <v>125.3</v>
      </c>
      <c r="R283" s="3770"/>
      <c r="S283" s="1865"/>
    </row>
    <row r="284" spans="1:19">
      <c r="A284" s="1548">
        <v>1995.11</v>
      </c>
      <c r="B284" s="1559">
        <v>86.846689642546195</v>
      </c>
      <c r="C284" s="3711">
        <v>100.871834270496</v>
      </c>
      <c r="D284" s="1560">
        <v>69.121324302818095</v>
      </c>
      <c r="E284" s="1561">
        <v>91.2229862590805</v>
      </c>
      <c r="F284" s="3711">
        <v>91.170114830424893</v>
      </c>
      <c r="G284" s="1560">
        <v>91.974243509505499</v>
      </c>
      <c r="H284" s="1561">
        <v>1</v>
      </c>
      <c r="I284" s="267"/>
      <c r="J284" s="291"/>
      <c r="K284" s="266"/>
      <c r="L284" s="266"/>
      <c r="M284" s="749"/>
      <c r="N284" s="742"/>
      <c r="O284" s="268">
        <v>153.6</v>
      </c>
      <c r="P284" s="3513">
        <v>153.69999999999999</v>
      </c>
      <c r="Q284" s="268">
        <v>125.4</v>
      </c>
      <c r="R284" s="3770"/>
      <c r="S284" s="1865"/>
    </row>
    <row r="285" spans="1:19">
      <c r="A285" s="1548">
        <v>1995.12</v>
      </c>
      <c r="B285" s="1559">
        <v>87.598845679144006</v>
      </c>
      <c r="C285" s="3711">
        <v>101.800675974787</v>
      </c>
      <c r="D285" s="1560">
        <v>69.6537282674213</v>
      </c>
      <c r="E285" s="1561">
        <v>91.691544941164693</v>
      </c>
      <c r="F285" s="3711">
        <v>92.001571757466706</v>
      </c>
      <c r="G285" s="1560">
        <v>91.816357568814098</v>
      </c>
      <c r="H285" s="1561">
        <v>1</v>
      </c>
      <c r="I285" s="267"/>
      <c r="J285" s="291"/>
      <c r="K285" s="266"/>
      <c r="L285" s="266"/>
      <c r="M285" s="749"/>
      <c r="N285" s="742"/>
      <c r="O285" s="268">
        <v>153.5</v>
      </c>
      <c r="P285" s="3513">
        <v>153.9</v>
      </c>
      <c r="Q285" s="268">
        <v>125.7</v>
      </c>
      <c r="R285" s="3770"/>
      <c r="S285" s="1865"/>
    </row>
    <row r="286" spans="1:19">
      <c r="A286" s="1548">
        <v>1996.01</v>
      </c>
      <c r="B286" s="1559">
        <v>88.318502823765598</v>
      </c>
      <c r="C286" s="3711">
        <v>103.0577657478</v>
      </c>
      <c r="D286" s="1560">
        <v>69.768278185133298</v>
      </c>
      <c r="E286" s="1561">
        <v>92.462178382224394</v>
      </c>
      <c r="F286" s="3711">
        <v>93.551402701399198</v>
      </c>
      <c r="G286" s="1560">
        <v>91.323723821621101</v>
      </c>
      <c r="H286" s="1561">
        <v>1</v>
      </c>
      <c r="I286" s="267"/>
      <c r="J286" s="291"/>
      <c r="K286" s="266"/>
      <c r="L286" s="266"/>
      <c r="M286" s="749"/>
      <c r="N286" s="742"/>
      <c r="O286" s="268">
        <v>154.4</v>
      </c>
      <c r="P286" s="3513">
        <v>154.69999999999999</v>
      </c>
      <c r="Q286" s="268">
        <v>126.3</v>
      </c>
      <c r="R286" s="3770"/>
      <c r="S286" s="1865"/>
    </row>
    <row r="287" spans="1:19">
      <c r="A287" s="1548">
        <v>1996.02</v>
      </c>
      <c r="B287" s="1559">
        <v>88.519950651594201</v>
      </c>
      <c r="C287" s="3711">
        <v>103.378920075083</v>
      </c>
      <c r="D287" s="1560">
        <v>69.829395080136294</v>
      </c>
      <c r="E287" s="1561">
        <v>92.401928703311995</v>
      </c>
      <c r="F287" s="3711">
        <v>93.821779794040395</v>
      </c>
      <c r="G287" s="1560">
        <v>90.733210115737705</v>
      </c>
      <c r="H287" s="1561">
        <v>1</v>
      </c>
      <c r="I287" s="267"/>
      <c r="J287" s="291"/>
      <c r="K287" s="266"/>
      <c r="L287" s="266"/>
      <c r="M287" s="749"/>
      <c r="N287" s="742"/>
      <c r="O287" s="268">
        <v>154.9</v>
      </c>
      <c r="P287" s="3513">
        <v>155</v>
      </c>
      <c r="Q287" s="268">
        <v>126.2</v>
      </c>
      <c r="R287" s="3770"/>
      <c r="S287" s="1865"/>
    </row>
    <row r="288" spans="1:19">
      <c r="A288" s="1548">
        <v>1996.03</v>
      </c>
      <c r="B288" s="1559">
        <v>88.516747890584696</v>
      </c>
      <c r="C288" s="3711">
        <v>103.299783922752</v>
      </c>
      <c r="D288" s="1560">
        <v>69.910332885637402</v>
      </c>
      <c r="E288" s="1561">
        <v>92.213380976124995</v>
      </c>
      <c r="F288" s="3711">
        <v>93.794045357410994</v>
      </c>
      <c r="G288" s="1560">
        <v>90.287532541687995</v>
      </c>
      <c r="H288" s="1561">
        <v>1</v>
      </c>
      <c r="I288" s="267"/>
      <c r="J288" s="291"/>
      <c r="K288" s="266"/>
      <c r="L288" s="266"/>
      <c r="M288" s="749"/>
      <c r="N288" s="742"/>
      <c r="O288" s="268">
        <v>155.69999999999999</v>
      </c>
      <c r="P288" s="3513">
        <v>155.5</v>
      </c>
      <c r="Q288" s="268">
        <v>126.4</v>
      </c>
      <c r="R288" s="3770"/>
      <c r="S288" s="1865"/>
    </row>
    <row r="289" spans="1:19">
      <c r="A289" s="1548">
        <v>1996.04</v>
      </c>
      <c r="B289" s="1559">
        <v>88.785959449455007</v>
      </c>
      <c r="C289" s="3711">
        <v>103.879272773392</v>
      </c>
      <c r="D289" s="1560">
        <v>69.828209992689096</v>
      </c>
      <c r="E289" s="1561">
        <v>92.3631157920763</v>
      </c>
      <c r="F289" s="3711">
        <v>94.535247947479206</v>
      </c>
      <c r="G289" s="1560">
        <v>89.506813701944395</v>
      </c>
      <c r="H289" s="1561">
        <v>0.99995000000000001</v>
      </c>
      <c r="I289" s="267"/>
      <c r="J289" s="291"/>
      <c r="K289" s="266"/>
      <c r="L289" s="266"/>
      <c r="M289" s="749"/>
      <c r="N289" s="742"/>
      <c r="O289" s="268">
        <v>156.30000000000001</v>
      </c>
      <c r="P289" s="3513">
        <v>156.1</v>
      </c>
      <c r="Q289" s="268">
        <v>127.4</v>
      </c>
      <c r="R289" s="3770"/>
      <c r="S289" s="1865"/>
    </row>
    <row r="290" spans="1:19">
      <c r="A290" s="1548">
        <v>1996.05</v>
      </c>
      <c r="B290" s="1559">
        <v>89.287685660366606</v>
      </c>
      <c r="C290" s="3711">
        <v>104.41125036819</v>
      </c>
      <c r="D290" s="1560">
        <v>70.283848688506396</v>
      </c>
      <c r="E290" s="1561">
        <v>92.606128747297802</v>
      </c>
      <c r="F290" s="3711">
        <v>95.066429115373495</v>
      </c>
      <c r="G290" s="1560">
        <v>89.302943082363001</v>
      </c>
      <c r="H290" s="1561">
        <v>0.99950000000000006</v>
      </c>
      <c r="I290" s="267"/>
      <c r="J290" s="291"/>
      <c r="K290" s="266"/>
      <c r="L290" s="266"/>
      <c r="M290" s="749"/>
      <c r="N290" s="742"/>
      <c r="O290" s="268">
        <v>156.6</v>
      </c>
      <c r="P290" s="3513">
        <v>156.4</v>
      </c>
      <c r="Q290" s="268">
        <v>128.1</v>
      </c>
      <c r="R290" s="3770"/>
      <c r="S290" s="1865"/>
    </row>
    <row r="291" spans="1:19">
      <c r="A291" s="1548">
        <v>1996.06</v>
      </c>
      <c r="B291" s="1559">
        <v>89.689566518696793</v>
      </c>
      <c r="C291" s="3711">
        <v>104.628841403401</v>
      </c>
      <c r="D291" s="1560">
        <v>70.881129870596496</v>
      </c>
      <c r="E291" s="1561">
        <v>92.885438886847297</v>
      </c>
      <c r="F291" s="3711">
        <v>95.439651021251294</v>
      </c>
      <c r="G291" s="1560">
        <v>89.438439724092007</v>
      </c>
      <c r="H291" s="1561">
        <v>0.99950000000000006</v>
      </c>
      <c r="I291" s="267"/>
      <c r="J291" s="291"/>
      <c r="K291" s="266"/>
      <c r="L291" s="266"/>
      <c r="M291" s="749"/>
      <c r="N291" s="742"/>
      <c r="O291" s="268">
        <v>156.69999999999999</v>
      </c>
      <c r="P291" s="3513">
        <v>156.69999999999999</v>
      </c>
      <c r="Q291" s="268">
        <v>128</v>
      </c>
      <c r="R291" s="3770"/>
      <c r="S291" s="1865"/>
    </row>
    <row r="292" spans="1:19">
      <c r="A292" s="1548">
        <v>1996.07</v>
      </c>
      <c r="B292" s="1559">
        <v>89.581916826656098</v>
      </c>
      <c r="C292" s="3711">
        <v>104.20906036222</v>
      </c>
      <c r="D292" s="1560">
        <v>71.126444744797993</v>
      </c>
      <c r="E292" s="1561">
        <v>92.6260962162997</v>
      </c>
      <c r="F292" s="3711">
        <v>95.125595761825096</v>
      </c>
      <c r="G292" s="1560">
        <v>89.262316390403797</v>
      </c>
      <c r="H292" s="1561">
        <v>0.99950000000000006</v>
      </c>
      <c r="I292" s="267"/>
      <c r="J292" s="291"/>
      <c r="K292" s="266"/>
      <c r="L292" s="266"/>
      <c r="M292" s="749"/>
      <c r="N292" s="742"/>
      <c r="O292" s="268">
        <v>157</v>
      </c>
      <c r="P292" s="3513">
        <v>157</v>
      </c>
      <c r="Q292" s="268">
        <v>128</v>
      </c>
      <c r="R292" s="3770"/>
      <c r="S292" s="1865"/>
    </row>
    <row r="293" spans="1:19">
      <c r="A293" s="1548">
        <v>1996.08</v>
      </c>
      <c r="B293" s="1559">
        <v>89.176229578621104</v>
      </c>
      <c r="C293" s="3711">
        <v>103.62537781134699</v>
      </c>
      <c r="D293" s="1560">
        <v>70.929739250175999</v>
      </c>
      <c r="E293" s="1561">
        <v>91.9698912874846</v>
      </c>
      <c r="F293" s="3711">
        <v>94.727602101533805</v>
      </c>
      <c r="G293" s="1560">
        <v>88.204533799700997</v>
      </c>
      <c r="H293" s="1561">
        <v>0.99950000000000006</v>
      </c>
      <c r="I293" s="267"/>
      <c r="J293" s="291"/>
      <c r="K293" s="266"/>
      <c r="L293" s="266"/>
      <c r="M293" s="749"/>
      <c r="N293" s="742"/>
      <c r="O293" s="268">
        <v>157.30000000000001</v>
      </c>
      <c r="P293" s="3513">
        <v>157.19999999999999</v>
      </c>
      <c r="Q293" s="268">
        <v>128.30000000000001</v>
      </c>
      <c r="R293" s="3770"/>
      <c r="S293" s="1865"/>
    </row>
    <row r="294" spans="1:19">
      <c r="A294" s="1548">
        <v>1996.09</v>
      </c>
      <c r="B294" s="1559">
        <v>89.633067020830396</v>
      </c>
      <c r="C294" s="3711">
        <v>104.340757949566</v>
      </c>
      <c r="D294" s="1560">
        <v>71.085481666373695</v>
      </c>
      <c r="E294" s="1561">
        <v>92.3959760839127</v>
      </c>
      <c r="F294" s="3711">
        <v>95.590735821442493</v>
      </c>
      <c r="G294" s="1560">
        <v>87.965386550923</v>
      </c>
      <c r="H294" s="1561">
        <v>0.99950000000000006</v>
      </c>
      <c r="I294" s="267"/>
      <c r="J294" s="291"/>
      <c r="K294" s="266"/>
      <c r="L294" s="266"/>
      <c r="M294" s="749"/>
      <c r="N294" s="742"/>
      <c r="O294" s="268">
        <v>157.80000000000001</v>
      </c>
      <c r="P294" s="3513">
        <v>157.69999999999999</v>
      </c>
      <c r="Q294" s="268">
        <v>128.19999999999999</v>
      </c>
      <c r="R294" s="3770"/>
      <c r="S294" s="1865"/>
    </row>
    <row r="295" spans="1:19">
      <c r="A295" s="1548">
        <v>1996.1</v>
      </c>
      <c r="B295" s="1559">
        <v>90.039267032670494</v>
      </c>
      <c r="C295" s="3711">
        <v>104.631869381557</v>
      </c>
      <c r="D295" s="1560">
        <v>71.613321616798601</v>
      </c>
      <c r="E295" s="1561">
        <v>92.741786725528499</v>
      </c>
      <c r="F295" s="3711">
        <v>95.960128504406995</v>
      </c>
      <c r="G295" s="1560">
        <v>88.276972678539295</v>
      </c>
      <c r="H295" s="1561">
        <v>0.99950000000000006</v>
      </c>
      <c r="I295" s="267"/>
      <c r="J295" s="291"/>
      <c r="K295" s="266"/>
      <c r="L295" s="266"/>
      <c r="M295" s="749"/>
      <c r="N295" s="742"/>
      <c r="O295" s="268">
        <v>158.30000000000001</v>
      </c>
      <c r="P295" s="3513">
        <v>158.19999999999999</v>
      </c>
      <c r="Q295" s="268">
        <v>128</v>
      </c>
      <c r="R295" s="3770"/>
      <c r="S295" s="1865"/>
    </row>
    <row r="296" spans="1:19">
      <c r="A296" s="1548">
        <v>1996.11</v>
      </c>
      <c r="B296" s="1559">
        <v>89.654978312662394</v>
      </c>
      <c r="C296" s="3711">
        <v>103.522838711742</v>
      </c>
      <c r="D296" s="1560">
        <v>72.0609909996098</v>
      </c>
      <c r="E296" s="1561">
        <v>92.2378730835418</v>
      </c>
      <c r="F296" s="3711">
        <v>95.042672727561495</v>
      </c>
      <c r="G296" s="1560">
        <v>88.401596944149702</v>
      </c>
      <c r="H296" s="1561">
        <v>0.99950000000000006</v>
      </c>
      <c r="I296" s="267"/>
      <c r="J296" s="291"/>
      <c r="K296" s="266"/>
      <c r="L296" s="266"/>
      <c r="M296" s="749"/>
      <c r="N296" s="742"/>
      <c r="O296" s="268">
        <v>158.6</v>
      </c>
      <c r="P296" s="3513">
        <v>158.69999999999999</v>
      </c>
      <c r="Q296" s="268">
        <v>128.19999999999999</v>
      </c>
      <c r="R296" s="3770"/>
      <c r="S296" s="1865"/>
    </row>
    <row r="297" spans="1:19">
      <c r="A297" s="1548">
        <v>1996.12</v>
      </c>
      <c r="B297" s="1559">
        <v>90.652040581736898</v>
      </c>
      <c r="C297" s="3711">
        <v>105.277892020995</v>
      </c>
      <c r="D297" s="1560">
        <v>72.174189243994604</v>
      </c>
      <c r="E297" s="1561">
        <v>93.0597961998226</v>
      </c>
      <c r="F297" s="3711">
        <v>96.695206722061499</v>
      </c>
      <c r="G297" s="1560">
        <v>87.966998499656498</v>
      </c>
      <c r="H297" s="1561">
        <v>0.99950000000000006</v>
      </c>
      <c r="I297" s="267"/>
      <c r="J297" s="291"/>
      <c r="K297" s="266"/>
      <c r="L297" s="266"/>
      <c r="M297" s="749"/>
      <c r="N297" s="742"/>
      <c r="O297" s="268">
        <v>158.6</v>
      </c>
      <c r="P297" s="3513">
        <v>159.1</v>
      </c>
      <c r="Q297" s="268">
        <v>129.1</v>
      </c>
      <c r="R297" s="3770"/>
      <c r="S297" s="1865"/>
    </row>
    <row r="298" spans="1:19">
      <c r="A298" s="1548">
        <v>1997.01</v>
      </c>
      <c r="B298" s="1559">
        <v>91.526855231007005</v>
      </c>
      <c r="C298" s="3711">
        <v>106.90023588255499</v>
      </c>
      <c r="D298" s="1560">
        <v>72.221615641679406</v>
      </c>
      <c r="E298" s="1561">
        <v>93.8578290105946</v>
      </c>
      <c r="F298" s="3711">
        <v>98.2609728786597</v>
      </c>
      <c r="G298" s="1560">
        <v>87.671792799417403</v>
      </c>
      <c r="H298" s="1561">
        <v>0.99950000000000006</v>
      </c>
      <c r="I298" s="267"/>
      <c r="J298" s="291"/>
      <c r="K298" s="266"/>
      <c r="L298" s="266"/>
      <c r="M298" s="749"/>
      <c r="N298" s="742"/>
      <c r="O298" s="268">
        <v>159.1</v>
      </c>
      <c r="P298" s="3513">
        <v>159.4</v>
      </c>
      <c r="Q298" s="268">
        <v>129.69999999999999</v>
      </c>
      <c r="R298" s="3770"/>
      <c r="S298" s="1865"/>
    </row>
    <row r="299" spans="1:19">
      <c r="A299" s="1548">
        <v>1997.02</v>
      </c>
      <c r="B299" s="1559">
        <v>93.251154244616103</v>
      </c>
      <c r="C299" s="3711">
        <v>109.98252815361801</v>
      </c>
      <c r="D299" s="1560">
        <v>72.453308624984203</v>
      </c>
      <c r="E299" s="1561">
        <v>95.465880002693098</v>
      </c>
      <c r="F299" s="3711">
        <v>101.138086202121</v>
      </c>
      <c r="G299" s="1560">
        <v>87.515040641486493</v>
      </c>
      <c r="H299" s="1561">
        <v>0.99950000000000006</v>
      </c>
      <c r="I299" s="267"/>
      <c r="J299" s="291"/>
      <c r="K299" s="266"/>
      <c r="L299" s="266"/>
      <c r="M299" s="749"/>
      <c r="N299" s="742"/>
      <c r="O299" s="268">
        <v>159.6</v>
      </c>
      <c r="P299" s="3513">
        <v>159.69999999999999</v>
      </c>
      <c r="Q299" s="268">
        <v>128.5</v>
      </c>
      <c r="R299" s="3770"/>
      <c r="S299" s="1865"/>
    </row>
    <row r="300" spans="1:19">
      <c r="A300" s="1548">
        <v>1997.03</v>
      </c>
      <c r="B300" s="1559">
        <v>94.018684728570605</v>
      </c>
      <c r="C300" s="3711">
        <v>110.907864149391</v>
      </c>
      <c r="D300" s="1560">
        <v>73.0281620174122</v>
      </c>
      <c r="E300" s="1561">
        <v>96.191617920574203</v>
      </c>
      <c r="F300" s="3711">
        <v>102.066004039584</v>
      </c>
      <c r="G300" s="1560">
        <v>87.963086976468702</v>
      </c>
      <c r="H300" s="1561">
        <v>0.99950000000000006</v>
      </c>
      <c r="I300" s="267"/>
      <c r="J300" s="291"/>
      <c r="K300" s="266"/>
      <c r="L300" s="266"/>
      <c r="M300" s="749"/>
      <c r="N300" s="742"/>
      <c r="O300" s="268">
        <v>160</v>
      </c>
      <c r="P300" s="3513">
        <v>159.80000000000001</v>
      </c>
      <c r="Q300" s="268">
        <v>127.3</v>
      </c>
      <c r="R300" s="3770"/>
      <c r="S300" s="1865"/>
    </row>
    <row r="301" spans="1:19">
      <c r="A301" s="1548">
        <v>1997.04</v>
      </c>
      <c r="B301" s="1559">
        <v>94.758666764309893</v>
      </c>
      <c r="C301" s="3711">
        <v>112.22698268892501</v>
      </c>
      <c r="D301" s="1560">
        <v>73.141498051296793</v>
      </c>
      <c r="E301" s="1561">
        <v>96.616549311342894</v>
      </c>
      <c r="F301" s="3711">
        <v>102.967494241624</v>
      </c>
      <c r="G301" s="1560">
        <v>87.740916707775497</v>
      </c>
      <c r="H301" s="1561">
        <v>0.99950000000000006</v>
      </c>
      <c r="I301" s="267"/>
      <c r="J301" s="291"/>
      <c r="K301" s="266"/>
      <c r="L301" s="266"/>
      <c r="M301" s="749"/>
      <c r="N301" s="742"/>
      <c r="O301" s="268">
        <v>160.19999999999999</v>
      </c>
      <c r="P301" s="3513">
        <v>159.9</v>
      </c>
      <c r="Q301" s="268">
        <v>127</v>
      </c>
      <c r="R301" s="3770"/>
      <c r="S301" s="1865"/>
    </row>
    <row r="302" spans="1:19">
      <c r="A302" s="1548">
        <v>1997.05</v>
      </c>
      <c r="B302" s="1559">
        <v>93.809077627781406</v>
      </c>
      <c r="C302" s="3711">
        <v>110.34632781716</v>
      </c>
      <c r="D302" s="1560">
        <v>73.196421602707304</v>
      </c>
      <c r="E302" s="1561">
        <v>95.458497337026301</v>
      </c>
      <c r="F302" s="3711">
        <v>101.251430640775</v>
      </c>
      <c r="G302" s="1560">
        <v>87.342703152939194</v>
      </c>
      <c r="H302" s="1561">
        <v>0.99950000000000006</v>
      </c>
      <c r="I302" s="267"/>
      <c r="J302" s="291"/>
      <c r="K302" s="266"/>
      <c r="L302" s="266"/>
      <c r="M302" s="749"/>
      <c r="N302" s="742"/>
      <c r="O302" s="268">
        <v>160.1</v>
      </c>
      <c r="P302" s="3513">
        <v>159.9</v>
      </c>
      <c r="Q302" s="268">
        <v>127.4</v>
      </c>
      <c r="R302" s="3770"/>
      <c r="S302" s="1865"/>
    </row>
    <row r="303" spans="1:19">
      <c r="A303" s="1548">
        <v>1997.06</v>
      </c>
      <c r="B303" s="1559">
        <v>93.5545880848575</v>
      </c>
      <c r="C303" s="3711">
        <v>109.821203274604</v>
      </c>
      <c r="D303" s="1560">
        <v>73.232936870665796</v>
      </c>
      <c r="E303" s="1561">
        <v>94.990359847553805</v>
      </c>
      <c r="F303" s="3711">
        <v>100.735969732529</v>
      </c>
      <c r="G303" s="1560">
        <v>86.940178529762605</v>
      </c>
      <c r="H303" s="1561">
        <v>0.99950000000000006</v>
      </c>
      <c r="I303" s="267"/>
      <c r="J303" s="291"/>
      <c r="K303" s="266"/>
      <c r="L303" s="266"/>
      <c r="M303" s="749"/>
      <c r="N303" s="742"/>
      <c r="O303" s="268">
        <v>160.30000000000001</v>
      </c>
      <c r="P303" s="3513">
        <v>160.19999999999999</v>
      </c>
      <c r="Q303" s="268">
        <v>127.2</v>
      </c>
      <c r="R303" s="3770"/>
      <c r="S303" s="1865"/>
    </row>
    <row r="304" spans="1:19">
      <c r="A304" s="1548">
        <v>1997.07</v>
      </c>
      <c r="B304" s="1559">
        <v>94.476907924154602</v>
      </c>
      <c r="C304" s="3711">
        <v>110.839310625218</v>
      </c>
      <c r="D304" s="1560">
        <v>74.024286548192194</v>
      </c>
      <c r="E304" s="1561">
        <v>95.764016822729701</v>
      </c>
      <c r="F304" s="3711">
        <v>101.71981577005199</v>
      </c>
      <c r="G304" s="1560">
        <v>87.425696516835302</v>
      </c>
      <c r="H304" s="1561">
        <v>0.99950000000000006</v>
      </c>
      <c r="I304" s="267"/>
      <c r="J304" s="291"/>
      <c r="K304" s="266"/>
      <c r="L304" s="266"/>
      <c r="M304" s="749"/>
      <c r="N304" s="742"/>
      <c r="O304" s="268">
        <v>160.5</v>
      </c>
      <c r="P304" s="3513">
        <v>160.4</v>
      </c>
      <c r="Q304" s="268">
        <v>126.9</v>
      </c>
      <c r="R304" s="3770"/>
      <c r="S304" s="1865"/>
    </row>
    <row r="305" spans="1:19">
      <c r="A305" s="1548">
        <v>1997.08</v>
      </c>
      <c r="B305" s="1559">
        <v>96.172763906679194</v>
      </c>
      <c r="C305" s="3711">
        <v>113.202617851524</v>
      </c>
      <c r="D305" s="1560">
        <v>74.9600752351502</v>
      </c>
      <c r="E305" s="1561">
        <v>97.332344231827093</v>
      </c>
      <c r="F305" s="3711">
        <v>103.943826679019</v>
      </c>
      <c r="G305" s="1560">
        <v>88.103994550134203</v>
      </c>
      <c r="H305" s="1561">
        <v>0.99950000000000006</v>
      </c>
      <c r="I305" s="267"/>
      <c r="J305" s="291"/>
      <c r="K305" s="266"/>
      <c r="L305" s="266"/>
      <c r="M305" s="749"/>
      <c r="N305" s="742"/>
      <c r="O305" s="268">
        <v>160.80000000000001</v>
      </c>
      <c r="P305" s="3513">
        <v>160.80000000000001</v>
      </c>
      <c r="Q305" s="268">
        <v>127.2</v>
      </c>
      <c r="R305" s="3770"/>
      <c r="S305" s="1865"/>
    </row>
    <row r="306" spans="1:19">
      <c r="A306" s="1548">
        <v>1997.09</v>
      </c>
      <c r="B306" s="1559">
        <v>96.538519590796696</v>
      </c>
      <c r="C306" s="3711">
        <v>112.769990963295</v>
      </c>
      <c r="D306" s="1560">
        <v>76.157554318461806</v>
      </c>
      <c r="E306" s="1561">
        <v>97.626648151400104</v>
      </c>
      <c r="F306" s="3711">
        <v>103.67829685888999</v>
      </c>
      <c r="G306" s="1560">
        <v>89.153328754776894</v>
      </c>
      <c r="H306" s="1561">
        <v>0.99950000000000006</v>
      </c>
      <c r="I306" s="267"/>
      <c r="J306" s="291"/>
      <c r="K306" s="266"/>
      <c r="L306" s="266"/>
      <c r="M306" s="749"/>
      <c r="N306" s="742"/>
      <c r="O306" s="268">
        <v>161.19999999999999</v>
      </c>
      <c r="P306" s="3513">
        <v>161.19999999999999</v>
      </c>
      <c r="Q306" s="268">
        <v>127.5</v>
      </c>
      <c r="R306" s="3770"/>
      <c r="S306" s="1865"/>
    </row>
    <row r="307" spans="1:19">
      <c r="A307" s="1548">
        <v>1997.1</v>
      </c>
      <c r="B307" s="1559">
        <v>96.956015478244396</v>
      </c>
      <c r="C307" s="3711">
        <v>112.03709748315499</v>
      </c>
      <c r="D307" s="1560">
        <v>77.814031065204503</v>
      </c>
      <c r="E307" s="1561">
        <v>98.051539958627302</v>
      </c>
      <c r="F307" s="3711">
        <v>103.146571649737</v>
      </c>
      <c r="G307" s="1560">
        <v>90.894683113279996</v>
      </c>
      <c r="H307" s="1561">
        <v>0.99950000000000006</v>
      </c>
      <c r="I307" s="267"/>
      <c r="J307" s="291"/>
      <c r="K307" s="266"/>
      <c r="L307" s="266"/>
      <c r="M307" s="749"/>
      <c r="N307" s="742"/>
      <c r="O307" s="268">
        <v>161.6</v>
      </c>
      <c r="P307" s="3513">
        <v>161.5</v>
      </c>
      <c r="Q307" s="268">
        <v>127.8</v>
      </c>
      <c r="R307" s="3770"/>
      <c r="S307" s="1865"/>
    </row>
    <row r="308" spans="1:19">
      <c r="A308" s="1548">
        <v>1997.11</v>
      </c>
      <c r="B308" s="1559">
        <v>98.624466988662206</v>
      </c>
      <c r="C308" s="3711">
        <v>112.785708775109</v>
      </c>
      <c r="D308" s="1560">
        <v>80.460296377727801</v>
      </c>
      <c r="E308" s="1561">
        <v>99.605381289787402</v>
      </c>
      <c r="F308" s="3711">
        <v>103.92126264220499</v>
      </c>
      <c r="G308" s="1560">
        <v>93.546412730167006</v>
      </c>
      <c r="H308" s="1561">
        <v>0.99950000000000006</v>
      </c>
      <c r="I308" s="267"/>
      <c r="J308" s="291"/>
      <c r="K308" s="266"/>
      <c r="L308" s="266"/>
      <c r="M308" s="749"/>
      <c r="N308" s="742"/>
      <c r="O308" s="268">
        <v>161.5</v>
      </c>
      <c r="P308" s="3513">
        <v>161.69999999999999</v>
      </c>
      <c r="Q308" s="268">
        <v>127.9</v>
      </c>
      <c r="R308" s="3770"/>
      <c r="S308" s="1865"/>
    </row>
    <row r="309" spans="1:19">
      <c r="A309" s="1548">
        <v>1997.12</v>
      </c>
      <c r="B309" s="1559">
        <v>102.231024013365</v>
      </c>
      <c r="C309" s="3711">
        <v>115.347665098574</v>
      </c>
      <c r="D309" s="1560">
        <v>85.205342206856301</v>
      </c>
      <c r="E309" s="1561">
        <v>103.03252742822301</v>
      </c>
      <c r="F309" s="3711">
        <v>106.34130993552201</v>
      </c>
      <c r="G309" s="1560">
        <v>98.433467708095606</v>
      </c>
      <c r="H309" s="1561">
        <v>0.99950000000000006</v>
      </c>
      <c r="I309" s="267"/>
      <c r="J309" s="291"/>
      <c r="K309" s="266"/>
      <c r="L309" s="266"/>
      <c r="M309" s="749"/>
      <c r="N309" s="742"/>
      <c r="O309" s="268">
        <v>161.30000000000001</v>
      </c>
      <c r="P309" s="3513">
        <v>161.80000000000001</v>
      </c>
      <c r="Q309" s="268">
        <v>126.8</v>
      </c>
      <c r="R309" s="3770"/>
      <c r="S309" s="1865"/>
    </row>
    <row r="310" spans="1:19">
      <c r="A310" s="1548">
        <v>1998.01</v>
      </c>
      <c r="B310" s="1559">
        <v>105.103793063778</v>
      </c>
      <c r="C310" s="3711">
        <v>116.772620284662</v>
      </c>
      <c r="D310" s="1560">
        <v>89.7892601320154</v>
      </c>
      <c r="E310" s="1561">
        <v>105.602095360273</v>
      </c>
      <c r="F310" s="3711">
        <v>107.659551204355</v>
      </c>
      <c r="G310" s="1560">
        <v>102.911687434854</v>
      </c>
      <c r="H310" s="1561">
        <v>0.99950000000000006</v>
      </c>
      <c r="I310" s="267"/>
      <c r="J310" s="291"/>
      <c r="K310" s="266"/>
      <c r="L310" s="266"/>
      <c r="M310" s="749"/>
      <c r="N310" s="742"/>
      <c r="O310" s="268">
        <v>161.6</v>
      </c>
      <c r="P310" s="3513">
        <v>162</v>
      </c>
      <c r="Q310" s="268">
        <v>125.4</v>
      </c>
      <c r="R310" s="3770"/>
      <c r="S310" s="1865"/>
    </row>
    <row r="311" spans="1:19">
      <c r="A311" s="1548">
        <v>1998.02</v>
      </c>
      <c r="B311" s="1559">
        <v>104.077605776563</v>
      </c>
      <c r="C311" s="3711">
        <v>115.759873064076</v>
      </c>
      <c r="D311" s="1560">
        <v>88.749541896976794</v>
      </c>
      <c r="E311" s="1561">
        <v>104.000791899682</v>
      </c>
      <c r="F311" s="3711">
        <v>106.58734376506401</v>
      </c>
      <c r="G311" s="1560">
        <v>100.493404759093</v>
      </c>
      <c r="H311" s="1561">
        <v>0.99950000000000006</v>
      </c>
      <c r="I311" s="267"/>
      <c r="J311" s="291"/>
      <c r="K311" s="266"/>
      <c r="L311" s="266"/>
      <c r="M311" s="749"/>
      <c r="N311" s="742"/>
      <c r="O311" s="268">
        <v>161.9</v>
      </c>
      <c r="P311" s="3513">
        <v>162</v>
      </c>
      <c r="Q311" s="268">
        <v>125</v>
      </c>
      <c r="R311" s="3770"/>
      <c r="S311" s="1865"/>
    </row>
    <row r="312" spans="1:19">
      <c r="A312" s="1548">
        <v>1998.03</v>
      </c>
      <c r="B312" s="1559">
        <v>103.850571216925</v>
      </c>
      <c r="C312" s="3711">
        <v>116.056571096307</v>
      </c>
      <c r="D312" s="1560">
        <v>87.884544007109</v>
      </c>
      <c r="E312" s="1561">
        <v>103.476096148655</v>
      </c>
      <c r="F312" s="3711">
        <v>106.821277900718</v>
      </c>
      <c r="G312" s="1560">
        <v>98.824175600130104</v>
      </c>
      <c r="H312" s="1561">
        <v>0.99950000000000006</v>
      </c>
      <c r="I312" s="267"/>
      <c r="J312" s="291"/>
      <c r="K312" s="266"/>
      <c r="L312" s="266"/>
      <c r="M312" s="749"/>
      <c r="N312" s="742"/>
      <c r="O312" s="268">
        <v>162.19999999999999</v>
      </c>
      <c r="P312" s="3513">
        <v>162</v>
      </c>
      <c r="Q312" s="268">
        <v>124.7</v>
      </c>
      <c r="R312" s="3770"/>
      <c r="S312" s="1865"/>
    </row>
    <row r="313" spans="1:19">
      <c r="A313" s="1548">
        <v>1998.04</v>
      </c>
      <c r="B313" s="1559">
        <v>103.760263564448</v>
      </c>
      <c r="C313" s="3711">
        <v>116.601916061179</v>
      </c>
      <c r="D313" s="1560">
        <v>87.020713354875099</v>
      </c>
      <c r="E313" s="1561">
        <v>103.280962487815</v>
      </c>
      <c r="F313" s="3711">
        <v>107.45668717192601</v>
      </c>
      <c r="G313" s="1560">
        <v>97.401996710904498</v>
      </c>
      <c r="H313" s="1561">
        <v>0.99950000000000006</v>
      </c>
      <c r="I313" s="267"/>
      <c r="J313" s="291"/>
      <c r="K313" s="266"/>
      <c r="L313" s="266"/>
      <c r="M313" s="749"/>
      <c r="N313" s="742"/>
      <c r="O313" s="268">
        <v>162.5</v>
      </c>
      <c r="P313" s="3513">
        <v>162.19999999999999</v>
      </c>
      <c r="Q313" s="268">
        <v>124.9</v>
      </c>
      <c r="R313" s="3770"/>
      <c r="S313" s="1865"/>
    </row>
    <row r="314" spans="1:19">
      <c r="A314" s="1548">
        <v>1998.05</v>
      </c>
      <c r="B314" s="1559">
        <v>104.53755340689899</v>
      </c>
      <c r="C314" s="3711">
        <v>117.11850677109</v>
      </c>
      <c r="D314" s="1560">
        <v>88.104202582154798</v>
      </c>
      <c r="E314" s="1561">
        <v>104.00087066661099</v>
      </c>
      <c r="F314" s="3711">
        <v>108.06753487837901</v>
      </c>
      <c r="G314" s="1560">
        <v>98.283227113832794</v>
      </c>
      <c r="H314" s="1561">
        <v>0.99950000000000006</v>
      </c>
      <c r="I314" s="267"/>
      <c r="J314" s="291"/>
      <c r="K314" s="266"/>
      <c r="L314" s="266"/>
      <c r="M314" s="749"/>
      <c r="N314" s="742"/>
      <c r="O314" s="268">
        <v>162.80000000000001</v>
      </c>
      <c r="P314" s="3513">
        <v>162.6</v>
      </c>
      <c r="Q314" s="268">
        <v>125.1</v>
      </c>
      <c r="R314" s="3770"/>
      <c r="S314" s="1865"/>
    </row>
    <row r="315" spans="1:19">
      <c r="A315" s="1548">
        <v>1998.06</v>
      </c>
      <c r="B315" s="1559">
        <v>106.731477066403</v>
      </c>
      <c r="C315" s="3711">
        <v>119.044553183896</v>
      </c>
      <c r="D315" s="1560">
        <v>90.602098882076106</v>
      </c>
      <c r="E315" s="1561">
        <v>105.96155837970799</v>
      </c>
      <c r="F315" s="3711">
        <v>109.932824270681</v>
      </c>
      <c r="G315" s="1560">
        <v>100.388993849304</v>
      </c>
      <c r="H315" s="1561">
        <v>0.99950000000000006</v>
      </c>
      <c r="I315" s="267"/>
      <c r="J315" s="291"/>
      <c r="K315" s="266"/>
      <c r="L315" s="266"/>
      <c r="M315" s="749"/>
      <c r="N315" s="742"/>
      <c r="O315" s="268">
        <v>163</v>
      </c>
      <c r="P315" s="3513">
        <v>162.80000000000001</v>
      </c>
      <c r="Q315" s="268">
        <v>124.8</v>
      </c>
      <c r="R315" s="3770"/>
      <c r="S315" s="1865"/>
    </row>
    <row r="316" spans="1:19">
      <c r="A316" s="1548">
        <v>1998.07</v>
      </c>
      <c r="B316" s="1559">
        <v>107.072175726784</v>
      </c>
      <c r="C316" s="3711">
        <v>119.83604285696001</v>
      </c>
      <c r="D316" s="1560">
        <v>90.389117254679803</v>
      </c>
      <c r="E316" s="1561">
        <v>106.30352800249401</v>
      </c>
      <c r="F316" s="3711">
        <v>110.9363833717</v>
      </c>
      <c r="G316" s="1560">
        <v>99.764867614030607</v>
      </c>
      <c r="H316" s="1561">
        <v>0.99950000000000006</v>
      </c>
      <c r="I316" s="267"/>
      <c r="J316" s="291"/>
      <c r="K316" s="266"/>
      <c r="L316" s="266"/>
      <c r="M316" s="749"/>
      <c r="N316" s="742"/>
      <c r="O316" s="268">
        <v>163.19999999999999</v>
      </c>
      <c r="P316" s="3513">
        <v>163.19999999999999</v>
      </c>
      <c r="Q316" s="268">
        <v>124.9</v>
      </c>
      <c r="R316" s="3770"/>
      <c r="S316" s="1865"/>
    </row>
    <row r="317" spans="1:19">
      <c r="A317" s="1548">
        <v>1998.08</v>
      </c>
      <c r="B317" s="1559">
        <v>108.995154514681</v>
      </c>
      <c r="C317" s="3711">
        <v>121.744681194089</v>
      </c>
      <c r="D317" s="1560">
        <v>92.313381187400793</v>
      </c>
      <c r="E317" s="1561">
        <v>108.126060021779</v>
      </c>
      <c r="F317" s="3711">
        <v>112.829796749062</v>
      </c>
      <c r="G317" s="1560">
        <v>101.48769343111999</v>
      </c>
      <c r="H317" s="1561">
        <v>0.99950000000000006</v>
      </c>
      <c r="I317" s="267"/>
      <c r="J317" s="291"/>
      <c r="K317" s="266"/>
      <c r="L317" s="266"/>
      <c r="M317" s="749"/>
      <c r="N317" s="742"/>
      <c r="O317" s="268">
        <v>163.4</v>
      </c>
      <c r="P317" s="3513">
        <v>163.4</v>
      </c>
      <c r="Q317" s="268">
        <v>124.2</v>
      </c>
      <c r="R317" s="3770"/>
      <c r="S317" s="1865"/>
    </row>
    <row r="318" spans="1:19">
      <c r="A318" s="1548">
        <v>1998.09</v>
      </c>
      <c r="B318" s="1559">
        <v>107.88643724606899</v>
      </c>
      <c r="C318" s="3711">
        <v>117.257094570465</v>
      </c>
      <c r="D318" s="1560">
        <v>95.491689817362797</v>
      </c>
      <c r="E318" s="1561">
        <v>106.527596214143</v>
      </c>
      <c r="F318" s="3711">
        <v>108.66044689352</v>
      </c>
      <c r="G318" s="1560">
        <v>103.725244402806</v>
      </c>
      <c r="H318" s="1561">
        <v>0.99950000000000006</v>
      </c>
      <c r="I318" s="267"/>
      <c r="J318" s="291"/>
      <c r="K318" s="266"/>
      <c r="L318" s="266"/>
      <c r="M318" s="749"/>
      <c r="N318" s="742"/>
      <c r="O318" s="268">
        <v>163.6</v>
      </c>
      <c r="P318" s="3513">
        <v>163.5</v>
      </c>
      <c r="Q318" s="268">
        <v>123.8</v>
      </c>
      <c r="R318" s="3770"/>
      <c r="S318" s="1865"/>
    </row>
    <row r="319" spans="1:19">
      <c r="A319" s="1548">
        <v>1998.1</v>
      </c>
      <c r="B319" s="1559">
        <v>105.22642317813499</v>
      </c>
      <c r="C319" s="3711">
        <v>113.616777938288</v>
      </c>
      <c r="D319" s="1560">
        <v>94.127446355035403</v>
      </c>
      <c r="E319" s="1561">
        <v>103.76984029098899</v>
      </c>
      <c r="F319" s="3711">
        <v>105.321742857877</v>
      </c>
      <c r="G319" s="1560">
        <v>101.854624228555</v>
      </c>
      <c r="H319" s="1561">
        <v>0.99950000000000006</v>
      </c>
      <c r="I319" s="267"/>
      <c r="J319" s="291"/>
      <c r="K319" s="266"/>
      <c r="L319" s="266"/>
      <c r="M319" s="749"/>
      <c r="N319" s="742"/>
      <c r="O319" s="268">
        <v>164</v>
      </c>
      <c r="P319" s="3513">
        <v>163.9</v>
      </c>
      <c r="Q319" s="268">
        <v>124</v>
      </c>
      <c r="R319" s="3770"/>
      <c r="S319" s="1865"/>
    </row>
    <row r="320" spans="1:19">
      <c r="A320" s="1548">
        <v>1998.11</v>
      </c>
      <c r="B320" s="1559">
        <v>105.330539468282</v>
      </c>
      <c r="C320" s="3711">
        <v>114.729032371386</v>
      </c>
      <c r="D320" s="1560">
        <v>92.900910868585797</v>
      </c>
      <c r="E320" s="1561">
        <v>103.534527631993</v>
      </c>
      <c r="F320" s="3711">
        <v>106.219311809077</v>
      </c>
      <c r="G320" s="1560">
        <v>99.876103985073897</v>
      </c>
      <c r="H320" s="1561">
        <v>1</v>
      </c>
      <c r="I320" s="267"/>
      <c r="J320" s="291"/>
      <c r="K320" s="266"/>
      <c r="L320" s="266"/>
      <c r="M320" s="749"/>
      <c r="N320" s="742"/>
      <c r="O320" s="268">
        <v>164</v>
      </c>
      <c r="P320" s="3513">
        <v>164.1</v>
      </c>
      <c r="Q320" s="268">
        <v>123.6</v>
      </c>
      <c r="R320" s="3770"/>
      <c r="S320" s="1865"/>
    </row>
    <row r="321" spans="1:19">
      <c r="A321" s="1548">
        <v>1998.12</v>
      </c>
      <c r="B321" s="1559">
        <v>104.60011950212601</v>
      </c>
      <c r="C321" s="3711">
        <v>113.788077260973</v>
      </c>
      <c r="D321" s="1560">
        <v>92.444269337848596</v>
      </c>
      <c r="E321" s="1561">
        <v>102.822628792152</v>
      </c>
      <c r="F321" s="3711">
        <v>105.650175214656</v>
      </c>
      <c r="G321" s="1560">
        <v>98.945381301475805</v>
      </c>
      <c r="H321" s="1561">
        <v>1</v>
      </c>
      <c r="I321" s="267"/>
      <c r="J321" s="291"/>
      <c r="K321" s="266"/>
      <c r="L321" s="266"/>
      <c r="M321" s="749"/>
      <c r="N321" s="742"/>
      <c r="O321" s="268">
        <v>163.9</v>
      </c>
      <c r="P321" s="3513">
        <v>164.4</v>
      </c>
      <c r="Q321" s="268">
        <v>122.8</v>
      </c>
      <c r="R321" s="3770"/>
      <c r="S321" s="1865"/>
    </row>
    <row r="322" spans="1:19">
      <c r="A322" s="1548">
        <v>1999.01</v>
      </c>
      <c r="B322" s="1559">
        <v>104.72398061964699</v>
      </c>
      <c r="C322" s="3711">
        <v>112.896023155761</v>
      </c>
      <c r="D322" s="1560">
        <v>93.914095173848494</v>
      </c>
      <c r="E322" s="1561">
        <v>102.857196723323</v>
      </c>
      <c r="F322" s="3711">
        <v>104.951935618506</v>
      </c>
      <c r="G322" s="1560">
        <v>100.09209221490801</v>
      </c>
      <c r="H322" s="1561">
        <v>1</v>
      </c>
      <c r="I322" s="267"/>
      <c r="J322" s="291"/>
      <c r="K322" s="266"/>
      <c r="L322" s="266"/>
      <c r="M322" s="749"/>
      <c r="N322" s="742"/>
      <c r="O322" s="268">
        <v>164.3</v>
      </c>
      <c r="P322" s="3513">
        <v>164.7</v>
      </c>
      <c r="Q322" s="268">
        <v>122.9</v>
      </c>
      <c r="R322" s="3770"/>
      <c r="S322" s="1865"/>
    </row>
    <row r="323" spans="1:19">
      <c r="A323" s="1548">
        <v>1999.02</v>
      </c>
      <c r="B323" s="1559">
        <v>106.04061053205901</v>
      </c>
      <c r="C323" s="3711">
        <v>114.343619745686</v>
      </c>
      <c r="D323" s="1560">
        <v>95.055442145050705</v>
      </c>
      <c r="E323" s="1561">
        <v>103.994395165149</v>
      </c>
      <c r="F323" s="3711">
        <v>106.357631887563</v>
      </c>
      <c r="G323" s="1560">
        <v>100.824164318356</v>
      </c>
      <c r="H323" s="1561">
        <v>1</v>
      </c>
      <c r="I323" s="267"/>
      <c r="J323" s="291"/>
      <c r="K323" s="266"/>
      <c r="L323" s="266"/>
      <c r="M323" s="749"/>
      <c r="N323" s="742"/>
      <c r="O323" s="268">
        <v>164.5</v>
      </c>
      <c r="P323" s="3513">
        <v>164.7</v>
      </c>
      <c r="Q323" s="268">
        <v>122.3</v>
      </c>
      <c r="R323" s="3770"/>
      <c r="S323" s="1865"/>
    </row>
    <row r="324" spans="1:19">
      <c r="A324" s="1548">
        <v>1999.03</v>
      </c>
      <c r="B324" s="1559">
        <v>107.265058049684</v>
      </c>
      <c r="C324" s="3711">
        <v>116.639607829563</v>
      </c>
      <c r="D324" s="1560">
        <v>94.864163082698198</v>
      </c>
      <c r="E324" s="1561">
        <v>105.020709328423</v>
      </c>
      <c r="F324" s="3711">
        <v>108.37879026668</v>
      </c>
      <c r="G324" s="1560">
        <v>100.35767548792499</v>
      </c>
      <c r="H324" s="1561">
        <v>1</v>
      </c>
      <c r="I324" s="267"/>
      <c r="J324" s="291"/>
      <c r="K324" s="266"/>
      <c r="L324" s="266"/>
      <c r="M324" s="749"/>
      <c r="N324" s="742"/>
      <c r="O324" s="268">
        <v>165</v>
      </c>
      <c r="P324" s="3513">
        <v>164.8</v>
      </c>
      <c r="Q324" s="268">
        <v>122.6</v>
      </c>
      <c r="R324" s="3770"/>
      <c r="S324" s="1865"/>
    </row>
    <row r="325" spans="1:19">
      <c r="A325" s="1548">
        <v>1999.04</v>
      </c>
      <c r="B325" s="1559">
        <v>106.613274640184</v>
      </c>
      <c r="C325" s="3711">
        <v>116.658373306523</v>
      </c>
      <c r="D325" s="1560">
        <v>93.344944014286796</v>
      </c>
      <c r="E325" s="1561">
        <v>104.78856771638</v>
      </c>
      <c r="F325" s="3711">
        <v>108.82799537246299</v>
      </c>
      <c r="G325" s="1560">
        <v>99.1202083434397</v>
      </c>
      <c r="H325" s="1561">
        <v>1</v>
      </c>
      <c r="I325" s="267"/>
      <c r="J325" s="291"/>
      <c r="K325" s="266"/>
      <c r="L325" s="266"/>
      <c r="M325" s="749"/>
      <c r="N325" s="742"/>
      <c r="O325" s="268">
        <v>166.2</v>
      </c>
      <c r="P325" s="3513">
        <v>165.9</v>
      </c>
      <c r="Q325" s="268">
        <v>123.6</v>
      </c>
      <c r="R325" s="3770"/>
      <c r="S325" s="1865"/>
    </row>
    <row r="326" spans="1:19">
      <c r="A326" s="1548">
        <v>1999.05</v>
      </c>
      <c r="B326" s="1559">
        <v>106.425569802447</v>
      </c>
      <c r="C326" s="3711">
        <v>116.56560832223001</v>
      </c>
      <c r="D326" s="1560">
        <v>93.035808536565398</v>
      </c>
      <c r="E326" s="1561">
        <v>104.446150173229</v>
      </c>
      <c r="F326" s="3711">
        <v>108.76114962536499</v>
      </c>
      <c r="G326" s="1560">
        <v>98.375470921332195</v>
      </c>
      <c r="H326" s="1561">
        <v>1</v>
      </c>
      <c r="I326" s="267"/>
      <c r="J326" s="291"/>
      <c r="K326" s="266"/>
      <c r="L326" s="266"/>
      <c r="M326" s="749"/>
      <c r="N326" s="742"/>
      <c r="O326" s="268">
        <v>166.2</v>
      </c>
      <c r="P326" s="3513">
        <v>166</v>
      </c>
      <c r="Q326" s="268">
        <v>124.7</v>
      </c>
      <c r="R326" s="3770"/>
      <c r="S326" s="1865"/>
    </row>
    <row r="327" spans="1:19">
      <c r="A327" s="1548">
        <v>1999.06</v>
      </c>
      <c r="B327" s="1559">
        <v>107.057318615339</v>
      </c>
      <c r="C327" s="3711">
        <v>117.578888178875</v>
      </c>
      <c r="D327" s="1560">
        <v>93.178935444877396</v>
      </c>
      <c r="E327" s="1561">
        <v>104.97524439147899</v>
      </c>
      <c r="F327" s="3711">
        <v>109.72799338628801</v>
      </c>
      <c r="G327" s="1560">
        <v>98.272788434052998</v>
      </c>
      <c r="H327" s="1561">
        <v>1</v>
      </c>
      <c r="I327" s="267"/>
      <c r="J327" s="291"/>
      <c r="K327" s="266"/>
      <c r="L327" s="266"/>
      <c r="M327" s="749"/>
      <c r="N327" s="742"/>
      <c r="O327" s="268">
        <v>166.2</v>
      </c>
      <c r="P327" s="3513">
        <v>166</v>
      </c>
      <c r="Q327" s="268">
        <v>125.2</v>
      </c>
      <c r="R327" s="3770"/>
      <c r="S327" s="1865"/>
    </row>
    <row r="328" spans="1:19">
      <c r="A328" s="1548">
        <v>1999.07</v>
      </c>
      <c r="B328" s="1559">
        <v>107.198860173423</v>
      </c>
      <c r="C328" s="3711">
        <v>118.021558209909</v>
      </c>
      <c r="D328" s="1560">
        <v>92.938768197026107</v>
      </c>
      <c r="E328" s="1561">
        <v>105.30349364019401</v>
      </c>
      <c r="F328" s="3711">
        <v>110.411933516792</v>
      </c>
      <c r="G328" s="1560">
        <v>98.091931511755902</v>
      </c>
      <c r="H328" s="1561">
        <v>1</v>
      </c>
      <c r="I328" s="267"/>
      <c r="J328" s="291"/>
      <c r="K328" s="266"/>
      <c r="L328" s="266"/>
      <c r="M328" s="749"/>
      <c r="N328" s="742"/>
      <c r="O328" s="268">
        <v>166.7</v>
      </c>
      <c r="P328" s="3513">
        <v>166.7</v>
      </c>
      <c r="Q328" s="268">
        <v>125.7</v>
      </c>
      <c r="R328" s="3770"/>
      <c r="S328" s="1865"/>
    </row>
    <row r="329" spans="1:19">
      <c r="A329" s="1548">
        <v>1999.08</v>
      </c>
      <c r="B329" s="1559">
        <v>106.24630485454099</v>
      </c>
      <c r="C329" s="3711">
        <v>115.802459952761</v>
      </c>
      <c r="D329" s="1560">
        <v>93.610128561415195</v>
      </c>
      <c r="E329" s="1561">
        <v>104.26083021491399</v>
      </c>
      <c r="F329" s="3711">
        <v>108.33740919892701</v>
      </c>
      <c r="G329" s="1560">
        <v>98.536995113312997</v>
      </c>
      <c r="H329" s="1561">
        <v>1</v>
      </c>
      <c r="I329" s="267"/>
      <c r="J329" s="291"/>
      <c r="K329" s="266"/>
      <c r="L329" s="266"/>
      <c r="M329" s="749"/>
      <c r="N329" s="742"/>
      <c r="O329" s="268">
        <v>167.1</v>
      </c>
      <c r="P329" s="3513">
        <v>167.1</v>
      </c>
      <c r="Q329" s="268">
        <v>126.9</v>
      </c>
      <c r="R329" s="3770"/>
      <c r="S329" s="1865"/>
    </row>
    <row r="330" spans="1:19">
      <c r="A330" s="1548">
        <v>1999.09</v>
      </c>
      <c r="B330" s="1559">
        <v>105.572715255426</v>
      </c>
      <c r="C330" s="3711">
        <v>114.28299953745901</v>
      </c>
      <c r="D330" s="1560">
        <v>94.046395185776305</v>
      </c>
      <c r="E330" s="1561">
        <v>103.746480992442</v>
      </c>
      <c r="F330" s="3711">
        <v>107.184090947832</v>
      </c>
      <c r="G330" s="1560">
        <v>98.961463141043396</v>
      </c>
      <c r="H330" s="1561">
        <v>1</v>
      </c>
      <c r="I330" s="267"/>
      <c r="J330" s="291"/>
      <c r="K330" s="266"/>
      <c r="L330" s="266"/>
      <c r="M330" s="749"/>
      <c r="N330" s="742"/>
      <c r="O330" s="268">
        <v>167.9</v>
      </c>
      <c r="P330" s="3513">
        <v>167.8</v>
      </c>
      <c r="Q330" s="268">
        <v>128</v>
      </c>
      <c r="R330" s="3770"/>
      <c r="S330" s="1865"/>
    </row>
    <row r="331" spans="1:19">
      <c r="A331" s="1548">
        <v>1999.1</v>
      </c>
      <c r="B331" s="1559">
        <v>105.165528248559</v>
      </c>
      <c r="C331" s="3711">
        <v>113.099705168344</v>
      </c>
      <c r="D331" s="1560">
        <v>94.671968306465203</v>
      </c>
      <c r="E331" s="1561">
        <v>103.318311678748</v>
      </c>
      <c r="F331" s="3711">
        <v>106.189816906293</v>
      </c>
      <c r="G331" s="1560">
        <v>99.376784596102098</v>
      </c>
      <c r="H331" s="1561">
        <v>1</v>
      </c>
      <c r="I331" s="267"/>
      <c r="J331" s="291"/>
      <c r="K331" s="266"/>
      <c r="L331" s="266"/>
      <c r="M331" s="749"/>
      <c r="N331" s="742"/>
      <c r="O331" s="268">
        <v>168.2</v>
      </c>
      <c r="P331" s="3513">
        <v>168.1</v>
      </c>
      <c r="Q331" s="268">
        <v>127.7</v>
      </c>
      <c r="R331" s="3770"/>
      <c r="S331" s="1865"/>
    </row>
    <row r="332" spans="1:19">
      <c r="A332" s="1548">
        <v>1999.11</v>
      </c>
      <c r="B332" s="1559">
        <v>105.411923221192</v>
      </c>
      <c r="C332" s="3711">
        <v>114.21997476426699</v>
      </c>
      <c r="D332" s="1560">
        <v>93.755991233479307</v>
      </c>
      <c r="E332" s="1561">
        <v>103.58979683655301</v>
      </c>
      <c r="F332" s="3711">
        <v>107.333699940242</v>
      </c>
      <c r="G332" s="1560">
        <v>98.351986065205594</v>
      </c>
      <c r="H332" s="1561">
        <v>1</v>
      </c>
      <c r="I332" s="267"/>
      <c r="J332" s="291"/>
      <c r="K332" s="266"/>
      <c r="L332" s="266"/>
      <c r="M332" s="749"/>
      <c r="N332" s="742"/>
      <c r="O332" s="268">
        <v>168.3</v>
      </c>
      <c r="P332" s="3513">
        <v>168.4</v>
      </c>
      <c r="Q332" s="268">
        <v>128.30000000000001</v>
      </c>
      <c r="R332" s="3770"/>
      <c r="S332" s="1865"/>
    </row>
    <row r="333" spans="1:19">
      <c r="A333" s="1548">
        <v>1999.12</v>
      </c>
      <c r="B333" s="1559">
        <v>105.491517380536</v>
      </c>
      <c r="C333" s="3711">
        <v>114.712283784126</v>
      </c>
      <c r="D333" s="1560">
        <v>93.293584038852003</v>
      </c>
      <c r="E333" s="1561">
        <v>103.71061926806</v>
      </c>
      <c r="F333" s="3711">
        <v>107.888832190722</v>
      </c>
      <c r="G333" s="1560">
        <v>97.837415014059701</v>
      </c>
      <c r="H333" s="1561">
        <v>1</v>
      </c>
      <c r="I333" s="267"/>
      <c r="J333" s="291"/>
      <c r="K333" s="266"/>
      <c r="L333" s="266"/>
      <c r="M333" s="749"/>
      <c r="N333" s="742"/>
      <c r="O333" s="268">
        <v>168.3</v>
      </c>
      <c r="P333" s="3513">
        <v>168.8</v>
      </c>
      <c r="Q333" s="268">
        <v>127.8</v>
      </c>
      <c r="R333" s="3770"/>
      <c r="S333" s="1865"/>
    </row>
    <row r="334" spans="1:19">
      <c r="A334" s="1548">
        <v>2000.01</v>
      </c>
      <c r="B334" s="1559">
        <v>105.24060467048599</v>
      </c>
      <c r="C334" s="3711">
        <v>114.396361182997</v>
      </c>
      <c r="D334" s="1560">
        <v>93.144992479861799</v>
      </c>
      <c r="E334" s="1561">
        <v>103.572801627022</v>
      </c>
      <c r="F334" s="3711">
        <v>107.808721841481</v>
      </c>
      <c r="G334" s="1560">
        <v>97.621277246584995</v>
      </c>
      <c r="H334" s="1561">
        <v>1</v>
      </c>
      <c r="I334" s="267"/>
      <c r="J334" s="291"/>
      <c r="K334" s="266"/>
      <c r="L334" s="266"/>
      <c r="M334" s="749"/>
      <c r="N334" s="742"/>
      <c r="O334" s="268">
        <v>168.8</v>
      </c>
      <c r="P334" s="3513">
        <v>169.3</v>
      </c>
      <c r="Q334" s="268">
        <v>128.30000000000001</v>
      </c>
      <c r="R334" s="3770"/>
      <c r="S334" s="1865"/>
    </row>
    <row r="335" spans="1:19">
      <c r="A335" s="1548">
        <v>2000.02</v>
      </c>
      <c r="B335" s="1559">
        <v>106.55483280423501</v>
      </c>
      <c r="C335" s="3711">
        <v>116.90383883112899</v>
      </c>
      <c r="D335" s="1560">
        <v>93.003126483230105</v>
      </c>
      <c r="E335" s="1561">
        <v>104.982722366435</v>
      </c>
      <c r="F335" s="3711">
        <v>110.44518791986</v>
      </c>
      <c r="G335" s="1560">
        <v>97.380992948937205</v>
      </c>
      <c r="H335" s="1561">
        <v>1</v>
      </c>
      <c r="I335" s="267"/>
      <c r="J335" s="291"/>
      <c r="K335" s="266"/>
      <c r="L335" s="266"/>
      <c r="M335" s="749"/>
      <c r="N335" s="742"/>
      <c r="O335" s="268">
        <v>169.8</v>
      </c>
      <c r="P335" s="3513">
        <v>170</v>
      </c>
      <c r="Q335" s="268">
        <v>129.80000000000001</v>
      </c>
      <c r="R335" s="3770"/>
      <c r="S335" s="1865"/>
    </row>
    <row r="336" spans="1:19">
      <c r="A336" s="1548">
        <v>2000.03</v>
      </c>
      <c r="B336" s="1559">
        <v>106.58445202439999</v>
      </c>
      <c r="C336" s="3711">
        <v>117.425950171407</v>
      </c>
      <c r="D336" s="1560">
        <v>92.446404152391906</v>
      </c>
      <c r="E336" s="1561">
        <v>105.469606047779</v>
      </c>
      <c r="F336" s="3711">
        <v>111.37923926422501</v>
      </c>
      <c r="G336" s="1560">
        <v>97.2764613535374</v>
      </c>
      <c r="H336" s="1561">
        <v>1</v>
      </c>
      <c r="I336" s="267"/>
      <c r="J336" s="291"/>
      <c r="K336" s="266"/>
      <c r="L336" s="266"/>
      <c r="M336" s="749"/>
      <c r="N336" s="742"/>
      <c r="O336" s="268">
        <v>171.2</v>
      </c>
      <c r="P336" s="3513">
        <v>171</v>
      </c>
      <c r="Q336" s="268">
        <v>130.80000000000001</v>
      </c>
      <c r="R336" s="3770"/>
      <c r="S336" s="1865"/>
    </row>
    <row r="337" spans="1:19">
      <c r="A337" s="1548">
        <v>2000.04</v>
      </c>
      <c r="B337" s="1559">
        <v>107.229923947948</v>
      </c>
      <c r="C337" s="3711">
        <v>118.25850507628699</v>
      </c>
      <c r="D337" s="1560">
        <v>92.864137177751402</v>
      </c>
      <c r="E337" s="1561">
        <v>106.090210006074</v>
      </c>
      <c r="F337" s="3711">
        <v>112.30953665479601</v>
      </c>
      <c r="G337" s="1560">
        <v>97.489212974893206</v>
      </c>
      <c r="H337" s="1561">
        <v>1</v>
      </c>
      <c r="I337" s="267"/>
      <c r="J337" s="291"/>
      <c r="K337" s="266"/>
      <c r="L337" s="266"/>
      <c r="M337" s="749"/>
      <c r="N337" s="742"/>
      <c r="O337" s="268">
        <v>171.3</v>
      </c>
      <c r="P337" s="3513">
        <v>170.9</v>
      </c>
      <c r="Q337" s="268">
        <v>130.69999999999999</v>
      </c>
      <c r="R337" s="3770"/>
      <c r="S337" s="1865"/>
    </row>
    <row r="338" spans="1:19">
      <c r="A338" s="1548">
        <v>2000.05</v>
      </c>
      <c r="B338" s="1559">
        <v>109.68038148448299</v>
      </c>
      <c r="C338" s="3711">
        <v>121.900127109135</v>
      </c>
      <c r="D338" s="1560">
        <v>93.888698110845596</v>
      </c>
      <c r="E338" s="1561">
        <v>108.489434885667</v>
      </c>
      <c r="F338" s="3711">
        <v>115.875254388923</v>
      </c>
      <c r="G338" s="1560">
        <v>98.370855824209499</v>
      </c>
      <c r="H338" s="1561">
        <v>1</v>
      </c>
      <c r="I338" s="267"/>
      <c r="J338" s="291"/>
      <c r="K338" s="266"/>
      <c r="L338" s="266"/>
      <c r="M338" s="749"/>
      <c r="N338" s="742"/>
      <c r="O338" s="268">
        <v>171.5</v>
      </c>
      <c r="P338" s="3513">
        <v>171.2</v>
      </c>
      <c r="Q338" s="268">
        <v>131.6</v>
      </c>
      <c r="R338" s="3770"/>
      <c r="S338" s="1865"/>
    </row>
    <row r="339" spans="1:19">
      <c r="A339" s="1548">
        <v>2000.06</v>
      </c>
      <c r="B339" s="1559">
        <v>108.572887483003</v>
      </c>
      <c r="C339" s="3711">
        <v>118.944340660055</v>
      </c>
      <c r="D339" s="1560">
        <v>94.973595750456695</v>
      </c>
      <c r="E339" s="1561">
        <v>107.547217019318</v>
      </c>
      <c r="F339" s="3711">
        <v>113.230634882863</v>
      </c>
      <c r="G339" s="1560">
        <v>99.643972707342797</v>
      </c>
      <c r="H339" s="1561">
        <v>1</v>
      </c>
      <c r="I339" s="267"/>
      <c r="J339" s="291"/>
      <c r="K339" s="266"/>
      <c r="L339" s="266"/>
      <c r="M339" s="749"/>
      <c r="N339" s="742"/>
      <c r="O339" s="268">
        <v>172.4</v>
      </c>
      <c r="P339" s="3513">
        <v>172.2</v>
      </c>
      <c r="Q339" s="268">
        <v>133.80000000000001</v>
      </c>
      <c r="R339" s="3770"/>
      <c r="S339" s="1865"/>
    </row>
    <row r="340" spans="1:19">
      <c r="A340" s="1548">
        <v>2000.07</v>
      </c>
      <c r="B340" s="1559">
        <v>108.720533948013</v>
      </c>
      <c r="C340" s="3711">
        <v>119.93136972879</v>
      </c>
      <c r="D340" s="1560">
        <v>94.120535700124606</v>
      </c>
      <c r="E340" s="1561">
        <v>107.693922766865</v>
      </c>
      <c r="F340" s="3711">
        <v>114.288322793305</v>
      </c>
      <c r="G340" s="1560">
        <v>98.597489003844998</v>
      </c>
      <c r="H340" s="1561">
        <v>1</v>
      </c>
      <c r="I340" s="267"/>
      <c r="J340" s="291"/>
      <c r="K340" s="266"/>
      <c r="L340" s="266"/>
      <c r="M340" s="749"/>
      <c r="N340" s="742"/>
      <c r="O340" s="268">
        <v>172.8</v>
      </c>
      <c r="P340" s="3513">
        <v>172.7</v>
      </c>
      <c r="Q340" s="268">
        <v>133.69999999999999</v>
      </c>
      <c r="R340" s="3770"/>
      <c r="S340" s="1865"/>
    </row>
    <row r="341" spans="1:19">
      <c r="A341" s="1548">
        <v>2000.08</v>
      </c>
      <c r="B341" s="1559">
        <v>109.49960990133999</v>
      </c>
      <c r="C341" s="3711">
        <v>121.774593552692</v>
      </c>
      <c r="D341" s="1560">
        <v>93.645714405002096</v>
      </c>
      <c r="E341" s="1561">
        <v>108.228246376953</v>
      </c>
      <c r="F341" s="3711">
        <v>115.93399202610701</v>
      </c>
      <c r="G341" s="1560">
        <v>97.704863067327906</v>
      </c>
      <c r="H341" s="1561">
        <v>1</v>
      </c>
      <c r="I341" s="267"/>
      <c r="J341" s="291"/>
      <c r="K341" s="266"/>
      <c r="L341" s="266"/>
      <c r="M341" s="749"/>
      <c r="N341" s="742"/>
      <c r="O341" s="268">
        <v>172.8</v>
      </c>
      <c r="P341" s="3513">
        <v>172.7</v>
      </c>
      <c r="Q341" s="268">
        <v>132.9</v>
      </c>
      <c r="R341" s="3770"/>
      <c r="S341" s="1865"/>
    </row>
    <row r="342" spans="1:19">
      <c r="A342" s="1548">
        <v>2000.09</v>
      </c>
      <c r="B342" s="1559">
        <v>110.817635620419</v>
      </c>
      <c r="C342" s="3711">
        <v>123.691264887866</v>
      </c>
      <c r="D342" s="1560">
        <v>94.255210163044097</v>
      </c>
      <c r="E342" s="1561">
        <v>109.804449817885</v>
      </c>
      <c r="F342" s="3711">
        <v>118.200574760046</v>
      </c>
      <c r="G342" s="1560">
        <v>98.400231001708406</v>
      </c>
      <c r="H342" s="1561">
        <v>1</v>
      </c>
      <c r="I342" s="267"/>
      <c r="J342" s="291"/>
      <c r="K342" s="266"/>
      <c r="L342" s="266"/>
      <c r="M342" s="749"/>
      <c r="N342" s="742"/>
      <c r="O342" s="268">
        <v>173.7</v>
      </c>
      <c r="P342" s="3513">
        <v>173.6</v>
      </c>
      <c r="Q342" s="268">
        <v>134.69999999999999</v>
      </c>
      <c r="R342" s="3770"/>
      <c r="S342" s="1865"/>
    </row>
    <row r="343" spans="1:19">
      <c r="A343" s="1548">
        <v>2000.1</v>
      </c>
      <c r="B343" s="1559">
        <v>112.462403894468</v>
      </c>
      <c r="C343" s="3711">
        <v>125.631007926474</v>
      </c>
      <c r="D343" s="1560">
        <v>95.534347827001</v>
      </c>
      <c r="E343" s="1561">
        <v>111.375020438676</v>
      </c>
      <c r="F343" s="3711">
        <v>120.03958674160999</v>
      </c>
      <c r="G343" s="1560">
        <v>99.622423488962994</v>
      </c>
      <c r="H343" s="1561">
        <v>1</v>
      </c>
      <c r="I343" s="267"/>
      <c r="J343" s="291"/>
      <c r="K343" s="266"/>
      <c r="L343" s="266"/>
      <c r="M343" s="749"/>
      <c r="N343" s="742"/>
      <c r="O343" s="268">
        <v>174</v>
      </c>
      <c r="P343" s="3513">
        <v>173.9</v>
      </c>
      <c r="Q343" s="268">
        <v>135.4</v>
      </c>
      <c r="R343" s="3770"/>
      <c r="S343" s="1865"/>
    </row>
    <row r="344" spans="1:19">
      <c r="A344" s="1548">
        <v>2000.11</v>
      </c>
      <c r="B344" s="1559">
        <v>113.404841735688</v>
      </c>
      <c r="C344" s="3711">
        <v>126.86202780179499</v>
      </c>
      <c r="D344" s="1560">
        <v>96.132957140789998</v>
      </c>
      <c r="E344" s="1561">
        <v>112.027285150404</v>
      </c>
      <c r="F344" s="3711">
        <v>120.930926710416</v>
      </c>
      <c r="G344" s="1560">
        <v>99.971489895219193</v>
      </c>
      <c r="H344" s="1561">
        <v>1</v>
      </c>
      <c r="I344" s="267"/>
      <c r="J344" s="291"/>
      <c r="K344" s="266"/>
      <c r="L344" s="266"/>
      <c r="M344" s="749"/>
      <c r="N344" s="742"/>
      <c r="O344" s="268">
        <v>174.1</v>
      </c>
      <c r="P344" s="3513">
        <v>174.2</v>
      </c>
      <c r="Q344" s="268">
        <v>135</v>
      </c>
      <c r="R344" s="3770"/>
      <c r="S344" s="1865"/>
    </row>
    <row r="345" spans="1:19">
      <c r="A345" s="1548">
        <v>2000.12</v>
      </c>
      <c r="B345" s="1559">
        <v>112.324928649245</v>
      </c>
      <c r="C345" s="3711">
        <v>124.39811273924199</v>
      </c>
      <c r="D345" s="1560">
        <v>96.668353470211102</v>
      </c>
      <c r="E345" s="1561">
        <v>110.972013020947</v>
      </c>
      <c r="F345" s="3711">
        <v>118.770326521201</v>
      </c>
      <c r="G345" s="1560">
        <v>100.312131220144</v>
      </c>
      <c r="H345" s="1561">
        <v>1</v>
      </c>
      <c r="I345" s="267"/>
      <c r="J345" s="291"/>
      <c r="K345" s="266"/>
      <c r="L345" s="266"/>
      <c r="M345" s="749"/>
      <c r="N345" s="742"/>
      <c r="O345" s="268">
        <v>174</v>
      </c>
      <c r="P345" s="3513">
        <v>174.6</v>
      </c>
      <c r="Q345" s="268">
        <v>136.19999999999999</v>
      </c>
      <c r="R345" s="3770"/>
      <c r="S345" s="1865"/>
    </row>
    <row r="346" spans="1:19">
      <c r="A346" s="1548">
        <v>2001.01</v>
      </c>
      <c r="B346" s="1559">
        <v>112.14246289050701</v>
      </c>
      <c r="C346" s="3711">
        <v>122.97141810543</v>
      </c>
      <c r="D346" s="1560">
        <v>97.955851852852902</v>
      </c>
      <c r="E346" s="1561">
        <v>111.337990518335</v>
      </c>
      <c r="F346" s="3711">
        <v>118.062181498589</v>
      </c>
      <c r="G346" s="1560">
        <v>102.06319364263101</v>
      </c>
      <c r="H346" s="1561">
        <v>1</v>
      </c>
      <c r="I346" s="267"/>
      <c r="J346" s="291"/>
      <c r="K346" s="266"/>
      <c r="L346" s="266"/>
      <c r="M346" s="749"/>
      <c r="N346" s="742"/>
      <c r="O346" s="268">
        <v>175.1</v>
      </c>
      <c r="P346" s="3513">
        <v>175.6</v>
      </c>
      <c r="Q346" s="268">
        <v>140</v>
      </c>
      <c r="R346" s="3770"/>
      <c r="S346" s="1865"/>
    </row>
    <row r="347" spans="1:19">
      <c r="A347" s="1548">
        <v>2001.02</v>
      </c>
      <c r="B347" s="1559">
        <v>112.864946085653</v>
      </c>
      <c r="C347" s="3711">
        <v>124.61559846068501</v>
      </c>
      <c r="D347" s="1560">
        <v>97.570663508429504</v>
      </c>
      <c r="E347" s="1561">
        <v>112.218751801243</v>
      </c>
      <c r="F347" s="3711">
        <v>119.714169258797</v>
      </c>
      <c r="G347" s="1560">
        <v>101.93958101173</v>
      </c>
      <c r="H347" s="1561">
        <v>1</v>
      </c>
      <c r="I347" s="267"/>
      <c r="J347" s="291"/>
      <c r="K347" s="266"/>
      <c r="L347" s="266"/>
      <c r="M347" s="749"/>
      <c r="N347" s="742"/>
      <c r="O347" s="268">
        <v>175.8</v>
      </c>
      <c r="P347" s="3513">
        <v>176</v>
      </c>
      <c r="Q347" s="268">
        <v>137.4</v>
      </c>
      <c r="R347" s="3770"/>
      <c r="S347" s="1865"/>
    </row>
    <row r="348" spans="1:19">
      <c r="A348" s="1548">
        <v>2001.03</v>
      </c>
      <c r="B348" s="1559">
        <v>114.688969919822</v>
      </c>
      <c r="C348" s="3711">
        <v>127.510964559039</v>
      </c>
      <c r="D348" s="1560">
        <v>98.114862625895796</v>
      </c>
      <c r="E348" s="1561">
        <v>113.839863276033</v>
      </c>
      <c r="F348" s="3711">
        <v>122.45210466570499</v>
      </c>
      <c r="G348" s="1560">
        <v>102.127763558514</v>
      </c>
      <c r="H348" s="1561">
        <v>1</v>
      </c>
      <c r="I348" s="267"/>
      <c r="J348" s="291"/>
      <c r="K348" s="266"/>
      <c r="L348" s="266"/>
      <c r="M348" s="749"/>
      <c r="N348" s="742"/>
      <c r="O348" s="268">
        <v>176.2</v>
      </c>
      <c r="P348" s="3513">
        <v>176.1</v>
      </c>
      <c r="Q348" s="268">
        <v>135.9</v>
      </c>
      <c r="R348" s="3770"/>
      <c r="S348" s="1865"/>
    </row>
    <row r="349" spans="1:19">
      <c r="A349" s="1548">
        <v>2001.04</v>
      </c>
      <c r="B349" s="1559">
        <v>115.438517555902</v>
      </c>
      <c r="C349" s="3711">
        <v>128.78542978197299</v>
      </c>
      <c r="D349" s="1560">
        <v>98.243011060674704</v>
      </c>
      <c r="E349" s="1561">
        <v>114.34253436594599</v>
      </c>
      <c r="F349" s="3711">
        <v>123.435460571015</v>
      </c>
      <c r="G349" s="1560">
        <v>102.023308457993</v>
      </c>
      <c r="H349" s="1561">
        <v>1</v>
      </c>
      <c r="I349" s="267"/>
      <c r="J349" s="291"/>
      <c r="K349" s="266"/>
      <c r="L349" s="266"/>
      <c r="M349" s="749"/>
      <c r="N349" s="742"/>
      <c r="O349" s="268">
        <v>176.9</v>
      </c>
      <c r="P349" s="3513">
        <v>176.4</v>
      </c>
      <c r="Q349" s="268">
        <v>136.4</v>
      </c>
      <c r="R349" s="3770"/>
      <c r="S349" s="1865"/>
    </row>
    <row r="350" spans="1:19">
      <c r="A350" s="1548">
        <v>2001.05</v>
      </c>
      <c r="B350" s="1559">
        <v>115.25880680531699</v>
      </c>
      <c r="C350" s="3711">
        <v>128.84018722924699</v>
      </c>
      <c r="D350" s="1560">
        <v>97.796548855621197</v>
      </c>
      <c r="E350" s="1561">
        <v>114.29457771894501</v>
      </c>
      <c r="F350" s="3711">
        <v>123.593304241393</v>
      </c>
      <c r="G350" s="1560">
        <v>101.719252990342</v>
      </c>
      <c r="H350" s="1561">
        <v>1</v>
      </c>
      <c r="I350" s="267"/>
      <c r="J350" s="291"/>
      <c r="K350" s="266"/>
      <c r="L350" s="266"/>
      <c r="M350" s="749"/>
      <c r="N350" s="742"/>
      <c r="O350" s="268">
        <v>177.7</v>
      </c>
      <c r="P350" s="3513">
        <v>177.3</v>
      </c>
      <c r="Q350" s="268">
        <v>136.80000000000001</v>
      </c>
      <c r="R350" s="3770"/>
      <c r="S350" s="1865"/>
    </row>
    <row r="351" spans="1:19">
      <c r="A351" s="1548">
        <v>2001.06</v>
      </c>
      <c r="B351" s="1559">
        <v>115.94725497802099</v>
      </c>
      <c r="C351" s="3711">
        <v>129.881649687205</v>
      </c>
      <c r="D351" s="1560">
        <v>98.068492125964596</v>
      </c>
      <c r="E351" s="1561">
        <v>115.07867370469801</v>
      </c>
      <c r="F351" s="3711">
        <v>124.804314782063</v>
      </c>
      <c r="G351" s="1560">
        <v>101.967090596936</v>
      </c>
      <c r="H351" s="1561">
        <v>1</v>
      </c>
      <c r="I351" s="267"/>
      <c r="J351" s="291"/>
      <c r="K351" s="266"/>
      <c r="L351" s="266"/>
      <c r="M351" s="749"/>
      <c r="N351" s="742"/>
      <c r="O351" s="268">
        <v>178</v>
      </c>
      <c r="P351" s="3513">
        <v>177.7</v>
      </c>
      <c r="Q351" s="268">
        <v>135.5</v>
      </c>
      <c r="R351" s="3770"/>
      <c r="S351" s="1865"/>
    </row>
    <row r="352" spans="1:19">
      <c r="A352" s="1548">
        <v>2001.07</v>
      </c>
      <c r="B352" s="1559">
        <v>116.333018613566</v>
      </c>
      <c r="C352" s="3711">
        <v>129.96001305500101</v>
      </c>
      <c r="D352" s="1560">
        <v>98.800901049036696</v>
      </c>
      <c r="E352" s="1561">
        <v>115.248149049228</v>
      </c>
      <c r="F352" s="3711">
        <v>124.804130624972</v>
      </c>
      <c r="G352" s="1560">
        <v>102.344838721215</v>
      </c>
      <c r="H352" s="1561">
        <v>1</v>
      </c>
      <c r="I352" s="267"/>
      <c r="J352" s="291"/>
      <c r="K352" s="266"/>
      <c r="L352" s="266"/>
      <c r="M352" s="749"/>
      <c r="N352" s="742"/>
      <c r="O352" s="268">
        <v>177.5</v>
      </c>
      <c r="P352" s="3513">
        <v>177.4</v>
      </c>
      <c r="Q352" s="268">
        <v>133.4</v>
      </c>
      <c r="R352" s="3770"/>
      <c r="S352" s="1865"/>
    </row>
    <row r="353" spans="1:19">
      <c r="A353" s="1548">
        <v>2001.08</v>
      </c>
      <c r="B353" s="1559">
        <v>114.541063411064</v>
      </c>
      <c r="C353" s="3711">
        <v>127.25839720014901</v>
      </c>
      <c r="D353" s="1560">
        <v>98.088662411672303</v>
      </c>
      <c r="E353" s="1561">
        <v>113.28695952263401</v>
      </c>
      <c r="F353" s="3711">
        <v>122.126169056123</v>
      </c>
      <c r="G353" s="1560">
        <v>101.293890624244</v>
      </c>
      <c r="H353" s="1561">
        <v>1</v>
      </c>
      <c r="I353" s="267"/>
      <c r="J353" s="291"/>
      <c r="K353" s="266"/>
      <c r="L353" s="266"/>
      <c r="M353" s="749"/>
      <c r="N353" s="742"/>
      <c r="O353" s="268">
        <v>177.5</v>
      </c>
      <c r="P353" s="3513">
        <v>177.4</v>
      </c>
      <c r="Q353" s="268">
        <v>133.4</v>
      </c>
      <c r="R353" s="3770"/>
      <c r="S353" s="1865"/>
    </row>
    <row r="354" spans="1:19">
      <c r="A354" s="1548">
        <v>2001.09</v>
      </c>
      <c r="B354" s="1559">
        <v>114.944007552607</v>
      </c>
      <c r="C354" s="3711">
        <v>126.87218235925</v>
      </c>
      <c r="D354" s="1560">
        <v>99.414955320928399</v>
      </c>
      <c r="E354" s="1561">
        <v>113.979145297866</v>
      </c>
      <c r="F354" s="3711">
        <v>122.118817475151</v>
      </c>
      <c r="G354" s="1560">
        <v>102.864645820734</v>
      </c>
      <c r="H354" s="1561">
        <v>1</v>
      </c>
      <c r="I354" s="267"/>
      <c r="J354" s="291"/>
      <c r="K354" s="266"/>
      <c r="L354" s="266"/>
      <c r="M354" s="749"/>
      <c r="N354" s="742"/>
      <c r="O354" s="268">
        <v>178.3</v>
      </c>
      <c r="P354" s="3513">
        <v>178.1</v>
      </c>
      <c r="Q354" s="268">
        <v>133.30000000000001</v>
      </c>
      <c r="R354" s="3770"/>
      <c r="S354" s="1865"/>
    </row>
    <row r="355" spans="1:19">
      <c r="A355" s="1548">
        <v>2001.1</v>
      </c>
      <c r="B355" s="1559">
        <v>115.6559349474</v>
      </c>
      <c r="C355" s="3711">
        <v>127.853842411524</v>
      </c>
      <c r="D355" s="1560">
        <v>99.799091250759204</v>
      </c>
      <c r="E355" s="1561">
        <v>114.325296440036</v>
      </c>
      <c r="F355" s="3711">
        <v>122.92896740637801</v>
      </c>
      <c r="G355" s="1560">
        <v>102.620369560387</v>
      </c>
      <c r="H355" s="1561">
        <v>1</v>
      </c>
      <c r="I355" s="267"/>
      <c r="J355" s="291"/>
      <c r="K355" s="266"/>
      <c r="L355" s="266"/>
      <c r="M355" s="749"/>
      <c r="N355" s="742"/>
      <c r="O355" s="268">
        <v>177.7</v>
      </c>
      <c r="P355" s="3513">
        <v>177.6</v>
      </c>
      <c r="Q355" s="268">
        <v>130.30000000000001</v>
      </c>
      <c r="R355" s="3770"/>
      <c r="S355" s="1865"/>
    </row>
    <row r="356" spans="1:19">
      <c r="A356" s="1548">
        <v>2001.11</v>
      </c>
      <c r="B356" s="1559">
        <v>116.174827524035</v>
      </c>
      <c r="C356" s="3711">
        <v>129.54361059809199</v>
      </c>
      <c r="D356" s="1560">
        <v>98.943265755626598</v>
      </c>
      <c r="E356" s="1561">
        <v>114.872305357164</v>
      </c>
      <c r="F356" s="3711">
        <v>124.688376610064</v>
      </c>
      <c r="G356" s="1560">
        <v>101.651192241739</v>
      </c>
      <c r="H356" s="1561">
        <v>1</v>
      </c>
      <c r="I356" s="267"/>
      <c r="J356" s="291"/>
      <c r="K356" s="266"/>
      <c r="L356" s="266"/>
      <c r="M356" s="749"/>
      <c r="N356" s="742"/>
      <c r="O356" s="268">
        <v>177.4</v>
      </c>
      <c r="P356" s="3513">
        <v>177.5</v>
      </c>
      <c r="Q356" s="268">
        <v>129.80000000000001</v>
      </c>
      <c r="R356" s="3770"/>
      <c r="S356" s="1865"/>
    </row>
    <row r="357" spans="1:19">
      <c r="A357" s="1548">
        <v>2001.12</v>
      </c>
      <c r="B357" s="1559">
        <v>116.23212464204801</v>
      </c>
      <c r="C357" s="3711">
        <v>130.07781779514301</v>
      </c>
      <c r="D357" s="1560">
        <v>98.451025027960299</v>
      </c>
      <c r="E357" s="1561">
        <v>114.731657213189</v>
      </c>
      <c r="F357" s="3711">
        <v>124.834314795506</v>
      </c>
      <c r="G357" s="1560">
        <v>101.159951640301</v>
      </c>
      <c r="H357" s="1561">
        <v>1</v>
      </c>
      <c r="I357" s="267"/>
      <c r="J357" s="291"/>
      <c r="K357" s="266"/>
      <c r="L357" s="266"/>
      <c r="M357" s="749"/>
      <c r="N357" s="742"/>
      <c r="O357" s="268">
        <v>176.7</v>
      </c>
      <c r="P357" s="3513">
        <v>177.4</v>
      </c>
      <c r="Q357" s="268">
        <v>128.1</v>
      </c>
      <c r="R357" s="3770"/>
      <c r="S357" s="1865"/>
    </row>
    <row r="358" spans="1:19">
      <c r="A358" s="1468">
        <v>2002.01</v>
      </c>
      <c r="B358" s="1559">
        <v>117.581394400417</v>
      </c>
      <c r="C358" s="3711">
        <v>131.94812329331899</v>
      </c>
      <c r="D358" s="1560">
        <v>99.188503552223395</v>
      </c>
      <c r="E358" s="1561">
        <v>115.955783724962</v>
      </c>
      <c r="F358" s="3711">
        <v>126.514131400173</v>
      </c>
      <c r="G358" s="1560">
        <v>101.829460421958</v>
      </c>
      <c r="H358" s="1561">
        <v>1.95</v>
      </c>
      <c r="I358" s="267"/>
      <c r="J358" s="291"/>
      <c r="K358" s="266"/>
      <c r="L358" s="266"/>
      <c r="M358" s="749"/>
      <c r="N358" s="742"/>
      <c r="O358" s="268">
        <v>177.1</v>
      </c>
      <c r="P358" s="3513">
        <v>177.7</v>
      </c>
      <c r="Q358" s="268">
        <v>128.5</v>
      </c>
      <c r="R358" s="3770"/>
      <c r="S358" s="1865"/>
    </row>
    <row r="359" spans="1:19">
      <c r="A359" s="1468">
        <v>2002.02</v>
      </c>
      <c r="B359" s="1559">
        <v>118.232190048585</v>
      </c>
      <c r="C359" s="3711">
        <v>132.82562544982801</v>
      </c>
      <c r="D359" s="1560">
        <v>99.575644602743097</v>
      </c>
      <c r="E359" s="1561">
        <v>116.606276781967</v>
      </c>
      <c r="F359" s="3711">
        <v>127.475902906185</v>
      </c>
      <c r="G359" s="1560">
        <v>102.10552551143699</v>
      </c>
      <c r="H359" s="1561">
        <v>2.1800000000000002</v>
      </c>
      <c r="I359" s="267"/>
      <c r="J359" s="291"/>
      <c r="K359" s="266"/>
      <c r="L359" s="266"/>
      <c r="M359" s="749"/>
      <c r="N359" s="742"/>
      <c r="O359" s="268">
        <v>177.8</v>
      </c>
      <c r="P359" s="3513">
        <v>178</v>
      </c>
      <c r="Q359" s="268">
        <v>128.4</v>
      </c>
      <c r="R359" s="3770"/>
      <c r="S359" s="1865"/>
    </row>
    <row r="360" spans="1:19">
      <c r="A360" s="1468">
        <v>2002.03</v>
      </c>
      <c r="B360" s="1559">
        <v>117.544886279435</v>
      </c>
      <c r="C360" s="3711">
        <v>131.69661342828499</v>
      </c>
      <c r="D360" s="1560">
        <v>99.388569542643197</v>
      </c>
      <c r="E360" s="1561">
        <v>115.945657524471</v>
      </c>
      <c r="F360" s="3711">
        <v>126.423354120239</v>
      </c>
      <c r="G360" s="1560">
        <v>101.914241177639</v>
      </c>
      <c r="H360" s="1561">
        <v>2.95</v>
      </c>
      <c r="I360" s="267"/>
      <c r="J360" s="291"/>
      <c r="K360" s="266"/>
      <c r="L360" s="266"/>
      <c r="M360" s="749"/>
      <c r="N360" s="742"/>
      <c r="O360" s="268">
        <v>178.8</v>
      </c>
      <c r="P360" s="3513">
        <v>178.5</v>
      </c>
      <c r="Q360" s="268">
        <v>129.80000000000001</v>
      </c>
      <c r="R360" s="3770"/>
      <c r="S360" s="1470"/>
    </row>
    <row r="361" spans="1:19">
      <c r="A361" s="1468">
        <v>2002.04</v>
      </c>
      <c r="B361" s="1559">
        <v>117.17338140291599</v>
      </c>
      <c r="C361" s="3711">
        <v>130.73966604924701</v>
      </c>
      <c r="D361" s="1560">
        <v>99.675751594036896</v>
      </c>
      <c r="E361" s="1561">
        <v>115.690573234358</v>
      </c>
      <c r="F361" s="3711">
        <v>125.644249150089</v>
      </c>
      <c r="G361" s="1560">
        <v>102.281958658202</v>
      </c>
      <c r="H361" s="1561">
        <v>3.01</v>
      </c>
      <c r="I361" s="2016">
        <v>2.94166666666667</v>
      </c>
      <c r="J361" s="291"/>
      <c r="K361" s="266"/>
      <c r="L361" s="266"/>
      <c r="M361" s="749"/>
      <c r="N361" s="742"/>
      <c r="O361" s="268">
        <v>179.8</v>
      </c>
      <c r="P361" s="3513">
        <v>179.3</v>
      </c>
      <c r="Q361" s="268">
        <v>130.80000000000001</v>
      </c>
      <c r="R361" s="3770"/>
      <c r="S361" s="1470"/>
    </row>
    <row r="362" spans="1:19">
      <c r="A362" s="1468">
        <v>2002.05</v>
      </c>
      <c r="B362" s="1559">
        <v>115.759774800652</v>
      </c>
      <c r="C362" s="3711">
        <v>127.206928733696</v>
      </c>
      <c r="D362" s="1560">
        <v>100.68886705361101</v>
      </c>
      <c r="E362" s="1561">
        <v>114.21648349124</v>
      </c>
      <c r="F362" s="3711">
        <v>122.380457735435</v>
      </c>
      <c r="G362" s="1560">
        <v>102.986207663714</v>
      </c>
      <c r="H362" s="1561">
        <v>3.63</v>
      </c>
      <c r="I362" s="268">
        <v>3.3063636363636362</v>
      </c>
      <c r="J362" s="291"/>
      <c r="K362" s="266"/>
      <c r="L362" s="266"/>
      <c r="M362" s="749"/>
      <c r="N362" s="742"/>
      <c r="O362" s="268">
        <v>179.8</v>
      </c>
      <c r="P362" s="3513">
        <v>179.5</v>
      </c>
      <c r="Q362" s="268">
        <v>130.80000000000001</v>
      </c>
      <c r="R362" s="3770"/>
      <c r="S362" s="1865" t="e">
        <f>+AVERAGE(R646:R648)</f>
        <v>#N/A</v>
      </c>
    </row>
    <row r="363" spans="1:19">
      <c r="A363" s="1468">
        <v>2002.06</v>
      </c>
      <c r="B363" s="1559">
        <v>114.503599283185</v>
      </c>
      <c r="C363" s="3711">
        <v>124.006476567429</v>
      </c>
      <c r="D363" s="1560">
        <v>101.740115565724</v>
      </c>
      <c r="E363" s="1561">
        <v>112.761280623803</v>
      </c>
      <c r="F363" s="3711">
        <v>119.187784333698</v>
      </c>
      <c r="G363" s="1560">
        <v>103.71288150673701</v>
      </c>
      <c r="H363" s="1561">
        <v>3.85</v>
      </c>
      <c r="I363" s="268">
        <v>3.620625</v>
      </c>
      <c r="J363" s="291"/>
      <c r="K363" s="266"/>
      <c r="L363" s="266"/>
      <c r="M363" s="749"/>
      <c r="N363" s="742"/>
      <c r="O363" s="268">
        <v>179.9</v>
      </c>
      <c r="P363" s="3513">
        <v>179.6</v>
      </c>
      <c r="Q363" s="268">
        <v>130.9</v>
      </c>
      <c r="R363" s="3770"/>
      <c r="S363" s="1470"/>
    </row>
    <row r="364" spans="1:19">
      <c r="A364" s="1468">
        <v>2002.07</v>
      </c>
      <c r="B364" s="1559">
        <v>112.925274260392</v>
      </c>
      <c r="C364" s="3711">
        <v>121.144638257202</v>
      </c>
      <c r="D364" s="1560">
        <v>101.72582672814001</v>
      </c>
      <c r="E364" s="1561">
        <v>111.089809106807</v>
      </c>
      <c r="F364" s="3711">
        <v>116.34542378961901</v>
      </c>
      <c r="G364" s="1560">
        <v>103.55625779241601</v>
      </c>
      <c r="H364" s="1561">
        <v>3.7</v>
      </c>
      <c r="I364" s="268">
        <v>3.5718181818181809</v>
      </c>
      <c r="J364" s="291"/>
      <c r="K364" s="266"/>
      <c r="L364" s="266"/>
      <c r="M364" s="749"/>
      <c r="N364" s="742"/>
      <c r="O364" s="268">
        <v>180.1</v>
      </c>
      <c r="P364" s="3513">
        <v>180</v>
      </c>
      <c r="Q364" s="268">
        <v>131.19999999999999</v>
      </c>
      <c r="R364" s="3770"/>
      <c r="S364" s="1470"/>
    </row>
    <row r="365" spans="1:19">
      <c r="A365" s="1468">
        <v>2002.08</v>
      </c>
      <c r="B365" s="1559">
        <v>114.26197285806499</v>
      </c>
      <c r="C365" s="3711">
        <v>122.851750881979</v>
      </c>
      <c r="D365" s="1560">
        <v>102.596979169077</v>
      </c>
      <c r="E365" s="1561">
        <v>112.48634483425499</v>
      </c>
      <c r="F365" s="3711">
        <v>118.103829974761</v>
      </c>
      <c r="G365" s="1560">
        <v>104.475248381269</v>
      </c>
      <c r="H365" s="1561">
        <v>3.62</v>
      </c>
      <c r="I365" s="268">
        <v>3.5749999999999997</v>
      </c>
      <c r="J365" s="291"/>
      <c r="K365" s="266"/>
      <c r="L365" s="266"/>
      <c r="M365" s="749"/>
      <c r="N365" s="742"/>
      <c r="O365" s="268">
        <v>180.7</v>
      </c>
      <c r="P365" s="3513">
        <v>180.5</v>
      </c>
      <c r="Q365" s="268">
        <v>131.5</v>
      </c>
      <c r="R365" s="3770"/>
      <c r="S365" s="1470"/>
    </row>
    <row r="366" spans="1:19">
      <c r="A366" s="1468">
        <v>2002.09</v>
      </c>
      <c r="B366" s="1559">
        <v>115.074088772191</v>
      </c>
      <c r="C366" s="3711">
        <v>123.05180437938699</v>
      </c>
      <c r="D366" s="1560">
        <v>104.152056252656</v>
      </c>
      <c r="E366" s="1561">
        <v>113.359139594141</v>
      </c>
      <c r="F366" s="3711">
        <v>118.445570024372</v>
      </c>
      <c r="G366" s="1560">
        <v>106.03174720338799</v>
      </c>
      <c r="H366" s="1561">
        <v>3.73</v>
      </c>
      <c r="I366" s="268">
        <v>3.5933333333333328</v>
      </c>
      <c r="J366" s="291"/>
      <c r="K366" s="266"/>
      <c r="L366" s="266"/>
      <c r="M366" s="749"/>
      <c r="N366" s="742"/>
      <c r="O366" s="268">
        <v>181</v>
      </c>
      <c r="P366" s="3513">
        <v>180.8</v>
      </c>
      <c r="Q366" s="268">
        <v>132.30000000000001</v>
      </c>
      <c r="R366" s="3770"/>
      <c r="S366" s="1470"/>
    </row>
    <row r="367" spans="1:19">
      <c r="A367" s="1468">
        <v>2002.1</v>
      </c>
      <c r="B367" s="1559">
        <v>115.91850720884899</v>
      </c>
      <c r="C367" s="3711">
        <v>123.60165846147299</v>
      </c>
      <c r="D367" s="1560">
        <v>105.35234386564601</v>
      </c>
      <c r="E367" s="1561">
        <v>114.111232685033</v>
      </c>
      <c r="F367" s="3711">
        <v>118.931714654735</v>
      </c>
      <c r="G367" s="1560">
        <v>107.127752142085</v>
      </c>
      <c r="H367" s="1561">
        <v>3.54</v>
      </c>
      <c r="I367" s="268">
        <v>3.6059090909090901</v>
      </c>
      <c r="J367" s="291"/>
      <c r="K367" s="266"/>
      <c r="L367" s="266"/>
      <c r="M367" s="749"/>
      <c r="N367" s="742"/>
      <c r="O367" s="268">
        <v>181.3</v>
      </c>
      <c r="P367" s="3513">
        <v>181.2</v>
      </c>
      <c r="Q367" s="268">
        <v>133.19999999999999</v>
      </c>
      <c r="R367" s="3770"/>
      <c r="S367" s="1470"/>
    </row>
    <row r="368" spans="1:19">
      <c r="A368" s="1468">
        <v>2002.11</v>
      </c>
      <c r="B368" s="1559">
        <v>114.741397839352</v>
      </c>
      <c r="C368" s="3711">
        <v>121.928527511022</v>
      </c>
      <c r="D368" s="1560">
        <v>104.80537061852399</v>
      </c>
      <c r="E368" s="1561">
        <v>112.845159301313</v>
      </c>
      <c r="F368" s="3711">
        <v>117.27245335254599</v>
      </c>
      <c r="G368" s="1560">
        <v>106.38705807001</v>
      </c>
      <c r="H368" s="1561">
        <v>3.63</v>
      </c>
      <c r="I368" s="268">
        <v>3.4885714285714289</v>
      </c>
      <c r="J368" s="291"/>
      <c r="K368" s="266"/>
      <c r="L368" s="266"/>
      <c r="M368" s="749"/>
      <c r="N368" s="742"/>
      <c r="O368" s="268">
        <v>181.3</v>
      </c>
      <c r="P368" s="3513">
        <v>181.5</v>
      </c>
      <c r="Q368" s="268">
        <v>133.1</v>
      </c>
      <c r="R368" s="3770"/>
      <c r="S368" s="1470"/>
    </row>
    <row r="369" spans="1:19">
      <c r="A369" s="1468">
        <v>2002.12</v>
      </c>
      <c r="B369" s="1559">
        <v>114.093973648551</v>
      </c>
      <c r="C369" s="3711">
        <v>120.72175046683201</v>
      </c>
      <c r="D369" s="1560">
        <v>104.868668400098</v>
      </c>
      <c r="E369" s="1561">
        <v>112.20969941529199</v>
      </c>
      <c r="F369" s="3711">
        <v>116.219903879383</v>
      </c>
      <c r="G369" s="1560">
        <v>106.309017735541</v>
      </c>
      <c r="H369" s="1561">
        <v>3.39</v>
      </c>
      <c r="I369" s="268">
        <v>3.44</v>
      </c>
      <c r="J369" s="291"/>
      <c r="K369" s="266"/>
      <c r="L369" s="266"/>
      <c r="M369" s="749"/>
      <c r="N369" s="742"/>
      <c r="O369" s="268">
        <v>180.9</v>
      </c>
      <c r="P369" s="3513">
        <v>181.8</v>
      </c>
      <c r="Q369" s="268">
        <v>132.9</v>
      </c>
      <c r="R369" s="3770"/>
      <c r="S369" s="1470"/>
    </row>
    <row r="370" spans="1:19">
      <c r="A370" s="1468">
        <v>2003.01</v>
      </c>
      <c r="B370" s="1559">
        <v>112.77885753861599</v>
      </c>
      <c r="C370" s="3711">
        <v>117.694887302146</v>
      </c>
      <c r="D370" s="1560">
        <v>105.771480929712</v>
      </c>
      <c r="E370" s="1561">
        <v>110.89452737750101</v>
      </c>
      <c r="F370" s="3711">
        <v>113.252104255712</v>
      </c>
      <c r="G370" s="1560">
        <v>107.237410315999</v>
      </c>
      <c r="H370" s="1561">
        <v>3.21</v>
      </c>
      <c r="I370" s="268">
        <v>3.2113636363636373</v>
      </c>
      <c r="J370" s="291"/>
      <c r="K370" s="266"/>
      <c r="L370" s="266"/>
      <c r="M370" s="749"/>
      <c r="N370" s="742"/>
      <c r="O370" s="268">
        <v>181.7</v>
      </c>
      <c r="P370" s="3513">
        <v>182.6</v>
      </c>
      <c r="Q370" s="268">
        <v>135.30000000000001</v>
      </c>
      <c r="R370" s="3770"/>
      <c r="S370" s="1470"/>
    </row>
    <row r="371" spans="1:19">
      <c r="A371" s="1468">
        <v>2003.02</v>
      </c>
      <c r="B371" s="1559">
        <v>112.599682737786</v>
      </c>
      <c r="C371" s="3711">
        <v>116.36720307401799</v>
      </c>
      <c r="D371" s="1560">
        <v>107.104622727758</v>
      </c>
      <c r="E371" s="1561">
        <v>110.98782264275501</v>
      </c>
      <c r="F371" s="3711">
        <v>112.29426082203901</v>
      </c>
      <c r="G371" s="1560">
        <v>108.795386408805</v>
      </c>
      <c r="H371" s="1561">
        <v>3.19</v>
      </c>
      <c r="I371" s="268">
        <v>3.1136842105263152</v>
      </c>
      <c r="J371" s="291"/>
      <c r="K371" s="266"/>
      <c r="L371" s="266"/>
      <c r="M371" s="749"/>
      <c r="N371" s="742"/>
      <c r="O371" s="268">
        <v>183.1</v>
      </c>
      <c r="P371" s="3513">
        <v>183.6</v>
      </c>
      <c r="Q371" s="268">
        <v>137.6</v>
      </c>
      <c r="R371" s="3770"/>
      <c r="S371" s="1470"/>
    </row>
    <row r="372" spans="1:19">
      <c r="A372" s="1468">
        <v>2003.03</v>
      </c>
      <c r="B372" s="1559">
        <v>112.07887658380901</v>
      </c>
      <c r="C372" s="3711">
        <v>115.469257143186</v>
      </c>
      <c r="D372" s="1560">
        <v>107.097211230093</v>
      </c>
      <c r="E372" s="1561">
        <v>110.39604009090699</v>
      </c>
      <c r="F372" s="3711">
        <v>111.46928322700001</v>
      </c>
      <c r="G372" s="1560">
        <v>108.535021219836</v>
      </c>
      <c r="H372" s="1561">
        <v>2.99</v>
      </c>
      <c r="I372" s="268">
        <v>3.0214999999999996</v>
      </c>
      <c r="J372" s="291"/>
      <c r="K372" s="266"/>
      <c r="L372" s="266"/>
      <c r="M372" s="749"/>
      <c r="N372" s="742"/>
      <c r="O372" s="268">
        <v>184.2</v>
      </c>
      <c r="P372" s="3513">
        <v>183.9</v>
      </c>
      <c r="Q372" s="268">
        <v>141.19999999999999</v>
      </c>
      <c r="R372" s="3770"/>
      <c r="S372" s="1470"/>
    </row>
    <row r="373" spans="1:19">
      <c r="A373" s="1468">
        <v>2003.04</v>
      </c>
      <c r="B373" s="1559">
        <v>111.129854627665</v>
      </c>
      <c r="C373" s="3711">
        <v>115.020186234965</v>
      </c>
      <c r="D373" s="1560">
        <v>105.47629886967199</v>
      </c>
      <c r="E373" s="1561">
        <v>109.13974018439001</v>
      </c>
      <c r="F373" s="3711">
        <v>110.91172409868901</v>
      </c>
      <c r="G373" s="1560">
        <v>106.300529957338</v>
      </c>
      <c r="H373" s="1561">
        <v>2.79</v>
      </c>
      <c r="I373" s="268">
        <v>2.8410526315789477</v>
      </c>
      <c r="J373" s="291"/>
      <c r="K373" s="266"/>
      <c r="L373" s="266"/>
      <c r="M373" s="749"/>
      <c r="N373" s="742"/>
      <c r="O373" s="268">
        <v>183.8</v>
      </c>
      <c r="P373" s="3513">
        <v>183.2</v>
      </c>
      <c r="Q373" s="268">
        <v>136.80000000000001</v>
      </c>
      <c r="R373" s="3770"/>
      <c r="S373" s="1470"/>
    </row>
    <row r="374" spans="1:19">
      <c r="A374" s="1468">
        <v>2003.05</v>
      </c>
      <c r="B374" s="1559">
        <v>107.21152516508199</v>
      </c>
      <c r="C374" s="3711">
        <v>109.57917546821901</v>
      </c>
      <c r="D374" s="1560">
        <v>103.639222353414</v>
      </c>
      <c r="E374" s="1561">
        <v>105.214665913986</v>
      </c>
      <c r="F374" s="3711">
        <v>105.672353990983</v>
      </c>
      <c r="G374" s="1560">
        <v>104.247012267513</v>
      </c>
      <c r="H374" s="1561">
        <v>2.86</v>
      </c>
      <c r="I374" s="268">
        <v>2.7864999999999993</v>
      </c>
      <c r="J374" s="291"/>
      <c r="K374" s="266"/>
      <c r="L374" s="266"/>
      <c r="M374" s="749"/>
      <c r="N374" s="742"/>
      <c r="O374" s="268">
        <v>183.5</v>
      </c>
      <c r="P374" s="3513">
        <v>182.9</v>
      </c>
      <c r="Q374" s="268">
        <v>136.69999999999999</v>
      </c>
      <c r="R374" s="3770"/>
      <c r="S374" s="1470"/>
    </row>
    <row r="375" spans="1:19">
      <c r="A375" s="1468">
        <v>2003.06</v>
      </c>
      <c r="B375" s="1559">
        <v>106.612393376721</v>
      </c>
      <c r="C375" s="3711">
        <v>108.241488629976</v>
      </c>
      <c r="D375" s="1560">
        <v>104.063685362767</v>
      </c>
      <c r="E375" s="1561">
        <v>104.626696138008</v>
      </c>
      <c r="F375" s="3711">
        <v>104.333179032234</v>
      </c>
      <c r="G375" s="1560">
        <v>104.74860099937101</v>
      </c>
      <c r="H375" s="1561">
        <v>2.8</v>
      </c>
      <c r="I375" s="268">
        <v>2.758</v>
      </c>
      <c r="J375" s="291"/>
      <c r="K375" s="266"/>
      <c r="L375" s="266"/>
      <c r="M375" s="749"/>
      <c r="N375" s="742"/>
      <c r="O375" s="268">
        <v>183.7</v>
      </c>
      <c r="P375" s="3513">
        <v>183.1</v>
      </c>
      <c r="Q375" s="268">
        <v>138</v>
      </c>
      <c r="R375" s="3770"/>
      <c r="S375" s="1470"/>
    </row>
    <row r="376" spans="1:19">
      <c r="A376" s="1468">
        <v>2003.07</v>
      </c>
      <c r="B376" s="1559">
        <v>107.769484532135</v>
      </c>
      <c r="C376" s="3711">
        <v>110.388491582893</v>
      </c>
      <c r="D376" s="1560">
        <v>103.84872224336</v>
      </c>
      <c r="E376" s="1561">
        <v>106.02976726038101</v>
      </c>
      <c r="F376" s="3711">
        <v>106.67077860677099</v>
      </c>
      <c r="G376" s="1560">
        <v>104.79708242378599</v>
      </c>
      <c r="H376" s="1561">
        <v>2.94</v>
      </c>
      <c r="I376" s="268">
        <v>2.7518181818181815</v>
      </c>
      <c r="J376" s="291"/>
      <c r="K376" s="266"/>
      <c r="L376" s="266"/>
      <c r="M376" s="749"/>
      <c r="N376" s="742"/>
      <c r="O376" s="268">
        <v>183.9</v>
      </c>
      <c r="P376" s="3513">
        <v>183.7</v>
      </c>
      <c r="Q376" s="268">
        <v>137.69999999999999</v>
      </c>
      <c r="R376" s="3770"/>
      <c r="S376" s="1470"/>
    </row>
    <row r="377" spans="1:19">
      <c r="A377" s="1468">
        <v>2003.08</v>
      </c>
      <c r="B377" s="1559">
        <v>109.13037949994801</v>
      </c>
      <c r="C377" s="3711">
        <v>111.85961912869099</v>
      </c>
      <c r="D377" s="1560">
        <v>105.05245068395099</v>
      </c>
      <c r="E377" s="1561">
        <v>107.552873592533</v>
      </c>
      <c r="F377" s="3711">
        <v>108.270589493126</v>
      </c>
      <c r="G377" s="1560">
        <v>106.20606520616801</v>
      </c>
      <c r="H377" s="1561">
        <v>2.96</v>
      </c>
      <c r="I377" s="268">
        <v>2.8765000000000001</v>
      </c>
      <c r="J377" s="291"/>
      <c r="K377" s="266"/>
      <c r="L377" s="266"/>
      <c r="M377" s="749"/>
      <c r="N377" s="742"/>
      <c r="O377" s="268">
        <v>184.6</v>
      </c>
      <c r="P377" s="3513">
        <v>184.5</v>
      </c>
      <c r="Q377" s="268">
        <v>138</v>
      </c>
      <c r="R377" s="3770"/>
      <c r="S377" s="1470"/>
    </row>
    <row r="378" spans="1:19">
      <c r="A378" s="1468">
        <v>2003.09</v>
      </c>
      <c r="B378" s="1559">
        <v>107.949042822287</v>
      </c>
      <c r="C378" s="3711">
        <v>109.84158825564199</v>
      </c>
      <c r="D378" s="1560">
        <v>105.03274138849</v>
      </c>
      <c r="E378" s="1561">
        <v>106.42323643193799</v>
      </c>
      <c r="F378" s="3711">
        <v>106.366030349588</v>
      </c>
      <c r="G378" s="1560">
        <v>106.19562447237</v>
      </c>
      <c r="H378" s="1561">
        <v>2.92</v>
      </c>
      <c r="I378" s="268">
        <v>2.8713636363636366</v>
      </c>
      <c r="J378" s="291"/>
      <c r="K378" s="266"/>
      <c r="L378" s="266"/>
      <c r="M378" s="749"/>
      <c r="N378" s="742"/>
      <c r="O378" s="268">
        <v>185.2</v>
      </c>
      <c r="P378" s="3513">
        <v>185.1</v>
      </c>
      <c r="Q378" s="268">
        <v>138.5</v>
      </c>
      <c r="R378" s="3770"/>
      <c r="S378" s="1470"/>
    </row>
    <row r="379" spans="1:19">
      <c r="A379" s="1468">
        <v>2003.1</v>
      </c>
      <c r="B379" s="1559">
        <v>105.63390683523301</v>
      </c>
      <c r="C379" s="3711">
        <v>105.63112760098799</v>
      </c>
      <c r="D379" s="1560">
        <v>105.4125948809</v>
      </c>
      <c r="E379" s="1561">
        <v>103.97889706937301</v>
      </c>
      <c r="F379" s="3711">
        <v>102.29943483909599</v>
      </c>
      <c r="G379" s="1560">
        <v>106.161272551197</v>
      </c>
      <c r="H379" s="1561">
        <v>2.87</v>
      </c>
      <c r="I379" s="268">
        <v>2.8081818181818177</v>
      </c>
      <c r="J379" s="291"/>
      <c r="K379" s="266"/>
      <c r="L379" s="266"/>
      <c r="M379" s="749"/>
      <c r="N379" s="742"/>
      <c r="O379" s="268">
        <v>185</v>
      </c>
      <c r="P379" s="3513">
        <v>184.9</v>
      </c>
      <c r="Q379" s="268">
        <v>139.30000000000001</v>
      </c>
      <c r="R379" s="3770"/>
      <c r="S379" s="1470"/>
    </row>
    <row r="380" spans="1:19">
      <c r="A380" s="1468">
        <v>2003.11</v>
      </c>
      <c r="B380" s="1559">
        <v>105.473387772726</v>
      </c>
      <c r="C380" s="3711">
        <v>105.22313525487201</v>
      </c>
      <c r="D380" s="1560">
        <v>105.61752223692901</v>
      </c>
      <c r="E380" s="1561">
        <v>103.55627040426801</v>
      </c>
      <c r="F380" s="3711">
        <v>101.813074620234</v>
      </c>
      <c r="G380" s="1560">
        <v>105.83641473816201</v>
      </c>
      <c r="H380" s="1561">
        <v>2.98</v>
      </c>
      <c r="I380" s="268">
        <v>2.838947368421052</v>
      </c>
      <c r="J380" s="291"/>
      <c r="K380" s="266"/>
      <c r="L380" s="266"/>
      <c r="M380" s="749"/>
      <c r="N380" s="742"/>
      <c r="O380" s="268">
        <v>184.5</v>
      </c>
      <c r="P380" s="3513">
        <v>185</v>
      </c>
      <c r="Q380" s="268">
        <v>138.9</v>
      </c>
      <c r="R380" s="3770"/>
      <c r="S380" s="1470"/>
    </row>
    <row r="381" spans="1:19">
      <c r="A381" s="1468">
        <v>2003.12</v>
      </c>
      <c r="B381" s="1559">
        <v>103.980622203031</v>
      </c>
      <c r="C381" s="3711">
        <v>102.61377501171199</v>
      </c>
      <c r="D381" s="1560">
        <v>105.77565688449801</v>
      </c>
      <c r="E381" s="1561">
        <v>102.10579310146601</v>
      </c>
      <c r="F381" s="3711">
        <v>99.335239956570206</v>
      </c>
      <c r="G381" s="1560">
        <v>105.965642129892</v>
      </c>
      <c r="H381" s="1561">
        <v>2.93</v>
      </c>
      <c r="I381" s="268">
        <v>2.9268421052631579</v>
      </c>
      <c r="J381" s="291"/>
      <c r="K381" s="266"/>
      <c r="L381" s="266"/>
      <c r="M381" s="749"/>
      <c r="N381" s="742"/>
      <c r="O381" s="268">
        <v>184.3</v>
      </c>
      <c r="P381" s="3513">
        <v>185.5</v>
      </c>
      <c r="Q381" s="268">
        <v>139.5</v>
      </c>
      <c r="R381" s="3770"/>
      <c r="S381" s="1470"/>
    </row>
    <row r="382" spans="1:19">
      <c r="A382" s="1468">
        <v>2004.01</v>
      </c>
      <c r="B382" s="1559">
        <v>102.19760839886</v>
      </c>
      <c r="C382" s="3711">
        <v>100.510824206717</v>
      </c>
      <c r="D382" s="1560">
        <v>104.496037587437</v>
      </c>
      <c r="E382" s="1561">
        <v>100.453476245362</v>
      </c>
      <c r="F382" s="3711">
        <v>97.489944729119799</v>
      </c>
      <c r="G382" s="1560">
        <v>104.606810147518</v>
      </c>
      <c r="H382" s="1561">
        <v>2.92</v>
      </c>
      <c r="I382" s="268">
        <v>2.8752380952380956</v>
      </c>
      <c r="J382" s="291"/>
      <c r="K382" s="266"/>
      <c r="L382" s="266"/>
      <c r="M382" s="749"/>
      <c r="N382" s="742"/>
      <c r="O382" s="268">
        <v>185.2</v>
      </c>
      <c r="P382" s="3513">
        <v>186.3</v>
      </c>
      <c r="Q382" s="268">
        <v>141.4</v>
      </c>
      <c r="R382" s="3770"/>
      <c r="S382" s="1470"/>
    </row>
    <row r="383" spans="1:19">
      <c r="A383" s="1468">
        <v>2004.02</v>
      </c>
      <c r="B383" s="1559">
        <v>102.65775021234001</v>
      </c>
      <c r="C383" s="3711">
        <v>101.08586277905199</v>
      </c>
      <c r="D383" s="1560">
        <v>104.78858435876499</v>
      </c>
      <c r="E383" s="1561">
        <v>101.104815073842</v>
      </c>
      <c r="F383" s="3711">
        <v>98.2763693104109</v>
      </c>
      <c r="G383" s="1560">
        <v>105.053888655401</v>
      </c>
      <c r="H383" s="1561">
        <v>2.92</v>
      </c>
      <c r="I383" s="268">
        <v>2.9129999999999998</v>
      </c>
      <c r="J383" s="291"/>
      <c r="K383" s="266"/>
      <c r="L383" s="266"/>
      <c r="M383" s="749"/>
      <c r="N383" s="742"/>
      <c r="O383" s="268">
        <v>186.2</v>
      </c>
      <c r="P383" s="3513">
        <v>186.7</v>
      </c>
      <c r="Q383" s="268">
        <v>142.1</v>
      </c>
      <c r="R383" s="3770"/>
      <c r="S383" s="1470"/>
    </row>
    <row r="384" spans="1:19">
      <c r="A384" s="1468">
        <v>2004.03</v>
      </c>
      <c r="B384" s="1559">
        <v>103.75078448833</v>
      </c>
      <c r="C384" s="3711">
        <v>102.863656795829</v>
      </c>
      <c r="D384" s="1560">
        <v>104.894942501434</v>
      </c>
      <c r="E384" s="1561">
        <v>102.12714904316699</v>
      </c>
      <c r="F384" s="3711">
        <v>100.102399607355</v>
      </c>
      <c r="G384" s="1560">
        <v>104.883867433246</v>
      </c>
      <c r="H384" s="1561">
        <v>2.86</v>
      </c>
      <c r="I384" s="268">
        <v>2.8769565217391304</v>
      </c>
      <c r="J384" s="291"/>
      <c r="K384" s="266"/>
      <c r="L384" s="266"/>
      <c r="M384" s="749"/>
      <c r="N384" s="742"/>
      <c r="O384" s="268">
        <v>187.4</v>
      </c>
      <c r="P384" s="3513">
        <v>187.1</v>
      </c>
      <c r="Q384" s="268">
        <v>143.1</v>
      </c>
      <c r="R384" s="3770"/>
      <c r="S384" s="1470"/>
    </row>
    <row r="385" spans="1:18">
      <c r="A385" s="1468">
        <v>2004.04</v>
      </c>
      <c r="B385" s="1559">
        <v>104.61521112201601</v>
      </c>
      <c r="C385" s="3711">
        <v>104.06227754046699</v>
      </c>
      <c r="D385" s="1560">
        <v>105.285305529491</v>
      </c>
      <c r="E385" s="1561">
        <v>102.88033514096701</v>
      </c>
      <c r="F385" s="3711">
        <v>101.275184444187</v>
      </c>
      <c r="G385" s="1560">
        <v>105.02371236787501</v>
      </c>
      <c r="H385" s="1561">
        <v>2.85</v>
      </c>
      <c r="I385" s="268">
        <v>2.812727272727273</v>
      </c>
      <c r="J385" s="291"/>
      <c r="K385" s="266"/>
      <c r="L385" s="266"/>
      <c r="M385" s="749"/>
      <c r="N385" s="742"/>
      <c r="O385" s="268">
        <v>188</v>
      </c>
      <c r="P385" s="3513">
        <v>187.4</v>
      </c>
      <c r="Q385" s="268">
        <v>144.80000000000001</v>
      </c>
      <c r="R385" s="3770"/>
    </row>
    <row r="386" spans="1:18">
      <c r="A386" s="1468">
        <v>2004.05</v>
      </c>
      <c r="B386" s="1559">
        <v>106.322550179212</v>
      </c>
      <c r="C386" s="3711">
        <v>105.820243899533</v>
      </c>
      <c r="D386" s="1560">
        <v>106.917899031809</v>
      </c>
      <c r="E386" s="1561">
        <v>104.728158356623</v>
      </c>
      <c r="F386" s="3711">
        <v>103.169544625765</v>
      </c>
      <c r="G386" s="1560">
        <v>106.800787140225</v>
      </c>
      <c r="H386" s="1561">
        <v>2.95</v>
      </c>
      <c r="I386" s="268">
        <v>2.9042857142857148</v>
      </c>
      <c r="J386" s="291"/>
      <c r="K386" s="266"/>
      <c r="L386" s="266"/>
      <c r="M386" s="749"/>
      <c r="N386" s="742"/>
      <c r="O386" s="268">
        <v>189.1</v>
      </c>
      <c r="P386" s="3513">
        <v>188.2</v>
      </c>
      <c r="Q386" s="268">
        <v>146.80000000000001</v>
      </c>
      <c r="R386" s="3770"/>
    </row>
    <row r="387" spans="1:18">
      <c r="A387" s="1468">
        <v>2004.06</v>
      </c>
      <c r="B387" s="1559">
        <v>105.234397997183</v>
      </c>
      <c r="C387" s="3711">
        <v>104.18319812795301</v>
      </c>
      <c r="D387" s="1560">
        <v>106.610666740544</v>
      </c>
      <c r="E387" s="1561">
        <v>103.73818990481</v>
      </c>
      <c r="F387" s="3711">
        <v>101.724964107471</v>
      </c>
      <c r="G387" s="1560">
        <v>106.47471736105</v>
      </c>
      <c r="H387" s="1561">
        <v>2.96</v>
      </c>
      <c r="I387" s="268">
        <v>2.9413636363636368</v>
      </c>
      <c r="J387" s="291"/>
      <c r="K387" s="266"/>
      <c r="L387" s="266"/>
      <c r="M387" s="749"/>
      <c r="N387" s="742"/>
      <c r="O387" s="268">
        <v>189.7</v>
      </c>
      <c r="P387" s="3513">
        <v>188.9</v>
      </c>
      <c r="Q387" s="268">
        <v>147.19999999999999</v>
      </c>
      <c r="R387" s="3770"/>
    </row>
    <row r="388" spans="1:18">
      <c r="A388" s="1468">
        <v>2004.07</v>
      </c>
      <c r="B388" s="1559">
        <v>104.411196677937</v>
      </c>
      <c r="C388" s="3711">
        <v>102.76652972686399</v>
      </c>
      <c r="D388" s="1560">
        <v>106.644848713871</v>
      </c>
      <c r="E388" s="1561">
        <v>102.8778926526</v>
      </c>
      <c r="F388" s="3711">
        <v>100.41976385927001</v>
      </c>
      <c r="G388" s="1560">
        <v>106.27138629404701</v>
      </c>
      <c r="H388" s="1561">
        <v>2.97</v>
      </c>
      <c r="I388" s="268">
        <v>2.936363636363637</v>
      </c>
      <c r="J388" s="291"/>
      <c r="K388" s="266"/>
      <c r="L388" s="266"/>
      <c r="M388" s="749"/>
      <c r="N388" s="742"/>
      <c r="O388" s="268">
        <v>189.4</v>
      </c>
      <c r="P388" s="3513">
        <v>189.1</v>
      </c>
      <c r="Q388" s="268">
        <v>147.4</v>
      </c>
      <c r="R388" s="3770"/>
    </row>
    <row r="389" spans="1:18">
      <c r="A389" s="1468">
        <v>2004.08</v>
      </c>
      <c r="B389" s="1559">
        <v>104.545930101615</v>
      </c>
      <c r="C389" s="3711">
        <v>103.044494324517</v>
      </c>
      <c r="D389" s="1560">
        <v>106.571235511034</v>
      </c>
      <c r="E389" s="1561">
        <v>102.842343103248</v>
      </c>
      <c r="F389" s="3711">
        <v>100.708294041803</v>
      </c>
      <c r="G389" s="1560">
        <v>105.757954812913</v>
      </c>
      <c r="H389" s="1561">
        <v>3</v>
      </c>
      <c r="I389" s="268">
        <v>2.9950000000000006</v>
      </c>
      <c r="J389" s="291"/>
      <c r="K389" s="266"/>
      <c r="L389" s="266"/>
      <c r="M389" s="749"/>
      <c r="N389" s="742"/>
      <c r="O389" s="268">
        <v>189.5</v>
      </c>
      <c r="P389" s="3513">
        <v>189.2</v>
      </c>
      <c r="Q389" s="268">
        <v>148</v>
      </c>
      <c r="R389" s="3770"/>
    </row>
    <row r="390" spans="1:18">
      <c r="A390" s="1468">
        <v>2004.09</v>
      </c>
      <c r="B390" s="1559">
        <v>104.15866900634499</v>
      </c>
      <c r="C390" s="3711">
        <v>102.504296725957</v>
      </c>
      <c r="D390" s="1560">
        <v>106.40601314514601</v>
      </c>
      <c r="E390" s="1561">
        <v>102.568541560919</v>
      </c>
      <c r="F390" s="3711">
        <v>100.363666605367</v>
      </c>
      <c r="G390" s="1560">
        <v>105.588894782414</v>
      </c>
      <c r="H390" s="1561">
        <v>2.99</v>
      </c>
      <c r="I390" s="268">
        <v>2.9740909090909082</v>
      </c>
      <c r="J390" s="291"/>
      <c r="K390" s="266"/>
      <c r="L390" s="266"/>
      <c r="M390" s="749"/>
      <c r="N390" s="742"/>
      <c r="O390" s="268">
        <v>189.9</v>
      </c>
      <c r="P390" s="3513">
        <v>189.8</v>
      </c>
      <c r="Q390" s="268">
        <v>147.69999999999999</v>
      </c>
      <c r="R390" s="3770"/>
    </row>
    <row r="391" spans="1:18">
      <c r="A391" s="1468">
        <v>2004.1</v>
      </c>
      <c r="B391" s="1559">
        <v>102.54484091479399</v>
      </c>
      <c r="C391" s="3711">
        <v>100.146897660663</v>
      </c>
      <c r="D391" s="1560">
        <v>105.890408653517</v>
      </c>
      <c r="E391" s="1561">
        <v>101.22128552949</v>
      </c>
      <c r="F391" s="3711">
        <v>98.241696158021298</v>
      </c>
      <c r="G391" s="1560">
        <v>105.396467942219</v>
      </c>
      <c r="H391" s="1561">
        <v>2.98</v>
      </c>
      <c r="I391" s="268">
        <v>2.9490476190476191</v>
      </c>
      <c r="J391" s="291"/>
      <c r="K391" s="266"/>
      <c r="L391" s="266"/>
      <c r="M391" s="749"/>
      <c r="N391" s="742"/>
      <c r="O391" s="268">
        <v>190.9</v>
      </c>
      <c r="P391" s="3513">
        <v>190.8</v>
      </c>
      <c r="Q391" s="268">
        <v>150</v>
      </c>
      <c r="R391" s="3770"/>
    </row>
    <row r="392" spans="1:18">
      <c r="A392" s="1468">
        <v>2004.11</v>
      </c>
      <c r="B392" s="1559">
        <v>99.765128453840703</v>
      </c>
      <c r="C392" s="3711">
        <v>96.264438803216507</v>
      </c>
      <c r="D392" s="1560">
        <v>104.767210648261</v>
      </c>
      <c r="E392" s="1561">
        <v>98.770226379626806</v>
      </c>
      <c r="F392" s="3711">
        <v>94.668168246116295</v>
      </c>
      <c r="G392" s="1560">
        <v>104.664485259732</v>
      </c>
      <c r="H392" s="1561">
        <v>2.96</v>
      </c>
      <c r="I392" s="268">
        <v>2.933636363636364</v>
      </c>
      <c r="J392" s="291"/>
      <c r="K392" s="266"/>
      <c r="L392" s="266"/>
      <c r="M392" s="749"/>
      <c r="N392" s="742"/>
      <c r="O392" s="268">
        <v>191</v>
      </c>
      <c r="P392" s="3513">
        <v>191.7</v>
      </c>
      <c r="Q392" s="268">
        <v>151.4</v>
      </c>
      <c r="R392" s="3770"/>
    </row>
    <row r="393" spans="1:18">
      <c r="A393" s="1468">
        <v>2004.12</v>
      </c>
      <c r="B393" s="1559">
        <v>98.669384555663896</v>
      </c>
      <c r="C393" s="3711">
        <v>95.2895064037927</v>
      </c>
      <c r="D393" s="1560">
        <v>103.491063438316</v>
      </c>
      <c r="E393" s="1561">
        <v>97.593938165460997</v>
      </c>
      <c r="F393" s="3711">
        <v>93.644768864956603</v>
      </c>
      <c r="G393" s="1560">
        <v>103.25729916946101</v>
      </c>
      <c r="H393" s="1561">
        <v>2.97</v>
      </c>
      <c r="I393" s="268">
        <v>2.9531818181818181</v>
      </c>
      <c r="J393" s="291"/>
      <c r="K393" s="266"/>
      <c r="L393" s="266"/>
      <c r="M393" s="749"/>
      <c r="N393" s="742"/>
      <c r="O393" s="268">
        <v>190.3</v>
      </c>
      <c r="P393" s="3513">
        <v>191.7</v>
      </c>
      <c r="Q393" s="268">
        <v>150.19999999999999</v>
      </c>
      <c r="R393" s="3770"/>
    </row>
    <row r="394" spans="1:18">
      <c r="A394" s="1468">
        <v>2005.01</v>
      </c>
      <c r="B394" s="1559">
        <v>99.291464291195396</v>
      </c>
      <c r="C394" s="3711">
        <v>96.425162139548206</v>
      </c>
      <c r="D394" s="1560">
        <v>103.363559323723</v>
      </c>
      <c r="E394" s="1561">
        <v>98.107042635559793</v>
      </c>
      <c r="F394" s="3711">
        <v>94.722477334053593</v>
      </c>
      <c r="G394" s="1560">
        <v>102.927180335304</v>
      </c>
      <c r="H394" s="1561">
        <v>2.93</v>
      </c>
      <c r="I394" s="268">
        <v>2.9252380952380954</v>
      </c>
      <c r="J394" s="291"/>
      <c r="K394" s="266"/>
      <c r="L394" s="266"/>
      <c r="M394" s="749"/>
      <c r="N394" s="742"/>
      <c r="O394" s="268">
        <v>190.7</v>
      </c>
      <c r="P394" s="3513">
        <v>191.6</v>
      </c>
      <c r="Q394" s="268">
        <v>150.9</v>
      </c>
      <c r="R394" s="3770"/>
    </row>
    <row r="395" spans="1:18">
      <c r="A395" s="1468">
        <v>2005.02</v>
      </c>
      <c r="B395" s="1559">
        <v>99.5191933751547</v>
      </c>
      <c r="C395" s="3711">
        <v>97.299641751918401</v>
      </c>
      <c r="D395" s="1560">
        <v>102.65342880746999</v>
      </c>
      <c r="E395" s="1561">
        <v>98.442483239112207</v>
      </c>
      <c r="F395" s="3711">
        <v>95.835254342343205</v>
      </c>
      <c r="G395" s="1560">
        <v>102.122478155416</v>
      </c>
      <c r="H395" s="1561">
        <v>2.93</v>
      </c>
      <c r="I395" s="268">
        <v>2.8988888888888891</v>
      </c>
      <c r="J395" s="291"/>
      <c r="K395" s="266"/>
      <c r="L395" s="266"/>
      <c r="M395" s="749"/>
      <c r="N395" s="742"/>
      <c r="O395" s="268">
        <v>191.8</v>
      </c>
      <c r="P395" s="3513">
        <v>192.4</v>
      </c>
      <c r="Q395" s="268">
        <v>151.6</v>
      </c>
      <c r="R395" s="3770"/>
    </row>
    <row r="396" spans="1:18">
      <c r="A396" s="1468">
        <v>2005.03</v>
      </c>
      <c r="B396" s="1559">
        <v>98.898581171535199</v>
      </c>
      <c r="C396" s="3711">
        <v>96.155213816753999</v>
      </c>
      <c r="D396" s="1560">
        <v>102.792307354397</v>
      </c>
      <c r="E396" s="1561">
        <v>97.941683129378006</v>
      </c>
      <c r="F396" s="3711">
        <v>94.827454561183004</v>
      </c>
      <c r="G396" s="1560">
        <v>102.363203146589</v>
      </c>
      <c r="H396" s="1561">
        <v>2.92</v>
      </c>
      <c r="I396" s="268">
        <v>2.9066666666666658</v>
      </c>
      <c r="J396" s="291"/>
      <c r="K396" s="266"/>
      <c r="L396" s="266"/>
      <c r="M396" s="749"/>
      <c r="N396" s="742"/>
      <c r="O396" s="268">
        <v>193.3</v>
      </c>
      <c r="P396" s="3513">
        <v>193.1</v>
      </c>
      <c r="Q396" s="268">
        <v>153.69999999999999</v>
      </c>
      <c r="R396" s="3770"/>
    </row>
    <row r="397" spans="1:18">
      <c r="A397" s="1468">
        <v>2005.04</v>
      </c>
      <c r="B397" s="1559">
        <v>99.805994074441102</v>
      </c>
      <c r="C397" s="3711">
        <v>97.720128528486597</v>
      </c>
      <c r="D397" s="1560">
        <v>102.747823228855</v>
      </c>
      <c r="E397" s="1561">
        <v>98.970516794319295</v>
      </c>
      <c r="F397" s="3711">
        <v>96.584690191325095</v>
      </c>
      <c r="G397" s="1560">
        <v>102.329485904858</v>
      </c>
      <c r="H397" s="1561">
        <v>2.9</v>
      </c>
      <c r="I397" s="268">
        <v>2.8800000000000008</v>
      </c>
      <c r="J397" s="291"/>
      <c r="K397" s="266"/>
      <c r="L397" s="266"/>
      <c r="M397" s="749"/>
      <c r="N397" s="742"/>
      <c r="O397" s="268">
        <v>194.6</v>
      </c>
      <c r="P397" s="3513">
        <v>193.7</v>
      </c>
      <c r="Q397" s="268">
        <v>155</v>
      </c>
      <c r="R397" s="3770"/>
    </row>
    <row r="398" spans="1:18">
      <c r="A398" s="1468">
        <v>2005.05</v>
      </c>
      <c r="B398" s="1559">
        <v>100.36556018773901</v>
      </c>
      <c r="C398" s="3711">
        <v>99.142622461052397</v>
      </c>
      <c r="D398" s="1560">
        <v>102.086539228666</v>
      </c>
      <c r="E398" s="1561">
        <v>99.333565017139307</v>
      </c>
      <c r="F398" s="3711">
        <v>97.884883059472699</v>
      </c>
      <c r="G398" s="1560">
        <v>101.355011047031</v>
      </c>
      <c r="H398" s="1561">
        <v>2.88</v>
      </c>
      <c r="I398" s="268">
        <v>2.871999999999999</v>
      </c>
      <c r="J398" s="291"/>
      <c r="K398" s="266"/>
      <c r="L398" s="266"/>
      <c r="M398" s="749"/>
      <c r="N398" s="742"/>
      <c r="O398" s="268">
        <v>194.4</v>
      </c>
      <c r="P398" s="3513">
        <v>193.6</v>
      </c>
      <c r="Q398" s="268">
        <v>154.30000000000001</v>
      </c>
      <c r="R398" s="3770"/>
    </row>
    <row r="399" spans="1:18">
      <c r="A399" s="1468">
        <v>2005.06</v>
      </c>
      <c r="B399" s="1559">
        <v>101.33194686177499</v>
      </c>
      <c r="C399" s="3711">
        <v>100.846436355088</v>
      </c>
      <c r="D399" s="1560">
        <v>102.025119137255</v>
      </c>
      <c r="E399" s="1561">
        <v>100.228467612598</v>
      </c>
      <c r="F399" s="3711">
        <v>99.544202034844503</v>
      </c>
      <c r="G399" s="1560">
        <v>101.181403839312</v>
      </c>
      <c r="H399" s="1561">
        <v>2.89</v>
      </c>
      <c r="I399" s="268">
        <v>2.8636363636363638</v>
      </c>
      <c r="J399" s="291"/>
      <c r="K399" s="266"/>
      <c r="L399" s="266"/>
      <c r="M399" s="749"/>
      <c r="N399" s="742"/>
      <c r="O399" s="268">
        <v>194.5</v>
      </c>
      <c r="P399" s="3513">
        <v>193.7</v>
      </c>
      <c r="Q399" s="268">
        <v>154.30000000000001</v>
      </c>
      <c r="R399" s="3770"/>
    </row>
    <row r="400" spans="1:18">
      <c r="A400" s="1468">
        <v>2005.07</v>
      </c>
      <c r="B400" s="1559">
        <v>101.766509546637</v>
      </c>
      <c r="C400" s="3711">
        <v>101.734227026222</v>
      </c>
      <c r="D400" s="1560">
        <v>101.83894036080601</v>
      </c>
      <c r="E400" s="1561">
        <v>100.934009343561</v>
      </c>
      <c r="F400" s="3711">
        <v>100.79281543158299</v>
      </c>
      <c r="G400" s="1560">
        <v>101.13976217039701</v>
      </c>
      <c r="H400" s="1561">
        <v>2.87</v>
      </c>
      <c r="I400" s="268">
        <v>2.8485714285714296</v>
      </c>
      <c r="J400" s="291"/>
      <c r="K400" s="266"/>
      <c r="L400" s="266"/>
      <c r="M400" s="749"/>
      <c r="N400" s="742"/>
      <c r="O400" s="268">
        <v>195.4</v>
      </c>
      <c r="P400" s="3513">
        <v>194.9</v>
      </c>
      <c r="Q400" s="268">
        <v>156.30000000000001</v>
      </c>
      <c r="R400" s="3770"/>
    </row>
    <row r="401" spans="1:18">
      <c r="A401" s="1468">
        <v>2005.08</v>
      </c>
      <c r="B401" s="1559">
        <v>100.417296828066</v>
      </c>
      <c r="C401" s="3711">
        <v>99.889342889720794</v>
      </c>
      <c r="D401" s="1560">
        <v>101.17022082089601</v>
      </c>
      <c r="E401" s="1561">
        <v>100.039225566757</v>
      </c>
      <c r="F401" s="3711">
        <v>99.393329966779802</v>
      </c>
      <c r="G401" s="1560">
        <v>100.93903654706899</v>
      </c>
      <c r="H401" s="1561">
        <v>2.9</v>
      </c>
      <c r="I401" s="268">
        <v>2.8686363636363641</v>
      </c>
      <c r="J401" s="291"/>
      <c r="K401" s="266"/>
      <c r="L401" s="266"/>
      <c r="M401" s="749"/>
      <c r="N401" s="742"/>
      <c r="O401" s="268">
        <v>196.4</v>
      </c>
      <c r="P401" s="3513">
        <v>196.1</v>
      </c>
      <c r="Q401" s="268">
        <v>157.6</v>
      </c>
      <c r="R401" s="3770"/>
    </row>
    <row r="402" spans="1:18">
      <c r="A402" s="1468">
        <v>2005.09</v>
      </c>
      <c r="B402" s="1559">
        <v>100.24145241677699</v>
      </c>
      <c r="C402" s="3711">
        <v>99.286425537312795</v>
      </c>
      <c r="D402" s="1560">
        <v>101.585783935105</v>
      </c>
      <c r="E402" s="1561">
        <v>100.86532597687901</v>
      </c>
      <c r="F402" s="3711">
        <v>99.646107023628204</v>
      </c>
      <c r="G402" s="1560">
        <v>102.563767612101</v>
      </c>
      <c r="H402" s="1561">
        <v>2.9</v>
      </c>
      <c r="I402" s="268">
        <v>2.8918181818181816</v>
      </c>
      <c r="J402" s="291"/>
      <c r="K402" s="266"/>
      <c r="L402" s="266"/>
      <c r="M402" s="749"/>
      <c r="N402" s="742"/>
      <c r="O402" s="268">
        <v>198.8</v>
      </c>
      <c r="P402" s="3513">
        <v>198.8</v>
      </c>
      <c r="Q402" s="268">
        <v>162.19999999999999</v>
      </c>
      <c r="R402" s="3770"/>
    </row>
    <row r="403" spans="1:18">
      <c r="A403" s="1468">
        <v>2005.1</v>
      </c>
      <c r="B403" s="1559">
        <v>101.259068338519</v>
      </c>
      <c r="C403" s="3711">
        <v>100.761870520529</v>
      </c>
      <c r="D403" s="1560">
        <v>101.96832504669</v>
      </c>
      <c r="E403" s="1561">
        <v>101.884363526793</v>
      </c>
      <c r="F403" s="3711">
        <v>101.23716490801201</v>
      </c>
      <c r="G403" s="1560">
        <v>102.78609196630801</v>
      </c>
      <c r="H403" s="1561">
        <v>3.01</v>
      </c>
      <c r="I403" s="268">
        <v>2.9471428571428571</v>
      </c>
      <c r="J403" s="291"/>
      <c r="K403" s="266"/>
      <c r="L403" s="266"/>
      <c r="M403" s="749"/>
      <c r="N403" s="742"/>
      <c r="O403" s="268">
        <v>199.2</v>
      </c>
      <c r="P403" s="3513">
        <v>199.1</v>
      </c>
      <c r="Q403" s="268">
        <v>166.2</v>
      </c>
      <c r="R403" s="3770"/>
    </row>
    <row r="404" spans="1:18">
      <c r="A404" s="1468">
        <v>2005.11</v>
      </c>
      <c r="B404" s="1559">
        <v>102.031994637347</v>
      </c>
      <c r="C404" s="3711">
        <v>102.417002609771</v>
      </c>
      <c r="D404" s="1560">
        <v>101.53846281952499</v>
      </c>
      <c r="E404" s="1561">
        <v>102.07163246063899</v>
      </c>
      <c r="F404" s="3711">
        <v>102.407759493917</v>
      </c>
      <c r="G404" s="1560">
        <v>101.62856835556499</v>
      </c>
      <c r="H404" s="1561">
        <v>2.98</v>
      </c>
      <c r="I404" s="268">
        <v>2.9454545454545453</v>
      </c>
      <c r="J404" s="291"/>
      <c r="K404" s="266"/>
      <c r="L404" s="266"/>
      <c r="M404" s="749"/>
      <c r="N404" s="742"/>
      <c r="O404" s="268">
        <v>197.6</v>
      </c>
      <c r="P404" s="3513">
        <v>198.1</v>
      </c>
      <c r="Q404" s="268">
        <v>163.69999999999999</v>
      </c>
      <c r="R404" s="3770"/>
    </row>
    <row r="405" spans="1:18">
      <c r="A405" s="1468">
        <v>2005.12</v>
      </c>
      <c r="B405" s="1559">
        <v>101.329606824064</v>
      </c>
      <c r="C405" s="3711">
        <v>101.48907154814199</v>
      </c>
      <c r="D405" s="1560">
        <v>101.141708640757</v>
      </c>
      <c r="E405" s="1561">
        <v>101.194078070494</v>
      </c>
      <c r="F405" s="3711">
        <v>101.366194355697</v>
      </c>
      <c r="G405" s="1560">
        <v>100.973084788074</v>
      </c>
      <c r="H405" s="1561">
        <v>3.03</v>
      </c>
      <c r="I405" s="268">
        <v>2.9945454545454551</v>
      </c>
      <c r="J405" s="291"/>
      <c r="K405" s="266"/>
      <c r="L405" s="266"/>
      <c r="M405" s="749"/>
      <c r="N405" s="742"/>
      <c r="O405" s="268">
        <v>196.8</v>
      </c>
      <c r="P405" s="3513">
        <v>198.1</v>
      </c>
      <c r="Q405" s="268">
        <v>163</v>
      </c>
      <c r="R405" s="3770"/>
    </row>
    <row r="406" spans="1:18">
      <c r="A406" s="1468">
        <v>2006.01</v>
      </c>
      <c r="B406" s="1559">
        <v>100</v>
      </c>
      <c r="C406" s="3711">
        <v>100</v>
      </c>
      <c r="D406" s="1560">
        <v>100</v>
      </c>
      <c r="E406" s="1561">
        <v>100</v>
      </c>
      <c r="F406" s="3711">
        <v>100</v>
      </c>
      <c r="G406" s="1560">
        <v>100</v>
      </c>
      <c r="H406" s="1561">
        <v>3.06</v>
      </c>
      <c r="I406" s="268">
        <v>3.0290909090909097</v>
      </c>
      <c r="J406" s="291"/>
      <c r="K406" s="266"/>
      <c r="L406" s="266"/>
      <c r="M406" s="749"/>
      <c r="N406" s="742"/>
      <c r="O406" s="268">
        <v>198.3</v>
      </c>
      <c r="P406" s="3513">
        <v>199.3</v>
      </c>
      <c r="Q406" s="268">
        <v>164.3</v>
      </c>
      <c r="R406" s="3770"/>
    </row>
    <row r="407" spans="1:18">
      <c r="A407" s="1468">
        <v>2006.02</v>
      </c>
      <c r="B407" s="1559">
        <v>100.21120000000001</v>
      </c>
      <c r="C407" s="3711">
        <v>100.7907</v>
      </c>
      <c r="D407" s="1560">
        <v>99.467299999999994</v>
      </c>
      <c r="E407" s="1561">
        <v>100.23950000000001</v>
      </c>
      <c r="F407" s="3711">
        <v>100.9186</v>
      </c>
      <c r="G407" s="1560">
        <v>99.368600000000001</v>
      </c>
      <c r="H407" s="1561">
        <v>3.08</v>
      </c>
      <c r="I407" s="268">
        <v>3.0509999999999993</v>
      </c>
      <c r="J407" s="291"/>
      <c r="K407" s="266"/>
      <c r="L407" s="266"/>
      <c r="M407" s="749"/>
      <c r="N407" s="742"/>
      <c r="O407" s="268">
        <v>198.7</v>
      </c>
      <c r="P407" s="3513">
        <v>199.4</v>
      </c>
      <c r="Q407" s="268">
        <v>161.80000000000001</v>
      </c>
      <c r="R407" s="3770"/>
    </row>
    <row r="408" spans="1:18">
      <c r="A408" s="1468">
        <v>2006.03</v>
      </c>
      <c r="B408" s="1559">
        <v>100.4281</v>
      </c>
      <c r="C408" s="3711">
        <v>100.7567</v>
      </c>
      <c r="D408" s="1560">
        <v>100.0048</v>
      </c>
      <c r="E408" s="1561">
        <v>100.5329</v>
      </c>
      <c r="F408" s="3711">
        <v>101.0025</v>
      </c>
      <c r="G408" s="1560">
        <v>99.929199999999994</v>
      </c>
      <c r="H408" s="1561">
        <v>3.08</v>
      </c>
      <c r="I408" s="268">
        <v>3.0565217391304347</v>
      </c>
      <c r="J408" s="291"/>
      <c r="K408" s="266"/>
      <c r="L408" s="266"/>
      <c r="M408" s="749"/>
      <c r="N408" s="742"/>
      <c r="O408" s="268">
        <v>199.8</v>
      </c>
      <c r="P408" s="3513">
        <v>199.7</v>
      </c>
      <c r="Q408" s="268">
        <v>162.19999999999999</v>
      </c>
      <c r="R408" s="3770"/>
    </row>
    <row r="409" spans="1:18">
      <c r="A409" s="1468">
        <v>2006.04</v>
      </c>
      <c r="B409" s="1559">
        <v>99.743499999999997</v>
      </c>
      <c r="C409" s="3711">
        <v>99.411799999999999</v>
      </c>
      <c r="D409" s="1560">
        <v>100.1765</v>
      </c>
      <c r="E409" s="1561">
        <v>100.03530000000001</v>
      </c>
      <c r="F409" s="3711">
        <v>99.851200000000006</v>
      </c>
      <c r="G409" s="1560">
        <v>100.27370000000001</v>
      </c>
      <c r="H409" s="1561">
        <v>3.05</v>
      </c>
      <c r="I409" s="268">
        <v>3.0472222222222225</v>
      </c>
      <c r="J409" s="291"/>
      <c r="K409" s="266"/>
      <c r="L409" s="266"/>
      <c r="M409" s="749"/>
      <c r="N409" s="742"/>
      <c r="O409" s="268">
        <v>201.5</v>
      </c>
      <c r="P409" s="3513">
        <v>200.7</v>
      </c>
      <c r="Q409" s="268">
        <v>164.3</v>
      </c>
      <c r="R409" s="3770"/>
    </row>
    <row r="410" spans="1:18">
      <c r="A410" s="1468">
        <v>2006.05</v>
      </c>
      <c r="B410" s="1559">
        <v>97.511799999999994</v>
      </c>
      <c r="C410" s="3711">
        <v>95.556899999999999</v>
      </c>
      <c r="D410" s="1560">
        <v>100.0994</v>
      </c>
      <c r="E410" s="1561">
        <v>97.853300000000004</v>
      </c>
      <c r="F410" s="3711">
        <v>96.095100000000002</v>
      </c>
      <c r="G410" s="1560">
        <v>100.17310000000001</v>
      </c>
      <c r="H410" s="1561">
        <v>3.09</v>
      </c>
      <c r="I410" s="268">
        <v>3.0360869565217392</v>
      </c>
      <c r="J410" s="291"/>
      <c r="K410" s="266"/>
      <c r="L410" s="266"/>
      <c r="M410" s="749"/>
      <c r="N410" s="742"/>
      <c r="O410" s="268">
        <v>202.5</v>
      </c>
      <c r="P410" s="3513">
        <v>201.3</v>
      </c>
      <c r="Q410" s="268">
        <v>165.8</v>
      </c>
      <c r="R410" s="3770"/>
    </row>
    <row r="411" spans="1:18">
      <c r="A411" s="1468">
        <v>2006.06</v>
      </c>
      <c r="B411" s="1559">
        <v>98.692700000000002</v>
      </c>
      <c r="C411" s="3711">
        <v>96.561700000000002</v>
      </c>
      <c r="D411" s="1560">
        <v>101.51739999999999</v>
      </c>
      <c r="E411" s="1561">
        <v>99.186499999999995</v>
      </c>
      <c r="F411" s="3711">
        <v>97.286699999999996</v>
      </c>
      <c r="G411" s="1560">
        <v>101.69670000000001</v>
      </c>
      <c r="H411" s="1561">
        <v>3.09</v>
      </c>
      <c r="I411" s="268">
        <v>3.0622727272727275</v>
      </c>
      <c r="J411" s="291"/>
      <c r="K411" s="266"/>
      <c r="L411" s="266"/>
      <c r="M411" s="749"/>
      <c r="N411" s="742"/>
      <c r="O411" s="268">
        <v>202.9</v>
      </c>
      <c r="P411" s="3513">
        <v>201.8</v>
      </c>
      <c r="Q411" s="268">
        <v>166.1</v>
      </c>
      <c r="R411" s="3770"/>
    </row>
    <row r="412" spans="1:18">
      <c r="A412" s="1468">
        <v>2006.07</v>
      </c>
      <c r="B412" s="1559">
        <v>98.438699999999997</v>
      </c>
      <c r="C412" s="3711">
        <v>97.031599999999997</v>
      </c>
      <c r="D412" s="1560">
        <v>100.28830000000001</v>
      </c>
      <c r="E412" s="1561">
        <v>99.361500000000007</v>
      </c>
      <c r="F412" s="3711">
        <v>98.191800000000001</v>
      </c>
      <c r="G412" s="1560">
        <v>100.89360000000001</v>
      </c>
      <c r="H412" s="1561">
        <v>3.09</v>
      </c>
      <c r="I412" s="268">
        <v>3.0619047619047626</v>
      </c>
      <c r="J412" s="291"/>
      <c r="K412" s="266"/>
      <c r="L412" s="266"/>
      <c r="M412" s="749"/>
      <c r="N412" s="742"/>
      <c r="O412" s="268">
        <v>203.5</v>
      </c>
      <c r="P412" s="3513">
        <v>202.9</v>
      </c>
      <c r="Q412" s="268">
        <v>166.8</v>
      </c>
      <c r="R412" s="3770"/>
    </row>
    <row r="413" spans="1:18">
      <c r="A413" s="1468">
        <v>2006.08</v>
      </c>
      <c r="B413" s="1559">
        <v>97.713800000000006</v>
      </c>
      <c r="C413" s="3711">
        <v>96.115499999999997</v>
      </c>
      <c r="D413" s="1560">
        <v>99.8185</v>
      </c>
      <c r="E413" s="1561">
        <v>98.8202</v>
      </c>
      <c r="F413" s="3711">
        <v>97.482900000000001</v>
      </c>
      <c r="G413" s="1560">
        <v>100.57550000000001</v>
      </c>
      <c r="H413" s="1561">
        <v>3.1</v>
      </c>
      <c r="I413" s="268">
        <v>3.0608695652173914</v>
      </c>
      <c r="J413" s="291"/>
      <c r="K413" s="266"/>
      <c r="L413" s="266"/>
      <c r="M413" s="749"/>
      <c r="N413" s="742"/>
      <c r="O413" s="268">
        <v>203.9</v>
      </c>
      <c r="P413" s="3513">
        <v>203.8</v>
      </c>
      <c r="Q413" s="268">
        <v>167.9</v>
      </c>
      <c r="R413" s="3770"/>
    </row>
    <row r="414" spans="1:18">
      <c r="A414" s="1468">
        <v>2006.09</v>
      </c>
      <c r="B414" s="1559">
        <v>97.981399999999994</v>
      </c>
      <c r="C414" s="3711">
        <v>96.546099999999996</v>
      </c>
      <c r="D414" s="1560">
        <v>99.867900000000006</v>
      </c>
      <c r="E414" s="1561">
        <v>98.553700000000006</v>
      </c>
      <c r="F414" s="3711">
        <v>97.600300000000004</v>
      </c>
      <c r="G414" s="1560">
        <v>99.799599999999998</v>
      </c>
      <c r="H414" s="1561">
        <v>3.1</v>
      </c>
      <c r="I414" s="268">
        <v>3.0799999999999992</v>
      </c>
      <c r="J414" s="291"/>
      <c r="K414" s="266"/>
      <c r="L414" s="266"/>
      <c r="M414" s="749"/>
      <c r="N414" s="742"/>
      <c r="O414" s="268">
        <v>202.9</v>
      </c>
      <c r="P414" s="3513">
        <v>202.8</v>
      </c>
      <c r="Q414" s="268">
        <v>165.4</v>
      </c>
      <c r="R414" s="3770"/>
    </row>
    <row r="415" spans="1:18">
      <c r="A415" s="1468">
        <v>2006.1</v>
      </c>
      <c r="B415" s="1559">
        <v>98.315600000000003</v>
      </c>
      <c r="C415" s="3711">
        <v>97.481899999999996</v>
      </c>
      <c r="D415" s="1560">
        <v>99.404300000000006</v>
      </c>
      <c r="E415" s="1561">
        <v>98.340999999999994</v>
      </c>
      <c r="F415" s="3711">
        <v>98.060299999999998</v>
      </c>
      <c r="G415" s="1560">
        <v>98.704899999999995</v>
      </c>
      <c r="H415" s="1561">
        <v>3.1</v>
      </c>
      <c r="I415" s="268">
        <v>3.0774999999999997</v>
      </c>
      <c r="J415" s="291"/>
      <c r="K415" s="266"/>
      <c r="L415" s="266"/>
      <c r="M415" s="749"/>
      <c r="N415" s="742"/>
      <c r="O415" s="268">
        <v>201.8</v>
      </c>
      <c r="P415" s="3513">
        <v>201.9</v>
      </c>
      <c r="Q415" s="268">
        <v>162.19999999999999</v>
      </c>
      <c r="R415" s="3770"/>
    </row>
    <row r="416" spans="1:18">
      <c r="A416" s="1468">
        <v>2006.11</v>
      </c>
      <c r="B416" s="1559">
        <v>97.513300000000001</v>
      </c>
      <c r="C416" s="3711">
        <v>96.464100000000002</v>
      </c>
      <c r="D416" s="1560">
        <v>98.887100000000004</v>
      </c>
      <c r="E416" s="1561">
        <v>97.352999999999994</v>
      </c>
      <c r="F416" s="3711">
        <v>96.865300000000005</v>
      </c>
      <c r="G416" s="1560">
        <v>97.986800000000002</v>
      </c>
      <c r="H416" s="1561">
        <v>3.08</v>
      </c>
      <c r="I416" s="268">
        <v>3.0552380952380949</v>
      </c>
      <c r="J416" s="291"/>
      <c r="K416" s="266"/>
      <c r="L416" s="266"/>
      <c r="M416" s="749"/>
      <c r="N416" s="742"/>
      <c r="O416" s="268">
        <v>201.5</v>
      </c>
      <c r="P416" s="3513">
        <v>202</v>
      </c>
      <c r="Q416" s="268">
        <v>164.6</v>
      </c>
      <c r="R416" s="3770"/>
    </row>
    <row r="417" spans="1:18">
      <c r="A417" s="1468">
        <v>2006.12</v>
      </c>
      <c r="B417" s="1559">
        <v>96.795100000000005</v>
      </c>
      <c r="C417" s="3711">
        <v>95.783100000000005</v>
      </c>
      <c r="D417" s="1560">
        <v>98.119600000000005</v>
      </c>
      <c r="E417" s="1561">
        <v>96.771000000000001</v>
      </c>
      <c r="F417" s="3711">
        <v>96.435500000000005</v>
      </c>
      <c r="G417" s="1560">
        <v>97.206299999999999</v>
      </c>
      <c r="H417" s="1561">
        <v>3.08</v>
      </c>
      <c r="I417" s="268">
        <v>3.0405263157894735</v>
      </c>
      <c r="J417" s="291"/>
      <c r="K417" s="266"/>
      <c r="L417" s="266"/>
      <c r="M417" s="749"/>
      <c r="N417" s="742"/>
      <c r="O417" s="268">
        <v>201.8</v>
      </c>
      <c r="P417" s="3513">
        <v>203.1</v>
      </c>
      <c r="Q417" s="268">
        <v>165.6</v>
      </c>
      <c r="R417" s="3770"/>
    </row>
    <row r="418" spans="1:18">
      <c r="A418" s="1468">
        <v>2007.01</v>
      </c>
      <c r="B418" s="1559">
        <v>97.833799999999997</v>
      </c>
      <c r="C418" s="3711">
        <v>97.485299999999995</v>
      </c>
      <c r="D418" s="1560">
        <v>98.288200000000003</v>
      </c>
      <c r="E418" s="1561">
        <v>97.799300000000002</v>
      </c>
      <c r="F418" s="3711">
        <v>98.1434</v>
      </c>
      <c r="G418" s="1560">
        <v>97.361599999999996</v>
      </c>
      <c r="H418" s="1561">
        <v>3.08</v>
      </c>
      <c r="I418" s="268">
        <v>3.0672727272727274</v>
      </c>
      <c r="J418" s="291"/>
      <c r="K418" s="266"/>
      <c r="L418" s="266"/>
      <c r="M418" s="749"/>
      <c r="N418" s="742"/>
      <c r="O418" s="268">
        <v>202.416</v>
      </c>
      <c r="P418" s="3513">
        <v>203.43700000000001</v>
      </c>
      <c r="Q418" s="268">
        <v>164</v>
      </c>
      <c r="R418" s="3770"/>
    </row>
    <row r="419" spans="1:18">
      <c r="A419" s="1468">
        <v>2007.02</v>
      </c>
      <c r="B419" s="1559">
        <v>97.476399999999998</v>
      </c>
      <c r="C419" s="3711">
        <v>97.075299999999999</v>
      </c>
      <c r="D419" s="1560">
        <v>97.999899999999997</v>
      </c>
      <c r="E419" s="1561">
        <v>97.682699999999997</v>
      </c>
      <c r="F419" s="3711">
        <v>97.977400000000003</v>
      </c>
      <c r="G419" s="1560">
        <v>97.307900000000004</v>
      </c>
      <c r="H419" s="1561">
        <v>3.08</v>
      </c>
      <c r="I419" s="268">
        <v>3.0819999999999994</v>
      </c>
      <c r="J419" s="291"/>
      <c r="K419" s="266"/>
      <c r="L419" s="266"/>
      <c r="M419" s="749"/>
      <c r="N419" s="742"/>
      <c r="O419" s="268">
        <v>203.499</v>
      </c>
      <c r="P419" s="3513">
        <v>204.226</v>
      </c>
      <c r="Q419" s="268">
        <v>166.8</v>
      </c>
      <c r="R419" s="3770"/>
    </row>
    <row r="420" spans="1:18">
      <c r="A420" s="1468">
        <v>2007.03</v>
      </c>
      <c r="B420" s="1559">
        <v>97.011799999999994</v>
      </c>
      <c r="C420" s="3711">
        <v>96.183000000000007</v>
      </c>
      <c r="D420" s="1560">
        <v>98.091899999999995</v>
      </c>
      <c r="E420" s="1561">
        <v>97.426000000000002</v>
      </c>
      <c r="F420" s="3711">
        <v>97.313100000000006</v>
      </c>
      <c r="G420" s="1560">
        <v>97.573599999999999</v>
      </c>
      <c r="H420" s="1561">
        <v>3.08</v>
      </c>
      <c r="I420" s="268">
        <v>3.0813636363636352</v>
      </c>
      <c r="J420" s="291"/>
      <c r="K420" s="266"/>
      <c r="L420" s="266"/>
      <c r="M420" s="749"/>
      <c r="N420" s="742"/>
      <c r="O420" s="268">
        <v>205.352</v>
      </c>
      <c r="P420" s="3513">
        <v>205.28800000000001</v>
      </c>
      <c r="Q420" s="268">
        <v>169.3</v>
      </c>
      <c r="R420" s="3770"/>
    </row>
    <row r="421" spans="1:18">
      <c r="A421" s="1468">
        <v>2007.04</v>
      </c>
      <c r="B421" s="1559">
        <v>95.632199999999997</v>
      </c>
      <c r="C421" s="3711">
        <v>94.475700000000003</v>
      </c>
      <c r="D421" s="1560">
        <v>97.144599999999997</v>
      </c>
      <c r="E421" s="1561">
        <v>96.117400000000004</v>
      </c>
      <c r="F421" s="3711">
        <v>95.667299999999997</v>
      </c>
      <c r="G421" s="1560">
        <v>96.701300000000003</v>
      </c>
      <c r="H421" s="1561">
        <v>3.08</v>
      </c>
      <c r="I421" s="268">
        <v>3.0700000000000003</v>
      </c>
      <c r="J421" s="291"/>
      <c r="K421" s="266"/>
      <c r="L421" s="266"/>
      <c r="M421" s="749"/>
      <c r="N421" s="742"/>
      <c r="O421" s="268">
        <v>206.68600000000001</v>
      </c>
      <c r="P421" s="3513">
        <v>205.904</v>
      </c>
      <c r="Q421" s="268">
        <v>171.4</v>
      </c>
      <c r="R421" s="3770"/>
    </row>
    <row r="422" spans="1:18">
      <c r="A422" s="1468">
        <v>2007.05</v>
      </c>
      <c r="B422" s="1559">
        <v>94.722499999999997</v>
      </c>
      <c r="C422" s="3711">
        <v>93.628699999999995</v>
      </c>
      <c r="D422" s="1560">
        <v>96.151700000000005</v>
      </c>
      <c r="E422" s="1561">
        <v>95.388499999999993</v>
      </c>
      <c r="F422" s="3711">
        <v>95.0976</v>
      </c>
      <c r="G422" s="1560">
        <v>95.766099999999994</v>
      </c>
      <c r="H422" s="1561">
        <v>3.08</v>
      </c>
      <c r="I422" s="268">
        <v>3.0604761904761908</v>
      </c>
      <c r="J422" s="291"/>
      <c r="K422" s="266"/>
      <c r="L422" s="266"/>
      <c r="M422" s="749"/>
      <c r="N422" s="742"/>
      <c r="O422" s="268">
        <v>207.94900000000001</v>
      </c>
      <c r="P422" s="3513">
        <v>206.755</v>
      </c>
      <c r="Q422" s="268">
        <v>173.3</v>
      </c>
      <c r="R422" s="3770"/>
    </row>
    <row r="423" spans="1:18">
      <c r="A423" s="1468">
        <v>2007.06</v>
      </c>
      <c r="B423" s="1559">
        <v>94.444900000000004</v>
      </c>
      <c r="C423" s="3711">
        <v>93.253200000000007</v>
      </c>
      <c r="D423" s="1560">
        <v>96.003399999999999</v>
      </c>
      <c r="E423" s="1561">
        <v>95.121799999999993</v>
      </c>
      <c r="F423" s="3711">
        <v>94.941800000000001</v>
      </c>
      <c r="G423" s="1560">
        <v>95.355999999999995</v>
      </c>
      <c r="H423" s="1561">
        <v>3.09</v>
      </c>
      <c r="I423" s="268">
        <v>3.0590000000000002</v>
      </c>
      <c r="J423" s="291"/>
      <c r="K423" s="266"/>
      <c r="L423" s="266"/>
      <c r="M423" s="749"/>
      <c r="N423" s="742"/>
      <c r="O423" s="268">
        <v>208.352</v>
      </c>
      <c r="P423" s="3513">
        <v>207.23400000000001</v>
      </c>
      <c r="Q423" s="268">
        <v>173.8</v>
      </c>
      <c r="R423" s="3770"/>
    </row>
    <row r="424" spans="1:18">
      <c r="A424" s="1468">
        <v>2007.07</v>
      </c>
      <c r="B424" s="1559">
        <v>93.2059</v>
      </c>
      <c r="C424" s="3711">
        <v>91.574399999999997</v>
      </c>
      <c r="D424" s="1560">
        <v>95.349800000000002</v>
      </c>
      <c r="E424" s="1561">
        <v>93.718100000000007</v>
      </c>
      <c r="F424" s="3711">
        <v>93.267600000000002</v>
      </c>
      <c r="G424" s="1560">
        <v>94.302599999999998</v>
      </c>
      <c r="H424" s="1561">
        <v>3.14</v>
      </c>
      <c r="I424" s="268">
        <v>3.0928571428571425</v>
      </c>
      <c r="J424" s="291"/>
      <c r="K424" s="266"/>
      <c r="L424" s="266"/>
      <c r="M424" s="749"/>
      <c r="N424" s="742"/>
      <c r="O424" s="268">
        <v>208.29900000000001</v>
      </c>
      <c r="P424" s="3513">
        <v>207.60300000000001</v>
      </c>
      <c r="Q424" s="268">
        <v>175.1</v>
      </c>
      <c r="R424" s="3770"/>
    </row>
    <row r="425" spans="1:18">
      <c r="A425" s="1468">
        <v>2007.08</v>
      </c>
      <c r="B425" s="1559">
        <v>93.760300000000001</v>
      </c>
      <c r="C425" s="3711">
        <v>91.693899999999999</v>
      </c>
      <c r="D425" s="1560">
        <v>96.488799999999998</v>
      </c>
      <c r="E425" s="1561">
        <v>94.055499999999995</v>
      </c>
      <c r="F425" s="3711">
        <v>93.433300000000003</v>
      </c>
      <c r="G425" s="1560">
        <v>94.863399999999999</v>
      </c>
      <c r="H425" s="1561">
        <v>3.18</v>
      </c>
      <c r="I425" s="268">
        <v>3.1331818181818178</v>
      </c>
      <c r="J425" s="291"/>
      <c r="K425" s="266"/>
      <c r="L425" s="266"/>
      <c r="M425" s="749"/>
      <c r="N425" s="742"/>
      <c r="O425" s="268">
        <v>207.917</v>
      </c>
      <c r="P425" s="3513">
        <v>207.667</v>
      </c>
      <c r="Q425" s="268">
        <v>172.4</v>
      </c>
      <c r="R425" s="3770"/>
    </row>
    <row r="426" spans="1:18">
      <c r="A426" s="1468">
        <v>2007.09</v>
      </c>
      <c r="B426" s="1559">
        <v>92.436599999999999</v>
      </c>
      <c r="C426" s="3711">
        <v>89.817700000000002</v>
      </c>
      <c r="D426" s="1560">
        <v>95.919399999999996</v>
      </c>
      <c r="E426" s="1561">
        <v>92.8566</v>
      </c>
      <c r="F426" s="3711">
        <v>91.662599999999998</v>
      </c>
      <c r="G426" s="1560">
        <v>94.415800000000004</v>
      </c>
      <c r="H426" s="1561">
        <v>3.16</v>
      </c>
      <c r="I426" s="268">
        <v>3.1290000000000004</v>
      </c>
      <c r="J426" s="291"/>
      <c r="K426" s="266"/>
      <c r="L426" s="266"/>
      <c r="M426" s="749"/>
      <c r="N426" s="742"/>
      <c r="O426" s="268">
        <v>208.49</v>
      </c>
      <c r="P426" s="3513">
        <v>208.547</v>
      </c>
      <c r="Q426" s="268">
        <v>173.5</v>
      </c>
      <c r="R426" s="3770"/>
    </row>
    <row r="427" spans="1:18">
      <c r="A427" s="1468">
        <v>2007.1</v>
      </c>
      <c r="B427" s="1559">
        <v>90.400199999999998</v>
      </c>
      <c r="C427" s="3711">
        <v>87.408699999999996</v>
      </c>
      <c r="D427" s="1560">
        <v>94.399799999999999</v>
      </c>
      <c r="E427" s="1561">
        <v>90.729699999999994</v>
      </c>
      <c r="F427" s="3711">
        <v>89.184799999999996</v>
      </c>
      <c r="G427" s="1560">
        <v>92.756299999999996</v>
      </c>
      <c r="H427" s="1561">
        <v>3.16</v>
      </c>
      <c r="I427" s="268">
        <v>3.1404545454545456</v>
      </c>
      <c r="J427" s="291"/>
      <c r="K427" s="266"/>
      <c r="L427" s="266"/>
      <c r="M427" s="749"/>
      <c r="N427" s="742"/>
      <c r="O427" s="268">
        <v>208.93600000000001</v>
      </c>
      <c r="P427" s="3513">
        <v>209.19</v>
      </c>
      <c r="Q427" s="268">
        <v>174.7</v>
      </c>
      <c r="R427" s="3770"/>
    </row>
    <row r="428" spans="1:18">
      <c r="A428" s="1468">
        <v>2007.11</v>
      </c>
      <c r="B428" s="1559">
        <v>89.052999999999997</v>
      </c>
      <c r="C428" s="3711">
        <v>85.383899999999997</v>
      </c>
      <c r="D428" s="1560">
        <v>94.004900000000006</v>
      </c>
      <c r="E428" s="1561">
        <v>89.661900000000003</v>
      </c>
      <c r="F428" s="3711">
        <v>87.462999999999994</v>
      </c>
      <c r="G428" s="1560">
        <v>92.570800000000006</v>
      </c>
      <c r="H428" s="1561">
        <v>3.15</v>
      </c>
      <c r="I428" s="268">
        <v>3.1168181818181817</v>
      </c>
      <c r="J428" s="291"/>
      <c r="K428" s="266"/>
      <c r="L428" s="266"/>
      <c r="M428" s="749"/>
      <c r="N428" s="742"/>
      <c r="O428" s="268">
        <v>210.17699999999999</v>
      </c>
      <c r="P428" s="3513">
        <v>210.834</v>
      </c>
      <c r="Q428" s="268">
        <v>179</v>
      </c>
      <c r="R428" s="3770"/>
    </row>
    <row r="429" spans="1:18">
      <c r="A429" s="1468">
        <v>2007.12</v>
      </c>
      <c r="B429" s="1559">
        <v>90.004999999999995</v>
      </c>
      <c r="C429" s="3711">
        <v>87.229100000000003</v>
      </c>
      <c r="D429" s="1560">
        <v>93.706800000000001</v>
      </c>
      <c r="E429" s="1561">
        <v>90.51</v>
      </c>
      <c r="F429" s="3711">
        <v>89.285700000000006</v>
      </c>
      <c r="G429" s="1560">
        <v>92.110100000000003</v>
      </c>
      <c r="H429" s="1561">
        <v>3.15</v>
      </c>
      <c r="I429" s="268">
        <v>3.1194444444444445</v>
      </c>
      <c r="J429" s="291"/>
      <c r="K429" s="266"/>
      <c r="L429" s="266"/>
      <c r="M429" s="749"/>
      <c r="N429" s="742"/>
      <c r="O429" s="268">
        <v>210.036</v>
      </c>
      <c r="P429" s="3513">
        <v>211.44499999999999</v>
      </c>
      <c r="Q429" s="268">
        <v>178.6</v>
      </c>
      <c r="R429" s="3770"/>
    </row>
    <row r="430" spans="1:18">
      <c r="A430" s="1468">
        <f t="shared" ref="A430:A493" si="0">A418+1</f>
        <v>2008.01</v>
      </c>
      <c r="B430" s="1559">
        <v>89.397099999999995</v>
      </c>
      <c r="C430" s="3711">
        <v>86.629099999999994</v>
      </c>
      <c r="D430" s="1560">
        <v>93.091200000000001</v>
      </c>
      <c r="E430" s="1561">
        <v>89.973200000000006</v>
      </c>
      <c r="F430" s="3711">
        <v>88.852099999999993</v>
      </c>
      <c r="G430" s="1560">
        <v>91.4392</v>
      </c>
      <c r="H430" s="1561">
        <v>3.16</v>
      </c>
      <c r="I430" s="268">
        <v>3.1265217391304354</v>
      </c>
      <c r="J430" s="291"/>
      <c r="K430" s="266"/>
      <c r="L430" s="266"/>
      <c r="M430" s="749"/>
      <c r="N430" s="742"/>
      <c r="O430" s="268">
        <v>211.08</v>
      </c>
      <c r="P430" s="3513">
        <v>212.17400000000001</v>
      </c>
      <c r="Q430" s="268">
        <v>181</v>
      </c>
      <c r="R430" s="3770"/>
    </row>
    <row r="431" spans="1:18">
      <c r="A431" s="1468">
        <f t="shared" si="0"/>
        <v>2008.02</v>
      </c>
      <c r="B431" s="1559">
        <v>88.6434</v>
      </c>
      <c r="C431" s="3711">
        <v>86.054199999999994</v>
      </c>
      <c r="D431" s="1560">
        <v>92.097200000000001</v>
      </c>
      <c r="E431" s="1561">
        <v>89.000799999999998</v>
      </c>
      <c r="F431" s="3711">
        <v>88.302300000000002</v>
      </c>
      <c r="G431" s="1560">
        <v>89.921300000000002</v>
      </c>
      <c r="H431" s="1561">
        <v>3.16</v>
      </c>
      <c r="I431" s="268">
        <v>3.1395000000000008</v>
      </c>
      <c r="J431" s="291"/>
      <c r="K431" s="266"/>
      <c r="L431" s="266"/>
      <c r="M431" s="749"/>
      <c r="N431" s="742"/>
      <c r="O431" s="268">
        <v>211.69300000000001</v>
      </c>
      <c r="P431" s="3513">
        <v>212.68700000000001</v>
      </c>
      <c r="Q431" s="268">
        <v>182.7</v>
      </c>
      <c r="R431" s="3770"/>
    </row>
    <row r="432" spans="1:18">
      <c r="A432" s="1468">
        <f t="shared" si="0"/>
        <v>2008.03</v>
      </c>
      <c r="B432" s="1559">
        <v>86.8399</v>
      </c>
      <c r="C432" s="3711">
        <v>83.408900000000003</v>
      </c>
      <c r="D432" s="1560">
        <v>91.444500000000005</v>
      </c>
      <c r="E432" s="1561">
        <v>87.208200000000005</v>
      </c>
      <c r="F432" s="3711">
        <v>85.706599999999995</v>
      </c>
      <c r="G432" s="1560">
        <v>89.170199999999994</v>
      </c>
      <c r="H432" s="1561">
        <v>3.16</v>
      </c>
      <c r="I432" s="268">
        <v>3.1366666666666663</v>
      </c>
      <c r="J432" s="291"/>
      <c r="K432" s="266"/>
      <c r="L432" s="266"/>
      <c r="M432" s="749"/>
      <c r="N432" s="742"/>
      <c r="O432" s="268">
        <v>213.52799999999999</v>
      </c>
      <c r="P432" s="3513">
        <v>213.44800000000001</v>
      </c>
      <c r="Q432" s="268">
        <v>187.9</v>
      </c>
      <c r="R432" s="3770"/>
    </row>
    <row r="433" spans="1:18">
      <c r="A433" s="1468">
        <f t="shared" si="0"/>
        <v>2008.04</v>
      </c>
      <c r="B433" s="1559">
        <v>86.547499999999999</v>
      </c>
      <c r="C433" s="3711">
        <v>83.517099999999999</v>
      </c>
      <c r="D433" s="1560">
        <v>90.601100000000002</v>
      </c>
      <c r="E433" s="1561">
        <v>86.819299999999998</v>
      </c>
      <c r="F433" s="3711">
        <v>85.879499999999993</v>
      </c>
      <c r="G433" s="1560">
        <v>88.05</v>
      </c>
      <c r="H433" s="1561">
        <v>3.18</v>
      </c>
      <c r="I433" s="268">
        <v>3.1461904761904753</v>
      </c>
      <c r="J433" s="291"/>
      <c r="K433" s="266"/>
      <c r="L433" s="266"/>
      <c r="M433" s="749"/>
      <c r="N433" s="742"/>
      <c r="O433" s="268">
        <v>214.82300000000001</v>
      </c>
      <c r="P433" s="3513">
        <v>213.94200000000001</v>
      </c>
      <c r="Q433" s="268">
        <v>190.9</v>
      </c>
      <c r="R433" s="3770"/>
    </row>
    <row r="434" spans="1:18">
      <c r="A434" s="1468">
        <f t="shared" si="0"/>
        <v>2008.05</v>
      </c>
      <c r="B434" s="1559">
        <v>86.8245</v>
      </c>
      <c r="C434" s="3711">
        <v>83.810100000000006</v>
      </c>
      <c r="D434" s="1560">
        <v>90.856399999999994</v>
      </c>
      <c r="E434" s="1561">
        <v>87.147800000000004</v>
      </c>
      <c r="F434" s="3711">
        <v>86.211600000000004</v>
      </c>
      <c r="G434" s="1560">
        <v>88.374099999999999</v>
      </c>
      <c r="H434" s="1561">
        <v>3.11</v>
      </c>
      <c r="I434" s="268">
        <v>3.1304761904761902</v>
      </c>
      <c r="J434" s="291"/>
      <c r="K434" s="266"/>
      <c r="L434" s="266"/>
      <c r="M434" s="749"/>
      <c r="N434" s="742"/>
      <c r="O434" s="268">
        <v>216.63200000000001</v>
      </c>
      <c r="P434" s="3513">
        <v>215.208</v>
      </c>
      <c r="Q434" s="268">
        <v>196.6</v>
      </c>
      <c r="R434" s="3770"/>
    </row>
    <row r="435" spans="1:18">
      <c r="A435" s="1468">
        <f t="shared" si="0"/>
        <v>2008.06</v>
      </c>
      <c r="B435" s="1559">
        <v>87.072800000000001</v>
      </c>
      <c r="C435" s="3711">
        <v>84.555800000000005</v>
      </c>
      <c r="D435" s="1560">
        <v>90.429199999999994</v>
      </c>
      <c r="E435" s="1561">
        <v>87.730500000000006</v>
      </c>
      <c r="F435" s="3711">
        <v>87.378200000000007</v>
      </c>
      <c r="G435" s="1560">
        <v>88.208399999999997</v>
      </c>
      <c r="H435" s="1561">
        <v>3.03</v>
      </c>
      <c r="I435" s="268">
        <v>3.0270000000000001</v>
      </c>
      <c r="J435" s="291"/>
      <c r="K435" s="266"/>
      <c r="L435" s="266"/>
      <c r="M435" s="749"/>
      <c r="N435" s="742"/>
      <c r="O435" s="268">
        <v>218.815</v>
      </c>
      <c r="P435" s="3513">
        <v>217.46299999999999</v>
      </c>
      <c r="Q435" s="268">
        <v>200.5</v>
      </c>
      <c r="R435" s="3770"/>
    </row>
    <row r="436" spans="1:18">
      <c r="A436" s="1468">
        <f t="shared" si="0"/>
        <v>2008.07</v>
      </c>
      <c r="B436" s="1559">
        <v>86.453800000000001</v>
      </c>
      <c r="C436" s="3711">
        <v>83.927300000000002</v>
      </c>
      <c r="D436" s="1560">
        <v>89.824399999999997</v>
      </c>
      <c r="E436" s="1561">
        <v>87.330399999999997</v>
      </c>
      <c r="F436" s="3711">
        <v>86.988699999999994</v>
      </c>
      <c r="G436" s="1560">
        <v>87.794700000000006</v>
      </c>
      <c r="H436" s="1561">
        <v>3.03</v>
      </c>
      <c r="I436" s="268">
        <v>3.002727272727272</v>
      </c>
      <c r="J436" s="291"/>
      <c r="K436" s="266"/>
      <c r="L436" s="266"/>
      <c r="M436" s="749"/>
      <c r="N436" s="742"/>
      <c r="O436" s="268">
        <v>219.964</v>
      </c>
      <c r="P436" s="3513">
        <v>219.01599999999999</v>
      </c>
      <c r="Q436" s="268">
        <v>205.5</v>
      </c>
      <c r="R436" s="3770"/>
    </row>
    <row r="437" spans="1:18">
      <c r="A437" s="1468">
        <f t="shared" si="0"/>
        <v>2008.08</v>
      </c>
      <c r="B437" s="1559">
        <v>88.944999999999993</v>
      </c>
      <c r="C437" s="3711">
        <v>87.791300000000007</v>
      </c>
      <c r="D437" s="1560">
        <v>90.498999999999995</v>
      </c>
      <c r="E437" s="1561">
        <v>89.676199999999994</v>
      </c>
      <c r="F437" s="3711">
        <v>90.878299999999996</v>
      </c>
      <c r="G437" s="1560">
        <v>88.215800000000002</v>
      </c>
      <c r="H437" s="1561">
        <v>3.04</v>
      </c>
      <c r="I437" s="268">
        <v>3.0144999999999991</v>
      </c>
      <c r="J437" s="291"/>
      <c r="K437" s="266"/>
      <c r="L437" s="266"/>
      <c r="M437" s="749"/>
      <c r="N437" s="742"/>
      <c r="O437" s="268">
        <v>219.08600000000001</v>
      </c>
      <c r="P437" s="3513">
        <v>218.69</v>
      </c>
      <c r="Q437" s="268">
        <v>199</v>
      </c>
      <c r="R437" s="3770"/>
    </row>
    <row r="438" spans="1:18">
      <c r="A438" s="1468">
        <f t="shared" si="0"/>
        <v>2008.09</v>
      </c>
      <c r="B438" s="1559">
        <v>91.265100000000004</v>
      </c>
      <c r="C438" s="3711">
        <v>89.686999999999998</v>
      </c>
      <c r="D438" s="1560">
        <v>93.3797</v>
      </c>
      <c r="E438" s="1561">
        <v>92.031899999999993</v>
      </c>
      <c r="F438" s="3711">
        <v>92.829599999999999</v>
      </c>
      <c r="G438" s="1560">
        <v>91.069400000000002</v>
      </c>
      <c r="H438" s="1561">
        <v>3.13</v>
      </c>
      <c r="I438" s="268">
        <v>3.0650000000000004</v>
      </c>
      <c r="J438" s="291"/>
      <c r="K438" s="266"/>
      <c r="L438" s="266"/>
      <c r="M438" s="749"/>
      <c r="N438" s="742"/>
      <c r="O438" s="268">
        <v>218.78299999999999</v>
      </c>
      <c r="P438" s="3513">
        <v>218.87700000000001</v>
      </c>
      <c r="Q438" s="268">
        <v>196.9</v>
      </c>
      <c r="R438" s="3770"/>
    </row>
    <row r="439" spans="1:18">
      <c r="A439" s="1468">
        <f t="shared" si="0"/>
        <v>2008.1</v>
      </c>
      <c r="B439" s="1559">
        <v>98.04</v>
      </c>
      <c r="C439" s="3711">
        <v>96.041300000000007</v>
      </c>
      <c r="D439" s="1560">
        <v>100.7111</v>
      </c>
      <c r="E439" s="1561">
        <v>97.992900000000006</v>
      </c>
      <c r="F439" s="3711">
        <v>98.787199999999999</v>
      </c>
      <c r="G439" s="1560">
        <v>97.036000000000001</v>
      </c>
      <c r="H439" s="1561">
        <v>3.38</v>
      </c>
      <c r="I439" s="268">
        <v>3.2227272727272731</v>
      </c>
      <c r="J439" s="291"/>
      <c r="K439" s="266"/>
      <c r="L439" s="266"/>
      <c r="M439" s="749"/>
      <c r="N439" s="742"/>
      <c r="O439" s="268">
        <v>216.57300000000001</v>
      </c>
      <c r="P439" s="3513">
        <v>216.995</v>
      </c>
      <c r="Q439" s="268">
        <v>186.4</v>
      </c>
      <c r="R439" s="3770"/>
    </row>
    <row r="440" spans="1:18">
      <c r="A440" s="1468">
        <f t="shared" si="0"/>
        <v>2008.11</v>
      </c>
      <c r="B440" s="1559">
        <v>100.7667</v>
      </c>
      <c r="C440" s="3711">
        <v>99.173100000000005</v>
      </c>
      <c r="D440" s="1560">
        <v>102.901</v>
      </c>
      <c r="E440" s="1561">
        <v>99.166799999999995</v>
      </c>
      <c r="F440" s="3711">
        <v>100.5686</v>
      </c>
      <c r="G440" s="1560">
        <v>97.463399999999993</v>
      </c>
      <c r="H440" s="1561">
        <v>3.38</v>
      </c>
      <c r="I440" s="268">
        <v>3.31</v>
      </c>
      <c r="J440" s="291"/>
      <c r="K440" s="266"/>
      <c r="L440" s="266"/>
      <c r="M440" s="749"/>
      <c r="N440" s="742"/>
      <c r="O440" s="268">
        <v>212.42500000000001</v>
      </c>
      <c r="P440" s="3513">
        <v>213.15299999999999</v>
      </c>
      <c r="Q440" s="268">
        <v>176.8</v>
      </c>
      <c r="R440" s="3770"/>
    </row>
    <row r="441" spans="1:18">
      <c r="A441" s="1468">
        <f t="shared" si="0"/>
        <v>2008.12</v>
      </c>
      <c r="B441" s="1559">
        <v>99.662199999999999</v>
      </c>
      <c r="C441" s="3711">
        <v>96.818200000000004</v>
      </c>
      <c r="D441" s="1560">
        <v>103.4603</v>
      </c>
      <c r="E441" s="1561">
        <v>97.556799999999996</v>
      </c>
      <c r="F441" s="3711">
        <v>97.732299999999995</v>
      </c>
      <c r="G441" s="1560">
        <v>97.371300000000005</v>
      </c>
      <c r="H441" s="1561">
        <v>3.45</v>
      </c>
      <c r="I441" s="268">
        <v>3.4085000000000001</v>
      </c>
      <c r="J441" s="291"/>
      <c r="K441" s="266"/>
      <c r="L441" s="266"/>
      <c r="M441" s="749"/>
      <c r="N441" s="742"/>
      <c r="O441" s="268">
        <v>210.22800000000001</v>
      </c>
      <c r="P441" s="3513">
        <v>211.398</v>
      </c>
      <c r="Q441" s="268">
        <v>170.9</v>
      </c>
      <c r="R441" s="3770"/>
    </row>
    <row r="442" spans="1:18">
      <c r="A442" s="1468">
        <f t="shared" si="0"/>
        <v>2009.01</v>
      </c>
      <c r="B442" s="1559">
        <v>100.35209999999999</v>
      </c>
      <c r="C442" s="3711">
        <v>97.412199999999999</v>
      </c>
      <c r="D442" s="1560">
        <v>104.3126</v>
      </c>
      <c r="E442" s="1561">
        <v>98.521500000000003</v>
      </c>
      <c r="F442" s="3711">
        <v>98.675600000000003</v>
      </c>
      <c r="G442" s="1560">
        <v>98.361500000000007</v>
      </c>
      <c r="H442" s="1561">
        <v>3.5</v>
      </c>
      <c r="I442" s="268">
        <v>3.4447619047619051</v>
      </c>
      <c r="J442" s="291"/>
      <c r="K442" s="266"/>
      <c r="L442" s="266"/>
      <c r="M442" s="749"/>
      <c r="N442" s="742"/>
      <c r="O442" s="268">
        <v>211.143</v>
      </c>
      <c r="P442" s="3513">
        <v>211.93299999999999</v>
      </c>
      <c r="Q442" s="268">
        <v>171.2</v>
      </c>
      <c r="R442" s="3770"/>
    </row>
    <row r="443" spans="1:18">
      <c r="A443" s="1468">
        <f t="shared" si="0"/>
        <v>2009.02</v>
      </c>
      <c r="B443" s="1559">
        <v>102.97369999999999</v>
      </c>
      <c r="C443" s="3711">
        <v>100.0127</v>
      </c>
      <c r="D443" s="1560">
        <v>106.96429999999999</v>
      </c>
      <c r="E443" s="1561">
        <v>101.2069</v>
      </c>
      <c r="F443" s="3711">
        <v>101.3308</v>
      </c>
      <c r="G443" s="1560">
        <v>101.08320000000001</v>
      </c>
      <c r="H443" s="1561">
        <v>3.57</v>
      </c>
      <c r="I443" s="268">
        <v>3.4939999999999998</v>
      </c>
      <c r="J443" s="291"/>
      <c r="K443" s="266"/>
      <c r="L443" s="266"/>
      <c r="M443" s="749"/>
      <c r="N443" s="742"/>
      <c r="O443" s="268">
        <v>212.19300000000001</v>
      </c>
      <c r="P443" s="3513">
        <v>212.70500000000001</v>
      </c>
      <c r="Q443" s="268">
        <v>169.3</v>
      </c>
      <c r="R443" s="3770"/>
    </row>
    <row r="444" spans="1:18">
      <c r="A444" s="1468">
        <f t="shared" si="0"/>
        <v>2009.03</v>
      </c>
      <c r="B444" s="1559">
        <v>103.4397</v>
      </c>
      <c r="C444" s="3711">
        <v>100.55710000000001</v>
      </c>
      <c r="D444" s="1560">
        <v>107.3343</v>
      </c>
      <c r="E444" s="1561">
        <v>101.5411</v>
      </c>
      <c r="F444" s="3711">
        <v>101.9474</v>
      </c>
      <c r="G444" s="1560">
        <v>101.08459999999999</v>
      </c>
      <c r="H444" s="1561">
        <v>3.72</v>
      </c>
      <c r="I444" s="268">
        <v>3.6366666666666676</v>
      </c>
      <c r="J444" s="291"/>
      <c r="K444" s="266"/>
      <c r="L444" s="266"/>
      <c r="M444" s="749"/>
      <c r="N444" s="742"/>
      <c r="O444" s="268">
        <v>212.709</v>
      </c>
      <c r="P444" s="3513">
        <v>212.495</v>
      </c>
      <c r="Q444" s="268">
        <v>168.1</v>
      </c>
      <c r="R444" s="3770"/>
    </row>
    <row r="445" spans="1:18">
      <c r="A445" s="1468">
        <f t="shared" si="0"/>
        <v>2009.04</v>
      </c>
      <c r="B445" s="1559">
        <v>100.7162</v>
      </c>
      <c r="C445" s="3711">
        <v>98.585999999999999</v>
      </c>
      <c r="D445" s="1560">
        <v>103.65770000000001</v>
      </c>
      <c r="E445" s="1561">
        <v>98.895700000000005</v>
      </c>
      <c r="F445" s="3711">
        <v>100.1431</v>
      </c>
      <c r="G445" s="1560">
        <v>97.459400000000002</v>
      </c>
      <c r="H445" s="1561">
        <v>3.71</v>
      </c>
      <c r="I445" s="268">
        <v>3.6721052631578952</v>
      </c>
      <c r="J445" s="291"/>
      <c r="K445" s="266"/>
      <c r="L445" s="266"/>
      <c r="M445" s="749"/>
      <c r="N445" s="742"/>
      <c r="O445" s="268">
        <v>213.24</v>
      </c>
      <c r="P445" s="3513">
        <v>212.709</v>
      </c>
      <c r="Q445" s="268">
        <v>169.1</v>
      </c>
      <c r="R445" s="3770"/>
    </row>
    <row r="446" spans="1:18">
      <c r="A446" s="1468">
        <f t="shared" si="0"/>
        <v>2009.05</v>
      </c>
      <c r="B446" s="1559">
        <v>97.551900000000003</v>
      </c>
      <c r="C446" s="3711">
        <v>94.473299999999995</v>
      </c>
      <c r="D446" s="1560">
        <v>101.6853</v>
      </c>
      <c r="E446" s="1561">
        <v>95.7376</v>
      </c>
      <c r="F446" s="3711">
        <v>95.948099999999997</v>
      </c>
      <c r="G446" s="1560">
        <v>95.510400000000004</v>
      </c>
      <c r="H446" s="1561">
        <v>3.75</v>
      </c>
      <c r="I446" s="268">
        <v>3.7073684210526316</v>
      </c>
      <c r="J446" s="291"/>
      <c r="K446" s="266"/>
      <c r="L446" s="266"/>
      <c r="M446" s="749"/>
      <c r="N446" s="742"/>
      <c r="O446" s="268">
        <v>213.85599999999999</v>
      </c>
      <c r="P446" s="3513">
        <v>213.02199999999999</v>
      </c>
      <c r="Q446" s="268">
        <v>170.8</v>
      </c>
      <c r="R446" s="3770"/>
    </row>
    <row r="447" spans="1:18">
      <c r="A447" s="1468">
        <f t="shared" si="0"/>
        <v>2009.06</v>
      </c>
      <c r="B447" s="1559">
        <v>96.042599999999993</v>
      </c>
      <c r="C447" s="3711">
        <v>92.031000000000006</v>
      </c>
      <c r="D447" s="1560">
        <v>101.37350000000001</v>
      </c>
      <c r="E447" s="1561">
        <v>94.822699999999998</v>
      </c>
      <c r="F447" s="3711">
        <v>94.0227</v>
      </c>
      <c r="G447" s="1560">
        <v>95.801900000000003</v>
      </c>
      <c r="H447" s="1561">
        <v>3.8</v>
      </c>
      <c r="I447" s="268">
        <v>3.7500000000000009</v>
      </c>
      <c r="J447" s="291"/>
      <c r="K447" s="266"/>
      <c r="L447" s="266"/>
      <c r="M447" s="749"/>
      <c r="N447" s="742"/>
      <c r="O447" s="268">
        <v>215.69300000000001</v>
      </c>
      <c r="P447" s="3513">
        <v>214.79</v>
      </c>
      <c r="Q447" s="268">
        <v>174.1</v>
      </c>
      <c r="R447" s="3770"/>
    </row>
    <row r="448" spans="1:18">
      <c r="A448" s="1468">
        <f t="shared" si="0"/>
        <v>2009.07</v>
      </c>
      <c r="B448" s="1559">
        <v>95.660499999999999</v>
      </c>
      <c r="C448" s="3711">
        <v>91.362799999999993</v>
      </c>
      <c r="D448" s="1560">
        <v>101.367</v>
      </c>
      <c r="E448" s="1561">
        <v>94.386099999999999</v>
      </c>
      <c r="F448" s="3711">
        <v>93.466200000000001</v>
      </c>
      <c r="G448" s="1560">
        <v>95.510199999999998</v>
      </c>
      <c r="H448" s="1561">
        <v>3.83</v>
      </c>
      <c r="I448" s="268">
        <v>3.7909523809523811</v>
      </c>
      <c r="J448" s="291"/>
      <c r="K448" s="266"/>
      <c r="L448" s="266"/>
      <c r="M448" s="749"/>
      <c r="N448" s="742"/>
      <c r="O448" s="268">
        <v>215.351</v>
      </c>
      <c r="P448" s="3513">
        <v>214.726</v>
      </c>
      <c r="Q448" s="268">
        <v>172.5</v>
      </c>
      <c r="R448" s="3770"/>
    </row>
    <row r="449" spans="1:18">
      <c r="A449" s="1468">
        <f t="shared" si="0"/>
        <v>2009.08</v>
      </c>
      <c r="B449" s="1559">
        <v>94.373000000000005</v>
      </c>
      <c r="C449" s="3711">
        <v>89.907799999999995</v>
      </c>
      <c r="D449" s="1560">
        <v>100.29900000000001</v>
      </c>
      <c r="E449" s="1561">
        <v>93.151799999999994</v>
      </c>
      <c r="F449" s="3711">
        <v>92.023399999999995</v>
      </c>
      <c r="G449" s="1560">
        <v>94.528899999999993</v>
      </c>
      <c r="H449" s="1561">
        <v>3.85</v>
      </c>
      <c r="I449" s="268">
        <v>3.8204999999999991</v>
      </c>
      <c r="J449" s="291"/>
      <c r="K449" s="266"/>
      <c r="L449" s="266"/>
      <c r="M449" s="749"/>
      <c r="N449" s="742"/>
      <c r="O449" s="268">
        <v>215.834</v>
      </c>
      <c r="P449" s="3513">
        <v>215.44499999999999</v>
      </c>
      <c r="Q449" s="268">
        <v>175</v>
      </c>
      <c r="R449" s="3770"/>
    </row>
    <row r="450" spans="1:18">
      <c r="A450" s="1468">
        <f t="shared" si="0"/>
        <v>2009.09</v>
      </c>
      <c r="B450" s="1559">
        <v>93.663799999999995</v>
      </c>
      <c r="C450" s="3711">
        <v>88.501400000000004</v>
      </c>
      <c r="D450" s="1560">
        <v>100.51949999999999</v>
      </c>
      <c r="E450" s="1561">
        <v>92.507199999999997</v>
      </c>
      <c r="F450" s="3711">
        <v>90.757900000000006</v>
      </c>
      <c r="G450" s="1560">
        <v>94.646100000000004</v>
      </c>
      <c r="H450" s="1561">
        <v>3.84</v>
      </c>
      <c r="I450" s="268">
        <v>3.822727272727271</v>
      </c>
      <c r="J450" s="291"/>
      <c r="K450" s="266"/>
      <c r="L450" s="266"/>
      <c r="M450" s="749"/>
      <c r="N450" s="742"/>
      <c r="O450" s="268">
        <v>215.96899999999999</v>
      </c>
      <c r="P450" s="3513">
        <v>215.86099999999999</v>
      </c>
      <c r="Q450" s="268">
        <v>174.1</v>
      </c>
      <c r="R450" s="3770"/>
    </row>
    <row r="451" spans="1:18">
      <c r="A451" s="1468">
        <f t="shared" si="0"/>
        <v>2009.1</v>
      </c>
      <c r="B451" s="1559">
        <v>92.259799999999998</v>
      </c>
      <c r="C451" s="3711">
        <v>87.045699999999997</v>
      </c>
      <c r="D451" s="1560">
        <v>99.186400000000006</v>
      </c>
      <c r="E451" s="1561">
        <v>91.247799999999998</v>
      </c>
      <c r="F451" s="3711">
        <v>89.46</v>
      </c>
      <c r="G451" s="1560">
        <v>93.434700000000007</v>
      </c>
      <c r="H451" s="1561">
        <v>3.82</v>
      </c>
      <c r="I451" s="268">
        <v>3.8052380952380935</v>
      </c>
      <c r="J451" s="291"/>
      <c r="K451" s="266"/>
      <c r="L451" s="266"/>
      <c r="M451" s="749"/>
      <c r="N451" s="742"/>
      <c r="O451" s="268">
        <v>216.17699999999999</v>
      </c>
      <c r="P451" s="3513">
        <v>216.50899999999999</v>
      </c>
      <c r="Q451" s="268">
        <v>175.2</v>
      </c>
      <c r="R451" s="3770"/>
    </row>
    <row r="452" spans="1:18">
      <c r="A452" s="1468">
        <f t="shared" si="0"/>
        <v>2009.11</v>
      </c>
      <c r="B452" s="1559">
        <v>91.799599999999998</v>
      </c>
      <c r="C452" s="3711">
        <v>86.521699999999996</v>
      </c>
      <c r="D452" s="1560">
        <v>98.813199999999995</v>
      </c>
      <c r="E452" s="1561">
        <v>90.776399999999995</v>
      </c>
      <c r="F452" s="3711">
        <v>88.905199999999994</v>
      </c>
      <c r="G452" s="1560">
        <v>93.066900000000004</v>
      </c>
      <c r="H452" s="1561">
        <v>3.81</v>
      </c>
      <c r="I452" s="268">
        <v>3.7910000000000013</v>
      </c>
      <c r="J452" s="291"/>
      <c r="K452" s="266"/>
      <c r="L452" s="266"/>
      <c r="M452" s="749"/>
      <c r="N452" s="742"/>
      <c r="O452" s="268">
        <v>216.33</v>
      </c>
      <c r="P452" s="3513">
        <v>217.23400000000001</v>
      </c>
      <c r="Q452" s="268">
        <v>177.4</v>
      </c>
      <c r="R452" s="3768">
        <v>100.2</v>
      </c>
    </row>
    <row r="453" spans="1:18">
      <c r="A453" s="1468">
        <f t="shared" si="0"/>
        <v>2009.12</v>
      </c>
      <c r="B453" s="1559">
        <v>92.258600000000001</v>
      </c>
      <c r="C453" s="3711">
        <v>87.531899999999993</v>
      </c>
      <c r="D453" s="1560">
        <v>98.533100000000005</v>
      </c>
      <c r="E453" s="1561">
        <v>91.117699999999999</v>
      </c>
      <c r="F453" s="3711">
        <v>89.971199999999996</v>
      </c>
      <c r="G453" s="1560">
        <v>92.5167</v>
      </c>
      <c r="H453" s="1561">
        <v>3.81</v>
      </c>
      <c r="I453" s="268">
        <v>3.7861904761904763</v>
      </c>
      <c r="J453" s="291"/>
      <c r="K453" s="266"/>
      <c r="L453" s="266"/>
      <c r="M453" s="749"/>
      <c r="N453" s="742"/>
      <c r="O453" s="268">
        <v>215.94900000000001</v>
      </c>
      <c r="P453" s="3513">
        <v>217.34700000000001</v>
      </c>
      <c r="Q453" s="268">
        <v>178.1</v>
      </c>
      <c r="R453" s="3766">
        <v>100.3</v>
      </c>
    </row>
    <row r="454" spans="1:18">
      <c r="A454" s="1468">
        <f t="shared" si="0"/>
        <v>2010.01</v>
      </c>
      <c r="B454" s="1559">
        <v>92.440299999999993</v>
      </c>
      <c r="C454" s="3711">
        <v>88.192800000000005</v>
      </c>
      <c r="D454" s="1560">
        <v>98.100499999999997</v>
      </c>
      <c r="E454" s="1561">
        <v>90.990200000000002</v>
      </c>
      <c r="F454" s="3711">
        <v>90.416899999999998</v>
      </c>
      <c r="G454" s="1560">
        <v>91.750399999999999</v>
      </c>
      <c r="H454" s="1561">
        <v>3.83</v>
      </c>
      <c r="I454" s="268">
        <v>3.7850000000000001</v>
      </c>
      <c r="J454" s="292">
        <v>3.8750999999999998</v>
      </c>
      <c r="K454" s="266"/>
      <c r="L454" s="266"/>
      <c r="M454" s="749"/>
      <c r="N454" s="742"/>
      <c r="O454" s="268">
        <v>216.68700000000001</v>
      </c>
      <c r="P454" s="3513">
        <v>217.488</v>
      </c>
      <c r="Q454" s="268">
        <v>181.9</v>
      </c>
      <c r="R454" s="3766">
        <v>101.2</v>
      </c>
    </row>
    <row r="455" spans="1:18">
      <c r="A455" s="1468">
        <f t="shared" si="0"/>
        <v>2010.02</v>
      </c>
      <c r="B455" s="1559">
        <v>93.886700000000005</v>
      </c>
      <c r="C455" s="3711">
        <v>90.285300000000007</v>
      </c>
      <c r="D455" s="1560">
        <v>98.778099999999995</v>
      </c>
      <c r="E455" s="1561">
        <v>92.188000000000002</v>
      </c>
      <c r="F455" s="3711">
        <v>92.423100000000005</v>
      </c>
      <c r="G455" s="1560">
        <v>92.063299999999998</v>
      </c>
      <c r="H455" s="1561">
        <v>3.86</v>
      </c>
      <c r="I455" s="268">
        <v>3.8305000000000016</v>
      </c>
      <c r="J455" s="293">
        <v>3.9215999999999993</v>
      </c>
      <c r="K455" s="1557"/>
      <c r="L455" s="1947">
        <v>3.9221849999999998</v>
      </c>
      <c r="M455" s="749"/>
      <c r="N455" s="742"/>
      <c r="O455" s="268">
        <v>216.74100000000001</v>
      </c>
      <c r="P455" s="3513">
        <v>217.28100000000001</v>
      </c>
      <c r="Q455" s="268">
        <v>181</v>
      </c>
      <c r="R455" s="3766">
        <v>101</v>
      </c>
    </row>
    <row r="456" spans="1:18">
      <c r="A456" s="1468">
        <f t="shared" si="0"/>
        <v>2010.03</v>
      </c>
      <c r="B456" s="1559">
        <v>93.149900000000002</v>
      </c>
      <c r="C456" s="3711">
        <v>89.945999999999998</v>
      </c>
      <c r="D456" s="1560">
        <v>97.564499999999995</v>
      </c>
      <c r="E456" s="1561">
        <v>91.292500000000004</v>
      </c>
      <c r="F456" s="3711">
        <v>92.041600000000003</v>
      </c>
      <c r="G456" s="1560">
        <v>90.611199999999997</v>
      </c>
      <c r="H456" s="1561">
        <v>3.87</v>
      </c>
      <c r="I456" s="268">
        <v>3.8436363636363637</v>
      </c>
      <c r="J456" s="293">
        <v>3.9006363636363632</v>
      </c>
      <c r="K456" s="1557"/>
      <c r="L456" s="1564">
        <v>3.8938380000000001</v>
      </c>
      <c r="M456" s="749"/>
      <c r="N456" s="742"/>
      <c r="O456" s="268">
        <v>217.631</v>
      </c>
      <c r="P456" s="3513">
        <v>217.35300000000001</v>
      </c>
      <c r="Q456" s="268">
        <v>183.3</v>
      </c>
      <c r="R456" s="3766">
        <v>101.1</v>
      </c>
    </row>
    <row r="457" spans="1:18">
      <c r="A457" s="1468">
        <f t="shared" si="0"/>
        <v>2010.04</v>
      </c>
      <c r="B457" s="1559">
        <v>92.639099999999999</v>
      </c>
      <c r="C457" s="3711">
        <v>90.0137</v>
      </c>
      <c r="D457" s="1560">
        <v>96.369799999999998</v>
      </c>
      <c r="E457" s="1561">
        <v>90.642799999999994</v>
      </c>
      <c r="F457" s="3711">
        <v>92.036199999999994</v>
      </c>
      <c r="G457" s="1560">
        <v>89.274000000000001</v>
      </c>
      <c r="H457" s="1561">
        <v>3.88</v>
      </c>
      <c r="I457" s="268">
        <v>3.8565000000000005</v>
      </c>
      <c r="J457" s="293">
        <v>3.9028333333333323</v>
      </c>
      <c r="K457" s="1557"/>
      <c r="L457" s="1564">
        <v>3.8718119999999998</v>
      </c>
      <c r="M457" s="749"/>
      <c r="N457" s="742"/>
      <c r="O457" s="268">
        <v>218.00899999999999</v>
      </c>
      <c r="P457" s="3513">
        <v>217.40299999999999</v>
      </c>
      <c r="Q457" s="268">
        <v>184.4</v>
      </c>
      <c r="R457" s="3766">
        <v>101.4</v>
      </c>
    </row>
    <row r="458" spans="1:18">
      <c r="A458" s="1468">
        <f t="shared" si="0"/>
        <v>2010.05</v>
      </c>
      <c r="B458" s="1559">
        <v>95.530600000000007</v>
      </c>
      <c r="C458" s="3711">
        <v>93.832400000000007</v>
      </c>
      <c r="D458" s="1560">
        <v>98.212800000000001</v>
      </c>
      <c r="E458" s="1561">
        <v>93.266900000000007</v>
      </c>
      <c r="F458" s="3711">
        <v>95.815899999999999</v>
      </c>
      <c r="G458" s="1560">
        <v>90.692599999999999</v>
      </c>
      <c r="H458" s="1561">
        <v>3.91</v>
      </c>
      <c r="I458" s="268">
        <v>3.8852631578947374</v>
      </c>
      <c r="J458" s="293">
        <v>3.938078947368421</v>
      </c>
      <c r="K458" s="1557"/>
      <c r="L458" s="1564">
        <v>3.9128940000000001</v>
      </c>
      <c r="M458" s="749"/>
      <c r="N458" s="742"/>
      <c r="O458" s="268">
        <v>218.178</v>
      </c>
      <c r="P458" s="3513">
        <v>217.29</v>
      </c>
      <c r="Q458" s="268">
        <v>184.8</v>
      </c>
      <c r="R458" s="3766">
        <v>101.6</v>
      </c>
    </row>
    <row r="459" spans="1:18">
      <c r="A459" s="1468">
        <f t="shared" si="0"/>
        <v>2010.06</v>
      </c>
      <c r="B459" s="1559">
        <v>96.060599999999994</v>
      </c>
      <c r="C459" s="3711">
        <v>94.4833</v>
      </c>
      <c r="D459" s="1560">
        <v>98.608699999999999</v>
      </c>
      <c r="E459" s="1561">
        <v>93.638300000000001</v>
      </c>
      <c r="F459" s="3711">
        <v>96.335599999999999</v>
      </c>
      <c r="G459" s="1560">
        <v>90.911299999999997</v>
      </c>
      <c r="H459" s="1561">
        <v>3.93</v>
      </c>
      <c r="I459" s="268">
        <v>3.906666666666665</v>
      </c>
      <c r="J459" s="293">
        <v>4.0079047619047614</v>
      </c>
      <c r="K459" s="1557"/>
      <c r="L459" s="1564">
        <v>3.9919899999999999</v>
      </c>
      <c r="M459" s="749"/>
      <c r="N459" s="742"/>
      <c r="O459" s="268">
        <v>217.965</v>
      </c>
      <c r="P459" s="3513">
        <v>217.19900000000001</v>
      </c>
      <c r="Q459" s="268">
        <v>183.5</v>
      </c>
      <c r="R459" s="3766">
        <v>101.4</v>
      </c>
    </row>
    <row r="460" spans="1:18">
      <c r="A460" s="1468">
        <f t="shared" si="0"/>
        <v>2010.07</v>
      </c>
      <c r="B460" s="1559">
        <v>94.454700000000003</v>
      </c>
      <c r="C460" s="3711">
        <v>91.790599999999998</v>
      </c>
      <c r="D460" s="1560">
        <v>98.243700000000004</v>
      </c>
      <c r="E460" s="1561">
        <v>92.022800000000004</v>
      </c>
      <c r="F460" s="3711">
        <v>93.57</v>
      </c>
      <c r="G460" s="1560">
        <v>90.492900000000006</v>
      </c>
      <c r="H460" s="1561">
        <v>3.94</v>
      </c>
      <c r="I460" s="268">
        <v>3.9147619047619044</v>
      </c>
      <c r="J460" s="293">
        <v>4.0051666666666668</v>
      </c>
      <c r="K460" s="1557"/>
      <c r="L460" s="1564">
        <v>3.9378700000000002</v>
      </c>
      <c r="M460" s="749"/>
      <c r="N460" s="742"/>
      <c r="O460" s="268">
        <v>218.011</v>
      </c>
      <c r="P460" s="3513">
        <v>217.60499999999999</v>
      </c>
      <c r="Q460" s="268">
        <v>184.1</v>
      </c>
      <c r="R460" s="3766">
        <v>101.6</v>
      </c>
    </row>
    <row r="461" spans="1:18">
      <c r="A461" s="1468">
        <f t="shared" si="0"/>
        <v>2010.08</v>
      </c>
      <c r="B461" s="1559">
        <v>93.682199999999995</v>
      </c>
      <c r="C461" s="3711">
        <v>90.824100000000001</v>
      </c>
      <c r="D461" s="1560">
        <v>97.693100000000001</v>
      </c>
      <c r="E461" s="1561">
        <v>91.217500000000001</v>
      </c>
      <c r="F461" s="3711">
        <v>92.682500000000005</v>
      </c>
      <c r="G461" s="1560">
        <v>89.773600000000002</v>
      </c>
      <c r="H461" s="1561">
        <v>3.95</v>
      </c>
      <c r="I461" s="268">
        <v>3.9166666666666679</v>
      </c>
      <c r="J461" s="293">
        <v>4.0064523809523802</v>
      </c>
      <c r="K461" s="1557"/>
      <c r="L461" s="1564">
        <v>3.9116740000000001</v>
      </c>
      <c r="M461" s="749"/>
      <c r="N461" s="742"/>
      <c r="O461" s="268">
        <v>218.31200000000001</v>
      </c>
      <c r="P461" s="3513">
        <v>217.923</v>
      </c>
      <c r="Q461" s="268">
        <v>184.9</v>
      </c>
      <c r="R461" s="3766">
        <v>101.8</v>
      </c>
    </row>
    <row r="462" spans="1:18">
      <c r="A462" s="1468">
        <f t="shared" si="0"/>
        <v>2010.09</v>
      </c>
      <c r="B462" s="1559">
        <v>92.762600000000006</v>
      </c>
      <c r="C462" s="3711">
        <v>89.714100000000002</v>
      </c>
      <c r="D462" s="1560">
        <v>96.990700000000004</v>
      </c>
      <c r="E462" s="1561">
        <v>90.238399999999999</v>
      </c>
      <c r="F462" s="3711">
        <v>91.577100000000002</v>
      </c>
      <c r="G462" s="1560">
        <v>88.927099999999996</v>
      </c>
      <c r="H462" s="1561">
        <v>3.97</v>
      </c>
      <c r="I462" s="268">
        <v>3.9327272727272726</v>
      </c>
      <c r="J462" s="293">
        <v>4.0068636363636356</v>
      </c>
      <c r="K462" s="1557"/>
      <c r="L462" s="1564">
        <v>3.9388528571428569</v>
      </c>
      <c r="M462" s="749"/>
      <c r="N462" s="742"/>
      <c r="O462" s="268">
        <v>218.43899999999999</v>
      </c>
      <c r="P462" s="3513">
        <v>218.27500000000001</v>
      </c>
      <c r="Q462" s="268">
        <v>184.9</v>
      </c>
      <c r="R462" s="3766">
        <v>102.1</v>
      </c>
    </row>
    <row r="463" spans="1:18">
      <c r="A463" s="1468">
        <f t="shared" si="0"/>
        <v>2010.1</v>
      </c>
      <c r="B463" s="1559">
        <v>90.229100000000003</v>
      </c>
      <c r="C463" s="3711">
        <v>86.587000000000003</v>
      </c>
      <c r="D463" s="1560">
        <v>95.146199999999993</v>
      </c>
      <c r="E463" s="1561">
        <v>87.681100000000001</v>
      </c>
      <c r="F463" s="3711">
        <v>88.3977</v>
      </c>
      <c r="G463" s="1560">
        <v>87.029899999999998</v>
      </c>
      <c r="H463" s="1561">
        <v>3.97</v>
      </c>
      <c r="I463" s="268">
        <v>3.9384210526315782</v>
      </c>
      <c r="J463" s="293">
        <v>4.0231315789473685</v>
      </c>
      <c r="K463" s="1557"/>
      <c r="L463" s="1564">
        <v>3.9261875000000002</v>
      </c>
      <c r="M463" s="749"/>
      <c r="N463" s="742"/>
      <c r="O463" s="268">
        <v>218.71100000000001</v>
      </c>
      <c r="P463" s="3513">
        <v>219.035</v>
      </c>
      <c r="Q463" s="268">
        <v>186.6</v>
      </c>
      <c r="R463" s="3766">
        <v>102.5</v>
      </c>
    </row>
    <row r="464" spans="1:18">
      <c r="A464" s="1468">
        <f t="shared" si="0"/>
        <v>2010.11</v>
      </c>
      <c r="B464" s="1559">
        <v>90.509500000000003</v>
      </c>
      <c r="C464" s="3711">
        <v>87.158000000000001</v>
      </c>
      <c r="D464" s="1560">
        <v>95.083399999999997</v>
      </c>
      <c r="E464" s="1561">
        <v>87.800299999999993</v>
      </c>
      <c r="F464" s="3711">
        <v>88.977199999999996</v>
      </c>
      <c r="G464" s="1560">
        <v>86.657499999999999</v>
      </c>
      <c r="H464" s="1561">
        <v>3.98</v>
      </c>
      <c r="I464" s="268">
        <v>3.9485714285714288</v>
      </c>
      <c r="J464" s="293">
        <v>4.0398809523809529</v>
      </c>
      <c r="K464" s="1557"/>
      <c r="L464" s="1564">
        <v>3.9419562500000001</v>
      </c>
      <c r="M464" s="749"/>
      <c r="N464" s="742"/>
      <c r="O464" s="268">
        <v>218.803</v>
      </c>
      <c r="P464" s="3513">
        <v>219.59</v>
      </c>
      <c r="Q464" s="268">
        <v>187.7</v>
      </c>
      <c r="R464" s="3766">
        <v>102.8</v>
      </c>
    </row>
    <row r="465" spans="1:18">
      <c r="A465" s="1468">
        <f t="shared" si="0"/>
        <v>2010.12</v>
      </c>
      <c r="B465" s="1559">
        <v>91.183499999999995</v>
      </c>
      <c r="C465" s="3711">
        <v>88.284099999999995</v>
      </c>
      <c r="D465" s="1560">
        <v>95.224800000000002</v>
      </c>
      <c r="E465" s="1561">
        <v>88.502499999999998</v>
      </c>
      <c r="F465" s="3711">
        <v>90.193100000000001</v>
      </c>
      <c r="G465" s="1560">
        <v>86.817899999999995</v>
      </c>
      <c r="H465" s="1561">
        <v>3.99</v>
      </c>
      <c r="I465" s="268">
        <v>3.9584210526315786</v>
      </c>
      <c r="J465" s="293">
        <v>4.0667500000000008</v>
      </c>
      <c r="K465" s="1557"/>
      <c r="L465" s="1564">
        <v>4.0030633333333334</v>
      </c>
      <c r="M465" s="749"/>
      <c r="N465" s="742"/>
      <c r="O465" s="268">
        <v>219.179</v>
      </c>
      <c r="P465" s="3513">
        <v>220.47200000000001</v>
      </c>
      <c r="Q465" s="268">
        <v>189.7</v>
      </c>
      <c r="R465" s="3766">
        <v>103.1</v>
      </c>
    </row>
    <row r="466" spans="1:18">
      <c r="A466" s="1468">
        <f t="shared" si="0"/>
        <v>2011.01</v>
      </c>
      <c r="B466" s="1559">
        <v>90.111199999999997</v>
      </c>
      <c r="C466" s="3711">
        <v>87.2483</v>
      </c>
      <c r="D466" s="1560">
        <v>94.102599999999995</v>
      </c>
      <c r="E466" s="1561">
        <v>87.417400000000001</v>
      </c>
      <c r="F466" s="3711">
        <v>89.208600000000004</v>
      </c>
      <c r="G466" s="1560">
        <v>85.629800000000003</v>
      </c>
      <c r="H466" s="1561">
        <v>4</v>
      </c>
      <c r="I466" s="268">
        <v>3.9628571428571435</v>
      </c>
      <c r="J466" s="293">
        <v>4.1334999999999997</v>
      </c>
      <c r="K466" s="1557"/>
      <c r="L466" s="1564">
        <v>4.0386877777777777</v>
      </c>
      <c r="M466" s="749"/>
      <c r="N466" s="742"/>
      <c r="O466" s="268">
        <v>220.22300000000001</v>
      </c>
      <c r="P466" s="3513">
        <v>221.18700000000001</v>
      </c>
      <c r="Q466" s="268">
        <v>192.7</v>
      </c>
      <c r="R466" s="3766">
        <v>103.7</v>
      </c>
    </row>
    <row r="467" spans="1:18">
      <c r="A467" s="1468">
        <f t="shared" si="0"/>
        <v>2011.02</v>
      </c>
      <c r="B467" s="1559">
        <v>89.396699999999996</v>
      </c>
      <c r="C467" s="3711">
        <v>86.106899999999996</v>
      </c>
      <c r="D467" s="1560">
        <v>93.873099999999994</v>
      </c>
      <c r="E467" s="1561">
        <v>86.791799999999995</v>
      </c>
      <c r="F467" s="3711">
        <v>88.232699999999994</v>
      </c>
      <c r="G467" s="1560">
        <v>85.361999999999995</v>
      </c>
      <c r="H467" s="1561">
        <v>4.04</v>
      </c>
      <c r="I467" s="268">
        <v>4.0026315789473692</v>
      </c>
      <c r="J467" s="293">
        <v>4.1456</v>
      </c>
      <c r="K467" s="1557"/>
      <c r="L467" s="1564">
        <v>4.1620480000000004</v>
      </c>
      <c r="M467" s="749"/>
      <c r="N467" s="742"/>
      <c r="O467" s="268">
        <v>221.309</v>
      </c>
      <c r="P467" s="3513">
        <v>221.898</v>
      </c>
      <c r="Q467" s="268">
        <v>195.8</v>
      </c>
      <c r="R467" s="3766">
        <v>104.3</v>
      </c>
    </row>
    <row r="468" spans="1:18">
      <c r="A468" s="1468">
        <f t="shared" si="0"/>
        <v>2011.03</v>
      </c>
      <c r="B468" s="1559">
        <v>88.487200000000001</v>
      </c>
      <c r="C468" s="3711">
        <v>84.707300000000004</v>
      </c>
      <c r="D468" s="1560">
        <v>93.526600000000002</v>
      </c>
      <c r="E468" s="1561">
        <v>86.019400000000005</v>
      </c>
      <c r="F468" s="3711">
        <v>86.893299999999996</v>
      </c>
      <c r="G468" s="1560">
        <v>85.174400000000006</v>
      </c>
      <c r="H468" s="1561">
        <v>4.04</v>
      </c>
      <c r="I468" s="268">
        <v>4.0178947368421039</v>
      </c>
      <c r="J468" s="293">
        <v>4.1484473684210528</v>
      </c>
      <c r="K468" s="1557"/>
      <c r="L468" s="1564">
        <v>4.2103124999999997</v>
      </c>
      <c r="M468" s="749"/>
      <c r="N468" s="742"/>
      <c r="O468" s="268">
        <v>223.46700000000001</v>
      </c>
      <c r="P468" s="3513">
        <v>223.04599999999999</v>
      </c>
      <c r="Q468" s="268">
        <v>199.2</v>
      </c>
      <c r="R468" s="3766">
        <v>105</v>
      </c>
    </row>
    <row r="469" spans="1:18">
      <c r="A469" s="1468">
        <f t="shared" si="0"/>
        <v>2011.04</v>
      </c>
      <c r="B469" s="1559">
        <v>86.921400000000006</v>
      </c>
      <c r="C469" s="3711">
        <v>83.144000000000005</v>
      </c>
      <c r="D469" s="1560">
        <v>91.947199999999995</v>
      </c>
      <c r="E469" s="1561">
        <v>84.563699999999997</v>
      </c>
      <c r="F469" s="3711">
        <v>85.383899999999997</v>
      </c>
      <c r="G469" s="1560">
        <v>83.773499999999999</v>
      </c>
      <c r="H469" s="1561">
        <v>4.09</v>
      </c>
      <c r="I469" s="268">
        <v>4.045789473684211</v>
      </c>
      <c r="J469" s="293">
        <v>4.2054999999999989</v>
      </c>
      <c r="K469" s="1557"/>
      <c r="L469" s="1564">
        <v>4.2041599999999999</v>
      </c>
      <c r="M469" s="749"/>
      <c r="N469" s="742"/>
      <c r="O469" s="268">
        <v>224.90600000000001</v>
      </c>
      <c r="P469" s="3513">
        <v>224.09299999999999</v>
      </c>
      <c r="Q469" s="268">
        <v>203.1</v>
      </c>
      <c r="R469" s="3766">
        <v>105.5</v>
      </c>
    </row>
    <row r="470" spans="1:18">
      <c r="A470" s="1468">
        <f t="shared" si="0"/>
        <v>2011.05</v>
      </c>
      <c r="B470" s="1559">
        <v>86.946399999999997</v>
      </c>
      <c r="C470" s="3711">
        <v>83.304699999999997</v>
      </c>
      <c r="D470" s="1560">
        <v>91.814300000000003</v>
      </c>
      <c r="E470" s="1561">
        <v>84.656800000000004</v>
      </c>
      <c r="F470" s="3711">
        <v>85.710599999999999</v>
      </c>
      <c r="G470" s="1560">
        <v>83.624200000000002</v>
      </c>
      <c r="H470" s="1561">
        <v>4.0999999999999996</v>
      </c>
      <c r="I470" s="268">
        <v>4.0647619047619044</v>
      </c>
      <c r="J470" s="293">
        <v>4.300023809523811</v>
      </c>
      <c r="K470" s="1557"/>
      <c r="L470" s="1564">
        <v>4.3534450000000007</v>
      </c>
      <c r="M470" s="749"/>
      <c r="N470" s="742"/>
      <c r="O470" s="268">
        <v>225.964</v>
      </c>
      <c r="P470" s="3513">
        <v>224.80600000000001</v>
      </c>
      <c r="Q470" s="268">
        <v>204.1</v>
      </c>
      <c r="R470" s="3766">
        <v>105.8</v>
      </c>
    </row>
    <row r="471" spans="1:18">
      <c r="A471" s="1468">
        <f t="shared" si="0"/>
        <v>2011.06</v>
      </c>
      <c r="B471" s="1559">
        <v>86.941199999999995</v>
      </c>
      <c r="C471" s="3711">
        <v>83.228099999999998</v>
      </c>
      <c r="D471" s="1560">
        <v>91.8917</v>
      </c>
      <c r="E471" s="1561">
        <v>84.504499999999993</v>
      </c>
      <c r="F471" s="3711">
        <v>85.689700000000002</v>
      </c>
      <c r="G471" s="1560">
        <v>83.336200000000005</v>
      </c>
      <c r="H471" s="1561">
        <v>4.12</v>
      </c>
      <c r="I471" s="268">
        <v>4.0752380952380953</v>
      </c>
      <c r="J471" s="293">
        <v>4.2839285714285706</v>
      </c>
      <c r="K471" s="1557"/>
      <c r="L471" s="1564">
        <v>4.3060850000000004</v>
      </c>
      <c r="M471" s="749"/>
      <c r="N471" s="742"/>
      <c r="O471" s="268">
        <v>225.72200000000001</v>
      </c>
      <c r="P471" s="3513">
        <v>224.80600000000001</v>
      </c>
      <c r="Q471" s="268">
        <v>203.9</v>
      </c>
      <c r="R471" s="3766">
        <v>105.9</v>
      </c>
    </row>
    <row r="472" spans="1:18">
      <c r="A472" s="1468">
        <f t="shared" si="0"/>
        <v>2011.07</v>
      </c>
      <c r="B472" s="1559">
        <v>86.317800000000005</v>
      </c>
      <c r="C472" s="3711">
        <v>82.678299999999993</v>
      </c>
      <c r="D472" s="1560">
        <v>91.178200000000004</v>
      </c>
      <c r="E472" s="1561">
        <v>83.904399999999995</v>
      </c>
      <c r="F472" s="3711">
        <v>85.241</v>
      </c>
      <c r="G472" s="1560">
        <v>82.58</v>
      </c>
      <c r="H472" s="1561">
        <v>4.1500000000000004</v>
      </c>
      <c r="I472" s="268">
        <v>4.10952380952381</v>
      </c>
      <c r="J472" s="293">
        <v>4.2945952380952388</v>
      </c>
      <c r="K472" s="1557"/>
      <c r="L472" s="1564">
        <v>4.2267984615384613</v>
      </c>
      <c r="M472" s="749"/>
      <c r="N472" s="742"/>
      <c r="O472" s="268">
        <v>225.922</v>
      </c>
      <c r="P472" s="3513">
        <v>225.39500000000001</v>
      </c>
      <c r="Q472" s="268">
        <v>204.6</v>
      </c>
      <c r="R472" s="3766">
        <v>106.1</v>
      </c>
    </row>
    <row r="473" spans="1:18">
      <c r="A473" s="1468">
        <f t="shared" si="0"/>
        <v>2011.08</v>
      </c>
      <c r="B473" s="1559">
        <v>86.898300000000006</v>
      </c>
      <c r="C473" s="3711">
        <v>82.693799999999996</v>
      </c>
      <c r="D473" s="1560">
        <v>92.427499999999995</v>
      </c>
      <c r="E473" s="1561">
        <v>84.567599999999999</v>
      </c>
      <c r="F473" s="3711">
        <v>85.409099999999995</v>
      </c>
      <c r="G473" s="1560">
        <v>83.755099999999999</v>
      </c>
      <c r="H473" s="1561">
        <v>4.2</v>
      </c>
      <c r="I473" s="268">
        <v>4.1490909090909094</v>
      </c>
      <c r="J473" s="293">
        <v>4.3627272727272732</v>
      </c>
      <c r="K473" s="1557"/>
      <c r="L473" s="1564">
        <v>4.3438129999999999</v>
      </c>
      <c r="M473" s="749"/>
      <c r="N473" s="742"/>
      <c r="O473" s="268">
        <v>226.54499999999999</v>
      </c>
      <c r="P473" s="3513">
        <v>226.10599999999999</v>
      </c>
      <c r="Q473" s="268">
        <v>203.2</v>
      </c>
      <c r="R473" s="3766">
        <v>106.3</v>
      </c>
    </row>
    <row r="474" spans="1:18">
      <c r="A474" s="1468">
        <f t="shared" si="0"/>
        <v>2011.09</v>
      </c>
      <c r="B474" s="1559">
        <v>89.725300000000004</v>
      </c>
      <c r="C474" s="3711">
        <v>85.338200000000001</v>
      </c>
      <c r="D474" s="1560">
        <v>95.489599999999996</v>
      </c>
      <c r="E474" s="1561">
        <v>87.272900000000007</v>
      </c>
      <c r="F474" s="3711">
        <v>88.034800000000004</v>
      </c>
      <c r="G474" s="1560">
        <v>86.545500000000004</v>
      </c>
      <c r="H474" s="1561">
        <v>4.22</v>
      </c>
      <c r="I474" s="268">
        <v>4.1854545454545447</v>
      </c>
      <c r="J474" s="293">
        <v>4.4359999999999999</v>
      </c>
      <c r="K474" s="1557"/>
      <c r="L474" s="1564">
        <v>4.5864799999999999</v>
      </c>
      <c r="M474" s="749"/>
      <c r="N474" s="742"/>
      <c r="O474" s="268">
        <v>226.88900000000001</v>
      </c>
      <c r="P474" s="3513">
        <v>226.59700000000001</v>
      </c>
      <c r="Q474" s="268">
        <v>203.7</v>
      </c>
      <c r="R474" s="3766">
        <v>106.7</v>
      </c>
    </row>
    <row r="475" spans="1:18">
      <c r="A475" s="1468">
        <f t="shared" si="0"/>
        <v>2011.1</v>
      </c>
      <c r="B475" s="1559">
        <v>90.609800000000007</v>
      </c>
      <c r="C475" s="3711">
        <v>85.899100000000004</v>
      </c>
      <c r="D475" s="1560">
        <v>96.765000000000001</v>
      </c>
      <c r="E475" s="1561">
        <v>87.930099999999996</v>
      </c>
      <c r="F475" s="3711">
        <v>88.476399999999998</v>
      </c>
      <c r="G475" s="1560">
        <v>87.4285</v>
      </c>
      <c r="H475" s="1561">
        <v>4.24</v>
      </c>
      <c r="I475" s="268">
        <v>4.2060000000000004</v>
      </c>
      <c r="J475" s="293">
        <v>4.4382000000000001</v>
      </c>
      <c r="K475" s="1557"/>
      <c r="L475" s="1564">
        <v>4.7072007692307691</v>
      </c>
      <c r="M475" s="749"/>
      <c r="N475" s="742"/>
      <c r="O475" s="268">
        <v>226.42099999999999</v>
      </c>
      <c r="P475" s="3513">
        <v>226.75</v>
      </c>
      <c r="Q475" s="268">
        <v>201.1</v>
      </c>
      <c r="R475" s="3766">
        <v>106.3</v>
      </c>
    </row>
    <row r="476" spans="1:18">
      <c r="A476" s="1468">
        <f t="shared" si="0"/>
        <v>2011.11</v>
      </c>
      <c r="B476" s="1559">
        <v>91.264899999999997</v>
      </c>
      <c r="C476" s="3711">
        <v>86.620199999999997</v>
      </c>
      <c r="D476" s="1560">
        <v>97.343299999999999</v>
      </c>
      <c r="E476" s="1561">
        <v>88.545199999999994</v>
      </c>
      <c r="F476" s="3711">
        <v>89.284400000000005</v>
      </c>
      <c r="G476" s="1560">
        <v>87.842299999999994</v>
      </c>
      <c r="H476" s="1561">
        <v>4.28</v>
      </c>
      <c r="I476" s="268">
        <v>4.241428571428572</v>
      </c>
      <c r="J476" s="293">
        <v>4.714047619047621</v>
      </c>
      <c r="K476" s="1557"/>
      <c r="L476" s="1564">
        <v>4.6709633333333329</v>
      </c>
      <c r="M476" s="749"/>
      <c r="N476" s="742"/>
      <c r="O476" s="268">
        <v>226.23</v>
      </c>
      <c r="P476" s="3513">
        <v>227.16900000000001</v>
      </c>
      <c r="Q476" s="268">
        <v>201.4</v>
      </c>
      <c r="R476" s="3766">
        <v>106.6</v>
      </c>
    </row>
    <row r="477" spans="1:18">
      <c r="A477" s="1468">
        <f t="shared" si="0"/>
        <v>2011.12</v>
      </c>
      <c r="B477" s="1559">
        <v>92.205600000000004</v>
      </c>
      <c r="C477" s="3711">
        <v>87.818200000000004</v>
      </c>
      <c r="D477" s="1560">
        <v>97.9846</v>
      </c>
      <c r="E477" s="1561">
        <v>89.347999999999999</v>
      </c>
      <c r="F477" s="3711">
        <v>90.529799999999994</v>
      </c>
      <c r="G477" s="1560">
        <v>88.186199999999999</v>
      </c>
      <c r="H477" s="1561">
        <v>4.3</v>
      </c>
      <c r="I477" s="268">
        <v>4.2678947368421039</v>
      </c>
      <c r="J477" s="293">
        <v>4.6531578947368422</v>
      </c>
      <c r="K477" s="1557"/>
      <c r="L477" s="1564">
        <v>4.6596074999999999</v>
      </c>
      <c r="M477" s="749"/>
      <c r="N477" s="742"/>
      <c r="O477" s="268">
        <v>225.672</v>
      </c>
      <c r="P477" s="3513">
        <v>227.22300000000001</v>
      </c>
      <c r="Q477" s="268">
        <v>199.8</v>
      </c>
      <c r="R477" s="3766">
        <v>106.5</v>
      </c>
    </row>
    <row r="478" spans="1:18">
      <c r="A478" s="1468">
        <f t="shared" si="0"/>
        <v>2012.01</v>
      </c>
      <c r="B478" s="1559">
        <v>91.646299999999997</v>
      </c>
      <c r="C478" s="3711">
        <v>87.963099999999997</v>
      </c>
      <c r="D478" s="1560">
        <v>96.613</v>
      </c>
      <c r="E478" s="1561">
        <v>88.735299999999995</v>
      </c>
      <c r="F478" s="3711">
        <v>90.613399999999999</v>
      </c>
      <c r="G478" s="1560">
        <v>86.874200000000002</v>
      </c>
      <c r="H478" s="1561">
        <v>4.34</v>
      </c>
      <c r="I478" s="268">
        <v>4.3014285714285689</v>
      </c>
      <c r="J478" s="293">
        <v>4.8040476190476182</v>
      </c>
      <c r="K478" s="1557"/>
      <c r="L478" s="1564">
        <v>4.6730514285714282</v>
      </c>
      <c r="M478" s="749"/>
      <c r="N478" s="742"/>
      <c r="O478" s="268">
        <v>226.66499999999999</v>
      </c>
      <c r="P478" s="3513">
        <v>227.84200000000001</v>
      </c>
      <c r="Q478" s="268">
        <v>200.7</v>
      </c>
      <c r="R478" s="3766">
        <v>106.9</v>
      </c>
    </row>
    <row r="479" spans="1:18">
      <c r="A479" s="1468">
        <f t="shared" si="0"/>
        <v>2012.02</v>
      </c>
      <c r="B479" s="1559">
        <v>89.960499999999996</v>
      </c>
      <c r="C479" s="3711">
        <v>86.618600000000001</v>
      </c>
      <c r="D479" s="1560">
        <v>94.524199999999993</v>
      </c>
      <c r="E479" s="1561">
        <v>87.170500000000004</v>
      </c>
      <c r="F479" s="3711">
        <v>89.322500000000005</v>
      </c>
      <c r="G479" s="1560">
        <v>85.037499999999994</v>
      </c>
      <c r="H479" s="1561">
        <v>4.3499999999999996</v>
      </c>
      <c r="I479" s="268">
        <v>4.3266666666666662</v>
      </c>
      <c r="J479" s="293">
        <v>4.7418055555555556</v>
      </c>
      <c r="K479" s="1557"/>
      <c r="L479" s="1564">
        <v>4.7612877777777776</v>
      </c>
      <c r="M479" s="749"/>
      <c r="N479" s="742"/>
      <c r="O479" s="268">
        <v>227.66300000000001</v>
      </c>
      <c r="P479" s="3513">
        <v>228.32900000000001</v>
      </c>
      <c r="Q479" s="268">
        <v>201.6</v>
      </c>
      <c r="R479" s="3766">
        <v>107.2</v>
      </c>
    </row>
    <row r="480" spans="1:18">
      <c r="A480" s="1468">
        <f t="shared" si="0"/>
        <v>2012.03</v>
      </c>
      <c r="B480" s="1559">
        <v>90.511200000000002</v>
      </c>
      <c r="C480" s="3711">
        <v>87.316599999999994</v>
      </c>
      <c r="D480" s="1560">
        <v>94.913200000000003</v>
      </c>
      <c r="E480" s="1561">
        <v>87.654200000000003</v>
      </c>
      <c r="F480" s="3711">
        <v>90.0428</v>
      </c>
      <c r="G480" s="1560">
        <v>85.287700000000001</v>
      </c>
      <c r="H480" s="1561">
        <v>4.38</v>
      </c>
      <c r="I480" s="268">
        <v>4.337727272727272</v>
      </c>
      <c r="J480" s="293">
        <v>4.7915909090909086</v>
      </c>
      <c r="K480" s="1557"/>
      <c r="L480" s="1564">
        <v>4.92723625</v>
      </c>
      <c r="M480" s="749"/>
      <c r="N480" s="742"/>
      <c r="O480" s="268">
        <v>229.392</v>
      </c>
      <c r="P480" s="3513">
        <v>228.80699999999999</v>
      </c>
      <c r="Q480" s="268">
        <v>204.2</v>
      </c>
      <c r="R480" s="3766">
        <v>107.4</v>
      </c>
    </row>
    <row r="481" spans="1:18">
      <c r="A481" s="1468">
        <f t="shared" si="0"/>
        <v>2012.04</v>
      </c>
      <c r="B481" s="1559">
        <v>90.815600000000003</v>
      </c>
      <c r="C481" s="3711">
        <v>87.161000000000001</v>
      </c>
      <c r="D481" s="1560">
        <v>95.742999999999995</v>
      </c>
      <c r="E481" s="1561">
        <v>87.879099999999994</v>
      </c>
      <c r="F481" s="3711">
        <v>89.8125</v>
      </c>
      <c r="G481" s="1560">
        <v>85.962800000000001</v>
      </c>
      <c r="H481" s="1561">
        <v>4.41</v>
      </c>
      <c r="I481" s="268">
        <v>4.3788235294117657</v>
      </c>
      <c r="J481" s="293">
        <v>4.9823529411764707</v>
      </c>
      <c r="K481" s="1557"/>
      <c r="L481" s="1564">
        <v>5.3987444444444446</v>
      </c>
      <c r="M481" s="749"/>
      <c r="N481" s="742"/>
      <c r="O481" s="268">
        <v>230.08500000000001</v>
      </c>
      <c r="P481" s="3513">
        <v>229.18700000000001</v>
      </c>
      <c r="Q481" s="268">
        <v>203.7</v>
      </c>
      <c r="R481" s="3766">
        <v>107.7</v>
      </c>
    </row>
    <row r="482" spans="1:18">
      <c r="A482" s="1468">
        <f t="shared" si="0"/>
        <v>2012.05</v>
      </c>
      <c r="B482" s="1559">
        <v>92.492800000000003</v>
      </c>
      <c r="C482" s="3711">
        <v>88.510800000000003</v>
      </c>
      <c r="D482" s="1560">
        <v>97.8078</v>
      </c>
      <c r="E482" s="1561">
        <v>89.277299999999997</v>
      </c>
      <c r="F482" s="3711">
        <v>91.186400000000006</v>
      </c>
      <c r="G482" s="1560">
        <v>87.385400000000004</v>
      </c>
      <c r="H482" s="1561">
        <v>4.4800000000000004</v>
      </c>
      <c r="I482" s="268">
        <v>4.4319047619047627</v>
      </c>
      <c r="J482" s="293">
        <v>5.4885714285714284</v>
      </c>
      <c r="K482" s="1557"/>
      <c r="L482" s="1564">
        <v>5.8975042857142856</v>
      </c>
      <c r="M482" s="749"/>
      <c r="N482" s="742"/>
      <c r="O482" s="268">
        <v>229.815</v>
      </c>
      <c r="P482" s="3513">
        <v>228.71299999999999</v>
      </c>
      <c r="Q482" s="268">
        <v>201.9</v>
      </c>
      <c r="R482" s="3766">
        <v>107.6</v>
      </c>
    </row>
    <row r="483" spans="1:18">
      <c r="A483" s="1468">
        <f t="shared" si="0"/>
        <v>2012.06</v>
      </c>
      <c r="B483" s="1559">
        <v>93.880899999999997</v>
      </c>
      <c r="C483" s="3711">
        <v>89.888400000000004</v>
      </c>
      <c r="D483" s="1560">
        <v>99.219300000000004</v>
      </c>
      <c r="E483" s="1561">
        <v>90.508600000000001</v>
      </c>
      <c r="F483" s="3711">
        <v>92.67</v>
      </c>
      <c r="G483" s="1560">
        <v>88.366100000000003</v>
      </c>
      <c r="H483" s="1561">
        <v>4.5199999999999996</v>
      </c>
      <c r="I483" s="268">
        <v>4.479000000000001</v>
      </c>
      <c r="J483" s="293">
        <v>5.9324999999999983</v>
      </c>
      <c r="K483" s="1557"/>
      <c r="L483" s="1564">
        <v>6.4637060000000002</v>
      </c>
      <c r="M483" s="749"/>
      <c r="N483" s="742"/>
      <c r="O483" s="268">
        <v>229.47800000000001</v>
      </c>
      <c r="P483" s="3513">
        <v>228.524</v>
      </c>
      <c r="Q483" s="268">
        <v>199.8</v>
      </c>
      <c r="R483" s="3766">
        <v>107.3</v>
      </c>
    </row>
    <row r="484" spans="1:18">
      <c r="A484" s="1468">
        <f t="shared" si="0"/>
        <v>2012.07</v>
      </c>
      <c r="B484" s="1559">
        <v>93.406199999999998</v>
      </c>
      <c r="C484" s="3711">
        <v>90.070099999999996</v>
      </c>
      <c r="D484" s="1560">
        <v>97.993300000000005</v>
      </c>
      <c r="E484" s="1561">
        <v>89.947699999999998</v>
      </c>
      <c r="F484" s="3711">
        <v>92.802499999999995</v>
      </c>
      <c r="G484" s="1560">
        <v>87.123599999999996</v>
      </c>
      <c r="H484" s="1561">
        <v>4.58</v>
      </c>
      <c r="I484" s="268">
        <v>4.5347619047619041</v>
      </c>
      <c r="J484" s="293">
        <v>6.2509523809523815</v>
      </c>
      <c r="K484" s="1557"/>
      <c r="L484" s="1564">
        <v>6.7823407142857146</v>
      </c>
      <c r="M484" s="749"/>
      <c r="N484" s="742"/>
      <c r="O484" s="268">
        <v>229.10400000000001</v>
      </c>
      <c r="P484" s="3513">
        <v>228.59</v>
      </c>
      <c r="Q484" s="268">
        <v>200.1</v>
      </c>
      <c r="R484" s="3766">
        <v>107.2</v>
      </c>
    </row>
    <row r="485" spans="1:18">
      <c r="A485" s="1468">
        <f t="shared" si="0"/>
        <v>2012.08</v>
      </c>
      <c r="B485" s="1559">
        <v>92.528300000000002</v>
      </c>
      <c r="C485" s="3711">
        <v>88.892200000000003</v>
      </c>
      <c r="D485" s="1560">
        <v>97.448499999999996</v>
      </c>
      <c r="E485" s="1561">
        <v>89.297799999999995</v>
      </c>
      <c r="F485" s="3711">
        <v>91.874300000000005</v>
      </c>
      <c r="G485" s="1560">
        <v>86.746399999999994</v>
      </c>
      <c r="H485" s="1561">
        <v>4.6399999999999997</v>
      </c>
      <c r="I485" s="268">
        <v>4.5922727272727277</v>
      </c>
      <c r="J485" s="293">
        <v>6.3011363636363633</v>
      </c>
      <c r="K485" s="1557"/>
      <c r="L485" s="1564">
        <v>6.4775700000000001</v>
      </c>
      <c r="M485" s="749"/>
      <c r="N485" s="742"/>
      <c r="O485" s="268">
        <v>230.37899999999999</v>
      </c>
      <c r="P485" s="3513">
        <v>229.91800000000001</v>
      </c>
      <c r="Q485" s="268">
        <v>202.7</v>
      </c>
      <c r="R485" s="3766">
        <v>107.5</v>
      </c>
    </row>
    <row r="486" spans="1:18">
      <c r="A486" s="1468">
        <f t="shared" si="0"/>
        <v>2012.09</v>
      </c>
      <c r="B486" s="1559">
        <v>90.980199999999996</v>
      </c>
      <c r="C486" s="3711">
        <v>86.9071</v>
      </c>
      <c r="D486" s="1560">
        <v>96.388300000000001</v>
      </c>
      <c r="E486" s="1561">
        <v>87.985299999999995</v>
      </c>
      <c r="F486" s="3711">
        <v>90.045599999999993</v>
      </c>
      <c r="G486" s="1560">
        <v>85.942999999999998</v>
      </c>
      <c r="H486" s="1561">
        <v>4.6900000000000004</v>
      </c>
      <c r="I486" s="268">
        <v>4.6510526315789473</v>
      </c>
      <c r="J486" s="293">
        <v>6.3078947368421057</v>
      </c>
      <c r="K486" s="1557"/>
      <c r="L486" s="1564">
        <v>6.4089447058823534</v>
      </c>
      <c r="M486" s="749"/>
      <c r="N486" s="742"/>
      <c r="O486" s="268">
        <v>231.40700000000001</v>
      </c>
      <c r="P486" s="3513">
        <v>231.01499999999999</v>
      </c>
      <c r="Q486" s="268">
        <v>204.4</v>
      </c>
      <c r="R486" s="3766">
        <v>108.2</v>
      </c>
    </row>
    <row r="487" spans="1:18">
      <c r="A487" s="1468">
        <f t="shared" si="0"/>
        <v>2012.1</v>
      </c>
      <c r="B487" s="1559">
        <v>90.756600000000006</v>
      </c>
      <c r="C487" s="3711">
        <v>87.062700000000007</v>
      </c>
      <c r="D487" s="1560">
        <v>95.727699999999999</v>
      </c>
      <c r="E487" s="1561">
        <v>87.849100000000007</v>
      </c>
      <c r="F487" s="3711">
        <v>90.340500000000006</v>
      </c>
      <c r="G487" s="1560">
        <v>85.381500000000003</v>
      </c>
      <c r="H487" s="1561">
        <v>4.75</v>
      </c>
      <c r="I487" s="268">
        <v>4.7109090909090918</v>
      </c>
      <c r="J487" s="293">
        <v>6.2677272727272735</v>
      </c>
      <c r="K487" s="1557"/>
      <c r="L487" s="1564">
        <v>6.386164285714286</v>
      </c>
      <c r="M487" s="749"/>
      <c r="N487" s="742"/>
      <c r="O487" s="268">
        <v>231.31700000000001</v>
      </c>
      <c r="P487" s="3513">
        <v>231.63800000000001</v>
      </c>
      <c r="Q487" s="268">
        <v>203.5</v>
      </c>
      <c r="R487" s="3766">
        <v>108.3</v>
      </c>
    </row>
    <row r="488" spans="1:18">
      <c r="A488" s="1468">
        <f t="shared" si="0"/>
        <v>2012.11</v>
      </c>
      <c r="B488" s="1559">
        <v>91.475099999999998</v>
      </c>
      <c r="C488" s="3711">
        <v>88.103399999999993</v>
      </c>
      <c r="D488" s="1560">
        <v>96.085400000000007</v>
      </c>
      <c r="E488" s="1561">
        <v>88.257199999999997</v>
      </c>
      <c r="F488" s="3711">
        <v>91.211500000000001</v>
      </c>
      <c r="G488" s="1560">
        <v>85.337100000000007</v>
      </c>
      <c r="H488" s="1561">
        <v>4.83</v>
      </c>
      <c r="I488" s="268">
        <v>4.778999999999999</v>
      </c>
      <c r="J488" s="293">
        <v>6.3639999999999999</v>
      </c>
      <c r="K488" s="1557"/>
      <c r="L488" s="1564">
        <v>6.8496661111111106</v>
      </c>
      <c r="M488" s="749"/>
      <c r="N488" s="742"/>
      <c r="O488" s="268">
        <v>230.221</v>
      </c>
      <c r="P488" s="3513">
        <v>231.249</v>
      </c>
      <c r="Q488" s="268">
        <v>201.8</v>
      </c>
      <c r="R488" s="3766">
        <v>108.4</v>
      </c>
    </row>
    <row r="489" spans="1:18">
      <c r="A489" s="1468">
        <f t="shared" si="0"/>
        <v>2012.12</v>
      </c>
      <c r="B489" s="1559">
        <v>90.880399999999995</v>
      </c>
      <c r="C489" s="3711">
        <v>87.468800000000002</v>
      </c>
      <c r="D489" s="1560">
        <v>95.530900000000003</v>
      </c>
      <c r="E489" s="1561">
        <v>87.484800000000007</v>
      </c>
      <c r="F489" s="3711">
        <v>90.4816</v>
      </c>
      <c r="G489" s="1560">
        <v>84.523899999999998</v>
      </c>
      <c r="H489" s="1561">
        <v>4.9000000000000004</v>
      </c>
      <c r="I489" s="268">
        <v>4.8610526315789482</v>
      </c>
      <c r="J489" s="293">
        <v>6.5431578947368427</v>
      </c>
      <c r="K489" s="1557"/>
      <c r="L489" s="1564">
        <v>6.6212329411764701</v>
      </c>
      <c r="M489" s="749"/>
      <c r="N489" s="742"/>
      <c r="O489" s="268">
        <v>229.601</v>
      </c>
      <c r="P489" s="3513">
        <v>231.221</v>
      </c>
      <c r="Q489" s="268">
        <v>201.5</v>
      </c>
      <c r="R489" s="3766">
        <v>108.4</v>
      </c>
    </row>
    <row r="490" spans="1:18">
      <c r="A490" s="1468">
        <f t="shared" si="0"/>
        <v>2013.01</v>
      </c>
      <c r="B490" s="1559">
        <v>90.825500000000005</v>
      </c>
      <c r="C490" s="3711">
        <v>87.957999999999998</v>
      </c>
      <c r="D490" s="1560">
        <v>94.877200000000002</v>
      </c>
      <c r="E490" s="1561">
        <v>87.399199999999993</v>
      </c>
      <c r="F490" s="3711">
        <v>91.050899999999999</v>
      </c>
      <c r="G490" s="1560">
        <v>83.829899999999995</v>
      </c>
      <c r="H490" s="1561">
        <v>4.9800000000000004</v>
      </c>
      <c r="I490" s="268">
        <v>4.93047619047619</v>
      </c>
      <c r="J490" s="293">
        <v>7.3571428571428568</v>
      </c>
      <c r="K490" s="1557"/>
      <c r="L490" s="1564">
        <v>7.2428438095238086</v>
      </c>
      <c r="M490" s="749"/>
      <c r="N490" s="742"/>
      <c r="O490" s="268">
        <v>230.28</v>
      </c>
      <c r="P490" s="3513">
        <v>231.679</v>
      </c>
      <c r="Q490" s="268">
        <v>202.5</v>
      </c>
      <c r="R490" s="3766">
        <v>108.7</v>
      </c>
    </row>
    <row r="491" spans="1:18">
      <c r="A491" s="1468">
        <f t="shared" si="0"/>
        <v>2013.02</v>
      </c>
      <c r="B491" s="1559">
        <v>91.550899999999999</v>
      </c>
      <c r="C491" s="3711">
        <v>89.197800000000001</v>
      </c>
      <c r="D491" s="1560">
        <v>95.058899999999994</v>
      </c>
      <c r="E491" s="1561">
        <v>88.281300000000002</v>
      </c>
      <c r="F491" s="3711">
        <v>92.590400000000002</v>
      </c>
      <c r="G491" s="1560">
        <v>84.107100000000003</v>
      </c>
      <c r="H491" s="1561">
        <v>5.03</v>
      </c>
      <c r="I491" s="268">
        <v>4.9923529411764704</v>
      </c>
      <c r="J491" s="293">
        <v>7.7364705882352949</v>
      </c>
      <c r="K491" s="1557"/>
      <c r="L491" s="1564">
        <v>7.7753556250000004</v>
      </c>
      <c r="M491" s="749"/>
      <c r="N491" s="742"/>
      <c r="O491" s="268">
        <v>232.166</v>
      </c>
      <c r="P491" s="3513">
        <v>232.93700000000001</v>
      </c>
      <c r="Q491" s="268">
        <v>204.3</v>
      </c>
      <c r="R491" s="3766">
        <v>108.9</v>
      </c>
    </row>
    <row r="492" spans="1:18">
      <c r="A492" s="1468">
        <f t="shared" si="0"/>
        <v>2013.03</v>
      </c>
      <c r="B492" s="1559">
        <v>92.413200000000003</v>
      </c>
      <c r="C492" s="3711">
        <v>91.150999999999996</v>
      </c>
      <c r="D492" s="1560">
        <v>94.778700000000001</v>
      </c>
      <c r="E492" s="1561">
        <v>88.769499999999994</v>
      </c>
      <c r="F492" s="3711">
        <v>94.296499999999995</v>
      </c>
      <c r="G492" s="1560">
        <v>83.498900000000006</v>
      </c>
      <c r="H492" s="1561">
        <v>5.0999999999999996</v>
      </c>
      <c r="I492" s="268">
        <v>5.0663157894736841</v>
      </c>
      <c r="J492" s="293">
        <v>8.0697368421052627</v>
      </c>
      <c r="K492" s="1557"/>
      <c r="L492" s="1564">
        <v>8.2683121052631581</v>
      </c>
      <c r="M492" s="749"/>
      <c r="N492" s="742"/>
      <c r="O492" s="268">
        <v>232.773</v>
      </c>
      <c r="P492" s="3513">
        <v>232.28200000000001</v>
      </c>
      <c r="Q492" s="268">
        <v>204</v>
      </c>
      <c r="R492" s="3766">
        <v>108.9</v>
      </c>
    </row>
    <row r="493" spans="1:18">
      <c r="A493" s="1468">
        <f t="shared" si="0"/>
        <v>2013.04</v>
      </c>
      <c r="B493" s="1559">
        <v>92.047799999999995</v>
      </c>
      <c r="C493" s="3711">
        <v>91.018900000000002</v>
      </c>
      <c r="D493" s="1560">
        <v>94.166700000000006</v>
      </c>
      <c r="E493" s="1561">
        <v>88.021699999999996</v>
      </c>
      <c r="F493" s="3711">
        <v>94.145700000000005</v>
      </c>
      <c r="G493" s="1560">
        <v>82.228300000000004</v>
      </c>
      <c r="H493" s="1561">
        <v>5.16</v>
      </c>
      <c r="I493" s="268">
        <v>5.136000000000001</v>
      </c>
      <c r="J493" s="293">
        <v>8.6660000000000004</v>
      </c>
      <c r="K493" s="1557"/>
      <c r="L493" s="1564">
        <v>8.7742775000000002</v>
      </c>
      <c r="M493" s="749"/>
      <c r="N493" s="742"/>
      <c r="O493" s="268">
        <v>232.53100000000001</v>
      </c>
      <c r="P493" s="3513">
        <v>231.797</v>
      </c>
      <c r="Q493" s="268">
        <v>203.5</v>
      </c>
      <c r="R493" s="3766">
        <v>108.7</v>
      </c>
    </row>
    <row r="494" spans="1:18">
      <c r="A494" s="1468">
        <f t="shared" ref="A494:A559" si="1">A482+1</f>
        <v>2013.05</v>
      </c>
      <c r="B494" s="1559">
        <v>92.528999999999996</v>
      </c>
      <c r="C494" s="3711">
        <v>91.811300000000003</v>
      </c>
      <c r="D494" s="1560">
        <v>94.332700000000003</v>
      </c>
      <c r="E494" s="1561">
        <v>88.419899999999998</v>
      </c>
      <c r="F494" s="3711">
        <v>94.940100000000001</v>
      </c>
      <c r="G494" s="1560">
        <v>82.278999999999996</v>
      </c>
      <c r="H494" s="1561">
        <v>5.26</v>
      </c>
      <c r="I494" s="268">
        <v>5.2213636363636367</v>
      </c>
      <c r="J494" s="293">
        <v>9.2565909090909084</v>
      </c>
      <c r="K494" s="1557"/>
      <c r="L494" s="1564">
        <v>8.8384745454545453</v>
      </c>
      <c r="M494" s="749"/>
      <c r="N494" s="742"/>
      <c r="O494" s="268">
        <v>232.94499999999999</v>
      </c>
      <c r="P494" s="3513">
        <v>231.893</v>
      </c>
      <c r="Q494" s="268">
        <v>204.1</v>
      </c>
      <c r="R494" s="3766">
        <v>108.6</v>
      </c>
    </row>
    <row r="495" spans="1:18">
      <c r="A495" s="1468">
        <f t="shared" si="1"/>
        <v>2013.06</v>
      </c>
      <c r="B495" s="1559">
        <v>93.283600000000007</v>
      </c>
      <c r="C495" s="3711">
        <v>91.045299999999997</v>
      </c>
      <c r="D495" s="1560">
        <v>96.688599999999994</v>
      </c>
      <c r="E495" s="1561">
        <v>89.139399999999995</v>
      </c>
      <c r="F495" s="3711">
        <v>94.208600000000004</v>
      </c>
      <c r="G495" s="1560">
        <v>84.275700000000001</v>
      </c>
      <c r="H495" s="1561">
        <v>5.38</v>
      </c>
      <c r="I495" s="268">
        <v>5.3122222222222231</v>
      </c>
      <c r="J495" s="293">
        <v>8.2122222222222216</v>
      </c>
      <c r="K495" s="1557"/>
      <c r="L495" s="1564">
        <v>8.0762205555555564</v>
      </c>
      <c r="M495" s="749"/>
      <c r="N495" s="742"/>
      <c r="O495" s="268">
        <v>233.50399999999999</v>
      </c>
      <c r="P495" s="3513">
        <v>232.44499999999999</v>
      </c>
      <c r="Q495" s="268">
        <v>204.3</v>
      </c>
      <c r="R495" s="3766">
        <v>109</v>
      </c>
    </row>
    <row r="496" spans="1:18">
      <c r="A496" s="1468">
        <f t="shared" si="1"/>
        <v>2013.07</v>
      </c>
      <c r="B496" s="1559">
        <v>93.872399999999999</v>
      </c>
      <c r="C496" s="3711">
        <v>92.220399999999998</v>
      </c>
      <c r="D496" s="1560">
        <v>96.663399999999996</v>
      </c>
      <c r="E496" s="1561">
        <v>89.693799999999996</v>
      </c>
      <c r="F496" s="3711">
        <v>95.445099999999996</v>
      </c>
      <c r="G496" s="1560">
        <v>84.220699999999994</v>
      </c>
      <c r="H496" s="1561">
        <v>5.48</v>
      </c>
      <c r="I496" s="268">
        <v>5.4204999999999988</v>
      </c>
      <c r="J496" s="293">
        <v>8.3293181818181825</v>
      </c>
      <c r="K496" s="1557"/>
      <c r="L496" s="1564">
        <v>8.2197972727272735</v>
      </c>
      <c r="M496" s="749"/>
      <c r="N496" s="742"/>
      <c r="O496" s="268">
        <v>233.596</v>
      </c>
      <c r="P496" s="3513">
        <v>232.9</v>
      </c>
      <c r="Q496" s="268">
        <v>204.4</v>
      </c>
      <c r="R496" s="3766">
        <v>109.2</v>
      </c>
    </row>
    <row r="497" spans="1:18">
      <c r="A497" s="1468">
        <f t="shared" si="1"/>
        <v>2013.08</v>
      </c>
      <c r="B497" s="1559">
        <v>93.7149</v>
      </c>
      <c r="C497" s="3711">
        <v>91.166700000000006</v>
      </c>
      <c r="D497" s="1560">
        <v>97.454999999999998</v>
      </c>
      <c r="E497" s="1561">
        <v>89.604699999999994</v>
      </c>
      <c r="F497" s="3711">
        <v>94.490399999999994</v>
      </c>
      <c r="G497" s="1560">
        <v>84.904300000000006</v>
      </c>
      <c r="H497" s="1561">
        <v>5.64</v>
      </c>
      <c r="I497" s="268">
        <v>5.5619047619047617</v>
      </c>
      <c r="J497" s="293">
        <v>8.8634999999999984</v>
      </c>
      <c r="K497" s="1557"/>
      <c r="L497" s="1564">
        <v>8.494761904761905</v>
      </c>
      <c r="M497" s="749"/>
      <c r="N497" s="742"/>
      <c r="O497" s="268">
        <v>233.87700000000001</v>
      </c>
      <c r="P497" s="3513">
        <v>233.45599999999999</v>
      </c>
      <c r="Q497" s="268">
        <v>204.2</v>
      </c>
      <c r="R497" s="3766">
        <v>109.3</v>
      </c>
    </row>
    <row r="498" spans="1:18">
      <c r="A498" s="1468">
        <f t="shared" si="1"/>
        <v>2013.09</v>
      </c>
      <c r="B498" s="1559">
        <v>93.470600000000005</v>
      </c>
      <c r="C498" s="3711">
        <v>90.724100000000007</v>
      </c>
      <c r="D498" s="1560">
        <v>97.419700000000006</v>
      </c>
      <c r="E498" s="1561">
        <v>89.154200000000003</v>
      </c>
      <c r="F498" s="3711">
        <v>93.915499999999994</v>
      </c>
      <c r="G498" s="1560">
        <v>84.567499999999995</v>
      </c>
      <c r="H498" s="1561">
        <v>5.77</v>
      </c>
      <c r="I498" s="268">
        <v>5.7166666666666668</v>
      </c>
      <c r="J498" s="293">
        <v>9.2826190476190487</v>
      </c>
      <c r="K498" s="1557"/>
      <c r="L498" s="1564">
        <v>9.0366666666666671</v>
      </c>
      <c r="M498" s="749"/>
      <c r="N498" s="742"/>
      <c r="O498" s="268">
        <v>234.149</v>
      </c>
      <c r="P498" s="3513">
        <v>233.54400000000001</v>
      </c>
      <c r="Q498" s="268">
        <v>203.9</v>
      </c>
      <c r="R498" s="3766">
        <v>109.3</v>
      </c>
    </row>
    <row r="499" spans="1:18">
      <c r="A499" s="1468">
        <f t="shared" si="1"/>
        <v>2013.1</v>
      </c>
      <c r="B499" s="1559">
        <v>92.499300000000005</v>
      </c>
      <c r="C499" s="3711">
        <v>89.622200000000007</v>
      </c>
      <c r="D499" s="1560">
        <v>96.579099999999997</v>
      </c>
      <c r="E499" s="1561">
        <v>88.1524</v>
      </c>
      <c r="F499" s="3711">
        <v>92.895200000000003</v>
      </c>
      <c r="G499" s="1560">
        <v>83.585599999999999</v>
      </c>
      <c r="H499" s="1561">
        <v>5.9</v>
      </c>
      <c r="I499" s="268">
        <v>5.828181818181819</v>
      </c>
      <c r="J499" s="293">
        <v>9.734</v>
      </c>
      <c r="K499" s="1557"/>
      <c r="L499" s="1564">
        <v>9.1381818181818186</v>
      </c>
      <c r="M499" s="749"/>
      <c r="N499" s="742"/>
      <c r="O499" s="268">
        <v>233.54599999999999</v>
      </c>
      <c r="P499" s="3513">
        <v>233.66900000000001</v>
      </c>
      <c r="Q499" s="268">
        <v>202.5</v>
      </c>
      <c r="R499" s="3766">
        <v>109.5</v>
      </c>
    </row>
    <row r="500" spans="1:18">
      <c r="A500" s="1468">
        <f t="shared" si="1"/>
        <v>2013.11</v>
      </c>
      <c r="B500" s="1559">
        <v>93.373699999999999</v>
      </c>
      <c r="C500" s="3711">
        <v>90.750799999999998</v>
      </c>
      <c r="D500" s="1560">
        <v>97.188699999999997</v>
      </c>
      <c r="E500" s="1561">
        <v>88.904899999999998</v>
      </c>
      <c r="F500" s="3711">
        <v>94.057100000000005</v>
      </c>
      <c r="G500" s="1560">
        <v>83.967699999999994</v>
      </c>
      <c r="H500" s="1561">
        <v>6.12</v>
      </c>
      <c r="I500" s="268">
        <v>5.9989473684210539</v>
      </c>
      <c r="J500" s="293">
        <v>9.8177500000000002</v>
      </c>
      <c r="K500" s="1557"/>
      <c r="L500" s="1564">
        <v>9.1183333333333341</v>
      </c>
      <c r="M500" s="749"/>
      <c r="N500" s="742"/>
      <c r="O500" s="268">
        <v>233.06899999999999</v>
      </c>
      <c r="P500" s="3513">
        <v>234.1</v>
      </c>
      <c r="Q500" s="268">
        <v>201.2</v>
      </c>
      <c r="R500" s="3766">
        <v>109.7</v>
      </c>
    </row>
    <row r="501" spans="1:18">
      <c r="A501" s="1468">
        <f t="shared" si="1"/>
        <v>2013.12</v>
      </c>
      <c r="B501" s="1559">
        <v>93.534000000000006</v>
      </c>
      <c r="C501" s="3711">
        <v>90.932000000000002</v>
      </c>
      <c r="D501" s="1560">
        <v>97.328400000000002</v>
      </c>
      <c r="E501" s="1561">
        <v>89.082099999999997</v>
      </c>
      <c r="F501" s="3711">
        <v>94.285899999999998</v>
      </c>
      <c r="G501" s="1560">
        <v>84.098299999999995</v>
      </c>
      <c r="H501" s="1561">
        <v>6.5</v>
      </c>
      <c r="I501" s="268">
        <v>6.3031578947368425</v>
      </c>
      <c r="J501" s="293">
        <v>9.6165789473684207</v>
      </c>
      <c r="K501" s="1557"/>
      <c r="L501" s="1564">
        <v>8.5269121052631576</v>
      </c>
      <c r="M501" s="749"/>
      <c r="N501" s="742"/>
      <c r="O501" s="268">
        <v>233.04900000000001</v>
      </c>
      <c r="P501" s="3513">
        <v>234.71899999999999</v>
      </c>
      <c r="Q501" s="268">
        <v>202</v>
      </c>
      <c r="R501" s="3766">
        <v>109.8</v>
      </c>
    </row>
    <row r="502" spans="1:18">
      <c r="A502" s="1468">
        <f t="shared" si="1"/>
        <v>2014.01</v>
      </c>
      <c r="B502" s="1559">
        <v>94.464799999999997</v>
      </c>
      <c r="C502" s="3711">
        <v>91.994399999999999</v>
      </c>
      <c r="D502" s="1560">
        <v>98.131500000000003</v>
      </c>
      <c r="E502" s="1561">
        <v>89.987300000000005</v>
      </c>
      <c r="F502" s="3711">
        <v>95.519800000000004</v>
      </c>
      <c r="G502" s="1560">
        <v>84.709299999999999</v>
      </c>
      <c r="H502" s="1561">
        <v>8</v>
      </c>
      <c r="I502" s="268">
        <v>7.0831818181818189</v>
      </c>
      <c r="J502" s="293">
        <v>11.291818181818183</v>
      </c>
      <c r="K502" s="1557"/>
      <c r="L502" s="1564">
        <v>10.09939</v>
      </c>
      <c r="M502" s="749"/>
      <c r="N502" s="742"/>
      <c r="O502" s="268">
        <v>233.916</v>
      </c>
      <c r="P502" s="3513">
        <v>235.28800000000001</v>
      </c>
      <c r="Q502" s="268">
        <v>203.8</v>
      </c>
      <c r="R502" s="3766">
        <v>110.1</v>
      </c>
    </row>
    <row r="503" spans="1:18">
      <c r="A503" s="1468">
        <f t="shared" si="1"/>
        <v>2014.02</v>
      </c>
      <c r="B503" s="1559">
        <v>94.645600000000002</v>
      </c>
      <c r="C503" s="3711">
        <v>91.848500000000001</v>
      </c>
      <c r="D503" s="1560">
        <v>98.661000000000001</v>
      </c>
      <c r="E503" s="1561">
        <v>90.0869</v>
      </c>
      <c r="F503" s="3711">
        <v>95.32</v>
      </c>
      <c r="G503" s="1560">
        <v>85.072800000000001</v>
      </c>
      <c r="H503" s="1561">
        <v>7.85</v>
      </c>
      <c r="I503" s="268">
        <v>7.7944999999999993</v>
      </c>
      <c r="J503" s="293">
        <v>11.762</v>
      </c>
      <c r="K503" s="1557"/>
      <c r="L503" s="1564">
        <v>11.03315789473684</v>
      </c>
      <c r="M503" s="749"/>
      <c r="N503" s="742"/>
      <c r="O503" s="268">
        <v>234.78100000000001</v>
      </c>
      <c r="P503" s="3513">
        <v>235.547</v>
      </c>
      <c r="Q503" s="268">
        <v>205.7</v>
      </c>
      <c r="R503" s="3766">
        <v>110.3</v>
      </c>
    </row>
    <row r="504" spans="1:18">
      <c r="A504" s="1468">
        <f t="shared" si="1"/>
        <v>2014.03</v>
      </c>
      <c r="B504" s="1559">
        <v>94.440799999999996</v>
      </c>
      <c r="C504" s="3711">
        <v>91.47</v>
      </c>
      <c r="D504" s="1560">
        <v>98.639600000000002</v>
      </c>
      <c r="E504" s="1561">
        <v>89.927999999999997</v>
      </c>
      <c r="F504" s="3711">
        <v>95.046099999999996</v>
      </c>
      <c r="G504" s="1560">
        <v>85.016400000000004</v>
      </c>
      <c r="H504" s="1561">
        <v>7.98</v>
      </c>
      <c r="I504" s="268">
        <v>7.8827777777777772</v>
      </c>
      <c r="J504" s="293">
        <v>10.847222222222221</v>
      </c>
      <c r="K504" s="1557"/>
      <c r="L504" s="1564">
        <v>10.23</v>
      </c>
      <c r="M504" s="749"/>
      <c r="N504" s="742"/>
      <c r="O504" s="268">
        <v>236.29300000000001</v>
      </c>
      <c r="P504" s="3513">
        <v>236.02799999999999</v>
      </c>
      <c r="Q504" s="268">
        <v>207</v>
      </c>
      <c r="R504" s="3766">
        <v>110.7</v>
      </c>
    </row>
    <row r="505" spans="1:18">
      <c r="A505" s="1468">
        <f t="shared" si="1"/>
        <v>2014.04</v>
      </c>
      <c r="B505" s="1559">
        <v>93.995599999999996</v>
      </c>
      <c r="C505" s="3711">
        <v>91.104699999999994</v>
      </c>
      <c r="D505" s="1560">
        <v>98.103999999999999</v>
      </c>
      <c r="E505" s="1561">
        <v>89.400700000000001</v>
      </c>
      <c r="F505" s="3711">
        <v>94.497399999999999</v>
      </c>
      <c r="G505" s="1560">
        <v>84.510300000000001</v>
      </c>
      <c r="H505" s="1561">
        <v>7.99</v>
      </c>
      <c r="I505" s="268">
        <v>7.95</v>
      </c>
      <c r="J505" s="293">
        <v>10.468421052631578</v>
      </c>
      <c r="K505" s="1557"/>
      <c r="L505" s="1564">
        <v>9.7484210526315795</v>
      </c>
      <c r="M505" s="749"/>
      <c r="N505" s="742"/>
      <c r="O505" s="268">
        <v>237.072</v>
      </c>
      <c r="P505" s="3513">
        <v>236.46799999999999</v>
      </c>
      <c r="Q505" s="268">
        <v>208.3</v>
      </c>
      <c r="R505" s="3766">
        <v>110.8</v>
      </c>
    </row>
    <row r="506" spans="1:18">
      <c r="A506" s="1468">
        <f t="shared" si="1"/>
        <v>2014.05</v>
      </c>
      <c r="B506" s="1559">
        <v>93.67</v>
      </c>
      <c r="C506" s="3711">
        <v>90.928299999999993</v>
      </c>
      <c r="D506" s="1560">
        <v>97.616200000000006</v>
      </c>
      <c r="E506" s="1561">
        <v>89.082499999999996</v>
      </c>
      <c r="F506" s="3711">
        <v>94.493799999999993</v>
      </c>
      <c r="G506" s="1560">
        <v>83.915300000000002</v>
      </c>
      <c r="H506" s="1561">
        <v>8.07</v>
      </c>
      <c r="I506" s="268">
        <v>7.9947368421052651</v>
      </c>
      <c r="J506" s="293">
        <v>11.1275</v>
      </c>
      <c r="K506" s="1557"/>
      <c r="L506" s="1564">
        <v>10.3695</v>
      </c>
      <c r="M506" s="749"/>
      <c r="N506" s="742"/>
      <c r="O506" s="268">
        <v>237.9</v>
      </c>
      <c r="P506" s="3513">
        <v>236.91800000000001</v>
      </c>
      <c r="Q506" s="268">
        <v>208</v>
      </c>
      <c r="R506" s="3766">
        <v>111</v>
      </c>
    </row>
    <row r="507" spans="1:18">
      <c r="A507" s="1468">
        <f t="shared" si="1"/>
        <v>2014.06</v>
      </c>
      <c r="B507" s="1559">
        <v>93.827399999999997</v>
      </c>
      <c r="C507" s="3711">
        <v>91.148799999999994</v>
      </c>
      <c r="D507" s="1560">
        <v>97.707899999999995</v>
      </c>
      <c r="E507" s="1561">
        <v>89.184200000000004</v>
      </c>
      <c r="F507" s="3711">
        <v>94.692499999999995</v>
      </c>
      <c r="G507" s="1560">
        <v>83.931299999999993</v>
      </c>
      <c r="H507" s="1561">
        <v>8.1300000000000008</v>
      </c>
      <c r="I507" s="268">
        <v>8.0755000000000017</v>
      </c>
      <c r="J507" s="293">
        <v>11.779999999999998</v>
      </c>
      <c r="K507" s="1557"/>
      <c r="L507" s="1564">
        <v>10.459</v>
      </c>
      <c r="M507" s="749"/>
      <c r="N507" s="742"/>
      <c r="O507" s="268">
        <v>238.34299999999999</v>
      </c>
      <c r="P507" s="3513">
        <v>237.23099999999999</v>
      </c>
      <c r="Q507" s="268">
        <v>208.3</v>
      </c>
      <c r="R507" s="3766">
        <v>110.9</v>
      </c>
    </row>
    <row r="508" spans="1:18">
      <c r="A508" s="1468">
        <f t="shared" si="1"/>
        <v>2014.07</v>
      </c>
      <c r="B508" s="1559">
        <v>93.603899999999996</v>
      </c>
      <c r="C508" s="3711">
        <v>90.9619</v>
      </c>
      <c r="D508" s="1560">
        <v>97.442999999999998</v>
      </c>
      <c r="E508" s="1561">
        <v>88.939800000000005</v>
      </c>
      <c r="F508" s="3711">
        <v>94.594899999999996</v>
      </c>
      <c r="G508" s="1560">
        <v>83.558999999999997</v>
      </c>
      <c r="H508" s="1561">
        <v>8.1999999999999993</v>
      </c>
      <c r="I508" s="268">
        <v>8.1113636363636363</v>
      </c>
      <c r="J508" s="293">
        <v>12.214545454545453</v>
      </c>
      <c r="K508" s="1557"/>
      <c r="L508" s="1564">
        <v>10.04045454545455</v>
      </c>
      <c r="M508" s="749"/>
      <c r="N508" s="742"/>
      <c r="O508" s="268">
        <v>238.25</v>
      </c>
      <c r="P508" s="3513">
        <v>237.49799999999999</v>
      </c>
      <c r="Q508" s="268">
        <v>208</v>
      </c>
      <c r="R508" s="3766">
        <v>111.3</v>
      </c>
    </row>
    <row r="509" spans="1:18">
      <c r="A509" s="1468">
        <f t="shared" si="1"/>
        <v>2014.08</v>
      </c>
      <c r="B509" s="1559">
        <v>94.580799999999996</v>
      </c>
      <c r="C509" s="3711">
        <v>92.4375</v>
      </c>
      <c r="D509" s="1560">
        <v>97.904200000000003</v>
      </c>
      <c r="E509" s="1561">
        <v>89.754800000000003</v>
      </c>
      <c r="F509" s="3711">
        <v>96.047200000000004</v>
      </c>
      <c r="G509" s="1560">
        <v>83.814599999999999</v>
      </c>
      <c r="H509" s="1561">
        <v>8.4</v>
      </c>
      <c r="I509" s="268">
        <v>8.2699999999999978</v>
      </c>
      <c r="J509" s="293">
        <v>13.270526315789477</v>
      </c>
      <c r="K509" s="1557"/>
      <c r="L509" s="1564">
        <v>11.451000000000001</v>
      </c>
      <c r="M509" s="749"/>
      <c r="N509" s="742"/>
      <c r="O509" s="268">
        <v>237.852</v>
      </c>
      <c r="P509" s="3513">
        <v>237.46</v>
      </c>
      <c r="Q509" s="268">
        <v>207</v>
      </c>
      <c r="R509" s="3766">
        <v>111.3</v>
      </c>
    </row>
    <row r="510" spans="1:18">
      <c r="A510" s="1468">
        <f t="shared" si="1"/>
        <v>2014.09</v>
      </c>
      <c r="B510" s="1559">
        <v>96.120900000000006</v>
      </c>
      <c r="C510" s="3711">
        <v>94.805999999999997</v>
      </c>
      <c r="D510" s="1560">
        <v>98.5989</v>
      </c>
      <c r="E510" s="1561">
        <v>91.078100000000006</v>
      </c>
      <c r="F510" s="3711">
        <v>98.4465</v>
      </c>
      <c r="G510" s="1560">
        <v>84.207700000000003</v>
      </c>
      <c r="H510" s="1561">
        <v>8.42</v>
      </c>
      <c r="I510" s="268">
        <v>8.3659090909090903</v>
      </c>
      <c r="J510" s="293">
        <v>14.746818181818183</v>
      </c>
      <c r="K510" s="1557"/>
      <c r="L510" s="1564">
        <v>13.616666666666671</v>
      </c>
      <c r="M510" s="749"/>
      <c r="N510" s="742"/>
      <c r="O510" s="268">
        <v>238.03100000000001</v>
      </c>
      <c r="P510" s="3513">
        <v>237.477</v>
      </c>
      <c r="Q510" s="268">
        <v>206.4</v>
      </c>
      <c r="R510" s="3766">
        <v>111.1</v>
      </c>
    </row>
    <row r="511" spans="1:18">
      <c r="A511" s="1468">
        <f t="shared" si="1"/>
        <v>2014.1</v>
      </c>
      <c r="B511" s="1559">
        <v>97.439599999999999</v>
      </c>
      <c r="C511" s="3711">
        <v>96.294300000000007</v>
      </c>
      <c r="D511" s="1560">
        <v>99.758600000000001</v>
      </c>
      <c r="E511" s="1561">
        <v>92.186300000000003</v>
      </c>
      <c r="F511" s="3711">
        <v>99.987200000000001</v>
      </c>
      <c r="G511" s="1560">
        <v>84.942300000000003</v>
      </c>
      <c r="H511" s="1561">
        <v>8.49</v>
      </c>
      <c r="I511" s="268">
        <v>8.4281818181818142</v>
      </c>
      <c r="J511" s="293">
        <v>14.731363636363637</v>
      </c>
      <c r="K511" s="1557"/>
      <c r="L511" s="1564">
        <v>13.69136363636364</v>
      </c>
      <c r="M511" s="749"/>
      <c r="N511" s="742"/>
      <c r="O511" s="268">
        <v>237.43299999999999</v>
      </c>
      <c r="P511" s="3513">
        <v>237.43</v>
      </c>
      <c r="Q511" s="268">
        <v>203.4</v>
      </c>
      <c r="R511" s="3766">
        <v>111.3</v>
      </c>
    </row>
    <row r="512" spans="1:18">
      <c r="A512" s="1468">
        <f t="shared" si="1"/>
        <v>2014.11</v>
      </c>
      <c r="B512" s="1559">
        <v>99.114699999999999</v>
      </c>
      <c r="C512" s="3711">
        <v>98.461600000000004</v>
      </c>
      <c r="D512" s="1560">
        <v>100.9498</v>
      </c>
      <c r="E512" s="1561">
        <v>93.531599999999997</v>
      </c>
      <c r="F512" s="3711">
        <v>102.0686</v>
      </c>
      <c r="G512" s="1560">
        <v>85.660499999999999</v>
      </c>
      <c r="H512" s="1561">
        <v>8.52</v>
      </c>
      <c r="I512" s="268">
        <v>8.4635294117647071</v>
      </c>
      <c r="J512" s="293">
        <v>13.332631578947369</v>
      </c>
      <c r="K512" s="1557"/>
      <c r="L512" s="1564">
        <v>12.400588235294119</v>
      </c>
      <c r="M512" s="749"/>
      <c r="N512" s="742"/>
      <c r="O512" s="268">
        <v>236.15100000000001</v>
      </c>
      <c r="P512" s="3513">
        <v>236.983</v>
      </c>
      <c r="Q512" s="268">
        <v>200.9</v>
      </c>
      <c r="R512" s="3766">
        <v>111.1</v>
      </c>
    </row>
    <row r="513" spans="1:18">
      <c r="A513" s="1468">
        <f t="shared" si="1"/>
        <v>2014.12</v>
      </c>
      <c r="B513" s="1559">
        <v>101.44410000000001</v>
      </c>
      <c r="C513" s="3711">
        <v>100.0838</v>
      </c>
      <c r="D513" s="1560">
        <v>104.03189999999999</v>
      </c>
      <c r="E513" s="1561">
        <v>95.401600000000002</v>
      </c>
      <c r="F513" s="3711">
        <v>103.5992</v>
      </c>
      <c r="G513" s="1560">
        <v>87.8001</v>
      </c>
      <c r="H513" s="1561">
        <v>8.5399999999999991</v>
      </c>
      <c r="I513" s="268">
        <v>8.4984210526315795</v>
      </c>
      <c r="J513" s="293">
        <v>13.036666666666669</v>
      </c>
      <c r="K513" s="1557"/>
      <c r="L513" s="1564">
        <v>11.621111111111111</v>
      </c>
      <c r="M513" s="749"/>
      <c r="N513" s="742"/>
      <c r="O513" s="268">
        <v>234.81200000000001</v>
      </c>
      <c r="P513" s="3513">
        <v>236.25200000000001</v>
      </c>
      <c r="Q513" s="268">
        <v>197</v>
      </c>
      <c r="R513" s="3766">
        <v>110.8</v>
      </c>
    </row>
    <row r="514" spans="1:18">
      <c r="A514" s="1468">
        <f t="shared" si="1"/>
        <v>2015.01</v>
      </c>
      <c r="B514" s="1559">
        <v>103.7607</v>
      </c>
      <c r="C514" s="3711">
        <v>104.05929999999999</v>
      </c>
      <c r="D514" s="1560">
        <v>104.742</v>
      </c>
      <c r="E514" s="1561">
        <v>97.143799999999999</v>
      </c>
      <c r="F514" s="3711">
        <v>107.32559999999999</v>
      </c>
      <c r="G514" s="1560">
        <v>87.936000000000007</v>
      </c>
      <c r="H514" s="1561">
        <v>8.64</v>
      </c>
      <c r="I514" s="268">
        <v>8.5542857142857169</v>
      </c>
      <c r="J514" s="293">
        <v>13.633333333333335</v>
      </c>
      <c r="K514" s="1557"/>
      <c r="L514" s="1564">
        <v>12.19380952380952</v>
      </c>
      <c r="M514" s="749"/>
      <c r="N514" s="742"/>
      <c r="O514" s="268">
        <v>233.70699999999999</v>
      </c>
      <c r="P514" s="3513">
        <v>234.74700000000001</v>
      </c>
      <c r="Q514" s="268">
        <v>192</v>
      </c>
      <c r="R514" s="3766">
        <v>110.1</v>
      </c>
    </row>
    <row r="515" spans="1:18">
      <c r="A515" s="1468">
        <f t="shared" si="1"/>
        <v>2015.02</v>
      </c>
      <c r="B515" s="1559">
        <v>105.16849999999999</v>
      </c>
      <c r="C515" s="3711">
        <v>105.9354</v>
      </c>
      <c r="D515" s="1560">
        <v>105.71210000000001</v>
      </c>
      <c r="E515" s="1561">
        <v>98.516199999999998</v>
      </c>
      <c r="F515" s="3711">
        <v>109.2997</v>
      </c>
      <c r="G515" s="1560">
        <v>88.819699999999997</v>
      </c>
      <c r="H515" s="1561">
        <v>8.7200000000000006</v>
      </c>
      <c r="I515" s="268">
        <v>8.6377777777777762</v>
      </c>
      <c r="J515" s="293">
        <v>13.09611111111111</v>
      </c>
      <c r="K515" s="1557"/>
      <c r="L515" s="1564">
        <v>12.111111111111111</v>
      </c>
      <c r="M515" s="749"/>
      <c r="N515" s="742"/>
      <c r="O515" s="268">
        <v>234.72200000000001</v>
      </c>
      <c r="P515" s="3513">
        <v>235.34200000000001</v>
      </c>
      <c r="Q515" s="268">
        <v>191.1</v>
      </c>
      <c r="R515" s="3766">
        <v>109.6</v>
      </c>
    </row>
    <row r="516" spans="1:18">
      <c r="A516" s="1468">
        <f t="shared" si="1"/>
        <v>2015.03</v>
      </c>
      <c r="B516" s="1559">
        <v>107.3647</v>
      </c>
      <c r="C516" s="3711">
        <v>109.0181</v>
      </c>
      <c r="D516" s="1560">
        <v>107.0934</v>
      </c>
      <c r="E516" s="1561">
        <v>100.4834</v>
      </c>
      <c r="F516" s="3711">
        <v>112.4302</v>
      </c>
      <c r="G516" s="1560">
        <v>89.86</v>
      </c>
      <c r="H516" s="1561">
        <v>8.82</v>
      </c>
      <c r="I516" s="268">
        <v>8.7289473684210517</v>
      </c>
      <c r="J516" s="293">
        <v>12.788500000000001</v>
      </c>
      <c r="K516" s="1557"/>
      <c r="L516" s="1564">
        <v>11.9025</v>
      </c>
      <c r="M516" s="749"/>
      <c r="N516" s="742"/>
      <c r="O516" s="268">
        <v>236.119</v>
      </c>
      <c r="P516" s="3513">
        <v>235.976</v>
      </c>
      <c r="Q516" s="268">
        <v>191.5</v>
      </c>
      <c r="R516" s="3766">
        <v>109.8</v>
      </c>
    </row>
    <row r="517" spans="1:18">
      <c r="A517" s="1468">
        <f t="shared" si="1"/>
        <v>2015.04</v>
      </c>
      <c r="B517" s="1559">
        <v>106.3523</v>
      </c>
      <c r="C517" s="3711">
        <v>108.01600000000001</v>
      </c>
      <c r="D517" s="1560">
        <v>106.0605</v>
      </c>
      <c r="E517" s="1561">
        <v>99.570499999999996</v>
      </c>
      <c r="F517" s="3711">
        <v>111.54</v>
      </c>
      <c r="G517" s="1560">
        <v>88.943100000000001</v>
      </c>
      <c r="H517" s="1561">
        <v>8.89</v>
      </c>
      <c r="I517" s="268">
        <v>8.8189999999999973</v>
      </c>
      <c r="J517" s="293">
        <v>12.575500000000002</v>
      </c>
      <c r="K517" s="1557"/>
      <c r="L517" s="1564">
        <v>11.975</v>
      </c>
      <c r="M517" s="749"/>
      <c r="N517" s="742"/>
      <c r="O517" s="268">
        <v>236.59899999999999</v>
      </c>
      <c r="P517" s="3513">
        <v>236.22200000000001</v>
      </c>
      <c r="Q517" s="268">
        <v>190.9</v>
      </c>
      <c r="R517" s="3766">
        <v>109.6</v>
      </c>
    </row>
    <row r="518" spans="1:18">
      <c r="A518" s="1468">
        <f t="shared" si="1"/>
        <v>2015.05</v>
      </c>
      <c r="B518" s="1559">
        <v>105.40649999999999</v>
      </c>
      <c r="C518" s="3711">
        <v>105.8434</v>
      </c>
      <c r="D518" s="1560">
        <v>106.27209999999999</v>
      </c>
      <c r="E518" s="1561">
        <v>98.767499999999998</v>
      </c>
      <c r="F518" s="3711">
        <v>109.4012</v>
      </c>
      <c r="G518" s="1560">
        <v>89.184899999999999</v>
      </c>
      <c r="H518" s="1561">
        <v>8.98</v>
      </c>
      <c r="I518" s="268">
        <v>8.9011111111111116</v>
      </c>
      <c r="J518" s="293">
        <v>12.578421052631576</v>
      </c>
      <c r="K518" s="1557"/>
      <c r="L518" s="1564">
        <v>11.87789473684211</v>
      </c>
      <c r="M518" s="749"/>
      <c r="N518" s="742"/>
      <c r="O518" s="268">
        <v>237.80500000000001</v>
      </c>
      <c r="P518" s="3513">
        <v>237.001</v>
      </c>
      <c r="Q518" s="268">
        <v>193.4</v>
      </c>
      <c r="R518" s="3766">
        <v>110</v>
      </c>
    </row>
    <row r="519" spans="1:18">
      <c r="A519" s="1468">
        <f t="shared" si="1"/>
        <v>2015.06</v>
      </c>
      <c r="B519" s="1559">
        <v>106.179</v>
      </c>
      <c r="C519" s="3711">
        <v>106.4023</v>
      </c>
      <c r="D519" s="1560">
        <v>107.2589</v>
      </c>
      <c r="E519" s="1561">
        <v>99.560100000000006</v>
      </c>
      <c r="F519" s="3711">
        <v>110.1653</v>
      </c>
      <c r="G519" s="1560">
        <v>89.989599999999996</v>
      </c>
      <c r="H519" s="1561">
        <v>9.07</v>
      </c>
      <c r="I519" s="268">
        <v>8.9922727272727272</v>
      </c>
      <c r="J519" s="293">
        <v>12.881363636363641</v>
      </c>
      <c r="K519" s="1557"/>
      <c r="L519" s="1564">
        <v>12.065</v>
      </c>
      <c r="M519" s="749"/>
      <c r="N519" s="742"/>
      <c r="O519" s="268">
        <v>238.63800000000001</v>
      </c>
      <c r="P519" s="3513">
        <v>237.65700000000001</v>
      </c>
      <c r="Q519" s="268">
        <v>194.8</v>
      </c>
      <c r="R519" s="3766">
        <v>110.3</v>
      </c>
    </row>
    <row r="520" spans="1:18">
      <c r="A520" s="1468">
        <f t="shared" si="1"/>
        <v>2015.07</v>
      </c>
      <c r="B520" s="1559">
        <v>108.1236</v>
      </c>
      <c r="C520" s="3711">
        <v>108.7243</v>
      </c>
      <c r="D520" s="1560">
        <v>108.8631</v>
      </c>
      <c r="E520" s="1561">
        <v>101.3763</v>
      </c>
      <c r="F520" s="3711">
        <v>112.67829999999999</v>
      </c>
      <c r="G520" s="1560">
        <v>91.238299999999995</v>
      </c>
      <c r="H520" s="1561">
        <v>9.18</v>
      </c>
      <c r="I520" s="268">
        <v>9.0936363636363637</v>
      </c>
      <c r="J520" s="293">
        <v>14.149545454545455</v>
      </c>
      <c r="K520" s="1557"/>
      <c r="L520" s="1564">
        <v>13.308095238095239</v>
      </c>
      <c r="M520" s="749"/>
      <c r="N520" s="742"/>
      <c r="O520" s="268">
        <v>238.654</v>
      </c>
      <c r="P520" s="3513">
        <v>238.03399999999999</v>
      </c>
      <c r="Q520" s="268">
        <v>193.9</v>
      </c>
      <c r="R520" s="3766">
        <v>110.5</v>
      </c>
    </row>
    <row r="521" spans="1:18">
      <c r="A521" s="1468">
        <f t="shared" si="1"/>
        <v>2015.08</v>
      </c>
      <c r="B521" s="1559">
        <v>109.9768</v>
      </c>
      <c r="C521" s="3711">
        <v>108.98139999999999</v>
      </c>
      <c r="D521" s="1560">
        <v>112.30540000000001</v>
      </c>
      <c r="E521" s="1561">
        <v>103.0121</v>
      </c>
      <c r="F521" s="3711">
        <v>112.9653</v>
      </c>
      <c r="G521" s="1560">
        <v>93.916399999999996</v>
      </c>
      <c r="H521" s="1561">
        <v>9.2899999999999991</v>
      </c>
      <c r="I521" s="268">
        <v>9.1905555555555551</v>
      </c>
      <c r="J521" s="293">
        <v>15.161499999999998</v>
      </c>
      <c r="K521" s="1557"/>
      <c r="L521" s="1564">
        <v>13.500500000000001</v>
      </c>
      <c r="M521" s="749"/>
      <c r="N521" s="742"/>
      <c r="O521" s="268">
        <v>238.316</v>
      </c>
      <c r="P521" s="3513">
        <v>238.03299999999999</v>
      </c>
      <c r="Q521" s="268">
        <v>191.9</v>
      </c>
      <c r="R521" s="3766">
        <v>110.3</v>
      </c>
    </row>
    <row r="522" spans="1:18">
      <c r="A522" s="1468">
        <f t="shared" si="1"/>
        <v>2015.09</v>
      </c>
      <c r="B522" s="1559">
        <v>110.85129999999999</v>
      </c>
      <c r="C522" s="3711">
        <v>108.88420000000001</v>
      </c>
      <c r="D522" s="1560">
        <v>114.149</v>
      </c>
      <c r="E522" s="1561">
        <v>103.60639999999999</v>
      </c>
      <c r="F522" s="3711">
        <v>112.7161</v>
      </c>
      <c r="G522" s="1560">
        <v>95.1828</v>
      </c>
      <c r="H522" s="1561">
        <v>9.42</v>
      </c>
      <c r="I522" s="268">
        <v>9.3142105263157884</v>
      </c>
      <c r="J522" s="293">
        <v>15.679545454545456</v>
      </c>
      <c r="K522" s="1557"/>
      <c r="L522" s="1564">
        <v>13.92714285714286</v>
      </c>
      <c r="M522" s="749"/>
      <c r="N522" s="742"/>
      <c r="O522" s="268">
        <v>237.94499999999999</v>
      </c>
      <c r="P522" s="3513">
        <v>237.49799999999999</v>
      </c>
      <c r="Q522" s="268">
        <v>189.1</v>
      </c>
      <c r="R522" s="3766">
        <v>109.9</v>
      </c>
    </row>
    <row r="523" spans="1:18">
      <c r="A523" s="1468">
        <f t="shared" si="1"/>
        <v>2015.1</v>
      </c>
      <c r="B523" s="1559">
        <v>109.9036</v>
      </c>
      <c r="C523" s="3711">
        <v>108.32299999999999</v>
      </c>
      <c r="D523" s="1560">
        <v>112.8038</v>
      </c>
      <c r="E523" s="1561">
        <v>102.6506</v>
      </c>
      <c r="F523" s="3711">
        <v>112.1511</v>
      </c>
      <c r="G523" s="1560">
        <v>93.921499999999995</v>
      </c>
      <c r="H523" s="1561">
        <v>9.5299999999999994</v>
      </c>
      <c r="I523" s="268">
        <v>9.4488888888888898</v>
      </c>
      <c r="J523" s="293">
        <v>15.79452380952381</v>
      </c>
      <c r="K523" s="1557"/>
      <c r="L523" s="1564">
        <v>13.89619047619048</v>
      </c>
      <c r="M523" s="749"/>
      <c r="N523" s="742"/>
      <c r="O523" s="268">
        <v>237.83799999999999</v>
      </c>
      <c r="P523" s="3513">
        <v>237.733</v>
      </c>
      <c r="Q523" s="268">
        <v>187.5</v>
      </c>
      <c r="R523" s="3766">
        <v>109.6</v>
      </c>
    </row>
    <row r="524" spans="1:18">
      <c r="A524" s="1468">
        <f t="shared" si="1"/>
        <v>2015.11</v>
      </c>
      <c r="B524" s="1559">
        <v>111.69159999999999</v>
      </c>
      <c r="C524" s="3711">
        <v>111.44159999999999</v>
      </c>
      <c r="D524" s="1560">
        <v>113.2985</v>
      </c>
      <c r="E524" s="1561">
        <v>104.348</v>
      </c>
      <c r="F524" s="3711">
        <v>115.5232</v>
      </c>
      <c r="G524" s="1560">
        <v>94.270300000000006</v>
      </c>
      <c r="H524" s="1561">
        <v>9.69</v>
      </c>
      <c r="I524" s="268">
        <v>9.5789473684210531</v>
      </c>
      <c r="J524" s="293">
        <v>15.078684210526315</v>
      </c>
      <c r="K524" s="1557"/>
      <c r="L524" s="1564">
        <v>14.35277777777778</v>
      </c>
      <c r="M524" s="749"/>
      <c r="N524" s="742"/>
      <c r="O524" s="268">
        <v>237.33600000000001</v>
      </c>
      <c r="P524" s="3513">
        <v>238.017</v>
      </c>
      <c r="Q524" s="268">
        <v>185.7</v>
      </c>
      <c r="R524" s="3766">
        <v>109.7</v>
      </c>
    </row>
    <row r="525" spans="1:18">
      <c r="A525" s="1468">
        <f t="shared" si="1"/>
        <v>2015.12</v>
      </c>
      <c r="B525" s="1559">
        <v>112.78570000000001</v>
      </c>
      <c r="C525" s="3711">
        <v>111.7345</v>
      </c>
      <c r="D525" s="1560">
        <v>115.1947</v>
      </c>
      <c r="E525" s="1561">
        <v>105.14530000000001</v>
      </c>
      <c r="F525" s="3711">
        <v>115.7672</v>
      </c>
      <c r="G525" s="1560">
        <v>95.493499999999997</v>
      </c>
      <c r="H525" s="1561">
        <v>13.26</v>
      </c>
      <c r="I525" s="268">
        <v>11.44</v>
      </c>
      <c r="J525" s="293">
        <v>14.372</v>
      </c>
      <c r="K525" s="1557"/>
      <c r="L525" s="1564">
        <v>14.52888888888889</v>
      </c>
      <c r="M525" s="749"/>
      <c r="N525" s="742"/>
      <c r="O525" s="268">
        <v>236.52500000000001</v>
      </c>
      <c r="P525" s="3513">
        <v>237.761</v>
      </c>
      <c r="Q525" s="268">
        <v>183.5</v>
      </c>
      <c r="R525" s="3766">
        <v>109.6</v>
      </c>
    </row>
    <row r="526" spans="1:18">
      <c r="A526" s="1468">
        <f t="shared" si="1"/>
        <v>2016.01</v>
      </c>
      <c r="B526" s="1559">
        <v>115.23439999999999</v>
      </c>
      <c r="C526" s="3711">
        <v>113.245</v>
      </c>
      <c r="D526" s="1560">
        <v>118.6131</v>
      </c>
      <c r="E526" s="1561">
        <v>107.4293</v>
      </c>
      <c r="F526" s="3711">
        <v>117.4526</v>
      </c>
      <c r="G526" s="1560">
        <v>98.233599999999996</v>
      </c>
      <c r="H526" s="1561">
        <v>14</v>
      </c>
      <c r="I526" s="268">
        <v>13.595263157894736</v>
      </c>
      <c r="J526" s="293">
        <v>14.175499999999996</v>
      </c>
      <c r="K526" s="1557"/>
      <c r="L526" s="1564">
        <v>13.991578947368421</v>
      </c>
      <c r="M526" s="749"/>
      <c r="N526" s="742"/>
      <c r="O526" s="268">
        <v>236.916</v>
      </c>
      <c r="P526" s="3513">
        <v>237.65199999999999</v>
      </c>
      <c r="Q526" s="268">
        <v>182.6</v>
      </c>
      <c r="R526" s="3766">
        <v>110</v>
      </c>
    </row>
    <row r="527" spans="1:18">
      <c r="A527" s="1468">
        <f t="shared" si="1"/>
        <v>2016.02</v>
      </c>
      <c r="B527" s="1559">
        <v>114.2817</v>
      </c>
      <c r="C527" s="3711">
        <v>110.88549999999999</v>
      </c>
      <c r="D527" s="1560">
        <v>119.09269999999999</v>
      </c>
      <c r="E527" s="1561">
        <v>106.1048</v>
      </c>
      <c r="F527" s="3711">
        <v>114.88160000000001</v>
      </c>
      <c r="G527" s="1560">
        <v>97.938599999999994</v>
      </c>
      <c r="H527" s="1561">
        <v>15.85</v>
      </c>
      <c r="I527" s="268">
        <v>14.770666666666665</v>
      </c>
      <c r="J527" s="293">
        <v>14.819473684210529</v>
      </c>
      <c r="K527" s="1557"/>
      <c r="L527" s="1564">
        <v>15.005000000000001</v>
      </c>
      <c r="M527" s="749"/>
      <c r="N527" s="742"/>
      <c r="O527" s="268">
        <v>237.11099999999999</v>
      </c>
      <c r="P527" s="3513">
        <v>237.33600000000001</v>
      </c>
      <c r="Q527" s="268">
        <v>181.3</v>
      </c>
      <c r="R527" s="3766">
        <v>109.7</v>
      </c>
    </row>
    <row r="528" spans="1:18">
      <c r="A528" s="1468">
        <f t="shared" si="1"/>
        <v>2016.03</v>
      </c>
      <c r="B528" s="1559">
        <v>111.8934</v>
      </c>
      <c r="C528" s="3711">
        <v>108.99720000000001</v>
      </c>
      <c r="D528" s="1560">
        <v>116.15779999999999</v>
      </c>
      <c r="E528" s="1561">
        <v>103.9593</v>
      </c>
      <c r="F528" s="3711">
        <v>112.98739999999999</v>
      </c>
      <c r="G528" s="1560">
        <v>95.606399999999994</v>
      </c>
      <c r="H528" s="1561">
        <v>14.85</v>
      </c>
      <c r="I528" s="268">
        <v>14.872999999999999</v>
      </c>
      <c r="J528" s="293">
        <v>15.355238095238096</v>
      </c>
      <c r="K528" s="1557"/>
      <c r="L528" s="1564">
        <v>15.084761904761899</v>
      </c>
      <c r="M528" s="749"/>
      <c r="N528" s="742"/>
      <c r="O528" s="268">
        <v>238.13200000000001</v>
      </c>
      <c r="P528" s="3513">
        <v>238.08</v>
      </c>
      <c r="Q528" s="268">
        <v>182.1</v>
      </c>
      <c r="R528" s="3766">
        <v>109.7</v>
      </c>
    </row>
    <row r="529" spans="1:18">
      <c r="A529" s="1468">
        <f t="shared" si="1"/>
        <v>2016.04</v>
      </c>
      <c r="B529" s="1559">
        <v>110.0171</v>
      </c>
      <c r="C529" s="3711">
        <v>106.563</v>
      </c>
      <c r="D529" s="1560">
        <v>114.8381</v>
      </c>
      <c r="E529" s="1561">
        <v>102.4794</v>
      </c>
      <c r="F529" s="3711">
        <v>110.8871</v>
      </c>
      <c r="G529" s="1560">
        <v>94.649199999999993</v>
      </c>
      <c r="H529" s="1561">
        <v>14.35</v>
      </c>
      <c r="I529" s="268">
        <v>14.326499999999999</v>
      </c>
      <c r="J529" s="293">
        <v>14.695238095238093</v>
      </c>
      <c r="K529" s="1557"/>
      <c r="L529" s="1564">
        <v>14.51285714285714</v>
      </c>
      <c r="M529" s="749"/>
      <c r="N529" s="742"/>
      <c r="O529" s="268">
        <v>239.261</v>
      </c>
      <c r="P529" s="3513">
        <v>238.99199999999999</v>
      </c>
      <c r="Q529" s="268">
        <v>183.2</v>
      </c>
      <c r="R529" s="3766">
        <v>109.9</v>
      </c>
    </row>
    <row r="530" spans="1:18">
      <c r="A530" s="1468">
        <f t="shared" si="1"/>
        <v>2016.05</v>
      </c>
      <c r="B530" s="1559">
        <v>111.1405</v>
      </c>
      <c r="C530" s="3711">
        <v>106.97199999999999</v>
      </c>
      <c r="D530" s="1560">
        <v>116.7221</v>
      </c>
      <c r="E530" s="1561">
        <v>103.5484</v>
      </c>
      <c r="F530" s="3711">
        <v>111.34139999999999</v>
      </c>
      <c r="G530" s="1560">
        <v>96.2196</v>
      </c>
      <c r="H530" s="1561">
        <v>14.15</v>
      </c>
      <c r="I530" s="268">
        <v>14.086842105263159</v>
      </c>
      <c r="J530" s="293">
        <v>14.434999999999999</v>
      </c>
      <c r="K530" s="1557"/>
      <c r="L530" s="1564">
        <v>14.129</v>
      </c>
      <c r="M530" s="749"/>
      <c r="N530" s="742"/>
      <c r="O530" s="268">
        <v>240.22900000000001</v>
      </c>
      <c r="P530" s="3513">
        <v>239.55699999999999</v>
      </c>
      <c r="Q530" s="268">
        <v>185.3</v>
      </c>
      <c r="R530" s="3766">
        <v>110.1</v>
      </c>
    </row>
    <row r="531" spans="1:18">
      <c r="A531" s="1468">
        <f t="shared" si="1"/>
        <v>2016.06</v>
      </c>
      <c r="B531" s="1559">
        <v>111.5596</v>
      </c>
      <c r="C531" s="3711">
        <v>106.8843</v>
      </c>
      <c r="D531" s="1560">
        <v>117.6835</v>
      </c>
      <c r="E531" s="1561">
        <v>103.9988</v>
      </c>
      <c r="F531" s="3711">
        <v>111.3515</v>
      </c>
      <c r="G531" s="1560">
        <v>97.035600000000002</v>
      </c>
      <c r="H531" s="1561">
        <v>15.15</v>
      </c>
      <c r="I531" s="268">
        <v>14.096842105263157</v>
      </c>
      <c r="J531" s="293">
        <v>14.358500000000001</v>
      </c>
      <c r="K531" s="1557"/>
      <c r="L531" s="1564">
        <v>14.263</v>
      </c>
      <c r="M531" s="750">
        <v>17.55</v>
      </c>
      <c r="N531" s="296">
        <v>17.520543395310987</v>
      </c>
      <c r="O531" s="268">
        <v>241.018</v>
      </c>
      <c r="P531" s="3513">
        <v>240.22200000000001</v>
      </c>
      <c r="Q531" s="268">
        <v>187.6</v>
      </c>
      <c r="R531" s="3766">
        <v>110.6</v>
      </c>
    </row>
    <row r="532" spans="1:18">
      <c r="A532" s="1468">
        <f t="shared" si="1"/>
        <v>2016.07</v>
      </c>
      <c r="B532" s="1559">
        <v>112.4773</v>
      </c>
      <c r="C532" s="3711">
        <v>108.7294</v>
      </c>
      <c r="D532" s="1560">
        <v>117.6327</v>
      </c>
      <c r="E532" s="1561">
        <v>104.67319999999999</v>
      </c>
      <c r="F532" s="3711">
        <v>113.20399999999999</v>
      </c>
      <c r="G532" s="1560">
        <v>96.722399999999993</v>
      </c>
      <c r="H532" s="1561">
        <v>15.05</v>
      </c>
      <c r="I532" s="268">
        <v>14.83578947368421</v>
      </c>
      <c r="J532" s="293">
        <v>15.041999999999998</v>
      </c>
      <c r="K532" s="1557"/>
      <c r="L532" s="1564">
        <v>15.029473684210529</v>
      </c>
      <c r="M532" s="751">
        <v>17.726709681840063</v>
      </c>
      <c r="N532" s="748">
        <v>17.69374138722398</v>
      </c>
      <c r="O532" s="268">
        <v>240.62799999999999</v>
      </c>
      <c r="P532" s="3513">
        <v>240.101</v>
      </c>
      <c r="Q532" s="268">
        <v>187.7</v>
      </c>
      <c r="R532" s="3766">
        <v>110.5</v>
      </c>
    </row>
    <row r="533" spans="1:18">
      <c r="A533" s="1468">
        <f t="shared" si="1"/>
        <v>2016.08</v>
      </c>
      <c r="B533" s="1559">
        <v>111.4384</v>
      </c>
      <c r="C533" s="3711">
        <v>107.53449999999999</v>
      </c>
      <c r="D533" s="1560">
        <v>116.74590000000001</v>
      </c>
      <c r="E533" s="1561">
        <v>103.8528</v>
      </c>
      <c r="F533" s="3711">
        <v>112.143</v>
      </c>
      <c r="G533" s="1560">
        <v>96.107900000000001</v>
      </c>
      <c r="H533" s="1561">
        <v>15.2</v>
      </c>
      <c r="I533" s="268">
        <v>14.790555555555557</v>
      </c>
      <c r="J533" s="293">
        <v>15.202727272727271</v>
      </c>
      <c r="K533" s="1557"/>
      <c r="L533" s="1564">
        <v>14.935</v>
      </c>
      <c r="M533" s="751">
        <v>17.75</v>
      </c>
      <c r="N533" s="748">
        <v>17.735650883559263</v>
      </c>
      <c r="O533" s="268">
        <v>240.84899999999999</v>
      </c>
      <c r="P533" s="3513">
        <v>240.54499999999999</v>
      </c>
      <c r="Q533" s="268">
        <v>186.6</v>
      </c>
      <c r="R533" s="3766">
        <v>110.3</v>
      </c>
    </row>
    <row r="534" spans="1:18">
      <c r="A534" s="1468">
        <f t="shared" si="1"/>
        <v>2016.09</v>
      </c>
      <c r="B534" s="1559">
        <v>112.3169</v>
      </c>
      <c r="C534" s="3711">
        <v>107.8257</v>
      </c>
      <c r="D534" s="1560">
        <v>118.2525</v>
      </c>
      <c r="E534" s="1561">
        <v>104.73480000000001</v>
      </c>
      <c r="F534" s="3711">
        <v>112.6246</v>
      </c>
      <c r="G534" s="1560">
        <v>97.315799999999996</v>
      </c>
      <c r="H534" s="1561">
        <v>15.35</v>
      </c>
      <c r="I534" s="268">
        <v>15.073999999999998</v>
      </c>
      <c r="J534" s="293">
        <v>15.337727272727276</v>
      </c>
      <c r="K534" s="1557"/>
      <c r="L534" s="1564">
        <v>15.155714285714289</v>
      </c>
      <c r="M534" s="751">
        <v>17.8</v>
      </c>
      <c r="N534" s="748">
        <v>17.815105327179783</v>
      </c>
      <c r="O534" s="268">
        <v>241.428</v>
      </c>
      <c r="P534" s="3513">
        <v>241.17599999999999</v>
      </c>
      <c r="Q534" s="268">
        <v>186.9</v>
      </c>
      <c r="R534" s="3766">
        <v>110.6</v>
      </c>
    </row>
    <row r="535" spans="1:18">
      <c r="A535" s="1468">
        <f t="shared" si="1"/>
        <v>2016.1</v>
      </c>
      <c r="B535" s="1559">
        <v>113.4747</v>
      </c>
      <c r="C535" s="3711">
        <v>110.1048</v>
      </c>
      <c r="D535" s="1560">
        <v>118.2488</v>
      </c>
      <c r="E535" s="1561">
        <v>105.8031</v>
      </c>
      <c r="F535" s="3711">
        <v>115.0047</v>
      </c>
      <c r="G535" s="1560">
        <v>97.291200000000003</v>
      </c>
      <c r="H535" s="1561">
        <v>15.32</v>
      </c>
      <c r="I535" s="268">
        <v>15.128421052631579</v>
      </c>
      <c r="J535" s="293">
        <v>15.387</v>
      </c>
      <c r="K535" s="1557"/>
      <c r="L535" s="1564">
        <v>15.243</v>
      </c>
      <c r="M535" s="751">
        <v>18</v>
      </c>
      <c r="N535" s="748">
        <v>17.81515127096484</v>
      </c>
      <c r="O535" s="268">
        <v>241.72900000000001</v>
      </c>
      <c r="P535" s="3513">
        <v>241.74100000000001</v>
      </c>
      <c r="Q535" s="268">
        <v>186.7</v>
      </c>
      <c r="R535" s="3766">
        <v>110.9</v>
      </c>
    </row>
    <row r="536" spans="1:18">
      <c r="A536" s="1468">
        <f t="shared" si="1"/>
        <v>2016.11</v>
      </c>
      <c r="B536" s="1559">
        <v>116.1075</v>
      </c>
      <c r="C536" s="3711">
        <v>112.06010000000001</v>
      </c>
      <c r="D536" s="1560">
        <v>121.6163</v>
      </c>
      <c r="E536" s="1561">
        <v>108.2213</v>
      </c>
      <c r="F536" s="3711">
        <v>117.1568</v>
      </c>
      <c r="G536" s="1560">
        <v>99.905699999999996</v>
      </c>
      <c r="H536" s="1561">
        <v>15.9</v>
      </c>
      <c r="I536" s="268">
        <v>15.306666666666665</v>
      </c>
      <c r="J536" s="293">
        <v>15.507142857142856</v>
      </c>
      <c r="K536" s="1557"/>
      <c r="L536" s="1564">
        <v>15.39368421052631</v>
      </c>
      <c r="M536" s="751">
        <v>18.299251692948417</v>
      </c>
      <c r="N536" s="748">
        <v>18.116913918064473</v>
      </c>
      <c r="O536" s="268">
        <v>241.35300000000001</v>
      </c>
      <c r="P536" s="3513">
        <v>242.02600000000001</v>
      </c>
      <c r="Q536" s="268">
        <v>186.3</v>
      </c>
      <c r="R536" s="3766">
        <v>111.1</v>
      </c>
    </row>
    <row r="537" spans="1:18">
      <c r="A537" s="1468">
        <f t="shared" si="1"/>
        <v>2016.12</v>
      </c>
      <c r="B537" s="1559">
        <v>117.90479999999999</v>
      </c>
      <c r="C537" s="3711">
        <v>114.0189</v>
      </c>
      <c r="D537" s="1560">
        <v>123.26479999999999</v>
      </c>
      <c r="E537" s="1561">
        <v>109.9372</v>
      </c>
      <c r="F537" s="3711">
        <v>119.19889999999999</v>
      </c>
      <c r="G537" s="1560">
        <v>101.33799999999999</v>
      </c>
      <c r="H537" s="1564">
        <v>15.97</v>
      </c>
      <c r="I537" s="268">
        <v>15.765714285714285</v>
      </c>
      <c r="J537" s="293">
        <v>16.361499999999999</v>
      </c>
      <c r="K537" s="1557"/>
      <c r="L537" s="1564">
        <v>15.97222222222222</v>
      </c>
      <c r="M537" s="751">
        <v>18.4925</v>
      </c>
      <c r="N537" s="748">
        <v>18.389248150219093</v>
      </c>
      <c r="O537" s="268">
        <v>241.43199999999999</v>
      </c>
      <c r="P537" s="3513">
        <v>242.637</v>
      </c>
      <c r="Q537" s="268">
        <v>188.2</v>
      </c>
      <c r="R537" s="3766">
        <v>111.4</v>
      </c>
    </row>
    <row r="538" spans="1:18">
      <c r="A538" s="1468">
        <f t="shared" si="1"/>
        <v>2017.01</v>
      </c>
      <c r="B538" s="1559">
        <v>117.78579999999999</v>
      </c>
      <c r="C538" s="3711">
        <v>113.08159999999999</v>
      </c>
      <c r="D538" s="1560">
        <v>123.99420000000001</v>
      </c>
      <c r="E538" s="1561">
        <v>109.7786</v>
      </c>
      <c r="F538" s="3711">
        <v>118.3151</v>
      </c>
      <c r="G538" s="1560">
        <v>101.77290000000001</v>
      </c>
      <c r="H538" s="1561">
        <v>16.010000000000002</v>
      </c>
      <c r="I538" s="268">
        <v>15.860000000000001</v>
      </c>
      <c r="J538" s="293">
        <v>16.653181818181821</v>
      </c>
      <c r="K538" s="1557"/>
      <c r="L538" s="1564">
        <v>15.972</v>
      </c>
      <c r="M538" s="751">
        <v>18.600000000000001</v>
      </c>
      <c r="N538" s="748">
        <v>18.576325462994642</v>
      </c>
      <c r="O538" s="268">
        <v>242.839</v>
      </c>
      <c r="P538" s="3513">
        <v>243.61799999999999</v>
      </c>
      <c r="Q538" s="268">
        <v>190.7</v>
      </c>
      <c r="R538" s="3766">
        <v>111.9</v>
      </c>
    </row>
    <row r="539" spans="1:18">
      <c r="A539" s="1468">
        <f t="shared" si="1"/>
        <v>2017.02</v>
      </c>
      <c r="B539" s="1559">
        <v>116.1204</v>
      </c>
      <c r="C539" s="3711">
        <v>112.3228</v>
      </c>
      <c r="D539" s="1560">
        <v>121.369</v>
      </c>
      <c r="E539" s="1561">
        <v>108.2715</v>
      </c>
      <c r="F539" s="3711">
        <v>117.60899999999999</v>
      </c>
      <c r="G539" s="1560">
        <v>99.627399999999994</v>
      </c>
      <c r="H539" s="1561">
        <v>15.6</v>
      </c>
      <c r="I539" s="268">
        <v>15.55</v>
      </c>
      <c r="J539" s="293">
        <v>16.23</v>
      </c>
      <c r="K539" s="1557"/>
      <c r="L539" s="1564">
        <v>15.68705882352941</v>
      </c>
      <c r="M539" s="751">
        <v>18.3</v>
      </c>
      <c r="N539" s="748">
        <v>18.318727647475651</v>
      </c>
      <c r="O539" s="268">
        <v>243.60300000000001</v>
      </c>
      <c r="P539" s="3513">
        <v>244.006</v>
      </c>
      <c r="Q539" s="268">
        <v>191.6</v>
      </c>
      <c r="R539" s="3766">
        <v>111.9</v>
      </c>
    </row>
    <row r="540" spans="1:18">
      <c r="A540" s="1468">
        <f t="shared" si="1"/>
        <v>2017.03</v>
      </c>
      <c r="B540" s="1559">
        <v>115.6558</v>
      </c>
      <c r="C540" s="3711">
        <v>112.9909</v>
      </c>
      <c r="D540" s="1560">
        <v>119.7403</v>
      </c>
      <c r="E540" s="1561">
        <v>107.6307</v>
      </c>
      <c r="F540" s="3711">
        <v>118.2898</v>
      </c>
      <c r="G540" s="1560">
        <v>97.936999999999998</v>
      </c>
      <c r="H540" s="1561">
        <v>15.5</v>
      </c>
      <c r="I540" s="268">
        <v>15.48</v>
      </c>
      <c r="J540" s="293">
        <v>15.86</v>
      </c>
      <c r="K540" s="1557"/>
      <c r="L540" s="1564">
        <v>15.58636363636364</v>
      </c>
      <c r="M540" s="751">
        <v>18.39</v>
      </c>
      <c r="N540" s="748">
        <v>18.316772524895391</v>
      </c>
      <c r="O540" s="268">
        <v>243.80099999999999</v>
      </c>
      <c r="P540" s="3513">
        <v>243.892</v>
      </c>
      <c r="Q540" s="268">
        <v>191.5</v>
      </c>
      <c r="R540" s="3766">
        <v>112.1</v>
      </c>
    </row>
    <row r="541" spans="1:18">
      <c r="A541" s="1468">
        <f t="shared" si="1"/>
        <v>2017.04</v>
      </c>
      <c r="B541" s="1559">
        <v>114.7698</v>
      </c>
      <c r="C541" s="3711">
        <v>112.395</v>
      </c>
      <c r="D541" s="1560">
        <v>118.55110000000001</v>
      </c>
      <c r="E541" s="1561">
        <v>106.6276</v>
      </c>
      <c r="F541" s="3711">
        <v>117.5403</v>
      </c>
      <c r="G541" s="1560">
        <v>96.746200000000002</v>
      </c>
      <c r="H541" s="1561">
        <v>15.44</v>
      </c>
      <c r="I541" s="268">
        <v>15.3</v>
      </c>
      <c r="J541" s="293">
        <v>15.72</v>
      </c>
      <c r="K541" s="1557"/>
      <c r="L541" s="1564">
        <v>15.50611111111111</v>
      </c>
      <c r="M541" s="751">
        <v>18.314999999999998</v>
      </c>
      <c r="N541" s="748">
        <v>18.203155622809405</v>
      </c>
      <c r="O541" s="268">
        <v>244.524</v>
      </c>
      <c r="P541" s="3513">
        <v>244.19300000000001</v>
      </c>
      <c r="Q541" s="268">
        <v>193</v>
      </c>
      <c r="R541" s="3766">
        <v>112.6</v>
      </c>
    </row>
    <row r="542" spans="1:18">
      <c r="A542" s="1468">
        <f t="shared" si="1"/>
        <v>2017.05</v>
      </c>
      <c r="B542" s="1559">
        <v>114.2591</v>
      </c>
      <c r="C542" s="3711">
        <v>111.3986</v>
      </c>
      <c r="D542" s="1560">
        <v>118.52630000000001</v>
      </c>
      <c r="E542" s="1561">
        <v>105.9926</v>
      </c>
      <c r="F542" s="3711">
        <v>116.51730000000001</v>
      </c>
      <c r="G542" s="1560">
        <v>96.424499999999995</v>
      </c>
      <c r="H542" s="1561">
        <v>16.100000000000001</v>
      </c>
      <c r="I542" s="268">
        <v>15.69</v>
      </c>
      <c r="J542" s="293">
        <v>15.9</v>
      </c>
      <c r="K542" s="1557"/>
      <c r="L542" s="1564">
        <v>15.702500000000001</v>
      </c>
      <c r="M542" s="751">
        <v>18.568547724648131</v>
      </c>
      <c r="N542" s="748">
        <v>18.579919577797572</v>
      </c>
      <c r="O542" s="268">
        <v>244.733</v>
      </c>
      <c r="P542" s="3513">
        <v>244.00399999999999</v>
      </c>
      <c r="Q542" s="268">
        <v>192.8</v>
      </c>
      <c r="R542" s="3766">
        <v>112.5</v>
      </c>
    </row>
    <row r="543" spans="1:18">
      <c r="A543" s="1468">
        <f t="shared" si="1"/>
        <v>2017.06</v>
      </c>
      <c r="B543" s="1559">
        <v>112.7603</v>
      </c>
      <c r="C543" s="3711">
        <v>109.7338</v>
      </c>
      <c r="D543" s="1560">
        <v>117.17789999999999</v>
      </c>
      <c r="E543" s="1561">
        <v>104.5843</v>
      </c>
      <c r="F543" s="3711">
        <v>114.8227</v>
      </c>
      <c r="G543" s="1560">
        <v>95.259100000000004</v>
      </c>
      <c r="H543" s="1561">
        <v>16.68</v>
      </c>
      <c r="I543" s="268">
        <v>16.100000000000001</v>
      </c>
      <c r="J543" s="293">
        <v>16.309999999999999</v>
      </c>
      <c r="K543" s="1557"/>
      <c r="L543" s="1564">
        <v>16.126666666666669</v>
      </c>
      <c r="M543" s="751">
        <v>18.809999999999999</v>
      </c>
      <c r="N543" s="748">
        <v>18.803151850606561</v>
      </c>
      <c r="O543" s="268">
        <v>244.95500000000001</v>
      </c>
      <c r="P543" s="3513">
        <v>244.16300000000001</v>
      </c>
      <c r="Q543" s="268">
        <v>193.6</v>
      </c>
      <c r="R543" s="3766">
        <v>112.6</v>
      </c>
    </row>
    <row r="544" spans="1:18">
      <c r="A544" s="1468">
        <f t="shared" si="1"/>
        <v>2017.07</v>
      </c>
      <c r="B544" s="1559">
        <v>111.06059999999999</v>
      </c>
      <c r="C544" s="3711">
        <v>107.06270000000001</v>
      </c>
      <c r="D544" s="1560">
        <v>116.4584</v>
      </c>
      <c r="E544" s="1561">
        <v>102.8599</v>
      </c>
      <c r="F544" s="3711">
        <v>111.93810000000001</v>
      </c>
      <c r="G544" s="1560">
        <v>94.480599999999995</v>
      </c>
      <c r="H544" s="1561">
        <v>17.7</v>
      </c>
      <c r="I544" s="268">
        <v>17.14</v>
      </c>
      <c r="J544" s="293">
        <v>17.46</v>
      </c>
      <c r="K544" s="1557"/>
      <c r="L544" s="1564">
        <v>17.222999999999999</v>
      </c>
      <c r="M544" s="751">
        <v>19.8</v>
      </c>
      <c r="N544" s="748">
        <v>19.852094101840823</v>
      </c>
      <c r="O544" s="268">
        <v>244.786</v>
      </c>
      <c r="P544" s="3513">
        <v>244.24299999999999</v>
      </c>
      <c r="Q544" s="268">
        <v>193.5</v>
      </c>
      <c r="R544" s="3766">
        <v>112.7</v>
      </c>
    </row>
    <row r="545" spans="1:18">
      <c r="A545" s="1468">
        <f t="shared" si="1"/>
        <v>2017.08</v>
      </c>
      <c r="B545" s="1559">
        <v>109.9059</v>
      </c>
      <c r="C545" s="3711">
        <v>105.5474</v>
      </c>
      <c r="D545" s="1560">
        <v>115.66589999999999</v>
      </c>
      <c r="E545" s="1561">
        <v>101.90560000000001</v>
      </c>
      <c r="F545" s="3711">
        <v>110.56189999999999</v>
      </c>
      <c r="G545" s="1560">
        <v>93.876800000000003</v>
      </c>
      <c r="H545" s="1561">
        <v>17.399999999999999</v>
      </c>
      <c r="I545" s="268">
        <v>17.372727272727275</v>
      </c>
      <c r="J545" s="293">
        <v>18.079999999999998</v>
      </c>
      <c r="K545" s="1557"/>
      <c r="L545" s="1564">
        <v>17.50545454545454</v>
      </c>
      <c r="M545" s="751">
        <v>19.86</v>
      </c>
      <c r="N545" s="748">
        <v>19.796894765617008</v>
      </c>
      <c r="O545" s="268">
        <v>245.51900000000001</v>
      </c>
      <c r="P545" s="3513">
        <v>245.18299999999999</v>
      </c>
      <c r="Q545" s="268">
        <v>193.8</v>
      </c>
      <c r="R545" s="3766">
        <v>113.1</v>
      </c>
    </row>
    <row r="546" spans="1:18">
      <c r="A546" s="1468">
        <f t="shared" si="1"/>
        <v>2017.09</v>
      </c>
      <c r="B546" s="1559">
        <v>108.85420000000001</v>
      </c>
      <c r="C546" s="3711">
        <v>104.1614</v>
      </c>
      <c r="D546" s="1560">
        <v>114.9538</v>
      </c>
      <c r="E546" s="1561">
        <v>101.2675</v>
      </c>
      <c r="F546" s="3711">
        <v>109.4509</v>
      </c>
      <c r="G546" s="1560">
        <v>93.6297</v>
      </c>
      <c r="H546" s="1561">
        <v>17.600000000000001</v>
      </c>
      <c r="I546" s="268">
        <v>17.189523809523809</v>
      </c>
      <c r="J546" s="293">
        <v>17.747619047619001</v>
      </c>
      <c r="K546" s="1557"/>
      <c r="L546" s="1564">
        <v>17.297000000000001</v>
      </c>
      <c r="M546" s="751">
        <v>19.899999999999999</v>
      </c>
      <c r="N546" s="748">
        <v>19.864901960784302</v>
      </c>
      <c r="O546" s="268">
        <v>246.81899999999999</v>
      </c>
      <c r="P546" s="3513">
        <v>246.435</v>
      </c>
      <c r="Q546" s="268">
        <v>194.8</v>
      </c>
      <c r="R546" s="3766">
        <v>113.5</v>
      </c>
    </row>
    <row r="547" spans="1:18">
      <c r="A547" s="1468">
        <f t="shared" si="1"/>
        <v>2017.1</v>
      </c>
      <c r="B547" s="1559">
        <v>110.8892</v>
      </c>
      <c r="C547" s="3711">
        <v>106.07259999999999</v>
      </c>
      <c r="D547" s="1560">
        <v>117.14109999999999</v>
      </c>
      <c r="E547" s="1561">
        <v>103.0699</v>
      </c>
      <c r="F547" s="3711">
        <v>111.491</v>
      </c>
      <c r="G547" s="1560">
        <v>95.221000000000004</v>
      </c>
      <c r="H547" s="1561">
        <v>17.73</v>
      </c>
      <c r="I547" s="293">
        <v>17.414285714285715</v>
      </c>
      <c r="J547" s="293">
        <v>17.774999999999999</v>
      </c>
      <c r="K547" s="1557"/>
      <c r="L547" s="1564">
        <v>17.511904761904759</v>
      </c>
      <c r="M547" s="751">
        <v>20.100000000000001</v>
      </c>
      <c r="N547" s="748">
        <v>19.960392156862699</v>
      </c>
      <c r="O547" s="268">
        <v>246.66300000000001</v>
      </c>
      <c r="P547" s="3513">
        <v>246.626</v>
      </c>
      <c r="Q547" s="268">
        <v>194.9</v>
      </c>
      <c r="R547" s="3766">
        <v>113.9</v>
      </c>
    </row>
    <row r="548" spans="1:18">
      <c r="A548" s="1468">
        <f t="shared" si="1"/>
        <v>2017.11</v>
      </c>
      <c r="B548" s="1559">
        <v>111.1635</v>
      </c>
      <c r="C548" s="3711">
        <v>106.6396</v>
      </c>
      <c r="D548" s="1560">
        <v>117.1105</v>
      </c>
      <c r="E548" s="1561">
        <v>103.2289</v>
      </c>
      <c r="F548" s="3711">
        <v>111.97110000000001</v>
      </c>
      <c r="G548" s="1560">
        <v>95.1173</v>
      </c>
      <c r="H548" s="1561">
        <v>17.48</v>
      </c>
      <c r="I548" s="293">
        <v>17.427499999999998</v>
      </c>
      <c r="J548" s="293">
        <v>17.8535</v>
      </c>
      <c r="K548" s="1557"/>
      <c r="L548" s="1564">
        <v>17.541578947368421</v>
      </c>
      <c r="M548" s="751">
        <v>20.2</v>
      </c>
      <c r="N548" s="748">
        <v>20</v>
      </c>
      <c r="O548" s="268">
        <v>246.66900000000001</v>
      </c>
      <c r="P548" s="3513">
        <v>247.28399999999999</v>
      </c>
      <c r="Q548" s="268">
        <v>195.9</v>
      </c>
      <c r="R548" s="3766">
        <v>114.3</v>
      </c>
    </row>
    <row r="549" spans="1:18">
      <c r="A549" s="1468">
        <f t="shared" si="1"/>
        <v>2017.12</v>
      </c>
      <c r="B549" s="1559">
        <v>110.8758</v>
      </c>
      <c r="C549" s="3711">
        <v>106.1181</v>
      </c>
      <c r="D549" s="1560">
        <v>117.06610000000001</v>
      </c>
      <c r="E549" s="1561">
        <v>102.9157</v>
      </c>
      <c r="F549" s="3711">
        <v>111.43859999999999</v>
      </c>
      <c r="G549" s="1560">
        <v>94.985399999999998</v>
      </c>
      <c r="H549" s="1561">
        <v>18.75</v>
      </c>
      <c r="I549" s="293">
        <v>17.685789473684213</v>
      </c>
      <c r="J549" s="293">
        <v>18.095263157894699</v>
      </c>
      <c r="K549" s="1557"/>
      <c r="L549" s="1564">
        <v>17.698947368421049</v>
      </c>
      <c r="M549" s="751">
        <v>20.399999999999999</v>
      </c>
      <c r="N549" s="748">
        <v>20.399999999999999</v>
      </c>
      <c r="O549" s="268">
        <v>246.524</v>
      </c>
      <c r="P549" s="3513">
        <v>247.80500000000001</v>
      </c>
      <c r="Q549" s="268">
        <v>196.3</v>
      </c>
      <c r="R549" s="3766">
        <v>114.4</v>
      </c>
    </row>
    <row r="550" spans="1:18">
      <c r="A550" s="1468">
        <f t="shared" si="1"/>
        <v>2018.01</v>
      </c>
      <c r="B550" s="1559">
        <v>108.3567</v>
      </c>
      <c r="C550" s="3711">
        <v>103.1943</v>
      </c>
      <c r="D550" s="1560">
        <v>114.94970000000001</v>
      </c>
      <c r="E550" s="1561">
        <v>100.7627</v>
      </c>
      <c r="F550" s="3711">
        <v>108.57859999999999</v>
      </c>
      <c r="G550" s="1560">
        <v>93.428299999999993</v>
      </c>
      <c r="H550" s="1561">
        <v>19.75</v>
      </c>
      <c r="I550" s="293">
        <v>18.989090909090912</v>
      </c>
      <c r="J550" s="293">
        <v>19.476086956521733</v>
      </c>
      <c r="K550" s="1557"/>
      <c r="L550" s="1564">
        <v>19.06666666666667</v>
      </c>
      <c r="M550" s="751">
        <v>22.2</v>
      </c>
      <c r="N550" s="748">
        <v>22</v>
      </c>
      <c r="O550" s="268">
        <v>247.86699999999999</v>
      </c>
      <c r="P550" s="3513">
        <v>248.85900000000001</v>
      </c>
      <c r="Q550" s="268">
        <v>197.9</v>
      </c>
      <c r="R550" s="3766">
        <v>114.8</v>
      </c>
    </row>
    <row r="551" spans="1:18">
      <c r="A551" s="1468">
        <f t="shared" si="1"/>
        <v>2018.02</v>
      </c>
      <c r="B551" s="1559">
        <v>107.65</v>
      </c>
      <c r="C551" s="3711">
        <v>102.5035</v>
      </c>
      <c r="D551" s="1560">
        <v>114.2188</v>
      </c>
      <c r="E551" s="1561">
        <v>100.18389999999999</v>
      </c>
      <c r="F551" s="3711">
        <v>108.0508</v>
      </c>
      <c r="G551" s="1560">
        <v>92.813400000000001</v>
      </c>
      <c r="H551" s="1561">
        <v>20.239999999999998</v>
      </c>
      <c r="I551" s="293">
        <v>19.783888888888885</v>
      </c>
      <c r="J551" s="293">
        <v>19.91611111111111</v>
      </c>
      <c r="K551" s="1557"/>
      <c r="L551" s="1564">
        <v>19.911176470588231</v>
      </c>
      <c r="M551" s="751">
        <v>22.6</v>
      </c>
      <c r="N551" s="748">
        <v>22.6</v>
      </c>
      <c r="O551" s="268">
        <v>248.99100000000001</v>
      </c>
      <c r="P551" s="3513">
        <v>249.529</v>
      </c>
      <c r="Q551" s="268">
        <v>199.3</v>
      </c>
      <c r="R551" s="3766">
        <v>115.1</v>
      </c>
    </row>
    <row r="552" spans="1:18">
      <c r="A552" s="1468">
        <f t="shared" si="1"/>
        <v>2018.03</v>
      </c>
      <c r="B552" s="1559">
        <v>107.9473</v>
      </c>
      <c r="C552" s="3711">
        <v>103.1641</v>
      </c>
      <c r="D552" s="1560">
        <v>114.136</v>
      </c>
      <c r="E552" s="1561">
        <v>100.3993</v>
      </c>
      <c r="F552" s="3711">
        <v>108.6627</v>
      </c>
      <c r="G552" s="1560">
        <v>92.704300000000003</v>
      </c>
      <c r="H552" s="1561">
        <v>20.25</v>
      </c>
      <c r="I552" s="293">
        <v>20.193999999999999</v>
      </c>
      <c r="J552" s="293">
        <v>20.5443</v>
      </c>
      <c r="K552" s="1557"/>
      <c r="L552" s="1564">
        <v>20.29</v>
      </c>
      <c r="M552" s="751">
        <v>23.2</v>
      </c>
      <c r="N552" s="748">
        <v>23.1</v>
      </c>
      <c r="O552" s="268">
        <v>249.554</v>
      </c>
      <c r="P552" s="3513">
        <v>249.577</v>
      </c>
      <c r="Q552" s="268">
        <v>199.3</v>
      </c>
      <c r="R552" s="3766">
        <v>115.3</v>
      </c>
    </row>
    <row r="553" spans="1:18">
      <c r="A553" s="1468">
        <f t="shared" si="1"/>
        <v>2018.04</v>
      </c>
      <c r="B553" s="1559">
        <v>107.94280000000001</v>
      </c>
      <c r="C553" s="3711">
        <v>103.23990000000001</v>
      </c>
      <c r="D553" s="1560">
        <v>114.04730000000001</v>
      </c>
      <c r="E553" s="1561">
        <v>100.5254</v>
      </c>
      <c r="F553" s="3711">
        <v>108.9923</v>
      </c>
      <c r="G553" s="1560">
        <v>92.664400000000001</v>
      </c>
      <c r="H553" s="1561">
        <v>20.7</v>
      </c>
      <c r="I553" s="293">
        <v>20.18</v>
      </c>
      <c r="J553" s="293">
        <v>20.47157</v>
      </c>
      <c r="K553" s="1557"/>
      <c r="L553" s="1564">
        <v>20.245789473684209</v>
      </c>
      <c r="M553" s="751">
        <v>23.4</v>
      </c>
      <c r="N553" s="748">
        <v>23.4</v>
      </c>
      <c r="O553" s="268">
        <v>250.54599999999999</v>
      </c>
      <c r="P553" s="3513">
        <v>250.227</v>
      </c>
      <c r="Q553" s="268">
        <v>200.3</v>
      </c>
      <c r="R553" s="3766">
        <v>115.5</v>
      </c>
    </row>
    <row r="554" spans="1:18">
      <c r="A554" s="1468">
        <f t="shared" si="1"/>
        <v>2018.05</v>
      </c>
      <c r="B554" s="1559">
        <v>111.04600000000001</v>
      </c>
      <c r="C554" s="3711">
        <v>106.0902</v>
      </c>
      <c r="D554" s="1560">
        <v>117.4495</v>
      </c>
      <c r="E554" s="1561">
        <v>103.50360000000001</v>
      </c>
      <c r="F554" s="3711">
        <v>111.9367</v>
      </c>
      <c r="G554" s="1560">
        <v>95.640100000000004</v>
      </c>
      <c r="H554" s="1561">
        <v>25.15</v>
      </c>
      <c r="I554" s="293">
        <v>23.68</v>
      </c>
      <c r="J554" s="293">
        <v>24.245000000000001</v>
      </c>
      <c r="K554" s="1557"/>
      <c r="L554" s="1564">
        <v>23.701000000000001</v>
      </c>
      <c r="M554" s="751">
        <v>29.2</v>
      </c>
      <c r="N554" s="748">
        <v>29.1</v>
      </c>
      <c r="O554" s="268">
        <v>251.58799999999999</v>
      </c>
      <c r="P554" s="3513">
        <v>250.792</v>
      </c>
      <c r="Q554" s="268">
        <v>203.2</v>
      </c>
      <c r="R554" s="3766">
        <v>115.9</v>
      </c>
    </row>
    <row r="555" spans="1:18">
      <c r="A555" s="1468">
        <f t="shared" si="1"/>
        <v>2018.06</v>
      </c>
      <c r="B555" s="1559">
        <v>112.84350000000001</v>
      </c>
      <c r="C555" s="3711">
        <v>107.3633</v>
      </c>
      <c r="D555" s="1560">
        <v>119.8197</v>
      </c>
      <c r="E555" s="1561">
        <v>105.05159999999999</v>
      </c>
      <c r="F555" s="3711">
        <v>113.28449999999999</v>
      </c>
      <c r="G555" s="1560">
        <v>97.336200000000005</v>
      </c>
      <c r="H555" s="1561">
        <v>28.58</v>
      </c>
      <c r="I555" s="293">
        <v>26.595000000000006</v>
      </c>
      <c r="J555" s="293">
        <v>26.972499999999997</v>
      </c>
      <c r="K555" s="1557"/>
      <c r="L555" s="1564">
        <v>26.641999999999999</v>
      </c>
      <c r="M555" s="751">
        <v>32.9</v>
      </c>
      <c r="N555" s="748">
        <v>33.1</v>
      </c>
      <c r="O555" s="268">
        <v>251.989</v>
      </c>
      <c r="P555" s="3513">
        <v>251.018</v>
      </c>
      <c r="Q555" s="268">
        <v>204.2</v>
      </c>
      <c r="R555" s="3766">
        <v>116.3</v>
      </c>
    </row>
    <row r="556" spans="1:18">
      <c r="A556" s="1468">
        <f t="shared" si="1"/>
        <v>2018.07</v>
      </c>
      <c r="B556" s="1559">
        <v>113.0594</v>
      </c>
      <c r="C556" s="3711">
        <v>107.7347</v>
      </c>
      <c r="D556" s="1560">
        <v>119.8733</v>
      </c>
      <c r="E556" s="1561">
        <v>105.0369</v>
      </c>
      <c r="F556" s="3711">
        <v>113.4365</v>
      </c>
      <c r="G556" s="1560">
        <v>97.1858</v>
      </c>
      <c r="H556" s="1561">
        <v>27.55</v>
      </c>
      <c r="I556" s="293">
        <v>27.524699999999999</v>
      </c>
      <c r="J556" s="293">
        <v>28.24</v>
      </c>
      <c r="K556" s="1557"/>
      <c r="L556" s="1564">
        <v>27.6875</v>
      </c>
      <c r="M556" s="751">
        <v>33.5</v>
      </c>
      <c r="N556" s="748">
        <v>33.4</v>
      </c>
      <c r="O556" s="268">
        <v>252.006</v>
      </c>
      <c r="P556" s="3513">
        <v>251.214</v>
      </c>
      <c r="Q556" s="268">
        <v>204.3</v>
      </c>
      <c r="R556" s="3766">
        <v>116.4</v>
      </c>
    </row>
    <row r="557" spans="1:18">
      <c r="A557" s="1468">
        <f t="shared" si="1"/>
        <v>2018.08</v>
      </c>
      <c r="B557" s="1559">
        <v>113.8309</v>
      </c>
      <c r="C557" s="3711">
        <v>108.2546</v>
      </c>
      <c r="D557" s="1560">
        <v>120.92</v>
      </c>
      <c r="E557" s="1561">
        <v>105.6151</v>
      </c>
      <c r="F557" s="3711">
        <v>113.9383</v>
      </c>
      <c r="G557" s="1560">
        <v>97.820700000000002</v>
      </c>
      <c r="H557" s="1561">
        <v>37</v>
      </c>
      <c r="I557" s="293">
        <v>30.11363636363636</v>
      </c>
      <c r="J557" s="293">
        <v>30.4522727272727</v>
      </c>
      <c r="K557" s="1557"/>
      <c r="L557" s="1564">
        <v>29.925000000000001</v>
      </c>
      <c r="M557" s="751">
        <v>46.67</v>
      </c>
      <c r="N557" s="748">
        <v>46.713333333333303</v>
      </c>
      <c r="O557" s="268">
        <v>252.14599999999999</v>
      </c>
      <c r="P557" s="3513">
        <v>251.66300000000001</v>
      </c>
      <c r="Q557" s="268">
        <v>203.4</v>
      </c>
      <c r="R557" s="3766">
        <v>116.5</v>
      </c>
    </row>
    <row r="558" spans="1:18">
      <c r="A558" s="1468">
        <f>A546+1</f>
        <v>2018.09</v>
      </c>
      <c r="B558" s="1559">
        <v>114.0783</v>
      </c>
      <c r="C558" s="3711">
        <v>107.6764</v>
      </c>
      <c r="D558" s="1560">
        <v>122.05110000000001</v>
      </c>
      <c r="E558" s="1561">
        <v>105.82089999999999</v>
      </c>
      <c r="F558" s="3711">
        <v>113.465</v>
      </c>
      <c r="G558" s="1560">
        <v>98.581699999999998</v>
      </c>
      <c r="H558" s="1561">
        <v>39.5</v>
      </c>
      <c r="I558" s="293">
        <v>38.433999999999997</v>
      </c>
      <c r="J558" s="293">
        <v>38.35</v>
      </c>
      <c r="K558" s="1557"/>
      <c r="L558" s="1564">
        <v>38.585789473684208</v>
      </c>
      <c r="M558" s="751">
        <v>48.2</v>
      </c>
      <c r="N558" s="748">
        <v>49.6</v>
      </c>
      <c r="O558" s="268">
        <v>252.43899999999999</v>
      </c>
      <c r="P558" s="3513">
        <v>252.18199999999999</v>
      </c>
      <c r="Q558" s="268">
        <v>203.6</v>
      </c>
      <c r="R558" s="3766">
        <v>116.7</v>
      </c>
    </row>
    <row r="559" spans="1:18">
      <c r="A559" s="1468">
        <f t="shared" si="1"/>
        <v>2018.1</v>
      </c>
      <c r="B559" s="1559">
        <v>114.8301</v>
      </c>
      <c r="C559" s="3711">
        <v>108.59690000000001</v>
      </c>
      <c r="D559" s="1560">
        <v>122.62909999999999</v>
      </c>
      <c r="E559" s="1561">
        <v>106.5475</v>
      </c>
      <c r="F559" s="3711">
        <v>114.4815</v>
      </c>
      <c r="G559" s="1560">
        <v>99.063100000000006</v>
      </c>
      <c r="H559" s="1561">
        <v>35.700000000000003</v>
      </c>
      <c r="I559" s="293">
        <v>36.956818181818178</v>
      </c>
      <c r="J559" s="293">
        <v>36.83</v>
      </c>
      <c r="K559" s="2370">
        <v>36.51</v>
      </c>
      <c r="L559" s="293">
        <v>37.382380952380949</v>
      </c>
      <c r="M559" s="751">
        <v>47.2</v>
      </c>
      <c r="N559" s="748">
        <v>46.8</v>
      </c>
      <c r="O559" s="268">
        <v>252.88499999999999</v>
      </c>
      <c r="P559" s="3513">
        <v>252.77199999999999</v>
      </c>
      <c r="Q559" s="268">
        <v>204.6</v>
      </c>
      <c r="R559" s="3766">
        <v>117.5</v>
      </c>
    </row>
    <row r="560" spans="1:18">
      <c r="A560" s="1468">
        <f t="shared" ref="A560:A623" si="2">A548+1</f>
        <v>2018.11</v>
      </c>
      <c r="B560" s="1559">
        <v>116.1678</v>
      </c>
      <c r="C560" s="3711">
        <v>109.68470000000001</v>
      </c>
      <c r="D560" s="1560">
        <v>124.2479</v>
      </c>
      <c r="E560" s="1561">
        <v>107.7068</v>
      </c>
      <c r="F560" s="3711">
        <v>115.6503</v>
      </c>
      <c r="G560" s="1560">
        <v>100.2042</v>
      </c>
      <c r="H560" s="1561">
        <v>37.82</v>
      </c>
      <c r="I560" s="293">
        <v>36.340000000000003</v>
      </c>
      <c r="J560" s="293">
        <v>35.529000000000003</v>
      </c>
      <c r="K560" s="268">
        <v>36.514000000000003</v>
      </c>
      <c r="L560" s="293">
        <v>36.401000000000003</v>
      </c>
      <c r="M560" s="751">
        <v>47.7</v>
      </c>
      <c r="N560" s="748">
        <v>48</v>
      </c>
      <c r="O560" s="268">
        <v>252.03800000000001</v>
      </c>
      <c r="P560" s="3513">
        <v>252.59399999999999</v>
      </c>
      <c r="Q560" s="268">
        <v>202.3</v>
      </c>
      <c r="R560" s="3766">
        <v>117.4</v>
      </c>
    </row>
    <row r="561" spans="1:18">
      <c r="A561" s="1468">
        <f t="shared" si="2"/>
        <v>2018.12</v>
      </c>
      <c r="B561" s="1559">
        <v>116.2111</v>
      </c>
      <c r="C561" s="3711">
        <v>110.2118</v>
      </c>
      <c r="D561" s="1560">
        <v>123.7735</v>
      </c>
      <c r="E561" s="1561">
        <v>107.7531</v>
      </c>
      <c r="F561" s="3711">
        <v>116.2936</v>
      </c>
      <c r="G561" s="1560">
        <v>99.761099999999999</v>
      </c>
      <c r="H561" s="1561">
        <v>37.83</v>
      </c>
      <c r="I561" s="293">
        <v>37.734999999999999</v>
      </c>
      <c r="J561" s="293">
        <v>37.22</v>
      </c>
      <c r="K561" s="268">
        <v>38.033225806451611</v>
      </c>
      <c r="L561" s="293">
        <v>37.988387096774197</v>
      </c>
      <c r="M561" s="751">
        <v>48.349999999999902</v>
      </c>
      <c r="N561" s="748">
        <v>48.636249999999997</v>
      </c>
      <c r="O561" s="268">
        <v>251.233</v>
      </c>
      <c r="P561" s="3513">
        <v>252.767</v>
      </c>
      <c r="Q561" s="268">
        <v>201</v>
      </c>
      <c r="R561" s="3766">
        <v>117.4</v>
      </c>
    </row>
    <row r="562" spans="1:18">
      <c r="A562" s="1468">
        <f t="shared" si="2"/>
        <v>2019.01</v>
      </c>
      <c r="B562" s="1559">
        <v>114.44029999999999</v>
      </c>
      <c r="C562" s="3711">
        <v>109.1527</v>
      </c>
      <c r="D562" s="1560">
        <v>121.2135</v>
      </c>
      <c r="E562" s="1561">
        <v>106.0287</v>
      </c>
      <c r="F562" s="3711">
        <v>115.1056</v>
      </c>
      <c r="G562" s="1560">
        <v>97.588499999999996</v>
      </c>
      <c r="H562" s="1561">
        <v>37.31</v>
      </c>
      <c r="I562" s="293">
        <v>37.272499999999994</v>
      </c>
      <c r="J562" s="293">
        <v>37.436363636363637</v>
      </c>
      <c r="K562" s="268">
        <v>37.515483870967742</v>
      </c>
      <c r="L562" s="293">
        <v>37.49677419354839</v>
      </c>
      <c r="M562" s="751">
        <v>48.4</v>
      </c>
      <c r="N562" s="748">
        <v>48.4</v>
      </c>
      <c r="O562" s="268">
        <v>251.71199999999999</v>
      </c>
      <c r="P562" s="3513">
        <v>252.56100000000001</v>
      </c>
      <c r="Q562" s="268">
        <v>199.1</v>
      </c>
      <c r="R562" s="3766">
        <v>117</v>
      </c>
    </row>
    <row r="563" spans="1:18">
      <c r="A563" s="1468">
        <f t="shared" si="2"/>
        <v>2019.02</v>
      </c>
      <c r="B563" s="1559">
        <v>114.4106</v>
      </c>
      <c r="C563" s="3711">
        <v>109.4097</v>
      </c>
      <c r="D563" s="1560">
        <v>120.86450000000001</v>
      </c>
      <c r="E563" s="1561">
        <v>106.13339999999999</v>
      </c>
      <c r="F563" s="3711">
        <v>115.53579999999999</v>
      </c>
      <c r="G563" s="1560">
        <v>97.416399999999996</v>
      </c>
      <c r="H563" s="1561">
        <v>39.1</v>
      </c>
      <c r="I563" s="293">
        <v>38.3035</v>
      </c>
      <c r="J563" s="293">
        <v>37.787999999999997</v>
      </c>
      <c r="K563" s="268">
        <v>38.506785714285712</v>
      </c>
      <c r="L563" s="293">
        <v>38.446785714285717</v>
      </c>
      <c r="M563" s="751">
        <v>49.3</v>
      </c>
      <c r="N563" s="748">
        <v>49.6</v>
      </c>
      <c r="O563" s="268">
        <v>252.77600000000001</v>
      </c>
      <c r="P563" s="3513">
        <v>253.31899999999999</v>
      </c>
      <c r="Q563" s="268">
        <v>199.2</v>
      </c>
      <c r="R563" s="3766">
        <v>117.2</v>
      </c>
    </row>
    <row r="564" spans="1:18">
      <c r="A564" s="1468">
        <f t="shared" si="2"/>
        <v>2019.03</v>
      </c>
      <c r="B564" s="1559">
        <v>114.78230000000001</v>
      </c>
      <c r="C564" s="3711">
        <v>109.94759999999999</v>
      </c>
      <c r="D564" s="1560">
        <v>121.0553</v>
      </c>
      <c r="E564" s="1561">
        <v>106.5526</v>
      </c>
      <c r="F564" s="3711">
        <v>116.2946</v>
      </c>
      <c r="G564" s="1560">
        <v>97.5458</v>
      </c>
      <c r="H564" s="1561">
        <v>43.2</v>
      </c>
      <c r="I564" s="293">
        <v>41.415700000000001</v>
      </c>
      <c r="J564" s="293">
        <v>40.981499999999997</v>
      </c>
      <c r="K564" s="268">
        <v>41.507096774193549</v>
      </c>
      <c r="L564" s="293">
        <v>41.295806451612897</v>
      </c>
      <c r="M564" s="751">
        <v>52.7</v>
      </c>
      <c r="N564" s="748">
        <v>53.5</v>
      </c>
      <c r="O564" s="268">
        <v>254.202</v>
      </c>
      <c r="P564" s="3513">
        <v>254.27699999999999</v>
      </c>
      <c r="Q564" s="268">
        <v>200.8</v>
      </c>
      <c r="R564" s="3766">
        <v>117.6</v>
      </c>
    </row>
    <row r="565" spans="1:18">
      <c r="A565" s="1468">
        <f t="shared" si="2"/>
        <v>2019.04</v>
      </c>
      <c r="B565" s="1559">
        <v>114.9024</v>
      </c>
      <c r="C565" s="3711">
        <v>110.4379</v>
      </c>
      <c r="D565" s="1560">
        <v>120.7688</v>
      </c>
      <c r="E565" s="1561">
        <v>106.66759999999999</v>
      </c>
      <c r="F565" s="3711">
        <v>116.9121</v>
      </c>
      <c r="G565" s="1560">
        <v>97.238699999999994</v>
      </c>
      <c r="H565" s="1564">
        <v>44.26</v>
      </c>
      <c r="I565" s="293">
        <v>43.16</v>
      </c>
      <c r="J565" s="293">
        <v>43.747100000000003</v>
      </c>
      <c r="K565" s="268">
        <v>43.43933333333333</v>
      </c>
      <c r="L565" s="293">
        <v>43.465000000000003</v>
      </c>
      <c r="M565" s="751">
        <v>54.6</v>
      </c>
      <c r="N565" s="748">
        <v>54.8</v>
      </c>
      <c r="O565" s="268">
        <v>255.548</v>
      </c>
      <c r="P565" s="3513">
        <v>255.233</v>
      </c>
      <c r="Q565" s="268">
        <v>202.1</v>
      </c>
      <c r="R565" s="3766">
        <v>118.2</v>
      </c>
    </row>
    <row r="566" spans="1:18">
      <c r="A566" s="1468">
        <f t="shared" si="2"/>
        <v>2019.05</v>
      </c>
      <c r="B566" s="1559">
        <v>115.95699999999999</v>
      </c>
      <c r="C566" s="3711">
        <v>110.8764</v>
      </c>
      <c r="D566" s="1560">
        <v>122.51220000000001</v>
      </c>
      <c r="E566" s="1561">
        <v>107.4307</v>
      </c>
      <c r="F566" s="3711">
        <v>117.2651</v>
      </c>
      <c r="G566" s="1560">
        <v>98.339600000000004</v>
      </c>
      <c r="H566" s="1561">
        <v>45.1</v>
      </c>
      <c r="I566" s="293">
        <v>44.78</v>
      </c>
      <c r="J566" s="293">
        <v>45.41</v>
      </c>
      <c r="K566" s="268">
        <v>44.856451612903228</v>
      </c>
      <c r="L566" s="293">
        <v>44.987419354838707</v>
      </c>
      <c r="M566" s="751">
        <v>55.5</v>
      </c>
      <c r="N566" s="748">
        <v>55.7</v>
      </c>
      <c r="O566" s="268">
        <v>256.09199999999998</v>
      </c>
      <c r="P566" s="3513">
        <v>255.29599999999999</v>
      </c>
      <c r="Q566" s="268">
        <v>201.7</v>
      </c>
      <c r="R566" s="3766">
        <v>118.3</v>
      </c>
    </row>
    <row r="567" spans="1:18">
      <c r="A567" s="1468">
        <f t="shared" si="2"/>
        <v>2019.06</v>
      </c>
      <c r="B567" s="1559">
        <v>115.42789999999999</v>
      </c>
      <c r="C567" s="3711">
        <v>109.8312</v>
      </c>
      <c r="D567" s="1560">
        <v>122.5539</v>
      </c>
      <c r="E567" s="1561">
        <v>106.809</v>
      </c>
      <c r="F567" s="3711">
        <v>116.08369999999999</v>
      </c>
      <c r="G567" s="1560">
        <v>98.195400000000006</v>
      </c>
      <c r="H567" s="1561">
        <v>42.15</v>
      </c>
      <c r="I567" s="293">
        <v>43.63</v>
      </c>
      <c r="J567" s="293">
        <v>44.22</v>
      </c>
      <c r="K567" s="268">
        <v>43.774999999999999</v>
      </c>
      <c r="L567" s="293">
        <v>43.866666666666667</v>
      </c>
      <c r="M567" s="751">
        <v>55</v>
      </c>
      <c r="N567" s="748">
        <v>55.2</v>
      </c>
      <c r="O567" s="268">
        <v>256.14299999999997</v>
      </c>
      <c r="P567" s="3513">
        <v>255.21299999999999</v>
      </c>
      <c r="Q567" s="268">
        <v>200.3</v>
      </c>
      <c r="R567" s="3766">
        <v>118.2</v>
      </c>
    </row>
    <row r="568" spans="1:18">
      <c r="A568" s="1468">
        <f t="shared" si="2"/>
        <v>2019.07</v>
      </c>
      <c r="B568" s="1559">
        <v>115.07850000000001</v>
      </c>
      <c r="C568" s="3711">
        <v>109.97410000000001</v>
      </c>
      <c r="D568" s="1560">
        <v>121.6529</v>
      </c>
      <c r="E568" s="1561">
        <v>106.56659999999999</v>
      </c>
      <c r="F568" s="3711">
        <v>116.357</v>
      </c>
      <c r="G568" s="1560">
        <v>97.519099999999995</v>
      </c>
      <c r="H568" s="1561">
        <v>43.92</v>
      </c>
      <c r="I568" s="1561">
        <v>43.78</v>
      </c>
      <c r="J568" s="293">
        <v>43.23</v>
      </c>
      <c r="K568" s="268">
        <v>42.498064516129027</v>
      </c>
      <c r="L568" s="293">
        <v>42.559677419354841</v>
      </c>
      <c r="M568" s="751">
        <v>56</v>
      </c>
      <c r="N568" s="748">
        <v>56.169287505739398</v>
      </c>
      <c r="O568" s="268">
        <v>256.57100000000003</v>
      </c>
      <c r="P568" s="3513">
        <v>255.80199999999999</v>
      </c>
      <c r="Q568" s="268">
        <v>200.7</v>
      </c>
      <c r="R568" s="3766">
        <v>118.5</v>
      </c>
    </row>
    <row r="569" spans="1:18">
      <c r="A569" s="1468">
        <f t="shared" si="2"/>
        <v>2019.08</v>
      </c>
      <c r="B569" s="1559">
        <v>117.102</v>
      </c>
      <c r="C569" s="3711">
        <v>110.75709999999999</v>
      </c>
      <c r="D569" s="1560">
        <v>125.08450000000001</v>
      </c>
      <c r="E569" s="1561">
        <v>108.37430000000001</v>
      </c>
      <c r="F569" s="3711">
        <v>117.1682</v>
      </c>
      <c r="G569" s="1560">
        <v>100.16079999999999</v>
      </c>
      <c r="H569" s="1561">
        <v>59</v>
      </c>
      <c r="I569" s="1561">
        <v>52.49</v>
      </c>
      <c r="J569" s="293">
        <v>53.41</v>
      </c>
      <c r="K569" s="268">
        <v>52.69064516129032</v>
      </c>
      <c r="L569" s="293">
        <v>52.541612903225797</v>
      </c>
      <c r="M569" s="751">
        <v>80</v>
      </c>
      <c r="N569" s="748">
        <v>83.0137513888195</v>
      </c>
      <c r="O569" s="268">
        <v>256.55799999999999</v>
      </c>
      <c r="P569" s="3513">
        <v>256.036</v>
      </c>
      <c r="Q569" s="268">
        <v>199.2</v>
      </c>
      <c r="R569" s="3766">
        <v>118.6</v>
      </c>
    </row>
    <row r="570" spans="1:18">
      <c r="A570" s="1468">
        <f t="shared" si="2"/>
        <v>2019.09</v>
      </c>
      <c r="B570" s="1559">
        <v>117.32559999999999</v>
      </c>
      <c r="C570" s="3711">
        <v>111.19670000000001</v>
      </c>
      <c r="D570" s="1560">
        <v>125.0637</v>
      </c>
      <c r="E570" s="1561">
        <v>108.5519</v>
      </c>
      <c r="F570" s="3711">
        <v>117.7735</v>
      </c>
      <c r="G570" s="1560">
        <v>99.971699999999998</v>
      </c>
      <c r="H570" s="1561">
        <v>57.25</v>
      </c>
      <c r="I570" s="1561">
        <v>56.36</v>
      </c>
      <c r="J570" s="1561">
        <v>59.220238095238095</v>
      </c>
      <c r="K570" s="268">
        <v>63.212000000000003</v>
      </c>
      <c r="L570" s="293">
        <v>65.837666666666664</v>
      </c>
      <c r="M570" s="751">
        <v>82.2</v>
      </c>
      <c r="N570" s="748">
        <v>82.8</v>
      </c>
      <c r="O570" s="268">
        <v>256.75900000000001</v>
      </c>
      <c r="P570" s="3513">
        <v>256.43</v>
      </c>
      <c r="Q570" s="268">
        <v>198.4</v>
      </c>
      <c r="R570" s="3766">
        <v>118.3</v>
      </c>
    </row>
    <row r="571" spans="1:18">
      <c r="A571" s="1468">
        <f t="shared" si="2"/>
        <v>2019.1</v>
      </c>
      <c r="B571" s="1559">
        <v>116.7479</v>
      </c>
      <c r="C571" s="3711">
        <v>110.7273</v>
      </c>
      <c r="D571" s="1560">
        <v>124.35939999999999</v>
      </c>
      <c r="E571" s="1561">
        <v>108.02549999999999</v>
      </c>
      <c r="F571" s="3711">
        <v>117.5059</v>
      </c>
      <c r="G571" s="1560">
        <v>99.228999999999999</v>
      </c>
      <c r="H571" s="1561">
        <v>60.5</v>
      </c>
      <c r="I571" s="1561">
        <v>58.44</v>
      </c>
      <c r="J571" s="1561">
        <v>64.13636363636364</v>
      </c>
      <c r="K571" s="268">
        <v>69.004838709677415</v>
      </c>
      <c r="L571" s="293">
        <v>71.954193548387096</v>
      </c>
      <c r="M571" s="751">
        <v>83</v>
      </c>
      <c r="N571" s="748">
        <v>84.2</v>
      </c>
      <c r="O571" s="268">
        <v>257.346</v>
      </c>
      <c r="P571" s="3513">
        <v>257.15499999999997</v>
      </c>
      <c r="Q571" s="268">
        <v>198.6</v>
      </c>
      <c r="R571" s="3766">
        <v>118.8</v>
      </c>
    </row>
    <row r="572" spans="1:18">
      <c r="A572" s="1468">
        <f t="shared" si="2"/>
        <v>2019.11</v>
      </c>
      <c r="B572" s="1559">
        <v>116.5605</v>
      </c>
      <c r="C572" s="3711">
        <v>110.7073</v>
      </c>
      <c r="D572" s="1560">
        <v>123.9824</v>
      </c>
      <c r="E572" s="1561">
        <v>107.8519</v>
      </c>
      <c r="F572" s="3711">
        <v>117.6742</v>
      </c>
      <c r="G572" s="1560">
        <v>98.767700000000005</v>
      </c>
      <c r="H572" s="1561">
        <v>60.86</v>
      </c>
      <c r="I572" s="1561">
        <v>59.64050000000001</v>
      </c>
      <c r="J572" s="1561">
        <v>65.25</v>
      </c>
      <c r="K572" s="268">
        <v>72.594666666666669</v>
      </c>
      <c r="L572" s="293">
        <v>76.60766666666666</v>
      </c>
      <c r="M572" s="751">
        <v>82.5</v>
      </c>
      <c r="N572" s="748">
        <v>83</v>
      </c>
      <c r="O572" s="268">
        <v>257.20800000000003</v>
      </c>
      <c r="P572" s="3513">
        <v>257.87900000000002</v>
      </c>
      <c r="Q572" s="268">
        <v>199</v>
      </c>
      <c r="R572" s="3766">
        <v>118.6</v>
      </c>
    </row>
    <row r="573" spans="1:18">
      <c r="A573" s="1468">
        <f t="shared" si="2"/>
        <v>2019.12</v>
      </c>
      <c r="B573" s="1559">
        <v>115.91070000000001</v>
      </c>
      <c r="C573" s="3711">
        <v>109.99809999999999</v>
      </c>
      <c r="D573" s="1560">
        <v>123.3951</v>
      </c>
      <c r="E573" s="1561">
        <v>107.1974</v>
      </c>
      <c r="F573" s="3711">
        <v>116.99679999999999</v>
      </c>
      <c r="G573" s="1560">
        <v>98.1374</v>
      </c>
      <c r="H573" s="1561">
        <v>60.5</v>
      </c>
      <c r="I573" s="1561">
        <v>59.777894736842114</v>
      </c>
      <c r="J573" s="1561">
        <v>70.236842105263165</v>
      </c>
      <c r="K573" s="268">
        <v>72.457419354838706</v>
      </c>
      <c r="L573" s="293">
        <v>74.704193548387096</v>
      </c>
      <c r="M573" s="751">
        <v>80.5</v>
      </c>
      <c r="N573" s="748">
        <v>79.599999999999994</v>
      </c>
      <c r="O573" s="268">
        <v>256.97399999999999</v>
      </c>
      <c r="P573" s="3513">
        <v>258.63</v>
      </c>
      <c r="Q573" s="268">
        <v>199</v>
      </c>
      <c r="R573" s="3766">
        <v>119</v>
      </c>
    </row>
    <row r="574" spans="1:18">
      <c r="A574" s="1468">
        <f t="shared" si="2"/>
        <v>2020.01</v>
      </c>
      <c r="B574" s="1559">
        <v>115.2786</v>
      </c>
      <c r="C574" s="3711">
        <v>109.87949999999999</v>
      </c>
      <c r="D574" s="1560">
        <v>122.21210000000001</v>
      </c>
      <c r="E574" s="1561">
        <v>106.6681</v>
      </c>
      <c r="F574" s="3711">
        <v>117.0645</v>
      </c>
      <c r="G574" s="1560">
        <v>97.137500000000003</v>
      </c>
      <c r="H574" s="1561">
        <v>60.5</v>
      </c>
      <c r="I574" s="1561">
        <v>59.952800000000003</v>
      </c>
      <c r="J574" s="1561">
        <v>73.113636400000004</v>
      </c>
      <c r="K574" s="268">
        <v>78.989354838709673</v>
      </c>
      <c r="L574" s="293">
        <v>80.30935483870968</v>
      </c>
      <c r="M574" s="751">
        <v>80.5</v>
      </c>
      <c r="N574" s="748">
        <v>79.7</v>
      </c>
      <c r="O574" s="268">
        <v>257.971</v>
      </c>
      <c r="P574" s="3513">
        <v>259.12700000000001</v>
      </c>
      <c r="Q574" s="268">
        <v>199.3</v>
      </c>
      <c r="R574" s="3766">
        <v>119.2</v>
      </c>
    </row>
    <row r="575" spans="1:18">
      <c r="A575" s="1468">
        <f t="shared" si="2"/>
        <v>2020.02</v>
      </c>
      <c r="B575" s="1559">
        <v>116.70950000000001</v>
      </c>
      <c r="C575" s="3711">
        <v>111.4348</v>
      </c>
      <c r="D575" s="1560">
        <v>123.5265</v>
      </c>
      <c r="E575" s="1561">
        <v>107.8625</v>
      </c>
      <c r="F575" s="3711">
        <v>118.7731</v>
      </c>
      <c r="G575" s="1560">
        <v>97.910399999999996</v>
      </c>
      <c r="H575" s="1561">
        <v>61.9</v>
      </c>
      <c r="I575" s="1561">
        <v>61.238117600000002</v>
      </c>
      <c r="J575" s="1561">
        <v>76.191666666666663</v>
      </c>
      <c r="K575" s="268">
        <v>81.491379310344826</v>
      </c>
      <c r="L575" s="293">
        <v>82.946551724137933</v>
      </c>
      <c r="M575" s="751">
        <v>83</v>
      </c>
      <c r="N575" s="748">
        <v>82.4</v>
      </c>
      <c r="O575" s="268">
        <v>258.678</v>
      </c>
      <c r="P575" s="3513">
        <v>259.25</v>
      </c>
      <c r="Q575" s="268">
        <v>196.7</v>
      </c>
      <c r="R575" s="3766">
        <v>118.6</v>
      </c>
    </row>
    <row r="576" spans="1:18">
      <c r="A576" s="1468">
        <f t="shared" si="2"/>
        <v>2020.03</v>
      </c>
      <c r="B576" s="1559">
        <v>121.02849999999999</v>
      </c>
      <c r="C576" s="3711">
        <v>112.7139</v>
      </c>
      <c r="D576" s="1560">
        <v>131.19589999999999</v>
      </c>
      <c r="E576" s="1561">
        <v>111.7749</v>
      </c>
      <c r="F576" s="3711">
        <v>120.0338</v>
      </c>
      <c r="G576" s="1560">
        <v>103.9259</v>
      </c>
      <c r="H576" s="1561">
        <v>64.08</v>
      </c>
      <c r="I576" s="1561">
        <v>62.85733333333333</v>
      </c>
      <c r="J576" s="1561">
        <v>80.276315789473685</v>
      </c>
      <c r="K576" s="268">
        <v>85.86354838709677</v>
      </c>
      <c r="L576" s="293">
        <v>86.634193548387103</v>
      </c>
      <c r="M576" s="751">
        <v>88</v>
      </c>
      <c r="N576" s="748">
        <v>88</v>
      </c>
      <c r="O576" s="268">
        <v>258.11500000000001</v>
      </c>
      <c r="P576" s="3513">
        <v>258.07600000000002</v>
      </c>
      <c r="Q576" s="268">
        <v>193.1</v>
      </c>
      <c r="R576" s="3766">
        <v>118</v>
      </c>
    </row>
    <row r="577" spans="1:19">
      <c r="A577" s="1468">
        <f t="shared" si="2"/>
        <v>2020.04</v>
      </c>
      <c r="B577" s="1559">
        <v>123.2894</v>
      </c>
      <c r="C577" s="3711">
        <v>113.6233</v>
      </c>
      <c r="D577" s="1560">
        <v>134.9863</v>
      </c>
      <c r="E577" s="1561">
        <v>113.3839</v>
      </c>
      <c r="F577" s="3711">
        <v>120.4717</v>
      </c>
      <c r="G577" s="1560">
        <v>106.502</v>
      </c>
      <c r="H577" s="1561">
        <v>66.66</v>
      </c>
      <c r="I577" s="1561">
        <v>65.400000000000006</v>
      </c>
      <c r="J577" s="1561">
        <v>97.41</v>
      </c>
      <c r="K577" s="268">
        <v>100.6276666666667</v>
      </c>
      <c r="L577" s="293">
        <v>101.994</v>
      </c>
      <c r="M577" s="751">
        <v>96.14</v>
      </c>
      <c r="N577" s="748">
        <v>95.855346378162238</v>
      </c>
      <c r="O577" s="268">
        <v>256.38900000000001</v>
      </c>
      <c r="P577" s="3513">
        <v>256.03199999999998</v>
      </c>
      <c r="Q577" s="268">
        <v>185.5</v>
      </c>
      <c r="R577" s="3766">
        <v>116.6</v>
      </c>
      <c r="S577" s="1470"/>
    </row>
    <row r="578" spans="1:19">
      <c r="A578" s="1468">
        <f t="shared" si="2"/>
        <v>2020.05</v>
      </c>
      <c r="B578" s="1559">
        <v>122.6238</v>
      </c>
      <c r="C578" s="3711">
        <v>113.2055</v>
      </c>
      <c r="D578" s="1560">
        <v>134.036</v>
      </c>
      <c r="E578" s="1561">
        <v>112.7114</v>
      </c>
      <c r="F578" s="3711">
        <v>120.0825</v>
      </c>
      <c r="G578" s="1560">
        <v>105.5959</v>
      </c>
      <c r="H578" s="1561">
        <v>68.22</v>
      </c>
      <c r="I578" s="1561">
        <v>67.72</v>
      </c>
      <c r="J578" s="1561">
        <v>121.23684210526316</v>
      </c>
      <c r="K578" s="268">
        <v>113.1474193548387</v>
      </c>
      <c r="L578" s="293">
        <v>116.6112903225806</v>
      </c>
      <c r="M578" s="751">
        <v>104.1</v>
      </c>
      <c r="N578" s="748">
        <v>103</v>
      </c>
      <c r="O578" s="268">
        <v>256.39400000000001</v>
      </c>
      <c r="P578" s="3513">
        <v>255.80199999999999</v>
      </c>
      <c r="Q578" s="268">
        <v>188.6</v>
      </c>
      <c r="R578" s="3766">
        <v>117.2</v>
      </c>
      <c r="S578" s="1470"/>
    </row>
    <row r="579" spans="1:19">
      <c r="A579" s="1468">
        <f t="shared" si="2"/>
        <v>2020.06</v>
      </c>
      <c r="B579" s="1559">
        <v>119.6845</v>
      </c>
      <c r="C579" s="3711">
        <v>110.3417</v>
      </c>
      <c r="D579" s="1560">
        <v>130.99359999999999</v>
      </c>
      <c r="E579" s="1561">
        <v>110.11069999999999</v>
      </c>
      <c r="F579" s="3711">
        <v>117.1835</v>
      </c>
      <c r="G579" s="1560">
        <v>103.26739999999999</v>
      </c>
      <c r="H579" s="1561">
        <v>71</v>
      </c>
      <c r="I579" s="1561">
        <v>69.723571428571432</v>
      </c>
      <c r="J579" s="1561">
        <v>120.85714285714286</v>
      </c>
      <c r="K579" s="268">
        <v>106.77200000000001</v>
      </c>
      <c r="L579" s="293">
        <v>110.31966666666671</v>
      </c>
      <c r="M579" s="751">
        <v>105.32</v>
      </c>
      <c r="N579" s="748">
        <v>104.4834177248007</v>
      </c>
      <c r="O579" s="268">
        <v>257.79700000000003</v>
      </c>
      <c r="P579" s="3513">
        <v>257.04199999999997</v>
      </c>
      <c r="Q579" s="268">
        <v>191.2</v>
      </c>
      <c r="R579" s="3766">
        <v>117.5</v>
      </c>
      <c r="S579" s="1470"/>
    </row>
    <row r="580" spans="1:19">
      <c r="A580" s="1468">
        <f t="shared" si="2"/>
        <v>2020.07</v>
      </c>
      <c r="B580" s="1559">
        <v>118.7004</v>
      </c>
      <c r="C580" s="3711">
        <v>108.82640000000001</v>
      </c>
      <c r="D580" s="1560">
        <v>130.61250000000001</v>
      </c>
      <c r="E580" s="1561">
        <v>109.4774</v>
      </c>
      <c r="F580" s="3711">
        <v>115.9615</v>
      </c>
      <c r="G580" s="1560">
        <v>103.1379</v>
      </c>
      <c r="H580" s="1561">
        <v>73</v>
      </c>
      <c r="I580" s="1561">
        <v>71.22499999999998</v>
      </c>
      <c r="J580" s="1561">
        <v>126.68181800000001</v>
      </c>
      <c r="K580" s="268">
        <v>112.09</v>
      </c>
      <c r="L580" s="293">
        <v>114.00290322580641</v>
      </c>
      <c r="M580" s="751">
        <v>105.1</v>
      </c>
      <c r="N580" s="748">
        <v>104.9896777923114</v>
      </c>
      <c r="O580" s="268">
        <v>259.101</v>
      </c>
      <c r="P580" s="3513">
        <v>258.35199999999998</v>
      </c>
      <c r="Q580" s="268">
        <v>193</v>
      </c>
      <c r="R580" s="3766">
        <v>118.2</v>
      </c>
      <c r="S580" s="1470"/>
    </row>
    <row r="581" spans="1:19">
      <c r="A581" s="1468">
        <f t="shared" si="2"/>
        <v>2020.08</v>
      </c>
      <c r="B581" s="1559">
        <v>116.9576</v>
      </c>
      <c r="C581" s="3711">
        <v>106.22</v>
      </c>
      <c r="D581" s="1560">
        <v>129.8622</v>
      </c>
      <c r="E581" s="1561">
        <v>108.1755</v>
      </c>
      <c r="F581" s="3711">
        <v>113.7872</v>
      </c>
      <c r="G581" s="1560">
        <v>102.59310000000001</v>
      </c>
      <c r="H581" s="1561">
        <v>76</v>
      </c>
      <c r="I581" s="1561">
        <v>73.067222222222213</v>
      </c>
      <c r="J581" s="1561">
        <v>131.04</v>
      </c>
      <c r="K581" s="268">
        <v>124.42870967741941</v>
      </c>
      <c r="L581" s="293">
        <v>127.5751612903226</v>
      </c>
      <c r="M581" s="751">
        <v>108.1</v>
      </c>
      <c r="N581" s="748">
        <v>108.65</v>
      </c>
      <c r="O581" s="268">
        <v>259.91800000000001</v>
      </c>
      <c r="P581" s="3513">
        <v>259.31599999999997</v>
      </c>
      <c r="Q581" s="268">
        <v>194.3</v>
      </c>
      <c r="R581" s="3766">
        <v>118.4</v>
      </c>
      <c r="S581" s="1470"/>
    </row>
    <row r="582" spans="1:19">
      <c r="A582" s="1468">
        <f t="shared" si="2"/>
        <v>2020.09</v>
      </c>
      <c r="B582" s="1559">
        <v>116.35339999999999</v>
      </c>
      <c r="C582" s="3711">
        <v>106.554</v>
      </c>
      <c r="D582" s="1560">
        <v>128.1678</v>
      </c>
      <c r="E582" s="1561">
        <v>107.80289999999999</v>
      </c>
      <c r="F582" s="3711">
        <v>114.34820000000001</v>
      </c>
      <c r="G582" s="1560">
        <v>101.42400000000001</v>
      </c>
      <c r="H582" s="1561">
        <v>78.3</v>
      </c>
      <c r="I582" s="1561">
        <v>75.104761904761929</v>
      </c>
      <c r="J582" s="1561">
        <v>135.36363636363637</v>
      </c>
      <c r="K582" s="268">
        <v>126.32153846153849</v>
      </c>
      <c r="L582" s="293">
        <v>133.25</v>
      </c>
      <c r="M582" s="751">
        <v>109.85</v>
      </c>
      <c r="N582" s="748">
        <v>110.0032285444881</v>
      </c>
      <c r="O582" s="268">
        <v>260.27999999999997</v>
      </c>
      <c r="P582" s="3513">
        <v>259.99700000000001</v>
      </c>
      <c r="Q582" s="268">
        <v>195.5</v>
      </c>
      <c r="R582" s="3766">
        <v>118.8</v>
      </c>
      <c r="S582" s="1470"/>
    </row>
    <row r="583" spans="1:19">
      <c r="A583" s="1468">
        <f t="shared" si="2"/>
        <v>2020.1</v>
      </c>
      <c r="B583" s="1559">
        <v>115.7882</v>
      </c>
      <c r="C583" s="3711">
        <v>106.5321</v>
      </c>
      <c r="D583" s="1560">
        <v>126.9764</v>
      </c>
      <c r="E583" s="1561">
        <v>107.26560000000001</v>
      </c>
      <c r="F583" s="3711">
        <v>114.3917</v>
      </c>
      <c r="G583" s="1560">
        <v>100.4004</v>
      </c>
      <c r="H583" s="1561">
        <v>81</v>
      </c>
      <c r="I583" s="1561">
        <v>77.37833333333333</v>
      </c>
      <c r="J583" s="1561">
        <v>167.61904761904762</v>
      </c>
      <c r="K583" s="268">
        <v>150.0371428571429</v>
      </c>
      <c r="L583" s="293">
        <v>163.46857142857141</v>
      </c>
      <c r="M583" s="751">
        <v>117.4</v>
      </c>
      <c r="N583" s="748">
        <v>118.59</v>
      </c>
      <c r="O583" s="268">
        <v>260.38799999999998</v>
      </c>
      <c r="P583" s="3513">
        <v>260.31900000000002</v>
      </c>
      <c r="Q583" s="268">
        <v>196.5</v>
      </c>
      <c r="R583" s="3766">
        <v>119.4</v>
      </c>
      <c r="S583" s="1470"/>
    </row>
    <row r="584" spans="1:19">
      <c r="A584" s="1468">
        <f t="shared" si="2"/>
        <v>2020.11</v>
      </c>
      <c r="B584" s="1559">
        <v>114.1033</v>
      </c>
      <c r="C584" s="3711">
        <v>105.634</v>
      </c>
      <c r="D584" s="1560">
        <v>124.3896</v>
      </c>
      <c r="E584" s="1561">
        <v>105.91</v>
      </c>
      <c r="F584" s="3711">
        <v>113.584</v>
      </c>
      <c r="G584" s="1560">
        <v>98.598600000000005</v>
      </c>
      <c r="H584" s="1561">
        <v>83.72</v>
      </c>
      <c r="I584" s="1561">
        <v>80.852000000000004</v>
      </c>
      <c r="J584" s="1561">
        <v>157.4</v>
      </c>
      <c r="K584" s="268">
        <v>144.83349999999999</v>
      </c>
      <c r="L584" s="293">
        <v>151.44684210526319</v>
      </c>
      <c r="M584" s="751">
        <v>121.1408880683679</v>
      </c>
      <c r="N584" s="748">
        <v>124.26525704994719</v>
      </c>
      <c r="O584" s="268">
        <v>260.22899999999998</v>
      </c>
      <c r="P584" s="3513">
        <v>260.911</v>
      </c>
      <c r="Q584" s="268">
        <v>198.3</v>
      </c>
      <c r="R584" s="3766">
        <v>119.5</v>
      </c>
      <c r="S584" s="1470"/>
    </row>
    <row r="585" spans="1:19">
      <c r="A585" s="1468">
        <f t="shared" si="2"/>
        <v>2020.12</v>
      </c>
      <c r="B585" s="1559">
        <v>111.9051</v>
      </c>
      <c r="C585" s="3711">
        <v>103.2852</v>
      </c>
      <c r="D585" s="1560">
        <v>122.3475</v>
      </c>
      <c r="E585" s="1561">
        <v>103.9615</v>
      </c>
      <c r="F585" s="3711">
        <v>111.2242</v>
      </c>
      <c r="G585" s="1560">
        <v>97.009600000000006</v>
      </c>
      <c r="H585" s="1561">
        <v>86.25</v>
      </c>
      <c r="I585" s="1561">
        <v>82.538333333333355</v>
      </c>
      <c r="J585" s="1561">
        <v>150.05263157894737</v>
      </c>
      <c r="K585" s="268">
        <v>141.3727777777778</v>
      </c>
      <c r="L585" s="293">
        <v>143.54</v>
      </c>
      <c r="M585" s="751">
        <v>125.8</v>
      </c>
      <c r="N585" s="748">
        <v>126.0821535708475</v>
      </c>
      <c r="O585" s="268">
        <v>260.47399999999999</v>
      </c>
      <c r="P585" s="3513">
        <v>262.04500000000002</v>
      </c>
      <c r="Q585" s="268">
        <v>200.5</v>
      </c>
      <c r="R585" s="3766">
        <v>120</v>
      </c>
      <c r="S585" s="1470"/>
    </row>
    <row r="586" spans="1:19">
      <c r="A586" s="1468">
        <f t="shared" si="2"/>
        <v>2021.01</v>
      </c>
      <c r="B586" s="1559">
        <v>111.4953</v>
      </c>
      <c r="C586" s="3711">
        <v>102.80589999999999</v>
      </c>
      <c r="D586" s="1560">
        <v>122.0179</v>
      </c>
      <c r="E586" s="1561">
        <v>103.24930000000001</v>
      </c>
      <c r="F586" s="3711">
        <v>110.29989999999999</v>
      </c>
      <c r="G586" s="1560">
        <v>96.473500000000001</v>
      </c>
      <c r="H586" s="1561">
        <v>89.7</v>
      </c>
      <c r="I586" s="1561">
        <v>85.875499999999988</v>
      </c>
      <c r="J586" s="1561">
        <v>154.25</v>
      </c>
      <c r="K586" s="268">
        <v>147.15199999999999</v>
      </c>
      <c r="L586" s="293">
        <v>151.285</v>
      </c>
      <c r="M586" s="751">
        <v>129</v>
      </c>
      <c r="N586" s="748">
        <v>127.9103938627772</v>
      </c>
      <c r="O586" s="268">
        <v>261.58199999999999</v>
      </c>
      <c r="P586" s="3513">
        <v>262.68700000000001</v>
      </c>
      <c r="Q586" s="268">
        <v>204.8</v>
      </c>
      <c r="R586" s="3766">
        <v>121.2</v>
      </c>
      <c r="S586" s="1470"/>
    </row>
    <row r="587" spans="1:19">
      <c r="A587" s="1468">
        <f t="shared" si="2"/>
        <v>2021.02</v>
      </c>
      <c r="B587" s="1559">
        <v>112.0275</v>
      </c>
      <c r="C587" s="3711">
        <v>103.131</v>
      </c>
      <c r="D587" s="1560">
        <v>122.78</v>
      </c>
      <c r="E587" s="1561">
        <v>103.9144</v>
      </c>
      <c r="F587" s="3711">
        <v>111.0167</v>
      </c>
      <c r="G587" s="1560">
        <v>97.09</v>
      </c>
      <c r="H587" s="1561">
        <v>92.4</v>
      </c>
      <c r="I587" s="1561">
        <v>88.574444444444438</v>
      </c>
      <c r="J587" s="1561">
        <v>147</v>
      </c>
      <c r="K587" s="268">
        <v>145.9672222222222</v>
      </c>
      <c r="L587" s="293">
        <v>150.8822222222222</v>
      </c>
      <c r="M587" s="751">
        <v>125</v>
      </c>
      <c r="N587" s="748">
        <v>126.1321480300201</v>
      </c>
      <c r="O587" s="268">
        <v>263.01400000000001</v>
      </c>
      <c r="P587" s="3513">
        <v>263.57900000000001</v>
      </c>
      <c r="Q587" s="268">
        <v>210.6</v>
      </c>
      <c r="R587" s="3766">
        <v>122</v>
      </c>
      <c r="S587" s="1470"/>
    </row>
    <row r="588" spans="1:19">
      <c r="A588" s="1468">
        <f t="shared" si="2"/>
        <v>2021.03</v>
      </c>
      <c r="B588" s="1559">
        <v>113.3497</v>
      </c>
      <c r="C588" s="3711">
        <v>104.16930000000001</v>
      </c>
      <c r="D588" s="1560">
        <v>124.4216</v>
      </c>
      <c r="E588" s="1561">
        <v>105.3591</v>
      </c>
      <c r="F588" s="3711">
        <v>112.50660000000001</v>
      </c>
      <c r="G588" s="1560">
        <v>98.482299999999995</v>
      </c>
      <c r="H588" s="1561">
        <v>94.7</v>
      </c>
      <c r="I588" s="1561">
        <v>91.065909090909088</v>
      </c>
      <c r="J588" s="1561">
        <v>141.11538461538461</v>
      </c>
      <c r="K588" s="268">
        <v>144.00863636363641</v>
      </c>
      <c r="L588" s="293">
        <v>150.09681818181821</v>
      </c>
      <c r="M588" s="751">
        <v>125.57964568669939</v>
      </c>
      <c r="N588" s="748">
        <v>126.6774881729896</v>
      </c>
      <c r="O588" s="268">
        <v>264.87700000000001</v>
      </c>
      <c r="P588" s="3513">
        <v>264.96100000000001</v>
      </c>
      <c r="Q588" s="268">
        <v>215</v>
      </c>
      <c r="R588" s="3766">
        <v>122.8</v>
      </c>
      <c r="S588" s="1470"/>
    </row>
    <row r="589" spans="1:19">
      <c r="A589" s="1468">
        <f t="shared" si="2"/>
        <v>2021.04</v>
      </c>
      <c r="B589" s="1559">
        <v>112.6426</v>
      </c>
      <c r="C589" s="3711">
        <v>103.7628</v>
      </c>
      <c r="D589" s="1560">
        <v>123.3822</v>
      </c>
      <c r="E589" s="1561">
        <v>105.16840000000001</v>
      </c>
      <c r="F589" s="3711">
        <v>112.72280000000001</v>
      </c>
      <c r="G589" s="1560">
        <v>97.972099999999998</v>
      </c>
      <c r="H589" s="1561">
        <v>95.97</v>
      </c>
      <c r="I589" s="1561">
        <v>92.764000000000024</v>
      </c>
      <c r="J589" s="1561">
        <v>143.75</v>
      </c>
      <c r="K589" s="268">
        <v>146.41800000000001</v>
      </c>
      <c r="L589" s="293">
        <v>152.99600000000001</v>
      </c>
      <c r="M589" s="751">
        <v>126.6454607445169</v>
      </c>
      <c r="N589" s="748">
        <v>128.2287222895057</v>
      </c>
      <c r="O589" s="268">
        <v>267.05399999999997</v>
      </c>
      <c r="P589" s="3513">
        <v>266.61399999999998</v>
      </c>
      <c r="Q589" s="268">
        <v>217.9</v>
      </c>
      <c r="R589" s="3766">
        <v>124</v>
      </c>
      <c r="S589" s="1470"/>
    </row>
    <row r="590" spans="1:19">
      <c r="A590" s="1468">
        <f t="shared" si="2"/>
        <v>2021.05</v>
      </c>
      <c r="B590" s="1559">
        <v>111.2252</v>
      </c>
      <c r="C590" s="3711">
        <v>101.9286</v>
      </c>
      <c r="D590" s="1560">
        <v>122.40179999999999</v>
      </c>
      <c r="E590" s="1561">
        <v>104.2111</v>
      </c>
      <c r="F590" s="3711">
        <v>111.1669</v>
      </c>
      <c r="G590" s="1560">
        <v>97.499600000000001</v>
      </c>
      <c r="H590" s="1561">
        <v>96.19</v>
      </c>
      <c r="I590" s="1561">
        <v>94.004210526315788</v>
      </c>
      <c r="J590" s="1561">
        <v>150.94999999999999</v>
      </c>
      <c r="K590" s="268">
        <v>156.03157894736839</v>
      </c>
      <c r="L590" s="293">
        <v>161.5221052631579</v>
      </c>
      <c r="M590" s="751">
        <v>128</v>
      </c>
      <c r="N590" s="748">
        <v>129.74623578582549</v>
      </c>
      <c r="O590" s="268">
        <v>269.19499999999999</v>
      </c>
      <c r="P590" s="3513">
        <v>268.38299999999998</v>
      </c>
      <c r="Q590" s="268">
        <v>224.9</v>
      </c>
      <c r="R590" s="3766">
        <v>125.3</v>
      </c>
      <c r="S590" s="1470"/>
    </row>
    <row r="591" spans="1:19">
      <c r="A591" s="1468">
        <f t="shared" si="2"/>
        <v>2021.06</v>
      </c>
      <c r="B591" s="1559">
        <v>111.58880000000001</v>
      </c>
      <c r="C591" s="3711">
        <v>102.72620000000001</v>
      </c>
      <c r="D591" s="1560">
        <v>122.2996</v>
      </c>
      <c r="E591" s="1561">
        <v>105.1609</v>
      </c>
      <c r="F591" s="3711">
        <v>112.7029</v>
      </c>
      <c r="G591" s="1560">
        <v>97.974599999999995</v>
      </c>
      <c r="H591" s="1561">
        <v>98.17</v>
      </c>
      <c r="I591" s="1561">
        <v>95.085555555555558</v>
      </c>
      <c r="J591" s="1561">
        <v>159.5</v>
      </c>
      <c r="K591" s="268">
        <v>161.36523809523811</v>
      </c>
      <c r="L591" s="293">
        <v>167.61380952380949</v>
      </c>
      <c r="M591" s="751">
        <v>130.4634376995453</v>
      </c>
      <c r="N591" s="748">
        <v>128.77287800378099</v>
      </c>
      <c r="O591" s="268">
        <v>271.69600000000003</v>
      </c>
      <c r="P591" s="3513">
        <v>270.654</v>
      </c>
      <c r="Q591" s="268">
        <v>228.9</v>
      </c>
      <c r="R591" s="3766">
        <v>126.2</v>
      </c>
      <c r="S591" s="1470"/>
    </row>
    <row r="592" spans="1:19">
      <c r="A592" s="1468">
        <f t="shared" si="2"/>
        <v>2021.07</v>
      </c>
      <c r="B592" s="1559">
        <v>113.07210000000001</v>
      </c>
      <c r="C592" s="3711">
        <v>104.59650000000001</v>
      </c>
      <c r="D592" s="1560">
        <v>123.3826</v>
      </c>
      <c r="E592" s="1561">
        <v>106.6587</v>
      </c>
      <c r="F592" s="3711">
        <v>114.8934</v>
      </c>
      <c r="G592" s="1560">
        <v>98.911299999999997</v>
      </c>
      <c r="H592" s="1561">
        <v>99.1</v>
      </c>
      <c r="I592" s="1561">
        <v>96.134761904761888</v>
      </c>
      <c r="J592" s="1561">
        <v>175.97826086956522</v>
      </c>
      <c r="K592" s="268">
        <v>168.08</v>
      </c>
      <c r="L592" s="293">
        <v>176.7885714285714</v>
      </c>
      <c r="M592" s="751">
        <v>133.0305617614716</v>
      </c>
      <c r="N592" s="748">
        <v>135.15144490759101</v>
      </c>
      <c r="O592" s="268">
        <v>273.00299999999999</v>
      </c>
      <c r="P592" s="3513">
        <v>271.90300000000002</v>
      </c>
      <c r="Q592" s="268">
        <v>231.85</v>
      </c>
      <c r="R592" s="3766">
        <v>127.486</v>
      </c>
      <c r="S592" s="1470"/>
    </row>
    <row r="593" spans="1:23">
      <c r="A593" s="1468">
        <f t="shared" si="2"/>
        <v>2021.08</v>
      </c>
      <c r="B593" s="1559">
        <v>113.41240000000001</v>
      </c>
      <c r="C593" s="3711">
        <v>104.9485</v>
      </c>
      <c r="D593" s="1560">
        <v>123.71420000000001</v>
      </c>
      <c r="E593" s="1561">
        <v>106.9646</v>
      </c>
      <c r="F593" s="3711">
        <v>115.14570000000001</v>
      </c>
      <c r="G593" s="1560">
        <v>99.255099999999999</v>
      </c>
      <c r="H593" s="1561">
        <v>100.2</v>
      </c>
      <c r="I593" s="1561">
        <v>97.110952380952384</v>
      </c>
      <c r="J593" s="1561">
        <v>178.37878787878788</v>
      </c>
      <c r="K593" s="268">
        <v>170.96523809523811</v>
      </c>
      <c r="L593" s="293">
        <v>177.9680952380952</v>
      </c>
      <c r="M593" s="751">
        <v>139.04499999999999</v>
      </c>
      <c r="N593" s="748">
        <v>138.5418935711408</v>
      </c>
      <c r="O593" s="268">
        <v>273.56700000000001</v>
      </c>
      <c r="P593" s="3513">
        <v>272.67599999999999</v>
      </c>
      <c r="Q593" s="268">
        <v>233.41499999999999</v>
      </c>
      <c r="R593" s="3766">
        <v>128.60300000000001</v>
      </c>
      <c r="S593" s="1470"/>
      <c r="V593" s="1470"/>
      <c r="W593" s="1470"/>
    </row>
    <row r="594" spans="1:23">
      <c r="A594" s="1468">
        <f t="shared" si="2"/>
        <v>2021.09</v>
      </c>
      <c r="B594" s="1559">
        <v>113.4532</v>
      </c>
      <c r="C594" s="3711">
        <v>105.2595</v>
      </c>
      <c r="D594" s="1560">
        <v>123.4676</v>
      </c>
      <c r="E594" s="1561">
        <v>107.1324</v>
      </c>
      <c r="F594" s="3711">
        <v>115.48099999999999</v>
      </c>
      <c r="G594" s="1560">
        <v>99.290300000000002</v>
      </c>
      <c r="H594" s="1561">
        <v>101.3</v>
      </c>
      <c r="I594" s="1561">
        <v>98.179090909090917</v>
      </c>
      <c r="J594" s="1561">
        <v>182.36363636363637</v>
      </c>
      <c r="K594" s="268">
        <v>175.61500000000001</v>
      </c>
      <c r="L594" s="293">
        <v>184.36</v>
      </c>
      <c r="M594" s="751">
        <v>143</v>
      </c>
      <c r="N594" s="748">
        <v>146.8767748523334</v>
      </c>
      <c r="O594" s="268">
        <v>274.31</v>
      </c>
      <c r="P594" s="3513">
        <v>273.91000000000003</v>
      </c>
      <c r="Q594" s="268">
        <v>235.678</v>
      </c>
      <c r="R594" s="3766">
        <v>129.226</v>
      </c>
      <c r="S594" s="1470"/>
      <c r="V594" s="1470"/>
      <c r="W594" s="1470"/>
    </row>
    <row r="595" spans="1:23">
      <c r="A595" s="1468">
        <f t="shared" si="2"/>
        <v>2021.1</v>
      </c>
      <c r="B595" s="1559">
        <v>114.0758</v>
      </c>
      <c r="C595" s="3711">
        <v>105.6189</v>
      </c>
      <c r="D595" s="1560">
        <v>124.37739999999999</v>
      </c>
      <c r="E595" s="1561">
        <v>108.0581</v>
      </c>
      <c r="F595" s="3711">
        <v>116.367</v>
      </c>
      <c r="G595" s="1560">
        <v>100.2355</v>
      </c>
      <c r="H595" s="1561">
        <v>102.3</v>
      </c>
      <c r="I595" s="1561">
        <v>99.149473684210506</v>
      </c>
      <c r="J595" s="1561">
        <v>187.31578947368422</v>
      </c>
      <c r="K595" s="268">
        <v>187.75</v>
      </c>
      <c r="L595" s="293">
        <v>196.42052631578949</v>
      </c>
      <c r="M595" s="751">
        <v>149.02000000000001</v>
      </c>
      <c r="N595" s="748">
        <v>150.0817772898836</v>
      </c>
      <c r="O595" s="268">
        <v>276.589</v>
      </c>
      <c r="P595" s="3513">
        <v>276.55</v>
      </c>
      <c r="Q595" s="268">
        <v>240.465</v>
      </c>
      <c r="R595" s="3766">
        <v>130.04499999999999</v>
      </c>
      <c r="S595" s="1470"/>
      <c r="V595" s="1470"/>
      <c r="W595" s="1470"/>
    </row>
    <row r="596" spans="1:23">
      <c r="A596" s="1468">
        <f t="shared" si="2"/>
        <v>2021.11</v>
      </c>
      <c r="B596" s="1559">
        <v>115.00360000000001</v>
      </c>
      <c r="C596" s="3711">
        <v>106.9534</v>
      </c>
      <c r="D596" s="1560">
        <v>124.88509999999999</v>
      </c>
      <c r="E596" s="1561">
        <v>109.14619999999999</v>
      </c>
      <c r="F596" s="3711">
        <v>118.0796</v>
      </c>
      <c r="G596" s="1560">
        <v>100.8244</v>
      </c>
      <c r="H596" s="1561">
        <v>103.3</v>
      </c>
      <c r="I596" s="1561">
        <v>100.21238095238093</v>
      </c>
      <c r="J596" s="1561">
        <v>198.52380952380952</v>
      </c>
      <c r="K596" s="268">
        <v>202.09</v>
      </c>
      <c r="L596" s="293">
        <v>214.50380952380951</v>
      </c>
      <c r="M596" s="751">
        <v>154.505</v>
      </c>
      <c r="N596" s="748">
        <v>155.36740245944961</v>
      </c>
      <c r="O596" s="268">
        <v>277.94799999999998</v>
      </c>
      <c r="P596" s="3513">
        <v>278.91899999999998</v>
      </c>
      <c r="Q596" s="268">
        <v>243.28700000000001</v>
      </c>
      <c r="R596" s="3766">
        <v>131.47499999999999</v>
      </c>
      <c r="S596" s="1470"/>
      <c r="V596" s="1470"/>
      <c r="W596" s="1470"/>
    </row>
    <row r="597" spans="1:23">
      <c r="A597" s="1468">
        <f t="shared" si="2"/>
        <v>2021.12</v>
      </c>
      <c r="B597" s="1559">
        <v>115.8172</v>
      </c>
      <c r="C597" s="3711">
        <v>108.1473</v>
      </c>
      <c r="D597" s="1560">
        <v>125.3066</v>
      </c>
      <c r="E597" s="1561">
        <v>110.3319</v>
      </c>
      <c r="F597" s="3711">
        <v>119.7431</v>
      </c>
      <c r="G597" s="1560">
        <v>101.6262</v>
      </c>
      <c r="H597" s="1561">
        <v>104.8</v>
      </c>
      <c r="I597" s="1561">
        <v>101.78600000000002</v>
      </c>
      <c r="J597" s="1561">
        <v>198.5</v>
      </c>
      <c r="K597" s="268">
        <v>197.87888888888889</v>
      </c>
      <c r="L597" s="293">
        <v>207.81899999999999</v>
      </c>
      <c r="M597" s="751">
        <v>163.7438682036352</v>
      </c>
      <c r="N597" s="748">
        <v>160.7209053044418</v>
      </c>
      <c r="O597" s="268">
        <v>278.80200000000002</v>
      </c>
      <c r="P597" s="3513">
        <v>280.84500000000003</v>
      </c>
      <c r="Q597" s="268">
        <v>241.33799999999999</v>
      </c>
      <c r="R597" s="3766">
        <v>132.26</v>
      </c>
      <c r="S597" s="1470"/>
      <c r="V597" s="1470"/>
      <c r="W597" s="1470"/>
    </row>
    <row r="598" spans="1:23">
      <c r="A598" s="1468">
        <f t="shared" si="2"/>
        <v>2022.01</v>
      </c>
      <c r="B598" s="1559">
        <v>115.05070000000001</v>
      </c>
      <c r="C598" s="3711">
        <v>107.5673</v>
      </c>
      <c r="D598" s="1560">
        <v>124.3387</v>
      </c>
      <c r="E598" s="1561">
        <v>109.7051</v>
      </c>
      <c r="F598" s="3711">
        <v>118.95650000000001</v>
      </c>
      <c r="G598" s="1560">
        <v>101.1328</v>
      </c>
      <c r="H598" s="1561">
        <v>107.5</v>
      </c>
      <c r="I598" s="1561">
        <v>103.88809523809526</v>
      </c>
      <c r="J598" s="1561">
        <v>210.02380952380952</v>
      </c>
      <c r="K598" s="268">
        <v>207.52238095238101</v>
      </c>
      <c r="L598" s="293">
        <v>215.98</v>
      </c>
      <c r="M598" s="751">
        <v>163.93212285210089</v>
      </c>
      <c r="N598" s="748">
        <v>162.8331764077281</v>
      </c>
      <c r="O598" s="268">
        <v>281.14800000000002</v>
      </c>
      <c r="P598" s="3513">
        <v>282.54300000000001</v>
      </c>
      <c r="Q598" s="268">
        <v>246.453</v>
      </c>
      <c r="R598" s="3766">
        <v>133.529</v>
      </c>
      <c r="S598" s="1470"/>
      <c r="V598" s="1470"/>
      <c r="W598" s="1470"/>
    </row>
    <row r="599" spans="1:23">
      <c r="A599" s="1468">
        <f t="shared" si="2"/>
        <v>2022.02</v>
      </c>
      <c r="B599" s="1559">
        <v>115.0057</v>
      </c>
      <c r="C599" s="3711">
        <v>107.7568</v>
      </c>
      <c r="D599" s="1560">
        <v>124.0419</v>
      </c>
      <c r="E599" s="1561">
        <v>109.7814</v>
      </c>
      <c r="F599" s="3711">
        <v>119.27679999999999</v>
      </c>
      <c r="G599" s="1560">
        <v>101.01560000000001</v>
      </c>
      <c r="H599" s="1561">
        <v>110</v>
      </c>
      <c r="I599" s="1561">
        <v>106.20473684210526</v>
      </c>
      <c r="J599" s="1561">
        <v>211.68421052631578</v>
      </c>
      <c r="K599" s="268">
        <v>204.91263157894741</v>
      </c>
      <c r="L599" s="293">
        <v>211.79210526315791</v>
      </c>
      <c r="M599" s="751">
        <v>163.065</v>
      </c>
      <c r="N599" s="748">
        <v>163.47949848782289</v>
      </c>
      <c r="O599" s="268">
        <v>283.71600000000001</v>
      </c>
      <c r="P599" s="3513">
        <v>284.5</v>
      </c>
      <c r="Q599" s="268">
        <v>252.66</v>
      </c>
      <c r="R599" s="3766">
        <v>134.77099999999999</v>
      </c>
      <c r="S599" s="1470"/>
      <c r="V599" s="1470"/>
      <c r="W599" s="1470"/>
    </row>
    <row r="600" spans="1:23">
      <c r="A600" s="1468">
        <f t="shared" si="2"/>
        <v>2022.03</v>
      </c>
      <c r="B600" s="1559">
        <v>116.2984</v>
      </c>
      <c r="C600" s="3711">
        <v>109.6053</v>
      </c>
      <c r="D600" s="1560">
        <v>124.7578</v>
      </c>
      <c r="E600" s="1561">
        <v>110.9971</v>
      </c>
      <c r="F600" s="3711">
        <v>121.0998</v>
      </c>
      <c r="G600" s="1560">
        <v>101.74039999999999</v>
      </c>
      <c r="H600" s="1561">
        <v>113.5</v>
      </c>
      <c r="I600" s="1561">
        <v>109.35523809523811</v>
      </c>
      <c r="J600" s="1561">
        <v>199.67</v>
      </c>
      <c r="K600" s="293">
        <v>194.67388888888891</v>
      </c>
      <c r="L600" s="293">
        <v>196.14</v>
      </c>
      <c r="M600" s="751">
        <v>168</v>
      </c>
      <c r="N600" s="748">
        <v>168.94</v>
      </c>
      <c r="O600" s="268">
        <v>287.50400000000002</v>
      </c>
      <c r="P600" s="3513">
        <v>287.67399999999998</v>
      </c>
      <c r="Q600" s="268">
        <v>260.01400000000001</v>
      </c>
      <c r="R600" s="3766">
        <v>137.03700000000001</v>
      </c>
      <c r="S600" s="1470"/>
      <c r="V600" s="1470"/>
      <c r="W600" s="1470"/>
    </row>
    <row r="601" spans="1:23">
      <c r="A601" s="1468">
        <f t="shared" si="2"/>
        <v>2022.04</v>
      </c>
      <c r="B601" s="1559">
        <v>117.17019999999999</v>
      </c>
      <c r="C601" s="3711">
        <v>111.5351</v>
      </c>
      <c r="D601" s="1560">
        <v>124.53100000000001</v>
      </c>
      <c r="E601" s="1561">
        <v>111.6022</v>
      </c>
      <c r="F601" s="3711">
        <v>123.1602</v>
      </c>
      <c r="G601" s="1560">
        <v>101.2132</v>
      </c>
      <c r="H601" s="1561">
        <v>117</v>
      </c>
      <c r="I601" s="1561">
        <v>113.23736842105264</v>
      </c>
      <c r="J601" s="1561">
        <v>197.73684210526315</v>
      </c>
      <c r="K601" s="293">
        <v>197.12157894736839</v>
      </c>
      <c r="L601" s="293">
        <v>197.3915789473684</v>
      </c>
      <c r="M601" s="751">
        <v>176.75054549597519</v>
      </c>
      <c r="N601" s="748">
        <v>174.07208554910011</v>
      </c>
      <c r="O601" s="268">
        <v>289.10899999999998</v>
      </c>
      <c r="P601" s="3513">
        <v>288.56099999999998</v>
      </c>
      <c r="Q601" s="268">
        <v>265.31</v>
      </c>
      <c r="R601" s="3766">
        <v>137.773</v>
      </c>
      <c r="S601" s="1470"/>
      <c r="V601" s="1470"/>
      <c r="W601" s="1470"/>
    </row>
    <row r="602" spans="1:23">
      <c r="A602" s="1468">
        <f t="shared" si="2"/>
        <v>2022.05</v>
      </c>
      <c r="B602" s="1559">
        <v>119.6926</v>
      </c>
      <c r="C602" s="3711">
        <v>114.253</v>
      </c>
      <c r="D602" s="1560">
        <v>126.8835</v>
      </c>
      <c r="E602" s="1561">
        <v>114.24169999999999</v>
      </c>
      <c r="F602" s="3711">
        <v>126.32989999999999</v>
      </c>
      <c r="G602" s="1560">
        <v>103.411</v>
      </c>
      <c r="H602" s="1561">
        <v>122.6</v>
      </c>
      <c r="I602" s="1561">
        <v>117.67449999999999</v>
      </c>
      <c r="J602" s="1561">
        <v>202.35</v>
      </c>
      <c r="K602" s="293">
        <v>208.68450000000001</v>
      </c>
      <c r="L602" s="293">
        <v>210.25</v>
      </c>
      <c r="M602" s="751">
        <v>186.85</v>
      </c>
      <c r="N602" s="748">
        <v>187.37967602311491</v>
      </c>
      <c r="O602" s="268">
        <v>292.29599999999999</v>
      </c>
      <c r="P602" s="3513">
        <v>291.298</v>
      </c>
      <c r="Q602" s="268">
        <v>273.25099999999998</v>
      </c>
      <c r="R602" s="3766">
        <v>139.01300000000001</v>
      </c>
      <c r="S602" s="1470"/>
      <c r="V602" s="1470"/>
      <c r="W602" s="1470"/>
    </row>
    <row r="603" spans="1:23">
      <c r="A603" s="1468">
        <f t="shared" si="2"/>
        <v>2022.06</v>
      </c>
      <c r="B603" s="1559">
        <v>120.0269</v>
      </c>
      <c r="C603" s="3711">
        <v>114.6669</v>
      </c>
      <c r="D603" s="1560">
        <v>127.1401</v>
      </c>
      <c r="E603" s="1561">
        <v>115.2373</v>
      </c>
      <c r="F603" s="3711">
        <v>127.5629</v>
      </c>
      <c r="G603" s="1560">
        <v>104.2118</v>
      </c>
      <c r="H603" s="1561">
        <v>127</v>
      </c>
      <c r="I603" s="1561">
        <v>122.64250000000001</v>
      </c>
      <c r="J603" s="1561">
        <v>216.45</v>
      </c>
      <c r="K603" s="293">
        <v>225.95599999999999</v>
      </c>
      <c r="L603" s="293">
        <v>231.15100000000001</v>
      </c>
      <c r="M603" s="751">
        <v>197.5</v>
      </c>
      <c r="N603" s="748">
        <v>200.19710119463781</v>
      </c>
      <c r="O603" s="268">
        <v>296.31099999999998</v>
      </c>
      <c r="P603" s="3513">
        <v>294.95699999999999</v>
      </c>
      <c r="Q603" s="268">
        <v>280.25099999999998</v>
      </c>
      <c r="R603" s="3766">
        <v>140.273</v>
      </c>
      <c r="S603" s="1470"/>
      <c r="V603" s="1470"/>
      <c r="W603" s="1470"/>
    </row>
    <row r="604" spans="1:23">
      <c r="A604" s="1468">
        <f t="shared" si="2"/>
        <v>2022.07</v>
      </c>
      <c r="B604" s="1559">
        <v>122.76090000000001</v>
      </c>
      <c r="C604" s="3711">
        <v>117.5436</v>
      </c>
      <c r="D604" s="1560">
        <v>129.7638</v>
      </c>
      <c r="E604" s="1561">
        <v>117.25539999999999</v>
      </c>
      <c r="F604" s="3711">
        <v>130.21369999999999</v>
      </c>
      <c r="G604" s="1560">
        <v>105.72110000000001</v>
      </c>
      <c r="H604" s="1561">
        <v>135</v>
      </c>
      <c r="I604" s="1561">
        <v>128.45189999999999</v>
      </c>
      <c r="J604" s="1561">
        <v>285.89999999999998</v>
      </c>
      <c r="K604" s="293">
        <v>292.02999999999997</v>
      </c>
      <c r="L604" s="293">
        <v>302.50619047619051</v>
      </c>
      <c r="M604" s="751">
        <v>228.29</v>
      </c>
      <c r="N604" s="748">
        <v>231.16046930442991</v>
      </c>
      <c r="O604" s="268">
        <v>296.27600000000001</v>
      </c>
      <c r="P604" s="3513">
        <v>294.91300000000001</v>
      </c>
      <c r="Q604" s="268">
        <v>272.274</v>
      </c>
      <c r="R604" s="3766">
        <v>139.83699999999999</v>
      </c>
      <c r="S604" s="1470"/>
      <c r="V604" s="1470"/>
      <c r="W604" s="1470"/>
    </row>
    <row r="605" spans="1:23">
      <c r="A605" s="1468">
        <f t="shared" si="2"/>
        <v>2022.08</v>
      </c>
      <c r="B605" s="1559">
        <v>122.3262</v>
      </c>
      <c r="C605" s="3711">
        <v>117.414</v>
      </c>
      <c r="D605" s="1560">
        <v>129.01240000000001</v>
      </c>
      <c r="E605" s="1561">
        <v>116.6904</v>
      </c>
      <c r="F605" s="3711">
        <v>129.7175</v>
      </c>
      <c r="G605" s="1560">
        <v>105.1126</v>
      </c>
      <c r="H605" s="1561">
        <v>142.80000000000001</v>
      </c>
      <c r="I605" s="1561">
        <v>135.20409090000001</v>
      </c>
      <c r="J605" s="1561">
        <v>289.11363636363637</v>
      </c>
      <c r="K605" s="293">
        <v>282.38272727272732</v>
      </c>
      <c r="L605" s="293">
        <v>290.83333333333331</v>
      </c>
      <c r="M605" s="751">
        <v>237.91249999999999</v>
      </c>
      <c r="N605" s="748">
        <v>239.0929152370652</v>
      </c>
      <c r="O605" s="268">
        <v>296.17099999999999</v>
      </c>
      <c r="P605" s="3513">
        <v>295.09699999999998</v>
      </c>
      <c r="Q605" s="268">
        <v>269.54599999999999</v>
      </c>
      <c r="R605" s="3766">
        <v>139.755</v>
      </c>
      <c r="S605" s="1470"/>
      <c r="V605" s="1470"/>
      <c r="W605" s="1470"/>
    </row>
    <row r="606" spans="1:23">
      <c r="A606" s="1468">
        <f t="shared" si="2"/>
        <v>2022.09</v>
      </c>
      <c r="B606" s="1559">
        <v>125.59990000000001</v>
      </c>
      <c r="C606" s="3711">
        <v>121.3802</v>
      </c>
      <c r="D606" s="1560">
        <v>131.62780000000001</v>
      </c>
      <c r="E606" s="1561">
        <v>119.5428</v>
      </c>
      <c r="F606" s="3711">
        <v>133.62520000000001</v>
      </c>
      <c r="G606" s="1560">
        <v>107.1297</v>
      </c>
      <c r="H606" s="1561">
        <v>150.30000000000001</v>
      </c>
      <c r="I606" s="1561">
        <v>143.346</v>
      </c>
      <c r="J606" s="1561">
        <v>279.73913043478262</v>
      </c>
      <c r="K606" s="293">
        <v>286.21136363636361</v>
      </c>
      <c r="L606" s="293">
        <v>296.58363636363629</v>
      </c>
      <c r="M606" s="751">
        <v>269.2</v>
      </c>
      <c r="N606" s="748">
        <v>268.68874224102473</v>
      </c>
      <c r="O606" s="268">
        <v>296.80799999999999</v>
      </c>
      <c r="P606" s="3513">
        <v>296.34899999999999</v>
      </c>
      <c r="Q606" s="268">
        <v>267.89800000000002</v>
      </c>
      <c r="R606" s="3766">
        <v>140.19999999999999</v>
      </c>
      <c r="S606" s="1470"/>
      <c r="V606" s="1470"/>
      <c r="W606" s="1470"/>
    </row>
    <row r="607" spans="1:23">
      <c r="A607" s="1468">
        <f t="shared" si="2"/>
        <v>2022.1</v>
      </c>
      <c r="B607" s="1559">
        <v>127.4828</v>
      </c>
      <c r="C607" s="3711">
        <v>123.15989999999999</v>
      </c>
      <c r="D607" s="1560">
        <v>133.6421</v>
      </c>
      <c r="E607" s="1561">
        <v>121.127</v>
      </c>
      <c r="F607" s="3711">
        <v>135.03290000000001</v>
      </c>
      <c r="G607" s="1560">
        <v>108.82089999999999</v>
      </c>
      <c r="H607" s="1561">
        <v>159.4</v>
      </c>
      <c r="I607" s="1561">
        <v>152.48947368421051</v>
      </c>
      <c r="J607" s="1561">
        <v>286.15789473684208</v>
      </c>
      <c r="K607" s="293">
        <v>294.46947368421053</v>
      </c>
      <c r="L607" s="293">
        <v>307.18105263157901</v>
      </c>
      <c r="M607" s="751">
        <v>284.39999999999998</v>
      </c>
      <c r="N607" s="748">
        <v>290.98362148150602</v>
      </c>
      <c r="O607" s="268">
        <v>298.012</v>
      </c>
      <c r="P607" s="3513">
        <v>298.00700000000001</v>
      </c>
      <c r="Q607" s="268">
        <v>265.06099999999998</v>
      </c>
      <c r="R607" s="3766">
        <v>140.68100000000001</v>
      </c>
      <c r="S607" s="1470"/>
      <c r="V607" s="1470"/>
      <c r="W607" s="1470"/>
    </row>
    <row r="608" spans="1:23">
      <c r="A608" s="1468">
        <f t="shared" si="2"/>
        <v>2022.11</v>
      </c>
      <c r="B608" s="1559">
        <v>124.8627</v>
      </c>
      <c r="C608" s="3711">
        <v>119.6758</v>
      </c>
      <c r="D608" s="1560">
        <v>131.86529999999999</v>
      </c>
      <c r="E608" s="1561">
        <v>118.5373</v>
      </c>
      <c r="F608" s="3711">
        <v>130.9915</v>
      </c>
      <c r="G608" s="1560">
        <v>107.36669999999999</v>
      </c>
      <c r="H608" s="1561">
        <v>170.1</v>
      </c>
      <c r="I608" s="1561">
        <v>162.02333333333334</v>
      </c>
      <c r="J608" s="1561">
        <v>300.26086956521738</v>
      </c>
      <c r="K608" s="293">
        <v>303.54619047619047</v>
      </c>
      <c r="L608" s="293">
        <v>316.28619047619048</v>
      </c>
      <c r="M608" s="751">
        <v>301.5288111500372</v>
      </c>
      <c r="N608" s="748">
        <v>309.36834163881048</v>
      </c>
      <c r="O608" s="268">
        <v>297.71100000000001</v>
      </c>
      <c r="P608" s="3513">
        <v>298.786</v>
      </c>
      <c r="Q608" s="268">
        <v>263.15699999999998</v>
      </c>
      <c r="R608" s="3766">
        <v>141.16</v>
      </c>
      <c r="S608" s="1470"/>
      <c r="V608" s="1470"/>
      <c r="W608" s="1470"/>
    </row>
    <row r="609" spans="1:24">
      <c r="A609" s="1468">
        <f t="shared" si="2"/>
        <v>2022.12</v>
      </c>
      <c r="B609" s="1559">
        <v>122.24760000000001</v>
      </c>
      <c r="C609" s="3711">
        <v>116.5498</v>
      </c>
      <c r="D609" s="1560">
        <v>129.73910000000001</v>
      </c>
      <c r="E609" s="1561">
        <v>116.0668</v>
      </c>
      <c r="F609" s="3711">
        <v>127.68689999999999</v>
      </c>
      <c r="G609" s="1560">
        <v>105.5689</v>
      </c>
      <c r="H609" s="1561">
        <v>180.1</v>
      </c>
      <c r="I609" s="1561">
        <v>172.69686842105264</v>
      </c>
      <c r="J609" s="1561">
        <v>325.85000000000002</v>
      </c>
      <c r="K609" s="293">
        <v>324.92450000000002</v>
      </c>
      <c r="L609" s="293">
        <v>334.37849999999997</v>
      </c>
      <c r="M609" s="751">
        <v>328.32</v>
      </c>
      <c r="N609" s="748">
        <v>331.01</v>
      </c>
      <c r="O609" s="268">
        <v>296.79700000000003</v>
      </c>
      <c r="P609" s="3513">
        <v>298.83199999999999</v>
      </c>
      <c r="Q609" s="268">
        <v>257.89699999999999</v>
      </c>
      <c r="R609" s="3766">
        <v>140.69399999999999</v>
      </c>
      <c r="S609" s="1470"/>
      <c r="V609" s="1470"/>
      <c r="W609" s="1470"/>
      <c r="X609" s="1470"/>
    </row>
    <row r="610" spans="1:24">
      <c r="A610" s="1468">
        <f t="shared" si="2"/>
        <v>2023.01</v>
      </c>
      <c r="B610" s="1559">
        <v>119.8133</v>
      </c>
      <c r="C610" s="3711">
        <v>114.7033</v>
      </c>
      <c r="D610" s="1560">
        <v>126.6658</v>
      </c>
      <c r="E610" s="1561">
        <v>113.991</v>
      </c>
      <c r="F610" s="3711">
        <v>125.8442</v>
      </c>
      <c r="G610" s="1560">
        <v>103.3428</v>
      </c>
      <c r="H610" s="1561">
        <v>190</v>
      </c>
      <c r="I610" s="1561">
        <v>182.14454545454544</v>
      </c>
      <c r="J610" s="1561">
        <v>366.19</v>
      </c>
      <c r="K610" s="293">
        <v>341.09636363636372</v>
      </c>
      <c r="L610" s="293">
        <v>352.65090909090912</v>
      </c>
      <c r="M610" s="751">
        <v>357.96</v>
      </c>
      <c r="N610" s="748">
        <v>367.37635146951061</v>
      </c>
      <c r="O610" s="268">
        <v>299.17</v>
      </c>
      <c r="P610" s="3513">
        <v>300.42</v>
      </c>
      <c r="Q610" s="268">
        <v>260.22699999999998</v>
      </c>
      <c r="R610" s="3766">
        <v>141.203</v>
      </c>
      <c r="S610" s="1470"/>
      <c r="V610" s="1470"/>
      <c r="W610" s="1470"/>
      <c r="X610" s="1470"/>
    </row>
    <row r="611" spans="1:24">
      <c r="A611" s="1468">
        <f t="shared" si="2"/>
        <v>2023.02</v>
      </c>
      <c r="B611" s="1559">
        <v>120.3366</v>
      </c>
      <c r="C611" s="3711">
        <v>115.553</v>
      </c>
      <c r="D611" s="1560">
        <v>126.8622</v>
      </c>
      <c r="E611" s="1561">
        <v>114.5578</v>
      </c>
      <c r="F611" s="3711">
        <v>126.7779</v>
      </c>
      <c r="G611" s="1560">
        <v>103.6217</v>
      </c>
      <c r="H611" s="1561">
        <v>200</v>
      </c>
      <c r="I611" s="1561">
        <v>191.78777777777779</v>
      </c>
      <c r="J611" s="1561">
        <v>375.94</v>
      </c>
      <c r="K611" s="293">
        <v>355.57888888888891</v>
      </c>
      <c r="L611" s="293">
        <v>367.80888888888887</v>
      </c>
      <c r="M611" s="751">
        <v>409</v>
      </c>
      <c r="N611" s="748">
        <v>421.45002642620739</v>
      </c>
      <c r="O611" s="268">
        <v>300.83999999999997</v>
      </c>
      <c r="P611" s="3513">
        <v>301.45</v>
      </c>
      <c r="Q611" s="268">
        <v>258.66899999999998</v>
      </c>
      <c r="R611" s="3766">
        <v>141.13499999999999</v>
      </c>
      <c r="S611" s="1470"/>
      <c r="V611" s="1470"/>
      <c r="W611" s="1470"/>
      <c r="X611" s="1470"/>
    </row>
    <row r="612" spans="1:24">
      <c r="A612" s="1468">
        <f t="shared" si="2"/>
        <v>2023.03</v>
      </c>
      <c r="B612" s="3711">
        <v>120.80710000000001</v>
      </c>
      <c r="C612" s="3711">
        <v>116.1593</v>
      </c>
      <c r="D612" s="1560">
        <v>127.2021</v>
      </c>
      <c r="E612" s="1561">
        <v>114.7621</v>
      </c>
      <c r="F612" s="3711">
        <v>127.1828</v>
      </c>
      <c r="G612" s="1560">
        <v>103.6707</v>
      </c>
      <c r="H612" s="1561">
        <v>211</v>
      </c>
      <c r="I612" s="1561">
        <v>202.95090909090911</v>
      </c>
      <c r="J612" s="1561">
        <v>380.195652173913</v>
      </c>
      <c r="K612" s="268">
        <v>379.08954545454537</v>
      </c>
      <c r="L612" s="268">
        <v>390.34318181818179</v>
      </c>
      <c r="M612" s="751">
        <v>455</v>
      </c>
      <c r="N612" s="748">
        <v>466.08416334371873</v>
      </c>
      <c r="O612" s="268">
        <v>301.83600000000001</v>
      </c>
      <c r="P612" s="3513">
        <v>301.82100000000003</v>
      </c>
      <c r="Q612" s="268">
        <v>257.06200000000001</v>
      </c>
      <c r="R612" s="3766">
        <v>140.73599999999999</v>
      </c>
      <c r="S612" s="1470"/>
      <c r="V612" s="1470"/>
      <c r="W612" s="1470"/>
      <c r="X612" s="1470"/>
    </row>
    <row r="613" spans="1:24">
      <c r="A613" s="1468">
        <f t="shared" si="2"/>
        <v>2023.04</v>
      </c>
      <c r="B613" s="1559">
        <v>119.37439999999999</v>
      </c>
      <c r="C613" s="3711">
        <v>114.0521</v>
      </c>
      <c r="D613" s="1560">
        <v>126.43980000000001</v>
      </c>
      <c r="E613" s="1561">
        <v>113.5425</v>
      </c>
      <c r="F613" s="3711">
        <v>124.9627</v>
      </c>
      <c r="G613" s="1560">
        <v>103.2323</v>
      </c>
      <c r="H613" s="1561">
        <v>225</v>
      </c>
      <c r="I613" s="268">
        <v>216.36611111111114</v>
      </c>
      <c r="J613" s="293">
        <v>419.79411764705878</v>
      </c>
      <c r="K613" s="293">
        <v>413.42888888888888</v>
      </c>
      <c r="L613" s="293">
        <v>427.54611111111109</v>
      </c>
      <c r="M613" s="751">
        <v>616.5</v>
      </c>
      <c r="N613" s="748">
        <v>617.53683170912586</v>
      </c>
      <c r="O613" s="268">
        <v>303.363</v>
      </c>
      <c r="P613" s="3513">
        <v>302.84500000000003</v>
      </c>
      <c r="Q613" s="268">
        <v>256.90800000000002</v>
      </c>
      <c r="R613" s="3766">
        <v>140.934</v>
      </c>
      <c r="S613" s="1470"/>
      <c r="V613" s="1470"/>
      <c r="W613" s="1470"/>
      <c r="X613" s="1470"/>
    </row>
    <row r="614" spans="1:24">
      <c r="A614" s="1468">
        <f t="shared" si="2"/>
        <v>2023.05</v>
      </c>
      <c r="B614" s="1559">
        <v>119.79559999999999</v>
      </c>
      <c r="C614" s="3711">
        <v>114.874</v>
      </c>
      <c r="D614" s="1560">
        <v>126.45529999999999</v>
      </c>
      <c r="E614" s="1561">
        <v>113.9139</v>
      </c>
      <c r="F614" s="3711">
        <v>125.8818</v>
      </c>
      <c r="G614" s="1560">
        <v>103.17919999999999</v>
      </c>
      <c r="H614" s="1561">
        <v>244</v>
      </c>
      <c r="I614" s="1561">
        <v>231.00750000000002</v>
      </c>
      <c r="J614" s="293">
        <v>477.72727272727275</v>
      </c>
      <c r="K614" s="293">
        <v>446.26299999999998</v>
      </c>
      <c r="L614" s="293">
        <v>474.1395</v>
      </c>
      <c r="M614" s="751">
        <v>659.5</v>
      </c>
      <c r="N614" s="748">
        <v>701.31</v>
      </c>
      <c r="O614" s="268">
        <v>304.12700000000001</v>
      </c>
      <c r="P614" s="3513">
        <v>303.334</v>
      </c>
      <c r="Q614" s="268">
        <v>253.67</v>
      </c>
      <c r="R614" s="3766">
        <v>140.614</v>
      </c>
      <c r="S614" s="1470"/>
      <c r="V614" s="1470"/>
      <c r="W614" s="1470"/>
      <c r="X614" s="1470"/>
    </row>
    <row r="615" spans="1:24">
      <c r="A615" s="1468">
        <f t="shared" si="2"/>
        <v>2023.06</v>
      </c>
      <c r="B615" s="1559">
        <v>119.5789</v>
      </c>
      <c r="C615" s="3711">
        <v>114.7334</v>
      </c>
      <c r="D615" s="1560">
        <v>126.15779999999999</v>
      </c>
      <c r="E615" s="1561">
        <v>113.7539</v>
      </c>
      <c r="F615" s="3711">
        <v>125.7783</v>
      </c>
      <c r="G615" s="1560">
        <v>102.9783</v>
      </c>
      <c r="H615" s="1561">
        <v>265</v>
      </c>
      <c r="I615" s="268">
        <v>248.57499999999999</v>
      </c>
      <c r="J615" s="293">
        <v>487.61904761904759</v>
      </c>
      <c r="K615" s="293">
        <v>475.976</v>
      </c>
      <c r="L615" s="293">
        <v>503.702</v>
      </c>
      <c r="M615" s="751">
        <v>690.92499999999995</v>
      </c>
      <c r="N615" s="748">
        <v>725.06230557511719</v>
      </c>
      <c r="O615" s="268">
        <v>305.10899999999998</v>
      </c>
      <c r="P615" s="3513">
        <v>304.01400000000001</v>
      </c>
      <c r="Q615" s="268">
        <v>253.86</v>
      </c>
      <c r="R615" s="3766">
        <v>140.69800000000001</v>
      </c>
      <c r="S615" s="1470"/>
      <c r="V615" s="1470"/>
      <c r="W615" s="1470"/>
      <c r="X615" s="1470"/>
    </row>
    <row r="616" spans="1:24">
      <c r="A616" s="1468">
        <f t="shared" si="2"/>
        <v>2023.07</v>
      </c>
      <c r="B616" s="1559">
        <v>118.4119</v>
      </c>
      <c r="C616" s="3711">
        <v>113.0386</v>
      </c>
      <c r="D616" s="1560">
        <v>125.518</v>
      </c>
      <c r="E616" s="1561">
        <v>112.46980000000001</v>
      </c>
      <c r="F616" s="3711">
        <v>123.7612</v>
      </c>
      <c r="G616" s="1560">
        <v>102.2731</v>
      </c>
      <c r="H616" s="1561">
        <v>284</v>
      </c>
      <c r="I616" s="268">
        <v>266.22619047619048</v>
      </c>
      <c r="J616" s="293">
        <v>515.02499999999998</v>
      </c>
      <c r="K616" s="293">
        <v>491.28571428571428</v>
      </c>
      <c r="L616" s="293">
        <v>528.00428571428574</v>
      </c>
      <c r="M616" s="751">
        <v>740.28</v>
      </c>
      <c r="N616" s="748">
        <v>787.56791560804925</v>
      </c>
      <c r="O616" s="268">
        <v>305.69099999999997</v>
      </c>
      <c r="P616" s="3513">
        <v>304.60899999999998</v>
      </c>
      <c r="Q616" s="268">
        <v>253.83500000000001</v>
      </c>
      <c r="R616" s="3766">
        <v>141.48500000000001</v>
      </c>
      <c r="S616" s="1470"/>
      <c r="V616" s="1470"/>
      <c r="W616" s="1470"/>
      <c r="X616" s="1470"/>
    </row>
    <row r="617" spans="1:24">
      <c r="A617" s="1468">
        <f t="shared" si="2"/>
        <v>2023.08</v>
      </c>
      <c r="B617" s="1559">
        <v>120.21769999999999</v>
      </c>
      <c r="C617" s="3711">
        <v>115.05459999999999</v>
      </c>
      <c r="D617" s="1560">
        <v>127.1309</v>
      </c>
      <c r="E617" s="1561">
        <v>114.0891</v>
      </c>
      <c r="F617" s="3711">
        <v>126.04510000000001</v>
      </c>
      <c r="G617" s="1560">
        <v>103.3609</v>
      </c>
      <c r="H617" s="1561">
        <v>357</v>
      </c>
      <c r="I617" s="268">
        <v>321.75227272727273</v>
      </c>
      <c r="J617" s="293">
        <v>672.83333333333326</v>
      </c>
      <c r="K617" s="293">
        <v>603.40909090909088</v>
      </c>
      <c r="L617" s="293">
        <v>683.66727272727269</v>
      </c>
      <c r="M617" s="751">
        <v>975.50122448137404</v>
      </c>
      <c r="N617" s="748">
        <v>1000.724810631316</v>
      </c>
      <c r="O617" s="268">
        <v>307.02600000000001</v>
      </c>
      <c r="P617" s="3513">
        <v>306.08199999999999</v>
      </c>
      <c r="Q617" s="268">
        <v>257.68</v>
      </c>
      <c r="R617" s="3766">
        <v>142.40899999999999</v>
      </c>
      <c r="S617" s="1470"/>
      <c r="V617" s="1470"/>
      <c r="W617" s="1470"/>
      <c r="X617" s="1470"/>
    </row>
    <row r="618" spans="1:24">
      <c r="A618" s="1468">
        <f t="shared" si="2"/>
        <v>2023.09</v>
      </c>
      <c r="B618" s="1559">
        <v>121.98269999999999</v>
      </c>
      <c r="C618" s="3711">
        <v>117.04179999999999</v>
      </c>
      <c r="D618" s="1560">
        <v>128.69120000000001</v>
      </c>
      <c r="E618" s="1561">
        <v>115.7954</v>
      </c>
      <c r="F618" s="3711">
        <v>128.29050000000001</v>
      </c>
      <c r="G618" s="1560">
        <v>104.63249999999999</v>
      </c>
      <c r="H618" s="1561">
        <v>357</v>
      </c>
      <c r="I618" s="268">
        <v>349.50476190476195</v>
      </c>
      <c r="J618" s="293">
        <v>734.96428571428567</v>
      </c>
      <c r="K618" s="293">
        <v>679.92619047619053</v>
      </c>
      <c r="L618" s="293">
        <v>758.36571428571426</v>
      </c>
      <c r="M618" s="751">
        <v>1074.76</v>
      </c>
      <c r="N618" s="748">
        <v>1116.653410078464</v>
      </c>
      <c r="O618" s="268">
        <v>307.78899999999999</v>
      </c>
      <c r="P618" s="3513">
        <v>307.27600000000001</v>
      </c>
      <c r="Q618" s="268">
        <v>258.93400000000003</v>
      </c>
      <c r="R618" s="3766">
        <v>142.744</v>
      </c>
      <c r="S618" s="1470"/>
      <c r="V618" s="1470"/>
      <c r="W618" s="1470"/>
      <c r="X618" s="1470"/>
    </row>
    <row r="619" spans="1:24">
      <c r="A619" s="1468">
        <f t="shared" si="2"/>
        <v>2023.1</v>
      </c>
      <c r="B619" s="1559">
        <v>123.7914</v>
      </c>
      <c r="C619" s="3711">
        <v>118.3751</v>
      </c>
      <c r="D619" s="1560">
        <v>131.01249999999999</v>
      </c>
      <c r="E619" s="1561">
        <v>117.41840000000001</v>
      </c>
      <c r="F619" s="3711">
        <v>129.8587</v>
      </c>
      <c r="G619" s="1560">
        <v>106.2739</v>
      </c>
      <c r="H619" s="1561">
        <v>358</v>
      </c>
      <c r="I619" s="268">
        <v>349.51666666666659</v>
      </c>
      <c r="J619" s="293">
        <v>932.4</v>
      </c>
      <c r="K619" s="293">
        <v>837.25149999999996</v>
      </c>
      <c r="L619" s="293">
        <v>912.36149999999998</v>
      </c>
      <c r="M619" s="751">
        <v>1204.9000000000001</v>
      </c>
      <c r="N619" s="748">
        <v>1215.5</v>
      </c>
      <c r="O619" s="268">
        <v>307.67099999999999</v>
      </c>
      <c r="P619" s="3513">
        <v>307.69600000000003</v>
      </c>
      <c r="Q619" s="268">
        <v>255.19200000000001</v>
      </c>
      <c r="R619" s="3766">
        <v>142.249</v>
      </c>
      <c r="S619" s="1470"/>
      <c r="V619" s="1470"/>
      <c r="W619" s="1470"/>
      <c r="X619" s="1470"/>
    </row>
    <row r="620" spans="1:24">
      <c r="A620" s="1468">
        <f t="shared" si="2"/>
        <v>2023.11</v>
      </c>
      <c r="B620" s="1559">
        <v>121.5369</v>
      </c>
      <c r="C620" s="3711">
        <v>116.73269999999999</v>
      </c>
      <c r="D620" s="1560">
        <v>128.09950000000001</v>
      </c>
      <c r="E620" s="1561">
        <v>115.4104</v>
      </c>
      <c r="F620" s="3711">
        <v>128.1799</v>
      </c>
      <c r="G620" s="1560">
        <v>104.0455</v>
      </c>
      <c r="H620" s="1561">
        <v>368</v>
      </c>
      <c r="I620" s="268">
        <v>353.3175</v>
      </c>
      <c r="J620" s="293">
        <v>931.75</v>
      </c>
      <c r="K620" s="293">
        <v>884.04399999999998</v>
      </c>
      <c r="L620" s="293">
        <v>875.54200000000003</v>
      </c>
      <c r="M620" s="751">
        <v>1576</v>
      </c>
      <c r="N620" s="748">
        <v>1652</v>
      </c>
      <c r="O620" s="268">
        <v>307.05099999999999</v>
      </c>
      <c r="P620" s="3513">
        <v>308.14800000000002</v>
      </c>
      <c r="Q620" s="268">
        <v>252.85599999999999</v>
      </c>
      <c r="R620" s="3766">
        <v>142.334</v>
      </c>
      <c r="S620" s="1470"/>
      <c r="V620" s="1470"/>
      <c r="W620" s="1470"/>
      <c r="X620" s="1470"/>
    </row>
    <row r="621" spans="1:24">
      <c r="A621" s="1468">
        <f t="shared" si="2"/>
        <v>2023.12</v>
      </c>
      <c r="B621" s="1559">
        <v>120.1585</v>
      </c>
      <c r="C621" s="3711">
        <v>114.60509999999999</v>
      </c>
      <c r="D621" s="1560">
        <v>127.47499999999999</v>
      </c>
      <c r="E621" s="1561">
        <v>113.8536</v>
      </c>
      <c r="F621" s="3711">
        <v>125.8396</v>
      </c>
      <c r="G621" s="1560">
        <v>103.10590000000001</v>
      </c>
      <c r="H621" s="1561">
        <v>808</v>
      </c>
      <c r="I621" s="268">
        <v>641.93947368421061</v>
      </c>
      <c r="J621" s="293">
        <v>960</v>
      </c>
      <c r="K621" s="293">
        <v>965.09052631578948</v>
      </c>
      <c r="L621" s="293">
        <v>952.57052631578949</v>
      </c>
      <c r="M621" s="751">
        <v>1699.9649999999999</v>
      </c>
      <c r="N621" s="748">
        <v>1779.9040396687319</v>
      </c>
      <c r="O621" s="268">
        <v>306.74599999999998</v>
      </c>
      <c r="P621" s="3513">
        <v>308.74099999999999</v>
      </c>
      <c r="Q621" s="268">
        <v>249.86600000000001</v>
      </c>
      <c r="R621" s="3766">
        <v>142.16499999999999</v>
      </c>
      <c r="S621" s="1470"/>
      <c r="V621" s="1470"/>
      <c r="W621" s="1470"/>
      <c r="X621" s="1470"/>
    </row>
    <row r="622" spans="1:24">
      <c r="A622" s="1468">
        <f t="shared" si="2"/>
        <v>2024.01</v>
      </c>
      <c r="B622" s="1559">
        <v>120.57689999999999</v>
      </c>
      <c r="C622" s="3711">
        <v>114.81619999999999</v>
      </c>
      <c r="D622" s="1560">
        <v>128.11150000000001</v>
      </c>
      <c r="E622" s="1561">
        <v>114.1815</v>
      </c>
      <c r="F622" s="3711">
        <v>126.3323</v>
      </c>
      <c r="G622" s="1560">
        <v>103.3035</v>
      </c>
      <c r="H622" s="1561">
        <v>846</v>
      </c>
      <c r="I622" s="268">
        <v>816.81363636363642</v>
      </c>
      <c r="J622" s="293">
        <v>1141.8</v>
      </c>
      <c r="K622" s="293">
        <v>1161.755454545455</v>
      </c>
      <c r="L622" s="293">
        <v>1208.052272727273</v>
      </c>
      <c r="M622" s="751">
        <v>1770</v>
      </c>
      <c r="N622" s="748">
        <v>1886</v>
      </c>
      <c r="O622" s="268">
        <v>308.41699999999997</v>
      </c>
      <c r="P622" s="3513">
        <v>309.69799999999998</v>
      </c>
      <c r="Q622" s="268">
        <v>251.30600000000001</v>
      </c>
      <c r="R622" s="3766">
        <v>142.57599999999999</v>
      </c>
      <c r="S622" s="1470"/>
      <c r="V622" s="1470"/>
      <c r="W622" s="1470"/>
      <c r="X622" s="1470"/>
    </row>
    <row r="623" spans="1:24">
      <c r="A623" s="1468">
        <f t="shared" si="2"/>
        <v>2024.02</v>
      </c>
      <c r="B623" s="1559">
        <v>121.41549999999999</v>
      </c>
      <c r="C623" s="3711">
        <v>116.0261</v>
      </c>
      <c r="D623" s="1560">
        <v>128.5771</v>
      </c>
      <c r="E623" s="1561">
        <v>115.0968</v>
      </c>
      <c r="F623" s="3711">
        <v>127.86539999999999</v>
      </c>
      <c r="G623" s="1560">
        <v>103.7372</v>
      </c>
      <c r="H623" s="1561">
        <v>858</v>
      </c>
      <c r="I623" s="268">
        <v>833.38421052631577</v>
      </c>
      <c r="J623" s="293">
        <v>1081.354</v>
      </c>
      <c r="K623" s="293">
        <v>1119.0231578947371</v>
      </c>
      <c r="L623" s="293">
        <v>1169.542105263158</v>
      </c>
      <c r="M623" s="751">
        <v>1805.66</v>
      </c>
      <c r="N623" s="748">
        <v>1813.4281014331959</v>
      </c>
      <c r="O623" s="268">
        <v>310.32600000000002</v>
      </c>
      <c r="P623" s="3513">
        <v>310.96699999999998</v>
      </c>
      <c r="Q623" s="268">
        <v>254.92599999999999</v>
      </c>
      <c r="R623" s="3766">
        <v>143.35599999999999</v>
      </c>
      <c r="S623" s="1470"/>
      <c r="V623" s="1470"/>
      <c r="W623" s="1470"/>
      <c r="X623" s="1470"/>
    </row>
    <row r="624" spans="1:24">
      <c r="A624" s="1468">
        <f t="shared" ref="A624:A645" si="3">A612+1</f>
        <v>2024.03</v>
      </c>
      <c r="B624" s="1559">
        <v>121.04130000000001</v>
      </c>
      <c r="C624" s="3711">
        <v>115.7831</v>
      </c>
      <c r="D624" s="1560">
        <v>128.06290000000001</v>
      </c>
      <c r="E624" s="1561">
        <v>114.9543</v>
      </c>
      <c r="F624" s="3711">
        <v>127.78919999999999</v>
      </c>
      <c r="G624" s="1560">
        <v>103.54689999999999</v>
      </c>
      <c r="H624" s="1561">
        <v>872</v>
      </c>
      <c r="I624" s="268">
        <v>848.68421052631584</v>
      </c>
      <c r="J624" s="293">
        <v>1001.604</v>
      </c>
      <c r="K624" s="293">
        <v>1019.846315789474</v>
      </c>
      <c r="L624" s="293">
        <v>1068.118947368421</v>
      </c>
      <c r="M624" s="751">
        <v>1628</v>
      </c>
      <c r="N624" s="748">
        <v>1717.92</v>
      </c>
      <c r="O624" s="268">
        <v>312.33199999999999</v>
      </c>
      <c r="P624" s="3513">
        <v>312.34500000000003</v>
      </c>
      <c r="Q624" s="268">
        <v>255.095</v>
      </c>
      <c r="R624" s="3766">
        <v>143.52099999999999</v>
      </c>
      <c r="S624" s="1470"/>
      <c r="V624" s="1470"/>
      <c r="W624" s="1470"/>
      <c r="X624" s="829"/>
    </row>
    <row r="625" spans="1:18">
      <c r="A625" s="1468">
        <f t="shared" si="3"/>
        <v>2024.04</v>
      </c>
      <c r="B625" s="1559">
        <v>122.5142</v>
      </c>
      <c r="C625" s="3711">
        <v>117.53959999999999</v>
      </c>
      <c r="D625" s="1560">
        <v>129.2645</v>
      </c>
      <c r="E625" s="1561">
        <v>116.38809999999999</v>
      </c>
      <c r="F625" s="3711">
        <v>129.9066</v>
      </c>
      <c r="G625" s="1560">
        <v>104.4451</v>
      </c>
      <c r="H625" s="1561">
        <v>892</v>
      </c>
      <c r="I625" s="268">
        <v>867.375</v>
      </c>
      <c r="J625" s="293">
        <v>1004.75</v>
      </c>
      <c r="K625" s="293">
        <v>1014.0895</v>
      </c>
      <c r="L625" s="293">
        <v>1062.904</v>
      </c>
      <c r="M625" s="751">
        <v>1526</v>
      </c>
      <c r="N625" s="748">
        <v>1568.3672172709339</v>
      </c>
      <c r="O625" s="268">
        <v>313.548</v>
      </c>
      <c r="P625" s="3513">
        <v>313.02300000000002</v>
      </c>
      <c r="Q625" s="268">
        <v>256.97800000000001</v>
      </c>
      <c r="R625" s="3766">
        <v>144.197</v>
      </c>
    </row>
    <row r="626" spans="1:18">
      <c r="A626" s="1468">
        <f t="shared" si="3"/>
        <v>2024.05</v>
      </c>
      <c r="B626" s="1559">
        <v>122.2444</v>
      </c>
      <c r="C626" s="3711">
        <v>117.1117</v>
      </c>
      <c r="D626" s="1560">
        <v>129.15289999999999</v>
      </c>
      <c r="E626" s="1561">
        <v>115.9246</v>
      </c>
      <c r="F626" s="3711">
        <v>129.1335</v>
      </c>
      <c r="G626" s="1560">
        <v>104.2209</v>
      </c>
      <c r="H626" s="268">
        <v>905</v>
      </c>
      <c r="I626" s="268">
        <v>885.2045454545455</v>
      </c>
      <c r="J626" s="293">
        <v>1119.5833333333333</v>
      </c>
      <c r="K626" s="293">
        <v>1117.409545454545</v>
      </c>
      <c r="L626" s="293">
        <v>1153.6072727272731</v>
      </c>
      <c r="M626" s="751">
        <v>1429.3</v>
      </c>
      <c r="N626" s="748">
        <v>1468.5</v>
      </c>
      <c r="O626" s="268">
        <v>314.06900000000002</v>
      </c>
      <c r="P626" s="3513">
        <v>313.17500000000001</v>
      </c>
      <c r="Q626" s="268">
        <v>255.31299999999999</v>
      </c>
      <c r="R626" s="3766">
        <v>144.22399999999999</v>
      </c>
    </row>
    <row r="627" spans="1:18">
      <c r="A627" s="1468">
        <f t="shared" si="3"/>
        <v>2024.06</v>
      </c>
      <c r="B627" s="1559">
        <v>124.0309</v>
      </c>
      <c r="C627" s="3711">
        <v>117.3398</v>
      </c>
      <c r="D627" s="1560">
        <v>132.58179999999999</v>
      </c>
      <c r="E627" s="1561">
        <v>117.3826</v>
      </c>
      <c r="F627" s="3711">
        <v>129.19560000000001</v>
      </c>
      <c r="G627" s="1560">
        <v>106.7187</v>
      </c>
      <c r="H627" s="1561">
        <v>922</v>
      </c>
      <c r="I627" s="268">
        <v>902.32352941176475</v>
      </c>
      <c r="J627" s="293">
        <v>1278.6111111111111</v>
      </c>
      <c r="K627" s="293">
        <v>1284.4064705882349</v>
      </c>
      <c r="L627" s="293">
        <v>1305.784117647059</v>
      </c>
      <c r="M627" s="751">
        <v>1429</v>
      </c>
      <c r="N627" s="748">
        <v>1484</v>
      </c>
      <c r="O627" s="268">
        <v>314.17500000000001</v>
      </c>
      <c r="P627" s="3513">
        <v>313.04399999999998</v>
      </c>
      <c r="Q627" s="268">
        <v>255.91399999999999</v>
      </c>
      <c r="R627" s="3766">
        <v>144.869</v>
      </c>
    </row>
    <row r="628" spans="1:18">
      <c r="A628" s="1468">
        <f t="shared" si="3"/>
        <v>2024.07</v>
      </c>
      <c r="B628" s="1559">
        <v>123.7208</v>
      </c>
      <c r="C628" s="3711">
        <v>116.804</v>
      </c>
      <c r="D628" s="1560">
        <v>132.50579999999999</v>
      </c>
      <c r="E628" s="1561">
        <v>116.85380000000001</v>
      </c>
      <c r="F628" s="3711">
        <v>128.46539999999999</v>
      </c>
      <c r="G628" s="1560">
        <v>106.352</v>
      </c>
      <c r="H628" s="1561">
        <v>942</v>
      </c>
      <c r="I628" s="268">
        <v>922.13636363636363</v>
      </c>
      <c r="J628" s="293">
        <v>1416.0227272727275</v>
      </c>
      <c r="K628" s="293">
        <v>1347.3986363636359</v>
      </c>
      <c r="L628" s="293">
        <v>1350.154545454546</v>
      </c>
      <c r="M628" s="751">
        <v>1405.4</v>
      </c>
      <c r="N628" s="748">
        <v>1464.27602422226</v>
      </c>
      <c r="O628" s="268">
        <v>314.54000000000002</v>
      </c>
      <c r="P628" s="3513">
        <v>313.56900000000002</v>
      </c>
      <c r="Q628" s="268">
        <v>257.32100000000003</v>
      </c>
      <c r="R628" s="3766">
        <v>144.922</v>
      </c>
    </row>
    <row r="629" spans="1:18">
      <c r="A629" s="1468">
        <f t="shared" si="3"/>
        <v>2024.08</v>
      </c>
      <c r="B629" s="1559">
        <v>122.8802</v>
      </c>
      <c r="C629" s="3711">
        <v>114.60080000000001</v>
      </c>
      <c r="D629" s="1560">
        <v>133.11359999999999</v>
      </c>
      <c r="E629" s="1561">
        <v>116.16500000000001</v>
      </c>
      <c r="F629" s="3711">
        <v>126.1268</v>
      </c>
      <c r="G629" s="1560">
        <v>106.95820000000001</v>
      </c>
      <c r="H629" s="1561">
        <v>962</v>
      </c>
      <c r="I629" s="268">
        <v>941.2954545454545</v>
      </c>
      <c r="J629" s="293">
        <v>1340.6818181818182</v>
      </c>
      <c r="K629" s="293">
        <v>1295.3645454545449</v>
      </c>
      <c r="L629" s="293">
        <v>1296.534090909091</v>
      </c>
      <c r="M629" s="751">
        <v>1387.9</v>
      </c>
      <c r="N629" s="748">
        <v>1407.5</v>
      </c>
      <c r="O629" s="268">
        <v>314.79599999999999</v>
      </c>
      <c r="P629" s="3513">
        <v>314.06200000000001</v>
      </c>
      <c r="Q629" s="268">
        <v>255.46299999999999</v>
      </c>
      <c r="R629" s="3766">
        <v>145.40899999999999</v>
      </c>
    </row>
    <row r="630" spans="1:18">
      <c r="A630" s="1468">
        <f t="shared" si="3"/>
        <v>2024.09</v>
      </c>
      <c r="B630" s="1559">
        <v>122.1296</v>
      </c>
      <c r="C630" s="3711">
        <v>113.2979</v>
      </c>
      <c r="D630" s="1560">
        <v>132.95310000000001</v>
      </c>
      <c r="E630" s="1561">
        <v>115.6901</v>
      </c>
      <c r="F630" s="3711">
        <v>124.99160000000001</v>
      </c>
      <c r="G630" s="1560">
        <v>107.0121</v>
      </c>
      <c r="H630" s="1561">
        <v>976</v>
      </c>
      <c r="I630" s="268">
        <v>960.30952380952385</v>
      </c>
      <c r="J630" s="293">
        <v>1249.6031746031745</v>
      </c>
      <c r="K630" s="293">
        <v>1228.6371428571431</v>
      </c>
      <c r="L630" s="293">
        <v>1248.2738095238101</v>
      </c>
      <c r="M630" s="751">
        <v>1279.2</v>
      </c>
      <c r="N630" s="748">
        <v>1350.6</v>
      </c>
      <c r="O630" s="268">
        <v>315.30099999999999</v>
      </c>
      <c r="P630" s="3513">
        <v>314.73200000000003</v>
      </c>
      <c r="Q630" s="268">
        <v>252.68199999999999</v>
      </c>
      <c r="R630" s="3766">
        <v>145.803</v>
      </c>
    </row>
    <row r="631" spans="1:18">
      <c r="A631" s="1468">
        <f t="shared" si="3"/>
        <v>2024.1</v>
      </c>
      <c r="B631" s="1559">
        <v>123.831</v>
      </c>
      <c r="C631" s="3711">
        <v>115.62220000000001</v>
      </c>
      <c r="D631" s="1560">
        <v>133.99539999999999</v>
      </c>
      <c r="E631" s="1561">
        <v>117.2684</v>
      </c>
      <c r="F631" s="3711">
        <v>127.56440000000001</v>
      </c>
      <c r="G631" s="1560">
        <v>107.78530000000001</v>
      </c>
      <c r="H631" s="1561">
        <v>992</v>
      </c>
      <c r="I631" s="268">
        <v>978.95</v>
      </c>
      <c r="J631" s="293">
        <v>1198.5507246376812</v>
      </c>
      <c r="K631" s="293">
        <v>1161.008636363636</v>
      </c>
      <c r="L631" s="293">
        <v>1191.1240909090909</v>
      </c>
      <c r="M631" s="751">
        <v>1245</v>
      </c>
      <c r="N631" s="748">
        <v>1309.7076144030741</v>
      </c>
      <c r="O631" s="268">
        <v>315.66399999999999</v>
      </c>
      <c r="P631" s="3513">
        <v>315.63099999999997</v>
      </c>
      <c r="Q631" s="268">
        <v>253.08099999999999</v>
      </c>
      <c r="R631" s="3766">
        <v>146.29400000000001</v>
      </c>
    </row>
    <row r="632" spans="1:18">
      <c r="A632" s="1468">
        <f t="shared" si="3"/>
        <v>2024.11</v>
      </c>
      <c r="B632" s="1559">
        <v>126.5329</v>
      </c>
      <c r="C632" s="3711">
        <v>118.2611</v>
      </c>
      <c r="D632" s="1560">
        <v>136.7944</v>
      </c>
      <c r="E632" s="1561">
        <v>119.8935</v>
      </c>
      <c r="F632" s="3711">
        <v>130.5505</v>
      </c>
      <c r="G632" s="1560">
        <v>110.0955</v>
      </c>
      <c r="H632" s="1561">
        <v>1011</v>
      </c>
      <c r="I632" s="268">
        <v>1001.2352941176471</v>
      </c>
      <c r="J632" s="293">
        <v>1126.0294117647059</v>
      </c>
      <c r="K632" s="293">
        <v>1106.5074999999999</v>
      </c>
      <c r="L632" s="293">
        <v>1138.6994999999999</v>
      </c>
      <c r="M632" s="751">
        <v>1228.948553896055</v>
      </c>
      <c r="N632" s="748">
        <v>1262.3114296287149</v>
      </c>
      <c r="O632" s="268">
        <v>315.49299999999999</v>
      </c>
      <c r="P632" s="3513">
        <v>316.52800000000002</v>
      </c>
      <c r="Q632" s="268">
        <v>253.21100000000001</v>
      </c>
      <c r="R632" s="3766">
        <v>146.447</v>
      </c>
    </row>
    <row r="633" spans="1:18">
      <c r="A633" s="1468">
        <f t="shared" si="3"/>
        <v>2024.12</v>
      </c>
      <c r="B633" s="1559">
        <v>127.81399999999999</v>
      </c>
      <c r="C633" s="3711">
        <v>119.8771</v>
      </c>
      <c r="D633" s="1560">
        <v>137.73079999999999</v>
      </c>
      <c r="E633" s="1561">
        <v>121.2306</v>
      </c>
      <c r="F633" s="3711">
        <v>132.40369999999999</v>
      </c>
      <c r="G633" s="1560">
        <v>111.0124</v>
      </c>
      <c r="H633" s="1561">
        <v>1032</v>
      </c>
      <c r="I633" s="268">
        <v>1019.2105263157895</v>
      </c>
      <c r="J633" s="293">
        <v>1114.0277777777778</v>
      </c>
      <c r="K633" s="293">
        <v>1105.8240000000001</v>
      </c>
      <c r="L633" s="293">
        <v>1125.7139999999999</v>
      </c>
      <c r="M633" s="751">
        <v>1205.5</v>
      </c>
      <c r="N633" s="748">
        <v>1236.9000000000001</v>
      </c>
      <c r="O633" s="268">
        <v>315.60500000000002</v>
      </c>
      <c r="P633" s="3513">
        <v>317.60399999999998</v>
      </c>
      <c r="Q633" s="268">
        <v>253.423</v>
      </c>
      <c r="R633" s="3766">
        <v>147.05199999999999</v>
      </c>
    </row>
    <row r="634" spans="1:18">
      <c r="A634" s="1468">
        <f t="shared" si="3"/>
        <v>2025.01</v>
      </c>
      <c r="B634" s="1559">
        <v>129.04130000000001</v>
      </c>
      <c r="C634" s="3711">
        <v>121.4927</v>
      </c>
      <c r="D634" s="1560">
        <v>138.5574</v>
      </c>
      <c r="E634" s="1561">
        <v>122.64830000000001</v>
      </c>
      <c r="F634" s="3711">
        <v>134.40440000000001</v>
      </c>
      <c r="G634" s="1560">
        <v>111.9589</v>
      </c>
      <c r="H634" s="1561">
        <v>1051</v>
      </c>
      <c r="I634" s="268">
        <v>1042.1136363636363</v>
      </c>
      <c r="J634" s="293">
        <v>1217</v>
      </c>
      <c r="K634" s="1564">
        <v>1164.4709090909089</v>
      </c>
      <c r="L634" s="1564">
        <v>1184.6440909090909</v>
      </c>
      <c r="M634" s="751">
        <v>1215</v>
      </c>
      <c r="N634" s="748">
        <v>1256</v>
      </c>
      <c r="O634" s="268">
        <v>317.67099999999999</v>
      </c>
      <c r="P634" s="3513">
        <v>318.96100000000001</v>
      </c>
      <c r="Q634" s="268">
        <v>257.36</v>
      </c>
      <c r="R634" s="3766">
        <v>147.97499999999999</v>
      </c>
    </row>
    <row r="635" spans="1:18">
      <c r="A635" s="1468">
        <f t="shared" si="3"/>
        <v>2025.02</v>
      </c>
      <c r="B635" s="1559">
        <v>128.06649999999999</v>
      </c>
      <c r="C635" s="3711">
        <v>120.27290000000001</v>
      </c>
      <c r="D635" s="1560">
        <v>137.83260000000001</v>
      </c>
      <c r="E635" s="1561">
        <v>121.8724</v>
      </c>
      <c r="F635" s="3711">
        <v>133.0384</v>
      </c>
      <c r="G635" s="1560">
        <v>111.652</v>
      </c>
      <c r="H635" s="1561">
        <v>1064</v>
      </c>
      <c r="I635" s="268">
        <v>1056.925</v>
      </c>
      <c r="J635" s="293">
        <v>1212.7272727272727</v>
      </c>
      <c r="K635" s="1564">
        <v>1198.356</v>
      </c>
      <c r="L635" s="1564">
        <v>1204.173</v>
      </c>
      <c r="M635" s="751">
        <v>1287.0999999999999</v>
      </c>
      <c r="N635" s="748">
        <v>1302.8</v>
      </c>
      <c r="O635" s="268">
        <v>319.08199999999999</v>
      </c>
      <c r="P635" s="3513">
        <v>319.67899999999997</v>
      </c>
      <c r="Q635" s="268">
        <v>259.49799999999999</v>
      </c>
      <c r="R635" s="3766">
        <v>148.233</v>
      </c>
    </row>
    <row r="636" spans="1:18">
      <c r="A636" s="1468">
        <f t="shared" si="3"/>
        <v>2025.03</v>
      </c>
      <c r="B636" s="1559">
        <v>126.4864</v>
      </c>
      <c r="C636" s="3711">
        <v>117.7286</v>
      </c>
      <c r="D636" s="1560">
        <v>137.27260000000001</v>
      </c>
      <c r="E636" s="1561">
        <v>120.15940000000001</v>
      </c>
      <c r="F636" s="3711">
        <v>130.10210000000001</v>
      </c>
      <c r="G636" s="1560">
        <v>110.9221</v>
      </c>
      <c r="H636" s="1561">
        <v>1074</v>
      </c>
      <c r="I636" s="1561">
        <v>1067.4722222222222</v>
      </c>
      <c r="J636" s="293">
        <v>1251.7647058823529</v>
      </c>
      <c r="K636" s="1564">
        <v>1264.711111111111</v>
      </c>
      <c r="L636" s="1564">
        <v>1266.145555555556</v>
      </c>
      <c r="M636" s="751">
        <v>1313</v>
      </c>
      <c r="N636" s="748">
        <v>1348.79956580985</v>
      </c>
      <c r="O636" s="268">
        <v>319.79899999999998</v>
      </c>
      <c r="P636" s="3513">
        <v>319.78500000000003</v>
      </c>
      <c r="Q636" s="268">
        <v>258.52499999999998</v>
      </c>
      <c r="R636" s="3766">
        <v>148.05500000000001</v>
      </c>
    </row>
    <row r="637" spans="1:18">
      <c r="A637" s="1468">
        <f t="shared" si="3"/>
        <v>2025.04</v>
      </c>
      <c r="B637" s="1559">
        <v>124.45569999999999</v>
      </c>
      <c r="C637" s="3711">
        <v>113.9881</v>
      </c>
      <c r="D637" s="1560">
        <v>137.1113</v>
      </c>
      <c r="E637" s="1561">
        <v>118.2257</v>
      </c>
      <c r="F637" s="3711">
        <v>126.1383</v>
      </c>
      <c r="G637" s="1560">
        <v>110.6421</v>
      </c>
      <c r="H637" s="1561">
        <v>1169</v>
      </c>
      <c r="I637" s="1561">
        <v>1120.7368421052631</v>
      </c>
      <c r="J637" s="293">
        <v>1263.8888888888887</v>
      </c>
      <c r="K637" s="1564">
        <v>1250.097368421053</v>
      </c>
      <c r="L637" s="1564">
        <v>1255.9452631578949</v>
      </c>
      <c r="M637" s="751">
        <v>1379</v>
      </c>
      <c r="N637" s="748">
        <v>1417.888892436315</v>
      </c>
      <c r="O637" s="268">
        <v>320.79500000000002</v>
      </c>
      <c r="P637" s="3513">
        <v>320.30200000000002</v>
      </c>
      <c r="Q637" s="268">
        <v>258.392</v>
      </c>
      <c r="R637" s="3766">
        <v>147.655</v>
      </c>
    </row>
    <row r="638" spans="1:18">
      <c r="A638" s="1468">
        <f t="shared" si="3"/>
        <v>2025.05</v>
      </c>
      <c r="B638" s="1559">
        <v>122.68689999999999</v>
      </c>
      <c r="C638" s="3711">
        <v>113.3019</v>
      </c>
      <c r="D638" s="1560">
        <v>134.1232</v>
      </c>
      <c r="E638" s="1561">
        <v>116.4828</v>
      </c>
      <c r="F638" s="3711">
        <v>125.3229</v>
      </c>
      <c r="G638" s="1560">
        <v>108.1656</v>
      </c>
      <c r="H638" s="1561">
        <v>1185</v>
      </c>
      <c r="I638" s="268">
        <v>1143.8</v>
      </c>
      <c r="J638" s="293">
        <v>1162.1428571428571</v>
      </c>
      <c r="K638" s="1564">
        <v>1175.5920000000001</v>
      </c>
      <c r="L638" s="1564">
        <v>1179.542857142857</v>
      </c>
      <c r="M638" s="751">
        <v>1392.028129663227</v>
      </c>
      <c r="N638" s="748">
        <v>1416.2114149997151</v>
      </c>
      <c r="O638" s="268">
        <v>321.46499999999997</v>
      </c>
      <c r="P638" s="3513">
        <v>320.62</v>
      </c>
      <c r="Q638" s="268">
        <v>258.678</v>
      </c>
      <c r="R638" s="3766">
        <v>148.15299999999999</v>
      </c>
    </row>
    <row r="639" spans="1:18">
      <c r="A639" s="1468">
        <f t="shared" si="3"/>
        <v>2025.06</v>
      </c>
      <c r="B639" s="1559">
        <v>120.9747</v>
      </c>
      <c r="C639" s="3711">
        <v>111.38930000000001</v>
      </c>
      <c r="D639" s="1560">
        <v>132.61660000000001</v>
      </c>
      <c r="E639" s="1561">
        <v>114.95610000000001</v>
      </c>
      <c r="F639" s="3711">
        <v>123.27370000000001</v>
      </c>
      <c r="G639" s="1560">
        <v>107.07550000000001</v>
      </c>
      <c r="H639" s="1561">
        <v>1195</v>
      </c>
      <c r="I639" s="268">
        <v>1176.2368421052631</v>
      </c>
      <c r="J639" s="293">
        <v>1181.8421052631579</v>
      </c>
      <c r="K639" s="1564">
        <v>1189.6321052631581</v>
      </c>
      <c r="L639" s="1564">
        <v>1193.5857894736839</v>
      </c>
      <c r="M639" s="751">
        <v>1419.8</v>
      </c>
      <c r="N639" s="748">
        <v>1435.025524434993</v>
      </c>
      <c r="O639" s="268">
        <v>322.56099999999998</v>
      </c>
      <c r="P639" s="3513">
        <v>321.435</v>
      </c>
      <c r="Q639" s="268">
        <v>260.49099999999999</v>
      </c>
      <c r="R639" s="3766">
        <v>148.393</v>
      </c>
    </row>
    <row r="640" spans="1:18">
      <c r="A640" s="1468">
        <f t="shared" si="3"/>
        <v>2025.07</v>
      </c>
      <c r="B640" s="1559">
        <v>120.5266</v>
      </c>
      <c r="C640" s="3711">
        <v>111.0712</v>
      </c>
      <c r="D640" s="1560">
        <v>132.02090000000001</v>
      </c>
      <c r="E640" s="1561">
        <v>114.53230000000001</v>
      </c>
      <c r="F640" s="3711">
        <v>122.86060000000001</v>
      </c>
      <c r="G640" s="1560">
        <v>106.6473</v>
      </c>
      <c r="H640" s="1561">
        <v>1355</v>
      </c>
      <c r="I640" s="268">
        <v>1265.2954545454545</v>
      </c>
      <c r="J640" s="293">
        <v>1281.4285714285716</v>
      </c>
      <c r="K640" s="1564">
        <v>1277.184137931034</v>
      </c>
      <c r="L640" s="1564">
        <v>1281.2906896551719</v>
      </c>
      <c r="M640" s="751">
        <v>1315</v>
      </c>
      <c r="N640" s="748">
        <v>1316</v>
      </c>
      <c r="O640" s="268">
        <v>323.048</v>
      </c>
      <c r="P640" s="3513">
        <v>322.16899999999998</v>
      </c>
      <c r="Q640" s="268">
        <v>262.358</v>
      </c>
      <c r="R640" s="3766">
        <v>149.59700000000001</v>
      </c>
    </row>
    <row r="641" spans="1:18">
      <c r="A641" s="1468">
        <f t="shared" si="3"/>
        <v>2025.08</v>
      </c>
      <c r="B641" s="1559">
        <v>120.98439999999999</v>
      </c>
      <c r="C641" s="3711">
        <v>111.52160000000001</v>
      </c>
      <c r="D641" s="1560">
        <v>132.4906</v>
      </c>
      <c r="E641" s="1561">
        <v>115.28449999999999</v>
      </c>
      <c r="F641" s="3711">
        <v>123.70529999999999</v>
      </c>
      <c r="G641" s="1560">
        <v>107.3171</v>
      </c>
      <c r="H641" s="1561">
        <v>1340</v>
      </c>
      <c r="I641" s="268">
        <v>1323.75</v>
      </c>
      <c r="J641" s="293">
        <v>1329.047619047619</v>
      </c>
      <c r="K641" s="1564">
        <v>1334.5686206896551</v>
      </c>
      <c r="L641" s="1564">
        <v>1336.034516129032</v>
      </c>
      <c r="M641" s="751">
        <v>1604.1338128177711</v>
      </c>
      <c r="N641" s="748">
        <v>1621.7799837498619</v>
      </c>
      <c r="O641" s="268">
        <v>323.976</v>
      </c>
      <c r="P641" s="3513">
        <v>323.291</v>
      </c>
      <c r="Q641" s="268">
        <v>262.11</v>
      </c>
      <c r="R641" s="3766">
        <v>149.327</v>
      </c>
    </row>
    <row r="642" spans="1:18">
      <c r="A642" s="1468">
        <f t="shared" si="3"/>
        <v>2025.09</v>
      </c>
      <c r="B642" s="1559">
        <v>120.4534</v>
      </c>
      <c r="C642" s="3711">
        <v>111.07550000000001</v>
      </c>
      <c r="D642" s="1560">
        <v>131.8613</v>
      </c>
      <c r="E642" s="1561">
        <v>114.8781</v>
      </c>
      <c r="F642" s="3711">
        <v>123.31910000000001</v>
      </c>
      <c r="G642" s="1560">
        <v>106.8985</v>
      </c>
      <c r="H642" s="1561">
        <v>1375</v>
      </c>
      <c r="I642" s="268">
        <v>1396.5681818181818</v>
      </c>
      <c r="J642" s="293">
        <v>1411.375</v>
      </c>
      <c r="K642" s="1564">
        <v>1441.650333333333</v>
      </c>
      <c r="L642" s="1564">
        <v>1458.017333333333</v>
      </c>
      <c r="M642" s="751">
        <v>1739</v>
      </c>
      <c r="N642" s="748">
        <v>1732</v>
      </c>
      <c r="O642" s="268">
        <v>324.8</v>
      </c>
      <c r="P642" s="3513">
        <v>324.245</v>
      </c>
      <c r="Q642" s="268">
        <v>262.05399999999997</v>
      </c>
      <c r="R642" s="3766">
        <v>150.245</v>
      </c>
    </row>
    <row r="643" spans="1:18">
      <c r="A643" s="1468">
        <f t="shared" si="3"/>
        <v>2025.1</v>
      </c>
      <c r="B643" s="1559">
        <v>121.1712</v>
      </c>
      <c r="C643" s="3711">
        <v>112.25490000000001</v>
      </c>
      <c r="D643" s="1560">
        <v>132.0779</v>
      </c>
      <c r="E643" s="1561">
        <v>115.38549999999999</v>
      </c>
      <c r="F643" s="3711">
        <v>124.4927</v>
      </c>
      <c r="G643" s="1560">
        <v>106.8659</v>
      </c>
      <c r="H643" s="1561">
        <v>1450</v>
      </c>
      <c r="I643" s="268">
        <v>1430.590909090909</v>
      </c>
      <c r="J643" s="293">
        <v>1462.75</v>
      </c>
      <c r="K643" s="1564">
        <v>1500.3122580645161</v>
      </c>
      <c r="L643" s="1564">
        <v>1518.0945161290319</v>
      </c>
      <c r="M643" s="751">
        <v>1697.364287281026</v>
      </c>
      <c r="N643" s="748">
        <v>1696.21807847478</v>
      </c>
      <c r="O643" s="3502">
        <f>+AVERAGE(O642,O644)</f>
        <v>324.46100000000001</v>
      </c>
      <c r="P643" s="3514">
        <f>+AVERAGE(P642,P644)</f>
        <v>324.654</v>
      </c>
      <c r="Q643" s="3502">
        <v>260.59100000000001</v>
      </c>
      <c r="R643" s="3767">
        <v>150.43899999999999</v>
      </c>
    </row>
    <row r="644" spans="1:18">
      <c r="A644" s="1468">
        <f t="shared" si="3"/>
        <v>2025.11</v>
      </c>
      <c r="B644" s="1559">
        <v>121.8038</v>
      </c>
      <c r="C644" s="3711">
        <v>113.319</v>
      </c>
      <c r="D644" s="1560">
        <v>132.2458</v>
      </c>
      <c r="E644" s="1561">
        <v>115.8852</v>
      </c>
      <c r="F644" s="3711">
        <v>125.6635</v>
      </c>
      <c r="G644" s="1560">
        <v>106.8266</v>
      </c>
      <c r="H644" s="1561">
        <v>1462</v>
      </c>
      <c r="I644" s="268">
        <v>1423.6470588235295</v>
      </c>
      <c r="J644" s="293">
        <v>1428.0555555555557</v>
      </c>
      <c r="K644" s="293">
        <v>1465.3033333333331</v>
      </c>
      <c r="L644" s="293">
        <v>1496.7196666666671</v>
      </c>
      <c r="M644" s="751">
        <v>1667.9</v>
      </c>
      <c r="N644" s="748">
        <v>1683.2494011391109</v>
      </c>
      <c r="O644" s="1561">
        <v>324.12200000000001</v>
      </c>
      <c r="P644" s="3515">
        <v>325.06299999999999</v>
      </c>
      <c r="Q644" s="1561">
        <v>261.57900000000001</v>
      </c>
      <c r="R644" s="3767">
        <v>150.81899999999999</v>
      </c>
    </row>
    <row r="645" spans="1:18">
      <c r="A645" s="1468">
        <f t="shared" si="3"/>
        <v>2025.12</v>
      </c>
      <c r="B645" s="1559">
        <v>120.5723</v>
      </c>
      <c r="C645" s="3711">
        <v>111.8241</v>
      </c>
      <c r="D645" s="1560">
        <v>131.2893</v>
      </c>
      <c r="E645" s="1561">
        <v>114.7749</v>
      </c>
      <c r="F645" s="3711">
        <v>124.0518</v>
      </c>
      <c r="G645" s="1560">
        <v>106.1267</v>
      </c>
      <c r="H645" s="1561">
        <v>1457</v>
      </c>
      <c r="I645" s="268">
        <v>1443.078947368421</v>
      </c>
      <c r="J645" s="293">
        <v>1465.3703703703704</v>
      </c>
      <c r="K645" s="293">
        <v>1483.1038709677421</v>
      </c>
      <c r="L645" s="293">
        <v>1524.6580645161289</v>
      </c>
      <c r="M645" s="751">
        <v>1752.5</v>
      </c>
      <c r="N645" s="748">
        <v>1740.5791879012741</v>
      </c>
      <c r="O645" s="1561">
        <v>324.05399999999997</v>
      </c>
      <c r="P645" s="3515">
        <v>326.03100000000001</v>
      </c>
      <c r="Q645" s="1561">
        <v>261.02</v>
      </c>
      <c r="R645" s="3767">
        <v>151.393</v>
      </c>
    </row>
    <row r="646" spans="1:18">
      <c r="A646" s="972">
        <v>2026.01</v>
      </c>
      <c r="B646" s="1559" t="e">
        <v>#N/A</v>
      </c>
      <c r="C646" s="3711" t="e">
        <v>#N/A</v>
      </c>
      <c r="D646" s="1560" t="e">
        <v>#N/A</v>
      </c>
      <c r="E646" s="1561" t="e">
        <v>#N/A</v>
      </c>
      <c r="F646" s="3711" t="e">
        <v>#N/A</v>
      </c>
      <c r="G646" s="1560" t="e">
        <v>#N/A</v>
      </c>
      <c r="H646" s="1561">
        <v>1440</v>
      </c>
      <c r="I646" s="268">
        <v>1444.452380952381</v>
      </c>
      <c r="J646" s="293">
        <v>1494.4607843137255</v>
      </c>
      <c r="K646" s="293">
        <v>1478.948387096774</v>
      </c>
      <c r="L646" s="293">
        <v>1520.334516129032</v>
      </c>
      <c r="M646" s="751">
        <v>1767.5650000000001</v>
      </c>
      <c r="N646" s="748">
        <v>1768.6156409996699</v>
      </c>
      <c r="O646" s="1561">
        <v>325.25200000000001</v>
      </c>
      <c r="P646" s="3515">
        <v>326.58800000000002</v>
      </c>
      <c r="Q646" s="1561">
        <v>262.39</v>
      </c>
      <c r="R646" s="3767">
        <v>152.19</v>
      </c>
    </row>
    <row r="647" spans="1:18">
      <c r="A647" s="972">
        <v>2026.02</v>
      </c>
      <c r="B647" s="1559" t="e">
        <v>#N/A</v>
      </c>
      <c r="C647" s="3711" t="e">
        <v>#N/A</v>
      </c>
      <c r="D647" s="1560" t="e">
        <v>#N/A</v>
      </c>
      <c r="E647" s="1561" t="e">
        <v>#N/A</v>
      </c>
      <c r="F647" s="3711" t="e">
        <v>#N/A</v>
      </c>
      <c r="G647" s="1560" t="e">
        <v>#N/A</v>
      </c>
      <c r="H647" s="1561">
        <v>1401</v>
      </c>
      <c r="I647" s="268">
        <v>1403.8888888888889</v>
      </c>
      <c r="J647" s="293">
        <v>1428.0357142857142</v>
      </c>
      <c r="K647" s="1564">
        <v>1428.7610714285711</v>
      </c>
      <c r="L647" s="293">
        <v>1470.725714285714</v>
      </c>
      <c r="M647" s="751">
        <v>1747.5167264935501</v>
      </c>
      <c r="N647" s="748">
        <v>1744.7571746027611</v>
      </c>
      <c r="O647" s="1561">
        <v>326.78500000000003</v>
      </c>
      <c r="P647" s="3515">
        <v>327.45999999999998</v>
      </c>
      <c r="Q647" s="1561">
        <v>267.84800000000001</v>
      </c>
      <c r="R647" s="3767">
        <v>153.23099999999999</v>
      </c>
    </row>
    <row r="648" spans="1:18">
      <c r="A648" s="972">
        <v>2026.03</v>
      </c>
      <c r="B648" s="1559" t="e">
        <v>#N/A</v>
      </c>
      <c r="C648" s="3711" t="e">
        <v>#N/A</v>
      </c>
      <c r="D648" s="1560" t="e">
        <v>#N/A</v>
      </c>
      <c r="E648" s="1561" t="e">
        <v>#N/A</v>
      </c>
      <c r="F648" s="3711" t="e">
        <v>#N/A</v>
      </c>
      <c r="G648" s="1560" t="e">
        <v>#N/A</v>
      </c>
      <c r="H648" s="1561" t="e">
        <v>#N/A</v>
      </c>
      <c r="I648" s="1561" t="e">
        <v>#N/A</v>
      </c>
      <c r="J648" s="1564" t="e">
        <v>#N/A</v>
      </c>
      <c r="K648" s="1564" t="e">
        <v>#N/A</v>
      </c>
      <c r="L648" s="1564" t="e">
        <v>#N/A</v>
      </c>
      <c r="M648" s="3516" t="e">
        <v>#N/A</v>
      </c>
      <c r="N648" s="1560" t="e">
        <v>#N/A</v>
      </c>
      <c r="O648" s="1561" t="e">
        <v>#N/A</v>
      </c>
      <c r="P648" s="3515" t="e">
        <v>#N/A</v>
      </c>
      <c r="Q648" s="1561" t="e">
        <v>#N/A</v>
      </c>
      <c r="R648" s="3767" t="e">
        <v>#N/A</v>
      </c>
    </row>
    <row r="649" spans="1:18">
      <c r="A649" s="972">
        <v>2026.04</v>
      </c>
      <c r="B649" s="1559" t="e">
        <v>#N/A</v>
      </c>
      <c r="C649" s="3711" t="e">
        <v>#N/A</v>
      </c>
      <c r="D649" s="1560" t="e">
        <v>#N/A</v>
      </c>
      <c r="E649" s="1561" t="e">
        <v>#N/A</v>
      </c>
      <c r="F649" s="3711" t="e">
        <v>#N/A</v>
      </c>
      <c r="G649" s="1560" t="e">
        <v>#N/A</v>
      </c>
      <c r="H649" s="1561" t="e">
        <v>#N/A</v>
      </c>
      <c r="I649" s="1561" t="e">
        <v>#N/A</v>
      </c>
      <c r="J649" s="1564" t="e">
        <v>#N/A</v>
      </c>
      <c r="K649" s="1564" t="e">
        <v>#N/A</v>
      </c>
      <c r="L649" s="1564" t="e">
        <v>#N/A</v>
      </c>
      <c r="M649" s="3516" t="e">
        <v>#N/A</v>
      </c>
      <c r="N649" s="1560" t="e">
        <v>#N/A</v>
      </c>
      <c r="O649" s="1561" t="e">
        <v>#N/A</v>
      </c>
      <c r="P649" s="3515" t="e">
        <v>#N/A</v>
      </c>
      <c r="Q649" s="1561" t="e">
        <v>#N/A</v>
      </c>
      <c r="R649" s="3767" t="e">
        <v>#N/A</v>
      </c>
    </row>
    <row r="650" spans="1:18">
      <c r="A650" s="972">
        <v>2026.05</v>
      </c>
      <c r="B650" s="1559" t="e">
        <v>#N/A</v>
      </c>
      <c r="C650" s="3711" t="e">
        <v>#N/A</v>
      </c>
      <c r="D650" s="1560" t="e">
        <v>#N/A</v>
      </c>
      <c r="E650" s="1561" t="e">
        <v>#N/A</v>
      </c>
      <c r="F650" s="3711" t="e">
        <v>#N/A</v>
      </c>
      <c r="G650" s="1560" t="e">
        <v>#N/A</v>
      </c>
      <c r="H650" s="1561" t="e">
        <v>#N/A</v>
      </c>
      <c r="I650" s="1561" t="e">
        <v>#N/A</v>
      </c>
      <c r="J650" s="1564" t="e">
        <v>#N/A</v>
      </c>
      <c r="K650" s="1564" t="e">
        <v>#N/A</v>
      </c>
      <c r="L650" s="1564" t="e">
        <v>#N/A</v>
      </c>
      <c r="M650" s="3516" t="e">
        <v>#N/A</v>
      </c>
      <c r="N650" s="1560" t="e">
        <v>#N/A</v>
      </c>
      <c r="O650" s="1561" t="e">
        <v>#N/A</v>
      </c>
      <c r="P650" s="3515" t="e">
        <v>#N/A</v>
      </c>
      <c r="Q650" s="1561" t="e">
        <v>#N/A</v>
      </c>
      <c r="R650" s="3767" t="e">
        <v>#N/A</v>
      </c>
    </row>
    <row r="651" spans="1:18">
      <c r="A651" s="972">
        <v>2026.06</v>
      </c>
      <c r="B651" s="1559" t="e">
        <v>#N/A</v>
      </c>
      <c r="C651" s="3711" t="e">
        <v>#N/A</v>
      </c>
      <c r="D651" s="1560" t="e">
        <v>#N/A</v>
      </c>
      <c r="E651" s="1561" t="e">
        <v>#N/A</v>
      </c>
      <c r="F651" s="3711" t="e">
        <v>#N/A</v>
      </c>
      <c r="G651" s="1560" t="e">
        <v>#N/A</v>
      </c>
      <c r="H651" s="1561" t="e">
        <v>#N/A</v>
      </c>
      <c r="I651" s="1561" t="e">
        <v>#N/A</v>
      </c>
      <c r="J651" s="1564" t="e">
        <v>#N/A</v>
      </c>
      <c r="K651" s="1564" t="e">
        <v>#N/A</v>
      </c>
      <c r="L651" s="1564" t="e">
        <v>#N/A</v>
      </c>
      <c r="M651" s="3516" t="e">
        <v>#N/A</v>
      </c>
      <c r="N651" s="1560" t="e">
        <v>#N/A</v>
      </c>
      <c r="O651" s="1561" t="e">
        <v>#N/A</v>
      </c>
      <c r="P651" s="3515" t="e">
        <v>#N/A</v>
      </c>
      <c r="Q651" s="1561" t="e">
        <v>#N/A</v>
      </c>
      <c r="R651" s="3767" t="e">
        <v>#N/A</v>
      </c>
    </row>
    <row r="652" spans="1:18">
      <c r="A652" s="972">
        <v>2026.07</v>
      </c>
      <c r="B652" s="1559" t="e">
        <v>#N/A</v>
      </c>
      <c r="C652" s="3711" t="e">
        <v>#N/A</v>
      </c>
      <c r="D652" s="1560" t="e">
        <v>#N/A</v>
      </c>
      <c r="E652" s="1561" t="e">
        <v>#N/A</v>
      </c>
      <c r="F652" s="3711" t="e">
        <v>#N/A</v>
      </c>
      <c r="G652" s="1560" t="e">
        <v>#N/A</v>
      </c>
      <c r="H652" s="1561" t="e">
        <v>#N/A</v>
      </c>
      <c r="I652" s="1561" t="e">
        <v>#N/A</v>
      </c>
      <c r="J652" s="1564" t="e">
        <v>#N/A</v>
      </c>
      <c r="K652" s="1564" t="e">
        <v>#N/A</v>
      </c>
      <c r="L652" s="1564" t="e">
        <v>#N/A</v>
      </c>
      <c r="M652" s="3516" t="e">
        <v>#N/A</v>
      </c>
      <c r="N652" s="1560" t="e">
        <v>#N/A</v>
      </c>
      <c r="O652" s="1561" t="e">
        <v>#N/A</v>
      </c>
      <c r="P652" s="3515" t="e">
        <v>#N/A</v>
      </c>
      <c r="Q652" s="1561" t="e">
        <v>#N/A</v>
      </c>
      <c r="R652" s="3767" t="e">
        <v>#N/A</v>
      </c>
    </row>
    <row r="653" spans="1:18">
      <c r="A653" s="972">
        <v>2026.08</v>
      </c>
      <c r="B653" s="1559" t="e">
        <v>#N/A</v>
      </c>
      <c r="C653" s="3711" t="e">
        <v>#N/A</v>
      </c>
      <c r="D653" s="1560" t="e">
        <v>#N/A</v>
      </c>
      <c r="E653" s="1561" t="e">
        <v>#N/A</v>
      </c>
      <c r="F653" s="3711" t="e">
        <v>#N/A</v>
      </c>
      <c r="G653" s="1560" t="e">
        <v>#N/A</v>
      </c>
      <c r="H653" s="1561" t="e">
        <v>#N/A</v>
      </c>
      <c r="I653" s="1561" t="e">
        <v>#N/A</v>
      </c>
      <c r="J653" s="1564" t="e">
        <v>#N/A</v>
      </c>
      <c r="K653" s="1564" t="e">
        <v>#N/A</v>
      </c>
      <c r="L653" s="1564" t="e">
        <v>#N/A</v>
      </c>
      <c r="M653" s="3516" t="e">
        <v>#N/A</v>
      </c>
      <c r="N653" s="1560" t="e">
        <v>#N/A</v>
      </c>
      <c r="O653" s="1561" t="e">
        <v>#N/A</v>
      </c>
      <c r="P653" s="3515" t="e">
        <v>#N/A</v>
      </c>
      <c r="Q653" s="1561" t="e">
        <v>#N/A</v>
      </c>
      <c r="R653" s="3767" t="e">
        <v>#N/A</v>
      </c>
    </row>
    <row r="654" spans="1:18">
      <c r="A654" s="972">
        <v>2026.09</v>
      </c>
      <c r="B654" s="1559" t="e">
        <v>#N/A</v>
      </c>
      <c r="C654" s="3711" t="e">
        <v>#N/A</v>
      </c>
      <c r="D654" s="1560" t="e">
        <v>#N/A</v>
      </c>
      <c r="E654" s="1561" t="e">
        <v>#N/A</v>
      </c>
      <c r="F654" s="3711" t="e">
        <v>#N/A</v>
      </c>
      <c r="G654" s="1560" t="e">
        <v>#N/A</v>
      </c>
      <c r="H654" s="1561" t="e">
        <v>#N/A</v>
      </c>
      <c r="I654" s="1561" t="e">
        <v>#N/A</v>
      </c>
      <c r="J654" s="1564" t="e">
        <v>#N/A</v>
      </c>
      <c r="K654" s="1564" t="e">
        <v>#N/A</v>
      </c>
      <c r="L654" s="1564" t="e">
        <v>#N/A</v>
      </c>
      <c r="M654" s="3516" t="e">
        <v>#N/A</v>
      </c>
      <c r="N654" s="1560" t="e">
        <v>#N/A</v>
      </c>
      <c r="O654" s="1561" t="e">
        <v>#N/A</v>
      </c>
      <c r="P654" s="3515" t="e">
        <v>#N/A</v>
      </c>
      <c r="Q654" s="1561" t="e">
        <v>#N/A</v>
      </c>
      <c r="R654" s="3767" t="e">
        <v>#N/A</v>
      </c>
    </row>
    <row r="655" spans="1:18">
      <c r="A655" s="972">
        <v>2026.1</v>
      </c>
      <c r="B655" s="1559" t="e">
        <v>#N/A</v>
      </c>
      <c r="C655" s="3711" t="e">
        <v>#N/A</v>
      </c>
      <c r="D655" s="1560" t="e">
        <v>#N/A</v>
      </c>
      <c r="E655" s="1561" t="e">
        <v>#N/A</v>
      </c>
      <c r="F655" s="3711" t="e">
        <v>#N/A</v>
      </c>
      <c r="G655" s="1560" t="e">
        <v>#N/A</v>
      </c>
      <c r="H655" s="1561" t="e">
        <v>#N/A</v>
      </c>
      <c r="I655" s="1561" t="e">
        <v>#N/A</v>
      </c>
      <c r="J655" s="1564" t="e">
        <v>#N/A</v>
      </c>
      <c r="K655" s="1564" t="e">
        <v>#N/A</v>
      </c>
      <c r="L655" s="1564" t="e">
        <v>#N/A</v>
      </c>
      <c r="M655" s="3516" t="e">
        <v>#N/A</v>
      </c>
      <c r="N655" s="1560" t="e">
        <v>#N/A</v>
      </c>
      <c r="O655" s="1561" t="e">
        <v>#N/A</v>
      </c>
      <c r="P655" s="3515" t="e">
        <v>#N/A</v>
      </c>
      <c r="Q655" s="1561" t="e">
        <v>#N/A</v>
      </c>
      <c r="R655" s="3767" t="e">
        <v>#N/A</v>
      </c>
    </row>
    <row r="656" spans="1:18">
      <c r="A656" s="972">
        <v>2026.11</v>
      </c>
      <c r="B656" s="1559" t="e">
        <v>#N/A</v>
      </c>
      <c r="C656" s="3711" t="e">
        <v>#N/A</v>
      </c>
      <c r="D656" s="1560" t="e">
        <v>#N/A</v>
      </c>
      <c r="E656" s="1561" t="e">
        <v>#N/A</v>
      </c>
      <c r="F656" s="3711" t="e">
        <v>#N/A</v>
      </c>
      <c r="G656" s="1560" t="e">
        <v>#N/A</v>
      </c>
      <c r="H656" s="1561" t="e">
        <v>#N/A</v>
      </c>
      <c r="I656" s="1561" t="e">
        <v>#N/A</v>
      </c>
      <c r="J656" s="1564" t="e">
        <v>#N/A</v>
      </c>
      <c r="K656" s="1564" t="e">
        <v>#N/A</v>
      </c>
      <c r="L656" s="1564" t="e">
        <v>#N/A</v>
      </c>
      <c r="M656" s="3516" t="e">
        <v>#N/A</v>
      </c>
      <c r="N656" s="1560" t="e">
        <v>#N/A</v>
      </c>
      <c r="O656" s="1561" t="e">
        <v>#N/A</v>
      </c>
      <c r="P656" s="3515" t="e">
        <v>#N/A</v>
      </c>
      <c r="Q656" s="1561" t="e">
        <v>#N/A</v>
      </c>
      <c r="R656" s="3767" t="e">
        <v>#N/A</v>
      </c>
    </row>
    <row r="657" spans="1:18">
      <c r="A657" s="972">
        <v>2026.12</v>
      </c>
      <c r="B657" s="1559" t="e">
        <v>#N/A</v>
      </c>
      <c r="C657" s="3711" t="e">
        <v>#N/A</v>
      </c>
      <c r="D657" s="1560" t="e">
        <v>#N/A</v>
      </c>
      <c r="E657" s="1561" t="e">
        <v>#N/A</v>
      </c>
      <c r="F657" s="3711" t="e">
        <v>#N/A</v>
      </c>
      <c r="G657" s="1560" t="e">
        <v>#N/A</v>
      </c>
      <c r="H657" s="1561" t="e">
        <v>#N/A</v>
      </c>
      <c r="I657" s="1561" t="e">
        <v>#N/A</v>
      </c>
      <c r="J657" s="1564" t="e">
        <v>#N/A</v>
      </c>
      <c r="K657" s="1564" t="e">
        <v>#N/A</v>
      </c>
      <c r="L657" s="1564" t="e">
        <v>#N/A</v>
      </c>
      <c r="M657" s="3516" t="e">
        <v>#N/A</v>
      </c>
      <c r="N657" s="1560" t="e">
        <v>#N/A</v>
      </c>
      <c r="O657" s="1561" t="e">
        <v>#N/A</v>
      </c>
      <c r="P657" s="3515" t="e">
        <v>#N/A</v>
      </c>
      <c r="Q657" s="1561" t="e">
        <v>#N/A</v>
      </c>
      <c r="R657" s="3767" t="e">
        <v>#N/A</v>
      </c>
    </row>
    <row r="658" spans="1:18">
      <c r="A658" s="972">
        <v>2027.01</v>
      </c>
      <c r="B658" s="1559" t="e">
        <v>#N/A</v>
      </c>
      <c r="C658" s="3711" t="e">
        <v>#N/A</v>
      </c>
      <c r="D658" s="1560" t="e">
        <v>#N/A</v>
      </c>
      <c r="E658" s="1561" t="e">
        <v>#N/A</v>
      </c>
      <c r="F658" s="3711" t="e">
        <v>#N/A</v>
      </c>
      <c r="G658" s="1560" t="e">
        <v>#N/A</v>
      </c>
      <c r="H658" s="1561" t="e">
        <v>#N/A</v>
      </c>
      <c r="I658" s="1561" t="e">
        <v>#N/A</v>
      </c>
      <c r="J658" s="1564" t="e">
        <v>#N/A</v>
      </c>
      <c r="K658" s="1564" t="e">
        <v>#N/A</v>
      </c>
      <c r="L658" s="1564" t="e">
        <v>#N/A</v>
      </c>
      <c r="M658" s="3516" t="e">
        <v>#N/A</v>
      </c>
      <c r="N658" s="1560" t="e">
        <v>#N/A</v>
      </c>
      <c r="O658" s="1561" t="e">
        <v>#N/A</v>
      </c>
      <c r="P658" s="3515" t="e">
        <v>#N/A</v>
      </c>
      <c r="Q658" s="1561" t="e">
        <v>#N/A</v>
      </c>
      <c r="R658" s="3767" t="e">
        <v>#N/A</v>
      </c>
    </row>
    <row r="659" spans="1:18">
      <c r="A659" s="972">
        <v>2027.02</v>
      </c>
      <c r="B659" s="1559" t="e">
        <v>#N/A</v>
      </c>
      <c r="C659" s="3711" t="e">
        <v>#N/A</v>
      </c>
      <c r="D659" s="1560" t="e">
        <v>#N/A</v>
      </c>
      <c r="E659" s="1561" t="e">
        <v>#N/A</v>
      </c>
      <c r="F659" s="3711" t="e">
        <v>#N/A</v>
      </c>
      <c r="G659" s="1560" t="e">
        <v>#N/A</v>
      </c>
      <c r="H659" s="1561" t="e">
        <v>#N/A</v>
      </c>
      <c r="I659" s="1561" t="e">
        <v>#N/A</v>
      </c>
      <c r="J659" s="1564" t="e">
        <v>#N/A</v>
      </c>
      <c r="K659" s="1564" t="e">
        <v>#N/A</v>
      </c>
      <c r="L659" s="1564" t="e">
        <v>#N/A</v>
      </c>
      <c r="M659" s="3516" t="e">
        <v>#N/A</v>
      </c>
      <c r="N659" s="1560" t="e">
        <v>#N/A</v>
      </c>
      <c r="O659" s="1561" t="e">
        <v>#N/A</v>
      </c>
      <c r="P659" s="3515" t="e">
        <v>#N/A</v>
      </c>
      <c r="Q659" s="1561" t="e">
        <v>#N/A</v>
      </c>
      <c r="R659" s="3767" t="e">
        <v>#N/A</v>
      </c>
    </row>
    <row r="660" spans="1:18">
      <c r="A660" s="972">
        <v>2027.03</v>
      </c>
      <c r="B660" s="1559" t="e">
        <v>#N/A</v>
      </c>
      <c r="C660" s="3711" t="e">
        <v>#N/A</v>
      </c>
      <c r="D660" s="1560" t="e">
        <v>#N/A</v>
      </c>
      <c r="E660" s="1561" t="e">
        <v>#N/A</v>
      </c>
      <c r="F660" s="3711" t="e">
        <v>#N/A</v>
      </c>
      <c r="G660" s="1560" t="e">
        <v>#N/A</v>
      </c>
      <c r="H660" s="1561" t="e">
        <v>#N/A</v>
      </c>
      <c r="I660" s="1561" t="e">
        <v>#N/A</v>
      </c>
      <c r="J660" s="1564" t="e">
        <v>#N/A</v>
      </c>
      <c r="K660" s="1564" t="e">
        <v>#N/A</v>
      </c>
      <c r="L660" s="1564" t="e">
        <v>#N/A</v>
      </c>
      <c r="M660" s="3516" t="e">
        <v>#N/A</v>
      </c>
      <c r="N660" s="1560" t="e">
        <v>#N/A</v>
      </c>
      <c r="O660" s="1561" t="e">
        <v>#N/A</v>
      </c>
      <c r="P660" s="3515" t="e">
        <v>#N/A</v>
      </c>
      <c r="Q660" s="1561" t="e">
        <v>#N/A</v>
      </c>
      <c r="R660" s="3767" t="e">
        <v>#N/A</v>
      </c>
    </row>
    <row r="661" spans="1:18">
      <c r="A661" s="972">
        <v>2027.04</v>
      </c>
      <c r="B661" s="1559" t="e">
        <v>#N/A</v>
      </c>
      <c r="C661" s="3711" t="e">
        <v>#N/A</v>
      </c>
      <c r="D661" s="1560" t="e">
        <v>#N/A</v>
      </c>
      <c r="E661" s="1561" t="e">
        <v>#N/A</v>
      </c>
      <c r="F661" s="3711" t="e">
        <v>#N/A</v>
      </c>
      <c r="G661" s="1560" t="e">
        <v>#N/A</v>
      </c>
      <c r="H661" s="1561" t="e">
        <v>#N/A</v>
      </c>
      <c r="I661" s="1561" t="e">
        <v>#N/A</v>
      </c>
      <c r="J661" s="1564" t="e">
        <v>#N/A</v>
      </c>
      <c r="K661" s="1564" t="e">
        <v>#N/A</v>
      </c>
      <c r="L661" s="1564" t="e">
        <v>#N/A</v>
      </c>
      <c r="M661" s="3516" t="e">
        <v>#N/A</v>
      </c>
      <c r="N661" s="1560" t="e">
        <v>#N/A</v>
      </c>
      <c r="O661" s="1561" t="e">
        <v>#N/A</v>
      </c>
      <c r="P661" s="3515" t="e">
        <v>#N/A</v>
      </c>
      <c r="Q661" s="1561" t="e">
        <v>#N/A</v>
      </c>
      <c r="R661" s="3767" t="e">
        <v>#N/A</v>
      </c>
    </row>
    <row r="662" spans="1:18">
      <c r="A662" s="972">
        <v>2027.05</v>
      </c>
      <c r="B662" s="1559" t="e">
        <v>#N/A</v>
      </c>
      <c r="C662" s="3711" t="e">
        <v>#N/A</v>
      </c>
      <c r="D662" s="1560" t="e">
        <v>#N/A</v>
      </c>
      <c r="E662" s="1561" t="e">
        <v>#N/A</v>
      </c>
      <c r="F662" s="3711" t="e">
        <v>#N/A</v>
      </c>
      <c r="G662" s="1560" t="e">
        <v>#N/A</v>
      </c>
      <c r="H662" s="1561" t="e">
        <v>#N/A</v>
      </c>
      <c r="I662" s="1561" t="e">
        <v>#N/A</v>
      </c>
      <c r="J662" s="1564" t="e">
        <v>#N/A</v>
      </c>
      <c r="K662" s="1564" t="e">
        <v>#N/A</v>
      </c>
      <c r="L662" s="1564" t="e">
        <v>#N/A</v>
      </c>
      <c r="M662" s="3516" t="e">
        <v>#N/A</v>
      </c>
      <c r="N662" s="1560" t="e">
        <v>#N/A</v>
      </c>
      <c r="O662" s="1561" t="e">
        <v>#N/A</v>
      </c>
      <c r="P662" s="3515" t="e">
        <v>#N/A</v>
      </c>
      <c r="Q662" s="1561" t="e">
        <v>#N/A</v>
      </c>
      <c r="R662" s="3767" t="e">
        <v>#N/A</v>
      </c>
    </row>
    <row r="663" spans="1:18">
      <c r="A663" s="972">
        <v>2027.06</v>
      </c>
      <c r="B663" s="1559" t="e">
        <v>#N/A</v>
      </c>
      <c r="C663" s="3711" t="e">
        <v>#N/A</v>
      </c>
      <c r="D663" s="1560" t="e">
        <v>#N/A</v>
      </c>
      <c r="E663" s="1561" t="e">
        <v>#N/A</v>
      </c>
      <c r="F663" s="3711" t="e">
        <v>#N/A</v>
      </c>
      <c r="G663" s="1560" t="e">
        <v>#N/A</v>
      </c>
      <c r="H663" s="1561" t="e">
        <v>#N/A</v>
      </c>
      <c r="I663" s="1561" t="e">
        <v>#N/A</v>
      </c>
      <c r="J663" s="1564" t="e">
        <v>#N/A</v>
      </c>
      <c r="K663" s="1564" t="e">
        <v>#N/A</v>
      </c>
      <c r="L663" s="1564" t="e">
        <v>#N/A</v>
      </c>
      <c r="M663" s="3516" t="e">
        <v>#N/A</v>
      </c>
      <c r="N663" s="1560" t="e">
        <v>#N/A</v>
      </c>
      <c r="O663" s="1561" t="e">
        <v>#N/A</v>
      </c>
      <c r="P663" s="3515" t="e">
        <v>#N/A</v>
      </c>
      <c r="Q663" s="1561" t="e">
        <v>#N/A</v>
      </c>
      <c r="R663" s="3767" t="e">
        <v>#N/A</v>
      </c>
    </row>
    <row r="664" spans="1:18">
      <c r="A664" s="972">
        <v>2027.07</v>
      </c>
      <c r="B664" s="1559" t="e">
        <v>#N/A</v>
      </c>
      <c r="C664" s="3711" t="e">
        <v>#N/A</v>
      </c>
      <c r="D664" s="1560" t="e">
        <v>#N/A</v>
      </c>
      <c r="E664" s="1561" t="e">
        <v>#N/A</v>
      </c>
      <c r="F664" s="3711" t="e">
        <v>#N/A</v>
      </c>
      <c r="G664" s="1560" t="e">
        <v>#N/A</v>
      </c>
      <c r="H664" s="1561" t="e">
        <v>#N/A</v>
      </c>
      <c r="I664" s="1561" t="e">
        <v>#N/A</v>
      </c>
      <c r="J664" s="1564" t="e">
        <v>#N/A</v>
      </c>
      <c r="K664" s="1564" t="e">
        <v>#N/A</v>
      </c>
      <c r="L664" s="1564" t="e">
        <v>#N/A</v>
      </c>
      <c r="M664" s="3516" t="e">
        <v>#N/A</v>
      </c>
      <c r="N664" s="1560" t="e">
        <v>#N/A</v>
      </c>
      <c r="O664" s="1561" t="e">
        <v>#N/A</v>
      </c>
      <c r="P664" s="3515" t="e">
        <v>#N/A</v>
      </c>
      <c r="Q664" s="1561" t="e">
        <v>#N/A</v>
      </c>
      <c r="R664" s="3767" t="e">
        <v>#N/A</v>
      </c>
    </row>
    <row r="665" spans="1:18">
      <c r="A665" s="972">
        <v>2027.08</v>
      </c>
      <c r="B665" s="1559" t="e">
        <v>#N/A</v>
      </c>
      <c r="C665" s="3711" t="e">
        <v>#N/A</v>
      </c>
      <c r="D665" s="1560" t="e">
        <v>#N/A</v>
      </c>
      <c r="E665" s="1561" t="e">
        <v>#N/A</v>
      </c>
      <c r="F665" s="3711" t="e">
        <v>#N/A</v>
      </c>
      <c r="G665" s="1560" t="e">
        <v>#N/A</v>
      </c>
      <c r="H665" s="1561" t="e">
        <v>#N/A</v>
      </c>
      <c r="I665" s="1561" t="e">
        <v>#N/A</v>
      </c>
      <c r="J665" s="1564" t="e">
        <v>#N/A</v>
      </c>
      <c r="K665" s="1564" t="e">
        <v>#N/A</v>
      </c>
      <c r="L665" s="1564" t="e">
        <v>#N/A</v>
      </c>
      <c r="M665" s="3516" t="e">
        <v>#N/A</v>
      </c>
      <c r="N665" s="1560" t="e">
        <v>#N/A</v>
      </c>
      <c r="O665" s="1561" t="e">
        <v>#N/A</v>
      </c>
      <c r="P665" s="3515" t="e">
        <v>#N/A</v>
      </c>
      <c r="Q665" s="1561" t="e">
        <v>#N/A</v>
      </c>
      <c r="R665" s="3767" t="e">
        <v>#N/A</v>
      </c>
    </row>
    <row r="666" spans="1:18">
      <c r="A666" s="972">
        <v>2027.09</v>
      </c>
      <c r="B666" s="1559" t="e">
        <v>#N/A</v>
      </c>
      <c r="C666" s="3711" t="e">
        <v>#N/A</v>
      </c>
      <c r="D666" s="1560" t="e">
        <v>#N/A</v>
      </c>
      <c r="E666" s="1561" t="e">
        <v>#N/A</v>
      </c>
      <c r="F666" s="3711" t="e">
        <v>#N/A</v>
      </c>
      <c r="G666" s="1560" t="e">
        <v>#N/A</v>
      </c>
      <c r="H666" s="1561" t="e">
        <v>#N/A</v>
      </c>
      <c r="I666" s="1561" t="e">
        <v>#N/A</v>
      </c>
      <c r="J666" s="1564" t="e">
        <v>#N/A</v>
      </c>
      <c r="K666" s="1564" t="e">
        <v>#N/A</v>
      </c>
      <c r="L666" s="1564" t="e">
        <v>#N/A</v>
      </c>
      <c r="M666" s="3516" t="e">
        <v>#N/A</v>
      </c>
      <c r="N666" s="1560" t="e">
        <v>#N/A</v>
      </c>
      <c r="O666" s="1561" t="e">
        <v>#N/A</v>
      </c>
      <c r="P666" s="3515" t="e">
        <v>#N/A</v>
      </c>
      <c r="Q666" s="1561" t="e">
        <v>#N/A</v>
      </c>
      <c r="R666" s="3767" t="e">
        <v>#N/A</v>
      </c>
    </row>
    <row r="667" spans="1:18">
      <c r="A667" s="972">
        <v>2027.1</v>
      </c>
      <c r="B667" s="1559" t="e">
        <v>#N/A</v>
      </c>
      <c r="C667" s="3711" t="e">
        <v>#N/A</v>
      </c>
      <c r="D667" s="1560" t="e">
        <v>#N/A</v>
      </c>
      <c r="E667" s="1561" t="e">
        <v>#N/A</v>
      </c>
      <c r="F667" s="3711" t="e">
        <v>#N/A</v>
      </c>
      <c r="G667" s="1560" t="e">
        <v>#N/A</v>
      </c>
      <c r="H667" s="1561" t="e">
        <v>#N/A</v>
      </c>
      <c r="I667" s="1561" t="e">
        <v>#N/A</v>
      </c>
      <c r="J667" s="1564" t="e">
        <v>#N/A</v>
      </c>
      <c r="K667" s="1564" t="e">
        <v>#N/A</v>
      </c>
      <c r="L667" s="1564" t="e">
        <v>#N/A</v>
      </c>
      <c r="M667" s="3516" t="e">
        <v>#N/A</v>
      </c>
      <c r="N667" s="1560" t="e">
        <v>#N/A</v>
      </c>
      <c r="O667" s="1561" t="e">
        <v>#N/A</v>
      </c>
      <c r="P667" s="3515" t="e">
        <v>#N/A</v>
      </c>
      <c r="Q667" s="1561" t="e">
        <v>#N/A</v>
      </c>
      <c r="R667" s="3767" t="e">
        <v>#N/A</v>
      </c>
    </row>
    <row r="668" spans="1:18">
      <c r="A668" s="972">
        <v>2027.11</v>
      </c>
      <c r="B668" s="1559" t="e">
        <v>#N/A</v>
      </c>
      <c r="C668" s="3711" t="e">
        <v>#N/A</v>
      </c>
      <c r="D668" s="1560" t="e">
        <v>#N/A</v>
      </c>
      <c r="E668" s="1561" t="e">
        <v>#N/A</v>
      </c>
      <c r="F668" s="3711" t="e">
        <v>#N/A</v>
      </c>
      <c r="G668" s="1560" t="e">
        <v>#N/A</v>
      </c>
      <c r="H668" s="1561" t="e">
        <v>#N/A</v>
      </c>
      <c r="I668" s="1561" t="e">
        <v>#N/A</v>
      </c>
      <c r="J668" s="1564" t="e">
        <v>#N/A</v>
      </c>
      <c r="K668" s="1564" t="e">
        <v>#N/A</v>
      </c>
      <c r="L668" s="1564" t="e">
        <v>#N/A</v>
      </c>
      <c r="M668" s="3516" t="e">
        <v>#N/A</v>
      </c>
      <c r="N668" s="1560" t="e">
        <v>#N/A</v>
      </c>
      <c r="O668" s="1561" t="e">
        <v>#N/A</v>
      </c>
      <c r="P668" s="3515" t="e">
        <v>#N/A</v>
      </c>
      <c r="Q668" s="1561" t="e">
        <v>#N/A</v>
      </c>
      <c r="R668" s="3767" t="e">
        <v>#N/A</v>
      </c>
    </row>
    <row r="669" spans="1:18">
      <c r="A669" s="972">
        <v>2027.12</v>
      </c>
      <c r="B669" s="1559" t="e">
        <v>#N/A</v>
      </c>
      <c r="C669" s="3711" t="e">
        <v>#N/A</v>
      </c>
      <c r="D669" s="1560" t="e">
        <v>#N/A</v>
      </c>
      <c r="E669" s="1561" t="e">
        <v>#N/A</v>
      </c>
      <c r="F669" s="3711" t="e">
        <v>#N/A</v>
      </c>
      <c r="G669" s="1560" t="e">
        <v>#N/A</v>
      </c>
      <c r="H669" s="1561" t="e">
        <v>#N/A</v>
      </c>
      <c r="I669" s="1561" t="e">
        <v>#N/A</v>
      </c>
      <c r="J669" s="1564" t="e">
        <v>#N/A</v>
      </c>
      <c r="K669" s="1564" t="e">
        <v>#N/A</v>
      </c>
      <c r="L669" s="1564" t="e">
        <v>#N/A</v>
      </c>
      <c r="M669" s="3516" t="e">
        <v>#N/A</v>
      </c>
      <c r="N669" s="1560" t="e">
        <v>#N/A</v>
      </c>
      <c r="O669" s="1561" t="e">
        <v>#N/A</v>
      </c>
      <c r="P669" s="3515" t="e">
        <v>#N/A</v>
      </c>
      <c r="Q669" s="1561" t="e">
        <v>#N/A</v>
      </c>
      <c r="R669" s="3767" t="e">
        <v>#N/A</v>
      </c>
    </row>
    <row r="670" spans="1:18">
      <c r="A670" s="972">
        <v>2028.01</v>
      </c>
      <c r="B670" s="1559" t="e">
        <v>#N/A</v>
      </c>
      <c r="C670" s="3711" t="e">
        <v>#N/A</v>
      </c>
      <c r="D670" s="1560" t="e">
        <v>#N/A</v>
      </c>
      <c r="E670" s="1561" t="e">
        <v>#N/A</v>
      </c>
      <c r="F670" s="3711" t="e">
        <v>#N/A</v>
      </c>
      <c r="G670" s="1560" t="e">
        <v>#N/A</v>
      </c>
      <c r="H670" s="1561" t="e">
        <v>#N/A</v>
      </c>
      <c r="I670" s="1561" t="e">
        <v>#N/A</v>
      </c>
      <c r="J670" s="1564" t="e">
        <v>#N/A</v>
      </c>
      <c r="K670" s="1564" t="e">
        <v>#N/A</v>
      </c>
      <c r="L670" s="1564" t="e">
        <v>#N/A</v>
      </c>
      <c r="M670" s="3516" t="e">
        <v>#N/A</v>
      </c>
      <c r="N670" s="1560" t="e">
        <v>#N/A</v>
      </c>
      <c r="O670" s="1561" t="e">
        <v>#N/A</v>
      </c>
      <c r="P670" s="3515" t="e">
        <v>#N/A</v>
      </c>
      <c r="Q670" s="1561" t="e">
        <v>#N/A</v>
      </c>
      <c r="R670" s="3767" t="e">
        <v>#N/A</v>
      </c>
    </row>
    <row r="671" spans="1:18">
      <c r="A671" s="972">
        <v>2028.02</v>
      </c>
      <c r="B671" s="1559" t="e">
        <v>#N/A</v>
      </c>
      <c r="C671" s="3711" t="e">
        <v>#N/A</v>
      </c>
      <c r="D671" s="1560" t="e">
        <v>#N/A</v>
      </c>
      <c r="E671" s="1561" t="e">
        <v>#N/A</v>
      </c>
      <c r="F671" s="3711" t="e">
        <v>#N/A</v>
      </c>
      <c r="G671" s="1560" t="e">
        <v>#N/A</v>
      </c>
      <c r="H671" s="1561" t="e">
        <v>#N/A</v>
      </c>
      <c r="I671" s="1561" t="e">
        <v>#N/A</v>
      </c>
      <c r="J671" s="1564" t="e">
        <v>#N/A</v>
      </c>
      <c r="K671" s="1564" t="e">
        <v>#N/A</v>
      </c>
      <c r="L671" s="1564" t="e">
        <v>#N/A</v>
      </c>
      <c r="M671" s="3516" t="e">
        <v>#N/A</v>
      </c>
      <c r="N671" s="1560" t="e">
        <v>#N/A</v>
      </c>
      <c r="O671" s="1561" t="e">
        <v>#N/A</v>
      </c>
      <c r="P671" s="3515" t="e">
        <v>#N/A</v>
      </c>
      <c r="Q671" s="1561" t="e">
        <v>#N/A</v>
      </c>
      <c r="R671" s="3767" t="e">
        <v>#N/A</v>
      </c>
    </row>
    <row r="672" spans="1:18">
      <c r="A672" s="972">
        <v>2028.03</v>
      </c>
      <c r="B672" s="1559" t="e">
        <v>#N/A</v>
      </c>
      <c r="C672" s="3711" t="e">
        <v>#N/A</v>
      </c>
      <c r="D672" s="1560" t="e">
        <v>#N/A</v>
      </c>
      <c r="E672" s="1561" t="e">
        <v>#N/A</v>
      </c>
      <c r="F672" s="3711" t="e">
        <v>#N/A</v>
      </c>
      <c r="G672" s="1560" t="e">
        <v>#N/A</v>
      </c>
      <c r="H672" s="1561" t="e">
        <v>#N/A</v>
      </c>
      <c r="I672" s="1561" t="e">
        <v>#N/A</v>
      </c>
      <c r="J672" s="1564" t="e">
        <v>#N/A</v>
      </c>
      <c r="K672" s="1564" t="e">
        <v>#N/A</v>
      </c>
      <c r="L672" s="1564" t="e">
        <v>#N/A</v>
      </c>
      <c r="M672" s="3516" t="e">
        <v>#N/A</v>
      </c>
      <c r="N672" s="1560" t="e">
        <v>#N/A</v>
      </c>
      <c r="O672" s="1561" t="e">
        <v>#N/A</v>
      </c>
      <c r="P672" s="3515" t="e">
        <v>#N/A</v>
      </c>
      <c r="Q672" s="1561" t="e">
        <v>#N/A</v>
      </c>
      <c r="R672" s="3767" t="e">
        <v>#N/A</v>
      </c>
    </row>
    <row r="673" spans="1:18">
      <c r="A673" s="972">
        <v>2028.04</v>
      </c>
      <c r="B673" s="1559" t="e">
        <v>#N/A</v>
      </c>
      <c r="C673" s="3711" t="e">
        <v>#N/A</v>
      </c>
      <c r="D673" s="1560" t="e">
        <v>#N/A</v>
      </c>
      <c r="E673" s="1561" t="e">
        <v>#N/A</v>
      </c>
      <c r="F673" s="3711" t="e">
        <v>#N/A</v>
      </c>
      <c r="G673" s="1560" t="e">
        <v>#N/A</v>
      </c>
      <c r="H673" s="1561" t="e">
        <v>#N/A</v>
      </c>
      <c r="I673" s="1561" t="e">
        <v>#N/A</v>
      </c>
      <c r="J673" s="1564" t="e">
        <v>#N/A</v>
      </c>
      <c r="K673" s="1564" t="e">
        <v>#N/A</v>
      </c>
      <c r="L673" s="1564" t="e">
        <v>#N/A</v>
      </c>
      <c r="M673" s="3516" t="e">
        <v>#N/A</v>
      </c>
      <c r="N673" s="1560" t="e">
        <v>#N/A</v>
      </c>
      <c r="O673" s="1561" t="e">
        <v>#N/A</v>
      </c>
      <c r="P673" s="3515" t="e">
        <v>#N/A</v>
      </c>
      <c r="Q673" s="1561" t="e">
        <v>#N/A</v>
      </c>
      <c r="R673" s="3767" t="e">
        <v>#N/A</v>
      </c>
    </row>
    <row r="674" spans="1:18">
      <c r="A674" s="972">
        <v>2028.05</v>
      </c>
      <c r="B674" s="1559" t="e">
        <v>#N/A</v>
      </c>
      <c r="C674" s="3711" t="e">
        <v>#N/A</v>
      </c>
      <c r="D674" s="1560" t="e">
        <v>#N/A</v>
      </c>
      <c r="E674" s="1561" t="e">
        <v>#N/A</v>
      </c>
      <c r="F674" s="3711" t="e">
        <v>#N/A</v>
      </c>
      <c r="G674" s="1560" t="e">
        <v>#N/A</v>
      </c>
      <c r="H674" s="1561" t="e">
        <v>#N/A</v>
      </c>
      <c r="I674" s="1561" t="e">
        <v>#N/A</v>
      </c>
      <c r="J674" s="1564" t="e">
        <v>#N/A</v>
      </c>
      <c r="K674" s="1564" t="e">
        <v>#N/A</v>
      </c>
      <c r="L674" s="1564" t="e">
        <v>#N/A</v>
      </c>
      <c r="M674" s="3516" t="e">
        <v>#N/A</v>
      </c>
      <c r="N674" s="1560" t="e">
        <v>#N/A</v>
      </c>
      <c r="O674" s="1561" t="e">
        <v>#N/A</v>
      </c>
      <c r="P674" s="3515" t="e">
        <v>#N/A</v>
      </c>
      <c r="Q674" s="1561" t="e">
        <v>#N/A</v>
      </c>
      <c r="R674" s="3767" t="e">
        <v>#N/A</v>
      </c>
    </row>
    <row r="675" spans="1:18">
      <c r="A675" s="972">
        <v>2028.06</v>
      </c>
      <c r="B675" s="1559" t="e">
        <v>#N/A</v>
      </c>
      <c r="C675" s="3711" t="e">
        <v>#N/A</v>
      </c>
      <c r="D675" s="1560" t="e">
        <v>#N/A</v>
      </c>
      <c r="E675" s="1561" t="e">
        <v>#N/A</v>
      </c>
      <c r="F675" s="3711" t="e">
        <v>#N/A</v>
      </c>
      <c r="G675" s="1560" t="e">
        <v>#N/A</v>
      </c>
      <c r="H675" s="1561" t="e">
        <v>#N/A</v>
      </c>
      <c r="I675" s="1561" t="e">
        <v>#N/A</v>
      </c>
      <c r="J675" s="1564" t="e">
        <v>#N/A</v>
      </c>
      <c r="K675" s="1564" t="e">
        <v>#N/A</v>
      </c>
      <c r="L675" s="1564" t="e">
        <v>#N/A</v>
      </c>
      <c r="M675" s="3516" t="e">
        <v>#N/A</v>
      </c>
      <c r="N675" s="1560" t="e">
        <v>#N/A</v>
      </c>
      <c r="O675" s="1561" t="e">
        <v>#N/A</v>
      </c>
      <c r="P675" s="3515" t="e">
        <v>#N/A</v>
      </c>
      <c r="Q675" s="1561" t="e">
        <v>#N/A</v>
      </c>
      <c r="R675" s="3767" t="e">
        <v>#N/A</v>
      </c>
    </row>
    <row r="676" spans="1:18">
      <c r="A676" s="972">
        <v>2028.07</v>
      </c>
      <c r="B676" s="1559" t="e">
        <v>#N/A</v>
      </c>
      <c r="C676" s="3711" t="e">
        <v>#N/A</v>
      </c>
      <c r="D676" s="1560" t="e">
        <v>#N/A</v>
      </c>
      <c r="E676" s="1561" t="e">
        <v>#N/A</v>
      </c>
      <c r="F676" s="3711" t="e">
        <v>#N/A</v>
      </c>
      <c r="G676" s="1560" t="e">
        <v>#N/A</v>
      </c>
      <c r="H676" s="1561" t="e">
        <v>#N/A</v>
      </c>
      <c r="I676" s="1561" t="e">
        <v>#N/A</v>
      </c>
      <c r="J676" s="1564" t="e">
        <v>#N/A</v>
      </c>
      <c r="K676" s="1564" t="e">
        <v>#N/A</v>
      </c>
      <c r="L676" s="1564" t="e">
        <v>#N/A</v>
      </c>
      <c r="M676" s="3516" t="e">
        <v>#N/A</v>
      </c>
      <c r="N676" s="1560" t="e">
        <v>#N/A</v>
      </c>
      <c r="O676" s="1561" t="e">
        <v>#N/A</v>
      </c>
      <c r="P676" s="3515" t="e">
        <v>#N/A</v>
      </c>
      <c r="Q676" s="1561" t="e">
        <v>#N/A</v>
      </c>
      <c r="R676" s="3767" t="e">
        <v>#N/A</v>
      </c>
    </row>
    <row r="677" spans="1:18">
      <c r="A677" s="972">
        <v>2028.08</v>
      </c>
      <c r="B677" s="1559" t="e">
        <v>#N/A</v>
      </c>
      <c r="C677" s="3711" t="e">
        <v>#N/A</v>
      </c>
      <c r="D677" s="1560" t="e">
        <v>#N/A</v>
      </c>
      <c r="E677" s="1561" t="e">
        <v>#N/A</v>
      </c>
      <c r="F677" s="3711" t="e">
        <v>#N/A</v>
      </c>
      <c r="G677" s="1560" t="e">
        <v>#N/A</v>
      </c>
      <c r="H677" s="1561" t="e">
        <v>#N/A</v>
      </c>
      <c r="I677" s="1561" t="e">
        <v>#N/A</v>
      </c>
      <c r="J677" s="1564" t="e">
        <v>#N/A</v>
      </c>
      <c r="K677" s="1564" t="e">
        <v>#N/A</v>
      </c>
      <c r="L677" s="1564" t="e">
        <v>#N/A</v>
      </c>
      <c r="M677" s="3516" t="e">
        <v>#N/A</v>
      </c>
      <c r="N677" s="1560" t="e">
        <v>#N/A</v>
      </c>
      <c r="O677" s="1561" t="e">
        <v>#N/A</v>
      </c>
      <c r="P677" s="3515" t="e">
        <v>#N/A</v>
      </c>
      <c r="Q677" s="1561" t="e">
        <v>#N/A</v>
      </c>
      <c r="R677" s="3767" t="e">
        <v>#N/A</v>
      </c>
    </row>
    <row r="678" spans="1:18">
      <c r="A678" s="972">
        <v>2028.09</v>
      </c>
      <c r="B678" s="1559" t="e">
        <v>#N/A</v>
      </c>
      <c r="C678" s="3711" t="e">
        <v>#N/A</v>
      </c>
      <c r="D678" s="1560" t="e">
        <v>#N/A</v>
      </c>
      <c r="E678" s="1561" t="e">
        <v>#N/A</v>
      </c>
      <c r="F678" s="3711" t="e">
        <v>#N/A</v>
      </c>
      <c r="G678" s="1560" t="e">
        <v>#N/A</v>
      </c>
      <c r="H678" s="1561" t="e">
        <v>#N/A</v>
      </c>
      <c r="I678" s="1561" t="e">
        <v>#N/A</v>
      </c>
      <c r="J678" s="1564" t="e">
        <v>#N/A</v>
      </c>
      <c r="K678" s="1564" t="e">
        <v>#N/A</v>
      </c>
      <c r="L678" s="1564" t="e">
        <v>#N/A</v>
      </c>
      <c r="M678" s="3516" t="e">
        <v>#N/A</v>
      </c>
      <c r="N678" s="1560" t="e">
        <v>#N/A</v>
      </c>
      <c r="O678" s="1561" t="e">
        <v>#N/A</v>
      </c>
      <c r="P678" s="3515" t="e">
        <v>#N/A</v>
      </c>
      <c r="Q678" s="1561" t="e">
        <v>#N/A</v>
      </c>
      <c r="R678" s="3767" t="e">
        <v>#N/A</v>
      </c>
    </row>
    <row r="679" spans="1:18">
      <c r="A679" s="972">
        <v>2028.1</v>
      </c>
      <c r="B679" s="1559" t="e">
        <v>#N/A</v>
      </c>
      <c r="C679" s="3711" t="e">
        <v>#N/A</v>
      </c>
      <c r="D679" s="1560" t="e">
        <v>#N/A</v>
      </c>
      <c r="E679" s="1561" t="e">
        <v>#N/A</v>
      </c>
      <c r="F679" s="3711" t="e">
        <v>#N/A</v>
      </c>
      <c r="G679" s="1560" t="e">
        <v>#N/A</v>
      </c>
      <c r="H679" s="1561" t="e">
        <v>#N/A</v>
      </c>
      <c r="I679" s="1561" t="e">
        <v>#N/A</v>
      </c>
      <c r="J679" s="1564" t="e">
        <v>#N/A</v>
      </c>
      <c r="K679" s="1564" t="e">
        <v>#N/A</v>
      </c>
      <c r="L679" s="1564" t="e">
        <v>#N/A</v>
      </c>
      <c r="M679" s="3516" t="e">
        <v>#N/A</v>
      </c>
      <c r="N679" s="1560" t="e">
        <v>#N/A</v>
      </c>
      <c r="O679" s="1561" t="e">
        <v>#N/A</v>
      </c>
      <c r="P679" s="3515" t="e">
        <v>#N/A</v>
      </c>
      <c r="Q679" s="1561" t="e">
        <v>#N/A</v>
      </c>
      <c r="R679" s="3767" t="e">
        <v>#N/A</v>
      </c>
    </row>
    <row r="680" spans="1:18">
      <c r="A680" s="972">
        <v>2028.11</v>
      </c>
      <c r="B680" s="1559" t="e">
        <v>#N/A</v>
      </c>
      <c r="C680" s="3711" t="e">
        <v>#N/A</v>
      </c>
      <c r="D680" s="1560" t="e">
        <v>#N/A</v>
      </c>
      <c r="E680" s="1561" t="e">
        <v>#N/A</v>
      </c>
      <c r="F680" s="3711" t="e">
        <v>#N/A</v>
      </c>
      <c r="G680" s="1560" t="e">
        <v>#N/A</v>
      </c>
      <c r="H680" s="1561" t="e">
        <v>#N/A</v>
      </c>
      <c r="I680" s="1561" t="e">
        <v>#N/A</v>
      </c>
      <c r="J680" s="1564" t="e">
        <v>#N/A</v>
      </c>
      <c r="K680" s="1564" t="e">
        <v>#N/A</v>
      </c>
      <c r="L680" s="1564" t="e">
        <v>#N/A</v>
      </c>
      <c r="M680" s="3516" t="e">
        <v>#N/A</v>
      </c>
      <c r="N680" s="1560" t="e">
        <v>#N/A</v>
      </c>
      <c r="O680" s="1561" t="e">
        <v>#N/A</v>
      </c>
      <c r="P680" s="3515" t="e">
        <v>#N/A</v>
      </c>
      <c r="Q680" s="1561" t="e">
        <v>#N/A</v>
      </c>
      <c r="R680" s="3767" t="e">
        <v>#N/A</v>
      </c>
    </row>
    <row r="681" spans="1:18">
      <c r="A681" s="972">
        <v>2028.12</v>
      </c>
      <c r="B681" s="1559" t="e">
        <v>#N/A</v>
      </c>
      <c r="C681" s="3711" t="e">
        <v>#N/A</v>
      </c>
      <c r="D681" s="1560" t="e">
        <v>#N/A</v>
      </c>
      <c r="E681" s="1561" t="e">
        <v>#N/A</v>
      </c>
      <c r="F681" s="3711" t="e">
        <v>#N/A</v>
      </c>
      <c r="G681" s="1560" t="e">
        <v>#N/A</v>
      </c>
      <c r="H681" s="1561" t="e">
        <v>#N/A</v>
      </c>
      <c r="I681" s="1561" t="e">
        <v>#N/A</v>
      </c>
      <c r="J681" s="1564" t="e">
        <v>#N/A</v>
      </c>
      <c r="K681" s="1564" t="e">
        <v>#N/A</v>
      </c>
      <c r="L681" s="1564" t="e">
        <v>#N/A</v>
      </c>
      <c r="M681" s="3516" t="e">
        <v>#N/A</v>
      </c>
      <c r="N681" s="1560" t="e">
        <v>#N/A</v>
      </c>
      <c r="O681" s="1561" t="e">
        <v>#N/A</v>
      </c>
      <c r="P681" s="3515" t="e">
        <v>#N/A</v>
      </c>
      <c r="Q681" s="1561" t="e">
        <v>#N/A</v>
      </c>
      <c r="R681" s="3767" t="e">
        <v>#N/A</v>
      </c>
    </row>
    <row r="682" spans="1:18">
      <c r="A682" s="972">
        <v>2029.01</v>
      </c>
      <c r="B682" s="1559" t="e">
        <v>#N/A</v>
      </c>
      <c r="C682" s="3711" t="e">
        <v>#N/A</v>
      </c>
      <c r="D682" s="1560" t="e">
        <v>#N/A</v>
      </c>
      <c r="E682" s="1561" t="e">
        <v>#N/A</v>
      </c>
      <c r="F682" s="3711" t="e">
        <v>#N/A</v>
      </c>
      <c r="G682" s="1560" t="e">
        <v>#N/A</v>
      </c>
      <c r="H682" s="1561" t="e">
        <v>#N/A</v>
      </c>
      <c r="I682" s="1561" t="e">
        <v>#N/A</v>
      </c>
      <c r="J682" s="1564" t="e">
        <v>#N/A</v>
      </c>
      <c r="K682" s="1564" t="e">
        <v>#N/A</v>
      </c>
      <c r="L682" s="1564" t="e">
        <v>#N/A</v>
      </c>
      <c r="M682" s="3516" t="e">
        <v>#N/A</v>
      </c>
      <c r="N682" s="1560" t="e">
        <v>#N/A</v>
      </c>
      <c r="O682" s="1561" t="e">
        <v>#N/A</v>
      </c>
      <c r="P682" s="3515" t="e">
        <v>#N/A</v>
      </c>
      <c r="Q682" s="1561" t="e">
        <v>#N/A</v>
      </c>
      <c r="R682" s="3767" t="e">
        <v>#N/A</v>
      </c>
    </row>
    <row r="683" spans="1:18">
      <c r="A683" s="972">
        <v>2029.02</v>
      </c>
      <c r="B683" s="1559" t="e">
        <v>#N/A</v>
      </c>
      <c r="C683" s="3711" t="e">
        <v>#N/A</v>
      </c>
      <c r="D683" s="1560" t="e">
        <v>#N/A</v>
      </c>
      <c r="E683" s="1561" t="e">
        <v>#N/A</v>
      </c>
      <c r="F683" s="3711" t="e">
        <v>#N/A</v>
      </c>
      <c r="G683" s="1560" t="e">
        <v>#N/A</v>
      </c>
      <c r="H683" s="1561" t="e">
        <v>#N/A</v>
      </c>
      <c r="I683" s="1561" t="e">
        <v>#N/A</v>
      </c>
      <c r="J683" s="1564" t="e">
        <v>#N/A</v>
      </c>
      <c r="K683" s="1564" t="e">
        <v>#N/A</v>
      </c>
      <c r="L683" s="1564" t="e">
        <v>#N/A</v>
      </c>
      <c r="M683" s="3516" t="e">
        <v>#N/A</v>
      </c>
      <c r="N683" s="1560" t="e">
        <v>#N/A</v>
      </c>
      <c r="O683" s="1561" t="e">
        <v>#N/A</v>
      </c>
      <c r="P683" s="3515" t="e">
        <v>#N/A</v>
      </c>
      <c r="Q683" s="1561" t="e">
        <v>#N/A</v>
      </c>
      <c r="R683" s="3767" t="e">
        <v>#N/A</v>
      </c>
    </row>
    <row r="684" spans="1:18">
      <c r="A684" s="972">
        <v>2029.03</v>
      </c>
      <c r="B684" s="1559" t="e">
        <v>#N/A</v>
      </c>
      <c r="C684" s="3711" t="e">
        <v>#N/A</v>
      </c>
      <c r="D684" s="1560" t="e">
        <v>#N/A</v>
      </c>
      <c r="E684" s="1561" t="e">
        <v>#N/A</v>
      </c>
      <c r="F684" s="3711" t="e">
        <v>#N/A</v>
      </c>
      <c r="G684" s="1560" t="e">
        <v>#N/A</v>
      </c>
      <c r="H684" s="1561" t="e">
        <v>#N/A</v>
      </c>
      <c r="I684" s="1561" t="e">
        <v>#N/A</v>
      </c>
      <c r="J684" s="1564" t="e">
        <v>#N/A</v>
      </c>
      <c r="K684" s="1564" t="e">
        <v>#N/A</v>
      </c>
      <c r="L684" s="1564" t="e">
        <v>#N/A</v>
      </c>
      <c r="M684" s="3516" t="e">
        <v>#N/A</v>
      </c>
      <c r="N684" s="1560" t="e">
        <v>#N/A</v>
      </c>
      <c r="O684" s="1561" t="e">
        <v>#N/A</v>
      </c>
      <c r="P684" s="3515" t="e">
        <v>#N/A</v>
      </c>
      <c r="Q684" s="1561" t="e">
        <v>#N/A</v>
      </c>
      <c r="R684" s="3767" t="e">
        <v>#N/A</v>
      </c>
    </row>
    <row r="685" spans="1:18">
      <c r="A685" s="972">
        <v>2029.04</v>
      </c>
      <c r="B685" s="1559" t="e">
        <v>#N/A</v>
      </c>
      <c r="C685" s="3711" t="e">
        <v>#N/A</v>
      </c>
      <c r="D685" s="1560" t="e">
        <v>#N/A</v>
      </c>
      <c r="E685" s="1561" t="e">
        <v>#N/A</v>
      </c>
      <c r="F685" s="3711" t="e">
        <v>#N/A</v>
      </c>
      <c r="G685" s="1560" t="e">
        <v>#N/A</v>
      </c>
      <c r="H685" s="1561" t="e">
        <v>#N/A</v>
      </c>
      <c r="I685" s="1561" t="e">
        <v>#N/A</v>
      </c>
      <c r="J685" s="1564" t="e">
        <v>#N/A</v>
      </c>
      <c r="K685" s="1564" t="e">
        <v>#N/A</v>
      </c>
      <c r="L685" s="1564" t="e">
        <v>#N/A</v>
      </c>
      <c r="M685" s="3516" t="e">
        <v>#N/A</v>
      </c>
      <c r="N685" s="1560" t="e">
        <v>#N/A</v>
      </c>
      <c r="O685" s="1561" t="e">
        <v>#N/A</v>
      </c>
      <c r="P685" s="3515" t="e">
        <v>#N/A</v>
      </c>
      <c r="Q685" s="1561" t="e">
        <v>#N/A</v>
      </c>
      <c r="R685" s="3767" t="e">
        <v>#N/A</v>
      </c>
    </row>
    <row r="686" spans="1:18">
      <c r="A686" s="972">
        <v>2029.05</v>
      </c>
      <c r="B686" s="1559" t="e">
        <v>#N/A</v>
      </c>
      <c r="C686" s="3711" t="e">
        <v>#N/A</v>
      </c>
      <c r="D686" s="1560" t="e">
        <v>#N/A</v>
      </c>
      <c r="E686" s="1561" t="e">
        <v>#N/A</v>
      </c>
      <c r="F686" s="3711" t="e">
        <v>#N/A</v>
      </c>
      <c r="G686" s="1560" t="e">
        <v>#N/A</v>
      </c>
      <c r="H686" s="1561" t="e">
        <v>#N/A</v>
      </c>
      <c r="I686" s="1561" t="e">
        <v>#N/A</v>
      </c>
      <c r="J686" s="1564" t="e">
        <v>#N/A</v>
      </c>
      <c r="K686" s="1564" t="e">
        <v>#N/A</v>
      </c>
      <c r="L686" s="1564" t="e">
        <v>#N/A</v>
      </c>
      <c r="M686" s="3516" t="e">
        <v>#N/A</v>
      </c>
      <c r="N686" s="1560" t="e">
        <v>#N/A</v>
      </c>
      <c r="O686" s="1561" t="e">
        <v>#N/A</v>
      </c>
      <c r="P686" s="3515" t="e">
        <v>#N/A</v>
      </c>
      <c r="Q686" s="1561" t="e">
        <v>#N/A</v>
      </c>
      <c r="R686" s="3767" t="e">
        <v>#N/A</v>
      </c>
    </row>
    <row r="687" spans="1:18">
      <c r="A687" s="972">
        <v>2029.06</v>
      </c>
      <c r="B687" s="1559" t="e">
        <v>#N/A</v>
      </c>
      <c r="C687" s="3711" t="e">
        <v>#N/A</v>
      </c>
      <c r="D687" s="1560" t="e">
        <v>#N/A</v>
      </c>
      <c r="E687" s="1561" t="e">
        <v>#N/A</v>
      </c>
      <c r="F687" s="3711" t="e">
        <v>#N/A</v>
      </c>
      <c r="G687" s="1560" t="e">
        <v>#N/A</v>
      </c>
      <c r="H687" s="1561" t="e">
        <v>#N/A</v>
      </c>
      <c r="I687" s="1561" t="e">
        <v>#N/A</v>
      </c>
      <c r="J687" s="1564" t="e">
        <v>#N/A</v>
      </c>
      <c r="K687" s="1564" t="e">
        <v>#N/A</v>
      </c>
      <c r="L687" s="1564" t="e">
        <v>#N/A</v>
      </c>
      <c r="M687" s="3516" t="e">
        <v>#N/A</v>
      </c>
      <c r="N687" s="1560" t="e">
        <v>#N/A</v>
      </c>
      <c r="O687" s="1561" t="e">
        <v>#N/A</v>
      </c>
      <c r="P687" s="3515" t="e">
        <v>#N/A</v>
      </c>
      <c r="Q687" s="1561" t="e">
        <v>#N/A</v>
      </c>
      <c r="R687" s="3767" t="e">
        <v>#N/A</v>
      </c>
    </row>
    <row r="688" spans="1:18">
      <c r="A688" s="972">
        <v>2029.07</v>
      </c>
      <c r="B688" s="1559" t="e">
        <v>#N/A</v>
      </c>
      <c r="C688" s="3711" t="e">
        <v>#N/A</v>
      </c>
      <c r="D688" s="1560" t="e">
        <v>#N/A</v>
      </c>
      <c r="E688" s="1561" t="e">
        <v>#N/A</v>
      </c>
      <c r="F688" s="3711" t="e">
        <v>#N/A</v>
      </c>
      <c r="G688" s="1560" t="e">
        <v>#N/A</v>
      </c>
      <c r="H688" s="1561" t="e">
        <v>#N/A</v>
      </c>
      <c r="I688" s="1561" t="e">
        <v>#N/A</v>
      </c>
      <c r="J688" s="1564" t="e">
        <v>#N/A</v>
      </c>
      <c r="K688" s="1564" t="e">
        <v>#N/A</v>
      </c>
      <c r="L688" s="1564" t="e">
        <v>#N/A</v>
      </c>
      <c r="M688" s="3516" t="e">
        <v>#N/A</v>
      </c>
      <c r="N688" s="1560" t="e">
        <v>#N/A</v>
      </c>
      <c r="O688" s="1561" t="e">
        <v>#N/A</v>
      </c>
      <c r="P688" s="3515" t="e">
        <v>#N/A</v>
      </c>
      <c r="Q688" s="1561" t="e">
        <v>#N/A</v>
      </c>
      <c r="R688" s="3767" t="e">
        <v>#N/A</v>
      </c>
    </row>
    <row r="689" spans="1:18">
      <c r="A689" s="972">
        <v>2029.08</v>
      </c>
      <c r="B689" s="1559" t="e">
        <v>#N/A</v>
      </c>
      <c r="C689" s="3711" t="e">
        <v>#N/A</v>
      </c>
      <c r="D689" s="1560" t="e">
        <v>#N/A</v>
      </c>
      <c r="E689" s="1561" t="e">
        <v>#N/A</v>
      </c>
      <c r="F689" s="3711" t="e">
        <v>#N/A</v>
      </c>
      <c r="G689" s="1560" t="e">
        <v>#N/A</v>
      </c>
      <c r="H689" s="1561" t="e">
        <v>#N/A</v>
      </c>
      <c r="I689" s="1561" t="e">
        <v>#N/A</v>
      </c>
      <c r="J689" s="1564" t="e">
        <v>#N/A</v>
      </c>
      <c r="K689" s="1564" t="e">
        <v>#N/A</v>
      </c>
      <c r="L689" s="1564" t="e">
        <v>#N/A</v>
      </c>
      <c r="M689" s="3516" t="e">
        <v>#N/A</v>
      </c>
      <c r="N689" s="1560" t="e">
        <v>#N/A</v>
      </c>
      <c r="O689" s="1561" t="e">
        <v>#N/A</v>
      </c>
      <c r="P689" s="3515" t="e">
        <v>#N/A</v>
      </c>
      <c r="Q689" s="1561" t="e">
        <v>#N/A</v>
      </c>
      <c r="R689" s="3767" t="e">
        <v>#N/A</v>
      </c>
    </row>
    <row r="690" spans="1:18">
      <c r="A690" s="972">
        <v>2029.09</v>
      </c>
      <c r="B690" s="1559" t="e">
        <v>#N/A</v>
      </c>
      <c r="C690" s="3711" t="e">
        <v>#N/A</v>
      </c>
      <c r="D690" s="1560" t="e">
        <v>#N/A</v>
      </c>
      <c r="E690" s="1561" t="e">
        <v>#N/A</v>
      </c>
      <c r="F690" s="3711" t="e">
        <v>#N/A</v>
      </c>
      <c r="G690" s="1560" t="e">
        <v>#N/A</v>
      </c>
      <c r="H690" s="1561" t="e">
        <v>#N/A</v>
      </c>
      <c r="I690" s="1561" t="e">
        <v>#N/A</v>
      </c>
      <c r="J690" s="1564" t="e">
        <v>#N/A</v>
      </c>
      <c r="K690" s="1564" t="e">
        <v>#N/A</v>
      </c>
      <c r="L690" s="1564" t="e">
        <v>#N/A</v>
      </c>
      <c r="M690" s="3516" t="e">
        <v>#N/A</v>
      </c>
      <c r="N690" s="1560" t="e">
        <v>#N/A</v>
      </c>
      <c r="O690" s="1561" t="e">
        <v>#N/A</v>
      </c>
      <c r="P690" s="3515" t="e">
        <v>#N/A</v>
      </c>
      <c r="Q690" s="1561" t="e">
        <v>#N/A</v>
      </c>
      <c r="R690" s="3767" t="e">
        <v>#N/A</v>
      </c>
    </row>
    <row r="691" spans="1:18">
      <c r="A691" s="972">
        <v>2029.1</v>
      </c>
      <c r="B691" s="1559" t="e">
        <v>#N/A</v>
      </c>
      <c r="C691" s="3711" t="e">
        <v>#N/A</v>
      </c>
      <c r="D691" s="1560" t="e">
        <v>#N/A</v>
      </c>
      <c r="E691" s="1561" t="e">
        <v>#N/A</v>
      </c>
      <c r="F691" s="3711" t="e">
        <v>#N/A</v>
      </c>
      <c r="G691" s="1560" t="e">
        <v>#N/A</v>
      </c>
      <c r="H691" s="1561" t="e">
        <v>#N/A</v>
      </c>
      <c r="I691" s="1561" t="e">
        <v>#N/A</v>
      </c>
      <c r="J691" s="1564" t="e">
        <v>#N/A</v>
      </c>
      <c r="K691" s="1564" t="e">
        <v>#N/A</v>
      </c>
      <c r="L691" s="1564" t="e">
        <v>#N/A</v>
      </c>
      <c r="M691" s="3516" t="e">
        <v>#N/A</v>
      </c>
      <c r="N691" s="1560" t="e">
        <v>#N/A</v>
      </c>
      <c r="O691" s="1561" t="e">
        <v>#N/A</v>
      </c>
      <c r="P691" s="3515" t="e">
        <v>#N/A</v>
      </c>
      <c r="Q691" s="1561" t="e">
        <v>#N/A</v>
      </c>
      <c r="R691" s="3767" t="e">
        <v>#N/A</v>
      </c>
    </row>
    <row r="692" spans="1:18">
      <c r="A692" s="972">
        <v>2029.11</v>
      </c>
      <c r="B692" s="1559" t="e">
        <v>#N/A</v>
      </c>
      <c r="C692" s="3711" t="e">
        <v>#N/A</v>
      </c>
      <c r="D692" s="1560" t="e">
        <v>#N/A</v>
      </c>
      <c r="E692" s="1561" t="e">
        <v>#N/A</v>
      </c>
      <c r="F692" s="3711" t="e">
        <v>#N/A</v>
      </c>
      <c r="G692" s="1560" t="e">
        <v>#N/A</v>
      </c>
      <c r="H692" s="1561" t="e">
        <v>#N/A</v>
      </c>
      <c r="I692" s="1561" t="e">
        <v>#N/A</v>
      </c>
      <c r="J692" s="1564" t="e">
        <v>#N/A</v>
      </c>
      <c r="K692" s="1564" t="e">
        <v>#N/A</v>
      </c>
      <c r="L692" s="1564" t="e">
        <v>#N/A</v>
      </c>
      <c r="M692" s="3516" t="e">
        <v>#N/A</v>
      </c>
      <c r="N692" s="1560" t="e">
        <v>#N/A</v>
      </c>
      <c r="O692" s="1561" t="e">
        <v>#N/A</v>
      </c>
      <c r="P692" s="3515" t="e">
        <v>#N/A</v>
      </c>
      <c r="Q692" s="1561" t="e">
        <v>#N/A</v>
      </c>
      <c r="R692" s="3767" t="e">
        <v>#N/A</v>
      </c>
    </row>
    <row r="693" spans="1:18">
      <c r="A693" s="972">
        <v>2029.12</v>
      </c>
      <c r="B693" s="1559" t="e">
        <v>#N/A</v>
      </c>
      <c r="C693" s="3711" t="e">
        <v>#N/A</v>
      </c>
      <c r="D693" s="1560" t="e">
        <v>#N/A</v>
      </c>
      <c r="E693" s="1561" t="e">
        <v>#N/A</v>
      </c>
      <c r="F693" s="3711" t="e">
        <v>#N/A</v>
      </c>
      <c r="G693" s="1560" t="e">
        <v>#N/A</v>
      </c>
      <c r="H693" s="1561" t="e">
        <v>#N/A</v>
      </c>
      <c r="I693" s="1561" t="e">
        <v>#N/A</v>
      </c>
      <c r="J693" s="1564" t="e">
        <v>#N/A</v>
      </c>
      <c r="K693" s="1564" t="e">
        <v>#N/A</v>
      </c>
      <c r="L693" s="1564" t="e">
        <v>#N/A</v>
      </c>
      <c r="M693" s="3516" t="e">
        <v>#N/A</v>
      </c>
      <c r="N693" s="1560" t="e">
        <v>#N/A</v>
      </c>
      <c r="O693" s="1561" t="e">
        <v>#N/A</v>
      </c>
      <c r="P693" s="3515" t="e">
        <v>#N/A</v>
      </c>
      <c r="Q693" s="1561" t="e">
        <v>#N/A</v>
      </c>
      <c r="R693" s="3767" t="e">
        <v>#N/A</v>
      </c>
    </row>
    <row r="694" spans="1:18">
      <c r="A694" s="972">
        <v>2030.01</v>
      </c>
      <c r="B694" s="1559" t="e">
        <v>#N/A</v>
      </c>
      <c r="C694" s="3711" t="e">
        <v>#N/A</v>
      </c>
      <c r="D694" s="1560" t="e">
        <v>#N/A</v>
      </c>
      <c r="E694" s="1561" t="e">
        <v>#N/A</v>
      </c>
      <c r="F694" s="3711" t="e">
        <v>#N/A</v>
      </c>
      <c r="G694" s="1560" t="e">
        <v>#N/A</v>
      </c>
      <c r="H694" s="1561" t="e">
        <v>#N/A</v>
      </c>
      <c r="I694" s="1561" t="e">
        <v>#N/A</v>
      </c>
      <c r="J694" s="1564" t="e">
        <v>#N/A</v>
      </c>
      <c r="K694" s="1564" t="e">
        <v>#N/A</v>
      </c>
      <c r="L694" s="1564" t="e">
        <v>#N/A</v>
      </c>
      <c r="M694" s="3516" t="e">
        <v>#N/A</v>
      </c>
      <c r="N694" s="1560" t="e">
        <v>#N/A</v>
      </c>
      <c r="O694" s="1561" t="e">
        <v>#N/A</v>
      </c>
      <c r="P694" s="3515" t="e">
        <v>#N/A</v>
      </c>
      <c r="Q694" s="1561" t="e">
        <v>#N/A</v>
      </c>
      <c r="R694" s="3767" t="e">
        <v>#N/A</v>
      </c>
    </row>
    <row r="695" spans="1:18">
      <c r="A695" s="972">
        <v>2030.02</v>
      </c>
      <c r="B695" s="1559" t="e">
        <v>#N/A</v>
      </c>
      <c r="C695" s="3711" t="e">
        <v>#N/A</v>
      </c>
      <c r="D695" s="1560" t="e">
        <v>#N/A</v>
      </c>
      <c r="E695" s="1561" t="e">
        <v>#N/A</v>
      </c>
      <c r="F695" s="3711" t="e">
        <v>#N/A</v>
      </c>
      <c r="G695" s="1560" t="e">
        <v>#N/A</v>
      </c>
      <c r="H695" s="1561" t="e">
        <v>#N/A</v>
      </c>
      <c r="I695" s="1561" t="e">
        <v>#N/A</v>
      </c>
      <c r="J695" s="1564" t="e">
        <v>#N/A</v>
      </c>
      <c r="K695" s="1564" t="e">
        <v>#N/A</v>
      </c>
      <c r="L695" s="1564" t="e">
        <v>#N/A</v>
      </c>
      <c r="M695" s="3516" t="e">
        <v>#N/A</v>
      </c>
      <c r="N695" s="1560" t="e">
        <v>#N/A</v>
      </c>
      <c r="O695" s="1561" t="e">
        <v>#N/A</v>
      </c>
      <c r="P695" s="3515" t="e">
        <v>#N/A</v>
      </c>
      <c r="Q695" s="1561" t="e">
        <v>#N/A</v>
      </c>
      <c r="R695" s="3767" t="e">
        <v>#N/A</v>
      </c>
    </row>
    <row r="696" spans="1:18">
      <c r="A696" s="972">
        <v>2030.03</v>
      </c>
      <c r="B696" s="1559" t="e">
        <v>#N/A</v>
      </c>
      <c r="C696" s="3711" t="e">
        <v>#N/A</v>
      </c>
      <c r="D696" s="1560" t="e">
        <v>#N/A</v>
      </c>
      <c r="E696" s="1561" t="e">
        <v>#N/A</v>
      </c>
      <c r="F696" s="3711" t="e">
        <v>#N/A</v>
      </c>
      <c r="G696" s="1560" t="e">
        <v>#N/A</v>
      </c>
      <c r="H696" s="1561" t="e">
        <v>#N/A</v>
      </c>
      <c r="I696" s="1561" t="e">
        <v>#N/A</v>
      </c>
      <c r="J696" s="1564" t="e">
        <v>#N/A</v>
      </c>
      <c r="K696" s="1564" t="e">
        <v>#N/A</v>
      </c>
      <c r="L696" s="1564" t="e">
        <v>#N/A</v>
      </c>
      <c r="M696" s="3516" t="e">
        <v>#N/A</v>
      </c>
      <c r="N696" s="1560" t="e">
        <v>#N/A</v>
      </c>
      <c r="O696" s="1561" t="e">
        <v>#N/A</v>
      </c>
      <c r="P696" s="3515" t="e">
        <v>#N/A</v>
      </c>
      <c r="Q696" s="1561" t="e">
        <v>#N/A</v>
      </c>
      <c r="R696" s="3767" t="e">
        <v>#N/A</v>
      </c>
    </row>
    <row r="697" spans="1:18">
      <c r="A697" s="972">
        <v>2030.04</v>
      </c>
      <c r="B697" s="1559" t="e">
        <v>#N/A</v>
      </c>
      <c r="C697" s="3711" t="e">
        <v>#N/A</v>
      </c>
      <c r="D697" s="1560" t="e">
        <v>#N/A</v>
      </c>
      <c r="E697" s="1561" t="e">
        <v>#N/A</v>
      </c>
      <c r="F697" s="3711" t="e">
        <v>#N/A</v>
      </c>
      <c r="G697" s="1560" t="e">
        <v>#N/A</v>
      </c>
      <c r="H697" s="1561" t="e">
        <v>#N/A</v>
      </c>
      <c r="I697" s="1561" t="e">
        <v>#N/A</v>
      </c>
      <c r="J697" s="1564" t="e">
        <v>#N/A</v>
      </c>
      <c r="K697" s="1564" t="e">
        <v>#N/A</v>
      </c>
      <c r="L697" s="1564" t="e">
        <v>#N/A</v>
      </c>
      <c r="M697" s="3516" t="e">
        <v>#N/A</v>
      </c>
      <c r="N697" s="1560" t="e">
        <v>#N/A</v>
      </c>
      <c r="O697" s="1561" t="e">
        <v>#N/A</v>
      </c>
      <c r="P697" s="3515" t="e">
        <v>#N/A</v>
      </c>
      <c r="Q697" s="1561" t="e">
        <v>#N/A</v>
      </c>
      <c r="R697" s="3767" t="e">
        <v>#N/A</v>
      </c>
    </row>
    <row r="698" spans="1:18">
      <c r="A698" s="972">
        <v>2030.05</v>
      </c>
      <c r="B698" s="1559" t="e">
        <v>#N/A</v>
      </c>
      <c r="C698" s="3711" t="e">
        <v>#N/A</v>
      </c>
      <c r="D698" s="1560" t="e">
        <v>#N/A</v>
      </c>
      <c r="E698" s="1561" t="e">
        <v>#N/A</v>
      </c>
      <c r="F698" s="3711" t="e">
        <v>#N/A</v>
      </c>
      <c r="G698" s="1560" t="e">
        <v>#N/A</v>
      </c>
      <c r="H698" s="1561" t="e">
        <v>#N/A</v>
      </c>
      <c r="I698" s="1561" t="e">
        <v>#N/A</v>
      </c>
      <c r="J698" s="1564" t="e">
        <v>#N/A</v>
      </c>
      <c r="K698" s="1564" t="e">
        <v>#N/A</v>
      </c>
      <c r="L698" s="1564" t="e">
        <v>#N/A</v>
      </c>
      <c r="M698" s="3516" t="e">
        <v>#N/A</v>
      </c>
      <c r="N698" s="1560" t="e">
        <v>#N/A</v>
      </c>
      <c r="O698" s="1561" t="e">
        <v>#N/A</v>
      </c>
      <c r="P698" s="3515" t="e">
        <v>#N/A</v>
      </c>
      <c r="Q698" s="1561" t="e">
        <v>#N/A</v>
      </c>
      <c r="R698" s="3767" t="e">
        <v>#N/A</v>
      </c>
    </row>
    <row r="699" spans="1:18">
      <c r="A699" s="972">
        <v>2030.06</v>
      </c>
      <c r="B699" s="1559" t="e">
        <v>#N/A</v>
      </c>
      <c r="C699" s="3711" t="e">
        <v>#N/A</v>
      </c>
      <c r="D699" s="1560" t="e">
        <v>#N/A</v>
      </c>
      <c r="E699" s="1561" t="e">
        <v>#N/A</v>
      </c>
      <c r="F699" s="3711" t="e">
        <v>#N/A</v>
      </c>
      <c r="G699" s="1560" t="e">
        <v>#N/A</v>
      </c>
      <c r="H699" s="1561" t="e">
        <v>#N/A</v>
      </c>
      <c r="I699" s="1561" t="e">
        <v>#N/A</v>
      </c>
      <c r="J699" s="1564" t="e">
        <v>#N/A</v>
      </c>
      <c r="K699" s="1564" t="e">
        <v>#N/A</v>
      </c>
      <c r="L699" s="1564" t="e">
        <v>#N/A</v>
      </c>
      <c r="M699" s="3516" t="e">
        <v>#N/A</v>
      </c>
      <c r="N699" s="1560" t="e">
        <v>#N/A</v>
      </c>
      <c r="O699" s="1561" t="e">
        <v>#N/A</v>
      </c>
      <c r="P699" s="3515" t="e">
        <v>#N/A</v>
      </c>
      <c r="Q699" s="1561" t="e">
        <v>#N/A</v>
      </c>
      <c r="R699" s="3767" t="e">
        <v>#N/A</v>
      </c>
    </row>
    <row r="700" spans="1:18">
      <c r="A700" s="972">
        <v>2030.07</v>
      </c>
      <c r="B700" s="1559" t="e">
        <v>#N/A</v>
      </c>
      <c r="C700" s="3711" t="e">
        <v>#N/A</v>
      </c>
      <c r="D700" s="1560" t="e">
        <v>#N/A</v>
      </c>
      <c r="E700" s="1561" t="e">
        <v>#N/A</v>
      </c>
      <c r="F700" s="3711" t="e">
        <v>#N/A</v>
      </c>
      <c r="G700" s="1560" t="e">
        <v>#N/A</v>
      </c>
      <c r="H700" s="1561" t="e">
        <v>#N/A</v>
      </c>
      <c r="I700" s="1561" t="e">
        <v>#N/A</v>
      </c>
      <c r="J700" s="1564" t="e">
        <v>#N/A</v>
      </c>
      <c r="K700" s="1564" t="e">
        <v>#N/A</v>
      </c>
      <c r="L700" s="1564" t="e">
        <v>#N/A</v>
      </c>
      <c r="M700" s="3516" t="e">
        <v>#N/A</v>
      </c>
      <c r="N700" s="1560" t="e">
        <v>#N/A</v>
      </c>
      <c r="O700" s="1561" t="e">
        <v>#N/A</v>
      </c>
      <c r="P700" s="3515" t="e">
        <v>#N/A</v>
      </c>
      <c r="Q700" s="1561" t="e">
        <v>#N/A</v>
      </c>
      <c r="R700" s="3767" t="e">
        <v>#N/A</v>
      </c>
    </row>
    <row r="701" spans="1:18">
      <c r="A701" s="972">
        <v>2030.08</v>
      </c>
      <c r="B701" s="1559" t="e">
        <v>#N/A</v>
      </c>
      <c r="C701" s="3711" t="e">
        <v>#N/A</v>
      </c>
      <c r="D701" s="1560" t="e">
        <v>#N/A</v>
      </c>
      <c r="E701" s="1561" t="e">
        <v>#N/A</v>
      </c>
      <c r="F701" s="3711" t="e">
        <v>#N/A</v>
      </c>
      <c r="G701" s="1560" t="e">
        <v>#N/A</v>
      </c>
      <c r="H701" s="1561" t="e">
        <v>#N/A</v>
      </c>
      <c r="I701" s="1561" t="e">
        <v>#N/A</v>
      </c>
      <c r="J701" s="1564" t="e">
        <v>#N/A</v>
      </c>
      <c r="K701" s="1564" t="e">
        <v>#N/A</v>
      </c>
      <c r="L701" s="1564" t="e">
        <v>#N/A</v>
      </c>
      <c r="M701" s="3516" t="e">
        <v>#N/A</v>
      </c>
      <c r="N701" s="1560" t="e">
        <v>#N/A</v>
      </c>
      <c r="O701" s="1561" t="e">
        <v>#N/A</v>
      </c>
      <c r="P701" s="3515" t="e">
        <v>#N/A</v>
      </c>
      <c r="Q701" s="1561" t="e">
        <v>#N/A</v>
      </c>
      <c r="R701" s="3767" t="e">
        <v>#N/A</v>
      </c>
    </row>
    <row r="702" spans="1:18">
      <c r="A702" s="972">
        <v>2030.09</v>
      </c>
      <c r="B702" s="1559" t="e">
        <v>#N/A</v>
      </c>
      <c r="C702" s="3711" t="e">
        <v>#N/A</v>
      </c>
      <c r="D702" s="1560" t="e">
        <v>#N/A</v>
      </c>
      <c r="E702" s="1561" t="e">
        <v>#N/A</v>
      </c>
      <c r="F702" s="3711" t="e">
        <v>#N/A</v>
      </c>
      <c r="G702" s="1560" t="e">
        <v>#N/A</v>
      </c>
      <c r="H702" s="1561" t="e">
        <v>#N/A</v>
      </c>
      <c r="I702" s="1561" t="e">
        <v>#N/A</v>
      </c>
      <c r="J702" s="1564" t="e">
        <v>#N/A</v>
      </c>
      <c r="K702" s="1564" t="e">
        <v>#N/A</v>
      </c>
      <c r="L702" s="1564" t="e">
        <v>#N/A</v>
      </c>
      <c r="M702" s="3516" t="e">
        <v>#N/A</v>
      </c>
      <c r="N702" s="1560" t="e">
        <v>#N/A</v>
      </c>
      <c r="O702" s="1561" t="e">
        <v>#N/A</v>
      </c>
      <c r="P702" s="3515" t="e">
        <v>#N/A</v>
      </c>
      <c r="Q702" s="1561" t="e">
        <v>#N/A</v>
      </c>
      <c r="R702" s="3767" t="e">
        <v>#N/A</v>
      </c>
    </row>
    <row r="703" spans="1:18">
      <c r="A703" s="972">
        <v>2030.1</v>
      </c>
      <c r="B703" s="1559" t="e">
        <v>#N/A</v>
      </c>
      <c r="C703" s="3711" t="e">
        <v>#N/A</v>
      </c>
      <c r="D703" s="1560" t="e">
        <v>#N/A</v>
      </c>
      <c r="E703" s="1561" t="e">
        <v>#N/A</v>
      </c>
      <c r="F703" s="3711" t="e">
        <v>#N/A</v>
      </c>
      <c r="G703" s="1560" t="e">
        <v>#N/A</v>
      </c>
      <c r="H703" s="1561" t="e">
        <v>#N/A</v>
      </c>
      <c r="I703" s="1561" t="e">
        <v>#N/A</v>
      </c>
      <c r="J703" s="1564" t="e">
        <v>#N/A</v>
      </c>
      <c r="K703" s="1564" t="e">
        <v>#N/A</v>
      </c>
      <c r="L703" s="1564" t="e">
        <v>#N/A</v>
      </c>
      <c r="M703" s="3516" t="e">
        <v>#N/A</v>
      </c>
      <c r="N703" s="1560" t="e">
        <v>#N/A</v>
      </c>
      <c r="O703" s="1561" t="e">
        <v>#N/A</v>
      </c>
      <c r="P703" s="3515" t="e">
        <v>#N/A</v>
      </c>
      <c r="Q703" s="1561" t="e">
        <v>#N/A</v>
      </c>
      <c r="R703" s="3767" t="e">
        <v>#N/A</v>
      </c>
    </row>
    <row r="704" spans="1:18">
      <c r="A704" s="972">
        <v>2030.11</v>
      </c>
      <c r="B704" s="1559" t="e">
        <v>#N/A</v>
      </c>
      <c r="C704" s="3711" t="e">
        <v>#N/A</v>
      </c>
      <c r="D704" s="1560" t="e">
        <v>#N/A</v>
      </c>
      <c r="E704" s="1561" t="e">
        <v>#N/A</v>
      </c>
      <c r="F704" s="3711" t="e">
        <v>#N/A</v>
      </c>
      <c r="G704" s="1560" t="e">
        <v>#N/A</v>
      </c>
      <c r="H704" s="1561" t="e">
        <v>#N/A</v>
      </c>
      <c r="I704" s="1561" t="e">
        <v>#N/A</v>
      </c>
      <c r="J704" s="1564" t="e">
        <v>#N/A</v>
      </c>
      <c r="K704" s="1564" t="e">
        <v>#N/A</v>
      </c>
      <c r="L704" s="1564" t="e">
        <v>#N/A</v>
      </c>
      <c r="M704" s="3516" t="e">
        <v>#N/A</v>
      </c>
      <c r="N704" s="1560" t="e">
        <v>#N/A</v>
      </c>
      <c r="O704" s="1561" t="e">
        <v>#N/A</v>
      </c>
      <c r="P704" s="3515" t="e">
        <v>#N/A</v>
      </c>
      <c r="Q704" s="1561" t="e">
        <v>#N/A</v>
      </c>
      <c r="R704" s="3767" t="e">
        <v>#N/A</v>
      </c>
    </row>
    <row r="705" spans="1:18">
      <c r="A705" s="972">
        <v>2030.12</v>
      </c>
      <c r="B705" s="1559" t="e">
        <v>#N/A</v>
      </c>
      <c r="C705" s="3711" t="e">
        <v>#N/A</v>
      </c>
      <c r="D705" s="1560" t="e">
        <v>#N/A</v>
      </c>
      <c r="E705" s="1561" t="e">
        <v>#N/A</v>
      </c>
      <c r="F705" s="3711" t="e">
        <v>#N/A</v>
      </c>
      <c r="G705" s="1560" t="e">
        <v>#N/A</v>
      </c>
      <c r="H705" s="1561" t="e">
        <v>#N/A</v>
      </c>
      <c r="I705" s="1561" t="e">
        <v>#N/A</v>
      </c>
      <c r="J705" s="1564" t="e">
        <v>#N/A</v>
      </c>
      <c r="K705" s="1564" t="e">
        <v>#N/A</v>
      </c>
      <c r="L705" s="1564" t="e">
        <v>#N/A</v>
      </c>
      <c r="M705" s="3516" t="e">
        <v>#N/A</v>
      </c>
      <c r="N705" s="1560" t="e">
        <v>#N/A</v>
      </c>
      <c r="O705" s="1561" t="e">
        <v>#N/A</v>
      </c>
      <c r="P705" s="3515" t="e">
        <v>#N/A</v>
      </c>
      <c r="Q705" s="1561" t="e">
        <v>#N/A</v>
      </c>
      <c r="R705" s="3767" t="e">
        <v>#N/A</v>
      </c>
    </row>
  </sheetData>
  <dataConsolidate link="1"/>
  <mergeCells count="1">
    <mergeCell ref="M5:N5"/>
  </mergeCells>
  <phoneticPr fontId="77" type="noConversion"/>
  <hyperlinks>
    <hyperlink ref="A1:A3" location="Indice!A1" display="ÍNDICE" xr:uid="{00000000-0004-0000-3A00-000000000000}"/>
    <hyperlink ref="A5" location="INDICE!A13" display="VOLVER AL INDICE" xr:uid="{00000000-0004-0000-3A00-000001000000}"/>
  </hyperlinks>
  <printOptions gridLines="1" gridLinesSet="0"/>
  <pageMargins left="0.75" right="0.75" top="0.26" bottom="1" header="0.511811024" footer="0.511811024"/>
  <pageSetup paperSize="256" orientation="landscape" horizontalDpi="180" verticalDpi="180" copies="3" r:id="rId1"/>
  <headerFooter alignWithMargins="0">
    <oddHeader>&amp;A</oddHeader>
    <oddFooter>Página &amp;P</oddFooter>
  </headerFooter>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42"/>
  <dimension ref="A1:L309"/>
  <sheetViews>
    <sheetView workbookViewId="0">
      <pane xSplit="1" ySplit="9" topLeftCell="B234" activePane="bottomRight" state="frozen"/>
      <selection pane="topRight" activeCell="B1" sqref="B1"/>
      <selection pane="bottomLeft" activeCell="A10" sqref="A10"/>
      <selection pane="bottomRight" activeCell="A5" sqref="A5"/>
    </sheetView>
  </sheetViews>
  <sheetFormatPr baseColWidth="10" defaultColWidth="12.5703125" defaultRowHeight="12.75"/>
  <cols>
    <col min="1" max="1" width="11.42578125" style="84" customWidth="1"/>
    <col min="2" max="7" width="18.5703125" style="84" customWidth="1"/>
    <col min="8" max="10" width="15.42578125" style="18" customWidth="1"/>
    <col min="11" max="16384" width="12.5703125" style="18"/>
  </cols>
  <sheetData>
    <row r="1" spans="1:10" s="16" customFormat="1" ht="3.75" customHeight="1">
      <c r="A1" s="2761"/>
      <c r="B1" s="1565"/>
      <c r="C1" s="1545"/>
      <c r="D1" s="1545"/>
      <c r="E1" s="1545"/>
      <c r="F1" s="1545"/>
      <c r="G1" s="1566"/>
      <c r="H1" s="1458"/>
      <c r="I1" s="1458"/>
      <c r="J1" s="3165"/>
    </row>
    <row r="2" spans="1:10" s="16" customFormat="1">
      <c r="A2" s="2762" t="s">
        <v>99</v>
      </c>
      <c r="B2" s="3089" t="s">
        <v>1978</v>
      </c>
      <c r="C2" s="3149"/>
      <c r="D2" s="3090"/>
      <c r="E2" s="1871"/>
      <c r="F2" s="3090"/>
      <c r="G2" s="1871"/>
      <c r="H2" s="189" t="s">
        <v>1979</v>
      </c>
      <c r="I2" s="3166"/>
      <c r="J2" s="3167"/>
    </row>
    <row r="3" spans="1:10" s="16" customFormat="1" ht="22.5">
      <c r="A3" s="2762" t="s">
        <v>193</v>
      </c>
      <c r="B3" s="189" t="s">
        <v>106</v>
      </c>
      <c r="C3" s="85"/>
      <c r="D3" s="1459"/>
      <c r="E3" s="288"/>
      <c r="F3" s="1459" t="s">
        <v>114</v>
      </c>
      <c r="G3" s="110"/>
      <c r="H3" s="1459" t="s">
        <v>114</v>
      </c>
      <c r="I3" s="85"/>
      <c r="J3" s="3127" t="s">
        <v>1980</v>
      </c>
    </row>
    <row r="4" spans="1:10" s="16" customFormat="1" ht="2.25" hidden="1" customHeight="1">
      <c r="A4" s="2762"/>
      <c r="B4" s="86"/>
      <c r="C4" s="109"/>
      <c r="D4" s="109"/>
      <c r="E4" s="287"/>
      <c r="F4" s="109"/>
      <c r="G4" s="87"/>
      <c r="H4" s="1458"/>
      <c r="I4" s="1458"/>
      <c r="J4" s="3168"/>
    </row>
    <row r="5" spans="1:10" s="16" customFormat="1" ht="22.5">
      <c r="A5" s="2867" t="s">
        <v>140</v>
      </c>
      <c r="B5" s="1567" t="s">
        <v>1981</v>
      </c>
      <c r="C5" s="246" t="s">
        <v>1982</v>
      </c>
      <c r="D5" s="1568" t="s">
        <v>1983</v>
      </c>
      <c r="E5" s="676" t="s">
        <v>1984</v>
      </c>
      <c r="F5" s="1568" t="s">
        <v>1985</v>
      </c>
      <c r="G5" s="1547" t="s">
        <v>1986</v>
      </c>
      <c r="H5" s="1568" t="s">
        <v>1987</v>
      </c>
      <c r="I5" s="246" t="s">
        <v>1988</v>
      </c>
      <c r="J5" s="3169" t="s">
        <v>1989</v>
      </c>
    </row>
    <row r="6" spans="1:10" s="16" customFormat="1" ht="2.25" hidden="1" customHeight="1">
      <c r="A6" s="2762"/>
      <c r="B6" s="755"/>
      <c r="C6" s="109"/>
      <c r="D6" s="756"/>
      <c r="E6" s="287"/>
      <c r="F6" s="752"/>
      <c r="G6" s="87"/>
      <c r="H6" s="1458"/>
      <c r="I6" s="1458"/>
      <c r="J6" s="3168"/>
    </row>
    <row r="7" spans="1:10" s="16" customFormat="1" ht="22.5">
      <c r="A7" s="2762" t="s">
        <v>125</v>
      </c>
      <c r="B7" s="1569" t="s">
        <v>241</v>
      </c>
      <c r="C7" s="676" t="s">
        <v>241</v>
      </c>
      <c r="D7" s="1570" t="s">
        <v>241</v>
      </c>
      <c r="E7" s="676" t="s">
        <v>241</v>
      </c>
      <c r="F7" s="1570" t="s">
        <v>241</v>
      </c>
      <c r="G7" s="1547" t="s">
        <v>241</v>
      </c>
      <c r="H7" s="1570" t="s">
        <v>241</v>
      </c>
      <c r="I7" s="246" t="s">
        <v>241</v>
      </c>
      <c r="J7" s="3169" t="s">
        <v>241</v>
      </c>
    </row>
    <row r="8" spans="1:10" s="16" customFormat="1" ht="13.5" customHeight="1">
      <c r="A8" s="3002" t="s">
        <v>144</v>
      </c>
      <c r="B8" s="2204" t="s">
        <v>1990</v>
      </c>
      <c r="C8" s="1751" t="s">
        <v>1991</v>
      </c>
      <c r="D8" s="2204" t="s">
        <v>1992</v>
      </c>
      <c r="E8" s="1751" t="s">
        <v>1993</v>
      </c>
      <c r="F8" s="2204" t="s">
        <v>1994</v>
      </c>
      <c r="G8" s="2141" t="s">
        <v>1995</v>
      </c>
      <c r="H8" s="2204" t="s">
        <v>1996</v>
      </c>
      <c r="I8" s="1750" t="s">
        <v>1997</v>
      </c>
      <c r="J8" s="2956" t="s">
        <v>1998</v>
      </c>
    </row>
    <row r="9" spans="1:10" s="17" customFormat="1" ht="13.5" thickBot="1">
      <c r="A9" s="2140"/>
      <c r="B9" s="1571"/>
      <c r="C9" s="1115"/>
      <c r="D9" s="1117"/>
      <c r="E9" s="1572"/>
      <c r="F9" s="1117"/>
      <c r="G9" s="1573"/>
      <c r="H9" s="1117"/>
      <c r="I9" s="1118"/>
      <c r="J9" s="2465"/>
    </row>
    <row r="10" spans="1:10" s="17" customFormat="1">
      <c r="A10" s="1556">
        <v>2006.01</v>
      </c>
      <c r="B10" s="1710"/>
      <c r="C10" s="1711"/>
      <c r="D10" s="1712"/>
      <c r="E10" s="1713"/>
      <c r="F10" s="1712"/>
      <c r="G10" s="1714"/>
      <c r="H10" s="1712"/>
      <c r="I10" s="1711"/>
      <c r="J10" s="2466"/>
    </row>
    <row r="11" spans="1:10" s="17" customFormat="1">
      <c r="A11" s="1468">
        <v>2006.02</v>
      </c>
      <c r="B11" s="1574"/>
      <c r="C11" s="1575"/>
      <c r="D11" s="1576"/>
      <c r="E11" s="1577"/>
      <c r="F11" s="1576"/>
      <c r="G11" s="1578"/>
      <c r="H11" s="1576"/>
      <c r="I11" s="1575"/>
      <c r="J11" s="2466"/>
    </row>
    <row r="12" spans="1:10" s="17" customFormat="1">
      <c r="A12" s="1468">
        <v>2006.03</v>
      </c>
      <c r="B12" s="1574"/>
      <c r="C12" s="1575"/>
      <c r="D12" s="1576"/>
      <c r="E12" s="1577"/>
      <c r="F12" s="1576"/>
      <c r="G12" s="1578"/>
      <c r="H12" s="1576"/>
      <c r="I12" s="1575"/>
      <c r="J12" s="2466"/>
    </row>
    <row r="13" spans="1:10" s="17" customFormat="1">
      <c r="A13" s="1468">
        <v>2006.04</v>
      </c>
      <c r="B13" s="1574"/>
      <c r="C13" s="1575"/>
      <c r="D13" s="1576"/>
      <c r="E13" s="1577"/>
      <c r="F13" s="1576"/>
      <c r="G13" s="1578"/>
      <c r="H13" s="1576"/>
      <c r="I13" s="1575"/>
      <c r="J13" s="2466"/>
    </row>
    <row r="14" spans="1:10" s="17" customFormat="1">
      <c r="A14" s="1468">
        <v>2006.05</v>
      </c>
      <c r="B14" s="1574"/>
      <c r="C14" s="1575"/>
      <c r="D14" s="1576"/>
      <c r="E14" s="1577"/>
      <c r="F14" s="1576"/>
      <c r="G14" s="1578"/>
      <c r="H14" s="1576"/>
      <c r="I14" s="1575"/>
      <c r="J14" s="2466"/>
    </row>
    <row r="15" spans="1:10" s="17" customFormat="1">
      <c r="A15" s="1468">
        <v>2006.06</v>
      </c>
      <c r="B15" s="1574"/>
      <c r="C15" s="1575"/>
      <c r="D15" s="1576"/>
      <c r="E15" s="1577"/>
      <c r="F15" s="1576"/>
      <c r="G15" s="1578"/>
      <c r="H15" s="1576"/>
      <c r="I15" s="1575"/>
      <c r="J15" s="2466"/>
    </row>
    <row r="16" spans="1:10" s="17" customFormat="1">
      <c r="A16" s="1468">
        <v>2006.07</v>
      </c>
      <c r="B16" s="1574"/>
      <c r="C16" s="1575"/>
      <c r="D16" s="1576"/>
      <c r="E16" s="1577"/>
      <c r="F16" s="1576"/>
      <c r="G16" s="1578"/>
      <c r="H16" s="1576"/>
      <c r="I16" s="1575"/>
      <c r="J16" s="2466"/>
    </row>
    <row r="17" spans="1:12" s="17" customFormat="1">
      <c r="A17" s="1468">
        <v>2006.08</v>
      </c>
      <c r="B17" s="754">
        <v>10</v>
      </c>
      <c r="C17" s="286">
        <v>13.7323154157</v>
      </c>
      <c r="D17" s="1576"/>
      <c r="E17" s="1577"/>
      <c r="F17" s="1576"/>
      <c r="G17" s="1578"/>
      <c r="H17" s="1576"/>
      <c r="I17" s="1575"/>
      <c r="J17" s="2466"/>
      <c r="K17" s="1873"/>
      <c r="L17" s="1873"/>
    </row>
    <row r="18" spans="1:12" s="17" customFormat="1">
      <c r="A18" s="1468">
        <v>2006.09</v>
      </c>
      <c r="B18" s="1208">
        <v>10</v>
      </c>
      <c r="C18" s="1209">
        <v>11.8859146675</v>
      </c>
      <c r="D18" s="1576"/>
      <c r="E18" s="1577"/>
      <c r="F18" s="1576"/>
      <c r="G18" s="1578"/>
      <c r="H18" s="1576"/>
      <c r="I18" s="1575"/>
      <c r="J18" s="2466"/>
      <c r="K18" s="1873"/>
      <c r="L18" s="1873"/>
    </row>
    <row r="19" spans="1:12" s="17" customFormat="1">
      <c r="A19" s="1468">
        <v>2006.1</v>
      </c>
      <c r="B19" s="1208">
        <v>10</v>
      </c>
      <c r="C19" s="1209">
        <v>11.7282029256</v>
      </c>
      <c r="D19" s="1576"/>
      <c r="E19" s="1577"/>
      <c r="F19" s="1576"/>
      <c r="G19" s="1578"/>
      <c r="H19" s="1576"/>
      <c r="I19" s="1575"/>
      <c r="J19" s="2466"/>
      <c r="K19" s="1873"/>
      <c r="L19" s="1873"/>
    </row>
    <row r="20" spans="1:12" s="17" customFormat="1">
      <c r="A20" s="1468">
        <v>2006.11</v>
      </c>
      <c r="B20" s="1208">
        <v>10</v>
      </c>
      <c r="C20" s="1209">
        <v>12.7266854551</v>
      </c>
      <c r="D20" s="1576"/>
      <c r="E20" s="1577"/>
      <c r="F20" s="1576"/>
      <c r="G20" s="1578"/>
      <c r="H20" s="1576"/>
      <c r="I20" s="1575"/>
      <c r="J20" s="2466"/>
      <c r="K20" s="1873"/>
      <c r="L20" s="1873"/>
    </row>
    <row r="21" spans="1:12" s="17" customFormat="1">
      <c r="A21" s="1468">
        <v>2006.12</v>
      </c>
      <c r="B21" s="1208">
        <v>10</v>
      </c>
      <c r="C21" s="1209">
        <v>13.8634469293</v>
      </c>
      <c r="D21" s="1576"/>
      <c r="E21" s="1577"/>
      <c r="F21" s="1576"/>
      <c r="G21" s="1578"/>
      <c r="H21" s="1576"/>
      <c r="I21" s="1575"/>
      <c r="J21" s="2466"/>
      <c r="K21" s="1873"/>
      <c r="L21" s="1873"/>
    </row>
    <row r="22" spans="1:12" s="17" customFormat="1">
      <c r="A22" s="1468">
        <v>2007.01</v>
      </c>
      <c r="B22" s="1208">
        <v>10</v>
      </c>
      <c r="C22" s="1209">
        <v>13.763961481699999</v>
      </c>
      <c r="D22" s="1576"/>
      <c r="E22" s="1577"/>
      <c r="F22" s="1576"/>
      <c r="G22" s="1578"/>
      <c r="H22" s="1576"/>
      <c r="I22" s="1575"/>
      <c r="J22" s="2466"/>
      <c r="K22" s="1873"/>
      <c r="L22" s="1873"/>
    </row>
    <row r="23" spans="1:12" s="17" customFormat="1">
      <c r="A23" s="1468">
        <v>2007.02</v>
      </c>
      <c r="B23" s="1208">
        <v>10</v>
      </c>
      <c r="C23" s="1209">
        <v>13.181151679999999</v>
      </c>
      <c r="D23" s="1576"/>
      <c r="E23" s="1577"/>
      <c r="F23" s="1576"/>
      <c r="G23" s="1578"/>
      <c r="H23" s="1576"/>
      <c r="I23" s="1575"/>
      <c r="J23" s="2466"/>
      <c r="K23" s="1873"/>
      <c r="L23" s="1873"/>
    </row>
    <row r="24" spans="1:12" s="17" customFormat="1">
      <c r="A24" s="1468">
        <v>2007.03</v>
      </c>
      <c r="B24" s="1208">
        <v>10</v>
      </c>
      <c r="C24" s="1209">
        <v>13.490551612200001</v>
      </c>
      <c r="D24" s="1576"/>
      <c r="E24" s="1577"/>
      <c r="F24" s="1576"/>
      <c r="G24" s="1578"/>
      <c r="H24" s="1576"/>
      <c r="I24" s="1575"/>
      <c r="J24" s="2466"/>
      <c r="K24" s="1873"/>
      <c r="L24" s="1873"/>
    </row>
    <row r="25" spans="1:12" s="17" customFormat="1">
      <c r="A25" s="1468">
        <v>2007.04</v>
      </c>
      <c r="B25" s="1208">
        <v>15</v>
      </c>
      <c r="C25" s="1209">
        <v>15.441637994799999</v>
      </c>
      <c r="D25" s="1576"/>
      <c r="E25" s="1577"/>
      <c r="F25" s="1576"/>
      <c r="G25" s="1578"/>
      <c r="H25" s="1576"/>
      <c r="I25" s="1575"/>
      <c r="J25" s="2466"/>
      <c r="K25" s="1873"/>
      <c r="L25" s="1873"/>
    </row>
    <row r="26" spans="1:12" s="17" customFormat="1">
      <c r="A26" s="1468">
        <v>2007.05</v>
      </c>
      <c r="B26" s="1208">
        <v>15</v>
      </c>
      <c r="C26" s="1209">
        <v>18.965335534200001</v>
      </c>
      <c r="D26" s="1576"/>
      <c r="E26" s="1577"/>
      <c r="F26" s="1576"/>
      <c r="G26" s="1578"/>
      <c r="H26" s="1576"/>
      <c r="I26" s="1575"/>
      <c r="J26" s="2466"/>
      <c r="K26" s="1873"/>
      <c r="L26" s="1873"/>
    </row>
    <row r="27" spans="1:12" s="17" customFormat="1">
      <c r="A27" s="1468">
        <v>2007.06</v>
      </c>
      <c r="B27" s="1208">
        <v>15</v>
      </c>
      <c r="C27" s="1209">
        <v>18.906665226099999</v>
      </c>
      <c r="D27" s="1576"/>
      <c r="E27" s="1577"/>
      <c r="F27" s="1576"/>
      <c r="G27" s="1578"/>
      <c r="H27" s="1576"/>
      <c r="I27" s="1575"/>
      <c r="J27" s="2466"/>
      <c r="K27" s="1873"/>
      <c r="L27" s="1873"/>
    </row>
    <row r="28" spans="1:12" s="17" customFormat="1">
      <c r="A28" s="1468">
        <v>2007.07</v>
      </c>
      <c r="B28" s="1208">
        <v>15</v>
      </c>
      <c r="C28" s="1209">
        <v>20.898196258900001</v>
      </c>
      <c r="D28" s="1576"/>
      <c r="E28" s="1577"/>
      <c r="F28" s="1576"/>
      <c r="G28" s="1578"/>
      <c r="H28" s="1576"/>
      <c r="I28" s="1575"/>
      <c r="J28" s="2466"/>
      <c r="K28" s="1873"/>
      <c r="L28" s="1873"/>
    </row>
    <row r="29" spans="1:12" s="17" customFormat="1">
      <c r="A29" s="1468">
        <v>2007.08</v>
      </c>
      <c r="B29" s="1208">
        <v>20</v>
      </c>
      <c r="C29" s="1209">
        <v>22.755979459199999</v>
      </c>
      <c r="D29" s="1576"/>
      <c r="E29" s="1577"/>
      <c r="F29" s="1576"/>
      <c r="G29" s="1578"/>
      <c r="H29" s="1576"/>
      <c r="I29" s="1575"/>
      <c r="J29" s="2466"/>
      <c r="K29" s="1873"/>
      <c r="L29" s="1873"/>
    </row>
    <row r="30" spans="1:12" s="17" customFormat="1">
      <c r="A30" s="1468">
        <v>2007.09</v>
      </c>
      <c r="B30" s="1208">
        <v>20</v>
      </c>
      <c r="C30" s="1209">
        <v>22.9571970533</v>
      </c>
      <c r="D30" s="1576"/>
      <c r="E30" s="1577"/>
      <c r="F30" s="1576"/>
      <c r="G30" s="1578"/>
      <c r="H30" s="1576"/>
      <c r="I30" s="1575"/>
      <c r="J30" s="2466"/>
      <c r="K30" s="1873"/>
      <c r="L30" s="1873"/>
    </row>
    <row r="31" spans="1:12" s="17" customFormat="1">
      <c r="A31" s="1468">
        <v>2007.1</v>
      </c>
      <c r="B31" s="1208">
        <v>20</v>
      </c>
      <c r="C31" s="1209">
        <v>25.225440726999999</v>
      </c>
      <c r="D31" s="1576"/>
      <c r="E31" s="1577"/>
      <c r="F31" s="1576"/>
      <c r="G31" s="1578"/>
      <c r="H31" s="1576"/>
      <c r="I31" s="1575"/>
      <c r="J31" s="2466"/>
      <c r="K31" s="1873"/>
      <c r="L31" s="1873"/>
    </row>
    <row r="32" spans="1:12" s="17" customFormat="1">
      <c r="A32" s="1468">
        <v>2007.11</v>
      </c>
      <c r="B32" s="1208">
        <v>20</v>
      </c>
      <c r="C32" s="1209">
        <v>22.372526188899997</v>
      </c>
      <c r="D32" s="1576"/>
      <c r="E32" s="1577"/>
      <c r="F32" s="1576"/>
      <c r="G32" s="1578"/>
      <c r="H32" s="1576"/>
      <c r="I32" s="1575"/>
      <c r="J32" s="2466"/>
      <c r="K32" s="1873"/>
      <c r="L32" s="1873"/>
    </row>
    <row r="33" spans="1:12" s="17" customFormat="1">
      <c r="A33" s="1468">
        <v>2007.12</v>
      </c>
      <c r="B33" s="1208">
        <v>20</v>
      </c>
      <c r="C33" s="1209">
        <v>23.265140814900001</v>
      </c>
      <c r="D33" s="1576"/>
      <c r="E33" s="1577"/>
      <c r="F33" s="1576"/>
      <c r="G33" s="1578"/>
      <c r="H33" s="1576"/>
      <c r="I33" s="1575"/>
      <c r="J33" s="2466"/>
      <c r="K33" s="1873"/>
      <c r="L33" s="1873"/>
    </row>
    <row r="34" spans="1:12">
      <c r="A34" s="1468">
        <v>2008.01</v>
      </c>
      <c r="B34" s="1208">
        <v>20</v>
      </c>
      <c r="C34" s="1209">
        <v>22.504985046600002</v>
      </c>
      <c r="D34" s="757"/>
      <c r="E34" s="286">
        <v>23.3</v>
      </c>
      <c r="F34" s="753"/>
      <c r="G34" s="1578"/>
      <c r="H34" s="753"/>
      <c r="I34" s="1575"/>
      <c r="J34" s="2466"/>
      <c r="K34" s="1873"/>
      <c r="L34" s="1873"/>
    </row>
    <row r="35" spans="1:12">
      <c r="A35" s="1468">
        <v>2008.02</v>
      </c>
      <c r="B35" s="1208">
        <v>20</v>
      </c>
      <c r="C35" s="1209">
        <v>23.301251042299999</v>
      </c>
      <c r="D35" s="1579"/>
      <c r="E35" s="1209">
        <v>22.8</v>
      </c>
      <c r="F35" s="1580"/>
      <c r="G35" s="1578"/>
      <c r="H35" s="1580"/>
      <c r="I35" s="1575"/>
      <c r="J35" s="2466"/>
      <c r="K35" s="1873"/>
      <c r="L35" s="1873"/>
    </row>
    <row r="36" spans="1:12">
      <c r="A36" s="1468">
        <v>2008.03</v>
      </c>
      <c r="B36" s="1208">
        <v>25</v>
      </c>
      <c r="C36" s="1209">
        <v>31.121919460400001</v>
      </c>
      <c r="D36" s="1579"/>
      <c r="E36" s="1209">
        <v>27.1</v>
      </c>
      <c r="F36" s="1580"/>
      <c r="G36" s="1578"/>
      <c r="H36" s="1580"/>
      <c r="I36" s="1575"/>
      <c r="J36" s="2466"/>
      <c r="K36" s="1873"/>
      <c r="L36" s="1873"/>
    </row>
    <row r="37" spans="1:12">
      <c r="A37" s="1468">
        <v>2008.04</v>
      </c>
      <c r="B37" s="1208">
        <v>25</v>
      </c>
      <c r="C37" s="1209">
        <v>32.816553708100002</v>
      </c>
      <c r="D37" s="1579"/>
      <c r="E37" s="1209">
        <v>31.8</v>
      </c>
      <c r="F37" s="1580"/>
      <c r="G37" s="1578"/>
      <c r="H37" s="1580"/>
      <c r="I37" s="1575"/>
      <c r="J37" s="2466"/>
      <c r="K37" s="1873"/>
      <c r="L37" s="1873"/>
    </row>
    <row r="38" spans="1:12">
      <c r="A38" s="1468">
        <v>2008.05</v>
      </c>
      <c r="B38" s="1208">
        <v>30</v>
      </c>
      <c r="C38" s="1209">
        <v>36.479644834999995</v>
      </c>
      <c r="D38" s="1579"/>
      <c r="E38" s="1209">
        <v>35.799999999999997</v>
      </c>
      <c r="F38" s="1580"/>
      <c r="G38" s="1578"/>
      <c r="H38" s="1580"/>
      <c r="I38" s="1575"/>
      <c r="J38" s="2466"/>
      <c r="K38" s="1873"/>
      <c r="L38" s="1873"/>
    </row>
    <row r="39" spans="1:12">
      <c r="A39" s="1468">
        <v>2008.06</v>
      </c>
      <c r="B39" s="1208">
        <v>30</v>
      </c>
      <c r="C39" s="1209">
        <v>34.718966242500002</v>
      </c>
      <c r="D39" s="1579"/>
      <c r="E39" s="1209">
        <v>36.700000000000003</v>
      </c>
      <c r="F39" s="1580"/>
      <c r="G39" s="1578"/>
      <c r="H39" s="1580"/>
      <c r="I39" s="1575"/>
      <c r="J39" s="2466"/>
      <c r="K39" s="1873"/>
      <c r="L39" s="1873"/>
    </row>
    <row r="40" spans="1:12">
      <c r="A40" s="1468">
        <v>2008.07</v>
      </c>
      <c r="B40" s="1208">
        <v>30</v>
      </c>
      <c r="C40" s="1209">
        <v>32.592564729100005</v>
      </c>
      <c r="D40" s="1579"/>
      <c r="E40" s="1209">
        <v>33.700000000000003</v>
      </c>
      <c r="F40" s="1580"/>
      <c r="G40" s="1578"/>
      <c r="H40" s="1580"/>
      <c r="I40" s="1575"/>
      <c r="J40" s="2466"/>
      <c r="K40" s="1873"/>
      <c r="L40" s="1873"/>
    </row>
    <row r="41" spans="1:12">
      <c r="A41" s="1468">
        <v>2008.08</v>
      </c>
      <c r="B41" s="1208">
        <v>25</v>
      </c>
      <c r="C41" s="1209">
        <v>30.724019797099999</v>
      </c>
      <c r="D41" s="1579"/>
      <c r="E41" s="1209">
        <v>30.8</v>
      </c>
      <c r="F41" s="1580"/>
      <c r="G41" s="1578"/>
      <c r="H41" s="1580"/>
      <c r="I41" s="1575"/>
      <c r="J41" s="2466"/>
      <c r="K41" s="1873"/>
      <c r="L41" s="1873"/>
    </row>
    <row r="42" spans="1:12">
      <c r="A42" s="1468">
        <v>2008.09</v>
      </c>
      <c r="B42" s="1208">
        <v>30</v>
      </c>
      <c r="C42" s="1209">
        <v>31.994726688200004</v>
      </c>
      <c r="D42" s="1579"/>
      <c r="E42" s="1209">
        <v>32.4</v>
      </c>
      <c r="F42" s="1580"/>
      <c r="G42" s="1578"/>
      <c r="H42" s="1580"/>
      <c r="I42" s="1575"/>
      <c r="J42" s="2466"/>
      <c r="K42" s="1873"/>
      <c r="L42" s="1873"/>
    </row>
    <row r="43" spans="1:12">
      <c r="A43" s="1468">
        <v>2008.1</v>
      </c>
      <c r="B43" s="1208">
        <v>25</v>
      </c>
      <c r="C43" s="1209">
        <v>34.1534632364</v>
      </c>
      <c r="D43" s="1579"/>
      <c r="E43" s="1209">
        <v>34.1</v>
      </c>
      <c r="F43" s="1580"/>
      <c r="G43" s="1578"/>
      <c r="H43" s="1580"/>
      <c r="I43" s="1575"/>
      <c r="J43" s="2466"/>
      <c r="K43" s="1873"/>
      <c r="L43" s="1873"/>
    </row>
    <row r="44" spans="1:12">
      <c r="A44" s="1468">
        <v>2008.11</v>
      </c>
      <c r="B44" s="1208">
        <v>25</v>
      </c>
      <c r="C44" s="1209">
        <v>31.927213896300003</v>
      </c>
      <c r="D44" s="1579"/>
      <c r="E44" s="1209">
        <v>30.8</v>
      </c>
      <c r="F44" s="1580"/>
      <c r="G44" s="1578"/>
      <c r="H44" s="1580"/>
      <c r="I44" s="1575"/>
      <c r="J44" s="2466"/>
      <c r="K44" s="1873"/>
      <c r="L44" s="1873"/>
    </row>
    <row r="45" spans="1:12">
      <c r="A45" s="1468">
        <v>2008.12</v>
      </c>
      <c r="B45" s="1208">
        <v>20</v>
      </c>
      <c r="C45" s="1209">
        <v>23.450210968200004</v>
      </c>
      <c r="D45" s="1579"/>
      <c r="E45" s="1209">
        <v>24.2</v>
      </c>
      <c r="F45" s="1580"/>
      <c r="G45" s="1578"/>
      <c r="H45" s="1580"/>
      <c r="I45" s="1575"/>
      <c r="J45" s="2466"/>
      <c r="K45" s="1873"/>
      <c r="L45" s="1873"/>
    </row>
    <row r="46" spans="1:12">
      <c r="A46" s="1468">
        <v>2009.01</v>
      </c>
      <c r="B46" s="1208">
        <v>20</v>
      </c>
      <c r="C46" s="1209">
        <v>28.568333224900002</v>
      </c>
      <c r="D46" s="1579"/>
      <c r="E46" s="1209">
        <v>27.4</v>
      </c>
      <c r="F46" s="1580"/>
      <c r="G46" s="1578"/>
      <c r="H46" s="1580"/>
      <c r="I46" s="1575"/>
      <c r="J46" s="2466"/>
      <c r="K46" s="1873"/>
      <c r="L46" s="1873"/>
    </row>
    <row r="47" spans="1:12">
      <c r="A47" s="1468">
        <v>2009.02</v>
      </c>
      <c r="B47" s="1208">
        <v>25</v>
      </c>
      <c r="C47" s="1209">
        <v>32.757519810399998</v>
      </c>
      <c r="D47" s="1579"/>
      <c r="E47" s="1209">
        <v>31.9</v>
      </c>
      <c r="F47" s="1580"/>
      <c r="G47" s="1578"/>
      <c r="H47" s="1580"/>
      <c r="I47" s="1575"/>
      <c r="J47" s="2466"/>
      <c r="K47" s="1873"/>
      <c r="L47" s="1873"/>
    </row>
    <row r="48" spans="1:12">
      <c r="A48" s="1468">
        <v>2009.03</v>
      </c>
      <c r="B48" s="1208">
        <v>20</v>
      </c>
      <c r="C48" s="1209">
        <v>31.0518320682</v>
      </c>
      <c r="D48" s="1579"/>
      <c r="E48" s="1209">
        <v>30.9</v>
      </c>
      <c r="F48" s="1580"/>
      <c r="G48" s="1578"/>
      <c r="H48" s="1580"/>
      <c r="I48" s="1575"/>
      <c r="J48" s="2466"/>
      <c r="K48" s="1873"/>
      <c r="L48" s="1873"/>
    </row>
    <row r="49" spans="1:12">
      <c r="A49" s="1468">
        <v>2009.04</v>
      </c>
      <c r="B49" s="1208">
        <v>20</v>
      </c>
      <c r="C49" s="1209">
        <v>28.647507621199999</v>
      </c>
      <c r="D49" s="1579"/>
      <c r="E49" s="1209">
        <v>29.8</v>
      </c>
      <c r="F49" s="1580"/>
      <c r="G49" s="1578"/>
      <c r="H49" s="1580"/>
      <c r="I49" s="1575"/>
      <c r="J49" s="2466"/>
      <c r="K49" s="1873"/>
      <c r="L49" s="1873"/>
    </row>
    <row r="50" spans="1:12">
      <c r="A50" s="1468">
        <v>2009.05</v>
      </c>
      <c r="B50" s="1208">
        <v>20</v>
      </c>
      <c r="C50" s="1209">
        <v>29.880422371599998</v>
      </c>
      <c r="D50" s="1579"/>
      <c r="E50" s="1209">
        <v>27.3</v>
      </c>
      <c r="F50" s="1580"/>
      <c r="G50" s="1578"/>
      <c r="H50" s="1580"/>
      <c r="I50" s="1575"/>
      <c r="J50" s="2466"/>
      <c r="K50" s="1873"/>
      <c r="L50" s="1873"/>
    </row>
    <row r="51" spans="1:12">
      <c r="A51" s="1468">
        <v>2009.06</v>
      </c>
      <c r="B51" s="1208">
        <v>20</v>
      </c>
      <c r="C51" s="1209">
        <v>31.452739764399997</v>
      </c>
      <c r="D51" s="1579"/>
      <c r="E51" s="1209">
        <v>28.3</v>
      </c>
      <c r="F51" s="1580"/>
      <c r="G51" s="1578"/>
      <c r="H51" s="1580"/>
      <c r="I51" s="1575"/>
      <c r="J51" s="2466"/>
      <c r="K51" s="1873"/>
      <c r="L51" s="1873"/>
    </row>
    <row r="52" spans="1:12">
      <c r="A52" s="1468">
        <v>2009.07</v>
      </c>
      <c r="B52" s="1208">
        <v>20</v>
      </c>
      <c r="C52" s="1209">
        <v>30.050719125999997</v>
      </c>
      <c r="D52" s="1580"/>
      <c r="E52" s="1209">
        <v>31.8</v>
      </c>
      <c r="F52" s="1580"/>
      <c r="G52" s="1578"/>
      <c r="H52" s="1580"/>
      <c r="I52" s="1575"/>
      <c r="J52" s="2466"/>
      <c r="K52" s="1873"/>
      <c r="L52" s="1873"/>
    </row>
    <row r="53" spans="1:12">
      <c r="A53" s="1468">
        <v>2009.08</v>
      </c>
      <c r="B53" s="1208">
        <v>25</v>
      </c>
      <c r="C53" s="1209">
        <v>34.0909851937</v>
      </c>
      <c r="D53" s="1580"/>
      <c r="E53" s="1209">
        <v>33.799999999999997</v>
      </c>
      <c r="F53" s="1580"/>
      <c r="G53" s="1578"/>
      <c r="H53" s="1580"/>
      <c r="I53" s="1575"/>
      <c r="J53" s="2466"/>
      <c r="K53" s="1873"/>
      <c r="L53" s="1873"/>
    </row>
    <row r="54" spans="1:12">
      <c r="A54" s="1468">
        <v>2009.09</v>
      </c>
      <c r="B54" s="1208">
        <v>20</v>
      </c>
      <c r="C54" s="1209">
        <v>29.315979478400003</v>
      </c>
      <c r="D54" s="754">
        <v>20</v>
      </c>
      <c r="E54" s="1209">
        <v>30.6</v>
      </c>
      <c r="F54" s="1580"/>
      <c r="G54" s="1578"/>
      <c r="H54" s="1580"/>
      <c r="I54" s="1575"/>
      <c r="J54" s="2466"/>
      <c r="K54" s="1873"/>
      <c r="L54" s="1873"/>
    </row>
    <row r="55" spans="1:12">
      <c r="A55" s="1468">
        <v>2009.1</v>
      </c>
      <c r="B55" s="1208">
        <v>20</v>
      </c>
      <c r="C55" s="1209">
        <v>31.4596291493</v>
      </c>
      <c r="D55" s="1210">
        <v>25</v>
      </c>
      <c r="E55" s="1209">
        <v>31</v>
      </c>
      <c r="F55" s="1580"/>
      <c r="G55" s="1578"/>
      <c r="H55" s="1580"/>
      <c r="I55" s="1575"/>
      <c r="J55" s="2466"/>
      <c r="K55" s="1873"/>
      <c r="L55" s="1873"/>
    </row>
    <row r="56" spans="1:12">
      <c r="A56" s="1468">
        <v>2009.11</v>
      </c>
      <c r="B56" s="1208">
        <v>22.5</v>
      </c>
      <c r="C56" s="1209">
        <v>29.568107180799998</v>
      </c>
      <c r="D56" s="1210">
        <v>25</v>
      </c>
      <c r="E56" s="1209">
        <v>31.8</v>
      </c>
      <c r="F56" s="1580"/>
      <c r="G56" s="1578"/>
      <c r="H56" s="1580"/>
      <c r="I56" s="1575"/>
      <c r="J56" s="2466"/>
      <c r="K56" s="1873"/>
      <c r="L56" s="1873"/>
    </row>
    <row r="57" spans="1:12">
      <c r="A57" s="1468">
        <v>2009.12</v>
      </c>
      <c r="B57" s="1208">
        <v>25</v>
      </c>
      <c r="C57" s="1209">
        <v>32.983686344500001</v>
      </c>
      <c r="D57" s="1210">
        <v>25</v>
      </c>
      <c r="E57" s="1209">
        <v>30.7</v>
      </c>
      <c r="F57" s="1580"/>
      <c r="G57" s="1578"/>
      <c r="H57" s="1580"/>
      <c r="I57" s="1575"/>
      <c r="J57" s="2466"/>
      <c r="K57" s="1873"/>
      <c r="L57" s="1873"/>
    </row>
    <row r="58" spans="1:12">
      <c r="A58" s="1468">
        <v>2010.01</v>
      </c>
      <c r="B58" s="1208">
        <v>20</v>
      </c>
      <c r="C58" s="1209">
        <v>30.709405453600002</v>
      </c>
      <c r="D58" s="1210">
        <v>20</v>
      </c>
      <c r="E58" s="1209">
        <v>28.6</v>
      </c>
      <c r="F58" s="1580"/>
      <c r="G58" s="1578"/>
      <c r="H58" s="1580"/>
      <c r="I58" s="1575"/>
      <c r="J58" s="2466"/>
      <c r="K58" s="1873"/>
      <c r="L58" s="1873"/>
    </row>
    <row r="59" spans="1:12">
      <c r="A59" s="1468">
        <v>2010.02</v>
      </c>
      <c r="B59" s="1208">
        <v>25</v>
      </c>
      <c r="C59" s="1209">
        <v>31.076806033</v>
      </c>
      <c r="D59" s="1210">
        <v>25</v>
      </c>
      <c r="E59" s="1209">
        <v>30.1</v>
      </c>
      <c r="F59" s="1580"/>
      <c r="G59" s="1578"/>
      <c r="H59" s="1580"/>
      <c r="I59" s="1575"/>
      <c r="J59" s="2466"/>
      <c r="K59" s="1873"/>
      <c r="L59" s="1873"/>
    </row>
    <row r="60" spans="1:12">
      <c r="A60" s="1468">
        <v>2010.03</v>
      </c>
      <c r="B60" s="1208">
        <v>25</v>
      </c>
      <c r="C60" s="1209">
        <v>31.8345163989</v>
      </c>
      <c r="D60" s="1210">
        <v>30</v>
      </c>
      <c r="E60" s="1209">
        <v>33.5</v>
      </c>
      <c r="F60" s="1580"/>
      <c r="G60" s="1578"/>
      <c r="H60" s="1580"/>
      <c r="I60" s="1575"/>
      <c r="J60" s="2466"/>
      <c r="K60" s="1873"/>
      <c r="L60" s="1873"/>
    </row>
    <row r="61" spans="1:12">
      <c r="A61" s="1468">
        <v>2010.04</v>
      </c>
      <c r="B61" s="1208">
        <v>30</v>
      </c>
      <c r="C61" s="1209">
        <v>32.385932046999997</v>
      </c>
      <c r="D61" s="1210">
        <v>30</v>
      </c>
      <c r="E61" s="1209">
        <v>33.4</v>
      </c>
      <c r="F61" s="1580"/>
      <c r="G61" s="1578"/>
      <c r="H61" s="1580"/>
      <c r="I61" s="1575"/>
      <c r="J61" s="2466"/>
      <c r="K61" s="1873"/>
      <c r="L61" s="1873"/>
    </row>
    <row r="62" spans="1:12">
      <c r="A62" s="1468">
        <v>2010.05</v>
      </c>
      <c r="B62" s="1208">
        <v>25</v>
      </c>
      <c r="C62" s="1209">
        <v>30.2487180181</v>
      </c>
      <c r="D62" s="1210">
        <v>21</v>
      </c>
      <c r="E62" s="1209">
        <v>30.5</v>
      </c>
      <c r="F62" s="1580"/>
      <c r="G62" s="1578"/>
      <c r="H62" s="1580"/>
      <c r="I62" s="1575"/>
      <c r="J62" s="2466"/>
      <c r="K62" s="1873"/>
      <c r="L62" s="1873"/>
    </row>
    <row r="63" spans="1:12">
      <c r="A63" s="1468">
        <v>2010.06</v>
      </c>
      <c r="B63" s="1208">
        <v>25</v>
      </c>
      <c r="C63" s="1209">
        <v>32.527592538199997</v>
      </c>
      <c r="D63" s="1210">
        <v>30</v>
      </c>
      <c r="E63" s="1209">
        <v>34.6</v>
      </c>
      <c r="F63" s="1580"/>
      <c r="G63" s="1578"/>
      <c r="H63" s="1580"/>
      <c r="I63" s="1575"/>
      <c r="J63" s="2466"/>
      <c r="K63" s="1873"/>
      <c r="L63" s="1873"/>
    </row>
    <row r="64" spans="1:12">
      <c r="A64" s="1468">
        <v>2010.07</v>
      </c>
      <c r="B64" s="1208">
        <v>25</v>
      </c>
      <c r="C64" s="1209">
        <v>32.518056786000002</v>
      </c>
      <c r="D64" s="1210">
        <v>25</v>
      </c>
      <c r="E64" s="1209">
        <v>32.200000000000003</v>
      </c>
      <c r="F64" s="1580"/>
      <c r="G64" s="1578"/>
      <c r="H64" s="1580"/>
      <c r="I64" s="1575"/>
      <c r="J64" s="2466"/>
      <c r="K64" s="1873"/>
      <c r="L64" s="1873"/>
    </row>
    <row r="65" spans="1:12">
      <c r="A65" s="1468">
        <v>2010.08</v>
      </c>
      <c r="B65" s="1208">
        <v>25</v>
      </c>
      <c r="C65" s="1209">
        <v>32.821795521999995</v>
      </c>
      <c r="D65" s="1210">
        <v>25</v>
      </c>
      <c r="E65" s="1209">
        <v>32.200000000000003</v>
      </c>
      <c r="F65" s="1580"/>
      <c r="G65" s="1578"/>
      <c r="H65" s="1580"/>
      <c r="I65" s="1575"/>
      <c r="J65" s="2466"/>
      <c r="K65" s="1873"/>
      <c r="L65" s="1873"/>
    </row>
    <row r="66" spans="1:12">
      <c r="A66" s="1468">
        <v>2010.09</v>
      </c>
      <c r="B66" s="1208">
        <v>25</v>
      </c>
      <c r="C66" s="1209">
        <v>31.372826195200002</v>
      </c>
      <c r="D66" s="1210">
        <v>25</v>
      </c>
      <c r="E66" s="1209">
        <v>31.1</v>
      </c>
      <c r="F66" s="1580"/>
      <c r="G66" s="1578"/>
      <c r="H66" s="1580"/>
      <c r="I66" s="1575"/>
      <c r="J66" s="2466"/>
      <c r="K66" s="1873"/>
      <c r="L66" s="1873"/>
    </row>
    <row r="67" spans="1:12">
      <c r="A67" s="1468">
        <v>2010.1</v>
      </c>
      <c r="B67" s="1208">
        <v>30</v>
      </c>
      <c r="C67" s="1209">
        <v>33.6992752317</v>
      </c>
      <c r="D67" s="1210">
        <v>30</v>
      </c>
      <c r="E67" s="1209">
        <v>33.9</v>
      </c>
      <c r="F67" s="1580"/>
      <c r="G67" s="1578"/>
      <c r="H67" s="1580"/>
      <c r="I67" s="1575"/>
      <c r="J67" s="2466"/>
      <c r="K67" s="1873"/>
      <c r="L67" s="1873"/>
    </row>
    <row r="68" spans="1:12">
      <c r="A68" s="1468">
        <v>2010.11</v>
      </c>
      <c r="B68" s="1208">
        <v>30</v>
      </c>
      <c r="C68" s="1209">
        <v>34.016420708599995</v>
      </c>
      <c r="D68" s="1210">
        <v>30</v>
      </c>
      <c r="E68" s="1209">
        <v>34.799999999999997</v>
      </c>
      <c r="F68" s="1580"/>
      <c r="G68" s="1578"/>
      <c r="H68" s="1580"/>
      <c r="I68" s="1575"/>
      <c r="J68" s="2466"/>
      <c r="K68" s="1873"/>
      <c r="L68" s="1873"/>
    </row>
    <row r="69" spans="1:12">
      <c r="A69" s="1468">
        <v>2010.12</v>
      </c>
      <c r="B69" s="1208">
        <v>30</v>
      </c>
      <c r="C69" s="1209">
        <v>35.141475975999995</v>
      </c>
      <c r="D69" s="1210">
        <v>30</v>
      </c>
      <c r="E69" s="1209">
        <v>34.6</v>
      </c>
      <c r="F69" s="1580"/>
      <c r="G69" s="1578"/>
      <c r="H69" s="1580"/>
      <c r="I69" s="1575"/>
      <c r="J69" s="2466"/>
      <c r="K69" s="1873"/>
      <c r="L69" s="1873"/>
    </row>
    <row r="70" spans="1:12">
      <c r="A70" s="1468">
        <v>2011.01</v>
      </c>
      <c r="B70" s="1208">
        <v>25</v>
      </c>
      <c r="C70" s="1209">
        <v>30.731724506399999</v>
      </c>
      <c r="D70" s="1210">
        <v>25</v>
      </c>
      <c r="E70" s="1209">
        <v>32.4</v>
      </c>
      <c r="F70" s="1580"/>
      <c r="G70" s="1578"/>
      <c r="H70" s="1580"/>
      <c r="I70" s="1575"/>
      <c r="J70" s="2466"/>
      <c r="K70" s="1873"/>
      <c r="L70" s="1873"/>
    </row>
    <row r="71" spans="1:12">
      <c r="A71" s="1468">
        <v>2011.02</v>
      </c>
      <c r="B71" s="1208">
        <v>30</v>
      </c>
      <c r="C71" s="1209">
        <v>33.292047182400005</v>
      </c>
      <c r="D71" s="1210">
        <v>30</v>
      </c>
      <c r="E71" s="1209">
        <v>33.6</v>
      </c>
      <c r="F71" s="1580"/>
      <c r="G71" s="1578"/>
      <c r="H71" s="1580"/>
      <c r="I71" s="1575"/>
      <c r="J71" s="2466"/>
      <c r="K71" s="1873"/>
      <c r="L71" s="1873"/>
    </row>
    <row r="72" spans="1:12">
      <c r="A72" s="1468">
        <v>2011.03</v>
      </c>
      <c r="B72" s="1208">
        <v>25</v>
      </c>
      <c r="C72" s="1209">
        <v>32.7752956657</v>
      </c>
      <c r="D72" s="1210">
        <v>30</v>
      </c>
      <c r="E72" s="1209">
        <v>31.8</v>
      </c>
      <c r="F72" s="1580"/>
      <c r="G72" s="1578"/>
      <c r="H72" s="1580"/>
      <c r="I72" s="1575"/>
      <c r="J72" s="2466"/>
      <c r="K72" s="1873"/>
      <c r="L72" s="1873"/>
    </row>
    <row r="73" spans="1:12">
      <c r="A73" s="1468">
        <v>2011.04</v>
      </c>
      <c r="B73" s="1208">
        <v>25</v>
      </c>
      <c r="C73" s="1209">
        <v>30.275186742199999</v>
      </c>
      <c r="D73" s="1210">
        <v>25</v>
      </c>
      <c r="E73" s="1209">
        <v>29.9</v>
      </c>
      <c r="F73" s="1580"/>
      <c r="G73" s="1578"/>
      <c r="H73" s="1580"/>
      <c r="I73" s="1575"/>
      <c r="J73" s="2466"/>
      <c r="K73" s="1873"/>
      <c r="L73" s="1873"/>
    </row>
    <row r="74" spans="1:12">
      <c r="A74" s="1468">
        <v>2011.05</v>
      </c>
      <c r="B74" s="1208">
        <v>25</v>
      </c>
      <c r="C74" s="1209">
        <v>29.493976907699999</v>
      </c>
      <c r="D74" s="1210">
        <v>25</v>
      </c>
      <c r="E74" s="1209">
        <v>30.7</v>
      </c>
      <c r="F74" s="1580"/>
      <c r="G74" s="1578"/>
      <c r="H74" s="1580"/>
      <c r="I74" s="1575"/>
      <c r="J74" s="2466"/>
      <c r="K74" s="1873"/>
      <c r="L74" s="1873"/>
    </row>
    <row r="75" spans="1:12">
      <c r="A75" s="1468">
        <v>2011.06</v>
      </c>
      <c r="B75" s="1208">
        <v>25</v>
      </c>
      <c r="C75" s="1209">
        <v>32.500401342000004</v>
      </c>
      <c r="D75" s="1210">
        <v>30</v>
      </c>
      <c r="E75" s="1209">
        <v>32.700000000000003</v>
      </c>
      <c r="F75" s="1580"/>
      <c r="G75" s="1578"/>
      <c r="H75" s="1580"/>
      <c r="I75" s="1575"/>
      <c r="J75" s="2466"/>
      <c r="K75" s="1873"/>
      <c r="L75" s="1873"/>
    </row>
    <row r="76" spans="1:12">
      <c r="A76" s="1468">
        <v>2011.07</v>
      </c>
      <c r="B76" s="1208">
        <v>25</v>
      </c>
      <c r="C76" s="1209">
        <v>28.396334220900002</v>
      </c>
      <c r="D76" s="1210">
        <v>25</v>
      </c>
      <c r="E76" s="1209">
        <v>29.1</v>
      </c>
      <c r="F76" s="1580"/>
      <c r="G76" s="1578"/>
      <c r="H76" s="1580"/>
      <c r="I76" s="1575"/>
      <c r="J76" s="2466"/>
      <c r="K76" s="1873"/>
      <c r="L76" s="1873"/>
    </row>
    <row r="77" spans="1:12">
      <c r="A77" s="1468">
        <v>2011.08</v>
      </c>
      <c r="B77" s="1208">
        <v>25</v>
      </c>
      <c r="C77" s="1209">
        <v>29.173113767700002</v>
      </c>
      <c r="D77" s="1210">
        <v>25</v>
      </c>
      <c r="E77" s="1209">
        <v>29.2</v>
      </c>
      <c r="F77" s="1580"/>
      <c r="G77" s="1578"/>
      <c r="H77" s="1580"/>
      <c r="I77" s="1575"/>
      <c r="J77" s="2466"/>
      <c r="K77" s="1873"/>
      <c r="L77" s="1873"/>
    </row>
    <row r="78" spans="1:12">
      <c r="A78" s="1468">
        <v>2011.09</v>
      </c>
      <c r="B78" s="1208">
        <v>25</v>
      </c>
      <c r="C78" s="1209">
        <v>29.081163657600001</v>
      </c>
      <c r="D78" s="1210">
        <v>25</v>
      </c>
      <c r="E78" s="1209">
        <v>29.7</v>
      </c>
      <c r="F78" s="1580"/>
      <c r="G78" s="1578"/>
      <c r="H78" s="1580"/>
      <c r="I78" s="1575"/>
      <c r="J78" s="2466"/>
      <c r="K78" s="1873"/>
      <c r="L78" s="1873"/>
    </row>
    <row r="79" spans="1:12">
      <c r="A79" s="1468">
        <v>2011.1</v>
      </c>
      <c r="B79" s="1208">
        <v>25</v>
      </c>
      <c r="C79" s="1209">
        <v>29.823984733499998</v>
      </c>
      <c r="D79" s="1210">
        <v>25</v>
      </c>
      <c r="E79" s="1209">
        <v>31.2</v>
      </c>
      <c r="F79" s="1580"/>
      <c r="G79" s="1578"/>
      <c r="H79" s="1580"/>
      <c r="I79" s="1575"/>
      <c r="J79" s="2466"/>
      <c r="K79" s="1873"/>
      <c r="L79" s="1873"/>
    </row>
    <row r="80" spans="1:12">
      <c r="A80" s="1468">
        <v>2011.11</v>
      </c>
      <c r="B80" s="1208">
        <v>25</v>
      </c>
      <c r="C80" s="1209">
        <v>30.161781363099998</v>
      </c>
      <c r="D80" s="1210">
        <v>30</v>
      </c>
      <c r="E80" s="1209">
        <v>30</v>
      </c>
      <c r="F80" s="1580"/>
      <c r="G80" s="1578"/>
      <c r="H80" s="1580"/>
      <c r="I80" s="1575"/>
      <c r="J80" s="2466"/>
      <c r="K80" s="1873"/>
      <c r="L80" s="1873"/>
    </row>
    <row r="81" spans="1:12">
      <c r="A81" s="1468">
        <v>2011.12</v>
      </c>
      <c r="B81" s="1208">
        <v>25</v>
      </c>
      <c r="C81" s="1209">
        <v>34.4026595606</v>
      </c>
      <c r="D81" s="1210">
        <v>25</v>
      </c>
      <c r="E81" s="1209">
        <v>30</v>
      </c>
      <c r="F81" s="1580"/>
      <c r="G81" s="1578"/>
      <c r="H81" s="1580"/>
      <c r="I81" s="1575"/>
      <c r="J81" s="2466"/>
      <c r="K81" s="1873"/>
      <c r="L81" s="1873"/>
    </row>
    <row r="82" spans="1:12">
      <c r="A82" s="1468">
        <v>2012.01</v>
      </c>
      <c r="B82" s="1208">
        <v>25</v>
      </c>
      <c r="C82" s="1209">
        <v>28.9194279771</v>
      </c>
      <c r="D82" s="1210">
        <v>25</v>
      </c>
      <c r="E82" s="1209">
        <v>29.9</v>
      </c>
      <c r="F82" s="1580"/>
      <c r="G82" s="1578"/>
      <c r="H82" s="1580"/>
      <c r="I82" s="1575"/>
      <c r="J82" s="2466"/>
      <c r="K82" s="1873"/>
      <c r="L82" s="1873"/>
    </row>
    <row r="83" spans="1:12">
      <c r="A83" s="1468">
        <v>2012.02</v>
      </c>
      <c r="B83" s="1208">
        <v>25</v>
      </c>
      <c r="C83" s="1209">
        <v>30.710226946799999</v>
      </c>
      <c r="D83" s="1210">
        <v>25</v>
      </c>
      <c r="E83" s="1209">
        <v>28.8</v>
      </c>
      <c r="F83" s="1580"/>
      <c r="G83" s="1578"/>
      <c r="H83" s="1580"/>
      <c r="I83" s="1575"/>
      <c r="J83" s="2466"/>
      <c r="K83" s="1873"/>
      <c r="L83" s="1873"/>
    </row>
    <row r="84" spans="1:12">
      <c r="A84" s="1468">
        <v>2012.03</v>
      </c>
      <c r="B84" s="1208">
        <v>30</v>
      </c>
      <c r="C84" s="1209">
        <v>35.011444825299996</v>
      </c>
      <c r="D84" s="1210">
        <v>30</v>
      </c>
      <c r="E84" s="1209">
        <v>35.6</v>
      </c>
      <c r="F84" s="1580"/>
      <c r="G84" s="1578"/>
      <c r="H84" s="1580"/>
      <c r="I84" s="1575"/>
      <c r="J84" s="2466"/>
      <c r="K84" s="1873"/>
      <c r="L84" s="1873"/>
    </row>
    <row r="85" spans="1:12">
      <c r="A85" s="1468">
        <v>2012.04</v>
      </c>
      <c r="B85" s="1208">
        <v>30</v>
      </c>
      <c r="C85" s="1209">
        <v>37.1254186683</v>
      </c>
      <c r="D85" s="1210">
        <v>30</v>
      </c>
      <c r="E85" s="1209">
        <v>37.9</v>
      </c>
      <c r="F85" s="1580"/>
      <c r="G85" s="1578"/>
      <c r="H85" s="1580"/>
      <c r="I85" s="1575"/>
      <c r="J85" s="2466"/>
      <c r="K85" s="1873"/>
      <c r="L85" s="1873"/>
    </row>
    <row r="86" spans="1:12">
      <c r="A86" s="1468">
        <v>2012.05</v>
      </c>
      <c r="B86" s="1208">
        <v>30</v>
      </c>
      <c r="C86" s="1209">
        <v>33.889369582299999</v>
      </c>
      <c r="D86" s="1210">
        <v>30</v>
      </c>
      <c r="E86" s="1209">
        <v>34.700000000000003</v>
      </c>
      <c r="F86" s="1580"/>
      <c r="G86" s="1578"/>
      <c r="H86" s="1580"/>
      <c r="I86" s="1575"/>
      <c r="J86" s="2466"/>
      <c r="K86" s="1873"/>
      <c r="L86" s="1873"/>
    </row>
    <row r="87" spans="1:12">
      <c r="A87" s="1468">
        <v>2012.06</v>
      </c>
      <c r="B87" s="1208">
        <v>30</v>
      </c>
      <c r="C87" s="1209">
        <v>34.884066958799998</v>
      </c>
      <c r="D87" s="1210">
        <v>30</v>
      </c>
      <c r="E87" s="1209">
        <v>35.200000000000003</v>
      </c>
      <c r="F87" s="1580"/>
      <c r="G87" s="1578"/>
      <c r="H87" s="1580"/>
      <c r="I87" s="1575"/>
      <c r="J87" s="2466"/>
      <c r="K87" s="1873"/>
      <c r="L87" s="1873"/>
    </row>
    <row r="88" spans="1:12">
      <c r="A88" s="1468">
        <v>2012.07</v>
      </c>
      <c r="B88" s="1208">
        <v>30</v>
      </c>
      <c r="C88" s="1209">
        <v>35.741967950800003</v>
      </c>
      <c r="D88" s="1210">
        <v>30</v>
      </c>
      <c r="E88" s="1209">
        <v>37</v>
      </c>
      <c r="F88" s="1580"/>
      <c r="G88" s="1578"/>
      <c r="H88" s="1580"/>
      <c r="I88" s="1575"/>
      <c r="J88" s="2466"/>
      <c r="K88" s="1873"/>
      <c r="L88" s="1873"/>
    </row>
    <row r="89" spans="1:12">
      <c r="A89" s="1468">
        <v>2012.08</v>
      </c>
      <c r="B89" s="1208">
        <v>30</v>
      </c>
      <c r="C89" s="1209">
        <v>39.836353209500004</v>
      </c>
      <c r="D89" s="1210">
        <v>30</v>
      </c>
      <c r="E89" s="1209">
        <v>34.700000000000003</v>
      </c>
      <c r="F89" s="1580"/>
      <c r="G89" s="1578"/>
      <c r="H89" s="1580"/>
      <c r="I89" s="1575"/>
      <c r="J89" s="2466"/>
      <c r="K89" s="1873"/>
      <c r="L89" s="1873"/>
    </row>
    <row r="90" spans="1:12">
      <c r="A90" s="1468">
        <v>2012.09</v>
      </c>
      <c r="B90" s="1208">
        <v>30</v>
      </c>
      <c r="C90" s="1209">
        <v>34.884066958799998</v>
      </c>
      <c r="D90" s="1210">
        <v>30</v>
      </c>
      <c r="E90" s="1209">
        <v>35.200000000000003</v>
      </c>
      <c r="F90" s="1580"/>
      <c r="G90" s="1578"/>
      <c r="H90" s="1580"/>
      <c r="I90" s="1575"/>
      <c r="J90" s="2466"/>
      <c r="K90" s="1873"/>
      <c r="L90" s="1873"/>
    </row>
    <row r="91" spans="1:12">
      <c r="A91" s="1468">
        <v>2012.1</v>
      </c>
      <c r="B91" s="1208">
        <v>27</v>
      </c>
      <c r="C91" s="1209">
        <v>35.1448399756</v>
      </c>
      <c r="D91" s="1210">
        <v>30</v>
      </c>
      <c r="E91" s="1209">
        <v>35.799999999999997</v>
      </c>
      <c r="F91" s="1580"/>
      <c r="G91" s="1578"/>
      <c r="H91" s="1580"/>
      <c r="I91" s="1575"/>
      <c r="J91" s="2466"/>
      <c r="K91" s="1873"/>
      <c r="L91" s="1873"/>
    </row>
    <row r="92" spans="1:12">
      <c r="A92" s="1468">
        <v>2012.11</v>
      </c>
      <c r="B92" s="1208">
        <v>30</v>
      </c>
      <c r="C92" s="1209">
        <v>37.3544906594</v>
      </c>
      <c r="D92" s="1210">
        <v>30</v>
      </c>
      <c r="E92" s="1209">
        <v>38.4</v>
      </c>
      <c r="F92" s="1580"/>
      <c r="G92" s="1578"/>
      <c r="H92" s="1580"/>
      <c r="I92" s="1575"/>
      <c r="J92" s="2466"/>
      <c r="K92" s="1873"/>
      <c r="L92" s="1873"/>
    </row>
    <row r="93" spans="1:12">
      <c r="A93" s="1468">
        <v>2012.12</v>
      </c>
      <c r="B93" s="1208">
        <v>30</v>
      </c>
      <c r="C93" s="1209">
        <v>37.171196291299999</v>
      </c>
      <c r="D93" s="1210">
        <v>30</v>
      </c>
      <c r="E93" s="1209">
        <v>35.200000000000003</v>
      </c>
      <c r="F93" s="1580"/>
      <c r="G93" s="1578"/>
      <c r="H93" s="1580"/>
      <c r="I93" s="1575"/>
      <c r="J93" s="2466"/>
      <c r="K93" s="1873"/>
      <c r="L93" s="1873"/>
    </row>
    <row r="94" spans="1:12">
      <c r="A94" s="1468">
        <v>2013.01</v>
      </c>
      <c r="B94" s="1208">
        <v>30</v>
      </c>
      <c r="C94" s="1209">
        <v>35.338708541400003</v>
      </c>
      <c r="D94" s="1210">
        <v>30</v>
      </c>
      <c r="E94" s="1209">
        <v>34.299999999999997</v>
      </c>
      <c r="F94" s="1580"/>
      <c r="G94" s="1578"/>
      <c r="H94" s="1580"/>
      <c r="I94" s="1575"/>
      <c r="J94" s="2466"/>
      <c r="K94" s="1873"/>
      <c r="L94" s="1873"/>
    </row>
    <row r="95" spans="1:12">
      <c r="A95" s="1468">
        <v>2013.02</v>
      </c>
      <c r="B95" s="1208">
        <v>30</v>
      </c>
      <c r="C95" s="1209">
        <v>33.015893212199998</v>
      </c>
      <c r="D95" s="1210">
        <v>30</v>
      </c>
      <c r="E95" s="1209">
        <v>33.1</v>
      </c>
      <c r="F95" s="1580"/>
      <c r="G95" s="1578"/>
      <c r="H95" s="1580"/>
      <c r="I95" s="1575"/>
      <c r="J95" s="2466"/>
      <c r="K95" s="1873"/>
      <c r="L95" s="1873"/>
    </row>
    <row r="96" spans="1:12">
      <c r="A96" s="1468">
        <v>2013.03</v>
      </c>
      <c r="B96" s="1208">
        <v>30</v>
      </c>
      <c r="C96" s="1209">
        <v>33.450476131599999</v>
      </c>
      <c r="D96" s="1210">
        <v>30</v>
      </c>
      <c r="E96" s="1209">
        <v>33.1</v>
      </c>
      <c r="F96" s="1580"/>
      <c r="G96" s="1578"/>
      <c r="H96" s="1580"/>
      <c r="I96" s="1575"/>
      <c r="J96" s="2466"/>
      <c r="K96" s="1873"/>
      <c r="L96" s="1873"/>
    </row>
    <row r="97" spans="1:12">
      <c r="A97" s="1468">
        <v>2013.04</v>
      </c>
      <c r="B97" s="1208">
        <v>30</v>
      </c>
      <c r="C97" s="1209">
        <v>34.204704739900002</v>
      </c>
      <c r="D97" s="1210">
        <v>30</v>
      </c>
      <c r="E97" s="1209">
        <v>33.5</v>
      </c>
      <c r="F97" s="1580"/>
      <c r="G97" s="1578"/>
      <c r="H97" s="1580"/>
      <c r="I97" s="1575"/>
      <c r="J97" s="2466"/>
      <c r="K97" s="1873"/>
      <c r="L97" s="1873"/>
    </row>
    <row r="98" spans="1:12">
      <c r="A98" s="1468">
        <v>2013.05</v>
      </c>
      <c r="B98" s="1208">
        <v>30</v>
      </c>
      <c r="C98" s="1209">
        <v>34.925913459</v>
      </c>
      <c r="D98" s="1210">
        <v>30</v>
      </c>
      <c r="E98" s="1209">
        <v>35.5</v>
      </c>
      <c r="F98" s="1580"/>
      <c r="G98" s="1578"/>
      <c r="H98" s="1580"/>
      <c r="I98" s="1575"/>
      <c r="J98" s="2466"/>
      <c r="K98" s="1873"/>
      <c r="L98" s="1873"/>
    </row>
    <row r="99" spans="1:12">
      <c r="A99" s="1468">
        <v>2013.06</v>
      </c>
      <c r="B99" s="1208">
        <v>30</v>
      </c>
      <c r="C99" s="1209">
        <v>35.284813961699996</v>
      </c>
      <c r="D99" s="1210">
        <v>30</v>
      </c>
      <c r="E99" s="1209">
        <v>33.6</v>
      </c>
      <c r="F99" s="1580"/>
      <c r="G99" s="1578"/>
      <c r="H99" s="1580"/>
      <c r="I99" s="1575"/>
      <c r="J99" s="2466"/>
      <c r="K99" s="1873"/>
      <c r="L99" s="1873"/>
    </row>
    <row r="100" spans="1:12">
      <c r="A100" s="1468">
        <v>2013.07</v>
      </c>
      <c r="B100" s="1208">
        <v>30</v>
      </c>
      <c r="C100" s="1209">
        <v>34.581322216800004</v>
      </c>
      <c r="D100" s="1210">
        <v>30</v>
      </c>
      <c r="E100" s="1209">
        <v>35.299999999999997</v>
      </c>
      <c r="F100" s="1580"/>
      <c r="G100" s="1578"/>
      <c r="H100" s="1580"/>
      <c r="I100" s="1575"/>
      <c r="J100" s="2466"/>
      <c r="K100" s="1873"/>
      <c r="L100" s="1873"/>
    </row>
    <row r="101" spans="1:12">
      <c r="A101" s="1468">
        <v>2013.08</v>
      </c>
      <c r="B101" s="1208">
        <v>30</v>
      </c>
      <c r="C101" s="1209">
        <v>31.465826692099998</v>
      </c>
      <c r="D101" s="1210">
        <v>30</v>
      </c>
      <c r="E101" s="1209">
        <v>32.299999999999997</v>
      </c>
      <c r="F101" s="1580"/>
      <c r="G101" s="1578"/>
      <c r="H101" s="1580"/>
      <c r="I101" s="1575"/>
      <c r="J101" s="2466"/>
      <c r="K101" s="1873"/>
      <c r="L101" s="1873"/>
    </row>
    <row r="102" spans="1:12">
      <c r="A102" s="1468">
        <v>2013.09</v>
      </c>
      <c r="B102" s="1208">
        <v>30</v>
      </c>
      <c r="C102" s="1209">
        <v>32.825614935899999</v>
      </c>
      <c r="D102" s="1210">
        <v>30</v>
      </c>
      <c r="E102" s="1209">
        <v>34.5</v>
      </c>
      <c r="F102" s="1580"/>
      <c r="G102" s="1578"/>
      <c r="H102" s="1580"/>
      <c r="I102" s="1575"/>
      <c r="J102" s="2466"/>
      <c r="K102" s="1873"/>
      <c r="L102" s="1873"/>
    </row>
    <row r="103" spans="1:12">
      <c r="A103" s="1468">
        <v>2013.1</v>
      </c>
      <c r="B103" s="1208">
        <v>28</v>
      </c>
      <c r="C103" s="1209">
        <v>31.250247662</v>
      </c>
      <c r="D103" s="1210">
        <v>30</v>
      </c>
      <c r="E103" s="1209">
        <v>32.5</v>
      </c>
      <c r="F103" s="1580"/>
      <c r="G103" s="1578"/>
      <c r="H103" s="1580"/>
      <c r="I103" s="1575"/>
      <c r="J103" s="2466"/>
      <c r="K103" s="1873"/>
      <c r="L103" s="1873"/>
    </row>
    <row r="104" spans="1:12">
      <c r="A104" s="1468">
        <v>2013.11</v>
      </c>
      <c r="B104" s="1208">
        <v>30</v>
      </c>
      <c r="C104" s="1209">
        <v>32.729984354300001</v>
      </c>
      <c r="D104" s="1210">
        <v>30</v>
      </c>
      <c r="E104" s="1209">
        <v>35.299999999999997</v>
      </c>
      <c r="F104" s="1580"/>
      <c r="G104" s="1578"/>
      <c r="H104" s="1580"/>
      <c r="I104" s="1575"/>
      <c r="J104" s="2466"/>
      <c r="K104" s="1873"/>
      <c r="L104" s="1873"/>
    </row>
    <row r="105" spans="1:12">
      <c r="A105" s="1468">
        <v>2013.12</v>
      </c>
      <c r="B105" s="1208">
        <v>30</v>
      </c>
      <c r="C105" s="1209">
        <v>35.305430041199998</v>
      </c>
      <c r="D105" s="1210">
        <v>30</v>
      </c>
      <c r="E105" s="1209">
        <v>35.5</v>
      </c>
      <c r="F105" s="1580"/>
      <c r="G105" s="1578"/>
      <c r="H105" s="1580"/>
      <c r="I105" s="1575"/>
      <c r="J105" s="2466"/>
      <c r="K105" s="1873"/>
      <c r="L105" s="1873"/>
    </row>
    <row r="106" spans="1:12">
      <c r="A106" s="1468">
        <v>2014.01</v>
      </c>
      <c r="B106" s="1208">
        <v>30</v>
      </c>
      <c r="C106" s="1209">
        <v>37.597169815699999</v>
      </c>
      <c r="D106" s="1210">
        <v>30</v>
      </c>
      <c r="E106" s="1209">
        <v>37.4</v>
      </c>
      <c r="F106" s="1580"/>
      <c r="G106" s="1578"/>
      <c r="H106" s="1580"/>
      <c r="I106" s="1575"/>
      <c r="J106" s="2466"/>
      <c r="K106" s="1873"/>
      <c r="L106" s="1873"/>
    </row>
    <row r="107" spans="1:12">
      <c r="A107" s="1468">
        <v>2014.02</v>
      </c>
      <c r="B107" s="1208">
        <v>35</v>
      </c>
      <c r="C107" s="1209">
        <v>41.318692872599996</v>
      </c>
      <c r="D107" s="1210">
        <v>35</v>
      </c>
      <c r="E107" s="1209">
        <v>40.299999999999997</v>
      </c>
      <c r="F107" s="1580"/>
      <c r="G107" s="1578"/>
      <c r="H107" s="1580"/>
      <c r="I107" s="1575"/>
      <c r="J107" s="2466"/>
      <c r="K107" s="1873"/>
      <c r="L107" s="1873"/>
    </row>
    <row r="108" spans="1:12">
      <c r="A108" s="1468">
        <v>2014.03</v>
      </c>
      <c r="B108" s="1208">
        <v>30</v>
      </c>
      <c r="C108" s="1209">
        <v>38.635487343299999</v>
      </c>
      <c r="D108" s="1210">
        <v>30</v>
      </c>
      <c r="E108" s="1209">
        <v>38.799999999999997</v>
      </c>
      <c r="F108" s="1580"/>
      <c r="G108" s="1578"/>
      <c r="H108" s="1580"/>
      <c r="I108" s="1575"/>
      <c r="J108" s="2466"/>
      <c r="K108" s="1873"/>
      <c r="L108" s="1873"/>
    </row>
    <row r="109" spans="1:12">
      <c r="A109" s="1468">
        <v>2014.04</v>
      </c>
      <c r="B109" s="1208">
        <v>30</v>
      </c>
      <c r="C109" s="1209">
        <v>37.539090636699996</v>
      </c>
      <c r="D109" s="1210">
        <v>30</v>
      </c>
      <c r="E109" s="1209">
        <v>37.6</v>
      </c>
      <c r="F109" s="1580"/>
      <c r="G109" s="1578"/>
      <c r="H109" s="1580"/>
      <c r="I109" s="1575"/>
      <c r="J109" s="2466"/>
      <c r="K109" s="1873"/>
      <c r="L109" s="1873"/>
    </row>
    <row r="110" spans="1:12">
      <c r="A110" s="1468">
        <v>2014.05</v>
      </c>
      <c r="B110" s="1208">
        <v>30</v>
      </c>
      <c r="C110" s="1209">
        <v>38.566718769999994</v>
      </c>
      <c r="D110" s="1210">
        <v>30</v>
      </c>
      <c r="E110" s="1209">
        <v>38.4</v>
      </c>
      <c r="F110" s="1580"/>
      <c r="G110" s="1578"/>
      <c r="H110" s="1580"/>
      <c r="I110" s="1575"/>
      <c r="J110" s="2466"/>
      <c r="K110" s="1873"/>
      <c r="L110" s="1873"/>
    </row>
    <row r="111" spans="1:12">
      <c r="A111" s="1468">
        <v>2014.06</v>
      </c>
      <c r="B111" s="1208">
        <v>30</v>
      </c>
      <c r="C111" s="1209">
        <v>35.2444520066</v>
      </c>
      <c r="D111" s="1210">
        <v>30</v>
      </c>
      <c r="E111" s="1209">
        <v>37.5</v>
      </c>
      <c r="F111" s="1580"/>
      <c r="G111" s="1578"/>
      <c r="H111" s="1580"/>
      <c r="I111" s="1575"/>
      <c r="J111" s="2466"/>
      <c r="K111" s="1873"/>
      <c r="L111" s="1873"/>
    </row>
    <row r="112" spans="1:12">
      <c r="A112" s="1468">
        <v>2014.07</v>
      </c>
      <c r="B112" s="1208">
        <v>30</v>
      </c>
      <c r="C112" s="1209">
        <v>37.381615989400004</v>
      </c>
      <c r="D112" s="1210">
        <v>30</v>
      </c>
      <c r="E112" s="1209">
        <v>35.200000000000003</v>
      </c>
      <c r="F112" s="1580"/>
      <c r="G112" s="1578"/>
      <c r="H112" s="1580"/>
      <c r="I112" s="1575"/>
      <c r="J112" s="2466"/>
      <c r="K112" s="1873"/>
      <c r="L112" s="1873"/>
    </row>
    <row r="113" spans="1:12">
      <c r="A113" s="1468">
        <v>2014.08</v>
      </c>
      <c r="B113" s="1208">
        <v>30</v>
      </c>
      <c r="C113" s="1209">
        <v>36.984330274299992</v>
      </c>
      <c r="D113" s="1210">
        <v>35</v>
      </c>
      <c r="E113" s="1209">
        <v>39.700000000000003</v>
      </c>
      <c r="F113" s="1580"/>
      <c r="G113" s="1578"/>
      <c r="H113" s="1580"/>
      <c r="I113" s="1575"/>
      <c r="J113" s="2466"/>
      <c r="K113" s="1873"/>
      <c r="L113" s="1873"/>
    </row>
    <row r="114" spans="1:12">
      <c r="A114" s="1468">
        <v>2014.09</v>
      </c>
      <c r="B114" s="1208">
        <v>35</v>
      </c>
      <c r="C114" s="1209">
        <v>41.097060782599996</v>
      </c>
      <c r="D114" s="1210">
        <v>30</v>
      </c>
      <c r="E114" s="1209">
        <v>38.4</v>
      </c>
      <c r="F114" s="1580"/>
      <c r="G114" s="1578"/>
      <c r="H114" s="1580"/>
      <c r="I114" s="1575"/>
      <c r="J114" s="2466"/>
      <c r="K114" s="1873"/>
      <c r="L114" s="1873"/>
    </row>
    <row r="115" spans="1:12">
      <c r="A115" s="1468">
        <v>2014.1</v>
      </c>
      <c r="B115" s="1208">
        <v>35</v>
      </c>
      <c r="C115" s="1209">
        <v>39.100485079899997</v>
      </c>
      <c r="D115" s="1210">
        <v>35</v>
      </c>
      <c r="E115" s="1209">
        <v>39.700000000000003</v>
      </c>
      <c r="F115" s="1580"/>
      <c r="G115" s="1578"/>
      <c r="H115" s="1580"/>
      <c r="I115" s="1575"/>
      <c r="J115" s="2466"/>
      <c r="K115" s="1873"/>
      <c r="L115" s="1873"/>
    </row>
    <row r="116" spans="1:12">
      <c r="A116" s="1468">
        <v>2014.11</v>
      </c>
      <c r="B116" s="1208">
        <v>30</v>
      </c>
      <c r="C116" s="1209">
        <v>37.554011027599998</v>
      </c>
      <c r="D116" s="1210">
        <v>30</v>
      </c>
      <c r="E116" s="1209">
        <v>38.4</v>
      </c>
      <c r="F116" s="1580"/>
      <c r="G116" s="1578"/>
      <c r="H116" s="1580"/>
      <c r="I116" s="1575"/>
      <c r="J116" s="2466"/>
      <c r="K116" s="1873"/>
      <c r="L116" s="1873"/>
    </row>
    <row r="117" spans="1:12">
      <c r="A117" s="1468">
        <v>2014.12</v>
      </c>
      <c r="B117" s="1208">
        <v>30</v>
      </c>
      <c r="C117" s="1209">
        <v>35.8321987697</v>
      </c>
      <c r="D117" s="1210">
        <v>30</v>
      </c>
      <c r="E117" s="1209">
        <v>35.1</v>
      </c>
      <c r="F117" s="1580"/>
      <c r="G117" s="1578"/>
      <c r="H117" s="1580"/>
      <c r="I117" s="1575"/>
      <c r="J117" s="2466"/>
      <c r="K117" s="1873"/>
      <c r="L117" s="1873"/>
    </row>
    <row r="118" spans="1:12">
      <c r="A118" s="1468">
        <v>2015.01</v>
      </c>
      <c r="B118" s="1208">
        <v>30</v>
      </c>
      <c r="C118" s="1209">
        <v>31.295445547699998</v>
      </c>
      <c r="D118" s="1210">
        <v>30</v>
      </c>
      <c r="E118" s="1209">
        <v>31.9</v>
      </c>
      <c r="F118" s="1580"/>
      <c r="G118" s="1578"/>
      <c r="H118" s="1580"/>
      <c r="I118" s="1575"/>
      <c r="J118" s="2466"/>
      <c r="K118" s="1873"/>
      <c r="L118" s="1873"/>
    </row>
    <row r="119" spans="1:12">
      <c r="A119" s="1468">
        <v>2015.02</v>
      </c>
      <c r="B119" s="1208">
        <v>30</v>
      </c>
      <c r="C119" s="1209">
        <v>29.618846993999998</v>
      </c>
      <c r="D119" s="1210">
        <v>30</v>
      </c>
      <c r="E119" s="1209">
        <v>32.6</v>
      </c>
      <c r="F119" s="1580"/>
      <c r="G119" s="1578"/>
      <c r="H119" s="1580"/>
      <c r="I119" s="1575"/>
      <c r="J119" s="2466"/>
      <c r="K119" s="1873"/>
      <c r="L119" s="1873"/>
    </row>
    <row r="120" spans="1:12">
      <c r="A120" s="1468">
        <v>2015.03</v>
      </c>
      <c r="B120" s="1208">
        <v>30</v>
      </c>
      <c r="C120" s="1209">
        <v>29.5689435271</v>
      </c>
      <c r="D120" s="1210">
        <v>30</v>
      </c>
      <c r="E120" s="1209">
        <v>31.6</v>
      </c>
      <c r="F120" s="1580"/>
      <c r="G120" s="1578"/>
      <c r="H120" s="1580"/>
      <c r="I120" s="1575"/>
      <c r="J120" s="2466"/>
      <c r="K120" s="1873"/>
      <c r="L120" s="1873"/>
    </row>
    <row r="121" spans="1:12">
      <c r="A121" s="1468">
        <v>2015.04</v>
      </c>
      <c r="B121" s="1208">
        <v>30</v>
      </c>
      <c r="C121" s="1209">
        <v>30.5603568147</v>
      </c>
      <c r="D121" s="1210">
        <v>30</v>
      </c>
      <c r="E121" s="1209">
        <v>31</v>
      </c>
      <c r="F121" s="1580"/>
      <c r="G121" s="1578"/>
      <c r="H121" s="1580"/>
      <c r="I121" s="1575"/>
      <c r="J121" s="2466"/>
      <c r="K121" s="1873"/>
      <c r="L121" s="1873"/>
    </row>
    <row r="122" spans="1:12">
      <c r="A122" s="1468">
        <v>2015.05</v>
      </c>
      <c r="B122" s="1208">
        <v>28</v>
      </c>
      <c r="C122" s="1209">
        <v>27.504020296199997</v>
      </c>
      <c r="D122" s="1210">
        <v>30</v>
      </c>
      <c r="E122" s="1209">
        <v>28.5</v>
      </c>
      <c r="F122" s="1580"/>
      <c r="G122" s="1578"/>
      <c r="H122" s="1580"/>
      <c r="I122" s="1575"/>
      <c r="J122" s="2466"/>
      <c r="K122" s="1873"/>
      <c r="L122" s="1873"/>
    </row>
    <row r="123" spans="1:12">
      <c r="A123" s="1468">
        <v>2015.06</v>
      </c>
      <c r="B123" s="1208">
        <v>30</v>
      </c>
      <c r="C123" s="1209">
        <v>30.539026632999999</v>
      </c>
      <c r="D123" s="1210">
        <v>30</v>
      </c>
      <c r="E123" s="1209">
        <v>30.2</v>
      </c>
      <c r="F123" s="1580"/>
      <c r="G123" s="1578"/>
      <c r="H123" s="1580"/>
      <c r="I123" s="1575"/>
      <c r="J123" s="2466"/>
      <c r="K123" s="1873"/>
      <c r="L123" s="1873"/>
    </row>
    <row r="124" spans="1:12">
      <c r="A124" s="1468">
        <v>2015.07</v>
      </c>
      <c r="B124" s="1208">
        <v>25</v>
      </c>
      <c r="C124" s="1209">
        <v>27.695384702799998</v>
      </c>
      <c r="D124" s="1210">
        <v>25</v>
      </c>
      <c r="E124" s="1209">
        <v>27</v>
      </c>
      <c r="F124" s="1580"/>
      <c r="G124" s="1578"/>
      <c r="H124" s="1580"/>
      <c r="I124" s="1575"/>
      <c r="J124" s="2466"/>
      <c r="K124" s="1873"/>
      <c r="L124" s="1873"/>
    </row>
    <row r="125" spans="1:12">
      <c r="A125" s="1468">
        <v>2015.08</v>
      </c>
      <c r="B125" s="1208">
        <v>22</v>
      </c>
      <c r="C125" s="1209">
        <v>26.275479548100002</v>
      </c>
      <c r="D125" s="1210">
        <v>25</v>
      </c>
      <c r="E125" s="1209">
        <v>29</v>
      </c>
      <c r="F125" s="1580"/>
      <c r="G125" s="1578"/>
      <c r="H125" s="1580"/>
      <c r="I125" s="1575"/>
      <c r="J125" s="2466"/>
      <c r="K125" s="1873"/>
      <c r="L125" s="1873"/>
    </row>
    <row r="126" spans="1:12">
      <c r="A126" s="1468">
        <v>2015.09</v>
      </c>
      <c r="B126" s="1208">
        <v>30</v>
      </c>
      <c r="C126" s="1209">
        <v>30.731866132900002</v>
      </c>
      <c r="D126" s="1210">
        <v>30</v>
      </c>
      <c r="E126" s="1209">
        <v>31.2</v>
      </c>
      <c r="F126" s="1580"/>
      <c r="G126" s="1578"/>
      <c r="H126" s="1580"/>
      <c r="I126" s="1575"/>
      <c r="J126" s="2466"/>
      <c r="K126" s="1873"/>
      <c r="L126" s="1873"/>
    </row>
    <row r="127" spans="1:12">
      <c r="A127" s="1468">
        <v>2015.1</v>
      </c>
      <c r="B127" s="1208">
        <v>25</v>
      </c>
      <c r="C127" s="1209">
        <v>27.464381588000002</v>
      </c>
      <c r="D127" s="1210">
        <v>25</v>
      </c>
      <c r="E127" s="1209">
        <v>29.8</v>
      </c>
      <c r="F127" s="1580"/>
      <c r="G127" s="1578"/>
      <c r="H127" s="1580"/>
      <c r="I127" s="1575"/>
      <c r="J127" s="2466"/>
      <c r="K127" s="1873"/>
      <c r="L127" s="1873"/>
    </row>
    <row r="128" spans="1:12">
      <c r="A128" s="1468">
        <v>2015.11</v>
      </c>
      <c r="B128" s="1208">
        <v>20</v>
      </c>
      <c r="C128" s="1209">
        <v>22.2</v>
      </c>
      <c r="D128" s="1210">
        <v>20</v>
      </c>
      <c r="E128" s="1209">
        <v>22.2</v>
      </c>
      <c r="F128" s="1580"/>
      <c r="G128" s="1578"/>
      <c r="H128" s="1580"/>
      <c r="I128" s="1575"/>
      <c r="J128" s="2466"/>
      <c r="K128" s="1873"/>
      <c r="L128" s="1873"/>
    </row>
    <row r="129" spans="1:12">
      <c r="A129" s="1468">
        <v>2015.12</v>
      </c>
      <c r="B129" s="1208">
        <v>30</v>
      </c>
      <c r="C129" s="1209">
        <v>30.5232259032</v>
      </c>
      <c r="D129" s="1210">
        <v>30</v>
      </c>
      <c r="E129" s="1209">
        <v>28.8</v>
      </c>
      <c r="F129" s="1580"/>
      <c r="G129" s="1578"/>
      <c r="H129" s="1580"/>
      <c r="I129" s="1575"/>
      <c r="J129" s="2466"/>
      <c r="K129" s="1873"/>
      <c r="L129" s="1873"/>
    </row>
    <row r="130" spans="1:12">
      <c r="A130" s="1468">
        <f>A118+1</f>
        <v>2016.01</v>
      </c>
      <c r="B130" s="1208">
        <v>25</v>
      </c>
      <c r="C130" s="1209">
        <v>26.9</v>
      </c>
      <c r="D130" s="1210">
        <v>25</v>
      </c>
      <c r="E130" s="1209">
        <v>27.1</v>
      </c>
      <c r="F130" s="1580"/>
      <c r="G130" s="1578"/>
      <c r="H130" s="1580"/>
      <c r="I130" s="1575"/>
      <c r="J130" s="2466"/>
      <c r="K130" s="1873"/>
      <c r="L130" s="1873"/>
    </row>
    <row r="131" spans="1:12">
      <c r="A131" s="1468">
        <f t="shared" ref="A131:A153" si="0">A119+1</f>
        <v>2016.02</v>
      </c>
      <c r="B131" s="1208">
        <v>30</v>
      </c>
      <c r="C131" s="1209">
        <v>33.6</v>
      </c>
      <c r="D131" s="1210">
        <v>30</v>
      </c>
      <c r="E131" s="1209">
        <v>31.4</v>
      </c>
      <c r="F131" s="1580"/>
      <c r="G131" s="1578"/>
      <c r="H131" s="1580"/>
      <c r="I131" s="1575"/>
      <c r="J131" s="2466"/>
      <c r="K131" s="1873"/>
      <c r="L131" s="1873"/>
    </row>
    <row r="132" spans="1:12">
      <c r="A132" s="1468">
        <f t="shared" si="0"/>
        <v>2016.03</v>
      </c>
      <c r="B132" s="1208">
        <v>30</v>
      </c>
      <c r="C132" s="1209">
        <v>31.4</v>
      </c>
      <c r="D132" s="1210">
        <v>30</v>
      </c>
      <c r="E132" s="1209">
        <v>29.9</v>
      </c>
      <c r="F132" s="1580"/>
      <c r="G132" s="1578"/>
      <c r="H132" s="1580"/>
      <c r="I132" s="1575"/>
      <c r="J132" s="2466"/>
      <c r="K132" s="1873"/>
      <c r="L132" s="1873"/>
    </row>
    <row r="133" spans="1:12">
      <c r="A133" s="1468">
        <f t="shared" si="0"/>
        <v>2016.04</v>
      </c>
      <c r="B133" s="1208">
        <v>30</v>
      </c>
      <c r="C133" s="1209">
        <v>36</v>
      </c>
      <c r="D133" s="1210">
        <v>30</v>
      </c>
      <c r="E133" s="1209">
        <v>34.4</v>
      </c>
      <c r="F133" s="1580"/>
      <c r="G133" s="1578"/>
      <c r="H133" s="1580"/>
      <c r="I133" s="1575"/>
      <c r="J133" s="2466"/>
      <c r="K133" s="1873"/>
      <c r="L133" s="1873"/>
    </row>
    <row r="134" spans="1:12">
      <c r="A134" s="1468">
        <f t="shared" si="0"/>
        <v>2016.05</v>
      </c>
      <c r="B134" s="1208">
        <v>28</v>
      </c>
      <c r="C134" s="1209">
        <v>32.4</v>
      </c>
      <c r="D134" s="1210">
        <v>25</v>
      </c>
      <c r="E134" s="1209">
        <v>29</v>
      </c>
      <c r="F134" s="1580"/>
      <c r="G134" s="1578"/>
      <c r="H134" s="1580"/>
      <c r="I134" s="1575"/>
      <c r="J134" s="2466"/>
      <c r="K134" s="1873"/>
      <c r="L134" s="1873"/>
    </row>
    <row r="135" spans="1:12">
      <c r="A135" s="1468">
        <f t="shared" si="0"/>
        <v>2016.06</v>
      </c>
      <c r="B135" s="1208">
        <v>25</v>
      </c>
      <c r="C135" s="1209">
        <v>32.9</v>
      </c>
      <c r="D135" s="1210">
        <v>25</v>
      </c>
      <c r="E135" s="1209">
        <v>29.9</v>
      </c>
      <c r="F135" s="754">
        <v>21.5</v>
      </c>
      <c r="G135" s="286">
        <v>21.562295807030278</v>
      </c>
      <c r="H135" s="1580"/>
      <c r="I135" s="1575"/>
      <c r="J135" s="2466"/>
      <c r="K135" s="1873"/>
      <c r="L135" s="1873"/>
    </row>
    <row r="136" spans="1:12">
      <c r="A136" s="1468">
        <f t="shared" si="0"/>
        <v>2016.07</v>
      </c>
      <c r="B136" s="1208">
        <v>25</v>
      </c>
      <c r="C136" s="1209">
        <v>29.8</v>
      </c>
      <c r="D136" s="1210">
        <v>20</v>
      </c>
      <c r="E136" s="1209">
        <v>28.3</v>
      </c>
      <c r="F136" s="1210">
        <v>21.700000000000003</v>
      </c>
      <c r="G136" s="677">
        <v>21.847120522444349</v>
      </c>
      <c r="H136" s="754">
        <v>2.2000000000000002</v>
      </c>
      <c r="I136" s="1575"/>
      <c r="J136" s="2466"/>
      <c r="K136" s="1873"/>
      <c r="L136" s="1873"/>
    </row>
    <row r="137" spans="1:12">
      <c r="A137" s="1468">
        <f>A125+1</f>
        <v>2016.08</v>
      </c>
      <c r="B137" s="1208">
        <v>25</v>
      </c>
      <c r="C137" s="1209">
        <v>30.9</v>
      </c>
      <c r="D137" s="1210">
        <v>25</v>
      </c>
      <c r="E137" s="1209">
        <v>29.6</v>
      </c>
      <c r="F137" s="1210">
        <v>21.9</v>
      </c>
      <c r="G137" s="677">
        <v>21.388487785052419</v>
      </c>
      <c r="H137" s="1210">
        <v>2</v>
      </c>
      <c r="I137" s="1575"/>
      <c r="J137" s="2466"/>
      <c r="K137" s="1873"/>
      <c r="L137" s="1873"/>
    </row>
    <row r="138" spans="1:12">
      <c r="A138" s="1468">
        <f t="shared" si="0"/>
        <v>2016.09</v>
      </c>
      <c r="B138" s="1208">
        <v>20</v>
      </c>
      <c r="C138" s="1209">
        <v>29.8</v>
      </c>
      <c r="D138" s="1210">
        <v>20</v>
      </c>
      <c r="E138" s="1209">
        <v>27.8</v>
      </c>
      <c r="F138" s="1210">
        <v>21.1</v>
      </c>
      <c r="G138" s="677">
        <v>20.584118892518088</v>
      </c>
      <c r="H138" s="1210">
        <v>1.6</v>
      </c>
      <c r="I138" s="1575"/>
      <c r="J138" s="2466"/>
      <c r="K138" s="1873"/>
      <c r="L138" s="1873"/>
    </row>
    <row r="139" spans="1:12">
      <c r="A139" s="1468">
        <f t="shared" si="0"/>
        <v>2016.1</v>
      </c>
      <c r="B139" s="1208">
        <v>20</v>
      </c>
      <c r="C139" s="1209">
        <v>27.6</v>
      </c>
      <c r="D139" s="1210">
        <v>20</v>
      </c>
      <c r="E139" s="1209">
        <v>23.7</v>
      </c>
      <c r="F139" s="1210">
        <v>19.425992025811041</v>
      </c>
      <c r="G139" s="677">
        <v>19.506999386600853</v>
      </c>
      <c r="H139" s="1210">
        <v>1.7</v>
      </c>
      <c r="I139" s="1575"/>
      <c r="J139" s="2466"/>
      <c r="K139" s="1873"/>
      <c r="L139" s="1873"/>
    </row>
    <row r="140" spans="1:12">
      <c r="A140" s="1468">
        <f t="shared" si="0"/>
        <v>2016.11</v>
      </c>
      <c r="B140" s="1208">
        <v>25</v>
      </c>
      <c r="C140" s="1209">
        <v>30.4</v>
      </c>
      <c r="D140" s="1210">
        <v>25</v>
      </c>
      <c r="E140" s="1209">
        <v>28.8</v>
      </c>
      <c r="F140" s="1210">
        <v>20</v>
      </c>
      <c r="G140" s="677">
        <v>19.688537848139312</v>
      </c>
      <c r="H140" s="1210">
        <v>1.6</v>
      </c>
      <c r="I140" s="1575"/>
      <c r="J140" s="2466"/>
      <c r="K140" s="1873"/>
      <c r="L140" s="1873"/>
    </row>
    <row r="141" spans="1:12">
      <c r="A141" s="1468">
        <f t="shared" si="0"/>
        <v>2016.12</v>
      </c>
      <c r="B141" s="1208">
        <v>25</v>
      </c>
      <c r="C141" s="1209">
        <v>28.9</v>
      </c>
      <c r="D141" s="1210">
        <v>20</v>
      </c>
      <c r="E141" s="1209">
        <v>26.4</v>
      </c>
      <c r="F141" s="1210">
        <v>19.600000000000001</v>
      </c>
      <c r="G141" s="677">
        <v>19.606868727368319</v>
      </c>
      <c r="H141" s="1210">
        <v>1.6</v>
      </c>
      <c r="I141" s="1575"/>
      <c r="J141" s="2466"/>
      <c r="K141" s="1873"/>
      <c r="L141" s="1873"/>
    </row>
    <row r="142" spans="1:12">
      <c r="A142" s="1468">
        <f t="shared" si="0"/>
        <v>2017.01</v>
      </c>
      <c r="B142" s="1208">
        <v>25</v>
      </c>
      <c r="C142" s="1209">
        <v>29.2</v>
      </c>
      <c r="D142" s="1210">
        <v>20</v>
      </c>
      <c r="E142" s="1209">
        <v>27.5</v>
      </c>
      <c r="F142" s="1210">
        <v>19.649999999999999</v>
      </c>
      <c r="G142" s="677">
        <v>19.364615384615387</v>
      </c>
      <c r="H142" s="1210">
        <v>1.7</v>
      </c>
      <c r="I142" s="1575"/>
      <c r="J142" s="2466"/>
      <c r="K142" s="1873"/>
      <c r="L142" s="1873"/>
    </row>
    <row r="143" spans="1:12">
      <c r="A143" s="1468">
        <f>A131+1</f>
        <v>2017.02</v>
      </c>
      <c r="B143" s="1208">
        <v>25</v>
      </c>
      <c r="C143" s="1209">
        <v>31.2</v>
      </c>
      <c r="D143" s="1210">
        <v>25</v>
      </c>
      <c r="E143" s="1209">
        <v>29.4</v>
      </c>
      <c r="F143" s="1210">
        <v>19.450000000000003</v>
      </c>
      <c r="G143" s="677">
        <v>18.998333333333331</v>
      </c>
      <c r="H143" s="1210">
        <v>1.7</v>
      </c>
      <c r="I143" s="1575"/>
      <c r="J143" s="2466"/>
      <c r="K143" s="1873"/>
      <c r="L143" s="1873"/>
    </row>
    <row r="144" spans="1:12">
      <c r="A144" s="1468">
        <f t="shared" si="0"/>
        <v>2017.03</v>
      </c>
      <c r="B144" s="1208">
        <v>25</v>
      </c>
      <c r="C144" s="1209">
        <v>31.3</v>
      </c>
      <c r="D144" s="1210">
        <v>20</v>
      </c>
      <c r="E144" s="1209">
        <v>27.4</v>
      </c>
      <c r="F144" s="1210">
        <v>18.399999999999999</v>
      </c>
      <c r="G144" s="677">
        <v>18.236250000000002</v>
      </c>
      <c r="H144" s="1210">
        <v>1.7</v>
      </c>
      <c r="I144" s="1575"/>
      <c r="J144" s="2466"/>
      <c r="K144" s="1873"/>
      <c r="L144" s="1873"/>
    </row>
    <row r="145" spans="1:12">
      <c r="A145" s="1468">
        <f t="shared" si="0"/>
        <v>2017.04</v>
      </c>
      <c r="B145" s="1208">
        <v>20</v>
      </c>
      <c r="C145" s="1209">
        <v>27.4</v>
      </c>
      <c r="D145" s="1210">
        <v>20</v>
      </c>
      <c r="E145" s="1209">
        <v>26.7</v>
      </c>
      <c r="F145" s="1210">
        <v>17.509999999999998</v>
      </c>
      <c r="G145" s="677">
        <v>17.502272727272729</v>
      </c>
      <c r="H145" s="1210">
        <v>1.8</v>
      </c>
      <c r="I145" s="1575"/>
      <c r="J145" s="2466"/>
      <c r="K145" s="1873"/>
      <c r="L145" s="1873"/>
    </row>
    <row r="146" spans="1:12">
      <c r="A146" s="1468">
        <f t="shared" si="0"/>
        <v>2017.05</v>
      </c>
      <c r="B146" s="1208">
        <v>21</v>
      </c>
      <c r="C146" s="1209">
        <v>27.9</v>
      </c>
      <c r="D146" s="1210">
        <v>20</v>
      </c>
      <c r="E146" s="1209">
        <v>26.7</v>
      </c>
      <c r="F146" s="1210">
        <v>17</v>
      </c>
      <c r="G146" s="677">
        <v>17.505652173913042</v>
      </c>
      <c r="H146" s="1210">
        <v>1.6</v>
      </c>
      <c r="I146" s="1575"/>
      <c r="J146" s="2466"/>
      <c r="K146" s="1873"/>
      <c r="L146" s="1873"/>
    </row>
    <row r="147" spans="1:12">
      <c r="A147" s="1468">
        <f>A135+1</f>
        <v>2017.06</v>
      </c>
      <c r="B147" s="1208">
        <v>20</v>
      </c>
      <c r="C147" s="1209">
        <v>27.3</v>
      </c>
      <c r="D147" s="1210">
        <v>20</v>
      </c>
      <c r="E147" s="1209">
        <v>26.6</v>
      </c>
      <c r="F147" s="1210">
        <v>17</v>
      </c>
      <c r="G147" s="677">
        <v>17.053461538461537</v>
      </c>
      <c r="H147" s="1210">
        <v>1.5</v>
      </c>
      <c r="I147" s="1575"/>
      <c r="J147" s="2466"/>
      <c r="K147" s="1873"/>
      <c r="L147" s="1873"/>
    </row>
    <row r="148" spans="1:12">
      <c r="A148" s="1468">
        <f t="shared" si="0"/>
        <v>2017.07</v>
      </c>
      <c r="B148" s="1208">
        <v>20</v>
      </c>
      <c r="C148" s="1209">
        <v>29.3</v>
      </c>
      <c r="D148" s="1210">
        <v>20</v>
      </c>
      <c r="E148" s="1209">
        <v>28.3</v>
      </c>
      <c r="F148" s="1210">
        <v>17.100000000000001</v>
      </c>
      <c r="G148" s="677">
        <v>17.346932102700723</v>
      </c>
      <c r="H148" s="1210">
        <v>1.5</v>
      </c>
      <c r="I148" s="1575"/>
      <c r="J148" s="2466"/>
      <c r="K148" s="1873"/>
      <c r="L148" s="1873"/>
    </row>
    <row r="149" spans="1:12">
      <c r="A149" s="1468">
        <f t="shared" si="0"/>
        <v>2017.08</v>
      </c>
      <c r="B149" s="1208">
        <v>20</v>
      </c>
      <c r="C149" s="1209">
        <v>27.9</v>
      </c>
      <c r="D149" s="1210">
        <v>20</v>
      </c>
      <c r="E149" s="1209">
        <v>28.3</v>
      </c>
      <c r="F149" s="1210">
        <v>17.2</v>
      </c>
      <c r="G149" s="677">
        <v>17.102728604002934</v>
      </c>
      <c r="H149" s="1210">
        <v>1.5</v>
      </c>
      <c r="I149" s="1575"/>
      <c r="J149" s="2466"/>
      <c r="K149" s="1873"/>
      <c r="L149" s="1873"/>
    </row>
    <row r="150" spans="1:12">
      <c r="A150" s="1468">
        <f t="shared" si="0"/>
        <v>2017.09</v>
      </c>
      <c r="B150" s="1208">
        <v>20</v>
      </c>
      <c r="C150" s="1209">
        <v>25.1</v>
      </c>
      <c r="D150" s="1210">
        <v>20</v>
      </c>
      <c r="E150" s="1209">
        <v>22.9</v>
      </c>
      <c r="F150" s="1210">
        <v>16.899999999999999</v>
      </c>
      <c r="G150" s="677">
        <v>16.969583333333301</v>
      </c>
      <c r="H150" s="1210">
        <v>1.3</v>
      </c>
      <c r="I150" s="1575"/>
      <c r="J150" s="2466"/>
      <c r="K150" s="1873"/>
      <c r="L150" s="1873"/>
    </row>
    <row r="151" spans="1:12">
      <c r="A151" s="1468">
        <f t="shared" si="0"/>
        <v>2017.1</v>
      </c>
      <c r="B151" s="1208">
        <v>20</v>
      </c>
      <c r="C151" s="1209">
        <v>27.7</v>
      </c>
      <c r="D151" s="1210">
        <v>20</v>
      </c>
      <c r="E151" s="1209">
        <v>23.6</v>
      </c>
      <c r="F151" s="1210">
        <v>17.3</v>
      </c>
      <c r="G151" s="677">
        <v>17.329574468085099</v>
      </c>
      <c r="H151" s="1210">
        <v>1.4</v>
      </c>
      <c r="I151" s="1575"/>
      <c r="J151" s="2466"/>
      <c r="K151" s="1873"/>
      <c r="L151" s="1873"/>
    </row>
    <row r="152" spans="1:12">
      <c r="A152" s="1468">
        <f t="shared" si="0"/>
        <v>2017.11</v>
      </c>
      <c r="B152" s="1208">
        <v>20</v>
      </c>
      <c r="C152" s="1209">
        <v>24.7</v>
      </c>
      <c r="D152" s="1210">
        <v>20</v>
      </c>
      <c r="E152" s="1209">
        <v>23.5</v>
      </c>
      <c r="F152" s="1210">
        <v>17.5</v>
      </c>
      <c r="G152" s="677">
        <v>17.600000000000001</v>
      </c>
      <c r="H152" s="1210">
        <v>1.5</v>
      </c>
      <c r="I152" s="1575"/>
      <c r="J152" s="2466"/>
      <c r="K152" s="1873"/>
      <c r="L152" s="1873"/>
    </row>
    <row r="153" spans="1:12">
      <c r="A153" s="1468">
        <f t="shared" si="0"/>
        <v>2017.12</v>
      </c>
      <c r="B153" s="1208">
        <v>20</v>
      </c>
      <c r="C153" s="1209">
        <v>29.1</v>
      </c>
      <c r="D153" s="1210">
        <v>23</v>
      </c>
      <c r="E153" s="1209">
        <v>29.3</v>
      </c>
      <c r="F153" s="1210">
        <v>17.399999999999999</v>
      </c>
      <c r="G153" s="677">
        <v>17</v>
      </c>
      <c r="H153" s="1210">
        <v>2.1</v>
      </c>
      <c r="I153" s="1575"/>
      <c r="J153" s="2466"/>
      <c r="K153" s="1873"/>
      <c r="L153" s="1873"/>
    </row>
    <row r="154" spans="1:12">
      <c r="A154" s="1468">
        <f t="shared" ref="A154:A163" si="1">A142+1</f>
        <v>2018.01</v>
      </c>
      <c r="B154" s="1208">
        <v>20</v>
      </c>
      <c r="C154" s="1209">
        <v>28.4</v>
      </c>
      <c r="D154" s="1210">
        <v>20</v>
      </c>
      <c r="E154" s="1209">
        <v>27.6</v>
      </c>
      <c r="F154" s="1210">
        <v>18.600000000000001</v>
      </c>
      <c r="G154" s="677">
        <v>18.5</v>
      </c>
      <c r="H154" s="1210">
        <v>1.5</v>
      </c>
      <c r="I154" s="1575"/>
      <c r="J154" s="2466"/>
      <c r="K154" s="1873"/>
      <c r="L154" s="1873"/>
    </row>
    <row r="155" spans="1:12">
      <c r="A155" s="1468">
        <f t="shared" si="1"/>
        <v>2018.02</v>
      </c>
      <c r="B155" s="1208">
        <v>20</v>
      </c>
      <c r="C155" s="1209">
        <v>27</v>
      </c>
      <c r="D155" s="1210">
        <v>20</v>
      </c>
      <c r="E155" s="1209">
        <v>28.4</v>
      </c>
      <c r="F155" s="1210">
        <v>17.600000000000001</v>
      </c>
      <c r="G155" s="677">
        <v>18</v>
      </c>
      <c r="H155" s="1210">
        <v>2.1</v>
      </c>
      <c r="I155" s="1575"/>
      <c r="J155" s="2466"/>
      <c r="K155" s="1873"/>
      <c r="L155" s="1873"/>
    </row>
    <row r="156" spans="1:12">
      <c r="A156" s="1468">
        <f t="shared" si="1"/>
        <v>2018.03</v>
      </c>
      <c r="B156" s="1208">
        <v>20</v>
      </c>
      <c r="C156" s="1209">
        <v>29.2</v>
      </c>
      <c r="D156" s="1210">
        <v>20</v>
      </c>
      <c r="E156" s="1209">
        <v>27.7</v>
      </c>
      <c r="F156" s="1210">
        <v>17.8</v>
      </c>
      <c r="G156" s="677">
        <v>18</v>
      </c>
      <c r="H156" s="1210">
        <v>1.7</v>
      </c>
      <c r="I156" s="1575"/>
      <c r="J156" s="2466"/>
      <c r="K156" s="1873"/>
      <c r="L156" s="1873"/>
    </row>
    <row r="157" spans="1:12">
      <c r="A157" s="1468">
        <f t="shared" si="1"/>
        <v>2018.04</v>
      </c>
      <c r="B157" s="1208">
        <v>25</v>
      </c>
      <c r="C157" s="1209">
        <v>33.1</v>
      </c>
      <c r="D157" s="1210">
        <v>25</v>
      </c>
      <c r="E157" s="1209">
        <v>30.3</v>
      </c>
      <c r="F157" s="1210">
        <v>18.2</v>
      </c>
      <c r="G157" s="677">
        <v>18.3</v>
      </c>
      <c r="H157" s="1210">
        <v>2.1</v>
      </c>
      <c r="I157" s="1575"/>
      <c r="J157" s="2466"/>
      <c r="K157" s="1873"/>
      <c r="L157" s="1873"/>
    </row>
    <row r="158" spans="1:12">
      <c r="A158" s="1468">
        <f t="shared" si="1"/>
        <v>2018.05</v>
      </c>
      <c r="B158" s="1208">
        <v>25</v>
      </c>
      <c r="C158" s="1209">
        <v>33.299999999999997</v>
      </c>
      <c r="D158" s="1210">
        <v>25</v>
      </c>
      <c r="E158" s="1209">
        <v>30.6</v>
      </c>
      <c r="F158" s="1210">
        <v>22.2</v>
      </c>
      <c r="G158" s="677">
        <v>22.6</v>
      </c>
      <c r="H158" s="1210">
        <v>1.7</v>
      </c>
      <c r="I158" s="1575"/>
      <c r="J158" s="2466"/>
      <c r="K158" s="1873"/>
      <c r="L158" s="1873"/>
    </row>
    <row r="159" spans="1:12">
      <c r="A159" s="1468">
        <f t="shared" si="1"/>
        <v>2018.06</v>
      </c>
      <c r="B159" s="1208">
        <v>30</v>
      </c>
      <c r="C159" s="1209">
        <v>35.799999999999997</v>
      </c>
      <c r="D159" s="1210">
        <v>30</v>
      </c>
      <c r="E159" s="1209">
        <v>34</v>
      </c>
      <c r="F159" s="1210">
        <v>24.2</v>
      </c>
      <c r="G159" s="677">
        <v>24.3</v>
      </c>
      <c r="H159" s="1210">
        <v>2.4</v>
      </c>
      <c r="I159" s="1575"/>
      <c r="J159" s="2466"/>
      <c r="K159" s="1873"/>
      <c r="L159" s="1873"/>
    </row>
    <row r="160" spans="1:12">
      <c r="A160" s="1468">
        <f t="shared" si="1"/>
        <v>2018.07</v>
      </c>
      <c r="B160" s="1208">
        <v>30</v>
      </c>
      <c r="C160" s="1209">
        <v>32.200000000000003</v>
      </c>
      <c r="D160" s="1210">
        <v>30</v>
      </c>
      <c r="E160" s="1209">
        <v>30.8</v>
      </c>
      <c r="F160" s="1210">
        <v>23.7</v>
      </c>
      <c r="G160" s="677">
        <v>24.1</v>
      </c>
      <c r="H160" s="1210">
        <v>2.5</v>
      </c>
      <c r="I160" s="1575"/>
      <c r="J160" s="2466"/>
      <c r="K160" s="1873"/>
      <c r="L160" s="1873"/>
    </row>
    <row r="161" spans="1:12">
      <c r="A161" s="1468">
        <f t="shared" si="1"/>
        <v>2018.08</v>
      </c>
      <c r="B161" s="1208">
        <v>30</v>
      </c>
      <c r="C161" s="1209">
        <v>35.299999999999997</v>
      </c>
      <c r="D161" s="1210">
        <v>30</v>
      </c>
      <c r="E161" s="1209">
        <v>33.5</v>
      </c>
      <c r="F161" s="1210">
        <v>31.5</v>
      </c>
      <c r="G161" s="677">
        <v>33.370769230769199</v>
      </c>
      <c r="H161" s="1210">
        <v>2.4</v>
      </c>
      <c r="I161" s="1575"/>
      <c r="J161" s="2466"/>
      <c r="K161" s="1873"/>
      <c r="L161" s="1873"/>
    </row>
    <row r="162" spans="1:12">
      <c r="A162" s="1468">
        <f t="shared" si="1"/>
        <v>2018.09</v>
      </c>
      <c r="B162" s="1208">
        <v>30</v>
      </c>
      <c r="C162" s="1209">
        <v>40.4</v>
      </c>
      <c r="D162" s="1210">
        <v>30</v>
      </c>
      <c r="E162" s="1209">
        <v>38.700000000000003</v>
      </c>
      <c r="F162" s="1210">
        <v>31.9</v>
      </c>
      <c r="G162" s="677">
        <v>32.9</v>
      </c>
      <c r="H162" s="1210">
        <v>4</v>
      </c>
      <c r="I162" s="1575"/>
      <c r="J162" s="2466"/>
      <c r="K162" s="1873"/>
      <c r="L162" s="1873"/>
    </row>
    <row r="163" spans="1:12">
      <c r="A163" s="1468">
        <f t="shared" si="1"/>
        <v>2018.1</v>
      </c>
      <c r="B163" s="1208">
        <v>40</v>
      </c>
      <c r="C163" s="1209">
        <v>39.9</v>
      </c>
      <c r="D163" s="1210">
        <v>40</v>
      </c>
      <c r="E163" s="1209">
        <v>41.1</v>
      </c>
      <c r="F163" s="1210">
        <v>30.6</v>
      </c>
      <c r="G163" s="677">
        <v>32.1</v>
      </c>
      <c r="H163" s="1210">
        <v>4</v>
      </c>
      <c r="I163" s="1575"/>
      <c r="J163" s="2466"/>
      <c r="K163" s="1873"/>
      <c r="L163" s="1873"/>
    </row>
    <row r="164" spans="1:12">
      <c r="A164" s="1468">
        <f t="shared" ref="A164:A227" si="2">A152+1</f>
        <v>2018.11</v>
      </c>
      <c r="B164" s="1208">
        <v>30</v>
      </c>
      <c r="C164" s="1209">
        <v>38.299999999999997</v>
      </c>
      <c r="D164" s="1210">
        <v>30</v>
      </c>
      <c r="E164" s="1209">
        <v>37.9</v>
      </c>
      <c r="F164" s="1210">
        <v>28.6</v>
      </c>
      <c r="G164" s="677">
        <v>29</v>
      </c>
      <c r="H164" s="1210">
        <v>3.1</v>
      </c>
      <c r="I164" s="1575"/>
      <c r="J164" s="2466"/>
      <c r="K164" s="1873"/>
      <c r="L164" s="1873"/>
    </row>
    <row r="165" spans="1:12">
      <c r="A165" s="1468">
        <f t="shared" si="2"/>
        <v>2018.12</v>
      </c>
      <c r="B165" s="1208">
        <v>30</v>
      </c>
      <c r="C165" s="1209">
        <v>35.700000000000003</v>
      </c>
      <c r="D165" s="1210">
        <v>30</v>
      </c>
      <c r="E165" s="1209">
        <v>33.6</v>
      </c>
      <c r="F165" s="1210">
        <v>28.65</v>
      </c>
      <c r="G165" s="677">
        <v>29.349999999999898</v>
      </c>
      <c r="H165" s="1210">
        <v>2.7</v>
      </c>
      <c r="I165" s="1575"/>
      <c r="J165" s="2466"/>
      <c r="K165" s="1873"/>
      <c r="L165" s="1873"/>
    </row>
    <row r="166" spans="1:12">
      <c r="A166" s="1468">
        <f t="shared" si="2"/>
        <v>2019.01</v>
      </c>
      <c r="B166" s="1208">
        <v>30</v>
      </c>
      <c r="C166" s="1209">
        <v>39.200000000000003</v>
      </c>
      <c r="D166" s="1210">
        <v>30</v>
      </c>
      <c r="E166" s="1209">
        <v>35.4</v>
      </c>
      <c r="F166" s="1210">
        <v>28.5</v>
      </c>
      <c r="G166" s="677">
        <v>28.9</v>
      </c>
      <c r="H166" s="1210">
        <v>2.5</v>
      </c>
      <c r="I166" s="1575"/>
      <c r="J166" s="2466"/>
      <c r="K166" s="1873"/>
      <c r="L166" s="1873"/>
    </row>
    <row r="167" spans="1:12">
      <c r="A167" s="1468">
        <f t="shared" si="2"/>
        <v>2019.02</v>
      </c>
      <c r="B167" s="1208">
        <v>30</v>
      </c>
      <c r="C167" s="1209">
        <v>36.8511393506</v>
      </c>
      <c r="D167" s="1210">
        <v>30</v>
      </c>
      <c r="E167" s="1209">
        <v>34.6</v>
      </c>
      <c r="F167" s="1210">
        <v>29</v>
      </c>
      <c r="G167" s="677">
        <v>29</v>
      </c>
      <c r="H167" s="1210">
        <v>3.5</v>
      </c>
      <c r="I167" s="1575"/>
      <c r="J167" s="2466"/>
      <c r="K167" s="1873"/>
      <c r="L167" s="1873"/>
    </row>
    <row r="168" spans="1:12">
      <c r="A168" s="1468">
        <f t="shared" si="2"/>
        <v>2019.03</v>
      </c>
      <c r="B168" s="1208">
        <v>40</v>
      </c>
      <c r="C168" s="1209">
        <v>40.799999999999997</v>
      </c>
      <c r="D168" s="1210">
        <v>40</v>
      </c>
      <c r="E168" s="1209">
        <v>40.6</v>
      </c>
      <c r="F168" s="1210">
        <v>30.7</v>
      </c>
      <c r="G168" s="677">
        <v>30.6</v>
      </c>
      <c r="H168" s="1210">
        <v>3.8</v>
      </c>
      <c r="I168" s="1575"/>
      <c r="J168" s="2466"/>
      <c r="K168" s="1873"/>
      <c r="L168" s="1873"/>
    </row>
    <row r="169" spans="1:12">
      <c r="A169" s="1468">
        <f t="shared" si="2"/>
        <v>2019.04</v>
      </c>
      <c r="B169" s="1208">
        <v>40</v>
      </c>
      <c r="C169" s="1209">
        <v>40.6</v>
      </c>
      <c r="D169" s="1210">
        <v>40</v>
      </c>
      <c r="E169" s="1209">
        <v>40.200000000000003</v>
      </c>
      <c r="F169" s="1210">
        <v>31.4</v>
      </c>
      <c r="G169" s="677">
        <v>32.6</v>
      </c>
      <c r="H169" s="1210">
        <v>4</v>
      </c>
      <c r="I169" s="1575"/>
      <c r="J169" s="2466"/>
      <c r="K169" s="1873"/>
      <c r="L169" s="1873"/>
    </row>
    <row r="170" spans="1:12">
      <c r="A170" s="1468">
        <f t="shared" si="2"/>
        <v>2019.05</v>
      </c>
      <c r="B170" s="1208">
        <v>30</v>
      </c>
      <c r="C170" s="1209">
        <v>36.6</v>
      </c>
      <c r="D170" s="1210">
        <v>30</v>
      </c>
      <c r="E170" s="1209">
        <v>34.299999999999997</v>
      </c>
      <c r="F170" s="1210">
        <v>31</v>
      </c>
      <c r="G170" s="677">
        <v>31.7</v>
      </c>
      <c r="H170" s="1210">
        <v>3</v>
      </c>
      <c r="I170" s="1575"/>
      <c r="J170" s="2466"/>
      <c r="K170" s="1873"/>
      <c r="L170" s="1873"/>
    </row>
    <row r="171" spans="1:12">
      <c r="A171" s="1468">
        <f t="shared" si="2"/>
        <v>2019.06</v>
      </c>
      <c r="B171" s="1208">
        <v>30</v>
      </c>
      <c r="C171" s="1209">
        <v>34.5</v>
      </c>
      <c r="D171" s="1210">
        <v>30</v>
      </c>
      <c r="E171" s="1209">
        <v>32.200000000000003</v>
      </c>
      <c r="F171" s="1210">
        <v>30</v>
      </c>
      <c r="G171" s="677">
        <v>30.8</v>
      </c>
      <c r="H171" s="1210">
        <v>2.6</v>
      </c>
      <c r="I171" s="1575"/>
      <c r="J171" s="2466"/>
      <c r="K171" s="1873"/>
      <c r="L171" s="1873"/>
    </row>
    <row r="172" spans="1:12">
      <c r="A172" s="1468">
        <f t="shared" si="2"/>
        <v>2019.07</v>
      </c>
      <c r="B172" s="1208">
        <v>30</v>
      </c>
      <c r="C172" s="1209">
        <v>31.9</v>
      </c>
      <c r="D172" s="1210">
        <v>25</v>
      </c>
      <c r="E172" s="1209">
        <v>28.1</v>
      </c>
      <c r="F172" s="1210">
        <v>30.2</v>
      </c>
      <c r="G172" s="677">
        <v>30.4889311062099</v>
      </c>
      <c r="H172" s="1210">
        <v>2.4</v>
      </c>
      <c r="I172" s="1575"/>
      <c r="J172" s="2466"/>
      <c r="K172" s="1873"/>
      <c r="L172" s="1873"/>
    </row>
    <row r="173" spans="1:12">
      <c r="A173" s="1468">
        <f t="shared" si="2"/>
        <v>2019.08</v>
      </c>
      <c r="B173" s="1208">
        <v>30</v>
      </c>
      <c r="C173" s="1209">
        <v>34.700000000000003</v>
      </c>
      <c r="D173" s="1210">
        <v>30</v>
      </c>
      <c r="E173" s="1209">
        <v>37.5</v>
      </c>
      <c r="F173" s="1210">
        <v>48.29</v>
      </c>
      <c r="G173" s="677">
        <v>48.936509293768097</v>
      </c>
      <c r="H173" s="1210">
        <v>4.3</v>
      </c>
      <c r="I173" s="1575"/>
      <c r="J173" s="2466"/>
      <c r="K173" s="1873"/>
      <c r="L173" s="1873"/>
    </row>
    <row r="174" spans="1:12">
      <c r="A174" s="1468">
        <f t="shared" si="2"/>
        <v>2019.09</v>
      </c>
      <c r="B174" s="1208">
        <v>30</v>
      </c>
      <c r="C174" s="1209">
        <v>33.1</v>
      </c>
      <c r="D174" s="1210">
        <v>30</v>
      </c>
      <c r="E174" s="1209">
        <v>32.200000000000003</v>
      </c>
      <c r="F174" s="1210">
        <v>48</v>
      </c>
      <c r="G174" s="677">
        <v>47.4</v>
      </c>
      <c r="H174" s="1210">
        <v>5.8</v>
      </c>
      <c r="I174" s="1575"/>
      <c r="J174" s="2466"/>
      <c r="K174" s="1873"/>
      <c r="L174" s="1873"/>
    </row>
    <row r="175" spans="1:12">
      <c r="A175" s="1468">
        <f t="shared" si="2"/>
        <v>2019.1</v>
      </c>
      <c r="B175" s="1208">
        <v>30</v>
      </c>
      <c r="C175" s="1209">
        <v>31.2</v>
      </c>
      <c r="D175" s="1210">
        <v>30</v>
      </c>
      <c r="E175" s="1209">
        <v>32.700000000000003</v>
      </c>
      <c r="F175" s="1210">
        <v>48.2</v>
      </c>
      <c r="G175" s="677">
        <v>46.7</v>
      </c>
      <c r="H175" s="1210">
        <v>4.2</v>
      </c>
      <c r="I175" s="1575"/>
      <c r="J175" s="2466"/>
      <c r="K175" s="1873"/>
      <c r="L175" s="1873"/>
    </row>
    <row r="176" spans="1:12">
      <c r="A176" s="1468">
        <f t="shared" si="2"/>
        <v>2019.11</v>
      </c>
      <c r="B176" s="1208">
        <v>30</v>
      </c>
      <c r="C176" s="1209">
        <v>32.700000000000003</v>
      </c>
      <c r="D176" s="1210">
        <v>30</v>
      </c>
      <c r="E176" s="1209">
        <v>34.1</v>
      </c>
      <c r="F176" s="1210">
        <v>45.6</v>
      </c>
      <c r="G176" s="677">
        <v>45.3</v>
      </c>
      <c r="H176" s="1210">
        <v>4.0999999999999996</v>
      </c>
      <c r="I176" s="1575"/>
      <c r="J176" s="2466"/>
      <c r="K176" s="1873"/>
      <c r="L176" s="1873"/>
    </row>
    <row r="177" spans="1:12">
      <c r="A177" s="1468">
        <f t="shared" si="2"/>
        <v>2019.12</v>
      </c>
      <c r="B177" s="1208">
        <v>30</v>
      </c>
      <c r="C177" s="1209">
        <v>31.6</v>
      </c>
      <c r="D177" s="1210">
        <v>30</v>
      </c>
      <c r="E177" s="1209">
        <v>30.3</v>
      </c>
      <c r="F177" s="1210">
        <v>42.2</v>
      </c>
      <c r="G177" s="677">
        <v>41.6</v>
      </c>
      <c r="H177" s="1210">
        <v>4.0999999999999996</v>
      </c>
      <c r="I177" s="1575"/>
      <c r="J177" s="2466"/>
      <c r="K177" s="1873"/>
      <c r="L177" s="1873"/>
    </row>
    <row r="178" spans="1:12">
      <c r="A178" s="1468">
        <f t="shared" si="2"/>
        <v>2020.01</v>
      </c>
      <c r="B178" s="1208">
        <v>30</v>
      </c>
      <c r="C178" s="1209">
        <v>31.8</v>
      </c>
      <c r="D178" s="1210">
        <v>30</v>
      </c>
      <c r="E178" s="1209">
        <v>32.299999999999997</v>
      </c>
      <c r="F178" s="1210">
        <v>40</v>
      </c>
      <c r="G178" s="677">
        <v>40.5</v>
      </c>
      <c r="H178" s="1210">
        <v>3.5</v>
      </c>
      <c r="I178" s="1575"/>
      <c r="J178" s="2466"/>
      <c r="K178" s="1873"/>
      <c r="L178" s="1873"/>
    </row>
    <row r="179" spans="1:12">
      <c r="A179" s="1468">
        <f t="shared" si="2"/>
        <v>2020.02</v>
      </c>
      <c r="B179" s="1208">
        <v>30</v>
      </c>
      <c r="C179" s="1209">
        <v>35.799999999999997</v>
      </c>
      <c r="D179" s="1210">
        <v>30</v>
      </c>
      <c r="E179" s="1209">
        <v>36.1</v>
      </c>
      <c r="F179" s="1210">
        <v>39.9</v>
      </c>
      <c r="G179" s="677">
        <v>39.799999999999997</v>
      </c>
      <c r="H179" s="1210">
        <v>2.5</v>
      </c>
      <c r="I179" s="2463">
        <v>2.5</v>
      </c>
      <c r="J179" s="2466"/>
      <c r="K179" s="1873"/>
      <c r="L179" s="1873"/>
    </row>
    <row r="180" spans="1:12">
      <c r="A180" s="1468">
        <f t="shared" si="2"/>
        <v>2020.03</v>
      </c>
      <c r="B180" s="1208">
        <v>30</v>
      </c>
      <c r="C180" s="1209">
        <v>33.799999999999997</v>
      </c>
      <c r="D180" s="1210">
        <v>30</v>
      </c>
      <c r="E180" s="1209">
        <v>35.799999999999997</v>
      </c>
      <c r="F180" s="1210">
        <v>39.5</v>
      </c>
      <c r="G180" s="677">
        <v>41</v>
      </c>
      <c r="H180" s="1210">
        <v>2.6</v>
      </c>
      <c r="I180" s="326">
        <v>2.5</v>
      </c>
      <c r="J180" s="2466"/>
      <c r="K180" s="1873"/>
      <c r="L180" s="1873"/>
    </row>
    <row r="181" spans="1:12">
      <c r="A181" s="1468">
        <f t="shared" si="2"/>
        <v>2020.04</v>
      </c>
      <c r="B181" s="1208">
        <v>40</v>
      </c>
      <c r="C181" s="1209">
        <v>40.299999999999997</v>
      </c>
      <c r="D181" s="1210">
        <v>40</v>
      </c>
      <c r="E181" s="1209">
        <v>42.9</v>
      </c>
      <c r="F181" s="1210">
        <v>48.976630930426737</v>
      </c>
      <c r="G181" s="677">
        <v>48.353144161168778</v>
      </c>
      <c r="H181" s="1210">
        <v>2.2999999999999998</v>
      </c>
      <c r="I181" s="326">
        <v>2.4</v>
      </c>
      <c r="J181" s="2466"/>
      <c r="K181" s="1873"/>
      <c r="L181" s="1873"/>
    </row>
    <row r="182" spans="1:12">
      <c r="A182" s="1468">
        <f t="shared" si="2"/>
        <v>2020.05</v>
      </c>
      <c r="B182" s="1208">
        <v>50</v>
      </c>
      <c r="C182" s="1209">
        <v>47.4</v>
      </c>
      <c r="D182" s="1210">
        <v>50</v>
      </c>
      <c r="E182" s="1209">
        <v>48.2</v>
      </c>
      <c r="F182" s="1210">
        <v>51</v>
      </c>
      <c r="G182" s="677">
        <v>51.203544394972901</v>
      </c>
      <c r="H182" s="1210">
        <v>1.7</v>
      </c>
      <c r="I182" s="326">
        <v>1.9</v>
      </c>
      <c r="J182" s="2466"/>
      <c r="K182" s="1873"/>
      <c r="L182" s="1873"/>
    </row>
    <row r="183" spans="1:12">
      <c r="A183" s="1468">
        <f t="shared" si="2"/>
        <v>2020.06</v>
      </c>
      <c r="B183" s="1208">
        <v>40</v>
      </c>
      <c r="C183" s="1209">
        <v>44.5</v>
      </c>
      <c r="D183" s="1210">
        <v>40</v>
      </c>
      <c r="E183" s="1209">
        <v>45.8</v>
      </c>
      <c r="F183" s="1210">
        <v>52.5</v>
      </c>
      <c r="G183" s="677">
        <v>53.003394439645049</v>
      </c>
      <c r="H183" s="1210">
        <v>2</v>
      </c>
      <c r="I183" s="326">
        <v>2</v>
      </c>
      <c r="J183" s="2466"/>
      <c r="K183" s="1873"/>
      <c r="L183" s="1873"/>
    </row>
    <row r="184" spans="1:12">
      <c r="A184" s="1468">
        <f t="shared" si="2"/>
        <v>2020.07</v>
      </c>
      <c r="B184" s="1208">
        <v>40</v>
      </c>
      <c r="C184" s="1209">
        <v>43.1</v>
      </c>
      <c r="D184" s="1210">
        <v>40</v>
      </c>
      <c r="E184" s="1209">
        <v>43.6</v>
      </c>
      <c r="F184" s="1210">
        <v>51.9</v>
      </c>
      <c r="G184" s="677">
        <v>52.328307199346611</v>
      </c>
      <c r="H184" s="1210">
        <v>2.4</v>
      </c>
      <c r="I184" s="326">
        <v>2.2999999999999998</v>
      </c>
      <c r="J184" s="2466"/>
      <c r="K184" s="1873"/>
      <c r="L184" s="1873"/>
    </row>
    <row r="185" spans="1:12">
      <c r="A185" s="1468">
        <f t="shared" si="2"/>
        <v>2020.08</v>
      </c>
      <c r="B185" s="1208">
        <v>40</v>
      </c>
      <c r="C185" s="1209">
        <v>45</v>
      </c>
      <c r="D185" s="1210">
        <v>40</v>
      </c>
      <c r="E185" s="1209">
        <v>46.7</v>
      </c>
      <c r="F185" s="1210">
        <v>51.2</v>
      </c>
      <c r="G185" s="677">
        <v>50.3</v>
      </c>
      <c r="H185" s="1210">
        <v>2.7</v>
      </c>
      <c r="I185" s="326">
        <v>2.7</v>
      </c>
      <c r="J185" s="2466"/>
      <c r="K185" s="1873"/>
      <c r="L185" s="1873"/>
    </row>
    <row r="186" spans="1:12">
      <c r="A186" s="1468">
        <f t="shared" si="2"/>
        <v>2020.09</v>
      </c>
      <c r="B186" s="1208">
        <v>40</v>
      </c>
      <c r="C186" s="1209">
        <v>43.3</v>
      </c>
      <c r="D186" s="1210">
        <v>40</v>
      </c>
      <c r="E186" s="1209">
        <v>43.5</v>
      </c>
      <c r="F186" s="1210">
        <v>50.13</v>
      </c>
      <c r="G186" s="677">
        <v>50.8080202577856</v>
      </c>
      <c r="H186" s="1210">
        <v>3</v>
      </c>
      <c r="I186" s="326">
        <v>2.927822721354052</v>
      </c>
      <c r="J186" s="2466"/>
      <c r="K186" s="1873"/>
      <c r="L186" s="1873"/>
    </row>
    <row r="187" spans="1:12">
      <c r="A187" s="1468">
        <f t="shared" si="2"/>
        <v>2020.1</v>
      </c>
      <c r="B187" s="1208">
        <v>45</v>
      </c>
      <c r="C187" s="1209">
        <v>47</v>
      </c>
      <c r="D187" s="1210">
        <v>45</v>
      </c>
      <c r="E187" s="1209">
        <v>47.5</v>
      </c>
      <c r="F187" s="1210">
        <v>52.1</v>
      </c>
      <c r="G187" s="677">
        <v>50.33061255070011</v>
      </c>
      <c r="H187" s="1210">
        <v>3.2</v>
      </c>
      <c r="I187" s="326">
        <v>3.15</v>
      </c>
      <c r="J187" s="2466"/>
      <c r="K187" s="1873"/>
      <c r="L187" s="1873"/>
    </row>
    <row r="188" spans="1:12">
      <c r="A188" s="1468">
        <f t="shared" si="2"/>
        <v>2020.11</v>
      </c>
      <c r="B188" s="1208">
        <v>40</v>
      </c>
      <c r="C188" s="1209">
        <v>44.5</v>
      </c>
      <c r="D188" s="1210">
        <v>40</v>
      </c>
      <c r="E188" s="1209">
        <v>44.9</v>
      </c>
      <c r="F188" s="1210">
        <v>52.45</v>
      </c>
      <c r="G188" s="677">
        <v>51.098591835271499</v>
      </c>
      <c r="H188" s="1210">
        <v>3.6</v>
      </c>
      <c r="I188" s="326">
        <v>3.49</v>
      </c>
      <c r="J188" s="2466"/>
      <c r="K188" s="1873"/>
      <c r="L188" s="1873"/>
    </row>
    <row r="189" spans="1:12">
      <c r="A189" s="1468">
        <f t="shared" si="2"/>
        <v>2020.12</v>
      </c>
      <c r="B189" s="1208">
        <v>40</v>
      </c>
      <c r="C189" s="1209">
        <v>42.9</v>
      </c>
      <c r="D189" s="1210">
        <v>40</v>
      </c>
      <c r="E189" s="1209">
        <v>44.3</v>
      </c>
      <c r="F189" s="1210">
        <v>49.8</v>
      </c>
      <c r="G189" s="677">
        <v>48.604486801973827</v>
      </c>
      <c r="H189" s="1210">
        <v>4</v>
      </c>
      <c r="I189" s="326">
        <v>3.9499999999999962</v>
      </c>
      <c r="J189" s="2466"/>
      <c r="K189" s="1873"/>
      <c r="L189" s="1873"/>
    </row>
    <row r="190" spans="1:12">
      <c r="A190" s="1468">
        <f t="shared" si="2"/>
        <v>2021.01</v>
      </c>
      <c r="B190" s="1208">
        <v>45</v>
      </c>
      <c r="C190" s="1209">
        <v>44.1</v>
      </c>
      <c r="D190" s="1210">
        <v>50</v>
      </c>
      <c r="E190" s="1209">
        <v>46.8</v>
      </c>
      <c r="F190" s="1210">
        <v>49.35</v>
      </c>
      <c r="G190" s="677">
        <v>48.302584665891551</v>
      </c>
      <c r="H190" s="1210">
        <v>3.9</v>
      </c>
      <c r="I190" s="326">
        <v>3.8</v>
      </c>
      <c r="J190" s="2466"/>
      <c r="K190" s="1873"/>
      <c r="L190" s="1873"/>
    </row>
    <row r="191" spans="1:12">
      <c r="A191" s="1468">
        <f t="shared" si="2"/>
        <v>2021.02</v>
      </c>
      <c r="B191" s="1208">
        <v>45</v>
      </c>
      <c r="C191" s="1209">
        <v>45.2</v>
      </c>
      <c r="D191" s="1210">
        <v>50</v>
      </c>
      <c r="E191" s="1209">
        <v>49.1</v>
      </c>
      <c r="F191" s="1210">
        <v>44.95</v>
      </c>
      <c r="G191" s="677">
        <v>45.028628351457392</v>
      </c>
      <c r="H191" s="1210">
        <v>3.5</v>
      </c>
      <c r="I191" s="326">
        <v>3.45</v>
      </c>
      <c r="J191" s="2466"/>
      <c r="K191" s="1873"/>
      <c r="L191" s="1873"/>
    </row>
    <row r="192" spans="1:12">
      <c r="A192" s="1468">
        <f t="shared" si="2"/>
        <v>2021.03</v>
      </c>
      <c r="B192" s="1208">
        <v>50</v>
      </c>
      <c r="C192" s="1209">
        <v>46.3</v>
      </c>
      <c r="D192" s="1210">
        <v>50</v>
      </c>
      <c r="E192" s="1209">
        <v>49.2</v>
      </c>
      <c r="F192" s="1210">
        <v>43.1</v>
      </c>
      <c r="G192" s="677">
        <v>43.546858780757297</v>
      </c>
      <c r="H192" s="1210">
        <v>3.9</v>
      </c>
      <c r="I192" s="326">
        <v>3.8</v>
      </c>
      <c r="J192" s="2466"/>
      <c r="K192" s="1873"/>
      <c r="L192" s="1873"/>
    </row>
    <row r="193" spans="1:12">
      <c r="A193" s="1468">
        <f t="shared" si="2"/>
        <v>2021.04</v>
      </c>
      <c r="B193" s="1208">
        <v>50</v>
      </c>
      <c r="C193" s="1209">
        <v>47.9</v>
      </c>
      <c r="D193" s="1210">
        <v>50</v>
      </c>
      <c r="E193" s="1209">
        <v>50.6</v>
      </c>
      <c r="F193" s="1210">
        <v>43.3</v>
      </c>
      <c r="G193" s="677">
        <v>43.355152719129457</v>
      </c>
      <c r="H193" s="1210">
        <v>3.8</v>
      </c>
      <c r="I193" s="326">
        <v>3.8050000000000002</v>
      </c>
      <c r="J193" s="2466"/>
      <c r="K193" s="1873"/>
      <c r="L193" s="1873"/>
    </row>
    <row r="194" spans="1:12">
      <c r="A194" s="1468">
        <f t="shared" si="2"/>
        <v>2021.05</v>
      </c>
      <c r="B194" s="1208">
        <v>50</v>
      </c>
      <c r="C194" s="1209">
        <v>50.2</v>
      </c>
      <c r="D194" s="1210">
        <v>50</v>
      </c>
      <c r="E194" s="1209">
        <v>50.8</v>
      </c>
      <c r="F194" s="1210">
        <v>43.263878478822107</v>
      </c>
      <c r="G194" s="677">
        <v>42.561837363446926</v>
      </c>
      <c r="H194" s="1210">
        <v>3.6</v>
      </c>
      <c r="I194" s="326">
        <v>3.7</v>
      </c>
      <c r="J194" s="2466"/>
      <c r="K194" s="1873"/>
      <c r="L194" s="1873"/>
    </row>
    <row r="195" spans="1:12">
      <c r="A195" s="1468">
        <f t="shared" si="2"/>
        <v>2021.06</v>
      </c>
      <c r="B195" s="1208">
        <v>50</v>
      </c>
      <c r="C195" s="1209">
        <v>51.4</v>
      </c>
      <c r="D195" s="1210">
        <v>50</v>
      </c>
      <c r="E195" s="1209">
        <v>51.8</v>
      </c>
      <c r="F195" s="1210">
        <v>43.136171755699827</v>
      </c>
      <c r="G195" s="677">
        <v>42.025858778499199</v>
      </c>
      <c r="H195" s="1210">
        <v>3.2</v>
      </c>
      <c r="I195" s="326">
        <v>3.2</v>
      </c>
      <c r="J195" s="2466"/>
      <c r="K195" s="1873"/>
      <c r="L195" s="1873"/>
    </row>
    <row r="196" spans="1:12">
      <c r="A196" s="1468">
        <f t="shared" si="2"/>
        <v>2021.07</v>
      </c>
      <c r="B196" s="1208">
        <v>50</v>
      </c>
      <c r="C196" s="1209">
        <v>49.1</v>
      </c>
      <c r="D196" s="1210">
        <v>50</v>
      </c>
      <c r="E196" s="1209">
        <v>49.5</v>
      </c>
      <c r="F196" s="1210">
        <v>43.2</v>
      </c>
      <c r="G196" s="677">
        <v>42.997569014975468</v>
      </c>
      <c r="H196" s="1210">
        <v>3</v>
      </c>
      <c r="I196" s="326">
        <v>2.966211854368932</v>
      </c>
      <c r="J196" s="2466"/>
      <c r="K196" s="1873"/>
      <c r="L196" s="1873"/>
    </row>
    <row r="197" spans="1:12">
      <c r="A197" s="1468">
        <f t="shared" si="2"/>
        <v>2021.08</v>
      </c>
      <c r="B197" s="1208">
        <v>50</v>
      </c>
      <c r="C197" s="1209">
        <v>48</v>
      </c>
      <c r="D197" s="1210">
        <v>50</v>
      </c>
      <c r="E197" s="1209">
        <v>47.6</v>
      </c>
      <c r="F197" s="1210">
        <v>43.666122211181111</v>
      </c>
      <c r="G197" s="677">
        <v>43.980232025066421</v>
      </c>
      <c r="H197" s="1210">
        <v>2.8</v>
      </c>
      <c r="I197" s="326">
        <v>2.8</v>
      </c>
      <c r="J197" s="2466"/>
      <c r="K197" s="1873"/>
      <c r="L197" s="1873"/>
    </row>
    <row r="198" spans="1:12">
      <c r="A198" s="1468">
        <f t="shared" si="2"/>
        <v>2021.09</v>
      </c>
      <c r="B198" s="1208">
        <v>50</v>
      </c>
      <c r="C198" s="1209">
        <v>48.6</v>
      </c>
      <c r="D198" s="1210">
        <v>50</v>
      </c>
      <c r="E198" s="1209">
        <v>50</v>
      </c>
      <c r="F198" s="1210">
        <v>45.6</v>
      </c>
      <c r="G198" s="677">
        <v>46.535558210789567</v>
      </c>
      <c r="H198" s="1210">
        <v>2.8</v>
      </c>
      <c r="I198" s="326">
        <v>2.8</v>
      </c>
      <c r="J198" s="2466"/>
      <c r="K198" s="1873"/>
      <c r="L198" s="1873"/>
    </row>
    <row r="199" spans="1:12">
      <c r="A199" s="1468">
        <f t="shared" si="2"/>
        <v>2021.1</v>
      </c>
      <c r="B199" s="1208">
        <v>50</v>
      </c>
      <c r="C199" s="1209">
        <v>46.7</v>
      </c>
      <c r="D199" s="1210">
        <v>45</v>
      </c>
      <c r="E199" s="1209">
        <v>47.5</v>
      </c>
      <c r="F199" s="1210">
        <v>48.644346310156962</v>
      </c>
      <c r="G199" s="677">
        <v>49.513988531809041</v>
      </c>
      <c r="H199" s="1210">
        <v>3.2</v>
      </c>
      <c r="I199" s="326">
        <v>3.4</v>
      </c>
      <c r="J199" s="2466"/>
      <c r="K199" s="1873"/>
      <c r="L199" s="1873"/>
    </row>
    <row r="200" spans="1:12">
      <c r="A200" s="1468">
        <f t="shared" si="2"/>
        <v>2021.11</v>
      </c>
      <c r="B200" s="1208">
        <v>50</v>
      </c>
      <c r="C200" s="1209">
        <v>50.4</v>
      </c>
      <c r="D200" s="1210">
        <v>50</v>
      </c>
      <c r="E200" s="1209">
        <v>50.9</v>
      </c>
      <c r="F200" s="1210">
        <v>52.3</v>
      </c>
      <c r="G200" s="677">
        <v>52.2</v>
      </c>
      <c r="H200" s="1210">
        <v>3.1</v>
      </c>
      <c r="I200" s="326">
        <v>3.2</v>
      </c>
      <c r="J200" s="2466"/>
      <c r="K200" s="1873"/>
      <c r="L200" s="1873"/>
    </row>
    <row r="201" spans="1:12">
      <c r="A201" s="1468">
        <f t="shared" si="2"/>
        <v>2021.12</v>
      </c>
      <c r="B201" s="1208">
        <v>50</v>
      </c>
      <c r="C201" s="1209">
        <v>51.31</v>
      </c>
      <c r="D201" s="1210">
        <v>50</v>
      </c>
      <c r="E201" s="1209">
        <v>53.1</v>
      </c>
      <c r="F201" s="1210">
        <v>54.774214209225967</v>
      </c>
      <c r="G201" s="677">
        <v>53.900999608220367</v>
      </c>
      <c r="H201" s="1210">
        <v>3.4</v>
      </c>
      <c r="I201" s="326">
        <v>3.4</v>
      </c>
      <c r="J201" s="2466"/>
      <c r="K201" s="1873"/>
      <c r="L201" s="1873"/>
    </row>
    <row r="202" spans="1:12">
      <c r="A202" s="1468">
        <f t="shared" si="2"/>
        <v>2022.01</v>
      </c>
      <c r="B202" s="1208">
        <v>50</v>
      </c>
      <c r="C202" s="1209">
        <v>51.1</v>
      </c>
      <c r="D202" s="1210">
        <v>50</v>
      </c>
      <c r="E202" s="1209">
        <v>51.3</v>
      </c>
      <c r="F202" s="1210">
        <v>53.85</v>
      </c>
      <c r="G202" s="677">
        <v>53.850351206796297</v>
      </c>
      <c r="H202" s="1210">
        <v>3.8</v>
      </c>
      <c r="I202" s="326">
        <v>3.85</v>
      </c>
      <c r="J202" s="2466"/>
      <c r="K202" s="1873"/>
      <c r="L202" s="1873"/>
    </row>
    <row r="203" spans="1:12">
      <c r="A203" s="1468">
        <f t="shared" si="2"/>
        <v>2022.02</v>
      </c>
      <c r="B203" s="1208">
        <v>50</v>
      </c>
      <c r="C203" s="1209">
        <v>50.3</v>
      </c>
      <c r="D203" s="1210">
        <v>50</v>
      </c>
      <c r="E203" s="1209">
        <v>50.8</v>
      </c>
      <c r="F203" s="1210">
        <v>52.9</v>
      </c>
      <c r="G203" s="677">
        <v>53.266908422217213</v>
      </c>
      <c r="H203" s="1210">
        <v>3.9</v>
      </c>
      <c r="I203" s="326">
        <v>3.9173564228442701</v>
      </c>
      <c r="J203" s="2466"/>
      <c r="K203" s="1873"/>
      <c r="L203" s="1873"/>
    </row>
    <row r="204" spans="1:12">
      <c r="A204" s="1468">
        <f t="shared" si="2"/>
        <v>2022.03</v>
      </c>
      <c r="B204" s="1208">
        <v>50</v>
      </c>
      <c r="C204" s="1209">
        <v>53.7</v>
      </c>
      <c r="D204" s="1210">
        <v>50</v>
      </c>
      <c r="E204" s="1209">
        <v>55.3</v>
      </c>
      <c r="F204" s="1210">
        <v>55.4</v>
      </c>
      <c r="G204" s="677">
        <v>55.3</v>
      </c>
      <c r="H204" s="1210">
        <v>5.5</v>
      </c>
      <c r="I204" s="326">
        <v>5.5</v>
      </c>
      <c r="J204" s="2466"/>
      <c r="K204" s="1873"/>
      <c r="L204" s="1873"/>
    </row>
    <row r="205" spans="1:12">
      <c r="A205" s="1468">
        <f t="shared" si="2"/>
        <v>2022.04</v>
      </c>
      <c r="B205" s="1208">
        <v>50</v>
      </c>
      <c r="C205" s="1209">
        <v>52.2</v>
      </c>
      <c r="D205" s="1210">
        <v>50</v>
      </c>
      <c r="E205" s="1209">
        <v>52.8</v>
      </c>
      <c r="F205" s="1210">
        <v>56.108286814838969</v>
      </c>
      <c r="G205" s="677">
        <v>58.148759144124057</v>
      </c>
      <c r="H205" s="1210">
        <v>5.6</v>
      </c>
      <c r="I205" s="326">
        <v>5.5</v>
      </c>
      <c r="J205" s="2466"/>
      <c r="K205" s="1873"/>
      <c r="L205" s="1873"/>
    </row>
    <row r="206" spans="1:12">
      <c r="A206" s="1468">
        <f t="shared" si="2"/>
        <v>2022.05</v>
      </c>
      <c r="B206" s="1208">
        <v>50</v>
      </c>
      <c r="C206" s="1209">
        <v>58.4</v>
      </c>
      <c r="D206" s="1210">
        <v>50</v>
      </c>
      <c r="E206" s="1209">
        <v>59.4</v>
      </c>
      <c r="F206" s="1210">
        <v>60.1</v>
      </c>
      <c r="G206" s="677">
        <v>63.399125526750197</v>
      </c>
      <c r="H206" s="1210">
        <v>5.2</v>
      </c>
      <c r="I206" s="326">
        <v>5.2304172909589806</v>
      </c>
      <c r="J206" s="2466"/>
      <c r="K206" s="1873"/>
      <c r="L206" s="1873"/>
    </row>
    <row r="207" spans="1:12">
      <c r="A207" s="1468">
        <f t="shared" si="2"/>
        <v>2022.06</v>
      </c>
      <c r="B207" s="1208">
        <v>50</v>
      </c>
      <c r="C207" s="1209">
        <v>57.9</v>
      </c>
      <c r="D207" s="1210">
        <v>50</v>
      </c>
      <c r="E207" s="1209">
        <v>57.4</v>
      </c>
      <c r="F207" s="1210">
        <v>68.75</v>
      </c>
      <c r="G207" s="677">
        <v>68.621602247314684</v>
      </c>
      <c r="H207" s="1210">
        <v>5.2</v>
      </c>
      <c r="I207" s="326">
        <v>5.4201781747572806</v>
      </c>
      <c r="J207" s="2466"/>
      <c r="K207" s="1873"/>
      <c r="L207" s="1873"/>
    </row>
    <row r="208" spans="1:12">
      <c r="A208" s="1468">
        <f t="shared" si="2"/>
        <v>2022.07</v>
      </c>
      <c r="B208" s="1208">
        <v>60</v>
      </c>
      <c r="C208" s="1209">
        <v>62.5</v>
      </c>
      <c r="D208" s="1210">
        <v>60</v>
      </c>
      <c r="E208" s="1209">
        <v>63.6</v>
      </c>
      <c r="F208" s="1210">
        <v>83.7</v>
      </c>
      <c r="G208" s="677">
        <v>83.089501061756508</v>
      </c>
      <c r="H208" s="1210">
        <v>7.5</v>
      </c>
      <c r="I208" s="326">
        <v>7.5066774677630477</v>
      </c>
      <c r="J208" s="2466"/>
      <c r="K208" s="1873"/>
      <c r="L208" s="1873"/>
    </row>
    <row r="209" spans="1:12">
      <c r="A209" s="1468">
        <f t="shared" si="2"/>
        <v>2022.08</v>
      </c>
      <c r="B209" s="1208">
        <v>50</v>
      </c>
      <c r="C209" s="1209">
        <v>60.6</v>
      </c>
      <c r="D209" s="1210">
        <v>50</v>
      </c>
      <c r="E209" s="1209">
        <v>59.8</v>
      </c>
      <c r="F209" s="1210">
        <v>98</v>
      </c>
      <c r="G209" s="677">
        <v>100.2822246577053</v>
      </c>
      <c r="H209" s="1210">
        <v>6.5</v>
      </c>
      <c r="I209" s="326">
        <v>6.8450134334150441</v>
      </c>
      <c r="J209" s="2466"/>
      <c r="K209" s="1873"/>
      <c r="L209" s="1873"/>
    </row>
    <row r="210" spans="1:12">
      <c r="A210" s="1468">
        <f t="shared" si="2"/>
        <v>2022.09</v>
      </c>
      <c r="B210" s="1208">
        <v>60</v>
      </c>
      <c r="C210" s="1209">
        <v>61.7</v>
      </c>
      <c r="D210" s="1210">
        <v>50</v>
      </c>
      <c r="E210" s="1209">
        <v>61.2</v>
      </c>
      <c r="F210" s="1210">
        <v>94.050000000000011</v>
      </c>
      <c r="G210" s="677">
        <v>95.175839065404034</v>
      </c>
      <c r="H210" s="1210">
        <v>6.7</v>
      </c>
      <c r="I210" s="326">
        <v>6.95</v>
      </c>
      <c r="J210" s="2466"/>
      <c r="K210" s="1873"/>
      <c r="L210" s="1873"/>
    </row>
    <row r="211" spans="1:12">
      <c r="A211" s="1468">
        <f t="shared" si="2"/>
        <v>2022.1</v>
      </c>
      <c r="B211" s="1208">
        <v>70</v>
      </c>
      <c r="C211" s="1209">
        <v>68.400000000000006</v>
      </c>
      <c r="D211" s="1210">
        <v>70</v>
      </c>
      <c r="E211" s="1209">
        <v>68.5</v>
      </c>
      <c r="F211" s="1210">
        <v>98.844999999999999</v>
      </c>
      <c r="G211" s="677">
        <v>97.623155122493699</v>
      </c>
      <c r="H211" s="1210">
        <v>6.5</v>
      </c>
      <c r="I211" s="326">
        <v>6.63</v>
      </c>
      <c r="J211" s="2466"/>
      <c r="K211" s="1873"/>
      <c r="L211" s="1873"/>
    </row>
    <row r="212" spans="1:12">
      <c r="A212" s="1468">
        <f t="shared" si="2"/>
        <v>2022.11</v>
      </c>
      <c r="B212" s="1208">
        <v>80</v>
      </c>
      <c r="C212" s="1209">
        <v>72.400000000000006</v>
      </c>
      <c r="D212" s="1210">
        <v>80</v>
      </c>
      <c r="E212" s="1209">
        <v>72.3</v>
      </c>
      <c r="F212" s="1210">
        <v>100.7</v>
      </c>
      <c r="G212" s="677">
        <v>98.009514697451806</v>
      </c>
      <c r="H212" s="1210">
        <v>6.1</v>
      </c>
      <c r="I212" s="326">
        <v>5.96</v>
      </c>
      <c r="J212" s="2466"/>
      <c r="K212" s="1873"/>
      <c r="L212" s="1873"/>
    </row>
    <row r="213" spans="1:12">
      <c r="A213" s="1468">
        <f t="shared" si="2"/>
        <v>2022.12</v>
      </c>
      <c r="B213" s="1208">
        <v>70</v>
      </c>
      <c r="C213" s="1209">
        <v>69.599999999999994</v>
      </c>
      <c r="D213" s="1210">
        <v>70</v>
      </c>
      <c r="E213" s="1209">
        <v>69.8</v>
      </c>
      <c r="F213" s="1210">
        <v>98.4</v>
      </c>
      <c r="G213" s="677">
        <v>96.7</v>
      </c>
      <c r="H213" s="1210">
        <v>5.5</v>
      </c>
      <c r="I213" s="326">
        <v>5.55</v>
      </c>
      <c r="J213" s="2466"/>
      <c r="K213" s="1873"/>
      <c r="L213" s="1873"/>
    </row>
    <row r="214" spans="1:12">
      <c r="A214" s="1468">
        <f t="shared" si="2"/>
        <v>2023.01</v>
      </c>
      <c r="B214" s="1208">
        <v>70</v>
      </c>
      <c r="C214" s="1209">
        <v>70.2</v>
      </c>
      <c r="D214" s="1210">
        <v>75</v>
      </c>
      <c r="E214" s="1209">
        <v>70.599999999999994</v>
      </c>
      <c r="F214" s="1210">
        <v>98.495000000000005</v>
      </c>
      <c r="G214" s="677">
        <v>96.025235107225683</v>
      </c>
      <c r="H214" s="1210">
        <v>5.6</v>
      </c>
      <c r="I214" s="326">
        <v>5.500000000000008</v>
      </c>
      <c r="J214" s="2466"/>
      <c r="K214" s="1873"/>
      <c r="L214" s="1873"/>
    </row>
    <row r="215" spans="1:12">
      <c r="A215" s="1468">
        <f t="shared" si="2"/>
        <v>2023.02</v>
      </c>
      <c r="B215" s="1208">
        <v>80</v>
      </c>
      <c r="C215" s="1209">
        <v>69.900000000000006</v>
      </c>
      <c r="D215" s="1210">
        <v>70</v>
      </c>
      <c r="E215" s="1209">
        <v>69.099999999999994</v>
      </c>
      <c r="F215" s="1210">
        <v>103.52500000000001</v>
      </c>
      <c r="G215" s="677">
        <v>100.980671599475</v>
      </c>
      <c r="H215" s="1210">
        <v>6.1</v>
      </c>
      <c r="I215" s="326">
        <v>6.1950000000000003</v>
      </c>
      <c r="J215" s="2466"/>
      <c r="K215" s="1873"/>
      <c r="L215" s="1873"/>
    </row>
    <row r="216" spans="1:12">
      <c r="A216" s="1468">
        <f t="shared" si="2"/>
        <v>2023.03</v>
      </c>
      <c r="B216" s="1208">
        <v>80</v>
      </c>
      <c r="C216" s="1209">
        <v>75.400000000000006</v>
      </c>
      <c r="D216" s="1210">
        <v>80</v>
      </c>
      <c r="E216" s="1209">
        <v>76.2</v>
      </c>
      <c r="F216" s="1210">
        <v>113.26</v>
      </c>
      <c r="G216" s="677">
        <v>113.0161927457184</v>
      </c>
      <c r="H216" s="1210">
        <v>7</v>
      </c>
      <c r="I216" s="326">
        <v>6.95</v>
      </c>
      <c r="J216" s="2466"/>
      <c r="K216" s="1873"/>
      <c r="L216" s="1873"/>
    </row>
    <row r="217" spans="1:12">
      <c r="A217" s="1468">
        <f t="shared" si="2"/>
        <v>2023.04</v>
      </c>
      <c r="B217" s="1208">
        <v>90</v>
      </c>
      <c r="C217" s="1209">
        <v>82</v>
      </c>
      <c r="D217" s="1210">
        <v>90</v>
      </c>
      <c r="E217" s="1209">
        <v>82.3</v>
      </c>
      <c r="F217" s="1210">
        <v>146.5</v>
      </c>
      <c r="G217" s="677">
        <v>146.66423535717831</v>
      </c>
      <c r="H217" s="1210">
        <v>7.5</v>
      </c>
      <c r="I217" s="326">
        <v>7.3119999999999994</v>
      </c>
      <c r="J217" s="2466"/>
      <c r="K217" s="1873"/>
      <c r="L217" s="1873"/>
    </row>
    <row r="218" spans="1:12">
      <c r="A218" s="1468">
        <f t="shared" si="2"/>
        <v>2023.05</v>
      </c>
      <c r="B218" s="1208">
        <v>100</v>
      </c>
      <c r="C218" s="1209">
        <v>96.4</v>
      </c>
      <c r="D218" s="1210">
        <v>100</v>
      </c>
      <c r="E218" s="1209">
        <v>96.2</v>
      </c>
      <c r="F218" s="1210">
        <v>171.1</v>
      </c>
      <c r="G218" s="677">
        <v>168.3</v>
      </c>
      <c r="H218" s="1210">
        <v>9</v>
      </c>
      <c r="I218" s="326">
        <v>9.0000000000000036</v>
      </c>
      <c r="J218" s="2466"/>
      <c r="K218" s="1873"/>
      <c r="L218" s="1873"/>
    </row>
    <row r="219" spans="1:12">
      <c r="A219" s="1468">
        <f t="shared" si="2"/>
        <v>2023.06</v>
      </c>
      <c r="B219" s="1208">
        <v>100</v>
      </c>
      <c r="C219" s="1209">
        <v>94.1</v>
      </c>
      <c r="D219" s="1210">
        <v>100</v>
      </c>
      <c r="E219" s="1209">
        <v>93.9</v>
      </c>
      <c r="F219" s="1210">
        <v>161.42418806775049</v>
      </c>
      <c r="G219" s="677">
        <v>158.86574708158469</v>
      </c>
      <c r="H219" s="1210">
        <v>7.3</v>
      </c>
      <c r="I219" s="326">
        <v>7.1999999999999993</v>
      </c>
      <c r="J219" s="2466"/>
      <c r="K219" s="1873"/>
      <c r="L219" s="1873"/>
    </row>
    <row r="220" spans="1:12">
      <c r="A220" s="1468">
        <f t="shared" si="2"/>
        <v>2023.07</v>
      </c>
      <c r="B220" s="1208">
        <v>100</v>
      </c>
      <c r="C220" s="1209">
        <v>89.6</v>
      </c>
      <c r="D220" s="1210">
        <v>100</v>
      </c>
      <c r="E220" s="1209">
        <v>90.1</v>
      </c>
      <c r="F220" s="1210">
        <v>154.91499999999999</v>
      </c>
      <c r="G220" s="677">
        <v>154.07911361661371</v>
      </c>
      <c r="H220" s="1210">
        <v>7</v>
      </c>
      <c r="I220" s="326">
        <v>7.0855134000584457</v>
      </c>
      <c r="J220" s="2466"/>
      <c r="K220" s="1873"/>
      <c r="L220" s="1873"/>
    </row>
    <row r="221" spans="1:12">
      <c r="A221" s="1468">
        <f t="shared" si="2"/>
        <v>2023.08</v>
      </c>
      <c r="B221" s="1208">
        <v>100</v>
      </c>
      <c r="C221" s="1209">
        <v>90.9</v>
      </c>
      <c r="D221" s="1210">
        <v>100</v>
      </c>
      <c r="E221" s="1209">
        <v>90.7</v>
      </c>
      <c r="F221" s="1210">
        <v>208.83500000000001</v>
      </c>
      <c r="G221" s="677">
        <v>203.18442344567561</v>
      </c>
      <c r="H221" s="1210">
        <v>11.8</v>
      </c>
      <c r="I221" s="326">
        <v>11.8231689349</v>
      </c>
      <c r="J221" s="2466"/>
      <c r="K221" s="1873"/>
      <c r="L221" s="1873"/>
    </row>
    <row r="222" spans="1:12">
      <c r="A222" s="1468">
        <f t="shared" si="2"/>
        <v>2023.09</v>
      </c>
      <c r="B222" s="1208">
        <v>100</v>
      </c>
      <c r="C222" s="1209">
        <v>99.1</v>
      </c>
      <c r="D222" s="1210">
        <v>100</v>
      </c>
      <c r="E222" s="1209">
        <v>98.5</v>
      </c>
      <c r="F222" s="1210">
        <v>185.86</v>
      </c>
      <c r="G222" s="677">
        <v>191.2143340469751</v>
      </c>
      <c r="H222" s="1210">
        <v>11.7</v>
      </c>
      <c r="I222" s="326">
        <v>11.55</v>
      </c>
      <c r="J222" s="2466"/>
      <c r="K222" s="1873"/>
      <c r="L222" s="1873"/>
    </row>
    <row r="223" spans="1:12">
      <c r="A223" s="1468">
        <f t="shared" si="2"/>
        <v>2023.1</v>
      </c>
      <c r="B223" s="1208">
        <v>100</v>
      </c>
      <c r="C223" s="1209">
        <v>115.9</v>
      </c>
      <c r="D223" s="1210">
        <v>100</v>
      </c>
      <c r="E223" s="1209">
        <v>117.6</v>
      </c>
      <c r="F223" s="1210">
        <v>213.5</v>
      </c>
      <c r="G223" s="677">
        <v>203.5</v>
      </c>
      <c r="H223" s="1210">
        <v>10</v>
      </c>
      <c r="I223" s="326">
        <v>9.9000000000000163</v>
      </c>
      <c r="J223" s="2466"/>
      <c r="K223" s="1873"/>
      <c r="L223" s="1873"/>
    </row>
    <row r="224" spans="1:12">
      <c r="A224" s="1468">
        <f t="shared" si="2"/>
        <v>2023.11</v>
      </c>
      <c r="B224" s="1208">
        <v>100</v>
      </c>
      <c r="C224" s="1209">
        <v>107.2</v>
      </c>
      <c r="D224" s="1210">
        <v>100</v>
      </c>
      <c r="E224" s="1209">
        <v>108.9</v>
      </c>
      <c r="F224" s="1210">
        <v>226.7</v>
      </c>
      <c r="G224" s="677">
        <v>250</v>
      </c>
      <c r="H224" s="1210">
        <v>12</v>
      </c>
      <c r="I224" s="326">
        <v>12.035</v>
      </c>
      <c r="J224" s="2466"/>
      <c r="K224" s="1873"/>
      <c r="L224" s="1873"/>
    </row>
    <row r="225" spans="1:12">
      <c r="A225" s="1468">
        <f t="shared" si="2"/>
        <v>2023.12</v>
      </c>
      <c r="B225" s="1208">
        <v>150</v>
      </c>
      <c r="C225" s="1209">
        <v>225.9</v>
      </c>
      <c r="D225" s="1210">
        <v>150</v>
      </c>
      <c r="E225" s="1209">
        <v>228.4</v>
      </c>
      <c r="F225" s="1210">
        <v>212.99580129090381</v>
      </c>
      <c r="G225" s="677">
        <v>252.46520601530349</v>
      </c>
      <c r="H225" s="1210">
        <v>27</v>
      </c>
      <c r="I225" s="326">
        <v>28.3</v>
      </c>
      <c r="J225" s="2466"/>
      <c r="K225" s="1873"/>
      <c r="L225" s="1873"/>
    </row>
    <row r="226" spans="1:12">
      <c r="A226" s="1468">
        <f t="shared" si="2"/>
        <v>2024.01</v>
      </c>
      <c r="B226" s="1208">
        <v>150</v>
      </c>
      <c r="C226" s="1209">
        <v>230</v>
      </c>
      <c r="D226" s="1210">
        <v>150</v>
      </c>
      <c r="E226" s="1209">
        <v>236.1</v>
      </c>
      <c r="F226" s="1210">
        <v>183.2</v>
      </c>
      <c r="G226" s="677">
        <v>186.6</v>
      </c>
      <c r="H226" s="1210">
        <v>21.9</v>
      </c>
      <c r="I226" s="326">
        <v>21.961914173529141</v>
      </c>
      <c r="J226" s="2466"/>
      <c r="K226" s="1873"/>
      <c r="L226" s="1873"/>
    </row>
    <row r="227" spans="1:12">
      <c r="A227" s="1468">
        <f t="shared" si="2"/>
        <v>2024.02</v>
      </c>
      <c r="B227" s="1208">
        <v>100</v>
      </c>
      <c r="C227" s="1209">
        <v>170.8</v>
      </c>
      <c r="D227" s="1206" t="s">
        <v>1076</v>
      </c>
      <c r="E227" s="1209">
        <v>147.1</v>
      </c>
      <c r="F227" s="1210">
        <v>146.9</v>
      </c>
      <c r="G227" s="677">
        <v>147.43588167526761</v>
      </c>
      <c r="H227" s="1210">
        <v>15.8</v>
      </c>
      <c r="I227" s="326">
        <v>15.30200553632182</v>
      </c>
      <c r="J227" s="2466"/>
      <c r="K227" s="1873"/>
      <c r="L227" s="1873"/>
    </row>
    <row r="228" spans="1:12">
      <c r="A228" s="1468">
        <f t="shared" ref="A228:A249" si="3">A216+1</f>
        <v>2024.03</v>
      </c>
      <c r="B228" s="1208">
        <v>100</v>
      </c>
      <c r="C228" s="1209">
        <v>123.8</v>
      </c>
      <c r="D228" s="1206"/>
      <c r="E228" s="1209">
        <v>111.2</v>
      </c>
      <c r="F228" s="1210">
        <v>120</v>
      </c>
      <c r="G228" s="677">
        <v>120.9</v>
      </c>
      <c r="H228" s="1210">
        <v>12.5</v>
      </c>
      <c r="I228" s="326">
        <v>12.06275502520889</v>
      </c>
      <c r="J228" s="2466"/>
      <c r="K228" s="1873"/>
      <c r="L228" s="1873"/>
    </row>
    <row r="229" spans="1:12">
      <c r="A229" s="1468">
        <f t="shared" si="3"/>
        <v>2024.04</v>
      </c>
      <c r="B229" s="1208">
        <v>70</v>
      </c>
      <c r="C229" s="1209">
        <v>98.5</v>
      </c>
      <c r="D229" s="1206"/>
      <c r="E229" s="1209">
        <v>96.4</v>
      </c>
      <c r="F229" s="1210">
        <v>88</v>
      </c>
      <c r="G229" s="677">
        <v>89.8</v>
      </c>
      <c r="H229" s="1210">
        <v>9</v>
      </c>
      <c r="I229" s="326">
        <v>9</v>
      </c>
      <c r="J229" s="2466"/>
      <c r="K229" s="1873"/>
      <c r="L229" s="1873"/>
    </row>
    <row r="230" spans="1:12">
      <c r="A230" s="1468">
        <f t="shared" si="3"/>
        <v>2024.05</v>
      </c>
      <c r="B230" s="1208">
        <v>50</v>
      </c>
      <c r="C230" s="1209">
        <v>85.1</v>
      </c>
      <c r="D230" s="1206"/>
      <c r="E230" s="1209">
        <v>77.900000000000006</v>
      </c>
      <c r="F230" s="1210">
        <v>68.900000000000006</v>
      </c>
      <c r="G230" s="677">
        <v>72.3</v>
      </c>
      <c r="H230" s="1210">
        <v>5.2</v>
      </c>
      <c r="I230" s="326">
        <v>5.0030976747208307</v>
      </c>
      <c r="J230" s="2466"/>
      <c r="K230" s="1873"/>
      <c r="L230" s="1873"/>
    </row>
    <row r="231" spans="1:12">
      <c r="A231" s="1468">
        <f t="shared" si="3"/>
        <v>2024.06</v>
      </c>
      <c r="B231" s="1208">
        <v>50</v>
      </c>
      <c r="C231" s="1209">
        <v>87</v>
      </c>
      <c r="D231" s="1206"/>
      <c r="E231" s="1209">
        <v>74.3</v>
      </c>
      <c r="F231" s="1210">
        <v>63.3</v>
      </c>
      <c r="G231" s="677">
        <v>64.599999999999994</v>
      </c>
      <c r="H231" s="1210">
        <v>5.2</v>
      </c>
      <c r="I231" s="326">
        <v>5.2448242384518604</v>
      </c>
      <c r="J231" s="2466"/>
      <c r="K231" s="1873"/>
      <c r="L231" s="1873"/>
    </row>
    <row r="232" spans="1:12">
      <c r="A232" s="1468">
        <f t="shared" si="3"/>
        <v>2024.07</v>
      </c>
      <c r="B232" s="1208">
        <v>50</v>
      </c>
      <c r="C232" s="1209">
        <v>80.599999999999994</v>
      </c>
      <c r="D232" s="1206"/>
      <c r="E232" s="1209">
        <v>82.3</v>
      </c>
      <c r="F232" s="1210">
        <v>53.7</v>
      </c>
      <c r="G232" s="677">
        <v>52.4</v>
      </c>
      <c r="H232" s="1210">
        <v>3.9</v>
      </c>
      <c r="I232" s="326">
        <v>3.8</v>
      </c>
      <c r="J232" s="2466"/>
      <c r="K232" s="1873"/>
      <c r="L232" s="1873"/>
    </row>
    <row r="233" spans="1:12">
      <c r="A233" s="1468">
        <f t="shared" si="3"/>
        <v>2024.08</v>
      </c>
      <c r="B233" s="1208">
        <v>50</v>
      </c>
      <c r="C233" s="1209">
        <v>73.5</v>
      </c>
      <c r="D233" s="1206"/>
      <c r="E233" s="1209">
        <v>71.7</v>
      </c>
      <c r="F233" s="1210">
        <v>44.7</v>
      </c>
      <c r="G233" s="677">
        <v>45.4</v>
      </c>
      <c r="H233" s="1210">
        <v>3.9</v>
      </c>
      <c r="I233" s="326">
        <v>3.85</v>
      </c>
      <c r="J233" s="2466"/>
      <c r="K233" s="1873"/>
      <c r="L233" s="1873"/>
    </row>
    <row r="234" spans="1:12">
      <c r="A234" s="1468">
        <f t="shared" si="3"/>
        <v>2024.09</v>
      </c>
      <c r="B234" s="1208">
        <v>50</v>
      </c>
      <c r="C234" s="1209">
        <v>64.599999999999994</v>
      </c>
      <c r="D234" s="1206"/>
      <c r="E234" s="1209">
        <v>65.599999999999994</v>
      </c>
      <c r="F234" s="1210">
        <v>40.9</v>
      </c>
      <c r="G234" s="677">
        <v>41.5</v>
      </c>
      <c r="H234" s="1210">
        <v>3.5</v>
      </c>
      <c r="I234" s="326">
        <v>3.55</v>
      </c>
      <c r="J234" s="2467">
        <v>3.5000000000000004</v>
      </c>
      <c r="K234" s="1873"/>
      <c r="L234" s="1873"/>
    </row>
    <row r="235" spans="1:12">
      <c r="A235" s="1468">
        <f t="shared" si="3"/>
        <v>2024.1</v>
      </c>
      <c r="B235" s="1208">
        <v>40</v>
      </c>
      <c r="C235" s="1209">
        <v>54.5</v>
      </c>
      <c r="D235" s="1206"/>
      <c r="E235" s="1209">
        <v>51.8</v>
      </c>
      <c r="F235" s="1210">
        <v>34.961424911950949</v>
      </c>
      <c r="G235" s="677">
        <v>35.914762278749528</v>
      </c>
      <c r="H235" s="1210">
        <v>3</v>
      </c>
      <c r="I235" s="326">
        <v>2.95</v>
      </c>
      <c r="J235" s="2468">
        <v>3.1</v>
      </c>
      <c r="K235" s="1873"/>
      <c r="L235" s="1873"/>
    </row>
    <row r="236" spans="1:12">
      <c r="A236" s="1468">
        <f t="shared" si="3"/>
        <v>2024.11</v>
      </c>
      <c r="B236" s="1208">
        <v>40</v>
      </c>
      <c r="C236" s="1209">
        <v>50.2</v>
      </c>
      <c r="D236" s="1206"/>
      <c r="E236" s="1209">
        <v>46.8</v>
      </c>
      <c r="F236" s="1210">
        <v>29.4</v>
      </c>
      <c r="G236" s="677">
        <v>30.226514569657219</v>
      </c>
      <c r="H236" s="1210">
        <v>2.8</v>
      </c>
      <c r="I236" s="326">
        <v>2.8</v>
      </c>
      <c r="J236" s="2468">
        <v>2.7</v>
      </c>
      <c r="K236" s="1873"/>
      <c r="L236" s="1873"/>
    </row>
    <row r="237" spans="1:12">
      <c r="A237" s="1468">
        <f t="shared" si="3"/>
        <v>2024.12</v>
      </c>
      <c r="B237" s="1208">
        <v>30</v>
      </c>
      <c r="C237" s="1209">
        <v>45</v>
      </c>
      <c r="D237" s="1206"/>
      <c r="E237" s="1209">
        <v>40.6</v>
      </c>
      <c r="F237" s="1210">
        <v>25.858817768730368</v>
      </c>
      <c r="G237" s="677">
        <v>26.18954304420766</v>
      </c>
      <c r="H237" s="1210">
        <v>2.7</v>
      </c>
      <c r="I237" s="326">
        <v>2.4500000000000002</v>
      </c>
      <c r="J237" s="2468">
        <v>2.6</v>
      </c>
      <c r="K237" s="1873"/>
      <c r="L237" s="1873"/>
    </row>
    <row r="238" spans="1:12">
      <c r="A238" s="1468">
        <f t="shared" si="3"/>
        <v>2025.01</v>
      </c>
      <c r="B238" s="1208">
        <v>30</v>
      </c>
      <c r="C238" s="1209">
        <v>41.2</v>
      </c>
      <c r="D238" s="1206"/>
      <c r="E238" s="1209">
        <v>38.799999999999997</v>
      </c>
      <c r="F238" s="1210">
        <v>21.86647008146381</v>
      </c>
      <c r="G238" s="677">
        <v>23.009294533842269</v>
      </c>
      <c r="H238" s="1210">
        <v>2.2999999999999998</v>
      </c>
      <c r="I238" s="326">
        <v>2.25</v>
      </c>
      <c r="J238" s="2468">
        <v>2.1</v>
      </c>
      <c r="K238" s="1873"/>
      <c r="L238" s="1873"/>
    </row>
    <row r="239" spans="1:12">
      <c r="A239" s="1468">
        <f t="shared" si="3"/>
        <v>2025.02</v>
      </c>
      <c r="B239" s="1208">
        <v>30</v>
      </c>
      <c r="C239" s="1209">
        <v>41.6</v>
      </c>
      <c r="D239" s="1206"/>
      <c r="E239" s="1209">
        <v>39.4</v>
      </c>
      <c r="F239" s="1210">
        <v>22.2</v>
      </c>
      <c r="G239" s="677">
        <v>23</v>
      </c>
      <c r="H239" s="1210">
        <v>2.2999999999999998</v>
      </c>
      <c r="I239" s="326">
        <v>2.2999999999999998</v>
      </c>
      <c r="J239" s="2468">
        <v>2.5</v>
      </c>
      <c r="K239" s="1873"/>
      <c r="L239" s="1873"/>
    </row>
    <row r="240" spans="1:12">
      <c r="A240" s="1468">
        <f t="shared" si="3"/>
        <v>2025.03</v>
      </c>
      <c r="B240" s="1208">
        <v>30</v>
      </c>
      <c r="C240" s="1209">
        <v>40.5</v>
      </c>
      <c r="D240" s="1206"/>
      <c r="E240" s="1209">
        <v>39</v>
      </c>
      <c r="F240" s="1210">
        <v>24.506885341278249</v>
      </c>
      <c r="G240" s="677">
        <v>24.935166594712541</v>
      </c>
      <c r="H240" s="1210">
        <v>2.6</v>
      </c>
      <c r="I240" s="326">
        <v>2.4668829889715971</v>
      </c>
      <c r="J240" s="2468">
        <v>2.7</v>
      </c>
      <c r="K240" s="1873"/>
      <c r="L240" s="1873"/>
    </row>
    <row r="241" spans="1:12">
      <c r="A241" s="1468">
        <f t="shared" si="3"/>
        <v>2025.04</v>
      </c>
      <c r="B241" s="1208">
        <v>30</v>
      </c>
      <c r="C241" s="1209">
        <v>41.3</v>
      </c>
      <c r="D241" s="1206"/>
      <c r="E241" s="1209">
        <v>39.799999999999997</v>
      </c>
      <c r="F241" s="1210">
        <v>26.3</v>
      </c>
      <c r="G241" s="677">
        <v>25.9</v>
      </c>
      <c r="H241" s="1210">
        <v>3.2</v>
      </c>
      <c r="I241" s="326">
        <v>3.1</v>
      </c>
      <c r="J241" s="2468">
        <v>3.3000000000000003</v>
      </c>
      <c r="K241" s="1873"/>
      <c r="L241" s="1873"/>
    </row>
    <row r="242" spans="1:12">
      <c r="A242" s="1468">
        <f t="shared" si="3"/>
        <v>2025.05</v>
      </c>
      <c r="B242" s="1208">
        <v>30</v>
      </c>
      <c r="C242" s="1209">
        <v>38.799999999999997</v>
      </c>
      <c r="D242" s="1206"/>
      <c r="E242" s="1209">
        <v>37.299999999999997</v>
      </c>
      <c r="F242" s="1210">
        <v>20.941509440511499</v>
      </c>
      <c r="G242" s="677">
        <v>21.186825083230431</v>
      </c>
      <c r="H242" s="1210">
        <v>2.1</v>
      </c>
      <c r="I242" s="326">
        <v>1.95</v>
      </c>
      <c r="J242" s="2468">
        <v>2</v>
      </c>
      <c r="K242" s="1470"/>
      <c r="L242" s="1470"/>
    </row>
    <row r="243" spans="1:12">
      <c r="A243" s="1468">
        <f t="shared" si="3"/>
        <v>2025.06</v>
      </c>
      <c r="B243" s="1208">
        <v>30</v>
      </c>
      <c r="C243" s="1209">
        <v>38.5</v>
      </c>
      <c r="D243" s="1206"/>
      <c r="E243" s="1209">
        <v>37.200000000000003</v>
      </c>
      <c r="F243" s="1210">
        <v>20.75</v>
      </c>
      <c r="G243" s="677">
        <v>20.105158872301459</v>
      </c>
      <c r="H243" s="1210">
        <v>1.8</v>
      </c>
      <c r="I243" s="326">
        <v>1.901070955766017</v>
      </c>
      <c r="J243" s="2468">
        <v>2</v>
      </c>
      <c r="K243" s="1470"/>
      <c r="L243" s="1470"/>
    </row>
    <row r="244" spans="1:12">
      <c r="A244" s="1468">
        <f t="shared" si="3"/>
        <v>2025.07</v>
      </c>
      <c r="B244" s="1208">
        <v>25</v>
      </c>
      <c r="C244" s="1209">
        <v>34.299999999999997</v>
      </c>
      <c r="D244" s="1206"/>
      <c r="E244" s="1209">
        <v>31.9</v>
      </c>
      <c r="F244" s="1210">
        <v>21.1</v>
      </c>
      <c r="G244" s="677">
        <v>20.100000000000001</v>
      </c>
      <c r="H244" s="1210">
        <v>1.8</v>
      </c>
      <c r="I244" s="326">
        <v>1.8499596074302089</v>
      </c>
      <c r="J244" s="2468">
        <v>1.9</v>
      </c>
      <c r="K244" s="1470"/>
      <c r="L244" s="1470"/>
    </row>
    <row r="245" spans="1:12">
      <c r="A245" s="1468">
        <f t="shared" si="3"/>
        <v>2025.08</v>
      </c>
      <c r="B245" s="1208">
        <v>30</v>
      </c>
      <c r="C245" s="1209">
        <v>39.6</v>
      </c>
      <c r="D245" s="1206"/>
      <c r="E245" s="1209">
        <v>38.1</v>
      </c>
      <c r="F245" s="1210">
        <v>20.93778791829639</v>
      </c>
      <c r="G245" s="677">
        <v>19.863938465723571</v>
      </c>
      <c r="H245" s="1210">
        <v>2.1</v>
      </c>
      <c r="I245" s="326">
        <v>2.0249999999999999</v>
      </c>
      <c r="J245" s="2468">
        <v>2</v>
      </c>
      <c r="K245" s="1470"/>
      <c r="L245" s="1470"/>
    </row>
    <row r="246" spans="1:12">
      <c r="A246" s="1468">
        <f t="shared" si="3"/>
        <v>2025.09</v>
      </c>
      <c r="B246" s="1208">
        <v>30</v>
      </c>
      <c r="C246" s="1209">
        <v>37.6</v>
      </c>
      <c r="D246" s="1206"/>
      <c r="E246" s="1209">
        <v>36.200000000000003</v>
      </c>
      <c r="F246" s="1210">
        <v>21.85</v>
      </c>
      <c r="G246" s="677">
        <v>21.925552706601039</v>
      </c>
      <c r="H246" s="1210">
        <v>2.1</v>
      </c>
      <c r="I246" s="326">
        <v>2.1</v>
      </c>
      <c r="J246" s="2468">
        <v>2.2999999999999998</v>
      </c>
      <c r="K246" s="1470"/>
      <c r="L246" s="1470"/>
    </row>
    <row r="247" spans="1:12">
      <c r="A247" s="1468">
        <f t="shared" si="3"/>
        <v>2025.1</v>
      </c>
      <c r="B247" s="1208">
        <v>30</v>
      </c>
      <c r="C247" s="1209">
        <v>37</v>
      </c>
      <c r="D247" s="1206"/>
      <c r="E247" s="1209">
        <v>36.299999999999997</v>
      </c>
      <c r="F247" s="1210">
        <v>20.6</v>
      </c>
      <c r="G247" s="677">
        <v>20.388900757023212</v>
      </c>
      <c r="H247" s="1210">
        <v>2.1</v>
      </c>
      <c r="I247" s="326">
        <v>2.1467033039031111</v>
      </c>
      <c r="J247" s="2468">
        <v>2.1</v>
      </c>
      <c r="K247" s="1470"/>
      <c r="L247" s="1470"/>
    </row>
    <row r="248" spans="1:12">
      <c r="A248" s="1468">
        <f t="shared" si="3"/>
        <v>2025.11</v>
      </c>
      <c r="B248" s="1208">
        <v>23</v>
      </c>
      <c r="C248" s="1209">
        <v>29.7</v>
      </c>
      <c r="D248" s="1206"/>
      <c r="E248" s="1209">
        <v>28.1</v>
      </c>
      <c r="F248" s="1210">
        <v>21.041731272038419</v>
      </c>
      <c r="G248" s="677">
        <v>21.30517041033556</v>
      </c>
      <c r="H248" s="1210">
        <v>2.2999999999999998</v>
      </c>
      <c r="I248" s="326">
        <v>2.2723229412226069</v>
      </c>
      <c r="J248" s="2468">
        <v>2.5</v>
      </c>
      <c r="K248" s="1470"/>
      <c r="L248" s="1470"/>
    </row>
    <row r="249" spans="1:12">
      <c r="A249" s="1468">
        <f t="shared" si="3"/>
        <v>2025.12</v>
      </c>
      <c r="B249" s="1208">
        <v>25</v>
      </c>
      <c r="C249" s="1209">
        <v>34</v>
      </c>
      <c r="D249" s="1206"/>
      <c r="E249" s="1209">
        <v>32.6</v>
      </c>
      <c r="F249" s="1210">
        <v>20.149372466788609</v>
      </c>
      <c r="G249" s="677">
        <v>21.087177424572179</v>
      </c>
      <c r="H249" s="1210">
        <v>2.2999999999999998</v>
      </c>
      <c r="I249" s="326">
        <v>2.3211356965721741</v>
      </c>
      <c r="J249" s="2468">
        <v>2.6</v>
      </c>
      <c r="K249" s="1470"/>
      <c r="L249" s="1470"/>
    </row>
    <row r="250" spans="1:12">
      <c r="A250" s="972">
        <v>2026.01</v>
      </c>
      <c r="B250" s="1208">
        <v>25</v>
      </c>
      <c r="C250" s="1209">
        <v>31.5</v>
      </c>
      <c r="D250" s="1206"/>
      <c r="E250" s="1209">
        <v>29.5</v>
      </c>
      <c r="F250" s="1210">
        <v>20.972204042663261</v>
      </c>
      <c r="G250" s="677">
        <v>20.983917175061439</v>
      </c>
      <c r="H250" s="1210">
        <v>2.4</v>
      </c>
      <c r="I250" s="326">
        <v>2.4</v>
      </c>
      <c r="J250" s="2468">
        <v>2.2000000000000002</v>
      </c>
      <c r="K250" s="1470"/>
      <c r="L250" s="1470"/>
    </row>
    <row r="251" spans="1:12">
      <c r="A251" s="972">
        <v>2026.02</v>
      </c>
      <c r="B251" s="1208">
        <v>30</v>
      </c>
      <c r="C251" s="1209">
        <v>35.700000000000003</v>
      </c>
      <c r="D251" s="1206"/>
      <c r="E251" s="1209">
        <v>33.9</v>
      </c>
      <c r="F251" s="1210">
        <v>22.3</v>
      </c>
      <c r="G251" s="677">
        <v>22.317663291018839</v>
      </c>
      <c r="H251" s="1210">
        <v>2.690410151713714</v>
      </c>
      <c r="I251" s="326">
        <v>2.640300109904544</v>
      </c>
      <c r="J251" s="2468">
        <v>2.9</v>
      </c>
      <c r="K251" s="1470"/>
      <c r="L251" s="1470"/>
    </row>
    <row r="252" spans="1:12">
      <c r="A252" s="972">
        <v>2026.03</v>
      </c>
      <c r="B252" s="1208">
        <v>30</v>
      </c>
      <c r="C252" s="1209">
        <v>33.5</v>
      </c>
      <c r="D252" s="1206"/>
      <c r="E252" s="1209">
        <v>32</v>
      </c>
      <c r="F252" s="1210" t="e">
        <v>#N/A</v>
      </c>
      <c r="G252" s="677" t="e">
        <v>#N/A</v>
      </c>
      <c r="H252" s="2462">
        <v>2.5</v>
      </c>
      <c r="I252" s="2464">
        <v>2.518346184713339</v>
      </c>
      <c r="J252" s="2468" t="e">
        <v>#N/A</v>
      </c>
      <c r="K252" s="1470"/>
      <c r="L252" s="1470"/>
    </row>
    <row r="253" spans="1:12">
      <c r="A253" s="972">
        <v>2026.04</v>
      </c>
      <c r="B253" s="1208" t="e">
        <v>#N/A</v>
      </c>
      <c r="C253" s="1209" t="e">
        <v>#N/A</v>
      </c>
      <c r="D253" s="1206"/>
      <c r="E253" s="1209" t="e">
        <v>#N/A</v>
      </c>
      <c r="F253" s="1210" t="e">
        <v>#N/A</v>
      </c>
      <c r="G253" s="677" t="e">
        <v>#N/A</v>
      </c>
      <c r="H253" s="2462">
        <v>2.19</v>
      </c>
      <c r="I253" s="2464">
        <v>2.1561493040907602</v>
      </c>
      <c r="J253" s="2468" t="e">
        <v>#N/A</v>
      </c>
      <c r="K253" s="1470"/>
      <c r="L253" s="1470"/>
    </row>
    <row r="254" spans="1:12">
      <c r="A254" s="972">
        <v>2026.05</v>
      </c>
      <c r="B254" s="1208" t="e">
        <v>#N/A</v>
      </c>
      <c r="C254" s="1209" t="e">
        <v>#N/A</v>
      </c>
      <c r="D254" s="1206"/>
      <c r="E254" s="1209" t="e">
        <v>#N/A</v>
      </c>
      <c r="F254" s="1210" t="e">
        <v>#N/A</v>
      </c>
      <c r="G254" s="677" t="e">
        <v>#N/A</v>
      </c>
      <c r="H254" s="2462">
        <v>1.86</v>
      </c>
      <c r="I254" s="2464">
        <v>1.9097236539325031</v>
      </c>
      <c r="J254" s="2468" t="e">
        <v>#N/A</v>
      </c>
      <c r="K254" s="1470"/>
      <c r="L254" s="1470"/>
    </row>
    <row r="255" spans="1:12">
      <c r="A255" s="972">
        <v>2026.06</v>
      </c>
      <c r="B255" s="1208" t="e">
        <v>#N/A</v>
      </c>
      <c r="C255" s="1209" t="e">
        <v>#N/A</v>
      </c>
      <c r="D255" s="1206"/>
      <c r="E255" s="1209" t="e">
        <v>#N/A</v>
      </c>
      <c r="F255" s="1210" t="e">
        <v>#N/A</v>
      </c>
      <c r="G255" s="677" t="e">
        <v>#N/A</v>
      </c>
      <c r="H255" s="2462">
        <v>1.7999283980248959</v>
      </c>
      <c r="I255" s="2464">
        <v>1.7608541247164351</v>
      </c>
      <c r="J255" s="2468" t="e">
        <v>#N/A</v>
      </c>
      <c r="K255" s="1470"/>
      <c r="L255" s="1470"/>
    </row>
    <row r="256" spans="1:12">
      <c r="A256" s="972">
        <v>2026.07</v>
      </c>
      <c r="B256" s="1208" t="e">
        <v>#N/A</v>
      </c>
      <c r="C256" s="1209" t="e">
        <v>#N/A</v>
      </c>
      <c r="D256" s="1206"/>
      <c r="E256" s="1209" t="e">
        <v>#N/A</v>
      </c>
      <c r="F256" s="1210" t="e">
        <v>#N/A</v>
      </c>
      <c r="G256" s="677" t="e">
        <v>#N/A</v>
      </c>
      <c r="H256" s="2462">
        <v>1.7</v>
      </c>
      <c r="I256" s="2464">
        <v>1.7003879842396841</v>
      </c>
      <c r="J256" s="2468" t="e">
        <v>#N/A</v>
      </c>
      <c r="K256" s="1470"/>
      <c r="L256" s="1470"/>
    </row>
    <row r="257" spans="1:10">
      <c r="A257" s="972">
        <v>2026.08</v>
      </c>
      <c r="B257" s="1208" t="e">
        <v>#N/A</v>
      </c>
      <c r="C257" s="1209" t="e">
        <v>#N/A</v>
      </c>
      <c r="D257" s="1206"/>
      <c r="E257" s="1209" t="e">
        <v>#N/A</v>
      </c>
      <c r="F257" s="1210" t="e">
        <v>#N/A</v>
      </c>
      <c r="G257" s="677" t="e">
        <v>#N/A</v>
      </c>
      <c r="H257" s="2462">
        <v>1.5249999999999999</v>
      </c>
      <c r="I257" s="2464">
        <v>1.601042801541414</v>
      </c>
      <c r="J257" s="2468" t="e">
        <v>#N/A</v>
      </c>
    </row>
    <row r="258" spans="1:10">
      <c r="A258" s="972">
        <v>2026.09</v>
      </c>
      <c r="B258" s="1208" t="e">
        <v>#N/A</v>
      </c>
      <c r="C258" s="1209" t="e">
        <v>#N/A</v>
      </c>
      <c r="D258" s="1206"/>
      <c r="E258" s="1209" t="e">
        <v>#N/A</v>
      </c>
      <c r="F258" s="1210" t="e">
        <v>#N/A</v>
      </c>
      <c r="G258" s="677" t="e">
        <v>#N/A</v>
      </c>
      <c r="H258" s="1210" t="e">
        <v>#N/A</v>
      </c>
      <c r="I258" s="326" t="e">
        <v>#N/A</v>
      </c>
      <c r="J258" s="2468" t="e">
        <v>#N/A</v>
      </c>
    </row>
    <row r="259" spans="1:10">
      <c r="A259" s="972">
        <v>2026.1</v>
      </c>
      <c r="B259" s="1208" t="e">
        <v>#N/A</v>
      </c>
      <c r="C259" s="1209" t="e">
        <v>#N/A</v>
      </c>
      <c r="D259" s="1206"/>
      <c r="E259" s="1209" t="e">
        <v>#N/A</v>
      </c>
      <c r="F259" s="1210" t="e">
        <v>#N/A</v>
      </c>
      <c r="G259" s="677" t="e">
        <v>#N/A</v>
      </c>
      <c r="H259" s="1210" t="e">
        <v>#N/A</v>
      </c>
      <c r="I259" s="326" t="e">
        <v>#N/A</v>
      </c>
      <c r="J259" s="2468" t="e">
        <v>#N/A</v>
      </c>
    </row>
    <row r="260" spans="1:10">
      <c r="A260" s="972">
        <v>2026.11</v>
      </c>
      <c r="B260" s="1208" t="e">
        <v>#N/A</v>
      </c>
      <c r="C260" s="1209" t="e">
        <v>#N/A</v>
      </c>
      <c r="D260" s="1206"/>
      <c r="E260" s="1209" t="e">
        <v>#N/A</v>
      </c>
      <c r="F260" s="1210" t="e">
        <v>#N/A</v>
      </c>
      <c r="G260" s="677" t="e">
        <v>#N/A</v>
      </c>
      <c r="H260" s="1210" t="e">
        <v>#N/A</v>
      </c>
      <c r="I260" s="326" t="e">
        <v>#N/A</v>
      </c>
      <c r="J260" s="2468" t="e">
        <v>#N/A</v>
      </c>
    </row>
    <row r="261" spans="1:10">
      <c r="A261" s="972">
        <v>2026.12</v>
      </c>
      <c r="B261" s="1208" t="e">
        <v>#N/A</v>
      </c>
      <c r="C261" s="1209" t="e">
        <v>#N/A</v>
      </c>
      <c r="D261" s="1206"/>
      <c r="E261" s="1209" t="e">
        <v>#N/A</v>
      </c>
      <c r="F261" s="1210" t="e">
        <v>#N/A</v>
      </c>
      <c r="G261" s="677" t="e">
        <v>#N/A</v>
      </c>
      <c r="H261" s="1210" t="e">
        <v>#N/A</v>
      </c>
      <c r="I261" s="326" t="e">
        <v>#N/A</v>
      </c>
      <c r="J261" s="2468" t="e">
        <v>#N/A</v>
      </c>
    </row>
    <row r="262" spans="1:10">
      <c r="A262" s="972">
        <v>2027.01</v>
      </c>
      <c r="B262" s="1208" t="e">
        <v>#N/A</v>
      </c>
      <c r="C262" s="1209" t="e">
        <v>#N/A</v>
      </c>
      <c r="D262" s="1206"/>
      <c r="E262" s="1209" t="e">
        <v>#N/A</v>
      </c>
      <c r="F262" s="1210" t="e">
        <v>#N/A</v>
      </c>
      <c r="G262" s="677" t="e">
        <v>#N/A</v>
      </c>
      <c r="H262" s="1210" t="e">
        <v>#N/A</v>
      </c>
      <c r="I262" s="326" t="e">
        <v>#N/A</v>
      </c>
      <c r="J262" s="2468" t="e">
        <v>#N/A</v>
      </c>
    </row>
    <row r="263" spans="1:10">
      <c r="A263" s="972">
        <v>2027.02</v>
      </c>
      <c r="B263" s="1208" t="e">
        <v>#N/A</v>
      </c>
      <c r="C263" s="1209" t="e">
        <v>#N/A</v>
      </c>
      <c r="D263" s="1206"/>
      <c r="E263" s="1209" t="e">
        <v>#N/A</v>
      </c>
      <c r="F263" s="1210" t="e">
        <v>#N/A</v>
      </c>
      <c r="G263" s="677" t="e">
        <v>#N/A</v>
      </c>
      <c r="H263" s="1210" t="e">
        <v>#N/A</v>
      </c>
      <c r="I263" s="326" t="e">
        <v>#N/A</v>
      </c>
      <c r="J263" s="2468" t="e">
        <v>#N/A</v>
      </c>
    </row>
    <row r="264" spans="1:10">
      <c r="A264" s="972">
        <v>2027.03</v>
      </c>
      <c r="B264" s="1208" t="e">
        <v>#N/A</v>
      </c>
      <c r="C264" s="1209" t="e">
        <v>#N/A</v>
      </c>
      <c r="D264" s="1206"/>
      <c r="E264" s="1209" t="e">
        <v>#N/A</v>
      </c>
      <c r="F264" s="1210" t="e">
        <v>#N/A</v>
      </c>
      <c r="G264" s="677" t="e">
        <v>#N/A</v>
      </c>
      <c r="H264" s="1210" t="e">
        <v>#N/A</v>
      </c>
      <c r="I264" s="326" t="e">
        <v>#N/A</v>
      </c>
      <c r="J264" s="2468" t="e">
        <v>#N/A</v>
      </c>
    </row>
    <row r="265" spans="1:10">
      <c r="A265" s="972">
        <v>2027.04</v>
      </c>
      <c r="B265" s="1208" t="e">
        <v>#N/A</v>
      </c>
      <c r="C265" s="1209" t="e">
        <v>#N/A</v>
      </c>
      <c r="D265" s="1206"/>
      <c r="E265" s="1209" t="e">
        <v>#N/A</v>
      </c>
      <c r="F265" s="1210" t="e">
        <v>#N/A</v>
      </c>
      <c r="G265" s="677" t="e">
        <v>#N/A</v>
      </c>
      <c r="H265" s="1210" t="e">
        <v>#N/A</v>
      </c>
      <c r="I265" s="326" t="e">
        <v>#N/A</v>
      </c>
      <c r="J265" s="2468" t="e">
        <v>#N/A</v>
      </c>
    </row>
    <row r="266" spans="1:10">
      <c r="A266" s="972">
        <v>2027.05</v>
      </c>
      <c r="B266" s="1208" t="e">
        <v>#N/A</v>
      </c>
      <c r="C266" s="1209" t="e">
        <v>#N/A</v>
      </c>
      <c r="D266" s="1206"/>
      <c r="E266" s="1209" t="e">
        <v>#N/A</v>
      </c>
      <c r="F266" s="1210" t="e">
        <v>#N/A</v>
      </c>
      <c r="G266" s="677" t="e">
        <v>#N/A</v>
      </c>
      <c r="H266" s="1210" t="e">
        <v>#N/A</v>
      </c>
      <c r="I266" s="326" t="e">
        <v>#N/A</v>
      </c>
      <c r="J266" s="2468" t="e">
        <v>#N/A</v>
      </c>
    </row>
    <row r="267" spans="1:10">
      <c r="A267" s="972">
        <v>2027.06</v>
      </c>
      <c r="B267" s="1208" t="e">
        <v>#N/A</v>
      </c>
      <c r="C267" s="1209" t="e">
        <v>#N/A</v>
      </c>
      <c r="D267" s="1206"/>
      <c r="E267" s="1209" t="e">
        <v>#N/A</v>
      </c>
      <c r="F267" s="1210" t="e">
        <v>#N/A</v>
      </c>
      <c r="G267" s="677" t="e">
        <v>#N/A</v>
      </c>
      <c r="H267" s="1210" t="e">
        <v>#N/A</v>
      </c>
      <c r="I267" s="326" t="e">
        <v>#N/A</v>
      </c>
      <c r="J267" s="2468" t="e">
        <v>#N/A</v>
      </c>
    </row>
    <row r="268" spans="1:10">
      <c r="A268" s="972">
        <v>2027.07</v>
      </c>
      <c r="B268" s="1208" t="e">
        <v>#N/A</v>
      </c>
      <c r="C268" s="1209" t="e">
        <v>#N/A</v>
      </c>
      <c r="D268" s="1206"/>
      <c r="E268" s="1209" t="e">
        <v>#N/A</v>
      </c>
      <c r="F268" s="1210" t="e">
        <v>#N/A</v>
      </c>
      <c r="G268" s="677" t="e">
        <v>#N/A</v>
      </c>
      <c r="H268" s="1210" t="e">
        <v>#N/A</v>
      </c>
      <c r="I268" s="326" t="e">
        <v>#N/A</v>
      </c>
      <c r="J268" s="2468" t="e">
        <v>#N/A</v>
      </c>
    </row>
    <row r="269" spans="1:10">
      <c r="A269" s="972">
        <v>2027.08</v>
      </c>
      <c r="B269" s="1208" t="e">
        <v>#N/A</v>
      </c>
      <c r="C269" s="1209" t="e">
        <v>#N/A</v>
      </c>
      <c r="D269" s="1206"/>
      <c r="E269" s="1209" t="e">
        <v>#N/A</v>
      </c>
      <c r="F269" s="1210" t="e">
        <v>#N/A</v>
      </c>
      <c r="G269" s="677" t="e">
        <v>#N/A</v>
      </c>
      <c r="H269" s="1210" t="e">
        <v>#N/A</v>
      </c>
      <c r="I269" s="326" t="e">
        <v>#N/A</v>
      </c>
      <c r="J269" s="2468" t="e">
        <v>#N/A</v>
      </c>
    </row>
    <row r="270" spans="1:10">
      <c r="A270" s="972">
        <v>2027.09</v>
      </c>
      <c r="B270" s="1208" t="e">
        <v>#N/A</v>
      </c>
      <c r="C270" s="1209" t="e">
        <v>#N/A</v>
      </c>
      <c r="D270" s="1206"/>
      <c r="E270" s="1209" t="e">
        <v>#N/A</v>
      </c>
      <c r="F270" s="1210" t="e">
        <v>#N/A</v>
      </c>
      <c r="G270" s="677" t="e">
        <v>#N/A</v>
      </c>
      <c r="H270" s="1210" t="e">
        <v>#N/A</v>
      </c>
      <c r="I270" s="326" t="e">
        <v>#N/A</v>
      </c>
      <c r="J270" s="2468" t="e">
        <v>#N/A</v>
      </c>
    </row>
    <row r="271" spans="1:10">
      <c r="A271" s="972">
        <v>2027.1</v>
      </c>
      <c r="B271" s="1208" t="e">
        <v>#N/A</v>
      </c>
      <c r="C271" s="1209" t="e">
        <v>#N/A</v>
      </c>
      <c r="D271" s="1206"/>
      <c r="E271" s="1209" t="e">
        <v>#N/A</v>
      </c>
      <c r="F271" s="1210" t="e">
        <v>#N/A</v>
      </c>
      <c r="G271" s="677" t="e">
        <v>#N/A</v>
      </c>
      <c r="H271" s="1210" t="e">
        <v>#N/A</v>
      </c>
      <c r="I271" s="326" t="e">
        <v>#N/A</v>
      </c>
      <c r="J271" s="2468" t="e">
        <v>#N/A</v>
      </c>
    </row>
    <row r="272" spans="1:10">
      <c r="A272" s="972">
        <v>2027.11</v>
      </c>
      <c r="B272" s="1208" t="e">
        <v>#N/A</v>
      </c>
      <c r="C272" s="1209" t="e">
        <v>#N/A</v>
      </c>
      <c r="D272" s="1206"/>
      <c r="E272" s="1209" t="e">
        <v>#N/A</v>
      </c>
      <c r="F272" s="1210" t="e">
        <v>#N/A</v>
      </c>
      <c r="G272" s="677" t="e">
        <v>#N/A</v>
      </c>
      <c r="H272" s="1210" t="e">
        <v>#N/A</v>
      </c>
      <c r="I272" s="326" t="e">
        <v>#N/A</v>
      </c>
      <c r="J272" s="2468" t="e">
        <v>#N/A</v>
      </c>
    </row>
    <row r="273" spans="1:10">
      <c r="A273" s="972">
        <v>2027.12</v>
      </c>
      <c r="B273" s="1208" t="e">
        <v>#N/A</v>
      </c>
      <c r="C273" s="1209" t="e">
        <v>#N/A</v>
      </c>
      <c r="D273" s="1206"/>
      <c r="E273" s="1209" t="e">
        <v>#N/A</v>
      </c>
      <c r="F273" s="1210" t="e">
        <v>#N/A</v>
      </c>
      <c r="G273" s="677" t="e">
        <v>#N/A</v>
      </c>
      <c r="H273" s="1210" t="e">
        <v>#N/A</v>
      </c>
      <c r="I273" s="326" t="e">
        <v>#N/A</v>
      </c>
      <c r="J273" s="2468" t="e">
        <v>#N/A</v>
      </c>
    </row>
    <row r="274" spans="1:10">
      <c r="A274" s="972">
        <v>2028.01</v>
      </c>
      <c r="B274" s="1208" t="e">
        <v>#N/A</v>
      </c>
      <c r="C274" s="1209" t="e">
        <v>#N/A</v>
      </c>
      <c r="D274" s="1206"/>
      <c r="E274" s="1209" t="e">
        <v>#N/A</v>
      </c>
      <c r="F274" s="1210" t="e">
        <v>#N/A</v>
      </c>
      <c r="G274" s="677" t="e">
        <v>#N/A</v>
      </c>
      <c r="H274" s="1210" t="e">
        <v>#N/A</v>
      </c>
      <c r="I274" s="326" t="e">
        <v>#N/A</v>
      </c>
      <c r="J274" s="2468" t="e">
        <v>#N/A</v>
      </c>
    </row>
    <row r="275" spans="1:10">
      <c r="A275" s="972">
        <v>2028.02</v>
      </c>
      <c r="B275" s="1208" t="e">
        <v>#N/A</v>
      </c>
      <c r="C275" s="1209" t="e">
        <v>#N/A</v>
      </c>
      <c r="D275" s="1206"/>
      <c r="E275" s="1209" t="e">
        <v>#N/A</v>
      </c>
      <c r="F275" s="1210" t="e">
        <v>#N/A</v>
      </c>
      <c r="G275" s="677" t="e">
        <v>#N/A</v>
      </c>
      <c r="H275" s="1210" t="e">
        <v>#N/A</v>
      </c>
      <c r="I275" s="326" t="e">
        <v>#N/A</v>
      </c>
      <c r="J275" s="2468" t="e">
        <v>#N/A</v>
      </c>
    </row>
    <row r="276" spans="1:10">
      <c r="A276" s="972">
        <v>2028.03</v>
      </c>
      <c r="B276" s="1208" t="e">
        <v>#N/A</v>
      </c>
      <c r="C276" s="1209" t="e">
        <v>#N/A</v>
      </c>
      <c r="D276" s="1206"/>
      <c r="E276" s="1209" t="e">
        <v>#N/A</v>
      </c>
      <c r="F276" s="1210" t="e">
        <v>#N/A</v>
      </c>
      <c r="G276" s="677" t="e">
        <v>#N/A</v>
      </c>
      <c r="H276" s="1210" t="e">
        <v>#N/A</v>
      </c>
      <c r="I276" s="326" t="e">
        <v>#N/A</v>
      </c>
      <c r="J276" s="2468" t="e">
        <v>#N/A</v>
      </c>
    </row>
    <row r="277" spans="1:10">
      <c r="A277" s="972">
        <v>2028.04</v>
      </c>
      <c r="B277" s="1208" t="e">
        <v>#N/A</v>
      </c>
      <c r="C277" s="1209" t="e">
        <v>#N/A</v>
      </c>
      <c r="D277" s="1206"/>
      <c r="E277" s="1209" t="e">
        <v>#N/A</v>
      </c>
      <c r="F277" s="1210" t="e">
        <v>#N/A</v>
      </c>
      <c r="G277" s="677" t="e">
        <v>#N/A</v>
      </c>
      <c r="H277" s="1210" t="e">
        <v>#N/A</v>
      </c>
      <c r="I277" s="326" t="e">
        <v>#N/A</v>
      </c>
      <c r="J277" s="2468" t="e">
        <v>#N/A</v>
      </c>
    </row>
    <row r="278" spans="1:10">
      <c r="A278" s="972">
        <v>2028.05</v>
      </c>
      <c r="B278" s="1208" t="e">
        <v>#N/A</v>
      </c>
      <c r="C278" s="1209" t="e">
        <v>#N/A</v>
      </c>
      <c r="D278" s="1206"/>
      <c r="E278" s="1209" t="e">
        <v>#N/A</v>
      </c>
      <c r="F278" s="1210" t="e">
        <v>#N/A</v>
      </c>
      <c r="G278" s="677" t="e">
        <v>#N/A</v>
      </c>
      <c r="H278" s="1210" t="e">
        <v>#N/A</v>
      </c>
      <c r="I278" s="326" t="e">
        <v>#N/A</v>
      </c>
      <c r="J278" s="2468" t="e">
        <v>#N/A</v>
      </c>
    </row>
    <row r="279" spans="1:10">
      <c r="A279" s="972">
        <v>2028.06</v>
      </c>
      <c r="B279" s="1208" t="e">
        <v>#N/A</v>
      </c>
      <c r="C279" s="1209" t="e">
        <v>#N/A</v>
      </c>
      <c r="D279" s="1206"/>
      <c r="E279" s="1209" t="e">
        <v>#N/A</v>
      </c>
      <c r="F279" s="1210" t="e">
        <v>#N/A</v>
      </c>
      <c r="G279" s="677" t="e">
        <v>#N/A</v>
      </c>
      <c r="H279" s="1210" t="e">
        <v>#N/A</v>
      </c>
      <c r="I279" s="326" t="e">
        <v>#N/A</v>
      </c>
      <c r="J279" s="2468" t="e">
        <v>#N/A</v>
      </c>
    </row>
    <row r="280" spans="1:10">
      <c r="A280" s="972">
        <v>2028.07</v>
      </c>
      <c r="B280" s="1208" t="e">
        <v>#N/A</v>
      </c>
      <c r="C280" s="1209" t="e">
        <v>#N/A</v>
      </c>
      <c r="D280" s="1206"/>
      <c r="E280" s="1209" t="e">
        <v>#N/A</v>
      </c>
      <c r="F280" s="1210" t="e">
        <v>#N/A</v>
      </c>
      <c r="G280" s="677" t="e">
        <v>#N/A</v>
      </c>
      <c r="H280" s="1210" t="e">
        <v>#N/A</v>
      </c>
      <c r="I280" s="326" t="e">
        <v>#N/A</v>
      </c>
      <c r="J280" s="2468" t="e">
        <v>#N/A</v>
      </c>
    </row>
    <row r="281" spans="1:10">
      <c r="A281" s="972">
        <v>2028.08</v>
      </c>
      <c r="B281" s="1208" t="e">
        <v>#N/A</v>
      </c>
      <c r="C281" s="1209" t="e">
        <v>#N/A</v>
      </c>
      <c r="D281" s="1206"/>
      <c r="E281" s="1209" t="e">
        <v>#N/A</v>
      </c>
      <c r="F281" s="1210" t="e">
        <v>#N/A</v>
      </c>
      <c r="G281" s="677" t="e">
        <v>#N/A</v>
      </c>
      <c r="H281" s="1210" t="e">
        <v>#N/A</v>
      </c>
      <c r="I281" s="326" t="e">
        <v>#N/A</v>
      </c>
      <c r="J281" s="2468" t="e">
        <v>#N/A</v>
      </c>
    </row>
    <row r="282" spans="1:10">
      <c r="A282" s="972">
        <v>2028.09</v>
      </c>
      <c r="B282" s="1208" t="e">
        <v>#N/A</v>
      </c>
      <c r="C282" s="1209" t="e">
        <v>#N/A</v>
      </c>
      <c r="D282" s="1206"/>
      <c r="E282" s="1209" t="e">
        <v>#N/A</v>
      </c>
      <c r="F282" s="1210" t="e">
        <v>#N/A</v>
      </c>
      <c r="G282" s="677" t="e">
        <v>#N/A</v>
      </c>
      <c r="H282" s="1210" t="e">
        <v>#N/A</v>
      </c>
      <c r="I282" s="326" t="e">
        <v>#N/A</v>
      </c>
      <c r="J282" s="2468" t="e">
        <v>#N/A</v>
      </c>
    </row>
    <row r="283" spans="1:10">
      <c r="A283" s="972">
        <v>2028.1</v>
      </c>
      <c r="B283" s="1208" t="e">
        <v>#N/A</v>
      </c>
      <c r="C283" s="1209" t="e">
        <v>#N/A</v>
      </c>
      <c r="D283" s="1206"/>
      <c r="E283" s="1209" t="e">
        <v>#N/A</v>
      </c>
      <c r="F283" s="1210" t="e">
        <v>#N/A</v>
      </c>
      <c r="G283" s="677" t="e">
        <v>#N/A</v>
      </c>
      <c r="H283" s="1210" t="e">
        <v>#N/A</v>
      </c>
      <c r="I283" s="326" t="e">
        <v>#N/A</v>
      </c>
      <c r="J283" s="2468" t="e">
        <v>#N/A</v>
      </c>
    </row>
    <row r="284" spans="1:10">
      <c r="A284" s="972">
        <v>2028.11</v>
      </c>
      <c r="B284" s="1208" t="e">
        <v>#N/A</v>
      </c>
      <c r="C284" s="1209" t="e">
        <v>#N/A</v>
      </c>
      <c r="D284" s="1206"/>
      <c r="E284" s="1209" t="e">
        <v>#N/A</v>
      </c>
      <c r="F284" s="1210" t="e">
        <v>#N/A</v>
      </c>
      <c r="G284" s="677" t="e">
        <v>#N/A</v>
      </c>
      <c r="H284" s="1210" t="e">
        <v>#N/A</v>
      </c>
      <c r="I284" s="326" t="e">
        <v>#N/A</v>
      </c>
      <c r="J284" s="2468" t="e">
        <v>#N/A</v>
      </c>
    </row>
    <row r="285" spans="1:10">
      <c r="A285" s="972">
        <v>2028.12</v>
      </c>
      <c r="B285" s="1208" t="e">
        <v>#N/A</v>
      </c>
      <c r="C285" s="1209" t="e">
        <v>#N/A</v>
      </c>
      <c r="D285" s="1206"/>
      <c r="E285" s="1209" t="e">
        <v>#N/A</v>
      </c>
      <c r="F285" s="1210" t="e">
        <v>#N/A</v>
      </c>
      <c r="G285" s="677" t="e">
        <v>#N/A</v>
      </c>
      <c r="H285" s="1210" t="e">
        <v>#N/A</v>
      </c>
      <c r="I285" s="326" t="e">
        <v>#N/A</v>
      </c>
      <c r="J285" s="2468" t="e">
        <v>#N/A</v>
      </c>
    </row>
    <row r="286" spans="1:10">
      <c r="A286" s="972">
        <v>2029.01</v>
      </c>
      <c r="B286" s="1208" t="e">
        <v>#N/A</v>
      </c>
      <c r="C286" s="1209" t="e">
        <v>#N/A</v>
      </c>
      <c r="D286" s="1206"/>
      <c r="E286" s="1209" t="e">
        <v>#N/A</v>
      </c>
      <c r="F286" s="1210" t="e">
        <v>#N/A</v>
      </c>
      <c r="G286" s="677" t="e">
        <v>#N/A</v>
      </c>
      <c r="H286" s="1210" t="e">
        <v>#N/A</v>
      </c>
      <c r="I286" s="326" t="e">
        <v>#N/A</v>
      </c>
      <c r="J286" s="2468" t="e">
        <v>#N/A</v>
      </c>
    </row>
    <row r="287" spans="1:10">
      <c r="A287" s="972">
        <v>2029.02</v>
      </c>
      <c r="B287" s="1208" t="e">
        <v>#N/A</v>
      </c>
      <c r="C287" s="1209" t="e">
        <v>#N/A</v>
      </c>
      <c r="D287" s="1206"/>
      <c r="E287" s="1209" t="e">
        <v>#N/A</v>
      </c>
      <c r="F287" s="1210" t="e">
        <v>#N/A</v>
      </c>
      <c r="G287" s="677" t="e">
        <v>#N/A</v>
      </c>
      <c r="H287" s="1210" t="e">
        <v>#N/A</v>
      </c>
      <c r="I287" s="326" t="e">
        <v>#N/A</v>
      </c>
      <c r="J287" s="2468" t="e">
        <v>#N/A</v>
      </c>
    </row>
    <row r="288" spans="1:10">
      <c r="A288" s="972">
        <v>2029.03</v>
      </c>
      <c r="B288" s="1208" t="e">
        <v>#N/A</v>
      </c>
      <c r="C288" s="1209" t="e">
        <v>#N/A</v>
      </c>
      <c r="D288" s="1206"/>
      <c r="E288" s="1209" t="e">
        <v>#N/A</v>
      </c>
      <c r="F288" s="1210" t="e">
        <v>#N/A</v>
      </c>
      <c r="G288" s="677" t="e">
        <v>#N/A</v>
      </c>
      <c r="H288" s="1210" t="e">
        <v>#N/A</v>
      </c>
      <c r="I288" s="326" t="e">
        <v>#N/A</v>
      </c>
      <c r="J288" s="2468" t="e">
        <v>#N/A</v>
      </c>
    </row>
    <row r="289" spans="1:10">
      <c r="A289" s="972">
        <v>2029.04</v>
      </c>
      <c r="B289" s="1208" t="e">
        <v>#N/A</v>
      </c>
      <c r="C289" s="1209" t="e">
        <v>#N/A</v>
      </c>
      <c r="D289" s="1206"/>
      <c r="E289" s="1209" t="e">
        <v>#N/A</v>
      </c>
      <c r="F289" s="1210" t="e">
        <v>#N/A</v>
      </c>
      <c r="G289" s="677" t="e">
        <v>#N/A</v>
      </c>
      <c r="H289" s="1210" t="e">
        <v>#N/A</v>
      </c>
      <c r="I289" s="326" t="e">
        <v>#N/A</v>
      </c>
      <c r="J289" s="2468" t="e">
        <v>#N/A</v>
      </c>
    </row>
    <row r="290" spans="1:10">
      <c r="A290" s="972">
        <v>2029.05</v>
      </c>
      <c r="B290" s="1208" t="e">
        <v>#N/A</v>
      </c>
      <c r="C290" s="1209" t="e">
        <v>#N/A</v>
      </c>
      <c r="D290" s="1206"/>
      <c r="E290" s="1209" t="e">
        <v>#N/A</v>
      </c>
      <c r="F290" s="1210" t="e">
        <v>#N/A</v>
      </c>
      <c r="G290" s="677" t="e">
        <v>#N/A</v>
      </c>
      <c r="H290" s="1210" t="e">
        <v>#N/A</v>
      </c>
      <c r="I290" s="326" t="e">
        <v>#N/A</v>
      </c>
      <c r="J290" s="2468" t="e">
        <v>#N/A</v>
      </c>
    </row>
    <row r="291" spans="1:10">
      <c r="A291" s="972">
        <v>2029.06</v>
      </c>
      <c r="B291" s="1208" t="e">
        <v>#N/A</v>
      </c>
      <c r="C291" s="1209" t="e">
        <v>#N/A</v>
      </c>
      <c r="D291" s="1206"/>
      <c r="E291" s="1209" t="e">
        <v>#N/A</v>
      </c>
      <c r="F291" s="1210" t="e">
        <v>#N/A</v>
      </c>
      <c r="G291" s="677" t="e">
        <v>#N/A</v>
      </c>
      <c r="H291" s="1210" t="e">
        <v>#N/A</v>
      </c>
      <c r="I291" s="326" t="e">
        <v>#N/A</v>
      </c>
      <c r="J291" s="2468" t="e">
        <v>#N/A</v>
      </c>
    </row>
    <row r="292" spans="1:10">
      <c r="A292" s="972">
        <v>2029.07</v>
      </c>
      <c r="B292" s="1208" t="e">
        <v>#N/A</v>
      </c>
      <c r="C292" s="1209" t="e">
        <v>#N/A</v>
      </c>
      <c r="D292" s="1206"/>
      <c r="E292" s="1209" t="e">
        <v>#N/A</v>
      </c>
      <c r="F292" s="1210" t="e">
        <v>#N/A</v>
      </c>
      <c r="G292" s="677" t="e">
        <v>#N/A</v>
      </c>
      <c r="H292" s="1210" t="e">
        <v>#N/A</v>
      </c>
      <c r="I292" s="326" t="e">
        <v>#N/A</v>
      </c>
      <c r="J292" s="2468" t="e">
        <v>#N/A</v>
      </c>
    </row>
    <row r="293" spans="1:10">
      <c r="A293" s="972">
        <v>2029.08</v>
      </c>
      <c r="B293" s="1208" t="e">
        <v>#N/A</v>
      </c>
      <c r="C293" s="1209" t="e">
        <v>#N/A</v>
      </c>
      <c r="D293" s="1206"/>
      <c r="E293" s="1209" t="e">
        <v>#N/A</v>
      </c>
      <c r="F293" s="1210" t="e">
        <v>#N/A</v>
      </c>
      <c r="G293" s="677" t="e">
        <v>#N/A</v>
      </c>
      <c r="H293" s="1210" t="e">
        <v>#N/A</v>
      </c>
      <c r="I293" s="326" t="e">
        <v>#N/A</v>
      </c>
      <c r="J293" s="2468" t="e">
        <v>#N/A</v>
      </c>
    </row>
    <row r="294" spans="1:10">
      <c r="A294" s="972">
        <v>2029.09</v>
      </c>
      <c r="B294" s="1208" t="e">
        <v>#N/A</v>
      </c>
      <c r="C294" s="1209" t="e">
        <v>#N/A</v>
      </c>
      <c r="D294" s="1206"/>
      <c r="E294" s="1209" t="e">
        <v>#N/A</v>
      </c>
      <c r="F294" s="1210" t="e">
        <v>#N/A</v>
      </c>
      <c r="G294" s="677" t="e">
        <v>#N/A</v>
      </c>
      <c r="H294" s="1210" t="e">
        <v>#N/A</v>
      </c>
      <c r="I294" s="326" t="e">
        <v>#N/A</v>
      </c>
      <c r="J294" s="2468" t="e">
        <v>#N/A</v>
      </c>
    </row>
    <row r="295" spans="1:10">
      <c r="A295" s="972">
        <v>2029.1</v>
      </c>
      <c r="B295" s="1208" t="e">
        <v>#N/A</v>
      </c>
      <c r="C295" s="1209" t="e">
        <v>#N/A</v>
      </c>
      <c r="D295" s="1206"/>
      <c r="E295" s="1209" t="e">
        <v>#N/A</v>
      </c>
      <c r="F295" s="1210" t="e">
        <v>#N/A</v>
      </c>
      <c r="G295" s="677" t="e">
        <v>#N/A</v>
      </c>
      <c r="H295" s="1210" t="e">
        <v>#N/A</v>
      </c>
      <c r="I295" s="326" t="e">
        <v>#N/A</v>
      </c>
      <c r="J295" s="2468" t="e">
        <v>#N/A</v>
      </c>
    </row>
    <row r="296" spans="1:10">
      <c r="A296" s="972">
        <v>2029.11</v>
      </c>
      <c r="B296" s="1208" t="e">
        <v>#N/A</v>
      </c>
      <c r="C296" s="1209" t="e">
        <v>#N/A</v>
      </c>
      <c r="D296" s="1206"/>
      <c r="E296" s="1209" t="e">
        <v>#N/A</v>
      </c>
      <c r="F296" s="1210" t="e">
        <v>#N/A</v>
      </c>
      <c r="G296" s="677" t="e">
        <v>#N/A</v>
      </c>
      <c r="H296" s="1210" t="e">
        <v>#N/A</v>
      </c>
      <c r="I296" s="326" t="e">
        <v>#N/A</v>
      </c>
      <c r="J296" s="2468" t="e">
        <v>#N/A</v>
      </c>
    </row>
    <row r="297" spans="1:10">
      <c r="A297" s="972">
        <v>2029.12</v>
      </c>
      <c r="B297" s="1208" t="e">
        <v>#N/A</v>
      </c>
      <c r="C297" s="1209" t="e">
        <v>#N/A</v>
      </c>
      <c r="D297" s="1206"/>
      <c r="E297" s="1209" t="e">
        <v>#N/A</v>
      </c>
      <c r="F297" s="1210" t="e">
        <v>#N/A</v>
      </c>
      <c r="G297" s="677" t="e">
        <v>#N/A</v>
      </c>
      <c r="H297" s="1210" t="e">
        <v>#N/A</v>
      </c>
      <c r="I297" s="326" t="e">
        <v>#N/A</v>
      </c>
      <c r="J297" s="2468" t="e">
        <v>#N/A</v>
      </c>
    </row>
    <row r="298" spans="1:10">
      <c r="A298" s="972">
        <v>2030.01</v>
      </c>
      <c r="B298" s="1208" t="e">
        <v>#N/A</v>
      </c>
      <c r="C298" s="1209" t="e">
        <v>#N/A</v>
      </c>
      <c r="D298" s="1206"/>
      <c r="E298" s="1209" t="e">
        <v>#N/A</v>
      </c>
      <c r="F298" s="1210" t="e">
        <v>#N/A</v>
      </c>
      <c r="G298" s="677" t="e">
        <v>#N/A</v>
      </c>
      <c r="H298" s="1210" t="e">
        <v>#N/A</v>
      </c>
      <c r="I298" s="326" t="e">
        <v>#N/A</v>
      </c>
      <c r="J298" s="2468" t="e">
        <v>#N/A</v>
      </c>
    </row>
    <row r="299" spans="1:10">
      <c r="A299" s="972">
        <v>2030.02</v>
      </c>
      <c r="B299" s="1208" t="e">
        <v>#N/A</v>
      </c>
      <c r="C299" s="1209" t="e">
        <v>#N/A</v>
      </c>
      <c r="D299" s="1206"/>
      <c r="E299" s="1209" t="e">
        <v>#N/A</v>
      </c>
      <c r="F299" s="1210" t="e">
        <v>#N/A</v>
      </c>
      <c r="G299" s="677" t="e">
        <v>#N/A</v>
      </c>
      <c r="H299" s="1210" t="e">
        <v>#N/A</v>
      </c>
      <c r="I299" s="326" t="e">
        <v>#N/A</v>
      </c>
      <c r="J299" s="2468" t="e">
        <v>#N/A</v>
      </c>
    </row>
    <row r="300" spans="1:10">
      <c r="A300" s="972">
        <v>2030.03</v>
      </c>
      <c r="B300" s="1208" t="e">
        <v>#N/A</v>
      </c>
      <c r="C300" s="1209" t="e">
        <v>#N/A</v>
      </c>
      <c r="D300" s="1206"/>
      <c r="E300" s="1209" t="e">
        <v>#N/A</v>
      </c>
      <c r="F300" s="1210" t="e">
        <v>#N/A</v>
      </c>
      <c r="G300" s="677" t="e">
        <v>#N/A</v>
      </c>
      <c r="H300" s="1210" t="e">
        <v>#N/A</v>
      </c>
      <c r="I300" s="326" t="e">
        <v>#N/A</v>
      </c>
      <c r="J300" s="2468" t="e">
        <v>#N/A</v>
      </c>
    </row>
    <row r="301" spans="1:10">
      <c r="A301" s="972">
        <v>2030.04</v>
      </c>
      <c r="B301" s="1208" t="e">
        <v>#N/A</v>
      </c>
      <c r="C301" s="1209" t="e">
        <v>#N/A</v>
      </c>
      <c r="D301" s="1206"/>
      <c r="E301" s="1209" t="e">
        <v>#N/A</v>
      </c>
      <c r="F301" s="1210" t="e">
        <v>#N/A</v>
      </c>
      <c r="G301" s="677" t="e">
        <v>#N/A</v>
      </c>
      <c r="H301" s="1210" t="e">
        <v>#N/A</v>
      </c>
      <c r="I301" s="326" t="e">
        <v>#N/A</v>
      </c>
      <c r="J301" s="2468" t="e">
        <v>#N/A</v>
      </c>
    </row>
    <row r="302" spans="1:10">
      <c r="A302" s="972">
        <v>2030.05</v>
      </c>
      <c r="B302" s="1208" t="e">
        <v>#N/A</v>
      </c>
      <c r="C302" s="1209" t="e">
        <v>#N/A</v>
      </c>
      <c r="D302" s="1206"/>
      <c r="E302" s="1209" t="e">
        <v>#N/A</v>
      </c>
      <c r="F302" s="1210" t="e">
        <v>#N/A</v>
      </c>
      <c r="G302" s="677" t="e">
        <v>#N/A</v>
      </c>
      <c r="H302" s="1210" t="e">
        <v>#N/A</v>
      </c>
      <c r="I302" s="326" t="e">
        <v>#N/A</v>
      </c>
      <c r="J302" s="2468" t="e">
        <v>#N/A</v>
      </c>
    </row>
    <row r="303" spans="1:10">
      <c r="A303" s="972">
        <v>2030.06</v>
      </c>
      <c r="B303" s="1208" t="e">
        <v>#N/A</v>
      </c>
      <c r="C303" s="1209" t="e">
        <v>#N/A</v>
      </c>
      <c r="D303" s="1206"/>
      <c r="E303" s="1209" t="e">
        <v>#N/A</v>
      </c>
      <c r="F303" s="1210" t="e">
        <v>#N/A</v>
      </c>
      <c r="G303" s="677" t="e">
        <v>#N/A</v>
      </c>
      <c r="H303" s="1210" t="e">
        <v>#N/A</v>
      </c>
      <c r="I303" s="326" t="e">
        <v>#N/A</v>
      </c>
      <c r="J303" s="2468" t="e">
        <v>#N/A</v>
      </c>
    </row>
    <row r="304" spans="1:10">
      <c r="A304" s="972">
        <v>2030.07</v>
      </c>
      <c r="B304" s="1208" t="e">
        <v>#N/A</v>
      </c>
      <c r="C304" s="1209" t="e">
        <v>#N/A</v>
      </c>
      <c r="D304" s="1206"/>
      <c r="E304" s="1209" t="e">
        <v>#N/A</v>
      </c>
      <c r="F304" s="1210" t="e">
        <v>#N/A</v>
      </c>
      <c r="G304" s="677" t="e">
        <v>#N/A</v>
      </c>
      <c r="H304" s="1210" t="e">
        <v>#N/A</v>
      </c>
      <c r="I304" s="326" t="e">
        <v>#N/A</v>
      </c>
      <c r="J304" s="2468" t="e">
        <v>#N/A</v>
      </c>
    </row>
    <row r="305" spans="1:10">
      <c r="A305" s="972">
        <v>2030.08</v>
      </c>
      <c r="B305" s="1208" t="e">
        <v>#N/A</v>
      </c>
      <c r="C305" s="1209" t="e">
        <v>#N/A</v>
      </c>
      <c r="D305" s="1206"/>
      <c r="E305" s="1209" t="e">
        <v>#N/A</v>
      </c>
      <c r="F305" s="1210" t="e">
        <v>#N/A</v>
      </c>
      <c r="G305" s="677" t="e">
        <v>#N/A</v>
      </c>
      <c r="H305" s="1210" t="e">
        <v>#N/A</v>
      </c>
      <c r="I305" s="326" t="e">
        <v>#N/A</v>
      </c>
      <c r="J305" s="2468" t="e">
        <v>#N/A</v>
      </c>
    </row>
    <row r="306" spans="1:10">
      <c r="A306" s="972">
        <v>2030.09</v>
      </c>
      <c r="B306" s="1208" t="e">
        <v>#N/A</v>
      </c>
      <c r="C306" s="1209" t="e">
        <v>#N/A</v>
      </c>
      <c r="D306" s="1206"/>
      <c r="E306" s="1209" t="e">
        <v>#N/A</v>
      </c>
      <c r="F306" s="1210" t="e">
        <v>#N/A</v>
      </c>
      <c r="G306" s="677" t="e">
        <v>#N/A</v>
      </c>
      <c r="H306" s="1210" t="e">
        <v>#N/A</v>
      </c>
      <c r="I306" s="326" t="e">
        <v>#N/A</v>
      </c>
      <c r="J306" s="2468" t="e">
        <v>#N/A</v>
      </c>
    </row>
    <row r="307" spans="1:10">
      <c r="A307" s="972">
        <v>2030.1</v>
      </c>
      <c r="B307" s="1208" t="e">
        <v>#N/A</v>
      </c>
      <c r="C307" s="1209" t="e">
        <v>#N/A</v>
      </c>
      <c r="D307" s="1206"/>
      <c r="E307" s="1209" t="e">
        <v>#N/A</v>
      </c>
      <c r="F307" s="1210" t="e">
        <v>#N/A</v>
      </c>
      <c r="G307" s="677" t="e">
        <v>#N/A</v>
      </c>
      <c r="H307" s="1210" t="e">
        <v>#N/A</v>
      </c>
      <c r="I307" s="326" t="e">
        <v>#N/A</v>
      </c>
      <c r="J307" s="2468" t="e">
        <v>#N/A</v>
      </c>
    </row>
    <row r="308" spans="1:10">
      <c r="A308" s="972">
        <v>2030.11</v>
      </c>
      <c r="B308" s="1208" t="e">
        <v>#N/A</v>
      </c>
      <c r="C308" s="1209" t="e">
        <v>#N/A</v>
      </c>
      <c r="D308" s="1206"/>
      <c r="E308" s="1209" t="e">
        <v>#N/A</v>
      </c>
      <c r="F308" s="1210" t="e">
        <v>#N/A</v>
      </c>
      <c r="G308" s="677" t="e">
        <v>#N/A</v>
      </c>
      <c r="H308" s="1210" t="e">
        <v>#N/A</v>
      </c>
      <c r="I308" s="326" t="e">
        <v>#N/A</v>
      </c>
      <c r="J308" s="2468" t="e">
        <v>#N/A</v>
      </c>
    </row>
    <row r="309" spans="1:10">
      <c r="A309" s="972">
        <v>2030.12</v>
      </c>
      <c r="B309" s="1208" t="e">
        <v>#N/A</v>
      </c>
      <c r="C309" s="1209" t="e">
        <v>#N/A</v>
      </c>
      <c r="D309" s="1206"/>
      <c r="E309" s="1209" t="e">
        <v>#N/A</v>
      </c>
      <c r="F309" s="1210" t="e">
        <v>#N/A</v>
      </c>
      <c r="G309" s="677" t="e">
        <v>#N/A</v>
      </c>
      <c r="H309" s="1210" t="e">
        <v>#N/A</v>
      </c>
      <c r="I309" s="326" t="e">
        <v>#N/A</v>
      </c>
      <c r="J309" s="2468" t="e">
        <v>#N/A</v>
      </c>
    </row>
  </sheetData>
  <sortState xmlns:xlrd2="http://schemas.microsoft.com/office/spreadsheetml/2017/richdata2" ref="H224:H234">
    <sortCondition ref="H224:H234"/>
  </sortState>
  <phoneticPr fontId="77" type="noConversion"/>
  <hyperlinks>
    <hyperlink ref="A1:A3" location="Indice!A1" display="ÍNDICE" xr:uid="{00000000-0004-0000-3B00-000000000000}"/>
    <hyperlink ref="A5" location="INDICE!A13" display="VOLVER AL INDICE" xr:uid="{00000000-0004-0000-3B00-000001000000}"/>
  </hyperlinks>
  <printOptions gridLines="1" gridLinesSet="0"/>
  <pageMargins left="0.75" right="0.75" top="1" bottom="1" header="0.511811024" footer="0.511811024"/>
  <pageSetup paperSize="256" orientation="landscape" horizontalDpi="180" verticalDpi="180" copies="3" r:id="rId1"/>
  <headerFooter alignWithMargins="0">
    <oddHeader>&amp;A</oddHeader>
    <oddFooter>Página &amp;P</oddFooter>
  </headerFooter>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6D44B-1B5F-46E1-B20E-BD6BE1C27D72}">
  <sheetPr codeName="Hoja69">
    <pageSetUpPr autoPageBreaks="0"/>
  </sheetPr>
  <dimension ref="A1:R465"/>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9.5703125" defaultRowHeight="11.25"/>
  <cols>
    <col min="1" max="1" width="11.42578125" style="299" customWidth="1"/>
    <col min="2" max="13" width="12.5703125" style="299" customWidth="1"/>
    <col min="14" max="17" width="11" style="299" customWidth="1"/>
    <col min="18" max="16384" width="19.5703125" style="299"/>
  </cols>
  <sheetData>
    <row r="1" spans="1:17" ht="3" customHeight="1">
      <c r="A1" s="2761"/>
      <c r="B1" s="1907" t="s">
        <v>5</v>
      </c>
      <c r="C1" s="1908"/>
      <c r="D1" s="1908"/>
      <c r="E1" s="1908"/>
      <c r="F1" s="1908"/>
      <c r="G1" s="1908"/>
      <c r="H1" s="1908"/>
      <c r="I1" s="1909"/>
      <c r="J1" s="1908"/>
      <c r="K1" s="1908"/>
      <c r="L1" s="1908"/>
      <c r="M1" s="2119"/>
      <c r="N1" s="2120" t="s">
        <v>5</v>
      </c>
      <c r="O1" s="1908"/>
      <c r="P1" s="1908"/>
      <c r="Q1" s="2114"/>
    </row>
    <row r="2" spans="1:17">
      <c r="A2" s="2762" t="s">
        <v>99</v>
      </c>
      <c r="B2" s="3170" t="s">
        <v>1999</v>
      </c>
      <c r="C2" s="3171"/>
      <c r="D2" s="3171"/>
      <c r="E2" s="3171"/>
      <c r="F2" s="965" t="s">
        <v>2000</v>
      </c>
      <c r="G2" s="3171"/>
      <c r="H2" s="3172"/>
      <c r="I2" s="1910"/>
      <c r="J2" s="965"/>
      <c r="K2" s="3171"/>
      <c r="L2" s="3172"/>
      <c r="M2" s="2121"/>
      <c r="N2" s="3170" t="s">
        <v>2001</v>
      </c>
      <c r="O2" s="3171"/>
      <c r="P2" s="3171"/>
      <c r="Q2" s="3173"/>
    </row>
    <row r="3" spans="1:17">
      <c r="A3" s="2762" t="s">
        <v>193</v>
      </c>
      <c r="B3" s="3171" t="s">
        <v>109</v>
      </c>
      <c r="C3" s="3171"/>
      <c r="D3" s="3171"/>
      <c r="E3" s="3171"/>
      <c r="F3" s="965" t="s">
        <v>2002</v>
      </c>
      <c r="G3" s="3171"/>
      <c r="H3" s="3172"/>
      <c r="I3" s="1910"/>
      <c r="J3" s="965"/>
      <c r="K3" s="3171"/>
      <c r="L3" s="3172"/>
      <c r="M3" s="2121"/>
      <c r="N3" s="3171" t="s">
        <v>2003</v>
      </c>
      <c r="O3" s="3171"/>
      <c r="P3" s="3171"/>
      <c r="Q3" s="3173"/>
    </row>
    <row r="4" spans="1:17" hidden="1">
      <c r="A4" s="2762"/>
      <c r="B4" s="1911"/>
      <c r="C4" s="495"/>
      <c r="D4" s="282"/>
      <c r="E4" s="2099"/>
      <c r="F4" s="2772"/>
      <c r="G4" s="721"/>
      <c r="H4" s="275"/>
      <c r="I4" s="2100"/>
      <c r="J4" s="2772"/>
      <c r="K4" s="721"/>
      <c r="L4" s="275"/>
      <c r="M4" s="2100"/>
      <c r="N4" s="1911"/>
      <c r="O4" s="495"/>
      <c r="P4" s="282"/>
      <c r="Q4" s="2115"/>
    </row>
    <row r="5" spans="1:17" ht="33.75">
      <c r="A5" s="2867" t="s">
        <v>140</v>
      </c>
      <c r="B5" s="1911" t="s">
        <v>2004</v>
      </c>
      <c r="C5" s="495" t="s">
        <v>2005</v>
      </c>
      <c r="D5" s="282" t="s">
        <v>2006</v>
      </c>
      <c r="E5" s="2099" t="s">
        <v>2007</v>
      </c>
      <c r="F5" s="2772" t="s">
        <v>554</v>
      </c>
      <c r="G5" s="721" t="s">
        <v>2005</v>
      </c>
      <c r="H5" s="275" t="s">
        <v>2006</v>
      </c>
      <c r="I5" s="2100" t="s">
        <v>2007</v>
      </c>
      <c r="J5" s="2772" t="s">
        <v>554</v>
      </c>
      <c r="K5" s="721" t="s">
        <v>2005</v>
      </c>
      <c r="L5" s="275" t="s">
        <v>2006</v>
      </c>
      <c r="M5" s="2100" t="s">
        <v>2007</v>
      </c>
      <c r="N5" s="1911" t="s">
        <v>2008</v>
      </c>
      <c r="O5" s="495" t="s">
        <v>2009</v>
      </c>
      <c r="P5" s="282" t="s">
        <v>2010</v>
      </c>
      <c r="Q5" s="2115" t="s">
        <v>2011</v>
      </c>
    </row>
    <row r="6" spans="1:17" ht="11.45" customHeight="1">
      <c r="A6" s="2762"/>
      <c r="B6" s="3174" t="s">
        <v>2012</v>
      </c>
      <c r="C6" s="1912"/>
      <c r="D6" s="1913"/>
      <c r="E6" s="2101"/>
      <c r="F6" s="3174" t="s">
        <v>743</v>
      </c>
      <c r="G6" s="1912"/>
      <c r="H6" s="1913"/>
      <c r="I6" s="2101"/>
      <c r="J6" s="3174" t="s">
        <v>742</v>
      </c>
      <c r="K6" s="1912"/>
      <c r="L6" s="1913"/>
      <c r="M6" s="2101"/>
      <c r="N6" s="3174" t="s">
        <v>2013</v>
      </c>
      <c r="O6" s="1912"/>
      <c r="P6" s="1913"/>
      <c r="Q6" s="2102"/>
    </row>
    <row r="7" spans="1:17" ht="33.75">
      <c r="A7" s="2762" t="s">
        <v>125</v>
      </c>
      <c r="B7" s="1911" t="s">
        <v>2014</v>
      </c>
      <c r="C7" s="1914" t="s">
        <v>2014</v>
      </c>
      <c r="D7" s="1915" t="s">
        <v>2014</v>
      </c>
      <c r="E7" s="2103" t="s">
        <v>2014</v>
      </c>
      <c r="F7" s="1911" t="s">
        <v>2015</v>
      </c>
      <c r="G7" s="1916" t="s">
        <v>2015</v>
      </c>
      <c r="H7" s="1916" t="s">
        <v>2015</v>
      </c>
      <c r="I7" s="2103" t="s">
        <v>2015</v>
      </c>
      <c r="J7" s="1911" t="s">
        <v>2015</v>
      </c>
      <c r="K7" s="1916" t="s">
        <v>2015</v>
      </c>
      <c r="L7" s="1916" t="s">
        <v>2015</v>
      </c>
      <c r="M7" s="2103" t="s">
        <v>2015</v>
      </c>
      <c r="N7" s="1911" t="s">
        <v>594</v>
      </c>
      <c r="O7" s="1914" t="s">
        <v>594</v>
      </c>
      <c r="P7" s="1915" t="s">
        <v>594</v>
      </c>
      <c r="Q7" s="2104" t="s">
        <v>594</v>
      </c>
    </row>
    <row r="8" spans="1:17" ht="14.25" customHeight="1">
      <c r="A8" s="3002" t="s">
        <v>144</v>
      </c>
      <c r="B8" s="2323" t="s">
        <v>2016</v>
      </c>
      <c r="C8" s="2264" t="s">
        <v>2017</v>
      </c>
      <c r="D8" s="2324" t="s">
        <v>2018</v>
      </c>
      <c r="E8" s="2193" t="s">
        <v>2019</v>
      </c>
      <c r="F8" s="3175" t="s">
        <v>2020</v>
      </c>
      <c r="G8" s="2325" t="s">
        <v>2021</v>
      </c>
      <c r="H8" s="2324" t="s">
        <v>2022</v>
      </c>
      <c r="I8" s="2193" t="s">
        <v>2023</v>
      </c>
      <c r="J8" s="3175" t="s">
        <v>2024</v>
      </c>
      <c r="K8" s="2325" t="s">
        <v>2025</v>
      </c>
      <c r="L8" s="2324" t="s">
        <v>2026</v>
      </c>
      <c r="M8" s="2193" t="s">
        <v>2027</v>
      </c>
      <c r="N8" s="2323" t="s">
        <v>2028</v>
      </c>
      <c r="O8" s="2264" t="s">
        <v>2029</v>
      </c>
      <c r="P8" s="2324" t="s">
        <v>2030</v>
      </c>
      <c r="Q8" s="2194" t="s">
        <v>2031</v>
      </c>
    </row>
    <row r="9" spans="1:17" ht="12" thickBot="1">
      <c r="A9" s="2140"/>
      <c r="B9" s="1917"/>
      <c r="C9" s="1918"/>
      <c r="D9" s="1919"/>
      <c r="E9" s="959"/>
      <c r="F9" s="1920"/>
      <c r="G9" s="1918"/>
      <c r="H9" s="1919"/>
      <c r="I9" s="1921"/>
      <c r="J9" s="1920"/>
      <c r="K9" s="1918"/>
      <c r="L9" s="1919"/>
      <c r="M9" s="1921"/>
      <c r="N9" s="2320"/>
      <c r="O9" s="2321"/>
      <c r="P9" s="2321"/>
      <c r="Q9" s="2322"/>
    </row>
    <row r="10" spans="1:17" ht="12.75" customHeight="1">
      <c r="A10" s="1922">
        <v>1993.01</v>
      </c>
      <c r="B10" s="1939">
        <v>0.82253544361622444</v>
      </c>
      <c r="C10" s="1939">
        <v>0.88089424259795102</v>
      </c>
      <c r="D10" s="1940">
        <v>0.73166593362071208</v>
      </c>
      <c r="E10" s="3176">
        <v>0.73137214606143952</v>
      </c>
      <c r="F10" s="1923"/>
      <c r="G10" s="3712"/>
      <c r="H10" s="1924"/>
      <c r="I10" s="3177"/>
      <c r="J10" s="1923"/>
      <c r="K10" s="3712"/>
      <c r="L10" s="1924"/>
      <c r="M10" s="3177"/>
      <c r="N10" s="1923"/>
      <c r="O10" s="3712"/>
      <c r="P10" s="1924"/>
      <c r="Q10" s="3178"/>
    </row>
    <row r="11" spans="1:17" ht="12.75" customHeight="1">
      <c r="A11" s="1922">
        <v>1993.02</v>
      </c>
      <c r="B11" s="1941">
        <v>0.82319764244371751</v>
      </c>
      <c r="C11" s="1941">
        <v>0.88211020403479101</v>
      </c>
      <c r="D11" s="1942">
        <v>0.73148372983586785</v>
      </c>
      <c r="E11" s="3179">
        <v>0.73151642174917897</v>
      </c>
      <c r="F11" s="1923"/>
      <c r="G11" s="3712"/>
      <c r="H11" s="1924"/>
      <c r="I11" s="3177"/>
      <c r="J11" s="1923"/>
      <c r="K11" s="3712"/>
      <c r="L11" s="1924"/>
      <c r="M11" s="3177"/>
      <c r="N11" s="1923"/>
      <c r="O11" s="3712"/>
      <c r="P11" s="1924"/>
      <c r="Q11" s="3178"/>
    </row>
    <row r="12" spans="1:17" ht="12.75" customHeight="1">
      <c r="A12" s="1922">
        <v>1993.03</v>
      </c>
      <c r="B12" s="1941">
        <v>0.83609579108435328</v>
      </c>
      <c r="C12" s="1941">
        <v>0.88584501001114313</v>
      </c>
      <c r="D12" s="1942">
        <v>0.75995062955901871</v>
      </c>
      <c r="E12" s="3179">
        <v>0.74556876667781258</v>
      </c>
      <c r="F12" s="1923"/>
      <c r="G12" s="3712"/>
      <c r="H12" s="1924"/>
      <c r="I12" s="3177"/>
      <c r="J12" s="1923"/>
      <c r="K12" s="3712"/>
      <c r="L12" s="1924"/>
      <c r="M12" s="3177"/>
      <c r="N12" s="1923"/>
      <c r="O12" s="3712"/>
      <c r="P12" s="1924"/>
      <c r="Q12" s="3178"/>
    </row>
    <row r="13" spans="1:17" ht="12.75" customHeight="1">
      <c r="A13" s="1922">
        <v>1993.04</v>
      </c>
      <c r="B13" s="1941">
        <v>0.8474076926538473</v>
      </c>
      <c r="C13" s="1941">
        <v>0.88949356032003601</v>
      </c>
      <c r="D13" s="1942">
        <v>0.78520290732483811</v>
      </c>
      <c r="E13" s="3179">
        <v>0.75433825251219444</v>
      </c>
      <c r="F13" s="1923"/>
      <c r="G13" s="3712"/>
      <c r="H13" s="1924"/>
      <c r="I13" s="3177"/>
      <c r="J13" s="1923"/>
      <c r="K13" s="3712"/>
      <c r="L13" s="1924"/>
      <c r="M13" s="3177"/>
      <c r="N13" s="1923"/>
      <c r="O13" s="3712"/>
      <c r="P13" s="1924"/>
      <c r="Q13" s="3178"/>
    </row>
    <row r="14" spans="1:17" ht="12.75" customHeight="1">
      <c r="A14" s="1922">
        <v>1993.05</v>
      </c>
      <c r="B14" s="1941">
        <v>0.85346052066081401</v>
      </c>
      <c r="C14" s="1941">
        <v>0.89370774321805657</v>
      </c>
      <c r="D14" s="1942">
        <v>0.794447463433265</v>
      </c>
      <c r="E14" s="3179">
        <v>0.76016526784757188</v>
      </c>
      <c r="F14" s="1923"/>
      <c r="G14" s="3712"/>
      <c r="H14" s="1924"/>
      <c r="I14" s="3177"/>
      <c r="J14" s="1923"/>
      <c r="K14" s="3712"/>
      <c r="L14" s="1924"/>
      <c r="M14" s="3177"/>
      <c r="N14" s="1923"/>
      <c r="O14" s="3712"/>
      <c r="P14" s="1924"/>
      <c r="Q14" s="3178"/>
    </row>
    <row r="15" spans="1:17" ht="12.75" customHeight="1">
      <c r="A15" s="1922">
        <v>1993.06</v>
      </c>
      <c r="B15" s="1941">
        <v>0.85896559094767655</v>
      </c>
      <c r="C15" s="1941">
        <v>0.89500162716774856</v>
      </c>
      <c r="D15" s="1942">
        <v>0.80757209139168185</v>
      </c>
      <c r="E15" s="3179">
        <v>0.76446942094622672</v>
      </c>
      <c r="F15" s="1923"/>
      <c r="G15" s="3712"/>
      <c r="H15" s="1924"/>
      <c r="I15" s="3177"/>
      <c r="J15" s="1923"/>
      <c r="K15" s="3712"/>
      <c r="L15" s="1924"/>
      <c r="M15" s="3177"/>
      <c r="N15" s="1923"/>
      <c r="O15" s="3712"/>
      <c r="P15" s="1924"/>
      <c r="Q15" s="3178"/>
    </row>
    <row r="16" spans="1:17" ht="12.75" customHeight="1">
      <c r="A16" s="1922">
        <v>1993.07</v>
      </c>
      <c r="B16" s="1941">
        <v>0.85543349387126821</v>
      </c>
      <c r="C16" s="1941">
        <v>0.89694501150671258</v>
      </c>
      <c r="D16" s="1942">
        <v>0.79441880088711614</v>
      </c>
      <c r="E16" s="3179">
        <v>0.76120782125158359</v>
      </c>
      <c r="F16" s="1923"/>
      <c r="G16" s="3712"/>
      <c r="H16" s="1924"/>
      <c r="I16" s="3177"/>
      <c r="J16" s="1923"/>
      <c r="K16" s="3712"/>
      <c r="L16" s="1924"/>
      <c r="M16" s="3177"/>
      <c r="N16" s="1923"/>
      <c r="O16" s="3712"/>
      <c r="P16" s="1924"/>
      <c r="Q16" s="3178"/>
    </row>
    <row r="17" spans="1:17" ht="12.75" customHeight="1">
      <c r="A17" s="1922">
        <v>1993.08</v>
      </c>
      <c r="B17" s="1941">
        <v>0.88143797284643532</v>
      </c>
      <c r="C17" s="1941">
        <v>0.89857423673687431</v>
      </c>
      <c r="D17" s="1942">
        <v>0.86472584601617297</v>
      </c>
      <c r="E17" s="3179">
        <v>0.77984953293104531</v>
      </c>
      <c r="F17" s="1923"/>
      <c r="G17" s="3712"/>
      <c r="H17" s="1924"/>
      <c r="I17" s="3177"/>
      <c r="J17" s="1923"/>
      <c r="K17" s="3712"/>
      <c r="L17" s="1924"/>
      <c r="M17" s="3177"/>
      <c r="N17" s="1923"/>
      <c r="O17" s="3712"/>
      <c r="P17" s="1924"/>
      <c r="Q17" s="3178"/>
    </row>
    <row r="18" spans="1:17" ht="12.75" customHeight="1">
      <c r="A18" s="1922">
        <v>1993.09</v>
      </c>
      <c r="B18" s="1941">
        <v>0.90021802303982301</v>
      </c>
      <c r="C18" s="1941">
        <v>0.90010666392778971</v>
      </c>
      <c r="D18" s="1942">
        <v>0.91458783043146785</v>
      </c>
      <c r="E18" s="3179">
        <v>0.79440296673304989</v>
      </c>
      <c r="F18" s="1923"/>
      <c r="G18" s="3712"/>
      <c r="H18" s="1924"/>
      <c r="I18" s="3177"/>
      <c r="J18" s="1923"/>
      <c r="K18" s="3712"/>
      <c r="L18" s="1924"/>
      <c r="M18" s="3177"/>
      <c r="N18" s="1923"/>
      <c r="O18" s="3712"/>
      <c r="P18" s="1924"/>
      <c r="Q18" s="3178"/>
    </row>
    <row r="19" spans="1:17" ht="12.75" customHeight="1">
      <c r="A19" s="1922">
        <v>1993.1</v>
      </c>
      <c r="B19" s="1941">
        <v>0.91327333253579523</v>
      </c>
      <c r="C19" s="1941">
        <v>0.9015479622405741</v>
      </c>
      <c r="D19" s="1942">
        <v>0.9486124160091467</v>
      </c>
      <c r="E19" s="3179">
        <v>0.80443852560087281</v>
      </c>
      <c r="F19" s="1923"/>
      <c r="G19" s="3712"/>
      <c r="H19" s="1924"/>
      <c r="I19" s="3177"/>
      <c r="J19" s="1923"/>
      <c r="K19" s="3712"/>
      <c r="L19" s="1924"/>
      <c r="M19" s="3177"/>
      <c r="N19" s="1923"/>
      <c r="O19" s="3712"/>
      <c r="P19" s="1924"/>
      <c r="Q19" s="3178"/>
    </row>
    <row r="20" spans="1:17" ht="12.75" customHeight="1">
      <c r="A20" s="1922">
        <v>1993.11</v>
      </c>
      <c r="B20" s="1941">
        <v>0.91619726846313343</v>
      </c>
      <c r="C20" s="1941">
        <v>0.90170044473445377</v>
      </c>
      <c r="D20" s="1942">
        <v>0.95663052262446602</v>
      </c>
      <c r="E20" s="3179">
        <v>0.80631184859742933</v>
      </c>
      <c r="F20" s="1923"/>
      <c r="G20" s="3712"/>
      <c r="H20" s="1924"/>
      <c r="I20" s="3177"/>
      <c r="J20" s="1923"/>
      <c r="K20" s="3712"/>
      <c r="L20" s="1924"/>
      <c r="M20" s="3177"/>
      <c r="N20" s="1923"/>
      <c r="O20" s="3712"/>
      <c r="P20" s="1924"/>
      <c r="Q20" s="3178"/>
    </row>
    <row r="21" spans="1:17" ht="12.75" customHeight="1">
      <c r="A21" s="1922">
        <v>1993.12</v>
      </c>
      <c r="B21" s="1941">
        <v>0.93219766980189744</v>
      </c>
      <c r="C21" s="1941">
        <v>0.90234130331896401</v>
      </c>
      <c r="D21" s="1942">
        <v>1.0002246110433621</v>
      </c>
      <c r="E21" s="3179">
        <v>0.81891433046443407</v>
      </c>
      <c r="F21" s="1923"/>
      <c r="G21" s="3712"/>
      <c r="H21" s="1924"/>
      <c r="I21" s="3177"/>
      <c r="J21" s="1923"/>
      <c r="K21" s="3712"/>
      <c r="L21" s="1924"/>
      <c r="M21" s="3177"/>
      <c r="N21" s="1923"/>
      <c r="O21" s="3712"/>
      <c r="P21" s="1924"/>
      <c r="Q21" s="3178"/>
    </row>
    <row r="22" spans="1:17" ht="12.75" customHeight="1">
      <c r="A22" s="1922">
        <f>A10+1</f>
        <v>1994.01</v>
      </c>
      <c r="B22" s="1941">
        <v>0.91852277687550876</v>
      </c>
      <c r="C22" s="1941">
        <v>0.90302108255687064</v>
      </c>
      <c r="D22" s="1942">
        <v>0.9607936585283714</v>
      </c>
      <c r="E22" s="3179">
        <v>0.80821854878383192</v>
      </c>
      <c r="F22" s="1923"/>
      <c r="G22" s="3712"/>
      <c r="H22" s="1924"/>
      <c r="I22" s="3177"/>
      <c r="J22" s="1923"/>
      <c r="K22" s="3712"/>
      <c r="L22" s="1924"/>
      <c r="M22" s="3177"/>
      <c r="N22" s="1923"/>
      <c r="O22" s="3712"/>
      <c r="P22" s="1924"/>
      <c r="Q22" s="3178"/>
    </row>
    <row r="23" spans="1:17" ht="12.75" customHeight="1">
      <c r="A23" s="1922">
        <f t="shared" ref="A23:A86" si="0">A11+1</f>
        <v>1994.02</v>
      </c>
      <c r="B23" s="1941">
        <v>0.90301316408633503</v>
      </c>
      <c r="C23" s="1941">
        <v>0.90552676946113353</v>
      </c>
      <c r="D23" s="1942">
        <v>0.91310783417276098</v>
      </c>
      <c r="E23" s="3179">
        <v>0.79579264314478504</v>
      </c>
      <c r="F23" s="1923"/>
      <c r="G23" s="3712"/>
      <c r="H23" s="1924"/>
      <c r="I23" s="3177"/>
      <c r="J23" s="1923"/>
      <c r="K23" s="3712"/>
      <c r="L23" s="1924"/>
      <c r="M23" s="3177"/>
      <c r="N23" s="1923"/>
      <c r="O23" s="3712"/>
      <c r="P23" s="1924"/>
      <c r="Q23" s="3178"/>
    </row>
    <row r="24" spans="1:17" ht="12.75" customHeight="1">
      <c r="A24" s="1922">
        <f t="shared" si="0"/>
        <v>1994.03</v>
      </c>
      <c r="B24" s="1941">
        <v>0.90137692078798404</v>
      </c>
      <c r="C24" s="1941">
        <v>0.90611241466926762</v>
      </c>
      <c r="D24" s="1942">
        <v>0.90754419358908978</v>
      </c>
      <c r="E24" s="3179">
        <v>0.79436571345187679</v>
      </c>
      <c r="F24" s="1923"/>
      <c r="G24" s="3712"/>
      <c r="H24" s="1924"/>
      <c r="I24" s="3177"/>
      <c r="J24" s="1923"/>
      <c r="K24" s="3712"/>
      <c r="L24" s="1924"/>
      <c r="M24" s="3177"/>
      <c r="N24" s="1923"/>
      <c r="O24" s="3712"/>
      <c r="P24" s="1924"/>
      <c r="Q24" s="3178"/>
    </row>
    <row r="25" spans="1:17" ht="12.75" customHeight="1">
      <c r="A25" s="1922">
        <f t="shared" si="0"/>
        <v>1994.04</v>
      </c>
      <c r="B25" s="1941">
        <v>0.90762702049051602</v>
      </c>
      <c r="C25" s="1941">
        <v>0.90676256483487916</v>
      </c>
      <c r="D25" s="1942">
        <v>0.92387991054970131</v>
      </c>
      <c r="E25" s="3179">
        <v>0.79925752082502388</v>
      </c>
      <c r="F25" s="1923"/>
      <c r="G25" s="3712"/>
      <c r="H25" s="1924"/>
      <c r="I25" s="3177"/>
      <c r="J25" s="1923"/>
      <c r="K25" s="3712"/>
      <c r="L25" s="1924"/>
      <c r="M25" s="3177"/>
      <c r="N25" s="1923"/>
      <c r="O25" s="3712"/>
      <c r="P25" s="1924"/>
      <c r="Q25" s="3178"/>
    </row>
    <row r="26" spans="1:17" ht="12.75" customHeight="1">
      <c r="A26" s="1922">
        <f t="shared" si="0"/>
        <v>1994.05</v>
      </c>
      <c r="B26" s="1941">
        <v>0.91056113591477261</v>
      </c>
      <c r="C26" s="1941">
        <v>0.9065963074054415</v>
      </c>
      <c r="D26" s="1942">
        <v>0.93226949067217091</v>
      </c>
      <c r="E26" s="3179">
        <v>0.80195526097392422</v>
      </c>
      <c r="F26" s="1923"/>
      <c r="G26" s="3712"/>
      <c r="H26" s="1924"/>
      <c r="I26" s="3177"/>
      <c r="J26" s="1923"/>
      <c r="K26" s="3712"/>
      <c r="L26" s="1924"/>
      <c r="M26" s="3177"/>
      <c r="N26" s="1923"/>
      <c r="O26" s="3712"/>
      <c r="P26" s="1924"/>
      <c r="Q26" s="3178"/>
    </row>
    <row r="27" spans="1:17" ht="12.75" customHeight="1">
      <c r="A27" s="1922">
        <f t="shared" si="0"/>
        <v>1994.06</v>
      </c>
      <c r="B27" s="1941">
        <v>0.91570723887428318</v>
      </c>
      <c r="C27" s="1941">
        <v>0.90662189172550522</v>
      </c>
      <c r="D27" s="1942">
        <v>0.94662489883456369</v>
      </c>
      <c r="E27" s="3179">
        <v>0.80594093086095608</v>
      </c>
      <c r="F27" s="1923"/>
      <c r="G27" s="3712"/>
      <c r="H27" s="1924"/>
      <c r="I27" s="3177"/>
      <c r="J27" s="1923"/>
      <c r="K27" s="3712"/>
      <c r="L27" s="1924"/>
      <c r="M27" s="3177"/>
      <c r="N27" s="1923"/>
      <c r="O27" s="3712"/>
      <c r="P27" s="1924"/>
      <c r="Q27" s="3178"/>
    </row>
    <row r="28" spans="1:17" ht="12.75" customHeight="1">
      <c r="A28" s="1922">
        <f t="shared" si="0"/>
        <v>1994.07</v>
      </c>
      <c r="B28" s="1941">
        <v>0.90869120998968922</v>
      </c>
      <c r="C28" s="1941">
        <v>0.90637951489018265</v>
      </c>
      <c r="D28" s="1942">
        <v>0.92706467331369302</v>
      </c>
      <c r="E28" s="3179">
        <v>0.80183897906946455</v>
      </c>
      <c r="F28" s="1923"/>
      <c r="G28" s="3712"/>
      <c r="H28" s="1924"/>
      <c r="I28" s="3177"/>
      <c r="J28" s="1923"/>
      <c r="K28" s="3712"/>
      <c r="L28" s="1924"/>
      <c r="M28" s="3177"/>
      <c r="N28" s="1923"/>
      <c r="O28" s="3712"/>
      <c r="P28" s="1924"/>
      <c r="Q28" s="3178"/>
    </row>
    <row r="29" spans="1:17" ht="12.75" customHeight="1">
      <c r="A29" s="1922">
        <f t="shared" si="0"/>
        <v>1994.08</v>
      </c>
      <c r="B29" s="1941">
        <v>0.91211568705850499</v>
      </c>
      <c r="C29" s="1941">
        <v>0.90692583335069066</v>
      </c>
      <c r="D29" s="1942">
        <v>0.93574612141868752</v>
      </c>
      <c r="E29" s="3179">
        <v>0.8042758386053529</v>
      </c>
      <c r="F29" s="1923"/>
      <c r="G29" s="3712"/>
      <c r="H29" s="1924"/>
      <c r="I29" s="3177"/>
      <c r="J29" s="1923"/>
      <c r="K29" s="3712"/>
      <c r="L29" s="1924"/>
      <c r="M29" s="3177"/>
      <c r="N29" s="1923"/>
      <c r="O29" s="3712"/>
      <c r="P29" s="1924"/>
      <c r="Q29" s="3178"/>
    </row>
    <row r="30" spans="1:17" ht="12.75" customHeight="1">
      <c r="A30" s="1922">
        <f t="shared" si="0"/>
        <v>1994.09</v>
      </c>
      <c r="B30" s="1941">
        <v>0.9121112851224652</v>
      </c>
      <c r="C30" s="1941">
        <v>0.90941519502397739</v>
      </c>
      <c r="D30" s="1942">
        <v>0.93149671295774839</v>
      </c>
      <c r="E30" s="3179">
        <v>0.80378422456268184</v>
      </c>
      <c r="F30" s="1923"/>
      <c r="G30" s="3712"/>
      <c r="H30" s="1924"/>
      <c r="I30" s="3177"/>
      <c r="J30" s="1923"/>
      <c r="K30" s="3712"/>
      <c r="L30" s="1924"/>
      <c r="M30" s="3177"/>
      <c r="N30" s="1923"/>
      <c r="O30" s="3712"/>
      <c r="P30" s="1924"/>
      <c r="Q30" s="3178"/>
    </row>
    <row r="31" spans="1:17" ht="12.75" customHeight="1">
      <c r="A31" s="1922">
        <f t="shared" si="0"/>
        <v>1994.1</v>
      </c>
      <c r="B31" s="1941">
        <v>0.91562065144328264</v>
      </c>
      <c r="C31" s="1941">
        <v>0.90950288018020553</v>
      </c>
      <c r="D31" s="1942">
        <v>0.9411541693607105</v>
      </c>
      <c r="E31" s="3179">
        <v>0.80653612192768598</v>
      </c>
      <c r="F31" s="1923"/>
      <c r="G31" s="3712"/>
      <c r="H31" s="1924"/>
      <c r="I31" s="3177"/>
      <c r="J31" s="1923"/>
      <c r="K31" s="3712"/>
      <c r="L31" s="1924"/>
      <c r="M31" s="3177"/>
      <c r="N31" s="1923"/>
      <c r="O31" s="3712"/>
      <c r="P31" s="1924"/>
      <c r="Q31" s="3178"/>
    </row>
    <row r="32" spans="1:17" ht="12.75" customHeight="1">
      <c r="A32" s="1922">
        <f t="shared" si="0"/>
        <v>1994.11</v>
      </c>
      <c r="B32" s="1941">
        <v>0.91594269555645125</v>
      </c>
      <c r="C32" s="1941">
        <v>0.90739744562410196</v>
      </c>
      <c r="D32" s="1942">
        <v>0.94560039781174954</v>
      </c>
      <c r="E32" s="3179">
        <v>0.80734417348431597</v>
      </c>
      <c r="F32" s="1923"/>
      <c r="G32" s="3712"/>
      <c r="H32" s="1924"/>
      <c r="I32" s="3177"/>
      <c r="J32" s="1923"/>
      <c r="K32" s="3712"/>
      <c r="L32" s="1924"/>
      <c r="M32" s="3177"/>
      <c r="N32" s="1923"/>
      <c r="O32" s="3712"/>
      <c r="P32" s="1924"/>
      <c r="Q32" s="3178"/>
    </row>
    <row r="33" spans="1:17" ht="12.75" customHeight="1">
      <c r="A33" s="1922">
        <f t="shared" si="0"/>
        <v>1994.12</v>
      </c>
      <c r="B33" s="1941">
        <v>0.91883891061760015</v>
      </c>
      <c r="C33" s="1941">
        <v>0.908785528555629</v>
      </c>
      <c r="D33" s="1942">
        <v>0.95135735392360166</v>
      </c>
      <c r="E33" s="3179">
        <v>0.8092578721237399</v>
      </c>
      <c r="F33" s="1923"/>
      <c r="G33" s="3712"/>
      <c r="H33" s="1924"/>
      <c r="I33" s="3177"/>
      <c r="J33" s="1923"/>
      <c r="K33" s="3712"/>
      <c r="L33" s="1924"/>
      <c r="M33" s="3177"/>
      <c r="N33" s="1923"/>
      <c r="O33" s="3712"/>
      <c r="P33" s="1924"/>
      <c r="Q33" s="3178"/>
    </row>
    <row r="34" spans="1:17" ht="12.75" customHeight="1">
      <c r="A34" s="1922">
        <f t="shared" si="0"/>
        <v>1995.01</v>
      </c>
      <c r="B34" s="1941">
        <v>0.92228027446092331</v>
      </c>
      <c r="C34" s="1941">
        <v>0.91077941552036557</v>
      </c>
      <c r="D34" s="1942">
        <v>0.9575780678424054</v>
      </c>
      <c r="E34" s="3179">
        <v>0.8115906162963531</v>
      </c>
      <c r="F34" s="1923"/>
      <c r="G34" s="3712"/>
      <c r="H34" s="1924"/>
      <c r="I34" s="3177"/>
      <c r="J34" s="1923"/>
      <c r="K34" s="3712"/>
      <c r="L34" s="1924"/>
      <c r="M34" s="3177"/>
      <c r="N34" s="1923"/>
      <c r="O34" s="3712"/>
      <c r="P34" s="1924"/>
      <c r="Q34" s="3178"/>
    </row>
    <row r="35" spans="1:17" ht="12.75" customHeight="1">
      <c r="A35" s="1922">
        <f t="shared" si="0"/>
        <v>1995.02</v>
      </c>
      <c r="B35" s="1941">
        <v>0.92334880899258531</v>
      </c>
      <c r="C35" s="1941">
        <v>0.911330331033404</v>
      </c>
      <c r="D35" s="1942">
        <v>0.95951347387094466</v>
      </c>
      <c r="E35" s="3179">
        <v>0.81275214330090673</v>
      </c>
      <c r="F35" s="1923"/>
      <c r="G35" s="3712"/>
      <c r="H35" s="1924"/>
      <c r="I35" s="3177"/>
      <c r="J35" s="1923"/>
      <c r="K35" s="3712"/>
      <c r="L35" s="1924"/>
      <c r="M35" s="3177"/>
      <c r="N35" s="1923"/>
      <c r="O35" s="3712"/>
      <c r="P35" s="1924"/>
      <c r="Q35" s="3178"/>
    </row>
    <row r="36" spans="1:17" ht="12.75" customHeight="1">
      <c r="A36" s="1922">
        <f t="shared" si="0"/>
        <v>1995.03</v>
      </c>
      <c r="B36" s="1941">
        <v>0.95086273813044608</v>
      </c>
      <c r="C36" s="1941">
        <v>0.91294305236647144</v>
      </c>
      <c r="D36" s="1942">
        <v>1.0335881914529053</v>
      </c>
      <c r="E36" s="3179">
        <v>0.83439629678205818</v>
      </c>
      <c r="F36" s="1923"/>
      <c r="G36" s="3712"/>
      <c r="H36" s="1924"/>
      <c r="I36" s="3177"/>
      <c r="J36" s="1923"/>
      <c r="K36" s="3712"/>
      <c r="L36" s="1924"/>
      <c r="M36" s="3177"/>
      <c r="N36" s="1923"/>
      <c r="O36" s="3712"/>
      <c r="P36" s="1924"/>
      <c r="Q36" s="3178"/>
    </row>
    <row r="37" spans="1:17" ht="12.75" customHeight="1">
      <c r="A37" s="1922">
        <f t="shared" si="0"/>
        <v>1995.04</v>
      </c>
      <c r="B37" s="1941">
        <v>0.96724474267261951</v>
      </c>
      <c r="C37" s="1941">
        <v>0.93529904654143758</v>
      </c>
      <c r="D37" s="1942">
        <v>1.0399749829194893</v>
      </c>
      <c r="E37" s="3179">
        <v>0.84800214074784208</v>
      </c>
      <c r="F37" s="1923"/>
      <c r="G37" s="3712"/>
      <c r="H37" s="1924"/>
      <c r="I37" s="3177"/>
      <c r="J37" s="1923"/>
      <c r="K37" s="3712"/>
      <c r="L37" s="1924"/>
      <c r="M37" s="3177"/>
      <c r="N37" s="1923"/>
      <c r="O37" s="3712"/>
      <c r="P37" s="1924"/>
      <c r="Q37" s="3178"/>
    </row>
    <row r="38" spans="1:17" ht="12.75" customHeight="1">
      <c r="A38" s="1922">
        <f t="shared" si="0"/>
        <v>1995.05</v>
      </c>
      <c r="B38" s="1941">
        <v>0.96272943673823641</v>
      </c>
      <c r="C38" s="1941">
        <v>0.93657282039608347</v>
      </c>
      <c r="D38" s="1942">
        <v>1.0252349666104688</v>
      </c>
      <c r="E38" s="3179">
        <v>0.84401647086081011</v>
      </c>
      <c r="F38" s="1923"/>
      <c r="G38" s="3712"/>
      <c r="H38" s="1924"/>
      <c r="I38" s="3177"/>
      <c r="J38" s="1923"/>
      <c r="K38" s="3712"/>
      <c r="L38" s="1924"/>
      <c r="M38" s="3177"/>
      <c r="N38" s="1923"/>
      <c r="O38" s="3712"/>
      <c r="P38" s="1924"/>
      <c r="Q38" s="3178"/>
    </row>
    <row r="39" spans="1:17" ht="12.75" customHeight="1">
      <c r="A39" s="1922">
        <f t="shared" si="0"/>
        <v>1995.06</v>
      </c>
      <c r="B39" s="1941">
        <v>0.96617746042693442</v>
      </c>
      <c r="C39" s="1941">
        <v>0.93777776838287963</v>
      </c>
      <c r="D39" s="1942">
        <v>1.0328509712491905</v>
      </c>
      <c r="E39" s="3179">
        <v>0.84638130022643321</v>
      </c>
      <c r="F39" s="1923"/>
      <c r="G39" s="3712"/>
      <c r="H39" s="1924"/>
      <c r="I39" s="3177"/>
      <c r="J39" s="1923"/>
      <c r="K39" s="3712"/>
      <c r="L39" s="1924"/>
      <c r="M39" s="3177"/>
      <c r="N39" s="1923"/>
      <c r="O39" s="3712"/>
      <c r="P39" s="1924"/>
      <c r="Q39" s="3178"/>
    </row>
    <row r="40" spans="1:17" ht="12.75" customHeight="1">
      <c r="A40" s="1922">
        <f t="shared" si="0"/>
        <v>1995.07</v>
      </c>
      <c r="B40" s="1941">
        <v>0.9638534130173827</v>
      </c>
      <c r="C40" s="1941">
        <v>0.93712451562155052</v>
      </c>
      <c r="D40" s="1942">
        <v>1.027459875806775</v>
      </c>
      <c r="E40" s="3179">
        <v>0.8447080251801744</v>
      </c>
      <c r="F40" s="1923"/>
      <c r="G40" s="3712"/>
      <c r="H40" s="1924"/>
      <c r="I40" s="3177"/>
      <c r="J40" s="1923"/>
      <c r="K40" s="3712"/>
      <c r="L40" s="1924"/>
      <c r="M40" s="3177"/>
      <c r="N40" s="1923"/>
      <c r="O40" s="3712"/>
      <c r="P40" s="1924"/>
      <c r="Q40" s="3178"/>
    </row>
    <row r="41" spans="1:17" ht="12.75" customHeight="1">
      <c r="A41" s="1922">
        <f t="shared" si="0"/>
        <v>1995.08</v>
      </c>
      <c r="B41" s="1941">
        <v>0.95866684820415438</v>
      </c>
      <c r="C41" s="1941">
        <v>0.93603442899595268</v>
      </c>
      <c r="D41" s="1942">
        <v>1.0151073702731404</v>
      </c>
      <c r="E41" s="3179">
        <v>0.83975000172334335</v>
      </c>
      <c r="F41" s="1923"/>
      <c r="G41" s="3712"/>
      <c r="H41" s="1924"/>
      <c r="I41" s="3177"/>
      <c r="J41" s="1923"/>
      <c r="K41" s="3712"/>
      <c r="L41" s="1924"/>
      <c r="M41" s="3177"/>
      <c r="N41" s="1923"/>
      <c r="O41" s="3712"/>
      <c r="P41" s="1924"/>
      <c r="Q41" s="3178"/>
    </row>
    <row r="42" spans="1:17" ht="12.75" customHeight="1">
      <c r="A42" s="1922">
        <f t="shared" si="0"/>
        <v>1995.09</v>
      </c>
      <c r="B42" s="1941">
        <v>0.95313131531807926</v>
      </c>
      <c r="C42" s="1941">
        <v>0.93497270441394842</v>
      </c>
      <c r="D42" s="1942">
        <v>1.0014987269987725</v>
      </c>
      <c r="E42" s="3179">
        <v>0.83539039938294335</v>
      </c>
      <c r="F42" s="1923"/>
      <c r="G42" s="3712"/>
      <c r="H42" s="1924"/>
      <c r="I42" s="3177"/>
      <c r="J42" s="1923"/>
      <c r="K42" s="3712"/>
      <c r="L42" s="1924"/>
      <c r="M42" s="3177"/>
      <c r="N42" s="1923"/>
      <c r="O42" s="3712"/>
      <c r="P42" s="1924"/>
      <c r="Q42" s="3178"/>
    </row>
    <row r="43" spans="1:17" ht="12.75" customHeight="1">
      <c r="A43" s="1922">
        <f t="shared" si="0"/>
        <v>1995.1</v>
      </c>
      <c r="B43" s="1941">
        <v>0.95460826317551495</v>
      </c>
      <c r="C43" s="1941">
        <v>0.93572900916795221</v>
      </c>
      <c r="D43" s="1942">
        <v>1.0043260341304769</v>
      </c>
      <c r="E43" s="3179">
        <v>0.83645524014285477</v>
      </c>
      <c r="F43" s="1923"/>
      <c r="G43" s="3712"/>
      <c r="H43" s="1924"/>
      <c r="I43" s="3177"/>
      <c r="J43" s="1923"/>
      <c r="K43" s="3712"/>
      <c r="L43" s="1924"/>
      <c r="M43" s="3177"/>
      <c r="N43" s="1923"/>
      <c r="O43" s="3712"/>
      <c r="P43" s="1924"/>
      <c r="Q43" s="3178"/>
    </row>
    <row r="44" spans="1:17" ht="12.75" customHeight="1">
      <c r="A44" s="1922">
        <f t="shared" si="0"/>
        <v>1995.11</v>
      </c>
      <c r="B44" s="1941">
        <v>0.93835240664557207</v>
      </c>
      <c r="C44" s="1941">
        <v>0.93274828250639086</v>
      </c>
      <c r="D44" s="1942">
        <v>0.96403888047552577</v>
      </c>
      <c r="E44" s="3179">
        <v>0.82396591778981032</v>
      </c>
      <c r="F44" s="1923"/>
      <c r="G44" s="3712"/>
      <c r="H44" s="1924"/>
      <c r="I44" s="3177"/>
      <c r="J44" s="1923"/>
      <c r="K44" s="3712"/>
      <c r="L44" s="1924"/>
      <c r="M44" s="3177"/>
      <c r="N44" s="1923"/>
      <c r="O44" s="3712"/>
      <c r="P44" s="1924"/>
      <c r="Q44" s="3178"/>
    </row>
    <row r="45" spans="1:17" ht="12.75" customHeight="1">
      <c r="A45" s="1922">
        <f t="shared" si="0"/>
        <v>1995.12</v>
      </c>
      <c r="B45" s="1941">
        <v>0.94013585900717989</v>
      </c>
      <c r="C45" s="1941">
        <v>0.93200018097090964</v>
      </c>
      <c r="D45" s="1942">
        <v>0.97034014015437398</v>
      </c>
      <c r="E45" s="3179">
        <v>0.82535290247665805</v>
      </c>
      <c r="F45" s="1923"/>
      <c r="G45" s="3712"/>
      <c r="H45" s="1924"/>
      <c r="I45" s="3177"/>
      <c r="J45" s="1923"/>
      <c r="K45" s="3712"/>
      <c r="L45" s="1924"/>
      <c r="M45" s="3177"/>
      <c r="N45" s="1923"/>
      <c r="O45" s="3712"/>
      <c r="P45" s="1924"/>
      <c r="Q45" s="3178"/>
    </row>
    <row r="46" spans="1:17" ht="12.75" customHeight="1">
      <c r="A46" s="1922">
        <f t="shared" si="0"/>
        <v>1996.01</v>
      </c>
      <c r="B46" s="1941">
        <v>0.93739759922365895</v>
      </c>
      <c r="C46" s="1941">
        <v>0.93019047188164572</v>
      </c>
      <c r="D46" s="1942">
        <v>0.96565703136984515</v>
      </c>
      <c r="E46" s="3179">
        <v>0.82452423490388971</v>
      </c>
      <c r="F46" s="1923"/>
      <c r="G46" s="3712"/>
      <c r="H46" s="1924"/>
      <c r="I46" s="3177"/>
      <c r="J46" s="1923"/>
      <c r="K46" s="3712"/>
      <c r="L46" s="1924"/>
      <c r="M46" s="3177"/>
      <c r="N46" s="1923"/>
      <c r="O46" s="3712"/>
      <c r="P46" s="1924"/>
      <c r="Q46" s="3178"/>
    </row>
    <row r="47" spans="1:17" ht="12.75" customHeight="1">
      <c r="A47" s="1922">
        <f t="shared" si="0"/>
        <v>1996.02</v>
      </c>
      <c r="B47" s="1941">
        <v>0.93283383291779887</v>
      </c>
      <c r="C47" s="1941">
        <v>0.9283807627923818</v>
      </c>
      <c r="D47" s="1942">
        <v>0.95629081380078751</v>
      </c>
      <c r="E47" s="3179">
        <v>0.82783890519496073</v>
      </c>
      <c r="F47" s="1923"/>
      <c r="G47" s="3712"/>
      <c r="H47" s="1924"/>
      <c r="I47" s="3177"/>
      <c r="J47" s="1923"/>
      <c r="K47" s="3712"/>
      <c r="L47" s="1924"/>
      <c r="M47" s="3177"/>
      <c r="N47" s="1923"/>
      <c r="O47" s="3712"/>
      <c r="P47" s="1924"/>
      <c r="Q47" s="3178"/>
    </row>
    <row r="48" spans="1:17" ht="12.75" customHeight="1">
      <c r="A48" s="1922">
        <f t="shared" si="0"/>
        <v>1996.03</v>
      </c>
      <c r="B48" s="1941">
        <v>0.93100832639545483</v>
      </c>
      <c r="C48" s="1941">
        <v>0.92566619915848602</v>
      </c>
      <c r="D48" s="1942">
        <v>0.95629081380078751</v>
      </c>
      <c r="E48" s="3179">
        <v>0.82535290247665738</v>
      </c>
      <c r="F48" s="1923"/>
      <c r="G48" s="3712"/>
      <c r="H48" s="1924"/>
      <c r="I48" s="3177"/>
      <c r="J48" s="1923"/>
      <c r="K48" s="3712"/>
      <c r="L48" s="1924"/>
      <c r="M48" s="3177"/>
      <c r="N48" s="1923"/>
      <c r="O48" s="3712"/>
      <c r="P48" s="1924"/>
      <c r="Q48" s="3178"/>
    </row>
    <row r="49" spans="1:17" ht="12.75" customHeight="1">
      <c r="A49" s="1922">
        <f t="shared" si="0"/>
        <v>1996.04</v>
      </c>
      <c r="B49" s="1941">
        <v>0.93009557313428282</v>
      </c>
      <c r="C49" s="1941">
        <v>0.92566619915848602</v>
      </c>
      <c r="D49" s="1942">
        <v>0.95441757028697605</v>
      </c>
      <c r="E49" s="3179">
        <v>0.82286689975835425</v>
      </c>
      <c r="F49" s="1923"/>
      <c r="G49" s="3712"/>
      <c r="H49" s="1924"/>
      <c r="I49" s="3177"/>
      <c r="J49" s="1923"/>
      <c r="K49" s="3712"/>
      <c r="L49" s="1924"/>
      <c r="M49" s="3177"/>
      <c r="N49" s="1923"/>
      <c r="O49" s="3712"/>
      <c r="P49" s="1924"/>
      <c r="Q49" s="3178"/>
    </row>
    <row r="50" spans="1:17" ht="12.75" customHeight="1">
      <c r="A50" s="1922">
        <f t="shared" si="0"/>
        <v>1996.05</v>
      </c>
      <c r="B50" s="1941">
        <v>0.93009557313428282</v>
      </c>
      <c r="C50" s="1941">
        <v>0.92657105370311799</v>
      </c>
      <c r="D50" s="1942">
        <v>0.95348094853007026</v>
      </c>
      <c r="E50" s="3179">
        <v>0.82535290247665738</v>
      </c>
      <c r="F50" s="1923"/>
      <c r="G50" s="3712"/>
      <c r="H50" s="1924"/>
      <c r="I50" s="3177"/>
      <c r="J50" s="1923"/>
      <c r="K50" s="3712"/>
      <c r="L50" s="1924"/>
      <c r="M50" s="3177"/>
      <c r="N50" s="1923"/>
      <c r="O50" s="3712"/>
      <c r="P50" s="1924"/>
      <c r="Q50" s="3178"/>
    </row>
    <row r="51" spans="1:17" ht="12.75" customHeight="1">
      <c r="A51" s="1922">
        <f t="shared" si="0"/>
        <v>1996.06</v>
      </c>
      <c r="B51" s="1941">
        <v>0.93009557313428282</v>
      </c>
      <c r="C51" s="1941">
        <v>0.92566619915848591</v>
      </c>
      <c r="D51" s="1942">
        <v>0.9516077050162588</v>
      </c>
      <c r="E51" s="3179">
        <v>0.82618157004942516</v>
      </c>
      <c r="F51" s="1923"/>
      <c r="G51" s="3712"/>
      <c r="H51" s="1924"/>
      <c r="I51" s="3177"/>
      <c r="J51" s="1923"/>
      <c r="K51" s="3712"/>
      <c r="L51" s="1924"/>
      <c r="M51" s="3177"/>
      <c r="N51" s="1923"/>
      <c r="O51" s="3712"/>
      <c r="P51" s="1924"/>
      <c r="Q51" s="3178"/>
    </row>
    <row r="52" spans="1:17" ht="12.75" customHeight="1">
      <c r="A52" s="1922">
        <f t="shared" si="0"/>
        <v>1996.07</v>
      </c>
      <c r="B52" s="1941">
        <v>0.90088746877677839</v>
      </c>
      <c r="C52" s="1941">
        <v>0.92476134461385395</v>
      </c>
      <c r="D52" s="1942">
        <v>0.88979066906047821</v>
      </c>
      <c r="E52" s="3179">
        <v>0.82701023762219283</v>
      </c>
      <c r="F52" s="1923"/>
      <c r="G52" s="3712"/>
      <c r="H52" s="1924"/>
      <c r="I52" s="3177"/>
      <c r="J52" s="1923"/>
      <c r="K52" s="3712"/>
      <c r="L52" s="1924"/>
      <c r="M52" s="3177"/>
      <c r="N52" s="1923"/>
      <c r="O52" s="3712"/>
      <c r="P52" s="1924"/>
      <c r="Q52" s="3178"/>
    </row>
    <row r="53" spans="1:17" ht="12.75" customHeight="1">
      <c r="A53" s="1922">
        <f t="shared" si="0"/>
        <v>1996.08</v>
      </c>
      <c r="B53" s="1941">
        <v>0.89723645573209032</v>
      </c>
      <c r="C53" s="1941">
        <v>0.92295163552459003</v>
      </c>
      <c r="D53" s="1942">
        <v>0.88323431676213782</v>
      </c>
      <c r="E53" s="3179">
        <v>0.82286689975835425</v>
      </c>
      <c r="F53" s="1923"/>
      <c r="G53" s="3712"/>
      <c r="H53" s="1924"/>
      <c r="I53" s="3177"/>
      <c r="J53" s="1923"/>
      <c r="K53" s="3712"/>
      <c r="L53" s="1924"/>
      <c r="M53" s="3177"/>
      <c r="N53" s="1923"/>
      <c r="O53" s="3712"/>
      <c r="P53" s="1924"/>
      <c r="Q53" s="3178"/>
    </row>
    <row r="54" spans="1:17" ht="12.75" customHeight="1">
      <c r="A54" s="1922">
        <f t="shared" si="0"/>
        <v>1996.09</v>
      </c>
      <c r="B54" s="1941">
        <v>0.89541094920974629</v>
      </c>
      <c r="C54" s="1941">
        <v>0.92204678097995807</v>
      </c>
      <c r="D54" s="1942">
        <v>0.88136107324832624</v>
      </c>
      <c r="E54" s="3179">
        <v>0.82203823218558658</v>
      </c>
      <c r="F54" s="1923"/>
      <c r="G54" s="3712"/>
      <c r="H54" s="1924"/>
      <c r="I54" s="3177"/>
      <c r="J54" s="1923"/>
      <c r="K54" s="3712"/>
      <c r="L54" s="1924"/>
      <c r="M54" s="3177"/>
      <c r="N54" s="1923"/>
      <c r="O54" s="3712"/>
      <c r="P54" s="1924"/>
      <c r="Q54" s="3178"/>
    </row>
    <row r="55" spans="1:17" ht="12.75" customHeight="1">
      <c r="A55" s="1922">
        <f t="shared" si="0"/>
        <v>1996.1</v>
      </c>
      <c r="B55" s="1941">
        <v>0.89449819594857438</v>
      </c>
      <c r="C55" s="1941">
        <v>0.92204678097995807</v>
      </c>
      <c r="D55" s="1942">
        <v>0.87855120797760899</v>
      </c>
      <c r="E55" s="3179">
        <v>0.81872356189451556</v>
      </c>
      <c r="F55" s="1923"/>
      <c r="G55" s="3712"/>
      <c r="H55" s="1924"/>
      <c r="I55" s="3177"/>
      <c r="J55" s="1923"/>
      <c r="K55" s="3712"/>
      <c r="L55" s="1924"/>
      <c r="M55" s="3177"/>
      <c r="N55" s="1923"/>
      <c r="O55" s="3712"/>
      <c r="P55" s="1924"/>
      <c r="Q55" s="3178"/>
    </row>
    <row r="56" spans="1:17" ht="12.75" customHeight="1">
      <c r="A56" s="1922">
        <f t="shared" si="0"/>
        <v>1996.11</v>
      </c>
      <c r="B56" s="1941">
        <v>0.89175993616505844</v>
      </c>
      <c r="C56" s="1941">
        <v>0.92114192643532611</v>
      </c>
      <c r="D56" s="1942">
        <v>0.87761458622070321</v>
      </c>
      <c r="E56" s="3179">
        <v>0.80795088344853516</v>
      </c>
      <c r="F56" s="1923"/>
      <c r="G56" s="3712"/>
      <c r="H56" s="1924"/>
      <c r="I56" s="3177"/>
      <c r="J56" s="1923"/>
      <c r="K56" s="3712"/>
      <c r="L56" s="1924"/>
      <c r="M56" s="3177"/>
      <c r="N56" s="1923"/>
      <c r="O56" s="3712"/>
      <c r="P56" s="1924"/>
      <c r="Q56" s="3178"/>
    </row>
    <row r="57" spans="1:17" ht="12.75" customHeight="1">
      <c r="A57" s="1922">
        <f t="shared" si="0"/>
        <v>1996.12</v>
      </c>
      <c r="B57" s="1941">
        <v>0.89267268942623035</v>
      </c>
      <c r="C57" s="1941">
        <v>0.92023707189069415</v>
      </c>
      <c r="D57" s="1942">
        <v>0.87855120797760899</v>
      </c>
      <c r="E57" s="3179">
        <v>0.80546488073023192</v>
      </c>
      <c r="F57" s="1923"/>
      <c r="G57" s="3712"/>
      <c r="H57" s="1924"/>
      <c r="I57" s="3177"/>
      <c r="J57" s="1923"/>
      <c r="K57" s="3712"/>
      <c r="L57" s="1924"/>
      <c r="M57" s="3177"/>
      <c r="N57" s="1923"/>
      <c r="O57" s="3712"/>
      <c r="P57" s="1924"/>
      <c r="Q57" s="3178"/>
    </row>
    <row r="58" spans="1:17" ht="12.75" customHeight="1">
      <c r="A58" s="1922">
        <f t="shared" si="0"/>
        <v>1997.01</v>
      </c>
      <c r="B58" s="1941">
        <v>0.89175993616505844</v>
      </c>
      <c r="C58" s="1941">
        <v>0.92114192643532611</v>
      </c>
      <c r="D58" s="1942">
        <v>0.87761458622070321</v>
      </c>
      <c r="E58" s="3179">
        <v>0.80463621315746414</v>
      </c>
      <c r="F58" s="1923"/>
      <c r="G58" s="3712"/>
      <c r="H58" s="1924"/>
      <c r="I58" s="3177"/>
      <c r="J58" s="1923"/>
      <c r="K58" s="3712"/>
      <c r="L58" s="1924"/>
      <c r="M58" s="3177"/>
      <c r="N58" s="1923"/>
      <c r="O58" s="3712"/>
      <c r="P58" s="1924"/>
      <c r="Q58" s="3178"/>
    </row>
    <row r="59" spans="1:17" ht="12.75" customHeight="1">
      <c r="A59" s="1922">
        <f t="shared" si="0"/>
        <v>1997.02</v>
      </c>
      <c r="B59" s="1941">
        <v>0.89358544268740248</v>
      </c>
      <c r="C59" s="1941">
        <v>0.92204678097995818</v>
      </c>
      <c r="D59" s="1942">
        <v>0.87948782973451467</v>
      </c>
      <c r="E59" s="3179">
        <v>0.80877955102130272</v>
      </c>
      <c r="F59" s="1923"/>
      <c r="G59" s="3712"/>
      <c r="H59" s="1924"/>
      <c r="I59" s="3177"/>
      <c r="J59" s="1923"/>
      <c r="K59" s="3712"/>
      <c r="L59" s="1924"/>
      <c r="M59" s="3177"/>
      <c r="N59" s="1923"/>
      <c r="O59" s="3712"/>
      <c r="P59" s="1924"/>
      <c r="Q59" s="3178"/>
    </row>
    <row r="60" spans="1:17" ht="12.75" customHeight="1">
      <c r="A60" s="1922">
        <f t="shared" si="0"/>
        <v>1997.03</v>
      </c>
      <c r="B60" s="1941">
        <v>0.89449819594857438</v>
      </c>
      <c r="C60" s="1941">
        <v>0.92204678097995818</v>
      </c>
      <c r="D60" s="1942">
        <v>0.88136107324832613</v>
      </c>
      <c r="E60" s="3179">
        <v>0.80960821859407051</v>
      </c>
      <c r="F60" s="1923"/>
      <c r="G60" s="3712"/>
      <c r="H60" s="1924"/>
      <c r="I60" s="3177"/>
      <c r="J60" s="1923"/>
      <c r="K60" s="3712"/>
      <c r="L60" s="1924"/>
      <c r="M60" s="3177"/>
      <c r="N60" s="1923"/>
      <c r="O60" s="3712"/>
      <c r="P60" s="1924"/>
      <c r="Q60" s="3178"/>
    </row>
    <row r="61" spans="1:17" ht="12.75" customHeight="1">
      <c r="A61" s="1922">
        <f t="shared" si="0"/>
        <v>1997.04</v>
      </c>
      <c r="B61" s="1941">
        <v>0.89541094920974629</v>
      </c>
      <c r="C61" s="1941">
        <v>0.92023707189069426</v>
      </c>
      <c r="D61" s="1942">
        <v>0.88510756027594917</v>
      </c>
      <c r="E61" s="3179">
        <v>0.81126555373960596</v>
      </c>
      <c r="F61" s="1923"/>
      <c r="G61" s="3712"/>
      <c r="H61" s="1924"/>
      <c r="I61" s="3177"/>
      <c r="J61" s="1923"/>
      <c r="K61" s="3712"/>
      <c r="L61" s="1924"/>
      <c r="M61" s="3177"/>
      <c r="N61" s="1923"/>
      <c r="O61" s="3712"/>
      <c r="P61" s="1924"/>
      <c r="Q61" s="3178"/>
    </row>
    <row r="62" spans="1:17" ht="12.75" customHeight="1">
      <c r="A62" s="1922">
        <f t="shared" si="0"/>
        <v>1997.05</v>
      </c>
      <c r="B62" s="1941">
        <v>0.89814920899326245</v>
      </c>
      <c r="C62" s="1941">
        <v>0.92023707189069426</v>
      </c>
      <c r="D62" s="1942">
        <v>0.89072729081738378</v>
      </c>
      <c r="E62" s="3179">
        <v>0.80877955102130272</v>
      </c>
      <c r="F62" s="1923"/>
      <c r="G62" s="3712"/>
      <c r="H62" s="1924"/>
      <c r="I62" s="3177"/>
      <c r="J62" s="1923"/>
      <c r="K62" s="3712"/>
      <c r="L62" s="1924"/>
      <c r="M62" s="3177"/>
      <c r="N62" s="1923"/>
      <c r="O62" s="3712"/>
      <c r="P62" s="1924"/>
      <c r="Q62" s="3178"/>
    </row>
    <row r="63" spans="1:17" ht="12.75" customHeight="1">
      <c r="A63" s="1922">
        <f t="shared" si="0"/>
        <v>1997.06</v>
      </c>
      <c r="B63" s="1941">
        <v>0.89997471551560637</v>
      </c>
      <c r="C63" s="1941">
        <v>0.91933221734606219</v>
      </c>
      <c r="D63" s="1942">
        <v>0.8963470213588185</v>
      </c>
      <c r="E63" s="3179">
        <v>0.80795088344853505</v>
      </c>
      <c r="F63" s="1923"/>
      <c r="G63" s="3712"/>
      <c r="H63" s="1924"/>
      <c r="I63" s="3177"/>
      <c r="J63" s="1923"/>
      <c r="K63" s="3712"/>
      <c r="L63" s="1924"/>
      <c r="M63" s="3177"/>
      <c r="N63" s="1923"/>
      <c r="O63" s="3712"/>
      <c r="P63" s="1924"/>
      <c r="Q63" s="3178"/>
    </row>
    <row r="64" spans="1:17" ht="12.75" customHeight="1">
      <c r="A64" s="1922">
        <f t="shared" si="0"/>
        <v>1997.07</v>
      </c>
      <c r="B64" s="1941">
        <v>0.90362572856029455</v>
      </c>
      <c r="C64" s="1941">
        <v>0.92023707189069415</v>
      </c>
      <c r="D64" s="1942">
        <v>0.90477661717097035</v>
      </c>
      <c r="E64" s="3179">
        <v>0.80795088344853505</v>
      </c>
      <c r="F64" s="1923"/>
      <c r="G64" s="3712"/>
      <c r="H64" s="1924"/>
      <c r="I64" s="3177"/>
      <c r="J64" s="1923"/>
      <c r="K64" s="3712"/>
      <c r="L64" s="1924"/>
      <c r="M64" s="3177"/>
      <c r="N64" s="1923"/>
      <c r="O64" s="3712"/>
      <c r="P64" s="1924"/>
      <c r="Q64" s="3178"/>
    </row>
    <row r="65" spans="1:17" ht="12.75" customHeight="1">
      <c r="A65" s="1922">
        <f t="shared" si="0"/>
        <v>1997.08</v>
      </c>
      <c r="B65" s="1941">
        <v>0.90636398834381049</v>
      </c>
      <c r="C65" s="1941">
        <v>0.92023707189069415</v>
      </c>
      <c r="D65" s="1942">
        <v>0.91039634771240507</v>
      </c>
      <c r="E65" s="3179">
        <v>0.81043688616683818</v>
      </c>
      <c r="F65" s="1923"/>
      <c r="G65" s="3712"/>
      <c r="H65" s="1924"/>
      <c r="I65" s="3177"/>
      <c r="J65" s="1923"/>
      <c r="K65" s="3712"/>
      <c r="L65" s="1924"/>
      <c r="M65" s="3177"/>
      <c r="N65" s="1923"/>
      <c r="O65" s="3712"/>
      <c r="P65" s="1924"/>
      <c r="Q65" s="3178"/>
    </row>
    <row r="66" spans="1:17" ht="12.75" customHeight="1">
      <c r="A66" s="1922">
        <f t="shared" si="0"/>
        <v>1997.09</v>
      </c>
      <c r="B66" s="1941">
        <v>0.90636398834381049</v>
      </c>
      <c r="C66" s="1941">
        <v>0.92023707189069415</v>
      </c>
      <c r="D66" s="1942">
        <v>0.90945972595549929</v>
      </c>
      <c r="E66" s="3179">
        <v>0.81043688616683818</v>
      </c>
      <c r="F66" s="1923"/>
      <c r="G66" s="3712"/>
      <c r="H66" s="1924"/>
      <c r="I66" s="3177"/>
      <c r="J66" s="1923"/>
      <c r="K66" s="3712"/>
      <c r="L66" s="1924"/>
      <c r="M66" s="3177"/>
      <c r="N66" s="1923"/>
      <c r="O66" s="3712"/>
      <c r="P66" s="1924"/>
      <c r="Q66" s="3178"/>
    </row>
    <row r="67" spans="1:17" ht="12.75" customHeight="1">
      <c r="A67" s="1922">
        <f t="shared" si="0"/>
        <v>1997.1</v>
      </c>
      <c r="B67" s="1941">
        <v>0.90545123508263858</v>
      </c>
      <c r="C67" s="1941">
        <v>0.92114192643532611</v>
      </c>
      <c r="D67" s="1942">
        <v>0.90664986068478193</v>
      </c>
      <c r="E67" s="3179">
        <v>0.81209422131237363</v>
      </c>
      <c r="F67" s="1923"/>
      <c r="G67" s="3712"/>
      <c r="H67" s="1924"/>
      <c r="I67" s="3177"/>
      <c r="J67" s="1923"/>
      <c r="K67" s="3712"/>
      <c r="L67" s="1924"/>
      <c r="M67" s="3177"/>
      <c r="N67" s="1923"/>
      <c r="O67" s="3712"/>
      <c r="P67" s="1924"/>
      <c r="Q67" s="3178"/>
    </row>
    <row r="68" spans="1:17" ht="12.75" customHeight="1">
      <c r="A68" s="1922">
        <f t="shared" si="0"/>
        <v>1997.11</v>
      </c>
      <c r="B68" s="1941">
        <v>0.90362572856029455</v>
      </c>
      <c r="C68" s="1941">
        <v>0.92114192643532611</v>
      </c>
      <c r="D68" s="1942">
        <v>0.90103013014334743</v>
      </c>
      <c r="E68" s="3179">
        <v>0.81623755917621221</v>
      </c>
      <c r="F68" s="1923"/>
      <c r="G68" s="3712"/>
      <c r="H68" s="1924"/>
      <c r="I68" s="3177"/>
      <c r="J68" s="1923"/>
      <c r="K68" s="3712"/>
      <c r="L68" s="1924"/>
      <c r="M68" s="3177"/>
      <c r="N68" s="1923"/>
      <c r="O68" s="3712"/>
      <c r="P68" s="1924"/>
      <c r="Q68" s="3178"/>
    </row>
    <row r="69" spans="1:17" ht="12.75" customHeight="1">
      <c r="A69" s="1922">
        <f t="shared" si="0"/>
        <v>1997.12</v>
      </c>
      <c r="B69" s="1941">
        <v>0.90271297529912264</v>
      </c>
      <c r="C69" s="1941">
        <v>0.92114192643532611</v>
      </c>
      <c r="D69" s="1942">
        <v>0.90009350838644164</v>
      </c>
      <c r="E69" s="3179">
        <v>0.82038089704005079</v>
      </c>
      <c r="F69" s="1923"/>
      <c r="G69" s="3712"/>
      <c r="H69" s="1924"/>
      <c r="I69" s="3177"/>
      <c r="J69" s="1923"/>
      <c r="K69" s="3712"/>
      <c r="L69" s="1924"/>
      <c r="M69" s="3177"/>
      <c r="N69" s="1923"/>
      <c r="O69" s="3712"/>
      <c r="P69" s="1924"/>
      <c r="Q69" s="3178"/>
    </row>
    <row r="70" spans="1:17" ht="12.75" customHeight="1">
      <c r="A70" s="1922">
        <f t="shared" si="0"/>
        <v>1998.01</v>
      </c>
      <c r="B70" s="1941">
        <v>0.89997471551560648</v>
      </c>
      <c r="C70" s="1941">
        <v>0.91933221734606219</v>
      </c>
      <c r="D70" s="1942">
        <v>0.89541039960191282</v>
      </c>
      <c r="E70" s="3179">
        <v>0.81955222946728312</v>
      </c>
      <c r="F70" s="1923"/>
      <c r="G70" s="3712"/>
      <c r="H70" s="1924"/>
      <c r="I70" s="3177"/>
      <c r="J70" s="1923"/>
      <c r="K70" s="3712"/>
      <c r="L70" s="1924"/>
      <c r="M70" s="3177"/>
      <c r="N70" s="1923"/>
      <c r="O70" s="3712"/>
      <c r="P70" s="1924"/>
      <c r="Q70" s="3178"/>
    </row>
    <row r="71" spans="1:17" ht="12.75" customHeight="1">
      <c r="A71" s="1922">
        <f t="shared" si="0"/>
        <v>1998.02</v>
      </c>
      <c r="B71" s="1941">
        <v>0.9008874687767785</v>
      </c>
      <c r="C71" s="1941">
        <v>0.91933221734606219</v>
      </c>
      <c r="D71" s="1942">
        <v>0.89728364311572428</v>
      </c>
      <c r="E71" s="3179">
        <v>0.81955222946728312</v>
      </c>
      <c r="F71" s="1923"/>
      <c r="G71" s="3712"/>
      <c r="H71" s="1924"/>
      <c r="I71" s="3177"/>
      <c r="J71" s="1923"/>
      <c r="K71" s="3712"/>
      <c r="L71" s="1924"/>
      <c r="M71" s="3177"/>
      <c r="N71" s="1923"/>
      <c r="O71" s="3712"/>
      <c r="P71" s="1924"/>
      <c r="Q71" s="3178"/>
    </row>
    <row r="72" spans="1:17" ht="12.75" customHeight="1">
      <c r="A72" s="1922">
        <f t="shared" si="0"/>
        <v>1998.03</v>
      </c>
      <c r="B72" s="1941">
        <v>0.90271297529912264</v>
      </c>
      <c r="C72" s="1941">
        <v>0.91933221734606219</v>
      </c>
      <c r="D72" s="1942">
        <v>0.90103013014334732</v>
      </c>
      <c r="E72" s="3179">
        <v>0.81955222946728312</v>
      </c>
      <c r="F72" s="1923"/>
      <c r="G72" s="3712"/>
      <c r="H72" s="1924"/>
      <c r="I72" s="3177"/>
      <c r="J72" s="1923"/>
      <c r="K72" s="3712"/>
      <c r="L72" s="1924"/>
      <c r="M72" s="3177"/>
      <c r="N72" s="1923"/>
      <c r="O72" s="3712"/>
      <c r="P72" s="1924"/>
      <c r="Q72" s="3178"/>
    </row>
    <row r="73" spans="1:17" ht="12.75" customHeight="1">
      <c r="A73" s="1922">
        <f t="shared" si="0"/>
        <v>1998.04</v>
      </c>
      <c r="B73" s="1941">
        <v>0.90271297529912264</v>
      </c>
      <c r="C73" s="1941">
        <v>0.91752250825679837</v>
      </c>
      <c r="D73" s="1942">
        <v>0.90196675190025311</v>
      </c>
      <c r="E73" s="3179">
        <v>0.82038089704005079</v>
      </c>
      <c r="F73" s="1923"/>
      <c r="G73" s="3712"/>
      <c r="H73" s="1924"/>
      <c r="I73" s="3177"/>
      <c r="J73" s="1923"/>
      <c r="K73" s="3712"/>
      <c r="L73" s="1924"/>
      <c r="M73" s="3177"/>
      <c r="N73" s="1923"/>
      <c r="O73" s="3712"/>
      <c r="P73" s="1924"/>
      <c r="Q73" s="3178"/>
    </row>
    <row r="74" spans="1:17" ht="12.75" customHeight="1">
      <c r="A74" s="1922">
        <f t="shared" si="0"/>
        <v>1998.05</v>
      </c>
      <c r="B74" s="1941">
        <v>0.90180022203795052</v>
      </c>
      <c r="C74" s="1941">
        <v>0.91752250825679837</v>
      </c>
      <c r="D74" s="1942">
        <v>0.90196675190025311</v>
      </c>
      <c r="E74" s="3179">
        <v>0.81375155645790898</v>
      </c>
      <c r="F74" s="1923"/>
      <c r="G74" s="3712"/>
      <c r="H74" s="1924"/>
      <c r="I74" s="3177"/>
      <c r="J74" s="1923"/>
      <c r="K74" s="3712"/>
      <c r="L74" s="1924"/>
      <c r="M74" s="3177"/>
      <c r="N74" s="1923"/>
      <c r="O74" s="3712"/>
      <c r="P74" s="1924"/>
      <c r="Q74" s="3178"/>
    </row>
    <row r="75" spans="1:17" ht="12.75" customHeight="1">
      <c r="A75" s="1922">
        <f t="shared" si="0"/>
        <v>1998.06</v>
      </c>
      <c r="B75" s="1941">
        <v>0.89997471551560637</v>
      </c>
      <c r="C75" s="1941">
        <v>0.91571279916753445</v>
      </c>
      <c r="D75" s="1942">
        <v>0.90009350838644153</v>
      </c>
      <c r="E75" s="3179">
        <v>0.81375155645790898</v>
      </c>
      <c r="F75" s="1923"/>
      <c r="G75" s="3712"/>
      <c r="H75" s="1924"/>
      <c r="I75" s="3177"/>
      <c r="J75" s="1923"/>
      <c r="K75" s="3712"/>
      <c r="L75" s="1924"/>
      <c r="M75" s="3177"/>
      <c r="N75" s="1923"/>
      <c r="O75" s="3712"/>
      <c r="P75" s="1924"/>
      <c r="Q75" s="3178"/>
    </row>
    <row r="76" spans="1:17" ht="12.75" customHeight="1">
      <c r="A76" s="1922">
        <f t="shared" si="0"/>
        <v>1998.07</v>
      </c>
      <c r="B76" s="1941">
        <v>0.89814920899326245</v>
      </c>
      <c r="C76" s="1941">
        <v>0.91571279916753445</v>
      </c>
      <c r="D76" s="1942">
        <v>0.8963470213588185</v>
      </c>
      <c r="E76" s="3179">
        <v>0.81458022403067665</v>
      </c>
      <c r="F76" s="1923"/>
      <c r="G76" s="3712"/>
      <c r="H76" s="1924"/>
      <c r="I76" s="3177"/>
      <c r="J76" s="1923"/>
      <c r="K76" s="3712"/>
      <c r="L76" s="1924"/>
      <c r="M76" s="3177"/>
      <c r="N76" s="1923"/>
      <c r="O76" s="3712"/>
      <c r="P76" s="1924"/>
      <c r="Q76" s="3178"/>
    </row>
    <row r="77" spans="1:17" ht="12.75" customHeight="1">
      <c r="A77" s="1922">
        <f t="shared" si="0"/>
        <v>1998.08</v>
      </c>
      <c r="B77" s="1941">
        <v>0.89906196225443447</v>
      </c>
      <c r="C77" s="1941">
        <v>0.9166176537121663</v>
      </c>
      <c r="D77" s="1942">
        <v>0.8963470213588185</v>
      </c>
      <c r="E77" s="3179">
        <v>0.81375155645790898</v>
      </c>
      <c r="F77" s="1923"/>
      <c r="G77" s="3712"/>
      <c r="H77" s="1924"/>
      <c r="I77" s="3177"/>
      <c r="J77" s="1923"/>
      <c r="K77" s="3712"/>
      <c r="L77" s="1924"/>
      <c r="M77" s="3177"/>
      <c r="N77" s="1923"/>
      <c r="O77" s="3712"/>
      <c r="P77" s="1924"/>
      <c r="Q77" s="3178"/>
    </row>
    <row r="78" spans="1:17" ht="12.75" customHeight="1">
      <c r="A78" s="1922">
        <f t="shared" si="0"/>
        <v>1998.09</v>
      </c>
      <c r="B78" s="1941">
        <v>0.89814920899326245</v>
      </c>
      <c r="C78" s="1941">
        <v>0.91571279916753445</v>
      </c>
      <c r="D78" s="1942">
        <v>0.8963470213588185</v>
      </c>
      <c r="E78" s="3179">
        <v>0.81375155645790898</v>
      </c>
      <c r="F78" s="1923"/>
      <c r="G78" s="3712"/>
      <c r="H78" s="1924"/>
      <c r="I78" s="3177"/>
      <c r="J78" s="1923"/>
      <c r="K78" s="3712"/>
      <c r="L78" s="1924"/>
      <c r="M78" s="3177"/>
      <c r="N78" s="1923"/>
      <c r="O78" s="3712"/>
      <c r="P78" s="1924"/>
      <c r="Q78" s="3178"/>
    </row>
    <row r="79" spans="1:17" ht="12.75" customHeight="1">
      <c r="A79" s="1922">
        <f t="shared" si="0"/>
        <v>1998.1</v>
      </c>
      <c r="B79" s="1941">
        <v>0.89814920899326245</v>
      </c>
      <c r="C79" s="1941">
        <v>0.91480794462290238</v>
      </c>
      <c r="D79" s="1942">
        <v>0.89541039960191271</v>
      </c>
      <c r="E79" s="3179">
        <v>0.81458022403067665</v>
      </c>
      <c r="F79" s="1923"/>
      <c r="G79" s="3712"/>
      <c r="H79" s="1924"/>
      <c r="I79" s="3177"/>
      <c r="J79" s="1923"/>
      <c r="K79" s="3712"/>
      <c r="L79" s="1924"/>
      <c r="M79" s="3177"/>
      <c r="N79" s="1923"/>
      <c r="O79" s="3712"/>
      <c r="P79" s="1924"/>
      <c r="Q79" s="3178"/>
    </row>
    <row r="80" spans="1:17" ht="12.75" customHeight="1">
      <c r="A80" s="1922">
        <f t="shared" si="0"/>
        <v>1998.11</v>
      </c>
      <c r="B80" s="1941">
        <v>0.90180022203795041</v>
      </c>
      <c r="C80" s="1941">
        <v>0.91390309007827042</v>
      </c>
      <c r="D80" s="1942">
        <v>0.90477661717097047</v>
      </c>
      <c r="E80" s="3179">
        <v>0.81955222946728312</v>
      </c>
      <c r="F80" s="1923"/>
      <c r="G80" s="3712"/>
      <c r="H80" s="1924"/>
      <c r="I80" s="3177"/>
      <c r="J80" s="1923"/>
      <c r="K80" s="3712"/>
      <c r="L80" s="1924"/>
      <c r="M80" s="3177"/>
      <c r="N80" s="1923"/>
      <c r="O80" s="3712"/>
      <c r="P80" s="1924"/>
      <c r="Q80" s="3178"/>
    </row>
    <row r="81" spans="1:17" ht="12.75" customHeight="1">
      <c r="A81" s="1922">
        <f t="shared" si="0"/>
        <v>1998.12</v>
      </c>
      <c r="B81" s="1941">
        <v>0.90271297529912253</v>
      </c>
      <c r="C81" s="1941">
        <v>0.91299823553363857</v>
      </c>
      <c r="D81" s="1942">
        <v>0.90664986068478204</v>
      </c>
      <c r="E81" s="3179">
        <v>0.82120956461281847</v>
      </c>
      <c r="F81" s="1923"/>
      <c r="G81" s="3712"/>
      <c r="H81" s="1924"/>
      <c r="I81" s="3177"/>
      <c r="J81" s="1923"/>
      <c r="K81" s="3712"/>
      <c r="L81" s="1924"/>
      <c r="M81" s="3177"/>
      <c r="N81" s="1923"/>
      <c r="O81" s="3712"/>
      <c r="P81" s="1924"/>
      <c r="Q81" s="3178"/>
    </row>
    <row r="82" spans="1:17" ht="12.75" customHeight="1">
      <c r="A82" s="1922">
        <f t="shared" si="0"/>
        <v>1999.01</v>
      </c>
      <c r="B82" s="1941">
        <v>0.90271297529912253</v>
      </c>
      <c r="C82" s="1941">
        <v>0.91299823553363857</v>
      </c>
      <c r="D82" s="1942">
        <v>0.90664986068478204</v>
      </c>
      <c r="E82" s="3179">
        <v>0.8236955673311217</v>
      </c>
      <c r="F82" s="1923"/>
      <c r="G82" s="3712"/>
      <c r="H82" s="1924"/>
      <c r="I82" s="3177"/>
      <c r="J82" s="1923"/>
      <c r="K82" s="3712"/>
      <c r="L82" s="1924"/>
      <c r="M82" s="3177"/>
      <c r="N82" s="1923"/>
      <c r="O82" s="3712"/>
      <c r="P82" s="1924"/>
      <c r="Q82" s="3178"/>
    </row>
    <row r="83" spans="1:17" ht="12.75" customHeight="1">
      <c r="A83" s="1922">
        <f t="shared" si="0"/>
        <v>1999.02</v>
      </c>
      <c r="B83" s="1941">
        <v>0.90545123508263847</v>
      </c>
      <c r="C83" s="1941">
        <v>0.91118852644437465</v>
      </c>
      <c r="D83" s="1942">
        <v>0.91320621298312243</v>
      </c>
      <c r="E83" s="3179">
        <v>0.83115357548603119</v>
      </c>
      <c r="F83" s="1923"/>
      <c r="G83" s="3712"/>
      <c r="H83" s="1924"/>
      <c r="I83" s="3177"/>
      <c r="J83" s="1923"/>
      <c r="K83" s="3712"/>
      <c r="L83" s="1924"/>
      <c r="M83" s="3177"/>
      <c r="N83" s="1923"/>
      <c r="O83" s="3712"/>
      <c r="P83" s="1924"/>
      <c r="Q83" s="3178"/>
    </row>
    <row r="84" spans="1:17" ht="12.75" customHeight="1">
      <c r="A84" s="1922">
        <f t="shared" si="0"/>
        <v>1999.03</v>
      </c>
      <c r="B84" s="1941">
        <v>0.9072767416049824</v>
      </c>
      <c r="C84" s="1941">
        <v>0.91118852644437465</v>
      </c>
      <c r="D84" s="1942">
        <v>0.91601607825383968</v>
      </c>
      <c r="E84" s="3179">
        <v>0.83529691334986989</v>
      </c>
      <c r="F84" s="1923"/>
      <c r="G84" s="3712"/>
      <c r="H84" s="1924"/>
      <c r="I84" s="3177"/>
      <c r="J84" s="1923"/>
      <c r="K84" s="3712"/>
      <c r="L84" s="1924"/>
      <c r="M84" s="3177"/>
      <c r="N84" s="1923"/>
      <c r="O84" s="3712"/>
      <c r="P84" s="1924"/>
      <c r="Q84" s="3178"/>
    </row>
    <row r="85" spans="1:17" ht="12.75" customHeight="1">
      <c r="A85" s="1922">
        <f t="shared" si="0"/>
        <v>1999.04</v>
      </c>
      <c r="B85" s="1941">
        <v>0.90453848182146623</v>
      </c>
      <c r="C85" s="1941">
        <v>0.91118852644437465</v>
      </c>
      <c r="D85" s="1942">
        <v>0.91133296946931086</v>
      </c>
      <c r="E85" s="3179">
        <v>0.83281091063156676</v>
      </c>
      <c r="F85" s="1923"/>
      <c r="G85" s="3712"/>
      <c r="H85" s="1924"/>
      <c r="I85" s="3177"/>
      <c r="J85" s="1923"/>
      <c r="K85" s="3712"/>
      <c r="L85" s="1924"/>
      <c r="M85" s="3177"/>
      <c r="N85" s="1923"/>
      <c r="O85" s="3712"/>
      <c r="P85" s="1924"/>
      <c r="Q85" s="3178"/>
    </row>
    <row r="86" spans="1:17" ht="12.75" customHeight="1">
      <c r="A86" s="1922">
        <f t="shared" si="0"/>
        <v>1999.05</v>
      </c>
      <c r="B86" s="1941">
        <v>0.90545123508263836</v>
      </c>
      <c r="C86" s="1941">
        <v>0.91028367189974257</v>
      </c>
      <c r="D86" s="1942">
        <v>0.9150794564969339</v>
      </c>
      <c r="E86" s="3179">
        <v>0.82949624034049585</v>
      </c>
      <c r="F86" s="1923"/>
      <c r="G86" s="3712"/>
      <c r="H86" s="1924"/>
      <c r="I86" s="3177"/>
      <c r="J86" s="1923"/>
      <c r="K86" s="3712"/>
      <c r="L86" s="1924"/>
      <c r="M86" s="3177"/>
      <c r="N86" s="1923"/>
      <c r="O86" s="3712"/>
      <c r="P86" s="1924"/>
      <c r="Q86" s="3178"/>
    </row>
    <row r="87" spans="1:17" ht="12.75" customHeight="1">
      <c r="A87" s="1922">
        <f t="shared" ref="A87:A150" si="1">A75+1</f>
        <v>1999.06</v>
      </c>
      <c r="B87" s="1941">
        <v>0.90453848182146623</v>
      </c>
      <c r="C87" s="1941">
        <v>0.90937881735511061</v>
      </c>
      <c r="D87" s="1942">
        <v>0.91226959122621654</v>
      </c>
      <c r="E87" s="3179">
        <v>0.83032490791326363</v>
      </c>
      <c r="F87" s="1923"/>
      <c r="G87" s="3712"/>
      <c r="H87" s="1924"/>
      <c r="I87" s="3177"/>
      <c r="J87" s="1923"/>
      <c r="K87" s="3712"/>
      <c r="L87" s="1924"/>
      <c r="M87" s="3177"/>
      <c r="N87" s="1923"/>
      <c r="O87" s="3712"/>
      <c r="P87" s="1924"/>
      <c r="Q87" s="3178"/>
    </row>
    <row r="88" spans="1:17" ht="12.75" customHeight="1">
      <c r="A88" s="1922">
        <f t="shared" si="1"/>
        <v>1999.07</v>
      </c>
      <c r="B88" s="1941">
        <v>0.90453848182146623</v>
      </c>
      <c r="C88" s="1941">
        <v>0.90937881735511061</v>
      </c>
      <c r="D88" s="1942">
        <v>0.91320621298312221</v>
      </c>
      <c r="E88" s="3179">
        <v>0.8311535754860313</v>
      </c>
      <c r="F88" s="1923"/>
      <c r="G88" s="3712"/>
      <c r="H88" s="1924"/>
      <c r="I88" s="3177"/>
      <c r="J88" s="1923"/>
      <c r="K88" s="3712"/>
      <c r="L88" s="1924"/>
      <c r="M88" s="3177"/>
      <c r="N88" s="1923"/>
      <c r="O88" s="3712"/>
      <c r="P88" s="1924"/>
      <c r="Q88" s="3178"/>
    </row>
    <row r="89" spans="1:17" ht="12.75" customHeight="1">
      <c r="A89" s="1922">
        <f t="shared" si="1"/>
        <v>1999.08</v>
      </c>
      <c r="B89" s="1941">
        <v>0.90088746877677828</v>
      </c>
      <c r="C89" s="1941">
        <v>0.90847396281047865</v>
      </c>
      <c r="D89" s="1942">
        <v>0.90758648244168771</v>
      </c>
      <c r="E89" s="3179">
        <v>0.82452423490388949</v>
      </c>
      <c r="F89" s="1923"/>
      <c r="G89" s="3712"/>
      <c r="H89" s="1924"/>
      <c r="I89" s="3177"/>
      <c r="J89" s="1923"/>
      <c r="K89" s="3712"/>
      <c r="L89" s="1924"/>
      <c r="M89" s="3177"/>
      <c r="N89" s="1923"/>
      <c r="O89" s="3712"/>
      <c r="P89" s="1924"/>
      <c r="Q89" s="3178"/>
    </row>
    <row r="90" spans="1:17" ht="12.75" customHeight="1">
      <c r="A90" s="1922">
        <f t="shared" si="1"/>
        <v>1999.09</v>
      </c>
      <c r="B90" s="1941">
        <v>0.89906196225443424</v>
      </c>
      <c r="C90" s="1941">
        <v>0.90666425372121473</v>
      </c>
      <c r="D90" s="1942">
        <v>0.90571323892787614</v>
      </c>
      <c r="E90" s="3179">
        <v>0.82286689975835403</v>
      </c>
      <c r="F90" s="1923"/>
      <c r="G90" s="3712"/>
      <c r="H90" s="1924"/>
      <c r="I90" s="3177"/>
      <c r="J90" s="1923"/>
      <c r="K90" s="3712"/>
      <c r="L90" s="1924"/>
      <c r="M90" s="3177"/>
      <c r="N90" s="1923"/>
      <c r="O90" s="3712"/>
      <c r="P90" s="1924"/>
      <c r="Q90" s="3178"/>
    </row>
    <row r="91" spans="1:17" ht="12.75" customHeight="1">
      <c r="A91" s="1922">
        <f t="shared" si="1"/>
        <v>1999.1</v>
      </c>
      <c r="B91" s="1941">
        <v>0.89814920899326223</v>
      </c>
      <c r="C91" s="1941">
        <v>0.90575939917658266</v>
      </c>
      <c r="D91" s="1942">
        <v>0.90383999541406457</v>
      </c>
      <c r="E91" s="3179">
        <v>0.8203808970400509</v>
      </c>
      <c r="F91" s="1923"/>
      <c r="G91" s="3712"/>
      <c r="H91" s="1924"/>
      <c r="I91" s="3177"/>
      <c r="J91" s="1923"/>
      <c r="K91" s="3712"/>
      <c r="L91" s="1924"/>
      <c r="M91" s="3177"/>
      <c r="N91" s="1923"/>
      <c r="O91" s="3712"/>
      <c r="P91" s="1924"/>
      <c r="Q91" s="3178"/>
    </row>
    <row r="92" spans="1:17" ht="12.75" customHeight="1">
      <c r="A92" s="1922">
        <f t="shared" si="1"/>
        <v>1999.11</v>
      </c>
      <c r="B92" s="1941">
        <v>0.89906196225443424</v>
      </c>
      <c r="C92" s="1941">
        <v>0.90575939917658266</v>
      </c>
      <c r="D92" s="1942">
        <v>0.90571323892787614</v>
      </c>
      <c r="E92" s="3179">
        <v>0.82203823218558636</v>
      </c>
      <c r="F92" s="1923"/>
      <c r="G92" s="3712"/>
      <c r="H92" s="1924"/>
      <c r="I92" s="3177"/>
      <c r="J92" s="1923"/>
      <c r="K92" s="3712"/>
      <c r="L92" s="1924"/>
      <c r="M92" s="3177"/>
      <c r="N92" s="1923"/>
      <c r="O92" s="3712"/>
      <c r="P92" s="1924"/>
      <c r="Q92" s="3178"/>
    </row>
    <row r="93" spans="1:17" ht="12.75" customHeight="1">
      <c r="A93" s="1922">
        <f t="shared" si="1"/>
        <v>1999.12</v>
      </c>
      <c r="B93" s="1941">
        <v>0.89997471551560615</v>
      </c>
      <c r="C93" s="1941">
        <v>0.90666425372121473</v>
      </c>
      <c r="D93" s="1942">
        <v>0.90664986068478193</v>
      </c>
      <c r="E93" s="3179">
        <v>0.82203823218558636</v>
      </c>
      <c r="F93" s="1923"/>
      <c r="G93" s="3712"/>
      <c r="H93" s="1924"/>
      <c r="I93" s="3177"/>
      <c r="J93" s="1923"/>
      <c r="K93" s="3712"/>
      <c r="L93" s="1924"/>
      <c r="M93" s="3177"/>
      <c r="N93" s="1923"/>
      <c r="O93" s="3712"/>
      <c r="P93" s="1924"/>
      <c r="Q93" s="3178"/>
    </row>
    <row r="94" spans="1:17" ht="12.75" customHeight="1">
      <c r="A94" s="1922">
        <f t="shared" si="1"/>
        <v>2000.01</v>
      </c>
      <c r="B94" s="1941">
        <v>0.8972364557320901</v>
      </c>
      <c r="C94" s="1941">
        <v>0.90666425372121473</v>
      </c>
      <c r="D94" s="1942">
        <v>0.90196675190025311</v>
      </c>
      <c r="E94" s="3179">
        <v>0.81955222946728312</v>
      </c>
      <c r="F94" s="1923"/>
      <c r="G94" s="3712"/>
      <c r="H94" s="1924"/>
      <c r="I94" s="3177"/>
      <c r="J94" s="1923"/>
      <c r="K94" s="3712"/>
      <c r="L94" s="1924"/>
      <c r="M94" s="3177"/>
      <c r="N94" s="1923"/>
      <c r="O94" s="3712"/>
      <c r="P94" s="1924"/>
      <c r="Q94" s="3178"/>
    </row>
    <row r="95" spans="1:17" ht="12.75" customHeight="1">
      <c r="A95" s="1922">
        <f t="shared" si="1"/>
        <v>2000.02</v>
      </c>
      <c r="B95" s="1941">
        <v>0.89632370247091819</v>
      </c>
      <c r="C95" s="1941">
        <v>0.90485454463195081</v>
      </c>
      <c r="D95" s="1942">
        <v>0.90103013014334732</v>
      </c>
      <c r="E95" s="3179">
        <v>0.81955222946728312</v>
      </c>
      <c r="F95" s="1923"/>
      <c r="G95" s="3712"/>
      <c r="H95" s="1924"/>
      <c r="I95" s="3177"/>
      <c r="J95" s="1923"/>
      <c r="K95" s="3712"/>
      <c r="L95" s="1924"/>
      <c r="M95" s="3177"/>
      <c r="N95" s="1923"/>
      <c r="O95" s="3712"/>
      <c r="P95" s="1924"/>
      <c r="Q95" s="3178"/>
    </row>
    <row r="96" spans="1:17" ht="12.75" customHeight="1">
      <c r="A96" s="1922">
        <f t="shared" si="1"/>
        <v>2000.03</v>
      </c>
      <c r="B96" s="1941">
        <v>0.89632370247091819</v>
      </c>
      <c r="C96" s="1941">
        <v>0.90485454463195081</v>
      </c>
      <c r="D96" s="1942">
        <v>0.90103013014334732</v>
      </c>
      <c r="E96" s="3179">
        <v>0.81955222946728312</v>
      </c>
      <c r="F96" s="1923"/>
      <c r="G96" s="3712"/>
      <c r="H96" s="1924"/>
      <c r="I96" s="3177"/>
      <c r="J96" s="1923"/>
      <c r="K96" s="3712"/>
      <c r="L96" s="1924"/>
      <c r="M96" s="3177"/>
      <c r="N96" s="1923"/>
      <c r="O96" s="3712"/>
      <c r="P96" s="1924"/>
      <c r="Q96" s="3178"/>
    </row>
    <row r="97" spans="1:17" ht="12.75" customHeight="1">
      <c r="A97" s="1922">
        <f t="shared" si="1"/>
        <v>2000.04</v>
      </c>
      <c r="B97" s="1941">
        <v>0.89175993616505811</v>
      </c>
      <c r="C97" s="1941">
        <v>0.89942541736415915</v>
      </c>
      <c r="D97" s="1942">
        <v>0.89822026487263007</v>
      </c>
      <c r="E97" s="3179">
        <v>0.81872356189451534</v>
      </c>
      <c r="F97" s="1923"/>
      <c r="G97" s="3712"/>
      <c r="H97" s="1924"/>
      <c r="I97" s="3177"/>
      <c r="J97" s="1923"/>
      <c r="K97" s="3712"/>
      <c r="L97" s="1924"/>
      <c r="M97" s="3177"/>
      <c r="N97" s="1923"/>
      <c r="O97" s="3712"/>
      <c r="P97" s="1924"/>
      <c r="Q97" s="3178"/>
    </row>
    <row r="98" spans="1:17" ht="12.75" customHeight="1">
      <c r="A98" s="1922">
        <f t="shared" si="1"/>
        <v>2000.05</v>
      </c>
      <c r="B98" s="1941">
        <v>0.89084718290388598</v>
      </c>
      <c r="C98" s="1941">
        <v>0.89942541736415915</v>
      </c>
      <c r="D98" s="1942">
        <v>0.89447377784500692</v>
      </c>
      <c r="E98" s="3179">
        <v>0.82120956461281858</v>
      </c>
      <c r="F98" s="1923"/>
      <c r="G98" s="3712"/>
      <c r="H98" s="1924"/>
      <c r="I98" s="3177"/>
      <c r="J98" s="1923"/>
      <c r="K98" s="3712"/>
      <c r="L98" s="1924"/>
      <c r="M98" s="3177"/>
      <c r="N98" s="1923"/>
      <c r="O98" s="3712"/>
      <c r="P98" s="1924"/>
      <c r="Q98" s="3178"/>
    </row>
    <row r="99" spans="1:17" ht="12.75" customHeight="1">
      <c r="A99" s="1922">
        <f t="shared" si="1"/>
        <v>2000.06</v>
      </c>
      <c r="B99" s="1941">
        <v>0.88810892312036993</v>
      </c>
      <c r="C99" s="1941">
        <v>0.89852056281952719</v>
      </c>
      <c r="D99" s="1942">
        <v>0.8897906690604781</v>
      </c>
      <c r="E99" s="3179">
        <v>0.82120956461281858</v>
      </c>
      <c r="F99" s="1923"/>
      <c r="G99" s="3712"/>
      <c r="H99" s="1924"/>
      <c r="I99" s="3177"/>
      <c r="J99" s="1923"/>
      <c r="K99" s="3712"/>
      <c r="L99" s="1924"/>
      <c r="M99" s="3177"/>
      <c r="N99" s="1923"/>
      <c r="O99" s="3712"/>
      <c r="P99" s="1924"/>
      <c r="Q99" s="3178"/>
    </row>
    <row r="100" spans="1:17" ht="12.75" customHeight="1">
      <c r="A100" s="1922">
        <f t="shared" si="1"/>
        <v>2000.07</v>
      </c>
      <c r="B100" s="1941">
        <v>0.88537066333685388</v>
      </c>
      <c r="C100" s="1941">
        <v>0.89580599918563131</v>
      </c>
      <c r="D100" s="1942">
        <v>0.88510756027594928</v>
      </c>
      <c r="E100" s="3179">
        <v>0.8203808970400509</v>
      </c>
      <c r="F100" s="1923"/>
      <c r="G100" s="3712"/>
      <c r="H100" s="1924"/>
      <c r="I100" s="3177"/>
      <c r="J100" s="1923"/>
      <c r="K100" s="3712"/>
      <c r="L100" s="1924"/>
      <c r="M100" s="3177"/>
      <c r="N100" s="1923"/>
      <c r="O100" s="3712"/>
      <c r="P100" s="1924"/>
      <c r="Q100" s="3178"/>
    </row>
    <row r="101" spans="1:17" ht="12.75" customHeight="1">
      <c r="A101" s="1922">
        <f t="shared" si="1"/>
        <v>2000.08</v>
      </c>
      <c r="B101" s="1941">
        <v>0.88263240355333783</v>
      </c>
      <c r="C101" s="1941">
        <v>0.89399629009636739</v>
      </c>
      <c r="D101" s="1942">
        <v>0.88229769500523203</v>
      </c>
      <c r="E101" s="3179">
        <v>0.81540889160344454</v>
      </c>
      <c r="F101" s="1923"/>
      <c r="G101" s="3712"/>
      <c r="H101" s="1924"/>
      <c r="I101" s="3177"/>
      <c r="J101" s="1923"/>
      <c r="K101" s="3712"/>
      <c r="L101" s="1924"/>
      <c r="M101" s="3177"/>
      <c r="N101" s="1923"/>
      <c r="O101" s="3712"/>
      <c r="P101" s="1924"/>
      <c r="Q101" s="3178"/>
    </row>
    <row r="102" spans="1:17" ht="12.75" customHeight="1">
      <c r="A102" s="1922">
        <f t="shared" si="1"/>
        <v>2000.09</v>
      </c>
      <c r="B102" s="1941">
        <v>0.87989414376982178</v>
      </c>
      <c r="C102" s="1941">
        <v>0.89399629009636739</v>
      </c>
      <c r="D102" s="1942">
        <v>0.87761458622070321</v>
      </c>
      <c r="E102" s="3179">
        <v>0.81126555373960585</v>
      </c>
      <c r="F102" s="1923"/>
      <c r="G102" s="3712"/>
      <c r="H102" s="1924"/>
      <c r="I102" s="3177"/>
      <c r="J102" s="1923"/>
      <c r="K102" s="3712"/>
      <c r="L102" s="1924"/>
      <c r="M102" s="3177"/>
      <c r="N102" s="1923"/>
      <c r="O102" s="3712"/>
      <c r="P102" s="1924"/>
      <c r="Q102" s="3178"/>
    </row>
    <row r="103" spans="1:17" ht="12.75" customHeight="1">
      <c r="A103" s="1922">
        <f t="shared" si="1"/>
        <v>2000.1</v>
      </c>
      <c r="B103" s="1941">
        <v>0.87715588398630562</v>
      </c>
      <c r="C103" s="1941">
        <v>0.89218658100710346</v>
      </c>
      <c r="D103" s="1942">
        <v>0.87386809919308006</v>
      </c>
      <c r="E103" s="3179">
        <v>0.80960821859407039</v>
      </c>
      <c r="F103" s="1923"/>
      <c r="G103" s="3712"/>
      <c r="H103" s="1924"/>
      <c r="I103" s="3177"/>
      <c r="J103" s="1923"/>
      <c r="K103" s="3712"/>
      <c r="L103" s="1924"/>
      <c r="M103" s="3177"/>
      <c r="N103" s="1923"/>
      <c r="O103" s="3712"/>
      <c r="P103" s="1924"/>
      <c r="Q103" s="3178"/>
    </row>
    <row r="104" spans="1:17" ht="12.75" customHeight="1">
      <c r="A104" s="1922">
        <f t="shared" si="1"/>
        <v>2000.11</v>
      </c>
      <c r="B104" s="1941">
        <v>0.87441762420278957</v>
      </c>
      <c r="C104" s="1941">
        <v>0.89037687191783965</v>
      </c>
      <c r="D104" s="1942">
        <v>0.86918499040855124</v>
      </c>
      <c r="E104" s="3179">
        <v>0.81043688616683807</v>
      </c>
      <c r="F104" s="1923"/>
      <c r="G104" s="3712"/>
      <c r="H104" s="1924"/>
      <c r="I104" s="3177"/>
      <c r="J104" s="1923"/>
      <c r="K104" s="3712"/>
      <c r="L104" s="1924"/>
      <c r="M104" s="3177"/>
      <c r="N104" s="1923"/>
      <c r="O104" s="3712"/>
      <c r="P104" s="1924"/>
      <c r="Q104" s="3178"/>
    </row>
    <row r="105" spans="1:17" ht="12.75" customHeight="1">
      <c r="A105" s="1922">
        <f t="shared" si="1"/>
        <v>2000.12</v>
      </c>
      <c r="B105" s="1941">
        <v>0.87167936441927352</v>
      </c>
      <c r="C105" s="1941">
        <v>0.88947201737320758</v>
      </c>
      <c r="D105" s="1942">
        <v>0.86450188162402242</v>
      </c>
      <c r="E105" s="3179">
        <v>0.80795088344853494</v>
      </c>
      <c r="F105" s="1923"/>
      <c r="G105" s="3712"/>
      <c r="H105" s="1924"/>
      <c r="I105" s="3177"/>
      <c r="J105" s="1923"/>
      <c r="K105" s="3712"/>
      <c r="L105" s="1924"/>
      <c r="M105" s="3177"/>
      <c r="N105" s="1923"/>
      <c r="O105" s="3712"/>
      <c r="P105" s="1924"/>
      <c r="Q105" s="3178"/>
    </row>
    <row r="106" spans="1:17" ht="12.75" customHeight="1">
      <c r="A106" s="1922">
        <f t="shared" si="1"/>
        <v>2001.01</v>
      </c>
      <c r="B106" s="1941">
        <v>0.87167936441927352</v>
      </c>
      <c r="C106" s="1941">
        <v>0.88947201737320758</v>
      </c>
      <c r="D106" s="1942">
        <v>0.86450188162402242</v>
      </c>
      <c r="E106" s="3179">
        <v>0.81043688616683807</v>
      </c>
      <c r="F106" s="1923"/>
      <c r="G106" s="3712"/>
      <c r="H106" s="1924"/>
      <c r="I106" s="3177"/>
      <c r="J106" s="1923"/>
      <c r="K106" s="3712"/>
      <c r="L106" s="1924"/>
      <c r="M106" s="3177"/>
      <c r="N106" s="1923"/>
      <c r="O106" s="3712"/>
      <c r="P106" s="1924"/>
      <c r="Q106" s="3178"/>
    </row>
    <row r="107" spans="1:17" ht="12.75" customHeight="1">
      <c r="A107" s="1922">
        <f t="shared" si="1"/>
        <v>2001.02</v>
      </c>
      <c r="B107" s="1941">
        <v>0.87167936441927352</v>
      </c>
      <c r="C107" s="1941">
        <v>0.88766230828394366</v>
      </c>
      <c r="D107" s="1942">
        <v>0.86543850338092831</v>
      </c>
      <c r="E107" s="3179">
        <v>0.80960821859407039</v>
      </c>
      <c r="F107" s="1923"/>
      <c r="G107" s="3712"/>
      <c r="H107" s="1924"/>
      <c r="I107" s="3177"/>
      <c r="J107" s="1923"/>
      <c r="K107" s="3712"/>
      <c r="L107" s="1924"/>
      <c r="M107" s="3177"/>
      <c r="N107" s="1923"/>
      <c r="O107" s="3712"/>
      <c r="P107" s="1924"/>
      <c r="Q107" s="3178"/>
    </row>
    <row r="108" spans="1:17" ht="12.75" customHeight="1">
      <c r="A108" s="1922">
        <f t="shared" si="1"/>
        <v>2001.03</v>
      </c>
      <c r="B108" s="1941">
        <v>0.88628341659802568</v>
      </c>
      <c r="C108" s="1941">
        <v>0.88675745373931181</v>
      </c>
      <c r="D108" s="1942">
        <v>0.89915688662953586</v>
      </c>
      <c r="E108" s="3179">
        <v>0.81043688616683807</v>
      </c>
      <c r="F108" s="1923"/>
      <c r="G108" s="3712"/>
      <c r="H108" s="1924"/>
      <c r="I108" s="3177"/>
      <c r="J108" s="1923"/>
      <c r="K108" s="3712"/>
      <c r="L108" s="1924"/>
      <c r="M108" s="3177"/>
      <c r="N108" s="1923"/>
      <c r="O108" s="3712"/>
      <c r="P108" s="1924"/>
      <c r="Q108" s="3178"/>
    </row>
    <row r="109" spans="1:17" ht="12.75" customHeight="1">
      <c r="A109" s="1922">
        <f t="shared" si="1"/>
        <v>2001.04</v>
      </c>
      <c r="B109" s="1941">
        <v>0.88628341659802568</v>
      </c>
      <c r="C109" s="1941">
        <v>0.88585259919467996</v>
      </c>
      <c r="D109" s="1942">
        <v>0.90009350838644153</v>
      </c>
      <c r="E109" s="3179">
        <v>0.80712221587576727</v>
      </c>
      <c r="F109" s="1923"/>
      <c r="G109" s="3712"/>
      <c r="H109" s="1924"/>
      <c r="I109" s="3177"/>
      <c r="J109" s="1923"/>
      <c r="K109" s="3712"/>
      <c r="L109" s="1924"/>
      <c r="M109" s="3177"/>
      <c r="N109" s="1923"/>
      <c r="O109" s="3712"/>
      <c r="P109" s="1924"/>
      <c r="Q109" s="3178"/>
    </row>
    <row r="110" spans="1:17" ht="12.75" customHeight="1">
      <c r="A110" s="1922">
        <f t="shared" si="1"/>
        <v>2001.05</v>
      </c>
      <c r="B110" s="1941">
        <v>0.88445791007568175</v>
      </c>
      <c r="C110" s="1941">
        <v>0.88585259919467996</v>
      </c>
      <c r="D110" s="1942">
        <v>0.8963470213588185</v>
      </c>
      <c r="E110" s="3179">
        <v>0.80877955102130272</v>
      </c>
      <c r="F110" s="1923"/>
      <c r="G110" s="3712"/>
      <c r="H110" s="1924"/>
      <c r="I110" s="3177"/>
      <c r="J110" s="1923"/>
      <c r="K110" s="3712"/>
      <c r="L110" s="1924"/>
      <c r="M110" s="3177"/>
      <c r="N110" s="1923"/>
      <c r="O110" s="3712"/>
      <c r="P110" s="1924"/>
      <c r="Q110" s="3178"/>
    </row>
    <row r="111" spans="1:17" ht="12.75" customHeight="1">
      <c r="A111" s="1922">
        <f t="shared" si="1"/>
        <v>2001.06</v>
      </c>
      <c r="B111" s="1941">
        <v>0.88171965029216559</v>
      </c>
      <c r="C111" s="1941">
        <v>0.88404289010541603</v>
      </c>
      <c r="D111" s="1942">
        <v>0.89260053433119535</v>
      </c>
      <c r="E111" s="3179">
        <v>0.81043688616683818</v>
      </c>
      <c r="F111" s="1923"/>
      <c r="G111" s="3712"/>
      <c r="H111" s="1924"/>
      <c r="I111" s="3177"/>
      <c r="J111" s="1923"/>
      <c r="K111" s="3712"/>
      <c r="L111" s="1924"/>
      <c r="M111" s="3177"/>
      <c r="N111" s="1923"/>
      <c r="O111" s="3712"/>
      <c r="P111" s="1924"/>
      <c r="Q111" s="3178"/>
    </row>
    <row r="112" spans="1:17" ht="12.75" customHeight="1">
      <c r="A112" s="1922">
        <f t="shared" si="1"/>
        <v>2001.07</v>
      </c>
      <c r="B112" s="1941">
        <v>0.87989414376982167</v>
      </c>
      <c r="C112" s="1941">
        <v>0.88404289010541603</v>
      </c>
      <c r="D112" s="1942">
        <v>0.88698080378976074</v>
      </c>
      <c r="E112" s="3179">
        <v>0.81458022403067687</v>
      </c>
      <c r="F112" s="1923"/>
      <c r="G112" s="3712"/>
      <c r="H112" s="1924"/>
      <c r="I112" s="3177"/>
      <c r="J112" s="1923"/>
      <c r="K112" s="3712"/>
      <c r="L112" s="1924"/>
      <c r="M112" s="3177"/>
      <c r="N112" s="1923"/>
      <c r="O112" s="3712"/>
      <c r="P112" s="1924"/>
      <c r="Q112" s="3178"/>
    </row>
    <row r="113" spans="1:17" ht="12.75" customHeight="1">
      <c r="A113" s="1922">
        <f t="shared" si="1"/>
        <v>2001.08</v>
      </c>
      <c r="B113" s="1941">
        <v>0.87350487094161755</v>
      </c>
      <c r="C113" s="1941">
        <v>0.87951861738225623</v>
      </c>
      <c r="D113" s="1942">
        <v>0.87948782973451467</v>
      </c>
      <c r="E113" s="3179">
        <v>0.81043688616683818</v>
      </c>
      <c r="F113" s="1923"/>
      <c r="G113" s="3712"/>
      <c r="H113" s="1924"/>
      <c r="I113" s="3177"/>
      <c r="J113" s="1923"/>
      <c r="K113" s="3712"/>
      <c r="L113" s="1924"/>
      <c r="M113" s="3177"/>
      <c r="N113" s="1923"/>
      <c r="O113" s="3712"/>
      <c r="P113" s="1924"/>
      <c r="Q113" s="3178"/>
    </row>
    <row r="114" spans="1:17" ht="12.75" customHeight="1">
      <c r="A114" s="1922">
        <f t="shared" si="1"/>
        <v>2001.09</v>
      </c>
      <c r="B114" s="1941">
        <v>0.86985385789692937</v>
      </c>
      <c r="C114" s="1941">
        <v>0.87951861738225623</v>
      </c>
      <c r="D114" s="1942">
        <v>0.87199485567926849</v>
      </c>
      <c r="E114" s="3179">
        <v>0.80877955102130272</v>
      </c>
      <c r="F114" s="1923"/>
      <c r="G114" s="3712"/>
      <c r="H114" s="1924"/>
      <c r="I114" s="3177"/>
      <c r="J114" s="1923"/>
      <c r="K114" s="3712"/>
      <c r="L114" s="1924"/>
      <c r="M114" s="3177"/>
      <c r="N114" s="1923"/>
      <c r="O114" s="3712"/>
      <c r="P114" s="1924"/>
      <c r="Q114" s="3178"/>
    </row>
    <row r="115" spans="1:17" ht="12.75" customHeight="1">
      <c r="A115" s="1922">
        <f t="shared" si="1"/>
        <v>2001.1</v>
      </c>
      <c r="B115" s="1941">
        <v>0.86894110463575747</v>
      </c>
      <c r="C115" s="1941">
        <v>0.87861376283762416</v>
      </c>
      <c r="D115" s="1942">
        <v>0.87012161216545703</v>
      </c>
      <c r="E115" s="3179">
        <v>0.8062935483029996</v>
      </c>
      <c r="F115" s="1923"/>
      <c r="G115" s="3712"/>
      <c r="H115" s="1924"/>
      <c r="I115" s="3177"/>
      <c r="J115" s="1923"/>
      <c r="K115" s="3712"/>
      <c r="L115" s="1924"/>
      <c r="M115" s="3177"/>
      <c r="N115" s="1923"/>
      <c r="O115" s="3712"/>
      <c r="P115" s="1924"/>
      <c r="Q115" s="3178"/>
    </row>
    <row r="116" spans="1:17" ht="12.75" customHeight="1">
      <c r="A116" s="1922">
        <f t="shared" si="1"/>
        <v>2001.11</v>
      </c>
      <c r="B116" s="1941">
        <v>0.86894110463575747</v>
      </c>
      <c r="C116" s="1941">
        <v>0.87680405374836035</v>
      </c>
      <c r="D116" s="1942">
        <v>0.87386809919307995</v>
      </c>
      <c r="E116" s="3179">
        <v>0.80132154286639334</v>
      </c>
      <c r="F116" s="1923"/>
      <c r="G116" s="3712"/>
      <c r="H116" s="1924"/>
      <c r="I116" s="3177"/>
      <c r="J116" s="1923"/>
      <c r="K116" s="3712"/>
      <c r="L116" s="1924"/>
      <c r="M116" s="3177"/>
      <c r="N116" s="1923"/>
      <c r="O116" s="3712"/>
      <c r="P116" s="1924"/>
      <c r="Q116" s="3178"/>
    </row>
    <row r="117" spans="1:17" ht="12.75" customHeight="1">
      <c r="A117" s="1922">
        <f t="shared" si="1"/>
        <v>2001.12</v>
      </c>
      <c r="B117" s="1941">
        <v>0.86711559811341343</v>
      </c>
      <c r="C117" s="1941">
        <v>0.8731846355698325</v>
      </c>
      <c r="D117" s="1942">
        <v>0.87293147743617427</v>
      </c>
      <c r="E117" s="3179">
        <v>0.80132154286639334</v>
      </c>
      <c r="F117" s="1923"/>
      <c r="G117" s="3712"/>
      <c r="H117" s="1924"/>
      <c r="I117" s="3177"/>
      <c r="J117" s="1923"/>
      <c r="K117" s="3712"/>
      <c r="L117" s="1924"/>
      <c r="M117" s="3177"/>
      <c r="N117" s="1923"/>
      <c r="O117" s="3712"/>
      <c r="P117" s="1924"/>
      <c r="Q117" s="3178"/>
    </row>
    <row r="118" spans="1:17" ht="12.75" customHeight="1">
      <c r="A118" s="1922">
        <f t="shared" si="1"/>
        <v>2002.01</v>
      </c>
      <c r="B118" s="1941">
        <v>0.89084718290388576</v>
      </c>
      <c r="C118" s="1941">
        <v>0.92114192643532578</v>
      </c>
      <c r="D118" s="1942">
        <v>0.87199485567926849</v>
      </c>
      <c r="E118" s="3179">
        <v>0.81292288888514153</v>
      </c>
      <c r="F118" s="1923"/>
      <c r="G118" s="3712"/>
      <c r="H118" s="1924"/>
      <c r="I118" s="3177"/>
      <c r="J118" s="1923"/>
      <c r="K118" s="3712"/>
      <c r="L118" s="1924"/>
      <c r="M118" s="3177"/>
      <c r="N118" s="1923"/>
      <c r="O118" s="3712"/>
      <c r="P118" s="1924"/>
      <c r="Q118" s="3178"/>
    </row>
    <row r="119" spans="1:17" ht="12.75" customHeight="1">
      <c r="A119" s="1922">
        <f t="shared" si="1"/>
        <v>2002.02</v>
      </c>
      <c r="B119" s="1941">
        <v>0.94013585900717445</v>
      </c>
      <c r="C119" s="1941">
        <v>1.0261050536126322</v>
      </c>
      <c r="D119" s="1942">
        <v>0.87293147743617427</v>
      </c>
      <c r="E119" s="3179">
        <v>0.82452423490388982</v>
      </c>
      <c r="F119" s="1923"/>
      <c r="G119" s="3712"/>
      <c r="H119" s="1924"/>
      <c r="I119" s="3177"/>
      <c r="J119" s="1923"/>
      <c r="K119" s="3712"/>
      <c r="L119" s="1924"/>
      <c r="M119" s="3177"/>
      <c r="N119" s="1923"/>
      <c r="O119" s="3712"/>
      <c r="P119" s="1924"/>
      <c r="Q119" s="3178"/>
    </row>
    <row r="120" spans="1:17" ht="12.75" customHeight="1">
      <c r="A120" s="1922">
        <f t="shared" si="1"/>
        <v>2002.03</v>
      </c>
      <c r="B120" s="1941">
        <v>0.98029700249874319</v>
      </c>
      <c r="C120" s="1941">
        <v>1.1075419626295075</v>
      </c>
      <c r="D120" s="1942">
        <v>0.87574134270689163</v>
      </c>
      <c r="E120" s="3179">
        <v>0.83032490791326385</v>
      </c>
      <c r="F120" s="1923"/>
      <c r="G120" s="3712"/>
      <c r="H120" s="1924"/>
      <c r="I120" s="3177"/>
      <c r="J120" s="1923"/>
      <c r="K120" s="3712"/>
      <c r="L120" s="1924"/>
      <c r="M120" s="3177"/>
      <c r="N120" s="1923"/>
      <c r="O120" s="3712"/>
      <c r="P120" s="1924"/>
      <c r="Q120" s="3178"/>
    </row>
    <row r="121" spans="1:17" ht="12.75" customHeight="1">
      <c r="A121" s="1922">
        <f t="shared" si="1"/>
        <v>2002.04</v>
      </c>
      <c r="B121" s="1941">
        <v>1.0441897307807841</v>
      </c>
      <c r="C121" s="1941">
        <v>1.2324118897887166</v>
      </c>
      <c r="D121" s="1942">
        <v>0.88136107324832613</v>
      </c>
      <c r="E121" s="3179">
        <v>0.87010095140611476</v>
      </c>
      <c r="F121" s="1923"/>
      <c r="G121" s="3712"/>
      <c r="H121" s="1924"/>
      <c r="I121" s="3177"/>
      <c r="J121" s="1923"/>
      <c r="K121" s="3712"/>
      <c r="L121" s="1924"/>
      <c r="M121" s="3177"/>
      <c r="N121" s="1923"/>
      <c r="O121" s="3712"/>
      <c r="P121" s="1924"/>
      <c r="Q121" s="3178"/>
    </row>
    <row r="122" spans="1:17" ht="12.75" customHeight="1">
      <c r="A122" s="1922">
        <f t="shared" si="1"/>
        <v>2002.05</v>
      </c>
      <c r="B122" s="1941">
        <v>1.0889146405782126</v>
      </c>
      <c r="C122" s="1941">
        <v>1.323802198796544</v>
      </c>
      <c r="D122" s="1942">
        <v>0.88417093851904349</v>
      </c>
      <c r="E122" s="3179">
        <v>0.88750297043423709</v>
      </c>
      <c r="F122" s="1923"/>
      <c r="G122" s="3712"/>
      <c r="H122" s="1924"/>
      <c r="I122" s="3177"/>
      <c r="J122" s="1923"/>
      <c r="K122" s="3712"/>
      <c r="L122" s="1924"/>
      <c r="M122" s="3177"/>
      <c r="N122" s="1923"/>
      <c r="O122" s="3712"/>
      <c r="P122" s="1924"/>
      <c r="Q122" s="3178"/>
    </row>
    <row r="123" spans="1:17" ht="12.75" customHeight="1">
      <c r="A123" s="1922">
        <f t="shared" si="1"/>
        <v>2002.06</v>
      </c>
      <c r="B123" s="1941">
        <v>1.1226865112415771</v>
      </c>
      <c r="C123" s="1941">
        <v>1.3889517260100444</v>
      </c>
      <c r="D123" s="1942">
        <v>0.88604418203285495</v>
      </c>
      <c r="E123" s="3179">
        <v>0.91153433004450135</v>
      </c>
      <c r="F123" s="1923"/>
      <c r="G123" s="3712"/>
      <c r="H123" s="1924"/>
      <c r="I123" s="3177"/>
      <c r="J123" s="1923"/>
      <c r="K123" s="3712"/>
      <c r="L123" s="1924"/>
      <c r="M123" s="3177"/>
      <c r="N123" s="1923"/>
      <c r="O123" s="3712"/>
      <c r="P123" s="1924"/>
      <c r="Q123" s="3178"/>
    </row>
    <row r="124" spans="1:17" ht="12.75" customHeight="1">
      <c r="A124" s="1922">
        <f t="shared" si="1"/>
        <v>2002.07</v>
      </c>
      <c r="B124" s="1941">
        <v>1.1719751873448658</v>
      </c>
      <c r="C124" s="1941">
        <v>1.4378138714201696</v>
      </c>
      <c r="D124" s="1942">
        <v>0.93662175690576632</v>
      </c>
      <c r="E124" s="3179">
        <v>0.95545371140119084</v>
      </c>
      <c r="F124" s="1923"/>
      <c r="G124" s="3712"/>
      <c r="H124" s="1924"/>
      <c r="I124" s="3177"/>
      <c r="J124" s="1923"/>
      <c r="K124" s="3712"/>
      <c r="L124" s="1924"/>
      <c r="M124" s="3177"/>
      <c r="N124" s="1923"/>
      <c r="O124" s="3712"/>
      <c r="P124" s="1924"/>
      <c r="Q124" s="3178"/>
    </row>
    <row r="125" spans="1:17" ht="12.75" customHeight="1">
      <c r="A125" s="1922">
        <f t="shared" si="1"/>
        <v>2002.08</v>
      </c>
      <c r="B125" s="1941">
        <v>1.1938812656129942</v>
      </c>
      <c r="C125" s="1941">
        <v>1.4631497986698641</v>
      </c>
      <c r="D125" s="1942">
        <v>0.95348094853007015</v>
      </c>
      <c r="E125" s="3179">
        <v>0.98197107372975811</v>
      </c>
      <c r="F125" s="1923"/>
      <c r="G125" s="3712"/>
      <c r="H125" s="1924"/>
      <c r="I125" s="3177"/>
      <c r="J125" s="1923"/>
      <c r="K125" s="3712"/>
      <c r="L125" s="1924"/>
      <c r="M125" s="3177"/>
      <c r="N125" s="1923"/>
      <c r="O125" s="3712"/>
      <c r="P125" s="1924"/>
      <c r="Q125" s="3178"/>
    </row>
    <row r="126" spans="1:17" ht="12.75" customHeight="1">
      <c r="A126" s="1922">
        <f t="shared" si="1"/>
        <v>2002.09</v>
      </c>
      <c r="B126" s="1941">
        <v>1.2084853177917463</v>
      </c>
      <c r="C126" s="1941">
        <v>1.4857711622856626</v>
      </c>
      <c r="D126" s="1942">
        <v>0.96097392258531622</v>
      </c>
      <c r="E126" s="3179">
        <v>0.99440108732127408</v>
      </c>
      <c r="F126" s="1923"/>
      <c r="G126" s="3712"/>
      <c r="H126" s="1924"/>
      <c r="I126" s="3177"/>
      <c r="J126" s="1923"/>
      <c r="K126" s="3712"/>
      <c r="L126" s="1924"/>
      <c r="M126" s="3177"/>
      <c r="N126" s="1923"/>
      <c r="O126" s="3712"/>
      <c r="P126" s="1924"/>
      <c r="Q126" s="3178"/>
    </row>
    <row r="127" spans="1:17" ht="12.75" customHeight="1">
      <c r="A127" s="1922">
        <f t="shared" si="1"/>
        <v>2002.1</v>
      </c>
      <c r="B127" s="1941">
        <v>1.2148745906199503</v>
      </c>
      <c r="C127" s="1941">
        <v>1.5047731077229338</v>
      </c>
      <c r="D127" s="1942">
        <v>0.95535419204388172</v>
      </c>
      <c r="E127" s="3179">
        <v>0.99854442518511266</v>
      </c>
      <c r="F127" s="1923"/>
      <c r="G127" s="3712"/>
      <c r="H127" s="1924"/>
      <c r="I127" s="3177"/>
      <c r="J127" s="1923"/>
      <c r="K127" s="3712"/>
      <c r="L127" s="1924"/>
      <c r="M127" s="3177"/>
      <c r="N127" s="1923"/>
      <c r="O127" s="3712"/>
      <c r="P127" s="1924"/>
      <c r="Q127" s="3178"/>
    </row>
    <row r="128" spans="1:17" ht="12.75" customHeight="1">
      <c r="A128" s="1922">
        <f t="shared" si="1"/>
        <v>2002.11</v>
      </c>
      <c r="B128" s="1941">
        <v>1.2221766167093266</v>
      </c>
      <c r="C128" s="1941">
        <v>1.5165362168031491</v>
      </c>
      <c r="D128" s="1942">
        <v>0.95910067907150476</v>
      </c>
      <c r="E128" s="3179">
        <v>1.0026877630489512</v>
      </c>
      <c r="F128" s="1923"/>
      <c r="G128" s="3712"/>
      <c r="H128" s="1924"/>
      <c r="I128" s="3177"/>
      <c r="J128" s="1923"/>
      <c r="K128" s="3712"/>
      <c r="L128" s="1924"/>
      <c r="M128" s="3177"/>
      <c r="N128" s="1923"/>
      <c r="O128" s="3712"/>
      <c r="P128" s="1924"/>
      <c r="Q128" s="3178"/>
    </row>
    <row r="129" spans="1:17" ht="12.75" customHeight="1">
      <c r="A129" s="1922">
        <f t="shared" si="1"/>
        <v>2002.12</v>
      </c>
      <c r="B129" s="1941">
        <v>1.2249148764928426</v>
      </c>
      <c r="C129" s="1941">
        <v>1.5192507804370452</v>
      </c>
      <c r="D129" s="1942">
        <v>0.96284716609912779</v>
      </c>
      <c r="E129" s="3179">
        <v>1.003516430621719</v>
      </c>
      <c r="F129" s="1923"/>
      <c r="G129" s="3712"/>
      <c r="H129" s="1924"/>
      <c r="I129" s="3177"/>
      <c r="J129" s="1923"/>
      <c r="K129" s="3712"/>
      <c r="L129" s="1924"/>
      <c r="M129" s="3177"/>
      <c r="N129" s="1923"/>
      <c r="O129" s="3712"/>
      <c r="P129" s="1924"/>
      <c r="Q129" s="3178"/>
    </row>
    <row r="130" spans="1:17" ht="12.75" customHeight="1">
      <c r="A130" s="1922">
        <f t="shared" si="1"/>
        <v>2003.01</v>
      </c>
      <c r="B130" s="1941">
        <v>1.2386061754104229</v>
      </c>
      <c r="C130" s="1941">
        <v>1.5138216531692537</v>
      </c>
      <c r="D130" s="1942">
        <v>0.99469230583392398</v>
      </c>
      <c r="E130" s="3179">
        <v>1.0258904550864478</v>
      </c>
      <c r="F130" s="1923"/>
      <c r="G130" s="3712"/>
      <c r="H130" s="1924"/>
      <c r="I130" s="3177"/>
      <c r="J130" s="1923"/>
      <c r="K130" s="3712"/>
      <c r="L130" s="1924"/>
      <c r="M130" s="3177"/>
      <c r="N130" s="1923"/>
      <c r="O130" s="3712"/>
      <c r="P130" s="1924"/>
      <c r="Q130" s="3178"/>
    </row>
    <row r="131" spans="1:17" ht="12.75" customHeight="1">
      <c r="A131" s="1922">
        <f t="shared" si="1"/>
        <v>2003.02</v>
      </c>
      <c r="B131" s="1941">
        <v>1.2386061754104229</v>
      </c>
      <c r="C131" s="1941">
        <v>1.5120119440799895</v>
      </c>
      <c r="D131" s="1942">
        <v>0.99188244056320674</v>
      </c>
      <c r="E131" s="3179">
        <v>1.0358344659596606</v>
      </c>
      <c r="F131" s="1923"/>
      <c r="G131" s="3712"/>
      <c r="H131" s="1924"/>
      <c r="I131" s="3177"/>
      <c r="J131" s="1923"/>
      <c r="K131" s="3712"/>
      <c r="L131" s="1924"/>
      <c r="M131" s="3177"/>
      <c r="N131" s="1923"/>
      <c r="O131" s="3712"/>
      <c r="P131" s="1924"/>
      <c r="Q131" s="3178"/>
    </row>
    <row r="132" spans="1:17" ht="12.75" customHeight="1">
      <c r="A132" s="1922">
        <f t="shared" si="1"/>
        <v>2003.03</v>
      </c>
      <c r="B132" s="1941">
        <v>1.2440826949774553</v>
      </c>
      <c r="C132" s="1941">
        <v>1.5156313622585174</v>
      </c>
      <c r="D132" s="1942">
        <v>0.99937541461845292</v>
      </c>
      <c r="E132" s="3179">
        <v>1.049921814696712</v>
      </c>
      <c r="F132" s="1923"/>
      <c r="G132" s="3712"/>
      <c r="H132" s="1924"/>
      <c r="I132" s="3177"/>
      <c r="J132" s="1923"/>
      <c r="K132" s="3712"/>
      <c r="L132" s="1924"/>
      <c r="M132" s="3177"/>
      <c r="N132" s="1923"/>
      <c r="O132" s="3712"/>
      <c r="P132" s="1924"/>
      <c r="Q132" s="3178"/>
    </row>
    <row r="133" spans="1:17" ht="12.75" customHeight="1">
      <c r="A133" s="1922">
        <f t="shared" si="1"/>
        <v>2003.04</v>
      </c>
      <c r="B133" s="1941">
        <v>1.237693422149251</v>
      </c>
      <c r="C133" s="1941">
        <v>1.5165362168031493</v>
      </c>
      <c r="D133" s="1942">
        <v>0.98345284475105488</v>
      </c>
      <c r="E133" s="3179">
        <v>1.049921814696712</v>
      </c>
      <c r="F133" s="1923"/>
      <c r="G133" s="3712"/>
      <c r="H133" s="1924"/>
      <c r="I133" s="3177"/>
      <c r="J133" s="1923"/>
      <c r="K133" s="3712"/>
      <c r="L133" s="1924"/>
      <c r="M133" s="3177"/>
      <c r="N133" s="1923"/>
      <c r="O133" s="3712"/>
      <c r="P133" s="1924"/>
      <c r="Q133" s="3178"/>
    </row>
    <row r="134" spans="1:17" ht="12.75" customHeight="1">
      <c r="A134" s="1922">
        <f t="shared" si="1"/>
        <v>2003.05</v>
      </c>
      <c r="B134" s="1941">
        <v>1.2550357341115193</v>
      </c>
      <c r="C134" s="1941">
        <v>1.5156313622585174</v>
      </c>
      <c r="D134" s="1942">
        <v>1.0181078497565683</v>
      </c>
      <c r="E134" s="3179">
        <v>1.0722958391614408</v>
      </c>
      <c r="F134" s="1923"/>
      <c r="G134" s="3712"/>
      <c r="H134" s="1924"/>
      <c r="I134" s="3177"/>
      <c r="J134" s="1923"/>
      <c r="K134" s="3712"/>
      <c r="L134" s="1924"/>
      <c r="M134" s="3177"/>
      <c r="N134" s="1923"/>
      <c r="O134" s="3712"/>
      <c r="P134" s="1924"/>
      <c r="Q134" s="3178"/>
    </row>
    <row r="135" spans="1:17" ht="12.75" customHeight="1">
      <c r="A135" s="1922">
        <f t="shared" si="1"/>
        <v>2003.06</v>
      </c>
      <c r="B135" s="1941">
        <v>1.2559484873726912</v>
      </c>
      <c r="C135" s="1941">
        <v>1.5174410713477813</v>
      </c>
      <c r="D135" s="1942">
        <v>1.0181078497565683</v>
      </c>
      <c r="E135" s="3179">
        <v>1.0772678445980473</v>
      </c>
      <c r="F135" s="1923"/>
      <c r="G135" s="3712"/>
      <c r="H135" s="1924"/>
      <c r="I135" s="3177"/>
      <c r="J135" s="1923"/>
      <c r="K135" s="3712"/>
      <c r="L135" s="1924"/>
      <c r="M135" s="3177"/>
      <c r="N135" s="1923"/>
      <c r="O135" s="3712"/>
      <c r="P135" s="1924"/>
      <c r="Q135" s="3178"/>
    </row>
    <row r="136" spans="1:17" ht="12.75" customHeight="1">
      <c r="A136" s="1922">
        <f t="shared" si="1"/>
        <v>2003.07</v>
      </c>
      <c r="B136" s="1941">
        <v>1.2659887732455832</v>
      </c>
      <c r="C136" s="1941">
        <v>1.5192507804370454</v>
      </c>
      <c r="D136" s="1942">
        <v>1.0377769066515892</v>
      </c>
      <c r="E136" s="3179">
        <v>1.0814111824618859</v>
      </c>
      <c r="F136" s="1923"/>
      <c r="G136" s="3712"/>
      <c r="H136" s="1924"/>
      <c r="I136" s="3177"/>
      <c r="J136" s="1923"/>
      <c r="K136" s="3712"/>
      <c r="L136" s="1924"/>
      <c r="M136" s="3177"/>
      <c r="N136" s="1923"/>
      <c r="O136" s="3712"/>
      <c r="P136" s="1924"/>
      <c r="Q136" s="3178"/>
    </row>
    <row r="137" spans="1:17" ht="12.75" customHeight="1">
      <c r="A137" s="1922">
        <f t="shared" si="1"/>
        <v>2003.08</v>
      </c>
      <c r="B137" s="1941">
        <v>1.2860693449913676</v>
      </c>
      <c r="C137" s="1941">
        <v>1.5310138895172607</v>
      </c>
      <c r="D137" s="1942">
        <v>1.0696220463863853</v>
      </c>
      <c r="E137" s="3179">
        <v>1.0847258527529569</v>
      </c>
      <c r="F137" s="1923"/>
      <c r="G137" s="3712"/>
      <c r="H137" s="1924"/>
      <c r="I137" s="3177"/>
      <c r="J137" s="1923"/>
      <c r="K137" s="3712"/>
      <c r="L137" s="1924"/>
      <c r="M137" s="3177"/>
      <c r="N137" s="1923"/>
      <c r="O137" s="3712"/>
      <c r="P137" s="1924"/>
      <c r="Q137" s="3178"/>
    </row>
    <row r="138" spans="1:17" ht="12.75" customHeight="1">
      <c r="A138" s="1922">
        <f t="shared" si="1"/>
        <v>2003.09</v>
      </c>
      <c r="B138" s="1941">
        <v>1.3015861504312918</v>
      </c>
      <c r="C138" s="1941">
        <v>1.5436818531421079</v>
      </c>
      <c r="D138" s="1942">
        <v>1.0883544815245005</v>
      </c>
      <c r="E138" s="3179">
        <v>1.0921838609078665</v>
      </c>
      <c r="F138" s="1923"/>
      <c r="G138" s="3712"/>
      <c r="H138" s="1924"/>
      <c r="I138" s="3177"/>
      <c r="J138" s="1923"/>
      <c r="K138" s="3712"/>
      <c r="L138" s="1924"/>
      <c r="M138" s="3177"/>
      <c r="N138" s="1923"/>
      <c r="O138" s="3712"/>
      <c r="P138" s="1924"/>
      <c r="Q138" s="3178"/>
    </row>
    <row r="139" spans="1:17" ht="12.75" customHeight="1">
      <c r="A139" s="1922">
        <f t="shared" si="1"/>
        <v>2003.1</v>
      </c>
      <c r="B139" s="1941">
        <v>1.3152774493488721</v>
      </c>
      <c r="C139" s="1941">
        <v>1.5463964167760038</v>
      </c>
      <c r="D139" s="1942">
        <v>1.1145798907178621</v>
      </c>
      <c r="E139" s="3179">
        <v>1.1029565393538467</v>
      </c>
      <c r="F139" s="1923"/>
      <c r="G139" s="3712"/>
      <c r="H139" s="1924"/>
      <c r="I139" s="3177"/>
      <c r="J139" s="1923"/>
      <c r="K139" s="3712"/>
      <c r="L139" s="1924"/>
      <c r="M139" s="3177"/>
      <c r="N139" s="1923"/>
      <c r="O139" s="3712"/>
      <c r="P139" s="1924"/>
      <c r="Q139" s="3178"/>
    </row>
    <row r="140" spans="1:17" ht="12.75" customHeight="1">
      <c r="A140" s="1922">
        <f t="shared" si="1"/>
        <v>2003.11</v>
      </c>
      <c r="B140" s="1941">
        <v>1.3307942547887965</v>
      </c>
      <c r="C140" s="1941">
        <v>1.560874089490115</v>
      </c>
      <c r="D140" s="1942">
        <v>1.1333123258559774</v>
      </c>
      <c r="E140" s="3179">
        <v>1.1095858799359888</v>
      </c>
      <c r="F140" s="1923"/>
      <c r="G140" s="3712"/>
      <c r="H140" s="1924"/>
      <c r="I140" s="3177"/>
      <c r="J140" s="1923"/>
      <c r="K140" s="3712"/>
      <c r="L140" s="1924"/>
      <c r="M140" s="3177"/>
      <c r="N140" s="1923"/>
      <c r="O140" s="3712"/>
      <c r="P140" s="1924"/>
      <c r="Q140" s="3178"/>
    </row>
    <row r="141" spans="1:17" ht="12.75" customHeight="1">
      <c r="A141" s="1922">
        <f t="shared" si="1"/>
        <v>2003.12</v>
      </c>
      <c r="B141" s="1941">
        <v>1.3481365667510645</v>
      </c>
      <c r="C141" s="1941">
        <v>1.5780663258381222</v>
      </c>
      <c r="D141" s="1942">
        <v>1.1539180045079045</v>
      </c>
      <c r="E141" s="3179">
        <v>1.1170438880908986</v>
      </c>
      <c r="F141" s="1923"/>
      <c r="G141" s="3712"/>
      <c r="H141" s="1924"/>
      <c r="I141" s="3177"/>
      <c r="J141" s="1923"/>
      <c r="K141" s="3712"/>
      <c r="L141" s="1924"/>
      <c r="M141" s="3177"/>
      <c r="N141" s="1923"/>
      <c r="O141" s="3712"/>
      <c r="P141" s="1924"/>
      <c r="Q141" s="3178"/>
    </row>
    <row r="142" spans="1:17" ht="12.75" customHeight="1">
      <c r="A142" s="1922">
        <f t="shared" si="1"/>
        <v>2004.01</v>
      </c>
      <c r="B142" s="1941">
        <v>1.3782574243697412</v>
      </c>
      <c r="C142" s="1941">
        <v>1.5880197258290736</v>
      </c>
      <c r="D142" s="1942">
        <v>1.2073054446515332</v>
      </c>
      <c r="E142" s="3179">
        <v>1.1319599044007176</v>
      </c>
      <c r="F142" s="1923"/>
      <c r="G142" s="3712"/>
      <c r="H142" s="1924"/>
      <c r="I142" s="3177"/>
      <c r="J142" s="1923"/>
      <c r="K142" s="3712"/>
      <c r="L142" s="1924"/>
      <c r="M142" s="3177"/>
      <c r="N142" s="1923"/>
      <c r="O142" s="3712"/>
      <c r="P142" s="1924"/>
      <c r="Q142" s="3178"/>
    </row>
    <row r="143" spans="1:17" ht="12.75" customHeight="1">
      <c r="A143" s="1922">
        <f t="shared" si="1"/>
        <v>2004.02</v>
      </c>
      <c r="B143" s="1941">
        <v>1.4065527754660736</v>
      </c>
      <c r="C143" s="1941">
        <v>1.6160702167126639</v>
      </c>
      <c r="D143" s="1942">
        <v>1.2391505843863293</v>
      </c>
      <c r="E143" s="3179">
        <v>1.1501905910016079</v>
      </c>
      <c r="F143" s="1923"/>
      <c r="G143" s="3712"/>
      <c r="H143" s="1924"/>
      <c r="I143" s="3177"/>
      <c r="J143" s="1923"/>
      <c r="K143" s="3712"/>
      <c r="L143" s="1924"/>
      <c r="M143" s="3177"/>
      <c r="N143" s="1923"/>
      <c r="O143" s="3712"/>
      <c r="P143" s="1924"/>
      <c r="Q143" s="3178"/>
    </row>
    <row r="144" spans="1:17" ht="12.75" customHeight="1">
      <c r="A144" s="1922">
        <f t="shared" si="1"/>
        <v>2004.03</v>
      </c>
      <c r="B144" s="1941">
        <v>1.4257205939506856</v>
      </c>
      <c r="C144" s="1941">
        <v>1.6522643984979422</v>
      </c>
      <c r="D144" s="1942">
        <v>1.2428970714139522</v>
      </c>
      <c r="E144" s="3179">
        <v>1.1518479261471433</v>
      </c>
      <c r="F144" s="1923"/>
      <c r="G144" s="3712"/>
      <c r="H144" s="1924"/>
      <c r="I144" s="3177"/>
      <c r="J144" s="1923"/>
      <c r="K144" s="3712"/>
      <c r="L144" s="1924"/>
      <c r="M144" s="3177"/>
      <c r="N144" s="1923"/>
      <c r="O144" s="3712"/>
      <c r="P144" s="1924"/>
      <c r="Q144" s="3178"/>
    </row>
    <row r="145" spans="1:17" ht="12.75" customHeight="1">
      <c r="A145" s="1922">
        <f t="shared" si="1"/>
        <v>2004.04</v>
      </c>
      <c r="B145" s="1941">
        <v>1.439411892868266</v>
      </c>
      <c r="C145" s="1941">
        <v>1.6803148893815325</v>
      </c>
      <c r="D145" s="1942">
        <v>1.2428970714139522</v>
      </c>
      <c r="E145" s="3179">
        <v>1.1617919370203558</v>
      </c>
      <c r="F145" s="1923"/>
      <c r="G145" s="3712"/>
      <c r="H145" s="1924"/>
      <c r="I145" s="3177"/>
      <c r="J145" s="1923"/>
      <c r="K145" s="3712"/>
      <c r="L145" s="1924"/>
      <c r="M145" s="3177"/>
      <c r="N145" s="1923"/>
      <c r="O145" s="3712"/>
      <c r="P145" s="1924"/>
      <c r="Q145" s="3178"/>
    </row>
    <row r="146" spans="1:17" ht="12.75" customHeight="1">
      <c r="A146" s="1922">
        <f t="shared" si="1"/>
        <v>2004.05</v>
      </c>
      <c r="B146" s="1941">
        <v>1.4521904385246742</v>
      </c>
      <c r="C146" s="1941">
        <v>1.7083653802651231</v>
      </c>
      <c r="D146" s="1942">
        <v>1.2419604496570467</v>
      </c>
      <c r="E146" s="3179">
        <v>1.1659352748841945</v>
      </c>
      <c r="F146" s="1923"/>
      <c r="G146" s="3712"/>
      <c r="H146" s="1924"/>
      <c r="I146" s="3177"/>
      <c r="J146" s="1923"/>
      <c r="K146" s="3712"/>
      <c r="L146" s="1924"/>
      <c r="M146" s="3177"/>
      <c r="N146" s="1923"/>
      <c r="O146" s="3712"/>
      <c r="P146" s="1924"/>
      <c r="Q146" s="3178"/>
    </row>
    <row r="147" spans="1:17" ht="12.75" customHeight="1">
      <c r="A147" s="1922">
        <f t="shared" si="1"/>
        <v>2004.06</v>
      </c>
      <c r="B147" s="1941">
        <v>1.4622307243975661</v>
      </c>
      <c r="C147" s="1941">
        <v>1.7337013075148175</v>
      </c>
      <c r="D147" s="1942">
        <v>1.237277340872518</v>
      </c>
      <c r="E147" s="3179">
        <v>1.1700786127480329</v>
      </c>
      <c r="F147" s="1923"/>
      <c r="G147" s="3712"/>
      <c r="H147" s="1924"/>
      <c r="I147" s="3177"/>
      <c r="J147" s="1923"/>
      <c r="K147" s="3712"/>
      <c r="L147" s="1924"/>
      <c r="M147" s="3177"/>
      <c r="N147" s="1923"/>
      <c r="O147" s="3712"/>
      <c r="P147" s="1924"/>
      <c r="Q147" s="3178"/>
    </row>
    <row r="148" spans="1:17" ht="12.75" customHeight="1">
      <c r="A148" s="1922">
        <f t="shared" si="1"/>
        <v>2004.07</v>
      </c>
      <c r="B148" s="1941">
        <v>1.4686199972257703</v>
      </c>
      <c r="C148" s="1941">
        <v>1.7472741256842967</v>
      </c>
      <c r="D148" s="1942">
        <v>1.2344674756018008</v>
      </c>
      <c r="E148" s="3179">
        <v>1.1808512911940134</v>
      </c>
      <c r="F148" s="1923"/>
      <c r="G148" s="3712"/>
      <c r="H148" s="1924"/>
      <c r="I148" s="3177"/>
      <c r="J148" s="1923"/>
      <c r="K148" s="3712"/>
      <c r="L148" s="1924"/>
      <c r="M148" s="3177"/>
      <c r="N148" s="1923"/>
      <c r="O148" s="3712"/>
      <c r="P148" s="1924"/>
      <c r="Q148" s="3178"/>
    </row>
    <row r="149" spans="1:17" ht="12.75" customHeight="1">
      <c r="A149" s="1922">
        <f t="shared" si="1"/>
        <v>2004.08</v>
      </c>
      <c r="B149" s="1941">
        <v>1.4768347765763186</v>
      </c>
      <c r="C149" s="1941">
        <v>1.7635615074876718</v>
      </c>
      <c r="D149" s="1942">
        <v>1.2354040973587064</v>
      </c>
      <c r="E149" s="3179">
        <v>1.1833372939123168</v>
      </c>
      <c r="F149" s="1923"/>
      <c r="G149" s="3712"/>
      <c r="H149" s="1924"/>
      <c r="I149" s="3177"/>
      <c r="J149" s="1923"/>
      <c r="K149" s="3712"/>
      <c r="L149" s="1924"/>
      <c r="M149" s="3177"/>
      <c r="N149" s="1923"/>
      <c r="O149" s="3712"/>
      <c r="P149" s="1924"/>
      <c r="Q149" s="3178"/>
    </row>
    <row r="150" spans="1:17" ht="12.75" customHeight="1">
      <c r="A150" s="1922">
        <f t="shared" si="1"/>
        <v>2004.09</v>
      </c>
      <c r="B150" s="1941">
        <v>1.4804857896210064</v>
      </c>
      <c r="C150" s="1941">
        <v>1.7698954893000953</v>
      </c>
      <c r="D150" s="1942">
        <v>1.2354040973587064</v>
      </c>
      <c r="E150" s="3179">
        <v>1.1949386399310646</v>
      </c>
      <c r="F150" s="1923"/>
      <c r="G150" s="3712"/>
      <c r="H150" s="1924"/>
      <c r="I150" s="3177"/>
      <c r="J150" s="1923"/>
      <c r="K150" s="3712"/>
      <c r="L150" s="1924"/>
      <c r="M150" s="3177"/>
      <c r="N150" s="1923"/>
      <c r="O150" s="3712"/>
      <c r="P150" s="1924"/>
      <c r="Q150" s="3178"/>
    </row>
    <row r="151" spans="1:17" ht="12.75" customHeight="1">
      <c r="A151" s="1922">
        <f t="shared" ref="A151:A214" si="2">A139+1</f>
        <v>2004.1</v>
      </c>
      <c r="B151" s="1941">
        <v>1.4923515820162427</v>
      </c>
      <c r="C151" s="1941">
        <v>1.7870877256481026</v>
      </c>
      <c r="D151" s="1942">
        <v>1.2419604496570467</v>
      </c>
      <c r="E151" s="3179">
        <v>1.2007393129404389</v>
      </c>
      <c r="F151" s="1923"/>
      <c r="G151" s="3712"/>
      <c r="H151" s="1924"/>
      <c r="I151" s="3177"/>
      <c r="J151" s="1923"/>
      <c r="K151" s="3712"/>
      <c r="L151" s="1924"/>
      <c r="M151" s="3177"/>
      <c r="N151" s="1923"/>
      <c r="O151" s="3712"/>
      <c r="P151" s="1924"/>
      <c r="Q151" s="3178"/>
    </row>
    <row r="152" spans="1:17" ht="12.75" customHeight="1">
      <c r="A152" s="1922">
        <f t="shared" si="2"/>
        <v>2004.11</v>
      </c>
      <c r="B152" s="1941">
        <v>1.4987408548444467</v>
      </c>
      <c r="C152" s="1941">
        <v>1.79975568927295</v>
      </c>
      <c r="D152" s="1942">
        <v>1.2419604496570467</v>
      </c>
      <c r="E152" s="3179">
        <v>1.2081973210953485</v>
      </c>
      <c r="F152" s="1923"/>
      <c r="G152" s="3712"/>
      <c r="H152" s="1924"/>
      <c r="I152" s="3177"/>
      <c r="J152" s="1923"/>
      <c r="K152" s="3712"/>
      <c r="L152" s="1924"/>
      <c r="M152" s="3177"/>
      <c r="N152" s="1923"/>
      <c r="O152" s="3712"/>
      <c r="P152" s="1924"/>
      <c r="Q152" s="3178"/>
    </row>
    <row r="153" spans="1:17" ht="12.75" customHeight="1">
      <c r="A153" s="1922">
        <f t="shared" si="2"/>
        <v>2004.12</v>
      </c>
      <c r="B153" s="1941">
        <v>1.5060428809338231</v>
      </c>
      <c r="C153" s="1941">
        <v>1.8115187983531653</v>
      </c>
      <c r="D153" s="1942">
        <v>1.2438336931708585</v>
      </c>
      <c r="E153" s="3179">
        <v>1.2206273346868644</v>
      </c>
      <c r="F153" s="1923"/>
      <c r="G153" s="3712"/>
      <c r="H153" s="1924"/>
      <c r="I153" s="3177"/>
      <c r="J153" s="1923"/>
      <c r="K153" s="3712"/>
      <c r="L153" s="1924"/>
      <c r="M153" s="3177"/>
      <c r="N153" s="1923"/>
      <c r="O153" s="3712"/>
      <c r="P153" s="1924"/>
      <c r="Q153" s="3178"/>
    </row>
    <row r="154" spans="1:17" ht="12.75" customHeight="1">
      <c r="A154" s="1922">
        <f t="shared" si="2"/>
        <v>2005.01</v>
      </c>
      <c r="B154" s="1941">
        <v>1.5498550374700797</v>
      </c>
      <c r="C154" s="1941">
        <v>1.8323304528797002</v>
      </c>
      <c r="D154" s="1942">
        <v>1.3112704596680738</v>
      </c>
      <c r="E154" s="3179">
        <v>1.2628893808980186</v>
      </c>
      <c r="F154" s="1923"/>
      <c r="G154" s="3712"/>
      <c r="H154" s="1924"/>
      <c r="I154" s="3177"/>
      <c r="J154" s="1923"/>
      <c r="K154" s="3712"/>
      <c r="L154" s="1924"/>
      <c r="M154" s="3177"/>
      <c r="N154" s="1923"/>
      <c r="O154" s="3712"/>
      <c r="P154" s="1924"/>
      <c r="Q154" s="3178"/>
    </row>
    <row r="155" spans="1:17" ht="12.75" customHeight="1">
      <c r="A155" s="1922">
        <f t="shared" si="2"/>
        <v>2005.02</v>
      </c>
      <c r="B155" s="1941">
        <v>1.5562443102982839</v>
      </c>
      <c r="C155" s="1941">
        <v>1.8486178346830755</v>
      </c>
      <c r="D155" s="1942">
        <v>1.3047141073697335</v>
      </c>
      <c r="E155" s="3179">
        <v>1.2778053972078378</v>
      </c>
      <c r="F155" s="1923"/>
      <c r="G155" s="3712"/>
      <c r="H155" s="1924"/>
      <c r="I155" s="3177"/>
      <c r="J155" s="1923"/>
      <c r="K155" s="3712"/>
      <c r="L155" s="1924"/>
      <c r="M155" s="3177"/>
      <c r="N155" s="1923"/>
      <c r="O155" s="3712"/>
      <c r="P155" s="1924"/>
      <c r="Q155" s="3178"/>
    </row>
    <row r="156" spans="1:17" ht="12.75" customHeight="1">
      <c r="A156" s="1922">
        <f t="shared" si="2"/>
        <v>2005.03</v>
      </c>
      <c r="B156" s="1941">
        <v>1.6128350124909487</v>
      </c>
      <c r="C156" s="1941">
        <v>1.8676197801203467</v>
      </c>
      <c r="D156" s="1942">
        <v>1.4039960136017446</v>
      </c>
      <c r="E156" s="3179">
        <v>1.3184101082734567</v>
      </c>
      <c r="F156" s="1923"/>
      <c r="G156" s="3712"/>
      <c r="H156" s="1924"/>
      <c r="I156" s="3177"/>
      <c r="J156" s="1923"/>
      <c r="K156" s="3712"/>
      <c r="L156" s="1924"/>
      <c r="M156" s="3177"/>
      <c r="N156" s="1923"/>
      <c r="O156" s="3712"/>
      <c r="P156" s="1924"/>
      <c r="Q156" s="3178"/>
    </row>
    <row r="157" spans="1:17" ht="12.75" customHeight="1">
      <c r="A157" s="1922">
        <f t="shared" si="2"/>
        <v>2005.04</v>
      </c>
      <c r="B157" s="1941">
        <v>1.6475196364154852</v>
      </c>
      <c r="C157" s="1941">
        <v>1.8802877437451939</v>
      </c>
      <c r="D157" s="1942">
        <v>1.4639398060437137</v>
      </c>
      <c r="E157" s="3179">
        <v>1.3457561381747918</v>
      </c>
      <c r="F157" s="1923"/>
      <c r="G157" s="3712"/>
      <c r="H157" s="1924"/>
      <c r="I157" s="3177"/>
      <c r="J157" s="1923"/>
      <c r="K157" s="3712"/>
      <c r="L157" s="1924"/>
      <c r="M157" s="3177"/>
      <c r="N157" s="1923"/>
      <c r="O157" s="3712"/>
      <c r="P157" s="1924"/>
      <c r="Q157" s="3178"/>
    </row>
    <row r="158" spans="1:17" ht="12.75" customHeight="1">
      <c r="A158" s="1922">
        <f t="shared" si="2"/>
        <v>2005.05</v>
      </c>
      <c r="B158" s="1941">
        <v>1.6602981820718934</v>
      </c>
      <c r="C158" s="1941">
        <v>1.8947654164593051</v>
      </c>
      <c r="D158" s="1942">
        <v>1.4779891323973002</v>
      </c>
      <c r="E158" s="3179">
        <v>1.350728143611398</v>
      </c>
      <c r="F158" s="1923"/>
      <c r="G158" s="3712"/>
      <c r="H158" s="1924"/>
      <c r="I158" s="3177"/>
      <c r="J158" s="1923"/>
      <c r="K158" s="3712"/>
      <c r="L158" s="1924"/>
      <c r="M158" s="3177"/>
      <c r="N158" s="1923"/>
      <c r="O158" s="3712"/>
      <c r="P158" s="1924"/>
      <c r="Q158" s="3178"/>
    </row>
    <row r="159" spans="1:17" ht="12.75" customHeight="1">
      <c r="A159" s="1922">
        <f t="shared" si="2"/>
        <v>2005.06</v>
      </c>
      <c r="B159" s="1941">
        <v>1.6657747016389255</v>
      </c>
      <c r="C159" s="1941">
        <v>1.9020042528163605</v>
      </c>
      <c r="D159" s="1942">
        <v>1.4798623759111116</v>
      </c>
      <c r="E159" s="3179">
        <v>1.3573574841935399</v>
      </c>
      <c r="F159" s="1923"/>
      <c r="G159" s="3712"/>
      <c r="H159" s="1924"/>
      <c r="I159" s="3177"/>
      <c r="J159" s="1923"/>
      <c r="K159" s="3712"/>
      <c r="L159" s="1924"/>
      <c r="M159" s="3177"/>
      <c r="N159" s="1923"/>
      <c r="O159" s="3712"/>
      <c r="P159" s="1924"/>
      <c r="Q159" s="3178"/>
    </row>
    <row r="160" spans="1:17" ht="12.75" customHeight="1">
      <c r="A160" s="1922">
        <f t="shared" si="2"/>
        <v>2005.07</v>
      </c>
      <c r="B160" s="1941">
        <v>1.6721639744671295</v>
      </c>
      <c r="C160" s="1941">
        <v>1.9110527982626802</v>
      </c>
      <c r="D160" s="1942">
        <v>1.4836088629387347</v>
      </c>
      <c r="E160" s="3179">
        <v>1.365644159921217</v>
      </c>
      <c r="F160" s="1923"/>
      <c r="G160" s="3712"/>
      <c r="H160" s="1924"/>
      <c r="I160" s="3177"/>
      <c r="J160" s="1923"/>
      <c r="K160" s="3712"/>
      <c r="L160" s="1924"/>
      <c r="M160" s="3177"/>
      <c r="N160" s="1923"/>
      <c r="O160" s="3712"/>
      <c r="P160" s="1924"/>
      <c r="Q160" s="3178"/>
    </row>
    <row r="161" spans="1:17" ht="12.75" customHeight="1">
      <c r="A161" s="1922">
        <f t="shared" si="2"/>
        <v>2005.08</v>
      </c>
      <c r="B161" s="1941">
        <v>1.6867680266458818</v>
      </c>
      <c r="C161" s="1941">
        <v>1.9255304709767918</v>
      </c>
      <c r="D161" s="1942">
        <v>1.4967215675354155</v>
      </c>
      <c r="E161" s="3179">
        <v>1.3838748465221069</v>
      </c>
      <c r="F161" s="1923"/>
      <c r="G161" s="3712"/>
      <c r="H161" s="1924"/>
      <c r="I161" s="3177"/>
      <c r="J161" s="1923"/>
      <c r="K161" s="3712"/>
      <c r="L161" s="1924"/>
      <c r="M161" s="3177"/>
      <c r="N161" s="1923"/>
      <c r="O161" s="3712"/>
      <c r="P161" s="1924"/>
      <c r="Q161" s="3178"/>
    </row>
    <row r="162" spans="1:17" ht="12.75" customHeight="1">
      <c r="A162" s="1922">
        <f t="shared" si="2"/>
        <v>2005.09</v>
      </c>
      <c r="B162" s="1941">
        <v>1.6968083125187738</v>
      </c>
      <c r="C162" s="1941">
        <v>1.9363887255123748</v>
      </c>
      <c r="D162" s="1942">
        <v>1.507024406861379</v>
      </c>
      <c r="E162" s="3179">
        <v>1.3863608492404103</v>
      </c>
      <c r="F162" s="1923"/>
      <c r="G162" s="3712"/>
      <c r="H162" s="1924"/>
      <c r="I162" s="3177"/>
      <c r="J162" s="1923"/>
      <c r="K162" s="3712"/>
      <c r="L162" s="1924"/>
      <c r="M162" s="3177"/>
      <c r="N162" s="1923"/>
      <c r="O162" s="3712"/>
      <c r="P162" s="1924"/>
      <c r="Q162" s="3178"/>
    </row>
    <row r="163" spans="1:17" ht="12.75" customHeight="1">
      <c r="A163" s="1922">
        <f t="shared" si="2"/>
        <v>2005.1</v>
      </c>
      <c r="B163" s="1941">
        <v>1.7597882875396427</v>
      </c>
      <c r="C163" s="1941">
        <v>1.9535809618603819</v>
      </c>
      <c r="D163" s="1942">
        <v>1.6250387482315054</v>
      </c>
      <c r="E163" s="3179">
        <v>1.4137068791417453</v>
      </c>
      <c r="F163" s="1923"/>
      <c r="G163" s="3712"/>
      <c r="H163" s="1924"/>
      <c r="I163" s="3177"/>
      <c r="J163" s="1923"/>
      <c r="K163" s="3712"/>
      <c r="L163" s="1924"/>
      <c r="M163" s="3177"/>
      <c r="N163" s="1923"/>
      <c r="O163" s="3712"/>
      <c r="P163" s="1924"/>
      <c r="Q163" s="3178"/>
    </row>
    <row r="164" spans="1:17" ht="12.75" customHeight="1">
      <c r="A164" s="1922">
        <f t="shared" si="2"/>
        <v>2005.11</v>
      </c>
      <c r="B164" s="1941">
        <v>1.8036004440758993</v>
      </c>
      <c r="C164" s="1941">
        <v>1.9816314527439725</v>
      </c>
      <c r="D164" s="1942">
        <v>1.6896656494580033</v>
      </c>
      <c r="E164" s="3179">
        <v>1.4377382387520095</v>
      </c>
      <c r="F164" s="1923"/>
      <c r="G164" s="3712"/>
      <c r="H164" s="1924"/>
      <c r="I164" s="3177"/>
      <c r="J164" s="1923"/>
      <c r="K164" s="3712"/>
      <c r="L164" s="1924"/>
      <c r="M164" s="3177"/>
      <c r="N164" s="1923"/>
      <c r="O164" s="3712"/>
      <c r="P164" s="1924"/>
      <c r="Q164" s="3178"/>
    </row>
    <row r="165" spans="1:17" ht="12.75" customHeight="1">
      <c r="A165" s="1922">
        <f t="shared" si="2"/>
        <v>2005.12</v>
      </c>
      <c r="B165" s="1941">
        <v>1.8218555092993394</v>
      </c>
      <c r="C165" s="1941">
        <v>2.0006333981812432</v>
      </c>
      <c r="D165" s="1942">
        <v>1.7083980845961186</v>
      </c>
      <c r="E165" s="3179">
        <v>1.4501682523435253</v>
      </c>
      <c r="F165" s="1923"/>
      <c r="G165" s="3712"/>
      <c r="H165" s="1924"/>
      <c r="I165" s="3177"/>
      <c r="J165" s="1923"/>
      <c r="K165" s="3712"/>
      <c r="L165" s="1924"/>
      <c r="M165" s="3177"/>
      <c r="N165" s="1923"/>
      <c r="O165" s="3712"/>
      <c r="P165" s="1924"/>
      <c r="Q165" s="3178"/>
    </row>
    <row r="166" spans="1:17" ht="12.75" customHeight="1">
      <c r="A166" s="1922">
        <f t="shared" si="2"/>
        <v>2006.01</v>
      </c>
      <c r="B166" s="1941">
        <v>1.8382850680004357</v>
      </c>
      <c r="C166" s="1941">
        <v>2.023254761797042</v>
      </c>
      <c r="D166" s="1942">
        <v>1.7205741674358936</v>
      </c>
      <c r="E166" s="3179">
        <v>1.4559689253528993</v>
      </c>
      <c r="F166" s="1923"/>
      <c r="G166" s="3712"/>
      <c r="H166" s="1924"/>
      <c r="I166" s="3177"/>
      <c r="J166" s="1923"/>
      <c r="K166" s="3712"/>
      <c r="L166" s="1924"/>
      <c r="M166" s="3177"/>
      <c r="N166" s="1923"/>
      <c r="O166" s="3712"/>
      <c r="P166" s="1924"/>
      <c r="Q166" s="3178"/>
    </row>
    <row r="167" spans="1:17" ht="12.75" customHeight="1">
      <c r="A167" s="1922">
        <f t="shared" si="2"/>
        <v>2006.02</v>
      </c>
      <c r="B167" s="1941">
        <v>1.861103899529736</v>
      </c>
      <c r="C167" s="1941">
        <v>2.0476858345021047</v>
      </c>
      <c r="D167" s="1942">
        <v>1.7430530896016321</v>
      </c>
      <c r="E167" s="3179">
        <v>1.4700562740899508</v>
      </c>
      <c r="F167" s="1923"/>
      <c r="G167" s="3712"/>
      <c r="H167" s="1924"/>
      <c r="I167" s="3177"/>
      <c r="J167" s="1923"/>
      <c r="K167" s="3712"/>
      <c r="L167" s="1924"/>
      <c r="M167" s="3177"/>
      <c r="N167" s="1923"/>
      <c r="O167" s="3712"/>
      <c r="P167" s="1924"/>
      <c r="Q167" s="3178"/>
    </row>
    <row r="168" spans="1:17" ht="12.75" customHeight="1">
      <c r="A168" s="1922">
        <f t="shared" si="2"/>
        <v>2006.03</v>
      </c>
      <c r="B168" s="1941">
        <v>1.886660990842552</v>
      </c>
      <c r="C168" s="1941">
        <v>2.076641179930327</v>
      </c>
      <c r="D168" s="1942">
        <v>1.7674052552811819</v>
      </c>
      <c r="E168" s="3179">
        <v>1.4891156282636084</v>
      </c>
      <c r="F168" s="1923"/>
      <c r="G168" s="3712"/>
      <c r="H168" s="1924"/>
      <c r="I168" s="3177"/>
      <c r="J168" s="1923"/>
      <c r="K168" s="3712"/>
      <c r="L168" s="1924"/>
      <c r="M168" s="3177"/>
      <c r="N168" s="1923"/>
      <c r="O168" s="3712"/>
      <c r="P168" s="1924"/>
      <c r="Q168" s="3178"/>
    </row>
    <row r="169" spans="1:17" ht="12.75" customHeight="1">
      <c r="A169" s="1922">
        <f t="shared" si="2"/>
        <v>2006.04</v>
      </c>
      <c r="B169" s="1941">
        <v>1.9067415625883366</v>
      </c>
      <c r="C169" s="1941">
        <v>2.1101207980817094</v>
      </c>
      <c r="D169" s="1942">
        <v>1.7777080946071455</v>
      </c>
      <c r="E169" s="3179">
        <v>1.4891156282636084</v>
      </c>
      <c r="F169" s="1923"/>
      <c r="G169" s="3712"/>
      <c r="H169" s="1924"/>
      <c r="I169" s="3177"/>
      <c r="J169" s="1923"/>
      <c r="K169" s="3712"/>
      <c r="L169" s="1924"/>
      <c r="M169" s="3177"/>
      <c r="N169" s="1923"/>
      <c r="O169" s="3712"/>
      <c r="P169" s="1924"/>
      <c r="Q169" s="3178"/>
    </row>
    <row r="170" spans="1:17" ht="12.75" customHeight="1">
      <c r="A170" s="1922">
        <f t="shared" si="2"/>
        <v>2006.05</v>
      </c>
      <c r="B170" s="1941">
        <v>1.9998423952278819</v>
      </c>
      <c r="C170" s="1941">
        <v>2.1861285798307932</v>
      </c>
      <c r="D170" s="1942">
        <v>1.8994689230048953</v>
      </c>
      <c r="E170" s="3179">
        <v>1.5305490069019949</v>
      </c>
      <c r="F170" s="1923"/>
      <c r="G170" s="3712"/>
      <c r="H170" s="1924"/>
      <c r="I170" s="3177"/>
      <c r="J170" s="1923"/>
      <c r="K170" s="3712"/>
      <c r="L170" s="1924"/>
      <c r="M170" s="3177"/>
      <c r="N170" s="1923"/>
      <c r="O170" s="3712"/>
      <c r="P170" s="1924"/>
      <c r="Q170" s="3178"/>
    </row>
    <row r="171" spans="1:17" ht="12.75" customHeight="1">
      <c r="A171" s="1922">
        <f t="shared" si="2"/>
        <v>2006.06</v>
      </c>
      <c r="B171" s="1941">
        <v>2.0436545517641389</v>
      </c>
      <c r="C171" s="1941">
        <v>2.2078450889019599</v>
      </c>
      <c r="D171" s="1942">
        <v>1.9678423112590162</v>
      </c>
      <c r="E171" s="3179">
        <v>1.5678390476765427</v>
      </c>
      <c r="F171" s="1923"/>
      <c r="G171" s="3712"/>
      <c r="H171" s="1924"/>
      <c r="I171" s="3177"/>
      <c r="J171" s="1923"/>
      <c r="K171" s="3712"/>
      <c r="L171" s="1924"/>
      <c r="M171" s="3177"/>
      <c r="N171" s="1923"/>
      <c r="O171" s="3712"/>
      <c r="P171" s="1924"/>
      <c r="Q171" s="3178"/>
    </row>
    <row r="172" spans="1:17" ht="12.75" customHeight="1">
      <c r="A172" s="1922">
        <f t="shared" si="2"/>
        <v>2006.07</v>
      </c>
      <c r="B172" s="1941">
        <v>2.0436545517641389</v>
      </c>
      <c r="C172" s="1941">
        <v>2.2286567434284947</v>
      </c>
      <c r="D172" s="1942">
        <v>1.9453633890932778</v>
      </c>
      <c r="E172" s="3179">
        <v>1.5628670422399364</v>
      </c>
      <c r="F172" s="1923"/>
      <c r="G172" s="3712"/>
      <c r="H172" s="1924"/>
      <c r="I172" s="3177"/>
      <c r="J172" s="1923"/>
      <c r="K172" s="3712"/>
      <c r="L172" s="1924"/>
      <c r="M172" s="3177"/>
      <c r="N172" s="1923"/>
      <c r="O172" s="3712"/>
      <c r="P172" s="1924"/>
      <c r="Q172" s="3178"/>
    </row>
    <row r="173" spans="1:17" ht="12.75" customHeight="1">
      <c r="A173" s="1922">
        <f t="shared" si="2"/>
        <v>2006.08</v>
      </c>
      <c r="B173" s="1941">
        <v>2.0619096169875792</v>
      </c>
      <c r="C173" s="1941">
        <v>2.2440392706872379</v>
      </c>
      <c r="D173" s="1942">
        <v>1.9687789330159222</v>
      </c>
      <c r="E173" s="3179">
        <v>1.5769543909769879</v>
      </c>
      <c r="F173" s="1923"/>
      <c r="G173" s="3712"/>
      <c r="H173" s="1924"/>
      <c r="I173" s="3177"/>
      <c r="J173" s="1923"/>
      <c r="K173" s="3712"/>
      <c r="L173" s="1924"/>
      <c r="M173" s="3177"/>
      <c r="N173" s="1923"/>
      <c r="O173" s="3712"/>
      <c r="P173" s="1924"/>
      <c r="Q173" s="3178"/>
    </row>
    <row r="174" spans="1:17" ht="12.75" customHeight="1">
      <c r="A174" s="1922">
        <f t="shared" si="2"/>
        <v>2006.09</v>
      </c>
      <c r="B174" s="1941">
        <v>2.1102855398296958</v>
      </c>
      <c r="C174" s="1941">
        <v>2.2558023797674536</v>
      </c>
      <c r="D174" s="1942">
        <v>2.0605678651926875</v>
      </c>
      <c r="E174" s="3179">
        <v>1.6026430857327874</v>
      </c>
      <c r="F174" s="1923"/>
      <c r="G174" s="3712"/>
      <c r="H174" s="1924"/>
      <c r="I174" s="3177"/>
      <c r="J174" s="1923"/>
      <c r="K174" s="3712"/>
      <c r="L174" s="1924"/>
      <c r="M174" s="3177"/>
      <c r="N174" s="1923"/>
      <c r="O174" s="3712"/>
      <c r="P174" s="1924"/>
      <c r="Q174" s="3178"/>
    </row>
    <row r="175" spans="1:17" ht="12.75" customHeight="1">
      <c r="A175" s="1922">
        <f t="shared" si="2"/>
        <v>2006.1</v>
      </c>
      <c r="B175" s="1941">
        <v>2.1239768387472759</v>
      </c>
      <c r="C175" s="1941">
        <v>2.2775188888386202</v>
      </c>
      <c r="D175" s="1942">
        <v>2.0661875957341223</v>
      </c>
      <c r="E175" s="3179">
        <v>1.6092724263149292</v>
      </c>
      <c r="F175" s="1923"/>
      <c r="G175" s="3712"/>
      <c r="H175" s="1924"/>
      <c r="I175" s="3177"/>
      <c r="J175" s="1923"/>
      <c r="K175" s="3712"/>
      <c r="L175" s="1924"/>
      <c r="M175" s="3177"/>
      <c r="N175" s="1923"/>
      <c r="O175" s="3712"/>
      <c r="P175" s="1924"/>
      <c r="Q175" s="3178"/>
    </row>
    <row r="176" spans="1:17" ht="12.75" customHeight="1">
      <c r="A176" s="1922">
        <f t="shared" si="2"/>
        <v>2006.11</v>
      </c>
      <c r="B176" s="1941">
        <v>2.1431446572318884</v>
      </c>
      <c r="C176" s="1941">
        <v>2.2929014160973633</v>
      </c>
      <c r="D176" s="1942">
        <v>2.0905397614136718</v>
      </c>
      <c r="E176" s="3179">
        <v>1.6200451047609099</v>
      </c>
      <c r="F176" s="1923"/>
      <c r="G176" s="3712"/>
      <c r="H176" s="1924"/>
      <c r="I176" s="3177"/>
      <c r="J176" s="1923"/>
      <c r="K176" s="3712"/>
      <c r="L176" s="1924"/>
      <c r="M176" s="3177"/>
      <c r="N176" s="1923"/>
      <c r="O176" s="3712"/>
      <c r="P176" s="1924"/>
      <c r="Q176" s="3178"/>
    </row>
    <row r="177" spans="1:17" ht="12.75" customHeight="1">
      <c r="A177" s="1922">
        <f t="shared" si="2"/>
        <v>2006.12</v>
      </c>
      <c r="B177" s="1941">
        <v>2.1504466833212645</v>
      </c>
      <c r="C177" s="1941">
        <v>2.2983305433651551</v>
      </c>
      <c r="D177" s="1942">
        <v>2.0999059789827297</v>
      </c>
      <c r="E177" s="3179">
        <v>1.6308177832068906</v>
      </c>
      <c r="F177" s="1923"/>
      <c r="G177" s="3712"/>
      <c r="H177" s="1924"/>
      <c r="I177" s="3177"/>
      <c r="J177" s="1923"/>
      <c r="K177" s="3712"/>
      <c r="L177" s="1924"/>
      <c r="M177" s="3177"/>
      <c r="N177" s="1923"/>
      <c r="O177" s="3712"/>
      <c r="P177" s="1924"/>
      <c r="Q177" s="3178"/>
    </row>
    <row r="178" spans="1:17" ht="12.75" customHeight="1">
      <c r="A178" s="1922">
        <f t="shared" si="2"/>
        <v>2007.01</v>
      </c>
      <c r="B178" s="1941">
        <v>2.2143394116033051</v>
      </c>
      <c r="C178" s="1941">
        <v>2.331810161516537</v>
      </c>
      <c r="D178" s="1942">
        <v>2.204807615756176</v>
      </c>
      <c r="E178" s="3179">
        <v>1.648219802235013</v>
      </c>
      <c r="F178" s="1923"/>
      <c r="G178" s="3712"/>
      <c r="H178" s="1924"/>
      <c r="I178" s="3177"/>
      <c r="J178" s="1923"/>
      <c r="K178" s="3712"/>
      <c r="L178" s="1924"/>
      <c r="M178" s="3177"/>
      <c r="N178" s="1923"/>
      <c r="O178" s="3712"/>
      <c r="P178" s="1924"/>
      <c r="Q178" s="3178"/>
    </row>
    <row r="179" spans="1:17" ht="12.75" customHeight="1">
      <c r="A179" s="1922">
        <f t="shared" si="2"/>
        <v>2007.02</v>
      </c>
      <c r="B179" s="1941">
        <v>2.2271179572597131</v>
      </c>
      <c r="C179" s="1941">
        <v>2.3462878342306488</v>
      </c>
      <c r="D179" s="1942">
        <v>2.2038709939992702</v>
      </c>
      <c r="E179" s="3179">
        <v>1.7194852134930378</v>
      </c>
      <c r="F179" s="1923"/>
      <c r="G179" s="3712"/>
      <c r="H179" s="1924"/>
      <c r="I179" s="3177"/>
      <c r="J179" s="1923"/>
      <c r="K179" s="3712"/>
      <c r="L179" s="1924"/>
      <c r="M179" s="3177"/>
      <c r="N179" s="1923"/>
      <c r="O179" s="3712"/>
      <c r="P179" s="1924"/>
      <c r="Q179" s="3178"/>
    </row>
    <row r="180" spans="1:17" ht="12.75" customHeight="1">
      <c r="A180" s="1922">
        <f t="shared" si="2"/>
        <v>2007.03</v>
      </c>
      <c r="B180" s="1941">
        <v>2.245373022483153</v>
      </c>
      <c r="C180" s="1941">
        <v>2.3833868705605585</v>
      </c>
      <c r="D180" s="1942">
        <v>2.2029343722423644</v>
      </c>
      <c r="E180" s="3179">
        <v>1.7377159000939277</v>
      </c>
      <c r="F180" s="1923"/>
      <c r="G180" s="3712"/>
      <c r="H180" s="1924"/>
      <c r="I180" s="3177"/>
      <c r="J180" s="1923"/>
      <c r="K180" s="3712"/>
      <c r="L180" s="1924"/>
      <c r="M180" s="3177"/>
      <c r="N180" s="1923"/>
      <c r="O180" s="3712"/>
      <c r="P180" s="1924"/>
      <c r="Q180" s="3178"/>
    </row>
    <row r="181" spans="1:17" ht="12.75" customHeight="1">
      <c r="A181" s="1922">
        <f t="shared" si="2"/>
        <v>2007.04</v>
      </c>
      <c r="B181" s="1941">
        <v>2.2727556203183132</v>
      </c>
      <c r="C181" s="1941">
        <v>2.4277247432475244</v>
      </c>
      <c r="D181" s="1942">
        <v>2.2132372115683281</v>
      </c>
      <c r="E181" s="3179">
        <v>1.7509745812582118</v>
      </c>
      <c r="F181" s="1923"/>
      <c r="G181" s="3712"/>
      <c r="H181" s="1924"/>
      <c r="I181" s="3177"/>
      <c r="J181" s="1923"/>
      <c r="K181" s="3712"/>
      <c r="L181" s="1924"/>
      <c r="M181" s="3177"/>
      <c r="N181" s="1923"/>
      <c r="O181" s="3712"/>
      <c r="P181" s="1924"/>
      <c r="Q181" s="3178"/>
    </row>
    <row r="182" spans="1:17" ht="12.75" customHeight="1">
      <c r="A182" s="1922">
        <f t="shared" si="2"/>
        <v>2007.05</v>
      </c>
      <c r="B182" s="1941">
        <v>2.3713329725248906</v>
      </c>
      <c r="C182" s="1941">
        <v>2.472967470479122</v>
      </c>
      <c r="D182" s="1942">
        <v>2.3790192625406488</v>
      </c>
      <c r="E182" s="3179">
        <v>1.8023519707698108</v>
      </c>
      <c r="F182" s="1923"/>
      <c r="G182" s="3712"/>
      <c r="H182" s="1924"/>
      <c r="I182" s="3177"/>
      <c r="J182" s="1923"/>
      <c r="K182" s="3712"/>
      <c r="L182" s="1924"/>
      <c r="M182" s="3177"/>
      <c r="N182" s="1923"/>
      <c r="O182" s="3712"/>
      <c r="P182" s="1924"/>
      <c r="Q182" s="3178"/>
    </row>
    <row r="183" spans="1:17" ht="12.75" customHeight="1">
      <c r="A183" s="1922">
        <f t="shared" si="2"/>
        <v>2007.06</v>
      </c>
      <c r="B183" s="1941">
        <v>2.4069303497105992</v>
      </c>
      <c r="C183" s="1941">
        <v>2.523639324978511</v>
      </c>
      <c r="D183" s="1942">
        <v>2.3958784541649529</v>
      </c>
      <c r="E183" s="3179">
        <v>1.8504146899903391</v>
      </c>
      <c r="F183" s="1923"/>
      <c r="G183" s="3712"/>
      <c r="H183" s="1924"/>
      <c r="I183" s="3177"/>
      <c r="J183" s="1923"/>
      <c r="K183" s="3712"/>
      <c r="L183" s="1924"/>
      <c r="M183" s="3177"/>
      <c r="N183" s="1923"/>
      <c r="O183" s="3712"/>
      <c r="P183" s="1924"/>
      <c r="Q183" s="3178"/>
    </row>
    <row r="184" spans="1:17" ht="12.75" customHeight="1">
      <c r="A184" s="1922">
        <f t="shared" si="2"/>
        <v>2007.07</v>
      </c>
      <c r="B184" s="1941">
        <v>2.4762995975596724</v>
      </c>
      <c r="C184" s="1941">
        <v>2.5770257431117964</v>
      </c>
      <c r="D184" s="1942">
        <v>2.4895406298555298</v>
      </c>
      <c r="E184" s="3179">
        <v>1.8885333983376549</v>
      </c>
      <c r="F184" s="1923"/>
      <c r="G184" s="3712"/>
      <c r="H184" s="1924"/>
      <c r="I184" s="3177"/>
      <c r="J184" s="1923"/>
      <c r="K184" s="3712"/>
      <c r="L184" s="1924"/>
      <c r="M184" s="3177"/>
      <c r="N184" s="1923"/>
      <c r="O184" s="3712"/>
      <c r="P184" s="1924"/>
      <c r="Q184" s="3178"/>
    </row>
    <row r="185" spans="1:17" ht="12.75" customHeight="1">
      <c r="A185" s="1922">
        <f t="shared" si="2"/>
        <v>2007.08</v>
      </c>
      <c r="B185" s="1941">
        <v>2.5036821953948327</v>
      </c>
      <c r="C185" s="1941">
        <v>2.617744197620234</v>
      </c>
      <c r="D185" s="1942">
        <v>2.504526577966022</v>
      </c>
      <c r="E185" s="3179">
        <v>1.8993060767836352</v>
      </c>
      <c r="F185" s="1923"/>
      <c r="G185" s="3712"/>
      <c r="H185" s="1924"/>
      <c r="I185" s="3177"/>
      <c r="J185" s="1923"/>
      <c r="K185" s="3712"/>
      <c r="L185" s="1924"/>
      <c r="M185" s="3177"/>
      <c r="N185" s="1923"/>
      <c r="O185" s="3712"/>
      <c r="P185" s="1924"/>
      <c r="Q185" s="3178"/>
    </row>
    <row r="186" spans="1:17" ht="12.75" customHeight="1">
      <c r="A186" s="1922">
        <f t="shared" si="2"/>
        <v>2007.09</v>
      </c>
      <c r="B186" s="1941">
        <v>2.5018566888724889</v>
      </c>
      <c r="C186" s="1941">
        <v>2.6584626521286721</v>
      </c>
      <c r="D186" s="1942">
        <v>2.4576954901207335</v>
      </c>
      <c r="E186" s="3179">
        <v>1.9017920795019385</v>
      </c>
      <c r="F186" s="1923"/>
      <c r="G186" s="3712"/>
      <c r="H186" s="1924"/>
      <c r="I186" s="3177"/>
      <c r="J186" s="1923"/>
      <c r="K186" s="3712"/>
      <c r="L186" s="1924"/>
      <c r="M186" s="3177"/>
      <c r="N186" s="1923"/>
      <c r="O186" s="3712"/>
      <c r="P186" s="1924"/>
      <c r="Q186" s="3178"/>
    </row>
    <row r="187" spans="1:17" ht="12.75" customHeight="1">
      <c r="A187" s="1922">
        <f t="shared" si="2"/>
        <v>2007.1</v>
      </c>
      <c r="B187" s="1941">
        <v>2.5776152095497653</v>
      </c>
      <c r="C187" s="1941">
        <v>2.6982762520924775</v>
      </c>
      <c r="D187" s="1942">
        <v>2.5738365879770488</v>
      </c>
      <c r="E187" s="3179">
        <v>1.9672568177505891</v>
      </c>
      <c r="F187" s="1923"/>
      <c r="G187" s="3712"/>
      <c r="H187" s="1924"/>
      <c r="I187" s="3177"/>
      <c r="J187" s="1923"/>
      <c r="K187" s="3712"/>
      <c r="L187" s="1924"/>
      <c r="M187" s="3177"/>
      <c r="N187" s="1923"/>
      <c r="O187" s="3712"/>
      <c r="P187" s="1924"/>
      <c r="Q187" s="3178"/>
    </row>
    <row r="188" spans="1:17" ht="12.75" customHeight="1">
      <c r="A188" s="1922">
        <f t="shared" si="2"/>
        <v>2007.11</v>
      </c>
      <c r="B188" s="1941">
        <v>2.6086488204296137</v>
      </c>
      <c r="C188" s="1941">
        <v>2.7344704338777555</v>
      </c>
      <c r="D188" s="1942">
        <v>2.6047451059549389</v>
      </c>
      <c r="E188" s="3179">
        <v>1.9730574907599634</v>
      </c>
      <c r="F188" s="1923"/>
      <c r="G188" s="3712"/>
      <c r="H188" s="1924"/>
      <c r="I188" s="3177"/>
      <c r="J188" s="1923"/>
      <c r="K188" s="3712"/>
      <c r="L188" s="1924"/>
      <c r="M188" s="3177"/>
      <c r="N188" s="1923"/>
      <c r="O188" s="3712"/>
      <c r="P188" s="1924"/>
      <c r="Q188" s="3178"/>
    </row>
    <row r="189" spans="1:17" ht="12.75" customHeight="1">
      <c r="A189" s="1922">
        <f t="shared" si="2"/>
        <v>2007.12</v>
      </c>
      <c r="B189" s="1941">
        <v>2.6113870802131296</v>
      </c>
      <c r="C189" s="1941">
        <v>2.7706646156630335</v>
      </c>
      <c r="D189" s="1942">
        <v>2.57570983149086</v>
      </c>
      <c r="E189" s="3179">
        <v>1.9548268041590735</v>
      </c>
      <c r="F189" s="1923"/>
      <c r="G189" s="3712"/>
      <c r="H189" s="1924"/>
      <c r="I189" s="3177"/>
      <c r="J189" s="1923"/>
      <c r="K189" s="3712"/>
      <c r="L189" s="1924"/>
      <c r="M189" s="3177"/>
      <c r="N189" s="1923"/>
      <c r="O189" s="3712"/>
      <c r="P189" s="1924"/>
      <c r="Q189" s="3178"/>
    </row>
    <row r="190" spans="1:17" ht="12.75" customHeight="1">
      <c r="A190" s="1922">
        <f t="shared" si="2"/>
        <v>2008.01</v>
      </c>
      <c r="B190" s="1941">
        <v>2.6323804052200854</v>
      </c>
      <c r="C190" s="1941">
        <v>2.8014296701805197</v>
      </c>
      <c r="D190" s="1942">
        <v>2.5813295620322947</v>
      </c>
      <c r="E190" s="3179">
        <v>2.0095188639617438</v>
      </c>
      <c r="F190" s="1923"/>
      <c r="G190" s="3712"/>
      <c r="H190" s="1924"/>
      <c r="I190" s="3177"/>
      <c r="J190" s="1923"/>
      <c r="K190" s="3712"/>
      <c r="L190" s="1924"/>
      <c r="M190" s="3177"/>
      <c r="N190" s="1923"/>
      <c r="O190" s="3712"/>
      <c r="P190" s="1924"/>
      <c r="Q190" s="3178"/>
    </row>
    <row r="191" spans="1:17" ht="12.75" customHeight="1">
      <c r="A191" s="1922">
        <f t="shared" si="2"/>
        <v>2008.02</v>
      </c>
      <c r="B191" s="1941">
        <v>2.646071704137666</v>
      </c>
      <c r="C191" s="1941">
        <v>2.8240510337963185</v>
      </c>
      <c r="D191" s="1942">
        <v>2.5832028055461058</v>
      </c>
      <c r="E191" s="3179">
        <v>2.0285782181354017</v>
      </c>
      <c r="F191" s="1923"/>
      <c r="G191" s="3712"/>
      <c r="H191" s="1924"/>
      <c r="I191" s="3177"/>
      <c r="J191" s="1923"/>
      <c r="K191" s="3712"/>
      <c r="L191" s="1924"/>
      <c r="M191" s="3177"/>
      <c r="N191" s="1923"/>
      <c r="O191" s="3712"/>
      <c r="P191" s="1924"/>
      <c r="Q191" s="3178"/>
    </row>
    <row r="192" spans="1:17" ht="12.75" customHeight="1">
      <c r="A192" s="1922">
        <f t="shared" si="2"/>
        <v>2008.03</v>
      </c>
      <c r="B192" s="1941">
        <v>2.6606757563164183</v>
      </c>
      <c r="C192" s="1941">
        <v>2.8493869610460125</v>
      </c>
      <c r="D192" s="1942">
        <v>2.5860126708168227</v>
      </c>
      <c r="E192" s="3179">
        <v>2.0443229020179885</v>
      </c>
      <c r="F192" s="1923"/>
      <c r="G192" s="3712"/>
      <c r="H192" s="1924"/>
      <c r="I192" s="3177"/>
      <c r="J192" s="1923"/>
      <c r="K192" s="3712"/>
      <c r="L192" s="1924"/>
      <c r="M192" s="3177"/>
      <c r="N192" s="1923"/>
      <c r="O192" s="3712"/>
      <c r="P192" s="1924"/>
      <c r="Q192" s="3178"/>
    </row>
    <row r="193" spans="1:17" ht="12.75" customHeight="1">
      <c r="A193" s="1922">
        <f t="shared" si="2"/>
        <v>2008.04</v>
      </c>
      <c r="B193" s="1941">
        <v>2.7683806411347156</v>
      </c>
      <c r="C193" s="1941">
        <v>2.9009636700900341</v>
      </c>
      <c r="D193" s="1942">
        <v>2.7583510740874835</v>
      </c>
      <c r="E193" s="3179">
        <v>2.1213889862853876</v>
      </c>
      <c r="F193" s="1923"/>
      <c r="G193" s="3712"/>
      <c r="H193" s="1924"/>
      <c r="I193" s="3177"/>
      <c r="J193" s="1923"/>
      <c r="K193" s="3712"/>
      <c r="L193" s="1924"/>
      <c r="M193" s="3177"/>
      <c r="N193" s="1923"/>
      <c r="O193" s="3712"/>
      <c r="P193" s="1924"/>
      <c r="Q193" s="3178"/>
    </row>
    <row r="194" spans="1:17" ht="12.75" customHeight="1">
      <c r="A194" s="1922">
        <f t="shared" si="2"/>
        <v>2008.05</v>
      </c>
      <c r="B194" s="1941">
        <v>2.8350116292002729</v>
      </c>
      <c r="C194" s="1941">
        <v>2.9453015427769995</v>
      </c>
      <c r="D194" s="1942">
        <v>2.8538864932918715</v>
      </c>
      <c r="E194" s="3179">
        <v>2.1636510324965421</v>
      </c>
      <c r="F194" s="1923"/>
      <c r="G194" s="3712"/>
      <c r="H194" s="1924"/>
      <c r="I194" s="3177"/>
      <c r="J194" s="1923"/>
      <c r="K194" s="3712"/>
      <c r="L194" s="1924"/>
      <c r="M194" s="3177"/>
      <c r="N194" s="1923"/>
      <c r="O194" s="3712"/>
      <c r="P194" s="1924"/>
      <c r="Q194" s="3178"/>
    </row>
    <row r="195" spans="1:17" ht="12.75" customHeight="1">
      <c r="A195" s="1922">
        <f t="shared" si="2"/>
        <v>2008.06</v>
      </c>
      <c r="B195" s="1941">
        <v>2.8368371357226172</v>
      </c>
      <c r="C195" s="1941">
        <v>2.9896394154639645</v>
      </c>
      <c r="D195" s="1942">
        <v>2.811738514231112</v>
      </c>
      <c r="E195" s="3179">
        <v>2.1636510324965421</v>
      </c>
      <c r="F195" s="1923"/>
      <c r="G195" s="3712"/>
      <c r="H195" s="1924"/>
      <c r="I195" s="3177"/>
      <c r="J195" s="1923"/>
      <c r="K195" s="3712"/>
      <c r="L195" s="1924"/>
      <c r="M195" s="3177"/>
      <c r="N195" s="1923"/>
      <c r="O195" s="3712"/>
      <c r="P195" s="1924"/>
      <c r="Q195" s="3178"/>
    </row>
    <row r="196" spans="1:17" ht="12.75" customHeight="1">
      <c r="A196" s="1922">
        <f t="shared" si="2"/>
        <v>2008.07</v>
      </c>
      <c r="B196" s="1941">
        <v>2.9381527477127105</v>
      </c>
      <c r="C196" s="1941">
        <v>3.0231190336153473</v>
      </c>
      <c r="D196" s="1942">
        <v>2.98033043047415</v>
      </c>
      <c r="E196" s="3179">
        <v>2.276349822392953</v>
      </c>
      <c r="F196" s="1923"/>
      <c r="G196" s="3712"/>
      <c r="H196" s="1924"/>
      <c r="I196" s="3177"/>
      <c r="J196" s="1923"/>
      <c r="K196" s="3712"/>
      <c r="L196" s="1924"/>
      <c r="M196" s="3177"/>
      <c r="N196" s="1923"/>
      <c r="O196" s="3712"/>
      <c r="P196" s="1924"/>
      <c r="Q196" s="3178"/>
    </row>
    <row r="197" spans="1:17" ht="12.75" customHeight="1">
      <c r="A197" s="1922">
        <f t="shared" si="2"/>
        <v>2008.08</v>
      </c>
      <c r="B197" s="1941">
        <v>2.9390655009738831</v>
      </c>
      <c r="C197" s="1941">
        <v>3.0520743790435696</v>
      </c>
      <c r="D197" s="1942">
        <v>2.9512951560100715</v>
      </c>
      <c r="E197" s="3179">
        <v>2.2838078305478628</v>
      </c>
      <c r="F197" s="1923"/>
      <c r="G197" s="3712"/>
      <c r="H197" s="1924"/>
      <c r="I197" s="3177"/>
      <c r="J197" s="1923"/>
      <c r="K197" s="3712"/>
      <c r="L197" s="1924"/>
      <c r="M197" s="3177"/>
      <c r="N197" s="1923"/>
      <c r="O197" s="3712"/>
      <c r="P197" s="1924"/>
      <c r="Q197" s="3178"/>
    </row>
    <row r="198" spans="1:17" ht="12.75" customHeight="1">
      <c r="A198" s="1922">
        <f t="shared" si="2"/>
        <v>2008.09</v>
      </c>
      <c r="B198" s="1941">
        <v>2.9810521509877961</v>
      </c>
      <c r="C198" s="1941">
        <v>3.0710763244808401</v>
      </c>
      <c r="D198" s="1942">
        <v>3.0187319225072868</v>
      </c>
      <c r="E198" s="3179">
        <v>2.3169545334585724</v>
      </c>
      <c r="F198" s="1923"/>
      <c r="G198" s="3712"/>
      <c r="H198" s="1924"/>
      <c r="I198" s="3177"/>
      <c r="J198" s="1923"/>
      <c r="K198" s="3712"/>
      <c r="L198" s="1924"/>
      <c r="M198" s="3177"/>
      <c r="N198" s="1923"/>
      <c r="O198" s="3712"/>
      <c r="P198" s="1924"/>
      <c r="Q198" s="3178"/>
    </row>
    <row r="199" spans="1:17" ht="12.75" customHeight="1">
      <c r="A199" s="1922">
        <f t="shared" si="2"/>
        <v>2008.1</v>
      </c>
      <c r="B199" s="1941">
        <v>2.9910924368606882</v>
      </c>
      <c r="C199" s="1941">
        <v>3.0792200153825275</v>
      </c>
      <c r="D199" s="1942">
        <v>3.0337178706177785</v>
      </c>
      <c r="E199" s="3179">
        <v>2.3210978713224111</v>
      </c>
      <c r="F199" s="1923"/>
      <c r="G199" s="3712"/>
      <c r="H199" s="1924"/>
      <c r="I199" s="3177"/>
      <c r="J199" s="1923"/>
      <c r="K199" s="3712"/>
      <c r="L199" s="1924"/>
      <c r="M199" s="3177"/>
      <c r="N199" s="1923"/>
      <c r="O199" s="3712"/>
      <c r="P199" s="1924"/>
      <c r="Q199" s="3178"/>
    </row>
    <row r="200" spans="1:17" ht="12.75" customHeight="1">
      <c r="A200" s="1922">
        <f t="shared" si="2"/>
        <v>2008.11</v>
      </c>
      <c r="B200" s="1941">
        <v>3.0047837357782683</v>
      </c>
      <c r="C200" s="1941">
        <v>3.0946025426412707</v>
      </c>
      <c r="D200" s="1942">
        <v>3.0430840881868364</v>
      </c>
      <c r="E200" s="3179">
        <v>2.3335278849139272</v>
      </c>
      <c r="F200" s="1923"/>
      <c r="G200" s="3712"/>
      <c r="H200" s="1924"/>
      <c r="I200" s="3177"/>
      <c r="J200" s="1923"/>
      <c r="K200" s="3712"/>
      <c r="L200" s="1924"/>
      <c r="M200" s="3177"/>
      <c r="N200" s="1923"/>
      <c r="O200" s="3712"/>
      <c r="P200" s="1924"/>
      <c r="Q200" s="3178"/>
    </row>
    <row r="201" spans="1:17" ht="12.75" customHeight="1">
      <c r="A201" s="1922">
        <f t="shared" si="2"/>
        <v>2008.12</v>
      </c>
      <c r="B201" s="1941">
        <v>3.0029582292559245</v>
      </c>
      <c r="C201" s="1941">
        <v>3.091887979007375</v>
      </c>
      <c r="D201" s="1942">
        <v>3.0393376011592137</v>
      </c>
      <c r="E201" s="3179">
        <v>2.3492725687965135</v>
      </c>
      <c r="F201" s="1923"/>
      <c r="G201" s="3712"/>
      <c r="H201" s="1924"/>
      <c r="I201" s="3177"/>
      <c r="J201" s="1923"/>
      <c r="K201" s="3712"/>
      <c r="L201" s="1924"/>
      <c r="M201" s="3177"/>
      <c r="N201" s="1923"/>
      <c r="O201" s="3712"/>
      <c r="P201" s="1924"/>
      <c r="Q201" s="3178"/>
    </row>
    <row r="202" spans="1:17" ht="12.75" customHeight="1">
      <c r="A202" s="1922">
        <f t="shared" si="2"/>
        <v>2009.01</v>
      </c>
      <c r="B202" s="1941">
        <v>3.012998515128817</v>
      </c>
      <c r="C202" s="1941">
        <v>3.0973171062751672</v>
      </c>
      <c r="D202" s="1942">
        <v>3.0533869275128005</v>
      </c>
      <c r="E202" s="3179">
        <v>2.3675032553974034</v>
      </c>
      <c r="F202" s="1923"/>
      <c r="G202" s="3712"/>
      <c r="H202" s="1924"/>
      <c r="I202" s="3177"/>
      <c r="J202" s="1923"/>
      <c r="K202" s="3712"/>
      <c r="L202" s="1924"/>
      <c r="M202" s="3177"/>
      <c r="N202" s="1923"/>
      <c r="O202" s="3712"/>
      <c r="P202" s="1924"/>
      <c r="Q202" s="3178"/>
    </row>
    <row r="203" spans="1:17" ht="12.75" customHeight="1">
      <c r="A203" s="1922">
        <f t="shared" si="2"/>
        <v>2009.02</v>
      </c>
      <c r="B203" s="1941">
        <v>3.0139112683899887</v>
      </c>
      <c r="C203" s="1941">
        <v>3.0982219608197989</v>
      </c>
      <c r="D203" s="1942">
        <v>3.0515136839989889</v>
      </c>
      <c r="E203" s="3179">
        <v>2.3832479392799906</v>
      </c>
      <c r="F203" s="1923"/>
      <c r="G203" s="3712"/>
      <c r="H203" s="1924"/>
      <c r="I203" s="3177"/>
      <c r="J203" s="1923"/>
      <c r="K203" s="3712"/>
      <c r="L203" s="1924"/>
      <c r="M203" s="3177"/>
      <c r="N203" s="1923"/>
      <c r="O203" s="3712"/>
      <c r="P203" s="1924"/>
      <c r="Q203" s="3178"/>
    </row>
    <row r="204" spans="1:17" ht="12.75" customHeight="1">
      <c r="A204" s="1922">
        <f t="shared" si="2"/>
        <v>2009.03</v>
      </c>
      <c r="B204" s="1941">
        <v>3.0221260477405374</v>
      </c>
      <c r="C204" s="1941">
        <v>3.1126996335339103</v>
      </c>
      <c r="D204" s="1942">
        <v>3.0477671969713653</v>
      </c>
      <c r="E204" s="3179">
        <v>2.4180519773362352</v>
      </c>
      <c r="F204" s="1923"/>
      <c r="G204" s="3712"/>
      <c r="H204" s="1924"/>
      <c r="I204" s="3177"/>
      <c r="J204" s="1923"/>
      <c r="K204" s="3712"/>
      <c r="L204" s="1924"/>
      <c r="M204" s="3177"/>
      <c r="N204" s="1923"/>
      <c r="O204" s="3712"/>
      <c r="P204" s="1924"/>
      <c r="Q204" s="3178"/>
    </row>
    <row r="205" spans="1:17" ht="12.75" customHeight="1">
      <c r="A205" s="1922">
        <f t="shared" si="2"/>
        <v>2009.04</v>
      </c>
      <c r="B205" s="1941">
        <v>3.0248643075240533</v>
      </c>
      <c r="C205" s="1941">
        <v>3.1208433244355978</v>
      </c>
      <c r="D205" s="1942">
        <v>3.0421474664299311</v>
      </c>
      <c r="E205" s="3179">
        <v>2.4313106585005184</v>
      </c>
      <c r="F205" s="1923"/>
      <c r="G205" s="3712"/>
      <c r="H205" s="1924"/>
      <c r="I205" s="3177"/>
      <c r="J205" s="1923"/>
      <c r="K205" s="3712"/>
      <c r="L205" s="1924"/>
      <c r="M205" s="3177"/>
      <c r="N205" s="1923"/>
      <c r="O205" s="3712"/>
      <c r="P205" s="1924"/>
      <c r="Q205" s="3178"/>
    </row>
    <row r="206" spans="1:17" ht="12.75" customHeight="1">
      <c r="A206" s="1922">
        <f t="shared" si="2"/>
        <v>2009.05</v>
      </c>
      <c r="B206" s="1941">
        <v>3.103361087984847</v>
      </c>
      <c r="C206" s="1941">
        <v>3.1307967244265495</v>
      </c>
      <c r="D206" s="1942">
        <v>3.1901337040210418</v>
      </c>
      <c r="E206" s="3179">
        <v>2.5208067563594332</v>
      </c>
      <c r="F206" s="1923"/>
      <c r="G206" s="3712"/>
      <c r="H206" s="1924"/>
      <c r="I206" s="3177"/>
      <c r="J206" s="1923"/>
      <c r="K206" s="3712"/>
      <c r="L206" s="1924"/>
      <c r="M206" s="3177"/>
      <c r="N206" s="1923"/>
      <c r="O206" s="3712"/>
      <c r="P206" s="1924"/>
      <c r="Q206" s="3178"/>
    </row>
    <row r="207" spans="1:17" ht="12.75" customHeight="1">
      <c r="A207" s="1922">
        <f t="shared" si="2"/>
        <v>2009.06</v>
      </c>
      <c r="B207" s="1941">
        <v>3.1499115043046202</v>
      </c>
      <c r="C207" s="1941">
        <v>3.1425598335067653</v>
      </c>
      <c r="D207" s="1942">
        <v>3.2875423667392409</v>
      </c>
      <c r="E207" s="3179">
        <v>2.4992613994674726</v>
      </c>
      <c r="F207" s="1923"/>
      <c r="G207" s="3712"/>
      <c r="H207" s="1924"/>
      <c r="I207" s="3177"/>
      <c r="J207" s="1923"/>
      <c r="K207" s="3712"/>
      <c r="L207" s="1924"/>
      <c r="M207" s="3177"/>
      <c r="N207" s="1923"/>
      <c r="O207" s="3712"/>
      <c r="P207" s="1924"/>
      <c r="Q207" s="3178"/>
    </row>
    <row r="208" spans="1:17" ht="12.75" customHeight="1">
      <c r="A208" s="1922">
        <f t="shared" si="2"/>
        <v>2009.07</v>
      </c>
      <c r="B208" s="1941">
        <v>3.180032361923296</v>
      </c>
      <c r="C208" s="1941">
        <v>3.1597520698547719</v>
      </c>
      <c r="D208" s="1942">
        <v>3.3306269675569062</v>
      </c>
      <c r="E208" s="3179">
        <v>2.527436096941575</v>
      </c>
      <c r="F208" s="1923"/>
      <c r="G208" s="3712"/>
      <c r="H208" s="1924"/>
      <c r="I208" s="3177"/>
      <c r="J208" s="1923"/>
      <c r="K208" s="3712"/>
      <c r="L208" s="1924"/>
      <c r="M208" s="3177"/>
      <c r="N208" s="1923"/>
      <c r="O208" s="3712"/>
      <c r="P208" s="1924"/>
      <c r="Q208" s="3178"/>
    </row>
    <row r="209" spans="1:18" ht="12.75" customHeight="1">
      <c r="A209" s="1922">
        <f t="shared" si="2"/>
        <v>2009.08</v>
      </c>
      <c r="B209" s="1941">
        <v>3.1982874271467363</v>
      </c>
      <c r="C209" s="1941">
        <v>3.1896122698276259</v>
      </c>
      <c r="D209" s="1942">
        <v>3.3343734545845294</v>
      </c>
      <c r="E209" s="3179">
        <v>2.5514674565518387</v>
      </c>
      <c r="F209" s="1923"/>
      <c r="G209" s="3712"/>
      <c r="H209" s="1924"/>
      <c r="I209" s="3177"/>
      <c r="J209" s="1923"/>
      <c r="K209" s="3712"/>
      <c r="L209" s="1924"/>
      <c r="M209" s="3177"/>
      <c r="N209" s="1923"/>
      <c r="O209" s="3712"/>
      <c r="P209" s="1924"/>
      <c r="Q209" s="3178"/>
    </row>
    <row r="210" spans="1:18" ht="12.75" customHeight="1">
      <c r="A210" s="1922">
        <f t="shared" si="2"/>
        <v>2009.09</v>
      </c>
      <c r="B210" s="1941">
        <v>3.212891479325489</v>
      </c>
      <c r="C210" s="1941">
        <v>3.2158530516219526</v>
      </c>
      <c r="D210" s="1942">
        <v>3.3381199416121521</v>
      </c>
      <c r="E210" s="3179">
        <v>2.5663834728616579</v>
      </c>
      <c r="F210" s="1923"/>
      <c r="G210" s="3712"/>
      <c r="H210" s="1924"/>
      <c r="I210" s="3177"/>
      <c r="J210" s="1923"/>
      <c r="K210" s="3712"/>
      <c r="L210" s="1924"/>
      <c r="M210" s="3177"/>
      <c r="N210" s="1923"/>
      <c r="O210" s="3712"/>
      <c r="P210" s="1924"/>
      <c r="Q210" s="3178"/>
    </row>
    <row r="211" spans="1:18" ht="12.75" customHeight="1">
      <c r="A211" s="1922">
        <f t="shared" si="2"/>
        <v>2009.1</v>
      </c>
      <c r="B211" s="1941">
        <v>3.3059923119650345</v>
      </c>
      <c r="C211" s="1941">
        <v>3.2420938334162792</v>
      </c>
      <c r="D211" s="1942">
        <v>3.5085851013690017</v>
      </c>
      <c r="E211" s="3179">
        <v>2.6144461920821862</v>
      </c>
      <c r="F211" s="1923"/>
      <c r="G211" s="3712"/>
      <c r="H211" s="1924"/>
      <c r="I211" s="3177"/>
      <c r="J211" s="1923"/>
      <c r="K211" s="3712"/>
      <c r="L211" s="1924"/>
      <c r="M211" s="3177"/>
      <c r="N211" s="1923"/>
      <c r="O211" s="3712"/>
      <c r="P211" s="1924"/>
      <c r="Q211" s="3178"/>
    </row>
    <row r="212" spans="1:18" ht="12.75" customHeight="1">
      <c r="A212" s="1922">
        <f t="shared" si="2"/>
        <v>2009.11</v>
      </c>
      <c r="B212" s="1941">
        <v>3.3260728837108187</v>
      </c>
      <c r="C212" s="1941">
        <v>3.2656200515767093</v>
      </c>
      <c r="D212" s="1942">
        <v>3.5245076712363996</v>
      </c>
      <c r="E212" s="3179">
        <v>2.6409635544107535</v>
      </c>
      <c r="F212" s="1923"/>
      <c r="G212" s="3712"/>
      <c r="H212" s="1924"/>
      <c r="I212" s="3177"/>
      <c r="J212" s="1923"/>
      <c r="K212" s="3712"/>
      <c r="L212" s="1924"/>
      <c r="M212" s="3177"/>
      <c r="N212" s="1923"/>
      <c r="O212" s="3712"/>
      <c r="P212" s="1924"/>
      <c r="Q212" s="3178"/>
    </row>
    <row r="213" spans="1:18" ht="12.75" customHeight="1">
      <c r="A213" s="1922">
        <f t="shared" si="2"/>
        <v>2009.12</v>
      </c>
      <c r="B213" s="1941">
        <v>3.331549403277851</v>
      </c>
      <c r="C213" s="1941">
        <v>3.2791928697461885</v>
      </c>
      <c r="D213" s="1942">
        <v>3.5226344277225881</v>
      </c>
      <c r="E213" s="3179">
        <v>2.6442782247018246</v>
      </c>
      <c r="F213" s="1923"/>
      <c r="G213" s="3712"/>
      <c r="H213" s="1924"/>
      <c r="I213" s="3177"/>
      <c r="J213" s="1923"/>
      <c r="K213" s="3712"/>
      <c r="L213" s="1924"/>
      <c r="M213" s="3177"/>
      <c r="N213" s="1923"/>
      <c r="O213" s="3712"/>
      <c r="P213" s="1924"/>
      <c r="Q213" s="3178"/>
    </row>
    <row r="214" spans="1:18" ht="12.75" customHeight="1">
      <c r="A214" s="1922">
        <f t="shared" si="2"/>
        <v>2010.01</v>
      </c>
      <c r="B214" s="1941">
        <v>3.3598447543741834</v>
      </c>
      <c r="C214" s="1941">
        <v>3.3063385060851469</v>
      </c>
      <c r="D214" s="1942">
        <v>3.5535429457004777</v>
      </c>
      <c r="E214" s="3179">
        <v>2.6674809167393208</v>
      </c>
      <c r="F214" s="1923"/>
      <c r="G214" s="3712"/>
      <c r="H214" s="1924"/>
      <c r="I214" s="3177"/>
      <c r="J214" s="1923"/>
      <c r="K214" s="3712"/>
      <c r="L214" s="1924"/>
      <c r="M214" s="3177"/>
      <c r="N214" s="1923"/>
      <c r="O214" s="3712"/>
      <c r="P214" s="1924"/>
      <c r="Q214" s="3178"/>
    </row>
    <row r="215" spans="1:18" ht="12.75" customHeight="1">
      <c r="A215" s="1922">
        <f t="shared" ref="A215:A278" si="3">A203+1</f>
        <v>2010.02</v>
      </c>
      <c r="B215" s="1941">
        <v>3.4319522620067722</v>
      </c>
      <c r="C215" s="1941">
        <v>3.3434375424150566</v>
      </c>
      <c r="D215" s="1942">
        <v>3.6668741782860752</v>
      </c>
      <c r="E215" s="3179">
        <v>2.7138863008143135</v>
      </c>
      <c r="F215" s="1923"/>
      <c r="G215" s="3712"/>
      <c r="H215" s="1924"/>
      <c r="I215" s="3177"/>
      <c r="J215" s="1923"/>
      <c r="K215" s="3712"/>
      <c r="L215" s="1924"/>
      <c r="M215" s="3177"/>
      <c r="N215" s="1923"/>
      <c r="O215" s="3712"/>
      <c r="P215" s="1924"/>
      <c r="Q215" s="3178"/>
    </row>
    <row r="216" spans="1:18" ht="12.75" customHeight="1">
      <c r="A216" s="1922">
        <f t="shared" si="3"/>
        <v>2010.03</v>
      </c>
      <c r="B216" s="1941">
        <v>3.4538583402749001</v>
      </c>
      <c r="C216" s="1941">
        <v>3.3796317242003346</v>
      </c>
      <c r="D216" s="1942">
        <v>3.6734305305844157</v>
      </c>
      <c r="E216" s="3179">
        <v>2.7387463279973452</v>
      </c>
      <c r="F216" s="1923"/>
      <c r="G216" s="3712"/>
      <c r="H216" s="1924"/>
      <c r="I216" s="3177"/>
      <c r="J216" s="1923"/>
      <c r="K216" s="3712"/>
      <c r="L216" s="1924"/>
      <c r="M216" s="3177"/>
      <c r="N216" s="1923"/>
      <c r="O216" s="3712"/>
      <c r="P216" s="1924"/>
      <c r="Q216" s="3178"/>
    </row>
    <row r="217" spans="1:18" ht="12.75" customHeight="1">
      <c r="A217" s="1922">
        <f t="shared" si="3"/>
        <v>2010.04</v>
      </c>
      <c r="B217" s="1941">
        <v>3.5204893283404575</v>
      </c>
      <c r="C217" s="1941">
        <v>3.4103967787178209</v>
      </c>
      <c r="D217" s="1942">
        <v>3.7802054108716736</v>
      </c>
      <c r="E217" s="3179">
        <v>2.7851517120723384</v>
      </c>
      <c r="F217" s="1923"/>
      <c r="G217" s="3712"/>
      <c r="H217" s="1924"/>
      <c r="I217" s="3177"/>
      <c r="J217" s="1923"/>
      <c r="K217" s="3712"/>
      <c r="L217" s="1924"/>
      <c r="M217" s="3177"/>
      <c r="N217" s="1923"/>
      <c r="O217" s="3712"/>
      <c r="P217" s="1924"/>
      <c r="Q217" s="3178"/>
    </row>
    <row r="218" spans="1:18" ht="12.75" customHeight="1">
      <c r="A218" s="1922">
        <f t="shared" si="3"/>
        <v>2010.05</v>
      </c>
      <c r="B218" s="1941">
        <v>3.6574023175162593</v>
      </c>
      <c r="C218" s="1941">
        <v>3.444781251413835</v>
      </c>
      <c r="D218" s="1942">
        <v>4.0312200417224187</v>
      </c>
      <c r="E218" s="3179">
        <v>2.8887351586683043</v>
      </c>
      <c r="F218" s="1923"/>
      <c r="G218" s="3712"/>
      <c r="H218" s="1924"/>
      <c r="I218" s="3177"/>
      <c r="J218" s="1923"/>
      <c r="K218" s="3712"/>
      <c r="L218" s="1924"/>
      <c r="M218" s="3177"/>
      <c r="N218" s="1923"/>
      <c r="O218" s="3712"/>
      <c r="P218" s="1924"/>
      <c r="Q218" s="3178"/>
    </row>
    <row r="219" spans="1:18" ht="12.75" customHeight="1">
      <c r="A219" s="1922">
        <f t="shared" si="3"/>
        <v>2010.06</v>
      </c>
      <c r="B219" s="1941">
        <v>3.6838721620902479</v>
      </c>
      <c r="C219" s="1941">
        <v>3.4800705786544817</v>
      </c>
      <c r="D219" s="1942">
        <v>4.0480792333467228</v>
      </c>
      <c r="E219" s="3179">
        <v>2.9210531940062454</v>
      </c>
      <c r="F219" s="1923"/>
      <c r="G219" s="3712"/>
      <c r="H219" s="1924"/>
      <c r="I219" s="3177"/>
      <c r="J219" s="1923"/>
      <c r="K219" s="3712"/>
      <c r="L219" s="1924"/>
      <c r="M219" s="3177"/>
      <c r="N219" s="2116">
        <v>2909.45</v>
      </c>
      <c r="O219" s="2117">
        <v>3068.61</v>
      </c>
      <c r="P219" s="2117">
        <v>2748.42</v>
      </c>
      <c r="Q219" s="3178"/>
      <c r="R219" s="3481"/>
    </row>
    <row r="220" spans="1:18" ht="12.75" customHeight="1">
      <c r="A220" s="1922">
        <f t="shared" si="3"/>
        <v>2010.07</v>
      </c>
      <c r="B220" s="1941">
        <v>3.7121675131865799</v>
      </c>
      <c r="C220" s="1941">
        <v>3.5117404877166001</v>
      </c>
      <c r="D220" s="1942">
        <v>4.0752412642969897</v>
      </c>
      <c r="E220" s="3179">
        <v>2.9309972048794579</v>
      </c>
      <c r="F220" s="1923"/>
      <c r="G220" s="3712"/>
      <c r="H220" s="1924"/>
      <c r="I220" s="3177"/>
      <c r="J220" s="1923"/>
      <c r="K220" s="3712"/>
      <c r="L220" s="1924"/>
      <c r="M220" s="3177"/>
      <c r="N220" s="1930">
        <v>2914.26</v>
      </c>
      <c r="O220" s="1931">
        <v>3074.47</v>
      </c>
      <c r="P220" s="1931">
        <v>2757.17</v>
      </c>
      <c r="Q220" s="3178"/>
      <c r="R220" s="3481"/>
    </row>
    <row r="221" spans="1:18" ht="12.75" customHeight="1">
      <c r="A221" s="1922">
        <f t="shared" si="3"/>
        <v>2010.08</v>
      </c>
      <c r="B221" s="1941">
        <v>3.8107448653931577</v>
      </c>
      <c r="C221" s="1941">
        <v>3.5406958331448224</v>
      </c>
      <c r="D221" s="1942">
        <v>4.2513261545952732</v>
      </c>
      <c r="E221" s="3179">
        <v>3.0122066270106957</v>
      </c>
      <c r="F221" s="1923"/>
      <c r="G221" s="3712"/>
      <c r="H221" s="1924"/>
      <c r="I221" s="3177"/>
      <c r="J221" s="1923"/>
      <c r="K221" s="3712"/>
      <c r="L221" s="1924"/>
      <c r="M221" s="3177"/>
      <c r="N221" s="1930">
        <v>3049.5</v>
      </c>
      <c r="O221" s="1931">
        <v>3208.77</v>
      </c>
      <c r="P221" s="1931">
        <v>2757.71</v>
      </c>
      <c r="Q221" s="3178"/>
      <c r="R221" s="3481"/>
    </row>
    <row r="222" spans="1:18" ht="12.75" customHeight="1">
      <c r="A222" s="1922">
        <f t="shared" si="3"/>
        <v>2010.09</v>
      </c>
      <c r="B222" s="1941">
        <v>3.8344764501836299</v>
      </c>
      <c r="C222" s="1941">
        <v>3.5696511785730451</v>
      </c>
      <c r="D222" s="1942">
        <v>4.2700585897333889</v>
      </c>
      <c r="E222" s="3179">
        <v>3.0287799784660505</v>
      </c>
      <c r="F222" s="1923"/>
      <c r="G222" s="3712"/>
      <c r="H222" s="1924"/>
      <c r="I222" s="3177"/>
      <c r="J222" s="1923"/>
      <c r="K222" s="3712"/>
      <c r="L222" s="1924"/>
      <c r="M222" s="3177"/>
      <c r="N222" s="1930">
        <v>3171.66</v>
      </c>
      <c r="O222" s="1931">
        <v>3320.84</v>
      </c>
      <c r="P222" s="1931">
        <v>2872.91</v>
      </c>
      <c r="Q222" s="3178"/>
      <c r="R222" s="3481"/>
    </row>
    <row r="223" spans="1:18" ht="12.75" customHeight="1">
      <c r="A223" s="1922">
        <f t="shared" si="3"/>
        <v>2010.1</v>
      </c>
      <c r="B223" s="1941">
        <v>3.8509060088847256</v>
      </c>
      <c r="C223" s="1941">
        <v>3.6031307967244275</v>
      </c>
      <c r="D223" s="1942">
        <v>4.256009263379803</v>
      </c>
      <c r="E223" s="3179">
        <v>3.1058460627334492</v>
      </c>
      <c r="F223" s="1923"/>
      <c r="G223" s="3712"/>
      <c r="H223" s="1924"/>
      <c r="I223" s="3177"/>
      <c r="J223" s="1923"/>
      <c r="K223" s="3712"/>
      <c r="L223" s="1924"/>
      <c r="M223" s="3177"/>
      <c r="N223" s="1930">
        <v>3204.42</v>
      </c>
      <c r="O223" s="1931">
        <v>3330.03</v>
      </c>
      <c r="P223" s="1931">
        <v>2984.64</v>
      </c>
      <c r="Q223" s="3178"/>
      <c r="R223" s="3481"/>
    </row>
    <row r="224" spans="1:18" ht="12.75" customHeight="1">
      <c r="A224" s="1922">
        <f t="shared" si="3"/>
        <v>2010.11</v>
      </c>
      <c r="B224" s="1941">
        <v>3.8782886067198858</v>
      </c>
      <c r="C224" s="1941">
        <v>3.6366104148758094</v>
      </c>
      <c r="D224" s="1942">
        <v>4.2766149420317303</v>
      </c>
      <c r="E224" s="3179">
        <v>3.1447934386535321</v>
      </c>
      <c r="F224" s="1923"/>
      <c r="G224" s="3712"/>
      <c r="H224" s="1924"/>
      <c r="I224" s="3177"/>
      <c r="J224" s="1923"/>
      <c r="K224" s="3712"/>
      <c r="L224" s="1924"/>
      <c r="M224" s="3177"/>
      <c r="N224" s="1930">
        <v>3239.94</v>
      </c>
      <c r="O224" s="1931">
        <v>3333.92</v>
      </c>
      <c r="P224" s="1931">
        <v>2991.25</v>
      </c>
      <c r="Q224" s="3178"/>
      <c r="R224" s="3481"/>
    </row>
    <row r="225" spans="1:18" ht="12.75" customHeight="1">
      <c r="A225" s="1922">
        <f t="shared" si="3"/>
        <v>2010.12</v>
      </c>
      <c r="B225" s="1941">
        <v>4.0471479600367086</v>
      </c>
      <c r="C225" s="1941">
        <v>3.6700900330271922</v>
      </c>
      <c r="D225" s="1942">
        <v>4.5931930958658791</v>
      </c>
      <c r="E225" s="3179">
        <v>3.2757229151508334</v>
      </c>
      <c r="F225" s="1923"/>
      <c r="G225" s="3712"/>
      <c r="H225" s="1924"/>
      <c r="I225" s="3177"/>
      <c r="J225" s="1923"/>
      <c r="K225" s="3712"/>
      <c r="L225" s="1924"/>
      <c r="M225" s="3177"/>
      <c r="N225" s="1930">
        <v>3251.38</v>
      </c>
      <c r="O225" s="1931">
        <v>3468.93</v>
      </c>
      <c r="P225" s="1931">
        <v>3117.95</v>
      </c>
      <c r="Q225" s="3178"/>
      <c r="R225" s="3481"/>
    </row>
    <row r="226" spans="1:18" ht="12.75" customHeight="1">
      <c r="A226" s="1922">
        <f t="shared" si="3"/>
        <v>2011.01</v>
      </c>
      <c r="B226" s="1941">
        <v>4.1156044546246093</v>
      </c>
      <c r="C226" s="1941">
        <v>3.6999502330000462</v>
      </c>
      <c r="D226" s="1942">
        <v>4.6924750020978907</v>
      </c>
      <c r="E226" s="3179">
        <v>3.3875930374744767</v>
      </c>
      <c r="F226" s="1923"/>
      <c r="G226" s="3712"/>
      <c r="H226" s="1924"/>
      <c r="I226" s="3177"/>
      <c r="J226" s="1923"/>
      <c r="K226" s="3712"/>
      <c r="L226" s="1924"/>
      <c r="M226" s="3177"/>
      <c r="N226" s="1930">
        <v>3267.77</v>
      </c>
      <c r="O226" s="1931">
        <v>3498.93</v>
      </c>
      <c r="P226" s="1931">
        <v>3148.93</v>
      </c>
      <c r="Q226" s="3178"/>
      <c r="R226" s="3481"/>
    </row>
    <row r="227" spans="1:18" ht="12.75" customHeight="1">
      <c r="A227" s="1922">
        <f t="shared" si="3"/>
        <v>2011.02</v>
      </c>
      <c r="B227" s="1941">
        <v>4.1895374687795428</v>
      </c>
      <c r="C227" s="1941">
        <v>3.7298104329729007</v>
      </c>
      <c r="D227" s="1942">
        <v>4.815172452252547</v>
      </c>
      <c r="E227" s="3179">
        <v>3.4464284351409855</v>
      </c>
      <c r="F227" s="1923"/>
      <c r="G227" s="3712"/>
      <c r="H227" s="1924"/>
      <c r="I227" s="3177"/>
      <c r="J227" s="1923"/>
      <c r="K227" s="3712"/>
      <c r="L227" s="1924"/>
      <c r="M227" s="3177"/>
      <c r="N227" s="1930">
        <v>3284.91</v>
      </c>
      <c r="O227" s="1931">
        <v>3513.41</v>
      </c>
      <c r="P227" s="1931">
        <v>3154.65</v>
      </c>
      <c r="Q227" s="3178"/>
      <c r="R227" s="3481"/>
    </row>
    <row r="228" spans="1:18" ht="12.75" customHeight="1">
      <c r="A228" s="1922">
        <f t="shared" si="3"/>
        <v>2011.03</v>
      </c>
      <c r="B228" s="1941">
        <v>4.1767589231231348</v>
      </c>
      <c r="C228" s="1941">
        <v>3.7614803420350187</v>
      </c>
      <c r="D228" s="1942">
        <v>4.7552286598105775</v>
      </c>
      <c r="E228" s="3179">
        <v>3.4381417594133081</v>
      </c>
      <c r="F228" s="1923"/>
      <c r="G228" s="3712"/>
      <c r="H228" s="1924"/>
      <c r="I228" s="3177"/>
      <c r="J228" s="1923"/>
      <c r="K228" s="3712"/>
      <c r="L228" s="1924"/>
      <c r="M228" s="3177"/>
      <c r="N228" s="1930">
        <v>3338.64</v>
      </c>
      <c r="O228" s="1931">
        <v>3561.45</v>
      </c>
      <c r="P228" s="1931">
        <v>3173.83</v>
      </c>
      <c r="Q228" s="3178"/>
      <c r="R228" s="3481"/>
    </row>
    <row r="229" spans="1:18" ht="12.75" customHeight="1">
      <c r="A229" s="1922">
        <f t="shared" si="3"/>
        <v>2011.04</v>
      </c>
      <c r="B229" s="1941">
        <v>4.357484068835193</v>
      </c>
      <c r="C229" s="1941">
        <v>3.7931502510971367</v>
      </c>
      <c r="D229" s="1942">
        <v>5.0933491140535594</v>
      </c>
      <c r="E229" s="3179">
        <v>3.6071899442579252</v>
      </c>
      <c r="F229" s="1923"/>
      <c r="G229" s="3712"/>
      <c r="H229" s="1924"/>
      <c r="I229" s="3177"/>
      <c r="J229" s="1923"/>
      <c r="K229" s="3712"/>
      <c r="L229" s="1924"/>
      <c r="M229" s="3177"/>
      <c r="N229" s="1930">
        <v>3570.69</v>
      </c>
      <c r="O229" s="1931">
        <v>3679.13</v>
      </c>
      <c r="P229" s="1931">
        <v>3294.99</v>
      </c>
      <c r="Q229" s="3178"/>
      <c r="R229" s="3481"/>
    </row>
    <row r="230" spans="1:18" ht="12.75" customHeight="1">
      <c r="A230" s="1922">
        <f t="shared" si="3"/>
        <v>2011.05</v>
      </c>
      <c r="B230" s="1941">
        <v>4.3629605884022258</v>
      </c>
      <c r="C230" s="1941">
        <v>3.8293444328824147</v>
      </c>
      <c r="D230" s="1942">
        <v>5.0605673525618577</v>
      </c>
      <c r="E230" s="3179">
        <v>3.6477946553235441</v>
      </c>
      <c r="F230" s="1923"/>
      <c r="G230" s="3712"/>
      <c r="H230" s="1924"/>
      <c r="I230" s="3177"/>
      <c r="J230" s="1923"/>
      <c r="K230" s="3712"/>
      <c r="L230" s="1924"/>
      <c r="M230" s="3177"/>
      <c r="N230" s="1930">
        <v>3598.21</v>
      </c>
      <c r="O230" s="1931">
        <v>3711.19</v>
      </c>
      <c r="P230" s="1931">
        <v>3325.54</v>
      </c>
      <c r="Q230" s="3178"/>
      <c r="R230" s="3481"/>
    </row>
    <row r="231" spans="1:18" ht="12.75" customHeight="1">
      <c r="A231" s="1922">
        <f t="shared" si="3"/>
        <v>2011.06</v>
      </c>
      <c r="B231" s="1941">
        <v>4.3392290036117531</v>
      </c>
      <c r="C231" s="1941">
        <v>3.8691580328462205</v>
      </c>
      <c r="D231" s="1942">
        <v>4.9734615291696223</v>
      </c>
      <c r="E231" s="3179">
        <v>3.6013892712485518</v>
      </c>
      <c r="F231" s="1923"/>
      <c r="G231" s="3712"/>
      <c r="H231" s="1924"/>
      <c r="I231" s="3177"/>
      <c r="J231" s="1923"/>
      <c r="K231" s="3712"/>
      <c r="L231" s="1924"/>
      <c r="M231" s="3177"/>
      <c r="N231" s="1930">
        <v>3633.43</v>
      </c>
      <c r="O231" s="1931">
        <v>3744.55</v>
      </c>
      <c r="P231" s="1931">
        <v>3355.47</v>
      </c>
      <c r="Q231" s="3178"/>
      <c r="R231" s="3481"/>
    </row>
    <row r="232" spans="1:18" ht="12.75" customHeight="1">
      <c r="A232" s="1922">
        <f t="shared" si="3"/>
        <v>2011.07</v>
      </c>
      <c r="B232" s="1941">
        <v>4.4168130308113742</v>
      </c>
      <c r="C232" s="1941">
        <v>3.907161923720762</v>
      </c>
      <c r="D232" s="1942">
        <v>5.085856139998314</v>
      </c>
      <c r="E232" s="3179">
        <v>3.7074587205628204</v>
      </c>
      <c r="F232" s="1923"/>
      <c r="G232" s="3712"/>
      <c r="H232" s="1924"/>
      <c r="I232" s="3177"/>
      <c r="J232" s="1923"/>
      <c r="K232" s="3712"/>
      <c r="L232" s="1924"/>
      <c r="M232" s="3177"/>
      <c r="N232" s="1930">
        <v>3683.93</v>
      </c>
      <c r="O232" s="1931">
        <v>3822.96</v>
      </c>
      <c r="P232" s="1931">
        <v>3562.28</v>
      </c>
      <c r="Q232" s="3178"/>
      <c r="R232" s="3481"/>
    </row>
    <row r="233" spans="1:18" ht="12.75" customHeight="1">
      <c r="A233" s="1922">
        <f t="shared" si="3"/>
        <v>2011.08</v>
      </c>
      <c r="B233" s="1941">
        <v>4.5290816819355317</v>
      </c>
      <c r="C233" s="1941">
        <v>3.9478803782292</v>
      </c>
      <c r="D233" s="1942">
        <v>5.2834833307054305</v>
      </c>
      <c r="E233" s="3179">
        <v>3.7762381291025422</v>
      </c>
      <c r="F233" s="1923"/>
      <c r="G233" s="3712"/>
      <c r="H233" s="1924"/>
      <c r="I233" s="3177"/>
      <c r="J233" s="1923"/>
      <c r="K233" s="3712"/>
      <c r="L233" s="1924"/>
      <c r="M233" s="3177"/>
      <c r="N233" s="1930">
        <v>3852.09</v>
      </c>
      <c r="O233" s="1931">
        <v>3986.98</v>
      </c>
      <c r="P233" s="1931">
        <v>3622.48</v>
      </c>
      <c r="Q233" s="3178"/>
      <c r="R233" s="3481"/>
    </row>
    <row r="234" spans="1:18" ht="12.75" customHeight="1">
      <c r="A234" s="1922">
        <f t="shared" si="3"/>
        <v>2011.09</v>
      </c>
      <c r="B234" s="1941">
        <v>4.582021371083508</v>
      </c>
      <c r="C234" s="1941">
        <v>3.984074560014478</v>
      </c>
      <c r="D234" s="1942">
        <v>5.3359341490921537</v>
      </c>
      <c r="E234" s="3179">
        <v>3.9162829489002888</v>
      </c>
      <c r="F234" s="1923"/>
      <c r="G234" s="3712"/>
      <c r="H234" s="1924"/>
      <c r="I234" s="3177"/>
      <c r="J234" s="1923"/>
      <c r="K234" s="3712"/>
      <c r="L234" s="1924"/>
      <c r="M234" s="3177"/>
      <c r="N234" s="1930">
        <v>3996.49</v>
      </c>
      <c r="O234" s="1931">
        <v>4132.2700000000004</v>
      </c>
      <c r="P234" s="1931">
        <v>3641.26</v>
      </c>
      <c r="Q234" s="3178"/>
      <c r="R234" s="3481"/>
    </row>
    <row r="235" spans="1:18" ht="12.75" customHeight="1">
      <c r="A235" s="1922">
        <f t="shared" si="3"/>
        <v>2011.1</v>
      </c>
      <c r="B235" s="1941">
        <v>4.6167059950080445</v>
      </c>
      <c r="C235" s="1941">
        <v>4.0238881599782834</v>
      </c>
      <c r="D235" s="1942">
        <v>5.3640328017993273</v>
      </c>
      <c r="E235" s="3179">
        <v>3.9502583193837655</v>
      </c>
      <c r="F235" s="1923"/>
      <c r="G235" s="3712"/>
      <c r="H235" s="1924"/>
      <c r="I235" s="3177"/>
      <c r="J235" s="1923"/>
      <c r="K235" s="3712"/>
      <c r="L235" s="1924"/>
      <c r="M235" s="3177"/>
      <c r="N235" s="1930">
        <v>4027.17</v>
      </c>
      <c r="O235" s="1931">
        <v>4172.95</v>
      </c>
      <c r="P235" s="1931">
        <v>3661.51</v>
      </c>
      <c r="Q235" s="3178"/>
      <c r="R235" s="3481"/>
    </row>
    <row r="236" spans="1:18" ht="12.75" customHeight="1">
      <c r="A236" s="1922">
        <f t="shared" si="3"/>
        <v>2011.11</v>
      </c>
      <c r="B236" s="1941">
        <v>4.6933772689464943</v>
      </c>
      <c r="C236" s="1941">
        <v>4.0655114690313532</v>
      </c>
      <c r="D236" s="1942">
        <v>5.4904767389816058</v>
      </c>
      <c r="E236" s="3179">
        <v>3.9660030032663527</v>
      </c>
      <c r="F236" s="1923"/>
      <c r="G236" s="3712"/>
      <c r="H236" s="1924"/>
      <c r="I236" s="3177"/>
      <c r="J236" s="1923"/>
      <c r="K236" s="3712"/>
      <c r="L236" s="1924"/>
      <c r="M236" s="3177"/>
      <c r="N236" s="1930">
        <v>4268.41</v>
      </c>
      <c r="O236" s="1931">
        <v>4385.6499999999996</v>
      </c>
      <c r="P236" s="1931">
        <v>3716.48</v>
      </c>
      <c r="Q236" s="3178"/>
      <c r="R236" s="3481"/>
    </row>
    <row r="237" spans="1:18" ht="12.75" customHeight="1">
      <c r="A237" s="1922">
        <f t="shared" si="3"/>
        <v>2011.12</v>
      </c>
      <c r="B237" s="1941">
        <v>4.7490552178779861</v>
      </c>
      <c r="C237" s="1941">
        <v>4.1080396326290547</v>
      </c>
      <c r="D237" s="1942">
        <v>5.5260683657440248</v>
      </c>
      <c r="E237" s="3179">
        <v>4.1822852397587296</v>
      </c>
      <c r="F237" s="1923"/>
      <c r="G237" s="3712"/>
      <c r="H237" s="1924"/>
      <c r="I237" s="3177"/>
      <c r="J237" s="1923"/>
      <c r="K237" s="3712"/>
      <c r="L237" s="1924"/>
      <c r="M237" s="3177"/>
      <c r="N237" s="1930">
        <v>4286.99</v>
      </c>
      <c r="O237" s="1931">
        <v>4428.0200000000004</v>
      </c>
      <c r="P237" s="1931">
        <v>3789.06</v>
      </c>
      <c r="Q237" s="3178"/>
      <c r="R237" s="3481"/>
    </row>
    <row r="238" spans="1:18" ht="12.75" customHeight="1">
      <c r="A238" s="1922">
        <f t="shared" si="3"/>
        <v>2012.01</v>
      </c>
      <c r="B238" s="1941">
        <v>4.9808945462156782</v>
      </c>
      <c r="C238" s="1941">
        <v>4.1505677962267562</v>
      </c>
      <c r="D238" s="1942">
        <v>5.9503580216223373</v>
      </c>
      <c r="E238" s="3179">
        <v>4.4333715143073515</v>
      </c>
      <c r="F238" s="1923"/>
      <c r="G238" s="3712"/>
      <c r="H238" s="1924"/>
      <c r="I238" s="3177"/>
      <c r="J238" s="1923"/>
      <c r="K238" s="3712"/>
      <c r="L238" s="1924"/>
      <c r="M238" s="3177"/>
      <c r="N238" s="1930">
        <v>4399.0200000000004</v>
      </c>
      <c r="O238" s="1931">
        <v>4555.41</v>
      </c>
      <c r="P238" s="1931">
        <v>3826.53</v>
      </c>
      <c r="Q238" s="3178"/>
      <c r="R238" s="3481"/>
    </row>
    <row r="239" spans="1:18" ht="12.75" customHeight="1">
      <c r="A239" s="1922">
        <f t="shared" si="3"/>
        <v>2012.02</v>
      </c>
      <c r="B239" s="1941">
        <v>5.0539148071094395</v>
      </c>
      <c r="C239" s="1941">
        <v>4.1994299416368817</v>
      </c>
      <c r="D239" s="1942">
        <v>6.0412103320421977</v>
      </c>
      <c r="E239" s="3179">
        <v>4.5460703042037629</v>
      </c>
      <c r="F239" s="1923"/>
      <c r="G239" s="3712"/>
      <c r="H239" s="1924"/>
      <c r="I239" s="3177"/>
      <c r="J239" s="1923"/>
      <c r="K239" s="3712"/>
      <c r="L239" s="1924"/>
      <c r="M239" s="3177"/>
      <c r="N239" s="1930">
        <v>4459.9399999999996</v>
      </c>
      <c r="O239" s="1931">
        <v>4655.45</v>
      </c>
      <c r="P239" s="1931">
        <v>3869.74</v>
      </c>
      <c r="Q239" s="3178"/>
      <c r="R239" s="3481"/>
    </row>
    <row r="240" spans="1:18" ht="12.75" customHeight="1">
      <c r="A240" s="1922">
        <f t="shared" si="3"/>
        <v>2012.03</v>
      </c>
      <c r="B240" s="1941">
        <v>5.0949887038621799</v>
      </c>
      <c r="C240" s="1941">
        <v>4.251911505225535</v>
      </c>
      <c r="D240" s="1942">
        <v>6.0739920935338994</v>
      </c>
      <c r="E240" s="3179">
        <v>4.5643009908046519</v>
      </c>
      <c r="F240" s="1923"/>
      <c r="G240" s="3712"/>
      <c r="H240" s="1924"/>
      <c r="I240" s="3177"/>
      <c r="J240" s="1923"/>
      <c r="K240" s="3712"/>
      <c r="L240" s="1924"/>
      <c r="M240" s="3177"/>
      <c r="N240" s="1930">
        <v>4548.03</v>
      </c>
      <c r="O240" s="1931">
        <v>4748.09</v>
      </c>
      <c r="P240" s="1931">
        <v>4141.75</v>
      </c>
      <c r="Q240" s="3178"/>
      <c r="R240" s="3481"/>
    </row>
    <row r="241" spans="1:18" ht="12.75" customHeight="1">
      <c r="A241" s="1922">
        <f t="shared" si="3"/>
        <v>2012.04</v>
      </c>
      <c r="B241" s="1941">
        <v>5.4336201637569959</v>
      </c>
      <c r="C241" s="1941">
        <v>4.3034882142695565</v>
      </c>
      <c r="D241" s="1942">
        <v>6.709958266472916</v>
      </c>
      <c r="E241" s="3179">
        <v>4.9197993795220087</v>
      </c>
      <c r="F241" s="1923"/>
      <c r="G241" s="3712"/>
      <c r="H241" s="1924"/>
      <c r="I241" s="3177"/>
      <c r="J241" s="1923"/>
      <c r="K241" s="3712"/>
      <c r="L241" s="1924"/>
      <c r="M241" s="3177"/>
      <c r="N241" s="1930">
        <v>4623.91</v>
      </c>
      <c r="O241" s="1931">
        <v>4831.63</v>
      </c>
      <c r="P241" s="1931">
        <v>4214.1499999999996</v>
      </c>
      <c r="Q241" s="3178"/>
      <c r="R241" s="3481"/>
    </row>
    <row r="242" spans="1:18" ht="12.75" customHeight="1">
      <c r="A242" s="1922">
        <f t="shared" si="3"/>
        <v>2012.05</v>
      </c>
      <c r="B242" s="1941">
        <v>5.2757138495742382</v>
      </c>
      <c r="C242" s="1941">
        <v>4.3496357960457859</v>
      </c>
      <c r="D242" s="1942">
        <v>6.3409292942520441</v>
      </c>
      <c r="E242" s="3179">
        <v>4.7507511946773908</v>
      </c>
      <c r="F242" s="1923"/>
      <c r="G242" s="3712"/>
      <c r="H242" s="1924"/>
      <c r="I242" s="3177"/>
      <c r="J242" s="1923"/>
      <c r="K242" s="3712"/>
      <c r="L242" s="1924"/>
      <c r="M242" s="3177"/>
      <c r="N242" s="1930">
        <v>4686.45</v>
      </c>
      <c r="O242" s="1931">
        <v>4951.99</v>
      </c>
      <c r="P242" s="1931">
        <v>4286.84</v>
      </c>
      <c r="Q242" s="3178"/>
      <c r="R242" s="3481"/>
    </row>
    <row r="243" spans="1:18" ht="12.75" customHeight="1">
      <c r="A243" s="1922">
        <f t="shared" si="3"/>
        <v>2012.06</v>
      </c>
      <c r="B243" s="1941">
        <v>5.6645467388335167</v>
      </c>
      <c r="C243" s="1941">
        <v>4.4039270687237027</v>
      </c>
      <c r="D243" s="1942">
        <v>7.1295648135667005</v>
      </c>
      <c r="E243" s="3179">
        <v>4.8916246820479046</v>
      </c>
      <c r="F243" s="1923"/>
      <c r="G243" s="3712"/>
      <c r="H243" s="1924"/>
      <c r="I243" s="3177"/>
      <c r="J243" s="1923"/>
      <c r="K243" s="3712"/>
      <c r="L243" s="1924"/>
      <c r="M243" s="3177"/>
      <c r="N243" s="1930">
        <v>4963.03</v>
      </c>
      <c r="O243" s="1931">
        <v>5112.03</v>
      </c>
      <c r="P243" s="1931">
        <v>4505.5</v>
      </c>
      <c r="Q243" s="3178"/>
      <c r="R243" s="3481"/>
    </row>
    <row r="244" spans="1:18" ht="12.75" customHeight="1">
      <c r="A244" s="1922">
        <f t="shared" si="3"/>
        <v>2012.07</v>
      </c>
      <c r="B244" s="1941">
        <v>5.7448690258166533</v>
      </c>
      <c r="C244" s="1941">
        <v>4.456408632312356</v>
      </c>
      <c r="D244" s="1942">
        <v>7.2279100980418063</v>
      </c>
      <c r="E244" s="3179">
        <v>5.0225541585452067</v>
      </c>
      <c r="F244" s="1923"/>
      <c r="G244" s="3712"/>
      <c r="H244" s="1924"/>
      <c r="I244" s="3177"/>
      <c r="J244" s="1923"/>
      <c r="K244" s="3712"/>
      <c r="L244" s="1924"/>
      <c r="M244" s="3177"/>
      <c r="N244" s="1930">
        <v>5079.4799999999996</v>
      </c>
      <c r="O244" s="1931">
        <v>5240.68</v>
      </c>
      <c r="P244" s="1931">
        <v>4555.3999999999996</v>
      </c>
      <c r="Q244" s="3178"/>
      <c r="R244" s="3481"/>
    </row>
    <row r="245" spans="1:18" ht="12.75" customHeight="1">
      <c r="A245" s="1922">
        <f t="shared" si="3"/>
        <v>2012.08</v>
      </c>
      <c r="B245" s="1941">
        <v>5.8215402997551022</v>
      </c>
      <c r="C245" s="1941">
        <v>4.5070804868117449</v>
      </c>
      <c r="D245" s="1942">
        <v>7.3253187607600063</v>
      </c>
      <c r="E245" s="3179">
        <v>5.1294522754322438</v>
      </c>
      <c r="F245" s="1923"/>
      <c r="G245" s="3712"/>
      <c r="H245" s="1924"/>
      <c r="I245" s="3177"/>
      <c r="J245" s="1923"/>
      <c r="K245" s="3712"/>
      <c r="L245" s="1924"/>
      <c r="M245" s="3177"/>
      <c r="N245" s="1930">
        <v>5091.83</v>
      </c>
      <c r="O245" s="1931">
        <v>5240.68</v>
      </c>
      <c r="P245" s="1931">
        <v>4563.1000000000004</v>
      </c>
      <c r="Q245" s="3178"/>
      <c r="R245" s="3481"/>
    </row>
    <row r="246" spans="1:18" ht="12.75" customHeight="1">
      <c r="A246" s="1922">
        <f t="shared" si="3"/>
        <v>2012.09</v>
      </c>
      <c r="B246" s="1941">
        <v>5.846184637806747</v>
      </c>
      <c r="C246" s="1941">
        <v>4.5577523413111338</v>
      </c>
      <c r="D246" s="1942">
        <v>7.3159525431909485</v>
      </c>
      <c r="E246" s="3179">
        <v>5.1808296649438441</v>
      </c>
      <c r="F246" s="1923"/>
      <c r="G246" s="3712"/>
      <c r="H246" s="1924"/>
      <c r="I246" s="3177"/>
      <c r="J246" s="1923"/>
      <c r="K246" s="3712"/>
      <c r="L246" s="1924"/>
      <c r="M246" s="3177"/>
      <c r="N246" s="1930">
        <v>5091.83</v>
      </c>
      <c r="O246" s="1931">
        <v>5240.68</v>
      </c>
      <c r="P246" s="1931">
        <v>4563.1000000000004</v>
      </c>
      <c r="Q246" s="3178"/>
      <c r="R246" s="3481"/>
    </row>
    <row r="247" spans="1:18" ht="12.75" customHeight="1">
      <c r="A247" s="1922">
        <f t="shared" si="3"/>
        <v>2012.1</v>
      </c>
      <c r="B247" s="1941">
        <v>5.8626141965078427</v>
      </c>
      <c r="C247" s="1941">
        <v>4.6129484685336832</v>
      </c>
      <c r="D247" s="1942">
        <v>7.2953468645390211</v>
      </c>
      <c r="E247" s="3179">
        <v>5.1849730028076833</v>
      </c>
      <c r="F247" s="1923"/>
      <c r="G247" s="3712"/>
      <c r="H247" s="1924"/>
      <c r="I247" s="3177"/>
      <c r="J247" s="1923"/>
      <c r="K247" s="3712"/>
      <c r="L247" s="1924"/>
      <c r="M247" s="3177"/>
      <c r="N247" s="1930">
        <v>5101.32</v>
      </c>
      <c r="O247" s="1931">
        <v>5250.05</v>
      </c>
      <c r="P247" s="1931">
        <v>4573.93</v>
      </c>
      <c r="Q247" s="3178"/>
      <c r="R247" s="3481"/>
    </row>
    <row r="248" spans="1:18" ht="12.75" customHeight="1">
      <c r="A248" s="1922">
        <f t="shared" si="3"/>
        <v>2012.11</v>
      </c>
      <c r="B248" s="1941">
        <v>5.9374599639239474</v>
      </c>
      <c r="C248" s="1941">
        <v>4.6699543048454961</v>
      </c>
      <c r="D248" s="1942">
        <v>7.3936921490141261</v>
      </c>
      <c r="E248" s="3179">
        <v>5.2322070544554435</v>
      </c>
      <c r="F248" s="1923"/>
      <c r="G248" s="3712"/>
      <c r="H248" s="1924"/>
      <c r="I248" s="3177"/>
      <c r="J248" s="1923"/>
      <c r="K248" s="3712"/>
      <c r="L248" s="1924"/>
      <c r="M248" s="3177"/>
      <c r="N248" s="1930">
        <v>5130.32</v>
      </c>
      <c r="O248" s="1931">
        <v>5270.8</v>
      </c>
      <c r="P248" s="1931">
        <v>4590.51</v>
      </c>
      <c r="Q248" s="3178"/>
      <c r="R248" s="3481"/>
    </row>
    <row r="249" spans="1:18" ht="12.75" customHeight="1">
      <c r="A249" s="1922">
        <f t="shared" si="3"/>
        <v>2012.12</v>
      </c>
      <c r="B249" s="1941">
        <v>5.9529767693638727</v>
      </c>
      <c r="C249" s="1941">
        <v>4.7142921775324611</v>
      </c>
      <c r="D249" s="1942">
        <v>7.3815160661743517</v>
      </c>
      <c r="E249" s="3179">
        <v>5.2462944031924952</v>
      </c>
      <c r="F249" s="1923"/>
      <c r="G249" s="3712"/>
      <c r="H249" s="1924"/>
      <c r="I249" s="3177"/>
      <c r="J249" s="1923"/>
      <c r="K249" s="3712"/>
      <c r="L249" s="1924"/>
      <c r="M249" s="3177"/>
      <c r="N249" s="1930">
        <v>5186.8100000000004</v>
      </c>
      <c r="O249" s="1931">
        <v>5328.6</v>
      </c>
      <c r="P249" s="1931">
        <v>5280.65</v>
      </c>
      <c r="Q249" s="3178"/>
      <c r="R249" s="3481"/>
    </row>
    <row r="250" spans="1:18" ht="12.75" customHeight="1">
      <c r="A250" s="1922">
        <f t="shared" si="3"/>
        <v>2013.01</v>
      </c>
      <c r="B250" s="1941">
        <v>5.9785338606766878</v>
      </c>
      <c r="C250" s="1941">
        <v>4.7568203411301635</v>
      </c>
      <c r="D250" s="1942">
        <v>7.3852625532019749</v>
      </c>
      <c r="E250" s="3179">
        <v>5.283584443967043</v>
      </c>
      <c r="F250" s="1923"/>
      <c r="G250" s="3712"/>
      <c r="H250" s="1924"/>
      <c r="I250" s="3177"/>
      <c r="J250" s="1923"/>
      <c r="K250" s="3712"/>
      <c r="L250" s="1924"/>
      <c r="M250" s="3177"/>
      <c r="N250" s="1930">
        <v>5206.62</v>
      </c>
      <c r="O250" s="1931">
        <v>5366.83</v>
      </c>
      <c r="P250" s="1931">
        <v>5336.85</v>
      </c>
      <c r="Q250" s="3178"/>
      <c r="R250" s="3481"/>
    </row>
    <row r="251" spans="1:18" ht="12.75" customHeight="1">
      <c r="A251" s="1922">
        <f t="shared" si="3"/>
        <v>2013.02</v>
      </c>
      <c r="B251" s="1941">
        <v>6.0232587704741158</v>
      </c>
      <c r="C251" s="1941">
        <v>4.8156358865312399</v>
      </c>
      <c r="D251" s="1942">
        <v>7.3974386360417501</v>
      </c>
      <c r="E251" s="3179">
        <v>5.4194859259009514</v>
      </c>
      <c r="F251" s="1923"/>
      <c r="G251" s="3712"/>
      <c r="H251" s="1924"/>
      <c r="I251" s="3177"/>
      <c r="J251" s="1923"/>
      <c r="K251" s="3712"/>
      <c r="L251" s="1924"/>
      <c r="M251" s="3177"/>
      <c r="N251" s="1930">
        <v>5906.62</v>
      </c>
      <c r="O251" s="1931">
        <v>6186.83</v>
      </c>
      <c r="P251" s="1931">
        <v>5361.65</v>
      </c>
      <c r="Q251" s="3178"/>
      <c r="R251" s="3481"/>
    </row>
    <row r="252" spans="1:18" ht="12.75" customHeight="1">
      <c r="A252" s="1922">
        <f t="shared" si="3"/>
        <v>2013.03</v>
      </c>
      <c r="B252" s="1941">
        <v>6.1975946433579701</v>
      </c>
      <c r="C252" s="1941">
        <v>4.875356286476948</v>
      </c>
      <c r="D252" s="1942">
        <v>7.6756152978427634</v>
      </c>
      <c r="E252" s="3179">
        <v>5.6581421868580577</v>
      </c>
      <c r="F252" s="1923"/>
      <c r="G252" s="3712"/>
      <c r="H252" s="1924"/>
      <c r="I252" s="3177"/>
      <c r="J252" s="1923"/>
      <c r="K252" s="3712"/>
      <c r="L252" s="1924"/>
      <c r="M252" s="3177"/>
      <c r="N252" s="1930">
        <v>5913.41</v>
      </c>
      <c r="O252" s="1931">
        <v>6196.2</v>
      </c>
      <c r="P252" s="1931">
        <v>5368.8</v>
      </c>
      <c r="Q252" s="3178"/>
      <c r="R252" s="3481"/>
    </row>
    <row r="253" spans="1:18" ht="12.75" customHeight="1">
      <c r="A253" s="1922">
        <f t="shared" si="3"/>
        <v>2013.04</v>
      </c>
      <c r="B253" s="1941">
        <v>6.2240644879319582</v>
      </c>
      <c r="C253" s="1941">
        <v>4.9341718318780252</v>
      </c>
      <c r="D253" s="1942">
        <v>7.664375836759894</v>
      </c>
      <c r="E253" s="3179">
        <v>5.7120055790879602</v>
      </c>
      <c r="F253" s="1923"/>
      <c r="G253" s="3712"/>
      <c r="H253" s="1924"/>
      <c r="I253" s="3177"/>
      <c r="J253" s="1923"/>
      <c r="K253" s="3712"/>
      <c r="L253" s="1924"/>
      <c r="M253" s="3177"/>
      <c r="N253" s="1930">
        <v>5940.73</v>
      </c>
      <c r="O253" s="1931">
        <v>6230.05</v>
      </c>
      <c r="P253" s="1931">
        <v>5410.48</v>
      </c>
      <c r="Q253" s="3178"/>
      <c r="R253" s="3481"/>
    </row>
    <row r="254" spans="1:18" ht="12.75" customHeight="1">
      <c r="A254" s="1922">
        <f t="shared" si="3"/>
        <v>2013.05</v>
      </c>
      <c r="B254" s="1941">
        <v>6.2715276575129026</v>
      </c>
      <c r="C254" s="1941">
        <v>5.0056553409039504</v>
      </c>
      <c r="D254" s="1942">
        <v>7.6728054325720469</v>
      </c>
      <c r="E254" s="3179">
        <v>5.8238757014116036</v>
      </c>
      <c r="F254" s="1923"/>
      <c r="G254" s="3712"/>
      <c r="H254" s="1924"/>
      <c r="I254" s="3177"/>
      <c r="J254" s="1923"/>
      <c r="K254" s="3712"/>
      <c r="L254" s="1924"/>
      <c r="M254" s="3177"/>
      <c r="N254" s="1930">
        <v>5963.98</v>
      </c>
      <c r="O254" s="1931">
        <v>6274.1</v>
      </c>
      <c r="P254" s="1931">
        <v>5410.48</v>
      </c>
      <c r="Q254" s="3178"/>
      <c r="R254" s="3481"/>
    </row>
    <row r="255" spans="1:18" ht="12.75" customHeight="1">
      <c r="A255" s="1922">
        <f t="shared" si="3"/>
        <v>2013.06</v>
      </c>
      <c r="B255" s="1941">
        <v>6.8009245489926702</v>
      </c>
      <c r="C255" s="1941">
        <v>5.0771388499298737</v>
      </c>
      <c r="D255" s="1942">
        <v>8.724631665577224</v>
      </c>
      <c r="E255" s="3179">
        <v>6.1313113709084313</v>
      </c>
      <c r="F255" s="1923"/>
      <c r="G255" s="3712"/>
      <c r="H255" s="1924"/>
      <c r="I255" s="3177"/>
      <c r="J255" s="1923"/>
      <c r="K255" s="3712"/>
      <c r="L255" s="1924"/>
      <c r="M255" s="3177"/>
      <c r="N255" s="1930">
        <v>6259.13</v>
      </c>
      <c r="O255" s="1931">
        <v>6546.14</v>
      </c>
      <c r="P255" s="1931">
        <v>5664.73</v>
      </c>
      <c r="Q255" s="3178"/>
      <c r="R255" s="3481"/>
    </row>
    <row r="256" spans="1:18" ht="12.75" customHeight="1">
      <c r="A256" s="1922">
        <f t="shared" si="3"/>
        <v>2013.07</v>
      </c>
      <c r="B256" s="1941">
        <v>6.8018373022538423</v>
      </c>
      <c r="C256" s="1941">
        <v>5.139573813509478</v>
      </c>
      <c r="D256" s="1942">
        <v>8.6834203082733694</v>
      </c>
      <c r="E256" s="3179">
        <v>6.0351859324673747</v>
      </c>
      <c r="F256" s="1923"/>
      <c r="G256" s="3712"/>
      <c r="H256" s="1924"/>
      <c r="I256" s="3177"/>
      <c r="J256" s="1923"/>
      <c r="K256" s="3712"/>
      <c r="L256" s="1924"/>
      <c r="M256" s="3177"/>
      <c r="N256" s="1930">
        <v>6305.17</v>
      </c>
      <c r="O256" s="1931">
        <v>6065.29</v>
      </c>
      <c r="P256" s="1931">
        <v>6265.36</v>
      </c>
      <c r="Q256" s="3178"/>
      <c r="R256" s="3481"/>
    </row>
    <row r="257" spans="1:18" ht="12.75" customHeight="1">
      <c r="A257" s="1922">
        <f t="shared" si="3"/>
        <v>2013.08</v>
      </c>
      <c r="B257" s="1941">
        <v>6.8702937968417439</v>
      </c>
      <c r="C257" s="1941">
        <v>5.2128670316246657</v>
      </c>
      <c r="D257" s="1942">
        <v>8.7480472094998678</v>
      </c>
      <c r="E257" s="3179">
        <v>6.0898779922700452</v>
      </c>
      <c r="F257" s="1923"/>
      <c r="G257" s="3712"/>
      <c r="H257" s="1924"/>
      <c r="I257" s="3177"/>
      <c r="J257" s="1923"/>
      <c r="K257" s="3712"/>
      <c r="L257" s="1924"/>
      <c r="M257" s="3177"/>
      <c r="N257" s="1930">
        <v>6845.02</v>
      </c>
      <c r="O257" s="1931">
        <v>7140.01</v>
      </c>
      <c r="P257" s="1931">
        <v>6264.36</v>
      </c>
      <c r="Q257" s="2118">
        <v>4579.8</v>
      </c>
      <c r="R257" s="3481"/>
    </row>
    <row r="258" spans="1:18" ht="12.75" customHeight="1">
      <c r="A258" s="1922">
        <f t="shared" si="3"/>
        <v>2013.09</v>
      </c>
      <c r="B258" s="1941">
        <v>7.0528444490761473</v>
      </c>
      <c r="C258" s="1941">
        <v>5.2825408315613256</v>
      </c>
      <c r="D258" s="1942">
        <v>9.0608788763063952</v>
      </c>
      <c r="E258" s="3179">
        <v>6.2100347903213668</v>
      </c>
      <c r="F258" s="1923"/>
      <c r="G258" s="3712"/>
      <c r="H258" s="1924"/>
      <c r="I258" s="3177"/>
      <c r="J258" s="1923"/>
      <c r="K258" s="3712"/>
      <c r="L258" s="1924"/>
      <c r="M258" s="3177"/>
      <c r="N258" s="1930">
        <v>6887.87</v>
      </c>
      <c r="O258" s="1931">
        <v>7174.41</v>
      </c>
      <c r="P258" s="1931">
        <v>6264.36</v>
      </c>
      <c r="Q258" s="1933">
        <v>4621.6000000000004</v>
      </c>
      <c r="R258" s="3481"/>
    </row>
    <row r="259" spans="1:18" ht="12.75" customHeight="1">
      <c r="A259" s="1922">
        <f t="shared" si="3"/>
        <v>2013.1</v>
      </c>
      <c r="B259" s="1941">
        <v>7.0802270469113084</v>
      </c>
      <c r="C259" s="1941">
        <v>5.3531194860426181</v>
      </c>
      <c r="D259" s="1942">
        <v>9.0421464411682795</v>
      </c>
      <c r="E259" s="3179">
        <v>6.2489821662414506</v>
      </c>
      <c r="F259" s="1923"/>
      <c r="G259" s="3712"/>
      <c r="H259" s="1924"/>
      <c r="I259" s="3177"/>
      <c r="J259" s="1923"/>
      <c r="K259" s="3712"/>
      <c r="L259" s="1924"/>
      <c r="M259" s="3177"/>
      <c r="N259" s="1930">
        <v>6904.57</v>
      </c>
      <c r="O259" s="1931">
        <v>7186.01</v>
      </c>
      <c r="P259" s="1931">
        <v>6311.81</v>
      </c>
      <c r="Q259" s="1933">
        <v>4668.2700000000004</v>
      </c>
      <c r="R259" s="3481"/>
    </row>
    <row r="260" spans="1:18" ht="12.75" customHeight="1">
      <c r="A260" s="1922">
        <f t="shared" si="3"/>
        <v>2013.11</v>
      </c>
      <c r="B260" s="1941">
        <v>7.1459452817156937</v>
      </c>
      <c r="C260" s="1941">
        <v>5.4345563950594942</v>
      </c>
      <c r="D260" s="1942">
        <v>9.0992803683395316</v>
      </c>
      <c r="E260" s="3179">
        <v>6.2796428664338562</v>
      </c>
      <c r="F260" s="1923"/>
      <c r="G260" s="3712"/>
      <c r="H260" s="1924"/>
      <c r="I260" s="3177"/>
      <c r="J260" s="1923"/>
      <c r="K260" s="3712"/>
      <c r="L260" s="1924"/>
      <c r="M260" s="3177"/>
      <c r="N260" s="1930">
        <v>6930.33</v>
      </c>
      <c r="O260" s="1931">
        <v>7263.64</v>
      </c>
      <c r="P260" s="1931">
        <v>6318.61</v>
      </c>
      <c r="Q260" s="1933">
        <v>4668.2700000000004</v>
      </c>
      <c r="R260" s="3481"/>
    </row>
    <row r="261" spans="1:18" ht="12.75" customHeight="1">
      <c r="A261" s="1922">
        <f t="shared" si="3"/>
        <v>2013.12</v>
      </c>
      <c r="B261" s="1941">
        <v>7.218965542609455</v>
      </c>
      <c r="C261" s="1941">
        <v>5.5938107949147184</v>
      </c>
      <c r="D261" s="1942">
        <v>9.0824211767152292</v>
      </c>
      <c r="E261" s="3179">
        <v>6.3475936074008104</v>
      </c>
      <c r="F261" s="1923"/>
      <c r="G261" s="3712"/>
      <c r="H261" s="1924"/>
      <c r="I261" s="3177"/>
      <c r="J261" s="1923"/>
      <c r="K261" s="3712"/>
      <c r="L261" s="1924"/>
      <c r="M261" s="3177"/>
      <c r="N261" s="1930">
        <v>7164.84</v>
      </c>
      <c r="O261" s="1931">
        <v>7263.64</v>
      </c>
      <c r="P261" s="1931">
        <v>6391</v>
      </c>
      <c r="Q261" s="1933">
        <v>4875.51</v>
      </c>
      <c r="R261" s="3481"/>
    </row>
    <row r="262" spans="1:18" ht="12.75" customHeight="1">
      <c r="A262" s="1922">
        <f t="shared" si="3"/>
        <v>2014.01</v>
      </c>
      <c r="B262" s="1941">
        <v>7.3321469469947846</v>
      </c>
      <c r="C262" s="1941">
        <v>5.8227389947066008</v>
      </c>
      <c r="D262" s="1942">
        <v>9.0777380679306994</v>
      </c>
      <c r="E262" s="3179">
        <v>6.4420617106963318</v>
      </c>
      <c r="F262" s="1923"/>
      <c r="G262" s="3712"/>
      <c r="H262" s="1924"/>
      <c r="I262" s="3177"/>
      <c r="J262" s="1923"/>
      <c r="K262" s="3712"/>
      <c r="L262" s="1924"/>
      <c r="M262" s="3177"/>
      <c r="N262" s="1930">
        <v>7164.84</v>
      </c>
      <c r="O262" s="1931">
        <v>7539.84</v>
      </c>
      <c r="P262" s="1931">
        <v>6561.46</v>
      </c>
      <c r="Q262" s="1933">
        <v>4875.51</v>
      </c>
      <c r="R262" s="3481"/>
    </row>
    <row r="263" spans="1:18" ht="12.75" customHeight="1">
      <c r="A263" s="1922">
        <f t="shared" si="3"/>
        <v>2014.02</v>
      </c>
      <c r="B263" s="1941">
        <v>7.6205769775251415</v>
      </c>
      <c r="C263" s="1941">
        <v>6.3710808487535626</v>
      </c>
      <c r="D263" s="1942">
        <v>9.0805479332014158</v>
      </c>
      <c r="E263" s="3179">
        <v>6.7992174345592229</v>
      </c>
      <c r="F263" s="1923"/>
      <c r="G263" s="3712"/>
      <c r="H263" s="1924"/>
      <c r="I263" s="3177"/>
      <c r="J263" s="1923"/>
      <c r="K263" s="3712"/>
      <c r="L263" s="1924"/>
      <c r="M263" s="3177"/>
      <c r="N263" s="1930">
        <v>7292.02</v>
      </c>
      <c r="O263" s="1931">
        <v>7686.47</v>
      </c>
      <c r="P263" s="1931">
        <v>6917.98</v>
      </c>
      <c r="Q263" s="1933">
        <v>5065.45</v>
      </c>
      <c r="R263" s="3481"/>
    </row>
    <row r="264" spans="1:18" ht="12.75" customHeight="1">
      <c r="A264" s="1922">
        <f t="shared" si="3"/>
        <v>2014.03</v>
      </c>
      <c r="B264" s="1941">
        <v>7.7565772134397717</v>
      </c>
      <c r="C264" s="1941">
        <v>6.5963896303669181</v>
      </c>
      <c r="D264" s="1942">
        <v>9.1152029382069291</v>
      </c>
      <c r="E264" s="3179">
        <v>6.967436951831071</v>
      </c>
      <c r="F264" s="1923"/>
      <c r="G264" s="3712"/>
      <c r="H264" s="1924"/>
      <c r="I264" s="3177"/>
      <c r="J264" s="1923"/>
      <c r="K264" s="3712"/>
      <c r="L264" s="1924"/>
      <c r="M264" s="3177"/>
      <c r="N264" s="1930">
        <v>7629.32</v>
      </c>
      <c r="O264" s="1931">
        <v>7867.48</v>
      </c>
      <c r="P264" s="1931">
        <v>7013.39</v>
      </c>
      <c r="Q264" s="1933">
        <v>5238.46</v>
      </c>
      <c r="R264" s="3481"/>
    </row>
    <row r="265" spans="1:18" ht="12.75" customHeight="1">
      <c r="A265" s="1922">
        <f t="shared" si="3"/>
        <v>2014.04</v>
      </c>
      <c r="B265" s="1941">
        <v>8.4429676658411257</v>
      </c>
      <c r="C265" s="1941">
        <v>6.7348323756956052</v>
      </c>
      <c r="D265" s="1942">
        <v>10.403057853952358</v>
      </c>
      <c r="E265" s="3179">
        <v>7.5052422065573285</v>
      </c>
      <c r="F265" s="1923"/>
      <c r="G265" s="3712"/>
      <c r="H265" s="1924"/>
      <c r="I265" s="3177"/>
      <c r="J265" s="1923"/>
      <c r="K265" s="3712"/>
      <c r="L265" s="1924"/>
      <c r="M265" s="3177"/>
      <c r="N265" s="1930">
        <v>8353.57</v>
      </c>
      <c r="O265" s="1931">
        <v>8807.15</v>
      </c>
      <c r="P265" s="1931">
        <v>7013.39</v>
      </c>
      <c r="Q265" s="1933">
        <v>5723.55</v>
      </c>
      <c r="R265" s="3481"/>
    </row>
    <row r="266" spans="1:18" ht="12.75" customHeight="1">
      <c r="A266" s="1922">
        <f t="shared" si="3"/>
        <v>2014.05</v>
      </c>
      <c r="B266" s="1941">
        <v>8.6355586039484216</v>
      </c>
      <c r="C266" s="1941">
        <v>6.867845993756502</v>
      </c>
      <c r="D266" s="1942">
        <v>10.684044381024089</v>
      </c>
      <c r="E266" s="3179">
        <v>7.5715356123787467</v>
      </c>
      <c r="F266" s="1923"/>
      <c r="G266" s="3712"/>
      <c r="H266" s="1924"/>
      <c r="I266" s="3177"/>
      <c r="J266" s="1923"/>
      <c r="K266" s="3712"/>
      <c r="L266" s="1924"/>
      <c r="M266" s="3177"/>
      <c r="N266" s="1930">
        <v>8353.57</v>
      </c>
      <c r="O266" s="1931">
        <v>8807.15</v>
      </c>
      <c r="P266" s="1931">
        <v>7673.47</v>
      </c>
      <c r="Q266" s="1933">
        <v>5723.55</v>
      </c>
      <c r="R266" s="3481"/>
    </row>
    <row r="267" spans="1:18" ht="12.75" customHeight="1">
      <c r="A267" s="1922">
        <f t="shared" si="3"/>
        <v>2014.06</v>
      </c>
      <c r="B267" s="1941">
        <v>8.7250084235432777</v>
      </c>
      <c r="C267" s="1941">
        <v>6.9881916481925508</v>
      </c>
      <c r="D267" s="1942">
        <v>10.727128981841755</v>
      </c>
      <c r="E267" s="3179">
        <v>7.7306397863501504</v>
      </c>
      <c r="F267" s="1923"/>
      <c r="G267" s="3712"/>
      <c r="H267" s="1924"/>
      <c r="I267" s="3177"/>
      <c r="J267" s="1923"/>
      <c r="K267" s="3712"/>
      <c r="L267" s="1924"/>
      <c r="M267" s="3177"/>
      <c r="N267" s="1930">
        <v>8543.85</v>
      </c>
      <c r="O267" s="1931">
        <v>9022.51</v>
      </c>
      <c r="P267" s="1931">
        <v>7868.94</v>
      </c>
      <c r="Q267" s="1933">
        <v>5876.75</v>
      </c>
      <c r="R267" s="3481"/>
    </row>
    <row r="268" spans="1:18" ht="12.75" customHeight="1">
      <c r="A268" s="1922">
        <f t="shared" si="3"/>
        <v>2014.07</v>
      </c>
      <c r="B268" s="1941">
        <v>9.1969018595692091</v>
      </c>
      <c r="C268" s="1941">
        <v>7.0922499208252257</v>
      </c>
      <c r="D268" s="1942">
        <v>11.629095733742007</v>
      </c>
      <c r="E268" s="3179">
        <v>7.974268052743863</v>
      </c>
      <c r="F268" s="1923"/>
      <c r="G268" s="3712"/>
      <c r="H268" s="1924"/>
      <c r="I268" s="3177"/>
      <c r="J268" s="1923"/>
      <c r="K268" s="3712"/>
      <c r="L268" s="1924"/>
      <c r="M268" s="3177"/>
      <c r="N268" s="1930">
        <v>8608.48</v>
      </c>
      <c r="O268" s="1931">
        <v>9090.9500000000007</v>
      </c>
      <c r="P268" s="1931">
        <v>7946.09</v>
      </c>
      <c r="Q268" s="1933">
        <v>5902.28</v>
      </c>
      <c r="R268" s="3481"/>
    </row>
    <row r="269" spans="1:18" ht="12.75" customHeight="1">
      <c r="A269" s="1922">
        <f t="shared" si="3"/>
        <v>2014.08</v>
      </c>
      <c r="B269" s="1941">
        <v>9.2991302248204732</v>
      </c>
      <c r="C269" s="1941">
        <v>7.2460751934126577</v>
      </c>
      <c r="D269" s="1942">
        <v>11.650638034150841</v>
      </c>
      <c r="E269" s="3179">
        <v>8.2087809758371311</v>
      </c>
      <c r="F269" s="1923"/>
      <c r="G269" s="3712"/>
      <c r="H269" s="1924"/>
      <c r="I269" s="3177"/>
      <c r="J269" s="1923"/>
      <c r="K269" s="3712"/>
      <c r="L269" s="1924"/>
      <c r="M269" s="3177"/>
      <c r="N269" s="1930">
        <v>8670.18</v>
      </c>
      <c r="O269" s="1931">
        <v>9151.23</v>
      </c>
      <c r="P269" s="1931">
        <v>8053.43</v>
      </c>
      <c r="Q269" s="1933">
        <v>5972.39</v>
      </c>
      <c r="R269" s="3481"/>
    </row>
    <row r="270" spans="1:18" ht="12.75" customHeight="1">
      <c r="A270" s="1922">
        <f t="shared" si="3"/>
        <v>2014.09</v>
      </c>
      <c r="B270" s="1941">
        <v>9.39314381072119</v>
      </c>
      <c r="C270" s="1941">
        <v>7.3944713387322976</v>
      </c>
      <c r="D270" s="1942">
        <v>11.69746912199613</v>
      </c>
      <c r="E270" s="3179">
        <v>8.2518716896210531</v>
      </c>
      <c r="F270" s="1923"/>
      <c r="G270" s="3712"/>
      <c r="H270" s="1924"/>
      <c r="I270" s="3177"/>
      <c r="J270" s="1923"/>
      <c r="K270" s="3712"/>
      <c r="L270" s="1924"/>
      <c r="M270" s="3177"/>
      <c r="N270" s="1930">
        <v>9195.18</v>
      </c>
      <c r="O270" s="1931">
        <v>9672.56</v>
      </c>
      <c r="P270" s="1931">
        <v>8527.84</v>
      </c>
      <c r="Q270" s="1933">
        <v>6304.23</v>
      </c>
      <c r="R270" s="3481"/>
    </row>
    <row r="271" spans="1:18" ht="12.75" customHeight="1">
      <c r="A271" s="1922">
        <f t="shared" si="3"/>
        <v>2014.1</v>
      </c>
      <c r="B271" s="1941">
        <v>9.4853318900995642</v>
      </c>
      <c r="C271" s="1941">
        <v>7.54377233859657</v>
      </c>
      <c r="D271" s="1942">
        <v>11.738680479299981</v>
      </c>
      <c r="E271" s="3179">
        <v>8.2999344088415814</v>
      </c>
      <c r="F271" s="1923"/>
      <c r="G271" s="3712"/>
      <c r="H271" s="1924"/>
      <c r="I271" s="3177"/>
      <c r="J271" s="1923"/>
      <c r="K271" s="3712"/>
      <c r="L271" s="1924"/>
      <c r="M271" s="3177"/>
      <c r="N271" s="1930">
        <v>9264.6299999999992</v>
      </c>
      <c r="O271" s="1931">
        <v>9800.4</v>
      </c>
      <c r="P271" s="1931">
        <v>8660.58</v>
      </c>
      <c r="Q271" s="1933">
        <v>6385.15</v>
      </c>
      <c r="R271" s="3481"/>
    </row>
    <row r="272" spans="1:18" ht="12.75" customHeight="1">
      <c r="A272" s="1922">
        <f t="shared" si="3"/>
        <v>2014.11</v>
      </c>
      <c r="B272" s="1941">
        <v>9.5437480988145715</v>
      </c>
      <c r="C272" s="1941">
        <v>7.6641179930326189</v>
      </c>
      <c r="D272" s="1942">
        <v>11.726504396460207</v>
      </c>
      <c r="E272" s="3179">
        <v>8.3919165094188006</v>
      </c>
      <c r="F272" s="1923"/>
      <c r="G272" s="3712"/>
      <c r="H272" s="1924"/>
      <c r="I272" s="3177"/>
      <c r="J272" s="1923"/>
      <c r="K272" s="3712"/>
      <c r="L272" s="1924"/>
      <c r="M272" s="3177"/>
      <c r="N272" s="1930">
        <v>9508.2999999999993</v>
      </c>
      <c r="O272" s="1931">
        <v>10010.83</v>
      </c>
      <c r="P272" s="1931">
        <v>8818.98</v>
      </c>
      <c r="Q272" s="1933">
        <v>6493.27</v>
      </c>
      <c r="R272" s="3481"/>
    </row>
    <row r="273" spans="1:18" ht="12.75" customHeight="1">
      <c r="A273" s="1922">
        <f t="shared" si="3"/>
        <v>2014.12</v>
      </c>
      <c r="B273" s="1941">
        <v>9.5966877879625514</v>
      </c>
      <c r="C273" s="1941">
        <v>7.7772248111116129</v>
      </c>
      <c r="D273" s="1942">
        <v>11.728377639974019</v>
      </c>
      <c r="E273" s="3179">
        <v>8.3869445039821944</v>
      </c>
      <c r="F273" s="1923"/>
      <c r="G273" s="3712"/>
      <c r="H273" s="1924"/>
      <c r="I273" s="3177"/>
      <c r="J273" s="1923"/>
      <c r="K273" s="3712"/>
      <c r="L273" s="1924"/>
      <c r="M273" s="3177"/>
      <c r="N273" s="1930">
        <v>9597.23</v>
      </c>
      <c r="O273" s="1931">
        <v>10105.129999999999</v>
      </c>
      <c r="P273" s="1931">
        <v>8911.09</v>
      </c>
      <c r="Q273" s="1933">
        <v>6557.75</v>
      </c>
      <c r="R273" s="3481"/>
    </row>
    <row r="274" spans="1:18" ht="12.75" customHeight="1">
      <c r="A274" s="1922">
        <f t="shared" si="3"/>
        <v>2015.01</v>
      </c>
      <c r="B274" s="1941">
        <v>9.6541912434163883</v>
      </c>
      <c r="C274" s="1941">
        <v>7.8613762837623833</v>
      </c>
      <c r="D274" s="1942">
        <v>11.733060748758549</v>
      </c>
      <c r="E274" s="3179">
        <v>8.5642793645544888</v>
      </c>
      <c r="F274" s="1923"/>
      <c r="G274" s="3712"/>
      <c r="H274" s="1924"/>
      <c r="I274" s="3177"/>
      <c r="J274" s="1923"/>
      <c r="K274" s="3712"/>
      <c r="L274" s="1924"/>
      <c r="M274" s="3177"/>
      <c r="N274" s="1930">
        <v>9711.15</v>
      </c>
      <c r="O274" s="1931">
        <v>10199.780000000001</v>
      </c>
      <c r="P274" s="1931">
        <v>9019.1200000000008</v>
      </c>
      <c r="Q274" s="1933">
        <v>6611.46</v>
      </c>
      <c r="R274" s="3481"/>
    </row>
    <row r="275" spans="1:18" ht="12.75" customHeight="1">
      <c r="A275" s="1922">
        <f t="shared" si="3"/>
        <v>2015.02</v>
      </c>
      <c r="B275" s="1941">
        <v>9.7381645434442135</v>
      </c>
      <c r="C275" s="1941">
        <v>8.000723883635704</v>
      </c>
      <c r="D275" s="1942">
        <v>11.757412914438099</v>
      </c>
      <c r="E275" s="3179">
        <v>8.6504607921223329</v>
      </c>
      <c r="F275" s="1923"/>
      <c r="G275" s="3712"/>
      <c r="H275" s="1924"/>
      <c r="I275" s="3177"/>
      <c r="J275" s="1923"/>
      <c r="K275" s="3712"/>
      <c r="L275" s="1924"/>
      <c r="M275" s="3177"/>
      <c r="N275" s="1930">
        <v>9756.06</v>
      </c>
      <c r="O275" s="1931">
        <v>10231.57</v>
      </c>
      <c r="P275" s="1931">
        <v>9059.4500000000007</v>
      </c>
      <c r="Q275" s="1933">
        <v>6628.89</v>
      </c>
      <c r="R275" s="3481"/>
    </row>
    <row r="276" spans="1:18" ht="12.75" customHeight="1">
      <c r="A276" s="1922">
        <f t="shared" si="3"/>
        <v>2015.03</v>
      </c>
      <c r="B276" s="1941">
        <v>9.81848683042735</v>
      </c>
      <c r="C276" s="1941">
        <v>8.1120209926254336</v>
      </c>
      <c r="D276" s="1942">
        <v>11.819229950393881</v>
      </c>
      <c r="E276" s="3179">
        <v>8.6703488138687561</v>
      </c>
      <c r="F276" s="1923"/>
      <c r="G276" s="3712"/>
      <c r="H276" s="1924"/>
      <c r="I276" s="3177"/>
      <c r="J276" s="1923"/>
      <c r="K276" s="3712"/>
      <c r="L276" s="1924"/>
      <c r="M276" s="3177"/>
      <c r="N276" s="1930">
        <v>9802.35</v>
      </c>
      <c r="O276" s="1931">
        <v>10267.82</v>
      </c>
      <c r="P276" s="1931">
        <v>9157.82</v>
      </c>
      <c r="Q276" s="1933">
        <v>6646.16</v>
      </c>
      <c r="R276" s="3481"/>
    </row>
    <row r="277" spans="1:18" ht="12.75" customHeight="1">
      <c r="A277" s="1922">
        <f t="shared" si="3"/>
        <v>2015.04</v>
      </c>
      <c r="B277" s="1941">
        <v>10.680125908973729</v>
      </c>
      <c r="C277" s="1941">
        <v>8.2577025743111783</v>
      </c>
      <c r="D277" s="1942">
        <v>13.493909651741394</v>
      </c>
      <c r="E277" s="3179">
        <v>9.2006960604401034</v>
      </c>
      <c r="F277" s="1923"/>
      <c r="G277" s="3712"/>
      <c r="H277" s="1924"/>
      <c r="I277" s="3177"/>
      <c r="J277" s="1923"/>
      <c r="K277" s="3712"/>
      <c r="L277" s="1924"/>
      <c r="M277" s="3177"/>
      <c r="N277" s="1930">
        <v>9871.18</v>
      </c>
      <c r="O277" s="1931">
        <v>10350.290000000001</v>
      </c>
      <c r="P277" s="1931">
        <v>9283.99</v>
      </c>
      <c r="Q277" s="1933">
        <v>6688.25</v>
      </c>
      <c r="R277" s="3481"/>
    </row>
    <row r="278" spans="1:18" ht="12.75" customHeight="1">
      <c r="A278" s="1922">
        <f t="shared" si="3"/>
        <v>2015.05</v>
      </c>
      <c r="B278" s="1941">
        <v>10.795132819881402</v>
      </c>
      <c r="C278" s="1941">
        <v>8.3925259014613385</v>
      </c>
      <c r="D278" s="1942">
        <v>13.554790065940267</v>
      </c>
      <c r="E278" s="3179">
        <v>9.4758136945989904</v>
      </c>
      <c r="F278" s="1923"/>
      <c r="G278" s="3712"/>
      <c r="H278" s="1924"/>
      <c r="I278" s="3177"/>
      <c r="J278" s="1923"/>
      <c r="K278" s="3712"/>
      <c r="L278" s="1924"/>
      <c r="M278" s="3177"/>
      <c r="N278" s="1930">
        <v>9408.73</v>
      </c>
      <c r="O278" s="1931">
        <v>10414.41</v>
      </c>
      <c r="P278" s="1931">
        <v>9333.36</v>
      </c>
      <c r="Q278" s="1933">
        <v>6733.15</v>
      </c>
      <c r="R278" s="3481"/>
    </row>
    <row r="279" spans="1:18" ht="12.75" customHeight="1">
      <c r="A279" s="1922">
        <f t="shared" ref="A279:A342" si="4">A267+1</f>
        <v>2015.06</v>
      </c>
      <c r="B279" s="1941">
        <v>10.919267263400796</v>
      </c>
      <c r="C279" s="1941">
        <v>8.5047278649957008</v>
      </c>
      <c r="D279" s="1942">
        <v>13.709332655829717</v>
      </c>
      <c r="E279" s="3179">
        <v>9.5089603975096981</v>
      </c>
      <c r="F279" s="1923"/>
      <c r="G279" s="3712"/>
      <c r="H279" s="1924"/>
      <c r="I279" s="3177"/>
      <c r="J279" s="1923"/>
      <c r="K279" s="3712"/>
      <c r="L279" s="1924"/>
      <c r="M279" s="3177"/>
      <c r="N279" s="1930">
        <v>10294.879999999999</v>
      </c>
      <c r="O279" s="1931">
        <v>11408.78</v>
      </c>
      <c r="P279" s="1931">
        <v>10221.15</v>
      </c>
      <c r="Q279" s="1933">
        <v>7317.83</v>
      </c>
      <c r="R279" s="3481"/>
    </row>
    <row r="280" spans="1:18" ht="12.75" customHeight="1">
      <c r="A280" s="1922">
        <f t="shared" si="4"/>
        <v>2015.07</v>
      </c>
      <c r="B280" s="1941">
        <v>11.058918512360114</v>
      </c>
      <c r="C280" s="1941">
        <v>8.6712211012079798</v>
      </c>
      <c r="D280" s="1942">
        <v>13.83296672774128</v>
      </c>
      <c r="E280" s="3179">
        <v>9.5926558223592373</v>
      </c>
      <c r="F280" s="1923"/>
      <c r="G280" s="3712"/>
      <c r="H280" s="1924"/>
      <c r="I280" s="3177"/>
      <c r="J280" s="1923"/>
      <c r="K280" s="3712"/>
      <c r="L280" s="1924"/>
      <c r="M280" s="3177"/>
      <c r="N280" s="1930">
        <v>10928.45</v>
      </c>
      <c r="O280" s="1931">
        <v>11949.94</v>
      </c>
      <c r="P280" s="1931">
        <v>10963.36</v>
      </c>
      <c r="Q280" s="1933">
        <v>7363.8</v>
      </c>
      <c r="R280" s="3481"/>
    </row>
    <row r="281" spans="1:18" ht="12.75" customHeight="1">
      <c r="A281" s="1922">
        <f t="shared" si="4"/>
        <v>2015.08</v>
      </c>
      <c r="B281" s="1941">
        <v>11.559107299482379</v>
      </c>
      <c r="C281" s="1941">
        <v>8.8395240465095224</v>
      </c>
      <c r="D281" s="1942">
        <v>14.710581313961981</v>
      </c>
      <c r="E281" s="3179">
        <v>9.9373815326306136</v>
      </c>
      <c r="F281" s="1923"/>
      <c r="G281" s="3712"/>
      <c r="H281" s="1924"/>
      <c r="I281" s="3177"/>
      <c r="J281" s="1923"/>
      <c r="K281" s="3712"/>
      <c r="L281" s="1924"/>
      <c r="M281" s="3177"/>
      <c r="N281" s="1930">
        <v>11079.94</v>
      </c>
      <c r="O281" s="1931">
        <v>12119.56</v>
      </c>
      <c r="P281" s="1931">
        <v>10535.46</v>
      </c>
      <c r="Q281" s="1933">
        <v>7475.43</v>
      </c>
      <c r="R281" s="3481"/>
    </row>
    <row r="282" spans="1:18" ht="12.75" customHeight="1">
      <c r="A282" s="1922">
        <f t="shared" si="4"/>
        <v>2015.09</v>
      </c>
      <c r="B282" s="1941">
        <v>11.708798834314589</v>
      </c>
      <c r="C282" s="1941">
        <v>9.0557842826765587</v>
      </c>
      <c r="D282" s="1942">
        <v>14.803306867895653</v>
      </c>
      <c r="E282" s="3179">
        <v>10.030192300780598</v>
      </c>
      <c r="F282" s="1923"/>
      <c r="G282" s="3712"/>
      <c r="H282" s="1924"/>
      <c r="I282" s="3177"/>
      <c r="J282" s="1923"/>
      <c r="K282" s="3712"/>
      <c r="L282" s="1924"/>
      <c r="M282" s="3177"/>
      <c r="N282" s="1930">
        <v>11117.07</v>
      </c>
      <c r="O282" s="1931">
        <v>12491.98</v>
      </c>
      <c r="P282" s="1931">
        <v>10326.58</v>
      </c>
      <c r="Q282" s="1933">
        <v>7535.3</v>
      </c>
      <c r="R282" s="3481"/>
    </row>
    <row r="283" spans="1:18" ht="12.75" customHeight="1">
      <c r="A283" s="1922">
        <f t="shared" si="4"/>
        <v>2015.1</v>
      </c>
      <c r="B283" s="1941">
        <v>11.791859381081244</v>
      </c>
      <c r="C283" s="1941">
        <v>9.1661765371216575</v>
      </c>
      <c r="D283" s="1942">
        <v>14.823912546547579</v>
      </c>
      <c r="E283" s="3179">
        <v>10.27050589688324</v>
      </c>
      <c r="F283" s="1923"/>
      <c r="G283" s="3712"/>
      <c r="H283" s="1924"/>
      <c r="I283" s="3177"/>
      <c r="J283" s="1923"/>
      <c r="K283" s="3712"/>
      <c r="L283" s="1924"/>
      <c r="M283" s="3177"/>
      <c r="N283" s="1930">
        <v>11832.91</v>
      </c>
      <c r="O283" s="1931">
        <v>12242.13</v>
      </c>
      <c r="P283" s="1931">
        <v>11082.33</v>
      </c>
      <c r="Q283" s="1933">
        <v>7943.57</v>
      </c>
      <c r="R283" s="3481"/>
    </row>
    <row r="284" spans="1:18" ht="12.75" customHeight="1">
      <c r="A284" s="1922">
        <f t="shared" si="4"/>
        <v>2015.11</v>
      </c>
      <c r="B284" s="1941">
        <v>11.892327326375998</v>
      </c>
      <c r="C284" s="1941">
        <v>9.3525765733158384</v>
      </c>
      <c r="D284" s="1942">
        <v>14.846140080042343</v>
      </c>
      <c r="E284" s="3179">
        <v>10.32216921350672</v>
      </c>
      <c r="F284" s="1923"/>
      <c r="G284" s="3712"/>
      <c r="H284" s="1924"/>
      <c r="I284" s="3177"/>
      <c r="J284" s="1923"/>
      <c r="K284" s="3712"/>
      <c r="L284" s="1924"/>
      <c r="M284" s="3177"/>
      <c r="N284" s="1930">
        <v>11961.85</v>
      </c>
      <c r="O284" s="1931">
        <v>12418.96</v>
      </c>
      <c r="P284" s="1931">
        <v>11188.25</v>
      </c>
      <c r="Q284" s="1933">
        <v>8077.53</v>
      </c>
      <c r="R284" s="3481"/>
    </row>
    <row r="285" spans="1:18" ht="12.75" customHeight="1">
      <c r="A285" s="1922">
        <f t="shared" si="4"/>
        <v>2015.12</v>
      </c>
      <c r="B285" s="1941">
        <v>12.225410244109948</v>
      </c>
      <c r="C285" s="1941">
        <v>10.000452427272316</v>
      </c>
      <c r="D285" s="1942">
        <v>14.884112116429225</v>
      </c>
      <c r="E285" s="3179">
        <v>10.51671389016701</v>
      </c>
      <c r="F285" s="1923"/>
      <c r="G285" s="3712"/>
      <c r="H285" s="1924"/>
      <c r="I285" s="3177"/>
      <c r="J285" s="1923"/>
      <c r="K285" s="3712"/>
      <c r="L285" s="1924"/>
      <c r="M285" s="3177"/>
      <c r="N285" s="1930">
        <v>12129.18</v>
      </c>
      <c r="O285" s="1931">
        <v>12559.15</v>
      </c>
      <c r="P285" s="1931">
        <v>11433.98</v>
      </c>
      <c r="Q285" s="1933">
        <v>8153.41</v>
      </c>
      <c r="R285" s="3481"/>
    </row>
    <row r="286" spans="1:18" ht="12.75" customHeight="1">
      <c r="A286" s="1922">
        <f t="shared" si="4"/>
        <v>2016.01</v>
      </c>
      <c r="B286" s="1941">
        <v>12.549441995601127</v>
      </c>
      <c r="C286" s="1941">
        <v>10.60489526308646</v>
      </c>
      <c r="D286" s="1942">
        <v>14.917453416671368</v>
      </c>
      <c r="E286" s="3179">
        <v>10.843645815674964</v>
      </c>
      <c r="F286" s="1923"/>
      <c r="G286" s="3712"/>
      <c r="H286" s="1924"/>
      <c r="I286" s="3177"/>
      <c r="J286" s="1923"/>
      <c r="K286" s="3712"/>
      <c r="L286" s="1924"/>
      <c r="M286" s="3177"/>
      <c r="N286" s="1930">
        <v>12559.15</v>
      </c>
      <c r="O286" s="1931">
        <v>12974.06</v>
      </c>
      <c r="P286" s="1931">
        <v>11690.81</v>
      </c>
      <c r="Q286" s="1933">
        <v>8559.18</v>
      </c>
      <c r="R286" s="3481"/>
    </row>
    <row r="287" spans="1:18" ht="12.75" customHeight="1">
      <c r="A287" s="1922">
        <f t="shared" si="4"/>
        <v>2016.02</v>
      </c>
      <c r="B287" s="1941">
        <v>12.802874650398698</v>
      </c>
      <c r="C287" s="1941">
        <v>10.927023480975436</v>
      </c>
      <c r="D287" s="1942">
        <v>14.940607097395075</v>
      </c>
      <c r="E287" s="3179">
        <v>11.858345643732987</v>
      </c>
      <c r="F287" s="1937">
        <v>9363.4648257584631</v>
      </c>
      <c r="G287" s="3713">
        <v>4886.0264156547228</v>
      </c>
      <c r="H287" s="1938">
        <v>3805.1102412064192</v>
      </c>
      <c r="I287" s="3180">
        <v>674.02280235049477</v>
      </c>
      <c r="J287" s="1923"/>
      <c r="K287" s="3712"/>
      <c r="L287" s="1924"/>
      <c r="M287" s="3177"/>
      <c r="N287" s="1930">
        <v>13054.06</v>
      </c>
      <c r="O287" s="1931">
        <v>13740.43</v>
      </c>
      <c r="P287" s="1931">
        <v>12033.58</v>
      </c>
      <c r="Q287" s="1933">
        <v>8779.99</v>
      </c>
      <c r="R287" s="3481"/>
    </row>
    <row r="288" spans="1:18" ht="12.75" customHeight="1">
      <c r="A288" s="1922">
        <f t="shared" si="4"/>
        <v>2016.03</v>
      </c>
      <c r="B288" s="1941">
        <v>12.963080292895734</v>
      </c>
      <c r="C288" s="1941">
        <v>11.124281771705203</v>
      </c>
      <c r="D288" s="1942">
        <v>15.030443378603067</v>
      </c>
      <c r="E288" s="3179">
        <v>12.172361740085073</v>
      </c>
      <c r="F288" s="1937">
        <v>9501.519978601862</v>
      </c>
      <c r="G288" s="3713">
        <v>5014.3371625487671</v>
      </c>
      <c r="H288" s="1938">
        <v>3805.1102412064192</v>
      </c>
      <c r="I288" s="3180">
        <v>683.06639575538634</v>
      </c>
      <c r="J288" s="1923"/>
      <c r="K288" s="3712"/>
      <c r="L288" s="1924"/>
      <c r="M288" s="3177"/>
      <c r="N288" s="1930">
        <v>13936.49</v>
      </c>
      <c r="O288" s="1931">
        <v>14295.59</v>
      </c>
      <c r="P288" s="1931">
        <v>12226.43</v>
      </c>
      <c r="Q288" s="1933">
        <v>9184.26</v>
      </c>
      <c r="R288" s="3481"/>
    </row>
    <row r="289" spans="1:18" ht="12.75" customHeight="1">
      <c r="A289" s="1922">
        <f t="shared" si="4"/>
        <v>2016.04</v>
      </c>
      <c r="B289" s="1941">
        <v>14.375062226767914</v>
      </c>
      <c r="C289" s="1941">
        <v>11.354114826041716</v>
      </c>
      <c r="D289" s="1942">
        <v>17.783879090266566</v>
      </c>
      <c r="E289" s="3179">
        <v>12.999782045382984</v>
      </c>
      <c r="F289" s="1937">
        <v>9594.5067427001413</v>
      </c>
      <c r="G289" s="3713">
        <v>5099.3742757057034</v>
      </c>
      <c r="H289" s="1938">
        <v>3805.1102412064192</v>
      </c>
      <c r="I289" s="3180">
        <v>690.52753131860527</v>
      </c>
      <c r="J289" s="1923"/>
      <c r="K289" s="3712"/>
      <c r="L289" s="1924"/>
      <c r="M289" s="3177"/>
      <c r="N289" s="1930">
        <v>14280.59</v>
      </c>
      <c r="O289" s="1931">
        <v>14529.07</v>
      </c>
      <c r="P289" s="1931">
        <v>12526.39</v>
      </c>
      <c r="Q289" s="1933">
        <v>9517.66</v>
      </c>
      <c r="R289" s="3481"/>
    </row>
    <row r="290" spans="1:18" ht="12.75" customHeight="1">
      <c r="A290" s="1922">
        <f t="shared" si="4"/>
        <v>2016.05</v>
      </c>
      <c r="B290" s="1941">
        <v>14.691853045264876</v>
      </c>
      <c r="C290" s="1941">
        <v>11.565850789485593</v>
      </c>
      <c r="D290" s="1942">
        <v>18.185826987630158</v>
      </c>
      <c r="E290" s="3179">
        <v>13.428426125493413</v>
      </c>
      <c r="F290" s="1937">
        <v>10625.740625296621</v>
      </c>
      <c r="G290" s="3713">
        <v>5199.0209844058481</v>
      </c>
      <c r="H290" s="1938">
        <v>4642.2145545828707</v>
      </c>
      <c r="I290" s="3180">
        <v>790.37702260534763</v>
      </c>
      <c r="J290" s="1923"/>
      <c r="K290" s="3712"/>
      <c r="L290" s="1924"/>
      <c r="M290" s="3177"/>
      <c r="N290" s="1930">
        <v>14850.39</v>
      </c>
      <c r="O290" s="1931">
        <v>15204.99</v>
      </c>
      <c r="P290" s="1931">
        <v>13216.62</v>
      </c>
      <c r="Q290" s="1933">
        <v>9789.41</v>
      </c>
      <c r="R290" s="3481"/>
    </row>
    <row r="291" spans="1:18" ht="12.75" customHeight="1">
      <c r="A291" s="1922">
        <f t="shared" si="4"/>
        <v>2016.06</v>
      </c>
      <c r="B291" s="1941">
        <v>14.830335888779263</v>
      </c>
      <c r="C291" s="1941">
        <v>11.652716825770259</v>
      </c>
      <c r="D291" s="1942">
        <v>18.29418621341712</v>
      </c>
      <c r="E291" s="3179">
        <v>13.963625796139768</v>
      </c>
      <c r="F291" s="1937">
        <v>10694.131537954929</v>
      </c>
      <c r="G291" s="3713">
        <v>5264.4509220771079</v>
      </c>
      <c r="H291" s="1938">
        <v>4642.2145545828707</v>
      </c>
      <c r="I291" s="3180">
        <v>793.01301491500135</v>
      </c>
      <c r="J291" s="1923"/>
      <c r="K291" s="3712"/>
      <c r="L291" s="1924"/>
      <c r="M291" s="3177"/>
      <c r="N291" s="1930">
        <v>14960.57</v>
      </c>
      <c r="O291" s="1931">
        <v>15398.45</v>
      </c>
      <c r="P291" s="1931">
        <v>13855.58</v>
      </c>
      <c r="Q291" s="1933">
        <v>9901.1299999999992</v>
      </c>
      <c r="R291" s="3481"/>
    </row>
    <row r="292" spans="1:18" ht="12.75" customHeight="1">
      <c r="A292" s="1922">
        <f t="shared" si="4"/>
        <v>2016.07</v>
      </c>
      <c r="B292" s="1941">
        <v>14.95071639980811</v>
      </c>
      <c r="C292" s="1941">
        <v>11.924173189159845</v>
      </c>
      <c r="D292" s="1942">
        <v>18.215463698956508</v>
      </c>
      <c r="E292" s="3179">
        <v>14.284099807069788</v>
      </c>
      <c r="F292" s="1937">
        <v>10762.33685462476</v>
      </c>
      <c r="G292" s="3713">
        <v>5332.1714485738148</v>
      </c>
      <c r="H292" s="1938">
        <v>4642.2145545828707</v>
      </c>
      <c r="I292" s="3180">
        <v>793.20305260732016</v>
      </c>
      <c r="J292" s="1923"/>
      <c r="K292" s="3712"/>
      <c r="L292" s="1924"/>
      <c r="M292" s="3177"/>
      <c r="N292" s="1930">
        <v>15115.5</v>
      </c>
      <c r="O292" s="1931">
        <v>15882.16</v>
      </c>
      <c r="P292" s="1931">
        <v>13857.45</v>
      </c>
      <c r="Q292" s="1933">
        <v>10426.52</v>
      </c>
      <c r="R292" s="3481"/>
    </row>
    <row r="293" spans="1:18" ht="12.75" customHeight="1">
      <c r="A293" s="1922">
        <f t="shared" si="4"/>
        <v>2016.08</v>
      </c>
      <c r="B293" s="1941">
        <v>14.999592697519073</v>
      </c>
      <c r="C293" s="1941">
        <v>12.02732660724789</v>
      </c>
      <c r="D293" s="1942">
        <v>18.164525601364346</v>
      </c>
      <c r="E293" s="3179">
        <v>14.539994672220459</v>
      </c>
      <c r="F293" s="1937">
        <v>10863.159154900924</v>
      </c>
      <c r="G293" s="3713">
        <v>5426.6818267305453</v>
      </c>
      <c r="H293" s="1938">
        <v>4642.2145545828707</v>
      </c>
      <c r="I293" s="3180">
        <v>799.01273385841546</v>
      </c>
      <c r="J293" s="1923"/>
      <c r="K293" s="3712"/>
      <c r="L293" s="1924"/>
      <c r="M293" s="3177"/>
      <c r="N293" s="1930">
        <v>15239.71</v>
      </c>
      <c r="O293" s="1931">
        <v>16161.48</v>
      </c>
      <c r="P293" s="1931">
        <v>14091.24</v>
      </c>
      <c r="Q293" s="1933">
        <v>10452.27</v>
      </c>
      <c r="R293" s="3481"/>
    </row>
    <row r="294" spans="1:18" ht="12.75" customHeight="1">
      <c r="A294" s="1922">
        <f t="shared" si="4"/>
        <v>2016.09</v>
      </c>
      <c r="B294" s="1941">
        <v>15.102775992686656</v>
      </c>
      <c r="C294" s="1941">
        <v>12.171198479844369</v>
      </c>
      <c r="D294" s="1942">
        <v>18.235838937993368</v>
      </c>
      <c r="E294" s="3179">
        <v>14.60134486071084</v>
      </c>
      <c r="F294" s="1925">
        <v>10943.601564729375</v>
      </c>
      <c r="G294" s="3714">
        <v>5505.7284353625109</v>
      </c>
      <c r="H294" s="1926">
        <v>4642.2145545828707</v>
      </c>
      <c r="I294" s="3181">
        <v>800.05110099884041</v>
      </c>
      <c r="J294" s="1923"/>
      <c r="K294" s="3712"/>
      <c r="L294" s="1924"/>
      <c r="M294" s="3177"/>
      <c r="N294" s="1930">
        <v>15234.71</v>
      </c>
      <c r="O294" s="1931">
        <v>16161.48</v>
      </c>
      <c r="P294" s="1931">
        <v>14091.24</v>
      </c>
      <c r="Q294" s="1933">
        <v>10452.27</v>
      </c>
      <c r="R294" s="3481"/>
    </row>
    <row r="295" spans="1:18" ht="12.75" customHeight="1">
      <c r="A295" s="1922">
        <f t="shared" si="4"/>
        <v>2016.1</v>
      </c>
      <c r="B295" s="1941">
        <v>15.961731669125566</v>
      </c>
      <c r="C295" s="1941">
        <v>12.348549970592233</v>
      </c>
      <c r="D295" s="1942">
        <v>19.812141521663488</v>
      </c>
      <c r="E295" s="3179">
        <v>15.393246635830112</v>
      </c>
      <c r="F295" s="1925">
        <v>10983.973982010433</v>
      </c>
      <c r="G295" s="3714">
        <v>5550.08197616298</v>
      </c>
      <c r="H295" s="1926">
        <v>4642.2145545828707</v>
      </c>
      <c r="I295" s="3181">
        <v>795.94625710489379</v>
      </c>
      <c r="J295" s="1923"/>
      <c r="K295" s="3712"/>
      <c r="L295" s="1924"/>
      <c r="M295" s="3177"/>
      <c r="N295" s="1930">
        <v>15310.5</v>
      </c>
      <c r="O295" s="1931">
        <v>16294.98</v>
      </c>
      <c r="P295" s="1931">
        <v>14139.24</v>
      </c>
      <c r="Q295" s="1933">
        <v>10484.07</v>
      </c>
      <c r="R295" s="3481"/>
    </row>
    <row r="296" spans="1:18" ht="12.75" customHeight="1">
      <c r="A296" s="1922">
        <f t="shared" si="4"/>
        <v>2016.11</v>
      </c>
      <c r="B296" s="1941">
        <v>16.202492691183256</v>
      </c>
      <c r="C296" s="1941">
        <v>12.581097588562645</v>
      </c>
      <c r="D296" s="1942">
        <v>20.026081531550563</v>
      </c>
      <c r="E296" s="3179">
        <v>15.799288014917771</v>
      </c>
      <c r="F296" s="1925">
        <v>11478.344414458747</v>
      </c>
      <c r="G296" s="3714">
        <v>5585.1007015871619</v>
      </c>
      <c r="H296" s="1926">
        <v>5098.8395314141317</v>
      </c>
      <c r="I296" s="3181">
        <v>802.46954624756859</v>
      </c>
      <c r="J296" s="1923"/>
      <c r="K296" s="3712"/>
      <c r="L296" s="1924"/>
      <c r="M296" s="3177"/>
      <c r="N296" s="1930">
        <v>16167.14</v>
      </c>
      <c r="O296" s="1931">
        <v>17130.099999999999</v>
      </c>
      <c r="P296" s="1931">
        <v>14884.03</v>
      </c>
      <c r="Q296" s="1933">
        <v>10986.44</v>
      </c>
      <c r="R296" s="3481"/>
    </row>
    <row r="297" spans="1:18" ht="12.75" customHeight="1">
      <c r="A297" s="1922">
        <f t="shared" si="4"/>
        <v>2016.12</v>
      </c>
      <c r="B297" s="1941">
        <v>16.329209018582041</v>
      </c>
      <c r="C297" s="1941">
        <v>12.747590824774923</v>
      </c>
      <c r="D297" s="1942">
        <v>20.129810021192778</v>
      </c>
      <c r="E297" s="3179">
        <v>15.844493416963314</v>
      </c>
      <c r="F297" s="1937">
        <v>11546.076975223084</v>
      </c>
      <c r="G297" s="3713">
        <v>5652.5428239496414</v>
      </c>
      <c r="H297" s="1938">
        <v>5098.8395314141317</v>
      </c>
      <c r="I297" s="3180">
        <v>802.46954624756859</v>
      </c>
      <c r="J297" s="1923"/>
      <c r="K297" s="3712"/>
      <c r="L297" s="1924"/>
      <c r="M297" s="3177"/>
      <c r="N297" s="1930">
        <v>16313.19</v>
      </c>
      <c r="O297" s="1931">
        <v>17191.330000000002</v>
      </c>
      <c r="P297" s="1931">
        <v>15099.44</v>
      </c>
      <c r="Q297" s="1933">
        <v>10982.4</v>
      </c>
      <c r="R297" s="3481"/>
    </row>
    <row r="298" spans="1:18" ht="12.75" customHeight="1">
      <c r="A298" s="1922">
        <f t="shared" si="4"/>
        <v>2017.01</v>
      </c>
      <c r="B298" s="1941">
        <v>16.7645701148593</v>
      </c>
      <c r="C298" s="1941">
        <v>12.984662715468495</v>
      </c>
      <c r="D298" s="1942">
        <v>20.810528234469828</v>
      </c>
      <c r="E298" s="3179">
        <v>16.078592820413455</v>
      </c>
      <c r="F298" s="1937">
        <v>11610.113032171383</v>
      </c>
      <c r="G298" s="3713">
        <v>5715.2358232483621</v>
      </c>
      <c r="H298" s="1938">
        <v>5098.8395314141317</v>
      </c>
      <c r="I298" s="3180">
        <v>803.52531120489584</v>
      </c>
      <c r="J298" s="1923"/>
      <c r="K298" s="3712"/>
      <c r="L298" s="1924"/>
      <c r="M298" s="3177"/>
      <c r="N298" s="1930">
        <v>16475.07</v>
      </c>
      <c r="O298" s="1931">
        <v>17313.990000000002</v>
      </c>
      <c r="P298" s="1931">
        <v>15127.53</v>
      </c>
      <c r="Q298" s="1933">
        <v>11190.88</v>
      </c>
      <c r="R298" s="3481"/>
    </row>
    <row r="299" spans="1:18" ht="12.75" customHeight="1">
      <c r="A299" s="1922">
        <f t="shared" si="4"/>
        <v>2017.02</v>
      </c>
      <c r="B299" s="1941">
        <v>17.047871618258011</v>
      </c>
      <c r="C299" s="1941">
        <v>13.206352078903324</v>
      </c>
      <c r="D299" s="1942">
        <v>20.833681915193541</v>
      </c>
      <c r="E299" s="3179">
        <v>17.892459577490925</v>
      </c>
      <c r="F299" s="1937">
        <v>12088.040687771125</v>
      </c>
      <c r="G299" s="3713">
        <v>5886.3625676783349</v>
      </c>
      <c r="H299" s="1938">
        <v>5289.5282849114856</v>
      </c>
      <c r="I299" s="3180">
        <v>918.70555056705882</v>
      </c>
      <c r="J299" s="1923"/>
      <c r="K299" s="3712"/>
      <c r="L299" s="1924"/>
      <c r="M299" s="3177"/>
      <c r="N299" s="1930">
        <v>17141</v>
      </c>
      <c r="O299" s="1931">
        <v>18031.78</v>
      </c>
      <c r="P299" s="1931">
        <v>15527.03</v>
      </c>
      <c r="Q299" s="1933">
        <v>11633.06</v>
      </c>
      <c r="R299" s="3481"/>
    </row>
    <row r="300" spans="1:18" ht="12.75" customHeight="1">
      <c r="A300" s="1922">
        <f t="shared" si="4"/>
        <v>2017.03</v>
      </c>
      <c r="B300" s="1941">
        <v>17.23161029298625</v>
      </c>
      <c r="C300" s="1941">
        <v>13.465140478668062</v>
      </c>
      <c r="D300" s="1942">
        <v>20.833681915193541</v>
      </c>
      <c r="E300" s="3179">
        <v>18.534214838673208</v>
      </c>
      <c r="F300" s="1937">
        <v>12127.130860454285</v>
      </c>
      <c r="G300" s="3713">
        <v>5920.1016875061187</v>
      </c>
      <c r="H300" s="1938">
        <v>5289.5282849114856</v>
      </c>
      <c r="I300" s="3180">
        <v>923.82734890370398</v>
      </c>
      <c r="J300" s="1923"/>
      <c r="K300" s="3712"/>
      <c r="L300" s="1924"/>
      <c r="M300" s="3177"/>
      <c r="N300" s="1930">
        <v>17251.47</v>
      </c>
      <c r="O300" s="1931">
        <v>18193.009999999998</v>
      </c>
      <c r="P300" s="1931">
        <v>15578.4</v>
      </c>
      <c r="Q300" s="1933">
        <v>11681.95</v>
      </c>
      <c r="R300" s="3481"/>
    </row>
    <row r="301" spans="1:18" ht="12.75" customHeight="1">
      <c r="A301" s="1922">
        <f t="shared" si="4"/>
        <v>2017.04</v>
      </c>
      <c r="B301" s="1941">
        <v>18.184698098349973</v>
      </c>
      <c r="C301" s="1941">
        <v>13.599963805818224</v>
      </c>
      <c r="D301" s="1942">
        <v>22.656374516767173</v>
      </c>
      <c r="E301" s="3179">
        <v>19.367285819226812</v>
      </c>
      <c r="F301" s="1937">
        <v>12190.127851913363</v>
      </c>
      <c r="G301" s="3713">
        <v>5977.818024794622</v>
      </c>
      <c r="H301" s="1938">
        <v>5289.5282849114856</v>
      </c>
      <c r="I301" s="3180">
        <v>928.77829175641</v>
      </c>
      <c r="J301" s="1923"/>
      <c r="K301" s="3712"/>
      <c r="L301" s="1924"/>
      <c r="M301" s="3177"/>
      <c r="N301" s="1930">
        <v>17265.88</v>
      </c>
      <c r="O301" s="1931">
        <v>18199.830000000002</v>
      </c>
      <c r="P301" s="1931">
        <v>15653.94</v>
      </c>
      <c r="Q301" s="1933">
        <v>11746.83</v>
      </c>
      <c r="R301" s="3481"/>
    </row>
    <row r="302" spans="1:18" ht="12.75" customHeight="1">
      <c r="A302" s="1922">
        <f t="shared" si="4"/>
        <v>2017.05</v>
      </c>
      <c r="B302" s="1941">
        <v>18.393780038557971</v>
      </c>
      <c r="C302" s="1941">
        <v>13.842464823779586</v>
      </c>
      <c r="D302" s="1942">
        <v>22.817445371350114</v>
      </c>
      <c r="E302" s="3179">
        <v>19.643361667433531</v>
      </c>
      <c r="F302" s="1937">
        <v>12821.616086781207</v>
      </c>
      <c r="G302" s="3713">
        <v>6027.7685421141132</v>
      </c>
      <c r="H302" s="1938">
        <v>5871.4082393677536</v>
      </c>
      <c r="I302" s="3180">
        <v>933.31302529706534</v>
      </c>
      <c r="J302" s="1923"/>
      <c r="K302" s="3712"/>
      <c r="L302" s="1924"/>
      <c r="M302" s="3177"/>
      <c r="N302" s="1930">
        <v>17293.580000000002</v>
      </c>
      <c r="O302" s="1931">
        <v>18264.04</v>
      </c>
      <c r="P302" s="1931">
        <v>15856.63</v>
      </c>
      <c r="Q302" s="1933">
        <v>12028.13</v>
      </c>
      <c r="R302" s="3481"/>
    </row>
    <row r="303" spans="1:18" ht="12.75" customHeight="1">
      <c r="A303" s="1922">
        <f t="shared" si="4"/>
        <v>2017.06</v>
      </c>
      <c r="B303" s="1941">
        <v>18.587474996153254</v>
      </c>
      <c r="C303" s="1941">
        <v>13.994480387277754</v>
      </c>
      <c r="D303" s="1942">
        <v>23.004435673796976</v>
      </c>
      <c r="E303" s="3179">
        <v>20.065547832966026</v>
      </c>
      <c r="F303" s="1937">
        <v>12887.19736635667</v>
      </c>
      <c r="G303" s="3713">
        <v>6095.023757484857</v>
      </c>
      <c r="H303" s="1938">
        <v>5871.4082393677536</v>
      </c>
      <c r="I303" s="3180">
        <v>931.38112412444616</v>
      </c>
      <c r="J303" s="1923"/>
      <c r="K303" s="3712"/>
      <c r="L303" s="1924"/>
      <c r="M303" s="3177"/>
      <c r="N303" s="1930">
        <v>18429.11</v>
      </c>
      <c r="O303" s="1931">
        <v>19474.29</v>
      </c>
      <c r="P303" s="1931">
        <v>16169.38</v>
      </c>
      <c r="Q303" s="1933">
        <v>12306.54</v>
      </c>
      <c r="R303" s="3481"/>
    </row>
    <row r="304" spans="1:18" ht="12.75" customHeight="1">
      <c r="A304" s="1922">
        <f t="shared" si="4"/>
        <v>2017.07</v>
      </c>
      <c r="B304" s="1941">
        <v>19.689907044522691</v>
      </c>
      <c r="C304" s="1941">
        <v>14.257793059765653</v>
      </c>
      <c r="D304" s="1942">
        <v>25.065957473545314</v>
      </c>
      <c r="E304" s="3179">
        <v>20.726676837882113</v>
      </c>
      <c r="F304" s="1937">
        <v>12963.19212248087</v>
      </c>
      <c r="G304" s="3713">
        <v>6163.3730258587539</v>
      </c>
      <c r="H304" s="1938">
        <v>5871.4082393677536</v>
      </c>
      <c r="I304" s="3180">
        <v>938.61370887929718</v>
      </c>
      <c r="J304" s="1923"/>
      <c r="K304" s="3712"/>
      <c r="L304" s="1924"/>
      <c r="M304" s="3177"/>
      <c r="N304" s="1930">
        <v>18495.310000000001</v>
      </c>
      <c r="O304" s="1931">
        <v>19514.97</v>
      </c>
      <c r="P304" s="1931">
        <v>16183</v>
      </c>
      <c r="Q304" s="1933">
        <v>12338.49</v>
      </c>
      <c r="R304" s="3481"/>
    </row>
    <row r="305" spans="1:18" ht="12.75" customHeight="1">
      <c r="A305" s="1922">
        <f t="shared" si="4"/>
        <v>2017.08</v>
      </c>
      <c r="B305" s="1941">
        <v>19.938814116198877</v>
      </c>
      <c r="C305" s="1941">
        <v>14.566348459485148</v>
      </c>
      <c r="D305" s="1942">
        <v>25.277941529289528</v>
      </c>
      <c r="E305" s="3179">
        <v>20.852606172151845</v>
      </c>
      <c r="F305" s="1937">
        <v>13643.125293307601</v>
      </c>
      <c r="G305" s="3713">
        <v>6256.336680938949</v>
      </c>
      <c r="H305" s="1938">
        <v>6458.5367725510096</v>
      </c>
      <c r="I305" s="3180">
        <v>943.19230871043305</v>
      </c>
      <c r="J305" s="1923"/>
      <c r="K305" s="3712"/>
      <c r="L305" s="1924"/>
      <c r="M305" s="3177"/>
      <c r="N305" s="1930">
        <v>18773.14</v>
      </c>
      <c r="O305" s="1931">
        <v>19943.400000000001</v>
      </c>
      <c r="P305" s="1931">
        <v>16596.990000000002</v>
      </c>
      <c r="Q305" s="1933">
        <v>13025.5</v>
      </c>
      <c r="R305" s="3481"/>
    </row>
    <row r="306" spans="1:18" ht="12.75" customHeight="1">
      <c r="A306" s="1922">
        <f t="shared" si="4"/>
        <v>2017.09</v>
      </c>
      <c r="B306" s="1941">
        <v>20.097209525447358</v>
      </c>
      <c r="C306" s="1941">
        <v>14.843233950142524</v>
      </c>
      <c r="D306" s="1942">
        <v>25.334408897850217</v>
      </c>
      <c r="E306" s="3179">
        <v>20.922028753864648</v>
      </c>
      <c r="F306" s="1937">
        <v>13829.583214943123</v>
      </c>
      <c r="G306" s="3713">
        <v>6372.7323328429402</v>
      </c>
      <c r="H306" s="1938">
        <v>6458.5367725510096</v>
      </c>
      <c r="I306" s="3180">
        <v>1011.6314542230806</v>
      </c>
      <c r="J306" s="1923"/>
      <c r="K306" s="3712"/>
      <c r="L306" s="1924"/>
      <c r="M306" s="3177"/>
      <c r="N306" s="1930">
        <v>19594.009999999998</v>
      </c>
      <c r="O306" s="1931">
        <v>20851</v>
      </c>
      <c r="P306" s="1931">
        <v>17480.439999999999</v>
      </c>
      <c r="Q306" s="1933">
        <v>13696.62</v>
      </c>
      <c r="R306" s="3481"/>
    </row>
    <row r="307" spans="1:18" ht="12.75" customHeight="1">
      <c r="A307" s="1922">
        <f t="shared" si="4"/>
        <v>2017.1</v>
      </c>
      <c r="B307" s="1941">
        <v>20.249269118325895</v>
      </c>
      <c r="C307" s="1941">
        <v>15.074876713568303</v>
      </c>
      <c r="D307" s="1942">
        <v>25.421424187107668</v>
      </c>
      <c r="E307" s="3179">
        <v>20.986607899644</v>
      </c>
      <c r="F307" s="1937">
        <v>13891.880745299064</v>
      </c>
      <c r="G307" s="3713">
        <v>6419.9878981431093</v>
      </c>
      <c r="H307" s="1938">
        <v>6458.5367725510096</v>
      </c>
      <c r="I307" s="3180">
        <v>1026.2306017928604</v>
      </c>
      <c r="J307" s="1923"/>
      <c r="K307" s="3712"/>
      <c r="L307" s="1924"/>
      <c r="M307" s="3177"/>
      <c r="N307" s="1930">
        <v>19731.400000000001</v>
      </c>
      <c r="O307" s="1931">
        <v>20990.080000000002</v>
      </c>
      <c r="P307" s="1931">
        <v>17706.64</v>
      </c>
      <c r="Q307" s="1933">
        <v>13840.9</v>
      </c>
      <c r="R307" s="3481"/>
    </row>
    <row r="308" spans="1:18" ht="12.75" customHeight="1">
      <c r="A308" s="1922">
        <f t="shared" si="4"/>
        <v>2017.11</v>
      </c>
      <c r="B308" s="1941">
        <v>20.338875664129322</v>
      </c>
      <c r="C308" s="1941">
        <v>15.305614622449452</v>
      </c>
      <c r="D308" s="1942">
        <v>25.360328345714141</v>
      </c>
      <c r="E308" s="3179">
        <v>21.103657601369068</v>
      </c>
      <c r="F308" s="1937">
        <v>13988.900292589891</v>
      </c>
      <c r="G308" s="3713">
        <v>6507.0316279085791</v>
      </c>
      <c r="H308" s="1938">
        <v>6458.5367725510096</v>
      </c>
      <c r="I308" s="3180">
        <v>1035.6767241751443</v>
      </c>
      <c r="J308" s="1923"/>
      <c r="K308" s="3712"/>
      <c r="L308" s="1924"/>
      <c r="M308" s="3177"/>
      <c r="N308" s="1930">
        <v>19992.82</v>
      </c>
      <c r="O308" s="1931">
        <v>21207.59</v>
      </c>
      <c r="P308" s="1931">
        <v>17884.03</v>
      </c>
      <c r="Q308" s="1933">
        <v>13987.5</v>
      </c>
      <c r="R308" s="3481"/>
    </row>
    <row r="309" spans="1:18" ht="12.75" customHeight="1">
      <c r="A309" s="1922">
        <f t="shared" si="4"/>
        <v>2017.12</v>
      </c>
      <c r="B309" s="1941">
        <v>20.633038567019359</v>
      </c>
      <c r="C309" s="1941">
        <v>15.545401076776919</v>
      </c>
      <c r="D309" s="1942">
        <v>25.402910295776294</v>
      </c>
      <c r="E309" s="3179">
        <v>22.853752451989429</v>
      </c>
      <c r="F309" s="1925">
        <v>14133.561483755941</v>
      </c>
      <c r="G309" s="3714">
        <v>6641.7300190628503</v>
      </c>
      <c r="H309" s="1926">
        <v>6458.5367725510096</v>
      </c>
      <c r="I309" s="3181">
        <v>1044.9081247830084</v>
      </c>
      <c r="J309" s="1923"/>
      <c r="K309" s="3712"/>
      <c r="L309" s="1924"/>
      <c r="M309" s="3177"/>
      <c r="N309" s="1930">
        <v>20148.900000000001</v>
      </c>
      <c r="O309" s="1931">
        <v>21366.44</v>
      </c>
      <c r="P309" s="1931">
        <v>18229.900000000001</v>
      </c>
      <c r="Q309" s="1933">
        <v>13987.5</v>
      </c>
      <c r="R309" s="3481"/>
    </row>
    <row r="310" spans="1:18" ht="12.75" customHeight="1">
      <c r="A310" s="1922">
        <f t="shared" si="4"/>
        <v>2018.01</v>
      </c>
      <c r="B310" s="1941">
        <v>20.862938189585726</v>
      </c>
      <c r="C310" s="1941">
        <v>15.920915712799177</v>
      </c>
      <c r="D310" s="1942">
        <v>25.439012383872473</v>
      </c>
      <c r="E310" s="3179">
        <v>23.289661686000038</v>
      </c>
      <c r="F310" s="1925">
        <v>14260.855394277412</v>
      </c>
      <c r="G310" s="3714">
        <v>6761.2285979093494</v>
      </c>
      <c r="H310" s="1926">
        <v>6458.5367725510096</v>
      </c>
      <c r="I310" s="3181">
        <v>1052.0714156688291</v>
      </c>
      <c r="J310" s="1923"/>
      <c r="K310" s="3712"/>
      <c r="L310" s="1924"/>
      <c r="M310" s="3177"/>
      <c r="N310" s="1930">
        <v>20196.900000000001</v>
      </c>
      <c r="O310" s="1931">
        <v>21416.62</v>
      </c>
      <c r="P310" s="1931">
        <v>18591.740000000002</v>
      </c>
      <c r="Q310" s="1933">
        <v>13896.81</v>
      </c>
      <c r="R310" s="3481"/>
    </row>
    <row r="311" spans="1:18" ht="12.75" customHeight="1">
      <c r="A311" s="1922">
        <f t="shared" si="4"/>
        <v>2018.02</v>
      </c>
      <c r="B311" s="1941">
        <v>21.36256256618665</v>
      </c>
      <c r="C311" s="1941">
        <v>16.370628421481257</v>
      </c>
      <c r="D311" s="1942">
        <v>25.900933972590224</v>
      </c>
      <c r="E311" s="3179">
        <v>24.209107274033524</v>
      </c>
      <c r="F311" s="1925">
        <v>14424.26011777456</v>
      </c>
      <c r="G311" s="3714">
        <v>6924.9631858650573</v>
      </c>
      <c r="H311" s="1926">
        <v>6458.5367725510096</v>
      </c>
      <c r="I311" s="3181">
        <v>1051.0531229325225</v>
      </c>
      <c r="J311" s="1923"/>
      <c r="K311" s="3712"/>
      <c r="L311" s="1924"/>
      <c r="M311" s="3177"/>
      <c r="N311" s="1930">
        <v>20590.080000000002</v>
      </c>
      <c r="O311" s="1931">
        <v>21612.25</v>
      </c>
      <c r="P311" s="1931">
        <v>18897.61</v>
      </c>
      <c r="Q311" s="1933">
        <v>13878.91</v>
      </c>
      <c r="R311" s="3481"/>
    </row>
    <row r="312" spans="1:18" ht="12.75" customHeight="1">
      <c r="A312" s="1922">
        <f t="shared" si="4"/>
        <v>2018.03</v>
      </c>
      <c r="B312" s="1941">
        <v>21.702886416914819</v>
      </c>
      <c r="C312" s="1941">
        <v>16.785051802922691</v>
      </c>
      <c r="D312" s="1942">
        <v>26.192527761059342</v>
      </c>
      <c r="E312" s="3179">
        <v>24.416567779849682</v>
      </c>
      <c r="F312" s="1925">
        <v>14646.860439976634</v>
      </c>
      <c r="G312" s="3714">
        <v>7120.4563115887822</v>
      </c>
      <c r="H312" s="1926">
        <v>6458.5367725510096</v>
      </c>
      <c r="I312" s="3181">
        <v>1076.8948290042299</v>
      </c>
      <c r="J312" s="1923"/>
      <c r="K312" s="3712"/>
      <c r="L312" s="1924"/>
      <c r="M312" s="3177"/>
      <c r="N312" s="1930">
        <v>20741.05</v>
      </c>
      <c r="O312" s="1931">
        <v>21776.639999999999</v>
      </c>
      <c r="P312" s="1931">
        <v>19131.09</v>
      </c>
      <c r="Q312" s="1933">
        <v>14023.97</v>
      </c>
      <c r="R312" s="3481"/>
    </row>
    <row r="313" spans="1:18" ht="12.75" customHeight="1">
      <c r="A313" s="1922">
        <f t="shared" si="4"/>
        <v>2018.04</v>
      </c>
      <c r="B313" s="1941">
        <v>22.941991075550082</v>
      </c>
      <c r="C313" s="1941">
        <v>17.066461566303229</v>
      </c>
      <c r="D313" s="1942">
        <v>28.485473202449832</v>
      </c>
      <c r="E313" s="3179">
        <v>25.344085761105585</v>
      </c>
      <c r="F313" s="1925">
        <v>14985.311652280523</v>
      </c>
      <c r="G313" s="3714">
        <v>7262.3032179776883</v>
      </c>
      <c r="H313" s="1926">
        <v>6652.3075163633384</v>
      </c>
      <c r="I313" s="3181">
        <v>1080.7743934741834</v>
      </c>
      <c r="J313" s="1923"/>
      <c r="K313" s="3712"/>
      <c r="L313" s="1924"/>
      <c r="M313" s="3177"/>
      <c r="N313" s="1930">
        <v>20902.53</v>
      </c>
      <c r="O313" s="1931">
        <v>21943.62</v>
      </c>
      <c r="P313" s="1931">
        <v>19369.25</v>
      </c>
      <c r="Q313" s="1933">
        <v>14130.16</v>
      </c>
      <c r="R313" s="3481"/>
    </row>
    <row r="314" spans="1:18" ht="12.75" customHeight="1">
      <c r="A314" s="1922">
        <f t="shared" si="4"/>
        <v>2018.05</v>
      </c>
      <c r="B314" s="1941">
        <v>23.589149461908164</v>
      </c>
      <c r="C314" s="1941">
        <v>18.124236528977981</v>
      </c>
      <c r="D314" s="1942">
        <v>28.720599622358264</v>
      </c>
      <c r="E314" s="3179">
        <v>25.938213902275596</v>
      </c>
      <c r="F314" s="1925">
        <v>15884.940447180268</v>
      </c>
      <c r="G314" s="3714">
        <v>7424.5628659768754</v>
      </c>
      <c r="H314" s="1926">
        <v>7317.4832493412359</v>
      </c>
      <c r="I314" s="3181">
        <v>1156.9267198462005</v>
      </c>
      <c r="J314" s="1923"/>
      <c r="K314" s="3712"/>
      <c r="L314" s="1924"/>
      <c r="M314" s="3177"/>
      <c r="N314" s="1930">
        <v>22399.4</v>
      </c>
      <c r="O314" s="1931">
        <v>23548.76</v>
      </c>
      <c r="P314" s="1931">
        <v>20666.45</v>
      </c>
      <c r="Q314" s="1933">
        <v>15047.04</v>
      </c>
      <c r="R314" s="3481"/>
    </row>
    <row r="315" spans="1:18" ht="12.75" customHeight="1">
      <c r="A315" s="1922">
        <f t="shared" si="4"/>
        <v>2018.06</v>
      </c>
      <c r="B315" s="1941">
        <v>24.173854801191133</v>
      </c>
      <c r="C315" s="1941">
        <v>19.144912455322821</v>
      </c>
      <c r="D315" s="1942">
        <v>28.893704506306598</v>
      </c>
      <c r="E315" s="3179">
        <v>26.336990127463078</v>
      </c>
      <c r="F315" s="1925">
        <v>16292.095576452017</v>
      </c>
      <c r="G315" s="3714">
        <v>7828.4515689141981</v>
      </c>
      <c r="H315" s="1926">
        <v>7317.4832493412359</v>
      </c>
      <c r="I315" s="3181">
        <v>1158.42917746998</v>
      </c>
      <c r="J315" s="1923"/>
      <c r="K315" s="3712"/>
      <c r="L315" s="1924"/>
      <c r="M315" s="3177"/>
      <c r="N315" s="1930">
        <v>23046.02</v>
      </c>
      <c r="O315" s="1931">
        <v>24558.94</v>
      </c>
      <c r="P315" s="1931">
        <v>21296.35</v>
      </c>
      <c r="Q315" s="1933">
        <v>15603.87</v>
      </c>
      <c r="R315" s="3481"/>
    </row>
    <row r="316" spans="1:18" ht="12.75" customHeight="1">
      <c r="A316" s="1922">
        <f t="shared" si="4"/>
        <v>2018.07</v>
      </c>
      <c r="B316" s="1941">
        <v>24.591113564982845</v>
      </c>
      <c r="C316" s="1941">
        <v>19.911324254626081</v>
      </c>
      <c r="D316" s="1942">
        <v>28.893704506306598</v>
      </c>
      <c r="E316" s="3179">
        <v>27.083686500536803</v>
      </c>
      <c r="F316" s="1925">
        <v>16772.774072920012</v>
      </c>
      <c r="G316" s="3714">
        <v>8250.4564050875069</v>
      </c>
      <c r="H316" s="1926">
        <v>7317.4832493412359</v>
      </c>
      <c r="I316" s="3181">
        <v>1214.3685119857419</v>
      </c>
      <c r="J316" s="1923"/>
      <c r="K316" s="3712"/>
      <c r="L316" s="1924"/>
      <c r="M316" s="3177"/>
      <c r="N316" s="1930">
        <v>23416.09</v>
      </c>
      <c r="O316" s="1931">
        <v>24397.16</v>
      </c>
      <c r="P316" s="1931">
        <v>21555.48</v>
      </c>
      <c r="Q316" s="1933">
        <v>15882.95</v>
      </c>
      <c r="R316" s="3481"/>
    </row>
    <row r="317" spans="1:18" ht="12.75" customHeight="1">
      <c r="A317" s="1922">
        <f t="shared" si="4"/>
        <v>2018.08</v>
      </c>
      <c r="B317" s="1941">
        <v>25.507996705375483</v>
      </c>
      <c r="C317" s="1941">
        <v>20.526625344975805</v>
      </c>
      <c r="D317" s="1942">
        <v>30.0503787668315</v>
      </c>
      <c r="E317" s="3179">
        <v>28.338943646622901</v>
      </c>
      <c r="F317" s="1925">
        <v>17248.12650861128</v>
      </c>
      <c r="G317" s="3714">
        <v>8714.3971807551425</v>
      </c>
      <c r="H317" s="1926">
        <v>7317.4832493412359</v>
      </c>
      <c r="I317" s="3181">
        <v>1223.6303959480076</v>
      </c>
      <c r="J317" s="1923"/>
      <c r="K317" s="3712"/>
      <c r="L317" s="1924"/>
      <c r="M317" s="3177"/>
      <c r="N317" s="1930">
        <v>23444.639999999999</v>
      </c>
      <c r="O317" s="1931">
        <v>24531.48</v>
      </c>
      <c r="P317" s="1931">
        <v>21804.17</v>
      </c>
      <c r="Q317" s="1933">
        <v>16243.84</v>
      </c>
      <c r="R317" s="3481"/>
    </row>
    <row r="318" spans="1:18" ht="12.75" customHeight="1">
      <c r="A318" s="1922">
        <f t="shared" si="4"/>
        <v>2018.09</v>
      </c>
      <c r="B318" s="1941">
        <v>27.418697899224316</v>
      </c>
      <c r="C318" s="1941">
        <v>23.416730760530257</v>
      </c>
      <c r="D318" s="1942">
        <v>31.127410123909527</v>
      </c>
      <c r="E318" s="3179">
        <v>29.406921269948889</v>
      </c>
      <c r="F318" s="1925">
        <v>17854.565935054252</v>
      </c>
      <c r="G318" s="3714">
        <v>8942.4966977021486</v>
      </c>
      <c r="H318" s="1926">
        <v>7683.4134445301443</v>
      </c>
      <c r="I318" s="3181">
        <v>1238.07013787916</v>
      </c>
      <c r="J318" s="1923"/>
      <c r="K318" s="3712"/>
      <c r="L318" s="1924"/>
      <c r="M318" s="3177"/>
      <c r="N318" s="1930">
        <v>24766.92</v>
      </c>
      <c r="O318" s="1931">
        <v>25664.49</v>
      </c>
      <c r="P318" s="1931">
        <v>23525.03</v>
      </c>
      <c r="Q318" s="1933">
        <v>17423.54</v>
      </c>
      <c r="R318" s="3481"/>
    </row>
    <row r="319" spans="1:18" ht="12.75" customHeight="1">
      <c r="A319" s="1922">
        <f t="shared" si="4"/>
        <v>2018.1</v>
      </c>
      <c r="B319" s="1941">
        <v>28.030556737235592</v>
      </c>
      <c r="C319" s="1941">
        <v>24.361398905126013</v>
      </c>
      <c r="D319" s="1942">
        <v>31.358930192069035</v>
      </c>
      <c r="E319" s="3179">
        <v>30.194786848456946</v>
      </c>
      <c r="F319" s="1925">
        <v>19743.268549217573</v>
      </c>
      <c r="G319" s="3714">
        <v>10401.657309849899</v>
      </c>
      <c r="H319" s="1926">
        <v>7990.9909237777429</v>
      </c>
      <c r="I319" s="3181">
        <v>1354.5720165287489</v>
      </c>
      <c r="J319" s="1923"/>
      <c r="K319" s="3712"/>
      <c r="L319" s="1924"/>
      <c r="M319" s="3177"/>
      <c r="N319" s="1930">
        <v>25438.95</v>
      </c>
      <c r="O319" s="1931">
        <v>26646.91</v>
      </c>
      <c r="P319" s="1931">
        <v>24231.53</v>
      </c>
      <c r="Q319" s="1933">
        <v>18090.53</v>
      </c>
      <c r="R319" s="3481"/>
    </row>
    <row r="320" spans="1:18" ht="12.75" customHeight="1">
      <c r="A320" s="1922">
        <f t="shared" si="4"/>
        <v>2018.11</v>
      </c>
      <c r="B320" s="1941">
        <v>29.022564557443228</v>
      </c>
      <c r="C320" s="1941">
        <v>24.724245577523423</v>
      </c>
      <c r="D320" s="1942">
        <v>32.990683632457248</v>
      </c>
      <c r="E320" s="3179">
        <v>31.230474898893263</v>
      </c>
      <c r="F320" s="1925">
        <v>20028.123630061633</v>
      </c>
      <c r="G320" s="3714">
        <v>10673.251678954188</v>
      </c>
      <c r="H320" s="1926">
        <v>7990.9909237777429</v>
      </c>
      <c r="I320" s="3181">
        <v>1366.468108409191</v>
      </c>
      <c r="J320" s="1923"/>
      <c r="K320" s="3712"/>
      <c r="L320" s="1924"/>
      <c r="M320" s="3177"/>
      <c r="N320" s="1930">
        <v>28945.55</v>
      </c>
      <c r="O320" s="1931">
        <v>27328.92</v>
      </c>
      <c r="P320" s="1931">
        <v>25295.599999999999</v>
      </c>
      <c r="Q320" s="1933">
        <v>19805.830000000002</v>
      </c>
      <c r="R320" s="3481"/>
    </row>
    <row r="321" spans="1:18" ht="12.75" customHeight="1">
      <c r="A321" s="1922">
        <f t="shared" si="4"/>
        <v>2018.12</v>
      </c>
      <c r="B321" s="1941">
        <v>29.979272829304058</v>
      </c>
      <c r="C321" s="1941">
        <v>25.126000995340007</v>
      </c>
      <c r="D321" s="1942">
        <v>34.552054972124971</v>
      </c>
      <c r="E321" s="3179">
        <v>32.036906981812884</v>
      </c>
      <c r="F321" s="1925">
        <v>20630.50246414114</v>
      </c>
      <c r="G321" s="3714">
        <v>10792.832575131182</v>
      </c>
      <c r="H321" s="1926">
        <v>8470.7046758096767</v>
      </c>
      <c r="I321" s="3181">
        <v>1373.1864910200368</v>
      </c>
      <c r="J321" s="1923"/>
      <c r="K321" s="3712"/>
      <c r="L321" s="1924"/>
      <c r="M321" s="3177"/>
      <c r="N321" s="1930">
        <v>29531.439999999999</v>
      </c>
      <c r="O321" s="1931">
        <v>27974.93</v>
      </c>
      <c r="P321" s="1931">
        <v>26523.91</v>
      </c>
      <c r="Q321" s="1933">
        <v>20649.43</v>
      </c>
      <c r="R321" s="3481"/>
    </row>
    <row r="322" spans="1:18" ht="12.75" customHeight="1">
      <c r="A322" s="1922">
        <f t="shared" si="4"/>
        <v>2019.01</v>
      </c>
      <c r="B322" s="1941">
        <v>30.321406913280779</v>
      </c>
      <c r="C322" s="1941">
        <v>25.435461249604131</v>
      </c>
      <c r="D322" s="1942">
        <v>34.972495415902642</v>
      </c>
      <c r="E322" s="3179">
        <v>32.170908709305031</v>
      </c>
      <c r="F322" s="1925">
        <v>20835.894048200196</v>
      </c>
      <c r="G322" s="3714">
        <v>10981.314732311455</v>
      </c>
      <c r="H322" s="1926">
        <v>8470.7046758096767</v>
      </c>
      <c r="I322" s="3181">
        <v>1389.0246010721335</v>
      </c>
      <c r="J322" s="1923"/>
      <c r="K322" s="3712"/>
      <c r="L322" s="1924"/>
      <c r="M322" s="3177"/>
      <c r="N322" s="1930">
        <v>30597.41</v>
      </c>
      <c r="O322" s="1931">
        <v>29184.36</v>
      </c>
      <c r="P322" s="1931">
        <v>27631.84</v>
      </c>
      <c r="Q322" s="1933">
        <v>21398.959999999999</v>
      </c>
      <c r="R322" s="3481"/>
    </row>
    <row r="323" spans="1:18" ht="12.75" customHeight="1">
      <c r="A323" s="1922">
        <f t="shared" si="4"/>
        <v>2019.02</v>
      </c>
      <c r="B323" s="1941">
        <v>30.703366128725687</v>
      </c>
      <c r="C323" s="1941">
        <v>25.878839976473788</v>
      </c>
      <c r="D323" s="1942">
        <v>35.096590172436144</v>
      </c>
      <c r="E323" s="3179">
        <v>33.477021932692374</v>
      </c>
      <c r="F323" s="1925">
        <v>21290.498575339559</v>
      </c>
      <c r="G323" s="3714">
        <v>11141.085597839368</v>
      </c>
      <c r="H323" s="1926">
        <v>8725.1574315932612</v>
      </c>
      <c r="I323" s="3181">
        <v>1430.3001038270684</v>
      </c>
      <c r="J323" s="1923"/>
      <c r="K323" s="3712"/>
      <c r="L323" s="1924"/>
      <c r="M323" s="3177"/>
      <c r="N323" s="1930">
        <v>31429.86</v>
      </c>
      <c r="O323" s="1931">
        <v>30395.8</v>
      </c>
      <c r="P323" s="1931">
        <v>28540.55</v>
      </c>
      <c r="Q323" s="1933">
        <v>21865.59</v>
      </c>
      <c r="R323" s="3481"/>
    </row>
    <row r="324" spans="1:18" ht="12.75" customHeight="1">
      <c r="A324" s="1922">
        <f t="shared" si="4"/>
        <v>2019.03</v>
      </c>
      <c r="B324" s="1941">
        <v>31.774119095245425</v>
      </c>
      <c r="C324" s="1941">
        <v>26.466995430484555</v>
      </c>
      <c r="D324" s="1942">
        <v>36.436628326943371</v>
      </c>
      <c r="E324" s="3179">
        <v>35.62185681188901</v>
      </c>
      <c r="F324" s="1925">
        <v>21614.760158185894</v>
      </c>
      <c r="G324" s="3714">
        <v>11443.433089565307</v>
      </c>
      <c r="H324" s="1926">
        <v>8725.1574315932612</v>
      </c>
      <c r="I324" s="3181">
        <v>1450.579712965138</v>
      </c>
      <c r="J324" s="1923"/>
      <c r="K324" s="3712"/>
      <c r="L324" s="1924"/>
      <c r="M324" s="3177"/>
      <c r="N324" s="1930">
        <v>31793.61</v>
      </c>
      <c r="O324" s="1931">
        <v>31428.79</v>
      </c>
      <c r="P324" s="1931">
        <v>29470.97</v>
      </c>
      <c r="Q324" s="1933">
        <v>22808.95</v>
      </c>
      <c r="R324" s="3481"/>
    </row>
    <row r="325" spans="1:18" ht="12.75" customHeight="1">
      <c r="A325" s="1922">
        <f t="shared" si="4"/>
        <v>2019.04</v>
      </c>
      <c r="B325" s="1941">
        <v>33.759039852284971</v>
      </c>
      <c r="C325" s="1941">
        <v>27.577251956747958</v>
      </c>
      <c r="D325" s="1942">
        <v>39.475097701468755</v>
      </c>
      <c r="E325" s="3179">
        <v>36.897294941031156</v>
      </c>
      <c r="F325" s="1925">
        <v>22829.471847026427</v>
      </c>
      <c r="G325" s="3714">
        <v>11792.275727083172</v>
      </c>
      <c r="H325" s="1926">
        <v>9336.3174377223368</v>
      </c>
      <c r="I325" s="3181">
        <v>1705.0416699730586</v>
      </c>
      <c r="J325" s="1923"/>
      <c r="K325" s="3712"/>
      <c r="L325" s="1924"/>
      <c r="M325" s="3177"/>
      <c r="N325" s="1930">
        <v>33104.46</v>
      </c>
      <c r="O325" s="1931">
        <v>33074.36</v>
      </c>
      <c r="P325" s="1931">
        <v>30629.61</v>
      </c>
      <c r="Q325" s="1933">
        <v>23004.17</v>
      </c>
      <c r="R325" s="3481"/>
    </row>
    <row r="326" spans="1:18" ht="12.75" customHeight="1">
      <c r="A326" s="1922">
        <f t="shared" si="4"/>
        <v>2019.05</v>
      </c>
      <c r="B326" s="1941">
        <v>34.911253314989636</v>
      </c>
      <c r="C326" s="1941">
        <v>28.152739447133882</v>
      </c>
      <c r="D326" s="1942">
        <v>41.17445500175954</v>
      </c>
      <c r="E326" s="3179">
        <v>38.276059703420259</v>
      </c>
      <c r="F326" s="1925">
        <v>24215.519011725002</v>
      </c>
      <c r="G326" s="3714">
        <v>12233.698122953438</v>
      </c>
      <c r="H326" s="1926">
        <v>10270.491255571642</v>
      </c>
      <c r="I326" s="3181">
        <v>1721.6143545165914</v>
      </c>
      <c r="J326" s="1923"/>
      <c r="K326" s="3712"/>
      <c r="L326" s="1924"/>
      <c r="M326" s="3177"/>
      <c r="N326" s="1930">
        <v>34314.97</v>
      </c>
      <c r="O326" s="1931">
        <v>34641.980000000003</v>
      </c>
      <c r="P326" s="1931">
        <v>31318.45</v>
      </c>
      <c r="Q326" s="1933">
        <v>23204.44</v>
      </c>
      <c r="R326" s="3481"/>
    </row>
    <row r="327" spans="1:18" ht="12.75" customHeight="1">
      <c r="A327" s="1922">
        <f t="shared" si="4"/>
        <v>2019.06</v>
      </c>
      <c r="B327" s="1941">
        <v>35.463374455798629</v>
      </c>
      <c r="C327" s="1941">
        <v>28.863955119214594</v>
      </c>
      <c r="D327" s="1942">
        <v>41.577299920357078</v>
      </c>
      <c r="E327" s="3179">
        <v>38.759596057443133</v>
      </c>
      <c r="F327" s="1925">
        <v>25033.496755819247</v>
      </c>
      <c r="G327" s="3714">
        <v>12538.414758617291</v>
      </c>
      <c r="H327" s="1926">
        <v>10784.227521242425</v>
      </c>
      <c r="I327" s="3181">
        <v>1724.3435812809271</v>
      </c>
      <c r="J327" s="1923"/>
      <c r="K327" s="3712"/>
      <c r="L327" s="1924"/>
      <c r="M327" s="3177"/>
      <c r="N327" s="1930">
        <v>34605.01</v>
      </c>
      <c r="O327" s="1931">
        <v>35195.910000000003</v>
      </c>
      <c r="P327" s="1931">
        <v>31601.81</v>
      </c>
      <c r="Q327" s="1933">
        <v>23457.040000000001</v>
      </c>
      <c r="R327" s="3481"/>
    </row>
    <row r="328" spans="1:18" ht="12.75" customHeight="1">
      <c r="A328" s="1922">
        <f t="shared" si="4"/>
        <v>2019.07</v>
      </c>
      <c r="B328" s="1941">
        <v>36.414652027913796</v>
      </c>
      <c r="C328" s="1941">
        <v>29.129982355336388</v>
      </c>
      <c r="D328" s="1942">
        <v>43.281287622011057</v>
      </c>
      <c r="E328" s="3179">
        <v>39.495798319327719</v>
      </c>
      <c r="F328" s="1925">
        <v>25310.621038286728</v>
      </c>
      <c r="G328" s="3714">
        <v>12810.542760726968</v>
      </c>
      <c r="H328" s="1926">
        <v>10784.227521242425</v>
      </c>
      <c r="I328" s="3181">
        <v>1728.1062681091257</v>
      </c>
      <c r="J328" s="1923"/>
      <c r="K328" s="3712"/>
      <c r="L328" s="1924"/>
      <c r="M328" s="3177"/>
      <c r="N328" s="1930">
        <v>41445.620000000003</v>
      </c>
      <c r="O328" s="1931">
        <v>42086.66</v>
      </c>
      <c r="P328" s="1931">
        <v>37952.07</v>
      </c>
      <c r="Q328" s="1933">
        <v>24591.18</v>
      </c>
      <c r="R328" s="3481"/>
    </row>
    <row r="329" spans="1:18" ht="12.75" customHeight="1">
      <c r="A329" s="1922">
        <f t="shared" si="4"/>
        <v>2019.08</v>
      </c>
      <c r="B329" s="1941">
        <v>39.126381434247804</v>
      </c>
      <c r="C329" s="1941">
        <v>33.194588969823108</v>
      </c>
      <c r="D329" s="1942">
        <v>44.897297697764422</v>
      </c>
      <c r="E329" s="3179">
        <v>40.78576675627022</v>
      </c>
      <c r="F329" s="1925">
        <v>25939.013235838698</v>
      </c>
      <c r="G329" s="3714">
        <v>12981.572289443042</v>
      </c>
      <c r="H329" s="1926">
        <v>11244.514868139231</v>
      </c>
      <c r="I329" s="3181">
        <v>1728.5250053091024</v>
      </c>
      <c r="J329" s="1923"/>
      <c r="K329" s="3712"/>
      <c r="L329" s="1924"/>
      <c r="M329" s="3177"/>
      <c r="N329" s="1930">
        <v>41496.61</v>
      </c>
      <c r="O329" s="1931">
        <v>42113.3</v>
      </c>
      <c r="P329" s="1931">
        <v>38038.699999999997</v>
      </c>
      <c r="Q329" s="1933">
        <v>24298.28</v>
      </c>
      <c r="R329" s="3481"/>
    </row>
    <row r="330" spans="1:18" ht="12.75" customHeight="1">
      <c r="A330" s="1922">
        <f t="shared" si="4"/>
        <v>2019.09</v>
      </c>
      <c r="B330" s="1941">
        <v>40.05593620738032</v>
      </c>
      <c r="C330" s="1941">
        <v>34.701171786635307</v>
      </c>
      <c r="D330" s="1942">
        <v>45.140856809468218</v>
      </c>
      <c r="E330" s="3179">
        <v>42.137892621025344</v>
      </c>
      <c r="F330" s="1927">
        <v>27600.342174295074</v>
      </c>
      <c r="G330" s="1928">
        <v>14212.902307988579</v>
      </c>
      <c r="H330" s="1928">
        <v>11638.292007040918</v>
      </c>
      <c r="I330" s="1929">
        <v>1762.3853205813552</v>
      </c>
      <c r="J330" s="1923"/>
      <c r="K330" s="3712"/>
      <c r="L330" s="1924"/>
      <c r="M330" s="3177"/>
      <c r="N330" s="1930">
        <v>46277.39</v>
      </c>
      <c r="O330" s="1931">
        <v>46995.11</v>
      </c>
      <c r="P330" s="1931">
        <v>42450.9</v>
      </c>
      <c r="Q330" s="1933">
        <v>27817.78</v>
      </c>
      <c r="R330" s="3481"/>
    </row>
    <row r="331" spans="1:18" ht="12.75" customHeight="1">
      <c r="A331" s="1922">
        <f t="shared" si="4"/>
        <v>2019.1</v>
      </c>
      <c r="B331" s="1941">
        <v>41.905994587402581</v>
      </c>
      <c r="C331" s="1941">
        <v>35.381622404198531</v>
      </c>
      <c r="D331" s="1942">
        <v>48.108944083273109</v>
      </c>
      <c r="E331" s="3179">
        <v>44.40946407381395</v>
      </c>
      <c r="F331" s="1927">
        <v>28784.683074627566</v>
      </c>
      <c r="G331" s="1928">
        <v>15384.264527487676</v>
      </c>
      <c r="H331" s="1928">
        <v>11638.292007040918</v>
      </c>
      <c r="I331" s="1929">
        <v>1770.1915871961171</v>
      </c>
      <c r="J331" s="1923"/>
      <c r="K331" s="3712"/>
      <c r="L331" s="1924"/>
      <c r="M331" s="3177"/>
      <c r="N331" s="1930">
        <v>46733.26</v>
      </c>
      <c r="O331" s="1931">
        <v>47347.14</v>
      </c>
      <c r="P331" s="1931">
        <v>42890.94</v>
      </c>
      <c r="Q331" s="1933">
        <v>27817.78</v>
      </c>
      <c r="R331" s="3481"/>
    </row>
    <row r="332" spans="1:18" ht="12.75" customHeight="1">
      <c r="A332" s="1922">
        <f t="shared" si="4"/>
        <v>2019.11</v>
      </c>
      <c r="B332" s="1941">
        <v>43.994098639609717</v>
      </c>
      <c r="C332" s="1941">
        <v>36.977785820929299</v>
      </c>
      <c r="D332" s="1942">
        <v>50.883480580096659</v>
      </c>
      <c r="E332" s="3179">
        <v>45.651805390744187</v>
      </c>
      <c r="F332" s="1927">
        <v>30168.200360457195</v>
      </c>
      <c r="G332" s="1928">
        <v>15735.143427892153</v>
      </c>
      <c r="H332" s="1928">
        <v>12546.10856320144</v>
      </c>
      <c r="I332" s="1929">
        <v>1899.4439838451347</v>
      </c>
      <c r="J332" s="1923"/>
      <c r="K332" s="3712"/>
      <c r="L332" s="1924"/>
      <c r="M332" s="3177"/>
      <c r="N332" s="1930">
        <v>48412.42</v>
      </c>
      <c r="O332" s="1931">
        <v>49181.54</v>
      </c>
      <c r="P332" s="1931">
        <v>44487.61</v>
      </c>
      <c r="Q332" s="1933">
        <v>27999.8</v>
      </c>
      <c r="R332" s="3481"/>
    </row>
    <row r="333" spans="1:18" ht="12.75" customHeight="1">
      <c r="A333" s="1922">
        <f t="shared" si="4"/>
        <v>2019.12</v>
      </c>
      <c r="B333" s="1941">
        <v>45.285700062453046</v>
      </c>
      <c r="C333" s="1941">
        <v>37.850970456499134</v>
      </c>
      <c r="D333" s="1942">
        <v>52.571724917115795</v>
      </c>
      <c r="E333" s="3179">
        <v>47.108872367390745</v>
      </c>
      <c r="F333" s="1927">
        <v>31674.938420090562</v>
      </c>
      <c r="G333" s="1928">
        <v>16456.833008358415</v>
      </c>
      <c r="H333" s="1928">
        <v>13298.707236537335</v>
      </c>
      <c r="I333" s="1929">
        <v>1934.88705435764</v>
      </c>
      <c r="J333" s="1923"/>
      <c r="K333" s="3712"/>
      <c r="L333" s="1924"/>
      <c r="M333" s="3177"/>
      <c r="N333" s="1930">
        <v>52051.28</v>
      </c>
      <c r="O333" s="1931">
        <v>52692.42</v>
      </c>
      <c r="P333" s="1931">
        <v>47403.95</v>
      </c>
      <c r="Q333" s="1933">
        <v>28856.28</v>
      </c>
      <c r="R333" s="3481"/>
    </row>
    <row r="334" spans="1:18" ht="12.75" customHeight="1">
      <c r="A334" s="1922">
        <f t="shared" si="4"/>
        <v>2020.01</v>
      </c>
      <c r="B334" s="1941">
        <v>47.972086203307292</v>
      </c>
      <c r="C334" s="1941">
        <v>38.521467674071403</v>
      </c>
      <c r="D334" s="1942">
        <v>57.395677057287301</v>
      </c>
      <c r="E334" s="3179">
        <v>49.521710701571685</v>
      </c>
      <c r="F334" s="1927">
        <v>32005.643871474829</v>
      </c>
      <c r="G334" s="1928">
        <v>16742.526063797424</v>
      </c>
      <c r="H334" s="1928">
        <v>13298.707236537335</v>
      </c>
      <c r="I334" s="1929">
        <v>1977.963008113042</v>
      </c>
      <c r="J334" s="1923"/>
      <c r="K334" s="3712"/>
      <c r="L334" s="1924"/>
      <c r="M334" s="3177"/>
      <c r="N334" s="1930">
        <v>53201.83</v>
      </c>
      <c r="O334" s="1931">
        <v>53625.91</v>
      </c>
      <c r="P334" s="1931">
        <v>48313.19</v>
      </c>
      <c r="Q334" s="1933">
        <v>30089.53</v>
      </c>
      <c r="R334" s="3481"/>
    </row>
    <row r="335" spans="1:18" ht="12.75" customHeight="1">
      <c r="A335" s="1922">
        <f t="shared" si="4"/>
        <v>2020.02</v>
      </c>
      <c r="B335" s="1941">
        <v>49.996832091815023</v>
      </c>
      <c r="C335" s="1941">
        <v>39.04447360086867</v>
      </c>
      <c r="D335" s="1942">
        <v>61.150006482561885</v>
      </c>
      <c r="E335" s="3179">
        <v>50.698665633400324</v>
      </c>
      <c r="F335" s="1927">
        <v>33034.084897173096</v>
      </c>
      <c r="G335" s="1928">
        <v>16888.27484174971</v>
      </c>
      <c r="H335" s="1928">
        <v>14111.973587715071</v>
      </c>
      <c r="I335" s="1929">
        <v>2052.756074277323</v>
      </c>
      <c r="J335" s="1923"/>
      <c r="K335" s="3712"/>
      <c r="L335" s="1924"/>
      <c r="M335" s="3177"/>
      <c r="N335" s="1930">
        <v>55606.05</v>
      </c>
      <c r="O335" s="1931">
        <v>55857.19</v>
      </c>
      <c r="P335" s="1931">
        <v>50052.04</v>
      </c>
      <c r="Q335" s="1933">
        <v>31734.47</v>
      </c>
      <c r="R335" s="3481"/>
    </row>
    <row r="336" spans="1:18" ht="12.75" customHeight="1">
      <c r="A336" s="1922">
        <f t="shared" si="4"/>
        <v>2020.03</v>
      </c>
      <c r="B336" s="1941">
        <v>50.004073024809244</v>
      </c>
      <c r="C336" s="1941">
        <v>39.532190200425291</v>
      </c>
      <c r="D336" s="1942">
        <v>60.645292733974159</v>
      </c>
      <c r="E336" s="3179">
        <v>50.777775086980029</v>
      </c>
      <c r="F336" s="1927">
        <v>33819.869142970194</v>
      </c>
      <c r="G336" s="1928">
        <v>17107.426148845199</v>
      </c>
      <c r="H336" s="1928">
        <v>14677.274596595442</v>
      </c>
      <c r="I336" s="1929">
        <v>2058.0762374665142</v>
      </c>
      <c r="J336" s="1923"/>
      <c r="K336" s="3712"/>
      <c r="L336" s="1924"/>
      <c r="M336" s="3177"/>
      <c r="N336" s="1930">
        <v>57308.6</v>
      </c>
      <c r="O336" s="1931">
        <v>57594.26</v>
      </c>
      <c r="P336" s="1931">
        <v>51783.67</v>
      </c>
      <c r="Q336" s="1933">
        <v>32687.35</v>
      </c>
      <c r="R336" s="3481"/>
    </row>
    <row r="337" spans="1:18" ht="12.75" customHeight="1">
      <c r="A337" s="1922">
        <f t="shared" si="4"/>
        <v>2020.04</v>
      </c>
      <c r="B337" s="1941">
        <v>49.42389326864766</v>
      </c>
      <c r="C337" s="1941">
        <v>40.413518526896816</v>
      </c>
      <c r="D337" s="1942">
        <v>58.469004093274783</v>
      </c>
      <c r="E337" s="3179">
        <v>50.613098265242684</v>
      </c>
      <c r="F337" s="1927">
        <v>33996.415966774977</v>
      </c>
      <c r="G337" s="1928">
        <v>17269.870747482746</v>
      </c>
      <c r="H337" s="1928">
        <v>14677.274596595442</v>
      </c>
      <c r="I337" s="1929">
        <v>2071.262741783532</v>
      </c>
      <c r="J337" s="1923"/>
      <c r="K337" s="3712"/>
      <c r="L337" s="1924"/>
      <c r="M337" s="3177"/>
      <c r="N337" s="1930">
        <v>57545.37</v>
      </c>
      <c r="O337" s="1931">
        <v>57842.79</v>
      </c>
      <c r="P337" s="1931">
        <v>52064.47</v>
      </c>
      <c r="Q337" s="1933">
        <v>32803.11</v>
      </c>
      <c r="R337" s="3481"/>
    </row>
    <row r="338" spans="1:18" ht="12.75" customHeight="1">
      <c r="A338" s="1922">
        <f t="shared" si="4"/>
        <v>2020.05</v>
      </c>
      <c r="B338" s="1941">
        <v>49.217526678312495</v>
      </c>
      <c r="C338" s="1941">
        <v>41.491200289553461</v>
      </c>
      <c r="D338" s="1942">
        <v>56.851141856976135</v>
      </c>
      <c r="E338" s="3179">
        <v>50.818944292414358</v>
      </c>
      <c r="F338" s="1927">
        <v>34244.190994355013</v>
      </c>
      <c r="G338" s="1928">
        <v>17515.906112177738</v>
      </c>
      <c r="H338" s="1928">
        <v>14677.274596595442</v>
      </c>
      <c r="I338" s="1929">
        <v>2071.9318885874718</v>
      </c>
      <c r="J338" s="1923"/>
      <c r="K338" s="3712"/>
      <c r="L338" s="1924"/>
      <c r="M338" s="3177"/>
      <c r="N338" s="1930">
        <v>57972.38</v>
      </c>
      <c r="O338" s="1931">
        <v>58341.54</v>
      </c>
      <c r="P338" s="1931">
        <v>52459.89</v>
      </c>
      <c r="Q338" s="1933">
        <v>33143.339999999997</v>
      </c>
      <c r="R338" s="3481"/>
    </row>
    <row r="339" spans="1:18" ht="12.75" customHeight="1">
      <c r="A339" s="1922">
        <f t="shared" si="4"/>
        <v>2020.06</v>
      </c>
      <c r="B339" s="1941">
        <v>49.756976186381621</v>
      </c>
      <c r="C339" s="1941">
        <v>43.227616160702183</v>
      </c>
      <c r="D339" s="1942">
        <v>56.179733659313563</v>
      </c>
      <c r="E339" s="3179">
        <v>51.247588372524795</v>
      </c>
      <c r="F339" s="1927">
        <v>34960.988999644789</v>
      </c>
      <c r="G339" s="1928">
        <v>18202.493295490825</v>
      </c>
      <c r="H339" s="1928">
        <v>14677.274596595442</v>
      </c>
      <c r="I339" s="1929">
        <v>2098.7463854128173</v>
      </c>
      <c r="J339" s="1923"/>
      <c r="K339" s="3712"/>
      <c r="L339" s="1924"/>
      <c r="M339" s="3177"/>
      <c r="N339" s="1930">
        <v>61621.02</v>
      </c>
      <c r="O339" s="1931">
        <v>62134.67</v>
      </c>
      <c r="P339" s="1931">
        <v>55788.85</v>
      </c>
      <c r="Q339" s="1933">
        <v>35116.94</v>
      </c>
      <c r="R339" s="3481"/>
    </row>
    <row r="340" spans="1:18" ht="12.75" customHeight="1">
      <c r="A340" s="1922">
        <f t="shared" si="4"/>
        <v>2020.07</v>
      </c>
      <c r="B340" s="1941">
        <v>50.861218467999606</v>
      </c>
      <c r="C340" s="1941">
        <v>45.40469619508665</v>
      </c>
      <c r="D340" s="1942">
        <v>56.207516067492705</v>
      </c>
      <c r="E340" s="3179">
        <v>52.197709054803475</v>
      </c>
      <c r="F340" s="1927">
        <v>35593.061075964979</v>
      </c>
      <c r="G340" s="1928">
        <v>18802.237049526371</v>
      </c>
      <c r="H340" s="1928">
        <v>14677.274596595442</v>
      </c>
      <c r="I340" s="1929">
        <v>2128.01219002993</v>
      </c>
      <c r="J340" s="1923"/>
      <c r="K340" s="3712"/>
      <c r="L340" s="1924"/>
      <c r="M340" s="3177"/>
      <c r="N340" s="1930">
        <v>63857.47</v>
      </c>
      <c r="O340" s="1931">
        <v>64684.39</v>
      </c>
      <c r="P340" s="1931">
        <v>57437.17</v>
      </c>
      <c r="Q340" s="1933">
        <v>35840.199999999997</v>
      </c>
      <c r="R340" s="3481"/>
    </row>
    <row r="341" spans="1:18" ht="12.75" customHeight="1">
      <c r="A341" s="1922">
        <f t="shared" si="4"/>
        <v>2020.08</v>
      </c>
      <c r="B341" s="1941">
        <v>52.143768724600172</v>
      </c>
      <c r="C341" s="1941">
        <v>47.897570465547673</v>
      </c>
      <c r="D341" s="1942">
        <v>56.346428108388416</v>
      </c>
      <c r="E341" s="3179">
        <v>52.989610829922746</v>
      </c>
      <c r="F341" s="1927">
        <v>36486.281066064032</v>
      </c>
      <c r="G341" s="1928">
        <v>19671.688947034625</v>
      </c>
      <c r="H341" s="1928">
        <v>14677.274596595442</v>
      </c>
      <c r="I341" s="1929">
        <v>2147.7130615322367</v>
      </c>
      <c r="J341" s="1923"/>
      <c r="K341" s="3712"/>
      <c r="L341" s="1924"/>
      <c r="M341" s="3177"/>
      <c r="N341" s="1930">
        <v>65698.22</v>
      </c>
      <c r="O341" s="1931">
        <v>66690.559999999998</v>
      </c>
      <c r="P341" s="1931">
        <v>59265.99</v>
      </c>
      <c r="Q341" s="1933">
        <v>36776.06</v>
      </c>
      <c r="R341" s="3481"/>
    </row>
    <row r="342" spans="1:18" ht="12.75" customHeight="1">
      <c r="A342" s="1922">
        <f t="shared" si="4"/>
        <v>2020.09</v>
      </c>
      <c r="B342" s="1941">
        <v>53.671605586379819</v>
      </c>
      <c r="C342" s="1941">
        <v>50.565081663122662</v>
      </c>
      <c r="D342" s="1942">
        <v>56.652034598358966</v>
      </c>
      <c r="E342" s="3179">
        <v>54.734862244609658</v>
      </c>
      <c r="F342" s="1927">
        <v>37514.638664249564</v>
      </c>
      <c r="G342" s="1928">
        <v>20674.120955478447</v>
      </c>
      <c r="H342" s="1928">
        <v>14677.274596595442</v>
      </c>
      <c r="I342" s="1929">
        <v>2168.9731937870129</v>
      </c>
      <c r="J342" s="1923"/>
      <c r="K342" s="3712"/>
      <c r="L342" s="1924"/>
      <c r="M342" s="3177"/>
      <c r="N342" s="1930">
        <v>67406.710000000006</v>
      </c>
      <c r="O342" s="1931">
        <v>68816.789999999994</v>
      </c>
      <c r="P342" s="1931">
        <v>61013.27</v>
      </c>
      <c r="Q342" s="1933">
        <v>38039.31</v>
      </c>
      <c r="R342" s="3481"/>
    </row>
    <row r="343" spans="1:18" ht="12.75" customHeight="1">
      <c r="A343" s="1922">
        <f t="shared" ref="A343:A406" si="5">A331+1</f>
        <v>2020.1</v>
      </c>
      <c r="B343" s="1941">
        <v>55.523474199650636</v>
      </c>
      <c r="C343" s="1941">
        <v>54.525630004976712</v>
      </c>
      <c r="D343" s="1942">
        <v>56.403845085291984</v>
      </c>
      <c r="E343" s="3179">
        <v>56.232291187368311</v>
      </c>
      <c r="F343" s="1927">
        <v>38836.671535698821</v>
      </c>
      <c r="G343" s="1928">
        <v>21661.850968304243</v>
      </c>
      <c r="H343" s="1928">
        <v>14677.274596595442</v>
      </c>
      <c r="I343" s="1929">
        <v>2493.6994313901491</v>
      </c>
      <c r="J343" s="1923"/>
      <c r="K343" s="3712"/>
      <c r="L343" s="1924"/>
      <c r="M343" s="3177"/>
      <c r="N343" s="1930">
        <v>68833.850000000006</v>
      </c>
      <c r="O343" s="1931">
        <v>70464.91</v>
      </c>
      <c r="P343" s="1931">
        <v>62159.1</v>
      </c>
      <c r="Q343" s="1933">
        <v>39510.44</v>
      </c>
      <c r="R343" s="3481"/>
    </row>
    <row r="344" spans="1:18" ht="12.75" customHeight="1">
      <c r="A344" s="1922">
        <f t="shared" si="5"/>
        <v>2020.11</v>
      </c>
      <c r="B344" s="1941">
        <v>62.955386801589398</v>
      </c>
      <c r="C344" s="1941">
        <v>58.615572546713125</v>
      </c>
      <c r="D344" s="1942">
        <v>67.61312070530272</v>
      </c>
      <c r="E344" s="3179">
        <v>62.103342778033401</v>
      </c>
      <c r="F344" s="1927">
        <v>40243.120203407292</v>
      </c>
      <c r="G344" s="1928">
        <v>23019.128609354757</v>
      </c>
      <c r="H344" s="1928">
        <v>14677.274596595442</v>
      </c>
      <c r="I344" s="1929">
        <v>2536.3266106890424</v>
      </c>
      <c r="J344" s="1923"/>
      <c r="K344" s="3712"/>
      <c r="L344" s="1924"/>
      <c r="M344" s="3177"/>
      <c r="N344" s="1930">
        <v>72357.34</v>
      </c>
      <c r="O344" s="1931">
        <v>74161.33</v>
      </c>
      <c r="P344" s="1931">
        <v>65422.76</v>
      </c>
      <c r="Q344" s="1933">
        <v>41282.28</v>
      </c>
      <c r="R344" s="3481"/>
    </row>
    <row r="345" spans="1:18" ht="12.75" customHeight="1">
      <c r="A345" s="1922">
        <f t="shared" si="5"/>
        <v>2020.12</v>
      </c>
      <c r="B345" s="1941">
        <v>65.056162486536408</v>
      </c>
      <c r="C345" s="1941">
        <v>62.22775188888388</v>
      </c>
      <c r="D345" s="1942">
        <v>68.149321183160126</v>
      </c>
      <c r="E345" s="3179">
        <v>64.235261828074158</v>
      </c>
      <c r="F345" s="1927">
        <v>44600.043011409085</v>
      </c>
      <c r="G345" s="1928">
        <v>23730.099480164539</v>
      </c>
      <c r="H345" s="1928">
        <v>18346.727856943675</v>
      </c>
      <c r="I345" s="1929">
        <v>2542.2469242117231</v>
      </c>
      <c r="J345" s="1923"/>
      <c r="K345" s="3712"/>
      <c r="L345" s="1924"/>
      <c r="M345" s="3177"/>
      <c r="N345" s="1930">
        <v>84911.54</v>
      </c>
      <c r="O345" s="1931">
        <v>87799.46</v>
      </c>
      <c r="P345" s="1931">
        <v>75724.95</v>
      </c>
      <c r="Q345" s="1933">
        <v>47137.89</v>
      </c>
      <c r="R345" s="3481"/>
    </row>
    <row r="346" spans="1:18" ht="12.75" customHeight="1">
      <c r="A346" s="1922">
        <f t="shared" si="5"/>
        <v>2021.01</v>
      </c>
      <c r="B346" s="1941">
        <v>66.953286931021069</v>
      </c>
      <c r="C346" s="1941">
        <v>65.882459394652329</v>
      </c>
      <c r="D346" s="1942">
        <v>68.381767331592272</v>
      </c>
      <c r="E346" s="3179">
        <v>65.417867435158485</v>
      </c>
      <c r="F346" s="1927">
        <v>45850.645004636368</v>
      </c>
      <c r="G346" s="1928">
        <v>24905.106536491199</v>
      </c>
      <c r="H346" s="1928">
        <v>18346.727856943675</v>
      </c>
      <c r="I346" s="1929">
        <v>2611.6441392483225</v>
      </c>
      <c r="J346" s="1923"/>
      <c r="K346" s="3712"/>
      <c r="L346" s="1924"/>
      <c r="M346" s="3177"/>
      <c r="N346" s="1930">
        <v>86241.98</v>
      </c>
      <c r="O346" s="1931">
        <v>88968.18</v>
      </c>
      <c r="P346" s="1931">
        <v>76916.759999999995</v>
      </c>
      <c r="Q346" s="1933">
        <v>48268.46</v>
      </c>
      <c r="R346" s="3481"/>
    </row>
    <row r="347" spans="1:18" ht="12.75" customHeight="1">
      <c r="A347" s="1922">
        <f t="shared" si="5"/>
        <v>2021.02</v>
      </c>
      <c r="B347" s="1941">
        <v>70.432555234742011</v>
      </c>
      <c r="C347" s="1941">
        <v>68.894720173732097</v>
      </c>
      <c r="D347" s="1942">
        <v>72.039784408512503</v>
      </c>
      <c r="E347" s="3179">
        <v>70.339605582867136</v>
      </c>
      <c r="F347" s="1927">
        <v>47426.843723187354</v>
      </c>
      <c r="G347" s="1928">
        <v>26435.184055574035</v>
      </c>
      <c r="H347" s="1928">
        <v>18346.727856943675</v>
      </c>
      <c r="I347" s="1929">
        <v>2650.4973305729955</v>
      </c>
      <c r="J347" s="1923"/>
      <c r="K347" s="3712"/>
      <c r="L347" s="1924"/>
      <c r="M347" s="3177"/>
      <c r="N347" s="1930">
        <v>89099.42</v>
      </c>
      <c r="O347" s="1931">
        <v>92361.95</v>
      </c>
      <c r="P347" s="1931">
        <v>78470.42</v>
      </c>
      <c r="Q347" s="1933">
        <v>49949.88</v>
      </c>
      <c r="R347" s="3481"/>
    </row>
    <row r="348" spans="1:18" ht="12.75" customHeight="1">
      <c r="A348" s="1922">
        <f t="shared" si="5"/>
        <v>2021.03</v>
      </c>
      <c r="B348" s="1941">
        <v>72.13145913851001</v>
      </c>
      <c r="C348" s="1941">
        <v>71.644573134868594</v>
      </c>
      <c r="D348" s="1942">
        <v>72.527828712192743</v>
      </c>
      <c r="E348" s="3179">
        <v>72.630550779389537</v>
      </c>
      <c r="F348" s="1927">
        <v>49546.904130201074</v>
      </c>
      <c r="G348" s="1928">
        <v>27329.384274750464</v>
      </c>
      <c r="H348" s="1928">
        <v>19520.96982672708</v>
      </c>
      <c r="I348" s="1929">
        <v>2707.793248709278</v>
      </c>
      <c r="J348" s="1923"/>
      <c r="K348" s="3712"/>
      <c r="L348" s="1924"/>
      <c r="M348" s="3177"/>
      <c r="N348" s="1930">
        <v>92911.96</v>
      </c>
      <c r="O348" s="1931">
        <v>96872.38</v>
      </c>
      <c r="P348" s="1931">
        <v>81907.17</v>
      </c>
      <c r="Q348" s="1933">
        <v>52854.82</v>
      </c>
      <c r="R348" s="3481"/>
    </row>
    <row r="349" spans="1:18" ht="12.75" customHeight="1">
      <c r="A349" s="1922">
        <f t="shared" si="5"/>
        <v>2021.04</v>
      </c>
      <c r="B349" s="1941">
        <v>77.105980105536602</v>
      </c>
      <c r="C349" s="1941">
        <v>74.586255259467066</v>
      </c>
      <c r="D349" s="1942">
        <v>79.842936785760571</v>
      </c>
      <c r="E349" s="3179">
        <v>76.464130320716137</v>
      </c>
      <c r="F349" s="1927">
        <v>50884.242322953898</v>
      </c>
      <c r="G349" s="1928">
        <v>28629.687638396732</v>
      </c>
      <c r="H349" s="1928">
        <v>19520.96982672708</v>
      </c>
      <c r="I349" s="1929">
        <v>2738.7213626866669</v>
      </c>
      <c r="J349" s="1923"/>
      <c r="K349" s="3712"/>
      <c r="L349" s="1924"/>
      <c r="M349" s="3177"/>
      <c r="N349" s="1930">
        <v>93626.880000000005</v>
      </c>
      <c r="O349" s="1931">
        <v>97802.97</v>
      </c>
      <c r="P349" s="1931">
        <v>83227.11</v>
      </c>
      <c r="Q349" s="1933">
        <v>53776.49</v>
      </c>
      <c r="R349" s="3481"/>
    </row>
    <row r="350" spans="1:18" ht="12.75" customHeight="1">
      <c r="A350" s="1922">
        <f t="shared" si="5"/>
        <v>2021.05</v>
      </c>
      <c r="B350" s="1941">
        <v>79.213091606853553</v>
      </c>
      <c r="C350" s="1943">
        <v>77.651902456680119</v>
      </c>
      <c r="D350" s="1943">
        <v>80.703265359041296</v>
      </c>
      <c r="E350" s="1944">
        <v>79.78592013174142</v>
      </c>
      <c r="F350" s="1927">
        <v>54529.720995613548</v>
      </c>
      <c r="G350" s="1928">
        <v>29945.109851418762</v>
      </c>
      <c r="H350" s="1928">
        <v>21863.593699705682</v>
      </c>
      <c r="I350" s="1929">
        <v>2741.2474662211844</v>
      </c>
      <c r="J350" s="1923"/>
      <c r="K350" s="3712"/>
      <c r="L350" s="1924"/>
      <c r="M350" s="3177"/>
      <c r="N350" s="1930">
        <v>94783.85</v>
      </c>
      <c r="O350" s="1931">
        <v>98817.66</v>
      </c>
      <c r="P350" s="1931">
        <v>84768.74</v>
      </c>
      <c r="Q350" s="1933">
        <v>55032.25</v>
      </c>
      <c r="R350" s="3481"/>
    </row>
    <row r="351" spans="1:18" ht="12.75" customHeight="1">
      <c r="A351" s="1922">
        <f t="shared" si="5"/>
        <v>2021.06</v>
      </c>
      <c r="B351" s="1941">
        <v>80.808812215453969</v>
      </c>
      <c r="C351" s="1943">
        <v>80.456951545039161</v>
      </c>
      <c r="D351" s="1943">
        <v>81.125557963364244</v>
      </c>
      <c r="E351" s="1944">
        <v>81.030683166638397</v>
      </c>
      <c r="F351" s="1927">
        <v>55859.419676616053</v>
      </c>
      <c r="G351" s="1928">
        <v>30976.286860988494</v>
      </c>
      <c r="H351" s="1928">
        <v>21863.593699705682</v>
      </c>
      <c r="I351" s="1929">
        <v>3030.5855033497387</v>
      </c>
      <c r="J351" s="1923"/>
      <c r="K351" s="3712"/>
      <c r="L351" s="1924"/>
      <c r="M351" s="3177"/>
      <c r="N351" s="1930">
        <v>97206.399999999994</v>
      </c>
      <c r="O351" s="1931">
        <v>102128.55</v>
      </c>
      <c r="P351" s="1931">
        <v>87748.15</v>
      </c>
      <c r="Q351" s="1933">
        <v>57430.5</v>
      </c>
      <c r="R351" s="3481"/>
    </row>
    <row r="352" spans="1:18" ht="12.75" customHeight="1">
      <c r="A352" s="1922">
        <f t="shared" si="5"/>
        <v>2021.07</v>
      </c>
      <c r="B352" s="1941">
        <v>85.183240860584874</v>
      </c>
      <c r="C352" s="1943">
        <v>82.719992761163653</v>
      </c>
      <c r="D352" s="1943">
        <v>87.72851030727341</v>
      </c>
      <c r="E352" s="1944">
        <v>85.166170214483472</v>
      </c>
      <c r="F352" s="1927">
        <v>57142.31023318669</v>
      </c>
      <c r="G352" s="1928">
        <v>32122.248239724282</v>
      </c>
      <c r="H352" s="1928">
        <v>21863.593699705682</v>
      </c>
      <c r="I352" s="1929">
        <v>3160.4508384711648</v>
      </c>
      <c r="J352" s="1923"/>
      <c r="K352" s="3712"/>
      <c r="L352" s="1924"/>
      <c r="M352" s="3177"/>
      <c r="N352" s="1930">
        <v>103782.69</v>
      </c>
      <c r="O352" s="1931">
        <v>108322.06</v>
      </c>
      <c r="P352" s="1931">
        <v>93544.51</v>
      </c>
      <c r="Q352" s="1933">
        <v>61548.49</v>
      </c>
      <c r="R352" s="3481"/>
    </row>
    <row r="353" spans="1:18" ht="12.75" customHeight="1">
      <c r="A353" s="1922">
        <f t="shared" si="5"/>
        <v>2021.08</v>
      </c>
      <c r="B353" s="1941">
        <v>86.896626630341316</v>
      </c>
      <c r="C353" s="1943">
        <v>85.466226304121619</v>
      </c>
      <c r="D353" s="1943">
        <v>88.201737326591456</v>
      </c>
      <c r="E353" s="1944">
        <v>87.700094447000694</v>
      </c>
      <c r="F353" s="1927">
        <v>60332.187480384506</v>
      </c>
      <c r="G353" s="1928">
        <v>33310.82245622237</v>
      </c>
      <c r="H353" s="1928">
        <v>23814.04295895305</v>
      </c>
      <c r="I353" s="1929">
        <v>3222.486843867267</v>
      </c>
      <c r="J353" s="1923"/>
      <c r="K353" s="3712"/>
      <c r="L353" s="1924"/>
      <c r="M353" s="3177"/>
      <c r="N353" s="1930">
        <v>109228.16</v>
      </c>
      <c r="O353" s="1931">
        <v>114240.85</v>
      </c>
      <c r="P353" s="1931">
        <v>98353.42</v>
      </c>
      <c r="Q353" s="1933">
        <v>64769.15</v>
      </c>
      <c r="R353" s="3481"/>
    </row>
    <row r="354" spans="1:18" ht="12.75" customHeight="1">
      <c r="A354" s="1922">
        <f t="shared" si="5"/>
        <v>2021.09</v>
      </c>
      <c r="B354" s="1941">
        <v>89.644560701646412</v>
      </c>
      <c r="C354" s="1943">
        <v>87.678595665746741</v>
      </c>
      <c r="D354" s="1943">
        <v>91.590265044174004</v>
      </c>
      <c r="E354" s="1944">
        <v>90.031401609635196</v>
      </c>
      <c r="F354" s="1927">
        <v>61636.984711340614</v>
      </c>
      <c r="G354" s="1928">
        <v>34545.015974154987</v>
      </c>
      <c r="H354" s="1928">
        <v>23814.04295895305</v>
      </c>
      <c r="I354" s="1929">
        <v>3286.7224091575649</v>
      </c>
      <c r="J354" s="1923"/>
      <c r="K354" s="3712"/>
      <c r="L354" s="1924"/>
      <c r="M354" s="3177"/>
      <c r="N354" s="1930">
        <v>112901.01</v>
      </c>
      <c r="O354" s="1931">
        <v>118189.48</v>
      </c>
      <c r="P354" s="1931">
        <v>101608.63</v>
      </c>
      <c r="Q354" s="1933">
        <v>66769.75</v>
      </c>
      <c r="R354" s="3481"/>
    </row>
    <row r="355" spans="1:18" ht="12.75" customHeight="1">
      <c r="A355" s="1922">
        <f t="shared" si="5"/>
        <v>2021.1</v>
      </c>
      <c r="B355" s="1941">
        <v>93.382692359910592</v>
      </c>
      <c r="C355" s="1943">
        <v>90.732479753879559</v>
      </c>
      <c r="D355" s="1943">
        <v>96.119723657646617</v>
      </c>
      <c r="E355" s="1944">
        <v>93.371757925072032</v>
      </c>
      <c r="F355" s="1927">
        <v>63532.755993566592</v>
      </c>
      <c r="G355" s="1928">
        <v>35393.443543889989</v>
      </c>
      <c r="H355" s="1928">
        <v>24789.936107974139</v>
      </c>
      <c r="I355" s="1929">
        <v>3361.9507181429858</v>
      </c>
      <c r="J355" s="1923"/>
      <c r="K355" s="3712"/>
      <c r="L355" s="1924"/>
      <c r="M355" s="3177"/>
      <c r="N355" s="1930">
        <v>116469.62</v>
      </c>
      <c r="O355" s="1931">
        <v>121762.46</v>
      </c>
      <c r="P355" s="1931">
        <v>104792.78</v>
      </c>
      <c r="Q355" s="1933">
        <v>68668.179999999993</v>
      </c>
      <c r="R355" s="3481"/>
    </row>
    <row r="356" spans="1:18" ht="12.75" customHeight="1">
      <c r="A356" s="1922">
        <f t="shared" si="5"/>
        <v>2021.11</v>
      </c>
      <c r="B356" s="1941">
        <v>95.383905216187102</v>
      </c>
      <c r="C356" s="1943">
        <v>94.274985296113641</v>
      </c>
      <c r="D356" s="1943">
        <v>96.585542034783543</v>
      </c>
      <c r="E356" s="1944">
        <v>95.112165903825499</v>
      </c>
      <c r="F356" s="1927">
        <v>66715.495805458471</v>
      </c>
      <c r="G356" s="1928">
        <v>36705.020920573974</v>
      </c>
      <c r="H356" s="1928">
        <v>26156.278133039326</v>
      </c>
      <c r="I356" s="1929">
        <v>3865.0085938769107</v>
      </c>
      <c r="J356" s="1923"/>
      <c r="K356" s="3712"/>
      <c r="L356" s="1924"/>
      <c r="M356" s="3177"/>
      <c r="N356" s="1930">
        <v>122348.75</v>
      </c>
      <c r="O356" s="1931">
        <v>127786.53</v>
      </c>
      <c r="P356" s="1931">
        <v>110292.66</v>
      </c>
      <c r="Q356" s="1933">
        <v>72066.87</v>
      </c>
      <c r="R356" s="3481"/>
    </row>
    <row r="357" spans="1:18" ht="12.75" customHeight="1">
      <c r="A357" s="1922">
        <f t="shared" si="5"/>
        <v>2021.12</v>
      </c>
      <c r="B357" s="1941">
        <v>96.89092439560838</v>
      </c>
      <c r="C357" s="1943">
        <v>96.655657603040297</v>
      </c>
      <c r="D357" s="1943">
        <v>97.131003315367352</v>
      </c>
      <c r="E357" s="1944">
        <v>96.899393763268989</v>
      </c>
      <c r="F357" s="1927">
        <v>67759.670020736667</v>
      </c>
      <c r="G357" s="1928">
        <v>37692.280957123454</v>
      </c>
      <c r="H357" s="1928">
        <v>26156.277980548584</v>
      </c>
      <c r="I357" s="1929">
        <v>3916.8216718009999</v>
      </c>
      <c r="J357" s="1923"/>
      <c r="K357" s="3712"/>
      <c r="L357" s="1924"/>
      <c r="M357" s="3177"/>
      <c r="N357" s="1930">
        <v>125332.56</v>
      </c>
      <c r="O357" s="1931">
        <v>130539.87</v>
      </c>
      <c r="P357" s="1931">
        <v>113315.3</v>
      </c>
      <c r="Q357" s="1933">
        <v>74457.16</v>
      </c>
      <c r="R357" s="3481"/>
    </row>
    <row r="358" spans="1:18" ht="12.75" customHeight="1">
      <c r="A358" s="1922">
        <f t="shared" si="5"/>
        <v>2022.01</v>
      </c>
      <c r="B358" s="1941">
        <v>100</v>
      </c>
      <c r="C358" s="1943">
        <v>100</v>
      </c>
      <c r="D358" s="1943">
        <v>100</v>
      </c>
      <c r="E358" s="1944">
        <v>100</v>
      </c>
      <c r="F358" s="1934">
        <v>68796.421756707088</v>
      </c>
      <c r="G358" s="3715">
        <v>38618.19110621095</v>
      </c>
      <c r="H358" s="1935">
        <v>26156.278133039323</v>
      </c>
      <c r="I358" s="2461">
        <v>4021.9526644615948</v>
      </c>
      <c r="J358" s="1936">
        <v>69366.241381844913</v>
      </c>
      <c r="K358" s="3715">
        <v>38759.997206909225</v>
      </c>
      <c r="L358" s="1935">
        <v>26156.278133039323</v>
      </c>
      <c r="M358" s="3182">
        <v>4449.9660418963613</v>
      </c>
      <c r="N358" s="1930">
        <v>128674.58</v>
      </c>
      <c r="O358" s="1931">
        <v>134310.03</v>
      </c>
      <c r="P358" s="1931">
        <v>116299.07</v>
      </c>
      <c r="Q358" s="1933">
        <v>75809.87</v>
      </c>
      <c r="R358" s="3481"/>
    </row>
    <row r="359" spans="1:18" ht="12.75" customHeight="1">
      <c r="A359" s="1922">
        <f t="shared" si="5"/>
        <v>2022.02</v>
      </c>
      <c r="B359" s="1941">
        <v>103.80963587158207</v>
      </c>
      <c r="C359" s="1943">
        <v>103.46197348776185</v>
      </c>
      <c r="D359" s="1943">
        <v>104.20903483913986</v>
      </c>
      <c r="E359" s="1944">
        <v>103.62208283889926</v>
      </c>
      <c r="F359" s="1930">
        <v>71325.981918412348</v>
      </c>
      <c r="G359" s="1931">
        <v>39782.85953693495</v>
      </c>
      <c r="H359" s="1931">
        <v>27435.788460124953</v>
      </c>
      <c r="I359" s="1932">
        <v>4107.3339213524441</v>
      </c>
      <c r="J359" s="1930">
        <v>72099.829915472248</v>
      </c>
      <c r="K359" s="1931">
        <v>40143.672326350606</v>
      </c>
      <c r="L359" s="1931">
        <v>27435.788460124953</v>
      </c>
      <c r="M359" s="1932">
        <v>4520.3691289966919</v>
      </c>
      <c r="N359" s="1930">
        <v>132190.75</v>
      </c>
      <c r="O359" s="1931">
        <v>138339.70000000001</v>
      </c>
      <c r="P359" s="1931">
        <v>119884.36</v>
      </c>
      <c r="Q359" s="1933">
        <v>78028.13</v>
      </c>
      <c r="R359" s="3481"/>
    </row>
    <row r="360" spans="1:18" ht="12.75" customHeight="1">
      <c r="A360" s="1922">
        <f t="shared" si="5"/>
        <v>2022.03</v>
      </c>
      <c r="B360" s="1941">
        <v>108.95703411384557</v>
      </c>
      <c r="C360" s="1943">
        <v>107.61073157489935</v>
      </c>
      <c r="D360" s="1943">
        <v>110.38876849845344</v>
      </c>
      <c r="E360" s="1944">
        <v>108.74966701377957</v>
      </c>
      <c r="F360" s="1930">
        <v>74208.54818081588</v>
      </c>
      <c r="G360" s="1931">
        <v>41114.932304299888</v>
      </c>
      <c r="H360" s="1931">
        <v>28978.84057331863</v>
      </c>
      <c r="I360" s="1932">
        <v>4114.7754502021307</v>
      </c>
      <c r="J360" s="1930">
        <v>74775.250569643511</v>
      </c>
      <c r="K360" s="1931">
        <v>41261.11723631018</v>
      </c>
      <c r="L360" s="1931">
        <v>28978.84057331863</v>
      </c>
      <c r="M360" s="1932">
        <v>4535.2929070194778</v>
      </c>
      <c r="N360" s="1930">
        <v>138909.85</v>
      </c>
      <c r="O360" s="1931">
        <v>144626.5</v>
      </c>
      <c r="P360" s="1931">
        <v>125463.4</v>
      </c>
      <c r="Q360" s="1933">
        <v>81375.789999999994</v>
      </c>
      <c r="R360" s="3481"/>
    </row>
    <row r="361" spans="1:18" ht="12.75" customHeight="1">
      <c r="A361" s="1922">
        <f t="shared" si="5"/>
        <v>2022.04</v>
      </c>
      <c r="B361" s="1941">
        <v>111.47778391245711</v>
      </c>
      <c r="C361" s="1943">
        <v>112.46618106139439</v>
      </c>
      <c r="D361" s="1943">
        <v>110.43692467263064</v>
      </c>
      <c r="E361" s="1944">
        <v>111.57581188094834</v>
      </c>
      <c r="F361" s="1930">
        <v>75838.240499816238</v>
      </c>
      <c r="G361" s="1931">
        <v>42538.427342888637</v>
      </c>
      <c r="H361" s="1931">
        <v>28978.84057331863</v>
      </c>
      <c r="I361" s="1932">
        <v>4320.9725836089665</v>
      </c>
      <c r="J361" s="1930">
        <v>77295.283057699373</v>
      </c>
      <c r="K361" s="1931">
        <v>43548.174200661517</v>
      </c>
      <c r="L361" s="1931">
        <v>28978.84057331863</v>
      </c>
      <c r="M361" s="1932">
        <v>4768.2682837192206</v>
      </c>
      <c r="N361" s="1930">
        <v>145086.04999999999</v>
      </c>
      <c r="O361" s="1931">
        <v>151577.54</v>
      </c>
      <c r="P361" s="1931">
        <v>131563.72</v>
      </c>
      <c r="Q361" s="1933">
        <v>85635.58</v>
      </c>
      <c r="R361" s="3481"/>
    </row>
    <row r="362" spans="1:18" ht="12.75" customHeight="1">
      <c r="A362" s="1922">
        <f t="shared" si="5"/>
        <v>2022.05</v>
      </c>
      <c r="B362" s="1941">
        <v>118.87711231592189</v>
      </c>
      <c r="C362" s="1943">
        <v>117.43292765687917</v>
      </c>
      <c r="D362" s="1943">
        <v>120.53583004574838</v>
      </c>
      <c r="E362" s="1944">
        <v>118.08377529686226</v>
      </c>
      <c r="F362" s="1930">
        <v>81068.43586916574</v>
      </c>
      <c r="G362" s="1931">
        <v>44189.72333700845</v>
      </c>
      <c r="H362" s="1931">
        <v>31876.669753766993</v>
      </c>
      <c r="I362" s="1932">
        <v>5002.0426313855196</v>
      </c>
      <c r="J362" s="1930">
        <v>83299.686732818809</v>
      </c>
      <c r="K362" s="1931">
        <v>45906.221242190368</v>
      </c>
      <c r="L362" s="1931">
        <v>31876.669753766993</v>
      </c>
      <c r="M362" s="1932">
        <v>5516.7958838662253</v>
      </c>
      <c r="N362" s="1930">
        <v>151074.16</v>
      </c>
      <c r="O362" s="1931">
        <v>158009.51</v>
      </c>
      <c r="P362" s="1931">
        <v>137329.4</v>
      </c>
      <c r="Q362" s="1933">
        <v>89131.27</v>
      </c>
      <c r="R362" s="3481"/>
    </row>
    <row r="363" spans="1:18" ht="12.75" customHeight="1">
      <c r="A363" s="1922">
        <f t="shared" si="5"/>
        <v>2022.06</v>
      </c>
      <c r="B363" s="1941">
        <v>126.70999158241538</v>
      </c>
      <c r="C363" s="1943">
        <v>123.56603176039454</v>
      </c>
      <c r="D363" s="1943">
        <v>130.22540793836012</v>
      </c>
      <c r="E363" s="1944">
        <v>125.42884588994099</v>
      </c>
      <c r="F363" s="1930">
        <v>86477.042263873562</v>
      </c>
      <c r="G363" s="1931">
        <v>46605.941933112823</v>
      </c>
      <c r="H363" s="1931">
        <v>34774.660492465999</v>
      </c>
      <c r="I363" s="1932">
        <v>5096.4396912899665</v>
      </c>
      <c r="J363" s="1930">
        <v>88332.001029033432</v>
      </c>
      <c r="K363" s="1931">
        <v>47962.162734288861</v>
      </c>
      <c r="L363" s="1931">
        <v>34774.660492465999</v>
      </c>
      <c r="M363" s="1932">
        <v>5595.1778022785729</v>
      </c>
      <c r="N363" s="1930">
        <v>164510.78</v>
      </c>
      <c r="O363" s="1931">
        <v>171695.41</v>
      </c>
      <c r="P363" s="1931">
        <v>148812.87</v>
      </c>
      <c r="Q363" s="1933">
        <v>96615.65</v>
      </c>
      <c r="R363" s="3481"/>
    </row>
    <row r="364" spans="1:18" ht="12.75" customHeight="1">
      <c r="A364" s="1922">
        <f t="shared" si="5"/>
        <v>2022.07</v>
      </c>
      <c r="B364" s="1941">
        <v>135.48328702153273</v>
      </c>
      <c r="C364" s="1943">
        <v>138.76125412839889</v>
      </c>
      <c r="D364" s="1943">
        <v>132.82213702283718</v>
      </c>
      <c r="E364" s="1944">
        <v>132.07242551199153</v>
      </c>
      <c r="F364" s="1930">
        <v>92962.667548695317</v>
      </c>
      <c r="G364" s="1931">
        <v>52901.326865123112</v>
      </c>
      <c r="H364" s="1931">
        <v>34774.660492465999</v>
      </c>
      <c r="I364" s="1932">
        <v>5286.6801911062103</v>
      </c>
      <c r="J364" s="1930">
        <v>94172.596398382942</v>
      </c>
      <c r="K364" s="1931">
        <v>53714.54421168688</v>
      </c>
      <c r="L364" s="1931">
        <v>34774.660492465999</v>
      </c>
      <c r="M364" s="1932">
        <v>5683.3916942300611</v>
      </c>
      <c r="N364" s="1930">
        <v>175144.15</v>
      </c>
      <c r="O364" s="1931">
        <v>181917.89</v>
      </c>
      <c r="P364" s="1931">
        <v>158066.98000000001</v>
      </c>
      <c r="Q364" s="1933">
        <v>102067.99</v>
      </c>
      <c r="R364" s="3481"/>
    </row>
    <row r="365" spans="1:18" ht="12.75" customHeight="1">
      <c r="A365" s="1922">
        <f t="shared" si="5"/>
        <v>2022.08</v>
      </c>
      <c r="B365" s="1941">
        <v>145.61063693056852</v>
      </c>
      <c r="C365" s="1943">
        <v>151.11885264443745</v>
      </c>
      <c r="D365" s="1943">
        <v>141.25131966438857</v>
      </c>
      <c r="E365" s="1944">
        <v>139.3448445660685</v>
      </c>
      <c r="F365" s="1930">
        <v>99691.832120543913</v>
      </c>
      <c r="G365" s="1931">
        <v>57105.102241822853</v>
      </c>
      <c r="H365" s="1931">
        <v>37096.246527012125</v>
      </c>
      <c r="I365" s="1932">
        <v>5490.4834987137083</v>
      </c>
      <c r="J365" s="1930">
        <v>100661.25806688717</v>
      </c>
      <c r="K365" s="1931">
        <v>57783.029768467473</v>
      </c>
      <c r="L365" s="1931">
        <v>37096.246527012125</v>
      </c>
      <c r="M365" s="1932">
        <v>5781.9817714075698</v>
      </c>
      <c r="N365" s="1930">
        <v>190089.57</v>
      </c>
      <c r="O365" s="1931">
        <v>196451.36</v>
      </c>
      <c r="P365" s="1931">
        <v>171821.73</v>
      </c>
      <c r="Q365" s="1933">
        <v>110012.97</v>
      </c>
      <c r="R365" s="3481"/>
    </row>
    <row r="366" spans="1:18" ht="12.75" customHeight="1">
      <c r="A366" s="1922">
        <f t="shared" si="5"/>
        <v>2022.09</v>
      </c>
      <c r="B366" s="1941">
        <v>156.44216757329184</v>
      </c>
      <c r="C366" s="1943">
        <v>160.06424467266891</v>
      </c>
      <c r="D366" s="1943">
        <v>154.30256894667639</v>
      </c>
      <c r="E366" s="1944">
        <v>148.88560611564509</v>
      </c>
      <c r="F366" s="1930">
        <v>106123.86887173832</v>
      </c>
      <c r="G366" s="1931">
        <v>59433.564424843804</v>
      </c>
      <c r="H366" s="1931">
        <v>40860.154355016537</v>
      </c>
      <c r="I366" s="1932">
        <v>5830.150238882763</v>
      </c>
      <c r="J366" s="1930">
        <v>108228.52995222344</v>
      </c>
      <c r="K366" s="1931">
        <v>61447.490775450198</v>
      </c>
      <c r="L366" s="1931">
        <v>40860.154355016537</v>
      </c>
      <c r="M366" s="1932">
        <v>5920.8848217567065</v>
      </c>
      <c r="N366" s="1930">
        <v>200707.5</v>
      </c>
      <c r="O366" s="1931">
        <v>207883.94</v>
      </c>
      <c r="P366" s="1931">
        <v>180531.28</v>
      </c>
      <c r="Q366" s="1933">
        <v>117380.28</v>
      </c>
      <c r="R366" s="3481"/>
    </row>
    <row r="367" spans="1:18" ht="12.75" customHeight="1">
      <c r="A367" s="1922">
        <f t="shared" si="5"/>
        <v>2022.1</v>
      </c>
      <c r="B367" s="1941">
        <v>167.8393961061883</v>
      </c>
      <c r="C367" s="1943">
        <v>169.53264262769767</v>
      </c>
      <c r="D367" s="1943">
        <v>167.86131021836982</v>
      </c>
      <c r="E367" s="1944">
        <v>159.47577878413611</v>
      </c>
      <c r="F367" s="1930">
        <v>113371.33950753399</v>
      </c>
      <c r="G367" s="1931">
        <v>61404.487320837921</v>
      </c>
      <c r="H367" s="1931">
        <v>44627.383461962505</v>
      </c>
      <c r="I367" s="1932">
        <v>7339.4688717383306</v>
      </c>
      <c r="J367" s="1930">
        <v>117066.00793825799</v>
      </c>
      <c r="K367" s="1931">
        <v>64910.83660418963</v>
      </c>
      <c r="L367" s="1931">
        <v>44627.383461962505</v>
      </c>
      <c r="M367" s="1932">
        <v>7527.7880191106206</v>
      </c>
      <c r="N367" s="1930">
        <v>213877.23</v>
      </c>
      <c r="O367" s="1931">
        <v>220963.65</v>
      </c>
      <c r="P367" s="1931">
        <v>192178.14</v>
      </c>
      <c r="Q367" s="1933">
        <v>124562.47</v>
      </c>
      <c r="R367" s="3481"/>
    </row>
    <row r="368" spans="1:18" ht="12.75" customHeight="1">
      <c r="A368" s="1922">
        <f t="shared" si="5"/>
        <v>2022.11</v>
      </c>
      <c r="B368" s="1941">
        <v>179.13706181041428</v>
      </c>
      <c r="C368" s="1943">
        <v>178.97479980093206</v>
      </c>
      <c r="D368" s="1943">
        <v>181.37467355670398</v>
      </c>
      <c r="E368" s="1944">
        <v>169.34185778057619</v>
      </c>
      <c r="F368" s="1930">
        <v>120543.24968761484</v>
      </c>
      <c r="G368" s="1931">
        <v>64766.56846747519</v>
      </c>
      <c r="H368" s="1931">
        <v>48104.907313487682</v>
      </c>
      <c r="I368" s="1932">
        <v>7671.7739066519653</v>
      </c>
      <c r="J368" s="1930">
        <v>124856.18993017272</v>
      </c>
      <c r="K368" s="1931">
        <v>69061.123116501287</v>
      </c>
      <c r="L368" s="1931">
        <v>48104.907313487682</v>
      </c>
      <c r="M368" s="1932">
        <v>7690.1593531789777</v>
      </c>
      <c r="N368" s="1930">
        <v>227856.91</v>
      </c>
      <c r="O368" s="1931">
        <v>235707.24</v>
      </c>
      <c r="P368" s="1931">
        <v>204020.72</v>
      </c>
      <c r="Q368" s="1933">
        <v>132397.17000000001</v>
      </c>
      <c r="R368" s="3481"/>
    </row>
    <row r="369" spans="1:18" ht="12.75" customHeight="1">
      <c r="A369" s="1922">
        <f t="shared" si="5"/>
        <v>2022.12</v>
      </c>
      <c r="B369" s="1941">
        <v>186.86585266511594</v>
      </c>
      <c r="C369" s="1943">
        <v>187.78446364746873</v>
      </c>
      <c r="D369" s="1943">
        <v>187.84982682298912</v>
      </c>
      <c r="E369" s="1944">
        <v>177.73230329595813</v>
      </c>
      <c r="F369" s="1930">
        <v>126193.01359794193</v>
      </c>
      <c r="G369" s="1931">
        <v>68013.19500183755</v>
      </c>
      <c r="H369" s="1931">
        <v>50423.204557148107</v>
      </c>
      <c r="I369" s="1932">
        <v>7756.6141859610434</v>
      </c>
      <c r="J369" s="1930">
        <v>130515.82976846746</v>
      </c>
      <c r="K369" s="1931">
        <v>71979.471811833879</v>
      </c>
      <c r="L369" s="1931">
        <v>50423.204557148107</v>
      </c>
      <c r="M369" s="1932">
        <v>8113.1535464902609</v>
      </c>
      <c r="N369" s="1930">
        <v>247986.05</v>
      </c>
      <c r="O369" s="1931">
        <v>254702.8</v>
      </c>
      <c r="P369" s="1931">
        <v>222090.15</v>
      </c>
      <c r="Q369" s="1933">
        <v>142445.35999999999</v>
      </c>
      <c r="R369" s="3481"/>
    </row>
    <row r="370" spans="1:18" ht="12.75" customHeight="1">
      <c r="A370" s="1922">
        <f t="shared" si="5"/>
        <v>2023.01</v>
      </c>
      <c r="B370" s="1941">
        <v>199.35012626376914</v>
      </c>
      <c r="C370" s="1943">
        <v>198.34864045604672</v>
      </c>
      <c r="D370" s="1943">
        <v>202.35872645440915</v>
      </c>
      <c r="E370" s="1944">
        <v>190.0047627120012</v>
      </c>
      <c r="F370" s="1930">
        <v>134625.48401323042</v>
      </c>
      <c r="G370" s="1931">
        <v>72486.153031973532</v>
      </c>
      <c r="H370" s="1931">
        <v>54190.433664094082</v>
      </c>
      <c r="I370" s="1932">
        <v>7948.8973171628068</v>
      </c>
      <c r="J370" s="1930">
        <v>136898.00882028666</v>
      </c>
      <c r="K370" s="1931">
        <v>74353.945755237044</v>
      </c>
      <c r="L370" s="1931">
        <v>54190.433664094082</v>
      </c>
      <c r="M370" s="1932">
        <v>8353.6294009555313</v>
      </c>
      <c r="N370" s="1930">
        <v>261023.37</v>
      </c>
      <c r="O370" s="1931">
        <v>268684.84999999998</v>
      </c>
      <c r="P370" s="1931">
        <v>234000.57</v>
      </c>
      <c r="Q370" s="1933">
        <v>149567.29999999999</v>
      </c>
      <c r="R370" s="3481"/>
    </row>
    <row r="371" spans="1:18" ht="12.75" customHeight="1">
      <c r="A371" s="1922">
        <f t="shared" si="5"/>
        <v>2023.02</v>
      </c>
      <c r="B371" s="1941">
        <v>211.37007503416822</v>
      </c>
      <c r="C371" s="1943">
        <v>208.55449486495053</v>
      </c>
      <c r="D371" s="1943">
        <v>216.65740586394037</v>
      </c>
      <c r="E371" s="1944">
        <v>200.09929043663573</v>
      </c>
      <c r="F371" s="1930">
        <v>141735.08195516351</v>
      </c>
      <c r="G371" s="1931">
        <v>75583.510621095178</v>
      </c>
      <c r="H371" s="1931">
        <v>57957.630282984188</v>
      </c>
      <c r="I371" s="1932">
        <v>8193.941051084159</v>
      </c>
      <c r="J371" s="1930">
        <v>143824.64564498345</v>
      </c>
      <c r="K371" s="1931">
        <v>77364.76957001102</v>
      </c>
      <c r="L371" s="1931">
        <v>57958.552296949645</v>
      </c>
      <c r="M371" s="1932">
        <v>8501.3239250275637</v>
      </c>
      <c r="N371" s="1930">
        <v>274895.96999999997</v>
      </c>
      <c r="O371" s="1931">
        <v>283014.94</v>
      </c>
      <c r="P371" s="1931">
        <v>247221.4</v>
      </c>
      <c r="Q371" s="1933">
        <v>157346.9</v>
      </c>
      <c r="R371" s="3481"/>
    </row>
    <row r="372" spans="1:18" ht="12.75" customHeight="1">
      <c r="A372" s="1922">
        <f t="shared" si="5"/>
        <v>2023.03</v>
      </c>
      <c r="B372" s="1941">
        <v>221.31459138510004</v>
      </c>
      <c r="C372" s="1943">
        <v>220.12125050898072</v>
      </c>
      <c r="D372" s="1943">
        <v>225.34496490155774</v>
      </c>
      <c r="E372" s="1944">
        <v>208.07077874377416</v>
      </c>
      <c r="F372" s="1930">
        <v>148499.80477765528</v>
      </c>
      <c r="G372" s="1931">
        <v>79133.597353913996</v>
      </c>
      <c r="H372" s="1931">
        <v>59405.228077912529</v>
      </c>
      <c r="I372" s="1932">
        <v>9960.9793458287386</v>
      </c>
      <c r="J372" s="1930">
        <v>150608.7926497611</v>
      </c>
      <c r="K372" s="1931">
        <v>81110.575964718839</v>
      </c>
      <c r="L372" s="1931">
        <v>59405.228077912529</v>
      </c>
      <c r="M372" s="1932">
        <v>10092.988754134509</v>
      </c>
      <c r="N372" s="1930">
        <v>295690.05</v>
      </c>
      <c r="O372" s="1931">
        <v>304302.03999999998</v>
      </c>
      <c r="P372" s="1931">
        <v>267790.81</v>
      </c>
      <c r="Q372" s="1933">
        <v>168246.8</v>
      </c>
      <c r="R372" s="3481"/>
    </row>
    <row r="373" spans="1:18" ht="12.75" customHeight="1">
      <c r="A373" s="1922">
        <f t="shared" si="5"/>
        <v>2023.04</v>
      </c>
      <c r="B373" s="1941">
        <v>239.20693681380854</v>
      </c>
      <c r="C373" s="1943">
        <v>235.71370402207847</v>
      </c>
      <c r="D373" s="1943">
        <v>244.52964382952723</v>
      </c>
      <c r="E373" s="1944">
        <v>231.08436458156748</v>
      </c>
      <c r="F373" s="1930">
        <v>158949.49797868429</v>
      </c>
      <c r="G373" s="1931">
        <v>83349.747151782416</v>
      </c>
      <c r="H373" s="1931">
        <v>65347.429621462696</v>
      </c>
      <c r="I373" s="1932">
        <v>10252.321352443954</v>
      </c>
      <c r="J373" s="1930">
        <v>161281.12590959205</v>
      </c>
      <c r="K373" s="1931">
        <v>85609.203969128983</v>
      </c>
      <c r="L373" s="1931">
        <v>65347.429621462696</v>
      </c>
      <c r="M373" s="1932">
        <v>10324.492319000366</v>
      </c>
      <c r="N373" s="1930">
        <v>314371.73</v>
      </c>
      <c r="O373" s="1931">
        <v>323250.71999999997</v>
      </c>
      <c r="P373" s="1931">
        <v>284514</v>
      </c>
      <c r="Q373" s="1933">
        <v>178817.24</v>
      </c>
      <c r="R373" s="3481"/>
    </row>
    <row r="374" spans="1:18" ht="12.75" customHeight="1">
      <c r="A374" s="1922">
        <f t="shared" si="5"/>
        <v>2023.05</v>
      </c>
      <c r="B374" s="1941">
        <v>257.81975507544161</v>
      </c>
      <c r="C374" s="1943">
        <v>254.06867845993759</v>
      </c>
      <c r="D374" s="1943">
        <v>263.8819432868442</v>
      </c>
      <c r="E374" s="1944">
        <v>247.45921423324373</v>
      </c>
      <c r="F374" s="1930">
        <v>169233.90121278941</v>
      </c>
      <c r="G374" s="1931">
        <v>88278.671664829089</v>
      </c>
      <c r="H374" s="1931">
        <v>70099.900036751191</v>
      </c>
      <c r="I374" s="1932">
        <v>10855.329511209115</v>
      </c>
      <c r="J374" s="1930">
        <v>174083.29952223445</v>
      </c>
      <c r="K374" s="1931">
        <v>93436.106725468577</v>
      </c>
      <c r="L374" s="1931">
        <v>70099.900036751191</v>
      </c>
      <c r="M374" s="1932">
        <v>10547.292907019477</v>
      </c>
      <c r="N374" s="1930">
        <v>336357.68</v>
      </c>
      <c r="O374" s="1931">
        <v>345037.47</v>
      </c>
      <c r="P374" s="1931">
        <v>306337.27</v>
      </c>
      <c r="Q374" s="1933">
        <v>191414.42</v>
      </c>
      <c r="R374" s="3481"/>
    </row>
    <row r="375" spans="1:18" ht="12.75" customHeight="1">
      <c r="A375" s="1922">
        <f t="shared" si="5"/>
        <v>2023.06</v>
      </c>
      <c r="B375" s="1941">
        <v>272.8455961550647</v>
      </c>
      <c r="C375" s="1943">
        <v>272.17753246165682</v>
      </c>
      <c r="D375" s="1943">
        <v>273.52336500527872</v>
      </c>
      <c r="E375" s="1944">
        <v>272.89451803776268</v>
      </c>
      <c r="F375" s="1930">
        <v>177375.69790518191</v>
      </c>
      <c r="G375" s="1931">
        <v>93984.288717383315</v>
      </c>
      <c r="H375" s="1931">
        <v>72476.056743844165</v>
      </c>
      <c r="I375" s="1932">
        <v>10915.352590959204</v>
      </c>
      <c r="J375" s="1930">
        <v>182390.29077545018</v>
      </c>
      <c r="K375" s="1931">
        <v>99156.074237412715</v>
      </c>
      <c r="L375" s="1931">
        <v>72475.86152149945</v>
      </c>
      <c r="M375" s="1932">
        <v>10758.354869533259</v>
      </c>
      <c r="N375" s="1930">
        <v>356088.08</v>
      </c>
      <c r="O375" s="1931">
        <v>364832.58</v>
      </c>
      <c r="P375" s="1931">
        <v>325558.77</v>
      </c>
      <c r="Q375" s="1933">
        <v>203266.57</v>
      </c>
      <c r="R375" s="3481"/>
    </row>
    <row r="376" spans="1:18" ht="12.75" customHeight="1">
      <c r="A376" s="1922">
        <f t="shared" si="5"/>
        <v>2023.07</v>
      </c>
      <c r="B376" s="1941">
        <v>295.71155743417546</v>
      </c>
      <c r="C376" s="1943">
        <v>291.68981586210015</v>
      </c>
      <c r="D376" s="1943">
        <v>300.22596358652373</v>
      </c>
      <c r="E376" s="1944">
        <v>293.99252496387606</v>
      </c>
      <c r="F376" s="1930">
        <v>193647.01212789415</v>
      </c>
      <c r="G376" s="1931">
        <v>100156.04072032341</v>
      </c>
      <c r="H376" s="1931">
        <v>79723.777140757069</v>
      </c>
      <c r="I376" s="1932">
        <v>13767.194266813671</v>
      </c>
      <c r="J376" s="1930">
        <v>198384.48629180447</v>
      </c>
      <c r="K376" s="1931">
        <v>105446.65270121278</v>
      </c>
      <c r="L376" s="1931">
        <v>79723.777140757069</v>
      </c>
      <c r="M376" s="1932">
        <v>13214.056302829842</v>
      </c>
      <c r="N376" s="1930">
        <v>382374.39</v>
      </c>
      <c r="O376" s="1931">
        <v>389851.87</v>
      </c>
      <c r="P376" s="1931">
        <v>348997.4</v>
      </c>
      <c r="Q376" s="1933">
        <v>215475.63</v>
      </c>
      <c r="R376" s="3481"/>
    </row>
    <row r="377" spans="1:18" ht="12.75" customHeight="1">
      <c r="A377" s="1922">
        <f t="shared" si="5"/>
        <v>2023.08</v>
      </c>
      <c r="B377" s="1941">
        <v>339.43864666962344</v>
      </c>
      <c r="C377" s="1943">
        <v>356.49730805772975</v>
      </c>
      <c r="D377" s="1943">
        <v>325.33385193828605</v>
      </c>
      <c r="E377" s="1944">
        <v>322.89249993945702</v>
      </c>
      <c r="F377" s="1930">
        <v>217366.27151782429</v>
      </c>
      <c r="G377" s="1931">
        <v>116257.97412715913</v>
      </c>
      <c r="H377" s="1931">
        <v>86908.310033076064</v>
      </c>
      <c r="I377" s="1932">
        <v>14199.987504593899</v>
      </c>
      <c r="J377" s="1930">
        <v>222589.56413083422</v>
      </c>
      <c r="K377" s="1931">
        <v>122143.60529217198</v>
      </c>
      <c r="L377" s="1931">
        <v>86908.310033076064</v>
      </c>
      <c r="M377" s="1932">
        <v>13537.648805586181</v>
      </c>
      <c r="N377" s="1930">
        <v>414233.8</v>
      </c>
      <c r="O377" s="1931">
        <v>422593.08</v>
      </c>
      <c r="P377" s="1931">
        <v>378353.15</v>
      </c>
      <c r="Q377" s="1933">
        <v>233136.15</v>
      </c>
      <c r="R377" s="3481"/>
    </row>
    <row r="378" spans="1:18" ht="12.75" customHeight="1">
      <c r="A378" s="1922">
        <f t="shared" si="5"/>
        <v>2023.09</v>
      </c>
      <c r="B378" s="1941">
        <v>389.21372518849063</v>
      </c>
      <c r="C378" s="1943">
        <v>390.77048364475411</v>
      </c>
      <c r="D378" s="1943">
        <v>392.36724639291742</v>
      </c>
      <c r="E378" s="1944">
        <v>366.70379967548979</v>
      </c>
      <c r="F378" s="1930">
        <v>239298.61286291803</v>
      </c>
      <c r="G378" s="1931">
        <v>130533.0209481808</v>
      </c>
      <c r="H378" s="1931">
        <v>93850.899081220137</v>
      </c>
      <c r="I378" s="1932">
        <v>14914.692833517087</v>
      </c>
      <c r="J378" s="1930">
        <v>246418.29489158397</v>
      </c>
      <c r="K378" s="1931">
        <v>138612.5256890849</v>
      </c>
      <c r="L378" s="1931">
        <v>93850.899081220137</v>
      </c>
      <c r="M378" s="1932">
        <v>13954.87012127894</v>
      </c>
      <c r="N378" s="1930">
        <v>468821.77</v>
      </c>
      <c r="O378" s="1931">
        <v>478012.48</v>
      </c>
      <c r="P378" s="1931">
        <v>426633.57</v>
      </c>
      <c r="Q378" s="1933">
        <v>266117.51</v>
      </c>
      <c r="R378" s="3481"/>
    </row>
    <row r="379" spans="1:18" ht="12.75" customHeight="1">
      <c r="A379" s="1922">
        <f t="shared" si="5"/>
        <v>2023.1</v>
      </c>
      <c r="B379" s="1941">
        <v>416.98632368780727</v>
      </c>
      <c r="C379" s="1943">
        <v>445.99828077636516</v>
      </c>
      <c r="D379" s="1943">
        <v>392.61543590598444</v>
      </c>
      <c r="E379" s="1944">
        <v>390.66185552030612</v>
      </c>
      <c r="F379" s="1930">
        <v>272228.15141492098</v>
      </c>
      <c r="G379" s="1931">
        <v>147101.63836824693</v>
      </c>
      <c r="H379" s="1931">
        <v>105113.00301359793</v>
      </c>
      <c r="I379" s="1932">
        <v>20013.510033076072</v>
      </c>
      <c r="J379" s="1930">
        <v>278813.64307239983</v>
      </c>
      <c r="K379" s="1931">
        <v>155521.02065417124</v>
      </c>
      <c r="L379" s="1931">
        <v>105113.00301359793</v>
      </c>
      <c r="M379" s="1932">
        <v>18179.619551635427</v>
      </c>
      <c r="N379" s="1930">
        <v>527674.80000000005</v>
      </c>
      <c r="O379" s="1931">
        <v>536264.86</v>
      </c>
      <c r="P379" s="1931">
        <v>481539.83</v>
      </c>
      <c r="Q379" s="1933">
        <v>299512.19</v>
      </c>
      <c r="R379" s="3481"/>
    </row>
    <row r="380" spans="1:18" ht="12.75" customHeight="1">
      <c r="A380" s="1922">
        <f t="shared" si="5"/>
        <v>2023.11</v>
      </c>
      <c r="B380" s="1941">
        <v>465.07245458577347</v>
      </c>
      <c r="C380" s="1943">
        <v>503.21313848798798</v>
      </c>
      <c r="D380" s="1943">
        <v>433.00364875627429</v>
      </c>
      <c r="E380" s="1944">
        <v>430.59679203093339</v>
      </c>
      <c r="F380" s="1930">
        <v>309646.40132304298</v>
      </c>
      <c r="G380" s="1931">
        <v>172540.34443219402</v>
      </c>
      <c r="H380" s="1931">
        <v>116675.36126424109</v>
      </c>
      <c r="I380" s="1932">
        <v>20430.695479603088</v>
      </c>
      <c r="J380" s="1930">
        <v>313742.23711870634</v>
      </c>
      <c r="K380" s="1931">
        <v>178598.11657478867</v>
      </c>
      <c r="L380" s="1931">
        <v>116675.36126424109</v>
      </c>
      <c r="M380" s="1932">
        <v>18468.759279676589</v>
      </c>
      <c r="N380" s="1930">
        <v>599488.89</v>
      </c>
      <c r="O380" s="1931">
        <v>610445.11</v>
      </c>
      <c r="P380" s="1931">
        <v>554859.85</v>
      </c>
      <c r="Q380" s="1933">
        <v>341284.85</v>
      </c>
      <c r="R380" s="3481"/>
    </row>
    <row r="381" spans="1:18" ht="12.75" customHeight="1">
      <c r="A381" s="1922">
        <f t="shared" si="5"/>
        <v>2023.12</v>
      </c>
      <c r="B381" s="1941">
        <v>607.60660011042432</v>
      </c>
      <c r="C381" s="1943">
        <v>746.25254490340683</v>
      </c>
      <c r="D381" s="1943">
        <v>482.49708284714126</v>
      </c>
      <c r="E381" s="1944">
        <v>522.668894647196</v>
      </c>
      <c r="F381" s="1930">
        <v>394424.36207276734</v>
      </c>
      <c r="G381" s="1931">
        <v>242419.48122013966</v>
      </c>
      <c r="H381" s="1931">
        <v>129509.64248438073</v>
      </c>
      <c r="I381" s="1932">
        <v>22495.238368246966</v>
      </c>
      <c r="J381" s="1930">
        <v>397390.30121278937</v>
      </c>
      <c r="K381" s="1931">
        <v>247350.98360896728</v>
      </c>
      <c r="L381" s="1931">
        <v>129509.64248438073</v>
      </c>
      <c r="M381" s="1932">
        <v>20529.675119441377</v>
      </c>
      <c r="N381" s="1930">
        <v>687378.61</v>
      </c>
      <c r="O381" s="1931">
        <v>694506.78</v>
      </c>
      <c r="P381" s="1931">
        <v>628732.76</v>
      </c>
      <c r="Q381" s="1933">
        <v>385396.06</v>
      </c>
      <c r="R381" s="3481"/>
    </row>
    <row r="382" spans="1:18" ht="12.75" customHeight="1">
      <c r="A382" s="1922">
        <f t="shared" si="5"/>
        <v>2024.01</v>
      </c>
      <c r="B382" s="1941">
        <v>702.60221029479669</v>
      </c>
      <c r="C382" s="1943">
        <v>845.05180292268017</v>
      </c>
      <c r="D382" s="1943">
        <v>576.43310922190744</v>
      </c>
      <c r="E382" s="1944">
        <v>604.11611330411131</v>
      </c>
      <c r="F382" s="1930">
        <v>460222.17302462325</v>
      </c>
      <c r="G382" s="1931">
        <v>280553.15192943771</v>
      </c>
      <c r="H382" s="1931">
        <v>155411.4596104373</v>
      </c>
      <c r="I382" s="1932">
        <v>24257.561484748254</v>
      </c>
      <c r="J382" s="1930">
        <v>467715.29393605288</v>
      </c>
      <c r="K382" s="1931">
        <v>290334.61256890849</v>
      </c>
      <c r="L382" s="1931">
        <v>155411.4596104373</v>
      </c>
      <c r="M382" s="1932">
        <v>21969.22190371187</v>
      </c>
      <c r="N382" s="1930">
        <v>922647.14</v>
      </c>
      <c r="O382" s="1931">
        <v>917977.66</v>
      </c>
      <c r="P382" s="1931">
        <v>844107.64</v>
      </c>
      <c r="Q382" s="1933">
        <v>533696.28</v>
      </c>
      <c r="R382" s="3481"/>
    </row>
    <row r="383" spans="1:18" ht="12.75" customHeight="1">
      <c r="A383" s="1922">
        <f t="shared" si="5"/>
        <v>2024.02</v>
      </c>
      <c r="B383" s="1941">
        <v>747.93769177158481</v>
      </c>
      <c r="C383" s="1943">
        <v>898.35497443785914</v>
      </c>
      <c r="D383" s="1943">
        <v>588.57494767646472</v>
      </c>
      <c r="E383" s="1944">
        <v>767.56754575028867</v>
      </c>
      <c r="F383" s="1930">
        <v>489277.19911797129</v>
      </c>
      <c r="G383" s="1931">
        <v>301471.99573686143</v>
      </c>
      <c r="H383" s="1931">
        <v>155411.4596104373</v>
      </c>
      <c r="I383" s="1932">
        <v>32393.743917677326</v>
      </c>
      <c r="J383" s="1930">
        <v>497603.36787945608</v>
      </c>
      <c r="K383" s="1931">
        <v>314476.54965086363</v>
      </c>
      <c r="L383" s="1931">
        <v>155411.4596104373</v>
      </c>
      <c r="M383" s="1932">
        <v>27715.358618155089</v>
      </c>
      <c r="N383" s="1930">
        <v>1130089.3700000001</v>
      </c>
      <c r="O383" s="1931">
        <v>1129858.82</v>
      </c>
      <c r="P383" s="1931">
        <v>1031622.65</v>
      </c>
      <c r="Q383" s="1933">
        <v>638822.94999999995</v>
      </c>
      <c r="R383" s="3481"/>
    </row>
    <row r="384" spans="1:18" ht="12.75" customHeight="1">
      <c r="A384" s="1922">
        <f t="shared" si="5"/>
        <v>2024.03</v>
      </c>
      <c r="B384" s="1941">
        <v>808.76152892300183</v>
      </c>
      <c r="C384" s="1943">
        <v>943.63570556033108</v>
      </c>
      <c r="D384" s="1943">
        <v>669.45231612676207</v>
      </c>
      <c r="E384" s="1944">
        <v>809.3986874288621</v>
      </c>
      <c r="F384" s="1930">
        <v>515989.6518926865</v>
      </c>
      <c r="G384" s="1931">
        <v>305686.3203234105</v>
      </c>
      <c r="H384" s="1931">
        <v>177169.25203969126</v>
      </c>
      <c r="I384" s="1932">
        <v>33134.079676589485</v>
      </c>
      <c r="J384" s="1930">
        <v>530318.99007717741</v>
      </c>
      <c r="K384" s="1931">
        <v>324879.81418596103</v>
      </c>
      <c r="L384" s="1931">
        <v>177169.25203969126</v>
      </c>
      <c r="M384" s="1932">
        <v>28269.92399852995</v>
      </c>
      <c r="N384" s="1930">
        <v>1247339.8500000001</v>
      </c>
      <c r="O384" s="1931">
        <v>1246533.69</v>
      </c>
      <c r="P384" s="1931">
        <v>1143754.69</v>
      </c>
      <c r="Q384" s="1933">
        <v>685701.59</v>
      </c>
      <c r="R384" s="3481"/>
    </row>
    <row r="385" spans="1:18" ht="12.75" customHeight="1">
      <c r="A385" s="1922">
        <f t="shared" si="5"/>
        <v>2024.04</v>
      </c>
      <c r="B385" s="1941">
        <v>847.37018364816322</v>
      </c>
      <c r="C385" s="1943">
        <v>971.16590508075819</v>
      </c>
      <c r="D385" s="1943">
        <v>713.62264081050557</v>
      </c>
      <c r="E385" s="1944">
        <v>875.77716965748846</v>
      </c>
      <c r="F385" s="1930">
        <v>546027.71</v>
      </c>
      <c r="G385" s="1931">
        <v>310000.94</v>
      </c>
      <c r="H385" s="1931">
        <v>201972.85</v>
      </c>
      <c r="I385" s="1932">
        <v>34053.919999999998</v>
      </c>
      <c r="J385" s="1930">
        <v>559810.74</v>
      </c>
      <c r="K385" s="1931">
        <v>328388.68</v>
      </c>
      <c r="L385" s="1931">
        <v>201972.85</v>
      </c>
      <c r="M385" s="1932">
        <v>29449.22</v>
      </c>
      <c r="N385" s="1930">
        <v>1358752.23</v>
      </c>
      <c r="O385" s="1931">
        <v>1365233.92</v>
      </c>
      <c r="P385" s="1931">
        <v>1253194.56</v>
      </c>
      <c r="Q385" s="1933">
        <v>741644.2</v>
      </c>
      <c r="R385" s="3481"/>
    </row>
    <row r="386" spans="1:18" ht="12.75" customHeight="1">
      <c r="A386" s="1922">
        <f t="shared" si="5"/>
        <v>2024.05</v>
      </c>
      <c r="B386" s="1941">
        <v>939.09017676927681</v>
      </c>
      <c r="C386" s="1943">
        <v>985.52232728588865</v>
      </c>
      <c r="D386" s="1943">
        <v>888.28971495249232</v>
      </c>
      <c r="E386" s="1944">
        <v>952.74663179392815</v>
      </c>
      <c r="F386" s="1930">
        <v>571803.01</v>
      </c>
      <c r="G386" s="1931">
        <v>312860.61</v>
      </c>
      <c r="H386" s="1931">
        <v>224189.8</v>
      </c>
      <c r="I386" s="1932">
        <v>34752.6</v>
      </c>
      <c r="J386" s="1930">
        <v>584967.15</v>
      </c>
      <c r="K386" s="1931">
        <v>330128.89</v>
      </c>
      <c r="L386" s="1931">
        <v>224189.8</v>
      </c>
      <c r="M386" s="1932">
        <v>30648.45</v>
      </c>
      <c r="N386" s="1930">
        <v>1516476.8</v>
      </c>
      <c r="O386" s="1931">
        <v>1445812.94</v>
      </c>
      <c r="P386" s="1931">
        <v>1323992.32</v>
      </c>
      <c r="Q386" s="1933">
        <v>774384.7</v>
      </c>
      <c r="R386" s="3481"/>
    </row>
    <row r="387" spans="1:18" ht="12.75" customHeight="1">
      <c r="A387" s="1922">
        <f t="shared" si="5"/>
        <v>2024.06</v>
      </c>
      <c r="B387" s="1941">
        <v>968.87122905786418</v>
      </c>
      <c r="C387" s="1943">
        <v>997.70981314753624</v>
      </c>
      <c r="D387" s="1943">
        <v>933.14163471689744</v>
      </c>
      <c r="E387" s="1944">
        <v>997.11734838027451</v>
      </c>
      <c r="F387" s="1930">
        <v>609053.40066152147</v>
      </c>
      <c r="G387" s="1931">
        <v>316030.366923925</v>
      </c>
      <c r="H387" s="1931">
        <v>248850.76530687243</v>
      </c>
      <c r="I387" s="1932">
        <v>44172.268430723998</v>
      </c>
      <c r="J387" s="1930">
        <v>619450.37192208739</v>
      </c>
      <c r="K387" s="1931">
        <v>331453.86137449468</v>
      </c>
      <c r="L387" s="1931">
        <v>248850.76530687243</v>
      </c>
      <c r="M387" s="1932">
        <v>39145.745387725095</v>
      </c>
      <c r="N387" s="1930">
        <v>1516476.84</v>
      </c>
      <c r="O387" s="1931">
        <v>1523939.86</v>
      </c>
      <c r="P387" s="1931">
        <v>1400527.25</v>
      </c>
      <c r="Q387" s="1933">
        <v>815609.67</v>
      </c>
      <c r="R387" s="3481"/>
    </row>
    <row r="388" spans="1:18" ht="12.75" customHeight="1">
      <c r="A388" s="1922">
        <f t="shared" si="5"/>
        <v>2024.07</v>
      </c>
      <c r="B388" s="1941">
        <v>986.73099028809872</v>
      </c>
      <c r="C388" s="1943">
        <v>1023.1878025607382</v>
      </c>
      <c r="D388" s="1943">
        <v>942.71545257542937</v>
      </c>
      <c r="E388" s="1944">
        <v>1016.9883515365804</v>
      </c>
      <c r="F388" s="1930">
        <v>617021.53517089295</v>
      </c>
      <c r="G388" s="1931">
        <v>322816.73531789781</v>
      </c>
      <c r="H388" s="1931">
        <v>248850.76530687243</v>
      </c>
      <c r="I388" s="1932">
        <v>45354.034546122748</v>
      </c>
      <c r="J388" s="1930">
        <v>625506.38544652693</v>
      </c>
      <c r="K388" s="1931">
        <v>336811.57309812569</v>
      </c>
      <c r="L388" s="1931">
        <v>248850.76530687243</v>
      </c>
      <c r="M388" s="1932">
        <v>39844.047041528844</v>
      </c>
      <c r="N388" s="1930">
        <v>1581374.62</v>
      </c>
      <c r="O388" s="1931">
        <v>1588571.8</v>
      </c>
      <c r="P388" s="1931">
        <v>1458734.27</v>
      </c>
      <c r="Q388" s="1933">
        <v>854148.88</v>
      </c>
      <c r="R388" s="3481"/>
    </row>
    <row r="389" spans="1:18" ht="12.75" customHeight="1">
      <c r="A389" s="1922">
        <f t="shared" si="5"/>
        <v>2024.08</v>
      </c>
      <c r="B389" s="1941">
        <v>1003.1479956192358</v>
      </c>
      <c r="C389" s="1943">
        <v>1044.6464280866851</v>
      </c>
      <c r="D389" s="1943">
        <v>950.71030356911353</v>
      </c>
      <c r="E389" s="1944">
        <v>1048.6337474471061</v>
      </c>
      <c r="F389" s="1930">
        <v>646981.77611172362</v>
      </c>
      <c r="G389" s="1931">
        <v>329442.82263873576</v>
      </c>
      <c r="H389" s="1931">
        <v>261293.45461227489</v>
      </c>
      <c r="I389" s="1932">
        <v>56245.498860712971</v>
      </c>
      <c r="J389" s="1930">
        <v>651552.2424108783</v>
      </c>
      <c r="K389" s="1931">
        <v>340742.65211319365</v>
      </c>
      <c r="L389" s="1931">
        <v>261293.45461227489</v>
      </c>
      <c r="M389" s="1932">
        <v>49516.135685409768</v>
      </c>
      <c r="N389" s="1930">
        <v>1611139.48</v>
      </c>
      <c r="O389" s="1931">
        <v>1619369.12</v>
      </c>
      <c r="P389" s="1931">
        <v>1489138.84</v>
      </c>
      <c r="Q389" s="1933">
        <v>872769.35</v>
      </c>
      <c r="R389" s="3481"/>
    </row>
    <row r="390" spans="1:18" ht="12.75" customHeight="1">
      <c r="A390" s="1922">
        <f t="shared" si="5"/>
        <v>2024.09</v>
      </c>
      <c r="B390" s="1941">
        <v>1050.4448648208324</v>
      </c>
      <c r="C390" s="1943">
        <v>1062.8946296882777</v>
      </c>
      <c r="D390" s="1943">
        <v>1024.4188846289198</v>
      </c>
      <c r="E390" s="1944">
        <v>1112.7898998216006</v>
      </c>
      <c r="F390" s="1930">
        <v>663002.03072399844</v>
      </c>
      <c r="G390" s="1931">
        <v>334220.94950385886</v>
      </c>
      <c r="H390" s="1931">
        <v>271744.99860345462</v>
      </c>
      <c r="I390" s="1932">
        <v>57036.08276368981</v>
      </c>
      <c r="J390" s="1930">
        <v>665760.91095920594</v>
      </c>
      <c r="K390" s="1931">
        <v>344354.29265711113</v>
      </c>
      <c r="L390" s="1931">
        <v>271744.99860345462</v>
      </c>
      <c r="M390" s="1932">
        <v>49661.619698640206</v>
      </c>
      <c r="N390" s="1930">
        <v>1646473.04</v>
      </c>
      <c r="O390" s="1931">
        <v>1653834.83</v>
      </c>
      <c r="P390" s="1931">
        <v>1523034.78</v>
      </c>
      <c r="Q390" s="1933">
        <v>884001.32</v>
      </c>
      <c r="R390" s="3481"/>
    </row>
    <row r="391" spans="1:18" ht="12.75" customHeight="1">
      <c r="A391" s="1922">
        <f t="shared" si="5"/>
        <v>2024.1</v>
      </c>
      <c r="B391" s="1941">
        <v>1062.7327281120174</v>
      </c>
      <c r="C391" s="1943">
        <v>1077.485409220468</v>
      </c>
      <c r="D391" s="1943">
        <v>1032.2044414809877</v>
      </c>
      <c r="E391" s="1944">
        <v>1135.1294408253223</v>
      </c>
      <c r="F391" s="1930">
        <v>681000.91069459752</v>
      </c>
      <c r="G391" s="1931">
        <v>340541.58030135976</v>
      </c>
      <c r="H391" s="1931">
        <v>282614.87835354649</v>
      </c>
      <c r="I391" s="1932">
        <v>57844.452186696064</v>
      </c>
      <c r="J391" s="1930">
        <v>679272.85790812154</v>
      </c>
      <c r="K391" s="1931">
        <v>346691.16206100653</v>
      </c>
      <c r="L391" s="1931">
        <v>282614.87835354649</v>
      </c>
      <c r="M391" s="1932">
        <v>49966.817493568531</v>
      </c>
      <c r="N391" s="1930">
        <v>1704749.87</v>
      </c>
      <c r="O391" s="1931">
        <v>1720720.18</v>
      </c>
      <c r="P391" s="1931">
        <v>1567272.33</v>
      </c>
      <c r="Q391" s="1933">
        <v>901905.18</v>
      </c>
      <c r="R391" s="3481"/>
    </row>
    <row r="392" spans="1:18" ht="12.75" customHeight="1">
      <c r="A392" s="1922">
        <f t="shared" si="5"/>
        <v>2024.11</v>
      </c>
      <c r="B392" s="1941">
        <v>1073.0754957776312</v>
      </c>
      <c r="C392" s="1943">
        <v>1090.2384291725107</v>
      </c>
      <c r="D392" s="1943">
        <v>1035.2790279861458</v>
      </c>
      <c r="E392" s="1944">
        <v>1168.0882151131354</v>
      </c>
      <c r="F392" s="1930">
        <v>709529.12149944867</v>
      </c>
      <c r="G392" s="1931">
        <v>343164.69312752661</v>
      </c>
      <c r="H392" s="1931">
        <v>293919.44270488789</v>
      </c>
      <c r="I392" s="1932">
        <v>72444.985667034183</v>
      </c>
      <c r="J392" s="1930">
        <v>703692.21668504213</v>
      </c>
      <c r="K392" s="1931">
        <v>346040.59843880933</v>
      </c>
      <c r="L392" s="1931">
        <v>293919.44270488789</v>
      </c>
      <c r="M392" s="1932">
        <v>63747.734068357218</v>
      </c>
      <c r="N392" s="1930">
        <v>1727052.81</v>
      </c>
      <c r="O392" s="1931">
        <v>1739968.19</v>
      </c>
      <c r="P392" s="1931">
        <v>1583750.13</v>
      </c>
      <c r="Q392" s="1933">
        <v>911000.91</v>
      </c>
      <c r="R392" s="3481"/>
    </row>
    <row r="393" spans="1:18" ht="12.75" customHeight="1">
      <c r="A393" s="1922">
        <f t="shared" si="5"/>
        <v>2024.12</v>
      </c>
      <c r="B393" s="1941">
        <v>1165.8879646642472</v>
      </c>
      <c r="C393" s="1943">
        <v>1099.7810252001993</v>
      </c>
      <c r="D393" s="1943">
        <v>1222.0240410438778</v>
      </c>
      <c r="E393" s="1944">
        <v>1223.02650166695</v>
      </c>
      <c r="F393" s="1930">
        <v>723901.28452774708</v>
      </c>
      <c r="G393" s="1931">
        <v>345417.42256523337</v>
      </c>
      <c r="H393" s="1931">
        <v>305676.15038588748</v>
      </c>
      <c r="I393" s="1932">
        <v>72807.711723631015</v>
      </c>
      <c r="J393" s="1930">
        <v>712667.50327085622</v>
      </c>
      <c r="K393" s="1931">
        <v>343047.81513855205</v>
      </c>
      <c r="L393" s="1931">
        <v>305676.14671076805</v>
      </c>
      <c r="M393" s="1932">
        <v>63959.208673281872</v>
      </c>
      <c r="N393" s="1930">
        <v>1766444.62</v>
      </c>
      <c r="O393" s="1931">
        <v>1779398.37</v>
      </c>
      <c r="P393" s="1931">
        <v>1610361.3</v>
      </c>
      <c r="Q393" s="1933">
        <v>921152.53</v>
      </c>
      <c r="R393" s="3481"/>
    </row>
    <row r="394" spans="1:18" ht="12.75" customHeight="1">
      <c r="A394" s="1922">
        <f t="shared" si="5"/>
        <v>2025.01</v>
      </c>
      <c r="B394" s="1941">
        <v>1176.1076364689593</v>
      </c>
      <c r="C394" s="1943">
        <v>1113.1574899334935</v>
      </c>
      <c r="D394" s="1943">
        <v>1223.5252171658242</v>
      </c>
      <c r="E394" s="1944">
        <v>1259.0737736016606</v>
      </c>
      <c r="F394" s="1930">
        <v>726802.69974274153</v>
      </c>
      <c r="G394" s="1931">
        <v>347464.98463800066</v>
      </c>
      <c r="H394" s="1931">
        <v>305676.14685777284</v>
      </c>
      <c r="I394" s="1932">
        <v>73661.568393972804</v>
      </c>
      <c r="J394" s="1930">
        <v>715019.96427783894</v>
      </c>
      <c r="K394" s="1931">
        <v>344559.31422271224</v>
      </c>
      <c r="L394" s="1931">
        <v>305676.14685777284</v>
      </c>
      <c r="M394" s="1932">
        <v>64784.503197353908</v>
      </c>
      <c r="N394" s="1930">
        <v>1801302.78</v>
      </c>
      <c r="O394" s="1931">
        <v>1814892.33</v>
      </c>
      <c r="P394" s="1931">
        <v>1640290.77</v>
      </c>
      <c r="Q394" s="1933">
        <v>936360.15</v>
      </c>
      <c r="R394" s="3481"/>
    </row>
    <row r="395" spans="1:18" ht="12.75" customHeight="1">
      <c r="A395" s="1922">
        <f t="shared" si="5"/>
        <v>2025.02</v>
      </c>
      <c r="B395" s="1941">
        <v>1201.913416543722</v>
      </c>
      <c r="C395" s="1943">
        <v>1134.274985296114</v>
      </c>
      <c r="D395" s="1943">
        <v>1254.10716600915</v>
      </c>
      <c r="E395" s="1944">
        <v>1285.1702064110957</v>
      </c>
      <c r="F395" s="1930">
        <v>747715.12796765892</v>
      </c>
      <c r="G395" s="1931">
        <v>357642.07658948918</v>
      </c>
      <c r="H395" s="1931">
        <v>315904.61403895624</v>
      </c>
      <c r="I395" s="1932">
        <v>74168.437486218289</v>
      </c>
      <c r="J395" s="1930">
        <v>730922.43910327076</v>
      </c>
      <c r="K395" s="1931">
        <v>349774.10599044466</v>
      </c>
      <c r="L395" s="1931">
        <v>315904.61403895624</v>
      </c>
      <c r="M395" s="1932">
        <v>65243.719073869899</v>
      </c>
      <c r="N395" s="1930">
        <v>1812537.33</v>
      </c>
      <c r="O395" s="1931">
        <v>1822466.09</v>
      </c>
      <c r="P395" s="1931">
        <v>1649601.38</v>
      </c>
      <c r="Q395" s="1933">
        <v>945402.85</v>
      </c>
      <c r="R395" s="3481"/>
    </row>
    <row r="396" spans="1:18" ht="12.75" customHeight="1">
      <c r="A396" s="1922">
        <f t="shared" si="5"/>
        <v>2025.03</v>
      </c>
      <c r="B396" s="1941">
        <v>1208.6529149280889</v>
      </c>
      <c r="C396" s="1943">
        <v>1141.5011536895449</v>
      </c>
      <c r="D396" s="1943">
        <v>1259.3441499509181</v>
      </c>
      <c r="E396" s="1944">
        <v>1296.6443061374416</v>
      </c>
      <c r="F396" s="1930">
        <v>755901.04020580661</v>
      </c>
      <c r="G396" s="1931">
        <v>362248.11187063577</v>
      </c>
      <c r="H396" s="1931">
        <v>319004.61447997054</v>
      </c>
      <c r="I396" s="1932">
        <v>74648.314002205065</v>
      </c>
      <c r="J396" s="1930">
        <v>743377.60617420054</v>
      </c>
      <c r="K396" s="1931">
        <v>358419.93958103633</v>
      </c>
      <c r="L396" s="1931">
        <v>319004.61447997054</v>
      </c>
      <c r="M396" s="1932">
        <v>65953.052113193669</v>
      </c>
      <c r="N396" s="1930">
        <v>1849008.1</v>
      </c>
      <c r="O396" s="1931">
        <v>1862938.73</v>
      </c>
      <c r="P396" s="1931">
        <v>1684393.01</v>
      </c>
      <c r="Q396" s="1933">
        <v>971421.17</v>
      </c>
      <c r="R396" s="3481"/>
    </row>
    <row r="397" spans="1:18" ht="12.75" customHeight="1">
      <c r="A397" s="1922">
        <f t="shared" si="5"/>
        <v>2025.04</v>
      </c>
      <c r="B397" s="1941">
        <v>1214.6701302462825</v>
      </c>
      <c r="C397" s="1943">
        <v>1174.8839524046516</v>
      </c>
      <c r="D397" s="1943">
        <v>1232.5600563056807</v>
      </c>
      <c r="E397" s="1944">
        <v>1324.2422040862464</v>
      </c>
      <c r="F397" s="1930">
        <v>765954.48526277102</v>
      </c>
      <c r="G397" s="1931">
        <v>366638.95023888274</v>
      </c>
      <c r="H397" s="1931">
        <v>319004.61447997054</v>
      </c>
      <c r="I397" s="1932">
        <v>80310.920690922445</v>
      </c>
      <c r="J397" s="1930">
        <v>754890.39059169416</v>
      </c>
      <c r="K397" s="1931">
        <v>364705.35464902606</v>
      </c>
      <c r="L397" s="1931">
        <v>319004.61447997054</v>
      </c>
      <c r="M397" s="1932">
        <v>71180.421609702302</v>
      </c>
      <c r="N397" s="1930">
        <v>1880596.91</v>
      </c>
      <c r="O397" s="1931">
        <v>1893899.53</v>
      </c>
      <c r="P397" s="1931">
        <v>1717797.83</v>
      </c>
      <c r="Q397" s="1933">
        <v>989544.89</v>
      </c>
      <c r="R397" s="3481"/>
    </row>
    <row r="398" spans="1:18" ht="12.75" customHeight="1">
      <c r="A398" s="1922">
        <f t="shared" si="5"/>
        <v>2025.05</v>
      </c>
      <c r="B398" s="1941">
        <v>1256.8295574884826</v>
      </c>
      <c r="C398" s="1943">
        <v>1181.2496041261372</v>
      </c>
      <c r="D398" s="1943">
        <v>1314.2912707673502</v>
      </c>
      <c r="E398" s="1944">
        <v>1353.9340808369466</v>
      </c>
      <c r="F398" s="1930">
        <v>770387.89680264599</v>
      </c>
      <c r="G398" s="1931">
        <v>370218.76045571477</v>
      </c>
      <c r="H398" s="1931">
        <v>319004.61447997054</v>
      </c>
      <c r="I398" s="1932">
        <v>81164.522013965456</v>
      </c>
      <c r="J398" s="1930">
        <v>760740.50613744941</v>
      </c>
      <c r="K398" s="1931">
        <v>369560.17420066154</v>
      </c>
      <c r="L398" s="1931">
        <v>319004.61447997054</v>
      </c>
      <c r="M398" s="1932">
        <v>72175.717456817336</v>
      </c>
      <c r="N398" s="1930">
        <v>1897567.4</v>
      </c>
      <c r="O398" s="1931">
        <v>1910296.38</v>
      </c>
      <c r="P398" s="1931">
        <v>1735782.61</v>
      </c>
      <c r="Q398" s="1933">
        <v>1002081.09</v>
      </c>
      <c r="R398" s="3481"/>
    </row>
    <row r="399" spans="1:18" ht="12.75" customHeight="1">
      <c r="A399" s="1922">
        <f t="shared" si="5"/>
        <v>2025.06</v>
      </c>
      <c r="B399" s="1941">
        <v>1269.3608971515982</v>
      </c>
      <c r="C399" s="1943">
        <v>1193.099579242637</v>
      </c>
      <c r="D399" s="1943">
        <v>1325.6487192309833</v>
      </c>
      <c r="E399" s="1944">
        <v>1375.3404531841561</v>
      </c>
      <c r="F399" s="1930">
        <v>783081.20926130086</v>
      </c>
      <c r="G399" s="1931">
        <v>372042.08379272325</v>
      </c>
      <c r="H399" s="1931">
        <v>329321.37625872839</v>
      </c>
      <c r="I399" s="1932">
        <v>81717.749209849309</v>
      </c>
      <c r="J399" s="1930">
        <v>776155.4429988974</v>
      </c>
      <c r="K399" s="1931">
        <v>374302.11422271223</v>
      </c>
      <c r="L399" s="1931">
        <v>329321.37625872839</v>
      </c>
      <c r="M399" s="1932">
        <v>72531.952664461583</v>
      </c>
      <c r="N399" s="1930">
        <v>1919171.46</v>
      </c>
      <c r="O399" s="1931">
        <v>1933485.41</v>
      </c>
      <c r="P399" s="1931">
        <v>1753268.83</v>
      </c>
      <c r="Q399" s="1933">
        <v>1014300.51</v>
      </c>
      <c r="R399" s="3481"/>
    </row>
    <row r="400" spans="1:18" ht="12.75" customHeight="1">
      <c r="A400" s="1922">
        <f t="shared" si="5"/>
        <v>2025.07</v>
      </c>
      <c r="B400" s="1941">
        <v>1292.9292289311484</v>
      </c>
      <c r="C400" s="1943">
        <v>1210.5135049540788</v>
      </c>
      <c r="D400" s="1943">
        <v>1355.3258876479415</v>
      </c>
      <c r="E400" s="1944">
        <v>1400.0613501884911</v>
      </c>
      <c r="F400" s="1930">
        <v>788581.21249540604</v>
      </c>
      <c r="G400" s="1931">
        <v>377133.30687247333</v>
      </c>
      <c r="H400" s="1931">
        <v>329321.37625872839</v>
      </c>
      <c r="I400" s="1932">
        <v>82126.529364204325</v>
      </c>
      <c r="J400" s="1930">
        <v>783435.73921352427</v>
      </c>
      <c r="K400" s="1931">
        <v>381090.84277839022</v>
      </c>
      <c r="L400" s="1931">
        <v>329321.37625872839</v>
      </c>
      <c r="M400" s="1932">
        <v>73023.520323410499</v>
      </c>
      <c r="N400" s="1930">
        <v>1952136.09</v>
      </c>
      <c r="O400" s="1931">
        <v>1965698.1</v>
      </c>
      <c r="P400" s="1931">
        <v>1787215.98</v>
      </c>
      <c r="Q400" s="1933">
        <v>1034037.33</v>
      </c>
      <c r="R400" s="3481"/>
    </row>
    <row r="401" spans="1:18" ht="12.75" customHeight="1">
      <c r="A401" s="1922">
        <f>A389+1</f>
        <v>2025.08</v>
      </c>
      <c r="B401" s="1941">
        <v>1315.4928812577505</v>
      </c>
      <c r="C401" s="1943">
        <v>1233.507668642266</v>
      </c>
      <c r="D401" s="1943">
        <v>1377.8889074104948</v>
      </c>
      <c r="E401" s="1944">
        <v>1420.5200235713889</v>
      </c>
      <c r="F401" s="1930">
        <v>803310.48423373746</v>
      </c>
      <c r="G401" s="1931">
        <v>384019.64895259094</v>
      </c>
      <c r="H401" s="1931">
        <v>336606.52480705624</v>
      </c>
      <c r="I401" s="1932">
        <v>82684.310621095181</v>
      </c>
      <c r="J401" s="1930">
        <v>800799.49856670341</v>
      </c>
      <c r="K401" s="1931">
        <v>390641.33406835719</v>
      </c>
      <c r="L401" s="1931">
        <v>336606.52480705624</v>
      </c>
      <c r="M401" s="1932">
        <v>73551.639838294737</v>
      </c>
      <c r="N401" s="1930">
        <v>1967852.4</v>
      </c>
      <c r="O401" s="1931">
        <v>1977897.92</v>
      </c>
      <c r="P401" s="1931">
        <v>1803524.02</v>
      </c>
      <c r="Q401" s="1933">
        <v>1049519.8400000001</v>
      </c>
      <c r="R401" s="3481"/>
    </row>
    <row r="402" spans="1:18" ht="12.75" customHeight="1">
      <c r="A402" s="1922">
        <f t="shared" si="5"/>
        <v>2025.09</v>
      </c>
      <c r="B402" s="1941">
        <v>1355.2112089642751</v>
      </c>
      <c r="C402" s="1943">
        <v>1268.7291317920647</v>
      </c>
      <c r="D402" s="1943">
        <v>1421.7619603267215</v>
      </c>
      <c r="E402" s="1944">
        <v>1462.5392520120447</v>
      </c>
      <c r="F402" s="1930">
        <v>818687.14531422267</v>
      </c>
      <c r="G402" s="1931">
        <v>394462.37177508266</v>
      </c>
      <c r="H402" s="1931">
        <v>340982.20904079376</v>
      </c>
      <c r="I402" s="1932">
        <v>83242.564498346197</v>
      </c>
      <c r="J402" s="1930">
        <v>815237.01742006605</v>
      </c>
      <c r="K402" s="1931">
        <v>399788.29459757434</v>
      </c>
      <c r="L402" s="1931">
        <v>340982.20904079376</v>
      </c>
      <c r="M402" s="1932">
        <v>74466.549797868429</v>
      </c>
      <c r="N402" s="1930">
        <v>2022523.9</v>
      </c>
      <c r="O402" s="1931">
        <v>2028850.8</v>
      </c>
      <c r="P402" s="1931">
        <v>1852308.89</v>
      </c>
      <c r="Q402" s="1933">
        <v>1066454.21</v>
      </c>
      <c r="R402" s="3481"/>
    </row>
    <row r="403" spans="1:18" ht="12.75" customHeight="1">
      <c r="A403" s="1922">
        <f t="shared" si="5"/>
        <v>2025.1</v>
      </c>
      <c r="B403" s="1941">
        <v>1377.8626576034324</v>
      </c>
      <c r="C403" s="1943">
        <v>1294.7844184047415</v>
      </c>
      <c r="D403" s="1943">
        <v>1440.1205756514976</v>
      </c>
      <c r="E403" s="1944">
        <v>1488.879471096797</v>
      </c>
      <c r="F403" s="1930">
        <v>835471.91194413812</v>
      </c>
      <c r="G403" s="1931">
        <v>406384.06071297312</v>
      </c>
      <c r="H403" s="1931">
        <v>345074.13715545752</v>
      </c>
      <c r="I403" s="1932">
        <v>84013.714075707452</v>
      </c>
      <c r="J403" s="1930">
        <v>831270.0088202866</v>
      </c>
      <c r="K403" s="1931">
        <v>410909.49636163167</v>
      </c>
      <c r="L403" s="1931">
        <v>345074.13715545752</v>
      </c>
      <c r="M403" s="1932">
        <v>75286.375450202133</v>
      </c>
      <c r="N403" s="1930">
        <v>2071031.16</v>
      </c>
      <c r="O403" s="1931">
        <v>2069181.48</v>
      </c>
      <c r="P403" s="1931">
        <v>1898383.37</v>
      </c>
      <c r="Q403" s="1933">
        <v>1091039.7</v>
      </c>
      <c r="R403" s="3481"/>
    </row>
    <row r="404" spans="1:18" ht="12.75" customHeight="1">
      <c r="A404" s="1922">
        <f t="shared" si="5"/>
        <v>2025.11</v>
      </c>
      <c r="B404" s="1941">
        <v>1415.5996850194151</v>
      </c>
      <c r="C404" s="1943">
        <v>1313.4904764059179</v>
      </c>
      <c r="D404" s="1943">
        <v>1499.9268396584619</v>
      </c>
      <c r="E404" s="1944">
        <v>1515.1212069842359</v>
      </c>
      <c r="F404" s="1930">
        <v>846528.46291804477</v>
      </c>
      <c r="G404" s="1931">
        <v>411467.5877986034</v>
      </c>
      <c r="H404" s="1931">
        <v>349905.13325983094</v>
      </c>
      <c r="I404" s="1932">
        <v>85155.742006615197</v>
      </c>
      <c r="J404" s="1930">
        <v>841670.52688717376</v>
      </c>
      <c r="K404" s="1931">
        <v>416227.77817567065</v>
      </c>
      <c r="L404" s="1931">
        <v>349905.13320249901</v>
      </c>
      <c r="M404" s="1932">
        <v>75537.615509004041</v>
      </c>
      <c r="N404" s="1930">
        <v>2123058.63</v>
      </c>
      <c r="O404" s="1931">
        <v>2119507.92</v>
      </c>
      <c r="P404" s="1931">
        <v>1941956.83</v>
      </c>
      <c r="Q404" s="1933">
        <v>1113009.92</v>
      </c>
      <c r="R404" s="3481"/>
    </row>
    <row r="405" spans="1:18" ht="12.75" customHeight="1">
      <c r="A405" s="1922">
        <f t="shared" si="5"/>
        <v>2025.12</v>
      </c>
      <c r="B405" s="1941">
        <v>1436.4852511246079</v>
      </c>
      <c r="C405" s="1943">
        <v>1334.3039406415421</v>
      </c>
      <c r="D405" s="1943">
        <v>1520.7821673982703</v>
      </c>
      <c r="E405" s="1944">
        <v>1536.4960969978781</v>
      </c>
      <c r="F405" s="1930">
        <v>857805.12785740523</v>
      </c>
      <c r="G405" s="1931">
        <v>417647.91582359426</v>
      </c>
      <c r="H405" s="1931">
        <v>354454.01982506429</v>
      </c>
      <c r="I405" s="1932">
        <v>85703.192208746783</v>
      </c>
      <c r="J405" s="1930">
        <v>851568.0535626607</v>
      </c>
      <c r="K405" s="1931">
        <v>421252.39779492829</v>
      </c>
      <c r="L405" s="1931">
        <v>354454.01982506429</v>
      </c>
      <c r="M405" s="1932">
        <v>75861.63594266813</v>
      </c>
      <c r="N405" s="1930">
        <v>2147372.69</v>
      </c>
      <c r="O405" s="1931">
        <v>2150761.0099999998</v>
      </c>
      <c r="P405" s="1931">
        <v>1962726.82</v>
      </c>
      <c r="Q405" s="1933">
        <v>1121134.6200000001</v>
      </c>
      <c r="R405" s="3481"/>
    </row>
    <row r="406" spans="1:18" ht="12.75" customHeight="1">
      <c r="A406" s="1922">
        <f t="shared" si="5"/>
        <v>2026.01</v>
      </c>
      <c r="B406" s="1941">
        <v>1469.7691047491471</v>
      </c>
      <c r="C406" s="1943">
        <v>1353.4198977514368</v>
      </c>
      <c r="D406" s="1943">
        <v>1568.8373988257306</v>
      </c>
      <c r="E406" s="1944">
        <v>1569.0609384964373</v>
      </c>
      <c r="F406" s="1930">
        <v>871867.11092098488</v>
      </c>
      <c r="G406" s="1931">
        <v>424094.57684380742</v>
      </c>
      <c r="H406" s="1931">
        <v>361542.97509151045</v>
      </c>
      <c r="I406" s="1932">
        <v>86229.558985667027</v>
      </c>
      <c r="J406" s="1930">
        <v>868578.77706725465</v>
      </c>
      <c r="K406" s="1931">
        <v>430801.47063579556</v>
      </c>
      <c r="L406" s="1931">
        <v>361542.97508269013</v>
      </c>
      <c r="M406" s="1932">
        <v>76234.331422271207</v>
      </c>
      <c r="N406" s="1930">
        <v>2181908.3199999998</v>
      </c>
      <c r="O406" s="1931">
        <v>2185189.27</v>
      </c>
      <c r="P406" s="1931">
        <v>2001404.2</v>
      </c>
      <c r="Q406" s="1933">
        <v>1146066.8</v>
      </c>
      <c r="R406" s="3481"/>
    </row>
    <row r="407" spans="1:18" ht="12.75" customHeight="1">
      <c r="A407" s="1922">
        <f t="shared" ref="A407:A465" si="6">A395+1</f>
        <v>2026.02</v>
      </c>
      <c r="B407" s="1941">
        <v>1496.960618375678</v>
      </c>
      <c r="C407" s="1943">
        <v>1373.3918472605533</v>
      </c>
      <c r="D407" s="1943">
        <v>1594.6361430608806</v>
      </c>
      <c r="E407" s="1944">
        <v>1638.0774788301499</v>
      </c>
      <c r="F407" s="1930">
        <v>886074.29081808159</v>
      </c>
      <c r="G407" s="1931">
        <v>430900.26342962141</v>
      </c>
      <c r="H407" s="1931">
        <v>368050.7801264241</v>
      </c>
      <c r="I407" s="1932">
        <v>87123.247262035991</v>
      </c>
      <c r="J407" s="1930">
        <v>881220.84729143698</v>
      </c>
      <c r="K407" s="1931">
        <v>436772.70538625505</v>
      </c>
      <c r="L407" s="1931">
        <v>368050.7801264241</v>
      </c>
      <c r="M407" s="1932">
        <v>76397.361778757811</v>
      </c>
      <c r="N407" s="1930">
        <v>2212255.27</v>
      </c>
      <c r="O407" s="1931">
        <v>2216305.29</v>
      </c>
      <c r="P407" s="1931">
        <v>2030987.33</v>
      </c>
      <c r="Q407" s="1933">
        <v>1165536.3</v>
      </c>
    </row>
    <row r="408" spans="1:18" ht="12.75" customHeight="1">
      <c r="A408" s="1922">
        <f t="shared" si="6"/>
        <v>2026.03</v>
      </c>
      <c r="B408" s="1941" t="e">
        <v>#N/A</v>
      </c>
      <c r="C408" s="1943" t="e">
        <v>#N/A</v>
      </c>
      <c r="D408" s="1943" t="e">
        <v>#N/A</v>
      </c>
      <c r="E408" s="1944" t="e">
        <v>#N/A</v>
      </c>
      <c r="F408" s="1930" t="e">
        <v>#N/A</v>
      </c>
      <c r="G408" s="1931" t="e">
        <v>#N/A</v>
      </c>
      <c r="H408" s="1931" t="e">
        <v>#N/A</v>
      </c>
      <c r="I408" s="1932" t="e">
        <v>#N/A</v>
      </c>
      <c r="J408" s="1930" t="e">
        <v>#N/A</v>
      </c>
      <c r="K408" s="1931" t="e">
        <v>#N/A</v>
      </c>
      <c r="L408" s="1931" t="e">
        <v>#N/A</v>
      </c>
      <c r="M408" s="1932" t="e">
        <v>#N/A</v>
      </c>
      <c r="N408" s="1930">
        <v>2257549.25</v>
      </c>
      <c r="O408" s="1931">
        <v>2266720.89</v>
      </c>
      <c r="P408" s="1931">
        <v>2069514.5</v>
      </c>
      <c r="Q408" s="1933">
        <v>1179061.07</v>
      </c>
    </row>
    <row r="409" spans="1:18" ht="12.75" customHeight="1">
      <c r="A409" s="1922">
        <f t="shared" si="6"/>
        <v>2026.04</v>
      </c>
      <c r="B409" s="1941" t="e">
        <v>#N/A</v>
      </c>
      <c r="C409" s="1943" t="e">
        <v>#N/A</v>
      </c>
      <c r="D409" s="1943" t="e">
        <v>#N/A</v>
      </c>
      <c r="E409" s="1944" t="e">
        <v>#N/A</v>
      </c>
      <c r="F409" s="1930" t="e">
        <v>#N/A</v>
      </c>
      <c r="G409" s="1931" t="e">
        <v>#N/A</v>
      </c>
      <c r="H409" s="1931" t="e">
        <v>#N/A</v>
      </c>
      <c r="I409" s="1932" t="e">
        <v>#N/A</v>
      </c>
      <c r="J409" s="1930" t="e">
        <v>#N/A</v>
      </c>
      <c r="K409" s="1931" t="e">
        <v>#N/A</v>
      </c>
      <c r="L409" s="1931" t="e">
        <v>#N/A</v>
      </c>
      <c r="M409" s="1932" t="e">
        <v>#N/A</v>
      </c>
      <c r="N409" s="1930" t="e">
        <v>#N/A</v>
      </c>
      <c r="O409" s="1931" t="e">
        <v>#N/A</v>
      </c>
      <c r="P409" s="1931" t="e">
        <v>#N/A</v>
      </c>
      <c r="Q409" s="1933" t="e">
        <v>#N/A</v>
      </c>
    </row>
    <row r="410" spans="1:18" ht="12.75" customHeight="1">
      <c r="A410" s="1922">
        <f t="shared" si="6"/>
        <v>2026.05</v>
      </c>
      <c r="B410" s="1941" t="e">
        <v>#N/A</v>
      </c>
      <c r="C410" s="1943" t="e">
        <v>#N/A</v>
      </c>
      <c r="D410" s="1943" t="e">
        <v>#N/A</v>
      </c>
      <c r="E410" s="1944" t="e">
        <v>#N/A</v>
      </c>
      <c r="F410" s="1930" t="e">
        <v>#N/A</v>
      </c>
      <c r="G410" s="1931" t="e">
        <v>#N/A</v>
      </c>
      <c r="H410" s="1931" t="e">
        <v>#N/A</v>
      </c>
      <c r="I410" s="1932" t="e">
        <v>#N/A</v>
      </c>
      <c r="J410" s="1930" t="e">
        <v>#N/A</v>
      </c>
      <c r="K410" s="1931" t="e">
        <v>#N/A</v>
      </c>
      <c r="L410" s="1931" t="e">
        <v>#N/A</v>
      </c>
      <c r="M410" s="1932" t="e">
        <v>#N/A</v>
      </c>
      <c r="N410" s="1930" t="e">
        <v>#N/A</v>
      </c>
      <c r="O410" s="1931" t="e">
        <v>#N/A</v>
      </c>
      <c r="P410" s="1931" t="e">
        <v>#N/A</v>
      </c>
      <c r="Q410" s="1933" t="e">
        <v>#N/A</v>
      </c>
    </row>
    <row r="411" spans="1:18" ht="12.75" customHeight="1">
      <c r="A411" s="1922">
        <f t="shared" si="6"/>
        <v>2026.06</v>
      </c>
      <c r="B411" s="1941" t="e">
        <v>#N/A</v>
      </c>
      <c r="C411" s="1943" t="e">
        <v>#N/A</v>
      </c>
      <c r="D411" s="1943" t="e">
        <v>#N/A</v>
      </c>
      <c r="E411" s="1944" t="e">
        <v>#N/A</v>
      </c>
      <c r="F411" s="1930" t="e">
        <v>#N/A</v>
      </c>
      <c r="G411" s="1931" t="e">
        <v>#N/A</v>
      </c>
      <c r="H411" s="1931" t="e">
        <v>#N/A</v>
      </c>
      <c r="I411" s="1932" t="e">
        <v>#N/A</v>
      </c>
      <c r="J411" s="1930" t="e">
        <v>#N/A</v>
      </c>
      <c r="K411" s="1931" t="e">
        <v>#N/A</v>
      </c>
      <c r="L411" s="1931" t="e">
        <v>#N/A</v>
      </c>
      <c r="M411" s="1932" t="e">
        <v>#N/A</v>
      </c>
      <c r="N411" s="1930" t="e">
        <v>#N/A</v>
      </c>
      <c r="O411" s="1931" t="e">
        <v>#N/A</v>
      </c>
      <c r="P411" s="1931" t="e">
        <v>#N/A</v>
      </c>
      <c r="Q411" s="1933" t="e">
        <v>#N/A</v>
      </c>
    </row>
    <row r="412" spans="1:18" ht="12.75" customHeight="1">
      <c r="A412" s="1922">
        <f t="shared" si="6"/>
        <v>2026.07</v>
      </c>
      <c r="B412" s="1941" t="e">
        <v>#N/A</v>
      </c>
      <c r="C412" s="1943" t="e">
        <v>#N/A</v>
      </c>
      <c r="D412" s="1943" t="e">
        <v>#N/A</v>
      </c>
      <c r="E412" s="1944" t="e">
        <v>#N/A</v>
      </c>
      <c r="F412" s="1930" t="e">
        <v>#N/A</v>
      </c>
      <c r="G412" s="1931" t="e">
        <v>#N/A</v>
      </c>
      <c r="H412" s="1931" t="e">
        <v>#N/A</v>
      </c>
      <c r="I412" s="1932" t="e">
        <v>#N/A</v>
      </c>
      <c r="J412" s="1930" t="e">
        <v>#N/A</v>
      </c>
      <c r="K412" s="1931" t="e">
        <v>#N/A</v>
      </c>
      <c r="L412" s="1931" t="e">
        <v>#N/A</v>
      </c>
      <c r="M412" s="1932" t="e">
        <v>#N/A</v>
      </c>
      <c r="N412" s="1930" t="e">
        <v>#N/A</v>
      </c>
      <c r="O412" s="1931" t="e">
        <v>#N/A</v>
      </c>
      <c r="P412" s="1931" t="e">
        <v>#N/A</v>
      </c>
      <c r="Q412" s="1933" t="e">
        <v>#N/A</v>
      </c>
    </row>
    <row r="413" spans="1:18" ht="12.75" customHeight="1">
      <c r="A413" s="1922">
        <f t="shared" si="6"/>
        <v>2026.08</v>
      </c>
      <c r="B413" s="1941" t="e">
        <v>#N/A</v>
      </c>
      <c r="C413" s="1943" t="e">
        <v>#N/A</v>
      </c>
      <c r="D413" s="1943" t="e">
        <v>#N/A</v>
      </c>
      <c r="E413" s="1944" t="e">
        <v>#N/A</v>
      </c>
      <c r="F413" s="1930" t="e">
        <v>#N/A</v>
      </c>
      <c r="G413" s="1931" t="e">
        <v>#N/A</v>
      </c>
      <c r="H413" s="1931" t="e">
        <v>#N/A</v>
      </c>
      <c r="I413" s="1932" t="e">
        <v>#N/A</v>
      </c>
      <c r="J413" s="1930" t="e">
        <v>#N/A</v>
      </c>
      <c r="K413" s="1931" t="e">
        <v>#N/A</v>
      </c>
      <c r="L413" s="1931" t="e">
        <v>#N/A</v>
      </c>
      <c r="M413" s="1932" t="e">
        <v>#N/A</v>
      </c>
      <c r="N413" s="1930" t="e">
        <v>#N/A</v>
      </c>
      <c r="O413" s="1931" t="e">
        <v>#N/A</v>
      </c>
      <c r="P413" s="1931" t="e">
        <v>#N/A</v>
      </c>
      <c r="Q413" s="1933" t="e">
        <v>#N/A</v>
      </c>
    </row>
    <row r="414" spans="1:18" ht="12.75" customHeight="1">
      <c r="A414" s="1922">
        <f t="shared" si="6"/>
        <v>2026.09</v>
      </c>
      <c r="B414" s="1941" t="e">
        <v>#N/A</v>
      </c>
      <c r="C414" s="1943" t="e">
        <v>#N/A</v>
      </c>
      <c r="D414" s="1943" t="e">
        <v>#N/A</v>
      </c>
      <c r="E414" s="1944" t="e">
        <v>#N/A</v>
      </c>
      <c r="F414" s="1930" t="e">
        <v>#N/A</v>
      </c>
      <c r="G414" s="1931" t="e">
        <v>#N/A</v>
      </c>
      <c r="H414" s="1931" t="e">
        <v>#N/A</v>
      </c>
      <c r="I414" s="1932" t="e">
        <v>#N/A</v>
      </c>
      <c r="J414" s="1930" t="e">
        <v>#N/A</v>
      </c>
      <c r="K414" s="1931" t="e">
        <v>#N/A</v>
      </c>
      <c r="L414" s="1931" t="e">
        <v>#N/A</v>
      </c>
      <c r="M414" s="1932" t="e">
        <v>#N/A</v>
      </c>
      <c r="N414" s="1930" t="e">
        <v>#N/A</v>
      </c>
      <c r="O414" s="1931" t="e">
        <v>#N/A</v>
      </c>
      <c r="P414" s="1931" t="e">
        <v>#N/A</v>
      </c>
      <c r="Q414" s="1933" t="e">
        <v>#N/A</v>
      </c>
    </row>
    <row r="415" spans="1:18" ht="12.75" customHeight="1">
      <c r="A415" s="1922">
        <f t="shared" si="6"/>
        <v>2026.1</v>
      </c>
      <c r="B415" s="1941" t="e">
        <v>#N/A</v>
      </c>
      <c r="C415" s="1943" t="e">
        <v>#N/A</v>
      </c>
      <c r="D415" s="1943" t="e">
        <v>#N/A</v>
      </c>
      <c r="E415" s="1944" t="e">
        <v>#N/A</v>
      </c>
      <c r="F415" s="1930" t="e">
        <v>#N/A</v>
      </c>
      <c r="G415" s="1931" t="e">
        <v>#N/A</v>
      </c>
      <c r="H415" s="1931" t="e">
        <v>#N/A</v>
      </c>
      <c r="I415" s="1932" t="e">
        <v>#N/A</v>
      </c>
      <c r="J415" s="1930" t="e">
        <v>#N/A</v>
      </c>
      <c r="K415" s="1931" t="e">
        <v>#N/A</v>
      </c>
      <c r="L415" s="1931" t="e">
        <v>#N/A</v>
      </c>
      <c r="M415" s="1932" t="e">
        <v>#N/A</v>
      </c>
      <c r="N415" s="1930" t="e">
        <v>#N/A</v>
      </c>
      <c r="O415" s="1931" t="e">
        <v>#N/A</v>
      </c>
      <c r="P415" s="1931" t="e">
        <v>#N/A</v>
      </c>
      <c r="Q415" s="1933" t="e">
        <v>#N/A</v>
      </c>
    </row>
    <row r="416" spans="1:18" ht="12.75" customHeight="1">
      <c r="A416" s="1922">
        <f t="shared" si="6"/>
        <v>2026.11</v>
      </c>
      <c r="B416" s="1941" t="e">
        <v>#N/A</v>
      </c>
      <c r="C416" s="1943" t="e">
        <v>#N/A</v>
      </c>
      <c r="D416" s="1943" t="e">
        <v>#N/A</v>
      </c>
      <c r="E416" s="1944" t="e">
        <v>#N/A</v>
      </c>
      <c r="F416" s="1930" t="e">
        <v>#N/A</v>
      </c>
      <c r="G416" s="1931" t="e">
        <v>#N/A</v>
      </c>
      <c r="H416" s="1931" t="e">
        <v>#N/A</v>
      </c>
      <c r="I416" s="1932" t="e">
        <v>#N/A</v>
      </c>
      <c r="J416" s="1930" t="e">
        <v>#N/A</v>
      </c>
      <c r="K416" s="1931" t="e">
        <v>#N/A</v>
      </c>
      <c r="L416" s="1931" t="e">
        <v>#N/A</v>
      </c>
      <c r="M416" s="1932" t="e">
        <v>#N/A</v>
      </c>
      <c r="N416" s="1930" t="e">
        <v>#N/A</v>
      </c>
      <c r="O416" s="1931" t="e">
        <v>#N/A</v>
      </c>
      <c r="P416" s="1931" t="e">
        <v>#N/A</v>
      </c>
      <c r="Q416" s="1933" t="e">
        <v>#N/A</v>
      </c>
    </row>
    <row r="417" spans="1:17" ht="12.75" customHeight="1">
      <c r="A417" s="1922">
        <f t="shared" si="6"/>
        <v>2026.12</v>
      </c>
      <c r="B417" s="1941" t="e">
        <v>#N/A</v>
      </c>
      <c r="C417" s="1943" t="e">
        <v>#N/A</v>
      </c>
      <c r="D417" s="1943" t="e">
        <v>#N/A</v>
      </c>
      <c r="E417" s="1944" t="e">
        <v>#N/A</v>
      </c>
      <c r="F417" s="1930" t="e">
        <v>#N/A</v>
      </c>
      <c r="G417" s="1931" t="e">
        <v>#N/A</v>
      </c>
      <c r="H417" s="1931" t="e">
        <v>#N/A</v>
      </c>
      <c r="I417" s="1932" t="e">
        <v>#N/A</v>
      </c>
      <c r="J417" s="1930" t="e">
        <v>#N/A</v>
      </c>
      <c r="K417" s="1931" t="e">
        <v>#N/A</v>
      </c>
      <c r="L417" s="1931" t="e">
        <v>#N/A</v>
      </c>
      <c r="M417" s="1932" t="e">
        <v>#N/A</v>
      </c>
      <c r="N417" s="1930" t="e">
        <v>#N/A</v>
      </c>
      <c r="O417" s="1931" t="e">
        <v>#N/A</v>
      </c>
      <c r="P417" s="1931" t="e">
        <v>#N/A</v>
      </c>
      <c r="Q417" s="1933" t="e">
        <v>#N/A</v>
      </c>
    </row>
    <row r="418" spans="1:17" ht="12.75" customHeight="1">
      <c r="A418" s="1922">
        <f t="shared" si="6"/>
        <v>2027.01</v>
      </c>
      <c r="B418" s="1941" t="e">
        <v>#N/A</v>
      </c>
      <c r="C418" s="1943" t="e">
        <v>#N/A</v>
      </c>
      <c r="D418" s="1943" t="e">
        <v>#N/A</v>
      </c>
      <c r="E418" s="1944" t="e">
        <v>#N/A</v>
      </c>
      <c r="F418" s="1930" t="e">
        <v>#N/A</v>
      </c>
      <c r="G418" s="1931" t="e">
        <v>#N/A</v>
      </c>
      <c r="H418" s="1931" t="e">
        <v>#N/A</v>
      </c>
      <c r="I418" s="1932" t="e">
        <v>#N/A</v>
      </c>
      <c r="J418" s="1930" t="e">
        <v>#N/A</v>
      </c>
      <c r="K418" s="1931" t="e">
        <v>#N/A</v>
      </c>
      <c r="L418" s="1931" t="e">
        <v>#N/A</v>
      </c>
      <c r="M418" s="1932" t="e">
        <v>#N/A</v>
      </c>
      <c r="N418" s="1930" t="e">
        <v>#N/A</v>
      </c>
      <c r="O418" s="1931" t="e">
        <v>#N/A</v>
      </c>
      <c r="P418" s="1931" t="e">
        <v>#N/A</v>
      </c>
      <c r="Q418" s="1933" t="e">
        <v>#N/A</v>
      </c>
    </row>
    <row r="419" spans="1:17" ht="12.75" customHeight="1">
      <c r="A419" s="1922">
        <f t="shared" si="6"/>
        <v>2027.02</v>
      </c>
      <c r="B419" s="1941" t="e">
        <v>#N/A</v>
      </c>
      <c r="C419" s="1943" t="e">
        <v>#N/A</v>
      </c>
      <c r="D419" s="1943" t="e">
        <v>#N/A</v>
      </c>
      <c r="E419" s="1944" t="e">
        <v>#N/A</v>
      </c>
      <c r="F419" s="1930" t="e">
        <v>#N/A</v>
      </c>
      <c r="G419" s="1931" t="e">
        <v>#N/A</v>
      </c>
      <c r="H419" s="1931" t="e">
        <v>#N/A</v>
      </c>
      <c r="I419" s="1932" t="e">
        <v>#N/A</v>
      </c>
      <c r="J419" s="1930" t="e">
        <v>#N/A</v>
      </c>
      <c r="K419" s="1931" t="e">
        <v>#N/A</v>
      </c>
      <c r="L419" s="1931" t="e">
        <v>#N/A</v>
      </c>
      <c r="M419" s="1932" t="e">
        <v>#N/A</v>
      </c>
      <c r="N419" s="1930" t="e">
        <v>#N/A</v>
      </c>
      <c r="O419" s="1931" t="e">
        <v>#N/A</v>
      </c>
      <c r="P419" s="1931" t="e">
        <v>#N/A</v>
      </c>
      <c r="Q419" s="1933" t="e">
        <v>#N/A</v>
      </c>
    </row>
    <row r="420" spans="1:17" ht="12.75" customHeight="1">
      <c r="A420" s="1922">
        <f t="shared" si="6"/>
        <v>2027.03</v>
      </c>
      <c r="B420" s="1941" t="e">
        <v>#N/A</v>
      </c>
      <c r="C420" s="1943" t="e">
        <v>#N/A</v>
      </c>
      <c r="D420" s="1943" t="e">
        <v>#N/A</v>
      </c>
      <c r="E420" s="1944" t="e">
        <v>#N/A</v>
      </c>
      <c r="F420" s="1930" t="e">
        <v>#N/A</v>
      </c>
      <c r="G420" s="1931" t="e">
        <v>#N/A</v>
      </c>
      <c r="H420" s="1931" t="e">
        <v>#N/A</v>
      </c>
      <c r="I420" s="1932" t="e">
        <v>#N/A</v>
      </c>
      <c r="J420" s="1930" t="e">
        <v>#N/A</v>
      </c>
      <c r="K420" s="1931" t="e">
        <v>#N/A</v>
      </c>
      <c r="L420" s="1931" t="e">
        <v>#N/A</v>
      </c>
      <c r="M420" s="1932" t="e">
        <v>#N/A</v>
      </c>
      <c r="N420" s="1930" t="e">
        <v>#N/A</v>
      </c>
      <c r="O420" s="1931" t="e">
        <v>#N/A</v>
      </c>
      <c r="P420" s="1931" t="e">
        <v>#N/A</v>
      </c>
      <c r="Q420" s="1933" t="e">
        <v>#N/A</v>
      </c>
    </row>
    <row r="421" spans="1:17" ht="12.75" customHeight="1">
      <c r="A421" s="1922">
        <f t="shared" si="6"/>
        <v>2027.04</v>
      </c>
      <c r="B421" s="1941" t="e">
        <v>#N/A</v>
      </c>
      <c r="C421" s="1943" t="e">
        <v>#N/A</v>
      </c>
      <c r="D421" s="1943" t="e">
        <v>#N/A</v>
      </c>
      <c r="E421" s="1944" t="e">
        <v>#N/A</v>
      </c>
      <c r="F421" s="1930" t="e">
        <v>#N/A</v>
      </c>
      <c r="G421" s="1931" t="e">
        <v>#N/A</v>
      </c>
      <c r="H421" s="1931" t="e">
        <v>#N/A</v>
      </c>
      <c r="I421" s="1932" t="e">
        <v>#N/A</v>
      </c>
      <c r="J421" s="1930" t="e">
        <v>#N/A</v>
      </c>
      <c r="K421" s="1931" t="e">
        <v>#N/A</v>
      </c>
      <c r="L421" s="1931" t="e">
        <v>#N/A</v>
      </c>
      <c r="M421" s="1932" t="e">
        <v>#N/A</v>
      </c>
      <c r="N421" s="1930" t="e">
        <v>#N/A</v>
      </c>
      <c r="O421" s="1931" t="e">
        <v>#N/A</v>
      </c>
      <c r="P421" s="1931" t="e">
        <v>#N/A</v>
      </c>
      <c r="Q421" s="1933" t="e">
        <v>#N/A</v>
      </c>
    </row>
    <row r="422" spans="1:17" ht="12.75" customHeight="1">
      <c r="A422" s="1922">
        <f t="shared" si="6"/>
        <v>2027.05</v>
      </c>
      <c r="B422" s="1941" t="e">
        <v>#N/A</v>
      </c>
      <c r="C422" s="1943" t="e">
        <v>#N/A</v>
      </c>
      <c r="D422" s="1943" t="e">
        <v>#N/A</v>
      </c>
      <c r="E422" s="1944" t="e">
        <v>#N/A</v>
      </c>
      <c r="F422" s="1930" t="e">
        <v>#N/A</v>
      </c>
      <c r="G422" s="1931" t="e">
        <v>#N/A</v>
      </c>
      <c r="H422" s="1931" t="e">
        <v>#N/A</v>
      </c>
      <c r="I422" s="1932" t="e">
        <v>#N/A</v>
      </c>
      <c r="J422" s="1930" t="e">
        <v>#N/A</v>
      </c>
      <c r="K422" s="1931" t="e">
        <v>#N/A</v>
      </c>
      <c r="L422" s="1931" t="e">
        <v>#N/A</v>
      </c>
      <c r="M422" s="1932" t="e">
        <v>#N/A</v>
      </c>
      <c r="N422" s="1930" t="e">
        <v>#N/A</v>
      </c>
      <c r="O422" s="1931" t="e">
        <v>#N/A</v>
      </c>
      <c r="P422" s="1931" t="e">
        <v>#N/A</v>
      </c>
      <c r="Q422" s="1933" t="e">
        <v>#N/A</v>
      </c>
    </row>
    <row r="423" spans="1:17" ht="12.75" customHeight="1">
      <c r="A423" s="1922">
        <f t="shared" si="6"/>
        <v>2027.06</v>
      </c>
      <c r="B423" s="1941" t="e">
        <v>#N/A</v>
      </c>
      <c r="C423" s="1943" t="e">
        <v>#N/A</v>
      </c>
      <c r="D423" s="1943" t="e">
        <v>#N/A</v>
      </c>
      <c r="E423" s="1944" t="e">
        <v>#N/A</v>
      </c>
      <c r="F423" s="1930" t="e">
        <v>#N/A</v>
      </c>
      <c r="G423" s="1931" t="e">
        <v>#N/A</v>
      </c>
      <c r="H423" s="1931" t="e">
        <v>#N/A</v>
      </c>
      <c r="I423" s="1932" t="e">
        <v>#N/A</v>
      </c>
      <c r="J423" s="1930" t="e">
        <v>#N/A</v>
      </c>
      <c r="K423" s="1931" t="e">
        <v>#N/A</v>
      </c>
      <c r="L423" s="1931" t="e">
        <v>#N/A</v>
      </c>
      <c r="M423" s="1932" t="e">
        <v>#N/A</v>
      </c>
      <c r="N423" s="1930" t="e">
        <v>#N/A</v>
      </c>
      <c r="O423" s="1931" t="e">
        <v>#N/A</v>
      </c>
      <c r="P423" s="1931" t="e">
        <v>#N/A</v>
      </c>
      <c r="Q423" s="1933" t="e">
        <v>#N/A</v>
      </c>
    </row>
    <row r="424" spans="1:17" ht="12.75" customHeight="1">
      <c r="A424" s="1922">
        <f t="shared" si="6"/>
        <v>2027.07</v>
      </c>
      <c r="B424" s="1941" t="e">
        <v>#N/A</v>
      </c>
      <c r="C424" s="1943" t="e">
        <v>#N/A</v>
      </c>
      <c r="D424" s="1943" t="e">
        <v>#N/A</v>
      </c>
      <c r="E424" s="1944" t="e">
        <v>#N/A</v>
      </c>
      <c r="F424" s="1930" t="e">
        <v>#N/A</v>
      </c>
      <c r="G424" s="1931" t="e">
        <v>#N/A</v>
      </c>
      <c r="H424" s="1931" t="e">
        <v>#N/A</v>
      </c>
      <c r="I424" s="1932" t="e">
        <v>#N/A</v>
      </c>
      <c r="J424" s="1930" t="e">
        <v>#N/A</v>
      </c>
      <c r="K424" s="1931" t="e">
        <v>#N/A</v>
      </c>
      <c r="L424" s="1931" t="e">
        <v>#N/A</v>
      </c>
      <c r="M424" s="1932" t="e">
        <v>#N/A</v>
      </c>
      <c r="N424" s="1930" t="e">
        <v>#N/A</v>
      </c>
      <c r="O424" s="1931" t="e">
        <v>#N/A</v>
      </c>
      <c r="P424" s="1931" t="e">
        <v>#N/A</v>
      </c>
      <c r="Q424" s="1933" t="e">
        <v>#N/A</v>
      </c>
    </row>
    <row r="425" spans="1:17" ht="12.75" customHeight="1">
      <c r="A425" s="1922">
        <f t="shared" si="6"/>
        <v>2027.08</v>
      </c>
      <c r="B425" s="1941" t="e">
        <v>#N/A</v>
      </c>
      <c r="C425" s="1943" t="e">
        <v>#N/A</v>
      </c>
      <c r="D425" s="1943" t="e">
        <v>#N/A</v>
      </c>
      <c r="E425" s="1944" t="e">
        <v>#N/A</v>
      </c>
      <c r="F425" s="1930" t="e">
        <v>#N/A</v>
      </c>
      <c r="G425" s="1931" t="e">
        <v>#N/A</v>
      </c>
      <c r="H425" s="1931" t="e">
        <v>#N/A</v>
      </c>
      <c r="I425" s="1932" t="e">
        <v>#N/A</v>
      </c>
      <c r="J425" s="1930" t="e">
        <v>#N/A</v>
      </c>
      <c r="K425" s="1931" t="e">
        <v>#N/A</v>
      </c>
      <c r="L425" s="1931" t="e">
        <v>#N/A</v>
      </c>
      <c r="M425" s="1932" t="e">
        <v>#N/A</v>
      </c>
      <c r="N425" s="1930" t="e">
        <v>#N/A</v>
      </c>
      <c r="O425" s="1931" t="e">
        <v>#N/A</v>
      </c>
      <c r="P425" s="1931" t="e">
        <v>#N/A</v>
      </c>
      <c r="Q425" s="1933" t="e">
        <v>#N/A</v>
      </c>
    </row>
    <row r="426" spans="1:17" ht="12.75" customHeight="1">
      <c r="A426" s="1922">
        <f t="shared" si="6"/>
        <v>2027.09</v>
      </c>
      <c r="B426" s="1941" t="e">
        <v>#N/A</v>
      </c>
      <c r="C426" s="1943" t="e">
        <v>#N/A</v>
      </c>
      <c r="D426" s="1943" t="e">
        <v>#N/A</v>
      </c>
      <c r="E426" s="1944" t="e">
        <v>#N/A</v>
      </c>
      <c r="F426" s="1930" t="e">
        <v>#N/A</v>
      </c>
      <c r="G426" s="1931" t="e">
        <v>#N/A</v>
      </c>
      <c r="H426" s="1931" t="e">
        <v>#N/A</v>
      </c>
      <c r="I426" s="1932" t="e">
        <v>#N/A</v>
      </c>
      <c r="J426" s="1930" t="e">
        <v>#N/A</v>
      </c>
      <c r="K426" s="1931" t="e">
        <v>#N/A</v>
      </c>
      <c r="L426" s="1931" t="e">
        <v>#N/A</v>
      </c>
      <c r="M426" s="1932" t="e">
        <v>#N/A</v>
      </c>
      <c r="N426" s="1930" t="e">
        <v>#N/A</v>
      </c>
      <c r="O426" s="1931" t="e">
        <v>#N/A</v>
      </c>
      <c r="P426" s="1931" t="e">
        <v>#N/A</v>
      </c>
      <c r="Q426" s="1933" t="e">
        <v>#N/A</v>
      </c>
    </row>
    <row r="427" spans="1:17" ht="12.75" customHeight="1">
      <c r="A427" s="1922">
        <f t="shared" si="6"/>
        <v>2027.1</v>
      </c>
      <c r="B427" s="1941" t="e">
        <v>#N/A</v>
      </c>
      <c r="C427" s="1943" t="e">
        <v>#N/A</v>
      </c>
      <c r="D427" s="1943" t="e">
        <v>#N/A</v>
      </c>
      <c r="E427" s="1944" t="e">
        <v>#N/A</v>
      </c>
      <c r="F427" s="1930" t="e">
        <v>#N/A</v>
      </c>
      <c r="G427" s="1931" t="e">
        <v>#N/A</v>
      </c>
      <c r="H427" s="1931" t="e">
        <v>#N/A</v>
      </c>
      <c r="I427" s="1932" t="e">
        <v>#N/A</v>
      </c>
      <c r="J427" s="1930" t="e">
        <v>#N/A</v>
      </c>
      <c r="K427" s="1931" t="e">
        <v>#N/A</v>
      </c>
      <c r="L427" s="1931" t="e">
        <v>#N/A</v>
      </c>
      <c r="M427" s="1932" t="e">
        <v>#N/A</v>
      </c>
      <c r="N427" s="1930" t="e">
        <v>#N/A</v>
      </c>
      <c r="O427" s="1931" t="e">
        <v>#N/A</v>
      </c>
      <c r="P427" s="1931" t="e">
        <v>#N/A</v>
      </c>
      <c r="Q427" s="1933" t="e">
        <v>#N/A</v>
      </c>
    </row>
    <row r="428" spans="1:17" ht="12.75" customHeight="1">
      <c r="A428" s="1922">
        <f t="shared" si="6"/>
        <v>2027.11</v>
      </c>
      <c r="B428" s="1941" t="e">
        <v>#N/A</v>
      </c>
      <c r="C428" s="1943" t="e">
        <v>#N/A</v>
      </c>
      <c r="D428" s="1943" t="e">
        <v>#N/A</v>
      </c>
      <c r="E428" s="1944" t="e">
        <v>#N/A</v>
      </c>
      <c r="F428" s="1930" t="e">
        <v>#N/A</v>
      </c>
      <c r="G428" s="1931" t="e">
        <v>#N/A</v>
      </c>
      <c r="H428" s="1931" t="e">
        <v>#N/A</v>
      </c>
      <c r="I428" s="1932" t="e">
        <v>#N/A</v>
      </c>
      <c r="J428" s="1930" t="e">
        <v>#N/A</v>
      </c>
      <c r="K428" s="1931" t="e">
        <v>#N/A</v>
      </c>
      <c r="L428" s="1931" t="e">
        <v>#N/A</v>
      </c>
      <c r="M428" s="1932" t="e">
        <v>#N/A</v>
      </c>
      <c r="N428" s="1930" t="e">
        <v>#N/A</v>
      </c>
      <c r="O428" s="1931" t="e">
        <v>#N/A</v>
      </c>
      <c r="P428" s="1931" t="e">
        <v>#N/A</v>
      </c>
      <c r="Q428" s="1933" t="e">
        <v>#N/A</v>
      </c>
    </row>
    <row r="429" spans="1:17" ht="12.75" customHeight="1">
      <c r="A429" s="1922">
        <f t="shared" si="6"/>
        <v>2027.12</v>
      </c>
      <c r="B429" s="1941" t="e">
        <v>#N/A</v>
      </c>
      <c r="C429" s="1943" t="e">
        <v>#N/A</v>
      </c>
      <c r="D429" s="1943" t="e">
        <v>#N/A</v>
      </c>
      <c r="E429" s="1944" t="e">
        <v>#N/A</v>
      </c>
      <c r="F429" s="1930" t="e">
        <v>#N/A</v>
      </c>
      <c r="G429" s="1931" t="e">
        <v>#N/A</v>
      </c>
      <c r="H429" s="1931" t="e">
        <v>#N/A</v>
      </c>
      <c r="I429" s="1932" t="e">
        <v>#N/A</v>
      </c>
      <c r="J429" s="1930" t="e">
        <v>#N/A</v>
      </c>
      <c r="K429" s="1931" t="e">
        <v>#N/A</v>
      </c>
      <c r="L429" s="1931" t="e">
        <v>#N/A</v>
      </c>
      <c r="M429" s="1932" t="e">
        <v>#N/A</v>
      </c>
      <c r="N429" s="1930" t="e">
        <v>#N/A</v>
      </c>
      <c r="O429" s="1931" t="e">
        <v>#N/A</v>
      </c>
      <c r="P429" s="1931" t="e">
        <v>#N/A</v>
      </c>
      <c r="Q429" s="1933" t="e">
        <v>#N/A</v>
      </c>
    </row>
    <row r="430" spans="1:17" ht="12.75" customHeight="1">
      <c r="A430" s="1922">
        <f t="shared" si="6"/>
        <v>2028.01</v>
      </c>
      <c r="B430" s="1941" t="e">
        <v>#N/A</v>
      </c>
      <c r="C430" s="1943" t="e">
        <v>#N/A</v>
      </c>
      <c r="D430" s="1943" t="e">
        <v>#N/A</v>
      </c>
      <c r="E430" s="1944" t="e">
        <v>#N/A</v>
      </c>
      <c r="F430" s="1930" t="e">
        <v>#N/A</v>
      </c>
      <c r="G430" s="1931" t="e">
        <v>#N/A</v>
      </c>
      <c r="H430" s="1931" t="e">
        <v>#N/A</v>
      </c>
      <c r="I430" s="1932" t="e">
        <v>#N/A</v>
      </c>
      <c r="J430" s="1930" t="e">
        <v>#N/A</v>
      </c>
      <c r="K430" s="1931" t="e">
        <v>#N/A</v>
      </c>
      <c r="L430" s="1931" t="e">
        <v>#N/A</v>
      </c>
      <c r="M430" s="1932" t="e">
        <v>#N/A</v>
      </c>
      <c r="N430" s="1930" t="e">
        <v>#N/A</v>
      </c>
      <c r="O430" s="1931" t="e">
        <v>#N/A</v>
      </c>
      <c r="P430" s="1931" t="e">
        <v>#N/A</v>
      </c>
      <c r="Q430" s="1933" t="e">
        <v>#N/A</v>
      </c>
    </row>
    <row r="431" spans="1:17" ht="12.75" customHeight="1">
      <c r="A431" s="1922">
        <f t="shared" si="6"/>
        <v>2028.02</v>
      </c>
      <c r="B431" s="1941" t="e">
        <v>#N/A</v>
      </c>
      <c r="C431" s="1943" t="e">
        <v>#N/A</v>
      </c>
      <c r="D431" s="1943" t="e">
        <v>#N/A</v>
      </c>
      <c r="E431" s="1944" t="e">
        <v>#N/A</v>
      </c>
      <c r="F431" s="1930" t="e">
        <v>#N/A</v>
      </c>
      <c r="G431" s="1931" t="e">
        <v>#N/A</v>
      </c>
      <c r="H431" s="1931" t="e">
        <v>#N/A</v>
      </c>
      <c r="I431" s="1932" t="e">
        <v>#N/A</v>
      </c>
      <c r="J431" s="1930" t="e">
        <v>#N/A</v>
      </c>
      <c r="K431" s="1931" t="e">
        <v>#N/A</v>
      </c>
      <c r="L431" s="1931" t="e">
        <v>#N/A</v>
      </c>
      <c r="M431" s="1932" t="e">
        <v>#N/A</v>
      </c>
      <c r="N431" s="1930" t="e">
        <v>#N/A</v>
      </c>
      <c r="O431" s="1931" t="e">
        <v>#N/A</v>
      </c>
      <c r="P431" s="1931" t="e">
        <v>#N/A</v>
      </c>
      <c r="Q431" s="1933" t="e">
        <v>#N/A</v>
      </c>
    </row>
    <row r="432" spans="1:17" ht="12.75" customHeight="1">
      <c r="A432" s="1922">
        <f t="shared" si="6"/>
        <v>2028.03</v>
      </c>
      <c r="B432" s="1941" t="e">
        <v>#N/A</v>
      </c>
      <c r="C432" s="1943" t="e">
        <v>#N/A</v>
      </c>
      <c r="D432" s="1943" t="e">
        <v>#N/A</v>
      </c>
      <c r="E432" s="1944" t="e">
        <v>#N/A</v>
      </c>
      <c r="F432" s="1930" t="e">
        <v>#N/A</v>
      </c>
      <c r="G432" s="1931" t="e">
        <v>#N/A</v>
      </c>
      <c r="H432" s="1931" t="e">
        <v>#N/A</v>
      </c>
      <c r="I432" s="1932" t="e">
        <v>#N/A</v>
      </c>
      <c r="J432" s="1930" t="e">
        <v>#N/A</v>
      </c>
      <c r="K432" s="1931" t="e">
        <v>#N/A</v>
      </c>
      <c r="L432" s="1931" t="e">
        <v>#N/A</v>
      </c>
      <c r="M432" s="1932" t="e">
        <v>#N/A</v>
      </c>
      <c r="N432" s="1930" t="e">
        <v>#N/A</v>
      </c>
      <c r="O432" s="1931" t="e">
        <v>#N/A</v>
      </c>
      <c r="P432" s="1931" t="e">
        <v>#N/A</v>
      </c>
      <c r="Q432" s="1933" t="e">
        <v>#N/A</v>
      </c>
    </row>
    <row r="433" spans="1:17" ht="12.75" customHeight="1">
      <c r="A433" s="1922">
        <f t="shared" si="6"/>
        <v>2028.04</v>
      </c>
      <c r="B433" s="1941" t="e">
        <v>#N/A</v>
      </c>
      <c r="C433" s="1943" t="e">
        <v>#N/A</v>
      </c>
      <c r="D433" s="1943" t="e">
        <v>#N/A</v>
      </c>
      <c r="E433" s="1944" t="e">
        <v>#N/A</v>
      </c>
      <c r="F433" s="1930" t="e">
        <v>#N/A</v>
      </c>
      <c r="G433" s="1931" t="e">
        <v>#N/A</v>
      </c>
      <c r="H433" s="1931" t="e">
        <v>#N/A</v>
      </c>
      <c r="I433" s="1932" t="e">
        <v>#N/A</v>
      </c>
      <c r="J433" s="1930" t="e">
        <v>#N/A</v>
      </c>
      <c r="K433" s="1931" t="e">
        <v>#N/A</v>
      </c>
      <c r="L433" s="1931" t="e">
        <v>#N/A</v>
      </c>
      <c r="M433" s="1932" t="e">
        <v>#N/A</v>
      </c>
      <c r="N433" s="1930" t="e">
        <v>#N/A</v>
      </c>
      <c r="O433" s="1931" t="e">
        <v>#N/A</v>
      </c>
      <c r="P433" s="1931" t="e">
        <v>#N/A</v>
      </c>
      <c r="Q433" s="1933" t="e">
        <v>#N/A</v>
      </c>
    </row>
    <row r="434" spans="1:17" ht="12.75" customHeight="1">
      <c r="A434" s="1922">
        <f t="shared" si="6"/>
        <v>2028.05</v>
      </c>
      <c r="B434" s="1941" t="e">
        <v>#N/A</v>
      </c>
      <c r="C434" s="1943" t="e">
        <v>#N/A</v>
      </c>
      <c r="D434" s="1943" t="e">
        <v>#N/A</v>
      </c>
      <c r="E434" s="1944" t="e">
        <v>#N/A</v>
      </c>
      <c r="F434" s="1930" t="e">
        <v>#N/A</v>
      </c>
      <c r="G434" s="1931" t="e">
        <v>#N/A</v>
      </c>
      <c r="H434" s="1931" t="e">
        <v>#N/A</v>
      </c>
      <c r="I434" s="1932" t="e">
        <v>#N/A</v>
      </c>
      <c r="J434" s="1930" t="e">
        <v>#N/A</v>
      </c>
      <c r="K434" s="1931" t="e">
        <v>#N/A</v>
      </c>
      <c r="L434" s="1931" t="e">
        <v>#N/A</v>
      </c>
      <c r="M434" s="1932" t="e">
        <v>#N/A</v>
      </c>
      <c r="N434" s="1930" t="e">
        <v>#N/A</v>
      </c>
      <c r="O434" s="1931" t="e">
        <v>#N/A</v>
      </c>
      <c r="P434" s="1931" t="e">
        <v>#N/A</v>
      </c>
      <c r="Q434" s="1933" t="e">
        <v>#N/A</v>
      </c>
    </row>
    <row r="435" spans="1:17" ht="12.75" customHeight="1">
      <c r="A435" s="1922">
        <f t="shared" si="6"/>
        <v>2028.06</v>
      </c>
      <c r="B435" s="1941" t="e">
        <v>#N/A</v>
      </c>
      <c r="C435" s="1943" t="e">
        <v>#N/A</v>
      </c>
      <c r="D435" s="1943" t="e">
        <v>#N/A</v>
      </c>
      <c r="E435" s="1944" t="e">
        <v>#N/A</v>
      </c>
      <c r="F435" s="1930" t="e">
        <v>#N/A</v>
      </c>
      <c r="G435" s="1931" t="e">
        <v>#N/A</v>
      </c>
      <c r="H435" s="1931" t="e">
        <v>#N/A</v>
      </c>
      <c r="I435" s="1932" t="e">
        <v>#N/A</v>
      </c>
      <c r="J435" s="1930" t="e">
        <v>#N/A</v>
      </c>
      <c r="K435" s="1931" t="e">
        <v>#N/A</v>
      </c>
      <c r="L435" s="1931" t="e">
        <v>#N/A</v>
      </c>
      <c r="M435" s="1932" t="e">
        <v>#N/A</v>
      </c>
      <c r="N435" s="1930" t="e">
        <v>#N/A</v>
      </c>
      <c r="O435" s="1931" t="e">
        <v>#N/A</v>
      </c>
      <c r="P435" s="1931" t="e">
        <v>#N/A</v>
      </c>
      <c r="Q435" s="1933" t="e">
        <v>#N/A</v>
      </c>
    </row>
    <row r="436" spans="1:17" ht="12.75" customHeight="1">
      <c r="A436" s="1922">
        <f t="shared" si="6"/>
        <v>2028.07</v>
      </c>
      <c r="B436" s="1941" t="e">
        <v>#N/A</v>
      </c>
      <c r="C436" s="1943" t="e">
        <v>#N/A</v>
      </c>
      <c r="D436" s="1943" t="e">
        <v>#N/A</v>
      </c>
      <c r="E436" s="1944" t="e">
        <v>#N/A</v>
      </c>
      <c r="F436" s="1930" t="e">
        <v>#N/A</v>
      </c>
      <c r="G436" s="1931" t="e">
        <v>#N/A</v>
      </c>
      <c r="H436" s="1931" t="e">
        <v>#N/A</v>
      </c>
      <c r="I436" s="1932" t="e">
        <v>#N/A</v>
      </c>
      <c r="J436" s="1930" t="e">
        <v>#N/A</v>
      </c>
      <c r="K436" s="1931" t="e">
        <v>#N/A</v>
      </c>
      <c r="L436" s="1931" t="e">
        <v>#N/A</v>
      </c>
      <c r="M436" s="1932" t="e">
        <v>#N/A</v>
      </c>
      <c r="N436" s="1930" t="e">
        <v>#N/A</v>
      </c>
      <c r="O436" s="1931" t="e">
        <v>#N/A</v>
      </c>
      <c r="P436" s="1931" t="e">
        <v>#N/A</v>
      </c>
      <c r="Q436" s="1933" t="e">
        <v>#N/A</v>
      </c>
    </row>
    <row r="437" spans="1:17" ht="12.75" customHeight="1">
      <c r="A437" s="1922">
        <f t="shared" si="6"/>
        <v>2028.08</v>
      </c>
      <c r="B437" s="1941" t="e">
        <v>#N/A</v>
      </c>
      <c r="C437" s="1943" t="e">
        <v>#N/A</v>
      </c>
      <c r="D437" s="1943" t="e">
        <v>#N/A</v>
      </c>
      <c r="E437" s="1944" t="e">
        <v>#N/A</v>
      </c>
      <c r="F437" s="1930" t="e">
        <v>#N/A</v>
      </c>
      <c r="G437" s="1931" t="e">
        <v>#N/A</v>
      </c>
      <c r="H437" s="1931" t="e">
        <v>#N/A</v>
      </c>
      <c r="I437" s="1932" t="e">
        <v>#N/A</v>
      </c>
      <c r="J437" s="1930" t="e">
        <v>#N/A</v>
      </c>
      <c r="K437" s="1931" t="e">
        <v>#N/A</v>
      </c>
      <c r="L437" s="1931" t="e">
        <v>#N/A</v>
      </c>
      <c r="M437" s="1932" t="e">
        <v>#N/A</v>
      </c>
      <c r="N437" s="1930" t="e">
        <v>#N/A</v>
      </c>
      <c r="O437" s="1931" t="e">
        <v>#N/A</v>
      </c>
      <c r="P437" s="1931" t="e">
        <v>#N/A</v>
      </c>
      <c r="Q437" s="1933" t="e">
        <v>#N/A</v>
      </c>
    </row>
    <row r="438" spans="1:17" ht="12.75" customHeight="1">
      <c r="A438" s="1922">
        <f t="shared" si="6"/>
        <v>2028.09</v>
      </c>
      <c r="B438" s="1941" t="e">
        <v>#N/A</v>
      </c>
      <c r="C438" s="1943" t="e">
        <v>#N/A</v>
      </c>
      <c r="D438" s="1943" t="e">
        <v>#N/A</v>
      </c>
      <c r="E438" s="1944" t="e">
        <v>#N/A</v>
      </c>
      <c r="F438" s="1930" t="e">
        <v>#N/A</v>
      </c>
      <c r="G438" s="1931" t="e">
        <v>#N/A</v>
      </c>
      <c r="H438" s="1931" t="e">
        <v>#N/A</v>
      </c>
      <c r="I438" s="1932" t="e">
        <v>#N/A</v>
      </c>
      <c r="J438" s="1930" t="e">
        <v>#N/A</v>
      </c>
      <c r="K438" s="1931" t="e">
        <v>#N/A</v>
      </c>
      <c r="L438" s="1931" t="e">
        <v>#N/A</v>
      </c>
      <c r="M438" s="1932" t="e">
        <v>#N/A</v>
      </c>
      <c r="N438" s="1930" t="e">
        <v>#N/A</v>
      </c>
      <c r="O438" s="1931" t="e">
        <v>#N/A</v>
      </c>
      <c r="P438" s="1931" t="e">
        <v>#N/A</v>
      </c>
      <c r="Q438" s="1933" t="e">
        <v>#N/A</v>
      </c>
    </row>
    <row r="439" spans="1:17" ht="12.75" customHeight="1">
      <c r="A439" s="1922">
        <f t="shared" si="6"/>
        <v>2028.1</v>
      </c>
      <c r="B439" s="1941" t="e">
        <v>#N/A</v>
      </c>
      <c r="C439" s="1943" t="e">
        <v>#N/A</v>
      </c>
      <c r="D439" s="1943" t="e">
        <v>#N/A</v>
      </c>
      <c r="E439" s="1944" t="e">
        <v>#N/A</v>
      </c>
      <c r="F439" s="1930" t="e">
        <v>#N/A</v>
      </c>
      <c r="G439" s="1931" t="e">
        <v>#N/A</v>
      </c>
      <c r="H439" s="1931" t="e">
        <v>#N/A</v>
      </c>
      <c r="I439" s="1932" t="e">
        <v>#N/A</v>
      </c>
      <c r="J439" s="1930" t="e">
        <v>#N/A</v>
      </c>
      <c r="K439" s="1931" t="e">
        <v>#N/A</v>
      </c>
      <c r="L439" s="1931" t="e">
        <v>#N/A</v>
      </c>
      <c r="M439" s="1932" t="e">
        <v>#N/A</v>
      </c>
      <c r="N439" s="1930" t="e">
        <v>#N/A</v>
      </c>
      <c r="O439" s="1931" t="e">
        <v>#N/A</v>
      </c>
      <c r="P439" s="1931" t="e">
        <v>#N/A</v>
      </c>
      <c r="Q439" s="1933" t="e">
        <v>#N/A</v>
      </c>
    </row>
    <row r="440" spans="1:17" ht="12.75" customHeight="1">
      <c r="A440" s="1922">
        <f t="shared" si="6"/>
        <v>2028.11</v>
      </c>
      <c r="B440" s="1941" t="e">
        <v>#N/A</v>
      </c>
      <c r="C440" s="1943" t="e">
        <v>#N/A</v>
      </c>
      <c r="D440" s="1943" t="e">
        <v>#N/A</v>
      </c>
      <c r="E440" s="1944" t="e">
        <v>#N/A</v>
      </c>
      <c r="F440" s="1930" t="e">
        <v>#N/A</v>
      </c>
      <c r="G440" s="1931" t="e">
        <v>#N/A</v>
      </c>
      <c r="H440" s="1931" t="e">
        <v>#N/A</v>
      </c>
      <c r="I440" s="1932" t="e">
        <v>#N/A</v>
      </c>
      <c r="J440" s="1930" t="e">
        <v>#N/A</v>
      </c>
      <c r="K440" s="1931" t="e">
        <v>#N/A</v>
      </c>
      <c r="L440" s="1931" t="e">
        <v>#N/A</v>
      </c>
      <c r="M440" s="1932" t="e">
        <v>#N/A</v>
      </c>
      <c r="N440" s="1930" t="e">
        <v>#N/A</v>
      </c>
      <c r="O440" s="1931" t="e">
        <v>#N/A</v>
      </c>
      <c r="P440" s="1931" t="e">
        <v>#N/A</v>
      </c>
      <c r="Q440" s="1933" t="e">
        <v>#N/A</v>
      </c>
    </row>
    <row r="441" spans="1:17" ht="12.75" customHeight="1">
      <c r="A441" s="1922">
        <f t="shared" si="6"/>
        <v>2028.12</v>
      </c>
      <c r="B441" s="1941" t="e">
        <v>#N/A</v>
      </c>
      <c r="C441" s="1943" t="e">
        <v>#N/A</v>
      </c>
      <c r="D441" s="1943" t="e">
        <v>#N/A</v>
      </c>
      <c r="E441" s="1944" t="e">
        <v>#N/A</v>
      </c>
      <c r="F441" s="1930" t="e">
        <v>#N/A</v>
      </c>
      <c r="G441" s="1931" t="e">
        <v>#N/A</v>
      </c>
      <c r="H441" s="1931" t="e">
        <v>#N/A</v>
      </c>
      <c r="I441" s="1932" t="e">
        <v>#N/A</v>
      </c>
      <c r="J441" s="1930" t="e">
        <v>#N/A</v>
      </c>
      <c r="K441" s="1931" t="e">
        <v>#N/A</v>
      </c>
      <c r="L441" s="1931" t="e">
        <v>#N/A</v>
      </c>
      <c r="M441" s="1932" t="e">
        <v>#N/A</v>
      </c>
      <c r="N441" s="1930" t="e">
        <v>#N/A</v>
      </c>
      <c r="O441" s="1931" t="e">
        <v>#N/A</v>
      </c>
      <c r="P441" s="1931" t="e">
        <v>#N/A</v>
      </c>
      <c r="Q441" s="1933" t="e">
        <v>#N/A</v>
      </c>
    </row>
    <row r="442" spans="1:17" ht="12.75" customHeight="1">
      <c r="A442" s="1922">
        <f t="shared" si="6"/>
        <v>2029.01</v>
      </c>
      <c r="B442" s="1941" t="e">
        <v>#N/A</v>
      </c>
      <c r="C442" s="1943" t="e">
        <v>#N/A</v>
      </c>
      <c r="D442" s="1943" t="e">
        <v>#N/A</v>
      </c>
      <c r="E442" s="1944" t="e">
        <v>#N/A</v>
      </c>
      <c r="F442" s="1930" t="e">
        <v>#N/A</v>
      </c>
      <c r="G442" s="1931" t="e">
        <v>#N/A</v>
      </c>
      <c r="H442" s="1931" t="e">
        <v>#N/A</v>
      </c>
      <c r="I442" s="1932" t="e">
        <v>#N/A</v>
      </c>
      <c r="J442" s="1930" t="e">
        <v>#N/A</v>
      </c>
      <c r="K442" s="1931" t="e">
        <v>#N/A</v>
      </c>
      <c r="L442" s="1931" t="e">
        <v>#N/A</v>
      </c>
      <c r="M442" s="1932" t="e">
        <v>#N/A</v>
      </c>
      <c r="N442" s="1930" t="e">
        <v>#N/A</v>
      </c>
      <c r="O442" s="1931" t="e">
        <v>#N/A</v>
      </c>
      <c r="P442" s="1931" t="e">
        <v>#N/A</v>
      </c>
      <c r="Q442" s="1933" t="e">
        <v>#N/A</v>
      </c>
    </row>
    <row r="443" spans="1:17" ht="12.75" customHeight="1">
      <c r="A443" s="1922">
        <f t="shared" si="6"/>
        <v>2029.02</v>
      </c>
      <c r="B443" s="1941" t="e">
        <v>#N/A</v>
      </c>
      <c r="C443" s="1943" t="e">
        <v>#N/A</v>
      </c>
      <c r="D443" s="1943" t="e">
        <v>#N/A</v>
      </c>
      <c r="E443" s="1944" t="e">
        <v>#N/A</v>
      </c>
      <c r="F443" s="1930" t="e">
        <v>#N/A</v>
      </c>
      <c r="G443" s="1931" t="e">
        <v>#N/A</v>
      </c>
      <c r="H443" s="1931" t="e">
        <v>#N/A</v>
      </c>
      <c r="I443" s="1932" t="e">
        <v>#N/A</v>
      </c>
      <c r="J443" s="1930" t="e">
        <v>#N/A</v>
      </c>
      <c r="K443" s="1931" t="e">
        <v>#N/A</v>
      </c>
      <c r="L443" s="1931" t="e">
        <v>#N/A</v>
      </c>
      <c r="M443" s="1932" t="e">
        <v>#N/A</v>
      </c>
      <c r="N443" s="1930" t="e">
        <v>#N/A</v>
      </c>
      <c r="O443" s="1931" t="e">
        <v>#N/A</v>
      </c>
      <c r="P443" s="1931" t="e">
        <v>#N/A</v>
      </c>
      <c r="Q443" s="1933" t="e">
        <v>#N/A</v>
      </c>
    </row>
    <row r="444" spans="1:17" ht="12.75" customHeight="1">
      <c r="A444" s="1922">
        <f t="shared" si="6"/>
        <v>2029.03</v>
      </c>
      <c r="B444" s="1941" t="e">
        <v>#N/A</v>
      </c>
      <c r="C444" s="1943" t="e">
        <v>#N/A</v>
      </c>
      <c r="D444" s="1943" t="e">
        <v>#N/A</v>
      </c>
      <c r="E444" s="1944" t="e">
        <v>#N/A</v>
      </c>
      <c r="F444" s="1930" t="e">
        <v>#N/A</v>
      </c>
      <c r="G444" s="1931" t="e">
        <v>#N/A</v>
      </c>
      <c r="H444" s="1931" t="e">
        <v>#N/A</v>
      </c>
      <c r="I444" s="1932" t="e">
        <v>#N/A</v>
      </c>
      <c r="J444" s="1930" t="e">
        <v>#N/A</v>
      </c>
      <c r="K444" s="1931" t="e">
        <v>#N/A</v>
      </c>
      <c r="L444" s="1931" t="e">
        <v>#N/A</v>
      </c>
      <c r="M444" s="1932" t="e">
        <v>#N/A</v>
      </c>
      <c r="N444" s="1930" t="e">
        <v>#N/A</v>
      </c>
      <c r="O444" s="1931" t="e">
        <v>#N/A</v>
      </c>
      <c r="P444" s="1931" t="e">
        <v>#N/A</v>
      </c>
      <c r="Q444" s="1933" t="e">
        <v>#N/A</v>
      </c>
    </row>
    <row r="445" spans="1:17" ht="12.75" customHeight="1">
      <c r="A445" s="1922">
        <f t="shared" si="6"/>
        <v>2029.04</v>
      </c>
      <c r="B445" s="1941" t="e">
        <v>#N/A</v>
      </c>
      <c r="C445" s="1943" t="e">
        <v>#N/A</v>
      </c>
      <c r="D445" s="1943" t="e">
        <v>#N/A</v>
      </c>
      <c r="E445" s="1944" t="e">
        <v>#N/A</v>
      </c>
      <c r="F445" s="1930" t="e">
        <v>#N/A</v>
      </c>
      <c r="G445" s="1931" t="e">
        <v>#N/A</v>
      </c>
      <c r="H445" s="1931" t="e">
        <v>#N/A</v>
      </c>
      <c r="I445" s="1932" t="e">
        <v>#N/A</v>
      </c>
      <c r="J445" s="1930" t="e">
        <v>#N/A</v>
      </c>
      <c r="K445" s="1931" t="e">
        <v>#N/A</v>
      </c>
      <c r="L445" s="1931" t="e">
        <v>#N/A</v>
      </c>
      <c r="M445" s="1932" t="e">
        <v>#N/A</v>
      </c>
      <c r="N445" s="1930" t="e">
        <v>#N/A</v>
      </c>
      <c r="O445" s="1931" t="e">
        <v>#N/A</v>
      </c>
      <c r="P445" s="1931" t="e">
        <v>#N/A</v>
      </c>
      <c r="Q445" s="1933" t="e">
        <v>#N/A</v>
      </c>
    </row>
    <row r="446" spans="1:17" ht="12.75" customHeight="1">
      <c r="A446" s="1922">
        <f t="shared" si="6"/>
        <v>2029.05</v>
      </c>
      <c r="B446" s="1941" t="e">
        <v>#N/A</v>
      </c>
      <c r="C446" s="1943" t="e">
        <v>#N/A</v>
      </c>
      <c r="D446" s="1943" t="e">
        <v>#N/A</v>
      </c>
      <c r="E446" s="1944" t="e">
        <v>#N/A</v>
      </c>
      <c r="F446" s="1930" t="e">
        <v>#N/A</v>
      </c>
      <c r="G446" s="1931" t="e">
        <v>#N/A</v>
      </c>
      <c r="H446" s="1931" t="e">
        <v>#N/A</v>
      </c>
      <c r="I446" s="1932" t="e">
        <v>#N/A</v>
      </c>
      <c r="J446" s="1930" t="e">
        <v>#N/A</v>
      </c>
      <c r="K446" s="1931" t="e">
        <v>#N/A</v>
      </c>
      <c r="L446" s="1931" t="e">
        <v>#N/A</v>
      </c>
      <c r="M446" s="1932" t="e">
        <v>#N/A</v>
      </c>
      <c r="N446" s="1930" t="e">
        <v>#N/A</v>
      </c>
      <c r="O446" s="1931" t="e">
        <v>#N/A</v>
      </c>
      <c r="P446" s="1931" t="e">
        <v>#N/A</v>
      </c>
      <c r="Q446" s="1933" t="e">
        <v>#N/A</v>
      </c>
    </row>
    <row r="447" spans="1:17" ht="12.75" customHeight="1">
      <c r="A447" s="1922">
        <f t="shared" si="6"/>
        <v>2029.06</v>
      </c>
      <c r="B447" s="1941" t="e">
        <v>#N/A</v>
      </c>
      <c r="C447" s="1943" t="e">
        <v>#N/A</v>
      </c>
      <c r="D447" s="1943" t="e">
        <v>#N/A</v>
      </c>
      <c r="E447" s="1944" t="e">
        <v>#N/A</v>
      </c>
      <c r="F447" s="1930" t="e">
        <v>#N/A</v>
      </c>
      <c r="G447" s="1931" t="e">
        <v>#N/A</v>
      </c>
      <c r="H447" s="1931" t="e">
        <v>#N/A</v>
      </c>
      <c r="I447" s="1932" t="e">
        <v>#N/A</v>
      </c>
      <c r="J447" s="1930" t="e">
        <v>#N/A</v>
      </c>
      <c r="K447" s="1931" t="e">
        <v>#N/A</v>
      </c>
      <c r="L447" s="1931" t="e">
        <v>#N/A</v>
      </c>
      <c r="M447" s="1932" t="e">
        <v>#N/A</v>
      </c>
      <c r="N447" s="1930" t="e">
        <v>#N/A</v>
      </c>
      <c r="O447" s="1931" t="e">
        <v>#N/A</v>
      </c>
      <c r="P447" s="1931" t="e">
        <v>#N/A</v>
      </c>
      <c r="Q447" s="1933" t="e">
        <v>#N/A</v>
      </c>
    </row>
    <row r="448" spans="1:17" ht="12.75" customHeight="1">
      <c r="A448" s="1922">
        <f t="shared" si="6"/>
        <v>2029.07</v>
      </c>
      <c r="B448" s="1941" t="e">
        <v>#N/A</v>
      </c>
      <c r="C448" s="1943" t="e">
        <v>#N/A</v>
      </c>
      <c r="D448" s="1943" t="e">
        <v>#N/A</v>
      </c>
      <c r="E448" s="1944" t="e">
        <v>#N/A</v>
      </c>
      <c r="F448" s="1930" t="e">
        <v>#N/A</v>
      </c>
      <c r="G448" s="1931" t="e">
        <v>#N/A</v>
      </c>
      <c r="H448" s="1931" t="e">
        <v>#N/A</v>
      </c>
      <c r="I448" s="1932" t="e">
        <v>#N/A</v>
      </c>
      <c r="J448" s="1930" t="e">
        <v>#N/A</v>
      </c>
      <c r="K448" s="1931" t="e">
        <v>#N/A</v>
      </c>
      <c r="L448" s="1931" t="e">
        <v>#N/A</v>
      </c>
      <c r="M448" s="1932" t="e">
        <v>#N/A</v>
      </c>
      <c r="N448" s="1930" t="e">
        <v>#N/A</v>
      </c>
      <c r="O448" s="1931" t="e">
        <v>#N/A</v>
      </c>
      <c r="P448" s="1931" t="e">
        <v>#N/A</v>
      </c>
      <c r="Q448" s="1933" t="e">
        <v>#N/A</v>
      </c>
    </row>
    <row r="449" spans="1:17" ht="12.75" customHeight="1">
      <c r="A449" s="1922">
        <f t="shared" si="6"/>
        <v>2029.08</v>
      </c>
      <c r="B449" s="1941" t="e">
        <v>#N/A</v>
      </c>
      <c r="C449" s="1943" t="e">
        <v>#N/A</v>
      </c>
      <c r="D449" s="1943" t="e">
        <v>#N/A</v>
      </c>
      <c r="E449" s="1944" t="e">
        <v>#N/A</v>
      </c>
      <c r="F449" s="1930" t="e">
        <v>#N/A</v>
      </c>
      <c r="G449" s="1931" t="e">
        <v>#N/A</v>
      </c>
      <c r="H449" s="1931" t="e">
        <v>#N/A</v>
      </c>
      <c r="I449" s="1932" t="e">
        <v>#N/A</v>
      </c>
      <c r="J449" s="1930" t="e">
        <v>#N/A</v>
      </c>
      <c r="K449" s="1931" t="e">
        <v>#N/A</v>
      </c>
      <c r="L449" s="1931" t="e">
        <v>#N/A</v>
      </c>
      <c r="M449" s="1932" t="e">
        <v>#N/A</v>
      </c>
      <c r="N449" s="1930" t="e">
        <v>#N/A</v>
      </c>
      <c r="O449" s="1931" t="e">
        <v>#N/A</v>
      </c>
      <c r="P449" s="1931" t="e">
        <v>#N/A</v>
      </c>
      <c r="Q449" s="1933" t="e">
        <v>#N/A</v>
      </c>
    </row>
    <row r="450" spans="1:17" ht="12.75" customHeight="1">
      <c r="A450" s="1922">
        <f t="shared" si="6"/>
        <v>2029.09</v>
      </c>
      <c r="B450" s="1941" t="e">
        <v>#N/A</v>
      </c>
      <c r="C450" s="1943" t="e">
        <v>#N/A</v>
      </c>
      <c r="D450" s="1943" t="e">
        <v>#N/A</v>
      </c>
      <c r="E450" s="1944" t="e">
        <v>#N/A</v>
      </c>
      <c r="F450" s="1930" t="e">
        <v>#N/A</v>
      </c>
      <c r="G450" s="1931" t="e">
        <v>#N/A</v>
      </c>
      <c r="H450" s="1931" t="e">
        <v>#N/A</v>
      </c>
      <c r="I450" s="1932" t="e">
        <v>#N/A</v>
      </c>
      <c r="J450" s="1930" t="e">
        <v>#N/A</v>
      </c>
      <c r="K450" s="1931" t="e">
        <v>#N/A</v>
      </c>
      <c r="L450" s="1931" t="e">
        <v>#N/A</v>
      </c>
      <c r="M450" s="1932" t="e">
        <v>#N/A</v>
      </c>
      <c r="N450" s="1930" t="e">
        <v>#N/A</v>
      </c>
      <c r="O450" s="1931" t="e">
        <v>#N/A</v>
      </c>
      <c r="P450" s="1931" t="e">
        <v>#N/A</v>
      </c>
      <c r="Q450" s="1933" t="e">
        <v>#N/A</v>
      </c>
    </row>
    <row r="451" spans="1:17" ht="12.75" customHeight="1">
      <c r="A451" s="1922">
        <f t="shared" si="6"/>
        <v>2029.1</v>
      </c>
      <c r="B451" s="1941" t="e">
        <v>#N/A</v>
      </c>
      <c r="C451" s="1943" t="e">
        <v>#N/A</v>
      </c>
      <c r="D451" s="1943" t="e">
        <v>#N/A</v>
      </c>
      <c r="E451" s="1944" t="e">
        <v>#N/A</v>
      </c>
      <c r="F451" s="1930" t="e">
        <v>#N/A</v>
      </c>
      <c r="G451" s="1931" t="e">
        <v>#N/A</v>
      </c>
      <c r="H451" s="1931" t="e">
        <v>#N/A</v>
      </c>
      <c r="I451" s="1932" t="e">
        <v>#N/A</v>
      </c>
      <c r="J451" s="1930" t="e">
        <v>#N/A</v>
      </c>
      <c r="K451" s="1931" t="e">
        <v>#N/A</v>
      </c>
      <c r="L451" s="1931" t="e">
        <v>#N/A</v>
      </c>
      <c r="M451" s="1932" t="e">
        <v>#N/A</v>
      </c>
      <c r="N451" s="1930" t="e">
        <v>#N/A</v>
      </c>
      <c r="O451" s="1931" t="e">
        <v>#N/A</v>
      </c>
      <c r="P451" s="1931" t="e">
        <v>#N/A</v>
      </c>
      <c r="Q451" s="1933" t="e">
        <v>#N/A</v>
      </c>
    </row>
    <row r="452" spans="1:17" ht="12.75" customHeight="1">
      <c r="A452" s="1922">
        <f t="shared" si="6"/>
        <v>2029.11</v>
      </c>
      <c r="B452" s="1941" t="e">
        <v>#N/A</v>
      </c>
      <c r="C452" s="1943" t="e">
        <v>#N/A</v>
      </c>
      <c r="D452" s="1943" t="e">
        <v>#N/A</v>
      </c>
      <c r="E452" s="1944" t="e">
        <v>#N/A</v>
      </c>
      <c r="F452" s="1930" t="e">
        <v>#N/A</v>
      </c>
      <c r="G452" s="1931" t="e">
        <v>#N/A</v>
      </c>
      <c r="H452" s="1931" t="e">
        <v>#N/A</v>
      </c>
      <c r="I452" s="1932" t="e">
        <v>#N/A</v>
      </c>
      <c r="J452" s="1930" t="e">
        <v>#N/A</v>
      </c>
      <c r="K452" s="1931" t="e">
        <v>#N/A</v>
      </c>
      <c r="L452" s="1931" t="e">
        <v>#N/A</v>
      </c>
      <c r="M452" s="1932" t="e">
        <v>#N/A</v>
      </c>
      <c r="N452" s="1930" t="e">
        <v>#N/A</v>
      </c>
      <c r="O452" s="1931" t="e">
        <v>#N/A</v>
      </c>
      <c r="P452" s="1931" t="e">
        <v>#N/A</v>
      </c>
      <c r="Q452" s="1933" t="e">
        <v>#N/A</v>
      </c>
    </row>
    <row r="453" spans="1:17" ht="12.75" customHeight="1">
      <c r="A453" s="1922">
        <f t="shared" si="6"/>
        <v>2029.12</v>
      </c>
      <c r="B453" s="1941" t="e">
        <v>#N/A</v>
      </c>
      <c r="C453" s="1943" t="e">
        <v>#N/A</v>
      </c>
      <c r="D453" s="1943" t="e">
        <v>#N/A</v>
      </c>
      <c r="E453" s="1944" t="e">
        <v>#N/A</v>
      </c>
      <c r="F453" s="1930" t="e">
        <v>#N/A</v>
      </c>
      <c r="G453" s="1931" t="e">
        <v>#N/A</v>
      </c>
      <c r="H453" s="1931" t="e">
        <v>#N/A</v>
      </c>
      <c r="I453" s="1932" t="e">
        <v>#N/A</v>
      </c>
      <c r="J453" s="1930" t="e">
        <v>#N/A</v>
      </c>
      <c r="K453" s="1931" t="e">
        <v>#N/A</v>
      </c>
      <c r="L453" s="1931" t="e">
        <v>#N/A</v>
      </c>
      <c r="M453" s="1932" t="e">
        <v>#N/A</v>
      </c>
      <c r="N453" s="1930" t="e">
        <v>#N/A</v>
      </c>
      <c r="O453" s="1931" t="e">
        <v>#N/A</v>
      </c>
      <c r="P453" s="1931" t="e">
        <v>#N/A</v>
      </c>
      <c r="Q453" s="1933" t="e">
        <v>#N/A</v>
      </c>
    </row>
    <row r="454" spans="1:17" ht="12.75" customHeight="1">
      <c r="A454" s="1922">
        <f t="shared" si="6"/>
        <v>2030.01</v>
      </c>
      <c r="B454" s="1941" t="e">
        <v>#N/A</v>
      </c>
      <c r="C454" s="1943" t="e">
        <v>#N/A</v>
      </c>
      <c r="D454" s="1943" t="e">
        <v>#N/A</v>
      </c>
      <c r="E454" s="1944" t="e">
        <v>#N/A</v>
      </c>
      <c r="F454" s="1930" t="e">
        <v>#N/A</v>
      </c>
      <c r="G454" s="1931" t="e">
        <v>#N/A</v>
      </c>
      <c r="H454" s="1931" t="e">
        <v>#N/A</v>
      </c>
      <c r="I454" s="1932" t="e">
        <v>#N/A</v>
      </c>
      <c r="J454" s="1930" t="e">
        <v>#N/A</v>
      </c>
      <c r="K454" s="1931" t="e">
        <v>#N/A</v>
      </c>
      <c r="L454" s="1931" t="e">
        <v>#N/A</v>
      </c>
      <c r="M454" s="1932" t="e">
        <v>#N/A</v>
      </c>
      <c r="N454" s="1930" t="e">
        <v>#N/A</v>
      </c>
      <c r="O454" s="1931" t="e">
        <v>#N/A</v>
      </c>
      <c r="P454" s="1931" t="e">
        <v>#N/A</v>
      </c>
      <c r="Q454" s="1933" t="e">
        <v>#N/A</v>
      </c>
    </row>
    <row r="455" spans="1:17" ht="12.75" customHeight="1">
      <c r="A455" s="1922">
        <f t="shared" si="6"/>
        <v>2030.02</v>
      </c>
      <c r="B455" s="1941" t="e">
        <v>#N/A</v>
      </c>
      <c r="C455" s="1943" t="e">
        <v>#N/A</v>
      </c>
      <c r="D455" s="1943" t="e">
        <v>#N/A</v>
      </c>
      <c r="E455" s="1944" t="e">
        <v>#N/A</v>
      </c>
      <c r="F455" s="1930" t="e">
        <v>#N/A</v>
      </c>
      <c r="G455" s="1931" t="e">
        <v>#N/A</v>
      </c>
      <c r="H455" s="1931" t="e">
        <v>#N/A</v>
      </c>
      <c r="I455" s="1932" t="e">
        <v>#N/A</v>
      </c>
      <c r="J455" s="1930" t="e">
        <v>#N/A</v>
      </c>
      <c r="K455" s="1931" t="e">
        <v>#N/A</v>
      </c>
      <c r="L455" s="1931" t="e">
        <v>#N/A</v>
      </c>
      <c r="M455" s="1932" t="e">
        <v>#N/A</v>
      </c>
      <c r="N455" s="1930" t="e">
        <v>#N/A</v>
      </c>
      <c r="O455" s="1931" t="e">
        <v>#N/A</v>
      </c>
      <c r="P455" s="1931" t="e">
        <v>#N/A</v>
      </c>
      <c r="Q455" s="1933" t="e">
        <v>#N/A</v>
      </c>
    </row>
    <row r="456" spans="1:17" ht="12.75" customHeight="1">
      <c r="A456" s="1922">
        <f t="shared" si="6"/>
        <v>2030.03</v>
      </c>
      <c r="B456" s="1941" t="e">
        <v>#N/A</v>
      </c>
      <c r="C456" s="1943" t="e">
        <v>#N/A</v>
      </c>
      <c r="D456" s="1943" t="e">
        <v>#N/A</v>
      </c>
      <c r="E456" s="1944" t="e">
        <v>#N/A</v>
      </c>
      <c r="F456" s="1930" t="e">
        <v>#N/A</v>
      </c>
      <c r="G456" s="1931" t="e">
        <v>#N/A</v>
      </c>
      <c r="H456" s="1931" t="e">
        <v>#N/A</v>
      </c>
      <c r="I456" s="1932" t="e">
        <v>#N/A</v>
      </c>
      <c r="J456" s="1930" t="e">
        <v>#N/A</v>
      </c>
      <c r="K456" s="1931" t="e">
        <v>#N/A</v>
      </c>
      <c r="L456" s="1931" t="e">
        <v>#N/A</v>
      </c>
      <c r="M456" s="1932" t="e">
        <v>#N/A</v>
      </c>
      <c r="N456" s="1930" t="e">
        <v>#N/A</v>
      </c>
      <c r="O456" s="1931" t="e">
        <v>#N/A</v>
      </c>
      <c r="P456" s="1931" t="e">
        <v>#N/A</v>
      </c>
      <c r="Q456" s="1933" t="e">
        <v>#N/A</v>
      </c>
    </row>
    <row r="457" spans="1:17" ht="12.75" customHeight="1">
      <c r="A457" s="1922">
        <f t="shared" si="6"/>
        <v>2030.04</v>
      </c>
      <c r="B457" s="1941" t="e">
        <v>#N/A</v>
      </c>
      <c r="C457" s="1943" t="e">
        <v>#N/A</v>
      </c>
      <c r="D457" s="1943" t="e">
        <v>#N/A</v>
      </c>
      <c r="E457" s="1944" t="e">
        <v>#N/A</v>
      </c>
      <c r="F457" s="1930" t="e">
        <v>#N/A</v>
      </c>
      <c r="G457" s="1931" t="e">
        <v>#N/A</v>
      </c>
      <c r="H457" s="1931" t="e">
        <v>#N/A</v>
      </c>
      <c r="I457" s="1932" t="e">
        <v>#N/A</v>
      </c>
      <c r="J457" s="1930" t="e">
        <v>#N/A</v>
      </c>
      <c r="K457" s="1931" t="e">
        <v>#N/A</v>
      </c>
      <c r="L457" s="1931" t="e">
        <v>#N/A</v>
      </c>
      <c r="M457" s="1932" t="e">
        <v>#N/A</v>
      </c>
      <c r="N457" s="1930" t="e">
        <v>#N/A</v>
      </c>
      <c r="O457" s="1931" t="e">
        <v>#N/A</v>
      </c>
      <c r="P457" s="1931" t="e">
        <v>#N/A</v>
      </c>
      <c r="Q457" s="1933" t="e">
        <v>#N/A</v>
      </c>
    </row>
    <row r="458" spans="1:17" ht="12.75" customHeight="1">
      <c r="A458" s="1922">
        <f t="shared" si="6"/>
        <v>2030.05</v>
      </c>
      <c r="B458" s="1941" t="e">
        <v>#N/A</v>
      </c>
      <c r="C458" s="1943" t="e">
        <v>#N/A</v>
      </c>
      <c r="D458" s="1943" t="e">
        <v>#N/A</v>
      </c>
      <c r="E458" s="1944" t="e">
        <v>#N/A</v>
      </c>
      <c r="F458" s="1930" t="e">
        <v>#N/A</v>
      </c>
      <c r="G458" s="1931" t="e">
        <v>#N/A</v>
      </c>
      <c r="H458" s="1931" t="e">
        <v>#N/A</v>
      </c>
      <c r="I458" s="1932" t="e">
        <v>#N/A</v>
      </c>
      <c r="J458" s="1930" t="e">
        <v>#N/A</v>
      </c>
      <c r="K458" s="1931" t="e">
        <v>#N/A</v>
      </c>
      <c r="L458" s="1931" t="e">
        <v>#N/A</v>
      </c>
      <c r="M458" s="1932" t="e">
        <v>#N/A</v>
      </c>
      <c r="N458" s="1930" t="e">
        <v>#N/A</v>
      </c>
      <c r="O458" s="1931" t="e">
        <v>#N/A</v>
      </c>
      <c r="P458" s="1931" t="e">
        <v>#N/A</v>
      </c>
      <c r="Q458" s="1933" t="e">
        <v>#N/A</v>
      </c>
    </row>
    <row r="459" spans="1:17" ht="12.75" customHeight="1">
      <c r="A459" s="1922">
        <f t="shared" si="6"/>
        <v>2030.06</v>
      </c>
      <c r="B459" s="1941" t="e">
        <v>#N/A</v>
      </c>
      <c r="C459" s="1943" t="e">
        <v>#N/A</v>
      </c>
      <c r="D459" s="1943" t="e">
        <v>#N/A</v>
      </c>
      <c r="E459" s="1944" t="e">
        <v>#N/A</v>
      </c>
      <c r="F459" s="1930" t="e">
        <v>#N/A</v>
      </c>
      <c r="G459" s="1931" t="e">
        <v>#N/A</v>
      </c>
      <c r="H459" s="1931" t="e">
        <v>#N/A</v>
      </c>
      <c r="I459" s="1932" t="e">
        <v>#N/A</v>
      </c>
      <c r="J459" s="1930" t="e">
        <v>#N/A</v>
      </c>
      <c r="K459" s="1931" t="e">
        <v>#N/A</v>
      </c>
      <c r="L459" s="1931" t="e">
        <v>#N/A</v>
      </c>
      <c r="M459" s="1932" t="e">
        <v>#N/A</v>
      </c>
      <c r="N459" s="1930" t="e">
        <v>#N/A</v>
      </c>
      <c r="O459" s="1931" t="e">
        <v>#N/A</v>
      </c>
      <c r="P459" s="1931" t="e">
        <v>#N/A</v>
      </c>
      <c r="Q459" s="1933" t="e">
        <v>#N/A</v>
      </c>
    </row>
    <row r="460" spans="1:17" ht="12.75" customHeight="1">
      <c r="A460" s="1922">
        <f t="shared" si="6"/>
        <v>2030.07</v>
      </c>
      <c r="B460" s="1941" t="e">
        <v>#N/A</v>
      </c>
      <c r="C460" s="1943" t="e">
        <v>#N/A</v>
      </c>
      <c r="D460" s="1943" t="e">
        <v>#N/A</v>
      </c>
      <c r="E460" s="1944" t="e">
        <v>#N/A</v>
      </c>
      <c r="F460" s="1930" t="e">
        <v>#N/A</v>
      </c>
      <c r="G460" s="1931" t="e">
        <v>#N/A</v>
      </c>
      <c r="H460" s="1931" t="e">
        <v>#N/A</v>
      </c>
      <c r="I460" s="1932" t="e">
        <v>#N/A</v>
      </c>
      <c r="J460" s="1930" t="e">
        <v>#N/A</v>
      </c>
      <c r="K460" s="1931" t="e">
        <v>#N/A</v>
      </c>
      <c r="L460" s="1931" t="e">
        <v>#N/A</v>
      </c>
      <c r="M460" s="1932" t="e">
        <v>#N/A</v>
      </c>
      <c r="N460" s="1930" t="e">
        <v>#N/A</v>
      </c>
      <c r="O460" s="1931" t="e">
        <v>#N/A</v>
      </c>
      <c r="P460" s="1931" t="e">
        <v>#N/A</v>
      </c>
      <c r="Q460" s="1933" t="e">
        <v>#N/A</v>
      </c>
    </row>
    <row r="461" spans="1:17" ht="12.75" customHeight="1">
      <c r="A461" s="1922">
        <f t="shared" si="6"/>
        <v>2030.08</v>
      </c>
      <c r="B461" s="1941" t="e">
        <v>#N/A</v>
      </c>
      <c r="C461" s="1943" t="e">
        <v>#N/A</v>
      </c>
      <c r="D461" s="1943" t="e">
        <v>#N/A</v>
      </c>
      <c r="E461" s="1944" t="e">
        <v>#N/A</v>
      </c>
      <c r="F461" s="1930" t="e">
        <v>#N/A</v>
      </c>
      <c r="G461" s="1931" t="e">
        <v>#N/A</v>
      </c>
      <c r="H461" s="1931" t="e">
        <v>#N/A</v>
      </c>
      <c r="I461" s="1932" t="e">
        <v>#N/A</v>
      </c>
      <c r="J461" s="1930" t="e">
        <v>#N/A</v>
      </c>
      <c r="K461" s="1931" t="e">
        <v>#N/A</v>
      </c>
      <c r="L461" s="1931" t="e">
        <v>#N/A</v>
      </c>
      <c r="M461" s="1932" t="e">
        <v>#N/A</v>
      </c>
      <c r="N461" s="1930" t="e">
        <v>#N/A</v>
      </c>
      <c r="O461" s="1931" t="e">
        <v>#N/A</v>
      </c>
      <c r="P461" s="1931" t="e">
        <v>#N/A</v>
      </c>
      <c r="Q461" s="1933" t="e">
        <v>#N/A</v>
      </c>
    </row>
    <row r="462" spans="1:17" ht="12.75" customHeight="1">
      <c r="A462" s="1922">
        <f t="shared" si="6"/>
        <v>2030.09</v>
      </c>
      <c r="B462" s="1941" t="e">
        <v>#N/A</v>
      </c>
      <c r="C462" s="1943" t="e">
        <v>#N/A</v>
      </c>
      <c r="D462" s="1943" t="e">
        <v>#N/A</v>
      </c>
      <c r="E462" s="1944" t="e">
        <v>#N/A</v>
      </c>
      <c r="F462" s="1930" t="e">
        <v>#N/A</v>
      </c>
      <c r="G462" s="1931" t="e">
        <v>#N/A</v>
      </c>
      <c r="H462" s="1931" t="e">
        <v>#N/A</v>
      </c>
      <c r="I462" s="1932" t="e">
        <v>#N/A</v>
      </c>
      <c r="J462" s="1930" t="e">
        <v>#N/A</v>
      </c>
      <c r="K462" s="1931" t="e">
        <v>#N/A</v>
      </c>
      <c r="L462" s="1931" t="e">
        <v>#N/A</v>
      </c>
      <c r="M462" s="1932" t="e">
        <v>#N/A</v>
      </c>
      <c r="N462" s="1930" t="e">
        <v>#N/A</v>
      </c>
      <c r="O462" s="1931" t="e">
        <v>#N/A</v>
      </c>
      <c r="P462" s="1931" t="e">
        <v>#N/A</v>
      </c>
      <c r="Q462" s="1933" t="e">
        <v>#N/A</v>
      </c>
    </row>
    <row r="463" spans="1:17" ht="12.75" customHeight="1">
      <c r="A463" s="1922">
        <f t="shared" si="6"/>
        <v>2030.1</v>
      </c>
      <c r="B463" s="1941" t="e">
        <v>#N/A</v>
      </c>
      <c r="C463" s="1943" t="e">
        <v>#N/A</v>
      </c>
      <c r="D463" s="1943" t="e">
        <v>#N/A</v>
      </c>
      <c r="E463" s="1944" t="e">
        <v>#N/A</v>
      </c>
      <c r="F463" s="1930" t="e">
        <v>#N/A</v>
      </c>
      <c r="G463" s="1931" t="e">
        <v>#N/A</v>
      </c>
      <c r="H463" s="1931" t="e">
        <v>#N/A</v>
      </c>
      <c r="I463" s="1932" t="e">
        <v>#N/A</v>
      </c>
      <c r="J463" s="1930" t="e">
        <v>#N/A</v>
      </c>
      <c r="K463" s="1931" t="e">
        <v>#N/A</v>
      </c>
      <c r="L463" s="1931" t="e">
        <v>#N/A</v>
      </c>
      <c r="M463" s="1932" t="e">
        <v>#N/A</v>
      </c>
      <c r="N463" s="1930" t="e">
        <v>#N/A</v>
      </c>
      <c r="O463" s="1931" t="e">
        <v>#N/A</v>
      </c>
      <c r="P463" s="1931" t="e">
        <v>#N/A</v>
      </c>
      <c r="Q463" s="1933" t="e">
        <v>#N/A</v>
      </c>
    </row>
    <row r="464" spans="1:17" ht="12.75" customHeight="1">
      <c r="A464" s="1922">
        <f t="shared" si="6"/>
        <v>2030.11</v>
      </c>
      <c r="B464" s="1941" t="e">
        <v>#N/A</v>
      </c>
      <c r="C464" s="1943" t="e">
        <v>#N/A</v>
      </c>
      <c r="D464" s="1943" t="e">
        <v>#N/A</v>
      </c>
      <c r="E464" s="1944" t="e">
        <v>#N/A</v>
      </c>
      <c r="F464" s="1930" t="e">
        <v>#N/A</v>
      </c>
      <c r="G464" s="1931" t="e">
        <v>#N/A</v>
      </c>
      <c r="H464" s="1931" t="e">
        <v>#N/A</v>
      </c>
      <c r="I464" s="1932" t="e">
        <v>#N/A</v>
      </c>
      <c r="J464" s="1930" t="e">
        <v>#N/A</v>
      </c>
      <c r="K464" s="1931" t="e">
        <v>#N/A</v>
      </c>
      <c r="L464" s="1931" t="e">
        <v>#N/A</v>
      </c>
      <c r="M464" s="1932" t="e">
        <v>#N/A</v>
      </c>
      <c r="N464" s="1930" t="e">
        <v>#N/A</v>
      </c>
      <c r="O464" s="1931" t="e">
        <v>#N/A</v>
      </c>
      <c r="P464" s="1931" t="e">
        <v>#N/A</v>
      </c>
      <c r="Q464" s="1933" t="e">
        <v>#N/A</v>
      </c>
    </row>
    <row r="465" spans="1:17" ht="12.75" customHeight="1">
      <c r="A465" s="1922">
        <f t="shared" si="6"/>
        <v>2030.12</v>
      </c>
      <c r="B465" s="1941" t="e">
        <v>#N/A</v>
      </c>
      <c r="C465" s="1943" t="e">
        <v>#N/A</v>
      </c>
      <c r="D465" s="1943" t="e">
        <v>#N/A</v>
      </c>
      <c r="E465" s="1944" t="e">
        <v>#N/A</v>
      </c>
      <c r="F465" s="1930" t="e">
        <v>#N/A</v>
      </c>
      <c r="G465" s="1931" t="e">
        <v>#N/A</v>
      </c>
      <c r="H465" s="1931" t="e">
        <v>#N/A</v>
      </c>
      <c r="I465" s="1932" t="e">
        <v>#N/A</v>
      </c>
      <c r="J465" s="1930" t="e">
        <v>#N/A</v>
      </c>
      <c r="K465" s="1931" t="e">
        <v>#N/A</v>
      </c>
      <c r="L465" s="1931" t="e">
        <v>#N/A</v>
      </c>
      <c r="M465" s="1932" t="e">
        <v>#N/A</v>
      </c>
      <c r="N465" s="1930" t="e">
        <v>#N/A</v>
      </c>
      <c r="O465" s="1931" t="e">
        <v>#N/A</v>
      </c>
      <c r="P465" s="1931" t="e">
        <v>#N/A</v>
      </c>
      <c r="Q465" s="1933" t="e">
        <v>#N/A</v>
      </c>
    </row>
  </sheetData>
  <phoneticPr fontId="308" type="noConversion"/>
  <hyperlinks>
    <hyperlink ref="A1:A3" location="Indice!A1" display="ÍNDICE" xr:uid="{440B876B-C8F1-4A54-AF39-594BB7E25C5B}"/>
    <hyperlink ref="A5" location="INDICE!A13" display="VOLVER AL INDICE" xr:uid="{F21A4A12-9BAC-4C6C-BD34-FFAEC3EE50D9}"/>
  </hyperlinks>
  <printOptions horizontalCentered="1" gridLines="1"/>
  <pageMargins left="0" right="0" top="0.19685039370078741" bottom="0.19685039370078741" header="0" footer="0"/>
  <pageSetup paperSize="9" scale="110" orientation="landscape" horizontalDpi="300" verticalDpi="300" r:id="rId1"/>
  <headerFooter alignWithMargins="0"/>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47"/>
  <dimension ref="A1:O453"/>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9.42578125" style="21" bestFit="1" customWidth="1"/>
    <col min="2" max="3" width="13.5703125" style="21" customWidth="1"/>
    <col min="4" max="4" width="15.42578125" style="21" bestFit="1" customWidth="1"/>
    <col min="5" max="6" width="13.5703125" style="21" customWidth="1"/>
    <col min="7" max="7" width="15.42578125" style="21" bestFit="1" customWidth="1"/>
    <col min="8" max="9" width="13.5703125" style="21" customWidth="1"/>
    <col min="10" max="10" width="15.42578125" style="21" bestFit="1" customWidth="1"/>
    <col min="11" max="16384" width="11.42578125" style="6"/>
  </cols>
  <sheetData>
    <row r="1" spans="1:10" ht="4.5" customHeight="1">
      <c r="A1" s="2761"/>
      <c r="B1" s="1479"/>
      <c r="C1" s="52"/>
      <c r="D1" s="52"/>
      <c r="E1" s="1341"/>
      <c r="F1" s="52"/>
      <c r="G1" s="52"/>
      <c r="H1" s="1341"/>
      <c r="I1" s="52"/>
      <c r="J1" s="1343"/>
    </row>
    <row r="2" spans="1:10" ht="22.5">
      <c r="A2" s="2762" t="s">
        <v>99</v>
      </c>
      <c r="B2" s="321" t="s">
        <v>2032</v>
      </c>
      <c r="C2" s="320"/>
      <c r="D2" s="320"/>
      <c r="E2" s="2742" t="s">
        <v>2033</v>
      </c>
      <c r="F2" s="320"/>
      <c r="G2" s="320"/>
      <c r="H2" s="2742" t="s">
        <v>2034</v>
      </c>
      <c r="I2" s="320"/>
      <c r="J2" s="316"/>
    </row>
    <row r="3" spans="1:10">
      <c r="A3" s="2762" t="s">
        <v>193</v>
      </c>
      <c r="B3" s="321" t="s">
        <v>2035</v>
      </c>
      <c r="C3" s="38"/>
      <c r="D3" s="38"/>
      <c r="E3" s="2742"/>
      <c r="F3" s="38"/>
      <c r="G3" s="38"/>
      <c r="H3" s="2742"/>
      <c r="I3" s="38"/>
      <c r="J3" s="48"/>
    </row>
    <row r="4" spans="1:10">
      <c r="A4" s="2762"/>
      <c r="B4" s="1479"/>
      <c r="C4" s="52"/>
      <c r="D4" s="52"/>
      <c r="E4" s="1341"/>
      <c r="F4" s="52"/>
      <c r="G4" s="52"/>
      <c r="H4" s="1341"/>
      <c r="I4" s="52"/>
      <c r="J4" s="1343"/>
    </row>
    <row r="5" spans="1:10" ht="33.75">
      <c r="A5" s="2867" t="s">
        <v>140</v>
      </c>
      <c r="B5" s="4" t="s">
        <v>2036</v>
      </c>
      <c r="C5" s="952" t="s">
        <v>2037</v>
      </c>
      <c r="D5" s="5" t="s">
        <v>2038</v>
      </c>
      <c r="E5" s="2758" t="s">
        <v>2036</v>
      </c>
      <c r="F5" s="952" t="s">
        <v>2037</v>
      </c>
      <c r="G5" s="5" t="s">
        <v>2039</v>
      </c>
      <c r="H5" s="2758" t="s">
        <v>2036</v>
      </c>
      <c r="I5" s="952" t="s">
        <v>2037</v>
      </c>
      <c r="J5" s="1" t="s">
        <v>2038</v>
      </c>
    </row>
    <row r="6" spans="1:10" ht="4.5" hidden="1" customHeight="1">
      <c r="A6" s="2762"/>
      <c r="B6" s="1336"/>
      <c r="C6" s="655"/>
      <c r="D6" s="58"/>
      <c r="E6" s="2917"/>
      <c r="F6" s="655"/>
      <c r="G6" s="58"/>
      <c r="H6" s="2917"/>
      <c r="I6" s="655"/>
      <c r="J6" s="59"/>
    </row>
    <row r="7" spans="1:10" ht="22.5">
      <c r="A7" s="2762" t="s">
        <v>125</v>
      </c>
      <c r="B7" s="1336" t="s">
        <v>2040</v>
      </c>
      <c r="C7" s="655" t="s">
        <v>2040</v>
      </c>
      <c r="D7" s="651" t="s">
        <v>2040</v>
      </c>
      <c r="E7" s="2917" t="s">
        <v>2040</v>
      </c>
      <c r="F7" s="655" t="s">
        <v>2040</v>
      </c>
      <c r="G7" s="651" t="s">
        <v>2040</v>
      </c>
      <c r="H7" s="2917" t="s">
        <v>2040</v>
      </c>
      <c r="I7" s="655" t="s">
        <v>2040</v>
      </c>
      <c r="J7" s="1581" t="s">
        <v>2040</v>
      </c>
    </row>
    <row r="8" spans="1:10" ht="12.75" customHeight="1">
      <c r="A8" s="3002" t="s">
        <v>144</v>
      </c>
      <c r="B8" s="1749" t="s">
        <v>2041</v>
      </c>
      <c r="C8" s="2157" t="s">
        <v>2042</v>
      </c>
      <c r="D8" s="1750" t="s">
        <v>2043</v>
      </c>
      <c r="E8" s="2797" t="s">
        <v>2044</v>
      </c>
      <c r="F8" s="2157" t="s">
        <v>2045</v>
      </c>
      <c r="G8" s="1750" t="s">
        <v>2046</v>
      </c>
      <c r="H8" s="2797" t="s">
        <v>2047</v>
      </c>
      <c r="I8" s="2157" t="s">
        <v>2048</v>
      </c>
      <c r="J8" s="2141" t="s">
        <v>2049</v>
      </c>
    </row>
    <row r="9" spans="1:10" ht="13.5" thickBot="1">
      <c r="A9" s="2140"/>
      <c r="B9" s="1716"/>
      <c r="C9" s="1717"/>
      <c r="D9" s="1348"/>
      <c r="E9" s="1347"/>
      <c r="F9" s="1717"/>
      <c r="G9" s="1348"/>
      <c r="H9" s="1347"/>
      <c r="I9" s="1717"/>
      <c r="J9" s="1718"/>
    </row>
    <row r="10" spans="1:10" s="166" customFormat="1">
      <c r="A10" s="57">
        <v>1994.01</v>
      </c>
      <c r="B10" s="159">
        <v>30277</v>
      </c>
      <c r="C10" s="560">
        <v>43818</v>
      </c>
      <c r="D10" s="345">
        <f>B10+C10</f>
        <v>74095</v>
      </c>
      <c r="E10" s="624"/>
      <c r="F10" s="660"/>
      <c r="G10" s="760"/>
      <c r="H10" s="47">
        <v>50587</v>
      </c>
      <c r="I10" s="560">
        <v>76270</v>
      </c>
      <c r="J10" s="346">
        <f>H10+I10</f>
        <v>126857</v>
      </c>
    </row>
    <row r="11" spans="1:10">
      <c r="A11" s="53">
        <v>1994.02</v>
      </c>
      <c r="B11" s="215">
        <v>29925</v>
      </c>
      <c r="C11" s="3538">
        <v>43486</v>
      </c>
      <c r="D11" s="1946">
        <f>B11+C11</f>
        <v>73411</v>
      </c>
      <c r="E11" s="1334"/>
      <c r="F11" s="3614"/>
      <c r="G11" s="105"/>
      <c r="H11" s="223">
        <v>51341</v>
      </c>
      <c r="I11" s="3538">
        <v>77020</v>
      </c>
      <c r="J11" s="2365">
        <f>H11+I11</f>
        <v>128361</v>
      </c>
    </row>
    <row r="12" spans="1:10">
      <c r="A12" s="53">
        <v>1994.03</v>
      </c>
      <c r="B12" s="215">
        <v>30249</v>
      </c>
      <c r="C12" s="3538">
        <v>43322</v>
      </c>
      <c r="D12" s="1946">
        <f>B12+C12</f>
        <v>73571</v>
      </c>
      <c r="E12" s="1334"/>
      <c r="F12" s="3614"/>
      <c r="G12" s="105"/>
      <c r="H12" s="223">
        <v>51411</v>
      </c>
      <c r="I12" s="3538">
        <v>79214</v>
      </c>
      <c r="J12" s="2365">
        <f t="shared" ref="J12:J75" si="0">H12+I12</f>
        <v>130625</v>
      </c>
    </row>
    <row r="13" spans="1:10">
      <c r="A13" s="53">
        <v>1994.04</v>
      </c>
      <c r="B13" s="215">
        <v>31136</v>
      </c>
      <c r="C13" s="3538">
        <v>43816</v>
      </c>
      <c r="D13" s="1946">
        <f t="shared" ref="D13:D75" si="1">B13+C13</f>
        <v>74952</v>
      </c>
      <c r="E13" s="1334"/>
      <c r="F13" s="3614"/>
      <c r="G13" s="105"/>
      <c r="H13" s="223">
        <v>53959</v>
      </c>
      <c r="I13" s="3538">
        <v>78168</v>
      </c>
      <c r="J13" s="2365">
        <f t="shared" si="0"/>
        <v>132127</v>
      </c>
    </row>
    <row r="14" spans="1:10">
      <c r="A14" s="53">
        <v>1994.05</v>
      </c>
      <c r="B14" s="215">
        <v>31456</v>
      </c>
      <c r="C14" s="3538">
        <v>43747</v>
      </c>
      <c r="D14" s="1946">
        <f t="shared" si="1"/>
        <v>75203</v>
      </c>
      <c r="E14" s="1334"/>
      <c r="F14" s="3614"/>
      <c r="G14" s="105"/>
      <c r="H14" s="223">
        <v>53702</v>
      </c>
      <c r="I14" s="3538">
        <v>77924</v>
      </c>
      <c r="J14" s="2365">
        <f t="shared" si="0"/>
        <v>131626</v>
      </c>
    </row>
    <row r="15" spans="1:10">
      <c r="A15" s="53">
        <v>1994.06</v>
      </c>
      <c r="B15" s="215">
        <v>30189</v>
      </c>
      <c r="C15" s="3538">
        <v>43265</v>
      </c>
      <c r="D15" s="1946">
        <f t="shared" si="1"/>
        <v>73454</v>
      </c>
      <c r="E15" s="1334"/>
      <c r="F15" s="3614"/>
      <c r="G15" s="105"/>
      <c r="H15" s="223">
        <v>51824</v>
      </c>
      <c r="I15" s="3538">
        <v>78211</v>
      </c>
      <c r="J15" s="2365">
        <f t="shared" si="0"/>
        <v>130035</v>
      </c>
    </row>
    <row r="16" spans="1:10">
      <c r="A16" s="53">
        <v>1994.07</v>
      </c>
      <c r="B16" s="215">
        <v>30426</v>
      </c>
      <c r="C16" s="3538">
        <v>41841</v>
      </c>
      <c r="D16" s="1946">
        <f t="shared" si="1"/>
        <v>72267</v>
      </c>
      <c r="E16" s="1334"/>
      <c r="F16" s="3614"/>
      <c r="G16" s="105"/>
      <c r="H16" s="223">
        <v>50483</v>
      </c>
      <c r="I16" s="3538">
        <v>75786</v>
      </c>
      <c r="J16" s="2365">
        <f t="shared" si="0"/>
        <v>126269</v>
      </c>
    </row>
    <row r="17" spans="1:10">
      <c r="A17" s="53">
        <v>1994.08</v>
      </c>
      <c r="B17" s="215">
        <v>30598</v>
      </c>
      <c r="C17" s="3538">
        <v>43603</v>
      </c>
      <c r="D17" s="1946">
        <f t="shared" si="1"/>
        <v>74201</v>
      </c>
      <c r="E17" s="1334"/>
      <c r="F17" s="3614"/>
      <c r="G17" s="105"/>
      <c r="H17" s="223">
        <v>50104</v>
      </c>
      <c r="I17" s="3538">
        <v>75717</v>
      </c>
      <c r="J17" s="2365">
        <f t="shared" si="0"/>
        <v>125821</v>
      </c>
    </row>
    <row r="18" spans="1:10">
      <c r="A18" s="53">
        <v>1994.09</v>
      </c>
      <c r="B18" s="215">
        <v>29900</v>
      </c>
      <c r="C18" s="3538">
        <v>43324</v>
      </c>
      <c r="D18" s="1946">
        <f t="shared" si="1"/>
        <v>73224</v>
      </c>
      <c r="E18" s="1334"/>
      <c r="F18" s="3614"/>
      <c r="G18" s="105"/>
      <c r="H18" s="223">
        <v>51030</v>
      </c>
      <c r="I18" s="3538">
        <v>76038</v>
      </c>
      <c r="J18" s="2365">
        <f t="shared" si="0"/>
        <v>127068</v>
      </c>
    </row>
    <row r="19" spans="1:10">
      <c r="A19" s="53">
        <v>1994.1</v>
      </c>
      <c r="B19" s="215">
        <v>30337</v>
      </c>
      <c r="C19" s="3538">
        <v>42999</v>
      </c>
      <c r="D19" s="1946">
        <f t="shared" si="1"/>
        <v>73336</v>
      </c>
      <c r="E19" s="1334"/>
      <c r="F19" s="3614"/>
      <c r="G19" s="105"/>
      <c r="H19" s="223">
        <v>51077</v>
      </c>
      <c r="I19" s="3538">
        <v>75322</v>
      </c>
      <c r="J19" s="2365">
        <f t="shared" si="0"/>
        <v>126399</v>
      </c>
    </row>
    <row r="20" spans="1:10">
      <c r="A20" s="53">
        <v>1994.11</v>
      </c>
      <c r="B20" s="215">
        <v>29551</v>
      </c>
      <c r="C20" s="3538">
        <v>43427</v>
      </c>
      <c r="D20" s="1946">
        <f t="shared" si="1"/>
        <v>72978</v>
      </c>
      <c r="E20" s="1334"/>
      <c r="F20" s="3614"/>
      <c r="G20" s="105"/>
      <c r="H20" s="223">
        <v>48701</v>
      </c>
      <c r="I20" s="3538">
        <v>75541</v>
      </c>
      <c r="J20" s="2365">
        <f t="shared" si="0"/>
        <v>124242</v>
      </c>
    </row>
    <row r="21" spans="1:10">
      <c r="A21" s="53">
        <v>1994.12</v>
      </c>
      <c r="B21" s="215">
        <v>28702</v>
      </c>
      <c r="C21" s="3538">
        <v>42363</v>
      </c>
      <c r="D21" s="1946">
        <f t="shared" si="1"/>
        <v>71065</v>
      </c>
      <c r="E21" s="1334"/>
      <c r="F21" s="3614"/>
      <c r="G21" s="105"/>
      <c r="H21" s="223">
        <v>48004</v>
      </c>
      <c r="I21" s="3538">
        <v>74744</v>
      </c>
      <c r="J21" s="2365">
        <f t="shared" si="0"/>
        <v>122748</v>
      </c>
    </row>
    <row r="22" spans="1:10">
      <c r="A22" s="53">
        <v>1995.01</v>
      </c>
      <c r="B22" s="215">
        <v>29737</v>
      </c>
      <c r="C22" s="3538">
        <v>40900</v>
      </c>
      <c r="D22" s="1946">
        <f t="shared" si="1"/>
        <v>70637</v>
      </c>
      <c r="E22" s="1334"/>
      <c r="F22" s="3614"/>
      <c r="G22" s="105"/>
      <c r="H22" s="223">
        <v>48963</v>
      </c>
      <c r="I22" s="3538">
        <v>73082</v>
      </c>
      <c r="J22" s="2365">
        <f t="shared" si="0"/>
        <v>122045</v>
      </c>
    </row>
    <row r="23" spans="1:10">
      <c r="A23" s="53">
        <v>1995.02</v>
      </c>
      <c r="B23" s="215">
        <v>29280</v>
      </c>
      <c r="C23" s="3538">
        <v>41845</v>
      </c>
      <c r="D23" s="1946">
        <f t="shared" si="1"/>
        <v>71125</v>
      </c>
      <c r="E23" s="1334"/>
      <c r="F23" s="3614"/>
      <c r="G23" s="105"/>
      <c r="H23" s="223">
        <v>49658</v>
      </c>
      <c r="I23" s="3538">
        <v>74775</v>
      </c>
      <c r="J23" s="2365">
        <f t="shared" si="0"/>
        <v>124433</v>
      </c>
    </row>
    <row r="24" spans="1:10">
      <c r="A24" s="53">
        <v>1995.03</v>
      </c>
      <c r="B24" s="215">
        <v>29195</v>
      </c>
      <c r="C24" s="3538">
        <v>41958</v>
      </c>
      <c r="D24" s="1946">
        <f t="shared" si="1"/>
        <v>71153</v>
      </c>
      <c r="E24" s="1334"/>
      <c r="F24" s="3614"/>
      <c r="G24" s="105"/>
      <c r="H24" s="223">
        <v>47276</v>
      </c>
      <c r="I24" s="3538">
        <v>74192</v>
      </c>
      <c r="J24" s="2365">
        <f t="shared" si="0"/>
        <v>121468</v>
      </c>
    </row>
    <row r="25" spans="1:10">
      <c r="A25" s="53">
        <v>1995.04</v>
      </c>
      <c r="B25" s="215">
        <v>29241</v>
      </c>
      <c r="C25" s="3538">
        <v>41032</v>
      </c>
      <c r="D25" s="1946">
        <f t="shared" si="1"/>
        <v>70273</v>
      </c>
      <c r="E25" s="1334"/>
      <c r="F25" s="3614"/>
      <c r="G25" s="105"/>
      <c r="H25" s="223">
        <v>46489</v>
      </c>
      <c r="I25" s="3538">
        <v>70611</v>
      </c>
      <c r="J25" s="2365">
        <f t="shared" si="0"/>
        <v>117100</v>
      </c>
    </row>
    <row r="26" spans="1:10">
      <c r="A26" s="53">
        <v>1995.05</v>
      </c>
      <c r="B26" s="215">
        <v>28049</v>
      </c>
      <c r="C26" s="3538">
        <v>40019</v>
      </c>
      <c r="D26" s="1946">
        <f t="shared" si="1"/>
        <v>68068</v>
      </c>
      <c r="E26" s="1334"/>
      <c r="F26" s="3614"/>
      <c r="G26" s="105"/>
      <c r="H26" s="223">
        <v>45523</v>
      </c>
      <c r="I26" s="3538">
        <v>67496</v>
      </c>
      <c r="J26" s="2365">
        <f t="shared" si="0"/>
        <v>113019</v>
      </c>
    </row>
    <row r="27" spans="1:10">
      <c r="A27" s="53">
        <v>1995.06</v>
      </c>
      <c r="B27" s="215">
        <v>27458</v>
      </c>
      <c r="C27" s="3538">
        <v>39920</v>
      </c>
      <c r="D27" s="1946">
        <f t="shared" si="1"/>
        <v>67378</v>
      </c>
      <c r="E27" s="1334"/>
      <c r="F27" s="3614"/>
      <c r="G27" s="105"/>
      <c r="H27" s="223">
        <v>43792</v>
      </c>
      <c r="I27" s="3538">
        <v>65940</v>
      </c>
      <c r="J27" s="2365">
        <f t="shared" si="0"/>
        <v>109732</v>
      </c>
    </row>
    <row r="28" spans="1:10">
      <c r="A28" s="53">
        <v>1995.07</v>
      </c>
      <c r="B28" s="215">
        <v>29056</v>
      </c>
      <c r="C28" s="3538">
        <v>46190</v>
      </c>
      <c r="D28" s="1946">
        <f t="shared" si="1"/>
        <v>75246</v>
      </c>
      <c r="E28" s="1334"/>
      <c r="F28" s="3614"/>
      <c r="G28" s="105"/>
      <c r="H28" s="223">
        <v>43741</v>
      </c>
      <c r="I28" s="3538">
        <v>65307</v>
      </c>
      <c r="J28" s="2365">
        <f t="shared" si="0"/>
        <v>109048</v>
      </c>
    </row>
    <row r="29" spans="1:10">
      <c r="A29" s="53">
        <v>1995.08</v>
      </c>
      <c r="B29" s="215">
        <v>27480</v>
      </c>
      <c r="C29" s="3538">
        <v>42612</v>
      </c>
      <c r="D29" s="1946">
        <f t="shared" si="1"/>
        <v>70092</v>
      </c>
      <c r="E29" s="1334"/>
      <c r="F29" s="3614"/>
      <c r="G29" s="105"/>
      <c r="H29" s="223">
        <v>42192</v>
      </c>
      <c r="I29" s="3538">
        <v>63450</v>
      </c>
      <c r="J29" s="2365">
        <f t="shared" si="0"/>
        <v>105642</v>
      </c>
    </row>
    <row r="30" spans="1:10">
      <c r="A30" s="53">
        <v>1995.09</v>
      </c>
      <c r="B30" s="215">
        <v>26996</v>
      </c>
      <c r="C30" s="3538">
        <v>39031</v>
      </c>
      <c r="D30" s="1946">
        <f t="shared" si="1"/>
        <v>66027</v>
      </c>
      <c r="E30" s="1334"/>
      <c r="F30" s="3614"/>
      <c r="G30" s="105"/>
      <c r="H30" s="223">
        <v>41713</v>
      </c>
      <c r="I30" s="3538">
        <v>63091</v>
      </c>
      <c r="J30" s="2365">
        <f t="shared" si="0"/>
        <v>104804</v>
      </c>
    </row>
    <row r="31" spans="1:10">
      <c r="A31" s="53">
        <v>1995.1</v>
      </c>
      <c r="B31" s="215">
        <v>27241</v>
      </c>
      <c r="C31" s="3538">
        <v>38118</v>
      </c>
      <c r="D31" s="1946">
        <f t="shared" si="1"/>
        <v>65359</v>
      </c>
      <c r="E31" s="1334"/>
      <c r="F31" s="3614"/>
      <c r="G31" s="105"/>
      <c r="H31" s="223">
        <v>41100</v>
      </c>
      <c r="I31" s="3538">
        <v>61978</v>
      </c>
      <c r="J31" s="2365">
        <f t="shared" si="0"/>
        <v>103078</v>
      </c>
    </row>
    <row r="32" spans="1:10">
      <c r="A32" s="53">
        <v>1995.11</v>
      </c>
      <c r="B32" s="215">
        <v>26247</v>
      </c>
      <c r="C32" s="3538">
        <v>37425</v>
      </c>
      <c r="D32" s="1946">
        <f t="shared" si="1"/>
        <v>63672</v>
      </c>
      <c r="E32" s="1334"/>
      <c r="F32" s="3614"/>
      <c r="G32" s="105"/>
      <c r="H32" s="223">
        <v>42160</v>
      </c>
      <c r="I32" s="3538">
        <v>64138</v>
      </c>
      <c r="J32" s="2365">
        <f t="shared" si="0"/>
        <v>106298</v>
      </c>
    </row>
    <row r="33" spans="1:10">
      <c r="A33" s="53">
        <v>1995.12</v>
      </c>
      <c r="B33" s="215">
        <v>26509</v>
      </c>
      <c r="C33" s="3538">
        <v>37183</v>
      </c>
      <c r="D33" s="1946">
        <f t="shared" si="1"/>
        <v>63692</v>
      </c>
      <c r="E33" s="1334"/>
      <c r="F33" s="3614"/>
      <c r="G33" s="105"/>
      <c r="H33" s="223">
        <v>42846</v>
      </c>
      <c r="I33" s="3538">
        <v>62947</v>
      </c>
      <c r="J33" s="2365">
        <f t="shared" si="0"/>
        <v>105793</v>
      </c>
    </row>
    <row r="34" spans="1:10">
      <c r="A34" s="53">
        <v>1996.01</v>
      </c>
      <c r="B34" s="215">
        <v>26465</v>
      </c>
      <c r="C34" s="3538">
        <v>37161</v>
      </c>
      <c r="D34" s="1946">
        <f t="shared" si="1"/>
        <v>63626</v>
      </c>
      <c r="E34" s="1334"/>
      <c r="F34" s="3614"/>
      <c r="G34" s="105"/>
      <c r="H34" s="223">
        <v>39958</v>
      </c>
      <c r="I34" s="3538">
        <v>60837</v>
      </c>
      <c r="J34" s="2365">
        <f t="shared" si="0"/>
        <v>100795</v>
      </c>
    </row>
    <row r="35" spans="1:10">
      <c r="A35" s="53">
        <v>1996.02</v>
      </c>
      <c r="B35" s="215">
        <v>26754</v>
      </c>
      <c r="C35" s="3538">
        <v>37904</v>
      </c>
      <c r="D35" s="1946">
        <f t="shared" si="1"/>
        <v>64658</v>
      </c>
      <c r="E35" s="1334"/>
      <c r="F35" s="3614"/>
      <c r="G35" s="105"/>
      <c r="H35" s="223">
        <v>40699</v>
      </c>
      <c r="I35" s="3538">
        <v>62808</v>
      </c>
      <c r="J35" s="2365">
        <f t="shared" si="0"/>
        <v>103507</v>
      </c>
    </row>
    <row r="36" spans="1:10">
      <c r="A36" s="53">
        <v>1996.03</v>
      </c>
      <c r="B36" s="215">
        <v>27364</v>
      </c>
      <c r="C36" s="3538">
        <v>38444</v>
      </c>
      <c r="D36" s="1946">
        <f t="shared" si="1"/>
        <v>65808</v>
      </c>
      <c r="E36" s="1334"/>
      <c r="F36" s="3614"/>
      <c r="G36" s="105"/>
      <c r="H36" s="223">
        <v>41644</v>
      </c>
      <c r="I36" s="3538">
        <v>65299</v>
      </c>
      <c r="J36" s="2365">
        <f t="shared" si="0"/>
        <v>106943</v>
      </c>
    </row>
    <row r="37" spans="1:10">
      <c r="A37" s="53">
        <v>1996.04</v>
      </c>
      <c r="B37" s="215">
        <v>26713</v>
      </c>
      <c r="C37" s="3538">
        <v>39088</v>
      </c>
      <c r="D37" s="1946">
        <f t="shared" si="1"/>
        <v>65801</v>
      </c>
      <c r="E37" s="1334"/>
      <c r="F37" s="3614"/>
      <c r="G37" s="105"/>
      <c r="H37" s="223">
        <v>39820</v>
      </c>
      <c r="I37" s="3538">
        <v>64448</v>
      </c>
      <c r="J37" s="2365">
        <f t="shared" si="0"/>
        <v>104268</v>
      </c>
    </row>
    <row r="38" spans="1:10">
      <c r="A38" s="53">
        <v>1996.05</v>
      </c>
      <c r="B38" s="215">
        <v>26796</v>
      </c>
      <c r="C38" s="3538">
        <v>40765</v>
      </c>
      <c r="D38" s="1946">
        <f t="shared" si="1"/>
        <v>67561</v>
      </c>
      <c r="E38" s="1334"/>
      <c r="F38" s="3614"/>
      <c r="G38" s="105"/>
      <c r="H38" s="223">
        <v>38921</v>
      </c>
      <c r="I38" s="3538">
        <v>63674</v>
      </c>
      <c r="J38" s="2365">
        <f t="shared" si="0"/>
        <v>102595</v>
      </c>
    </row>
    <row r="39" spans="1:10">
      <c r="A39" s="53">
        <v>1996.06</v>
      </c>
      <c r="B39" s="215">
        <v>26178</v>
      </c>
      <c r="C39" s="3538">
        <v>39190</v>
      </c>
      <c r="D39" s="1946">
        <f t="shared" si="1"/>
        <v>65368</v>
      </c>
      <c r="E39" s="1334"/>
      <c r="F39" s="3614"/>
      <c r="G39" s="105"/>
      <c r="H39" s="223">
        <v>39707</v>
      </c>
      <c r="I39" s="3538">
        <v>62839</v>
      </c>
      <c r="J39" s="2365">
        <f t="shared" si="0"/>
        <v>102546</v>
      </c>
    </row>
    <row r="40" spans="1:10">
      <c r="A40" s="53">
        <v>1996.07</v>
      </c>
      <c r="B40" s="215">
        <v>26126</v>
      </c>
      <c r="C40" s="3538">
        <v>42179</v>
      </c>
      <c r="D40" s="1946">
        <f t="shared" si="1"/>
        <v>68305</v>
      </c>
      <c r="E40" s="1334"/>
      <c r="F40" s="3614"/>
      <c r="G40" s="105"/>
      <c r="H40" s="223">
        <v>37703</v>
      </c>
      <c r="I40" s="3538">
        <v>62817</v>
      </c>
      <c r="J40" s="2365">
        <f t="shared" si="0"/>
        <v>100520</v>
      </c>
    </row>
    <row r="41" spans="1:10">
      <c r="A41" s="53">
        <v>1996.08</v>
      </c>
      <c r="B41" s="215">
        <v>26218</v>
      </c>
      <c r="C41" s="3538">
        <v>39714</v>
      </c>
      <c r="D41" s="1946">
        <f t="shared" si="1"/>
        <v>65932</v>
      </c>
      <c r="E41" s="1334"/>
      <c r="F41" s="3614"/>
      <c r="G41" s="105"/>
      <c r="H41" s="223">
        <v>38083</v>
      </c>
      <c r="I41" s="3538">
        <v>65132</v>
      </c>
      <c r="J41" s="2365">
        <f t="shared" si="0"/>
        <v>103215</v>
      </c>
    </row>
    <row r="42" spans="1:10">
      <c r="A42" s="53">
        <v>1996.09</v>
      </c>
      <c r="B42" s="215">
        <v>26401</v>
      </c>
      <c r="C42" s="3538">
        <v>38228</v>
      </c>
      <c r="D42" s="1946">
        <f t="shared" si="1"/>
        <v>64629</v>
      </c>
      <c r="E42" s="1334"/>
      <c r="F42" s="3614"/>
      <c r="G42" s="105"/>
      <c r="H42" s="223">
        <v>38793</v>
      </c>
      <c r="I42" s="3538">
        <v>66173</v>
      </c>
      <c r="J42" s="2365">
        <f t="shared" si="0"/>
        <v>104966</v>
      </c>
    </row>
    <row r="43" spans="1:10">
      <c r="A43" s="53">
        <v>1996.1</v>
      </c>
      <c r="B43" s="215">
        <v>24759</v>
      </c>
      <c r="C43" s="3538">
        <v>37576</v>
      </c>
      <c r="D43" s="1946">
        <f t="shared" si="1"/>
        <v>62335</v>
      </c>
      <c r="E43" s="1334"/>
      <c r="F43" s="3614"/>
      <c r="G43" s="105"/>
      <c r="H43" s="223">
        <v>36943</v>
      </c>
      <c r="I43" s="3538">
        <v>64642</v>
      </c>
      <c r="J43" s="2365">
        <f t="shared" si="0"/>
        <v>101585</v>
      </c>
    </row>
    <row r="44" spans="1:10">
      <c r="A44" s="53">
        <v>1996.11</v>
      </c>
      <c r="B44" s="215">
        <v>24438</v>
      </c>
      <c r="C44" s="3538">
        <v>37505</v>
      </c>
      <c r="D44" s="1946">
        <f t="shared" si="1"/>
        <v>61943</v>
      </c>
      <c r="E44" s="1334"/>
      <c r="F44" s="3614"/>
      <c r="G44" s="105"/>
      <c r="H44" s="223">
        <v>36528</v>
      </c>
      <c r="I44" s="3538">
        <v>64014</v>
      </c>
      <c r="J44" s="2365">
        <f t="shared" si="0"/>
        <v>100542</v>
      </c>
    </row>
    <row r="45" spans="1:10">
      <c r="A45" s="53">
        <v>1996.12</v>
      </c>
      <c r="B45" s="215">
        <v>25471</v>
      </c>
      <c r="C45" s="3538">
        <v>36523</v>
      </c>
      <c r="D45" s="1946">
        <f t="shared" si="1"/>
        <v>61994</v>
      </c>
      <c r="E45" s="1334"/>
      <c r="F45" s="3614"/>
      <c r="G45" s="105"/>
      <c r="H45" s="223">
        <v>36959</v>
      </c>
      <c r="I45" s="3538">
        <v>64142</v>
      </c>
      <c r="J45" s="2365">
        <f t="shared" si="0"/>
        <v>101101</v>
      </c>
    </row>
    <row r="46" spans="1:10">
      <c r="A46" s="53">
        <v>1997.01</v>
      </c>
      <c r="B46" s="215">
        <v>23059</v>
      </c>
      <c r="C46" s="3538">
        <v>35931</v>
      </c>
      <c r="D46" s="1946">
        <f t="shared" si="1"/>
        <v>58990</v>
      </c>
      <c r="E46" s="1334"/>
      <c r="F46" s="3614"/>
      <c r="G46" s="105"/>
      <c r="H46" s="223">
        <v>35377</v>
      </c>
      <c r="I46" s="3538">
        <v>63609</v>
      </c>
      <c r="J46" s="2365">
        <f t="shared" si="0"/>
        <v>98986</v>
      </c>
    </row>
    <row r="47" spans="1:10">
      <c r="A47" s="53">
        <v>1997.02</v>
      </c>
      <c r="B47" s="215">
        <v>24166</v>
      </c>
      <c r="C47" s="3538">
        <v>37248</v>
      </c>
      <c r="D47" s="1946">
        <f t="shared" si="1"/>
        <v>61414</v>
      </c>
      <c r="E47" s="1334"/>
      <c r="F47" s="3614"/>
      <c r="G47" s="105"/>
      <c r="H47" s="223">
        <v>38504</v>
      </c>
      <c r="I47" s="3538">
        <v>66188</v>
      </c>
      <c r="J47" s="2365">
        <f t="shared" si="0"/>
        <v>104692</v>
      </c>
    </row>
    <row r="48" spans="1:10">
      <c r="A48" s="53">
        <v>1997.03</v>
      </c>
      <c r="B48" s="215">
        <v>25131</v>
      </c>
      <c r="C48" s="3538">
        <v>37835</v>
      </c>
      <c r="D48" s="1946">
        <f t="shared" si="1"/>
        <v>62966</v>
      </c>
      <c r="E48" s="1334"/>
      <c r="F48" s="3614"/>
      <c r="G48" s="105"/>
      <c r="H48" s="223">
        <v>40600</v>
      </c>
      <c r="I48" s="3538">
        <v>67529</v>
      </c>
      <c r="J48" s="2365">
        <f t="shared" si="0"/>
        <v>108129</v>
      </c>
    </row>
    <row r="49" spans="1:10">
      <c r="A49" s="53">
        <v>1997.04</v>
      </c>
      <c r="B49" s="215">
        <v>24592</v>
      </c>
      <c r="C49" s="3538">
        <v>36486</v>
      </c>
      <c r="D49" s="1946">
        <f t="shared" si="1"/>
        <v>61078</v>
      </c>
      <c r="E49" s="1334"/>
      <c r="F49" s="3614"/>
      <c r="G49" s="105"/>
      <c r="H49" s="223">
        <v>38440</v>
      </c>
      <c r="I49" s="3538">
        <v>66978</v>
      </c>
      <c r="J49" s="2365">
        <f t="shared" si="0"/>
        <v>105418</v>
      </c>
    </row>
    <row r="50" spans="1:10">
      <c r="A50" s="53">
        <v>1997.05</v>
      </c>
      <c r="B50" s="215">
        <v>24731</v>
      </c>
      <c r="C50" s="3538">
        <v>36814</v>
      </c>
      <c r="D50" s="1946">
        <f t="shared" si="1"/>
        <v>61545</v>
      </c>
      <c r="E50" s="1334"/>
      <c r="F50" s="3614"/>
      <c r="G50" s="105"/>
      <c r="H50" s="223">
        <v>36756</v>
      </c>
      <c r="I50" s="3538">
        <v>66655</v>
      </c>
      <c r="J50" s="2365">
        <f t="shared" si="0"/>
        <v>103411</v>
      </c>
    </row>
    <row r="51" spans="1:10">
      <c r="A51" s="53">
        <v>1997.06</v>
      </c>
      <c r="B51" s="215">
        <v>24049</v>
      </c>
      <c r="C51" s="3538">
        <v>35223</v>
      </c>
      <c r="D51" s="1946">
        <f t="shared" si="1"/>
        <v>59272</v>
      </c>
      <c r="E51" s="1334"/>
      <c r="F51" s="3614"/>
      <c r="G51" s="105"/>
      <c r="H51" s="223">
        <v>36862</v>
      </c>
      <c r="I51" s="3538">
        <v>64913</v>
      </c>
      <c r="J51" s="2365">
        <f t="shared" si="0"/>
        <v>101775</v>
      </c>
    </row>
    <row r="52" spans="1:10">
      <c r="A52" s="53">
        <v>1997.07</v>
      </c>
      <c r="B52" s="215">
        <v>23537</v>
      </c>
      <c r="C52" s="3538">
        <v>35880</v>
      </c>
      <c r="D52" s="1946">
        <f t="shared" si="1"/>
        <v>59417</v>
      </c>
      <c r="E52" s="1334"/>
      <c r="F52" s="3614"/>
      <c r="G52" s="105"/>
      <c r="H52" s="223">
        <v>34634</v>
      </c>
      <c r="I52" s="3538">
        <v>64220</v>
      </c>
      <c r="J52" s="2365">
        <f t="shared" si="0"/>
        <v>98854</v>
      </c>
    </row>
    <row r="53" spans="1:10">
      <c r="A53" s="53">
        <v>1997.08</v>
      </c>
      <c r="B53" s="215">
        <v>25437</v>
      </c>
      <c r="C53" s="3538">
        <v>36011</v>
      </c>
      <c r="D53" s="1946">
        <f t="shared" si="1"/>
        <v>61448</v>
      </c>
      <c r="E53" s="1334"/>
      <c r="F53" s="3614"/>
      <c r="G53" s="105"/>
      <c r="H53" s="223">
        <v>36360</v>
      </c>
      <c r="I53" s="3538">
        <v>65815</v>
      </c>
      <c r="J53" s="2365">
        <f t="shared" si="0"/>
        <v>102175</v>
      </c>
    </row>
    <row r="54" spans="1:10">
      <c r="A54" s="53">
        <v>1997.09</v>
      </c>
      <c r="B54" s="215">
        <v>25475</v>
      </c>
      <c r="C54" s="3538">
        <v>35662</v>
      </c>
      <c r="D54" s="1946">
        <f t="shared" si="1"/>
        <v>61137</v>
      </c>
      <c r="E54" s="1334"/>
      <c r="F54" s="3614"/>
      <c r="G54" s="105"/>
      <c r="H54" s="223">
        <v>34927</v>
      </c>
      <c r="I54" s="3538">
        <v>64541</v>
      </c>
      <c r="J54" s="2365">
        <f t="shared" si="0"/>
        <v>99468</v>
      </c>
    </row>
    <row r="55" spans="1:10">
      <c r="A55" s="53">
        <v>1997.1</v>
      </c>
      <c r="B55" s="215">
        <v>24548</v>
      </c>
      <c r="C55" s="3538">
        <v>35143</v>
      </c>
      <c r="D55" s="1946">
        <f t="shared" si="1"/>
        <v>59691</v>
      </c>
      <c r="E55" s="1334"/>
      <c r="F55" s="3614"/>
      <c r="G55" s="105"/>
      <c r="H55" s="223">
        <v>34750</v>
      </c>
      <c r="I55" s="3538">
        <v>64485</v>
      </c>
      <c r="J55" s="2365">
        <f t="shared" si="0"/>
        <v>99235</v>
      </c>
    </row>
    <row r="56" spans="1:10">
      <c r="A56" s="53">
        <v>1997.11</v>
      </c>
      <c r="B56" s="215">
        <v>24507</v>
      </c>
      <c r="C56" s="3538">
        <v>35121</v>
      </c>
      <c r="D56" s="1946">
        <f t="shared" si="1"/>
        <v>59628</v>
      </c>
      <c r="E56" s="1334"/>
      <c r="F56" s="3614"/>
      <c r="G56" s="105"/>
      <c r="H56" s="223">
        <v>36425</v>
      </c>
      <c r="I56" s="3538">
        <v>64697</v>
      </c>
      <c r="J56" s="2365">
        <f t="shared" si="0"/>
        <v>101122</v>
      </c>
    </row>
    <row r="57" spans="1:10">
      <c r="A57" s="53">
        <v>1997.12</v>
      </c>
      <c r="B57" s="215">
        <v>24476</v>
      </c>
      <c r="C57" s="3538">
        <v>33280</v>
      </c>
      <c r="D57" s="1946">
        <f t="shared" si="1"/>
        <v>57756</v>
      </c>
      <c r="E57" s="1334"/>
      <c r="F57" s="3614"/>
      <c r="G57" s="105"/>
      <c r="H57" s="223">
        <v>33990</v>
      </c>
      <c r="I57" s="3538">
        <v>64461</v>
      </c>
      <c r="J57" s="2365">
        <f t="shared" si="0"/>
        <v>98451</v>
      </c>
    </row>
    <row r="58" spans="1:10">
      <c r="A58" s="53">
        <v>1998.01</v>
      </c>
      <c r="B58" s="215">
        <v>23260</v>
      </c>
      <c r="C58" s="3538">
        <v>33181</v>
      </c>
      <c r="D58" s="1946">
        <f t="shared" si="1"/>
        <v>56441</v>
      </c>
      <c r="E58" s="1334"/>
      <c r="F58" s="3614"/>
      <c r="G58" s="105"/>
      <c r="H58" s="223">
        <v>33494</v>
      </c>
      <c r="I58" s="3538">
        <v>63983</v>
      </c>
      <c r="J58" s="2365">
        <f t="shared" si="0"/>
        <v>97477</v>
      </c>
    </row>
    <row r="59" spans="1:10">
      <c r="A59" s="53">
        <v>1998.02</v>
      </c>
      <c r="B59" s="215">
        <v>24649</v>
      </c>
      <c r="C59" s="3538">
        <v>34664</v>
      </c>
      <c r="D59" s="1946">
        <f t="shared" si="1"/>
        <v>59313</v>
      </c>
      <c r="E59" s="1334"/>
      <c r="F59" s="3614"/>
      <c r="G59" s="105"/>
      <c r="H59" s="223">
        <v>34669</v>
      </c>
      <c r="I59" s="3538">
        <v>65656</v>
      </c>
      <c r="J59" s="2365">
        <f t="shared" si="0"/>
        <v>100325</v>
      </c>
    </row>
    <row r="60" spans="1:10">
      <c r="A60" s="53">
        <v>1998.03</v>
      </c>
      <c r="B60" s="215">
        <v>25256</v>
      </c>
      <c r="C60" s="3538">
        <v>34677</v>
      </c>
      <c r="D60" s="1946">
        <f t="shared" si="1"/>
        <v>59933</v>
      </c>
      <c r="E60" s="1334"/>
      <c r="F60" s="3614"/>
      <c r="G60" s="105"/>
      <c r="H60" s="223">
        <v>35174</v>
      </c>
      <c r="I60" s="3538">
        <v>67281</v>
      </c>
      <c r="J60" s="2365">
        <f t="shared" si="0"/>
        <v>102455</v>
      </c>
    </row>
    <row r="61" spans="1:10">
      <c r="A61" s="53">
        <v>1998.04</v>
      </c>
      <c r="B61" s="215">
        <v>25661</v>
      </c>
      <c r="C61" s="3538">
        <v>33990</v>
      </c>
      <c r="D61" s="1946">
        <f t="shared" si="1"/>
        <v>59651</v>
      </c>
      <c r="E61" s="1334"/>
      <c r="F61" s="3614"/>
      <c r="G61" s="105"/>
      <c r="H61" s="223">
        <v>33199</v>
      </c>
      <c r="I61" s="3538">
        <v>66339</v>
      </c>
      <c r="J61" s="2365">
        <f t="shared" si="0"/>
        <v>99538</v>
      </c>
    </row>
    <row r="62" spans="1:10">
      <c r="A62" s="53">
        <v>1998.05</v>
      </c>
      <c r="B62" s="215">
        <v>25660</v>
      </c>
      <c r="C62" s="3538">
        <v>34030</v>
      </c>
      <c r="D62" s="1946">
        <f t="shared" si="1"/>
        <v>59690</v>
      </c>
      <c r="E62" s="1334"/>
      <c r="F62" s="3614"/>
      <c r="G62" s="105"/>
      <c r="H62" s="223">
        <v>34904</v>
      </c>
      <c r="I62" s="3538">
        <v>65536</v>
      </c>
      <c r="J62" s="2365">
        <f t="shared" si="0"/>
        <v>100440</v>
      </c>
    </row>
    <row r="63" spans="1:10">
      <c r="A63" s="53">
        <v>1998.06</v>
      </c>
      <c r="B63" s="215">
        <v>24471</v>
      </c>
      <c r="C63" s="3538">
        <v>32961</v>
      </c>
      <c r="D63" s="1946">
        <f t="shared" si="1"/>
        <v>57432</v>
      </c>
      <c r="E63" s="1334"/>
      <c r="F63" s="3614"/>
      <c r="G63" s="105"/>
      <c r="H63" s="223">
        <v>32575</v>
      </c>
      <c r="I63" s="3538">
        <v>61789</v>
      </c>
      <c r="J63" s="2365">
        <f t="shared" si="0"/>
        <v>94364</v>
      </c>
    </row>
    <row r="64" spans="1:10">
      <c r="A64" s="53">
        <v>1998.07</v>
      </c>
      <c r="B64" s="215">
        <v>23902</v>
      </c>
      <c r="C64" s="3538">
        <v>32977</v>
      </c>
      <c r="D64" s="1946">
        <f t="shared" si="1"/>
        <v>56879</v>
      </c>
      <c r="E64" s="1334"/>
      <c r="F64" s="3614"/>
      <c r="G64" s="105"/>
      <c r="H64" s="223">
        <v>32745</v>
      </c>
      <c r="I64" s="3538">
        <v>63906</v>
      </c>
      <c r="J64" s="2365">
        <f t="shared" si="0"/>
        <v>96651</v>
      </c>
    </row>
    <row r="65" spans="1:10">
      <c r="A65" s="53">
        <v>1998.08</v>
      </c>
      <c r="B65" s="215">
        <v>24846</v>
      </c>
      <c r="C65" s="3538">
        <v>34298</v>
      </c>
      <c r="D65" s="1946">
        <f t="shared" si="1"/>
        <v>59144</v>
      </c>
      <c r="E65" s="1334"/>
      <c r="F65" s="3614"/>
      <c r="G65" s="105"/>
      <c r="H65" s="223">
        <v>35782</v>
      </c>
      <c r="I65" s="3538">
        <v>66333</v>
      </c>
      <c r="J65" s="2365">
        <f t="shared" si="0"/>
        <v>102115</v>
      </c>
    </row>
    <row r="66" spans="1:10">
      <c r="A66" s="53">
        <v>1998.09</v>
      </c>
      <c r="B66" s="215">
        <v>24054</v>
      </c>
      <c r="C66" s="3538">
        <v>33280</v>
      </c>
      <c r="D66" s="1946">
        <f t="shared" si="1"/>
        <v>57334</v>
      </c>
      <c r="E66" s="1334"/>
      <c r="F66" s="3614"/>
      <c r="G66" s="105"/>
      <c r="H66" s="223">
        <v>35601</v>
      </c>
      <c r="I66" s="3538">
        <v>63254</v>
      </c>
      <c r="J66" s="2365">
        <f t="shared" si="0"/>
        <v>98855</v>
      </c>
    </row>
    <row r="67" spans="1:10">
      <c r="A67" s="53">
        <v>1998.1</v>
      </c>
      <c r="B67" s="215">
        <v>22331</v>
      </c>
      <c r="C67" s="3538">
        <v>32699</v>
      </c>
      <c r="D67" s="1946">
        <f t="shared" si="1"/>
        <v>55030</v>
      </c>
      <c r="E67" s="1334"/>
      <c r="F67" s="3614"/>
      <c r="G67" s="105"/>
      <c r="H67" s="223">
        <v>36153</v>
      </c>
      <c r="I67" s="3538">
        <v>62120</v>
      </c>
      <c r="J67" s="2365">
        <f t="shared" si="0"/>
        <v>98273</v>
      </c>
    </row>
    <row r="68" spans="1:10">
      <c r="A68" s="53">
        <v>1998.11</v>
      </c>
      <c r="B68" s="215">
        <v>22891</v>
      </c>
      <c r="C68" s="3538">
        <v>32641</v>
      </c>
      <c r="D68" s="1946">
        <f t="shared" si="1"/>
        <v>55532</v>
      </c>
      <c r="E68" s="1334"/>
      <c r="F68" s="3614"/>
      <c r="G68" s="105"/>
      <c r="H68" s="223">
        <v>36290</v>
      </c>
      <c r="I68" s="3538">
        <v>62707</v>
      </c>
      <c r="J68" s="2365">
        <f t="shared" si="0"/>
        <v>98997</v>
      </c>
    </row>
    <row r="69" spans="1:10">
      <c r="A69" s="53">
        <v>1998.12</v>
      </c>
      <c r="B69" s="215">
        <v>22028</v>
      </c>
      <c r="C69" s="3538">
        <v>32262</v>
      </c>
      <c r="D69" s="1946">
        <f t="shared" si="1"/>
        <v>54290</v>
      </c>
      <c r="E69" s="1334"/>
      <c r="F69" s="3614"/>
      <c r="G69" s="105"/>
      <c r="H69" s="223">
        <v>32727</v>
      </c>
      <c r="I69" s="3538">
        <v>62121</v>
      </c>
      <c r="J69" s="2365">
        <f t="shared" si="0"/>
        <v>94848</v>
      </c>
    </row>
    <row r="70" spans="1:10">
      <c r="A70" s="53">
        <v>1999.01</v>
      </c>
      <c r="B70" s="215">
        <v>22554</v>
      </c>
      <c r="C70" s="3538">
        <v>33237</v>
      </c>
      <c r="D70" s="1946">
        <f t="shared" si="1"/>
        <v>55791</v>
      </c>
      <c r="E70" s="1334"/>
      <c r="F70" s="3614"/>
      <c r="G70" s="105"/>
      <c r="H70" s="223">
        <v>32614</v>
      </c>
      <c r="I70" s="3538">
        <v>62070</v>
      </c>
      <c r="J70" s="2365">
        <f t="shared" si="0"/>
        <v>94684</v>
      </c>
    </row>
    <row r="71" spans="1:10">
      <c r="A71" s="53">
        <v>1999.02</v>
      </c>
      <c r="B71" s="215">
        <v>22627</v>
      </c>
      <c r="C71" s="3538">
        <v>33419</v>
      </c>
      <c r="D71" s="1946">
        <f t="shared" si="1"/>
        <v>56046</v>
      </c>
      <c r="E71" s="1334"/>
      <c r="F71" s="3614"/>
      <c r="G71" s="105"/>
      <c r="H71" s="223">
        <v>32368</v>
      </c>
      <c r="I71" s="3538">
        <v>64230</v>
      </c>
      <c r="J71" s="2365">
        <f t="shared" si="0"/>
        <v>96598</v>
      </c>
    </row>
    <row r="72" spans="1:10">
      <c r="A72" s="53">
        <v>1999.03</v>
      </c>
      <c r="B72" s="215">
        <v>22801</v>
      </c>
      <c r="C72" s="3538">
        <v>33589</v>
      </c>
      <c r="D72" s="1946">
        <f t="shared" si="1"/>
        <v>56390</v>
      </c>
      <c r="E72" s="1334"/>
      <c r="F72" s="3614"/>
      <c r="G72" s="105"/>
      <c r="H72" s="223">
        <v>32425</v>
      </c>
      <c r="I72" s="3538">
        <v>66472</v>
      </c>
      <c r="J72" s="2365">
        <f t="shared" si="0"/>
        <v>98897</v>
      </c>
    </row>
    <row r="73" spans="1:10">
      <c r="A73" s="53">
        <v>1999.04</v>
      </c>
      <c r="B73" s="215">
        <v>22695</v>
      </c>
      <c r="C73" s="3538">
        <v>32788</v>
      </c>
      <c r="D73" s="1946">
        <f t="shared" si="1"/>
        <v>55483</v>
      </c>
      <c r="E73" s="1334"/>
      <c r="F73" s="3614"/>
      <c r="G73" s="105"/>
      <c r="H73" s="223">
        <v>33719</v>
      </c>
      <c r="I73" s="3538">
        <v>67959</v>
      </c>
      <c r="J73" s="2365">
        <f t="shared" si="0"/>
        <v>101678</v>
      </c>
    </row>
    <row r="74" spans="1:10">
      <c r="A74" s="53">
        <v>1999.05</v>
      </c>
      <c r="B74" s="215">
        <v>23051</v>
      </c>
      <c r="C74" s="3538">
        <v>33657</v>
      </c>
      <c r="D74" s="1946">
        <f t="shared" si="1"/>
        <v>56708</v>
      </c>
      <c r="E74" s="1334"/>
      <c r="F74" s="3614"/>
      <c r="G74" s="105"/>
      <c r="H74" s="223">
        <v>35272</v>
      </c>
      <c r="I74" s="3538">
        <v>66459</v>
      </c>
      <c r="J74" s="2365">
        <f t="shared" si="0"/>
        <v>101731</v>
      </c>
    </row>
    <row r="75" spans="1:10">
      <c r="A75" s="53">
        <v>1999.06</v>
      </c>
      <c r="B75" s="215">
        <v>22191</v>
      </c>
      <c r="C75" s="3538">
        <v>33069</v>
      </c>
      <c r="D75" s="1946">
        <f t="shared" si="1"/>
        <v>55260</v>
      </c>
      <c r="E75" s="1334"/>
      <c r="F75" s="3614"/>
      <c r="G75" s="105"/>
      <c r="H75" s="223">
        <v>32527</v>
      </c>
      <c r="I75" s="3538">
        <v>63412</v>
      </c>
      <c r="J75" s="2365">
        <f t="shared" si="0"/>
        <v>95939</v>
      </c>
    </row>
    <row r="76" spans="1:10">
      <c r="A76" s="53">
        <v>1999.07</v>
      </c>
      <c r="B76" s="215">
        <v>22106</v>
      </c>
      <c r="C76" s="3538">
        <v>32662</v>
      </c>
      <c r="D76" s="1946">
        <f t="shared" ref="D76:D139" si="2">B76+C76</f>
        <v>54768</v>
      </c>
      <c r="E76" s="1334"/>
      <c r="F76" s="3614"/>
      <c r="G76" s="105"/>
      <c r="H76" s="223">
        <v>30794</v>
      </c>
      <c r="I76" s="3538">
        <v>61041</v>
      </c>
      <c r="J76" s="2365">
        <f t="shared" ref="J76:J139" si="3">H76+I76</f>
        <v>91835</v>
      </c>
    </row>
    <row r="77" spans="1:10">
      <c r="A77" s="53">
        <v>1999.08</v>
      </c>
      <c r="B77" s="215">
        <v>23005</v>
      </c>
      <c r="C77" s="3538">
        <v>32595</v>
      </c>
      <c r="D77" s="1946">
        <f t="shared" si="2"/>
        <v>55600</v>
      </c>
      <c r="E77" s="1334"/>
      <c r="F77" s="3614"/>
      <c r="G77" s="105"/>
      <c r="H77" s="223">
        <v>33103</v>
      </c>
      <c r="I77" s="3538">
        <v>61119</v>
      </c>
      <c r="J77" s="2365">
        <f t="shared" si="3"/>
        <v>94222</v>
      </c>
    </row>
    <row r="78" spans="1:10">
      <c r="A78" s="53">
        <v>1999.09</v>
      </c>
      <c r="B78" s="215">
        <v>21986</v>
      </c>
      <c r="C78" s="3538">
        <v>32282</v>
      </c>
      <c r="D78" s="1946">
        <f t="shared" si="2"/>
        <v>54268</v>
      </c>
      <c r="E78" s="1334"/>
      <c r="F78" s="3614"/>
      <c r="G78" s="105"/>
      <c r="H78" s="223">
        <v>31682</v>
      </c>
      <c r="I78" s="3538">
        <v>60111</v>
      </c>
      <c r="J78" s="2365">
        <f t="shared" si="3"/>
        <v>91793</v>
      </c>
    </row>
    <row r="79" spans="1:10">
      <c r="A79" s="53">
        <v>1999.1</v>
      </c>
      <c r="B79" s="215">
        <v>21802</v>
      </c>
      <c r="C79" s="3538">
        <v>31322</v>
      </c>
      <c r="D79" s="1946">
        <f t="shared" si="2"/>
        <v>53124</v>
      </c>
      <c r="E79" s="1334"/>
      <c r="F79" s="3614"/>
      <c r="G79" s="105"/>
      <c r="H79" s="223">
        <v>32240</v>
      </c>
      <c r="I79" s="3538">
        <v>57273</v>
      </c>
      <c r="J79" s="2365">
        <f t="shared" si="3"/>
        <v>89513</v>
      </c>
    </row>
    <row r="80" spans="1:10">
      <c r="A80" s="53">
        <v>1999.11</v>
      </c>
      <c r="B80" s="215">
        <v>20863</v>
      </c>
      <c r="C80" s="3538">
        <v>26165</v>
      </c>
      <c r="D80" s="1946">
        <f t="shared" si="2"/>
        <v>47028</v>
      </c>
      <c r="E80" s="1334"/>
      <c r="F80" s="3614"/>
      <c r="G80" s="105"/>
      <c r="H80" s="223">
        <v>29937</v>
      </c>
      <c r="I80" s="3538">
        <v>57007</v>
      </c>
      <c r="J80" s="2365">
        <f t="shared" si="3"/>
        <v>86944</v>
      </c>
    </row>
    <row r="81" spans="1:10">
      <c r="A81" s="53">
        <v>1999.12</v>
      </c>
      <c r="B81" s="215">
        <v>21402</v>
      </c>
      <c r="C81" s="3538">
        <v>32749</v>
      </c>
      <c r="D81" s="1946">
        <f t="shared" si="2"/>
        <v>54151</v>
      </c>
      <c r="E81" s="1334"/>
      <c r="F81" s="3614"/>
      <c r="G81" s="105"/>
      <c r="H81" s="223">
        <v>30845</v>
      </c>
      <c r="I81" s="3538">
        <v>56756</v>
      </c>
      <c r="J81" s="2365">
        <f t="shared" si="3"/>
        <v>87601</v>
      </c>
    </row>
    <row r="82" spans="1:10">
      <c r="A82" s="53">
        <v>2000.01</v>
      </c>
      <c r="B82" s="215">
        <v>21277</v>
      </c>
      <c r="C82" s="3538">
        <v>31200</v>
      </c>
      <c r="D82" s="1946">
        <f t="shared" si="2"/>
        <v>52477</v>
      </c>
      <c r="E82" s="1334"/>
      <c r="F82" s="3614"/>
      <c r="G82" s="105"/>
      <c r="H82" s="223">
        <v>29756</v>
      </c>
      <c r="I82" s="3538">
        <v>56597</v>
      </c>
      <c r="J82" s="2365">
        <f t="shared" si="3"/>
        <v>86353</v>
      </c>
    </row>
    <row r="83" spans="1:10">
      <c r="A83" s="53">
        <v>2000.02</v>
      </c>
      <c r="B83" s="215">
        <v>21393</v>
      </c>
      <c r="C83" s="3538">
        <v>31080</v>
      </c>
      <c r="D83" s="1946">
        <f t="shared" si="2"/>
        <v>52473</v>
      </c>
      <c r="E83" s="1334"/>
      <c r="F83" s="3614"/>
      <c r="G83" s="105"/>
      <c r="H83" s="223">
        <v>29669</v>
      </c>
      <c r="I83" s="3538">
        <v>59492</v>
      </c>
      <c r="J83" s="2365">
        <f t="shared" si="3"/>
        <v>89161</v>
      </c>
    </row>
    <row r="84" spans="1:10">
      <c r="A84" s="53">
        <v>2000.03</v>
      </c>
      <c r="B84" s="215">
        <v>21489</v>
      </c>
      <c r="C84" s="3538">
        <v>31117</v>
      </c>
      <c r="D84" s="1946">
        <f t="shared" si="2"/>
        <v>52606</v>
      </c>
      <c r="E84" s="1334"/>
      <c r="F84" s="3614"/>
      <c r="G84" s="105"/>
      <c r="H84" s="223">
        <v>39979</v>
      </c>
      <c r="I84" s="3538">
        <v>62170</v>
      </c>
      <c r="J84" s="2365">
        <f t="shared" si="3"/>
        <v>102149</v>
      </c>
    </row>
    <row r="85" spans="1:10">
      <c r="A85" s="53">
        <v>2000.04</v>
      </c>
      <c r="B85" s="215">
        <v>21745</v>
      </c>
      <c r="C85" s="3538">
        <v>31265</v>
      </c>
      <c r="D85" s="1946">
        <f t="shared" si="2"/>
        <v>53010</v>
      </c>
      <c r="E85" s="1334"/>
      <c r="F85" s="3614"/>
      <c r="G85" s="105"/>
      <c r="H85" s="223">
        <v>41771</v>
      </c>
      <c r="I85" s="3538">
        <v>59489</v>
      </c>
      <c r="J85" s="2365">
        <f t="shared" si="3"/>
        <v>101260</v>
      </c>
    </row>
    <row r="86" spans="1:10">
      <c r="A86" s="53">
        <v>2000.05</v>
      </c>
      <c r="B86" s="215">
        <v>21011</v>
      </c>
      <c r="C86" s="3538">
        <v>31411</v>
      </c>
      <c r="D86" s="1946">
        <f t="shared" si="2"/>
        <v>52422</v>
      </c>
      <c r="E86" s="1334"/>
      <c r="F86" s="3614"/>
      <c r="G86" s="105"/>
      <c r="H86" s="223">
        <v>41569</v>
      </c>
      <c r="I86" s="3538">
        <v>65434</v>
      </c>
      <c r="J86" s="2365">
        <f t="shared" si="3"/>
        <v>107003</v>
      </c>
    </row>
    <row r="87" spans="1:10">
      <c r="A87" s="53">
        <v>2000.06</v>
      </c>
      <c r="B87" s="215">
        <v>20425</v>
      </c>
      <c r="C87" s="3538">
        <v>32211</v>
      </c>
      <c r="D87" s="1946">
        <f t="shared" si="2"/>
        <v>52636</v>
      </c>
      <c r="E87" s="1334"/>
      <c r="F87" s="3614"/>
      <c r="G87" s="105"/>
      <c r="H87" s="223">
        <v>40313</v>
      </c>
      <c r="I87" s="3538">
        <v>64736</v>
      </c>
      <c r="J87" s="2365">
        <f t="shared" si="3"/>
        <v>105049</v>
      </c>
    </row>
    <row r="88" spans="1:10">
      <c r="A88" s="53">
        <v>2000.07</v>
      </c>
      <c r="B88" s="215">
        <v>21257</v>
      </c>
      <c r="C88" s="3538">
        <v>31725</v>
      </c>
      <c r="D88" s="1946">
        <f t="shared" si="2"/>
        <v>52982</v>
      </c>
      <c r="E88" s="1334"/>
      <c r="F88" s="3614"/>
      <c r="G88" s="105"/>
      <c r="H88" s="223">
        <v>39271</v>
      </c>
      <c r="I88" s="3538">
        <v>64185</v>
      </c>
      <c r="J88" s="2365">
        <f t="shared" si="3"/>
        <v>103456</v>
      </c>
    </row>
    <row r="89" spans="1:10">
      <c r="A89" s="53">
        <v>2000.08</v>
      </c>
      <c r="B89" s="215">
        <v>20439</v>
      </c>
      <c r="C89" s="3538">
        <v>31705</v>
      </c>
      <c r="D89" s="1946">
        <f t="shared" si="2"/>
        <v>52144</v>
      </c>
      <c r="E89" s="1334"/>
      <c r="F89" s="3614"/>
      <c r="G89" s="105"/>
      <c r="H89" s="223">
        <v>39302</v>
      </c>
      <c r="I89" s="3538">
        <v>63819</v>
      </c>
      <c r="J89" s="2365">
        <f t="shared" si="3"/>
        <v>103121</v>
      </c>
    </row>
    <row r="90" spans="1:10">
      <c r="A90" s="53">
        <v>2000.09</v>
      </c>
      <c r="B90" s="215">
        <v>20113</v>
      </c>
      <c r="C90" s="3538">
        <v>31343</v>
      </c>
      <c r="D90" s="1946">
        <f t="shared" si="2"/>
        <v>51456</v>
      </c>
      <c r="E90" s="1334"/>
      <c r="F90" s="3614"/>
      <c r="G90" s="105"/>
      <c r="H90" s="223">
        <v>39909</v>
      </c>
      <c r="I90" s="3538">
        <v>64509</v>
      </c>
      <c r="J90" s="2365">
        <f t="shared" si="3"/>
        <v>104418</v>
      </c>
    </row>
    <row r="91" spans="1:10">
      <c r="A91" s="53">
        <v>2000.1</v>
      </c>
      <c r="B91" s="215">
        <v>20395</v>
      </c>
      <c r="C91" s="3538">
        <v>31117</v>
      </c>
      <c r="D91" s="1946">
        <f t="shared" si="2"/>
        <v>51512</v>
      </c>
      <c r="E91" s="1334"/>
      <c r="F91" s="3614"/>
      <c r="G91" s="105"/>
      <c r="H91" s="223">
        <v>39682</v>
      </c>
      <c r="I91" s="3538">
        <v>62872</v>
      </c>
      <c r="J91" s="2365">
        <f t="shared" si="3"/>
        <v>102554</v>
      </c>
    </row>
    <row r="92" spans="1:10">
      <c r="A92" s="53">
        <v>2000.11</v>
      </c>
      <c r="B92" s="215">
        <v>19736</v>
      </c>
      <c r="C92" s="3538">
        <v>32209</v>
      </c>
      <c r="D92" s="1946">
        <f t="shared" si="2"/>
        <v>51945</v>
      </c>
      <c r="E92" s="1334"/>
      <c r="F92" s="3614"/>
      <c r="G92" s="105"/>
      <c r="H92" s="223">
        <v>38901</v>
      </c>
      <c r="I92" s="3538">
        <v>62735</v>
      </c>
      <c r="J92" s="2365">
        <f t="shared" si="3"/>
        <v>101636</v>
      </c>
    </row>
    <row r="93" spans="1:10">
      <c r="A93" s="53">
        <v>2000.12</v>
      </c>
      <c r="B93" s="215">
        <v>19675</v>
      </c>
      <c r="C93" s="3538">
        <v>29056</v>
      </c>
      <c r="D93" s="1946">
        <f t="shared" si="2"/>
        <v>48731</v>
      </c>
      <c r="E93" s="1334"/>
      <c r="F93" s="3614"/>
      <c r="G93" s="105"/>
      <c r="H93" s="223">
        <v>38724</v>
      </c>
      <c r="I93" s="3538">
        <v>60553</v>
      </c>
      <c r="J93" s="2365">
        <f t="shared" si="3"/>
        <v>99277</v>
      </c>
    </row>
    <row r="94" spans="1:10">
      <c r="A94" s="53">
        <v>2001.01</v>
      </c>
      <c r="B94" s="215">
        <v>18941</v>
      </c>
      <c r="C94" s="3538">
        <v>29408</v>
      </c>
      <c r="D94" s="1946">
        <f t="shared" si="2"/>
        <v>48349</v>
      </c>
      <c r="E94" s="1334"/>
      <c r="F94" s="3614"/>
      <c r="G94" s="105"/>
      <c r="H94" s="223">
        <v>37159</v>
      </c>
      <c r="I94" s="3538">
        <v>60545</v>
      </c>
      <c r="J94" s="2365">
        <f t="shared" si="3"/>
        <v>97704</v>
      </c>
    </row>
    <row r="95" spans="1:10">
      <c r="A95" s="53">
        <v>2001.02</v>
      </c>
      <c r="B95" s="215">
        <v>19979</v>
      </c>
      <c r="C95" s="3538">
        <v>31324</v>
      </c>
      <c r="D95" s="1946">
        <f t="shared" si="2"/>
        <v>51303</v>
      </c>
      <c r="E95" s="1334"/>
      <c r="F95" s="3614"/>
      <c r="G95" s="105"/>
      <c r="H95" s="223">
        <v>39468</v>
      </c>
      <c r="I95" s="3538">
        <v>63846</v>
      </c>
      <c r="J95" s="2365">
        <f t="shared" si="3"/>
        <v>103314</v>
      </c>
    </row>
    <row r="96" spans="1:10">
      <c r="A96" s="53">
        <v>2001.03</v>
      </c>
      <c r="B96" s="215">
        <v>19666</v>
      </c>
      <c r="C96" s="3538">
        <v>31239</v>
      </c>
      <c r="D96" s="1946">
        <f t="shared" si="2"/>
        <v>50905</v>
      </c>
      <c r="E96" s="1334"/>
      <c r="F96" s="3614"/>
      <c r="G96" s="105"/>
      <c r="H96" s="223">
        <v>39390</v>
      </c>
      <c r="I96" s="3538">
        <v>64985</v>
      </c>
      <c r="J96" s="2365">
        <f t="shared" si="3"/>
        <v>104375</v>
      </c>
    </row>
    <row r="97" spans="1:15">
      <c r="A97" s="53">
        <v>2001.04</v>
      </c>
      <c r="B97" s="215">
        <v>20433</v>
      </c>
      <c r="C97" s="3538">
        <v>31822</v>
      </c>
      <c r="D97" s="1946">
        <f t="shared" si="2"/>
        <v>52255</v>
      </c>
      <c r="E97" s="1334"/>
      <c r="F97" s="3614"/>
      <c r="G97" s="105"/>
      <c r="H97" s="223">
        <v>40146</v>
      </c>
      <c r="I97" s="3538">
        <v>62936</v>
      </c>
      <c r="J97" s="2365">
        <f t="shared" si="3"/>
        <v>103082</v>
      </c>
      <c r="K97" s="166"/>
      <c r="L97" s="166"/>
      <c r="M97" s="166"/>
      <c r="N97" s="166"/>
      <c r="O97" s="166"/>
    </row>
    <row r="98" spans="1:15">
      <c r="A98" s="53">
        <v>2001.05</v>
      </c>
      <c r="B98" s="215">
        <v>19148</v>
      </c>
      <c r="C98" s="3538">
        <v>30681</v>
      </c>
      <c r="D98" s="1946">
        <f t="shared" si="2"/>
        <v>49829</v>
      </c>
      <c r="E98" s="1334"/>
      <c r="F98" s="3614"/>
      <c r="G98" s="105"/>
      <c r="H98" s="223">
        <v>36607</v>
      </c>
      <c r="I98" s="3538">
        <v>59132</v>
      </c>
      <c r="J98" s="2365">
        <f t="shared" si="3"/>
        <v>95739</v>
      </c>
      <c r="K98" s="166"/>
      <c r="L98" s="166"/>
      <c r="M98" s="166"/>
      <c r="N98" s="166"/>
      <c r="O98" s="166"/>
    </row>
    <row r="99" spans="1:15">
      <c r="A99" s="53">
        <v>2001.06</v>
      </c>
      <c r="B99" s="215">
        <v>18728</v>
      </c>
      <c r="C99" s="3538">
        <v>29672</v>
      </c>
      <c r="D99" s="1946">
        <f t="shared" si="2"/>
        <v>48400</v>
      </c>
      <c r="E99" s="1334"/>
      <c r="F99" s="3614"/>
      <c r="G99" s="105"/>
      <c r="H99" s="223">
        <v>36969</v>
      </c>
      <c r="I99" s="3538">
        <v>59420</v>
      </c>
      <c r="J99" s="2365">
        <f t="shared" si="3"/>
        <v>96389</v>
      </c>
      <c r="K99" s="166"/>
      <c r="L99" s="166"/>
      <c r="M99" s="166"/>
      <c r="N99" s="166"/>
      <c r="O99" s="166"/>
    </row>
    <row r="100" spans="1:15">
      <c r="A100" s="53">
        <v>2001.07</v>
      </c>
      <c r="B100" s="215">
        <v>18814</v>
      </c>
      <c r="C100" s="3538">
        <v>26194</v>
      </c>
      <c r="D100" s="1946">
        <f t="shared" si="2"/>
        <v>45008</v>
      </c>
      <c r="E100" s="1334"/>
      <c r="F100" s="3614"/>
      <c r="G100" s="105"/>
      <c r="H100" s="223">
        <v>37014</v>
      </c>
      <c r="I100" s="3538">
        <v>58964</v>
      </c>
      <c r="J100" s="2365">
        <f t="shared" si="3"/>
        <v>95978</v>
      </c>
      <c r="K100" s="166"/>
      <c r="L100" s="166"/>
      <c r="M100" s="166"/>
      <c r="N100" s="166"/>
      <c r="O100" s="166"/>
    </row>
    <row r="101" spans="1:15">
      <c r="A101" s="53">
        <v>2001.08</v>
      </c>
      <c r="B101" s="215">
        <v>19376</v>
      </c>
      <c r="C101" s="3538">
        <v>32800</v>
      </c>
      <c r="D101" s="1946">
        <f t="shared" si="2"/>
        <v>52176</v>
      </c>
      <c r="E101" s="1334"/>
      <c r="F101" s="3614"/>
      <c r="G101" s="105"/>
      <c r="H101" s="223">
        <v>36382</v>
      </c>
      <c r="I101" s="3538">
        <v>58862</v>
      </c>
      <c r="J101" s="2365">
        <f t="shared" si="3"/>
        <v>95244</v>
      </c>
      <c r="K101" s="166"/>
      <c r="L101" s="166"/>
      <c r="M101" s="166"/>
      <c r="N101" s="166"/>
      <c r="O101" s="166"/>
    </row>
    <row r="102" spans="1:15">
      <c r="A102" s="53">
        <v>2001.09</v>
      </c>
      <c r="B102" s="215">
        <v>19232</v>
      </c>
      <c r="C102" s="3538">
        <v>30614</v>
      </c>
      <c r="D102" s="1946">
        <f t="shared" si="2"/>
        <v>49846</v>
      </c>
      <c r="E102" s="1334"/>
      <c r="F102" s="3614"/>
      <c r="G102" s="105"/>
      <c r="H102" s="223">
        <v>37549</v>
      </c>
      <c r="I102" s="3538">
        <v>58346</v>
      </c>
      <c r="J102" s="2365">
        <f t="shared" si="3"/>
        <v>95895</v>
      </c>
      <c r="K102" s="166"/>
      <c r="L102" s="166"/>
      <c r="M102" s="166"/>
      <c r="N102" s="166"/>
      <c r="O102" s="166"/>
    </row>
    <row r="103" spans="1:15">
      <c r="A103" s="53">
        <v>2001.1</v>
      </c>
      <c r="B103" s="215">
        <v>18344</v>
      </c>
      <c r="C103" s="3538">
        <v>28981</v>
      </c>
      <c r="D103" s="1946">
        <f t="shared" si="2"/>
        <v>47325</v>
      </c>
      <c r="E103" s="1334"/>
      <c r="F103" s="3614"/>
      <c r="G103" s="105"/>
      <c r="H103" s="223">
        <v>35988</v>
      </c>
      <c r="I103" s="3538">
        <v>56601</v>
      </c>
      <c r="J103" s="2365">
        <f t="shared" si="3"/>
        <v>92589</v>
      </c>
      <c r="K103" s="166"/>
      <c r="L103" s="166"/>
      <c r="M103" s="166"/>
      <c r="N103" s="166"/>
      <c r="O103" s="166"/>
    </row>
    <row r="104" spans="1:15">
      <c r="A104" s="53">
        <v>2001.11</v>
      </c>
      <c r="B104" s="215">
        <v>17646</v>
      </c>
      <c r="C104" s="3538">
        <v>28437</v>
      </c>
      <c r="D104" s="1946">
        <f t="shared" si="2"/>
        <v>46083</v>
      </c>
      <c r="E104" s="1334"/>
      <c r="F104" s="3614"/>
      <c r="G104" s="105"/>
      <c r="H104" s="223">
        <v>35735</v>
      </c>
      <c r="I104" s="3538">
        <v>57227</v>
      </c>
      <c r="J104" s="2365">
        <f t="shared" si="3"/>
        <v>92962</v>
      </c>
      <c r="K104" s="166"/>
      <c r="L104" s="166"/>
      <c r="M104" s="166"/>
      <c r="N104" s="166"/>
      <c r="O104" s="166"/>
    </row>
    <row r="105" spans="1:15">
      <c r="A105" s="53">
        <v>2001.12</v>
      </c>
      <c r="B105" s="215">
        <v>18017</v>
      </c>
      <c r="C105" s="3538">
        <v>28816</v>
      </c>
      <c r="D105" s="1946">
        <f t="shared" si="2"/>
        <v>46833</v>
      </c>
      <c r="E105" s="1334"/>
      <c r="F105" s="3614"/>
      <c r="G105" s="105"/>
      <c r="H105" s="223">
        <v>36379</v>
      </c>
      <c r="I105" s="3538">
        <v>53779</v>
      </c>
      <c r="J105" s="2365">
        <f t="shared" si="3"/>
        <v>90158</v>
      </c>
      <c r="K105" s="166"/>
      <c r="L105" s="166"/>
      <c r="M105" s="166"/>
      <c r="N105" s="166"/>
      <c r="O105" s="166"/>
    </row>
    <row r="106" spans="1:15">
      <c r="A106" s="167">
        <v>2002.01</v>
      </c>
      <c r="B106" s="215">
        <v>16602</v>
      </c>
      <c r="C106" s="3538">
        <v>27244</v>
      </c>
      <c r="D106" s="1946">
        <f t="shared" si="2"/>
        <v>43846</v>
      </c>
      <c r="E106" s="1334"/>
      <c r="F106" s="3614"/>
      <c r="G106" s="105"/>
      <c r="H106" s="223">
        <v>33346</v>
      </c>
      <c r="I106" s="3538">
        <v>50613</v>
      </c>
      <c r="J106" s="2365">
        <f t="shared" si="3"/>
        <v>83959</v>
      </c>
      <c r="K106" s="29"/>
      <c r="L106" s="29"/>
      <c r="M106" s="29"/>
      <c r="N106" s="29"/>
      <c r="O106" s="7"/>
    </row>
    <row r="107" spans="1:15">
      <c r="A107" s="167">
        <v>2002.02</v>
      </c>
      <c r="B107" s="215">
        <v>16846</v>
      </c>
      <c r="C107" s="3538">
        <v>27171</v>
      </c>
      <c r="D107" s="1946">
        <f t="shared" si="2"/>
        <v>44017</v>
      </c>
      <c r="E107" s="1334"/>
      <c r="F107" s="3614"/>
      <c r="G107" s="105"/>
      <c r="H107" s="223">
        <v>34045</v>
      </c>
      <c r="I107" s="3538">
        <v>52213</v>
      </c>
      <c r="J107" s="2365">
        <f t="shared" si="3"/>
        <v>86258</v>
      </c>
      <c r="K107" s="29"/>
      <c r="L107" s="29"/>
      <c r="M107" s="29"/>
      <c r="N107" s="29"/>
      <c r="O107" s="29"/>
    </row>
    <row r="108" spans="1:15">
      <c r="A108" s="167">
        <v>2002.03</v>
      </c>
      <c r="B108" s="215">
        <v>16963</v>
      </c>
      <c r="C108" s="3538">
        <v>27346</v>
      </c>
      <c r="D108" s="1946">
        <f t="shared" si="2"/>
        <v>44309</v>
      </c>
      <c r="E108" s="1334"/>
      <c r="F108" s="3614"/>
      <c r="G108" s="105"/>
      <c r="H108" s="223">
        <v>34854</v>
      </c>
      <c r="I108" s="3538">
        <v>53618</v>
      </c>
      <c r="J108" s="2365">
        <f t="shared" si="3"/>
        <v>88472</v>
      </c>
      <c r="K108" s="29"/>
      <c r="L108" s="29"/>
      <c r="M108" s="29"/>
      <c r="N108" s="29"/>
      <c r="O108" s="29"/>
    </row>
    <row r="109" spans="1:15">
      <c r="A109" s="167">
        <v>2002.04</v>
      </c>
      <c r="B109" s="215">
        <v>16511</v>
      </c>
      <c r="C109" s="3538">
        <v>27113</v>
      </c>
      <c r="D109" s="1946">
        <f t="shared" si="2"/>
        <v>43624</v>
      </c>
      <c r="E109" s="1334"/>
      <c r="F109" s="3614"/>
      <c r="G109" s="105"/>
      <c r="H109" s="223">
        <v>34237</v>
      </c>
      <c r="I109" s="3538">
        <v>54396</v>
      </c>
      <c r="J109" s="2365">
        <f t="shared" si="3"/>
        <v>88633</v>
      </c>
      <c r="K109" s="29"/>
      <c r="L109" s="29"/>
      <c r="M109" s="29"/>
      <c r="N109" s="29"/>
      <c r="O109" s="29"/>
    </row>
    <row r="110" spans="1:15">
      <c r="A110" s="167">
        <v>2002.05</v>
      </c>
      <c r="B110" s="215">
        <v>16361</v>
      </c>
      <c r="C110" s="3538">
        <v>27159</v>
      </c>
      <c r="D110" s="1946">
        <f t="shared" si="2"/>
        <v>43520</v>
      </c>
      <c r="E110" s="1334"/>
      <c r="F110" s="3614"/>
      <c r="G110" s="105"/>
      <c r="H110" s="223">
        <v>33369</v>
      </c>
      <c r="I110" s="3538">
        <v>53651</v>
      </c>
      <c r="J110" s="2365">
        <f t="shared" si="3"/>
        <v>87020</v>
      </c>
      <c r="K110" s="29"/>
      <c r="L110" s="29"/>
      <c r="M110" s="29"/>
      <c r="N110" s="29"/>
      <c r="O110" s="29"/>
    </row>
    <row r="111" spans="1:15">
      <c r="A111" s="167">
        <v>2002.06</v>
      </c>
      <c r="B111" s="215">
        <v>16405</v>
      </c>
      <c r="C111" s="3538">
        <v>27070</v>
      </c>
      <c r="D111" s="1946">
        <f t="shared" si="2"/>
        <v>43475</v>
      </c>
      <c r="E111" s="1334"/>
      <c r="F111" s="3614"/>
      <c r="G111" s="105"/>
      <c r="H111" s="223">
        <v>31654</v>
      </c>
      <c r="I111" s="3538">
        <v>51942</v>
      </c>
      <c r="J111" s="2365">
        <f t="shared" si="3"/>
        <v>83596</v>
      </c>
      <c r="K111" s="29"/>
      <c r="L111" s="29"/>
      <c r="M111" s="29"/>
      <c r="N111" s="29"/>
      <c r="O111" s="29"/>
    </row>
    <row r="112" spans="1:15">
      <c r="A112" s="167">
        <v>2002.07</v>
      </c>
      <c r="B112" s="215">
        <v>16481</v>
      </c>
      <c r="C112" s="3538">
        <v>28077</v>
      </c>
      <c r="D112" s="1946">
        <f t="shared" si="2"/>
        <v>44558</v>
      </c>
      <c r="E112" s="1334"/>
      <c r="F112" s="3614"/>
      <c r="G112" s="105"/>
      <c r="H112" s="223">
        <v>31815</v>
      </c>
      <c r="I112" s="3538">
        <v>53891</v>
      </c>
      <c r="J112" s="2365">
        <f t="shared" si="3"/>
        <v>85706</v>
      </c>
      <c r="K112" s="29"/>
      <c r="L112" s="29"/>
      <c r="M112" s="29"/>
      <c r="N112" s="29"/>
      <c r="O112" s="29"/>
    </row>
    <row r="113" spans="1:15">
      <c r="A113" s="167">
        <v>2002.08</v>
      </c>
      <c r="B113" s="215">
        <v>16685</v>
      </c>
      <c r="C113" s="3538">
        <v>27611</v>
      </c>
      <c r="D113" s="1946">
        <f t="shared" si="2"/>
        <v>44296</v>
      </c>
      <c r="E113" s="1334"/>
      <c r="F113" s="3614"/>
      <c r="G113" s="105"/>
      <c r="H113" s="223">
        <v>33137</v>
      </c>
      <c r="I113" s="3538">
        <v>57242</v>
      </c>
      <c r="J113" s="2365">
        <f t="shared" si="3"/>
        <v>90379</v>
      </c>
      <c r="K113" s="29"/>
      <c r="L113" s="29"/>
      <c r="M113" s="29"/>
      <c r="N113" s="29"/>
      <c r="O113" s="29"/>
    </row>
    <row r="114" spans="1:15">
      <c r="A114" s="167">
        <v>2002.09</v>
      </c>
      <c r="B114" s="215">
        <v>17379</v>
      </c>
      <c r="C114" s="3538">
        <v>30214</v>
      </c>
      <c r="D114" s="1946">
        <f t="shared" si="2"/>
        <v>47593</v>
      </c>
      <c r="E114" s="1334"/>
      <c r="F114" s="3614"/>
      <c r="G114" s="105"/>
      <c r="H114" s="223">
        <v>34361</v>
      </c>
      <c r="I114" s="3538">
        <v>57403</v>
      </c>
      <c r="J114" s="2365">
        <f t="shared" si="3"/>
        <v>91764</v>
      </c>
      <c r="K114" s="29"/>
      <c r="L114" s="29"/>
      <c r="M114" s="29"/>
      <c r="N114" s="29"/>
      <c r="O114" s="29"/>
    </row>
    <row r="115" spans="1:15">
      <c r="A115" s="167">
        <v>2002.1</v>
      </c>
      <c r="B115" s="215">
        <v>16265</v>
      </c>
      <c r="C115" s="3538">
        <v>27185</v>
      </c>
      <c r="D115" s="1946">
        <f t="shared" si="2"/>
        <v>43450</v>
      </c>
      <c r="E115" s="1334"/>
      <c r="F115" s="3614"/>
      <c r="G115" s="105"/>
      <c r="H115" s="223">
        <v>33098</v>
      </c>
      <c r="I115" s="3538">
        <v>57179</v>
      </c>
      <c r="J115" s="2365">
        <f t="shared" si="3"/>
        <v>90277</v>
      </c>
      <c r="K115" s="29"/>
      <c r="L115" s="29"/>
      <c r="M115" s="29"/>
      <c r="N115" s="29"/>
      <c r="O115" s="29"/>
    </row>
    <row r="116" spans="1:15">
      <c r="A116" s="167">
        <v>2002.11</v>
      </c>
      <c r="B116" s="215">
        <v>16219</v>
      </c>
      <c r="C116" s="3538">
        <v>28400</v>
      </c>
      <c r="D116" s="1946">
        <f t="shared" si="2"/>
        <v>44619</v>
      </c>
      <c r="E116" s="1334"/>
      <c r="F116" s="3614"/>
      <c r="G116" s="105"/>
      <c r="H116" s="223">
        <v>34529</v>
      </c>
      <c r="I116" s="3538">
        <v>58760</v>
      </c>
      <c r="J116" s="2365">
        <f t="shared" si="3"/>
        <v>93289</v>
      </c>
      <c r="K116" s="29"/>
      <c r="L116" s="29"/>
      <c r="M116" s="29"/>
      <c r="N116" s="29"/>
      <c r="O116" s="29"/>
    </row>
    <row r="117" spans="1:15">
      <c r="A117" s="167">
        <v>2002.12</v>
      </c>
      <c r="B117" s="215">
        <v>17017</v>
      </c>
      <c r="C117" s="3538">
        <v>29042</v>
      </c>
      <c r="D117" s="1946">
        <f t="shared" si="2"/>
        <v>46059</v>
      </c>
      <c r="E117" s="1334"/>
      <c r="F117" s="3614"/>
      <c r="G117" s="105"/>
      <c r="H117" s="223">
        <v>35331</v>
      </c>
      <c r="I117" s="3538">
        <v>60825</v>
      </c>
      <c r="J117" s="2365">
        <f t="shared" si="3"/>
        <v>96156</v>
      </c>
      <c r="K117" s="29"/>
      <c r="L117" s="29"/>
      <c r="M117" s="29"/>
      <c r="N117" s="29"/>
      <c r="O117" s="7"/>
    </row>
    <row r="118" spans="1:15">
      <c r="A118" s="167">
        <v>2003.01</v>
      </c>
      <c r="B118" s="215">
        <v>16552</v>
      </c>
      <c r="C118" s="3538">
        <v>29007</v>
      </c>
      <c r="D118" s="1946">
        <f t="shared" si="2"/>
        <v>45559</v>
      </c>
      <c r="E118" s="1334"/>
      <c r="F118" s="3614"/>
      <c r="G118" s="105"/>
      <c r="H118" s="223">
        <v>33856</v>
      </c>
      <c r="I118" s="3538">
        <v>59269</v>
      </c>
      <c r="J118" s="2365">
        <f t="shared" si="3"/>
        <v>93125</v>
      </c>
      <c r="K118" s="166"/>
      <c r="L118" s="166"/>
      <c r="M118" s="166"/>
      <c r="N118" s="166"/>
      <c r="O118" s="166"/>
    </row>
    <row r="119" spans="1:15">
      <c r="A119" s="167">
        <v>2003.02</v>
      </c>
      <c r="B119" s="215">
        <v>17699</v>
      </c>
      <c r="C119" s="3538">
        <v>30250</v>
      </c>
      <c r="D119" s="1946">
        <f t="shared" si="2"/>
        <v>47949</v>
      </c>
      <c r="E119" s="1334"/>
      <c r="F119" s="3614"/>
      <c r="G119" s="105"/>
      <c r="H119" s="223">
        <v>35809</v>
      </c>
      <c r="I119" s="3538">
        <v>62424</v>
      </c>
      <c r="J119" s="2365">
        <f t="shared" si="3"/>
        <v>98233</v>
      </c>
      <c r="K119" s="166"/>
      <c r="L119" s="166"/>
      <c r="M119" s="166"/>
      <c r="N119" s="166"/>
      <c r="O119" s="166"/>
    </row>
    <row r="120" spans="1:15">
      <c r="A120" s="167">
        <v>2003.03</v>
      </c>
      <c r="B120" s="215">
        <v>18268</v>
      </c>
      <c r="C120" s="3538">
        <v>30564</v>
      </c>
      <c r="D120" s="1946">
        <f t="shared" si="2"/>
        <v>48832</v>
      </c>
      <c r="E120" s="1334"/>
      <c r="F120" s="3614"/>
      <c r="G120" s="105"/>
      <c r="H120" s="223">
        <v>39280</v>
      </c>
      <c r="I120" s="3538">
        <v>68235</v>
      </c>
      <c r="J120" s="2365">
        <f t="shared" si="3"/>
        <v>107515</v>
      </c>
      <c r="K120" s="166"/>
      <c r="L120" s="166"/>
      <c r="M120" s="166"/>
      <c r="N120" s="166"/>
      <c r="O120" s="166"/>
    </row>
    <row r="121" spans="1:15">
      <c r="A121" s="167">
        <v>2003.04</v>
      </c>
      <c r="B121" s="215">
        <v>17596</v>
      </c>
      <c r="C121" s="3538">
        <v>30678</v>
      </c>
      <c r="D121" s="1946">
        <f t="shared" si="2"/>
        <v>48274</v>
      </c>
      <c r="E121" s="1334"/>
      <c r="F121" s="3614"/>
      <c r="G121" s="105"/>
      <c r="H121" s="223">
        <v>38142</v>
      </c>
      <c r="I121" s="3538">
        <v>63665</v>
      </c>
      <c r="J121" s="2365">
        <f t="shared" si="3"/>
        <v>101807</v>
      </c>
      <c r="K121" s="166"/>
      <c r="L121" s="166"/>
      <c r="M121" s="166"/>
      <c r="N121" s="166"/>
      <c r="O121" s="166"/>
    </row>
    <row r="122" spans="1:15">
      <c r="A122" s="167">
        <v>2003.05</v>
      </c>
      <c r="B122" s="215">
        <v>19931</v>
      </c>
      <c r="C122" s="3538">
        <v>34080</v>
      </c>
      <c r="D122" s="1946">
        <f t="shared" si="2"/>
        <v>54011</v>
      </c>
      <c r="E122" s="1334"/>
      <c r="F122" s="3614"/>
      <c r="G122" s="105"/>
      <c r="H122" s="223">
        <v>39138</v>
      </c>
      <c r="I122" s="3538">
        <v>65280</v>
      </c>
      <c r="J122" s="2365">
        <f t="shared" si="3"/>
        <v>104418</v>
      </c>
      <c r="K122" s="166"/>
      <c r="L122" s="166"/>
      <c r="M122" s="166"/>
      <c r="N122" s="166"/>
      <c r="O122" s="166"/>
    </row>
    <row r="123" spans="1:15">
      <c r="A123" s="167">
        <v>2003.06</v>
      </c>
      <c r="B123" s="215">
        <v>20620</v>
      </c>
      <c r="C123" s="3538">
        <v>33392</v>
      </c>
      <c r="D123" s="1946">
        <f t="shared" si="2"/>
        <v>54012</v>
      </c>
      <c r="E123" s="1334"/>
      <c r="F123" s="3614"/>
      <c r="G123" s="105"/>
      <c r="H123" s="223">
        <v>40185</v>
      </c>
      <c r="I123" s="3538">
        <v>66520</v>
      </c>
      <c r="J123" s="2365">
        <f t="shared" si="3"/>
        <v>106705</v>
      </c>
      <c r="K123" s="166"/>
      <c r="L123" s="166"/>
      <c r="M123" s="166"/>
      <c r="N123" s="166"/>
      <c r="O123" s="166"/>
    </row>
    <row r="124" spans="1:15">
      <c r="A124" s="167">
        <v>2003.07</v>
      </c>
      <c r="B124" s="215">
        <v>20126</v>
      </c>
      <c r="C124" s="3538">
        <v>35784</v>
      </c>
      <c r="D124" s="1946">
        <f t="shared" si="2"/>
        <v>55910</v>
      </c>
      <c r="E124" s="1334"/>
      <c r="F124" s="3614"/>
      <c r="G124" s="105"/>
      <c r="H124" s="223">
        <v>38008</v>
      </c>
      <c r="I124" s="3538">
        <v>66289</v>
      </c>
      <c r="J124" s="2365">
        <f t="shared" si="3"/>
        <v>104297</v>
      </c>
      <c r="K124" s="166"/>
      <c r="L124" s="166"/>
      <c r="M124" s="166"/>
      <c r="N124" s="166"/>
      <c r="O124" s="166"/>
    </row>
    <row r="125" spans="1:15">
      <c r="A125" s="167">
        <v>2003.08</v>
      </c>
      <c r="B125" s="215">
        <v>21300</v>
      </c>
      <c r="C125" s="3538">
        <v>35488</v>
      </c>
      <c r="D125" s="1946">
        <f t="shared" si="2"/>
        <v>56788</v>
      </c>
      <c r="E125" s="1334"/>
      <c r="F125" s="3614"/>
      <c r="G125" s="105"/>
      <c r="H125" s="223">
        <v>38896</v>
      </c>
      <c r="I125" s="3538">
        <v>68040</v>
      </c>
      <c r="J125" s="2365">
        <f t="shared" si="3"/>
        <v>106936</v>
      </c>
      <c r="K125" s="166"/>
      <c r="L125" s="166"/>
      <c r="M125" s="166"/>
      <c r="N125" s="166"/>
      <c r="O125" s="166"/>
    </row>
    <row r="126" spans="1:15">
      <c r="A126" s="167">
        <v>2003.09</v>
      </c>
      <c r="B126" s="215">
        <v>19817</v>
      </c>
      <c r="C126" s="3538">
        <v>35651</v>
      </c>
      <c r="D126" s="1946">
        <f t="shared" si="2"/>
        <v>55468</v>
      </c>
      <c r="E126" s="1334"/>
      <c r="F126" s="3614"/>
      <c r="G126" s="105"/>
      <c r="H126" s="223">
        <v>37384</v>
      </c>
      <c r="I126" s="3538">
        <v>68628</v>
      </c>
      <c r="J126" s="2365">
        <f t="shared" si="3"/>
        <v>106012</v>
      </c>
      <c r="K126" s="166"/>
      <c r="L126" s="166"/>
      <c r="M126" s="166"/>
      <c r="N126" s="166"/>
      <c r="O126" s="166"/>
    </row>
    <row r="127" spans="1:15">
      <c r="A127" s="167">
        <v>2003.1</v>
      </c>
      <c r="B127" s="215">
        <v>18783</v>
      </c>
      <c r="C127" s="3538">
        <v>34554</v>
      </c>
      <c r="D127" s="1946">
        <f t="shared" si="2"/>
        <v>53337</v>
      </c>
      <c r="E127" s="1334"/>
      <c r="F127" s="3614"/>
      <c r="G127" s="105"/>
      <c r="H127" s="223">
        <v>37772</v>
      </c>
      <c r="I127" s="3538">
        <v>69246</v>
      </c>
      <c r="J127" s="2365">
        <f t="shared" si="3"/>
        <v>107018</v>
      </c>
      <c r="K127" s="166"/>
      <c r="L127" s="166"/>
      <c r="M127" s="166"/>
      <c r="N127" s="166"/>
      <c r="O127" s="166"/>
    </row>
    <row r="128" spans="1:15">
      <c r="A128" s="167">
        <v>2003.11</v>
      </c>
      <c r="B128" s="215">
        <v>19572</v>
      </c>
      <c r="C128" s="3538">
        <v>35913</v>
      </c>
      <c r="D128" s="1946">
        <f t="shared" si="2"/>
        <v>55485</v>
      </c>
      <c r="E128" s="1334"/>
      <c r="F128" s="3614"/>
      <c r="G128" s="105"/>
      <c r="H128" s="223">
        <v>39512</v>
      </c>
      <c r="I128" s="3538">
        <v>71419</v>
      </c>
      <c r="J128" s="2365">
        <f t="shared" si="3"/>
        <v>110931</v>
      </c>
      <c r="K128" s="166"/>
      <c r="L128" s="166"/>
      <c r="M128" s="166"/>
      <c r="N128" s="166"/>
      <c r="O128" s="166"/>
    </row>
    <row r="129" spans="1:10">
      <c r="A129" s="167">
        <v>2003.12</v>
      </c>
      <c r="B129" s="215">
        <v>19439</v>
      </c>
      <c r="C129" s="3538">
        <v>36682</v>
      </c>
      <c r="D129" s="1946">
        <f t="shared" si="2"/>
        <v>56121</v>
      </c>
      <c r="E129" s="1334"/>
      <c r="F129" s="3614"/>
      <c r="G129" s="105"/>
      <c r="H129" s="223">
        <v>39168</v>
      </c>
      <c r="I129" s="3538">
        <v>71512</v>
      </c>
      <c r="J129" s="2365">
        <f t="shared" si="3"/>
        <v>110680</v>
      </c>
    </row>
    <row r="130" spans="1:10">
      <c r="A130" s="167">
        <v>2004.01</v>
      </c>
      <c r="B130" s="215">
        <v>18842</v>
      </c>
      <c r="C130" s="3538">
        <v>37240</v>
      </c>
      <c r="D130" s="1946">
        <f t="shared" si="2"/>
        <v>56082</v>
      </c>
      <c r="E130" s="1334"/>
      <c r="F130" s="3614"/>
      <c r="G130" s="105"/>
      <c r="H130" s="223">
        <v>40955</v>
      </c>
      <c r="I130" s="3538">
        <v>72745</v>
      </c>
      <c r="J130" s="2365">
        <f t="shared" si="3"/>
        <v>113700</v>
      </c>
    </row>
    <row r="131" spans="1:10">
      <c r="A131" s="167">
        <v>2004.02</v>
      </c>
      <c r="B131" s="215">
        <v>20213</v>
      </c>
      <c r="C131" s="3538">
        <v>37335</v>
      </c>
      <c r="D131" s="1946">
        <f t="shared" si="2"/>
        <v>57548</v>
      </c>
      <c r="E131" s="1334"/>
      <c r="F131" s="3614"/>
      <c r="G131" s="105"/>
      <c r="H131" s="223">
        <v>45193</v>
      </c>
      <c r="I131" s="3538">
        <v>78776</v>
      </c>
      <c r="J131" s="2365">
        <f t="shared" si="3"/>
        <v>123969</v>
      </c>
    </row>
    <row r="132" spans="1:10">
      <c r="A132" s="167">
        <v>2004.03</v>
      </c>
      <c r="B132" s="215">
        <v>19086</v>
      </c>
      <c r="C132" s="3538">
        <v>38771</v>
      </c>
      <c r="D132" s="1946">
        <f t="shared" si="2"/>
        <v>57857</v>
      </c>
      <c r="E132" s="1334"/>
      <c r="F132" s="3614"/>
      <c r="G132" s="105"/>
      <c r="H132" s="223">
        <v>43826</v>
      </c>
      <c r="I132" s="3538">
        <v>82927</v>
      </c>
      <c r="J132" s="2365">
        <f t="shared" si="3"/>
        <v>126753</v>
      </c>
    </row>
    <row r="133" spans="1:10">
      <c r="A133" s="167">
        <v>2004.04</v>
      </c>
      <c r="B133" s="215">
        <v>19302</v>
      </c>
      <c r="C133" s="3538">
        <v>37797</v>
      </c>
      <c r="D133" s="1946">
        <f t="shared" si="2"/>
        <v>57099</v>
      </c>
      <c r="E133" s="1334"/>
      <c r="F133" s="3614"/>
      <c r="G133" s="105"/>
      <c r="H133" s="223">
        <v>43818</v>
      </c>
      <c r="I133" s="3538">
        <v>80786</v>
      </c>
      <c r="J133" s="2365">
        <f t="shared" si="3"/>
        <v>124604</v>
      </c>
    </row>
    <row r="134" spans="1:10">
      <c r="A134" s="167">
        <v>2004.05</v>
      </c>
      <c r="B134" s="215">
        <v>19924</v>
      </c>
      <c r="C134" s="3538">
        <v>38270</v>
      </c>
      <c r="D134" s="1946">
        <f t="shared" si="2"/>
        <v>58194</v>
      </c>
      <c r="E134" s="1334"/>
      <c r="F134" s="3614"/>
      <c r="G134" s="105"/>
      <c r="H134" s="223">
        <v>44615</v>
      </c>
      <c r="I134" s="3538">
        <v>79655</v>
      </c>
      <c r="J134" s="2365">
        <f t="shared" si="3"/>
        <v>124270</v>
      </c>
    </row>
    <row r="135" spans="1:10">
      <c r="A135" s="167">
        <v>2004.06</v>
      </c>
      <c r="B135" s="215">
        <v>18764</v>
      </c>
      <c r="C135" s="3538">
        <v>36920</v>
      </c>
      <c r="D135" s="1946">
        <f t="shared" si="2"/>
        <v>55684</v>
      </c>
      <c r="E135" s="1334"/>
      <c r="F135" s="3614"/>
      <c r="G135" s="105"/>
      <c r="H135" s="223">
        <v>40062</v>
      </c>
      <c r="I135" s="3538">
        <v>75615</v>
      </c>
      <c r="J135" s="2365">
        <f t="shared" si="3"/>
        <v>115677</v>
      </c>
    </row>
    <row r="136" spans="1:10">
      <c r="A136" s="167">
        <v>2004.07</v>
      </c>
      <c r="B136" s="215">
        <v>18792</v>
      </c>
      <c r="C136" s="3538">
        <v>36899</v>
      </c>
      <c r="D136" s="1946">
        <f t="shared" si="2"/>
        <v>55691</v>
      </c>
      <c r="E136" s="1334"/>
      <c r="F136" s="3614"/>
      <c r="G136" s="105"/>
      <c r="H136" s="223">
        <v>39571</v>
      </c>
      <c r="I136" s="3538">
        <v>75507</v>
      </c>
      <c r="J136" s="2365">
        <f t="shared" si="3"/>
        <v>115078</v>
      </c>
    </row>
    <row r="137" spans="1:10">
      <c r="A137" s="167">
        <v>2004.08</v>
      </c>
      <c r="B137" s="215">
        <v>19497</v>
      </c>
      <c r="C137" s="3538">
        <v>37329</v>
      </c>
      <c r="D137" s="1946">
        <f t="shared" si="2"/>
        <v>56826</v>
      </c>
      <c r="E137" s="1334"/>
      <c r="F137" s="3614"/>
      <c r="G137" s="105"/>
      <c r="H137" s="223">
        <v>40940</v>
      </c>
      <c r="I137" s="3538">
        <v>76631</v>
      </c>
      <c r="J137" s="2365">
        <f t="shared" si="3"/>
        <v>117571</v>
      </c>
    </row>
    <row r="138" spans="1:10">
      <c r="A138" s="167">
        <v>2004.09</v>
      </c>
      <c r="B138" s="215">
        <v>18679</v>
      </c>
      <c r="C138" s="3538">
        <v>37158</v>
      </c>
      <c r="D138" s="1946">
        <f t="shared" si="2"/>
        <v>55837</v>
      </c>
      <c r="E138" s="1334"/>
      <c r="F138" s="3614"/>
      <c r="G138" s="105"/>
      <c r="H138" s="223">
        <v>39220</v>
      </c>
      <c r="I138" s="3538">
        <v>76354</v>
      </c>
      <c r="J138" s="2365">
        <f t="shared" si="3"/>
        <v>115574</v>
      </c>
    </row>
    <row r="139" spans="1:10">
      <c r="A139" s="167">
        <v>2004.1</v>
      </c>
      <c r="B139" s="215">
        <v>19079</v>
      </c>
      <c r="C139" s="3538">
        <v>36632</v>
      </c>
      <c r="D139" s="1946">
        <f t="shared" si="2"/>
        <v>55711</v>
      </c>
      <c r="E139" s="1334"/>
      <c r="F139" s="3614"/>
      <c r="G139" s="105"/>
      <c r="H139" s="223">
        <v>40799</v>
      </c>
      <c r="I139" s="3538">
        <v>76247</v>
      </c>
      <c r="J139" s="2365">
        <f t="shared" si="3"/>
        <v>117046</v>
      </c>
    </row>
    <row r="140" spans="1:10">
      <c r="A140" s="167">
        <v>2004.11</v>
      </c>
      <c r="B140" s="215">
        <v>17628</v>
      </c>
      <c r="C140" s="3538">
        <v>37749</v>
      </c>
      <c r="D140" s="1946">
        <f t="shared" ref="D140:D203" si="4">B140+C140</f>
        <v>55377</v>
      </c>
      <c r="E140" s="1334"/>
      <c r="F140" s="3614"/>
      <c r="G140" s="105"/>
      <c r="H140" s="223">
        <v>40793</v>
      </c>
      <c r="I140" s="3538">
        <v>80794</v>
      </c>
      <c r="J140" s="2365">
        <f t="shared" ref="J140:J203" si="5">H140+I140</f>
        <v>121587</v>
      </c>
    </row>
    <row r="141" spans="1:10">
      <c r="A141" s="167">
        <v>2004.12</v>
      </c>
      <c r="B141" s="215">
        <v>18190</v>
      </c>
      <c r="C141" s="3538">
        <v>36717</v>
      </c>
      <c r="D141" s="1946">
        <f t="shared" si="4"/>
        <v>54907</v>
      </c>
      <c r="E141" s="1334"/>
      <c r="F141" s="3614"/>
      <c r="G141" s="105"/>
      <c r="H141" s="223">
        <v>40134</v>
      </c>
      <c r="I141" s="3538">
        <v>77324</v>
      </c>
      <c r="J141" s="2365">
        <f t="shared" si="5"/>
        <v>117458</v>
      </c>
    </row>
    <row r="142" spans="1:10">
      <c r="A142" s="167">
        <v>2005.01</v>
      </c>
      <c r="B142" s="215">
        <v>18509</v>
      </c>
      <c r="C142" s="3538">
        <v>36299</v>
      </c>
      <c r="D142" s="1946">
        <f t="shared" si="4"/>
        <v>54808</v>
      </c>
      <c r="E142" s="1334"/>
      <c r="F142" s="3614"/>
      <c r="G142" s="105"/>
      <c r="H142" s="223">
        <v>39706</v>
      </c>
      <c r="I142" s="3538">
        <v>77318</v>
      </c>
      <c r="J142" s="2365">
        <f t="shared" si="5"/>
        <v>117024</v>
      </c>
    </row>
    <row r="143" spans="1:10">
      <c r="A143" s="167">
        <v>2005.02</v>
      </c>
      <c r="B143" s="215">
        <v>18798</v>
      </c>
      <c r="C143" s="3538">
        <v>37599</v>
      </c>
      <c r="D143" s="1946">
        <f t="shared" si="4"/>
        <v>56397</v>
      </c>
      <c r="E143" s="1334"/>
      <c r="F143" s="3614"/>
      <c r="G143" s="105"/>
      <c r="H143" s="223">
        <v>40440</v>
      </c>
      <c r="I143" s="3538">
        <v>79858</v>
      </c>
      <c r="J143" s="2365">
        <f t="shared" si="5"/>
        <v>120298</v>
      </c>
    </row>
    <row r="144" spans="1:10">
      <c r="A144" s="167">
        <v>2005.03</v>
      </c>
      <c r="B144" s="215">
        <v>18732</v>
      </c>
      <c r="C144" s="3538">
        <v>38356</v>
      </c>
      <c r="D144" s="1946">
        <f t="shared" si="4"/>
        <v>57088</v>
      </c>
      <c r="E144" s="1334"/>
      <c r="F144" s="3614"/>
      <c r="G144" s="105"/>
      <c r="H144" s="223">
        <v>39825</v>
      </c>
      <c r="I144" s="3538">
        <v>80534</v>
      </c>
      <c r="J144" s="2365">
        <f t="shared" si="5"/>
        <v>120359</v>
      </c>
    </row>
    <row r="145" spans="1:10">
      <c r="A145" s="167">
        <v>2005.04</v>
      </c>
      <c r="B145" s="215">
        <v>19406</v>
      </c>
      <c r="C145" s="3538">
        <v>40235</v>
      </c>
      <c r="D145" s="1946">
        <f t="shared" si="4"/>
        <v>59641</v>
      </c>
      <c r="E145" s="1334"/>
      <c r="F145" s="3614"/>
      <c r="G145" s="105"/>
      <c r="H145" s="223">
        <v>42172</v>
      </c>
      <c r="I145" s="3538">
        <v>83086</v>
      </c>
      <c r="J145" s="2365">
        <f t="shared" si="5"/>
        <v>125258</v>
      </c>
    </row>
    <row r="146" spans="1:10">
      <c r="A146" s="167">
        <v>2005.05</v>
      </c>
      <c r="B146" s="215">
        <v>19734</v>
      </c>
      <c r="C146" s="3538">
        <v>38259</v>
      </c>
      <c r="D146" s="1946">
        <f t="shared" si="4"/>
        <v>57993</v>
      </c>
      <c r="E146" s="1334"/>
      <c r="F146" s="3614"/>
      <c r="G146" s="105"/>
      <c r="H146" s="223">
        <v>40466</v>
      </c>
      <c r="I146" s="3538">
        <v>79742</v>
      </c>
      <c r="J146" s="2365">
        <f t="shared" si="5"/>
        <v>120208</v>
      </c>
    </row>
    <row r="147" spans="1:10">
      <c r="A147" s="167">
        <v>2005.06</v>
      </c>
      <c r="B147" s="215">
        <v>18639</v>
      </c>
      <c r="C147" s="3538">
        <v>38250</v>
      </c>
      <c r="D147" s="1946">
        <f t="shared" si="4"/>
        <v>56889</v>
      </c>
      <c r="E147" s="1334"/>
      <c r="F147" s="3614"/>
      <c r="G147" s="105"/>
      <c r="H147" s="223">
        <v>40338</v>
      </c>
      <c r="I147" s="3538">
        <v>79288</v>
      </c>
      <c r="J147" s="2365">
        <f t="shared" si="5"/>
        <v>119626</v>
      </c>
    </row>
    <row r="148" spans="1:10">
      <c r="A148" s="167">
        <v>2005.07</v>
      </c>
      <c r="B148" s="215">
        <v>19597</v>
      </c>
      <c r="C148" s="3538">
        <v>39401</v>
      </c>
      <c r="D148" s="1946">
        <f t="shared" si="4"/>
        <v>58998</v>
      </c>
      <c r="E148" s="1334"/>
      <c r="F148" s="3614"/>
      <c r="G148" s="105"/>
      <c r="H148" s="223">
        <v>40883</v>
      </c>
      <c r="I148" s="3538">
        <v>80212</v>
      </c>
      <c r="J148" s="2365">
        <f t="shared" si="5"/>
        <v>121095</v>
      </c>
    </row>
    <row r="149" spans="1:10">
      <c r="A149" s="167">
        <v>2005.08</v>
      </c>
      <c r="B149" s="215">
        <v>19081</v>
      </c>
      <c r="C149" s="3538">
        <v>39911</v>
      </c>
      <c r="D149" s="1946">
        <f t="shared" si="4"/>
        <v>58992</v>
      </c>
      <c r="E149" s="1334"/>
      <c r="F149" s="3614"/>
      <c r="G149" s="105"/>
      <c r="H149" s="223">
        <v>39979</v>
      </c>
      <c r="I149" s="3538">
        <v>80736</v>
      </c>
      <c r="J149" s="2365">
        <f t="shared" si="5"/>
        <v>120715</v>
      </c>
    </row>
    <row r="150" spans="1:10">
      <c r="A150" s="167">
        <v>2005.09</v>
      </c>
      <c r="B150" s="215">
        <v>19604</v>
      </c>
      <c r="C150" s="3538">
        <v>41574</v>
      </c>
      <c r="D150" s="1946">
        <f t="shared" si="4"/>
        <v>61178</v>
      </c>
      <c r="E150" s="1334"/>
      <c r="F150" s="3614"/>
      <c r="G150" s="105"/>
      <c r="H150" s="223">
        <v>38655</v>
      </c>
      <c r="I150" s="3538">
        <v>78857</v>
      </c>
      <c r="J150" s="2365">
        <f t="shared" si="5"/>
        <v>117512</v>
      </c>
    </row>
    <row r="151" spans="1:10">
      <c r="A151" s="167">
        <v>2005.1</v>
      </c>
      <c r="B151" s="215">
        <v>19907</v>
      </c>
      <c r="C151" s="3538">
        <v>38618</v>
      </c>
      <c r="D151" s="1946">
        <f t="shared" si="4"/>
        <v>58525</v>
      </c>
      <c r="E151" s="1334"/>
      <c r="F151" s="3614"/>
      <c r="G151" s="105"/>
      <c r="H151" s="223">
        <v>39848</v>
      </c>
      <c r="I151" s="3538">
        <v>77431</v>
      </c>
      <c r="J151" s="2365">
        <f t="shared" si="5"/>
        <v>117279</v>
      </c>
    </row>
    <row r="152" spans="1:10">
      <c r="A152" s="167">
        <v>2005.11</v>
      </c>
      <c r="B152" s="215">
        <v>19111</v>
      </c>
      <c r="C152" s="3538">
        <v>38600</v>
      </c>
      <c r="D152" s="1946">
        <f t="shared" si="4"/>
        <v>57711</v>
      </c>
      <c r="E152" s="1334"/>
      <c r="F152" s="3614"/>
      <c r="G152" s="105"/>
      <c r="H152" s="223">
        <v>39264</v>
      </c>
      <c r="I152" s="3538">
        <v>78963</v>
      </c>
      <c r="J152" s="2365">
        <f t="shared" si="5"/>
        <v>118227</v>
      </c>
    </row>
    <row r="153" spans="1:10">
      <c r="A153" s="167">
        <v>2005.12</v>
      </c>
      <c r="B153" s="215">
        <v>18515</v>
      </c>
      <c r="C153" s="3538">
        <v>39418</v>
      </c>
      <c r="D153" s="1946">
        <f t="shared" si="4"/>
        <v>57933</v>
      </c>
      <c r="E153" s="1334"/>
      <c r="F153" s="3614"/>
      <c r="G153" s="105"/>
      <c r="H153" s="223">
        <v>39398</v>
      </c>
      <c r="I153" s="3538">
        <v>78757</v>
      </c>
      <c r="J153" s="2365">
        <f t="shared" si="5"/>
        <v>118155</v>
      </c>
    </row>
    <row r="154" spans="1:10">
      <c r="A154" s="167">
        <v>2006.01</v>
      </c>
      <c r="B154" s="215">
        <v>19035</v>
      </c>
      <c r="C154" s="3538">
        <v>37944</v>
      </c>
      <c r="D154" s="1946">
        <f t="shared" si="4"/>
        <v>56979</v>
      </c>
      <c r="E154" s="1334"/>
      <c r="F154" s="3614"/>
      <c r="G154" s="105"/>
      <c r="H154" s="223">
        <v>38204</v>
      </c>
      <c r="I154" s="3538">
        <v>77718</v>
      </c>
      <c r="J154" s="2365">
        <f t="shared" si="5"/>
        <v>115922</v>
      </c>
    </row>
    <row r="155" spans="1:10">
      <c r="A155" s="167">
        <v>2006.02</v>
      </c>
      <c r="B155" s="215">
        <v>19245</v>
      </c>
      <c r="C155" s="3538">
        <v>39447</v>
      </c>
      <c r="D155" s="1946">
        <f t="shared" si="4"/>
        <v>58692</v>
      </c>
      <c r="E155" s="1334"/>
      <c r="F155" s="3614"/>
      <c r="G155" s="105"/>
      <c r="H155" s="223">
        <v>40105</v>
      </c>
      <c r="I155" s="3538">
        <v>81617</v>
      </c>
      <c r="J155" s="2365">
        <f t="shared" si="5"/>
        <v>121722</v>
      </c>
    </row>
    <row r="156" spans="1:10">
      <c r="A156" s="167">
        <v>2006.03</v>
      </c>
      <c r="B156" s="215">
        <v>19067</v>
      </c>
      <c r="C156" s="3538">
        <v>40910</v>
      </c>
      <c r="D156" s="1946">
        <f t="shared" si="4"/>
        <v>59977</v>
      </c>
      <c r="E156" s="1334"/>
      <c r="F156" s="3614"/>
      <c r="G156" s="105"/>
      <c r="H156" s="223">
        <v>40701</v>
      </c>
      <c r="I156" s="3538">
        <v>86487</v>
      </c>
      <c r="J156" s="2365">
        <f t="shared" si="5"/>
        <v>127188</v>
      </c>
    </row>
    <row r="157" spans="1:10">
      <c r="A157" s="167">
        <v>2006.04</v>
      </c>
      <c r="B157" s="215">
        <v>20356</v>
      </c>
      <c r="C157" s="3538">
        <v>40932</v>
      </c>
      <c r="D157" s="1946">
        <f t="shared" si="4"/>
        <v>61288</v>
      </c>
      <c r="E157" s="1334"/>
      <c r="F157" s="3614"/>
      <c r="G157" s="105"/>
      <c r="H157" s="223">
        <v>45020</v>
      </c>
      <c r="I157" s="3538">
        <v>89176</v>
      </c>
      <c r="J157" s="2365">
        <f t="shared" si="5"/>
        <v>134196</v>
      </c>
    </row>
    <row r="158" spans="1:10">
      <c r="A158" s="167">
        <v>2006.05</v>
      </c>
      <c r="B158" s="215">
        <v>19474</v>
      </c>
      <c r="C158" s="3538">
        <v>41646</v>
      </c>
      <c r="D158" s="1946">
        <f t="shared" si="4"/>
        <v>61120</v>
      </c>
      <c r="E158" s="1334"/>
      <c r="F158" s="3614"/>
      <c r="G158" s="105"/>
      <c r="H158" s="223">
        <v>40428</v>
      </c>
      <c r="I158" s="3538">
        <v>83025</v>
      </c>
      <c r="J158" s="2365">
        <f t="shared" si="5"/>
        <v>123453</v>
      </c>
    </row>
    <row r="159" spans="1:10">
      <c r="A159" s="167">
        <v>2006.06</v>
      </c>
      <c r="B159" s="215">
        <v>18553</v>
      </c>
      <c r="C159" s="3538">
        <v>40018</v>
      </c>
      <c r="D159" s="1946">
        <f t="shared" si="4"/>
        <v>58571</v>
      </c>
      <c r="E159" s="1334"/>
      <c r="F159" s="3614"/>
      <c r="G159" s="105"/>
      <c r="H159" s="223">
        <v>38204</v>
      </c>
      <c r="I159" s="3538">
        <v>81470</v>
      </c>
      <c r="J159" s="2365">
        <f t="shared" si="5"/>
        <v>119674</v>
      </c>
    </row>
    <row r="160" spans="1:10">
      <c r="A160" s="167">
        <v>2006.07</v>
      </c>
      <c r="B160" s="215">
        <v>18753</v>
      </c>
      <c r="C160" s="3538">
        <v>39368</v>
      </c>
      <c r="D160" s="1946">
        <f t="shared" si="4"/>
        <v>58121</v>
      </c>
      <c r="E160" s="1334"/>
      <c r="F160" s="3614"/>
      <c r="G160" s="105"/>
      <c r="H160" s="223">
        <v>41034</v>
      </c>
      <c r="I160" s="3538">
        <v>82937</v>
      </c>
      <c r="J160" s="2365">
        <f t="shared" si="5"/>
        <v>123971</v>
      </c>
    </row>
    <row r="161" spans="1:10">
      <c r="A161" s="167">
        <v>2006.08</v>
      </c>
      <c r="B161" s="215">
        <v>18041</v>
      </c>
      <c r="C161" s="3538">
        <v>39756</v>
      </c>
      <c r="D161" s="1946">
        <f t="shared" si="4"/>
        <v>57797</v>
      </c>
      <c r="E161" s="1334"/>
      <c r="F161" s="3614"/>
      <c r="G161" s="105"/>
      <c r="H161" s="223">
        <v>39161</v>
      </c>
      <c r="I161" s="3538">
        <v>82998</v>
      </c>
      <c r="J161" s="2365">
        <f t="shared" si="5"/>
        <v>122159</v>
      </c>
    </row>
    <row r="162" spans="1:10">
      <c r="A162" s="167">
        <v>2006.09</v>
      </c>
      <c r="B162" s="215">
        <v>18014</v>
      </c>
      <c r="C162" s="3538">
        <v>39637</v>
      </c>
      <c r="D162" s="1946">
        <f t="shared" si="4"/>
        <v>57651</v>
      </c>
      <c r="E162" s="1334"/>
      <c r="F162" s="3614"/>
      <c r="G162" s="105"/>
      <c r="H162" s="223">
        <v>39526</v>
      </c>
      <c r="I162" s="3538">
        <v>82318</v>
      </c>
      <c r="J162" s="2365">
        <f t="shared" si="5"/>
        <v>121844</v>
      </c>
    </row>
    <row r="163" spans="1:10">
      <c r="A163" s="167">
        <v>2006.1</v>
      </c>
      <c r="B163" s="215">
        <v>18265</v>
      </c>
      <c r="C163" s="3538">
        <v>38589</v>
      </c>
      <c r="D163" s="1946">
        <f t="shared" si="4"/>
        <v>56854</v>
      </c>
      <c r="E163" s="1334"/>
      <c r="F163" s="3614"/>
      <c r="G163" s="105"/>
      <c r="H163" s="223">
        <v>40892</v>
      </c>
      <c r="I163" s="3538">
        <v>81307</v>
      </c>
      <c r="J163" s="2365">
        <f t="shared" si="5"/>
        <v>122199</v>
      </c>
    </row>
    <row r="164" spans="1:10">
      <c r="A164" s="167">
        <v>2006.11</v>
      </c>
      <c r="B164" s="215">
        <v>17677</v>
      </c>
      <c r="C164" s="3538">
        <v>38419</v>
      </c>
      <c r="D164" s="1946">
        <f t="shared" si="4"/>
        <v>56096</v>
      </c>
      <c r="E164" s="1334"/>
      <c r="F164" s="3614"/>
      <c r="G164" s="105"/>
      <c r="H164" s="223">
        <v>40087</v>
      </c>
      <c r="I164" s="3538">
        <v>81906</v>
      </c>
      <c r="J164" s="2365">
        <f t="shared" si="5"/>
        <v>121993</v>
      </c>
    </row>
    <row r="165" spans="1:10">
      <c r="A165" s="167">
        <v>2006.12</v>
      </c>
      <c r="B165" s="215">
        <v>18069</v>
      </c>
      <c r="C165" s="3538">
        <v>36221</v>
      </c>
      <c r="D165" s="1946">
        <f t="shared" si="4"/>
        <v>54290</v>
      </c>
      <c r="E165" s="1334"/>
      <c r="F165" s="3614"/>
      <c r="G165" s="105"/>
      <c r="H165" s="223">
        <v>41007</v>
      </c>
      <c r="I165" s="3538">
        <v>77988</v>
      </c>
      <c r="J165" s="2365">
        <f t="shared" si="5"/>
        <v>118995</v>
      </c>
    </row>
    <row r="166" spans="1:10">
      <c r="A166" s="167">
        <v>2007.01</v>
      </c>
      <c r="B166" s="215">
        <v>17586</v>
      </c>
      <c r="C166" s="3538">
        <v>38296</v>
      </c>
      <c r="D166" s="1946">
        <f t="shared" si="4"/>
        <v>55882</v>
      </c>
      <c r="E166" s="1334"/>
      <c r="F166" s="3614"/>
      <c r="G166" s="105"/>
      <c r="H166" s="223">
        <v>39211</v>
      </c>
      <c r="I166" s="3538">
        <v>81553</v>
      </c>
      <c r="J166" s="2365">
        <f t="shared" si="5"/>
        <v>120764</v>
      </c>
    </row>
    <row r="167" spans="1:10">
      <c r="A167" s="167">
        <v>2007.02</v>
      </c>
      <c r="B167" s="215">
        <v>18502</v>
      </c>
      <c r="C167" s="3538">
        <v>40240</v>
      </c>
      <c r="D167" s="1946">
        <f t="shared" si="4"/>
        <v>58742</v>
      </c>
      <c r="E167" s="1334"/>
      <c r="F167" s="3614"/>
      <c r="G167" s="105"/>
      <c r="H167" s="223">
        <v>41301</v>
      </c>
      <c r="I167" s="3538">
        <v>84741</v>
      </c>
      <c r="J167" s="2365">
        <f t="shared" si="5"/>
        <v>126042</v>
      </c>
    </row>
    <row r="168" spans="1:10">
      <c r="A168" s="167">
        <v>2007.03</v>
      </c>
      <c r="B168" s="215">
        <v>18906</v>
      </c>
      <c r="C168" s="3538">
        <v>41851</v>
      </c>
      <c r="D168" s="1946">
        <f t="shared" si="4"/>
        <v>60757</v>
      </c>
      <c r="E168" s="1334"/>
      <c r="F168" s="3614"/>
      <c r="G168" s="105"/>
      <c r="H168" s="223">
        <v>42071</v>
      </c>
      <c r="I168" s="3538">
        <v>88263</v>
      </c>
      <c r="J168" s="2365">
        <f t="shared" si="5"/>
        <v>130334</v>
      </c>
    </row>
    <row r="169" spans="1:10">
      <c r="A169" s="167">
        <v>2007.04</v>
      </c>
      <c r="B169" s="215">
        <v>19836</v>
      </c>
      <c r="C169" s="3538">
        <v>42385</v>
      </c>
      <c r="D169" s="1946">
        <f t="shared" si="4"/>
        <v>62221</v>
      </c>
      <c r="E169" s="1334"/>
      <c r="F169" s="3614"/>
      <c r="G169" s="105"/>
      <c r="H169" s="223">
        <v>43750</v>
      </c>
      <c r="I169" s="3538">
        <v>86748</v>
      </c>
      <c r="J169" s="2365">
        <f t="shared" si="5"/>
        <v>130498</v>
      </c>
    </row>
    <row r="170" spans="1:10">
      <c r="A170" s="167">
        <v>2007.05</v>
      </c>
      <c r="B170" s="215">
        <v>18456</v>
      </c>
      <c r="C170" s="3538">
        <v>42010</v>
      </c>
      <c r="D170" s="1946">
        <f t="shared" si="4"/>
        <v>60466</v>
      </c>
      <c r="E170" s="1334"/>
      <c r="F170" s="3614"/>
      <c r="G170" s="105"/>
      <c r="H170" s="223">
        <v>41422</v>
      </c>
      <c r="I170" s="3538">
        <v>86422</v>
      </c>
      <c r="J170" s="2365">
        <f t="shared" si="5"/>
        <v>127844</v>
      </c>
    </row>
    <row r="171" spans="1:10">
      <c r="A171" s="167">
        <v>2007.06</v>
      </c>
      <c r="B171" s="215">
        <v>18648</v>
      </c>
      <c r="C171" s="3538">
        <v>41515</v>
      </c>
      <c r="D171" s="1946">
        <f t="shared" si="4"/>
        <v>60163</v>
      </c>
      <c r="E171" s="1334"/>
      <c r="F171" s="3614"/>
      <c r="G171" s="105"/>
      <c r="H171" s="223">
        <v>41621</v>
      </c>
      <c r="I171" s="3538">
        <v>84172</v>
      </c>
      <c r="J171" s="2365">
        <f t="shared" si="5"/>
        <v>125793</v>
      </c>
    </row>
    <row r="172" spans="1:10">
      <c r="A172" s="167">
        <v>2007.07</v>
      </c>
      <c r="B172" s="215">
        <v>19171</v>
      </c>
      <c r="C172" s="3538">
        <v>40969</v>
      </c>
      <c r="D172" s="1946">
        <f t="shared" si="4"/>
        <v>60140</v>
      </c>
      <c r="E172" s="1334"/>
      <c r="F172" s="3614"/>
      <c r="G172" s="105"/>
      <c r="H172" s="223">
        <v>43010</v>
      </c>
      <c r="I172" s="3538">
        <v>84112</v>
      </c>
      <c r="J172" s="2365">
        <f t="shared" si="5"/>
        <v>127122</v>
      </c>
    </row>
    <row r="173" spans="1:10">
      <c r="A173" s="167">
        <v>2007.08</v>
      </c>
      <c r="B173" s="215">
        <v>18276</v>
      </c>
      <c r="C173" s="3538">
        <v>41737</v>
      </c>
      <c r="D173" s="1946">
        <f t="shared" si="4"/>
        <v>60013</v>
      </c>
      <c r="E173" s="1334"/>
      <c r="F173" s="3614"/>
      <c r="G173" s="105"/>
      <c r="H173" s="223">
        <v>40552</v>
      </c>
      <c r="I173" s="3538">
        <v>84451</v>
      </c>
      <c r="J173" s="2365">
        <f t="shared" si="5"/>
        <v>125003</v>
      </c>
    </row>
    <row r="174" spans="1:10">
      <c r="A174" s="167">
        <v>2007.09</v>
      </c>
      <c r="B174" s="215">
        <v>19469</v>
      </c>
      <c r="C174" s="3538">
        <v>42039</v>
      </c>
      <c r="D174" s="1946">
        <f t="shared" si="4"/>
        <v>61508</v>
      </c>
      <c r="E174" s="1334"/>
      <c r="F174" s="3614"/>
      <c r="G174" s="105"/>
      <c r="H174" s="223">
        <v>43310</v>
      </c>
      <c r="I174" s="3538">
        <v>84590</v>
      </c>
      <c r="J174" s="2365">
        <f t="shared" si="5"/>
        <v>127900</v>
      </c>
    </row>
    <row r="175" spans="1:10">
      <c r="A175" s="167">
        <v>2007.1</v>
      </c>
      <c r="B175" s="215">
        <v>18261</v>
      </c>
      <c r="C175" s="3538">
        <v>41180</v>
      </c>
      <c r="D175" s="1946">
        <f t="shared" si="4"/>
        <v>59441</v>
      </c>
      <c r="E175" s="1334"/>
      <c r="F175" s="3614"/>
      <c r="G175" s="105"/>
      <c r="H175" s="223">
        <v>41097</v>
      </c>
      <c r="I175" s="3538">
        <v>84282</v>
      </c>
      <c r="J175" s="2365">
        <f t="shared" si="5"/>
        <v>125379</v>
      </c>
    </row>
    <row r="176" spans="1:10">
      <c r="A176" s="167">
        <v>2007.11</v>
      </c>
      <c r="B176" s="215">
        <v>18596</v>
      </c>
      <c r="C176" s="3538">
        <v>42290</v>
      </c>
      <c r="D176" s="1946">
        <f t="shared" si="4"/>
        <v>60886</v>
      </c>
      <c r="E176" s="1334"/>
      <c r="F176" s="3614"/>
      <c r="G176" s="105"/>
      <c r="H176" s="223">
        <v>42699</v>
      </c>
      <c r="I176" s="3538">
        <v>85311</v>
      </c>
      <c r="J176" s="2365">
        <f t="shared" si="5"/>
        <v>128010</v>
      </c>
    </row>
    <row r="177" spans="1:10">
      <c r="A177" s="167">
        <v>2007.12</v>
      </c>
      <c r="B177" s="215">
        <v>19142</v>
      </c>
      <c r="C177" s="3538">
        <v>40086</v>
      </c>
      <c r="D177" s="1946">
        <f t="shared" si="4"/>
        <v>59228</v>
      </c>
      <c r="E177" s="1334"/>
      <c r="F177" s="3614"/>
      <c r="G177" s="105"/>
      <c r="H177" s="223">
        <v>42859</v>
      </c>
      <c r="I177" s="3538">
        <v>83689</v>
      </c>
      <c r="J177" s="2365">
        <f t="shared" si="5"/>
        <v>126548</v>
      </c>
    </row>
    <row r="178" spans="1:10">
      <c r="A178" s="167">
        <f t="shared" ref="A178:A241" si="6">A166+1</f>
        <v>2008.01</v>
      </c>
      <c r="B178" s="215">
        <v>18452</v>
      </c>
      <c r="C178" s="3538">
        <v>41358</v>
      </c>
      <c r="D178" s="1946">
        <f t="shared" si="4"/>
        <v>59810</v>
      </c>
      <c r="E178" s="1334"/>
      <c r="F178" s="3614"/>
      <c r="G178" s="105"/>
      <c r="H178" s="223">
        <v>40200</v>
      </c>
      <c r="I178" s="3538">
        <v>84338</v>
      </c>
      <c r="J178" s="2365">
        <f t="shared" si="5"/>
        <v>124538</v>
      </c>
    </row>
    <row r="179" spans="1:10">
      <c r="A179" s="167">
        <f t="shared" si="6"/>
        <v>2008.02</v>
      </c>
      <c r="B179" s="215">
        <v>19377</v>
      </c>
      <c r="C179" s="3538">
        <v>43437</v>
      </c>
      <c r="D179" s="1946">
        <f t="shared" si="4"/>
        <v>62814</v>
      </c>
      <c r="E179" s="1334"/>
      <c r="F179" s="3614"/>
      <c r="G179" s="105"/>
      <c r="H179" s="223">
        <v>42212</v>
      </c>
      <c r="I179" s="3538">
        <v>88310</v>
      </c>
      <c r="J179" s="2365">
        <f t="shared" si="5"/>
        <v>130522</v>
      </c>
    </row>
    <row r="180" spans="1:10">
      <c r="A180" s="167">
        <f t="shared" si="6"/>
        <v>2008.03</v>
      </c>
      <c r="B180" s="215">
        <v>19491</v>
      </c>
      <c r="C180" s="3538">
        <v>43102</v>
      </c>
      <c r="D180" s="1946">
        <f t="shared" si="4"/>
        <v>62593</v>
      </c>
      <c r="E180" s="1334"/>
      <c r="F180" s="3614"/>
      <c r="G180" s="105"/>
      <c r="H180" s="223">
        <v>44817</v>
      </c>
      <c r="I180" s="3538">
        <v>90571</v>
      </c>
      <c r="J180" s="2365">
        <f t="shared" si="5"/>
        <v>135388</v>
      </c>
    </row>
    <row r="181" spans="1:10">
      <c r="A181" s="167">
        <f t="shared" si="6"/>
        <v>2008.04</v>
      </c>
      <c r="B181" s="215">
        <v>18158</v>
      </c>
      <c r="C181" s="3538">
        <v>42690</v>
      </c>
      <c r="D181" s="1946">
        <f t="shared" si="4"/>
        <v>60848</v>
      </c>
      <c r="E181" s="1334"/>
      <c r="F181" s="3614"/>
      <c r="G181" s="105"/>
      <c r="H181" s="223">
        <v>42697</v>
      </c>
      <c r="I181" s="3538">
        <v>87714</v>
      </c>
      <c r="J181" s="2365">
        <f t="shared" si="5"/>
        <v>130411</v>
      </c>
    </row>
    <row r="182" spans="1:10">
      <c r="A182" s="167">
        <f t="shared" si="6"/>
        <v>2008.05</v>
      </c>
      <c r="B182" s="215">
        <v>18054</v>
      </c>
      <c r="C182" s="3538">
        <v>41794</v>
      </c>
      <c r="D182" s="1946">
        <f t="shared" si="4"/>
        <v>59848</v>
      </c>
      <c r="E182" s="1334"/>
      <c r="F182" s="3614"/>
      <c r="G182" s="105"/>
      <c r="H182" s="223">
        <v>42589</v>
      </c>
      <c r="I182" s="3538">
        <v>90363</v>
      </c>
      <c r="J182" s="2365">
        <f t="shared" si="5"/>
        <v>132952</v>
      </c>
    </row>
    <row r="183" spans="1:10">
      <c r="A183" s="167">
        <f t="shared" si="6"/>
        <v>2008.06</v>
      </c>
      <c r="B183" s="215">
        <v>18550</v>
      </c>
      <c r="C183" s="3538">
        <v>39412</v>
      </c>
      <c r="D183" s="1946">
        <f t="shared" si="4"/>
        <v>57962</v>
      </c>
      <c r="E183" s="1334"/>
      <c r="F183" s="3614"/>
      <c r="G183" s="105"/>
      <c r="H183" s="223">
        <v>42802</v>
      </c>
      <c r="I183" s="3538">
        <v>85192</v>
      </c>
      <c r="J183" s="2365">
        <f t="shared" si="5"/>
        <v>127994</v>
      </c>
    </row>
    <row r="184" spans="1:10">
      <c r="A184" s="167">
        <f t="shared" si="6"/>
        <v>2008.07</v>
      </c>
      <c r="B184" s="215">
        <v>17429</v>
      </c>
      <c r="C184" s="3538">
        <v>40088</v>
      </c>
      <c r="D184" s="1946">
        <f t="shared" si="4"/>
        <v>57517</v>
      </c>
      <c r="E184" s="1334"/>
      <c r="F184" s="3614"/>
      <c r="G184" s="105"/>
      <c r="H184" s="223">
        <v>40320</v>
      </c>
      <c r="I184" s="3538">
        <v>85160</v>
      </c>
      <c r="J184" s="2365">
        <f t="shared" si="5"/>
        <v>125480</v>
      </c>
    </row>
    <row r="185" spans="1:10">
      <c r="A185" s="167">
        <f t="shared" si="6"/>
        <v>2008.08</v>
      </c>
      <c r="B185" s="215">
        <v>18882</v>
      </c>
      <c r="C185" s="3538">
        <v>40543</v>
      </c>
      <c r="D185" s="1946">
        <f t="shared" si="4"/>
        <v>59425</v>
      </c>
      <c r="E185" s="1334"/>
      <c r="F185" s="3614"/>
      <c r="G185" s="105"/>
      <c r="H185" s="223">
        <v>42618</v>
      </c>
      <c r="I185" s="3538">
        <v>85750</v>
      </c>
      <c r="J185" s="2365">
        <f t="shared" si="5"/>
        <v>128368</v>
      </c>
    </row>
    <row r="186" spans="1:10">
      <c r="A186" s="167">
        <f t="shared" si="6"/>
        <v>2008.09</v>
      </c>
      <c r="B186" s="215">
        <v>17309</v>
      </c>
      <c r="C186" s="3538">
        <v>39749</v>
      </c>
      <c r="D186" s="1946">
        <f t="shared" si="4"/>
        <v>57058</v>
      </c>
      <c r="E186" s="1334"/>
      <c r="F186" s="3614"/>
      <c r="G186" s="105"/>
      <c r="H186" s="223">
        <v>40110</v>
      </c>
      <c r="I186" s="3538">
        <v>84684</v>
      </c>
      <c r="J186" s="2365">
        <f t="shared" si="5"/>
        <v>124794</v>
      </c>
    </row>
    <row r="187" spans="1:10">
      <c r="A187" s="167">
        <f t="shared" si="6"/>
        <v>2008.1</v>
      </c>
      <c r="B187" s="215">
        <v>16739</v>
      </c>
      <c r="C187" s="3538">
        <v>38436</v>
      </c>
      <c r="D187" s="1946">
        <f t="shared" si="4"/>
        <v>55175</v>
      </c>
      <c r="E187" s="1334"/>
      <c r="F187" s="3614"/>
      <c r="G187" s="105"/>
      <c r="H187" s="223">
        <v>39425</v>
      </c>
      <c r="I187" s="3538">
        <v>82415</v>
      </c>
      <c r="J187" s="2365">
        <f t="shared" si="5"/>
        <v>121840</v>
      </c>
    </row>
    <row r="188" spans="1:10">
      <c r="A188" s="167">
        <f t="shared" si="6"/>
        <v>2008.11</v>
      </c>
      <c r="B188" s="215">
        <v>17606</v>
      </c>
      <c r="C188" s="3538">
        <v>37775</v>
      </c>
      <c r="D188" s="1946">
        <f t="shared" si="4"/>
        <v>55381</v>
      </c>
      <c r="E188" s="1334"/>
      <c r="F188" s="3614"/>
      <c r="G188" s="105"/>
      <c r="H188" s="223">
        <v>41396</v>
      </c>
      <c r="I188" s="3538">
        <v>81837</v>
      </c>
      <c r="J188" s="2365">
        <f t="shared" si="5"/>
        <v>123233</v>
      </c>
    </row>
    <row r="189" spans="1:10">
      <c r="A189" s="167">
        <f t="shared" si="6"/>
        <v>2008.12</v>
      </c>
      <c r="B189" s="215">
        <v>17257</v>
      </c>
      <c r="C189" s="3538">
        <v>35167</v>
      </c>
      <c r="D189" s="1946">
        <f t="shared" si="4"/>
        <v>52424</v>
      </c>
      <c r="E189" s="1334"/>
      <c r="F189" s="3614"/>
      <c r="G189" s="105"/>
      <c r="H189" s="223">
        <v>41319</v>
      </c>
      <c r="I189" s="3538">
        <v>80373</v>
      </c>
      <c r="J189" s="2365">
        <f t="shared" si="5"/>
        <v>121692</v>
      </c>
    </row>
    <row r="190" spans="1:10">
      <c r="A190" s="167">
        <f t="shared" si="6"/>
        <v>2009.01</v>
      </c>
      <c r="B190" s="215">
        <v>17082.5</v>
      </c>
      <c r="C190" s="3538">
        <v>35914</v>
      </c>
      <c r="D190" s="1946">
        <f t="shared" si="4"/>
        <v>52996.5</v>
      </c>
      <c r="E190" s="1334"/>
      <c r="F190" s="3614"/>
      <c r="G190" s="105"/>
      <c r="H190" s="223">
        <v>39637</v>
      </c>
      <c r="I190" s="3538">
        <v>81359</v>
      </c>
      <c r="J190" s="2365">
        <f t="shared" si="5"/>
        <v>120996</v>
      </c>
    </row>
    <row r="191" spans="1:10">
      <c r="A191" s="167">
        <f t="shared" si="6"/>
        <v>2009.02</v>
      </c>
      <c r="B191" s="215">
        <v>16908</v>
      </c>
      <c r="C191" s="3538">
        <v>37056</v>
      </c>
      <c r="D191" s="1946">
        <f t="shared" si="4"/>
        <v>53964</v>
      </c>
      <c r="E191" s="1334"/>
      <c r="F191" s="3614"/>
      <c r="G191" s="105"/>
      <c r="H191" s="223">
        <v>41242</v>
      </c>
      <c r="I191" s="3538">
        <v>85516</v>
      </c>
      <c r="J191" s="2365">
        <f t="shared" si="5"/>
        <v>126758</v>
      </c>
    </row>
    <row r="192" spans="1:10">
      <c r="A192" s="167">
        <f t="shared" si="6"/>
        <v>2009.03</v>
      </c>
      <c r="B192" s="215">
        <v>17233</v>
      </c>
      <c r="C192" s="3538">
        <v>37368</v>
      </c>
      <c r="D192" s="1946">
        <f t="shared" si="4"/>
        <v>54601</v>
      </c>
      <c r="E192" s="1334"/>
      <c r="F192" s="3614"/>
      <c r="G192" s="105"/>
      <c r="H192" s="223">
        <v>42160</v>
      </c>
      <c r="I192" s="3538">
        <v>85673</v>
      </c>
      <c r="J192" s="2365">
        <f t="shared" si="5"/>
        <v>127833</v>
      </c>
    </row>
    <row r="193" spans="1:10">
      <c r="A193" s="167">
        <f t="shared" si="6"/>
        <v>2009.04</v>
      </c>
      <c r="B193" s="215">
        <v>16498</v>
      </c>
      <c r="C193" s="3538">
        <v>36310</v>
      </c>
      <c r="D193" s="1946">
        <f t="shared" si="4"/>
        <v>52808</v>
      </c>
      <c r="E193" s="1334"/>
      <c r="F193" s="3614"/>
      <c r="G193" s="105"/>
      <c r="H193" s="223">
        <v>40345</v>
      </c>
      <c r="I193" s="3538">
        <v>83456</v>
      </c>
      <c r="J193" s="2365">
        <f t="shared" si="5"/>
        <v>123801</v>
      </c>
    </row>
    <row r="194" spans="1:10">
      <c r="A194" s="167">
        <f t="shared" si="6"/>
        <v>2009.05</v>
      </c>
      <c r="B194" s="215">
        <v>17074</v>
      </c>
      <c r="C194" s="3538">
        <v>36131</v>
      </c>
      <c r="D194" s="1946">
        <f t="shared" si="4"/>
        <v>53205</v>
      </c>
      <c r="E194" s="1334"/>
      <c r="F194" s="3614"/>
      <c r="G194" s="105"/>
      <c r="H194" s="223">
        <v>41421</v>
      </c>
      <c r="I194" s="3538">
        <v>84017</v>
      </c>
      <c r="J194" s="2365">
        <f t="shared" si="5"/>
        <v>125438</v>
      </c>
    </row>
    <row r="195" spans="1:10">
      <c r="A195" s="167">
        <f t="shared" si="6"/>
        <v>2009.06</v>
      </c>
      <c r="B195" s="215">
        <v>15938</v>
      </c>
      <c r="C195" s="3538">
        <v>34215</v>
      </c>
      <c r="D195" s="1946">
        <f t="shared" si="4"/>
        <v>50153</v>
      </c>
      <c r="E195" s="1334"/>
      <c r="F195" s="3614"/>
      <c r="G195" s="105"/>
      <c r="H195" s="223">
        <v>39392</v>
      </c>
      <c r="I195" s="3538">
        <v>81816</v>
      </c>
      <c r="J195" s="2365">
        <f t="shared" si="5"/>
        <v>121208</v>
      </c>
    </row>
    <row r="196" spans="1:10">
      <c r="A196" s="167">
        <f t="shared" si="6"/>
        <v>2009.07</v>
      </c>
      <c r="B196" s="215">
        <v>16208</v>
      </c>
      <c r="C196" s="3538">
        <v>35981</v>
      </c>
      <c r="D196" s="1946">
        <f t="shared" si="4"/>
        <v>52189</v>
      </c>
      <c r="E196" s="1334"/>
      <c r="F196" s="3614"/>
      <c r="G196" s="105"/>
      <c r="H196" s="223">
        <v>39164</v>
      </c>
      <c r="I196" s="3538">
        <v>83438</v>
      </c>
      <c r="J196" s="2365">
        <f t="shared" si="5"/>
        <v>122602</v>
      </c>
    </row>
    <row r="197" spans="1:10">
      <c r="A197" s="167">
        <f t="shared" si="6"/>
        <v>2009.08</v>
      </c>
      <c r="B197" s="215">
        <v>17138</v>
      </c>
      <c r="C197" s="3538">
        <v>35871</v>
      </c>
      <c r="D197" s="1946">
        <f t="shared" si="4"/>
        <v>53009</v>
      </c>
      <c r="E197" s="1334"/>
      <c r="F197" s="3614"/>
      <c r="G197" s="105"/>
      <c r="H197" s="223">
        <v>40890</v>
      </c>
      <c r="I197" s="3538">
        <v>82773</v>
      </c>
      <c r="J197" s="2365">
        <f t="shared" si="5"/>
        <v>123663</v>
      </c>
    </row>
    <row r="198" spans="1:10">
      <c r="A198" s="167">
        <f t="shared" si="6"/>
        <v>2009.09</v>
      </c>
      <c r="B198" s="215">
        <v>16133</v>
      </c>
      <c r="C198" s="3538">
        <v>35153</v>
      </c>
      <c r="D198" s="1946">
        <f t="shared" si="4"/>
        <v>51286</v>
      </c>
      <c r="E198" s="1334"/>
      <c r="F198" s="3614"/>
      <c r="G198" s="105"/>
      <c r="H198" s="223">
        <v>39114</v>
      </c>
      <c r="I198" s="3538">
        <v>82739</v>
      </c>
      <c r="J198" s="2365">
        <f t="shared" si="5"/>
        <v>121853</v>
      </c>
    </row>
    <row r="199" spans="1:10">
      <c r="A199" s="167">
        <f t="shared" si="6"/>
        <v>2009.1</v>
      </c>
      <c r="B199" s="215">
        <v>16102</v>
      </c>
      <c r="C199" s="3538">
        <v>34759</v>
      </c>
      <c r="D199" s="1946">
        <f t="shared" si="4"/>
        <v>50861</v>
      </c>
      <c r="E199" s="1334"/>
      <c r="F199" s="3614"/>
      <c r="G199" s="105"/>
      <c r="H199" s="223">
        <v>38787</v>
      </c>
      <c r="I199" s="3538">
        <v>82765</v>
      </c>
      <c r="J199" s="2365">
        <f t="shared" si="5"/>
        <v>121552</v>
      </c>
    </row>
    <row r="200" spans="1:10" s="166" customFormat="1">
      <c r="A200" s="167">
        <f t="shared" si="6"/>
        <v>2009.11</v>
      </c>
      <c r="B200" s="215">
        <v>16789</v>
      </c>
      <c r="C200" s="3538">
        <v>34219</v>
      </c>
      <c r="D200" s="1946">
        <f t="shared" si="4"/>
        <v>51008</v>
      </c>
      <c r="E200" s="758">
        <v>6190</v>
      </c>
      <c r="F200" s="3632">
        <v>14149</v>
      </c>
      <c r="G200" s="163">
        <f>E200+F200</f>
        <v>20339</v>
      </c>
      <c r="H200" s="223">
        <v>40467</v>
      </c>
      <c r="I200" s="3538">
        <v>80900</v>
      </c>
      <c r="J200" s="2365">
        <f t="shared" si="5"/>
        <v>121367</v>
      </c>
    </row>
    <row r="201" spans="1:10">
      <c r="A201" s="167">
        <f t="shared" si="6"/>
        <v>2009.12</v>
      </c>
      <c r="B201" s="215">
        <v>15841</v>
      </c>
      <c r="C201" s="3538">
        <v>34037</v>
      </c>
      <c r="D201" s="1946">
        <f t="shared" si="4"/>
        <v>49878</v>
      </c>
      <c r="E201" s="223">
        <v>6315</v>
      </c>
      <c r="F201" s="3538">
        <v>16451</v>
      </c>
      <c r="G201" s="160">
        <f>E201+F201</f>
        <v>22766</v>
      </c>
      <c r="H201" s="223">
        <v>38362</v>
      </c>
      <c r="I201" s="3538">
        <v>80516</v>
      </c>
      <c r="J201" s="2365">
        <f t="shared" si="5"/>
        <v>118878</v>
      </c>
    </row>
    <row r="202" spans="1:10">
      <c r="A202" s="167">
        <f t="shared" si="6"/>
        <v>2010.01</v>
      </c>
      <c r="B202" s="215">
        <v>16428</v>
      </c>
      <c r="C202" s="3538">
        <v>33814</v>
      </c>
      <c r="D202" s="1946">
        <f t="shared" si="4"/>
        <v>50242</v>
      </c>
      <c r="E202" s="223">
        <v>6823</v>
      </c>
      <c r="F202" s="3538">
        <v>17393</v>
      </c>
      <c r="G202" s="160">
        <f>E202+F202</f>
        <v>24216</v>
      </c>
      <c r="H202" s="223">
        <v>39176</v>
      </c>
      <c r="I202" s="3538">
        <v>79142</v>
      </c>
      <c r="J202" s="2365">
        <f t="shared" si="5"/>
        <v>118318</v>
      </c>
    </row>
    <row r="203" spans="1:10">
      <c r="A203" s="167">
        <f t="shared" si="6"/>
        <v>2010.02</v>
      </c>
      <c r="B203" s="215">
        <v>16142</v>
      </c>
      <c r="C203" s="3538">
        <v>34724</v>
      </c>
      <c r="D203" s="1946">
        <f t="shared" si="4"/>
        <v>50866</v>
      </c>
      <c r="E203" s="223">
        <v>6969</v>
      </c>
      <c r="F203" s="3538">
        <v>19407</v>
      </c>
      <c r="G203" s="160">
        <f>E203+F203</f>
        <v>26376</v>
      </c>
      <c r="H203" s="223">
        <v>38396</v>
      </c>
      <c r="I203" s="3538">
        <v>83227</v>
      </c>
      <c r="J203" s="2365">
        <f t="shared" si="5"/>
        <v>121623</v>
      </c>
    </row>
    <row r="204" spans="1:10">
      <c r="A204" s="167">
        <f t="shared" si="6"/>
        <v>2010.03</v>
      </c>
      <c r="B204" s="215">
        <v>15917</v>
      </c>
      <c r="C204" s="3538">
        <v>35743</v>
      </c>
      <c r="D204" s="1946">
        <f t="shared" ref="D204:D225" si="7">B204+C204</f>
        <v>51660</v>
      </c>
      <c r="E204" s="223">
        <v>7071</v>
      </c>
      <c r="F204" s="3538">
        <v>21340</v>
      </c>
      <c r="G204" s="160">
        <f t="shared" ref="G204:G267" si="8">E204+F204</f>
        <v>28411</v>
      </c>
      <c r="H204" s="223">
        <v>39459</v>
      </c>
      <c r="I204" s="3538">
        <v>85969</v>
      </c>
      <c r="J204" s="2365">
        <f t="shared" ref="J204:J225" si="9">H204+I204</f>
        <v>125428</v>
      </c>
    </row>
    <row r="205" spans="1:10">
      <c r="A205" s="167">
        <f t="shared" si="6"/>
        <v>2010.04</v>
      </c>
      <c r="B205" s="215">
        <v>16024</v>
      </c>
      <c r="C205" s="3538">
        <v>34712</v>
      </c>
      <c r="D205" s="1946">
        <f t="shared" si="7"/>
        <v>50736</v>
      </c>
      <c r="E205" s="223">
        <v>6844</v>
      </c>
      <c r="F205" s="3538">
        <v>22120</v>
      </c>
      <c r="G205" s="160">
        <f t="shared" si="8"/>
        <v>28964</v>
      </c>
      <c r="H205" s="223">
        <v>38416</v>
      </c>
      <c r="I205" s="3538">
        <v>85243</v>
      </c>
      <c r="J205" s="2365">
        <f t="shared" si="9"/>
        <v>123659</v>
      </c>
    </row>
    <row r="206" spans="1:10">
      <c r="A206" s="167">
        <f t="shared" si="6"/>
        <v>2010.05</v>
      </c>
      <c r="B206" s="215">
        <v>16222</v>
      </c>
      <c r="C206" s="3538">
        <v>33302</v>
      </c>
      <c r="D206" s="1946">
        <f t="shared" si="7"/>
        <v>49524</v>
      </c>
      <c r="E206" s="223">
        <v>7605</v>
      </c>
      <c r="F206" s="3538">
        <v>24538</v>
      </c>
      <c r="G206" s="160">
        <f t="shared" si="8"/>
        <v>32143</v>
      </c>
      <c r="H206" s="223">
        <v>40320</v>
      </c>
      <c r="I206" s="3538">
        <v>82280</v>
      </c>
      <c r="J206" s="2365">
        <f t="shared" si="9"/>
        <v>122600</v>
      </c>
    </row>
    <row r="207" spans="1:10">
      <c r="A207" s="167">
        <f t="shared" si="6"/>
        <v>2010.06</v>
      </c>
      <c r="B207" s="215">
        <v>15475</v>
      </c>
      <c r="C207" s="3538">
        <v>33246</v>
      </c>
      <c r="D207" s="1946">
        <f t="shared" si="7"/>
        <v>48721</v>
      </c>
      <c r="E207" s="223">
        <v>6887</v>
      </c>
      <c r="F207" s="3538">
        <v>26111</v>
      </c>
      <c r="G207" s="160">
        <f t="shared" si="8"/>
        <v>32998</v>
      </c>
      <c r="H207" s="223">
        <v>36735</v>
      </c>
      <c r="I207" s="3538">
        <v>79597</v>
      </c>
      <c r="J207" s="2365">
        <f t="shared" si="9"/>
        <v>116332</v>
      </c>
    </row>
    <row r="208" spans="1:10">
      <c r="A208" s="167">
        <f t="shared" si="6"/>
        <v>2010.07</v>
      </c>
      <c r="B208" s="215">
        <v>15484</v>
      </c>
      <c r="C208" s="3538">
        <v>33558</v>
      </c>
      <c r="D208" s="1946">
        <f t="shared" si="7"/>
        <v>49042</v>
      </c>
      <c r="E208" s="223">
        <v>6574</v>
      </c>
      <c r="F208" s="3538">
        <v>26343</v>
      </c>
      <c r="G208" s="160">
        <f t="shared" si="8"/>
        <v>32917</v>
      </c>
      <c r="H208" s="223">
        <v>36346</v>
      </c>
      <c r="I208" s="3538">
        <v>78099</v>
      </c>
      <c r="J208" s="2365">
        <f t="shared" si="9"/>
        <v>114445</v>
      </c>
    </row>
    <row r="209" spans="1:10">
      <c r="A209" s="167">
        <f t="shared" si="6"/>
        <v>2010.08</v>
      </c>
      <c r="B209" s="215">
        <v>16506</v>
      </c>
      <c r="C209" s="3538">
        <v>34826</v>
      </c>
      <c r="D209" s="1946">
        <f t="shared" si="7"/>
        <v>51332</v>
      </c>
      <c r="E209" s="223">
        <v>6924</v>
      </c>
      <c r="F209" s="3538">
        <v>25083</v>
      </c>
      <c r="G209" s="160">
        <f t="shared" si="8"/>
        <v>32007</v>
      </c>
      <c r="H209" s="223">
        <v>39062</v>
      </c>
      <c r="I209" s="3538">
        <v>80079</v>
      </c>
      <c r="J209" s="2365">
        <f t="shared" si="9"/>
        <v>119141</v>
      </c>
    </row>
    <row r="210" spans="1:10">
      <c r="A210" s="167">
        <f t="shared" si="6"/>
        <v>2010.09</v>
      </c>
      <c r="B210" s="215">
        <v>15776</v>
      </c>
      <c r="C210" s="3538">
        <v>34083</v>
      </c>
      <c r="D210" s="1946">
        <f t="shared" si="7"/>
        <v>49859</v>
      </c>
      <c r="E210" s="223">
        <v>6262</v>
      </c>
      <c r="F210" s="3538">
        <v>24479</v>
      </c>
      <c r="G210" s="160">
        <f t="shared" si="8"/>
        <v>30741</v>
      </c>
      <c r="H210" s="223">
        <v>38445</v>
      </c>
      <c r="I210" s="3538">
        <v>80400</v>
      </c>
      <c r="J210" s="2365">
        <f t="shared" si="9"/>
        <v>118845</v>
      </c>
    </row>
    <row r="211" spans="1:10">
      <c r="A211" s="167">
        <f t="shared" si="6"/>
        <v>2010.1</v>
      </c>
      <c r="B211" s="215">
        <v>16183</v>
      </c>
      <c r="C211" s="3538">
        <v>32519</v>
      </c>
      <c r="D211" s="1946">
        <f t="shared" si="7"/>
        <v>48702</v>
      </c>
      <c r="E211" s="223">
        <v>6638</v>
      </c>
      <c r="F211" s="3538">
        <v>24087</v>
      </c>
      <c r="G211" s="160">
        <f t="shared" si="8"/>
        <v>30725</v>
      </c>
      <c r="H211" s="223">
        <v>39924</v>
      </c>
      <c r="I211" s="3538">
        <v>78841</v>
      </c>
      <c r="J211" s="2365">
        <f t="shared" si="9"/>
        <v>118765</v>
      </c>
    </row>
    <row r="212" spans="1:10">
      <c r="A212" s="167">
        <f t="shared" si="6"/>
        <v>2010.11</v>
      </c>
      <c r="B212" s="215">
        <v>15156</v>
      </c>
      <c r="C212" s="3538">
        <v>32587</v>
      </c>
      <c r="D212" s="1946">
        <f t="shared" si="7"/>
        <v>47743</v>
      </c>
      <c r="E212" s="223">
        <v>5990</v>
      </c>
      <c r="F212" s="3538">
        <v>22040</v>
      </c>
      <c r="G212" s="160">
        <f t="shared" si="8"/>
        <v>28030</v>
      </c>
      <c r="H212" s="223">
        <v>36735</v>
      </c>
      <c r="I212" s="3538">
        <v>80102</v>
      </c>
      <c r="J212" s="2365">
        <f t="shared" si="9"/>
        <v>116837</v>
      </c>
    </row>
    <row r="213" spans="1:10">
      <c r="A213" s="167">
        <f t="shared" si="6"/>
        <v>2010.12</v>
      </c>
      <c r="B213" s="215">
        <v>15471</v>
      </c>
      <c r="C213" s="3538">
        <v>32073</v>
      </c>
      <c r="D213" s="1946">
        <f t="shared" si="7"/>
        <v>47544</v>
      </c>
      <c r="E213" s="223">
        <v>6083</v>
      </c>
      <c r="F213" s="3538">
        <v>22365</v>
      </c>
      <c r="G213" s="160">
        <f t="shared" si="8"/>
        <v>28448</v>
      </c>
      <c r="H213" s="223">
        <v>36199</v>
      </c>
      <c r="I213" s="3538">
        <v>77757</v>
      </c>
      <c r="J213" s="2365">
        <f t="shared" si="9"/>
        <v>113956</v>
      </c>
    </row>
    <row r="214" spans="1:10">
      <c r="A214" s="167">
        <f t="shared" si="6"/>
        <v>2011.01</v>
      </c>
      <c r="B214" s="215">
        <v>15772</v>
      </c>
      <c r="C214" s="3538">
        <v>32062</v>
      </c>
      <c r="D214" s="1946">
        <f t="shared" si="7"/>
        <v>47834</v>
      </c>
      <c r="E214" s="223">
        <v>6105</v>
      </c>
      <c r="F214" s="3538">
        <v>19607</v>
      </c>
      <c r="G214" s="160">
        <f t="shared" si="8"/>
        <v>25712</v>
      </c>
      <c r="H214" s="223">
        <v>37099</v>
      </c>
      <c r="I214" s="3538">
        <v>76387</v>
      </c>
      <c r="J214" s="2365">
        <f t="shared" si="9"/>
        <v>113486</v>
      </c>
    </row>
    <row r="215" spans="1:10">
      <c r="A215" s="167">
        <f t="shared" si="6"/>
        <v>2011.02</v>
      </c>
      <c r="B215" s="215">
        <v>15990</v>
      </c>
      <c r="C215" s="3538">
        <v>33215</v>
      </c>
      <c r="D215" s="1946">
        <f t="shared" si="7"/>
        <v>49205</v>
      </c>
      <c r="E215" s="223">
        <v>5579</v>
      </c>
      <c r="F215" s="3538">
        <v>19312</v>
      </c>
      <c r="G215" s="160">
        <f t="shared" si="8"/>
        <v>24891</v>
      </c>
      <c r="H215" s="223">
        <v>37187</v>
      </c>
      <c r="I215" s="3538">
        <v>81382</v>
      </c>
      <c r="J215" s="2365">
        <f t="shared" si="9"/>
        <v>118569</v>
      </c>
    </row>
    <row r="216" spans="1:10">
      <c r="A216" s="167">
        <f t="shared" si="6"/>
        <v>2011.03</v>
      </c>
      <c r="B216" s="215">
        <v>15590</v>
      </c>
      <c r="C216" s="3538">
        <v>33428</v>
      </c>
      <c r="D216" s="1946">
        <f t="shared" si="7"/>
        <v>49018</v>
      </c>
      <c r="E216" s="223">
        <v>5373</v>
      </c>
      <c r="F216" s="3538">
        <v>19681</v>
      </c>
      <c r="G216" s="160">
        <f t="shared" si="8"/>
        <v>25054</v>
      </c>
      <c r="H216" s="223">
        <v>37753</v>
      </c>
      <c r="I216" s="3538">
        <v>83453</v>
      </c>
      <c r="J216" s="2365">
        <f t="shared" si="9"/>
        <v>121206</v>
      </c>
    </row>
    <row r="217" spans="1:10">
      <c r="A217" s="167">
        <f t="shared" si="6"/>
        <v>2011.04</v>
      </c>
      <c r="B217" s="215">
        <v>16330</v>
      </c>
      <c r="C217" s="3538">
        <v>33466</v>
      </c>
      <c r="D217" s="1946">
        <f t="shared" si="7"/>
        <v>49796</v>
      </c>
      <c r="E217" s="223">
        <v>5981</v>
      </c>
      <c r="F217" s="3538">
        <v>19995</v>
      </c>
      <c r="G217" s="160">
        <f t="shared" si="8"/>
        <v>25976</v>
      </c>
      <c r="H217" s="223">
        <v>39789</v>
      </c>
      <c r="I217" s="3538">
        <v>83200</v>
      </c>
      <c r="J217" s="2365">
        <f t="shared" si="9"/>
        <v>122989</v>
      </c>
    </row>
    <row r="218" spans="1:10">
      <c r="A218" s="167">
        <f t="shared" si="6"/>
        <v>2011.05</v>
      </c>
      <c r="B218" s="215">
        <v>15642</v>
      </c>
      <c r="C218" s="3538">
        <v>33139</v>
      </c>
      <c r="D218" s="1946">
        <f t="shared" si="7"/>
        <v>48781</v>
      </c>
      <c r="E218" s="223">
        <v>5392</v>
      </c>
      <c r="F218" s="3538">
        <v>19702</v>
      </c>
      <c r="G218" s="160">
        <f t="shared" si="8"/>
        <v>25094</v>
      </c>
      <c r="H218" s="223">
        <v>39127</v>
      </c>
      <c r="I218" s="3538">
        <v>81559</v>
      </c>
      <c r="J218" s="2365">
        <f t="shared" si="9"/>
        <v>120686</v>
      </c>
    </row>
    <row r="219" spans="1:10">
      <c r="A219" s="167">
        <f t="shared" si="6"/>
        <v>2011.06</v>
      </c>
      <c r="B219" s="215">
        <v>15820</v>
      </c>
      <c r="C219" s="3538">
        <v>33778</v>
      </c>
      <c r="D219" s="1946">
        <f t="shared" si="7"/>
        <v>49598</v>
      </c>
      <c r="E219" s="223">
        <v>5409</v>
      </c>
      <c r="F219" s="3538">
        <v>19908</v>
      </c>
      <c r="G219" s="160">
        <f t="shared" si="8"/>
        <v>25317</v>
      </c>
      <c r="H219" s="223">
        <v>37812</v>
      </c>
      <c r="I219" s="3538">
        <v>80006</v>
      </c>
      <c r="J219" s="2365">
        <f t="shared" si="9"/>
        <v>117818</v>
      </c>
    </row>
    <row r="220" spans="1:10">
      <c r="A220" s="167">
        <f t="shared" si="6"/>
        <v>2011.07</v>
      </c>
      <c r="B220" s="215">
        <v>15917</v>
      </c>
      <c r="C220" s="3538">
        <v>32100</v>
      </c>
      <c r="D220" s="1946">
        <f t="shared" si="7"/>
        <v>48017</v>
      </c>
      <c r="E220" s="223">
        <v>5655</v>
      </c>
      <c r="F220" s="3538">
        <v>19203</v>
      </c>
      <c r="G220" s="160">
        <f t="shared" si="8"/>
        <v>24858</v>
      </c>
      <c r="H220" s="223">
        <v>39258</v>
      </c>
      <c r="I220" s="3538">
        <v>78419</v>
      </c>
      <c r="J220" s="2365">
        <f t="shared" si="9"/>
        <v>117677</v>
      </c>
    </row>
    <row r="221" spans="1:10">
      <c r="A221" s="167">
        <f t="shared" si="6"/>
        <v>2011.08</v>
      </c>
      <c r="B221" s="215">
        <v>15594</v>
      </c>
      <c r="C221" s="3538">
        <v>32559</v>
      </c>
      <c r="D221" s="1946">
        <f t="shared" si="7"/>
        <v>48153</v>
      </c>
      <c r="E221" s="223">
        <v>5416</v>
      </c>
      <c r="F221" s="3538">
        <v>20193</v>
      </c>
      <c r="G221" s="160">
        <f t="shared" si="8"/>
        <v>25609</v>
      </c>
      <c r="H221" s="223">
        <v>36815</v>
      </c>
      <c r="I221" s="3538">
        <v>78926</v>
      </c>
      <c r="J221" s="2365">
        <f t="shared" si="9"/>
        <v>115741</v>
      </c>
    </row>
    <row r="222" spans="1:10">
      <c r="A222" s="167">
        <f t="shared" si="6"/>
        <v>2011.09</v>
      </c>
      <c r="B222" s="215">
        <v>15387</v>
      </c>
      <c r="C222" s="3538">
        <v>32559</v>
      </c>
      <c r="D222" s="1946">
        <f t="shared" si="7"/>
        <v>47946</v>
      </c>
      <c r="E222" s="223">
        <v>5336</v>
      </c>
      <c r="F222" s="3538">
        <v>19249</v>
      </c>
      <c r="G222" s="160">
        <f t="shared" si="8"/>
        <v>24585</v>
      </c>
      <c r="H222" s="223">
        <v>36391</v>
      </c>
      <c r="I222" s="3538">
        <v>77220</v>
      </c>
      <c r="J222" s="2365">
        <f t="shared" si="9"/>
        <v>113611</v>
      </c>
    </row>
    <row r="223" spans="1:10">
      <c r="A223" s="167">
        <f t="shared" si="6"/>
        <v>2011.1</v>
      </c>
      <c r="B223" s="215">
        <v>15725</v>
      </c>
      <c r="C223" s="3538">
        <v>30981</v>
      </c>
      <c r="D223" s="1946">
        <f t="shared" si="7"/>
        <v>46706</v>
      </c>
      <c r="E223" s="223">
        <v>5913</v>
      </c>
      <c r="F223" s="3538">
        <v>20656</v>
      </c>
      <c r="G223" s="160">
        <f t="shared" si="8"/>
        <v>26569</v>
      </c>
      <c r="H223" s="223">
        <v>36931</v>
      </c>
      <c r="I223" s="3538">
        <v>75484</v>
      </c>
      <c r="J223" s="2365">
        <f t="shared" si="9"/>
        <v>112415</v>
      </c>
    </row>
    <row r="224" spans="1:10">
      <c r="A224" s="167">
        <f t="shared" si="6"/>
        <v>2011.11</v>
      </c>
      <c r="B224" s="215">
        <v>15188</v>
      </c>
      <c r="C224" s="3538">
        <v>30837</v>
      </c>
      <c r="D224" s="1946">
        <f t="shared" si="7"/>
        <v>46025</v>
      </c>
      <c r="E224" s="223">
        <v>5472</v>
      </c>
      <c r="F224" s="3538">
        <v>20707</v>
      </c>
      <c r="G224" s="160">
        <f t="shared" si="8"/>
        <v>26179</v>
      </c>
      <c r="H224" s="223">
        <v>35259</v>
      </c>
      <c r="I224" s="3538">
        <v>74986</v>
      </c>
      <c r="J224" s="2365">
        <f t="shared" si="9"/>
        <v>110245</v>
      </c>
    </row>
    <row r="225" spans="1:10">
      <c r="A225" s="167">
        <f t="shared" si="6"/>
        <v>2011.12</v>
      </c>
      <c r="B225" s="215">
        <v>14761</v>
      </c>
      <c r="C225" s="3538">
        <v>30271</v>
      </c>
      <c r="D225" s="1946">
        <f t="shared" si="7"/>
        <v>45032</v>
      </c>
      <c r="E225" s="223">
        <v>6919</v>
      </c>
      <c r="F225" s="3538">
        <v>22000</v>
      </c>
      <c r="G225" s="160">
        <f t="shared" si="8"/>
        <v>28919</v>
      </c>
      <c r="H225" s="223">
        <v>34828</v>
      </c>
      <c r="I225" s="3538">
        <v>74174</v>
      </c>
      <c r="J225" s="2365">
        <f t="shared" si="9"/>
        <v>109002</v>
      </c>
    </row>
    <row r="226" spans="1:10">
      <c r="A226" s="167">
        <f t="shared" si="6"/>
        <v>2012.01</v>
      </c>
      <c r="B226" s="215">
        <v>14780</v>
      </c>
      <c r="C226" s="3538">
        <v>29453</v>
      </c>
      <c r="D226" s="1946">
        <f t="shared" ref="D226:D273" si="10">B226+C226</f>
        <v>44233</v>
      </c>
      <c r="E226" s="223">
        <v>5449</v>
      </c>
      <c r="F226" s="3538">
        <v>19724</v>
      </c>
      <c r="G226" s="160">
        <f t="shared" si="8"/>
        <v>25173</v>
      </c>
      <c r="H226" s="223">
        <v>33795</v>
      </c>
      <c r="I226" s="3538">
        <v>72546</v>
      </c>
      <c r="J226" s="2365">
        <f t="shared" ref="J226:J273" si="11">H226+I226</f>
        <v>106341</v>
      </c>
    </row>
    <row r="227" spans="1:10">
      <c r="A227" s="167">
        <f t="shared" si="6"/>
        <v>2012.02</v>
      </c>
      <c r="B227" s="215">
        <v>15052</v>
      </c>
      <c r="C227" s="3538">
        <v>30603</v>
      </c>
      <c r="D227" s="1946">
        <f t="shared" si="10"/>
        <v>45655</v>
      </c>
      <c r="E227" s="223">
        <v>6264</v>
      </c>
      <c r="F227" s="3538">
        <v>21160</v>
      </c>
      <c r="G227" s="160">
        <f t="shared" si="8"/>
        <v>27424</v>
      </c>
      <c r="H227" s="223">
        <v>34918</v>
      </c>
      <c r="I227" s="3538">
        <v>76015</v>
      </c>
      <c r="J227" s="2365">
        <f t="shared" si="11"/>
        <v>110933</v>
      </c>
    </row>
    <row r="228" spans="1:10">
      <c r="A228" s="167">
        <f t="shared" si="6"/>
        <v>2012.03</v>
      </c>
      <c r="B228" s="215">
        <v>14973</v>
      </c>
      <c r="C228" s="3538">
        <v>29891</v>
      </c>
      <c r="D228" s="1946">
        <f t="shared" si="10"/>
        <v>44864</v>
      </c>
      <c r="E228" s="223">
        <v>6365</v>
      </c>
      <c r="F228" s="3538">
        <v>21390</v>
      </c>
      <c r="G228" s="160">
        <f t="shared" si="8"/>
        <v>27755</v>
      </c>
      <c r="H228" s="223">
        <v>35372</v>
      </c>
      <c r="I228" s="3538">
        <v>78192</v>
      </c>
      <c r="J228" s="2365">
        <f t="shared" si="11"/>
        <v>113564</v>
      </c>
    </row>
    <row r="229" spans="1:10">
      <c r="A229" s="167">
        <f t="shared" si="6"/>
        <v>2012.04</v>
      </c>
      <c r="B229" s="215">
        <v>15850</v>
      </c>
      <c r="C229" s="3538">
        <v>30984</v>
      </c>
      <c r="D229" s="1946">
        <f t="shared" si="10"/>
        <v>46834</v>
      </c>
      <c r="E229" s="223">
        <v>6666</v>
      </c>
      <c r="F229" s="3538">
        <v>20798</v>
      </c>
      <c r="G229" s="160">
        <f t="shared" si="8"/>
        <v>27464</v>
      </c>
      <c r="H229" s="223">
        <v>37163</v>
      </c>
      <c r="I229" s="3538">
        <v>75947</v>
      </c>
      <c r="J229" s="2365">
        <f t="shared" si="11"/>
        <v>113110</v>
      </c>
    </row>
    <row r="230" spans="1:10">
      <c r="A230" s="167">
        <f t="shared" si="6"/>
        <v>2012.05</v>
      </c>
      <c r="B230" s="215">
        <v>15011</v>
      </c>
      <c r="C230" s="3538">
        <v>30940</v>
      </c>
      <c r="D230" s="1946">
        <f t="shared" si="10"/>
        <v>45951</v>
      </c>
      <c r="E230" s="223">
        <v>6059</v>
      </c>
      <c r="F230" s="3538">
        <v>20961</v>
      </c>
      <c r="G230" s="160">
        <f t="shared" si="8"/>
        <v>27020</v>
      </c>
      <c r="H230" s="223">
        <v>35310</v>
      </c>
      <c r="I230" s="3538">
        <v>75570</v>
      </c>
      <c r="J230" s="2365">
        <f t="shared" si="11"/>
        <v>110880</v>
      </c>
    </row>
    <row r="231" spans="1:10">
      <c r="A231" s="167">
        <f t="shared" si="6"/>
        <v>2012.06</v>
      </c>
      <c r="B231" s="215">
        <v>15080</v>
      </c>
      <c r="C231" s="3538">
        <v>29934</v>
      </c>
      <c r="D231" s="1946">
        <f t="shared" si="10"/>
        <v>45014</v>
      </c>
      <c r="E231" s="223">
        <v>5564</v>
      </c>
      <c r="F231" s="3538">
        <v>20073</v>
      </c>
      <c r="G231" s="160">
        <f t="shared" si="8"/>
        <v>25637</v>
      </c>
      <c r="H231" s="223">
        <v>34411</v>
      </c>
      <c r="I231" s="3538">
        <v>73383</v>
      </c>
      <c r="J231" s="2365">
        <f t="shared" si="11"/>
        <v>107794</v>
      </c>
    </row>
    <row r="232" spans="1:10">
      <c r="A232" s="167">
        <f t="shared" si="6"/>
        <v>2012.07</v>
      </c>
      <c r="B232" s="215">
        <v>15414</v>
      </c>
      <c r="C232" s="3538">
        <v>30583</v>
      </c>
      <c r="D232" s="1946">
        <f t="shared" si="10"/>
        <v>45997</v>
      </c>
      <c r="E232" s="223">
        <v>5903</v>
      </c>
      <c r="F232" s="3538">
        <v>20309</v>
      </c>
      <c r="G232" s="160">
        <f t="shared" si="8"/>
        <v>26212</v>
      </c>
      <c r="H232" s="223">
        <v>35505</v>
      </c>
      <c r="I232" s="3538">
        <v>73629</v>
      </c>
      <c r="J232" s="2365">
        <f t="shared" si="11"/>
        <v>109134</v>
      </c>
    </row>
    <row r="233" spans="1:10">
      <c r="A233" s="167">
        <f t="shared" si="6"/>
        <v>2012.08</v>
      </c>
      <c r="B233" s="215">
        <v>14662</v>
      </c>
      <c r="C233" s="3538">
        <v>30884</v>
      </c>
      <c r="D233" s="1946">
        <f t="shared" si="10"/>
        <v>45546</v>
      </c>
      <c r="E233" s="223">
        <v>5364</v>
      </c>
      <c r="F233" s="3538">
        <v>20014</v>
      </c>
      <c r="G233" s="160">
        <f t="shared" si="8"/>
        <v>25378</v>
      </c>
      <c r="H233" s="223">
        <v>33024</v>
      </c>
      <c r="I233" s="3538">
        <v>73323</v>
      </c>
      <c r="J233" s="2365">
        <f t="shared" si="11"/>
        <v>106347</v>
      </c>
    </row>
    <row r="234" spans="1:10">
      <c r="A234" s="167">
        <f t="shared" si="6"/>
        <v>2012.09</v>
      </c>
      <c r="B234" s="215">
        <v>15258</v>
      </c>
      <c r="C234" s="3538">
        <v>30108</v>
      </c>
      <c r="D234" s="1946">
        <f t="shared" si="10"/>
        <v>45366</v>
      </c>
      <c r="E234" s="223">
        <v>5663</v>
      </c>
      <c r="F234" s="3538">
        <v>20155</v>
      </c>
      <c r="G234" s="160">
        <f t="shared" si="8"/>
        <v>25818</v>
      </c>
      <c r="H234" s="223">
        <v>35483</v>
      </c>
      <c r="I234" s="3538">
        <v>72810</v>
      </c>
      <c r="J234" s="2365">
        <f t="shared" si="11"/>
        <v>108293</v>
      </c>
    </row>
    <row r="235" spans="1:10">
      <c r="A235" s="167">
        <f t="shared" si="6"/>
        <v>2012.1</v>
      </c>
      <c r="B235" s="215">
        <v>14381</v>
      </c>
      <c r="C235" s="3538">
        <v>29507</v>
      </c>
      <c r="D235" s="1946">
        <f t="shared" si="10"/>
        <v>43888</v>
      </c>
      <c r="E235" s="223">
        <v>5013</v>
      </c>
      <c r="F235" s="3538">
        <v>20179</v>
      </c>
      <c r="G235" s="160">
        <f t="shared" si="8"/>
        <v>25192</v>
      </c>
      <c r="H235" s="223">
        <v>33214</v>
      </c>
      <c r="I235" s="3538">
        <v>70342</v>
      </c>
      <c r="J235" s="2365">
        <f t="shared" si="11"/>
        <v>103556</v>
      </c>
    </row>
    <row r="236" spans="1:10">
      <c r="A236" s="167">
        <f t="shared" si="6"/>
        <v>2012.11</v>
      </c>
      <c r="B236" s="215">
        <v>14294</v>
      </c>
      <c r="C236" s="3538">
        <v>28478</v>
      </c>
      <c r="D236" s="1946">
        <f t="shared" si="10"/>
        <v>42772</v>
      </c>
      <c r="E236" s="223">
        <v>4757</v>
      </c>
      <c r="F236" s="3538">
        <v>17368</v>
      </c>
      <c r="G236" s="160">
        <f t="shared" si="8"/>
        <v>22125</v>
      </c>
      <c r="H236" s="223">
        <v>34516</v>
      </c>
      <c r="I236" s="3538">
        <v>74143</v>
      </c>
      <c r="J236" s="2365">
        <f t="shared" si="11"/>
        <v>108659</v>
      </c>
    </row>
    <row r="237" spans="1:10">
      <c r="A237" s="167">
        <f t="shared" si="6"/>
        <v>2012.12</v>
      </c>
      <c r="B237" s="215">
        <v>14909</v>
      </c>
      <c r="C237" s="3538">
        <v>28738</v>
      </c>
      <c r="D237" s="1946">
        <f t="shared" si="10"/>
        <v>43647</v>
      </c>
      <c r="E237" s="223">
        <v>4122</v>
      </c>
      <c r="F237" s="3538">
        <v>12207</v>
      </c>
      <c r="G237" s="160">
        <f t="shared" si="8"/>
        <v>16329</v>
      </c>
      <c r="H237" s="223">
        <v>33516</v>
      </c>
      <c r="I237" s="3538">
        <v>66991</v>
      </c>
      <c r="J237" s="2365">
        <f t="shared" si="11"/>
        <v>100507</v>
      </c>
    </row>
    <row r="238" spans="1:10">
      <c r="A238" s="167">
        <f t="shared" si="6"/>
        <v>2013.01</v>
      </c>
      <c r="B238" s="215">
        <v>13699</v>
      </c>
      <c r="C238" s="3538">
        <v>28307</v>
      </c>
      <c r="D238" s="1946">
        <f t="shared" si="10"/>
        <v>42006</v>
      </c>
      <c r="E238" s="223">
        <v>3067</v>
      </c>
      <c r="F238" s="3538">
        <v>10674</v>
      </c>
      <c r="G238" s="160">
        <f t="shared" si="8"/>
        <v>13741</v>
      </c>
      <c r="H238" s="223">
        <v>31154</v>
      </c>
      <c r="I238" s="3538">
        <v>67274</v>
      </c>
      <c r="J238" s="2365">
        <f t="shared" si="11"/>
        <v>98428</v>
      </c>
    </row>
    <row r="239" spans="1:10">
      <c r="A239" s="167">
        <f t="shared" si="6"/>
        <v>2013.02</v>
      </c>
      <c r="B239" s="215">
        <v>14128</v>
      </c>
      <c r="C239" s="3538">
        <v>28798</v>
      </c>
      <c r="D239" s="1946">
        <f t="shared" si="10"/>
        <v>42926</v>
      </c>
      <c r="E239" s="223">
        <v>2980</v>
      </c>
      <c r="F239" s="3538">
        <v>9063</v>
      </c>
      <c r="G239" s="160">
        <f t="shared" si="8"/>
        <v>12043</v>
      </c>
      <c r="H239" s="223">
        <v>32551</v>
      </c>
      <c r="I239" s="3538">
        <v>69358</v>
      </c>
      <c r="J239" s="2365">
        <f t="shared" si="11"/>
        <v>101909</v>
      </c>
    </row>
    <row r="240" spans="1:10">
      <c r="A240" s="167">
        <f t="shared" si="6"/>
        <v>2013.03</v>
      </c>
      <c r="B240" s="215">
        <v>14878</v>
      </c>
      <c r="C240" s="3538">
        <v>29232</v>
      </c>
      <c r="D240" s="1946">
        <f t="shared" si="10"/>
        <v>44110</v>
      </c>
      <c r="E240" s="223">
        <v>3443</v>
      </c>
      <c r="F240" s="3538">
        <v>8551</v>
      </c>
      <c r="G240" s="160">
        <f t="shared" si="8"/>
        <v>11994</v>
      </c>
      <c r="H240" s="223">
        <v>34327</v>
      </c>
      <c r="I240" s="3538">
        <v>69979</v>
      </c>
      <c r="J240" s="2365">
        <f t="shared" si="11"/>
        <v>104306</v>
      </c>
    </row>
    <row r="241" spans="1:10">
      <c r="A241" s="167">
        <f t="shared" si="6"/>
        <v>2013.04</v>
      </c>
      <c r="B241" s="215">
        <v>14106</v>
      </c>
      <c r="C241" s="3538">
        <v>28992</v>
      </c>
      <c r="D241" s="1946">
        <f t="shared" si="10"/>
        <v>43098</v>
      </c>
      <c r="E241" s="223">
        <v>3289</v>
      </c>
      <c r="F241" s="3538">
        <v>8612</v>
      </c>
      <c r="G241" s="160">
        <f t="shared" si="8"/>
        <v>11901</v>
      </c>
      <c r="H241" s="223">
        <v>32252</v>
      </c>
      <c r="I241" s="3538">
        <v>69486</v>
      </c>
      <c r="J241" s="2365">
        <f t="shared" si="11"/>
        <v>101738</v>
      </c>
    </row>
    <row r="242" spans="1:10">
      <c r="A242" s="167">
        <f t="shared" ref="A242:A305" si="12">A230+1</f>
        <v>2013.05</v>
      </c>
      <c r="B242" s="215">
        <v>13899</v>
      </c>
      <c r="C242" s="3538">
        <v>28395</v>
      </c>
      <c r="D242" s="1946">
        <f t="shared" si="10"/>
        <v>42294</v>
      </c>
      <c r="E242" s="223">
        <v>3589</v>
      </c>
      <c r="F242" s="3538">
        <v>8810</v>
      </c>
      <c r="G242" s="160">
        <f t="shared" si="8"/>
        <v>12399</v>
      </c>
      <c r="H242" s="223">
        <v>32812</v>
      </c>
      <c r="I242" s="3538">
        <v>68152</v>
      </c>
      <c r="J242" s="2365">
        <f t="shared" si="11"/>
        <v>100964</v>
      </c>
    </row>
    <row r="243" spans="1:10">
      <c r="A243" s="167">
        <f t="shared" si="12"/>
        <v>2013.06</v>
      </c>
      <c r="B243" s="215">
        <v>14518</v>
      </c>
      <c r="C243" s="3538">
        <v>28243</v>
      </c>
      <c r="D243" s="1946">
        <f t="shared" si="10"/>
        <v>42761</v>
      </c>
      <c r="E243" s="223">
        <v>3801</v>
      </c>
      <c r="F243" s="3538">
        <v>9196</v>
      </c>
      <c r="G243" s="160">
        <f t="shared" si="8"/>
        <v>12997</v>
      </c>
      <c r="H243" s="223">
        <v>34885</v>
      </c>
      <c r="I243" s="3538">
        <v>67418</v>
      </c>
      <c r="J243" s="2365">
        <f t="shared" si="11"/>
        <v>102303</v>
      </c>
    </row>
    <row r="244" spans="1:10">
      <c r="A244" s="167">
        <f t="shared" si="12"/>
        <v>2013.07</v>
      </c>
      <c r="B244" s="215">
        <v>14012</v>
      </c>
      <c r="C244" s="3538">
        <v>27863</v>
      </c>
      <c r="D244" s="1946">
        <f t="shared" si="10"/>
        <v>41875</v>
      </c>
      <c r="E244" s="223">
        <v>3540</v>
      </c>
      <c r="F244" s="3538">
        <v>9052</v>
      </c>
      <c r="G244" s="160">
        <f t="shared" si="8"/>
        <v>12592</v>
      </c>
      <c r="H244" s="223">
        <v>31373</v>
      </c>
      <c r="I244" s="3538">
        <v>65717</v>
      </c>
      <c r="J244" s="2365">
        <f t="shared" si="11"/>
        <v>97090</v>
      </c>
    </row>
    <row r="245" spans="1:10">
      <c r="A245" s="167">
        <f t="shared" si="12"/>
        <v>2013.08</v>
      </c>
      <c r="B245" s="215">
        <v>14033</v>
      </c>
      <c r="C245" s="3538">
        <v>27124</v>
      </c>
      <c r="D245" s="1946">
        <f t="shared" si="10"/>
        <v>41157</v>
      </c>
      <c r="E245" s="223">
        <v>3622</v>
      </c>
      <c r="F245" s="3538">
        <v>8988</v>
      </c>
      <c r="G245" s="160">
        <f t="shared" si="8"/>
        <v>12610</v>
      </c>
      <c r="H245" s="223">
        <v>34319</v>
      </c>
      <c r="I245" s="3538">
        <v>68748</v>
      </c>
      <c r="J245" s="2365">
        <f t="shared" si="11"/>
        <v>103067</v>
      </c>
    </row>
    <row r="246" spans="1:10">
      <c r="A246" s="167">
        <f t="shared" si="12"/>
        <v>2013.09</v>
      </c>
      <c r="B246" s="215">
        <v>14232</v>
      </c>
      <c r="C246" s="3538">
        <v>26689</v>
      </c>
      <c r="D246" s="1946">
        <f t="shared" si="10"/>
        <v>40921</v>
      </c>
      <c r="E246" s="223">
        <v>3839</v>
      </c>
      <c r="F246" s="3538">
        <v>8870</v>
      </c>
      <c r="G246" s="160">
        <f t="shared" si="8"/>
        <v>12709</v>
      </c>
      <c r="H246" s="223">
        <v>32990</v>
      </c>
      <c r="I246" s="3538">
        <v>65772</v>
      </c>
      <c r="J246" s="2365">
        <f t="shared" si="11"/>
        <v>98762</v>
      </c>
    </row>
    <row r="247" spans="1:10">
      <c r="A247" s="167">
        <f t="shared" si="12"/>
        <v>2013.1</v>
      </c>
      <c r="B247" s="215">
        <v>13312</v>
      </c>
      <c r="C247" s="3538">
        <v>26074</v>
      </c>
      <c r="D247" s="1946">
        <f t="shared" si="10"/>
        <v>39386</v>
      </c>
      <c r="E247" s="223">
        <v>4004</v>
      </c>
      <c r="F247" s="3538">
        <v>8911</v>
      </c>
      <c r="G247" s="160">
        <f t="shared" si="8"/>
        <v>12915</v>
      </c>
      <c r="H247" s="223">
        <v>31245</v>
      </c>
      <c r="I247" s="3538">
        <v>64016</v>
      </c>
      <c r="J247" s="2365">
        <f t="shared" si="11"/>
        <v>95261</v>
      </c>
    </row>
    <row r="248" spans="1:10">
      <c r="A248" s="167">
        <f t="shared" si="12"/>
        <v>2013.11</v>
      </c>
      <c r="B248" s="215">
        <v>13427</v>
      </c>
      <c r="C248" s="3538">
        <v>25557</v>
      </c>
      <c r="D248" s="1946">
        <f t="shared" si="10"/>
        <v>38984</v>
      </c>
      <c r="E248" s="223">
        <v>3963</v>
      </c>
      <c r="F248" s="3538">
        <v>8909</v>
      </c>
      <c r="G248" s="160">
        <f t="shared" si="8"/>
        <v>12872</v>
      </c>
      <c r="H248" s="223">
        <v>31032</v>
      </c>
      <c r="I248" s="3538">
        <v>64336</v>
      </c>
      <c r="J248" s="2365">
        <f t="shared" si="11"/>
        <v>95368</v>
      </c>
    </row>
    <row r="249" spans="1:10">
      <c r="A249" s="167">
        <f t="shared" si="12"/>
        <v>2013.12</v>
      </c>
      <c r="B249" s="215">
        <v>13588</v>
      </c>
      <c r="C249" s="3538">
        <v>24850</v>
      </c>
      <c r="D249" s="1946">
        <f t="shared" si="10"/>
        <v>38438</v>
      </c>
      <c r="E249" s="223">
        <v>4010</v>
      </c>
      <c r="F249" s="3538">
        <v>8613</v>
      </c>
      <c r="G249" s="160">
        <f t="shared" si="8"/>
        <v>12623</v>
      </c>
      <c r="H249" s="223">
        <v>31137</v>
      </c>
      <c r="I249" s="3538">
        <v>61831</v>
      </c>
      <c r="J249" s="2365">
        <f t="shared" si="11"/>
        <v>92968</v>
      </c>
    </row>
    <row r="250" spans="1:10">
      <c r="A250" s="167">
        <f t="shared" si="12"/>
        <v>2014.01</v>
      </c>
      <c r="B250" s="215">
        <v>12573</v>
      </c>
      <c r="C250" s="3538">
        <v>24834</v>
      </c>
      <c r="D250" s="1946">
        <f t="shared" si="10"/>
        <v>37407</v>
      </c>
      <c r="E250" s="223">
        <v>3745</v>
      </c>
      <c r="F250" s="3538">
        <v>8885</v>
      </c>
      <c r="G250" s="160">
        <f t="shared" si="8"/>
        <v>12630</v>
      </c>
      <c r="H250" s="223">
        <v>29179</v>
      </c>
      <c r="I250" s="3538">
        <v>61639</v>
      </c>
      <c r="J250" s="2365">
        <f t="shared" si="11"/>
        <v>90818</v>
      </c>
    </row>
    <row r="251" spans="1:10">
      <c r="A251" s="167">
        <f t="shared" si="12"/>
        <v>2014.02</v>
      </c>
      <c r="B251" s="215">
        <v>13245</v>
      </c>
      <c r="C251" s="3538">
        <v>25689</v>
      </c>
      <c r="D251" s="1946">
        <f t="shared" si="10"/>
        <v>38934</v>
      </c>
      <c r="E251" s="223">
        <v>4003</v>
      </c>
      <c r="F251" s="3538">
        <v>8933</v>
      </c>
      <c r="G251" s="160">
        <f t="shared" si="8"/>
        <v>12936</v>
      </c>
      <c r="H251" s="223">
        <v>30284</v>
      </c>
      <c r="I251" s="3538">
        <v>62124</v>
      </c>
      <c r="J251" s="2365">
        <f t="shared" si="11"/>
        <v>92408</v>
      </c>
    </row>
    <row r="252" spans="1:10">
      <c r="A252" s="167">
        <f t="shared" si="12"/>
        <v>2014.03</v>
      </c>
      <c r="B252" s="215">
        <v>13545</v>
      </c>
      <c r="C252" s="3538">
        <v>25467</v>
      </c>
      <c r="D252" s="1946">
        <f t="shared" si="10"/>
        <v>39012</v>
      </c>
      <c r="E252" s="223">
        <v>4019</v>
      </c>
      <c r="F252" s="3538">
        <v>8835</v>
      </c>
      <c r="G252" s="160">
        <f t="shared" si="8"/>
        <v>12854</v>
      </c>
      <c r="H252" s="223">
        <v>31599</v>
      </c>
      <c r="I252" s="3538">
        <v>63494</v>
      </c>
      <c r="J252" s="2365">
        <f t="shared" si="11"/>
        <v>95093</v>
      </c>
    </row>
    <row r="253" spans="1:10">
      <c r="A253" s="167">
        <f t="shared" si="12"/>
        <v>2014.04</v>
      </c>
      <c r="B253" s="215">
        <v>13024</v>
      </c>
      <c r="C253" s="3538">
        <v>25087</v>
      </c>
      <c r="D253" s="1946">
        <f t="shared" si="10"/>
        <v>38111</v>
      </c>
      <c r="E253" s="223">
        <v>4003</v>
      </c>
      <c r="F253" s="3538">
        <v>8902</v>
      </c>
      <c r="G253" s="160">
        <f t="shared" si="8"/>
        <v>12905</v>
      </c>
      <c r="H253" s="223">
        <v>31719</v>
      </c>
      <c r="I253" s="3538">
        <v>62817</v>
      </c>
      <c r="J253" s="2365">
        <f t="shared" si="11"/>
        <v>94536</v>
      </c>
    </row>
    <row r="254" spans="1:10">
      <c r="A254" s="167">
        <f t="shared" si="12"/>
        <v>2014.05</v>
      </c>
      <c r="B254" s="215">
        <v>12925</v>
      </c>
      <c r="C254" s="3538">
        <v>25003</v>
      </c>
      <c r="D254" s="1946">
        <f t="shared" si="10"/>
        <v>37928</v>
      </c>
      <c r="E254" s="223">
        <v>4001</v>
      </c>
      <c r="F254" s="3538">
        <v>8904</v>
      </c>
      <c r="G254" s="160">
        <f t="shared" si="8"/>
        <v>12905</v>
      </c>
      <c r="H254" s="223">
        <v>31351</v>
      </c>
      <c r="I254" s="3538">
        <v>61796</v>
      </c>
      <c r="J254" s="2365">
        <f t="shared" si="11"/>
        <v>93147</v>
      </c>
    </row>
    <row r="255" spans="1:10">
      <c r="A255" s="167">
        <f t="shared" si="12"/>
        <v>2014.06</v>
      </c>
      <c r="B255" s="215">
        <v>13156</v>
      </c>
      <c r="C255" s="3538">
        <v>24305</v>
      </c>
      <c r="D255" s="1946">
        <f>B255+C255</f>
        <v>37461</v>
      </c>
      <c r="E255" s="223">
        <v>4083</v>
      </c>
      <c r="F255" s="3538">
        <v>8648</v>
      </c>
      <c r="G255" s="160">
        <f>E255+F255</f>
        <v>12731</v>
      </c>
      <c r="H255" s="223">
        <v>32410</v>
      </c>
      <c r="I255" s="3538">
        <v>60054</v>
      </c>
      <c r="J255" s="2365">
        <f t="shared" si="11"/>
        <v>92464</v>
      </c>
    </row>
    <row r="256" spans="1:10">
      <c r="A256" s="167">
        <f t="shared" si="12"/>
        <v>2014.07</v>
      </c>
      <c r="B256" s="215">
        <v>12409</v>
      </c>
      <c r="C256" s="3538">
        <v>23753</v>
      </c>
      <c r="D256" s="1946">
        <f t="shared" si="10"/>
        <v>36162</v>
      </c>
      <c r="E256" s="223">
        <v>3962</v>
      </c>
      <c r="F256" s="3538">
        <v>8622</v>
      </c>
      <c r="G256" s="160">
        <f t="shared" si="8"/>
        <v>12584</v>
      </c>
      <c r="H256" s="223">
        <v>29759</v>
      </c>
      <c r="I256" s="3538">
        <v>59137</v>
      </c>
      <c r="J256" s="2365">
        <f t="shared" si="11"/>
        <v>88896</v>
      </c>
    </row>
    <row r="257" spans="1:10">
      <c r="A257" s="167">
        <f t="shared" si="12"/>
        <v>2014.08</v>
      </c>
      <c r="B257" s="215">
        <v>13416</v>
      </c>
      <c r="C257" s="3538">
        <v>25383</v>
      </c>
      <c r="D257" s="1946">
        <f t="shared" si="10"/>
        <v>38799</v>
      </c>
      <c r="E257" s="223">
        <v>4002</v>
      </c>
      <c r="F257" s="3538">
        <v>8608</v>
      </c>
      <c r="G257" s="160">
        <f t="shared" si="8"/>
        <v>12610</v>
      </c>
      <c r="H257" s="223">
        <v>31487</v>
      </c>
      <c r="I257" s="3538">
        <v>59663</v>
      </c>
      <c r="J257" s="2365">
        <f t="shared" si="11"/>
        <v>91150</v>
      </c>
    </row>
    <row r="258" spans="1:10">
      <c r="A258" s="167">
        <f t="shared" si="12"/>
        <v>2014.09</v>
      </c>
      <c r="B258" s="215">
        <v>12814</v>
      </c>
      <c r="C258" s="3538">
        <v>24617</v>
      </c>
      <c r="D258" s="1946">
        <f t="shared" si="10"/>
        <v>37431</v>
      </c>
      <c r="E258" s="223">
        <v>3883</v>
      </c>
      <c r="F258" s="3538">
        <v>8658</v>
      </c>
      <c r="G258" s="160">
        <f t="shared" si="8"/>
        <v>12541</v>
      </c>
      <c r="H258" s="223">
        <v>29825</v>
      </c>
      <c r="I258" s="3538">
        <v>58681</v>
      </c>
      <c r="J258" s="2365">
        <f t="shared" si="11"/>
        <v>88506</v>
      </c>
    </row>
    <row r="259" spans="1:10">
      <c r="A259" s="167">
        <f t="shared" si="12"/>
        <v>2014.1</v>
      </c>
      <c r="B259" s="215">
        <v>12345</v>
      </c>
      <c r="C259" s="3538">
        <v>23778</v>
      </c>
      <c r="D259" s="1946">
        <f t="shared" si="10"/>
        <v>36123</v>
      </c>
      <c r="E259" s="223">
        <v>3946</v>
      </c>
      <c r="F259" s="3538">
        <v>8654</v>
      </c>
      <c r="G259" s="160">
        <f t="shared" si="8"/>
        <v>12600</v>
      </c>
      <c r="H259" s="223">
        <v>28668</v>
      </c>
      <c r="I259" s="3538">
        <v>56356</v>
      </c>
      <c r="J259" s="2365">
        <f t="shared" si="11"/>
        <v>85024</v>
      </c>
    </row>
    <row r="260" spans="1:10">
      <c r="A260" s="167">
        <f t="shared" si="12"/>
        <v>2014.11</v>
      </c>
      <c r="B260" s="215">
        <v>13603</v>
      </c>
      <c r="C260" s="3538">
        <v>24363</v>
      </c>
      <c r="D260" s="1946">
        <f t="shared" si="10"/>
        <v>37966</v>
      </c>
      <c r="E260" s="223">
        <v>3986</v>
      </c>
      <c r="F260" s="3538">
        <v>8318</v>
      </c>
      <c r="G260" s="160">
        <f t="shared" si="8"/>
        <v>12304</v>
      </c>
      <c r="H260" s="223">
        <v>30506</v>
      </c>
      <c r="I260" s="3538">
        <v>55770</v>
      </c>
      <c r="J260" s="2365">
        <f t="shared" si="11"/>
        <v>86276</v>
      </c>
    </row>
    <row r="261" spans="1:10">
      <c r="A261" s="167">
        <f t="shared" si="12"/>
        <v>2014.12</v>
      </c>
      <c r="B261" s="215">
        <v>12852</v>
      </c>
      <c r="C261" s="3538">
        <v>23171</v>
      </c>
      <c r="D261" s="1946">
        <f t="shared" si="10"/>
        <v>36023</v>
      </c>
      <c r="E261" s="223">
        <v>3605</v>
      </c>
      <c r="F261" s="3538">
        <v>7928</v>
      </c>
      <c r="G261" s="160">
        <f t="shared" si="8"/>
        <v>11533</v>
      </c>
      <c r="H261" s="223">
        <v>28613</v>
      </c>
      <c r="I261" s="3538">
        <v>54791</v>
      </c>
      <c r="J261" s="2365">
        <f t="shared" si="11"/>
        <v>83404</v>
      </c>
    </row>
    <row r="262" spans="1:10">
      <c r="A262" s="167">
        <f t="shared" si="12"/>
        <v>2015.01</v>
      </c>
      <c r="B262" s="215">
        <v>11517</v>
      </c>
      <c r="C262" s="3538">
        <v>21990</v>
      </c>
      <c r="D262" s="1946">
        <f t="shared" si="10"/>
        <v>33507</v>
      </c>
      <c r="E262" s="223">
        <v>2951</v>
      </c>
      <c r="F262" s="3538">
        <v>7337</v>
      </c>
      <c r="G262" s="160">
        <f t="shared" si="8"/>
        <v>10288</v>
      </c>
      <c r="H262" s="223">
        <v>27426</v>
      </c>
      <c r="I262" s="3538">
        <v>54967</v>
      </c>
      <c r="J262" s="2365">
        <f t="shared" si="11"/>
        <v>82393</v>
      </c>
    </row>
    <row r="263" spans="1:10">
      <c r="A263" s="167">
        <f t="shared" si="12"/>
        <v>2015.02</v>
      </c>
      <c r="B263" s="215">
        <v>12045</v>
      </c>
      <c r="C263" s="3538">
        <v>21943</v>
      </c>
      <c r="D263" s="1946">
        <f t="shared" si="10"/>
        <v>33988</v>
      </c>
      <c r="E263" s="223">
        <v>3305</v>
      </c>
      <c r="F263" s="3538">
        <v>7337</v>
      </c>
      <c r="G263" s="160">
        <f t="shared" si="8"/>
        <v>10642</v>
      </c>
      <c r="H263" s="223">
        <v>28685</v>
      </c>
      <c r="I263" s="3538">
        <v>55877</v>
      </c>
      <c r="J263" s="2365">
        <f t="shared" si="11"/>
        <v>84562</v>
      </c>
    </row>
    <row r="264" spans="1:10">
      <c r="A264" s="167">
        <f t="shared" si="12"/>
        <v>2015.03</v>
      </c>
      <c r="B264" s="215">
        <v>12152</v>
      </c>
      <c r="C264" s="3538">
        <v>21952</v>
      </c>
      <c r="D264" s="1946">
        <f t="shared" si="10"/>
        <v>34104</v>
      </c>
      <c r="E264" s="223">
        <v>3360</v>
      </c>
      <c r="F264" s="3538">
        <v>7558</v>
      </c>
      <c r="G264" s="160">
        <f t="shared" si="8"/>
        <v>10918</v>
      </c>
      <c r="H264" s="223">
        <v>29971</v>
      </c>
      <c r="I264" s="3538">
        <v>58968</v>
      </c>
      <c r="J264" s="2365">
        <f t="shared" si="11"/>
        <v>88939</v>
      </c>
    </row>
    <row r="265" spans="1:10">
      <c r="A265" s="167">
        <f t="shared" si="12"/>
        <v>2015.04</v>
      </c>
      <c r="B265" s="215">
        <v>11859</v>
      </c>
      <c r="C265" s="3538">
        <v>21944</v>
      </c>
      <c r="D265" s="1946">
        <f t="shared" si="10"/>
        <v>33803</v>
      </c>
      <c r="E265" s="223">
        <v>3292</v>
      </c>
      <c r="F265" s="3538">
        <v>7324</v>
      </c>
      <c r="G265" s="160">
        <f t="shared" si="8"/>
        <v>10616</v>
      </c>
      <c r="H265" s="223">
        <v>29401</v>
      </c>
      <c r="I265" s="3538">
        <v>57742</v>
      </c>
      <c r="J265" s="2365">
        <f t="shared" si="11"/>
        <v>87143</v>
      </c>
    </row>
    <row r="266" spans="1:10">
      <c r="A266" s="167">
        <f t="shared" si="12"/>
        <v>2015.05</v>
      </c>
      <c r="B266" s="215">
        <v>12005</v>
      </c>
      <c r="C266" s="3538">
        <v>21746</v>
      </c>
      <c r="D266" s="1946">
        <f t="shared" si="10"/>
        <v>33751</v>
      </c>
      <c r="E266" s="223">
        <v>3410</v>
      </c>
      <c r="F266" s="3538">
        <v>7529</v>
      </c>
      <c r="G266" s="160">
        <f t="shared" si="8"/>
        <v>10939</v>
      </c>
      <c r="H266" s="223">
        <v>28480</v>
      </c>
      <c r="I266" s="3538">
        <v>55739</v>
      </c>
      <c r="J266" s="2365">
        <f t="shared" si="11"/>
        <v>84219</v>
      </c>
    </row>
    <row r="267" spans="1:10">
      <c r="A267" s="167">
        <f t="shared" si="12"/>
        <v>2015.06</v>
      </c>
      <c r="B267" s="215">
        <v>11938</v>
      </c>
      <c r="C267" s="3538">
        <v>22072</v>
      </c>
      <c r="D267" s="1946">
        <f t="shared" si="10"/>
        <v>34010</v>
      </c>
      <c r="E267" s="223">
        <v>3296</v>
      </c>
      <c r="F267" s="3538">
        <v>7509</v>
      </c>
      <c r="G267" s="160">
        <f t="shared" si="8"/>
        <v>10805</v>
      </c>
      <c r="H267" s="223">
        <v>27592</v>
      </c>
      <c r="I267" s="3538">
        <v>55338</v>
      </c>
      <c r="J267" s="2365">
        <f t="shared" si="11"/>
        <v>82930</v>
      </c>
    </row>
    <row r="268" spans="1:10">
      <c r="A268" s="167">
        <f t="shared" si="12"/>
        <v>2015.07</v>
      </c>
      <c r="B268" s="215">
        <v>11846</v>
      </c>
      <c r="C268" s="3538">
        <v>21861</v>
      </c>
      <c r="D268" s="1946">
        <f t="shared" si="10"/>
        <v>33707</v>
      </c>
      <c r="E268" s="223">
        <v>3206</v>
      </c>
      <c r="F268" s="3538">
        <v>7561</v>
      </c>
      <c r="G268" s="160">
        <f t="shared" ref="G268:G273" si="13">E268+F268</f>
        <v>10767</v>
      </c>
      <c r="H268" s="223">
        <v>27380</v>
      </c>
      <c r="I268" s="3538">
        <v>54159</v>
      </c>
      <c r="J268" s="2365">
        <f t="shared" si="11"/>
        <v>81539</v>
      </c>
    </row>
    <row r="269" spans="1:10">
      <c r="A269" s="167">
        <f t="shared" si="12"/>
        <v>2015.08</v>
      </c>
      <c r="B269" s="215">
        <v>12212</v>
      </c>
      <c r="C269" s="3538">
        <v>20875</v>
      </c>
      <c r="D269" s="1946">
        <f t="shared" si="10"/>
        <v>33087</v>
      </c>
      <c r="E269" s="223">
        <v>3239</v>
      </c>
      <c r="F269" s="3538">
        <v>7277</v>
      </c>
      <c r="G269" s="160">
        <f t="shared" si="13"/>
        <v>10516</v>
      </c>
      <c r="H269" s="223">
        <v>28175</v>
      </c>
      <c r="I269" s="3538">
        <v>53591</v>
      </c>
      <c r="J269" s="2365">
        <f t="shared" si="11"/>
        <v>81766</v>
      </c>
    </row>
    <row r="270" spans="1:10">
      <c r="A270" s="167">
        <f t="shared" si="12"/>
        <v>2015.09</v>
      </c>
      <c r="B270" s="215">
        <v>11651</v>
      </c>
      <c r="C270" s="3538">
        <v>20961</v>
      </c>
      <c r="D270" s="1946">
        <f t="shared" si="10"/>
        <v>32612</v>
      </c>
      <c r="E270" s="223">
        <v>3086</v>
      </c>
      <c r="F270" s="3538">
        <v>7110</v>
      </c>
      <c r="G270" s="160">
        <f t="shared" si="13"/>
        <v>10196</v>
      </c>
      <c r="H270" s="223">
        <v>26795</v>
      </c>
      <c r="I270" s="3538">
        <v>53669</v>
      </c>
      <c r="J270" s="2365">
        <f t="shared" si="11"/>
        <v>80464</v>
      </c>
    </row>
    <row r="271" spans="1:10">
      <c r="A271" s="167">
        <f t="shared" si="12"/>
        <v>2015.1</v>
      </c>
      <c r="B271" s="215">
        <v>11428</v>
      </c>
      <c r="C271" s="3538">
        <v>20416</v>
      </c>
      <c r="D271" s="1946">
        <f t="shared" si="10"/>
        <v>31844</v>
      </c>
      <c r="E271" s="223">
        <v>3027</v>
      </c>
      <c r="F271" s="3538">
        <v>6992</v>
      </c>
      <c r="G271" s="160">
        <f t="shared" si="13"/>
        <v>10019</v>
      </c>
      <c r="H271" s="223">
        <v>25634</v>
      </c>
      <c r="I271" s="3538">
        <v>51205</v>
      </c>
      <c r="J271" s="2365">
        <f t="shared" si="11"/>
        <v>76839</v>
      </c>
    </row>
    <row r="272" spans="1:10">
      <c r="A272" s="167">
        <f t="shared" si="12"/>
        <v>2015.11</v>
      </c>
      <c r="B272" s="215">
        <v>11880</v>
      </c>
      <c r="C272" s="3538">
        <v>20249</v>
      </c>
      <c r="D272" s="1946">
        <f t="shared" si="10"/>
        <v>32129</v>
      </c>
      <c r="E272" s="223">
        <v>3237</v>
      </c>
      <c r="F272" s="3538">
        <v>6911</v>
      </c>
      <c r="G272" s="160">
        <f t="shared" si="13"/>
        <v>10148</v>
      </c>
      <c r="H272" s="223">
        <v>26794</v>
      </c>
      <c r="I272" s="3538">
        <v>50851</v>
      </c>
      <c r="J272" s="2365">
        <f t="shared" si="11"/>
        <v>77645</v>
      </c>
    </row>
    <row r="273" spans="1:10">
      <c r="A273" s="167">
        <f t="shared" si="12"/>
        <v>2015.12</v>
      </c>
      <c r="B273" s="215">
        <v>11224</v>
      </c>
      <c r="C273" s="3538">
        <v>19726</v>
      </c>
      <c r="D273" s="1946">
        <f t="shared" si="10"/>
        <v>30950</v>
      </c>
      <c r="E273" s="223">
        <v>3024</v>
      </c>
      <c r="F273" s="3538">
        <v>6884</v>
      </c>
      <c r="G273" s="160">
        <f t="shared" si="13"/>
        <v>9908</v>
      </c>
      <c r="H273" s="223">
        <v>24933</v>
      </c>
      <c r="I273" s="3538">
        <v>49017</v>
      </c>
      <c r="J273" s="2365">
        <f t="shared" si="11"/>
        <v>73950</v>
      </c>
    </row>
    <row r="274" spans="1:10">
      <c r="A274" s="167">
        <f t="shared" si="12"/>
        <v>2016.01</v>
      </c>
      <c r="B274" s="215">
        <v>10689</v>
      </c>
      <c r="C274" s="3538">
        <v>18720</v>
      </c>
      <c r="D274" s="1946">
        <f t="shared" ref="D274:D287" si="14">B274+C274</f>
        <v>29409</v>
      </c>
      <c r="E274" s="223">
        <v>2787</v>
      </c>
      <c r="F274" s="3538">
        <v>6686</v>
      </c>
      <c r="G274" s="160">
        <f t="shared" ref="G274:G287" si="15">E274+F274</f>
        <v>9473</v>
      </c>
      <c r="H274" s="223">
        <v>24859</v>
      </c>
      <c r="I274" s="3538">
        <v>47972</v>
      </c>
      <c r="J274" s="2365">
        <f t="shared" ref="J274:J287" si="16">H274+I274</f>
        <v>72831</v>
      </c>
    </row>
    <row r="275" spans="1:10">
      <c r="A275" s="167">
        <f t="shared" si="12"/>
        <v>2016.02</v>
      </c>
      <c r="B275" s="215">
        <v>10379</v>
      </c>
      <c r="C275" s="3538">
        <v>18002</v>
      </c>
      <c r="D275" s="1946">
        <f t="shared" si="14"/>
        <v>28381</v>
      </c>
      <c r="E275" s="223">
        <v>2763</v>
      </c>
      <c r="F275" s="3538">
        <v>6538</v>
      </c>
      <c r="G275" s="160">
        <f t="shared" si="15"/>
        <v>9301</v>
      </c>
      <c r="H275" s="223">
        <v>24521</v>
      </c>
      <c r="I275" s="3538">
        <v>47932</v>
      </c>
      <c r="J275" s="2365">
        <f t="shared" si="16"/>
        <v>72453</v>
      </c>
    </row>
    <row r="276" spans="1:10">
      <c r="A276" s="167">
        <f t="shared" si="12"/>
        <v>2016.03</v>
      </c>
      <c r="B276" s="215">
        <v>10463</v>
      </c>
      <c r="C276" s="3538">
        <v>19013</v>
      </c>
      <c r="D276" s="1946">
        <f t="shared" si="14"/>
        <v>29476</v>
      </c>
      <c r="E276" s="223">
        <v>2573</v>
      </c>
      <c r="F276" s="3538">
        <v>6153</v>
      </c>
      <c r="G276" s="160">
        <f t="shared" si="15"/>
        <v>8726</v>
      </c>
      <c r="H276" s="223">
        <v>23985</v>
      </c>
      <c r="I276" s="3538">
        <v>48152</v>
      </c>
      <c r="J276" s="2365">
        <f t="shared" si="16"/>
        <v>72137</v>
      </c>
    </row>
    <row r="277" spans="1:10">
      <c r="A277" s="167">
        <f t="shared" si="12"/>
        <v>2016.04</v>
      </c>
      <c r="B277" s="215">
        <v>10806</v>
      </c>
      <c r="C277" s="3538">
        <v>18729</v>
      </c>
      <c r="D277" s="1946">
        <f t="shared" si="14"/>
        <v>29535</v>
      </c>
      <c r="E277" s="223">
        <v>2678</v>
      </c>
      <c r="F277" s="3538">
        <v>5774</v>
      </c>
      <c r="G277" s="160">
        <f t="shared" si="15"/>
        <v>8452</v>
      </c>
      <c r="H277" s="223">
        <v>24495</v>
      </c>
      <c r="I277" s="3538">
        <v>48184</v>
      </c>
      <c r="J277" s="2365">
        <f t="shared" si="16"/>
        <v>72679</v>
      </c>
    </row>
    <row r="278" spans="1:10">
      <c r="A278" s="167">
        <f t="shared" si="12"/>
        <v>2016.05</v>
      </c>
      <c r="B278" s="215">
        <v>10451</v>
      </c>
      <c r="C278" s="3538">
        <v>18148</v>
      </c>
      <c r="D278" s="1946">
        <f t="shared" si="14"/>
        <v>28599</v>
      </c>
      <c r="E278" s="223">
        <v>2443</v>
      </c>
      <c r="F278" s="3538">
        <v>5345</v>
      </c>
      <c r="G278" s="160">
        <f t="shared" si="15"/>
        <v>7788</v>
      </c>
      <c r="H278" s="223">
        <v>23455</v>
      </c>
      <c r="I278" s="3538">
        <v>46677</v>
      </c>
      <c r="J278" s="2365">
        <f t="shared" si="16"/>
        <v>70132</v>
      </c>
    </row>
    <row r="279" spans="1:10">
      <c r="A279" s="167">
        <f t="shared" si="12"/>
        <v>2016.06</v>
      </c>
      <c r="B279" s="215">
        <v>9723</v>
      </c>
      <c r="C279" s="3538">
        <v>16974</v>
      </c>
      <c r="D279" s="1946">
        <f t="shared" si="14"/>
        <v>26697</v>
      </c>
      <c r="E279" s="223">
        <v>2482</v>
      </c>
      <c r="F279" s="3538">
        <v>5330</v>
      </c>
      <c r="G279" s="160">
        <f t="shared" si="15"/>
        <v>7812</v>
      </c>
      <c r="H279" s="223">
        <v>22761</v>
      </c>
      <c r="I279" s="3538">
        <v>44864</v>
      </c>
      <c r="J279" s="2365">
        <f t="shared" si="16"/>
        <v>67625</v>
      </c>
    </row>
    <row r="280" spans="1:10">
      <c r="A280" s="167">
        <f t="shared" si="12"/>
        <v>2016.07</v>
      </c>
      <c r="B280" s="215">
        <v>9931</v>
      </c>
      <c r="C280" s="3538">
        <v>16960</v>
      </c>
      <c r="D280" s="1946">
        <f t="shared" si="14"/>
        <v>26891</v>
      </c>
      <c r="E280" s="223">
        <v>2520</v>
      </c>
      <c r="F280" s="3538">
        <v>5129</v>
      </c>
      <c r="G280" s="160">
        <f t="shared" si="15"/>
        <v>7649</v>
      </c>
      <c r="H280" s="223">
        <v>23365</v>
      </c>
      <c r="I280" s="3538">
        <v>44818</v>
      </c>
      <c r="J280" s="2365">
        <f t="shared" si="16"/>
        <v>68183</v>
      </c>
    </row>
    <row r="281" spans="1:10">
      <c r="A281" s="167">
        <f t="shared" si="12"/>
        <v>2016.08</v>
      </c>
      <c r="B281" s="215">
        <v>9710</v>
      </c>
      <c r="C281" s="3538">
        <v>16717</v>
      </c>
      <c r="D281" s="1946">
        <f t="shared" si="14"/>
        <v>26427</v>
      </c>
      <c r="E281" s="223">
        <v>2408</v>
      </c>
      <c r="F281" s="3538">
        <v>5014</v>
      </c>
      <c r="G281" s="160">
        <f t="shared" si="15"/>
        <v>7422</v>
      </c>
      <c r="H281" s="223">
        <v>22348</v>
      </c>
      <c r="I281" s="3538">
        <v>44100</v>
      </c>
      <c r="J281" s="2365">
        <f t="shared" si="16"/>
        <v>66448</v>
      </c>
    </row>
    <row r="282" spans="1:10">
      <c r="A282" s="167">
        <f t="shared" si="12"/>
        <v>2016.09</v>
      </c>
      <c r="B282" s="215">
        <v>9887</v>
      </c>
      <c r="C282" s="3538">
        <v>17051</v>
      </c>
      <c r="D282" s="1946">
        <f t="shared" si="14"/>
        <v>26938</v>
      </c>
      <c r="E282" s="223">
        <v>2378</v>
      </c>
      <c r="F282" s="3538">
        <v>4919</v>
      </c>
      <c r="G282" s="160">
        <f t="shared" si="15"/>
        <v>7297</v>
      </c>
      <c r="H282" s="223">
        <v>22010</v>
      </c>
      <c r="I282" s="3538">
        <v>43501</v>
      </c>
      <c r="J282" s="2365">
        <f t="shared" si="16"/>
        <v>65511</v>
      </c>
    </row>
    <row r="283" spans="1:10">
      <c r="A283" s="167">
        <f t="shared" si="12"/>
        <v>2016.1</v>
      </c>
      <c r="B283" s="215">
        <v>10424</v>
      </c>
      <c r="C283" s="3538">
        <v>17027</v>
      </c>
      <c r="D283" s="1946">
        <f t="shared" si="14"/>
        <v>27451</v>
      </c>
      <c r="E283" s="223">
        <v>2386</v>
      </c>
      <c r="F283" s="3538">
        <v>4747</v>
      </c>
      <c r="G283" s="160">
        <f t="shared" si="15"/>
        <v>7133</v>
      </c>
      <c r="H283" s="223">
        <v>23192</v>
      </c>
      <c r="I283" s="3538">
        <v>43375</v>
      </c>
      <c r="J283" s="2365">
        <f t="shared" si="16"/>
        <v>66567</v>
      </c>
    </row>
    <row r="284" spans="1:10">
      <c r="A284" s="167">
        <f t="shared" si="12"/>
        <v>2016.11</v>
      </c>
      <c r="B284" s="215">
        <v>10087</v>
      </c>
      <c r="C284" s="3538">
        <v>16717</v>
      </c>
      <c r="D284" s="1946">
        <f t="shared" si="14"/>
        <v>26804</v>
      </c>
      <c r="E284" s="223">
        <v>2222</v>
      </c>
      <c r="F284" s="3538">
        <v>4274</v>
      </c>
      <c r="G284" s="160">
        <f t="shared" si="15"/>
        <v>6496</v>
      </c>
      <c r="H284" s="223">
        <v>22424</v>
      </c>
      <c r="I284" s="3538">
        <v>43111</v>
      </c>
      <c r="J284" s="2365">
        <f t="shared" si="16"/>
        <v>65535</v>
      </c>
    </row>
    <row r="285" spans="1:10">
      <c r="A285" s="167">
        <f t="shared" si="12"/>
        <v>2016.12</v>
      </c>
      <c r="B285" s="215">
        <v>10058</v>
      </c>
      <c r="C285" s="3538">
        <v>16419</v>
      </c>
      <c r="D285" s="1946">
        <f t="shared" si="14"/>
        <v>26477</v>
      </c>
      <c r="E285" s="223">
        <v>2207</v>
      </c>
      <c r="F285" s="3538">
        <v>4434</v>
      </c>
      <c r="G285" s="160">
        <f t="shared" si="15"/>
        <v>6641</v>
      </c>
      <c r="H285" s="223">
        <v>21417</v>
      </c>
      <c r="I285" s="3538">
        <v>42354</v>
      </c>
      <c r="J285" s="2365">
        <f t="shared" si="16"/>
        <v>63771</v>
      </c>
    </row>
    <row r="286" spans="1:10">
      <c r="A286" s="167">
        <f t="shared" si="12"/>
        <v>2017.01</v>
      </c>
      <c r="B286" s="215">
        <v>9527</v>
      </c>
      <c r="C286" s="3538">
        <v>15919</v>
      </c>
      <c r="D286" s="1946">
        <f t="shared" si="14"/>
        <v>25446</v>
      </c>
      <c r="E286" s="223">
        <v>2060</v>
      </c>
      <c r="F286" s="3538">
        <v>3975</v>
      </c>
      <c r="G286" s="160">
        <f t="shared" si="15"/>
        <v>6035</v>
      </c>
      <c r="H286" s="223">
        <v>20639</v>
      </c>
      <c r="I286" s="3538">
        <v>39914</v>
      </c>
      <c r="J286" s="2365">
        <f t="shared" si="16"/>
        <v>60553</v>
      </c>
    </row>
    <row r="287" spans="1:10">
      <c r="A287" s="167">
        <f t="shared" si="12"/>
        <v>2017.02</v>
      </c>
      <c r="B287" s="215">
        <v>9691</v>
      </c>
      <c r="C287" s="3538">
        <v>16181</v>
      </c>
      <c r="D287" s="1946">
        <f t="shared" si="14"/>
        <v>25872</v>
      </c>
      <c r="E287" s="223">
        <v>2004</v>
      </c>
      <c r="F287" s="3538">
        <v>3737</v>
      </c>
      <c r="G287" s="160">
        <f t="shared" si="15"/>
        <v>5741</v>
      </c>
      <c r="H287" s="223">
        <v>21125</v>
      </c>
      <c r="I287" s="3538">
        <v>41372</v>
      </c>
      <c r="J287" s="2365">
        <f t="shared" si="16"/>
        <v>62497</v>
      </c>
    </row>
    <row r="288" spans="1:10">
      <c r="A288" s="167">
        <f t="shared" si="12"/>
        <v>2017.03</v>
      </c>
      <c r="B288" s="215">
        <v>9609</v>
      </c>
      <c r="C288" s="3538">
        <v>16765</v>
      </c>
      <c r="D288" s="1946">
        <f t="shared" ref="D288:D333" si="17">B288+C288</f>
        <v>26374</v>
      </c>
      <c r="E288" s="223">
        <v>1966</v>
      </c>
      <c r="F288" s="3538">
        <v>3511</v>
      </c>
      <c r="G288" s="160">
        <f>E288+F288</f>
        <v>5477</v>
      </c>
      <c r="H288" s="223">
        <v>20358</v>
      </c>
      <c r="I288" s="3538">
        <v>41491</v>
      </c>
      <c r="J288" s="2365">
        <f t="shared" ref="J288:J333" si="18">H288+I288</f>
        <v>61849</v>
      </c>
    </row>
    <row r="289" spans="1:10">
      <c r="A289" s="167">
        <f t="shared" si="12"/>
        <v>2017.04</v>
      </c>
      <c r="B289" s="215">
        <v>9680</v>
      </c>
      <c r="C289" s="3538">
        <v>15368</v>
      </c>
      <c r="D289" s="1946">
        <f t="shared" si="17"/>
        <v>25048</v>
      </c>
      <c r="E289" s="759" t="s">
        <v>2050</v>
      </c>
      <c r="F289" s="3716" t="s">
        <v>2050</v>
      </c>
      <c r="G289" s="761" t="s">
        <v>2050</v>
      </c>
      <c r="H289" s="223">
        <v>22207</v>
      </c>
      <c r="I289" s="3538">
        <v>40984</v>
      </c>
      <c r="J289" s="2365">
        <f t="shared" si="18"/>
        <v>63191</v>
      </c>
    </row>
    <row r="290" spans="1:10">
      <c r="A290" s="167">
        <f t="shared" si="12"/>
        <v>2017.05</v>
      </c>
      <c r="B290" s="215">
        <v>9600</v>
      </c>
      <c r="C290" s="3538">
        <v>15940</v>
      </c>
      <c r="D290" s="1946">
        <f t="shared" si="17"/>
        <v>25540</v>
      </c>
      <c r="E290" s="1582"/>
      <c r="F290" s="3553"/>
      <c r="G290" s="260"/>
      <c r="H290" s="223">
        <v>20987</v>
      </c>
      <c r="I290" s="3538">
        <v>40814</v>
      </c>
      <c r="J290" s="2365">
        <f t="shared" si="18"/>
        <v>61801</v>
      </c>
    </row>
    <row r="291" spans="1:10">
      <c r="A291" s="167">
        <f t="shared" si="12"/>
        <v>2017.06</v>
      </c>
      <c r="B291" s="215">
        <v>9872</v>
      </c>
      <c r="C291" s="3538">
        <v>16273</v>
      </c>
      <c r="D291" s="1946">
        <f t="shared" si="17"/>
        <v>26145</v>
      </c>
      <c r="E291" s="1582"/>
      <c r="F291" s="3553"/>
      <c r="G291" s="260"/>
      <c r="H291" s="223">
        <v>20502</v>
      </c>
      <c r="I291" s="3538">
        <v>39935</v>
      </c>
      <c r="J291" s="2365">
        <f t="shared" si="18"/>
        <v>60437</v>
      </c>
    </row>
    <row r="292" spans="1:10">
      <c r="A292" s="167">
        <f t="shared" si="12"/>
        <v>2017.07</v>
      </c>
      <c r="B292" s="215">
        <v>9788</v>
      </c>
      <c r="C292" s="3538">
        <v>15783</v>
      </c>
      <c r="D292" s="1946">
        <f t="shared" si="17"/>
        <v>25571</v>
      </c>
      <c r="E292" s="1582"/>
      <c r="F292" s="3553"/>
      <c r="G292" s="260"/>
      <c r="H292" s="223">
        <v>21807</v>
      </c>
      <c r="I292" s="3538">
        <v>40374</v>
      </c>
      <c r="J292" s="2365">
        <f t="shared" si="18"/>
        <v>62181</v>
      </c>
    </row>
    <row r="293" spans="1:10">
      <c r="A293" s="167">
        <f t="shared" si="12"/>
        <v>2017.08</v>
      </c>
      <c r="B293" s="215">
        <v>10015</v>
      </c>
      <c r="C293" s="3538">
        <v>15979</v>
      </c>
      <c r="D293" s="1946">
        <f t="shared" si="17"/>
        <v>25994</v>
      </c>
      <c r="E293" s="1582"/>
      <c r="F293" s="3553"/>
      <c r="G293" s="260"/>
      <c r="H293" s="223">
        <v>21712</v>
      </c>
      <c r="I293" s="3538">
        <v>40246</v>
      </c>
      <c r="J293" s="2365">
        <f t="shared" si="18"/>
        <v>61958</v>
      </c>
    </row>
    <row r="294" spans="1:10">
      <c r="A294" s="167">
        <f t="shared" si="12"/>
        <v>2017.09</v>
      </c>
      <c r="B294" s="215">
        <v>10001</v>
      </c>
      <c r="C294" s="3538">
        <v>15953</v>
      </c>
      <c r="D294" s="1946">
        <f t="shared" si="17"/>
        <v>25954</v>
      </c>
      <c r="E294" s="1582"/>
      <c r="F294" s="3553"/>
      <c r="G294" s="260"/>
      <c r="H294" s="223">
        <v>21792</v>
      </c>
      <c r="I294" s="3538">
        <v>40425</v>
      </c>
      <c r="J294" s="2365">
        <f t="shared" si="18"/>
        <v>62217</v>
      </c>
    </row>
    <row r="295" spans="1:10">
      <c r="A295" s="1583">
        <f t="shared" si="12"/>
        <v>2017.1</v>
      </c>
      <c r="B295" s="215">
        <v>10009</v>
      </c>
      <c r="C295" s="3538">
        <v>15509</v>
      </c>
      <c r="D295" s="1946">
        <f t="shared" si="17"/>
        <v>25518</v>
      </c>
      <c r="E295" s="1582"/>
      <c r="F295" s="3553"/>
      <c r="G295" s="260"/>
      <c r="H295" s="223">
        <v>21832</v>
      </c>
      <c r="I295" s="3538">
        <v>37979</v>
      </c>
      <c r="J295" s="2365">
        <f t="shared" si="18"/>
        <v>59811</v>
      </c>
    </row>
    <row r="296" spans="1:10">
      <c r="A296" s="1583">
        <f t="shared" si="12"/>
        <v>2017.11</v>
      </c>
      <c r="B296" s="215">
        <v>10040</v>
      </c>
      <c r="C296" s="3538">
        <v>15556</v>
      </c>
      <c r="D296" s="1946">
        <f t="shared" si="17"/>
        <v>25596</v>
      </c>
      <c r="E296" s="1582"/>
      <c r="F296" s="3553"/>
      <c r="G296" s="260"/>
      <c r="H296" s="223">
        <v>20960</v>
      </c>
      <c r="I296" s="3538">
        <v>37839</v>
      </c>
      <c r="J296" s="2365">
        <f t="shared" si="18"/>
        <v>58799</v>
      </c>
    </row>
    <row r="297" spans="1:10">
      <c r="A297" s="1583">
        <f t="shared" si="12"/>
        <v>2017.12</v>
      </c>
      <c r="B297" s="215">
        <v>10004</v>
      </c>
      <c r="C297" s="3538">
        <v>15312</v>
      </c>
      <c r="D297" s="1946">
        <f t="shared" si="17"/>
        <v>25316</v>
      </c>
      <c r="E297" s="1582"/>
      <c r="F297" s="3553"/>
      <c r="G297" s="260"/>
      <c r="H297" s="223">
        <v>22065</v>
      </c>
      <c r="I297" s="3538">
        <v>37280</v>
      </c>
      <c r="J297" s="2365">
        <f t="shared" si="18"/>
        <v>59345</v>
      </c>
    </row>
    <row r="298" spans="1:10">
      <c r="A298" s="167">
        <f t="shared" si="12"/>
        <v>2018.01</v>
      </c>
      <c r="B298" s="215">
        <v>10005</v>
      </c>
      <c r="C298" s="3538">
        <v>15896</v>
      </c>
      <c r="D298" s="1946">
        <f t="shared" si="17"/>
        <v>25901</v>
      </c>
      <c r="E298" s="1582"/>
      <c r="F298" s="3553"/>
      <c r="G298" s="260"/>
      <c r="H298" s="223">
        <v>20110</v>
      </c>
      <c r="I298" s="3538">
        <v>37024</v>
      </c>
      <c r="J298" s="2365">
        <f t="shared" si="18"/>
        <v>57134</v>
      </c>
    </row>
    <row r="299" spans="1:10">
      <c r="A299" s="167">
        <f t="shared" si="12"/>
        <v>2018.02</v>
      </c>
      <c r="B299" s="215">
        <v>10015</v>
      </c>
      <c r="C299" s="3538">
        <v>15777</v>
      </c>
      <c r="D299" s="1946">
        <f t="shared" si="17"/>
        <v>25792</v>
      </c>
      <c r="E299" s="1582"/>
      <c r="F299" s="3553"/>
      <c r="G299" s="260"/>
      <c r="H299" s="223">
        <v>20390</v>
      </c>
      <c r="I299" s="3538">
        <v>37081</v>
      </c>
      <c r="J299" s="2365">
        <f t="shared" si="18"/>
        <v>57471</v>
      </c>
    </row>
    <row r="300" spans="1:10">
      <c r="A300" s="167">
        <f t="shared" si="12"/>
        <v>2018.03</v>
      </c>
      <c r="B300" s="215">
        <v>10006</v>
      </c>
      <c r="C300" s="3538">
        <v>15729</v>
      </c>
      <c r="D300" s="1946">
        <f t="shared" si="17"/>
        <v>25735</v>
      </c>
      <c r="E300" s="1582"/>
      <c r="F300" s="3553"/>
      <c r="G300" s="260"/>
      <c r="H300" s="223">
        <v>20769</v>
      </c>
      <c r="I300" s="3538">
        <v>38643</v>
      </c>
      <c r="J300" s="2365">
        <f t="shared" si="18"/>
        <v>59412</v>
      </c>
    </row>
    <row r="301" spans="1:10">
      <c r="A301" s="167">
        <f t="shared" si="12"/>
        <v>2018.04</v>
      </c>
      <c r="B301" s="215">
        <v>10003</v>
      </c>
      <c r="C301" s="3538">
        <v>15457</v>
      </c>
      <c r="D301" s="1946">
        <f t="shared" si="17"/>
        <v>25460</v>
      </c>
      <c r="E301" s="1582"/>
      <c r="F301" s="3553"/>
      <c r="G301" s="260"/>
      <c r="H301" s="223">
        <v>20579</v>
      </c>
      <c r="I301" s="3538">
        <v>35706</v>
      </c>
      <c r="J301" s="2365">
        <f t="shared" si="18"/>
        <v>56285</v>
      </c>
    </row>
    <row r="302" spans="1:10">
      <c r="A302" s="167">
        <f t="shared" si="12"/>
        <v>2018.05</v>
      </c>
      <c r="B302" s="215">
        <v>10070</v>
      </c>
      <c r="C302" s="3538">
        <v>15893</v>
      </c>
      <c r="D302" s="1946">
        <f t="shared" si="17"/>
        <v>25963</v>
      </c>
      <c r="E302" s="1582"/>
      <c r="F302" s="3553"/>
      <c r="G302" s="260"/>
      <c r="H302" s="223">
        <v>20025</v>
      </c>
      <c r="I302" s="3538">
        <v>36248</v>
      </c>
      <c r="J302" s="2365">
        <f t="shared" si="18"/>
        <v>56273</v>
      </c>
    </row>
    <row r="303" spans="1:10">
      <c r="A303" s="167">
        <f t="shared" si="12"/>
        <v>2018.06</v>
      </c>
      <c r="B303" s="215">
        <v>10030</v>
      </c>
      <c r="C303" s="3538">
        <v>15375</v>
      </c>
      <c r="D303" s="1946">
        <f t="shared" si="17"/>
        <v>25405</v>
      </c>
      <c r="E303" s="1582"/>
      <c r="F303" s="3553"/>
      <c r="G303" s="260"/>
      <c r="H303" s="223">
        <v>20060</v>
      </c>
      <c r="I303" s="3538">
        <v>36173</v>
      </c>
      <c r="J303" s="2365">
        <f t="shared" si="18"/>
        <v>56233</v>
      </c>
    </row>
    <row r="304" spans="1:10">
      <c r="A304" s="167">
        <f t="shared" si="12"/>
        <v>2018.07</v>
      </c>
      <c r="B304" s="215">
        <v>10214</v>
      </c>
      <c r="C304" s="3538">
        <v>15223</v>
      </c>
      <c r="D304" s="1946">
        <f t="shared" si="17"/>
        <v>25437</v>
      </c>
      <c r="E304" s="1582"/>
      <c r="F304" s="3553"/>
      <c r="G304" s="260"/>
      <c r="H304" s="223">
        <v>19717</v>
      </c>
      <c r="I304" s="3538">
        <v>33923</v>
      </c>
      <c r="J304" s="2365">
        <f t="shared" si="18"/>
        <v>53640</v>
      </c>
    </row>
    <row r="305" spans="1:10">
      <c r="A305" s="167">
        <f t="shared" si="12"/>
        <v>2018.08</v>
      </c>
      <c r="B305" s="215">
        <v>10029</v>
      </c>
      <c r="C305" s="3538">
        <v>15278</v>
      </c>
      <c r="D305" s="1946">
        <f t="shared" si="17"/>
        <v>25307</v>
      </c>
      <c r="E305" s="1582"/>
      <c r="F305" s="3553"/>
      <c r="G305" s="260"/>
      <c r="H305" s="223">
        <v>19300</v>
      </c>
      <c r="I305" s="3538">
        <v>34327</v>
      </c>
      <c r="J305" s="2365">
        <f t="shared" si="18"/>
        <v>53627</v>
      </c>
    </row>
    <row r="306" spans="1:10">
      <c r="A306" s="167">
        <f t="shared" ref="A306:A369" si="19">A294+1</f>
        <v>2018.09</v>
      </c>
      <c r="B306" s="215">
        <v>10083</v>
      </c>
      <c r="C306" s="3538">
        <v>14624</v>
      </c>
      <c r="D306" s="1946">
        <f t="shared" si="17"/>
        <v>24707</v>
      </c>
      <c r="E306" s="1582"/>
      <c r="F306" s="3553"/>
      <c r="G306" s="260"/>
      <c r="H306" s="223">
        <v>19671</v>
      </c>
      <c r="I306" s="3538">
        <v>33377</v>
      </c>
      <c r="J306" s="2365">
        <f t="shared" si="18"/>
        <v>53048</v>
      </c>
    </row>
    <row r="307" spans="1:10">
      <c r="A307" s="167">
        <f t="shared" si="19"/>
        <v>2018.1</v>
      </c>
      <c r="B307" s="215">
        <v>10012</v>
      </c>
      <c r="C307" s="3538">
        <v>14631</v>
      </c>
      <c r="D307" s="1946">
        <f t="shared" si="17"/>
        <v>24643</v>
      </c>
      <c r="E307" s="1582"/>
      <c r="F307" s="3553"/>
      <c r="G307" s="260"/>
      <c r="H307" s="223">
        <v>18460</v>
      </c>
      <c r="I307" s="3538">
        <v>32420</v>
      </c>
      <c r="J307" s="2365">
        <f t="shared" si="18"/>
        <v>50880</v>
      </c>
    </row>
    <row r="308" spans="1:10">
      <c r="A308" s="167">
        <f t="shared" si="19"/>
        <v>2018.11</v>
      </c>
      <c r="B308" s="215">
        <v>10072</v>
      </c>
      <c r="C308" s="3538">
        <v>14229</v>
      </c>
      <c r="D308" s="1946">
        <f t="shared" si="17"/>
        <v>24301</v>
      </c>
      <c r="E308" s="1582"/>
      <c r="F308" s="3553"/>
      <c r="G308" s="260"/>
      <c r="H308" s="223">
        <v>18151</v>
      </c>
      <c r="I308" s="3538">
        <v>29325</v>
      </c>
      <c r="J308" s="2365">
        <f t="shared" si="18"/>
        <v>47476</v>
      </c>
    </row>
    <row r="309" spans="1:10">
      <c r="A309" s="167">
        <f t="shared" si="19"/>
        <v>2018.12</v>
      </c>
      <c r="B309" s="215">
        <v>10012</v>
      </c>
      <c r="C309" s="3538">
        <v>13932</v>
      </c>
      <c r="D309" s="1946">
        <f t="shared" si="17"/>
        <v>23944</v>
      </c>
      <c r="E309" s="1582"/>
      <c r="F309" s="3553"/>
      <c r="G309" s="260"/>
      <c r="H309" s="223">
        <v>19855</v>
      </c>
      <c r="I309" s="3538">
        <v>31307</v>
      </c>
      <c r="J309" s="2365">
        <f t="shared" si="18"/>
        <v>51162</v>
      </c>
    </row>
    <row r="310" spans="1:10">
      <c r="A310" s="167">
        <f t="shared" si="19"/>
        <v>2019.01</v>
      </c>
      <c r="B310" s="215">
        <v>10014</v>
      </c>
      <c r="C310" s="3538">
        <v>14268</v>
      </c>
      <c r="D310" s="1946">
        <f t="shared" si="17"/>
        <v>24282</v>
      </c>
      <c r="E310" s="1582"/>
      <c r="F310" s="3553"/>
      <c r="G310" s="260"/>
      <c r="H310" s="223">
        <v>17271</v>
      </c>
      <c r="I310" s="3538">
        <v>30030</v>
      </c>
      <c r="J310" s="2365">
        <f t="shared" si="18"/>
        <v>47301</v>
      </c>
    </row>
    <row r="311" spans="1:10">
      <c r="A311" s="167">
        <f t="shared" si="19"/>
        <v>2019.02</v>
      </c>
      <c r="B311" s="215">
        <v>10767</v>
      </c>
      <c r="C311" s="3538">
        <v>15136</v>
      </c>
      <c r="D311" s="1946">
        <f t="shared" si="17"/>
        <v>25903</v>
      </c>
      <c r="E311" s="1582"/>
      <c r="F311" s="3553"/>
      <c r="G311" s="260"/>
      <c r="H311" s="223">
        <v>17831</v>
      </c>
      <c r="I311" s="3538">
        <v>32573</v>
      </c>
      <c r="J311" s="2365">
        <f t="shared" si="18"/>
        <v>50404</v>
      </c>
    </row>
    <row r="312" spans="1:10">
      <c r="A312" s="167">
        <f t="shared" si="19"/>
        <v>2019.03</v>
      </c>
      <c r="B312" s="215">
        <v>10025</v>
      </c>
      <c r="C312" s="3538">
        <v>13964</v>
      </c>
      <c r="D312" s="1946">
        <f t="shared" si="17"/>
        <v>23989</v>
      </c>
      <c r="E312" s="1582"/>
      <c r="F312" s="3553"/>
      <c r="G312" s="260"/>
      <c r="H312" s="223">
        <v>17984</v>
      </c>
      <c r="I312" s="3538">
        <v>31263</v>
      </c>
      <c r="J312" s="2365">
        <f t="shared" si="18"/>
        <v>49247</v>
      </c>
    </row>
    <row r="313" spans="1:10">
      <c r="A313" s="167">
        <f t="shared" si="19"/>
        <v>2019.04</v>
      </c>
      <c r="B313" s="215">
        <v>10007</v>
      </c>
      <c r="C313" s="3538">
        <v>14171</v>
      </c>
      <c r="D313" s="1946">
        <f t="shared" si="17"/>
        <v>24178</v>
      </c>
      <c r="E313" s="1582"/>
      <c r="F313" s="3553"/>
      <c r="G313" s="260"/>
      <c r="H313" s="223">
        <v>17519</v>
      </c>
      <c r="I313" s="3538">
        <v>30375</v>
      </c>
      <c r="J313" s="2365">
        <f t="shared" si="18"/>
        <v>47894</v>
      </c>
    </row>
    <row r="314" spans="1:10">
      <c r="A314" s="167">
        <f t="shared" si="19"/>
        <v>2019.05</v>
      </c>
      <c r="B314" s="215">
        <v>10008</v>
      </c>
      <c r="C314" s="3538">
        <v>14362</v>
      </c>
      <c r="D314" s="1946">
        <f t="shared" si="17"/>
        <v>24370</v>
      </c>
      <c r="E314" s="1582"/>
      <c r="F314" s="3553"/>
      <c r="G314" s="260"/>
      <c r="H314" s="223">
        <v>17375</v>
      </c>
      <c r="I314" s="3538">
        <v>30270</v>
      </c>
      <c r="J314" s="2365">
        <f t="shared" si="18"/>
        <v>47645</v>
      </c>
    </row>
    <row r="315" spans="1:10">
      <c r="A315" s="167">
        <f t="shared" si="19"/>
        <v>2019.06</v>
      </c>
      <c r="B315" s="215">
        <v>10006</v>
      </c>
      <c r="C315" s="3538">
        <v>14030</v>
      </c>
      <c r="D315" s="1946">
        <f t="shared" si="17"/>
        <v>24036</v>
      </c>
      <c r="E315" s="1582"/>
      <c r="F315" s="3553"/>
      <c r="G315" s="260"/>
      <c r="H315" s="223">
        <v>17690</v>
      </c>
      <c r="I315" s="3538">
        <v>29736</v>
      </c>
      <c r="J315" s="2365">
        <f t="shared" si="18"/>
        <v>47426</v>
      </c>
    </row>
    <row r="316" spans="1:10">
      <c r="A316" s="167">
        <f t="shared" si="19"/>
        <v>2019.07</v>
      </c>
      <c r="B316" s="215">
        <v>10013</v>
      </c>
      <c r="C316" s="3538">
        <v>14200</v>
      </c>
      <c r="D316" s="1946">
        <f t="shared" si="17"/>
        <v>24213</v>
      </c>
      <c r="E316" s="1582"/>
      <c r="F316" s="3553"/>
      <c r="G316" s="260"/>
      <c r="H316" s="223">
        <v>16746</v>
      </c>
      <c r="I316" s="3538">
        <v>29385</v>
      </c>
      <c r="J316" s="2365">
        <f t="shared" si="18"/>
        <v>46131</v>
      </c>
    </row>
    <row r="317" spans="1:10">
      <c r="A317" s="167">
        <f t="shared" si="19"/>
        <v>2019.08</v>
      </c>
      <c r="B317" s="215">
        <v>10024</v>
      </c>
      <c r="C317" s="3538">
        <v>13913</v>
      </c>
      <c r="D317" s="1946">
        <f t="shared" si="17"/>
        <v>23937</v>
      </c>
      <c r="E317" s="1582"/>
      <c r="F317" s="3553"/>
      <c r="G317" s="260"/>
      <c r="H317" s="223">
        <v>16596</v>
      </c>
      <c r="I317" s="3538">
        <v>29179</v>
      </c>
      <c r="J317" s="2365">
        <f t="shared" si="18"/>
        <v>45775</v>
      </c>
    </row>
    <row r="318" spans="1:10">
      <c r="A318" s="167">
        <f t="shared" si="19"/>
        <v>2019.09</v>
      </c>
      <c r="B318" s="215">
        <v>9840</v>
      </c>
      <c r="C318" s="3538">
        <v>13777</v>
      </c>
      <c r="D318" s="1946">
        <f t="shared" si="17"/>
        <v>23617</v>
      </c>
      <c r="E318" s="1582"/>
      <c r="F318" s="3553"/>
      <c r="G318" s="260"/>
      <c r="H318" s="223">
        <v>16847</v>
      </c>
      <c r="I318" s="3538">
        <v>28296</v>
      </c>
      <c r="J318" s="2365">
        <f t="shared" si="18"/>
        <v>45143</v>
      </c>
    </row>
    <row r="319" spans="1:10">
      <c r="A319" s="167">
        <f t="shared" si="19"/>
        <v>2019.1</v>
      </c>
      <c r="B319" s="215">
        <v>9821</v>
      </c>
      <c r="C319" s="3538">
        <v>13537</v>
      </c>
      <c r="D319" s="1946">
        <f t="shared" si="17"/>
        <v>23358</v>
      </c>
      <c r="E319" s="1582"/>
      <c r="F319" s="3553"/>
      <c r="G319" s="260"/>
      <c r="H319" s="223">
        <v>16060</v>
      </c>
      <c r="I319" s="3538">
        <v>27655</v>
      </c>
      <c r="J319" s="2365">
        <f t="shared" si="18"/>
        <v>43715</v>
      </c>
    </row>
    <row r="320" spans="1:10">
      <c r="A320" s="167">
        <f t="shared" si="19"/>
        <v>2019.11</v>
      </c>
      <c r="B320" s="215">
        <v>9710</v>
      </c>
      <c r="C320" s="3538">
        <v>13851</v>
      </c>
      <c r="D320" s="1946">
        <f t="shared" si="17"/>
        <v>23561</v>
      </c>
      <c r="E320" s="1582"/>
      <c r="F320" s="3553"/>
      <c r="G320" s="260"/>
      <c r="H320" s="223">
        <v>16110</v>
      </c>
      <c r="I320" s="3538">
        <v>27513</v>
      </c>
      <c r="J320" s="2365">
        <f t="shared" si="18"/>
        <v>43623</v>
      </c>
    </row>
    <row r="321" spans="1:10">
      <c r="A321" s="167">
        <f t="shared" si="19"/>
        <v>2019.12</v>
      </c>
      <c r="B321" s="215">
        <v>9620</v>
      </c>
      <c r="C321" s="3538">
        <v>13226</v>
      </c>
      <c r="D321" s="1946">
        <f t="shared" si="17"/>
        <v>22846</v>
      </c>
      <c r="E321" s="1582"/>
      <c r="F321" s="3553"/>
      <c r="G321" s="260"/>
      <c r="H321" s="223">
        <v>16215</v>
      </c>
      <c r="I321" s="3538">
        <v>27151</v>
      </c>
      <c r="J321" s="2365">
        <f t="shared" si="18"/>
        <v>43366</v>
      </c>
    </row>
    <row r="322" spans="1:10">
      <c r="A322" s="167">
        <f t="shared" si="19"/>
        <v>2020.01</v>
      </c>
      <c r="B322" s="215">
        <v>9354</v>
      </c>
      <c r="C322" s="3538">
        <v>12984</v>
      </c>
      <c r="D322" s="1946">
        <f t="shared" si="17"/>
        <v>22338</v>
      </c>
      <c r="E322" s="1582"/>
      <c r="F322" s="3553"/>
      <c r="G322" s="260"/>
      <c r="H322" s="223">
        <v>14277</v>
      </c>
      <c r="I322" s="3538">
        <v>25430</v>
      </c>
      <c r="J322" s="2365">
        <f t="shared" si="18"/>
        <v>39707</v>
      </c>
    </row>
    <row r="323" spans="1:10">
      <c r="A323" s="167">
        <f t="shared" si="19"/>
        <v>2020.02</v>
      </c>
      <c r="B323" s="215">
        <v>9140</v>
      </c>
      <c r="C323" s="3538">
        <v>12860</v>
      </c>
      <c r="D323" s="1946">
        <f t="shared" si="17"/>
        <v>22000</v>
      </c>
      <c r="E323" s="1582"/>
      <c r="F323" s="3553"/>
      <c r="G323" s="260"/>
      <c r="H323" s="223">
        <v>15299</v>
      </c>
      <c r="I323" s="3538">
        <v>26552</v>
      </c>
      <c r="J323" s="2365">
        <f t="shared" si="18"/>
        <v>41851</v>
      </c>
    </row>
    <row r="324" spans="1:10">
      <c r="A324" s="167">
        <f t="shared" si="19"/>
        <v>2020.03</v>
      </c>
      <c r="B324" s="215">
        <v>8888</v>
      </c>
      <c r="C324" s="3538">
        <v>12139</v>
      </c>
      <c r="D324" s="1946">
        <f t="shared" si="17"/>
        <v>21027</v>
      </c>
      <c r="E324" s="1582"/>
      <c r="F324" s="3553"/>
      <c r="G324" s="260"/>
      <c r="H324" s="223">
        <v>14189</v>
      </c>
      <c r="I324" s="3538">
        <v>24462</v>
      </c>
      <c r="J324" s="2365">
        <f t="shared" si="18"/>
        <v>38651</v>
      </c>
    </row>
    <row r="325" spans="1:10">
      <c r="A325" s="167">
        <f t="shared" si="19"/>
        <v>2020.04</v>
      </c>
      <c r="B325" s="215">
        <v>8805</v>
      </c>
      <c r="C325" s="3538">
        <v>11729</v>
      </c>
      <c r="D325" s="1946">
        <f t="shared" si="17"/>
        <v>20534</v>
      </c>
      <c r="E325" s="1582"/>
      <c r="F325" s="3553"/>
      <c r="G325" s="260"/>
      <c r="H325" s="223">
        <v>11535</v>
      </c>
      <c r="I325" s="3538">
        <v>21162</v>
      </c>
      <c r="J325" s="2365">
        <f t="shared" si="18"/>
        <v>32697</v>
      </c>
    </row>
    <row r="326" spans="1:10">
      <c r="A326" s="167">
        <f t="shared" si="19"/>
        <v>2020.05</v>
      </c>
      <c r="B326" s="215">
        <v>8878</v>
      </c>
      <c r="C326" s="3538">
        <v>11805</v>
      </c>
      <c r="D326" s="1946">
        <f t="shared" si="17"/>
        <v>20683</v>
      </c>
      <c r="E326" s="1582"/>
      <c r="F326" s="3553"/>
      <c r="G326" s="260"/>
      <c r="H326" s="223">
        <v>15521</v>
      </c>
      <c r="I326" s="3538">
        <v>27639</v>
      </c>
      <c r="J326" s="2365">
        <f t="shared" si="18"/>
        <v>43160</v>
      </c>
    </row>
    <row r="327" spans="1:10">
      <c r="A327" s="167">
        <f t="shared" si="19"/>
        <v>2020.06</v>
      </c>
      <c r="B327" s="215">
        <v>8454</v>
      </c>
      <c r="C327" s="3538">
        <v>11372</v>
      </c>
      <c r="D327" s="1946">
        <f t="shared" si="17"/>
        <v>19826</v>
      </c>
      <c r="E327" s="1582"/>
      <c r="F327" s="3553"/>
      <c r="G327" s="260"/>
      <c r="H327" s="223">
        <v>16916</v>
      </c>
      <c r="I327" s="3538">
        <v>30966</v>
      </c>
      <c r="J327" s="2365">
        <f t="shared" si="18"/>
        <v>47882</v>
      </c>
    </row>
    <row r="328" spans="1:10">
      <c r="A328" s="167">
        <f t="shared" si="19"/>
        <v>2020.07</v>
      </c>
      <c r="B328" s="215">
        <v>8399</v>
      </c>
      <c r="C328" s="3538">
        <v>11494</v>
      </c>
      <c r="D328" s="1946">
        <f t="shared" si="17"/>
        <v>19893</v>
      </c>
      <c r="E328" s="1582"/>
      <c r="F328" s="3553"/>
      <c r="G328" s="260"/>
      <c r="H328" s="223">
        <v>17064</v>
      </c>
      <c r="I328" s="3538">
        <v>35580</v>
      </c>
      <c r="J328" s="2365">
        <f t="shared" si="18"/>
        <v>52644</v>
      </c>
    </row>
    <row r="329" spans="1:10">
      <c r="A329" s="167">
        <f t="shared" si="19"/>
        <v>2020.08</v>
      </c>
      <c r="B329" s="215">
        <v>8136</v>
      </c>
      <c r="C329" s="3538">
        <v>10875</v>
      </c>
      <c r="D329" s="1946">
        <f t="shared" si="17"/>
        <v>19011</v>
      </c>
      <c r="E329" s="1582"/>
      <c r="F329" s="3553"/>
      <c r="G329" s="260"/>
      <c r="H329" s="223">
        <v>16185</v>
      </c>
      <c r="I329" s="3538">
        <v>36614</v>
      </c>
      <c r="J329" s="2365">
        <f t="shared" si="18"/>
        <v>52799</v>
      </c>
    </row>
    <row r="330" spans="1:10">
      <c r="A330" s="167">
        <f t="shared" si="19"/>
        <v>2020.09</v>
      </c>
      <c r="B330" s="215">
        <v>8233</v>
      </c>
      <c r="C330" s="3538">
        <v>11007</v>
      </c>
      <c r="D330" s="1946">
        <f t="shared" si="17"/>
        <v>19240</v>
      </c>
      <c r="E330" s="1582"/>
      <c r="F330" s="3553"/>
      <c r="G330" s="260"/>
      <c r="H330" s="223">
        <v>16141</v>
      </c>
      <c r="I330" s="3538">
        <v>34298</v>
      </c>
      <c r="J330" s="2365">
        <f t="shared" si="18"/>
        <v>50439</v>
      </c>
    </row>
    <row r="331" spans="1:10">
      <c r="A331" s="167">
        <f t="shared" si="19"/>
        <v>2020.1</v>
      </c>
      <c r="B331" s="215">
        <v>8306</v>
      </c>
      <c r="C331" s="3538">
        <v>11414</v>
      </c>
      <c r="D331" s="1946">
        <f t="shared" si="17"/>
        <v>19720</v>
      </c>
      <c r="E331" s="1582"/>
      <c r="F331" s="3553"/>
      <c r="G331" s="260"/>
      <c r="H331" s="223">
        <v>16084</v>
      </c>
      <c r="I331" s="3538">
        <v>34304</v>
      </c>
      <c r="J331" s="2365">
        <f t="shared" si="18"/>
        <v>50388</v>
      </c>
    </row>
    <row r="332" spans="1:10">
      <c r="A332" s="167">
        <f t="shared" si="19"/>
        <v>2020.11</v>
      </c>
      <c r="B332" s="215">
        <v>8432</v>
      </c>
      <c r="C332" s="3538">
        <v>11481</v>
      </c>
      <c r="D332" s="1946">
        <f t="shared" si="17"/>
        <v>19913</v>
      </c>
      <c r="E332" s="1582"/>
      <c r="F332" s="3553"/>
      <c r="G332" s="260"/>
      <c r="H332" s="223">
        <v>15804</v>
      </c>
      <c r="I332" s="3538">
        <v>31621</v>
      </c>
      <c r="J332" s="2365">
        <f t="shared" si="18"/>
        <v>47425</v>
      </c>
    </row>
    <row r="333" spans="1:10">
      <c r="A333" s="167">
        <f t="shared" si="19"/>
        <v>2020.12</v>
      </c>
      <c r="B333" s="215">
        <v>8268</v>
      </c>
      <c r="C333" s="3538">
        <v>11519</v>
      </c>
      <c r="D333" s="1946">
        <f t="shared" si="17"/>
        <v>19787</v>
      </c>
      <c r="E333" s="1582"/>
      <c r="F333" s="3553"/>
      <c r="G333" s="260"/>
      <c r="H333" s="223">
        <v>15795</v>
      </c>
      <c r="I333" s="3538">
        <v>33216</v>
      </c>
      <c r="J333" s="2365">
        <f t="shared" si="18"/>
        <v>49011</v>
      </c>
    </row>
    <row r="334" spans="1:10">
      <c r="A334" s="167">
        <f t="shared" si="19"/>
        <v>2021.01</v>
      </c>
      <c r="B334" s="215">
        <v>8023</v>
      </c>
      <c r="C334" s="3538">
        <v>10808</v>
      </c>
      <c r="D334" s="1946">
        <f t="shared" ref="D334:D393" si="20">B334+C334</f>
        <v>18831</v>
      </c>
      <c r="E334" s="1582"/>
      <c r="F334" s="3553"/>
      <c r="G334" s="260"/>
      <c r="H334" s="223">
        <v>15240</v>
      </c>
      <c r="I334" s="3538">
        <v>30095</v>
      </c>
      <c r="J334" s="2365">
        <f t="shared" ref="J334:J393" si="21">H334+I334</f>
        <v>45335</v>
      </c>
    </row>
    <row r="335" spans="1:10">
      <c r="A335" s="167">
        <f t="shared" si="19"/>
        <v>2021.02</v>
      </c>
      <c r="B335" s="215">
        <v>8034</v>
      </c>
      <c r="C335" s="3538">
        <v>10915</v>
      </c>
      <c r="D335" s="1946">
        <f t="shared" si="20"/>
        <v>18949</v>
      </c>
      <c r="E335" s="1582"/>
      <c r="F335" s="3553"/>
      <c r="G335" s="260"/>
      <c r="H335" s="223">
        <v>15641</v>
      </c>
      <c r="I335" s="3538">
        <v>31248</v>
      </c>
      <c r="J335" s="2365">
        <f t="shared" si="21"/>
        <v>46889</v>
      </c>
    </row>
    <row r="336" spans="1:10">
      <c r="A336" s="167">
        <f t="shared" si="19"/>
        <v>2021.03</v>
      </c>
      <c r="B336" s="215">
        <v>8037</v>
      </c>
      <c r="C336" s="3538">
        <v>10918</v>
      </c>
      <c r="D336" s="1946">
        <f t="shared" si="20"/>
        <v>18955</v>
      </c>
      <c r="E336" s="1582"/>
      <c r="F336" s="3553"/>
      <c r="G336" s="260"/>
      <c r="H336" s="223">
        <v>16109</v>
      </c>
      <c r="I336" s="3538">
        <v>32817</v>
      </c>
      <c r="J336" s="2365">
        <f t="shared" si="21"/>
        <v>48926</v>
      </c>
    </row>
    <row r="337" spans="1:10">
      <c r="A337" s="167">
        <f t="shared" si="19"/>
        <v>2021.04</v>
      </c>
      <c r="B337" s="215">
        <v>8289</v>
      </c>
      <c r="C337" s="3538">
        <v>10889</v>
      </c>
      <c r="D337" s="1946">
        <f t="shared" si="20"/>
        <v>19178</v>
      </c>
      <c r="E337" s="1582"/>
      <c r="F337" s="3553"/>
      <c r="G337" s="260"/>
      <c r="H337" s="223">
        <v>16195</v>
      </c>
      <c r="I337" s="3538">
        <v>34631</v>
      </c>
      <c r="J337" s="2365">
        <f t="shared" si="21"/>
        <v>50826</v>
      </c>
    </row>
    <row r="338" spans="1:10">
      <c r="A338" s="167">
        <f t="shared" si="19"/>
        <v>2021.05</v>
      </c>
      <c r="B338" s="215">
        <v>8002</v>
      </c>
      <c r="C338" s="3538">
        <v>10716</v>
      </c>
      <c r="D338" s="1946">
        <f t="shared" si="20"/>
        <v>18718</v>
      </c>
      <c r="E338" s="1582"/>
      <c r="F338" s="3553"/>
      <c r="G338" s="260"/>
      <c r="H338" s="223">
        <v>16118</v>
      </c>
      <c r="I338" s="3538">
        <v>33006</v>
      </c>
      <c r="J338" s="2365">
        <f t="shared" si="21"/>
        <v>49124</v>
      </c>
    </row>
    <row r="339" spans="1:10">
      <c r="A339" s="167">
        <f t="shared" si="19"/>
        <v>2021.06</v>
      </c>
      <c r="B339" s="215">
        <v>8561</v>
      </c>
      <c r="C339" s="3538">
        <v>11305</v>
      </c>
      <c r="D339" s="1946">
        <f t="shared" si="20"/>
        <v>19866</v>
      </c>
      <c r="E339" s="1582"/>
      <c r="F339" s="3553"/>
      <c r="G339" s="260"/>
      <c r="H339" s="223">
        <v>16425</v>
      </c>
      <c r="I339" s="3538">
        <v>34884</v>
      </c>
      <c r="J339" s="2365">
        <f t="shared" si="21"/>
        <v>51309</v>
      </c>
    </row>
    <row r="340" spans="1:10">
      <c r="A340" s="167">
        <f t="shared" si="19"/>
        <v>2021.07</v>
      </c>
      <c r="B340" s="215">
        <v>8005</v>
      </c>
      <c r="C340" s="3538">
        <v>10823</v>
      </c>
      <c r="D340" s="1946">
        <f t="shared" si="20"/>
        <v>18828</v>
      </c>
      <c r="E340" s="1582"/>
      <c r="F340" s="3553"/>
      <c r="G340" s="260"/>
      <c r="H340" s="223">
        <v>16109</v>
      </c>
      <c r="I340" s="3538">
        <v>35252</v>
      </c>
      <c r="J340" s="2365">
        <f t="shared" si="21"/>
        <v>51361</v>
      </c>
    </row>
    <row r="341" spans="1:10">
      <c r="A341" s="167">
        <f t="shared" si="19"/>
        <v>2021.08</v>
      </c>
      <c r="B341" s="215">
        <v>8195</v>
      </c>
      <c r="C341" s="3538">
        <v>10592</v>
      </c>
      <c r="D341" s="1946">
        <f t="shared" si="20"/>
        <v>18787</v>
      </c>
      <c r="E341" s="1582"/>
      <c r="F341" s="3553"/>
      <c r="G341" s="260"/>
      <c r="H341" s="223">
        <v>16100</v>
      </c>
      <c r="I341" s="3538">
        <v>32923</v>
      </c>
      <c r="J341" s="2365">
        <f t="shared" si="21"/>
        <v>49023</v>
      </c>
    </row>
    <row r="342" spans="1:10">
      <c r="A342" s="167">
        <f t="shared" si="19"/>
        <v>2021.09</v>
      </c>
      <c r="B342" s="215">
        <v>8080</v>
      </c>
      <c r="C342" s="3538">
        <v>10299</v>
      </c>
      <c r="D342" s="1946">
        <f t="shared" si="20"/>
        <v>18379</v>
      </c>
      <c r="E342" s="1582"/>
      <c r="F342" s="3553"/>
      <c r="G342" s="260"/>
      <c r="H342" s="223">
        <v>16119</v>
      </c>
      <c r="I342" s="3538">
        <v>33944</v>
      </c>
      <c r="J342" s="2365">
        <f t="shared" si="21"/>
        <v>50063</v>
      </c>
    </row>
    <row r="343" spans="1:10">
      <c r="A343" s="167">
        <f t="shared" si="19"/>
        <v>2021.1</v>
      </c>
      <c r="B343" s="215">
        <v>8016</v>
      </c>
      <c r="C343" s="3538">
        <v>10251</v>
      </c>
      <c r="D343" s="1946">
        <f t="shared" si="20"/>
        <v>18267</v>
      </c>
      <c r="E343" s="1582"/>
      <c r="F343" s="3553"/>
      <c r="G343" s="260"/>
      <c r="H343" s="223">
        <v>16117</v>
      </c>
      <c r="I343" s="3538">
        <v>33941</v>
      </c>
      <c r="J343" s="2365">
        <f t="shared" si="21"/>
        <v>50058</v>
      </c>
    </row>
    <row r="344" spans="1:10">
      <c r="A344" s="167">
        <f t="shared" si="19"/>
        <v>2021.11</v>
      </c>
      <c r="B344" s="215">
        <v>7889</v>
      </c>
      <c r="C344" s="3538">
        <v>10205</v>
      </c>
      <c r="D344" s="1946">
        <f t="shared" si="20"/>
        <v>18094</v>
      </c>
      <c r="E344" s="1582"/>
      <c r="F344" s="3553"/>
      <c r="G344" s="260"/>
      <c r="H344" s="223">
        <v>15578</v>
      </c>
      <c r="I344" s="3538">
        <v>27967</v>
      </c>
      <c r="J344" s="2365">
        <f t="shared" si="21"/>
        <v>43545</v>
      </c>
    </row>
    <row r="345" spans="1:10">
      <c r="A345" s="167">
        <f t="shared" si="19"/>
        <v>2021.12</v>
      </c>
      <c r="B345" s="215">
        <v>7849</v>
      </c>
      <c r="C345" s="3538">
        <v>10463</v>
      </c>
      <c r="D345" s="1946">
        <f t="shared" si="20"/>
        <v>18312</v>
      </c>
      <c r="E345" s="1582"/>
      <c r="F345" s="3553"/>
      <c r="G345" s="260"/>
      <c r="H345" s="223">
        <v>16126</v>
      </c>
      <c r="I345" s="3538">
        <v>33005</v>
      </c>
      <c r="J345" s="2365">
        <f t="shared" si="21"/>
        <v>49131</v>
      </c>
    </row>
    <row r="346" spans="1:10">
      <c r="A346" s="167">
        <f t="shared" si="19"/>
        <v>2022.01</v>
      </c>
      <c r="B346" s="215">
        <v>7270</v>
      </c>
      <c r="C346" s="3538">
        <v>9507</v>
      </c>
      <c r="D346" s="1946">
        <f t="shared" si="20"/>
        <v>16777</v>
      </c>
      <c r="E346" s="1582"/>
      <c r="F346" s="3553"/>
      <c r="G346" s="260"/>
      <c r="H346" s="223">
        <v>15820</v>
      </c>
      <c r="I346" s="3538">
        <v>31671</v>
      </c>
      <c r="J346" s="2365">
        <f t="shared" si="21"/>
        <v>47491</v>
      </c>
    </row>
    <row r="347" spans="1:10">
      <c r="A347" s="167">
        <f t="shared" si="19"/>
        <v>2022.02</v>
      </c>
      <c r="B347" s="215">
        <v>7758</v>
      </c>
      <c r="C347" s="3538">
        <v>10142</v>
      </c>
      <c r="D347" s="1946">
        <f t="shared" si="20"/>
        <v>17900</v>
      </c>
      <c r="E347" s="1582"/>
      <c r="F347" s="3553"/>
      <c r="G347" s="260"/>
      <c r="H347" s="223">
        <v>15838</v>
      </c>
      <c r="I347" s="3538">
        <v>32366</v>
      </c>
      <c r="J347" s="2365">
        <f t="shared" si="21"/>
        <v>48204</v>
      </c>
    </row>
    <row r="348" spans="1:10">
      <c r="A348" s="167">
        <f t="shared" si="19"/>
        <v>2022.03</v>
      </c>
      <c r="B348" s="215">
        <v>7658</v>
      </c>
      <c r="C348" s="3538">
        <v>10253</v>
      </c>
      <c r="D348" s="1946">
        <f t="shared" si="20"/>
        <v>17911</v>
      </c>
      <c r="E348" s="1582"/>
      <c r="F348" s="3553"/>
      <c r="G348" s="260"/>
      <c r="H348" s="223">
        <v>15826</v>
      </c>
      <c r="I348" s="3538">
        <v>32913</v>
      </c>
      <c r="J348" s="2365">
        <f t="shared" si="21"/>
        <v>48739</v>
      </c>
    </row>
    <row r="349" spans="1:10">
      <c r="A349" s="167">
        <f t="shared" si="19"/>
        <v>2022.04</v>
      </c>
      <c r="B349" s="215">
        <v>7879</v>
      </c>
      <c r="C349" s="3538">
        <v>9989</v>
      </c>
      <c r="D349" s="1946">
        <f t="shared" si="20"/>
        <v>17868</v>
      </c>
      <c r="E349" s="1582"/>
      <c r="F349" s="3553"/>
      <c r="G349" s="260"/>
      <c r="H349" s="223">
        <v>15858</v>
      </c>
      <c r="I349" s="3538">
        <v>31008</v>
      </c>
      <c r="J349" s="2365">
        <f t="shared" si="21"/>
        <v>46866</v>
      </c>
    </row>
    <row r="350" spans="1:10">
      <c r="A350" s="167">
        <f t="shared" si="19"/>
        <v>2022.05</v>
      </c>
      <c r="B350" s="215">
        <v>7720</v>
      </c>
      <c r="C350" s="3538">
        <v>9974</v>
      </c>
      <c r="D350" s="1946">
        <f>B350+C350</f>
        <v>17694</v>
      </c>
      <c r="E350" s="1582"/>
      <c r="F350" s="3553"/>
      <c r="G350" s="260"/>
      <c r="H350" s="223">
        <v>15124</v>
      </c>
      <c r="I350" s="3538">
        <v>30673</v>
      </c>
      <c r="J350" s="2365">
        <f t="shared" si="21"/>
        <v>45797</v>
      </c>
    </row>
    <row r="351" spans="1:10">
      <c r="A351" s="167">
        <f t="shared" si="19"/>
        <v>2022.06</v>
      </c>
      <c r="B351" s="215">
        <v>7598</v>
      </c>
      <c r="C351" s="3538">
        <v>9913</v>
      </c>
      <c r="D351" s="1946">
        <f t="shared" ref="D351:D354" si="22">B351+C351</f>
        <v>17511</v>
      </c>
      <c r="E351" s="1582"/>
      <c r="F351" s="3553"/>
      <c r="G351" s="260"/>
      <c r="H351" s="223">
        <v>15125</v>
      </c>
      <c r="I351" s="3538">
        <v>31018</v>
      </c>
      <c r="J351" s="2365">
        <f t="shared" si="21"/>
        <v>46143</v>
      </c>
    </row>
    <row r="352" spans="1:10">
      <c r="A352" s="167">
        <f t="shared" si="19"/>
        <v>2022.07</v>
      </c>
      <c r="B352" s="215">
        <v>7626</v>
      </c>
      <c r="C352" s="3538">
        <v>9821</v>
      </c>
      <c r="D352" s="1946">
        <f t="shared" si="22"/>
        <v>17447</v>
      </c>
      <c r="E352" s="1582"/>
      <c r="F352" s="3553"/>
      <c r="G352" s="260"/>
      <c r="H352" s="223">
        <v>14771</v>
      </c>
      <c r="I352" s="3538">
        <v>29060</v>
      </c>
      <c r="J352" s="2365">
        <f t="shared" si="21"/>
        <v>43831</v>
      </c>
    </row>
    <row r="353" spans="1:10">
      <c r="A353" s="167">
        <f t="shared" si="19"/>
        <v>2022.08</v>
      </c>
      <c r="B353" s="215">
        <v>7460</v>
      </c>
      <c r="C353" s="3538">
        <v>9770</v>
      </c>
      <c r="D353" s="1946">
        <f t="shared" si="22"/>
        <v>17230</v>
      </c>
      <c r="E353" s="1582"/>
      <c r="F353" s="3553"/>
      <c r="G353" s="260"/>
      <c r="H353" s="223">
        <v>14872</v>
      </c>
      <c r="I353" s="3538">
        <v>31577</v>
      </c>
      <c r="J353" s="2365">
        <f t="shared" si="21"/>
        <v>46449</v>
      </c>
    </row>
    <row r="354" spans="1:10">
      <c r="A354" s="167">
        <f t="shared" si="19"/>
        <v>2022.09</v>
      </c>
      <c r="B354" s="215">
        <v>7031</v>
      </c>
      <c r="C354" s="3538">
        <v>9035</v>
      </c>
      <c r="D354" s="1946">
        <f t="shared" si="22"/>
        <v>16066</v>
      </c>
      <c r="E354" s="1582"/>
      <c r="F354" s="3553"/>
      <c r="G354" s="260"/>
      <c r="H354" s="223">
        <v>14688</v>
      </c>
      <c r="I354" s="3538">
        <v>29758</v>
      </c>
      <c r="J354" s="2365">
        <f t="shared" si="21"/>
        <v>44446</v>
      </c>
    </row>
    <row r="355" spans="1:10">
      <c r="A355" s="167">
        <f t="shared" si="19"/>
        <v>2022.1</v>
      </c>
      <c r="B355" s="215">
        <v>7435</v>
      </c>
      <c r="C355" s="3538">
        <v>9326</v>
      </c>
      <c r="D355" s="1946">
        <f>B355+C355</f>
        <v>16761</v>
      </c>
      <c r="E355" s="1582"/>
      <c r="F355" s="3553"/>
      <c r="G355" s="260"/>
      <c r="H355" s="223">
        <v>14555</v>
      </c>
      <c r="I355" s="3538">
        <v>28647</v>
      </c>
      <c r="J355" s="2365">
        <f t="shared" si="21"/>
        <v>43202</v>
      </c>
    </row>
    <row r="356" spans="1:10">
      <c r="A356" s="167">
        <f t="shared" si="19"/>
        <v>2022.11</v>
      </c>
      <c r="B356" s="215">
        <v>7882</v>
      </c>
      <c r="C356" s="3538">
        <v>9703</v>
      </c>
      <c r="D356" s="1946">
        <f t="shared" si="20"/>
        <v>17585</v>
      </c>
      <c r="E356" s="1582"/>
      <c r="F356" s="3553"/>
      <c r="G356" s="260"/>
      <c r="H356" s="223">
        <v>14613</v>
      </c>
      <c r="I356" s="3538">
        <v>28954</v>
      </c>
      <c r="J356" s="2365">
        <f t="shared" si="21"/>
        <v>43567</v>
      </c>
    </row>
    <row r="357" spans="1:10">
      <c r="A357" s="167">
        <f t="shared" si="19"/>
        <v>2022.12</v>
      </c>
      <c r="B357" s="215">
        <v>7227</v>
      </c>
      <c r="C357" s="3538">
        <v>9216</v>
      </c>
      <c r="D357" s="1946">
        <f t="shared" si="20"/>
        <v>16443</v>
      </c>
      <c r="E357" s="1582"/>
      <c r="F357" s="3553"/>
      <c r="G357" s="260"/>
      <c r="H357" s="223">
        <v>14776</v>
      </c>
      <c r="I357" s="3538">
        <v>28571</v>
      </c>
      <c r="J357" s="2365">
        <f t="shared" si="21"/>
        <v>43347</v>
      </c>
    </row>
    <row r="358" spans="1:10">
      <c r="A358" s="167">
        <f t="shared" si="19"/>
        <v>2023.01</v>
      </c>
      <c r="B358" s="215">
        <v>7038</v>
      </c>
      <c r="C358" s="3538">
        <v>8896</v>
      </c>
      <c r="D358" s="1946">
        <f t="shared" si="20"/>
        <v>15934</v>
      </c>
      <c r="E358" s="1582"/>
      <c r="F358" s="3553"/>
      <c r="G358" s="260"/>
      <c r="H358" s="223">
        <v>14617</v>
      </c>
      <c r="I358" s="3538">
        <v>29633</v>
      </c>
      <c r="J358" s="2365">
        <f t="shared" si="21"/>
        <v>44250</v>
      </c>
    </row>
    <row r="359" spans="1:10">
      <c r="A359" s="167">
        <f t="shared" si="19"/>
        <v>2023.02</v>
      </c>
      <c r="B359" s="215">
        <v>7064</v>
      </c>
      <c r="C359" s="3538">
        <v>8891</v>
      </c>
      <c r="D359" s="1946">
        <f>B359+C359</f>
        <v>15955</v>
      </c>
      <c r="E359" s="1582"/>
      <c r="F359" s="3553"/>
      <c r="G359" s="260"/>
      <c r="H359" s="223">
        <v>15425</v>
      </c>
      <c r="I359" s="3538">
        <v>29794</v>
      </c>
      <c r="J359" s="2365">
        <f>H359+I359</f>
        <v>45219</v>
      </c>
    </row>
    <row r="360" spans="1:10">
      <c r="A360" s="167">
        <f t="shared" si="19"/>
        <v>2023.03</v>
      </c>
      <c r="B360" s="215">
        <v>6844</v>
      </c>
      <c r="C360" s="3538">
        <v>8843</v>
      </c>
      <c r="D360" s="1946">
        <f t="shared" si="20"/>
        <v>15687</v>
      </c>
      <c r="E360" s="1582"/>
      <c r="F360" s="3553"/>
      <c r="G360" s="260"/>
      <c r="H360" s="223">
        <v>15330</v>
      </c>
      <c r="I360" s="3538">
        <v>30630</v>
      </c>
      <c r="J360" s="2365">
        <f t="shared" si="21"/>
        <v>45960</v>
      </c>
    </row>
    <row r="361" spans="1:10">
      <c r="A361" s="167">
        <f t="shared" si="19"/>
        <v>2023.04</v>
      </c>
      <c r="B361" s="215">
        <v>7289</v>
      </c>
      <c r="C361" s="3538">
        <v>8743</v>
      </c>
      <c r="D361" s="1946">
        <f t="shared" si="20"/>
        <v>16032</v>
      </c>
      <c r="E361" s="1582"/>
      <c r="F361" s="3553"/>
      <c r="G361" s="260"/>
      <c r="H361" s="223">
        <v>15246</v>
      </c>
      <c r="I361" s="3538">
        <v>27962</v>
      </c>
      <c r="J361" s="2365">
        <f>H361+I361</f>
        <v>43208</v>
      </c>
    </row>
    <row r="362" spans="1:10">
      <c r="A362" s="167">
        <f t="shared" si="19"/>
        <v>2023.05</v>
      </c>
      <c r="B362" s="215">
        <v>6776</v>
      </c>
      <c r="C362" s="3538">
        <v>8577</v>
      </c>
      <c r="D362" s="1946">
        <f t="shared" si="20"/>
        <v>15353</v>
      </c>
      <c r="E362" s="1582"/>
      <c r="F362" s="3553"/>
      <c r="G362" s="260"/>
      <c r="H362" s="223">
        <v>15295</v>
      </c>
      <c r="I362" s="3538">
        <v>29973</v>
      </c>
      <c r="J362" s="2365">
        <f t="shared" si="21"/>
        <v>45268</v>
      </c>
    </row>
    <row r="363" spans="1:10">
      <c r="A363" s="167">
        <f t="shared" si="19"/>
        <v>2023.06</v>
      </c>
      <c r="B363" s="215">
        <v>6785</v>
      </c>
      <c r="C363" s="3538">
        <v>8595</v>
      </c>
      <c r="D363" s="1946">
        <f t="shared" si="20"/>
        <v>15380</v>
      </c>
      <c r="E363" s="1582"/>
      <c r="F363" s="3553"/>
      <c r="G363" s="260"/>
      <c r="H363" s="223">
        <v>15153</v>
      </c>
      <c r="I363" s="3538">
        <v>29628</v>
      </c>
      <c r="J363" s="2365">
        <f t="shared" si="21"/>
        <v>44781</v>
      </c>
    </row>
    <row r="364" spans="1:10">
      <c r="A364" s="167">
        <f t="shared" si="19"/>
        <v>2023.07</v>
      </c>
      <c r="B364" s="215">
        <v>6862</v>
      </c>
      <c r="C364" s="3538">
        <v>8409</v>
      </c>
      <c r="D364" s="1946">
        <f t="shared" si="20"/>
        <v>15271</v>
      </c>
      <c r="E364" s="1582"/>
      <c r="F364" s="3553"/>
      <c r="G364" s="260"/>
      <c r="H364" s="223">
        <v>15199</v>
      </c>
      <c r="I364" s="3538">
        <v>28473</v>
      </c>
      <c r="J364" s="2365">
        <f t="shared" si="21"/>
        <v>43672</v>
      </c>
    </row>
    <row r="365" spans="1:10">
      <c r="A365" s="167">
        <f t="shared" si="19"/>
        <v>2023.08</v>
      </c>
      <c r="B365" s="215">
        <v>6337</v>
      </c>
      <c r="C365" s="3538">
        <v>8058</v>
      </c>
      <c r="D365" s="1946">
        <f t="shared" si="20"/>
        <v>14395</v>
      </c>
      <c r="E365" s="1582"/>
      <c r="F365" s="3553"/>
      <c r="G365" s="260"/>
      <c r="H365" s="223">
        <v>14532</v>
      </c>
      <c r="I365" s="3538">
        <v>27945</v>
      </c>
      <c r="J365" s="2365">
        <f t="shared" si="21"/>
        <v>42477</v>
      </c>
    </row>
    <row r="366" spans="1:10">
      <c r="A366" s="167">
        <f t="shared" si="19"/>
        <v>2023.09</v>
      </c>
      <c r="B366" s="215">
        <v>8125</v>
      </c>
      <c r="C366" s="3538">
        <v>9784</v>
      </c>
      <c r="D366" s="1946">
        <f t="shared" si="20"/>
        <v>17909</v>
      </c>
      <c r="E366" s="1582"/>
      <c r="F366" s="3553"/>
      <c r="G366" s="260"/>
      <c r="H366" s="223">
        <v>14511</v>
      </c>
      <c r="I366" s="3538">
        <v>27314</v>
      </c>
      <c r="J366" s="2365">
        <f t="shared" si="21"/>
        <v>41825</v>
      </c>
    </row>
    <row r="367" spans="1:10">
      <c r="A367" s="167">
        <f t="shared" si="19"/>
        <v>2023.1</v>
      </c>
      <c r="B367" s="215">
        <v>8386</v>
      </c>
      <c r="C367" s="3538">
        <v>10056</v>
      </c>
      <c r="D367" s="1946">
        <f t="shared" si="20"/>
        <v>18442</v>
      </c>
      <c r="E367" s="1582"/>
      <c r="F367" s="3553"/>
      <c r="G367" s="260"/>
      <c r="H367" s="223">
        <v>14368</v>
      </c>
      <c r="I367" s="3538">
        <v>25867</v>
      </c>
      <c r="J367" s="2365">
        <f t="shared" si="21"/>
        <v>40235</v>
      </c>
    </row>
    <row r="368" spans="1:10">
      <c r="A368" s="167">
        <f t="shared" si="19"/>
        <v>2023.11</v>
      </c>
      <c r="B368" s="215">
        <v>9904</v>
      </c>
      <c r="C368" s="3538">
        <v>8224</v>
      </c>
      <c r="D368" s="1946">
        <f t="shared" si="20"/>
        <v>18128</v>
      </c>
      <c r="E368" s="1582"/>
      <c r="F368" s="3553"/>
      <c r="G368" s="260"/>
      <c r="H368" s="223">
        <v>18279</v>
      </c>
      <c r="I368" s="3538">
        <v>30885</v>
      </c>
      <c r="J368" s="2365">
        <f t="shared" si="21"/>
        <v>49164</v>
      </c>
    </row>
    <row r="369" spans="1:10">
      <c r="A369" s="167">
        <f t="shared" si="19"/>
        <v>2023.12</v>
      </c>
      <c r="B369" s="215" t="e">
        <v>#N/A</v>
      </c>
      <c r="C369" s="3538" t="e">
        <v>#N/A</v>
      </c>
      <c r="D369" s="1946" t="e">
        <f t="shared" si="20"/>
        <v>#N/A</v>
      </c>
      <c r="E369" s="1582"/>
      <c r="F369" s="3553"/>
      <c r="G369" s="260"/>
      <c r="H369" s="223">
        <v>18064</v>
      </c>
      <c r="I369" s="3538">
        <v>28465</v>
      </c>
      <c r="J369" s="2365">
        <f t="shared" si="21"/>
        <v>46529</v>
      </c>
    </row>
    <row r="370" spans="1:10">
      <c r="A370" s="167">
        <f t="shared" ref="A370:A393" si="23">A358+1</f>
        <v>2024.01</v>
      </c>
      <c r="B370" s="215">
        <v>6024</v>
      </c>
      <c r="C370" s="3538">
        <v>6786</v>
      </c>
      <c r="D370" s="1946">
        <f t="shared" si="20"/>
        <v>12810</v>
      </c>
      <c r="E370" s="1582"/>
      <c r="F370" s="3553"/>
      <c r="G370" s="260"/>
      <c r="H370" s="223">
        <v>26242</v>
      </c>
      <c r="I370" s="3538">
        <v>39160</v>
      </c>
      <c r="J370" s="2365">
        <f t="shared" si="21"/>
        <v>65402</v>
      </c>
    </row>
    <row r="371" spans="1:10">
      <c r="A371" s="167">
        <f t="shared" si="23"/>
        <v>2024.02</v>
      </c>
      <c r="B371" s="215">
        <v>6405</v>
      </c>
      <c r="C371" s="3538">
        <v>7860</v>
      </c>
      <c r="D371" s="1946">
        <f t="shared" si="20"/>
        <v>14265</v>
      </c>
      <c r="E371" s="1582"/>
      <c r="F371" s="3553"/>
      <c r="G371" s="260"/>
      <c r="H371" s="223">
        <v>43072</v>
      </c>
      <c r="I371" s="3538">
        <v>145538</v>
      </c>
      <c r="J371" s="2365">
        <f t="shared" si="21"/>
        <v>188610</v>
      </c>
    </row>
    <row r="372" spans="1:10">
      <c r="A372" s="167">
        <f t="shared" si="23"/>
        <v>2024.03</v>
      </c>
      <c r="B372" s="215">
        <v>5695</v>
      </c>
      <c r="C372" s="3538">
        <v>6891</v>
      </c>
      <c r="D372" s="1946">
        <f t="shared" si="20"/>
        <v>12586</v>
      </c>
      <c r="E372" s="1582"/>
      <c r="F372" s="3553"/>
      <c r="G372" s="260"/>
      <c r="H372" s="223">
        <v>27584</v>
      </c>
      <c r="I372" s="3538">
        <v>37922</v>
      </c>
      <c r="J372" s="2365">
        <f t="shared" si="21"/>
        <v>65506</v>
      </c>
    </row>
    <row r="373" spans="1:10">
      <c r="A373" s="167">
        <f t="shared" si="23"/>
        <v>2024.04</v>
      </c>
      <c r="B373" s="215">
        <v>5440</v>
      </c>
      <c r="C373" s="3538">
        <v>6817</v>
      </c>
      <c r="D373" s="1946">
        <f t="shared" si="20"/>
        <v>12257</v>
      </c>
      <c r="E373" s="1582"/>
      <c r="F373" s="3553"/>
      <c r="G373" s="260"/>
      <c r="H373" s="223">
        <v>27438</v>
      </c>
      <c r="I373" s="3538">
        <v>38541</v>
      </c>
      <c r="J373" s="2365">
        <f t="shared" si="21"/>
        <v>65979</v>
      </c>
    </row>
    <row r="374" spans="1:10">
      <c r="A374" s="167">
        <f t="shared" si="23"/>
        <v>2024.05</v>
      </c>
      <c r="B374" s="215">
        <v>5279</v>
      </c>
      <c r="C374" s="3538">
        <v>6673</v>
      </c>
      <c r="D374" s="1946">
        <f t="shared" si="20"/>
        <v>11952</v>
      </c>
      <c r="E374" s="1582"/>
      <c r="F374" s="3553"/>
      <c r="G374" s="260"/>
      <c r="H374" s="223">
        <v>27518</v>
      </c>
      <c r="I374" s="3538">
        <v>38373</v>
      </c>
      <c r="J374" s="2365">
        <f t="shared" si="21"/>
        <v>65891</v>
      </c>
    </row>
    <row r="375" spans="1:10">
      <c r="A375" s="167">
        <f t="shared" si="23"/>
        <v>2024.06</v>
      </c>
      <c r="B375" s="215">
        <v>5259</v>
      </c>
      <c r="C375" s="3538">
        <v>6611</v>
      </c>
      <c r="D375" s="1946">
        <f t="shared" si="20"/>
        <v>11870</v>
      </c>
      <c r="E375" s="1582"/>
      <c r="F375" s="3553"/>
      <c r="G375" s="260"/>
      <c r="H375" s="223">
        <v>27389</v>
      </c>
      <c r="I375" s="3538">
        <v>37571</v>
      </c>
      <c r="J375" s="2365">
        <f t="shared" si="21"/>
        <v>64960</v>
      </c>
    </row>
    <row r="376" spans="1:10">
      <c r="A376" s="167">
        <f t="shared" si="23"/>
        <v>2024.07</v>
      </c>
      <c r="B376" s="215">
        <v>5226</v>
      </c>
      <c r="C376" s="3538">
        <v>6671</v>
      </c>
      <c r="D376" s="1946">
        <f t="shared" si="20"/>
        <v>11897</v>
      </c>
      <c r="E376" s="1582"/>
      <c r="F376" s="3553"/>
      <c r="G376" s="260"/>
      <c r="H376" s="223">
        <v>27325</v>
      </c>
      <c r="I376" s="3538">
        <v>38025</v>
      </c>
      <c r="J376" s="2365">
        <f t="shared" si="21"/>
        <v>65350</v>
      </c>
    </row>
    <row r="377" spans="1:10">
      <c r="A377" s="167">
        <f t="shared" si="23"/>
        <v>2024.08</v>
      </c>
      <c r="B377" s="215">
        <v>5040</v>
      </c>
      <c r="C377" s="3538">
        <v>6444</v>
      </c>
      <c r="D377" s="1946">
        <f t="shared" si="20"/>
        <v>11484</v>
      </c>
      <c r="E377" s="1582"/>
      <c r="F377" s="3553"/>
      <c r="G377" s="260"/>
      <c r="H377" s="223">
        <v>27461</v>
      </c>
      <c r="I377" s="3538">
        <v>38781</v>
      </c>
      <c r="J377" s="2365">
        <f t="shared" si="21"/>
        <v>66242</v>
      </c>
    </row>
    <row r="378" spans="1:10">
      <c r="A378" s="167">
        <f t="shared" si="23"/>
        <v>2024.09</v>
      </c>
      <c r="B378" s="215">
        <v>5063</v>
      </c>
      <c r="C378" s="3538">
        <v>6445</v>
      </c>
      <c r="D378" s="1946">
        <f t="shared" si="20"/>
        <v>11508</v>
      </c>
      <c r="E378" s="1582"/>
      <c r="F378" s="3553"/>
      <c r="G378" s="260"/>
      <c r="H378" s="223">
        <v>27180</v>
      </c>
      <c r="I378" s="3538">
        <v>36911</v>
      </c>
      <c r="J378" s="2365">
        <f t="shared" si="21"/>
        <v>64091</v>
      </c>
    </row>
    <row r="379" spans="1:10">
      <c r="A379" s="167">
        <f t="shared" si="23"/>
        <v>2024.1</v>
      </c>
      <c r="B379" s="215">
        <v>4946</v>
      </c>
      <c r="C379" s="3538">
        <v>6356</v>
      </c>
      <c r="D379" s="1946">
        <f t="shared" si="20"/>
        <v>11302</v>
      </c>
      <c r="E379" s="1582"/>
      <c r="F379" s="3553"/>
      <c r="G379" s="260"/>
      <c r="H379" s="223">
        <v>27174</v>
      </c>
      <c r="I379" s="3538">
        <v>37299</v>
      </c>
      <c r="J379" s="2365">
        <f t="shared" si="21"/>
        <v>64473</v>
      </c>
    </row>
    <row r="380" spans="1:10">
      <c r="A380" s="167">
        <f t="shared" si="23"/>
        <v>2024.11</v>
      </c>
      <c r="B380" s="215">
        <v>4989</v>
      </c>
      <c r="C380" s="3538">
        <v>6501</v>
      </c>
      <c r="D380" s="1946">
        <f t="shared" si="20"/>
        <v>11490</v>
      </c>
      <c r="E380" s="1582"/>
      <c r="F380" s="3553"/>
      <c r="G380" s="260"/>
      <c r="H380" s="223">
        <v>27118</v>
      </c>
      <c r="I380" s="3538">
        <v>36825</v>
      </c>
      <c r="J380" s="2365">
        <f t="shared" si="21"/>
        <v>63943</v>
      </c>
    </row>
    <row r="381" spans="1:10">
      <c r="A381" s="167">
        <f t="shared" si="23"/>
        <v>2024.12</v>
      </c>
      <c r="B381" s="215">
        <v>4972</v>
      </c>
      <c r="C381" s="3538">
        <v>6219</v>
      </c>
      <c r="D381" s="1946">
        <f t="shared" si="20"/>
        <v>11191</v>
      </c>
      <c r="E381" s="1582"/>
      <c r="F381" s="3553"/>
      <c r="G381" s="260"/>
      <c r="H381" s="223">
        <v>27062</v>
      </c>
      <c r="I381" s="3538">
        <v>35997</v>
      </c>
      <c r="J381" s="2365">
        <f t="shared" si="21"/>
        <v>63059</v>
      </c>
    </row>
    <row r="382" spans="1:10">
      <c r="A382" s="167">
        <f t="shared" si="23"/>
        <v>2025.01</v>
      </c>
      <c r="B382" s="215">
        <v>4844</v>
      </c>
      <c r="C382" s="3538">
        <v>6201</v>
      </c>
      <c r="D382" s="1946">
        <f t="shared" si="20"/>
        <v>11045</v>
      </c>
      <c r="E382" s="1582"/>
      <c r="F382" s="3553"/>
      <c r="G382" s="260"/>
      <c r="H382" s="223">
        <v>26992</v>
      </c>
      <c r="I382" s="3538">
        <v>36322</v>
      </c>
      <c r="J382" s="2365">
        <f t="shared" si="21"/>
        <v>63314</v>
      </c>
    </row>
    <row r="383" spans="1:10">
      <c r="A383" s="167">
        <f t="shared" si="23"/>
        <v>2025.02</v>
      </c>
      <c r="B383" s="215">
        <v>4737</v>
      </c>
      <c r="C383" s="3538">
        <v>6027</v>
      </c>
      <c r="D383" s="1946">
        <f t="shared" si="20"/>
        <v>10764</v>
      </c>
      <c r="E383" s="1582"/>
      <c r="F383" s="3553"/>
      <c r="G383" s="260"/>
      <c r="H383" s="223">
        <v>27130</v>
      </c>
      <c r="I383" s="3538">
        <v>36375</v>
      </c>
      <c r="J383" s="2365">
        <f t="shared" si="21"/>
        <v>63505</v>
      </c>
    </row>
    <row r="384" spans="1:10">
      <c r="A384" s="167">
        <f t="shared" si="23"/>
        <v>2025.03</v>
      </c>
      <c r="B384" s="215">
        <v>4813</v>
      </c>
      <c r="C384" s="3538">
        <v>6010</v>
      </c>
      <c r="D384" s="1946">
        <f t="shared" si="20"/>
        <v>10823</v>
      </c>
      <c r="E384" s="1582"/>
      <c r="F384" s="3553"/>
      <c r="G384" s="260"/>
      <c r="H384" s="223">
        <v>27075</v>
      </c>
      <c r="I384" s="3538">
        <v>36283</v>
      </c>
      <c r="J384" s="2365">
        <f t="shared" si="21"/>
        <v>63358</v>
      </c>
    </row>
    <row r="385" spans="1:10">
      <c r="A385" s="167">
        <f t="shared" si="23"/>
        <v>2025.04</v>
      </c>
      <c r="B385" s="215">
        <v>4339</v>
      </c>
      <c r="C385" s="3538">
        <v>5569</v>
      </c>
      <c r="D385" s="1946">
        <f t="shared" si="20"/>
        <v>9908</v>
      </c>
      <c r="E385" s="1582"/>
      <c r="F385" s="3553"/>
      <c r="G385" s="260"/>
      <c r="H385" s="223">
        <v>26948</v>
      </c>
      <c r="I385" s="3538">
        <v>35996</v>
      </c>
      <c r="J385" s="2365">
        <f t="shared" si="21"/>
        <v>62944</v>
      </c>
    </row>
    <row r="386" spans="1:10">
      <c r="A386" s="167">
        <f t="shared" si="23"/>
        <v>2025.05</v>
      </c>
      <c r="B386" s="215">
        <v>4301</v>
      </c>
      <c r="C386" s="3538">
        <v>5541</v>
      </c>
      <c r="D386" s="1946">
        <f t="shared" si="20"/>
        <v>9842</v>
      </c>
      <c r="E386" s="1582"/>
      <c r="F386" s="3553"/>
      <c r="G386" s="260"/>
      <c r="H386" s="223">
        <v>26964</v>
      </c>
      <c r="I386" s="3538">
        <v>36358</v>
      </c>
      <c r="J386" s="2365">
        <f t="shared" si="21"/>
        <v>63322</v>
      </c>
    </row>
    <row r="387" spans="1:10">
      <c r="A387" s="167">
        <f t="shared" si="23"/>
        <v>2025.06</v>
      </c>
      <c r="B387" s="215">
        <v>4302</v>
      </c>
      <c r="C387" s="3538">
        <v>5444</v>
      </c>
      <c r="D387" s="1946">
        <f t="shared" si="20"/>
        <v>9746</v>
      </c>
      <c r="E387" s="1582"/>
      <c r="F387" s="3553"/>
      <c r="G387" s="260"/>
      <c r="H387" s="223">
        <v>26998</v>
      </c>
      <c r="I387" s="3538">
        <v>35679</v>
      </c>
      <c r="J387" s="2365">
        <f t="shared" si="21"/>
        <v>62677</v>
      </c>
    </row>
    <row r="388" spans="1:10">
      <c r="A388" s="167">
        <f t="shared" si="23"/>
        <v>2025.07</v>
      </c>
      <c r="B388" s="215">
        <v>4229</v>
      </c>
      <c r="C388" s="3538">
        <v>5448</v>
      </c>
      <c r="D388" s="1946">
        <f t="shared" si="20"/>
        <v>9677</v>
      </c>
      <c r="E388" s="1582"/>
      <c r="F388" s="3553"/>
      <c r="G388" s="260"/>
      <c r="H388" s="223">
        <v>26874</v>
      </c>
      <c r="I388" s="3538">
        <v>35974</v>
      </c>
      <c r="J388" s="2365">
        <f t="shared" si="21"/>
        <v>62848</v>
      </c>
    </row>
    <row r="389" spans="1:10">
      <c r="A389" s="167">
        <f t="shared" si="23"/>
        <v>2025.08</v>
      </c>
      <c r="B389" s="215">
        <v>4304</v>
      </c>
      <c r="C389" s="3538">
        <v>5438</v>
      </c>
      <c r="D389" s="1946">
        <f t="shared" si="20"/>
        <v>9742</v>
      </c>
      <c r="E389" s="1582"/>
      <c r="F389" s="3553"/>
      <c r="G389" s="260"/>
      <c r="H389" s="223">
        <v>26920</v>
      </c>
      <c r="I389" s="3538">
        <v>35670</v>
      </c>
      <c r="J389" s="2365">
        <f t="shared" si="21"/>
        <v>62590</v>
      </c>
    </row>
    <row r="390" spans="1:10">
      <c r="A390" s="167">
        <f t="shared" si="23"/>
        <v>2025.09</v>
      </c>
      <c r="B390" s="215">
        <v>4217</v>
      </c>
      <c r="C390" s="3538">
        <v>5574</v>
      </c>
      <c r="D390" s="1946">
        <f t="shared" si="20"/>
        <v>9791</v>
      </c>
      <c r="E390" s="1582"/>
      <c r="F390" s="3553"/>
      <c r="G390" s="260"/>
      <c r="H390" s="223">
        <v>26839</v>
      </c>
      <c r="I390" s="3538">
        <v>35742</v>
      </c>
      <c r="J390" s="2365">
        <f t="shared" si="21"/>
        <v>62581</v>
      </c>
    </row>
    <row r="391" spans="1:10">
      <c r="A391" s="167">
        <f t="shared" si="23"/>
        <v>2025.1</v>
      </c>
      <c r="B391" s="215">
        <v>4176</v>
      </c>
      <c r="C391" s="3538">
        <v>5345</v>
      </c>
      <c r="D391" s="1946">
        <f t="shared" si="20"/>
        <v>9521</v>
      </c>
      <c r="E391" s="1582"/>
      <c r="F391" s="3553"/>
      <c r="G391" s="260"/>
      <c r="H391" s="223">
        <v>26788</v>
      </c>
      <c r="I391" s="3538">
        <v>38242</v>
      </c>
      <c r="J391" s="2365">
        <f t="shared" si="21"/>
        <v>65030</v>
      </c>
    </row>
    <row r="392" spans="1:10">
      <c r="A392" s="167">
        <f t="shared" si="23"/>
        <v>2025.11</v>
      </c>
      <c r="B392" s="215">
        <v>4198</v>
      </c>
      <c r="C392" s="3538">
        <v>5390</v>
      </c>
      <c r="D392" s="1946">
        <f t="shared" si="20"/>
        <v>9588</v>
      </c>
      <c r="E392" s="1582"/>
      <c r="F392" s="3553"/>
      <c r="G392" s="260"/>
      <c r="H392" s="223">
        <v>26840</v>
      </c>
      <c r="I392" s="3538">
        <v>36033</v>
      </c>
      <c r="J392" s="2365">
        <f t="shared" si="21"/>
        <v>62873</v>
      </c>
    </row>
    <row r="393" spans="1:10">
      <c r="A393" s="167">
        <f t="shared" si="23"/>
        <v>2025.12</v>
      </c>
      <c r="B393" s="215" t="e">
        <v>#N/A</v>
      </c>
      <c r="C393" s="3538" t="e">
        <v>#N/A</v>
      </c>
      <c r="D393" s="1946" t="e">
        <f t="shared" si="20"/>
        <v>#N/A</v>
      </c>
      <c r="E393" s="1582"/>
      <c r="F393" s="3553"/>
      <c r="G393" s="260"/>
      <c r="H393" s="223">
        <v>26632</v>
      </c>
      <c r="I393" s="3538">
        <v>35692</v>
      </c>
      <c r="J393" s="2365">
        <f t="shared" si="21"/>
        <v>62324</v>
      </c>
    </row>
    <row r="394" spans="1:10">
      <c r="A394" s="972">
        <v>2026.01</v>
      </c>
      <c r="B394" s="215" t="e">
        <v>#N/A</v>
      </c>
      <c r="C394" s="3538" t="e">
        <v>#N/A</v>
      </c>
      <c r="D394" s="1946" t="e">
        <f t="shared" ref="D394:D453" si="24">B394+C394</f>
        <v>#N/A</v>
      </c>
      <c r="E394" s="1582"/>
      <c r="F394" s="3553"/>
      <c r="G394" s="260"/>
      <c r="H394" s="223" t="e">
        <v>#N/A</v>
      </c>
      <c r="I394" s="3538" t="e">
        <v>#N/A</v>
      </c>
      <c r="J394" s="2365" t="e">
        <f t="shared" ref="J394:J453" si="25">H394+I394</f>
        <v>#N/A</v>
      </c>
    </row>
    <row r="395" spans="1:10">
      <c r="A395" s="972">
        <v>2026.02</v>
      </c>
      <c r="B395" s="215" t="e">
        <v>#N/A</v>
      </c>
      <c r="C395" s="3538" t="e">
        <v>#N/A</v>
      </c>
      <c r="D395" s="1946" t="e">
        <f t="shared" si="24"/>
        <v>#N/A</v>
      </c>
      <c r="E395" s="1582"/>
      <c r="F395" s="3553"/>
      <c r="G395" s="260"/>
      <c r="H395" s="223" t="e">
        <v>#N/A</v>
      </c>
      <c r="I395" s="3538" t="e">
        <v>#N/A</v>
      </c>
      <c r="J395" s="2365" t="e">
        <f t="shared" si="25"/>
        <v>#N/A</v>
      </c>
    </row>
    <row r="396" spans="1:10">
      <c r="A396" s="972">
        <v>2026.03</v>
      </c>
      <c r="B396" s="215" t="e">
        <v>#N/A</v>
      </c>
      <c r="C396" s="3538" t="e">
        <v>#N/A</v>
      </c>
      <c r="D396" s="1946" t="e">
        <f t="shared" si="24"/>
        <v>#N/A</v>
      </c>
      <c r="E396" s="1582"/>
      <c r="F396" s="3553"/>
      <c r="G396" s="260"/>
      <c r="H396" s="223" t="e">
        <v>#N/A</v>
      </c>
      <c r="I396" s="3538" t="e">
        <v>#N/A</v>
      </c>
      <c r="J396" s="2365" t="e">
        <f t="shared" si="25"/>
        <v>#N/A</v>
      </c>
    </row>
    <row r="397" spans="1:10">
      <c r="A397" s="972">
        <v>2026.04</v>
      </c>
      <c r="B397" s="215" t="e">
        <v>#N/A</v>
      </c>
      <c r="C397" s="3538" t="e">
        <v>#N/A</v>
      </c>
      <c r="D397" s="1946" t="e">
        <f t="shared" si="24"/>
        <v>#N/A</v>
      </c>
      <c r="E397" s="1582"/>
      <c r="F397" s="3553"/>
      <c r="G397" s="260"/>
      <c r="H397" s="223" t="e">
        <v>#N/A</v>
      </c>
      <c r="I397" s="3538" t="e">
        <v>#N/A</v>
      </c>
      <c r="J397" s="2365" t="e">
        <f t="shared" si="25"/>
        <v>#N/A</v>
      </c>
    </row>
    <row r="398" spans="1:10">
      <c r="A398" s="972">
        <v>2026.05</v>
      </c>
      <c r="B398" s="215" t="e">
        <v>#N/A</v>
      </c>
      <c r="C398" s="3538" t="e">
        <v>#N/A</v>
      </c>
      <c r="D398" s="1946" t="e">
        <f t="shared" si="24"/>
        <v>#N/A</v>
      </c>
      <c r="E398" s="1582"/>
      <c r="F398" s="3553"/>
      <c r="G398" s="260"/>
      <c r="H398" s="223" t="e">
        <v>#N/A</v>
      </c>
      <c r="I398" s="3538" t="e">
        <v>#N/A</v>
      </c>
      <c r="J398" s="2365" t="e">
        <f t="shared" si="25"/>
        <v>#N/A</v>
      </c>
    </row>
    <row r="399" spans="1:10">
      <c r="A399" s="972">
        <v>2026.06</v>
      </c>
      <c r="B399" s="215" t="e">
        <v>#N/A</v>
      </c>
      <c r="C399" s="3538" t="e">
        <v>#N/A</v>
      </c>
      <c r="D399" s="1946" t="e">
        <f t="shared" si="24"/>
        <v>#N/A</v>
      </c>
      <c r="E399" s="1582"/>
      <c r="F399" s="3553"/>
      <c r="G399" s="260"/>
      <c r="H399" s="223" t="e">
        <v>#N/A</v>
      </c>
      <c r="I399" s="3538" t="e">
        <v>#N/A</v>
      </c>
      <c r="J399" s="2365" t="e">
        <f t="shared" si="25"/>
        <v>#N/A</v>
      </c>
    </row>
    <row r="400" spans="1:10">
      <c r="A400" s="972">
        <v>2026.07</v>
      </c>
      <c r="B400" s="215" t="e">
        <v>#N/A</v>
      </c>
      <c r="C400" s="3538" t="e">
        <v>#N/A</v>
      </c>
      <c r="D400" s="1946" t="e">
        <f t="shared" si="24"/>
        <v>#N/A</v>
      </c>
      <c r="E400" s="1582"/>
      <c r="F400" s="3553"/>
      <c r="G400" s="260"/>
      <c r="H400" s="223" t="e">
        <v>#N/A</v>
      </c>
      <c r="I400" s="3538" t="e">
        <v>#N/A</v>
      </c>
      <c r="J400" s="2365" t="e">
        <f t="shared" si="25"/>
        <v>#N/A</v>
      </c>
    </row>
    <row r="401" spans="1:10">
      <c r="A401" s="972">
        <v>2026.08</v>
      </c>
      <c r="B401" s="215" t="e">
        <v>#N/A</v>
      </c>
      <c r="C401" s="3538" t="e">
        <v>#N/A</v>
      </c>
      <c r="D401" s="1946" t="e">
        <f t="shared" si="24"/>
        <v>#N/A</v>
      </c>
      <c r="E401" s="1582"/>
      <c r="F401" s="3553"/>
      <c r="G401" s="260"/>
      <c r="H401" s="223" t="e">
        <v>#N/A</v>
      </c>
      <c r="I401" s="3538" t="e">
        <v>#N/A</v>
      </c>
      <c r="J401" s="2365" t="e">
        <f t="shared" si="25"/>
        <v>#N/A</v>
      </c>
    </row>
    <row r="402" spans="1:10">
      <c r="A402" s="972">
        <v>2026.09</v>
      </c>
      <c r="B402" s="215" t="e">
        <v>#N/A</v>
      </c>
      <c r="C402" s="3538" t="e">
        <v>#N/A</v>
      </c>
      <c r="D402" s="1946" t="e">
        <f t="shared" si="24"/>
        <v>#N/A</v>
      </c>
      <c r="E402" s="1582"/>
      <c r="F402" s="3553"/>
      <c r="G402" s="260"/>
      <c r="H402" s="223" t="e">
        <v>#N/A</v>
      </c>
      <c r="I402" s="3538" t="e">
        <v>#N/A</v>
      </c>
      <c r="J402" s="2365" t="e">
        <f t="shared" si="25"/>
        <v>#N/A</v>
      </c>
    </row>
    <row r="403" spans="1:10">
      <c r="A403" s="972">
        <v>2026.1</v>
      </c>
      <c r="B403" s="215" t="e">
        <v>#N/A</v>
      </c>
      <c r="C403" s="3538" t="e">
        <v>#N/A</v>
      </c>
      <c r="D403" s="1946" t="e">
        <f t="shared" si="24"/>
        <v>#N/A</v>
      </c>
      <c r="E403" s="1582"/>
      <c r="F403" s="3553"/>
      <c r="G403" s="260"/>
      <c r="H403" s="223" t="e">
        <v>#N/A</v>
      </c>
      <c r="I403" s="3538" t="e">
        <v>#N/A</v>
      </c>
      <c r="J403" s="2365" t="e">
        <f t="shared" si="25"/>
        <v>#N/A</v>
      </c>
    </row>
    <row r="404" spans="1:10">
      <c r="A404" s="972">
        <v>2026.11</v>
      </c>
      <c r="B404" s="215" t="e">
        <v>#N/A</v>
      </c>
      <c r="C404" s="3538" t="e">
        <v>#N/A</v>
      </c>
      <c r="D404" s="1946" t="e">
        <f t="shared" si="24"/>
        <v>#N/A</v>
      </c>
      <c r="E404" s="1582"/>
      <c r="F404" s="3553"/>
      <c r="G404" s="260"/>
      <c r="H404" s="223" t="e">
        <v>#N/A</v>
      </c>
      <c r="I404" s="3538" t="e">
        <v>#N/A</v>
      </c>
      <c r="J404" s="2365" t="e">
        <f t="shared" si="25"/>
        <v>#N/A</v>
      </c>
    </row>
    <row r="405" spans="1:10">
      <c r="A405" s="972">
        <v>2026.12</v>
      </c>
      <c r="B405" s="215" t="e">
        <v>#N/A</v>
      </c>
      <c r="C405" s="3538" t="e">
        <v>#N/A</v>
      </c>
      <c r="D405" s="1946" t="e">
        <f t="shared" si="24"/>
        <v>#N/A</v>
      </c>
      <c r="E405" s="1582"/>
      <c r="F405" s="3553"/>
      <c r="G405" s="260"/>
      <c r="H405" s="223" t="e">
        <v>#N/A</v>
      </c>
      <c r="I405" s="3538" t="e">
        <v>#N/A</v>
      </c>
      <c r="J405" s="2365" t="e">
        <f t="shared" si="25"/>
        <v>#N/A</v>
      </c>
    </row>
    <row r="406" spans="1:10">
      <c r="A406" s="972">
        <v>2027.01</v>
      </c>
      <c r="B406" s="215" t="e">
        <v>#N/A</v>
      </c>
      <c r="C406" s="3538" t="e">
        <v>#N/A</v>
      </c>
      <c r="D406" s="1946" t="e">
        <f t="shared" si="24"/>
        <v>#N/A</v>
      </c>
      <c r="E406" s="1582"/>
      <c r="F406" s="3553"/>
      <c r="G406" s="260"/>
      <c r="H406" s="223" t="e">
        <v>#N/A</v>
      </c>
      <c r="I406" s="3538" t="e">
        <v>#N/A</v>
      </c>
      <c r="J406" s="2365" t="e">
        <f t="shared" si="25"/>
        <v>#N/A</v>
      </c>
    </row>
    <row r="407" spans="1:10">
      <c r="A407" s="972">
        <v>2027.02</v>
      </c>
      <c r="B407" s="215" t="e">
        <v>#N/A</v>
      </c>
      <c r="C407" s="3538" t="e">
        <v>#N/A</v>
      </c>
      <c r="D407" s="1946" t="e">
        <f t="shared" si="24"/>
        <v>#N/A</v>
      </c>
      <c r="E407" s="1582"/>
      <c r="F407" s="3553"/>
      <c r="G407" s="260"/>
      <c r="H407" s="223" t="e">
        <v>#N/A</v>
      </c>
      <c r="I407" s="3538" t="e">
        <v>#N/A</v>
      </c>
      <c r="J407" s="2365" t="e">
        <f t="shared" si="25"/>
        <v>#N/A</v>
      </c>
    </row>
    <row r="408" spans="1:10">
      <c r="A408" s="972">
        <v>2027.03</v>
      </c>
      <c r="B408" s="215" t="e">
        <v>#N/A</v>
      </c>
      <c r="C408" s="3538" t="e">
        <v>#N/A</v>
      </c>
      <c r="D408" s="1946" t="e">
        <f t="shared" si="24"/>
        <v>#N/A</v>
      </c>
      <c r="E408" s="1582"/>
      <c r="F408" s="3553"/>
      <c r="G408" s="260"/>
      <c r="H408" s="223" t="e">
        <v>#N/A</v>
      </c>
      <c r="I408" s="3538" t="e">
        <v>#N/A</v>
      </c>
      <c r="J408" s="2365" t="e">
        <f t="shared" si="25"/>
        <v>#N/A</v>
      </c>
    </row>
    <row r="409" spans="1:10">
      <c r="A409" s="972">
        <v>2027.04</v>
      </c>
      <c r="B409" s="215" t="e">
        <v>#N/A</v>
      </c>
      <c r="C409" s="3538" t="e">
        <v>#N/A</v>
      </c>
      <c r="D409" s="1946" t="e">
        <f t="shared" si="24"/>
        <v>#N/A</v>
      </c>
      <c r="E409" s="1582"/>
      <c r="F409" s="3553"/>
      <c r="G409" s="260"/>
      <c r="H409" s="223" t="e">
        <v>#N/A</v>
      </c>
      <c r="I409" s="3538" t="e">
        <v>#N/A</v>
      </c>
      <c r="J409" s="2365" t="e">
        <f t="shared" si="25"/>
        <v>#N/A</v>
      </c>
    </row>
    <row r="410" spans="1:10">
      <c r="A410" s="972">
        <v>2027.05</v>
      </c>
      <c r="B410" s="215" t="e">
        <v>#N/A</v>
      </c>
      <c r="C410" s="3538" t="e">
        <v>#N/A</v>
      </c>
      <c r="D410" s="1946" t="e">
        <f t="shared" si="24"/>
        <v>#N/A</v>
      </c>
      <c r="E410" s="1582"/>
      <c r="F410" s="3553"/>
      <c r="G410" s="260"/>
      <c r="H410" s="223" t="e">
        <v>#N/A</v>
      </c>
      <c r="I410" s="3538" t="e">
        <v>#N/A</v>
      </c>
      <c r="J410" s="2365" t="e">
        <f t="shared" si="25"/>
        <v>#N/A</v>
      </c>
    </row>
    <row r="411" spans="1:10">
      <c r="A411" s="972">
        <v>2027.06</v>
      </c>
      <c r="B411" s="215" t="e">
        <v>#N/A</v>
      </c>
      <c r="C411" s="3538" t="e">
        <v>#N/A</v>
      </c>
      <c r="D411" s="1946" t="e">
        <f t="shared" si="24"/>
        <v>#N/A</v>
      </c>
      <c r="E411" s="1582"/>
      <c r="F411" s="3553"/>
      <c r="G411" s="260"/>
      <c r="H411" s="223" t="e">
        <v>#N/A</v>
      </c>
      <c r="I411" s="3538" t="e">
        <v>#N/A</v>
      </c>
      <c r="J411" s="2365" t="e">
        <f t="shared" si="25"/>
        <v>#N/A</v>
      </c>
    </row>
    <row r="412" spans="1:10">
      <c r="A412" s="972">
        <v>2027.07</v>
      </c>
      <c r="B412" s="215" t="e">
        <v>#N/A</v>
      </c>
      <c r="C412" s="3538" t="e">
        <v>#N/A</v>
      </c>
      <c r="D412" s="1946" t="e">
        <f t="shared" si="24"/>
        <v>#N/A</v>
      </c>
      <c r="E412" s="1582"/>
      <c r="F412" s="3553"/>
      <c r="G412" s="260"/>
      <c r="H412" s="223" t="e">
        <v>#N/A</v>
      </c>
      <c r="I412" s="3538" t="e">
        <v>#N/A</v>
      </c>
      <c r="J412" s="2365" t="e">
        <f t="shared" si="25"/>
        <v>#N/A</v>
      </c>
    </row>
    <row r="413" spans="1:10">
      <c r="A413" s="972">
        <v>2027.08</v>
      </c>
      <c r="B413" s="215" t="e">
        <v>#N/A</v>
      </c>
      <c r="C413" s="3538" t="e">
        <v>#N/A</v>
      </c>
      <c r="D413" s="1946" t="e">
        <f t="shared" si="24"/>
        <v>#N/A</v>
      </c>
      <c r="E413" s="1582"/>
      <c r="F413" s="3553"/>
      <c r="G413" s="260"/>
      <c r="H413" s="223" t="e">
        <v>#N/A</v>
      </c>
      <c r="I413" s="3538" t="e">
        <v>#N/A</v>
      </c>
      <c r="J413" s="2365" t="e">
        <f t="shared" si="25"/>
        <v>#N/A</v>
      </c>
    </row>
    <row r="414" spans="1:10">
      <c r="A414" s="972">
        <v>2027.09</v>
      </c>
      <c r="B414" s="215" t="e">
        <v>#N/A</v>
      </c>
      <c r="C414" s="3538" t="e">
        <v>#N/A</v>
      </c>
      <c r="D414" s="1946" t="e">
        <f t="shared" si="24"/>
        <v>#N/A</v>
      </c>
      <c r="E414" s="1582"/>
      <c r="F414" s="3553"/>
      <c r="G414" s="260"/>
      <c r="H414" s="223" t="e">
        <v>#N/A</v>
      </c>
      <c r="I414" s="3538" t="e">
        <v>#N/A</v>
      </c>
      <c r="J414" s="2365" t="e">
        <f t="shared" si="25"/>
        <v>#N/A</v>
      </c>
    </row>
    <row r="415" spans="1:10">
      <c r="A415" s="972">
        <v>2027.1</v>
      </c>
      <c r="B415" s="215" t="e">
        <v>#N/A</v>
      </c>
      <c r="C415" s="3538" t="e">
        <v>#N/A</v>
      </c>
      <c r="D415" s="1946" t="e">
        <f t="shared" si="24"/>
        <v>#N/A</v>
      </c>
      <c r="E415" s="1582"/>
      <c r="F415" s="3553"/>
      <c r="G415" s="260"/>
      <c r="H415" s="223" t="e">
        <v>#N/A</v>
      </c>
      <c r="I415" s="3538" t="e">
        <v>#N/A</v>
      </c>
      <c r="J415" s="2365" t="e">
        <f t="shared" si="25"/>
        <v>#N/A</v>
      </c>
    </row>
    <row r="416" spans="1:10">
      <c r="A416" s="972">
        <v>2027.11</v>
      </c>
      <c r="B416" s="215" t="e">
        <v>#N/A</v>
      </c>
      <c r="C416" s="3538" t="e">
        <v>#N/A</v>
      </c>
      <c r="D416" s="1946" t="e">
        <f t="shared" si="24"/>
        <v>#N/A</v>
      </c>
      <c r="E416" s="1582"/>
      <c r="F416" s="3553"/>
      <c r="G416" s="260"/>
      <c r="H416" s="223" t="e">
        <v>#N/A</v>
      </c>
      <c r="I416" s="3538" t="e">
        <v>#N/A</v>
      </c>
      <c r="J416" s="2365" t="e">
        <f t="shared" si="25"/>
        <v>#N/A</v>
      </c>
    </row>
    <row r="417" spans="1:10">
      <c r="A417" s="972">
        <v>2027.12</v>
      </c>
      <c r="B417" s="215" t="e">
        <v>#N/A</v>
      </c>
      <c r="C417" s="3538" t="e">
        <v>#N/A</v>
      </c>
      <c r="D417" s="1946" t="e">
        <f t="shared" si="24"/>
        <v>#N/A</v>
      </c>
      <c r="E417" s="1582"/>
      <c r="F417" s="3553"/>
      <c r="G417" s="260"/>
      <c r="H417" s="223" t="e">
        <v>#N/A</v>
      </c>
      <c r="I417" s="3538" t="e">
        <v>#N/A</v>
      </c>
      <c r="J417" s="2365" t="e">
        <f t="shared" si="25"/>
        <v>#N/A</v>
      </c>
    </row>
    <row r="418" spans="1:10">
      <c r="A418" s="972">
        <v>2028.01</v>
      </c>
      <c r="B418" s="215" t="e">
        <v>#N/A</v>
      </c>
      <c r="C418" s="3538" t="e">
        <v>#N/A</v>
      </c>
      <c r="D418" s="1946" t="e">
        <f t="shared" si="24"/>
        <v>#N/A</v>
      </c>
      <c r="E418" s="1582"/>
      <c r="F418" s="3553"/>
      <c r="G418" s="260"/>
      <c r="H418" s="223" t="e">
        <v>#N/A</v>
      </c>
      <c r="I418" s="3538" t="e">
        <v>#N/A</v>
      </c>
      <c r="J418" s="2365" t="e">
        <f t="shared" si="25"/>
        <v>#N/A</v>
      </c>
    </row>
    <row r="419" spans="1:10">
      <c r="A419" s="972">
        <v>2028.02</v>
      </c>
      <c r="B419" s="215" t="e">
        <v>#N/A</v>
      </c>
      <c r="C419" s="3538" t="e">
        <v>#N/A</v>
      </c>
      <c r="D419" s="1946" t="e">
        <f t="shared" si="24"/>
        <v>#N/A</v>
      </c>
      <c r="E419" s="1582"/>
      <c r="F419" s="3553"/>
      <c r="G419" s="260"/>
      <c r="H419" s="223" t="e">
        <v>#N/A</v>
      </c>
      <c r="I419" s="3538" t="e">
        <v>#N/A</v>
      </c>
      <c r="J419" s="2365" t="e">
        <f t="shared" si="25"/>
        <v>#N/A</v>
      </c>
    </row>
    <row r="420" spans="1:10">
      <c r="A420" s="972">
        <v>2028.03</v>
      </c>
      <c r="B420" s="215" t="e">
        <v>#N/A</v>
      </c>
      <c r="C420" s="3538" t="e">
        <v>#N/A</v>
      </c>
      <c r="D420" s="1946" t="e">
        <f t="shared" si="24"/>
        <v>#N/A</v>
      </c>
      <c r="E420" s="1582"/>
      <c r="F420" s="3553"/>
      <c r="G420" s="260"/>
      <c r="H420" s="223" t="e">
        <v>#N/A</v>
      </c>
      <c r="I420" s="3538" t="e">
        <v>#N/A</v>
      </c>
      <c r="J420" s="2365" t="e">
        <f t="shared" si="25"/>
        <v>#N/A</v>
      </c>
    </row>
    <row r="421" spans="1:10">
      <c r="A421" s="972">
        <v>2028.04</v>
      </c>
      <c r="B421" s="215" t="e">
        <v>#N/A</v>
      </c>
      <c r="C421" s="3538" t="e">
        <v>#N/A</v>
      </c>
      <c r="D421" s="1946" t="e">
        <f t="shared" si="24"/>
        <v>#N/A</v>
      </c>
      <c r="E421" s="1582"/>
      <c r="F421" s="3553"/>
      <c r="G421" s="260"/>
      <c r="H421" s="223" t="e">
        <v>#N/A</v>
      </c>
      <c r="I421" s="3538" t="e">
        <v>#N/A</v>
      </c>
      <c r="J421" s="2365" t="e">
        <f t="shared" si="25"/>
        <v>#N/A</v>
      </c>
    </row>
    <row r="422" spans="1:10">
      <c r="A422" s="972">
        <v>2028.05</v>
      </c>
      <c r="B422" s="215" t="e">
        <v>#N/A</v>
      </c>
      <c r="C422" s="3538" t="e">
        <v>#N/A</v>
      </c>
      <c r="D422" s="1946" t="e">
        <f t="shared" si="24"/>
        <v>#N/A</v>
      </c>
      <c r="E422" s="1582"/>
      <c r="F422" s="3553"/>
      <c r="G422" s="260"/>
      <c r="H422" s="223" t="e">
        <v>#N/A</v>
      </c>
      <c r="I422" s="3538" t="e">
        <v>#N/A</v>
      </c>
      <c r="J422" s="2365" t="e">
        <f t="shared" si="25"/>
        <v>#N/A</v>
      </c>
    </row>
    <row r="423" spans="1:10">
      <c r="A423" s="972">
        <v>2028.06</v>
      </c>
      <c r="B423" s="215" t="e">
        <v>#N/A</v>
      </c>
      <c r="C423" s="3538" t="e">
        <v>#N/A</v>
      </c>
      <c r="D423" s="1946" t="e">
        <f t="shared" si="24"/>
        <v>#N/A</v>
      </c>
      <c r="E423" s="1582"/>
      <c r="F423" s="3553"/>
      <c r="G423" s="260"/>
      <c r="H423" s="223" t="e">
        <v>#N/A</v>
      </c>
      <c r="I423" s="3538" t="e">
        <v>#N/A</v>
      </c>
      <c r="J423" s="2365" t="e">
        <f t="shared" si="25"/>
        <v>#N/A</v>
      </c>
    </row>
    <row r="424" spans="1:10">
      <c r="A424" s="972">
        <v>2028.07</v>
      </c>
      <c r="B424" s="215" t="e">
        <v>#N/A</v>
      </c>
      <c r="C424" s="3538" t="e">
        <v>#N/A</v>
      </c>
      <c r="D424" s="1946" t="e">
        <f t="shared" si="24"/>
        <v>#N/A</v>
      </c>
      <c r="E424" s="1582"/>
      <c r="F424" s="3553"/>
      <c r="G424" s="260"/>
      <c r="H424" s="223" t="e">
        <v>#N/A</v>
      </c>
      <c r="I424" s="3538" t="e">
        <v>#N/A</v>
      </c>
      <c r="J424" s="2365" t="e">
        <f t="shared" si="25"/>
        <v>#N/A</v>
      </c>
    </row>
    <row r="425" spans="1:10">
      <c r="A425" s="972">
        <v>2028.08</v>
      </c>
      <c r="B425" s="215" t="e">
        <v>#N/A</v>
      </c>
      <c r="C425" s="3538" t="e">
        <v>#N/A</v>
      </c>
      <c r="D425" s="1946" t="e">
        <f t="shared" si="24"/>
        <v>#N/A</v>
      </c>
      <c r="E425" s="1582"/>
      <c r="F425" s="3553"/>
      <c r="G425" s="260"/>
      <c r="H425" s="223" t="e">
        <v>#N/A</v>
      </c>
      <c r="I425" s="3538" t="e">
        <v>#N/A</v>
      </c>
      <c r="J425" s="2365" t="e">
        <f t="shared" si="25"/>
        <v>#N/A</v>
      </c>
    </row>
    <row r="426" spans="1:10">
      <c r="A426" s="972">
        <v>2028.09</v>
      </c>
      <c r="B426" s="215" t="e">
        <v>#N/A</v>
      </c>
      <c r="C426" s="3538" t="e">
        <v>#N/A</v>
      </c>
      <c r="D426" s="1946" t="e">
        <f t="shared" si="24"/>
        <v>#N/A</v>
      </c>
      <c r="E426" s="1582"/>
      <c r="F426" s="3553"/>
      <c r="G426" s="260"/>
      <c r="H426" s="223" t="e">
        <v>#N/A</v>
      </c>
      <c r="I426" s="3538" t="e">
        <v>#N/A</v>
      </c>
      <c r="J426" s="2365" t="e">
        <f t="shared" si="25"/>
        <v>#N/A</v>
      </c>
    </row>
    <row r="427" spans="1:10">
      <c r="A427" s="972">
        <v>2028.1</v>
      </c>
      <c r="B427" s="215" t="e">
        <v>#N/A</v>
      </c>
      <c r="C427" s="3538" t="e">
        <v>#N/A</v>
      </c>
      <c r="D427" s="1946" t="e">
        <f t="shared" si="24"/>
        <v>#N/A</v>
      </c>
      <c r="E427" s="1582"/>
      <c r="F427" s="3553"/>
      <c r="G427" s="260"/>
      <c r="H427" s="223" t="e">
        <v>#N/A</v>
      </c>
      <c r="I427" s="3538" t="e">
        <v>#N/A</v>
      </c>
      <c r="J427" s="2365" t="e">
        <f t="shared" si="25"/>
        <v>#N/A</v>
      </c>
    </row>
    <row r="428" spans="1:10">
      <c r="A428" s="972">
        <v>2028.11</v>
      </c>
      <c r="B428" s="215" t="e">
        <v>#N/A</v>
      </c>
      <c r="C428" s="3538" t="e">
        <v>#N/A</v>
      </c>
      <c r="D428" s="1946" t="e">
        <f t="shared" si="24"/>
        <v>#N/A</v>
      </c>
      <c r="E428" s="1582"/>
      <c r="F428" s="3553"/>
      <c r="G428" s="260"/>
      <c r="H428" s="223" t="e">
        <v>#N/A</v>
      </c>
      <c r="I428" s="3538" t="e">
        <v>#N/A</v>
      </c>
      <c r="J428" s="2365" t="e">
        <f t="shared" si="25"/>
        <v>#N/A</v>
      </c>
    </row>
    <row r="429" spans="1:10">
      <c r="A429" s="972">
        <v>2028.12</v>
      </c>
      <c r="B429" s="215" t="e">
        <v>#N/A</v>
      </c>
      <c r="C429" s="3538" t="e">
        <v>#N/A</v>
      </c>
      <c r="D429" s="1946" t="e">
        <f t="shared" si="24"/>
        <v>#N/A</v>
      </c>
      <c r="E429" s="1582"/>
      <c r="F429" s="3553"/>
      <c r="G429" s="260"/>
      <c r="H429" s="223" t="e">
        <v>#N/A</v>
      </c>
      <c r="I429" s="3538" t="e">
        <v>#N/A</v>
      </c>
      <c r="J429" s="2365" t="e">
        <f t="shared" si="25"/>
        <v>#N/A</v>
      </c>
    </row>
    <row r="430" spans="1:10">
      <c r="A430" s="972">
        <v>2029.01</v>
      </c>
      <c r="B430" s="215" t="e">
        <v>#N/A</v>
      </c>
      <c r="C430" s="3538" t="e">
        <v>#N/A</v>
      </c>
      <c r="D430" s="1946" t="e">
        <f t="shared" si="24"/>
        <v>#N/A</v>
      </c>
      <c r="E430" s="1582"/>
      <c r="F430" s="3553"/>
      <c r="G430" s="260"/>
      <c r="H430" s="223" t="e">
        <v>#N/A</v>
      </c>
      <c r="I430" s="3538" t="e">
        <v>#N/A</v>
      </c>
      <c r="J430" s="2365" t="e">
        <f t="shared" si="25"/>
        <v>#N/A</v>
      </c>
    </row>
    <row r="431" spans="1:10">
      <c r="A431" s="972">
        <v>2029.02</v>
      </c>
      <c r="B431" s="215" t="e">
        <v>#N/A</v>
      </c>
      <c r="C431" s="3538" t="e">
        <v>#N/A</v>
      </c>
      <c r="D431" s="1946" t="e">
        <f t="shared" si="24"/>
        <v>#N/A</v>
      </c>
      <c r="E431" s="1582"/>
      <c r="F431" s="3553"/>
      <c r="G431" s="260"/>
      <c r="H431" s="223" t="e">
        <v>#N/A</v>
      </c>
      <c r="I431" s="3538" t="e">
        <v>#N/A</v>
      </c>
      <c r="J431" s="2365" t="e">
        <f t="shared" si="25"/>
        <v>#N/A</v>
      </c>
    </row>
    <row r="432" spans="1:10">
      <c r="A432" s="972">
        <v>2029.03</v>
      </c>
      <c r="B432" s="215" t="e">
        <v>#N/A</v>
      </c>
      <c r="C432" s="3538" t="e">
        <v>#N/A</v>
      </c>
      <c r="D432" s="1946" t="e">
        <f t="shared" si="24"/>
        <v>#N/A</v>
      </c>
      <c r="E432" s="1582"/>
      <c r="F432" s="3553"/>
      <c r="G432" s="260"/>
      <c r="H432" s="223" t="e">
        <v>#N/A</v>
      </c>
      <c r="I432" s="3538" t="e">
        <v>#N/A</v>
      </c>
      <c r="J432" s="2365" t="e">
        <f t="shared" si="25"/>
        <v>#N/A</v>
      </c>
    </row>
    <row r="433" spans="1:10">
      <c r="A433" s="972">
        <v>2029.04</v>
      </c>
      <c r="B433" s="215" t="e">
        <v>#N/A</v>
      </c>
      <c r="C433" s="3538" t="e">
        <v>#N/A</v>
      </c>
      <c r="D433" s="1946" t="e">
        <f t="shared" si="24"/>
        <v>#N/A</v>
      </c>
      <c r="E433" s="1582"/>
      <c r="F433" s="3553"/>
      <c r="G433" s="260"/>
      <c r="H433" s="223" t="e">
        <v>#N/A</v>
      </c>
      <c r="I433" s="3538" t="e">
        <v>#N/A</v>
      </c>
      <c r="J433" s="2365" t="e">
        <f t="shared" si="25"/>
        <v>#N/A</v>
      </c>
    </row>
    <row r="434" spans="1:10">
      <c r="A434" s="972">
        <v>2029.05</v>
      </c>
      <c r="B434" s="215" t="e">
        <v>#N/A</v>
      </c>
      <c r="C434" s="3538" t="e">
        <v>#N/A</v>
      </c>
      <c r="D434" s="1946" t="e">
        <f t="shared" si="24"/>
        <v>#N/A</v>
      </c>
      <c r="E434" s="1582"/>
      <c r="F434" s="3553"/>
      <c r="G434" s="260"/>
      <c r="H434" s="223" t="e">
        <v>#N/A</v>
      </c>
      <c r="I434" s="3538" t="e">
        <v>#N/A</v>
      </c>
      <c r="J434" s="2365" t="e">
        <f t="shared" si="25"/>
        <v>#N/A</v>
      </c>
    </row>
    <row r="435" spans="1:10">
      <c r="A435" s="972">
        <v>2029.06</v>
      </c>
      <c r="B435" s="215" t="e">
        <v>#N/A</v>
      </c>
      <c r="C435" s="3538" t="e">
        <v>#N/A</v>
      </c>
      <c r="D435" s="1946" t="e">
        <f t="shared" si="24"/>
        <v>#N/A</v>
      </c>
      <c r="E435" s="1582"/>
      <c r="F435" s="3553"/>
      <c r="G435" s="260"/>
      <c r="H435" s="223" t="e">
        <v>#N/A</v>
      </c>
      <c r="I435" s="3538" t="e">
        <v>#N/A</v>
      </c>
      <c r="J435" s="2365" t="e">
        <f t="shared" si="25"/>
        <v>#N/A</v>
      </c>
    </row>
    <row r="436" spans="1:10">
      <c r="A436" s="972">
        <v>2029.07</v>
      </c>
      <c r="B436" s="215" t="e">
        <v>#N/A</v>
      </c>
      <c r="C436" s="3538" t="e">
        <v>#N/A</v>
      </c>
      <c r="D436" s="1946" t="e">
        <f t="shared" si="24"/>
        <v>#N/A</v>
      </c>
      <c r="E436" s="1582"/>
      <c r="F436" s="3553"/>
      <c r="G436" s="260"/>
      <c r="H436" s="223" t="e">
        <v>#N/A</v>
      </c>
      <c r="I436" s="3538" t="e">
        <v>#N/A</v>
      </c>
      <c r="J436" s="2365" t="e">
        <f t="shared" si="25"/>
        <v>#N/A</v>
      </c>
    </row>
    <row r="437" spans="1:10">
      <c r="A437" s="972">
        <v>2029.08</v>
      </c>
      <c r="B437" s="215" t="e">
        <v>#N/A</v>
      </c>
      <c r="C437" s="3538" t="e">
        <v>#N/A</v>
      </c>
      <c r="D437" s="1946" t="e">
        <f t="shared" si="24"/>
        <v>#N/A</v>
      </c>
      <c r="E437" s="1582"/>
      <c r="F437" s="3553"/>
      <c r="G437" s="260"/>
      <c r="H437" s="223" t="e">
        <v>#N/A</v>
      </c>
      <c r="I437" s="3538" t="e">
        <v>#N/A</v>
      </c>
      <c r="J437" s="2365" t="e">
        <f t="shared" si="25"/>
        <v>#N/A</v>
      </c>
    </row>
    <row r="438" spans="1:10">
      <c r="A438" s="972">
        <v>2029.09</v>
      </c>
      <c r="B438" s="215" t="e">
        <v>#N/A</v>
      </c>
      <c r="C438" s="3538" t="e">
        <v>#N/A</v>
      </c>
      <c r="D438" s="1946" t="e">
        <f t="shared" si="24"/>
        <v>#N/A</v>
      </c>
      <c r="E438" s="1582"/>
      <c r="F438" s="3553"/>
      <c r="G438" s="260"/>
      <c r="H438" s="223" t="e">
        <v>#N/A</v>
      </c>
      <c r="I438" s="3538" t="e">
        <v>#N/A</v>
      </c>
      <c r="J438" s="2365" t="e">
        <f t="shared" si="25"/>
        <v>#N/A</v>
      </c>
    </row>
    <row r="439" spans="1:10">
      <c r="A439" s="972">
        <v>2029.1</v>
      </c>
      <c r="B439" s="215" t="e">
        <v>#N/A</v>
      </c>
      <c r="C439" s="3538" t="e">
        <v>#N/A</v>
      </c>
      <c r="D439" s="1946" t="e">
        <f t="shared" si="24"/>
        <v>#N/A</v>
      </c>
      <c r="E439" s="1582"/>
      <c r="F439" s="3553"/>
      <c r="G439" s="260"/>
      <c r="H439" s="223" t="e">
        <v>#N/A</v>
      </c>
      <c r="I439" s="3538" t="e">
        <v>#N/A</v>
      </c>
      <c r="J439" s="2365" t="e">
        <f t="shared" si="25"/>
        <v>#N/A</v>
      </c>
    </row>
    <row r="440" spans="1:10">
      <c r="A440" s="972">
        <v>2029.11</v>
      </c>
      <c r="B440" s="215" t="e">
        <v>#N/A</v>
      </c>
      <c r="C440" s="3538" t="e">
        <v>#N/A</v>
      </c>
      <c r="D440" s="1946" t="e">
        <f t="shared" si="24"/>
        <v>#N/A</v>
      </c>
      <c r="E440" s="1582"/>
      <c r="F440" s="3553"/>
      <c r="G440" s="260"/>
      <c r="H440" s="223" t="e">
        <v>#N/A</v>
      </c>
      <c r="I440" s="3538" t="e">
        <v>#N/A</v>
      </c>
      <c r="J440" s="2365" t="e">
        <f t="shared" si="25"/>
        <v>#N/A</v>
      </c>
    </row>
    <row r="441" spans="1:10">
      <c r="A441" s="972">
        <v>2029.12</v>
      </c>
      <c r="B441" s="215" t="e">
        <v>#N/A</v>
      </c>
      <c r="C441" s="3538" t="e">
        <v>#N/A</v>
      </c>
      <c r="D441" s="1946" t="e">
        <f t="shared" si="24"/>
        <v>#N/A</v>
      </c>
      <c r="E441" s="1582"/>
      <c r="F441" s="3553"/>
      <c r="G441" s="260"/>
      <c r="H441" s="223" t="e">
        <v>#N/A</v>
      </c>
      <c r="I441" s="3538" t="e">
        <v>#N/A</v>
      </c>
      <c r="J441" s="2365" t="e">
        <f t="shared" si="25"/>
        <v>#N/A</v>
      </c>
    </row>
    <row r="442" spans="1:10">
      <c r="A442" s="972">
        <v>2030.01</v>
      </c>
      <c r="B442" s="215" t="e">
        <v>#N/A</v>
      </c>
      <c r="C442" s="3538" t="e">
        <v>#N/A</v>
      </c>
      <c r="D442" s="1946" t="e">
        <f t="shared" si="24"/>
        <v>#N/A</v>
      </c>
      <c r="E442" s="1582"/>
      <c r="F442" s="3553"/>
      <c r="G442" s="260"/>
      <c r="H442" s="223" t="e">
        <v>#N/A</v>
      </c>
      <c r="I442" s="3538" t="e">
        <v>#N/A</v>
      </c>
      <c r="J442" s="2365" t="e">
        <f t="shared" si="25"/>
        <v>#N/A</v>
      </c>
    </row>
    <row r="443" spans="1:10">
      <c r="A443" s="972">
        <v>2030.02</v>
      </c>
      <c r="B443" s="215" t="e">
        <v>#N/A</v>
      </c>
      <c r="C443" s="3538" t="e">
        <v>#N/A</v>
      </c>
      <c r="D443" s="1946" t="e">
        <f t="shared" si="24"/>
        <v>#N/A</v>
      </c>
      <c r="E443" s="1582"/>
      <c r="F443" s="3553"/>
      <c r="G443" s="260"/>
      <c r="H443" s="223" t="e">
        <v>#N/A</v>
      </c>
      <c r="I443" s="3538" t="e">
        <v>#N/A</v>
      </c>
      <c r="J443" s="2365" t="e">
        <f t="shared" si="25"/>
        <v>#N/A</v>
      </c>
    </row>
    <row r="444" spans="1:10">
      <c r="A444" s="972">
        <v>2030.03</v>
      </c>
      <c r="B444" s="215" t="e">
        <v>#N/A</v>
      </c>
      <c r="C444" s="3538" t="e">
        <v>#N/A</v>
      </c>
      <c r="D444" s="1946" t="e">
        <f t="shared" si="24"/>
        <v>#N/A</v>
      </c>
      <c r="E444" s="1582"/>
      <c r="F444" s="3553"/>
      <c r="G444" s="260"/>
      <c r="H444" s="223" t="e">
        <v>#N/A</v>
      </c>
      <c r="I444" s="3538" t="e">
        <v>#N/A</v>
      </c>
      <c r="J444" s="2365" t="e">
        <f t="shared" si="25"/>
        <v>#N/A</v>
      </c>
    </row>
    <row r="445" spans="1:10">
      <c r="A445" s="972">
        <v>2030.04</v>
      </c>
      <c r="B445" s="215" t="e">
        <v>#N/A</v>
      </c>
      <c r="C445" s="3538" t="e">
        <v>#N/A</v>
      </c>
      <c r="D445" s="1946" t="e">
        <f t="shared" si="24"/>
        <v>#N/A</v>
      </c>
      <c r="E445" s="1582"/>
      <c r="F445" s="3553"/>
      <c r="G445" s="260"/>
      <c r="H445" s="223" t="e">
        <v>#N/A</v>
      </c>
      <c r="I445" s="3538" t="e">
        <v>#N/A</v>
      </c>
      <c r="J445" s="2365" t="e">
        <f t="shared" si="25"/>
        <v>#N/A</v>
      </c>
    </row>
    <row r="446" spans="1:10">
      <c r="A446" s="972">
        <v>2030.05</v>
      </c>
      <c r="B446" s="215" t="e">
        <v>#N/A</v>
      </c>
      <c r="C446" s="3538" t="e">
        <v>#N/A</v>
      </c>
      <c r="D446" s="1946" t="e">
        <f t="shared" si="24"/>
        <v>#N/A</v>
      </c>
      <c r="E446" s="1582"/>
      <c r="F446" s="3553"/>
      <c r="G446" s="260"/>
      <c r="H446" s="223" t="e">
        <v>#N/A</v>
      </c>
      <c r="I446" s="3538" t="e">
        <v>#N/A</v>
      </c>
      <c r="J446" s="2365" t="e">
        <f t="shared" si="25"/>
        <v>#N/A</v>
      </c>
    </row>
    <row r="447" spans="1:10">
      <c r="A447" s="972">
        <v>2030.06</v>
      </c>
      <c r="B447" s="215" t="e">
        <v>#N/A</v>
      </c>
      <c r="C447" s="3538" t="e">
        <v>#N/A</v>
      </c>
      <c r="D447" s="1946" t="e">
        <f t="shared" si="24"/>
        <v>#N/A</v>
      </c>
      <c r="E447" s="1582"/>
      <c r="F447" s="3553"/>
      <c r="G447" s="260"/>
      <c r="H447" s="223" t="e">
        <v>#N/A</v>
      </c>
      <c r="I447" s="3538" t="e">
        <v>#N/A</v>
      </c>
      <c r="J447" s="2365" t="e">
        <f t="shared" si="25"/>
        <v>#N/A</v>
      </c>
    </row>
    <row r="448" spans="1:10">
      <c r="A448" s="972">
        <v>2030.07</v>
      </c>
      <c r="B448" s="215" t="e">
        <v>#N/A</v>
      </c>
      <c r="C448" s="3538" t="e">
        <v>#N/A</v>
      </c>
      <c r="D448" s="1946" t="e">
        <f t="shared" si="24"/>
        <v>#N/A</v>
      </c>
      <c r="E448" s="1582"/>
      <c r="F448" s="3553"/>
      <c r="G448" s="260"/>
      <c r="H448" s="223" t="e">
        <v>#N/A</v>
      </c>
      <c r="I448" s="3538" t="e">
        <v>#N/A</v>
      </c>
      <c r="J448" s="2365" t="e">
        <f t="shared" si="25"/>
        <v>#N/A</v>
      </c>
    </row>
    <row r="449" spans="1:10">
      <c r="A449" s="972">
        <v>2030.08</v>
      </c>
      <c r="B449" s="215" t="e">
        <v>#N/A</v>
      </c>
      <c r="C449" s="3538" t="e">
        <v>#N/A</v>
      </c>
      <c r="D449" s="1946" t="e">
        <f t="shared" si="24"/>
        <v>#N/A</v>
      </c>
      <c r="E449" s="1582"/>
      <c r="F449" s="3553"/>
      <c r="G449" s="260"/>
      <c r="H449" s="223" t="e">
        <v>#N/A</v>
      </c>
      <c r="I449" s="3538" t="e">
        <v>#N/A</v>
      </c>
      <c r="J449" s="2365" t="e">
        <f t="shared" si="25"/>
        <v>#N/A</v>
      </c>
    </row>
    <row r="450" spans="1:10">
      <c r="A450" s="972">
        <v>2030.09</v>
      </c>
      <c r="B450" s="215" t="e">
        <v>#N/A</v>
      </c>
      <c r="C450" s="3538" t="e">
        <v>#N/A</v>
      </c>
      <c r="D450" s="1946" t="e">
        <f t="shared" si="24"/>
        <v>#N/A</v>
      </c>
      <c r="E450" s="1582"/>
      <c r="F450" s="3553"/>
      <c r="G450" s="260"/>
      <c r="H450" s="223" t="e">
        <v>#N/A</v>
      </c>
      <c r="I450" s="3538" t="e">
        <v>#N/A</v>
      </c>
      <c r="J450" s="2365" t="e">
        <f t="shared" si="25"/>
        <v>#N/A</v>
      </c>
    </row>
    <row r="451" spans="1:10">
      <c r="A451" s="972">
        <v>2030.1</v>
      </c>
      <c r="B451" s="215" t="e">
        <v>#N/A</v>
      </c>
      <c r="C451" s="3538" t="e">
        <v>#N/A</v>
      </c>
      <c r="D451" s="1946" t="e">
        <f t="shared" si="24"/>
        <v>#N/A</v>
      </c>
      <c r="E451" s="1582"/>
      <c r="F451" s="3553"/>
      <c r="G451" s="260"/>
      <c r="H451" s="223" t="e">
        <v>#N/A</v>
      </c>
      <c r="I451" s="3538" t="e">
        <v>#N/A</v>
      </c>
      <c r="J451" s="2365" t="e">
        <f t="shared" si="25"/>
        <v>#N/A</v>
      </c>
    </row>
    <row r="452" spans="1:10">
      <c r="A452" s="972">
        <v>2030.11</v>
      </c>
      <c r="B452" s="215" t="e">
        <v>#N/A</v>
      </c>
      <c r="C452" s="3538" t="e">
        <v>#N/A</v>
      </c>
      <c r="D452" s="1946" t="e">
        <f t="shared" si="24"/>
        <v>#N/A</v>
      </c>
      <c r="E452" s="1582"/>
      <c r="F452" s="3553"/>
      <c r="G452" s="260"/>
      <c r="H452" s="223" t="e">
        <v>#N/A</v>
      </c>
      <c r="I452" s="3538" t="e">
        <v>#N/A</v>
      </c>
      <c r="J452" s="2365" t="e">
        <f t="shared" si="25"/>
        <v>#N/A</v>
      </c>
    </row>
    <row r="453" spans="1:10">
      <c r="A453" s="972">
        <v>2030.12</v>
      </c>
      <c r="B453" s="215" t="e">
        <v>#N/A</v>
      </c>
      <c r="C453" s="3538" t="e">
        <v>#N/A</v>
      </c>
      <c r="D453" s="1946" t="e">
        <f t="shared" si="24"/>
        <v>#N/A</v>
      </c>
      <c r="E453" s="1582"/>
      <c r="F453" s="3553"/>
      <c r="G453" s="260"/>
      <c r="H453" s="223" t="e">
        <v>#N/A</v>
      </c>
      <c r="I453" s="3538" t="e">
        <v>#N/A</v>
      </c>
      <c r="J453" s="2365" t="e">
        <f t="shared" si="25"/>
        <v>#N/A</v>
      </c>
    </row>
  </sheetData>
  <phoneticPr fontId="71" type="noConversion"/>
  <hyperlinks>
    <hyperlink ref="A1:A3" location="Indice!A1" display="ÍNDICE" xr:uid="{B2E6565A-1D88-4A78-9888-D55D2609D37F}"/>
    <hyperlink ref="A5" location="INDICE!A13" display="VOLVER AL INDICE" xr:uid="{A205DCC7-4FCC-4F9A-B2BA-1B2C18430784}"/>
  </hyperlinks>
  <pageMargins left="0.75" right="0.75" top="1" bottom="1" header="0" footer="0"/>
  <pageSetup paperSize="9" orientation="portrait" horizontalDpi="300" verticalDpi="300" r:id="rId1"/>
  <headerFooter alignWithMargins="0"/>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46"/>
  <dimension ref="A1:A429"/>
  <sheetViews>
    <sheetView workbookViewId="0">
      <pane xSplit="1" ySplit="9" topLeftCell="B10" activePane="bottomRight" state="frozen"/>
      <selection pane="topRight" activeCell="B1" sqref="B1"/>
      <selection pane="bottomLeft" activeCell="A10" sqref="A10"/>
      <selection pane="bottomRight" activeCell="B1" sqref="B1"/>
    </sheetView>
  </sheetViews>
  <sheetFormatPr baseColWidth="10" defaultColWidth="11.42578125" defaultRowHeight="12.75"/>
  <cols>
    <col min="1" max="1" width="10.5703125" style="955" customWidth="1"/>
    <col min="2" max="16384" width="11.42578125" style="967"/>
  </cols>
  <sheetData>
    <row r="1" spans="1:1" s="974" customFormat="1" ht="12.75" customHeight="1">
      <c r="A1" s="2761"/>
    </row>
    <row r="2" spans="1:1" s="974" customFormat="1">
      <c r="A2" s="2762" t="s">
        <v>99</v>
      </c>
    </row>
    <row r="3" spans="1:1" s="974" customFormat="1">
      <c r="A3" s="2762" t="s">
        <v>193</v>
      </c>
    </row>
    <row r="4" spans="1:1" s="974" customFormat="1">
      <c r="A4" s="2762"/>
    </row>
    <row r="5" spans="1:1" s="974" customFormat="1" ht="22.5">
      <c r="A5" s="2867" t="s">
        <v>140</v>
      </c>
    </row>
    <row r="6" spans="1:1" s="974" customFormat="1" ht="12" customHeight="1">
      <c r="A6" s="2762" t="s">
        <v>144</v>
      </c>
    </row>
    <row r="7" spans="1:1" s="974" customFormat="1" ht="22.5">
      <c r="A7" s="2762" t="s">
        <v>125</v>
      </c>
    </row>
    <row r="8" spans="1:1" s="974" customFormat="1" ht="12.75" hidden="1" customHeight="1">
      <c r="A8" s="3002"/>
    </row>
    <row r="9" spans="1:1" s="975" customFormat="1" ht="16.5" customHeight="1" thickBot="1">
      <c r="A9" s="2140" t="s">
        <v>766</v>
      </c>
    </row>
    <row r="10" spans="1:1" s="975" customFormat="1">
      <c r="A10" s="972">
        <v>1996.01</v>
      </c>
    </row>
    <row r="11" spans="1:1" s="975" customFormat="1">
      <c r="A11" s="972">
        <v>1996.02</v>
      </c>
    </row>
    <row r="12" spans="1:1" s="975" customFormat="1">
      <c r="A12" s="972">
        <v>1996.03</v>
      </c>
    </row>
    <row r="13" spans="1:1" s="975" customFormat="1">
      <c r="A13" s="972">
        <v>1996.04</v>
      </c>
    </row>
    <row r="14" spans="1:1" s="975" customFormat="1">
      <c r="A14" s="972">
        <v>1996.05</v>
      </c>
    </row>
    <row r="15" spans="1:1" s="975" customFormat="1">
      <c r="A15" s="972">
        <v>1996.06</v>
      </c>
    </row>
    <row r="16" spans="1:1" s="975" customFormat="1">
      <c r="A16" s="972">
        <v>1996.07</v>
      </c>
    </row>
    <row r="17" spans="1:1" s="975" customFormat="1">
      <c r="A17" s="972">
        <v>1996.08</v>
      </c>
    </row>
    <row r="18" spans="1:1" s="975" customFormat="1">
      <c r="A18" s="972">
        <v>1996.09</v>
      </c>
    </row>
    <row r="19" spans="1:1" s="975" customFormat="1">
      <c r="A19" s="972">
        <v>1996.1</v>
      </c>
    </row>
    <row r="20" spans="1:1" s="975" customFormat="1">
      <c r="A20" s="972">
        <v>1996.11</v>
      </c>
    </row>
    <row r="21" spans="1:1" s="975" customFormat="1">
      <c r="A21" s="972">
        <v>1996.12</v>
      </c>
    </row>
    <row r="22" spans="1:1" s="975" customFormat="1">
      <c r="A22" s="972">
        <v>1997.01</v>
      </c>
    </row>
    <row r="23" spans="1:1" s="975" customFormat="1">
      <c r="A23" s="972">
        <v>1997.02</v>
      </c>
    </row>
    <row r="24" spans="1:1" s="975" customFormat="1">
      <c r="A24" s="972">
        <v>1997.03</v>
      </c>
    </row>
    <row r="25" spans="1:1" s="975" customFormat="1">
      <c r="A25" s="972">
        <v>1997.04</v>
      </c>
    </row>
    <row r="26" spans="1:1" s="975" customFormat="1">
      <c r="A26" s="972">
        <v>1997.05</v>
      </c>
    </row>
    <row r="27" spans="1:1" s="975" customFormat="1">
      <c r="A27" s="972">
        <v>1997.06</v>
      </c>
    </row>
    <row r="28" spans="1:1" s="975" customFormat="1">
      <c r="A28" s="972">
        <v>1997.07</v>
      </c>
    </row>
    <row r="29" spans="1:1" s="975" customFormat="1">
      <c r="A29" s="972">
        <v>1997.08</v>
      </c>
    </row>
    <row r="30" spans="1:1" s="975" customFormat="1">
      <c r="A30" s="972">
        <v>1997.09</v>
      </c>
    </row>
    <row r="31" spans="1:1" s="975" customFormat="1">
      <c r="A31" s="972">
        <v>1997.1</v>
      </c>
    </row>
    <row r="32" spans="1:1" s="975" customFormat="1">
      <c r="A32" s="972">
        <v>1997.11</v>
      </c>
    </row>
    <row r="33" spans="1:1" s="975" customFormat="1">
      <c r="A33" s="972">
        <v>1997.12</v>
      </c>
    </row>
    <row r="34" spans="1:1" s="975" customFormat="1">
      <c r="A34" s="972">
        <v>1998.01</v>
      </c>
    </row>
    <row r="35" spans="1:1" s="975" customFormat="1">
      <c r="A35" s="972">
        <v>1998.02</v>
      </c>
    </row>
    <row r="36" spans="1:1" s="975" customFormat="1">
      <c r="A36" s="972">
        <v>1998.03</v>
      </c>
    </row>
    <row r="37" spans="1:1" s="975" customFormat="1">
      <c r="A37" s="972">
        <v>1998.04</v>
      </c>
    </row>
    <row r="38" spans="1:1" s="975" customFormat="1">
      <c r="A38" s="972">
        <v>1998.05</v>
      </c>
    </row>
    <row r="39" spans="1:1" s="975" customFormat="1">
      <c r="A39" s="972">
        <v>1998.06</v>
      </c>
    </row>
    <row r="40" spans="1:1" s="975" customFormat="1">
      <c r="A40" s="972">
        <v>1998.07</v>
      </c>
    </row>
    <row r="41" spans="1:1" s="975" customFormat="1">
      <c r="A41" s="972">
        <v>1998.08</v>
      </c>
    </row>
    <row r="42" spans="1:1" s="975" customFormat="1">
      <c r="A42" s="972">
        <v>1998.09</v>
      </c>
    </row>
    <row r="43" spans="1:1" s="975" customFormat="1">
      <c r="A43" s="972">
        <v>1998.1</v>
      </c>
    </row>
    <row r="44" spans="1:1" s="975" customFormat="1">
      <c r="A44" s="972">
        <v>1998.11</v>
      </c>
    </row>
    <row r="45" spans="1:1" s="975" customFormat="1">
      <c r="A45" s="972">
        <v>1998.12</v>
      </c>
    </row>
    <row r="46" spans="1:1">
      <c r="A46" s="53">
        <v>1999.01</v>
      </c>
    </row>
    <row r="47" spans="1:1">
      <c r="A47" s="53">
        <v>1999.02</v>
      </c>
    </row>
    <row r="48" spans="1:1">
      <c r="A48" s="53">
        <v>1999.03</v>
      </c>
    </row>
    <row r="49" spans="1:1">
      <c r="A49" s="53">
        <v>1999.04</v>
      </c>
    </row>
    <row r="50" spans="1:1">
      <c r="A50" s="53">
        <v>1999.05</v>
      </c>
    </row>
    <row r="51" spans="1:1">
      <c r="A51" s="53">
        <v>1999.06</v>
      </c>
    </row>
    <row r="52" spans="1:1">
      <c r="A52" s="53">
        <v>1999.07</v>
      </c>
    </row>
    <row r="53" spans="1:1">
      <c r="A53" s="53">
        <v>1999.08</v>
      </c>
    </row>
    <row r="54" spans="1:1">
      <c r="A54" s="53">
        <v>1999.09</v>
      </c>
    </row>
    <row r="55" spans="1:1">
      <c r="A55" s="53">
        <v>1999.1</v>
      </c>
    </row>
    <row r="56" spans="1:1">
      <c r="A56" s="53">
        <v>1999.11</v>
      </c>
    </row>
    <row r="57" spans="1:1">
      <c r="A57" s="53">
        <v>1999.12</v>
      </c>
    </row>
    <row r="58" spans="1:1">
      <c r="A58" s="53">
        <v>2000.01</v>
      </c>
    </row>
    <row r="59" spans="1:1">
      <c r="A59" s="53">
        <v>2000.02</v>
      </c>
    </row>
    <row r="60" spans="1:1">
      <c r="A60" s="53">
        <v>2000.03</v>
      </c>
    </row>
    <row r="61" spans="1:1">
      <c r="A61" s="53">
        <v>2000.04</v>
      </c>
    </row>
    <row r="62" spans="1:1">
      <c r="A62" s="53">
        <v>2000.05</v>
      </c>
    </row>
    <row r="63" spans="1:1">
      <c r="A63" s="53">
        <v>2000.06</v>
      </c>
    </row>
    <row r="64" spans="1:1">
      <c r="A64" s="53">
        <v>2000.07</v>
      </c>
    </row>
    <row r="65" spans="1:1">
      <c r="A65" s="53">
        <v>2000.08</v>
      </c>
    </row>
    <row r="66" spans="1:1">
      <c r="A66" s="53">
        <v>2000.09</v>
      </c>
    </row>
    <row r="67" spans="1:1">
      <c r="A67" s="53">
        <v>2000.1</v>
      </c>
    </row>
    <row r="68" spans="1:1">
      <c r="A68" s="53">
        <v>2000.11</v>
      </c>
    </row>
    <row r="69" spans="1:1">
      <c r="A69" s="53">
        <v>2000.12</v>
      </c>
    </row>
    <row r="70" spans="1:1">
      <c r="A70" s="53">
        <v>2001.01</v>
      </c>
    </row>
    <row r="71" spans="1:1">
      <c r="A71" s="53">
        <v>2001.02</v>
      </c>
    </row>
    <row r="72" spans="1:1">
      <c r="A72" s="53">
        <v>2001.03</v>
      </c>
    </row>
    <row r="73" spans="1:1">
      <c r="A73" s="53">
        <v>2001.04</v>
      </c>
    </row>
    <row r="74" spans="1:1">
      <c r="A74" s="53">
        <v>2001.05</v>
      </c>
    </row>
    <row r="75" spans="1:1">
      <c r="A75" s="53">
        <v>2001.06</v>
      </c>
    </row>
    <row r="76" spans="1:1">
      <c r="A76" s="53">
        <v>2001.07</v>
      </c>
    </row>
    <row r="77" spans="1:1">
      <c r="A77" s="53">
        <v>2001.08</v>
      </c>
    </row>
    <row r="78" spans="1:1">
      <c r="A78" s="53">
        <v>2001.09</v>
      </c>
    </row>
    <row r="79" spans="1:1">
      <c r="A79" s="53">
        <v>2001.1</v>
      </c>
    </row>
    <row r="80" spans="1:1">
      <c r="A80" s="53">
        <v>2001.11</v>
      </c>
    </row>
    <row r="81" spans="1:1">
      <c r="A81" s="53">
        <v>2001.12</v>
      </c>
    </row>
    <row r="82" spans="1:1">
      <c r="A82" s="53">
        <v>2002.01</v>
      </c>
    </row>
    <row r="83" spans="1:1">
      <c r="A83" s="53">
        <v>2002.02</v>
      </c>
    </row>
    <row r="84" spans="1:1">
      <c r="A84" s="53">
        <v>2002.03</v>
      </c>
    </row>
    <row r="85" spans="1:1">
      <c r="A85" s="53">
        <v>2002.04</v>
      </c>
    </row>
    <row r="86" spans="1:1">
      <c r="A86" s="53">
        <v>2002.05</v>
      </c>
    </row>
    <row r="87" spans="1:1">
      <c r="A87" s="53">
        <v>2002.06</v>
      </c>
    </row>
    <row r="88" spans="1:1">
      <c r="A88" s="53">
        <v>2002.07</v>
      </c>
    </row>
    <row r="89" spans="1:1">
      <c r="A89" s="53">
        <v>2002.08</v>
      </c>
    </row>
    <row r="90" spans="1:1">
      <c r="A90" s="53">
        <v>2002.09</v>
      </c>
    </row>
    <row r="91" spans="1:1">
      <c r="A91" s="53">
        <v>2002.1</v>
      </c>
    </row>
    <row r="92" spans="1:1">
      <c r="A92" s="53">
        <v>2002.11</v>
      </c>
    </row>
    <row r="93" spans="1:1">
      <c r="A93" s="53">
        <v>2002.12</v>
      </c>
    </row>
    <row r="94" spans="1:1">
      <c r="A94" s="53">
        <v>2003.01</v>
      </c>
    </row>
    <row r="95" spans="1:1">
      <c r="A95" s="53">
        <v>2003.02</v>
      </c>
    </row>
    <row r="96" spans="1:1">
      <c r="A96" s="53">
        <v>2003.03</v>
      </c>
    </row>
    <row r="97" spans="1:1">
      <c r="A97" s="53">
        <v>2003.04</v>
      </c>
    </row>
    <row r="98" spans="1:1">
      <c r="A98" s="53">
        <v>2003.05</v>
      </c>
    </row>
    <row r="99" spans="1:1">
      <c r="A99" s="53">
        <v>2003.06</v>
      </c>
    </row>
    <row r="100" spans="1:1">
      <c r="A100" s="53">
        <v>2003.07</v>
      </c>
    </row>
    <row r="101" spans="1:1">
      <c r="A101" s="53">
        <v>2003.08</v>
      </c>
    </row>
    <row r="102" spans="1:1">
      <c r="A102" s="53">
        <v>2003.09</v>
      </c>
    </row>
    <row r="103" spans="1:1">
      <c r="A103" s="53">
        <v>2003.1</v>
      </c>
    </row>
    <row r="104" spans="1:1">
      <c r="A104" s="53">
        <v>2003.11</v>
      </c>
    </row>
    <row r="105" spans="1:1">
      <c r="A105" s="53">
        <v>2003.12</v>
      </c>
    </row>
    <row r="106" spans="1:1">
      <c r="A106" s="53">
        <v>2004.01</v>
      </c>
    </row>
    <row r="107" spans="1:1">
      <c r="A107" s="53">
        <v>2004.02</v>
      </c>
    </row>
    <row r="108" spans="1:1">
      <c r="A108" s="53">
        <v>2004.03</v>
      </c>
    </row>
    <row r="109" spans="1:1">
      <c r="A109" s="53">
        <v>2004.04</v>
      </c>
    </row>
    <row r="110" spans="1:1">
      <c r="A110" s="53">
        <v>2004.05</v>
      </c>
    </row>
    <row r="111" spans="1:1">
      <c r="A111" s="53">
        <v>2004.06</v>
      </c>
    </row>
    <row r="112" spans="1:1">
      <c r="A112" s="53">
        <v>2004.07</v>
      </c>
    </row>
    <row r="113" spans="1:1">
      <c r="A113" s="53">
        <v>2004.08</v>
      </c>
    </row>
    <row r="114" spans="1:1">
      <c r="A114" s="53">
        <v>2004.09</v>
      </c>
    </row>
    <row r="115" spans="1:1">
      <c r="A115" s="53">
        <v>2004.1</v>
      </c>
    </row>
    <row r="116" spans="1:1">
      <c r="A116" s="53">
        <v>2004.11</v>
      </c>
    </row>
    <row r="117" spans="1:1">
      <c r="A117" s="53">
        <v>2004.12</v>
      </c>
    </row>
    <row r="118" spans="1:1">
      <c r="A118" s="53">
        <v>2005.01</v>
      </c>
    </row>
    <row r="119" spans="1:1">
      <c r="A119" s="53">
        <v>2005.02</v>
      </c>
    </row>
    <row r="120" spans="1:1">
      <c r="A120" s="53">
        <v>2005.03</v>
      </c>
    </row>
    <row r="121" spans="1:1">
      <c r="A121" s="53">
        <v>2005.04</v>
      </c>
    </row>
    <row r="122" spans="1:1">
      <c r="A122" s="53">
        <v>2005.05</v>
      </c>
    </row>
    <row r="123" spans="1:1">
      <c r="A123" s="53">
        <v>2005.06</v>
      </c>
    </row>
    <row r="124" spans="1:1">
      <c r="A124" s="53">
        <v>2005.07</v>
      </c>
    </row>
    <row r="125" spans="1:1">
      <c r="A125" s="53">
        <v>2005.08</v>
      </c>
    </row>
    <row r="126" spans="1:1">
      <c r="A126" s="53">
        <v>2005.09</v>
      </c>
    </row>
    <row r="127" spans="1:1">
      <c r="A127" s="53">
        <v>2005.1</v>
      </c>
    </row>
    <row r="128" spans="1:1">
      <c r="A128" s="53">
        <v>2005.11</v>
      </c>
    </row>
    <row r="129" spans="1:1">
      <c r="A129" s="53">
        <v>2005.12</v>
      </c>
    </row>
    <row r="130" spans="1:1">
      <c r="A130" s="53">
        <v>2006.01</v>
      </c>
    </row>
    <row r="131" spans="1:1">
      <c r="A131" s="53">
        <v>2006.02</v>
      </c>
    </row>
    <row r="132" spans="1:1">
      <c r="A132" s="53">
        <v>2006.03</v>
      </c>
    </row>
    <row r="133" spans="1:1">
      <c r="A133" s="53">
        <v>2006.04</v>
      </c>
    </row>
    <row r="134" spans="1:1">
      <c r="A134" s="53">
        <v>2006.05</v>
      </c>
    </row>
    <row r="135" spans="1:1">
      <c r="A135" s="53">
        <v>2006.06</v>
      </c>
    </row>
    <row r="136" spans="1:1">
      <c r="A136" s="53">
        <v>2006.07</v>
      </c>
    </row>
    <row r="137" spans="1:1">
      <c r="A137" s="53">
        <v>2006.08</v>
      </c>
    </row>
    <row r="138" spans="1:1">
      <c r="A138" s="53">
        <v>2006.09</v>
      </c>
    </row>
    <row r="139" spans="1:1">
      <c r="A139" s="53">
        <v>2006.1</v>
      </c>
    </row>
    <row r="140" spans="1:1">
      <c r="A140" s="53">
        <v>2006.11</v>
      </c>
    </row>
    <row r="141" spans="1:1">
      <c r="A141" s="53">
        <v>2006.12</v>
      </c>
    </row>
    <row r="142" spans="1:1">
      <c r="A142" s="53">
        <v>2007.01</v>
      </c>
    </row>
    <row r="143" spans="1:1">
      <c r="A143" s="53">
        <v>2007.02</v>
      </c>
    </row>
    <row r="144" spans="1:1">
      <c r="A144" s="53">
        <v>2007.03</v>
      </c>
    </row>
    <row r="145" spans="1:1">
      <c r="A145" s="53">
        <v>2007.04</v>
      </c>
    </row>
    <row r="146" spans="1:1">
      <c r="A146" s="53">
        <v>2007.05</v>
      </c>
    </row>
    <row r="147" spans="1:1">
      <c r="A147" s="53">
        <v>2007.06</v>
      </c>
    </row>
    <row r="148" spans="1:1">
      <c r="A148" s="53">
        <v>2007.07</v>
      </c>
    </row>
    <row r="149" spans="1:1">
      <c r="A149" s="53">
        <v>2007.08</v>
      </c>
    </row>
    <row r="150" spans="1:1">
      <c r="A150" s="53">
        <v>2007.09</v>
      </c>
    </row>
    <row r="151" spans="1:1">
      <c r="A151" s="53">
        <v>2007.1</v>
      </c>
    </row>
    <row r="152" spans="1:1">
      <c r="A152" s="53">
        <v>2007.11</v>
      </c>
    </row>
    <row r="153" spans="1:1">
      <c r="A153" s="53">
        <v>2007.12</v>
      </c>
    </row>
    <row r="154" spans="1:1">
      <c r="A154" s="53">
        <f t="shared" ref="A154:A217" si="0">A142+1</f>
        <v>2008.01</v>
      </c>
    </row>
    <row r="155" spans="1:1">
      <c r="A155" s="53">
        <f t="shared" si="0"/>
        <v>2008.02</v>
      </c>
    </row>
    <row r="156" spans="1:1">
      <c r="A156" s="53">
        <f t="shared" si="0"/>
        <v>2008.03</v>
      </c>
    </row>
    <row r="157" spans="1:1">
      <c r="A157" s="53">
        <f t="shared" si="0"/>
        <v>2008.04</v>
      </c>
    </row>
    <row r="158" spans="1:1">
      <c r="A158" s="53">
        <f t="shared" si="0"/>
        <v>2008.05</v>
      </c>
    </row>
    <row r="159" spans="1:1">
      <c r="A159" s="53">
        <f t="shared" si="0"/>
        <v>2008.06</v>
      </c>
    </row>
    <row r="160" spans="1:1">
      <c r="A160" s="53">
        <f t="shared" si="0"/>
        <v>2008.07</v>
      </c>
    </row>
    <row r="161" spans="1:1">
      <c r="A161" s="53">
        <f t="shared" si="0"/>
        <v>2008.08</v>
      </c>
    </row>
    <row r="162" spans="1:1">
      <c r="A162" s="53">
        <f t="shared" si="0"/>
        <v>2008.09</v>
      </c>
    </row>
    <row r="163" spans="1:1">
      <c r="A163" s="53">
        <f t="shared" si="0"/>
        <v>2008.1</v>
      </c>
    </row>
    <row r="164" spans="1:1">
      <c r="A164" s="53">
        <f t="shared" si="0"/>
        <v>2008.11</v>
      </c>
    </row>
    <row r="165" spans="1:1">
      <c r="A165" s="53">
        <f t="shared" si="0"/>
        <v>2008.12</v>
      </c>
    </row>
    <row r="166" spans="1:1">
      <c r="A166" s="53">
        <f t="shared" si="0"/>
        <v>2009.01</v>
      </c>
    </row>
    <row r="167" spans="1:1">
      <c r="A167" s="53">
        <f t="shared" si="0"/>
        <v>2009.02</v>
      </c>
    </row>
    <row r="168" spans="1:1">
      <c r="A168" s="53">
        <f t="shared" si="0"/>
        <v>2009.03</v>
      </c>
    </row>
    <row r="169" spans="1:1">
      <c r="A169" s="53">
        <f t="shared" si="0"/>
        <v>2009.04</v>
      </c>
    </row>
    <row r="170" spans="1:1">
      <c r="A170" s="53">
        <f t="shared" si="0"/>
        <v>2009.05</v>
      </c>
    </row>
    <row r="171" spans="1:1">
      <c r="A171" s="53">
        <f t="shared" si="0"/>
        <v>2009.06</v>
      </c>
    </row>
    <row r="172" spans="1:1">
      <c r="A172" s="53">
        <f t="shared" si="0"/>
        <v>2009.07</v>
      </c>
    </row>
    <row r="173" spans="1:1">
      <c r="A173" s="53">
        <f t="shared" si="0"/>
        <v>2009.08</v>
      </c>
    </row>
    <row r="174" spans="1:1">
      <c r="A174" s="53">
        <f t="shared" si="0"/>
        <v>2009.09</v>
      </c>
    </row>
    <row r="175" spans="1:1">
      <c r="A175" s="53">
        <f t="shared" si="0"/>
        <v>2009.1</v>
      </c>
    </row>
    <row r="176" spans="1:1">
      <c r="A176" s="53">
        <f t="shared" si="0"/>
        <v>2009.11</v>
      </c>
    </row>
    <row r="177" spans="1:1">
      <c r="A177" s="53">
        <f t="shared" si="0"/>
        <v>2009.12</v>
      </c>
    </row>
    <row r="178" spans="1:1">
      <c r="A178" s="53">
        <f t="shared" si="0"/>
        <v>2010.01</v>
      </c>
    </row>
    <row r="179" spans="1:1">
      <c r="A179" s="53">
        <f t="shared" si="0"/>
        <v>2010.02</v>
      </c>
    </row>
    <row r="180" spans="1:1">
      <c r="A180" s="53">
        <f t="shared" si="0"/>
        <v>2010.03</v>
      </c>
    </row>
    <row r="181" spans="1:1">
      <c r="A181" s="53">
        <f t="shared" si="0"/>
        <v>2010.04</v>
      </c>
    </row>
    <row r="182" spans="1:1">
      <c r="A182" s="53">
        <f t="shared" si="0"/>
        <v>2010.05</v>
      </c>
    </row>
    <row r="183" spans="1:1">
      <c r="A183" s="53">
        <f t="shared" si="0"/>
        <v>2010.06</v>
      </c>
    </row>
    <row r="184" spans="1:1">
      <c r="A184" s="53">
        <f t="shared" si="0"/>
        <v>2010.07</v>
      </c>
    </row>
    <row r="185" spans="1:1">
      <c r="A185" s="53">
        <f t="shared" si="0"/>
        <v>2010.08</v>
      </c>
    </row>
    <row r="186" spans="1:1">
      <c r="A186" s="53">
        <f t="shared" si="0"/>
        <v>2010.09</v>
      </c>
    </row>
    <row r="187" spans="1:1">
      <c r="A187" s="53">
        <f t="shared" si="0"/>
        <v>2010.1</v>
      </c>
    </row>
    <row r="188" spans="1:1">
      <c r="A188" s="53">
        <f t="shared" si="0"/>
        <v>2010.11</v>
      </c>
    </row>
    <row r="189" spans="1:1">
      <c r="A189" s="53">
        <f t="shared" si="0"/>
        <v>2010.12</v>
      </c>
    </row>
    <row r="190" spans="1:1">
      <c r="A190" s="53">
        <f t="shared" si="0"/>
        <v>2011.01</v>
      </c>
    </row>
    <row r="191" spans="1:1">
      <c r="A191" s="53">
        <f t="shared" si="0"/>
        <v>2011.02</v>
      </c>
    </row>
    <row r="192" spans="1:1">
      <c r="A192" s="53">
        <f t="shared" si="0"/>
        <v>2011.03</v>
      </c>
    </row>
    <row r="193" spans="1:1">
      <c r="A193" s="53">
        <f t="shared" si="0"/>
        <v>2011.04</v>
      </c>
    </row>
    <row r="194" spans="1:1">
      <c r="A194" s="53">
        <f t="shared" si="0"/>
        <v>2011.05</v>
      </c>
    </row>
    <row r="195" spans="1:1">
      <c r="A195" s="53">
        <f t="shared" si="0"/>
        <v>2011.06</v>
      </c>
    </row>
    <row r="196" spans="1:1">
      <c r="A196" s="53">
        <f t="shared" si="0"/>
        <v>2011.07</v>
      </c>
    </row>
    <row r="197" spans="1:1">
      <c r="A197" s="53">
        <f t="shared" si="0"/>
        <v>2011.08</v>
      </c>
    </row>
    <row r="198" spans="1:1">
      <c r="A198" s="53">
        <f t="shared" si="0"/>
        <v>2011.09</v>
      </c>
    </row>
    <row r="199" spans="1:1">
      <c r="A199" s="53">
        <f t="shared" si="0"/>
        <v>2011.1</v>
      </c>
    </row>
    <row r="200" spans="1:1">
      <c r="A200" s="53">
        <f t="shared" si="0"/>
        <v>2011.11</v>
      </c>
    </row>
    <row r="201" spans="1:1">
      <c r="A201" s="53">
        <f t="shared" si="0"/>
        <v>2011.12</v>
      </c>
    </row>
    <row r="202" spans="1:1">
      <c r="A202" s="53">
        <f t="shared" si="0"/>
        <v>2012.01</v>
      </c>
    </row>
    <row r="203" spans="1:1">
      <c r="A203" s="53">
        <f t="shared" si="0"/>
        <v>2012.02</v>
      </c>
    </row>
    <row r="204" spans="1:1">
      <c r="A204" s="53">
        <f t="shared" si="0"/>
        <v>2012.03</v>
      </c>
    </row>
    <row r="205" spans="1:1">
      <c r="A205" s="53">
        <f t="shared" si="0"/>
        <v>2012.04</v>
      </c>
    </row>
    <row r="206" spans="1:1">
      <c r="A206" s="53">
        <f t="shared" si="0"/>
        <v>2012.05</v>
      </c>
    </row>
    <row r="207" spans="1:1">
      <c r="A207" s="53">
        <f t="shared" si="0"/>
        <v>2012.06</v>
      </c>
    </row>
    <row r="208" spans="1:1">
      <c r="A208" s="53">
        <f t="shared" si="0"/>
        <v>2012.07</v>
      </c>
    </row>
    <row r="209" spans="1:1">
      <c r="A209" s="53">
        <f t="shared" si="0"/>
        <v>2012.08</v>
      </c>
    </row>
    <row r="210" spans="1:1">
      <c r="A210" s="53">
        <f t="shared" si="0"/>
        <v>2012.09</v>
      </c>
    </row>
    <row r="211" spans="1:1">
      <c r="A211" s="53">
        <f t="shared" si="0"/>
        <v>2012.1</v>
      </c>
    </row>
    <row r="212" spans="1:1">
      <c r="A212" s="53">
        <f t="shared" si="0"/>
        <v>2012.11</v>
      </c>
    </row>
    <row r="213" spans="1:1">
      <c r="A213" s="53">
        <f t="shared" si="0"/>
        <v>2012.12</v>
      </c>
    </row>
    <row r="214" spans="1:1">
      <c r="A214" s="53">
        <f t="shared" si="0"/>
        <v>2013.01</v>
      </c>
    </row>
    <row r="215" spans="1:1">
      <c r="A215" s="53">
        <f t="shared" si="0"/>
        <v>2013.02</v>
      </c>
    </row>
    <row r="216" spans="1:1">
      <c r="A216" s="53">
        <f t="shared" si="0"/>
        <v>2013.03</v>
      </c>
    </row>
    <row r="217" spans="1:1">
      <c r="A217" s="53">
        <f t="shared" si="0"/>
        <v>2013.04</v>
      </c>
    </row>
    <row r="218" spans="1:1">
      <c r="A218" s="53">
        <f t="shared" ref="A218:A281" si="1">A206+1</f>
        <v>2013.05</v>
      </c>
    </row>
    <row r="219" spans="1:1">
      <c r="A219" s="53">
        <f t="shared" si="1"/>
        <v>2013.06</v>
      </c>
    </row>
    <row r="220" spans="1:1">
      <c r="A220" s="53">
        <f t="shared" si="1"/>
        <v>2013.07</v>
      </c>
    </row>
    <row r="221" spans="1:1">
      <c r="A221" s="53">
        <f t="shared" si="1"/>
        <v>2013.08</v>
      </c>
    </row>
    <row r="222" spans="1:1">
      <c r="A222" s="53">
        <f t="shared" si="1"/>
        <v>2013.09</v>
      </c>
    </row>
    <row r="223" spans="1:1">
      <c r="A223" s="53">
        <f t="shared" si="1"/>
        <v>2013.1</v>
      </c>
    </row>
    <row r="224" spans="1:1">
      <c r="A224" s="53">
        <f t="shared" si="1"/>
        <v>2013.11</v>
      </c>
    </row>
    <row r="225" spans="1:1">
      <c r="A225" s="53">
        <f t="shared" si="1"/>
        <v>2013.12</v>
      </c>
    </row>
    <row r="226" spans="1:1">
      <c r="A226" s="53">
        <f t="shared" si="1"/>
        <v>2014.01</v>
      </c>
    </row>
    <row r="227" spans="1:1">
      <c r="A227" s="53">
        <f t="shared" si="1"/>
        <v>2014.02</v>
      </c>
    </row>
    <row r="228" spans="1:1">
      <c r="A228" s="53">
        <f t="shared" si="1"/>
        <v>2014.03</v>
      </c>
    </row>
    <row r="229" spans="1:1">
      <c r="A229" s="53">
        <f t="shared" si="1"/>
        <v>2014.04</v>
      </c>
    </row>
    <row r="230" spans="1:1">
      <c r="A230" s="53">
        <f t="shared" si="1"/>
        <v>2014.05</v>
      </c>
    </row>
    <row r="231" spans="1:1">
      <c r="A231" s="53">
        <f t="shared" si="1"/>
        <v>2014.06</v>
      </c>
    </row>
    <row r="232" spans="1:1">
      <c r="A232" s="53">
        <f t="shared" si="1"/>
        <v>2014.07</v>
      </c>
    </row>
    <row r="233" spans="1:1">
      <c r="A233" s="53">
        <f t="shared" si="1"/>
        <v>2014.08</v>
      </c>
    </row>
    <row r="234" spans="1:1">
      <c r="A234" s="53">
        <f t="shared" si="1"/>
        <v>2014.09</v>
      </c>
    </row>
    <row r="235" spans="1:1">
      <c r="A235" s="53">
        <f t="shared" si="1"/>
        <v>2014.1</v>
      </c>
    </row>
    <row r="236" spans="1:1">
      <c r="A236" s="53">
        <f t="shared" si="1"/>
        <v>2014.11</v>
      </c>
    </row>
    <row r="237" spans="1:1">
      <c r="A237" s="53">
        <f t="shared" si="1"/>
        <v>2014.12</v>
      </c>
    </row>
    <row r="238" spans="1:1">
      <c r="A238" s="53">
        <f t="shared" si="1"/>
        <v>2015.01</v>
      </c>
    </row>
    <row r="239" spans="1:1">
      <c r="A239" s="53">
        <f t="shared" si="1"/>
        <v>2015.02</v>
      </c>
    </row>
    <row r="240" spans="1:1">
      <c r="A240" s="53">
        <f t="shared" si="1"/>
        <v>2015.03</v>
      </c>
    </row>
    <row r="241" spans="1:1">
      <c r="A241" s="53">
        <f t="shared" si="1"/>
        <v>2015.04</v>
      </c>
    </row>
    <row r="242" spans="1:1">
      <c r="A242" s="53">
        <f t="shared" si="1"/>
        <v>2015.05</v>
      </c>
    </row>
    <row r="243" spans="1:1">
      <c r="A243" s="53">
        <f t="shared" si="1"/>
        <v>2015.06</v>
      </c>
    </row>
    <row r="244" spans="1:1">
      <c r="A244" s="53">
        <f t="shared" si="1"/>
        <v>2015.07</v>
      </c>
    </row>
    <row r="245" spans="1:1">
      <c r="A245" s="53">
        <f t="shared" si="1"/>
        <v>2015.08</v>
      </c>
    </row>
    <row r="246" spans="1:1">
      <c r="A246" s="53">
        <f t="shared" si="1"/>
        <v>2015.09</v>
      </c>
    </row>
    <row r="247" spans="1:1">
      <c r="A247" s="53">
        <f t="shared" si="1"/>
        <v>2015.1</v>
      </c>
    </row>
    <row r="248" spans="1:1">
      <c r="A248" s="53">
        <f t="shared" si="1"/>
        <v>2015.11</v>
      </c>
    </row>
    <row r="249" spans="1:1">
      <c r="A249" s="53">
        <f t="shared" si="1"/>
        <v>2015.12</v>
      </c>
    </row>
    <row r="250" spans="1:1">
      <c r="A250" s="53">
        <f t="shared" si="1"/>
        <v>2016.01</v>
      </c>
    </row>
    <row r="251" spans="1:1">
      <c r="A251" s="53">
        <f t="shared" si="1"/>
        <v>2016.02</v>
      </c>
    </row>
    <row r="252" spans="1:1">
      <c r="A252" s="53">
        <f t="shared" si="1"/>
        <v>2016.03</v>
      </c>
    </row>
    <row r="253" spans="1:1">
      <c r="A253" s="53">
        <f t="shared" si="1"/>
        <v>2016.04</v>
      </c>
    </row>
    <row r="254" spans="1:1">
      <c r="A254" s="53">
        <f t="shared" si="1"/>
        <v>2016.05</v>
      </c>
    </row>
    <row r="255" spans="1:1">
      <c r="A255" s="53">
        <f t="shared" si="1"/>
        <v>2016.06</v>
      </c>
    </row>
    <row r="256" spans="1:1">
      <c r="A256" s="53">
        <f t="shared" si="1"/>
        <v>2016.07</v>
      </c>
    </row>
    <row r="257" spans="1:1">
      <c r="A257" s="53">
        <f t="shared" si="1"/>
        <v>2016.08</v>
      </c>
    </row>
    <row r="258" spans="1:1">
      <c r="A258" s="53">
        <f t="shared" si="1"/>
        <v>2016.09</v>
      </c>
    </row>
    <row r="259" spans="1:1">
      <c r="A259" s="53">
        <f t="shared" si="1"/>
        <v>2016.1</v>
      </c>
    </row>
    <row r="260" spans="1:1">
      <c r="A260" s="53">
        <f t="shared" si="1"/>
        <v>2016.11</v>
      </c>
    </row>
    <row r="261" spans="1:1">
      <c r="A261" s="53">
        <f t="shared" si="1"/>
        <v>2016.12</v>
      </c>
    </row>
    <row r="262" spans="1:1">
      <c r="A262" s="53">
        <f t="shared" si="1"/>
        <v>2017.01</v>
      </c>
    </row>
    <row r="263" spans="1:1">
      <c r="A263" s="53">
        <f t="shared" si="1"/>
        <v>2017.02</v>
      </c>
    </row>
    <row r="264" spans="1:1">
      <c r="A264" s="53">
        <f t="shared" si="1"/>
        <v>2017.03</v>
      </c>
    </row>
    <row r="265" spans="1:1">
      <c r="A265" s="53">
        <f t="shared" si="1"/>
        <v>2017.04</v>
      </c>
    </row>
    <row r="266" spans="1:1">
      <c r="A266" s="53">
        <f t="shared" si="1"/>
        <v>2017.05</v>
      </c>
    </row>
    <row r="267" spans="1:1">
      <c r="A267" s="53">
        <f t="shared" si="1"/>
        <v>2017.06</v>
      </c>
    </row>
    <row r="268" spans="1:1">
      <c r="A268" s="53">
        <f t="shared" si="1"/>
        <v>2017.07</v>
      </c>
    </row>
    <row r="269" spans="1:1">
      <c r="A269" s="53">
        <f t="shared" si="1"/>
        <v>2017.08</v>
      </c>
    </row>
    <row r="270" spans="1:1">
      <c r="A270" s="53">
        <f t="shared" si="1"/>
        <v>2017.09</v>
      </c>
    </row>
    <row r="271" spans="1:1">
      <c r="A271" s="53">
        <f t="shared" si="1"/>
        <v>2017.1</v>
      </c>
    </row>
    <row r="272" spans="1:1">
      <c r="A272" s="53">
        <f t="shared" si="1"/>
        <v>2017.11</v>
      </c>
    </row>
    <row r="273" spans="1:1">
      <c r="A273" s="53">
        <f t="shared" si="1"/>
        <v>2017.12</v>
      </c>
    </row>
    <row r="274" spans="1:1">
      <c r="A274" s="53">
        <f t="shared" si="1"/>
        <v>2018.01</v>
      </c>
    </row>
    <row r="275" spans="1:1">
      <c r="A275" s="53">
        <f t="shared" si="1"/>
        <v>2018.02</v>
      </c>
    </row>
    <row r="276" spans="1:1">
      <c r="A276" s="53">
        <f t="shared" si="1"/>
        <v>2018.03</v>
      </c>
    </row>
    <row r="277" spans="1:1">
      <c r="A277" s="53">
        <f t="shared" si="1"/>
        <v>2018.04</v>
      </c>
    </row>
    <row r="278" spans="1:1">
      <c r="A278" s="53">
        <f t="shared" si="1"/>
        <v>2018.05</v>
      </c>
    </row>
    <row r="279" spans="1:1">
      <c r="A279" s="53">
        <f t="shared" si="1"/>
        <v>2018.06</v>
      </c>
    </row>
    <row r="280" spans="1:1">
      <c r="A280" s="53">
        <f t="shared" si="1"/>
        <v>2018.07</v>
      </c>
    </row>
    <row r="281" spans="1:1">
      <c r="A281" s="53">
        <f t="shared" si="1"/>
        <v>2018.08</v>
      </c>
    </row>
    <row r="282" spans="1:1">
      <c r="A282" s="53">
        <f t="shared" ref="A282:A345" si="2">A270+1</f>
        <v>2018.09</v>
      </c>
    </row>
    <row r="283" spans="1:1">
      <c r="A283" s="53">
        <f t="shared" si="2"/>
        <v>2018.1</v>
      </c>
    </row>
    <row r="284" spans="1:1">
      <c r="A284" s="53">
        <f t="shared" si="2"/>
        <v>2018.11</v>
      </c>
    </row>
    <row r="285" spans="1:1">
      <c r="A285" s="53">
        <f t="shared" si="2"/>
        <v>2018.12</v>
      </c>
    </row>
    <row r="286" spans="1:1">
      <c r="A286" s="53">
        <f t="shared" si="2"/>
        <v>2019.01</v>
      </c>
    </row>
    <row r="287" spans="1:1">
      <c r="A287" s="53">
        <f t="shared" si="2"/>
        <v>2019.02</v>
      </c>
    </row>
    <row r="288" spans="1:1">
      <c r="A288" s="53">
        <f t="shared" si="2"/>
        <v>2019.03</v>
      </c>
    </row>
    <row r="289" spans="1:1">
      <c r="A289" s="53">
        <f t="shared" si="2"/>
        <v>2019.04</v>
      </c>
    </row>
    <row r="290" spans="1:1">
      <c r="A290" s="53">
        <f t="shared" si="2"/>
        <v>2019.05</v>
      </c>
    </row>
    <row r="291" spans="1:1">
      <c r="A291" s="53">
        <f t="shared" si="2"/>
        <v>2019.06</v>
      </c>
    </row>
    <row r="292" spans="1:1">
      <c r="A292" s="53">
        <f t="shared" si="2"/>
        <v>2019.07</v>
      </c>
    </row>
    <row r="293" spans="1:1">
      <c r="A293" s="53">
        <f t="shared" si="2"/>
        <v>2019.08</v>
      </c>
    </row>
    <row r="294" spans="1:1">
      <c r="A294" s="53">
        <f t="shared" si="2"/>
        <v>2019.09</v>
      </c>
    </row>
    <row r="295" spans="1:1">
      <c r="A295" s="53">
        <f t="shared" si="2"/>
        <v>2019.1</v>
      </c>
    </row>
    <row r="296" spans="1:1">
      <c r="A296" s="53">
        <f t="shared" si="2"/>
        <v>2019.11</v>
      </c>
    </row>
    <row r="297" spans="1:1">
      <c r="A297" s="53">
        <f t="shared" si="2"/>
        <v>2019.12</v>
      </c>
    </row>
    <row r="298" spans="1:1">
      <c r="A298" s="53">
        <f t="shared" si="2"/>
        <v>2020.01</v>
      </c>
    </row>
    <row r="299" spans="1:1">
      <c r="A299" s="53">
        <f t="shared" si="2"/>
        <v>2020.02</v>
      </c>
    </row>
    <row r="300" spans="1:1">
      <c r="A300" s="53">
        <f t="shared" si="2"/>
        <v>2020.03</v>
      </c>
    </row>
    <row r="301" spans="1:1">
      <c r="A301" s="53">
        <f t="shared" si="2"/>
        <v>2020.04</v>
      </c>
    </row>
    <row r="302" spans="1:1">
      <c r="A302" s="53">
        <f t="shared" si="2"/>
        <v>2020.05</v>
      </c>
    </row>
    <row r="303" spans="1:1">
      <c r="A303" s="53">
        <f t="shared" si="2"/>
        <v>2020.06</v>
      </c>
    </row>
    <row r="304" spans="1:1">
      <c r="A304" s="53">
        <f t="shared" si="2"/>
        <v>2020.07</v>
      </c>
    </row>
    <row r="305" spans="1:1">
      <c r="A305" s="53">
        <f t="shared" si="2"/>
        <v>2020.08</v>
      </c>
    </row>
    <row r="306" spans="1:1">
      <c r="A306" s="53">
        <f t="shared" si="2"/>
        <v>2020.09</v>
      </c>
    </row>
    <row r="307" spans="1:1">
      <c r="A307" s="53">
        <f t="shared" si="2"/>
        <v>2020.1</v>
      </c>
    </row>
    <row r="308" spans="1:1">
      <c r="A308" s="53">
        <f t="shared" si="2"/>
        <v>2020.11</v>
      </c>
    </row>
    <row r="309" spans="1:1">
      <c r="A309" s="53">
        <f t="shared" si="2"/>
        <v>2020.12</v>
      </c>
    </row>
    <row r="310" spans="1:1">
      <c r="A310" s="53">
        <f t="shared" si="2"/>
        <v>2021.01</v>
      </c>
    </row>
    <row r="311" spans="1:1">
      <c r="A311" s="53">
        <f t="shared" si="2"/>
        <v>2021.02</v>
      </c>
    </row>
    <row r="312" spans="1:1">
      <c r="A312" s="53">
        <f t="shared" si="2"/>
        <v>2021.03</v>
      </c>
    </row>
    <row r="313" spans="1:1">
      <c r="A313" s="53">
        <f t="shared" si="2"/>
        <v>2021.04</v>
      </c>
    </row>
    <row r="314" spans="1:1">
      <c r="A314" s="53">
        <f t="shared" si="2"/>
        <v>2021.05</v>
      </c>
    </row>
    <row r="315" spans="1:1">
      <c r="A315" s="53">
        <f t="shared" si="2"/>
        <v>2021.06</v>
      </c>
    </row>
    <row r="316" spans="1:1">
      <c r="A316" s="53">
        <f t="shared" si="2"/>
        <v>2021.07</v>
      </c>
    </row>
    <row r="317" spans="1:1">
      <c r="A317" s="53">
        <f t="shared" si="2"/>
        <v>2021.08</v>
      </c>
    </row>
    <row r="318" spans="1:1">
      <c r="A318" s="53">
        <f t="shared" si="2"/>
        <v>2021.09</v>
      </c>
    </row>
    <row r="319" spans="1:1">
      <c r="A319" s="53">
        <f t="shared" si="2"/>
        <v>2021.1</v>
      </c>
    </row>
    <row r="320" spans="1:1">
      <c r="A320" s="53">
        <f t="shared" si="2"/>
        <v>2021.11</v>
      </c>
    </row>
    <row r="321" spans="1:1">
      <c r="A321" s="53">
        <f t="shared" si="2"/>
        <v>2021.12</v>
      </c>
    </row>
    <row r="322" spans="1:1">
      <c r="A322" s="53">
        <f t="shared" si="2"/>
        <v>2022.01</v>
      </c>
    </row>
    <row r="323" spans="1:1">
      <c r="A323" s="53">
        <f t="shared" si="2"/>
        <v>2022.02</v>
      </c>
    </row>
    <row r="324" spans="1:1">
      <c r="A324" s="53">
        <f t="shared" si="2"/>
        <v>2022.03</v>
      </c>
    </row>
    <row r="325" spans="1:1">
      <c r="A325" s="53">
        <f t="shared" si="2"/>
        <v>2022.04</v>
      </c>
    </row>
    <row r="326" spans="1:1">
      <c r="A326" s="53">
        <f t="shared" si="2"/>
        <v>2022.05</v>
      </c>
    </row>
    <row r="327" spans="1:1">
      <c r="A327" s="53">
        <f t="shared" si="2"/>
        <v>2022.06</v>
      </c>
    </row>
    <row r="328" spans="1:1">
      <c r="A328" s="53">
        <f t="shared" si="2"/>
        <v>2022.07</v>
      </c>
    </row>
    <row r="329" spans="1:1">
      <c r="A329" s="53">
        <f t="shared" si="2"/>
        <v>2022.08</v>
      </c>
    </row>
    <row r="330" spans="1:1">
      <c r="A330" s="53">
        <f t="shared" si="2"/>
        <v>2022.09</v>
      </c>
    </row>
    <row r="331" spans="1:1">
      <c r="A331" s="53">
        <f t="shared" si="2"/>
        <v>2022.1</v>
      </c>
    </row>
    <row r="332" spans="1:1">
      <c r="A332" s="53">
        <f t="shared" si="2"/>
        <v>2022.11</v>
      </c>
    </row>
    <row r="333" spans="1:1">
      <c r="A333" s="53">
        <f t="shared" si="2"/>
        <v>2022.12</v>
      </c>
    </row>
    <row r="334" spans="1:1">
      <c r="A334" s="53">
        <f t="shared" si="2"/>
        <v>2023.01</v>
      </c>
    </row>
    <row r="335" spans="1:1">
      <c r="A335" s="53">
        <f t="shared" si="2"/>
        <v>2023.02</v>
      </c>
    </row>
    <row r="336" spans="1:1">
      <c r="A336" s="53">
        <f t="shared" si="2"/>
        <v>2023.03</v>
      </c>
    </row>
    <row r="337" spans="1:1">
      <c r="A337" s="53">
        <f t="shared" si="2"/>
        <v>2023.04</v>
      </c>
    </row>
    <row r="338" spans="1:1">
      <c r="A338" s="53">
        <f t="shared" si="2"/>
        <v>2023.05</v>
      </c>
    </row>
    <row r="339" spans="1:1">
      <c r="A339" s="53">
        <f t="shared" si="2"/>
        <v>2023.06</v>
      </c>
    </row>
    <row r="340" spans="1:1">
      <c r="A340" s="53">
        <f t="shared" si="2"/>
        <v>2023.07</v>
      </c>
    </row>
    <row r="341" spans="1:1">
      <c r="A341" s="53">
        <f t="shared" si="2"/>
        <v>2023.08</v>
      </c>
    </row>
    <row r="342" spans="1:1">
      <c r="A342" s="53">
        <f t="shared" si="2"/>
        <v>2023.09</v>
      </c>
    </row>
    <row r="343" spans="1:1">
      <c r="A343" s="53">
        <f t="shared" si="2"/>
        <v>2023.1</v>
      </c>
    </row>
    <row r="344" spans="1:1">
      <c r="A344" s="53">
        <f t="shared" si="2"/>
        <v>2023.11</v>
      </c>
    </row>
    <row r="345" spans="1:1">
      <c r="A345" s="53">
        <f t="shared" si="2"/>
        <v>2023.12</v>
      </c>
    </row>
    <row r="346" spans="1:1">
      <c r="A346" s="53">
        <f t="shared" ref="A346:A369" si="3">A334+1</f>
        <v>2024.01</v>
      </c>
    </row>
    <row r="347" spans="1:1">
      <c r="A347" s="53">
        <f t="shared" si="3"/>
        <v>2024.02</v>
      </c>
    </row>
    <row r="348" spans="1:1">
      <c r="A348" s="53">
        <f t="shared" si="3"/>
        <v>2024.03</v>
      </c>
    </row>
    <row r="349" spans="1:1">
      <c r="A349" s="1603">
        <f t="shared" si="3"/>
        <v>2024.04</v>
      </c>
    </row>
    <row r="350" spans="1:1">
      <c r="A350" s="1603">
        <f t="shared" si="3"/>
        <v>2024.05</v>
      </c>
    </row>
    <row r="351" spans="1:1">
      <c r="A351" s="1603">
        <f t="shared" si="3"/>
        <v>2024.06</v>
      </c>
    </row>
    <row r="352" spans="1:1">
      <c r="A352" s="1603">
        <f t="shared" si="3"/>
        <v>2024.07</v>
      </c>
    </row>
    <row r="353" spans="1:1">
      <c r="A353" s="1603">
        <f t="shared" si="3"/>
        <v>2024.08</v>
      </c>
    </row>
    <row r="354" spans="1:1">
      <c r="A354" s="1603">
        <f t="shared" si="3"/>
        <v>2024.09</v>
      </c>
    </row>
    <row r="355" spans="1:1">
      <c r="A355" s="53">
        <f t="shared" si="3"/>
        <v>2024.1</v>
      </c>
    </row>
    <row r="356" spans="1:1">
      <c r="A356" s="53">
        <f t="shared" si="3"/>
        <v>2024.11</v>
      </c>
    </row>
    <row r="357" spans="1:1">
      <c r="A357" s="53">
        <f t="shared" si="3"/>
        <v>2024.12</v>
      </c>
    </row>
    <row r="358" spans="1:1">
      <c r="A358" s="53">
        <f t="shared" si="3"/>
        <v>2025.01</v>
      </c>
    </row>
    <row r="359" spans="1:1">
      <c r="A359" s="53">
        <f t="shared" si="3"/>
        <v>2025.02</v>
      </c>
    </row>
    <row r="360" spans="1:1">
      <c r="A360" s="53">
        <f t="shared" si="3"/>
        <v>2025.03</v>
      </c>
    </row>
    <row r="361" spans="1:1">
      <c r="A361" s="53">
        <f t="shared" si="3"/>
        <v>2025.04</v>
      </c>
    </row>
    <row r="362" spans="1:1">
      <c r="A362" s="53">
        <f t="shared" si="3"/>
        <v>2025.05</v>
      </c>
    </row>
    <row r="363" spans="1:1">
      <c r="A363" s="53">
        <f t="shared" si="3"/>
        <v>2025.06</v>
      </c>
    </row>
    <row r="364" spans="1:1">
      <c r="A364" s="53">
        <f t="shared" si="3"/>
        <v>2025.07</v>
      </c>
    </row>
    <row r="365" spans="1:1">
      <c r="A365" s="53">
        <f t="shared" si="3"/>
        <v>2025.08</v>
      </c>
    </row>
    <row r="366" spans="1:1">
      <c r="A366" s="53">
        <f t="shared" si="3"/>
        <v>2025.09</v>
      </c>
    </row>
    <row r="367" spans="1:1">
      <c r="A367" s="53">
        <f t="shared" si="3"/>
        <v>2025.1</v>
      </c>
    </row>
    <row r="368" spans="1:1">
      <c r="A368" s="53">
        <f t="shared" si="3"/>
        <v>2025.11</v>
      </c>
    </row>
    <row r="369" spans="1:1">
      <c r="A369" s="53">
        <f t="shared" si="3"/>
        <v>2025.12</v>
      </c>
    </row>
    <row r="370" spans="1:1">
      <c r="A370" s="972">
        <v>2026.01</v>
      </c>
    </row>
    <row r="371" spans="1:1">
      <c r="A371" s="972">
        <v>2026.02</v>
      </c>
    </row>
    <row r="372" spans="1:1">
      <c r="A372" s="972">
        <v>2026.03</v>
      </c>
    </row>
    <row r="373" spans="1:1">
      <c r="A373" s="972">
        <v>2026.04</v>
      </c>
    </row>
    <row r="374" spans="1:1">
      <c r="A374" s="972">
        <v>2026.05</v>
      </c>
    </row>
    <row r="375" spans="1:1">
      <c r="A375" s="972">
        <v>2026.06</v>
      </c>
    </row>
    <row r="376" spans="1:1">
      <c r="A376" s="972">
        <v>2026.07</v>
      </c>
    </row>
    <row r="377" spans="1:1">
      <c r="A377" s="972">
        <v>2026.08</v>
      </c>
    </row>
    <row r="378" spans="1:1">
      <c r="A378" s="972">
        <v>2026.09</v>
      </c>
    </row>
    <row r="379" spans="1:1">
      <c r="A379" s="972">
        <v>2026.1</v>
      </c>
    </row>
    <row r="380" spans="1:1">
      <c r="A380" s="972">
        <v>2026.11</v>
      </c>
    </row>
    <row r="381" spans="1:1">
      <c r="A381" s="972">
        <v>2026.12</v>
      </c>
    </row>
    <row r="382" spans="1:1">
      <c r="A382" s="972">
        <v>2027.01</v>
      </c>
    </row>
    <row r="383" spans="1:1">
      <c r="A383" s="972">
        <v>2027.02</v>
      </c>
    </row>
    <row r="384" spans="1:1">
      <c r="A384" s="972">
        <v>2027.03</v>
      </c>
    </row>
    <row r="385" spans="1:1">
      <c r="A385" s="972">
        <v>2027.04</v>
      </c>
    </row>
    <row r="386" spans="1:1">
      <c r="A386" s="972">
        <v>2027.05</v>
      </c>
    </row>
    <row r="387" spans="1:1">
      <c r="A387" s="972">
        <v>2027.06</v>
      </c>
    </row>
    <row r="388" spans="1:1">
      <c r="A388" s="972">
        <v>2027.07</v>
      </c>
    </row>
    <row r="389" spans="1:1">
      <c r="A389" s="972">
        <v>2027.08</v>
      </c>
    </row>
    <row r="390" spans="1:1">
      <c r="A390" s="972">
        <v>2027.09</v>
      </c>
    </row>
    <row r="391" spans="1:1">
      <c r="A391" s="972">
        <v>2027.1</v>
      </c>
    </row>
    <row r="392" spans="1:1">
      <c r="A392" s="972">
        <v>2027.11</v>
      </c>
    </row>
    <row r="393" spans="1:1">
      <c r="A393" s="972">
        <v>2027.12</v>
      </c>
    </row>
    <row r="394" spans="1:1">
      <c r="A394" s="972">
        <v>2028.01</v>
      </c>
    </row>
    <row r="395" spans="1:1">
      <c r="A395" s="972">
        <v>2028.02</v>
      </c>
    </row>
    <row r="396" spans="1:1">
      <c r="A396" s="972">
        <v>2028.03</v>
      </c>
    </row>
    <row r="397" spans="1:1">
      <c r="A397" s="972">
        <v>2028.04</v>
      </c>
    </row>
    <row r="398" spans="1:1">
      <c r="A398" s="972">
        <v>2028.05</v>
      </c>
    </row>
    <row r="399" spans="1:1">
      <c r="A399" s="972">
        <v>2028.06</v>
      </c>
    </row>
    <row r="400" spans="1:1">
      <c r="A400" s="972">
        <v>2028.07</v>
      </c>
    </row>
    <row r="401" spans="1:1">
      <c r="A401" s="972">
        <v>2028.08</v>
      </c>
    </row>
    <row r="402" spans="1:1">
      <c r="A402" s="972">
        <v>2028.09</v>
      </c>
    </row>
    <row r="403" spans="1:1">
      <c r="A403" s="972">
        <v>2028.1</v>
      </c>
    </row>
    <row r="404" spans="1:1">
      <c r="A404" s="972">
        <v>2028.11</v>
      </c>
    </row>
    <row r="405" spans="1:1">
      <c r="A405" s="972">
        <v>2028.12</v>
      </c>
    </row>
    <row r="406" spans="1:1">
      <c r="A406" s="972">
        <v>2029.01</v>
      </c>
    </row>
    <row r="407" spans="1:1">
      <c r="A407" s="972">
        <v>2029.02</v>
      </c>
    </row>
    <row r="408" spans="1:1">
      <c r="A408" s="972">
        <v>2029.03</v>
      </c>
    </row>
    <row r="409" spans="1:1">
      <c r="A409" s="972">
        <v>2029.04</v>
      </c>
    </row>
    <row r="410" spans="1:1">
      <c r="A410" s="972">
        <v>2029.05</v>
      </c>
    </row>
    <row r="411" spans="1:1">
      <c r="A411" s="972">
        <v>2029.06</v>
      </c>
    </row>
    <row r="412" spans="1:1">
      <c r="A412" s="972">
        <v>2029.07</v>
      </c>
    </row>
    <row r="413" spans="1:1">
      <c r="A413" s="972">
        <v>2029.08</v>
      </c>
    </row>
    <row r="414" spans="1:1">
      <c r="A414" s="972">
        <v>2029.09</v>
      </c>
    </row>
    <row r="415" spans="1:1">
      <c r="A415" s="972">
        <v>2029.1</v>
      </c>
    </row>
    <row r="416" spans="1:1">
      <c r="A416" s="972">
        <v>2029.11</v>
      </c>
    </row>
    <row r="417" spans="1:1">
      <c r="A417" s="972">
        <v>2029.12</v>
      </c>
    </row>
    <row r="418" spans="1:1">
      <c r="A418" s="972">
        <v>2030.01</v>
      </c>
    </row>
    <row r="419" spans="1:1">
      <c r="A419" s="972">
        <v>2030.02</v>
      </c>
    </row>
    <row r="420" spans="1:1">
      <c r="A420" s="972">
        <v>2030.03</v>
      </c>
    </row>
    <row r="421" spans="1:1">
      <c r="A421" s="972">
        <v>2030.04</v>
      </c>
    </row>
    <row r="422" spans="1:1">
      <c r="A422" s="972">
        <v>2030.05</v>
      </c>
    </row>
    <row r="423" spans="1:1">
      <c r="A423" s="972">
        <v>2030.06</v>
      </c>
    </row>
    <row r="424" spans="1:1">
      <c r="A424" s="972">
        <v>2030.07</v>
      </c>
    </row>
    <row r="425" spans="1:1">
      <c r="A425" s="972">
        <v>2030.08</v>
      </c>
    </row>
    <row r="426" spans="1:1">
      <c r="A426" s="972">
        <v>2030.09</v>
      </c>
    </row>
    <row r="427" spans="1:1">
      <c r="A427" s="972">
        <v>2030.1</v>
      </c>
    </row>
    <row r="428" spans="1:1">
      <c r="A428" s="972">
        <v>2030.11</v>
      </c>
    </row>
    <row r="429" spans="1:1">
      <c r="A429" s="972">
        <v>2030.12</v>
      </c>
    </row>
  </sheetData>
  <phoneticPr fontId="71" type="noConversion"/>
  <hyperlinks>
    <hyperlink ref="A5" location="INDICE!A13" display="VOLVER AL INDICE" xr:uid="{00000000-0004-0000-3C00-000000000000}"/>
  </hyperlinks>
  <pageMargins left="0.75" right="0.75" top="1" bottom="1" header="0" footer="0"/>
  <pageSetup paperSize="9"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6"/>
  <dimension ref="A1:Z253"/>
  <sheetViews>
    <sheetView zoomScaleNormal="100"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2.75"/>
  <cols>
    <col min="1" max="1" width="10.5703125" style="2452" customWidth="1"/>
    <col min="2" max="2" width="16.5703125" style="2452" customWidth="1"/>
    <col min="3" max="10" width="16.42578125" style="2452" customWidth="1"/>
    <col min="11" max="11" width="16.5703125" style="2452" customWidth="1"/>
    <col min="12" max="19" width="16.42578125" style="2452" customWidth="1"/>
    <col min="20" max="20" width="16.5703125" style="2452" customWidth="1"/>
    <col min="21" max="26" width="16.42578125" style="2452" customWidth="1"/>
    <col min="27" max="16384" width="11.42578125" style="2453"/>
  </cols>
  <sheetData>
    <row r="1" spans="1:26" s="200" customFormat="1" ht="3" customHeight="1">
      <c r="A1" s="2761"/>
      <c r="B1" s="43"/>
      <c r="C1" s="43"/>
      <c r="D1" s="43"/>
      <c r="E1" s="43"/>
      <c r="F1" s="43"/>
      <c r="G1" s="43"/>
      <c r="H1" s="44"/>
      <c r="I1" s="43"/>
      <c r="J1" s="328"/>
      <c r="K1" s="43"/>
      <c r="L1" s="43"/>
      <c r="M1" s="43"/>
      <c r="N1" s="43"/>
      <c r="O1" s="43"/>
      <c r="P1" s="43"/>
      <c r="Q1" s="44"/>
      <c r="R1" s="43"/>
      <c r="S1" s="328"/>
      <c r="T1" s="43"/>
      <c r="U1" s="43"/>
      <c r="V1" s="43"/>
      <c r="W1" s="43"/>
      <c r="X1" s="43"/>
      <c r="Y1" s="43"/>
      <c r="Z1" s="46"/>
    </row>
    <row r="2" spans="1:26" s="181" customFormat="1">
      <c r="A2" s="2762" t="s">
        <v>99</v>
      </c>
      <c r="B2" s="2776" t="s">
        <v>263</v>
      </c>
      <c r="C2" s="2776"/>
      <c r="D2" s="2776"/>
      <c r="E2" s="2776"/>
      <c r="F2" s="2776"/>
      <c r="G2" s="2776"/>
      <c r="H2" s="2777"/>
      <c r="I2" s="2776"/>
      <c r="J2" s="1859"/>
      <c r="K2" s="2776" t="s">
        <v>264</v>
      </c>
      <c r="L2" s="2776"/>
      <c r="M2" s="2776"/>
      <c r="N2" s="2776"/>
      <c r="O2" s="2776"/>
      <c r="P2" s="2776"/>
      <c r="Q2" s="2777"/>
      <c r="R2" s="2776"/>
      <c r="S2" s="1859"/>
      <c r="T2" s="2776" t="s">
        <v>265</v>
      </c>
      <c r="U2" s="2776"/>
      <c r="V2" s="2776"/>
      <c r="W2" s="2776"/>
      <c r="X2" s="2776"/>
      <c r="Y2" s="2776"/>
      <c r="Z2" s="1860"/>
    </row>
    <row r="3" spans="1:26" s="181" customFormat="1">
      <c r="A3" s="2762" t="s">
        <v>104</v>
      </c>
      <c r="B3" s="2778" t="s">
        <v>266</v>
      </c>
      <c r="C3" s="2779"/>
      <c r="D3" s="2779"/>
      <c r="E3" s="2779"/>
      <c r="F3" s="2779"/>
      <c r="G3" s="2779"/>
      <c r="H3" s="2780"/>
      <c r="I3" s="2779"/>
      <c r="J3" s="329"/>
      <c r="K3" s="2778" t="s">
        <v>266</v>
      </c>
      <c r="L3" s="2779"/>
      <c r="M3" s="2779"/>
      <c r="N3" s="2779"/>
      <c r="O3" s="2779"/>
      <c r="P3" s="2779"/>
      <c r="Q3" s="2780"/>
      <c r="R3" s="2779"/>
      <c r="S3" s="329"/>
      <c r="T3" s="2778" t="s">
        <v>266</v>
      </c>
      <c r="U3" s="2779"/>
      <c r="V3" s="2779"/>
      <c r="W3" s="2779"/>
      <c r="X3" s="2779"/>
      <c r="Y3" s="2779"/>
      <c r="Z3" s="1861"/>
    </row>
    <row r="4" spans="1:26" s="181" customFormat="1" ht="30.6" customHeight="1">
      <c r="A4" s="2762"/>
      <c r="B4" s="209" t="s">
        <v>267</v>
      </c>
      <c r="C4" s="2781"/>
      <c r="D4" s="2781" t="s">
        <v>268</v>
      </c>
      <c r="E4" s="209"/>
      <c r="F4" s="209"/>
      <c r="G4" s="209"/>
      <c r="H4" s="208"/>
      <c r="I4" s="2781" t="s">
        <v>269</v>
      </c>
      <c r="J4" s="210"/>
      <c r="K4" s="209" t="s">
        <v>267</v>
      </c>
      <c r="L4" s="210"/>
      <c r="M4" s="2781" t="s">
        <v>268</v>
      </c>
      <c r="N4" s="209"/>
      <c r="O4" s="209"/>
      <c r="P4" s="209"/>
      <c r="Q4" s="208"/>
      <c r="R4" s="2781" t="s">
        <v>269</v>
      </c>
      <c r="S4" s="210"/>
      <c r="T4" s="209" t="s">
        <v>267</v>
      </c>
      <c r="U4" s="2781"/>
      <c r="V4" s="2781" t="s">
        <v>268</v>
      </c>
      <c r="W4" s="209"/>
      <c r="X4" s="209"/>
      <c r="Y4" s="209"/>
      <c r="Z4" s="255"/>
    </row>
    <row r="5" spans="1:26" s="200" customFormat="1" ht="45">
      <c r="A5" s="2763" t="s">
        <v>140</v>
      </c>
      <c r="B5" s="495" t="s">
        <v>134</v>
      </c>
      <c r="C5" s="207" t="s">
        <v>270</v>
      </c>
      <c r="D5" s="2782" t="s">
        <v>271</v>
      </c>
      <c r="E5" s="521" t="s">
        <v>272</v>
      </c>
      <c r="F5" s="206" t="s">
        <v>273</v>
      </c>
      <c r="G5" s="511" t="s">
        <v>274</v>
      </c>
      <c r="H5" s="206" t="s">
        <v>275</v>
      </c>
      <c r="I5" s="501" t="s">
        <v>276</v>
      </c>
      <c r="J5" s="207" t="s">
        <v>277</v>
      </c>
      <c r="K5" s="495" t="s">
        <v>134</v>
      </c>
      <c r="L5" s="207" t="s">
        <v>270</v>
      </c>
      <c r="M5" s="2782" t="s">
        <v>271</v>
      </c>
      <c r="N5" s="521" t="s">
        <v>272</v>
      </c>
      <c r="O5" s="206" t="s">
        <v>273</v>
      </c>
      <c r="P5" s="511" t="s">
        <v>278</v>
      </c>
      <c r="Q5" s="206" t="s">
        <v>275</v>
      </c>
      <c r="R5" s="501" t="s">
        <v>276</v>
      </c>
      <c r="S5" s="207" t="s">
        <v>277</v>
      </c>
      <c r="T5" s="495" t="s">
        <v>134</v>
      </c>
      <c r="U5" s="207" t="s">
        <v>270</v>
      </c>
      <c r="V5" s="501" t="s">
        <v>271</v>
      </c>
      <c r="W5" s="282" t="s">
        <v>272</v>
      </c>
      <c r="X5" s="511" t="s">
        <v>278</v>
      </c>
      <c r="Y5" s="511" t="s">
        <v>273</v>
      </c>
      <c r="Z5" s="256" t="s">
        <v>275</v>
      </c>
    </row>
    <row r="6" spans="1:26" s="200" customFormat="1" ht="11.25">
      <c r="A6" s="2762"/>
      <c r="B6" s="2783"/>
      <c r="E6" s="522"/>
      <c r="F6" s="203"/>
      <c r="G6" s="512"/>
      <c r="H6" s="202"/>
      <c r="I6" s="2784"/>
      <c r="J6" s="526"/>
      <c r="K6" s="2783"/>
      <c r="L6" s="205"/>
      <c r="N6" s="522"/>
      <c r="O6" s="203"/>
      <c r="P6" s="512"/>
      <c r="Q6" s="202"/>
      <c r="R6" s="2784"/>
      <c r="S6" s="526"/>
      <c r="T6" s="2783"/>
      <c r="V6" s="502"/>
      <c r="W6" s="204"/>
      <c r="X6" s="512"/>
      <c r="Y6" s="512"/>
      <c r="Z6" s="257"/>
    </row>
    <row r="7" spans="1:26" s="200" customFormat="1" ht="22.5">
      <c r="A7" s="2762" t="s">
        <v>125</v>
      </c>
      <c r="B7" s="496" t="s">
        <v>136</v>
      </c>
      <c r="C7" s="201" t="s">
        <v>136</v>
      </c>
      <c r="D7" s="507" t="s">
        <v>136</v>
      </c>
      <c r="E7" s="513" t="s">
        <v>136</v>
      </c>
      <c r="F7" s="507" t="s">
        <v>136</v>
      </c>
      <c r="G7" s="513" t="s">
        <v>136</v>
      </c>
      <c r="H7" s="201" t="s">
        <v>136</v>
      </c>
      <c r="I7" s="496" t="s">
        <v>136</v>
      </c>
      <c r="J7" s="201" t="s">
        <v>136</v>
      </c>
      <c r="K7" s="496" t="s">
        <v>279</v>
      </c>
      <c r="L7" s="201" t="s">
        <v>279</v>
      </c>
      <c r="M7" s="507" t="s">
        <v>279</v>
      </c>
      <c r="N7" s="513" t="s">
        <v>279</v>
      </c>
      <c r="O7" s="507" t="s">
        <v>279</v>
      </c>
      <c r="P7" s="513" t="s">
        <v>279</v>
      </c>
      <c r="Q7" s="507" t="s">
        <v>279</v>
      </c>
      <c r="R7" s="531" t="s">
        <v>279</v>
      </c>
      <c r="S7" s="1289" t="s">
        <v>279</v>
      </c>
      <c r="T7" s="496" t="s">
        <v>136</v>
      </c>
      <c r="U7" s="201" t="s">
        <v>136</v>
      </c>
      <c r="V7" s="496" t="s">
        <v>136</v>
      </c>
      <c r="W7" s="507" t="s">
        <v>136</v>
      </c>
      <c r="X7" s="513" t="s">
        <v>136</v>
      </c>
      <c r="Y7" s="513" t="s">
        <v>136</v>
      </c>
      <c r="Z7" s="254" t="s">
        <v>136</v>
      </c>
    </row>
    <row r="8" spans="1:26" s="200" customFormat="1" ht="11.25">
      <c r="A8" s="2751" t="s">
        <v>144</v>
      </c>
      <c r="B8" s="2145" t="s">
        <v>280</v>
      </c>
      <c r="C8" s="2146" t="s">
        <v>281</v>
      </c>
      <c r="D8" s="2785" t="s">
        <v>282</v>
      </c>
      <c r="E8" s="2147" t="s">
        <v>283</v>
      </c>
      <c r="F8" s="2148" t="s">
        <v>284</v>
      </c>
      <c r="G8" s="2147" t="s">
        <v>285</v>
      </c>
      <c r="H8" s="2146" t="s">
        <v>286</v>
      </c>
      <c r="I8" s="2149" t="s">
        <v>287</v>
      </c>
      <c r="J8" s="2146" t="s">
        <v>288</v>
      </c>
      <c r="K8" s="2145" t="s">
        <v>289</v>
      </c>
      <c r="L8" s="2146" t="s">
        <v>290</v>
      </c>
      <c r="M8" s="2785" t="s">
        <v>291</v>
      </c>
      <c r="N8" s="2147" t="s">
        <v>292</v>
      </c>
      <c r="O8" s="2148" t="s">
        <v>293</v>
      </c>
      <c r="P8" s="2147" t="s">
        <v>294</v>
      </c>
      <c r="Q8" s="2148" t="s">
        <v>295</v>
      </c>
      <c r="R8" s="2149" t="s">
        <v>296</v>
      </c>
      <c r="S8" s="2146" t="s">
        <v>297</v>
      </c>
      <c r="T8" s="2145" t="s">
        <v>298</v>
      </c>
      <c r="U8" s="2146" t="s">
        <v>299</v>
      </c>
      <c r="V8" s="2149" t="s">
        <v>300</v>
      </c>
      <c r="W8" s="2148" t="s">
        <v>301</v>
      </c>
      <c r="X8" s="2147" t="s">
        <v>302</v>
      </c>
      <c r="Y8" s="2147" t="s">
        <v>303</v>
      </c>
      <c r="Z8" s="2150" t="s">
        <v>304</v>
      </c>
    </row>
    <row r="9" spans="1:26" s="179" customFormat="1" ht="13.5" thickBot="1">
      <c r="A9" s="2126"/>
      <c r="B9" s="1452"/>
      <c r="C9" s="199"/>
      <c r="D9" s="180"/>
      <c r="E9" s="514"/>
      <c r="F9" s="198"/>
      <c r="G9" s="514"/>
      <c r="H9" s="197"/>
      <c r="I9" s="503"/>
      <c r="J9" s="527"/>
      <c r="K9" s="497"/>
      <c r="L9" s="199"/>
      <c r="M9" s="180"/>
      <c r="N9" s="514"/>
      <c r="O9" s="198"/>
      <c r="P9" s="514"/>
      <c r="Q9" s="197"/>
      <c r="R9" s="503"/>
      <c r="S9" s="527"/>
      <c r="T9" s="497"/>
      <c r="U9" s="199"/>
      <c r="V9" s="503"/>
      <c r="W9" s="198"/>
      <c r="X9" s="514"/>
      <c r="Y9" s="514"/>
      <c r="Z9" s="258"/>
    </row>
    <row r="10" spans="1:26" s="192" customFormat="1">
      <c r="A10" s="2450" t="s">
        <v>22</v>
      </c>
      <c r="B10" s="2151">
        <v>274720.73681015288</v>
      </c>
      <c r="C10" s="1728"/>
      <c r="D10" s="1729"/>
      <c r="E10" s="1730"/>
      <c r="F10" s="1731"/>
      <c r="G10" s="1730"/>
      <c r="H10" s="1732"/>
      <c r="I10" s="1733"/>
      <c r="J10" s="1728"/>
      <c r="K10" s="1734"/>
      <c r="L10" s="1728"/>
      <c r="M10" s="1729"/>
      <c r="N10" s="1730"/>
      <c r="O10" s="1731"/>
      <c r="P10" s="1730"/>
      <c r="Q10" s="1732"/>
      <c r="R10" s="1733"/>
      <c r="S10" s="1728"/>
      <c r="T10" s="1734"/>
      <c r="U10" s="1728"/>
      <c r="V10" s="1733"/>
      <c r="W10" s="1731"/>
      <c r="X10" s="1730"/>
      <c r="Y10" s="1730"/>
      <c r="Z10" s="1735"/>
    </row>
    <row r="11" spans="1:26" s="192" customFormat="1">
      <c r="A11" s="2451" t="s">
        <v>305</v>
      </c>
      <c r="B11" s="2152">
        <v>293673.71599195147</v>
      </c>
      <c r="C11" s="250"/>
      <c r="D11" s="518"/>
      <c r="E11" s="3539"/>
      <c r="F11" s="508"/>
      <c r="G11" s="3539"/>
      <c r="H11" s="524"/>
      <c r="I11" s="504"/>
      <c r="J11" s="250"/>
      <c r="K11" s="498"/>
      <c r="L11" s="250"/>
      <c r="M11" s="518"/>
      <c r="N11" s="3539"/>
      <c r="O11" s="508"/>
      <c r="P11" s="3539"/>
      <c r="Q11" s="524"/>
      <c r="R11" s="504"/>
      <c r="S11" s="250"/>
      <c r="T11" s="498"/>
      <c r="U11" s="250"/>
      <c r="V11" s="504"/>
      <c r="W11" s="508"/>
      <c r="X11" s="3539"/>
      <c r="Y11" s="3539"/>
      <c r="Z11" s="515"/>
    </row>
    <row r="12" spans="1:26" s="192" customFormat="1">
      <c r="A12" s="2451" t="s">
        <v>306</v>
      </c>
      <c r="B12" s="2152">
        <v>286997.61516600079</v>
      </c>
      <c r="C12" s="250"/>
      <c r="D12" s="518"/>
      <c r="E12" s="3539"/>
      <c r="F12" s="508"/>
      <c r="G12" s="3539"/>
      <c r="H12" s="524"/>
      <c r="I12" s="504"/>
      <c r="J12" s="250"/>
      <c r="K12" s="498"/>
      <c r="L12" s="250"/>
      <c r="M12" s="518"/>
      <c r="N12" s="3539"/>
      <c r="O12" s="508"/>
      <c r="P12" s="3539"/>
      <c r="Q12" s="524"/>
      <c r="R12" s="504"/>
      <c r="S12" s="250"/>
      <c r="T12" s="498"/>
      <c r="U12" s="250"/>
      <c r="V12" s="504"/>
      <c r="W12" s="508"/>
      <c r="X12" s="3539"/>
      <c r="Y12" s="3539"/>
      <c r="Z12" s="515"/>
    </row>
    <row r="13" spans="1:26" s="192" customFormat="1">
      <c r="A13" s="2451" t="s">
        <v>307</v>
      </c>
      <c r="B13" s="2152">
        <v>284846.96857389406</v>
      </c>
      <c r="C13" s="250"/>
      <c r="D13" s="518"/>
      <c r="E13" s="3539"/>
      <c r="F13" s="508"/>
      <c r="G13" s="3539"/>
      <c r="H13" s="524"/>
      <c r="I13" s="504"/>
      <c r="J13" s="250"/>
      <c r="K13" s="498"/>
      <c r="L13" s="250"/>
      <c r="M13" s="518"/>
      <c r="N13" s="3539"/>
      <c r="O13" s="508"/>
      <c r="P13" s="3539"/>
      <c r="Q13" s="524"/>
      <c r="R13" s="504"/>
      <c r="S13" s="250"/>
      <c r="T13" s="498"/>
      <c r="U13" s="250"/>
      <c r="V13" s="504"/>
      <c r="W13" s="508"/>
      <c r="X13" s="3539"/>
      <c r="Y13" s="3539"/>
      <c r="Z13" s="515"/>
    </row>
    <row r="14" spans="1:26" s="192" customFormat="1">
      <c r="A14" s="196" t="s">
        <v>308</v>
      </c>
      <c r="B14" s="2152">
        <v>279343.65236992302</v>
      </c>
      <c r="C14" s="250"/>
      <c r="D14" s="518"/>
      <c r="E14" s="3539"/>
      <c r="F14" s="508"/>
      <c r="G14" s="3539"/>
      <c r="H14" s="524"/>
      <c r="I14" s="504"/>
      <c r="J14" s="250"/>
      <c r="K14" s="498"/>
      <c r="L14" s="250"/>
      <c r="M14" s="518"/>
      <c r="N14" s="3539"/>
      <c r="O14" s="508"/>
      <c r="P14" s="3539"/>
      <c r="Q14" s="524"/>
      <c r="R14" s="504"/>
      <c r="S14" s="250"/>
      <c r="T14" s="498"/>
      <c r="U14" s="250"/>
      <c r="V14" s="504"/>
      <c r="W14" s="508"/>
      <c r="X14" s="3539"/>
      <c r="Y14" s="3539"/>
      <c r="Z14" s="515"/>
    </row>
    <row r="15" spans="1:26" s="192" customFormat="1">
      <c r="A15" s="196" t="s">
        <v>309</v>
      </c>
      <c r="B15" s="2152">
        <v>307042.16119817371</v>
      </c>
      <c r="C15" s="250"/>
      <c r="D15" s="518"/>
      <c r="E15" s="3539"/>
      <c r="F15" s="508"/>
      <c r="G15" s="3539"/>
      <c r="H15" s="524"/>
      <c r="I15" s="504"/>
      <c r="J15" s="250"/>
      <c r="K15" s="498"/>
      <c r="L15" s="250"/>
      <c r="M15" s="518"/>
      <c r="N15" s="3539"/>
      <c r="O15" s="508"/>
      <c r="P15" s="3539"/>
      <c r="Q15" s="524"/>
      <c r="R15" s="504"/>
      <c r="S15" s="250"/>
      <c r="T15" s="498"/>
      <c r="U15" s="250"/>
      <c r="V15" s="504"/>
      <c r="W15" s="508"/>
      <c r="X15" s="3539"/>
      <c r="Y15" s="3539"/>
      <c r="Z15" s="515"/>
    </row>
    <row r="16" spans="1:26" s="192" customFormat="1">
      <c r="A16" s="196" t="s">
        <v>310</v>
      </c>
      <c r="B16" s="2152">
        <v>299264.74738925602</v>
      </c>
      <c r="C16" s="250"/>
      <c r="D16" s="518"/>
      <c r="E16" s="3539"/>
      <c r="F16" s="508"/>
      <c r="G16" s="3539"/>
      <c r="H16" s="524"/>
      <c r="I16" s="504"/>
      <c r="J16" s="250"/>
      <c r="K16" s="498"/>
      <c r="L16" s="250"/>
      <c r="M16" s="518"/>
      <c r="N16" s="3539"/>
      <c r="O16" s="508"/>
      <c r="P16" s="3539"/>
      <c r="Q16" s="524"/>
      <c r="R16" s="504"/>
      <c r="S16" s="250"/>
      <c r="T16" s="498"/>
      <c r="U16" s="250"/>
      <c r="V16" s="504"/>
      <c r="W16" s="508"/>
      <c r="X16" s="3539"/>
      <c r="Y16" s="3539"/>
      <c r="Z16" s="515"/>
    </row>
    <row r="17" spans="1:26" s="192" customFormat="1">
      <c r="A17" s="196" t="s">
        <v>311</v>
      </c>
      <c r="B17" s="2152">
        <v>297477.95641394076</v>
      </c>
      <c r="C17" s="250"/>
      <c r="D17" s="518"/>
      <c r="E17" s="3539"/>
      <c r="F17" s="508"/>
      <c r="G17" s="3539"/>
      <c r="H17" s="524"/>
      <c r="I17" s="504"/>
      <c r="J17" s="250"/>
      <c r="K17" s="498"/>
      <c r="L17" s="250"/>
      <c r="M17" s="518"/>
      <c r="N17" s="3539"/>
      <c r="O17" s="508"/>
      <c r="P17" s="3539"/>
      <c r="Q17" s="524"/>
      <c r="R17" s="504"/>
      <c r="S17" s="250"/>
      <c r="T17" s="498"/>
      <c r="U17" s="250"/>
      <c r="V17" s="504"/>
      <c r="W17" s="508"/>
      <c r="X17" s="3539"/>
      <c r="Y17" s="3539"/>
      <c r="Z17" s="515"/>
    </row>
    <row r="18" spans="1:26" s="192" customFormat="1">
      <c r="A18" s="196" t="s">
        <v>312</v>
      </c>
      <c r="B18" s="2152">
        <v>286838.42833365448</v>
      </c>
      <c r="C18" s="250"/>
      <c r="D18" s="518"/>
      <c r="E18" s="3539"/>
      <c r="F18" s="508"/>
      <c r="G18" s="3539"/>
      <c r="H18" s="524"/>
      <c r="I18" s="504"/>
      <c r="J18" s="250"/>
      <c r="K18" s="498"/>
      <c r="L18" s="250"/>
      <c r="M18" s="518"/>
      <c r="N18" s="3539"/>
      <c r="O18" s="508"/>
      <c r="P18" s="3539"/>
      <c r="Q18" s="524"/>
      <c r="R18" s="504"/>
      <c r="S18" s="250"/>
      <c r="T18" s="498"/>
      <c r="U18" s="250"/>
      <c r="V18" s="504"/>
      <c r="W18" s="508"/>
      <c r="X18" s="3539"/>
      <c r="Y18" s="3539"/>
      <c r="Z18" s="515"/>
    </row>
    <row r="19" spans="1:26" s="192" customFormat="1">
      <c r="A19" s="196" t="s">
        <v>313</v>
      </c>
      <c r="B19" s="2152">
        <v>303299.64628260431</v>
      </c>
      <c r="C19" s="250"/>
      <c r="D19" s="518"/>
      <c r="E19" s="3539"/>
      <c r="F19" s="508"/>
      <c r="G19" s="3539"/>
      <c r="H19" s="524"/>
      <c r="I19" s="504"/>
      <c r="J19" s="250"/>
      <c r="K19" s="498"/>
      <c r="L19" s="250"/>
      <c r="M19" s="518"/>
      <c r="N19" s="3539"/>
      <c r="O19" s="508"/>
      <c r="P19" s="3539"/>
      <c r="Q19" s="524"/>
      <c r="R19" s="504"/>
      <c r="S19" s="250"/>
      <c r="T19" s="498"/>
      <c r="U19" s="250"/>
      <c r="V19" s="504"/>
      <c r="W19" s="508"/>
      <c r="X19" s="3539"/>
      <c r="Y19" s="3539"/>
      <c r="Z19" s="515"/>
    </row>
    <row r="20" spans="1:26" s="192" customFormat="1">
      <c r="A20" s="196" t="s">
        <v>314</v>
      </c>
      <c r="B20" s="2152">
        <v>306691.30042483914</v>
      </c>
      <c r="C20" s="250"/>
      <c r="D20" s="518"/>
      <c r="E20" s="3539"/>
      <c r="F20" s="508"/>
      <c r="G20" s="3539"/>
      <c r="H20" s="524"/>
      <c r="I20" s="504"/>
      <c r="J20" s="250"/>
      <c r="K20" s="498"/>
      <c r="L20" s="250"/>
      <c r="M20" s="518"/>
      <c r="N20" s="3539"/>
      <c r="O20" s="508"/>
      <c r="P20" s="3539"/>
      <c r="Q20" s="524"/>
      <c r="R20" s="504"/>
      <c r="S20" s="250"/>
      <c r="T20" s="498"/>
      <c r="U20" s="250"/>
      <c r="V20" s="504"/>
      <c r="W20" s="508"/>
      <c r="X20" s="3539"/>
      <c r="Y20" s="3539"/>
      <c r="Z20" s="515"/>
    </row>
    <row r="21" spans="1:26" s="192" customFormat="1">
      <c r="A21" s="196" t="s">
        <v>315</v>
      </c>
      <c r="B21" s="2152">
        <v>310878.88872880529</v>
      </c>
      <c r="C21" s="250"/>
      <c r="D21" s="518"/>
      <c r="E21" s="3539"/>
      <c r="F21" s="508"/>
      <c r="G21" s="3539"/>
      <c r="H21" s="524"/>
      <c r="I21" s="504"/>
      <c r="J21" s="250"/>
      <c r="K21" s="498"/>
      <c r="L21" s="250"/>
      <c r="M21" s="518"/>
      <c r="N21" s="3539"/>
      <c r="O21" s="508"/>
      <c r="P21" s="3539"/>
      <c r="Q21" s="524"/>
      <c r="R21" s="504"/>
      <c r="S21" s="250"/>
      <c r="T21" s="498"/>
      <c r="U21" s="250"/>
      <c r="V21" s="504"/>
      <c r="W21" s="508"/>
      <c r="X21" s="3539"/>
      <c r="Y21" s="3539"/>
      <c r="Z21" s="515"/>
    </row>
    <row r="22" spans="1:26" s="192" customFormat="1">
      <c r="A22" s="196" t="s">
        <v>316</v>
      </c>
      <c r="B22" s="2152">
        <v>297656.63551147241</v>
      </c>
      <c r="C22" s="250"/>
      <c r="D22" s="518"/>
      <c r="E22" s="3539"/>
      <c r="F22" s="508"/>
      <c r="G22" s="3539"/>
      <c r="H22" s="524"/>
      <c r="I22" s="504"/>
      <c r="J22" s="250"/>
      <c r="K22" s="498"/>
      <c r="L22" s="250"/>
      <c r="M22" s="518"/>
      <c r="N22" s="3539"/>
      <c r="O22" s="508"/>
      <c r="P22" s="3539"/>
      <c r="Q22" s="524"/>
      <c r="R22" s="504"/>
      <c r="S22" s="250"/>
      <c r="T22" s="498"/>
      <c r="U22" s="250"/>
      <c r="V22" s="504"/>
      <c r="W22" s="508"/>
      <c r="X22" s="3539"/>
      <c r="Y22" s="3539"/>
      <c r="Z22" s="515"/>
    </row>
    <row r="23" spans="1:26" s="192" customFormat="1">
      <c r="A23" s="196" t="s">
        <v>317</v>
      </c>
      <c r="B23" s="2152">
        <v>316177.53614833107</v>
      </c>
      <c r="C23" s="250"/>
      <c r="D23" s="518"/>
      <c r="E23" s="3539"/>
      <c r="F23" s="508"/>
      <c r="G23" s="3539"/>
      <c r="H23" s="524"/>
      <c r="I23" s="504"/>
      <c r="J23" s="250"/>
      <c r="K23" s="498"/>
      <c r="L23" s="250"/>
      <c r="M23" s="518"/>
      <c r="N23" s="3539"/>
      <c r="O23" s="508"/>
      <c r="P23" s="3539"/>
      <c r="Q23" s="524"/>
      <c r="R23" s="504"/>
      <c r="S23" s="250"/>
      <c r="T23" s="498"/>
      <c r="U23" s="250"/>
      <c r="V23" s="504"/>
      <c r="W23" s="508"/>
      <c r="X23" s="3539"/>
      <c r="Y23" s="3539"/>
      <c r="Z23" s="515"/>
    </row>
    <row r="24" spans="1:26" s="192" customFormat="1">
      <c r="A24" s="196" t="s">
        <v>318</v>
      </c>
      <c r="B24" s="2152">
        <v>311431.16957572091</v>
      </c>
      <c r="C24" s="250"/>
      <c r="D24" s="518"/>
      <c r="E24" s="3539"/>
      <c r="F24" s="508"/>
      <c r="G24" s="3539"/>
      <c r="H24" s="524"/>
      <c r="I24" s="504"/>
      <c r="J24" s="250"/>
      <c r="K24" s="498"/>
      <c r="L24" s="250"/>
      <c r="M24" s="518"/>
      <c r="N24" s="3539"/>
      <c r="O24" s="508"/>
      <c r="P24" s="3539"/>
      <c r="Q24" s="524"/>
      <c r="R24" s="504"/>
      <c r="S24" s="250"/>
      <c r="T24" s="498"/>
      <c r="U24" s="250"/>
      <c r="V24" s="504"/>
      <c r="W24" s="508"/>
      <c r="X24" s="3539"/>
      <c r="Y24" s="3539"/>
      <c r="Z24" s="515"/>
    </row>
    <row r="25" spans="1:26" s="192" customFormat="1">
      <c r="A25" s="196" t="s">
        <v>319</v>
      </c>
      <c r="B25" s="2152">
        <v>327668.2264750402</v>
      </c>
      <c r="C25" s="250"/>
      <c r="D25" s="518"/>
      <c r="E25" s="3539"/>
      <c r="F25" s="508"/>
      <c r="G25" s="3539"/>
      <c r="H25" s="524"/>
      <c r="I25" s="504"/>
      <c r="J25" s="250"/>
      <c r="K25" s="498"/>
      <c r="L25" s="250"/>
      <c r="M25" s="518"/>
      <c r="N25" s="3539"/>
      <c r="O25" s="508"/>
      <c r="P25" s="3539"/>
      <c r="Q25" s="524"/>
      <c r="R25" s="504"/>
      <c r="S25" s="250"/>
      <c r="T25" s="498"/>
      <c r="U25" s="250"/>
      <c r="V25" s="504"/>
      <c r="W25" s="508"/>
      <c r="X25" s="3539"/>
      <c r="Y25" s="3539"/>
      <c r="Z25" s="515"/>
    </row>
    <row r="26" spans="1:26" s="192" customFormat="1">
      <c r="A26" s="196" t="s">
        <v>320</v>
      </c>
      <c r="B26" s="2152">
        <v>317571.23310907691</v>
      </c>
      <c r="C26" s="250"/>
      <c r="D26" s="518"/>
      <c r="E26" s="3539"/>
      <c r="F26" s="508"/>
      <c r="G26" s="3539"/>
      <c r="H26" s="524"/>
      <c r="I26" s="504"/>
      <c r="J26" s="250"/>
      <c r="K26" s="498"/>
      <c r="L26" s="250"/>
      <c r="M26" s="518"/>
      <c r="N26" s="3539"/>
      <c r="O26" s="508"/>
      <c r="P26" s="3539"/>
      <c r="Q26" s="524"/>
      <c r="R26" s="504"/>
      <c r="S26" s="250"/>
      <c r="T26" s="498"/>
      <c r="U26" s="250"/>
      <c r="V26" s="504"/>
      <c r="W26" s="508"/>
      <c r="X26" s="3539"/>
      <c r="Y26" s="3539"/>
      <c r="Z26" s="515"/>
    </row>
    <row r="27" spans="1:26" s="192" customFormat="1">
      <c r="A27" s="196" t="s">
        <v>321</v>
      </c>
      <c r="B27" s="2152">
        <v>336774.36302741955</v>
      </c>
      <c r="C27" s="250"/>
      <c r="D27" s="518"/>
      <c r="E27" s="3539"/>
      <c r="F27" s="508"/>
      <c r="G27" s="3539"/>
      <c r="H27" s="524"/>
      <c r="I27" s="504"/>
      <c r="J27" s="250"/>
      <c r="K27" s="498"/>
      <c r="L27" s="250"/>
      <c r="M27" s="518"/>
      <c r="N27" s="3539"/>
      <c r="O27" s="508"/>
      <c r="P27" s="3539"/>
      <c r="Q27" s="524"/>
      <c r="R27" s="504"/>
      <c r="S27" s="250"/>
      <c r="T27" s="498"/>
      <c r="U27" s="250"/>
      <c r="V27" s="504"/>
      <c r="W27" s="508"/>
      <c r="X27" s="3539"/>
      <c r="Y27" s="3539"/>
      <c r="Z27" s="515"/>
    </row>
    <row r="28" spans="1:26" s="192" customFormat="1">
      <c r="A28" s="196" t="s">
        <v>322</v>
      </c>
      <c r="B28" s="2152">
        <v>328317.96864788199</v>
      </c>
      <c r="C28" s="250"/>
      <c r="D28" s="518"/>
      <c r="E28" s="3539"/>
      <c r="F28" s="508"/>
      <c r="G28" s="3539"/>
      <c r="H28" s="524"/>
      <c r="I28" s="504"/>
      <c r="J28" s="250"/>
      <c r="K28" s="498"/>
      <c r="L28" s="250"/>
      <c r="M28" s="518"/>
      <c r="N28" s="3539"/>
      <c r="O28" s="508"/>
      <c r="P28" s="3539"/>
      <c r="Q28" s="524"/>
      <c r="R28" s="504"/>
      <c r="S28" s="250"/>
      <c r="T28" s="498"/>
      <c r="U28" s="250"/>
      <c r="V28" s="504"/>
      <c r="W28" s="508"/>
      <c r="X28" s="3539"/>
      <c r="Y28" s="3539"/>
      <c r="Z28" s="515"/>
    </row>
    <row r="29" spans="1:26" s="192" customFormat="1">
      <c r="A29" s="196" t="s">
        <v>323</v>
      </c>
      <c r="B29" s="2152">
        <v>338005.62444495491</v>
      </c>
      <c r="C29" s="250"/>
      <c r="D29" s="518"/>
      <c r="E29" s="3539"/>
      <c r="F29" s="508"/>
      <c r="G29" s="3539"/>
      <c r="H29" s="524"/>
      <c r="I29" s="504"/>
      <c r="J29" s="250"/>
      <c r="K29" s="498"/>
      <c r="L29" s="250"/>
      <c r="M29" s="518"/>
      <c r="N29" s="3539"/>
      <c r="O29" s="508"/>
      <c r="P29" s="3539"/>
      <c r="Q29" s="524"/>
      <c r="R29" s="504"/>
      <c r="S29" s="250"/>
      <c r="T29" s="498"/>
      <c r="U29" s="250"/>
      <c r="V29" s="504"/>
      <c r="W29" s="508"/>
      <c r="X29" s="3539"/>
      <c r="Y29" s="3539"/>
      <c r="Z29" s="515"/>
    </row>
    <row r="30" spans="1:26" s="192" customFormat="1">
      <c r="A30" s="196" t="s">
        <v>324</v>
      </c>
      <c r="B30" s="2152">
        <v>322824.39857650368</v>
      </c>
      <c r="C30" s="250"/>
      <c r="D30" s="518"/>
      <c r="E30" s="3539"/>
      <c r="F30" s="508"/>
      <c r="G30" s="3539"/>
      <c r="H30" s="524"/>
      <c r="I30" s="504"/>
      <c r="J30" s="250"/>
      <c r="K30" s="498"/>
      <c r="L30" s="250"/>
      <c r="M30" s="518"/>
      <c r="N30" s="3539"/>
      <c r="O30" s="508"/>
      <c r="P30" s="3539"/>
      <c r="Q30" s="524"/>
      <c r="R30" s="504"/>
      <c r="S30" s="250"/>
      <c r="T30" s="498"/>
      <c r="U30" s="250"/>
      <c r="V30" s="504"/>
      <c r="W30" s="508"/>
      <c r="X30" s="3539"/>
      <c r="Y30" s="3539"/>
      <c r="Z30" s="515"/>
    </row>
    <row r="31" spans="1:26" s="192" customFormat="1">
      <c r="A31" s="196" t="s">
        <v>325</v>
      </c>
      <c r="B31" s="2152">
        <v>337794.45823878126</v>
      </c>
      <c r="C31" s="250"/>
      <c r="D31" s="518"/>
      <c r="E31" s="3539"/>
      <c r="F31" s="508"/>
      <c r="G31" s="3539"/>
      <c r="H31" s="524"/>
      <c r="I31" s="504"/>
      <c r="J31" s="250"/>
      <c r="K31" s="498"/>
      <c r="L31" s="250"/>
      <c r="M31" s="518"/>
      <c r="N31" s="3539"/>
      <c r="O31" s="508"/>
      <c r="P31" s="3539"/>
      <c r="Q31" s="524"/>
      <c r="R31" s="504"/>
      <c r="S31" s="250"/>
      <c r="T31" s="498"/>
      <c r="U31" s="250"/>
      <c r="V31" s="504"/>
      <c r="W31" s="508"/>
      <c r="X31" s="3539"/>
      <c r="Y31" s="3539"/>
      <c r="Z31" s="515"/>
    </row>
    <row r="32" spans="1:26" s="192" customFormat="1">
      <c r="A32" s="196" t="s">
        <v>326</v>
      </c>
      <c r="B32" s="2152">
        <v>322171.40769279754</v>
      </c>
      <c r="C32" s="250"/>
      <c r="D32" s="518"/>
      <c r="E32" s="3539"/>
      <c r="F32" s="508"/>
      <c r="G32" s="3539"/>
      <c r="H32" s="524"/>
      <c r="I32" s="504"/>
      <c r="J32" s="250"/>
      <c r="K32" s="498"/>
      <c r="L32" s="250"/>
      <c r="M32" s="518"/>
      <c r="N32" s="3539"/>
      <c r="O32" s="508"/>
      <c r="P32" s="3539"/>
      <c r="Q32" s="524"/>
      <c r="R32" s="504"/>
      <c r="S32" s="250"/>
      <c r="T32" s="498"/>
      <c r="U32" s="250"/>
      <c r="V32" s="504"/>
      <c r="W32" s="508"/>
      <c r="X32" s="3539"/>
      <c r="Y32" s="3539"/>
      <c r="Z32" s="515"/>
    </row>
    <row r="33" spans="1:26" s="192" customFormat="1">
      <c r="A33" s="196" t="s">
        <v>327</v>
      </c>
      <c r="B33" s="2152">
        <v>330046.28282764158</v>
      </c>
      <c r="C33" s="250"/>
      <c r="D33" s="518"/>
      <c r="E33" s="3539"/>
      <c r="F33" s="508"/>
      <c r="G33" s="3539"/>
      <c r="H33" s="524"/>
      <c r="I33" s="504"/>
      <c r="J33" s="250"/>
      <c r="K33" s="498"/>
      <c r="L33" s="250"/>
      <c r="M33" s="518"/>
      <c r="N33" s="3539"/>
      <c r="O33" s="508"/>
      <c r="P33" s="3539"/>
      <c r="Q33" s="524"/>
      <c r="R33" s="504"/>
      <c r="S33" s="250"/>
      <c r="T33" s="498"/>
      <c r="U33" s="250"/>
      <c r="V33" s="504"/>
      <c r="W33" s="508"/>
      <c r="X33" s="3539"/>
      <c r="Y33" s="3539"/>
      <c r="Z33" s="515"/>
    </row>
    <row r="34" spans="1:26" s="192" customFormat="1">
      <c r="A34" s="196" t="s">
        <v>328</v>
      </c>
      <c r="B34" s="2152">
        <v>319289.80115624366</v>
      </c>
      <c r="C34" s="250"/>
      <c r="D34" s="518"/>
      <c r="E34" s="3539"/>
      <c r="F34" s="508"/>
      <c r="G34" s="3539"/>
      <c r="H34" s="524"/>
      <c r="I34" s="504"/>
      <c r="J34" s="250"/>
      <c r="K34" s="498"/>
      <c r="L34" s="250"/>
      <c r="M34" s="518"/>
      <c r="N34" s="3539"/>
      <c r="O34" s="508"/>
      <c r="P34" s="3539"/>
      <c r="Q34" s="524"/>
      <c r="R34" s="504"/>
      <c r="S34" s="250"/>
      <c r="T34" s="498"/>
      <c r="U34" s="250"/>
      <c r="V34" s="504"/>
      <c r="W34" s="508"/>
      <c r="X34" s="3539"/>
      <c r="Y34" s="3539"/>
      <c r="Z34" s="515"/>
    </row>
    <row r="35" spans="1:26" s="192" customFormat="1">
      <c r="A35" s="196" t="s">
        <v>329</v>
      </c>
      <c r="B35" s="2152">
        <v>328954.71597726707</v>
      </c>
      <c r="C35" s="250"/>
      <c r="D35" s="518"/>
      <c r="E35" s="3539"/>
      <c r="F35" s="508"/>
      <c r="G35" s="3539"/>
      <c r="H35" s="524"/>
      <c r="I35" s="504"/>
      <c r="J35" s="250"/>
      <c r="K35" s="498"/>
      <c r="L35" s="250"/>
      <c r="M35" s="518"/>
      <c r="N35" s="3539"/>
      <c r="O35" s="508"/>
      <c r="P35" s="3539"/>
      <c r="Q35" s="524"/>
      <c r="R35" s="504"/>
      <c r="S35" s="250"/>
      <c r="T35" s="498"/>
      <c r="U35" s="250"/>
      <c r="V35" s="504"/>
      <c r="W35" s="508"/>
      <c r="X35" s="3539"/>
      <c r="Y35" s="3539"/>
      <c r="Z35" s="515"/>
    </row>
    <row r="36" spans="1:26" s="192" customFormat="1">
      <c r="A36" s="196" t="s">
        <v>330</v>
      </c>
      <c r="B36" s="2152">
        <v>329916.33439307311</v>
      </c>
      <c r="C36" s="250"/>
      <c r="D36" s="518"/>
      <c r="E36" s="3539"/>
      <c r="F36" s="508"/>
      <c r="G36" s="3539"/>
      <c r="H36" s="524"/>
      <c r="I36" s="504"/>
      <c r="J36" s="250"/>
      <c r="K36" s="498"/>
      <c r="L36" s="250"/>
      <c r="M36" s="518"/>
      <c r="N36" s="3539"/>
      <c r="O36" s="508"/>
      <c r="P36" s="3539"/>
      <c r="Q36" s="524"/>
      <c r="R36" s="504"/>
      <c r="S36" s="250"/>
      <c r="T36" s="498"/>
      <c r="U36" s="250"/>
      <c r="V36" s="504"/>
      <c r="W36" s="508"/>
      <c r="X36" s="3539"/>
      <c r="Y36" s="3539"/>
      <c r="Z36" s="515"/>
    </row>
    <row r="37" spans="1:26" s="192" customFormat="1">
      <c r="A37" s="196" t="s">
        <v>331</v>
      </c>
      <c r="B37" s="2152">
        <v>334516.50897679379</v>
      </c>
      <c r="C37" s="250"/>
      <c r="D37" s="518"/>
      <c r="E37" s="3539"/>
      <c r="F37" s="508"/>
      <c r="G37" s="3539"/>
      <c r="H37" s="524"/>
      <c r="I37" s="504"/>
      <c r="J37" s="250"/>
      <c r="K37" s="498"/>
      <c r="L37" s="250"/>
      <c r="M37" s="518"/>
      <c r="N37" s="3539"/>
      <c r="O37" s="508"/>
      <c r="P37" s="3539"/>
      <c r="Q37" s="524"/>
      <c r="R37" s="504"/>
      <c r="S37" s="250"/>
      <c r="T37" s="498"/>
      <c r="U37" s="250"/>
      <c r="V37" s="504"/>
      <c r="W37" s="508"/>
      <c r="X37" s="3539"/>
      <c r="Y37" s="3539"/>
      <c r="Z37" s="515"/>
    </row>
    <row r="38" spans="1:26" s="192" customFormat="1">
      <c r="A38" s="196" t="s">
        <v>332</v>
      </c>
      <c r="B38" s="2152">
        <v>333324.23208962893</v>
      </c>
      <c r="C38" s="250"/>
      <c r="D38" s="518"/>
      <c r="E38" s="3539"/>
      <c r="F38" s="508"/>
      <c r="G38" s="3539"/>
      <c r="H38" s="524"/>
      <c r="I38" s="504"/>
      <c r="J38" s="250"/>
      <c r="K38" s="498"/>
      <c r="L38" s="250"/>
      <c r="M38" s="518"/>
      <c r="N38" s="3539"/>
      <c r="O38" s="508"/>
      <c r="P38" s="3539"/>
      <c r="Q38" s="524"/>
      <c r="R38" s="504"/>
      <c r="S38" s="250"/>
      <c r="T38" s="498"/>
      <c r="U38" s="250"/>
      <c r="V38" s="504"/>
      <c r="W38" s="508"/>
      <c r="X38" s="3539"/>
      <c r="Y38" s="3539"/>
      <c r="Z38" s="515"/>
    </row>
    <row r="39" spans="1:26" s="192" customFormat="1">
      <c r="A39" s="196" t="s">
        <v>333</v>
      </c>
      <c r="B39" s="2152">
        <v>354687.75473267102</v>
      </c>
      <c r="C39" s="250"/>
      <c r="D39" s="518"/>
      <c r="E39" s="3539"/>
      <c r="F39" s="508"/>
      <c r="G39" s="3539"/>
      <c r="H39" s="524"/>
      <c r="I39" s="504"/>
      <c r="J39" s="250"/>
      <c r="K39" s="498"/>
      <c r="L39" s="250"/>
      <c r="M39" s="518"/>
      <c r="N39" s="3539"/>
      <c r="O39" s="508"/>
      <c r="P39" s="3539"/>
      <c r="Q39" s="524"/>
      <c r="R39" s="504"/>
      <c r="S39" s="250"/>
      <c r="T39" s="498"/>
      <c r="U39" s="250"/>
      <c r="V39" s="504"/>
      <c r="W39" s="508"/>
      <c r="X39" s="3539"/>
      <c r="Y39" s="3539"/>
      <c r="Z39" s="515"/>
    </row>
    <row r="40" spans="1:26" s="192" customFormat="1">
      <c r="A40" s="196" t="s">
        <v>334</v>
      </c>
      <c r="B40" s="2152">
        <v>361155.93806331232</v>
      </c>
      <c r="C40" s="250"/>
      <c r="D40" s="518"/>
      <c r="E40" s="3539"/>
      <c r="F40" s="508"/>
      <c r="G40" s="3539"/>
      <c r="H40" s="524"/>
      <c r="I40" s="504"/>
      <c r="J40" s="250"/>
      <c r="K40" s="498"/>
      <c r="L40" s="250"/>
      <c r="M40" s="518"/>
      <c r="N40" s="3539"/>
      <c r="O40" s="508"/>
      <c r="P40" s="3539"/>
      <c r="Q40" s="524"/>
      <c r="R40" s="504"/>
      <c r="S40" s="250"/>
      <c r="T40" s="498"/>
      <c r="U40" s="250"/>
      <c r="V40" s="504"/>
      <c r="W40" s="508"/>
      <c r="X40" s="3539"/>
      <c r="Y40" s="3539"/>
      <c r="Z40" s="515"/>
    </row>
    <row r="41" spans="1:26" s="192" customFormat="1">
      <c r="A41" s="196" t="s">
        <v>335</v>
      </c>
      <c r="B41" s="2152">
        <v>347326.17591437226</v>
      </c>
      <c r="C41" s="250"/>
      <c r="D41" s="518"/>
      <c r="E41" s="3539"/>
      <c r="F41" s="508"/>
      <c r="G41" s="3539"/>
      <c r="H41" s="524"/>
      <c r="I41" s="504"/>
      <c r="J41" s="250"/>
      <c r="K41" s="498"/>
      <c r="L41" s="250"/>
      <c r="M41" s="518"/>
      <c r="N41" s="3539"/>
      <c r="O41" s="508"/>
      <c r="P41" s="3539"/>
      <c r="Q41" s="524"/>
      <c r="R41" s="504"/>
      <c r="S41" s="250"/>
      <c r="T41" s="498"/>
      <c r="U41" s="250"/>
      <c r="V41" s="504"/>
      <c r="W41" s="508"/>
      <c r="X41" s="3539"/>
      <c r="Y41" s="3539"/>
      <c r="Z41" s="515"/>
    </row>
    <row r="42" spans="1:26" s="192" customFormat="1">
      <c r="A42" s="196" t="s">
        <v>336</v>
      </c>
      <c r="B42" s="2152">
        <v>317805.14029130002</v>
      </c>
      <c r="C42" s="250"/>
      <c r="D42" s="518"/>
      <c r="E42" s="3539"/>
      <c r="F42" s="508"/>
      <c r="G42" s="3539"/>
      <c r="H42" s="524"/>
      <c r="I42" s="504"/>
      <c r="J42" s="250"/>
      <c r="K42" s="498"/>
      <c r="L42" s="250"/>
      <c r="M42" s="518"/>
      <c r="N42" s="3539"/>
      <c r="O42" s="508"/>
      <c r="P42" s="3539"/>
      <c r="Q42" s="524"/>
      <c r="R42" s="504"/>
      <c r="S42" s="250"/>
      <c r="T42" s="498"/>
      <c r="U42" s="250"/>
      <c r="V42" s="504"/>
      <c r="W42" s="508"/>
      <c r="X42" s="3539"/>
      <c r="Y42" s="3539"/>
      <c r="Z42" s="515"/>
    </row>
    <row r="43" spans="1:26" s="192" customFormat="1">
      <c r="A43" s="196" t="s">
        <v>337</v>
      </c>
      <c r="B43" s="2152">
        <v>336329.28963902284</v>
      </c>
      <c r="C43" s="250"/>
      <c r="D43" s="518"/>
      <c r="E43" s="3539"/>
      <c r="F43" s="508"/>
      <c r="G43" s="3539"/>
      <c r="H43" s="524"/>
      <c r="I43" s="504"/>
      <c r="J43" s="250"/>
      <c r="K43" s="498"/>
      <c r="L43" s="250"/>
      <c r="M43" s="518"/>
      <c r="N43" s="3539"/>
      <c r="O43" s="508"/>
      <c r="P43" s="3539"/>
      <c r="Q43" s="524"/>
      <c r="R43" s="504"/>
      <c r="S43" s="250"/>
      <c r="T43" s="498"/>
      <c r="U43" s="250"/>
      <c r="V43" s="504"/>
      <c r="W43" s="508"/>
      <c r="X43" s="3539"/>
      <c r="Y43" s="3539"/>
      <c r="Z43" s="515"/>
    </row>
    <row r="44" spans="1:26" s="192" customFormat="1">
      <c r="A44" s="196" t="s">
        <v>338</v>
      </c>
      <c r="B44" s="2152">
        <v>345471.16201090853</v>
      </c>
      <c r="C44" s="250"/>
      <c r="D44" s="518"/>
      <c r="E44" s="3539"/>
      <c r="F44" s="508"/>
      <c r="G44" s="3539"/>
      <c r="H44" s="524"/>
      <c r="I44" s="504"/>
      <c r="J44" s="250"/>
      <c r="K44" s="498"/>
      <c r="L44" s="250"/>
      <c r="M44" s="518"/>
      <c r="N44" s="3539"/>
      <c r="O44" s="508"/>
      <c r="P44" s="3539"/>
      <c r="Q44" s="524"/>
      <c r="R44" s="504"/>
      <c r="S44" s="250"/>
      <c r="T44" s="498"/>
      <c r="U44" s="250"/>
      <c r="V44" s="504"/>
      <c r="W44" s="508"/>
      <c r="X44" s="3539"/>
      <c r="Y44" s="3539"/>
      <c r="Z44" s="515"/>
    </row>
    <row r="45" spans="1:26" s="192" customFormat="1">
      <c r="A45" s="196" t="s">
        <v>339</v>
      </c>
      <c r="B45" s="2152">
        <v>351893.86338945088</v>
      </c>
      <c r="C45" s="250"/>
      <c r="D45" s="518"/>
      <c r="E45" s="3539"/>
      <c r="F45" s="508"/>
      <c r="G45" s="3539"/>
      <c r="H45" s="524"/>
      <c r="I45" s="504"/>
      <c r="J45" s="250"/>
      <c r="K45" s="498"/>
      <c r="L45" s="250"/>
      <c r="M45" s="518"/>
      <c r="N45" s="3539"/>
      <c r="O45" s="508"/>
      <c r="P45" s="3539"/>
      <c r="Q45" s="524"/>
      <c r="R45" s="504"/>
      <c r="S45" s="250"/>
      <c r="T45" s="498"/>
      <c r="U45" s="250"/>
      <c r="V45" s="504"/>
      <c r="W45" s="508"/>
      <c r="X45" s="3539"/>
      <c r="Y45" s="3539"/>
      <c r="Z45" s="515"/>
    </row>
    <row r="46" spans="1:26" s="192" customFormat="1">
      <c r="A46" s="196" t="s">
        <v>340</v>
      </c>
      <c r="B46" s="2152">
        <v>344733.70464473288</v>
      </c>
      <c r="C46" s="250"/>
      <c r="D46" s="518"/>
      <c r="E46" s="3539"/>
      <c r="F46" s="508"/>
      <c r="G46" s="3539"/>
      <c r="H46" s="524"/>
      <c r="I46" s="504"/>
      <c r="J46" s="250"/>
      <c r="K46" s="498"/>
      <c r="L46" s="250"/>
      <c r="M46" s="518"/>
      <c r="N46" s="3539"/>
      <c r="O46" s="508"/>
      <c r="P46" s="3539"/>
      <c r="Q46" s="524"/>
      <c r="R46" s="504"/>
      <c r="S46" s="250"/>
      <c r="T46" s="498"/>
      <c r="U46" s="250"/>
      <c r="V46" s="504"/>
      <c r="W46" s="508"/>
      <c r="X46" s="3539"/>
      <c r="Y46" s="3539"/>
      <c r="Z46" s="515"/>
    </row>
    <row r="47" spans="1:26" s="192" customFormat="1">
      <c r="A47" s="196" t="s">
        <v>341</v>
      </c>
      <c r="B47" s="2152">
        <v>365460.47995838983</v>
      </c>
      <c r="C47" s="250"/>
      <c r="D47" s="518"/>
      <c r="E47" s="3539"/>
      <c r="F47" s="508"/>
      <c r="G47" s="3539"/>
      <c r="H47" s="524"/>
      <c r="I47" s="504"/>
      <c r="J47" s="250"/>
      <c r="K47" s="498"/>
      <c r="L47" s="250"/>
      <c r="M47" s="518"/>
      <c r="N47" s="3539"/>
      <c r="O47" s="508"/>
      <c r="P47" s="3539"/>
      <c r="Q47" s="524"/>
      <c r="R47" s="504"/>
      <c r="S47" s="250"/>
      <c r="T47" s="498"/>
      <c r="U47" s="250"/>
      <c r="V47" s="504"/>
      <c r="W47" s="508"/>
      <c r="X47" s="3539"/>
      <c r="Y47" s="3539"/>
      <c r="Z47" s="515"/>
    </row>
    <row r="48" spans="1:26" s="192" customFormat="1">
      <c r="A48" s="196" t="s">
        <v>342</v>
      </c>
      <c r="B48" s="2152">
        <v>363105.16458183789</v>
      </c>
      <c r="C48" s="250"/>
      <c r="D48" s="518"/>
      <c r="E48" s="3539"/>
      <c r="F48" s="508"/>
      <c r="G48" s="3539"/>
      <c r="H48" s="524"/>
      <c r="I48" s="504"/>
      <c r="J48" s="250"/>
      <c r="K48" s="498"/>
      <c r="L48" s="250"/>
      <c r="M48" s="518"/>
      <c r="N48" s="3539"/>
      <c r="O48" s="508"/>
      <c r="P48" s="3539"/>
      <c r="Q48" s="524"/>
      <c r="R48" s="504"/>
      <c r="S48" s="250"/>
      <c r="T48" s="498"/>
      <c r="U48" s="250"/>
      <c r="V48" s="504"/>
      <c r="W48" s="508"/>
      <c r="X48" s="3539"/>
      <c r="Y48" s="3539"/>
      <c r="Z48" s="515"/>
    </row>
    <row r="49" spans="1:26" s="192" customFormat="1">
      <c r="A49" s="196" t="s">
        <v>343</v>
      </c>
      <c r="B49" s="2152">
        <v>373039.72240459069</v>
      </c>
      <c r="C49" s="250"/>
      <c r="D49" s="518"/>
      <c r="E49" s="3539"/>
      <c r="F49" s="508"/>
      <c r="G49" s="3539"/>
      <c r="H49" s="524"/>
      <c r="I49" s="504"/>
      <c r="J49" s="250"/>
      <c r="K49" s="498"/>
      <c r="L49" s="250"/>
      <c r="M49" s="518"/>
      <c r="N49" s="3539"/>
      <c r="O49" s="508"/>
      <c r="P49" s="3539"/>
      <c r="Q49" s="524"/>
      <c r="R49" s="504"/>
      <c r="S49" s="250"/>
      <c r="T49" s="498"/>
      <c r="U49" s="250"/>
      <c r="V49" s="504"/>
      <c r="W49" s="508"/>
      <c r="X49" s="3539"/>
      <c r="Y49" s="3539"/>
      <c r="Z49" s="515"/>
    </row>
    <row r="50" spans="1:26" s="192" customFormat="1">
      <c r="A50" s="196" t="s">
        <v>344</v>
      </c>
      <c r="B50" s="2152">
        <v>350886.76302154566</v>
      </c>
      <c r="C50" s="250"/>
      <c r="D50" s="518"/>
      <c r="E50" s="3539"/>
      <c r="F50" s="508"/>
      <c r="G50" s="3539"/>
      <c r="H50" s="524"/>
      <c r="I50" s="504"/>
      <c r="J50" s="250"/>
      <c r="K50" s="498"/>
      <c r="L50" s="250"/>
      <c r="M50" s="518"/>
      <c r="N50" s="3539"/>
      <c r="O50" s="508"/>
      <c r="P50" s="3539"/>
      <c r="Q50" s="524"/>
      <c r="R50" s="504"/>
      <c r="S50" s="250"/>
      <c r="T50" s="498"/>
      <c r="U50" s="250"/>
      <c r="V50" s="504"/>
      <c r="W50" s="508"/>
      <c r="X50" s="3539"/>
      <c r="Y50" s="3539"/>
      <c r="Z50" s="515"/>
    </row>
    <row r="51" spans="1:26" s="192" customFormat="1">
      <c r="A51" s="196" t="s">
        <v>345</v>
      </c>
      <c r="B51" s="2152">
        <v>375630.18279372092</v>
      </c>
      <c r="C51" s="250"/>
      <c r="D51" s="518"/>
      <c r="E51" s="3539"/>
      <c r="F51" s="508"/>
      <c r="G51" s="3539"/>
      <c r="H51" s="524"/>
      <c r="I51" s="504"/>
      <c r="J51" s="250"/>
      <c r="K51" s="498"/>
      <c r="L51" s="250"/>
      <c r="M51" s="518"/>
      <c r="N51" s="3539"/>
      <c r="O51" s="508"/>
      <c r="P51" s="3539"/>
      <c r="Q51" s="524"/>
      <c r="R51" s="504"/>
      <c r="S51" s="250"/>
      <c r="T51" s="498"/>
      <c r="U51" s="250"/>
      <c r="V51" s="504"/>
      <c r="W51" s="508"/>
      <c r="X51" s="3539"/>
      <c r="Y51" s="3539"/>
      <c r="Z51" s="515"/>
    </row>
    <row r="52" spans="1:26" s="192" customFormat="1">
      <c r="A52" s="196" t="s">
        <v>346</v>
      </c>
      <c r="B52" s="2152">
        <v>392787.63941291551</v>
      </c>
      <c r="C52" s="250"/>
      <c r="D52" s="518"/>
      <c r="E52" s="3539"/>
      <c r="F52" s="508"/>
      <c r="G52" s="3539"/>
      <c r="H52" s="524"/>
      <c r="I52" s="504"/>
      <c r="J52" s="250"/>
      <c r="K52" s="498"/>
      <c r="L52" s="250"/>
      <c r="M52" s="518"/>
      <c r="N52" s="3539"/>
      <c r="O52" s="508"/>
      <c r="P52" s="3539"/>
      <c r="Q52" s="524"/>
      <c r="R52" s="504"/>
      <c r="S52" s="250"/>
      <c r="T52" s="498"/>
      <c r="U52" s="250"/>
      <c r="V52" s="504"/>
      <c r="W52" s="508"/>
      <c r="X52" s="3539"/>
      <c r="Y52" s="3539"/>
      <c r="Z52" s="515"/>
    </row>
    <row r="53" spans="1:26" s="192" customFormat="1">
      <c r="A53" s="196" t="s">
        <v>347</v>
      </c>
      <c r="B53" s="2152">
        <v>387175.79581347544</v>
      </c>
      <c r="C53" s="250"/>
      <c r="D53" s="518"/>
      <c r="E53" s="3539"/>
      <c r="F53" s="508"/>
      <c r="G53" s="3539"/>
      <c r="H53" s="524"/>
      <c r="I53" s="504"/>
      <c r="J53" s="250"/>
      <c r="K53" s="498"/>
      <c r="L53" s="250"/>
      <c r="M53" s="518"/>
      <c r="N53" s="3539"/>
      <c r="O53" s="508"/>
      <c r="P53" s="3539"/>
      <c r="Q53" s="524"/>
      <c r="R53" s="504"/>
      <c r="S53" s="250"/>
      <c r="T53" s="498"/>
      <c r="U53" s="250"/>
      <c r="V53" s="504"/>
      <c r="W53" s="508"/>
      <c r="X53" s="3539"/>
      <c r="Y53" s="3539"/>
      <c r="Z53" s="515"/>
    </row>
    <row r="54" spans="1:26" s="192" customFormat="1">
      <c r="A54" s="196" t="s">
        <v>348</v>
      </c>
      <c r="B54" s="2152">
        <v>348787.74219593039</v>
      </c>
      <c r="C54" s="250"/>
      <c r="D54" s="518"/>
      <c r="E54" s="3539"/>
      <c r="F54" s="508"/>
      <c r="G54" s="3539"/>
      <c r="H54" s="524"/>
      <c r="I54" s="504"/>
      <c r="J54" s="250"/>
      <c r="K54" s="498"/>
      <c r="L54" s="250"/>
      <c r="M54" s="518"/>
      <c r="N54" s="3539"/>
      <c r="O54" s="508"/>
      <c r="P54" s="3539"/>
      <c r="Q54" s="524"/>
      <c r="R54" s="504"/>
      <c r="S54" s="250"/>
      <c r="T54" s="498"/>
      <c r="U54" s="250"/>
      <c r="V54" s="504"/>
      <c r="W54" s="508"/>
      <c r="X54" s="3539"/>
      <c r="Y54" s="3539"/>
      <c r="Z54" s="515"/>
    </row>
    <row r="55" spans="1:26" s="192" customFormat="1">
      <c r="A55" s="196" t="s">
        <v>349</v>
      </c>
      <c r="B55" s="2152">
        <v>365764.15607086685</v>
      </c>
      <c r="C55" s="250"/>
      <c r="D55" s="518"/>
      <c r="E55" s="3539"/>
      <c r="F55" s="508"/>
      <c r="G55" s="3539"/>
      <c r="H55" s="524"/>
      <c r="I55" s="504"/>
      <c r="J55" s="250"/>
      <c r="K55" s="498"/>
      <c r="L55" s="250"/>
      <c r="M55" s="518"/>
      <c r="N55" s="3539"/>
      <c r="O55" s="508"/>
      <c r="P55" s="3539"/>
      <c r="Q55" s="524"/>
      <c r="R55" s="504"/>
      <c r="S55" s="250"/>
      <c r="T55" s="498"/>
      <c r="U55" s="250"/>
      <c r="V55" s="504"/>
      <c r="W55" s="508"/>
      <c r="X55" s="3539"/>
      <c r="Y55" s="3539"/>
      <c r="Z55" s="515"/>
    </row>
    <row r="56" spans="1:26" s="192" customFormat="1">
      <c r="A56" s="196" t="s">
        <v>350</v>
      </c>
      <c r="B56" s="2152">
        <v>356438.37465442083</v>
      </c>
      <c r="C56" s="250"/>
      <c r="D56" s="518"/>
      <c r="E56" s="3539"/>
      <c r="F56" s="508"/>
      <c r="G56" s="3539"/>
      <c r="H56" s="524"/>
      <c r="I56" s="504"/>
      <c r="J56" s="250"/>
      <c r="K56" s="498"/>
      <c r="L56" s="250"/>
      <c r="M56" s="518"/>
      <c r="N56" s="3539"/>
      <c r="O56" s="508"/>
      <c r="P56" s="3539"/>
      <c r="Q56" s="524"/>
      <c r="R56" s="504"/>
      <c r="S56" s="250"/>
      <c r="T56" s="498"/>
      <c r="U56" s="250"/>
      <c r="V56" s="504"/>
      <c r="W56" s="508"/>
      <c r="X56" s="3539"/>
      <c r="Y56" s="3539"/>
      <c r="Z56" s="515"/>
    </row>
    <row r="57" spans="1:26" s="192" customFormat="1">
      <c r="A57" s="196" t="s">
        <v>351</v>
      </c>
      <c r="B57" s="2152">
        <v>353808.75326930342</v>
      </c>
      <c r="C57" s="250"/>
      <c r="D57" s="518"/>
      <c r="E57" s="3539"/>
      <c r="F57" s="508"/>
      <c r="G57" s="3539"/>
      <c r="H57" s="524"/>
      <c r="I57" s="504"/>
      <c r="J57" s="250"/>
      <c r="K57" s="498"/>
      <c r="L57" s="250"/>
      <c r="M57" s="518"/>
      <c r="N57" s="3539"/>
      <c r="O57" s="508"/>
      <c r="P57" s="3539"/>
      <c r="Q57" s="524"/>
      <c r="R57" s="504"/>
      <c r="S57" s="250"/>
      <c r="T57" s="498"/>
      <c r="U57" s="250"/>
      <c r="V57" s="504"/>
      <c r="W57" s="508"/>
      <c r="X57" s="3539"/>
      <c r="Y57" s="3539"/>
      <c r="Z57" s="515"/>
    </row>
    <row r="58" spans="1:26" s="192" customFormat="1">
      <c r="A58" s="196" t="s">
        <v>352</v>
      </c>
      <c r="B58" s="2152">
        <v>326438.28846153966</v>
      </c>
      <c r="C58" s="250"/>
      <c r="D58" s="518"/>
      <c r="E58" s="3539"/>
      <c r="F58" s="508"/>
      <c r="G58" s="3539"/>
      <c r="H58" s="524"/>
      <c r="I58" s="504"/>
      <c r="J58" s="250"/>
      <c r="K58" s="498"/>
      <c r="L58" s="250"/>
      <c r="M58" s="518"/>
      <c r="N58" s="3539"/>
      <c r="O58" s="508"/>
      <c r="P58" s="3539"/>
      <c r="Q58" s="524"/>
      <c r="R58" s="504"/>
      <c r="S58" s="250"/>
      <c r="T58" s="498"/>
      <c r="U58" s="250"/>
      <c r="V58" s="504"/>
      <c r="W58" s="508"/>
      <c r="X58" s="3539"/>
      <c r="Y58" s="3539"/>
      <c r="Z58" s="515"/>
    </row>
    <row r="59" spans="1:26" s="192" customFormat="1">
      <c r="A59" s="196" t="s">
        <v>353</v>
      </c>
      <c r="B59" s="2152">
        <v>336012.47652814566</v>
      </c>
      <c r="C59" s="250"/>
      <c r="D59" s="518"/>
      <c r="E59" s="3539"/>
      <c r="F59" s="508"/>
      <c r="G59" s="3539"/>
      <c r="H59" s="524"/>
      <c r="I59" s="504"/>
      <c r="J59" s="250"/>
      <c r="K59" s="498"/>
      <c r="L59" s="250"/>
      <c r="M59" s="518"/>
      <c r="N59" s="3539"/>
      <c r="O59" s="508"/>
      <c r="P59" s="3539"/>
      <c r="Q59" s="524"/>
      <c r="R59" s="504"/>
      <c r="S59" s="250"/>
      <c r="T59" s="498"/>
      <c r="U59" s="250"/>
      <c r="V59" s="504"/>
      <c r="W59" s="508"/>
      <c r="X59" s="3539"/>
      <c r="Y59" s="3539"/>
      <c r="Z59" s="515"/>
    </row>
    <row r="60" spans="1:26" s="192" customFormat="1">
      <c r="A60" s="196" t="s">
        <v>354</v>
      </c>
      <c r="B60" s="2152">
        <v>355257.56729242095</v>
      </c>
      <c r="C60" s="250"/>
      <c r="D60" s="518"/>
      <c r="E60" s="3539"/>
      <c r="F60" s="508"/>
      <c r="G60" s="3539"/>
      <c r="H60" s="524"/>
      <c r="I60" s="504"/>
      <c r="J60" s="250"/>
      <c r="K60" s="498"/>
      <c r="L60" s="250"/>
      <c r="M60" s="518"/>
      <c r="N60" s="3539"/>
      <c r="O60" s="508"/>
      <c r="P60" s="3539"/>
      <c r="Q60" s="524"/>
      <c r="R60" s="504"/>
      <c r="S60" s="250"/>
      <c r="T60" s="498"/>
      <c r="U60" s="250"/>
      <c r="V60" s="504"/>
      <c r="W60" s="508"/>
      <c r="X60" s="3539"/>
      <c r="Y60" s="3539"/>
      <c r="Z60" s="515"/>
    </row>
    <row r="61" spans="1:26" s="192" customFormat="1">
      <c r="A61" s="196" t="s">
        <v>355</v>
      </c>
      <c r="B61" s="2152">
        <v>362089.39451203792</v>
      </c>
      <c r="C61" s="250"/>
      <c r="D61" s="518"/>
      <c r="E61" s="3539"/>
      <c r="F61" s="508"/>
      <c r="G61" s="3539"/>
      <c r="H61" s="524"/>
      <c r="I61" s="504"/>
      <c r="J61" s="250"/>
      <c r="K61" s="498"/>
      <c r="L61" s="250"/>
      <c r="M61" s="518"/>
      <c r="N61" s="3539"/>
      <c r="O61" s="508"/>
      <c r="P61" s="3539"/>
      <c r="Q61" s="524"/>
      <c r="R61" s="504"/>
      <c r="S61" s="250"/>
      <c r="T61" s="498"/>
      <c r="U61" s="250"/>
      <c r="V61" s="504"/>
      <c r="W61" s="508"/>
      <c r="X61" s="3539"/>
      <c r="Y61" s="3539"/>
      <c r="Z61" s="515"/>
    </row>
    <row r="62" spans="1:26" s="192" customFormat="1">
      <c r="A62" s="196" t="s">
        <v>356</v>
      </c>
      <c r="B62" s="2152">
        <v>335280.80175013922</v>
      </c>
      <c r="C62" s="250"/>
      <c r="D62" s="518"/>
      <c r="E62" s="3539"/>
      <c r="F62" s="508"/>
      <c r="G62" s="3539"/>
      <c r="H62" s="524"/>
      <c r="I62" s="504"/>
      <c r="J62" s="250"/>
      <c r="K62" s="498"/>
      <c r="L62" s="250"/>
      <c r="M62" s="518"/>
      <c r="N62" s="3539"/>
      <c r="O62" s="508"/>
      <c r="P62" s="3539"/>
      <c r="Q62" s="524"/>
      <c r="R62" s="504"/>
      <c r="S62" s="250"/>
      <c r="T62" s="498"/>
      <c r="U62" s="250"/>
      <c r="V62" s="504"/>
      <c r="W62" s="508"/>
      <c r="X62" s="3539"/>
      <c r="Y62" s="3539"/>
      <c r="Z62" s="515"/>
    </row>
    <row r="63" spans="1:26" s="192" customFormat="1">
      <c r="A63" s="196" t="s">
        <v>357</v>
      </c>
      <c r="B63" s="2152">
        <v>361986.01093758742</v>
      </c>
      <c r="C63" s="250"/>
      <c r="D63" s="518"/>
      <c r="E63" s="3539"/>
      <c r="F63" s="508"/>
      <c r="G63" s="3539"/>
      <c r="H63" s="524"/>
      <c r="I63" s="504"/>
      <c r="J63" s="250"/>
      <c r="K63" s="498"/>
      <c r="L63" s="250"/>
      <c r="M63" s="518"/>
      <c r="N63" s="3539"/>
      <c r="O63" s="508"/>
      <c r="P63" s="3539"/>
      <c r="Q63" s="524"/>
      <c r="R63" s="504"/>
      <c r="S63" s="250"/>
      <c r="T63" s="498"/>
      <c r="U63" s="250"/>
      <c r="V63" s="504"/>
      <c r="W63" s="508"/>
      <c r="X63" s="3539"/>
      <c r="Y63" s="3539"/>
      <c r="Z63" s="515"/>
    </row>
    <row r="64" spans="1:26" s="192" customFormat="1">
      <c r="A64" s="196" t="s">
        <v>358</v>
      </c>
      <c r="B64" s="2152">
        <v>371728.86638567253</v>
      </c>
      <c r="C64" s="250"/>
      <c r="D64" s="518"/>
      <c r="E64" s="3539"/>
      <c r="F64" s="508"/>
      <c r="G64" s="3539"/>
      <c r="H64" s="524"/>
      <c r="I64" s="504"/>
      <c r="J64" s="250"/>
      <c r="K64" s="498"/>
      <c r="L64" s="250"/>
      <c r="M64" s="518"/>
      <c r="N64" s="3539"/>
      <c r="O64" s="508"/>
      <c r="P64" s="3539"/>
      <c r="Q64" s="524"/>
      <c r="R64" s="504"/>
      <c r="S64" s="250"/>
      <c r="T64" s="498"/>
      <c r="U64" s="250"/>
      <c r="V64" s="504"/>
      <c r="W64" s="508"/>
      <c r="X64" s="3539"/>
      <c r="Y64" s="3539"/>
      <c r="Z64" s="515"/>
    </row>
    <row r="65" spans="1:26" s="192" customFormat="1">
      <c r="A65" s="196" t="s">
        <v>359</v>
      </c>
      <c r="B65" s="2152">
        <v>367537.47434081975</v>
      </c>
      <c r="C65" s="250"/>
      <c r="D65" s="518"/>
      <c r="E65" s="3539"/>
      <c r="F65" s="508"/>
      <c r="G65" s="3539"/>
      <c r="H65" s="524"/>
      <c r="I65" s="504"/>
      <c r="J65" s="250"/>
      <c r="K65" s="498"/>
      <c r="L65" s="250"/>
      <c r="M65" s="518"/>
      <c r="N65" s="3539"/>
      <c r="O65" s="508"/>
      <c r="P65" s="3539"/>
      <c r="Q65" s="524"/>
      <c r="R65" s="504"/>
      <c r="S65" s="250"/>
      <c r="T65" s="498"/>
      <c r="U65" s="250"/>
      <c r="V65" s="504"/>
      <c r="W65" s="508"/>
      <c r="X65" s="3539"/>
      <c r="Y65" s="3539"/>
      <c r="Z65" s="515"/>
    </row>
    <row r="66" spans="1:26" s="192" customFormat="1">
      <c r="A66" s="196" t="s">
        <v>360</v>
      </c>
      <c r="B66" s="2152">
        <v>335440.41496044846</v>
      </c>
      <c r="C66" s="250"/>
      <c r="D66" s="518"/>
      <c r="E66" s="3539"/>
      <c r="F66" s="508"/>
      <c r="G66" s="3539"/>
      <c r="H66" s="524"/>
      <c r="I66" s="504"/>
      <c r="J66" s="250"/>
      <c r="K66" s="498"/>
      <c r="L66" s="250"/>
      <c r="M66" s="518"/>
      <c r="N66" s="3539"/>
      <c r="O66" s="508"/>
      <c r="P66" s="3539"/>
      <c r="Q66" s="524"/>
      <c r="R66" s="504"/>
      <c r="S66" s="250"/>
      <c r="T66" s="498"/>
      <c r="U66" s="250"/>
      <c r="V66" s="504"/>
      <c r="W66" s="508"/>
      <c r="X66" s="3539"/>
      <c r="Y66" s="3539"/>
      <c r="Z66" s="515"/>
    </row>
    <row r="67" spans="1:26" s="192" customFormat="1">
      <c r="A67" s="196" t="s">
        <v>361</v>
      </c>
      <c r="B67" s="2152">
        <v>372878.92563458625</v>
      </c>
      <c r="C67" s="250"/>
      <c r="D67" s="518"/>
      <c r="E67" s="3539"/>
      <c r="F67" s="508"/>
      <c r="G67" s="3539"/>
      <c r="H67" s="524"/>
      <c r="I67" s="504"/>
      <c r="J67" s="250"/>
      <c r="K67" s="498"/>
      <c r="L67" s="250"/>
      <c r="M67" s="518"/>
      <c r="N67" s="3539"/>
      <c r="O67" s="508"/>
      <c r="P67" s="3539"/>
      <c r="Q67" s="524"/>
      <c r="R67" s="504"/>
      <c r="S67" s="250"/>
      <c r="T67" s="498"/>
      <c r="U67" s="250"/>
      <c r="V67" s="504"/>
      <c r="W67" s="508"/>
      <c r="X67" s="3539"/>
      <c r="Y67" s="3539"/>
      <c r="Z67" s="515"/>
    </row>
    <row r="68" spans="1:26" s="192" customFormat="1">
      <c r="A68" s="196" t="s">
        <v>362</v>
      </c>
      <c r="B68" s="2152">
        <v>377126.46713109146</v>
      </c>
      <c r="C68" s="250"/>
      <c r="D68" s="518"/>
      <c r="E68" s="3539"/>
      <c r="F68" s="508"/>
      <c r="G68" s="3539"/>
      <c r="H68" s="524"/>
      <c r="I68" s="504"/>
      <c r="J68" s="250"/>
      <c r="K68" s="498"/>
      <c r="L68" s="250"/>
      <c r="M68" s="518"/>
      <c r="N68" s="3539"/>
      <c r="O68" s="508"/>
      <c r="P68" s="3539"/>
      <c r="Q68" s="524"/>
      <c r="R68" s="504"/>
      <c r="S68" s="250"/>
      <c r="T68" s="498"/>
      <c r="U68" s="250"/>
      <c r="V68" s="504"/>
      <c r="W68" s="508"/>
      <c r="X68" s="3539"/>
      <c r="Y68" s="3539"/>
      <c r="Z68" s="515"/>
    </row>
    <row r="69" spans="1:26" s="192" customFormat="1">
      <c r="A69" s="196" t="s">
        <v>363</v>
      </c>
      <c r="B69" s="2152">
        <v>379809.19536989758</v>
      </c>
      <c r="C69" s="250"/>
      <c r="D69" s="518"/>
      <c r="E69" s="3539"/>
      <c r="F69" s="508"/>
      <c r="G69" s="3539"/>
      <c r="H69" s="524"/>
      <c r="I69" s="504"/>
      <c r="J69" s="250"/>
      <c r="K69" s="498"/>
      <c r="L69" s="250"/>
      <c r="M69" s="518"/>
      <c r="N69" s="3539"/>
      <c r="O69" s="508"/>
      <c r="P69" s="3539"/>
      <c r="Q69" s="524"/>
      <c r="R69" s="504"/>
      <c r="S69" s="250"/>
      <c r="T69" s="498"/>
      <c r="U69" s="250"/>
      <c r="V69" s="504"/>
      <c r="W69" s="508"/>
      <c r="X69" s="3539"/>
      <c r="Y69" s="3539"/>
      <c r="Z69" s="515"/>
    </row>
    <row r="70" spans="1:26" s="192" customFormat="1">
      <c r="A70" s="196" t="s">
        <v>364</v>
      </c>
      <c r="B70" s="2152">
        <v>327369.62085227115</v>
      </c>
      <c r="C70" s="250"/>
      <c r="D70" s="518"/>
      <c r="E70" s="3539"/>
      <c r="F70" s="508"/>
      <c r="G70" s="3539"/>
      <c r="H70" s="524"/>
      <c r="I70" s="504"/>
      <c r="J70" s="250"/>
      <c r="K70" s="498"/>
      <c r="L70" s="250"/>
      <c r="M70" s="518"/>
      <c r="N70" s="3539"/>
      <c r="O70" s="508"/>
      <c r="P70" s="3539"/>
      <c r="Q70" s="524"/>
      <c r="R70" s="504"/>
      <c r="S70" s="250"/>
      <c r="T70" s="498"/>
      <c r="U70" s="250"/>
      <c r="V70" s="504"/>
      <c r="W70" s="508"/>
      <c r="X70" s="3539"/>
      <c r="Y70" s="3539"/>
      <c r="Z70" s="515"/>
    </row>
    <row r="71" spans="1:26" s="192" customFormat="1">
      <c r="A71" s="196" t="s">
        <v>365</v>
      </c>
      <c r="B71" s="2152">
        <v>342983.1182077697</v>
      </c>
      <c r="C71" s="250"/>
      <c r="D71" s="518"/>
      <c r="E71" s="3539"/>
      <c r="F71" s="508"/>
      <c r="G71" s="3539"/>
      <c r="H71" s="524"/>
      <c r="I71" s="504"/>
      <c r="J71" s="250"/>
      <c r="K71" s="498"/>
      <c r="L71" s="250"/>
      <c r="M71" s="518"/>
      <c r="N71" s="3539"/>
      <c r="O71" s="508"/>
      <c r="P71" s="3539"/>
      <c r="Q71" s="524"/>
      <c r="R71" s="504"/>
      <c r="S71" s="250"/>
      <c r="T71" s="498"/>
      <c r="U71" s="250"/>
      <c r="V71" s="504"/>
      <c r="W71" s="508"/>
      <c r="X71" s="3539"/>
      <c r="Y71" s="3539"/>
      <c r="Z71" s="515"/>
    </row>
    <row r="72" spans="1:26" s="192" customFormat="1">
      <c r="A72" s="196" t="s">
        <v>366</v>
      </c>
      <c r="B72" s="2152">
        <v>338381.4690876932</v>
      </c>
      <c r="C72" s="250"/>
      <c r="D72" s="518"/>
      <c r="E72" s="3539"/>
      <c r="F72" s="508"/>
      <c r="G72" s="3539"/>
      <c r="H72" s="524"/>
      <c r="I72" s="504"/>
      <c r="J72" s="250"/>
      <c r="K72" s="498"/>
      <c r="L72" s="250"/>
      <c r="M72" s="518"/>
      <c r="N72" s="3539"/>
      <c r="O72" s="508"/>
      <c r="P72" s="3539"/>
      <c r="Q72" s="524"/>
      <c r="R72" s="504"/>
      <c r="S72" s="250"/>
      <c r="T72" s="498"/>
      <c r="U72" s="250"/>
      <c r="V72" s="504"/>
      <c r="W72" s="508"/>
      <c r="X72" s="3539"/>
      <c r="Y72" s="3539"/>
      <c r="Z72" s="515"/>
    </row>
    <row r="73" spans="1:26" s="192" customFormat="1">
      <c r="A73" s="196" t="s">
        <v>367</v>
      </c>
      <c r="B73" s="2152">
        <v>354683.61575532699</v>
      </c>
      <c r="C73" s="250"/>
      <c r="D73" s="518"/>
      <c r="E73" s="3539"/>
      <c r="F73" s="508"/>
      <c r="G73" s="3539"/>
      <c r="H73" s="524"/>
      <c r="I73" s="504"/>
      <c r="J73" s="250"/>
      <c r="K73" s="498"/>
      <c r="L73" s="250"/>
      <c r="M73" s="518"/>
      <c r="N73" s="3539"/>
      <c r="O73" s="508"/>
      <c r="P73" s="3539"/>
      <c r="Q73" s="524"/>
      <c r="R73" s="504"/>
      <c r="S73" s="250"/>
      <c r="T73" s="498"/>
      <c r="U73" s="250"/>
      <c r="V73" s="504"/>
      <c r="W73" s="508"/>
      <c r="X73" s="3539"/>
      <c r="Y73" s="3539"/>
      <c r="Z73" s="515"/>
    </row>
    <row r="74" spans="1:26" s="192" customFormat="1">
      <c r="A74" s="196" t="s">
        <v>74</v>
      </c>
      <c r="B74" s="2152">
        <v>330021.40238875081</v>
      </c>
      <c r="C74" s="250"/>
      <c r="D74" s="518"/>
      <c r="E74" s="3539"/>
      <c r="F74" s="508"/>
      <c r="G74" s="3539"/>
      <c r="H74" s="524"/>
      <c r="I74" s="504"/>
      <c r="J74" s="250"/>
      <c r="K74" s="498"/>
      <c r="L74" s="250"/>
      <c r="M74" s="518"/>
      <c r="N74" s="3539"/>
      <c r="O74" s="508"/>
      <c r="P74" s="3539"/>
      <c r="Q74" s="524"/>
      <c r="R74" s="504"/>
      <c r="S74" s="250"/>
      <c r="T74" s="498"/>
      <c r="U74" s="250"/>
      <c r="V74" s="504"/>
      <c r="W74" s="508"/>
      <c r="X74" s="3539"/>
      <c r="Y74" s="3539"/>
      <c r="Z74" s="515"/>
    </row>
    <row r="75" spans="1:26" s="192" customFormat="1">
      <c r="A75" s="196" t="s">
        <v>368</v>
      </c>
      <c r="B75" s="2152">
        <v>367750.9108401041</v>
      </c>
      <c r="C75" s="250"/>
      <c r="D75" s="518"/>
      <c r="E75" s="3539"/>
      <c r="F75" s="508"/>
      <c r="G75" s="3539"/>
      <c r="H75" s="524"/>
      <c r="I75" s="504"/>
      <c r="J75" s="250"/>
      <c r="K75" s="498"/>
      <c r="L75" s="250"/>
      <c r="M75" s="518"/>
      <c r="N75" s="3539"/>
      <c r="O75" s="508"/>
      <c r="P75" s="3539"/>
      <c r="Q75" s="524"/>
      <c r="R75" s="504"/>
      <c r="S75" s="250"/>
      <c r="T75" s="498"/>
      <c r="U75" s="250"/>
      <c r="V75" s="504"/>
      <c r="W75" s="508"/>
      <c r="X75" s="3539"/>
      <c r="Y75" s="3539"/>
      <c r="Z75" s="515"/>
    </row>
    <row r="76" spans="1:26" s="192" customFormat="1">
      <c r="A76" s="196" t="s">
        <v>369</v>
      </c>
      <c r="B76" s="2152">
        <v>385564.6915689361</v>
      </c>
      <c r="C76" s="250"/>
      <c r="D76" s="518"/>
      <c r="E76" s="3539"/>
      <c r="F76" s="508"/>
      <c r="G76" s="3539"/>
      <c r="H76" s="524"/>
      <c r="I76" s="504"/>
      <c r="J76" s="250"/>
      <c r="K76" s="498"/>
      <c r="L76" s="250"/>
      <c r="M76" s="518"/>
      <c r="N76" s="3539"/>
      <c r="O76" s="508"/>
      <c r="P76" s="3539"/>
      <c r="Q76" s="524"/>
      <c r="R76" s="504"/>
      <c r="S76" s="250"/>
      <c r="T76" s="498"/>
      <c r="U76" s="250"/>
      <c r="V76" s="504"/>
      <c r="W76" s="508"/>
      <c r="X76" s="3539"/>
      <c r="Y76" s="3539"/>
      <c r="Z76" s="515"/>
    </row>
    <row r="77" spans="1:26" s="192" customFormat="1">
      <c r="A77" s="196" t="s">
        <v>370</v>
      </c>
      <c r="B77" s="2152">
        <v>377396.58560876525</v>
      </c>
      <c r="C77" s="250"/>
      <c r="D77" s="518"/>
      <c r="E77" s="3539"/>
      <c r="F77" s="508"/>
      <c r="G77" s="3539"/>
      <c r="H77" s="524"/>
      <c r="I77" s="504"/>
      <c r="J77" s="250"/>
      <c r="K77" s="498"/>
      <c r="L77" s="250"/>
      <c r="M77" s="518"/>
      <c r="N77" s="3539"/>
      <c r="O77" s="508"/>
      <c r="P77" s="3539"/>
      <c r="Q77" s="524"/>
      <c r="R77" s="504"/>
      <c r="S77" s="250"/>
      <c r="T77" s="498"/>
      <c r="U77" s="250"/>
      <c r="V77" s="504"/>
      <c r="W77" s="508"/>
      <c r="X77" s="3539"/>
      <c r="Y77" s="3539"/>
      <c r="Z77" s="515"/>
    </row>
    <row r="78" spans="1:26" s="192" customFormat="1">
      <c r="A78" s="196" t="s">
        <v>371</v>
      </c>
      <c r="B78" s="2152">
        <v>342518.80591686163</v>
      </c>
      <c r="C78" s="250"/>
      <c r="D78" s="518"/>
      <c r="E78" s="3539"/>
      <c r="F78" s="508"/>
      <c r="G78" s="3539"/>
      <c r="H78" s="524"/>
      <c r="I78" s="504"/>
      <c r="J78" s="250"/>
      <c r="K78" s="498"/>
      <c r="L78" s="250"/>
      <c r="M78" s="518"/>
      <c r="N78" s="3539"/>
      <c r="O78" s="508"/>
      <c r="P78" s="3539"/>
      <c r="Q78" s="524"/>
      <c r="R78" s="504"/>
      <c r="S78" s="250"/>
      <c r="T78" s="498"/>
      <c r="U78" s="250"/>
      <c r="V78" s="504"/>
      <c r="W78" s="508"/>
      <c r="X78" s="3539"/>
      <c r="Y78" s="3539"/>
      <c r="Z78" s="515"/>
    </row>
    <row r="79" spans="1:26" s="192" customFormat="1">
      <c r="A79" s="196" t="s">
        <v>372</v>
      </c>
      <c r="B79" s="2152">
        <v>384165.47030020447</v>
      </c>
      <c r="C79" s="250"/>
      <c r="D79" s="518"/>
      <c r="E79" s="3539"/>
      <c r="F79" s="508"/>
      <c r="G79" s="3539"/>
      <c r="H79" s="524"/>
      <c r="I79" s="504"/>
      <c r="J79" s="250"/>
      <c r="K79" s="498"/>
      <c r="L79" s="250"/>
      <c r="M79" s="518"/>
      <c r="N79" s="3539"/>
      <c r="O79" s="508"/>
      <c r="P79" s="3539"/>
      <c r="Q79" s="524"/>
      <c r="R79" s="504"/>
      <c r="S79" s="250"/>
      <c r="T79" s="498"/>
      <c r="U79" s="250"/>
      <c r="V79" s="504"/>
      <c r="W79" s="508"/>
      <c r="X79" s="3539"/>
      <c r="Y79" s="3539"/>
      <c r="Z79" s="515"/>
    </row>
    <row r="80" spans="1:26" s="192" customFormat="1">
      <c r="A80" s="196" t="s">
        <v>373</v>
      </c>
      <c r="B80" s="2152">
        <v>394585.94464685617</v>
      </c>
      <c r="C80" s="250"/>
      <c r="D80" s="518"/>
      <c r="E80" s="3539"/>
      <c r="F80" s="508"/>
      <c r="G80" s="3539"/>
      <c r="H80" s="524"/>
      <c r="I80" s="504"/>
      <c r="J80" s="250"/>
      <c r="K80" s="498"/>
      <c r="L80" s="250"/>
      <c r="M80" s="518"/>
      <c r="N80" s="3539"/>
      <c r="O80" s="508"/>
      <c r="P80" s="3539"/>
      <c r="Q80" s="524"/>
      <c r="R80" s="504"/>
      <c r="S80" s="250"/>
      <c r="T80" s="498"/>
      <c r="U80" s="250"/>
      <c r="V80" s="504"/>
      <c r="W80" s="508"/>
      <c r="X80" s="3539"/>
      <c r="Y80" s="3539"/>
      <c r="Z80" s="515"/>
    </row>
    <row r="81" spans="1:26" s="192" customFormat="1">
      <c r="A81" s="196" t="s">
        <v>374</v>
      </c>
      <c r="B81" s="2152">
        <v>377308.71785485651</v>
      </c>
      <c r="C81" s="250"/>
      <c r="D81" s="518"/>
      <c r="E81" s="3539"/>
      <c r="F81" s="508"/>
      <c r="G81" s="3539"/>
      <c r="H81" s="524"/>
      <c r="I81" s="504"/>
      <c r="J81" s="250"/>
      <c r="K81" s="498"/>
      <c r="L81" s="250"/>
      <c r="M81" s="518"/>
      <c r="N81" s="3539"/>
      <c r="O81" s="508"/>
      <c r="P81" s="3539"/>
      <c r="Q81" s="524"/>
      <c r="R81" s="504"/>
      <c r="S81" s="250"/>
      <c r="T81" s="498"/>
      <c r="U81" s="250"/>
      <c r="V81" s="504"/>
      <c r="W81" s="508"/>
      <c r="X81" s="3539"/>
      <c r="Y81" s="3539"/>
      <c r="Z81" s="515"/>
    </row>
    <row r="82" spans="1:26" s="192" customFormat="1">
      <c r="A82" s="196" t="s">
        <v>375</v>
      </c>
      <c r="B82" s="2152">
        <v>358624.23371496168</v>
      </c>
      <c r="C82" s="250"/>
      <c r="D82" s="518"/>
      <c r="E82" s="3539"/>
      <c r="F82" s="508"/>
      <c r="G82" s="3539"/>
      <c r="H82" s="524"/>
      <c r="I82" s="504"/>
      <c r="J82" s="250"/>
      <c r="K82" s="498"/>
      <c r="L82" s="250"/>
      <c r="M82" s="518"/>
      <c r="N82" s="3539"/>
      <c r="O82" s="508"/>
      <c r="P82" s="3539"/>
      <c r="Q82" s="524"/>
      <c r="R82" s="504"/>
      <c r="S82" s="250"/>
      <c r="T82" s="498"/>
      <c r="U82" s="250"/>
      <c r="V82" s="504"/>
      <c r="W82" s="508"/>
      <c r="X82" s="3539"/>
      <c r="Y82" s="3539"/>
      <c r="Z82" s="515"/>
    </row>
    <row r="83" spans="1:26" s="192" customFormat="1">
      <c r="A83" s="196" t="s">
        <v>376</v>
      </c>
      <c r="B83" s="2152">
        <v>379121.88661564147</v>
      </c>
      <c r="C83" s="250"/>
      <c r="D83" s="518"/>
      <c r="E83" s="3539"/>
      <c r="F83" s="508"/>
      <c r="G83" s="3539"/>
      <c r="H83" s="524"/>
      <c r="I83" s="504"/>
      <c r="J83" s="250"/>
      <c r="K83" s="498"/>
      <c r="L83" s="250"/>
      <c r="M83" s="518"/>
      <c r="N83" s="3539"/>
      <c r="O83" s="508"/>
      <c r="P83" s="3539"/>
      <c r="Q83" s="524"/>
      <c r="R83" s="504"/>
      <c r="S83" s="250"/>
      <c r="T83" s="498"/>
      <c r="U83" s="250"/>
      <c r="V83" s="504"/>
      <c r="W83" s="508"/>
      <c r="X83" s="3539"/>
      <c r="Y83" s="3539"/>
      <c r="Z83" s="515"/>
    </row>
    <row r="84" spans="1:26" s="192" customFormat="1">
      <c r="A84" s="196" t="s">
        <v>377</v>
      </c>
      <c r="B84" s="2152">
        <v>367102.67929559061</v>
      </c>
      <c r="C84" s="250"/>
      <c r="D84" s="518"/>
      <c r="E84" s="3539"/>
      <c r="F84" s="508"/>
      <c r="G84" s="3539"/>
      <c r="H84" s="524"/>
      <c r="I84" s="504"/>
      <c r="J84" s="250"/>
      <c r="K84" s="498"/>
      <c r="L84" s="250"/>
      <c r="M84" s="518"/>
      <c r="N84" s="3539"/>
      <c r="O84" s="508"/>
      <c r="P84" s="3539"/>
      <c r="Q84" s="524"/>
      <c r="R84" s="504"/>
      <c r="S84" s="250"/>
      <c r="T84" s="498"/>
      <c r="U84" s="250"/>
      <c r="V84" s="504"/>
      <c r="W84" s="508"/>
      <c r="X84" s="3539"/>
      <c r="Y84" s="3539"/>
      <c r="Z84" s="515"/>
    </row>
    <row r="85" spans="1:26" s="192" customFormat="1">
      <c r="A85" s="196" t="s">
        <v>378</v>
      </c>
      <c r="B85" s="2152">
        <v>365343.87220646505</v>
      </c>
      <c r="C85" s="250"/>
      <c r="D85" s="518"/>
      <c r="E85" s="3539"/>
      <c r="F85" s="508"/>
      <c r="G85" s="3539"/>
      <c r="H85" s="524"/>
      <c r="I85" s="504"/>
      <c r="J85" s="250"/>
      <c r="K85" s="498"/>
      <c r="L85" s="250"/>
      <c r="M85" s="518"/>
      <c r="N85" s="3539"/>
      <c r="O85" s="508"/>
      <c r="P85" s="3539"/>
      <c r="Q85" s="524"/>
      <c r="R85" s="504"/>
      <c r="S85" s="250"/>
      <c r="T85" s="498"/>
      <c r="U85" s="250"/>
      <c r="V85" s="504"/>
      <c r="W85" s="508"/>
      <c r="X85" s="3539"/>
      <c r="Y85" s="3539"/>
      <c r="Z85" s="515"/>
    </row>
    <row r="86" spans="1:26" s="192" customFormat="1">
      <c r="A86" s="196" t="s">
        <v>379</v>
      </c>
      <c r="B86" s="2152">
        <v>344056.12903072697</v>
      </c>
      <c r="C86" s="250"/>
      <c r="D86" s="518"/>
      <c r="E86" s="3539"/>
      <c r="F86" s="508"/>
      <c r="G86" s="3539"/>
      <c r="H86" s="524"/>
      <c r="I86" s="504"/>
      <c r="J86" s="250"/>
      <c r="K86" s="498"/>
      <c r="L86" s="250"/>
      <c r="M86" s="518"/>
      <c r="N86" s="3539"/>
      <c r="O86" s="508"/>
      <c r="P86" s="3539"/>
      <c r="Q86" s="524"/>
      <c r="R86" s="504"/>
      <c r="S86" s="250"/>
      <c r="T86" s="498"/>
      <c r="U86" s="250"/>
      <c r="V86" s="504"/>
      <c r="W86" s="508"/>
      <c r="X86" s="3539"/>
      <c r="Y86" s="3539"/>
      <c r="Z86" s="515"/>
    </row>
    <row r="87" spans="1:26" s="192" customFormat="1">
      <c r="A87" s="196" t="s">
        <v>380</v>
      </c>
      <c r="B87" s="2152">
        <v>344664.83356431744</v>
      </c>
      <c r="C87" s="250"/>
      <c r="D87" s="518"/>
      <c r="E87" s="3539"/>
      <c r="F87" s="508"/>
      <c r="G87" s="3539"/>
      <c r="H87" s="524"/>
      <c r="I87" s="504"/>
      <c r="J87" s="250"/>
      <c r="K87" s="498"/>
      <c r="L87" s="250"/>
      <c r="M87" s="518"/>
      <c r="N87" s="3539"/>
      <c r="O87" s="508"/>
      <c r="P87" s="3539"/>
      <c r="Q87" s="524"/>
      <c r="R87" s="504"/>
      <c r="S87" s="250"/>
      <c r="T87" s="498"/>
      <c r="U87" s="250"/>
      <c r="V87" s="504"/>
      <c r="W87" s="508"/>
      <c r="X87" s="3539"/>
      <c r="Y87" s="3539"/>
      <c r="Z87" s="515"/>
    </row>
    <row r="88" spans="1:26" s="192" customFormat="1">
      <c r="A88" s="196" t="s">
        <v>381</v>
      </c>
      <c r="B88" s="2152">
        <v>330724.44338600658</v>
      </c>
      <c r="C88" s="250"/>
      <c r="D88" s="518"/>
      <c r="E88" s="3539"/>
      <c r="F88" s="508"/>
      <c r="G88" s="3539"/>
      <c r="H88" s="524"/>
      <c r="I88" s="504"/>
      <c r="J88" s="250"/>
      <c r="K88" s="498"/>
      <c r="L88" s="250"/>
      <c r="M88" s="518"/>
      <c r="N88" s="3539"/>
      <c r="O88" s="508"/>
      <c r="P88" s="3539"/>
      <c r="Q88" s="524"/>
      <c r="R88" s="504"/>
      <c r="S88" s="250"/>
      <c r="T88" s="498"/>
      <c r="U88" s="250"/>
      <c r="V88" s="504"/>
      <c r="W88" s="508"/>
      <c r="X88" s="3539"/>
      <c r="Y88" s="3539"/>
      <c r="Z88" s="515"/>
    </row>
    <row r="89" spans="1:26" s="192" customFormat="1">
      <c r="A89" s="196" t="s">
        <v>382</v>
      </c>
      <c r="B89" s="2152">
        <v>348765.95251692773</v>
      </c>
      <c r="C89" s="250"/>
      <c r="D89" s="518"/>
      <c r="E89" s="3539"/>
      <c r="F89" s="508"/>
      <c r="G89" s="3539"/>
      <c r="H89" s="524"/>
      <c r="I89" s="504"/>
      <c r="J89" s="250"/>
      <c r="K89" s="498"/>
      <c r="L89" s="250"/>
      <c r="M89" s="518"/>
      <c r="N89" s="3539"/>
      <c r="O89" s="508"/>
      <c r="P89" s="3539"/>
      <c r="Q89" s="524"/>
      <c r="R89" s="504"/>
      <c r="S89" s="250"/>
      <c r="T89" s="498"/>
      <c r="U89" s="250"/>
      <c r="V89" s="504"/>
      <c r="W89" s="508"/>
      <c r="X89" s="3539"/>
      <c r="Y89" s="3539"/>
      <c r="Z89" s="515"/>
    </row>
    <row r="90" spans="1:26" s="192" customFormat="1">
      <c r="A90" s="196" t="s">
        <v>383</v>
      </c>
      <c r="B90" s="2152">
        <v>300955.69410753687</v>
      </c>
      <c r="C90" s="250"/>
      <c r="D90" s="518"/>
      <c r="E90" s="3539"/>
      <c r="F90" s="508"/>
      <c r="G90" s="3539"/>
      <c r="H90" s="524"/>
      <c r="I90" s="504"/>
      <c r="J90" s="250"/>
      <c r="K90" s="498"/>
      <c r="L90" s="250"/>
      <c r="M90" s="518"/>
      <c r="N90" s="3539"/>
      <c r="O90" s="508"/>
      <c r="P90" s="3539"/>
      <c r="Q90" s="524"/>
      <c r="R90" s="504"/>
      <c r="S90" s="250"/>
      <c r="T90" s="498"/>
      <c r="U90" s="250"/>
      <c r="V90" s="504"/>
      <c r="W90" s="508"/>
      <c r="X90" s="3539"/>
      <c r="Y90" s="3539"/>
      <c r="Z90" s="515"/>
    </row>
    <row r="91" spans="1:26" s="192" customFormat="1">
      <c r="A91" s="196" t="s">
        <v>384</v>
      </c>
      <c r="B91" s="2152">
        <v>333959.88978152163</v>
      </c>
      <c r="C91" s="250"/>
      <c r="D91" s="518"/>
      <c r="E91" s="3539"/>
      <c r="F91" s="508"/>
      <c r="G91" s="3539"/>
      <c r="H91" s="524"/>
      <c r="I91" s="504"/>
      <c r="J91" s="250"/>
      <c r="K91" s="498"/>
      <c r="L91" s="250"/>
      <c r="M91" s="518"/>
      <c r="N91" s="3539"/>
      <c r="O91" s="508"/>
      <c r="P91" s="3539"/>
      <c r="Q91" s="524"/>
      <c r="R91" s="504"/>
      <c r="S91" s="250"/>
      <c r="T91" s="498"/>
      <c r="U91" s="250"/>
      <c r="V91" s="504"/>
      <c r="W91" s="508"/>
      <c r="X91" s="3539"/>
      <c r="Y91" s="3539"/>
      <c r="Z91" s="515"/>
    </row>
    <row r="92" spans="1:26" s="192" customFormat="1">
      <c r="A92" s="196" t="s">
        <v>385</v>
      </c>
      <c r="B92" s="2152">
        <v>348762.37998561945</v>
      </c>
      <c r="C92" s="250"/>
      <c r="D92" s="518"/>
      <c r="E92" s="3539"/>
      <c r="F92" s="508"/>
      <c r="G92" s="3539"/>
      <c r="H92" s="524"/>
      <c r="I92" s="504"/>
      <c r="J92" s="250"/>
      <c r="K92" s="498"/>
      <c r="L92" s="250"/>
      <c r="M92" s="518"/>
      <c r="N92" s="3539"/>
      <c r="O92" s="508"/>
      <c r="P92" s="3539"/>
      <c r="Q92" s="524"/>
      <c r="R92" s="504"/>
      <c r="S92" s="250"/>
      <c r="T92" s="498"/>
      <c r="U92" s="250"/>
      <c r="V92" s="504"/>
      <c r="W92" s="508"/>
      <c r="X92" s="3539"/>
      <c r="Y92" s="3539"/>
      <c r="Z92" s="515"/>
    </row>
    <row r="93" spans="1:26" s="192" customFormat="1">
      <c r="A93" s="196" t="s">
        <v>386</v>
      </c>
      <c r="B93" s="2152">
        <v>359489.60513888567</v>
      </c>
      <c r="C93" s="250"/>
      <c r="D93" s="518"/>
      <c r="E93" s="3539"/>
      <c r="F93" s="508"/>
      <c r="G93" s="3539"/>
      <c r="H93" s="524"/>
      <c r="I93" s="504"/>
      <c r="J93" s="250"/>
      <c r="K93" s="498"/>
      <c r="L93" s="250"/>
      <c r="M93" s="518"/>
      <c r="N93" s="3539"/>
      <c r="O93" s="508"/>
      <c r="P93" s="3539"/>
      <c r="Q93" s="524"/>
      <c r="R93" s="504"/>
      <c r="S93" s="250"/>
      <c r="T93" s="498"/>
      <c r="U93" s="250"/>
      <c r="V93" s="504"/>
      <c r="W93" s="508"/>
      <c r="X93" s="3539"/>
      <c r="Y93" s="3539"/>
      <c r="Z93" s="515"/>
    </row>
    <row r="94" spans="1:26" s="192" customFormat="1">
      <c r="A94" s="196" t="s">
        <v>58</v>
      </c>
      <c r="B94" s="2152">
        <v>325091.5258041519</v>
      </c>
      <c r="C94" s="250"/>
      <c r="D94" s="518"/>
      <c r="E94" s="3539"/>
      <c r="F94" s="508"/>
      <c r="G94" s="3539"/>
      <c r="H94" s="524"/>
      <c r="I94" s="504"/>
      <c r="J94" s="250"/>
      <c r="K94" s="498"/>
      <c r="L94" s="250"/>
      <c r="M94" s="518"/>
      <c r="N94" s="3539"/>
      <c r="O94" s="508"/>
      <c r="P94" s="3539"/>
      <c r="Q94" s="524"/>
      <c r="R94" s="504"/>
      <c r="S94" s="250"/>
      <c r="T94" s="498"/>
      <c r="U94" s="250"/>
      <c r="V94" s="504"/>
      <c r="W94" s="508"/>
      <c r="X94" s="3539"/>
      <c r="Y94" s="3539"/>
      <c r="Z94" s="515"/>
    </row>
    <row r="95" spans="1:26" s="192" customFormat="1">
      <c r="A95" s="196" t="s">
        <v>387</v>
      </c>
      <c r="B95" s="2152">
        <v>376116.49857912929</v>
      </c>
      <c r="C95" s="250"/>
      <c r="D95" s="518"/>
      <c r="E95" s="3539"/>
      <c r="F95" s="508"/>
      <c r="G95" s="3539"/>
      <c r="H95" s="524"/>
      <c r="I95" s="504"/>
      <c r="J95" s="250"/>
      <c r="K95" s="498"/>
      <c r="L95" s="250"/>
      <c r="M95" s="518"/>
      <c r="N95" s="3539"/>
      <c r="O95" s="508"/>
      <c r="P95" s="3539"/>
      <c r="Q95" s="524"/>
      <c r="R95" s="504"/>
      <c r="S95" s="250"/>
      <c r="T95" s="498"/>
      <c r="U95" s="250"/>
      <c r="V95" s="504"/>
      <c r="W95" s="508"/>
      <c r="X95" s="3539"/>
      <c r="Y95" s="3539"/>
      <c r="Z95" s="515"/>
    </row>
    <row r="96" spans="1:26" s="192" customFormat="1">
      <c r="A96" s="196" t="s">
        <v>388</v>
      </c>
      <c r="B96" s="2152">
        <v>384748.07817223424</v>
      </c>
      <c r="C96" s="250"/>
      <c r="D96" s="518"/>
      <c r="E96" s="3539"/>
      <c r="F96" s="508"/>
      <c r="G96" s="3539"/>
      <c r="H96" s="524"/>
      <c r="I96" s="504"/>
      <c r="J96" s="250"/>
      <c r="K96" s="498"/>
      <c r="L96" s="250"/>
      <c r="M96" s="518"/>
      <c r="N96" s="3539"/>
      <c r="O96" s="508"/>
      <c r="P96" s="3539"/>
      <c r="Q96" s="524"/>
      <c r="R96" s="504"/>
      <c r="S96" s="250"/>
      <c r="T96" s="498"/>
      <c r="U96" s="250"/>
      <c r="V96" s="504"/>
      <c r="W96" s="508"/>
      <c r="X96" s="3539"/>
      <c r="Y96" s="3539"/>
      <c r="Z96" s="515"/>
    </row>
    <row r="97" spans="1:26" s="192" customFormat="1">
      <c r="A97" s="196" t="s">
        <v>389</v>
      </c>
      <c r="B97" s="2152">
        <v>399299.25475537003</v>
      </c>
      <c r="C97" s="250"/>
      <c r="D97" s="518"/>
      <c r="E97" s="3539"/>
      <c r="F97" s="508"/>
      <c r="G97" s="3539"/>
      <c r="H97" s="524"/>
      <c r="I97" s="504"/>
      <c r="J97" s="250"/>
      <c r="K97" s="498"/>
      <c r="L97" s="250"/>
      <c r="M97" s="518"/>
      <c r="N97" s="3539"/>
      <c r="O97" s="508"/>
      <c r="P97" s="3539"/>
      <c r="Q97" s="524"/>
      <c r="R97" s="504"/>
      <c r="S97" s="250"/>
      <c r="T97" s="498"/>
      <c r="U97" s="250"/>
      <c r="V97" s="504"/>
      <c r="W97" s="508"/>
      <c r="X97" s="3539"/>
      <c r="Y97" s="3539"/>
      <c r="Z97" s="515"/>
    </row>
    <row r="98" spans="1:26" s="192" customFormat="1">
      <c r="A98" s="196" t="s">
        <v>390</v>
      </c>
      <c r="B98" s="2152">
        <v>372951.25477425492</v>
      </c>
      <c r="C98" s="250"/>
      <c r="D98" s="518"/>
      <c r="E98" s="3539"/>
      <c r="F98" s="508"/>
      <c r="G98" s="3539"/>
      <c r="H98" s="524"/>
      <c r="I98" s="504"/>
      <c r="J98" s="250"/>
      <c r="K98" s="498"/>
      <c r="L98" s="250"/>
      <c r="M98" s="518"/>
      <c r="N98" s="3539"/>
      <c r="O98" s="508"/>
      <c r="P98" s="3539"/>
      <c r="Q98" s="524"/>
      <c r="R98" s="504"/>
      <c r="S98" s="250"/>
      <c r="T98" s="498"/>
      <c r="U98" s="250"/>
      <c r="V98" s="504"/>
      <c r="W98" s="508"/>
      <c r="X98" s="3539"/>
      <c r="Y98" s="3539"/>
      <c r="Z98" s="515"/>
    </row>
    <row r="99" spans="1:26" s="192" customFormat="1">
      <c r="A99" s="196" t="s">
        <v>391</v>
      </c>
      <c r="B99" s="2152">
        <v>421992.06239868782</v>
      </c>
      <c r="C99" s="250"/>
      <c r="D99" s="518"/>
      <c r="E99" s="3539"/>
      <c r="F99" s="508"/>
      <c r="G99" s="3539"/>
      <c r="H99" s="524"/>
      <c r="I99" s="504"/>
      <c r="J99" s="250"/>
      <c r="K99" s="498"/>
      <c r="L99" s="250"/>
      <c r="M99" s="518"/>
      <c r="N99" s="3539"/>
      <c r="O99" s="508"/>
      <c r="P99" s="3539"/>
      <c r="Q99" s="524"/>
      <c r="R99" s="504"/>
      <c r="S99" s="250"/>
      <c r="T99" s="498"/>
      <c r="U99" s="250"/>
      <c r="V99" s="504"/>
      <c r="W99" s="508"/>
      <c r="X99" s="3539"/>
      <c r="Y99" s="3539"/>
      <c r="Z99" s="515"/>
    </row>
    <row r="100" spans="1:26" s="192" customFormat="1">
      <c r="A100" s="196" t="s">
        <v>392</v>
      </c>
      <c r="B100" s="2152">
        <v>418269.85525713966</v>
      </c>
      <c r="C100" s="250"/>
      <c r="D100" s="518"/>
      <c r="E100" s="3539"/>
      <c r="F100" s="508"/>
      <c r="G100" s="3539"/>
      <c r="H100" s="524"/>
      <c r="I100" s="504"/>
      <c r="J100" s="250"/>
      <c r="K100" s="498"/>
      <c r="L100" s="250"/>
      <c r="M100" s="518"/>
      <c r="N100" s="3539"/>
      <c r="O100" s="508"/>
      <c r="P100" s="3539"/>
      <c r="Q100" s="524"/>
      <c r="R100" s="504"/>
      <c r="S100" s="250"/>
      <c r="T100" s="498"/>
      <c r="U100" s="250"/>
      <c r="V100" s="504"/>
      <c r="W100" s="508"/>
      <c r="X100" s="3539"/>
      <c r="Y100" s="3539"/>
      <c r="Z100" s="515"/>
    </row>
    <row r="101" spans="1:26" s="192" customFormat="1">
      <c r="A101" s="196" t="s">
        <v>393</v>
      </c>
      <c r="B101" s="2152">
        <v>414719.06672971492</v>
      </c>
      <c r="C101" s="250"/>
      <c r="D101" s="518"/>
      <c r="E101" s="3539"/>
      <c r="F101" s="508"/>
      <c r="G101" s="3539"/>
      <c r="H101" s="524"/>
      <c r="I101" s="504"/>
      <c r="J101" s="250"/>
      <c r="K101" s="498"/>
      <c r="L101" s="250"/>
      <c r="M101" s="518"/>
      <c r="N101" s="3539"/>
      <c r="O101" s="508"/>
      <c r="P101" s="3539"/>
      <c r="Q101" s="524"/>
      <c r="R101" s="504"/>
      <c r="S101" s="250"/>
      <c r="T101" s="498"/>
      <c r="U101" s="250"/>
      <c r="V101" s="504"/>
      <c r="W101" s="508"/>
      <c r="X101" s="3539"/>
      <c r="Y101" s="3539"/>
      <c r="Z101" s="515"/>
    </row>
    <row r="102" spans="1:26" s="192" customFormat="1">
      <c r="A102" s="195" t="s">
        <v>394</v>
      </c>
      <c r="B102" s="2152">
        <v>390107.47024926153</v>
      </c>
      <c r="C102" s="251">
        <v>55832.986917454589</v>
      </c>
      <c r="D102" s="519">
        <v>270208.30014748866</v>
      </c>
      <c r="E102" s="3540">
        <v>47866.76015310565</v>
      </c>
      <c r="F102" s="523">
        <v>45376.267265587521</v>
      </c>
      <c r="G102" s="3540">
        <v>64126.648108945024</v>
      </c>
      <c r="H102" s="524"/>
      <c r="I102" s="504"/>
      <c r="J102" s="250"/>
      <c r="K102" s="530">
        <v>236609.89659906528</v>
      </c>
      <c r="L102" s="251">
        <v>19460.429514277577</v>
      </c>
      <c r="M102" s="519">
        <v>171018.04561648818</v>
      </c>
      <c r="N102" s="3540">
        <v>31688.107696256113</v>
      </c>
      <c r="O102" s="523">
        <v>15272.182609513335</v>
      </c>
      <c r="P102" s="3540">
        <v>34173.658627614641</v>
      </c>
      <c r="Q102" s="524"/>
      <c r="R102" s="504"/>
      <c r="S102" s="250"/>
      <c r="T102" s="498"/>
      <c r="U102" s="250"/>
      <c r="V102" s="504"/>
      <c r="W102" s="508"/>
      <c r="X102" s="3539"/>
      <c r="Y102" s="3539"/>
      <c r="Z102" s="515"/>
    </row>
    <row r="103" spans="1:26" s="192" customFormat="1">
      <c r="A103" s="195" t="s">
        <v>395</v>
      </c>
      <c r="B103" s="2152">
        <v>436086.19621065236</v>
      </c>
      <c r="C103" s="251">
        <v>55468.991283353767</v>
      </c>
      <c r="D103" s="519">
        <v>294853.92975992104</v>
      </c>
      <c r="E103" s="3540">
        <v>55102.333427714941</v>
      </c>
      <c r="F103" s="523">
        <v>51528.27092037582</v>
      </c>
      <c r="G103" s="3540">
        <v>75519.289487257687</v>
      </c>
      <c r="H103" s="524"/>
      <c r="I103" s="504"/>
      <c r="J103" s="250"/>
      <c r="K103" s="530">
        <v>268467.38703982212</v>
      </c>
      <c r="L103" s="251">
        <v>19492.696397686523</v>
      </c>
      <c r="M103" s="519">
        <v>190098.95225519859</v>
      </c>
      <c r="N103" s="3540">
        <v>36636.351511888708</v>
      </c>
      <c r="O103" s="523">
        <v>17315.707101871089</v>
      </c>
      <c r="P103" s="3540">
        <v>40193.260770184825</v>
      </c>
      <c r="Q103" s="524"/>
      <c r="R103" s="504"/>
      <c r="S103" s="250"/>
      <c r="T103" s="498"/>
      <c r="U103" s="250"/>
      <c r="V103" s="504"/>
      <c r="W103" s="508"/>
      <c r="X103" s="3539"/>
      <c r="Y103" s="3539"/>
      <c r="Z103" s="515"/>
    </row>
    <row r="104" spans="1:26" s="192" customFormat="1">
      <c r="A104" s="195" t="s">
        <v>396</v>
      </c>
      <c r="B104" s="2152">
        <v>437481.08426688949</v>
      </c>
      <c r="C104" s="251">
        <v>64247.391818794335</v>
      </c>
      <c r="D104" s="519">
        <v>295993.52881339204</v>
      </c>
      <c r="E104" s="3540">
        <v>56148.836354192477</v>
      </c>
      <c r="F104" s="523">
        <v>48416.991698536905</v>
      </c>
      <c r="G104" s="3540">
        <v>82847.10023219962</v>
      </c>
      <c r="H104" s="524"/>
      <c r="I104" s="504"/>
      <c r="J104" s="250"/>
      <c r="K104" s="530">
        <v>270958.87725032767</v>
      </c>
      <c r="L104" s="251">
        <v>22451.530730523766</v>
      </c>
      <c r="M104" s="519">
        <v>193422.60368435961</v>
      </c>
      <c r="N104" s="3540">
        <v>37450.937323929837</v>
      </c>
      <c r="O104" s="523">
        <v>16857.649401868042</v>
      </c>
      <c r="P104" s="3540">
        <v>43509.451497414011</v>
      </c>
      <c r="Q104" s="524"/>
      <c r="R104" s="504"/>
      <c r="S104" s="250"/>
      <c r="T104" s="498"/>
      <c r="U104" s="250"/>
      <c r="V104" s="504"/>
      <c r="W104" s="508"/>
      <c r="X104" s="3539"/>
      <c r="Y104" s="3539"/>
      <c r="Z104" s="515"/>
    </row>
    <row r="105" spans="1:26" s="192" customFormat="1">
      <c r="A105" s="195" t="s">
        <v>397</v>
      </c>
      <c r="B105" s="2152">
        <v>441964.88649329194</v>
      </c>
      <c r="C105" s="251">
        <v>69336.177448976348</v>
      </c>
      <c r="D105" s="519">
        <v>301663.71782899945</v>
      </c>
      <c r="E105" s="3540">
        <v>55491.361414631545</v>
      </c>
      <c r="F105" s="523">
        <v>47327.484791094888</v>
      </c>
      <c r="G105" s="3540">
        <v>87235.996252292418</v>
      </c>
      <c r="H105" s="524"/>
      <c r="I105" s="504"/>
      <c r="J105" s="250"/>
      <c r="K105" s="530">
        <v>276688.97524076665</v>
      </c>
      <c r="L105" s="251">
        <v>24229.319379067281</v>
      </c>
      <c r="M105" s="519">
        <v>198808.96343963666</v>
      </c>
      <c r="N105" s="3540">
        <v>38853.768316654809</v>
      </c>
      <c r="O105" s="523">
        <v>16270.901215472568</v>
      </c>
      <c r="P105" s="3540">
        <v>45715.314621819634</v>
      </c>
      <c r="Q105" s="524"/>
      <c r="R105" s="504"/>
      <c r="S105" s="250"/>
      <c r="T105" s="498"/>
      <c r="U105" s="250"/>
      <c r="V105" s="504"/>
      <c r="W105" s="508"/>
      <c r="X105" s="3539"/>
      <c r="Y105" s="3539"/>
      <c r="Z105" s="515"/>
    </row>
    <row r="106" spans="1:26" s="192" customFormat="1">
      <c r="A106" s="195" t="s">
        <v>28</v>
      </c>
      <c r="B106" s="2152">
        <v>419991.98122653348</v>
      </c>
      <c r="C106" s="251">
        <v>75388.899746458206</v>
      </c>
      <c r="D106" s="519">
        <v>292970.62680405739</v>
      </c>
      <c r="E106" s="3540">
        <v>49213.348985703291</v>
      </c>
      <c r="F106" s="523">
        <v>47985.077559271893</v>
      </c>
      <c r="G106" s="3540">
        <v>78309.657536667874</v>
      </c>
      <c r="H106" s="524"/>
      <c r="I106" s="504"/>
      <c r="J106" s="250"/>
      <c r="K106" s="530">
        <v>261599.04050959874</v>
      </c>
      <c r="L106" s="251">
        <v>26511.715433210946</v>
      </c>
      <c r="M106" s="519">
        <v>193375.70876758883</v>
      </c>
      <c r="N106" s="3540">
        <v>34420.52780443809</v>
      </c>
      <c r="O106" s="523">
        <v>16275.324950942309</v>
      </c>
      <c r="P106" s="3540">
        <v>40985.533075631938</v>
      </c>
      <c r="Q106" s="524"/>
      <c r="R106" s="504"/>
      <c r="S106" s="250"/>
      <c r="T106" s="498"/>
      <c r="U106" s="250"/>
      <c r="V106" s="504"/>
      <c r="W106" s="508"/>
      <c r="X106" s="3539"/>
      <c r="Y106" s="3539"/>
      <c r="Z106" s="515"/>
    </row>
    <row r="107" spans="1:26" s="192" customFormat="1">
      <c r="A107" s="195" t="s">
        <v>35</v>
      </c>
      <c r="B107" s="2152">
        <v>464221.51104523765</v>
      </c>
      <c r="C107" s="251">
        <v>71189.010321592854</v>
      </c>
      <c r="D107" s="519">
        <v>314760.50407756947</v>
      </c>
      <c r="E107" s="3540">
        <v>54781.258573636369</v>
      </c>
      <c r="F107" s="523">
        <v>58228.020422460286</v>
      </c>
      <c r="G107" s="3540">
        <v>88526.912390949248</v>
      </c>
      <c r="H107" s="524"/>
      <c r="I107" s="504"/>
      <c r="J107" s="250"/>
      <c r="K107" s="530">
        <v>293426.38917031145</v>
      </c>
      <c r="L107" s="251">
        <v>25105.034819633456</v>
      </c>
      <c r="M107" s="519">
        <v>210443.38716694963</v>
      </c>
      <c r="N107" s="3540">
        <v>38798.010569294078</v>
      </c>
      <c r="O107" s="523">
        <v>20334.303323313467</v>
      </c>
      <c r="P107" s="3540">
        <v>46677.285631167819</v>
      </c>
      <c r="Q107" s="524"/>
      <c r="R107" s="504"/>
      <c r="S107" s="250"/>
      <c r="T107" s="498"/>
      <c r="U107" s="250"/>
      <c r="V107" s="504"/>
      <c r="W107" s="508"/>
      <c r="X107" s="3539"/>
      <c r="Y107" s="3539"/>
      <c r="Z107" s="515"/>
    </row>
    <row r="108" spans="1:26" s="192" customFormat="1">
      <c r="A108" s="195" t="s">
        <v>398</v>
      </c>
      <c r="B108" s="2152">
        <v>456993.21911245893</v>
      </c>
      <c r="C108" s="251">
        <v>74676.975636511124</v>
      </c>
      <c r="D108" s="519">
        <v>309921.61494903214</v>
      </c>
      <c r="E108" s="3540">
        <v>55893.280086158818</v>
      </c>
      <c r="F108" s="523">
        <v>57720.91430945984</v>
      </c>
      <c r="G108" s="3540">
        <v>91370.080683309585</v>
      </c>
      <c r="H108" s="524"/>
      <c r="I108" s="504"/>
      <c r="J108" s="250"/>
      <c r="K108" s="530">
        <v>290294.11686002975</v>
      </c>
      <c r="L108" s="251">
        <v>26862.374816763589</v>
      </c>
      <c r="M108" s="519">
        <v>209652.63901395313</v>
      </c>
      <c r="N108" s="3540">
        <v>39232.223551493953</v>
      </c>
      <c r="O108" s="523">
        <v>20548.653414710854</v>
      </c>
      <c r="P108" s="3540">
        <v>48539.378745619957</v>
      </c>
      <c r="Q108" s="524"/>
      <c r="R108" s="504"/>
      <c r="S108" s="250"/>
      <c r="T108" s="498"/>
      <c r="U108" s="250"/>
      <c r="V108" s="504"/>
      <c r="W108" s="508"/>
      <c r="X108" s="3539"/>
      <c r="Y108" s="3539"/>
      <c r="Z108" s="515"/>
    </row>
    <row r="109" spans="1:26" s="192" customFormat="1">
      <c r="A109" s="195" t="s">
        <v>399</v>
      </c>
      <c r="B109" s="2152">
        <v>463977.47823181393</v>
      </c>
      <c r="C109" s="251">
        <v>75377.507996321307</v>
      </c>
      <c r="D109" s="519">
        <v>315625.35658030509</v>
      </c>
      <c r="E109" s="3540">
        <v>55675.726596648623</v>
      </c>
      <c r="F109" s="523">
        <v>58181.76556495238</v>
      </c>
      <c r="G109" s="3540">
        <v>93869.365368495579</v>
      </c>
      <c r="H109" s="524"/>
      <c r="I109" s="504"/>
      <c r="J109" s="250"/>
      <c r="K109" s="530">
        <v>300590.85055135743</v>
      </c>
      <c r="L109" s="251">
        <v>27651.55280857276</v>
      </c>
      <c r="M109" s="519">
        <v>215045.32013953975</v>
      </c>
      <c r="N109" s="3540">
        <v>41211.410614248649</v>
      </c>
      <c r="O109" s="523">
        <v>20800.404178716042</v>
      </c>
      <c r="P109" s="3540">
        <v>50117.244021731822</v>
      </c>
      <c r="Q109" s="524"/>
      <c r="R109" s="504"/>
      <c r="S109" s="250"/>
      <c r="T109" s="498"/>
      <c r="U109" s="250"/>
      <c r="V109" s="504"/>
      <c r="W109" s="508"/>
      <c r="X109" s="3539"/>
      <c r="Y109" s="3539"/>
      <c r="Z109" s="515"/>
    </row>
    <row r="110" spans="1:26" s="192" customFormat="1">
      <c r="A110" s="195" t="s">
        <v>400</v>
      </c>
      <c r="B110" s="2152">
        <v>429047.86682390893</v>
      </c>
      <c r="C110" s="251">
        <v>74600.3343459803</v>
      </c>
      <c r="D110" s="519">
        <v>291827.02147873404</v>
      </c>
      <c r="E110" s="3540">
        <v>47724.58330108357</v>
      </c>
      <c r="F110" s="523">
        <v>62896.205761022815</v>
      </c>
      <c r="G110" s="3540">
        <v>79252.509975427645</v>
      </c>
      <c r="H110" s="524"/>
      <c r="I110" s="504"/>
      <c r="J110" s="250"/>
      <c r="K110" s="530">
        <v>278650.19284988969</v>
      </c>
      <c r="L110" s="251">
        <v>28000.295617002448</v>
      </c>
      <c r="M110" s="519">
        <v>201947.07258156975</v>
      </c>
      <c r="N110" s="3540">
        <v>34000.466780908268</v>
      </c>
      <c r="O110" s="523">
        <v>22947.954821433574</v>
      </c>
      <c r="P110" s="3540">
        <v>42945.95805431121</v>
      </c>
      <c r="Q110" s="524"/>
      <c r="R110" s="504"/>
      <c r="S110" s="250"/>
      <c r="T110" s="498"/>
      <c r="U110" s="250"/>
      <c r="V110" s="504"/>
      <c r="W110" s="508"/>
      <c r="X110" s="3539"/>
      <c r="Y110" s="3539"/>
      <c r="Z110" s="515"/>
    </row>
    <row r="111" spans="1:26" s="192" customFormat="1">
      <c r="A111" s="195" t="s">
        <v>401</v>
      </c>
      <c r="B111" s="2152">
        <v>447303.84163999039</v>
      </c>
      <c r="C111" s="251">
        <v>61633.929385907999</v>
      </c>
      <c r="D111" s="519">
        <v>295815.75312737096</v>
      </c>
      <c r="E111" s="3540">
        <v>55305.186231967513</v>
      </c>
      <c r="F111" s="523">
        <v>78020.706480183639</v>
      </c>
      <c r="G111" s="3540">
        <v>74563.724115413701</v>
      </c>
      <c r="H111" s="524"/>
      <c r="I111" s="504"/>
      <c r="J111" s="250"/>
      <c r="K111" s="530">
        <v>291110.11398831772</v>
      </c>
      <c r="L111" s="251">
        <v>23393.879229117571</v>
      </c>
      <c r="M111" s="519">
        <v>203810.66271154949</v>
      </c>
      <c r="N111" s="3540">
        <v>39450.712820240442</v>
      </c>
      <c r="O111" s="523">
        <v>29005.307433327245</v>
      </c>
      <c r="P111" s="3540">
        <v>41257.673325661221</v>
      </c>
      <c r="Q111" s="524"/>
      <c r="R111" s="504"/>
      <c r="S111" s="250"/>
      <c r="T111" s="498"/>
      <c r="U111" s="250"/>
      <c r="V111" s="504"/>
      <c r="W111" s="508"/>
      <c r="X111" s="3539"/>
      <c r="Y111" s="3539"/>
      <c r="Z111" s="515"/>
    </row>
    <row r="112" spans="1:26" s="192" customFormat="1">
      <c r="A112" s="195" t="s">
        <v>402</v>
      </c>
      <c r="B112" s="2152">
        <v>436704.32555131195</v>
      </c>
      <c r="C112" s="251">
        <v>63661.582831722168</v>
      </c>
      <c r="D112" s="519">
        <v>291747.55910216004</v>
      </c>
      <c r="E112" s="3540">
        <v>55111.662159500738</v>
      </c>
      <c r="F112" s="523">
        <v>67003.507650471714</v>
      </c>
      <c r="G112" s="3540">
        <v>75628.780161919087</v>
      </c>
      <c r="H112" s="524"/>
      <c r="I112" s="504"/>
      <c r="J112" s="250"/>
      <c r="K112" s="530">
        <v>285841.50448189431</v>
      </c>
      <c r="L112" s="251">
        <v>24206.032796944433</v>
      </c>
      <c r="M112" s="519">
        <v>201035.75564440497</v>
      </c>
      <c r="N112" s="3540">
        <v>38971.762331361744</v>
      </c>
      <c r="O112" s="523">
        <v>24961.546710971994</v>
      </c>
      <c r="P112" s="3540">
        <v>41863.565326193413</v>
      </c>
      <c r="Q112" s="524"/>
      <c r="R112" s="504"/>
      <c r="S112" s="250"/>
      <c r="T112" s="498"/>
      <c r="U112" s="250"/>
      <c r="V112" s="504"/>
      <c r="W112" s="508"/>
      <c r="X112" s="3539"/>
      <c r="Y112" s="3539"/>
      <c r="Z112" s="515"/>
    </row>
    <row r="113" spans="1:26" s="192" customFormat="1">
      <c r="A113" s="195" t="s">
        <v>403</v>
      </c>
      <c r="B113" s="2152">
        <v>440766.88153812947</v>
      </c>
      <c r="C113" s="251">
        <v>67646.908962298345</v>
      </c>
      <c r="D113" s="519">
        <v>299898.79276378435</v>
      </c>
      <c r="E113" s="3540">
        <v>59061.638779177687</v>
      </c>
      <c r="F113" s="523">
        <v>64233.924112025088</v>
      </c>
      <c r="G113" s="3540">
        <v>76565.183154212005</v>
      </c>
      <c r="H113" s="524"/>
      <c r="I113" s="504"/>
      <c r="J113" s="250"/>
      <c r="K113" s="530">
        <v>292943.35074082977</v>
      </c>
      <c r="L113" s="251">
        <v>25624.570518280634</v>
      </c>
      <c r="M113" s="519">
        <v>207462.80814887592</v>
      </c>
      <c r="N113" s="3540">
        <v>43490.942415866382</v>
      </c>
      <c r="O113" s="523">
        <v>23538.298298292641</v>
      </c>
      <c r="P113" s="3540">
        <v>41937.078560334696</v>
      </c>
      <c r="Q113" s="524"/>
      <c r="R113" s="504"/>
      <c r="S113" s="250"/>
      <c r="T113" s="498"/>
      <c r="U113" s="250"/>
      <c r="V113" s="504"/>
      <c r="W113" s="508"/>
      <c r="X113" s="3539"/>
      <c r="Y113" s="3539"/>
      <c r="Z113" s="515"/>
    </row>
    <row r="114" spans="1:26" s="192" customFormat="1">
      <c r="A114" s="195" t="s">
        <v>404</v>
      </c>
      <c r="B114" s="2152">
        <v>426519.99169578718</v>
      </c>
      <c r="C114" s="251">
        <v>71105.297082774996</v>
      </c>
      <c r="D114" s="519">
        <v>291809.42474215064</v>
      </c>
      <c r="E114" s="3540">
        <v>49237.228285507088</v>
      </c>
      <c r="F114" s="523">
        <v>64815.254908710507</v>
      </c>
      <c r="G114" s="3540">
        <v>71231.299862598345</v>
      </c>
      <c r="H114" s="524"/>
      <c r="I114" s="504"/>
      <c r="J114" s="250"/>
      <c r="K114" s="530">
        <v>279533.79837812344</v>
      </c>
      <c r="L114" s="251">
        <v>27444.733748650357</v>
      </c>
      <c r="M114" s="519">
        <v>202116.03048846414</v>
      </c>
      <c r="N114" s="3540">
        <v>34158.969997291264</v>
      </c>
      <c r="O114" s="523">
        <v>24245.287636333342</v>
      </c>
      <c r="P114" s="3540">
        <v>39018.782517711319</v>
      </c>
      <c r="Q114" s="524"/>
      <c r="R114" s="504"/>
      <c r="S114" s="250"/>
      <c r="T114" s="498"/>
      <c r="U114" s="250"/>
      <c r="V114" s="504"/>
      <c r="W114" s="508"/>
      <c r="X114" s="3539"/>
      <c r="Y114" s="3539"/>
      <c r="Z114" s="515"/>
    </row>
    <row r="115" spans="1:26" s="192" customFormat="1">
      <c r="A115" s="195" t="s">
        <v>405</v>
      </c>
      <c r="B115" s="2152">
        <v>470126.2723908574</v>
      </c>
      <c r="C115" s="251">
        <v>73369.972138618396</v>
      </c>
      <c r="D115" s="519">
        <v>311842.70393542416</v>
      </c>
      <c r="E115" s="3540">
        <v>56293.298452499235</v>
      </c>
      <c r="F115" s="523">
        <v>76299.399854769334</v>
      </c>
      <c r="G115" s="3540">
        <v>81764.080528298204</v>
      </c>
      <c r="H115" s="524"/>
      <c r="I115" s="504"/>
      <c r="J115" s="250"/>
      <c r="K115" s="530">
        <v>311768.26179025893</v>
      </c>
      <c r="L115" s="251">
        <v>27323.0526100118</v>
      </c>
      <c r="M115" s="519">
        <v>214938.40905014699</v>
      </c>
      <c r="N115" s="3540">
        <v>38897.300148481365</v>
      </c>
      <c r="O115" s="523">
        <v>30540.263209772926</v>
      </c>
      <c r="P115" s="3540">
        <v>44134.589136551229</v>
      </c>
      <c r="Q115" s="524"/>
      <c r="R115" s="504"/>
      <c r="S115" s="250"/>
      <c r="T115" s="498"/>
      <c r="U115" s="250"/>
      <c r="V115" s="504"/>
      <c r="W115" s="508"/>
      <c r="X115" s="3539"/>
      <c r="Y115" s="3539"/>
      <c r="Z115" s="515"/>
    </row>
    <row r="116" spans="1:26" s="192" customFormat="1">
      <c r="A116" s="195" t="s">
        <v>406</v>
      </c>
      <c r="B116" s="2152">
        <v>472677.53575848107</v>
      </c>
      <c r="C116" s="251">
        <v>85039.91297706819</v>
      </c>
      <c r="D116" s="519">
        <v>315634.52745229215</v>
      </c>
      <c r="E116" s="3540">
        <v>56831.178738232258</v>
      </c>
      <c r="F116" s="523">
        <v>76655.837294804864</v>
      </c>
      <c r="G116" s="3540">
        <v>88579.39794964889</v>
      </c>
      <c r="H116" s="524"/>
      <c r="I116" s="504"/>
      <c r="J116" s="250"/>
      <c r="K116" s="530">
        <v>305464.51876760542</v>
      </c>
      <c r="L116" s="251">
        <v>31292.656784575069</v>
      </c>
      <c r="M116" s="519">
        <v>216380.17403711926</v>
      </c>
      <c r="N116" s="3540">
        <v>38536.659343792155</v>
      </c>
      <c r="O116" s="523">
        <v>30279.262817058283</v>
      </c>
      <c r="P116" s="3540">
        <v>46970.546055222789</v>
      </c>
      <c r="Q116" s="524"/>
      <c r="R116" s="504"/>
      <c r="S116" s="250"/>
      <c r="T116" s="498"/>
      <c r="U116" s="250"/>
      <c r="V116" s="504"/>
      <c r="W116" s="508"/>
      <c r="X116" s="3539"/>
      <c r="Y116" s="3539"/>
      <c r="Z116" s="515"/>
    </row>
    <row r="117" spans="1:26" s="192" customFormat="1">
      <c r="A117" s="195" t="s">
        <v>407</v>
      </c>
      <c r="B117" s="2152">
        <v>481427.46838756884</v>
      </c>
      <c r="C117" s="251">
        <v>84925.380737034895</v>
      </c>
      <c r="D117" s="519">
        <v>325270.95759698452</v>
      </c>
      <c r="E117" s="3540">
        <v>59554.010490118388</v>
      </c>
      <c r="F117" s="523">
        <v>75194.935551500661</v>
      </c>
      <c r="G117" s="3540">
        <v>91619.245691571836</v>
      </c>
      <c r="H117" s="524"/>
      <c r="I117" s="504"/>
      <c r="J117" s="250"/>
      <c r="K117" s="530">
        <v>314619.71020362142</v>
      </c>
      <c r="L117" s="251">
        <v>31143.762611736194</v>
      </c>
      <c r="M117" s="519">
        <v>224908.82996715273</v>
      </c>
      <c r="N117" s="3540">
        <v>42408.347789397943</v>
      </c>
      <c r="O117" s="523">
        <v>29073.191664899248</v>
      </c>
      <c r="P117" s="3540">
        <v>48499.366888957862</v>
      </c>
      <c r="Q117" s="524"/>
      <c r="R117" s="504"/>
      <c r="S117" s="250"/>
      <c r="T117" s="498"/>
      <c r="U117" s="250"/>
      <c r="V117" s="504"/>
      <c r="W117" s="508"/>
      <c r="X117" s="3539"/>
      <c r="Y117" s="3539"/>
      <c r="Z117" s="515"/>
    </row>
    <row r="118" spans="1:26" s="192" customFormat="1">
      <c r="A118" s="195" t="s">
        <v>408</v>
      </c>
      <c r="B118" s="2152">
        <v>462258.01508710353</v>
      </c>
      <c r="C118" s="251">
        <v>90828.41996445143</v>
      </c>
      <c r="D118" s="519">
        <v>315213.71065280418</v>
      </c>
      <c r="E118" s="3540">
        <v>50228.563760037141</v>
      </c>
      <c r="F118" s="523">
        <v>74107.704650907384</v>
      </c>
      <c r="G118" s="3540">
        <v>83344.997690317032</v>
      </c>
      <c r="H118" s="524"/>
      <c r="I118" s="504"/>
      <c r="J118" s="250"/>
      <c r="K118" s="530">
        <v>301856.9630571992</v>
      </c>
      <c r="L118" s="251">
        <v>34056.334786432897</v>
      </c>
      <c r="M118" s="519">
        <v>219212.01233819034</v>
      </c>
      <c r="N118" s="3540">
        <v>34696.823296722207</v>
      </c>
      <c r="O118" s="523">
        <v>28443.814754886283</v>
      </c>
      <c r="P118" s="3540">
        <v>44318.202713894083</v>
      </c>
      <c r="Q118" s="524"/>
      <c r="R118" s="504"/>
      <c r="S118" s="250"/>
      <c r="T118" s="498"/>
      <c r="U118" s="250"/>
      <c r="V118" s="504"/>
      <c r="W118" s="508"/>
      <c r="X118" s="3539"/>
      <c r="Y118" s="3539"/>
      <c r="Z118" s="515"/>
    </row>
    <row r="119" spans="1:26" s="192" customFormat="1">
      <c r="A119" s="195" t="s">
        <v>409</v>
      </c>
      <c r="B119" s="2152">
        <v>508020.7404838574</v>
      </c>
      <c r="C119" s="251">
        <v>94982.916375115426</v>
      </c>
      <c r="D119" s="519">
        <v>339758.55701056059</v>
      </c>
      <c r="E119" s="3540">
        <v>58704.318645052852</v>
      </c>
      <c r="F119" s="523">
        <v>86601.650696390367</v>
      </c>
      <c r="G119" s="3540">
        <v>97586.570113298993</v>
      </c>
      <c r="H119" s="524"/>
      <c r="I119" s="504"/>
      <c r="J119" s="250"/>
      <c r="K119" s="530">
        <v>333696.31198497408</v>
      </c>
      <c r="L119" s="251">
        <v>34700.89493934896</v>
      </c>
      <c r="M119" s="519">
        <v>233969.52572250343</v>
      </c>
      <c r="N119" s="3540">
        <v>40240.926598516584</v>
      </c>
      <c r="O119" s="523">
        <v>33053.749272125024</v>
      </c>
      <c r="P119" s="3540">
        <v>51436.674519669454</v>
      </c>
      <c r="Q119" s="524"/>
      <c r="R119" s="504"/>
      <c r="S119" s="250"/>
      <c r="T119" s="498"/>
      <c r="U119" s="250"/>
      <c r="V119" s="504"/>
      <c r="W119" s="508"/>
      <c r="X119" s="3539"/>
      <c r="Y119" s="3539"/>
      <c r="Z119" s="515"/>
    </row>
    <row r="120" spans="1:26" s="192" customFormat="1">
      <c r="A120" s="195" t="s">
        <v>410</v>
      </c>
      <c r="B120" s="2152">
        <v>512208.06382532924</v>
      </c>
      <c r="C120" s="251">
        <v>107251.21325224807</v>
      </c>
      <c r="D120" s="519">
        <v>347208.37716543576</v>
      </c>
      <c r="E120" s="3540">
        <v>57270.148309990094</v>
      </c>
      <c r="F120" s="523">
        <v>85738.366922869332</v>
      </c>
      <c r="G120" s="3540">
        <v>103923.45307353805</v>
      </c>
      <c r="H120" s="524"/>
      <c r="I120" s="504"/>
      <c r="J120" s="250"/>
      <c r="K120" s="530">
        <v>331907.44330409006</v>
      </c>
      <c r="L120" s="251">
        <v>38364.158100342953</v>
      </c>
      <c r="M120" s="519">
        <v>238794.98048596006</v>
      </c>
      <c r="N120" s="3540">
        <v>39935.484188195616</v>
      </c>
      <c r="O120" s="523">
        <v>32325.441550697877</v>
      </c>
      <c r="P120" s="3540">
        <v>54056.508192080364</v>
      </c>
      <c r="Q120" s="524"/>
      <c r="R120" s="504"/>
      <c r="S120" s="250"/>
      <c r="T120" s="498"/>
      <c r="U120" s="250"/>
      <c r="V120" s="504"/>
      <c r="W120" s="508"/>
      <c r="X120" s="3539"/>
      <c r="Y120" s="3539"/>
      <c r="Z120" s="515"/>
    </row>
    <row r="121" spans="1:26" s="192" customFormat="1">
      <c r="A121" s="195" t="s">
        <v>411</v>
      </c>
      <c r="B121" s="2152">
        <v>518379.74956964067</v>
      </c>
      <c r="C121" s="251">
        <v>105873.07854478131</v>
      </c>
      <c r="D121" s="519">
        <v>354095.48759613704</v>
      </c>
      <c r="E121" s="3540">
        <v>62857.448440746251</v>
      </c>
      <c r="F121" s="523">
        <v>82193.394371000657</v>
      </c>
      <c r="G121" s="3540">
        <v>107190.60944556628</v>
      </c>
      <c r="H121" s="524"/>
      <c r="I121" s="504"/>
      <c r="J121" s="250"/>
      <c r="K121" s="530">
        <v>336105.49278298591</v>
      </c>
      <c r="L121" s="251">
        <v>38327.226125356814</v>
      </c>
      <c r="M121" s="519">
        <v>242501.77071341072</v>
      </c>
      <c r="N121" s="3540">
        <v>45018.678906296256</v>
      </c>
      <c r="O121" s="523">
        <v>30557.958151651877</v>
      </c>
      <c r="P121" s="3540">
        <v>56095.219905218109</v>
      </c>
      <c r="Q121" s="524"/>
      <c r="R121" s="504"/>
      <c r="S121" s="250"/>
      <c r="T121" s="498"/>
      <c r="U121" s="250"/>
      <c r="V121" s="504"/>
      <c r="W121" s="508"/>
      <c r="X121" s="3539"/>
      <c r="Y121" s="3539"/>
      <c r="Z121" s="515"/>
    </row>
    <row r="122" spans="1:26" s="192" customFormat="1">
      <c r="A122" s="195" t="s">
        <v>412</v>
      </c>
      <c r="B122" s="2152">
        <v>489869.52345667523</v>
      </c>
      <c r="C122" s="251">
        <v>106187.75089833625</v>
      </c>
      <c r="D122" s="519">
        <v>332452.2688988889</v>
      </c>
      <c r="E122" s="3540">
        <v>50986.367502871261</v>
      </c>
      <c r="F122" s="523">
        <v>82095.093660981016</v>
      </c>
      <c r="G122" s="3540">
        <v>98062.39885772283</v>
      </c>
      <c r="H122" s="524"/>
      <c r="I122" s="504"/>
      <c r="J122" s="250"/>
      <c r="K122" s="530">
        <v>314658.29404032527</v>
      </c>
      <c r="L122" s="251">
        <v>38471.455206618484</v>
      </c>
      <c r="M122" s="519">
        <v>226607.68344791111</v>
      </c>
      <c r="N122" s="3540">
        <v>36242.546219742071</v>
      </c>
      <c r="O122" s="523">
        <v>29132.308857085765</v>
      </c>
      <c r="P122" s="3540">
        <v>51312.334378418054</v>
      </c>
      <c r="Q122" s="524"/>
      <c r="R122" s="504"/>
      <c r="S122" s="250"/>
      <c r="T122" s="498"/>
      <c r="U122" s="250"/>
      <c r="V122" s="504"/>
      <c r="W122" s="508"/>
      <c r="X122" s="3539"/>
      <c r="Y122" s="3539"/>
      <c r="Z122" s="515"/>
    </row>
    <row r="123" spans="1:26" s="192" customFormat="1">
      <c r="A123" s="195" t="s">
        <v>413</v>
      </c>
      <c r="B123" s="2152">
        <v>543066.38424307934</v>
      </c>
      <c r="C123" s="251">
        <v>108742.07224513729</v>
      </c>
      <c r="D123" s="519">
        <v>359941.34777200123</v>
      </c>
      <c r="E123" s="3540">
        <v>60472.788978559525</v>
      </c>
      <c r="F123" s="523">
        <v>100633.70761674643</v>
      </c>
      <c r="G123" s="3540">
        <v>107721.78264873201</v>
      </c>
      <c r="H123" s="524"/>
      <c r="I123" s="504"/>
      <c r="J123" s="250"/>
      <c r="K123" s="530">
        <v>347335.35001794738</v>
      </c>
      <c r="L123" s="251">
        <v>37849.442996325546</v>
      </c>
      <c r="M123" s="519">
        <v>243186.325187262</v>
      </c>
      <c r="N123" s="3540">
        <v>43113.305778154558</v>
      </c>
      <c r="O123" s="523">
        <v>35286.52921103363</v>
      </c>
      <c r="P123" s="3540">
        <v>55728.731693982445</v>
      </c>
      <c r="Q123" s="524"/>
      <c r="R123" s="504"/>
      <c r="S123" s="250"/>
      <c r="T123" s="498"/>
      <c r="U123" s="250"/>
      <c r="V123" s="504"/>
      <c r="W123" s="508"/>
      <c r="X123" s="3539"/>
      <c r="Y123" s="3539"/>
      <c r="Z123" s="515"/>
    </row>
    <row r="124" spans="1:26" s="192" customFormat="1">
      <c r="A124" s="195" t="s">
        <v>414</v>
      </c>
      <c r="B124" s="2152">
        <v>528837.04411536339</v>
      </c>
      <c r="C124" s="251">
        <v>115004.7978712443</v>
      </c>
      <c r="D124" s="519">
        <v>356828.53529840411</v>
      </c>
      <c r="E124" s="3540">
        <v>62098.409080150763</v>
      </c>
      <c r="F124" s="523">
        <v>96150.630505361522</v>
      </c>
      <c r="G124" s="3540">
        <v>108072.2530497836</v>
      </c>
      <c r="H124" s="524"/>
      <c r="I124" s="504"/>
      <c r="J124" s="250"/>
      <c r="K124" s="530">
        <v>339930.4384770586</v>
      </c>
      <c r="L124" s="251">
        <v>39315.836782091159</v>
      </c>
      <c r="M124" s="519">
        <v>242520.71006943594</v>
      </c>
      <c r="N124" s="3540">
        <v>44107.269365091575</v>
      </c>
      <c r="O124" s="523">
        <v>32661.645446398088</v>
      </c>
      <c r="P124" s="3540">
        <v>55883.612684212079</v>
      </c>
      <c r="Q124" s="524"/>
      <c r="R124" s="504"/>
      <c r="S124" s="250"/>
      <c r="T124" s="498"/>
      <c r="U124" s="250"/>
      <c r="V124" s="504"/>
      <c r="W124" s="508"/>
      <c r="X124" s="3539"/>
      <c r="Y124" s="3539"/>
      <c r="Z124" s="515"/>
    </row>
    <row r="125" spans="1:26" s="192" customFormat="1">
      <c r="A125" s="195" t="s">
        <v>415</v>
      </c>
      <c r="B125" s="2152">
        <v>516130.55898870452</v>
      </c>
      <c r="C125" s="251">
        <v>102567.16623698898</v>
      </c>
      <c r="D125" s="519">
        <v>354185.63053601526</v>
      </c>
      <c r="E125" s="3540">
        <v>63192.198918187794</v>
      </c>
      <c r="F125" s="523">
        <v>84674.522833674622</v>
      </c>
      <c r="G125" s="3540">
        <v>103844.53514831454</v>
      </c>
      <c r="H125" s="524"/>
      <c r="I125" s="504"/>
      <c r="J125" s="250"/>
      <c r="K125" s="530">
        <v>328747.47721836157</v>
      </c>
      <c r="L125" s="251">
        <v>34685.344634091634</v>
      </c>
      <c r="M125" s="519">
        <v>237837.049824538</v>
      </c>
      <c r="N125" s="3540">
        <v>45609.209910310106</v>
      </c>
      <c r="O125" s="523">
        <v>28140.185638554143</v>
      </c>
      <c r="P125" s="3540">
        <v>53392.362061730957</v>
      </c>
      <c r="Q125" s="524"/>
      <c r="R125" s="504"/>
      <c r="S125" s="250"/>
      <c r="T125" s="498"/>
      <c r="U125" s="250"/>
      <c r="V125" s="504"/>
      <c r="W125" s="508"/>
      <c r="X125" s="3539"/>
      <c r="Y125" s="3539"/>
      <c r="Z125" s="515"/>
    </row>
    <row r="126" spans="1:26" s="192" customFormat="1">
      <c r="A126" s="195" t="s">
        <v>416</v>
      </c>
      <c r="B126" s="2152">
        <v>477829.81501512165</v>
      </c>
      <c r="C126" s="251">
        <v>93998.185656896225</v>
      </c>
      <c r="D126" s="519">
        <v>329373.44098329241</v>
      </c>
      <c r="E126" s="3540">
        <v>52603.776668241313</v>
      </c>
      <c r="F126" s="523">
        <v>82497.46401655236</v>
      </c>
      <c r="G126" s="3540">
        <v>83126.807400649719</v>
      </c>
      <c r="H126" s="524"/>
      <c r="I126" s="504"/>
      <c r="J126" s="250"/>
      <c r="K126" s="530">
        <v>301284.91281428275</v>
      </c>
      <c r="L126" s="251">
        <v>32039.848952189473</v>
      </c>
      <c r="M126" s="519">
        <v>222054.85999290639</v>
      </c>
      <c r="N126" s="3540">
        <v>38457.80522004285</v>
      </c>
      <c r="O126" s="523">
        <v>25837.832405439618</v>
      </c>
      <c r="P126" s="3540">
        <v>42962.272371667845</v>
      </c>
      <c r="Q126" s="524"/>
      <c r="R126" s="504"/>
      <c r="S126" s="250"/>
      <c r="T126" s="498"/>
      <c r="U126" s="250"/>
      <c r="V126" s="504"/>
      <c r="W126" s="508"/>
      <c r="X126" s="3539"/>
      <c r="Y126" s="3539"/>
      <c r="Z126" s="515"/>
    </row>
    <row r="127" spans="1:26" s="192" customFormat="1">
      <c r="A127" s="195" t="s">
        <v>417</v>
      </c>
      <c r="B127" s="2152">
        <v>516391.04691406211</v>
      </c>
      <c r="C127" s="251">
        <v>89177.29089609762</v>
      </c>
      <c r="D127" s="519">
        <v>347133.56726731278</v>
      </c>
      <c r="E127" s="3540">
        <v>61449.573976456479</v>
      </c>
      <c r="F127" s="523">
        <v>97411.702458952161</v>
      </c>
      <c r="G127" s="3540">
        <v>91580.660949687284</v>
      </c>
      <c r="H127" s="524"/>
      <c r="I127" s="504"/>
      <c r="J127" s="250"/>
      <c r="K127" s="530">
        <v>321408.08262064442</v>
      </c>
      <c r="L127" s="251">
        <v>29332.540806889443</v>
      </c>
      <c r="M127" s="519">
        <v>230387.69182220512</v>
      </c>
      <c r="N127" s="3540">
        <v>43897.993282287396</v>
      </c>
      <c r="O127" s="523">
        <v>29829.248272454752</v>
      </c>
      <c r="P127" s="3540">
        <v>46591.177550945147</v>
      </c>
      <c r="Q127" s="524"/>
      <c r="R127" s="504"/>
      <c r="S127" s="250"/>
      <c r="T127" s="498"/>
      <c r="U127" s="250"/>
      <c r="V127" s="504"/>
      <c r="W127" s="508"/>
      <c r="X127" s="3539"/>
      <c r="Y127" s="3539"/>
      <c r="Z127" s="515"/>
    </row>
    <row r="128" spans="1:26" s="192" customFormat="1">
      <c r="A128" s="195" t="s">
        <v>418</v>
      </c>
      <c r="B128" s="2152">
        <v>502076.17554000195</v>
      </c>
      <c r="C128" s="251">
        <v>101442.22294817585</v>
      </c>
      <c r="D128" s="519">
        <v>345347.55133070721</v>
      </c>
      <c r="E128" s="3540">
        <v>63248.673839505675</v>
      </c>
      <c r="F128" s="523">
        <v>91080.90531608196</v>
      </c>
      <c r="G128" s="3540">
        <v>94077.163518938818</v>
      </c>
      <c r="H128" s="524"/>
      <c r="I128" s="504"/>
      <c r="J128" s="250"/>
      <c r="K128" s="530">
        <v>317243.07941856951</v>
      </c>
      <c r="L128" s="251">
        <v>33158.304657822475</v>
      </c>
      <c r="M128" s="519">
        <v>229853.73321110153</v>
      </c>
      <c r="N128" s="3540">
        <v>45446.558263717583</v>
      </c>
      <c r="O128" s="523">
        <v>28146.218005103787</v>
      </c>
      <c r="P128" s="3540">
        <v>47492.889545358237</v>
      </c>
      <c r="Q128" s="524"/>
      <c r="R128" s="504"/>
      <c r="S128" s="250"/>
      <c r="T128" s="498"/>
      <c r="U128" s="250"/>
      <c r="V128" s="504"/>
      <c r="W128" s="508"/>
      <c r="X128" s="3539"/>
      <c r="Y128" s="3539"/>
      <c r="Z128" s="515"/>
    </row>
    <row r="129" spans="1:26" s="192" customFormat="1">
      <c r="A129" s="195" t="s">
        <v>419</v>
      </c>
      <c r="B129" s="2152">
        <v>511259.94238205242</v>
      </c>
      <c r="C129" s="251">
        <v>99155.109559799239</v>
      </c>
      <c r="D129" s="519">
        <v>353510.77966766234</v>
      </c>
      <c r="E129" s="3540">
        <v>65654.936783258119</v>
      </c>
      <c r="F129" s="523">
        <v>87982.092053777116</v>
      </c>
      <c r="G129" s="3540">
        <v>96244.852872105737</v>
      </c>
      <c r="H129" s="524"/>
      <c r="I129" s="504"/>
      <c r="J129" s="250"/>
      <c r="K129" s="530">
        <v>322074.6161268882</v>
      </c>
      <c r="L129" s="251">
        <v>32836.802096627311</v>
      </c>
      <c r="M129" s="519">
        <v>233039.10907588067</v>
      </c>
      <c r="N129" s="3540">
        <v>48310.935497921979</v>
      </c>
      <c r="O129" s="523">
        <v>28237.105661118436</v>
      </c>
      <c r="P129" s="3540">
        <v>48340.267100950085</v>
      </c>
      <c r="Q129" s="524"/>
      <c r="R129" s="504"/>
      <c r="S129" s="250"/>
      <c r="T129" s="498"/>
      <c r="U129" s="250"/>
      <c r="V129" s="504"/>
      <c r="W129" s="508"/>
      <c r="X129" s="3539"/>
      <c r="Y129" s="3539"/>
      <c r="Z129" s="515"/>
    </row>
    <row r="130" spans="1:26" s="192" customFormat="1">
      <c r="A130" s="195" t="s">
        <v>420</v>
      </c>
      <c r="B130" s="2152">
        <v>476984.73376513412</v>
      </c>
      <c r="C130" s="251">
        <v>95027.400576406755</v>
      </c>
      <c r="D130" s="519">
        <v>330886.68037473218</v>
      </c>
      <c r="E130" s="3540">
        <v>53145.290112711824</v>
      </c>
      <c r="F130" s="523">
        <v>85401.251066875615</v>
      </c>
      <c r="G130" s="3540">
        <v>78924.75953823376</v>
      </c>
      <c r="H130" s="524"/>
      <c r="I130" s="504"/>
      <c r="J130" s="250"/>
      <c r="K130" s="530">
        <v>300948.74719266227</v>
      </c>
      <c r="L130" s="251">
        <v>32742.924266095946</v>
      </c>
      <c r="M130" s="519">
        <v>221604.57703739221</v>
      </c>
      <c r="N130" s="3540">
        <v>38985.824663143889</v>
      </c>
      <c r="O130" s="523">
        <v>28667.063001785769</v>
      </c>
      <c r="P130" s="3540">
        <v>39815.702637402297</v>
      </c>
      <c r="Q130" s="524"/>
      <c r="R130" s="504"/>
      <c r="S130" s="250"/>
      <c r="T130" s="498"/>
      <c r="U130" s="250"/>
      <c r="V130" s="504"/>
      <c r="W130" s="508"/>
      <c r="X130" s="3539"/>
      <c r="Y130" s="3539"/>
      <c r="Z130" s="515"/>
    </row>
    <row r="131" spans="1:26" s="192" customFormat="1">
      <c r="A131" s="195" t="s">
        <v>421</v>
      </c>
      <c r="B131" s="2152">
        <v>514340.80485263764</v>
      </c>
      <c r="C131" s="251">
        <v>92473.804320139083</v>
      </c>
      <c r="D131" s="519">
        <v>346912.17128932074</v>
      </c>
      <c r="E131" s="3540">
        <v>61604.379255324086</v>
      </c>
      <c r="F131" s="523">
        <v>100293.52808480221</v>
      </c>
      <c r="G131" s="3540">
        <v>84584.615673549895</v>
      </c>
      <c r="H131" s="524"/>
      <c r="I131" s="504"/>
      <c r="J131" s="250"/>
      <c r="K131" s="530">
        <v>324708.79439257958</v>
      </c>
      <c r="L131" s="251">
        <v>31078.365920459459</v>
      </c>
      <c r="M131" s="519">
        <v>228469.9212379455</v>
      </c>
      <c r="N131" s="3540">
        <v>44708.954930954649</v>
      </c>
      <c r="O131" s="523">
        <v>33831.169715147807</v>
      </c>
      <c r="P131" s="3540">
        <v>41632.365435444386</v>
      </c>
      <c r="Q131" s="524"/>
      <c r="R131" s="504"/>
      <c r="S131" s="250"/>
      <c r="T131" s="498"/>
      <c r="U131" s="250"/>
      <c r="V131" s="504"/>
      <c r="W131" s="508"/>
      <c r="X131" s="3539"/>
      <c r="Y131" s="3539"/>
      <c r="Z131" s="515"/>
    </row>
    <row r="132" spans="1:26" s="192" customFormat="1">
      <c r="A132" s="195" t="s">
        <v>422</v>
      </c>
      <c r="B132" s="2152">
        <v>499002.6227618194</v>
      </c>
      <c r="C132" s="251">
        <v>99168.373151804975</v>
      </c>
      <c r="D132" s="519">
        <v>344485.9950184832</v>
      </c>
      <c r="E132" s="3540">
        <v>64269.902397678103</v>
      </c>
      <c r="F132" s="523">
        <v>92420.423191712034</v>
      </c>
      <c r="G132" s="3540">
        <v>87612.032614117634</v>
      </c>
      <c r="H132" s="524"/>
      <c r="I132" s="504"/>
      <c r="J132" s="250"/>
      <c r="K132" s="530">
        <v>319923.37801808486</v>
      </c>
      <c r="L132" s="251">
        <v>32694.303873374567</v>
      </c>
      <c r="M132" s="519">
        <v>228759.35652739095</v>
      </c>
      <c r="N132" s="3540">
        <v>46102.607520695143</v>
      </c>
      <c r="O132" s="523">
        <v>31638.849375161521</v>
      </c>
      <c r="P132" s="3540">
        <v>42451.140342947896</v>
      </c>
      <c r="Q132" s="524"/>
      <c r="R132" s="504"/>
      <c r="S132" s="250"/>
      <c r="T132" s="498"/>
      <c r="U132" s="250"/>
      <c r="V132" s="504"/>
      <c r="W132" s="508"/>
      <c r="X132" s="3539"/>
      <c r="Y132" s="3539"/>
      <c r="Z132" s="515"/>
    </row>
    <row r="133" spans="1:26" s="192" customFormat="1">
      <c r="A133" s="195" t="s">
        <v>423</v>
      </c>
      <c r="B133" s="2152">
        <v>501389.215538927</v>
      </c>
      <c r="C133" s="251">
        <v>96498.525508226187</v>
      </c>
      <c r="D133" s="519">
        <v>344007.85829224263</v>
      </c>
      <c r="E133" s="3540">
        <v>65339.387537554583</v>
      </c>
      <c r="F133" s="523">
        <v>90557.79429529293</v>
      </c>
      <c r="G133" s="3540">
        <v>89070.521310655953</v>
      </c>
      <c r="H133" s="524"/>
      <c r="I133" s="504"/>
      <c r="J133" s="250"/>
      <c r="K133" s="530">
        <v>319459.75468103803</v>
      </c>
      <c r="L133" s="251">
        <v>32047.122374337498</v>
      </c>
      <c r="M133" s="519">
        <v>228100.34760295495</v>
      </c>
      <c r="N133" s="3540">
        <v>47523.208809026604</v>
      </c>
      <c r="O133" s="523">
        <v>31431.415080999977</v>
      </c>
      <c r="P133" s="3540">
        <v>43143.310136985187</v>
      </c>
      <c r="Q133" s="524"/>
      <c r="R133" s="504"/>
      <c r="S133" s="250"/>
      <c r="T133" s="498"/>
      <c r="U133" s="250"/>
      <c r="V133" s="504"/>
      <c r="W133" s="508"/>
      <c r="X133" s="3539"/>
      <c r="Y133" s="3539"/>
      <c r="Z133" s="515"/>
    </row>
    <row r="134" spans="1:26" s="192" customFormat="1">
      <c r="A134" s="195" t="s">
        <v>424</v>
      </c>
      <c r="B134" s="2152">
        <v>467327.98020122526</v>
      </c>
      <c r="C134" s="251">
        <v>95760.038297133608</v>
      </c>
      <c r="D134" s="519">
        <v>324821.90882167732</v>
      </c>
      <c r="E134" s="3540">
        <v>53406.638281550171</v>
      </c>
      <c r="F134" s="523">
        <v>85998.518531777561</v>
      </c>
      <c r="G134" s="3540">
        <v>71437.716802517461</v>
      </c>
      <c r="H134" s="524"/>
      <c r="I134" s="504"/>
      <c r="J134" s="250"/>
      <c r="K134" s="530">
        <v>293032.65526660072</v>
      </c>
      <c r="L134" s="251">
        <v>32432.670866213062</v>
      </c>
      <c r="M134" s="519">
        <v>217205.06397109193</v>
      </c>
      <c r="N134" s="3540">
        <v>39229.527470439847</v>
      </c>
      <c r="O134" s="523">
        <v>29535.184775063633</v>
      </c>
      <c r="P134" s="3540">
        <v>35224.719127261051</v>
      </c>
      <c r="Q134" s="524"/>
      <c r="R134" s="504"/>
      <c r="S134" s="250"/>
      <c r="T134" s="498"/>
      <c r="U134" s="250"/>
      <c r="V134" s="504"/>
      <c r="W134" s="508"/>
      <c r="X134" s="3539"/>
      <c r="Y134" s="3539"/>
      <c r="Z134" s="515"/>
    </row>
    <row r="135" spans="1:26" s="192" customFormat="1">
      <c r="A135" s="195" t="s">
        <v>425</v>
      </c>
      <c r="B135" s="2152">
        <v>513476.44066776638</v>
      </c>
      <c r="C135" s="251">
        <v>88617.934333661091</v>
      </c>
      <c r="D135" s="519">
        <v>339735.27351119113</v>
      </c>
      <c r="E135" s="3540">
        <v>61863.441194788822</v>
      </c>
      <c r="F135" s="523">
        <v>104894.97068656218</v>
      </c>
      <c r="G135" s="3540">
        <v>79368.34102127784</v>
      </c>
      <c r="H135" s="524"/>
      <c r="I135" s="504"/>
      <c r="J135" s="250"/>
      <c r="K135" s="530">
        <v>320513.64040712977</v>
      </c>
      <c r="L135" s="251">
        <v>29263.061802370466</v>
      </c>
      <c r="M135" s="519">
        <v>223721.96303890817</v>
      </c>
      <c r="N135" s="3540">
        <v>45412.96790283305</v>
      </c>
      <c r="O135" s="523">
        <v>34433.505470026532</v>
      </c>
      <c r="P135" s="3540">
        <v>37761.943689051419</v>
      </c>
      <c r="Q135" s="524"/>
      <c r="R135" s="504"/>
      <c r="S135" s="250"/>
      <c r="T135" s="498"/>
      <c r="U135" s="250"/>
      <c r="V135" s="504"/>
      <c r="W135" s="508"/>
      <c r="X135" s="3539"/>
      <c r="Y135" s="3539"/>
      <c r="Z135" s="515"/>
    </row>
    <row r="136" spans="1:26" s="192" customFormat="1">
      <c r="A136" s="195" t="s">
        <v>426</v>
      </c>
      <c r="B136" s="2152">
        <v>474407.55452212208</v>
      </c>
      <c r="C136" s="251">
        <v>81410.553248736906</v>
      </c>
      <c r="D136" s="519">
        <v>321608.84873993252</v>
      </c>
      <c r="E136" s="3540">
        <v>62914.359975502048</v>
      </c>
      <c r="F136" s="523">
        <v>97661.085422442484</v>
      </c>
      <c r="G136" s="3540">
        <v>72537.134129722574</v>
      </c>
      <c r="H136" s="524"/>
      <c r="I136" s="504"/>
      <c r="J136" s="250"/>
      <c r="K136" s="530">
        <v>301975.77693355677</v>
      </c>
      <c r="L136" s="251">
        <v>25711.4615579702</v>
      </c>
      <c r="M136" s="519">
        <v>212302.36339876449</v>
      </c>
      <c r="N136" s="3540">
        <v>44042.948631393323</v>
      </c>
      <c r="O136" s="523">
        <v>32362.232091958314</v>
      </c>
      <c r="P136" s="3540">
        <v>34392.354873793949</v>
      </c>
      <c r="Q136" s="524"/>
      <c r="R136" s="504"/>
      <c r="S136" s="250"/>
      <c r="T136" s="498"/>
      <c r="U136" s="250"/>
      <c r="V136" s="504"/>
      <c r="W136" s="508"/>
      <c r="X136" s="3539"/>
      <c r="Y136" s="3539"/>
      <c r="Z136" s="515"/>
    </row>
    <row r="137" spans="1:26" s="192" customFormat="1">
      <c r="A137" s="195" t="s">
        <v>427</v>
      </c>
      <c r="B137" s="2152">
        <v>448693.77514926653</v>
      </c>
      <c r="C137" s="251">
        <v>63940.723480362074</v>
      </c>
      <c r="D137" s="519">
        <v>301683.02957772167</v>
      </c>
      <c r="E137" s="3540">
        <v>61117.748772341329</v>
      </c>
      <c r="F137" s="523">
        <v>90223.714538895962</v>
      </c>
      <c r="G137" s="3540">
        <v>63571.108414489987</v>
      </c>
      <c r="H137" s="524"/>
      <c r="I137" s="504"/>
      <c r="J137" s="250"/>
      <c r="K137" s="530">
        <v>280494.09009854216</v>
      </c>
      <c r="L137" s="251">
        <v>19905.002800562201</v>
      </c>
      <c r="M137" s="519">
        <v>199025.18838737693</v>
      </c>
      <c r="N137" s="3540">
        <v>43485.344711597863</v>
      </c>
      <c r="O137" s="523">
        <v>28790.085689514421</v>
      </c>
      <c r="P137" s="3540">
        <v>30911.03836524803</v>
      </c>
      <c r="Q137" s="524"/>
      <c r="R137" s="504"/>
      <c r="S137" s="250"/>
      <c r="T137" s="498"/>
      <c r="U137" s="250"/>
      <c r="V137" s="504"/>
      <c r="W137" s="508"/>
      <c r="X137" s="3539"/>
      <c r="Y137" s="3539"/>
      <c r="Z137" s="515"/>
    </row>
    <row r="138" spans="1:26" s="192" customFormat="1">
      <c r="A138" s="195" t="s">
        <v>51</v>
      </c>
      <c r="B138" s="2152">
        <v>390971.78161748796</v>
      </c>
      <c r="C138" s="251">
        <v>40790.453254311644</v>
      </c>
      <c r="D138" s="519">
        <v>263741.96356834128</v>
      </c>
      <c r="E138" s="3540">
        <v>49388.848535118639</v>
      </c>
      <c r="F138" s="523">
        <v>90842.596949323575</v>
      </c>
      <c r="G138" s="3540">
        <v>39032.439125758618</v>
      </c>
      <c r="H138" s="524"/>
      <c r="I138" s="504"/>
      <c r="J138" s="250"/>
      <c r="K138" s="530">
        <v>263795.25608557678</v>
      </c>
      <c r="L138" s="251">
        <v>26607.697507921774</v>
      </c>
      <c r="M138" s="519">
        <v>188121.78648774297</v>
      </c>
      <c r="N138" s="3540">
        <v>36131.642785762793</v>
      </c>
      <c r="O138" s="523">
        <v>50055.24332563093</v>
      </c>
      <c r="P138" s="3540">
        <v>22806.63070879368</v>
      </c>
      <c r="Q138" s="524"/>
      <c r="R138" s="504"/>
      <c r="S138" s="250"/>
      <c r="T138" s="498"/>
      <c r="U138" s="250"/>
      <c r="V138" s="504"/>
      <c r="W138" s="508"/>
      <c r="X138" s="3539"/>
      <c r="Y138" s="3539"/>
      <c r="Z138" s="515"/>
    </row>
    <row r="139" spans="1:26" s="192" customFormat="1">
      <c r="A139" s="195" t="s">
        <v>428</v>
      </c>
      <c r="B139" s="2152">
        <v>444096.35812527052</v>
      </c>
      <c r="C139" s="251">
        <v>38988.820128507781</v>
      </c>
      <c r="D139" s="519">
        <v>281444.93805727817</v>
      </c>
      <c r="E139" s="3540">
        <v>59260.362065791574</v>
      </c>
      <c r="F139" s="523">
        <v>103262.98736311993</v>
      </c>
      <c r="G139" s="3540">
        <v>45204.04789420365</v>
      </c>
      <c r="H139" s="524"/>
      <c r="I139" s="504"/>
      <c r="J139" s="250"/>
      <c r="K139" s="530">
        <v>377246.2363398766</v>
      </c>
      <c r="L139" s="251">
        <v>40333.555401725462</v>
      </c>
      <c r="M139" s="519">
        <v>232798.68376540919</v>
      </c>
      <c r="N139" s="3540">
        <v>44191.633813912638</v>
      </c>
      <c r="O139" s="523">
        <v>96635.416148953009</v>
      </c>
      <c r="P139" s="3540">
        <v>33383.301229522403</v>
      </c>
      <c r="Q139" s="524"/>
      <c r="R139" s="504"/>
      <c r="S139" s="250"/>
      <c r="T139" s="498"/>
      <c r="U139" s="250"/>
      <c r="V139" s="504"/>
      <c r="W139" s="508"/>
      <c r="X139" s="3539"/>
      <c r="Y139" s="3539"/>
      <c r="Z139" s="515"/>
    </row>
    <row r="140" spans="1:26" s="192" customFormat="1">
      <c r="A140" s="195" t="s">
        <v>429</v>
      </c>
      <c r="B140" s="2152">
        <v>428054.00766313821</v>
      </c>
      <c r="C140" s="251">
        <v>41086.539467135975</v>
      </c>
      <c r="D140" s="519">
        <v>277215.16163047351</v>
      </c>
      <c r="E140" s="3540">
        <v>58637.794025136696</v>
      </c>
      <c r="F140" s="523">
        <v>100976.76776463469</v>
      </c>
      <c r="G140" s="3540">
        <v>45895.743138856124</v>
      </c>
      <c r="H140" s="524"/>
      <c r="I140" s="504"/>
      <c r="J140" s="250"/>
      <c r="K140" s="530">
        <v>371680.07404421788</v>
      </c>
      <c r="L140" s="251">
        <v>46652.085963959529</v>
      </c>
      <c r="M140" s="519">
        <v>232778.57177694075</v>
      </c>
      <c r="N140" s="3540">
        <v>45547.088835025686</v>
      </c>
      <c r="O140" s="523">
        <v>107077.49153025853</v>
      </c>
      <c r="P140" s="3540">
        <v>36593.615539623919</v>
      </c>
      <c r="Q140" s="524"/>
      <c r="R140" s="504"/>
      <c r="S140" s="250"/>
      <c r="T140" s="498"/>
      <c r="U140" s="250"/>
      <c r="V140" s="504"/>
      <c r="W140" s="508"/>
      <c r="X140" s="3539"/>
      <c r="Y140" s="3539"/>
      <c r="Z140" s="515"/>
    </row>
    <row r="141" spans="1:26" s="192" customFormat="1">
      <c r="A141" s="195" t="s">
        <v>430</v>
      </c>
      <c r="B141" s="2152">
        <v>433362.88015682786</v>
      </c>
      <c r="C141" s="251">
        <v>43802.444860630007</v>
      </c>
      <c r="D141" s="519">
        <v>280586.64285386197</v>
      </c>
      <c r="E141" s="3540">
        <v>59863.085222103633</v>
      </c>
      <c r="F141" s="523">
        <v>95411.379903247493</v>
      </c>
      <c r="G141" s="3540">
        <v>52208.756907014424</v>
      </c>
      <c r="H141" s="524"/>
      <c r="I141" s="504"/>
      <c r="J141" s="250"/>
      <c r="K141" s="530">
        <v>378627.45979797421</v>
      </c>
      <c r="L141" s="251">
        <v>48877.588187821108</v>
      </c>
      <c r="M141" s="519">
        <v>236839.97418097852</v>
      </c>
      <c r="N141" s="3540">
        <v>47239.581914780545</v>
      </c>
      <c r="O141" s="523">
        <v>103019.47294989554</v>
      </c>
      <c r="P141" s="3540">
        <v>42921.253462813045</v>
      </c>
      <c r="Q141" s="524"/>
      <c r="R141" s="504"/>
      <c r="S141" s="250"/>
      <c r="T141" s="498"/>
      <c r="U141" s="250"/>
      <c r="V141" s="504"/>
      <c r="W141" s="508"/>
      <c r="X141" s="3539"/>
      <c r="Y141" s="3539"/>
      <c r="Z141" s="515"/>
    </row>
    <row r="142" spans="1:26" s="192" customFormat="1">
      <c r="A142" s="195" t="s">
        <v>431</v>
      </c>
      <c r="B142" s="2152">
        <v>412150.09254573</v>
      </c>
      <c r="C142" s="251">
        <v>46900.951806164645</v>
      </c>
      <c r="D142" s="519">
        <v>272055.09667803335</v>
      </c>
      <c r="E142" s="3540">
        <v>49283.293538047452</v>
      </c>
      <c r="F142" s="523">
        <v>95433.992184847346</v>
      </c>
      <c r="G142" s="3540">
        <v>47520.388659071548</v>
      </c>
      <c r="H142" s="524"/>
      <c r="I142" s="504"/>
      <c r="J142" s="250"/>
      <c r="K142" s="530">
        <v>364286.1557127501</v>
      </c>
      <c r="L142" s="251">
        <v>46836.897189950614</v>
      </c>
      <c r="M142" s="519">
        <v>235348.73365322826</v>
      </c>
      <c r="N142" s="3540">
        <v>41227.448298621181</v>
      </c>
      <c r="O142" s="523">
        <v>93328.599823345881</v>
      </c>
      <c r="P142" s="3540">
        <v>40174.743849634404</v>
      </c>
      <c r="Q142" s="524"/>
      <c r="R142" s="504"/>
      <c r="S142" s="250"/>
      <c r="T142" s="498"/>
      <c r="U142" s="250"/>
      <c r="V142" s="504"/>
      <c r="W142" s="508"/>
      <c r="X142" s="3539"/>
      <c r="Y142" s="3539"/>
      <c r="Z142" s="515"/>
    </row>
    <row r="143" spans="1:26" s="192" customFormat="1">
      <c r="A143" s="195" t="s">
        <v>432</v>
      </c>
      <c r="B143" s="2152">
        <v>478511.05001799093</v>
      </c>
      <c r="C143" s="251">
        <v>53111.425812615686</v>
      </c>
      <c r="D143" s="519">
        <v>301143.44725036446</v>
      </c>
      <c r="E143" s="3540">
        <v>61445.419000378148</v>
      </c>
      <c r="F143" s="523">
        <v>111372.52606068354</v>
      </c>
      <c r="G143" s="3540">
        <v>60173.289054514564</v>
      </c>
      <c r="H143" s="524"/>
      <c r="I143" s="504"/>
      <c r="J143" s="250"/>
      <c r="K143" s="530">
        <v>444136.98029849515</v>
      </c>
      <c r="L143" s="251">
        <v>49322.695014334698</v>
      </c>
      <c r="M143" s="519">
        <v>285395.22559033643</v>
      </c>
      <c r="N143" s="3540">
        <v>49713.601906918964</v>
      </c>
      <c r="O143" s="523">
        <v>104034.29570196834</v>
      </c>
      <c r="P143" s="3540">
        <v>48678.627762416676</v>
      </c>
      <c r="Q143" s="524"/>
      <c r="R143" s="504"/>
      <c r="S143" s="250"/>
      <c r="T143" s="498"/>
      <c r="U143" s="250"/>
      <c r="V143" s="504"/>
      <c r="W143" s="508"/>
      <c r="X143" s="3539"/>
      <c r="Y143" s="3539"/>
      <c r="Z143" s="515"/>
    </row>
    <row r="144" spans="1:26" s="192" customFormat="1">
      <c r="A144" s="195" t="s">
        <v>433</v>
      </c>
      <c r="B144" s="2152">
        <v>471537.26727521425</v>
      </c>
      <c r="C144" s="251">
        <v>60058.089602319793</v>
      </c>
      <c r="D144" s="519">
        <v>305914.77213519852</v>
      </c>
      <c r="E144" s="3540">
        <v>59723.434255220731</v>
      </c>
      <c r="F144" s="523">
        <v>106405.24952223647</v>
      </c>
      <c r="G144" s="3540">
        <v>66500.953158983655</v>
      </c>
      <c r="H144" s="524"/>
      <c r="I144" s="504"/>
      <c r="J144" s="250"/>
      <c r="K144" s="530">
        <v>420510.59358218138</v>
      </c>
      <c r="L144" s="251">
        <v>55980.438534274355</v>
      </c>
      <c r="M144" s="519">
        <v>279787.29130874237</v>
      </c>
      <c r="N144" s="3540">
        <v>49282.39265061036</v>
      </c>
      <c r="O144" s="523">
        <v>96225.543092959619</v>
      </c>
      <c r="P144" s="3540">
        <v>53191.164360399438</v>
      </c>
      <c r="Q144" s="524"/>
      <c r="R144" s="504"/>
      <c r="S144" s="250"/>
      <c r="T144" s="498"/>
      <c r="U144" s="250"/>
      <c r="V144" s="504"/>
      <c r="W144" s="508"/>
      <c r="X144" s="3539"/>
      <c r="Y144" s="3539"/>
      <c r="Z144" s="515"/>
    </row>
    <row r="145" spans="1:26" s="192" customFormat="1" ht="11.25" customHeight="1">
      <c r="A145" s="195" t="s">
        <v>434</v>
      </c>
      <c r="B145" s="2152">
        <v>484205.69149454072</v>
      </c>
      <c r="C145" s="251">
        <v>66456.033909013131</v>
      </c>
      <c r="D145" s="519">
        <v>313978.20090282941</v>
      </c>
      <c r="E145" s="3540">
        <v>60016.202181554821</v>
      </c>
      <c r="F145" s="523">
        <v>100693.50166659399</v>
      </c>
      <c r="G145" s="3540">
        <v>77738.948038147719</v>
      </c>
      <c r="H145" s="250"/>
      <c r="I145" s="504"/>
      <c r="J145" s="250"/>
      <c r="K145" s="530">
        <v>444304.74769692507</v>
      </c>
      <c r="L145" s="251">
        <v>62884.113701668139</v>
      </c>
      <c r="M145" s="519">
        <v>292915.10052331147</v>
      </c>
      <c r="N145" s="3540">
        <v>54394.840007001687</v>
      </c>
      <c r="O145" s="523">
        <v>98422.399693610496</v>
      </c>
      <c r="P145" s="3540">
        <v>64501.558311019588</v>
      </c>
      <c r="Q145" s="524"/>
      <c r="R145" s="504"/>
      <c r="S145" s="250"/>
      <c r="T145" s="498"/>
      <c r="U145" s="250"/>
      <c r="V145" s="504"/>
      <c r="W145" s="508"/>
      <c r="X145" s="3539"/>
      <c r="Y145" s="3539"/>
      <c r="Z145" s="516"/>
    </row>
    <row r="146" spans="1:26" s="192" customFormat="1">
      <c r="A146" s="195" t="s">
        <v>38</v>
      </c>
      <c r="B146" s="2153">
        <v>460369.44223294873</v>
      </c>
      <c r="C146" s="252">
        <v>73073.434811126848</v>
      </c>
      <c r="D146" s="520">
        <v>305237.17340565822</v>
      </c>
      <c r="E146" s="3541">
        <v>49687.342190580537</v>
      </c>
      <c r="F146" s="509">
        <v>102774.20298138498</v>
      </c>
      <c r="G146" s="3541">
        <v>71794.433853449518</v>
      </c>
      <c r="H146" s="525">
        <v>3949.8212589709524</v>
      </c>
      <c r="I146" s="504"/>
      <c r="J146" s="528">
        <f t="shared" ref="J146:J209" si="0">I146+H146</f>
        <v>3949.8212589709524</v>
      </c>
      <c r="K146" s="499">
        <v>439195.86500017258</v>
      </c>
      <c r="L146" s="252">
        <v>69300.98673287862</v>
      </c>
      <c r="M146" s="520">
        <v>291921.51061212993</v>
      </c>
      <c r="N146" s="3541">
        <v>47170.595604831338</v>
      </c>
      <c r="O146" s="509">
        <v>100001.75529035171</v>
      </c>
      <c r="P146" s="3541">
        <v>65561.353206954533</v>
      </c>
      <c r="Q146" s="509">
        <v>3841.4185253754799</v>
      </c>
      <c r="R146" s="504"/>
      <c r="S146" s="528">
        <f>R146+Q146</f>
        <v>3841.4185253754799</v>
      </c>
      <c r="T146" s="499">
        <v>476076.35591188457</v>
      </c>
      <c r="U146" s="252">
        <v>76725.675777161799</v>
      </c>
      <c r="V146" s="505">
        <v>302779.166413375</v>
      </c>
      <c r="W146" s="509">
        <v>52669.465558600801</v>
      </c>
      <c r="X146" s="3541">
        <v>74499.022071720305</v>
      </c>
      <c r="Y146" s="3541">
        <v>110907.826034003</v>
      </c>
      <c r="Z146" s="517">
        <f>SUM(T146:U146)-SUM(V146:Y146)</f>
        <v>11946.551611347357</v>
      </c>
    </row>
    <row r="147" spans="1:26" s="192" customFormat="1">
      <c r="A147" s="195" t="s">
        <v>435</v>
      </c>
      <c r="B147" s="2154">
        <v>514395.68177236168</v>
      </c>
      <c r="C147" s="253">
        <v>80006.307217458598</v>
      </c>
      <c r="D147" s="194">
        <v>338800.00167642522</v>
      </c>
      <c r="E147" s="3542">
        <v>52072.277957257422</v>
      </c>
      <c r="F147" s="510">
        <v>119462.27741173614</v>
      </c>
      <c r="G147" s="3542">
        <v>81995.480315906025</v>
      </c>
      <c r="H147" s="510">
        <v>2071.9331349479112</v>
      </c>
      <c r="I147" s="504"/>
      <c r="J147" s="2355">
        <f t="shared" si="0"/>
        <v>2071.9331349479112</v>
      </c>
      <c r="K147" s="500">
        <v>509498.6632468832</v>
      </c>
      <c r="L147" s="253">
        <v>78118.806134275597</v>
      </c>
      <c r="M147" s="194">
        <v>334394.65892603161</v>
      </c>
      <c r="N147" s="3542">
        <v>50275.44449939442</v>
      </c>
      <c r="O147" s="510">
        <v>120749.89710227489</v>
      </c>
      <c r="P147" s="3542">
        <v>80070.028064612954</v>
      </c>
      <c r="Q147" s="510">
        <v>2127.3566905942962</v>
      </c>
      <c r="R147" s="504"/>
      <c r="S147" s="2355">
        <f t="shared" ref="S147:S210" si="1">R147+Q147</f>
        <v>2127.3566905942962</v>
      </c>
      <c r="T147" s="500">
        <v>470012.80022148089</v>
      </c>
      <c r="U147" s="253">
        <v>80629.075573640104</v>
      </c>
      <c r="V147" s="506">
        <v>304363.74613927503</v>
      </c>
      <c r="W147" s="510">
        <v>52818.416902649602</v>
      </c>
      <c r="X147" s="3542">
        <v>76869.447200217997</v>
      </c>
      <c r="Y147" s="3542">
        <v>114545.409827194</v>
      </c>
      <c r="Z147" s="2402">
        <f>SUM(T147:U147)-SUM(V147:Y147)</f>
        <v>2044.8557257843204</v>
      </c>
    </row>
    <row r="148" spans="1:26" s="192" customFormat="1">
      <c r="A148" s="195" t="s">
        <v>436</v>
      </c>
      <c r="B148" s="2154">
        <v>481151.97994350811</v>
      </c>
      <c r="C148" s="253">
        <v>85416.072521139111</v>
      </c>
      <c r="D148" s="194">
        <v>310440.57413146732</v>
      </c>
      <c r="E148" s="3542">
        <v>53720.816256870574</v>
      </c>
      <c r="F148" s="510">
        <v>119619.17122810414</v>
      </c>
      <c r="G148" s="3542">
        <v>79254.313812163426</v>
      </c>
      <c r="H148" s="510">
        <v>3533.1507230072061</v>
      </c>
      <c r="I148" s="504"/>
      <c r="J148" s="2355">
        <f t="shared" si="0"/>
        <v>3533.1507230072061</v>
      </c>
      <c r="K148" s="500">
        <v>488462.38259118347</v>
      </c>
      <c r="L148" s="253">
        <v>87675.425341549242</v>
      </c>
      <c r="M148" s="194">
        <v>314867.08027685073</v>
      </c>
      <c r="N148" s="3542">
        <v>54912.188305730371</v>
      </c>
      <c r="O148" s="510">
        <v>120599.67062461989</v>
      </c>
      <c r="P148" s="3542">
        <v>82294.818300392202</v>
      </c>
      <c r="Q148" s="510">
        <v>3464.2001501778004</v>
      </c>
      <c r="R148" s="504"/>
      <c r="S148" s="2355">
        <f t="shared" si="1"/>
        <v>3464.2001501778004</v>
      </c>
      <c r="T148" s="500">
        <v>493891.12238798192</v>
      </c>
      <c r="U148" s="253">
        <v>82343.691280599</v>
      </c>
      <c r="V148" s="506">
        <v>316912.810669347</v>
      </c>
      <c r="W148" s="510">
        <v>54483.0188732721</v>
      </c>
      <c r="X148" s="3542">
        <v>77809.319530315101</v>
      </c>
      <c r="Y148" s="3542">
        <v>117308.345154337</v>
      </c>
      <c r="Z148" s="2402">
        <f t="shared" ref="Z148:Z193" si="2">SUM(T148:U148)-SUM(V148:Y148)</f>
        <v>9721.3194413096644</v>
      </c>
    </row>
    <row r="149" spans="1:26" s="192" customFormat="1">
      <c r="A149" s="195" t="s">
        <v>437</v>
      </c>
      <c r="B149" s="2154">
        <v>484543.6768765623</v>
      </c>
      <c r="C149" s="253">
        <v>88375.321572668574</v>
      </c>
      <c r="D149" s="194">
        <v>293849.79395204922</v>
      </c>
      <c r="E149" s="3542">
        <v>60194.718175438473</v>
      </c>
      <c r="F149" s="510">
        <v>120898.05016710557</v>
      </c>
      <c r="G149" s="3542">
        <v>75368.480470838374</v>
      </c>
      <c r="H149" s="510">
        <v>22607.903844412853</v>
      </c>
      <c r="I149" s="504"/>
      <c r="J149" s="2355">
        <f t="shared" si="0"/>
        <v>22607.903844412853</v>
      </c>
      <c r="K149" s="500">
        <v>503303.86806077929</v>
      </c>
      <c r="L149" s="253">
        <v>91775.9179136897</v>
      </c>
      <c r="M149" s="194">
        <v>307144.29254431714</v>
      </c>
      <c r="N149" s="3542">
        <v>63316.925050190854</v>
      </c>
      <c r="O149" s="510">
        <v>121402.37877108427</v>
      </c>
      <c r="P149" s="3542">
        <v>80486.508880397654</v>
      </c>
      <c r="Q149" s="510">
        <v>22729.833595099299</v>
      </c>
      <c r="R149" s="504"/>
      <c r="S149" s="2355">
        <f t="shared" si="1"/>
        <v>22729.833595099299</v>
      </c>
      <c r="T149" s="500">
        <v>500480.50233110512</v>
      </c>
      <c r="U149" s="253">
        <v>87172.693676134601</v>
      </c>
      <c r="V149" s="506">
        <v>324271.818801546</v>
      </c>
      <c r="W149" s="510">
        <v>55704.253201274099</v>
      </c>
      <c r="X149" s="3542">
        <v>79234.919531637002</v>
      </c>
      <c r="Y149" s="3542">
        <v>119992.120940497</v>
      </c>
      <c r="Z149" s="2402">
        <f t="shared" si="2"/>
        <v>8450.0835322856437</v>
      </c>
    </row>
    <row r="150" spans="1:26" s="192" customFormat="1">
      <c r="A150" s="195" t="s">
        <v>438</v>
      </c>
      <c r="B150" s="2154">
        <v>493602.53057785495</v>
      </c>
      <c r="C150" s="253">
        <v>84904.777449941423</v>
      </c>
      <c r="D150" s="194">
        <v>319799.76251832145</v>
      </c>
      <c r="E150" s="3542">
        <v>54179.355471642251</v>
      </c>
      <c r="F150" s="510">
        <v>119186.92694656595</v>
      </c>
      <c r="G150" s="3542">
        <v>80672.434723857747</v>
      </c>
      <c r="H150" s="510">
        <v>4668.8283674091235</v>
      </c>
      <c r="I150" s="504"/>
      <c r="J150" s="2355">
        <f t="shared" si="0"/>
        <v>4668.8283674091235</v>
      </c>
      <c r="K150" s="500">
        <v>510703.42701511632</v>
      </c>
      <c r="L150" s="253">
        <v>88106.33085835255</v>
      </c>
      <c r="M150" s="194">
        <v>329383.73535335076</v>
      </c>
      <c r="N150" s="3542">
        <v>60446.017998914125</v>
      </c>
      <c r="O150" s="510">
        <v>116402.46462199275</v>
      </c>
      <c r="P150" s="3542">
        <v>88292.808996233114</v>
      </c>
      <c r="Q150" s="510">
        <v>4284.730899772886</v>
      </c>
      <c r="R150" s="504"/>
      <c r="S150" s="2355">
        <f t="shared" si="1"/>
        <v>4284.730899772886</v>
      </c>
      <c r="T150" s="500">
        <v>514983.24764611531</v>
      </c>
      <c r="U150" s="253">
        <v>89020.985225265802</v>
      </c>
      <c r="V150" s="506">
        <v>318979.46118846699</v>
      </c>
      <c r="W150" s="510">
        <v>57526.820048499001</v>
      </c>
      <c r="X150" s="3542">
        <v>85178.468993447401</v>
      </c>
      <c r="Y150" s="3542">
        <v>128987.937078478</v>
      </c>
      <c r="Z150" s="2402">
        <f t="shared" si="2"/>
        <v>13331.545562489657</v>
      </c>
    </row>
    <row r="151" spans="1:26" s="192" customFormat="1">
      <c r="A151" s="195" t="s">
        <v>439</v>
      </c>
      <c r="B151" s="2154">
        <v>581668.24987960246</v>
      </c>
      <c r="C151" s="253">
        <v>97288.203296056818</v>
      </c>
      <c r="D151" s="194">
        <v>385778.07211062423</v>
      </c>
      <c r="E151" s="3542">
        <v>58212.171986110239</v>
      </c>
      <c r="F151" s="510">
        <v>138217.54798367393</v>
      </c>
      <c r="G151" s="3542">
        <v>94508.358707974621</v>
      </c>
      <c r="H151" s="510">
        <v>2240.3023872762333</v>
      </c>
      <c r="I151" s="504"/>
      <c r="J151" s="2355">
        <f t="shared" si="0"/>
        <v>2240.3023872762333</v>
      </c>
      <c r="K151" s="500">
        <v>605771.77584651019</v>
      </c>
      <c r="L151" s="253">
        <v>103231.14457395862</v>
      </c>
      <c r="M151" s="194">
        <v>400294.00505751109</v>
      </c>
      <c r="N151" s="3542">
        <v>66443.386709894927</v>
      </c>
      <c r="O151" s="510">
        <v>138861.52384866087</v>
      </c>
      <c r="P151" s="3542">
        <v>104017.9437655482</v>
      </c>
      <c r="Q151" s="510">
        <v>-613.93896321337479</v>
      </c>
      <c r="R151" s="504"/>
      <c r="S151" s="2355">
        <f t="shared" si="1"/>
        <v>-613.93896321337479</v>
      </c>
      <c r="T151" s="500">
        <v>527064.5782008057</v>
      </c>
      <c r="U151" s="253">
        <v>98373.376217886296</v>
      </c>
      <c r="V151" s="506">
        <v>346676.85679586203</v>
      </c>
      <c r="W151" s="510">
        <v>58967.074071674499</v>
      </c>
      <c r="X151" s="3542">
        <v>87994.904413103795</v>
      </c>
      <c r="Y151" s="3542">
        <v>132423.528586931</v>
      </c>
      <c r="Z151" s="2402">
        <f t="shared" si="2"/>
        <v>-624.40944887930527</v>
      </c>
    </row>
    <row r="152" spans="1:26" s="192" customFormat="1">
      <c r="A152" s="195" t="s">
        <v>440</v>
      </c>
      <c r="B152" s="2154">
        <v>514697.78950542817</v>
      </c>
      <c r="C152" s="253">
        <v>96844.893037090456</v>
      </c>
      <c r="D152" s="194">
        <v>323831.36566135968</v>
      </c>
      <c r="E152" s="3542">
        <v>58977.839293055164</v>
      </c>
      <c r="F152" s="510">
        <v>135432.69307676284</v>
      </c>
      <c r="G152" s="3542">
        <v>89948.604167109792</v>
      </c>
      <c r="H152" s="510">
        <v>3352.1803442310757</v>
      </c>
      <c r="I152" s="504"/>
      <c r="J152" s="2355">
        <f t="shared" si="0"/>
        <v>3352.1803442310757</v>
      </c>
      <c r="K152" s="500">
        <v>590219.55914262927</v>
      </c>
      <c r="L152" s="253">
        <v>102375.72168727528</v>
      </c>
      <c r="M152" s="194">
        <v>370307.88751717459</v>
      </c>
      <c r="N152" s="3542">
        <v>71261.081776276333</v>
      </c>
      <c r="O152" s="510">
        <v>142090.95886911501</v>
      </c>
      <c r="P152" s="3542">
        <v>103532.80505222286</v>
      </c>
      <c r="Q152" s="510">
        <v>5402.5476190675927</v>
      </c>
      <c r="R152" s="504"/>
      <c r="S152" s="2355">
        <f t="shared" si="1"/>
        <v>5402.5476190675927</v>
      </c>
      <c r="T152" s="500">
        <v>530103.2878765451</v>
      </c>
      <c r="U152" s="253">
        <v>93046.384289017296</v>
      </c>
      <c r="V152" s="506">
        <v>331328.51985935902</v>
      </c>
      <c r="W152" s="510">
        <v>59825.278576622601</v>
      </c>
      <c r="X152" s="3542">
        <v>88235.041123711606</v>
      </c>
      <c r="Y152" s="3542">
        <v>132582.356610193</v>
      </c>
      <c r="Z152" s="2402">
        <f t="shared" si="2"/>
        <v>11178.475995676126</v>
      </c>
    </row>
    <row r="153" spans="1:26" s="192" customFormat="1">
      <c r="A153" s="195" t="s">
        <v>441</v>
      </c>
      <c r="B153" s="2154">
        <v>522255.20005077147</v>
      </c>
      <c r="C153" s="253">
        <v>99636.557923835848</v>
      </c>
      <c r="D153" s="194">
        <v>311201.93506826391</v>
      </c>
      <c r="E153" s="3542">
        <v>65561.512622711351</v>
      </c>
      <c r="F153" s="510">
        <v>129550.81848020395</v>
      </c>
      <c r="G153" s="3542">
        <v>92100.022937559741</v>
      </c>
      <c r="H153" s="510">
        <v>23477.468865868381</v>
      </c>
      <c r="I153" s="504"/>
      <c r="J153" s="2355">
        <f t="shared" si="0"/>
        <v>23477.468865868381</v>
      </c>
      <c r="K153" s="500">
        <v>623457.92974484281</v>
      </c>
      <c r="L153" s="253">
        <v>109528.9126465569</v>
      </c>
      <c r="M153" s="194">
        <v>368695.44949314673</v>
      </c>
      <c r="N153" s="3542">
        <v>84773.419972487434</v>
      </c>
      <c r="O153" s="510">
        <v>144309.47515352926</v>
      </c>
      <c r="P153" s="3542">
        <v>108464.65877516926</v>
      </c>
      <c r="Q153" s="510">
        <v>26743.838994612328</v>
      </c>
      <c r="R153" s="504"/>
      <c r="S153" s="2355">
        <f t="shared" si="1"/>
        <v>26743.838994612328</v>
      </c>
      <c r="T153" s="500">
        <v>540072.65629019018</v>
      </c>
      <c r="U153" s="253">
        <v>98233.685974755106</v>
      </c>
      <c r="V153" s="506">
        <v>343626.29751488101</v>
      </c>
      <c r="W153" s="510">
        <v>60611.706676722999</v>
      </c>
      <c r="X153" s="3542">
        <v>95821.006006238895</v>
      </c>
      <c r="Y153" s="3542">
        <v>128394.16421160501</v>
      </c>
      <c r="Z153" s="2402">
        <f t="shared" si="2"/>
        <v>9853.1678554974496</v>
      </c>
    </row>
    <row r="154" spans="1:26" s="192" customFormat="1">
      <c r="A154" s="195" t="s">
        <v>442</v>
      </c>
      <c r="B154" s="2154">
        <v>532348.2120169173</v>
      </c>
      <c r="C154" s="253">
        <v>96613.891639486697</v>
      </c>
      <c r="D154" s="194">
        <v>354888.1198370661</v>
      </c>
      <c r="E154" s="3542">
        <v>56878.879612771321</v>
      </c>
      <c r="F154" s="510">
        <v>125801.74305657322</v>
      </c>
      <c r="G154" s="3542">
        <v>93836.573169233787</v>
      </c>
      <c r="H154" s="510">
        <v>-2443.2120192403586</v>
      </c>
      <c r="I154" s="504"/>
      <c r="J154" s="2355">
        <f t="shared" si="0"/>
        <v>-2443.2120192403586</v>
      </c>
      <c r="K154" s="500">
        <v>643562.37958706089</v>
      </c>
      <c r="L154" s="253">
        <v>111472.72410810947</v>
      </c>
      <c r="M154" s="194">
        <v>420680.07284991292</v>
      </c>
      <c r="N154" s="3542">
        <v>77417.348977918664</v>
      </c>
      <c r="O154" s="510">
        <v>143494.78432027518</v>
      </c>
      <c r="P154" s="3542">
        <v>116110.67319549512</v>
      </c>
      <c r="Q154" s="510">
        <v>-2667.7756484591591</v>
      </c>
      <c r="R154" s="504"/>
      <c r="S154" s="2355">
        <f t="shared" si="1"/>
        <v>-2667.7756484591591</v>
      </c>
      <c r="T154" s="500">
        <v>554499.36072981206</v>
      </c>
      <c r="U154" s="253">
        <v>101242.498673907</v>
      </c>
      <c r="V154" s="506">
        <v>353504.75760955899</v>
      </c>
      <c r="W154" s="510">
        <v>60527.006018165899</v>
      </c>
      <c r="X154" s="3542">
        <v>97451.053989446606</v>
      </c>
      <c r="Y154" s="3542">
        <v>136759.024921139</v>
      </c>
      <c r="Z154" s="2402">
        <f t="shared" si="2"/>
        <v>7500.0168654086301</v>
      </c>
    </row>
    <row r="155" spans="1:26" s="192" customFormat="1">
      <c r="A155" s="195" t="s">
        <v>443</v>
      </c>
      <c r="B155" s="2154">
        <v>614076.39260854386</v>
      </c>
      <c r="C155" s="253">
        <v>101743.8617298436</v>
      </c>
      <c r="D155" s="194">
        <v>412814.66669057618</v>
      </c>
      <c r="E155" s="3542">
        <v>60002.962566283692</v>
      </c>
      <c r="F155" s="510">
        <v>141431.39484319702</v>
      </c>
      <c r="G155" s="3542">
        <v>105355.8130616704</v>
      </c>
      <c r="H155" s="510">
        <v>-3784.5828233397406</v>
      </c>
      <c r="I155" s="504"/>
      <c r="J155" s="2355">
        <f t="shared" si="0"/>
        <v>-3784.5828233397406</v>
      </c>
      <c r="K155" s="500">
        <v>727989.18726691091</v>
      </c>
      <c r="L155" s="253">
        <v>119596.41054544807</v>
      </c>
      <c r="M155" s="194">
        <v>472564.97061645391</v>
      </c>
      <c r="N155" s="3542">
        <v>85196.547558208549</v>
      </c>
      <c r="O155" s="510">
        <v>165070.51189350447</v>
      </c>
      <c r="P155" s="3542">
        <v>130833.71283691305</v>
      </c>
      <c r="Q155" s="510">
        <v>-6080.1450941790172</v>
      </c>
      <c r="R155" s="504"/>
      <c r="S155" s="2355">
        <f t="shared" si="1"/>
        <v>-6080.1450941790172</v>
      </c>
      <c r="T155" s="500">
        <v>561170.97269354202</v>
      </c>
      <c r="U155" s="253">
        <v>103482.743145983</v>
      </c>
      <c r="V155" s="506">
        <v>371910.359041786</v>
      </c>
      <c r="W155" s="510">
        <v>60704.735038916602</v>
      </c>
      <c r="X155" s="3542">
        <v>100740.85025261399</v>
      </c>
      <c r="Y155" s="3542">
        <v>135072.84070525301</v>
      </c>
      <c r="Z155" s="2402">
        <f t="shared" si="2"/>
        <v>-3775.0691990444902</v>
      </c>
    </row>
    <row r="156" spans="1:26" s="192" customFormat="1">
      <c r="A156" s="195" t="s">
        <v>444</v>
      </c>
      <c r="B156" s="2154">
        <v>562978.96562687657</v>
      </c>
      <c r="C156" s="253">
        <v>109844.576627056</v>
      </c>
      <c r="D156" s="194">
        <v>372993.09379983688</v>
      </c>
      <c r="E156" s="3542">
        <v>60840.091459644784</v>
      </c>
      <c r="F156" s="510">
        <v>139275.06000824485</v>
      </c>
      <c r="G156" s="3542">
        <v>106228.60234204463</v>
      </c>
      <c r="H156" s="510">
        <v>-6513.3053558385091</v>
      </c>
      <c r="I156" s="504"/>
      <c r="J156" s="2355">
        <f t="shared" si="0"/>
        <v>-6513.3053558385091</v>
      </c>
      <c r="K156" s="500">
        <v>729299.49800619599</v>
      </c>
      <c r="L156" s="253">
        <v>132390.49380631474</v>
      </c>
      <c r="M156" s="194">
        <v>469727.00246409507</v>
      </c>
      <c r="N156" s="3542">
        <v>88513.650744116705</v>
      </c>
      <c r="O156" s="510">
        <v>169541.6449088919</v>
      </c>
      <c r="P156" s="3542">
        <v>139597.73830184387</v>
      </c>
      <c r="Q156" s="510">
        <v>-5690.0446063492363</v>
      </c>
      <c r="R156" s="504"/>
      <c r="S156" s="2355">
        <f t="shared" si="1"/>
        <v>-5690.0446063492363</v>
      </c>
      <c r="T156" s="500">
        <v>577074.9473486176</v>
      </c>
      <c r="U156" s="253">
        <v>104959.451841225</v>
      </c>
      <c r="V156" s="506">
        <v>381137.96080946701</v>
      </c>
      <c r="W156" s="510">
        <v>61657.613764174203</v>
      </c>
      <c r="X156" s="3542">
        <v>103927.565274757</v>
      </c>
      <c r="Y156" s="3542">
        <v>136282.97158724099</v>
      </c>
      <c r="Z156" s="2402">
        <f t="shared" si="2"/>
        <v>-971.71224579657428</v>
      </c>
    </row>
    <row r="157" spans="1:26" s="192" customFormat="1">
      <c r="A157" s="195" t="s">
        <v>445</v>
      </c>
      <c r="B157" s="2154">
        <v>572794.04663058836</v>
      </c>
      <c r="C157" s="253">
        <v>112095.47619426234</v>
      </c>
      <c r="D157" s="194">
        <v>346795.75351214455</v>
      </c>
      <c r="E157" s="3542">
        <v>68028.752176288792</v>
      </c>
      <c r="F157" s="510">
        <v>144930.84608108603</v>
      </c>
      <c r="G157" s="3542">
        <v>103509.58849471423</v>
      </c>
      <c r="H157" s="510">
        <v>21624.582560617051</v>
      </c>
      <c r="I157" s="504"/>
      <c r="J157" s="2355">
        <f t="shared" si="0"/>
        <v>21624.582560617051</v>
      </c>
      <c r="K157" s="500">
        <v>762766.02207522606</v>
      </c>
      <c r="L157" s="253">
        <v>135004.04864091883</v>
      </c>
      <c r="M157" s="194">
        <v>448843.86982539098</v>
      </c>
      <c r="N157" s="3542">
        <v>104803.31529002971</v>
      </c>
      <c r="O157" s="510">
        <v>181289.42002470954</v>
      </c>
      <c r="P157" s="3542">
        <v>138392.87072482545</v>
      </c>
      <c r="Q157" s="510">
        <v>24440.594854846193</v>
      </c>
      <c r="R157" s="504"/>
      <c r="S157" s="2355">
        <f t="shared" si="1"/>
        <v>24440.594854846193</v>
      </c>
      <c r="T157" s="500">
        <v>589452.33611095417</v>
      </c>
      <c r="U157" s="253">
        <v>110613.112529533</v>
      </c>
      <c r="V157" s="506">
        <v>380938.55637881201</v>
      </c>
      <c r="W157" s="510">
        <v>62861.330993732001</v>
      </c>
      <c r="X157" s="3542">
        <v>106811.10755084601</v>
      </c>
      <c r="Y157" s="3542">
        <v>143324.20677546799</v>
      </c>
      <c r="Z157" s="2402">
        <f t="shared" si="2"/>
        <v>6130.2469416292151</v>
      </c>
    </row>
    <row r="158" spans="1:26" s="192" customFormat="1">
      <c r="A158" s="195" t="s">
        <v>446</v>
      </c>
      <c r="B158" s="2154">
        <v>576846.88569942722</v>
      </c>
      <c r="C158" s="253">
        <v>112275.54046719316</v>
      </c>
      <c r="D158" s="194">
        <v>394546.92237347405</v>
      </c>
      <c r="E158" s="3542">
        <v>61224.204722923663</v>
      </c>
      <c r="F158" s="510">
        <v>129994.29307272191</v>
      </c>
      <c r="G158" s="3542">
        <v>111459.50015804857</v>
      </c>
      <c r="H158" s="510">
        <v>-8102.4941605478389</v>
      </c>
      <c r="I158" s="504"/>
      <c r="J158" s="2355">
        <f t="shared" si="0"/>
        <v>-8102.4941605478389</v>
      </c>
      <c r="K158" s="500">
        <v>774387.78784127673</v>
      </c>
      <c r="L158" s="253">
        <v>139154.18921558568</v>
      </c>
      <c r="M158" s="194">
        <v>506621.02800736926</v>
      </c>
      <c r="N158" s="3542">
        <v>97650.676705075806</v>
      </c>
      <c r="O158" s="510">
        <v>168496.91895986651</v>
      </c>
      <c r="P158" s="3542">
        <v>148228.49189903785</v>
      </c>
      <c r="Q158" s="510">
        <v>-7455.1385156767692</v>
      </c>
      <c r="R158" s="504"/>
      <c r="S158" s="2355">
        <f t="shared" si="1"/>
        <v>-7455.1385156767692</v>
      </c>
      <c r="T158" s="500">
        <v>603536.53953781037</v>
      </c>
      <c r="U158" s="253">
        <v>117928.91319170799</v>
      </c>
      <c r="V158" s="506">
        <v>392656.48746905703</v>
      </c>
      <c r="W158" s="510">
        <v>65396.512370152901</v>
      </c>
      <c r="X158" s="3542">
        <v>116267.721899204</v>
      </c>
      <c r="Y158" s="3542">
        <v>142842.14759009401</v>
      </c>
      <c r="Z158" s="2402">
        <f t="shared" si="2"/>
        <v>4302.5834010104882</v>
      </c>
    </row>
    <row r="159" spans="1:26" s="192" customFormat="1">
      <c r="A159" s="195" t="s">
        <v>447</v>
      </c>
      <c r="B159" s="2154">
        <v>674620.56300648488</v>
      </c>
      <c r="C159" s="253">
        <v>117677.32624788815</v>
      </c>
      <c r="D159" s="194">
        <v>444046.11165498366</v>
      </c>
      <c r="E159" s="3542">
        <v>65259.863868160544</v>
      </c>
      <c r="F159" s="510">
        <v>151852.51450331474</v>
      </c>
      <c r="G159" s="3542">
        <v>125373.05789199457</v>
      </c>
      <c r="H159" s="510">
        <v>5766.3413359196438</v>
      </c>
      <c r="I159" s="504"/>
      <c r="J159" s="2355">
        <f t="shared" si="0"/>
        <v>5766.3413359196438</v>
      </c>
      <c r="K159" s="500">
        <v>904350.3880930806</v>
      </c>
      <c r="L159" s="253">
        <v>149392.83597633499</v>
      </c>
      <c r="M159" s="194">
        <v>576216.8994114009</v>
      </c>
      <c r="N159" s="3542">
        <v>111138.64568574482</v>
      </c>
      <c r="O159" s="510">
        <v>193068.36037436526</v>
      </c>
      <c r="P159" s="3542">
        <v>170803.77769164724</v>
      </c>
      <c r="Q159" s="510">
        <v>2515.5409091800311</v>
      </c>
      <c r="R159" s="504"/>
      <c r="S159" s="2355">
        <f t="shared" si="1"/>
        <v>2515.5409091800311</v>
      </c>
      <c r="T159" s="500">
        <v>616075.60945719469</v>
      </c>
      <c r="U159" s="253">
        <v>120824.145863051</v>
      </c>
      <c r="V159" s="506">
        <v>402306.48918743897</v>
      </c>
      <c r="W159" s="510">
        <v>65945.921410667695</v>
      </c>
      <c r="X159" s="3542">
        <v>121508.75049109499</v>
      </c>
      <c r="Y159" s="3542">
        <v>144117.96624491399</v>
      </c>
      <c r="Z159" s="2402">
        <f t="shared" si="2"/>
        <v>3020.6279861299554</v>
      </c>
    </row>
    <row r="160" spans="1:26" s="192" customFormat="1">
      <c r="A160" s="195" t="s">
        <v>448</v>
      </c>
      <c r="B160" s="2154">
        <v>610425.69401485357</v>
      </c>
      <c r="C160" s="253">
        <v>136188.56334207152</v>
      </c>
      <c r="D160" s="194">
        <v>403183.03818433546</v>
      </c>
      <c r="E160" s="3542">
        <v>65411.563296301509</v>
      </c>
      <c r="F160" s="510">
        <v>153959.99205222024</v>
      </c>
      <c r="G160" s="3542">
        <v>128893.70334910932</v>
      </c>
      <c r="H160" s="510">
        <v>-4834.0395250414695</v>
      </c>
      <c r="I160" s="504"/>
      <c r="J160" s="2355">
        <f t="shared" si="0"/>
        <v>-4834.0395250414695</v>
      </c>
      <c r="K160" s="500">
        <v>914103.9674019193</v>
      </c>
      <c r="L160" s="253">
        <v>183313.01687331864</v>
      </c>
      <c r="M160" s="194">
        <v>589438.23177490232</v>
      </c>
      <c r="N160" s="3542">
        <v>118300.43627035344</v>
      </c>
      <c r="O160" s="510">
        <v>207489.64344238988</v>
      </c>
      <c r="P160" s="3542">
        <v>189101.60950229838</v>
      </c>
      <c r="Q160" s="510">
        <v>-6912.9367156181479</v>
      </c>
      <c r="R160" s="504"/>
      <c r="S160" s="2355">
        <f t="shared" si="1"/>
        <v>-6912.9367156181479</v>
      </c>
      <c r="T160" s="500">
        <v>624421.53581424942</v>
      </c>
      <c r="U160" s="253">
        <v>129423.558397068</v>
      </c>
      <c r="V160" s="506">
        <v>412291.09902325098</v>
      </c>
      <c r="W160" s="510">
        <v>66181.950874942195</v>
      </c>
      <c r="X160" s="3542">
        <v>125653.45659052501</v>
      </c>
      <c r="Y160" s="3542">
        <v>150536.21738627201</v>
      </c>
      <c r="Z160" s="2402">
        <f t="shared" si="2"/>
        <v>-817.62966367288027</v>
      </c>
    </row>
    <row r="161" spans="1:26" s="192" customFormat="1">
      <c r="A161" s="195" t="s">
        <v>449</v>
      </c>
      <c r="B161" s="2154">
        <v>625876.86786359688</v>
      </c>
      <c r="C161" s="253">
        <v>136704.0597547481</v>
      </c>
      <c r="D161" s="194">
        <v>384630.07880417624</v>
      </c>
      <c r="E161" s="3542">
        <v>73096.788473659748</v>
      </c>
      <c r="F161" s="510">
        <v>160654.2198809369</v>
      </c>
      <c r="G161" s="3542">
        <v>126843.69936850498</v>
      </c>
      <c r="H161" s="510">
        <v>17356.141091067057</v>
      </c>
      <c r="I161" s="504"/>
      <c r="J161" s="2355">
        <f t="shared" si="0"/>
        <v>17356.141091067057</v>
      </c>
      <c r="K161" s="500">
        <v>995078.55295133556</v>
      </c>
      <c r="L161" s="253">
        <v>184098.6999451606</v>
      </c>
      <c r="M161" s="194">
        <v>571294.88802087051</v>
      </c>
      <c r="N161" s="3542">
        <v>138956.88158723252</v>
      </c>
      <c r="O161" s="510">
        <v>244066.58584354116</v>
      </c>
      <c r="P161" s="3542">
        <v>192087.56402626808</v>
      </c>
      <c r="Q161" s="510">
        <v>32771.333419359624</v>
      </c>
      <c r="R161" s="504"/>
      <c r="S161" s="2355">
        <f t="shared" si="1"/>
        <v>32771.333419359624</v>
      </c>
      <c r="T161" s="500">
        <v>643736.32577510865</v>
      </c>
      <c r="U161" s="253">
        <v>134668.87236007399</v>
      </c>
      <c r="V161" s="506">
        <v>419152.07533722301</v>
      </c>
      <c r="W161" s="510">
        <v>67468.0357052826</v>
      </c>
      <c r="X161" s="3542">
        <v>129140.03178683401</v>
      </c>
      <c r="Y161" s="3542">
        <v>158964.68828791499</v>
      </c>
      <c r="Z161" s="2402">
        <f t="shared" si="2"/>
        <v>3680.3670179280452</v>
      </c>
    </row>
    <row r="162" spans="1:26" s="192" customFormat="1">
      <c r="A162" s="195" t="s">
        <v>450</v>
      </c>
      <c r="B162" s="2154">
        <v>616720.35706447833</v>
      </c>
      <c r="C162" s="253">
        <v>138615.19699718201</v>
      </c>
      <c r="D162" s="194">
        <v>434706.92070959473</v>
      </c>
      <c r="E162" s="3542">
        <v>63538.090213852025</v>
      </c>
      <c r="F162" s="510">
        <v>138205.65471421785</v>
      </c>
      <c r="G162" s="3542">
        <v>130866.27503076549</v>
      </c>
      <c r="H162" s="510">
        <v>-11981.386606769784</v>
      </c>
      <c r="I162" s="504"/>
      <c r="J162" s="2355">
        <f t="shared" si="0"/>
        <v>-11981.386606769784</v>
      </c>
      <c r="K162" s="500">
        <v>1032356.8732593583</v>
      </c>
      <c r="L162" s="253">
        <v>191232.01150689326</v>
      </c>
      <c r="M162" s="194">
        <v>674136.75723869773</v>
      </c>
      <c r="N162" s="3542">
        <v>130083.88092501654</v>
      </c>
      <c r="O162" s="510">
        <v>233518.69462890347</v>
      </c>
      <c r="P162" s="3542">
        <v>202936.38542612523</v>
      </c>
      <c r="Q162" s="510">
        <v>-17086.833455485175</v>
      </c>
      <c r="R162" s="504"/>
      <c r="S162" s="2355">
        <f t="shared" si="1"/>
        <v>-17086.833455485175</v>
      </c>
      <c r="T162" s="500">
        <v>650156.81326832587</v>
      </c>
      <c r="U162" s="253">
        <v>145716.73526734899</v>
      </c>
      <c r="V162" s="506">
        <v>436284.46883608098</v>
      </c>
      <c r="W162" s="510">
        <v>68270.581122236807</v>
      </c>
      <c r="X162" s="3542">
        <v>139051.49402923</v>
      </c>
      <c r="Y162" s="3542">
        <v>153500.769392899</v>
      </c>
      <c r="Z162" s="2402">
        <f t="shared" si="2"/>
        <v>-1233.7648447719403</v>
      </c>
    </row>
    <row r="163" spans="1:26" s="192" customFormat="1">
      <c r="A163" s="195" t="s">
        <v>451</v>
      </c>
      <c r="B163" s="2154">
        <v>711405.50045523292</v>
      </c>
      <c r="C163" s="253">
        <v>147043.53953203355</v>
      </c>
      <c r="D163" s="194">
        <v>485578.45935453649</v>
      </c>
      <c r="E163" s="3542">
        <v>69148.379392770483</v>
      </c>
      <c r="F163" s="510">
        <v>147769.55715328988</v>
      </c>
      <c r="G163" s="3542">
        <v>146972.60805294834</v>
      </c>
      <c r="H163" s="510">
        <v>8980.036033721306</v>
      </c>
      <c r="I163" s="504"/>
      <c r="J163" s="2355">
        <f t="shared" si="0"/>
        <v>8980.036033721306</v>
      </c>
      <c r="K163" s="500">
        <v>1213883.4109890296</v>
      </c>
      <c r="L163" s="253">
        <v>220625.26158163598</v>
      </c>
      <c r="M163" s="194">
        <v>786479.25785748009</v>
      </c>
      <c r="N163" s="3542">
        <v>150962.64473625927</v>
      </c>
      <c r="O163" s="510">
        <v>249293.10641471308</v>
      </c>
      <c r="P163" s="3542">
        <v>234221.80476596183</v>
      </c>
      <c r="Q163" s="510">
        <v>13551.858797320265</v>
      </c>
      <c r="R163" s="504"/>
      <c r="S163" s="2355">
        <f t="shared" si="1"/>
        <v>13551.858797320265</v>
      </c>
      <c r="T163" s="500">
        <v>653370.04317222571</v>
      </c>
      <c r="U163" s="253">
        <v>151080.911026124</v>
      </c>
      <c r="V163" s="506">
        <v>443408.05272748403</v>
      </c>
      <c r="W163" s="510">
        <v>69650.4806953714</v>
      </c>
      <c r="X163" s="3542">
        <v>142264.02927432899</v>
      </c>
      <c r="Y163" s="3542">
        <v>138306.705918536</v>
      </c>
      <c r="Z163" s="2402">
        <f t="shared" si="2"/>
        <v>10821.685582629405</v>
      </c>
    </row>
    <row r="164" spans="1:26" s="192" customFormat="1">
      <c r="A164" s="195" t="s">
        <v>452</v>
      </c>
      <c r="B164" s="2154">
        <v>647087.95974249416</v>
      </c>
      <c r="C164" s="253">
        <v>153056.79563738545</v>
      </c>
      <c r="D164" s="194">
        <v>425312.74440875015</v>
      </c>
      <c r="E164" s="3542">
        <v>69622.829397327776</v>
      </c>
      <c r="F164" s="510">
        <v>169221.27116816866</v>
      </c>
      <c r="G164" s="3542">
        <v>138451.48746983963</v>
      </c>
      <c r="H164" s="510">
        <v>-2463.5770642065149</v>
      </c>
      <c r="I164" s="504"/>
      <c r="J164" s="2355">
        <f t="shared" si="0"/>
        <v>-2463.5770642065149</v>
      </c>
      <c r="K164" s="500">
        <v>1183692.2697064732</v>
      </c>
      <c r="L164" s="253">
        <v>231651.13955040163</v>
      </c>
      <c r="M164" s="194">
        <v>735708.42017224384</v>
      </c>
      <c r="N164" s="3542">
        <v>159058.12034225065</v>
      </c>
      <c r="O164" s="510">
        <v>290934.39040944231</v>
      </c>
      <c r="P164" s="3542">
        <v>230523.27564884457</v>
      </c>
      <c r="Q164" s="510">
        <v>-880.79731233810821</v>
      </c>
      <c r="R164" s="504"/>
      <c r="S164" s="2355">
        <f t="shared" si="1"/>
        <v>-880.79731233810821</v>
      </c>
      <c r="T164" s="500">
        <v>657667.74583037221</v>
      </c>
      <c r="U164" s="253">
        <v>144213.185606218</v>
      </c>
      <c r="V164" s="506">
        <v>435462.45326105302</v>
      </c>
      <c r="W164" s="510">
        <v>70201.557415824704</v>
      </c>
      <c r="X164" s="3542">
        <v>134228.98999601899</v>
      </c>
      <c r="Y164" s="3542">
        <v>164733.61061758199</v>
      </c>
      <c r="Z164" s="2402">
        <f t="shared" si="2"/>
        <v>-2745.6798538884614</v>
      </c>
    </row>
    <row r="165" spans="1:26" s="192" customFormat="1">
      <c r="A165" s="195" t="s">
        <v>453</v>
      </c>
      <c r="B165" s="2154">
        <v>613490.82170264097</v>
      </c>
      <c r="C165" s="253">
        <v>132326.80332668536</v>
      </c>
      <c r="D165" s="194">
        <v>398635.44285744097</v>
      </c>
      <c r="E165" s="3542">
        <v>75972.699166944643</v>
      </c>
      <c r="F165" s="510">
        <v>145677.599528055</v>
      </c>
      <c r="G165" s="3542">
        <v>119110.68925230175</v>
      </c>
      <c r="H165" s="510">
        <v>6421.1942245838236</v>
      </c>
      <c r="I165" s="504"/>
      <c r="J165" s="2355">
        <f t="shared" si="0"/>
        <v>6421.1942245838236</v>
      </c>
      <c r="K165" s="500">
        <v>1168651.8083796799</v>
      </c>
      <c r="L165" s="253">
        <v>199953.49210063458</v>
      </c>
      <c r="M165" s="194">
        <v>704213.49724900292</v>
      </c>
      <c r="N165" s="3542">
        <v>186843.96270206655</v>
      </c>
      <c r="O165" s="510">
        <v>240742.92356209503</v>
      </c>
      <c r="P165" s="3542">
        <v>206516.8242355749</v>
      </c>
      <c r="Q165" s="510">
        <v>30288.092730575718</v>
      </c>
      <c r="R165" s="504"/>
      <c r="S165" s="2355">
        <f t="shared" si="1"/>
        <v>30288.092730575718</v>
      </c>
      <c r="T165" s="500">
        <v>627510.03669392434</v>
      </c>
      <c r="U165" s="253">
        <v>130031.503593596</v>
      </c>
      <c r="V165" s="506">
        <v>429078.59250570397</v>
      </c>
      <c r="W165" s="510">
        <v>70159.378937461996</v>
      </c>
      <c r="X165" s="3542">
        <v>119856.54650627699</v>
      </c>
      <c r="Y165" s="3542">
        <v>144332.996634715</v>
      </c>
      <c r="Z165" s="2402">
        <f t="shared" si="2"/>
        <v>-5885.9742966375779</v>
      </c>
    </row>
    <row r="166" spans="1:26" s="192" customFormat="1">
      <c r="A166" s="195" t="s">
        <v>454</v>
      </c>
      <c r="B166" s="2154">
        <v>578553.04424240452</v>
      </c>
      <c r="C166" s="253">
        <v>108884.58517996111</v>
      </c>
      <c r="D166" s="194">
        <v>410435.15837710962</v>
      </c>
      <c r="E166" s="3542">
        <v>65839.054780303151</v>
      </c>
      <c r="F166" s="510">
        <v>127658.2065877633</v>
      </c>
      <c r="G166" s="3542">
        <v>95500.572106358406</v>
      </c>
      <c r="H166" s="510">
        <v>-11995.36242916899</v>
      </c>
      <c r="I166" s="504"/>
      <c r="J166" s="2355">
        <f t="shared" si="0"/>
        <v>-11995.36242916899</v>
      </c>
      <c r="K166" s="500">
        <v>1112307.4883262962</v>
      </c>
      <c r="L166" s="253">
        <v>158748.34424168098</v>
      </c>
      <c r="M166" s="194">
        <v>745582.80543412548</v>
      </c>
      <c r="N166" s="3542">
        <v>168925.3136671262</v>
      </c>
      <c r="O166" s="510">
        <v>204977.71606670532</v>
      </c>
      <c r="P166" s="3542">
        <v>171002.40533113322</v>
      </c>
      <c r="Q166" s="510">
        <v>-19432.40793445547</v>
      </c>
      <c r="R166" s="504"/>
      <c r="S166" s="2355">
        <f t="shared" si="1"/>
        <v>-19432.40793445547</v>
      </c>
      <c r="T166" s="500">
        <v>604984.05052486621</v>
      </c>
      <c r="U166" s="253">
        <v>114860.48940429599</v>
      </c>
      <c r="V166" s="506">
        <v>410126.16738317802</v>
      </c>
      <c r="W166" s="510">
        <v>70954.658389221804</v>
      </c>
      <c r="X166" s="3542">
        <v>103713.66525853401</v>
      </c>
      <c r="Y166" s="3542">
        <v>143069.22149734499</v>
      </c>
      <c r="Z166" s="2402">
        <f t="shared" si="2"/>
        <v>-8019.1725991165731</v>
      </c>
    </row>
    <row r="167" spans="1:26" s="192" customFormat="1">
      <c r="A167" s="195" t="s">
        <v>455</v>
      </c>
      <c r="B167" s="2154">
        <v>631197.75186006888</v>
      </c>
      <c r="C167" s="253">
        <v>104729.45493210446</v>
      </c>
      <c r="D167" s="194">
        <v>423959.33862360148</v>
      </c>
      <c r="E167" s="3542">
        <v>71368.489362473789</v>
      </c>
      <c r="F167" s="510">
        <v>147851.62921163163</v>
      </c>
      <c r="G167" s="3542">
        <v>99870.790794023254</v>
      </c>
      <c r="H167" s="510">
        <v>-7123.0411995568838</v>
      </c>
      <c r="I167" s="504"/>
      <c r="J167" s="2355">
        <f t="shared" si="0"/>
        <v>-7123.0411995568838</v>
      </c>
      <c r="K167" s="500">
        <v>1251464.7279338671</v>
      </c>
      <c r="L167" s="253">
        <v>164767.15534830542</v>
      </c>
      <c r="M167" s="194">
        <v>783242.36326699355</v>
      </c>
      <c r="N167" s="3542">
        <v>191861.73537639627</v>
      </c>
      <c r="O167" s="510">
        <v>262406.91405338224</v>
      </c>
      <c r="P167" s="3542">
        <v>183569.65373476941</v>
      </c>
      <c r="Q167" s="510">
        <v>-4848.7831458579285</v>
      </c>
      <c r="R167" s="504"/>
      <c r="S167" s="2355">
        <f t="shared" si="1"/>
        <v>-4848.7831458579285</v>
      </c>
      <c r="T167" s="500">
        <v>590520.62462346</v>
      </c>
      <c r="U167" s="253">
        <v>108077.74006724601</v>
      </c>
      <c r="V167" s="506">
        <v>392895.001234581</v>
      </c>
      <c r="W167" s="510">
        <v>71921.676710661806</v>
      </c>
      <c r="X167" s="3542">
        <v>97930.833374907001</v>
      </c>
      <c r="Y167" s="3542">
        <v>136638.58941686299</v>
      </c>
      <c r="Z167" s="2402">
        <f t="shared" si="2"/>
        <v>-787.73604630667251</v>
      </c>
    </row>
    <row r="168" spans="1:26" s="192" customFormat="1">
      <c r="A168" s="195" t="s">
        <v>456</v>
      </c>
      <c r="B168" s="2154">
        <v>610519.85461172729</v>
      </c>
      <c r="C168" s="253">
        <v>123133.64403046449</v>
      </c>
      <c r="D168" s="194">
        <v>419318.04320998426</v>
      </c>
      <c r="E168" s="3542">
        <v>74331.011721108443</v>
      </c>
      <c r="F168" s="510">
        <v>131625.13245280623</v>
      </c>
      <c r="G168" s="3542">
        <v>108714.07912083372</v>
      </c>
      <c r="H168" s="510">
        <v>-334.76786254085039</v>
      </c>
      <c r="I168" s="504"/>
      <c r="J168" s="2355">
        <f t="shared" si="0"/>
        <v>-334.76786254085039</v>
      </c>
      <c r="K168" s="500">
        <v>1269734.7452670829</v>
      </c>
      <c r="L168" s="253">
        <v>195582.56049985427</v>
      </c>
      <c r="M168" s="194">
        <v>811737.13865262375</v>
      </c>
      <c r="N168" s="3542">
        <v>199109.69134876208</v>
      </c>
      <c r="O168" s="510">
        <v>245558.22645878489</v>
      </c>
      <c r="P168" s="3542">
        <v>207506.67088168586</v>
      </c>
      <c r="Q168" s="510">
        <v>1405.5784274129992</v>
      </c>
      <c r="R168" s="504"/>
      <c r="S168" s="2355">
        <f t="shared" si="1"/>
        <v>1405.5784274129992</v>
      </c>
      <c r="T168" s="500">
        <v>613784.10582940001</v>
      </c>
      <c r="U168" s="253">
        <v>115942.38345248099</v>
      </c>
      <c r="V168" s="506">
        <v>426603.35311914899</v>
      </c>
      <c r="W168" s="510">
        <v>74808.841361776402</v>
      </c>
      <c r="X168" s="3542">
        <v>103383.801871528</v>
      </c>
      <c r="Y168" s="3542">
        <v>127344.478175893</v>
      </c>
      <c r="Z168" s="2402">
        <f t="shared" si="2"/>
        <v>-2413.9852464653086</v>
      </c>
    </row>
    <row r="169" spans="1:26" s="192" customFormat="1">
      <c r="A169" s="195" t="s">
        <v>457</v>
      </c>
      <c r="B169" s="2154">
        <v>615220.85493729718</v>
      </c>
      <c r="C169" s="253">
        <v>129128.9859125566</v>
      </c>
      <c r="D169" s="194">
        <v>396373.36918996047</v>
      </c>
      <c r="E169" s="3542">
        <v>82422.557447338622</v>
      </c>
      <c r="F169" s="510">
        <v>137574.77413312762</v>
      </c>
      <c r="G169" s="3542">
        <v>110460.32612797979</v>
      </c>
      <c r="H169" s="510">
        <v>17518.813951447286</v>
      </c>
      <c r="I169" s="504"/>
      <c r="J169" s="2355">
        <f t="shared" si="0"/>
        <v>17518.813951447286</v>
      </c>
      <c r="K169" s="500">
        <v>1358210.1141728326</v>
      </c>
      <c r="L169" s="253">
        <v>204508.32772605706</v>
      </c>
      <c r="M169" s="194">
        <v>803128.64455206529</v>
      </c>
      <c r="N169" s="3542">
        <v>233980.78923290371</v>
      </c>
      <c r="O169" s="510">
        <v>263486.17464649491</v>
      </c>
      <c r="P169" s="3542">
        <v>215718.27718446965</v>
      </c>
      <c r="Q169" s="510">
        <v>46404.556284087237</v>
      </c>
      <c r="R169" s="504"/>
      <c r="S169" s="2355">
        <f t="shared" si="1"/>
        <v>46404.556284087237</v>
      </c>
      <c r="T169" s="500">
        <v>626202.7246737713</v>
      </c>
      <c r="U169" s="253">
        <v>126996.057131063</v>
      </c>
      <c r="V169" s="506">
        <v>420461.38766374701</v>
      </c>
      <c r="W169" s="510">
        <v>76275.936849563994</v>
      </c>
      <c r="X169" s="3542">
        <v>109517.467644226</v>
      </c>
      <c r="Y169" s="3542">
        <v>137657.45329522801</v>
      </c>
      <c r="Z169" s="2402">
        <f t="shared" si="2"/>
        <v>9286.5363520691171</v>
      </c>
    </row>
    <row r="170" spans="1:26" s="192" customFormat="1">
      <c r="A170" s="195" t="s">
        <v>458</v>
      </c>
      <c r="B170" s="2154">
        <v>611607.33658973</v>
      </c>
      <c r="C170" s="253">
        <v>131091.92974987472</v>
      </c>
      <c r="D170" s="194">
        <v>439461.24571681349</v>
      </c>
      <c r="E170" s="3542">
        <v>70569.006768553503</v>
      </c>
      <c r="F170" s="510">
        <v>124821.26202219723</v>
      </c>
      <c r="G170" s="3542">
        <v>108785.85710582584</v>
      </c>
      <c r="H170" s="510">
        <v>-938.10527378525603</v>
      </c>
      <c r="I170" s="504"/>
      <c r="J170" s="2355">
        <f t="shared" si="0"/>
        <v>-938.10527378525603</v>
      </c>
      <c r="K170" s="500">
        <v>1418857.9499665094</v>
      </c>
      <c r="L170" s="253">
        <v>212716.89559377675</v>
      </c>
      <c r="M170" s="194">
        <v>955921.05986242183</v>
      </c>
      <c r="N170" s="3542">
        <v>208372.30437051196</v>
      </c>
      <c r="O170" s="510">
        <v>245386.53782325963</v>
      </c>
      <c r="P170" s="3542">
        <v>223217.86723771857</v>
      </c>
      <c r="Q170" s="510">
        <v>-1322.9237345173322</v>
      </c>
      <c r="R170" s="504"/>
      <c r="S170" s="2355">
        <f t="shared" si="1"/>
        <v>-1322.9237345173322</v>
      </c>
      <c r="T170" s="500">
        <v>645567.1335175815</v>
      </c>
      <c r="U170" s="253">
        <v>139206.01342725099</v>
      </c>
      <c r="V170" s="506">
        <v>440942.97641085298</v>
      </c>
      <c r="W170" s="510">
        <v>76150.606060154401</v>
      </c>
      <c r="X170" s="3542">
        <v>118311.464824964</v>
      </c>
      <c r="Y170" s="3542">
        <v>141807.17871644499</v>
      </c>
      <c r="Z170" s="2402">
        <f t="shared" si="2"/>
        <v>7560.9209324162221</v>
      </c>
    </row>
    <row r="171" spans="1:26" s="192" customFormat="1">
      <c r="A171" s="195" t="s">
        <v>459</v>
      </c>
      <c r="B171" s="2154">
        <v>733730.77396890335</v>
      </c>
      <c r="C171" s="253">
        <v>151260.05259704147</v>
      </c>
      <c r="D171" s="194">
        <v>487297.59864804189</v>
      </c>
      <c r="E171" s="3542">
        <v>77185.401450977428</v>
      </c>
      <c r="F171" s="510">
        <v>175584.32821404992</v>
      </c>
      <c r="G171" s="3542">
        <v>130038.89517350178</v>
      </c>
      <c r="H171" s="510">
        <v>14884.603079373786</v>
      </c>
      <c r="I171" s="504"/>
      <c r="J171" s="2355">
        <f t="shared" si="0"/>
        <v>14884.603079373786</v>
      </c>
      <c r="K171" s="500">
        <v>1686066.954457782</v>
      </c>
      <c r="L171" s="253">
        <v>258778.5400871957</v>
      </c>
      <c r="M171" s="194">
        <v>1074344.6816862894</v>
      </c>
      <c r="N171" s="3542">
        <v>241510.39445012668</v>
      </c>
      <c r="O171" s="510">
        <v>340952.30858969351</v>
      </c>
      <c r="P171" s="3542">
        <v>269536.45616702735</v>
      </c>
      <c r="Q171" s="510">
        <v>18501.653652567191</v>
      </c>
      <c r="R171" s="504"/>
      <c r="S171" s="2355">
        <f t="shared" si="1"/>
        <v>18501.653652567191</v>
      </c>
      <c r="T171" s="500">
        <v>674129.37854994042</v>
      </c>
      <c r="U171" s="253">
        <v>156227.15159018501</v>
      </c>
      <c r="V171" s="506">
        <v>457729.49901577499</v>
      </c>
      <c r="W171" s="510">
        <v>77529.674601384293</v>
      </c>
      <c r="X171" s="3542">
        <v>129032.25527707901</v>
      </c>
      <c r="Y171" s="3542">
        <v>162568.52035192799</v>
      </c>
      <c r="Z171" s="2402">
        <f t="shared" si="2"/>
        <v>3496.5808939591516</v>
      </c>
    </row>
    <row r="172" spans="1:26" s="192" customFormat="1">
      <c r="A172" s="195" t="s">
        <v>460</v>
      </c>
      <c r="B172" s="2154">
        <v>668566.50948898587</v>
      </c>
      <c r="C172" s="253">
        <v>171903.47870439343</v>
      </c>
      <c r="D172" s="194">
        <v>456779.06665618502</v>
      </c>
      <c r="E172" s="3542">
        <v>76311.355006754937</v>
      </c>
      <c r="F172" s="510">
        <v>168049.61790716989</v>
      </c>
      <c r="G172" s="3542">
        <v>139803.95750292117</v>
      </c>
      <c r="H172" s="510">
        <v>-474.00887965144494</v>
      </c>
      <c r="I172" s="504"/>
      <c r="J172" s="2355">
        <f t="shared" si="0"/>
        <v>-474.00887965144494</v>
      </c>
      <c r="K172" s="500">
        <v>1712834.5489382918</v>
      </c>
      <c r="L172" s="253">
        <v>293358.20093729679</v>
      </c>
      <c r="M172" s="194">
        <v>1099323.1538208912</v>
      </c>
      <c r="N172" s="3542">
        <v>254371.10902464492</v>
      </c>
      <c r="O172" s="510">
        <v>339698.42236225295</v>
      </c>
      <c r="P172" s="3542">
        <v>299912.10425162723</v>
      </c>
      <c r="Q172" s="510">
        <v>12887.960414083667</v>
      </c>
      <c r="R172" s="504"/>
      <c r="S172" s="2355">
        <f t="shared" si="1"/>
        <v>12887.960414083667</v>
      </c>
      <c r="T172" s="500">
        <v>676987.62755641807</v>
      </c>
      <c r="U172" s="253">
        <v>161832.87541880101</v>
      </c>
      <c r="V172" s="506">
        <v>462314.30666825798</v>
      </c>
      <c r="W172" s="510">
        <v>76549.8754347551</v>
      </c>
      <c r="X172" s="3542">
        <v>133774.83739696699</v>
      </c>
      <c r="Y172" s="3542">
        <v>162415.633922045</v>
      </c>
      <c r="Z172" s="2402">
        <f t="shared" si="2"/>
        <v>3765.8495531940134</v>
      </c>
    </row>
    <row r="173" spans="1:26" s="192" customFormat="1">
      <c r="A173" s="195" t="s">
        <v>461</v>
      </c>
      <c r="B173" s="2154">
        <v>668190.09771957388</v>
      </c>
      <c r="C173" s="253">
        <v>175630.37609457492</v>
      </c>
      <c r="D173" s="194">
        <v>451162.75340541295</v>
      </c>
      <c r="E173" s="3542">
        <v>85922.6262566636</v>
      </c>
      <c r="F173" s="510">
        <v>151952.376643681</v>
      </c>
      <c r="G173" s="3542">
        <v>144754.32406470989</v>
      </c>
      <c r="H173" s="510">
        <v>10028.3934436812</v>
      </c>
      <c r="I173" s="504"/>
      <c r="J173" s="2355">
        <f t="shared" si="0"/>
        <v>10028.3934436812</v>
      </c>
      <c r="K173" s="500">
        <v>1829124.2504157436</v>
      </c>
      <c r="L173" s="253">
        <v>301119.72260462772</v>
      </c>
      <c r="M173" s="194">
        <v>1139978.0110894737</v>
      </c>
      <c r="N173" s="3542">
        <v>303660.88538640103</v>
      </c>
      <c r="O173" s="510">
        <v>332471.95352493075</v>
      </c>
      <c r="P173" s="3542">
        <v>313472.47449298872</v>
      </c>
      <c r="Q173" s="510">
        <v>40660.648526434918</v>
      </c>
      <c r="R173" s="504"/>
      <c r="S173" s="2355">
        <f t="shared" si="1"/>
        <v>40660.648526434918</v>
      </c>
      <c r="T173" s="500">
        <v>685410.57814325311</v>
      </c>
      <c r="U173" s="253">
        <v>172619.79670964699</v>
      </c>
      <c r="V173" s="506">
        <v>473713.88233156799</v>
      </c>
      <c r="W173" s="510">
        <v>79758.2333866556</v>
      </c>
      <c r="X173" s="3542">
        <v>142264.47634794901</v>
      </c>
      <c r="Y173" s="3542">
        <v>153616.25179668001</v>
      </c>
      <c r="Z173" s="2402">
        <f t="shared" si="2"/>
        <v>8677.5309900474967</v>
      </c>
    </row>
    <row r="174" spans="1:26" s="192" customFormat="1">
      <c r="A174" s="195" t="s">
        <v>462</v>
      </c>
      <c r="B174" s="2154">
        <v>662325.58597269515</v>
      </c>
      <c r="C174" s="253">
        <v>171680.48522975415</v>
      </c>
      <c r="D174" s="194">
        <v>484513.98662213131</v>
      </c>
      <c r="E174" s="3542">
        <v>74065.615503609952</v>
      </c>
      <c r="F174" s="510">
        <v>138279.54794538196</v>
      </c>
      <c r="G174" s="3542">
        <v>139564.46171539812</v>
      </c>
      <c r="H174" s="510">
        <v>-2417.5405840719359</v>
      </c>
      <c r="I174" s="504"/>
      <c r="J174" s="2355">
        <f t="shared" si="0"/>
        <v>-2417.5405840719359</v>
      </c>
      <c r="K174" s="500">
        <v>1888827.151845796</v>
      </c>
      <c r="L174" s="253">
        <v>304500.65015937109</v>
      </c>
      <c r="M174" s="194">
        <v>1263267.5585228135</v>
      </c>
      <c r="N174" s="3542">
        <v>285502.12051228678</v>
      </c>
      <c r="O174" s="510">
        <v>323761.23853633623</v>
      </c>
      <c r="P174" s="3542">
        <v>324979.65319875721</v>
      </c>
      <c r="Q174" s="510">
        <v>-4182.7687629648572</v>
      </c>
      <c r="R174" s="504"/>
      <c r="S174" s="2355">
        <f t="shared" si="1"/>
        <v>-4182.7687629648572</v>
      </c>
      <c r="T174" s="500">
        <v>701719.95832865476</v>
      </c>
      <c r="U174" s="253">
        <v>182333.82478125</v>
      </c>
      <c r="V174" s="506">
        <v>488337.71951753797</v>
      </c>
      <c r="W174" s="510">
        <v>79624.148647381604</v>
      </c>
      <c r="X174" s="3542">
        <v>149901.309485479</v>
      </c>
      <c r="Y174" s="3542">
        <v>157772.05731464</v>
      </c>
      <c r="Z174" s="2402">
        <f t="shared" si="2"/>
        <v>8418.5481448661303</v>
      </c>
    </row>
    <row r="175" spans="1:26" s="192" customFormat="1">
      <c r="A175" s="195" t="s">
        <v>463</v>
      </c>
      <c r="B175" s="2154">
        <v>766332.95457161264</v>
      </c>
      <c r="C175" s="253">
        <v>185834.80063049099</v>
      </c>
      <c r="D175" s="194">
        <v>521971.6246991987</v>
      </c>
      <c r="E175" s="3542">
        <v>80830.222163875034</v>
      </c>
      <c r="F175" s="510">
        <v>170971.27052045267</v>
      </c>
      <c r="G175" s="3542">
        <v>153571.01955510411</v>
      </c>
      <c r="H175" s="510">
        <v>24823.618263473018</v>
      </c>
      <c r="I175" s="504"/>
      <c r="J175" s="2355">
        <f t="shared" si="0"/>
        <v>24823.618263473018</v>
      </c>
      <c r="K175" s="500">
        <v>2237123.8354149116</v>
      </c>
      <c r="L175" s="253">
        <v>359615.71855652856</v>
      </c>
      <c r="M175" s="194">
        <v>1407332.3298145048</v>
      </c>
      <c r="N175" s="3542">
        <v>332038.10940498242</v>
      </c>
      <c r="O175" s="510">
        <v>425057.05169150798</v>
      </c>
      <c r="P175" s="3542">
        <v>369566.52018696762</v>
      </c>
      <c r="Q175" s="510">
        <v>62745.542871625199</v>
      </c>
      <c r="R175" s="504"/>
      <c r="S175" s="2355">
        <f t="shared" si="1"/>
        <v>62745.542871625199</v>
      </c>
      <c r="T175" s="500">
        <v>710310.00486147264</v>
      </c>
      <c r="U175" s="253">
        <v>191434.90817497499</v>
      </c>
      <c r="V175" s="506">
        <v>496360.906755884</v>
      </c>
      <c r="W175" s="510">
        <v>81078.339230084996</v>
      </c>
      <c r="X175" s="3542">
        <v>153356.84778471</v>
      </c>
      <c r="Y175" s="3542">
        <v>157858.17969459901</v>
      </c>
      <c r="Z175" s="2402">
        <f t="shared" si="2"/>
        <v>13090.639571169624</v>
      </c>
    </row>
    <row r="176" spans="1:26" s="192" customFormat="1">
      <c r="A176" s="195" t="s">
        <v>464</v>
      </c>
      <c r="B176" s="2154">
        <v>711417.39193010493</v>
      </c>
      <c r="C176" s="253">
        <v>212358.17191427571</v>
      </c>
      <c r="D176" s="194">
        <v>509458.25385768822</v>
      </c>
      <c r="E176" s="3542">
        <v>81814.123471173982</v>
      </c>
      <c r="F176" s="510">
        <v>172841.45085261774</v>
      </c>
      <c r="G176" s="3542">
        <v>164571.6467049708</v>
      </c>
      <c r="H176" s="510">
        <v>-4909.9110420701254</v>
      </c>
      <c r="I176" s="504"/>
      <c r="J176" s="2355">
        <f t="shared" si="0"/>
        <v>-4909.9110420701254</v>
      </c>
      <c r="K176" s="500">
        <v>2250487.2637921702</v>
      </c>
      <c r="L176" s="253">
        <v>414749.294155323</v>
      </c>
      <c r="M176" s="194">
        <v>1462525.7007529491</v>
      </c>
      <c r="N176" s="3542">
        <v>351599.40280647663</v>
      </c>
      <c r="O176" s="510">
        <v>443868.20521517313</v>
      </c>
      <c r="P176" s="3542">
        <v>407570.7566978567</v>
      </c>
      <c r="Q176" s="510">
        <v>-327.50752470330497</v>
      </c>
      <c r="R176" s="504"/>
      <c r="S176" s="2355">
        <f t="shared" si="1"/>
        <v>-327.50752470330497</v>
      </c>
      <c r="T176" s="500">
        <v>715887.66436332592</v>
      </c>
      <c r="U176" s="253">
        <v>199473.51672710499</v>
      </c>
      <c r="V176" s="506">
        <v>510643.084370433</v>
      </c>
      <c r="W176" s="510">
        <v>81879.158013797904</v>
      </c>
      <c r="X176" s="3542">
        <v>157856.26733674499</v>
      </c>
      <c r="Y176" s="3542">
        <v>164850.54532460499</v>
      </c>
      <c r="Z176" s="2402">
        <f t="shared" si="2"/>
        <v>132.12604484998155</v>
      </c>
    </row>
    <row r="177" spans="1:26" s="192" customFormat="1">
      <c r="A177" s="195" t="s">
        <v>465</v>
      </c>
      <c r="B177" s="2154">
        <v>703050.45640799252</v>
      </c>
      <c r="C177" s="253">
        <v>198767.51540656987</v>
      </c>
      <c r="D177" s="194">
        <v>490644.74845936126</v>
      </c>
      <c r="E177" s="3542">
        <v>87429.117904933853</v>
      </c>
      <c r="F177" s="510">
        <v>164054.87715450366</v>
      </c>
      <c r="G177" s="3542">
        <v>156629.21241772975</v>
      </c>
      <c r="H177" s="510">
        <v>3060.0158780339243</v>
      </c>
      <c r="I177" s="504"/>
      <c r="J177" s="2355">
        <f t="shared" si="0"/>
        <v>3060.0158780339243</v>
      </c>
      <c r="K177" s="500">
        <v>2339658.1634702329</v>
      </c>
      <c r="L177" s="253">
        <v>381685.89401679987</v>
      </c>
      <c r="M177" s="194">
        <v>1464379.5314480003</v>
      </c>
      <c r="N177" s="3542">
        <v>398324.9435091351</v>
      </c>
      <c r="O177" s="510">
        <v>415364.36134051369</v>
      </c>
      <c r="P177" s="3542">
        <v>401260.19434016163</v>
      </c>
      <c r="Q177" s="510">
        <v>42015.026852376723</v>
      </c>
      <c r="R177" s="504"/>
      <c r="S177" s="2355">
        <f t="shared" si="1"/>
        <v>42015.026852376723</v>
      </c>
      <c r="T177" s="500">
        <v>715208.76132895402</v>
      </c>
      <c r="U177" s="253">
        <v>195398.723497762</v>
      </c>
      <c r="V177" s="506">
        <v>511246.90299452498</v>
      </c>
      <c r="W177" s="510">
        <v>81557.433152328405</v>
      </c>
      <c r="X177" s="3542">
        <v>153221.915786269</v>
      </c>
      <c r="Y177" s="3542">
        <v>165666.36413911299</v>
      </c>
      <c r="Z177" s="2402">
        <f t="shared" si="2"/>
        <v>-1085.1312455193838</v>
      </c>
    </row>
    <row r="178" spans="1:26" s="192" customFormat="1">
      <c r="A178" s="195" t="s">
        <v>466</v>
      </c>
      <c r="B178" s="2154">
        <v>672685.99363050424</v>
      </c>
      <c r="C178" s="253">
        <v>175963.63222419753</v>
      </c>
      <c r="D178" s="194">
        <v>494561.05868275702</v>
      </c>
      <c r="E178" s="3542">
        <v>77065.360118655954</v>
      </c>
      <c r="F178" s="510">
        <v>145984.10280638939</v>
      </c>
      <c r="G178" s="3542">
        <v>134285.04105704132</v>
      </c>
      <c r="H178" s="510">
        <v>-3245.9368101418791</v>
      </c>
      <c r="I178" s="504"/>
      <c r="J178" s="2355">
        <f t="shared" si="0"/>
        <v>-3245.9368101418791</v>
      </c>
      <c r="K178" s="500">
        <v>2345559.6033526314</v>
      </c>
      <c r="L178" s="253">
        <v>338377.45792099979</v>
      </c>
      <c r="M178" s="194">
        <v>1557362.136735966</v>
      </c>
      <c r="N178" s="3542">
        <v>377040.1878550367</v>
      </c>
      <c r="O178" s="510">
        <v>374190.69936839136</v>
      </c>
      <c r="P178" s="3542">
        <v>372008.73386272101</v>
      </c>
      <c r="Q178" s="510">
        <v>3335.3034498651691</v>
      </c>
      <c r="R178" s="504"/>
      <c r="S178" s="2355">
        <f t="shared" si="1"/>
        <v>3335.3034498651691</v>
      </c>
      <c r="T178" s="500">
        <v>708376.22005569842</v>
      </c>
      <c r="U178" s="253">
        <v>186090.52455913101</v>
      </c>
      <c r="V178" s="506">
        <v>499851.15707149002</v>
      </c>
      <c r="W178" s="510">
        <v>82413.022428412194</v>
      </c>
      <c r="X178" s="3542">
        <v>145161.549856472</v>
      </c>
      <c r="Y178" s="3542">
        <v>165840.212053194</v>
      </c>
      <c r="Z178" s="2402">
        <f t="shared" si="2"/>
        <v>1200.8032052613562</v>
      </c>
    </row>
    <row r="179" spans="1:26" s="192" customFormat="1">
      <c r="A179" s="195" t="s">
        <v>467</v>
      </c>
      <c r="B179" s="2154">
        <v>730838.27259277587</v>
      </c>
      <c r="C179" s="253">
        <v>168790.03309891451</v>
      </c>
      <c r="D179" s="194">
        <v>516528.23176810256</v>
      </c>
      <c r="E179" s="3542">
        <v>82453.840979409593</v>
      </c>
      <c r="F179" s="510">
        <v>155692.76464038188</v>
      </c>
      <c r="G179" s="3542">
        <v>134408.94797285143</v>
      </c>
      <c r="H179" s="510">
        <v>10544.520330945004</v>
      </c>
      <c r="I179" s="504"/>
      <c r="J179" s="2355">
        <f t="shared" si="0"/>
        <v>10544.520330945004</v>
      </c>
      <c r="K179" s="500">
        <v>2651098.0463880287</v>
      </c>
      <c r="L179" s="253">
        <v>363318.07595621212</v>
      </c>
      <c r="M179" s="194">
        <v>1738478.5253077226</v>
      </c>
      <c r="N179" s="3542">
        <v>432601.4085457506</v>
      </c>
      <c r="O179" s="510">
        <v>425243.60403295024</v>
      </c>
      <c r="P179" s="3542">
        <v>397240.40857323143</v>
      </c>
      <c r="Q179" s="510">
        <v>20852.175882111129</v>
      </c>
      <c r="R179" s="504"/>
      <c r="S179" s="2355">
        <f t="shared" si="1"/>
        <v>20852.175882111129</v>
      </c>
      <c r="T179" s="500">
        <v>683605.99878134322</v>
      </c>
      <c r="U179" s="253">
        <v>172799.848571362</v>
      </c>
      <c r="V179" s="506">
        <v>493779.511372732</v>
      </c>
      <c r="W179" s="510">
        <v>82761.471957820904</v>
      </c>
      <c r="X179" s="3542">
        <v>133906.59144892299</v>
      </c>
      <c r="Y179" s="3542">
        <v>142745.46023902899</v>
      </c>
      <c r="Z179" s="2402">
        <f t="shared" si="2"/>
        <v>3212.8123342002509</v>
      </c>
    </row>
    <row r="180" spans="1:26" s="192" customFormat="1">
      <c r="A180" s="195" t="s">
        <v>468</v>
      </c>
      <c r="B180" s="2154">
        <v>703461.65253019624</v>
      </c>
      <c r="C180" s="253">
        <v>194333.56638199877</v>
      </c>
      <c r="D180" s="194">
        <v>517627.4794360068</v>
      </c>
      <c r="E180" s="3542">
        <v>84029.384241194377</v>
      </c>
      <c r="F180" s="510">
        <v>164111.32295096805</v>
      </c>
      <c r="G180" s="3542">
        <v>150230.81659457326</v>
      </c>
      <c r="H180" s="510">
        <v>-18203.784310547417</v>
      </c>
      <c r="I180" s="504"/>
      <c r="J180" s="2355">
        <f t="shared" si="0"/>
        <v>-18203.784310547417</v>
      </c>
      <c r="K180" s="500">
        <v>2704827.5498552597</v>
      </c>
      <c r="L180" s="253">
        <v>401200.0015063301</v>
      </c>
      <c r="M180" s="194">
        <v>1767630.6246263226</v>
      </c>
      <c r="N180" s="3542">
        <v>443703.38036305353</v>
      </c>
      <c r="O180" s="510">
        <v>465874.48689347599</v>
      </c>
      <c r="P180" s="3542">
        <v>440523.43293567788</v>
      </c>
      <c r="Q180" s="510">
        <v>-11704.373459306378</v>
      </c>
      <c r="R180" s="504"/>
      <c r="S180" s="2355">
        <f t="shared" si="1"/>
        <v>-11704.373459306378</v>
      </c>
      <c r="T180" s="500">
        <v>705285.22539860196</v>
      </c>
      <c r="U180" s="253">
        <v>182216.66671649701</v>
      </c>
      <c r="V180" s="506">
        <v>515643.03896587098</v>
      </c>
      <c r="W180" s="510">
        <v>84003.985217794601</v>
      </c>
      <c r="X180" s="3542">
        <v>143391.74442015999</v>
      </c>
      <c r="Y180" s="3542">
        <v>155100.613035138</v>
      </c>
      <c r="Z180" s="2402">
        <f t="shared" si="2"/>
        <v>-10637.489523864584</v>
      </c>
    </row>
    <row r="181" spans="1:26" s="192" customFormat="1">
      <c r="A181" s="195" t="s">
        <v>469</v>
      </c>
      <c r="B181" s="2154">
        <v>706958.03908231878</v>
      </c>
      <c r="C181" s="253">
        <v>193210.37317505115</v>
      </c>
      <c r="D181" s="194">
        <v>500150.63183982833</v>
      </c>
      <c r="E181" s="3542">
        <v>90344.79818176839</v>
      </c>
      <c r="F181" s="510">
        <v>153813.21961273107</v>
      </c>
      <c r="G181" s="3542">
        <v>151946.00276177566</v>
      </c>
      <c r="H181" s="510">
        <v>3913.759861266301</v>
      </c>
      <c r="I181" s="504"/>
      <c r="J181" s="2355">
        <f t="shared" si="0"/>
        <v>3913.759861266301</v>
      </c>
      <c r="K181" s="500">
        <v>2850170.1932662781</v>
      </c>
      <c r="L181" s="253">
        <v>404797.04543316684</v>
      </c>
      <c r="M181" s="194">
        <v>1784911.7253729894</v>
      </c>
      <c r="N181" s="3542">
        <v>503024.25965783949</v>
      </c>
      <c r="O181" s="510">
        <v>448054.1834255227</v>
      </c>
      <c r="P181" s="3542">
        <v>463458.86081413575</v>
      </c>
      <c r="Q181" s="510">
        <v>55518.209429495771</v>
      </c>
      <c r="R181" s="504"/>
      <c r="S181" s="2355">
        <f t="shared" si="1"/>
        <v>55518.209429495771</v>
      </c>
      <c r="T181" s="500">
        <v>716676.51360015152</v>
      </c>
      <c r="U181" s="253">
        <v>191190.565033172</v>
      </c>
      <c r="V181" s="506">
        <v>519593.69431660202</v>
      </c>
      <c r="W181" s="510">
        <v>84714.903917000702</v>
      </c>
      <c r="X181" s="3542">
        <v>148410.92266068599</v>
      </c>
      <c r="Y181" s="3542">
        <v>155915.12468311001</v>
      </c>
      <c r="Z181" s="2402">
        <f t="shared" si="2"/>
        <v>-767.56694407516625</v>
      </c>
    </row>
    <row r="182" spans="1:26" s="192" customFormat="1">
      <c r="A182" s="195" t="s">
        <v>470</v>
      </c>
      <c r="B182" s="2154">
        <v>677085.52917315089</v>
      </c>
      <c r="C182" s="253">
        <v>176602.613153124</v>
      </c>
      <c r="D182" s="194">
        <v>506950.44640662812</v>
      </c>
      <c r="E182" s="3542">
        <v>80963.014722433203</v>
      </c>
      <c r="F182" s="510">
        <v>131767.05473088424</v>
      </c>
      <c r="G182" s="3542">
        <v>133273.11292584689</v>
      </c>
      <c r="H182" s="510">
        <v>734.51354048245798</v>
      </c>
      <c r="I182" s="504"/>
      <c r="J182" s="2355">
        <f t="shared" si="0"/>
        <v>734.51354048245798</v>
      </c>
      <c r="K182" s="500">
        <v>2888980.8590711113</v>
      </c>
      <c r="L182" s="253">
        <v>410776.80313615891</v>
      </c>
      <c r="M182" s="194">
        <v>1948085.8427457437</v>
      </c>
      <c r="N182" s="3542">
        <v>473246.44010204246</v>
      </c>
      <c r="O182" s="510">
        <v>396674.58321494772</v>
      </c>
      <c r="P182" s="3542">
        <v>458406.79108875629</v>
      </c>
      <c r="Q182" s="510">
        <v>23344.005055387148</v>
      </c>
      <c r="R182" s="504"/>
      <c r="S182" s="2355">
        <f t="shared" si="1"/>
        <v>23344.005055387148</v>
      </c>
      <c r="T182" s="500">
        <v>716063.69146123226</v>
      </c>
      <c r="U182" s="253">
        <v>185743.19267057299</v>
      </c>
      <c r="V182" s="506">
        <v>514414.53975042299</v>
      </c>
      <c r="W182" s="510">
        <v>86322.378336260095</v>
      </c>
      <c r="X182" s="3542">
        <v>145735.25429940299</v>
      </c>
      <c r="Y182" s="3542">
        <v>149831.082836163</v>
      </c>
      <c r="Z182" s="2402">
        <f t="shared" si="2"/>
        <v>5503.6289095561951</v>
      </c>
    </row>
    <row r="183" spans="1:26" s="192" customFormat="1">
      <c r="A183" s="195" t="s">
        <v>471</v>
      </c>
      <c r="B183" s="2154">
        <v>776486.60279942001</v>
      </c>
      <c r="C183" s="253">
        <v>190652.1070945469</v>
      </c>
      <c r="D183" s="194">
        <v>543923.35275378311</v>
      </c>
      <c r="E183" s="3542">
        <v>87051.596867879984</v>
      </c>
      <c r="F183" s="510">
        <v>168720.23462672776</v>
      </c>
      <c r="G183" s="3542">
        <v>150469.4153047585</v>
      </c>
      <c r="H183" s="510">
        <v>16974.11034081757</v>
      </c>
      <c r="I183" s="504"/>
      <c r="J183" s="2355">
        <f t="shared" si="0"/>
        <v>16974.11034081757</v>
      </c>
      <c r="K183" s="500">
        <v>3387810.9120546845</v>
      </c>
      <c r="L183" s="253">
        <v>491926.34557714511</v>
      </c>
      <c r="M183" s="194">
        <v>2193026.2637259718</v>
      </c>
      <c r="N183" s="3542">
        <v>541488.83273616922</v>
      </c>
      <c r="O183" s="510">
        <v>546612.48274617363</v>
      </c>
      <c r="P183" s="3542">
        <v>538931.07996200793</v>
      </c>
      <c r="Q183" s="510">
        <v>59678.598459310037</v>
      </c>
      <c r="R183" s="504"/>
      <c r="S183" s="2355">
        <f t="shared" si="1"/>
        <v>59678.598459310037</v>
      </c>
      <c r="T183" s="500">
        <v>720808.83227209072</v>
      </c>
      <c r="U183" s="253">
        <v>193967.17255066501</v>
      </c>
      <c r="V183" s="506">
        <v>517220.86542175198</v>
      </c>
      <c r="W183" s="510">
        <v>87410.718055740697</v>
      </c>
      <c r="X183" s="3542">
        <v>147671.28006293101</v>
      </c>
      <c r="Y183" s="3542">
        <v>155330.07306249399</v>
      </c>
      <c r="Z183" s="2402">
        <f t="shared" si="2"/>
        <v>7143.0682198379654</v>
      </c>
    </row>
    <row r="184" spans="1:26" s="192" customFormat="1">
      <c r="A184" s="195" t="s">
        <v>472</v>
      </c>
      <c r="B184" s="2154">
        <v>721458.94421618234</v>
      </c>
      <c r="C184" s="253">
        <v>202951.05150852748</v>
      </c>
      <c r="D184" s="194">
        <v>538421.07825339749</v>
      </c>
      <c r="E184" s="3542">
        <v>87994.272131112622</v>
      </c>
      <c r="F184" s="510">
        <v>159733.63225018961</v>
      </c>
      <c r="G184" s="3542">
        <v>152737.11410480319</v>
      </c>
      <c r="H184" s="510">
        <v>-14476.101014792954</v>
      </c>
      <c r="I184" s="504"/>
      <c r="J184" s="2355">
        <f t="shared" si="0"/>
        <v>-14476.101014792954</v>
      </c>
      <c r="K184" s="500">
        <v>3436546.5463782018</v>
      </c>
      <c r="L184" s="253">
        <v>530140.26104277535</v>
      </c>
      <c r="M184" s="194">
        <v>2293051.8870732225</v>
      </c>
      <c r="N184" s="3542">
        <v>566904.73448582017</v>
      </c>
      <c r="O184" s="510">
        <v>532721.84218584467</v>
      </c>
      <c r="P184" s="3542">
        <v>575232.30982110486</v>
      </c>
      <c r="Q184" s="510">
        <v>-1223.9661423519012</v>
      </c>
      <c r="R184" s="504"/>
      <c r="S184" s="2355">
        <f t="shared" si="1"/>
        <v>-1223.9661423519012</v>
      </c>
      <c r="T184" s="500">
        <v>725573.2191300554</v>
      </c>
      <c r="U184" s="253">
        <v>190675.043715259</v>
      </c>
      <c r="V184" s="506">
        <v>535657.07807143102</v>
      </c>
      <c r="W184" s="510">
        <v>87950.501152812605</v>
      </c>
      <c r="X184" s="3542">
        <v>145972.55602493</v>
      </c>
      <c r="Y184" s="3542">
        <v>151911.53404315899</v>
      </c>
      <c r="Z184" s="2402">
        <f t="shared" si="2"/>
        <v>-5243.4064470182639</v>
      </c>
    </row>
    <row r="185" spans="1:26" s="192" customFormat="1">
      <c r="A185" s="195" t="s">
        <v>473</v>
      </c>
      <c r="B185" s="2154">
        <v>706597.3450225069</v>
      </c>
      <c r="C185" s="253">
        <v>190526.07736575845</v>
      </c>
      <c r="D185" s="194">
        <v>513403.25174006564</v>
      </c>
      <c r="E185" s="3542">
        <v>95656.26703212563</v>
      </c>
      <c r="F185" s="510">
        <v>137569.02973944266</v>
      </c>
      <c r="G185" s="3542">
        <v>147746.62960253569</v>
      </c>
      <c r="H185" s="510">
        <v>2748.2442740955962</v>
      </c>
      <c r="I185" s="504"/>
      <c r="J185" s="2355">
        <f t="shared" si="0"/>
        <v>2748.2442740955962</v>
      </c>
      <c r="K185" s="500">
        <v>3679895.6354048252</v>
      </c>
      <c r="L185" s="253">
        <v>538206.09985605662</v>
      </c>
      <c r="M185" s="194">
        <v>2403705.0375004061</v>
      </c>
      <c r="N185" s="3542">
        <v>669258.73931420024</v>
      </c>
      <c r="O185" s="510">
        <v>481703.32091281569</v>
      </c>
      <c r="P185" s="3542">
        <v>609122.16192655428</v>
      </c>
      <c r="Q185" s="510">
        <v>54312.475609435955</v>
      </c>
      <c r="R185" s="504"/>
      <c r="S185" s="2355">
        <f t="shared" si="1"/>
        <v>54312.475609435955</v>
      </c>
      <c r="T185" s="500">
        <v>719182.67834788037</v>
      </c>
      <c r="U185" s="253">
        <v>190346.44018546</v>
      </c>
      <c r="V185" s="506">
        <v>535405.645910269</v>
      </c>
      <c r="W185" s="510">
        <v>89981.553208737998</v>
      </c>
      <c r="X185" s="3542">
        <v>144847.181550682</v>
      </c>
      <c r="Y185" s="3542">
        <v>140717.26140542899</v>
      </c>
      <c r="Z185" s="2402">
        <f t="shared" si="2"/>
        <v>-1422.5235417776275</v>
      </c>
    </row>
    <row r="186" spans="1:26" s="192" customFormat="1">
      <c r="A186" s="195" t="s">
        <v>65</v>
      </c>
      <c r="B186" s="2154">
        <v>671066.04663506267</v>
      </c>
      <c r="C186" s="253">
        <v>174142.87917514221</v>
      </c>
      <c r="D186" s="194">
        <v>517840.53374426329</v>
      </c>
      <c r="E186" s="3542">
        <v>85482.493731996292</v>
      </c>
      <c r="F186" s="510">
        <v>119113.81889969678</v>
      </c>
      <c r="G186" s="3542">
        <v>131370.53630992191</v>
      </c>
      <c r="H186" s="510">
        <v>-8598.4568756735207</v>
      </c>
      <c r="I186" s="504"/>
      <c r="J186" s="2355">
        <f t="shared" si="0"/>
        <v>-8598.4568756735207</v>
      </c>
      <c r="K186" s="500">
        <v>3917648.8611710793</v>
      </c>
      <c r="L186" s="253">
        <v>621369.20768701448</v>
      </c>
      <c r="M186" s="194">
        <v>2760478.8519005002</v>
      </c>
      <c r="N186" s="3542">
        <v>643214.15918288252</v>
      </c>
      <c r="O186" s="510">
        <v>522171.20154701103</v>
      </c>
      <c r="P186" s="3542">
        <v>643352.14852564409</v>
      </c>
      <c r="Q186" s="510">
        <v>-30198.292296296608</v>
      </c>
      <c r="R186" s="504"/>
      <c r="S186" s="2355">
        <f t="shared" si="1"/>
        <v>-30198.292296296608</v>
      </c>
      <c r="T186" s="500">
        <v>708315.37698831095</v>
      </c>
      <c r="U186" s="253">
        <v>181778.79713838399</v>
      </c>
      <c r="V186" s="506">
        <v>521769.243752143</v>
      </c>
      <c r="W186" s="510">
        <v>90824.356269240496</v>
      </c>
      <c r="X186" s="3542">
        <v>141725.78560839299</v>
      </c>
      <c r="Y186" s="3542">
        <v>134686.96047403099</v>
      </c>
      <c r="Z186" s="2402">
        <f t="shared" si="2"/>
        <v>1087.8280228874646</v>
      </c>
    </row>
    <row r="187" spans="1:26" s="192" customFormat="1">
      <c r="A187" s="195" t="s">
        <v>474</v>
      </c>
      <c r="B187" s="2154">
        <v>760576.86834800406</v>
      </c>
      <c r="C187" s="253">
        <v>169554.60524510767</v>
      </c>
      <c r="D187" s="194">
        <v>527379.22694273782</v>
      </c>
      <c r="E187" s="3542">
        <v>88842.119718548856</v>
      </c>
      <c r="F187" s="510">
        <v>152688.83294255967</v>
      </c>
      <c r="G187" s="3542">
        <v>141073.18942977019</v>
      </c>
      <c r="H187" s="510">
        <v>20148.104559495117</v>
      </c>
      <c r="I187" s="504"/>
      <c r="J187" s="2355">
        <f t="shared" si="0"/>
        <v>20148.104559495117</v>
      </c>
      <c r="K187" s="500">
        <v>4702629.524920309</v>
      </c>
      <c r="L187" s="253">
        <v>653674.36083772837</v>
      </c>
      <c r="M187" s="194">
        <v>2955020.0745849963</v>
      </c>
      <c r="N187" s="3542">
        <v>742438.68442829244</v>
      </c>
      <c r="O187" s="510">
        <v>761448.50269287324</v>
      </c>
      <c r="P187" s="3542">
        <v>737042.88938118203</v>
      </c>
      <c r="Q187" s="510">
        <v>160353.73467226245</v>
      </c>
      <c r="R187" s="504"/>
      <c r="S187" s="2355">
        <f t="shared" si="1"/>
        <v>160353.73467226245</v>
      </c>
      <c r="T187" s="500">
        <v>702913.19880550797</v>
      </c>
      <c r="U187" s="253">
        <v>170791.128528556</v>
      </c>
      <c r="V187" s="506">
        <v>498958.01980491501</v>
      </c>
      <c r="W187" s="510">
        <v>89301.735009367607</v>
      </c>
      <c r="X187" s="3542">
        <v>139110.38880058099</v>
      </c>
      <c r="Y187" s="3542">
        <v>140908.90278538701</v>
      </c>
      <c r="Z187" s="2402">
        <f t="shared" si="2"/>
        <v>5425.2809338133084</v>
      </c>
    </row>
    <row r="188" spans="1:26" s="192" customFormat="1">
      <c r="A188" s="195" t="s">
        <v>475</v>
      </c>
      <c r="B188" s="2154">
        <v>690879.79825168336</v>
      </c>
      <c r="C188" s="253">
        <v>173099.24330165773</v>
      </c>
      <c r="D188" s="194">
        <v>490626.98948685534</v>
      </c>
      <c r="E188" s="3542">
        <v>90661.590635051805</v>
      </c>
      <c r="F188" s="510">
        <v>147198.69636944201</v>
      </c>
      <c r="G188" s="3542">
        <v>140281.45358859547</v>
      </c>
      <c r="H188" s="510">
        <v>-4789.688526603717</v>
      </c>
      <c r="I188" s="504"/>
      <c r="J188" s="2355">
        <f t="shared" si="0"/>
        <v>-4789.688526603717</v>
      </c>
      <c r="K188" s="500">
        <v>4685503.1186782746</v>
      </c>
      <c r="L188" s="253">
        <v>668326.5051092552</v>
      </c>
      <c r="M188" s="194">
        <v>3052487.108041096</v>
      </c>
      <c r="N188" s="3542">
        <v>784978.39225702884</v>
      </c>
      <c r="O188" s="510">
        <v>715356.23131785891</v>
      </c>
      <c r="P188" s="3542">
        <v>775663.74970767426</v>
      </c>
      <c r="Q188" s="510">
        <v>25344.14246540744</v>
      </c>
      <c r="R188" s="504"/>
      <c r="S188" s="2355">
        <f t="shared" si="1"/>
        <v>25344.14246540744</v>
      </c>
      <c r="T188" s="500">
        <v>697283.51011195104</v>
      </c>
      <c r="U188" s="253">
        <v>162953.029919366</v>
      </c>
      <c r="V188" s="506">
        <v>490467.23867653002</v>
      </c>
      <c r="W188" s="510">
        <v>90466.666674348104</v>
      </c>
      <c r="X188" s="3542">
        <v>133831.25942686701</v>
      </c>
      <c r="Y188" s="3542">
        <v>140222.683989679</v>
      </c>
      <c r="Z188" s="2402">
        <f t="shared" si="2"/>
        <v>5248.6912638929207</v>
      </c>
    </row>
    <row r="189" spans="1:26" s="192" customFormat="1">
      <c r="A189" s="195" t="s">
        <v>476</v>
      </c>
      <c r="B189" s="2154">
        <v>686701.4706187105</v>
      </c>
      <c r="C189" s="253">
        <v>156603.14371840068</v>
      </c>
      <c r="D189" s="194">
        <v>475210.99549400172</v>
      </c>
      <c r="E189" s="3542">
        <v>97035.592333750537</v>
      </c>
      <c r="F189" s="510">
        <v>137067.84127832402</v>
      </c>
      <c r="G189" s="3542">
        <v>132033.40948911634</v>
      </c>
      <c r="H189" s="510">
        <v>1956.7757419185482</v>
      </c>
      <c r="I189" s="504"/>
      <c r="J189" s="2355">
        <f t="shared" si="0"/>
        <v>1956.7757419185482</v>
      </c>
      <c r="K189" s="500">
        <v>5010564.1968707321</v>
      </c>
      <c r="L189" s="253">
        <v>621159.19492544711</v>
      </c>
      <c r="M189" s="194">
        <v>3207804.8783261618</v>
      </c>
      <c r="N189" s="3542">
        <v>933966.60007013928</v>
      </c>
      <c r="O189" s="510">
        <v>639581.32266915531</v>
      </c>
      <c r="P189" s="3542">
        <v>770884.8439430414</v>
      </c>
      <c r="Q189" s="510">
        <v>79485.746790709512</v>
      </c>
      <c r="R189" s="504"/>
      <c r="S189" s="2355">
        <f t="shared" si="1"/>
        <v>79485.746790709512</v>
      </c>
      <c r="T189" s="500">
        <v>700712.09794769145</v>
      </c>
      <c r="U189" s="253">
        <v>157876.91585400299</v>
      </c>
      <c r="V189" s="506">
        <v>499863.24343427003</v>
      </c>
      <c r="W189" s="510">
        <v>91429.038466391299</v>
      </c>
      <c r="X189" s="3542">
        <v>130091.15498156199</v>
      </c>
      <c r="Y189" s="3542">
        <v>140250.64224092601</v>
      </c>
      <c r="Z189" s="2402">
        <f t="shared" si="2"/>
        <v>-3045.0653214548947</v>
      </c>
    </row>
    <row r="190" spans="1:26" s="192" customFormat="1">
      <c r="A190" s="195" t="s">
        <v>477</v>
      </c>
      <c r="B190" s="2154">
        <v>672749.81139169924</v>
      </c>
      <c r="C190" s="253">
        <v>160419.64644001034</v>
      </c>
      <c r="D190" s="194">
        <v>507483.723069378</v>
      </c>
      <c r="E190" s="3542">
        <v>88812.955507743565</v>
      </c>
      <c r="F190" s="510">
        <v>116284.29138088347</v>
      </c>
      <c r="G190" s="3542">
        <v>128790.25331296679</v>
      </c>
      <c r="H190" s="510">
        <v>-8201.7654392623899</v>
      </c>
      <c r="I190" s="504"/>
      <c r="J190" s="2355">
        <f t="shared" si="0"/>
        <v>-8201.7654392623899</v>
      </c>
      <c r="K190" s="500">
        <v>5092693.740328637</v>
      </c>
      <c r="L190" s="253">
        <v>615863.52573532786</v>
      </c>
      <c r="M190" s="194">
        <v>3519817.7680830266</v>
      </c>
      <c r="N190" s="3542">
        <v>876631.58132537198</v>
      </c>
      <c r="O190" s="510">
        <v>533242.34383019235</v>
      </c>
      <c r="P190" s="3542">
        <v>794916.23595667316</v>
      </c>
      <c r="Q190" s="510">
        <v>-16050.663131299585</v>
      </c>
      <c r="R190" s="504"/>
      <c r="S190" s="2355">
        <f t="shared" si="1"/>
        <v>-16050.663131299585</v>
      </c>
      <c r="T190" s="500">
        <v>710751.90614638862</v>
      </c>
      <c r="U190" s="253">
        <v>166705.20186179099</v>
      </c>
      <c r="V190" s="506">
        <v>508588.34934568702</v>
      </c>
      <c r="W190" s="510">
        <v>94420.672422548101</v>
      </c>
      <c r="X190" s="3542">
        <v>138222.046078813</v>
      </c>
      <c r="Y190" s="3542">
        <v>129788.936336029</v>
      </c>
      <c r="Z190" s="2402">
        <f t="shared" si="2"/>
        <v>6437.1038251024438</v>
      </c>
    </row>
    <row r="191" spans="1:26" s="192" customFormat="1">
      <c r="A191" s="195" t="s">
        <v>478</v>
      </c>
      <c r="B191" s="2154">
        <v>791235.96554167022</v>
      </c>
      <c r="C191" s="253">
        <v>174021.01747036108</v>
      </c>
      <c r="D191" s="194">
        <v>569042.18587121414</v>
      </c>
      <c r="E191" s="3542">
        <v>97227.659456090376</v>
      </c>
      <c r="F191" s="510">
        <v>149591.7080612978</v>
      </c>
      <c r="G191" s="3542">
        <v>143522.13876214108</v>
      </c>
      <c r="H191" s="510">
        <v>5873.2908612879519</v>
      </c>
      <c r="I191" s="504"/>
      <c r="J191" s="2355">
        <f t="shared" si="0"/>
        <v>5873.2908612879519</v>
      </c>
      <c r="K191" s="500">
        <v>5951478.8553666007</v>
      </c>
      <c r="L191" s="253">
        <v>679940.25822308427</v>
      </c>
      <c r="M191" s="194">
        <v>3979552.2652580403</v>
      </c>
      <c r="N191" s="3542">
        <v>1042972.2908742311</v>
      </c>
      <c r="O191" s="510">
        <v>688808.32989059901</v>
      </c>
      <c r="P191" s="3542">
        <v>903500.34455343289</v>
      </c>
      <c r="Q191" s="510">
        <v>16585.883013382256</v>
      </c>
      <c r="R191" s="504"/>
      <c r="S191" s="2355">
        <f t="shared" si="1"/>
        <v>16585.883013382256</v>
      </c>
      <c r="T191" s="500">
        <v>728932.58641636837</v>
      </c>
      <c r="U191" s="253">
        <v>174305.17673533101</v>
      </c>
      <c r="V191" s="506">
        <v>532946.52682045999</v>
      </c>
      <c r="W191" s="510">
        <v>97680.204828197806</v>
      </c>
      <c r="X191" s="3542">
        <v>141538.46742201</v>
      </c>
      <c r="Y191" s="3542">
        <v>139894.780143474</v>
      </c>
      <c r="Z191" s="2402">
        <f t="shared" si="2"/>
        <v>-8822.2160624423996</v>
      </c>
    </row>
    <row r="192" spans="1:26" s="192" customFormat="1">
      <c r="A192" s="195" t="s">
        <v>479</v>
      </c>
      <c r="B192" s="2154">
        <v>718281.26544978167</v>
      </c>
      <c r="C192" s="253">
        <v>192990.26576942843</v>
      </c>
      <c r="D192" s="194">
        <v>518592.72788760602</v>
      </c>
      <c r="E192" s="3542">
        <v>98086.766525729254</v>
      </c>
      <c r="F192" s="510">
        <v>147404.70503841515</v>
      </c>
      <c r="G192" s="3542">
        <v>149008.18693087087</v>
      </c>
      <c r="H192" s="510">
        <v>-1820.8551634112596</v>
      </c>
      <c r="I192" s="504"/>
      <c r="J192" s="2355">
        <f t="shared" si="0"/>
        <v>-1820.8551634112596</v>
      </c>
      <c r="K192" s="500">
        <v>6221730.7557715978</v>
      </c>
      <c r="L192" s="253">
        <v>752371.47916456545</v>
      </c>
      <c r="M192" s="194">
        <v>4034499.9814302903</v>
      </c>
      <c r="N192" s="3542">
        <v>1102097.6312524863</v>
      </c>
      <c r="O192" s="510">
        <v>696958.17735094612</v>
      </c>
      <c r="P192" s="3542">
        <v>1005506.2867745814</v>
      </c>
      <c r="Q192" s="510">
        <v>135040.15812785778</v>
      </c>
      <c r="R192" s="504"/>
      <c r="S192" s="2355">
        <f t="shared" si="1"/>
        <v>135040.15812785778</v>
      </c>
      <c r="T192" s="500">
        <v>727453.28403633856</v>
      </c>
      <c r="U192" s="253">
        <v>183110.48203772999</v>
      </c>
      <c r="V192" s="506">
        <v>522379.92149295198</v>
      </c>
      <c r="W192" s="510">
        <v>97902.149143557006</v>
      </c>
      <c r="X192" s="3542">
        <v>142906.81937996001</v>
      </c>
      <c r="Y192" s="3542">
        <v>141065.66137274401</v>
      </c>
      <c r="Z192" s="2402">
        <f t="shared" si="2"/>
        <v>6309.2146848556586</v>
      </c>
    </row>
    <row r="193" spans="1:26" s="192" customFormat="1">
      <c r="A193" s="195" t="s">
        <v>480</v>
      </c>
      <c r="B193" s="2154">
        <v>703681.54416900803</v>
      </c>
      <c r="C193" s="253">
        <v>177694.9568914407</v>
      </c>
      <c r="D193" s="194">
        <v>489467.32535882184</v>
      </c>
      <c r="E193" s="3542">
        <v>103040.47142187048</v>
      </c>
      <c r="F193" s="510">
        <v>127344.36995735197</v>
      </c>
      <c r="G193" s="3542">
        <v>142300.30190956546</v>
      </c>
      <c r="H193" s="510">
        <v>19224.032412838937</v>
      </c>
      <c r="I193" s="504"/>
      <c r="J193" s="2355">
        <f t="shared" si="0"/>
        <v>19224.032412838937</v>
      </c>
      <c r="K193" s="500">
        <v>6552140.2313025314</v>
      </c>
      <c r="L193" s="253">
        <v>757726.9957136208</v>
      </c>
      <c r="M193" s="194">
        <v>4163611.0475586802</v>
      </c>
      <c r="N193" s="3542">
        <v>1288978.4753488768</v>
      </c>
      <c r="O193" s="510">
        <v>630868.02011691337</v>
      </c>
      <c r="P193" s="3542">
        <v>1003294.8987689825</v>
      </c>
      <c r="Q193" s="510">
        <v>223114.78522269998</v>
      </c>
      <c r="R193" s="504"/>
      <c r="S193" s="2355">
        <f t="shared" si="1"/>
        <v>223114.78522269998</v>
      </c>
      <c r="T193" s="500">
        <v>718810.80995306326</v>
      </c>
      <c r="U193" s="253">
        <v>181005.025936388</v>
      </c>
      <c r="V193" s="506">
        <v>520671.16452792101</v>
      </c>
      <c r="W193" s="510">
        <v>97164.826517130306</v>
      </c>
      <c r="X193" s="3542">
        <v>140953.54803476101</v>
      </c>
      <c r="Y193" s="3542">
        <v>129875.696585702</v>
      </c>
      <c r="Z193" s="2402">
        <f t="shared" si="2"/>
        <v>11150.600223936955</v>
      </c>
    </row>
    <row r="194" spans="1:26" s="192" customFormat="1">
      <c r="A194" s="195" t="s">
        <v>481</v>
      </c>
      <c r="B194" s="2154">
        <v>677652.08911570266</v>
      </c>
      <c r="C194" s="253">
        <v>179480.42369351548</v>
      </c>
      <c r="D194" s="194">
        <v>520749.18897769589</v>
      </c>
      <c r="E194" s="3542">
        <v>90566.292339652398</v>
      </c>
      <c r="F194" s="510">
        <v>133430.07456094024</v>
      </c>
      <c r="G194" s="3542">
        <v>124425.51841156666</v>
      </c>
      <c r="H194" s="510">
        <v>-12038.561480637094</v>
      </c>
      <c r="I194" s="529">
        <v>0</v>
      </c>
      <c r="J194" s="2355">
        <f t="shared" si="0"/>
        <v>-12038.561480637094</v>
      </c>
      <c r="K194" s="500">
        <v>7006645.0451060422</v>
      </c>
      <c r="L194" s="253">
        <v>1051454.1009948829</v>
      </c>
      <c r="M194" s="194">
        <v>4828308.2079671985</v>
      </c>
      <c r="N194" s="3542">
        <v>1193932.8375958716</v>
      </c>
      <c r="O194" s="510">
        <v>895990.04997150274</v>
      </c>
      <c r="P194" s="3542">
        <v>1070847.9838516088</v>
      </c>
      <c r="Q194" s="510">
        <v>69020.066714741828</v>
      </c>
      <c r="R194" s="532">
        <v>0</v>
      </c>
      <c r="S194" s="2355">
        <f t="shared" si="1"/>
        <v>69020.066714741828</v>
      </c>
      <c r="T194" s="500">
        <v>713509.00776950188</v>
      </c>
      <c r="U194" s="253">
        <v>185481.38091758199</v>
      </c>
      <c r="V194" s="506">
        <v>520537.77838245197</v>
      </c>
      <c r="W194" s="510">
        <v>96458.897421744696</v>
      </c>
      <c r="X194" s="3542">
        <v>134575.125472885</v>
      </c>
      <c r="Y194" s="3542">
        <v>145883.296997814</v>
      </c>
      <c r="Z194" s="2402">
        <f t="shared" ref="Z194:Z201" si="3">SUM(T194:U194)-SUM(V194:Y194)</f>
        <v>1535.2904121882748</v>
      </c>
    </row>
    <row r="195" spans="1:26" s="192" customFormat="1">
      <c r="A195" s="195" t="s">
        <v>482</v>
      </c>
      <c r="B195" s="2154">
        <v>760703.28015165636</v>
      </c>
      <c r="C195" s="253">
        <v>187899.66185803572</v>
      </c>
      <c r="D195" s="194">
        <v>558368.43539579015</v>
      </c>
      <c r="E195" s="3542">
        <v>94085.733019345251</v>
      </c>
      <c r="F195" s="510">
        <v>148260.21087746299</v>
      </c>
      <c r="G195" s="3542">
        <v>134589.43795451921</v>
      </c>
      <c r="H195" s="510">
        <v>13299.124762574564</v>
      </c>
      <c r="I195" s="506">
        <v>0</v>
      </c>
      <c r="J195" s="2355">
        <f t="shared" si="0"/>
        <v>13299.124762574564</v>
      </c>
      <c r="K195" s="500">
        <v>8414556.4821792115</v>
      </c>
      <c r="L195" s="253">
        <v>1042576.3852645806</v>
      </c>
      <c r="M195" s="194">
        <v>5531903.2385373674</v>
      </c>
      <c r="N195" s="3542">
        <v>1376059.3251136823</v>
      </c>
      <c r="O195" s="510">
        <v>1020670.9153240668</v>
      </c>
      <c r="P195" s="3542">
        <v>1149601.9975566901</v>
      </c>
      <c r="Q195" s="510">
        <v>378897.39091198472</v>
      </c>
      <c r="R195" s="506">
        <v>0</v>
      </c>
      <c r="S195" s="2355">
        <f t="shared" si="1"/>
        <v>378897.39091198472</v>
      </c>
      <c r="T195" s="500">
        <v>701417.69900093763</v>
      </c>
      <c r="U195" s="253">
        <v>186872.199518351</v>
      </c>
      <c r="V195" s="506">
        <v>515965.86202965898</v>
      </c>
      <c r="W195" s="510">
        <v>94360.723725552903</v>
      </c>
      <c r="X195" s="3542">
        <v>131381.95063628699</v>
      </c>
      <c r="Y195" s="3542">
        <v>140797.70830158499</v>
      </c>
      <c r="Z195" s="2402">
        <f t="shared" si="3"/>
        <v>5783.6538262047106</v>
      </c>
    </row>
    <row r="196" spans="1:26" s="192" customFormat="1">
      <c r="A196" s="195" t="s">
        <v>483</v>
      </c>
      <c r="B196" s="2154">
        <v>694382.47577623045</v>
      </c>
      <c r="C196" s="253">
        <v>193030.1033736731</v>
      </c>
      <c r="D196" s="194">
        <v>506410.5707127761</v>
      </c>
      <c r="E196" s="3542">
        <v>96873.95781475112</v>
      </c>
      <c r="F196" s="510">
        <v>146914.03159839427</v>
      </c>
      <c r="G196" s="3542">
        <v>137185.49507782274</v>
      </c>
      <c r="H196" s="510">
        <v>28.523946159232409</v>
      </c>
      <c r="I196" s="506">
        <v>0</v>
      </c>
      <c r="J196" s="2355">
        <f t="shared" si="0"/>
        <v>28.523946159232409</v>
      </c>
      <c r="K196" s="500">
        <v>8527628.8252780307</v>
      </c>
      <c r="L196" s="253">
        <v>1151236.5066138706</v>
      </c>
      <c r="M196" s="194">
        <v>5624181.5188562153</v>
      </c>
      <c r="N196" s="3542">
        <v>1501568.8227779809</v>
      </c>
      <c r="O196" s="510">
        <v>1111904.1466351708</v>
      </c>
      <c r="P196" s="3542">
        <v>1222179.6558822615</v>
      </c>
      <c r="Q196" s="510">
        <v>219031.1877402715</v>
      </c>
      <c r="R196" s="506">
        <v>0</v>
      </c>
      <c r="S196" s="2355">
        <f t="shared" si="1"/>
        <v>219031.1877402715</v>
      </c>
      <c r="T196" s="500">
        <v>703218.45737271302</v>
      </c>
      <c r="U196" s="253">
        <v>183744.05116364799</v>
      </c>
      <c r="V196" s="506">
        <v>513833.28890137799</v>
      </c>
      <c r="W196" s="510">
        <v>96625.005030392495</v>
      </c>
      <c r="X196" s="3542">
        <v>131200.93706173499</v>
      </c>
      <c r="Y196" s="3542">
        <v>139951.22057659601</v>
      </c>
      <c r="Z196" s="2402">
        <f t="shared" si="3"/>
        <v>5352.0569662596099</v>
      </c>
    </row>
    <row r="197" spans="1:26" s="192" customFormat="1">
      <c r="A197" s="195" t="s">
        <v>484</v>
      </c>
      <c r="B197" s="2154">
        <v>693173.54934705782</v>
      </c>
      <c r="C197" s="253">
        <v>185783.37864128867</v>
      </c>
      <c r="D197" s="194">
        <v>482792.3600649343</v>
      </c>
      <c r="E197" s="3542">
        <v>103611.65551354598</v>
      </c>
      <c r="F197" s="510">
        <v>140767.70716094368</v>
      </c>
      <c r="G197" s="3542">
        <v>134851.77049515006</v>
      </c>
      <c r="H197" s="510">
        <v>16933.434753772326</v>
      </c>
      <c r="I197" s="506">
        <v>0</v>
      </c>
      <c r="J197" s="2355">
        <f t="shared" si="0"/>
        <v>16933.434753772326</v>
      </c>
      <c r="K197" s="500">
        <v>8963807.8735824302</v>
      </c>
      <c r="L197" s="253">
        <v>1219922.4007465751</v>
      </c>
      <c r="M197" s="194">
        <v>5646415.4078546483</v>
      </c>
      <c r="N197" s="3542">
        <v>1739026.4631563313</v>
      </c>
      <c r="O197" s="510">
        <v>1094432.4011464845</v>
      </c>
      <c r="P197" s="3542">
        <v>1254781.4821189188</v>
      </c>
      <c r="Q197" s="510">
        <v>449074.52005262079</v>
      </c>
      <c r="R197" s="506">
        <v>0</v>
      </c>
      <c r="S197" s="2355">
        <f t="shared" si="1"/>
        <v>449074.52005262079</v>
      </c>
      <c r="T197" s="500">
        <v>707766.23024749616</v>
      </c>
      <c r="U197" s="253">
        <v>190095.935966933</v>
      </c>
      <c r="V197" s="506">
        <v>517983.62583770597</v>
      </c>
      <c r="W197" s="510">
        <v>97693.012509604698</v>
      </c>
      <c r="X197" s="3542">
        <v>133894.208768151</v>
      </c>
      <c r="Y197" s="3542">
        <v>142739.79832174501</v>
      </c>
      <c r="Z197" s="2402">
        <f t="shared" si="3"/>
        <v>5551.5207772224676</v>
      </c>
    </row>
    <row r="198" spans="1:26" s="192" customFormat="1">
      <c r="A198" s="195" t="s">
        <v>485</v>
      </c>
      <c r="B198" s="2154">
        <v>681444.76611022244</v>
      </c>
      <c r="C198" s="253">
        <v>194211.6667513001</v>
      </c>
      <c r="D198" s="194">
        <v>536011.26796886313</v>
      </c>
      <c r="E198" s="3542">
        <v>92114.467517266225</v>
      </c>
      <c r="F198" s="510">
        <v>134667.57440605693</v>
      </c>
      <c r="G198" s="3542">
        <v>131486.24599536855</v>
      </c>
      <c r="H198" s="510">
        <v>-18623.123026032266</v>
      </c>
      <c r="I198" s="506">
        <v>0</v>
      </c>
      <c r="J198" s="2355">
        <f t="shared" si="0"/>
        <v>-18623.123026032266</v>
      </c>
      <c r="K198" s="500">
        <v>9240877.7309983596</v>
      </c>
      <c r="L198" s="253">
        <v>1286988.342589411</v>
      </c>
      <c r="M198" s="194">
        <v>6452494.8674846385</v>
      </c>
      <c r="N198" s="3542">
        <v>1603692.4033928665</v>
      </c>
      <c r="O198" s="510">
        <v>1036964.9424448053</v>
      </c>
      <c r="P198" s="3542">
        <v>1376574.1514435573</v>
      </c>
      <c r="Q198" s="510">
        <v>58139.708821904147</v>
      </c>
      <c r="R198" s="506">
        <v>0</v>
      </c>
      <c r="S198" s="2355">
        <f t="shared" si="1"/>
        <v>58139.708821904147</v>
      </c>
      <c r="T198" s="500">
        <v>714739.75730170158</v>
      </c>
      <c r="U198" s="253">
        <v>199912.427539742</v>
      </c>
      <c r="V198" s="506">
        <v>531022.64511520404</v>
      </c>
      <c r="W198" s="510">
        <v>98159.896337310798</v>
      </c>
      <c r="X198" s="3542">
        <v>139328.36853583</v>
      </c>
      <c r="Y198" s="3542">
        <v>144948.90933246599</v>
      </c>
      <c r="Z198" s="2402">
        <f t="shared" si="3"/>
        <v>1192.3655206327094</v>
      </c>
    </row>
    <row r="199" spans="1:26" s="192" customFormat="1">
      <c r="A199" s="195" t="s">
        <v>486</v>
      </c>
      <c r="B199" s="2154">
        <v>778401.67644931667</v>
      </c>
      <c r="C199" s="253">
        <v>211208.75068866156</v>
      </c>
      <c r="D199" s="194">
        <v>579761.66347400076</v>
      </c>
      <c r="E199" s="3542">
        <v>98369.906124256348</v>
      </c>
      <c r="F199" s="510">
        <v>150287.56199874161</v>
      </c>
      <c r="G199" s="3542">
        <v>147917.72513381098</v>
      </c>
      <c r="H199" s="510">
        <v>13273.57040716861</v>
      </c>
      <c r="I199" s="506">
        <v>0</v>
      </c>
      <c r="J199" s="2355">
        <f t="shared" si="0"/>
        <v>13273.57040716861</v>
      </c>
      <c r="K199" s="500">
        <v>10558208.304643149</v>
      </c>
      <c r="L199" s="253">
        <v>1391389.2309320145</v>
      </c>
      <c r="M199" s="194">
        <v>7222060.2532969499</v>
      </c>
      <c r="N199" s="3542">
        <v>1830346.0750884414</v>
      </c>
      <c r="O199" s="510">
        <v>1180972.2683563081</v>
      </c>
      <c r="P199" s="3542">
        <v>1515425.7851115854</v>
      </c>
      <c r="Q199" s="510">
        <v>200793.15372187659</v>
      </c>
      <c r="R199" s="506">
        <v>0</v>
      </c>
      <c r="S199" s="2355">
        <f t="shared" si="1"/>
        <v>200793.15372187659</v>
      </c>
      <c r="T199" s="500">
        <v>721738.8931862677</v>
      </c>
      <c r="U199" s="253">
        <v>209736.927616656</v>
      </c>
      <c r="V199" s="506">
        <v>533233.12159790704</v>
      </c>
      <c r="W199" s="510">
        <v>98373.391241581499</v>
      </c>
      <c r="X199" s="3542">
        <v>146885.02152383199</v>
      </c>
      <c r="Y199" s="3542">
        <v>145516.71293243399</v>
      </c>
      <c r="Z199" s="2402">
        <f t="shared" si="3"/>
        <v>7467.5735071692616</v>
      </c>
    </row>
    <row r="200" spans="1:26" s="192" customFormat="1">
      <c r="A200" s="195" t="s">
        <v>487</v>
      </c>
      <c r="B200" s="2154">
        <v>721120.42685279413</v>
      </c>
      <c r="C200" s="253">
        <v>229079.80670323674</v>
      </c>
      <c r="D200" s="194">
        <v>530448.74350044678</v>
      </c>
      <c r="E200" s="3542">
        <v>99417.584720550163</v>
      </c>
      <c r="F200" s="510">
        <v>153867.07257565853</v>
      </c>
      <c r="G200" s="3542">
        <v>160592.39690911057</v>
      </c>
      <c r="H200" s="510">
        <v>5874.4358502647374</v>
      </c>
      <c r="I200" s="506">
        <v>0</v>
      </c>
      <c r="J200" s="2355">
        <f t="shared" si="0"/>
        <v>5874.4358502647374</v>
      </c>
      <c r="K200" s="500">
        <v>11116422.3178693</v>
      </c>
      <c r="L200" s="253">
        <v>1637892.4601677018</v>
      </c>
      <c r="M200" s="194">
        <v>7389754.5892044138</v>
      </c>
      <c r="N200" s="3542">
        <v>1901772.384216524</v>
      </c>
      <c r="O200" s="510">
        <v>1317088.8434907189</v>
      </c>
      <c r="P200" s="3542">
        <v>1746003.5877648164</v>
      </c>
      <c r="Q200" s="510">
        <v>399695.37336052803</v>
      </c>
      <c r="R200" s="506">
        <v>0</v>
      </c>
      <c r="S200" s="2355">
        <f t="shared" si="1"/>
        <v>399695.37336052803</v>
      </c>
      <c r="T200" s="500">
        <v>731047.79495902965</v>
      </c>
      <c r="U200" s="253">
        <v>219453.498945139</v>
      </c>
      <c r="V200" s="506">
        <v>541378.43109493505</v>
      </c>
      <c r="W200" s="510">
        <v>99344.9167825326</v>
      </c>
      <c r="X200" s="3542">
        <v>154564.72902407599</v>
      </c>
      <c r="Y200" s="3542">
        <v>146615.12107713599</v>
      </c>
      <c r="Z200" s="2402">
        <f t="shared" si="3"/>
        <v>8598.0959254889749</v>
      </c>
    </row>
    <row r="201" spans="1:26" s="192" customFormat="1">
      <c r="A201" s="195" t="s">
        <v>488</v>
      </c>
      <c r="B201" s="2154">
        <v>724592.92163896293</v>
      </c>
      <c r="C201" s="253">
        <v>227978.62402592791</v>
      </c>
      <c r="D201" s="194">
        <v>508108.82394146093</v>
      </c>
      <c r="E201" s="3542">
        <v>105392.23970881503</v>
      </c>
      <c r="F201" s="510">
        <v>145441.11931488177</v>
      </c>
      <c r="G201" s="3542">
        <v>162113.68977869209</v>
      </c>
      <c r="H201" s="510">
        <v>31515.672921041147</v>
      </c>
      <c r="I201" s="506">
        <v>0</v>
      </c>
      <c r="J201" s="2355">
        <f t="shared" si="0"/>
        <v>31515.672921041147</v>
      </c>
      <c r="K201" s="500">
        <v>11725405.625723016</v>
      </c>
      <c r="L201" s="253">
        <v>1640374.7434781096</v>
      </c>
      <c r="M201" s="194">
        <v>7394054.3400921319</v>
      </c>
      <c r="N201" s="3542">
        <v>2210306.45177919</v>
      </c>
      <c r="O201" s="510">
        <v>1292046.2353310343</v>
      </c>
      <c r="P201" s="3542">
        <v>1827296.604023722</v>
      </c>
      <c r="Q201" s="510">
        <v>642076.73797504837</v>
      </c>
      <c r="R201" s="506">
        <v>0</v>
      </c>
      <c r="S201" s="2355">
        <f t="shared" si="1"/>
        <v>642076.73797504837</v>
      </c>
      <c r="T201" s="500">
        <v>738033.34560429957</v>
      </c>
      <c r="U201" s="253">
        <v>233375.99406759001</v>
      </c>
      <c r="V201" s="506">
        <v>548696.30107672501</v>
      </c>
      <c r="W201" s="510">
        <v>99415.993709462797</v>
      </c>
      <c r="X201" s="3542">
        <v>161331.938733246</v>
      </c>
      <c r="Y201" s="3542">
        <v>147182.58495330301</v>
      </c>
      <c r="Z201" s="2402">
        <f t="shared" si="3"/>
        <v>14782.521199152805</v>
      </c>
    </row>
    <row r="202" spans="1:26" s="192" customFormat="1">
      <c r="A202" s="195" t="s">
        <v>489</v>
      </c>
      <c r="B202" s="2154">
        <v>707324.2680572141</v>
      </c>
      <c r="C202" s="253">
        <v>225441.66873268329</v>
      </c>
      <c r="D202" s="194">
        <v>552912.87859209056</v>
      </c>
      <c r="E202" s="3542">
        <v>92056.193864697299</v>
      </c>
      <c r="F202" s="510">
        <v>144939.93221966934</v>
      </c>
      <c r="G202" s="3542">
        <v>152300.60421099819</v>
      </c>
      <c r="H202" s="510">
        <v>-9443.6720975579628</v>
      </c>
      <c r="I202" s="506">
        <v>0</v>
      </c>
      <c r="J202" s="2355">
        <f t="shared" si="0"/>
        <v>-9443.6720975579628</v>
      </c>
      <c r="K202" s="500">
        <v>12457790.347179031</v>
      </c>
      <c r="L202" s="253">
        <v>1919892.5593279414</v>
      </c>
      <c r="M202" s="194">
        <v>8985619.3144723307</v>
      </c>
      <c r="N202" s="3542">
        <v>1930980.5490368265</v>
      </c>
      <c r="O202" s="510">
        <v>1478729.346105644</v>
      </c>
      <c r="P202" s="3542">
        <v>2044366.8432120709</v>
      </c>
      <c r="Q202" s="510">
        <v>-62013.146319899155</v>
      </c>
      <c r="R202" s="506">
        <v>0</v>
      </c>
      <c r="S202" s="2355">
        <f t="shared" si="1"/>
        <v>-62013.146319899155</v>
      </c>
      <c r="T202" s="500">
        <v>734123.80379438028</v>
      </c>
      <c r="U202" s="253">
        <v>231646.68507093299</v>
      </c>
      <c r="V202" s="506">
        <v>546556.08065164997</v>
      </c>
      <c r="W202" s="510">
        <v>97897.385204050297</v>
      </c>
      <c r="X202" s="3542">
        <v>161283.20614789001</v>
      </c>
      <c r="Y202" s="3542">
        <v>154365.18084664599</v>
      </c>
      <c r="Z202" s="2402">
        <f>SUM(T202:U202)-SUM(V202:Y202)</f>
        <v>5668.6360150770051</v>
      </c>
    </row>
    <row r="203" spans="1:26" s="192" customFormat="1">
      <c r="A203" s="195" t="s">
        <v>490</v>
      </c>
      <c r="B203" s="2154">
        <v>747428.29995457456</v>
      </c>
      <c r="C203" s="253">
        <v>220135.48182057161</v>
      </c>
      <c r="D203" s="194">
        <v>588455.75652951398</v>
      </c>
      <c r="E203" s="3542">
        <v>97624.1805461115</v>
      </c>
      <c r="F203" s="510">
        <v>137726.12065017069</v>
      </c>
      <c r="G203" s="3542">
        <v>151659.16792457036</v>
      </c>
      <c r="H203" s="510">
        <v>-7901.4438752204433</v>
      </c>
      <c r="I203" s="506">
        <v>0</v>
      </c>
      <c r="J203" s="2355">
        <f t="shared" si="0"/>
        <v>-7901.4438752204433</v>
      </c>
      <c r="K203" s="500">
        <v>14431394.012697566</v>
      </c>
      <c r="L203" s="253">
        <v>2215778.5591385653</v>
      </c>
      <c r="M203" s="194">
        <v>10330546.935142642</v>
      </c>
      <c r="N203" s="3542">
        <v>2229720.3422271442</v>
      </c>
      <c r="O203" s="510">
        <v>1751921.0788386983</v>
      </c>
      <c r="P203" s="3542">
        <v>2168235.6608427409</v>
      </c>
      <c r="Q203" s="510">
        <v>166748.55478490356</v>
      </c>
      <c r="R203" s="506">
        <v>0</v>
      </c>
      <c r="S203" s="2355">
        <f t="shared" si="1"/>
        <v>166748.55478490356</v>
      </c>
      <c r="T203" s="500">
        <v>703511.92695430492</v>
      </c>
      <c r="U203" s="253">
        <v>218388.534395486</v>
      </c>
      <c r="V203" s="506">
        <v>540219.07334698201</v>
      </c>
      <c r="W203" s="510">
        <v>97130.099066798095</v>
      </c>
      <c r="X203" s="3542">
        <v>149629.186079993</v>
      </c>
      <c r="Y203" s="3542">
        <v>134233.04199291</v>
      </c>
      <c r="Z203" s="2402">
        <f>SUM(T203:U203)-SUM(V203:Y203)</f>
        <v>689.0608631077921</v>
      </c>
    </row>
    <row r="204" spans="1:26" s="192" customFormat="1">
      <c r="A204" s="195" t="s">
        <v>491</v>
      </c>
      <c r="B204" s="2154">
        <v>696101.58352180757</v>
      </c>
      <c r="C204" s="253">
        <v>206728.92891598196</v>
      </c>
      <c r="D204" s="194">
        <v>513316.29297847388</v>
      </c>
      <c r="E204" s="3542">
        <v>96923.533014979621</v>
      </c>
      <c r="F204" s="510">
        <v>144474.37418546676</v>
      </c>
      <c r="G204" s="3542">
        <v>142066.41524748251</v>
      </c>
      <c r="H204" s="253">
        <v>6049.8970113867208</v>
      </c>
      <c r="I204" s="506">
        <v>0</v>
      </c>
      <c r="J204" s="2355">
        <f t="shared" si="0"/>
        <v>6049.8970113867208</v>
      </c>
      <c r="K204" s="500">
        <v>15276275.653390341</v>
      </c>
      <c r="L204" s="253">
        <v>2796099.7108324175</v>
      </c>
      <c r="M204" s="194">
        <v>10818287.266995337</v>
      </c>
      <c r="N204" s="3542">
        <v>2269535.2994457465</v>
      </c>
      <c r="O204" s="510">
        <v>2390075.0811334709</v>
      </c>
      <c r="P204" s="3542">
        <v>2381084.7827953203</v>
      </c>
      <c r="Q204" s="510">
        <v>213392.93385288605</v>
      </c>
      <c r="R204" s="506">
        <v>0</v>
      </c>
      <c r="S204" s="2355">
        <f t="shared" si="1"/>
        <v>213392.93385288605</v>
      </c>
      <c r="T204" s="500">
        <v>701395.88870482845</v>
      </c>
      <c r="U204" s="253">
        <v>199164.90092198001</v>
      </c>
      <c r="V204" s="506">
        <v>529813.27894750296</v>
      </c>
      <c r="W204" s="510">
        <v>97070.151040152705</v>
      </c>
      <c r="X204" s="3542">
        <v>135905.66829864401</v>
      </c>
      <c r="Y204" s="3542">
        <v>136590.90243987</v>
      </c>
      <c r="Z204" s="2402">
        <f>SUM(T204:U204)-SUM(V204:Y204)</f>
        <v>1180.7889006388141</v>
      </c>
    </row>
    <row r="205" spans="1:26" s="192" customFormat="1">
      <c r="A205" s="195" t="s">
        <v>492</v>
      </c>
      <c r="B205" s="2154">
        <v>678655.62038445356</v>
      </c>
      <c r="C205" s="253">
        <v>171694.68040516032</v>
      </c>
      <c r="D205" s="194">
        <v>451265.20905076183</v>
      </c>
      <c r="E205" s="3542">
        <v>101213.65943477832</v>
      </c>
      <c r="F205" s="510">
        <v>160897.22038331695</v>
      </c>
      <c r="G205" s="3542">
        <v>121488.74616913995</v>
      </c>
      <c r="H205" s="253">
        <v>15485.465751616752</v>
      </c>
      <c r="I205" s="506">
        <v>0</v>
      </c>
      <c r="J205" s="2355">
        <f t="shared" si="0"/>
        <v>15485.465751616752</v>
      </c>
      <c r="K205" s="500">
        <v>16813782.695796333</v>
      </c>
      <c r="L205" s="253">
        <v>2697091.9875661591</v>
      </c>
      <c r="M205" s="194">
        <v>10838533.902790979</v>
      </c>
      <c r="N205" s="3542">
        <v>2891490.421296306</v>
      </c>
      <c r="O205" s="510">
        <v>2893922.4216014976</v>
      </c>
      <c r="P205" s="3542">
        <v>2401266.2133552069</v>
      </c>
      <c r="Q205" s="510">
        <v>485661.72431850847</v>
      </c>
      <c r="R205" s="506">
        <v>0</v>
      </c>
      <c r="S205" s="2355">
        <f t="shared" si="1"/>
        <v>485661.72431850847</v>
      </c>
      <c r="T205" s="500">
        <v>690478.15246453509</v>
      </c>
      <c r="U205" s="253">
        <v>174800.63948599799</v>
      </c>
      <c r="V205" s="506">
        <v>489361.70420470601</v>
      </c>
      <c r="W205" s="510">
        <v>95719.931549565299</v>
      </c>
      <c r="X205" s="3542">
        <v>120696.873025664</v>
      </c>
      <c r="Y205" s="3542">
        <v>162848.52215919801</v>
      </c>
      <c r="Z205" s="2402">
        <f t="shared" ref="Z205:Z233" si="4">SUM(T205:U205)-SUM(V205:Y205)</f>
        <v>-3348.238988600322</v>
      </c>
    </row>
    <row r="206" spans="1:26" s="192" customFormat="1">
      <c r="A206" s="195" t="s">
        <v>493</v>
      </c>
      <c r="B206" s="2154">
        <v>665848.71529970889</v>
      </c>
      <c r="C206" s="253">
        <v>168867.28177685314</v>
      </c>
      <c r="D206" s="194">
        <v>504391.51102833217</v>
      </c>
      <c r="E206" s="3542">
        <v>87955.885315884618</v>
      </c>
      <c r="F206" s="510">
        <v>145979.48694396392</v>
      </c>
      <c r="G206" s="3542">
        <v>114187.82600362251</v>
      </c>
      <c r="H206" s="253">
        <v>-17798.712215241139</v>
      </c>
      <c r="I206" s="506">
        <v>0</v>
      </c>
      <c r="J206" s="2355">
        <f t="shared" si="0"/>
        <v>-17798.712215241139</v>
      </c>
      <c r="K206" s="500">
        <v>17484108.856974758</v>
      </c>
      <c r="L206" s="253">
        <v>2691262.9814260891</v>
      </c>
      <c r="M206" s="194">
        <v>12506829.117932249</v>
      </c>
      <c r="N206" s="3542">
        <v>2915482.6602430898</v>
      </c>
      <c r="O206" s="510">
        <v>2815654.9440515246</v>
      </c>
      <c r="P206" s="3542">
        <v>2496183.2312483937</v>
      </c>
      <c r="Q206" s="510">
        <v>-558778.11507440591</v>
      </c>
      <c r="R206" s="506">
        <v>0</v>
      </c>
      <c r="S206" s="2355">
        <f t="shared" si="1"/>
        <v>-558778.11507440591</v>
      </c>
      <c r="T206" s="500">
        <v>693093.70549915161</v>
      </c>
      <c r="U206" s="253">
        <v>173875.091741296</v>
      </c>
      <c r="V206" s="506">
        <v>499089.17067896301</v>
      </c>
      <c r="W206" s="510">
        <v>93136.446988677199</v>
      </c>
      <c r="X206" s="3542">
        <v>121371.800446653</v>
      </c>
      <c r="Y206" s="3542">
        <v>155487.5334245</v>
      </c>
      <c r="Z206" s="2402">
        <f t="shared" si="4"/>
        <v>-2116.1542983456748</v>
      </c>
    </row>
    <row r="207" spans="1:26" s="192" customFormat="1">
      <c r="A207" s="195" t="s">
        <v>494</v>
      </c>
      <c r="B207" s="2154">
        <v>751784.46077713254</v>
      </c>
      <c r="C207" s="253">
        <v>171113.94006205906</v>
      </c>
      <c r="D207" s="194">
        <v>550677.2854003571</v>
      </c>
      <c r="E207" s="3542">
        <v>93381.864308900738</v>
      </c>
      <c r="F207" s="510">
        <v>159369.07377883981</v>
      </c>
      <c r="G207" s="3542">
        <v>123592.22780170344</v>
      </c>
      <c r="H207" s="253">
        <v>-4122.0504506094958</v>
      </c>
      <c r="I207" s="506">
        <v>0</v>
      </c>
      <c r="J207" s="2355">
        <f t="shared" si="0"/>
        <v>-4122.0504506094958</v>
      </c>
      <c r="K207" s="500">
        <v>21233558.154751204</v>
      </c>
      <c r="L207" s="253">
        <v>2995331.6135632321</v>
      </c>
      <c r="M207" s="510">
        <v>14726541.986568943</v>
      </c>
      <c r="N207" s="3542">
        <v>3465044.4136007172</v>
      </c>
      <c r="O207" s="510">
        <v>3503605.4715096559</v>
      </c>
      <c r="P207" s="3542">
        <v>2955278.3386972123</v>
      </c>
      <c r="Q207" s="510">
        <v>-421580.44206209073</v>
      </c>
      <c r="R207" s="506">
        <v>0</v>
      </c>
      <c r="S207" s="2355">
        <f t="shared" si="1"/>
        <v>-421580.44206209073</v>
      </c>
      <c r="T207" s="500">
        <v>696861.35118506756</v>
      </c>
      <c r="U207" s="253">
        <v>169575.83859624399</v>
      </c>
      <c r="V207" s="506">
        <v>502085.10697478999</v>
      </c>
      <c r="W207" s="510">
        <v>92371.762463345396</v>
      </c>
      <c r="X207" s="3542">
        <v>123765.487717978</v>
      </c>
      <c r="Y207" s="3542">
        <v>156067.294927223</v>
      </c>
      <c r="Z207" s="2402">
        <f t="shared" si="4"/>
        <v>-7852.4623020248255</v>
      </c>
    </row>
    <row r="208" spans="1:26" s="192" customFormat="1">
      <c r="A208" s="195" t="s">
        <v>495</v>
      </c>
      <c r="B208" s="2154">
        <v>683900.89855257841</v>
      </c>
      <c r="C208" s="253">
        <v>176396.74291737535</v>
      </c>
      <c r="D208" s="194">
        <v>480415.60689608956</v>
      </c>
      <c r="E208" s="3542">
        <v>88666.349847089979</v>
      </c>
      <c r="F208" s="510">
        <v>166474.0916804299</v>
      </c>
      <c r="G208" s="3542">
        <v>127742.49807995031</v>
      </c>
      <c r="H208" s="510">
        <v>-2865.4114631469688</v>
      </c>
      <c r="I208" s="506">
        <v>0</v>
      </c>
      <c r="J208" s="2355">
        <f t="shared" si="0"/>
        <v>-2865.4114631469688</v>
      </c>
      <c r="K208" s="500">
        <v>22303884.008779511</v>
      </c>
      <c r="L208" s="253">
        <v>3496149.7229280677</v>
      </c>
      <c r="M208" s="194">
        <v>14448983.823249834</v>
      </c>
      <c r="N208" s="3542">
        <v>3514717.5114464457</v>
      </c>
      <c r="O208" s="510">
        <v>4137684.1662638434</v>
      </c>
      <c r="P208" s="3542">
        <v>3413087.2481312547</v>
      </c>
      <c r="Q208" s="510">
        <v>288661.30781486165</v>
      </c>
      <c r="R208" s="506">
        <v>0</v>
      </c>
      <c r="S208" s="2355">
        <f t="shared" si="1"/>
        <v>288661.30781486165</v>
      </c>
      <c r="T208" s="500">
        <v>696314.14262671897</v>
      </c>
      <c r="U208" s="253">
        <v>170828.16496115801</v>
      </c>
      <c r="V208" s="506">
        <v>499665.43993065401</v>
      </c>
      <c r="W208" s="510">
        <v>89187.172645952494</v>
      </c>
      <c r="X208" s="3542">
        <v>121515.376602629</v>
      </c>
      <c r="Y208" s="3542">
        <v>157590.26049880701</v>
      </c>
      <c r="Z208" s="2402">
        <f t="shared" si="4"/>
        <v>-815.94209016556852</v>
      </c>
    </row>
    <row r="209" spans="1:26" s="192" customFormat="1">
      <c r="A209" s="195" t="s">
        <v>496</v>
      </c>
      <c r="B209" s="2154">
        <v>671361.13972242002</v>
      </c>
      <c r="C209" s="253">
        <v>153557.48180457175</v>
      </c>
      <c r="D209" s="194">
        <v>441436.04980722244</v>
      </c>
      <c r="E209" s="3542">
        <v>92992.64557113075</v>
      </c>
      <c r="F209" s="510">
        <v>173554.69540591474</v>
      </c>
      <c r="G209" s="3542">
        <v>111464.9398238233</v>
      </c>
      <c r="H209" s="510">
        <v>6361.6247274381794</v>
      </c>
      <c r="I209" s="506">
        <v>0</v>
      </c>
      <c r="J209" s="2355">
        <f t="shared" si="0"/>
        <v>6361.6247274381794</v>
      </c>
      <c r="K209" s="500">
        <v>25212225.57629694</v>
      </c>
      <c r="L209" s="253">
        <v>3498567.7871837672</v>
      </c>
      <c r="M209" s="194">
        <v>15341960.115295788</v>
      </c>
      <c r="N209" s="3542">
        <v>4284383.629432993</v>
      </c>
      <c r="O209" s="510">
        <v>5000354.9936095746</v>
      </c>
      <c r="P209" s="3542">
        <v>3379824.9111472671</v>
      </c>
      <c r="Q209" s="510">
        <v>728359.33605592558</v>
      </c>
      <c r="R209" s="506">
        <v>0</v>
      </c>
      <c r="S209" s="2355">
        <f t="shared" si="1"/>
        <v>728359.33605592558</v>
      </c>
      <c r="T209" s="500">
        <v>686626.01504090067</v>
      </c>
      <c r="U209" s="253">
        <v>155656.35126216101</v>
      </c>
      <c r="V209" s="506">
        <v>476080.73554759403</v>
      </c>
      <c r="W209" s="510">
        <v>88301.362945030996</v>
      </c>
      <c r="X209" s="3542">
        <v>110334.82694183799</v>
      </c>
      <c r="Y209" s="3542">
        <v>176232.25895861999</v>
      </c>
      <c r="Z209" s="2402">
        <f t="shared" si="4"/>
        <v>-8666.8180900213774</v>
      </c>
    </row>
    <row r="210" spans="1:26" s="192" customFormat="1">
      <c r="A210" s="195" t="s">
        <v>497</v>
      </c>
      <c r="B210" s="2154">
        <v>632389.35353461001</v>
      </c>
      <c r="C210" s="253">
        <v>147946.8652804679</v>
      </c>
      <c r="D210" s="194">
        <v>470887.43428154616</v>
      </c>
      <c r="E210" s="3542">
        <v>87736.345381020859</v>
      </c>
      <c r="F210" s="510">
        <v>139323.35480735445</v>
      </c>
      <c r="G210" s="3542">
        <v>93438.798849567916</v>
      </c>
      <c r="H210" s="510">
        <v>-11049.714504411444</v>
      </c>
      <c r="I210" s="506">
        <v>0</v>
      </c>
      <c r="J210" s="2355">
        <f t="shared" ref="J210:J253" si="5">I210+H210</f>
        <v>-11049.714504411444</v>
      </c>
      <c r="K210" s="500">
        <v>24999988.082612831</v>
      </c>
      <c r="L210" s="253">
        <v>3461376.5819446747</v>
      </c>
      <c r="M210" s="194">
        <v>17610147.710211862</v>
      </c>
      <c r="N210" s="3542">
        <v>4127506.9648787244</v>
      </c>
      <c r="O210" s="510">
        <v>4184145.2669444666</v>
      </c>
      <c r="P210" s="3542">
        <v>3293519.1029432211</v>
      </c>
      <c r="Q210" s="510">
        <v>-753954.38042077376</v>
      </c>
      <c r="R210" s="506">
        <v>0</v>
      </c>
      <c r="S210" s="2355">
        <f t="shared" si="1"/>
        <v>-753954.38042077376</v>
      </c>
      <c r="T210" s="500">
        <v>656405.46191031951</v>
      </c>
      <c r="U210" s="253">
        <v>152550.968911743</v>
      </c>
      <c r="V210" s="506">
        <v>461300.78652237001</v>
      </c>
      <c r="W210" s="510">
        <v>92144.234804598396</v>
      </c>
      <c r="X210" s="3542">
        <v>100833.015732463</v>
      </c>
      <c r="Y210" s="3542">
        <v>148988.45502204701</v>
      </c>
      <c r="Z210" s="2402">
        <f t="shared" si="4"/>
        <v>5689.938740584068</v>
      </c>
    </row>
    <row r="211" spans="1:26" s="192" customFormat="1">
      <c r="A211" s="195" t="s">
        <v>498</v>
      </c>
      <c r="B211" s="2154">
        <v>609379.98946480127</v>
      </c>
      <c r="C211" s="253">
        <v>118831.91607431167</v>
      </c>
      <c r="D211" s="194">
        <v>434291.22191559087</v>
      </c>
      <c r="E211" s="3542">
        <v>87928.544809612955</v>
      </c>
      <c r="F211" s="510">
        <v>136593.32836722894</v>
      </c>
      <c r="G211" s="3542">
        <v>76231.157865457251</v>
      </c>
      <c r="H211" s="510">
        <v>-6832.3474187771135</v>
      </c>
      <c r="I211" s="506">
        <v>0</v>
      </c>
      <c r="J211" s="2355">
        <f t="shared" si="5"/>
        <v>-6832.3474187771135</v>
      </c>
      <c r="K211" s="500">
        <v>24025361.939099036</v>
      </c>
      <c r="L211" s="253">
        <v>2995487.7931514946</v>
      </c>
      <c r="M211" s="194">
        <v>16394879.795357706</v>
      </c>
      <c r="N211" s="3542">
        <v>4383620.5021417476</v>
      </c>
      <c r="O211" s="510">
        <v>4354106.2596864058</v>
      </c>
      <c r="P211" s="3542">
        <v>2507043.1480245627</v>
      </c>
      <c r="Q211" s="510">
        <v>-618799.97295988665</v>
      </c>
      <c r="R211" s="506">
        <v>0</v>
      </c>
      <c r="S211" s="2355">
        <f t="shared" ref="S211:S253" si="6">R211+Q211</f>
        <v>-618799.97295988665</v>
      </c>
      <c r="T211" s="500">
        <v>563484.6621608017</v>
      </c>
      <c r="U211" s="253">
        <v>116634.37238945899</v>
      </c>
      <c r="V211" s="506">
        <v>395002.51819389401</v>
      </c>
      <c r="W211" s="510">
        <v>86851.050596147004</v>
      </c>
      <c r="X211" s="3542">
        <v>76419.559892394405</v>
      </c>
      <c r="Y211" s="3542">
        <v>132944.185095411</v>
      </c>
      <c r="Z211" s="2402">
        <f t="shared" si="4"/>
        <v>-11098.279227585765</v>
      </c>
    </row>
    <row r="212" spans="1:26" s="192" customFormat="1">
      <c r="A212" s="195" t="s">
        <v>499</v>
      </c>
      <c r="B212" s="2154">
        <v>614192.47840422287</v>
      </c>
      <c r="C212" s="253">
        <v>136935.27553956184</v>
      </c>
      <c r="D212" s="194">
        <v>408971.26297570387</v>
      </c>
      <c r="E212" s="3542">
        <v>86984.633669152085</v>
      </c>
      <c r="F212" s="510">
        <v>136347.82248110077</v>
      </c>
      <c r="G212" s="3542">
        <v>116052.69910475849</v>
      </c>
      <c r="H212" s="510">
        <v>2771.3357130695558</v>
      </c>
      <c r="I212" s="506">
        <v>0</v>
      </c>
      <c r="J212" s="2355">
        <f t="shared" si="5"/>
        <v>2771.3357130695558</v>
      </c>
      <c r="K212" s="500">
        <v>27536379.505392455</v>
      </c>
      <c r="L212" s="253">
        <v>3800934.8859910201</v>
      </c>
      <c r="M212" s="194">
        <v>17443145.176056884</v>
      </c>
      <c r="N212" s="3542">
        <v>4424148.4978680871</v>
      </c>
      <c r="O212" s="510">
        <v>4797446.0638376707</v>
      </c>
      <c r="P212" s="3542">
        <v>4292822.4104276039</v>
      </c>
      <c r="Q212" s="510">
        <v>379752.24319323711</v>
      </c>
      <c r="R212" s="506">
        <v>0</v>
      </c>
      <c r="S212" s="2355">
        <f t="shared" si="6"/>
        <v>379752.24319323711</v>
      </c>
      <c r="T212" s="500">
        <v>623894.44182136783</v>
      </c>
      <c r="U212" s="253">
        <v>132940.26774727399</v>
      </c>
      <c r="V212" s="506">
        <v>428108.77031280799</v>
      </c>
      <c r="W212" s="510">
        <v>87786.333660399599</v>
      </c>
      <c r="X212" s="3542">
        <v>109863.886422921</v>
      </c>
      <c r="Y212" s="3542">
        <v>128635.70572160299</v>
      </c>
      <c r="Z212" s="2402">
        <f t="shared" si="4"/>
        <v>2440.0134509102209</v>
      </c>
    </row>
    <row r="213" spans="1:26" s="192" customFormat="1">
      <c r="A213" s="195" t="s">
        <v>500</v>
      </c>
      <c r="B213" s="2154">
        <v>642403.32319795026</v>
      </c>
      <c r="C213" s="253">
        <v>150921.00259403721</v>
      </c>
      <c r="D213" s="194">
        <v>422152.31693503499</v>
      </c>
      <c r="E213" s="3542">
        <v>93008.979212823979</v>
      </c>
      <c r="F213" s="510">
        <v>120573.80620850835</v>
      </c>
      <c r="G213" s="3542">
        <v>128941.85089797007</v>
      </c>
      <c r="H213" s="510">
        <v>28647.372537650161</v>
      </c>
      <c r="I213" s="506">
        <v>0</v>
      </c>
      <c r="J213" s="2355">
        <f t="shared" si="5"/>
        <v>28647.372537650161</v>
      </c>
      <c r="K213" s="500">
        <v>32277527.046046086</v>
      </c>
      <c r="L213" s="253">
        <v>4542472.3540088767</v>
      </c>
      <c r="M213" s="194">
        <v>20064341.742085136</v>
      </c>
      <c r="N213" s="3542">
        <v>5429179.8329873197</v>
      </c>
      <c r="O213" s="510">
        <v>4737512.0339845428</v>
      </c>
      <c r="P213" s="3542">
        <v>5451588.0055542327</v>
      </c>
      <c r="Q213" s="510">
        <v>1137377.7854437362</v>
      </c>
      <c r="R213" s="506">
        <v>0</v>
      </c>
      <c r="S213" s="2355">
        <f t="shared" si="6"/>
        <v>1137377.7854437362</v>
      </c>
      <c r="T213" s="500">
        <v>654580.57870909641</v>
      </c>
      <c r="U213" s="253">
        <v>152509.450439904</v>
      </c>
      <c r="V213" s="506">
        <v>451890.161078804</v>
      </c>
      <c r="W213" s="510">
        <v>88876.884011465096</v>
      </c>
      <c r="X213" s="3542">
        <v>127548.044669974</v>
      </c>
      <c r="Y213" s="3542">
        <v>122269.966025131</v>
      </c>
      <c r="Z213" s="2402">
        <f t="shared" si="4"/>
        <v>16504.973363626399</v>
      </c>
    </row>
    <row r="214" spans="1:26" s="192" customFormat="1">
      <c r="A214" s="195" t="s">
        <v>501</v>
      </c>
      <c r="B214" s="2154">
        <v>652831.97670632158</v>
      </c>
      <c r="C214" s="253">
        <v>147517.11225906957</v>
      </c>
      <c r="D214" s="194">
        <v>473418.88663387613</v>
      </c>
      <c r="E214" s="3542">
        <v>88352.495827048187</v>
      </c>
      <c r="F214" s="510">
        <v>125271.19242964438</v>
      </c>
      <c r="G214" s="3542">
        <v>129688.33432883563</v>
      </c>
      <c r="H214" s="510">
        <v>-16381.819916439475</v>
      </c>
      <c r="I214" s="506">
        <v>0</v>
      </c>
      <c r="J214" s="2355">
        <f t="shared" si="5"/>
        <v>-16381.819916439475</v>
      </c>
      <c r="K214" s="500">
        <v>36785109.793720186</v>
      </c>
      <c r="L214" s="253">
        <v>5256379.8210740956</v>
      </c>
      <c r="M214" s="194">
        <v>24629078.749412492</v>
      </c>
      <c r="N214" s="3542">
        <v>5526241.6848398075</v>
      </c>
      <c r="O214" s="510">
        <v>6168401.88670645</v>
      </c>
      <c r="P214" s="3542">
        <v>6580569.9853002997</v>
      </c>
      <c r="Q214" s="510">
        <v>-862802.69146475941</v>
      </c>
      <c r="R214" s="506">
        <v>0</v>
      </c>
      <c r="S214" s="2355">
        <f t="shared" si="6"/>
        <v>-862802.69146475941</v>
      </c>
      <c r="T214" s="500">
        <v>677169.13791920443</v>
      </c>
      <c r="U214" s="253">
        <v>152828.68527854199</v>
      </c>
      <c r="V214" s="506">
        <v>463333.18928031903</v>
      </c>
      <c r="W214" s="510">
        <v>92261.1208930844</v>
      </c>
      <c r="X214" s="3542">
        <v>137749.855390532</v>
      </c>
      <c r="Y214" s="3542">
        <v>134865.85316404799</v>
      </c>
      <c r="Z214" s="2402">
        <f t="shared" si="4"/>
        <v>1787.8044697630685</v>
      </c>
    </row>
    <row r="215" spans="1:26" s="192" customFormat="1">
      <c r="A215" s="195" t="s">
        <v>502</v>
      </c>
      <c r="B215" s="2154">
        <v>723516.62249067484</v>
      </c>
      <c r="C215" s="253">
        <v>163057.52331432875</v>
      </c>
      <c r="D215" s="194">
        <v>514737.79354092252</v>
      </c>
      <c r="E215" s="3542">
        <v>93809.853002087038</v>
      </c>
      <c r="F215" s="510">
        <v>146242.56397652789</v>
      </c>
      <c r="G215" s="3542">
        <v>136177.6969330454</v>
      </c>
      <c r="H215" s="510">
        <v>-4393.7614654457429</v>
      </c>
      <c r="I215" s="506">
        <v>0</v>
      </c>
      <c r="J215" s="2355">
        <f t="shared" si="5"/>
        <v>-4393.7614654457429</v>
      </c>
      <c r="K215" s="500">
        <v>46340281.475928783</v>
      </c>
      <c r="L215" s="253">
        <v>6660763.0933521856</v>
      </c>
      <c r="M215" s="194">
        <v>29481554.959085483</v>
      </c>
      <c r="N215" s="3542">
        <v>6827446.0584609257</v>
      </c>
      <c r="O215" s="510">
        <v>8345420.4486750914</v>
      </c>
      <c r="P215" s="3542">
        <v>7571047.895175321</v>
      </c>
      <c r="Q215" s="510">
        <v>775575.20788413286</v>
      </c>
      <c r="R215" s="506">
        <v>0</v>
      </c>
      <c r="S215" s="2355">
        <f t="shared" si="6"/>
        <v>775575.20788413286</v>
      </c>
      <c r="T215" s="500">
        <v>679096.31371864828</v>
      </c>
      <c r="U215" s="253">
        <v>159021.913617668</v>
      </c>
      <c r="V215" s="506">
        <v>467218.39169240597</v>
      </c>
      <c r="W215" s="510">
        <v>92611.209821184893</v>
      </c>
      <c r="X215" s="3542">
        <v>136073.45838262301</v>
      </c>
      <c r="Y215" s="3542">
        <v>142573.21233588201</v>
      </c>
      <c r="Z215" s="2402">
        <f t="shared" si="4"/>
        <v>-358.04489577969071</v>
      </c>
    </row>
    <row r="216" spans="1:26" s="192" customFormat="1">
      <c r="A216" s="195" t="s">
        <v>503</v>
      </c>
      <c r="B216" s="2154">
        <v>686756.46782667423</v>
      </c>
      <c r="C216" s="253">
        <v>164904.01955605674</v>
      </c>
      <c r="D216" s="194">
        <v>449491.73368179571</v>
      </c>
      <c r="E216" s="3542">
        <v>95108.617108262784</v>
      </c>
      <c r="F216" s="510">
        <v>161505.18821382581</v>
      </c>
      <c r="G216" s="3542">
        <v>141727.54916135024</v>
      </c>
      <c r="H216" s="510">
        <v>3827.3992861004081</v>
      </c>
      <c r="I216" s="506">
        <v>0</v>
      </c>
      <c r="J216" s="2355">
        <f t="shared" si="5"/>
        <v>3827.3992861004081</v>
      </c>
      <c r="K216" s="500">
        <v>47462528.989099547</v>
      </c>
      <c r="L216" s="253">
        <v>7659365.9567511501</v>
      </c>
      <c r="M216" s="194">
        <v>28914823.00348736</v>
      </c>
      <c r="N216" s="3542">
        <v>7431638.7916288031</v>
      </c>
      <c r="O216" s="510">
        <v>9839665.7469698172</v>
      </c>
      <c r="P216" s="3542">
        <v>8424274.2023363616</v>
      </c>
      <c r="Q216" s="510">
        <v>511493.20142836869</v>
      </c>
      <c r="R216" s="506">
        <v>0</v>
      </c>
      <c r="S216" s="2355">
        <f t="shared" si="6"/>
        <v>511493.20142836869</v>
      </c>
      <c r="T216" s="500">
        <v>693100.33574559912</v>
      </c>
      <c r="U216" s="253">
        <v>161299.67464980599</v>
      </c>
      <c r="V216" s="506">
        <v>474677.99694672797</v>
      </c>
      <c r="W216" s="510">
        <v>96279.132996066794</v>
      </c>
      <c r="X216" s="3542">
        <v>135003.22064141301</v>
      </c>
      <c r="Y216" s="3542">
        <v>153216.777567996</v>
      </c>
      <c r="Z216" s="2402">
        <f t="shared" si="4"/>
        <v>-4777.1177567986306</v>
      </c>
    </row>
    <row r="217" spans="1:26" s="192" customFormat="1">
      <c r="A217" s="195" t="s">
        <v>504</v>
      </c>
      <c r="B217" s="2154">
        <v>696134.66911211505</v>
      </c>
      <c r="C217" s="253">
        <v>182089.20202110664</v>
      </c>
      <c r="D217" s="194">
        <v>463015.56785956828</v>
      </c>
      <c r="E217" s="3542">
        <v>103726.72779060947</v>
      </c>
      <c r="F217" s="510">
        <v>144860.42838246087</v>
      </c>
      <c r="G217" s="3542">
        <v>148125.39297362405</v>
      </c>
      <c r="H217" s="510">
        <v>18495.754228945822</v>
      </c>
      <c r="I217" s="506">
        <v>0</v>
      </c>
      <c r="J217" s="2355">
        <f t="shared" si="5"/>
        <v>18495.754228945822</v>
      </c>
      <c r="K217" s="500">
        <v>54288413.782466695</v>
      </c>
      <c r="L217" s="253">
        <v>8177090.1563297417</v>
      </c>
      <c r="M217" s="194">
        <v>33360045.12800109</v>
      </c>
      <c r="N217" s="3542">
        <v>9639254.2096673381</v>
      </c>
      <c r="O217" s="510">
        <v>9047581.5111862961</v>
      </c>
      <c r="P217" s="3542">
        <v>9390395.5550043192</v>
      </c>
      <c r="Q217" s="510">
        <v>1028227.5349373966</v>
      </c>
      <c r="R217" s="506">
        <v>0</v>
      </c>
      <c r="S217" s="2355">
        <f t="shared" si="6"/>
        <v>1028227.5349373966</v>
      </c>
      <c r="T217" s="500">
        <v>709873.94875233434</v>
      </c>
      <c r="U217" s="253">
        <v>184417.58360454801</v>
      </c>
      <c r="V217" s="506">
        <v>495434.40379671002</v>
      </c>
      <c r="W217" s="510">
        <v>99846.230017670896</v>
      </c>
      <c r="X217" s="3542">
        <v>146892.43898228701</v>
      </c>
      <c r="Y217" s="3542">
        <v>147223.529934533</v>
      </c>
      <c r="Z217" s="2402">
        <f t="shared" si="4"/>
        <v>4894.929625681485</v>
      </c>
    </row>
    <row r="218" spans="1:26" s="192" customFormat="1">
      <c r="A218" s="195" t="s">
        <v>505</v>
      </c>
      <c r="B218" s="2154">
        <v>697625.28466635814</v>
      </c>
      <c r="C218" s="253">
        <v>182574.74792954678</v>
      </c>
      <c r="D218" s="194">
        <v>516582.48034662602</v>
      </c>
      <c r="E218" s="3542">
        <v>94876.315423049731</v>
      </c>
      <c r="F218" s="510">
        <v>135342.64275390125</v>
      </c>
      <c r="G218" s="3542">
        <v>143683.72144414237</v>
      </c>
      <c r="H218" s="510">
        <v>-10285.127371814537</v>
      </c>
      <c r="I218" s="506">
        <v>0</v>
      </c>
      <c r="J218" s="2355">
        <f t="shared" si="5"/>
        <v>-10285.127371814537</v>
      </c>
      <c r="K218" s="500">
        <v>60345325.426595442</v>
      </c>
      <c r="L218" s="253">
        <v>9287878.5887752231</v>
      </c>
      <c r="M218" s="194">
        <v>41374961.887745298</v>
      </c>
      <c r="N218" s="3542">
        <v>9533137.8594898768</v>
      </c>
      <c r="O218" s="510">
        <v>9677450.6549934316</v>
      </c>
      <c r="P218" s="3542">
        <v>10196014.280278394</v>
      </c>
      <c r="Q218" s="510">
        <v>-1148360.6671363187</v>
      </c>
      <c r="R218" s="506">
        <v>0</v>
      </c>
      <c r="S218" s="2355">
        <f t="shared" si="6"/>
        <v>-1148360.6671363187</v>
      </c>
      <c r="T218" s="500">
        <v>726931.81776528095</v>
      </c>
      <c r="U218" s="253">
        <v>189623.650029343</v>
      </c>
      <c r="V218" s="506">
        <v>508532.06961051299</v>
      </c>
      <c r="W218" s="510">
        <v>98711.251746912094</v>
      </c>
      <c r="X218" s="3542">
        <v>152776.13106694099</v>
      </c>
      <c r="Y218" s="3542">
        <v>146150.903697487</v>
      </c>
      <c r="Z218" s="2402">
        <f t="shared" si="4"/>
        <v>10385.11167277093</v>
      </c>
    </row>
    <row r="219" spans="1:26" s="192" customFormat="1">
      <c r="A219" s="195" t="s">
        <v>506</v>
      </c>
      <c r="B219" s="2154">
        <v>782338.62853373506</v>
      </c>
      <c r="C219" s="253">
        <v>204565.3148449806</v>
      </c>
      <c r="D219" s="194">
        <v>576435.43880925165</v>
      </c>
      <c r="E219" s="3542">
        <v>99651.252523974297</v>
      </c>
      <c r="F219" s="510">
        <v>157619.70172501824</v>
      </c>
      <c r="G219" s="3542">
        <v>160568.55074025382</v>
      </c>
      <c r="H219" s="510">
        <v>-7371.000419782401</v>
      </c>
      <c r="I219" s="506">
        <v>0</v>
      </c>
      <c r="J219" s="2355">
        <f t="shared" si="5"/>
        <v>-7371.000419782401</v>
      </c>
      <c r="K219" s="500">
        <v>78676963.283240914</v>
      </c>
      <c r="L219" s="253">
        <v>12825227.927169474</v>
      </c>
      <c r="M219" s="194">
        <v>53232611.060796402</v>
      </c>
      <c r="N219" s="3542">
        <v>11716348.08460471</v>
      </c>
      <c r="O219" s="510">
        <v>13453007.856611095</v>
      </c>
      <c r="P219" s="3542">
        <v>13363610.183209602</v>
      </c>
      <c r="Q219" s="510">
        <v>-263385.97481142281</v>
      </c>
      <c r="R219" s="506">
        <v>0</v>
      </c>
      <c r="S219" s="2355">
        <f t="shared" si="6"/>
        <v>-263385.97481142281</v>
      </c>
      <c r="T219" s="500">
        <v>741189.8641333899</v>
      </c>
      <c r="U219" s="253">
        <v>198678.03647341899</v>
      </c>
      <c r="V219" s="506">
        <v>523115.15150063299</v>
      </c>
      <c r="W219" s="510">
        <v>98068.772320282893</v>
      </c>
      <c r="X219" s="3542">
        <v>160039.11345182199</v>
      </c>
      <c r="Y219" s="3542">
        <v>153486.99296951099</v>
      </c>
      <c r="Z219" s="2402">
        <f t="shared" si="4"/>
        <v>5157.8703645601636</v>
      </c>
    </row>
    <row r="220" spans="1:26" s="192" customFormat="1">
      <c r="A220" s="195" t="s">
        <v>507</v>
      </c>
      <c r="B220" s="2154">
        <v>732662.16387550125</v>
      </c>
      <c r="C220" s="253">
        <v>201300.62896976201</v>
      </c>
      <c r="D220" s="194">
        <v>497399.57905696979</v>
      </c>
      <c r="E220" s="3542">
        <v>96128.788732040091</v>
      </c>
      <c r="F220" s="510">
        <v>157115.54840991047</v>
      </c>
      <c r="G220" s="3542">
        <v>160952.87233184377</v>
      </c>
      <c r="H220" s="510">
        <v>22366.004314499274</v>
      </c>
      <c r="I220" s="506">
        <v>0</v>
      </c>
      <c r="J220" s="2355">
        <f t="shared" si="5"/>
        <v>22366.004314499274</v>
      </c>
      <c r="K220" s="500">
        <v>87863363.941944733</v>
      </c>
      <c r="L220" s="253">
        <v>14911645.786693623</v>
      </c>
      <c r="M220" s="194">
        <v>56507068.844351403</v>
      </c>
      <c r="N220" s="3542">
        <v>13013837.190660568</v>
      </c>
      <c r="O220" s="510">
        <v>14359810.147521259</v>
      </c>
      <c r="P220" s="3542">
        <v>16780392.482425898</v>
      </c>
      <c r="Q220" s="510">
        <v>2113901.0636792453</v>
      </c>
      <c r="R220" s="506">
        <v>0</v>
      </c>
      <c r="S220" s="2355">
        <f t="shared" si="6"/>
        <v>2113901.0636792453</v>
      </c>
      <c r="T220" s="500">
        <v>735605.99139607733</v>
      </c>
      <c r="U220" s="253">
        <v>197858.085779566</v>
      </c>
      <c r="V220" s="506">
        <v>526502.40182470798</v>
      </c>
      <c r="W220" s="510">
        <v>97139.336732696</v>
      </c>
      <c r="X220" s="3542">
        <v>153059.85171567701</v>
      </c>
      <c r="Y220" s="3542">
        <v>149021.657707659</v>
      </c>
      <c r="Z220" s="2402">
        <f t="shared" si="4"/>
        <v>7740.8291949031409</v>
      </c>
    </row>
    <row r="221" spans="1:26" s="192" customFormat="1">
      <c r="A221" s="195" t="s">
        <v>508</v>
      </c>
      <c r="B221" s="2154">
        <v>712740.45782873826</v>
      </c>
      <c r="C221" s="253">
        <v>184437.07038338089</v>
      </c>
      <c r="D221" s="194">
        <v>490167.71991389123</v>
      </c>
      <c r="E221" s="3542">
        <v>100882.28600306353</v>
      </c>
      <c r="F221" s="510">
        <v>154135.0314240797</v>
      </c>
      <c r="G221" s="3542">
        <v>148604.10993046832</v>
      </c>
      <c r="H221" s="510">
        <v>3388.3809406163991</v>
      </c>
      <c r="I221" s="506">
        <v>0</v>
      </c>
      <c r="J221" s="2355">
        <f t="shared" si="5"/>
        <v>3388.3809406163991</v>
      </c>
      <c r="K221" s="500">
        <v>104354529.22768565</v>
      </c>
      <c r="L221" s="253">
        <v>13650065.131902119</v>
      </c>
      <c r="M221" s="194">
        <v>67267533.804343596</v>
      </c>
      <c r="N221" s="3542">
        <v>17750027.65858255</v>
      </c>
      <c r="O221" s="510">
        <v>16441157.127276713</v>
      </c>
      <c r="P221" s="3542">
        <v>18017183.333059296</v>
      </c>
      <c r="Q221" s="510">
        <v>-1471307.5636744136</v>
      </c>
      <c r="R221" s="506">
        <v>0</v>
      </c>
      <c r="S221" s="2355">
        <f t="shared" si="6"/>
        <v>-1471307.5636744136</v>
      </c>
      <c r="T221" s="500">
        <v>721638.86160958419</v>
      </c>
      <c r="U221" s="253">
        <v>186717.98984534401</v>
      </c>
      <c r="V221" s="506">
        <v>522435.595190886</v>
      </c>
      <c r="W221" s="510">
        <v>97619.281882237105</v>
      </c>
      <c r="X221" s="3542">
        <v>147934.15821226701</v>
      </c>
      <c r="Y221" s="3542">
        <v>155553.369938252</v>
      </c>
      <c r="Z221" s="2402">
        <f t="shared" si="4"/>
        <v>-15185.553768713959</v>
      </c>
    </row>
    <row r="222" spans="1:26" s="192" customFormat="1">
      <c r="A222" s="195" t="s">
        <v>509</v>
      </c>
      <c r="B222" s="2354">
        <v>703987.50432157726</v>
      </c>
      <c r="C222" s="2350">
        <v>188695.40339048047</v>
      </c>
      <c r="D222" s="2351">
        <v>535188.04889879283</v>
      </c>
      <c r="E222" s="3543">
        <v>97542.43727411257</v>
      </c>
      <c r="F222" s="2352">
        <v>127674.19005307504</v>
      </c>
      <c r="G222" s="3543">
        <v>142198.8658146408</v>
      </c>
      <c r="H222" s="2352">
        <v>-26423.288610369211</v>
      </c>
      <c r="I222" s="2353">
        <v>16502.654281805619</v>
      </c>
      <c r="J222" s="2355">
        <f t="shared" si="5"/>
        <v>-9920.6343285635921</v>
      </c>
      <c r="K222" s="2349">
        <v>120719556.7726799</v>
      </c>
      <c r="L222" s="2350">
        <v>17542568.018016867</v>
      </c>
      <c r="M222" s="2351">
        <v>83557340.577536181</v>
      </c>
      <c r="N222" s="3543">
        <v>20032621.014004163</v>
      </c>
      <c r="O222" s="2352">
        <v>15575206.535784867</v>
      </c>
      <c r="P222" s="3543">
        <v>21529317.292198453</v>
      </c>
      <c r="Q222" s="2352">
        <v>-5462210.3508221162</v>
      </c>
      <c r="R222" s="2353">
        <v>3029849.7219952047</v>
      </c>
      <c r="S222" s="2355">
        <f t="shared" si="6"/>
        <v>-2432360.6288269116</v>
      </c>
      <c r="T222" s="500">
        <v>727949.28499660653</v>
      </c>
      <c r="U222" s="253">
        <v>195802.18170155599</v>
      </c>
      <c r="V222" s="506">
        <v>526315.99647195905</v>
      </c>
      <c r="W222" s="510">
        <v>101137.535896695</v>
      </c>
      <c r="X222" s="3542">
        <v>151758.99762671301</v>
      </c>
      <c r="Y222" s="3542">
        <v>137529.18361331799</v>
      </c>
      <c r="Z222" s="2402">
        <f t="shared" si="4"/>
        <v>7009.7530894774245</v>
      </c>
    </row>
    <row r="223" spans="1:26" s="192" customFormat="1">
      <c r="A223" s="195" t="s">
        <v>510</v>
      </c>
      <c r="B223" s="2354">
        <v>737941.90937407222</v>
      </c>
      <c r="C223" s="2350">
        <v>211890.21102604261</v>
      </c>
      <c r="D223" s="2351">
        <v>587005.32676912611</v>
      </c>
      <c r="E223" s="3543">
        <v>103634.9210773555</v>
      </c>
      <c r="F223" s="2352">
        <v>138008.10350854392</v>
      </c>
      <c r="G223" s="3543">
        <v>158439.41099755908</v>
      </c>
      <c r="H223" s="2352">
        <v>-25618.696080956342</v>
      </c>
      <c r="I223" s="2353">
        <v>-11636.945871513453</v>
      </c>
      <c r="J223" s="2355">
        <f t="shared" si="5"/>
        <v>-37255.641952469799</v>
      </c>
      <c r="K223" s="2349">
        <v>159215855.41502434</v>
      </c>
      <c r="L223" s="2350">
        <v>23446189.878966473</v>
      </c>
      <c r="M223" s="2351">
        <v>113430107.75607781</v>
      </c>
      <c r="N223" s="3543">
        <v>26964465.934644151</v>
      </c>
      <c r="O223" s="2352">
        <v>19908865.285950907</v>
      </c>
      <c r="P223" s="3543">
        <v>29249759.610621408</v>
      </c>
      <c r="Q223" s="2352">
        <v>-4638808.3947861306</v>
      </c>
      <c r="R223" s="2353">
        <v>-2252344.8985173702</v>
      </c>
      <c r="S223" s="2355">
        <f t="shared" si="6"/>
        <v>-6891153.2933035009</v>
      </c>
      <c r="T223" s="500">
        <v>710424.84865227621</v>
      </c>
      <c r="U223" s="253">
        <v>205862.20021134199</v>
      </c>
      <c r="V223" s="506">
        <v>535460.37003180198</v>
      </c>
      <c r="W223" s="510">
        <v>101754.07674573699</v>
      </c>
      <c r="X223" s="3542">
        <v>158262.646157157</v>
      </c>
      <c r="Y223" s="3542">
        <v>135317.337650136</v>
      </c>
      <c r="Z223" s="2402">
        <f t="shared" si="4"/>
        <v>-14507.381721213809</v>
      </c>
    </row>
    <row r="224" spans="1:26" s="192" customFormat="1">
      <c r="A224" s="195" t="s">
        <v>511</v>
      </c>
      <c r="B224" s="2354">
        <v>728638.58456868224</v>
      </c>
      <c r="C224" s="2350">
        <v>204695.19548265878</v>
      </c>
      <c r="D224" s="2351">
        <v>496511.12443984527</v>
      </c>
      <c r="E224" s="3543">
        <v>99233.227737156703</v>
      </c>
      <c r="F224" s="2352">
        <v>144580.7404917696</v>
      </c>
      <c r="G224" s="3543">
        <v>163257.41926259513</v>
      </c>
      <c r="H224" s="2352">
        <v>23243.216772285563</v>
      </c>
      <c r="I224" s="2353">
        <v>6508.0513476887718</v>
      </c>
      <c r="J224" s="2355">
        <f t="shared" si="5"/>
        <v>29751.268119974335</v>
      </c>
      <c r="K224" s="2349">
        <v>206516399.84174532</v>
      </c>
      <c r="L224" s="2350">
        <v>30709973.089702476</v>
      </c>
      <c r="M224" s="2351">
        <v>130115456.23135141</v>
      </c>
      <c r="N224" s="3543">
        <v>32551924.873115785</v>
      </c>
      <c r="O224" s="2352">
        <v>27121928.512532409</v>
      </c>
      <c r="P224" s="3543">
        <v>40251839.753881186</v>
      </c>
      <c r="Q224" s="2352">
        <v>6747995.6581683904</v>
      </c>
      <c r="R224" s="2353">
        <v>437227.90239861608</v>
      </c>
      <c r="S224" s="2355">
        <f t="shared" si="6"/>
        <v>7185223.5605670065</v>
      </c>
      <c r="T224" s="500">
        <v>725091.04020458832</v>
      </c>
      <c r="U224" s="253">
        <v>201269.872344245</v>
      </c>
      <c r="V224" s="506">
        <v>526871.21676607605</v>
      </c>
      <c r="W224" s="510">
        <v>100244.49727094499</v>
      </c>
      <c r="X224" s="3542">
        <v>154251.274087139</v>
      </c>
      <c r="Y224" s="3542">
        <v>137573.154513193</v>
      </c>
      <c r="Z224" s="2402">
        <f t="shared" si="4"/>
        <v>7420.7699114801362</v>
      </c>
    </row>
    <row r="225" spans="1:26" s="192" customFormat="1">
      <c r="A225" s="195" t="s">
        <v>512</v>
      </c>
      <c r="B225" s="2354">
        <v>700509.93457232334</v>
      </c>
      <c r="C225" s="2350">
        <v>182209.63907360536</v>
      </c>
      <c r="D225" s="2351">
        <v>482100.26794235688</v>
      </c>
      <c r="E225" s="3543">
        <v>99198.560661154072</v>
      </c>
      <c r="F225" s="2352">
        <v>136672.51465299239</v>
      </c>
      <c r="G225" s="3543">
        <v>137938.70768449022</v>
      </c>
      <c r="H225" s="2352">
        <v>38734.11021357456</v>
      </c>
      <c r="I225" s="2353">
        <v>-11924.587508639554</v>
      </c>
      <c r="J225" s="2355">
        <f t="shared" si="5"/>
        <v>26809.522704935007</v>
      </c>
      <c r="K225" s="2349">
        <v>283181180.08567715</v>
      </c>
      <c r="L225" s="2350">
        <v>34931142.866603009</v>
      </c>
      <c r="M225" s="2351">
        <v>178047228.52627367</v>
      </c>
      <c r="N225" s="3543">
        <v>45913193.63338349</v>
      </c>
      <c r="O225" s="2352">
        <v>36078743.90919932</v>
      </c>
      <c r="P225" s="3543">
        <v>51297535.718226984</v>
      </c>
      <c r="Q225" s="2352">
        <v>10196863.625550939</v>
      </c>
      <c r="R225" s="2353">
        <v>-3421242.4603541493</v>
      </c>
      <c r="S225" s="2355">
        <f t="shared" si="6"/>
        <v>6775621.1651967894</v>
      </c>
      <c r="T225" s="500">
        <v>707612.75898318249</v>
      </c>
      <c r="U225" s="253">
        <v>184556.194715644</v>
      </c>
      <c r="V225" s="506">
        <v>512157.184780285</v>
      </c>
      <c r="W225" s="510">
        <v>96473.036836402607</v>
      </c>
      <c r="X225" s="3542">
        <v>137561.485888275</v>
      </c>
      <c r="Y225" s="3542">
        <v>136515.872929734</v>
      </c>
      <c r="Z225" s="2402">
        <f t="shared" si="4"/>
        <v>9461.3732641299721</v>
      </c>
    </row>
    <row r="226" spans="1:26" s="192" customFormat="1">
      <c r="A226" s="195" t="s">
        <v>513</v>
      </c>
      <c r="B226" s="2354">
        <v>669057.73338516685</v>
      </c>
      <c r="C226" s="2350">
        <v>161524.27900890994</v>
      </c>
      <c r="D226" s="2351">
        <v>505691.69176900707</v>
      </c>
      <c r="E226" s="3543">
        <v>93514.537713652942</v>
      </c>
      <c r="F226" s="2352">
        <v>147042.54718297214</v>
      </c>
      <c r="G226" s="3543">
        <v>108465.58772557837</v>
      </c>
      <c r="H226" s="2352">
        <v>-29236.225935736049</v>
      </c>
      <c r="I226" s="2353">
        <v>5103.8739386023954</v>
      </c>
      <c r="J226" s="2355">
        <f t="shared" si="5"/>
        <v>-24132.351997133654</v>
      </c>
      <c r="K226" s="2349">
        <v>423472034.40718853</v>
      </c>
      <c r="L226" s="2350">
        <v>59718717.959389836</v>
      </c>
      <c r="M226" s="2351">
        <v>288577443.11474472</v>
      </c>
      <c r="N226" s="3543">
        <v>61557337.523427017</v>
      </c>
      <c r="O226" s="2352">
        <v>72129261.234475121</v>
      </c>
      <c r="P226" s="3543">
        <v>66281569.515444949</v>
      </c>
      <c r="Q226" s="2352">
        <v>-19784190.211311728</v>
      </c>
      <c r="R226" s="2353">
        <v>14429331.189798117</v>
      </c>
      <c r="S226" s="2355">
        <f t="shared" si="6"/>
        <v>-5354859.0215136111</v>
      </c>
      <c r="T226" s="500">
        <v>696039.64182027197</v>
      </c>
      <c r="U226" s="253">
        <v>166665.60377994899</v>
      </c>
      <c r="V226" s="506">
        <v>497472.14051797299</v>
      </c>
      <c r="W226" s="510">
        <v>97145.634604075196</v>
      </c>
      <c r="X226" s="3542">
        <v>119496.49043421799</v>
      </c>
      <c r="Y226" s="3542">
        <v>158377.84620447399</v>
      </c>
      <c r="Z226" s="2402">
        <f t="shared" si="4"/>
        <v>-9786.8661605191883</v>
      </c>
    </row>
    <row r="227" spans="1:26" s="192" customFormat="1">
      <c r="A227" s="195" t="s">
        <v>514</v>
      </c>
      <c r="B227" s="2354">
        <v>729947.78527455311</v>
      </c>
      <c r="C227" s="2350">
        <v>166315.00219915036</v>
      </c>
      <c r="D227" s="2351">
        <v>537144.98352510051</v>
      </c>
      <c r="E227" s="3543">
        <v>97708.305977989789</v>
      </c>
      <c r="F227" s="2352">
        <v>163867.90065561747</v>
      </c>
      <c r="G227" s="3543">
        <v>112400.60580784874</v>
      </c>
      <c r="H227" s="2352">
        <v>-9452.9829096599915</v>
      </c>
      <c r="I227" s="2353">
        <v>-5406.0255831930554</v>
      </c>
      <c r="J227" s="2355">
        <f t="shared" si="5"/>
        <v>-14859.008492853047</v>
      </c>
      <c r="K227" s="2349">
        <v>559938388.86472714</v>
      </c>
      <c r="L227" s="2350">
        <v>66666515.125484593</v>
      </c>
      <c r="M227" s="2351">
        <v>386878716.37753373</v>
      </c>
      <c r="N227" s="3543">
        <v>85774773.293289602</v>
      </c>
      <c r="O227" s="2352">
        <v>87192592.742617428</v>
      </c>
      <c r="P227" s="3543">
        <v>82741628.462784812</v>
      </c>
      <c r="Q227" s="2352">
        <v>-10095183.288646443</v>
      </c>
      <c r="R227" s="2353">
        <v>-5887623.5973674059</v>
      </c>
      <c r="S227" s="2355">
        <f t="shared" si="6"/>
        <v>-15982806.886013849</v>
      </c>
      <c r="T227" s="500">
        <v>690565.59876287449</v>
      </c>
      <c r="U227" s="253">
        <v>162155.661297374</v>
      </c>
      <c r="V227" s="506">
        <v>489105.64748785697</v>
      </c>
      <c r="W227" s="510">
        <v>95665.212059671801</v>
      </c>
      <c r="X227" s="3542">
        <v>111230.71129348699</v>
      </c>
      <c r="Y227" s="3542">
        <v>162004.290446094</v>
      </c>
      <c r="Z227" s="2402">
        <f t="shared" si="4"/>
        <v>-5284.6012268613558</v>
      </c>
    </row>
    <row r="228" spans="1:26" s="192" customFormat="1">
      <c r="A228" s="195" t="s">
        <v>515</v>
      </c>
      <c r="B228" s="2354">
        <v>714524.36554995924</v>
      </c>
      <c r="C228" s="2350">
        <v>180683.25897019324</v>
      </c>
      <c r="D228" s="2351">
        <v>490538.93389596697</v>
      </c>
      <c r="E228" s="3543">
        <v>94540.649075496229</v>
      </c>
      <c r="F228" s="2352">
        <v>172279.42689264915</v>
      </c>
      <c r="G228" s="3543">
        <v>136303.20022219524</v>
      </c>
      <c r="H228" s="2352">
        <v>16813.539014097631</v>
      </c>
      <c r="I228" s="2353">
        <v>-15268.124580252799</v>
      </c>
      <c r="J228" s="2355">
        <f t="shared" si="5"/>
        <v>1545.4144338448314</v>
      </c>
      <c r="K228" s="2349">
        <v>642862095.29497898</v>
      </c>
      <c r="L228" s="2350">
        <v>81552098.14740482</v>
      </c>
      <c r="M228" s="2351">
        <v>413073118.04873228</v>
      </c>
      <c r="N228" s="3543">
        <v>91173871.121126413</v>
      </c>
      <c r="O228" s="2352">
        <v>95402212.22911495</v>
      </c>
      <c r="P228" s="3543">
        <v>108254077.50511675</v>
      </c>
      <c r="Q228" s="2352">
        <v>14889304.935808677</v>
      </c>
      <c r="R228" s="2353">
        <v>1621609.6024847031</v>
      </c>
      <c r="S228" s="2355">
        <f t="shared" si="6"/>
        <v>16510914.53829338</v>
      </c>
      <c r="T228" s="500">
        <v>717175.74805169622</v>
      </c>
      <c r="U228" s="253">
        <v>177207.79253121701</v>
      </c>
      <c r="V228" s="506">
        <v>518756.30502292601</v>
      </c>
      <c r="W228" s="510">
        <v>95439.130974641099</v>
      </c>
      <c r="X228" s="3542">
        <v>126850.986131703</v>
      </c>
      <c r="Y228" s="3542">
        <v>164310.43040493099</v>
      </c>
      <c r="Z228" s="2402">
        <f t="shared" ref="Z228" si="7">SUM(T228:U228)-SUM(V228:Y228)</f>
        <v>-10973.311951287906</v>
      </c>
    </row>
    <row r="229" spans="1:26" s="192" customFormat="1">
      <c r="A229" s="195" t="s">
        <v>516</v>
      </c>
      <c r="B229" s="2354">
        <v>718991.4609365795</v>
      </c>
      <c r="C229" s="2350">
        <v>198736.26138286063</v>
      </c>
      <c r="D229" s="2351">
        <v>506042.8980173234</v>
      </c>
      <c r="E229" s="3543">
        <v>98477.381311642559</v>
      </c>
      <c r="F229" s="2352">
        <v>172061.41409982319</v>
      </c>
      <c r="G229" s="3543">
        <v>141001.23373518721</v>
      </c>
      <c r="H229" s="2352">
        <v>27028.293729183541</v>
      </c>
      <c r="I229" s="2353">
        <v>-26883.498573719757</v>
      </c>
      <c r="J229" s="2355">
        <f t="shared" si="5"/>
        <v>144.79515546378389</v>
      </c>
      <c r="K229" s="2349">
        <v>709365943.36728454</v>
      </c>
      <c r="L229" s="2350">
        <v>88221912.008185253</v>
      </c>
      <c r="M229" s="2351">
        <v>468989052.13577199</v>
      </c>
      <c r="N229" s="3543">
        <v>109895733.97825521</v>
      </c>
      <c r="O229" s="2352">
        <v>101454927.27722913</v>
      </c>
      <c r="P229" s="3543">
        <v>114172544.18271473</v>
      </c>
      <c r="Q229" s="2352">
        <v>13454002.786573069</v>
      </c>
      <c r="R229" s="2353">
        <v>-10378404.985074282</v>
      </c>
      <c r="S229" s="2355">
        <f t="shared" si="6"/>
        <v>3075597.8014987875</v>
      </c>
      <c r="T229" s="500">
        <v>728740.35651141696</v>
      </c>
      <c r="U229" s="253">
        <v>201229.743952574</v>
      </c>
      <c r="V229" s="506">
        <v>534084.41417864198</v>
      </c>
      <c r="W229" s="510">
        <v>95990.896440393495</v>
      </c>
      <c r="X229" s="3542">
        <v>140592.43963140101</v>
      </c>
      <c r="Y229" s="3542">
        <v>170558.72177556201</v>
      </c>
      <c r="Z229" s="2402">
        <f t="shared" si="4"/>
        <v>-11256.371562007582</v>
      </c>
    </row>
    <row r="230" spans="1:26" s="192" customFormat="1">
      <c r="A230" s="195" t="s">
        <v>517</v>
      </c>
      <c r="B230" s="2354">
        <v>708113.80567017628</v>
      </c>
      <c r="C230" s="2350">
        <v>226188.830887252</v>
      </c>
      <c r="D230" s="2351">
        <v>561079.26312834071</v>
      </c>
      <c r="E230" s="3543">
        <v>91913.035956251435</v>
      </c>
      <c r="F230" s="2352">
        <v>156840.2850631428</v>
      </c>
      <c r="G230" s="3543">
        <v>142606.89446280242</v>
      </c>
      <c r="H230" s="2352">
        <v>-20949.969123434483</v>
      </c>
      <c r="I230" s="2353">
        <v>2813.1270703254268</v>
      </c>
      <c r="J230" s="2355">
        <f t="shared" si="5"/>
        <v>-18136.842053109056</v>
      </c>
      <c r="K230" s="2349">
        <v>723984891.7741555</v>
      </c>
      <c r="L230" s="2350">
        <v>109003168.65590063</v>
      </c>
      <c r="M230" s="2351">
        <v>544305854.45382214</v>
      </c>
      <c r="N230" s="3543">
        <v>107522355.8345831</v>
      </c>
      <c r="O230" s="2352">
        <v>98589127.16707851</v>
      </c>
      <c r="P230" s="3543">
        <v>116962849.9066519</v>
      </c>
      <c r="Q230" s="2352">
        <v>-20877989.899087075</v>
      </c>
      <c r="R230" s="2353">
        <v>-13514137.032992601</v>
      </c>
      <c r="S230" s="2355">
        <f t="shared" si="6"/>
        <v>-34392126.932079673</v>
      </c>
      <c r="T230" s="500">
        <v>736261.04995951243</v>
      </c>
      <c r="U230" s="253">
        <v>232557.62553473201</v>
      </c>
      <c r="V230" s="506">
        <v>547554.05511011998</v>
      </c>
      <c r="W230" s="510">
        <v>95475.268805023006</v>
      </c>
      <c r="X230" s="3542">
        <v>151386.43369120001</v>
      </c>
      <c r="Y230" s="3542">
        <v>168712.40343610299</v>
      </c>
      <c r="Z230" s="2402">
        <f t="shared" si="4"/>
        <v>5690.5144517984008</v>
      </c>
    </row>
    <row r="231" spans="1:26" s="192" customFormat="1">
      <c r="A231" s="195" t="s">
        <v>518</v>
      </c>
      <c r="B231" s="2354">
        <v>776528.77609078528</v>
      </c>
      <c r="C231" s="2350">
        <v>229490.64059812744</v>
      </c>
      <c r="D231" s="2351">
        <v>595249.12882545218</v>
      </c>
      <c r="E231" s="3543">
        <v>98793.521373568146</v>
      </c>
      <c r="F231" s="2352">
        <v>169102.08358760006</v>
      </c>
      <c r="G231" s="3543">
        <v>148459.94828019894</v>
      </c>
      <c r="H231" s="2352">
        <v>-2258.8969264064494</v>
      </c>
      <c r="I231" s="2353">
        <v>-3326.3684515000787</v>
      </c>
      <c r="J231" s="2355">
        <f t="shared" si="5"/>
        <v>-5585.2653779065276</v>
      </c>
      <c r="K231" s="2349">
        <v>833779385.50210619</v>
      </c>
      <c r="L231" s="2350">
        <v>115278073.26362522</v>
      </c>
      <c r="M231" s="2351">
        <v>605261446.18248641</v>
      </c>
      <c r="N231" s="3543">
        <v>127987107.5809924</v>
      </c>
      <c r="O231" s="2352">
        <v>116048801.12196814</v>
      </c>
      <c r="P231" s="3543">
        <v>134939480.87030986</v>
      </c>
      <c r="Q231" s="2352">
        <v>-14302582.155746507</v>
      </c>
      <c r="R231" s="2353">
        <v>-20876794.834278941</v>
      </c>
      <c r="S231" s="2355">
        <f t="shared" si="6"/>
        <v>-35179376.990025446</v>
      </c>
      <c r="T231" s="500">
        <v>735534.38226519676</v>
      </c>
      <c r="U231" s="253">
        <v>224657.81060674699</v>
      </c>
      <c r="V231" s="506">
        <v>546540.10383377399</v>
      </c>
      <c r="W231" s="510">
        <v>96672.733500113405</v>
      </c>
      <c r="X231" s="3542">
        <v>149371.69185425399</v>
      </c>
      <c r="Y231" s="3542">
        <v>168161.21876659201</v>
      </c>
      <c r="Z231" s="2402">
        <f t="shared" si="4"/>
        <v>-553.55508278950583</v>
      </c>
    </row>
    <row r="232" spans="1:26" s="192" customFormat="1">
      <c r="A232" s="195" t="s">
        <v>519</v>
      </c>
      <c r="B232" s="2354">
        <v>737795.74161343137</v>
      </c>
      <c r="C232" s="2350">
        <v>223495.73137926898</v>
      </c>
      <c r="D232" s="2351">
        <v>516722.59931413142</v>
      </c>
      <c r="E232" s="3543">
        <v>96053.642283140536</v>
      </c>
      <c r="F232" s="2352">
        <v>188077.97990395376</v>
      </c>
      <c r="G232" s="3543">
        <v>150487.31500080923</v>
      </c>
      <c r="H232" s="2352">
        <v>18980.514249044227</v>
      </c>
      <c r="I232" s="2353">
        <v>-9030.5777583789313</v>
      </c>
      <c r="J232" s="2355">
        <f t="shared" si="5"/>
        <v>9949.9364906652954</v>
      </c>
      <c r="K232" s="2349">
        <v>893277009.98322308</v>
      </c>
      <c r="L232" s="2350">
        <v>140556917.16767412</v>
      </c>
      <c r="M232" s="2351">
        <v>587560931.07185435</v>
      </c>
      <c r="N232" s="3543">
        <v>127196128.53117019</v>
      </c>
      <c r="O232" s="2352">
        <v>150245581.02077091</v>
      </c>
      <c r="P232" s="3543">
        <v>147671984.33261949</v>
      </c>
      <c r="Q232" s="2352">
        <v>25784648.526360612</v>
      </c>
      <c r="R232" s="2353">
        <v>-4625346.3318780661</v>
      </c>
      <c r="S232" s="2355">
        <f t="shared" si="6"/>
        <v>21159302.194482546</v>
      </c>
      <c r="T232" s="500">
        <v>739903.77331731853</v>
      </c>
      <c r="U232" s="253">
        <v>219093.11313899601</v>
      </c>
      <c r="V232" s="506">
        <v>548277.87013988104</v>
      </c>
      <c r="W232" s="510">
        <v>96956.462214138694</v>
      </c>
      <c r="X232" s="3542">
        <v>141434.33760318099</v>
      </c>
      <c r="Y232" s="3542">
        <v>179485.35500376899</v>
      </c>
      <c r="Z232" s="2402">
        <f t="shared" si="4"/>
        <v>-7157.1385046553332</v>
      </c>
    </row>
    <row r="233" spans="1:26" s="192" customFormat="1">
      <c r="A233" s="195" t="s">
        <v>520</v>
      </c>
      <c r="B233" s="2354">
        <v>733788.66978506034</v>
      </c>
      <c r="C233" s="2350">
        <v>218862.89052423177</v>
      </c>
      <c r="D233" s="2351">
        <v>526952.55029250239</v>
      </c>
      <c r="E233" s="3543">
        <v>98330.118150187409</v>
      </c>
      <c r="F233" s="2352">
        <v>190755.46039216834</v>
      </c>
      <c r="G233" s="3543">
        <v>138106.43319301013</v>
      </c>
      <c r="H233" s="2352">
        <v>17147.413171987602</v>
      </c>
      <c r="I233" s="2353">
        <v>-18640.41489056393</v>
      </c>
      <c r="J233" s="2355">
        <f t="shared" si="5"/>
        <v>-1493.0017185763281</v>
      </c>
      <c r="K233" s="2349">
        <v>939450203.48977232</v>
      </c>
      <c r="L233" s="2350">
        <v>137258795.5399614</v>
      </c>
      <c r="M233" s="2351">
        <v>635628286.94406319</v>
      </c>
      <c r="N233" s="3543">
        <v>143403458.17352548</v>
      </c>
      <c r="O233" s="2352">
        <v>162529857.35646015</v>
      </c>
      <c r="P233" s="3543">
        <v>142905501.60281059</v>
      </c>
      <c r="Q233" s="2352">
        <v>13245953.20136209</v>
      </c>
      <c r="R233" s="2353">
        <v>-21004058.248487949</v>
      </c>
      <c r="S233" s="2355">
        <f t="shared" si="6"/>
        <v>-7758105.0471258592</v>
      </c>
      <c r="T233" s="500">
        <v>744527.7879887321</v>
      </c>
      <c r="U233" s="253">
        <v>221729.54431868799</v>
      </c>
      <c r="V233" s="506">
        <v>557631.513769835</v>
      </c>
      <c r="W233" s="510">
        <v>95985.853223431695</v>
      </c>
      <c r="X233" s="3542">
        <v>137468.12777789799</v>
      </c>
      <c r="Y233" s="3542">
        <v>188416.831450609</v>
      </c>
      <c r="Z233" s="2402">
        <f t="shared" si="4"/>
        <v>-13244.993914353661</v>
      </c>
    </row>
    <row r="234" spans="1:26" s="192" customFormat="1">
      <c r="A234" s="195" t="s">
        <v>521</v>
      </c>
      <c r="B234" s="2154" t="e">
        <v>#N/A</v>
      </c>
      <c r="C234" s="253" t="e">
        <v>#N/A</v>
      </c>
      <c r="D234" s="194" t="e">
        <v>#N/A</v>
      </c>
      <c r="E234" s="3542" t="e">
        <v>#N/A</v>
      </c>
      <c r="F234" s="510" t="e">
        <v>#N/A</v>
      </c>
      <c r="G234" s="3542" t="e">
        <v>#N/A</v>
      </c>
      <c r="H234" s="510" t="e">
        <v>#N/A</v>
      </c>
      <c r="I234" s="506" t="e">
        <v>#N/A</v>
      </c>
      <c r="J234" s="2355" t="e">
        <f t="shared" si="5"/>
        <v>#N/A</v>
      </c>
      <c r="K234" s="500" t="e">
        <v>#N/A</v>
      </c>
      <c r="L234" s="253" t="e">
        <v>#N/A</v>
      </c>
      <c r="M234" s="194" t="e">
        <v>#N/A</v>
      </c>
      <c r="N234" s="3542" t="e">
        <v>#N/A</v>
      </c>
      <c r="O234" s="510" t="e">
        <v>#N/A</v>
      </c>
      <c r="P234" s="3542" t="e">
        <v>#N/A</v>
      </c>
      <c r="Q234" s="510" t="e">
        <v>#N/A</v>
      </c>
      <c r="R234" s="506" t="e">
        <v>#N/A</v>
      </c>
      <c r="S234" s="2355" t="e">
        <f t="shared" si="6"/>
        <v>#N/A</v>
      </c>
      <c r="T234" s="500" t="e">
        <v>#N/A</v>
      </c>
      <c r="U234" s="253" t="e">
        <v>#N/A</v>
      </c>
      <c r="V234" s="506" t="e">
        <v>#N/A</v>
      </c>
      <c r="W234" s="510" t="e">
        <v>#N/A</v>
      </c>
      <c r="X234" s="3542" t="e">
        <v>#N/A</v>
      </c>
      <c r="Y234" s="3542" t="e">
        <v>#N/A</v>
      </c>
      <c r="Z234" s="2402" t="e">
        <f t="shared" ref="Z234:Z238" si="8">SUM(T234:U234)-SUM(V234:Y234)</f>
        <v>#N/A</v>
      </c>
    </row>
    <row r="235" spans="1:26" s="192" customFormat="1">
      <c r="A235" s="195" t="s">
        <v>522</v>
      </c>
      <c r="B235" s="2154" t="e">
        <v>#N/A</v>
      </c>
      <c r="C235" s="253" t="e">
        <v>#N/A</v>
      </c>
      <c r="D235" s="194" t="e">
        <v>#N/A</v>
      </c>
      <c r="E235" s="3542" t="e">
        <v>#N/A</v>
      </c>
      <c r="F235" s="510" t="e">
        <v>#N/A</v>
      </c>
      <c r="G235" s="3542" t="e">
        <v>#N/A</v>
      </c>
      <c r="H235" s="510" t="e">
        <v>#N/A</v>
      </c>
      <c r="I235" s="506" t="e">
        <v>#N/A</v>
      </c>
      <c r="J235" s="2355" t="e">
        <f t="shared" si="5"/>
        <v>#N/A</v>
      </c>
      <c r="K235" s="500" t="e">
        <v>#N/A</v>
      </c>
      <c r="L235" s="253" t="e">
        <v>#N/A</v>
      </c>
      <c r="M235" s="194" t="e">
        <v>#N/A</v>
      </c>
      <c r="N235" s="3542" t="e">
        <v>#N/A</v>
      </c>
      <c r="O235" s="510" t="e">
        <v>#N/A</v>
      </c>
      <c r="P235" s="3542" t="e">
        <v>#N/A</v>
      </c>
      <c r="Q235" s="510" t="e">
        <v>#N/A</v>
      </c>
      <c r="R235" s="506" t="e">
        <v>#N/A</v>
      </c>
      <c r="S235" s="2355" t="e">
        <f t="shared" si="6"/>
        <v>#N/A</v>
      </c>
      <c r="T235" s="500" t="e">
        <v>#N/A</v>
      </c>
      <c r="U235" s="253" t="e">
        <v>#N/A</v>
      </c>
      <c r="V235" s="506" t="e">
        <v>#N/A</v>
      </c>
      <c r="W235" s="510" t="e">
        <v>#N/A</v>
      </c>
      <c r="X235" s="3542" t="e">
        <v>#N/A</v>
      </c>
      <c r="Y235" s="3542" t="e">
        <v>#N/A</v>
      </c>
      <c r="Z235" s="2402" t="e">
        <f t="shared" si="8"/>
        <v>#N/A</v>
      </c>
    </row>
    <row r="236" spans="1:26" s="192" customFormat="1">
      <c r="A236" s="195" t="s">
        <v>523</v>
      </c>
      <c r="B236" s="2154" t="e">
        <v>#N/A</v>
      </c>
      <c r="C236" s="253" t="e">
        <v>#N/A</v>
      </c>
      <c r="D236" s="194" t="e">
        <v>#N/A</v>
      </c>
      <c r="E236" s="3542" t="e">
        <v>#N/A</v>
      </c>
      <c r="F236" s="510" t="e">
        <v>#N/A</v>
      </c>
      <c r="G236" s="3542" t="e">
        <v>#N/A</v>
      </c>
      <c r="H236" s="510" t="e">
        <v>#N/A</v>
      </c>
      <c r="I236" s="506" t="e">
        <v>#N/A</v>
      </c>
      <c r="J236" s="2355" t="e">
        <f t="shared" si="5"/>
        <v>#N/A</v>
      </c>
      <c r="K236" s="500" t="e">
        <v>#N/A</v>
      </c>
      <c r="L236" s="253" t="e">
        <v>#N/A</v>
      </c>
      <c r="M236" s="194" t="e">
        <v>#N/A</v>
      </c>
      <c r="N236" s="3542" t="e">
        <v>#N/A</v>
      </c>
      <c r="O236" s="510" t="e">
        <v>#N/A</v>
      </c>
      <c r="P236" s="3542" t="e">
        <v>#N/A</v>
      </c>
      <c r="Q236" s="510" t="e">
        <v>#N/A</v>
      </c>
      <c r="R236" s="506" t="e">
        <v>#N/A</v>
      </c>
      <c r="S236" s="2355" t="e">
        <f t="shared" si="6"/>
        <v>#N/A</v>
      </c>
      <c r="T236" s="500" t="e">
        <v>#N/A</v>
      </c>
      <c r="U236" s="253" t="e">
        <v>#N/A</v>
      </c>
      <c r="V236" s="506" t="e">
        <v>#N/A</v>
      </c>
      <c r="W236" s="510" t="e">
        <v>#N/A</v>
      </c>
      <c r="X236" s="3542" t="e">
        <v>#N/A</v>
      </c>
      <c r="Y236" s="3542" t="e">
        <v>#N/A</v>
      </c>
      <c r="Z236" s="2402" t="e">
        <f t="shared" si="8"/>
        <v>#N/A</v>
      </c>
    </row>
    <row r="237" spans="1:26" s="192" customFormat="1">
      <c r="A237" s="195" t="s">
        <v>524</v>
      </c>
      <c r="B237" s="2154" t="e">
        <v>#N/A</v>
      </c>
      <c r="C237" s="253" t="e">
        <v>#N/A</v>
      </c>
      <c r="D237" s="194" t="e">
        <v>#N/A</v>
      </c>
      <c r="E237" s="3542" t="e">
        <v>#N/A</v>
      </c>
      <c r="F237" s="510" t="e">
        <v>#N/A</v>
      </c>
      <c r="G237" s="3542" t="e">
        <v>#N/A</v>
      </c>
      <c r="H237" s="510" t="e">
        <v>#N/A</v>
      </c>
      <c r="I237" s="506" t="e">
        <v>#N/A</v>
      </c>
      <c r="J237" s="2355" t="e">
        <f t="shared" si="5"/>
        <v>#N/A</v>
      </c>
      <c r="K237" s="500" t="e">
        <v>#N/A</v>
      </c>
      <c r="L237" s="253" t="e">
        <v>#N/A</v>
      </c>
      <c r="M237" s="194" t="e">
        <v>#N/A</v>
      </c>
      <c r="N237" s="3542" t="e">
        <v>#N/A</v>
      </c>
      <c r="O237" s="510" t="e">
        <v>#N/A</v>
      </c>
      <c r="P237" s="3542" t="e">
        <v>#N/A</v>
      </c>
      <c r="Q237" s="510" t="e">
        <v>#N/A</v>
      </c>
      <c r="R237" s="506" t="e">
        <v>#N/A</v>
      </c>
      <c r="S237" s="2355" t="e">
        <f t="shared" si="6"/>
        <v>#N/A</v>
      </c>
      <c r="T237" s="500" t="e">
        <v>#N/A</v>
      </c>
      <c r="U237" s="253" t="e">
        <v>#N/A</v>
      </c>
      <c r="V237" s="506" t="e">
        <v>#N/A</v>
      </c>
      <c r="W237" s="510" t="e">
        <v>#N/A</v>
      </c>
      <c r="X237" s="3542" t="e">
        <v>#N/A</v>
      </c>
      <c r="Y237" s="3542" t="e">
        <v>#N/A</v>
      </c>
      <c r="Z237" s="2402" t="e">
        <f t="shared" si="8"/>
        <v>#N/A</v>
      </c>
    </row>
    <row r="238" spans="1:26" s="192" customFormat="1">
      <c r="A238" s="195" t="s">
        <v>525</v>
      </c>
      <c r="B238" s="2154" t="e">
        <v>#N/A</v>
      </c>
      <c r="C238" s="253" t="e">
        <v>#N/A</v>
      </c>
      <c r="D238" s="194" t="e">
        <v>#N/A</v>
      </c>
      <c r="E238" s="3542" t="e">
        <v>#N/A</v>
      </c>
      <c r="F238" s="510" t="e">
        <v>#N/A</v>
      </c>
      <c r="G238" s="3542" t="e">
        <v>#N/A</v>
      </c>
      <c r="H238" s="510" t="e">
        <v>#N/A</v>
      </c>
      <c r="I238" s="506" t="e">
        <v>#N/A</v>
      </c>
      <c r="J238" s="2355" t="e">
        <f t="shared" si="5"/>
        <v>#N/A</v>
      </c>
      <c r="K238" s="500" t="e">
        <v>#N/A</v>
      </c>
      <c r="L238" s="253" t="e">
        <v>#N/A</v>
      </c>
      <c r="M238" s="194" t="e">
        <v>#N/A</v>
      </c>
      <c r="N238" s="3542" t="e">
        <v>#N/A</v>
      </c>
      <c r="O238" s="510" t="e">
        <v>#N/A</v>
      </c>
      <c r="P238" s="3542" t="e">
        <v>#N/A</v>
      </c>
      <c r="Q238" s="510" t="e">
        <v>#N/A</v>
      </c>
      <c r="R238" s="506" t="e">
        <v>#N/A</v>
      </c>
      <c r="S238" s="2355" t="e">
        <f t="shared" si="6"/>
        <v>#N/A</v>
      </c>
      <c r="T238" s="500" t="e">
        <v>#N/A</v>
      </c>
      <c r="U238" s="253" t="e">
        <v>#N/A</v>
      </c>
      <c r="V238" s="506" t="e">
        <v>#N/A</v>
      </c>
      <c r="W238" s="510" t="e">
        <v>#N/A</v>
      </c>
      <c r="X238" s="3542" t="e">
        <v>#N/A</v>
      </c>
      <c r="Y238" s="3542" t="e">
        <v>#N/A</v>
      </c>
      <c r="Z238" s="2402" t="e">
        <f t="shared" si="8"/>
        <v>#N/A</v>
      </c>
    </row>
    <row r="239" spans="1:26" s="192" customFormat="1">
      <c r="A239" s="195" t="s">
        <v>526</v>
      </c>
      <c r="B239" s="2154" t="e">
        <v>#N/A</v>
      </c>
      <c r="C239" s="253" t="e">
        <v>#N/A</v>
      </c>
      <c r="D239" s="194" t="e">
        <v>#N/A</v>
      </c>
      <c r="E239" s="3542" t="e">
        <v>#N/A</v>
      </c>
      <c r="F239" s="510" t="e">
        <v>#N/A</v>
      </c>
      <c r="G239" s="3542" t="e">
        <v>#N/A</v>
      </c>
      <c r="H239" s="510" t="e">
        <v>#N/A</v>
      </c>
      <c r="I239" s="506" t="e">
        <v>#N/A</v>
      </c>
      <c r="J239" s="2355" t="e">
        <f t="shared" si="5"/>
        <v>#N/A</v>
      </c>
      <c r="K239" s="500" t="e">
        <v>#N/A</v>
      </c>
      <c r="L239" s="253" t="e">
        <v>#N/A</v>
      </c>
      <c r="M239" s="194" t="e">
        <v>#N/A</v>
      </c>
      <c r="N239" s="3542" t="e">
        <v>#N/A</v>
      </c>
      <c r="O239" s="510" t="e">
        <v>#N/A</v>
      </c>
      <c r="P239" s="3542" t="e">
        <v>#N/A</v>
      </c>
      <c r="Q239" s="510" t="e">
        <v>#N/A</v>
      </c>
      <c r="R239" s="506" t="e">
        <v>#N/A</v>
      </c>
      <c r="S239" s="2355" t="e">
        <f t="shared" si="6"/>
        <v>#N/A</v>
      </c>
      <c r="T239" s="500" t="e">
        <v>#N/A</v>
      </c>
      <c r="U239" s="253" t="e">
        <v>#N/A</v>
      </c>
      <c r="V239" s="506" t="e">
        <v>#N/A</v>
      </c>
      <c r="W239" s="510" t="e">
        <v>#N/A</v>
      </c>
      <c r="X239" s="3542" t="e">
        <v>#N/A</v>
      </c>
      <c r="Y239" s="3542" t="e">
        <v>#N/A</v>
      </c>
      <c r="Z239" s="2402" t="e">
        <f t="shared" ref="Z239:Z253" si="9">SUM(T239:U239)-SUM(V239:Y239)</f>
        <v>#N/A</v>
      </c>
    </row>
    <row r="240" spans="1:26" s="192" customFormat="1">
      <c r="A240" s="195" t="s">
        <v>527</v>
      </c>
      <c r="B240" s="2154" t="e">
        <v>#N/A</v>
      </c>
      <c r="C240" s="253" t="e">
        <v>#N/A</v>
      </c>
      <c r="D240" s="194" t="e">
        <v>#N/A</v>
      </c>
      <c r="E240" s="3542" t="e">
        <v>#N/A</v>
      </c>
      <c r="F240" s="510" t="e">
        <v>#N/A</v>
      </c>
      <c r="G240" s="3542" t="e">
        <v>#N/A</v>
      </c>
      <c r="H240" s="510" t="e">
        <v>#N/A</v>
      </c>
      <c r="I240" s="506" t="e">
        <v>#N/A</v>
      </c>
      <c r="J240" s="2355" t="e">
        <f t="shared" si="5"/>
        <v>#N/A</v>
      </c>
      <c r="K240" s="500" t="e">
        <v>#N/A</v>
      </c>
      <c r="L240" s="253" t="e">
        <v>#N/A</v>
      </c>
      <c r="M240" s="194" t="e">
        <v>#N/A</v>
      </c>
      <c r="N240" s="3542" t="e">
        <v>#N/A</v>
      </c>
      <c r="O240" s="510" t="e">
        <v>#N/A</v>
      </c>
      <c r="P240" s="3542" t="e">
        <v>#N/A</v>
      </c>
      <c r="Q240" s="510" t="e">
        <v>#N/A</v>
      </c>
      <c r="R240" s="506" t="e">
        <v>#N/A</v>
      </c>
      <c r="S240" s="2355" t="e">
        <f t="shared" si="6"/>
        <v>#N/A</v>
      </c>
      <c r="T240" s="500" t="e">
        <v>#N/A</v>
      </c>
      <c r="U240" s="253" t="e">
        <v>#N/A</v>
      </c>
      <c r="V240" s="506" t="e">
        <v>#N/A</v>
      </c>
      <c r="W240" s="510" t="e">
        <v>#N/A</v>
      </c>
      <c r="X240" s="3542" t="e">
        <v>#N/A</v>
      </c>
      <c r="Y240" s="3542" t="e">
        <v>#N/A</v>
      </c>
      <c r="Z240" s="2402" t="e">
        <f t="shared" si="9"/>
        <v>#N/A</v>
      </c>
    </row>
    <row r="241" spans="1:26" s="192" customFormat="1">
      <c r="A241" s="195" t="s">
        <v>528</v>
      </c>
      <c r="B241" s="2154" t="e">
        <v>#N/A</v>
      </c>
      <c r="C241" s="253" t="e">
        <v>#N/A</v>
      </c>
      <c r="D241" s="194" t="e">
        <v>#N/A</v>
      </c>
      <c r="E241" s="3542" t="e">
        <v>#N/A</v>
      </c>
      <c r="F241" s="510" t="e">
        <v>#N/A</v>
      </c>
      <c r="G241" s="3542" t="e">
        <v>#N/A</v>
      </c>
      <c r="H241" s="510" t="e">
        <v>#N/A</v>
      </c>
      <c r="I241" s="506" t="e">
        <v>#N/A</v>
      </c>
      <c r="J241" s="2355" t="e">
        <f t="shared" si="5"/>
        <v>#N/A</v>
      </c>
      <c r="K241" s="500" t="e">
        <v>#N/A</v>
      </c>
      <c r="L241" s="253" t="e">
        <v>#N/A</v>
      </c>
      <c r="M241" s="194" t="e">
        <v>#N/A</v>
      </c>
      <c r="N241" s="3542" t="e">
        <v>#N/A</v>
      </c>
      <c r="O241" s="510" t="e">
        <v>#N/A</v>
      </c>
      <c r="P241" s="3542" t="e">
        <v>#N/A</v>
      </c>
      <c r="Q241" s="510" t="e">
        <v>#N/A</v>
      </c>
      <c r="R241" s="506" t="e">
        <v>#N/A</v>
      </c>
      <c r="S241" s="2355" t="e">
        <f t="shared" si="6"/>
        <v>#N/A</v>
      </c>
      <c r="T241" s="500" t="e">
        <v>#N/A</v>
      </c>
      <c r="U241" s="253" t="e">
        <v>#N/A</v>
      </c>
      <c r="V241" s="506" t="e">
        <v>#N/A</v>
      </c>
      <c r="W241" s="510" t="e">
        <v>#N/A</v>
      </c>
      <c r="X241" s="3542" t="e">
        <v>#N/A</v>
      </c>
      <c r="Y241" s="3542" t="e">
        <v>#N/A</v>
      </c>
      <c r="Z241" s="2402" t="e">
        <f t="shared" si="9"/>
        <v>#N/A</v>
      </c>
    </row>
    <row r="242" spans="1:26" s="192" customFormat="1">
      <c r="A242" s="195" t="s">
        <v>529</v>
      </c>
      <c r="B242" s="2154" t="e">
        <v>#N/A</v>
      </c>
      <c r="C242" s="253" t="e">
        <v>#N/A</v>
      </c>
      <c r="D242" s="194" t="e">
        <v>#N/A</v>
      </c>
      <c r="E242" s="3542" t="e">
        <v>#N/A</v>
      </c>
      <c r="F242" s="510" t="e">
        <v>#N/A</v>
      </c>
      <c r="G242" s="3542" t="e">
        <v>#N/A</v>
      </c>
      <c r="H242" s="510" t="e">
        <v>#N/A</v>
      </c>
      <c r="I242" s="506" t="e">
        <v>#N/A</v>
      </c>
      <c r="J242" s="2355" t="e">
        <f t="shared" si="5"/>
        <v>#N/A</v>
      </c>
      <c r="K242" s="500" t="e">
        <v>#N/A</v>
      </c>
      <c r="L242" s="253" t="e">
        <v>#N/A</v>
      </c>
      <c r="M242" s="194" t="e">
        <v>#N/A</v>
      </c>
      <c r="N242" s="3542" t="e">
        <v>#N/A</v>
      </c>
      <c r="O242" s="510" t="e">
        <v>#N/A</v>
      </c>
      <c r="P242" s="3542" t="e">
        <v>#N/A</v>
      </c>
      <c r="Q242" s="510" t="e">
        <v>#N/A</v>
      </c>
      <c r="R242" s="506" t="e">
        <v>#N/A</v>
      </c>
      <c r="S242" s="2355" t="e">
        <f t="shared" si="6"/>
        <v>#N/A</v>
      </c>
      <c r="T242" s="500" t="e">
        <v>#N/A</v>
      </c>
      <c r="U242" s="253" t="e">
        <v>#N/A</v>
      </c>
      <c r="V242" s="506" t="e">
        <v>#N/A</v>
      </c>
      <c r="W242" s="510" t="e">
        <v>#N/A</v>
      </c>
      <c r="X242" s="3542" t="e">
        <v>#N/A</v>
      </c>
      <c r="Y242" s="3542" t="e">
        <v>#N/A</v>
      </c>
      <c r="Z242" s="2402" t="e">
        <f t="shared" si="9"/>
        <v>#N/A</v>
      </c>
    </row>
    <row r="243" spans="1:26" s="192" customFormat="1">
      <c r="A243" s="195" t="s">
        <v>530</v>
      </c>
      <c r="B243" s="2154" t="e">
        <v>#N/A</v>
      </c>
      <c r="C243" s="253" t="e">
        <v>#N/A</v>
      </c>
      <c r="D243" s="194" t="e">
        <v>#N/A</v>
      </c>
      <c r="E243" s="3542" t="e">
        <v>#N/A</v>
      </c>
      <c r="F243" s="510" t="e">
        <v>#N/A</v>
      </c>
      <c r="G243" s="3542" t="e">
        <v>#N/A</v>
      </c>
      <c r="H243" s="510" t="e">
        <v>#N/A</v>
      </c>
      <c r="I243" s="506" t="e">
        <v>#N/A</v>
      </c>
      <c r="J243" s="2355" t="e">
        <f t="shared" si="5"/>
        <v>#N/A</v>
      </c>
      <c r="K243" s="500" t="e">
        <v>#N/A</v>
      </c>
      <c r="L243" s="253" t="e">
        <v>#N/A</v>
      </c>
      <c r="M243" s="194" t="e">
        <v>#N/A</v>
      </c>
      <c r="N243" s="3542" t="e">
        <v>#N/A</v>
      </c>
      <c r="O243" s="510" t="e">
        <v>#N/A</v>
      </c>
      <c r="P243" s="3542" t="e">
        <v>#N/A</v>
      </c>
      <c r="Q243" s="510" t="e">
        <v>#N/A</v>
      </c>
      <c r="R243" s="506" t="e">
        <v>#N/A</v>
      </c>
      <c r="S243" s="2355" t="e">
        <f t="shared" si="6"/>
        <v>#N/A</v>
      </c>
      <c r="T243" s="500" t="e">
        <v>#N/A</v>
      </c>
      <c r="U243" s="253" t="e">
        <v>#N/A</v>
      </c>
      <c r="V243" s="506" t="e">
        <v>#N/A</v>
      </c>
      <c r="W243" s="510" t="e">
        <v>#N/A</v>
      </c>
      <c r="X243" s="3542" t="e">
        <v>#N/A</v>
      </c>
      <c r="Y243" s="3542" t="e">
        <v>#N/A</v>
      </c>
      <c r="Z243" s="2402" t="e">
        <f t="shared" si="9"/>
        <v>#N/A</v>
      </c>
    </row>
    <row r="244" spans="1:26" s="192" customFormat="1">
      <c r="A244" s="195" t="s">
        <v>531</v>
      </c>
      <c r="B244" s="2154" t="e">
        <v>#N/A</v>
      </c>
      <c r="C244" s="253" t="e">
        <v>#N/A</v>
      </c>
      <c r="D244" s="194" t="e">
        <v>#N/A</v>
      </c>
      <c r="E244" s="3542" t="e">
        <v>#N/A</v>
      </c>
      <c r="F244" s="510" t="e">
        <v>#N/A</v>
      </c>
      <c r="G244" s="3542" t="e">
        <v>#N/A</v>
      </c>
      <c r="H244" s="510" t="e">
        <v>#N/A</v>
      </c>
      <c r="I244" s="506" t="e">
        <v>#N/A</v>
      </c>
      <c r="J244" s="2355" t="e">
        <f t="shared" si="5"/>
        <v>#N/A</v>
      </c>
      <c r="K244" s="500" t="e">
        <v>#N/A</v>
      </c>
      <c r="L244" s="253" t="e">
        <v>#N/A</v>
      </c>
      <c r="M244" s="194" t="e">
        <v>#N/A</v>
      </c>
      <c r="N244" s="3542" t="e">
        <v>#N/A</v>
      </c>
      <c r="O244" s="510" t="e">
        <v>#N/A</v>
      </c>
      <c r="P244" s="3542" t="e">
        <v>#N/A</v>
      </c>
      <c r="Q244" s="510" t="e">
        <v>#N/A</v>
      </c>
      <c r="R244" s="506" t="e">
        <v>#N/A</v>
      </c>
      <c r="S244" s="2355" t="e">
        <f t="shared" si="6"/>
        <v>#N/A</v>
      </c>
      <c r="T244" s="500" t="e">
        <v>#N/A</v>
      </c>
      <c r="U244" s="253" t="e">
        <v>#N/A</v>
      </c>
      <c r="V244" s="506" t="e">
        <v>#N/A</v>
      </c>
      <c r="W244" s="510" t="e">
        <v>#N/A</v>
      </c>
      <c r="X244" s="3542" t="e">
        <v>#N/A</v>
      </c>
      <c r="Y244" s="3542" t="e">
        <v>#N/A</v>
      </c>
      <c r="Z244" s="2402" t="e">
        <f t="shared" si="9"/>
        <v>#N/A</v>
      </c>
    </row>
    <row r="245" spans="1:26" s="192" customFormat="1">
      <c r="A245" s="195" t="s">
        <v>532</v>
      </c>
      <c r="B245" s="2154" t="e">
        <v>#N/A</v>
      </c>
      <c r="C245" s="253" t="e">
        <v>#N/A</v>
      </c>
      <c r="D245" s="194" t="e">
        <v>#N/A</v>
      </c>
      <c r="E245" s="3542" t="e">
        <v>#N/A</v>
      </c>
      <c r="F245" s="510" t="e">
        <v>#N/A</v>
      </c>
      <c r="G245" s="3542" t="e">
        <v>#N/A</v>
      </c>
      <c r="H245" s="510" t="e">
        <v>#N/A</v>
      </c>
      <c r="I245" s="506" t="e">
        <v>#N/A</v>
      </c>
      <c r="J245" s="2355" t="e">
        <f t="shared" si="5"/>
        <v>#N/A</v>
      </c>
      <c r="K245" s="500" t="e">
        <v>#N/A</v>
      </c>
      <c r="L245" s="253" t="e">
        <v>#N/A</v>
      </c>
      <c r="M245" s="194" t="e">
        <v>#N/A</v>
      </c>
      <c r="N245" s="3542" t="e">
        <v>#N/A</v>
      </c>
      <c r="O245" s="510" t="e">
        <v>#N/A</v>
      </c>
      <c r="P245" s="3542" t="e">
        <v>#N/A</v>
      </c>
      <c r="Q245" s="510" t="e">
        <v>#N/A</v>
      </c>
      <c r="R245" s="506" t="e">
        <v>#N/A</v>
      </c>
      <c r="S245" s="2355" t="e">
        <f t="shared" si="6"/>
        <v>#N/A</v>
      </c>
      <c r="T245" s="500" t="e">
        <v>#N/A</v>
      </c>
      <c r="U245" s="253" t="e">
        <v>#N/A</v>
      </c>
      <c r="V245" s="506" t="e">
        <v>#N/A</v>
      </c>
      <c r="W245" s="510" t="e">
        <v>#N/A</v>
      </c>
      <c r="X245" s="3542" t="e">
        <v>#N/A</v>
      </c>
      <c r="Y245" s="3542" t="e">
        <v>#N/A</v>
      </c>
      <c r="Z245" s="2402" t="e">
        <f t="shared" si="9"/>
        <v>#N/A</v>
      </c>
    </row>
    <row r="246" spans="1:26" s="192" customFormat="1">
      <c r="A246" s="195" t="s">
        <v>533</v>
      </c>
      <c r="B246" s="2154" t="e">
        <v>#N/A</v>
      </c>
      <c r="C246" s="253" t="e">
        <v>#N/A</v>
      </c>
      <c r="D246" s="194" t="e">
        <v>#N/A</v>
      </c>
      <c r="E246" s="3542" t="e">
        <v>#N/A</v>
      </c>
      <c r="F246" s="510" t="e">
        <v>#N/A</v>
      </c>
      <c r="G246" s="3542" t="e">
        <v>#N/A</v>
      </c>
      <c r="H246" s="510" t="e">
        <v>#N/A</v>
      </c>
      <c r="I246" s="506" t="e">
        <v>#N/A</v>
      </c>
      <c r="J246" s="2355" t="e">
        <f t="shared" si="5"/>
        <v>#N/A</v>
      </c>
      <c r="K246" s="500" t="e">
        <v>#N/A</v>
      </c>
      <c r="L246" s="253" t="e">
        <v>#N/A</v>
      </c>
      <c r="M246" s="194" t="e">
        <v>#N/A</v>
      </c>
      <c r="N246" s="3542" t="e">
        <v>#N/A</v>
      </c>
      <c r="O246" s="510" t="e">
        <v>#N/A</v>
      </c>
      <c r="P246" s="3542" t="e">
        <v>#N/A</v>
      </c>
      <c r="Q246" s="510" t="e">
        <v>#N/A</v>
      </c>
      <c r="R246" s="506" t="e">
        <v>#N/A</v>
      </c>
      <c r="S246" s="2355" t="e">
        <f t="shared" si="6"/>
        <v>#N/A</v>
      </c>
      <c r="T246" s="500" t="e">
        <v>#N/A</v>
      </c>
      <c r="U246" s="253" t="e">
        <v>#N/A</v>
      </c>
      <c r="V246" s="506" t="e">
        <v>#N/A</v>
      </c>
      <c r="W246" s="510" t="e">
        <v>#N/A</v>
      </c>
      <c r="X246" s="3542" t="e">
        <v>#N/A</v>
      </c>
      <c r="Y246" s="3542" t="e">
        <v>#N/A</v>
      </c>
      <c r="Z246" s="2402" t="e">
        <f t="shared" si="9"/>
        <v>#N/A</v>
      </c>
    </row>
    <row r="247" spans="1:26" s="192" customFormat="1">
      <c r="A247" s="195" t="s">
        <v>534</v>
      </c>
      <c r="B247" s="2154" t="e">
        <v>#N/A</v>
      </c>
      <c r="C247" s="253" t="e">
        <v>#N/A</v>
      </c>
      <c r="D247" s="194" t="e">
        <v>#N/A</v>
      </c>
      <c r="E247" s="3542" t="e">
        <v>#N/A</v>
      </c>
      <c r="F247" s="510" t="e">
        <v>#N/A</v>
      </c>
      <c r="G247" s="3542" t="e">
        <v>#N/A</v>
      </c>
      <c r="H247" s="510" t="e">
        <v>#N/A</v>
      </c>
      <c r="I247" s="506" t="e">
        <v>#N/A</v>
      </c>
      <c r="J247" s="2355" t="e">
        <f t="shared" si="5"/>
        <v>#N/A</v>
      </c>
      <c r="K247" s="500" t="e">
        <v>#N/A</v>
      </c>
      <c r="L247" s="253" t="e">
        <v>#N/A</v>
      </c>
      <c r="M247" s="194" t="e">
        <v>#N/A</v>
      </c>
      <c r="N247" s="3542" t="e">
        <v>#N/A</v>
      </c>
      <c r="O247" s="510" t="e">
        <v>#N/A</v>
      </c>
      <c r="P247" s="3542" t="e">
        <v>#N/A</v>
      </c>
      <c r="Q247" s="510" t="e">
        <v>#N/A</v>
      </c>
      <c r="R247" s="506" t="e">
        <v>#N/A</v>
      </c>
      <c r="S247" s="2355" t="e">
        <f t="shared" si="6"/>
        <v>#N/A</v>
      </c>
      <c r="T247" s="500" t="e">
        <v>#N/A</v>
      </c>
      <c r="U247" s="253" t="e">
        <v>#N/A</v>
      </c>
      <c r="V247" s="506" t="e">
        <v>#N/A</v>
      </c>
      <c r="W247" s="510" t="e">
        <v>#N/A</v>
      </c>
      <c r="X247" s="3542" t="e">
        <v>#N/A</v>
      </c>
      <c r="Y247" s="3542" t="e">
        <v>#N/A</v>
      </c>
      <c r="Z247" s="2402" t="e">
        <f t="shared" si="9"/>
        <v>#N/A</v>
      </c>
    </row>
    <row r="248" spans="1:26" s="192" customFormat="1">
      <c r="A248" s="195" t="s">
        <v>535</v>
      </c>
      <c r="B248" s="2154" t="e">
        <v>#N/A</v>
      </c>
      <c r="C248" s="253" t="e">
        <v>#N/A</v>
      </c>
      <c r="D248" s="194" t="e">
        <v>#N/A</v>
      </c>
      <c r="E248" s="3542" t="e">
        <v>#N/A</v>
      </c>
      <c r="F248" s="510" t="e">
        <v>#N/A</v>
      </c>
      <c r="G248" s="3542" t="e">
        <v>#N/A</v>
      </c>
      <c r="H248" s="510" t="e">
        <v>#N/A</v>
      </c>
      <c r="I248" s="506" t="e">
        <v>#N/A</v>
      </c>
      <c r="J248" s="2355" t="e">
        <f t="shared" si="5"/>
        <v>#N/A</v>
      </c>
      <c r="K248" s="500" t="e">
        <v>#N/A</v>
      </c>
      <c r="L248" s="253" t="e">
        <v>#N/A</v>
      </c>
      <c r="M248" s="194" t="e">
        <v>#N/A</v>
      </c>
      <c r="N248" s="3542" t="e">
        <v>#N/A</v>
      </c>
      <c r="O248" s="510" t="e">
        <v>#N/A</v>
      </c>
      <c r="P248" s="3542" t="e">
        <v>#N/A</v>
      </c>
      <c r="Q248" s="510" t="e">
        <v>#N/A</v>
      </c>
      <c r="R248" s="506" t="e">
        <v>#N/A</v>
      </c>
      <c r="S248" s="2355" t="e">
        <f t="shared" si="6"/>
        <v>#N/A</v>
      </c>
      <c r="T248" s="500" t="e">
        <v>#N/A</v>
      </c>
      <c r="U248" s="253" t="e">
        <v>#N/A</v>
      </c>
      <c r="V248" s="506" t="e">
        <v>#N/A</v>
      </c>
      <c r="W248" s="510" t="e">
        <v>#N/A</v>
      </c>
      <c r="X248" s="3542" t="e">
        <v>#N/A</v>
      </c>
      <c r="Y248" s="3542" t="e">
        <v>#N/A</v>
      </c>
      <c r="Z248" s="2402" t="e">
        <f t="shared" si="9"/>
        <v>#N/A</v>
      </c>
    </row>
    <row r="249" spans="1:26" s="192" customFormat="1">
      <c r="A249" s="195" t="s">
        <v>536</v>
      </c>
      <c r="B249" s="2154" t="e">
        <v>#N/A</v>
      </c>
      <c r="C249" s="253" t="e">
        <v>#N/A</v>
      </c>
      <c r="D249" s="194" t="e">
        <v>#N/A</v>
      </c>
      <c r="E249" s="3542" t="e">
        <v>#N/A</v>
      </c>
      <c r="F249" s="510" t="e">
        <v>#N/A</v>
      </c>
      <c r="G249" s="3542" t="e">
        <v>#N/A</v>
      </c>
      <c r="H249" s="510" t="e">
        <v>#N/A</v>
      </c>
      <c r="I249" s="506" t="e">
        <v>#N/A</v>
      </c>
      <c r="J249" s="2355" t="e">
        <f t="shared" si="5"/>
        <v>#N/A</v>
      </c>
      <c r="K249" s="500" t="e">
        <v>#N/A</v>
      </c>
      <c r="L249" s="253" t="e">
        <v>#N/A</v>
      </c>
      <c r="M249" s="194" t="e">
        <v>#N/A</v>
      </c>
      <c r="N249" s="3542" t="e">
        <v>#N/A</v>
      </c>
      <c r="O249" s="510" t="e">
        <v>#N/A</v>
      </c>
      <c r="P249" s="3542" t="e">
        <v>#N/A</v>
      </c>
      <c r="Q249" s="510" t="e">
        <v>#N/A</v>
      </c>
      <c r="R249" s="506" t="e">
        <v>#N/A</v>
      </c>
      <c r="S249" s="2355" t="e">
        <f t="shared" si="6"/>
        <v>#N/A</v>
      </c>
      <c r="T249" s="500" t="e">
        <v>#N/A</v>
      </c>
      <c r="U249" s="253" t="e">
        <v>#N/A</v>
      </c>
      <c r="V249" s="506" t="e">
        <v>#N/A</v>
      </c>
      <c r="W249" s="510" t="e">
        <v>#N/A</v>
      </c>
      <c r="X249" s="3542" t="e">
        <v>#N/A</v>
      </c>
      <c r="Y249" s="3542" t="e">
        <v>#N/A</v>
      </c>
      <c r="Z249" s="2402" t="e">
        <f t="shared" si="9"/>
        <v>#N/A</v>
      </c>
    </row>
    <row r="250" spans="1:26" s="192" customFormat="1">
      <c r="A250" s="195" t="s">
        <v>537</v>
      </c>
      <c r="B250" s="2154" t="e">
        <v>#N/A</v>
      </c>
      <c r="C250" s="253" t="e">
        <v>#N/A</v>
      </c>
      <c r="D250" s="194" t="e">
        <v>#N/A</v>
      </c>
      <c r="E250" s="3542" t="e">
        <v>#N/A</v>
      </c>
      <c r="F250" s="510" t="e">
        <v>#N/A</v>
      </c>
      <c r="G250" s="3542" t="e">
        <v>#N/A</v>
      </c>
      <c r="H250" s="510" t="e">
        <v>#N/A</v>
      </c>
      <c r="I250" s="506" t="e">
        <v>#N/A</v>
      </c>
      <c r="J250" s="2355" t="e">
        <f t="shared" si="5"/>
        <v>#N/A</v>
      </c>
      <c r="K250" s="500" t="e">
        <v>#N/A</v>
      </c>
      <c r="L250" s="253" t="e">
        <v>#N/A</v>
      </c>
      <c r="M250" s="194" t="e">
        <v>#N/A</v>
      </c>
      <c r="N250" s="3542" t="e">
        <v>#N/A</v>
      </c>
      <c r="O250" s="510" t="e">
        <v>#N/A</v>
      </c>
      <c r="P250" s="3542" t="e">
        <v>#N/A</v>
      </c>
      <c r="Q250" s="510" t="e">
        <v>#N/A</v>
      </c>
      <c r="R250" s="506" t="e">
        <v>#N/A</v>
      </c>
      <c r="S250" s="2355" t="e">
        <f t="shared" si="6"/>
        <v>#N/A</v>
      </c>
      <c r="T250" s="500" t="e">
        <v>#N/A</v>
      </c>
      <c r="U250" s="253" t="e">
        <v>#N/A</v>
      </c>
      <c r="V250" s="506" t="e">
        <v>#N/A</v>
      </c>
      <c r="W250" s="510" t="e">
        <v>#N/A</v>
      </c>
      <c r="X250" s="3542" t="e">
        <v>#N/A</v>
      </c>
      <c r="Y250" s="3542" t="e">
        <v>#N/A</v>
      </c>
      <c r="Z250" s="2402" t="e">
        <f t="shared" si="9"/>
        <v>#N/A</v>
      </c>
    </row>
    <row r="251" spans="1:26" s="192" customFormat="1">
      <c r="A251" s="195" t="s">
        <v>538</v>
      </c>
      <c r="B251" s="2154" t="e">
        <v>#N/A</v>
      </c>
      <c r="C251" s="253" t="e">
        <v>#N/A</v>
      </c>
      <c r="D251" s="194" t="e">
        <v>#N/A</v>
      </c>
      <c r="E251" s="3542" t="e">
        <v>#N/A</v>
      </c>
      <c r="F251" s="510" t="e">
        <v>#N/A</v>
      </c>
      <c r="G251" s="3542" t="e">
        <v>#N/A</v>
      </c>
      <c r="H251" s="510" t="e">
        <v>#N/A</v>
      </c>
      <c r="I251" s="506" t="e">
        <v>#N/A</v>
      </c>
      <c r="J251" s="2355" t="e">
        <f t="shared" si="5"/>
        <v>#N/A</v>
      </c>
      <c r="K251" s="500" t="e">
        <v>#N/A</v>
      </c>
      <c r="L251" s="253" t="e">
        <v>#N/A</v>
      </c>
      <c r="M251" s="194" t="e">
        <v>#N/A</v>
      </c>
      <c r="N251" s="3542" t="e">
        <v>#N/A</v>
      </c>
      <c r="O251" s="510" t="e">
        <v>#N/A</v>
      </c>
      <c r="P251" s="3542" t="e">
        <v>#N/A</v>
      </c>
      <c r="Q251" s="510" t="e">
        <v>#N/A</v>
      </c>
      <c r="R251" s="506" t="e">
        <v>#N/A</v>
      </c>
      <c r="S251" s="2355" t="e">
        <f t="shared" si="6"/>
        <v>#N/A</v>
      </c>
      <c r="T251" s="500" t="e">
        <v>#N/A</v>
      </c>
      <c r="U251" s="253" t="e">
        <v>#N/A</v>
      </c>
      <c r="V251" s="506" t="e">
        <v>#N/A</v>
      </c>
      <c r="W251" s="510" t="e">
        <v>#N/A</v>
      </c>
      <c r="X251" s="3542" t="e">
        <v>#N/A</v>
      </c>
      <c r="Y251" s="3542" t="e">
        <v>#N/A</v>
      </c>
      <c r="Z251" s="2402" t="e">
        <f t="shared" si="9"/>
        <v>#N/A</v>
      </c>
    </row>
    <row r="252" spans="1:26" s="192" customFormat="1">
      <c r="A252" s="195" t="s">
        <v>539</v>
      </c>
      <c r="B252" s="2154" t="e">
        <v>#N/A</v>
      </c>
      <c r="C252" s="253" t="e">
        <v>#N/A</v>
      </c>
      <c r="D252" s="194" t="e">
        <v>#N/A</v>
      </c>
      <c r="E252" s="3542" t="e">
        <v>#N/A</v>
      </c>
      <c r="F252" s="510" t="e">
        <v>#N/A</v>
      </c>
      <c r="G252" s="3542" t="e">
        <v>#N/A</v>
      </c>
      <c r="H252" s="510" t="e">
        <v>#N/A</v>
      </c>
      <c r="I252" s="506" t="e">
        <v>#N/A</v>
      </c>
      <c r="J252" s="2355" t="e">
        <f t="shared" si="5"/>
        <v>#N/A</v>
      </c>
      <c r="K252" s="500" t="e">
        <v>#N/A</v>
      </c>
      <c r="L252" s="253" t="e">
        <v>#N/A</v>
      </c>
      <c r="M252" s="194" t="e">
        <v>#N/A</v>
      </c>
      <c r="N252" s="3542" t="e">
        <v>#N/A</v>
      </c>
      <c r="O252" s="510" t="e">
        <v>#N/A</v>
      </c>
      <c r="P252" s="3542" t="e">
        <v>#N/A</v>
      </c>
      <c r="Q252" s="510" t="e">
        <v>#N/A</v>
      </c>
      <c r="R252" s="506" t="e">
        <v>#N/A</v>
      </c>
      <c r="S252" s="2355" t="e">
        <f t="shared" si="6"/>
        <v>#N/A</v>
      </c>
      <c r="T252" s="500" t="e">
        <v>#N/A</v>
      </c>
      <c r="U252" s="253" t="e">
        <v>#N/A</v>
      </c>
      <c r="V252" s="506" t="e">
        <v>#N/A</v>
      </c>
      <c r="W252" s="510" t="e">
        <v>#N/A</v>
      </c>
      <c r="X252" s="3542" t="e">
        <v>#N/A</v>
      </c>
      <c r="Y252" s="3542" t="e">
        <v>#N/A</v>
      </c>
      <c r="Z252" s="2402" t="e">
        <f t="shared" si="9"/>
        <v>#N/A</v>
      </c>
    </row>
    <row r="253" spans="1:26" s="192" customFormat="1">
      <c r="A253" s="195" t="s">
        <v>540</v>
      </c>
      <c r="B253" s="2154" t="e">
        <v>#N/A</v>
      </c>
      <c r="C253" s="253" t="e">
        <v>#N/A</v>
      </c>
      <c r="D253" s="194" t="e">
        <v>#N/A</v>
      </c>
      <c r="E253" s="3542" t="e">
        <v>#N/A</v>
      </c>
      <c r="F253" s="510" t="e">
        <v>#N/A</v>
      </c>
      <c r="G253" s="3542" t="e">
        <v>#N/A</v>
      </c>
      <c r="H253" s="510" t="e">
        <v>#N/A</v>
      </c>
      <c r="I253" s="506" t="e">
        <v>#N/A</v>
      </c>
      <c r="J253" s="2355" t="e">
        <f t="shared" si="5"/>
        <v>#N/A</v>
      </c>
      <c r="K253" s="500" t="e">
        <v>#N/A</v>
      </c>
      <c r="L253" s="253" t="e">
        <v>#N/A</v>
      </c>
      <c r="M253" s="194" t="e">
        <v>#N/A</v>
      </c>
      <c r="N253" s="3542" t="e">
        <v>#N/A</v>
      </c>
      <c r="O253" s="510" t="e">
        <v>#N/A</v>
      </c>
      <c r="P253" s="3542" t="e">
        <v>#N/A</v>
      </c>
      <c r="Q253" s="510" t="e">
        <v>#N/A</v>
      </c>
      <c r="R253" s="506" t="e">
        <v>#N/A</v>
      </c>
      <c r="S253" s="2355" t="e">
        <f t="shared" si="6"/>
        <v>#N/A</v>
      </c>
      <c r="T253" s="500" t="e">
        <v>#N/A</v>
      </c>
      <c r="U253" s="253" t="e">
        <v>#N/A</v>
      </c>
      <c r="V253" s="506" t="e">
        <v>#N/A</v>
      </c>
      <c r="W253" s="510" t="e">
        <v>#N/A</v>
      </c>
      <c r="X253" s="3542" t="e">
        <v>#N/A</v>
      </c>
      <c r="Y253" s="3542" t="e">
        <v>#N/A</v>
      </c>
      <c r="Z253" s="2402" t="e">
        <f t="shared" si="9"/>
        <v>#N/A</v>
      </c>
    </row>
  </sheetData>
  <phoneticPr fontId="297" type="noConversion"/>
  <hyperlinks>
    <hyperlink ref="A5" location="INDICE!A13" display="VOLVER AL INDICE" xr:uid="{00000000-0004-0000-0700-000000000000}"/>
  </hyperlinks>
  <pageMargins left="0.75" right="0.75" top="1" bottom="1" header="0" footer="0"/>
  <pageSetup orientation="portrait"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dimension ref="A1:D489"/>
  <sheetViews>
    <sheetView zoomScaleNormal="100"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11.42578125" defaultRowHeight="15"/>
  <cols>
    <col min="1" max="1" width="11.42578125" style="1211"/>
    <col min="2" max="2" width="18.85546875" style="1211" bestFit="1" customWidth="1"/>
    <col min="3" max="3" width="19.85546875" style="1211" customWidth="1"/>
    <col min="4" max="16384" width="11.42578125" style="1211"/>
  </cols>
  <sheetData>
    <row r="1" spans="1:3" s="778" customFormat="1" ht="3.75" customHeight="1">
      <c r="A1" s="2761"/>
      <c r="B1" s="769"/>
      <c r="C1" s="770"/>
    </row>
    <row r="2" spans="1:3" s="778" customFormat="1" ht="26.25" customHeight="1">
      <c r="A2" s="2762" t="s">
        <v>99</v>
      </c>
      <c r="B2" s="771" t="s">
        <v>541</v>
      </c>
      <c r="C2" s="2786"/>
    </row>
    <row r="3" spans="1:3" s="778" customFormat="1" ht="23.25" customHeight="1">
      <c r="A3" s="2762" t="s">
        <v>193</v>
      </c>
      <c r="B3" s="771" t="s">
        <v>105</v>
      </c>
      <c r="C3" s="2786"/>
    </row>
    <row r="4" spans="1:3" s="778" customFormat="1">
      <c r="A4" s="2762"/>
      <c r="B4" s="772"/>
      <c r="C4" s="773"/>
    </row>
    <row r="5" spans="1:3" s="778" customFormat="1" ht="34.5" customHeight="1">
      <c r="A5" s="2763" t="s">
        <v>140</v>
      </c>
      <c r="B5" s="1974" t="s">
        <v>542</v>
      </c>
      <c r="C5" s="2036" t="s">
        <v>543</v>
      </c>
    </row>
    <row r="6" spans="1:3" s="778" customFormat="1" ht="3" hidden="1" customHeight="1">
      <c r="A6" s="2762"/>
      <c r="B6" s="769"/>
      <c r="C6" s="2037"/>
    </row>
    <row r="7" spans="1:3" s="778" customFormat="1" ht="22.5">
      <c r="A7" s="2762" t="s">
        <v>125</v>
      </c>
      <c r="B7" s="1975" t="s">
        <v>544</v>
      </c>
      <c r="C7" s="2038" t="s">
        <v>544</v>
      </c>
    </row>
    <row r="8" spans="1:3" s="778" customFormat="1">
      <c r="A8" s="2751" t="s">
        <v>144</v>
      </c>
      <c r="B8" s="2155" t="s">
        <v>545</v>
      </c>
      <c r="C8" s="2156" t="s">
        <v>546</v>
      </c>
    </row>
    <row r="9" spans="1:3" s="778" customFormat="1" ht="15.75" thickBot="1">
      <c r="A9" s="2126"/>
      <c r="B9" s="774"/>
      <c r="C9" s="1976"/>
    </row>
    <row r="10" spans="1:3" s="778" customFormat="1">
      <c r="A10" s="775">
        <v>1991.01</v>
      </c>
      <c r="B10" s="2787"/>
      <c r="C10" s="2788"/>
    </row>
    <row r="11" spans="1:3" s="778" customFormat="1" ht="12.75" customHeight="1">
      <c r="A11" s="775">
        <v>1991.02</v>
      </c>
      <c r="B11" s="1641"/>
      <c r="C11" s="2789"/>
    </row>
    <row r="12" spans="1:3" s="778" customFormat="1" ht="12.75" customHeight="1">
      <c r="A12" s="775">
        <v>1991.03</v>
      </c>
      <c r="B12" s="1641"/>
      <c r="C12" s="2789"/>
    </row>
    <row r="13" spans="1:3" s="778" customFormat="1" ht="12.75" customHeight="1">
      <c r="A13" s="775">
        <v>1991.04</v>
      </c>
      <c r="B13" s="1641"/>
      <c r="C13" s="2789"/>
    </row>
    <row r="14" spans="1:3" s="778" customFormat="1" ht="12.75" customHeight="1">
      <c r="A14" s="775">
        <v>1991.05</v>
      </c>
      <c r="B14" s="1641"/>
      <c r="C14" s="2789"/>
    </row>
    <row r="15" spans="1:3" s="778" customFormat="1" ht="12.75" customHeight="1">
      <c r="A15" s="775">
        <v>1991.06</v>
      </c>
      <c r="B15" s="1641"/>
      <c r="C15" s="2789"/>
    </row>
    <row r="16" spans="1:3" s="778" customFormat="1" ht="12.75" customHeight="1">
      <c r="A16" s="775">
        <v>1991.07</v>
      </c>
      <c r="B16" s="3544">
        <v>92.638111597539407</v>
      </c>
      <c r="C16" s="2790">
        <v>98.330815585793005</v>
      </c>
    </row>
    <row r="17" spans="1:3" s="778" customFormat="1" ht="12.75" customHeight="1">
      <c r="A17" s="775">
        <v>1991.08</v>
      </c>
      <c r="B17" s="3545">
        <v>96.394568122373599</v>
      </c>
      <c r="C17" s="2791">
        <v>97.572227109901505</v>
      </c>
    </row>
    <row r="18" spans="1:3" s="778" customFormat="1" ht="12.75" customHeight="1">
      <c r="A18" s="775">
        <v>1991.09</v>
      </c>
      <c r="B18" s="3545">
        <v>96.762053838358796</v>
      </c>
      <c r="C18" s="2791">
        <v>95.896772095672404</v>
      </c>
    </row>
    <row r="19" spans="1:3" s="778" customFormat="1" ht="12.75" customHeight="1">
      <c r="A19" s="775">
        <v>1991.1</v>
      </c>
      <c r="B19" s="3545">
        <v>100.982936380116</v>
      </c>
      <c r="C19" s="2791">
        <v>99.333275251571806</v>
      </c>
    </row>
    <row r="20" spans="1:3" s="778" customFormat="1" ht="12.75" customHeight="1">
      <c r="A20" s="775">
        <v>1991.11</v>
      </c>
      <c r="B20" s="3545">
        <v>99.6618543816368</v>
      </c>
      <c r="C20" s="2791">
        <v>99.724950539793895</v>
      </c>
    </row>
    <row r="21" spans="1:3" s="778" customFormat="1" ht="12.75" customHeight="1">
      <c r="A21" s="775">
        <v>1991.12</v>
      </c>
      <c r="B21" s="3545">
        <v>99.458421534721197</v>
      </c>
      <c r="C21" s="2791">
        <v>100.61710335460501</v>
      </c>
    </row>
    <row r="22" spans="1:3" s="778" customFormat="1" ht="12.75" customHeight="1">
      <c r="A22" s="775">
        <v>1992.01</v>
      </c>
      <c r="B22" s="3545">
        <v>101.63979015181999</v>
      </c>
      <c r="C22" s="2791">
        <v>97.554249140102897</v>
      </c>
    </row>
    <row r="23" spans="1:3" s="778" customFormat="1" ht="12.75" customHeight="1">
      <c r="A23" s="775">
        <v>1992.02</v>
      </c>
      <c r="B23" s="3545">
        <v>100.096134351868</v>
      </c>
      <c r="C23" s="2791">
        <v>98.354673563629603</v>
      </c>
    </row>
    <row r="24" spans="1:3" s="778" customFormat="1" ht="12.75" customHeight="1">
      <c r="A24" s="775">
        <v>1992.03</v>
      </c>
      <c r="B24" s="3545">
        <v>98.413509775224497</v>
      </c>
      <c r="C24" s="2791">
        <v>102.47376878995399</v>
      </c>
    </row>
    <row r="25" spans="1:3" s="778" customFormat="1" ht="12.75" customHeight="1">
      <c r="A25" s="775">
        <v>1992.04</v>
      </c>
      <c r="B25" s="3545">
        <v>96.552474345367898</v>
      </c>
      <c r="C25" s="2791">
        <v>102.027405213652</v>
      </c>
    </row>
    <row r="26" spans="1:3" s="778" customFormat="1" ht="12.75" customHeight="1">
      <c r="A26" s="775">
        <v>1992.05</v>
      </c>
      <c r="B26" s="3545">
        <v>96.906335719151301</v>
      </c>
      <c r="C26" s="2791">
        <v>101.81517081335799</v>
      </c>
    </row>
    <row r="27" spans="1:3" s="778" customFormat="1" ht="12.75" customHeight="1">
      <c r="A27" s="775">
        <v>1992.06</v>
      </c>
      <c r="B27" s="3545">
        <v>96.479924168909903</v>
      </c>
      <c r="C27" s="2791">
        <v>100.318493469633</v>
      </c>
    </row>
    <row r="28" spans="1:3" s="778" customFormat="1" ht="12.75" customHeight="1">
      <c r="A28" s="775">
        <v>1992.07</v>
      </c>
      <c r="B28" s="3545">
        <v>96.205703986035502</v>
      </c>
      <c r="C28" s="2791">
        <v>103.07532957333601</v>
      </c>
    </row>
    <row r="29" spans="1:3" s="778" customFormat="1" ht="12.75" customHeight="1">
      <c r="A29" s="775">
        <v>1992.08</v>
      </c>
      <c r="B29" s="3545">
        <v>96.520407780524394</v>
      </c>
      <c r="C29" s="2791">
        <v>100.086353208343</v>
      </c>
    </row>
    <row r="30" spans="1:3" s="778" customFormat="1" ht="12.75" customHeight="1">
      <c r="A30" s="775">
        <v>1992.09</v>
      </c>
      <c r="B30" s="3545">
        <v>97.6079385300349</v>
      </c>
      <c r="C30" s="2791">
        <v>100.371040437524</v>
      </c>
    </row>
    <row r="31" spans="1:3" s="778" customFormat="1" ht="12.75" customHeight="1">
      <c r="A31" s="775">
        <v>1992.1</v>
      </c>
      <c r="B31" s="3545">
        <v>96.790666220998105</v>
      </c>
      <c r="C31" s="2791">
        <v>96.435186598287203</v>
      </c>
    </row>
    <row r="32" spans="1:3" s="778" customFormat="1" ht="12.75" customHeight="1">
      <c r="A32" s="775">
        <v>1992.11</v>
      </c>
      <c r="B32" s="3545">
        <v>96.624962157940402</v>
      </c>
      <c r="C32" s="2791">
        <v>93.889150792695702</v>
      </c>
    </row>
    <row r="33" spans="1:3" s="778" customFormat="1" ht="12.75" customHeight="1">
      <c r="A33" s="775">
        <v>1992.12</v>
      </c>
      <c r="B33" s="3545">
        <v>97.816486719066603</v>
      </c>
      <c r="C33" s="2791">
        <v>93.222884523488304</v>
      </c>
    </row>
    <row r="34" spans="1:3" s="778" customFormat="1" ht="12.75" customHeight="1">
      <c r="A34" s="775">
        <v>1993.01</v>
      </c>
      <c r="B34" s="3545">
        <v>98.1586882644893</v>
      </c>
      <c r="C34" s="2791">
        <v>96.251780041529898</v>
      </c>
    </row>
    <row r="35" spans="1:3" s="778" customFormat="1" ht="12.75" customHeight="1">
      <c r="A35" s="775">
        <v>1993.02</v>
      </c>
      <c r="B35" s="3545">
        <v>98.5812544357739</v>
      </c>
      <c r="C35" s="2791">
        <v>99.276485333686097</v>
      </c>
    </row>
    <row r="36" spans="1:3" s="778" customFormat="1" ht="12.75" customHeight="1">
      <c r="A36" s="775">
        <v>1993.03</v>
      </c>
      <c r="B36" s="3545">
        <v>94.5293742380221</v>
      </c>
      <c r="C36" s="2791">
        <v>101.510516847045</v>
      </c>
    </row>
    <row r="37" spans="1:3" s="778" customFormat="1" ht="12.75" customHeight="1">
      <c r="A37" s="775">
        <v>1993.04</v>
      </c>
      <c r="B37" s="3545">
        <v>97.989350817699602</v>
      </c>
      <c r="C37" s="2791">
        <v>101.178382557283</v>
      </c>
    </row>
    <row r="38" spans="1:3" s="778" customFormat="1" ht="12.75" customHeight="1">
      <c r="A38" s="775">
        <v>1993.05</v>
      </c>
      <c r="B38" s="3545">
        <v>98.439320279821004</v>
      </c>
      <c r="C38" s="2791">
        <v>102.021073116304</v>
      </c>
    </row>
    <row r="39" spans="1:3" s="778" customFormat="1" ht="12.75" customHeight="1">
      <c r="A39" s="775">
        <v>1993.06</v>
      </c>
      <c r="B39" s="3545">
        <v>98.089802871949203</v>
      </c>
      <c r="C39" s="2791">
        <v>104.439553857772</v>
      </c>
    </row>
    <row r="40" spans="1:3" s="778" customFormat="1" ht="12.75" customHeight="1">
      <c r="A40" s="775">
        <v>1993.07</v>
      </c>
      <c r="B40" s="3545">
        <v>97.751551842633901</v>
      </c>
      <c r="C40" s="2791">
        <v>100.222259429769</v>
      </c>
    </row>
    <row r="41" spans="1:3" s="778" customFormat="1" ht="12.75" customHeight="1">
      <c r="A41" s="775">
        <v>1993.08</v>
      </c>
      <c r="B41" s="3545">
        <v>97.457916005472896</v>
      </c>
      <c r="C41" s="2791">
        <v>101.461285719557</v>
      </c>
    </row>
    <row r="42" spans="1:3" s="778" customFormat="1" ht="12.75" customHeight="1">
      <c r="A42" s="775">
        <v>1993.09</v>
      </c>
      <c r="B42" s="3545">
        <v>95.181016363628999</v>
      </c>
      <c r="C42" s="2791">
        <v>102.230262149319</v>
      </c>
    </row>
    <row r="43" spans="1:3" s="778" customFormat="1" ht="12.75" customHeight="1">
      <c r="A43" s="775">
        <v>1993.1</v>
      </c>
      <c r="B43" s="3545">
        <v>98.582274160612201</v>
      </c>
      <c r="C43" s="2791">
        <v>104.594797206637</v>
      </c>
    </row>
    <row r="44" spans="1:3" s="778" customFormat="1" ht="12.75" customHeight="1">
      <c r="A44" s="775">
        <v>1993.11</v>
      </c>
      <c r="B44" s="3545">
        <v>99.735088914046202</v>
      </c>
      <c r="C44" s="2791">
        <v>106.22723566657299</v>
      </c>
    </row>
    <row r="45" spans="1:3" s="778" customFormat="1" ht="12.75" customHeight="1">
      <c r="A45" s="775">
        <v>1993.12</v>
      </c>
      <c r="B45" s="3545">
        <v>103.26422106372399</v>
      </c>
      <c r="C45" s="2791">
        <v>107.973768361391</v>
      </c>
    </row>
    <row r="46" spans="1:3" s="778" customFormat="1" ht="12.75" customHeight="1">
      <c r="A46" s="775">
        <v>1994.01</v>
      </c>
      <c r="B46" s="3545">
        <v>105.716736000032</v>
      </c>
      <c r="C46" s="2791">
        <v>105.669652491162</v>
      </c>
    </row>
    <row r="47" spans="1:3" s="778" customFormat="1" ht="12.75" customHeight="1">
      <c r="A47" s="775">
        <v>1994.02</v>
      </c>
      <c r="B47" s="3545">
        <v>104.532740627224</v>
      </c>
      <c r="C47" s="2791">
        <v>104.633368421494</v>
      </c>
    </row>
    <row r="48" spans="1:3" s="778" customFormat="1" ht="12.75" customHeight="1">
      <c r="A48" s="775">
        <v>1994.03</v>
      </c>
      <c r="B48" s="3545">
        <v>106.742049544062</v>
      </c>
      <c r="C48" s="2791">
        <v>106.46301866931201</v>
      </c>
    </row>
    <row r="49" spans="1:3" s="778" customFormat="1" ht="12.75" customHeight="1">
      <c r="A49" s="775">
        <v>1994.04</v>
      </c>
      <c r="B49" s="3545">
        <v>106.680145307583</v>
      </c>
      <c r="C49" s="2791">
        <v>105.966294097313</v>
      </c>
    </row>
    <row r="50" spans="1:3" s="778" customFormat="1" ht="12.75" customHeight="1">
      <c r="A50" s="775">
        <v>1994.05</v>
      </c>
      <c r="B50" s="3545">
        <v>103.927791505774</v>
      </c>
      <c r="C50" s="2791">
        <v>105.512387587663</v>
      </c>
    </row>
    <row r="51" spans="1:3" s="778" customFormat="1" ht="12.75" customHeight="1">
      <c r="A51" s="775">
        <v>1994.06</v>
      </c>
      <c r="B51" s="3545">
        <v>105.85334486935901</v>
      </c>
      <c r="C51" s="2791">
        <v>108.402833934062</v>
      </c>
    </row>
    <row r="52" spans="1:3" s="778" customFormat="1" ht="12.75" customHeight="1">
      <c r="A52" s="775">
        <v>1994.07</v>
      </c>
      <c r="B52" s="3545">
        <v>104.388393574614</v>
      </c>
      <c r="C52" s="2791">
        <v>105.837389841977</v>
      </c>
    </row>
    <row r="53" spans="1:3" s="778" customFormat="1" ht="12.75" customHeight="1">
      <c r="A53" s="775">
        <v>1994.08</v>
      </c>
      <c r="B53" s="3545">
        <v>105.68117063648999</v>
      </c>
      <c r="C53" s="2791">
        <v>107.0867552664</v>
      </c>
    </row>
    <row r="54" spans="1:3" s="778" customFormat="1" ht="12.75" customHeight="1">
      <c r="A54" s="775">
        <v>1994.09</v>
      </c>
      <c r="B54" s="3545">
        <v>107.95337175994</v>
      </c>
      <c r="C54" s="2791">
        <v>108.22052471511699</v>
      </c>
    </row>
    <row r="55" spans="1:3" s="778" customFormat="1" ht="12.75" customHeight="1">
      <c r="A55" s="775">
        <v>1994.1</v>
      </c>
      <c r="B55" s="3545">
        <v>109.14374548539</v>
      </c>
      <c r="C55" s="2791">
        <v>107.746249339366</v>
      </c>
    </row>
    <row r="56" spans="1:3" s="778" customFormat="1" ht="12.75" customHeight="1">
      <c r="A56" s="775">
        <v>1994.11</v>
      </c>
      <c r="B56" s="3545">
        <v>108.727680926232</v>
      </c>
      <c r="C56" s="2791">
        <v>110.696253193267</v>
      </c>
    </row>
    <row r="57" spans="1:3" s="778" customFormat="1" ht="12.75" customHeight="1">
      <c r="A57" s="775">
        <v>1994.12</v>
      </c>
      <c r="B57" s="3545">
        <v>108.910924150496</v>
      </c>
      <c r="C57" s="2791">
        <v>108.746681718788</v>
      </c>
    </row>
    <row r="58" spans="1:3" s="778" customFormat="1" ht="12.75" customHeight="1">
      <c r="A58" s="775">
        <v>1995.01</v>
      </c>
      <c r="B58" s="3545">
        <v>107.241122934457</v>
      </c>
      <c r="C58" s="2791">
        <v>108.25743666178801</v>
      </c>
    </row>
    <row r="59" spans="1:3" s="778" customFormat="1" ht="12.75" customHeight="1">
      <c r="A59" s="775">
        <v>1995.02</v>
      </c>
      <c r="B59" s="3545">
        <v>106.43886633741801</v>
      </c>
      <c r="C59" s="2791">
        <v>107.491033509202</v>
      </c>
    </row>
    <row r="60" spans="1:3" s="778" customFormat="1" ht="12.75" customHeight="1">
      <c r="A60" s="775">
        <v>1995.03</v>
      </c>
      <c r="B60" s="3545">
        <v>108.435935558484</v>
      </c>
      <c r="C60" s="2791">
        <v>103.79379213256</v>
      </c>
    </row>
    <row r="61" spans="1:3" s="778" customFormat="1" ht="12.75" customHeight="1">
      <c r="A61" s="775">
        <v>1995.04</v>
      </c>
      <c r="B61" s="3545">
        <v>106.74316223842899</v>
      </c>
      <c r="C61" s="2791">
        <v>101.99979452868899</v>
      </c>
    </row>
    <row r="62" spans="1:3" s="778" customFormat="1" ht="12.75" customHeight="1">
      <c r="A62" s="775">
        <v>1995.05</v>
      </c>
      <c r="B62" s="3545">
        <v>106.63855057620199</v>
      </c>
      <c r="C62" s="2791">
        <v>100.84895774327801</v>
      </c>
    </row>
    <row r="63" spans="1:3" s="778" customFormat="1" ht="12.75" customHeight="1">
      <c r="A63" s="775">
        <v>1995.06</v>
      </c>
      <c r="B63" s="3545">
        <v>104.79739327717201</v>
      </c>
      <c r="C63" s="2791">
        <v>96.675446282367403</v>
      </c>
    </row>
    <row r="64" spans="1:3" s="778" customFormat="1" ht="12.75" customHeight="1">
      <c r="A64" s="775">
        <v>1995.07</v>
      </c>
      <c r="B64" s="3545">
        <v>103.420367392145</v>
      </c>
      <c r="C64" s="2791">
        <v>96.178741806664405</v>
      </c>
    </row>
    <row r="65" spans="1:3" s="778" customFormat="1" ht="12.75" customHeight="1">
      <c r="A65" s="775">
        <v>1995.08</v>
      </c>
      <c r="B65" s="3545">
        <v>98.085406027718093</v>
      </c>
      <c r="C65" s="2791">
        <v>93.813257799498501</v>
      </c>
    </row>
    <row r="66" spans="1:3" s="778" customFormat="1" ht="12.75" customHeight="1">
      <c r="A66" s="775">
        <v>1995.09</v>
      </c>
      <c r="B66" s="3545">
        <v>97.248446947423702</v>
      </c>
      <c r="C66" s="2791">
        <v>93.693091579277095</v>
      </c>
    </row>
    <row r="67" spans="1:3" s="778" customFormat="1" ht="12.75" customHeight="1">
      <c r="A67" s="775">
        <v>1995.1</v>
      </c>
      <c r="B67" s="3545">
        <v>100.22521390585899</v>
      </c>
      <c r="C67" s="2791">
        <v>92.955905660948702</v>
      </c>
    </row>
    <row r="68" spans="1:3" s="778" customFormat="1" ht="12.75" customHeight="1">
      <c r="A68" s="775">
        <v>1995.11</v>
      </c>
      <c r="B68" s="3545">
        <v>93.019834653231698</v>
      </c>
      <c r="C68" s="2791">
        <v>89.451763658583502</v>
      </c>
    </row>
    <row r="69" spans="1:3" s="778" customFormat="1" ht="12.75" customHeight="1">
      <c r="A69" s="775">
        <v>1995.12</v>
      </c>
      <c r="B69" s="3545">
        <v>91.427941108186801</v>
      </c>
      <c r="C69" s="2791">
        <v>90.842033923865202</v>
      </c>
    </row>
    <row r="70" spans="1:3" s="778" customFormat="1" ht="12.75" customHeight="1">
      <c r="A70" s="775">
        <v>1996.01</v>
      </c>
      <c r="B70" s="3545">
        <v>92.703390997834802</v>
      </c>
      <c r="C70" s="2791">
        <v>90.919502071847305</v>
      </c>
    </row>
    <row r="71" spans="1:3" s="778" customFormat="1" ht="12.75" customHeight="1">
      <c r="A71" s="775">
        <v>1996.02</v>
      </c>
      <c r="B71" s="3545">
        <v>88.388605191133607</v>
      </c>
      <c r="C71" s="2791">
        <v>91.057354504526103</v>
      </c>
    </row>
    <row r="72" spans="1:3" s="778" customFormat="1" ht="12.75" customHeight="1">
      <c r="A72" s="775">
        <v>1996.03</v>
      </c>
      <c r="B72" s="3545">
        <v>91.154724421268497</v>
      </c>
      <c r="C72" s="2791">
        <v>92.594085845784903</v>
      </c>
    </row>
    <row r="73" spans="1:3" s="778" customFormat="1" ht="12.75" customHeight="1">
      <c r="A73" s="775">
        <v>1996.04</v>
      </c>
      <c r="B73" s="3545">
        <v>91.684866195268398</v>
      </c>
      <c r="C73" s="2791">
        <v>92.054415369513507</v>
      </c>
    </row>
    <row r="74" spans="1:3" s="778" customFormat="1" ht="12.75" customHeight="1">
      <c r="A74" s="775">
        <v>1996.05</v>
      </c>
      <c r="B74" s="3545">
        <v>90.827615212121103</v>
      </c>
      <c r="C74" s="2791">
        <v>91.971019287080097</v>
      </c>
    </row>
    <row r="75" spans="1:3" s="778" customFormat="1" ht="12.75" customHeight="1">
      <c r="A75" s="775">
        <v>1996.06</v>
      </c>
      <c r="B75" s="3545">
        <v>90.001491590869904</v>
      </c>
      <c r="C75" s="2791">
        <v>94.753306520551803</v>
      </c>
    </row>
    <row r="76" spans="1:3" s="778" customFormat="1" ht="12.75" customHeight="1">
      <c r="A76" s="775">
        <v>1996.07</v>
      </c>
      <c r="B76" s="3545">
        <v>91.481280850875095</v>
      </c>
      <c r="C76" s="2791">
        <v>98.228244305311904</v>
      </c>
    </row>
    <row r="77" spans="1:3" s="778" customFormat="1" ht="12.75" customHeight="1">
      <c r="A77" s="775">
        <v>1996.08</v>
      </c>
      <c r="B77" s="3545">
        <v>94.740801853579001</v>
      </c>
      <c r="C77" s="2791">
        <v>99.635430105880602</v>
      </c>
    </row>
    <row r="78" spans="1:3" s="778" customFormat="1" ht="12.75" customHeight="1">
      <c r="A78" s="775">
        <v>1996.09</v>
      </c>
      <c r="B78" s="3545">
        <v>93.711233784319106</v>
      </c>
      <c r="C78" s="2791">
        <v>98.876269621997395</v>
      </c>
    </row>
    <row r="79" spans="1:3" s="778" customFormat="1" ht="12.75" customHeight="1">
      <c r="A79" s="775">
        <v>1996.1</v>
      </c>
      <c r="B79" s="3545">
        <v>91.491372155385903</v>
      </c>
      <c r="C79" s="2791">
        <v>98.831738795250899</v>
      </c>
    </row>
    <row r="80" spans="1:3" s="778" customFormat="1" ht="12.75" customHeight="1">
      <c r="A80" s="775">
        <v>1996.11</v>
      </c>
      <c r="B80" s="3545">
        <v>92.969642546368306</v>
      </c>
      <c r="C80" s="2791">
        <v>100.715040416352</v>
      </c>
    </row>
    <row r="81" spans="1:3" s="778" customFormat="1" ht="12.75" customHeight="1">
      <c r="A81" s="775">
        <v>1996.12</v>
      </c>
      <c r="B81" s="3545">
        <v>93.127436463326603</v>
      </c>
      <c r="C81" s="2791">
        <v>99.381155944121303</v>
      </c>
    </row>
    <row r="82" spans="1:3" s="778" customFormat="1" ht="12.75" customHeight="1">
      <c r="A82" s="775">
        <v>1997.01</v>
      </c>
      <c r="B82" s="3545">
        <v>92.2180949002083</v>
      </c>
      <c r="C82" s="2791">
        <v>99.145507454529593</v>
      </c>
    </row>
    <row r="83" spans="1:3" s="778" customFormat="1" ht="12.75" customHeight="1">
      <c r="A83" s="775">
        <v>1997.02</v>
      </c>
      <c r="B83" s="3545">
        <v>93.911399345502005</v>
      </c>
      <c r="C83" s="2791">
        <v>99.654104166761499</v>
      </c>
    </row>
    <row r="84" spans="1:3" s="778" customFormat="1" ht="12.75" customHeight="1">
      <c r="A84" s="775">
        <v>1997.03</v>
      </c>
      <c r="B84" s="3545">
        <v>92.354950956236394</v>
      </c>
      <c r="C84" s="2791">
        <v>100.159473728704</v>
      </c>
    </row>
    <row r="85" spans="1:3" s="778" customFormat="1" ht="12.75" customHeight="1">
      <c r="A85" s="775">
        <v>1997.04</v>
      </c>
      <c r="B85" s="3545">
        <v>90.206815574163599</v>
      </c>
      <c r="C85" s="2791">
        <v>100.716750301883</v>
      </c>
    </row>
    <row r="86" spans="1:3" s="778" customFormat="1" ht="12.75" customHeight="1">
      <c r="A86" s="775">
        <v>1997.05</v>
      </c>
      <c r="B86" s="3545">
        <v>94.215020444424198</v>
      </c>
      <c r="C86" s="2791">
        <v>101.22124194611</v>
      </c>
    </row>
    <row r="87" spans="1:3" s="778" customFormat="1" ht="12.75" customHeight="1">
      <c r="A87" s="775">
        <v>1997.06</v>
      </c>
      <c r="B87" s="3545">
        <v>93.550746429888903</v>
      </c>
      <c r="C87" s="2791">
        <v>99.003653782942806</v>
      </c>
    </row>
    <row r="88" spans="1:3" s="778" customFormat="1" ht="12.75" customHeight="1">
      <c r="A88" s="775">
        <v>1997.07</v>
      </c>
      <c r="B88" s="3545">
        <v>93.606574708243997</v>
      </c>
      <c r="C88" s="2791">
        <v>97.847729410853901</v>
      </c>
    </row>
    <row r="89" spans="1:3" s="778" customFormat="1" ht="12.75" customHeight="1">
      <c r="A89" s="775">
        <v>1997.08</v>
      </c>
      <c r="B89" s="3545">
        <v>94.514678707802304</v>
      </c>
      <c r="C89" s="2791">
        <v>99.259993828665301</v>
      </c>
    </row>
    <row r="90" spans="1:3" s="778" customFormat="1" ht="12.75" customHeight="1">
      <c r="A90" s="775">
        <v>1997.09</v>
      </c>
      <c r="B90" s="3545">
        <v>95.6916696452476</v>
      </c>
      <c r="C90" s="2791">
        <v>101.194649268866</v>
      </c>
    </row>
    <row r="91" spans="1:3" s="778" customFormat="1" ht="12.75" customHeight="1">
      <c r="A91" s="775">
        <v>1997.1</v>
      </c>
      <c r="B91" s="3545">
        <v>99.725334348990501</v>
      </c>
      <c r="C91" s="2791">
        <v>103.115658964519</v>
      </c>
    </row>
    <row r="92" spans="1:3" s="778" customFormat="1" ht="12.75" customHeight="1">
      <c r="A92" s="775">
        <v>1997.11</v>
      </c>
      <c r="B92" s="3545">
        <v>97.260462279590698</v>
      </c>
      <c r="C92" s="2791">
        <v>101.73175500523401</v>
      </c>
    </row>
    <row r="93" spans="1:3" s="778" customFormat="1" ht="12.75" customHeight="1">
      <c r="A93" s="775">
        <v>1997.12</v>
      </c>
      <c r="B93" s="3545">
        <v>94.947188038971802</v>
      </c>
      <c r="C93" s="2791">
        <v>101.19051005184799</v>
      </c>
    </row>
    <row r="94" spans="1:3" s="778" customFormat="1" ht="12.75" customHeight="1">
      <c r="A94" s="775">
        <v>1998.01</v>
      </c>
      <c r="B94" s="3545">
        <v>88.978274634514904</v>
      </c>
      <c r="C94" s="2791">
        <v>96.776785358497193</v>
      </c>
    </row>
    <row r="95" spans="1:3" s="778" customFormat="1" ht="12.75" customHeight="1">
      <c r="A95" s="775">
        <v>1998.02</v>
      </c>
      <c r="B95" s="3545">
        <v>86.992155018859194</v>
      </c>
      <c r="C95" s="2791">
        <v>95.197756001158297</v>
      </c>
    </row>
    <row r="96" spans="1:3" s="778" customFormat="1" ht="12.75" customHeight="1">
      <c r="A96" s="775">
        <v>1998.03</v>
      </c>
      <c r="B96" s="3545">
        <v>85.622360024151604</v>
      </c>
      <c r="C96" s="2791">
        <v>93.394425451836995</v>
      </c>
    </row>
    <row r="97" spans="1:3" s="778" customFormat="1" ht="12.75" customHeight="1">
      <c r="A97" s="775">
        <v>1998.04</v>
      </c>
      <c r="B97" s="3545">
        <v>84.813639344961402</v>
      </c>
      <c r="C97" s="2791">
        <v>92.787932556433503</v>
      </c>
    </row>
    <row r="98" spans="1:3" s="778" customFormat="1" ht="12.75" customHeight="1">
      <c r="A98" s="775">
        <v>1998.05</v>
      </c>
      <c r="B98" s="3545">
        <v>97.829047074817694</v>
      </c>
      <c r="C98" s="2791">
        <v>94.071984398082407</v>
      </c>
    </row>
    <row r="99" spans="1:3" s="778" customFormat="1" ht="12.75" customHeight="1">
      <c r="A99" s="775">
        <v>1998.06</v>
      </c>
      <c r="B99" s="3545">
        <v>99.162406714999506</v>
      </c>
      <c r="C99" s="2791">
        <v>95.242638171028005</v>
      </c>
    </row>
    <row r="100" spans="1:3" s="778" customFormat="1" ht="12.75" customHeight="1">
      <c r="A100" s="775">
        <v>1998.07</v>
      </c>
      <c r="B100" s="3545">
        <v>95.157421530003703</v>
      </c>
      <c r="C100" s="2791">
        <v>94.374004057378301</v>
      </c>
    </row>
    <row r="101" spans="1:3" s="778" customFormat="1" ht="12.75" customHeight="1">
      <c r="A101" s="775">
        <v>1998.08</v>
      </c>
      <c r="B101" s="3545">
        <v>95.362272474759806</v>
      </c>
      <c r="C101" s="2791">
        <v>92.686023244711294</v>
      </c>
    </row>
    <row r="102" spans="1:3" s="778" customFormat="1" ht="12.75" customHeight="1">
      <c r="A102" s="775">
        <v>1998.09</v>
      </c>
      <c r="B102" s="3545">
        <v>96.862035599098704</v>
      </c>
      <c r="C102" s="2791">
        <v>89.620432331349605</v>
      </c>
    </row>
    <row r="103" spans="1:3" s="778" customFormat="1" ht="12.75" customHeight="1">
      <c r="A103" s="775">
        <v>1998.1</v>
      </c>
      <c r="B103" s="3545">
        <v>94.436068590387706</v>
      </c>
      <c r="C103" s="2791">
        <v>87.5370557894868</v>
      </c>
    </row>
    <row r="104" spans="1:3" s="778" customFormat="1" ht="12.75" customHeight="1">
      <c r="A104" s="775">
        <v>1998.11</v>
      </c>
      <c r="B104" s="3545">
        <v>96.417745228869293</v>
      </c>
      <c r="C104" s="2791">
        <v>86.2571123952997</v>
      </c>
    </row>
    <row r="105" spans="1:3" s="778" customFormat="1" ht="12.75" customHeight="1">
      <c r="A105" s="775">
        <v>1998.12</v>
      </c>
      <c r="B105" s="3545">
        <v>96.898013551600002</v>
      </c>
      <c r="C105" s="2791">
        <v>87.766706804125306</v>
      </c>
    </row>
    <row r="106" spans="1:3" s="778" customFormat="1" ht="12.75" customHeight="1">
      <c r="A106" s="775">
        <v>1999.01</v>
      </c>
      <c r="B106" s="3545">
        <v>104.300202153459</v>
      </c>
      <c r="C106" s="2791">
        <v>91.630292653486805</v>
      </c>
    </row>
    <row r="107" spans="1:3" s="778" customFormat="1" ht="12.75" customHeight="1">
      <c r="A107" s="775">
        <v>1999.02</v>
      </c>
      <c r="B107" s="3545">
        <v>104.35261953136001</v>
      </c>
      <c r="C107" s="2791">
        <v>94.046214035697005</v>
      </c>
    </row>
    <row r="108" spans="1:3" s="778" customFormat="1" ht="12.75" customHeight="1">
      <c r="A108" s="775">
        <v>1999.03</v>
      </c>
      <c r="B108" s="3545">
        <v>105.846595278649</v>
      </c>
      <c r="C108" s="2791">
        <v>95.898132541734</v>
      </c>
    </row>
    <row r="109" spans="1:3" s="778" customFormat="1" ht="12.75" customHeight="1">
      <c r="A109" s="775">
        <v>1999.04</v>
      </c>
      <c r="B109" s="3545">
        <v>97.8972155559687</v>
      </c>
      <c r="C109" s="2791">
        <v>95.771077504902607</v>
      </c>
    </row>
    <row r="110" spans="1:3" s="778" customFormat="1" ht="12.75" customHeight="1">
      <c r="A110" s="775">
        <v>1999.05</v>
      </c>
      <c r="B110" s="3545">
        <v>109.353114737667</v>
      </c>
      <c r="C110" s="2791">
        <v>100.39684363242699</v>
      </c>
    </row>
    <row r="111" spans="1:3" s="778" customFormat="1" ht="12.75" customHeight="1">
      <c r="A111" s="775">
        <v>1999.06</v>
      </c>
      <c r="B111" s="3545">
        <v>120.23439650308801</v>
      </c>
      <c r="C111" s="2791">
        <v>104.858432753369</v>
      </c>
    </row>
    <row r="112" spans="1:3" s="778" customFormat="1" ht="12.75" customHeight="1">
      <c r="A112" s="775">
        <v>1999.07</v>
      </c>
      <c r="B112" s="3545">
        <v>125.108611044078</v>
      </c>
      <c r="C112" s="2791">
        <v>108.74543753604</v>
      </c>
    </row>
    <row r="113" spans="1:3" s="778" customFormat="1" ht="12.75" customHeight="1">
      <c r="A113" s="775">
        <v>1999.08</v>
      </c>
      <c r="B113" s="3545">
        <v>125.490162754634</v>
      </c>
      <c r="C113" s="2791">
        <v>105.163373292353</v>
      </c>
    </row>
    <row r="114" spans="1:3" s="778" customFormat="1" ht="12.75" customHeight="1">
      <c r="A114" s="775">
        <v>1999.09</v>
      </c>
      <c r="B114" s="3545">
        <v>125.63685012900299</v>
      </c>
      <c r="C114" s="2791">
        <v>104.687139584677</v>
      </c>
    </row>
    <row r="115" spans="1:3" s="778" customFormat="1" ht="12.75" customHeight="1">
      <c r="A115" s="775">
        <v>1999.1</v>
      </c>
      <c r="B115" s="3545">
        <v>130.849528976665</v>
      </c>
      <c r="C115" s="2791">
        <v>106.036063549612</v>
      </c>
    </row>
    <row r="116" spans="1:3" s="778" customFormat="1" ht="12.75" customHeight="1">
      <c r="A116" s="775">
        <v>1999.11</v>
      </c>
      <c r="B116" s="3545">
        <v>128.06372499772601</v>
      </c>
      <c r="C116" s="2791">
        <v>108.00282191010901</v>
      </c>
    </row>
    <row r="117" spans="1:3" s="778" customFormat="1" ht="12.75" customHeight="1">
      <c r="A117" s="775">
        <v>1999.12</v>
      </c>
      <c r="B117" s="3545">
        <v>125.80586604515599</v>
      </c>
      <c r="C117" s="2791">
        <v>108.152661941522</v>
      </c>
    </row>
    <row r="118" spans="1:3" s="778" customFormat="1" ht="12.75" customHeight="1">
      <c r="A118" s="775">
        <v>2000.01</v>
      </c>
      <c r="B118" s="3545">
        <v>128.018100897848</v>
      </c>
      <c r="C118" s="2791">
        <v>109.873008164</v>
      </c>
    </row>
    <row r="119" spans="1:3" s="778" customFormat="1" ht="12.75" customHeight="1">
      <c r="A119" s="775">
        <v>2000.02</v>
      </c>
      <c r="B119" s="3545">
        <v>128.65884374963599</v>
      </c>
      <c r="C119" s="2791">
        <v>114.622096943439</v>
      </c>
    </row>
    <row r="120" spans="1:3" s="778" customFormat="1" ht="12.75" customHeight="1">
      <c r="A120" s="775">
        <v>2000.03</v>
      </c>
      <c r="B120" s="3545">
        <v>122.750217057976</v>
      </c>
      <c r="C120" s="2791">
        <v>110.214458331887</v>
      </c>
    </row>
    <row r="121" spans="1:3" s="778" customFormat="1" ht="12.75" customHeight="1">
      <c r="A121" s="775">
        <v>2000.04</v>
      </c>
      <c r="B121" s="3545">
        <v>130.98790459381399</v>
      </c>
      <c r="C121" s="2791">
        <v>116.595373455246</v>
      </c>
    </row>
    <row r="122" spans="1:3" s="778" customFormat="1" ht="12.75" customHeight="1">
      <c r="A122" s="775">
        <v>2000.05</v>
      </c>
      <c r="B122" s="3545">
        <v>129.07948735823001</v>
      </c>
      <c r="C122" s="2791">
        <v>115.357095562398</v>
      </c>
    </row>
    <row r="123" spans="1:3" s="778" customFormat="1" ht="12.75" customHeight="1">
      <c r="A123" s="775">
        <v>2000.06</v>
      </c>
      <c r="B123" s="3545">
        <v>119.280554529848</v>
      </c>
      <c r="C123" s="2791">
        <v>104.719115883356</v>
      </c>
    </row>
    <row r="124" spans="1:3" s="778" customFormat="1" ht="12.75" customHeight="1">
      <c r="A124" s="775">
        <v>2000.07</v>
      </c>
      <c r="B124" s="3545">
        <v>119.442047642828</v>
      </c>
      <c r="C124" s="2791">
        <v>100.477399203</v>
      </c>
    </row>
    <row r="125" spans="1:3" s="778" customFormat="1" ht="12.75" customHeight="1">
      <c r="A125" s="775">
        <v>2000.08</v>
      </c>
      <c r="B125" s="3545">
        <v>119.803045764053</v>
      </c>
      <c r="C125" s="2791">
        <v>102.73978263072399</v>
      </c>
    </row>
    <row r="126" spans="1:3" s="778" customFormat="1" ht="12.75" customHeight="1">
      <c r="A126" s="775">
        <v>2000.09</v>
      </c>
      <c r="B126" s="3545">
        <v>112.49936758034799</v>
      </c>
      <c r="C126" s="2791">
        <v>98.680499217122801</v>
      </c>
    </row>
    <row r="127" spans="1:3" s="778" customFormat="1" ht="12.75" customHeight="1">
      <c r="A127" s="775">
        <v>2000.1</v>
      </c>
      <c r="B127" s="3545">
        <v>110.90220924343799</v>
      </c>
      <c r="C127" s="2791">
        <v>98.763292597498705</v>
      </c>
    </row>
    <row r="128" spans="1:3" s="778" customFormat="1" ht="12.75" customHeight="1">
      <c r="A128" s="775">
        <v>2000.11</v>
      </c>
      <c r="B128" s="3545">
        <v>109.50882735664599</v>
      </c>
      <c r="C128" s="2791">
        <v>97.481592807564994</v>
      </c>
    </row>
    <row r="129" spans="1:3" s="778" customFormat="1" ht="12.75" customHeight="1">
      <c r="A129" s="775">
        <v>2000.12</v>
      </c>
      <c r="B129" s="3545">
        <v>104.385094311176</v>
      </c>
      <c r="C129" s="2791">
        <v>95.410403551966894</v>
      </c>
    </row>
    <row r="130" spans="1:3" s="778" customFormat="1" ht="12.75" customHeight="1">
      <c r="A130" s="775">
        <v>2001.01</v>
      </c>
      <c r="B130" s="3545">
        <v>100.40684917172899</v>
      </c>
      <c r="C130" s="2791">
        <v>93.384706286250704</v>
      </c>
    </row>
    <row r="131" spans="1:3" s="778" customFormat="1" ht="12.75" customHeight="1">
      <c r="A131" s="775">
        <v>2001.02</v>
      </c>
      <c r="B131" s="3545">
        <v>92.397485260188503</v>
      </c>
      <c r="C131" s="2791">
        <v>88.489196384581305</v>
      </c>
    </row>
    <row r="132" spans="1:3" s="778" customFormat="1" ht="12.75" customHeight="1">
      <c r="A132" s="775">
        <v>2001.03</v>
      </c>
      <c r="B132" s="3545">
        <v>88.973410297770798</v>
      </c>
      <c r="C132" s="2791">
        <v>87.519160245682897</v>
      </c>
    </row>
    <row r="133" spans="1:3" s="778" customFormat="1" ht="12.75" customHeight="1">
      <c r="A133" s="775">
        <v>2001.04</v>
      </c>
      <c r="B133" s="3545">
        <v>84.582130808236201</v>
      </c>
      <c r="C133" s="2791">
        <v>80.239622425821395</v>
      </c>
    </row>
    <row r="134" spans="1:3" s="778" customFormat="1" ht="12.75" customHeight="1">
      <c r="A134" s="775">
        <v>2001.05</v>
      </c>
      <c r="B134" s="3545">
        <v>83.911847868312606</v>
      </c>
      <c r="C134" s="2791">
        <v>78.489748231023398</v>
      </c>
    </row>
    <row r="135" spans="1:3" s="778" customFormat="1" ht="12.75" customHeight="1">
      <c r="A135" s="775">
        <v>2001.06</v>
      </c>
      <c r="B135" s="3545">
        <v>81.7732486855665</v>
      </c>
      <c r="C135" s="2791">
        <v>82.355535721250504</v>
      </c>
    </row>
    <row r="136" spans="1:3" s="778" customFormat="1" ht="12.75" customHeight="1">
      <c r="A136" s="775">
        <v>2001.07</v>
      </c>
      <c r="B136" s="3545">
        <v>82.345812972296002</v>
      </c>
      <c r="C136" s="2791">
        <v>82.909127571059898</v>
      </c>
    </row>
    <row r="137" spans="1:3" s="778" customFormat="1" ht="12.75" customHeight="1">
      <c r="A137" s="775">
        <v>2001.08</v>
      </c>
      <c r="B137" s="3545">
        <v>79.714014241902106</v>
      </c>
      <c r="C137" s="2791">
        <v>83.379906426181094</v>
      </c>
    </row>
    <row r="138" spans="1:3" s="778" customFormat="1" ht="12.75" customHeight="1">
      <c r="A138" s="775">
        <v>2001.09</v>
      </c>
      <c r="B138" s="3545">
        <v>84.424427868670094</v>
      </c>
      <c r="C138" s="2791">
        <v>85.758825677123099</v>
      </c>
    </row>
    <row r="139" spans="1:3" s="778" customFormat="1" ht="12.75" customHeight="1">
      <c r="A139" s="775">
        <v>2001.1</v>
      </c>
      <c r="B139" s="3545">
        <v>78.388761213185703</v>
      </c>
      <c r="C139" s="2791">
        <v>80.847740518079505</v>
      </c>
    </row>
    <row r="140" spans="1:3" s="778" customFormat="1" ht="12.75" customHeight="1">
      <c r="A140" s="775">
        <v>2001.11</v>
      </c>
      <c r="B140" s="3545">
        <v>80.177752404657397</v>
      </c>
      <c r="C140" s="2791">
        <v>78.304080404647095</v>
      </c>
    </row>
    <row r="141" spans="1:3" s="778" customFormat="1" ht="12.75" customHeight="1">
      <c r="A141" s="775">
        <v>2001.12</v>
      </c>
      <c r="B141" s="3545">
        <v>81.329507485612993</v>
      </c>
      <c r="C141" s="2791">
        <v>77.543743302087506</v>
      </c>
    </row>
    <row r="142" spans="1:3" s="778" customFormat="1" ht="12.75" customHeight="1">
      <c r="A142" s="775">
        <v>2002.01</v>
      </c>
      <c r="B142" s="3545">
        <v>86.392412463505806</v>
      </c>
      <c r="C142" s="2791">
        <v>87.297175734820996</v>
      </c>
    </row>
    <row r="143" spans="1:3" s="778" customFormat="1" ht="12.75" customHeight="1">
      <c r="A143" s="775">
        <v>2002.02</v>
      </c>
      <c r="B143" s="3545">
        <v>89.222086861356601</v>
      </c>
      <c r="C143" s="2791">
        <v>90.825183787746795</v>
      </c>
    </row>
    <row r="144" spans="1:3" s="778" customFormat="1" ht="12.75" customHeight="1">
      <c r="A144" s="775">
        <v>2002.03</v>
      </c>
      <c r="B144" s="3545">
        <v>96.175392716258003</v>
      </c>
      <c r="C144" s="2791">
        <v>99.200422296313604</v>
      </c>
    </row>
    <row r="145" spans="1:3" s="778" customFormat="1" ht="12.75" customHeight="1">
      <c r="A145" s="775">
        <v>2002.04</v>
      </c>
      <c r="B145" s="3545">
        <v>104.423206867475</v>
      </c>
      <c r="C145" s="2791">
        <v>104.640720935095</v>
      </c>
    </row>
    <row r="146" spans="1:3" s="778" customFormat="1" ht="12.75" customHeight="1">
      <c r="A146" s="775">
        <v>2002.05</v>
      </c>
      <c r="B146" s="3545">
        <v>106.75176159787701</v>
      </c>
      <c r="C146" s="2791">
        <v>111.027046560465</v>
      </c>
    </row>
    <row r="147" spans="1:3" s="778" customFormat="1" ht="12.75" customHeight="1">
      <c r="A147" s="775">
        <v>2002.06</v>
      </c>
      <c r="B147" s="3545">
        <v>107.104437228889</v>
      </c>
      <c r="C147" s="2791">
        <v>111.00917441833801</v>
      </c>
    </row>
    <row r="148" spans="1:3" s="778" customFormat="1" ht="12.75" customHeight="1">
      <c r="A148" s="775">
        <v>2002.07</v>
      </c>
      <c r="B148" s="3545">
        <v>106.25364573278</v>
      </c>
      <c r="C148" s="2791">
        <v>109.239193581173</v>
      </c>
    </row>
    <row r="149" spans="1:3" s="778" customFormat="1" ht="12.75" customHeight="1">
      <c r="A149" s="775">
        <v>2002.08</v>
      </c>
      <c r="B149" s="3545">
        <v>104.936279504636</v>
      </c>
      <c r="C149" s="2791">
        <v>107.286916308572</v>
      </c>
    </row>
    <row r="150" spans="1:3" s="778" customFormat="1" ht="12.75" customHeight="1">
      <c r="A150" s="775">
        <v>2002.09</v>
      </c>
      <c r="B150" s="3545">
        <v>102.331672191382</v>
      </c>
      <c r="C150" s="2791">
        <v>102.54901542974901</v>
      </c>
    </row>
    <row r="151" spans="1:3" s="778" customFormat="1" ht="12.75" customHeight="1">
      <c r="A151" s="775">
        <v>2002.1</v>
      </c>
      <c r="B151" s="3545">
        <v>104.138405334864</v>
      </c>
      <c r="C151" s="2791">
        <v>103.96469756609601</v>
      </c>
    </row>
    <row r="152" spans="1:3" s="778" customFormat="1" ht="12.75" customHeight="1">
      <c r="A152" s="775">
        <v>2002.11</v>
      </c>
      <c r="B152" s="3545">
        <v>101.78429526370201</v>
      </c>
      <c r="C152" s="2791">
        <v>105.623400755107</v>
      </c>
    </row>
    <row r="153" spans="1:3" s="778" customFormat="1" ht="12.75" customHeight="1">
      <c r="A153" s="775">
        <v>2002.12</v>
      </c>
      <c r="B153" s="3545">
        <v>102.151554637087</v>
      </c>
      <c r="C153" s="2791">
        <v>107.249380232348</v>
      </c>
    </row>
    <row r="154" spans="1:3" s="778" customFormat="1" ht="12.75" customHeight="1">
      <c r="A154" s="775">
        <v>2003.01</v>
      </c>
      <c r="B154" s="3545">
        <v>99.929470659436404</v>
      </c>
      <c r="C154" s="2791">
        <v>102.570925345417</v>
      </c>
    </row>
    <row r="155" spans="1:3" s="778" customFormat="1" ht="12.75" customHeight="1">
      <c r="A155" s="775">
        <v>2003.02</v>
      </c>
      <c r="B155" s="3545">
        <v>98.725394510931807</v>
      </c>
      <c r="C155" s="2791">
        <v>101.424946227571</v>
      </c>
    </row>
    <row r="156" spans="1:3" s="778" customFormat="1" ht="12.75" customHeight="1">
      <c r="A156" s="775">
        <v>2003.03</v>
      </c>
      <c r="B156" s="3545">
        <v>96.878782934196707</v>
      </c>
      <c r="C156" s="2791">
        <v>101.378211836604</v>
      </c>
    </row>
    <row r="157" spans="1:3" s="778" customFormat="1" ht="12.75" customHeight="1">
      <c r="A157" s="775">
        <v>2003.04</v>
      </c>
      <c r="B157" s="3545">
        <v>93.633538800658002</v>
      </c>
      <c r="C157" s="2791">
        <v>96.981257294436404</v>
      </c>
    </row>
    <row r="158" spans="1:3" s="778" customFormat="1" ht="12.75" customHeight="1">
      <c r="A158" s="775">
        <v>2003.05</v>
      </c>
      <c r="B158" s="3545">
        <v>91.634223126455197</v>
      </c>
      <c r="C158" s="2791">
        <v>91.511411724007303</v>
      </c>
    </row>
    <row r="159" spans="1:3" s="778" customFormat="1" ht="12.75" customHeight="1">
      <c r="A159" s="775">
        <v>2003.06</v>
      </c>
      <c r="B159" s="3545">
        <v>91.229403206970602</v>
      </c>
      <c r="C159" s="2791">
        <v>91.830109208621494</v>
      </c>
    </row>
    <row r="160" spans="1:3" s="778" customFormat="1" ht="12.75" customHeight="1">
      <c r="A160" s="775">
        <v>2003.07</v>
      </c>
      <c r="B160" s="3545">
        <v>94.193228931510902</v>
      </c>
      <c r="C160" s="2791">
        <v>95.984787537536207</v>
      </c>
    </row>
    <row r="161" spans="1:3" s="778" customFormat="1" ht="12.75" customHeight="1">
      <c r="A161" s="775">
        <v>2003.08</v>
      </c>
      <c r="B161" s="3545">
        <v>97.462423259053395</v>
      </c>
      <c r="C161" s="2791">
        <v>98.094336224783007</v>
      </c>
    </row>
    <row r="162" spans="1:3" s="778" customFormat="1" ht="12.75" customHeight="1">
      <c r="A162" s="775">
        <v>2003.09</v>
      </c>
      <c r="B162" s="3545">
        <v>101.911937580228</v>
      </c>
      <c r="C162" s="2791">
        <v>104.504589911818</v>
      </c>
    </row>
    <row r="163" spans="1:3" s="778" customFormat="1" ht="12.75" customHeight="1">
      <c r="A163" s="775">
        <v>2003.1</v>
      </c>
      <c r="B163" s="3545">
        <v>104.34805241086499</v>
      </c>
      <c r="C163" s="2791">
        <v>106.47630660531701</v>
      </c>
    </row>
    <row r="164" spans="1:3" s="778" customFormat="1" ht="12.75" customHeight="1">
      <c r="A164" s="775">
        <v>2003.11</v>
      </c>
      <c r="B164" s="3545">
        <v>111.714658368901</v>
      </c>
      <c r="C164" s="2791">
        <v>110.86690392525701</v>
      </c>
    </row>
    <row r="165" spans="1:3" s="778" customFormat="1" ht="12.75" customHeight="1">
      <c r="A165" s="775">
        <v>2003.12</v>
      </c>
      <c r="B165" s="3545">
        <v>110.303327964212</v>
      </c>
      <c r="C165" s="2791">
        <v>110.423009202017</v>
      </c>
    </row>
    <row r="166" spans="1:3" s="778" customFormat="1" ht="12.75" customHeight="1">
      <c r="A166" s="775">
        <v>2004.01</v>
      </c>
      <c r="B166" s="3545">
        <v>114.70626523814801</v>
      </c>
      <c r="C166" s="2791">
        <v>111.804500941092</v>
      </c>
    </row>
    <row r="167" spans="1:3" s="778" customFormat="1" ht="12.75" customHeight="1">
      <c r="A167" s="775">
        <v>2004.02</v>
      </c>
      <c r="B167" s="3545">
        <v>112.334196054912</v>
      </c>
      <c r="C167" s="2791">
        <v>107.057581793065</v>
      </c>
    </row>
    <row r="168" spans="1:3" s="778" customFormat="1" ht="12.75" customHeight="1">
      <c r="A168" s="775">
        <v>2004.03</v>
      </c>
      <c r="B168" s="3545">
        <v>113.764422508693</v>
      </c>
      <c r="C168" s="2791">
        <v>107.654422173849</v>
      </c>
    </row>
    <row r="169" spans="1:3" s="778" customFormat="1" ht="12.75" customHeight="1">
      <c r="A169" s="775">
        <v>2004.04</v>
      </c>
      <c r="B169" s="3545">
        <v>114.13041899570401</v>
      </c>
      <c r="C169" s="2791">
        <v>110.21355254742799</v>
      </c>
    </row>
    <row r="170" spans="1:3" s="778" customFormat="1" ht="12.75" customHeight="1">
      <c r="A170" s="775">
        <v>2004.05</v>
      </c>
      <c r="B170" s="3545">
        <v>119.529403953292</v>
      </c>
      <c r="C170" s="2791">
        <v>114.83008640648799</v>
      </c>
    </row>
    <row r="171" spans="1:3" s="778" customFormat="1" ht="12.75" customHeight="1">
      <c r="A171" s="775">
        <v>2004.06</v>
      </c>
      <c r="B171" s="3545">
        <v>118.23676589823199</v>
      </c>
      <c r="C171" s="2791">
        <v>115.079175034624</v>
      </c>
    </row>
    <row r="172" spans="1:3" s="778" customFormat="1" ht="12.75" customHeight="1">
      <c r="A172" s="775">
        <v>2004.07</v>
      </c>
      <c r="B172" s="3545">
        <v>118.077663514292</v>
      </c>
      <c r="C172" s="2791">
        <v>113.664709200475</v>
      </c>
    </row>
    <row r="173" spans="1:3" s="778" customFormat="1" ht="12.75" customHeight="1">
      <c r="A173" s="775">
        <v>2004.08</v>
      </c>
      <c r="B173" s="3545">
        <v>115.378939756069</v>
      </c>
      <c r="C173" s="2791">
        <v>109.47969890481301</v>
      </c>
    </row>
    <row r="174" spans="1:3" s="778" customFormat="1" ht="12.75" customHeight="1">
      <c r="A174" s="775">
        <v>2004.09</v>
      </c>
      <c r="B174" s="3545">
        <v>114.85784227118801</v>
      </c>
      <c r="C174" s="2791">
        <v>108.211587470159</v>
      </c>
    </row>
    <row r="175" spans="1:3" s="778" customFormat="1" ht="12.75" customHeight="1">
      <c r="A175" s="775">
        <v>2004.1</v>
      </c>
      <c r="B175" s="3545">
        <v>112.37607382696299</v>
      </c>
      <c r="C175" s="2791">
        <v>106.471515356834</v>
      </c>
    </row>
    <row r="176" spans="1:3" s="778" customFormat="1" ht="12.75" customHeight="1">
      <c r="A176" s="775">
        <v>2004.11</v>
      </c>
      <c r="B176" s="3545">
        <v>107.336035142273</v>
      </c>
      <c r="C176" s="2791">
        <v>101.393467762097</v>
      </c>
    </row>
    <row r="177" spans="1:3" s="778" customFormat="1" ht="12.75" customHeight="1">
      <c r="A177" s="775">
        <v>2004.12</v>
      </c>
      <c r="B177" s="3545">
        <v>105.398590821697</v>
      </c>
      <c r="C177" s="2791">
        <v>100.54710688642901</v>
      </c>
    </row>
    <row r="178" spans="1:3" s="778" customFormat="1" ht="12.75" customHeight="1">
      <c r="A178" s="775">
        <v>2005.01</v>
      </c>
      <c r="B178" s="3545">
        <v>104.00043596044399</v>
      </c>
      <c r="C178" s="2791">
        <v>99.421841312913699</v>
      </c>
    </row>
    <row r="179" spans="1:3" s="778" customFormat="1" ht="12.75" customHeight="1">
      <c r="A179" s="775">
        <v>2005.02</v>
      </c>
      <c r="B179" s="3545">
        <v>108.995483667765</v>
      </c>
      <c r="C179" s="2791">
        <v>104.79417061208299</v>
      </c>
    </row>
    <row r="180" spans="1:3" s="778" customFormat="1" ht="12.75" customHeight="1">
      <c r="A180" s="775">
        <v>2005.03</v>
      </c>
      <c r="B180" s="3545">
        <v>108.415042457672</v>
      </c>
      <c r="C180" s="2791">
        <v>105.540158428501</v>
      </c>
    </row>
    <row r="181" spans="1:3" s="778" customFormat="1" ht="12.75" customHeight="1">
      <c r="A181" s="775">
        <v>2005.04</v>
      </c>
      <c r="B181" s="3545">
        <v>107.14582758928999</v>
      </c>
      <c r="C181" s="2791">
        <v>103.138126411123</v>
      </c>
    </row>
    <row r="182" spans="1:3" s="778" customFormat="1" ht="12.75" customHeight="1">
      <c r="A182" s="775">
        <v>2005.05</v>
      </c>
      <c r="B182" s="3545">
        <v>102.097608425846</v>
      </c>
      <c r="C182" s="2791">
        <v>97.264849251887597</v>
      </c>
    </row>
    <row r="183" spans="1:3" s="778" customFormat="1" ht="12.75" customHeight="1">
      <c r="A183" s="775">
        <v>2005.06</v>
      </c>
      <c r="B183" s="3545">
        <v>101.885948947158</v>
      </c>
      <c r="C183" s="2791">
        <v>96.811947450411793</v>
      </c>
    </row>
    <row r="184" spans="1:3" s="778" customFormat="1" ht="12.75" customHeight="1">
      <c r="A184" s="775">
        <v>2005.07</v>
      </c>
      <c r="B184" s="3545">
        <v>102.897666287859</v>
      </c>
      <c r="C184" s="2791">
        <v>96.234070666702095</v>
      </c>
    </row>
    <row r="185" spans="1:3" s="778" customFormat="1" ht="12.75" customHeight="1">
      <c r="A185" s="775">
        <v>2005.08</v>
      </c>
      <c r="B185" s="3545">
        <v>103.734035982744</v>
      </c>
      <c r="C185" s="2791">
        <v>98.821175427043798</v>
      </c>
    </row>
    <row r="186" spans="1:3" s="778" customFormat="1" ht="12.75" customHeight="1">
      <c r="A186" s="775">
        <v>2005.09</v>
      </c>
      <c r="B186" s="3545">
        <v>106.092809879445</v>
      </c>
      <c r="C186" s="2791">
        <v>99.548162540775394</v>
      </c>
    </row>
    <row r="187" spans="1:3" s="778" customFormat="1" ht="12.75" customHeight="1">
      <c r="A187" s="775">
        <v>2005.1</v>
      </c>
      <c r="B187" s="3545">
        <v>106.892250136318</v>
      </c>
      <c r="C187" s="2791">
        <v>100.998718855547</v>
      </c>
    </row>
    <row r="188" spans="1:3" s="778" customFormat="1" ht="12.75" customHeight="1">
      <c r="A188" s="775">
        <v>2005.11</v>
      </c>
      <c r="B188" s="3545">
        <v>107.664356861922</v>
      </c>
      <c r="C188" s="2791">
        <v>101.38049669779799</v>
      </c>
    </row>
    <row r="189" spans="1:3" s="778" customFormat="1" ht="12.75" customHeight="1">
      <c r="A189" s="775">
        <v>2005.12</v>
      </c>
      <c r="B189" s="3545">
        <v>109.758794752085</v>
      </c>
      <c r="C189" s="2791">
        <v>103.335479383414</v>
      </c>
    </row>
    <row r="190" spans="1:3" s="778" customFormat="1" ht="12.75" customHeight="1">
      <c r="A190" s="775">
        <v>2006.01</v>
      </c>
      <c r="B190" s="3545">
        <v>110.374132019881</v>
      </c>
      <c r="C190" s="2791">
        <v>103.627171684169</v>
      </c>
    </row>
    <row r="191" spans="1:3" s="778" customFormat="1" ht="12.75" customHeight="1">
      <c r="A191" s="775">
        <v>2006.02</v>
      </c>
      <c r="B191" s="3545">
        <v>110.80056840936101</v>
      </c>
      <c r="C191" s="2791">
        <v>103.923671513548</v>
      </c>
    </row>
    <row r="192" spans="1:3" s="778" customFormat="1" ht="12.75" customHeight="1">
      <c r="A192" s="775">
        <v>2006.03</v>
      </c>
      <c r="B192" s="3545">
        <v>110.410469860392</v>
      </c>
      <c r="C192" s="2791">
        <v>103.215057119923</v>
      </c>
    </row>
    <row r="193" spans="1:3" s="778" customFormat="1" ht="12.75" customHeight="1">
      <c r="A193" s="775">
        <v>2006.04</v>
      </c>
      <c r="B193" s="3545">
        <v>109.55762756227099</v>
      </c>
      <c r="C193" s="2791">
        <v>104.545191801887</v>
      </c>
    </row>
    <row r="194" spans="1:3" s="778" customFormat="1" ht="12.75" customHeight="1">
      <c r="A194" s="775">
        <v>2006.05</v>
      </c>
      <c r="B194" s="3545">
        <v>111.749833773386</v>
      </c>
      <c r="C194" s="2791">
        <v>106.60689280350699</v>
      </c>
    </row>
    <row r="195" spans="1:3" s="778" customFormat="1" ht="12.75" customHeight="1">
      <c r="A195" s="775">
        <v>2006.06</v>
      </c>
      <c r="B195" s="3545">
        <v>111.830249502949</v>
      </c>
      <c r="C195" s="2791">
        <v>107.572275236095</v>
      </c>
    </row>
    <row r="196" spans="1:3" s="778" customFormat="1" ht="12.75" customHeight="1">
      <c r="A196" s="775">
        <v>2006.07</v>
      </c>
      <c r="B196" s="3545">
        <v>109.897579603363</v>
      </c>
      <c r="C196" s="2791">
        <v>106.649358473227</v>
      </c>
    </row>
    <row r="197" spans="1:3" s="778" customFormat="1" ht="12.75" customHeight="1">
      <c r="A197" s="775">
        <v>2006.08</v>
      </c>
      <c r="B197" s="3545">
        <v>107.246955189292</v>
      </c>
      <c r="C197" s="2791">
        <v>103.61485454049701</v>
      </c>
    </row>
    <row r="198" spans="1:3" s="778" customFormat="1" ht="12.75" customHeight="1">
      <c r="A198" s="775">
        <v>2006.09</v>
      </c>
      <c r="B198" s="3545">
        <v>107.56318837156201</v>
      </c>
      <c r="C198" s="2791">
        <v>102.480951237187</v>
      </c>
    </row>
    <row r="199" spans="1:3" s="778" customFormat="1" ht="12.75" customHeight="1">
      <c r="A199" s="775">
        <v>2006.1</v>
      </c>
      <c r="B199" s="3545">
        <v>108.29054933568101</v>
      </c>
      <c r="C199" s="2791">
        <v>103.599153590794</v>
      </c>
    </row>
    <row r="200" spans="1:3" s="778" customFormat="1" ht="12.75" customHeight="1">
      <c r="A200" s="775">
        <v>2006.11</v>
      </c>
      <c r="B200" s="3545">
        <v>111.666873750657</v>
      </c>
      <c r="C200" s="2791">
        <v>106.196373951186</v>
      </c>
    </row>
    <row r="201" spans="1:3" s="778" customFormat="1" ht="12.75" customHeight="1">
      <c r="A201" s="775">
        <v>2006.12</v>
      </c>
      <c r="B201" s="3545">
        <v>112.771399248465</v>
      </c>
      <c r="C201" s="2791">
        <v>107.24712661123</v>
      </c>
    </row>
    <row r="202" spans="1:3" s="778" customFormat="1" ht="12.75" customHeight="1">
      <c r="A202" s="775">
        <v>2007.01</v>
      </c>
      <c r="B202" s="3545">
        <v>112.64918551057799</v>
      </c>
      <c r="C202" s="2791">
        <v>107.15694956392301</v>
      </c>
    </row>
    <row r="203" spans="1:3" s="778" customFormat="1" ht="12.75" customHeight="1">
      <c r="A203" s="775">
        <v>2007.02</v>
      </c>
      <c r="B203" s="3545">
        <v>111.676198806198</v>
      </c>
      <c r="C203" s="2791">
        <v>106.109835621041</v>
      </c>
    </row>
    <row r="204" spans="1:3" s="778" customFormat="1" ht="12.75" customHeight="1">
      <c r="A204" s="775">
        <v>2007.03</v>
      </c>
      <c r="B204" s="3545">
        <v>111.81455642192201</v>
      </c>
      <c r="C204" s="2791">
        <v>106.054331433616</v>
      </c>
    </row>
    <row r="205" spans="1:3" s="778" customFormat="1" ht="12.75" customHeight="1">
      <c r="A205" s="775">
        <v>2007.04</v>
      </c>
      <c r="B205" s="3545">
        <v>110.67191432222801</v>
      </c>
      <c r="C205" s="2791">
        <v>106.21465284301</v>
      </c>
    </row>
    <row r="206" spans="1:3" s="778" customFormat="1" ht="12.75" customHeight="1">
      <c r="A206" s="775">
        <v>2007.05</v>
      </c>
      <c r="B206" s="3545">
        <v>108.51915879597</v>
      </c>
      <c r="C206" s="2791">
        <v>103.26720565018501</v>
      </c>
    </row>
    <row r="207" spans="1:3" s="778" customFormat="1" ht="12.75" customHeight="1">
      <c r="A207" s="775">
        <v>2007.06</v>
      </c>
      <c r="B207" s="3545">
        <v>107.146202140808</v>
      </c>
      <c r="C207" s="2791">
        <v>101.34692649769801</v>
      </c>
    </row>
    <row r="208" spans="1:3" s="778" customFormat="1" ht="12.75" customHeight="1">
      <c r="A208" s="775">
        <v>2007.07</v>
      </c>
      <c r="B208" s="3545">
        <v>108.863663499673</v>
      </c>
      <c r="C208" s="2791">
        <v>102.384883094898</v>
      </c>
    </row>
    <row r="209" spans="1:3" s="778" customFormat="1" ht="12.75" customHeight="1">
      <c r="A209" s="775">
        <v>2007.08</v>
      </c>
      <c r="B209" s="3545">
        <v>109.661201954421</v>
      </c>
      <c r="C209" s="2791">
        <v>103.093039639967</v>
      </c>
    </row>
    <row r="210" spans="1:3" s="778" customFormat="1" ht="12.75" customHeight="1">
      <c r="A210" s="775">
        <v>2007.09</v>
      </c>
      <c r="B210" s="3545">
        <v>108.366093420263</v>
      </c>
      <c r="C210" s="2791">
        <v>103.686952711481</v>
      </c>
    </row>
    <row r="211" spans="1:3" s="778" customFormat="1" ht="12.75" customHeight="1">
      <c r="A211" s="775">
        <v>2007.1</v>
      </c>
      <c r="B211" s="3545">
        <v>108.451419917434</v>
      </c>
      <c r="C211" s="2791">
        <v>102.25723290436299</v>
      </c>
    </row>
    <row r="212" spans="1:3" s="778" customFormat="1" ht="12.75" customHeight="1">
      <c r="A212" s="775">
        <v>2007.11</v>
      </c>
      <c r="B212" s="3545">
        <v>106.638764344553</v>
      </c>
      <c r="C212" s="2791">
        <v>100.15174307733599</v>
      </c>
    </row>
    <row r="213" spans="1:3" s="778" customFormat="1" ht="12.75" customHeight="1">
      <c r="A213" s="775">
        <v>2007.12</v>
      </c>
      <c r="B213" s="3545">
        <v>106.831272572001</v>
      </c>
      <c r="C213" s="2791">
        <v>101.47828796368201</v>
      </c>
    </row>
    <row r="214" spans="1:3" s="778" customFormat="1" ht="12.75" customHeight="1">
      <c r="A214" s="775">
        <v>2008.01</v>
      </c>
      <c r="B214" s="3545">
        <v>104.270477108584</v>
      </c>
      <c r="C214" s="2791">
        <v>100.554340432027</v>
      </c>
    </row>
    <row r="215" spans="1:3" s="778" customFormat="1" ht="12.75" customHeight="1">
      <c r="A215" s="775">
        <v>2008.02</v>
      </c>
      <c r="B215" s="3545">
        <v>102.397987683644</v>
      </c>
      <c r="C215" s="2791">
        <v>96.636969924900598</v>
      </c>
    </row>
    <row r="216" spans="1:3" s="778" customFormat="1" ht="12.75" customHeight="1">
      <c r="A216" s="775">
        <v>2008.03</v>
      </c>
      <c r="B216" s="3545">
        <v>100.116360908395</v>
      </c>
      <c r="C216" s="2791">
        <v>95.6954397922147</v>
      </c>
    </row>
    <row r="217" spans="1:3" s="778" customFormat="1" ht="12.75" customHeight="1">
      <c r="A217" s="775">
        <v>2008.04</v>
      </c>
      <c r="B217" s="3545">
        <v>99.553304894052602</v>
      </c>
      <c r="C217" s="2791">
        <v>94.999480263177205</v>
      </c>
    </row>
    <row r="218" spans="1:3" s="778" customFormat="1" ht="12.75" customHeight="1">
      <c r="A218" s="775">
        <v>2008.05</v>
      </c>
      <c r="B218" s="3545">
        <v>97.078021785669804</v>
      </c>
      <c r="C218" s="2791">
        <v>91.658812923642003</v>
      </c>
    </row>
    <row r="219" spans="1:3" s="778" customFormat="1" ht="12.75" customHeight="1">
      <c r="A219" s="775">
        <v>2008.06</v>
      </c>
      <c r="B219" s="3545">
        <v>93.049362523523101</v>
      </c>
      <c r="C219" s="2791">
        <v>90.082077034752899</v>
      </c>
    </row>
    <row r="220" spans="1:3" s="778" customFormat="1" ht="12.75" customHeight="1">
      <c r="A220" s="775">
        <v>2008.07</v>
      </c>
      <c r="B220" s="3545">
        <v>91.9226774758625</v>
      </c>
      <c r="C220" s="2791">
        <v>87.947903860990607</v>
      </c>
    </row>
    <row r="221" spans="1:3" s="778" customFormat="1" ht="12.75" customHeight="1">
      <c r="A221" s="775">
        <v>2008.08</v>
      </c>
      <c r="B221" s="3545">
        <v>87.2536834228179</v>
      </c>
      <c r="C221" s="2791">
        <v>85.8247654916306</v>
      </c>
    </row>
    <row r="222" spans="1:3" s="778" customFormat="1" ht="12.75" customHeight="1">
      <c r="A222" s="775">
        <v>2008.09</v>
      </c>
      <c r="B222" s="3545">
        <v>85.175019503549805</v>
      </c>
      <c r="C222" s="2791">
        <v>85.150469523112605</v>
      </c>
    </row>
    <row r="223" spans="1:3" s="778" customFormat="1" ht="12.75" customHeight="1">
      <c r="A223" s="775">
        <v>2008.1</v>
      </c>
      <c r="B223" s="3545">
        <v>83.647425875223902</v>
      </c>
      <c r="C223" s="2791">
        <v>82.693860292172602</v>
      </c>
    </row>
    <row r="224" spans="1:3" s="778" customFormat="1" ht="12.75" customHeight="1">
      <c r="A224" s="775">
        <v>2008.11</v>
      </c>
      <c r="B224" s="3545">
        <v>68.624831868836793</v>
      </c>
      <c r="C224" s="2791">
        <v>69.297035769129195</v>
      </c>
    </row>
    <row r="225" spans="1:3" s="778" customFormat="1" ht="12.75" customHeight="1">
      <c r="A225" s="775">
        <v>2008.12</v>
      </c>
      <c r="B225" s="3545">
        <v>56.049412448294902</v>
      </c>
      <c r="C225" s="2791">
        <v>55.8165845663057</v>
      </c>
    </row>
    <row r="226" spans="1:3" s="778" customFormat="1" ht="12.75" customHeight="1">
      <c r="A226" s="775">
        <v>2009.01</v>
      </c>
      <c r="B226" s="3545">
        <v>53.261299970992098</v>
      </c>
      <c r="C226" s="2791">
        <v>52.480851005714001</v>
      </c>
    </row>
    <row r="227" spans="1:3" s="778" customFormat="1" ht="12.75" customHeight="1">
      <c r="A227" s="775">
        <v>2009.02</v>
      </c>
      <c r="B227" s="3545">
        <v>53.315255639986503</v>
      </c>
      <c r="C227" s="2791">
        <v>57.250373956173298</v>
      </c>
    </row>
    <row r="228" spans="1:3" s="778" customFormat="1" ht="12.75" customHeight="1">
      <c r="A228" s="775">
        <v>2009.03</v>
      </c>
      <c r="B228" s="3545">
        <v>54.250557948082403</v>
      </c>
      <c r="C228" s="2791">
        <v>61.777738771984303</v>
      </c>
    </row>
    <row r="229" spans="1:3" s="778" customFormat="1" ht="12.75" customHeight="1">
      <c r="A229" s="775">
        <v>2009.04</v>
      </c>
      <c r="B229" s="3545">
        <v>59.923251052618802</v>
      </c>
      <c r="C229" s="2791">
        <v>64.574421673292093</v>
      </c>
    </row>
    <row r="230" spans="1:3" s="778" customFormat="1" ht="12.75" customHeight="1">
      <c r="A230" s="775">
        <v>2009.05</v>
      </c>
      <c r="B230" s="3545">
        <v>67.287873475385595</v>
      </c>
      <c r="C230" s="2791">
        <v>77.581723388028607</v>
      </c>
    </row>
    <row r="231" spans="1:3" s="778" customFormat="1" ht="12.75" customHeight="1">
      <c r="A231" s="775">
        <v>2009.06</v>
      </c>
      <c r="B231" s="3545">
        <v>73.774652525128801</v>
      </c>
      <c r="C231" s="2791">
        <v>85.040248199842395</v>
      </c>
    </row>
    <row r="232" spans="1:3" s="778" customFormat="1" ht="12.75" customHeight="1">
      <c r="A232" s="775">
        <v>2009.07</v>
      </c>
      <c r="B232" s="3545">
        <v>80.945769893440996</v>
      </c>
      <c r="C232" s="2791">
        <v>91.788004777027396</v>
      </c>
    </row>
    <row r="233" spans="1:3" s="778" customFormat="1" ht="12.75" customHeight="1">
      <c r="A233" s="775">
        <v>2009.08</v>
      </c>
      <c r="B233" s="3545">
        <v>87.087968185545705</v>
      </c>
      <c r="C233" s="2791">
        <v>96.905922946776798</v>
      </c>
    </row>
    <row r="234" spans="1:3" s="778" customFormat="1" ht="12.75" customHeight="1">
      <c r="A234" s="775">
        <v>2009.09</v>
      </c>
      <c r="B234" s="3545">
        <v>94.638408737465696</v>
      </c>
      <c r="C234" s="2791">
        <v>101.833414937237</v>
      </c>
    </row>
    <row r="235" spans="1:3" s="778" customFormat="1" ht="12.75" customHeight="1">
      <c r="A235" s="775">
        <v>2009.1</v>
      </c>
      <c r="B235" s="3545">
        <v>94.9695027867905</v>
      </c>
      <c r="C235" s="2791">
        <v>102.915814831723</v>
      </c>
    </row>
    <row r="236" spans="1:3" s="778" customFormat="1" ht="12.75" customHeight="1">
      <c r="A236" s="775">
        <v>2009.11</v>
      </c>
      <c r="B236" s="3545">
        <v>103.105662148867</v>
      </c>
      <c r="C236" s="2791">
        <v>113.667936993905</v>
      </c>
    </row>
    <row r="237" spans="1:3" s="778" customFormat="1" ht="12.75" customHeight="1">
      <c r="A237" s="775">
        <v>2009.12</v>
      </c>
      <c r="B237" s="3545">
        <v>108.641542271547</v>
      </c>
      <c r="C237" s="2791">
        <v>118.64527282189999</v>
      </c>
    </row>
    <row r="238" spans="1:3" s="778" customFormat="1" ht="12.75" customHeight="1">
      <c r="A238" s="775">
        <v>2010.01</v>
      </c>
      <c r="B238" s="3545">
        <v>113.18791276259201</v>
      </c>
      <c r="C238" s="2791">
        <v>122.37916716679599</v>
      </c>
    </row>
    <row r="239" spans="1:3" s="778" customFormat="1" ht="12.75" customHeight="1">
      <c r="A239" s="775">
        <v>2010.02</v>
      </c>
      <c r="B239" s="3545">
        <v>115.610721494209</v>
      </c>
      <c r="C239" s="2791">
        <v>122.66318912502599</v>
      </c>
    </row>
    <row r="240" spans="1:3" s="778" customFormat="1" ht="12.75" customHeight="1">
      <c r="A240" s="775">
        <v>2010.03</v>
      </c>
      <c r="B240" s="3545">
        <v>115.312602324568</v>
      </c>
      <c r="C240" s="2791">
        <v>119.82643608380801</v>
      </c>
    </row>
    <row r="241" spans="1:3" s="778" customFormat="1" ht="12.75" customHeight="1">
      <c r="A241" s="775">
        <v>2010.04</v>
      </c>
      <c r="B241" s="3545">
        <v>117.602045979767</v>
      </c>
      <c r="C241" s="2791">
        <v>122.79827784567701</v>
      </c>
    </row>
    <row r="242" spans="1:3" s="778" customFormat="1" ht="12.75" customHeight="1">
      <c r="A242" s="775">
        <v>2010.05</v>
      </c>
      <c r="B242" s="3545">
        <v>118.453057160264</v>
      </c>
      <c r="C242" s="2791">
        <v>121.33316194154899</v>
      </c>
    </row>
    <row r="243" spans="1:3" s="778" customFormat="1" ht="12.75" customHeight="1">
      <c r="A243" s="775">
        <v>2010.06</v>
      </c>
      <c r="B243" s="3545">
        <v>119.17873221515001</v>
      </c>
      <c r="C243" s="2791">
        <v>119.160787689099</v>
      </c>
    </row>
    <row r="244" spans="1:3" s="778" customFormat="1" ht="12.75" customHeight="1">
      <c r="A244" s="775">
        <v>2010.07</v>
      </c>
      <c r="B244" s="3545">
        <v>114.632787034712</v>
      </c>
      <c r="C244" s="2791">
        <v>114.27702817376201</v>
      </c>
    </row>
    <row r="245" spans="1:3" s="778" customFormat="1" ht="12.75" customHeight="1">
      <c r="A245" s="775">
        <v>2010.08</v>
      </c>
      <c r="B245" s="3545">
        <v>112.423912138801</v>
      </c>
      <c r="C245" s="2791">
        <v>110.22905050555001</v>
      </c>
    </row>
    <row r="246" spans="1:3" s="778" customFormat="1" ht="12.75" customHeight="1">
      <c r="A246" s="775">
        <v>2010.09</v>
      </c>
      <c r="B246" s="3545">
        <v>109.241070703508</v>
      </c>
      <c r="C246" s="2791">
        <v>106.357749740358</v>
      </c>
    </row>
    <row r="247" spans="1:3" s="778" customFormat="1" ht="12.75" customHeight="1">
      <c r="A247" s="775">
        <v>2010.1</v>
      </c>
      <c r="B247" s="3545">
        <v>110.51179728723601</v>
      </c>
      <c r="C247" s="2791">
        <v>107.40989854175101</v>
      </c>
    </row>
    <row r="248" spans="1:3" s="778" customFormat="1" ht="12.75" customHeight="1">
      <c r="A248" s="775">
        <v>2010.11</v>
      </c>
      <c r="B248" s="3545">
        <v>109.547317091251</v>
      </c>
      <c r="C248" s="2791">
        <v>106.13467158191899</v>
      </c>
    </row>
    <row r="249" spans="1:3" s="778" customFormat="1" ht="12.75" customHeight="1">
      <c r="A249" s="775">
        <v>2010.12</v>
      </c>
      <c r="B249" s="3545">
        <v>112.94328918524199</v>
      </c>
      <c r="C249" s="2791">
        <v>109.315755582549</v>
      </c>
    </row>
    <row r="250" spans="1:3" s="778" customFormat="1" ht="12.75" customHeight="1">
      <c r="A250" s="775">
        <v>2011.01</v>
      </c>
      <c r="B250" s="3545">
        <v>112.50483213940799</v>
      </c>
      <c r="C250" s="2791">
        <v>107.333222671326</v>
      </c>
    </row>
    <row r="251" spans="1:3" s="778" customFormat="1" ht="12.75" customHeight="1">
      <c r="A251" s="775">
        <v>2011.02</v>
      </c>
      <c r="B251" s="3545">
        <v>109.894298843559</v>
      </c>
      <c r="C251" s="2791">
        <v>105.754625552989</v>
      </c>
    </row>
    <row r="252" spans="1:3" s="778" customFormat="1" ht="12.75" customHeight="1">
      <c r="A252" s="775">
        <v>2011.03</v>
      </c>
      <c r="B252" s="3545">
        <v>112.516468319775</v>
      </c>
      <c r="C252" s="2791">
        <v>107.022344006479</v>
      </c>
    </row>
    <row r="253" spans="1:3" s="778" customFormat="1" ht="12.75" customHeight="1">
      <c r="A253" s="775">
        <v>2011.04</v>
      </c>
      <c r="B253" s="3545">
        <v>106.55184225195801</v>
      </c>
      <c r="C253" s="2791">
        <v>102.759167814759</v>
      </c>
    </row>
    <row r="254" spans="1:3" s="778" customFormat="1" ht="12.75" customHeight="1">
      <c r="A254" s="775">
        <v>2011.05</v>
      </c>
      <c r="B254" s="3545">
        <v>101.67651492069101</v>
      </c>
      <c r="C254" s="2791">
        <v>95.956407815080496</v>
      </c>
    </row>
    <row r="255" spans="1:3" s="778" customFormat="1" ht="12.75" customHeight="1">
      <c r="A255" s="775">
        <v>2011.06</v>
      </c>
      <c r="B255" s="3545">
        <v>99.971031292535002</v>
      </c>
      <c r="C255" s="2791">
        <v>97.394947799402203</v>
      </c>
    </row>
    <row r="256" spans="1:3" s="778" customFormat="1" ht="12.75" customHeight="1">
      <c r="A256" s="775">
        <v>2011.07</v>
      </c>
      <c r="B256" s="3545">
        <v>98.215164519572198</v>
      </c>
      <c r="C256" s="2791">
        <v>98.279246842683406</v>
      </c>
    </row>
    <row r="257" spans="1:3" s="778" customFormat="1" ht="12.75" customHeight="1">
      <c r="A257" s="775">
        <v>2011.08</v>
      </c>
      <c r="B257" s="3545">
        <v>98.159945052677898</v>
      </c>
      <c r="C257" s="2791">
        <v>100.084898632693</v>
      </c>
    </row>
    <row r="258" spans="1:3" s="778" customFormat="1" ht="12.75" customHeight="1">
      <c r="A258" s="775">
        <v>2011.09</v>
      </c>
      <c r="B258" s="3545">
        <v>96.887339548865796</v>
      </c>
      <c r="C258" s="2791">
        <v>99.387159713009197</v>
      </c>
    </row>
    <row r="259" spans="1:3" s="778" customFormat="1" ht="12.75" customHeight="1">
      <c r="A259" s="775">
        <v>2011.1</v>
      </c>
      <c r="B259" s="3545">
        <v>94.8637022836825</v>
      </c>
      <c r="C259" s="2791">
        <v>96.446804965635394</v>
      </c>
    </row>
    <row r="260" spans="1:3" s="778" customFormat="1" ht="12.75" customHeight="1">
      <c r="A260" s="775">
        <v>2011.11</v>
      </c>
      <c r="B260" s="3545">
        <v>94.667807484639994</v>
      </c>
      <c r="C260" s="2791">
        <v>93.316964662661206</v>
      </c>
    </row>
    <row r="261" spans="1:3" s="778" customFormat="1" ht="12.75" customHeight="1">
      <c r="A261" s="775">
        <v>2011.12</v>
      </c>
      <c r="B261" s="3545">
        <v>92.989425236734604</v>
      </c>
      <c r="C261" s="2791">
        <v>91.026354520910999</v>
      </c>
    </row>
    <row r="262" spans="1:3" s="778" customFormat="1" ht="12.75" customHeight="1">
      <c r="A262" s="775">
        <v>2012.01</v>
      </c>
      <c r="B262" s="3545">
        <v>92.386527205419299</v>
      </c>
      <c r="C262" s="2791">
        <v>91.316804869837995</v>
      </c>
    </row>
    <row r="263" spans="1:3" s="778" customFormat="1" ht="12.75" customHeight="1">
      <c r="A263" s="775">
        <v>2012.02</v>
      </c>
      <c r="B263" s="3545">
        <v>93.227479939704395</v>
      </c>
      <c r="C263" s="2791">
        <v>91.100036094469402</v>
      </c>
    </row>
    <row r="264" spans="1:3" s="778" customFormat="1" ht="12.75" customHeight="1">
      <c r="A264" s="775">
        <v>2012.03</v>
      </c>
      <c r="B264" s="3545">
        <v>96.502680182104598</v>
      </c>
      <c r="C264" s="2791">
        <v>92.918163118655102</v>
      </c>
    </row>
    <row r="265" spans="1:3" s="778" customFormat="1" ht="12.75" customHeight="1">
      <c r="A265" s="775">
        <v>2012.04</v>
      </c>
      <c r="B265" s="3545">
        <v>98.048166212503602</v>
      </c>
      <c r="C265" s="2791">
        <v>94.937618570388807</v>
      </c>
    </row>
    <row r="266" spans="1:3" s="778" customFormat="1" ht="12.75" customHeight="1">
      <c r="A266" s="775">
        <v>2012.05</v>
      </c>
      <c r="B266" s="3545">
        <v>96.168616711152794</v>
      </c>
      <c r="C266" s="2791">
        <v>95.230279016044094</v>
      </c>
    </row>
    <row r="267" spans="1:3" s="778" customFormat="1" ht="12.75" customHeight="1">
      <c r="A267" s="775">
        <v>2012.06</v>
      </c>
      <c r="B267" s="3545">
        <v>92.624208391392997</v>
      </c>
      <c r="C267" s="2791">
        <v>91.905458231083301</v>
      </c>
    </row>
    <row r="268" spans="1:3" s="778" customFormat="1" ht="12.75" customHeight="1">
      <c r="A268" s="775">
        <v>2012.07</v>
      </c>
      <c r="B268" s="3545">
        <v>92.298638880995</v>
      </c>
      <c r="C268" s="2791">
        <v>89.108766364359994</v>
      </c>
    </row>
    <row r="269" spans="1:3" s="778" customFormat="1" ht="12.75" customHeight="1">
      <c r="A269" s="775">
        <v>2012.08</v>
      </c>
      <c r="B269" s="3545">
        <v>88.225803156736006</v>
      </c>
      <c r="C269" s="2791">
        <v>88.529122694893303</v>
      </c>
    </row>
    <row r="270" spans="1:3" s="778" customFormat="1" ht="12.75" customHeight="1">
      <c r="A270" s="775">
        <v>2012.09</v>
      </c>
      <c r="B270" s="3545">
        <v>89.959915340808905</v>
      </c>
      <c r="C270" s="2791">
        <v>89.609019249342495</v>
      </c>
    </row>
    <row r="271" spans="1:3" s="778" customFormat="1" ht="12.75" customHeight="1">
      <c r="A271" s="775">
        <v>2012.1</v>
      </c>
      <c r="B271" s="3545">
        <v>88.982637710676102</v>
      </c>
      <c r="C271" s="2791">
        <v>91.439647830610198</v>
      </c>
    </row>
    <row r="272" spans="1:3" s="778" customFormat="1" ht="12.75" customHeight="1">
      <c r="A272" s="775">
        <v>2012.11</v>
      </c>
      <c r="B272" s="3545">
        <v>86.400262516119696</v>
      </c>
      <c r="C272" s="2791">
        <v>91.914705694687399</v>
      </c>
    </row>
    <row r="273" spans="1:3" s="778" customFormat="1" ht="12.75" customHeight="1">
      <c r="A273" s="775">
        <v>2012.12</v>
      </c>
      <c r="B273" s="3545">
        <v>86.285062351393904</v>
      </c>
      <c r="C273" s="2791">
        <v>94.279284147440407</v>
      </c>
    </row>
    <row r="274" spans="1:3" s="778" customFormat="1" ht="12.75" customHeight="1">
      <c r="A274" s="775">
        <v>2013.01</v>
      </c>
      <c r="B274" s="3545">
        <v>90.206876428846002</v>
      </c>
      <c r="C274" s="2791">
        <v>96.493974559027606</v>
      </c>
    </row>
    <row r="275" spans="1:3" s="778" customFormat="1" ht="12.75" customHeight="1">
      <c r="A275" s="775">
        <v>2013.02</v>
      </c>
      <c r="B275" s="3545">
        <v>91.948708187371494</v>
      </c>
      <c r="C275" s="2791">
        <v>101.391715995583</v>
      </c>
    </row>
    <row r="276" spans="1:3" s="778" customFormat="1" ht="12.75" customHeight="1">
      <c r="A276" s="775">
        <v>2013.03</v>
      </c>
      <c r="B276" s="3545">
        <v>92.714182465790302</v>
      </c>
      <c r="C276" s="2791">
        <v>101.141893911995</v>
      </c>
    </row>
    <row r="277" spans="1:3" s="778" customFormat="1" ht="12.75" customHeight="1">
      <c r="A277" s="775">
        <v>2013.04</v>
      </c>
      <c r="B277" s="3545">
        <v>94.826136185760603</v>
      </c>
      <c r="C277" s="2791">
        <v>102.71344808901701</v>
      </c>
    </row>
    <row r="278" spans="1:3" s="778" customFormat="1" ht="12.75" customHeight="1">
      <c r="A278" s="775">
        <v>2013.05</v>
      </c>
      <c r="B278" s="3545">
        <v>92.892985319836598</v>
      </c>
      <c r="C278" s="2791">
        <v>99.981575391579199</v>
      </c>
    </row>
    <row r="279" spans="1:3" s="778" customFormat="1" ht="12.75" customHeight="1">
      <c r="A279" s="775">
        <v>2013.06</v>
      </c>
      <c r="B279" s="3545">
        <v>96.948532565010794</v>
      </c>
      <c r="C279" s="2791">
        <v>102.870321238248</v>
      </c>
    </row>
    <row r="280" spans="1:3" s="778" customFormat="1" ht="12.75" customHeight="1">
      <c r="A280" s="775">
        <v>2013.07</v>
      </c>
      <c r="B280" s="3545">
        <v>98.266466222477703</v>
      </c>
      <c r="C280" s="2791">
        <v>105.68858454740899</v>
      </c>
    </row>
    <row r="281" spans="1:3" s="778" customFormat="1" ht="12.75" customHeight="1">
      <c r="A281" s="775">
        <v>2013.08</v>
      </c>
      <c r="B281" s="3545">
        <v>100.586296564127</v>
      </c>
      <c r="C281" s="2791">
        <v>105.742661868471</v>
      </c>
    </row>
    <row r="282" spans="1:3" s="778" customFormat="1" ht="12.75" customHeight="1">
      <c r="A282" s="775">
        <v>2013.09</v>
      </c>
      <c r="B282" s="3545">
        <v>103.754629097687</v>
      </c>
      <c r="C282" s="2791">
        <v>108.20427209789101</v>
      </c>
    </row>
    <row r="283" spans="1:3" s="778" customFormat="1" ht="12.75" customHeight="1">
      <c r="A283" s="775">
        <v>2013.1</v>
      </c>
      <c r="B283" s="3545">
        <v>105.201832200014</v>
      </c>
      <c r="C283" s="2791">
        <v>108.493484938696</v>
      </c>
    </row>
    <row r="284" spans="1:3" s="778" customFormat="1" ht="12.75" customHeight="1">
      <c r="A284" s="775">
        <v>2013.11</v>
      </c>
      <c r="B284" s="3545">
        <v>106.698107172154</v>
      </c>
      <c r="C284" s="2791">
        <v>109.985268504838</v>
      </c>
    </row>
    <row r="285" spans="1:3" s="778" customFormat="1" ht="12.75" customHeight="1">
      <c r="A285" s="775">
        <v>2013.12</v>
      </c>
      <c r="B285" s="3545">
        <v>107.413391862594</v>
      </c>
      <c r="C285" s="2791">
        <v>109.645214695844</v>
      </c>
    </row>
    <row r="286" spans="1:3" s="778" customFormat="1" ht="12.75" customHeight="1">
      <c r="A286" s="775">
        <v>2014.01</v>
      </c>
      <c r="B286" s="3545">
        <v>105.33939119209801</v>
      </c>
      <c r="C286" s="2791">
        <v>108.31023778544601</v>
      </c>
    </row>
    <row r="287" spans="1:3" s="778" customFormat="1" ht="12.75" customHeight="1">
      <c r="A287" s="775">
        <v>2014.02</v>
      </c>
      <c r="B287" s="3545">
        <v>107.352432549044</v>
      </c>
      <c r="C287" s="2791">
        <v>107.73912734512101</v>
      </c>
    </row>
    <row r="288" spans="1:3" s="778" customFormat="1" ht="12.75" customHeight="1">
      <c r="A288" s="775">
        <v>2014.03</v>
      </c>
      <c r="B288" s="3545">
        <v>105.064143837969</v>
      </c>
      <c r="C288" s="2791">
        <v>106.153775385828</v>
      </c>
    </row>
    <row r="289" spans="1:3" s="778" customFormat="1" ht="12.75" customHeight="1">
      <c r="A289" s="775">
        <v>2014.04</v>
      </c>
      <c r="B289" s="3545">
        <v>103.18837678853301</v>
      </c>
      <c r="C289" s="2791">
        <v>102.74638188698501</v>
      </c>
    </row>
    <row r="290" spans="1:3" s="778" customFormat="1" ht="12.75" customHeight="1">
      <c r="A290" s="775">
        <v>2014.05</v>
      </c>
      <c r="B290" s="3545">
        <v>105.74418488191201</v>
      </c>
      <c r="C290" s="2791">
        <v>103.63572016862101</v>
      </c>
    </row>
    <row r="291" spans="1:3" s="778" customFormat="1" ht="12.75" customHeight="1">
      <c r="A291" s="775">
        <v>2014.06</v>
      </c>
      <c r="B291" s="3545">
        <v>104.57239390052101</v>
      </c>
      <c r="C291" s="2791">
        <v>103.594592946642</v>
      </c>
    </row>
    <row r="292" spans="1:3" s="778" customFormat="1" ht="12.75" customHeight="1">
      <c r="A292" s="775">
        <v>2014.07</v>
      </c>
      <c r="B292" s="3545">
        <v>104.113915217798</v>
      </c>
      <c r="C292" s="2791">
        <v>103.134748432403</v>
      </c>
    </row>
    <row r="293" spans="1:3" s="778" customFormat="1" ht="12.75" customHeight="1">
      <c r="A293" s="775">
        <v>2014.08</v>
      </c>
      <c r="B293" s="3545">
        <v>105.067648810582</v>
      </c>
      <c r="C293" s="2791">
        <v>104.94600091871401</v>
      </c>
    </row>
    <row r="294" spans="1:3" s="778" customFormat="1" ht="12.75" customHeight="1">
      <c r="A294" s="775">
        <v>2014.09</v>
      </c>
      <c r="B294" s="3545">
        <v>103.41190350906</v>
      </c>
      <c r="C294" s="2791">
        <v>103.203174779015</v>
      </c>
    </row>
    <row r="295" spans="1:3" s="778" customFormat="1" ht="12.75" customHeight="1">
      <c r="A295" s="775">
        <v>2014.1</v>
      </c>
      <c r="B295" s="3545">
        <v>103.622904533653</v>
      </c>
      <c r="C295" s="2791">
        <v>102.712807488588</v>
      </c>
    </row>
    <row r="296" spans="1:3" s="778" customFormat="1" ht="12.75" customHeight="1">
      <c r="A296" s="775">
        <v>2014.11</v>
      </c>
      <c r="B296" s="3545">
        <v>103.594225249231</v>
      </c>
      <c r="C296" s="2791">
        <v>102.28635738910501</v>
      </c>
    </row>
    <row r="297" spans="1:3" s="778" customFormat="1" ht="12.75" customHeight="1">
      <c r="A297" s="775">
        <v>2014.12</v>
      </c>
      <c r="B297" s="3545">
        <v>102.46514161407499</v>
      </c>
      <c r="C297" s="2791">
        <v>100.622543656141</v>
      </c>
    </row>
    <row r="298" spans="1:3" s="778" customFormat="1" ht="12.75" customHeight="1">
      <c r="A298" s="775">
        <v>2015.01</v>
      </c>
      <c r="B298" s="3545">
        <v>99.970288992275499</v>
      </c>
      <c r="C298" s="2791">
        <v>97.338203836027901</v>
      </c>
    </row>
    <row r="299" spans="1:3" s="778" customFormat="1" ht="12.75" customHeight="1">
      <c r="A299" s="775">
        <v>2015.02</v>
      </c>
      <c r="B299" s="3545">
        <v>98.443111509315102</v>
      </c>
      <c r="C299" s="2791">
        <v>96.531924719641495</v>
      </c>
    </row>
    <row r="300" spans="1:3" s="778" customFormat="1" ht="12.75" customHeight="1">
      <c r="A300" s="775">
        <v>2015.03</v>
      </c>
      <c r="B300" s="3545">
        <v>99.359524798025603</v>
      </c>
      <c r="C300" s="2791">
        <v>96.226974507252905</v>
      </c>
    </row>
    <row r="301" spans="1:3" s="778" customFormat="1" ht="12.75" customHeight="1">
      <c r="A301" s="775">
        <v>2015.04</v>
      </c>
      <c r="B301" s="3545">
        <v>99.914718403000705</v>
      </c>
      <c r="C301" s="2791">
        <v>97.8343297065868</v>
      </c>
    </row>
    <row r="302" spans="1:3" s="778" customFormat="1" ht="12.75" customHeight="1">
      <c r="A302" s="775">
        <v>2015.05</v>
      </c>
      <c r="B302" s="3545">
        <v>100.183229367026</v>
      </c>
      <c r="C302" s="2791">
        <v>97.903962246216096</v>
      </c>
    </row>
    <row r="303" spans="1:3" s="778" customFormat="1" ht="12.75" customHeight="1">
      <c r="A303" s="775">
        <v>2015.06</v>
      </c>
      <c r="B303" s="3545">
        <v>99.228392714712101</v>
      </c>
      <c r="C303" s="2791">
        <v>97.305243631998593</v>
      </c>
    </row>
    <row r="304" spans="1:3" s="778" customFormat="1" ht="12.75" customHeight="1">
      <c r="A304" s="775">
        <v>2015.07</v>
      </c>
      <c r="B304" s="3545">
        <v>99.319423275746701</v>
      </c>
      <c r="C304" s="2791">
        <v>96.098187171384694</v>
      </c>
    </row>
    <row r="305" spans="1:3" s="778" customFormat="1" ht="12.75" customHeight="1">
      <c r="A305" s="775">
        <v>2015.08</v>
      </c>
      <c r="B305" s="3545">
        <v>100.174709681146</v>
      </c>
      <c r="C305" s="2791">
        <v>95.823263459229906</v>
      </c>
    </row>
    <row r="306" spans="1:3" s="778" customFormat="1" ht="12.75" customHeight="1">
      <c r="A306" s="775">
        <v>2015.09</v>
      </c>
      <c r="B306" s="3545">
        <v>98.307067463920504</v>
      </c>
      <c r="C306" s="2791">
        <v>94.225144188753504</v>
      </c>
    </row>
    <row r="307" spans="1:3" s="778" customFormat="1" ht="12.75" customHeight="1">
      <c r="A307" s="775">
        <v>2015.1</v>
      </c>
      <c r="B307" s="3545">
        <v>96.842233841170298</v>
      </c>
      <c r="C307" s="2791">
        <v>91.902175452531793</v>
      </c>
    </row>
    <row r="308" spans="1:3" s="778" customFormat="1" ht="12.75" customHeight="1">
      <c r="A308" s="775">
        <v>2015.11</v>
      </c>
      <c r="B308" s="3545">
        <v>97.633988096231604</v>
      </c>
      <c r="C308" s="2791">
        <v>93.213547494970001</v>
      </c>
    </row>
    <row r="309" spans="1:3" s="778" customFormat="1" ht="12.75" customHeight="1">
      <c r="A309" s="775">
        <v>2015.12</v>
      </c>
      <c r="B309" s="3545">
        <v>97.841643548108607</v>
      </c>
      <c r="C309" s="2791">
        <v>93.878815721262995</v>
      </c>
    </row>
    <row r="310" spans="1:3" s="778" customFormat="1" ht="12.75" customHeight="1">
      <c r="A310" s="775">
        <v>2016.01</v>
      </c>
      <c r="B310" s="3545">
        <v>97.584135904066102</v>
      </c>
      <c r="C310" s="2791">
        <v>96.815927253496596</v>
      </c>
    </row>
    <row r="311" spans="1:3" s="778" customFormat="1" ht="12.75" customHeight="1">
      <c r="A311" s="775">
        <v>2016.02</v>
      </c>
      <c r="B311" s="3545">
        <v>95.322126678390603</v>
      </c>
      <c r="C311" s="2791">
        <v>95.703492145535094</v>
      </c>
    </row>
    <row r="312" spans="1:3" s="778" customFormat="1" ht="12.75" customHeight="1">
      <c r="A312" s="775">
        <v>2016.03</v>
      </c>
      <c r="B312" s="3545">
        <v>93.162541210272295</v>
      </c>
      <c r="C312" s="2791">
        <v>94.143383549888796</v>
      </c>
    </row>
    <row r="313" spans="1:3" s="778" customFormat="1" ht="12.75" customHeight="1">
      <c r="A313" s="775">
        <v>2016.04</v>
      </c>
      <c r="B313" s="3545">
        <v>94.160615973534306</v>
      </c>
      <c r="C313" s="2791">
        <v>96.126400634359101</v>
      </c>
    </row>
    <row r="314" spans="1:3" s="778" customFormat="1" ht="12.75" customHeight="1">
      <c r="A314" s="775">
        <v>2016.05</v>
      </c>
      <c r="B314" s="3545">
        <v>96.393914031714701</v>
      </c>
      <c r="C314" s="2791">
        <v>99.936661260098305</v>
      </c>
    </row>
    <row r="315" spans="1:3" s="778" customFormat="1" ht="12.75" customHeight="1">
      <c r="A315" s="775">
        <v>2016.06</v>
      </c>
      <c r="B315" s="3545">
        <v>96.316214180929606</v>
      </c>
      <c r="C315" s="2791">
        <v>100.17736453897299</v>
      </c>
    </row>
    <row r="316" spans="1:3" s="778" customFormat="1" ht="12.75" customHeight="1">
      <c r="A316" s="775">
        <v>2016.07</v>
      </c>
      <c r="B316" s="3545">
        <v>96.924862482273497</v>
      </c>
      <c r="C316" s="2791">
        <v>101.09478697949299</v>
      </c>
    </row>
    <row r="317" spans="1:3" s="778" customFormat="1" ht="12.75" customHeight="1">
      <c r="A317" s="775">
        <v>2016.08</v>
      </c>
      <c r="B317" s="3545">
        <v>97.581954597374207</v>
      </c>
      <c r="C317" s="2791">
        <v>101.752397292738</v>
      </c>
    </row>
    <row r="318" spans="1:3" s="778" customFormat="1" ht="12.75" customHeight="1">
      <c r="A318" s="775">
        <v>2016.09</v>
      </c>
      <c r="B318" s="3545">
        <v>99.010617737202907</v>
      </c>
      <c r="C318" s="2791">
        <v>104.987651247481</v>
      </c>
    </row>
    <row r="319" spans="1:3" s="778" customFormat="1" ht="12.75" customHeight="1">
      <c r="A319" s="775">
        <v>2016.1</v>
      </c>
      <c r="B319" s="3545">
        <v>100.09361695965001</v>
      </c>
      <c r="C319" s="2791">
        <v>107.659715949177</v>
      </c>
    </row>
    <row r="320" spans="1:3" s="778" customFormat="1" ht="12.75" customHeight="1">
      <c r="A320" s="775">
        <v>2016.11</v>
      </c>
      <c r="B320" s="3545">
        <v>101.32070471949901</v>
      </c>
      <c r="C320" s="2791">
        <v>108.271828074331</v>
      </c>
    </row>
    <row r="321" spans="1:3" s="778" customFormat="1" ht="12.75" customHeight="1">
      <c r="A321" s="775">
        <v>2016.12</v>
      </c>
      <c r="B321" s="3545">
        <v>102.938994336075</v>
      </c>
      <c r="C321" s="2791">
        <v>109.03059762698599</v>
      </c>
    </row>
    <row r="322" spans="1:3" s="778" customFormat="1" ht="12.75" customHeight="1">
      <c r="A322" s="775">
        <v>2017.01</v>
      </c>
      <c r="B322" s="3545">
        <v>105.35055724465801</v>
      </c>
      <c r="C322" s="2791">
        <v>110.83587249973</v>
      </c>
    </row>
    <row r="323" spans="1:3" s="778" customFormat="1" ht="12.75" customHeight="1">
      <c r="A323" s="775">
        <v>2017.02</v>
      </c>
      <c r="B323" s="3545">
        <v>108.70187531216899</v>
      </c>
      <c r="C323" s="2791">
        <v>113.457207422655</v>
      </c>
    </row>
    <row r="324" spans="1:3" s="778" customFormat="1" ht="12.75" customHeight="1">
      <c r="A324" s="775">
        <v>2017.03</v>
      </c>
      <c r="B324" s="3545">
        <v>110.237742984428</v>
      </c>
      <c r="C324" s="2791">
        <v>113.98429773175999</v>
      </c>
    </row>
    <row r="325" spans="1:3" s="778" customFormat="1" ht="12.75" customHeight="1">
      <c r="A325" s="775">
        <v>2017.04</v>
      </c>
      <c r="B325" s="3545">
        <v>111.55732600377701</v>
      </c>
      <c r="C325" s="2791">
        <v>114.363479777564</v>
      </c>
    </row>
    <row r="326" spans="1:3" s="778" customFormat="1" ht="12.75" customHeight="1">
      <c r="A326" s="775">
        <v>2017.05</v>
      </c>
      <c r="B326" s="3545">
        <v>110.87294262998699</v>
      </c>
      <c r="C326" s="2791">
        <v>111.789485025109</v>
      </c>
    </row>
    <row r="327" spans="1:3" s="778" customFormat="1" ht="12.75" customHeight="1">
      <c r="A327" s="775">
        <v>2017.06</v>
      </c>
      <c r="B327" s="3545">
        <v>112.95140826462401</v>
      </c>
      <c r="C327" s="2791">
        <v>113.554576847974</v>
      </c>
    </row>
    <row r="328" spans="1:3" s="778" customFormat="1" ht="12.75" customHeight="1">
      <c r="A328" s="775">
        <v>2017.07</v>
      </c>
      <c r="B328" s="3545">
        <v>114.06027069413901</v>
      </c>
      <c r="C328" s="2791">
        <v>113.733244734594</v>
      </c>
    </row>
    <row r="329" spans="1:3" s="778" customFormat="1" ht="12.75" customHeight="1">
      <c r="A329" s="775">
        <v>2017.08</v>
      </c>
      <c r="B329" s="3545">
        <v>113.53306820698501</v>
      </c>
      <c r="C329" s="2791">
        <v>111.72694966601701</v>
      </c>
    </row>
    <row r="330" spans="1:3" s="778" customFormat="1" ht="12.75" customHeight="1">
      <c r="A330" s="775">
        <v>2017.09</v>
      </c>
      <c r="B330" s="3545">
        <v>113.460596849621</v>
      </c>
      <c r="C330" s="2791">
        <v>111.381684168516</v>
      </c>
    </row>
    <row r="331" spans="1:3" s="778" customFormat="1" ht="12.75" customHeight="1">
      <c r="A331" s="775">
        <v>2017.1</v>
      </c>
      <c r="B331" s="3545">
        <v>116.182456774256</v>
      </c>
      <c r="C331" s="2791">
        <v>112.16171293421</v>
      </c>
    </row>
    <row r="332" spans="1:3" s="778" customFormat="1" ht="12.75" customHeight="1">
      <c r="A332" s="775">
        <v>2017.11</v>
      </c>
      <c r="B332" s="3545">
        <v>116.28383338671701</v>
      </c>
      <c r="C332" s="2791">
        <v>111.375810459628</v>
      </c>
    </row>
    <row r="333" spans="1:3" s="778" customFormat="1" ht="12.75" customHeight="1">
      <c r="A333" s="775">
        <v>2017.12</v>
      </c>
      <c r="B333" s="3545">
        <v>117.499497844282</v>
      </c>
      <c r="C333" s="2791">
        <v>109.93147822454399</v>
      </c>
    </row>
    <row r="334" spans="1:3" s="778" customFormat="1" ht="12.75" customHeight="1">
      <c r="A334" s="775">
        <v>2018.01</v>
      </c>
      <c r="B334" s="3545">
        <v>116.80183000996</v>
      </c>
      <c r="C334" s="2791">
        <v>107.202807477237</v>
      </c>
    </row>
    <row r="335" spans="1:3" s="778" customFormat="1" ht="12.75" customHeight="1">
      <c r="A335" s="775">
        <v>2018.02</v>
      </c>
      <c r="B335" s="3545">
        <v>116.320635400013</v>
      </c>
      <c r="C335" s="2791">
        <v>106.700048531446</v>
      </c>
    </row>
    <row r="336" spans="1:3" s="778" customFormat="1" ht="12.75" customHeight="1">
      <c r="A336" s="775">
        <v>2018.03</v>
      </c>
      <c r="B336" s="3545">
        <v>115.441621088467</v>
      </c>
      <c r="C336" s="2791">
        <v>104.884249473561</v>
      </c>
    </row>
    <row r="337" spans="1:3" s="778" customFormat="1" ht="12.75" customHeight="1">
      <c r="A337" s="775">
        <v>2018.04</v>
      </c>
      <c r="B337" s="3545">
        <v>114.126262258731</v>
      </c>
      <c r="C337" s="2791">
        <v>103.593755129163</v>
      </c>
    </row>
    <row r="338" spans="1:3" s="778" customFormat="1" ht="12.75" customHeight="1">
      <c r="A338" s="775">
        <v>2018.05</v>
      </c>
      <c r="B338" s="3545">
        <v>113.04019158667199</v>
      </c>
      <c r="C338" s="2791">
        <v>101.24825456812999</v>
      </c>
    </row>
    <row r="339" spans="1:3" s="778" customFormat="1" ht="12.75" customHeight="1">
      <c r="A339" s="775">
        <v>2018.06</v>
      </c>
      <c r="B339" s="3545">
        <v>112.585660093436</v>
      </c>
      <c r="C339" s="2791">
        <v>101.950140731274</v>
      </c>
    </row>
    <row r="340" spans="1:3" s="778" customFormat="1" ht="12.75" customHeight="1">
      <c r="A340" s="775">
        <v>2018.07</v>
      </c>
      <c r="B340" s="3545">
        <v>110.903696745883</v>
      </c>
      <c r="C340" s="2791">
        <v>100.58933457277</v>
      </c>
    </row>
    <row r="341" spans="1:3" s="778" customFormat="1" ht="12.75" customHeight="1">
      <c r="A341" s="775">
        <v>2018.08</v>
      </c>
      <c r="B341" s="3545">
        <v>107.96495604065601</v>
      </c>
      <c r="C341" s="2791">
        <v>99.440987080408206</v>
      </c>
    </row>
    <row r="342" spans="1:3" s="778" customFormat="1" ht="12.75" customHeight="1">
      <c r="A342" s="775">
        <v>2018.09</v>
      </c>
      <c r="B342" s="3545">
        <v>107.82884947608601</v>
      </c>
      <c r="C342" s="2791">
        <v>97.225989968671101</v>
      </c>
    </row>
    <row r="343" spans="1:3" s="778" customFormat="1" ht="12.75" customHeight="1">
      <c r="A343" s="775">
        <v>2018.1</v>
      </c>
      <c r="B343" s="3545">
        <v>105.148101869881</v>
      </c>
      <c r="C343" s="2791">
        <v>94.563775233129903</v>
      </c>
    </row>
    <row r="344" spans="1:3" s="778" customFormat="1" ht="12.75" customHeight="1">
      <c r="A344" s="775">
        <v>2018.11</v>
      </c>
      <c r="B344" s="3545">
        <v>101.74378500185701</v>
      </c>
      <c r="C344" s="2791">
        <v>94.192000724554603</v>
      </c>
    </row>
    <row r="345" spans="1:3" s="778" customFormat="1" ht="12.75" customHeight="1">
      <c r="A345" s="775">
        <v>2018.12</v>
      </c>
      <c r="B345" s="3545">
        <v>99.622086373767701</v>
      </c>
      <c r="C345" s="2791">
        <v>92.965844567084204</v>
      </c>
    </row>
    <row r="346" spans="1:3" s="778" customFormat="1" ht="12.75" customHeight="1">
      <c r="A346" s="775">
        <v>2019.01</v>
      </c>
      <c r="B346" s="3545">
        <v>98.538410264043307</v>
      </c>
      <c r="C346" s="2791">
        <v>92.4735292788572</v>
      </c>
    </row>
    <row r="347" spans="1:3" s="778" customFormat="1" ht="12.75" customHeight="1">
      <c r="A347" s="775">
        <v>2019.02</v>
      </c>
      <c r="B347" s="3545">
        <v>94.810647347744705</v>
      </c>
      <c r="C347" s="2791">
        <v>89.593963527433601</v>
      </c>
    </row>
    <row r="348" spans="1:3" s="778" customFormat="1" ht="12.75" customHeight="1">
      <c r="A348" s="775">
        <v>2019.03</v>
      </c>
      <c r="B348" s="3545">
        <v>96.164649261700802</v>
      </c>
      <c r="C348" s="2791">
        <v>91.586212983980602</v>
      </c>
    </row>
    <row r="349" spans="1:3" s="778" customFormat="1" ht="12.75" customHeight="1">
      <c r="A349" s="775">
        <v>2019.04</v>
      </c>
      <c r="B349" s="3545">
        <v>97.406191949153296</v>
      </c>
      <c r="C349" s="2791">
        <v>93.914725931857106</v>
      </c>
    </row>
    <row r="350" spans="1:3" s="778" customFormat="1" ht="12.75" customHeight="1">
      <c r="A350" s="775">
        <v>2019.05</v>
      </c>
      <c r="B350" s="3545">
        <v>96.606538027635594</v>
      </c>
      <c r="C350" s="2791">
        <v>95.331644188834105</v>
      </c>
    </row>
    <row r="351" spans="1:3" s="778" customFormat="1" ht="12.75" customHeight="1">
      <c r="A351" s="775">
        <v>2019.06</v>
      </c>
      <c r="B351" s="3545">
        <v>96.354183923447593</v>
      </c>
      <c r="C351" s="2791">
        <v>92.756868473804801</v>
      </c>
    </row>
    <row r="352" spans="1:3" s="778" customFormat="1" ht="12.75" customHeight="1">
      <c r="A352" s="775">
        <v>2019.07</v>
      </c>
      <c r="B352" s="3545">
        <v>94.219813994681004</v>
      </c>
      <c r="C352" s="2791">
        <v>91.077574132653197</v>
      </c>
    </row>
    <row r="353" spans="1:4" s="778" customFormat="1" ht="12.75" customHeight="1">
      <c r="A353" s="775">
        <v>2019.08</v>
      </c>
      <c r="B353" s="3545">
        <v>93.762987274756995</v>
      </c>
      <c r="C353" s="2791">
        <v>90.593878274108604</v>
      </c>
    </row>
    <row r="354" spans="1:4" s="778" customFormat="1" ht="12.75" customHeight="1">
      <c r="A354" s="775">
        <v>2019.09</v>
      </c>
      <c r="B354" s="3545">
        <v>92.488400120621606</v>
      </c>
      <c r="C354" s="2791">
        <v>89.825711344884894</v>
      </c>
    </row>
    <row r="355" spans="1:4" s="778" customFormat="1" ht="12.75" customHeight="1">
      <c r="A355" s="775">
        <v>2019.1</v>
      </c>
      <c r="B355" s="3545">
        <v>92.106632194838596</v>
      </c>
      <c r="C355" s="2791">
        <v>90.606503113850394</v>
      </c>
    </row>
    <row r="356" spans="1:4" s="778" customFormat="1" ht="12.75" customHeight="1">
      <c r="A356" s="775">
        <v>2019.11</v>
      </c>
      <c r="B356" s="3545">
        <v>91.781368485937307</v>
      </c>
      <c r="C356" s="2791">
        <v>89.936455115396896</v>
      </c>
    </row>
    <row r="357" spans="1:4" s="778" customFormat="1" ht="12.75" customHeight="1">
      <c r="A357" s="775">
        <v>2019.12</v>
      </c>
      <c r="B357" s="3545">
        <v>93.204577089423395</v>
      </c>
      <c r="C357" s="2791">
        <v>94.349778439044798</v>
      </c>
    </row>
    <row r="358" spans="1:4" s="778" customFormat="1" ht="12.75" customHeight="1">
      <c r="A358" s="775">
        <v>2020.01</v>
      </c>
      <c r="B358" s="3545">
        <v>94.726518307735205</v>
      </c>
      <c r="C358" s="2791">
        <v>96.283948913725197</v>
      </c>
    </row>
    <row r="359" spans="1:4" s="778" customFormat="1" ht="12.75" customHeight="1">
      <c r="A359" s="775">
        <v>2020.02</v>
      </c>
      <c r="B359" s="3545">
        <v>96.878476290122705</v>
      </c>
      <c r="C359" s="2791">
        <v>98.058905004373401</v>
      </c>
    </row>
    <row r="360" spans="1:4" s="778" customFormat="1" ht="12.75" customHeight="1">
      <c r="A360" s="775">
        <v>2020.03</v>
      </c>
      <c r="B360" s="3545">
        <v>84.275878995078401</v>
      </c>
      <c r="C360" s="2791">
        <v>86.772207276830599</v>
      </c>
    </row>
    <row r="361" spans="1:4" s="778" customFormat="1" ht="12.75" customHeight="1">
      <c r="A361" s="775">
        <v>2020.04</v>
      </c>
      <c r="B361" s="3545">
        <v>80.382566189984601</v>
      </c>
      <c r="C361" s="2791">
        <v>78.951022412084399</v>
      </c>
    </row>
    <row r="362" spans="1:4" s="778" customFormat="1" ht="12.75" customHeight="1">
      <c r="A362" s="775">
        <v>2020.05</v>
      </c>
      <c r="B362" s="3545">
        <v>57.726154568459201</v>
      </c>
      <c r="C362" s="2791">
        <v>51.049590397355999</v>
      </c>
    </row>
    <row r="363" spans="1:4" s="778" customFormat="1" ht="12.75" customHeight="1">
      <c r="A363" s="775">
        <v>2020.06</v>
      </c>
      <c r="B363" s="3545">
        <v>62.088447261270403</v>
      </c>
      <c r="C363" s="2791">
        <v>57.0269232392871</v>
      </c>
    </row>
    <row r="364" spans="1:4" s="778" customFormat="1" ht="12.75" customHeight="1">
      <c r="A364" s="775">
        <v>2020.07</v>
      </c>
      <c r="B364" s="3545">
        <v>71.629069267364898</v>
      </c>
      <c r="C364" s="2791">
        <v>75.883618956000106</v>
      </c>
    </row>
    <row r="365" spans="1:4" s="778" customFormat="1" ht="12.75" customHeight="1">
      <c r="A365" s="775">
        <v>2020.08</v>
      </c>
      <c r="B365" s="3545">
        <v>85.072783650958101</v>
      </c>
      <c r="C365" s="2791">
        <v>102.39641354072</v>
      </c>
      <c r="D365" s="3546"/>
    </row>
    <row r="366" spans="1:4" s="778" customFormat="1" ht="12.75" customHeight="1">
      <c r="A366" s="775">
        <v>2020.09</v>
      </c>
      <c r="B366" s="3545">
        <v>92.116913308933903</v>
      </c>
      <c r="C366" s="2791">
        <v>108.368525447146</v>
      </c>
    </row>
    <row r="367" spans="1:4" s="778" customFormat="1" ht="12.75" customHeight="1">
      <c r="A367" s="775">
        <v>2020.1</v>
      </c>
      <c r="B367" s="3545">
        <v>96.294108782809104</v>
      </c>
      <c r="C367" s="2791">
        <v>110.822859992901</v>
      </c>
    </row>
    <row r="368" spans="1:4" s="778" customFormat="1" ht="12.75" customHeight="1">
      <c r="A368" s="775">
        <v>2020.11</v>
      </c>
      <c r="B368" s="3545">
        <v>101.70799656561699</v>
      </c>
      <c r="C368" s="2791">
        <v>110.673257190562</v>
      </c>
    </row>
    <row r="369" spans="1:3" s="778" customFormat="1" ht="12.75" customHeight="1">
      <c r="A369" s="775">
        <v>2020.12</v>
      </c>
      <c r="B369" s="3545">
        <v>101.40636839263701</v>
      </c>
      <c r="C369" s="2791">
        <v>107.841499879434</v>
      </c>
    </row>
    <row r="370" spans="1:3" s="778" customFormat="1" ht="12.75" customHeight="1">
      <c r="A370" s="775">
        <v>2021.01</v>
      </c>
      <c r="B370" s="3545">
        <v>101.120074383446</v>
      </c>
      <c r="C370" s="2791">
        <v>110.06090881601099</v>
      </c>
    </row>
    <row r="371" spans="1:3" s="778" customFormat="1" ht="12.75" customHeight="1">
      <c r="A371" s="775">
        <v>2021.02</v>
      </c>
      <c r="B371" s="3545">
        <v>102.335069003817</v>
      </c>
      <c r="C371" s="2791">
        <v>107.850229543176</v>
      </c>
    </row>
    <row r="372" spans="1:3" s="778" customFormat="1" ht="12.75" customHeight="1">
      <c r="A372" s="775">
        <v>2021.03</v>
      </c>
      <c r="B372" s="3545">
        <v>106.77616250021001</v>
      </c>
      <c r="C372" s="2791">
        <v>112.964932198119</v>
      </c>
    </row>
    <row r="373" spans="1:3" s="778" customFormat="1" ht="12.75" customHeight="1">
      <c r="A373" s="775">
        <v>2021.04</v>
      </c>
      <c r="B373" s="3545">
        <v>113.039242229693</v>
      </c>
      <c r="C373" s="2791">
        <v>119.272177427919</v>
      </c>
    </row>
    <row r="374" spans="1:3" s="778" customFormat="1" ht="12.75" customHeight="1">
      <c r="A374" s="775">
        <v>2021.05</v>
      </c>
      <c r="B374" s="3545">
        <v>126.697003824521</v>
      </c>
      <c r="C374" s="2791">
        <v>131.71756571781199</v>
      </c>
    </row>
    <row r="375" spans="1:3" s="778" customFormat="1" ht="12.75" customHeight="1">
      <c r="A375" s="775">
        <v>2021.06</v>
      </c>
      <c r="B375" s="3545">
        <v>127.14219188614</v>
      </c>
      <c r="C375" s="2791">
        <v>129.61447705334299</v>
      </c>
    </row>
    <row r="376" spans="1:3" s="778" customFormat="1" ht="12.75" customHeight="1">
      <c r="A376" s="775">
        <v>2021.07</v>
      </c>
      <c r="B376" s="3545">
        <v>126.680476641399</v>
      </c>
      <c r="C376" s="2791">
        <v>124.145148045067</v>
      </c>
    </row>
    <row r="377" spans="1:3" s="778" customFormat="1" ht="12.75" customHeight="1">
      <c r="A377" s="775">
        <v>2021.08</v>
      </c>
      <c r="B377" s="3545">
        <v>122.148482152751</v>
      </c>
      <c r="C377" s="2791">
        <v>118.528736938313</v>
      </c>
    </row>
    <row r="378" spans="1:3" s="778" customFormat="1" ht="12.75" customHeight="1">
      <c r="A378" s="775">
        <v>2021.09</v>
      </c>
      <c r="B378" s="3545">
        <v>115.597854257845</v>
      </c>
      <c r="C378" s="2791">
        <v>112.473900098681</v>
      </c>
    </row>
    <row r="379" spans="1:3" s="778" customFormat="1" ht="12.75" customHeight="1">
      <c r="A379" s="775">
        <v>2021.1</v>
      </c>
      <c r="B379" s="3545">
        <v>113.728829201107</v>
      </c>
      <c r="C379" s="2791">
        <v>107.40332771124</v>
      </c>
    </row>
    <row r="380" spans="1:3" s="778" customFormat="1" ht="12.75" customHeight="1">
      <c r="A380" s="775">
        <v>2021.11</v>
      </c>
      <c r="B380" s="3545">
        <v>110.471700220782</v>
      </c>
      <c r="C380" s="2791">
        <v>106.038362603743</v>
      </c>
    </row>
    <row r="381" spans="1:3" s="778" customFormat="1" ht="12.75" customHeight="1">
      <c r="A381" s="775">
        <v>2021.12</v>
      </c>
      <c r="B381" s="3545">
        <v>113.006479958553</v>
      </c>
      <c r="C381" s="2791">
        <v>108.310838343722</v>
      </c>
    </row>
    <row r="382" spans="1:3" s="778" customFormat="1" ht="12.75" customHeight="1">
      <c r="A382" s="775">
        <v>2022.01</v>
      </c>
      <c r="B382" s="3545">
        <v>111.53637502879199</v>
      </c>
      <c r="C382" s="2791">
        <v>106.757827197293</v>
      </c>
    </row>
    <row r="383" spans="1:3" s="778" customFormat="1" ht="12.75" customHeight="1">
      <c r="A383" s="775">
        <v>2022.02</v>
      </c>
      <c r="B383" s="3545">
        <v>111.03888028832</v>
      </c>
      <c r="C383" s="2791">
        <v>106.015336389743</v>
      </c>
    </row>
    <row r="384" spans="1:3" s="778" customFormat="1" ht="12.75" customHeight="1">
      <c r="A384" s="775">
        <v>2022.03</v>
      </c>
      <c r="B384" s="3545">
        <v>107.493350545377</v>
      </c>
      <c r="C384" s="2791">
        <v>103.050764631969</v>
      </c>
    </row>
    <row r="385" spans="1:3" s="778" customFormat="1" ht="12.75" customHeight="1">
      <c r="A385" s="775">
        <v>2022.04</v>
      </c>
      <c r="B385" s="3545">
        <v>102.557591538086</v>
      </c>
      <c r="C385" s="2791">
        <v>99.032000021639206</v>
      </c>
    </row>
    <row r="386" spans="1:3" s="778" customFormat="1" ht="12.75" customHeight="1">
      <c r="A386" s="775">
        <v>2022.05</v>
      </c>
      <c r="B386" s="3545">
        <v>98.787549985945603</v>
      </c>
      <c r="C386" s="2791">
        <v>95.268766969344398</v>
      </c>
    </row>
    <row r="387" spans="1:3" s="778" customFormat="1" ht="12.75" customHeight="1">
      <c r="A387" s="775">
        <v>2022.06</v>
      </c>
      <c r="B387" s="3545">
        <v>96.806086566930304</v>
      </c>
      <c r="C387" s="2791">
        <v>95.586727352819594</v>
      </c>
    </row>
    <row r="388" spans="1:3" s="778" customFormat="1" ht="12.75" customHeight="1">
      <c r="A388" s="775">
        <v>2022.07</v>
      </c>
      <c r="B388" s="3545">
        <v>96.1397436467511</v>
      </c>
      <c r="C388" s="2791">
        <v>92.531106823261894</v>
      </c>
    </row>
    <row r="389" spans="1:3" s="778" customFormat="1" ht="12.75" customHeight="1">
      <c r="A389" s="775">
        <v>2022.08</v>
      </c>
      <c r="B389" s="3545">
        <v>92.494639921901495</v>
      </c>
      <c r="C389" s="2791">
        <v>87.439168157199006</v>
      </c>
    </row>
    <row r="390" spans="1:3" s="778" customFormat="1" ht="12.75" customHeight="1">
      <c r="A390" s="775">
        <v>2022.09</v>
      </c>
      <c r="B390" s="3545">
        <v>93.8049605744106</v>
      </c>
      <c r="C390" s="2791">
        <v>90.647563452550102</v>
      </c>
    </row>
    <row r="391" spans="1:3" s="778" customFormat="1" ht="12.75" customHeight="1">
      <c r="A391" s="775">
        <v>2022.1</v>
      </c>
      <c r="B391" s="3545">
        <v>90.438830923019395</v>
      </c>
      <c r="C391" s="2791">
        <v>90.416500753036104</v>
      </c>
    </row>
    <row r="392" spans="1:3" s="778" customFormat="1" ht="12.75" customHeight="1">
      <c r="A392" s="775">
        <v>2022.11</v>
      </c>
      <c r="B392" s="3545">
        <v>89.379839738914796</v>
      </c>
      <c r="C392" s="2791">
        <v>91.396950479058901</v>
      </c>
    </row>
    <row r="393" spans="1:3" s="778" customFormat="1" ht="12.75" customHeight="1">
      <c r="A393" s="775">
        <v>2022.12</v>
      </c>
      <c r="B393" s="3545">
        <v>86.828418974489097</v>
      </c>
      <c r="C393" s="2791">
        <v>88.658127590255901</v>
      </c>
    </row>
    <row r="394" spans="1:3" s="778" customFormat="1" ht="12.75" customHeight="1">
      <c r="A394" s="775">
        <v>2023.01</v>
      </c>
      <c r="B394" s="3545">
        <v>86.182562190307706</v>
      </c>
      <c r="C394" s="2791">
        <v>88.985375317764493</v>
      </c>
    </row>
    <row r="395" spans="1:3" s="778" customFormat="1" ht="12.75" customHeight="1">
      <c r="A395" s="775">
        <v>2023.02</v>
      </c>
      <c r="B395" s="3545">
        <v>89.034823362715301</v>
      </c>
      <c r="C395" s="2791">
        <v>90.045147639506993</v>
      </c>
    </row>
    <row r="396" spans="1:3" s="778" customFormat="1" ht="12.75" customHeight="1">
      <c r="A396" s="775">
        <v>2023.03</v>
      </c>
      <c r="B396" s="3545">
        <v>92.539655696785502</v>
      </c>
      <c r="C396" s="2791">
        <v>93.253641322023896</v>
      </c>
    </row>
    <row r="397" spans="1:3" s="778" customFormat="1" ht="12.75" customHeight="1">
      <c r="A397" s="775">
        <v>2023.04</v>
      </c>
      <c r="B397" s="3545">
        <v>92.422549185740493</v>
      </c>
      <c r="C397" s="2791">
        <v>93.107181383695504</v>
      </c>
    </row>
    <row r="398" spans="1:3" s="778" customFormat="1" ht="12.75" customHeight="1">
      <c r="A398" s="775">
        <v>2023.05</v>
      </c>
      <c r="B398" s="3545">
        <v>94.533212498850503</v>
      </c>
      <c r="C398" s="2791">
        <v>95.176353511441306</v>
      </c>
    </row>
    <row r="399" spans="1:3" s="778" customFormat="1" ht="12.75" customHeight="1">
      <c r="A399" s="775">
        <v>2023.06</v>
      </c>
      <c r="B399" s="3545">
        <v>94.453635196009998</v>
      </c>
      <c r="C399" s="2791">
        <v>94.6391786174092</v>
      </c>
    </row>
    <row r="400" spans="1:3" s="778" customFormat="1" ht="12.75" customHeight="1">
      <c r="A400" s="775">
        <v>2023.07</v>
      </c>
      <c r="B400" s="3545">
        <v>93.956911645141702</v>
      </c>
      <c r="C400" s="2791">
        <v>95.975690351712103</v>
      </c>
    </row>
    <row r="401" spans="1:3" s="778" customFormat="1" ht="12.75" customHeight="1">
      <c r="A401" s="775">
        <v>2023.08</v>
      </c>
      <c r="B401" s="3545">
        <v>95.048074935408494</v>
      </c>
      <c r="C401" s="2791">
        <v>93.247238344343302</v>
      </c>
    </row>
    <row r="402" spans="1:3" s="778" customFormat="1" ht="12.75" customHeight="1">
      <c r="A402" s="775">
        <v>2023.09</v>
      </c>
      <c r="B402" s="3545">
        <v>94.840907155098904</v>
      </c>
      <c r="C402" s="2791">
        <v>93.965151676563295</v>
      </c>
    </row>
    <row r="403" spans="1:3" s="778" customFormat="1" ht="12.75" customHeight="1">
      <c r="A403" s="775">
        <v>2023.1</v>
      </c>
      <c r="B403" s="3545">
        <v>97.675441561105103</v>
      </c>
      <c r="C403" s="2791">
        <v>93.447897629379199</v>
      </c>
    </row>
    <row r="404" spans="1:3" s="778" customFormat="1" ht="12.75" customHeight="1">
      <c r="A404" s="775">
        <v>2023.11</v>
      </c>
      <c r="B404" s="3545">
        <v>97.221244772734295</v>
      </c>
      <c r="C404" s="2791">
        <v>94.1048215014862</v>
      </c>
    </row>
    <row r="405" spans="1:3" s="778" customFormat="1" ht="12.75" customHeight="1">
      <c r="A405" s="775">
        <v>2023.12</v>
      </c>
      <c r="B405" s="3545">
        <v>97.193346529294104</v>
      </c>
      <c r="C405" s="2791">
        <v>95.286536624869001</v>
      </c>
    </row>
    <row r="406" spans="1:3" s="778" customFormat="1" ht="12.75" customHeight="1">
      <c r="A406" s="775">
        <v>2024.01</v>
      </c>
      <c r="B406" s="3545">
        <v>97.6517709950718</v>
      </c>
      <c r="C406" s="2791">
        <v>95.9593335787646</v>
      </c>
    </row>
    <row r="407" spans="1:3" s="778" customFormat="1" ht="12.75" customHeight="1">
      <c r="A407" s="775">
        <v>2024.02</v>
      </c>
      <c r="B407" s="3545">
        <v>96.815164217579294</v>
      </c>
      <c r="C407" s="2791">
        <v>96.758098164138303</v>
      </c>
    </row>
    <row r="408" spans="1:3" s="778" customFormat="1" ht="12.75" customHeight="1">
      <c r="A408" s="775">
        <v>2024.03</v>
      </c>
      <c r="B408" s="3545">
        <v>95.5726441838261</v>
      </c>
      <c r="C408" s="2791">
        <v>97.783476986032895</v>
      </c>
    </row>
    <row r="409" spans="1:3" s="778" customFormat="1" ht="12.75" customHeight="1">
      <c r="A409" s="775">
        <v>2024.04</v>
      </c>
      <c r="B409" s="3545">
        <v>97.933372229168597</v>
      </c>
      <c r="C409" s="2791">
        <v>98.437965096393398</v>
      </c>
    </row>
    <row r="410" spans="1:3" s="778" customFormat="1" ht="12.75" customHeight="1">
      <c r="A410" s="775">
        <v>2024.05</v>
      </c>
      <c r="B410" s="3545">
        <v>97.303245415550904</v>
      </c>
      <c r="C410" s="2791">
        <v>99.763080199862003</v>
      </c>
    </row>
    <row r="411" spans="1:3" s="778" customFormat="1" ht="12.75" customHeight="1">
      <c r="A411" s="775">
        <v>2024.06</v>
      </c>
      <c r="B411" s="3545">
        <v>97.664317550740407</v>
      </c>
      <c r="C411" s="2791">
        <v>99.324044703207093</v>
      </c>
    </row>
    <row r="412" spans="1:3" s="778" customFormat="1" ht="12.75" customHeight="1">
      <c r="A412" s="775">
        <v>2024.07</v>
      </c>
      <c r="B412" s="3545">
        <v>96.859213058878396</v>
      </c>
      <c r="C412" s="2791">
        <v>99.206828739687893</v>
      </c>
    </row>
    <row r="413" spans="1:3" s="778" customFormat="1" ht="12.75" customHeight="1">
      <c r="A413" s="775">
        <v>2024.08</v>
      </c>
      <c r="B413" s="3545">
        <v>96.956396740143603</v>
      </c>
      <c r="C413" s="2791">
        <v>99.281035173952702</v>
      </c>
    </row>
    <row r="414" spans="1:3" s="778" customFormat="1" ht="12.75" customHeight="1">
      <c r="A414" s="775">
        <v>2024.09</v>
      </c>
      <c r="B414" s="3545">
        <v>96.698877681042106</v>
      </c>
      <c r="C414" s="2791">
        <v>99.337451025012697</v>
      </c>
    </row>
    <row r="415" spans="1:3" s="778" customFormat="1" ht="12.75" customHeight="1">
      <c r="A415" s="775">
        <v>2024.1</v>
      </c>
      <c r="B415" s="3545">
        <v>96.851733391612996</v>
      </c>
      <c r="C415" s="2791">
        <v>99.554943705354006</v>
      </c>
    </row>
    <row r="416" spans="1:3" s="778" customFormat="1" ht="12.75" customHeight="1">
      <c r="A416" s="775">
        <v>2024.11</v>
      </c>
      <c r="B416" s="3545">
        <v>98.913400515080994</v>
      </c>
      <c r="C416" s="2791">
        <v>102.437076350979</v>
      </c>
    </row>
    <row r="417" spans="1:3" s="778" customFormat="1" ht="12.75" customHeight="1">
      <c r="A417" s="775">
        <v>2024.12</v>
      </c>
      <c r="B417" s="3545">
        <v>99.728105985059301</v>
      </c>
      <c r="C417" s="2791">
        <v>102.802642533766</v>
      </c>
    </row>
    <row r="418" spans="1:3" s="778" customFormat="1" ht="12.75" customHeight="1">
      <c r="A418" s="775">
        <v>2025.01</v>
      </c>
      <c r="B418" s="3545">
        <v>99.300435064997799</v>
      </c>
      <c r="C418" s="2791">
        <v>102.25113272522201</v>
      </c>
    </row>
    <row r="419" spans="1:3" s="778" customFormat="1" ht="12.75" customHeight="1">
      <c r="A419" s="775">
        <v>2025.02</v>
      </c>
      <c r="B419" s="3545">
        <v>100.39576363392899</v>
      </c>
      <c r="C419" s="2791">
        <v>102.25036835093201</v>
      </c>
    </row>
    <row r="420" spans="1:3" s="778" customFormat="1" ht="12.75" customHeight="1">
      <c r="A420" s="775">
        <v>2025.03</v>
      </c>
      <c r="B420" s="3545">
        <v>100.632042061546</v>
      </c>
      <c r="C420" s="2791">
        <v>101.7422835887</v>
      </c>
    </row>
    <row r="421" spans="1:3" s="778" customFormat="1" ht="12.75" customHeight="1">
      <c r="A421" s="775">
        <v>2025.04</v>
      </c>
      <c r="B421" s="3545">
        <v>98.9040653630055</v>
      </c>
      <c r="C421" s="2791">
        <v>99.906385096295494</v>
      </c>
    </row>
    <row r="422" spans="1:3" s="778" customFormat="1" ht="12.75" customHeight="1">
      <c r="A422" s="775">
        <v>2025.05</v>
      </c>
      <c r="B422" s="3545">
        <v>95.814888169394706</v>
      </c>
      <c r="C422" s="2791">
        <v>95.671955554739199</v>
      </c>
    </row>
    <row r="423" spans="1:3" s="778" customFormat="1" ht="12.75" customHeight="1">
      <c r="A423" s="775">
        <v>2025.06</v>
      </c>
      <c r="B423" s="3545">
        <v>97.306820267033402</v>
      </c>
      <c r="C423" s="2791">
        <v>97.645928773124496</v>
      </c>
    </row>
    <row r="424" spans="1:3" s="778" customFormat="1" ht="12.75" customHeight="1">
      <c r="A424" s="775">
        <v>2025.07</v>
      </c>
      <c r="B424" s="3545">
        <v>98.043760879509307</v>
      </c>
      <c r="C424" s="2791">
        <v>99.443005191600804</v>
      </c>
    </row>
    <row r="425" spans="1:3" s="778" customFormat="1" ht="12.75" customHeight="1">
      <c r="A425" s="775">
        <v>2025.08</v>
      </c>
      <c r="B425" s="3545">
        <v>100.167637116878</v>
      </c>
      <c r="C425" s="2791">
        <v>101.94074617701401</v>
      </c>
    </row>
    <row r="426" spans="1:3" s="778" customFormat="1" ht="12.75" customHeight="1">
      <c r="A426" s="775">
        <v>2025.09</v>
      </c>
      <c r="B426" s="3545">
        <v>100.189456287014</v>
      </c>
      <c r="C426" s="2791">
        <v>102.7575467539</v>
      </c>
    </row>
    <row r="427" spans="1:3" s="778" customFormat="1" ht="12.75" customHeight="1">
      <c r="A427" s="775">
        <v>2025.1</v>
      </c>
      <c r="B427" s="3545">
        <v>99.754072365841395</v>
      </c>
      <c r="C427" s="2791">
        <v>102.339544005674</v>
      </c>
    </row>
    <row r="428" spans="1:3" s="778" customFormat="1" ht="12.75" customHeight="1">
      <c r="A428" s="775">
        <v>2025.11</v>
      </c>
      <c r="B428" s="3545">
        <v>99.947459411250804</v>
      </c>
      <c r="C428" s="2791">
        <v>99.943809438367097</v>
      </c>
    </row>
    <row r="429" spans="1:3" s="778" customFormat="1" ht="12.75" customHeight="1">
      <c r="A429" s="775">
        <f>A417+1</f>
        <v>2025.12</v>
      </c>
      <c r="B429" s="3545">
        <v>100.6700114174</v>
      </c>
      <c r="C429" s="2791">
        <v>101.570497677299</v>
      </c>
    </row>
    <row r="430" spans="1:3" s="778" customFormat="1" ht="12.75" customHeight="1">
      <c r="A430" s="775">
        <f t="shared" ref="A430:A488" si="0">A418+1</f>
        <v>2026.01</v>
      </c>
      <c r="B430" s="3545">
        <v>102.641680538513</v>
      </c>
      <c r="C430" s="2791">
        <v>102.203813272867</v>
      </c>
    </row>
    <row r="431" spans="1:3" s="778" customFormat="1" ht="12.75" customHeight="1">
      <c r="A431" s="775">
        <f t="shared" si="0"/>
        <v>2026.02</v>
      </c>
      <c r="B431" s="3545">
        <v>102.80109861358601</v>
      </c>
      <c r="C431" s="2791">
        <v>102.66818012136901</v>
      </c>
    </row>
    <row r="432" spans="1:3" s="778" customFormat="1" ht="12.75" customHeight="1">
      <c r="A432" s="775">
        <f t="shared" si="0"/>
        <v>2026.03</v>
      </c>
      <c r="B432" s="3545">
        <v>102.52472871826799</v>
      </c>
      <c r="C432" s="2791">
        <v>101.254607138781</v>
      </c>
    </row>
    <row r="433" spans="1:3" s="778" customFormat="1" ht="12.75" customHeight="1">
      <c r="A433" s="775">
        <f t="shared" si="0"/>
        <v>2026.04</v>
      </c>
      <c r="B433" s="3545" t="e">
        <v>#N/A</v>
      </c>
      <c r="C433" s="2791" t="e">
        <v>#N/A</v>
      </c>
    </row>
    <row r="434" spans="1:3" s="778" customFormat="1" ht="12.75" customHeight="1">
      <c r="A434" s="775">
        <f t="shared" si="0"/>
        <v>2026.05</v>
      </c>
      <c r="B434" s="3545" t="e">
        <v>#N/A</v>
      </c>
      <c r="C434" s="2791" t="e">
        <v>#N/A</v>
      </c>
    </row>
    <row r="435" spans="1:3" s="778" customFormat="1" ht="12.75" customHeight="1">
      <c r="A435" s="775">
        <f t="shared" si="0"/>
        <v>2026.06</v>
      </c>
      <c r="B435" s="3545" t="e">
        <v>#N/A</v>
      </c>
      <c r="C435" s="2791" t="e">
        <v>#N/A</v>
      </c>
    </row>
    <row r="436" spans="1:3" s="778" customFormat="1" ht="12.75" customHeight="1">
      <c r="A436" s="775">
        <f t="shared" si="0"/>
        <v>2026.07</v>
      </c>
      <c r="B436" s="3545" t="e">
        <v>#N/A</v>
      </c>
      <c r="C436" s="2791" t="e">
        <v>#N/A</v>
      </c>
    </row>
    <row r="437" spans="1:3" s="778" customFormat="1" ht="12.75" customHeight="1">
      <c r="A437" s="775">
        <f>A425+1</f>
        <v>2026.08</v>
      </c>
      <c r="B437" s="3545" t="e">
        <v>#N/A</v>
      </c>
      <c r="C437" s="2791" t="e">
        <v>#N/A</v>
      </c>
    </row>
    <row r="438" spans="1:3" s="778" customFormat="1" ht="12.75" customHeight="1">
      <c r="A438" s="775">
        <f t="shared" si="0"/>
        <v>2026.09</v>
      </c>
      <c r="B438" s="3545" t="e">
        <v>#N/A</v>
      </c>
      <c r="C438" s="2791" t="e">
        <v>#N/A</v>
      </c>
    </row>
    <row r="439" spans="1:3" s="778" customFormat="1" ht="12.75" customHeight="1">
      <c r="A439" s="775">
        <f t="shared" si="0"/>
        <v>2026.1</v>
      </c>
      <c r="B439" s="3545" t="e">
        <v>#N/A</v>
      </c>
      <c r="C439" s="2791" t="e">
        <v>#N/A</v>
      </c>
    </row>
    <row r="440" spans="1:3" s="778" customFormat="1" ht="12.75" customHeight="1">
      <c r="A440" s="775">
        <f>A428+1</f>
        <v>2026.11</v>
      </c>
      <c r="B440" s="3545" t="e">
        <v>#N/A</v>
      </c>
      <c r="C440" s="2791" t="e">
        <v>#N/A</v>
      </c>
    </row>
    <row r="441" spans="1:3" s="778" customFormat="1" ht="12.75" customHeight="1">
      <c r="A441" s="775">
        <f t="shared" si="0"/>
        <v>2026.12</v>
      </c>
      <c r="B441" s="3545" t="e">
        <v>#N/A</v>
      </c>
      <c r="C441" s="2791" t="e">
        <v>#N/A</v>
      </c>
    </row>
    <row r="442" spans="1:3" s="778" customFormat="1" ht="12.75" customHeight="1">
      <c r="A442" s="775">
        <f t="shared" si="0"/>
        <v>2027.01</v>
      </c>
      <c r="B442" s="3545" t="e">
        <v>#N/A</v>
      </c>
      <c r="C442" s="2791" t="e">
        <v>#N/A</v>
      </c>
    </row>
    <row r="443" spans="1:3" s="778" customFormat="1" ht="12.75" customHeight="1">
      <c r="A443" s="775">
        <f t="shared" si="0"/>
        <v>2027.02</v>
      </c>
      <c r="B443" s="3545" t="e">
        <v>#N/A</v>
      </c>
      <c r="C443" s="2791" t="e">
        <v>#N/A</v>
      </c>
    </row>
    <row r="444" spans="1:3" s="778" customFormat="1" ht="12.75" customHeight="1">
      <c r="A444" s="775">
        <f>A432+1</f>
        <v>2027.03</v>
      </c>
      <c r="B444" s="3545" t="e">
        <v>#N/A</v>
      </c>
      <c r="C444" s="2791" t="e">
        <v>#N/A</v>
      </c>
    </row>
    <row r="445" spans="1:3" s="778" customFormat="1" ht="12.75" customHeight="1">
      <c r="A445" s="775">
        <f t="shared" si="0"/>
        <v>2027.04</v>
      </c>
      <c r="B445" s="3545" t="e">
        <v>#N/A</v>
      </c>
      <c r="C445" s="2791" t="e">
        <v>#N/A</v>
      </c>
    </row>
    <row r="446" spans="1:3" s="778" customFormat="1" ht="12.75" customHeight="1">
      <c r="A446" s="775">
        <f t="shared" si="0"/>
        <v>2027.05</v>
      </c>
      <c r="B446" s="3545" t="e">
        <v>#N/A</v>
      </c>
      <c r="C446" s="2791" t="e">
        <v>#N/A</v>
      </c>
    </row>
    <row r="447" spans="1:3" s="778" customFormat="1" ht="12.75" customHeight="1">
      <c r="A447" s="775">
        <f t="shared" si="0"/>
        <v>2027.06</v>
      </c>
      <c r="B447" s="3545" t="e">
        <v>#N/A</v>
      </c>
      <c r="C447" s="2791" t="e">
        <v>#N/A</v>
      </c>
    </row>
    <row r="448" spans="1:3" s="778" customFormat="1" ht="12.75" customHeight="1">
      <c r="A448" s="775">
        <f>A436+1</f>
        <v>2027.07</v>
      </c>
      <c r="B448" s="3545" t="e">
        <v>#N/A</v>
      </c>
      <c r="C448" s="2791" t="e">
        <v>#N/A</v>
      </c>
    </row>
    <row r="449" spans="1:3" s="778" customFormat="1" ht="12.75" customHeight="1">
      <c r="A449" s="775">
        <f t="shared" si="0"/>
        <v>2027.08</v>
      </c>
      <c r="B449" s="3545" t="e">
        <v>#N/A</v>
      </c>
      <c r="C449" s="2791" t="e">
        <v>#N/A</v>
      </c>
    </row>
    <row r="450" spans="1:3" s="778" customFormat="1" ht="12.75" customHeight="1">
      <c r="A450" s="775">
        <f t="shared" si="0"/>
        <v>2027.09</v>
      </c>
      <c r="B450" s="3545" t="e">
        <v>#N/A</v>
      </c>
      <c r="C450" s="2791" t="e">
        <v>#N/A</v>
      </c>
    </row>
    <row r="451" spans="1:3" s="778" customFormat="1" ht="12.75" customHeight="1">
      <c r="A451" s="775">
        <f t="shared" si="0"/>
        <v>2027.1</v>
      </c>
      <c r="B451" s="3545" t="e">
        <v>#N/A</v>
      </c>
      <c r="C451" s="2791" t="e">
        <v>#N/A</v>
      </c>
    </row>
    <row r="452" spans="1:3" s="778" customFormat="1" ht="12.75" customHeight="1">
      <c r="A452" s="775">
        <f t="shared" si="0"/>
        <v>2027.11</v>
      </c>
      <c r="B452" s="3545" t="e">
        <v>#N/A</v>
      </c>
      <c r="C452" s="2791" t="e">
        <v>#N/A</v>
      </c>
    </row>
    <row r="453" spans="1:3" s="778" customFormat="1" ht="12.75" customHeight="1">
      <c r="A453" s="775">
        <f t="shared" si="0"/>
        <v>2027.12</v>
      </c>
      <c r="B453" s="3545" t="e">
        <v>#N/A</v>
      </c>
      <c r="C453" s="2791" t="e">
        <v>#N/A</v>
      </c>
    </row>
    <row r="454" spans="1:3" s="778" customFormat="1" ht="12.75" customHeight="1">
      <c r="A454" s="775">
        <f>A442+1</f>
        <v>2028.01</v>
      </c>
      <c r="B454" s="3545" t="e">
        <v>#N/A</v>
      </c>
      <c r="C454" s="2791" t="e">
        <v>#N/A</v>
      </c>
    </row>
    <row r="455" spans="1:3" s="778" customFormat="1" ht="12.75" customHeight="1">
      <c r="A455" s="775">
        <f t="shared" si="0"/>
        <v>2028.02</v>
      </c>
      <c r="B455" s="3545" t="e">
        <v>#N/A</v>
      </c>
      <c r="C455" s="2791" t="e">
        <v>#N/A</v>
      </c>
    </row>
    <row r="456" spans="1:3" s="778" customFormat="1" ht="12.75" customHeight="1">
      <c r="A456" s="775">
        <f t="shared" si="0"/>
        <v>2028.03</v>
      </c>
      <c r="B456" s="3545" t="e">
        <v>#N/A</v>
      </c>
      <c r="C456" s="2791" t="e">
        <v>#N/A</v>
      </c>
    </row>
    <row r="457" spans="1:3" s="778" customFormat="1" ht="12.75" customHeight="1">
      <c r="A457" s="775">
        <f t="shared" si="0"/>
        <v>2028.04</v>
      </c>
      <c r="B457" s="3545" t="e">
        <v>#N/A</v>
      </c>
      <c r="C457" s="2791" t="e">
        <v>#N/A</v>
      </c>
    </row>
    <row r="458" spans="1:3" s="778" customFormat="1" ht="12.75" customHeight="1">
      <c r="A458" s="775">
        <f t="shared" si="0"/>
        <v>2028.05</v>
      </c>
      <c r="B458" s="3545" t="e">
        <v>#N/A</v>
      </c>
      <c r="C458" s="2791" t="e">
        <v>#N/A</v>
      </c>
    </row>
    <row r="459" spans="1:3" s="778" customFormat="1" ht="12.75" customHeight="1">
      <c r="A459" s="775">
        <f t="shared" si="0"/>
        <v>2028.06</v>
      </c>
      <c r="B459" s="3545" t="e">
        <v>#N/A</v>
      </c>
      <c r="C459" s="2791" t="e">
        <v>#N/A</v>
      </c>
    </row>
    <row r="460" spans="1:3" s="778" customFormat="1" ht="12.75" customHeight="1">
      <c r="A460" s="775">
        <f>A448+1</f>
        <v>2028.07</v>
      </c>
      <c r="B460" s="3545" t="e">
        <v>#N/A</v>
      </c>
      <c r="C460" s="2791" t="e">
        <v>#N/A</v>
      </c>
    </row>
    <row r="461" spans="1:3" s="778" customFormat="1" ht="12.75" customHeight="1">
      <c r="A461" s="775">
        <f t="shared" si="0"/>
        <v>2028.08</v>
      </c>
      <c r="B461" s="3545" t="e">
        <v>#N/A</v>
      </c>
      <c r="C461" s="2791" t="e">
        <v>#N/A</v>
      </c>
    </row>
    <row r="462" spans="1:3" s="778" customFormat="1" ht="12.75" customHeight="1">
      <c r="A462" s="775">
        <f t="shared" si="0"/>
        <v>2028.09</v>
      </c>
      <c r="B462" s="3545" t="e">
        <v>#N/A</v>
      </c>
      <c r="C462" s="2791" t="e">
        <v>#N/A</v>
      </c>
    </row>
    <row r="463" spans="1:3" s="778" customFormat="1" ht="12.75" customHeight="1">
      <c r="A463" s="775">
        <f t="shared" si="0"/>
        <v>2028.1</v>
      </c>
      <c r="B463" s="3545" t="e">
        <v>#N/A</v>
      </c>
      <c r="C463" s="2791" t="e">
        <v>#N/A</v>
      </c>
    </row>
    <row r="464" spans="1:3" s="778" customFormat="1" ht="12.75" customHeight="1">
      <c r="A464" s="775">
        <f t="shared" si="0"/>
        <v>2028.11</v>
      </c>
      <c r="B464" s="3545" t="e">
        <v>#N/A</v>
      </c>
      <c r="C464" s="2791" t="e">
        <v>#N/A</v>
      </c>
    </row>
    <row r="465" spans="1:3" s="778" customFormat="1" ht="12.75" customHeight="1">
      <c r="A465" s="775">
        <f t="shared" si="0"/>
        <v>2028.12</v>
      </c>
      <c r="B465" s="3545" t="e">
        <v>#N/A</v>
      </c>
      <c r="C465" s="2791" t="e">
        <v>#N/A</v>
      </c>
    </row>
    <row r="466" spans="1:3" s="778" customFormat="1" ht="12.75" customHeight="1">
      <c r="A466" s="775">
        <f>A454+1</f>
        <v>2029.01</v>
      </c>
      <c r="B466" s="3545" t="e">
        <v>#N/A</v>
      </c>
      <c r="C466" s="2791" t="e">
        <v>#N/A</v>
      </c>
    </row>
    <row r="467" spans="1:3" s="778" customFormat="1" ht="12.75" customHeight="1">
      <c r="A467" s="775">
        <f t="shared" si="0"/>
        <v>2029.02</v>
      </c>
      <c r="B467" s="3545" t="e">
        <v>#N/A</v>
      </c>
      <c r="C467" s="2791" t="e">
        <v>#N/A</v>
      </c>
    </row>
    <row r="468" spans="1:3" s="778" customFormat="1" ht="12.75" customHeight="1">
      <c r="A468" s="775">
        <f t="shared" si="0"/>
        <v>2029.03</v>
      </c>
      <c r="B468" s="3545" t="e">
        <v>#N/A</v>
      </c>
      <c r="C468" s="2791" t="e">
        <v>#N/A</v>
      </c>
    </row>
    <row r="469" spans="1:3" s="778" customFormat="1" ht="12.75" customHeight="1">
      <c r="A469" s="775">
        <f t="shared" si="0"/>
        <v>2029.04</v>
      </c>
      <c r="B469" s="3545" t="e">
        <v>#N/A</v>
      </c>
      <c r="C469" s="2791" t="e">
        <v>#N/A</v>
      </c>
    </row>
    <row r="470" spans="1:3" s="778" customFormat="1" ht="12.75" customHeight="1">
      <c r="A470" s="775">
        <f t="shared" si="0"/>
        <v>2029.05</v>
      </c>
      <c r="B470" s="3545" t="e">
        <v>#N/A</v>
      </c>
      <c r="C470" s="2791" t="e">
        <v>#N/A</v>
      </c>
    </row>
    <row r="471" spans="1:3" s="778" customFormat="1" ht="12.75" customHeight="1">
      <c r="A471" s="775">
        <f>A459+1</f>
        <v>2029.06</v>
      </c>
      <c r="B471" s="3545" t="e">
        <v>#N/A</v>
      </c>
      <c r="C471" s="2791" t="e">
        <v>#N/A</v>
      </c>
    </row>
    <row r="472" spans="1:3" s="778" customFormat="1" ht="12.75" customHeight="1">
      <c r="A472" s="775">
        <f t="shared" si="0"/>
        <v>2029.07</v>
      </c>
      <c r="B472" s="3545" t="e">
        <v>#N/A</v>
      </c>
      <c r="C472" s="2791" t="e">
        <v>#N/A</v>
      </c>
    </row>
    <row r="473" spans="1:3" s="778" customFormat="1" ht="12.75" customHeight="1">
      <c r="A473" s="775">
        <f>A461+1</f>
        <v>2029.08</v>
      </c>
      <c r="B473" s="3545" t="e">
        <v>#N/A</v>
      </c>
      <c r="C473" s="2791" t="e">
        <v>#N/A</v>
      </c>
    </row>
    <row r="474" spans="1:3" s="778" customFormat="1" ht="12.75" customHeight="1">
      <c r="A474" s="775">
        <f t="shared" si="0"/>
        <v>2029.09</v>
      </c>
      <c r="B474" s="3545" t="e">
        <v>#N/A</v>
      </c>
      <c r="C474" s="2791" t="e">
        <v>#N/A</v>
      </c>
    </row>
    <row r="475" spans="1:3" s="778" customFormat="1" ht="12.75" customHeight="1">
      <c r="A475" s="775">
        <f t="shared" si="0"/>
        <v>2029.1</v>
      </c>
      <c r="B475" s="3545" t="e">
        <v>#N/A</v>
      </c>
      <c r="C475" s="2791" t="e">
        <v>#N/A</v>
      </c>
    </row>
    <row r="476" spans="1:3" s="778" customFormat="1" ht="12.75" customHeight="1">
      <c r="A476" s="775">
        <f t="shared" si="0"/>
        <v>2029.11</v>
      </c>
      <c r="B476" s="3545" t="e">
        <v>#N/A</v>
      </c>
      <c r="C476" s="2791" t="e">
        <v>#N/A</v>
      </c>
    </row>
    <row r="477" spans="1:3" s="778" customFormat="1" ht="12.75" customHeight="1">
      <c r="A477" s="775">
        <f t="shared" si="0"/>
        <v>2029.12</v>
      </c>
      <c r="B477" s="3545" t="e">
        <v>#N/A</v>
      </c>
      <c r="C477" s="2791" t="e">
        <v>#N/A</v>
      </c>
    </row>
    <row r="478" spans="1:3" s="778" customFormat="1" ht="12.75" customHeight="1">
      <c r="A478" s="775">
        <f t="shared" si="0"/>
        <v>2030.01</v>
      </c>
      <c r="B478" s="3545" t="e">
        <v>#N/A</v>
      </c>
      <c r="C478" s="2791" t="e">
        <v>#N/A</v>
      </c>
    </row>
    <row r="479" spans="1:3" s="778" customFormat="1" ht="12.75" customHeight="1">
      <c r="A479" s="775">
        <f>A467+1</f>
        <v>2030.02</v>
      </c>
      <c r="B479" s="3545" t="e">
        <v>#N/A</v>
      </c>
      <c r="C479" s="2791" t="e">
        <v>#N/A</v>
      </c>
    </row>
    <row r="480" spans="1:3" s="778" customFormat="1" ht="12.75" customHeight="1">
      <c r="A480" s="775">
        <f t="shared" si="0"/>
        <v>2030.03</v>
      </c>
      <c r="B480" s="3545" t="e">
        <v>#N/A</v>
      </c>
      <c r="C480" s="2791" t="e">
        <v>#N/A</v>
      </c>
    </row>
    <row r="481" spans="1:3" s="778" customFormat="1" ht="12.75" customHeight="1">
      <c r="A481" s="775">
        <f t="shared" si="0"/>
        <v>2030.04</v>
      </c>
      <c r="B481" s="3545" t="e">
        <v>#N/A</v>
      </c>
      <c r="C481" s="2791" t="e">
        <v>#N/A</v>
      </c>
    </row>
    <row r="482" spans="1:3" s="778" customFormat="1" ht="12.75" customHeight="1">
      <c r="A482" s="775">
        <f t="shared" si="0"/>
        <v>2030.05</v>
      </c>
      <c r="B482" s="3545" t="e">
        <v>#N/A</v>
      </c>
      <c r="C482" s="2791" t="e">
        <v>#N/A</v>
      </c>
    </row>
    <row r="483" spans="1:3" s="778" customFormat="1" ht="12.75" customHeight="1">
      <c r="A483" s="775">
        <f t="shared" si="0"/>
        <v>2030.06</v>
      </c>
      <c r="B483" s="3545" t="e">
        <v>#N/A</v>
      </c>
      <c r="C483" s="2791" t="e">
        <v>#N/A</v>
      </c>
    </row>
    <row r="484" spans="1:3" s="778" customFormat="1" ht="12.75" customHeight="1">
      <c r="A484" s="775">
        <f t="shared" si="0"/>
        <v>2030.07</v>
      </c>
      <c r="B484" s="3545" t="e">
        <v>#N/A</v>
      </c>
      <c r="C484" s="2791" t="e">
        <v>#N/A</v>
      </c>
    </row>
    <row r="485" spans="1:3" s="778" customFormat="1" ht="12.75" customHeight="1">
      <c r="A485" s="775">
        <f>A473+1</f>
        <v>2030.08</v>
      </c>
      <c r="B485" s="3545" t="e">
        <v>#N/A</v>
      </c>
      <c r="C485" s="2791" t="e">
        <v>#N/A</v>
      </c>
    </row>
    <row r="486" spans="1:3" s="778" customFormat="1" ht="12.75" customHeight="1">
      <c r="A486" s="775">
        <f t="shared" si="0"/>
        <v>2030.09</v>
      </c>
      <c r="B486" s="3545" t="e">
        <v>#N/A</v>
      </c>
      <c r="C486" s="2791" t="e">
        <v>#N/A</v>
      </c>
    </row>
    <row r="487" spans="1:3" s="778" customFormat="1" ht="12.75" customHeight="1">
      <c r="A487" s="775">
        <f t="shared" si="0"/>
        <v>2030.1</v>
      </c>
      <c r="B487" s="3545" t="e">
        <v>#N/A</v>
      </c>
      <c r="C487" s="2791" t="e">
        <v>#N/A</v>
      </c>
    </row>
    <row r="488" spans="1:3" s="778" customFormat="1" ht="12.75" customHeight="1">
      <c r="A488" s="775">
        <f t="shared" si="0"/>
        <v>2030.11</v>
      </c>
      <c r="B488" s="3545" t="e">
        <v>#N/A</v>
      </c>
      <c r="C488" s="2791" t="e">
        <v>#N/A</v>
      </c>
    </row>
    <row r="489" spans="1:3" s="778" customFormat="1" ht="12.75" customHeight="1">
      <c r="A489" s="775">
        <f>A477+1</f>
        <v>2030.12</v>
      </c>
      <c r="B489" s="3545" t="e">
        <v>#N/A</v>
      </c>
      <c r="C489" s="2791" t="e">
        <v>#N/A</v>
      </c>
    </row>
  </sheetData>
  <hyperlinks>
    <hyperlink ref="A5" location="INDICE!A13" display="VOLVER AL INDICE" xr:uid="{00000000-0004-0000-0800-000000000000}"/>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6">
    <pageSetUpPr autoPageBreaks="0"/>
  </sheetPr>
  <dimension ref="A1:Q381"/>
  <sheetViews>
    <sheetView zoomScaleNormal="100" workbookViewId="0">
      <pane xSplit="1" ySplit="10" topLeftCell="B11" activePane="bottomRight" state="frozen"/>
      <selection pane="topRight" activeCell="B1" sqref="B1"/>
      <selection pane="bottomLeft" activeCell="A11" sqref="A11"/>
      <selection pane="bottomRight" activeCell="B11" sqref="B11"/>
    </sheetView>
  </sheetViews>
  <sheetFormatPr baseColWidth="10" defaultColWidth="11.42578125" defaultRowHeight="12.75"/>
  <cols>
    <col min="1" max="1" width="9" style="1212" customWidth="1"/>
    <col min="2" max="15" width="17" style="1213" customWidth="1"/>
    <col min="16" max="16384" width="11.42578125" style="1213"/>
  </cols>
  <sheetData>
    <row r="1" spans="1:15" s="238" customFormat="1" ht="3" customHeight="1">
      <c r="A1" s="2761"/>
      <c r="E1" s="237"/>
      <c r="G1" s="812"/>
      <c r="H1" s="809"/>
      <c r="I1" s="791"/>
      <c r="J1" s="792"/>
      <c r="K1" s="793"/>
      <c r="L1" s="794"/>
      <c r="M1" s="791"/>
      <c r="N1" s="792"/>
      <c r="O1" s="823"/>
    </row>
    <row r="2" spans="1:15" s="238" customFormat="1" ht="22.5">
      <c r="A2" s="2762" t="s">
        <v>99</v>
      </c>
      <c r="B2" s="810" t="s">
        <v>547</v>
      </c>
      <c r="C2" s="239"/>
      <c r="D2" s="239"/>
      <c r="E2" s="2792" t="s">
        <v>548</v>
      </c>
      <c r="F2" s="239"/>
      <c r="G2" s="813"/>
      <c r="H2" s="810" t="s">
        <v>549</v>
      </c>
      <c r="I2" s="239"/>
      <c r="J2" s="795"/>
      <c r="K2" s="796"/>
      <c r="L2" s="2792" t="s">
        <v>550</v>
      </c>
      <c r="M2" s="239"/>
      <c r="N2" s="795"/>
      <c r="O2" s="824"/>
    </row>
    <row r="3" spans="1:15" s="238" customFormat="1">
      <c r="A3" s="2762" t="s">
        <v>104</v>
      </c>
      <c r="B3" s="810" t="s">
        <v>551</v>
      </c>
      <c r="C3" s="239"/>
      <c r="D3" s="239"/>
      <c r="E3" s="239"/>
      <c r="F3" s="239"/>
      <c r="G3" s="813"/>
      <c r="H3" s="2792" t="s">
        <v>551</v>
      </c>
      <c r="I3" s="797"/>
      <c r="J3" s="797"/>
      <c r="K3" s="798"/>
      <c r="L3" s="2793"/>
      <c r="M3" s="797"/>
      <c r="N3" s="797"/>
      <c r="O3" s="825"/>
    </row>
    <row r="4" spans="1:15" s="238" customFormat="1" ht="9" hidden="1" customHeight="1">
      <c r="A4" s="2762"/>
      <c r="E4" s="2794"/>
      <c r="G4" s="1862"/>
      <c r="H4" s="800"/>
      <c r="I4" s="799"/>
      <c r="J4" s="800"/>
      <c r="K4" s="801"/>
      <c r="L4" s="2795"/>
      <c r="M4" s="799"/>
      <c r="N4" s="800"/>
      <c r="O4" s="826"/>
    </row>
    <row r="5" spans="1:15" s="238" customFormat="1" ht="33.75">
      <c r="A5" s="2763" t="s">
        <v>140</v>
      </c>
      <c r="B5" s="533" t="s">
        <v>552</v>
      </c>
      <c r="C5" s="540" t="s">
        <v>553</v>
      </c>
      <c r="D5" s="533" t="s">
        <v>554</v>
      </c>
      <c r="E5" s="2796" t="s">
        <v>552</v>
      </c>
      <c r="F5" s="540" t="s">
        <v>553</v>
      </c>
      <c r="G5" s="803" t="s">
        <v>554</v>
      </c>
      <c r="H5" s="533" t="s">
        <v>554</v>
      </c>
      <c r="I5" s="540" t="s">
        <v>555</v>
      </c>
      <c r="J5" s="802" t="s">
        <v>556</v>
      </c>
      <c r="K5" s="803" t="s">
        <v>557</v>
      </c>
      <c r="L5" s="2796" t="s">
        <v>554</v>
      </c>
      <c r="M5" s="540" t="s">
        <v>555</v>
      </c>
      <c r="N5" s="802" t="s">
        <v>556</v>
      </c>
      <c r="O5" s="541" t="s">
        <v>557</v>
      </c>
    </row>
    <row r="6" spans="1:15" s="238" customFormat="1">
      <c r="A6" s="2762"/>
      <c r="E6" s="237"/>
      <c r="G6" s="806"/>
      <c r="I6" s="804"/>
      <c r="J6" s="805"/>
      <c r="K6" s="806"/>
      <c r="L6" s="237"/>
      <c r="M6" s="804"/>
      <c r="N6" s="805"/>
      <c r="O6" s="244"/>
    </row>
    <row r="7" spans="1:15" s="238" customFormat="1" ht="22.5">
      <c r="A7" s="2762" t="s">
        <v>125</v>
      </c>
      <c r="B7" s="811" t="s">
        <v>126</v>
      </c>
      <c r="C7" s="788" t="s">
        <v>126</v>
      </c>
      <c r="D7" s="787" t="s">
        <v>126</v>
      </c>
      <c r="E7" s="789" t="s">
        <v>126</v>
      </c>
      <c r="F7" s="788" t="s">
        <v>126</v>
      </c>
      <c r="G7" s="814" t="s">
        <v>126</v>
      </c>
      <c r="H7" s="811" t="s">
        <v>126</v>
      </c>
      <c r="I7" s="788" t="s">
        <v>126</v>
      </c>
      <c r="J7" s="807" t="s">
        <v>126</v>
      </c>
      <c r="K7" s="803" t="s">
        <v>126</v>
      </c>
      <c r="L7" s="789" t="s">
        <v>126</v>
      </c>
      <c r="M7" s="788" t="s">
        <v>126</v>
      </c>
      <c r="N7" s="807" t="s">
        <v>126</v>
      </c>
      <c r="O7" s="541" t="s">
        <v>126</v>
      </c>
    </row>
    <row r="8" spans="1:15" s="238" customFormat="1">
      <c r="A8" s="2751" t="s">
        <v>144</v>
      </c>
      <c r="B8" s="1750" t="s">
        <v>558</v>
      </c>
      <c r="C8" s="2157" t="s">
        <v>559</v>
      </c>
      <c r="D8" s="1751" t="s">
        <v>560</v>
      </c>
      <c r="E8" s="2797" t="s">
        <v>561</v>
      </c>
      <c r="F8" s="2157" t="s">
        <v>562</v>
      </c>
      <c r="G8" s="1751" t="s">
        <v>563</v>
      </c>
      <c r="H8" s="2798" t="s">
        <v>564</v>
      </c>
      <c r="I8" s="2158" t="s">
        <v>565</v>
      </c>
      <c r="J8" s="2158" t="s">
        <v>566</v>
      </c>
      <c r="K8" s="2159" t="s">
        <v>567</v>
      </c>
      <c r="L8" s="2798" t="s">
        <v>568</v>
      </c>
      <c r="M8" s="2158" t="s">
        <v>569</v>
      </c>
      <c r="N8" s="2158" t="s">
        <v>570</v>
      </c>
      <c r="O8" s="2160" t="s">
        <v>571</v>
      </c>
    </row>
    <row r="9" spans="1:15" s="238" customFormat="1" ht="13.5" thickBot="1">
      <c r="A9" s="2140"/>
      <c r="B9" s="242"/>
      <c r="C9" s="538"/>
      <c r="D9" s="243"/>
      <c r="E9" s="242"/>
      <c r="F9" s="538"/>
      <c r="G9" s="243"/>
      <c r="H9" s="242"/>
      <c r="I9" s="538"/>
      <c r="J9" s="808"/>
      <c r="K9" s="243"/>
      <c r="L9" s="241"/>
      <c r="M9" s="538"/>
      <c r="N9" s="808"/>
      <c r="O9" s="245"/>
    </row>
    <row r="10" spans="1:15" s="238" customFormat="1">
      <c r="A10" s="1736">
        <v>2000.01</v>
      </c>
      <c r="B10" s="534"/>
      <c r="C10" s="539"/>
      <c r="D10" s="536"/>
      <c r="E10" s="534"/>
      <c r="F10" s="539"/>
      <c r="G10" s="536"/>
      <c r="H10" s="821">
        <f t="shared" ref="H10:H73" si="0">+I10+J10+K10</f>
        <v>1</v>
      </c>
      <c r="I10" s="815">
        <v>0.84145999999999999</v>
      </c>
      <c r="J10" s="816">
        <v>0.10183999999999999</v>
      </c>
      <c r="K10" s="817">
        <v>5.67E-2</v>
      </c>
      <c r="L10" s="1737"/>
      <c r="M10" s="539"/>
      <c r="N10" s="539"/>
      <c r="O10" s="1738"/>
    </row>
    <row r="11" spans="1:15" s="238" customFormat="1">
      <c r="A11" s="240">
        <v>2000.02</v>
      </c>
      <c r="B11" s="535"/>
      <c r="C11" s="3547"/>
      <c r="D11" s="537"/>
      <c r="E11" s="535"/>
      <c r="F11" s="3547"/>
      <c r="G11" s="537"/>
      <c r="H11" s="2356">
        <f t="shared" si="0"/>
        <v>1</v>
      </c>
      <c r="I11" s="819">
        <v>0.87629000000000001</v>
      </c>
      <c r="J11" s="3548">
        <v>3.8670000000000003E-2</v>
      </c>
      <c r="K11" s="2799">
        <v>8.5039999999999991E-2</v>
      </c>
      <c r="L11" s="822"/>
      <c r="M11" s="3547"/>
      <c r="N11" s="3547"/>
      <c r="O11" s="2800"/>
    </row>
    <row r="12" spans="1:15" s="238" customFormat="1">
      <c r="A12" s="240">
        <v>2000.03</v>
      </c>
      <c r="B12" s="535"/>
      <c r="C12" s="3547"/>
      <c r="D12" s="537"/>
      <c r="E12" s="535"/>
      <c r="F12" s="3547"/>
      <c r="G12" s="537"/>
      <c r="H12" s="2356">
        <f t="shared" si="0"/>
        <v>0.99999999999999989</v>
      </c>
      <c r="I12" s="819">
        <v>0.85397999999999996</v>
      </c>
      <c r="J12" s="3548">
        <v>6.1189999999999994E-2</v>
      </c>
      <c r="K12" s="2799">
        <v>8.4830000000000003E-2</v>
      </c>
      <c r="L12" s="822"/>
      <c r="M12" s="3547"/>
      <c r="N12" s="3547"/>
      <c r="O12" s="2800"/>
    </row>
    <row r="13" spans="1:15" s="238" customFormat="1">
      <c r="A13" s="240">
        <v>2000.04</v>
      </c>
      <c r="B13" s="535"/>
      <c r="C13" s="3547"/>
      <c r="D13" s="537"/>
      <c r="E13" s="535"/>
      <c r="F13" s="3547"/>
      <c r="G13" s="537"/>
      <c r="H13" s="2356">
        <f t="shared" si="0"/>
        <v>1</v>
      </c>
      <c r="I13" s="819">
        <v>0.92052999999999996</v>
      </c>
      <c r="J13" s="3548">
        <v>3.3370000000000004E-2</v>
      </c>
      <c r="K13" s="2799">
        <v>4.6100000000000002E-2</v>
      </c>
      <c r="L13" s="822"/>
      <c r="M13" s="3547"/>
      <c r="N13" s="3547"/>
      <c r="O13" s="2800"/>
    </row>
    <row r="14" spans="1:15" s="238" customFormat="1">
      <c r="A14" s="240">
        <v>2000.05</v>
      </c>
      <c r="B14" s="535"/>
      <c r="C14" s="3547"/>
      <c r="D14" s="537"/>
      <c r="E14" s="535"/>
      <c r="F14" s="3547"/>
      <c r="G14" s="537"/>
      <c r="H14" s="2356">
        <f t="shared" si="0"/>
        <v>1</v>
      </c>
      <c r="I14" s="819">
        <v>0.83848</v>
      </c>
      <c r="J14" s="3548">
        <v>5.3689999999999995E-2</v>
      </c>
      <c r="K14" s="2799">
        <v>0.10783</v>
      </c>
      <c r="L14" s="822"/>
      <c r="M14" s="3547"/>
      <c r="N14" s="3547"/>
      <c r="O14" s="2800"/>
    </row>
    <row r="15" spans="1:15" s="238" customFormat="1">
      <c r="A15" s="240">
        <v>2000.06</v>
      </c>
      <c r="B15" s="535"/>
      <c r="C15" s="3547"/>
      <c r="D15" s="537"/>
      <c r="E15" s="535"/>
      <c r="F15" s="3547"/>
      <c r="G15" s="537"/>
      <c r="H15" s="2356">
        <f t="shared" si="0"/>
        <v>1</v>
      </c>
      <c r="I15" s="819">
        <v>0.83196999999999999</v>
      </c>
      <c r="J15" s="3548">
        <v>6.9839999999999999E-2</v>
      </c>
      <c r="K15" s="2799">
        <v>9.8190000000000013E-2</v>
      </c>
      <c r="L15" s="822"/>
      <c r="M15" s="3547"/>
      <c r="N15" s="3547"/>
      <c r="O15" s="2800"/>
    </row>
    <row r="16" spans="1:15" s="238" customFormat="1">
      <c r="A16" s="240">
        <v>2000.07</v>
      </c>
      <c r="B16" s="535"/>
      <c r="C16" s="3547"/>
      <c r="D16" s="537"/>
      <c r="E16" s="535"/>
      <c r="F16" s="3547"/>
      <c r="G16" s="537"/>
      <c r="H16" s="2356">
        <f t="shared" si="0"/>
        <v>1</v>
      </c>
      <c r="I16" s="819">
        <v>0.82783000000000007</v>
      </c>
      <c r="J16" s="3548">
        <v>7.3579999999999993E-2</v>
      </c>
      <c r="K16" s="2799">
        <v>9.8589999999999997E-2</v>
      </c>
      <c r="L16" s="822"/>
      <c r="M16" s="3547"/>
      <c r="N16" s="3547"/>
      <c r="O16" s="2800"/>
    </row>
    <row r="17" spans="1:15" s="238" customFormat="1">
      <c r="A17" s="240">
        <v>2000.08</v>
      </c>
      <c r="B17" s="535"/>
      <c r="C17" s="3547"/>
      <c r="D17" s="537"/>
      <c r="E17" s="535"/>
      <c r="F17" s="3547"/>
      <c r="G17" s="537"/>
      <c r="H17" s="2356">
        <f t="shared" si="0"/>
        <v>0.99999000000000016</v>
      </c>
      <c r="I17" s="819">
        <v>0.81793000000000005</v>
      </c>
      <c r="J17" s="3548">
        <v>7.8880000000000006E-2</v>
      </c>
      <c r="K17" s="2799">
        <v>0.10317999999999999</v>
      </c>
      <c r="L17" s="822"/>
      <c r="M17" s="3547"/>
      <c r="N17" s="3547"/>
      <c r="O17" s="2800"/>
    </row>
    <row r="18" spans="1:15" s="238" customFormat="1">
      <c r="A18" s="240">
        <v>2000.09</v>
      </c>
      <c r="B18" s="535"/>
      <c r="C18" s="3547"/>
      <c r="D18" s="537"/>
      <c r="E18" s="535"/>
      <c r="F18" s="3547"/>
      <c r="G18" s="537"/>
      <c r="H18" s="2356">
        <f t="shared" si="0"/>
        <v>1</v>
      </c>
      <c r="I18" s="819">
        <v>0.79968000000000006</v>
      </c>
      <c r="J18" s="3548">
        <v>9.2669999999999988E-2</v>
      </c>
      <c r="K18" s="2799">
        <v>0.10765000000000001</v>
      </c>
      <c r="L18" s="822"/>
      <c r="M18" s="3547"/>
      <c r="N18" s="3547"/>
      <c r="O18" s="2800"/>
    </row>
    <row r="19" spans="1:15" s="238" customFormat="1">
      <c r="A19" s="240">
        <v>2000.1</v>
      </c>
      <c r="B19" s="535"/>
      <c r="C19" s="3547"/>
      <c r="D19" s="537"/>
      <c r="E19" s="535"/>
      <c r="F19" s="3547"/>
      <c r="G19" s="537"/>
      <c r="H19" s="2356">
        <f t="shared" si="0"/>
        <v>0.99999999999999989</v>
      </c>
      <c r="I19" s="819">
        <v>0.79284999999999994</v>
      </c>
      <c r="J19" s="3548">
        <v>0.11156000000000001</v>
      </c>
      <c r="K19" s="2799">
        <v>9.5589999999999994E-2</v>
      </c>
      <c r="L19" s="822"/>
      <c r="M19" s="3547"/>
      <c r="N19" s="3547"/>
      <c r="O19" s="2800"/>
    </row>
    <row r="20" spans="1:15" s="238" customFormat="1">
      <c r="A20" s="240">
        <v>2000.11</v>
      </c>
      <c r="B20" s="535"/>
      <c r="C20" s="3547"/>
      <c r="D20" s="537"/>
      <c r="E20" s="535"/>
      <c r="F20" s="3547"/>
      <c r="G20" s="537"/>
      <c r="H20" s="2356">
        <f t="shared" si="0"/>
        <v>1</v>
      </c>
      <c r="I20" s="819">
        <v>0.77891999999999995</v>
      </c>
      <c r="J20" s="3548">
        <v>0.10157999999999999</v>
      </c>
      <c r="K20" s="2799">
        <v>0.1195</v>
      </c>
      <c r="L20" s="822"/>
      <c r="M20" s="3547"/>
      <c r="N20" s="3547"/>
      <c r="O20" s="2800"/>
    </row>
    <row r="21" spans="1:15" s="238" customFormat="1">
      <c r="A21" s="240">
        <v>2000.12</v>
      </c>
      <c r="B21" s="535"/>
      <c r="C21" s="3547"/>
      <c r="D21" s="537"/>
      <c r="E21" s="535"/>
      <c r="F21" s="3547"/>
      <c r="G21" s="537"/>
      <c r="H21" s="2356">
        <f t="shared" si="0"/>
        <v>1</v>
      </c>
      <c r="I21" s="819">
        <v>0.78760000000000008</v>
      </c>
      <c r="J21" s="3548">
        <v>8.7159999999999987E-2</v>
      </c>
      <c r="K21" s="2799">
        <v>0.12523999999999999</v>
      </c>
      <c r="L21" s="822"/>
      <c r="M21" s="3547"/>
      <c r="N21" s="3547"/>
      <c r="O21" s="2800"/>
    </row>
    <row r="22" spans="1:15" s="238" customFormat="1">
      <c r="A22" s="240">
        <v>2001.01</v>
      </c>
      <c r="B22" s="535"/>
      <c r="C22" s="3547"/>
      <c r="D22" s="537"/>
      <c r="E22" s="535"/>
      <c r="F22" s="3547"/>
      <c r="G22" s="537"/>
      <c r="H22" s="2356">
        <f t="shared" si="0"/>
        <v>1</v>
      </c>
      <c r="I22" s="819">
        <v>0.82671000000000006</v>
      </c>
      <c r="J22" s="3548">
        <v>8.7750000000000009E-2</v>
      </c>
      <c r="K22" s="2799">
        <v>8.5540000000000005E-2</v>
      </c>
      <c r="L22" s="822"/>
      <c r="M22" s="3547"/>
      <c r="N22" s="3547"/>
      <c r="O22" s="2800"/>
    </row>
    <row r="23" spans="1:15" s="238" customFormat="1">
      <c r="A23" s="240">
        <v>2001.02</v>
      </c>
      <c r="B23" s="535"/>
      <c r="C23" s="3547"/>
      <c r="D23" s="537"/>
      <c r="E23" s="535"/>
      <c r="F23" s="3547"/>
      <c r="G23" s="537"/>
      <c r="H23" s="2356">
        <f t="shared" si="0"/>
        <v>1</v>
      </c>
      <c r="I23" s="819">
        <v>0.79154999999999998</v>
      </c>
      <c r="J23" s="3548">
        <v>7.5800000000000006E-2</v>
      </c>
      <c r="K23" s="2799">
        <v>0.13265000000000002</v>
      </c>
      <c r="L23" s="822"/>
      <c r="M23" s="3547"/>
      <c r="N23" s="3547"/>
      <c r="O23" s="2800"/>
    </row>
    <row r="24" spans="1:15" s="238" customFormat="1">
      <c r="A24" s="240">
        <v>2001.03</v>
      </c>
      <c r="B24" s="535"/>
      <c r="C24" s="3547"/>
      <c r="D24" s="537"/>
      <c r="E24" s="535"/>
      <c r="F24" s="3547"/>
      <c r="G24" s="537"/>
      <c r="H24" s="2356">
        <f t="shared" si="0"/>
        <v>0.99999999999999989</v>
      </c>
      <c r="I24" s="819">
        <v>0.8107899999999999</v>
      </c>
      <c r="J24" s="3548">
        <v>6.0890000000000007E-2</v>
      </c>
      <c r="K24" s="2799">
        <v>0.12832000000000002</v>
      </c>
      <c r="L24" s="822"/>
      <c r="M24" s="3547"/>
      <c r="N24" s="3547"/>
      <c r="O24" s="2800"/>
    </row>
    <row r="25" spans="1:15" s="238" customFormat="1">
      <c r="A25" s="240">
        <v>2001.04</v>
      </c>
      <c r="B25" s="535"/>
      <c r="C25" s="3547"/>
      <c r="D25" s="537"/>
      <c r="E25" s="535"/>
      <c r="F25" s="3547"/>
      <c r="G25" s="537"/>
      <c r="H25" s="2356">
        <f t="shared" si="0"/>
        <v>0.99999999999999989</v>
      </c>
      <c r="I25" s="819">
        <v>0.86356999999999995</v>
      </c>
      <c r="J25" s="3548">
        <v>4.5990000000000003E-2</v>
      </c>
      <c r="K25" s="2799">
        <v>9.0440000000000006E-2</v>
      </c>
      <c r="L25" s="822"/>
      <c r="M25" s="3547"/>
      <c r="N25" s="3547"/>
      <c r="O25" s="2800"/>
    </row>
    <row r="26" spans="1:15" s="238" customFormat="1">
      <c r="A26" s="240">
        <v>2001.05</v>
      </c>
      <c r="B26" s="535"/>
      <c r="C26" s="3547"/>
      <c r="D26" s="537"/>
      <c r="E26" s="535"/>
      <c r="F26" s="3547"/>
      <c r="G26" s="537"/>
      <c r="H26" s="2356">
        <f t="shared" si="0"/>
        <v>1.0000100000000001</v>
      </c>
      <c r="I26" s="819">
        <v>0.73784000000000005</v>
      </c>
      <c r="J26" s="3548">
        <v>4.5650000000000003E-2</v>
      </c>
      <c r="K26" s="2799">
        <v>0.21652000000000002</v>
      </c>
      <c r="L26" s="822"/>
      <c r="M26" s="3547"/>
      <c r="N26" s="3547"/>
      <c r="O26" s="2800"/>
    </row>
    <row r="27" spans="1:15" s="238" customFormat="1">
      <c r="A27" s="240">
        <v>2001.06</v>
      </c>
      <c r="B27" s="535"/>
      <c r="C27" s="3547"/>
      <c r="D27" s="537"/>
      <c r="E27" s="535"/>
      <c r="F27" s="3547"/>
      <c r="G27" s="537"/>
      <c r="H27" s="2356">
        <f t="shared" si="0"/>
        <v>1</v>
      </c>
      <c r="I27" s="819">
        <v>0.75065999999999999</v>
      </c>
      <c r="J27" s="3548">
        <v>9.512000000000001E-2</v>
      </c>
      <c r="K27" s="2799">
        <v>0.15422</v>
      </c>
      <c r="L27" s="822"/>
      <c r="M27" s="3547"/>
      <c r="N27" s="3547"/>
      <c r="O27" s="2800"/>
    </row>
    <row r="28" spans="1:15" s="238" customFormat="1">
      <c r="A28" s="240">
        <v>2001.07</v>
      </c>
      <c r="B28" s="535"/>
      <c r="C28" s="3547"/>
      <c r="D28" s="537"/>
      <c r="E28" s="535"/>
      <c r="F28" s="3547"/>
      <c r="G28" s="537"/>
      <c r="H28" s="2356">
        <f t="shared" si="0"/>
        <v>0.99999000000000005</v>
      </c>
      <c r="I28" s="819">
        <v>0.69947000000000004</v>
      </c>
      <c r="J28" s="3548">
        <v>0.10416</v>
      </c>
      <c r="K28" s="2799">
        <v>0.19635999999999998</v>
      </c>
      <c r="L28" s="822"/>
      <c r="M28" s="3547"/>
      <c r="N28" s="3547"/>
      <c r="O28" s="2800"/>
    </row>
    <row r="29" spans="1:15" s="238" customFormat="1">
      <c r="A29" s="240">
        <v>2001.08</v>
      </c>
      <c r="B29" s="535"/>
      <c r="C29" s="3547"/>
      <c r="D29" s="537"/>
      <c r="E29" s="535"/>
      <c r="F29" s="3547"/>
      <c r="G29" s="537"/>
      <c r="H29" s="2356">
        <f t="shared" si="0"/>
        <v>1</v>
      </c>
      <c r="I29" s="819">
        <v>0.78665000000000007</v>
      </c>
      <c r="J29" s="3548">
        <v>6.1490000000000003E-2</v>
      </c>
      <c r="K29" s="2799">
        <v>0.15185999999999999</v>
      </c>
      <c r="L29" s="822"/>
      <c r="M29" s="3547"/>
      <c r="N29" s="3547"/>
      <c r="O29" s="2800"/>
    </row>
    <row r="30" spans="1:15" s="238" customFormat="1">
      <c r="A30" s="240">
        <v>2001.09</v>
      </c>
      <c r="B30" s="535"/>
      <c r="C30" s="3547"/>
      <c r="D30" s="537"/>
      <c r="E30" s="535"/>
      <c r="F30" s="3547"/>
      <c r="G30" s="537"/>
      <c r="H30" s="2356">
        <f t="shared" si="0"/>
        <v>1</v>
      </c>
      <c r="I30" s="819">
        <v>0.83329999999999993</v>
      </c>
      <c r="J30" s="3548">
        <v>4.4610000000000004E-2</v>
      </c>
      <c r="K30" s="2799">
        <v>0.12208999999999999</v>
      </c>
      <c r="L30" s="822"/>
      <c r="M30" s="3547"/>
      <c r="N30" s="3547"/>
      <c r="O30" s="2800"/>
    </row>
    <row r="31" spans="1:15" s="238" customFormat="1">
      <c r="A31" s="240">
        <v>2001.1</v>
      </c>
      <c r="B31" s="535"/>
      <c r="C31" s="3547"/>
      <c r="D31" s="537"/>
      <c r="E31" s="535"/>
      <c r="F31" s="3547"/>
      <c r="G31" s="537"/>
      <c r="H31" s="2356">
        <f t="shared" si="0"/>
        <v>1.0000099999999998</v>
      </c>
      <c r="I31" s="819">
        <v>0.82453999999999994</v>
      </c>
      <c r="J31" s="3548">
        <v>6.0229999999999999E-2</v>
      </c>
      <c r="K31" s="2799">
        <v>0.11524</v>
      </c>
      <c r="L31" s="822"/>
      <c r="M31" s="3547"/>
      <c r="N31" s="3547"/>
      <c r="O31" s="2800"/>
    </row>
    <row r="32" spans="1:15" s="238" customFormat="1">
      <c r="A32" s="240">
        <v>2001.11</v>
      </c>
      <c r="B32" s="535"/>
      <c r="C32" s="3547"/>
      <c r="D32" s="537"/>
      <c r="E32" s="535"/>
      <c r="F32" s="3547"/>
      <c r="G32" s="537"/>
      <c r="H32" s="2356">
        <f t="shared" si="0"/>
        <v>0.99999999999999989</v>
      </c>
      <c r="I32" s="819">
        <v>0.75900999999999996</v>
      </c>
      <c r="J32" s="3548">
        <v>5.9950000000000003E-2</v>
      </c>
      <c r="K32" s="2799">
        <v>0.18103999999999998</v>
      </c>
      <c r="L32" s="822"/>
      <c r="M32" s="3547"/>
      <c r="N32" s="3547"/>
      <c r="O32" s="2800"/>
    </row>
    <row r="33" spans="1:15" s="238" customFormat="1">
      <c r="A33" s="240">
        <v>2001.12</v>
      </c>
      <c r="B33" s="535"/>
      <c r="C33" s="3547"/>
      <c r="D33" s="537"/>
      <c r="E33" s="535"/>
      <c r="F33" s="3547"/>
      <c r="G33" s="537"/>
      <c r="H33" s="2356">
        <f t="shared" si="0"/>
        <v>1</v>
      </c>
      <c r="I33" s="819">
        <v>0.81901000000000002</v>
      </c>
      <c r="J33" s="3548">
        <v>2.2380000000000001E-2</v>
      </c>
      <c r="K33" s="2799">
        <v>0.15861</v>
      </c>
      <c r="L33" s="822"/>
      <c r="M33" s="3547"/>
      <c r="N33" s="3547"/>
      <c r="O33" s="2800"/>
    </row>
    <row r="34" spans="1:15" s="238" customFormat="1">
      <c r="A34" s="240">
        <v>2002.01</v>
      </c>
      <c r="B34" s="535"/>
      <c r="C34" s="3547"/>
      <c r="D34" s="537"/>
      <c r="E34" s="535"/>
      <c r="F34" s="3547"/>
      <c r="G34" s="537"/>
      <c r="H34" s="2356">
        <f t="shared" si="0"/>
        <v>1</v>
      </c>
      <c r="I34" s="819">
        <v>0.65165000000000006</v>
      </c>
      <c r="J34" s="3548">
        <v>3.3610000000000001E-2</v>
      </c>
      <c r="K34" s="2799">
        <v>0.31474000000000002</v>
      </c>
      <c r="L34" s="822"/>
      <c r="M34" s="3547"/>
      <c r="N34" s="3547"/>
      <c r="O34" s="2800"/>
    </row>
    <row r="35" spans="1:15" s="238" customFormat="1">
      <c r="A35" s="240">
        <v>2002.02</v>
      </c>
      <c r="B35" s="535"/>
      <c r="C35" s="3547"/>
      <c r="D35" s="537"/>
      <c r="E35" s="535"/>
      <c r="F35" s="3547"/>
      <c r="G35" s="537"/>
      <c r="H35" s="2356">
        <f t="shared" si="0"/>
        <v>0.99999999999999989</v>
      </c>
      <c r="I35" s="819">
        <v>0.69519999999999993</v>
      </c>
      <c r="J35" s="3548">
        <v>5.5990000000000005E-2</v>
      </c>
      <c r="K35" s="2799">
        <v>0.24881</v>
      </c>
      <c r="L35" s="822"/>
      <c r="M35" s="3547"/>
      <c r="N35" s="3547"/>
      <c r="O35" s="2800"/>
    </row>
    <row r="36" spans="1:15" s="238" customFormat="1">
      <c r="A36" s="240">
        <v>2002.03</v>
      </c>
      <c r="B36" s="535"/>
      <c r="C36" s="3547"/>
      <c r="D36" s="537"/>
      <c r="E36" s="535"/>
      <c r="F36" s="3547"/>
      <c r="G36" s="537"/>
      <c r="H36" s="2356">
        <f t="shared" si="0"/>
        <v>1</v>
      </c>
      <c r="I36" s="819">
        <v>0.79921000000000009</v>
      </c>
      <c r="J36" s="3548">
        <v>2.6329999999999999E-2</v>
      </c>
      <c r="K36" s="2799">
        <v>0.17446</v>
      </c>
      <c r="L36" s="822"/>
      <c r="M36" s="3547"/>
      <c r="N36" s="3547"/>
      <c r="O36" s="2800"/>
    </row>
    <row r="37" spans="1:15" s="238" customFormat="1">
      <c r="A37" s="240">
        <v>2002.04</v>
      </c>
      <c r="B37" s="535"/>
      <c r="C37" s="3547"/>
      <c r="D37" s="537"/>
      <c r="E37" s="535"/>
      <c r="F37" s="3547"/>
      <c r="G37" s="537"/>
      <c r="H37" s="2356">
        <f t="shared" si="0"/>
        <v>1.0000100000000001</v>
      </c>
      <c r="I37" s="819">
        <v>0.81589</v>
      </c>
      <c r="J37" s="3548">
        <v>1.9870000000000002E-2</v>
      </c>
      <c r="K37" s="2799">
        <v>0.16425000000000001</v>
      </c>
      <c r="L37" s="822"/>
      <c r="M37" s="3547"/>
      <c r="N37" s="3547"/>
      <c r="O37" s="2800"/>
    </row>
    <row r="38" spans="1:15" s="238" customFormat="1">
      <c r="A38" s="240">
        <v>2002.05</v>
      </c>
      <c r="B38" s="535"/>
      <c r="C38" s="3547"/>
      <c r="D38" s="537"/>
      <c r="E38" s="535"/>
      <c r="F38" s="3547"/>
      <c r="G38" s="537"/>
      <c r="H38" s="2356">
        <f t="shared" si="0"/>
        <v>0.99999999999999989</v>
      </c>
      <c r="I38" s="819">
        <v>0.85368999999999995</v>
      </c>
      <c r="J38" s="3548">
        <v>3.5019999999999996E-2</v>
      </c>
      <c r="K38" s="2799">
        <v>0.11129</v>
      </c>
      <c r="L38" s="822"/>
      <c r="M38" s="3547"/>
      <c r="N38" s="3547"/>
      <c r="O38" s="2800"/>
    </row>
    <row r="39" spans="1:15" s="238" customFormat="1">
      <c r="A39" s="240">
        <v>2002.06</v>
      </c>
      <c r="B39" s="535"/>
      <c r="C39" s="3547"/>
      <c r="D39" s="537"/>
      <c r="E39" s="535"/>
      <c r="F39" s="3547"/>
      <c r="G39" s="537"/>
      <c r="H39" s="2356">
        <f t="shared" si="0"/>
        <v>0.99999000000000005</v>
      </c>
      <c r="I39" s="819">
        <v>0.87934000000000001</v>
      </c>
      <c r="J39" s="3548">
        <v>1.678E-2</v>
      </c>
      <c r="K39" s="2799">
        <v>0.10387</v>
      </c>
      <c r="L39" s="822"/>
      <c r="M39" s="3547"/>
      <c r="N39" s="3547"/>
      <c r="O39" s="2800"/>
    </row>
    <row r="40" spans="1:15" s="238" customFormat="1">
      <c r="A40" s="240">
        <v>2002.07</v>
      </c>
      <c r="B40" s="535"/>
      <c r="C40" s="3547"/>
      <c r="D40" s="537"/>
      <c r="E40" s="535"/>
      <c r="F40" s="3547"/>
      <c r="G40" s="537"/>
      <c r="H40" s="2356">
        <f t="shared" si="0"/>
        <v>1</v>
      </c>
      <c r="I40" s="819">
        <v>0.86111000000000004</v>
      </c>
      <c r="J40" s="3548">
        <v>6.4610000000000001E-2</v>
      </c>
      <c r="K40" s="2799">
        <v>7.4279999999999999E-2</v>
      </c>
      <c r="L40" s="822"/>
      <c r="M40" s="3547"/>
      <c r="N40" s="3547"/>
      <c r="O40" s="2800"/>
    </row>
    <row r="41" spans="1:15" s="238" customFormat="1">
      <c r="A41" s="240">
        <v>2002.08</v>
      </c>
      <c r="B41" s="535"/>
      <c r="C41" s="3547"/>
      <c r="D41" s="537"/>
      <c r="E41" s="535"/>
      <c r="F41" s="3547"/>
      <c r="G41" s="537"/>
      <c r="H41" s="2356">
        <f t="shared" si="0"/>
        <v>1</v>
      </c>
      <c r="I41" s="819">
        <v>0.90233999999999992</v>
      </c>
      <c r="J41" s="3548">
        <v>1.8189999999999998E-2</v>
      </c>
      <c r="K41" s="2799">
        <v>7.9469999999999999E-2</v>
      </c>
      <c r="L41" s="822"/>
      <c r="M41" s="3547"/>
      <c r="N41" s="3547"/>
      <c r="O41" s="2800"/>
    </row>
    <row r="42" spans="1:15" s="238" customFormat="1">
      <c r="A42" s="240">
        <v>2002.09</v>
      </c>
      <c r="B42" s="535"/>
      <c r="C42" s="3547"/>
      <c r="D42" s="537"/>
      <c r="E42" s="535"/>
      <c r="F42" s="3547"/>
      <c r="G42" s="537"/>
      <c r="H42" s="2356">
        <f t="shared" si="0"/>
        <v>1</v>
      </c>
      <c r="I42" s="819">
        <v>0.89555000000000007</v>
      </c>
      <c r="J42" s="3548">
        <v>3.3599999999999998E-2</v>
      </c>
      <c r="K42" s="2799">
        <v>7.0849999999999996E-2</v>
      </c>
      <c r="L42" s="822"/>
      <c r="M42" s="3547"/>
      <c r="N42" s="3547"/>
      <c r="O42" s="2800"/>
    </row>
    <row r="43" spans="1:15" s="238" customFormat="1">
      <c r="A43" s="240">
        <v>2002.1</v>
      </c>
      <c r="B43" s="535"/>
      <c r="C43" s="3547"/>
      <c r="D43" s="537"/>
      <c r="E43" s="535"/>
      <c r="F43" s="3547"/>
      <c r="G43" s="537"/>
      <c r="H43" s="2356">
        <f t="shared" si="0"/>
        <v>0.99999999999999989</v>
      </c>
      <c r="I43" s="819">
        <v>0.88650999999999991</v>
      </c>
      <c r="J43" s="3548">
        <v>6.8460000000000007E-2</v>
      </c>
      <c r="K43" s="2799">
        <v>4.5030000000000001E-2</v>
      </c>
      <c r="L43" s="822"/>
      <c r="M43" s="3547"/>
      <c r="N43" s="3547"/>
      <c r="O43" s="2800"/>
    </row>
    <row r="44" spans="1:15" s="238" customFormat="1">
      <c r="A44" s="240">
        <v>2002.11</v>
      </c>
      <c r="B44" s="535"/>
      <c r="C44" s="3547"/>
      <c r="D44" s="537"/>
      <c r="E44" s="535"/>
      <c r="F44" s="3547"/>
      <c r="G44" s="537"/>
      <c r="H44" s="2356">
        <f t="shared" si="0"/>
        <v>1</v>
      </c>
      <c r="I44" s="819">
        <v>0.89056000000000002</v>
      </c>
      <c r="J44" s="3548">
        <v>8.0090000000000008E-2</v>
      </c>
      <c r="K44" s="2799">
        <v>2.9350000000000001E-2</v>
      </c>
      <c r="L44" s="822"/>
      <c r="M44" s="3547"/>
      <c r="N44" s="3547"/>
      <c r="O44" s="2800"/>
    </row>
    <row r="45" spans="1:15" s="238" customFormat="1">
      <c r="A45" s="240">
        <v>2002.12</v>
      </c>
      <c r="B45" s="535"/>
      <c r="C45" s="3547"/>
      <c r="D45" s="537"/>
      <c r="E45" s="535"/>
      <c r="F45" s="3547"/>
      <c r="G45" s="537"/>
      <c r="H45" s="2356">
        <f t="shared" si="0"/>
        <v>1</v>
      </c>
      <c r="I45" s="819">
        <v>0.86112</v>
      </c>
      <c r="J45" s="3548">
        <v>6.973E-2</v>
      </c>
      <c r="K45" s="2799">
        <v>6.9150000000000003E-2</v>
      </c>
      <c r="L45" s="822"/>
      <c r="M45" s="3547"/>
      <c r="N45" s="3547"/>
      <c r="O45" s="2800"/>
    </row>
    <row r="46" spans="1:15" s="238" customFormat="1">
      <c r="A46" s="240">
        <v>2003.01</v>
      </c>
      <c r="B46" s="535"/>
      <c r="C46" s="3547"/>
      <c r="D46" s="537"/>
      <c r="E46" s="535"/>
      <c r="F46" s="3547"/>
      <c r="G46" s="537"/>
      <c r="H46" s="2356">
        <f t="shared" si="0"/>
        <v>1</v>
      </c>
      <c r="I46" s="819">
        <v>0.87458000000000002</v>
      </c>
      <c r="J46" s="3548">
        <v>9.443E-2</v>
      </c>
      <c r="K46" s="2799">
        <v>3.0990000000000004E-2</v>
      </c>
      <c r="L46" s="822"/>
      <c r="M46" s="3547"/>
      <c r="N46" s="3547"/>
      <c r="O46" s="2800"/>
    </row>
    <row r="47" spans="1:15" s="238" customFormat="1">
      <c r="A47" s="240">
        <v>2003.02</v>
      </c>
      <c r="B47" s="535"/>
      <c r="C47" s="3547"/>
      <c r="D47" s="537"/>
      <c r="E47" s="535"/>
      <c r="F47" s="3547"/>
      <c r="G47" s="537"/>
      <c r="H47" s="2356">
        <f t="shared" si="0"/>
        <v>0.99999999999999989</v>
      </c>
      <c r="I47" s="819">
        <v>0.82590999999999992</v>
      </c>
      <c r="J47" s="3548">
        <v>0.10949999999999999</v>
      </c>
      <c r="K47" s="2799">
        <v>6.4589999999999995E-2</v>
      </c>
      <c r="L47" s="822"/>
      <c r="M47" s="3547"/>
      <c r="N47" s="3547"/>
      <c r="O47" s="2800"/>
    </row>
    <row r="48" spans="1:15" s="238" customFormat="1">
      <c r="A48" s="240">
        <v>2003.03</v>
      </c>
      <c r="B48" s="535"/>
      <c r="C48" s="3547"/>
      <c r="D48" s="537"/>
      <c r="E48" s="535"/>
      <c r="F48" s="3547"/>
      <c r="G48" s="537"/>
      <c r="H48" s="2356">
        <f t="shared" si="0"/>
        <v>0.99998999999999993</v>
      </c>
      <c r="I48" s="819">
        <v>0.8494799999999999</v>
      </c>
      <c r="J48" s="3548">
        <v>0.11349000000000001</v>
      </c>
      <c r="K48" s="2799">
        <v>3.7019999999999997E-2</v>
      </c>
      <c r="L48" s="822"/>
      <c r="M48" s="3547"/>
      <c r="N48" s="3547"/>
      <c r="O48" s="2800"/>
    </row>
    <row r="49" spans="1:15" s="238" customFormat="1">
      <c r="A49" s="240">
        <v>2003.04</v>
      </c>
      <c r="B49" s="535"/>
      <c r="C49" s="3547"/>
      <c r="D49" s="537"/>
      <c r="E49" s="535"/>
      <c r="F49" s="3547"/>
      <c r="G49" s="537"/>
      <c r="H49" s="2356">
        <f t="shared" si="0"/>
        <v>0.99999999999999989</v>
      </c>
      <c r="I49" s="819">
        <v>0.89575999999999989</v>
      </c>
      <c r="J49" s="3548">
        <v>7.2300000000000003E-2</v>
      </c>
      <c r="K49" s="2799">
        <v>3.1939999999999996E-2</v>
      </c>
      <c r="L49" s="822"/>
      <c r="M49" s="3547"/>
      <c r="N49" s="3547"/>
      <c r="O49" s="2800"/>
    </row>
    <row r="50" spans="1:15" s="238" customFormat="1">
      <c r="A50" s="240">
        <v>2003.05</v>
      </c>
      <c r="B50" s="535"/>
      <c r="C50" s="3547"/>
      <c r="D50" s="537"/>
      <c r="E50" s="535"/>
      <c r="F50" s="3547"/>
      <c r="G50" s="537"/>
      <c r="H50" s="2356">
        <f t="shared" si="0"/>
        <v>1</v>
      </c>
      <c r="I50" s="819">
        <v>0.86900999999999995</v>
      </c>
      <c r="J50" s="3548">
        <v>8.4330000000000002E-2</v>
      </c>
      <c r="K50" s="2799">
        <v>4.6660000000000007E-2</v>
      </c>
      <c r="L50" s="822"/>
      <c r="M50" s="3547"/>
      <c r="N50" s="3547"/>
      <c r="O50" s="2800"/>
    </row>
    <row r="51" spans="1:15" s="238" customFormat="1">
      <c r="A51" s="240">
        <v>2003.06</v>
      </c>
      <c r="B51" s="535"/>
      <c r="C51" s="3547"/>
      <c r="D51" s="537"/>
      <c r="E51" s="535"/>
      <c r="F51" s="3547"/>
      <c r="G51" s="537"/>
      <c r="H51" s="2356">
        <f t="shared" si="0"/>
        <v>1</v>
      </c>
      <c r="I51" s="819">
        <v>0.87104999999999999</v>
      </c>
      <c r="J51" s="3548">
        <v>8.3089999999999997E-2</v>
      </c>
      <c r="K51" s="2799">
        <v>4.5860000000000005E-2</v>
      </c>
      <c r="L51" s="822"/>
      <c r="M51" s="3547"/>
      <c r="N51" s="3547"/>
      <c r="O51" s="2800"/>
    </row>
    <row r="52" spans="1:15" s="238" customFormat="1">
      <c r="A52" s="240">
        <v>2003.07</v>
      </c>
      <c r="B52" s="535"/>
      <c r="C52" s="3547"/>
      <c r="D52" s="537"/>
      <c r="E52" s="535"/>
      <c r="F52" s="3547"/>
      <c r="G52" s="537"/>
      <c r="H52" s="2356">
        <f t="shared" si="0"/>
        <v>1</v>
      </c>
      <c r="I52" s="819">
        <v>0.82245999999999997</v>
      </c>
      <c r="J52" s="3548">
        <v>0.15032000000000001</v>
      </c>
      <c r="K52" s="2799">
        <v>2.7220000000000001E-2</v>
      </c>
      <c r="L52" s="822"/>
      <c r="M52" s="3547"/>
      <c r="N52" s="3547"/>
      <c r="O52" s="2800"/>
    </row>
    <row r="53" spans="1:15" s="238" customFormat="1">
      <c r="A53" s="240">
        <v>2003.08</v>
      </c>
      <c r="B53" s="535"/>
      <c r="C53" s="3547"/>
      <c r="D53" s="537"/>
      <c r="E53" s="535"/>
      <c r="F53" s="3547"/>
      <c r="G53" s="537"/>
      <c r="H53" s="2356">
        <f t="shared" si="0"/>
        <v>0.99999999999999989</v>
      </c>
      <c r="I53" s="819">
        <v>0.83451999999999993</v>
      </c>
      <c r="J53" s="3548">
        <v>0.1356</v>
      </c>
      <c r="K53" s="2799">
        <v>2.988E-2</v>
      </c>
      <c r="L53" s="822"/>
      <c r="M53" s="3547"/>
      <c r="N53" s="3547"/>
      <c r="O53" s="2800"/>
    </row>
    <row r="54" spans="1:15" s="238" customFormat="1">
      <c r="A54" s="240">
        <v>2003.09</v>
      </c>
      <c r="B54" s="535"/>
      <c r="C54" s="3547"/>
      <c r="D54" s="537"/>
      <c r="E54" s="535"/>
      <c r="F54" s="3547"/>
      <c r="G54" s="537"/>
      <c r="H54" s="2356">
        <f t="shared" si="0"/>
        <v>1.0000100000000001</v>
      </c>
      <c r="I54" s="819">
        <v>0.86296000000000006</v>
      </c>
      <c r="J54" s="3548">
        <v>0.12086999999999999</v>
      </c>
      <c r="K54" s="2799">
        <v>1.618E-2</v>
      </c>
      <c r="L54" s="822"/>
      <c r="M54" s="3547"/>
      <c r="N54" s="3547"/>
      <c r="O54" s="2800"/>
    </row>
    <row r="55" spans="1:15" s="238" customFormat="1">
      <c r="A55" s="240">
        <v>2003.1</v>
      </c>
      <c r="B55" s="535"/>
      <c r="C55" s="3547"/>
      <c r="D55" s="537"/>
      <c r="E55" s="535"/>
      <c r="F55" s="3547"/>
      <c r="G55" s="537"/>
      <c r="H55" s="2356">
        <f t="shared" si="0"/>
        <v>1</v>
      </c>
      <c r="I55" s="819">
        <v>0.85668999999999995</v>
      </c>
      <c r="J55" s="3548">
        <v>0.11343</v>
      </c>
      <c r="K55" s="2799">
        <v>2.988E-2</v>
      </c>
      <c r="L55" s="822"/>
      <c r="M55" s="3547"/>
      <c r="N55" s="3547"/>
      <c r="O55" s="2800"/>
    </row>
    <row r="56" spans="1:15" s="238" customFormat="1">
      <c r="A56" s="240">
        <v>2003.11</v>
      </c>
      <c r="B56" s="535"/>
      <c r="C56" s="3547"/>
      <c r="D56" s="537"/>
      <c r="E56" s="535"/>
      <c r="F56" s="3547"/>
      <c r="G56" s="537"/>
      <c r="H56" s="2356">
        <f t="shared" si="0"/>
        <v>1</v>
      </c>
      <c r="I56" s="819">
        <v>0.81589</v>
      </c>
      <c r="J56" s="3548">
        <v>0.13244</v>
      </c>
      <c r="K56" s="2799">
        <v>5.1670000000000001E-2</v>
      </c>
      <c r="L56" s="822"/>
      <c r="M56" s="3547"/>
      <c r="N56" s="3547"/>
      <c r="O56" s="2800"/>
    </row>
    <row r="57" spans="1:15" s="238" customFormat="1">
      <c r="A57" s="240">
        <v>2003.12</v>
      </c>
      <c r="B57" s="535"/>
      <c r="C57" s="3547"/>
      <c r="D57" s="537"/>
      <c r="E57" s="535"/>
      <c r="F57" s="3547"/>
      <c r="G57" s="537"/>
      <c r="H57" s="2356">
        <f t="shared" si="0"/>
        <v>1</v>
      </c>
      <c r="I57" s="819">
        <v>0.85367999999999999</v>
      </c>
      <c r="J57" s="3548">
        <v>0.11090999999999999</v>
      </c>
      <c r="K57" s="2799">
        <v>3.5409999999999997E-2</v>
      </c>
      <c r="L57" s="822"/>
      <c r="M57" s="3547"/>
      <c r="N57" s="3547"/>
      <c r="O57" s="2800"/>
    </row>
    <row r="58" spans="1:15" s="238" customFormat="1">
      <c r="A58" s="240">
        <v>2004.01</v>
      </c>
      <c r="B58" s="535"/>
      <c r="C58" s="3547"/>
      <c r="D58" s="537"/>
      <c r="E58" s="535"/>
      <c r="F58" s="3547"/>
      <c r="G58" s="537"/>
      <c r="H58" s="2356">
        <f t="shared" si="0"/>
        <v>0.99998999999999993</v>
      </c>
      <c r="I58" s="819">
        <v>0.82602999999999993</v>
      </c>
      <c r="J58" s="3548">
        <v>0.13833999999999999</v>
      </c>
      <c r="K58" s="2799">
        <v>3.5619999999999999E-2</v>
      </c>
      <c r="L58" s="822"/>
      <c r="M58" s="3547"/>
      <c r="N58" s="3547"/>
      <c r="O58" s="2800"/>
    </row>
    <row r="59" spans="1:15" s="238" customFormat="1">
      <c r="A59" s="240">
        <v>2004.02</v>
      </c>
      <c r="B59" s="535"/>
      <c r="C59" s="3547"/>
      <c r="D59" s="537"/>
      <c r="E59" s="535"/>
      <c r="F59" s="3547"/>
      <c r="G59" s="537"/>
      <c r="H59" s="2356">
        <f t="shared" si="0"/>
        <v>1</v>
      </c>
      <c r="I59" s="819">
        <v>0.88655000000000006</v>
      </c>
      <c r="J59" s="3548">
        <v>0.10253</v>
      </c>
      <c r="K59" s="2799">
        <v>1.0920000000000001E-2</v>
      </c>
      <c r="L59" s="822"/>
      <c r="M59" s="3547"/>
      <c r="N59" s="3547"/>
      <c r="O59" s="2800"/>
    </row>
    <row r="60" spans="1:15" s="238" customFormat="1">
      <c r="A60" s="240">
        <v>2004.03</v>
      </c>
      <c r="B60" s="535"/>
      <c r="C60" s="3547"/>
      <c r="D60" s="537"/>
      <c r="E60" s="535"/>
      <c r="F60" s="3547"/>
      <c r="G60" s="537"/>
      <c r="H60" s="2356">
        <f t="shared" si="0"/>
        <v>1</v>
      </c>
      <c r="I60" s="819">
        <v>0.89161000000000001</v>
      </c>
      <c r="J60" s="3548">
        <v>0.10003000000000001</v>
      </c>
      <c r="K60" s="2799">
        <v>8.3599999999999994E-3</v>
      </c>
      <c r="L60" s="822"/>
      <c r="M60" s="3547"/>
      <c r="N60" s="3547"/>
      <c r="O60" s="2800"/>
    </row>
    <row r="61" spans="1:15" s="238" customFormat="1">
      <c r="A61" s="240">
        <v>2004.04</v>
      </c>
      <c r="B61" s="535"/>
      <c r="C61" s="3547"/>
      <c r="D61" s="537"/>
      <c r="E61" s="535"/>
      <c r="F61" s="3547"/>
      <c r="G61" s="537"/>
      <c r="H61" s="2356">
        <f t="shared" si="0"/>
        <v>1</v>
      </c>
      <c r="I61" s="819">
        <v>0.91712000000000005</v>
      </c>
      <c r="J61" s="3548">
        <v>5.8349999999999999E-2</v>
      </c>
      <c r="K61" s="2799">
        <v>2.453E-2</v>
      </c>
      <c r="L61" s="822"/>
      <c r="M61" s="3547"/>
      <c r="N61" s="3547"/>
      <c r="O61" s="2800"/>
    </row>
    <row r="62" spans="1:15" s="238" customFormat="1">
      <c r="A62" s="240">
        <v>2004.05</v>
      </c>
      <c r="B62" s="535"/>
      <c r="C62" s="3547"/>
      <c r="D62" s="537"/>
      <c r="E62" s="535"/>
      <c r="F62" s="3547"/>
      <c r="G62" s="537"/>
      <c r="H62" s="2356">
        <f t="shared" si="0"/>
        <v>0.99998999999999993</v>
      </c>
      <c r="I62" s="819">
        <v>0.86671999999999993</v>
      </c>
      <c r="J62" s="3548">
        <v>8.8510000000000005E-2</v>
      </c>
      <c r="K62" s="2799">
        <v>4.4760000000000001E-2</v>
      </c>
      <c r="L62" s="822"/>
      <c r="M62" s="3547"/>
      <c r="N62" s="3547"/>
      <c r="O62" s="2800"/>
    </row>
    <row r="63" spans="1:15" s="238" customFormat="1">
      <c r="A63" s="240">
        <v>2004.06</v>
      </c>
      <c r="B63" s="535"/>
      <c r="C63" s="3547"/>
      <c r="D63" s="537"/>
      <c r="E63" s="535"/>
      <c r="F63" s="3547"/>
      <c r="G63" s="818"/>
      <c r="H63" s="2356">
        <f t="shared" si="0"/>
        <v>1</v>
      </c>
      <c r="I63" s="819">
        <v>0.88861999999999997</v>
      </c>
      <c r="J63" s="3548">
        <v>8.9019999999999988E-2</v>
      </c>
      <c r="K63" s="2799">
        <v>2.2360000000000001E-2</v>
      </c>
      <c r="L63" s="818"/>
      <c r="M63" s="3547"/>
      <c r="N63" s="818"/>
      <c r="O63" s="2800"/>
    </row>
    <row r="64" spans="1:15" s="238" customFormat="1">
      <c r="A64" s="240">
        <v>2004.07</v>
      </c>
      <c r="B64" s="535"/>
      <c r="C64" s="3547"/>
      <c r="D64" s="537"/>
      <c r="E64" s="535"/>
      <c r="F64" s="3547"/>
      <c r="G64" s="818"/>
      <c r="H64" s="2356">
        <f t="shared" si="0"/>
        <v>0.99998999999999993</v>
      </c>
      <c r="I64" s="819">
        <v>0.89878000000000002</v>
      </c>
      <c r="J64" s="3548">
        <v>8.0169999999999991E-2</v>
      </c>
      <c r="K64" s="2799">
        <v>2.104E-2</v>
      </c>
      <c r="L64" s="535"/>
      <c r="M64" s="3547"/>
      <c r="N64" s="818"/>
      <c r="O64" s="2800"/>
    </row>
    <row r="65" spans="1:15" s="238" customFormat="1">
      <c r="A65" s="240">
        <v>2004.08</v>
      </c>
      <c r="B65" s="535"/>
      <c r="C65" s="3547"/>
      <c r="D65" s="537"/>
      <c r="E65" s="535"/>
      <c r="F65" s="3547"/>
      <c r="G65" s="818"/>
      <c r="H65" s="2356">
        <f t="shared" si="0"/>
        <v>0.99999999999999989</v>
      </c>
      <c r="I65" s="819">
        <v>0.84767999999999999</v>
      </c>
      <c r="J65" s="3548">
        <v>0.13299</v>
      </c>
      <c r="K65" s="2799">
        <v>1.933E-2</v>
      </c>
      <c r="L65" s="535"/>
      <c r="M65" s="3547"/>
      <c r="N65" s="818"/>
      <c r="O65" s="2800"/>
    </row>
    <row r="66" spans="1:15" s="238" customFormat="1">
      <c r="A66" s="240">
        <v>2004.09</v>
      </c>
      <c r="B66" s="535"/>
      <c r="C66" s="3547"/>
      <c r="D66" s="537"/>
      <c r="E66" s="535"/>
      <c r="F66" s="3547"/>
      <c r="G66" s="818"/>
      <c r="H66" s="2356">
        <f t="shared" si="0"/>
        <v>1</v>
      </c>
      <c r="I66" s="819">
        <v>0.91189999999999993</v>
      </c>
      <c r="J66" s="3548">
        <v>8.4739999999999996E-2</v>
      </c>
      <c r="K66" s="2799">
        <v>3.3600000000000001E-3</v>
      </c>
      <c r="L66" s="535"/>
      <c r="M66" s="3547"/>
      <c r="N66" s="818"/>
      <c r="O66" s="2800"/>
    </row>
    <row r="67" spans="1:15" s="238" customFormat="1">
      <c r="A67" s="240">
        <v>2004.1</v>
      </c>
      <c r="B67" s="535"/>
      <c r="C67" s="3547"/>
      <c r="D67" s="537"/>
      <c r="E67" s="535"/>
      <c r="F67" s="3547"/>
      <c r="G67" s="818"/>
      <c r="H67" s="2356">
        <f t="shared" si="0"/>
        <v>1.0000099999999998</v>
      </c>
      <c r="I67" s="819">
        <v>0.85948999999999998</v>
      </c>
      <c r="J67" s="3548">
        <v>0.11747</v>
      </c>
      <c r="K67" s="2799">
        <v>2.3050000000000001E-2</v>
      </c>
      <c r="L67" s="535"/>
      <c r="M67" s="3547"/>
      <c r="N67" s="818"/>
      <c r="O67" s="2800"/>
    </row>
    <row r="68" spans="1:15" s="238" customFormat="1">
      <c r="A68" s="240">
        <v>2004.11</v>
      </c>
      <c r="B68" s="535"/>
      <c r="C68" s="3547"/>
      <c r="D68" s="537"/>
      <c r="E68" s="535"/>
      <c r="F68" s="3547"/>
      <c r="G68" s="818"/>
      <c r="H68" s="2356">
        <f t="shared" si="0"/>
        <v>1</v>
      </c>
      <c r="I68" s="819">
        <v>0.89165000000000005</v>
      </c>
      <c r="J68" s="3548">
        <v>8.2959999999999992E-2</v>
      </c>
      <c r="K68" s="2799">
        <v>2.5390000000000003E-2</v>
      </c>
      <c r="L68" s="535"/>
      <c r="M68" s="3547"/>
      <c r="N68" s="818"/>
      <c r="O68" s="2800"/>
    </row>
    <row r="69" spans="1:15" s="238" customFormat="1">
      <c r="A69" s="240">
        <v>2004.12</v>
      </c>
      <c r="B69" s="535"/>
      <c r="C69" s="3547"/>
      <c r="D69" s="537"/>
      <c r="E69" s="535"/>
      <c r="F69" s="3547"/>
      <c r="G69" s="818"/>
      <c r="H69" s="2356">
        <f t="shared" si="0"/>
        <v>1</v>
      </c>
      <c r="I69" s="819">
        <v>0.88043000000000005</v>
      </c>
      <c r="J69" s="3548">
        <v>7.6799999999999993E-2</v>
      </c>
      <c r="K69" s="2799">
        <v>4.2770000000000002E-2</v>
      </c>
      <c r="L69" s="535"/>
      <c r="M69" s="3547"/>
      <c r="N69" s="818"/>
      <c r="O69" s="2800"/>
    </row>
    <row r="70" spans="1:15" s="238" customFormat="1">
      <c r="A70" s="240">
        <v>2005.01</v>
      </c>
      <c r="B70" s="535"/>
      <c r="C70" s="3547"/>
      <c r="D70" s="537"/>
      <c r="E70" s="535"/>
      <c r="F70" s="3547"/>
      <c r="G70" s="818"/>
      <c r="H70" s="2356">
        <f t="shared" si="0"/>
        <v>0.99999999999999989</v>
      </c>
      <c r="I70" s="819">
        <v>0.86950999999999989</v>
      </c>
      <c r="J70" s="3548">
        <v>8.1159999999999996E-2</v>
      </c>
      <c r="K70" s="2799">
        <v>4.9329999999999999E-2</v>
      </c>
      <c r="L70" s="535"/>
      <c r="M70" s="3547"/>
      <c r="N70" s="818"/>
      <c r="O70" s="2800"/>
    </row>
    <row r="71" spans="1:15" s="238" customFormat="1">
      <c r="A71" s="240">
        <v>2005.02</v>
      </c>
      <c r="B71" s="535"/>
      <c r="C71" s="3547"/>
      <c r="D71" s="537"/>
      <c r="E71" s="535"/>
      <c r="F71" s="3547"/>
      <c r="G71" s="818"/>
      <c r="H71" s="2356">
        <f t="shared" si="0"/>
        <v>0.99999999999999989</v>
      </c>
      <c r="I71" s="819">
        <v>0.80110602931716801</v>
      </c>
      <c r="J71" s="3548">
        <v>0.15143989264497648</v>
      </c>
      <c r="K71" s="2799">
        <v>4.7454078037855431E-2</v>
      </c>
      <c r="L71" s="535"/>
      <c r="M71" s="3547"/>
      <c r="N71" s="818"/>
      <c r="O71" s="2800"/>
    </row>
    <row r="72" spans="1:15" s="238" customFormat="1">
      <c r="A72" s="240">
        <v>2005.03</v>
      </c>
      <c r="B72" s="535"/>
      <c r="C72" s="3547"/>
      <c r="D72" s="537"/>
      <c r="E72" s="535"/>
      <c r="F72" s="3547"/>
      <c r="G72" s="818"/>
      <c r="H72" s="2356">
        <f t="shared" si="0"/>
        <v>1</v>
      </c>
      <c r="I72" s="819">
        <v>0.82647992296144612</v>
      </c>
      <c r="J72" s="3548">
        <v>0.1083650517130475</v>
      </c>
      <c r="K72" s="2799">
        <v>6.5155025325506474E-2</v>
      </c>
      <c r="L72" s="535"/>
      <c r="M72" s="3547"/>
      <c r="N72" s="818"/>
      <c r="O72" s="2800"/>
    </row>
    <row r="73" spans="1:15" s="238" customFormat="1">
      <c r="A73" s="240">
        <v>2005.04</v>
      </c>
      <c r="B73" s="535"/>
      <c r="C73" s="3547"/>
      <c r="D73" s="537"/>
      <c r="E73" s="535"/>
      <c r="F73" s="3547"/>
      <c r="G73" s="818"/>
      <c r="H73" s="2356">
        <f t="shared" si="0"/>
        <v>0.99999999999999989</v>
      </c>
      <c r="I73" s="819">
        <v>0.87111586615652536</v>
      </c>
      <c r="J73" s="3548">
        <v>7.9852625053181109E-2</v>
      </c>
      <c r="K73" s="2799">
        <v>4.9031508790293436E-2</v>
      </c>
      <c r="L73" s="535"/>
      <c r="M73" s="3547"/>
      <c r="N73" s="818"/>
      <c r="O73" s="2800"/>
    </row>
    <row r="74" spans="1:15" s="238" customFormat="1">
      <c r="A74" s="240">
        <v>2005.05</v>
      </c>
      <c r="B74" s="535"/>
      <c r="C74" s="3547"/>
      <c r="D74" s="537"/>
      <c r="E74" s="535"/>
      <c r="F74" s="3547"/>
      <c r="G74" s="818"/>
      <c r="H74" s="2356">
        <f t="shared" ref="H74:H137" si="1">+I74+J74+K74</f>
        <v>1</v>
      </c>
      <c r="I74" s="819">
        <v>0.84550486431775662</v>
      </c>
      <c r="J74" s="3548">
        <v>0.11564816801565088</v>
      </c>
      <c r="K74" s="2799">
        <v>3.8846967666592548E-2</v>
      </c>
      <c r="L74" s="535"/>
      <c r="M74" s="3547"/>
      <c r="N74" s="818"/>
      <c r="O74" s="2800"/>
    </row>
    <row r="75" spans="1:15" s="238" customFormat="1">
      <c r="A75" s="240">
        <v>2005.06</v>
      </c>
      <c r="B75" s="535"/>
      <c r="C75" s="3547"/>
      <c r="D75" s="537"/>
      <c r="E75" s="535"/>
      <c r="F75" s="3547"/>
      <c r="G75" s="818"/>
      <c r="H75" s="2356">
        <f t="shared" si="1"/>
        <v>0.99999999999999989</v>
      </c>
      <c r="I75" s="819">
        <v>0.89456985347081641</v>
      </c>
      <c r="J75" s="3548">
        <v>7.9960745085485271E-2</v>
      </c>
      <c r="K75" s="2799">
        <v>2.5469401443698244E-2</v>
      </c>
      <c r="L75" s="535"/>
      <c r="M75" s="3547"/>
      <c r="N75" s="818"/>
      <c r="O75" s="2800"/>
    </row>
    <row r="76" spans="1:15" s="238" customFormat="1">
      <c r="A76" s="240">
        <v>2005.07</v>
      </c>
      <c r="B76" s="535"/>
      <c r="C76" s="3547"/>
      <c r="D76" s="537"/>
      <c r="E76" s="535"/>
      <c r="F76" s="3547"/>
      <c r="G76" s="818"/>
      <c r="H76" s="2356">
        <f t="shared" si="1"/>
        <v>1</v>
      </c>
      <c r="I76" s="819">
        <v>0.86505933460237339</v>
      </c>
      <c r="J76" s="3548">
        <v>0.11344930453797217</v>
      </c>
      <c r="K76" s="2799">
        <v>2.1491360859654432E-2</v>
      </c>
      <c r="L76" s="535"/>
      <c r="M76" s="3547"/>
      <c r="N76" s="818"/>
      <c r="O76" s="2800"/>
    </row>
    <row r="77" spans="1:15" s="238" customFormat="1">
      <c r="A77" s="240">
        <v>2005.08</v>
      </c>
      <c r="B77" s="535"/>
      <c r="C77" s="3547"/>
      <c r="D77" s="537"/>
      <c r="E77" s="535"/>
      <c r="F77" s="3547"/>
      <c r="G77" s="818"/>
      <c r="H77" s="2356">
        <f t="shared" si="1"/>
        <v>1</v>
      </c>
      <c r="I77" s="819">
        <v>0.83032975093559513</v>
      </c>
      <c r="J77" s="3548">
        <v>0.15287645157958715</v>
      </c>
      <c r="K77" s="2799">
        <v>1.6793797484817696E-2</v>
      </c>
      <c r="L77" s="535"/>
      <c r="M77" s="3547"/>
      <c r="N77" s="818"/>
      <c r="O77" s="2800"/>
    </row>
    <row r="78" spans="1:15" s="238" customFormat="1">
      <c r="A78" s="240">
        <v>2005.09</v>
      </c>
      <c r="B78" s="535"/>
      <c r="C78" s="3547"/>
      <c r="D78" s="537"/>
      <c r="E78" s="535"/>
      <c r="F78" s="3547"/>
      <c r="G78" s="818"/>
      <c r="H78" s="2356">
        <f t="shared" si="1"/>
        <v>1</v>
      </c>
      <c r="I78" s="819">
        <v>0.87658968393839942</v>
      </c>
      <c r="J78" s="3548">
        <v>0.10452717689446615</v>
      </c>
      <c r="K78" s="2799">
        <v>1.8883139167134411E-2</v>
      </c>
      <c r="L78" s="535"/>
      <c r="M78" s="3547"/>
      <c r="N78" s="818"/>
      <c r="O78" s="2800"/>
    </row>
    <row r="79" spans="1:15" s="238" customFormat="1">
      <c r="A79" s="240">
        <v>2005.1</v>
      </c>
      <c r="B79" s="535"/>
      <c r="C79" s="3547"/>
      <c r="D79" s="537"/>
      <c r="E79" s="535"/>
      <c r="F79" s="3547"/>
      <c r="G79" s="818"/>
      <c r="H79" s="2356">
        <f t="shared" si="1"/>
        <v>1</v>
      </c>
      <c r="I79" s="819">
        <v>0.88038966734600099</v>
      </c>
      <c r="J79" s="3548">
        <v>0.10131802692590734</v>
      </c>
      <c r="K79" s="2799">
        <v>1.8292305728091748E-2</v>
      </c>
      <c r="L79" s="535"/>
      <c r="M79" s="3547"/>
      <c r="N79" s="818"/>
      <c r="O79" s="2800"/>
    </row>
    <row r="80" spans="1:15" s="238" customFormat="1">
      <c r="A80" s="240">
        <v>2005.11</v>
      </c>
      <c r="B80" s="535"/>
      <c r="C80" s="3547"/>
      <c r="D80" s="537"/>
      <c r="E80" s="535"/>
      <c r="F80" s="3547"/>
      <c r="G80" s="818"/>
      <c r="H80" s="2356">
        <f t="shared" si="1"/>
        <v>1</v>
      </c>
      <c r="I80" s="819">
        <v>0.80834172216482114</v>
      </c>
      <c r="J80" s="3548">
        <v>0.16267846421073787</v>
      </c>
      <c r="K80" s="2799">
        <v>2.8979813624440999E-2</v>
      </c>
      <c r="L80" s="535"/>
      <c r="M80" s="3547"/>
      <c r="N80" s="818"/>
      <c r="O80" s="2800"/>
    </row>
    <row r="81" spans="1:15" s="238" customFormat="1">
      <c r="A81" s="240">
        <v>2005.12</v>
      </c>
      <c r="B81" s="535"/>
      <c r="C81" s="3547"/>
      <c r="D81" s="537"/>
      <c r="E81" s="535"/>
      <c r="F81" s="3547"/>
      <c r="G81" s="818"/>
      <c r="H81" s="2356">
        <f t="shared" si="1"/>
        <v>0.99999999999999989</v>
      </c>
      <c r="I81" s="819">
        <v>0.88552591141351045</v>
      </c>
      <c r="J81" s="3548">
        <v>7.9055908226172339E-2</v>
      </c>
      <c r="K81" s="2799">
        <v>3.541818036031711E-2</v>
      </c>
      <c r="L81" s="535"/>
      <c r="M81" s="3547"/>
      <c r="N81" s="818"/>
      <c r="O81" s="2800"/>
    </row>
    <row r="82" spans="1:15" s="238" customFormat="1">
      <c r="A82" s="240">
        <v>2006.01</v>
      </c>
      <c r="B82" s="535"/>
      <c r="C82" s="3547"/>
      <c r="D82" s="537"/>
      <c r="E82" s="535"/>
      <c r="F82" s="3547"/>
      <c r="G82" s="818"/>
      <c r="H82" s="2356">
        <f t="shared" si="1"/>
        <v>1</v>
      </c>
      <c r="I82" s="819">
        <v>0.8547292282238339</v>
      </c>
      <c r="J82" s="3548">
        <v>0.11459199454125291</v>
      </c>
      <c r="K82" s="2799">
        <v>3.0678777234913211E-2</v>
      </c>
      <c r="L82" s="535"/>
      <c r="M82" s="3547"/>
      <c r="N82" s="818"/>
      <c r="O82" s="2800"/>
    </row>
    <row r="83" spans="1:15" s="238" customFormat="1">
      <c r="A83" s="240">
        <v>2006.02</v>
      </c>
      <c r="B83" s="535"/>
      <c r="C83" s="3547"/>
      <c r="D83" s="537"/>
      <c r="E83" s="535"/>
      <c r="F83" s="3547"/>
      <c r="G83" s="818"/>
      <c r="H83" s="2356">
        <f t="shared" si="1"/>
        <v>1</v>
      </c>
      <c r="I83" s="819">
        <v>0.85973877963657086</v>
      </c>
      <c r="J83" s="3548">
        <v>9.3335596933016435E-2</v>
      </c>
      <c r="K83" s="2799">
        <v>4.6925623430412712E-2</v>
      </c>
      <c r="L83" s="535"/>
      <c r="M83" s="3547"/>
      <c r="N83" s="818"/>
      <c r="O83" s="2800"/>
    </row>
    <row r="84" spans="1:15" s="238" customFormat="1">
      <c r="A84" s="240">
        <v>2006.03</v>
      </c>
      <c r="B84" s="535"/>
      <c r="C84" s="3547"/>
      <c r="D84" s="537"/>
      <c r="E84" s="535"/>
      <c r="F84" s="3547"/>
      <c r="G84" s="818"/>
      <c r="H84" s="2356">
        <f t="shared" si="1"/>
        <v>1</v>
      </c>
      <c r="I84" s="819">
        <v>0.83978343023250002</v>
      </c>
      <c r="J84" s="3548">
        <v>0.13072914830672103</v>
      </c>
      <c r="K84" s="2799">
        <v>2.9487421460779002E-2</v>
      </c>
      <c r="L84" s="535"/>
      <c r="M84" s="3547"/>
      <c r="N84" s="818"/>
      <c r="O84" s="2800"/>
    </row>
    <row r="85" spans="1:15" s="238" customFormat="1">
      <c r="A85" s="240">
        <v>2006.04</v>
      </c>
      <c r="B85" s="535"/>
      <c r="C85" s="3547"/>
      <c r="D85" s="537"/>
      <c r="E85" s="535"/>
      <c r="F85" s="3547"/>
      <c r="G85" s="818"/>
      <c r="H85" s="2356">
        <f t="shared" si="1"/>
        <v>1</v>
      </c>
      <c r="I85" s="819">
        <v>0.84249680231504842</v>
      </c>
      <c r="J85" s="3548">
        <v>0.11815384494223233</v>
      </c>
      <c r="K85" s="2799">
        <v>3.934935274271921E-2</v>
      </c>
      <c r="L85" s="535"/>
      <c r="M85" s="3547"/>
      <c r="N85" s="818"/>
      <c r="O85" s="2800"/>
    </row>
    <row r="86" spans="1:15" s="238" customFormat="1">
      <c r="A86" s="240">
        <v>2006.05</v>
      </c>
      <c r="B86" s="535"/>
      <c r="C86" s="3547"/>
      <c r="D86" s="537"/>
      <c r="E86" s="535"/>
      <c r="F86" s="3547"/>
      <c r="G86" s="818"/>
      <c r="H86" s="2356">
        <f t="shared" si="1"/>
        <v>1</v>
      </c>
      <c r="I86" s="819">
        <v>0.85636314877187403</v>
      </c>
      <c r="J86" s="3548">
        <v>0.12936195841039569</v>
      </c>
      <c r="K86" s="2799">
        <v>1.4274892817730409E-2</v>
      </c>
      <c r="L86" s="535"/>
      <c r="M86" s="3547"/>
      <c r="N86" s="818"/>
      <c r="O86" s="2800"/>
    </row>
    <row r="87" spans="1:15" s="238" customFormat="1">
      <c r="A87" s="240">
        <v>2006.06</v>
      </c>
      <c r="B87" s="535"/>
      <c r="C87" s="3547"/>
      <c r="D87" s="537"/>
      <c r="E87" s="535"/>
      <c r="F87" s="3547"/>
      <c r="G87" s="818"/>
      <c r="H87" s="2356">
        <f t="shared" si="1"/>
        <v>1.0000000000000002</v>
      </c>
      <c r="I87" s="819">
        <v>0.87857270686862265</v>
      </c>
      <c r="J87" s="3548">
        <v>8.3755014235729675E-2</v>
      </c>
      <c r="K87" s="2799">
        <v>3.7672278895647733E-2</v>
      </c>
      <c r="L87" s="535"/>
      <c r="M87" s="3547"/>
      <c r="N87" s="818"/>
      <c r="O87" s="2800"/>
    </row>
    <row r="88" spans="1:15" s="238" customFormat="1">
      <c r="A88" s="240">
        <v>2006.07</v>
      </c>
      <c r="B88" s="535"/>
      <c r="C88" s="3547"/>
      <c r="D88" s="537"/>
      <c r="E88" s="535"/>
      <c r="F88" s="3547"/>
      <c r="G88" s="818"/>
      <c r="H88" s="2356">
        <f t="shared" si="1"/>
        <v>1.0000000000000002</v>
      </c>
      <c r="I88" s="819">
        <v>0.82350443174382737</v>
      </c>
      <c r="J88" s="3548">
        <v>0.12920636067977992</v>
      </c>
      <c r="K88" s="2799">
        <v>4.7289207576392774E-2</v>
      </c>
      <c r="L88" s="535"/>
      <c r="M88" s="3547"/>
      <c r="N88" s="818"/>
      <c r="O88" s="2800"/>
    </row>
    <row r="89" spans="1:15" s="238" customFormat="1">
      <c r="A89" s="240">
        <v>2006.08</v>
      </c>
      <c r="B89" s="535"/>
      <c r="C89" s="3547"/>
      <c r="D89" s="537"/>
      <c r="E89" s="535"/>
      <c r="F89" s="3547"/>
      <c r="G89" s="818"/>
      <c r="H89" s="2356">
        <f t="shared" si="1"/>
        <v>0.99999999999999989</v>
      </c>
      <c r="I89" s="819">
        <v>0.87805503054059886</v>
      </c>
      <c r="J89" s="3548">
        <v>8.9470831514978311E-2</v>
      </c>
      <c r="K89" s="2799">
        <v>3.2474137944422783E-2</v>
      </c>
      <c r="L89" s="535"/>
      <c r="M89" s="3547"/>
      <c r="N89" s="818"/>
      <c r="O89" s="2800"/>
    </row>
    <row r="90" spans="1:15" s="238" customFormat="1" ht="13.5" thickBot="1">
      <c r="A90" s="240">
        <v>2006.09</v>
      </c>
      <c r="B90" s="535"/>
      <c r="C90" s="3547"/>
      <c r="D90" s="537"/>
      <c r="E90" s="535"/>
      <c r="F90" s="3547"/>
      <c r="G90" s="818"/>
      <c r="H90" s="2356">
        <f t="shared" si="1"/>
        <v>1</v>
      </c>
      <c r="I90" s="819">
        <v>0.88588450390135609</v>
      </c>
      <c r="J90" s="3548">
        <v>9.7802858284941757E-2</v>
      </c>
      <c r="K90" s="2799">
        <v>1.6312637813702267E-2</v>
      </c>
      <c r="L90" s="535"/>
      <c r="M90" s="3547"/>
      <c r="N90" s="818"/>
      <c r="O90" s="2800"/>
    </row>
    <row r="91" spans="1:15" s="238" customFormat="1">
      <c r="A91" s="240">
        <v>2006.1</v>
      </c>
      <c r="B91" s="3485">
        <v>0.68654256914038081</v>
      </c>
      <c r="C91" s="3486">
        <v>0.31345743085961908</v>
      </c>
      <c r="D91" s="790">
        <f>B91+C91</f>
        <v>0.99999999999999989</v>
      </c>
      <c r="E91" s="535"/>
      <c r="F91" s="3547"/>
      <c r="G91" s="818"/>
      <c r="H91" s="2356">
        <f t="shared" si="1"/>
        <v>1</v>
      </c>
      <c r="I91" s="819">
        <v>0.91736080620497373</v>
      </c>
      <c r="J91" s="3548">
        <v>5.8198482697931618E-2</v>
      </c>
      <c r="K91" s="2799">
        <v>2.444071109709469E-2</v>
      </c>
      <c r="L91" s="535"/>
      <c r="M91" s="3547"/>
      <c r="N91" s="818"/>
      <c r="O91" s="2800"/>
    </row>
    <row r="92" spans="1:15" s="238" customFormat="1">
      <c r="A92" s="240">
        <v>2006.11</v>
      </c>
      <c r="B92" s="3487">
        <v>0.66153392957661739</v>
      </c>
      <c r="C92" s="3549">
        <v>0.33846607042338278</v>
      </c>
      <c r="D92" s="2357">
        <f>B92+C92</f>
        <v>1.0000000000000002</v>
      </c>
      <c r="E92" s="535"/>
      <c r="F92" s="3547"/>
      <c r="G92" s="818"/>
      <c r="H92" s="2356">
        <f t="shared" si="1"/>
        <v>0.99999999999999989</v>
      </c>
      <c r="I92" s="819">
        <v>0.86453018837384532</v>
      </c>
      <c r="J92" s="3548">
        <v>0.10587141988425187</v>
      </c>
      <c r="K92" s="2799">
        <v>2.9598391741902673E-2</v>
      </c>
      <c r="L92" s="535"/>
      <c r="M92" s="3547"/>
      <c r="N92" s="818"/>
      <c r="O92" s="2800"/>
    </row>
    <row r="93" spans="1:15" s="238" customFormat="1">
      <c r="A93" s="240">
        <v>2006.12</v>
      </c>
      <c r="B93" s="3487">
        <v>0.75773356705581651</v>
      </c>
      <c r="C93" s="3549">
        <v>0.24226643294418335</v>
      </c>
      <c r="D93" s="2357">
        <f t="shared" ref="D93:D156" si="2">B93+C93</f>
        <v>0.99999999999999989</v>
      </c>
      <c r="E93" s="535"/>
      <c r="F93" s="3547"/>
      <c r="G93" s="818"/>
      <c r="H93" s="2356">
        <f t="shared" si="1"/>
        <v>0.99999999999999989</v>
      </c>
      <c r="I93" s="819">
        <v>0.88773772434187104</v>
      </c>
      <c r="J93" s="3548">
        <v>8.1064839955671389E-2</v>
      </c>
      <c r="K93" s="2799">
        <v>3.1197435702457525E-2</v>
      </c>
      <c r="L93" s="535"/>
      <c r="M93" s="3547"/>
      <c r="N93" s="818"/>
      <c r="O93" s="2800"/>
    </row>
    <row r="94" spans="1:15" s="238" customFormat="1">
      <c r="A94" s="240">
        <v>2007.01</v>
      </c>
      <c r="B94" s="3487">
        <v>0.69552911076173174</v>
      </c>
      <c r="C94" s="3549">
        <v>0.30447088923826815</v>
      </c>
      <c r="D94" s="2357">
        <f t="shared" si="2"/>
        <v>0.99999999999999989</v>
      </c>
      <c r="E94" s="535"/>
      <c r="F94" s="3547"/>
      <c r="G94" s="818"/>
      <c r="H94" s="2356">
        <f t="shared" si="1"/>
        <v>1</v>
      </c>
      <c r="I94" s="819">
        <v>0.86277973973059185</v>
      </c>
      <c r="J94" s="3548">
        <v>0.11790200449329355</v>
      </c>
      <c r="K94" s="2799">
        <v>1.9318255776114564E-2</v>
      </c>
      <c r="L94" s="535"/>
      <c r="M94" s="3547"/>
      <c r="N94" s="818"/>
      <c r="O94" s="2800"/>
    </row>
    <row r="95" spans="1:15" s="238" customFormat="1">
      <c r="A95" s="240">
        <v>2007.02</v>
      </c>
      <c r="B95" s="3487">
        <v>0.66894798401507516</v>
      </c>
      <c r="C95" s="3549">
        <v>0.33105201598492484</v>
      </c>
      <c r="D95" s="2357">
        <f t="shared" si="2"/>
        <v>1</v>
      </c>
      <c r="E95" s="535"/>
      <c r="F95" s="3547"/>
      <c r="G95" s="818"/>
      <c r="H95" s="2356">
        <f t="shared" si="1"/>
        <v>0.99999999999999989</v>
      </c>
      <c r="I95" s="819">
        <v>0.90353478742721394</v>
      </c>
      <c r="J95" s="3548">
        <v>6.8965943590687792E-2</v>
      </c>
      <c r="K95" s="2799">
        <v>2.7499268982098212E-2</v>
      </c>
      <c r="L95" s="535"/>
      <c r="M95" s="3547"/>
      <c r="N95" s="818"/>
      <c r="O95" s="2800"/>
    </row>
    <row r="96" spans="1:15" s="238" customFormat="1">
      <c r="A96" s="240">
        <v>2007.03</v>
      </c>
      <c r="B96" s="3487">
        <v>0.6028707527486874</v>
      </c>
      <c r="C96" s="3549">
        <v>0.39712924725131243</v>
      </c>
      <c r="D96" s="2357">
        <f t="shared" si="2"/>
        <v>0.99999999999999978</v>
      </c>
      <c r="E96" s="535"/>
      <c r="F96" s="3547"/>
      <c r="G96" s="818"/>
      <c r="H96" s="2356">
        <f t="shared" si="1"/>
        <v>0.99999999999999989</v>
      </c>
      <c r="I96" s="819">
        <v>0.84249456853782756</v>
      </c>
      <c r="J96" s="3548">
        <v>0.11555261483391258</v>
      </c>
      <c r="K96" s="2799">
        <v>4.1952816628259823E-2</v>
      </c>
      <c r="L96" s="535"/>
      <c r="M96" s="3547"/>
      <c r="N96" s="818"/>
      <c r="O96" s="2800"/>
    </row>
    <row r="97" spans="1:15" s="238" customFormat="1">
      <c r="A97" s="240">
        <v>2007.04</v>
      </c>
      <c r="B97" s="3487">
        <v>0.69481964955985998</v>
      </c>
      <c r="C97" s="3549">
        <v>0.3051803504401398</v>
      </c>
      <c r="D97" s="2357">
        <f t="shared" si="2"/>
        <v>0.99999999999999978</v>
      </c>
      <c r="E97" s="535"/>
      <c r="F97" s="3547"/>
      <c r="G97" s="818"/>
      <c r="H97" s="2356">
        <f t="shared" si="1"/>
        <v>0.99999999999999989</v>
      </c>
      <c r="I97" s="819">
        <v>0.86914664583122114</v>
      </c>
      <c r="J97" s="3548">
        <v>9.4487113939294834E-2</v>
      </c>
      <c r="K97" s="2799">
        <v>3.6366240229483898E-2</v>
      </c>
      <c r="L97" s="535"/>
      <c r="M97" s="3547"/>
      <c r="N97" s="818"/>
      <c r="O97" s="2800"/>
    </row>
    <row r="98" spans="1:15" s="238" customFormat="1">
      <c r="A98" s="240">
        <v>2007.05</v>
      </c>
      <c r="B98" s="3487">
        <v>0.68199429505087461</v>
      </c>
      <c r="C98" s="3549">
        <v>0.31800570494912522</v>
      </c>
      <c r="D98" s="2357">
        <f t="shared" si="2"/>
        <v>0.99999999999999978</v>
      </c>
      <c r="E98" s="535"/>
      <c r="F98" s="3547"/>
      <c r="G98" s="818"/>
      <c r="H98" s="2356">
        <f t="shared" si="1"/>
        <v>0.99999999999999989</v>
      </c>
      <c r="I98" s="819">
        <v>0.93837581337939691</v>
      </c>
      <c r="J98" s="3548">
        <v>3.8405566407163652E-2</v>
      </c>
      <c r="K98" s="2799">
        <v>2.3218620213439387E-2</v>
      </c>
      <c r="L98" s="535"/>
      <c r="M98" s="3547"/>
      <c r="N98" s="818"/>
      <c r="O98" s="2800"/>
    </row>
    <row r="99" spans="1:15" s="238" customFormat="1">
      <c r="A99" s="240">
        <v>2007.06</v>
      </c>
      <c r="B99" s="3487">
        <v>0.71820146036436239</v>
      </c>
      <c r="C99" s="3549">
        <v>0.28179853963563745</v>
      </c>
      <c r="D99" s="2357">
        <f t="shared" si="2"/>
        <v>0.99999999999999978</v>
      </c>
      <c r="E99" s="535"/>
      <c r="F99" s="3547"/>
      <c r="G99" s="818"/>
      <c r="H99" s="2356">
        <f t="shared" si="1"/>
        <v>1</v>
      </c>
      <c r="I99" s="819">
        <v>0.94251067777761821</v>
      </c>
      <c r="J99" s="3548">
        <v>5.2641044786835352E-2</v>
      </c>
      <c r="K99" s="2799">
        <v>4.8482774355464303E-3</v>
      </c>
      <c r="L99" s="535"/>
      <c r="M99" s="3547"/>
      <c r="N99" s="818"/>
      <c r="O99" s="2800"/>
    </row>
    <row r="100" spans="1:15" s="238" customFormat="1">
      <c r="A100" s="240">
        <v>2007.07</v>
      </c>
      <c r="B100" s="3487">
        <v>0.67089570633232343</v>
      </c>
      <c r="C100" s="3549">
        <v>0.32910429366767674</v>
      </c>
      <c r="D100" s="2357">
        <f t="shared" si="2"/>
        <v>1.0000000000000002</v>
      </c>
      <c r="E100" s="535"/>
      <c r="F100" s="3547"/>
      <c r="G100" s="818"/>
      <c r="H100" s="2356">
        <f t="shared" si="1"/>
        <v>0.99999999999999989</v>
      </c>
      <c r="I100" s="819">
        <v>0.92509440440246504</v>
      </c>
      <c r="J100" s="3548">
        <v>5.452452921598043E-2</v>
      </c>
      <c r="K100" s="2799">
        <v>2.0381066381554458E-2</v>
      </c>
      <c r="L100" s="535"/>
      <c r="M100" s="3547"/>
      <c r="N100" s="818"/>
      <c r="O100" s="2800"/>
    </row>
    <row r="101" spans="1:15" s="238" customFormat="1">
      <c r="A101" s="240">
        <v>2007.08</v>
      </c>
      <c r="B101" s="3487">
        <v>0.63742967897952318</v>
      </c>
      <c r="C101" s="3549">
        <v>0.36257032102047687</v>
      </c>
      <c r="D101" s="2357">
        <f t="shared" si="2"/>
        <v>1</v>
      </c>
      <c r="E101" s="535"/>
      <c r="F101" s="3547"/>
      <c r="G101" s="818"/>
      <c r="H101" s="2356">
        <f t="shared" si="1"/>
        <v>1</v>
      </c>
      <c r="I101" s="819">
        <v>0.9589215476756473</v>
      </c>
      <c r="J101" s="3548">
        <v>4.1078452324352657E-2</v>
      </c>
      <c r="K101" s="2799">
        <v>0</v>
      </c>
      <c r="L101" s="535"/>
      <c r="M101" s="3547"/>
      <c r="N101" s="818"/>
      <c r="O101" s="2800"/>
    </row>
    <row r="102" spans="1:15" s="238" customFormat="1">
      <c r="A102" s="240">
        <v>2007.09</v>
      </c>
      <c r="B102" s="3487">
        <v>0.67998658452417227</v>
      </c>
      <c r="C102" s="3549">
        <v>0.32001341547582768</v>
      </c>
      <c r="D102" s="2357">
        <f t="shared" si="2"/>
        <v>1</v>
      </c>
      <c r="E102" s="535"/>
      <c r="F102" s="3547"/>
      <c r="G102" s="818"/>
      <c r="H102" s="2356">
        <f t="shared" si="1"/>
        <v>1</v>
      </c>
      <c r="I102" s="819">
        <v>0.96666391502133575</v>
      </c>
      <c r="J102" s="3548">
        <v>3.3103634947689725E-2</v>
      </c>
      <c r="K102" s="2799">
        <v>2.3245003097448715E-4</v>
      </c>
      <c r="L102" s="535"/>
      <c r="M102" s="3547"/>
      <c r="N102" s="818"/>
      <c r="O102" s="2800"/>
    </row>
    <row r="103" spans="1:15" s="238" customFormat="1">
      <c r="A103" s="240">
        <v>2007.1</v>
      </c>
      <c r="B103" s="3487">
        <v>0.68331650296774515</v>
      </c>
      <c r="C103" s="3549">
        <v>0.31668349703225501</v>
      </c>
      <c r="D103" s="2357">
        <f t="shared" si="2"/>
        <v>1.0000000000000002</v>
      </c>
      <c r="E103" s="535"/>
      <c r="F103" s="3547"/>
      <c r="G103" s="818"/>
      <c r="H103" s="2356">
        <f t="shared" si="1"/>
        <v>1</v>
      </c>
      <c r="I103" s="819">
        <v>0.98341690157225148</v>
      </c>
      <c r="J103" s="3548">
        <v>1.12350464012107E-2</v>
      </c>
      <c r="K103" s="2799">
        <v>5.3480520265379436E-3</v>
      </c>
      <c r="L103" s="535"/>
      <c r="M103" s="3547"/>
      <c r="N103" s="818"/>
      <c r="O103" s="2800"/>
    </row>
    <row r="104" spans="1:15" s="238" customFormat="1">
      <c r="A104" s="240">
        <v>2007.11</v>
      </c>
      <c r="B104" s="3487">
        <v>0.70545906613670373</v>
      </c>
      <c r="C104" s="3549">
        <v>0.29454093386329627</v>
      </c>
      <c r="D104" s="2357">
        <f t="shared" si="2"/>
        <v>1</v>
      </c>
      <c r="E104" s="535"/>
      <c r="F104" s="3547"/>
      <c r="G104" s="818"/>
      <c r="H104" s="2356">
        <f t="shared" si="1"/>
        <v>1</v>
      </c>
      <c r="I104" s="819">
        <v>0.96126274292902059</v>
      </c>
      <c r="J104" s="3548">
        <v>3.8737257070979463E-2</v>
      </c>
      <c r="K104" s="2799">
        <v>0</v>
      </c>
      <c r="L104" s="535"/>
      <c r="M104" s="3547"/>
      <c r="N104" s="818"/>
      <c r="O104" s="2800"/>
    </row>
    <row r="105" spans="1:15" s="238" customFormat="1">
      <c r="A105" s="240">
        <v>2007.12</v>
      </c>
      <c r="B105" s="3487">
        <v>0.69260800314938886</v>
      </c>
      <c r="C105" s="3549">
        <v>0.30739199685061086</v>
      </c>
      <c r="D105" s="2357">
        <f t="shared" si="2"/>
        <v>0.99999999999999978</v>
      </c>
      <c r="E105" s="535"/>
      <c r="F105" s="3547"/>
      <c r="G105" s="818"/>
      <c r="H105" s="2356">
        <f t="shared" si="1"/>
        <v>0.99999999999999989</v>
      </c>
      <c r="I105" s="819">
        <v>0.95192319371580381</v>
      </c>
      <c r="J105" s="3548">
        <v>3.9026069346091666E-2</v>
      </c>
      <c r="K105" s="2799">
        <v>9.0507369381043826E-3</v>
      </c>
      <c r="L105" s="535"/>
      <c r="M105" s="3547"/>
      <c r="N105" s="818"/>
      <c r="O105" s="2800"/>
    </row>
    <row r="106" spans="1:15" s="238" customFormat="1">
      <c r="A106" s="240">
        <f t="shared" ref="A106:A169" si="3">A94+1</f>
        <v>2008.01</v>
      </c>
      <c r="B106" s="3487">
        <v>0.671495962901274</v>
      </c>
      <c r="C106" s="3549">
        <v>0.32850403709872666</v>
      </c>
      <c r="D106" s="2357">
        <f t="shared" si="2"/>
        <v>1.0000000000000007</v>
      </c>
      <c r="E106" s="535"/>
      <c r="F106" s="3547"/>
      <c r="G106" s="818"/>
      <c r="H106" s="2356">
        <f t="shared" si="1"/>
        <v>1</v>
      </c>
      <c r="I106" s="819">
        <v>0.92461758380957848</v>
      </c>
      <c r="J106" s="3548">
        <v>5.5810369183774716E-2</v>
      </c>
      <c r="K106" s="2799">
        <v>1.9572047006646897E-2</v>
      </c>
      <c r="L106" s="535"/>
      <c r="M106" s="3547"/>
      <c r="N106" s="818"/>
      <c r="O106" s="2800"/>
    </row>
    <row r="107" spans="1:15" s="238" customFormat="1">
      <c r="A107" s="240">
        <f t="shared" si="3"/>
        <v>2008.02</v>
      </c>
      <c r="B107" s="3487">
        <v>0.64289108087943536</v>
      </c>
      <c r="C107" s="3549">
        <v>0.35710891912056481</v>
      </c>
      <c r="D107" s="2357">
        <f t="shared" si="2"/>
        <v>1.0000000000000002</v>
      </c>
      <c r="E107" s="535"/>
      <c r="F107" s="3547"/>
      <c r="G107" s="818"/>
      <c r="H107" s="2356">
        <f t="shared" si="1"/>
        <v>0.99999999999999989</v>
      </c>
      <c r="I107" s="819">
        <v>0.94638847436856077</v>
      </c>
      <c r="J107" s="3548">
        <v>4.1358233622791028E-2</v>
      </c>
      <c r="K107" s="2799">
        <v>1.2253292008648119E-2</v>
      </c>
      <c r="L107" s="535"/>
      <c r="M107" s="3547"/>
      <c r="N107" s="818"/>
      <c r="O107" s="2800"/>
    </row>
    <row r="108" spans="1:15" s="238" customFormat="1">
      <c r="A108" s="240">
        <f t="shared" si="3"/>
        <v>2008.03</v>
      </c>
      <c r="B108" s="3487">
        <v>0.6175393199990894</v>
      </c>
      <c r="C108" s="3549">
        <v>0.38246068000090949</v>
      </c>
      <c r="D108" s="2357">
        <f t="shared" si="2"/>
        <v>0.99999999999999889</v>
      </c>
      <c r="E108" s="535"/>
      <c r="F108" s="3547"/>
      <c r="G108" s="818"/>
      <c r="H108" s="2356">
        <f t="shared" si="1"/>
        <v>0.99999999999999967</v>
      </c>
      <c r="I108" s="819">
        <v>0.92562642998422362</v>
      </c>
      <c r="J108" s="3548">
        <v>6.4709841273455998E-2</v>
      </c>
      <c r="K108" s="2799">
        <v>9.6637287423200196E-3</v>
      </c>
      <c r="L108" s="535"/>
      <c r="M108" s="3547"/>
      <c r="N108" s="818"/>
      <c r="O108" s="2800"/>
    </row>
    <row r="109" spans="1:15" s="238" customFormat="1">
      <c r="A109" s="240">
        <f t="shared" si="3"/>
        <v>2008.04</v>
      </c>
      <c r="B109" s="3487">
        <v>0.6531959837000525</v>
      </c>
      <c r="C109" s="3549">
        <v>0.34680401629994706</v>
      </c>
      <c r="D109" s="2357">
        <f t="shared" si="2"/>
        <v>0.99999999999999956</v>
      </c>
      <c r="E109" s="535"/>
      <c r="F109" s="3547"/>
      <c r="G109" s="818"/>
      <c r="H109" s="2356">
        <f t="shared" si="1"/>
        <v>1.0000000000000002</v>
      </c>
      <c r="I109" s="819">
        <v>0.92663682370701306</v>
      </c>
      <c r="J109" s="3548">
        <v>6.8920294062549181E-2</v>
      </c>
      <c r="K109" s="2799">
        <v>4.4428822304380562E-3</v>
      </c>
      <c r="L109" s="535"/>
      <c r="M109" s="3547"/>
      <c r="N109" s="818"/>
      <c r="O109" s="2800"/>
    </row>
    <row r="110" spans="1:15" s="238" customFormat="1">
      <c r="A110" s="240">
        <f t="shared" si="3"/>
        <v>2008.05</v>
      </c>
      <c r="B110" s="3487">
        <v>0.56300641233237947</v>
      </c>
      <c r="C110" s="3549">
        <v>0.4369935876676197</v>
      </c>
      <c r="D110" s="2357">
        <f t="shared" si="2"/>
        <v>0.99999999999999911</v>
      </c>
      <c r="E110" s="535"/>
      <c r="F110" s="3547"/>
      <c r="G110" s="818"/>
      <c r="H110" s="2356">
        <f t="shared" si="1"/>
        <v>0.99999999999999989</v>
      </c>
      <c r="I110" s="819">
        <v>0.91901703841944882</v>
      </c>
      <c r="J110" s="3548">
        <v>4.9364047237559279E-2</v>
      </c>
      <c r="K110" s="2799">
        <v>3.161891434299182E-2</v>
      </c>
      <c r="L110" s="535"/>
      <c r="M110" s="3547"/>
      <c r="N110" s="818"/>
      <c r="O110" s="2800"/>
    </row>
    <row r="111" spans="1:15" s="238" customFormat="1">
      <c r="A111" s="240">
        <f t="shared" si="3"/>
        <v>2008.06</v>
      </c>
      <c r="B111" s="3487">
        <v>0.67226215352755714</v>
      </c>
      <c r="C111" s="3549">
        <v>0.32773784647244314</v>
      </c>
      <c r="D111" s="2357">
        <f t="shared" si="2"/>
        <v>1.0000000000000002</v>
      </c>
      <c r="E111" s="535"/>
      <c r="F111" s="3547"/>
      <c r="G111" s="818"/>
      <c r="H111" s="2356">
        <f t="shared" si="1"/>
        <v>1</v>
      </c>
      <c r="I111" s="819">
        <v>0.95717166858805769</v>
      </c>
      <c r="J111" s="3548">
        <v>4.2599341266751439E-2</v>
      </c>
      <c r="K111" s="2799">
        <v>2.289901451908742E-4</v>
      </c>
      <c r="L111" s="535"/>
      <c r="M111" s="3547"/>
      <c r="N111" s="818"/>
      <c r="O111" s="2800"/>
    </row>
    <row r="112" spans="1:15" s="238" customFormat="1">
      <c r="A112" s="240">
        <f t="shared" si="3"/>
        <v>2008.07</v>
      </c>
      <c r="B112" s="3487">
        <v>0.63666924937181724</v>
      </c>
      <c r="C112" s="3549">
        <v>0.36333075062818337</v>
      </c>
      <c r="D112" s="2357">
        <f t="shared" si="2"/>
        <v>1.0000000000000007</v>
      </c>
      <c r="E112" s="535"/>
      <c r="F112" s="3547"/>
      <c r="G112" s="818"/>
      <c r="H112" s="2356">
        <f t="shared" si="1"/>
        <v>1.0000000000000007</v>
      </c>
      <c r="I112" s="819">
        <v>0.93126921582045474</v>
      </c>
      <c r="J112" s="3548">
        <v>5.0671098950026146E-2</v>
      </c>
      <c r="K112" s="2799">
        <v>1.8059685229519826E-2</v>
      </c>
      <c r="L112" s="535"/>
      <c r="M112" s="3547"/>
      <c r="N112" s="818"/>
      <c r="O112" s="2800"/>
    </row>
    <row r="113" spans="1:15" s="238" customFormat="1">
      <c r="A113" s="240">
        <f t="shared" si="3"/>
        <v>2008.08</v>
      </c>
      <c r="B113" s="3487">
        <v>0.70404148083603912</v>
      </c>
      <c r="C113" s="3549">
        <v>0.29595851916396143</v>
      </c>
      <c r="D113" s="2357">
        <f t="shared" si="2"/>
        <v>1.0000000000000004</v>
      </c>
      <c r="E113" s="535"/>
      <c r="F113" s="3547"/>
      <c r="G113" s="818"/>
      <c r="H113" s="2356">
        <f t="shared" si="1"/>
        <v>1.0000000000000002</v>
      </c>
      <c r="I113" s="819">
        <v>0.9539633449897954</v>
      </c>
      <c r="J113" s="3548">
        <v>4.013680630717803E-2</v>
      </c>
      <c r="K113" s="2799">
        <v>5.8998487030268616E-3</v>
      </c>
      <c r="L113" s="535"/>
      <c r="M113" s="3547"/>
      <c r="N113" s="818"/>
      <c r="O113" s="2800"/>
    </row>
    <row r="114" spans="1:15" s="238" customFormat="1">
      <c r="A114" s="240">
        <f t="shared" si="3"/>
        <v>2008.09</v>
      </c>
      <c r="B114" s="3487">
        <v>0.67858407422636757</v>
      </c>
      <c r="C114" s="3549">
        <v>0.32141592577363298</v>
      </c>
      <c r="D114" s="2357">
        <f t="shared" si="2"/>
        <v>1.0000000000000004</v>
      </c>
      <c r="E114" s="535"/>
      <c r="F114" s="3547"/>
      <c r="G114" s="818"/>
      <c r="H114" s="2356">
        <f t="shared" si="1"/>
        <v>1.0000000000000002</v>
      </c>
      <c r="I114" s="819">
        <v>0.97264799885190256</v>
      </c>
      <c r="J114" s="3548">
        <v>1.8178099434583841E-2</v>
      </c>
      <c r="K114" s="2799">
        <v>9.1739017135137862E-3</v>
      </c>
      <c r="L114" s="535"/>
      <c r="M114" s="3547"/>
      <c r="N114" s="818"/>
      <c r="O114" s="2800"/>
    </row>
    <row r="115" spans="1:15" s="238" customFormat="1" ht="13.5" thickBot="1">
      <c r="A115" s="240">
        <f t="shared" si="3"/>
        <v>2008.1</v>
      </c>
      <c r="B115" s="3487">
        <v>0.74492525548267452</v>
      </c>
      <c r="C115" s="3549">
        <v>0.25507474451732537</v>
      </c>
      <c r="D115" s="2357">
        <f t="shared" si="2"/>
        <v>0.99999999999999989</v>
      </c>
      <c r="E115" s="535"/>
      <c r="F115" s="3547"/>
      <c r="G115" s="818"/>
      <c r="H115" s="2356">
        <f t="shared" si="1"/>
        <v>0.99999999999999956</v>
      </c>
      <c r="I115" s="819">
        <v>0.94243744955057818</v>
      </c>
      <c r="J115" s="3548">
        <v>3.6823276528673128E-2</v>
      </c>
      <c r="K115" s="2799">
        <v>2.0739273920748254E-2</v>
      </c>
      <c r="L115" s="535"/>
      <c r="M115" s="820"/>
      <c r="N115" s="818"/>
      <c r="O115" s="2800"/>
    </row>
    <row r="116" spans="1:15" s="238" customFormat="1">
      <c r="A116" s="240">
        <f t="shared" si="3"/>
        <v>2008.11</v>
      </c>
      <c r="B116" s="3487">
        <v>0.75840140166411973</v>
      </c>
      <c r="C116" s="3549">
        <v>0.24159859833588029</v>
      </c>
      <c r="D116" s="2357">
        <f t="shared" si="2"/>
        <v>1</v>
      </c>
      <c r="E116" s="3485">
        <v>0.79728414762713218</v>
      </c>
      <c r="F116" s="3486">
        <v>0.20271585237286729</v>
      </c>
      <c r="G116" s="790">
        <f>E116+F116</f>
        <v>0.99999999999999944</v>
      </c>
      <c r="H116" s="2356">
        <f t="shared" si="1"/>
        <v>0.99999999999999989</v>
      </c>
      <c r="I116" s="819">
        <v>0.95999184810623628</v>
      </c>
      <c r="J116" s="3548">
        <v>2.6217712207405933E-2</v>
      </c>
      <c r="K116" s="2799">
        <v>1.3790439686357576E-2</v>
      </c>
      <c r="L116" s="828">
        <f t="shared" ref="L116:L179" si="4">M116+N116+O116</f>
        <v>1.0000000000000004</v>
      </c>
      <c r="M116" s="815">
        <v>0.96275557846464321</v>
      </c>
      <c r="N116" s="816">
        <v>1.560340324836727E-2</v>
      </c>
      <c r="O116" s="827">
        <v>2.1641018286989867E-2</v>
      </c>
    </row>
    <row r="117" spans="1:15" s="238" customFormat="1">
      <c r="A117" s="240">
        <f t="shared" si="3"/>
        <v>2008.12</v>
      </c>
      <c r="B117" s="3487">
        <v>0.78920351809105949</v>
      </c>
      <c r="C117" s="3549">
        <v>0.21079648190894049</v>
      </c>
      <c r="D117" s="2357">
        <f t="shared" si="2"/>
        <v>1</v>
      </c>
      <c r="E117" s="3483">
        <v>0.84885875073694395</v>
      </c>
      <c r="F117" s="3550">
        <v>0.15114124926305592</v>
      </c>
      <c r="G117" s="2358">
        <f>E117+F117</f>
        <v>0.99999999999999989</v>
      </c>
      <c r="H117" s="2356">
        <f t="shared" si="1"/>
        <v>1</v>
      </c>
      <c r="I117" s="819">
        <v>0.95612169680556025</v>
      </c>
      <c r="J117" s="3548">
        <v>1.6890990832982372E-2</v>
      </c>
      <c r="K117" s="2799">
        <v>2.698731236145737E-2</v>
      </c>
      <c r="L117" s="2356">
        <f t="shared" si="4"/>
        <v>1</v>
      </c>
      <c r="M117" s="819">
        <v>0.93781215790908501</v>
      </c>
      <c r="N117" s="3548">
        <v>2.9652731508886702E-2</v>
      </c>
      <c r="O117" s="2801">
        <v>3.2535110582028279E-2</v>
      </c>
    </row>
    <row r="118" spans="1:15" s="238" customFormat="1">
      <c r="A118" s="240">
        <f t="shared" si="3"/>
        <v>2009.01</v>
      </c>
      <c r="B118" s="3487">
        <v>0.84435121375762123</v>
      </c>
      <c r="C118" s="3549">
        <v>0.15564878624237863</v>
      </c>
      <c r="D118" s="2357">
        <f t="shared" si="2"/>
        <v>0.99999999999999989</v>
      </c>
      <c r="E118" s="3483">
        <v>0.85974264602636363</v>
      </c>
      <c r="F118" s="3550">
        <v>0.1402573539736359</v>
      </c>
      <c r="G118" s="2358">
        <f t="shared" ref="G118:G181" si="5">E118+F118</f>
        <v>0.99999999999999956</v>
      </c>
      <c r="H118" s="2356">
        <f t="shared" si="1"/>
        <v>1</v>
      </c>
      <c r="I118" s="819">
        <v>0.95276828213138276</v>
      </c>
      <c r="J118" s="3548">
        <v>1.6134892196043395E-2</v>
      </c>
      <c r="K118" s="2799">
        <v>3.1096825672573963E-2</v>
      </c>
      <c r="L118" s="2356">
        <f t="shared" si="4"/>
        <v>1</v>
      </c>
      <c r="M118" s="819">
        <v>0.9531592193775501</v>
      </c>
      <c r="N118" s="3548">
        <v>2.0769433366091637E-2</v>
      </c>
      <c r="O118" s="2801">
        <v>2.6071347256358353E-2</v>
      </c>
    </row>
    <row r="119" spans="1:15" s="238" customFormat="1">
      <c r="A119" s="240">
        <f t="shared" si="3"/>
        <v>2009.02</v>
      </c>
      <c r="B119" s="3487">
        <v>0.77391623530817844</v>
      </c>
      <c r="C119" s="3549">
        <v>0.22608376469182134</v>
      </c>
      <c r="D119" s="2357">
        <f t="shared" si="2"/>
        <v>0.99999999999999978</v>
      </c>
      <c r="E119" s="3483">
        <v>0.83686692720854705</v>
      </c>
      <c r="F119" s="3550">
        <v>0.16313307279145264</v>
      </c>
      <c r="G119" s="2358">
        <f t="shared" si="5"/>
        <v>0.99999999999999967</v>
      </c>
      <c r="H119" s="2356">
        <f t="shared" si="1"/>
        <v>0.99999999999999989</v>
      </c>
      <c r="I119" s="819">
        <v>0.91318814196488096</v>
      </c>
      <c r="J119" s="3548">
        <v>4.8183832196973586E-2</v>
      </c>
      <c r="K119" s="2799">
        <v>3.8628025838145445E-2</v>
      </c>
      <c r="L119" s="2356">
        <f t="shared" si="4"/>
        <v>1.0000000000000002</v>
      </c>
      <c r="M119" s="819">
        <v>0.92377538987315111</v>
      </c>
      <c r="N119" s="3548">
        <v>3.8146262660244887E-2</v>
      </c>
      <c r="O119" s="2801">
        <v>3.8078347466604177E-2</v>
      </c>
    </row>
    <row r="120" spans="1:15" s="238" customFormat="1">
      <c r="A120" s="240">
        <f t="shared" si="3"/>
        <v>2009.03</v>
      </c>
      <c r="B120" s="3487">
        <v>0.74286379140704573</v>
      </c>
      <c r="C120" s="3549">
        <v>0.25713620859295433</v>
      </c>
      <c r="D120" s="2357">
        <f t="shared" si="2"/>
        <v>1</v>
      </c>
      <c r="E120" s="3483">
        <v>0.82036562338535635</v>
      </c>
      <c r="F120" s="3550">
        <v>0.17963437661464227</v>
      </c>
      <c r="G120" s="2358">
        <f t="shared" si="5"/>
        <v>0.99999999999999867</v>
      </c>
      <c r="H120" s="2356">
        <f t="shared" si="1"/>
        <v>1</v>
      </c>
      <c r="I120" s="819">
        <v>0.95276828213138276</v>
      </c>
      <c r="J120" s="3548">
        <v>1.6134892196043395E-2</v>
      </c>
      <c r="K120" s="2799">
        <v>3.1096825672573963E-2</v>
      </c>
      <c r="L120" s="2356">
        <f t="shared" si="4"/>
        <v>0.99999999999999944</v>
      </c>
      <c r="M120" s="819">
        <v>0.91918058199146802</v>
      </c>
      <c r="N120" s="3548">
        <v>3.5194174458948783E-2</v>
      </c>
      <c r="O120" s="2801">
        <v>4.5625243549582646E-2</v>
      </c>
    </row>
    <row r="121" spans="1:15" s="238" customFormat="1">
      <c r="A121" s="240">
        <f t="shared" si="3"/>
        <v>2009.04</v>
      </c>
      <c r="B121" s="3487">
        <v>0.7410045458327994</v>
      </c>
      <c r="C121" s="3549">
        <v>0.2589954541672006</v>
      </c>
      <c r="D121" s="2357">
        <f t="shared" si="2"/>
        <v>1</v>
      </c>
      <c r="E121" s="3483">
        <v>0.84350186118307624</v>
      </c>
      <c r="F121" s="3550">
        <v>0.15649813881692395</v>
      </c>
      <c r="G121" s="2358">
        <f t="shared" si="5"/>
        <v>1.0000000000000002</v>
      </c>
      <c r="H121" s="2356">
        <f t="shared" si="1"/>
        <v>1</v>
      </c>
      <c r="I121" s="819">
        <v>0.90145790726522734</v>
      </c>
      <c r="J121" s="3548">
        <v>7.3823585198358133E-2</v>
      </c>
      <c r="K121" s="2799">
        <v>2.4718507536414538E-2</v>
      </c>
      <c r="L121" s="2356">
        <f t="shared" si="4"/>
        <v>1</v>
      </c>
      <c r="M121" s="819">
        <v>0.93759212168117545</v>
      </c>
      <c r="N121" s="3548">
        <v>2.8573734688331395E-2</v>
      </c>
      <c r="O121" s="2801">
        <v>3.3834143630493141E-2</v>
      </c>
    </row>
    <row r="122" spans="1:15" s="238" customFormat="1">
      <c r="A122" s="240">
        <f t="shared" si="3"/>
        <v>2009.05</v>
      </c>
      <c r="B122" s="3487">
        <v>0.76037857813224252</v>
      </c>
      <c r="C122" s="3549">
        <v>0.23962142186775751</v>
      </c>
      <c r="D122" s="2357">
        <f t="shared" si="2"/>
        <v>1</v>
      </c>
      <c r="E122" s="3483">
        <v>0.80968052723899619</v>
      </c>
      <c r="F122" s="3550">
        <v>0.19031947276100383</v>
      </c>
      <c r="G122" s="2358">
        <f t="shared" si="5"/>
        <v>1</v>
      </c>
      <c r="H122" s="2356">
        <f t="shared" si="1"/>
        <v>1</v>
      </c>
      <c r="I122" s="819">
        <v>0.94268169978051219</v>
      </c>
      <c r="J122" s="3548">
        <v>3.34745461084947E-2</v>
      </c>
      <c r="K122" s="2799">
        <v>2.3843754110993126E-2</v>
      </c>
      <c r="L122" s="2356">
        <f t="shared" si="4"/>
        <v>1</v>
      </c>
      <c r="M122" s="819">
        <v>0.93440497230001585</v>
      </c>
      <c r="N122" s="3548">
        <v>1.5239661746600568E-2</v>
      </c>
      <c r="O122" s="2801">
        <v>5.0355365953383628E-2</v>
      </c>
    </row>
    <row r="123" spans="1:15" s="238" customFormat="1">
      <c r="A123" s="240">
        <f t="shared" si="3"/>
        <v>2009.06</v>
      </c>
      <c r="B123" s="3487">
        <v>0.78246312944750929</v>
      </c>
      <c r="C123" s="3549">
        <v>0.2175368705524906</v>
      </c>
      <c r="D123" s="2357">
        <f t="shared" si="2"/>
        <v>0.99999999999999989</v>
      </c>
      <c r="E123" s="3483">
        <v>0.86404876166927547</v>
      </c>
      <c r="F123" s="3550">
        <v>0.13595123833072451</v>
      </c>
      <c r="G123" s="2358">
        <f t="shared" si="5"/>
        <v>1</v>
      </c>
      <c r="H123" s="2356">
        <f t="shared" si="1"/>
        <v>1</v>
      </c>
      <c r="I123" s="819">
        <v>0.969975580133562</v>
      </c>
      <c r="J123" s="3548">
        <v>3.0024419866437991E-2</v>
      </c>
      <c r="K123" s="2799">
        <v>0</v>
      </c>
      <c r="L123" s="2356">
        <f t="shared" si="4"/>
        <v>1</v>
      </c>
      <c r="M123" s="819">
        <v>0.94567392118447779</v>
      </c>
      <c r="N123" s="3548">
        <v>2.4406691338463835E-2</v>
      </c>
      <c r="O123" s="2801">
        <v>2.9919387477058371E-2</v>
      </c>
    </row>
    <row r="124" spans="1:15" s="238" customFormat="1">
      <c r="A124" s="240">
        <f t="shared" si="3"/>
        <v>2009.07</v>
      </c>
      <c r="B124" s="3487">
        <v>0.75768371175015181</v>
      </c>
      <c r="C124" s="3549">
        <v>0.24231628824984824</v>
      </c>
      <c r="D124" s="2357">
        <f t="shared" si="2"/>
        <v>1</v>
      </c>
      <c r="E124" s="3483">
        <v>0.88702955310592191</v>
      </c>
      <c r="F124" s="3550">
        <v>0.11297044689407812</v>
      </c>
      <c r="G124" s="2358">
        <f t="shared" si="5"/>
        <v>1</v>
      </c>
      <c r="H124" s="2356">
        <f t="shared" si="1"/>
        <v>1</v>
      </c>
      <c r="I124" s="819">
        <v>0.92185782757353718</v>
      </c>
      <c r="J124" s="3548">
        <v>2.7602005763849868E-2</v>
      </c>
      <c r="K124" s="2799">
        <v>5.0540166662612955E-2</v>
      </c>
      <c r="L124" s="2356">
        <f t="shared" si="4"/>
        <v>1.0000000000000002</v>
      </c>
      <c r="M124" s="819">
        <v>0.92663155838144251</v>
      </c>
      <c r="N124" s="3548">
        <v>3.3488245108966273E-2</v>
      </c>
      <c r="O124" s="2801">
        <v>3.9880196509591508E-2</v>
      </c>
    </row>
    <row r="125" spans="1:15" s="238" customFormat="1">
      <c r="A125" s="240">
        <f t="shared" si="3"/>
        <v>2009.08</v>
      </c>
      <c r="B125" s="3487">
        <v>0.78174726586775523</v>
      </c>
      <c r="C125" s="3549">
        <v>0.21825273413224466</v>
      </c>
      <c r="D125" s="2357">
        <f t="shared" si="2"/>
        <v>0.99999999999999989</v>
      </c>
      <c r="E125" s="3483">
        <v>0.88713925644586622</v>
      </c>
      <c r="F125" s="3550">
        <v>0.11286074355413377</v>
      </c>
      <c r="G125" s="2358">
        <f t="shared" si="5"/>
        <v>1</v>
      </c>
      <c r="H125" s="2356">
        <f t="shared" si="1"/>
        <v>1</v>
      </c>
      <c r="I125" s="819">
        <v>0.92170442918909801</v>
      </c>
      <c r="J125" s="3548">
        <v>5.6751039715317718E-2</v>
      </c>
      <c r="K125" s="2799">
        <v>2.15445310955843E-2</v>
      </c>
      <c r="L125" s="2356">
        <f t="shared" si="4"/>
        <v>1</v>
      </c>
      <c r="M125" s="819">
        <v>0.96193130328224119</v>
      </c>
      <c r="N125" s="3548">
        <v>1.5015401312411416E-2</v>
      </c>
      <c r="O125" s="2801">
        <v>2.3053295405347396E-2</v>
      </c>
    </row>
    <row r="126" spans="1:15" s="238" customFormat="1">
      <c r="A126" s="240">
        <f t="shared" si="3"/>
        <v>2009.09</v>
      </c>
      <c r="B126" s="3487">
        <v>0.73127656516985884</v>
      </c>
      <c r="C126" s="3549">
        <v>0.26872343483014122</v>
      </c>
      <c r="D126" s="2357">
        <f t="shared" si="2"/>
        <v>1</v>
      </c>
      <c r="E126" s="3483">
        <v>0.80184946933966184</v>
      </c>
      <c r="F126" s="3550">
        <v>0.19815053066033811</v>
      </c>
      <c r="G126" s="2358">
        <f t="shared" si="5"/>
        <v>1</v>
      </c>
      <c r="H126" s="2356">
        <f t="shared" si="1"/>
        <v>1</v>
      </c>
      <c r="I126" s="819">
        <v>0.92170442918909801</v>
      </c>
      <c r="J126" s="3548">
        <v>5.6751039715317718E-2</v>
      </c>
      <c r="K126" s="2799">
        <v>2.15445310955843E-2</v>
      </c>
      <c r="L126" s="2356">
        <f t="shared" si="4"/>
        <v>1</v>
      </c>
      <c r="M126" s="819">
        <v>0.96151868355721404</v>
      </c>
      <c r="N126" s="3548">
        <v>9.5176172363919554E-3</v>
      </c>
      <c r="O126" s="2801">
        <v>2.8963699206394009E-2</v>
      </c>
    </row>
    <row r="127" spans="1:15" s="238" customFormat="1">
      <c r="A127" s="240">
        <f t="shared" si="3"/>
        <v>2009.1</v>
      </c>
      <c r="B127" s="3487">
        <v>0.78027772578108667</v>
      </c>
      <c r="C127" s="3549">
        <v>0.21972227421891333</v>
      </c>
      <c r="D127" s="2357">
        <f t="shared" si="2"/>
        <v>1</v>
      </c>
      <c r="E127" s="3483">
        <v>0.77038458050419123</v>
      </c>
      <c r="F127" s="3550">
        <v>0.22961541949580863</v>
      </c>
      <c r="G127" s="2358">
        <f t="shared" si="5"/>
        <v>0.99999999999999989</v>
      </c>
      <c r="H127" s="2356">
        <f t="shared" si="1"/>
        <v>1</v>
      </c>
      <c r="I127" s="819">
        <v>0.94777580542752404</v>
      </c>
      <c r="J127" s="3548">
        <v>4.6932626846952041E-2</v>
      </c>
      <c r="K127" s="2799">
        <v>5.2915677255238906E-3</v>
      </c>
      <c r="L127" s="2356">
        <f t="shared" si="4"/>
        <v>1</v>
      </c>
      <c r="M127" s="819">
        <v>0.93934025314117198</v>
      </c>
      <c r="N127" s="3548">
        <v>2.8275894741109961E-2</v>
      </c>
      <c r="O127" s="2801">
        <v>3.238385211771809E-2</v>
      </c>
    </row>
    <row r="128" spans="1:15" s="238" customFormat="1">
      <c r="A128" s="240">
        <f t="shared" si="3"/>
        <v>2009.11</v>
      </c>
      <c r="B128" s="3487">
        <v>0.7228596427120767</v>
      </c>
      <c r="C128" s="3549">
        <v>0.27714035728792324</v>
      </c>
      <c r="D128" s="2357">
        <f t="shared" si="2"/>
        <v>1</v>
      </c>
      <c r="E128" s="3483">
        <v>0.83076177217124114</v>
      </c>
      <c r="F128" s="3550">
        <v>0.16923822782875889</v>
      </c>
      <c r="G128" s="2358">
        <f t="shared" si="5"/>
        <v>1</v>
      </c>
      <c r="H128" s="2356">
        <f t="shared" si="1"/>
        <v>1</v>
      </c>
      <c r="I128" s="819">
        <v>0.9374955367627511</v>
      </c>
      <c r="J128" s="3548">
        <v>5.333997094474615E-2</v>
      </c>
      <c r="K128" s="2799">
        <v>9.1644922925027909E-3</v>
      </c>
      <c r="L128" s="2356">
        <f t="shared" si="4"/>
        <v>1</v>
      </c>
      <c r="M128" s="819">
        <v>0.97403703352195037</v>
      </c>
      <c r="N128" s="3548">
        <v>8.9536417428036502E-3</v>
      </c>
      <c r="O128" s="2801">
        <v>1.7009324735245929E-2</v>
      </c>
    </row>
    <row r="129" spans="1:15" s="238" customFormat="1">
      <c r="A129" s="240">
        <f t="shared" si="3"/>
        <v>2009.12</v>
      </c>
      <c r="B129" s="3487">
        <v>0.7467342801080824</v>
      </c>
      <c r="C129" s="3549">
        <v>0.25326571989191765</v>
      </c>
      <c r="D129" s="2357">
        <f t="shared" si="2"/>
        <v>1</v>
      </c>
      <c r="E129" s="3483">
        <v>0.83527763937318555</v>
      </c>
      <c r="F129" s="3550">
        <v>0.16472236062681447</v>
      </c>
      <c r="G129" s="2358">
        <f t="shared" si="5"/>
        <v>1</v>
      </c>
      <c r="H129" s="2356">
        <f t="shared" si="1"/>
        <v>1.0000000000000002</v>
      </c>
      <c r="I129" s="819">
        <v>0.95179183400575074</v>
      </c>
      <c r="J129" s="3548">
        <v>3.5476662627028394E-2</v>
      </c>
      <c r="K129" s="2799">
        <v>1.2731503367220964E-2</v>
      </c>
      <c r="L129" s="2356">
        <f t="shared" si="4"/>
        <v>1</v>
      </c>
      <c r="M129" s="819">
        <v>0.97867782577591955</v>
      </c>
      <c r="N129" s="3548">
        <v>2.0743206298062832E-2</v>
      </c>
      <c r="O129" s="2801">
        <v>5.78967926017625E-4</v>
      </c>
    </row>
    <row r="130" spans="1:15" s="238" customFormat="1">
      <c r="A130" s="240">
        <f t="shared" si="3"/>
        <v>2010.01</v>
      </c>
      <c r="B130" s="3487">
        <v>0.74494323249911087</v>
      </c>
      <c r="C130" s="3549">
        <v>0.25505676750088896</v>
      </c>
      <c r="D130" s="2357">
        <f t="shared" si="2"/>
        <v>0.99999999999999978</v>
      </c>
      <c r="E130" s="3483">
        <v>0.82715249711618555</v>
      </c>
      <c r="F130" s="3550">
        <v>0.17284750288381445</v>
      </c>
      <c r="G130" s="2358">
        <f t="shared" si="5"/>
        <v>1</v>
      </c>
      <c r="H130" s="2356">
        <f t="shared" si="1"/>
        <v>1.0000000000000002</v>
      </c>
      <c r="I130" s="819">
        <v>0.95179183400575074</v>
      </c>
      <c r="J130" s="3548">
        <v>3.5476662627028394E-2</v>
      </c>
      <c r="K130" s="2799">
        <v>1.2731503367220964E-2</v>
      </c>
      <c r="L130" s="2356">
        <f t="shared" si="4"/>
        <v>0.99999999999999989</v>
      </c>
      <c r="M130" s="819">
        <v>0.95761150856902599</v>
      </c>
      <c r="N130" s="3548">
        <v>2.501507651271016E-2</v>
      </c>
      <c r="O130" s="2801">
        <v>1.7373414918263771E-2</v>
      </c>
    </row>
    <row r="131" spans="1:15" s="238" customFormat="1">
      <c r="A131" s="240">
        <f t="shared" si="3"/>
        <v>2010.02</v>
      </c>
      <c r="B131" s="3487">
        <v>0.76595748984170842</v>
      </c>
      <c r="C131" s="3549">
        <v>0.23404251015829161</v>
      </c>
      <c r="D131" s="2357">
        <f t="shared" si="2"/>
        <v>1</v>
      </c>
      <c r="E131" s="3483">
        <v>0.84386885913902021</v>
      </c>
      <c r="F131" s="3550">
        <v>0.15613114086097979</v>
      </c>
      <c r="G131" s="2358">
        <f t="shared" si="5"/>
        <v>1</v>
      </c>
      <c r="H131" s="2356">
        <f t="shared" si="1"/>
        <v>1.0000000000000002</v>
      </c>
      <c r="I131" s="819">
        <v>0.95179183400575074</v>
      </c>
      <c r="J131" s="3548">
        <v>3.5476662627028394E-2</v>
      </c>
      <c r="K131" s="2799">
        <v>1.2731503367220964E-2</v>
      </c>
      <c r="L131" s="2356">
        <f t="shared" si="4"/>
        <v>1</v>
      </c>
      <c r="M131" s="819">
        <v>0.95586970741744726</v>
      </c>
      <c r="N131" s="3548">
        <v>2.7152939272831574E-2</v>
      </c>
      <c r="O131" s="2801">
        <v>1.6977353309721173E-2</v>
      </c>
    </row>
    <row r="132" spans="1:15" s="238" customFormat="1">
      <c r="A132" s="240">
        <f t="shared" si="3"/>
        <v>2010.03</v>
      </c>
      <c r="B132" s="3487">
        <v>0.73215936246952606</v>
      </c>
      <c r="C132" s="3549">
        <v>0.26784063753047399</v>
      </c>
      <c r="D132" s="2357">
        <f t="shared" si="2"/>
        <v>1</v>
      </c>
      <c r="E132" s="3483">
        <v>0.82958035344092051</v>
      </c>
      <c r="F132" s="3550">
        <v>0.17041964655907957</v>
      </c>
      <c r="G132" s="2358">
        <f t="shared" si="5"/>
        <v>1</v>
      </c>
      <c r="H132" s="2356">
        <f t="shared" si="1"/>
        <v>1</v>
      </c>
      <c r="I132" s="819">
        <v>0.94900391328812939</v>
      </c>
      <c r="J132" s="3548">
        <v>3.4969881381929774E-2</v>
      </c>
      <c r="K132" s="2799">
        <v>1.6026205329940868E-2</v>
      </c>
      <c r="L132" s="2356">
        <f t="shared" si="4"/>
        <v>1</v>
      </c>
      <c r="M132" s="819">
        <v>0.95859761251631537</v>
      </c>
      <c r="N132" s="3548">
        <v>1.8858987870349484E-2</v>
      </c>
      <c r="O132" s="2801">
        <v>2.2543399613335138E-2</v>
      </c>
    </row>
    <row r="133" spans="1:15" s="238" customFormat="1">
      <c r="A133" s="240">
        <f t="shared" si="3"/>
        <v>2010.04</v>
      </c>
      <c r="B133" s="3487">
        <v>0.67513886374484888</v>
      </c>
      <c r="C133" s="3549">
        <v>0.32486113625515101</v>
      </c>
      <c r="D133" s="2357">
        <f t="shared" si="2"/>
        <v>0.99999999999999989</v>
      </c>
      <c r="E133" s="3483">
        <v>0.84553134545213338</v>
      </c>
      <c r="F133" s="3550">
        <v>0.15446865454786651</v>
      </c>
      <c r="G133" s="2358">
        <f t="shared" si="5"/>
        <v>0.99999999999999989</v>
      </c>
      <c r="H133" s="2356">
        <f t="shared" si="1"/>
        <v>1</v>
      </c>
      <c r="I133" s="819">
        <v>0.97272089074581236</v>
      </c>
      <c r="J133" s="3548">
        <v>2.7064147950417873E-2</v>
      </c>
      <c r="K133" s="2799">
        <v>2.1496130376983606E-4</v>
      </c>
      <c r="L133" s="2356">
        <f t="shared" si="4"/>
        <v>0.99999999999999989</v>
      </c>
      <c r="M133" s="819">
        <v>0.99010725957632717</v>
      </c>
      <c r="N133" s="3548">
        <v>9.3170351832537052E-3</v>
      </c>
      <c r="O133" s="2801">
        <v>5.7570524041906641E-4</v>
      </c>
    </row>
    <row r="134" spans="1:15" s="238" customFormat="1">
      <c r="A134" s="240">
        <f t="shared" si="3"/>
        <v>2010.05</v>
      </c>
      <c r="B134" s="3487">
        <v>0.82540649503232189</v>
      </c>
      <c r="C134" s="3549">
        <v>0.1745935049676782</v>
      </c>
      <c r="D134" s="2357">
        <f t="shared" si="2"/>
        <v>1</v>
      </c>
      <c r="E134" s="3483">
        <v>0.78857325316271043</v>
      </c>
      <c r="F134" s="3550">
        <v>0.21142674683728957</v>
      </c>
      <c r="G134" s="2358">
        <f t="shared" si="5"/>
        <v>1</v>
      </c>
      <c r="H134" s="2356">
        <f t="shared" si="1"/>
        <v>1.0000000000000002</v>
      </c>
      <c r="I134" s="819">
        <v>0.93351411754355074</v>
      </c>
      <c r="J134" s="3548">
        <v>4.8659773513971744E-2</v>
      </c>
      <c r="K134" s="2799">
        <v>1.7826108942477652E-2</v>
      </c>
      <c r="L134" s="2356">
        <f t="shared" si="4"/>
        <v>1</v>
      </c>
      <c r="M134" s="819">
        <v>0.96258598796249961</v>
      </c>
      <c r="N134" s="3548">
        <v>3.3626133215413329E-2</v>
      </c>
      <c r="O134" s="2801">
        <v>3.7878788220871455E-3</v>
      </c>
    </row>
    <row r="135" spans="1:15" s="238" customFormat="1">
      <c r="A135" s="240">
        <f t="shared" si="3"/>
        <v>2010.06</v>
      </c>
      <c r="B135" s="3487">
        <v>0.72105445491623366</v>
      </c>
      <c r="C135" s="3549">
        <v>0.27894554508376629</v>
      </c>
      <c r="D135" s="2357">
        <f t="shared" si="2"/>
        <v>1</v>
      </c>
      <c r="E135" s="3483">
        <v>0.86287596303290681</v>
      </c>
      <c r="F135" s="3550">
        <v>0.13712403696709319</v>
      </c>
      <c r="G135" s="2358">
        <f t="shared" si="5"/>
        <v>1</v>
      </c>
      <c r="H135" s="2356">
        <f t="shared" si="1"/>
        <v>0.99999999999999989</v>
      </c>
      <c r="I135" s="819">
        <v>0.9373328193887065</v>
      </c>
      <c r="J135" s="3548">
        <v>4.9506836921183434E-2</v>
      </c>
      <c r="K135" s="2799">
        <v>1.3160343690110023E-2</v>
      </c>
      <c r="L135" s="2356">
        <f t="shared" si="4"/>
        <v>0.99999999999999989</v>
      </c>
      <c r="M135" s="819">
        <v>0.95238110370004991</v>
      </c>
      <c r="N135" s="3548">
        <v>2.9552582240220556E-2</v>
      </c>
      <c r="O135" s="2801">
        <v>1.8066314059729482E-2</v>
      </c>
    </row>
    <row r="136" spans="1:15" s="238" customFormat="1">
      <c r="A136" s="240">
        <f t="shared" si="3"/>
        <v>2010.07</v>
      </c>
      <c r="B136" s="3487">
        <v>0.73193543758877855</v>
      </c>
      <c r="C136" s="3549">
        <v>0.26806456241122151</v>
      </c>
      <c r="D136" s="2357">
        <f t="shared" si="2"/>
        <v>1</v>
      </c>
      <c r="E136" s="3483">
        <v>0.8617361285781403</v>
      </c>
      <c r="F136" s="3550">
        <v>0.13826387142185961</v>
      </c>
      <c r="G136" s="2358">
        <f t="shared" si="5"/>
        <v>0.99999999999999989</v>
      </c>
      <c r="H136" s="2356">
        <f t="shared" si="1"/>
        <v>1</v>
      </c>
      <c r="I136" s="819">
        <v>0.92939608655521366</v>
      </c>
      <c r="J136" s="3548">
        <v>5.1471682777631186E-2</v>
      </c>
      <c r="K136" s="2799">
        <v>1.913223066715514E-2</v>
      </c>
      <c r="L136" s="2356">
        <f t="shared" si="4"/>
        <v>1</v>
      </c>
      <c r="M136" s="819">
        <v>0.96507205883967528</v>
      </c>
      <c r="N136" s="3548">
        <v>2.1319426280471353E-2</v>
      </c>
      <c r="O136" s="2801">
        <v>1.3608514879853395E-2</v>
      </c>
    </row>
    <row r="137" spans="1:15" s="238" customFormat="1">
      <c r="A137" s="240">
        <f t="shared" si="3"/>
        <v>2010.08</v>
      </c>
      <c r="B137" s="3487">
        <v>0.7667144425602177</v>
      </c>
      <c r="C137" s="3549">
        <v>0.23328555743978219</v>
      </c>
      <c r="D137" s="2357">
        <f t="shared" si="2"/>
        <v>0.99999999999999989</v>
      </c>
      <c r="E137" s="3483">
        <v>0.85648290666389659</v>
      </c>
      <c r="F137" s="3550">
        <v>0.14351709333610338</v>
      </c>
      <c r="G137" s="2358">
        <f t="shared" si="5"/>
        <v>1</v>
      </c>
      <c r="H137" s="2356">
        <f t="shared" si="1"/>
        <v>1</v>
      </c>
      <c r="I137" s="819">
        <v>0.8839268913774605</v>
      </c>
      <c r="J137" s="3548">
        <v>0.10771264680903167</v>
      </c>
      <c r="K137" s="2799">
        <v>8.3604618135078527E-3</v>
      </c>
      <c r="L137" s="2356">
        <f t="shared" si="4"/>
        <v>1</v>
      </c>
      <c r="M137" s="819">
        <v>0.95458737275149441</v>
      </c>
      <c r="N137" s="3548">
        <v>1.4074207792771843E-2</v>
      </c>
      <c r="O137" s="2801">
        <v>3.1338419455733776E-2</v>
      </c>
    </row>
    <row r="138" spans="1:15" s="238" customFormat="1">
      <c r="A138" s="240">
        <f t="shared" si="3"/>
        <v>2010.09</v>
      </c>
      <c r="B138" s="3487">
        <v>0.67676233152428222</v>
      </c>
      <c r="C138" s="3549">
        <v>0.32323766847571767</v>
      </c>
      <c r="D138" s="2357">
        <f t="shared" si="2"/>
        <v>0.99999999999999989</v>
      </c>
      <c r="E138" s="3483">
        <v>0.86167792624481943</v>
      </c>
      <c r="F138" s="3550">
        <v>0.1383220737551806</v>
      </c>
      <c r="G138" s="2358">
        <f t="shared" si="5"/>
        <v>1</v>
      </c>
      <c r="H138" s="2356">
        <f t="shared" ref="H138:H201" si="6">+I138+J138+K138</f>
        <v>1</v>
      </c>
      <c r="I138" s="819">
        <v>0.92529050876759977</v>
      </c>
      <c r="J138" s="3548">
        <v>7.0231340471440362E-2</v>
      </c>
      <c r="K138" s="2799">
        <v>4.478150760959883E-3</v>
      </c>
      <c r="L138" s="2356">
        <f t="shared" si="4"/>
        <v>1</v>
      </c>
      <c r="M138" s="819">
        <v>0.95407895689326438</v>
      </c>
      <c r="N138" s="3548">
        <v>3.2308777362837569E-2</v>
      </c>
      <c r="O138" s="2801">
        <v>1.3612265743898027E-2</v>
      </c>
    </row>
    <row r="139" spans="1:15" s="238" customFormat="1">
      <c r="A139" s="240">
        <f t="shared" si="3"/>
        <v>2010.1</v>
      </c>
      <c r="B139" s="3487">
        <v>0.64738551530579647</v>
      </c>
      <c r="C139" s="3549">
        <v>0.35261448469420353</v>
      </c>
      <c r="D139" s="2357">
        <f t="shared" si="2"/>
        <v>1</v>
      </c>
      <c r="E139" s="3483">
        <v>0.86983392560937878</v>
      </c>
      <c r="F139" s="3550">
        <v>0.13016607439062131</v>
      </c>
      <c r="G139" s="2358">
        <f t="shared" si="5"/>
        <v>1</v>
      </c>
      <c r="H139" s="2356">
        <f t="shared" si="6"/>
        <v>1</v>
      </c>
      <c r="I139" s="819">
        <v>0.88997667233002931</v>
      </c>
      <c r="J139" s="3548">
        <v>8.1913217494705717E-2</v>
      </c>
      <c r="K139" s="2799">
        <v>2.8110110175265057E-2</v>
      </c>
      <c r="L139" s="2356">
        <f t="shared" si="4"/>
        <v>1</v>
      </c>
      <c r="M139" s="819">
        <v>0.98422151308941608</v>
      </c>
      <c r="N139" s="3548">
        <v>1.2328692380992316E-2</v>
      </c>
      <c r="O139" s="2801">
        <v>3.4497945295916032E-3</v>
      </c>
    </row>
    <row r="140" spans="1:15" s="238" customFormat="1">
      <c r="A140" s="240">
        <f t="shared" si="3"/>
        <v>2010.11</v>
      </c>
      <c r="B140" s="3487">
        <v>0.66945584284304127</v>
      </c>
      <c r="C140" s="3549">
        <v>0.33054415715695884</v>
      </c>
      <c r="D140" s="2357">
        <f t="shared" si="2"/>
        <v>1</v>
      </c>
      <c r="E140" s="3483">
        <v>0.82100613187198268</v>
      </c>
      <c r="F140" s="3550">
        <v>0.17899386812801724</v>
      </c>
      <c r="G140" s="2358">
        <f t="shared" si="5"/>
        <v>0.99999999999999989</v>
      </c>
      <c r="H140" s="2356">
        <f t="shared" si="6"/>
        <v>0.99999999999999978</v>
      </c>
      <c r="I140" s="819">
        <v>0.88230996228218028</v>
      </c>
      <c r="J140" s="3548">
        <v>9.7334175652052879E-2</v>
      </c>
      <c r="K140" s="2799">
        <v>2.0355862065766638E-2</v>
      </c>
      <c r="L140" s="2356">
        <f t="shared" si="4"/>
        <v>1</v>
      </c>
      <c r="M140" s="819">
        <v>0.9792464236649433</v>
      </c>
      <c r="N140" s="3548">
        <v>2.0753576335056648E-2</v>
      </c>
      <c r="O140" s="2801">
        <v>0</v>
      </c>
    </row>
    <row r="141" spans="1:15" s="238" customFormat="1">
      <c r="A141" s="240">
        <f t="shared" si="3"/>
        <v>2010.12</v>
      </c>
      <c r="B141" s="3487">
        <v>0.7344128892658125</v>
      </c>
      <c r="C141" s="3549">
        <v>0.26558711073418745</v>
      </c>
      <c r="D141" s="2357">
        <f t="shared" si="2"/>
        <v>1</v>
      </c>
      <c r="E141" s="3483">
        <v>0.85692945080154903</v>
      </c>
      <c r="F141" s="3550">
        <v>0.14307054919845097</v>
      </c>
      <c r="G141" s="2358">
        <f t="shared" si="5"/>
        <v>1</v>
      </c>
      <c r="H141" s="2356">
        <f t="shared" si="6"/>
        <v>0.99999999999999989</v>
      </c>
      <c r="I141" s="819">
        <v>0.94840852527269559</v>
      </c>
      <c r="J141" s="3548">
        <v>4.5234113419538424E-2</v>
      </c>
      <c r="K141" s="2799">
        <v>6.3573613077659193E-3</v>
      </c>
      <c r="L141" s="2356">
        <f t="shared" si="4"/>
        <v>0.99999999999999989</v>
      </c>
      <c r="M141" s="819">
        <v>0.92370485801727586</v>
      </c>
      <c r="N141" s="3548">
        <v>5.9420208636409455E-2</v>
      </c>
      <c r="O141" s="2801">
        <v>1.6874933346314638E-2</v>
      </c>
    </row>
    <row r="142" spans="1:15" s="238" customFormat="1">
      <c r="A142" s="240">
        <f t="shared" si="3"/>
        <v>2011.01</v>
      </c>
      <c r="B142" s="3487">
        <v>0.73853646244203364</v>
      </c>
      <c r="C142" s="3549">
        <v>0.26146353755796636</v>
      </c>
      <c r="D142" s="2357">
        <f t="shared" si="2"/>
        <v>1</v>
      </c>
      <c r="E142" s="3483">
        <v>0.85267207461904027</v>
      </c>
      <c r="F142" s="3550">
        <v>0.14732792538095976</v>
      </c>
      <c r="G142" s="2358">
        <f t="shared" si="5"/>
        <v>1</v>
      </c>
      <c r="H142" s="2356">
        <f t="shared" si="6"/>
        <v>0.99999999999999989</v>
      </c>
      <c r="I142" s="819">
        <v>0.88973125258156638</v>
      </c>
      <c r="J142" s="3548">
        <v>9.0149705989120074E-2</v>
      </c>
      <c r="K142" s="2799">
        <v>2.0119041429313426E-2</v>
      </c>
      <c r="L142" s="2356">
        <f t="shared" si="4"/>
        <v>1</v>
      </c>
      <c r="M142" s="819">
        <v>0.97968891442499628</v>
      </c>
      <c r="N142" s="3548">
        <v>1.4448817323025352E-2</v>
      </c>
      <c r="O142" s="2801">
        <v>5.8622682519783873E-3</v>
      </c>
    </row>
    <row r="143" spans="1:15" s="238" customFormat="1">
      <c r="A143" s="240">
        <f t="shared" si="3"/>
        <v>2011.02</v>
      </c>
      <c r="B143" s="3487">
        <v>0.6612059292071083</v>
      </c>
      <c r="C143" s="3549">
        <v>0.33879407079289153</v>
      </c>
      <c r="D143" s="2357">
        <f t="shared" si="2"/>
        <v>0.99999999999999978</v>
      </c>
      <c r="E143" s="3483">
        <v>0.82791632769386647</v>
      </c>
      <c r="F143" s="3550">
        <v>0.17208367230613336</v>
      </c>
      <c r="G143" s="2358">
        <f t="shared" si="5"/>
        <v>0.99999999999999978</v>
      </c>
      <c r="H143" s="2356">
        <f t="shared" si="6"/>
        <v>1</v>
      </c>
      <c r="I143" s="819">
        <v>0.88680496075508231</v>
      </c>
      <c r="J143" s="3548">
        <v>6.3835974933347986E-2</v>
      </c>
      <c r="K143" s="2799">
        <v>4.9359064311569625E-2</v>
      </c>
      <c r="L143" s="2356">
        <f t="shared" si="4"/>
        <v>0.99999999999999989</v>
      </c>
      <c r="M143" s="819">
        <v>0.94941776698114244</v>
      </c>
      <c r="N143" s="3548">
        <v>4.5130273323225667E-2</v>
      </c>
      <c r="O143" s="2801">
        <v>5.4519596956318188E-3</v>
      </c>
    </row>
    <row r="144" spans="1:15" s="238" customFormat="1">
      <c r="A144" s="240">
        <f t="shared" si="3"/>
        <v>2011.03</v>
      </c>
      <c r="B144" s="3487">
        <v>0.67112302609069263</v>
      </c>
      <c r="C144" s="3549">
        <v>0.32887697390930731</v>
      </c>
      <c r="D144" s="2357">
        <f t="shared" si="2"/>
        <v>1</v>
      </c>
      <c r="E144" s="3483">
        <v>0.77810105431562493</v>
      </c>
      <c r="F144" s="3550">
        <v>0.22189894568437513</v>
      </c>
      <c r="G144" s="2358">
        <f t="shared" si="5"/>
        <v>1</v>
      </c>
      <c r="H144" s="2356">
        <f t="shared" si="6"/>
        <v>1</v>
      </c>
      <c r="I144" s="819">
        <v>0.86309546178006413</v>
      </c>
      <c r="J144" s="3548">
        <v>0.1090804716253297</v>
      </c>
      <c r="K144" s="2799">
        <v>2.7824066594606168E-2</v>
      </c>
      <c r="L144" s="2356">
        <f t="shared" si="4"/>
        <v>1</v>
      </c>
      <c r="M144" s="819">
        <v>0.98001567226870834</v>
      </c>
      <c r="N144" s="3548">
        <v>1.2563489817299055E-2</v>
      </c>
      <c r="O144" s="2801">
        <v>7.4208379139925722E-3</v>
      </c>
    </row>
    <row r="145" spans="1:15" s="238" customFormat="1">
      <c r="A145" s="240">
        <f t="shared" si="3"/>
        <v>2011.04</v>
      </c>
      <c r="B145" s="3487">
        <v>0.65519296538735394</v>
      </c>
      <c r="C145" s="3549">
        <v>0.34480703461264611</v>
      </c>
      <c r="D145" s="2357">
        <f t="shared" si="2"/>
        <v>1</v>
      </c>
      <c r="E145" s="3483">
        <v>0.81968580456240592</v>
      </c>
      <c r="F145" s="3550">
        <v>0.18031419543759403</v>
      </c>
      <c r="G145" s="2358">
        <f t="shared" si="5"/>
        <v>1</v>
      </c>
      <c r="H145" s="2356">
        <f t="shared" si="6"/>
        <v>0.99999999999999978</v>
      </c>
      <c r="I145" s="819">
        <v>0.89027055781299902</v>
      </c>
      <c r="J145" s="3548">
        <v>8.3039054072624519E-2</v>
      </c>
      <c r="K145" s="2799">
        <v>2.6690388114376323E-2</v>
      </c>
      <c r="L145" s="2356">
        <f t="shared" si="4"/>
        <v>1</v>
      </c>
      <c r="M145" s="819">
        <v>0.95166364808822612</v>
      </c>
      <c r="N145" s="3548">
        <v>4.6192887951273465E-2</v>
      </c>
      <c r="O145" s="2801">
        <v>2.1434639605004478E-3</v>
      </c>
    </row>
    <row r="146" spans="1:15" s="238" customFormat="1">
      <c r="A146" s="240">
        <f t="shared" si="3"/>
        <v>2011.05</v>
      </c>
      <c r="B146" s="3487">
        <v>0.63342991218461042</v>
      </c>
      <c r="C146" s="3549">
        <v>0.36657008781538958</v>
      </c>
      <c r="D146" s="2357">
        <f t="shared" si="2"/>
        <v>1</v>
      </c>
      <c r="E146" s="3483">
        <v>0.84138728818705966</v>
      </c>
      <c r="F146" s="3550">
        <v>0.15861271181294026</v>
      </c>
      <c r="G146" s="2358">
        <f t="shared" si="5"/>
        <v>0.99999999999999989</v>
      </c>
      <c r="H146" s="2356">
        <f t="shared" si="6"/>
        <v>1</v>
      </c>
      <c r="I146" s="819">
        <v>0.88584592005980212</v>
      </c>
      <c r="J146" s="3548">
        <v>9.6715609779839382E-2</v>
      </c>
      <c r="K146" s="2799">
        <v>1.7438470160358474E-2</v>
      </c>
      <c r="L146" s="2356">
        <f t="shared" si="4"/>
        <v>1</v>
      </c>
      <c r="M146" s="819">
        <v>0.97554318899912162</v>
      </c>
      <c r="N146" s="3548">
        <v>1.6690518684471269E-2</v>
      </c>
      <c r="O146" s="2801">
        <v>7.7662923164071272E-3</v>
      </c>
    </row>
    <row r="147" spans="1:15" s="238" customFormat="1">
      <c r="A147" s="240">
        <f t="shared" si="3"/>
        <v>2011.06</v>
      </c>
      <c r="B147" s="3487">
        <v>0.63873845759395398</v>
      </c>
      <c r="C147" s="3549">
        <v>0.36126154240604608</v>
      </c>
      <c r="D147" s="2357">
        <f t="shared" si="2"/>
        <v>1</v>
      </c>
      <c r="E147" s="3483">
        <v>0.85783442884801264</v>
      </c>
      <c r="F147" s="3550">
        <v>0.14216557115198744</v>
      </c>
      <c r="G147" s="2358">
        <f t="shared" si="5"/>
        <v>1</v>
      </c>
      <c r="H147" s="2356">
        <f t="shared" si="6"/>
        <v>1</v>
      </c>
      <c r="I147" s="819">
        <v>0.89518630066064819</v>
      </c>
      <c r="J147" s="3548">
        <v>0.10460223814273725</v>
      </c>
      <c r="K147" s="2799">
        <v>2.1146119661450809E-4</v>
      </c>
      <c r="L147" s="2356">
        <f t="shared" si="4"/>
        <v>0.99999999999999989</v>
      </c>
      <c r="M147" s="819">
        <v>0.97984219532285433</v>
      </c>
      <c r="N147" s="3548">
        <v>9.7560976801139791E-3</v>
      </c>
      <c r="O147" s="2801">
        <v>1.0401706997031619E-2</v>
      </c>
    </row>
    <row r="148" spans="1:15" s="238" customFormat="1">
      <c r="A148" s="240">
        <f t="shared" si="3"/>
        <v>2011.07</v>
      </c>
      <c r="B148" s="3487">
        <v>0.58584686158459676</v>
      </c>
      <c r="C148" s="3549">
        <v>0.41415313841540324</v>
      </c>
      <c r="D148" s="2357">
        <f t="shared" si="2"/>
        <v>1</v>
      </c>
      <c r="E148" s="3483">
        <v>0.84043755281674648</v>
      </c>
      <c r="F148" s="3550">
        <v>0.15956244718325338</v>
      </c>
      <c r="G148" s="2358">
        <f t="shared" si="5"/>
        <v>0.99999999999999989</v>
      </c>
      <c r="H148" s="2356">
        <f t="shared" si="6"/>
        <v>1</v>
      </c>
      <c r="I148" s="819">
        <v>0.9001224987509947</v>
      </c>
      <c r="J148" s="3548">
        <v>8.0889440113141045E-2</v>
      </c>
      <c r="K148" s="2799">
        <v>1.8988061135864251E-2</v>
      </c>
      <c r="L148" s="2356">
        <f t="shared" si="4"/>
        <v>1</v>
      </c>
      <c r="M148" s="819">
        <v>0.9666691554892537</v>
      </c>
      <c r="N148" s="3548">
        <v>1.7001602501761175E-2</v>
      </c>
      <c r="O148" s="2801">
        <v>1.6329242008985129E-2</v>
      </c>
    </row>
    <row r="149" spans="1:15" s="238" customFormat="1">
      <c r="A149" s="240">
        <f t="shared" si="3"/>
        <v>2011.08</v>
      </c>
      <c r="B149" s="3487">
        <v>0.63180146848932395</v>
      </c>
      <c r="C149" s="3549">
        <v>0.368198531510676</v>
      </c>
      <c r="D149" s="2357">
        <f t="shared" si="2"/>
        <v>1</v>
      </c>
      <c r="E149" s="3483">
        <v>0.87157654487551572</v>
      </c>
      <c r="F149" s="3550">
        <v>0.12842345512448447</v>
      </c>
      <c r="G149" s="2358">
        <f t="shared" si="5"/>
        <v>1.0000000000000002</v>
      </c>
      <c r="H149" s="2356">
        <f t="shared" si="6"/>
        <v>1</v>
      </c>
      <c r="I149" s="819">
        <v>0.92938462221774298</v>
      </c>
      <c r="J149" s="3548">
        <v>7.0615377782257016E-2</v>
      </c>
      <c r="K149" s="2799">
        <v>0</v>
      </c>
      <c r="L149" s="2356">
        <f t="shared" si="4"/>
        <v>0.99999999999999989</v>
      </c>
      <c r="M149" s="819">
        <v>0.95932247160813799</v>
      </c>
      <c r="N149" s="3548">
        <v>3.2721781248675558E-2</v>
      </c>
      <c r="O149" s="2801">
        <v>7.9557471431863976E-3</v>
      </c>
    </row>
    <row r="150" spans="1:15" s="238" customFormat="1">
      <c r="A150" s="240">
        <f t="shared" si="3"/>
        <v>2011.09</v>
      </c>
      <c r="B150" s="3487">
        <v>0.63555021443097304</v>
      </c>
      <c r="C150" s="3549">
        <v>0.36444978556902702</v>
      </c>
      <c r="D150" s="2357">
        <f t="shared" si="2"/>
        <v>1</v>
      </c>
      <c r="E150" s="3483">
        <v>0.89132760313246739</v>
      </c>
      <c r="F150" s="3550">
        <v>0.10867239686753258</v>
      </c>
      <c r="G150" s="2358">
        <f t="shared" si="5"/>
        <v>1</v>
      </c>
      <c r="H150" s="2356">
        <f t="shared" si="6"/>
        <v>1</v>
      </c>
      <c r="I150" s="819">
        <v>0.88691790517608782</v>
      </c>
      <c r="J150" s="3548">
        <v>0.11308209482391222</v>
      </c>
      <c r="K150" s="2799">
        <v>0</v>
      </c>
      <c r="L150" s="2356">
        <f t="shared" si="4"/>
        <v>1.0000000000000002</v>
      </c>
      <c r="M150" s="819">
        <v>0.97549986214906459</v>
      </c>
      <c r="N150" s="3548">
        <v>1.5959138621566133E-2</v>
      </c>
      <c r="O150" s="2801">
        <v>8.540999229369392E-3</v>
      </c>
    </row>
    <row r="151" spans="1:15" s="238" customFormat="1">
      <c r="A151" s="240">
        <f t="shared" si="3"/>
        <v>2011.1</v>
      </c>
      <c r="B151" s="3487">
        <v>0.6847677624602333</v>
      </c>
      <c r="C151" s="3549">
        <v>0.3152322375397667</v>
      </c>
      <c r="D151" s="2357">
        <f t="shared" si="2"/>
        <v>1</v>
      </c>
      <c r="E151" s="3483">
        <v>0.80728214954071387</v>
      </c>
      <c r="F151" s="3550">
        <v>0.19271785045928602</v>
      </c>
      <c r="G151" s="2358">
        <f t="shared" si="5"/>
        <v>0.99999999999999989</v>
      </c>
      <c r="H151" s="2356">
        <f t="shared" si="6"/>
        <v>1</v>
      </c>
      <c r="I151" s="819">
        <v>0.86654082714740199</v>
      </c>
      <c r="J151" s="3548">
        <v>8.7677624602332999E-2</v>
      </c>
      <c r="K151" s="2799">
        <v>4.5781548250265126E-2</v>
      </c>
      <c r="L151" s="2356">
        <f t="shared" si="4"/>
        <v>1</v>
      </c>
      <c r="M151" s="819">
        <v>0.97321721415454288</v>
      </c>
      <c r="N151" s="3548">
        <v>1.691224710492081E-2</v>
      </c>
      <c r="O151" s="2801">
        <v>9.870538740536285E-3</v>
      </c>
    </row>
    <row r="152" spans="1:15" s="238" customFormat="1">
      <c r="A152" s="240">
        <f t="shared" si="3"/>
        <v>2011.11</v>
      </c>
      <c r="B152" s="3487">
        <v>0.54982815942208141</v>
      </c>
      <c r="C152" s="3549">
        <v>0.45017184057791865</v>
      </c>
      <c r="D152" s="2357">
        <f t="shared" si="2"/>
        <v>1</v>
      </c>
      <c r="E152" s="3483">
        <v>0.79088826081770014</v>
      </c>
      <c r="F152" s="3550">
        <v>0.20911173918229994</v>
      </c>
      <c r="G152" s="2358">
        <f t="shared" si="5"/>
        <v>1</v>
      </c>
      <c r="H152" s="2356">
        <f t="shared" si="6"/>
        <v>1.0000000000000002</v>
      </c>
      <c r="I152" s="819">
        <v>0.84611654393687075</v>
      </c>
      <c r="J152" s="3548">
        <v>0.10245593641007607</v>
      </c>
      <c r="K152" s="2799">
        <v>5.1427519653053304E-2</v>
      </c>
      <c r="L152" s="2356">
        <f t="shared" si="4"/>
        <v>1</v>
      </c>
      <c r="M152" s="819">
        <v>0.95027572180129194</v>
      </c>
      <c r="N152" s="3548">
        <v>3.5207185993198817E-2</v>
      </c>
      <c r="O152" s="2801">
        <v>1.4517092205509188E-2</v>
      </c>
    </row>
    <row r="153" spans="1:15" s="238" customFormat="1">
      <c r="A153" s="240">
        <f t="shared" si="3"/>
        <v>2011.12</v>
      </c>
      <c r="B153" s="3487">
        <v>0.65710085933966522</v>
      </c>
      <c r="C153" s="3549">
        <v>0.34289914066033467</v>
      </c>
      <c r="D153" s="2357">
        <f t="shared" si="2"/>
        <v>0.99999999999999989</v>
      </c>
      <c r="E153" s="3483">
        <v>0.63095802130490219</v>
      </c>
      <c r="F153" s="3550">
        <v>0.36904197869509786</v>
      </c>
      <c r="G153" s="2358">
        <f t="shared" si="5"/>
        <v>1</v>
      </c>
      <c r="H153" s="2356">
        <f t="shared" si="6"/>
        <v>1</v>
      </c>
      <c r="I153" s="819">
        <v>0.92457242101406834</v>
      </c>
      <c r="J153" s="3548">
        <v>3.7573581125239994E-2</v>
      </c>
      <c r="K153" s="2799">
        <v>3.7853997860691678E-2</v>
      </c>
      <c r="L153" s="2356">
        <f t="shared" si="4"/>
        <v>1.0000000000000002</v>
      </c>
      <c r="M153" s="819">
        <v>0.85990607924213913</v>
      </c>
      <c r="N153" s="3548">
        <v>3.8122050546066884E-2</v>
      </c>
      <c r="O153" s="2801">
        <v>0.10197187021179412</v>
      </c>
    </row>
    <row r="154" spans="1:15" s="238" customFormat="1">
      <c r="A154" s="240">
        <f t="shared" si="3"/>
        <v>2012.01</v>
      </c>
      <c r="B154" s="3487">
        <v>0.61288493672459221</v>
      </c>
      <c r="C154" s="3549">
        <v>0.38711506327540773</v>
      </c>
      <c r="D154" s="2357">
        <f t="shared" si="2"/>
        <v>1</v>
      </c>
      <c r="E154" s="3483">
        <v>0.87741156404248755</v>
      </c>
      <c r="F154" s="3550">
        <v>0.12258843595751241</v>
      </c>
      <c r="G154" s="2358">
        <f t="shared" si="5"/>
        <v>1</v>
      </c>
      <c r="H154" s="2356">
        <f t="shared" si="6"/>
        <v>1.0000000000000002</v>
      </c>
      <c r="I154" s="819">
        <v>0.89392385480762482</v>
      </c>
      <c r="J154" s="3548">
        <v>9.0412835179726828E-2</v>
      </c>
      <c r="K154" s="2799">
        <v>1.5663310012648458E-2</v>
      </c>
      <c r="L154" s="2356">
        <f t="shared" si="4"/>
        <v>1</v>
      </c>
      <c r="M154" s="819">
        <v>0.97354430108905565</v>
      </c>
      <c r="N154" s="3548">
        <v>1.7194769273185931E-2</v>
      </c>
      <c r="O154" s="2801">
        <v>9.2609296377583646E-3</v>
      </c>
    </row>
    <row r="155" spans="1:15" s="238" customFormat="1">
      <c r="A155" s="240">
        <f t="shared" si="3"/>
        <v>2012.02</v>
      </c>
      <c r="B155" s="3487">
        <v>0.68377646680106208</v>
      </c>
      <c r="C155" s="3549">
        <v>0.31622353319893798</v>
      </c>
      <c r="D155" s="2357">
        <f t="shared" si="2"/>
        <v>1</v>
      </c>
      <c r="E155" s="3483">
        <v>0.75360365597271173</v>
      </c>
      <c r="F155" s="3550">
        <v>0.24639634402728816</v>
      </c>
      <c r="G155" s="2358">
        <f t="shared" si="5"/>
        <v>0.99999999999999989</v>
      </c>
      <c r="H155" s="2356">
        <f t="shared" si="6"/>
        <v>1.0000000000000002</v>
      </c>
      <c r="I155" s="819">
        <v>0.85598988038035495</v>
      </c>
      <c r="J155" s="3548">
        <v>0.11652740589153415</v>
      </c>
      <c r="K155" s="2799">
        <v>2.7482713728110984E-2</v>
      </c>
      <c r="L155" s="2356">
        <f t="shared" si="4"/>
        <v>1.0000000000000002</v>
      </c>
      <c r="M155" s="819">
        <v>0.9005596050778979</v>
      </c>
      <c r="N155" s="3548">
        <v>2.9366029288678569E-2</v>
      </c>
      <c r="O155" s="2801">
        <v>7.0074365633423633E-2</v>
      </c>
    </row>
    <row r="156" spans="1:15" s="238" customFormat="1">
      <c r="A156" s="240">
        <f t="shared" si="3"/>
        <v>2012.03</v>
      </c>
      <c r="B156" s="3487">
        <v>0.67723142229301037</v>
      </c>
      <c r="C156" s="3549">
        <v>0.32276857770698969</v>
      </c>
      <c r="D156" s="2357">
        <f t="shared" si="2"/>
        <v>1</v>
      </c>
      <c r="E156" s="3483">
        <v>0.73171568683298815</v>
      </c>
      <c r="F156" s="3550">
        <v>0.2682843131670119</v>
      </c>
      <c r="G156" s="2358">
        <f t="shared" si="5"/>
        <v>1</v>
      </c>
      <c r="H156" s="2356">
        <f t="shared" si="6"/>
        <v>1</v>
      </c>
      <c r="I156" s="819">
        <v>0.88632506915476017</v>
      </c>
      <c r="J156" s="3548">
        <v>0.10507514680456795</v>
      </c>
      <c r="K156" s="2799">
        <v>8.5997840406718193E-3</v>
      </c>
      <c r="L156" s="2356">
        <f t="shared" si="4"/>
        <v>1</v>
      </c>
      <c r="M156" s="819">
        <v>0.91896088975529766</v>
      </c>
      <c r="N156" s="3548">
        <v>4.8971874334219463E-2</v>
      </c>
      <c r="O156" s="2801">
        <v>3.2067235910482841E-2</v>
      </c>
    </row>
    <row r="157" spans="1:15" s="238" customFormat="1">
      <c r="A157" s="240">
        <f t="shared" si="3"/>
        <v>2012.04</v>
      </c>
      <c r="B157" s="3487">
        <v>0.673427086683965</v>
      </c>
      <c r="C157" s="3549">
        <v>0.32657291331603494</v>
      </c>
      <c r="D157" s="2357">
        <f t="shared" ref="D157:D220" si="7">B157+C157</f>
        <v>1</v>
      </c>
      <c r="E157" s="3483">
        <v>0.79468953363653694</v>
      </c>
      <c r="F157" s="3550">
        <v>0.20531046636346315</v>
      </c>
      <c r="G157" s="2358">
        <f t="shared" si="5"/>
        <v>1</v>
      </c>
      <c r="H157" s="2356">
        <f t="shared" si="6"/>
        <v>1.0000000000000002</v>
      </c>
      <c r="I157" s="819">
        <v>0.91089797785365367</v>
      </c>
      <c r="J157" s="3548">
        <v>7.2391497556706569E-2</v>
      </c>
      <c r="K157" s="2799">
        <v>1.6710524589639859E-2</v>
      </c>
      <c r="L157" s="2356">
        <f t="shared" si="4"/>
        <v>1</v>
      </c>
      <c r="M157" s="819">
        <v>0.94010909930500208</v>
      </c>
      <c r="N157" s="3548">
        <v>3.1402386916646166E-2</v>
      </c>
      <c r="O157" s="2801">
        <v>2.8488513778351668E-2</v>
      </c>
    </row>
    <row r="158" spans="1:15" s="238" customFormat="1">
      <c r="A158" s="240">
        <f t="shared" si="3"/>
        <v>2012.05</v>
      </c>
      <c r="B158" s="3487">
        <v>0.60766242551654381</v>
      </c>
      <c r="C158" s="3549">
        <v>0.39233757448345613</v>
      </c>
      <c r="D158" s="2357">
        <f t="shared" si="7"/>
        <v>1</v>
      </c>
      <c r="E158" s="3483">
        <v>0.75303481873483957</v>
      </c>
      <c r="F158" s="3550">
        <v>0.24696518126516037</v>
      </c>
      <c r="G158" s="2358">
        <f t="shared" si="5"/>
        <v>1</v>
      </c>
      <c r="H158" s="2356">
        <f t="shared" si="6"/>
        <v>0.99999999999999989</v>
      </c>
      <c r="I158" s="819">
        <v>0.89565057073178944</v>
      </c>
      <c r="J158" s="3548">
        <v>7.5800599383768083E-2</v>
      </c>
      <c r="K158" s="2799">
        <v>2.8548829884442409E-2</v>
      </c>
      <c r="L158" s="2356">
        <f t="shared" si="4"/>
        <v>0.99999999999999989</v>
      </c>
      <c r="M158" s="819">
        <v>0.96725925132840118</v>
      </c>
      <c r="N158" s="3548">
        <v>2.5040411926810054E-2</v>
      </c>
      <c r="O158" s="2801">
        <v>7.7003367447886417E-3</v>
      </c>
    </row>
    <row r="159" spans="1:15" s="238" customFormat="1">
      <c r="A159" s="240">
        <f t="shared" si="3"/>
        <v>2012.06</v>
      </c>
      <c r="B159" s="3487">
        <v>0.72808220184244565</v>
      </c>
      <c r="C159" s="3549">
        <v>0.2719177981575544</v>
      </c>
      <c r="D159" s="2357">
        <f t="shared" si="7"/>
        <v>1</v>
      </c>
      <c r="E159" s="3483">
        <v>0.83516531760001489</v>
      </c>
      <c r="F159" s="3550">
        <v>0.16483468239998497</v>
      </c>
      <c r="G159" s="2358">
        <f t="shared" si="5"/>
        <v>0.99999999999999989</v>
      </c>
      <c r="H159" s="2356">
        <f t="shared" si="6"/>
        <v>0.99999999999999989</v>
      </c>
      <c r="I159" s="819">
        <v>0.86984191005293876</v>
      </c>
      <c r="J159" s="3548">
        <v>9.1410933785654153E-2</v>
      </c>
      <c r="K159" s="2799">
        <v>3.8747156161407038E-2</v>
      </c>
      <c r="L159" s="2356">
        <f t="shared" si="4"/>
        <v>1.0000000000000002</v>
      </c>
      <c r="M159" s="819">
        <v>0.96432806840540086</v>
      </c>
      <c r="N159" s="3548">
        <v>1.7019477335122983E-2</v>
      </c>
      <c r="O159" s="2801">
        <v>1.8652454259476266E-2</v>
      </c>
    </row>
    <row r="160" spans="1:15" s="238" customFormat="1">
      <c r="A160" s="240">
        <f t="shared" si="3"/>
        <v>2012.07</v>
      </c>
      <c r="B160" s="3487">
        <v>0.71511040191002873</v>
      </c>
      <c r="C160" s="3549">
        <v>0.28488959808997122</v>
      </c>
      <c r="D160" s="2357">
        <f t="shared" si="7"/>
        <v>1</v>
      </c>
      <c r="E160" s="3483">
        <v>0.82735179492469835</v>
      </c>
      <c r="F160" s="3550">
        <v>0.17264820507530157</v>
      </c>
      <c r="G160" s="2358">
        <f t="shared" si="5"/>
        <v>0.99999999999999989</v>
      </c>
      <c r="H160" s="2356">
        <f t="shared" si="6"/>
        <v>1</v>
      </c>
      <c r="I160" s="819">
        <v>0.92328994692927568</v>
      </c>
      <c r="J160" s="3548">
        <v>2.8187980180178006E-2</v>
      </c>
      <c r="K160" s="2799">
        <v>4.8522072890546344E-2</v>
      </c>
      <c r="L160" s="2356">
        <f t="shared" si="4"/>
        <v>1</v>
      </c>
      <c r="M160" s="819">
        <v>0.91221962883450947</v>
      </c>
      <c r="N160" s="3548">
        <v>5.9154199910476747E-2</v>
      </c>
      <c r="O160" s="2801">
        <v>2.8626171255013724E-2</v>
      </c>
    </row>
    <row r="161" spans="1:15" s="238" customFormat="1">
      <c r="A161" s="240">
        <f t="shared" si="3"/>
        <v>2012.08</v>
      </c>
      <c r="B161" s="3487">
        <v>0.72196177935939587</v>
      </c>
      <c r="C161" s="3549">
        <v>0.27803822064060407</v>
      </c>
      <c r="D161" s="2357">
        <f t="shared" si="7"/>
        <v>1</v>
      </c>
      <c r="E161" s="3483">
        <v>0.80632685556805739</v>
      </c>
      <c r="F161" s="3550">
        <v>0.1936731444319425</v>
      </c>
      <c r="G161" s="2358">
        <f t="shared" si="5"/>
        <v>0.99999999999999989</v>
      </c>
      <c r="H161" s="2356">
        <f t="shared" si="6"/>
        <v>1</v>
      </c>
      <c r="I161" s="819">
        <v>0.87502096262010509</v>
      </c>
      <c r="J161" s="3548">
        <v>8.9369020464822368E-2</v>
      </c>
      <c r="K161" s="2799">
        <v>3.5610016915072644E-2</v>
      </c>
      <c r="L161" s="2356">
        <f t="shared" si="4"/>
        <v>1</v>
      </c>
      <c r="M161" s="819">
        <v>0.98500000018816791</v>
      </c>
      <c r="N161" s="3548">
        <v>1.1213503597754082E-2</v>
      </c>
      <c r="O161" s="2801">
        <v>3.7864962140779718E-3</v>
      </c>
    </row>
    <row r="162" spans="1:15" s="238" customFormat="1">
      <c r="A162" s="240">
        <f t="shared" si="3"/>
        <v>2012.09</v>
      </c>
      <c r="B162" s="3487">
        <v>0.64023333558266871</v>
      </c>
      <c r="C162" s="3549">
        <v>0.35976666441733129</v>
      </c>
      <c r="D162" s="2357">
        <f t="shared" si="7"/>
        <v>1</v>
      </c>
      <c r="E162" s="3483">
        <v>0.76365022617784817</v>
      </c>
      <c r="F162" s="3550">
        <v>0.23634977382215192</v>
      </c>
      <c r="G162" s="2358">
        <f t="shared" si="5"/>
        <v>1</v>
      </c>
      <c r="H162" s="2356">
        <f t="shared" si="6"/>
        <v>1</v>
      </c>
      <c r="I162" s="819">
        <v>0.92881784519698929</v>
      </c>
      <c r="J162" s="3548">
        <v>4.615256174695171E-2</v>
      </c>
      <c r="K162" s="2799">
        <v>2.502959305605899E-2</v>
      </c>
      <c r="L162" s="2356">
        <f t="shared" si="4"/>
        <v>1.0000000000000002</v>
      </c>
      <c r="M162" s="819">
        <v>0.97966732247421495</v>
      </c>
      <c r="N162" s="3548">
        <v>7.8526688961391301E-3</v>
      </c>
      <c r="O162" s="2801">
        <v>1.2480008629646055E-2</v>
      </c>
    </row>
    <row r="163" spans="1:15" s="238" customFormat="1">
      <c r="A163" s="240">
        <f t="shared" si="3"/>
        <v>2012.1</v>
      </c>
      <c r="B163" s="3487">
        <v>0.70889420247663437</v>
      </c>
      <c r="C163" s="3549">
        <v>0.29110579752336557</v>
      </c>
      <c r="D163" s="2357">
        <f t="shared" si="7"/>
        <v>1</v>
      </c>
      <c r="E163" s="3483">
        <v>0.79209052171586269</v>
      </c>
      <c r="F163" s="3550">
        <v>0.20790947828413739</v>
      </c>
      <c r="G163" s="2358">
        <f t="shared" si="5"/>
        <v>1</v>
      </c>
      <c r="H163" s="2356">
        <f t="shared" si="6"/>
        <v>1</v>
      </c>
      <c r="I163" s="819">
        <v>0.87829077302380165</v>
      </c>
      <c r="J163" s="3548">
        <v>8.7938237875782643E-2</v>
      </c>
      <c r="K163" s="2799">
        <v>3.3770989100415719E-2</v>
      </c>
      <c r="L163" s="2356">
        <f t="shared" si="4"/>
        <v>1</v>
      </c>
      <c r="M163" s="819">
        <v>0.98105247550811436</v>
      </c>
      <c r="N163" s="3548">
        <v>1.6674170251130806E-2</v>
      </c>
      <c r="O163" s="2801">
        <v>2.2733542407548258E-3</v>
      </c>
    </row>
    <row r="164" spans="1:15" s="238" customFormat="1">
      <c r="A164" s="240">
        <f t="shared" si="3"/>
        <v>2012.11</v>
      </c>
      <c r="B164" s="3487">
        <v>0.63571194166258305</v>
      </c>
      <c r="C164" s="3549">
        <v>0.3642880583374169</v>
      </c>
      <c r="D164" s="2357">
        <f t="shared" si="7"/>
        <v>1</v>
      </c>
      <c r="E164" s="3483">
        <v>0.77264116208132483</v>
      </c>
      <c r="F164" s="3550">
        <v>0.22735883791867523</v>
      </c>
      <c r="G164" s="2358">
        <f t="shared" si="5"/>
        <v>1</v>
      </c>
      <c r="H164" s="2356">
        <f t="shared" si="6"/>
        <v>1</v>
      </c>
      <c r="I164" s="819">
        <v>0.90113955550362834</v>
      </c>
      <c r="J164" s="3548">
        <v>8.1549821696682526E-2</v>
      </c>
      <c r="K164" s="2799">
        <v>1.7310622799689094E-2</v>
      </c>
      <c r="L164" s="2356">
        <f t="shared" si="4"/>
        <v>1</v>
      </c>
      <c r="M164" s="819">
        <v>0.9682860522710961</v>
      </c>
      <c r="N164" s="3548">
        <v>1.8501459412479881E-2</v>
      </c>
      <c r="O164" s="2801">
        <v>1.3212488316424074E-2</v>
      </c>
    </row>
    <row r="165" spans="1:15" s="238" customFormat="1">
      <c r="A165" s="240">
        <f t="shared" si="3"/>
        <v>2012.12</v>
      </c>
      <c r="B165" s="3487">
        <v>0.79282346714625052</v>
      </c>
      <c r="C165" s="3549">
        <v>0.20717653285374954</v>
      </c>
      <c r="D165" s="2357">
        <f t="shared" si="7"/>
        <v>1</v>
      </c>
      <c r="E165" s="3483">
        <v>0.84557028302448078</v>
      </c>
      <c r="F165" s="3550">
        <v>0.15442971697551935</v>
      </c>
      <c r="G165" s="2358">
        <f t="shared" si="5"/>
        <v>1.0000000000000002</v>
      </c>
      <c r="H165" s="2356">
        <f t="shared" si="6"/>
        <v>1</v>
      </c>
      <c r="I165" s="819">
        <v>0.88967299371338204</v>
      </c>
      <c r="J165" s="3548">
        <v>0.10073190213357371</v>
      </c>
      <c r="K165" s="2799">
        <v>9.595104153044258E-3</v>
      </c>
      <c r="L165" s="2356">
        <f t="shared" si="4"/>
        <v>1</v>
      </c>
      <c r="M165" s="819">
        <v>0.96967773726191553</v>
      </c>
      <c r="N165" s="3548">
        <v>1.1585996454790517E-2</v>
      </c>
      <c r="O165" s="2801">
        <v>1.8736266283293952E-2</v>
      </c>
    </row>
    <row r="166" spans="1:15" s="238" customFormat="1">
      <c r="A166" s="240">
        <f t="shared" si="3"/>
        <v>2013.01</v>
      </c>
      <c r="B166" s="3487">
        <v>0.64467088244085446</v>
      </c>
      <c r="C166" s="3549">
        <v>0.35532911755914548</v>
      </c>
      <c r="D166" s="2357">
        <f t="shared" si="7"/>
        <v>1</v>
      </c>
      <c r="E166" s="3483">
        <v>0.83986710631646266</v>
      </c>
      <c r="F166" s="3550">
        <v>0.16013289368353728</v>
      </c>
      <c r="G166" s="2358">
        <f t="shared" si="5"/>
        <v>1</v>
      </c>
      <c r="H166" s="2356">
        <f t="shared" si="6"/>
        <v>0.99999999999999989</v>
      </c>
      <c r="I166" s="819">
        <v>0.8740529052518311</v>
      </c>
      <c r="J166" s="3548">
        <v>6.4490594362692333E-2</v>
      </c>
      <c r="K166" s="2799">
        <v>6.1456500385476447E-2</v>
      </c>
      <c r="L166" s="2356">
        <f t="shared" si="4"/>
        <v>1</v>
      </c>
      <c r="M166" s="819">
        <v>0.97037489688809131</v>
      </c>
      <c r="N166" s="3548">
        <v>1.7808285961937953E-2</v>
      </c>
      <c r="O166" s="2801">
        <v>1.1816817149970764E-2</v>
      </c>
    </row>
    <row r="167" spans="1:15" s="238" customFormat="1">
      <c r="A167" s="240">
        <f t="shared" si="3"/>
        <v>2013.02</v>
      </c>
      <c r="B167" s="3487">
        <v>0.76595214311126114</v>
      </c>
      <c r="C167" s="3549">
        <v>0.23404785688873897</v>
      </c>
      <c r="D167" s="2357">
        <f t="shared" si="7"/>
        <v>1</v>
      </c>
      <c r="E167" s="3483">
        <v>0.82335160232924087</v>
      </c>
      <c r="F167" s="3550">
        <v>0.1766483976707591</v>
      </c>
      <c r="G167" s="2358">
        <f t="shared" si="5"/>
        <v>1</v>
      </c>
      <c r="H167" s="2356">
        <f t="shared" si="6"/>
        <v>1</v>
      </c>
      <c r="I167" s="819">
        <v>0.83192461665768036</v>
      </c>
      <c r="J167" s="3548">
        <v>0.10441436936867386</v>
      </c>
      <c r="K167" s="2799">
        <v>6.3661013973645791E-2</v>
      </c>
      <c r="L167" s="2356">
        <f t="shared" si="4"/>
        <v>0.99999999999999989</v>
      </c>
      <c r="M167" s="819">
        <v>0.98137705266424435</v>
      </c>
      <c r="N167" s="3548">
        <v>9.7699547008120429E-3</v>
      </c>
      <c r="O167" s="2801">
        <v>8.8529926349435982E-3</v>
      </c>
    </row>
    <row r="168" spans="1:15" s="238" customFormat="1">
      <c r="A168" s="240">
        <f t="shared" si="3"/>
        <v>2013.03</v>
      </c>
      <c r="B168" s="3487">
        <v>0.70040504530876457</v>
      </c>
      <c r="C168" s="3549">
        <v>0.29959495469123548</v>
      </c>
      <c r="D168" s="2357">
        <f t="shared" si="7"/>
        <v>1</v>
      </c>
      <c r="E168" s="3483">
        <v>0.82486444446916452</v>
      </c>
      <c r="F168" s="3550">
        <v>0.17513555553083557</v>
      </c>
      <c r="G168" s="2358">
        <f t="shared" si="5"/>
        <v>1</v>
      </c>
      <c r="H168" s="2356">
        <f t="shared" si="6"/>
        <v>1</v>
      </c>
      <c r="I168" s="819">
        <v>0.95899528889772556</v>
      </c>
      <c r="J168" s="3548">
        <v>3.0211712708367068E-2</v>
      </c>
      <c r="K168" s="2799">
        <v>1.079299839390736E-2</v>
      </c>
      <c r="L168" s="2356">
        <f t="shared" si="4"/>
        <v>1</v>
      </c>
      <c r="M168" s="819">
        <v>0.98049570565949351</v>
      </c>
      <c r="N168" s="3548">
        <v>1.4879349039141848E-2</v>
      </c>
      <c r="O168" s="2801">
        <v>4.6249453013646191E-3</v>
      </c>
    </row>
    <row r="169" spans="1:15" s="238" customFormat="1">
      <c r="A169" s="240">
        <f t="shared" si="3"/>
        <v>2013.04</v>
      </c>
      <c r="B169" s="3487">
        <v>0.70818884565396245</v>
      </c>
      <c r="C169" s="3549">
        <v>0.2918111543460376</v>
      </c>
      <c r="D169" s="2357">
        <f t="shared" si="7"/>
        <v>1</v>
      </c>
      <c r="E169" s="3483">
        <v>0.79468056749847205</v>
      </c>
      <c r="F169" s="3550">
        <v>0.20531943250152801</v>
      </c>
      <c r="G169" s="2358">
        <f t="shared" si="5"/>
        <v>1</v>
      </c>
      <c r="H169" s="2356">
        <f t="shared" si="6"/>
        <v>1</v>
      </c>
      <c r="I169" s="819">
        <v>0.87602444629260134</v>
      </c>
      <c r="J169" s="3548">
        <v>7.5450541764424103E-2</v>
      </c>
      <c r="K169" s="2799">
        <v>4.8525011942974532E-2</v>
      </c>
      <c r="L169" s="2356">
        <f t="shared" si="4"/>
        <v>1</v>
      </c>
      <c r="M169" s="819">
        <v>0.95948536167825083</v>
      </c>
      <c r="N169" s="3548">
        <v>2.5086710308618216E-2</v>
      </c>
      <c r="O169" s="2801">
        <v>1.5427928013130969E-2</v>
      </c>
    </row>
    <row r="170" spans="1:15" s="238" customFormat="1">
      <c r="A170" s="240">
        <f t="shared" ref="A170:A233" si="8">A158+1</f>
        <v>2013.05</v>
      </c>
      <c r="B170" s="3487">
        <v>0.69057195289227957</v>
      </c>
      <c r="C170" s="3549">
        <v>0.30942804710772048</v>
      </c>
      <c r="D170" s="2357">
        <f t="shared" si="7"/>
        <v>1</v>
      </c>
      <c r="E170" s="3483">
        <v>0.83544989858299412</v>
      </c>
      <c r="F170" s="3550">
        <v>0.16455010141700574</v>
      </c>
      <c r="G170" s="2358">
        <f t="shared" si="5"/>
        <v>0.99999999999999989</v>
      </c>
      <c r="H170" s="2356">
        <f t="shared" si="6"/>
        <v>1.0000000000000002</v>
      </c>
      <c r="I170" s="819">
        <v>0.91476929364505599</v>
      </c>
      <c r="J170" s="3548">
        <v>2.7332769324273153E-2</v>
      </c>
      <c r="K170" s="2799">
        <v>5.7897937030671025E-2</v>
      </c>
      <c r="L170" s="2356">
        <f t="shared" si="4"/>
        <v>1</v>
      </c>
      <c r="M170" s="819">
        <v>0.97587266091798597</v>
      </c>
      <c r="N170" s="3548">
        <v>8.5742672801420849E-3</v>
      </c>
      <c r="O170" s="2801">
        <v>1.5553071801872001E-2</v>
      </c>
    </row>
    <row r="171" spans="1:15" s="238" customFormat="1">
      <c r="A171" s="240">
        <f t="shared" si="8"/>
        <v>2013.06</v>
      </c>
      <c r="B171" s="3487">
        <v>0.80461374191296942</v>
      </c>
      <c r="C171" s="3549">
        <v>0.19538625808703067</v>
      </c>
      <c r="D171" s="2357">
        <f t="shared" si="7"/>
        <v>1</v>
      </c>
      <c r="E171" s="3483">
        <v>0.82328972034378001</v>
      </c>
      <c r="F171" s="3550">
        <v>0.17671027965621999</v>
      </c>
      <c r="G171" s="2358">
        <f t="shared" si="5"/>
        <v>1</v>
      </c>
      <c r="H171" s="2356">
        <f t="shared" si="6"/>
        <v>0.99999999999999989</v>
      </c>
      <c r="I171" s="819">
        <v>0.88293456242370028</v>
      </c>
      <c r="J171" s="3548">
        <v>6.8333244776290991E-2</v>
      </c>
      <c r="K171" s="2799">
        <v>4.873219280000865E-2</v>
      </c>
      <c r="L171" s="2356">
        <f t="shared" si="4"/>
        <v>1</v>
      </c>
      <c r="M171" s="819">
        <v>0.99175621109366963</v>
      </c>
      <c r="N171" s="3548">
        <v>8.2437889063303998E-3</v>
      </c>
      <c r="O171" s="2801">
        <v>0</v>
      </c>
    </row>
    <row r="172" spans="1:15" s="238" customFormat="1">
      <c r="A172" s="240">
        <f t="shared" si="8"/>
        <v>2013.07</v>
      </c>
      <c r="B172" s="3487">
        <v>0.7581859003237309</v>
      </c>
      <c r="C172" s="3549">
        <v>0.24181409967626899</v>
      </c>
      <c r="D172" s="2357">
        <f t="shared" si="7"/>
        <v>0.99999999999999989</v>
      </c>
      <c r="E172" s="3483">
        <v>0.8292191795771322</v>
      </c>
      <c r="F172" s="3550">
        <v>0.1707808204228678</v>
      </c>
      <c r="G172" s="2358">
        <f t="shared" si="5"/>
        <v>1</v>
      </c>
      <c r="H172" s="2356">
        <f t="shared" si="6"/>
        <v>1</v>
      </c>
      <c r="I172" s="819">
        <v>0.89285283272739724</v>
      </c>
      <c r="J172" s="3548">
        <v>7.754438584896485E-2</v>
      </c>
      <c r="K172" s="2799">
        <v>2.9602781423638015E-2</v>
      </c>
      <c r="L172" s="2356">
        <f t="shared" si="4"/>
        <v>1</v>
      </c>
      <c r="M172" s="819">
        <v>0.99591078063217675</v>
      </c>
      <c r="N172" s="3548">
        <v>7.4349443051331427E-4</v>
      </c>
      <c r="O172" s="2801">
        <v>3.3457249373099098E-3</v>
      </c>
    </row>
    <row r="173" spans="1:15" s="238" customFormat="1">
      <c r="A173" s="240">
        <f t="shared" si="8"/>
        <v>2013.08</v>
      </c>
      <c r="B173" s="3487">
        <v>0.65148508047410525</v>
      </c>
      <c r="C173" s="3549">
        <v>0.34851491952589464</v>
      </c>
      <c r="D173" s="2357">
        <f t="shared" si="7"/>
        <v>0.99999999999999989</v>
      </c>
      <c r="E173" s="3483">
        <v>0.79905776174836063</v>
      </c>
      <c r="F173" s="3550">
        <v>0.20094223825163943</v>
      </c>
      <c r="G173" s="2358">
        <f t="shared" si="5"/>
        <v>1</v>
      </c>
      <c r="H173" s="2356">
        <f t="shared" si="6"/>
        <v>1</v>
      </c>
      <c r="I173" s="819">
        <v>0.86430832583868134</v>
      </c>
      <c r="J173" s="3548">
        <v>4.8359040381934754E-2</v>
      </c>
      <c r="K173" s="2799">
        <v>8.7332633779383967E-2</v>
      </c>
      <c r="L173" s="2356">
        <f t="shared" si="4"/>
        <v>1</v>
      </c>
      <c r="M173" s="819">
        <v>0.95787602387190196</v>
      </c>
      <c r="N173" s="3548">
        <v>1.6862124557867644E-2</v>
      </c>
      <c r="O173" s="2801">
        <v>2.5261851570230375E-2</v>
      </c>
    </row>
    <row r="174" spans="1:15" s="238" customFormat="1">
      <c r="A174" s="240">
        <f t="shared" si="8"/>
        <v>2013.09</v>
      </c>
      <c r="B174" s="3487">
        <v>0.64447822237196273</v>
      </c>
      <c r="C174" s="3549">
        <v>0.35552177762803711</v>
      </c>
      <c r="D174" s="2357">
        <f t="shared" si="7"/>
        <v>0.99999999999999978</v>
      </c>
      <c r="E174" s="3483">
        <v>0.82496842924246661</v>
      </c>
      <c r="F174" s="3550">
        <v>0.17503157075753342</v>
      </c>
      <c r="G174" s="2358">
        <f t="shared" si="5"/>
        <v>1</v>
      </c>
      <c r="H174" s="2356">
        <f t="shared" si="6"/>
        <v>1.0000000000000002</v>
      </c>
      <c r="I174" s="819">
        <v>0.91810471611589439</v>
      </c>
      <c r="J174" s="3548">
        <v>6.7826262858544123E-2</v>
      </c>
      <c r="K174" s="2799">
        <v>1.4069021025561687E-2</v>
      </c>
      <c r="L174" s="2356">
        <f t="shared" si="4"/>
        <v>1</v>
      </c>
      <c r="M174" s="819">
        <v>0.97517001373769863</v>
      </c>
      <c r="N174" s="3548">
        <v>1.6629191052136963E-2</v>
      </c>
      <c r="O174" s="2801">
        <v>8.200795210164414E-3</v>
      </c>
    </row>
    <row r="175" spans="1:15" s="238" customFormat="1">
      <c r="A175" s="240">
        <f t="shared" si="8"/>
        <v>2013.1</v>
      </c>
      <c r="B175" s="3487">
        <v>0.68730244568344323</v>
      </c>
      <c r="C175" s="3549">
        <v>0.31269755431655694</v>
      </c>
      <c r="D175" s="2357">
        <f t="shared" si="7"/>
        <v>1.0000000000000002</v>
      </c>
      <c r="E175" s="3483">
        <v>0.86183930291031519</v>
      </c>
      <c r="F175" s="3550">
        <v>0.13816069708968484</v>
      </c>
      <c r="G175" s="2358">
        <f t="shared" si="5"/>
        <v>1</v>
      </c>
      <c r="H175" s="2356">
        <f t="shared" si="6"/>
        <v>0.99999999999999989</v>
      </c>
      <c r="I175" s="819">
        <v>0.9075356116862594</v>
      </c>
      <c r="J175" s="3548">
        <v>8.5392143186577452E-2</v>
      </c>
      <c r="K175" s="2799">
        <v>7.0722451271631077E-3</v>
      </c>
      <c r="L175" s="2356">
        <f t="shared" si="4"/>
        <v>1.0000000000000002</v>
      </c>
      <c r="M175" s="819">
        <v>0.96897786454719015</v>
      </c>
      <c r="N175" s="3548">
        <v>3.1022135452810004E-2</v>
      </c>
      <c r="O175" s="2801">
        <v>0</v>
      </c>
    </row>
    <row r="176" spans="1:15" s="238" customFormat="1">
      <c r="A176" s="240">
        <f t="shared" si="8"/>
        <v>2013.11</v>
      </c>
      <c r="B176" s="3487">
        <v>0.69932451954669828</v>
      </c>
      <c r="C176" s="3549">
        <v>0.30067548045330178</v>
      </c>
      <c r="D176" s="2357">
        <f t="shared" si="7"/>
        <v>1</v>
      </c>
      <c r="E176" s="3483">
        <v>0.84824261226124276</v>
      </c>
      <c r="F176" s="3550">
        <v>0.15175738773875724</v>
      </c>
      <c r="G176" s="2358">
        <f t="shared" si="5"/>
        <v>1</v>
      </c>
      <c r="H176" s="2356">
        <f t="shared" si="6"/>
        <v>1</v>
      </c>
      <c r="I176" s="819">
        <v>0.82948885178864484</v>
      </c>
      <c r="J176" s="3548">
        <v>0.14594678746369805</v>
      </c>
      <c r="K176" s="2799">
        <v>2.4564360747657124E-2</v>
      </c>
      <c r="L176" s="2356">
        <f t="shared" si="4"/>
        <v>1</v>
      </c>
      <c r="M176" s="819">
        <v>0.98351961678840549</v>
      </c>
      <c r="N176" s="3548">
        <v>1.1830745311431303E-2</v>
      </c>
      <c r="O176" s="2801">
        <v>4.6496379001632242E-3</v>
      </c>
    </row>
    <row r="177" spans="1:15" s="238" customFormat="1">
      <c r="A177" s="240">
        <f t="shared" si="8"/>
        <v>2013.12</v>
      </c>
      <c r="B177" s="3487">
        <v>0.66921761838655447</v>
      </c>
      <c r="C177" s="3549">
        <v>0.3307823816134457</v>
      </c>
      <c r="D177" s="2357">
        <f t="shared" si="7"/>
        <v>1.0000000000000002</v>
      </c>
      <c r="E177" s="3483">
        <v>0.84148664997592004</v>
      </c>
      <c r="F177" s="3550">
        <v>0.15851335002407996</v>
      </c>
      <c r="G177" s="2358">
        <f t="shared" si="5"/>
        <v>1</v>
      </c>
      <c r="H177" s="2356">
        <f t="shared" si="6"/>
        <v>1</v>
      </c>
      <c r="I177" s="819">
        <v>0.90865260555904281</v>
      </c>
      <c r="J177" s="3548">
        <v>7.2816639340141806E-2</v>
      </c>
      <c r="K177" s="2799">
        <v>1.8530755100815414E-2</v>
      </c>
      <c r="L177" s="2356">
        <f t="shared" si="4"/>
        <v>1</v>
      </c>
      <c r="M177" s="819">
        <v>0.97490612446748992</v>
      </c>
      <c r="N177" s="3548">
        <v>1.5123656603074347E-2</v>
      </c>
      <c r="O177" s="2801">
        <v>9.970218929435783E-3</v>
      </c>
    </row>
    <row r="178" spans="1:15" s="238" customFormat="1">
      <c r="A178" s="240">
        <f t="shared" si="8"/>
        <v>2014.01</v>
      </c>
      <c r="B178" s="3487">
        <v>0.63451512874285609</v>
      </c>
      <c r="C178" s="3549">
        <v>0.36548487125714396</v>
      </c>
      <c r="D178" s="2357">
        <f t="shared" si="7"/>
        <v>1</v>
      </c>
      <c r="E178" s="3483">
        <v>0.85241709877125349</v>
      </c>
      <c r="F178" s="3550">
        <v>0.14758290122874665</v>
      </c>
      <c r="G178" s="2358">
        <f t="shared" si="5"/>
        <v>1.0000000000000002</v>
      </c>
      <c r="H178" s="2356">
        <f t="shared" si="6"/>
        <v>1</v>
      </c>
      <c r="I178" s="819">
        <v>0.8434213154468001</v>
      </c>
      <c r="J178" s="3548">
        <v>0.10722759281674735</v>
      </c>
      <c r="K178" s="2799">
        <v>4.9351091736452551E-2</v>
      </c>
      <c r="L178" s="2356">
        <f t="shared" si="4"/>
        <v>1.0000000000000002</v>
      </c>
      <c r="M178" s="819">
        <v>0.99620894653874847</v>
      </c>
      <c r="N178" s="3548">
        <v>0</v>
      </c>
      <c r="O178" s="2801">
        <v>3.79105346125169E-3</v>
      </c>
    </row>
    <row r="179" spans="1:15" s="238" customFormat="1">
      <c r="A179" s="240">
        <f t="shared" si="8"/>
        <v>2014.02</v>
      </c>
      <c r="B179" s="3487">
        <v>0.72747339745344708</v>
      </c>
      <c r="C179" s="3549">
        <v>0.27252660254655292</v>
      </c>
      <c r="D179" s="2357">
        <f t="shared" si="7"/>
        <v>1</v>
      </c>
      <c r="E179" s="3483">
        <v>0.85974912530297065</v>
      </c>
      <c r="F179" s="3550">
        <v>0.14025087469702935</v>
      </c>
      <c r="G179" s="2358">
        <f t="shared" si="5"/>
        <v>1</v>
      </c>
      <c r="H179" s="2356">
        <f t="shared" si="6"/>
        <v>1</v>
      </c>
      <c r="I179" s="819">
        <v>0.88091662628734457</v>
      </c>
      <c r="J179" s="3548">
        <v>7.1768374745672214E-2</v>
      </c>
      <c r="K179" s="2799">
        <v>4.7314998966983296E-2</v>
      </c>
      <c r="L179" s="2356">
        <f t="shared" si="4"/>
        <v>1</v>
      </c>
      <c r="M179" s="819">
        <v>0.98969478705057223</v>
      </c>
      <c r="N179" s="3548">
        <v>9.4807959134735886E-3</v>
      </c>
      <c r="O179" s="2801">
        <v>8.2441703595422531E-4</v>
      </c>
    </row>
    <row r="180" spans="1:15" s="238" customFormat="1">
      <c r="A180" s="240">
        <f t="shared" si="8"/>
        <v>2014.03</v>
      </c>
      <c r="B180" s="3487">
        <v>0.79000750698489308</v>
      </c>
      <c r="C180" s="3549">
        <v>0.2099924930151067</v>
      </c>
      <c r="D180" s="2357">
        <f t="shared" si="7"/>
        <v>0.99999999999999978</v>
      </c>
      <c r="E180" s="3483">
        <v>0.84703402755910318</v>
      </c>
      <c r="F180" s="3550">
        <v>0.1529659724408968</v>
      </c>
      <c r="G180" s="2358">
        <f t="shared" si="5"/>
        <v>1</v>
      </c>
      <c r="H180" s="2356">
        <f t="shared" si="6"/>
        <v>1</v>
      </c>
      <c r="I180" s="819">
        <v>0.85203193005202249</v>
      </c>
      <c r="J180" s="3548">
        <v>8.6121727619641639E-2</v>
      </c>
      <c r="K180" s="2799">
        <v>6.1846342328335933E-2</v>
      </c>
      <c r="L180" s="2356">
        <f t="shared" ref="L180:L243" si="9">M180+N180+O180</f>
        <v>1</v>
      </c>
      <c r="M180" s="819">
        <v>0.95951011226165095</v>
      </c>
      <c r="N180" s="3548">
        <v>5.6629213404261148E-3</v>
      </c>
      <c r="O180" s="2801">
        <v>3.4826966397922973E-2</v>
      </c>
    </row>
    <row r="181" spans="1:15" s="238" customFormat="1">
      <c r="A181" s="240">
        <f t="shared" si="8"/>
        <v>2014.04</v>
      </c>
      <c r="B181" s="3487">
        <v>0.70538961856620119</v>
      </c>
      <c r="C181" s="3549">
        <v>0.29461038143379886</v>
      </c>
      <c r="D181" s="2357">
        <f t="shared" si="7"/>
        <v>1</v>
      </c>
      <c r="E181" s="3483">
        <v>0.82792036101747546</v>
      </c>
      <c r="F181" s="3550">
        <v>0.17207963898252454</v>
      </c>
      <c r="G181" s="2358">
        <f t="shared" si="5"/>
        <v>1</v>
      </c>
      <c r="H181" s="2356">
        <f t="shared" si="6"/>
        <v>1</v>
      </c>
      <c r="I181" s="819">
        <v>0.83227805796586263</v>
      </c>
      <c r="J181" s="3548">
        <v>5.5532967241886978E-2</v>
      </c>
      <c r="K181" s="2799">
        <v>0.11218897479225041</v>
      </c>
      <c r="L181" s="2356">
        <f t="shared" si="9"/>
        <v>0.99999999999999989</v>
      </c>
      <c r="M181" s="819">
        <v>0.96992887311350529</v>
      </c>
      <c r="N181" s="3548">
        <v>1.7587012675046074E-2</v>
      </c>
      <c r="O181" s="2801">
        <v>1.2484114211448625E-2</v>
      </c>
    </row>
    <row r="182" spans="1:15" s="238" customFormat="1">
      <c r="A182" s="240">
        <f t="shared" si="8"/>
        <v>2014.05</v>
      </c>
      <c r="B182" s="3487">
        <v>0.74861686576395525</v>
      </c>
      <c r="C182" s="3549">
        <v>0.25138313423604486</v>
      </c>
      <c r="D182" s="2357">
        <f t="shared" si="7"/>
        <v>1</v>
      </c>
      <c r="E182" s="3483">
        <v>0.79831971447186423</v>
      </c>
      <c r="F182" s="3550">
        <v>0.20168028552813591</v>
      </c>
      <c r="G182" s="2358">
        <f t="shared" ref="G182:G245" si="10">E182+F182</f>
        <v>1.0000000000000002</v>
      </c>
      <c r="H182" s="2356">
        <f t="shared" si="6"/>
        <v>1</v>
      </c>
      <c r="I182" s="819">
        <v>0.82721384999304892</v>
      </c>
      <c r="J182" s="3548">
        <v>0.10600647508173525</v>
      </c>
      <c r="K182" s="2799">
        <v>6.677967492521597E-2</v>
      </c>
      <c r="L182" s="2356">
        <f t="shared" si="9"/>
        <v>1</v>
      </c>
      <c r="M182" s="819">
        <v>0.98345100148340436</v>
      </c>
      <c r="N182" s="3548">
        <v>3.252166296290878E-3</v>
      </c>
      <c r="O182" s="2801">
        <v>1.3296832220304701E-2</v>
      </c>
    </row>
    <row r="183" spans="1:15" s="238" customFormat="1">
      <c r="A183" s="240">
        <f t="shared" si="8"/>
        <v>2014.06</v>
      </c>
      <c r="B183" s="3487">
        <v>0.64713124367506425</v>
      </c>
      <c r="C183" s="3549">
        <v>0.35286875632493575</v>
      </c>
      <c r="D183" s="2357">
        <f t="shared" si="7"/>
        <v>1</v>
      </c>
      <c r="E183" s="3483">
        <v>0.87725885495625888</v>
      </c>
      <c r="F183" s="3550">
        <v>0.12274114504374108</v>
      </c>
      <c r="G183" s="2358">
        <f t="shared" si="10"/>
        <v>1</v>
      </c>
      <c r="H183" s="2356">
        <f t="shared" si="6"/>
        <v>1</v>
      </c>
      <c r="I183" s="819">
        <v>0.86386586439281876</v>
      </c>
      <c r="J183" s="3548">
        <v>9.3922832073170259E-2</v>
      </c>
      <c r="K183" s="2799">
        <v>4.2211303534011105E-2</v>
      </c>
      <c r="L183" s="2356">
        <f t="shared" si="9"/>
        <v>1</v>
      </c>
      <c r="M183" s="819">
        <v>0.99491421229010479</v>
      </c>
      <c r="N183" s="3548">
        <v>0</v>
      </c>
      <c r="O183" s="2801">
        <v>5.0857877098952429E-3</v>
      </c>
    </row>
    <row r="184" spans="1:15" s="238" customFormat="1">
      <c r="A184" s="240">
        <f t="shared" si="8"/>
        <v>2014.07</v>
      </c>
      <c r="B184" s="3487">
        <v>0.70098503368904796</v>
      </c>
      <c r="C184" s="3549">
        <v>0.29901496631095204</v>
      </c>
      <c r="D184" s="2357">
        <f t="shared" si="7"/>
        <v>1</v>
      </c>
      <c r="E184" s="3483">
        <v>0.77740109246458933</v>
      </c>
      <c r="F184" s="3550">
        <v>0.22259890753541076</v>
      </c>
      <c r="G184" s="2358">
        <f t="shared" si="10"/>
        <v>1</v>
      </c>
      <c r="H184" s="2356">
        <f t="shared" si="6"/>
        <v>1</v>
      </c>
      <c r="I184" s="819">
        <v>0.85455427658616334</v>
      </c>
      <c r="J184" s="3548">
        <v>0.10129780482924854</v>
      </c>
      <c r="K184" s="2799">
        <v>4.4147918584588088E-2</v>
      </c>
      <c r="L184" s="2356">
        <f t="shared" si="9"/>
        <v>1</v>
      </c>
      <c r="M184" s="819">
        <v>0.9824202178837167</v>
      </c>
      <c r="N184" s="3548">
        <v>9.5942905582822209E-3</v>
      </c>
      <c r="O184" s="2801">
        <v>7.9854915580010542E-3</v>
      </c>
    </row>
    <row r="185" spans="1:15" s="238" customFormat="1">
      <c r="A185" s="240">
        <f t="shared" si="8"/>
        <v>2014.08</v>
      </c>
      <c r="B185" s="3487">
        <v>0.69175223118198725</v>
      </c>
      <c r="C185" s="3549">
        <v>0.30824776881801258</v>
      </c>
      <c r="D185" s="2357">
        <f t="shared" si="7"/>
        <v>0.99999999999999978</v>
      </c>
      <c r="E185" s="3483">
        <v>0.85221200079187687</v>
      </c>
      <c r="F185" s="3550">
        <v>0.14778799920812324</v>
      </c>
      <c r="G185" s="2358">
        <f t="shared" si="10"/>
        <v>1</v>
      </c>
      <c r="H185" s="2356">
        <f t="shared" si="6"/>
        <v>1.0000000000000002</v>
      </c>
      <c r="I185" s="819">
        <v>0.83473363652760069</v>
      </c>
      <c r="J185" s="3548">
        <v>0.10296189478883098</v>
      </c>
      <c r="K185" s="2799">
        <v>6.2304468683568447E-2</v>
      </c>
      <c r="L185" s="2356">
        <f t="shared" si="9"/>
        <v>1</v>
      </c>
      <c r="M185" s="819">
        <v>0.99158875949130487</v>
      </c>
      <c r="N185" s="3548">
        <v>8.4112405086951697E-3</v>
      </c>
      <c r="O185" s="2801">
        <v>0</v>
      </c>
    </row>
    <row r="186" spans="1:15" s="238" customFormat="1">
      <c r="A186" s="240">
        <f t="shared" si="8"/>
        <v>2014.09</v>
      </c>
      <c r="B186" s="3487">
        <v>0.75499167636304032</v>
      </c>
      <c r="C186" s="3549">
        <v>0.24500832363695957</v>
      </c>
      <c r="D186" s="2357">
        <f t="shared" si="7"/>
        <v>0.99999999999999989</v>
      </c>
      <c r="E186" s="3483">
        <v>0.81149271821660629</v>
      </c>
      <c r="F186" s="3550">
        <v>0.18850728178339363</v>
      </c>
      <c r="G186" s="2358">
        <f t="shared" si="10"/>
        <v>0.99999999999999989</v>
      </c>
      <c r="H186" s="2356">
        <f t="shared" si="6"/>
        <v>0.99999999999999989</v>
      </c>
      <c r="I186" s="819">
        <v>0.88443978046451843</v>
      </c>
      <c r="J186" s="3548">
        <v>7.7567660528084809E-2</v>
      </c>
      <c r="K186" s="2799">
        <v>3.799255900739662E-2</v>
      </c>
      <c r="L186" s="2356">
        <f t="shared" si="9"/>
        <v>1</v>
      </c>
      <c r="M186" s="819">
        <v>0.98956603503508045</v>
      </c>
      <c r="N186" s="3548">
        <v>7.6374745436058242E-4</v>
      </c>
      <c r="O186" s="2801">
        <v>9.6702175105589788E-3</v>
      </c>
    </row>
    <row r="187" spans="1:15" s="238" customFormat="1">
      <c r="A187" s="240">
        <f t="shared" si="8"/>
        <v>2014.1</v>
      </c>
      <c r="B187" s="3487">
        <v>0.74024804375313191</v>
      </c>
      <c r="C187" s="3549">
        <v>0.2597519562468682</v>
      </c>
      <c r="D187" s="2357">
        <f t="shared" si="7"/>
        <v>1</v>
      </c>
      <c r="E187" s="3483">
        <v>0.80598914461718829</v>
      </c>
      <c r="F187" s="3550">
        <v>0.19401085538281168</v>
      </c>
      <c r="G187" s="2358">
        <f t="shared" si="10"/>
        <v>1</v>
      </c>
      <c r="H187" s="2356">
        <f t="shared" si="6"/>
        <v>1</v>
      </c>
      <c r="I187" s="819">
        <v>0.84560764191743787</v>
      </c>
      <c r="J187" s="3548">
        <v>0.12008651130870147</v>
      </c>
      <c r="K187" s="2799">
        <v>3.4305846773860595E-2</v>
      </c>
      <c r="L187" s="2356">
        <f t="shared" si="9"/>
        <v>0.99999999999999989</v>
      </c>
      <c r="M187" s="819">
        <v>0.85815351898130809</v>
      </c>
      <c r="N187" s="3548">
        <v>8.5036720171903696E-2</v>
      </c>
      <c r="O187" s="2801">
        <v>5.6809760846788106E-2</v>
      </c>
    </row>
    <row r="188" spans="1:15" s="238" customFormat="1">
      <c r="A188" s="240">
        <f t="shared" si="8"/>
        <v>2014.11</v>
      </c>
      <c r="B188" s="3487">
        <v>0.66435025149555105</v>
      </c>
      <c r="C188" s="3549">
        <v>0.3356497485044489</v>
      </c>
      <c r="D188" s="2357">
        <f t="shared" si="7"/>
        <v>1</v>
      </c>
      <c r="E188" s="3483">
        <v>0.82799491387457802</v>
      </c>
      <c r="F188" s="3550">
        <v>0.17200508612542187</v>
      </c>
      <c r="G188" s="2358">
        <f t="shared" si="10"/>
        <v>0.99999999999999989</v>
      </c>
      <c r="H188" s="2356">
        <f t="shared" si="6"/>
        <v>1</v>
      </c>
      <c r="I188" s="819">
        <v>0.81789777920640039</v>
      </c>
      <c r="J188" s="3548">
        <v>0.12120645236028092</v>
      </c>
      <c r="K188" s="2799">
        <v>6.0895768433318703E-2</v>
      </c>
      <c r="L188" s="2356">
        <f t="shared" si="9"/>
        <v>0.99999999999999989</v>
      </c>
      <c r="M188" s="819">
        <v>0.87609158295874312</v>
      </c>
      <c r="N188" s="3548">
        <v>4.9200067074161177E-2</v>
      </c>
      <c r="O188" s="2801">
        <v>7.4708349967095619E-2</v>
      </c>
    </row>
    <row r="189" spans="1:15" s="238" customFormat="1">
      <c r="A189" s="240">
        <f t="shared" si="8"/>
        <v>2014.12</v>
      </c>
      <c r="B189" s="3487">
        <v>0.68699916963505947</v>
      </c>
      <c r="C189" s="3549">
        <v>0.31300083036494042</v>
      </c>
      <c r="D189" s="2357">
        <f t="shared" si="7"/>
        <v>0.99999999999999989</v>
      </c>
      <c r="E189" s="3483">
        <v>0.76755659850317259</v>
      </c>
      <c r="F189" s="3550">
        <v>0.23244340149682741</v>
      </c>
      <c r="G189" s="2358">
        <f t="shared" si="10"/>
        <v>1</v>
      </c>
      <c r="H189" s="2356">
        <f t="shared" si="6"/>
        <v>1</v>
      </c>
      <c r="I189" s="819">
        <v>0.88055345425675469</v>
      </c>
      <c r="J189" s="3548">
        <v>9.4169905185063824E-2</v>
      </c>
      <c r="K189" s="2799">
        <v>2.5276640558181421E-2</v>
      </c>
      <c r="L189" s="2356">
        <f t="shared" si="9"/>
        <v>1</v>
      </c>
      <c r="M189" s="819">
        <v>0.89232703876156294</v>
      </c>
      <c r="N189" s="3548">
        <v>6.1884131570403449E-2</v>
      </c>
      <c r="O189" s="2801">
        <v>4.5788829668033638E-2</v>
      </c>
    </row>
    <row r="190" spans="1:15" s="238" customFormat="1">
      <c r="A190" s="240">
        <f t="shared" si="8"/>
        <v>2015.01</v>
      </c>
      <c r="B190" s="3487">
        <v>0.6704058607127229</v>
      </c>
      <c r="C190" s="3549">
        <v>0.32959413928727704</v>
      </c>
      <c r="D190" s="2357">
        <f t="shared" si="7"/>
        <v>1</v>
      </c>
      <c r="E190" s="3483">
        <v>0.74994226778977724</v>
      </c>
      <c r="F190" s="3550">
        <v>0.25005773221022293</v>
      </c>
      <c r="G190" s="2358">
        <f t="shared" si="10"/>
        <v>1.0000000000000002</v>
      </c>
      <c r="H190" s="2356">
        <f t="shared" si="6"/>
        <v>1</v>
      </c>
      <c r="I190" s="819">
        <v>0.86301174224558674</v>
      </c>
      <c r="J190" s="3548">
        <v>7.8320844274425525E-2</v>
      </c>
      <c r="K190" s="2799">
        <v>5.8667413479987725E-2</v>
      </c>
      <c r="L190" s="2356">
        <f t="shared" si="9"/>
        <v>1</v>
      </c>
      <c r="M190" s="819">
        <v>0.88519364277719748</v>
      </c>
      <c r="N190" s="3548">
        <v>7.9791995257673387E-2</v>
      </c>
      <c r="O190" s="2801">
        <v>3.5014361965129151E-2</v>
      </c>
    </row>
    <row r="191" spans="1:15" s="238" customFormat="1">
      <c r="A191" s="240">
        <f t="shared" si="8"/>
        <v>2015.02</v>
      </c>
      <c r="B191" s="3487">
        <v>0.71281169602672345</v>
      </c>
      <c r="C191" s="3549">
        <v>0.28718830397327638</v>
      </c>
      <c r="D191" s="2357">
        <f t="shared" si="7"/>
        <v>0.99999999999999978</v>
      </c>
      <c r="E191" s="3483">
        <v>0.74762169029947823</v>
      </c>
      <c r="F191" s="3550">
        <v>0.25237830970052177</v>
      </c>
      <c r="G191" s="2358">
        <f t="shared" si="10"/>
        <v>1</v>
      </c>
      <c r="H191" s="2356">
        <f t="shared" si="6"/>
        <v>1</v>
      </c>
      <c r="I191" s="819">
        <v>0.89572352895420426</v>
      </c>
      <c r="J191" s="3548">
        <v>4.2699125603547487E-2</v>
      </c>
      <c r="K191" s="2799">
        <v>6.1577345442248327E-2</v>
      </c>
      <c r="L191" s="2356">
        <f t="shared" si="9"/>
        <v>1</v>
      </c>
      <c r="M191" s="819">
        <v>0.91418205713099931</v>
      </c>
      <c r="N191" s="3548">
        <v>6.5118467897077481E-2</v>
      </c>
      <c r="O191" s="2801">
        <v>2.069947497192326E-2</v>
      </c>
    </row>
    <row r="192" spans="1:15" s="238" customFormat="1">
      <c r="A192" s="240">
        <f t="shared" si="8"/>
        <v>2015.03</v>
      </c>
      <c r="B192" s="3487">
        <v>0.63121097472132781</v>
      </c>
      <c r="C192" s="3549">
        <v>0.36878902527867202</v>
      </c>
      <c r="D192" s="2357">
        <f t="shared" si="7"/>
        <v>0.99999999999999978</v>
      </c>
      <c r="E192" s="3483">
        <v>0.78060736661145558</v>
      </c>
      <c r="F192" s="3550">
        <v>0.21939263338854439</v>
      </c>
      <c r="G192" s="2358">
        <f t="shared" si="10"/>
        <v>1</v>
      </c>
      <c r="H192" s="2356">
        <f t="shared" si="6"/>
        <v>0.99999999999999989</v>
      </c>
      <c r="I192" s="819">
        <v>0.84016460475719057</v>
      </c>
      <c r="J192" s="3548">
        <v>0.11037412545332094</v>
      </c>
      <c r="K192" s="2799">
        <v>4.9461269789488421E-2</v>
      </c>
      <c r="L192" s="2356">
        <f t="shared" si="9"/>
        <v>1</v>
      </c>
      <c r="M192" s="819">
        <v>0.8921540858191378</v>
      </c>
      <c r="N192" s="3548">
        <v>7.6670937480192727E-2</v>
      </c>
      <c r="O192" s="2801">
        <v>3.1174976700669457E-2</v>
      </c>
    </row>
    <row r="193" spans="1:15" s="238" customFormat="1">
      <c r="A193" s="240">
        <f t="shared" si="8"/>
        <v>2015.04</v>
      </c>
      <c r="B193" s="3487">
        <v>0.73101348948769451</v>
      </c>
      <c r="C193" s="3549">
        <v>0.26898651051230538</v>
      </c>
      <c r="D193" s="2357">
        <f t="shared" si="7"/>
        <v>0.99999999999999989</v>
      </c>
      <c r="E193" s="3483">
        <v>0.75193553311463512</v>
      </c>
      <c r="F193" s="3550">
        <v>0.24806446688536485</v>
      </c>
      <c r="G193" s="2358">
        <f t="shared" si="10"/>
        <v>1</v>
      </c>
      <c r="H193" s="2356">
        <f t="shared" si="6"/>
        <v>1</v>
      </c>
      <c r="I193" s="819">
        <v>0.87969353173688447</v>
      </c>
      <c r="J193" s="3548">
        <v>8.9114158446309308E-2</v>
      </c>
      <c r="K193" s="2799">
        <v>3.1192309816806197E-2</v>
      </c>
      <c r="L193" s="2356">
        <f t="shared" si="9"/>
        <v>1</v>
      </c>
      <c r="M193" s="819">
        <v>0.89630256309023659</v>
      </c>
      <c r="N193" s="3548">
        <v>6.8123336454638167E-2</v>
      </c>
      <c r="O193" s="2801">
        <v>3.5574100455125227E-2</v>
      </c>
    </row>
    <row r="194" spans="1:15" s="238" customFormat="1">
      <c r="A194" s="240">
        <f t="shared" si="8"/>
        <v>2015.05</v>
      </c>
      <c r="B194" s="3487">
        <v>0.67713000248580701</v>
      </c>
      <c r="C194" s="3549">
        <v>0.32286999751419304</v>
      </c>
      <c r="D194" s="2357">
        <f t="shared" si="7"/>
        <v>1</v>
      </c>
      <c r="E194" s="3483">
        <v>0.78767242192602249</v>
      </c>
      <c r="F194" s="3550">
        <v>0.21232757807397729</v>
      </c>
      <c r="G194" s="2358">
        <f t="shared" si="10"/>
        <v>0.99999999999999978</v>
      </c>
      <c r="H194" s="2356">
        <f t="shared" si="6"/>
        <v>1</v>
      </c>
      <c r="I194" s="819">
        <v>0.86968465638466208</v>
      </c>
      <c r="J194" s="3548">
        <v>0.10696378601591597</v>
      </c>
      <c r="K194" s="2799">
        <v>2.3351557599422011E-2</v>
      </c>
      <c r="L194" s="2356">
        <f t="shared" si="9"/>
        <v>1.0000000000000002</v>
      </c>
      <c r="M194" s="819">
        <v>0.89698101673661801</v>
      </c>
      <c r="N194" s="3548">
        <v>5.8395231554878774E-2</v>
      </c>
      <c r="O194" s="2801">
        <v>4.4623751708503342E-2</v>
      </c>
    </row>
    <row r="195" spans="1:15" s="238" customFormat="1">
      <c r="A195" s="240">
        <f t="shared" si="8"/>
        <v>2015.06</v>
      </c>
      <c r="B195" s="3487">
        <v>0.71176725663740525</v>
      </c>
      <c r="C195" s="3549">
        <v>0.28823274336259475</v>
      </c>
      <c r="D195" s="2357">
        <f t="shared" si="7"/>
        <v>1</v>
      </c>
      <c r="E195" s="3483">
        <v>0.81724332709264158</v>
      </c>
      <c r="F195" s="3550">
        <v>0.18275667290735842</v>
      </c>
      <c r="G195" s="2358">
        <f t="shared" si="10"/>
        <v>1</v>
      </c>
      <c r="H195" s="2356">
        <f t="shared" si="6"/>
        <v>0.99999999999999989</v>
      </c>
      <c r="I195" s="819">
        <v>0.84787819026951705</v>
      </c>
      <c r="J195" s="3548">
        <v>0.11815505502893262</v>
      </c>
      <c r="K195" s="2799">
        <v>3.396675470155016E-2</v>
      </c>
      <c r="L195" s="2356">
        <f t="shared" si="9"/>
        <v>1</v>
      </c>
      <c r="M195" s="819">
        <v>0.90819541201943788</v>
      </c>
      <c r="N195" s="3548">
        <v>7.5302995234475298E-2</v>
      </c>
      <c r="O195" s="2801">
        <v>1.6501592746086854E-2</v>
      </c>
    </row>
    <row r="196" spans="1:15" s="238" customFormat="1">
      <c r="A196" s="240">
        <f t="shared" si="8"/>
        <v>2015.07</v>
      </c>
      <c r="B196" s="3487">
        <v>0.69605914909684174</v>
      </c>
      <c r="C196" s="3549">
        <v>0.30394085090315814</v>
      </c>
      <c r="D196" s="2357">
        <f t="shared" si="7"/>
        <v>0.99999999999999989</v>
      </c>
      <c r="E196" s="3483">
        <v>0.87308594966524633</v>
      </c>
      <c r="F196" s="3550">
        <v>0.1269140503347535</v>
      </c>
      <c r="G196" s="2358">
        <f t="shared" si="10"/>
        <v>0.99999999999999978</v>
      </c>
      <c r="H196" s="2356">
        <f t="shared" si="6"/>
        <v>1</v>
      </c>
      <c r="I196" s="819">
        <v>0.84470263756125763</v>
      </c>
      <c r="J196" s="3548">
        <v>0.1020295402530333</v>
      </c>
      <c r="K196" s="2799">
        <v>5.3267822185709107E-2</v>
      </c>
      <c r="L196" s="2356">
        <f t="shared" si="9"/>
        <v>1</v>
      </c>
      <c r="M196" s="819">
        <v>0.91277495572047362</v>
      </c>
      <c r="N196" s="3548">
        <v>4.9333541361334256E-2</v>
      </c>
      <c r="O196" s="2801">
        <v>3.7891502918192148E-2</v>
      </c>
    </row>
    <row r="197" spans="1:15" s="238" customFormat="1">
      <c r="A197" s="240">
        <f t="shared" si="8"/>
        <v>2015.08</v>
      </c>
      <c r="B197" s="3487">
        <v>0.60020767260987695</v>
      </c>
      <c r="C197" s="3549">
        <v>0.39979232739012294</v>
      </c>
      <c r="D197" s="2357">
        <f t="shared" si="7"/>
        <v>0.99999999999999989</v>
      </c>
      <c r="E197" s="3483">
        <v>0.86618657122411169</v>
      </c>
      <c r="F197" s="3550">
        <v>0.13381342877588839</v>
      </c>
      <c r="G197" s="2358">
        <f t="shared" si="10"/>
        <v>1</v>
      </c>
      <c r="H197" s="2356">
        <f t="shared" si="6"/>
        <v>0.99999999999999989</v>
      </c>
      <c r="I197" s="819">
        <v>0.82748152270962994</v>
      </c>
      <c r="J197" s="3548">
        <v>0.11116253111778369</v>
      </c>
      <c r="K197" s="2799">
        <v>6.1355946172586245E-2</v>
      </c>
      <c r="L197" s="2356">
        <f t="shared" si="9"/>
        <v>1</v>
      </c>
      <c r="M197" s="819">
        <v>0.93090798899131599</v>
      </c>
      <c r="N197" s="3548">
        <v>3.6372319310456244E-2</v>
      </c>
      <c r="O197" s="2801">
        <v>3.2719691698227804E-2</v>
      </c>
    </row>
    <row r="198" spans="1:15" s="238" customFormat="1">
      <c r="A198" s="240">
        <f t="shared" si="8"/>
        <v>2015.09</v>
      </c>
      <c r="B198" s="3487">
        <v>0.68163750403205214</v>
      </c>
      <c r="C198" s="3549">
        <v>0.3183624959679478</v>
      </c>
      <c r="D198" s="2357">
        <f t="shared" si="7"/>
        <v>1</v>
      </c>
      <c r="E198" s="3483">
        <v>0.84248867115572712</v>
      </c>
      <c r="F198" s="3550">
        <v>0.15751132884427282</v>
      </c>
      <c r="G198" s="2358">
        <f t="shared" si="10"/>
        <v>1</v>
      </c>
      <c r="H198" s="2356">
        <f t="shared" si="6"/>
        <v>0.99999999999999989</v>
      </c>
      <c r="I198" s="819">
        <v>0.87021990222627821</v>
      </c>
      <c r="J198" s="3548">
        <v>6.949892414772961E-2</v>
      </c>
      <c r="K198" s="2799">
        <v>6.0281173625992064E-2</v>
      </c>
      <c r="L198" s="2356">
        <f t="shared" si="9"/>
        <v>1</v>
      </c>
      <c r="M198" s="819">
        <v>0.93764506958916183</v>
      </c>
      <c r="N198" s="3548">
        <v>4.5143091182741131E-2</v>
      </c>
      <c r="O198" s="2801">
        <v>1.7211839228097079E-2</v>
      </c>
    </row>
    <row r="199" spans="1:15" s="238" customFormat="1">
      <c r="A199" s="240">
        <f t="shared" si="8"/>
        <v>2015.1</v>
      </c>
      <c r="B199" s="3487">
        <v>0.63047768867509835</v>
      </c>
      <c r="C199" s="3549">
        <v>0.36952231132490154</v>
      </c>
      <c r="D199" s="2357">
        <f t="shared" si="7"/>
        <v>0.99999999999999989</v>
      </c>
      <c r="E199" s="3483">
        <v>0.87110255672227477</v>
      </c>
      <c r="F199" s="3550">
        <v>0.12889744327772504</v>
      </c>
      <c r="G199" s="2358">
        <f t="shared" si="10"/>
        <v>0.99999999999999978</v>
      </c>
      <c r="H199" s="2356">
        <f t="shared" si="6"/>
        <v>1</v>
      </c>
      <c r="I199" s="819">
        <v>0.86502966990696062</v>
      </c>
      <c r="J199" s="3548">
        <v>8.4275161016411582E-2</v>
      </c>
      <c r="K199" s="2799">
        <v>5.0695169076627751E-2</v>
      </c>
      <c r="L199" s="2356">
        <f t="shared" si="9"/>
        <v>1</v>
      </c>
      <c r="M199" s="819">
        <v>0.96361140985726212</v>
      </c>
      <c r="N199" s="3548">
        <v>3.6388590142737876E-2</v>
      </c>
      <c r="O199" s="2801">
        <v>0</v>
      </c>
    </row>
    <row r="200" spans="1:15" s="238" customFormat="1">
      <c r="A200" s="240">
        <f t="shared" si="8"/>
        <v>2015.11</v>
      </c>
      <c r="B200" s="3487">
        <v>0.6500492849088042</v>
      </c>
      <c r="C200" s="3549">
        <v>0.34995071509119569</v>
      </c>
      <c r="D200" s="2357">
        <f t="shared" si="7"/>
        <v>0.99999999999999989</v>
      </c>
      <c r="E200" s="3483">
        <v>0.85444979210690131</v>
      </c>
      <c r="F200" s="3550">
        <v>0.14555020789309858</v>
      </c>
      <c r="G200" s="2358">
        <f t="shared" si="10"/>
        <v>0.99999999999999989</v>
      </c>
      <c r="H200" s="2356">
        <f t="shared" si="6"/>
        <v>1</v>
      </c>
      <c r="I200" s="819">
        <v>0.90998734839655782</v>
      </c>
      <c r="J200" s="3548">
        <v>6.9772741856046691E-2</v>
      </c>
      <c r="K200" s="2799">
        <v>2.0239909747395486E-2</v>
      </c>
      <c r="L200" s="2356">
        <f t="shared" si="9"/>
        <v>0.99999999999999989</v>
      </c>
      <c r="M200" s="819">
        <v>0.92658511896432583</v>
      </c>
      <c r="N200" s="3548">
        <v>3.882512391983594E-2</v>
      </c>
      <c r="O200" s="2801">
        <v>3.4589757115838136E-2</v>
      </c>
    </row>
    <row r="201" spans="1:15" s="238" customFormat="1">
      <c r="A201" s="240">
        <f t="shared" si="8"/>
        <v>2015.12</v>
      </c>
      <c r="B201" s="3487">
        <v>0.67552873373130962</v>
      </c>
      <c r="C201" s="3549">
        <v>0.32447126626869044</v>
      </c>
      <c r="D201" s="2357">
        <f t="shared" si="7"/>
        <v>1</v>
      </c>
      <c r="E201" s="3483">
        <v>0.83920070621802656</v>
      </c>
      <c r="F201" s="3550">
        <v>0.16079929378197344</v>
      </c>
      <c r="G201" s="2358">
        <f t="shared" si="10"/>
        <v>1</v>
      </c>
      <c r="H201" s="2356">
        <f t="shared" si="6"/>
        <v>1</v>
      </c>
      <c r="I201" s="819">
        <v>0.9156769701015095</v>
      </c>
      <c r="J201" s="3548">
        <v>6.7800358478744285E-2</v>
      </c>
      <c r="K201" s="2799">
        <v>1.6522671419746206E-2</v>
      </c>
      <c r="L201" s="2356">
        <f t="shared" si="9"/>
        <v>1</v>
      </c>
      <c r="M201" s="819">
        <v>0.93923558919521044</v>
      </c>
      <c r="N201" s="3548">
        <v>2.4819374671804999E-2</v>
      </c>
      <c r="O201" s="2801">
        <v>3.5945036132984588E-2</v>
      </c>
    </row>
    <row r="202" spans="1:15" s="238" customFormat="1">
      <c r="A202" s="240">
        <f t="shared" si="8"/>
        <v>2016.01</v>
      </c>
      <c r="B202" s="3487">
        <v>0.66793922575252973</v>
      </c>
      <c r="C202" s="3549">
        <v>0.33206077424747021</v>
      </c>
      <c r="D202" s="2357">
        <f t="shared" si="7"/>
        <v>1</v>
      </c>
      <c r="E202" s="3483">
        <v>0.85264702615192989</v>
      </c>
      <c r="F202" s="3550">
        <v>0.1473529738480702</v>
      </c>
      <c r="G202" s="2358">
        <f t="shared" si="10"/>
        <v>1</v>
      </c>
      <c r="H202" s="2356">
        <f t="shared" ref="H202:H265" si="11">+I202+J202+K202</f>
        <v>0.99999999999999989</v>
      </c>
      <c r="I202" s="819">
        <v>0.90062039480402656</v>
      </c>
      <c r="J202" s="3548">
        <v>7.0528005908881142E-2</v>
      </c>
      <c r="K202" s="2799">
        <v>2.8851599287092248E-2</v>
      </c>
      <c r="L202" s="2356">
        <f t="shared" si="9"/>
        <v>1</v>
      </c>
      <c r="M202" s="819">
        <v>0.90838598516309887</v>
      </c>
      <c r="N202" s="3548">
        <v>5.0222527901413273E-2</v>
      </c>
      <c r="O202" s="2801">
        <v>4.1391486935487831E-2</v>
      </c>
    </row>
    <row r="203" spans="1:15" s="238" customFormat="1">
      <c r="A203" s="240">
        <f t="shared" si="8"/>
        <v>2016.02</v>
      </c>
      <c r="B203" s="3487">
        <v>0.7028752216990497</v>
      </c>
      <c r="C203" s="3549">
        <v>0.29712477830095024</v>
      </c>
      <c r="D203" s="2357">
        <f t="shared" si="7"/>
        <v>1</v>
      </c>
      <c r="E203" s="3483">
        <v>0.82675813200895154</v>
      </c>
      <c r="F203" s="3550">
        <v>0.17324186799104863</v>
      </c>
      <c r="G203" s="2358">
        <f t="shared" si="10"/>
        <v>1.0000000000000002</v>
      </c>
      <c r="H203" s="2356">
        <f t="shared" si="11"/>
        <v>0.99999999999999978</v>
      </c>
      <c r="I203" s="819">
        <v>0.91535650866467999</v>
      </c>
      <c r="J203" s="3548">
        <v>6.184431590307108E-2</v>
      </c>
      <c r="K203" s="2799">
        <v>2.2799175432248756E-2</v>
      </c>
      <c r="L203" s="2356">
        <f t="shared" si="9"/>
        <v>1</v>
      </c>
      <c r="M203" s="819">
        <v>0.90374713298571441</v>
      </c>
      <c r="N203" s="3548">
        <v>5.7498312176471458E-2</v>
      </c>
      <c r="O203" s="2801">
        <v>3.8754554837814148E-2</v>
      </c>
    </row>
    <row r="204" spans="1:15" s="238" customFormat="1">
      <c r="A204" s="240">
        <f t="shared" si="8"/>
        <v>2016.03</v>
      </c>
      <c r="B204" s="3487">
        <v>0.64721694386615736</v>
      </c>
      <c r="C204" s="3549">
        <v>0.3527830561338427</v>
      </c>
      <c r="D204" s="2357">
        <f t="shared" si="7"/>
        <v>1</v>
      </c>
      <c r="E204" s="3483">
        <v>0.82182928138348077</v>
      </c>
      <c r="F204" s="3550">
        <v>0.17817071861651923</v>
      </c>
      <c r="G204" s="2358">
        <f t="shared" si="10"/>
        <v>1</v>
      </c>
      <c r="H204" s="2356">
        <f t="shared" si="11"/>
        <v>0.99999999999999978</v>
      </c>
      <c r="I204" s="819">
        <v>0.85292665327038231</v>
      </c>
      <c r="J204" s="3548">
        <v>8.007660882378681E-2</v>
      </c>
      <c r="K204" s="2799">
        <v>6.6996737905830661E-2</v>
      </c>
      <c r="L204" s="2356">
        <f t="shared" si="9"/>
        <v>1</v>
      </c>
      <c r="M204" s="819">
        <v>0.82882177600056239</v>
      </c>
      <c r="N204" s="3548">
        <v>9.6636559951280343E-2</v>
      </c>
      <c r="O204" s="2801">
        <v>7.4541664048157361E-2</v>
      </c>
    </row>
    <row r="205" spans="1:15" s="238" customFormat="1">
      <c r="A205" s="240">
        <f t="shared" si="8"/>
        <v>2016.04</v>
      </c>
      <c r="B205" s="3487">
        <v>0.64198446297392664</v>
      </c>
      <c r="C205" s="3549">
        <v>0.35801553702607336</v>
      </c>
      <c r="D205" s="2357">
        <f t="shared" si="7"/>
        <v>1</v>
      </c>
      <c r="E205" s="3483">
        <v>0.87049216441906141</v>
      </c>
      <c r="F205" s="3550">
        <v>0.12950783558093854</v>
      </c>
      <c r="G205" s="2358">
        <f t="shared" si="10"/>
        <v>1</v>
      </c>
      <c r="H205" s="2356">
        <f t="shared" si="11"/>
        <v>1</v>
      </c>
      <c r="I205" s="819">
        <v>0.9014816245996764</v>
      </c>
      <c r="J205" s="3548">
        <v>5.9630855541473696E-2</v>
      </c>
      <c r="K205" s="2799">
        <v>3.888751985884991E-2</v>
      </c>
      <c r="L205" s="2356">
        <f t="shared" si="9"/>
        <v>1</v>
      </c>
      <c r="M205" s="819">
        <v>0.84799467702046916</v>
      </c>
      <c r="N205" s="3548">
        <v>6.5464724829740195E-2</v>
      </c>
      <c r="O205" s="2801">
        <v>8.6540598149790635E-2</v>
      </c>
    </row>
    <row r="206" spans="1:15" s="238" customFormat="1">
      <c r="A206" s="240">
        <f t="shared" si="8"/>
        <v>2016.05</v>
      </c>
      <c r="B206" s="3487">
        <v>0.73108360425915497</v>
      </c>
      <c r="C206" s="3549">
        <v>0.26891639574084508</v>
      </c>
      <c r="D206" s="2357">
        <f t="shared" si="7"/>
        <v>1</v>
      </c>
      <c r="E206" s="3483">
        <v>0.76631647857920238</v>
      </c>
      <c r="F206" s="3550">
        <v>0.23368352142079751</v>
      </c>
      <c r="G206" s="2358">
        <f t="shared" si="10"/>
        <v>0.99999999999999989</v>
      </c>
      <c r="H206" s="2356">
        <f t="shared" si="11"/>
        <v>0.99999999999999989</v>
      </c>
      <c r="I206" s="819">
        <v>0.93301654867760186</v>
      </c>
      <c r="J206" s="3548">
        <v>5.2359248983717743E-2</v>
      </c>
      <c r="K206" s="2799">
        <v>1.4624202338680361E-2</v>
      </c>
      <c r="L206" s="2356">
        <f t="shared" si="9"/>
        <v>1</v>
      </c>
      <c r="M206" s="819">
        <v>0.89681554665394347</v>
      </c>
      <c r="N206" s="3548">
        <v>4.5207741208428937E-2</v>
      </c>
      <c r="O206" s="2801">
        <v>5.7976712137627562E-2</v>
      </c>
    </row>
    <row r="207" spans="1:15" s="238" customFormat="1">
      <c r="A207" s="240">
        <f t="shared" si="8"/>
        <v>2016.06</v>
      </c>
      <c r="B207" s="3487">
        <v>0.71877365474436739</v>
      </c>
      <c r="C207" s="3549">
        <v>0.28122634525563267</v>
      </c>
      <c r="D207" s="2357">
        <f t="shared" si="7"/>
        <v>1</v>
      </c>
      <c r="E207" s="3483">
        <v>0.90359436971004437</v>
      </c>
      <c r="F207" s="3550">
        <v>9.6405630289955649E-2</v>
      </c>
      <c r="G207" s="2358">
        <f t="shared" si="10"/>
        <v>1</v>
      </c>
      <c r="H207" s="2356">
        <f t="shared" si="11"/>
        <v>1</v>
      </c>
      <c r="I207" s="819">
        <v>0.89388657640806202</v>
      </c>
      <c r="J207" s="3548">
        <v>7.9480318093636648E-2</v>
      </c>
      <c r="K207" s="2799">
        <v>2.66331054983013E-2</v>
      </c>
      <c r="L207" s="2356">
        <f t="shared" si="9"/>
        <v>1</v>
      </c>
      <c r="M207" s="819">
        <v>0.89326336676532236</v>
      </c>
      <c r="N207" s="3548">
        <v>6.0008033824108423E-2</v>
      </c>
      <c r="O207" s="2801">
        <v>4.6728599410569227E-2</v>
      </c>
    </row>
    <row r="208" spans="1:15" s="238" customFormat="1">
      <c r="A208" s="240">
        <f t="shared" si="8"/>
        <v>2016.07</v>
      </c>
      <c r="B208" s="3487">
        <v>0.75184377566532179</v>
      </c>
      <c r="C208" s="3549">
        <v>0.2481562243346781</v>
      </c>
      <c r="D208" s="2357">
        <f t="shared" si="7"/>
        <v>0.99999999999999989</v>
      </c>
      <c r="E208" s="3483">
        <v>0.82782523659867446</v>
      </c>
      <c r="F208" s="3550">
        <v>0.17217476340132543</v>
      </c>
      <c r="G208" s="2358">
        <f t="shared" si="10"/>
        <v>0.99999999999999989</v>
      </c>
      <c r="H208" s="2356">
        <f t="shared" si="11"/>
        <v>1</v>
      </c>
      <c r="I208" s="819">
        <v>0.88219580183260804</v>
      </c>
      <c r="J208" s="3548">
        <v>7.8013863783828283E-2</v>
      </c>
      <c r="K208" s="2799">
        <v>3.9790334383563719E-2</v>
      </c>
      <c r="L208" s="2356">
        <f t="shared" si="9"/>
        <v>1</v>
      </c>
      <c r="M208" s="819">
        <v>0.9175768609710615</v>
      </c>
      <c r="N208" s="3548">
        <v>3.9700170153844846E-2</v>
      </c>
      <c r="O208" s="2801">
        <v>4.2722968875093678E-2</v>
      </c>
    </row>
    <row r="209" spans="1:15" s="238" customFormat="1">
      <c r="A209" s="240">
        <f t="shared" si="8"/>
        <v>2016.08</v>
      </c>
      <c r="B209" s="3487">
        <v>0.71652556058741257</v>
      </c>
      <c r="C209" s="3549">
        <v>0.28347443941258743</v>
      </c>
      <c r="D209" s="2357">
        <f t="shared" si="7"/>
        <v>1</v>
      </c>
      <c r="E209" s="3483">
        <v>0.83923017624209673</v>
      </c>
      <c r="F209" s="3550">
        <v>0.16076982375790316</v>
      </c>
      <c r="G209" s="2358">
        <f t="shared" si="10"/>
        <v>0.99999999999999989</v>
      </c>
      <c r="H209" s="2356">
        <f t="shared" si="11"/>
        <v>1</v>
      </c>
      <c r="I209" s="819">
        <v>0.88087760244087232</v>
      </c>
      <c r="J209" s="3548">
        <v>6.0641723318616565E-2</v>
      </c>
      <c r="K209" s="2799">
        <v>5.8480674240511149E-2</v>
      </c>
      <c r="L209" s="2356">
        <f t="shared" si="9"/>
        <v>1</v>
      </c>
      <c r="M209" s="819">
        <v>0.90957512345984892</v>
      </c>
      <c r="N209" s="3548">
        <v>7.2495845871023465E-2</v>
      </c>
      <c r="O209" s="2801">
        <v>1.7929030669127648E-2</v>
      </c>
    </row>
    <row r="210" spans="1:15" s="238" customFormat="1">
      <c r="A210" s="240">
        <f t="shared" si="8"/>
        <v>2016.09</v>
      </c>
      <c r="B210" s="3487">
        <v>0.64484945646187763</v>
      </c>
      <c r="C210" s="3549">
        <v>0.35515054353812225</v>
      </c>
      <c r="D210" s="2357">
        <f t="shared" si="7"/>
        <v>0.99999999999999989</v>
      </c>
      <c r="E210" s="3483">
        <v>0.84669041461538508</v>
      </c>
      <c r="F210" s="3550">
        <v>0.15330958538461492</v>
      </c>
      <c r="G210" s="2358">
        <f t="shared" si="10"/>
        <v>1</v>
      </c>
      <c r="H210" s="2356">
        <f t="shared" si="11"/>
        <v>1</v>
      </c>
      <c r="I210" s="819">
        <v>0.87384973106047492</v>
      </c>
      <c r="J210" s="3548">
        <v>7.6595153300340127E-2</v>
      </c>
      <c r="K210" s="2799">
        <v>4.9555115639184855E-2</v>
      </c>
      <c r="L210" s="2356">
        <f t="shared" si="9"/>
        <v>1</v>
      </c>
      <c r="M210" s="819">
        <v>0.89908696337121352</v>
      </c>
      <c r="N210" s="3548">
        <v>6.0612910123550592E-2</v>
      </c>
      <c r="O210" s="2801">
        <v>4.0300126505235824E-2</v>
      </c>
    </row>
    <row r="211" spans="1:15" s="238" customFormat="1">
      <c r="A211" s="240">
        <f t="shared" si="8"/>
        <v>2016.1</v>
      </c>
      <c r="B211" s="3487">
        <v>0.66999141993134559</v>
      </c>
      <c r="C211" s="3549">
        <v>0.33000858006865436</v>
      </c>
      <c r="D211" s="2357">
        <f t="shared" si="7"/>
        <v>1</v>
      </c>
      <c r="E211" s="3483">
        <v>0.86122327653104103</v>
      </c>
      <c r="F211" s="3550">
        <v>0.13877672346895903</v>
      </c>
      <c r="G211" s="2358">
        <f t="shared" si="10"/>
        <v>1</v>
      </c>
      <c r="H211" s="2356">
        <f t="shared" si="11"/>
        <v>1</v>
      </c>
      <c r="I211" s="819">
        <v>0.87955801109248721</v>
      </c>
      <c r="J211" s="3548">
        <v>6.8129612475930704E-2</v>
      </c>
      <c r="K211" s="2799">
        <v>5.2312376431582125E-2</v>
      </c>
      <c r="L211" s="2356">
        <f t="shared" si="9"/>
        <v>1</v>
      </c>
      <c r="M211" s="819">
        <v>0.92092944514979647</v>
      </c>
      <c r="N211" s="3548">
        <v>3.6876596289452758E-2</v>
      </c>
      <c r="O211" s="2801">
        <v>4.2193958560750817E-2</v>
      </c>
    </row>
    <row r="212" spans="1:15" s="238" customFormat="1">
      <c r="A212" s="240">
        <f t="shared" si="8"/>
        <v>2016.11</v>
      </c>
      <c r="B212" s="3487">
        <v>0.74280372467742073</v>
      </c>
      <c r="C212" s="3549">
        <v>0.25719627532257938</v>
      </c>
      <c r="D212" s="2357">
        <f t="shared" si="7"/>
        <v>1</v>
      </c>
      <c r="E212" s="3483">
        <v>0.84435138915321883</v>
      </c>
      <c r="F212" s="3550">
        <v>0.15564861084678117</v>
      </c>
      <c r="G212" s="2358">
        <f t="shared" si="10"/>
        <v>1</v>
      </c>
      <c r="H212" s="2356">
        <f t="shared" si="11"/>
        <v>1</v>
      </c>
      <c r="I212" s="819">
        <v>0.87147841944301763</v>
      </c>
      <c r="J212" s="3548">
        <v>5.915480763832557E-2</v>
      </c>
      <c r="K212" s="2799">
        <v>6.9366772918656852E-2</v>
      </c>
      <c r="L212" s="2356">
        <f t="shared" si="9"/>
        <v>0.99999999999999989</v>
      </c>
      <c r="M212" s="819">
        <v>0.8983685692718848</v>
      </c>
      <c r="N212" s="3548">
        <v>6.7274631544435748E-2</v>
      </c>
      <c r="O212" s="2801">
        <v>3.4356799183679392E-2</v>
      </c>
    </row>
    <row r="213" spans="1:15" s="238" customFormat="1">
      <c r="A213" s="240">
        <f t="shared" si="8"/>
        <v>2016.12</v>
      </c>
      <c r="B213" s="3487">
        <v>0.72324572565159795</v>
      </c>
      <c r="C213" s="3549">
        <v>0.27675427434840211</v>
      </c>
      <c r="D213" s="2357">
        <f t="shared" si="7"/>
        <v>1</v>
      </c>
      <c r="E213" s="3483">
        <v>0.83043429456767914</v>
      </c>
      <c r="F213" s="3550">
        <v>0.16956570543232097</v>
      </c>
      <c r="G213" s="2358">
        <f t="shared" si="10"/>
        <v>1</v>
      </c>
      <c r="H213" s="2356">
        <f t="shared" si="11"/>
        <v>1</v>
      </c>
      <c r="I213" s="819">
        <v>0.84017140793964318</v>
      </c>
      <c r="J213" s="3548">
        <v>0.12092955673700176</v>
      </c>
      <c r="K213" s="2799">
        <v>3.8899035323355119E-2</v>
      </c>
      <c r="L213" s="2356">
        <f t="shared" si="9"/>
        <v>0.99999999999999989</v>
      </c>
      <c r="M213" s="819">
        <v>0.909938932119711</v>
      </c>
      <c r="N213" s="3548">
        <v>4.5269567135824446E-2</v>
      </c>
      <c r="O213" s="2801">
        <v>4.4791500744464523E-2</v>
      </c>
    </row>
    <row r="214" spans="1:15" s="238" customFormat="1">
      <c r="A214" s="240">
        <f t="shared" si="8"/>
        <v>2017.01</v>
      </c>
      <c r="B214" s="3487">
        <v>0.68873329140973349</v>
      </c>
      <c r="C214" s="3549">
        <v>0.31126670859026645</v>
      </c>
      <c r="D214" s="2357">
        <f t="shared" si="7"/>
        <v>1</v>
      </c>
      <c r="E214" s="3483">
        <v>0.86835699538614275</v>
      </c>
      <c r="F214" s="3550">
        <v>0.13164300461385728</v>
      </c>
      <c r="G214" s="2358">
        <f t="shared" si="10"/>
        <v>1</v>
      </c>
      <c r="H214" s="2356">
        <f t="shared" si="11"/>
        <v>1</v>
      </c>
      <c r="I214" s="819">
        <v>0.86057649938634739</v>
      </c>
      <c r="J214" s="3548">
        <v>8.3596735331969901E-2</v>
      </c>
      <c r="K214" s="2799">
        <v>5.5826765281682705E-2</v>
      </c>
      <c r="L214" s="2356">
        <f t="shared" si="9"/>
        <v>1</v>
      </c>
      <c r="M214" s="819">
        <v>0.88860635696595069</v>
      </c>
      <c r="N214" s="3548">
        <v>8.0843970679132293E-2</v>
      </c>
      <c r="O214" s="2801">
        <v>3.054967235491703E-2</v>
      </c>
    </row>
    <row r="215" spans="1:15" s="238" customFormat="1">
      <c r="A215" s="240">
        <f t="shared" si="8"/>
        <v>2017.02</v>
      </c>
      <c r="B215" s="3487">
        <v>0.72824135808032064</v>
      </c>
      <c r="C215" s="3549">
        <v>0.27175864191967941</v>
      </c>
      <c r="D215" s="2357">
        <f t="shared" si="7"/>
        <v>1</v>
      </c>
      <c r="E215" s="3483">
        <v>0.84189101234200014</v>
      </c>
      <c r="F215" s="3550">
        <v>0.15810898765799988</v>
      </c>
      <c r="G215" s="2358">
        <f t="shared" si="10"/>
        <v>1</v>
      </c>
      <c r="H215" s="2356">
        <f t="shared" si="11"/>
        <v>0.99999999999999989</v>
      </c>
      <c r="I215" s="819">
        <v>0.87917978488858139</v>
      </c>
      <c r="J215" s="3548">
        <v>9.8768561440625846E-2</v>
      </c>
      <c r="K215" s="2799">
        <v>2.2051653670792683E-2</v>
      </c>
      <c r="L215" s="2356">
        <f t="shared" si="9"/>
        <v>1.0000000000000002</v>
      </c>
      <c r="M215" s="819">
        <v>0.87154323036451875</v>
      </c>
      <c r="N215" s="3548">
        <v>0.1014885332434618</v>
      </c>
      <c r="O215" s="2801">
        <v>2.6968236392019528E-2</v>
      </c>
    </row>
    <row r="216" spans="1:15" s="238" customFormat="1">
      <c r="A216" s="240">
        <f t="shared" si="8"/>
        <v>2017.03</v>
      </c>
      <c r="B216" s="3487">
        <v>0.65129809836082331</v>
      </c>
      <c r="C216" s="3549">
        <v>0.34870190163917658</v>
      </c>
      <c r="D216" s="2357">
        <f t="shared" si="7"/>
        <v>0.99999999999999989</v>
      </c>
      <c r="E216" s="3483">
        <v>0.81705513966205023</v>
      </c>
      <c r="F216" s="3550">
        <v>0.18294486033794982</v>
      </c>
      <c r="G216" s="2358">
        <f t="shared" si="10"/>
        <v>1</v>
      </c>
      <c r="H216" s="2356">
        <f t="shared" si="11"/>
        <v>1</v>
      </c>
      <c r="I216" s="819">
        <v>0.86396673125255941</v>
      </c>
      <c r="J216" s="3548">
        <v>8.8979944996704752E-2</v>
      </c>
      <c r="K216" s="2799">
        <v>4.7053323750735815E-2</v>
      </c>
      <c r="L216" s="2356">
        <f t="shared" si="9"/>
        <v>1</v>
      </c>
      <c r="M216" s="819">
        <v>0.8934715271756406</v>
      </c>
      <c r="N216" s="3548">
        <v>6.9646626286741245E-2</v>
      </c>
      <c r="O216" s="2801">
        <v>3.688184653761812E-2</v>
      </c>
    </row>
    <row r="217" spans="1:15" s="238" customFormat="1">
      <c r="A217" s="240">
        <f t="shared" si="8"/>
        <v>2017.04</v>
      </c>
      <c r="B217" s="3487">
        <v>0.65729548408952165</v>
      </c>
      <c r="C217" s="3549">
        <v>0.34270451591047846</v>
      </c>
      <c r="D217" s="2357">
        <f t="shared" si="7"/>
        <v>1</v>
      </c>
      <c r="E217" s="3483">
        <v>0.85253563234453267</v>
      </c>
      <c r="F217" s="3550">
        <v>0.14746436765546739</v>
      </c>
      <c r="G217" s="2358">
        <f t="shared" si="10"/>
        <v>1</v>
      </c>
      <c r="H217" s="2356">
        <f t="shared" si="11"/>
        <v>1</v>
      </c>
      <c r="I217" s="819">
        <v>0.89799885338980445</v>
      </c>
      <c r="J217" s="3548">
        <v>7.8433662377317831E-2</v>
      </c>
      <c r="K217" s="2799">
        <v>2.356748423287764E-2</v>
      </c>
      <c r="L217" s="2356">
        <f t="shared" si="9"/>
        <v>0.99999999999999989</v>
      </c>
      <c r="M217" s="819">
        <v>0.93491538239276895</v>
      </c>
      <c r="N217" s="3548">
        <v>5.3147604174492755E-2</v>
      </c>
      <c r="O217" s="2801">
        <v>1.1937013432738276E-2</v>
      </c>
    </row>
    <row r="218" spans="1:15" s="238" customFormat="1">
      <c r="A218" s="240">
        <f t="shared" si="8"/>
        <v>2017.05</v>
      </c>
      <c r="B218" s="3487">
        <v>0.68714411083871041</v>
      </c>
      <c r="C218" s="3549">
        <v>0.31285588916128959</v>
      </c>
      <c r="D218" s="2357">
        <f t="shared" si="7"/>
        <v>1</v>
      </c>
      <c r="E218" s="3483">
        <v>0.86667422057528709</v>
      </c>
      <c r="F218" s="3550">
        <v>0.13332577942471291</v>
      </c>
      <c r="G218" s="2358">
        <f t="shared" si="10"/>
        <v>1</v>
      </c>
      <c r="H218" s="2356">
        <f t="shared" si="11"/>
        <v>1</v>
      </c>
      <c r="I218" s="819">
        <v>0.8915766098820338</v>
      </c>
      <c r="J218" s="3548">
        <v>7.3139207649059276E-2</v>
      </c>
      <c r="K218" s="2799">
        <v>3.5284182468906966E-2</v>
      </c>
      <c r="L218" s="2356">
        <f t="shared" si="9"/>
        <v>1</v>
      </c>
      <c r="M218" s="819">
        <v>0.89689222135141644</v>
      </c>
      <c r="N218" s="3548">
        <v>7.8939576049710344E-2</v>
      </c>
      <c r="O218" s="2801">
        <v>2.416820259887319E-2</v>
      </c>
    </row>
    <row r="219" spans="1:15" s="238" customFormat="1">
      <c r="A219" s="240">
        <f t="shared" si="8"/>
        <v>2017.06</v>
      </c>
      <c r="B219" s="3487">
        <v>0.74037706798619252</v>
      </c>
      <c r="C219" s="3549">
        <v>0.25962293201380754</v>
      </c>
      <c r="D219" s="2357">
        <f t="shared" si="7"/>
        <v>1</v>
      </c>
      <c r="E219" s="3483">
        <v>0.83099611320425826</v>
      </c>
      <c r="F219" s="3550">
        <v>0.16900388679574177</v>
      </c>
      <c r="G219" s="2358">
        <f t="shared" si="10"/>
        <v>1</v>
      </c>
      <c r="H219" s="2356">
        <f t="shared" si="11"/>
        <v>1.0000000000000002</v>
      </c>
      <c r="I219" s="819">
        <v>0.8476229559533347</v>
      </c>
      <c r="J219" s="3548">
        <v>0.10839519546122395</v>
      </c>
      <c r="K219" s="2799">
        <v>4.3981848585441456E-2</v>
      </c>
      <c r="L219" s="2356">
        <f t="shared" si="9"/>
        <v>1</v>
      </c>
      <c r="M219" s="819">
        <v>0.92222776894931646</v>
      </c>
      <c r="N219" s="3548">
        <v>6.028631113495856E-2</v>
      </c>
      <c r="O219" s="2801">
        <v>1.7485919915724991E-2</v>
      </c>
    </row>
    <row r="220" spans="1:15" s="238" customFormat="1">
      <c r="A220" s="240">
        <f t="shared" si="8"/>
        <v>2017.07</v>
      </c>
      <c r="B220" s="3487">
        <v>0.75773243801521117</v>
      </c>
      <c r="C220" s="3549">
        <v>0.24226756198478877</v>
      </c>
      <c r="D220" s="2357">
        <f t="shared" si="7"/>
        <v>1</v>
      </c>
      <c r="E220" s="3483">
        <v>0.83023911907895298</v>
      </c>
      <c r="F220" s="3550">
        <v>0.16976088092104694</v>
      </c>
      <c r="G220" s="2358">
        <f t="shared" si="10"/>
        <v>0.99999999999999989</v>
      </c>
      <c r="H220" s="2356">
        <f t="shared" si="11"/>
        <v>1</v>
      </c>
      <c r="I220" s="819">
        <v>0.85961912572737542</v>
      </c>
      <c r="J220" s="3548">
        <v>0.11673660742213146</v>
      </c>
      <c r="K220" s="2799">
        <v>2.3644266850493215E-2</v>
      </c>
      <c r="L220" s="2356">
        <f t="shared" si="9"/>
        <v>1</v>
      </c>
      <c r="M220" s="819">
        <v>0.9303062605823379</v>
      </c>
      <c r="N220" s="3548">
        <v>5.8642162405718547E-2</v>
      </c>
      <c r="O220" s="2801">
        <v>1.1051577011943601E-2</v>
      </c>
    </row>
    <row r="221" spans="1:15" s="238" customFormat="1">
      <c r="A221" s="240">
        <f t="shared" si="8"/>
        <v>2017.08</v>
      </c>
      <c r="B221" s="3487">
        <v>0.71182667586617077</v>
      </c>
      <c r="C221" s="3549">
        <v>0.2881733241338294</v>
      </c>
      <c r="D221" s="2357">
        <f t="shared" ref="D221:D284" si="12">B221+C221</f>
        <v>1.0000000000000002</v>
      </c>
      <c r="E221" s="3483">
        <v>0.88731441576352021</v>
      </c>
      <c r="F221" s="3550">
        <v>0.11268558423647984</v>
      </c>
      <c r="G221" s="2358">
        <f t="shared" si="10"/>
        <v>1</v>
      </c>
      <c r="H221" s="2356">
        <f t="shared" si="11"/>
        <v>1</v>
      </c>
      <c r="I221" s="819">
        <v>0.88147339958416271</v>
      </c>
      <c r="J221" s="3548">
        <v>9.5090128910511537E-2</v>
      </c>
      <c r="K221" s="2799">
        <v>2.3436471505325775E-2</v>
      </c>
      <c r="L221" s="2356">
        <f t="shared" si="9"/>
        <v>1</v>
      </c>
      <c r="M221" s="819">
        <v>0.93710484507683944</v>
      </c>
      <c r="N221" s="3548">
        <v>4.774275978798926E-2</v>
      </c>
      <c r="O221" s="2801">
        <v>1.5152395135171345E-2</v>
      </c>
    </row>
    <row r="222" spans="1:15" s="238" customFormat="1">
      <c r="A222" s="240">
        <f t="shared" si="8"/>
        <v>2017.09</v>
      </c>
      <c r="B222" s="3487">
        <v>0.720983239767922</v>
      </c>
      <c r="C222" s="3549">
        <v>0.279016760232078</v>
      </c>
      <c r="D222" s="2357">
        <f t="shared" si="12"/>
        <v>1</v>
      </c>
      <c r="E222" s="3483">
        <v>0.84825725191472467</v>
      </c>
      <c r="F222" s="3550">
        <v>0.15174274808527535</v>
      </c>
      <c r="G222" s="2358">
        <f t="shared" si="10"/>
        <v>1</v>
      </c>
      <c r="H222" s="2356">
        <f t="shared" si="11"/>
        <v>0.99999999999999989</v>
      </c>
      <c r="I222" s="819">
        <v>0.83863545369004333</v>
      </c>
      <c r="J222" s="3548">
        <v>0.14916150894855851</v>
      </c>
      <c r="K222" s="2799">
        <v>1.2203037361398071E-2</v>
      </c>
      <c r="L222" s="2356">
        <f t="shared" si="9"/>
        <v>1</v>
      </c>
      <c r="M222" s="819">
        <v>0.90543318712282717</v>
      </c>
      <c r="N222" s="3548">
        <v>8.5673730770067499E-2</v>
      </c>
      <c r="O222" s="2801">
        <v>8.8930821071053871E-3</v>
      </c>
    </row>
    <row r="223" spans="1:15" s="238" customFormat="1">
      <c r="A223" s="240">
        <f t="shared" si="8"/>
        <v>2017.1</v>
      </c>
      <c r="B223" s="3487">
        <v>0.72122904134081811</v>
      </c>
      <c r="C223" s="3549">
        <v>0.27877095865918194</v>
      </c>
      <c r="D223" s="2357">
        <f t="shared" si="12"/>
        <v>1</v>
      </c>
      <c r="E223" s="3483">
        <v>0.87345363719668578</v>
      </c>
      <c r="F223" s="3550">
        <v>0.12654636280331427</v>
      </c>
      <c r="G223" s="2358">
        <f t="shared" si="10"/>
        <v>1</v>
      </c>
      <c r="H223" s="2356">
        <f t="shared" si="11"/>
        <v>0.99999999999999989</v>
      </c>
      <c r="I223" s="819">
        <v>0.83529852157349482</v>
      </c>
      <c r="J223" s="3548">
        <v>0.1355890699051491</v>
      </c>
      <c r="K223" s="2799">
        <v>2.9112408521356027E-2</v>
      </c>
      <c r="L223" s="2356">
        <f t="shared" si="9"/>
        <v>1</v>
      </c>
      <c r="M223" s="819">
        <v>0.87022936439522303</v>
      </c>
      <c r="N223" s="3548">
        <v>0.12423369458907056</v>
      </c>
      <c r="O223" s="2801">
        <v>5.5369410157064891E-3</v>
      </c>
    </row>
    <row r="224" spans="1:15" s="238" customFormat="1">
      <c r="A224" s="240">
        <f t="shared" si="8"/>
        <v>2017.11</v>
      </c>
      <c r="B224" s="3487">
        <v>0.69567285914150123</v>
      </c>
      <c r="C224" s="3549">
        <v>0.30432714085849882</v>
      </c>
      <c r="D224" s="2357">
        <f t="shared" si="12"/>
        <v>1</v>
      </c>
      <c r="E224" s="3483">
        <v>0.81794512010902121</v>
      </c>
      <c r="F224" s="3550">
        <v>0.18205487989097879</v>
      </c>
      <c r="G224" s="2358">
        <f t="shared" si="10"/>
        <v>1</v>
      </c>
      <c r="H224" s="2356">
        <f t="shared" si="11"/>
        <v>0.99999999999999967</v>
      </c>
      <c r="I224" s="819">
        <v>0.83592885453494314</v>
      </c>
      <c r="J224" s="3548">
        <v>0.12247730599105149</v>
      </c>
      <c r="K224" s="2799">
        <v>4.159383947400512E-2</v>
      </c>
      <c r="L224" s="2356">
        <f t="shared" si="9"/>
        <v>1</v>
      </c>
      <c r="M224" s="819">
        <v>0.91545560346378962</v>
      </c>
      <c r="N224" s="3548">
        <v>6.6681759873800261E-2</v>
      </c>
      <c r="O224" s="2801">
        <v>1.7862636662410135E-2</v>
      </c>
    </row>
    <row r="225" spans="1:15" s="238" customFormat="1">
      <c r="A225" s="240">
        <f t="shared" si="8"/>
        <v>2017.12</v>
      </c>
      <c r="B225" s="3487">
        <v>0.74077774505072758</v>
      </c>
      <c r="C225" s="3549">
        <v>0.25922225494927231</v>
      </c>
      <c r="D225" s="2357">
        <f t="shared" si="12"/>
        <v>0.99999999999999989</v>
      </c>
      <c r="E225" s="3483">
        <v>0.8286879358884458</v>
      </c>
      <c r="F225" s="3550">
        <v>0.17131206411155417</v>
      </c>
      <c r="G225" s="2358">
        <f t="shared" si="10"/>
        <v>1</v>
      </c>
      <c r="H225" s="2356">
        <f t="shared" si="11"/>
        <v>1.0000000000000002</v>
      </c>
      <c r="I225" s="819">
        <v>0.83512067005108737</v>
      </c>
      <c r="J225" s="3548">
        <v>0.10029264783402086</v>
      </c>
      <c r="K225" s="2799">
        <v>6.4586682114891866E-2</v>
      </c>
      <c r="L225" s="2356">
        <f t="shared" si="9"/>
        <v>1</v>
      </c>
      <c r="M225" s="819">
        <v>0.8976152998200484</v>
      </c>
      <c r="N225" s="3548">
        <v>7.0934764412312473E-2</v>
      </c>
      <c r="O225" s="2801">
        <v>3.1449935767639096E-2</v>
      </c>
    </row>
    <row r="226" spans="1:15" s="238" customFormat="1">
      <c r="A226" s="240">
        <f t="shared" si="8"/>
        <v>2018.01</v>
      </c>
      <c r="B226" s="3487">
        <v>0.68085232134891971</v>
      </c>
      <c r="C226" s="3549">
        <v>0.31914767865108018</v>
      </c>
      <c r="D226" s="2357">
        <f t="shared" si="12"/>
        <v>0.99999999999999989</v>
      </c>
      <c r="E226" s="3483">
        <v>0.85261519390561513</v>
      </c>
      <c r="F226" s="3550">
        <v>0.1473848060943849</v>
      </c>
      <c r="G226" s="2358">
        <f t="shared" si="10"/>
        <v>1</v>
      </c>
      <c r="H226" s="2356">
        <f t="shared" si="11"/>
        <v>1.0000000000000002</v>
      </c>
      <c r="I226" s="819">
        <v>0.89978607880134431</v>
      </c>
      <c r="J226" s="3548">
        <v>7.3788932009860572E-2</v>
      </c>
      <c r="K226" s="2799">
        <v>2.6424989188795222E-2</v>
      </c>
      <c r="L226" s="2356">
        <f t="shared" si="9"/>
        <v>1</v>
      </c>
      <c r="M226" s="819">
        <v>0.90875459743904907</v>
      </c>
      <c r="N226" s="3548">
        <v>4.7064967384697065E-2</v>
      </c>
      <c r="O226" s="2801">
        <v>4.4180435176253779E-2</v>
      </c>
    </row>
    <row r="227" spans="1:15" s="238" customFormat="1">
      <c r="A227" s="240">
        <f t="shared" si="8"/>
        <v>2018.02</v>
      </c>
      <c r="B227" s="3487">
        <v>0.76721418812960673</v>
      </c>
      <c r="C227" s="3549">
        <v>0.23278581187039327</v>
      </c>
      <c r="D227" s="2357">
        <f t="shared" si="12"/>
        <v>1</v>
      </c>
      <c r="E227" s="3483">
        <v>0.85713960339738715</v>
      </c>
      <c r="F227" s="3550">
        <v>0.14286039660261268</v>
      </c>
      <c r="G227" s="2358">
        <f t="shared" si="10"/>
        <v>0.99999999999999978</v>
      </c>
      <c r="H227" s="2356">
        <f t="shared" si="11"/>
        <v>1</v>
      </c>
      <c r="I227" s="819">
        <v>0.79547487889501511</v>
      </c>
      <c r="J227" s="3548">
        <v>0.18251662739703492</v>
      </c>
      <c r="K227" s="2799">
        <v>2.2008493707950029E-2</v>
      </c>
      <c r="L227" s="2356">
        <f t="shared" si="9"/>
        <v>1</v>
      </c>
      <c r="M227" s="819">
        <v>0.82764137650182201</v>
      </c>
      <c r="N227" s="3548">
        <v>0.1367356040413325</v>
      </c>
      <c r="O227" s="2801">
        <v>3.5623019456845456E-2</v>
      </c>
    </row>
    <row r="228" spans="1:15" s="238" customFormat="1">
      <c r="A228" s="240">
        <f t="shared" si="8"/>
        <v>2018.03</v>
      </c>
      <c r="B228" s="3487">
        <v>0.7197505060858258</v>
      </c>
      <c r="C228" s="3549">
        <v>0.28024949391417425</v>
      </c>
      <c r="D228" s="2357">
        <f t="shared" si="12"/>
        <v>1</v>
      </c>
      <c r="E228" s="3483">
        <v>0.88082891568153954</v>
      </c>
      <c r="F228" s="3550">
        <v>0.11917108431846053</v>
      </c>
      <c r="G228" s="2358">
        <f t="shared" si="10"/>
        <v>1</v>
      </c>
      <c r="H228" s="2356">
        <f t="shared" si="11"/>
        <v>1</v>
      </c>
      <c r="I228" s="819">
        <v>0.86958881028914381</v>
      </c>
      <c r="J228" s="3548">
        <v>8.8007715451194415E-2</v>
      </c>
      <c r="K228" s="2799">
        <v>4.2403474259661775E-2</v>
      </c>
      <c r="L228" s="2356">
        <f t="shared" si="9"/>
        <v>1</v>
      </c>
      <c r="M228" s="819">
        <v>0.91643565891553935</v>
      </c>
      <c r="N228" s="3548">
        <v>6.1060072861382174E-2</v>
      </c>
      <c r="O228" s="2801">
        <v>2.2504268223078452E-2</v>
      </c>
    </row>
    <row r="229" spans="1:15" s="238" customFormat="1">
      <c r="A229" s="240">
        <f t="shared" si="8"/>
        <v>2018.04</v>
      </c>
      <c r="B229" s="3487">
        <v>0.73503014340306183</v>
      </c>
      <c r="C229" s="3549">
        <v>0.26496985659693817</v>
      </c>
      <c r="D229" s="2357">
        <f t="shared" si="12"/>
        <v>1</v>
      </c>
      <c r="E229" s="3483">
        <v>0.80441695236154587</v>
      </c>
      <c r="F229" s="3550">
        <v>0.19558304763845413</v>
      </c>
      <c r="G229" s="2358">
        <f t="shared" si="10"/>
        <v>1</v>
      </c>
      <c r="H229" s="2356">
        <f t="shared" si="11"/>
        <v>1</v>
      </c>
      <c r="I229" s="819">
        <v>0.85419809921833079</v>
      </c>
      <c r="J229" s="3548">
        <v>9.8543944549954687E-2</v>
      </c>
      <c r="K229" s="2799">
        <v>4.725795623171454E-2</v>
      </c>
      <c r="L229" s="2356">
        <f t="shared" si="9"/>
        <v>1</v>
      </c>
      <c r="M229" s="819">
        <v>0.95944415148168294</v>
      </c>
      <c r="N229" s="3548">
        <v>2.1635386941666876E-2</v>
      </c>
      <c r="O229" s="2801">
        <v>1.8920461576650126E-2</v>
      </c>
    </row>
    <row r="230" spans="1:15" s="238" customFormat="1">
      <c r="A230" s="240">
        <f t="shared" si="8"/>
        <v>2018.05</v>
      </c>
      <c r="B230" s="3487">
        <v>0.74686418520936204</v>
      </c>
      <c r="C230" s="3549">
        <v>0.25313581479063796</v>
      </c>
      <c r="D230" s="2357">
        <f t="shared" si="12"/>
        <v>1</v>
      </c>
      <c r="E230" s="3483">
        <v>0.91723337412466921</v>
      </c>
      <c r="F230" s="3550">
        <v>8.2766625875330693E-2</v>
      </c>
      <c r="G230" s="2358">
        <f t="shared" si="10"/>
        <v>0.99999999999999989</v>
      </c>
      <c r="H230" s="2356">
        <f t="shared" si="11"/>
        <v>1</v>
      </c>
      <c r="I230" s="819">
        <v>0.91237540850303911</v>
      </c>
      <c r="J230" s="3548">
        <v>5.8768450125108534E-2</v>
      </c>
      <c r="K230" s="2799">
        <v>2.885614137185237E-2</v>
      </c>
      <c r="L230" s="2356">
        <f t="shared" si="9"/>
        <v>1</v>
      </c>
      <c r="M230" s="819">
        <v>0.95512708878676478</v>
      </c>
      <c r="N230" s="3548">
        <v>2.6318696319788986E-2</v>
      </c>
      <c r="O230" s="2801">
        <v>1.8554214893446282E-2</v>
      </c>
    </row>
    <row r="231" spans="1:15" s="238" customFormat="1">
      <c r="A231" s="240">
        <f t="shared" si="8"/>
        <v>2018.06</v>
      </c>
      <c r="B231" s="3487">
        <v>0.7629103881121867</v>
      </c>
      <c r="C231" s="3549">
        <v>0.2370896118878133</v>
      </c>
      <c r="D231" s="2357">
        <f t="shared" si="12"/>
        <v>1</v>
      </c>
      <c r="E231" s="3483">
        <v>0.93274311149282885</v>
      </c>
      <c r="F231" s="3550">
        <v>6.7256888507171333E-2</v>
      </c>
      <c r="G231" s="2358">
        <f t="shared" si="10"/>
        <v>1.0000000000000002</v>
      </c>
      <c r="H231" s="2356">
        <f t="shared" si="11"/>
        <v>1</v>
      </c>
      <c r="I231" s="819">
        <v>0.91104992208358948</v>
      </c>
      <c r="J231" s="3548">
        <v>4.2165633029712594E-2</v>
      </c>
      <c r="K231" s="2799">
        <v>4.678444488669798E-2</v>
      </c>
      <c r="L231" s="2356">
        <f t="shared" si="9"/>
        <v>1</v>
      </c>
      <c r="M231" s="819">
        <v>0.91740325264119349</v>
      </c>
      <c r="N231" s="3548">
        <v>2.7977349615832425E-2</v>
      </c>
      <c r="O231" s="2801">
        <v>5.461939774297403E-2</v>
      </c>
    </row>
    <row r="232" spans="1:15" s="238" customFormat="1">
      <c r="A232" s="240">
        <f t="shared" si="8"/>
        <v>2018.07</v>
      </c>
      <c r="B232" s="3487">
        <v>0.7582145889444718</v>
      </c>
      <c r="C232" s="3549">
        <v>0.24178541105552814</v>
      </c>
      <c r="D232" s="2357">
        <f t="shared" si="12"/>
        <v>1</v>
      </c>
      <c r="E232" s="3483">
        <v>0.90744983039780536</v>
      </c>
      <c r="F232" s="3550">
        <v>9.2550169602194587E-2</v>
      </c>
      <c r="G232" s="2358">
        <f t="shared" si="10"/>
        <v>1</v>
      </c>
      <c r="H232" s="2356">
        <f t="shared" si="11"/>
        <v>0.99999999999999989</v>
      </c>
      <c r="I232" s="819">
        <v>0.88414510216724007</v>
      </c>
      <c r="J232" s="3548">
        <v>8.3034874328480029E-2</v>
      </c>
      <c r="K232" s="2799">
        <v>3.2820023504279823E-2</v>
      </c>
      <c r="L232" s="2356">
        <f t="shared" si="9"/>
        <v>1</v>
      </c>
      <c r="M232" s="819">
        <v>0.94616535845037719</v>
      </c>
      <c r="N232" s="3548">
        <v>1.8550364814279116E-2</v>
      </c>
      <c r="O232" s="2801">
        <v>3.5284276735343699E-2</v>
      </c>
    </row>
    <row r="233" spans="1:15" s="238" customFormat="1">
      <c r="A233" s="240">
        <f t="shared" si="8"/>
        <v>2018.08</v>
      </c>
      <c r="B233" s="3487">
        <v>0.78424649997863294</v>
      </c>
      <c r="C233" s="3549">
        <v>0.21575350002136687</v>
      </c>
      <c r="D233" s="2357">
        <f t="shared" si="12"/>
        <v>0.99999999999999978</v>
      </c>
      <c r="E233" s="3483">
        <v>0.90553031109123949</v>
      </c>
      <c r="F233" s="3550">
        <v>9.446968890876048E-2</v>
      </c>
      <c r="G233" s="2358">
        <f t="shared" si="10"/>
        <v>1</v>
      </c>
      <c r="H233" s="2356">
        <f t="shared" si="11"/>
        <v>0.99999999999999989</v>
      </c>
      <c r="I233" s="819">
        <v>0.90759334282288895</v>
      </c>
      <c r="J233" s="3548">
        <v>4.213189879062753E-2</v>
      </c>
      <c r="K233" s="2799">
        <v>5.0274758386483459E-2</v>
      </c>
      <c r="L233" s="2356">
        <f t="shared" si="9"/>
        <v>1</v>
      </c>
      <c r="M233" s="819">
        <v>0.93641674777479689</v>
      </c>
      <c r="N233" s="3548">
        <v>2.3250753978290864E-2</v>
      </c>
      <c r="O233" s="2801">
        <v>4.0332498246912214E-2</v>
      </c>
    </row>
    <row r="234" spans="1:15" s="238" customFormat="1">
      <c r="A234" s="240">
        <f t="shared" ref="A234:A297" si="13">A222+1</f>
        <v>2018.09</v>
      </c>
      <c r="B234" s="3487">
        <v>0.80168855179089182</v>
      </c>
      <c r="C234" s="3549">
        <v>0.19831144820910818</v>
      </c>
      <c r="D234" s="2357">
        <f t="shared" si="12"/>
        <v>1</v>
      </c>
      <c r="E234" s="3483">
        <v>0.86876421764282097</v>
      </c>
      <c r="F234" s="3550">
        <v>0.13123578235717895</v>
      </c>
      <c r="G234" s="2358">
        <f t="shared" si="10"/>
        <v>0.99999999999999989</v>
      </c>
      <c r="H234" s="2356">
        <f t="shared" si="11"/>
        <v>0.99999999999999989</v>
      </c>
      <c r="I234" s="819">
        <v>0.81458606067106132</v>
      </c>
      <c r="J234" s="3548">
        <v>8.3341268021645223E-2</v>
      </c>
      <c r="K234" s="2799">
        <v>0.10207267130729335</v>
      </c>
      <c r="L234" s="2356">
        <f t="shared" si="9"/>
        <v>0.99999999999999989</v>
      </c>
      <c r="M234" s="819">
        <v>0.91971699910045923</v>
      </c>
      <c r="N234" s="3548">
        <v>3.3024779499483473E-2</v>
      </c>
      <c r="O234" s="2801">
        <v>4.7258221400057199E-2</v>
      </c>
    </row>
    <row r="235" spans="1:15" s="238" customFormat="1">
      <c r="A235" s="240">
        <f t="shared" si="13"/>
        <v>2018.1</v>
      </c>
      <c r="B235" s="3487">
        <v>0.73352461110782674</v>
      </c>
      <c r="C235" s="3549">
        <v>0.26647538889217315</v>
      </c>
      <c r="D235" s="2357">
        <f t="shared" si="12"/>
        <v>0.99999999999999989</v>
      </c>
      <c r="E235" s="3483">
        <v>0.92144168514102431</v>
      </c>
      <c r="F235" s="3550">
        <v>7.8558314858975714E-2</v>
      </c>
      <c r="G235" s="2358">
        <f t="shared" si="10"/>
        <v>1</v>
      </c>
      <c r="H235" s="2356">
        <f t="shared" si="11"/>
        <v>0.99999999999999989</v>
      </c>
      <c r="I235" s="819">
        <v>0.8538380573235913</v>
      </c>
      <c r="J235" s="3548">
        <v>9.0549466292262529E-2</v>
      </c>
      <c r="K235" s="2799">
        <v>5.5612476384146056E-2</v>
      </c>
      <c r="L235" s="2356">
        <f t="shared" si="9"/>
        <v>1</v>
      </c>
      <c r="M235" s="819">
        <v>0.9120829329488519</v>
      </c>
      <c r="N235" s="3548">
        <v>3.6617868321602638E-2</v>
      </c>
      <c r="O235" s="2801">
        <v>5.1299198729545435E-2</v>
      </c>
    </row>
    <row r="236" spans="1:15" s="238" customFormat="1">
      <c r="A236" s="240">
        <f t="shared" si="13"/>
        <v>2018.11</v>
      </c>
      <c r="B236" s="3487">
        <v>0.72883036028929438</v>
      </c>
      <c r="C236" s="3549">
        <v>0.27116963971070568</v>
      </c>
      <c r="D236" s="2357">
        <f t="shared" si="12"/>
        <v>1</v>
      </c>
      <c r="E236" s="3483">
        <v>0.91411987721860388</v>
      </c>
      <c r="F236" s="3550">
        <v>8.5880122781396034E-2</v>
      </c>
      <c r="G236" s="2358">
        <f t="shared" si="10"/>
        <v>0.99999999999999989</v>
      </c>
      <c r="H236" s="2356">
        <f t="shared" si="11"/>
        <v>1</v>
      </c>
      <c r="I236" s="819">
        <v>0.88908085666429726</v>
      </c>
      <c r="J236" s="3548">
        <v>3.4745059771141201E-2</v>
      </c>
      <c r="K236" s="2799">
        <v>7.6174083564561609E-2</v>
      </c>
      <c r="L236" s="2356">
        <f t="shared" si="9"/>
        <v>1</v>
      </c>
      <c r="M236" s="819">
        <v>0.89091078862048401</v>
      </c>
      <c r="N236" s="3548">
        <v>6.4570663087134092E-2</v>
      </c>
      <c r="O236" s="2801">
        <v>4.4518548292381895E-2</v>
      </c>
    </row>
    <row r="237" spans="1:15" s="238" customFormat="1">
      <c r="A237" s="240">
        <f t="shared" si="13"/>
        <v>2018.12</v>
      </c>
      <c r="B237" s="3487">
        <v>0.78000878217716418</v>
      </c>
      <c r="C237" s="3549">
        <v>0.21999121782283587</v>
      </c>
      <c r="D237" s="2357">
        <f t="shared" si="12"/>
        <v>1</v>
      </c>
      <c r="E237" s="3483">
        <v>0.88130296777688388</v>
      </c>
      <c r="F237" s="3550">
        <v>0.11869703222311609</v>
      </c>
      <c r="G237" s="2358">
        <f t="shared" si="10"/>
        <v>1</v>
      </c>
      <c r="H237" s="2356">
        <f t="shared" si="11"/>
        <v>0.99999999999999989</v>
      </c>
      <c r="I237" s="819">
        <v>0.82664602840887003</v>
      </c>
      <c r="J237" s="3548">
        <v>8.8686014785823192E-2</v>
      </c>
      <c r="K237" s="2799">
        <v>8.4667956805306671E-2</v>
      </c>
      <c r="L237" s="2356">
        <f t="shared" si="9"/>
        <v>1</v>
      </c>
      <c r="M237" s="819">
        <v>0.85266082608614657</v>
      </c>
      <c r="N237" s="3548">
        <v>5.7613056297381685E-2</v>
      </c>
      <c r="O237" s="2801">
        <v>8.9726117616471743E-2</v>
      </c>
    </row>
    <row r="238" spans="1:15" s="238" customFormat="1">
      <c r="A238" s="240">
        <f t="shared" si="13"/>
        <v>2019.01</v>
      </c>
      <c r="B238" s="3487">
        <v>0.78773818787708849</v>
      </c>
      <c r="C238" s="3549">
        <v>0.21226181212291156</v>
      </c>
      <c r="D238" s="2357">
        <f t="shared" si="12"/>
        <v>1</v>
      </c>
      <c r="E238" s="3483">
        <v>0.86851635194168542</v>
      </c>
      <c r="F238" s="3550">
        <v>0.13148364805831461</v>
      </c>
      <c r="G238" s="2358">
        <f t="shared" si="10"/>
        <v>1</v>
      </c>
      <c r="H238" s="2356">
        <f t="shared" si="11"/>
        <v>1</v>
      </c>
      <c r="I238" s="819">
        <v>0.83438035902862628</v>
      </c>
      <c r="J238" s="3548">
        <v>6.383645669502272E-2</v>
      </c>
      <c r="K238" s="2799">
        <v>0.10178318427635108</v>
      </c>
      <c r="L238" s="2356">
        <f t="shared" si="9"/>
        <v>1</v>
      </c>
      <c r="M238" s="819">
        <v>0.93051424500599733</v>
      </c>
      <c r="N238" s="3548">
        <v>2.7374391388964761E-2</v>
      </c>
      <c r="O238" s="2801">
        <v>4.2111363605037866E-2</v>
      </c>
    </row>
    <row r="239" spans="1:15" s="238" customFormat="1">
      <c r="A239" s="240">
        <f t="shared" si="13"/>
        <v>2019.02</v>
      </c>
      <c r="B239" s="3487">
        <v>0.75532838093600985</v>
      </c>
      <c r="C239" s="3549">
        <v>0.24467161906399013</v>
      </c>
      <c r="D239" s="2357">
        <f t="shared" si="12"/>
        <v>1</v>
      </c>
      <c r="E239" s="3483">
        <v>0.83211516208776781</v>
      </c>
      <c r="F239" s="3550">
        <v>0.16788483791223208</v>
      </c>
      <c r="G239" s="2358">
        <f t="shared" si="10"/>
        <v>0.99999999999999989</v>
      </c>
      <c r="H239" s="2356">
        <f t="shared" si="11"/>
        <v>1</v>
      </c>
      <c r="I239" s="819">
        <v>0.86921399917549325</v>
      </c>
      <c r="J239" s="3548">
        <v>7.233817839048548E-2</v>
      </c>
      <c r="K239" s="2799">
        <v>5.8447822434021267E-2</v>
      </c>
      <c r="L239" s="2356">
        <f t="shared" si="9"/>
        <v>1.0000000000000002</v>
      </c>
      <c r="M239" s="819">
        <v>0.90427939998368378</v>
      </c>
      <c r="N239" s="3548">
        <v>3.6324856643908054E-2</v>
      </c>
      <c r="O239" s="2801">
        <v>5.9395743372408299E-2</v>
      </c>
    </row>
    <row r="240" spans="1:15" s="238" customFormat="1">
      <c r="A240" s="240">
        <f t="shared" si="13"/>
        <v>2019.03</v>
      </c>
      <c r="B240" s="3487">
        <v>0.76914248843041533</v>
      </c>
      <c r="C240" s="3549">
        <v>0.2308575115695847</v>
      </c>
      <c r="D240" s="2357">
        <f t="shared" si="12"/>
        <v>1</v>
      </c>
      <c r="E240" s="3483">
        <v>0.86579494105823362</v>
      </c>
      <c r="F240" s="3550">
        <v>0.13420505894176629</v>
      </c>
      <c r="G240" s="2358">
        <f t="shared" si="10"/>
        <v>0.99999999999999989</v>
      </c>
      <c r="H240" s="2356">
        <f t="shared" si="11"/>
        <v>1</v>
      </c>
      <c r="I240" s="819">
        <v>0.85121882129137594</v>
      </c>
      <c r="J240" s="3548">
        <v>8.383910197182852E-2</v>
      </c>
      <c r="K240" s="2799">
        <v>6.4942076736795556E-2</v>
      </c>
      <c r="L240" s="2356">
        <f t="shared" si="9"/>
        <v>1</v>
      </c>
      <c r="M240" s="819">
        <v>0.88558695482079586</v>
      </c>
      <c r="N240" s="3548">
        <v>1.6873968278995271E-2</v>
      </c>
      <c r="O240" s="2801">
        <v>9.7539076900208868E-2</v>
      </c>
    </row>
    <row r="241" spans="1:15" s="238" customFormat="1">
      <c r="A241" s="240">
        <f t="shared" si="13"/>
        <v>2019.04</v>
      </c>
      <c r="B241" s="3487">
        <v>0.74944040086115604</v>
      </c>
      <c r="C241" s="3549">
        <v>0.2505595991388439</v>
      </c>
      <c r="D241" s="2357">
        <f t="shared" si="12"/>
        <v>1</v>
      </c>
      <c r="E241" s="3483">
        <v>0.86718373950572958</v>
      </c>
      <c r="F241" s="3550">
        <v>0.13281626049427048</v>
      </c>
      <c r="G241" s="2358">
        <f t="shared" si="10"/>
        <v>1</v>
      </c>
      <c r="H241" s="2356">
        <f t="shared" si="11"/>
        <v>1</v>
      </c>
      <c r="I241" s="819">
        <v>0.89598925433809085</v>
      </c>
      <c r="J241" s="3548">
        <v>6.0482475334069606E-2</v>
      </c>
      <c r="K241" s="2799">
        <v>4.3528270327839548E-2</v>
      </c>
      <c r="L241" s="2356">
        <f t="shared" si="9"/>
        <v>1</v>
      </c>
      <c r="M241" s="819">
        <v>0.88654999612554786</v>
      </c>
      <c r="N241" s="3548">
        <v>4.3476370878841347E-2</v>
      </c>
      <c r="O241" s="2801">
        <v>6.9973632995610838E-2</v>
      </c>
    </row>
    <row r="242" spans="1:15" s="238" customFormat="1">
      <c r="A242" s="240">
        <f t="shared" si="13"/>
        <v>2019.05</v>
      </c>
      <c r="B242" s="3487">
        <v>0.70598762423800976</v>
      </c>
      <c r="C242" s="3549">
        <v>0.29401237576199013</v>
      </c>
      <c r="D242" s="2357">
        <f t="shared" si="12"/>
        <v>0.99999999999999989</v>
      </c>
      <c r="E242" s="3483">
        <v>0.86328077005212278</v>
      </c>
      <c r="F242" s="3550">
        <v>0.13671922994787711</v>
      </c>
      <c r="G242" s="2358">
        <f t="shared" si="10"/>
        <v>0.99999999999999989</v>
      </c>
      <c r="H242" s="2356">
        <f t="shared" si="11"/>
        <v>0.99999999999999989</v>
      </c>
      <c r="I242" s="819">
        <v>0.91466085477964099</v>
      </c>
      <c r="J242" s="3548">
        <v>4.968307584103554E-2</v>
      </c>
      <c r="K242" s="2799">
        <v>3.5656069379323467E-2</v>
      </c>
      <c r="L242" s="2356">
        <f t="shared" si="9"/>
        <v>0.99999999999999989</v>
      </c>
      <c r="M242" s="819">
        <v>0.94843571434022067</v>
      </c>
      <c r="N242" s="3548">
        <v>2.819895779693736E-2</v>
      </c>
      <c r="O242" s="2801">
        <v>2.3365327862841886E-2</v>
      </c>
    </row>
    <row r="243" spans="1:15" s="238" customFormat="1">
      <c r="A243" s="240">
        <f t="shared" si="13"/>
        <v>2019.06</v>
      </c>
      <c r="B243" s="3487">
        <v>0.79259534091091444</v>
      </c>
      <c r="C243" s="3549">
        <v>0.20740465908908565</v>
      </c>
      <c r="D243" s="2357">
        <f t="shared" si="12"/>
        <v>1</v>
      </c>
      <c r="E243" s="3483">
        <v>0.88156174795800768</v>
      </c>
      <c r="F243" s="3550">
        <v>0.11843825204199235</v>
      </c>
      <c r="G243" s="2358">
        <f t="shared" si="10"/>
        <v>1</v>
      </c>
      <c r="H243" s="2356">
        <f t="shared" si="11"/>
        <v>1</v>
      </c>
      <c r="I243" s="819">
        <v>0.88376046738355507</v>
      </c>
      <c r="J243" s="3548">
        <v>7.0296177641260615E-2</v>
      </c>
      <c r="K243" s="2799">
        <v>4.5943354975184321E-2</v>
      </c>
      <c r="L243" s="2356">
        <f t="shared" si="9"/>
        <v>1</v>
      </c>
      <c r="M243" s="819">
        <v>0.93294301510531985</v>
      </c>
      <c r="N243" s="3548">
        <v>4.3550302598167868E-2</v>
      </c>
      <c r="O243" s="2801">
        <v>2.3506682296512375E-2</v>
      </c>
    </row>
    <row r="244" spans="1:15" s="238" customFormat="1">
      <c r="A244" s="240">
        <f t="shared" si="13"/>
        <v>2019.07</v>
      </c>
      <c r="B244" s="3487">
        <v>0.7800972286225839</v>
      </c>
      <c r="C244" s="3549">
        <v>0.21990277137741618</v>
      </c>
      <c r="D244" s="2357">
        <f t="shared" si="12"/>
        <v>1</v>
      </c>
      <c r="E244" s="3483">
        <v>0.87825078542691737</v>
      </c>
      <c r="F244" s="3550">
        <v>0.12174921457308244</v>
      </c>
      <c r="G244" s="2358">
        <f t="shared" si="10"/>
        <v>0.99999999999999978</v>
      </c>
      <c r="H244" s="2356">
        <f t="shared" si="11"/>
        <v>1</v>
      </c>
      <c r="I244" s="819">
        <v>0.88705236808834087</v>
      </c>
      <c r="J244" s="3548">
        <v>5.689195592600868E-2</v>
      </c>
      <c r="K244" s="2799">
        <v>5.6055675985650505E-2</v>
      </c>
      <c r="L244" s="2356">
        <f t="shared" ref="L244:L307" si="14">M244+N244+O244</f>
        <v>1</v>
      </c>
      <c r="M244" s="819">
        <v>0.92321249691921314</v>
      </c>
      <c r="N244" s="3548">
        <v>3.849762509814271E-2</v>
      </c>
      <c r="O244" s="2801">
        <v>3.8289877982644223E-2</v>
      </c>
    </row>
    <row r="245" spans="1:15" s="238" customFormat="1">
      <c r="A245" s="240">
        <f t="shared" si="13"/>
        <v>2019.08</v>
      </c>
      <c r="B245" s="3487">
        <v>0.73908408578276863</v>
      </c>
      <c r="C245" s="3549">
        <v>0.26091591421723132</v>
      </c>
      <c r="D245" s="2357">
        <f t="shared" si="12"/>
        <v>1</v>
      </c>
      <c r="E245" s="3483">
        <v>0.8595489061280962</v>
      </c>
      <c r="F245" s="3550">
        <v>0.14045109387190374</v>
      </c>
      <c r="G245" s="2358">
        <f t="shared" si="10"/>
        <v>1</v>
      </c>
      <c r="H245" s="2356">
        <f t="shared" si="11"/>
        <v>0.99999999999999989</v>
      </c>
      <c r="I245" s="819">
        <v>0.89415165104754413</v>
      </c>
      <c r="J245" s="3548">
        <v>3.9717984653071241E-2</v>
      </c>
      <c r="K245" s="2799">
        <v>6.6130364299384584E-2</v>
      </c>
      <c r="L245" s="2356">
        <f t="shared" si="14"/>
        <v>1</v>
      </c>
      <c r="M245" s="819">
        <v>0.93974213117865579</v>
      </c>
      <c r="N245" s="3548">
        <v>3.789758445690683E-2</v>
      </c>
      <c r="O245" s="2801">
        <v>2.2360284364437388E-2</v>
      </c>
    </row>
    <row r="246" spans="1:15" s="238" customFormat="1">
      <c r="A246" s="240">
        <f t="shared" si="13"/>
        <v>2019.09</v>
      </c>
      <c r="B246" s="3487">
        <v>0.69353003314456041</v>
      </c>
      <c r="C246" s="3549">
        <v>0.30646996685543948</v>
      </c>
      <c r="D246" s="2357">
        <f t="shared" si="12"/>
        <v>0.99999999999999989</v>
      </c>
      <c r="E246" s="3483">
        <v>0.81451245145425333</v>
      </c>
      <c r="F246" s="3550">
        <v>0.18548754854574664</v>
      </c>
      <c r="G246" s="2358">
        <f t="shared" ref="G246:G309" si="15">E246+F246</f>
        <v>1</v>
      </c>
      <c r="H246" s="2356">
        <f t="shared" si="11"/>
        <v>0.99999999999999978</v>
      </c>
      <c r="I246" s="819">
        <v>0.89344561797303224</v>
      </c>
      <c r="J246" s="3548">
        <v>4.5912550572980881E-2</v>
      </c>
      <c r="K246" s="2799">
        <v>6.0641831453986758E-2</v>
      </c>
      <c r="L246" s="2356">
        <f t="shared" si="14"/>
        <v>1</v>
      </c>
      <c r="M246" s="819">
        <v>0.91704522158412449</v>
      </c>
      <c r="N246" s="3548">
        <v>3.6116316310938826E-2</v>
      </c>
      <c r="O246" s="2801">
        <v>4.683846210493673E-2</v>
      </c>
    </row>
    <row r="247" spans="1:15" s="238" customFormat="1">
      <c r="A247" s="240">
        <f t="shared" si="13"/>
        <v>2019.1</v>
      </c>
      <c r="B247" s="3487">
        <v>0.74128449967520671</v>
      </c>
      <c r="C247" s="3549">
        <v>0.2587155003247934</v>
      </c>
      <c r="D247" s="2357">
        <f t="shared" si="12"/>
        <v>1</v>
      </c>
      <c r="E247" s="3483">
        <v>0.83151085975652039</v>
      </c>
      <c r="F247" s="3550">
        <v>0.16848914024347958</v>
      </c>
      <c r="G247" s="2358">
        <f t="shared" si="15"/>
        <v>1</v>
      </c>
      <c r="H247" s="2356">
        <f t="shared" si="11"/>
        <v>1</v>
      </c>
      <c r="I247" s="819">
        <v>0.90721016018990053</v>
      </c>
      <c r="J247" s="3548">
        <v>7.061572182796047E-2</v>
      </c>
      <c r="K247" s="2799">
        <v>2.2174117982139075E-2</v>
      </c>
      <c r="L247" s="2356">
        <f t="shared" si="14"/>
        <v>0.99999999999999989</v>
      </c>
      <c r="M247" s="819">
        <v>0.93385369152986963</v>
      </c>
      <c r="N247" s="3548">
        <v>2.7926219631629081E-2</v>
      </c>
      <c r="O247" s="2801">
        <v>3.8220088838501177E-2</v>
      </c>
    </row>
    <row r="248" spans="1:15" s="238" customFormat="1">
      <c r="A248" s="240">
        <f t="shared" si="13"/>
        <v>2019.11</v>
      </c>
      <c r="B248" s="3487">
        <v>0.72659758293535281</v>
      </c>
      <c r="C248" s="3549">
        <v>0.27340241706464719</v>
      </c>
      <c r="D248" s="2357">
        <f t="shared" si="12"/>
        <v>1</v>
      </c>
      <c r="E248" s="3483">
        <v>0.86988014624112608</v>
      </c>
      <c r="F248" s="3550">
        <v>0.13011985375887389</v>
      </c>
      <c r="G248" s="2358">
        <f t="shared" si="15"/>
        <v>1</v>
      </c>
      <c r="H248" s="2356">
        <f t="shared" si="11"/>
        <v>0.99999999999999989</v>
      </c>
      <c r="I248" s="819">
        <v>0.92616879859500489</v>
      </c>
      <c r="J248" s="3548">
        <v>4.1056095734709065E-2</v>
      </c>
      <c r="K248" s="2799">
        <v>3.2775105670285999E-2</v>
      </c>
      <c r="L248" s="2356">
        <f t="shared" si="14"/>
        <v>1</v>
      </c>
      <c r="M248" s="819">
        <v>0.92068648755892013</v>
      </c>
      <c r="N248" s="3548">
        <v>3.6625435299830235E-2</v>
      </c>
      <c r="O248" s="2801">
        <v>4.2688077141249628E-2</v>
      </c>
    </row>
    <row r="249" spans="1:15" s="238" customFormat="1">
      <c r="A249" s="240">
        <f t="shared" si="13"/>
        <v>2019.12</v>
      </c>
      <c r="B249" s="3487">
        <v>0.75069860947863631</v>
      </c>
      <c r="C249" s="3549">
        <v>0.24930139052136371</v>
      </c>
      <c r="D249" s="2357">
        <f t="shared" si="12"/>
        <v>1</v>
      </c>
      <c r="E249" s="3483">
        <v>0.80168198127858759</v>
      </c>
      <c r="F249" s="3550">
        <v>0.19831801872141233</v>
      </c>
      <c r="G249" s="2358">
        <f t="shared" si="15"/>
        <v>0.99999999999999989</v>
      </c>
      <c r="H249" s="2356">
        <f t="shared" si="11"/>
        <v>1</v>
      </c>
      <c r="I249" s="819">
        <v>0.8601255922373684</v>
      </c>
      <c r="J249" s="3548">
        <v>9.9631955979191028E-2</v>
      </c>
      <c r="K249" s="2799">
        <v>4.0242451783440575E-2</v>
      </c>
      <c r="L249" s="2356">
        <f t="shared" si="14"/>
        <v>1</v>
      </c>
      <c r="M249" s="819">
        <v>0.94338974123470143</v>
      </c>
      <c r="N249" s="3548">
        <v>3.615714799198811E-2</v>
      </c>
      <c r="O249" s="2801">
        <v>2.0453110773310544E-2</v>
      </c>
    </row>
    <row r="250" spans="1:15" s="238" customFormat="1">
      <c r="A250" s="240">
        <f t="shared" si="13"/>
        <v>2020.01</v>
      </c>
      <c r="B250" s="3487">
        <v>0.713704206537774</v>
      </c>
      <c r="C250" s="3549">
        <v>0.286295793462226</v>
      </c>
      <c r="D250" s="2357">
        <f t="shared" si="12"/>
        <v>1</v>
      </c>
      <c r="E250" s="3483">
        <v>0.88234560503652804</v>
      </c>
      <c r="F250" s="3550">
        <v>0.11765439496347201</v>
      </c>
      <c r="G250" s="2358">
        <f t="shared" si="15"/>
        <v>1</v>
      </c>
      <c r="H250" s="2356">
        <f t="shared" si="11"/>
        <v>0.99999999999999989</v>
      </c>
      <c r="I250" s="819">
        <v>0.89301620165480211</v>
      </c>
      <c r="J250" s="3548">
        <v>8.3532449345671514E-2</v>
      </c>
      <c r="K250" s="2799">
        <v>2.345134899952625E-2</v>
      </c>
      <c r="L250" s="2356">
        <f t="shared" si="14"/>
        <v>1</v>
      </c>
      <c r="M250" s="819">
        <v>0.91423176713222976</v>
      </c>
      <c r="N250" s="3548">
        <v>3.6596364756671475E-2</v>
      </c>
      <c r="O250" s="2801">
        <v>4.9171868111098763E-2</v>
      </c>
    </row>
    <row r="251" spans="1:15" s="238" customFormat="1">
      <c r="A251" s="240">
        <f t="shared" si="13"/>
        <v>2020.02</v>
      </c>
      <c r="B251" s="3487">
        <v>0.799949712320847</v>
      </c>
      <c r="C251" s="3549">
        <v>0.20005028767915201</v>
      </c>
      <c r="D251" s="2357">
        <f t="shared" si="12"/>
        <v>0.999999999999999</v>
      </c>
      <c r="E251" s="3483">
        <v>0.86870187458958892</v>
      </c>
      <c r="F251" s="3550">
        <v>0.131298125410411</v>
      </c>
      <c r="G251" s="2358">
        <f t="shared" si="15"/>
        <v>0.99999999999999989</v>
      </c>
      <c r="H251" s="2356">
        <f t="shared" si="11"/>
        <v>1</v>
      </c>
      <c r="I251" s="819">
        <v>0.85963324688320897</v>
      </c>
      <c r="J251" s="3548">
        <v>7.0775581944500496E-2</v>
      </c>
      <c r="K251" s="2799">
        <v>6.9591171172290495E-2</v>
      </c>
      <c r="L251" s="2356">
        <f t="shared" si="14"/>
        <v>1</v>
      </c>
      <c r="M251" s="819">
        <v>0.90633772640298826</v>
      </c>
      <c r="N251" s="3548">
        <v>4.1718460102239237E-2</v>
      </c>
      <c r="O251" s="2801">
        <v>5.1943813494772513E-2</v>
      </c>
    </row>
    <row r="252" spans="1:15" s="238" customFormat="1">
      <c r="A252" s="240">
        <f t="shared" si="13"/>
        <v>2020.03</v>
      </c>
      <c r="B252" s="3487">
        <v>0.79152732058422903</v>
      </c>
      <c r="C252" s="3549">
        <v>0.20847267941577102</v>
      </c>
      <c r="D252" s="2357">
        <f t="shared" si="12"/>
        <v>1</v>
      </c>
      <c r="E252" s="3483">
        <v>0.86876150836439192</v>
      </c>
      <c r="F252" s="3550">
        <v>0.131238491635608</v>
      </c>
      <c r="G252" s="2358">
        <f t="shared" si="15"/>
        <v>0.99999999999999989</v>
      </c>
      <c r="H252" s="2356">
        <f t="shared" si="11"/>
        <v>1.0000001799999998</v>
      </c>
      <c r="I252" s="819">
        <v>0.91674199999999995</v>
      </c>
      <c r="J252" s="3548">
        <v>2.9517799999999998E-3</v>
      </c>
      <c r="K252" s="2799">
        <v>8.03064E-2</v>
      </c>
      <c r="L252" s="2356">
        <f t="shared" si="14"/>
        <v>0.99999979999999988</v>
      </c>
      <c r="M252" s="819">
        <v>0.91226299999999994</v>
      </c>
      <c r="N252" s="3548">
        <v>1.2544699999999999E-2</v>
      </c>
      <c r="O252" s="2801">
        <v>7.5192099999999998E-2</v>
      </c>
    </row>
    <row r="253" spans="1:15" s="238" customFormat="1">
      <c r="A253" s="240">
        <f t="shared" si="13"/>
        <v>2020.04</v>
      </c>
      <c r="B253" s="3487">
        <v>0.94220378926405302</v>
      </c>
      <c r="C253" s="3549">
        <v>5.7796210735946998E-2</v>
      </c>
      <c r="D253" s="2357">
        <f t="shared" si="12"/>
        <v>1</v>
      </c>
      <c r="E253" s="3483">
        <v>0.959961909217522</v>
      </c>
      <c r="F253" s="3550">
        <v>4.00380907824784E-2</v>
      </c>
      <c r="G253" s="2358">
        <f t="shared" si="15"/>
        <v>1.0000000000000004</v>
      </c>
      <c r="H253" s="2356">
        <f t="shared" si="11"/>
        <v>0.99999961999999998</v>
      </c>
      <c r="I253" s="819">
        <v>0.89935900000000002</v>
      </c>
      <c r="J253" s="3548">
        <v>3.42232E-3</v>
      </c>
      <c r="K253" s="2799">
        <v>9.7218300000000007E-2</v>
      </c>
      <c r="L253" s="2356">
        <f t="shared" si="14"/>
        <v>1.0000002000000001</v>
      </c>
      <c r="M253" s="819">
        <v>0.88661500000000004</v>
      </c>
      <c r="N253" s="3548">
        <v>1.14062E-2</v>
      </c>
      <c r="O253" s="2801">
        <v>0.101979</v>
      </c>
    </row>
    <row r="254" spans="1:15" s="238" customFormat="1">
      <c r="A254" s="240">
        <f t="shared" si="13"/>
        <v>2020.05</v>
      </c>
      <c r="B254" s="3487">
        <v>0.93162357461361001</v>
      </c>
      <c r="C254" s="3549">
        <v>6.8376425386390202E-2</v>
      </c>
      <c r="D254" s="2357">
        <f t="shared" si="12"/>
        <v>1.0000000000000002</v>
      </c>
      <c r="E254" s="3483">
        <v>0.95697719366018308</v>
      </c>
      <c r="F254" s="3550">
        <v>4.3022806339816803E-2</v>
      </c>
      <c r="G254" s="2358">
        <f t="shared" si="15"/>
        <v>0.99999999999999989</v>
      </c>
      <c r="H254" s="2356">
        <f t="shared" si="11"/>
        <v>1.0000000000000004</v>
      </c>
      <c r="I254" s="819">
        <v>0.91360475883112702</v>
      </c>
      <c r="J254" s="3548">
        <v>2.4179841871931299E-2</v>
      </c>
      <c r="K254" s="2799">
        <v>6.2215399296941996E-2</v>
      </c>
      <c r="L254" s="2356">
        <f t="shared" si="14"/>
        <v>1.0000000000000004</v>
      </c>
      <c r="M254" s="819">
        <v>0.91172006746108591</v>
      </c>
      <c r="N254" s="3548">
        <v>1.7317356129238799E-2</v>
      </c>
      <c r="O254" s="2801">
        <v>7.0962576409675793E-2</v>
      </c>
    </row>
    <row r="255" spans="1:15" s="238" customFormat="1">
      <c r="A255" s="240">
        <f t="shared" si="13"/>
        <v>2020.06</v>
      </c>
      <c r="B255" s="3487">
        <v>0.87995872405321507</v>
      </c>
      <c r="C255" s="3549">
        <v>0.120041275946785</v>
      </c>
      <c r="D255" s="2357">
        <f t="shared" si="12"/>
        <v>1</v>
      </c>
      <c r="E255" s="3483">
        <v>0.92711440241709397</v>
      </c>
      <c r="F255" s="3550">
        <v>7.2885597582905998E-2</v>
      </c>
      <c r="G255" s="2358">
        <f t="shared" si="15"/>
        <v>1</v>
      </c>
      <c r="H255" s="2356">
        <f t="shared" si="11"/>
        <v>1.0000000000000004</v>
      </c>
      <c r="I255" s="819">
        <v>0.92726914903818891</v>
      </c>
      <c r="J255" s="3548">
        <v>2.5362607272739698E-2</v>
      </c>
      <c r="K255" s="2799">
        <v>4.7368243689071797E-2</v>
      </c>
      <c r="L255" s="2356">
        <f t="shared" si="14"/>
        <v>0.99999999999999967</v>
      </c>
      <c r="M255" s="819">
        <v>0.93876454579921897</v>
      </c>
      <c r="N255" s="3548">
        <v>1.6958012146108602E-2</v>
      </c>
      <c r="O255" s="2801">
        <v>4.42774420546721E-2</v>
      </c>
    </row>
    <row r="256" spans="1:15" s="238" customFormat="1">
      <c r="A256" s="240">
        <f t="shared" si="13"/>
        <v>2020.07</v>
      </c>
      <c r="B256" s="3487">
        <v>0.81546337242707911</v>
      </c>
      <c r="C256" s="3549">
        <v>0.184536627572921</v>
      </c>
      <c r="D256" s="2357">
        <f t="shared" si="12"/>
        <v>1</v>
      </c>
      <c r="E256" s="3483">
        <v>0.90212800640178203</v>
      </c>
      <c r="F256" s="3550">
        <v>9.7871993598217591E-2</v>
      </c>
      <c r="G256" s="2358">
        <f t="shared" si="15"/>
        <v>0.99999999999999967</v>
      </c>
      <c r="H256" s="2356">
        <f t="shared" si="11"/>
        <v>0.99999999999999967</v>
      </c>
      <c r="I256" s="819">
        <v>0.91476918391170403</v>
      </c>
      <c r="J256" s="3548">
        <v>4.2535510201644901E-2</v>
      </c>
      <c r="K256" s="2799">
        <v>4.26953058866507E-2</v>
      </c>
      <c r="L256" s="2356">
        <f t="shared" si="14"/>
        <v>0.99999999999999956</v>
      </c>
      <c r="M256" s="819">
        <v>0.89373689655205202</v>
      </c>
      <c r="N256" s="3548">
        <v>6.5387612884167293E-2</v>
      </c>
      <c r="O256" s="2801">
        <v>4.0875490563780301E-2</v>
      </c>
    </row>
    <row r="257" spans="1:15" s="238" customFormat="1">
      <c r="A257" s="240">
        <f t="shared" si="13"/>
        <v>2020.08</v>
      </c>
      <c r="B257" s="3487">
        <v>0.81626866867613002</v>
      </c>
      <c r="C257" s="3549">
        <v>0.18373133132387001</v>
      </c>
      <c r="D257" s="2357">
        <f t="shared" si="12"/>
        <v>1</v>
      </c>
      <c r="E257" s="3483">
        <v>0.89480991934488008</v>
      </c>
      <c r="F257" s="3550">
        <v>0.10519008065512001</v>
      </c>
      <c r="G257" s="2358">
        <f t="shared" si="15"/>
        <v>1</v>
      </c>
      <c r="H257" s="2356">
        <f t="shared" si="11"/>
        <v>0.99999999999999989</v>
      </c>
      <c r="I257" s="3551">
        <v>0.93089937192416405</v>
      </c>
      <c r="J257" s="3548">
        <v>4.7499558004178696E-2</v>
      </c>
      <c r="K257" s="2799">
        <v>2.1601070071657097E-2</v>
      </c>
      <c r="L257" s="2356">
        <f t="shared" si="14"/>
        <v>0.99999999999999989</v>
      </c>
      <c r="M257" s="3550">
        <v>0.94355512990650192</v>
      </c>
      <c r="N257" s="3550">
        <v>4.2506016124508996E-3</v>
      </c>
      <c r="O257" s="2802">
        <v>5.2194268481046996E-2</v>
      </c>
    </row>
    <row r="258" spans="1:15" s="238" customFormat="1">
      <c r="A258" s="240">
        <f t="shared" si="13"/>
        <v>2020.09</v>
      </c>
      <c r="B258" s="3487">
        <v>0.77571345990508211</v>
      </c>
      <c r="C258" s="3549">
        <v>0.224286540094918</v>
      </c>
      <c r="D258" s="2357">
        <f t="shared" si="12"/>
        <v>1</v>
      </c>
      <c r="E258" s="3483">
        <v>0.87920696555130207</v>
      </c>
      <c r="F258" s="3550">
        <v>0.12079303444869799</v>
      </c>
      <c r="G258" s="2358">
        <f t="shared" si="15"/>
        <v>1</v>
      </c>
      <c r="H258" s="2356">
        <f t="shared" si="11"/>
        <v>1</v>
      </c>
      <c r="I258" s="3551">
        <v>0.92855225260484209</v>
      </c>
      <c r="J258" s="3551">
        <v>5.3225926393468598E-2</v>
      </c>
      <c r="K258" s="2799">
        <v>1.8221821001689401E-2</v>
      </c>
      <c r="L258" s="2356">
        <f t="shared" si="14"/>
        <v>1</v>
      </c>
      <c r="M258" s="3551">
        <v>0.90294144089019701</v>
      </c>
      <c r="N258" s="3551">
        <v>4.21765750681872E-2</v>
      </c>
      <c r="O258" s="2801">
        <v>5.48819840416159E-2</v>
      </c>
    </row>
    <row r="259" spans="1:15" s="238" customFormat="1">
      <c r="A259" s="240">
        <f t="shared" si="13"/>
        <v>2020.1</v>
      </c>
      <c r="B259" s="3487">
        <v>0.786966130909872</v>
      </c>
      <c r="C259" s="3549">
        <v>0.213033869090128</v>
      </c>
      <c r="D259" s="2357">
        <f t="shared" si="12"/>
        <v>1</v>
      </c>
      <c r="E259" s="3483">
        <v>0.88321405011931509</v>
      </c>
      <c r="F259" s="3550">
        <v>0.116785949880685</v>
      </c>
      <c r="G259" s="2358">
        <f t="shared" si="15"/>
        <v>1</v>
      </c>
      <c r="H259" s="2356">
        <f t="shared" si="11"/>
        <v>1.0000000000000002</v>
      </c>
      <c r="I259" s="3551">
        <v>0.90578776268088501</v>
      </c>
      <c r="J259" s="3551">
        <v>6.2233254896643803E-2</v>
      </c>
      <c r="K259" s="2799">
        <v>3.1978982422471498E-2</v>
      </c>
      <c r="L259" s="2356">
        <f t="shared" si="14"/>
        <v>1.0000000000000004</v>
      </c>
      <c r="M259" s="3551">
        <v>0.91855157539296006</v>
      </c>
      <c r="N259" s="3551">
        <v>2.9004176916389502E-2</v>
      </c>
      <c r="O259" s="2801">
        <v>5.2444247690650904E-2</v>
      </c>
    </row>
    <row r="260" spans="1:15" s="238" customFormat="1">
      <c r="A260" s="240">
        <f t="shared" si="13"/>
        <v>2020.11</v>
      </c>
      <c r="B260" s="3487">
        <v>0.78637932168860603</v>
      </c>
      <c r="C260" s="3549">
        <v>0.21362067831139397</v>
      </c>
      <c r="D260" s="2357">
        <f t="shared" si="12"/>
        <v>1</v>
      </c>
      <c r="E260" s="3483">
        <v>0.85871799542577509</v>
      </c>
      <c r="F260" s="3550">
        <v>0.14128200457422499</v>
      </c>
      <c r="G260" s="2358">
        <f t="shared" si="15"/>
        <v>1</v>
      </c>
      <c r="H260" s="2356">
        <f t="shared" si="11"/>
        <v>0.99999999999999978</v>
      </c>
      <c r="I260" s="3551">
        <v>0.90112881794539401</v>
      </c>
      <c r="J260" s="3551">
        <v>8.4221510639012995E-2</v>
      </c>
      <c r="K260" s="2799">
        <v>1.4649671415592799E-2</v>
      </c>
      <c r="L260" s="2356">
        <f t="shared" si="14"/>
        <v>0.99999999999999967</v>
      </c>
      <c r="M260" s="3551">
        <v>0.94208206960059793</v>
      </c>
      <c r="N260" s="3551">
        <v>3.5701926347825499E-2</v>
      </c>
      <c r="O260" s="2801">
        <v>2.2216004051576199E-2</v>
      </c>
    </row>
    <row r="261" spans="1:15" s="238" customFormat="1">
      <c r="A261" s="240">
        <f t="shared" si="13"/>
        <v>2020.12</v>
      </c>
      <c r="B261" s="3487">
        <v>0.77769223810510402</v>
      </c>
      <c r="C261" s="3549">
        <v>0.22230776189489501</v>
      </c>
      <c r="D261" s="2357">
        <f t="shared" si="12"/>
        <v>0.999999999999999</v>
      </c>
      <c r="E261" s="3483">
        <v>0.86611675926280995</v>
      </c>
      <c r="F261" s="3550">
        <v>0.13388324073718999</v>
      </c>
      <c r="G261" s="2358">
        <f t="shared" si="15"/>
        <v>1</v>
      </c>
      <c r="H261" s="2356">
        <f t="shared" si="11"/>
        <v>1.0000000000000004</v>
      </c>
      <c r="I261" s="3551">
        <v>0.92718090669314401</v>
      </c>
      <c r="J261" s="3551">
        <v>6.8386570492598595E-2</v>
      </c>
      <c r="K261" s="2799">
        <v>4.4325228142579097E-3</v>
      </c>
      <c r="L261" s="2356">
        <f t="shared" si="14"/>
        <v>0.99999999999999967</v>
      </c>
      <c r="M261" s="3551">
        <v>0.94749008806151191</v>
      </c>
      <c r="N261" s="3551">
        <v>2.6856716523094799E-2</v>
      </c>
      <c r="O261" s="2801">
        <v>2.5653195415392901E-2</v>
      </c>
    </row>
    <row r="262" spans="1:15" s="238" customFormat="1">
      <c r="A262" s="240">
        <f t="shared" si="13"/>
        <v>2021.01</v>
      </c>
      <c r="B262" s="3487">
        <v>0.75693251145540597</v>
      </c>
      <c r="C262" s="3549">
        <v>0.24306748854459401</v>
      </c>
      <c r="D262" s="2357">
        <f t="shared" si="12"/>
        <v>1</v>
      </c>
      <c r="E262" s="3483">
        <v>0.909238198760426</v>
      </c>
      <c r="F262" s="3550">
        <v>9.0761801239573697E-2</v>
      </c>
      <c r="G262" s="2358">
        <f t="shared" si="15"/>
        <v>0.99999999999999967</v>
      </c>
      <c r="H262" s="2356">
        <f t="shared" si="11"/>
        <v>0.99999999999999989</v>
      </c>
      <c r="I262" s="3551">
        <v>0.92414189137640801</v>
      </c>
      <c r="J262" s="3551">
        <v>5.3845166233722E-2</v>
      </c>
      <c r="K262" s="2799">
        <v>2.2012942389869797E-2</v>
      </c>
      <c r="L262" s="2356">
        <f t="shared" si="14"/>
        <v>0.99999999999999989</v>
      </c>
      <c r="M262" s="3551">
        <v>0.94948506916285491</v>
      </c>
      <c r="N262" s="3551">
        <v>3.32290543265902E-2</v>
      </c>
      <c r="O262" s="2801">
        <v>1.7285876510554802E-2</v>
      </c>
    </row>
    <row r="263" spans="1:15" s="238" customFormat="1">
      <c r="A263" s="240">
        <f t="shared" si="13"/>
        <v>2021.02</v>
      </c>
      <c r="B263" s="3487">
        <v>0.79978511231692395</v>
      </c>
      <c r="C263" s="3549">
        <v>0.20021488768307599</v>
      </c>
      <c r="D263" s="2357">
        <f t="shared" si="12"/>
        <v>1</v>
      </c>
      <c r="E263" s="3483">
        <v>0.91603845474718204</v>
      </c>
      <c r="F263" s="3550">
        <v>8.3961545252818098E-2</v>
      </c>
      <c r="G263" s="2358">
        <f t="shared" si="15"/>
        <v>1.0000000000000002</v>
      </c>
      <c r="H263" s="2356">
        <f t="shared" si="11"/>
        <v>1.0000000000000002</v>
      </c>
      <c r="I263" s="3551">
        <v>0.92320484916170897</v>
      </c>
      <c r="J263" s="3551">
        <v>6.4718110085514896E-2</v>
      </c>
      <c r="K263" s="2799">
        <v>1.2077040752776401E-2</v>
      </c>
      <c r="L263" s="2356">
        <f t="shared" si="14"/>
        <v>0.99999999999999967</v>
      </c>
      <c r="M263" s="3551">
        <v>0.91176139833054193</v>
      </c>
      <c r="N263" s="3551">
        <v>6.7838425434595201E-2</v>
      </c>
      <c r="O263" s="2801">
        <v>2.0400176234862601E-2</v>
      </c>
    </row>
    <row r="264" spans="1:15" s="238" customFormat="1">
      <c r="A264" s="240">
        <f t="shared" si="13"/>
        <v>2021.03</v>
      </c>
      <c r="B264" s="3487">
        <v>0.71302454897377998</v>
      </c>
      <c r="C264" s="3549">
        <v>0.28697545102622002</v>
      </c>
      <c r="D264" s="2357">
        <f t="shared" si="12"/>
        <v>1</v>
      </c>
      <c r="E264" s="3483">
        <v>0.86849704107804793</v>
      </c>
      <c r="F264" s="3550">
        <v>0.13150295892195199</v>
      </c>
      <c r="G264" s="2358">
        <f t="shared" si="15"/>
        <v>0.99999999999999989</v>
      </c>
      <c r="H264" s="2356">
        <f t="shared" si="11"/>
        <v>0.99999999999999944</v>
      </c>
      <c r="I264" s="3551">
        <v>0.91778437114846101</v>
      </c>
      <c r="J264" s="3551">
        <v>6.6972540952164802E-2</v>
      </c>
      <c r="K264" s="2799">
        <v>1.5243087899373699E-2</v>
      </c>
      <c r="L264" s="2356">
        <f t="shared" si="14"/>
        <v>0.99999999999999978</v>
      </c>
      <c r="M264" s="3551">
        <v>0.95017127997204998</v>
      </c>
      <c r="N264" s="3551">
        <v>4.4180395252543796E-2</v>
      </c>
      <c r="O264" s="2801">
        <v>5.6483247754060299E-3</v>
      </c>
    </row>
    <row r="265" spans="1:15" s="238" customFormat="1">
      <c r="A265" s="240">
        <f t="shared" si="13"/>
        <v>2021.04</v>
      </c>
      <c r="B265" s="3487">
        <v>0.68423449437837802</v>
      </c>
      <c r="C265" s="3549">
        <v>0.31576550562162198</v>
      </c>
      <c r="D265" s="2357">
        <f t="shared" si="12"/>
        <v>1</v>
      </c>
      <c r="E265" s="3483">
        <v>0.91580539721977006</v>
      </c>
      <c r="F265" s="3550">
        <v>8.4194602780230596E-2</v>
      </c>
      <c r="G265" s="2358">
        <f t="shared" si="15"/>
        <v>1.0000000000000007</v>
      </c>
      <c r="H265" s="2356">
        <f t="shared" si="11"/>
        <v>1.0000000000000002</v>
      </c>
      <c r="I265" s="3551">
        <v>0.89830070397736805</v>
      </c>
      <c r="J265" s="3551">
        <v>8.579817898174151E-2</v>
      </c>
      <c r="K265" s="2799">
        <v>1.5901117040890599E-2</v>
      </c>
      <c r="L265" s="2356">
        <f t="shared" si="14"/>
        <v>1.0000000000000002</v>
      </c>
      <c r="M265" s="3551">
        <v>0.91404515278220599</v>
      </c>
      <c r="N265" s="3551">
        <v>4.3679114756567897E-2</v>
      </c>
      <c r="O265" s="2801">
        <v>4.2275732461226304E-2</v>
      </c>
    </row>
    <row r="266" spans="1:15" s="238" customFormat="1">
      <c r="A266" s="240">
        <f t="shared" si="13"/>
        <v>2021.05</v>
      </c>
      <c r="B266" s="3487">
        <v>0.74323270367361005</v>
      </c>
      <c r="C266" s="3549">
        <v>0.25676729632639</v>
      </c>
      <c r="D266" s="2357">
        <f t="shared" si="12"/>
        <v>1</v>
      </c>
      <c r="E266" s="3483">
        <v>0.90072530015089791</v>
      </c>
      <c r="F266" s="3550">
        <v>9.9274699849102102E-2</v>
      </c>
      <c r="G266" s="2358">
        <f t="shared" si="15"/>
        <v>1</v>
      </c>
      <c r="H266" s="2356">
        <f t="shared" ref="H266:H329" si="16">+I266+J266+K266</f>
        <v>0.99999999999999989</v>
      </c>
      <c r="I266" s="3551">
        <v>0.91304814758297892</v>
      </c>
      <c r="J266" s="3551">
        <v>6.23824080094545E-2</v>
      </c>
      <c r="K266" s="2799">
        <v>2.4569444407566497E-2</v>
      </c>
      <c r="L266" s="2356">
        <f t="shared" si="14"/>
        <v>1.0000000000000007</v>
      </c>
      <c r="M266" s="3551">
        <v>0.97605886726610391</v>
      </c>
      <c r="N266" s="3551">
        <v>6.5293996866715798E-3</v>
      </c>
      <c r="O266" s="2801">
        <v>1.7411733047225101E-2</v>
      </c>
    </row>
    <row r="267" spans="1:15" s="238" customFormat="1">
      <c r="A267" s="240">
        <f t="shared" si="13"/>
        <v>2021.06</v>
      </c>
      <c r="B267" s="3487">
        <v>0.72005019791730207</v>
      </c>
      <c r="C267" s="3549">
        <v>0.27994980208269804</v>
      </c>
      <c r="D267" s="2357">
        <f t="shared" si="12"/>
        <v>1</v>
      </c>
      <c r="E267" s="3483">
        <v>0.90108898443698493</v>
      </c>
      <c r="F267" s="3550">
        <v>9.8911015563015112E-2</v>
      </c>
      <c r="G267" s="2358">
        <f t="shared" si="15"/>
        <v>1</v>
      </c>
      <c r="H267" s="2356">
        <f t="shared" si="16"/>
        <v>1</v>
      </c>
      <c r="I267" s="3551">
        <v>0.89628757389853997</v>
      </c>
      <c r="J267" s="3551">
        <v>9.5654446788004902E-2</v>
      </c>
      <c r="K267" s="2799">
        <v>8.0579793134551211E-3</v>
      </c>
      <c r="L267" s="2356">
        <f t="shared" si="14"/>
        <v>0.99999999999999956</v>
      </c>
      <c r="M267" s="3551">
        <v>0.93668782292673791</v>
      </c>
      <c r="N267" s="3551">
        <v>2.7697773902722E-2</v>
      </c>
      <c r="O267" s="2801">
        <v>3.5614403170539696E-2</v>
      </c>
    </row>
    <row r="268" spans="1:15" s="238" customFormat="1">
      <c r="A268" s="240">
        <f t="shared" si="13"/>
        <v>2021.07</v>
      </c>
      <c r="B268" s="3487">
        <v>0.70639167435188699</v>
      </c>
      <c r="C268" s="3549">
        <v>0.29360832564811201</v>
      </c>
      <c r="D268" s="2357">
        <f t="shared" si="12"/>
        <v>0.999999999999999</v>
      </c>
      <c r="E268" s="3483">
        <v>0.91065478852217396</v>
      </c>
      <c r="F268" s="3550">
        <v>8.9345211477825787E-2</v>
      </c>
      <c r="G268" s="2358">
        <f t="shared" si="15"/>
        <v>0.99999999999999978</v>
      </c>
      <c r="H268" s="2356">
        <f t="shared" si="16"/>
        <v>0.99999999999999989</v>
      </c>
      <c r="I268" s="3551">
        <v>0.91287496821923597</v>
      </c>
      <c r="J268" s="3551">
        <v>7.5276823346143398E-2</v>
      </c>
      <c r="K268" s="2799">
        <v>1.18482084346205E-2</v>
      </c>
      <c r="L268" s="2356">
        <f t="shared" si="14"/>
        <v>1.0000000000000004</v>
      </c>
      <c r="M268" s="3551">
        <v>0.9374944003173481</v>
      </c>
      <c r="N268" s="3551">
        <v>3.6728622762410096E-2</v>
      </c>
      <c r="O268" s="2801">
        <v>2.5776976920242299E-2</v>
      </c>
    </row>
    <row r="269" spans="1:15" s="238" customFormat="1">
      <c r="A269" s="240">
        <f t="shared" si="13"/>
        <v>2021.08</v>
      </c>
      <c r="B269" s="3487">
        <v>0.667651949489799</v>
      </c>
      <c r="C269" s="3549">
        <v>0.33234805051020105</v>
      </c>
      <c r="D269" s="2357">
        <f t="shared" si="12"/>
        <v>1</v>
      </c>
      <c r="E269" s="3483">
        <v>0.894457363410188</v>
      </c>
      <c r="F269" s="3550">
        <v>0.10554263658981199</v>
      </c>
      <c r="G269" s="2358">
        <f t="shared" si="15"/>
        <v>1</v>
      </c>
      <c r="H269" s="2356">
        <f t="shared" si="16"/>
        <v>1.0000000000000004</v>
      </c>
      <c r="I269" s="3551">
        <v>0.89013025051132</v>
      </c>
      <c r="J269" s="3551">
        <v>9.5626532802135789E-2</v>
      </c>
      <c r="K269" s="2799">
        <v>1.42432166865448E-2</v>
      </c>
      <c r="L269" s="2356">
        <f t="shared" si="14"/>
        <v>1.0000000000000002</v>
      </c>
      <c r="M269" s="3551">
        <v>0.93356396392965091</v>
      </c>
      <c r="N269" s="3551">
        <v>5.1740130584541702E-2</v>
      </c>
      <c r="O269" s="2801">
        <v>1.4695905485807499E-2</v>
      </c>
    </row>
    <row r="270" spans="1:15" s="238" customFormat="1">
      <c r="A270" s="240">
        <f t="shared" si="13"/>
        <v>2021.09</v>
      </c>
      <c r="B270" s="3487">
        <v>0.74806062340344592</v>
      </c>
      <c r="C270" s="3549">
        <v>0.25193937659655402</v>
      </c>
      <c r="D270" s="2357">
        <f t="shared" si="12"/>
        <v>1</v>
      </c>
      <c r="E270" s="3483">
        <v>0.87525364762565405</v>
      </c>
      <c r="F270" s="3550">
        <v>0.12474635237434599</v>
      </c>
      <c r="G270" s="2358">
        <f t="shared" si="15"/>
        <v>1</v>
      </c>
      <c r="H270" s="2356">
        <f t="shared" si="16"/>
        <v>0.99999999999999978</v>
      </c>
      <c r="I270" s="3551">
        <v>0.91716365211988404</v>
      </c>
      <c r="J270" s="3551">
        <v>6.9939953196901494E-2</v>
      </c>
      <c r="K270" s="2799">
        <v>1.2896394683214201E-2</v>
      </c>
      <c r="L270" s="2356">
        <f t="shared" si="14"/>
        <v>1.0000000000000004</v>
      </c>
      <c r="M270" s="3551">
        <v>0.94351842155098797</v>
      </c>
      <c r="N270" s="3551">
        <v>4.0463912863915999E-2</v>
      </c>
      <c r="O270" s="2801">
        <v>1.6017665585096399E-2</v>
      </c>
    </row>
    <row r="271" spans="1:15" s="238" customFormat="1">
      <c r="A271" s="240">
        <f t="shared" si="13"/>
        <v>2021.1</v>
      </c>
      <c r="B271" s="3487">
        <v>0.6535497882734479</v>
      </c>
      <c r="C271" s="3549">
        <v>0.34645021172655199</v>
      </c>
      <c r="D271" s="2357">
        <f t="shared" si="12"/>
        <v>0.99999999999999989</v>
      </c>
      <c r="E271" s="3483">
        <v>0.86733074086754802</v>
      </c>
      <c r="F271" s="3550">
        <v>0.13266925913245201</v>
      </c>
      <c r="G271" s="2358">
        <f t="shared" si="15"/>
        <v>1</v>
      </c>
      <c r="H271" s="2356">
        <f t="shared" si="16"/>
        <v>0.99999999999999889</v>
      </c>
      <c r="I271" s="3551">
        <v>0.84816910204083995</v>
      </c>
      <c r="J271" s="3551">
        <v>0.13459444318133601</v>
      </c>
      <c r="K271" s="2799">
        <v>1.7236454777822999E-2</v>
      </c>
      <c r="L271" s="2356">
        <f t="shared" si="14"/>
        <v>1.0000000000000002</v>
      </c>
      <c r="M271" s="3551">
        <v>0.94570013094388106</v>
      </c>
      <c r="N271" s="3551">
        <v>4.2323218210687498E-2</v>
      </c>
      <c r="O271" s="2801">
        <v>1.19766508454316E-2</v>
      </c>
    </row>
    <row r="272" spans="1:15" s="238" customFormat="1">
      <c r="A272" s="240">
        <f t="shared" si="13"/>
        <v>2021.11</v>
      </c>
      <c r="B272" s="3487">
        <v>0.63276632249397602</v>
      </c>
      <c r="C272" s="3549">
        <v>0.36723367750602398</v>
      </c>
      <c r="D272" s="2357">
        <f t="shared" si="12"/>
        <v>1</v>
      </c>
      <c r="E272" s="3483">
        <v>0.85772901234195598</v>
      </c>
      <c r="F272" s="3550">
        <v>0.142270987658044</v>
      </c>
      <c r="G272" s="2358">
        <f t="shared" si="15"/>
        <v>1</v>
      </c>
      <c r="H272" s="2356">
        <f t="shared" si="16"/>
        <v>0.99999999999999967</v>
      </c>
      <c r="I272" s="3551">
        <v>0.89973661949577599</v>
      </c>
      <c r="J272" s="3551">
        <v>9.2327022537391501E-2</v>
      </c>
      <c r="K272" s="2799">
        <v>7.9363579668322807E-3</v>
      </c>
      <c r="L272" s="2356">
        <f t="shared" si="14"/>
        <v>1.0000000000000002</v>
      </c>
      <c r="M272" s="3551">
        <v>0.9585412905596119</v>
      </c>
      <c r="N272" s="3551">
        <v>2.5390156002205198E-2</v>
      </c>
      <c r="O272" s="2801">
        <v>1.6068553438183201E-2</v>
      </c>
    </row>
    <row r="273" spans="1:15" s="238" customFormat="1">
      <c r="A273" s="240">
        <f t="shared" si="13"/>
        <v>2021.12</v>
      </c>
      <c r="B273" s="3487">
        <v>0.73326907320051604</v>
      </c>
      <c r="C273" s="3549">
        <v>0.26673092679948401</v>
      </c>
      <c r="D273" s="2357">
        <f t="shared" si="12"/>
        <v>1</v>
      </c>
      <c r="E273" s="3483">
        <v>0.89923939644748396</v>
      </c>
      <c r="F273" s="3550">
        <v>0.10076060355251601</v>
      </c>
      <c r="G273" s="2358">
        <f t="shared" si="15"/>
        <v>1</v>
      </c>
      <c r="H273" s="2356">
        <f t="shared" si="16"/>
        <v>1.0000000000000004</v>
      </c>
      <c r="I273" s="3551">
        <v>0.87617851283410308</v>
      </c>
      <c r="J273" s="3551">
        <v>0.10367766181952201</v>
      </c>
      <c r="K273" s="2799">
        <v>2.0143825346375301E-2</v>
      </c>
      <c r="L273" s="2356">
        <f t="shared" si="14"/>
        <v>0.99999999999999956</v>
      </c>
      <c r="M273" s="3551">
        <v>0.91995955333684809</v>
      </c>
      <c r="N273" s="3551">
        <v>4.5824469958177801E-2</v>
      </c>
      <c r="O273" s="2801">
        <v>3.42159767049737E-2</v>
      </c>
    </row>
    <row r="274" spans="1:15" s="238" customFormat="1">
      <c r="A274" s="240">
        <f t="shared" si="13"/>
        <v>2022.01</v>
      </c>
      <c r="B274" s="3487">
        <v>0.68566879226955291</v>
      </c>
      <c r="C274" s="3549">
        <v>0.31433120773044698</v>
      </c>
      <c r="D274" s="2357">
        <f t="shared" si="12"/>
        <v>0.99999999999999989</v>
      </c>
      <c r="E274" s="3483">
        <v>0.87556047791110703</v>
      </c>
      <c r="F274" s="3550">
        <v>0.124439522088893</v>
      </c>
      <c r="G274" s="2358">
        <f t="shared" si="15"/>
        <v>1</v>
      </c>
      <c r="H274" s="2356">
        <f t="shared" si="16"/>
        <v>0.99999999999999989</v>
      </c>
      <c r="I274" s="3551">
        <v>0.86795774034592399</v>
      </c>
      <c r="J274" s="3551">
        <v>0.121230751517079</v>
      </c>
      <c r="K274" s="2799">
        <v>1.0811508136996899E-2</v>
      </c>
      <c r="L274" s="2356">
        <f t="shared" si="14"/>
        <v>1</v>
      </c>
      <c r="M274" s="3551">
        <v>0.94586741053746703</v>
      </c>
      <c r="N274" s="3551">
        <v>3.52331299950219E-2</v>
      </c>
      <c r="O274" s="2801">
        <v>1.88994594675111E-2</v>
      </c>
    </row>
    <row r="275" spans="1:15" s="238" customFormat="1">
      <c r="A275" s="240">
        <f t="shared" si="13"/>
        <v>2022.02</v>
      </c>
      <c r="B275" s="3487">
        <v>0.70960551886747891</v>
      </c>
      <c r="C275" s="3549">
        <v>0.29039448113252098</v>
      </c>
      <c r="D275" s="2357">
        <f t="shared" si="12"/>
        <v>0.99999999999999989</v>
      </c>
      <c r="E275" s="3483">
        <v>0.85873392268226401</v>
      </c>
      <c r="F275" s="3550">
        <v>0.14126607731773599</v>
      </c>
      <c r="G275" s="2358">
        <f t="shared" si="15"/>
        <v>1</v>
      </c>
      <c r="H275" s="2356">
        <f t="shared" si="16"/>
        <v>1.0000000000000002</v>
      </c>
      <c r="I275" s="3551">
        <v>0.90441845930889597</v>
      </c>
      <c r="J275" s="3551">
        <v>8.5616597295050292E-2</v>
      </c>
      <c r="K275" s="3551">
        <v>9.9649433960538603E-3</v>
      </c>
      <c r="L275" s="2356">
        <f t="shared" si="14"/>
        <v>0.99999999999999989</v>
      </c>
      <c r="M275" s="3551">
        <v>0.92945308936106796</v>
      </c>
      <c r="N275" s="3551">
        <v>5.4969139075540199E-2</v>
      </c>
      <c r="O275" s="2801">
        <v>1.55777715633917E-2</v>
      </c>
    </row>
    <row r="276" spans="1:15" s="238" customFormat="1">
      <c r="A276" s="240">
        <f t="shared" si="13"/>
        <v>2022.03</v>
      </c>
      <c r="B276" s="3487">
        <v>0.65953768246040601</v>
      </c>
      <c r="C276" s="3549">
        <v>0.34046231753959399</v>
      </c>
      <c r="D276" s="2357">
        <f t="shared" si="12"/>
        <v>1</v>
      </c>
      <c r="E276" s="3483">
        <v>0.84809722809320998</v>
      </c>
      <c r="F276" s="3550">
        <v>0.151902771906791</v>
      </c>
      <c r="G276" s="2358">
        <f t="shared" si="15"/>
        <v>1.0000000000000009</v>
      </c>
      <c r="H276" s="2356">
        <f t="shared" si="16"/>
        <v>1.0000000000000002</v>
      </c>
      <c r="I276" s="3551">
        <v>0.89133737772536403</v>
      </c>
      <c r="J276" s="3551">
        <v>8.5770660570840804E-2</v>
      </c>
      <c r="K276" s="2799">
        <v>2.2891961703795399E-2</v>
      </c>
      <c r="L276" s="2356">
        <f t="shared" si="14"/>
        <v>0.99999999999999989</v>
      </c>
      <c r="M276" s="3551">
        <v>0.93048639066649297</v>
      </c>
      <c r="N276" s="3551">
        <v>5.4951517047959503E-2</v>
      </c>
      <c r="O276" s="2801">
        <v>1.45620922855474E-2</v>
      </c>
    </row>
    <row r="277" spans="1:15" s="238" customFormat="1">
      <c r="A277" s="240">
        <f t="shared" si="13"/>
        <v>2022.04</v>
      </c>
      <c r="B277" s="3487">
        <v>0.63687060707785792</v>
      </c>
      <c r="C277" s="3549">
        <v>0.36312939292214202</v>
      </c>
      <c r="D277" s="2357">
        <f t="shared" si="12"/>
        <v>1</v>
      </c>
      <c r="E277" s="3483">
        <v>0.83105107280286605</v>
      </c>
      <c r="F277" s="3550">
        <v>0.168948927197134</v>
      </c>
      <c r="G277" s="2358">
        <f t="shared" si="15"/>
        <v>1</v>
      </c>
      <c r="H277" s="2356">
        <f t="shared" si="16"/>
        <v>0.99999999999999989</v>
      </c>
      <c r="I277" s="3551">
        <v>0.90922909847463496</v>
      </c>
      <c r="J277" s="3551">
        <v>8.4434967865178609E-2</v>
      </c>
      <c r="K277" s="2799">
        <v>6.3359336601863702E-3</v>
      </c>
      <c r="L277" s="2356">
        <f t="shared" si="14"/>
        <v>1.0000000000000002</v>
      </c>
      <c r="M277" s="3551">
        <v>0.94357884968500894</v>
      </c>
      <c r="N277" s="3551">
        <v>4.4579624189037804E-2</v>
      </c>
      <c r="O277" s="2801">
        <v>1.1841526125953501E-2</v>
      </c>
    </row>
    <row r="278" spans="1:15" s="238" customFormat="1">
      <c r="A278" s="240">
        <f t="shared" si="13"/>
        <v>2022.05</v>
      </c>
      <c r="B278" s="3487">
        <v>0.63610000252792698</v>
      </c>
      <c r="C278" s="3549">
        <v>0.36389999747207297</v>
      </c>
      <c r="D278" s="2357">
        <f t="shared" si="12"/>
        <v>1</v>
      </c>
      <c r="E278" s="3483">
        <v>0.84238809290772809</v>
      </c>
      <c r="F278" s="3550">
        <v>0.15761190709227202</v>
      </c>
      <c r="G278" s="2358">
        <f t="shared" si="15"/>
        <v>1</v>
      </c>
      <c r="H278" s="2356">
        <f t="shared" si="16"/>
        <v>0.99999999999999933</v>
      </c>
      <c r="I278" s="3551">
        <v>0.86916208215456603</v>
      </c>
      <c r="J278" s="3551">
        <v>0.123263687612836</v>
      </c>
      <c r="K278" s="2799">
        <v>7.5742302325972595E-3</v>
      </c>
      <c r="L278" s="2356">
        <f t="shared" si="14"/>
        <v>0.99999999999999989</v>
      </c>
      <c r="M278" s="3551">
        <v>0.93202887398463796</v>
      </c>
      <c r="N278" s="3551">
        <v>5.5078962035772901E-2</v>
      </c>
      <c r="O278" s="2801">
        <v>1.2892163979589E-2</v>
      </c>
    </row>
    <row r="279" spans="1:15" s="238" customFormat="1">
      <c r="A279" s="240">
        <f t="shared" si="13"/>
        <v>2022.06</v>
      </c>
      <c r="B279" s="3487">
        <v>0.67789959902771402</v>
      </c>
      <c r="C279" s="3549">
        <v>0.32210040097228698</v>
      </c>
      <c r="D279" s="2357">
        <f t="shared" si="12"/>
        <v>1.0000000000000009</v>
      </c>
      <c r="E279" s="3483">
        <v>0.86087928538065495</v>
      </c>
      <c r="F279" s="3550">
        <v>0.139120714619345</v>
      </c>
      <c r="G279" s="2358">
        <f t="shared" si="15"/>
        <v>1</v>
      </c>
      <c r="H279" s="2356">
        <f t="shared" si="16"/>
        <v>0.99999999999999989</v>
      </c>
      <c r="I279" s="3551">
        <v>0.92186282785727902</v>
      </c>
      <c r="J279" s="3551">
        <v>7.0867272911047191E-2</v>
      </c>
      <c r="K279" s="2799">
        <v>7.2698992316736002E-3</v>
      </c>
      <c r="L279" s="2356">
        <f t="shared" si="14"/>
        <v>1.0000000000000002</v>
      </c>
      <c r="M279" s="3551">
        <v>0.92947429973054696</v>
      </c>
      <c r="N279" s="3551">
        <v>5.9240187577462598E-2</v>
      </c>
      <c r="O279" s="2801">
        <v>1.12855126919907E-2</v>
      </c>
    </row>
    <row r="280" spans="1:15" s="238" customFormat="1">
      <c r="A280" s="240">
        <f t="shared" si="13"/>
        <v>2022.07</v>
      </c>
      <c r="B280" s="3487">
        <v>0.62585181989357896</v>
      </c>
      <c r="C280" s="3549">
        <v>0.37414818010642104</v>
      </c>
      <c r="D280" s="2357">
        <f t="shared" si="12"/>
        <v>1</v>
      </c>
      <c r="E280" s="3483">
        <v>0.83123114787908192</v>
      </c>
      <c r="F280" s="3550">
        <v>0.16876885212091799</v>
      </c>
      <c r="G280" s="2358">
        <f t="shared" si="15"/>
        <v>0.99999999999999989</v>
      </c>
      <c r="H280" s="2356">
        <f t="shared" si="16"/>
        <v>1</v>
      </c>
      <c r="I280" s="3551">
        <v>0.86846551699665597</v>
      </c>
      <c r="J280" s="3551">
        <v>0.10812946060336501</v>
      </c>
      <c r="K280" s="2799">
        <v>2.3405022399979002E-2</v>
      </c>
      <c r="L280" s="2356">
        <f t="shared" si="14"/>
        <v>0.99999999999999956</v>
      </c>
      <c r="M280" s="3551">
        <v>0.92837259634271108</v>
      </c>
      <c r="N280" s="3551">
        <v>6.1606247861642698E-2</v>
      </c>
      <c r="O280" s="2801">
        <v>1.00211557956458E-2</v>
      </c>
    </row>
    <row r="281" spans="1:15" s="238" customFormat="1">
      <c r="A281" s="240">
        <f t="shared" si="13"/>
        <v>2022.08</v>
      </c>
      <c r="B281" s="3487">
        <v>0.596558187683223</v>
      </c>
      <c r="C281" s="3549">
        <v>0.403441812316777</v>
      </c>
      <c r="D281" s="2357">
        <f t="shared" si="12"/>
        <v>1</v>
      </c>
      <c r="E281" s="3483">
        <v>0.83807500443861205</v>
      </c>
      <c r="F281" s="3550">
        <v>0.16192499556138798</v>
      </c>
      <c r="G281" s="2358">
        <f t="shared" si="15"/>
        <v>1</v>
      </c>
      <c r="H281" s="2356">
        <f t="shared" si="16"/>
        <v>0.99999999999999911</v>
      </c>
      <c r="I281" s="3551">
        <v>0.87299151052617807</v>
      </c>
      <c r="J281" s="3551">
        <v>0.104823471891411</v>
      </c>
      <c r="K281" s="2799">
        <v>2.2185017582410097E-2</v>
      </c>
      <c r="L281" s="2356">
        <f t="shared" si="14"/>
        <v>1.0000000000000002</v>
      </c>
      <c r="M281" s="3551">
        <v>0.9076914217628359</v>
      </c>
      <c r="N281" s="3551">
        <v>7.7610064205462501E-2</v>
      </c>
      <c r="O281" s="2801">
        <v>1.4698514031701899E-2</v>
      </c>
    </row>
    <row r="282" spans="1:15" s="238" customFormat="1">
      <c r="A282" s="240">
        <f t="shared" si="13"/>
        <v>2022.09</v>
      </c>
      <c r="B282" s="3487">
        <v>0.67563476721577398</v>
      </c>
      <c r="C282" s="3549">
        <v>0.32436523278422597</v>
      </c>
      <c r="D282" s="2357">
        <f t="shared" si="12"/>
        <v>1</v>
      </c>
      <c r="E282" s="3483">
        <v>0.8106785401473221</v>
      </c>
      <c r="F282" s="3550">
        <v>0.18932145985267798</v>
      </c>
      <c r="G282" s="2358">
        <f t="shared" si="15"/>
        <v>1</v>
      </c>
      <c r="H282" s="2356">
        <f t="shared" si="16"/>
        <v>0.99999999999999978</v>
      </c>
      <c r="I282" s="3551">
        <v>0.90998296778473498</v>
      </c>
      <c r="J282" s="3551">
        <v>6.8376888103905104E-2</v>
      </c>
      <c r="K282" s="2799">
        <v>2.1640144111359699E-2</v>
      </c>
      <c r="L282" s="2356">
        <f t="shared" si="14"/>
        <v>1</v>
      </c>
      <c r="M282" s="3551">
        <v>0.94672984968532903</v>
      </c>
      <c r="N282" s="3551">
        <v>4.5549246699831396E-2</v>
      </c>
      <c r="O282" s="2801">
        <v>7.72090361483963E-3</v>
      </c>
    </row>
    <row r="283" spans="1:15" s="238" customFormat="1">
      <c r="A283" s="240">
        <f t="shared" si="13"/>
        <v>2022.1</v>
      </c>
      <c r="B283" s="3487">
        <v>0.71330275568506096</v>
      </c>
      <c r="C283" s="3549">
        <v>0.28669724431493898</v>
      </c>
      <c r="D283" s="2357">
        <f t="shared" si="12"/>
        <v>1</v>
      </c>
      <c r="E283" s="3483">
        <v>0.81629651511400791</v>
      </c>
      <c r="F283" s="3550">
        <v>0.18370348488599098</v>
      </c>
      <c r="G283" s="2358">
        <f t="shared" si="15"/>
        <v>0.99999999999999889</v>
      </c>
      <c r="H283" s="2356">
        <f t="shared" si="16"/>
        <v>0.99999999999999967</v>
      </c>
      <c r="I283" s="3551">
        <v>0.88863570946303294</v>
      </c>
      <c r="J283" s="3551">
        <v>9.00786215199227E-2</v>
      </c>
      <c r="K283" s="2799">
        <v>2.1285669017044002E-2</v>
      </c>
      <c r="L283" s="2356">
        <f t="shared" si="14"/>
        <v>0.99999999999999944</v>
      </c>
      <c r="M283" s="3551">
        <v>0.92133347546301192</v>
      </c>
      <c r="N283" s="3551">
        <v>7.5013438760475906E-2</v>
      </c>
      <c r="O283" s="2801">
        <v>3.6530857765115898E-3</v>
      </c>
    </row>
    <row r="284" spans="1:15" s="238" customFormat="1">
      <c r="A284" s="240">
        <f t="shared" si="13"/>
        <v>2022.11</v>
      </c>
      <c r="B284" s="3487">
        <v>0.70542657689073096</v>
      </c>
      <c r="C284" s="3549">
        <v>0.29457342310926898</v>
      </c>
      <c r="D284" s="2357">
        <f t="shared" si="12"/>
        <v>1</v>
      </c>
      <c r="E284" s="3483">
        <v>0.83226007654029599</v>
      </c>
      <c r="F284" s="3550">
        <v>0.16773992345970498</v>
      </c>
      <c r="G284" s="2358">
        <f t="shared" si="15"/>
        <v>1.0000000000000009</v>
      </c>
      <c r="H284" s="2356">
        <f t="shared" si="16"/>
        <v>0.99999999999999967</v>
      </c>
      <c r="I284" s="3551">
        <v>0.92302840981187406</v>
      </c>
      <c r="J284" s="3551">
        <v>6.5750898025538393E-2</v>
      </c>
      <c r="K284" s="2799">
        <v>1.12206921625873E-2</v>
      </c>
      <c r="L284" s="2356">
        <f t="shared" si="14"/>
        <v>1</v>
      </c>
      <c r="M284" s="3551">
        <v>0.95287338594495496</v>
      </c>
      <c r="N284" s="3551">
        <v>3.9598023825851002E-2</v>
      </c>
      <c r="O284" s="2801">
        <v>7.5285902291939997E-3</v>
      </c>
    </row>
    <row r="285" spans="1:15" s="238" customFormat="1">
      <c r="A285" s="240">
        <f t="shared" si="13"/>
        <v>2022.12</v>
      </c>
      <c r="B285" s="3487">
        <v>0.69657044885427899</v>
      </c>
      <c r="C285" s="3549">
        <v>0.30342955114572101</v>
      </c>
      <c r="D285" s="2357">
        <f t="shared" ref="D285:D348" si="17">B285+C285</f>
        <v>1</v>
      </c>
      <c r="E285" s="3483">
        <v>0.87531562117914707</v>
      </c>
      <c r="F285" s="3550">
        <v>0.12468437882085301</v>
      </c>
      <c r="G285" s="2358">
        <f t="shared" si="15"/>
        <v>1</v>
      </c>
      <c r="H285" s="2356">
        <f t="shared" si="16"/>
        <v>1.0000000000000002</v>
      </c>
      <c r="I285" s="3551">
        <v>0.92695926262379003</v>
      </c>
      <c r="J285" s="3551">
        <v>6.8680994116620903E-2</v>
      </c>
      <c r="K285" s="2799">
        <v>4.3597432595893302E-3</v>
      </c>
      <c r="L285" s="2356">
        <f t="shared" si="14"/>
        <v>1.0000000000000002</v>
      </c>
      <c r="M285" s="3551">
        <v>0.92855570716707503</v>
      </c>
      <c r="N285" s="3551">
        <v>4.5310653062327601E-2</v>
      </c>
      <c r="O285" s="2801">
        <v>2.61336397705976E-2</v>
      </c>
    </row>
    <row r="286" spans="1:15" s="238" customFormat="1">
      <c r="A286" s="240">
        <f t="shared" si="13"/>
        <v>2023.01</v>
      </c>
      <c r="B286" s="3487">
        <v>0.68618143649252605</v>
      </c>
      <c r="C286" s="3549">
        <v>0.313818563507474</v>
      </c>
      <c r="D286" s="2357">
        <f t="shared" si="17"/>
        <v>1</v>
      </c>
      <c r="E286" s="3483">
        <v>0.86866161025980404</v>
      </c>
      <c r="F286" s="3550">
        <v>0.13133838974019599</v>
      </c>
      <c r="G286" s="2358">
        <f t="shared" si="15"/>
        <v>1</v>
      </c>
      <c r="H286" s="2356">
        <f t="shared" si="16"/>
        <v>1.0000000000000002</v>
      </c>
      <c r="I286" s="3551">
        <v>0.92489874379673098</v>
      </c>
      <c r="J286" s="3551">
        <v>6.1841835316882594E-2</v>
      </c>
      <c r="K286" s="2799">
        <v>1.3259420886386599E-2</v>
      </c>
      <c r="L286" s="2356">
        <f t="shared" si="14"/>
        <v>1.0000000000000002</v>
      </c>
      <c r="M286" s="3551">
        <v>0.90540344331087097</v>
      </c>
      <c r="N286" s="3551">
        <v>7.4560677757104704E-2</v>
      </c>
      <c r="O286" s="2801">
        <v>2.00358789320246E-2</v>
      </c>
    </row>
    <row r="287" spans="1:15" s="238" customFormat="1">
      <c r="A287" s="240">
        <f t="shared" si="13"/>
        <v>2023.02</v>
      </c>
      <c r="B287" s="3487">
        <v>0.68418687096122199</v>
      </c>
      <c r="C287" s="3549">
        <v>0.31581312903877801</v>
      </c>
      <c r="D287" s="2357">
        <f t="shared" si="17"/>
        <v>1</v>
      </c>
      <c r="E287" s="3483">
        <v>0.87973924251577007</v>
      </c>
      <c r="F287" s="3550">
        <v>0.120260757484231</v>
      </c>
      <c r="G287" s="2358">
        <f t="shared" si="15"/>
        <v>1.0000000000000011</v>
      </c>
      <c r="H287" s="2356">
        <f t="shared" si="16"/>
        <v>0.99999999999999967</v>
      </c>
      <c r="I287" s="3551">
        <v>0.92548521066104106</v>
      </c>
      <c r="J287" s="3551">
        <v>5.4342024612313994E-2</v>
      </c>
      <c r="K287" s="2799">
        <v>2.0172764726644598E-2</v>
      </c>
      <c r="L287" s="2356">
        <f t="shared" si="14"/>
        <v>0.99999999999999944</v>
      </c>
      <c r="M287" s="3551">
        <v>0.92263929206133599</v>
      </c>
      <c r="N287" s="3551">
        <v>5.3817725071451702E-2</v>
      </c>
      <c r="O287" s="2801">
        <v>2.3542982867211803E-2</v>
      </c>
    </row>
    <row r="288" spans="1:15" s="238" customFormat="1">
      <c r="A288" s="240">
        <f t="shared" si="13"/>
        <v>2023.03</v>
      </c>
      <c r="B288" s="3487">
        <v>0.69345302716456902</v>
      </c>
      <c r="C288" s="3549">
        <v>0.30654697283543103</v>
      </c>
      <c r="D288" s="2357">
        <f t="shared" si="17"/>
        <v>1</v>
      </c>
      <c r="E288" s="3483">
        <v>0.81099895467683791</v>
      </c>
      <c r="F288" s="3550">
        <v>0.18900104532316198</v>
      </c>
      <c r="G288" s="2358">
        <f t="shared" si="15"/>
        <v>0.99999999999999989</v>
      </c>
      <c r="H288" s="2356">
        <f t="shared" si="16"/>
        <v>0.99999999999999956</v>
      </c>
      <c r="I288" s="3551">
        <v>0.88527919673546096</v>
      </c>
      <c r="J288" s="3551">
        <v>8.6639409101123804E-2</v>
      </c>
      <c r="K288" s="2799">
        <v>2.8081394163414802E-2</v>
      </c>
      <c r="L288" s="2356">
        <f t="shared" si="14"/>
        <v>0.99999999999999956</v>
      </c>
      <c r="M288" s="3551">
        <v>0.91547701112436097</v>
      </c>
      <c r="N288" s="3551">
        <v>7.1825650921800099E-2</v>
      </c>
      <c r="O288" s="2801">
        <v>1.2697337953838398E-2</v>
      </c>
    </row>
    <row r="289" spans="1:15" s="238" customFormat="1">
      <c r="A289" s="240">
        <f t="shared" si="13"/>
        <v>2023.04</v>
      </c>
      <c r="B289" s="3487">
        <v>0.67159110017092405</v>
      </c>
      <c r="C289" s="3549">
        <v>0.32840889982907595</v>
      </c>
      <c r="D289" s="2357">
        <f t="shared" si="17"/>
        <v>1</v>
      </c>
      <c r="E289" s="3483">
        <v>0.79373978120748001</v>
      </c>
      <c r="F289" s="3550">
        <v>0.20626021879252002</v>
      </c>
      <c r="G289" s="2358">
        <f t="shared" si="15"/>
        <v>1</v>
      </c>
      <c r="H289" s="2356">
        <f t="shared" si="16"/>
        <v>1</v>
      </c>
      <c r="I289" s="3551">
        <v>0.914067340469084</v>
      </c>
      <c r="J289" s="3551">
        <v>7.1126944776527701E-2</v>
      </c>
      <c r="K289" s="2799">
        <v>1.48057147543884E-2</v>
      </c>
      <c r="L289" s="2356">
        <f t="shared" si="14"/>
        <v>1.0000000000000002</v>
      </c>
      <c r="M289" s="3551">
        <v>0.91006719382615797</v>
      </c>
      <c r="N289" s="3551">
        <v>6.7181580732189897E-2</v>
      </c>
      <c r="O289" s="2801">
        <v>2.2751225441652298E-2</v>
      </c>
    </row>
    <row r="290" spans="1:15" s="238" customFormat="1">
      <c r="A290" s="240">
        <f t="shared" si="13"/>
        <v>2023.05</v>
      </c>
      <c r="B290" s="3487">
        <v>0.69322080534258601</v>
      </c>
      <c r="C290" s="3549">
        <v>0.30677919465741399</v>
      </c>
      <c r="D290" s="2357">
        <f t="shared" si="17"/>
        <v>1</v>
      </c>
      <c r="E290" s="3483">
        <v>0.86862697756092</v>
      </c>
      <c r="F290" s="3550">
        <v>0.13137302243908</v>
      </c>
      <c r="G290" s="2358">
        <f t="shared" si="15"/>
        <v>1</v>
      </c>
      <c r="H290" s="2356">
        <f t="shared" si="16"/>
        <v>0.99999999999999956</v>
      </c>
      <c r="I290" s="3551">
        <v>0.91223808179156196</v>
      </c>
      <c r="J290" s="3551">
        <v>6.3287171963216801E-2</v>
      </c>
      <c r="K290" s="2799">
        <v>2.4474746245220801E-2</v>
      </c>
      <c r="L290" s="2356">
        <f t="shared" si="14"/>
        <v>0.99999999999999978</v>
      </c>
      <c r="M290" s="3551">
        <v>0.92320625866768591</v>
      </c>
      <c r="N290" s="3551">
        <v>5.2029037703072295E-2</v>
      </c>
      <c r="O290" s="2801">
        <v>2.4764703629241498E-2</v>
      </c>
    </row>
    <row r="291" spans="1:15" s="238" customFormat="1">
      <c r="A291" s="240">
        <f t="shared" si="13"/>
        <v>2023.06</v>
      </c>
      <c r="B291" s="3487">
        <v>0.66842291983678093</v>
      </c>
      <c r="C291" s="3549">
        <v>0.33157708016321896</v>
      </c>
      <c r="D291" s="2357">
        <f t="shared" si="17"/>
        <v>0.99999999999999989</v>
      </c>
      <c r="E291" s="3483">
        <v>0.83366492703712691</v>
      </c>
      <c r="F291" s="3550">
        <v>0.16633507296287298</v>
      </c>
      <c r="G291" s="2358">
        <f t="shared" si="15"/>
        <v>0.99999999999999989</v>
      </c>
      <c r="H291" s="2356">
        <f t="shared" si="16"/>
        <v>1.0000000000000004</v>
      </c>
      <c r="I291" s="3551">
        <v>0.95089956490837391</v>
      </c>
      <c r="J291" s="3551">
        <v>3.9056136642927404E-2</v>
      </c>
      <c r="K291" s="2799">
        <v>1.0044298448699101E-2</v>
      </c>
      <c r="L291" s="2356">
        <f t="shared" si="14"/>
        <v>0.99999999999999978</v>
      </c>
      <c r="M291" s="3551">
        <v>0.92488191949011811</v>
      </c>
      <c r="N291" s="3551">
        <v>6.5143889668171001E-2</v>
      </c>
      <c r="O291" s="2801">
        <v>9.9741908417107297E-3</v>
      </c>
    </row>
    <row r="292" spans="1:15" s="238" customFormat="1">
      <c r="A292" s="240">
        <f t="shared" si="13"/>
        <v>2023.07</v>
      </c>
      <c r="B292" s="3487">
        <v>0.67456056500030992</v>
      </c>
      <c r="C292" s="3549">
        <v>0.32543943499968997</v>
      </c>
      <c r="D292" s="2357">
        <f t="shared" si="17"/>
        <v>0.99999999999999989</v>
      </c>
      <c r="E292" s="3483">
        <v>0.80980590109510897</v>
      </c>
      <c r="F292" s="3550">
        <v>0.190194098904891</v>
      </c>
      <c r="G292" s="2358">
        <f t="shared" si="15"/>
        <v>1</v>
      </c>
      <c r="H292" s="2356">
        <f t="shared" si="16"/>
        <v>0.99999999999999956</v>
      </c>
      <c r="I292" s="3551">
        <v>0.932320353800136</v>
      </c>
      <c r="J292" s="3551">
        <v>5.8368531843976897E-2</v>
      </c>
      <c r="K292" s="2799">
        <v>9.3111143558865898E-3</v>
      </c>
      <c r="L292" s="2356">
        <f t="shared" si="14"/>
        <v>0.99999999999999978</v>
      </c>
      <c r="M292" s="3551">
        <v>0.92395018932467299</v>
      </c>
      <c r="N292" s="3551">
        <v>5.6441967585552602E-2</v>
      </c>
      <c r="O292" s="2801">
        <v>1.9607843089774198E-2</v>
      </c>
    </row>
    <row r="293" spans="1:15" s="238" customFormat="1">
      <c r="A293" s="240">
        <f t="shared" si="13"/>
        <v>2023.08</v>
      </c>
      <c r="B293" s="3487">
        <v>0.65322240616280691</v>
      </c>
      <c r="C293" s="3549">
        <v>0.34677759383719298</v>
      </c>
      <c r="D293" s="2357">
        <f t="shared" si="17"/>
        <v>0.99999999999999989</v>
      </c>
      <c r="E293" s="3483">
        <v>0.83676015522217895</v>
      </c>
      <c r="F293" s="3550">
        <v>0.163239844777822</v>
      </c>
      <c r="G293" s="2358">
        <f t="shared" si="15"/>
        <v>1.0000000000000009</v>
      </c>
      <c r="H293" s="2356">
        <f t="shared" si="16"/>
        <v>0.99999999999999978</v>
      </c>
      <c r="I293" s="3551">
        <v>0.95792345175563098</v>
      </c>
      <c r="J293" s="3551">
        <v>3.1915940986488998E-2</v>
      </c>
      <c r="K293" s="2799">
        <v>1.0160607257879799E-2</v>
      </c>
      <c r="L293" s="2356">
        <f t="shared" si="14"/>
        <v>1.0000000000000002</v>
      </c>
      <c r="M293" s="3551">
        <v>0.91147073303842208</v>
      </c>
      <c r="N293" s="3551">
        <v>7.9454107729593104E-2</v>
      </c>
      <c r="O293" s="2801">
        <v>9.075159231985111E-3</v>
      </c>
    </row>
    <row r="294" spans="1:15" s="238" customFormat="1">
      <c r="A294" s="240">
        <f t="shared" si="13"/>
        <v>2023.09</v>
      </c>
      <c r="B294" s="3487">
        <v>0.71471795559783202</v>
      </c>
      <c r="C294" s="3549">
        <v>0.28528204440216798</v>
      </c>
      <c r="D294" s="2357">
        <f t="shared" si="17"/>
        <v>1</v>
      </c>
      <c r="E294" s="3483">
        <v>0.82126698690616196</v>
      </c>
      <c r="F294" s="3550">
        <v>0.17873301309383902</v>
      </c>
      <c r="G294" s="2358">
        <f t="shared" si="15"/>
        <v>1.0000000000000009</v>
      </c>
      <c r="H294" s="2356">
        <f t="shared" si="16"/>
        <v>0.99999999999999978</v>
      </c>
      <c r="I294" s="3551">
        <v>0.94125430669013399</v>
      </c>
      <c r="J294" s="3551">
        <v>4.67115936776962E-2</v>
      </c>
      <c r="K294" s="2799">
        <v>1.2034099632169599E-2</v>
      </c>
      <c r="L294" s="2356">
        <f t="shared" si="14"/>
        <v>1.0000000000000004</v>
      </c>
      <c r="M294" s="3551">
        <v>0.96893385021340406</v>
      </c>
      <c r="N294" s="3551">
        <v>1.9029853247656502E-2</v>
      </c>
      <c r="O294" s="2801">
        <v>1.20362965389399E-2</v>
      </c>
    </row>
    <row r="295" spans="1:15" s="238" customFormat="1">
      <c r="A295" s="240">
        <f t="shared" si="13"/>
        <v>2023.1</v>
      </c>
      <c r="B295" s="3487">
        <v>0.69766370549695689</v>
      </c>
      <c r="C295" s="3549">
        <v>0.302336294503043</v>
      </c>
      <c r="D295" s="2357">
        <f t="shared" si="17"/>
        <v>0.99999999999999989</v>
      </c>
      <c r="E295" s="3483">
        <v>0.84360319438868103</v>
      </c>
      <c r="F295" s="3550">
        <v>0.156396805611319</v>
      </c>
      <c r="G295" s="2358">
        <f t="shared" si="15"/>
        <v>1</v>
      </c>
      <c r="H295" s="2356">
        <f t="shared" si="16"/>
        <v>0.99999999999999956</v>
      </c>
      <c r="I295" s="3551">
        <v>0.938109473102962</v>
      </c>
      <c r="J295" s="3551">
        <v>4.5360453474031906E-2</v>
      </c>
      <c r="K295" s="2799">
        <v>1.6530073423005599E-2</v>
      </c>
      <c r="L295" s="2356">
        <f t="shared" si="14"/>
        <v>0.99999999999999944</v>
      </c>
      <c r="M295" s="3551">
        <v>0.96539721191146899</v>
      </c>
      <c r="N295" s="3551">
        <v>1.9668212439936703E-2</v>
      </c>
      <c r="O295" s="2801">
        <v>1.49345756485938E-2</v>
      </c>
    </row>
    <row r="296" spans="1:15" s="238" customFormat="1">
      <c r="A296" s="240">
        <f t="shared" si="13"/>
        <v>2023.11</v>
      </c>
      <c r="B296" s="3487">
        <v>0.75889698005802098</v>
      </c>
      <c r="C296" s="3549">
        <v>0.241103019941979</v>
      </c>
      <c r="D296" s="2357">
        <f t="shared" si="17"/>
        <v>1</v>
      </c>
      <c r="E296" s="3483">
        <v>0.84485777941379192</v>
      </c>
      <c r="F296" s="3550">
        <v>0.155142220586208</v>
      </c>
      <c r="G296" s="2358">
        <f t="shared" si="15"/>
        <v>0.99999999999999989</v>
      </c>
      <c r="H296" s="2356">
        <f t="shared" si="16"/>
        <v>0.99999999999999967</v>
      </c>
      <c r="I296" s="3551">
        <v>0.93615305812362293</v>
      </c>
      <c r="J296" s="3551">
        <v>3.76675590701573E-2</v>
      </c>
      <c r="K296" s="2799">
        <v>2.6179382806219502E-2</v>
      </c>
      <c r="L296" s="2356">
        <f t="shared" si="14"/>
        <v>0.99999999999999978</v>
      </c>
      <c r="M296" s="3551">
        <v>0.9559533047714569</v>
      </c>
      <c r="N296" s="3551">
        <v>2.1379601314979301E-2</v>
      </c>
      <c r="O296" s="2801">
        <v>2.2667093913563599E-2</v>
      </c>
    </row>
    <row r="297" spans="1:15" s="238" customFormat="1">
      <c r="A297" s="240">
        <f t="shared" si="13"/>
        <v>2023.12</v>
      </c>
      <c r="B297" s="3487">
        <v>0.74884982130937405</v>
      </c>
      <c r="C297" s="3549">
        <v>0.251150178690626</v>
      </c>
      <c r="D297" s="2357">
        <f t="shared" si="17"/>
        <v>1</v>
      </c>
      <c r="E297" s="3483">
        <v>0.87562838142177402</v>
      </c>
      <c r="F297" s="3550">
        <v>0.124371618578226</v>
      </c>
      <c r="G297" s="2358">
        <f t="shared" si="15"/>
        <v>1</v>
      </c>
      <c r="H297" s="2356">
        <f t="shared" si="16"/>
        <v>1.0000000000000004</v>
      </c>
      <c r="I297" s="3551">
        <v>0.89855845969616099</v>
      </c>
      <c r="J297" s="3551">
        <v>5.1116159796461599E-2</v>
      </c>
      <c r="K297" s="2799">
        <v>5.0325380507377802E-2</v>
      </c>
      <c r="L297" s="2356">
        <f t="shared" si="14"/>
        <v>0.99999999999999967</v>
      </c>
      <c r="M297" s="3551">
        <v>0.94712743384877196</v>
      </c>
      <c r="N297" s="3551">
        <v>2.9898464232003697E-2</v>
      </c>
      <c r="O297" s="2801">
        <v>2.2974101919223999E-2</v>
      </c>
    </row>
    <row r="298" spans="1:15" s="238" customFormat="1">
      <c r="A298" s="240">
        <f t="shared" ref="A298:A361" si="18">A286+1</f>
        <v>2024.01</v>
      </c>
      <c r="B298" s="3487">
        <v>0.67499788148819406</v>
      </c>
      <c r="C298" s="3549">
        <v>0.32500211851180599</v>
      </c>
      <c r="D298" s="2357">
        <f t="shared" si="17"/>
        <v>1</v>
      </c>
      <c r="E298" s="3483">
        <v>0.89344496230665404</v>
      </c>
      <c r="F298" s="3550">
        <v>0.10655503769334701</v>
      </c>
      <c r="G298" s="2358">
        <f t="shared" si="15"/>
        <v>1.0000000000000011</v>
      </c>
      <c r="H298" s="2356">
        <f t="shared" si="16"/>
        <v>1.0000000000000004</v>
      </c>
      <c r="I298" s="3551">
        <v>0.93693242104975194</v>
      </c>
      <c r="J298" s="3551">
        <v>4.1535821272803704E-2</v>
      </c>
      <c r="K298" s="2799">
        <v>2.15317576774447E-2</v>
      </c>
      <c r="L298" s="2356">
        <f t="shared" si="14"/>
        <v>0.99999999999999967</v>
      </c>
      <c r="M298" s="3551">
        <v>0.96918192821131199</v>
      </c>
      <c r="N298" s="3551">
        <v>1.49277922071438E-3</v>
      </c>
      <c r="O298" s="2801">
        <v>2.9325292567973296E-2</v>
      </c>
    </row>
    <row r="299" spans="1:15" s="238" customFormat="1">
      <c r="A299" s="240">
        <f t="shared" si="18"/>
        <v>2024.02</v>
      </c>
      <c r="B299" s="3487">
        <v>0.72409020827245396</v>
      </c>
      <c r="C299" s="3549">
        <v>0.27590979172754598</v>
      </c>
      <c r="D299" s="2357">
        <f t="shared" si="17"/>
        <v>1</v>
      </c>
      <c r="E299" s="3483">
        <v>0.89819009217547796</v>
      </c>
      <c r="F299" s="3550">
        <v>0.101809907824523</v>
      </c>
      <c r="G299" s="2358">
        <f t="shared" si="15"/>
        <v>1.0000000000000009</v>
      </c>
      <c r="H299" s="2356">
        <f t="shared" si="16"/>
        <v>0.99999999999999978</v>
      </c>
      <c r="I299" s="3551">
        <v>0.92983623984615504</v>
      </c>
      <c r="J299" s="3551">
        <v>2.9931131221887203E-2</v>
      </c>
      <c r="K299" s="2799">
        <v>4.0232628931957504E-2</v>
      </c>
      <c r="L299" s="2356">
        <f t="shared" si="14"/>
        <v>0.99999999999999956</v>
      </c>
      <c r="M299" s="3551">
        <v>0.95015295182844595</v>
      </c>
      <c r="N299" s="3551">
        <v>2.5978621911299002E-2</v>
      </c>
      <c r="O299" s="2801">
        <v>2.3868426260254698E-2</v>
      </c>
    </row>
    <row r="300" spans="1:15" s="238" customFormat="1">
      <c r="A300" s="240">
        <f t="shared" si="18"/>
        <v>2024.03</v>
      </c>
      <c r="B300" s="3487">
        <v>0.70595143946106109</v>
      </c>
      <c r="C300" s="3549">
        <v>0.29404856053893796</v>
      </c>
      <c r="D300" s="2357">
        <f t="shared" si="17"/>
        <v>0.99999999999999911</v>
      </c>
      <c r="E300" s="3483">
        <v>0.75125185906401892</v>
      </c>
      <c r="F300" s="3550">
        <v>0.24874814093598099</v>
      </c>
      <c r="G300" s="2358">
        <f t="shared" si="15"/>
        <v>0.99999999999999989</v>
      </c>
      <c r="H300" s="2356">
        <f t="shared" si="16"/>
        <v>0.99999999999999978</v>
      </c>
      <c r="I300" s="3551">
        <v>0.94553748948638205</v>
      </c>
      <c r="J300" s="3551">
        <v>3.6397910483170801E-2</v>
      </c>
      <c r="K300" s="2799">
        <v>1.8064600030446999E-2</v>
      </c>
      <c r="L300" s="2356">
        <f t="shared" si="14"/>
        <v>0.99999999999999956</v>
      </c>
      <c r="M300" s="3551">
        <v>0.90215637954774708</v>
      </c>
      <c r="N300" s="3551">
        <v>6.3909391622893302E-2</v>
      </c>
      <c r="O300" s="2801">
        <v>3.3934228829359203E-2</v>
      </c>
    </row>
    <row r="301" spans="1:15" s="238" customFormat="1">
      <c r="A301" s="240">
        <f t="shared" si="18"/>
        <v>2024.04</v>
      </c>
      <c r="B301" s="3487">
        <v>0.71397275007542804</v>
      </c>
      <c r="C301" s="3549">
        <v>0.28602724992457201</v>
      </c>
      <c r="D301" s="2357">
        <f t="shared" si="17"/>
        <v>1</v>
      </c>
      <c r="E301" s="3483">
        <v>0.893585431992171</v>
      </c>
      <c r="F301" s="3550">
        <v>0.10641456800782899</v>
      </c>
      <c r="G301" s="2358">
        <f t="shared" si="15"/>
        <v>1</v>
      </c>
      <c r="H301" s="2356">
        <f t="shared" si="16"/>
        <v>1</v>
      </c>
      <c r="I301" s="3551">
        <v>0.91647814521917192</v>
      </c>
      <c r="J301" s="3551">
        <v>5.0407735072062296E-2</v>
      </c>
      <c r="K301" s="2799">
        <v>3.31141197087658E-2</v>
      </c>
      <c r="L301" s="2356">
        <f t="shared" si="14"/>
        <v>1.0000000000000007</v>
      </c>
      <c r="M301" s="3551">
        <v>0.97068078426172599</v>
      </c>
      <c r="N301" s="3551">
        <v>2.6746486732071001E-2</v>
      </c>
      <c r="O301" s="2801">
        <v>2.5727290062035803E-3</v>
      </c>
    </row>
    <row r="302" spans="1:15" s="238" customFormat="1">
      <c r="A302" s="240">
        <f t="shared" si="18"/>
        <v>2024.05</v>
      </c>
      <c r="B302" s="3487">
        <v>0.71735746650754395</v>
      </c>
      <c r="C302" s="3549">
        <v>0.28264253349245599</v>
      </c>
      <c r="D302" s="2357">
        <f t="shared" si="17"/>
        <v>1</v>
      </c>
      <c r="E302" s="3483">
        <v>0.90342472157271603</v>
      </c>
      <c r="F302" s="3550">
        <v>9.6575278427284292E-2</v>
      </c>
      <c r="G302" s="2358">
        <f t="shared" si="15"/>
        <v>1.0000000000000002</v>
      </c>
      <c r="H302" s="2356">
        <f t="shared" si="16"/>
        <v>0.99999999999999967</v>
      </c>
      <c r="I302" s="3551">
        <v>0.90974138273021499</v>
      </c>
      <c r="J302" s="3551">
        <v>6.4814460366306295E-2</v>
      </c>
      <c r="K302" s="2799">
        <v>2.5444156903478298E-2</v>
      </c>
      <c r="L302" s="2356">
        <f t="shared" si="14"/>
        <v>1.0000000000000004</v>
      </c>
      <c r="M302" s="3551">
        <v>0.9526190573441311</v>
      </c>
      <c r="N302" s="3551">
        <v>1.9792763945502501E-2</v>
      </c>
      <c r="O302" s="2801">
        <v>2.7588178710366801E-2</v>
      </c>
    </row>
    <row r="303" spans="1:15" s="238" customFormat="1">
      <c r="A303" s="240">
        <f t="shared" si="18"/>
        <v>2024.06</v>
      </c>
      <c r="B303" s="3487">
        <v>0.74212957537651303</v>
      </c>
      <c r="C303" s="3549">
        <v>0.25787042462348703</v>
      </c>
      <c r="D303" s="2357">
        <f t="shared" si="17"/>
        <v>1</v>
      </c>
      <c r="E303" s="3483">
        <v>0.78011955997345794</v>
      </c>
      <c r="F303" s="3550">
        <v>0.219880440026542</v>
      </c>
      <c r="G303" s="2358">
        <f t="shared" si="15"/>
        <v>1</v>
      </c>
      <c r="H303" s="2356">
        <f t="shared" si="16"/>
        <v>1</v>
      </c>
      <c r="I303" s="3551">
        <v>0.94945162797576099</v>
      </c>
      <c r="J303" s="3551">
        <v>3.4188143489391698E-2</v>
      </c>
      <c r="K303" s="2799">
        <v>1.63602285348474E-2</v>
      </c>
      <c r="L303" s="2356">
        <f t="shared" si="14"/>
        <v>0.99999999999999944</v>
      </c>
      <c r="M303" s="3551">
        <v>0.91510748672046804</v>
      </c>
      <c r="N303" s="3551">
        <v>5.6371871801938804E-2</v>
      </c>
      <c r="O303" s="2801">
        <v>2.85206414775926E-2</v>
      </c>
    </row>
    <row r="304" spans="1:15" s="238" customFormat="1">
      <c r="A304" s="240">
        <f t="shared" si="18"/>
        <v>2024.07</v>
      </c>
      <c r="B304" s="3487">
        <v>0.76333147730144801</v>
      </c>
      <c r="C304" s="3549">
        <v>0.23666852269855201</v>
      </c>
      <c r="D304" s="2357">
        <f t="shared" si="17"/>
        <v>1</v>
      </c>
      <c r="E304" s="3483">
        <v>0.82443650409501601</v>
      </c>
      <c r="F304" s="3550">
        <v>0.17556349590498399</v>
      </c>
      <c r="G304" s="2358">
        <f t="shared" si="15"/>
        <v>1</v>
      </c>
      <c r="H304" s="2356">
        <f t="shared" si="16"/>
        <v>0.99999999999999967</v>
      </c>
      <c r="I304" s="3551">
        <v>0.93807457371772296</v>
      </c>
      <c r="J304" s="3551">
        <v>3.3619488274512596E-2</v>
      </c>
      <c r="K304" s="2799">
        <v>2.8305938007764202E-2</v>
      </c>
      <c r="L304" s="2356">
        <f t="shared" si="14"/>
        <v>1.0000000000000004</v>
      </c>
      <c r="M304" s="3551">
        <v>0.93507174038470497</v>
      </c>
      <c r="N304" s="3551">
        <v>5.1832049910868705E-2</v>
      </c>
      <c r="O304" s="2801">
        <v>1.30962097044266E-2</v>
      </c>
    </row>
    <row r="305" spans="1:17" s="238" customFormat="1">
      <c r="A305" s="240">
        <f t="shared" si="18"/>
        <v>2024.08</v>
      </c>
      <c r="B305" s="3487">
        <v>0.69758768857668796</v>
      </c>
      <c r="C305" s="3549">
        <v>0.30241231142331199</v>
      </c>
      <c r="D305" s="2357">
        <f t="shared" si="17"/>
        <v>1</v>
      </c>
      <c r="E305" s="3483">
        <v>0.88924429974933605</v>
      </c>
      <c r="F305" s="3550">
        <v>0.110755700250664</v>
      </c>
      <c r="G305" s="2358">
        <f t="shared" si="15"/>
        <v>1</v>
      </c>
      <c r="H305" s="2356">
        <f t="shared" si="16"/>
        <v>0.99999999999999989</v>
      </c>
      <c r="I305" s="3551">
        <v>0.92262124801833911</v>
      </c>
      <c r="J305" s="3551">
        <v>5.1259518505512795E-2</v>
      </c>
      <c r="K305" s="2799">
        <v>2.6119233476148002E-2</v>
      </c>
      <c r="L305" s="2356">
        <f t="shared" si="14"/>
        <v>0.99999999999999956</v>
      </c>
      <c r="M305" s="3551">
        <v>0.96141114610700196</v>
      </c>
      <c r="N305" s="3551">
        <v>2.4567298808124999E-2</v>
      </c>
      <c r="O305" s="2801">
        <v>1.4021555084872598E-2</v>
      </c>
    </row>
    <row r="306" spans="1:17" s="238" customFormat="1">
      <c r="A306" s="240">
        <f t="shared" si="18"/>
        <v>2024.09</v>
      </c>
      <c r="B306" s="3487">
        <v>0.74938714953089902</v>
      </c>
      <c r="C306" s="3549">
        <v>0.25061285046910003</v>
      </c>
      <c r="D306" s="2357">
        <f t="shared" si="17"/>
        <v>0.99999999999999911</v>
      </c>
      <c r="E306" s="3483">
        <v>0.84196111909737792</v>
      </c>
      <c r="F306" s="3550">
        <v>0.158038880902621</v>
      </c>
      <c r="G306" s="2358">
        <f t="shared" si="15"/>
        <v>0.99999999999999889</v>
      </c>
      <c r="H306" s="2356">
        <f t="shared" si="16"/>
        <v>1.0000000000000002</v>
      </c>
      <c r="I306" s="3551">
        <v>0.94773606197163407</v>
      </c>
      <c r="J306" s="3551">
        <v>4.4665608649983798E-2</v>
      </c>
      <c r="K306" s="2799">
        <v>7.5983293783823003E-3</v>
      </c>
      <c r="L306" s="2356">
        <f t="shared" si="14"/>
        <v>0.99999999999999956</v>
      </c>
      <c r="M306" s="3551">
        <v>0.94946705283407895</v>
      </c>
      <c r="N306" s="3551">
        <v>2.9180394179237502E-2</v>
      </c>
      <c r="O306" s="2801">
        <v>2.1352552986683201E-2</v>
      </c>
    </row>
    <row r="307" spans="1:17" s="238" customFormat="1">
      <c r="A307" s="240">
        <f t="shared" si="18"/>
        <v>2024.1</v>
      </c>
      <c r="B307" s="3487">
        <v>0.66785254010503392</v>
      </c>
      <c r="C307" s="3549">
        <v>0.33214745989496597</v>
      </c>
      <c r="D307" s="2357">
        <f t="shared" si="17"/>
        <v>0.99999999999999989</v>
      </c>
      <c r="E307" s="3483">
        <v>0.8641704967834779</v>
      </c>
      <c r="F307" s="3550">
        <v>0.13582950321652201</v>
      </c>
      <c r="G307" s="2358">
        <f t="shared" si="15"/>
        <v>0.99999999999999989</v>
      </c>
      <c r="H307" s="2356">
        <f t="shared" si="16"/>
        <v>0.99999999999999956</v>
      </c>
      <c r="I307" s="3551">
        <v>0.93395642152698999</v>
      </c>
      <c r="J307" s="3551">
        <v>4.7159152566482898E-2</v>
      </c>
      <c r="K307" s="2799">
        <v>1.88844259065266E-2</v>
      </c>
      <c r="L307" s="2356">
        <f t="shared" si="14"/>
        <v>1.0000000000000007</v>
      </c>
      <c r="M307" s="3551">
        <v>0.93403371785600597</v>
      </c>
      <c r="N307" s="3551">
        <v>4.40791366000386E-2</v>
      </c>
      <c r="O307" s="2801">
        <v>2.1887145543956002E-2</v>
      </c>
    </row>
    <row r="308" spans="1:17" s="238" customFormat="1">
      <c r="A308" s="240">
        <f t="shared" si="18"/>
        <v>2024.11</v>
      </c>
      <c r="B308" s="3487">
        <v>0.72618339808035004</v>
      </c>
      <c r="C308" s="3549">
        <v>0.27381660191965002</v>
      </c>
      <c r="D308" s="2357">
        <f t="shared" si="17"/>
        <v>1</v>
      </c>
      <c r="E308" s="3483">
        <v>0.79084390484162592</v>
      </c>
      <c r="F308" s="3550">
        <v>0.20915609515837399</v>
      </c>
      <c r="G308" s="2358">
        <f t="shared" si="15"/>
        <v>0.99999999999999989</v>
      </c>
      <c r="H308" s="2356">
        <f t="shared" si="16"/>
        <v>1.0000000000000004</v>
      </c>
      <c r="I308" s="3551">
        <v>0.90852783266737303</v>
      </c>
      <c r="J308" s="3551">
        <v>5.4606407865444802E-2</v>
      </c>
      <c r="K308" s="2799">
        <v>3.6865759467182603E-2</v>
      </c>
      <c r="L308" s="2356">
        <f t="shared" ref="L308:L371" si="19">M308+N308+O308</f>
        <v>1.0000000000000004</v>
      </c>
      <c r="M308" s="3551">
        <v>0.88844008839291311</v>
      </c>
      <c r="N308" s="3551">
        <v>9.2959895812684101E-2</v>
      </c>
      <c r="O308" s="2801">
        <v>1.86000157944032E-2</v>
      </c>
    </row>
    <row r="309" spans="1:17" s="238" customFormat="1">
      <c r="A309" s="240">
        <f t="shared" si="18"/>
        <v>2024.12</v>
      </c>
      <c r="B309" s="3487">
        <v>0.73030595965160994</v>
      </c>
      <c r="C309" s="3549">
        <v>0.26969404034839001</v>
      </c>
      <c r="D309" s="2357">
        <f t="shared" si="17"/>
        <v>1</v>
      </c>
      <c r="E309" s="3483">
        <v>0.79515394286486896</v>
      </c>
      <c r="F309" s="3550">
        <v>0.20484605713513102</v>
      </c>
      <c r="G309" s="2358">
        <f t="shared" si="15"/>
        <v>1</v>
      </c>
      <c r="H309" s="2356">
        <f t="shared" si="16"/>
        <v>0.99999999999999967</v>
      </c>
      <c r="I309" s="3551">
        <v>0.89566256380471598</v>
      </c>
      <c r="J309" s="3551">
        <v>7.0338334059798405E-2</v>
      </c>
      <c r="K309" s="2799">
        <v>3.39991021354853E-2</v>
      </c>
      <c r="L309" s="2356">
        <f t="shared" si="19"/>
        <v>0.99999999999999967</v>
      </c>
      <c r="M309" s="3551">
        <v>0.94952270565771701</v>
      </c>
      <c r="N309" s="3551">
        <v>4.4731911022771298E-2</v>
      </c>
      <c r="O309" s="2801">
        <v>5.7453833195113798E-3</v>
      </c>
    </row>
    <row r="310" spans="1:17" s="238" customFormat="1">
      <c r="A310" s="240">
        <f t="shared" si="18"/>
        <v>2025.01</v>
      </c>
      <c r="B310" s="3487">
        <v>0.74032019367510404</v>
      </c>
      <c r="C310" s="3549">
        <v>0.25967980632489601</v>
      </c>
      <c r="D310" s="2357">
        <f t="shared" si="17"/>
        <v>1</v>
      </c>
      <c r="E310" s="3483">
        <v>0.83856070730403498</v>
      </c>
      <c r="F310" s="3550">
        <v>0.16143929269596502</v>
      </c>
      <c r="G310" s="2358">
        <f t="shared" ref="G310:G322" si="20">E310+F310</f>
        <v>1</v>
      </c>
      <c r="H310" s="2356">
        <f t="shared" si="16"/>
        <v>1</v>
      </c>
      <c r="I310" s="3551">
        <v>0.92100000000000004</v>
      </c>
      <c r="J310" s="3551">
        <v>7.0000000000000007E-2</v>
      </c>
      <c r="K310" s="2799">
        <v>8.9999999999999993E-3</v>
      </c>
      <c r="L310" s="2356">
        <f t="shared" si="19"/>
        <v>1</v>
      </c>
      <c r="M310" s="3551">
        <v>0.89400000000000002</v>
      </c>
      <c r="N310" s="3551">
        <v>6.6000000000000003E-2</v>
      </c>
      <c r="O310" s="2801">
        <v>0.04</v>
      </c>
    </row>
    <row r="311" spans="1:17" s="238" customFormat="1">
      <c r="A311" s="240">
        <f t="shared" si="18"/>
        <v>2025.02</v>
      </c>
      <c r="B311" s="3487">
        <v>0.75097297661002893</v>
      </c>
      <c r="C311" s="3549">
        <v>0.24902702338997099</v>
      </c>
      <c r="D311" s="2357">
        <f t="shared" si="17"/>
        <v>0.99999999999999989</v>
      </c>
      <c r="E311" s="3483">
        <v>0.81511826408837296</v>
      </c>
      <c r="F311" s="3550">
        <v>0.18488173591162699</v>
      </c>
      <c r="G311" s="2358">
        <f t="shared" si="20"/>
        <v>1</v>
      </c>
      <c r="H311" s="2356">
        <f t="shared" si="16"/>
        <v>0.99999999999999989</v>
      </c>
      <c r="I311" s="3551">
        <v>0.96712646262201507</v>
      </c>
      <c r="J311" s="3551">
        <v>3.2236624752717602E-2</v>
      </c>
      <c r="K311" s="2799">
        <v>6.3691262526717094E-4</v>
      </c>
      <c r="L311" s="2356">
        <f t="shared" si="19"/>
        <v>1.0000000000000002</v>
      </c>
      <c r="M311" s="3551">
        <v>0.9096322573645359</v>
      </c>
      <c r="N311" s="3551">
        <v>6.7587995526792205E-2</v>
      </c>
      <c r="O311" s="2801">
        <v>2.2779747108672203E-2</v>
      </c>
    </row>
    <row r="312" spans="1:17" s="238" customFormat="1">
      <c r="A312" s="240">
        <f t="shared" si="18"/>
        <v>2025.03</v>
      </c>
      <c r="B312" s="3487">
        <v>0.68144830281095903</v>
      </c>
      <c r="C312" s="3549">
        <v>0.31855169718904103</v>
      </c>
      <c r="D312" s="2357">
        <f t="shared" si="17"/>
        <v>1</v>
      </c>
      <c r="E312" s="3483">
        <v>0.7581693981740899</v>
      </c>
      <c r="F312" s="3550">
        <v>0.24183060182590899</v>
      </c>
      <c r="G312" s="2358">
        <f t="shared" si="20"/>
        <v>0.99999999999999889</v>
      </c>
      <c r="H312" s="2356">
        <f t="shared" si="16"/>
        <v>1</v>
      </c>
      <c r="I312" s="3551">
        <v>0.91500000000000004</v>
      </c>
      <c r="J312" s="3551">
        <v>4.7E-2</v>
      </c>
      <c r="K312" s="2799">
        <v>3.7999999999999999E-2</v>
      </c>
      <c r="L312" s="2356">
        <f t="shared" si="19"/>
        <v>1</v>
      </c>
      <c r="M312" s="3551">
        <v>0.95</v>
      </c>
      <c r="N312" s="3551">
        <v>2.1999999999999999E-2</v>
      </c>
      <c r="O312" s="2801">
        <v>2.8000000000000001E-2</v>
      </c>
    </row>
    <row r="313" spans="1:17" s="238" customFormat="1">
      <c r="A313" s="240">
        <f t="shared" si="18"/>
        <v>2025.04</v>
      </c>
      <c r="B313" s="3487">
        <v>0.68346190041155697</v>
      </c>
      <c r="C313" s="3549">
        <v>0.31653809958844298</v>
      </c>
      <c r="D313" s="2357">
        <f t="shared" si="17"/>
        <v>1</v>
      </c>
      <c r="E313" s="3483">
        <v>0.7679303969521899</v>
      </c>
      <c r="F313" s="3550">
        <v>0.23206960304780999</v>
      </c>
      <c r="G313" s="2358">
        <f t="shared" si="20"/>
        <v>0.99999999999999989</v>
      </c>
      <c r="H313" s="2356">
        <f t="shared" si="16"/>
        <v>0.99999999999999989</v>
      </c>
      <c r="I313" s="3551">
        <v>0.91799999999999993</v>
      </c>
      <c r="J313" s="3551">
        <v>6.7000000000000004E-2</v>
      </c>
      <c r="K313" s="2799">
        <v>1.4999999999999999E-2</v>
      </c>
      <c r="L313" s="2356">
        <f t="shared" si="19"/>
        <v>1.0009999999999999</v>
      </c>
      <c r="M313" s="3551">
        <v>0.93599999999999994</v>
      </c>
      <c r="N313" s="3551">
        <v>2.1000000000000001E-2</v>
      </c>
      <c r="O313" s="2801">
        <v>4.4000000000000004E-2</v>
      </c>
      <c r="Q313" s="1977"/>
    </row>
    <row r="314" spans="1:17" s="238" customFormat="1">
      <c r="A314" s="240">
        <f t="shared" si="18"/>
        <v>2025.05</v>
      </c>
      <c r="B314" s="3487">
        <v>0.69583323300822097</v>
      </c>
      <c r="C314" s="3549">
        <v>0.30416676699177897</v>
      </c>
      <c r="D314" s="2357">
        <f t="shared" si="17"/>
        <v>1</v>
      </c>
      <c r="E314" s="3483">
        <v>0.76991147463893994</v>
      </c>
      <c r="F314" s="3550">
        <v>0.23008852536106</v>
      </c>
      <c r="G314" s="2358">
        <f t="shared" si="20"/>
        <v>1</v>
      </c>
      <c r="H314" s="2356">
        <f t="shared" si="16"/>
        <v>1.0000000000000004</v>
      </c>
      <c r="I314" s="3551">
        <v>0.93682908208653404</v>
      </c>
      <c r="J314" s="3551">
        <v>5.26819871682154E-2</v>
      </c>
      <c r="K314" s="2799">
        <v>1.0488930745251099E-2</v>
      </c>
      <c r="L314" s="2356">
        <f t="shared" si="19"/>
        <v>1</v>
      </c>
      <c r="M314" s="3551">
        <v>0.96600035895635694</v>
      </c>
      <c r="N314" s="3551">
        <v>1.0047924736794101E-2</v>
      </c>
      <c r="O314" s="2801">
        <v>2.3951716306848999E-2</v>
      </c>
      <c r="Q314" s="1977"/>
    </row>
    <row r="315" spans="1:17" s="238" customFormat="1">
      <c r="A315" s="240">
        <f t="shared" si="18"/>
        <v>2025.06</v>
      </c>
      <c r="B315" s="3487">
        <v>0.70448895988535898</v>
      </c>
      <c r="C315" s="3549">
        <v>0.29551104011464102</v>
      </c>
      <c r="D315" s="2357">
        <f t="shared" si="17"/>
        <v>1</v>
      </c>
      <c r="E315" s="3483">
        <v>0.85261309764749005</v>
      </c>
      <c r="F315" s="3550">
        <v>0.14738690235250998</v>
      </c>
      <c r="G315" s="2358">
        <f t="shared" si="20"/>
        <v>1</v>
      </c>
      <c r="H315" s="2356">
        <f t="shared" si="16"/>
        <v>0.999</v>
      </c>
      <c r="I315" s="3551">
        <v>0.94199999999999995</v>
      </c>
      <c r="J315" s="3551">
        <v>4.9000000000000002E-2</v>
      </c>
      <c r="K315" s="2799">
        <v>8.0000000000000002E-3</v>
      </c>
      <c r="L315" s="2356">
        <f t="shared" si="19"/>
        <v>1</v>
      </c>
      <c r="M315" s="3551">
        <v>0.93899999999999995</v>
      </c>
      <c r="N315" s="3551">
        <v>2.3E-2</v>
      </c>
      <c r="O315" s="2801">
        <v>3.7999999999999999E-2</v>
      </c>
      <c r="Q315" s="1977"/>
    </row>
    <row r="316" spans="1:17" s="238" customFormat="1">
      <c r="A316" s="240">
        <f t="shared" si="18"/>
        <v>2025.07</v>
      </c>
      <c r="B316" s="3487">
        <v>0.67325323524803693</v>
      </c>
      <c r="C316" s="3549">
        <v>0.32674676475196301</v>
      </c>
      <c r="D316" s="2357">
        <f t="shared" si="17"/>
        <v>1</v>
      </c>
      <c r="E316" s="3483">
        <v>0.82753072284495</v>
      </c>
      <c r="F316" s="3550">
        <v>0.17246927715504998</v>
      </c>
      <c r="G316" s="2358">
        <f t="shared" si="20"/>
        <v>1</v>
      </c>
      <c r="H316" s="2356">
        <f>+I316+J316+K316</f>
        <v>1.0000000000000002</v>
      </c>
      <c r="I316" s="3551">
        <v>0.93684466954252399</v>
      </c>
      <c r="J316" s="3551">
        <v>4.5859249954194603E-2</v>
      </c>
      <c r="K316" s="2799">
        <v>1.7296080503281498E-2</v>
      </c>
      <c r="L316" s="2356">
        <f t="shared" si="19"/>
        <v>0.99900000000000011</v>
      </c>
      <c r="M316" s="3551">
        <v>0.92400000000000004</v>
      </c>
      <c r="N316" s="3551">
        <v>5.1999999999999998E-2</v>
      </c>
      <c r="O316" s="2801">
        <v>2.3E-2</v>
      </c>
    </row>
    <row r="317" spans="1:17" s="238" customFormat="1">
      <c r="A317" s="240">
        <f t="shared" si="18"/>
        <v>2025.08</v>
      </c>
      <c r="B317" s="3487">
        <v>0.66589624740451603</v>
      </c>
      <c r="C317" s="3549">
        <v>0.33410375259548403</v>
      </c>
      <c r="D317" s="2357">
        <f t="shared" si="17"/>
        <v>1</v>
      </c>
      <c r="E317" s="3483">
        <v>0.86155020603760701</v>
      </c>
      <c r="F317" s="3550">
        <v>0.13844979396239299</v>
      </c>
      <c r="G317" s="2358">
        <f t="shared" si="20"/>
        <v>1</v>
      </c>
      <c r="H317" s="2356">
        <f t="shared" si="16"/>
        <v>1</v>
      </c>
      <c r="I317" s="3551">
        <v>0.94894610122799905</v>
      </c>
      <c r="J317" s="3551">
        <v>2.9435748426818599E-2</v>
      </c>
      <c r="K317" s="2799">
        <v>2.1618150345182299E-2</v>
      </c>
      <c r="L317" s="2356">
        <f t="shared" si="19"/>
        <v>0.99900000000000011</v>
      </c>
      <c r="M317" s="3551">
        <v>0.92400000000000004</v>
      </c>
      <c r="N317" s="3551">
        <v>5.1999999999999998E-2</v>
      </c>
      <c r="O317" s="2801">
        <v>2.3E-2</v>
      </c>
    </row>
    <row r="318" spans="1:17" s="238" customFormat="1">
      <c r="A318" s="240">
        <f t="shared" si="18"/>
        <v>2025.09</v>
      </c>
      <c r="B318" s="3487">
        <v>0.71160661971496497</v>
      </c>
      <c r="C318" s="3549">
        <v>0.28839338028503503</v>
      </c>
      <c r="D318" s="2357">
        <f t="shared" si="17"/>
        <v>1</v>
      </c>
      <c r="E318" s="3483">
        <v>0.83808287236169088</v>
      </c>
      <c r="F318" s="3550">
        <v>0.16191712763830901</v>
      </c>
      <c r="G318" s="2358">
        <f t="shared" si="20"/>
        <v>0.99999999999999989</v>
      </c>
      <c r="H318" s="2356">
        <f>+I318+J318+K318</f>
        <v>0.99999999999999989</v>
      </c>
      <c r="I318" s="3551">
        <v>0.91316508955950304</v>
      </c>
      <c r="J318" s="3551">
        <v>5.7615284581360102E-2</v>
      </c>
      <c r="K318" s="2799">
        <v>2.9219625859136698E-2</v>
      </c>
      <c r="L318" s="2356">
        <f t="shared" si="19"/>
        <v>0.99999999999999967</v>
      </c>
      <c r="M318" s="3551">
        <v>0.92440440696678905</v>
      </c>
      <c r="N318" s="3551">
        <v>5.2230297811613202E-2</v>
      </c>
      <c r="O318" s="2801">
        <v>2.3365295221597401E-2</v>
      </c>
    </row>
    <row r="319" spans="1:17" s="238" customFormat="1">
      <c r="A319" s="240">
        <f t="shared" si="18"/>
        <v>2025.1</v>
      </c>
      <c r="B319" s="3487">
        <v>0.66926289775745107</v>
      </c>
      <c r="C319" s="3549">
        <v>0.33073710224254904</v>
      </c>
      <c r="D319" s="2357">
        <f t="shared" si="17"/>
        <v>1</v>
      </c>
      <c r="E319" s="3483">
        <v>0.85266951396209389</v>
      </c>
      <c r="F319" s="3550">
        <v>0.14733048603790599</v>
      </c>
      <c r="G319" s="2358">
        <f t="shared" si="20"/>
        <v>0.99999999999999989</v>
      </c>
      <c r="H319" s="2356">
        <f>+I319+J319+K319</f>
        <v>1</v>
      </c>
      <c r="I319" s="3551">
        <v>0.90365195754223004</v>
      </c>
      <c r="J319" s="3551">
        <v>4.3988401899168202E-2</v>
      </c>
      <c r="K319" s="2799">
        <v>5.2359640558601803E-2</v>
      </c>
      <c r="L319" s="2356">
        <f t="shared" si="19"/>
        <v>0.99999999999999967</v>
      </c>
      <c r="M319" s="3551">
        <v>0.92440440696678905</v>
      </c>
      <c r="N319" s="3551">
        <v>5.2230297811613202E-2</v>
      </c>
      <c r="O319" s="2801">
        <v>2.3365295221597401E-2</v>
      </c>
    </row>
    <row r="320" spans="1:17" s="238" customFormat="1">
      <c r="A320" s="240">
        <f t="shared" si="18"/>
        <v>2025.11</v>
      </c>
      <c r="B320" s="3487">
        <v>0.70334314583448598</v>
      </c>
      <c r="C320" s="3549">
        <v>0.29665685416551402</v>
      </c>
      <c r="D320" s="2357">
        <f t="shared" si="17"/>
        <v>1</v>
      </c>
      <c r="E320" s="3483">
        <v>0.897466485755546</v>
      </c>
      <c r="F320" s="3550">
        <v>0.10253351424445499</v>
      </c>
      <c r="G320" s="2358">
        <f t="shared" si="20"/>
        <v>1.0000000000000009</v>
      </c>
      <c r="H320" s="2356">
        <f t="shared" si="16"/>
        <v>1</v>
      </c>
      <c r="I320" s="3551">
        <v>0.87998613626084199</v>
      </c>
      <c r="J320" s="3551">
        <v>8.7315345756580995E-2</v>
      </c>
      <c r="K320" s="2799">
        <v>3.2698517982577099E-2</v>
      </c>
      <c r="L320" s="2356">
        <f t="shared" si="19"/>
        <v>0.99999999999999967</v>
      </c>
      <c r="M320" s="3551">
        <v>0.92440440696678905</v>
      </c>
      <c r="N320" s="3551">
        <v>5.2230297811613202E-2</v>
      </c>
      <c r="O320" s="2801">
        <v>2.3365295221597401E-2</v>
      </c>
    </row>
    <row r="321" spans="1:16" s="238" customFormat="1">
      <c r="A321" s="240">
        <f t="shared" si="18"/>
        <v>2025.12</v>
      </c>
      <c r="B321" s="3487">
        <v>0.71926429081960508</v>
      </c>
      <c r="C321" s="3549">
        <v>0.28073570918039503</v>
      </c>
      <c r="D321" s="2357">
        <f t="shared" si="17"/>
        <v>1</v>
      </c>
      <c r="E321" s="3483">
        <v>0.88566217570452299</v>
      </c>
      <c r="F321" s="3550">
        <v>0.11433782429547699</v>
      </c>
      <c r="G321" s="2358">
        <f t="shared" si="20"/>
        <v>1</v>
      </c>
      <c r="H321" s="2356">
        <f t="shared" si="16"/>
        <v>1.0000000000000002</v>
      </c>
      <c r="I321" s="3551">
        <v>0.89918286847741502</v>
      </c>
      <c r="J321" s="3551">
        <v>8.0134021667481195E-2</v>
      </c>
      <c r="K321" s="2799">
        <v>2.06831098551041E-2</v>
      </c>
      <c r="L321" s="2356">
        <f t="shared" si="19"/>
        <v>0.99999999999999967</v>
      </c>
      <c r="M321" s="3551">
        <v>0.92440440696678905</v>
      </c>
      <c r="N321" s="3551">
        <v>5.2230297811613202E-2</v>
      </c>
      <c r="O321" s="2801">
        <v>2.3365295221597401E-2</v>
      </c>
    </row>
    <row r="322" spans="1:16" s="238" customFormat="1">
      <c r="A322" s="240">
        <f t="shared" si="18"/>
        <v>2026.01</v>
      </c>
      <c r="B322" s="3487">
        <v>0.71518216174426397</v>
      </c>
      <c r="C322" s="3549">
        <v>0.28481783825573598</v>
      </c>
      <c r="D322" s="2357">
        <f t="shared" si="17"/>
        <v>1</v>
      </c>
      <c r="E322" s="3551">
        <v>0.89811528256803097</v>
      </c>
      <c r="F322" s="3488">
        <v>0.101884717431969</v>
      </c>
      <c r="G322" s="3717">
        <f t="shared" si="20"/>
        <v>1</v>
      </c>
      <c r="H322" s="3489">
        <f t="shared" si="16"/>
        <v>0.99999999999999989</v>
      </c>
      <c r="I322" s="3551">
        <v>0.92864633762633497</v>
      </c>
      <c r="J322" s="3551">
        <v>5.5694318834720702E-2</v>
      </c>
      <c r="K322" s="2799">
        <v>1.5659343538944201E-2</v>
      </c>
      <c r="L322" s="2356">
        <f t="shared" si="19"/>
        <v>0.99999999999999967</v>
      </c>
      <c r="M322" s="3551">
        <v>0.92440440696678905</v>
      </c>
      <c r="N322" s="3551">
        <v>5.2230297811613202E-2</v>
      </c>
      <c r="O322" s="2801">
        <v>2.3365295221597401E-2</v>
      </c>
    </row>
    <row r="323" spans="1:16" s="238" customFormat="1">
      <c r="A323" s="240">
        <f t="shared" si="18"/>
        <v>2026.02</v>
      </c>
      <c r="B323" s="3484" t="e">
        <v>#N/A</v>
      </c>
      <c r="C323" s="3552" t="e">
        <v>#N/A</v>
      </c>
      <c r="D323" s="2357" t="e">
        <f t="shared" si="17"/>
        <v>#N/A</v>
      </c>
      <c r="E323" s="3551" t="e">
        <v>#N/A</v>
      </c>
      <c r="F323" s="3551" t="e">
        <v>#N/A</v>
      </c>
      <c r="G323" s="3490" t="e">
        <f t="shared" ref="G323:G354" si="21">+H323+I323+J323</f>
        <v>#N/A</v>
      </c>
      <c r="H323" s="2356" t="e">
        <f t="shared" si="16"/>
        <v>#N/A</v>
      </c>
      <c r="I323" s="3551" t="e">
        <v>#N/A</v>
      </c>
      <c r="J323" s="3551" t="e">
        <v>#N/A</v>
      </c>
      <c r="K323" s="2799" t="e">
        <v>#N/A</v>
      </c>
      <c r="L323" s="2356" t="e">
        <f t="shared" si="19"/>
        <v>#N/A</v>
      </c>
      <c r="M323" s="3551" t="e">
        <v>#N/A</v>
      </c>
      <c r="N323" s="3551" t="e">
        <v>#N/A</v>
      </c>
      <c r="O323" s="2801" t="e">
        <v>#N/A</v>
      </c>
      <c r="P323" s="1977"/>
    </row>
    <row r="324" spans="1:16" s="238" customFormat="1">
      <c r="A324" s="240">
        <f t="shared" si="18"/>
        <v>2026.03</v>
      </c>
      <c r="B324" s="3484" t="e">
        <v>#N/A</v>
      </c>
      <c r="C324" s="3552" t="e">
        <v>#N/A</v>
      </c>
      <c r="D324" s="2357" t="e">
        <f t="shared" si="17"/>
        <v>#N/A</v>
      </c>
      <c r="E324" s="3551" t="e">
        <v>#N/A</v>
      </c>
      <c r="F324" s="3551" t="e">
        <v>#N/A</v>
      </c>
      <c r="G324" s="3490" t="e">
        <f t="shared" si="21"/>
        <v>#N/A</v>
      </c>
      <c r="H324" s="2356" t="e">
        <f t="shared" si="16"/>
        <v>#N/A</v>
      </c>
      <c r="I324" s="3551" t="e">
        <v>#N/A</v>
      </c>
      <c r="J324" s="3551" t="e">
        <v>#N/A</v>
      </c>
      <c r="K324" s="2799" t="e">
        <v>#N/A</v>
      </c>
      <c r="L324" s="2356" t="e">
        <f t="shared" si="19"/>
        <v>#N/A</v>
      </c>
      <c r="M324" s="3551" t="e">
        <v>#N/A</v>
      </c>
      <c r="N324" s="3551" t="e">
        <v>#N/A</v>
      </c>
      <c r="O324" s="2801" t="e">
        <v>#N/A</v>
      </c>
      <c r="P324" s="1977"/>
    </row>
    <row r="325" spans="1:16" s="238" customFormat="1">
      <c r="A325" s="240">
        <f t="shared" si="18"/>
        <v>2026.04</v>
      </c>
      <c r="B325" s="3484" t="e">
        <v>#N/A</v>
      </c>
      <c r="C325" s="3552" t="e">
        <v>#N/A</v>
      </c>
      <c r="D325" s="2357" t="e">
        <f t="shared" si="17"/>
        <v>#N/A</v>
      </c>
      <c r="E325" s="3551" t="e">
        <v>#N/A</v>
      </c>
      <c r="F325" s="3551" t="e">
        <v>#N/A</v>
      </c>
      <c r="G325" s="3490" t="e">
        <f t="shared" si="21"/>
        <v>#N/A</v>
      </c>
      <c r="H325" s="2356" t="e">
        <f t="shared" si="16"/>
        <v>#N/A</v>
      </c>
      <c r="I325" s="3551" t="e">
        <v>#N/A</v>
      </c>
      <c r="J325" s="3551" t="e">
        <v>#N/A</v>
      </c>
      <c r="K325" s="2799" t="e">
        <v>#N/A</v>
      </c>
      <c r="L325" s="2356" t="e">
        <f t="shared" si="19"/>
        <v>#N/A</v>
      </c>
      <c r="M325" s="3551" t="e">
        <v>#N/A</v>
      </c>
      <c r="N325" s="3551" t="e">
        <v>#N/A</v>
      </c>
      <c r="O325" s="2801" t="e">
        <v>#N/A</v>
      </c>
    </row>
    <row r="326" spans="1:16" s="238" customFormat="1">
      <c r="A326" s="240">
        <f t="shared" si="18"/>
        <v>2026.05</v>
      </c>
      <c r="B326" s="3484" t="e">
        <v>#N/A</v>
      </c>
      <c r="C326" s="3552" t="e">
        <v>#N/A</v>
      </c>
      <c r="D326" s="2357" t="e">
        <f t="shared" si="17"/>
        <v>#N/A</v>
      </c>
      <c r="E326" s="3551" t="e">
        <v>#N/A</v>
      </c>
      <c r="F326" s="3551" t="e">
        <v>#N/A</v>
      </c>
      <c r="G326" s="3490" t="e">
        <f t="shared" si="21"/>
        <v>#N/A</v>
      </c>
      <c r="H326" s="2356" t="e">
        <f t="shared" si="16"/>
        <v>#N/A</v>
      </c>
      <c r="I326" s="3551" t="e">
        <v>#N/A</v>
      </c>
      <c r="J326" s="3551" t="e">
        <v>#N/A</v>
      </c>
      <c r="K326" s="2799" t="e">
        <v>#N/A</v>
      </c>
      <c r="L326" s="2356" t="e">
        <f t="shared" si="19"/>
        <v>#N/A</v>
      </c>
      <c r="M326" s="3551" t="e">
        <v>#N/A</v>
      </c>
      <c r="N326" s="3551" t="e">
        <v>#N/A</v>
      </c>
      <c r="O326" s="2801" t="e">
        <v>#N/A</v>
      </c>
    </row>
    <row r="327" spans="1:16" s="238" customFormat="1">
      <c r="A327" s="240">
        <f t="shared" si="18"/>
        <v>2026.06</v>
      </c>
      <c r="B327" s="3484" t="e">
        <v>#N/A</v>
      </c>
      <c r="C327" s="3552" t="e">
        <v>#N/A</v>
      </c>
      <c r="D327" s="2357" t="e">
        <f t="shared" si="17"/>
        <v>#N/A</v>
      </c>
      <c r="E327" s="3551" t="e">
        <v>#N/A</v>
      </c>
      <c r="F327" s="3551" t="e">
        <v>#N/A</v>
      </c>
      <c r="G327" s="3490" t="e">
        <f t="shared" si="21"/>
        <v>#N/A</v>
      </c>
      <c r="H327" s="2356" t="e">
        <f t="shared" si="16"/>
        <v>#N/A</v>
      </c>
      <c r="I327" s="3551" t="e">
        <v>#N/A</v>
      </c>
      <c r="J327" s="3551" t="e">
        <v>#N/A</v>
      </c>
      <c r="K327" s="2799" t="e">
        <v>#N/A</v>
      </c>
      <c r="L327" s="2356" t="e">
        <f t="shared" si="19"/>
        <v>#N/A</v>
      </c>
      <c r="M327" s="3551" t="e">
        <v>#N/A</v>
      </c>
      <c r="N327" s="3551" t="e">
        <v>#N/A</v>
      </c>
      <c r="O327" s="2801" t="e">
        <v>#N/A</v>
      </c>
    </row>
    <row r="328" spans="1:16" s="238" customFormat="1">
      <c r="A328" s="240">
        <f t="shared" si="18"/>
        <v>2026.07</v>
      </c>
      <c r="B328" s="3484" t="e">
        <v>#N/A</v>
      </c>
      <c r="C328" s="3552" t="e">
        <v>#N/A</v>
      </c>
      <c r="D328" s="2357" t="e">
        <f t="shared" si="17"/>
        <v>#N/A</v>
      </c>
      <c r="E328" s="3551" t="e">
        <v>#N/A</v>
      </c>
      <c r="F328" s="3551" t="e">
        <v>#N/A</v>
      </c>
      <c r="G328" s="3490" t="e">
        <f t="shared" si="21"/>
        <v>#N/A</v>
      </c>
      <c r="H328" s="2356" t="e">
        <f t="shared" si="16"/>
        <v>#N/A</v>
      </c>
      <c r="I328" s="3551" t="e">
        <v>#N/A</v>
      </c>
      <c r="J328" s="3551" t="e">
        <v>#N/A</v>
      </c>
      <c r="K328" s="2799" t="e">
        <v>#N/A</v>
      </c>
      <c r="L328" s="2356" t="e">
        <f t="shared" si="19"/>
        <v>#N/A</v>
      </c>
      <c r="M328" s="3551" t="e">
        <v>#N/A</v>
      </c>
      <c r="N328" s="3551" t="e">
        <v>#N/A</v>
      </c>
      <c r="O328" s="2801" t="e">
        <v>#N/A</v>
      </c>
    </row>
    <row r="329" spans="1:16" s="238" customFormat="1">
      <c r="A329" s="240">
        <f t="shared" si="18"/>
        <v>2026.08</v>
      </c>
      <c r="B329" s="3484" t="e">
        <v>#N/A</v>
      </c>
      <c r="C329" s="3552" t="e">
        <v>#N/A</v>
      </c>
      <c r="D329" s="2357" t="e">
        <f t="shared" si="17"/>
        <v>#N/A</v>
      </c>
      <c r="E329" s="3551" t="e">
        <v>#N/A</v>
      </c>
      <c r="F329" s="3551" t="e">
        <v>#N/A</v>
      </c>
      <c r="G329" s="3490" t="e">
        <f t="shared" si="21"/>
        <v>#N/A</v>
      </c>
      <c r="H329" s="2356" t="e">
        <f t="shared" si="16"/>
        <v>#N/A</v>
      </c>
      <c r="I329" s="3551" t="e">
        <v>#N/A</v>
      </c>
      <c r="J329" s="3551" t="e">
        <v>#N/A</v>
      </c>
      <c r="K329" s="2799" t="e">
        <v>#N/A</v>
      </c>
      <c r="L329" s="2356" t="e">
        <f t="shared" si="19"/>
        <v>#N/A</v>
      </c>
      <c r="M329" s="3551" t="e">
        <v>#N/A</v>
      </c>
      <c r="N329" s="3551" t="e">
        <v>#N/A</v>
      </c>
      <c r="O329" s="2801" t="e">
        <v>#N/A</v>
      </c>
    </row>
    <row r="330" spans="1:16" s="238" customFormat="1">
      <c r="A330" s="240">
        <f t="shared" si="18"/>
        <v>2026.09</v>
      </c>
      <c r="B330" s="3484" t="e">
        <v>#N/A</v>
      </c>
      <c r="C330" s="3552" t="e">
        <v>#N/A</v>
      </c>
      <c r="D330" s="2357" t="e">
        <f t="shared" si="17"/>
        <v>#N/A</v>
      </c>
      <c r="E330" s="3551" t="e">
        <v>#N/A</v>
      </c>
      <c r="F330" s="3551" t="e">
        <v>#N/A</v>
      </c>
      <c r="G330" s="3490" t="e">
        <f t="shared" si="21"/>
        <v>#N/A</v>
      </c>
      <c r="H330" s="2356" t="e">
        <f t="shared" ref="H330:H381" si="22">+I330+J330+K330</f>
        <v>#N/A</v>
      </c>
      <c r="I330" s="3551" t="e">
        <v>#N/A</v>
      </c>
      <c r="J330" s="3551" t="e">
        <v>#N/A</v>
      </c>
      <c r="K330" s="2799" t="e">
        <v>#N/A</v>
      </c>
      <c r="L330" s="2356" t="e">
        <f t="shared" si="19"/>
        <v>#N/A</v>
      </c>
      <c r="M330" s="3551" t="e">
        <v>#N/A</v>
      </c>
      <c r="N330" s="3551" t="e">
        <v>#N/A</v>
      </c>
      <c r="O330" s="2801" t="e">
        <v>#N/A</v>
      </c>
    </row>
    <row r="331" spans="1:16" s="238" customFormat="1">
      <c r="A331" s="240">
        <f t="shared" si="18"/>
        <v>2026.1</v>
      </c>
      <c r="B331" s="3484" t="e">
        <v>#N/A</v>
      </c>
      <c r="C331" s="3552" t="e">
        <v>#N/A</v>
      </c>
      <c r="D331" s="2357" t="e">
        <f t="shared" si="17"/>
        <v>#N/A</v>
      </c>
      <c r="E331" s="3551" t="e">
        <v>#N/A</v>
      </c>
      <c r="F331" s="3551" t="e">
        <v>#N/A</v>
      </c>
      <c r="G331" s="3490" t="e">
        <f t="shared" si="21"/>
        <v>#N/A</v>
      </c>
      <c r="H331" s="2356" t="e">
        <f t="shared" si="22"/>
        <v>#N/A</v>
      </c>
      <c r="I331" s="3551" t="e">
        <v>#N/A</v>
      </c>
      <c r="J331" s="3551" t="e">
        <v>#N/A</v>
      </c>
      <c r="K331" s="2799" t="e">
        <v>#N/A</v>
      </c>
      <c r="L331" s="2356" t="e">
        <f t="shared" si="19"/>
        <v>#N/A</v>
      </c>
      <c r="M331" s="3551" t="e">
        <v>#N/A</v>
      </c>
      <c r="N331" s="3551" t="e">
        <v>#N/A</v>
      </c>
      <c r="O331" s="2801" t="e">
        <v>#N/A</v>
      </c>
    </row>
    <row r="332" spans="1:16" s="238" customFormat="1">
      <c r="A332" s="240">
        <f t="shared" si="18"/>
        <v>2026.11</v>
      </c>
      <c r="B332" s="3484" t="e">
        <v>#N/A</v>
      </c>
      <c r="C332" s="3552" t="e">
        <v>#N/A</v>
      </c>
      <c r="D332" s="2357" t="e">
        <f t="shared" si="17"/>
        <v>#N/A</v>
      </c>
      <c r="E332" s="3551" t="e">
        <v>#N/A</v>
      </c>
      <c r="F332" s="3551" t="e">
        <v>#N/A</v>
      </c>
      <c r="G332" s="3490" t="e">
        <f t="shared" si="21"/>
        <v>#N/A</v>
      </c>
      <c r="H332" s="2356" t="e">
        <f t="shared" si="22"/>
        <v>#N/A</v>
      </c>
      <c r="I332" s="3551" t="e">
        <v>#N/A</v>
      </c>
      <c r="J332" s="3551" t="e">
        <v>#N/A</v>
      </c>
      <c r="K332" s="2799" t="e">
        <v>#N/A</v>
      </c>
      <c r="L332" s="2356" t="e">
        <f t="shared" si="19"/>
        <v>#N/A</v>
      </c>
      <c r="M332" s="3551" t="e">
        <v>#N/A</v>
      </c>
      <c r="N332" s="3551" t="e">
        <v>#N/A</v>
      </c>
      <c r="O332" s="2801" t="e">
        <v>#N/A</v>
      </c>
    </row>
    <row r="333" spans="1:16" s="238" customFormat="1">
      <c r="A333" s="240">
        <f t="shared" si="18"/>
        <v>2026.12</v>
      </c>
      <c r="B333" s="3484" t="e">
        <v>#N/A</v>
      </c>
      <c r="C333" s="3552" t="e">
        <v>#N/A</v>
      </c>
      <c r="D333" s="2357" t="e">
        <f t="shared" si="17"/>
        <v>#N/A</v>
      </c>
      <c r="E333" s="3551" t="e">
        <v>#N/A</v>
      </c>
      <c r="F333" s="3551" t="e">
        <v>#N/A</v>
      </c>
      <c r="G333" s="3490" t="e">
        <f t="shared" si="21"/>
        <v>#N/A</v>
      </c>
      <c r="H333" s="2356" t="e">
        <f t="shared" si="22"/>
        <v>#N/A</v>
      </c>
      <c r="I333" s="3551" t="e">
        <v>#N/A</v>
      </c>
      <c r="J333" s="3551" t="e">
        <v>#N/A</v>
      </c>
      <c r="K333" s="2799" t="e">
        <v>#N/A</v>
      </c>
      <c r="L333" s="2356" t="e">
        <f t="shared" si="19"/>
        <v>#N/A</v>
      </c>
      <c r="M333" s="3551" t="e">
        <v>#N/A</v>
      </c>
      <c r="N333" s="3551" t="e">
        <v>#N/A</v>
      </c>
      <c r="O333" s="2801" t="e">
        <v>#N/A</v>
      </c>
    </row>
    <row r="334" spans="1:16" s="238" customFormat="1">
      <c r="A334" s="240">
        <f t="shared" si="18"/>
        <v>2027.01</v>
      </c>
      <c r="B334" s="3484" t="e">
        <v>#N/A</v>
      </c>
      <c r="C334" s="3552" t="e">
        <v>#N/A</v>
      </c>
      <c r="D334" s="2357" t="e">
        <f t="shared" si="17"/>
        <v>#N/A</v>
      </c>
      <c r="E334" s="3551" t="e">
        <v>#N/A</v>
      </c>
      <c r="F334" s="3551" t="e">
        <v>#N/A</v>
      </c>
      <c r="G334" s="3490" t="e">
        <f t="shared" si="21"/>
        <v>#N/A</v>
      </c>
      <c r="H334" s="2356" t="e">
        <f t="shared" si="22"/>
        <v>#N/A</v>
      </c>
      <c r="I334" s="3551" t="e">
        <v>#N/A</v>
      </c>
      <c r="J334" s="3551" t="e">
        <v>#N/A</v>
      </c>
      <c r="K334" s="2799" t="e">
        <v>#N/A</v>
      </c>
      <c r="L334" s="2356" t="e">
        <f t="shared" si="19"/>
        <v>#N/A</v>
      </c>
      <c r="M334" s="3551" t="e">
        <v>#N/A</v>
      </c>
      <c r="N334" s="3551" t="e">
        <v>#N/A</v>
      </c>
      <c r="O334" s="2801" t="e">
        <v>#N/A</v>
      </c>
    </row>
    <row r="335" spans="1:16" s="238" customFormat="1">
      <c r="A335" s="240">
        <f t="shared" si="18"/>
        <v>2027.02</v>
      </c>
      <c r="B335" s="3484" t="e">
        <v>#N/A</v>
      </c>
      <c r="C335" s="3552" t="e">
        <v>#N/A</v>
      </c>
      <c r="D335" s="2357" t="e">
        <f t="shared" si="17"/>
        <v>#N/A</v>
      </c>
      <c r="E335" s="3551" t="e">
        <v>#N/A</v>
      </c>
      <c r="F335" s="3551" t="e">
        <v>#N/A</v>
      </c>
      <c r="G335" s="3490" t="e">
        <f t="shared" si="21"/>
        <v>#N/A</v>
      </c>
      <c r="H335" s="2356" t="e">
        <f t="shared" si="22"/>
        <v>#N/A</v>
      </c>
      <c r="I335" s="3551" t="e">
        <v>#N/A</v>
      </c>
      <c r="J335" s="3551" t="e">
        <v>#N/A</v>
      </c>
      <c r="K335" s="2799" t="e">
        <v>#N/A</v>
      </c>
      <c r="L335" s="2356" t="e">
        <f t="shared" si="19"/>
        <v>#N/A</v>
      </c>
      <c r="M335" s="3551" t="e">
        <v>#N/A</v>
      </c>
      <c r="N335" s="3551" t="e">
        <v>#N/A</v>
      </c>
      <c r="O335" s="2801" t="e">
        <v>#N/A</v>
      </c>
    </row>
    <row r="336" spans="1:16" s="238" customFormat="1">
      <c r="A336" s="240">
        <f t="shared" si="18"/>
        <v>2027.03</v>
      </c>
      <c r="B336" s="3484" t="e">
        <v>#N/A</v>
      </c>
      <c r="C336" s="3552" t="e">
        <v>#N/A</v>
      </c>
      <c r="D336" s="2357" t="e">
        <f t="shared" si="17"/>
        <v>#N/A</v>
      </c>
      <c r="E336" s="3551" t="e">
        <v>#N/A</v>
      </c>
      <c r="F336" s="3551" t="e">
        <v>#N/A</v>
      </c>
      <c r="G336" s="3490" t="e">
        <f t="shared" si="21"/>
        <v>#N/A</v>
      </c>
      <c r="H336" s="2356" t="e">
        <f t="shared" si="22"/>
        <v>#N/A</v>
      </c>
      <c r="I336" s="3551" t="e">
        <v>#N/A</v>
      </c>
      <c r="J336" s="3551" t="e">
        <v>#N/A</v>
      </c>
      <c r="K336" s="2799" t="e">
        <v>#N/A</v>
      </c>
      <c r="L336" s="2356" t="e">
        <f t="shared" si="19"/>
        <v>#N/A</v>
      </c>
      <c r="M336" s="3551" t="e">
        <v>#N/A</v>
      </c>
      <c r="N336" s="3551" t="e">
        <v>#N/A</v>
      </c>
      <c r="O336" s="2801" t="e">
        <v>#N/A</v>
      </c>
    </row>
    <row r="337" spans="1:15" s="238" customFormat="1">
      <c r="A337" s="240">
        <f t="shared" si="18"/>
        <v>2027.04</v>
      </c>
      <c r="B337" s="3484" t="e">
        <v>#N/A</v>
      </c>
      <c r="C337" s="3552" t="e">
        <v>#N/A</v>
      </c>
      <c r="D337" s="2357" t="e">
        <f t="shared" si="17"/>
        <v>#N/A</v>
      </c>
      <c r="E337" s="3551" t="e">
        <v>#N/A</v>
      </c>
      <c r="F337" s="3551" t="e">
        <v>#N/A</v>
      </c>
      <c r="G337" s="3490" t="e">
        <f t="shared" si="21"/>
        <v>#N/A</v>
      </c>
      <c r="H337" s="2356" t="e">
        <f t="shared" si="22"/>
        <v>#N/A</v>
      </c>
      <c r="I337" s="3551" t="e">
        <v>#N/A</v>
      </c>
      <c r="J337" s="3551" t="e">
        <v>#N/A</v>
      </c>
      <c r="K337" s="2799" t="e">
        <v>#N/A</v>
      </c>
      <c r="L337" s="2356" t="e">
        <f t="shared" si="19"/>
        <v>#N/A</v>
      </c>
      <c r="M337" s="3551" t="e">
        <v>#N/A</v>
      </c>
      <c r="N337" s="3551" t="e">
        <v>#N/A</v>
      </c>
      <c r="O337" s="2801" t="e">
        <v>#N/A</v>
      </c>
    </row>
    <row r="338" spans="1:15" s="238" customFormat="1">
      <c r="A338" s="240">
        <f t="shared" si="18"/>
        <v>2027.05</v>
      </c>
      <c r="B338" s="3484" t="e">
        <v>#N/A</v>
      </c>
      <c r="C338" s="3552" t="e">
        <v>#N/A</v>
      </c>
      <c r="D338" s="2357" t="e">
        <f t="shared" si="17"/>
        <v>#N/A</v>
      </c>
      <c r="E338" s="3551" t="e">
        <v>#N/A</v>
      </c>
      <c r="F338" s="3551" t="e">
        <v>#N/A</v>
      </c>
      <c r="G338" s="3490" t="e">
        <f t="shared" si="21"/>
        <v>#N/A</v>
      </c>
      <c r="H338" s="2356" t="e">
        <f t="shared" si="22"/>
        <v>#N/A</v>
      </c>
      <c r="I338" s="3551" t="e">
        <v>#N/A</v>
      </c>
      <c r="J338" s="3551" t="e">
        <v>#N/A</v>
      </c>
      <c r="K338" s="2799" t="e">
        <v>#N/A</v>
      </c>
      <c r="L338" s="2356" t="e">
        <f t="shared" si="19"/>
        <v>#N/A</v>
      </c>
      <c r="M338" s="3551" t="e">
        <v>#N/A</v>
      </c>
      <c r="N338" s="3551" t="e">
        <v>#N/A</v>
      </c>
      <c r="O338" s="2801" t="e">
        <v>#N/A</v>
      </c>
    </row>
    <row r="339" spans="1:15" s="238" customFormat="1">
      <c r="A339" s="240">
        <f t="shared" si="18"/>
        <v>2027.06</v>
      </c>
      <c r="B339" s="3484" t="e">
        <v>#N/A</v>
      </c>
      <c r="C339" s="3552" t="e">
        <v>#N/A</v>
      </c>
      <c r="D339" s="2357" t="e">
        <f t="shared" si="17"/>
        <v>#N/A</v>
      </c>
      <c r="E339" s="3551" t="e">
        <v>#N/A</v>
      </c>
      <c r="F339" s="3551" t="e">
        <v>#N/A</v>
      </c>
      <c r="G339" s="3490" t="e">
        <f t="shared" si="21"/>
        <v>#N/A</v>
      </c>
      <c r="H339" s="2356" t="e">
        <f t="shared" si="22"/>
        <v>#N/A</v>
      </c>
      <c r="I339" s="3551" t="e">
        <v>#N/A</v>
      </c>
      <c r="J339" s="3551" t="e">
        <v>#N/A</v>
      </c>
      <c r="K339" s="2799" t="e">
        <v>#N/A</v>
      </c>
      <c r="L339" s="2356" t="e">
        <f t="shared" si="19"/>
        <v>#N/A</v>
      </c>
      <c r="M339" s="3551" t="e">
        <v>#N/A</v>
      </c>
      <c r="N339" s="3551" t="e">
        <v>#N/A</v>
      </c>
      <c r="O339" s="2801" t="e">
        <v>#N/A</v>
      </c>
    </row>
    <row r="340" spans="1:15" s="238" customFormat="1">
      <c r="A340" s="240">
        <f t="shared" si="18"/>
        <v>2027.07</v>
      </c>
      <c r="B340" s="3484" t="e">
        <v>#N/A</v>
      </c>
      <c r="C340" s="3552" t="e">
        <v>#N/A</v>
      </c>
      <c r="D340" s="2357" t="e">
        <f t="shared" si="17"/>
        <v>#N/A</v>
      </c>
      <c r="E340" s="3551" t="e">
        <v>#N/A</v>
      </c>
      <c r="F340" s="3551" t="e">
        <v>#N/A</v>
      </c>
      <c r="G340" s="3490" t="e">
        <f t="shared" si="21"/>
        <v>#N/A</v>
      </c>
      <c r="H340" s="2356" t="e">
        <f t="shared" si="22"/>
        <v>#N/A</v>
      </c>
      <c r="I340" s="3551" t="e">
        <v>#N/A</v>
      </c>
      <c r="J340" s="3551" t="e">
        <v>#N/A</v>
      </c>
      <c r="K340" s="2799" t="e">
        <v>#N/A</v>
      </c>
      <c r="L340" s="2356" t="e">
        <f t="shared" si="19"/>
        <v>#N/A</v>
      </c>
      <c r="M340" s="3551" t="e">
        <v>#N/A</v>
      </c>
      <c r="N340" s="3551" t="e">
        <v>#N/A</v>
      </c>
      <c r="O340" s="2801" t="e">
        <v>#N/A</v>
      </c>
    </row>
    <row r="341" spans="1:15" s="238" customFormat="1">
      <c r="A341" s="240">
        <f t="shared" si="18"/>
        <v>2027.08</v>
      </c>
      <c r="B341" s="3484" t="e">
        <v>#N/A</v>
      </c>
      <c r="C341" s="3552" t="e">
        <v>#N/A</v>
      </c>
      <c r="D341" s="2357" t="e">
        <f t="shared" si="17"/>
        <v>#N/A</v>
      </c>
      <c r="E341" s="3551" t="e">
        <v>#N/A</v>
      </c>
      <c r="F341" s="3551" t="e">
        <v>#N/A</v>
      </c>
      <c r="G341" s="3490" t="e">
        <f t="shared" si="21"/>
        <v>#N/A</v>
      </c>
      <c r="H341" s="2356" t="e">
        <f t="shared" si="22"/>
        <v>#N/A</v>
      </c>
      <c r="I341" s="3551" t="e">
        <v>#N/A</v>
      </c>
      <c r="J341" s="3551" t="e">
        <v>#N/A</v>
      </c>
      <c r="K341" s="2799" t="e">
        <v>#N/A</v>
      </c>
      <c r="L341" s="2356" t="e">
        <f t="shared" si="19"/>
        <v>#N/A</v>
      </c>
      <c r="M341" s="3551" t="e">
        <v>#N/A</v>
      </c>
      <c r="N341" s="3551" t="e">
        <v>#N/A</v>
      </c>
      <c r="O341" s="2801" t="e">
        <v>#N/A</v>
      </c>
    </row>
    <row r="342" spans="1:15" s="238" customFormat="1">
      <c r="A342" s="240">
        <f t="shared" si="18"/>
        <v>2027.09</v>
      </c>
      <c r="B342" s="3484" t="e">
        <v>#N/A</v>
      </c>
      <c r="C342" s="3552" t="e">
        <v>#N/A</v>
      </c>
      <c r="D342" s="2357" t="e">
        <f t="shared" si="17"/>
        <v>#N/A</v>
      </c>
      <c r="E342" s="3551" t="e">
        <v>#N/A</v>
      </c>
      <c r="F342" s="3551" t="e">
        <v>#N/A</v>
      </c>
      <c r="G342" s="3490" t="e">
        <f t="shared" si="21"/>
        <v>#N/A</v>
      </c>
      <c r="H342" s="2356" t="e">
        <f t="shared" si="22"/>
        <v>#N/A</v>
      </c>
      <c r="I342" s="3551" t="e">
        <v>#N/A</v>
      </c>
      <c r="J342" s="3551" t="e">
        <v>#N/A</v>
      </c>
      <c r="K342" s="2799" t="e">
        <v>#N/A</v>
      </c>
      <c r="L342" s="2356" t="e">
        <f t="shared" si="19"/>
        <v>#N/A</v>
      </c>
      <c r="M342" s="3551" t="e">
        <v>#N/A</v>
      </c>
      <c r="N342" s="3551" t="e">
        <v>#N/A</v>
      </c>
      <c r="O342" s="2801" t="e">
        <v>#N/A</v>
      </c>
    </row>
    <row r="343" spans="1:15" s="238" customFormat="1">
      <c r="A343" s="240">
        <f t="shared" si="18"/>
        <v>2027.1</v>
      </c>
      <c r="B343" s="3484" t="e">
        <v>#N/A</v>
      </c>
      <c r="C343" s="3552" t="e">
        <v>#N/A</v>
      </c>
      <c r="D343" s="2357" t="e">
        <f t="shared" si="17"/>
        <v>#N/A</v>
      </c>
      <c r="E343" s="3551" t="e">
        <v>#N/A</v>
      </c>
      <c r="F343" s="3551" t="e">
        <v>#N/A</v>
      </c>
      <c r="G343" s="3490" t="e">
        <f t="shared" si="21"/>
        <v>#N/A</v>
      </c>
      <c r="H343" s="2356" t="e">
        <f t="shared" si="22"/>
        <v>#N/A</v>
      </c>
      <c r="I343" s="3551" t="e">
        <v>#N/A</v>
      </c>
      <c r="J343" s="3551" t="e">
        <v>#N/A</v>
      </c>
      <c r="K343" s="2799" t="e">
        <v>#N/A</v>
      </c>
      <c r="L343" s="2356" t="e">
        <f t="shared" si="19"/>
        <v>#N/A</v>
      </c>
      <c r="M343" s="3551" t="e">
        <v>#N/A</v>
      </c>
      <c r="N343" s="3551" t="e">
        <v>#N/A</v>
      </c>
      <c r="O343" s="2801" t="e">
        <v>#N/A</v>
      </c>
    </row>
    <row r="344" spans="1:15" s="238" customFormat="1">
      <c r="A344" s="240">
        <f t="shared" si="18"/>
        <v>2027.11</v>
      </c>
      <c r="B344" s="3484" t="e">
        <v>#N/A</v>
      </c>
      <c r="C344" s="3552" t="e">
        <v>#N/A</v>
      </c>
      <c r="D344" s="2357" t="e">
        <f t="shared" si="17"/>
        <v>#N/A</v>
      </c>
      <c r="E344" s="3551" t="e">
        <v>#N/A</v>
      </c>
      <c r="F344" s="3551" t="e">
        <v>#N/A</v>
      </c>
      <c r="G344" s="3490" t="e">
        <f t="shared" si="21"/>
        <v>#N/A</v>
      </c>
      <c r="H344" s="2356" t="e">
        <f t="shared" si="22"/>
        <v>#N/A</v>
      </c>
      <c r="I344" s="3551" t="e">
        <v>#N/A</v>
      </c>
      <c r="J344" s="3551" t="e">
        <v>#N/A</v>
      </c>
      <c r="K344" s="2799" t="e">
        <v>#N/A</v>
      </c>
      <c r="L344" s="2356" t="e">
        <f t="shared" si="19"/>
        <v>#N/A</v>
      </c>
      <c r="M344" s="3551" t="e">
        <v>#N/A</v>
      </c>
      <c r="N344" s="3551" t="e">
        <v>#N/A</v>
      </c>
      <c r="O344" s="2801" t="e">
        <v>#N/A</v>
      </c>
    </row>
    <row r="345" spans="1:15" s="238" customFormat="1">
      <c r="A345" s="240">
        <f t="shared" si="18"/>
        <v>2027.12</v>
      </c>
      <c r="B345" s="3484" t="e">
        <v>#N/A</v>
      </c>
      <c r="C345" s="3552" t="e">
        <v>#N/A</v>
      </c>
      <c r="D345" s="2357" t="e">
        <f t="shared" si="17"/>
        <v>#N/A</v>
      </c>
      <c r="E345" s="3551" t="e">
        <v>#N/A</v>
      </c>
      <c r="F345" s="3551" t="e">
        <v>#N/A</v>
      </c>
      <c r="G345" s="3490" t="e">
        <f t="shared" si="21"/>
        <v>#N/A</v>
      </c>
      <c r="H345" s="2356" t="e">
        <f t="shared" si="22"/>
        <v>#N/A</v>
      </c>
      <c r="I345" s="3551" t="e">
        <v>#N/A</v>
      </c>
      <c r="J345" s="3551" t="e">
        <v>#N/A</v>
      </c>
      <c r="K345" s="2799" t="e">
        <v>#N/A</v>
      </c>
      <c r="L345" s="2356" t="e">
        <f t="shared" si="19"/>
        <v>#N/A</v>
      </c>
      <c r="M345" s="3551" t="e">
        <v>#N/A</v>
      </c>
      <c r="N345" s="3551" t="e">
        <v>#N/A</v>
      </c>
      <c r="O345" s="2801" t="e">
        <v>#N/A</v>
      </c>
    </row>
    <row r="346" spans="1:15" s="238" customFormat="1">
      <c r="A346" s="240">
        <f t="shared" si="18"/>
        <v>2028.01</v>
      </c>
      <c r="B346" s="3484" t="e">
        <v>#N/A</v>
      </c>
      <c r="C346" s="3552" t="e">
        <v>#N/A</v>
      </c>
      <c r="D346" s="2357" t="e">
        <f t="shared" si="17"/>
        <v>#N/A</v>
      </c>
      <c r="E346" s="3551" t="e">
        <v>#N/A</v>
      </c>
      <c r="F346" s="3551" t="e">
        <v>#N/A</v>
      </c>
      <c r="G346" s="3490" t="e">
        <f t="shared" si="21"/>
        <v>#N/A</v>
      </c>
      <c r="H346" s="2356" t="e">
        <f t="shared" si="22"/>
        <v>#N/A</v>
      </c>
      <c r="I346" s="3551" t="e">
        <v>#N/A</v>
      </c>
      <c r="J346" s="3551" t="e">
        <v>#N/A</v>
      </c>
      <c r="K346" s="2799" t="e">
        <v>#N/A</v>
      </c>
      <c r="L346" s="2356" t="e">
        <f t="shared" si="19"/>
        <v>#N/A</v>
      </c>
      <c r="M346" s="3551" t="e">
        <v>#N/A</v>
      </c>
      <c r="N346" s="3551" t="e">
        <v>#N/A</v>
      </c>
      <c r="O346" s="2801" t="e">
        <v>#N/A</v>
      </c>
    </row>
    <row r="347" spans="1:15" s="238" customFormat="1">
      <c r="A347" s="240">
        <f t="shared" si="18"/>
        <v>2028.02</v>
      </c>
      <c r="B347" s="3484" t="e">
        <v>#N/A</v>
      </c>
      <c r="C347" s="3552" t="e">
        <v>#N/A</v>
      </c>
      <c r="D347" s="2357" t="e">
        <f t="shared" si="17"/>
        <v>#N/A</v>
      </c>
      <c r="E347" s="3551" t="e">
        <v>#N/A</v>
      </c>
      <c r="F347" s="3551" t="e">
        <v>#N/A</v>
      </c>
      <c r="G347" s="3490" t="e">
        <f t="shared" si="21"/>
        <v>#N/A</v>
      </c>
      <c r="H347" s="2356" t="e">
        <f t="shared" si="22"/>
        <v>#N/A</v>
      </c>
      <c r="I347" s="3551" t="e">
        <v>#N/A</v>
      </c>
      <c r="J347" s="3551" t="e">
        <v>#N/A</v>
      </c>
      <c r="K347" s="2799" t="e">
        <v>#N/A</v>
      </c>
      <c r="L347" s="2356" t="e">
        <f t="shared" si="19"/>
        <v>#N/A</v>
      </c>
      <c r="M347" s="3551" t="e">
        <v>#N/A</v>
      </c>
      <c r="N347" s="3551" t="e">
        <v>#N/A</v>
      </c>
      <c r="O347" s="2801" t="e">
        <v>#N/A</v>
      </c>
    </row>
    <row r="348" spans="1:15" s="238" customFormat="1">
      <c r="A348" s="240">
        <f t="shared" si="18"/>
        <v>2028.03</v>
      </c>
      <c r="B348" s="3484" t="e">
        <v>#N/A</v>
      </c>
      <c r="C348" s="3552" t="e">
        <v>#N/A</v>
      </c>
      <c r="D348" s="2357" t="e">
        <f t="shared" si="17"/>
        <v>#N/A</v>
      </c>
      <c r="E348" s="3551" t="e">
        <v>#N/A</v>
      </c>
      <c r="F348" s="3551" t="e">
        <v>#N/A</v>
      </c>
      <c r="G348" s="3490" t="e">
        <f t="shared" si="21"/>
        <v>#N/A</v>
      </c>
      <c r="H348" s="2356" t="e">
        <f t="shared" si="22"/>
        <v>#N/A</v>
      </c>
      <c r="I348" s="3551" t="e">
        <v>#N/A</v>
      </c>
      <c r="J348" s="3551" t="e">
        <v>#N/A</v>
      </c>
      <c r="K348" s="2799" t="e">
        <v>#N/A</v>
      </c>
      <c r="L348" s="2356" t="e">
        <f t="shared" si="19"/>
        <v>#N/A</v>
      </c>
      <c r="M348" s="3551" t="e">
        <v>#N/A</v>
      </c>
      <c r="N348" s="3551" t="e">
        <v>#N/A</v>
      </c>
      <c r="O348" s="2801" t="e">
        <v>#N/A</v>
      </c>
    </row>
    <row r="349" spans="1:15" s="238" customFormat="1">
      <c r="A349" s="240">
        <f t="shared" si="18"/>
        <v>2028.04</v>
      </c>
      <c r="B349" s="3484" t="e">
        <v>#N/A</v>
      </c>
      <c r="C349" s="3552" t="e">
        <v>#N/A</v>
      </c>
      <c r="D349" s="2357" t="e">
        <f t="shared" ref="D349:D381" si="23">B349+C349</f>
        <v>#N/A</v>
      </c>
      <c r="E349" s="3551" t="e">
        <v>#N/A</v>
      </c>
      <c r="F349" s="3551" t="e">
        <v>#N/A</v>
      </c>
      <c r="G349" s="3490" t="e">
        <f t="shared" si="21"/>
        <v>#N/A</v>
      </c>
      <c r="H349" s="2356" t="e">
        <f t="shared" si="22"/>
        <v>#N/A</v>
      </c>
      <c r="I349" s="3551" t="e">
        <v>#N/A</v>
      </c>
      <c r="J349" s="3551" t="e">
        <v>#N/A</v>
      </c>
      <c r="K349" s="2799" t="e">
        <v>#N/A</v>
      </c>
      <c r="L349" s="2356" t="e">
        <f t="shared" si="19"/>
        <v>#N/A</v>
      </c>
      <c r="M349" s="3551" t="e">
        <v>#N/A</v>
      </c>
      <c r="N349" s="3551" t="e">
        <v>#N/A</v>
      </c>
      <c r="O349" s="2801" t="e">
        <v>#N/A</v>
      </c>
    </row>
    <row r="350" spans="1:15" s="238" customFormat="1">
      <c r="A350" s="240">
        <f t="shared" si="18"/>
        <v>2028.05</v>
      </c>
      <c r="B350" s="3484" t="e">
        <v>#N/A</v>
      </c>
      <c r="C350" s="3552" t="e">
        <v>#N/A</v>
      </c>
      <c r="D350" s="2357" t="e">
        <f t="shared" si="23"/>
        <v>#N/A</v>
      </c>
      <c r="E350" s="3551" t="e">
        <v>#N/A</v>
      </c>
      <c r="F350" s="3551" t="e">
        <v>#N/A</v>
      </c>
      <c r="G350" s="3490" t="e">
        <f t="shared" si="21"/>
        <v>#N/A</v>
      </c>
      <c r="H350" s="2356" t="e">
        <f t="shared" si="22"/>
        <v>#N/A</v>
      </c>
      <c r="I350" s="3551" t="e">
        <v>#N/A</v>
      </c>
      <c r="J350" s="3551" t="e">
        <v>#N/A</v>
      </c>
      <c r="K350" s="2799" t="e">
        <v>#N/A</v>
      </c>
      <c r="L350" s="2356" t="e">
        <f t="shared" si="19"/>
        <v>#N/A</v>
      </c>
      <c r="M350" s="3551" t="e">
        <v>#N/A</v>
      </c>
      <c r="N350" s="3551" t="e">
        <v>#N/A</v>
      </c>
      <c r="O350" s="2801" t="e">
        <v>#N/A</v>
      </c>
    </row>
    <row r="351" spans="1:15" s="238" customFormat="1">
      <c r="A351" s="240">
        <f t="shared" si="18"/>
        <v>2028.06</v>
      </c>
      <c r="B351" s="3484" t="e">
        <v>#N/A</v>
      </c>
      <c r="C351" s="3552" t="e">
        <v>#N/A</v>
      </c>
      <c r="D351" s="2357" t="e">
        <f t="shared" si="23"/>
        <v>#N/A</v>
      </c>
      <c r="E351" s="3551" t="e">
        <v>#N/A</v>
      </c>
      <c r="F351" s="3551" t="e">
        <v>#N/A</v>
      </c>
      <c r="G351" s="3490" t="e">
        <f t="shared" si="21"/>
        <v>#N/A</v>
      </c>
      <c r="H351" s="2356" t="e">
        <f t="shared" si="22"/>
        <v>#N/A</v>
      </c>
      <c r="I351" s="3551" t="e">
        <v>#N/A</v>
      </c>
      <c r="J351" s="3551" t="e">
        <v>#N/A</v>
      </c>
      <c r="K351" s="2799" t="e">
        <v>#N/A</v>
      </c>
      <c r="L351" s="2356" t="e">
        <f t="shared" si="19"/>
        <v>#N/A</v>
      </c>
      <c r="M351" s="3551" t="e">
        <v>#N/A</v>
      </c>
      <c r="N351" s="3551" t="e">
        <v>#N/A</v>
      </c>
      <c r="O351" s="2801" t="e">
        <v>#N/A</v>
      </c>
    </row>
    <row r="352" spans="1:15" s="238" customFormat="1">
      <c r="A352" s="240">
        <f t="shared" si="18"/>
        <v>2028.07</v>
      </c>
      <c r="B352" s="3484" t="e">
        <v>#N/A</v>
      </c>
      <c r="C352" s="3552" t="e">
        <v>#N/A</v>
      </c>
      <c r="D352" s="2357" t="e">
        <f t="shared" si="23"/>
        <v>#N/A</v>
      </c>
      <c r="E352" s="3551" t="e">
        <v>#N/A</v>
      </c>
      <c r="F352" s="3551" t="e">
        <v>#N/A</v>
      </c>
      <c r="G352" s="3490" t="e">
        <f t="shared" si="21"/>
        <v>#N/A</v>
      </c>
      <c r="H352" s="2356" t="e">
        <f t="shared" si="22"/>
        <v>#N/A</v>
      </c>
      <c r="I352" s="3551" t="e">
        <v>#N/A</v>
      </c>
      <c r="J352" s="3551" t="e">
        <v>#N/A</v>
      </c>
      <c r="K352" s="2799" t="e">
        <v>#N/A</v>
      </c>
      <c r="L352" s="2356" t="e">
        <f t="shared" si="19"/>
        <v>#N/A</v>
      </c>
      <c r="M352" s="3551" t="e">
        <v>#N/A</v>
      </c>
      <c r="N352" s="3551" t="e">
        <v>#N/A</v>
      </c>
      <c r="O352" s="2801" t="e">
        <v>#N/A</v>
      </c>
    </row>
    <row r="353" spans="1:15" s="238" customFormat="1">
      <c r="A353" s="240">
        <f t="shared" si="18"/>
        <v>2028.08</v>
      </c>
      <c r="B353" s="3484" t="e">
        <v>#N/A</v>
      </c>
      <c r="C353" s="3552" t="e">
        <v>#N/A</v>
      </c>
      <c r="D353" s="2357" t="e">
        <f t="shared" si="23"/>
        <v>#N/A</v>
      </c>
      <c r="E353" s="3551" t="e">
        <v>#N/A</v>
      </c>
      <c r="F353" s="3551" t="e">
        <v>#N/A</v>
      </c>
      <c r="G353" s="3490" t="e">
        <f t="shared" si="21"/>
        <v>#N/A</v>
      </c>
      <c r="H353" s="2356" t="e">
        <f t="shared" si="22"/>
        <v>#N/A</v>
      </c>
      <c r="I353" s="3551" t="e">
        <v>#N/A</v>
      </c>
      <c r="J353" s="3551" t="e">
        <v>#N/A</v>
      </c>
      <c r="K353" s="2799" t="e">
        <v>#N/A</v>
      </c>
      <c r="L353" s="2356" t="e">
        <f t="shared" si="19"/>
        <v>#N/A</v>
      </c>
      <c r="M353" s="3551" t="e">
        <v>#N/A</v>
      </c>
      <c r="N353" s="3551" t="e">
        <v>#N/A</v>
      </c>
      <c r="O353" s="2801" t="e">
        <v>#N/A</v>
      </c>
    </row>
    <row r="354" spans="1:15" s="238" customFormat="1">
      <c r="A354" s="240">
        <f t="shared" si="18"/>
        <v>2028.09</v>
      </c>
      <c r="B354" s="3484" t="e">
        <v>#N/A</v>
      </c>
      <c r="C354" s="3552" t="e">
        <v>#N/A</v>
      </c>
      <c r="D354" s="2357" t="e">
        <f t="shared" si="23"/>
        <v>#N/A</v>
      </c>
      <c r="E354" s="3551" t="e">
        <v>#N/A</v>
      </c>
      <c r="F354" s="3551" t="e">
        <v>#N/A</v>
      </c>
      <c r="G354" s="3490" t="e">
        <f t="shared" si="21"/>
        <v>#N/A</v>
      </c>
      <c r="H354" s="2356" t="e">
        <f t="shared" si="22"/>
        <v>#N/A</v>
      </c>
      <c r="I354" s="3551" t="e">
        <v>#N/A</v>
      </c>
      <c r="J354" s="3551" t="e">
        <v>#N/A</v>
      </c>
      <c r="K354" s="2799" t="e">
        <v>#N/A</v>
      </c>
      <c r="L354" s="2356" t="e">
        <f t="shared" si="19"/>
        <v>#N/A</v>
      </c>
      <c r="M354" s="3551" t="e">
        <v>#N/A</v>
      </c>
      <c r="N354" s="3551" t="e">
        <v>#N/A</v>
      </c>
      <c r="O354" s="2801" t="e">
        <v>#N/A</v>
      </c>
    </row>
    <row r="355" spans="1:15" s="238" customFormat="1">
      <c r="A355" s="240">
        <f t="shared" si="18"/>
        <v>2028.1</v>
      </c>
      <c r="B355" s="3484" t="e">
        <v>#N/A</v>
      </c>
      <c r="C355" s="3552" t="e">
        <v>#N/A</v>
      </c>
      <c r="D355" s="2357" t="e">
        <f t="shared" si="23"/>
        <v>#N/A</v>
      </c>
      <c r="E355" s="3551" t="e">
        <v>#N/A</v>
      </c>
      <c r="F355" s="3551" t="e">
        <v>#N/A</v>
      </c>
      <c r="G355" s="3490" t="e">
        <f t="shared" ref="G355:G381" si="24">+H355+I355+J355</f>
        <v>#N/A</v>
      </c>
      <c r="H355" s="2356" t="e">
        <f t="shared" si="22"/>
        <v>#N/A</v>
      </c>
      <c r="I355" s="3551" t="e">
        <v>#N/A</v>
      </c>
      <c r="J355" s="3551" t="e">
        <v>#N/A</v>
      </c>
      <c r="K355" s="2799" t="e">
        <v>#N/A</v>
      </c>
      <c r="L355" s="2356" t="e">
        <f t="shared" si="19"/>
        <v>#N/A</v>
      </c>
      <c r="M355" s="3551" t="e">
        <v>#N/A</v>
      </c>
      <c r="N355" s="3551" t="e">
        <v>#N/A</v>
      </c>
      <c r="O355" s="2801" t="e">
        <v>#N/A</v>
      </c>
    </row>
    <row r="356" spans="1:15" s="238" customFormat="1">
      <c r="A356" s="240">
        <f t="shared" si="18"/>
        <v>2028.11</v>
      </c>
      <c r="B356" s="3484" t="e">
        <v>#N/A</v>
      </c>
      <c r="C356" s="3552" t="e">
        <v>#N/A</v>
      </c>
      <c r="D356" s="2357" t="e">
        <f t="shared" si="23"/>
        <v>#N/A</v>
      </c>
      <c r="E356" s="3551" t="e">
        <v>#N/A</v>
      </c>
      <c r="F356" s="3551" t="e">
        <v>#N/A</v>
      </c>
      <c r="G356" s="3490" t="e">
        <f t="shared" si="24"/>
        <v>#N/A</v>
      </c>
      <c r="H356" s="2356" t="e">
        <f t="shared" si="22"/>
        <v>#N/A</v>
      </c>
      <c r="I356" s="3551" t="e">
        <v>#N/A</v>
      </c>
      <c r="J356" s="3551" t="e">
        <v>#N/A</v>
      </c>
      <c r="K356" s="2799" t="e">
        <v>#N/A</v>
      </c>
      <c r="L356" s="2356" t="e">
        <f t="shared" si="19"/>
        <v>#N/A</v>
      </c>
      <c r="M356" s="3551" t="e">
        <v>#N/A</v>
      </c>
      <c r="N356" s="3551" t="e">
        <v>#N/A</v>
      </c>
      <c r="O356" s="2801" t="e">
        <v>#N/A</v>
      </c>
    </row>
    <row r="357" spans="1:15" s="238" customFormat="1">
      <c r="A357" s="240">
        <f t="shared" si="18"/>
        <v>2028.12</v>
      </c>
      <c r="B357" s="3484" t="e">
        <v>#N/A</v>
      </c>
      <c r="C357" s="3552" t="e">
        <v>#N/A</v>
      </c>
      <c r="D357" s="2357" t="e">
        <f t="shared" si="23"/>
        <v>#N/A</v>
      </c>
      <c r="E357" s="3551" t="e">
        <v>#N/A</v>
      </c>
      <c r="F357" s="3551" t="e">
        <v>#N/A</v>
      </c>
      <c r="G357" s="3490" t="e">
        <f t="shared" si="24"/>
        <v>#N/A</v>
      </c>
      <c r="H357" s="2356" t="e">
        <f t="shared" si="22"/>
        <v>#N/A</v>
      </c>
      <c r="I357" s="3551" t="e">
        <v>#N/A</v>
      </c>
      <c r="J357" s="3551" t="e">
        <v>#N/A</v>
      </c>
      <c r="K357" s="2799" t="e">
        <v>#N/A</v>
      </c>
      <c r="L357" s="2356" t="e">
        <f t="shared" si="19"/>
        <v>#N/A</v>
      </c>
      <c r="M357" s="3551" t="e">
        <v>#N/A</v>
      </c>
      <c r="N357" s="3551" t="e">
        <v>#N/A</v>
      </c>
      <c r="O357" s="2801" t="e">
        <v>#N/A</v>
      </c>
    </row>
    <row r="358" spans="1:15" s="238" customFormat="1">
      <c r="A358" s="240">
        <f t="shared" si="18"/>
        <v>2029.01</v>
      </c>
      <c r="B358" s="3484" t="e">
        <v>#N/A</v>
      </c>
      <c r="C358" s="3552" t="e">
        <v>#N/A</v>
      </c>
      <c r="D358" s="2357" t="e">
        <f t="shared" si="23"/>
        <v>#N/A</v>
      </c>
      <c r="E358" s="3551" t="e">
        <v>#N/A</v>
      </c>
      <c r="F358" s="3551" t="e">
        <v>#N/A</v>
      </c>
      <c r="G358" s="3490" t="e">
        <f t="shared" si="24"/>
        <v>#N/A</v>
      </c>
      <c r="H358" s="2356" t="e">
        <f t="shared" si="22"/>
        <v>#N/A</v>
      </c>
      <c r="I358" s="3551" t="e">
        <v>#N/A</v>
      </c>
      <c r="J358" s="3551" t="e">
        <v>#N/A</v>
      </c>
      <c r="K358" s="2799" t="e">
        <v>#N/A</v>
      </c>
      <c r="L358" s="2356" t="e">
        <f t="shared" si="19"/>
        <v>#N/A</v>
      </c>
      <c r="M358" s="3551" t="e">
        <v>#N/A</v>
      </c>
      <c r="N358" s="3551" t="e">
        <v>#N/A</v>
      </c>
      <c r="O358" s="2801" t="e">
        <v>#N/A</v>
      </c>
    </row>
    <row r="359" spans="1:15" s="238" customFormat="1">
      <c r="A359" s="240">
        <f t="shared" si="18"/>
        <v>2029.02</v>
      </c>
      <c r="B359" s="3484" t="e">
        <v>#N/A</v>
      </c>
      <c r="C359" s="3552" t="e">
        <v>#N/A</v>
      </c>
      <c r="D359" s="2357" t="e">
        <f t="shared" si="23"/>
        <v>#N/A</v>
      </c>
      <c r="E359" s="3551" t="e">
        <v>#N/A</v>
      </c>
      <c r="F359" s="3551" t="e">
        <v>#N/A</v>
      </c>
      <c r="G359" s="3490" t="e">
        <f t="shared" si="24"/>
        <v>#N/A</v>
      </c>
      <c r="H359" s="2356" t="e">
        <f t="shared" si="22"/>
        <v>#N/A</v>
      </c>
      <c r="I359" s="3551" t="e">
        <v>#N/A</v>
      </c>
      <c r="J359" s="3551" t="e">
        <v>#N/A</v>
      </c>
      <c r="K359" s="2799" t="e">
        <v>#N/A</v>
      </c>
      <c r="L359" s="2356" t="e">
        <f t="shared" si="19"/>
        <v>#N/A</v>
      </c>
      <c r="M359" s="3551" t="e">
        <v>#N/A</v>
      </c>
      <c r="N359" s="3551" t="e">
        <v>#N/A</v>
      </c>
      <c r="O359" s="2801" t="e">
        <v>#N/A</v>
      </c>
    </row>
    <row r="360" spans="1:15" s="238" customFormat="1">
      <c r="A360" s="240">
        <f t="shared" si="18"/>
        <v>2029.03</v>
      </c>
      <c r="B360" s="3484" t="e">
        <v>#N/A</v>
      </c>
      <c r="C360" s="3552" t="e">
        <v>#N/A</v>
      </c>
      <c r="D360" s="2357" t="e">
        <f t="shared" si="23"/>
        <v>#N/A</v>
      </c>
      <c r="E360" s="3551" t="e">
        <v>#N/A</v>
      </c>
      <c r="F360" s="3551" t="e">
        <v>#N/A</v>
      </c>
      <c r="G360" s="3490" t="e">
        <f t="shared" si="24"/>
        <v>#N/A</v>
      </c>
      <c r="H360" s="2356" t="e">
        <f t="shared" si="22"/>
        <v>#N/A</v>
      </c>
      <c r="I360" s="3551" t="e">
        <v>#N/A</v>
      </c>
      <c r="J360" s="3551" t="e">
        <v>#N/A</v>
      </c>
      <c r="K360" s="2799" t="e">
        <v>#N/A</v>
      </c>
      <c r="L360" s="2356" t="e">
        <f t="shared" si="19"/>
        <v>#N/A</v>
      </c>
      <c r="M360" s="3551" t="e">
        <v>#N/A</v>
      </c>
      <c r="N360" s="3551" t="e">
        <v>#N/A</v>
      </c>
      <c r="O360" s="2801" t="e">
        <v>#N/A</v>
      </c>
    </row>
    <row r="361" spans="1:15" s="238" customFormat="1">
      <c r="A361" s="240">
        <f t="shared" si="18"/>
        <v>2029.04</v>
      </c>
      <c r="B361" s="3484" t="e">
        <v>#N/A</v>
      </c>
      <c r="C361" s="3552" t="e">
        <v>#N/A</v>
      </c>
      <c r="D361" s="2357" t="e">
        <f t="shared" si="23"/>
        <v>#N/A</v>
      </c>
      <c r="E361" s="3551" t="e">
        <v>#N/A</v>
      </c>
      <c r="F361" s="3551" t="e">
        <v>#N/A</v>
      </c>
      <c r="G361" s="3490" t="e">
        <f t="shared" si="24"/>
        <v>#N/A</v>
      </c>
      <c r="H361" s="2356" t="e">
        <f t="shared" si="22"/>
        <v>#N/A</v>
      </c>
      <c r="I361" s="3551" t="e">
        <v>#N/A</v>
      </c>
      <c r="J361" s="3551" t="e">
        <v>#N/A</v>
      </c>
      <c r="K361" s="2799" t="e">
        <v>#N/A</v>
      </c>
      <c r="L361" s="2356" t="e">
        <f t="shared" si="19"/>
        <v>#N/A</v>
      </c>
      <c r="M361" s="3551" t="e">
        <v>#N/A</v>
      </c>
      <c r="N361" s="3551" t="e">
        <v>#N/A</v>
      </c>
      <c r="O361" s="2801" t="e">
        <v>#N/A</v>
      </c>
    </row>
    <row r="362" spans="1:15" s="238" customFormat="1">
      <c r="A362" s="240">
        <f t="shared" ref="A362:A381" si="25">A350+1</f>
        <v>2029.05</v>
      </c>
      <c r="B362" s="3484" t="e">
        <v>#N/A</v>
      </c>
      <c r="C362" s="3552" t="e">
        <v>#N/A</v>
      </c>
      <c r="D362" s="2357" t="e">
        <f t="shared" si="23"/>
        <v>#N/A</v>
      </c>
      <c r="E362" s="3551" t="e">
        <v>#N/A</v>
      </c>
      <c r="F362" s="3551" t="e">
        <v>#N/A</v>
      </c>
      <c r="G362" s="3490" t="e">
        <f t="shared" si="24"/>
        <v>#N/A</v>
      </c>
      <c r="H362" s="2356" t="e">
        <f t="shared" si="22"/>
        <v>#N/A</v>
      </c>
      <c r="I362" s="3551" t="e">
        <v>#N/A</v>
      </c>
      <c r="J362" s="3551" t="e">
        <v>#N/A</v>
      </c>
      <c r="K362" s="2799" t="e">
        <v>#N/A</v>
      </c>
      <c r="L362" s="2356" t="e">
        <f t="shared" si="19"/>
        <v>#N/A</v>
      </c>
      <c r="M362" s="3551" t="e">
        <v>#N/A</v>
      </c>
      <c r="N362" s="3551" t="e">
        <v>#N/A</v>
      </c>
      <c r="O362" s="2801" t="e">
        <v>#N/A</v>
      </c>
    </row>
    <row r="363" spans="1:15" s="238" customFormat="1">
      <c r="A363" s="240">
        <f t="shared" si="25"/>
        <v>2029.06</v>
      </c>
      <c r="B363" s="3484" t="e">
        <v>#N/A</v>
      </c>
      <c r="C363" s="3552" t="e">
        <v>#N/A</v>
      </c>
      <c r="D363" s="2357" t="e">
        <f t="shared" si="23"/>
        <v>#N/A</v>
      </c>
      <c r="E363" s="3551" t="e">
        <v>#N/A</v>
      </c>
      <c r="F363" s="3551" t="e">
        <v>#N/A</v>
      </c>
      <c r="G363" s="3490" t="e">
        <f t="shared" si="24"/>
        <v>#N/A</v>
      </c>
      <c r="H363" s="2356" t="e">
        <f t="shared" si="22"/>
        <v>#N/A</v>
      </c>
      <c r="I363" s="3551" t="e">
        <v>#N/A</v>
      </c>
      <c r="J363" s="3551" t="e">
        <v>#N/A</v>
      </c>
      <c r="K363" s="2799" t="e">
        <v>#N/A</v>
      </c>
      <c r="L363" s="2356" t="e">
        <f t="shared" si="19"/>
        <v>#N/A</v>
      </c>
      <c r="M363" s="3551" t="e">
        <v>#N/A</v>
      </c>
      <c r="N363" s="3551" t="e">
        <v>#N/A</v>
      </c>
      <c r="O363" s="2801" t="e">
        <v>#N/A</v>
      </c>
    </row>
    <row r="364" spans="1:15" s="238" customFormat="1">
      <c r="A364" s="240">
        <f t="shared" si="25"/>
        <v>2029.07</v>
      </c>
      <c r="B364" s="3484" t="e">
        <v>#N/A</v>
      </c>
      <c r="C364" s="3552" t="e">
        <v>#N/A</v>
      </c>
      <c r="D364" s="2357" t="e">
        <f t="shared" si="23"/>
        <v>#N/A</v>
      </c>
      <c r="E364" s="3551" t="e">
        <v>#N/A</v>
      </c>
      <c r="F364" s="3551" t="e">
        <v>#N/A</v>
      </c>
      <c r="G364" s="3490" t="e">
        <f t="shared" si="24"/>
        <v>#N/A</v>
      </c>
      <c r="H364" s="2356" t="e">
        <f t="shared" si="22"/>
        <v>#N/A</v>
      </c>
      <c r="I364" s="3551" t="e">
        <v>#N/A</v>
      </c>
      <c r="J364" s="3551" t="e">
        <v>#N/A</v>
      </c>
      <c r="K364" s="2799" t="e">
        <v>#N/A</v>
      </c>
      <c r="L364" s="2356" t="e">
        <f t="shared" si="19"/>
        <v>#N/A</v>
      </c>
      <c r="M364" s="3551" t="e">
        <v>#N/A</v>
      </c>
      <c r="N364" s="3551" t="e">
        <v>#N/A</v>
      </c>
      <c r="O364" s="2801" t="e">
        <v>#N/A</v>
      </c>
    </row>
    <row r="365" spans="1:15" s="238" customFormat="1">
      <c r="A365" s="240">
        <f t="shared" si="25"/>
        <v>2029.08</v>
      </c>
      <c r="B365" s="3484" t="e">
        <v>#N/A</v>
      </c>
      <c r="C365" s="3552" t="e">
        <v>#N/A</v>
      </c>
      <c r="D365" s="2357" t="e">
        <f t="shared" si="23"/>
        <v>#N/A</v>
      </c>
      <c r="E365" s="3551" t="e">
        <v>#N/A</v>
      </c>
      <c r="F365" s="3551" t="e">
        <v>#N/A</v>
      </c>
      <c r="G365" s="3490" t="e">
        <f t="shared" si="24"/>
        <v>#N/A</v>
      </c>
      <c r="H365" s="2356" t="e">
        <f t="shared" si="22"/>
        <v>#N/A</v>
      </c>
      <c r="I365" s="3551" t="e">
        <v>#N/A</v>
      </c>
      <c r="J365" s="3551" t="e">
        <v>#N/A</v>
      </c>
      <c r="K365" s="2799" t="e">
        <v>#N/A</v>
      </c>
      <c r="L365" s="2356" t="e">
        <f t="shared" si="19"/>
        <v>#N/A</v>
      </c>
      <c r="M365" s="3551" t="e">
        <v>#N/A</v>
      </c>
      <c r="N365" s="3551" t="e">
        <v>#N/A</v>
      </c>
      <c r="O365" s="2801" t="e">
        <v>#N/A</v>
      </c>
    </row>
    <row r="366" spans="1:15" s="238" customFormat="1">
      <c r="A366" s="240">
        <f t="shared" si="25"/>
        <v>2029.09</v>
      </c>
      <c r="B366" s="3484" t="e">
        <v>#N/A</v>
      </c>
      <c r="C366" s="3552" t="e">
        <v>#N/A</v>
      </c>
      <c r="D366" s="2357" t="e">
        <f t="shared" si="23"/>
        <v>#N/A</v>
      </c>
      <c r="E366" s="3551" t="e">
        <v>#N/A</v>
      </c>
      <c r="F366" s="3551" t="e">
        <v>#N/A</v>
      </c>
      <c r="G366" s="3490" t="e">
        <f t="shared" si="24"/>
        <v>#N/A</v>
      </c>
      <c r="H366" s="2356" t="e">
        <f t="shared" si="22"/>
        <v>#N/A</v>
      </c>
      <c r="I366" s="3551" t="e">
        <v>#N/A</v>
      </c>
      <c r="J366" s="3551" t="e">
        <v>#N/A</v>
      </c>
      <c r="K366" s="2799" t="e">
        <v>#N/A</v>
      </c>
      <c r="L366" s="2356" t="e">
        <f t="shared" si="19"/>
        <v>#N/A</v>
      </c>
      <c r="M366" s="3551" t="e">
        <v>#N/A</v>
      </c>
      <c r="N366" s="3551" t="e">
        <v>#N/A</v>
      </c>
      <c r="O366" s="2801" t="e">
        <v>#N/A</v>
      </c>
    </row>
    <row r="367" spans="1:15" s="238" customFormat="1">
      <c r="A367" s="240">
        <f t="shared" si="25"/>
        <v>2029.1</v>
      </c>
      <c r="B367" s="3484" t="e">
        <v>#N/A</v>
      </c>
      <c r="C367" s="3552" t="e">
        <v>#N/A</v>
      </c>
      <c r="D367" s="2357" t="e">
        <f t="shared" si="23"/>
        <v>#N/A</v>
      </c>
      <c r="E367" s="3551" t="e">
        <v>#N/A</v>
      </c>
      <c r="F367" s="3551" t="e">
        <v>#N/A</v>
      </c>
      <c r="G367" s="3490" t="e">
        <f t="shared" si="24"/>
        <v>#N/A</v>
      </c>
      <c r="H367" s="2356" t="e">
        <f t="shared" si="22"/>
        <v>#N/A</v>
      </c>
      <c r="I367" s="3551" t="e">
        <v>#N/A</v>
      </c>
      <c r="J367" s="3551" t="e">
        <v>#N/A</v>
      </c>
      <c r="K367" s="2799" t="e">
        <v>#N/A</v>
      </c>
      <c r="L367" s="2356" t="e">
        <f t="shared" si="19"/>
        <v>#N/A</v>
      </c>
      <c r="M367" s="3551" t="e">
        <v>#N/A</v>
      </c>
      <c r="N367" s="3551" t="e">
        <v>#N/A</v>
      </c>
      <c r="O367" s="2801" t="e">
        <v>#N/A</v>
      </c>
    </row>
    <row r="368" spans="1:15" s="238" customFormat="1">
      <c r="A368" s="240">
        <f t="shared" si="25"/>
        <v>2029.11</v>
      </c>
      <c r="B368" s="3484" t="e">
        <v>#N/A</v>
      </c>
      <c r="C368" s="3552" t="e">
        <v>#N/A</v>
      </c>
      <c r="D368" s="2357" t="e">
        <f t="shared" si="23"/>
        <v>#N/A</v>
      </c>
      <c r="E368" s="3551" t="e">
        <v>#N/A</v>
      </c>
      <c r="F368" s="3551" t="e">
        <v>#N/A</v>
      </c>
      <c r="G368" s="3490" t="e">
        <f t="shared" si="24"/>
        <v>#N/A</v>
      </c>
      <c r="H368" s="2356" t="e">
        <f t="shared" si="22"/>
        <v>#N/A</v>
      </c>
      <c r="I368" s="3551" t="e">
        <v>#N/A</v>
      </c>
      <c r="J368" s="3551" t="e">
        <v>#N/A</v>
      </c>
      <c r="K368" s="2799" t="e">
        <v>#N/A</v>
      </c>
      <c r="L368" s="2356" t="e">
        <f t="shared" si="19"/>
        <v>#N/A</v>
      </c>
      <c r="M368" s="3551" t="e">
        <v>#N/A</v>
      </c>
      <c r="N368" s="3551" t="e">
        <v>#N/A</v>
      </c>
      <c r="O368" s="2801" t="e">
        <v>#N/A</v>
      </c>
    </row>
    <row r="369" spans="1:15" s="238" customFormat="1">
      <c r="A369" s="240">
        <f t="shared" si="25"/>
        <v>2029.12</v>
      </c>
      <c r="B369" s="3484" t="e">
        <v>#N/A</v>
      </c>
      <c r="C369" s="3552" t="e">
        <v>#N/A</v>
      </c>
      <c r="D369" s="2357" t="e">
        <f t="shared" si="23"/>
        <v>#N/A</v>
      </c>
      <c r="E369" s="3551" t="e">
        <v>#N/A</v>
      </c>
      <c r="F369" s="3551" t="e">
        <v>#N/A</v>
      </c>
      <c r="G369" s="3490" t="e">
        <f t="shared" si="24"/>
        <v>#N/A</v>
      </c>
      <c r="H369" s="2356" t="e">
        <f t="shared" si="22"/>
        <v>#N/A</v>
      </c>
      <c r="I369" s="3551" t="e">
        <v>#N/A</v>
      </c>
      <c r="J369" s="3551" t="e">
        <v>#N/A</v>
      </c>
      <c r="K369" s="2799" t="e">
        <v>#N/A</v>
      </c>
      <c r="L369" s="2356" t="e">
        <f t="shared" si="19"/>
        <v>#N/A</v>
      </c>
      <c r="M369" s="3551" t="e">
        <v>#N/A</v>
      </c>
      <c r="N369" s="3551" t="e">
        <v>#N/A</v>
      </c>
      <c r="O369" s="2801" t="e">
        <v>#N/A</v>
      </c>
    </row>
    <row r="370" spans="1:15" s="238" customFormat="1">
      <c r="A370" s="240">
        <f t="shared" si="25"/>
        <v>2030.01</v>
      </c>
      <c r="B370" s="3484" t="e">
        <v>#N/A</v>
      </c>
      <c r="C370" s="3552" t="e">
        <v>#N/A</v>
      </c>
      <c r="D370" s="2357" t="e">
        <f t="shared" si="23"/>
        <v>#N/A</v>
      </c>
      <c r="E370" s="3551" t="e">
        <v>#N/A</v>
      </c>
      <c r="F370" s="3551" t="e">
        <v>#N/A</v>
      </c>
      <c r="G370" s="3490" t="e">
        <f t="shared" si="24"/>
        <v>#N/A</v>
      </c>
      <c r="H370" s="2356" t="e">
        <f t="shared" si="22"/>
        <v>#N/A</v>
      </c>
      <c r="I370" s="3551" t="e">
        <v>#N/A</v>
      </c>
      <c r="J370" s="3551" t="e">
        <v>#N/A</v>
      </c>
      <c r="K370" s="2799" t="e">
        <v>#N/A</v>
      </c>
      <c r="L370" s="2356" t="e">
        <f t="shared" si="19"/>
        <v>#N/A</v>
      </c>
      <c r="M370" s="3551" t="e">
        <v>#N/A</v>
      </c>
      <c r="N370" s="3551" t="e">
        <v>#N/A</v>
      </c>
      <c r="O370" s="2801" t="e">
        <v>#N/A</v>
      </c>
    </row>
    <row r="371" spans="1:15" s="238" customFormat="1">
      <c r="A371" s="240">
        <f t="shared" si="25"/>
        <v>2030.02</v>
      </c>
      <c r="B371" s="3484" t="e">
        <v>#N/A</v>
      </c>
      <c r="C371" s="3552" t="e">
        <v>#N/A</v>
      </c>
      <c r="D371" s="2357" t="e">
        <f t="shared" si="23"/>
        <v>#N/A</v>
      </c>
      <c r="E371" s="3551" t="e">
        <v>#N/A</v>
      </c>
      <c r="F371" s="3551" t="e">
        <v>#N/A</v>
      </c>
      <c r="G371" s="3490" t="e">
        <f t="shared" si="24"/>
        <v>#N/A</v>
      </c>
      <c r="H371" s="2356" t="e">
        <f t="shared" si="22"/>
        <v>#N/A</v>
      </c>
      <c r="I371" s="3551" t="e">
        <v>#N/A</v>
      </c>
      <c r="J371" s="3551" t="e">
        <v>#N/A</v>
      </c>
      <c r="K371" s="2799" t="e">
        <v>#N/A</v>
      </c>
      <c r="L371" s="2356" t="e">
        <f t="shared" si="19"/>
        <v>#N/A</v>
      </c>
      <c r="M371" s="3551" t="e">
        <v>#N/A</v>
      </c>
      <c r="N371" s="3551" t="e">
        <v>#N/A</v>
      </c>
      <c r="O371" s="2801" t="e">
        <v>#N/A</v>
      </c>
    </row>
    <row r="372" spans="1:15" s="238" customFormat="1">
      <c r="A372" s="240">
        <f t="shared" si="25"/>
        <v>2030.03</v>
      </c>
      <c r="B372" s="3484" t="e">
        <v>#N/A</v>
      </c>
      <c r="C372" s="3552" t="e">
        <v>#N/A</v>
      </c>
      <c r="D372" s="2357" t="e">
        <f t="shared" si="23"/>
        <v>#N/A</v>
      </c>
      <c r="E372" s="3551" t="e">
        <v>#N/A</v>
      </c>
      <c r="F372" s="3551" t="e">
        <v>#N/A</v>
      </c>
      <c r="G372" s="3490" t="e">
        <f t="shared" si="24"/>
        <v>#N/A</v>
      </c>
      <c r="H372" s="2356" t="e">
        <f t="shared" si="22"/>
        <v>#N/A</v>
      </c>
      <c r="I372" s="3551" t="e">
        <v>#N/A</v>
      </c>
      <c r="J372" s="3551" t="e">
        <v>#N/A</v>
      </c>
      <c r="K372" s="2799" t="e">
        <v>#N/A</v>
      </c>
      <c r="L372" s="2356" t="e">
        <f t="shared" ref="L372:L381" si="26">M372+N372+O372</f>
        <v>#N/A</v>
      </c>
      <c r="M372" s="3551" t="e">
        <v>#N/A</v>
      </c>
      <c r="N372" s="3551" t="e">
        <v>#N/A</v>
      </c>
      <c r="O372" s="2801" t="e">
        <v>#N/A</v>
      </c>
    </row>
    <row r="373" spans="1:15" s="238" customFormat="1">
      <c r="A373" s="240">
        <f t="shared" si="25"/>
        <v>2030.04</v>
      </c>
      <c r="B373" s="3484" t="e">
        <v>#N/A</v>
      </c>
      <c r="C373" s="3552" t="e">
        <v>#N/A</v>
      </c>
      <c r="D373" s="2357" t="e">
        <f t="shared" si="23"/>
        <v>#N/A</v>
      </c>
      <c r="E373" s="3551" t="e">
        <v>#N/A</v>
      </c>
      <c r="F373" s="3551" t="e">
        <v>#N/A</v>
      </c>
      <c r="G373" s="3490" t="e">
        <f t="shared" si="24"/>
        <v>#N/A</v>
      </c>
      <c r="H373" s="2356" t="e">
        <f t="shared" si="22"/>
        <v>#N/A</v>
      </c>
      <c r="I373" s="3551" t="e">
        <v>#N/A</v>
      </c>
      <c r="J373" s="3551" t="e">
        <v>#N/A</v>
      </c>
      <c r="K373" s="2799" t="e">
        <v>#N/A</v>
      </c>
      <c r="L373" s="2356" t="e">
        <f t="shared" si="26"/>
        <v>#N/A</v>
      </c>
      <c r="M373" s="3551" t="e">
        <v>#N/A</v>
      </c>
      <c r="N373" s="3551" t="e">
        <v>#N/A</v>
      </c>
      <c r="O373" s="2801" t="e">
        <v>#N/A</v>
      </c>
    </row>
    <row r="374" spans="1:15" s="238" customFormat="1">
      <c r="A374" s="240">
        <f t="shared" si="25"/>
        <v>2030.05</v>
      </c>
      <c r="B374" s="3484" t="e">
        <v>#N/A</v>
      </c>
      <c r="C374" s="3552" t="e">
        <v>#N/A</v>
      </c>
      <c r="D374" s="2357" t="e">
        <f t="shared" si="23"/>
        <v>#N/A</v>
      </c>
      <c r="E374" s="3551" t="e">
        <v>#N/A</v>
      </c>
      <c r="F374" s="3551" t="e">
        <v>#N/A</v>
      </c>
      <c r="G374" s="3490" t="e">
        <f t="shared" si="24"/>
        <v>#N/A</v>
      </c>
      <c r="H374" s="2356" t="e">
        <f t="shared" si="22"/>
        <v>#N/A</v>
      </c>
      <c r="I374" s="3551" t="e">
        <v>#N/A</v>
      </c>
      <c r="J374" s="3551" t="e">
        <v>#N/A</v>
      </c>
      <c r="K374" s="2799" t="e">
        <v>#N/A</v>
      </c>
      <c r="L374" s="2356" t="e">
        <f t="shared" si="26"/>
        <v>#N/A</v>
      </c>
      <c r="M374" s="3551" t="e">
        <v>#N/A</v>
      </c>
      <c r="N374" s="3551" t="e">
        <v>#N/A</v>
      </c>
      <c r="O374" s="2801" t="e">
        <v>#N/A</v>
      </c>
    </row>
    <row r="375" spans="1:15" s="238" customFormat="1">
      <c r="A375" s="240">
        <f t="shared" si="25"/>
        <v>2030.06</v>
      </c>
      <c r="B375" s="3484" t="e">
        <v>#N/A</v>
      </c>
      <c r="C375" s="3552" t="e">
        <v>#N/A</v>
      </c>
      <c r="D375" s="2357" t="e">
        <f t="shared" si="23"/>
        <v>#N/A</v>
      </c>
      <c r="E375" s="3551" t="e">
        <v>#N/A</v>
      </c>
      <c r="F375" s="3551" t="e">
        <v>#N/A</v>
      </c>
      <c r="G375" s="3490" t="e">
        <f t="shared" si="24"/>
        <v>#N/A</v>
      </c>
      <c r="H375" s="2356" t="e">
        <f t="shared" si="22"/>
        <v>#N/A</v>
      </c>
      <c r="I375" s="3551" t="e">
        <v>#N/A</v>
      </c>
      <c r="J375" s="3551" t="e">
        <v>#N/A</v>
      </c>
      <c r="K375" s="2799" t="e">
        <v>#N/A</v>
      </c>
      <c r="L375" s="2356" t="e">
        <f t="shared" si="26"/>
        <v>#N/A</v>
      </c>
      <c r="M375" s="3551" t="e">
        <v>#N/A</v>
      </c>
      <c r="N375" s="3551" t="e">
        <v>#N/A</v>
      </c>
      <c r="O375" s="2801" t="e">
        <v>#N/A</v>
      </c>
    </row>
    <row r="376" spans="1:15" s="238" customFormat="1">
      <c r="A376" s="240">
        <f t="shared" si="25"/>
        <v>2030.07</v>
      </c>
      <c r="B376" s="3484" t="e">
        <v>#N/A</v>
      </c>
      <c r="C376" s="3552" t="e">
        <v>#N/A</v>
      </c>
      <c r="D376" s="2357" t="e">
        <f t="shared" si="23"/>
        <v>#N/A</v>
      </c>
      <c r="E376" s="3551" t="e">
        <v>#N/A</v>
      </c>
      <c r="F376" s="3551" t="e">
        <v>#N/A</v>
      </c>
      <c r="G376" s="3490" t="e">
        <f t="shared" si="24"/>
        <v>#N/A</v>
      </c>
      <c r="H376" s="2356" t="e">
        <f t="shared" si="22"/>
        <v>#N/A</v>
      </c>
      <c r="I376" s="3551" t="e">
        <v>#N/A</v>
      </c>
      <c r="J376" s="3551" t="e">
        <v>#N/A</v>
      </c>
      <c r="K376" s="2799" t="e">
        <v>#N/A</v>
      </c>
      <c r="L376" s="2356" t="e">
        <f t="shared" si="26"/>
        <v>#N/A</v>
      </c>
      <c r="M376" s="3551" t="e">
        <v>#N/A</v>
      </c>
      <c r="N376" s="3551" t="e">
        <v>#N/A</v>
      </c>
      <c r="O376" s="2801" t="e">
        <v>#N/A</v>
      </c>
    </row>
    <row r="377" spans="1:15" s="238" customFormat="1">
      <c r="A377" s="240">
        <f t="shared" si="25"/>
        <v>2030.08</v>
      </c>
      <c r="B377" s="3484" t="e">
        <v>#N/A</v>
      </c>
      <c r="C377" s="3552" t="e">
        <v>#N/A</v>
      </c>
      <c r="D377" s="2357" t="e">
        <f t="shared" si="23"/>
        <v>#N/A</v>
      </c>
      <c r="E377" s="3551" t="e">
        <v>#N/A</v>
      </c>
      <c r="F377" s="3551" t="e">
        <v>#N/A</v>
      </c>
      <c r="G377" s="3490" t="e">
        <f t="shared" si="24"/>
        <v>#N/A</v>
      </c>
      <c r="H377" s="2356" t="e">
        <f t="shared" si="22"/>
        <v>#N/A</v>
      </c>
      <c r="I377" s="3551" t="e">
        <v>#N/A</v>
      </c>
      <c r="J377" s="3551" t="e">
        <v>#N/A</v>
      </c>
      <c r="K377" s="2799" t="e">
        <v>#N/A</v>
      </c>
      <c r="L377" s="2356" t="e">
        <f t="shared" si="26"/>
        <v>#N/A</v>
      </c>
      <c r="M377" s="3551" t="e">
        <v>#N/A</v>
      </c>
      <c r="N377" s="3551" t="e">
        <v>#N/A</v>
      </c>
      <c r="O377" s="2801" t="e">
        <v>#N/A</v>
      </c>
    </row>
    <row r="378" spans="1:15" s="238" customFormat="1">
      <c r="A378" s="240">
        <f t="shared" si="25"/>
        <v>2030.09</v>
      </c>
      <c r="B378" s="3484" t="e">
        <v>#N/A</v>
      </c>
      <c r="C378" s="3552" t="e">
        <v>#N/A</v>
      </c>
      <c r="D378" s="2357" t="e">
        <f t="shared" si="23"/>
        <v>#N/A</v>
      </c>
      <c r="E378" s="3551" t="e">
        <v>#N/A</v>
      </c>
      <c r="F378" s="3551" t="e">
        <v>#N/A</v>
      </c>
      <c r="G378" s="3490" t="e">
        <f t="shared" si="24"/>
        <v>#N/A</v>
      </c>
      <c r="H378" s="2356" t="e">
        <f t="shared" si="22"/>
        <v>#N/A</v>
      </c>
      <c r="I378" s="3551" t="e">
        <v>#N/A</v>
      </c>
      <c r="J378" s="3551" t="e">
        <v>#N/A</v>
      </c>
      <c r="K378" s="2799" t="e">
        <v>#N/A</v>
      </c>
      <c r="L378" s="2356" t="e">
        <f t="shared" si="26"/>
        <v>#N/A</v>
      </c>
      <c r="M378" s="3551" t="e">
        <v>#N/A</v>
      </c>
      <c r="N378" s="3551" t="e">
        <v>#N/A</v>
      </c>
      <c r="O378" s="2801" t="e">
        <v>#N/A</v>
      </c>
    </row>
    <row r="379" spans="1:15" s="238" customFormat="1">
      <c r="A379" s="240">
        <f t="shared" si="25"/>
        <v>2030.1</v>
      </c>
      <c r="B379" s="3484" t="e">
        <v>#N/A</v>
      </c>
      <c r="C379" s="3552" t="e">
        <v>#N/A</v>
      </c>
      <c r="D379" s="2357" t="e">
        <f t="shared" si="23"/>
        <v>#N/A</v>
      </c>
      <c r="E379" s="3551" t="e">
        <v>#N/A</v>
      </c>
      <c r="F379" s="3551" t="e">
        <v>#N/A</v>
      </c>
      <c r="G379" s="3490" t="e">
        <f t="shared" si="24"/>
        <v>#N/A</v>
      </c>
      <c r="H379" s="2356" t="e">
        <f t="shared" si="22"/>
        <v>#N/A</v>
      </c>
      <c r="I379" s="3551" t="e">
        <v>#N/A</v>
      </c>
      <c r="J379" s="3551" t="e">
        <v>#N/A</v>
      </c>
      <c r="K379" s="2799" t="e">
        <v>#N/A</v>
      </c>
      <c r="L379" s="2356" t="e">
        <f t="shared" si="26"/>
        <v>#N/A</v>
      </c>
      <c r="M379" s="3551" t="e">
        <v>#N/A</v>
      </c>
      <c r="N379" s="3551" t="e">
        <v>#N/A</v>
      </c>
      <c r="O379" s="2801" t="e">
        <v>#N/A</v>
      </c>
    </row>
    <row r="380" spans="1:15" s="238" customFormat="1">
      <c r="A380" s="240">
        <f t="shared" si="25"/>
        <v>2030.11</v>
      </c>
      <c r="B380" s="3484" t="e">
        <v>#N/A</v>
      </c>
      <c r="C380" s="3552" t="e">
        <v>#N/A</v>
      </c>
      <c r="D380" s="2357" t="e">
        <f t="shared" si="23"/>
        <v>#N/A</v>
      </c>
      <c r="E380" s="3551" t="e">
        <v>#N/A</v>
      </c>
      <c r="F380" s="3551" t="e">
        <v>#N/A</v>
      </c>
      <c r="G380" s="3490" t="e">
        <f t="shared" si="24"/>
        <v>#N/A</v>
      </c>
      <c r="H380" s="2356" t="e">
        <f t="shared" si="22"/>
        <v>#N/A</v>
      </c>
      <c r="I380" s="3551" t="e">
        <v>#N/A</v>
      </c>
      <c r="J380" s="3551" t="e">
        <v>#N/A</v>
      </c>
      <c r="K380" s="2799" t="e">
        <v>#N/A</v>
      </c>
      <c r="L380" s="2356" t="e">
        <f t="shared" si="26"/>
        <v>#N/A</v>
      </c>
      <c r="M380" s="3551" t="e">
        <v>#N/A</v>
      </c>
      <c r="N380" s="3551" t="e">
        <v>#N/A</v>
      </c>
      <c r="O380" s="2801" t="e">
        <v>#N/A</v>
      </c>
    </row>
    <row r="381" spans="1:15" s="238" customFormat="1">
      <c r="A381" s="240">
        <f t="shared" si="25"/>
        <v>2030.12</v>
      </c>
      <c r="B381" s="3484" t="e">
        <v>#N/A</v>
      </c>
      <c r="C381" s="3552" t="e">
        <v>#N/A</v>
      </c>
      <c r="D381" s="2357" t="e">
        <f t="shared" si="23"/>
        <v>#N/A</v>
      </c>
      <c r="E381" s="3551" t="e">
        <v>#N/A</v>
      </c>
      <c r="F381" s="3551" t="e">
        <v>#N/A</v>
      </c>
      <c r="G381" s="3490" t="e">
        <f t="shared" si="24"/>
        <v>#N/A</v>
      </c>
      <c r="H381" s="2356" t="e">
        <f t="shared" si="22"/>
        <v>#N/A</v>
      </c>
      <c r="I381" s="3551" t="e">
        <v>#N/A</v>
      </c>
      <c r="J381" s="3551" t="e">
        <v>#N/A</v>
      </c>
      <c r="K381" s="2799" t="e">
        <v>#N/A</v>
      </c>
      <c r="L381" s="2356" t="e">
        <f t="shared" si="26"/>
        <v>#N/A</v>
      </c>
      <c r="M381" s="3551" t="e">
        <v>#N/A</v>
      </c>
      <c r="N381" s="3551" t="e">
        <v>#N/A</v>
      </c>
      <c r="O381" s="2801" t="e">
        <v>#N/A</v>
      </c>
    </row>
  </sheetData>
  <phoneticPr fontId="75" type="noConversion"/>
  <hyperlinks>
    <hyperlink ref="A5" location="INDICE!A13" display="VOLVER AL INDICE" xr:uid="{00000000-0004-0000-0900-000000000000}"/>
  </hyperlinks>
  <printOptions gridLines="1" gridLinesSet="0"/>
  <pageMargins left="0.75" right="0.75" top="1" bottom="1" header="0.511811024" footer="0.511811024"/>
  <pageSetup paperSize="9" orientation="portrait" horizontalDpi="4294967292" verticalDpi="300" r:id="rId1"/>
  <headerFooter alignWithMargins="0">
    <oddHeader>&amp;A</oddHeader>
    <oddFooter>Página &amp;P</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5B9F2161CEE1040BBC03CB11300495F" ma:contentTypeVersion="12" ma:contentTypeDescription="Crear nuevo documento." ma:contentTypeScope="" ma:versionID="a7cec21613a3259523bdab11a1e26aca">
  <xsd:schema xmlns:xsd="http://www.w3.org/2001/XMLSchema" xmlns:xs="http://www.w3.org/2001/XMLSchema" xmlns:p="http://schemas.microsoft.com/office/2006/metadata/properties" xmlns:ns2="b5dd4176-d247-4204-85b8-921214f3ccea" xmlns:ns3="359b39ce-e1f9-4933-8424-33b611e6fdcd" targetNamespace="http://schemas.microsoft.com/office/2006/metadata/properties" ma:root="true" ma:fieldsID="68943c349d3a016936c8f8cb3335004b" ns2:_="" ns3:_="">
    <xsd:import namespace="b5dd4176-d247-4204-85b8-921214f3ccea"/>
    <xsd:import namespace="359b39ce-e1f9-4933-8424-33b611e6fdc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5dd4176-d247-4204-85b8-921214f3cc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1529062-7a8b-4d76-943d-e0db5644ee6d"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59b39ce-e1f9-4933-8424-33b611e6fdc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9b73259-0823-4f05-8927-4a40ee49fbe1}" ma:internalName="TaxCatchAll" ma:showField="CatchAllData" ma:web="359b39ce-e1f9-4933-8424-33b611e6fdc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359b39ce-e1f9-4933-8424-33b611e6fdcd" xsi:nil="true"/>
    <lcf76f155ced4ddcb4097134ff3c332f xmlns="b5dd4176-d247-4204-85b8-921214f3cce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208FDE0-5B2B-4ACC-BE89-BDB6B60B6191}">
  <ds:schemaRefs>
    <ds:schemaRef ds:uri="http://schemas.microsoft.com/sharepoint/v3/contenttype/forms"/>
  </ds:schemaRefs>
</ds:datastoreItem>
</file>

<file path=customXml/itemProps2.xml><?xml version="1.0" encoding="utf-8"?>
<ds:datastoreItem xmlns:ds="http://schemas.openxmlformats.org/officeDocument/2006/customXml" ds:itemID="{9237EA27-4ED1-4B23-BBA2-AC44C770CF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5dd4176-d247-4204-85b8-921214f3ccea"/>
    <ds:schemaRef ds:uri="359b39ce-e1f9-4933-8424-33b611e6fd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744BDC3-D326-4205-B1E7-5A7E8E3C3502}">
  <ds:schemaRefs>
    <ds:schemaRef ds:uri="359b39ce-e1f9-4933-8424-33b611e6fdcd"/>
    <ds:schemaRef ds:uri="http://www.w3.org/XML/1998/namespace"/>
    <ds:schemaRef ds:uri="http://schemas.microsoft.com/office/2006/metadata/properties"/>
    <ds:schemaRef ds:uri="http://purl.org/dc/terms/"/>
    <ds:schemaRef ds:uri="http://purl.org/dc/elements/1.1/"/>
    <ds:schemaRef ds:uri="http://schemas.microsoft.com/office/2006/documentManagement/types"/>
    <ds:schemaRef ds:uri="http://schemas.openxmlformats.org/package/2006/metadata/core-properties"/>
    <ds:schemaRef ds:uri="http://schemas.microsoft.com/office/infopath/2007/PartnerControls"/>
    <ds:schemaRef ds:uri="b5dd4176-d247-4204-85b8-921214f3ccea"/>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68</vt:i4>
      </vt:variant>
      <vt:variant>
        <vt:lpstr>Rangos con nombre</vt:lpstr>
      </vt:variant>
      <vt:variant>
        <vt:i4>7</vt:i4>
      </vt:variant>
    </vt:vector>
  </HeadingPairs>
  <TitlesOfParts>
    <vt:vector size="75" baseType="lpstr">
      <vt:lpstr>INDICE</vt:lpstr>
      <vt:lpstr>1.1</vt:lpstr>
      <vt:lpstr>1.2</vt:lpstr>
      <vt:lpstr>1.3</vt:lpstr>
      <vt:lpstr>1.4</vt:lpstr>
      <vt:lpstr>1.5</vt:lpstr>
      <vt:lpstr>1.6</vt:lpstr>
      <vt:lpstr>1.7</vt:lpstr>
      <vt:lpstr>2.1</vt:lpstr>
      <vt:lpstr>2.2</vt:lpstr>
      <vt:lpstr>2.3</vt:lpstr>
      <vt:lpstr>2.4</vt:lpstr>
      <vt:lpstr>2.5</vt:lpstr>
      <vt:lpstr>2.5.a</vt:lpstr>
      <vt:lpstr>2.5.b</vt:lpstr>
      <vt:lpstr>2.5.c</vt:lpstr>
      <vt:lpstr>2.6</vt:lpstr>
      <vt:lpstr>2.7</vt:lpstr>
      <vt:lpstr>2.8</vt:lpstr>
      <vt:lpstr>2.9</vt:lpstr>
      <vt:lpstr>2.10</vt:lpstr>
      <vt:lpstr>3.1</vt:lpstr>
      <vt:lpstr>3.2</vt:lpstr>
      <vt:lpstr>3.3</vt:lpstr>
      <vt:lpstr>3.4</vt:lpstr>
      <vt:lpstr>3.5</vt:lpstr>
      <vt:lpstr>3.6</vt:lpstr>
      <vt:lpstr>3.7</vt:lpstr>
      <vt:lpstr>3.8</vt:lpstr>
      <vt:lpstr>3.9</vt:lpstr>
      <vt:lpstr>3.10</vt:lpstr>
      <vt:lpstr>3.11</vt:lpstr>
      <vt:lpstr>4.1</vt:lpstr>
      <vt:lpstr>4.2</vt:lpstr>
      <vt:lpstr>4.3</vt:lpstr>
      <vt:lpstr>4.4</vt:lpstr>
      <vt:lpstr>4.5</vt:lpstr>
      <vt:lpstr>4.6</vt:lpstr>
      <vt:lpstr>4.7</vt:lpstr>
      <vt:lpstr>5.1</vt:lpstr>
      <vt:lpstr>5.2</vt:lpstr>
      <vt:lpstr>5.3</vt:lpstr>
      <vt:lpstr>5.4</vt:lpstr>
      <vt:lpstr>6.1</vt:lpstr>
      <vt:lpstr>6.2</vt:lpstr>
      <vt:lpstr>6.2.a</vt:lpstr>
      <vt:lpstr>6.3</vt:lpstr>
      <vt:lpstr>6.4</vt:lpstr>
      <vt:lpstr>6.5</vt:lpstr>
      <vt:lpstr>6.6</vt:lpstr>
      <vt:lpstr>6.7</vt:lpstr>
      <vt:lpstr>7.1</vt:lpstr>
      <vt:lpstr>7.2</vt:lpstr>
      <vt:lpstr>7.3</vt:lpstr>
      <vt:lpstr>7.4</vt:lpstr>
      <vt:lpstr>8.1</vt:lpstr>
      <vt:lpstr>8.2</vt:lpstr>
      <vt:lpstr>8.3</vt:lpstr>
      <vt:lpstr>8.4</vt:lpstr>
      <vt:lpstr>8.5</vt:lpstr>
      <vt:lpstr>8.6</vt:lpstr>
      <vt:lpstr>8.7</vt:lpstr>
      <vt:lpstr>8.8</vt:lpstr>
      <vt:lpstr>8.9</vt:lpstr>
      <vt:lpstr>8.10</vt:lpstr>
      <vt:lpstr>8.11</vt:lpstr>
      <vt:lpstr>9.1</vt:lpstr>
      <vt:lpstr>9.2</vt:lpstr>
      <vt:lpstr>'8.8'!Área_de_impresión</vt:lpstr>
      <vt:lpstr>'8.9'!Área_de_impresión</vt:lpstr>
      <vt:lpstr>'7.1'!NA</vt:lpstr>
      <vt:lpstr>'7.2'!NA</vt:lpstr>
      <vt:lpstr>'7.3'!NA</vt:lpstr>
      <vt:lpstr>'7.4'!NA</vt:lpstr>
      <vt:lpstr>'1.3'!OLE_LINK2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DATA_SFE</dc:title>
  <dc:subject/>
  <dc:creator>CES-BCSF</dc:creator>
  <cp:keywords/>
  <dc:description/>
  <cp:lastModifiedBy>Agustin Rodriguez</cp:lastModifiedBy>
  <cp:revision/>
  <dcterms:created xsi:type="dcterms:W3CDTF">2005-06-13T15:31:01Z</dcterms:created>
  <dcterms:modified xsi:type="dcterms:W3CDTF">2026-04-01T11:20:41Z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0x010100C5B9F2161CEE1040BBC03CB11300495F</vt:lpwstr>
  </property>
  <property fmtid="{D5CDD505-2E9C-101B-9397-08002B2CF9AE}" pid="3" name="MediaServiceImageTags">
    <vt:lpwstr/>
  </property>
</Properties>
</file>